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https://kkumail-my.sharepoint.com/personal/itsariyabhorn_b_kkumail_com/Documents/ปี 2565/1.รายงานผล PARA 65/02.Export จาก Google Sheet/11. ข้อมูล ณ 31 มี.ค. 65/Benz/"/>
    </mc:Choice>
  </mc:AlternateContent>
  <xr:revisionPtr revIDLastSave="51" documentId="11_81CC7A506620DC080415EF86525A94A816222A00" xr6:coauthVersionLast="47" xr6:coauthVersionMax="47" xr10:uidLastSave="{E00E68D9-FB03-4BAD-B1F4-2490013E85F1}"/>
  <bookViews>
    <workbookView xWindow="-108" yWindow="-108" windowWidth="23256" windowHeight="12576" xr2:uid="{00000000-000D-0000-FFFF-FFFF00000000}"/>
  </bookViews>
  <sheets>
    <sheet name="แปลงใหญ่" sheetId="1" r:id="rId1"/>
    <sheet name="แปรรูปสมุนไพร" sheetId="2" r:id="rId2"/>
    <sheet name="GAP" sheetId="3" r:id="rId3"/>
    <sheet name="ยกระดับรายได้+แปลงรวม" sheetId="4" r:id="rId4"/>
    <sheet name="พระราชดำริ" sheetId="5" r:id="rId5"/>
    <sheet name="ศิลปหัตถกรรม" sheetId="6" r:id="rId6"/>
    <sheet name="กษ.รุ่นใหม่+SF" sheetId="7" r:id="rId7"/>
    <sheet name="จัดที่ดิน" sheetId="8" r:id="rId8"/>
    <sheet name="เกษตรอินทรีย์" sheetId="9" r:id="rId9"/>
    <sheet name="วนเกษตร" sheetId="10" r:id="rId10"/>
    <sheet name="ทฤษฎีใหม่" sheetId="11" r:id="rId11"/>
    <sheet name="ธุรกิจชุมชน" sheetId="12" r:id="rId12"/>
    <sheet name="ตรวจสอบที่ดิน" sheetId="13" r:id="rId13"/>
    <sheet name="พัฒนาผู้แทนฯ" sheetId="14" r:id="rId14"/>
    <sheet name="RTK" sheetId="15" r:id="rId15"/>
    <sheet name="ศูนย์บริการ ปชช." sheetId="16" r:id="rId16"/>
    <sheet name="ที่ดินชุมชน" sheetId="17" r:id="rId17"/>
    <sheet name="ที่ดินเอกชน" sheetId="18" r:id="rId18"/>
  </sheets>
  <definedNames>
    <definedName name="_DAT1" localSheetId="2">#REF!</definedName>
    <definedName name="_DAT1" localSheetId="14">#REF!</definedName>
    <definedName name="_DAT1" localSheetId="8">#REF!</definedName>
    <definedName name="_DAT1" localSheetId="1">#REF!</definedName>
    <definedName name="_DAT1" localSheetId="0">#REF!</definedName>
    <definedName name="_DAT1" localSheetId="6">#REF!</definedName>
    <definedName name="_DAT1" localSheetId="7">#REF!</definedName>
    <definedName name="_DAT1" localSheetId="12">#REF!</definedName>
    <definedName name="_DAT1" localSheetId="17">#REF!</definedName>
    <definedName name="_DAT1" localSheetId="4">#REF!</definedName>
    <definedName name="_DAT1" localSheetId="13">#REF!</definedName>
    <definedName name="_DAT1" localSheetId="3">#REF!</definedName>
    <definedName name="_DAT1" localSheetId="9">#REF!</definedName>
    <definedName name="_DAT1" localSheetId="5">#REF!</definedName>
    <definedName name="_DAT1">#REF!</definedName>
    <definedName name="_DAT10" localSheetId="2">#REF!</definedName>
    <definedName name="_DAT10" localSheetId="14">#REF!</definedName>
    <definedName name="_DAT10" localSheetId="8">#REF!</definedName>
    <definedName name="_DAT10" localSheetId="1">#REF!</definedName>
    <definedName name="_DAT10" localSheetId="0">#REF!</definedName>
    <definedName name="_DAT10" localSheetId="6">#REF!</definedName>
    <definedName name="_DAT10" localSheetId="7">#REF!</definedName>
    <definedName name="_DAT10" localSheetId="12">#REF!</definedName>
    <definedName name="_DAT10" localSheetId="17">#REF!</definedName>
    <definedName name="_DAT10" localSheetId="4">#REF!</definedName>
    <definedName name="_DAT10" localSheetId="13">#REF!</definedName>
    <definedName name="_DAT10" localSheetId="3">#REF!</definedName>
    <definedName name="_DAT10" localSheetId="9">#REF!</definedName>
    <definedName name="_DAT10" localSheetId="5">#REF!</definedName>
    <definedName name="_DAT10">#REF!</definedName>
    <definedName name="_DAT11" localSheetId="2">#REF!</definedName>
    <definedName name="_DAT11" localSheetId="14">#REF!</definedName>
    <definedName name="_DAT11" localSheetId="8">#REF!</definedName>
    <definedName name="_DAT11" localSheetId="1">#REF!</definedName>
    <definedName name="_DAT11" localSheetId="0">#REF!</definedName>
    <definedName name="_DAT11" localSheetId="6">#REF!</definedName>
    <definedName name="_DAT11" localSheetId="7">#REF!</definedName>
    <definedName name="_DAT11" localSheetId="12">#REF!</definedName>
    <definedName name="_DAT11" localSheetId="17">#REF!</definedName>
    <definedName name="_DAT11" localSheetId="4">#REF!</definedName>
    <definedName name="_DAT11" localSheetId="13">#REF!</definedName>
    <definedName name="_DAT11" localSheetId="3">#REF!</definedName>
    <definedName name="_DAT11" localSheetId="9">#REF!</definedName>
    <definedName name="_DAT11" localSheetId="5">#REF!</definedName>
    <definedName name="_DAT11">#REF!</definedName>
    <definedName name="_DAT12" localSheetId="2">#REF!</definedName>
    <definedName name="_DAT12" localSheetId="14">#REF!</definedName>
    <definedName name="_DAT12" localSheetId="8">#REF!</definedName>
    <definedName name="_DAT12" localSheetId="1">#REF!</definedName>
    <definedName name="_DAT12" localSheetId="0">#REF!</definedName>
    <definedName name="_DAT12" localSheetId="6">#REF!</definedName>
    <definedName name="_DAT12" localSheetId="7">#REF!</definedName>
    <definedName name="_DAT12" localSheetId="12">#REF!</definedName>
    <definedName name="_DAT12" localSheetId="17">#REF!</definedName>
    <definedName name="_DAT12" localSheetId="4">#REF!</definedName>
    <definedName name="_DAT12" localSheetId="13">#REF!</definedName>
    <definedName name="_DAT12" localSheetId="3">#REF!</definedName>
    <definedName name="_DAT12" localSheetId="9">#REF!</definedName>
    <definedName name="_DAT12" localSheetId="5">#REF!</definedName>
    <definedName name="_DAT12">#REF!</definedName>
    <definedName name="_DAT13" localSheetId="2">#REF!</definedName>
    <definedName name="_DAT13" localSheetId="14">#REF!</definedName>
    <definedName name="_DAT13" localSheetId="8">#REF!</definedName>
    <definedName name="_DAT13" localSheetId="1">#REF!</definedName>
    <definedName name="_DAT13" localSheetId="0">#REF!</definedName>
    <definedName name="_DAT13" localSheetId="6">#REF!</definedName>
    <definedName name="_DAT13" localSheetId="7">#REF!</definedName>
    <definedName name="_DAT13" localSheetId="12">#REF!</definedName>
    <definedName name="_DAT13" localSheetId="17">#REF!</definedName>
    <definedName name="_DAT13" localSheetId="4">#REF!</definedName>
    <definedName name="_DAT13" localSheetId="13">#REF!</definedName>
    <definedName name="_DAT13" localSheetId="3">#REF!</definedName>
    <definedName name="_DAT13" localSheetId="9">#REF!</definedName>
    <definedName name="_DAT13" localSheetId="5">#REF!</definedName>
    <definedName name="_DAT13">#REF!</definedName>
    <definedName name="_DAT2" localSheetId="2">#REF!</definedName>
    <definedName name="_DAT2" localSheetId="14">#REF!</definedName>
    <definedName name="_DAT2" localSheetId="8">#REF!</definedName>
    <definedName name="_DAT2" localSheetId="1">#REF!</definedName>
    <definedName name="_DAT2" localSheetId="0">#REF!</definedName>
    <definedName name="_DAT2" localSheetId="6">#REF!</definedName>
    <definedName name="_DAT2" localSheetId="7">#REF!</definedName>
    <definedName name="_DAT2" localSheetId="12">#REF!</definedName>
    <definedName name="_DAT2" localSheetId="17">#REF!</definedName>
    <definedName name="_DAT2" localSheetId="4">#REF!</definedName>
    <definedName name="_DAT2" localSheetId="13">#REF!</definedName>
    <definedName name="_DAT2" localSheetId="3">#REF!</definedName>
    <definedName name="_DAT2" localSheetId="9">#REF!</definedName>
    <definedName name="_DAT2" localSheetId="5">#REF!</definedName>
    <definedName name="_DAT2">#REF!</definedName>
    <definedName name="_DAT3" localSheetId="2">#REF!</definedName>
    <definedName name="_DAT3" localSheetId="14">#REF!</definedName>
    <definedName name="_DAT3" localSheetId="8">#REF!</definedName>
    <definedName name="_DAT3" localSheetId="1">#REF!</definedName>
    <definedName name="_DAT3" localSheetId="0">#REF!</definedName>
    <definedName name="_DAT3" localSheetId="6">#REF!</definedName>
    <definedName name="_DAT3" localSheetId="7">#REF!</definedName>
    <definedName name="_DAT3" localSheetId="12">#REF!</definedName>
    <definedName name="_DAT3" localSheetId="17">#REF!</definedName>
    <definedName name="_DAT3" localSheetId="4">#REF!</definedName>
    <definedName name="_DAT3" localSheetId="13">#REF!</definedName>
    <definedName name="_DAT3" localSheetId="3">#REF!</definedName>
    <definedName name="_DAT3" localSheetId="9">#REF!</definedName>
    <definedName name="_DAT3" localSheetId="5">#REF!</definedName>
    <definedName name="_DAT3">#REF!</definedName>
    <definedName name="_DAT4" localSheetId="2">#REF!</definedName>
    <definedName name="_DAT4" localSheetId="14">#REF!</definedName>
    <definedName name="_DAT4" localSheetId="8">#REF!</definedName>
    <definedName name="_DAT4" localSheetId="1">#REF!</definedName>
    <definedName name="_DAT4" localSheetId="0">#REF!</definedName>
    <definedName name="_DAT4" localSheetId="6">#REF!</definedName>
    <definedName name="_DAT4" localSheetId="7">#REF!</definedName>
    <definedName name="_DAT4" localSheetId="12">#REF!</definedName>
    <definedName name="_DAT4" localSheetId="17">#REF!</definedName>
    <definedName name="_DAT4" localSheetId="4">#REF!</definedName>
    <definedName name="_DAT4" localSheetId="13">#REF!</definedName>
    <definedName name="_DAT4" localSheetId="3">#REF!</definedName>
    <definedName name="_DAT4" localSheetId="9">#REF!</definedName>
    <definedName name="_DAT4" localSheetId="5">#REF!</definedName>
    <definedName name="_DAT4">#REF!</definedName>
    <definedName name="_DAT5" localSheetId="2">#REF!</definedName>
    <definedName name="_DAT5" localSheetId="14">#REF!</definedName>
    <definedName name="_DAT5" localSheetId="8">#REF!</definedName>
    <definedName name="_DAT5" localSheetId="1">#REF!</definedName>
    <definedName name="_DAT5" localSheetId="0">#REF!</definedName>
    <definedName name="_DAT5" localSheetId="6">#REF!</definedName>
    <definedName name="_DAT5" localSheetId="7">#REF!</definedName>
    <definedName name="_DAT5" localSheetId="12">#REF!</definedName>
    <definedName name="_DAT5" localSheetId="17">#REF!</definedName>
    <definedName name="_DAT5" localSheetId="4">#REF!</definedName>
    <definedName name="_DAT5" localSheetId="13">#REF!</definedName>
    <definedName name="_DAT5" localSheetId="3">#REF!</definedName>
    <definedName name="_DAT5" localSheetId="9">#REF!</definedName>
    <definedName name="_DAT5" localSheetId="5">#REF!</definedName>
    <definedName name="_DAT5">#REF!</definedName>
    <definedName name="_DAT6" localSheetId="2">#REF!</definedName>
    <definedName name="_DAT6" localSheetId="14">#REF!</definedName>
    <definedName name="_DAT6" localSheetId="8">#REF!</definedName>
    <definedName name="_DAT6" localSheetId="1">#REF!</definedName>
    <definedName name="_DAT6" localSheetId="0">#REF!</definedName>
    <definedName name="_DAT6" localSheetId="6">#REF!</definedName>
    <definedName name="_DAT6" localSheetId="7">#REF!</definedName>
    <definedName name="_DAT6" localSheetId="12">#REF!</definedName>
    <definedName name="_DAT6" localSheetId="17">#REF!</definedName>
    <definedName name="_DAT6" localSheetId="4">#REF!</definedName>
    <definedName name="_DAT6" localSheetId="13">#REF!</definedName>
    <definedName name="_DAT6" localSheetId="3">#REF!</definedName>
    <definedName name="_DAT6" localSheetId="9">#REF!</definedName>
    <definedName name="_DAT6" localSheetId="5">#REF!</definedName>
    <definedName name="_DAT6">#REF!</definedName>
    <definedName name="_DAT7" localSheetId="2">#REF!</definedName>
    <definedName name="_DAT7" localSheetId="14">#REF!</definedName>
    <definedName name="_DAT7" localSheetId="8">#REF!</definedName>
    <definedName name="_DAT7" localSheetId="1">#REF!</definedName>
    <definedName name="_DAT7" localSheetId="0">#REF!</definedName>
    <definedName name="_DAT7" localSheetId="6">#REF!</definedName>
    <definedName name="_DAT7" localSheetId="7">#REF!</definedName>
    <definedName name="_DAT7" localSheetId="12">#REF!</definedName>
    <definedName name="_DAT7" localSheetId="17">#REF!</definedName>
    <definedName name="_DAT7" localSheetId="4">#REF!</definedName>
    <definedName name="_DAT7" localSheetId="13">#REF!</definedName>
    <definedName name="_DAT7" localSheetId="3">#REF!</definedName>
    <definedName name="_DAT7" localSheetId="9">#REF!</definedName>
    <definedName name="_DAT7" localSheetId="5">#REF!</definedName>
    <definedName name="_DAT7">#REF!</definedName>
    <definedName name="_DAT8" localSheetId="2">#REF!</definedName>
    <definedName name="_DAT8" localSheetId="14">#REF!</definedName>
    <definedName name="_DAT8" localSheetId="8">#REF!</definedName>
    <definedName name="_DAT8" localSheetId="1">#REF!</definedName>
    <definedName name="_DAT8" localSheetId="0">#REF!</definedName>
    <definedName name="_DAT8" localSheetId="6">#REF!</definedName>
    <definedName name="_DAT8" localSheetId="7">#REF!</definedName>
    <definedName name="_DAT8" localSheetId="12">#REF!</definedName>
    <definedName name="_DAT8" localSheetId="17">#REF!</definedName>
    <definedName name="_DAT8" localSheetId="4">#REF!</definedName>
    <definedName name="_DAT8" localSheetId="13">#REF!</definedName>
    <definedName name="_DAT8" localSheetId="3">#REF!</definedName>
    <definedName name="_DAT8" localSheetId="9">#REF!</definedName>
    <definedName name="_DAT8" localSheetId="5">#REF!</definedName>
    <definedName name="_DAT8">#REF!</definedName>
    <definedName name="_DAT9" localSheetId="2">#REF!</definedName>
    <definedName name="_DAT9" localSheetId="14">#REF!</definedName>
    <definedName name="_DAT9" localSheetId="8">#REF!</definedName>
    <definedName name="_DAT9" localSheetId="1">#REF!</definedName>
    <definedName name="_DAT9" localSheetId="0">#REF!</definedName>
    <definedName name="_DAT9" localSheetId="6">#REF!</definedName>
    <definedName name="_DAT9" localSheetId="7">#REF!</definedName>
    <definedName name="_DAT9" localSheetId="12">#REF!</definedName>
    <definedName name="_DAT9" localSheetId="17">#REF!</definedName>
    <definedName name="_DAT9" localSheetId="4">#REF!</definedName>
    <definedName name="_DAT9" localSheetId="13">#REF!</definedName>
    <definedName name="_DAT9" localSheetId="3">#REF!</definedName>
    <definedName name="_DAT9" localSheetId="9">#REF!</definedName>
    <definedName name="_DAT9" localSheetId="5">#REF!</definedName>
    <definedName name="_DAT9">#REF!</definedName>
    <definedName name="dfdfd" localSheetId="2">#REF!</definedName>
    <definedName name="dfdfd" localSheetId="14">#REF!</definedName>
    <definedName name="dfdfd" localSheetId="8">#REF!</definedName>
    <definedName name="dfdfd" localSheetId="1">#REF!</definedName>
    <definedName name="dfdfd" localSheetId="0">#REF!</definedName>
    <definedName name="dfdfd" localSheetId="6">#REF!</definedName>
    <definedName name="dfdfd" localSheetId="7">#REF!</definedName>
    <definedName name="dfdfd" localSheetId="12">#REF!</definedName>
    <definedName name="dfdfd" localSheetId="17">#REF!</definedName>
    <definedName name="dfdfd" localSheetId="4">#REF!</definedName>
    <definedName name="dfdfd" localSheetId="13">#REF!</definedName>
    <definedName name="dfdfd" localSheetId="3">#REF!</definedName>
    <definedName name="dfdfd" localSheetId="9">#REF!</definedName>
    <definedName name="dfdfd" localSheetId="5">#REF!</definedName>
    <definedName name="dfdfd">#REF!</definedName>
    <definedName name="New" localSheetId="2">#REF!</definedName>
    <definedName name="New" localSheetId="14">#REF!</definedName>
    <definedName name="New" localSheetId="8">#REF!</definedName>
    <definedName name="New" localSheetId="1">#REF!</definedName>
    <definedName name="New" localSheetId="0">#REF!</definedName>
    <definedName name="New" localSheetId="6">#REF!</definedName>
    <definedName name="New" localSheetId="7">#REF!</definedName>
    <definedName name="New" localSheetId="12">#REF!</definedName>
    <definedName name="New" localSheetId="17">#REF!</definedName>
    <definedName name="New" localSheetId="4">#REF!</definedName>
    <definedName name="New" localSheetId="13">#REF!</definedName>
    <definedName name="New" localSheetId="3">#REF!</definedName>
    <definedName name="New" localSheetId="9">#REF!</definedName>
    <definedName name="New" localSheetId="5">#REF!</definedName>
    <definedName name="New">#REF!</definedName>
    <definedName name="_xlnm.Print_Area" localSheetId="14">RTK!$A$1:$S$114</definedName>
    <definedName name="_xlnm.Print_Area" localSheetId="8">เกษตรอินทรีย์!$A$1:$AA$114</definedName>
    <definedName name="_xlnm.Print_Area" localSheetId="7">จัดที่ดิน!$A$1:$BF$119</definedName>
    <definedName name="_xlnm.Print_Area" localSheetId="11">ธุรกิจชุมชน!$A$1:$T$114</definedName>
    <definedName name="_xlnm.Print_Area" localSheetId="13">พัฒนาผู้แทนฯ!$A$1:$K$114</definedName>
    <definedName name="_xlnm.Print_Area" localSheetId="9">วนเกษตร!$A$1:$P$114</definedName>
    <definedName name="_xlnm.Print_Area" localSheetId="15">'ศูนย์บริการ ปชช.'!$A$1:$O$114</definedName>
    <definedName name="_xlnm.Print_Titles" localSheetId="2">GAP!$1:$8</definedName>
    <definedName name="_xlnm.Print_Titles" localSheetId="14">RTK!$1:$8</definedName>
    <definedName name="_xlnm.Print_Titles" localSheetId="8">เกษตรอินทรีย์!$1:$8</definedName>
    <definedName name="_xlnm.Print_Titles" localSheetId="1">แปรรูปสมุนไพร!$1:$8</definedName>
    <definedName name="_xlnm.Print_Titles" localSheetId="0">แปลงใหญ่!$1:$8</definedName>
    <definedName name="_xlnm.Print_Titles" localSheetId="6">'กษ.รุ่นใหม่+SF'!$A:$B,'กษ.รุ่นใหม่+SF'!$1:$8</definedName>
    <definedName name="_xlnm.Print_Titles" localSheetId="7">จัดที่ดิน!$A:$B,จัดที่ดิน!$1:$8</definedName>
    <definedName name="_xlnm.Print_Titles" localSheetId="12">ตรวจสอบที่ดิน!$A:$B,ตรวจสอบที่ดิน!$1:$8</definedName>
    <definedName name="_xlnm.Print_Titles" localSheetId="10">ทฤษฎีใหม่!$A:$B,ทฤษฎีใหม่!$1:$8</definedName>
    <definedName name="_xlnm.Print_Titles" localSheetId="17">ที่ดินเอกชน!$1:$8</definedName>
    <definedName name="_xlnm.Print_Titles" localSheetId="16">ที่ดินชุมชน!$1:$8</definedName>
    <definedName name="_xlnm.Print_Titles" localSheetId="11">ธุรกิจชุมชน!$1:$8</definedName>
    <definedName name="_xlnm.Print_Titles" localSheetId="4">พระราชดำริ!$A:$B,พระราชดำริ!$1:$8</definedName>
    <definedName name="_xlnm.Print_Titles" localSheetId="13">พัฒนาผู้แทนฯ!$1:$8</definedName>
    <definedName name="_xlnm.Print_Titles" localSheetId="3">'ยกระดับรายได้+แปลงรวม'!$A:$B,'ยกระดับรายได้+แปลงรวม'!$1:$8</definedName>
    <definedName name="_xlnm.Print_Titles" localSheetId="9">วนเกษตร!$1:$8</definedName>
    <definedName name="_xlnm.Print_Titles" localSheetId="5">ศิลปหัตถกรรม!$1:$8</definedName>
    <definedName name="_xlnm.Print_Titles" localSheetId="15">'ศูนย์บริการ ปชช.'!$1:$8</definedName>
    <definedName name="TEST1" localSheetId="2">#REF!</definedName>
    <definedName name="TEST1" localSheetId="14">#REF!</definedName>
    <definedName name="TEST1" localSheetId="8">#REF!</definedName>
    <definedName name="TEST1" localSheetId="1">#REF!</definedName>
    <definedName name="TEST1" localSheetId="0">#REF!</definedName>
    <definedName name="TEST1" localSheetId="6">#REF!</definedName>
    <definedName name="TEST1" localSheetId="7">#REF!</definedName>
    <definedName name="TEST1" localSheetId="12">#REF!</definedName>
    <definedName name="TEST1" localSheetId="17">#REF!</definedName>
    <definedName name="TEST1" localSheetId="4">#REF!</definedName>
    <definedName name="TEST1" localSheetId="13">#REF!</definedName>
    <definedName name="TEST1" localSheetId="3">#REF!</definedName>
    <definedName name="TEST1" localSheetId="9">#REF!</definedName>
    <definedName name="TEST1" localSheetId="5">#REF!</definedName>
    <definedName name="TEST1">#REF!</definedName>
    <definedName name="TEST2" localSheetId="2">#REF!</definedName>
    <definedName name="TEST2" localSheetId="14">#REF!</definedName>
    <definedName name="TEST2" localSheetId="8">#REF!</definedName>
    <definedName name="TEST2" localSheetId="1">#REF!</definedName>
    <definedName name="TEST2" localSheetId="0">#REF!</definedName>
    <definedName name="TEST2" localSheetId="6">#REF!</definedName>
    <definedName name="TEST2" localSheetId="7">#REF!</definedName>
    <definedName name="TEST2" localSheetId="12">#REF!</definedName>
    <definedName name="TEST2" localSheetId="17">#REF!</definedName>
    <definedName name="TEST2" localSheetId="4">#REF!</definedName>
    <definedName name="TEST2" localSheetId="13">#REF!</definedName>
    <definedName name="TEST2" localSheetId="3">#REF!</definedName>
    <definedName name="TEST2" localSheetId="9">#REF!</definedName>
    <definedName name="TEST2" localSheetId="5">#REF!</definedName>
    <definedName name="TEST2">#REF!</definedName>
    <definedName name="TESTHKEY" localSheetId="2">#REF!</definedName>
    <definedName name="TESTHKEY" localSheetId="14">#REF!</definedName>
    <definedName name="TESTHKEY" localSheetId="8">#REF!</definedName>
    <definedName name="TESTHKEY" localSheetId="1">#REF!</definedName>
    <definedName name="TESTHKEY" localSheetId="0">#REF!</definedName>
    <definedName name="TESTHKEY" localSheetId="6">#REF!</definedName>
    <definedName name="TESTHKEY" localSheetId="7">#REF!</definedName>
    <definedName name="TESTHKEY" localSheetId="12">#REF!</definedName>
    <definedName name="TESTHKEY" localSheetId="17">#REF!</definedName>
    <definedName name="TESTHKEY" localSheetId="4">#REF!</definedName>
    <definedName name="TESTHKEY" localSheetId="13">#REF!</definedName>
    <definedName name="TESTHKEY" localSheetId="3">#REF!</definedName>
    <definedName name="TESTHKEY" localSheetId="9">#REF!</definedName>
    <definedName name="TESTHKEY" localSheetId="5">#REF!</definedName>
    <definedName name="TESTHKEY">#REF!</definedName>
    <definedName name="TESTKEYS" localSheetId="2">#REF!</definedName>
    <definedName name="TESTKEYS" localSheetId="14">#REF!</definedName>
    <definedName name="TESTKEYS" localSheetId="8">#REF!</definedName>
    <definedName name="TESTKEYS" localSheetId="1">#REF!</definedName>
    <definedName name="TESTKEYS" localSheetId="0">#REF!</definedName>
    <definedName name="TESTKEYS" localSheetId="6">#REF!</definedName>
    <definedName name="TESTKEYS" localSheetId="7">#REF!</definedName>
    <definedName name="TESTKEYS" localSheetId="12">#REF!</definedName>
    <definedName name="TESTKEYS" localSheetId="17">#REF!</definedName>
    <definedName name="TESTKEYS" localSheetId="4">#REF!</definedName>
    <definedName name="TESTKEYS" localSheetId="13">#REF!</definedName>
    <definedName name="TESTKEYS" localSheetId="3">#REF!</definedName>
    <definedName name="TESTKEYS" localSheetId="9">#REF!</definedName>
    <definedName name="TESTKEYS" localSheetId="5">#REF!</definedName>
    <definedName name="TESTKEYS">#REF!</definedName>
    <definedName name="TESTVKEY" localSheetId="2">#REF!</definedName>
    <definedName name="TESTVKEY" localSheetId="14">#REF!</definedName>
    <definedName name="TESTVKEY" localSheetId="8">#REF!</definedName>
    <definedName name="TESTVKEY" localSheetId="1">#REF!</definedName>
    <definedName name="TESTVKEY" localSheetId="0">#REF!</definedName>
    <definedName name="TESTVKEY" localSheetId="6">#REF!</definedName>
    <definedName name="TESTVKEY" localSheetId="7">#REF!</definedName>
    <definedName name="TESTVKEY" localSheetId="12">#REF!</definedName>
    <definedName name="TESTVKEY" localSheetId="17">#REF!</definedName>
    <definedName name="TESTVKEY" localSheetId="4">#REF!</definedName>
    <definedName name="TESTVKEY" localSheetId="13">#REF!</definedName>
    <definedName name="TESTVKEY" localSheetId="3">#REF!</definedName>
    <definedName name="TESTVKEY" localSheetId="9">#REF!</definedName>
    <definedName name="TESTVKEY" localSheetId="5">#REF!</definedName>
    <definedName name="TESTVKE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Y114" i="18" l="1"/>
  <c r="U114" i="18"/>
  <c r="J114" i="18"/>
  <c r="I114" i="18"/>
  <c r="E114" i="18"/>
  <c r="D114" i="18"/>
  <c r="Y113" i="18"/>
  <c r="U113" i="18"/>
  <c r="J113" i="18"/>
  <c r="I113" i="18"/>
  <c r="E113" i="18"/>
  <c r="D113" i="18"/>
  <c r="Y112" i="18"/>
  <c r="U112" i="18"/>
  <c r="J112" i="18"/>
  <c r="I112" i="18"/>
  <c r="E112" i="18"/>
  <c r="D112" i="18"/>
  <c r="Y111" i="18"/>
  <c r="U111" i="18"/>
  <c r="J111" i="18"/>
  <c r="I111" i="18"/>
  <c r="E111" i="18"/>
  <c r="D111" i="18"/>
  <c r="Y110" i="18"/>
  <c r="U110" i="18"/>
  <c r="J110" i="18"/>
  <c r="I110" i="18"/>
  <c r="E110" i="18"/>
  <c r="D110" i="18"/>
  <c r="A110" i="18"/>
  <c r="A111" i="18" s="1"/>
  <c r="A112" i="18" s="1"/>
  <c r="Y109" i="18"/>
  <c r="U109" i="18"/>
  <c r="J109" i="18"/>
  <c r="I109" i="18"/>
  <c r="E109" i="18"/>
  <c r="D109" i="18"/>
  <c r="Y108" i="18"/>
  <c r="U108" i="18"/>
  <c r="J108" i="18"/>
  <c r="I108" i="18"/>
  <c r="E108" i="18"/>
  <c r="D108" i="18"/>
  <c r="Y107" i="18"/>
  <c r="U107" i="18"/>
  <c r="U106" i="18" s="1"/>
  <c r="U13" i="18" s="1"/>
  <c r="J107" i="18"/>
  <c r="I107" i="18"/>
  <c r="E107" i="18"/>
  <c r="D107" i="18"/>
  <c r="AD106" i="18"/>
  <c r="AC106" i="18"/>
  <c r="AB106" i="18"/>
  <c r="AA106" i="18"/>
  <c r="X106" i="18"/>
  <c r="W106" i="18"/>
  <c r="S106" i="18"/>
  <c r="Q106" i="18"/>
  <c r="Q13" i="18" s="1"/>
  <c r="O106" i="18"/>
  <c r="M106" i="18"/>
  <c r="K106" i="18"/>
  <c r="F106" i="18"/>
  <c r="Y105" i="18"/>
  <c r="U105" i="18"/>
  <c r="J105" i="18"/>
  <c r="I105" i="18"/>
  <c r="E105" i="18"/>
  <c r="D105" i="18"/>
  <c r="Y104" i="18"/>
  <c r="U104" i="18"/>
  <c r="J104" i="18"/>
  <c r="I104" i="18"/>
  <c r="E104" i="18"/>
  <c r="D104" i="18"/>
  <c r="Y103" i="18"/>
  <c r="U103" i="18"/>
  <c r="J103" i="18"/>
  <c r="I103" i="18"/>
  <c r="E103" i="18"/>
  <c r="D103" i="18"/>
  <c r="Y102" i="18"/>
  <c r="U102" i="18"/>
  <c r="J102" i="18"/>
  <c r="I102" i="18"/>
  <c r="E102" i="18"/>
  <c r="D102" i="18"/>
  <c r="Y101" i="18"/>
  <c r="U101" i="18"/>
  <c r="J101" i="18"/>
  <c r="I101" i="18"/>
  <c r="E101" i="18"/>
  <c r="D101" i="18"/>
  <c r="Y100" i="18"/>
  <c r="U100" i="18"/>
  <c r="J100" i="18"/>
  <c r="I100" i="18"/>
  <c r="E100" i="18"/>
  <c r="D100" i="18"/>
  <c r="Y99" i="18"/>
  <c r="U99" i="18"/>
  <c r="J99" i="18"/>
  <c r="I99" i="18"/>
  <c r="E99" i="18"/>
  <c r="D99" i="18"/>
  <c r="Y98" i="18"/>
  <c r="U98" i="18"/>
  <c r="J98" i="18"/>
  <c r="I98" i="18"/>
  <c r="E98" i="18"/>
  <c r="D98" i="18"/>
  <c r="Y97" i="18"/>
  <c r="U97" i="18"/>
  <c r="J97" i="18"/>
  <c r="I97" i="18"/>
  <c r="F97" i="18"/>
  <c r="F91" i="18" s="1"/>
  <c r="F12" i="18" s="1"/>
  <c r="F11" i="18" s="1"/>
  <c r="E97" i="18"/>
  <c r="D97" i="18"/>
  <c r="Y96" i="18"/>
  <c r="U96" i="18"/>
  <c r="J96" i="18"/>
  <c r="I96" i="18"/>
  <c r="E96" i="18"/>
  <c r="D96" i="18"/>
  <c r="Y95" i="18"/>
  <c r="U95" i="18"/>
  <c r="J95" i="18"/>
  <c r="I95" i="18"/>
  <c r="E95" i="18"/>
  <c r="D95" i="18"/>
  <c r="A95" i="18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Y94" i="18"/>
  <c r="U94" i="18"/>
  <c r="J94" i="18"/>
  <c r="I94" i="18"/>
  <c r="E94" i="18"/>
  <c r="D94" i="18"/>
  <c r="Y93" i="18"/>
  <c r="U93" i="18"/>
  <c r="J93" i="18"/>
  <c r="I93" i="18"/>
  <c r="E93" i="18"/>
  <c r="D93" i="18"/>
  <c r="Y92" i="18"/>
  <c r="U92" i="18"/>
  <c r="J92" i="18"/>
  <c r="I92" i="18"/>
  <c r="E92" i="18"/>
  <c r="D92" i="18"/>
  <c r="AD91" i="18"/>
  <c r="AC91" i="18"/>
  <c r="AB91" i="18"/>
  <c r="AA91" i="18"/>
  <c r="X91" i="18"/>
  <c r="X12" i="18" s="1"/>
  <c r="X11" i="18" s="1"/>
  <c r="W91" i="18"/>
  <c r="S91" i="18"/>
  <c r="Q91" i="18"/>
  <c r="O91" i="18"/>
  <c r="M91" i="18"/>
  <c r="K91" i="18"/>
  <c r="AD90" i="18"/>
  <c r="AC90" i="18"/>
  <c r="AB90" i="18"/>
  <c r="AA90" i="18"/>
  <c r="X90" i="18"/>
  <c r="W90" i="18"/>
  <c r="S90" i="18"/>
  <c r="Q90" i="18"/>
  <c r="O90" i="18"/>
  <c r="M90" i="18"/>
  <c r="K90" i="18"/>
  <c r="J90" i="18"/>
  <c r="I90" i="18"/>
  <c r="F90" i="18"/>
  <c r="E90" i="18"/>
  <c r="D90" i="18"/>
  <c r="AD89" i="18"/>
  <c r="AC89" i="18"/>
  <c r="AB89" i="18"/>
  <c r="AA89" i="18"/>
  <c r="X89" i="18"/>
  <c r="W89" i="18"/>
  <c r="S89" i="18"/>
  <c r="Q89" i="18"/>
  <c r="O89" i="18"/>
  <c r="M89" i="18"/>
  <c r="K89" i="18"/>
  <c r="J89" i="18"/>
  <c r="I89" i="18"/>
  <c r="F89" i="18"/>
  <c r="E89" i="18"/>
  <c r="D89" i="18"/>
  <c r="AD88" i="18"/>
  <c r="AC88" i="18"/>
  <c r="AB88" i="18"/>
  <c r="AA88" i="18"/>
  <c r="X88" i="18"/>
  <c r="W88" i="18"/>
  <c r="S88" i="18"/>
  <c r="Q88" i="18"/>
  <c r="O88" i="18"/>
  <c r="M88" i="18"/>
  <c r="K88" i="18"/>
  <c r="J88" i="18"/>
  <c r="I88" i="18"/>
  <c r="F88" i="18"/>
  <c r="E88" i="18"/>
  <c r="D88" i="18"/>
  <c r="AD87" i="18"/>
  <c r="AC87" i="18"/>
  <c r="AB87" i="18"/>
  <c r="AA87" i="18"/>
  <c r="X87" i="18"/>
  <c r="W87" i="18"/>
  <c r="S87" i="18"/>
  <c r="Q87" i="18"/>
  <c r="O87" i="18"/>
  <c r="M87" i="18"/>
  <c r="K87" i="18"/>
  <c r="J87" i="18"/>
  <c r="I87" i="18"/>
  <c r="F87" i="18"/>
  <c r="E87" i="18"/>
  <c r="D87" i="18"/>
  <c r="AD86" i="18"/>
  <c r="AC86" i="18"/>
  <c r="AB86" i="18"/>
  <c r="AA86" i="18"/>
  <c r="X86" i="18"/>
  <c r="W86" i="18"/>
  <c r="S86" i="18"/>
  <c r="Q86" i="18"/>
  <c r="O86" i="18"/>
  <c r="M86" i="18"/>
  <c r="K86" i="18"/>
  <c r="J86" i="18"/>
  <c r="I86" i="18"/>
  <c r="F86" i="18"/>
  <c r="E86" i="18"/>
  <c r="D86" i="18"/>
  <c r="AD85" i="18"/>
  <c r="AC85" i="18"/>
  <c r="AB85" i="18"/>
  <c r="AA85" i="18"/>
  <c r="X85" i="18"/>
  <c r="W85" i="18"/>
  <c r="S85" i="18"/>
  <c r="Q85" i="18"/>
  <c r="O85" i="18"/>
  <c r="M85" i="18"/>
  <c r="K85" i="18"/>
  <c r="J85" i="18"/>
  <c r="I85" i="18"/>
  <c r="F85" i="18"/>
  <c r="E85" i="18"/>
  <c r="D85" i="18"/>
  <c r="AD84" i="18"/>
  <c r="AC84" i="18"/>
  <c r="AB84" i="18"/>
  <c r="AA84" i="18"/>
  <c r="X84" i="18"/>
  <c r="W84" i="18"/>
  <c r="S84" i="18"/>
  <c r="Q84" i="18"/>
  <c r="O84" i="18"/>
  <c r="M84" i="18"/>
  <c r="K84" i="18"/>
  <c r="J84" i="18"/>
  <c r="I84" i="18"/>
  <c r="F84" i="18"/>
  <c r="E84" i="18"/>
  <c r="D84" i="18"/>
  <c r="AD83" i="18"/>
  <c r="AC83" i="18"/>
  <c r="AB83" i="18"/>
  <c r="AA83" i="18"/>
  <c r="X83" i="18"/>
  <c r="W83" i="18"/>
  <c r="S83" i="18"/>
  <c r="Q83" i="18"/>
  <c r="O83" i="18"/>
  <c r="M83" i="18"/>
  <c r="K83" i="18"/>
  <c r="J83" i="18"/>
  <c r="I83" i="18"/>
  <c r="F83" i="18"/>
  <c r="E83" i="18"/>
  <c r="D83" i="18"/>
  <c r="AD82" i="18"/>
  <c r="AC82" i="18"/>
  <c r="AB82" i="18"/>
  <c r="AA82" i="18"/>
  <c r="X82" i="18"/>
  <c r="W82" i="18"/>
  <c r="S82" i="18"/>
  <c r="Q82" i="18"/>
  <c r="O82" i="18"/>
  <c r="M82" i="18"/>
  <c r="K82" i="18"/>
  <c r="J82" i="18"/>
  <c r="I82" i="18"/>
  <c r="F82" i="18"/>
  <c r="E82" i="18"/>
  <c r="D82" i="18"/>
  <c r="AD81" i="18"/>
  <c r="AC81" i="18"/>
  <c r="AB81" i="18"/>
  <c r="AA81" i="18"/>
  <c r="X81" i="18"/>
  <c r="W81" i="18"/>
  <c r="S81" i="18"/>
  <c r="Q81" i="18"/>
  <c r="O81" i="18"/>
  <c r="M81" i="18"/>
  <c r="K81" i="18"/>
  <c r="J81" i="18"/>
  <c r="I81" i="18"/>
  <c r="F81" i="18"/>
  <c r="E81" i="18"/>
  <c r="D81" i="18"/>
  <c r="AD80" i="18"/>
  <c r="AC80" i="18"/>
  <c r="AB80" i="18"/>
  <c r="AA80" i="18"/>
  <c r="X80" i="18"/>
  <c r="W80" i="18"/>
  <c r="S80" i="18"/>
  <c r="Q80" i="18"/>
  <c r="O80" i="18"/>
  <c r="M80" i="18"/>
  <c r="K80" i="18"/>
  <c r="J80" i="18"/>
  <c r="I80" i="18"/>
  <c r="F80" i="18"/>
  <c r="E80" i="18"/>
  <c r="D80" i="18"/>
  <c r="AD79" i="18"/>
  <c r="AC79" i="18"/>
  <c r="AB79" i="18"/>
  <c r="AA79" i="18"/>
  <c r="X79" i="18"/>
  <c r="W79" i="18"/>
  <c r="S79" i="18"/>
  <c r="Q79" i="18"/>
  <c r="O79" i="18"/>
  <c r="M79" i="18"/>
  <c r="K79" i="18"/>
  <c r="J79" i="18"/>
  <c r="I79" i="18"/>
  <c r="F79" i="18"/>
  <c r="E79" i="18"/>
  <c r="D79" i="18"/>
  <c r="AD78" i="18"/>
  <c r="AC78" i="18"/>
  <c r="AB78" i="18"/>
  <c r="AA78" i="18"/>
  <c r="X78" i="18"/>
  <c r="W78" i="18"/>
  <c r="S78" i="18"/>
  <c r="Q78" i="18"/>
  <c r="O78" i="18"/>
  <c r="M78" i="18"/>
  <c r="K78" i="18"/>
  <c r="J78" i="18"/>
  <c r="I78" i="18"/>
  <c r="F78" i="18"/>
  <c r="E78" i="18"/>
  <c r="D78" i="18"/>
  <c r="AD77" i="18"/>
  <c r="AC77" i="18"/>
  <c r="AB77" i="18"/>
  <c r="AA77" i="18"/>
  <c r="X77" i="18"/>
  <c r="W77" i="18"/>
  <c r="S77" i="18"/>
  <c r="Q77" i="18"/>
  <c r="O77" i="18"/>
  <c r="M77" i="18"/>
  <c r="K77" i="18"/>
  <c r="J77" i="18"/>
  <c r="I77" i="18"/>
  <c r="F77" i="18"/>
  <c r="E77" i="18"/>
  <c r="D77" i="18"/>
  <c r="AD75" i="18"/>
  <c r="AC75" i="18"/>
  <c r="AB75" i="18"/>
  <c r="AA75" i="18"/>
  <c r="X75" i="18"/>
  <c r="W75" i="18"/>
  <c r="S75" i="18"/>
  <c r="Q75" i="18"/>
  <c r="O75" i="18"/>
  <c r="M75" i="18"/>
  <c r="K75" i="18"/>
  <c r="J75" i="18"/>
  <c r="I75" i="18"/>
  <c r="F75" i="18"/>
  <c r="E75" i="18"/>
  <c r="D75" i="18"/>
  <c r="AD74" i="18"/>
  <c r="AC74" i="18"/>
  <c r="AB74" i="18"/>
  <c r="AA74" i="18"/>
  <c r="X74" i="18"/>
  <c r="W74" i="18"/>
  <c r="S74" i="18"/>
  <c r="Q74" i="18"/>
  <c r="O74" i="18"/>
  <c r="M74" i="18"/>
  <c r="K74" i="18"/>
  <c r="J74" i="18"/>
  <c r="I74" i="18"/>
  <c r="F74" i="18"/>
  <c r="E74" i="18"/>
  <c r="D74" i="18"/>
  <c r="AD73" i="18"/>
  <c r="AC73" i="18"/>
  <c r="AB73" i="18"/>
  <c r="AA73" i="18"/>
  <c r="X73" i="18"/>
  <c r="W73" i="18"/>
  <c r="S73" i="18"/>
  <c r="Q73" i="18"/>
  <c r="O73" i="18"/>
  <c r="M73" i="18"/>
  <c r="K73" i="18"/>
  <c r="J73" i="18"/>
  <c r="I73" i="18"/>
  <c r="F73" i="18"/>
  <c r="E73" i="18"/>
  <c r="D73" i="18"/>
  <c r="AD72" i="18"/>
  <c r="AC72" i="18"/>
  <c r="AB72" i="18"/>
  <c r="AA72" i="18"/>
  <c r="X72" i="18"/>
  <c r="W72" i="18"/>
  <c r="S72" i="18"/>
  <c r="Q72" i="18"/>
  <c r="O72" i="18"/>
  <c r="M72" i="18"/>
  <c r="K72" i="18"/>
  <c r="J72" i="18"/>
  <c r="I72" i="18"/>
  <c r="F72" i="18"/>
  <c r="E72" i="18"/>
  <c r="D72" i="18"/>
  <c r="AD71" i="18"/>
  <c r="AC71" i="18"/>
  <c r="AB71" i="18"/>
  <c r="AA71" i="18"/>
  <c r="X71" i="18"/>
  <c r="W71" i="18"/>
  <c r="S71" i="18"/>
  <c r="Q71" i="18"/>
  <c r="O71" i="18"/>
  <c r="M71" i="18"/>
  <c r="K71" i="18"/>
  <c r="J71" i="18"/>
  <c r="I71" i="18"/>
  <c r="F71" i="18"/>
  <c r="E71" i="18"/>
  <c r="D71" i="18"/>
  <c r="AD70" i="18"/>
  <c r="AC70" i="18"/>
  <c r="AB70" i="18"/>
  <c r="AA70" i="18"/>
  <c r="X70" i="18"/>
  <c r="W70" i="18"/>
  <c r="S70" i="18"/>
  <c r="Q70" i="18"/>
  <c r="O70" i="18"/>
  <c r="M70" i="18"/>
  <c r="K70" i="18"/>
  <c r="J70" i="18"/>
  <c r="I70" i="18"/>
  <c r="F70" i="18"/>
  <c r="E70" i="18"/>
  <c r="D70" i="18"/>
  <c r="AD69" i="18"/>
  <c r="AC69" i="18"/>
  <c r="AB69" i="18"/>
  <c r="AA69" i="18"/>
  <c r="X69" i="18"/>
  <c r="W69" i="18"/>
  <c r="S69" i="18"/>
  <c r="Q69" i="18"/>
  <c r="O69" i="18"/>
  <c r="M69" i="18"/>
  <c r="K69" i="18"/>
  <c r="J69" i="18"/>
  <c r="I69" i="18"/>
  <c r="F69" i="18"/>
  <c r="E69" i="18"/>
  <c r="D69" i="18"/>
  <c r="AD68" i="18"/>
  <c r="AC68" i="18"/>
  <c r="AB68" i="18"/>
  <c r="AA68" i="18"/>
  <c r="X68" i="18"/>
  <c r="W68" i="18"/>
  <c r="S68" i="18"/>
  <c r="Q68" i="18"/>
  <c r="O68" i="18"/>
  <c r="M68" i="18"/>
  <c r="K68" i="18"/>
  <c r="J68" i="18"/>
  <c r="I68" i="18"/>
  <c r="F68" i="18"/>
  <c r="E68" i="18"/>
  <c r="D68" i="18"/>
  <c r="AD67" i="18"/>
  <c r="AC67" i="18"/>
  <c r="AB67" i="18"/>
  <c r="AA67" i="18"/>
  <c r="X67" i="18"/>
  <c r="W67" i="18"/>
  <c r="S67" i="18"/>
  <c r="Q67" i="18"/>
  <c r="O67" i="18"/>
  <c r="M67" i="18"/>
  <c r="K67" i="18"/>
  <c r="J67" i="18"/>
  <c r="I67" i="18"/>
  <c r="F67" i="18"/>
  <c r="E67" i="18"/>
  <c r="D67" i="18"/>
  <c r="AD66" i="18"/>
  <c r="AC66" i="18"/>
  <c r="AB66" i="18"/>
  <c r="AA66" i="18"/>
  <c r="X66" i="18"/>
  <c r="W66" i="18"/>
  <c r="S66" i="18"/>
  <c r="Q66" i="18"/>
  <c r="O66" i="18"/>
  <c r="M66" i="18"/>
  <c r="K66" i="18"/>
  <c r="J66" i="18"/>
  <c r="I66" i="18"/>
  <c r="F66" i="18"/>
  <c r="E66" i="18"/>
  <c r="D66" i="18"/>
  <c r="AD65" i="18"/>
  <c r="AC65" i="18"/>
  <c r="AB65" i="18"/>
  <c r="AA65" i="18"/>
  <c r="X65" i="18"/>
  <c r="W65" i="18"/>
  <c r="S65" i="18"/>
  <c r="Q65" i="18"/>
  <c r="O65" i="18"/>
  <c r="M65" i="18"/>
  <c r="K65" i="18"/>
  <c r="J65" i="18"/>
  <c r="I65" i="18"/>
  <c r="F65" i="18"/>
  <c r="E65" i="18"/>
  <c r="D65" i="18"/>
  <c r="AD64" i="18"/>
  <c r="AC64" i="18"/>
  <c r="AB64" i="18"/>
  <c r="AA64" i="18"/>
  <c r="X64" i="18"/>
  <c r="W64" i="18"/>
  <c r="S64" i="18"/>
  <c r="Q64" i="18"/>
  <c r="O64" i="18"/>
  <c r="M64" i="18"/>
  <c r="K64" i="18"/>
  <c r="J64" i="18"/>
  <c r="I64" i="18"/>
  <c r="F64" i="18"/>
  <c r="E64" i="18"/>
  <c r="D64" i="18"/>
  <c r="AD63" i="18"/>
  <c r="AC63" i="18"/>
  <c r="AB63" i="18"/>
  <c r="AA63" i="18"/>
  <c r="X63" i="18"/>
  <c r="W63" i="18"/>
  <c r="S63" i="18"/>
  <c r="Q63" i="18"/>
  <c r="O63" i="18"/>
  <c r="M63" i="18"/>
  <c r="K63" i="18"/>
  <c r="J63" i="18"/>
  <c r="I63" i="18"/>
  <c r="F63" i="18"/>
  <c r="E63" i="18"/>
  <c r="D63" i="18"/>
  <c r="AD62" i="18"/>
  <c r="AC62" i="18"/>
  <c r="AB62" i="18"/>
  <c r="AA62" i="18"/>
  <c r="X62" i="18"/>
  <c r="W62" i="18"/>
  <c r="S62" i="18"/>
  <c r="Q62" i="18"/>
  <c r="O62" i="18"/>
  <c r="M62" i="18"/>
  <c r="K62" i="18"/>
  <c r="J62" i="18"/>
  <c r="I62" i="18"/>
  <c r="F62" i="18"/>
  <c r="E62" i="18"/>
  <c r="D62" i="18"/>
  <c r="AD61" i="18"/>
  <c r="AC61" i="18"/>
  <c r="AB61" i="18"/>
  <c r="AA61" i="18"/>
  <c r="X61" i="18"/>
  <c r="W61" i="18"/>
  <c r="S61" i="18"/>
  <c r="Q61" i="18"/>
  <c r="O61" i="18"/>
  <c r="M61" i="18"/>
  <c r="K61" i="18"/>
  <c r="J61" i="18"/>
  <c r="I61" i="18"/>
  <c r="F61" i="18"/>
  <c r="E61" i="18"/>
  <c r="D61" i="18"/>
  <c r="AD60" i="18"/>
  <c r="AC60" i="18"/>
  <c r="AB60" i="18"/>
  <c r="AA60" i="18"/>
  <c r="X60" i="18"/>
  <c r="W60" i="18"/>
  <c r="S60" i="18"/>
  <c r="Q60" i="18"/>
  <c r="O60" i="18"/>
  <c r="M60" i="18"/>
  <c r="K60" i="18"/>
  <c r="J60" i="18"/>
  <c r="I60" i="18"/>
  <c r="F60" i="18"/>
  <c r="E60" i="18"/>
  <c r="D60" i="18"/>
  <c r="AD59" i="18"/>
  <c r="AC59" i="18"/>
  <c r="AB59" i="18"/>
  <c r="AA59" i="18"/>
  <c r="X59" i="18"/>
  <c r="W59" i="18"/>
  <c r="S59" i="18"/>
  <c r="Q59" i="18"/>
  <c r="O59" i="18"/>
  <c r="M59" i="18"/>
  <c r="K59" i="18"/>
  <c r="J59" i="18"/>
  <c r="I59" i="18"/>
  <c r="F59" i="18"/>
  <c r="E59" i="18"/>
  <c r="D59" i="18"/>
  <c r="AD58" i="18"/>
  <c r="AC58" i="18"/>
  <c r="AB58" i="18"/>
  <c r="AA58" i="18"/>
  <c r="X58" i="18"/>
  <c r="W58" i="18"/>
  <c r="S58" i="18"/>
  <c r="Q58" i="18"/>
  <c r="O58" i="18"/>
  <c r="M58" i="18"/>
  <c r="K58" i="18"/>
  <c r="J58" i="18"/>
  <c r="I58" i="18"/>
  <c r="F58" i="18"/>
  <c r="E58" i="18"/>
  <c r="D58" i="18"/>
  <c r="AD57" i="18"/>
  <c r="AC57" i="18"/>
  <c r="AB57" i="18"/>
  <c r="AA57" i="18"/>
  <c r="X57" i="18"/>
  <c r="W57" i="18"/>
  <c r="S57" i="18"/>
  <c r="Q57" i="18"/>
  <c r="O57" i="18"/>
  <c r="M57" i="18"/>
  <c r="K57" i="18"/>
  <c r="J57" i="18"/>
  <c r="I57" i="18"/>
  <c r="F57" i="18"/>
  <c r="E57" i="18"/>
  <c r="D57" i="18"/>
  <c r="AD56" i="18"/>
  <c r="AC56" i="18"/>
  <c r="AB56" i="18"/>
  <c r="AA56" i="18"/>
  <c r="X56" i="18"/>
  <c r="W56" i="18"/>
  <c r="S56" i="18"/>
  <c r="Q56" i="18"/>
  <c r="O56" i="18"/>
  <c r="M56" i="18"/>
  <c r="K56" i="18"/>
  <c r="J56" i="18"/>
  <c r="I56" i="18"/>
  <c r="F56" i="18"/>
  <c r="E56" i="18"/>
  <c r="D56" i="18"/>
  <c r="AD55" i="18"/>
  <c r="AC55" i="18"/>
  <c r="AB55" i="18"/>
  <c r="AA55" i="18"/>
  <c r="X55" i="18"/>
  <c r="W55" i="18"/>
  <c r="S55" i="18"/>
  <c r="Q55" i="18"/>
  <c r="O55" i="18"/>
  <c r="M55" i="18"/>
  <c r="K55" i="18"/>
  <c r="J55" i="18"/>
  <c r="I55" i="18"/>
  <c r="F55" i="18"/>
  <c r="E55" i="18"/>
  <c r="D55" i="18"/>
  <c r="AD53" i="18"/>
  <c r="AC53" i="18"/>
  <c r="AB53" i="18"/>
  <c r="AA53" i="18"/>
  <c r="X53" i="18"/>
  <c r="W53" i="18"/>
  <c r="S53" i="18"/>
  <c r="Q53" i="18"/>
  <c r="O53" i="18"/>
  <c r="M53" i="18"/>
  <c r="K53" i="18"/>
  <c r="J53" i="18"/>
  <c r="I53" i="18"/>
  <c r="F53" i="18"/>
  <c r="E53" i="18"/>
  <c r="D53" i="18"/>
  <c r="AD52" i="18"/>
  <c r="AC52" i="18"/>
  <c r="AB52" i="18"/>
  <c r="AA52" i="18"/>
  <c r="X52" i="18"/>
  <c r="W52" i="18"/>
  <c r="S52" i="18"/>
  <c r="Q52" i="18"/>
  <c r="O52" i="18"/>
  <c r="M52" i="18"/>
  <c r="K52" i="18"/>
  <c r="J52" i="18"/>
  <c r="I52" i="18"/>
  <c r="F52" i="18"/>
  <c r="E52" i="18"/>
  <c r="D52" i="18"/>
  <c r="AD51" i="18"/>
  <c r="AC51" i="18"/>
  <c r="AB51" i="18"/>
  <c r="AA51" i="18"/>
  <c r="X51" i="18"/>
  <c r="W51" i="18"/>
  <c r="S51" i="18"/>
  <c r="Q51" i="18"/>
  <c r="O51" i="18"/>
  <c r="M51" i="18"/>
  <c r="K51" i="18"/>
  <c r="J51" i="18"/>
  <c r="I51" i="18"/>
  <c r="F51" i="18"/>
  <c r="E51" i="18"/>
  <c r="D51" i="18"/>
  <c r="AD50" i="18"/>
  <c r="AC50" i="18"/>
  <c r="AB50" i="18"/>
  <c r="AA50" i="18"/>
  <c r="X50" i="18"/>
  <c r="W50" i="18"/>
  <c r="S50" i="18"/>
  <c r="Q50" i="18"/>
  <c r="O50" i="18"/>
  <c r="M50" i="18"/>
  <c r="K50" i="18"/>
  <c r="J50" i="18"/>
  <c r="I50" i="18"/>
  <c r="F50" i="18"/>
  <c r="E50" i="18"/>
  <c r="D50" i="18"/>
  <c r="AD49" i="18"/>
  <c r="AC49" i="18"/>
  <c r="AB49" i="18"/>
  <c r="AA49" i="18"/>
  <c r="X49" i="18"/>
  <c r="W49" i="18"/>
  <c r="S49" i="18"/>
  <c r="Q49" i="18"/>
  <c r="O49" i="18"/>
  <c r="M49" i="18"/>
  <c r="K49" i="18"/>
  <c r="J49" i="18"/>
  <c r="I49" i="18"/>
  <c r="F49" i="18"/>
  <c r="E49" i="18"/>
  <c r="D49" i="18"/>
  <c r="AD48" i="18"/>
  <c r="AC48" i="18"/>
  <c r="AB48" i="18"/>
  <c r="AA48" i="18"/>
  <c r="X48" i="18"/>
  <c r="W48" i="18"/>
  <c r="S48" i="18"/>
  <c r="Q48" i="18"/>
  <c r="O48" i="18"/>
  <c r="M48" i="18"/>
  <c r="K48" i="18"/>
  <c r="J48" i="18"/>
  <c r="I48" i="18"/>
  <c r="F48" i="18"/>
  <c r="E48" i="18"/>
  <c r="D48" i="18"/>
  <c r="AD47" i="18"/>
  <c r="AC47" i="18"/>
  <c r="AB47" i="18"/>
  <c r="AA47" i="18"/>
  <c r="X47" i="18"/>
  <c r="W47" i="18"/>
  <c r="S47" i="18"/>
  <c r="Q47" i="18"/>
  <c r="O47" i="18"/>
  <c r="M47" i="18"/>
  <c r="K47" i="18"/>
  <c r="J47" i="18"/>
  <c r="I47" i="18"/>
  <c r="F47" i="18"/>
  <c r="E47" i="18"/>
  <c r="D47" i="18"/>
  <c r="AD46" i="18"/>
  <c r="AC46" i="18"/>
  <c r="AB46" i="18"/>
  <c r="AA46" i="18"/>
  <c r="X46" i="18"/>
  <c r="W46" i="18"/>
  <c r="S46" i="18"/>
  <c r="Q46" i="18"/>
  <c r="O46" i="18"/>
  <c r="M46" i="18"/>
  <c r="K46" i="18"/>
  <c r="J46" i="18"/>
  <c r="I46" i="18"/>
  <c r="F46" i="18"/>
  <c r="E46" i="18"/>
  <c r="D46" i="18"/>
  <c r="AD45" i="18"/>
  <c r="AC45" i="18"/>
  <c r="AB45" i="18"/>
  <c r="AA45" i="18"/>
  <c r="X45" i="18"/>
  <c r="W45" i="18"/>
  <c r="S45" i="18"/>
  <c r="Q45" i="18"/>
  <c r="O45" i="18"/>
  <c r="M45" i="18"/>
  <c r="K45" i="18"/>
  <c r="J45" i="18"/>
  <c r="I45" i="18"/>
  <c r="F45" i="18"/>
  <c r="E45" i="18"/>
  <c r="D45" i="18"/>
  <c r="AD44" i="18"/>
  <c r="AC44" i="18"/>
  <c r="AB44" i="18"/>
  <c r="AA44" i="18"/>
  <c r="X44" i="18"/>
  <c r="W44" i="18"/>
  <c r="S44" i="18"/>
  <c r="Q44" i="18"/>
  <c r="O44" i="18"/>
  <c r="M44" i="18"/>
  <c r="K44" i="18"/>
  <c r="J44" i="18"/>
  <c r="I44" i="18"/>
  <c r="F44" i="18"/>
  <c r="E44" i="18"/>
  <c r="D44" i="18"/>
  <c r="AD43" i="18"/>
  <c r="AC43" i="18"/>
  <c r="AB43" i="18"/>
  <c r="AA43" i="18"/>
  <c r="X43" i="18"/>
  <c r="W43" i="18"/>
  <c r="S43" i="18"/>
  <c r="Q43" i="18"/>
  <c r="O43" i="18"/>
  <c r="M43" i="18"/>
  <c r="K43" i="18"/>
  <c r="J43" i="18"/>
  <c r="I43" i="18"/>
  <c r="F43" i="18"/>
  <c r="E43" i="18"/>
  <c r="D43" i="18"/>
  <c r="AD42" i="18"/>
  <c r="AC42" i="18"/>
  <c r="AB42" i="18"/>
  <c r="AA42" i="18"/>
  <c r="X42" i="18"/>
  <c r="W42" i="18"/>
  <c r="S42" i="18"/>
  <c r="Q42" i="18"/>
  <c r="O42" i="18"/>
  <c r="M42" i="18"/>
  <c r="K42" i="18"/>
  <c r="J42" i="18"/>
  <c r="I42" i="18"/>
  <c r="F42" i="18"/>
  <c r="E42" i="18"/>
  <c r="D42" i="18"/>
  <c r="AD41" i="18"/>
  <c r="AC41" i="18"/>
  <c r="AB41" i="18"/>
  <c r="AA41" i="18"/>
  <c r="X41" i="18"/>
  <c r="W41" i="18"/>
  <c r="S41" i="18"/>
  <c r="Q41" i="18"/>
  <c r="O41" i="18"/>
  <c r="M41" i="18"/>
  <c r="K41" i="18"/>
  <c r="J41" i="18"/>
  <c r="I41" i="18"/>
  <c r="F41" i="18"/>
  <c r="E41" i="18"/>
  <c r="D41" i="18"/>
  <c r="AD40" i="18"/>
  <c r="AC40" i="18"/>
  <c r="AB40" i="18"/>
  <c r="AA40" i="18"/>
  <c r="X40" i="18"/>
  <c r="W40" i="18"/>
  <c r="S40" i="18"/>
  <c r="Q40" i="18"/>
  <c r="O40" i="18"/>
  <c r="M40" i="18"/>
  <c r="K40" i="18"/>
  <c r="J40" i="18"/>
  <c r="I40" i="18"/>
  <c r="F40" i="18"/>
  <c r="E40" i="18"/>
  <c r="D40" i="18"/>
  <c r="AD39" i="18"/>
  <c r="AC39" i="18"/>
  <c r="AB39" i="18"/>
  <c r="AA39" i="18"/>
  <c r="X39" i="18"/>
  <c r="W39" i="18"/>
  <c r="S39" i="18"/>
  <c r="Q39" i="18"/>
  <c r="O39" i="18"/>
  <c r="M39" i="18"/>
  <c r="K39" i="18"/>
  <c r="J39" i="18"/>
  <c r="I39" i="18"/>
  <c r="F39" i="18"/>
  <c r="E39" i="18"/>
  <c r="D39" i="18"/>
  <c r="AD38" i="18"/>
  <c r="AC38" i="18"/>
  <c r="AB38" i="18"/>
  <c r="AA38" i="18"/>
  <c r="X38" i="18"/>
  <c r="W38" i="18"/>
  <c r="S38" i="18"/>
  <c r="Q38" i="18"/>
  <c r="O38" i="18"/>
  <c r="M38" i="18"/>
  <c r="K38" i="18"/>
  <c r="J38" i="18"/>
  <c r="I38" i="18"/>
  <c r="F38" i="18"/>
  <c r="E38" i="18"/>
  <c r="D38" i="18"/>
  <c r="AD37" i="18"/>
  <c r="AC37" i="18"/>
  <c r="AB37" i="18"/>
  <c r="AA37" i="18"/>
  <c r="X37" i="18"/>
  <c r="W37" i="18"/>
  <c r="S37" i="18"/>
  <c r="Q37" i="18"/>
  <c r="O37" i="18"/>
  <c r="M37" i="18"/>
  <c r="K37" i="18"/>
  <c r="J37" i="18"/>
  <c r="I37" i="18"/>
  <c r="F37" i="18"/>
  <c r="E37" i="18"/>
  <c r="D37" i="18"/>
  <c r="AD36" i="18"/>
  <c r="AC36" i="18"/>
  <c r="AB36" i="18"/>
  <c r="AA36" i="18"/>
  <c r="X36" i="18"/>
  <c r="W36" i="18"/>
  <c r="S36" i="18"/>
  <c r="Q36" i="18"/>
  <c r="O36" i="18"/>
  <c r="M36" i="18"/>
  <c r="K36" i="18"/>
  <c r="J36" i="18"/>
  <c r="I36" i="18"/>
  <c r="F36" i="18"/>
  <c r="E36" i="18"/>
  <c r="D36" i="18"/>
  <c r="AD35" i="18"/>
  <c r="AC35" i="18"/>
  <c r="AB35" i="18"/>
  <c r="AA35" i="18"/>
  <c r="X35" i="18"/>
  <c r="W35" i="18"/>
  <c r="S35" i="18"/>
  <c r="Q35" i="18"/>
  <c r="O35" i="18"/>
  <c r="M35" i="18"/>
  <c r="K35" i="18"/>
  <c r="J35" i="18"/>
  <c r="I35" i="18"/>
  <c r="F35" i="18"/>
  <c r="E35" i="18"/>
  <c r="D35" i="18"/>
  <c r="AD34" i="18"/>
  <c r="AC34" i="18"/>
  <c r="AB34" i="18"/>
  <c r="AA34" i="18"/>
  <c r="X34" i="18"/>
  <c r="W34" i="18"/>
  <c r="S34" i="18"/>
  <c r="Q34" i="18"/>
  <c r="O34" i="18"/>
  <c r="M34" i="18"/>
  <c r="K34" i="18"/>
  <c r="J34" i="18"/>
  <c r="I34" i="18"/>
  <c r="F34" i="18"/>
  <c r="E34" i="18"/>
  <c r="D34" i="18"/>
  <c r="AD32" i="18"/>
  <c r="AC32" i="18"/>
  <c r="AB32" i="18"/>
  <c r="AA32" i="18"/>
  <c r="X32" i="18"/>
  <c r="W32" i="18"/>
  <c r="S32" i="18"/>
  <c r="Q32" i="18"/>
  <c r="O32" i="18"/>
  <c r="M32" i="18"/>
  <c r="K32" i="18"/>
  <c r="J32" i="18"/>
  <c r="I32" i="18"/>
  <c r="F32" i="18"/>
  <c r="E32" i="18"/>
  <c r="D32" i="18"/>
  <c r="AD31" i="18"/>
  <c r="AC31" i="18"/>
  <c r="AB31" i="18"/>
  <c r="AA31" i="18"/>
  <c r="X31" i="18"/>
  <c r="W31" i="18"/>
  <c r="S31" i="18"/>
  <c r="Q31" i="18"/>
  <c r="O31" i="18"/>
  <c r="M31" i="18"/>
  <c r="K31" i="18"/>
  <c r="J31" i="18"/>
  <c r="I31" i="18"/>
  <c r="F31" i="18"/>
  <c r="E31" i="18"/>
  <c r="D31" i="18"/>
  <c r="AD30" i="18"/>
  <c r="AC30" i="18"/>
  <c r="AB30" i="18"/>
  <c r="AA30" i="18"/>
  <c r="X30" i="18"/>
  <c r="W30" i="18"/>
  <c r="S30" i="18"/>
  <c r="Q30" i="18"/>
  <c r="O30" i="18"/>
  <c r="M30" i="18"/>
  <c r="K30" i="18"/>
  <c r="J30" i="18"/>
  <c r="I30" i="18"/>
  <c r="F30" i="18"/>
  <c r="E30" i="18"/>
  <c r="D30" i="18"/>
  <c r="AD29" i="18"/>
  <c r="AC29" i="18"/>
  <c r="AB29" i="18"/>
  <c r="AA29" i="18"/>
  <c r="X29" i="18"/>
  <c r="W29" i="18"/>
  <c r="S29" i="18"/>
  <c r="Q29" i="18"/>
  <c r="O29" i="18"/>
  <c r="M29" i="18"/>
  <c r="K29" i="18"/>
  <c r="J29" i="18"/>
  <c r="I29" i="18"/>
  <c r="F29" i="18"/>
  <c r="E29" i="18"/>
  <c r="D29" i="18"/>
  <c r="AD28" i="18"/>
  <c r="AC28" i="18"/>
  <c r="AB28" i="18"/>
  <c r="AA28" i="18"/>
  <c r="X28" i="18"/>
  <c r="W28" i="18"/>
  <c r="S28" i="18"/>
  <c r="Q28" i="18"/>
  <c r="O28" i="18"/>
  <c r="M28" i="18"/>
  <c r="K28" i="18"/>
  <c r="J28" i="18"/>
  <c r="I28" i="18"/>
  <c r="F28" i="18"/>
  <c r="E28" i="18"/>
  <c r="D28" i="18"/>
  <c r="AD27" i="18"/>
  <c r="AC27" i="18"/>
  <c r="AB27" i="18"/>
  <c r="AA27" i="18"/>
  <c r="X27" i="18"/>
  <c r="W27" i="18"/>
  <c r="S27" i="18"/>
  <c r="Q27" i="18"/>
  <c r="O27" i="18"/>
  <c r="M27" i="18"/>
  <c r="K27" i="18"/>
  <c r="J27" i="18"/>
  <c r="I27" i="18"/>
  <c r="F27" i="18"/>
  <c r="E27" i="18"/>
  <c r="D27" i="18"/>
  <c r="AD26" i="18"/>
  <c r="AC26" i="18"/>
  <c r="AB26" i="18"/>
  <c r="AA26" i="18"/>
  <c r="X26" i="18"/>
  <c r="W26" i="18"/>
  <c r="S26" i="18"/>
  <c r="Q26" i="18"/>
  <c r="O26" i="18"/>
  <c r="M26" i="18"/>
  <c r="K26" i="18"/>
  <c r="J26" i="18"/>
  <c r="I26" i="18"/>
  <c r="F26" i="18"/>
  <c r="E26" i="18"/>
  <c r="D26" i="18"/>
  <c r="AD25" i="18"/>
  <c r="AC25" i="18"/>
  <c r="AB25" i="18"/>
  <c r="AA25" i="18"/>
  <c r="X25" i="18"/>
  <c r="W25" i="18"/>
  <c r="S25" i="18"/>
  <c r="Q25" i="18"/>
  <c r="O25" i="18"/>
  <c r="M25" i="18"/>
  <c r="K25" i="18"/>
  <c r="J25" i="18"/>
  <c r="I25" i="18"/>
  <c r="F25" i="18"/>
  <c r="E25" i="18"/>
  <c r="D25" i="18"/>
  <c r="AD24" i="18"/>
  <c r="AC24" i="18"/>
  <c r="AB24" i="18"/>
  <c r="AA24" i="18"/>
  <c r="X24" i="18"/>
  <c r="W24" i="18"/>
  <c r="S24" i="18"/>
  <c r="Q24" i="18"/>
  <c r="O24" i="18"/>
  <c r="M24" i="18"/>
  <c r="K24" i="18"/>
  <c r="J24" i="18"/>
  <c r="I24" i="18"/>
  <c r="F24" i="18"/>
  <c r="E24" i="18"/>
  <c r="D24" i="18"/>
  <c r="AD23" i="18"/>
  <c r="AC23" i="18"/>
  <c r="AB23" i="18"/>
  <c r="AA23" i="18"/>
  <c r="X23" i="18"/>
  <c r="W23" i="18"/>
  <c r="S23" i="18"/>
  <c r="Q23" i="18"/>
  <c r="O23" i="18"/>
  <c r="M23" i="18"/>
  <c r="K23" i="18"/>
  <c r="J23" i="18"/>
  <c r="I23" i="18"/>
  <c r="F23" i="18"/>
  <c r="E23" i="18"/>
  <c r="D23" i="18"/>
  <c r="AD22" i="18"/>
  <c r="AC22" i="18"/>
  <c r="AB22" i="18"/>
  <c r="AA22" i="18"/>
  <c r="X22" i="18"/>
  <c r="W22" i="18"/>
  <c r="S22" i="18"/>
  <c r="Q22" i="18"/>
  <c r="O22" i="18"/>
  <c r="M22" i="18"/>
  <c r="K22" i="18"/>
  <c r="J22" i="18"/>
  <c r="I22" i="18"/>
  <c r="F22" i="18"/>
  <c r="E22" i="18"/>
  <c r="D22" i="18"/>
  <c r="AD21" i="18"/>
  <c r="AC21" i="18"/>
  <c r="AB21" i="18"/>
  <c r="AA21" i="18"/>
  <c r="X21" i="18"/>
  <c r="W21" i="18"/>
  <c r="S21" i="18"/>
  <c r="Q21" i="18"/>
  <c r="O21" i="18"/>
  <c r="M21" i="18"/>
  <c r="K21" i="18"/>
  <c r="J21" i="18"/>
  <c r="I21" i="18"/>
  <c r="F21" i="18"/>
  <c r="E21" i="18"/>
  <c r="D21" i="18"/>
  <c r="AD20" i="18"/>
  <c r="AC20" i="18"/>
  <c r="AB20" i="18"/>
  <c r="AA20" i="18"/>
  <c r="X20" i="18"/>
  <c r="W20" i="18"/>
  <c r="S20" i="18"/>
  <c r="Q20" i="18"/>
  <c r="O20" i="18"/>
  <c r="M20" i="18"/>
  <c r="K20" i="18"/>
  <c r="J20" i="18"/>
  <c r="I20" i="18"/>
  <c r="F20" i="18"/>
  <c r="E20" i="18"/>
  <c r="D20" i="18"/>
  <c r="AD19" i="18"/>
  <c r="AC19" i="18"/>
  <c r="AB19" i="18"/>
  <c r="AA19" i="18"/>
  <c r="X19" i="18"/>
  <c r="W19" i="18"/>
  <c r="S19" i="18"/>
  <c r="Q19" i="18"/>
  <c r="O19" i="18"/>
  <c r="M19" i="18"/>
  <c r="K19" i="18"/>
  <c r="J19" i="18"/>
  <c r="I19" i="18"/>
  <c r="F19" i="18"/>
  <c r="E19" i="18"/>
  <c r="D19" i="18"/>
  <c r="AD18" i="18"/>
  <c r="AC18" i="18"/>
  <c r="AB18" i="18"/>
  <c r="AA18" i="18"/>
  <c r="X18" i="18"/>
  <c r="W18" i="18"/>
  <c r="S18" i="18"/>
  <c r="Q18" i="18"/>
  <c r="O18" i="18"/>
  <c r="M18" i="18"/>
  <c r="K18" i="18"/>
  <c r="J18" i="18"/>
  <c r="I18" i="18"/>
  <c r="F18" i="18"/>
  <c r="E18" i="18"/>
  <c r="D18" i="18"/>
  <c r="AD17" i="18"/>
  <c r="AC17" i="18"/>
  <c r="AB17" i="18"/>
  <c r="AA17" i="18"/>
  <c r="X17" i="18"/>
  <c r="W17" i="18"/>
  <c r="S17" i="18"/>
  <c r="Q17" i="18"/>
  <c r="O17" i="18"/>
  <c r="M17" i="18"/>
  <c r="K17" i="18"/>
  <c r="J17" i="18"/>
  <c r="I17" i="18"/>
  <c r="F17" i="18"/>
  <c r="E17" i="18"/>
  <c r="D17" i="18"/>
  <c r="AD16" i="18"/>
  <c r="AC16" i="18"/>
  <c r="AB16" i="18"/>
  <c r="AA16" i="18"/>
  <c r="X16" i="18"/>
  <c r="W16" i="18"/>
  <c r="S16" i="18"/>
  <c r="Q16" i="18"/>
  <c r="O16" i="18"/>
  <c r="M16" i="18"/>
  <c r="K16" i="18"/>
  <c r="J16" i="18"/>
  <c r="I16" i="18"/>
  <c r="F16" i="18"/>
  <c r="E16" i="18"/>
  <c r="D16" i="18"/>
  <c r="H14" i="18"/>
  <c r="V14" i="18" s="1"/>
  <c r="G14" i="18"/>
  <c r="AD13" i="18"/>
  <c r="AD11" i="18" s="1"/>
  <c r="AC13" i="18"/>
  <c r="AB13" i="18"/>
  <c r="AA13" i="18"/>
  <c r="Z13" i="18"/>
  <c r="X13" i="18"/>
  <c r="W13" i="18"/>
  <c r="V13" i="18"/>
  <c r="T13" i="18"/>
  <c r="S13" i="18"/>
  <c r="S11" i="18" s="1"/>
  <c r="R13" i="18"/>
  <c r="P13" i="18"/>
  <c r="O13" i="18"/>
  <c r="N13" i="18"/>
  <c r="M13" i="18"/>
  <c r="L13" i="18"/>
  <c r="K13" i="18"/>
  <c r="AD12" i="18"/>
  <c r="AC12" i="18"/>
  <c r="AC11" i="18" s="1"/>
  <c r="AB12" i="18"/>
  <c r="AB11" i="18" s="1"/>
  <c r="AA12" i="18"/>
  <c r="AA11" i="18" s="1"/>
  <c r="Z12" i="18"/>
  <c r="W12" i="18"/>
  <c r="V12" i="18"/>
  <c r="T12" i="18"/>
  <c r="S12" i="18"/>
  <c r="R12" i="18"/>
  <c r="Q12" i="18"/>
  <c r="P12" i="18"/>
  <c r="O12" i="18"/>
  <c r="N12" i="18"/>
  <c r="M12" i="18"/>
  <c r="L12" i="18"/>
  <c r="K12" i="18"/>
  <c r="Z11" i="18"/>
  <c r="W11" i="18"/>
  <c r="V11" i="18"/>
  <c r="T11" i="18"/>
  <c r="R11" i="18"/>
  <c r="P11" i="18"/>
  <c r="O11" i="18"/>
  <c r="N11" i="18"/>
  <c r="M11" i="18"/>
  <c r="L11" i="18"/>
  <c r="K11" i="18"/>
  <c r="U114" i="17"/>
  <c r="R114" i="17"/>
  <c r="O114" i="17"/>
  <c r="L114" i="17"/>
  <c r="E114" i="17"/>
  <c r="D114" i="17"/>
  <c r="U113" i="17"/>
  <c r="R113" i="17"/>
  <c r="O113" i="17"/>
  <c r="L113" i="17"/>
  <c r="E113" i="17"/>
  <c r="D113" i="17"/>
  <c r="U112" i="17"/>
  <c r="R112" i="17"/>
  <c r="O112" i="17"/>
  <c r="L112" i="17"/>
  <c r="E112" i="17"/>
  <c r="D112" i="17"/>
  <c r="U111" i="17"/>
  <c r="R111" i="17"/>
  <c r="O111" i="17"/>
  <c r="L111" i="17"/>
  <c r="E111" i="17"/>
  <c r="D111" i="17"/>
  <c r="U110" i="17"/>
  <c r="R110" i="17"/>
  <c r="O110" i="17"/>
  <c r="L110" i="17"/>
  <c r="E110" i="17"/>
  <c r="D110" i="17"/>
  <c r="A110" i="17"/>
  <c r="A111" i="17" s="1"/>
  <c r="A112" i="17" s="1"/>
  <c r="U109" i="17"/>
  <c r="R109" i="17"/>
  <c r="O109" i="17"/>
  <c r="L109" i="17"/>
  <c r="E109" i="17"/>
  <c r="D109" i="17"/>
  <c r="U108" i="17"/>
  <c r="R108" i="17"/>
  <c r="O108" i="17"/>
  <c r="L108" i="17"/>
  <c r="E108" i="17"/>
  <c r="D108" i="17"/>
  <c r="U107" i="17"/>
  <c r="R107" i="17"/>
  <c r="O107" i="17"/>
  <c r="L107" i="17"/>
  <c r="E107" i="17"/>
  <c r="D107" i="17"/>
  <c r="T106" i="17"/>
  <c r="S106" i="17"/>
  <c r="Q106" i="17"/>
  <c r="P106" i="17"/>
  <c r="O106" i="17"/>
  <c r="N106" i="17"/>
  <c r="N13" i="17" s="1"/>
  <c r="M106" i="17"/>
  <c r="M13" i="17" s="1"/>
  <c r="K106" i="17"/>
  <c r="K13" i="17" s="1"/>
  <c r="J106" i="17"/>
  <c r="I106" i="17"/>
  <c r="L106" i="17" s="1"/>
  <c r="H106" i="17"/>
  <c r="U106" i="17" s="1"/>
  <c r="F106" i="17"/>
  <c r="U105" i="17"/>
  <c r="R105" i="17"/>
  <c r="O105" i="17"/>
  <c r="L105" i="17"/>
  <c r="E105" i="17"/>
  <c r="D105" i="17"/>
  <c r="U104" i="17"/>
  <c r="R104" i="17"/>
  <c r="O104" i="17"/>
  <c r="L104" i="17"/>
  <c r="E104" i="17"/>
  <c r="D104" i="17"/>
  <c r="U103" i="17"/>
  <c r="R103" i="17"/>
  <c r="O103" i="17"/>
  <c r="L103" i="17"/>
  <c r="E103" i="17"/>
  <c r="D103" i="17"/>
  <c r="U102" i="17"/>
  <c r="R102" i="17"/>
  <c r="O102" i="17"/>
  <c r="L102" i="17"/>
  <c r="E102" i="17"/>
  <c r="D102" i="17"/>
  <c r="U101" i="17"/>
  <c r="R101" i="17"/>
  <c r="O101" i="17"/>
  <c r="L101" i="17"/>
  <c r="E101" i="17"/>
  <c r="D101" i="17"/>
  <c r="U100" i="17"/>
  <c r="R100" i="17"/>
  <c r="O100" i="17"/>
  <c r="L100" i="17"/>
  <c r="E100" i="17"/>
  <c r="D100" i="17"/>
  <c r="U99" i="17"/>
  <c r="R99" i="17"/>
  <c r="O99" i="17"/>
  <c r="L99" i="17"/>
  <c r="E99" i="17"/>
  <c r="D99" i="17"/>
  <c r="U98" i="17"/>
  <c r="R98" i="17"/>
  <c r="O98" i="17"/>
  <c r="L98" i="17"/>
  <c r="E98" i="17"/>
  <c r="D98" i="17"/>
  <c r="U97" i="17"/>
  <c r="R97" i="17"/>
  <c r="O97" i="17"/>
  <c r="L97" i="17"/>
  <c r="E97" i="17"/>
  <c r="D97" i="17"/>
  <c r="U96" i="17"/>
  <c r="R96" i="17"/>
  <c r="O96" i="17"/>
  <c r="L96" i="17"/>
  <c r="E96" i="17"/>
  <c r="D96" i="17"/>
  <c r="U95" i="17"/>
  <c r="R95" i="17"/>
  <c r="O95" i="17"/>
  <c r="L95" i="17"/>
  <c r="E95" i="17"/>
  <c r="D95" i="17"/>
  <c r="A95" i="17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U94" i="17"/>
  <c r="R94" i="17"/>
  <c r="O94" i="17"/>
  <c r="L94" i="17"/>
  <c r="E94" i="17"/>
  <c r="D94" i="17"/>
  <c r="U93" i="17"/>
  <c r="R93" i="17"/>
  <c r="O93" i="17"/>
  <c r="L93" i="17"/>
  <c r="E93" i="17"/>
  <c r="D93" i="17"/>
  <c r="U92" i="17"/>
  <c r="R92" i="17"/>
  <c r="O92" i="17"/>
  <c r="L92" i="17"/>
  <c r="E92" i="17"/>
  <c r="D92" i="17"/>
  <c r="T91" i="17"/>
  <c r="T12" i="17" s="1"/>
  <c r="S91" i="17"/>
  <c r="S12" i="17" s="1"/>
  <c r="S11" i="17" s="1"/>
  <c r="Q91" i="17"/>
  <c r="Q12" i="17" s="1"/>
  <c r="Q11" i="17" s="1"/>
  <c r="P91" i="17"/>
  <c r="N91" i="17"/>
  <c r="M91" i="17"/>
  <c r="M12" i="17" s="1"/>
  <c r="K91" i="17"/>
  <c r="K12" i="17" s="1"/>
  <c r="J91" i="17"/>
  <c r="I91" i="17"/>
  <c r="L91" i="17" s="1"/>
  <c r="H91" i="17"/>
  <c r="U91" i="17" s="1"/>
  <c r="F91" i="17"/>
  <c r="T90" i="17"/>
  <c r="S90" i="17"/>
  <c r="Q90" i="17"/>
  <c r="P90" i="17"/>
  <c r="N90" i="17"/>
  <c r="M90" i="17"/>
  <c r="K90" i="17"/>
  <c r="J90" i="17"/>
  <c r="H90" i="17"/>
  <c r="F90" i="17"/>
  <c r="E90" i="17"/>
  <c r="D90" i="17"/>
  <c r="T89" i="17"/>
  <c r="S89" i="17"/>
  <c r="Q89" i="17"/>
  <c r="P89" i="17"/>
  <c r="N89" i="17"/>
  <c r="M89" i="17"/>
  <c r="K89" i="17"/>
  <c r="J89" i="17"/>
  <c r="H89" i="17"/>
  <c r="O89" i="17" s="1"/>
  <c r="F89" i="17"/>
  <c r="E89" i="17"/>
  <c r="D89" i="17"/>
  <c r="T88" i="17"/>
  <c r="S88" i="17"/>
  <c r="Q88" i="17"/>
  <c r="P88" i="17"/>
  <c r="N88" i="17"/>
  <c r="M88" i="17"/>
  <c r="K88" i="17"/>
  <c r="J88" i="17"/>
  <c r="H88" i="17"/>
  <c r="F88" i="17"/>
  <c r="E88" i="17"/>
  <c r="D88" i="17"/>
  <c r="T87" i="17"/>
  <c r="S87" i="17"/>
  <c r="Q87" i="17"/>
  <c r="P87" i="17"/>
  <c r="N87" i="17"/>
  <c r="M87" i="17"/>
  <c r="K87" i="17"/>
  <c r="J87" i="17"/>
  <c r="H87" i="17"/>
  <c r="F87" i="17"/>
  <c r="E87" i="17"/>
  <c r="D87" i="17"/>
  <c r="T86" i="17"/>
  <c r="S86" i="17"/>
  <c r="Q86" i="17"/>
  <c r="P86" i="17"/>
  <c r="N86" i="17"/>
  <c r="M86" i="17"/>
  <c r="K86" i="17"/>
  <c r="J86" i="17"/>
  <c r="H86" i="17"/>
  <c r="F86" i="17"/>
  <c r="E86" i="17"/>
  <c r="D86" i="17"/>
  <c r="T85" i="17"/>
  <c r="S85" i="17"/>
  <c r="Q85" i="17"/>
  <c r="P85" i="17"/>
  <c r="N85" i="17"/>
  <c r="M85" i="17"/>
  <c r="K85" i="17"/>
  <c r="J85" i="17"/>
  <c r="H85" i="17"/>
  <c r="U85" i="17" s="1"/>
  <c r="F85" i="17"/>
  <c r="E85" i="17"/>
  <c r="D85" i="17"/>
  <c r="T84" i="17"/>
  <c r="S84" i="17"/>
  <c r="Q84" i="17"/>
  <c r="P84" i="17"/>
  <c r="N84" i="17"/>
  <c r="M84" i="17"/>
  <c r="K84" i="17"/>
  <c r="J84" i="17"/>
  <c r="H84" i="17"/>
  <c r="F84" i="17"/>
  <c r="E84" i="17"/>
  <c r="D84" i="17"/>
  <c r="T83" i="17"/>
  <c r="S83" i="17"/>
  <c r="Q83" i="17"/>
  <c r="P83" i="17"/>
  <c r="N83" i="17"/>
  <c r="M83" i="17"/>
  <c r="K83" i="17"/>
  <c r="J83" i="17"/>
  <c r="H83" i="17"/>
  <c r="U83" i="17" s="1"/>
  <c r="F83" i="17"/>
  <c r="E83" i="17"/>
  <c r="D83" i="17"/>
  <c r="T82" i="17"/>
  <c r="S82" i="17"/>
  <c r="Q82" i="17"/>
  <c r="P82" i="17"/>
  <c r="N82" i="17"/>
  <c r="M82" i="17"/>
  <c r="K82" i="17"/>
  <c r="J82" i="17"/>
  <c r="H82" i="17"/>
  <c r="I82" i="17" s="1"/>
  <c r="L82" i="17" s="1"/>
  <c r="F82" i="17"/>
  <c r="E82" i="17"/>
  <c r="D82" i="17"/>
  <c r="T81" i="17"/>
  <c r="S81" i="17"/>
  <c r="Q81" i="17"/>
  <c r="P81" i="17"/>
  <c r="N81" i="17"/>
  <c r="M81" i="17"/>
  <c r="K81" i="17"/>
  <c r="J81" i="17"/>
  <c r="H81" i="17"/>
  <c r="U81" i="17" s="1"/>
  <c r="F81" i="17"/>
  <c r="E81" i="17"/>
  <c r="D81" i="17"/>
  <c r="T80" i="17"/>
  <c r="S80" i="17"/>
  <c r="Q80" i="17"/>
  <c r="P80" i="17"/>
  <c r="N80" i="17"/>
  <c r="M80" i="17"/>
  <c r="K80" i="17"/>
  <c r="J80" i="17"/>
  <c r="H80" i="17"/>
  <c r="F80" i="17"/>
  <c r="E80" i="17"/>
  <c r="D80" i="17"/>
  <c r="T79" i="17"/>
  <c r="S79" i="17"/>
  <c r="Q79" i="17"/>
  <c r="P79" i="17"/>
  <c r="N79" i="17"/>
  <c r="M79" i="17"/>
  <c r="K79" i="17"/>
  <c r="J79" i="17"/>
  <c r="H79" i="17"/>
  <c r="F79" i="17"/>
  <c r="E79" i="17"/>
  <c r="D79" i="17"/>
  <c r="T78" i="17"/>
  <c r="S78" i="17"/>
  <c r="Q78" i="17"/>
  <c r="P78" i="17"/>
  <c r="N78" i="17"/>
  <c r="M78" i="17"/>
  <c r="K78" i="17"/>
  <c r="J78" i="17"/>
  <c r="H78" i="17"/>
  <c r="O78" i="17" s="1"/>
  <c r="F78" i="17"/>
  <c r="E78" i="17"/>
  <c r="D78" i="17"/>
  <c r="T77" i="17"/>
  <c r="S77" i="17"/>
  <c r="Q77" i="17"/>
  <c r="P77" i="17"/>
  <c r="N77" i="17"/>
  <c r="M77" i="17"/>
  <c r="K77" i="17"/>
  <c r="J77" i="17"/>
  <c r="H77" i="17"/>
  <c r="U77" i="17" s="1"/>
  <c r="F77" i="17"/>
  <c r="E77" i="17"/>
  <c r="D77" i="17"/>
  <c r="T75" i="17"/>
  <c r="S75" i="17"/>
  <c r="Q75" i="17"/>
  <c r="P75" i="17"/>
  <c r="N75" i="17"/>
  <c r="M75" i="17"/>
  <c r="K75" i="17"/>
  <c r="J75" i="17"/>
  <c r="H75" i="17"/>
  <c r="U75" i="17" s="1"/>
  <c r="F75" i="17"/>
  <c r="E75" i="17"/>
  <c r="D75" i="17"/>
  <c r="T74" i="17"/>
  <c r="S74" i="17"/>
  <c r="Q74" i="17"/>
  <c r="P74" i="17"/>
  <c r="N74" i="17"/>
  <c r="M74" i="17"/>
  <c r="K74" i="17"/>
  <c r="J74" i="17"/>
  <c r="H74" i="17"/>
  <c r="F74" i="17"/>
  <c r="E74" i="17"/>
  <c r="D74" i="17"/>
  <c r="T73" i="17"/>
  <c r="S73" i="17"/>
  <c r="Q73" i="17"/>
  <c r="P73" i="17"/>
  <c r="N73" i="17"/>
  <c r="M73" i="17"/>
  <c r="K73" i="17"/>
  <c r="J73" i="17"/>
  <c r="H73" i="17"/>
  <c r="R73" i="17" s="1"/>
  <c r="F73" i="17"/>
  <c r="E73" i="17"/>
  <c r="D73" i="17"/>
  <c r="T72" i="17"/>
  <c r="S72" i="17"/>
  <c r="Q72" i="17"/>
  <c r="P72" i="17"/>
  <c r="N72" i="17"/>
  <c r="M72" i="17"/>
  <c r="K72" i="17"/>
  <c r="J72" i="17"/>
  <c r="H72" i="17"/>
  <c r="F72" i="17"/>
  <c r="E72" i="17"/>
  <c r="D72" i="17"/>
  <c r="T71" i="17"/>
  <c r="S71" i="17"/>
  <c r="Q71" i="17"/>
  <c r="P71" i="17"/>
  <c r="N71" i="17"/>
  <c r="M71" i="17"/>
  <c r="K71" i="17"/>
  <c r="J71" i="17"/>
  <c r="H71" i="17"/>
  <c r="F71" i="17"/>
  <c r="E71" i="17"/>
  <c r="D71" i="17"/>
  <c r="T70" i="17"/>
  <c r="S70" i="17"/>
  <c r="Q70" i="17"/>
  <c r="P70" i="17"/>
  <c r="N70" i="17"/>
  <c r="M70" i="17"/>
  <c r="K70" i="17"/>
  <c r="J70" i="17"/>
  <c r="H70" i="17"/>
  <c r="U70" i="17" s="1"/>
  <c r="F70" i="17"/>
  <c r="E70" i="17"/>
  <c r="D70" i="17"/>
  <c r="T69" i="17"/>
  <c r="S69" i="17"/>
  <c r="Q69" i="17"/>
  <c r="P69" i="17"/>
  <c r="N69" i="17"/>
  <c r="M69" i="17"/>
  <c r="K69" i="17"/>
  <c r="J69" i="17"/>
  <c r="H69" i="17"/>
  <c r="F69" i="17"/>
  <c r="E69" i="17"/>
  <c r="D69" i="17"/>
  <c r="T68" i="17"/>
  <c r="S68" i="17"/>
  <c r="Q68" i="17"/>
  <c r="P68" i="17"/>
  <c r="N68" i="17"/>
  <c r="M68" i="17"/>
  <c r="K68" i="17"/>
  <c r="J68" i="17"/>
  <c r="H68" i="17"/>
  <c r="O68" i="17" s="1"/>
  <c r="F68" i="17"/>
  <c r="E68" i="17"/>
  <c r="D68" i="17"/>
  <c r="T67" i="17"/>
  <c r="S67" i="17"/>
  <c r="Q67" i="17"/>
  <c r="P67" i="17"/>
  <c r="N67" i="17"/>
  <c r="M67" i="17"/>
  <c r="K67" i="17"/>
  <c r="J67" i="17"/>
  <c r="H67" i="17"/>
  <c r="R67" i="17" s="1"/>
  <c r="F67" i="17"/>
  <c r="E67" i="17"/>
  <c r="D67" i="17"/>
  <c r="T66" i="17"/>
  <c r="S66" i="17"/>
  <c r="Q66" i="17"/>
  <c r="P66" i="17"/>
  <c r="N66" i="17"/>
  <c r="M66" i="17"/>
  <c r="K66" i="17"/>
  <c r="J66" i="17"/>
  <c r="H66" i="17"/>
  <c r="O66" i="17" s="1"/>
  <c r="F66" i="17"/>
  <c r="E66" i="17"/>
  <c r="D66" i="17"/>
  <c r="T65" i="17"/>
  <c r="S65" i="17"/>
  <c r="Q65" i="17"/>
  <c r="P65" i="17"/>
  <c r="N65" i="17"/>
  <c r="M65" i="17"/>
  <c r="K65" i="17"/>
  <c r="J65" i="17"/>
  <c r="H65" i="17"/>
  <c r="F65" i="17"/>
  <c r="E65" i="17"/>
  <c r="D65" i="17"/>
  <c r="T64" i="17"/>
  <c r="S64" i="17"/>
  <c r="Q64" i="17"/>
  <c r="P64" i="17"/>
  <c r="N64" i="17"/>
  <c r="M64" i="17"/>
  <c r="K64" i="17"/>
  <c r="J64" i="17"/>
  <c r="H64" i="17"/>
  <c r="F64" i="17"/>
  <c r="E64" i="17"/>
  <c r="D64" i="17"/>
  <c r="T63" i="17"/>
  <c r="S63" i="17"/>
  <c r="Q63" i="17"/>
  <c r="P63" i="17"/>
  <c r="N63" i="17"/>
  <c r="M63" i="17"/>
  <c r="K63" i="17"/>
  <c r="J63" i="17"/>
  <c r="H63" i="17"/>
  <c r="R63" i="17" s="1"/>
  <c r="F63" i="17"/>
  <c r="E63" i="17"/>
  <c r="D63" i="17"/>
  <c r="T62" i="17"/>
  <c r="S62" i="17"/>
  <c r="Q62" i="17"/>
  <c r="P62" i="17"/>
  <c r="N62" i="17"/>
  <c r="M62" i="17"/>
  <c r="K62" i="17"/>
  <c r="J62" i="17"/>
  <c r="H62" i="17"/>
  <c r="U62" i="17" s="1"/>
  <c r="F62" i="17"/>
  <c r="E62" i="17"/>
  <c r="D62" i="17"/>
  <c r="T61" i="17"/>
  <c r="S61" i="17"/>
  <c r="Q61" i="17"/>
  <c r="P61" i="17"/>
  <c r="N61" i="17"/>
  <c r="M61" i="17"/>
  <c r="K61" i="17"/>
  <c r="J61" i="17"/>
  <c r="H61" i="17"/>
  <c r="F61" i="17"/>
  <c r="E61" i="17"/>
  <c r="D61" i="17"/>
  <c r="T60" i="17"/>
  <c r="S60" i="17"/>
  <c r="Q60" i="17"/>
  <c r="P60" i="17"/>
  <c r="N60" i="17"/>
  <c r="M60" i="17"/>
  <c r="K60" i="17"/>
  <c r="J60" i="17"/>
  <c r="H60" i="17"/>
  <c r="I60" i="17" s="1"/>
  <c r="L60" i="17" s="1"/>
  <c r="F60" i="17"/>
  <c r="E60" i="17"/>
  <c r="D60" i="17"/>
  <c r="T59" i="17"/>
  <c r="S59" i="17"/>
  <c r="Q59" i="17"/>
  <c r="P59" i="17"/>
  <c r="N59" i="17"/>
  <c r="M59" i="17"/>
  <c r="K59" i="17"/>
  <c r="J59" i="17"/>
  <c r="H59" i="17"/>
  <c r="I59" i="17" s="1"/>
  <c r="L59" i="17" s="1"/>
  <c r="F59" i="17"/>
  <c r="E59" i="17"/>
  <c r="D59" i="17"/>
  <c r="T58" i="17"/>
  <c r="S58" i="17"/>
  <c r="Q58" i="17"/>
  <c r="P58" i="17"/>
  <c r="N58" i="17"/>
  <c r="M58" i="17"/>
  <c r="K58" i="17"/>
  <c r="J58" i="17"/>
  <c r="H58" i="17"/>
  <c r="O58" i="17" s="1"/>
  <c r="F58" i="17"/>
  <c r="E58" i="17"/>
  <c r="D58" i="17"/>
  <c r="T57" i="17"/>
  <c r="S57" i="17"/>
  <c r="Q57" i="17"/>
  <c r="P57" i="17"/>
  <c r="N57" i="17"/>
  <c r="M57" i="17"/>
  <c r="K57" i="17"/>
  <c r="J57" i="17"/>
  <c r="H57" i="17"/>
  <c r="F57" i="17"/>
  <c r="E57" i="17"/>
  <c r="D57" i="17"/>
  <c r="T56" i="17"/>
  <c r="S56" i="17"/>
  <c r="Q56" i="17"/>
  <c r="P56" i="17"/>
  <c r="N56" i="17"/>
  <c r="M56" i="17"/>
  <c r="K56" i="17"/>
  <c r="J56" i="17"/>
  <c r="H56" i="17"/>
  <c r="I56" i="17" s="1"/>
  <c r="L56" i="17" s="1"/>
  <c r="F56" i="17"/>
  <c r="E56" i="17"/>
  <c r="D56" i="17"/>
  <c r="T55" i="17"/>
  <c r="S55" i="17"/>
  <c r="Q55" i="17"/>
  <c r="P55" i="17"/>
  <c r="N55" i="17"/>
  <c r="M55" i="17"/>
  <c r="K55" i="17"/>
  <c r="J55" i="17"/>
  <c r="H55" i="17"/>
  <c r="U55" i="17" s="1"/>
  <c r="F55" i="17"/>
  <c r="E55" i="17"/>
  <c r="D55" i="17"/>
  <c r="T53" i="17"/>
  <c r="S53" i="17"/>
  <c r="Q53" i="17"/>
  <c r="P53" i="17"/>
  <c r="N53" i="17"/>
  <c r="M53" i="17"/>
  <c r="K53" i="17"/>
  <c r="J53" i="17"/>
  <c r="H53" i="17"/>
  <c r="F53" i="17"/>
  <c r="E53" i="17"/>
  <c r="D53" i="17"/>
  <c r="T52" i="17"/>
  <c r="S52" i="17"/>
  <c r="Q52" i="17"/>
  <c r="P52" i="17"/>
  <c r="N52" i="17"/>
  <c r="M52" i="17"/>
  <c r="K52" i="17"/>
  <c r="J52" i="17"/>
  <c r="H52" i="17"/>
  <c r="F52" i="17"/>
  <c r="E52" i="17"/>
  <c r="D52" i="17"/>
  <c r="T51" i="17"/>
  <c r="S51" i="17"/>
  <c r="Q51" i="17"/>
  <c r="P51" i="17"/>
  <c r="N51" i="17"/>
  <c r="M51" i="17"/>
  <c r="K51" i="17"/>
  <c r="J51" i="17"/>
  <c r="H51" i="17"/>
  <c r="I51" i="17" s="1"/>
  <c r="L51" i="17" s="1"/>
  <c r="F51" i="17"/>
  <c r="E51" i="17"/>
  <c r="D51" i="17"/>
  <c r="T50" i="17"/>
  <c r="S50" i="17"/>
  <c r="Q50" i="17"/>
  <c r="P50" i="17"/>
  <c r="N50" i="17"/>
  <c r="M50" i="17"/>
  <c r="K50" i="17"/>
  <c r="J50" i="17"/>
  <c r="H50" i="17"/>
  <c r="F50" i="17"/>
  <c r="E50" i="17"/>
  <c r="D50" i="17"/>
  <c r="T49" i="17"/>
  <c r="S49" i="17"/>
  <c r="Q49" i="17"/>
  <c r="P49" i="17"/>
  <c r="N49" i="17"/>
  <c r="M49" i="17"/>
  <c r="K49" i="17"/>
  <c r="J49" i="17"/>
  <c r="H49" i="17"/>
  <c r="F49" i="17"/>
  <c r="E49" i="17"/>
  <c r="D49" i="17"/>
  <c r="T48" i="17"/>
  <c r="S48" i="17"/>
  <c r="Q48" i="17"/>
  <c r="P48" i="17"/>
  <c r="N48" i="17"/>
  <c r="M48" i="17"/>
  <c r="K48" i="17"/>
  <c r="J48" i="17"/>
  <c r="H48" i="17"/>
  <c r="F48" i="17"/>
  <c r="E48" i="17"/>
  <c r="D48" i="17"/>
  <c r="T47" i="17"/>
  <c r="S47" i="17"/>
  <c r="Q47" i="17"/>
  <c r="P47" i="17"/>
  <c r="N47" i="17"/>
  <c r="M47" i="17"/>
  <c r="K47" i="17"/>
  <c r="J47" i="17"/>
  <c r="H47" i="17"/>
  <c r="F47" i="17"/>
  <c r="E47" i="17"/>
  <c r="D47" i="17"/>
  <c r="T46" i="17"/>
  <c r="S46" i="17"/>
  <c r="Q46" i="17"/>
  <c r="P46" i="17"/>
  <c r="N46" i="17"/>
  <c r="M46" i="17"/>
  <c r="K46" i="17"/>
  <c r="J46" i="17"/>
  <c r="H46" i="17"/>
  <c r="F46" i="17"/>
  <c r="E46" i="17"/>
  <c r="D46" i="17"/>
  <c r="T45" i="17"/>
  <c r="S45" i="17"/>
  <c r="Q45" i="17"/>
  <c r="P45" i="17"/>
  <c r="N45" i="17"/>
  <c r="M45" i="17"/>
  <c r="K45" i="17"/>
  <c r="J45" i="17"/>
  <c r="H45" i="17"/>
  <c r="I45" i="17" s="1"/>
  <c r="F45" i="17"/>
  <c r="E45" i="17"/>
  <c r="D45" i="17"/>
  <c r="T44" i="17"/>
  <c r="S44" i="17"/>
  <c r="Q44" i="17"/>
  <c r="P44" i="17"/>
  <c r="N44" i="17"/>
  <c r="M44" i="17"/>
  <c r="K44" i="17"/>
  <c r="J44" i="17"/>
  <c r="H44" i="17"/>
  <c r="F44" i="17"/>
  <c r="E44" i="17"/>
  <c r="D44" i="17"/>
  <c r="T43" i="17"/>
  <c r="S43" i="17"/>
  <c r="Q43" i="17"/>
  <c r="P43" i="17"/>
  <c r="N43" i="17"/>
  <c r="M43" i="17"/>
  <c r="K43" i="17"/>
  <c r="J43" i="17"/>
  <c r="H43" i="17"/>
  <c r="F43" i="17"/>
  <c r="E43" i="17"/>
  <c r="D43" i="17"/>
  <c r="T42" i="17"/>
  <c r="S42" i="17"/>
  <c r="Q42" i="17"/>
  <c r="P42" i="17"/>
  <c r="N42" i="17"/>
  <c r="M42" i="17"/>
  <c r="K42" i="17"/>
  <c r="J42" i="17"/>
  <c r="H42" i="17"/>
  <c r="F42" i="17"/>
  <c r="E42" i="17"/>
  <c r="D42" i="17"/>
  <c r="T41" i="17"/>
  <c r="S41" i="17"/>
  <c r="Q41" i="17"/>
  <c r="P41" i="17"/>
  <c r="N41" i="17"/>
  <c r="M41" i="17"/>
  <c r="K41" i="17"/>
  <c r="J41" i="17"/>
  <c r="H41" i="17"/>
  <c r="U41" i="17" s="1"/>
  <c r="F41" i="17"/>
  <c r="E41" i="17"/>
  <c r="D41" i="17"/>
  <c r="T40" i="17"/>
  <c r="S40" i="17"/>
  <c r="Q40" i="17"/>
  <c r="P40" i="17"/>
  <c r="N40" i="17"/>
  <c r="M40" i="17"/>
  <c r="K40" i="17"/>
  <c r="J40" i="17"/>
  <c r="H40" i="17"/>
  <c r="F40" i="17"/>
  <c r="E40" i="17"/>
  <c r="D40" i="17"/>
  <c r="T39" i="17"/>
  <c r="S39" i="17"/>
  <c r="Q39" i="17"/>
  <c r="P39" i="17"/>
  <c r="N39" i="17"/>
  <c r="M39" i="17"/>
  <c r="K39" i="17"/>
  <c r="J39" i="17"/>
  <c r="H39" i="17"/>
  <c r="F39" i="17"/>
  <c r="E39" i="17"/>
  <c r="D39" i="17"/>
  <c r="T38" i="17"/>
  <c r="S38" i="17"/>
  <c r="Q38" i="17"/>
  <c r="P38" i="17"/>
  <c r="N38" i="17"/>
  <c r="M38" i="17"/>
  <c r="K38" i="17"/>
  <c r="J38" i="17"/>
  <c r="H38" i="17"/>
  <c r="F38" i="17"/>
  <c r="E38" i="17"/>
  <c r="D38" i="17"/>
  <c r="T37" i="17"/>
  <c r="S37" i="17"/>
  <c r="Q37" i="17"/>
  <c r="P37" i="17"/>
  <c r="N37" i="17"/>
  <c r="M37" i="17"/>
  <c r="K37" i="17"/>
  <c r="J37" i="17"/>
  <c r="H37" i="17"/>
  <c r="R37" i="17" s="1"/>
  <c r="F37" i="17"/>
  <c r="E37" i="17"/>
  <c r="D37" i="17"/>
  <c r="T36" i="17"/>
  <c r="S36" i="17"/>
  <c r="Q36" i="17"/>
  <c r="P36" i="17"/>
  <c r="N36" i="17"/>
  <c r="M36" i="17"/>
  <c r="K36" i="17"/>
  <c r="J36" i="17"/>
  <c r="H36" i="17"/>
  <c r="I36" i="17" s="1"/>
  <c r="L36" i="17" s="1"/>
  <c r="F36" i="17"/>
  <c r="E36" i="17"/>
  <c r="D36" i="17"/>
  <c r="T35" i="17"/>
  <c r="S35" i="17"/>
  <c r="Q35" i="17"/>
  <c r="P35" i="17"/>
  <c r="N35" i="17"/>
  <c r="M35" i="17"/>
  <c r="K35" i="17"/>
  <c r="J35" i="17"/>
  <c r="H35" i="17"/>
  <c r="F35" i="17"/>
  <c r="E35" i="17"/>
  <c r="D35" i="17"/>
  <c r="T34" i="17"/>
  <c r="S34" i="17"/>
  <c r="Q34" i="17"/>
  <c r="P34" i="17"/>
  <c r="N34" i="17"/>
  <c r="M34" i="17"/>
  <c r="K34" i="17"/>
  <c r="J34" i="17"/>
  <c r="H34" i="17"/>
  <c r="F34" i="17"/>
  <c r="E34" i="17"/>
  <c r="D34" i="17"/>
  <c r="T32" i="17"/>
  <c r="S32" i="17"/>
  <c r="Q32" i="17"/>
  <c r="P32" i="17"/>
  <c r="N32" i="17"/>
  <c r="M32" i="17"/>
  <c r="K32" i="17"/>
  <c r="J32" i="17"/>
  <c r="H32" i="17"/>
  <c r="F32" i="17"/>
  <c r="E32" i="17"/>
  <c r="D32" i="17"/>
  <c r="T31" i="17"/>
  <c r="S31" i="17"/>
  <c r="Q31" i="17"/>
  <c r="P31" i="17"/>
  <c r="N31" i="17"/>
  <c r="M31" i="17"/>
  <c r="K31" i="17"/>
  <c r="J31" i="17"/>
  <c r="H31" i="17"/>
  <c r="R31" i="17" s="1"/>
  <c r="F31" i="17"/>
  <c r="E31" i="17"/>
  <c r="D31" i="17"/>
  <c r="T30" i="17"/>
  <c r="S30" i="17"/>
  <c r="Q30" i="17"/>
  <c r="P30" i="17"/>
  <c r="N30" i="17"/>
  <c r="M30" i="17"/>
  <c r="K30" i="17"/>
  <c r="J30" i="17"/>
  <c r="H30" i="17"/>
  <c r="I30" i="17" s="1"/>
  <c r="F30" i="17"/>
  <c r="E30" i="17"/>
  <c r="D30" i="17"/>
  <c r="T29" i="17"/>
  <c r="S29" i="17"/>
  <c r="Q29" i="17"/>
  <c r="P29" i="17"/>
  <c r="N29" i="17"/>
  <c r="M29" i="17"/>
  <c r="K29" i="17"/>
  <c r="J29" i="17"/>
  <c r="H29" i="17"/>
  <c r="O29" i="17" s="1"/>
  <c r="F29" i="17"/>
  <c r="E29" i="17"/>
  <c r="D29" i="17"/>
  <c r="T28" i="17"/>
  <c r="S28" i="17"/>
  <c r="Q28" i="17"/>
  <c r="P28" i="17"/>
  <c r="N28" i="17"/>
  <c r="M28" i="17"/>
  <c r="K28" i="17"/>
  <c r="J28" i="17"/>
  <c r="H28" i="17"/>
  <c r="F28" i="17"/>
  <c r="E28" i="17"/>
  <c r="D28" i="17"/>
  <c r="T27" i="17"/>
  <c r="S27" i="17"/>
  <c r="Q27" i="17"/>
  <c r="P27" i="17"/>
  <c r="N27" i="17"/>
  <c r="M27" i="17"/>
  <c r="K27" i="17"/>
  <c r="J27" i="17"/>
  <c r="H27" i="17"/>
  <c r="F27" i="17"/>
  <c r="E27" i="17"/>
  <c r="D27" i="17"/>
  <c r="T26" i="17"/>
  <c r="S26" i="17"/>
  <c r="Q26" i="17"/>
  <c r="P26" i="17"/>
  <c r="N26" i="17"/>
  <c r="M26" i="17"/>
  <c r="K26" i="17"/>
  <c r="J26" i="17"/>
  <c r="H26" i="17"/>
  <c r="O26" i="17" s="1"/>
  <c r="F26" i="17"/>
  <c r="E26" i="17"/>
  <c r="D26" i="17"/>
  <c r="T25" i="17"/>
  <c r="S25" i="17"/>
  <c r="Q25" i="17"/>
  <c r="P25" i="17"/>
  <c r="N25" i="17"/>
  <c r="M25" i="17"/>
  <c r="K25" i="17"/>
  <c r="J25" i="17"/>
  <c r="H25" i="17"/>
  <c r="F25" i="17"/>
  <c r="E25" i="17"/>
  <c r="D25" i="17"/>
  <c r="T24" i="17"/>
  <c r="S24" i="17"/>
  <c r="Q24" i="17"/>
  <c r="P24" i="17"/>
  <c r="N24" i="17"/>
  <c r="M24" i="17"/>
  <c r="K24" i="17"/>
  <c r="J24" i="17"/>
  <c r="H24" i="17"/>
  <c r="F24" i="17"/>
  <c r="E24" i="17"/>
  <c r="D24" i="17"/>
  <c r="T23" i="17"/>
  <c r="S23" i="17"/>
  <c r="Q23" i="17"/>
  <c r="P23" i="17"/>
  <c r="N23" i="17"/>
  <c r="M23" i="17"/>
  <c r="K23" i="17"/>
  <c r="J23" i="17"/>
  <c r="H23" i="17"/>
  <c r="I23" i="17" s="1"/>
  <c r="F23" i="17"/>
  <c r="E23" i="17"/>
  <c r="D23" i="17"/>
  <c r="T22" i="17"/>
  <c r="S22" i="17"/>
  <c r="Q22" i="17"/>
  <c r="P22" i="17"/>
  <c r="N22" i="17"/>
  <c r="M22" i="17"/>
  <c r="K22" i="17"/>
  <c r="J22" i="17"/>
  <c r="H22" i="17"/>
  <c r="F22" i="17"/>
  <c r="E22" i="17"/>
  <c r="D22" i="17"/>
  <c r="T21" i="17"/>
  <c r="S21" i="17"/>
  <c r="Q21" i="17"/>
  <c r="P21" i="17"/>
  <c r="N21" i="17"/>
  <c r="M21" i="17"/>
  <c r="K21" i="17"/>
  <c r="J21" i="17"/>
  <c r="H21" i="17"/>
  <c r="F21" i="17"/>
  <c r="E21" i="17"/>
  <c r="D21" i="17"/>
  <c r="T20" i="17"/>
  <c r="S20" i="17"/>
  <c r="Q20" i="17"/>
  <c r="P20" i="17"/>
  <c r="N20" i="17"/>
  <c r="M20" i="17"/>
  <c r="K20" i="17"/>
  <c r="J20" i="17"/>
  <c r="H20" i="17"/>
  <c r="R20" i="17" s="1"/>
  <c r="F20" i="17"/>
  <c r="E20" i="17"/>
  <c r="D20" i="17"/>
  <c r="T19" i="17"/>
  <c r="S19" i="17"/>
  <c r="Q19" i="17"/>
  <c r="P19" i="17"/>
  <c r="N19" i="17"/>
  <c r="M19" i="17"/>
  <c r="K19" i="17"/>
  <c r="J19" i="17"/>
  <c r="H19" i="17"/>
  <c r="I19" i="17" s="1"/>
  <c r="F19" i="17"/>
  <c r="E19" i="17"/>
  <c r="D19" i="17"/>
  <c r="T18" i="17"/>
  <c r="S18" i="17"/>
  <c r="Q18" i="17"/>
  <c r="P18" i="17"/>
  <c r="N18" i="17"/>
  <c r="M18" i="17"/>
  <c r="K18" i="17"/>
  <c r="J18" i="17"/>
  <c r="H18" i="17"/>
  <c r="F18" i="17"/>
  <c r="E18" i="17"/>
  <c r="D18" i="17"/>
  <c r="T17" i="17"/>
  <c r="S17" i="17"/>
  <c r="Q17" i="17"/>
  <c r="P17" i="17"/>
  <c r="N17" i="17"/>
  <c r="M17" i="17"/>
  <c r="K17" i="17"/>
  <c r="J17" i="17"/>
  <c r="H17" i="17"/>
  <c r="F17" i="17"/>
  <c r="E17" i="17"/>
  <c r="D17" i="17"/>
  <c r="T16" i="17"/>
  <c r="S16" i="17"/>
  <c r="Q16" i="17"/>
  <c r="P16" i="17"/>
  <c r="N16" i="17"/>
  <c r="M16" i="17"/>
  <c r="K16" i="17"/>
  <c r="J16" i="17"/>
  <c r="H16" i="17"/>
  <c r="F16" i="17"/>
  <c r="E16" i="17"/>
  <c r="D16" i="17"/>
  <c r="U14" i="17"/>
  <c r="R14" i="17"/>
  <c r="O14" i="17"/>
  <c r="L14" i="17"/>
  <c r="G14" i="17"/>
  <c r="T13" i="17"/>
  <c r="S13" i="17"/>
  <c r="Q13" i="17"/>
  <c r="P13" i="17"/>
  <c r="J13" i="17"/>
  <c r="I13" i="17"/>
  <c r="L13" i="17" s="1"/>
  <c r="H13" i="17"/>
  <c r="U13" i="17" s="1"/>
  <c r="P12" i="17"/>
  <c r="P11" i="17" s="1"/>
  <c r="N12" i="17"/>
  <c r="J12" i="17"/>
  <c r="I12" i="17"/>
  <c r="L12" i="17" s="1"/>
  <c r="H12" i="17"/>
  <c r="F12" i="17"/>
  <c r="F11" i="17" s="1"/>
  <c r="I114" i="16"/>
  <c r="H114" i="16"/>
  <c r="J114" i="16" s="1"/>
  <c r="E114" i="16"/>
  <c r="D114" i="16"/>
  <c r="I113" i="16"/>
  <c r="H113" i="16"/>
  <c r="J113" i="16" s="1"/>
  <c r="E113" i="16"/>
  <c r="D113" i="16"/>
  <c r="I112" i="16"/>
  <c r="H112" i="16"/>
  <c r="J112" i="16" s="1"/>
  <c r="E112" i="16"/>
  <c r="D112" i="16"/>
  <c r="I111" i="16"/>
  <c r="H111" i="16"/>
  <c r="J111" i="16" s="1"/>
  <c r="E111" i="16"/>
  <c r="D111" i="16"/>
  <c r="I110" i="16"/>
  <c r="H110" i="16"/>
  <c r="J110" i="16" s="1"/>
  <c r="E110" i="16"/>
  <c r="D110" i="16"/>
  <c r="A110" i="16"/>
  <c r="A111" i="16" s="1"/>
  <c r="A112" i="16" s="1"/>
  <c r="I109" i="16"/>
  <c r="H109" i="16"/>
  <c r="J109" i="16" s="1"/>
  <c r="E109" i="16"/>
  <c r="D109" i="16"/>
  <c r="I108" i="16"/>
  <c r="H108" i="16"/>
  <c r="J108" i="16" s="1"/>
  <c r="E108" i="16"/>
  <c r="D108" i="16"/>
  <c r="I107" i="16"/>
  <c r="H107" i="16"/>
  <c r="J107" i="16" s="1"/>
  <c r="E107" i="16"/>
  <c r="D107" i="16"/>
  <c r="O106" i="16"/>
  <c r="O13" i="16" s="1"/>
  <c r="N106" i="16"/>
  <c r="N13" i="16" s="1"/>
  <c r="M106" i="16"/>
  <c r="L106" i="16"/>
  <c r="L13" i="16" s="1"/>
  <c r="K106" i="16"/>
  <c r="K13" i="16" s="1"/>
  <c r="F106" i="16"/>
  <c r="I105" i="16"/>
  <c r="H105" i="16"/>
  <c r="J105" i="16" s="1"/>
  <c r="E105" i="16"/>
  <c r="D105" i="16"/>
  <c r="I104" i="16"/>
  <c r="H104" i="16"/>
  <c r="J104" i="16" s="1"/>
  <c r="E104" i="16"/>
  <c r="D104" i="16"/>
  <c r="I103" i="16"/>
  <c r="H103" i="16"/>
  <c r="J103" i="16" s="1"/>
  <c r="E103" i="16"/>
  <c r="D103" i="16"/>
  <c r="I102" i="16"/>
  <c r="H102" i="16"/>
  <c r="J102" i="16" s="1"/>
  <c r="E102" i="16"/>
  <c r="D102" i="16"/>
  <c r="I101" i="16"/>
  <c r="H101" i="16"/>
  <c r="J101" i="16" s="1"/>
  <c r="E101" i="16"/>
  <c r="D101" i="16"/>
  <c r="I100" i="16"/>
  <c r="H100" i="16"/>
  <c r="J100" i="16" s="1"/>
  <c r="E100" i="16"/>
  <c r="D100" i="16"/>
  <c r="I99" i="16"/>
  <c r="H99" i="16"/>
  <c r="J99" i="16" s="1"/>
  <c r="E99" i="16"/>
  <c r="D99" i="16"/>
  <c r="I98" i="16"/>
  <c r="H98" i="16"/>
  <c r="J98" i="16" s="1"/>
  <c r="E98" i="16"/>
  <c r="D98" i="16"/>
  <c r="I97" i="16"/>
  <c r="H97" i="16"/>
  <c r="J97" i="16" s="1"/>
  <c r="F97" i="16"/>
  <c r="F91" i="16" s="1"/>
  <c r="F12" i="16" s="1"/>
  <c r="F11" i="16" s="1"/>
  <c r="E97" i="16"/>
  <c r="D97" i="16"/>
  <c r="I96" i="16"/>
  <c r="H96" i="16"/>
  <c r="J96" i="16" s="1"/>
  <c r="E96" i="16"/>
  <c r="D96" i="16"/>
  <c r="I95" i="16"/>
  <c r="H95" i="16"/>
  <c r="J95" i="16" s="1"/>
  <c r="E95" i="16"/>
  <c r="D95" i="16"/>
  <c r="A95" i="16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I94" i="16"/>
  <c r="H94" i="16"/>
  <c r="E94" i="16"/>
  <c r="D94" i="16"/>
  <c r="I93" i="16"/>
  <c r="H93" i="16"/>
  <c r="J93" i="16" s="1"/>
  <c r="E93" i="16"/>
  <c r="D93" i="16"/>
  <c r="I92" i="16"/>
  <c r="H92" i="16"/>
  <c r="J92" i="16" s="1"/>
  <c r="E92" i="16"/>
  <c r="D92" i="16"/>
  <c r="O91" i="16"/>
  <c r="O12" i="16" s="1"/>
  <c r="N91" i="16"/>
  <c r="M91" i="16"/>
  <c r="L91" i="16"/>
  <c r="L12" i="16" s="1"/>
  <c r="L11" i="16" s="1"/>
  <c r="K91" i="16"/>
  <c r="O90" i="16"/>
  <c r="N90" i="16"/>
  <c r="M90" i="16"/>
  <c r="L90" i="16"/>
  <c r="K90" i="16"/>
  <c r="H90" i="16"/>
  <c r="F90" i="16"/>
  <c r="E90" i="16"/>
  <c r="D90" i="16"/>
  <c r="O89" i="16"/>
  <c r="N89" i="16"/>
  <c r="M89" i="16"/>
  <c r="L89" i="16"/>
  <c r="K89" i="16"/>
  <c r="H89" i="16"/>
  <c r="F89" i="16"/>
  <c r="E89" i="16"/>
  <c r="D89" i="16"/>
  <c r="O88" i="16"/>
  <c r="N88" i="16"/>
  <c r="M88" i="16"/>
  <c r="L88" i="16"/>
  <c r="K88" i="16"/>
  <c r="H88" i="16"/>
  <c r="F88" i="16"/>
  <c r="E88" i="16"/>
  <c r="D88" i="16"/>
  <c r="O87" i="16"/>
  <c r="N87" i="16"/>
  <c r="M87" i="16"/>
  <c r="L87" i="16"/>
  <c r="K87" i="16"/>
  <c r="H87" i="16"/>
  <c r="F87" i="16"/>
  <c r="E87" i="16"/>
  <c r="D87" i="16"/>
  <c r="O86" i="16"/>
  <c r="N86" i="16"/>
  <c r="M86" i="16"/>
  <c r="L86" i="16"/>
  <c r="K86" i="16"/>
  <c r="H86" i="16"/>
  <c r="F86" i="16"/>
  <c r="E86" i="16"/>
  <c r="D86" i="16"/>
  <c r="O85" i="16"/>
  <c r="N85" i="16"/>
  <c r="M85" i="16"/>
  <c r="L85" i="16"/>
  <c r="K85" i="16"/>
  <c r="H85" i="16"/>
  <c r="F85" i="16"/>
  <c r="E85" i="16"/>
  <c r="D85" i="16"/>
  <c r="O84" i="16"/>
  <c r="N84" i="16"/>
  <c r="M84" i="16"/>
  <c r="L84" i="16"/>
  <c r="K84" i="16"/>
  <c r="H84" i="16"/>
  <c r="F84" i="16"/>
  <c r="E84" i="16"/>
  <c r="D84" i="16"/>
  <c r="O83" i="16"/>
  <c r="N83" i="16"/>
  <c r="M83" i="16"/>
  <c r="L83" i="16"/>
  <c r="K83" i="16"/>
  <c r="H83" i="16"/>
  <c r="F83" i="16"/>
  <c r="E83" i="16"/>
  <c r="D83" i="16"/>
  <c r="O82" i="16"/>
  <c r="N82" i="16"/>
  <c r="M82" i="16"/>
  <c r="L82" i="16"/>
  <c r="K82" i="16"/>
  <c r="H82" i="16"/>
  <c r="F82" i="16"/>
  <c r="E82" i="16"/>
  <c r="D82" i="16"/>
  <c r="O81" i="16"/>
  <c r="N81" i="16"/>
  <c r="M81" i="16"/>
  <c r="L81" i="16"/>
  <c r="K81" i="16"/>
  <c r="H81" i="16"/>
  <c r="F81" i="16"/>
  <c r="E81" i="16"/>
  <c r="D81" i="16"/>
  <c r="O80" i="16"/>
  <c r="N80" i="16"/>
  <c r="M80" i="16"/>
  <c r="L80" i="16"/>
  <c r="K80" i="16"/>
  <c r="H80" i="16"/>
  <c r="F80" i="16"/>
  <c r="E80" i="16"/>
  <c r="D80" i="16"/>
  <c r="O79" i="16"/>
  <c r="N79" i="16"/>
  <c r="M79" i="16"/>
  <c r="L79" i="16"/>
  <c r="K79" i="16"/>
  <c r="H79" i="16"/>
  <c r="F79" i="16"/>
  <c r="E79" i="16"/>
  <c r="D79" i="16"/>
  <c r="O78" i="16"/>
  <c r="N78" i="16"/>
  <c r="M78" i="16"/>
  <c r="L78" i="16"/>
  <c r="K78" i="16"/>
  <c r="H78" i="16"/>
  <c r="F78" i="16"/>
  <c r="E78" i="16"/>
  <c r="D78" i="16"/>
  <c r="O77" i="16"/>
  <c r="N77" i="16"/>
  <c r="M77" i="16"/>
  <c r="L77" i="16"/>
  <c r="K77" i="16"/>
  <c r="H77" i="16"/>
  <c r="F77" i="16"/>
  <c r="E77" i="16"/>
  <c r="D77" i="16"/>
  <c r="O75" i="16"/>
  <c r="N75" i="16"/>
  <c r="M75" i="16"/>
  <c r="L75" i="16"/>
  <c r="K75" i="16"/>
  <c r="H75" i="16"/>
  <c r="F75" i="16"/>
  <c r="E75" i="16"/>
  <c r="D75" i="16"/>
  <c r="O74" i="16"/>
  <c r="N74" i="16"/>
  <c r="M74" i="16"/>
  <c r="L74" i="16"/>
  <c r="K74" i="16"/>
  <c r="H74" i="16"/>
  <c r="F74" i="16"/>
  <c r="E74" i="16"/>
  <c r="D74" i="16"/>
  <c r="O73" i="16"/>
  <c r="N73" i="16"/>
  <c r="M73" i="16"/>
  <c r="L73" i="16"/>
  <c r="K73" i="16"/>
  <c r="H73" i="16"/>
  <c r="F73" i="16"/>
  <c r="E73" i="16"/>
  <c r="D73" i="16"/>
  <c r="O72" i="16"/>
  <c r="N72" i="16"/>
  <c r="M72" i="16"/>
  <c r="L72" i="16"/>
  <c r="K72" i="16"/>
  <c r="H72" i="16"/>
  <c r="F72" i="16"/>
  <c r="E72" i="16"/>
  <c r="D72" i="16"/>
  <c r="O71" i="16"/>
  <c r="N71" i="16"/>
  <c r="M71" i="16"/>
  <c r="L71" i="16"/>
  <c r="K71" i="16"/>
  <c r="H71" i="16"/>
  <c r="F71" i="16"/>
  <c r="E71" i="16"/>
  <c r="D71" i="16"/>
  <c r="O70" i="16"/>
  <c r="N70" i="16"/>
  <c r="M70" i="16"/>
  <c r="L70" i="16"/>
  <c r="K70" i="16"/>
  <c r="H70" i="16"/>
  <c r="F70" i="16"/>
  <c r="E70" i="16"/>
  <c r="D70" i="16"/>
  <c r="O69" i="16"/>
  <c r="N69" i="16"/>
  <c r="M69" i="16"/>
  <c r="L69" i="16"/>
  <c r="K69" i="16"/>
  <c r="H69" i="16"/>
  <c r="F69" i="16"/>
  <c r="E69" i="16"/>
  <c r="D69" i="16"/>
  <c r="O68" i="16"/>
  <c r="N68" i="16"/>
  <c r="M68" i="16"/>
  <c r="L68" i="16"/>
  <c r="K68" i="16"/>
  <c r="H68" i="16"/>
  <c r="F68" i="16"/>
  <c r="E68" i="16"/>
  <c r="D68" i="16"/>
  <c r="O67" i="16"/>
  <c r="N67" i="16"/>
  <c r="M67" i="16"/>
  <c r="L67" i="16"/>
  <c r="K67" i="16"/>
  <c r="H67" i="16"/>
  <c r="F67" i="16"/>
  <c r="E67" i="16"/>
  <c r="D67" i="16"/>
  <c r="O66" i="16"/>
  <c r="N66" i="16"/>
  <c r="M66" i="16"/>
  <c r="L66" i="16"/>
  <c r="K66" i="16"/>
  <c r="H66" i="16"/>
  <c r="F66" i="16"/>
  <c r="E66" i="16"/>
  <c r="D66" i="16"/>
  <c r="O65" i="16"/>
  <c r="N65" i="16"/>
  <c r="M65" i="16"/>
  <c r="L65" i="16"/>
  <c r="K65" i="16"/>
  <c r="H65" i="16"/>
  <c r="F65" i="16"/>
  <c r="E65" i="16"/>
  <c r="D65" i="16"/>
  <c r="O64" i="16"/>
  <c r="N64" i="16"/>
  <c r="M64" i="16"/>
  <c r="L64" i="16"/>
  <c r="K64" i="16"/>
  <c r="H64" i="16"/>
  <c r="F64" i="16"/>
  <c r="E64" i="16"/>
  <c r="D64" i="16"/>
  <c r="O63" i="16"/>
  <c r="N63" i="16"/>
  <c r="M63" i="16"/>
  <c r="L63" i="16"/>
  <c r="K63" i="16"/>
  <c r="H63" i="16"/>
  <c r="F63" i="16"/>
  <c r="E63" i="16"/>
  <c r="D63" i="16"/>
  <c r="O62" i="16"/>
  <c r="N62" i="16"/>
  <c r="M62" i="16"/>
  <c r="L62" i="16"/>
  <c r="K62" i="16"/>
  <c r="H62" i="16"/>
  <c r="F62" i="16"/>
  <c r="E62" i="16"/>
  <c r="D62" i="16"/>
  <c r="O61" i="16"/>
  <c r="N61" i="16"/>
  <c r="M61" i="16"/>
  <c r="L61" i="16"/>
  <c r="K61" i="16"/>
  <c r="H61" i="16"/>
  <c r="F61" i="16"/>
  <c r="E61" i="16"/>
  <c r="D61" i="16"/>
  <c r="O60" i="16"/>
  <c r="N60" i="16"/>
  <c r="M60" i="16"/>
  <c r="L60" i="16"/>
  <c r="K60" i="16"/>
  <c r="H60" i="16"/>
  <c r="F60" i="16"/>
  <c r="E60" i="16"/>
  <c r="D60" i="16"/>
  <c r="O59" i="16"/>
  <c r="N59" i="16"/>
  <c r="M59" i="16"/>
  <c r="L59" i="16"/>
  <c r="K59" i="16"/>
  <c r="H59" i="16"/>
  <c r="F59" i="16"/>
  <c r="E59" i="16"/>
  <c r="D59" i="16"/>
  <c r="O58" i="16"/>
  <c r="N58" i="16"/>
  <c r="M58" i="16"/>
  <c r="L58" i="16"/>
  <c r="K58" i="16"/>
  <c r="H58" i="16"/>
  <c r="F58" i="16"/>
  <c r="E58" i="16"/>
  <c r="D58" i="16"/>
  <c r="O57" i="16"/>
  <c r="N57" i="16"/>
  <c r="M57" i="16"/>
  <c r="L57" i="16"/>
  <c r="K57" i="16"/>
  <c r="H57" i="16"/>
  <c r="F57" i="16"/>
  <c r="E57" i="16"/>
  <c r="D57" i="16"/>
  <c r="O56" i="16"/>
  <c r="N56" i="16"/>
  <c r="M56" i="16"/>
  <c r="L56" i="16"/>
  <c r="K56" i="16"/>
  <c r="H56" i="16"/>
  <c r="F56" i="16"/>
  <c r="E56" i="16"/>
  <c r="D56" i="16"/>
  <c r="O55" i="16"/>
  <c r="N55" i="16"/>
  <c r="M55" i="16"/>
  <c r="L55" i="16"/>
  <c r="K55" i="16"/>
  <c r="H55" i="16"/>
  <c r="F55" i="16"/>
  <c r="E55" i="16"/>
  <c r="D55" i="16"/>
  <c r="O53" i="16"/>
  <c r="N53" i="16"/>
  <c r="M53" i="16"/>
  <c r="L53" i="16"/>
  <c r="K53" i="16"/>
  <c r="H53" i="16"/>
  <c r="F53" i="16"/>
  <c r="E53" i="16"/>
  <c r="D53" i="16"/>
  <c r="O52" i="16"/>
  <c r="N52" i="16"/>
  <c r="M52" i="16"/>
  <c r="L52" i="16"/>
  <c r="K52" i="16"/>
  <c r="H52" i="16"/>
  <c r="F52" i="16"/>
  <c r="E52" i="16"/>
  <c r="D52" i="16"/>
  <c r="O51" i="16"/>
  <c r="N51" i="16"/>
  <c r="M51" i="16"/>
  <c r="L51" i="16"/>
  <c r="K51" i="16"/>
  <c r="H51" i="16"/>
  <c r="F51" i="16"/>
  <c r="E51" i="16"/>
  <c r="D51" i="16"/>
  <c r="O50" i="16"/>
  <c r="N50" i="16"/>
  <c r="M50" i="16"/>
  <c r="L50" i="16"/>
  <c r="K50" i="16"/>
  <c r="H50" i="16"/>
  <c r="F50" i="16"/>
  <c r="E50" i="16"/>
  <c r="D50" i="16"/>
  <c r="O49" i="16"/>
  <c r="N49" i="16"/>
  <c r="M49" i="16"/>
  <c r="L49" i="16"/>
  <c r="K49" i="16"/>
  <c r="H49" i="16"/>
  <c r="F49" i="16"/>
  <c r="E49" i="16"/>
  <c r="D49" i="16"/>
  <c r="O48" i="16"/>
  <c r="N48" i="16"/>
  <c r="M48" i="16"/>
  <c r="L48" i="16"/>
  <c r="K48" i="16"/>
  <c r="H48" i="16"/>
  <c r="F48" i="16"/>
  <c r="E48" i="16"/>
  <c r="D48" i="16"/>
  <c r="O47" i="16"/>
  <c r="N47" i="16"/>
  <c r="M47" i="16"/>
  <c r="L47" i="16"/>
  <c r="K47" i="16"/>
  <c r="H47" i="16"/>
  <c r="F47" i="16"/>
  <c r="E47" i="16"/>
  <c r="D47" i="16"/>
  <c r="O46" i="16"/>
  <c r="N46" i="16"/>
  <c r="M46" i="16"/>
  <c r="L46" i="16"/>
  <c r="K46" i="16"/>
  <c r="H46" i="16"/>
  <c r="F46" i="16"/>
  <c r="E46" i="16"/>
  <c r="D46" i="16"/>
  <c r="O45" i="16"/>
  <c r="N45" i="16"/>
  <c r="M45" i="16"/>
  <c r="L45" i="16"/>
  <c r="K45" i="16"/>
  <c r="H45" i="16"/>
  <c r="F45" i="16"/>
  <c r="E45" i="16"/>
  <c r="D45" i="16"/>
  <c r="O44" i="16"/>
  <c r="N44" i="16"/>
  <c r="M44" i="16"/>
  <c r="L44" i="16"/>
  <c r="K44" i="16"/>
  <c r="H44" i="16"/>
  <c r="F44" i="16"/>
  <c r="E44" i="16"/>
  <c r="D44" i="16"/>
  <c r="O43" i="16"/>
  <c r="N43" i="16"/>
  <c r="M43" i="16"/>
  <c r="L43" i="16"/>
  <c r="K43" i="16"/>
  <c r="H43" i="16"/>
  <c r="F43" i="16"/>
  <c r="E43" i="16"/>
  <c r="D43" i="16"/>
  <c r="O42" i="16"/>
  <c r="N42" i="16"/>
  <c r="M42" i="16"/>
  <c r="L42" i="16"/>
  <c r="K42" i="16"/>
  <c r="H42" i="16"/>
  <c r="F42" i="16"/>
  <c r="E42" i="16"/>
  <c r="D42" i="16"/>
  <c r="O41" i="16"/>
  <c r="N41" i="16"/>
  <c r="M41" i="16"/>
  <c r="L41" i="16"/>
  <c r="K41" i="16"/>
  <c r="H41" i="16"/>
  <c r="F41" i="16"/>
  <c r="E41" i="16"/>
  <c r="D41" i="16"/>
  <c r="O40" i="16"/>
  <c r="N40" i="16"/>
  <c r="M40" i="16"/>
  <c r="L40" i="16"/>
  <c r="K40" i="16"/>
  <c r="H40" i="16"/>
  <c r="F40" i="16"/>
  <c r="E40" i="16"/>
  <c r="D40" i="16"/>
  <c r="O39" i="16"/>
  <c r="N39" i="16"/>
  <c r="M39" i="16"/>
  <c r="L39" i="16"/>
  <c r="K39" i="16"/>
  <c r="H39" i="16"/>
  <c r="F39" i="16"/>
  <c r="E39" i="16"/>
  <c r="D39" i="16"/>
  <c r="O38" i="16"/>
  <c r="N38" i="16"/>
  <c r="M38" i="16"/>
  <c r="L38" i="16"/>
  <c r="K38" i="16"/>
  <c r="H38" i="16"/>
  <c r="F38" i="16"/>
  <c r="E38" i="16"/>
  <c r="D38" i="16"/>
  <c r="O37" i="16"/>
  <c r="N37" i="16"/>
  <c r="M37" i="16"/>
  <c r="L37" i="16"/>
  <c r="K37" i="16"/>
  <c r="H37" i="16"/>
  <c r="F37" i="16"/>
  <c r="E37" i="16"/>
  <c r="D37" i="16"/>
  <c r="O36" i="16"/>
  <c r="N36" i="16"/>
  <c r="M36" i="16"/>
  <c r="L36" i="16"/>
  <c r="K36" i="16"/>
  <c r="H36" i="16"/>
  <c r="F36" i="16"/>
  <c r="E36" i="16"/>
  <c r="D36" i="16"/>
  <c r="O35" i="16"/>
  <c r="N35" i="16"/>
  <c r="M35" i="16"/>
  <c r="L35" i="16"/>
  <c r="K35" i="16"/>
  <c r="H35" i="16"/>
  <c r="F35" i="16"/>
  <c r="E35" i="16"/>
  <c r="D35" i="16"/>
  <c r="O34" i="16"/>
  <c r="N34" i="16"/>
  <c r="M34" i="16"/>
  <c r="L34" i="16"/>
  <c r="K34" i="16"/>
  <c r="H34" i="16"/>
  <c r="F34" i="16"/>
  <c r="E34" i="16"/>
  <c r="D34" i="16"/>
  <c r="O32" i="16"/>
  <c r="N32" i="16"/>
  <c r="M32" i="16"/>
  <c r="L32" i="16"/>
  <c r="K32" i="16"/>
  <c r="H32" i="16"/>
  <c r="F32" i="16"/>
  <c r="E32" i="16"/>
  <c r="D32" i="16"/>
  <c r="O31" i="16"/>
  <c r="N31" i="16"/>
  <c r="M31" i="16"/>
  <c r="L31" i="16"/>
  <c r="K31" i="16"/>
  <c r="H31" i="16"/>
  <c r="F31" i="16"/>
  <c r="E31" i="16"/>
  <c r="D31" i="16"/>
  <c r="O30" i="16"/>
  <c r="N30" i="16"/>
  <c r="M30" i="16"/>
  <c r="L30" i="16"/>
  <c r="K30" i="16"/>
  <c r="H30" i="16"/>
  <c r="F30" i="16"/>
  <c r="E30" i="16"/>
  <c r="D30" i="16"/>
  <c r="O29" i="16"/>
  <c r="N29" i="16"/>
  <c r="M29" i="16"/>
  <c r="L29" i="16"/>
  <c r="K29" i="16"/>
  <c r="H29" i="16"/>
  <c r="F29" i="16"/>
  <c r="E29" i="16"/>
  <c r="D29" i="16"/>
  <c r="O28" i="16"/>
  <c r="N28" i="16"/>
  <c r="M28" i="16"/>
  <c r="L28" i="16"/>
  <c r="K28" i="16"/>
  <c r="H28" i="16"/>
  <c r="F28" i="16"/>
  <c r="E28" i="16"/>
  <c r="D28" i="16"/>
  <c r="O27" i="16"/>
  <c r="N27" i="16"/>
  <c r="M27" i="16"/>
  <c r="L27" i="16"/>
  <c r="K27" i="16"/>
  <c r="H27" i="16"/>
  <c r="F27" i="16"/>
  <c r="E27" i="16"/>
  <c r="D27" i="16"/>
  <c r="O26" i="16"/>
  <c r="N26" i="16"/>
  <c r="M26" i="16"/>
  <c r="L26" i="16"/>
  <c r="K26" i="16"/>
  <c r="H26" i="16"/>
  <c r="F26" i="16"/>
  <c r="E26" i="16"/>
  <c r="D26" i="16"/>
  <c r="O25" i="16"/>
  <c r="N25" i="16"/>
  <c r="M25" i="16"/>
  <c r="L25" i="16"/>
  <c r="K25" i="16"/>
  <c r="H25" i="16"/>
  <c r="F25" i="16"/>
  <c r="E25" i="16"/>
  <c r="D25" i="16"/>
  <c r="O24" i="16"/>
  <c r="N24" i="16"/>
  <c r="M24" i="16"/>
  <c r="L24" i="16"/>
  <c r="K24" i="16"/>
  <c r="H24" i="16"/>
  <c r="F24" i="16"/>
  <c r="E24" i="16"/>
  <c r="D24" i="16"/>
  <c r="O23" i="16"/>
  <c r="N23" i="16"/>
  <c r="M23" i="16"/>
  <c r="L23" i="16"/>
  <c r="K23" i="16"/>
  <c r="H23" i="16"/>
  <c r="F23" i="16"/>
  <c r="E23" i="16"/>
  <c r="D23" i="16"/>
  <c r="O22" i="16"/>
  <c r="N22" i="16"/>
  <c r="M22" i="16"/>
  <c r="L22" i="16"/>
  <c r="K22" i="16"/>
  <c r="H22" i="16"/>
  <c r="F22" i="16"/>
  <c r="E22" i="16"/>
  <c r="D22" i="16"/>
  <c r="O21" i="16"/>
  <c r="N21" i="16"/>
  <c r="M21" i="16"/>
  <c r="L21" i="16"/>
  <c r="K21" i="16"/>
  <c r="H21" i="16"/>
  <c r="F21" i="16"/>
  <c r="E21" i="16"/>
  <c r="D21" i="16"/>
  <c r="O20" i="16"/>
  <c r="N20" i="16"/>
  <c r="M20" i="16"/>
  <c r="L20" i="16"/>
  <c r="K20" i="16"/>
  <c r="H20" i="16"/>
  <c r="F20" i="16"/>
  <c r="E20" i="16"/>
  <c r="D20" i="16"/>
  <c r="O19" i="16"/>
  <c r="N19" i="16"/>
  <c r="M19" i="16"/>
  <c r="L19" i="16"/>
  <c r="K19" i="16"/>
  <c r="H19" i="16"/>
  <c r="F19" i="16"/>
  <c r="E19" i="16"/>
  <c r="D19" i="16"/>
  <c r="O18" i="16"/>
  <c r="N18" i="16"/>
  <c r="M18" i="16"/>
  <c r="L18" i="16"/>
  <c r="K18" i="16"/>
  <c r="H18" i="16"/>
  <c r="F18" i="16"/>
  <c r="E18" i="16"/>
  <c r="D18" i="16"/>
  <c r="O17" i="16"/>
  <c r="N17" i="16"/>
  <c r="M17" i="16"/>
  <c r="L17" i="16"/>
  <c r="K17" i="16"/>
  <c r="H17" i="16"/>
  <c r="F17" i="16"/>
  <c r="E17" i="16"/>
  <c r="D17" i="16"/>
  <c r="O16" i="16"/>
  <c r="N16" i="16"/>
  <c r="M16" i="16"/>
  <c r="L16" i="16"/>
  <c r="K16" i="16"/>
  <c r="H16" i="16"/>
  <c r="F16" i="16"/>
  <c r="E16" i="16"/>
  <c r="D16" i="16"/>
  <c r="J14" i="16"/>
  <c r="G14" i="16"/>
  <c r="M13" i="16"/>
  <c r="N12" i="16"/>
  <c r="N11" i="16" s="1"/>
  <c r="M12" i="16"/>
  <c r="K12" i="16"/>
  <c r="P114" i="15"/>
  <c r="S114" i="15" s="1"/>
  <c r="L114" i="15"/>
  <c r="O114" i="15" s="1"/>
  <c r="K114" i="15"/>
  <c r="J114" i="15"/>
  <c r="I114" i="15"/>
  <c r="E114" i="15"/>
  <c r="D114" i="15"/>
  <c r="P113" i="15"/>
  <c r="S113" i="15" s="1"/>
  <c r="L113" i="15"/>
  <c r="O113" i="15" s="1"/>
  <c r="K113" i="15"/>
  <c r="J113" i="15"/>
  <c r="I113" i="15"/>
  <c r="E113" i="15"/>
  <c r="D113" i="15"/>
  <c r="P112" i="15"/>
  <c r="S112" i="15" s="1"/>
  <c r="L112" i="15"/>
  <c r="O112" i="15" s="1"/>
  <c r="K112" i="15"/>
  <c r="J112" i="15"/>
  <c r="I112" i="15"/>
  <c r="E112" i="15"/>
  <c r="D112" i="15"/>
  <c r="P111" i="15"/>
  <c r="S111" i="15" s="1"/>
  <c r="L111" i="15"/>
  <c r="O111" i="15" s="1"/>
  <c r="K111" i="15"/>
  <c r="J111" i="15"/>
  <c r="I111" i="15"/>
  <c r="E111" i="15"/>
  <c r="D111" i="15"/>
  <c r="P110" i="15"/>
  <c r="L110" i="15"/>
  <c r="O110" i="15" s="1"/>
  <c r="K110" i="15"/>
  <c r="J110" i="15"/>
  <c r="I110" i="15"/>
  <c r="E110" i="15"/>
  <c r="D110" i="15"/>
  <c r="A110" i="15"/>
  <c r="A111" i="15" s="1"/>
  <c r="A112" i="15" s="1"/>
  <c r="P109" i="15"/>
  <c r="S109" i="15" s="1"/>
  <c r="L109" i="15"/>
  <c r="O109" i="15" s="1"/>
  <c r="K109" i="15"/>
  <c r="J109" i="15"/>
  <c r="I109" i="15"/>
  <c r="E109" i="15"/>
  <c r="D109" i="15"/>
  <c r="P108" i="15"/>
  <c r="S108" i="15" s="1"/>
  <c r="L108" i="15"/>
  <c r="O108" i="15" s="1"/>
  <c r="K108" i="15"/>
  <c r="J108" i="15"/>
  <c r="I108" i="15"/>
  <c r="E108" i="15"/>
  <c r="D108" i="15"/>
  <c r="P107" i="15"/>
  <c r="S107" i="15" s="1"/>
  <c r="L107" i="15"/>
  <c r="O107" i="15" s="1"/>
  <c r="K107" i="15"/>
  <c r="J107" i="15"/>
  <c r="I107" i="15"/>
  <c r="E107" i="15"/>
  <c r="D107" i="15"/>
  <c r="R106" i="15"/>
  <c r="R13" i="15" s="1"/>
  <c r="Q106" i="15"/>
  <c r="Q13" i="15" s="1"/>
  <c r="N106" i="15"/>
  <c r="M106" i="15"/>
  <c r="H106" i="15"/>
  <c r="K106" i="15" s="1"/>
  <c r="F106" i="15"/>
  <c r="P105" i="15"/>
  <c r="S105" i="15" s="1"/>
  <c r="L105" i="15"/>
  <c r="O105" i="15" s="1"/>
  <c r="K105" i="15"/>
  <c r="J105" i="15"/>
  <c r="I105" i="15"/>
  <c r="E105" i="15"/>
  <c r="D105" i="15"/>
  <c r="P104" i="15"/>
  <c r="S104" i="15" s="1"/>
  <c r="L104" i="15"/>
  <c r="O104" i="15" s="1"/>
  <c r="K104" i="15"/>
  <c r="J104" i="15"/>
  <c r="I104" i="15"/>
  <c r="E104" i="15"/>
  <c r="D104" i="15"/>
  <c r="P103" i="15"/>
  <c r="S103" i="15" s="1"/>
  <c r="L103" i="15"/>
  <c r="O103" i="15" s="1"/>
  <c r="K103" i="15"/>
  <c r="J103" i="15"/>
  <c r="I103" i="15"/>
  <c r="E103" i="15"/>
  <c r="D103" i="15"/>
  <c r="P102" i="15"/>
  <c r="S102" i="15" s="1"/>
  <c r="L102" i="15"/>
  <c r="O102" i="15" s="1"/>
  <c r="K102" i="15"/>
  <c r="J102" i="15"/>
  <c r="I102" i="15"/>
  <c r="E102" i="15"/>
  <c r="D102" i="15"/>
  <c r="R101" i="15"/>
  <c r="Q101" i="15"/>
  <c r="P101" i="15"/>
  <c r="L101" i="15"/>
  <c r="O101" i="15" s="1"/>
  <c r="F101" i="15"/>
  <c r="F91" i="15" s="1"/>
  <c r="F12" i="15" s="1"/>
  <c r="F11" i="15" s="1"/>
  <c r="E101" i="15"/>
  <c r="D101" i="15"/>
  <c r="P100" i="15"/>
  <c r="S100" i="15" s="1"/>
  <c r="L100" i="15"/>
  <c r="O100" i="15" s="1"/>
  <c r="K100" i="15"/>
  <c r="J100" i="15"/>
  <c r="I100" i="15"/>
  <c r="E100" i="15"/>
  <c r="D100" i="15"/>
  <c r="P99" i="15"/>
  <c r="S99" i="15" s="1"/>
  <c r="L99" i="15"/>
  <c r="O99" i="15" s="1"/>
  <c r="K99" i="15"/>
  <c r="J99" i="15"/>
  <c r="I99" i="15"/>
  <c r="E99" i="15"/>
  <c r="D99" i="15"/>
  <c r="P98" i="15"/>
  <c r="S98" i="15" s="1"/>
  <c r="L98" i="15"/>
  <c r="O98" i="15" s="1"/>
  <c r="K98" i="15"/>
  <c r="J98" i="15"/>
  <c r="I98" i="15"/>
  <c r="E98" i="15"/>
  <c r="D98" i="15"/>
  <c r="P97" i="15"/>
  <c r="S97" i="15" s="1"/>
  <c r="L97" i="15"/>
  <c r="O97" i="15" s="1"/>
  <c r="K97" i="15"/>
  <c r="J97" i="15"/>
  <c r="I97" i="15"/>
  <c r="E97" i="15"/>
  <c r="D97" i="15"/>
  <c r="P96" i="15"/>
  <c r="S96" i="15" s="1"/>
  <c r="L96" i="15"/>
  <c r="O96" i="15" s="1"/>
  <c r="K96" i="15"/>
  <c r="J96" i="15"/>
  <c r="I96" i="15"/>
  <c r="E96" i="15"/>
  <c r="D96" i="15"/>
  <c r="P95" i="15"/>
  <c r="S95" i="15" s="1"/>
  <c r="L95" i="15"/>
  <c r="O95" i="15" s="1"/>
  <c r="K95" i="15"/>
  <c r="J95" i="15"/>
  <c r="I95" i="15"/>
  <c r="E95" i="15"/>
  <c r="D95" i="15"/>
  <c r="A95" i="15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P94" i="15"/>
  <c r="S94" i="15" s="1"/>
  <c r="L94" i="15"/>
  <c r="O94" i="15" s="1"/>
  <c r="K94" i="15"/>
  <c r="J94" i="15"/>
  <c r="I94" i="15"/>
  <c r="E94" i="15"/>
  <c r="D94" i="15"/>
  <c r="P93" i="15"/>
  <c r="S93" i="15" s="1"/>
  <c r="L93" i="15"/>
  <c r="O93" i="15" s="1"/>
  <c r="K93" i="15"/>
  <c r="J93" i="15"/>
  <c r="I93" i="15"/>
  <c r="E93" i="15"/>
  <c r="D93" i="15"/>
  <c r="P92" i="15"/>
  <c r="S92" i="15" s="1"/>
  <c r="L92" i="15"/>
  <c r="K92" i="15"/>
  <c r="J92" i="15"/>
  <c r="I92" i="15"/>
  <c r="E92" i="15"/>
  <c r="D92" i="15"/>
  <c r="N91" i="15"/>
  <c r="M91" i="15"/>
  <c r="R90" i="15"/>
  <c r="Q90" i="15"/>
  <c r="P90" i="15"/>
  <c r="S90" i="15" s="1"/>
  <c r="N90" i="15"/>
  <c r="M90" i="15"/>
  <c r="L90" i="15"/>
  <c r="O90" i="15" s="1"/>
  <c r="K90" i="15"/>
  <c r="F90" i="15"/>
  <c r="E90" i="15"/>
  <c r="D90" i="15"/>
  <c r="R89" i="15"/>
  <c r="Q89" i="15"/>
  <c r="P89" i="15"/>
  <c r="S89" i="15" s="1"/>
  <c r="N89" i="15"/>
  <c r="M89" i="15"/>
  <c r="L89" i="15"/>
  <c r="O89" i="15" s="1"/>
  <c r="K89" i="15"/>
  <c r="F89" i="15"/>
  <c r="E89" i="15"/>
  <c r="D89" i="15"/>
  <c r="R88" i="15"/>
  <c r="Q88" i="15"/>
  <c r="P88" i="15"/>
  <c r="S88" i="15" s="1"/>
  <c r="N88" i="15"/>
  <c r="M88" i="15"/>
  <c r="L88" i="15"/>
  <c r="O88" i="15" s="1"/>
  <c r="K88" i="15"/>
  <c r="F88" i="15"/>
  <c r="E88" i="15"/>
  <c r="D88" i="15"/>
  <c r="R87" i="15"/>
  <c r="Q87" i="15"/>
  <c r="P87" i="15"/>
  <c r="S87" i="15" s="1"/>
  <c r="N87" i="15"/>
  <c r="M87" i="15"/>
  <c r="L87" i="15"/>
  <c r="O87" i="15" s="1"/>
  <c r="K87" i="15"/>
  <c r="F87" i="15"/>
  <c r="E87" i="15"/>
  <c r="D87" i="15"/>
  <c r="R86" i="15"/>
  <c r="Q86" i="15"/>
  <c r="P86" i="15"/>
  <c r="S86" i="15" s="1"/>
  <c r="N86" i="15"/>
  <c r="M86" i="15"/>
  <c r="L86" i="15"/>
  <c r="O86" i="15" s="1"/>
  <c r="K86" i="15"/>
  <c r="F86" i="15"/>
  <c r="E86" i="15"/>
  <c r="D86" i="15"/>
  <c r="R85" i="15"/>
  <c r="Q85" i="15"/>
  <c r="P85" i="15"/>
  <c r="S85" i="15" s="1"/>
  <c r="N85" i="15"/>
  <c r="M85" i="15"/>
  <c r="L85" i="15"/>
  <c r="O85" i="15" s="1"/>
  <c r="K85" i="15"/>
  <c r="F85" i="15"/>
  <c r="E85" i="15"/>
  <c r="D85" i="15"/>
  <c r="R84" i="15"/>
  <c r="Q84" i="15"/>
  <c r="P84" i="15"/>
  <c r="S84" i="15" s="1"/>
  <c r="N84" i="15"/>
  <c r="M84" i="15"/>
  <c r="L84" i="15"/>
  <c r="O84" i="15" s="1"/>
  <c r="K84" i="15"/>
  <c r="F84" i="15"/>
  <c r="E84" i="15"/>
  <c r="D84" i="15"/>
  <c r="R83" i="15"/>
  <c r="Q83" i="15"/>
  <c r="P83" i="15"/>
  <c r="S83" i="15" s="1"/>
  <c r="N83" i="15"/>
  <c r="M83" i="15"/>
  <c r="L83" i="15"/>
  <c r="O83" i="15" s="1"/>
  <c r="K83" i="15"/>
  <c r="F83" i="15"/>
  <c r="E83" i="15"/>
  <c r="D83" i="15"/>
  <c r="R82" i="15"/>
  <c r="Q82" i="15"/>
  <c r="P82" i="15"/>
  <c r="S82" i="15" s="1"/>
  <c r="N82" i="15"/>
  <c r="M82" i="15"/>
  <c r="L82" i="15"/>
  <c r="O82" i="15" s="1"/>
  <c r="K82" i="15"/>
  <c r="F82" i="15"/>
  <c r="E82" i="15"/>
  <c r="D82" i="15"/>
  <c r="R81" i="15"/>
  <c r="Q81" i="15"/>
  <c r="P81" i="15"/>
  <c r="S81" i="15" s="1"/>
  <c r="N81" i="15"/>
  <c r="M81" i="15"/>
  <c r="L81" i="15"/>
  <c r="O81" i="15" s="1"/>
  <c r="K81" i="15"/>
  <c r="F81" i="15"/>
  <c r="E81" i="15"/>
  <c r="D81" i="15"/>
  <c r="R80" i="15"/>
  <c r="Q80" i="15"/>
  <c r="P80" i="15"/>
  <c r="S80" i="15" s="1"/>
  <c r="N80" i="15"/>
  <c r="M80" i="15"/>
  <c r="L80" i="15"/>
  <c r="O80" i="15" s="1"/>
  <c r="K80" i="15"/>
  <c r="F80" i="15"/>
  <c r="E80" i="15"/>
  <c r="D80" i="15"/>
  <c r="R79" i="15"/>
  <c r="Q79" i="15"/>
  <c r="P79" i="15"/>
  <c r="S79" i="15" s="1"/>
  <c r="N79" i="15"/>
  <c r="M79" i="15"/>
  <c r="L79" i="15"/>
  <c r="O79" i="15" s="1"/>
  <c r="K79" i="15"/>
  <c r="F79" i="15"/>
  <c r="E79" i="15"/>
  <c r="D79" i="15"/>
  <c r="R78" i="15"/>
  <c r="Q78" i="15"/>
  <c r="P78" i="15"/>
  <c r="N78" i="15"/>
  <c r="M78" i="15"/>
  <c r="L78" i="15"/>
  <c r="O78" i="15" s="1"/>
  <c r="K78" i="15"/>
  <c r="F78" i="15"/>
  <c r="E78" i="15"/>
  <c r="D78" i="15"/>
  <c r="R77" i="15"/>
  <c r="Q77" i="15"/>
  <c r="P77" i="15"/>
  <c r="S77" i="15" s="1"/>
  <c r="N77" i="15"/>
  <c r="M77" i="15"/>
  <c r="L77" i="15"/>
  <c r="O77" i="15" s="1"/>
  <c r="K77" i="15"/>
  <c r="F77" i="15"/>
  <c r="E77" i="15"/>
  <c r="D77" i="15"/>
  <c r="H76" i="15"/>
  <c r="K76" i="15" s="1"/>
  <c r="R75" i="15"/>
  <c r="Q75" i="15"/>
  <c r="P75" i="15"/>
  <c r="S75" i="15" s="1"/>
  <c r="N75" i="15"/>
  <c r="M75" i="15"/>
  <c r="L75" i="15"/>
  <c r="O75" i="15" s="1"/>
  <c r="K75" i="15"/>
  <c r="F75" i="15"/>
  <c r="E75" i="15"/>
  <c r="D75" i="15"/>
  <c r="R74" i="15"/>
  <c r="Q74" i="15"/>
  <c r="P74" i="15"/>
  <c r="S74" i="15" s="1"/>
  <c r="N74" i="15"/>
  <c r="M74" i="15"/>
  <c r="L74" i="15"/>
  <c r="O74" i="15" s="1"/>
  <c r="K74" i="15"/>
  <c r="F74" i="15"/>
  <c r="E74" i="15"/>
  <c r="D74" i="15"/>
  <c r="R73" i="15"/>
  <c r="Q73" i="15"/>
  <c r="P73" i="15"/>
  <c r="S73" i="15" s="1"/>
  <c r="N73" i="15"/>
  <c r="M73" i="15"/>
  <c r="L73" i="15"/>
  <c r="O73" i="15" s="1"/>
  <c r="K73" i="15"/>
  <c r="F73" i="15"/>
  <c r="E73" i="15"/>
  <c r="D73" i="15"/>
  <c r="R72" i="15"/>
  <c r="Q72" i="15"/>
  <c r="P72" i="15"/>
  <c r="S72" i="15" s="1"/>
  <c r="N72" i="15"/>
  <c r="M72" i="15"/>
  <c r="L72" i="15"/>
  <c r="O72" i="15" s="1"/>
  <c r="K72" i="15"/>
  <c r="F72" i="15"/>
  <c r="E72" i="15"/>
  <c r="D72" i="15"/>
  <c r="R71" i="15"/>
  <c r="Q71" i="15"/>
  <c r="P71" i="15"/>
  <c r="S71" i="15" s="1"/>
  <c r="N71" i="15"/>
  <c r="M71" i="15"/>
  <c r="L71" i="15"/>
  <c r="O71" i="15" s="1"/>
  <c r="K71" i="15"/>
  <c r="F71" i="15"/>
  <c r="E71" i="15"/>
  <c r="D71" i="15"/>
  <c r="R70" i="15"/>
  <c r="Q70" i="15"/>
  <c r="P70" i="15"/>
  <c r="S70" i="15" s="1"/>
  <c r="N70" i="15"/>
  <c r="M70" i="15"/>
  <c r="L70" i="15"/>
  <c r="O70" i="15" s="1"/>
  <c r="K70" i="15"/>
  <c r="F70" i="15"/>
  <c r="E70" i="15"/>
  <c r="D70" i="15"/>
  <c r="R69" i="15"/>
  <c r="Q69" i="15"/>
  <c r="P69" i="15"/>
  <c r="S69" i="15" s="1"/>
  <c r="N69" i="15"/>
  <c r="M69" i="15"/>
  <c r="L69" i="15"/>
  <c r="O69" i="15" s="1"/>
  <c r="K69" i="15"/>
  <c r="F69" i="15"/>
  <c r="E69" i="15"/>
  <c r="D69" i="15"/>
  <c r="R68" i="15"/>
  <c r="Q68" i="15"/>
  <c r="P68" i="15"/>
  <c r="S68" i="15" s="1"/>
  <c r="N68" i="15"/>
  <c r="M68" i="15"/>
  <c r="L68" i="15"/>
  <c r="O68" i="15" s="1"/>
  <c r="K68" i="15"/>
  <c r="F68" i="15"/>
  <c r="E68" i="15"/>
  <c r="D68" i="15"/>
  <c r="R67" i="15"/>
  <c r="Q67" i="15"/>
  <c r="P67" i="15"/>
  <c r="S67" i="15" s="1"/>
  <c r="N67" i="15"/>
  <c r="M67" i="15"/>
  <c r="L67" i="15"/>
  <c r="O67" i="15" s="1"/>
  <c r="K67" i="15"/>
  <c r="F67" i="15"/>
  <c r="E67" i="15"/>
  <c r="D67" i="15"/>
  <c r="R66" i="15"/>
  <c r="Q66" i="15"/>
  <c r="P66" i="15"/>
  <c r="S66" i="15" s="1"/>
  <c r="N66" i="15"/>
  <c r="M66" i="15"/>
  <c r="L66" i="15"/>
  <c r="O66" i="15" s="1"/>
  <c r="K66" i="15"/>
  <c r="F66" i="15"/>
  <c r="E66" i="15"/>
  <c r="D66" i="15"/>
  <c r="R65" i="15"/>
  <c r="Q65" i="15"/>
  <c r="P65" i="15"/>
  <c r="S65" i="15" s="1"/>
  <c r="N65" i="15"/>
  <c r="M65" i="15"/>
  <c r="L65" i="15"/>
  <c r="O65" i="15" s="1"/>
  <c r="K65" i="15"/>
  <c r="F65" i="15"/>
  <c r="E65" i="15"/>
  <c r="D65" i="15"/>
  <c r="R64" i="15"/>
  <c r="Q64" i="15"/>
  <c r="P64" i="15"/>
  <c r="S64" i="15" s="1"/>
  <c r="N64" i="15"/>
  <c r="M64" i="15"/>
  <c r="L64" i="15"/>
  <c r="O64" i="15" s="1"/>
  <c r="K64" i="15"/>
  <c r="F64" i="15"/>
  <c r="E64" i="15"/>
  <c r="D64" i="15"/>
  <c r="R63" i="15"/>
  <c r="Q63" i="15"/>
  <c r="P63" i="15"/>
  <c r="S63" i="15" s="1"/>
  <c r="N63" i="15"/>
  <c r="M63" i="15"/>
  <c r="L63" i="15"/>
  <c r="O63" i="15" s="1"/>
  <c r="K63" i="15"/>
  <c r="F63" i="15"/>
  <c r="E63" i="15"/>
  <c r="D63" i="15"/>
  <c r="R62" i="15"/>
  <c r="Q62" i="15"/>
  <c r="P62" i="15"/>
  <c r="S62" i="15" s="1"/>
  <c r="N62" i="15"/>
  <c r="M62" i="15"/>
  <c r="L62" i="15"/>
  <c r="O62" i="15" s="1"/>
  <c r="K62" i="15"/>
  <c r="F62" i="15"/>
  <c r="E62" i="15"/>
  <c r="D62" i="15"/>
  <c r="R61" i="15"/>
  <c r="Q61" i="15"/>
  <c r="P61" i="15"/>
  <c r="S61" i="15" s="1"/>
  <c r="N61" i="15"/>
  <c r="M61" i="15"/>
  <c r="L61" i="15"/>
  <c r="O61" i="15" s="1"/>
  <c r="K61" i="15"/>
  <c r="F61" i="15"/>
  <c r="E61" i="15"/>
  <c r="D61" i="15"/>
  <c r="R60" i="15"/>
  <c r="Q60" i="15"/>
  <c r="P60" i="15"/>
  <c r="S60" i="15" s="1"/>
  <c r="N60" i="15"/>
  <c r="M60" i="15"/>
  <c r="L60" i="15"/>
  <c r="O60" i="15" s="1"/>
  <c r="K60" i="15"/>
  <c r="F60" i="15"/>
  <c r="E60" i="15"/>
  <c r="D60" i="15"/>
  <c r="R59" i="15"/>
  <c r="Q59" i="15"/>
  <c r="P59" i="15"/>
  <c r="S59" i="15" s="1"/>
  <c r="N59" i="15"/>
  <c r="M59" i="15"/>
  <c r="L59" i="15"/>
  <c r="O59" i="15" s="1"/>
  <c r="K59" i="15"/>
  <c r="F59" i="15"/>
  <c r="E59" i="15"/>
  <c r="D59" i="15"/>
  <c r="R58" i="15"/>
  <c r="Q58" i="15"/>
  <c r="P58" i="15"/>
  <c r="S58" i="15" s="1"/>
  <c r="N58" i="15"/>
  <c r="M58" i="15"/>
  <c r="L58" i="15"/>
  <c r="O58" i="15" s="1"/>
  <c r="K58" i="15"/>
  <c r="F58" i="15"/>
  <c r="E58" i="15"/>
  <c r="D58" i="15"/>
  <c r="R57" i="15"/>
  <c r="Q57" i="15"/>
  <c r="P57" i="15"/>
  <c r="S57" i="15" s="1"/>
  <c r="N57" i="15"/>
  <c r="M57" i="15"/>
  <c r="L57" i="15"/>
  <c r="O57" i="15" s="1"/>
  <c r="K57" i="15"/>
  <c r="F57" i="15"/>
  <c r="E57" i="15"/>
  <c r="D57" i="15"/>
  <c r="R56" i="15"/>
  <c r="Q56" i="15"/>
  <c r="P56" i="15"/>
  <c r="S56" i="15" s="1"/>
  <c r="N56" i="15"/>
  <c r="M56" i="15"/>
  <c r="L56" i="15"/>
  <c r="O56" i="15" s="1"/>
  <c r="K56" i="15"/>
  <c r="F56" i="15"/>
  <c r="E56" i="15"/>
  <c r="D56" i="15"/>
  <c r="R55" i="15"/>
  <c r="Q55" i="15"/>
  <c r="P55" i="15"/>
  <c r="S55" i="15" s="1"/>
  <c r="N55" i="15"/>
  <c r="M55" i="15"/>
  <c r="L55" i="15"/>
  <c r="F55" i="15"/>
  <c r="E55" i="15"/>
  <c r="D55" i="15"/>
  <c r="H54" i="15"/>
  <c r="R53" i="15"/>
  <c r="Q53" i="15"/>
  <c r="P53" i="15"/>
  <c r="S53" i="15" s="1"/>
  <c r="N53" i="15"/>
  <c r="M53" i="15"/>
  <c r="L53" i="15"/>
  <c r="F53" i="15"/>
  <c r="E53" i="15"/>
  <c r="D53" i="15"/>
  <c r="R52" i="15"/>
  <c r="Q52" i="15"/>
  <c r="P52" i="15"/>
  <c r="S52" i="15" s="1"/>
  <c r="N52" i="15"/>
  <c r="M52" i="15"/>
  <c r="L52" i="15"/>
  <c r="O52" i="15" s="1"/>
  <c r="K52" i="15"/>
  <c r="F52" i="15"/>
  <c r="E52" i="15"/>
  <c r="D52" i="15"/>
  <c r="R51" i="15"/>
  <c r="Q51" i="15"/>
  <c r="P51" i="15"/>
  <c r="S51" i="15" s="1"/>
  <c r="N51" i="15"/>
  <c r="M51" i="15"/>
  <c r="L51" i="15"/>
  <c r="O51" i="15" s="1"/>
  <c r="K51" i="15"/>
  <c r="F51" i="15"/>
  <c r="E51" i="15"/>
  <c r="D51" i="15"/>
  <c r="R50" i="15"/>
  <c r="Q50" i="15"/>
  <c r="P50" i="15"/>
  <c r="S50" i="15" s="1"/>
  <c r="N50" i="15"/>
  <c r="M50" i="15"/>
  <c r="L50" i="15"/>
  <c r="F50" i="15"/>
  <c r="E50" i="15"/>
  <c r="D50" i="15"/>
  <c r="R49" i="15"/>
  <c r="Q49" i="15"/>
  <c r="P49" i="15"/>
  <c r="S49" i="15" s="1"/>
  <c r="N49" i="15"/>
  <c r="M49" i="15"/>
  <c r="L49" i="15"/>
  <c r="O49" i="15" s="1"/>
  <c r="K49" i="15"/>
  <c r="F49" i="15"/>
  <c r="E49" i="15"/>
  <c r="D49" i="15"/>
  <c r="R48" i="15"/>
  <c r="Q48" i="15"/>
  <c r="P48" i="15"/>
  <c r="S48" i="15" s="1"/>
  <c r="N48" i="15"/>
  <c r="M48" i="15"/>
  <c r="L48" i="15"/>
  <c r="O48" i="15" s="1"/>
  <c r="K48" i="15"/>
  <c r="F48" i="15"/>
  <c r="E48" i="15"/>
  <c r="D48" i="15"/>
  <c r="R47" i="15"/>
  <c r="Q47" i="15"/>
  <c r="P47" i="15"/>
  <c r="S47" i="15" s="1"/>
  <c r="N47" i="15"/>
  <c r="M47" i="15"/>
  <c r="L47" i="15"/>
  <c r="O47" i="15" s="1"/>
  <c r="K47" i="15"/>
  <c r="F47" i="15"/>
  <c r="E47" i="15"/>
  <c r="D47" i="15"/>
  <c r="R46" i="15"/>
  <c r="Q46" i="15"/>
  <c r="P46" i="15"/>
  <c r="S46" i="15" s="1"/>
  <c r="N46" i="15"/>
  <c r="M46" i="15"/>
  <c r="L46" i="15"/>
  <c r="O46" i="15" s="1"/>
  <c r="K46" i="15"/>
  <c r="F46" i="15"/>
  <c r="E46" i="15"/>
  <c r="D46" i="15"/>
  <c r="R45" i="15"/>
  <c r="Q45" i="15"/>
  <c r="P45" i="15"/>
  <c r="S45" i="15" s="1"/>
  <c r="N45" i="15"/>
  <c r="M45" i="15"/>
  <c r="L45" i="15"/>
  <c r="F45" i="15"/>
  <c r="E45" i="15"/>
  <c r="D45" i="15"/>
  <c r="R44" i="15"/>
  <c r="Q44" i="15"/>
  <c r="P44" i="15"/>
  <c r="S44" i="15" s="1"/>
  <c r="N44" i="15"/>
  <c r="M44" i="15"/>
  <c r="L44" i="15"/>
  <c r="O44" i="15" s="1"/>
  <c r="K44" i="15"/>
  <c r="F44" i="15"/>
  <c r="E44" i="15"/>
  <c r="D44" i="15"/>
  <c r="R43" i="15"/>
  <c r="Q43" i="15"/>
  <c r="P43" i="15"/>
  <c r="S43" i="15" s="1"/>
  <c r="N43" i="15"/>
  <c r="M43" i="15"/>
  <c r="L43" i="15"/>
  <c r="O43" i="15" s="1"/>
  <c r="K43" i="15"/>
  <c r="F43" i="15"/>
  <c r="E43" i="15"/>
  <c r="D43" i="15"/>
  <c r="R42" i="15"/>
  <c r="Q42" i="15"/>
  <c r="P42" i="15"/>
  <c r="S42" i="15" s="1"/>
  <c r="N42" i="15"/>
  <c r="M42" i="15"/>
  <c r="L42" i="15"/>
  <c r="O42" i="15" s="1"/>
  <c r="K42" i="15"/>
  <c r="F42" i="15"/>
  <c r="E42" i="15"/>
  <c r="D42" i="15"/>
  <c r="R41" i="15"/>
  <c r="Q41" i="15"/>
  <c r="P41" i="15"/>
  <c r="S41" i="15" s="1"/>
  <c r="N41" i="15"/>
  <c r="M41" i="15"/>
  <c r="L41" i="15"/>
  <c r="O41" i="15" s="1"/>
  <c r="K41" i="15"/>
  <c r="F41" i="15"/>
  <c r="E41" i="15"/>
  <c r="D41" i="15"/>
  <c r="R40" i="15"/>
  <c r="Q40" i="15"/>
  <c r="P40" i="15"/>
  <c r="S40" i="15" s="1"/>
  <c r="N40" i="15"/>
  <c r="M40" i="15"/>
  <c r="L40" i="15"/>
  <c r="O40" i="15" s="1"/>
  <c r="K40" i="15"/>
  <c r="F40" i="15"/>
  <c r="E40" i="15"/>
  <c r="D40" i="15"/>
  <c r="R39" i="15"/>
  <c r="Q39" i="15"/>
  <c r="P39" i="15"/>
  <c r="S39" i="15" s="1"/>
  <c r="N39" i="15"/>
  <c r="M39" i="15"/>
  <c r="L39" i="15"/>
  <c r="F39" i="15"/>
  <c r="E39" i="15"/>
  <c r="D39" i="15"/>
  <c r="R38" i="15"/>
  <c r="Q38" i="15"/>
  <c r="P38" i="15"/>
  <c r="S38" i="15" s="1"/>
  <c r="N38" i="15"/>
  <c r="M38" i="15"/>
  <c r="L38" i="15"/>
  <c r="F38" i="15"/>
  <c r="E38" i="15"/>
  <c r="D38" i="15"/>
  <c r="R37" i="15"/>
  <c r="Q37" i="15"/>
  <c r="P37" i="15"/>
  <c r="S37" i="15" s="1"/>
  <c r="N37" i="15"/>
  <c r="M37" i="15"/>
  <c r="L37" i="15"/>
  <c r="O37" i="15" s="1"/>
  <c r="K37" i="15"/>
  <c r="F37" i="15"/>
  <c r="E37" i="15"/>
  <c r="D37" i="15"/>
  <c r="R36" i="15"/>
  <c r="Q36" i="15"/>
  <c r="P36" i="15"/>
  <c r="S36" i="15" s="1"/>
  <c r="N36" i="15"/>
  <c r="M36" i="15"/>
  <c r="L36" i="15"/>
  <c r="O36" i="15" s="1"/>
  <c r="K36" i="15"/>
  <c r="F36" i="15"/>
  <c r="E36" i="15"/>
  <c r="D36" i="15"/>
  <c r="R35" i="15"/>
  <c r="Q35" i="15"/>
  <c r="P35" i="15"/>
  <c r="S35" i="15" s="1"/>
  <c r="N35" i="15"/>
  <c r="M35" i="15"/>
  <c r="L35" i="15"/>
  <c r="O35" i="15" s="1"/>
  <c r="K35" i="15"/>
  <c r="F35" i="15"/>
  <c r="E35" i="15"/>
  <c r="D35" i="15"/>
  <c r="R34" i="15"/>
  <c r="Q34" i="15"/>
  <c r="P34" i="15"/>
  <c r="S34" i="15" s="1"/>
  <c r="N34" i="15"/>
  <c r="M34" i="15"/>
  <c r="L34" i="15"/>
  <c r="O34" i="15" s="1"/>
  <c r="K34" i="15"/>
  <c r="F34" i="15"/>
  <c r="E34" i="15"/>
  <c r="D34" i="15"/>
  <c r="H33" i="15"/>
  <c r="R32" i="15"/>
  <c r="Q32" i="15"/>
  <c r="P32" i="15"/>
  <c r="S32" i="15" s="1"/>
  <c r="N32" i="15"/>
  <c r="M32" i="15"/>
  <c r="L32" i="15"/>
  <c r="F32" i="15"/>
  <c r="E32" i="15"/>
  <c r="D32" i="15"/>
  <c r="R31" i="15"/>
  <c r="Q31" i="15"/>
  <c r="P31" i="15"/>
  <c r="S31" i="15" s="1"/>
  <c r="N31" i="15"/>
  <c r="M31" i="15"/>
  <c r="L31" i="15"/>
  <c r="F31" i="15"/>
  <c r="E31" i="15"/>
  <c r="D31" i="15"/>
  <c r="R30" i="15"/>
  <c r="Q30" i="15"/>
  <c r="P30" i="15"/>
  <c r="S30" i="15" s="1"/>
  <c r="N30" i="15"/>
  <c r="M30" i="15"/>
  <c r="L30" i="15"/>
  <c r="O30" i="15" s="1"/>
  <c r="F30" i="15"/>
  <c r="E30" i="15"/>
  <c r="D30" i="15"/>
  <c r="R29" i="15"/>
  <c r="Q29" i="15"/>
  <c r="P29" i="15"/>
  <c r="S29" i="15" s="1"/>
  <c r="N29" i="15"/>
  <c r="M29" i="15"/>
  <c r="L29" i="15"/>
  <c r="O29" i="15" s="1"/>
  <c r="F29" i="15"/>
  <c r="E29" i="15"/>
  <c r="D29" i="15"/>
  <c r="R28" i="15"/>
  <c r="Q28" i="15"/>
  <c r="P28" i="15"/>
  <c r="S28" i="15" s="1"/>
  <c r="N28" i="15"/>
  <c r="M28" i="15"/>
  <c r="L28" i="15"/>
  <c r="F28" i="15"/>
  <c r="E28" i="15"/>
  <c r="D28" i="15"/>
  <c r="R27" i="15"/>
  <c r="Q27" i="15"/>
  <c r="P27" i="15"/>
  <c r="S27" i="15" s="1"/>
  <c r="N27" i="15"/>
  <c r="M27" i="15"/>
  <c r="L27" i="15"/>
  <c r="O27" i="15" s="1"/>
  <c r="F27" i="15"/>
  <c r="E27" i="15"/>
  <c r="D27" i="15"/>
  <c r="R26" i="15"/>
  <c r="Q26" i="15"/>
  <c r="P26" i="15"/>
  <c r="N26" i="15"/>
  <c r="M26" i="15"/>
  <c r="L26" i="15"/>
  <c r="O26" i="15" s="1"/>
  <c r="F26" i="15"/>
  <c r="E26" i="15"/>
  <c r="D26" i="15"/>
  <c r="R25" i="15"/>
  <c r="Q25" i="15"/>
  <c r="P25" i="15"/>
  <c r="N25" i="15"/>
  <c r="M25" i="15"/>
  <c r="L25" i="15"/>
  <c r="O25" i="15" s="1"/>
  <c r="F25" i="15"/>
  <c r="E25" i="15"/>
  <c r="D25" i="15"/>
  <c r="R24" i="15"/>
  <c r="Q24" i="15"/>
  <c r="P24" i="15"/>
  <c r="S24" i="15" s="1"/>
  <c r="N24" i="15"/>
  <c r="M24" i="15"/>
  <c r="L24" i="15"/>
  <c r="F24" i="15"/>
  <c r="E24" i="15"/>
  <c r="D24" i="15"/>
  <c r="R23" i="15"/>
  <c r="Q23" i="15"/>
  <c r="P23" i="15"/>
  <c r="S23" i="15" s="1"/>
  <c r="N23" i="15"/>
  <c r="M23" i="15"/>
  <c r="L23" i="15"/>
  <c r="F23" i="15"/>
  <c r="E23" i="15"/>
  <c r="D23" i="15"/>
  <c r="R22" i="15"/>
  <c r="Q22" i="15"/>
  <c r="P22" i="15"/>
  <c r="S22" i="15" s="1"/>
  <c r="N22" i="15"/>
  <c r="M22" i="15"/>
  <c r="L22" i="15"/>
  <c r="O22" i="15" s="1"/>
  <c r="F22" i="15"/>
  <c r="E22" i="15"/>
  <c r="D22" i="15"/>
  <c r="R21" i="15"/>
  <c r="Q21" i="15"/>
  <c r="P21" i="15"/>
  <c r="S21" i="15" s="1"/>
  <c r="N21" i="15"/>
  <c r="M21" i="15"/>
  <c r="L21" i="15"/>
  <c r="F21" i="15"/>
  <c r="E21" i="15"/>
  <c r="D21" i="15"/>
  <c r="R20" i="15"/>
  <c r="Q20" i="15"/>
  <c r="P20" i="15"/>
  <c r="S20" i="15" s="1"/>
  <c r="N20" i="15"/>
  <c r="M20" i="15"/>
  <c r="L20" i="15"/>
  <c r="O20" i="15" s="1"/>
  <c r="F20" i="15"/>
  <c r="E20" i="15"/>
  <c r="D20" i="15"/>
  <c r="R19" i="15"/>
  <c r="Q19" i="15"/>
  <c r="P19" i="15"/>
  <c r="S19" i="15" s="1"/>
  <c r="N19" i="15"/>
  <c r="M19" i="15"/>
  <c r="L19" i="15"/>
  <c r="F19" i="15"/>
  <c r="E19" i="15"/>
  <c r="D19" i="15"/>
  <c r="R18" i="15"/>
  <c r="Q18" i="15"/>
  <c r="P18" i="15"/>
  <c r="S18" i="15" s="1"/>
  <c r="N18" i="15"/>
  <c r="M18" i="15"/>
  <c r="L18" i="15"/>
  <c r="F18" i="15"/>
  <c r="E18" i="15"/>
  <c r="D18" i="15"/>
  <c r="R17" i="15"/>
  <c r="Q17" i="15"/>
  <c r="P17" i="15"/>
  <c r="N17" i="15"/>
  <c r="M17" i="15"/>
  <c r="L17" i="15"/>
  <c r="O17" i="15" s="1"/>
  <c r="F17" i="15"/>
  <c r="E17" i="15"/>
  <c r="D17" i="15"/>
  <c r="R16" i="15"/>
  <c r="Q16" i="15"/>
  <c r="P16" i="15"/>
  <c r="S16" i="15" s="1"/>
  <c r="N16" i="15"/>
  <c r="M16" i="15"/>
  <c r="L16" i="15"/>
  <c r="F16" i="15"/>
  <c r="E16" i="15"/>
  <c r="D16" i="15"/>
  <c r="S14" i="15"/>
  <c r="O14" i="15"/>
  <c r="K14" i="15"/>
  <c r="G14" i="15"/>
  <c r="N13" i="15"/>
  <c r="M13" i="15"/>
  <c r="N12" i="15"/>
  <c r="N11" i="15" s="1"/>
  <c r="M12" i="15"/>
  <c r="M11" i="15" s="1"/>
  <c r="S10" i="15"/>
  <c r="H114" i="14"/>
  <c r="J114" i="14" s="1"/>
  <c r="E114" i="14"/>
  <c r="D114" i="14"/>
  <c r="H113" i="14"/>
  <c r="J113" i="14" s="1"/>
  <c r="E113" i="14"/>
  <c r="D113" i="14"/>
  <c r="H112" i="14"/>
  <c r="J112" i="14" s="1"/>
  <c r="E112" i="14"/>
  <c r="D112" i="14"/>
  <c r="H111" i="14"/>
  <c r="J111" i="14" s="1"/>
  <c r="E111" i="14"/>
  <c r="D111" i="14"/>
  <c r="H110" i="14"/>
  <c r="J110" i="14" s="1"/>
  <c r="E110" i="14"/>
  <c r="D110" i="14"/>
  <c r="A110" i="14"/>
  <c r="A111" i="14" s="1"/>
  <c r="A112" i="14" s="1"/>
  <c r="H109" i="14"/>
  <c r="J109" i="14" s="1"/>
  <c r="E109" i="14"/>
  <c r="D109" i="14"/>
  <c r="H108" i="14"/>
  <c r="J108" i="14" s="1"/>
  <c r="E108" i="14"/>
  <c r="D108" i="14"/>
  <c r="H107" i="14"/>
  <c r="J107" i="14" s="1"/>
  <c r="E107" i="14"/>
  <c r="D107" i="14"/>
  <c r="K106" i="14"/>
  <c r="K13" i="14" s="1"/>
  <c r="I106" i="14"/>
  <c r="I13" i="14" s="1"/>
  <c r="F106" i="14"/>
  <c r="H105" i="14"/>
  <c r="J105" i="14" s="1"/>
  <c r="E105" i="14"/>
  <c r="D105" i="14"/>
  <c r="H104" i="14"/>
  <c r="J104" i="14" s="1"/>
  <c r="E104" i="14"/>
  <c r="D104" i="14"/>
  <c r="H103" i="14"/>
  <c r="J103" i="14" s="1"/>
  <c r="E103" i="14"/>
  <c r="D103" i="14"/>
  <c r="H102" i="14"/>
  <c r="J102" i="14" s="1"/>
  <c r="E102" i="14"/>
  <c r="D102" i="14"/>
  <c r="H101" i="14"/>
  <c r="J101" i="14" s="1"/>
  <c r="E101" i="14"/>
  <c r="D101" i="14"/>
  <c r="H100" i="14"/>
  <c r="J100" i="14" s="1"/>
  <c r="E100" i="14"/>
  <c r="D100" i="14"/>
  <c r="H99" i="14"/>
  <c r="J99" i="14" s="1"/>
  <c r="E99" i="14"/>
  <c r="D99" i="14"/>
  <c r="H98" i="14"/>
  <c r="J98" i="14" s="1"/>
  <c r="F98" i="14"/>
  <c r="F91" i="14" s="1"/>
  <c r="F12" i="14" s="1"/>
  <c r="F11" i="14" s="1"/>
  <c r="E98" i="14"/>
  <c r="D98" i="14"/>
  <c r="H97" i="14"/>
  <c r="J97" i="14" s="1"/>
  <c r="E97" i="14"/>
  <c r="D97" i="14"/>
  <c r="H96" i="14"/>
  <c r="J96" i="14" s="1"/>
  <c r="E96" i="14"/>
  <c r="D96" i="14"/>
  <c r="H95" i="14"/>
  <c r="J95" i="14" s="1"/>
  <c r="E95" i="14"/>
  <c r="D95" i="14"/>
  <c r="A95" i="14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H94" i="14"/>
  <c r="J94" i="14" s="1"/>
  <c r="E94" i="14"/>
  <c r="D94" i="14"/>
  <c r="H93" i="14"/>
  <c r="J93" i="14" s="1"/>
  <c r="E93" i="14"/>
  <c r="D93" i="14"/>
  <c r="H92" i="14"/>
  <c r="J92" i="14" s="1"/>
  <c r="E92" i="14"/>
  <c r="D92" i="14"/>
  <c r="K91" i="14"/>
  <c r="I91" i="14"/>
  <c r="K90" i="14"/>
  <c r="I90" i="14"/>
  <c r="H90" i="14"/>
  <c r="F90" i="14"/>
  <c r="E90" i="14"/>
  <c r="D90" i="14"/>
  <c r="K89" i="14"/>
  <c r="I89" i="14"/>
  <c r="H89" i="14"/>
  <c r="F89" i="14"/>
  <c r="E89" i="14"/>
  <c r="D89" i="14"/>
  <c r="K88" i="14"/>
  <c r="I88" i="14"/>
  <c r="H88" i="14"/>
  <c r="F88" i="14"/>
  <c r="E88" i="14"/>
  <c r="D88" i="14"/>
  <c r="K87" i="14"/>
  <c r="I87" i="14"/>
  <c r="H87" i="14"/>
  <c r="F87" i="14"/>
  <c r="E87" i="14"/>
  <c r="D87" i="14"/>
  <c r="K86" i="14"/>
  <c r="I86" i="14"/>
  <c r="H86" i="14"/>
  <c r="F86" i="14"/>
  <c r="E86" i="14"/>
  <c r="D86" i="14"/>
  <c r="K85" i="14"/>
  <c r="I85" i="14"/>
  <c r="H85" i="14"/>
  <c r="F85" i="14"/>
  <c r="E85" i="14"/>
  <c r="D85" i="14"/>
  <c r="K84" i="14"/>
  <c r="I84" i="14"/>
  <c r="H84" i="14"/>
  <c r="F84" i="14"/>
  <c r="E84" i="14"/>
  <c r="D84" i="14"/>
  <c r="K83" i="14"/>
  <c r="I83" i="14"/>
  <c r="H83" i="14"/>
  <c r="F83" i="14"/>
  <c r="E83" i="14"/>
  <c r="D83" i="14"/>
  <c r="K82" i="14"/>
  <c r="I82" i="14"/>
  <c r="H82" i="14"/>
  <c r="F82" i="14"/>
  <c r="E82" i="14"/>
  <c r="D82" i="14"/>
  <c r="K81" i="14"/>
  <c r="I81" i="14"/>
  <c r="H81" i="14"/>
  <c r="F81" i="14"/>
  <c r="E81" i="14"/>
  <c r="D81" i="14"/>
  <c r="K80" i="14"/>
  <c r="I80" i="14"/>
  <c r="H80" i="14"/>
  <c r="F80" i="14"/>
  <c r="E80" i="14"/>
  <c r="D80" i="14"/>
  <c r="K79" i="14"/>
  <c r="I79" i="14"/>
  <c r="H79" i="14"/>
  <c r="F79" i="14"/>
  <c r="E79" i="14"/>
  <c r="D79" i="14"/>
  <c r="K78" i="14"/>
  <c r="I78" i="14"/>
  <c r="H78" i="14"/>
  <c r="F78" i="14"/>
  <c r="E78" i="14"/>
  <c r="D78" i="14"/>
  <c r="K77" i="14"/>
  <c r="I77" i="14"/>
  <c r="H77" i="14"/>
  <c r="F77" i="14"/>
  <c r="E77" i="14"/>
  <c r="D77" i="14"/>
  <c r="K75" i="14"/>
  <c r="I75" i="14"/>
  <c r="H75" i="14"/>
  <c r="F75" i="14"/>
  <c r="E75" i="14"/>
  <c r="D75" i="14"/>
  <c r="K74" i="14"/>
  <c r="I74" i="14"/>
  <c r="H74" i="14"/>
  <c r="F74" i="14"/>
  <c r="E74" i="14"/>
  <c r="D74" i="14"/>
  <c r="K73" i="14"/>
  <c r="I73" i="14"/>
  <c r="H73" i="14"/>
  <c r="F73" i="14"/>
  <c r="E73" i="14"/>
  <c r="D73" i="14"/>
  <c r="K72" i="14"/>
  <c r="I72" i="14"/>
  <c r="H72" i="14"/>
  <c r="F72" i="14"/>
  <c r="E72" i="14"/>
  <c r="D72" i="14"/>
  <c r="K71" i="14"/>
  <c r="I71" i="14"/>
  <c r="H71" i="14"/>
  <c r="F71" i="14"/>
  <c r="E71" i="14"/>
  <c r="D71" i="14"/>
  <c r="K70" i="14"/>
  <c r="I70" i="14"/>
  <c r="H70" i="14"/>
  <c r="F70" i="14"/>
  <c r="E70" i="14"/>
  <c r="D70" i="14"/>
  <c r="K69" i="14"/>
  <c r="I69" i="14"/>
  <c r="H69" i="14"/>
  <c r="F69" i="14"/>
  <c r="E69" i="14"/>
  <c r="D69" i="14"/>
  <c r="K68" i="14"/>
  <c r="I68" i="14"/>
  <c r="H68" i="14"/>
  <c r="F68" i="14"/>
  <c r="E68" i="14"/>
  <c r="D68" i="14"/>
  <c r="K67" i="14"/>
  <c r="I67" i="14"/>
  <c r="H67" i="14"/>
  <c r="F67" i="14"/>
  <c r="E67" i="14"/>
  <c r="D67" i="14"/>
  <c r="K66" i="14"/>
  <c r="I66" i="14"/>
  <c r="H66" i="14"/>
  <c r="F66" i="14"/>
  <c r="E66" i="14"/>
  <c r="D66" i="14"/>
  <c r="K65" i="14"/>
  <c r="I65" i="14"/>
  <c r="H65" i="14"/>
  <c r="F65" i="14"/>
  <c r="E65" i="14"/>
  <c r="D65" i="14"/>
  <c r="K64" i="14"/>
  <c r="I64" i="14"/>
  <c r="H64" i="14"/>
  <c r="F64" i="14"/>
  <c r="E64" i="14"/>
  <c r="D64" i="14"/>
  <c r="K63" i="14"/>
  <c r="I63" i="14"/>
  <c r="H63" i="14"/>
  <c r="F63" i="14"/>
  <c r="E63" i="14"/>
  <c r="D63" i="14"/>
  <c r="K62" i="14"/>
  <c r="I62" i="14"/>
  <c r="H62" i="14"/>
  <c r="F62" i="14"/>
  <c r="E62" i="14"/>
  <c r="D62" i="14"/>
  <c r="K61" i="14"/>
  <c r="I61" i="14"/>
  <c r="H61" i="14"/>
  <c r="F61" i="14"/>
  <c r="E61" i="14"/>
  <c r="D61" i="14"/>
  <c r="K60" i="14"/>
  <c r="I60" i="14"/>
  <c r="H60" i="14"/>
  <c r="F60" i="14"/>
  <c r="E60" i="14"/>
  <c r="D60" i="14"/>
  <c r="K59" i="14"/>
  <c r="I59" i="14"/>
  <c r="H59" i="14"/>
  <c r="F59" i="14"/>
  <c r="E59" i="14"/>
  <c r="D59" i="14"/>
  <c r="K58" i="14"/>
  <c r="I58" i="14"/>
  <c r="H58" i="14"/>
  <c r="F58" i="14"/>
  <c r="E58" i="14"/>
  <c r="D58" i="14"/>
  <c r="K57" i="14"/>
  <c r="I57" i="14"/>
  <c r="H57" i="14"/>
  <c r="F57" i="14"/>
  <c r="E57" i="14"/>
  <c r="D57" i="14"/>
  <c r="K56" i="14"/>
  <c r="I56" i="14"/>
  <c r="H56" i="14"/>
  <c r="F56" i="14"/>
  <c r="E56" i="14"/>
  <c r="D56" i="14"/>
  <c r="K55" i="14"/>
  <c r="I55" i="14"/>
  <c r="H55" i="14"/>
  <c r="F55" i="14"/>
  <c r="E55" i="14"/>
  <c r="D55" i="14"/>
  <c r="K53" i="14"/>
  <c r="I53" i="14"/>
  <c r="H53" i="14"/>
  <c r="F53" i="14"/>
  <c r="E53" i="14"/>
  <c r="D53" i="14"/>
  <c r="K52" i="14"/>
  <c r="I52" i="14"/>
  <c r="H52" i="14"/>
  <c r="F52" i="14"/>
  <c r="E52" i="14"/>
  <c r="D52" i="14"/>
  <c r="K51" i="14"/>
  <c r="I51" i="14"/>
  <c r="H51" i="14"/>
  <c r="F51" i="14"/>
  <c r="E51" i="14"/>
  <c r="D51" i="14"/>
  <c r="K50" i="14"/>
  <c r="I50" i="14"/>
  <c r="H50" i="14"/>
  <c r="F50" i="14"/>
  <c r="E50" i="14"/>
  <c r="D50" i="14"/>
  <c r="K49" i="14"/>
  <c r="I49" i="14"/>
  <c r="H49" i="14"/>
  <c r="F49" i="14"/>
  <c r="E49" i="14"/>
  <c r="D49" i="14"/>
  <c r="K48" i="14"/>
  <c r="I48" i="14"/>
  <c r="H48" i="14"/>
  <c r="F48" i="14"/>
  <c r="E48" i="14"/>
  <c r="D48" i="14"/>
  <c r="K47" i="14"/>
  <c r="I47" i="14"/>
  <c r="H47" i="14"/>
  <c r="F47" i="14"/>
  <c r="E47" i="14"/>
  <c r="D47" i="14"/>
  <c r="K46" i="14"/>
  <c r="I46" i="14"/>
  <c r="H46" i="14"/>
  <c r="F46" i="14"/>
  <c r="E46" i="14"/>
  <c r="D46" i="14"/>
  <c r="K45" i="14"/>
  <c r="I45" i="14"/>
  <c r="H45" i="14"/>
  <c r="F45" i="14"/>
  <c r="E45" i="14"/>
  <c r="D45" i="14"/>
  <c r="K44" i="14"/>
  <c r="I44" i="14"/>
  <c r="H44" i="14"/>
  <c r="F44" i="14"/>
  <c r="E44" i="14"/>
  <c r="D44" i="14"/>
  <c r="K43" i="14"/>
  <c r="I43" i="14"/>
  <c r="H43" i="14"/>
  <c r="F43" i="14"/>
  <c r="E43" i="14"/>
  <c r="D43" i="14"/>
  <c r="K42" i="14"/>
  <c r="I42" i="14"/>
  <c r="H42" i="14"/>
  <c r="F42" i="14"/>
  <c r="E42" i="14"/>
  <c r="D42" i="14"/>
  <c r="K41" i="14"/>
  <c r="I41" i="14"/>
  <c r="H41" i="14"/>
  <c r="F41" i="14"/>
  <c r="E41" i="14"/>
  <c r="D41" i="14"/>
  <c r="K40" i="14"/>
  <c r="I40" i="14"/>
  <c r="H40" i="14"/>
  <c r="F40" i="14"/>
  <c r="E40" i="14"/>
  <c r="D40" i="14"/>
  <c r="K39" i="14"/>
  <c r="I39" i="14"/>
  <c r="H39" i="14"/>
  <c r="F39" i="14"/>
  <c r="E39" i="14"/>
  <c r="D39" i="14"/>
  <c r="K38" i="14"/>
  <c r="I38" i="14"/>
  <c r="H38" i="14"/>
  <c r="F38" i="14"/>
  <c r="E38" i="14"/>
  <c r="D38" i="14"/>
  <c r="K37" i="14"/>
  <c r="I37" i="14"/>
  <c r="H37" i="14"/>
  <c r="F37" i="14"/>
  <c r="E37" i="14"/>
  <c r="D37" i="14"/>
  <c r="K36" i="14"/>
  <c r="I36" i="14"/>
  <c r="H36" i="14"/>
  <c r="F36" i="14"/>
  <c r="E36" i="14"/>
  <c r="D36" i="14"/>
  <c r="K35" i="14"/>
  <c r="I35" i="14"/>
  <c r="H35" i="14"/>
  <c r="F35" i="14"/>
  <c r="E35" i="14"/>
  <c r="D35" i="14"/>
  <c r="K34" i="14"/>
  <c r="I34" i="14"/>
  <c r="H34" i="14"/>
  <c r="F34" i="14"/>
  <c r="E34" i="14"/>
  <c r="D34" i="14"/>
  <c r="K32" i="14"/>
  <c r="I32" i="14"/>
  <c r="H32" i="14"/>
  <c r="F32" i="14"/>
  <c r="E32" i="14"/>
  <c r="D32" i="14"/>
  <c r="K31" i="14"/>
  <c r="I31" i="14"/>
  <c r="H31" i="14"/>
  <c r="F31" i="14"/>
  <c r="E31" i="14"/>
  <c r="D31" i="14"/>
  <c r="K30" i="14"/>
  <c r="I30" i="14"/>
  <c r="H30" i="14"/>
  <c r="F30" i="14"/>
  <c r="E30" i="14"/>
  <c r="D30" i="14"/>
  <c r="K29" i="14"/>
  <c r="I29" i="14"/>
  <c r="H29" i="14"/>
  <c r="F29" i="14"/>
  <c r="E29" i="14"/>
  <c r="D29" i="14"/>
  <c r="K28" i="14"/>
  <c r="I28" i="14"/>
  <c r="H28" i="14"/>
  <c r="F28" i="14"/>
  <c r="E28" i="14"/>
  <c r="D28" i="14"/>
  <c r="K27" i="14"/>
  <c r="I27" i="14"/>
  <c r="H27" i="14"/>
  <c r="F27" i="14"/>
  <c r="E27" i="14"/>
  <c r="D27" i="14"/>
  <c r="K26" i="14"/>
  <c r="I26" i="14"/>
  <c r="H26" i="14"/>
  <c r="F26" i="14"/>
  <c r="E26" i="14"/>
  <c r="D26" i="14"/>
  <c r="K25" i="14"/>
  <c r="I25" i="14"/>
  <c r="H25" i="14"/>
  <c r="F25" i="14"/>
  <c r="E25" i="14"/>
  <c r="D25" i="14"/>
  <c r="K24" i="14"/>
  <c r="I24" i="14"/>
  <c r="H24" i="14"/>
  <c r="F24" i="14"/>
  <c r="E24" i="14"/>
  <c r="D24" i="14"/>
  <c r="K23" i="14"/>
  <c r="I23" i="14"/>
  <c r="H23" i="14"/>
  <c r="F23" i="14"/>
  <c r="E23" i="14"/>
  <c r="D23" i="14"/>
  <c r="K22" i="14"/>
  <c r="I22" i="14"/>
  <c r="H22" i="14"/>
  <c r="F22" i="14"/>
  <c r="E22" i="14"/>
  <c r="D22" i="14"/>
  <c r="K21" i="14"/>
  <c r="I21" i="14"/>
  <c r="H21" i="14"/>
  <c r="F21" i="14"/>
  <c r="E21" i="14"/>
  <c r="D21" i="14"/>
  <c r="K20" i="14"/>
  <c r="I20" i="14"/>
  <c r="H20" i="14"/>
  <c r="F20" i="14"/>
  <c r="E20" i="14"/>
  <c r="D20" i="14"/>
  <c r="K19" i="14"/>
  <c r="I19" i="14"/>
  <c r="H19" i="14"/>
  <c r="F19" i="14"/>
  <c r="E19" i="14"/>
  <c r="D19" i="14"/>
  <c r="K18" i="14"/>
  <c r="I18" i="14"/>
  <c r="H18" i="14"/>
  <c r="F18" i="14"/>
  <c r="E18" i="14"/>
  <c r="D18" i="14"/>
  <c r="K17" i="14"/>
  <c r="I17" i="14"/>
  <c r="H17" i="14"/>
  <c r="F17" i="14"/>
  <c r="E17" i="14"/>
  <c r="D17" i="14"/>
  <c r="K16" i="14"/>
  <c r="I16" i="14"/>
  <c r="H16" i="14"/>
  <c r="F16" i="14"/>
  <c r="E16" i="14"/>
  <c r="D16" i="14"/>
  <c r="J14" i="14"/>
  <c r="G14" i="14"/>
  <c r="K12" i="14"/>
  <c r="K11" i="14" s="1"/>
  <c r="I12" i="14"/>
  <c r="CA114" i="13"/>
  <c r="BZ114" i="13"/>
  <c r="BY114" i="13"/>
  <c r="BX114" i="13"/>
  <c r="BP114" i="13"/>
  <c r="BN114" i="13"/>
  <c r="BM114" i="13"/>
  <c r="BQ114" i="13" s="1"/>
  <c r="BL114" i="13"/>
  <c r="BO114" i="13" s="1"/>
  <c r="AX114" i="13"/>
  <c r="AV114" i="13"/>
  <c r="AU114" i="13"/>
  <c r="AY114" i="13" s="1"/>
  <c r="AT114" i="13"/>
  <c r="AW114" i="13" s="1"/>
  <c r="AF114" i="13"/>
  <c r="AD114" i="13"/>
  <c r="V114" i="13"/>
  <c r="T114" i="13"/>
  <c r="L114" i="13"/>
  <c r="J114" i="13"/>
  <c r="I114" i="13"/>
  <c r="W114" i="13" s="1"/>
  <c r="H114" i="13"/>
  <c r="U114" i="13" s="1"/>
  <c r="E114" i="13"/>
  <c r="D114" i="13"/>
  <c r="CA113" i="13"/>
  <c r="BZ113" i="13"/>
  <c r="BY113" i="13"/>
  <c r="BX113" i="13"/>
  <c r="BP113" i="13"/>
  <c r="BN113" i="13"/>
  <c r="BM113" i="13"/>
  <c r="BQ113" i="13" s="1"/>
  <c r="BL113" i="13"/>
  <c r="BO113" i="13" s="1"/>
  <c r="AX113" i="13"/>
  <c r="AV113" i="13"/>
  <c r="AU113" i="13"/>
  <c r="AY113" i="13" s="1"/>
  <c r="AT113" i="13"/>
  <c r="AW113" i="13" s="1"/>
  <c r="AF113" i="13"/>
  <c r="AD113" i="13"/>
  <c r="V113" i="13"/>
  <c r="T113" i="13"/>
  <c r="L113" i="13"/>
  <c r="J113" i="13"/>
  <c r="I113" i="13"/>
  <c r="W113" i="13" s="1"/>
  <c r="H113" i="13"/>
  <c r="AE113" i="13" s="1"/>
  <c r="E113" i="13"/>
  <c r="D113" i="13"/>
  <c r="CA112" i="13"/>
  <c r="BZ112" i="13"/>
  <c r="BY112" i="13"/>
  <c r="BX112" i="13"/>
  <c r="BP112" i="13"/>
  <c r="BP106" i="13" s="1"/>
  <c r="BP13" i="13" s="1"/>
  <c r="BN112" i="13"/>
  <c r="BM112" i="13"/>
  <c r="BQ112" i="13" s="1"/>
  <c r="BL112" i="13"/>
  <c r="BO112" i="13" s="1"/>
  <c r="AX112" i="13"/>
  <c r="AV112" i="13"/>
  <c r="AU112" i="13"/>
  <c r="AY112" i="13" s="1"/>
  <c r="AT112" i="13"/>
  <c r="AW112" i="13" s="1"/>
  <c r="AF112" i="13"/>
  <c r="AD112" i="13"/>
  <c r="V112" i="13"/>
  <c r="T112" i="13"/>
  <c r="L112" i="13"/>
  <c r="J112" i="13"/>
  <c r="I112" i="13"/>
  <c r="H112" i="13"/>
  <c r="E112" i="13"/>
  <c r="D112" i="13"/>
  <c r="CA111" i="13"/>
  <c r="BZ111" i="13"/>
  <c r="BY111" i="13"/>
  <c r="BX111" i="13"/>
  <c r="BP111" i="13"/>
  <c r="BN111" i="13"/>
  <c r="BM111" i="13"/>
  <c r="BQ111" i="13" s="1"/>
  <c r="BL111" i="13"/>
  <c r="BO111" i="13" s="1"/>
  <c r="AX111" i="13"/>
  <c r="AV111" i="13"/>
  <c r="AU111" i="13"/>
  <c r="AY111" i="13" s="1"/>
  <c r="AT111" i="13"/>
  <c r="AW111" i="13" s="1"/>
  <c r="AF111" i="13"/>
  <c r="AD111" i="13"/>
  <c r="V111" i="13"/>
  <c r="T111" i="13"/>
  <c r="L111" i="13"/>
  <c r="J111" i="13"/>
  <c r="I111" i="13"/>
  <c r="W111" i="13" s="1"/>
  <c r="H111" i="13"/>
  <c r="E111" i="13"/>
  <c r="D111" i="13"/>
  <c r="CA110" i="13"/>
  <c r="BZ110" i="13"/>
  <c r="BY110" i="13"/>
  <c r="BX110" i="13"/>
  <c r="BP110" i="13"/>
  <c r="BN110" i="13"/>
  <c r="BM110" i="13"/>
  <c r="BQ110" i="13" s="1"/>
  <c r="BL110" i="13"/>
  <c r="BO110" i="13" s="1"/>
  <c r="AX110" i="13"/>
  <c r="AV110" i="13"/>
  <c r="AU110" i="13"/>
  <c r="AY110" i="13" s="1"/>
  <c r="AT110" i="13"/>
  <c r="AW110" i="13" s="1"/>
  <c r="AF110" i="13"/>
  <c r="AD110" i="13"/>
  <c r="V110" i="13"/>
  <c r="T110" i="13"/>
  <c r="T106" i="13" s="1"/>
  <c r="T13" i="13" s="1"/>
  <c r="L110" i="13"/>
  <c r="J110" i="13"/>
  <c r="I110" i="13"/>
  <c r="W110" i="13" s="1"/>
  <c r="H110" i="13"/>
  <c r="K110" i="13" s="1"/>
  <c r="E110" i="13"/>
  <c r="D110" i="13"/>
  <c r="A110" i="13"/>
  <c r="A111" i="13" s="1"/>
  <c r="A112" i="13" s="1"/>
  <c r="CA109" i="13"/>
  <c r="BZ109" i="13"/>
  <c r="BY109" i="13"/>
  <c r="BX109" i="13"/>
  <c r="BP109" i="13"/>
  <c r="BN109" i="13"/>
  <c r="BM109" i="13"/>
  <c r="BQ109" i="13" s="1"/>
  <c r="BL109" i="13"/>
  <c r="BO109" i="13" s="1"/>
  <c r="AX109" i="13"/>
  <c r="AV109" i="13"/>
  <c r="AU109" i="13"/>
  <c r="AY109" i="13" s="1"/>
  <c r="AT109" i="13"/>
  <c r="AW109" i="13" s="1"/>
  <c r="AF109" i="13"/>
  <c r="AD109" i="13"/>
  <c r="V109" i="13"/>
  <c r="T109" i="13"/>
  <c r="L109" i="13"/>
  <c r="J109" i="13"/>
  <c r="I109" i="13"/>
  <c r="H109" i="13"/>
  <c r="E109" i="13"/>
  <c r="D109" i="13"/>
  <c r="CA108" i="13"/>
  <c r="BZ108" i="13"/>
  <c r="BY108" i="13"/>
  <c r="BX108" i="13"/>
  <c r="BP108" i="13"/>
  <c r="BN108" i="13"/>
  <c r="BM108" i="13"/>
  <c r="BQ108" i="13" s="1"/>
  <c r="BL108" i="13"/>
  <c r="BO108" i="13" s="1"/>
  <c r="AX108" i="13"/>
  <c r="AV108" i="13"/>
  <c r="AU108" i="13"/>
  <c r="AY108" i="13" s="1"/>
  <c r="AT108" i="13"/>
  <c r="AW108" i="13" s="1"/>
  <c r="AF108" i="13"/>
  <c r="AD108" i="13"/>
  <c r="V108" i="13"/>
  <c r="T108" i="13"/>
  <c r="L108" i="13"/>
  <c r="J108" i="13"/>
  <c r="I108" i="13"/>
  <c r="W108" i="13" s="1"/>
  <c r="H108" i="13"/>
  <c r="U108" i="13" s="1"/>
  <c r="E108" i="13"/>
  <c r="D108" i="13"/>
  <c r="CA107" i="13"/>
  <c r="BZ107" i="13"/>
  <c r="BY107" i="13"/>
  <c r="BX107" i="13"/>
  <c r="BP107" i="13"/>
  <c r="BN107" i="13"/>
  <c r="BM107" i="13"/>
  <c r="BL107" i="13"/>
  <c r="AX107" i="13"/>
  <c r="AX106" i="13" s="1"/>
  <c r="AX13" i="13" s="1"/>
  <c r="AV107" i="13"/>
  <c r="AU107" i="13"/>
  <c r="AY107" i="13" s="1"/>
  <c r="AT107" i="13"/>
  <c r="AF107" i="13"/>
  <c r="AD107" i="13"/>
  <c r="AD106" i="13" s="1"/>
  <c r="AD13" i="13" s="1"/>
  <c r="V107" i="13"/>
  <c r="T107" i="13"/>
  <c r="L107" i="13"/>
  <c r="J107" i="13"/>
  <c r="I107" i="13"/>
  <c r="H107" i="13"/>
  <c r="U107" i="13" s="1"/>
  <c r="E107" i="13"/>
  <c r="D107" i="13"/>
  <c r="CG106" i="13"/>
  <c r="CF106" i="13"/>
  <c r="CE106" i="13"/>
  <c r="CD106" i="13"/>
  <c r="BW106" i="13"/>
  <c r="BV106" i="13"/>
  <c r="BU106" i="13"/>
  <c r="BT106" i="13"/>
  <c r="BS106" i="13"/>
  <c r="BR106" i="13"/>
  <c r="BK106" i="13"/>
  <c r="BJ106" i="13"/>
  <c r="BI106" i="13"/>
  <c r="BH106" i="13"/>
  <c r="BG106" i="13"/>
  <c r="BG13" i="13" s="1"/>
  <c r="BG11" i="13" s="1"/>
  <c r="BF106" i="13"/>
  <c r="BE106" i="13"/>
  <c r="BD106" i="13"/>
  <c r="BC106" i="13"/>
  <c r="BB106" i="13"/>
  <c r="BA106" i="13"/>
  <c r="AZ106" i="13"/>
  <c r="AS106" i="13"/>
  <c r="AR106" i="13"/>
  <c r="AQ106" i="13"/>
  <c r="AP106" i="13"/>
  <c r="AP13" i="13" s="1"/>
  <c r="AP11" i="13" s="1"/>
  <c r="AO106" i="13"/>
  <c r="AN106" i="13"/>
  <c r="AM106" i="13"/>
  <c r="AL106" i="13"/>
  <c r="AK106" i="13"/>
  <c r="AJ106" i="13"/>
  <c r="AI106" i="13"/>
  <c r="AH106" i="13"/>
  <c r="AC106" i="13"/>
  <c r="AB106" i="13"/>
  <c r="AA106" i="13"/>
  <c r="Z106" i="13"/>
  <c r="Z13" i="13" s="1"/>
  <c r="Y106" i="13"/>
  <c r="Y13" i="13" s="1"/>
  <c r="X106" i="13"/>
  <c r="S106" i="13"/>
  <c r="R106" i="13"/>
  <c r="Q106" i="13"/>
  <c r="P106" i="13"/>
  <c r="O106" i="13"/>
  <c r="N106" i="13"/>
  <c r="F106" i="13"/>
  <c r="CA105" i="13"/>
  <c r="BZ105" i="13"/>
  <c r="BY105" i="13"/>
  <c r="BX105" i="13"/>
  <c r="BP105" i="13"/>
  <c r="BN105" i="13"/>
  <c r="BM105" i="13"/>
  <c r="BQ105" i="13" s="1"/>
  <c r="BL105" i="13"/>
  <c r="BO105" i="13" s="1"/>
  <c r="AX105" i="13"/>
  <c r="AV105" i="13"/>
  <c r="AU105" i="13"/>
  <c r="AY105" i="13" s="1"/>
  <c r="AT105" i="13"/>
  <c r="AW105" i="13" s="1"/>
  <c r="AF105" i="13"/>
  <c r="AD105" i="13"/>
  <c r="V105" i="13"/>
  <c r="T105" i="13"/>
  <c r="L105" i="13"/>
  <c r="J105" i="13"/>
  <c r="I105" i="13"/>
  <c r="W105" i="13" s="1"/>
  <c r="H105" i="13"/>
  <c r="AE105" i="13" s="1"/>
  <c r="E105" i="13"/>
  <c r="D105" i="13"/>
  <c r="CA104" i="13"/>
  <c r="BZ104" i="13"/>
  <c r="BY104" i="13"/>
  <c r="BX104" i="13"/>
  <c r="BP104" i="13"/>
  <c r="BN104" i="13"/>
  <c r="BM104" i="13"/>
  <c r="BQ104" i="13" s="1"/>
  <c r="BL104" i="13"/>
  <c r="BO104" i="13" s="1"/>
  <c r="AX104" i="13"/>
  <c r="AV104" i="13"/>
  <c r="AU104" i="13"/>
  <c r="AY104" i="13" s="1"/>
  <c r="AT104" i="13"/>
  <c r="AW104" i="13" s="1"/>
  <c r="AF104" i="13"/>
  <c r="AD104" i="13"/>
  <c r="V104" i="13"/>
  <c r="T104" i="13"/>
  <c r="L104" i="13"/>
  <c r="J104" i="13"/>
  <c r="I104" i="13"/>
  <c r="H104" i="13"/>
  <c r="E104" i="13"/>
  <c r="D104" i="13"/>
  <c r="CA103" i="13"/>
  <c r="BZ103" i="13"/>
  <c r="BY103" i="13"/>
  <c r="BX103" i="13"/>
  <c r="BP103" i="13"/>
  <c r="BN103" i="13"/>
  <c r="BM103" i="13"/>
  <c r="BQ103" i="13" s="1"/>
  <c r="BL103" i="13"/>
  <c r="BO103" i="13" s="1"/>
  <c r="AX103" i="13"/>
  <c r="AV103" i="13"/>
  <c r="AU103" i="13"/>
  <c r="AY103" i="13" s="1"/>
  <c r="AT103" i="13"/>
  <c r="AW103" i="13" s="1"/>
  <c r="AF103" i="13"/>
  <c r="AD103" i="13"/>
  <c r="V103" i="13"/>
  <c r="T103" i="13"/>
  <c r="L103" i="13"/>
  <c r="J103" i="13"/>
  <c r="I103" i="13"/>
  <c r="W103" i="13" s="1"/>
  <c r="H103" i="13"/>
  <c r="U103" i="13" s="1"/>
  <c r="E103" i="13"/>
  <c r="D103" i="13"/>
  <c r="CA102" i="13"/>
  <c r="BZ102" i="13"/>
  <c r="BY102" i="13"/>
  <c r="BX102" i="13"/>
  <c r="BP102" i="13"/>
  <c r="BN102" i="13"/>
  <c r="BM102" i="13"/>
  <c r="BQ102" i="13" s="1"/>
  <c r="BL102" i="13"/>
  <c r="BO102" i="13" s="1"/>
  <c r="AX102" i="13"/>
  <c r="AV102" i="13"/>
  <c r="AU102" i="13"/>
  <c r="AY102" i="13" s="1"/>
  <c r="AT102" i="13"/>
  <c r="AW102" i="13" s="1"/>
  <c r="AF102" i="13"/>
  <c r="AD102" i="13"/>
  <c r="V102" i="13"/>
  <c r="T102" i="13"/>
  <c r="L102" i="13"/>
  <c r="J102" i="13"/>
  <c r="I102" i="13"/>
  <c r="W102" i="13" s="1"/>
  <c r="H102" i="13"/>
  <c r="K102" i="13" s="1"/>
  <c r="E102" i="13"/>
  <c r="D102" i="13"/>
  <c r="CA101" i="13"/>
  <c r="BZ101" i="13"/>
  <c r="BY101" i="13"/>
  <c r="BX101" i="13"/>
  <c r="BU101" i="13"/>
  <c r="BU91" i="13" s="1"/>
  <c r="BU12" i="13" s="1"/>
  <c r="BT101" i="13"/>
  <c r="BT91" i="13" s="1"/>
  <c r="BS101" i="13"/>
  <c r="BS91" i="13" s="1"/>
  <c r="BR101" i="13"/>
  <c r="BM101" i="13"/>
  <c r="BQ101" i="13" s="1"/>
  <c r="AX101" i="13"/>
  <c r="AV101" i="13"/>
  <c r="AU101" i="13"/>
  <c r="AY101" i="13" s="1"/>
  <c r="AT101" i="13"/>
  <c r="AW101" i="13" s="1"/>
  <c r="AF101" i="13"/>
  <c r="AD101" i="13"/>
  <c r="V101" i="13"/>
  <c r="T101" i="13"/>
  <c r="L101" i="13"/>
  <c r="J101" i="13"/>
  <c r="I101" i="13"/>
  <c r="AG101" i="13" s="1"/>
  <c r="H101" i="13"/>
  <c r="U101" i="13" s="1"/>
  <c r="E101" i="13"/>
  <c r="D101" i="13"/>
  <c r="CA100" i="13"/>
  <c r="BZ100" i="13"/>
  <c r="BY100" i="13"/>
  <c r="BX100" i="13"/>
  <c r="BP100" i="13"/>
  <c r="BN100" i="13"/>
  <c r="BM100" i="13"/>
  <c r="BQ100" i="13" s="1"/>
  <c r="BL100" i="13"/>
  <c r="BO100" i="13" s="1"/>
  <c r="AX100" i="13"/>
  <c r="AV100" i="13"/>
  <c r="AU100" i="13"/>
  <c r="AY100" i="13" s="1"/>
  <c r="AT100" i="13"/>
  <c r="AW100" i="13" s="1"/>
  <c r="AF100" i="13"/>
  <c r="AD100" i="13"/>
  <c r="V100" i="13"/>
  <c r="T100" i="13"/>
  <c r="L100" i="13"/>
  <c r="J100" i="13"/>
  <c r="I100" i="13"/>
  <c r="W100" i="13" s="1"/>
  <c r="H100" i="13"/>
  <c r="U100" i="13" s="1"/>
  <c r="E100" i="13"/>
  <c r="D100" i="13"/>
  <c r="CA99" i="13"/>
  <c r="BZ99" i="13"/>
  <c r="BY99" i="13"/>
  <c r="BX99" i="13"/>
  <c r="BP99" i="13"/>
  <c r="BN99" i="13"/>
  <c r="BM99" i="13"/>
  <c r="BQ99" i="13" s="1"/>
  <c r="BL99" i="13"/>
  <c r="BO99" i="13" s="1"/>
  <c r="AX99" i="13"/>
  <c r="AV99" i="13"/>
  <c r="AU99" i="13"/>
  <c r="AY99" i="13" s="1"/>
  <c r="AT99" i="13"/>
  <c r="AW99" i="13" s="1"/>
  <c r="AF99" i="13"/>
  <c r="AD99" i="13"/>
  <c r="V99" i="13"/>
  <c r="T99" i="13"/>
  <c r="L99" i="13"/>
  <c r="J99" i="13"/>
  <c r="I99" i="13"/>
  <c r="W99" i="13" s="1"/>
  <c r="H99" i="13"/>
  <c r="K99" i="13" s="1"/>
  <c r="E99" i="13"/>
  <c r="D99" i="13"/>
  <c r="CA98" i="13"/>
  <c r="BZ98" i="13"/>
  <c r="BY98" i="13"/>
  <c r="BX98" i="13"/>
  <c r="BP98" i="13"/>
  <c r="BN98" i="13"/>
  <c r="BM98" i="13"/>
  <c r="BQ98" i="13" s="1"/>
  <c r="BL98" i="13"/>
  <c r="BO98" i="13" s="1"/>
  <c r="AX98" i="13"/>
  <c r="AV98" i="13"/>
  <c r="AU98" i="13"/>
  <c r="AY98" i="13" s="1"/>
  <c r="AT98" i="13"/>
  <c r="AW98" i="13" s="1"/>
  <c r="AF98" i="13"/>
  <c r="AD98" i="13"/>
  <c r="V98" i="13"/>
  <c r="T98" i="13"/>
  <c r="L98" i="13"/>
  <c r="J98" i="13"/>
  <c r="I98" i="13"/>
  <c r="W98" i="13" s="1"/>
  <c r="H98" i="13"/>
  <c r="U98" i="13" s="1"/>
  <c r="E98" i="13"/>
  <c r="D98" i="13"/>
  <c r="CA97" i="13"/>
  <c r="BZ97" i="13"/>
  <c r="BY97" i="13"/>
  <c r="BX97" i="13"/>
  <c r="BP97" i="13"/>
  <c r="BN97" i="13"/>
  <c r="BM97" i="13"/>
  <c r="BQ97" i="13" s="1"/>
  <c r="BL97" i="13"/>
  <c r="BO97" i="13" s="1"/>
  <c r="AX97" i="13"/>
  <c r="AV97" i="13"/>
  <c r="AU97" i="13"/>
  <c r="AY97" i="13" s="1"/>
  <c r="AT97" i="13"/>
  <c r="AW97" i="13" s="1"/>
  <c r="AF97" i="13"/>
  <c r="AD97" i="13"/>
  <c r="V97" i="13"/>
  <c r="T97" i="13"/>
  <c r="L97" i="13"/>
  <c r="J97" i="13"/>
  <c r="I97" i="13"/>
  <c r="M97" i="13" s="1"/>
  <c r="H97" i="13"/>
  <c r="E97" i="13"/>
  <c r="D97" i="13"/>
  <c r="CA96" i="13"/>
  <c r="BZ96" i="13"/>
  <c r="BY96" i="13"/>
  <c r="BX96" i="13"/>
  <c r="BP96" i="13"/>
  <c r="BN96" i="13"/>
  <c r="BM96" i="13"/>
  <c r="BQ96" i="13" s="1"/>
  <c r="BL96" i="13"/>
  <c r="BO96" i="13" s="1"/>
  <c r="AX96" i="13"/>
  <c r="AV96" i="13"/>
  <c r="AU96" i="13"/>
  <c r="AY96" i="13" s="1"/>
  <c r="AT96" i="13"/>
  <c r="AW96" i="13" s="1"/>
  <c r="AF96" i="13"/>
  <c r="AD96" i="13"/>
  <c r="V96" i="13"/>
  <c r="T96" i="13"/>
  <c r="L96" i="13"/>
  <c r="J96" i="13"/>
  <c r="J91" i="13" s="1"/>
  <c r="J12" i="13" s="1"/>
  <c r="I96" i="13"/>
  <c r="W96" i="13" s="1"/>
  <c r="H96" i="13"/>
  <c r="E96" i="13"/>
  <c r="D96" i="13"/>
  <c r="CA95" i="13"/>
  <c r="BZ95" i="13"/>
  <c r="BY95" i="13"/>
  <c r="BX95" i="13"/>
  <c r="BP95" i="13"/>
  <c r="BN95" i="13"/>
  <c r="BM95" i="13"/>
  <c r="BQ95" i="13" s="1"/>
  <c r="BL95" i="13"/>
  <c r="BO95" i="13" s="1"/>
  <c r="AX95" i="13"/>
  <c r="AV95" i="13"/>
  <c r="AU95" i="13"/>
  <c r="AY95" i="13" s="1"/>
  <c r="AT95" i="13"/>
  <c r="AW95" i="13" s="1"/>
  <c r="AF95" i="13"/>
  <c r="AD95" i="13"/>
  <c r="V95" i="13"/>
  <c r="T95" i="13"/>
  <c r="L95" i="13"/>
  <c r="J95" i="13"/>
  <c r="I95" i="13"/>
  <c r="W95" i="13" s="1"/>
  <c r="H95" i="13"/>
  <c r="E95" i="13"/>
  <c r="D95" i="13"/>
  <c r="A95" i="13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CA94" i="13"/>
  <c r="BZ94" i="13"/>
  <c r="BY94" i="13"/>
  <c r="BX94" i="13"/>
  <c r="BX91" i="13" s="1"/>
  <c r="BX12" i="13" s="1"/>
  <c r="BP94" i="13"/>
  <c r="BN94" i="13"/>
  <c r="BM94" i="13"/>
  <c r="BQ94" i="13" s="1"/>
  <c r="BL94" i="13"/>
  <c r="BO94" i="13" s="1"/>
  <c r="AX94" i="13"/>
  <c r="AX91" i="13" s="1"/>
  <c r="AX12" i="13" s="1"/>
  <c r="AX11" i="13" s="1"/>
  <c r="AV94" i="13"/>
  <c r="AU94" i="13"/>
  <c r="AY94" i="13" s="1"/>
  <c r="AT94" i="13"/>
  <c r="AW94" i="13" s="1"/>
  <c r="AF94" i="13"/>
  <c r="AD94" i="13"/>
  <c r="V94" i="13"/>
  <c r="T94" i="13"/>
  <c r="L94" i="13"/>
  <c r="J94" i="13"/>
  <c r="I94" i="13"/>
  <c r="W94" i="13" s="1"/>
  <c r="H94" i="13"/>
  <c r="U94" i="13" s="1"/>
  <c r="E94" i="13"/>
  <c r="D94" i="13"/>
  <c r="CA93" i="13"/>
  <c r="BZ93" i="13"/>
  <c r="BY93" i="13"/>
  <c r="BX93" i="13"/>
  <c r="BP93" i="13"/>
  <c r="BN93" i="13"/>
  <c r="BM93" i="13"/>
  <c r="BQ93" i="13" s="1"/>
  <c r="BL93" i="13"/>
  <c r="BO93" i="13" s="1"/>
  <c r="AX93" i="13"/>
  <c r="AV93" i="13"/>
  <c r="AU93" i="13"/>
  <c r="AY93" i="13" s="1"/>
  <c r="AT93" i="13"/>
  <c r="AW93" i="13" s="1"/>
  <c r="AF93" i="13"/>
  <c r="AD93" i="13"/>
  <c r="V93" i="13"/>
  <c r="T93" i="13"/>
  <c r="L93" i="13"/>
  <c r="J93" i="13"/>
  <c r="I93" i="13"/>
  <c r="W93" i="13" s="1"/>
  <c r="H93" i="13"/>
  <c r="E93" i="13"/>
  <c r="D93" i="13"/>
  <c r="CA92" i="13"/>
  <c r="BZ92" i="13"/>
  <c r="BY92" i="13"/>
  <c r="BX92" i="13"/>
  <c r="BP92" i="13"/>
  <c r="BN92" i="13"/>
  <c r="BM92" i="13"/>
  <c r="BL92" i="13"/>
  <c r="BO92" i="13" s="1"/>
  <c r="AX92" i="13"/>
  <c r="AV92" i="13"/>
  <c r="AU92" i="13"/>
  <c r="AT92" i="13"/>
  <c r="AF92" i="13"/>
  <c r="AD92" i="13"/>
  <c r="V92" i="13"/>
  <c r="T92" i="13"/>
  <c r="L92" i="13"/>
  <c r="J92" i="13"/>
  <c r="I92" i="13"/>
  <c r="W92" i="13" s="1"/>
  <c r="H92" i="13"/>
  <c r="E92" i="13"/>
  <c r="D92" i="13"/>
  <c r="CG91" i="13"/>
  <c r="CF91" i="13"/>
  <c r="CE91" i="13"/>
  <c r="CE12" i="13" s="1"/>
  <c r="CD91" i="13"/>
  <c r="BW91" i="13"/>
  <c r="BV91" i="13"/>
  <c r="BK91" i="13"/>
  <c r="BJ91" i="13"/>
  <c r="BI91" i="13"/>
  <c r="BH91" i="13"/>
  <c r="BG91" i="13"/>
  <c r="BF91" i="13"/>
  <c r="BE91" i="13"/>
  <c r="BD91" i="13"/>
  <c r="BD12" i="13" s="1"/>
  <c r="BD11" i="13" s="1"/>
  <c r="BC91" i="13"/>
  <c r="BB91" i="13"/>
  <c r="BA91" i="13"/>
  <c r="AZ91" i="13"/>
  <c r="AS91" i="13"/>
  <c r="AS12" i="13" s="1"/>
  <c r="AR91" i="13"/>
  <c r="AQ91" i="13"/>
  <c r="AP91" i="13"/>
  <c r="AO91" i="13"/>
  <c r="AN91" i="13"/>
  <c r="AM91" i="13"/>
  <c r="AL91" i="13"/>
  <c r="AK91" i="13"/>
  <c r="AK12" i="13" s="1"/>
  <c r="AJ91" i="13"/>
  <c r="AI91" i="13"/>
  <c r="AH91" i="13"/>
  <c r="AC91" i="13"/>
  <c r="AB91" i="13"/>
  <c r="AA91" i="13"/>
  <c r="Z91" i="13"/>
  <c r="Y91" i="13"/>
  <c r="X91" i="13"/>
  <c r="S91" i="13"/>
  <c r="S12" i="13" s="1"/>
  <c r="S11" i="13" s="1"/>
  <c r="R91" i="13"/>
  <c r="Q91" i="13"/>
  <c r="P91" i="13"/>
  <c r="O91" i="13"/>
  <c r="N91" i="13"/>
  <c r="F91" i="13"/>
  <c r="CG90" i="13"/>
  <c r="CF90" i="13"/>
  <c r="CE90" i="13"/>
  <c r="CD90" i="13"/>
  <c r="CC90" i="13"/>
  <c r="CB90" i="13"/>
  <c r="BW90" i="13"/>
  <c r="BV90" i="13"/>
  <c r="BU90" i="13"/>
  <c r="BT90" i="13"/>
  <c r="BS90" i="13"/>
  <c r="BR90" i="13"/>
  <c r="BM90" i="13"/>
  <c r="BQ90" i="13" s="1"/>
  <c r="BL90" i="13"/>
  <c r="BO90" i="13" s="1"/>
  <c r="BK90" i="13"/>
  <c r="BJ90" i="13"/>
  <c r="BI90" i="13"/>
  <c r="BH90" i="13"/>
  <c r="BG90" i="13"/>
  <c r="BF90" i="13"/>
  <c r="BE90" i="13"/>
  <c r="BD90" i="13"/>
  <c r="BC90" i="13"/>
  <c r="BB90" i="13"/>
  <c r="BA90" i="13"/>
  <c r="AZ90" i="13"/>
  <c r="AU90" i="13"/>
  <c r="AT90" i="13"/>
  <c r="AS90" i="13"/>
  <c r="AR90" i="13"/>
  <c r="AQ90" i="13"/>
  <c r="AP90" i="13"/>
  <c r="AO90" i="13"/>
  <c r="AN90" i="13"/>
  <c r="AM90" i="13"/>
  <c r="AL90" i="13"/>
  <c r="AK90" i="13"/>
  <c r="AJ90" i="13"/>
  <c r="AI90" i="13"/>
  <c r="AH90" i="13"/>
  <c r="AC90" i="13"/>
  <c r="AB90" i="13"/>
  <c r="AA90" i="13"/>
  <c r="Z90" i="13"/>
  <c r="Y90" i="13"/>
  <c r="X90" i="13"/>
  <c r="S90" i="13"/>
  <c r="R90" i="13"/>
  <c r="Q90" i="13"/>
  <c r="P90" i="13"/>
  <c r="O90" i="13"/>
  <c r="N90" i="13"/>
  <c r="I90" i="13"/>
  <c r="H90" i="13"/>
  <c r="F90" i="13"/>
  <c r="E90" i="13"/>
  <c r="D90" i="13"/>
  <c r="CG89" i="13"/>
  <c r="CF89" i="13"/>
  <c r="CE89" i="13"/>
  <c r="CD89" i="13"/>
  <c r="CC89" i="13"/>
  <c r="CB89" i="13"/>
  <c r="BW89" i="13"/>
  <c r="BV89" i="13"/>
  <c r="BU89" i="13"/>
  <c r="BT89" i="13"/>
  <c r="BS89" i="13"/>
  <c r="BR89" i="13"/>
  <c r="BM89" i="13"/>
  <c r="BQ89" i="13" s="1"/>
  <c r="BL89" i="13"/>
  <c r="BO89" i="13" s="1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U89" i="13"/>
  <c r="AY89" i="13" s="1"/>
  <c r="AT89" i="13"/>
  <c r="AW89" i="13" s="1"/>
  <c r="AS89" i="13"/>
  <c r="AR89" i="13"/>
  <c r="AQ89" i="13"/>
  <c r="AP89" i="13"/>
  <c r="AO89" i="13"/>
  <c r="AN89" i="13"/>
  <c r="AM89" i="13"/>
  <c r="AL89" i="13"/>
  <c r="AK89" i="13"/>
  <c r="AJ89" i="13"/>
  <c r="AI89" i="13"/>
  <c r="AH89" i="13"/>
  <c r="AC89" i="13"/>
  <c r="AB89" i="13"/>
  <c r="AA89" i="13"/>
  <c r="Z89" i="13"/>
  <c r="Y89" i="13"/>
  <c r="X89" i="13"/>
  <c r="S89" i="13"/>
  <c r="R89" i="13"/>
  <c r="Q89" i="13"/>
  <c r="P89" i="13"/>
  <c r="O89" i="13"/>
  <c r="N89" i="13"/>
  <c r="I89" i="13"/>
  <c r="H89" i="13"/>
  <c r="F89" i="13"/>
  <c r="E89" i="13"/>
  <c r="D89" i="13"/>
  <c r="CG88" i="13"/>
  <c r="CF88" i="13"/>
  <c r="CE88" i="13"/>
  <c r="CD88" i="13"/>
  <c r="CC88" i="13"/>
  <c r="CB88" i="13"/>
  <c r="BW88" i="13"/>
  <c r="CA88" i="13" s="1"/>
  <c r="BV88" i="13"/>
  <c r="BY88" i="13" s="1"/>
  <c r="BU88" i="13"/>
  <c r="BT88" i="13"/>
  <c r="BS88" i="13"/>
  <c r="BR88" i="13"/>
  <c r="BM88" i="13"/>
  <c r="BQ88" i="13" s="1"/>
  <c r="BL88" i="13"/>
  <c r="BO88" i="13" s="1"/>
  <c r="BK88" i="13"/>
  <c r="BJ88" i="13"/>
  <c r="BI88" i="13"/>
  <c r="BH88" i="13"/>
  <c r="BG88" i="13"/>
  <c r="BF88" i="13"/>
  <c r="BE88" i="13"/>
  <c r="BD88" i="13"/>
  <c r="BC88" i="13"/>
  <c r="BB88" i="13"/>
  <c r="BA88" i="13"/>
  <c r="AZ88" i="13"/>
  <c r="AU88" i="13"/>
  <c r="AT88" i="13"/>
  <c r="AS88" i="13"/>
  <c r="AR88" i="13"/>
  <c r="AQ88" i="13"/>
  <c r="AP88" i="13"/>
  <c r="AO88" i="13"/>
  <c r="AN88" i="13"/>
  <c r="AM88" i="13"/>
  <c r="AL88" i="13"/>
  <c r="AK88" i="13"/>
  <c r="AJ88" i="13"/>
  <c r="AI88" i="13"/>
  <c r="AH88" i="13"/>
  <c r="AC88" i="13"/>
  <c r="AB88" i="13"/>
  <c r="AA88" i="13"/>
  <c r="Z88" i="13"/>
  <c r="Y88" i="13"/>
  <c r="X88" i="13"/>
  <c r="S88" i="13"/>
  <c r="R88" i="13"/>
  <c r="Q88" i="13"/>
  <c r="P88" i="13"/>
  <c r="O88" i="13"/>
  <c r="N88" i="13"/>
  <c r="I88" i="13"/>
  <c r="H88" i="13"/>
  <c r="F88" i="13"/>
  <c r="E88" i="13"/>
  <c r="D88" i="13"/>
  <c r="CG87" i="13"/>
  <c r="CF87" i="13"/>
  <c r="CE87" i="13"/>
  <c r="CD87" i="13"/>
  <c r="CC87" i="13"/>
  <c r="CB87" i="13"/>
  <c r="BW87" i="13"/>
  <c r="CA87" i="13" s="1"/>
  <c r="BV87" i="13"/>
  <c r="BY87" i="13" s="1"/>
  <c r="BU87" i="13"/>
  <c r="BT87" i="13"/>
  <c r="BS87" i="13"/>
  <c r="BR87" i="13"/>
  <c r="BM87" i="13"/>
  <c r="BQ87" i="13" s="1"/>
  <c r="BL87" i="13"/>
  <c r="BO87" i="13" s="1"/>
  <c r="BK87" i="13"/>
  <c r="BJ87" i="13"/>
  <c r="BI87" i="13"/>
  <c r="BH87" i="13"/>
  <c r="BG87" i="13"/>
  <c r="BF87" i="13"/>
  <c r="BE87" i="13"/>
  <c r="BD87" i="13"/>
  <c r="BC87" i="13"/>
  <c r="BB87" i="13"/>
  <c r="BA87" i="13"/>
  <c r="AZ87" i="13"/>
  <c r="AU87" i="13"/>
  <c r="AT87" i="13"/>
  <c r="AS87" i="13"/>
  <c r="AR87" i="13"/>
  <c r="AQ87" i="13"/>
  <c r="AP87" i="13"/>
  <c r="AO87" i="13"/>
  <c r="AN87" i="13"/>
  <c r="AM87" i="13"/>
  <c r="AL87" i="13"/>
  <c r="AK87" i="13"/>
  <c r="AJ87" i="13"/>
  <c r="AI87" i="13"/>
  <c r="AH87" i="13"/>
  <c r="AC87" i="13"/>
  <c r="AB87" i="13"/>
  <c r="AA87" i="13"/>
  <c r="Z87" i="13"/>
  <c r="Y87" i="13"/>
  <c r="X87" i="13"/>
  <c r="S87" i="13"/>
  <c r="R87" i="13"/>
  <c r="Q87" i="13"/>
  <c r="P87" i="13"/>
  <c r="O87" i="13"/>
  <c r="N87" i="13"/>
  <c r="I87" i="13"/>
  <c r="H87" i="13"/>
  <c r="AE87" i="13" s="1"/>
  <c r="F87" i="13"/>
  <c r="E87" i="13"/>
  <c r="D87" i="13"/>
  <c r="CG86" i="13"/>
  <c r="CF86" i="13"/>
  <c r="CE86" i="13"/>
  <c r="CD86" i="13"/>
  <c r="CC86" i="13"/>
  <c r="CB86" i="13"/>
  <c r="BW86" i="13"/>
  <c r="CA86" i="13" s="1"/>
  <c r="BV86" i="13"/>
  <c r="BY86" i="13" s="1"/>
  <c r="BU86" i="13"/>
  <c r="BT86" i="13"/>
  <c r="BS86" i="13"/>
  <c r="BR86" i="13"/>
  <c r="BM86" i="13"/>
  <c r="BQ86" i="13" s="1"/>
  <c r="BL86" i="13"/>
  <c r="BO86" i="13" s="1"/>
  <c r="BK86" i="13"/>
  <c r="BJ86" i="13"/>
  <c r="BI86" i="13"/>
  <c r="BH86" i="13"/>
  <c r="BG86" i="13"/>
  <c r="BF86" i="13"/>
  <c r="BE86" i="13"/>
  <c r="BD86" i="13"/>
  <c r="BC86" i="13"/>
  <c r="BB86" i="13"/>
  <c r="BA86" i="13"/>
  <c r="AZ86" i="13"/>
  <c r="AU86" i="13"/>
  <c r="AY86" i="13" s="1"/>
  <c r="AT86" i="13"/>
  <c r="AW86" i="13" s="1"/>
  <c r="AS86" i="13"/>
  <c r="AR86" i="13"/>
  <c r="AQ86" i="13"/>
  <c r="AP86" i="13"/>
  <c r="AO86" i="13"/>
  <c r="AN86" i="13"/>
  <c r="AM86" i="13"/>
  <c r="AL86" i="13"/>
  <c r="AK86" i="13"/>
  <c r="AJ86" i="13"/>
  <c r="AI86" i="13"/>
  <c r="AH86" i="13"/>
  <c r="AC86" i="13"/>
  <c r="AB86" i="13"/>
  <c r="AA86" i="13"/>
  <c r="Z86" i="13"/>
  <c r="Y86" i="13"/>
  <c r="X86" i="13"/>
  <c r="S86" i="13"/>
  <c r="R86" i="13"/>
  <c r="Q86" i="13"/>
  <c r="P86" i="13"/>
  <c r="O86" i="13"/>
  <c r="N86" i="13"/>
  <c r="I86" i="13"/>
  <c r="H86" i="13"/>
  <c r="F86" i="13"/>
  <c r="E86" i="13"/>
  <c r="D86" i="13"/>
  <c r="CG85" i="13"/>
  <c r="CF85" i="13"/>
  <c r="CE85" i="13"/>
  <c r="CD85" i="13"/>
  <c r="CC85" i="13"/>
  <c r="CB85" i="13"/>
  <c r="BW85" i="13"/>
  <c r="CA85" i="13" s="1"/>
  <c r="BV85" i="13"/>
  <c r="BY85" i="13" s="1"/>
  <c r="BU85" i="13"/>
  <c r="BT85" i="13"/>
  <c r="BS85" i="13"/>
  <c r="BR85" i="13"/>
  <c r="BM85" i="13"/>
  <c r="BQ85" i="13" s="1"/>
  <c r="BL85" i="13"/>
  <c r="BO85" i="13" s="1"/>
  <c r="BK85" i="13"/>
  <c r="BJ85" i="13"/>
  <c r="BI85" i="13"/>
  <c r="BH85" i="13"/>
  <c r="BG85" i="13"/>
  <c r="BF85" i="13"/>
  <c r="BE85" i="13"/>
  <c r="BD85" i="13"/>
  <c r="BC85" i="13"/>
  <c r="BB85" i="13"/>
  <c r="BA85" i="13"/>
  <c r="AZ85" i="13"/>
  <c r="AU85" i="13"/>
  <c r="AY85" i="13" s="1"/>
  <c r="AT85" i="13"/>
  <c r="AW85" i="13" s="1"/>
  <c r="AS85" i="13"/>
  <c r="AR85" i="13"/>
  <c r="AQ85" i="13"/>
  <c r="AP85" i="13"/>
  <c r="AO85" i="13"/>
  <c r="AN85" i="13"/>
  <c r="AM85" i="13"/>
  <c r="AL85" i="13"/>
  <c r="AK85" i="13"/>
  <c r="AJ85" i="13"/>
  <c r="AI85" i="13"/>
  <c r="AH85" i="13"/>
  <c r="AC85" i="13"/>
  <c r="AB85" i="13"/>
  <c r="AA85" i="13"/>
  <c r="Z85" i="13"/>
  <c r="Y85" i="13"/>
  <c r="X85" i="13"/>
  <c r="S85" i="13"/>
  <c r="R85" i="13"/>
  <c r="Q85" i="13"/>
  <c r="P85" i="13"/>
  <c r="O85" i="13"/>
  <c r="N85" i="13"/>
  <c r="I85" i="13"/>
  <c r="AG85" i="13" s="1"/>
  <c r="H85" i="13"/>
  <c r="AE85" i="13" s="1"/>
  <c r="F85" i="13"/>
  <c r="E85" i="13"/>
  <c r="D85" i="13"/>
  <c r="CG84" i="13"/>
  <c r="CF84" i="13"/>
  <c r="CE84" i="13"/>
  <c r="CD84" i="13"/>
  <c r="CC84" i="13"/>
  <c r="CB84" i="13"/>
  <c r="BW84" i="13"/>
  <c r="BV84" i="13"/>
  <c r="BU84" i="13"/>
  <c r="BT84" i="13"/>
  <c r="BS84" i="13"/>
  <c r="BR84" i="13"/>
  <c r="BM84" i="13"/>
  <c r="BQ84" i="13" s="1"/>
  <c r="BL84" i="13"/>
  <c r="BO84" i="13" s="1"/>
  <c r="BK84" i="13"/>
  <c r="BJ84" i="13"/>
  <c r="BI84" i="13"/>
  <c r="BH84" i="13"/>
  <c r="BG84" i="13"/>
  <c r="BF84" i="13"/>
  <c r="BE84" i="13"/>
  <c r="BD84" i="13"/>
  <c r="BC84" i="13"/>
  <c r="BB84" i="13"/>
  <c r="BA84" i="13"/>
  <c r="AZ84" i="13"/>
  <c r="AU84" i="13"/>
  <c r="AT84" i="13"/>
  <c r="AS84" i="13"/>
  <c r="AR84" i="13"/>
  <c r="AQ84" i="13"/>
  <c r="AP84" i="13"/>
  <c r="AO84" i="13"/>
  <c r="AN84" i="13"/>
  <c r="AM84" i="13"/>
  <c r="AL84" i="13"/>
  <c r="AK84" i="13"/>
  <c r="AJ84" i="13"/>
  <c r="AI84" i="13"/>
  <c r="AH84" i="13"/>
  <c r="AC84" i="13"/>
  <c r="AB84" i="13"/>
  <c r="AA84" i="13"/>
  <c r="Z84" i="13"/>
  <c r="Y84" i="13"/>
  <c r="X84" i="13"/>
  <c r="S84" i="13"/>
  <c r="R84" i="13"/>
  <c r="Q84" i="13"/>
  <c r="P84" i="13"/>
  <c r="O84" i="13"/>
  <c r="N84" i="13"/>
  <c r="I84" i="13"/>
  <c r="H84" i="13"/>
  <c r="F84" i="13"/>
  <c r="E84" i="13"/>
  <c r="D84" i="13"/>
  <c r="CG83" i="13"/>
  <c r="CF83" i="13"/>
  <c r="CE83" i="13"/>
  <c r="CD83" i="13"/>
  <c r="CC83" i="13"/>
  <c r="CB83" i="13"/>
  <c r="BW83" i="13"/>
  <c r="BV83" i="13"/>
  <c r="BU83" i="13"/>
  <c r="BT83" i="13"/>
  <c r="BS83" i="13"/>
  <c r="BR83" i="13"/>
  <c r="BM83" i="13"/>
  <c r="BQ83" i="13" s="1"/>
  <c r="BL83" i="13"/>
  <c r="BO83" i="13" s="1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U83" i="13"/>
  <c r="AT83" i="13"/>
  <c r="AS83" i="13"/>
  <c r="AR83" i="13"/>
  <c r="AQ83" i="13"/>
  <c r="AP83" i="13"/>
  <c r="AO83" i="13"/>
  <c r="AN83" i="13"/>
  <c r="AM83" i="13"/>
  <c r="AL83" i="13"/>
  <c r="AK83" i="13"/>
  <c r="AJ83" i="13"/>
  <c r="AI83" i="13"/>
  <c r="AH83" i="13"/>
  <c r="AC83" i="13"/>
  <c r="AB83" i="13"/>
  <c r="AA83" i="13"/>
  <c r="Z83" i="13"/>
  <c r="Y83" i="13"/>
  <c r="X83" i="13"/>
  <c r="S83" i="13"/>
  <c r="R83" i="13"/>
  <c r="Q83" i="13"/>
  <c r="P83" i="13"/>
  <c r="O83" i="13"/>
  <c r="N83" i="13"/>
  <c r="I83" i="13"/>
  <c r="H83" i="13"/>
  <c r="F83" i="13"/>
  <c r="E83" i="13"/>
  <c r="D83" i="13"/>
  <c r="CG82" i="13"/>
  <c r="CF82" i="13"/>
  <c r="CE82" i="13"/>
  <c r="CD82" i="13"/>
  <c r="CC82" i="13"/>
  <c r="CB82" i="13"/>
  <c r="BW82" i="13"/>
  <c r="CA82" i="13" s="1"/>
  <c r="BV82" i="13"/>
  <c r="BY82" i="13" s="1"/>
  <c r="BU82" i="13"/>
  <c r="BT82" i="13"/>
  <c r="BS82" i="13"/>
  <c r="BR82" i="13"/>
  <c r="BM82" i="13"/>
  <c r="BQ82" i="13" s="1"/>
  <c r="BL82" i="13"/>
  <c r="BO82" i="13" s="1"/>
  <c r="BK82" i="13"/>
  <c r="BJ82" i="13"/>
  <c r="BI82" i="13"/>
  <c r="BH82" i="13"/>
  <c r="BG82" i="13"/>
  <c r="BF82" i="13"/>
  <c r="BE82" i="13"/>
  <c r="BD82" i="13"/>
  <c r="BC82" i="13"/>
  <c r="BB82" i="13"/>
  <c r="BA82" i="13"/>
  <c r="AZ82" i="13"/>
  <c r="AU82" i="13"/>
  <c r="AY82" i="13" s="1"/>
  <c r="AT82" i="13"/>
  <c r="AW82" i="13" s="1"/>
  <c r="AS82" i="13"/>
  <c r="AR82" i="13"/>
  <c r="AQ82" i="13"/>
  <c r="AP82" i="13"/>
  <c r="AO82" i="13"/>
  <c r="AN82" i="13"/>
  <c r="AM82" i="13"/>
  <c r="AL82" i="13"/>
  <c r="AK82" i="13"/>
  <c r="AJ82" i="13"/>
  <c r="AI82" i="13"/>
  <c r="AH82" i="13"/>
  <c r="AC82" i="13"/>
  <c r="AB82" i="13"/>
  <c r="AA82" i="13"/>
  <c r="Z82" i="13"/>
  <c r="Y82" i="13"/>
  <c r="X82" i="13"/>
  <c r="S82" i="13"/>
  <c r="R82" i="13"/>
  <c r="Q82" i="13"/>
  <c r="P82" i="13"/>
  <c r="O82" i="13"/>
  <c r="N82" i="13"/>
  <c r="I82" i="13"/>
  <c r="H82" i="13"/>
  <c r="F82" i="13"/>
  <c r="E82" i="13"/>
  <c r="D82" i="13"/>
  <c r="CG81" i="13"/>
  <c r="CF81" i="13"/>
  <c r="CE81" i="13"/>
  <c r="CD81" i="13"/>
  <c r="CC81" i="13"/>
  <c r="CB81" i="13"/>
  <c r="BW81" i="13"/>
  <c r="CA81" i="13" s="1"/>
  <c r="BV81" i="13"/>
  <c r="BY81" i="13" s="1"/>
  <c r="BU81" i="13"/>
  <c r="BT81" i="13"/>
  <c r="BS81" i="13"/>
  <c r="BR81" i="13"/>
  <c r="BM81" i="13"/>
  <c r="BQ81" i="13" s="1"/>
  <c r="BL81" i="13"/>
  <c r="BO81" i="13" s="1"/>
  <c r="BK81" i="13"/>
  <c r="BJ81" i="13"/>
  <c r="BI81" i="13"/>
  <c r="BH81" i="13"/>
  <c r="BG81" i="13"/>
  <c r="BF81" i="13"/>
  <c r="BE81" i="13"/>
  <c r="BD81" i="13"/>
  <c r="BC81" i="13"/>
  <c r="BB81" i="13"/>
  <c r="BA81" i="13"/>
  <c r="AZ81" i="13"/>
  <c r="AU81" i="13"/>
  <c r="AY81" i="13" s="1"/>
  <c r="AT81" i="13"/>
  <c r="AW81" i="13" s="1"/>
  <c r="AS81" i="13"/>
  <c r="AR81" i="13"/>
  <c r="AQ81" i="13"/>
  <c r="AP81" i="13"/>
  <c r="AO81" i="13"/>
  <c r="AN81" i="13"/>
  <c r="AM81" i="13"/>
  <c r="AL81" i="13"/>
  <c r="AK81" i="13"/>
  <c r="AJ81" i="13"/>
  <c r="AI81" i="13"/>
  <c r="AH81" i="13"/>
  <c r="AC81" i="13"/>
  <c r="AB81" i="13"/>
  <c r="AA81" i="13"/>
  <c r="Z81" i="13"/>
  <c r="Y81" i="13"/>
  <c r="X81" i="13"/>
  <c r="S81" i="13"/>
  <c r="R81" i="13"/>
  <c r="Q81" i="13"/>
  <c r="P81" i="13"/>
  <c r="O81" i="13"/>
  <c r="N81" i="13"/>
  <c r="I81" i="13"/>
  <c r="H81" i="13"/>
  <c r="F81" i="13"/>
  <c r="E81" i="13"/>
  <c r="D81" i="13"/>
  <c r="CG80" i="13"/>
  <c r="CF80" i="13"/>
  <c r="CE80" i="13"/>
  <c r="CD80" i="13"/>
  <c r="CC80" i="13"/>
  <c r="CB80" i="13"/>
  <c r="BW80" i="13"/>
  <c r="CA80" i="13" s="1"/>
  <c r="BV80" i="13"/>
  <c r="BY80" i="13" s="1"/>
  <c r="BU80" i="13"/>
  <c r="BT80" i="13"/>
  <c r="BS80" i="13"/>
  <c r="BR80" i="13"/>
  <c r="BM80" i="13"/>
  <c r="BQ80" i="13" s="1"/>
  <c r="BL80" i="13"/>
  <c r="BO80" i="13" s="1"/>
  <c r="BK80" i="13"/>
  <c r="BJ80" i="13"/>
  <c r="BI80" i="13"/>
  <c r="BH80" i="13"/>
  <c r="BG80" i="13"/>
  <c r="BF80" i="13"/>
  <c r="BE80" i="13"/>
  <c r="BD80" i="13"/>
  <c r="BC80" i="13"/>
  <c r="BB80" i="13"/>
  <c r="BA80" i="13"/>
  <c r="AZ80" i="13"/>
  <c r="AU80" i="13"/>
  <c r="AY80" i="13" s="1"/>
  <c r="AT80" i="13"/>
  <c r="AW80" i="13" s="1"/>
  <c r="AS80" i="13"/>
  <c r="AR80" i="13"/>
  <c r="AQ80" i="13"/>
  <c r="AP80" i="13"/>
  <c r="AO80" i="13"/>
  <c r="AN80" i="13"/>
  <c r="AM80" i="13"/>
  <c r="AL80" i="13"/>
  <c r="AK80" i="13"/>
  <c r="AJ80" i="13"/>
  <c r="AI80" i="13"/>
  <c r="AH80" i="13"/>
  <c r="AC80" i="13"/>
  <c r="AB80" i="13"/>
  <c r="AA80" i="13"/>
  <c r="Z80" i="13"/>
  <c r="Y80" i="13"/>
  <c r="X80" i="13"/>
  <c r="S80" i="13"/>
  <c r="R80" i="13"/>
  <c r="Q80" i="13"/>
  <c r="P80" i="13"/>
  <c r="O80" i="13"/>
  <c r="N80" i="13"/>
  <c r="I80" i="13"/>
  <c r="H80" i="13"/>
  <c r="F80" i="13"/>
  <c r="E80" i="13"/>
  <c r="D80" i="13"/>
  <c r="CG79" i="13"/>
  <c r="CF79" i="13"/>
  <c r="CE79" i="13"/>
  <c r="CD79" i="13"/>
  <c r="CC79" i="13"/>
  <c r="CB79" i="13"/>
  <c r="BW79" i="13"/>
  <c r="CA79" i="13" s="1"/>
  <c r="BV79" i="13"/>
  <c r="BY79" i="13" s="1"/>
  <c r="BU79" i="13"/>
  <c r="BT79" i="13"/>
  <c r="BS79" i="13"/>
  <c r="BR79" i="13"/>
  <c r="BM79" i="13"/>
  <c r="BQ79" i="13" s="1"/>
  <c r="BL79" i="13"/>
  <c r="BO79" i="13" s="1"/>
  <c r="BK79" i="13"/>
  <c r="BJ79" i="13"/>
  <c r="BI79" i="13"/>
  <c r="BH79" i="13"/>
  <c r="BG79" i="13"/>
  <c r="BF79" i="13"/>
  <c r="BE79" i="13"/>
  <c r="BD79" i="13"/>
  <c r="BC79" i="13"/>
  <c r="BB79" i="13"/>
  <c r="BA79" i="13"/>
  <c r="AZ79" i="13"/>
  <c r="AU79" i="13"/>
  <c r="AT79" i="13"/>
  <c r="AS79" i="13"/>
  <c r="AR79" i="13"/>
  <c r="AQ79" i="13"/>
  <c r="AP79" i="13"/>
  <c r="AO79" i="13"/>
  <c r="AN79" i="13"/>
  <c r="AM79" i="13"/>
  <c r="AL79" i="13"/>
  <c r="AK79" i="13"/>
  <c r="AJ79" i="13"/>
  <c r="AI79" i="13"/>
  <c r="AH79" i="13"/>
  <c r="AC79" i="13"/>
  <c r="AB79" i="13"/>
  <c r="AA79" i="13"/>
  <c r="Z79" i="13"/>
  <c r="Y79" i="13"/>
  <c r="X79" i="13"/>
  <c r="S79" i="13"/>
  <c r="R79" i="13"/>
  <c r="Q79" i="13"/>
  <c r="P79" i="13"/>
  <c r="O79" i="13"/>
  <c r="N79" i="13"/>
  <c r="I79" i="13"/>
  <c r="H79" i="13"/>
  <c r="F79" i="13"/>
  <c r="E79" i="13"/>
  <c r="D79" i="13"/>
  <c r="CG78" i="13"/>
  <c r="CF78" i="13"/>
  <c r="CE78" i="13"/>
  <c r="CD78" i="13"/>
  <c r="CC78" i="13"/>
  <c r="CB78" i="13"/>
  <c r="BW78" i="13"/>
  <c r="CA78" i="13" s="1"/>
  <c r="BV78" i="13"/>
  <c r="BY78" i="13" s="1"/>
  <c r="BU78" i="13"/>
  <c r="BT78" i="13"/>
  <c r="BS78" i="13"/>
  <c r="BR78" i="13"/>
  <c r="BM78" i="13"/>
  <c r="BQ78" i="13" s="1"/>
  <c r="BL78" i="13"/>
  <c r="BK78" i="13"/>
  <c r="BJ78" i="13"/>
  <c r="BI78" i="13"/>
  <c r="BH78" i="13"/>
  <c r="BG78" i="13"/>
  <c r="BF78" i="13"/>
  <c r="BE78" i="13"/>
  <c r="BD78" i="13"/>
  <c r="BC78" i="13"/>
  <c r="BB78" i="13"/>
  <c r="BA78" i="13"/>
  <c r="AZ78" i="13"/>
  <c r="AU78" i="13"/>
  <c r="AT78" i="13"/>
  <c r="AS78" i="13"/>
  <c r="AR78" i="13"/>
  <c r="AQ78" i="13"/>
  <c r="AP78" i="13"/>
  <c r="AO78" i="13"/>
  <c r="AN78" i="13"/>
  <c r="AM78" i="13"/>
  <c r="AL78" i="13"/>
  <c r="AK78" i="13"/>
  <c r="AJ78" i="13"/>
  <c r="AI78" i="13"/>
  <c r="AH78" i="13"/>
  <c r="AC78" i="13"/>
  <c r="AB78" i="13"/>
  <c r="AA78" i="13"/>
  <c r="Z78" i="13"/>
  <c r="Y78" i="13"/>
  <c r="X78" i="13"/>
  <c r="S78" i="13"/>
  <c r="R78" i="13"/>
  <c r="Q78" i="13"/>
  <c r="P78" i="13"/>
  <c r="O78" i="13"/>
  <c r="N78" i="13"/>
  <c r="I78" i="13"/>
  <c r="H78" i="13"/>
  <c r="F78" i="13"/>
  <c r="E78" i="13"/>
  <c r="D78" i="13"/>
  <c r="CG77" i="13"/>
  <c r="CF77" i="13"/>
  <c r="CE77" i="13"/>
  <c r="CD77" i="13"/>
  <c r="CC77" i="13"/>
  <c r="CB77" i="13"/>
  <c r="BW77" i="13"/>
  <c r="BV77" i="13"/>
  <c r="BU77" i="13"/>
  <c r="BT77" i="13"/>
  <c r="BS77" i="13"/>
  <c r="BR77" i="13"/>
  <c r="BM77" i="13"/>
  <c r="BQ77" i="13" s="1"/>
  <c r="BL77" i="13"/>
  <c r="BO77" i="13" s="1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U77" i="13"/>
  <c r="AT77" i="13"/>
  <c r="AS77" i="13"/>
  <c r="AR77" i="13"/>
  <c r="AQ77" i="13"/>
  <c r="AP77" i="13"/>
  <c r="AO77" i="13"/>
  <c r="AN77" i="13"/>
  <c r="AM77" i="13"/>
  <c r="AL77" i="13"/>
  <c r="AK77" i="13"/>
  <c r="AJ77" i="13"/>
  <c r="AI77" i="13"/>
  <c r="AH77" i="13"/>
  <c r="AC77" i="13"/>
  <c r="AB77" i="13"/>
  <c r="AA77" i="13"/>
  <c r="Z77" i="13"/>
  <c r="Y77" i="13"/>
  <c r="X77" i="13"/>
  <c r="S77" i="13"/>
  <c r="R77" i="13"/>
  <c r="Q77" i="13"/>
  <c r="P77" i="13"/>
  <c r="O77" i="13"/>
  <c r="N77" i="13"/>
  <c r="I77" i="13"/>
  <c r="H77" i="13"/>
  <c r="F77" i="13"/>
  <c r="E77" i="13"/>
  <c r="D77" i="13"/>
  <c r="CG75" i="13"/>
  <c r="CF75" i="13"/>
  <c r="CE75" i="13"/>
  <c r="CD75" i="13"/>
  <c r="CC75" i="13"/>
  <c r="CB75" i="13"/>
  <c r="BW75" i="13"/>
  <c r="CA75" i="13" s="1"/>
  <c r="BV75" i="13"/>
  <c r="BY75" i="13" s="1"/>
  <c r="BU75" i="13"/>
  <c r="BT75" i="13"/>
  <c r="BS75" i="13"/>
  <c r="BR75" i="13"/>
  <c r="BM75" i="13"/>
  <c r="BQ75" i="13" s="1"/>
  <c r="BL75" i="13"/>
  <c r="BO75" i="13" s="1"/>
  <c r="BK75" i="13"/>
  <c r="BJ75" i="13"/>
  <c r="BI75" i="13"/>
  <c r="BH75" i="13"/>
  <c r="BG75" i="13"/>
  <c r="BF75" i="13"/>
  <c r="BE75" i="13"/>
  <c r="BD75" i="13"/>
  <c r="BC75" i="13"/>
  <c r="BB75" i="13"/>
  <c r="BA75" i="13"/>
  <c r="AZ75" i="13"/>
  <c r="AU75" i="13"/>
  <c r="AY75" i="13" s="1"/>
  <c r="AT75" i="13"/>
  <c r="AW75" i="13" s="1"/>
  <c r="AS75" i="13"/>
  <c r="AR75" i="13"/>
  <c r="AQ75" i="13"/>
  <c r="AP75" i="13"/>
  <c r="AO75" i="13"/>
  <c r="AN75" i="13"/>
  <c r="AM75" i="13"/>
  <c r="AL75" i="13"/>
  <c r="AK75" i="13"/>
  <c r="AJ75" i="13"/>
  <c r="AI75" i="13"/>
  <c r="AH75" i="13"/>
  <c r="AC75" i="13"/>
  <c r="AB75" i="13"/>
  <c r="AA75" i="13"/>
  <c r="Z75" i="13"/>
  <c r="Y75" i="13"/>
  <c r="X75" i="13"/>
  <c r="S75" i="13"/>
  <c r="R75" i="13"/>
  <c r="Q75" i="13"/>
  <c r="P75" i="13"/>
  <c r="O75" i="13"/>
  <c r="N75" i="13"/>
  <c r="I75" i="13"/>
  <c r="M75" i="13" s="1"/>
  <c r="H75" i="13"/>
  <c r="U75" i="13" s="1"/>
  <c r="F75" i="13"/>
  <c r="E75" i="13"/>
  <c r="D75" i="13"/>
  <c r="CG74" i="13"/>
  <c r="CF74" i="13"/>
  <c r="CE74" i="13"/>
  <c r="CD74" i="13"/>
  <c r="CC74" i="13"/>
  <c r="CB74" i="13"/>
  <c r="BW74" i="13"/>
  <c r="CA74" i="13" s="1"/>
  <c r="BV74" i="13"/>
  <c r="BY74" i="13" s="1"/>
  <c r="BU74" i="13"/>
  <c r="BT74" i="13"/>
  <c r="BS74" i="13"/>
  <c r="BR74" i="13"/>
  <c r="BM74" i="13"/>
  <c r="BQ74" i="13" s="1"/>
  <c r="BL74" i="13"/>
  <c r="BO74" i="13" s="1"/>
  <c r="BK74" i="13"/>
  <c r="BJ74" i="13"/>
  <c r="BI74" i="13"/>
  <c r="BH74" i="13"/>
  <c r="BG74" i="13"/>
  <c r="BF74" i="13"/>
  <c r="BE74" i="13"/>
  <c r="BD74" i="13"/>
  <c r="BC74" i="13"/>
  <c r="BB74" i="13"/>
  <c r="BA74" i="13"/>
  <c r="AZ74" i="13"/>
  <c r="AU74" i="13"/>
  <c r="AT74" i="13"/>
  <c r="AS74" i="13"/>
  <c r="AR74" i="13"/>
  <c r="AQ74" i="13"/>
  <c r="AP74" i="13"/>
  <c r="AO74" i="13"/>
  <c r="AN74" i="13"/>
  <c r="AM74" i="13"/>
  <c r="AL74" i="13"/>
  <c r="AK74" i="13"/>
  <c r="AJ74" i="13"/>
  <c r="AI74" i="13"/>
  <c r="AH74" i="13"/>
  <c r="AC74" i="13"/>
  <c r="AB74" i="13"/>
  <c r="AA74" i="13"/>
  <c r="Z74" i="13"/>
  <c r="Y74" i="13"/>
  <c r="X74" i="13"/>
  <c r="S74" i="13"/>
  <c r="R74" i="13"/>
  <c r="Q74" i="13"/>
  <c r="P74" i="13"/>
  <c r="O74" i="13"/>
  <c r="N74" i="13"/>
  <c r="I74" i="13"/>
  <c r="H74" i="13"/>
  <c r="F74" i="13"/>
  <c r="E74" i="13"/>
  <c r="D74" i="13"/>
  <c r="CG73" i="13"/>
  <c r="CF73" i="13"/>
  <c r="CE73" i="13"/>
  <c r="CD73" i="13"/>
  <c r="CC73" i="13"/>
  <c r="CB73" i="13"/>
  <c r="BW73" i="13"/>
  <c r="CA73" i="13" s="1"/>
  <c r="BV73" i="13"/>
  <c r="BY73" i="13" s="1"/>
  <c r="BU73" i="13"/>
  <c r="BT73" i="13"/>
  <c r="BS73" i="13"/>
  <c r="BR73" i="13"/>
  <c r="BM73" i="13"/>
  <c r="BQ73" i="13" s="1"/>
  <c r="BL73" i="13"/>
  <c r="BO73" i="13" s="1"/>
  <c r="BK73" i="13"/>
  <c r="BJ73" i="13"/>
  <c r="BI73" i="13"/>
  <c r="BH73" i="13"/>
  <c r="BG73" i="13"/>
  <c r="BF73" i="13"/>
  <c r="BE73" i="13"/>
  <c r="BD73" i="13"/>
  <c r="BC73" i="13"/>
  <c r="BB73" i="13"/>
  <c r="BA73" i="13"/>
  <c r="AZ73" i="13"/>
  <c r="AU73" i="13"/>
  <c r="AY73" i="13" s="1"/>
  <c r="AT73" i="13"/>
  <c r="AW73" i="13" s="1"/>
  <c r="AS73" i="13"/>
  <c r="AR73" i="13"/>
  <c r="AQ73" i="13"/>
  <c r="AP73" i="13"/>
  <c r="AO73" i="13"/>
  <c r="AN73" i="13"/>
  <c r="AM73" i="13"/>
  <c r="AL73" i="13"/>
  <c r="AK73" i="13"/>
  <c r="AJ73" i="13"/>
  <c r="AI73" i="13"/>
  <c r="AH73" i="13"/>
  <c r="AC73" i="13"/>
  <c r="AB73" i="13"/>
  <c r="AA73" i="13"/>
  <c r="Z73" i="13"/>
  <c r="Y73" i="13"/>
  <c r="X73" i="13"/>
  <c r="S73" i="13"/>
  <c r="R73" i="13"/>
  <c r="Q73" i="13"/>
  <c r="P73" i="13"/>
  <c r="O73" i="13"/>
  <c r="N73" i="13"/>
  <c r="I73" i="13"/>
  <c r="AG73" i="13" s="1"/>
  <c r="H73" i="13"/>
  <c r="AE73" i="13" s="1"/>
  <c r="F73" i="13"/>
  <c r="E73" i="13"/>
  <c r="D73" i="13"/>
  <c r="CG72" i="13"/>
  <c r="CF72" i="13"/>
  <c r="CE72" i="13"/>
  <c r="CD72" i="13"/>
  <c r="CC72" i="13"/>
  <c r="CB72" i="13"/>
  <c r="BW72" i="13"/>
  <c r="CA72" i="13" s="1"/>
  <c r="BV72" i="13"/>
  <c r="BY72" i="13" s="1"/>
  <c r="BU72" i="13"/>
  <c r="BT72" i="13"/>
  <c r="BS72" i="13"/>
  <c r="BR72" i="13"/>
  <c r="BM72" i="13"/>
  <c r="BQ72" i="13" s="1"/>
  <c r="BL72" i="13"/>
  <c r="BO72" i="13" s="1"/>
  <c r="BK72" i="13"/>
  <c r="BJ72" i="13"/>
  <c r="BI72" i="13"/>
  <c r="BH72" i="13"/>
  <c r="BG72" i="13"/>
  <c r="BF72" i="13"/>
  <c r="BE72" i="13"/>
  <c r="BD72" i="13"/>
  <c r="BC72" i="13"/>
  <c r="BB72" i="13"/>
  <c r="BA72" i="13"/>
  <c r="AZ72" i="13"/>
  <c r="AU72" i="13"/>
  <c r="AT72" i="13"/>
  <c r="AS72" i="13"/>
  <c r="AR72" i="13"/>
  <c r="AQ72" i="13"/>
  <c r="AP72" i="13"/>
  <c r="AO72" i="13"/>
  <c r="AN72" i="13"/>
  <c r="AM72" i="13"/>
  <c r="AL72" i="13"/>
  <c r="AK72" i="13"/>
  <c r="AJ72" i="13"/>
  <c r="AI72" i="13"/>
  <c r="AH72" i="13"/>
  <c r="AC72" i="13"/>
  <c r="AB72" i="13"/>
  <c r="AA72" i="13"/>
  <c r="Z72" i="13"/>
  <c r="Y72" i="13"/>
  <c r="X72" i="13"/>
  <c r="S72" i="13"/>
  <c r="R72" i="13"/>
  <c r="Q72" i="13"/>
  <c r="P72" i="13"/>
  <c r="O72" i="13"/>
  <c r="N72" i="13"/>
  <c r="I72" i="13"/>
  <c r="H72" i="13"/>
  <c r="F72" i="13"/>
  <c r="E72" i="13"/>
  <c r="D72" i="13"/>
  <c r="CG71" i="13"/>
  <c r="CF71" i="13"/>
  <c r="CE71" i="13"/>
  <c r="CD71" i="13"/>
  <c r="CC71" i="13"/>
  <c r="CB71" i="13"/>
  <c r="BW71" i="13"/>
  <c r="CA71" i="13" s="1"/>
  <c r="BV71" i="13"/>
  <c r="BY71" i="13" s="1"/>
  <c r="BU71" i="13"/>
  <c r="BT71" i="13"/>
  <c r="BS71" i="13"/>
  <c r="BR71" i="13"/>
  <c r="BM71" i="13"/>
  <c r="BQ71" i="13" s="1"/>
  <c r="BL71" i="13"/>
  <c r="BO71" i="13" s="1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U71" i="13"/>
  <c r="AT71" i="13"/>
  <c r="AS71" i="13"/>
  <c r="AR71" i="13"/>
  <c r="AQ71" i="13"/>
  <c r="AP71" i="13"/>
  <c r="AO71" i="13"/>
  <c r="AN71" i="13"/>
  <c r="AM71" i="13"/>
  <c r="AL71" i="13"/>
  <c r="AK71" i="13"/>
  <c r="AJ71" i="13"/>
  <c r="AI71" i="13"/>
  <c r="AH71" i="13"/>
  <c r="AC71" i="13"/>
  <c r="AB71" i="13"/>
  <c r="AA71" i="13"/>
  <c r="Z71" i="13"/>
  <c r="Y71" i="13"/>
  <c r="X71" i="13"/>
  <c r="S71" i="13"/>
  <c r="R71" i="13"/>
  <c r="Q71" i="13"/>
  <c r="P71" i="13"/>
  <c r="O71" i="13"/>
  <c r="N71" i="13"/>
  <c r="I71" i="13"/>
  <c r="H71" i="13"/>
  <c r="F71" i="13"/>
  <c r="E71" i="13"/>
  <c r="D71" i="13"/>
  <c r="CG70" i="13"/>
  <c r="CF70" i="13"/>
  <c r="CE70" i="13"/>
  <c r="CD70" i="13"/>
  <c r="CC70" i="13"/>
  <c r="CB70" i="13"/>
  <c r="BW70" i="13"/>
  <c r="CA70" i="13" s="1"/>
  <c r="BV70" i="13"/>
  <c r="BY70" i="13" s="1"/>
  <c r="BU70" i="13"/>
  <c r="BT70" i="13"/>
  <c r="BS70" i="13"/>
  <c r="BR70" i="13"/>
  <c r="BM70" i="13"/>
  <c r="BQ70" i="13" s="1"/>
  <c r="BL70" i="13"/>
  <c r="BO70" i="13" s="1"/>
  <c r="BK70" i="13"/>
  <c r="BJ70" i="13"/>
  <c r="BI70" i="13"/>
  <c r="BH70" i="13"/>
  <c r="BG70" i="13"/>
  <c r="BF70" i="13"/>
  <c r="BE70" i="13"/>
  <c r="BD70" i="13"/>
  <c r="BC70" i="13"/>
  <c r="BB70" i="13"/>
  <c r="BA70" i="13"/>
  <c r="AZ70" i="13"/>
  <c r="AU70" i="13"/>
  <c r="AT70" i="13"/>
  <c r="AS70" i="13"/>
  <c r="AR70" i="13"/>
  <c r="AQ70" i="13"/>
  <c r="AP70" i="13"/>
  <c r="AO70" i="13"/>
  <c r="AN70" i="13"/>
  <c r="AM70" i="13"/>
  <c r="AL70" i="13"/>
  <c r="AK70" i="13"/>
  <c r="AJ70" i="13"/>
  <c r="AI70" i="13"/>
  <c r="AH70" i="13"/>
  <c r="AC70" i="13"/>
  <c r="AB70" i="13"/>
  <c r="AA70" i="13"/>
  <c r="Z70" i="13"/>
  <c r="Y70" i="13"/>
  <c r="X70" i="13"/>
  <c r="S70" i="13"/>
  <c r="R70" i="13"/>
  <c r="Q70" i="13"/>
  <c r="P70" i="13"/>
  <c r="O70" i="13"/>
  <c r="N70" i="13"/>
  <c r="I70" i="13"/>
  <c r="H70" i="13"/>
  <c r="F70" i="13"/>
  <c r="E70" i="13"/>
  <c r="D70" i="13"/>
  <c r="CG69" i="13"/>
  <c r="CF69" i="13"/>
  <c r="CE69" i="13"/>
  <c r="CD69" i="13"/>
  <c r="CC69" i="13"/>
  <c r="CB69" i="13"/>
  <c r="BW69" i="13"/>
  <c r="CA69" i="13" s="1"/>
  <c r="BV69" i="13"/>
  <c r="BY69" i="13" s="1"/>
  <c r="BU69" i="13"/>
  <c r="BT69" i="13"/>
  <c r="BS69" i="13"/>
  <c r="BR69" i="13"/>
  <c r="BM69" i="13"/>
  <c r="BQ69" i="13" s="1"/>
  <c r="BL69" i="13"/>
  <c r="BO69" i="13" s="1"/>
  <c r="BK69" i="13"/>
  <c r="BJ69" i="13"/>
  <c r="BI69" i="13"/>
  <c r="BH69" i="13"/>
  <c r="BG69" i="13"/>
  <c r="BF69" i="13"/>
  <c r="BE69" i="13"/>
  <c r="BD69" i="13"/>
  <c r="BC69" i="13"/>
  <c r="BB69" i="13"/>
  <c r="BA69" i="13"/>
  <c r="AZ69" i="13"/>
  <c r="AU69" i="13"/>
  <c r="AT69" i="13"/>
  <c r="AS69" i="13"/>
  <c r="AR69" i="13"/>
  <c r="AQ69" i="13"/>
  <c r="AP69" i="13"/>
  <c r="AO69" i="13"/>
  <c r="AN69" i="13"/>
  <c r="AM69" i="13"/>
  <c r="AL69" i="13"/>
  <c r="AK69" i="13"/>
  <c r="AJ69" i="13"/>
  <c r="AI69" i="13"/>
  <c r="AH69" i="13"/>
  <c r="AC69" i="13"/>
  <c r="AB69" i="13"/>
  <c r="AA69" i="13"/>
  <c r="Z69" i="13"/>
  <c r="Y69" i="13"/>
  <c r="X69" i="13"/>
  <c r="S69" i="13"/>
  <c r="R69" i="13"/>
  <c r="Q69" i="13"/>
  <c r="P69" i="13"/>
  <c r="O69" i="13"/>
  <c r="N69" i="13"/>
  <c r="I69" i="13"/>
  <c r="M69" i="13" s="1"/>
  <c r="H69" i="13"/>
  <c r="F69" i="13"/>
  <c r="E69" i="13"/>
  <c r="D69" i="13"/>
  <c r="CG68" i="13"/>
  <c r="CF68" i="13"/>
  <c r="CE68" i="13"/>
  <c r="CD68" i="13"/>
  <c r="CC68" i="13"/>
  <c r="CB68" i="13"/>
  <c r="BW68" i="13"/>
  <c r="CA68" i="13" s="1"/>
  <c r="BV68" i="13"/>
  <c r="BY68" i="13" s="1"/>
  <c r="BU68" i="13"/>
  <c r="BT68" i="13"/>
  <c r="BS68" i="13"/>
  <c r="BR68" i="13"/>
  <c r="BM68" i="13"/>
  <c r="BQ68" i="13" s="1"/>
  <c r="BL68" i="13"/>
  <c r="BO68" i="13" s="1"/>
  <c r="BK68" i="13"/>
  <c r="BJ68" i="13"/>
  <c r="BI68" i="13"/>
  <c r="BH68" i="13"/>
  <c r="BG68" i="13"/>
  <c r="BF68" i="13"/>
  <c r="BE68" i="13"/>
  <c r="BD68" i="13"/>
  <c r="BC68" i="13"/>
  <c r="BB68" i="13"/>
  <c r="BA68" i="13"/>
  <c r="AZ68" i="13"/>
  <c r="AU68" i="13"/>
  <c r="AT68" i="13"/>
  <c r="AS68" i="13"/>
  <c r="AR68" i="13"/>
  <c r="AQ68" i="13"/>
  <c r="AP68" i="13"/>
  <c r="AO68" i="13"/>
  <c r="AN68" i="13"/>
  <c r="AM68" i="13"/>
  <c r="AL68" i="13"/>
  <c r="AK68" i="13"/>
  <c r="AJ68" i="13"/>
  <c r="AI68" i="13"/>
  <c r="AH68" i="13"/>
  <c r="AC68" i="13"/>
  <c r="AB68" i="13"/>
  <c r="AA68" i="13"/>
  <c r="Z68" i="13"/>
  <c r="Y68" i="13"/>
  <c r="X68" i="13"/>
  <c r="S68" i="13"/>
  <c r="R68" i="13"/>
  <c r="Q68" i="13"/>
  <c r="P68" i="13"/>
  <c r="O68" i="13"/>
  <c r="N68" i="13"/>
  <c r="I68" i="13"/>
  <c r="H68" i="13"/>
  <c r="F68" i="13"/>
  <c r="E68" i="13"/>
  <c r="D68" i="13"/>
  <c r="CG67" i="13"/>
  <c r="CF67" i="13"/>
  <c r="CE67" i="13"/>
  <c r="CD67" i="13"/>
  <c r="CC67" i="13"/>
  <c r="CB67" i="13"/>
  <c r="BW67" i="13"/>
  <c r="CA67" i="13" s="1"/>
  <c r="BV67" i="13"/>
  <c r="BY67" i="13" s="1"/>
  <c r="BU67" i="13"/>
  <c r="BT67" i="13"/>
  <c r="BS67" i="13"/>
  <c r="BR67" i="13"/>
  <c r="BM67" i="13"/>
  <c r="BQ67" i="13" s="1"/>
  <c r="BL67" i="13"/>
  <c r="BO67" i="13" s="1"/>
  <c r="BK67" i="13"/>
  <c r="BJ67" i="13"/>
  <c r="BI67" i="13"/>
  <c r="BH67" i="13"/>
  <c r="BG67" i="13"/>
  <c r="BF67" i="13"/>
  <c r="BE67" i="13"/>
  <c r="BD67" i="13"/>
  <c r="BC67" i="13"/>
  <c r="BB67" i="13"/>
  <c r="BA67" i="13"/>
  <c r="AZ67" i="13"/>
  <c r="AU67" i="13"/>
  <c r="AT67" i="13"/>
  <c r="AS67" i="13"/>
  <c r="AR67" i="13"/>
  <c r="AQ67" i="13"/>
  <c r="AP67" i="13"/>
  <c r="AO67" i="13"/>
  <c r="AN67" i="13"/>
  <c r="AM67" i="13"/>
  <c r="AL67" i="13"/>
  <c r="AK67" i="13"/>
  <c r="AJ67" i="13"/>
  <c r="AI67" i="13"/>
  <c r="AH67" i="13"/>
  <c r="AC67" i="13"/>
  <c r="AB67" i="13"/>
  <c r="AA67" i="13"/>
  <c r="Z67" i="13"/>
  <c r="Y67" i="13"/>
  <c r="X67" i="13"/>
  <c r="S67" i="13"/>
  <c r="R67" i="13"/>
  <c r="Q67" i="13"/>
  <c r="P67" i="13"/>
  <c r="O67" i="13"/>
  <c r="N67" i="13"/>
  <c r="I67" i="13"/>
  <c r="H67" i="13"/>
  <c r="F67" i="13"/>
  <c r="E67" i="13"/>
  <c r="D67" i="13"/>
  <c r="CG66" i="13"/>
  <c r="CF66" i="13"/>
  <c r="CE66" i="13"/>
  <c r="CD66" i="13"/>
  <c r="CC66" i="13"/>
  <c r="CB66" i="13"/>
  <c r="BW66" i="13"/>
  <c r="CA66" i="13" s="1"/>
  <c r="BV66" i="13"/>
  <c r="BY66" i="13" s="1"/>
  <c r="BU66" i="13"/>
  <c r="BT66" i="13"/>
  <c r="BS66" i="13"/>
  <c r="BR66" i="13"/>
  <c r="BM66" i="13"/>
  <c r="BQ66" i="13" s="1"/>
  <c r="BL66" i="13"/>
  <c r="BO66" i="13" s="1"/>
  <c r="BK66" i="13"/>
  <c r="BJ66" i="13"/>
  <c r="BI66" i="13"/>
  <c r="BH66" i="13"/>
  <c r="BG66" i="13"/>
  <c r="BF66" i="13"/>
  <c r="BE66" i="13"/>
  <c r="BD66" i="13"/>
  <c r="BC66" i="13"/>
  <c r="BB66" i="13"/>
  <c r="BA66" i="13"/>
  <c r="AZ66" i="13"/>
  <c r="AU66" i="13"/>
  <c r="AT66" i="13"/>
  <c r="AS66" i="13"/>
  <c r="AR66" i="13"/>
  <c r="AQ66" i="13"/>
  <c r="AP66" i="13"/>
  <c r="AO66" i="13"/>
  <c r="AN66" i="13"/>
  <c r="AM66" i="13"/>
  <c r="AL66" i="13"/>
  <c r="AK66" i="13"/>
  <c r="AJ66" i="13"/>
  <c r="AI66" i="13"/>
  <c r="AH66" i="13"/>
  <c r="AC66" i="13"/>
  <c r="AB66" i="13"/>
  <c r="AA66" i="13"/>
  <c r="Z66" i="13"/>
  <c r="Y66" i="13"/>
  <c r="X66" i="13"/>
  <c r="S66" i="13"/>
  <c r="R66" i="13"/>
  <c r="Q66" i="13"/>
  <c r="P66" i="13"/>
  <c r="O66" i="13"/>
  <c r="N66" i="13"/>
  <c r="I66" i="13"/>
  <c r="H66" i="13"/>
  <c r="F66" i="13"/>
  <c r="E66" i="13"/>
  <c r="D66" i="13"/>
  <c r="CG65" i="13"/>
  <c r="CF65" i="13"/>
  <c r="CE65" i="13"/>
  <c r="CD65" i="13"/>
  <c r="CC65" i="13"/>
  <c r="CB65" i="13"/>
  <c r="BW65" i="13"/>
  <c r="CA65" i="13" s="1"/>
  <c r="BV65" i="13"/>
  <c r="BY65" i="13" s="1"/>
  <c r="BU65" i="13"/>
  <c r="BT65" i="13"/>
  <c r="BS65" i="13"/>
  <c r="BR65" i="13"/>
  <c r="BM65" i="13"/>
  <c r="BQ65" i="13" s="1"/>
  <c r="BL65" i="13"/>
  <c r="BO65" i="13" s="1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U65" i="13"/>
  <c r="AT65" i="13"/>
  <c r="AS65" i="13"/>
  <c r="AR65" i="13"/>
  <c r="AQ65" i="13"/>
  <c r="AP65" i="13"/>
  <c r="AO65" i="13"/>
  <c r="AN65" i="13"/>
  <c r="AM65" i="13"/>
  <c r="AL65" i="13"/>
  <c r="AK65" i="13"/>
  <c r="AJ65" i="13"/>
  <c r="AI65" i="13"/>
  <c r="AH65" i="13"/>
  <c r="AC65" i="13"/>
  <c r="AB65" i="13"/>
  <c r="AA65" i="13"/>
  <c r="Z65" i="13"/>
  <c r="Y65" i="13"/>
  <c r="X65" i="13"/>
  <c r="S65" i="13"/>
  <c r="R65" i="13"/>
  <c r="Q65" i="13"/>
  <c r="P65" i="13"/>
  <c r="O65" i="13"/>
  <c r="N65" i="13"/>
  <c r="I65" i="13"/>
  <c r="H65" i="13"/>
  <c r="F65" i="13"/>
  <c r="E65" i="13"/>
  <c r="D65" i="13"/>
  <c r="CG64" i="13"/>
  <c r="CF64" i="13"/>
  <c r="CE64" i="13"/>
  <c r="CD64" i="13"/>
  <c r="CC64" i="13"/>
  <c r="CB64" i="13"/>
  <c r="BW64" i="13"/>
  <c r="BV64" i="13"/>
  <c r="BU64" i="13"/>
  <c r="BT64" i="13"/>
  <c r="BS64" i="13"/>
  <c r="BR64" i="13"/>
  <c r="BM64" i="13"/>
  <c r="BQ64" i="13" s="1"/>
  <c r="BL64" i="13"/>
  <c r="BO64" i="13" s="1"/>
  <c r="BK64" i="13"/>
  <c r="BJ64" i="13"/>
  <c r="BI64" i="13"/>
  <c r="BH64" i="13"/>
  <c r="BG64" i="13"/>
  <c r="BF64" i="13"/>
  <c r="BE64" i="13"/>
  <c r="BD64" i="13"/>
  <c r="BC64" i="13"/>
  <c r="BB64" i="13"/>
  <c r="BA64" i="13"/>
  <c r="AZ64" i="13"/>
  <c r="AU64" i="13"/>
  <c r="AT64" i="13"/>
  <c r="AS64" i="13"/>
  <c r="AR64" i="13"/>
  <c r="AQ64" i="13"/>
  <c r="AP64" i="13"/>
  <c r="AO64" i="13"/>
  <c r="AN64" i="13"/>
  <c r="AM64" i="13"/>
  <c r="AL64" i="13"/>
  <c r="AK64" i="13"/>
  <c r="AJ64" i="13"/>
  <c r="AI64" i="13"/>
  <c r="AH64" i="13"/>
  <c r="AC64" i="13"/>
  <c r="AB64" i="13"/>
  <c r="AA64" i="13"/>
  <c r="Z64" i="13"/>
  <c r="Y64" i="13"/>
  <c r="X64" i="13"/>
  <c r="S64" i="13"/>
  <c r="R64" i="13"/>
  <c r="Q64" i="13"/>
  <c r="P64" i="13"/>
  <c r="O64" i="13"/>
  <c r="N64" i="13"/>
  <c r="I64" i="13"/>
  <c r="H64" i="13"/>
  <c r="F64" i="13"/>
  <c r="E64" i="13"/>
  <c r="D64" i="13"/>
  <c r="CG63" i="13"/>
  <c r="CF63" i="13"/>
  <c r="CE63" i="13"/>
  <c r="CD63" i="13"/>
  <c r="CC63" i="13"/>
  <c r="CB63" i="13"/>
  <c r="BW63" i="13"/>
  <c r="CA63" i="13" s="1"/>
  <c r="BV63" i="13"/>
  <c r="BY63" i="13" s="1"/>
  <c r="BU63" i="13"/>
  <c r="BT63" i="13"/>
  <c r="BS63" i="13"/>
  <c r="BR63" i="13"/>
  <c r="BM63" i="13"/>
  <c r="BQ63" i="13" s="1"/>
  <c r="BL63" i="13"/>
  <c r="BO63" i="13" s="1"/>
  <c r="BK63" i="13"/>
  <c r="BJ63" i="13"/>
  <c r="BI63" i="13"/>
  <c r="BH63" i="13"/>
  <c r="BG63" i="13"/>
  <c r="BF63" i="13"/>
  <c r="BE63" i="13"/>
  <c r="BD63" i="13"/>
  <c r="BC63" i="13"/>
  <c r="BB63" i="13"/>
  <c r="BA63" i="13"/>
  <c r="AZ63" i="13"/>
  <c r="AU63" i="13"/>
  <c r="AY63" i="13" s="1"/>
  <c r="AT63" i="13"/>
  <c r="AW63" i="13" s="1"/>
  <c r="AS63" i="13"/>
  <c r="AR63" i="13"/>
  <c r="AQ63" i="13"/>
  <c r="AP63" i="13"/>
  <c r="AO63" i="13"/>
  <c r="AN63" i="13"/>
  <c r="AM63" i="13"/>
  <c r="AL63" i="13"/>
  <c r="AK63" i="13"/>
  <c r="AJ63" i="13"/>
  <c r="AI63" i="13"/>
  <c r="AH63" i="13"/>
  <c r="AC63" i="13"/>
  <c r="AB63" i="13"/>
  <c r="AA63" i="13"/>
  <c r="Z63" i="13"/>
  <c r="Y63" i="13"/>
  <c r="X63" i="13"/>
  <c r="S63" i="13"/>
  <c r="R63" i="13"/>
  <c r="Q63" i="13"/>
  <c r="P63" i="13"/>
  <c r="O63" i="13"/>
  <c r="N63" i="13"/>
  <c r="I63" i="13"/>
  <c r="M63" i="13" s="1"/>
  <c r="H63" i="13"/>
  <c r="U63" i="13" s="1"/>
  <c r="F63" i="13"/>
  <c r="E63" i="13"/>
  <c r="D63" i="13"/>
  <c r="CG62" i="13"/>
  <c r="CF62" i="13"/>
  <c r="CE62" i="13"/>
  <c r="CD62" i="13"/>
  <c r="CC62" i="13"/>
  <c r="CB62" i="13"/>
  <c r="BW62" i="13"/>
  <c r="CA62" i="13" s="1"/>
  <c r="BV62" i="13"/>
  <c r="BY62" i="13" s="1"/>
  <c r="BU62" i="13"/>
  <c r="BT62" i="13"/>
  <c r="BS62" i="13"/>
  <c r="BR62" i="13"/>
  <c r="BM62" i="13"/>
  <c r="BQ62" i="13" s="1"/>
  <c r="BL62" i="13"/>
  <c r="BO62" i="13" s="1"/>
  <c r="BK62" i="13"/>
  <c r="BJ62" i="13"/>
  <c r="BI62" i="13"/>
  <c r="BH62" i="13"/>
  <c r="BG62" i="13"/>
  <c r="BF62" i="13"/>
  <c r="BE62" i="13"/>
  <c r="BD62" i="13"/>
  <c r="BC62" i="13"/>
  <c r="BB62" i="13"/>
  <c r="BA62" i="13"/>
  <c r="AZ62" i="13"/>
  <c r="AU62" i="13"/>
  <c r="AY62" i="13" s="1"/>
  <c r="AT62" i="13"/>
  <c r="AW62" i="13" s="1"/>
  <c r="AS62" i="13"/>
  <c r="AR62" i="13"/>
  <c r="AQ62" i="13"/>
  <c r="AP62" i="13"/>
  <c r="AO62" i="13"/>
  <c r="AN62" i="13"/>
  <c r="AM62" i="13"/>
  <c r="AL62" i="13"/>
  <c r="AK62" i="13"/>
  <c r="AJ62" i="13"/>
  <c r="AI62" i="13"/>
  <c r="AH62" i="13"/>
  <c r="AC62" i="13"/>
  <c r="AB62" i="13"/>
  <c r="AA62" i="13"/>
  <c r="Z62" i="13"/>
  <c r="Y62" i="13"/>
  <c r="X62" i="13"/>
  <c r="S62" i="13"/>
  <c r="R62" i="13"/>
  <c r="Q62" i="13"/>
  <c r="P62" i="13"/>
  <c r="O62" i="13"/>
  <c r="N62" i="13"/>
  <c r="I62" i="13"/>
  <c r="H62" i="13"/>
  <c r="AE62" i="13" s="1"/>
  <c r="F62" i="13"/>
  <c r="E62" i="13"/>
  <c r="D62" i="13"/>
  <c r="CG61" i="13"/>
  <c r="CF61" i="13"/>
  <c r="CE61" i="13"/>
  <c r="CD61" i="13"/>
  <c r="CC61" i="13"/>
  <c r="CB61" i="13"/>
  <c r="BW61" i="13"/>
  <c r="CA61" i="13" s="1"/>
  <c r="BV61" i="13"/>
  <c r="BY61" i="13" s="1"/>
  <c r="BU61" i="13"/>
  <c r="BT61" i="13"/>
  <c r="BS61" i="13"/>
  <c r="BR61" i="13"/>
  <c r="BM61" i="13"/>
  <c r="BQ61" i="13" s="1"/>
  <c r="BL61" i="13"/>
  <c r="BO61" i="13" s="1"/>
  <c r="BK61" i="13"/>
  <c r="BJ61" i="13"/>
  <c r="BI61" i="13"/>
  <c r="BH61" i="13"/>
  <c r="BG61" i="13"/>
  <c r="BF61" i="13"/>
  <c r="BE61" i="13"/>
  <c r="BD61" i="13"/>
  <c r="BC61" i="13"/>
  <c r="BB61" i="13"/>
  <c r="BA61" i="13"/>
  <c r="AZ61" i="13"/>
  <c r="AU61" i="13"/>
  <c r="AY61" i="13" s="1"/>
  <c r="AT61" i="13"/>
  <c r="AW61" i="13" s="1"/>
  <c r="AS61" i="13"/>
  <c r="AR61" i="13"/>
  <c r="AQ61" i="13"/>
  <c r="AP61" i="13"/>
  <c r="AO61" i="13"/>
  <c r="AN61" i="13"/>
  <c r="AM61" i="13"/>
  <c r="AL61" i="13"/>
  <c r="AK61" i="13"/>
  <c r="AJ61" i="13"/>
  <c r="AI61" i="13"/>
  <c r="AH61" i="13"/>
  <c r="AC61" i="13"/>
  <c r="AB61" i="13"/>
  <c r="AA61" i="13"/>
  <c r="Z61" i="13"/>
  <c r="Y61" i="13"/>
  <c r="X61" i="13"/>
  <c r="S61" i="13"/>
  <c r="R61" i="13"/>
  <c r="Q61" i="13"/>
  <c r="P61" i="13"/>
  <c r="O61" i="13"/>
  <c r="N61" i="13"/>
  <c r="I61" i="13"/>
  <c r="W61" i="13" s="1"/>
  <c r="H61" i="13"/>
  <c r="F61" i="13"/>
  <c r="E61" i="13"/>
  <c r="D61" i="13"/>
  <c r="CG60" i="13"/>
  <c r="CF60" i="13"/>
  <c r="CE60" i="13"/>
  <c r="CD60" i="13"/>
  <c r="CC60" i="13"/>
  <c r="CB60" i="13"/>
  <c r="BW60" i="13"/>
  <c r="CA60" i="13" s="1"/>
  <c r="BV60" i="13"/>
  <c r="BY60" i="13" s="1"/>
  <c r="BU60" i="13"/>
  <c r="BT60" i="13"/>
  <c r="BS60" i="13"/>
  <c r="BR60" i="13"/>
  <c r="BM60" i="13"/>
  <c r="BQ60" i="13" s="1"/>
  <c r="BL60" i="13"/>
  <c r="BK60" i="13"/>
  <c r="BJ60" i="13"/>
  <c r="BI60" i="13"/>
  <c r="BH60" i="13"/>
  <c r="BG60" i="13"/>
  <c r="BF60" i="13"/>
  <c r="BE60" i="13"/>
  <c r="BD60" i="13"/>
  <c r="BC60" i="13"/>
  <c r="BB60" i="13"/>
  <c r="BA60" i="13"/>
  <c r="AZ60" i="13"/>
  <c r="AU60" i="13"/>
  <c r="AT60" i="13"/>
  <c r="AS60" i="13"/>
  <c r="AR60" i="13"/>
  <c r="AQ60" i="13"/>
  <c r="AP60" i="13"/>
  <c r="AO60" i="13"/>
  <c r="AN60" i="13"/>
  <c r="AM60" i="13"/>
  <c r="AL60" i="13"/>
  <c r="AK60" i="13"/>
  <c r="AJ60" i="13"/>
  <c r="AI60" i="13"/>
  <c r="AH60" i="13"/>
  <c r="AC60" i="13"/>
  <c r="AB60" i="13"/>
  <c r="AA60" i="13"/>
  <c r="Z60" i="13"/>
  <c r="Y60" i="13"/>
  <c r="X60" i="13"/>
  <c r="S60" i="13"/>
  <c r="R60" i="13"/>
  <c r="Q60" i="13"/>
  <c r="P60" i="13"/>
  <c r="O60" i="13"/>
  <c r="N60" i="13"/>
  <c r="I60" i="13"/>
  <c r="H60" i="13"/>
  <c r="F60" i="13"/>
  <c r="E60" i="13"/>
  <c r="D60" i="13"/>
  <c r="CG59" i="13"/>
  <c r="CF59" i="13"/>
  <c r="CE59" i="13"/>
  <c r="CD59" i="13"/>
  <c r="CC59" i="13"/>
  <c r="CB59" i="13"/>
  <c r="BW59" i="13"/>
  <c r="CA59" i="13" s="1"/>
  <c r="BV59" i="13"/>
  <c r="BY59" i="13" s="1"/>
  <c r="BU59" i="13"/>
  <c r="BT59" i="13"/>
  <c r="BS59" i="13"/>
  <c r="BR59" i="13"/>
  <c r="BM59" i="13"/>
  <c r="BQ59" i="13" s="1"/>
  <c r="BL59" i="13"/>
  <c r="BO59" i="13" s="1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U59" i="13"/>
  <c r="AT59" i="13"/>
  <c r="AS59" i="13"/>
  <c r="AR59" i="13"/>
  <c r="AQ59" i="13"/>
  <c r="AP59" i="13"/>
  <c r="AO59" i="13"/>
  <c r="AN59" i="13"/>
  <c r="AM59" i="13"/>
  <c r="AL59" i="13"/>
  <c r="AK59" i="13"/>
  <c r="AJ59" i="13"/>
  <c r="AI59" i="13"/>
  <c r="AH59" i="13"/>
  <c r="AC59" i="13"/>
  <c r="AB59" i="13"/>
  <c r="AA59" i="13"/>
  <c r="Z59" i="13"/>
  <c r="Y59" i="13"/>
  <c r="X59" i="13"/>
  <c r="S59" i="13"/>
  <c r="R59" i="13"/>
  <c r="Q59" i="13"/>
  <c r="P59" i="13"/>
  <c r="O59" i="13"/>
  <c r="N59" i="13"/>
  <c r="I59" i="13"/>
  <c r="H59" i="13"/>
  <c r="F59" i="13"/>
  <c r="E59" i="13"/>
  <c r="D59" i="13"/>
  <c r="CG58" i="13"/>
  <c r="CF58" i="13"/>
  <c r="CE58" i="13"/>
  <c r="CD58" i="13"/>
  <c r="CC58" i="13"/>
  <c r="CB58" i="13"/>
  <c r="BW58" i="13"/>
  <c r="BV58" i="13"/>
  <c r="BU58" i="13"/>
  <c r="BT58" i="13"/>
  <c r="BS58" i="13"/>
  <c r="BR58" i="13"/>
  <c r="BM58" i="13"/>
  <c r="BQ58" i="13" s="1"/>
  <c r="BL58" i="13"/>
  <c r="BO58" i="13" s="1"/>
  <c r="BK58" i="13"/>
  <c r="BJ58" i="13"/>
  <c r="BI58" i="13"/>
  <c r="BH58" i="13"/>
  <c r="BG58" i="13"/>
  <c r="BF58" i="13"/>
  <c r="BE58" i="13"/>
  <c r="BD58" i="13"/>
  <c r="BC58" i="13"/>
  <c r="BB58" i="13"/>
  <c r="BA58" i="13"/>
  <c r="AZ58" i="13"/>
  <c r="AU58" i="13"/>
  <c r="AT58" i="13"/>
  <c r="AS58" i="13"/>
  <c r="AR58" i="13"/>
  <c r="AQ58" i="13"/>
  <c r="AP58" i="13"/>
  <c r="AO58" i="13"/>
  <c r="AN58" i="13"/>
  <c r="AM58" i="13"/>
  <c r="AL58" i="13"/>
  <c r="AK58" i="13"/>
  <c r="AJ58" i="13"/>
  <c r="AI58" i="13"/>
  <c r="AH58" i="13"/>
  <c r="AC58" i="13"/>
  <c r="AB58" i="13"/>
  <c r="AA58" i="13"/>
  <c r="Z58" i="13"/>
  <c r="Y58" i="13"/>
  <c r="X58" i="13"/>
  <c r="S58" i="13"/>
  <c r="R58" i="13"/>
  <c r="Q58" i="13"/>
  <c r="P58" i="13"/>
  <c r="O58" i="13"/>
  <c r="N58" i="13"/>
  <c r="I58" i="13"/>
  <c r="H58" i="13"/>
  <c r="F58" i="13"/>
  <c r="E58" i="13"/>
  <c r="D58" i="13"/>
  <c r="CG57" i="13"/>
  <c r="CF57" i="13"/>
  <c r="CE57" i="13"/>
  <c r="CD57" i="13"/>
  <c r="CC57" i="13"/>
  <c r="CB57" i="13"/>
  <c r="BW57" i="13"/>
  <c r="BV57" i="13"/>
  <c r="BY57" i="13" s="1"/>
  <c r="BU57" i="13"/>
  <c r="BT57" i="13"/>
  <c r="BS57" i="13"/>
  <c r="BR57" i="13"/>
  <c r="BM57" i="13"/>
  <c r="BQ57" i="13" s="1"/>
  <c r="BL57" i="13"/>
  <c r="BO57" i="13" s="1"/>
  <c r="BK57" i="13"/>
  <c r="BJ57" i="13"/>
  <c r="BI57" i="13"/>
  <c r="BH57" i="13"/>
  <c r="BG57" i="13"/>
  <c r="BF57" i="13"/>
  <c r="BE57" i="13"/>
  <c r="BD57" i="13"/>
  <c r="BC57" i="13"/>
  <c r="BB57" i="13"/>
  <c r="BA57" i="13"/>
  <c r="AZ57" i="13"/>
  <c r="AU57" i="13"/>
  <c r="AT57" i="13"/>
  <c r="AS57" i="13"/>
  <c r="AR57" i="13"/>
  <c r="AQ57" i="13"/>
  <c r="AP57" i="13"/>
  <c r="AO57" i="13"/>
  <c r="AN57" i="13"/>
  <c r="AM57" i="13"/>
  <c r="AL57" i="13"/>
  <c r="AK57" i="13"/>
  <c r="AJ57" i="13"/>
  <c r="AI57" i="13"/>
  <c r="AH57" i="13"/>
  <c r="AC57" i="13"/>
  <c r="AB57" i="13"/>
  <c r="AA57" i="13"/>
  <c r="Z57" i="13"/>
  <c r="Y57" i="13"/>
  <c r="X57" i="13"/>
  <c r="S57" i="13"/>
  <c r="R57" i="13"/>
  <c r="Q57" i="13"/>
  <c r="P57" i="13"/>
  <c r="O57" i="13"/>
  <c r="N57" i="13"/>
  <c r="I57" i="13"/>
  <c r="H57" i="13"/>
  <c r="F57" i="13"/>
  <c r="E57" i="13"/>
  <c r="D57" i="13"/>
  <c r="CG56" i="13"/>
  <c r="CF56" i="13"/>
  <c r="CE56" i="13"/>
  <c r="CD56" i="13"/>
  <c r="CC56" i="13"/>
  <c r="CB56" i="13"/>
  <c r="BW56" i="13"/>
  <c r="CA56" i="13" s="1"/>
  <c r="BV56" i="13"/>
  <c r="BY56" i="13" s="1"/>
  <c r="BU56" i="13"/>
  <c r="BT56" i="13"/>
  <c r="BS56" i="13"/>
  <c r="BR56" i="13"/>
  <c r="BM56" i="13"/>
  <c r="BQ56" i="13" s="1"/>
  <c r="BL56" i="13"/>
  <c r="BO56" i="13" s="1"/>
  <c r="BK56" i="13"/>
  <c r="BJ56" i="13"/>
  <c r="BI56" i="13"/>
  <c r="BH56" i="13"/>
  <c r="BG56" i="13"/>
  <c r="BF56" i="13"/>
  <c r="BE56" i="13"/>
  <c r="BD56" i="13"/>
  <c r="BC56" i="13"/>
  <c r="BB56" i="13"/>
  <c r="BA56" i="13"/>
  <c r="AZ56" i="13"/>
  <c r="AU56" i="13"/>
  <c r="AT56" i="13"/>
  <c r="AS56" i="13"/>
  <c r="AR56" i="13"/>
  <c r="AQ56" i="13"/>
  <c r="AP56" i="13"/>
  <c r="AO56" i="13"/>
  <c r="AN56" i="13"/>
  <c r="AM56" i="13"/>
  <c r="AL56" i="13"/>
  <c r="AK56" i="13"/>
  <c r="AJ56" i="13"/>
  <c r="AI56" i="13"/>
  <c r="AH56" i="13"/>
  <c r="AC56" i="13"/>
  <c r="AB56" i="13"/>
  <c r="AA56" i="13"/>
  <c r="Z56" i="13"/>
  <c r="Y56" i="13"/>
  <c r="X56" i="13"/>
  <c r="S56" i="13"/>
  <c r="R56" i="13"/>
  <c r="Q56" i="13"/>
  <c r="P56" i="13"/>
  <c r="O56" i="13"/>
  <c r="N56" i="13"/>
  <c r="I56" i="13"/>
  <c r="H56" i="13"/>
  <c r="F56" i="13"/>
  <c r="E56" i="13"/>
  <c r="D56" i="13"/>
  <c r="CG55" i="13"/>
  <c r="CF55" i="13"/>
  <c r="CE55" i="13"/>
  <c r="CD55" i="13"/>
  <c r="CC55" i="13"/>
  <c r="CB55" i="13"/>
  <c r="BW55" i="13"/>
  <c r="BV55" i="13"/>
  <c r="BU55" i="13"/>
  <c r="BT55" i="13"/>
  <c r="BS55" i="13"/>
  <c r="BR55" i="13"/>
  <c r="BM55" i="13"/>
  <c r="BQ55" i="13" s="1"/>
  <c r="BL55" i="13"/>
  <c r="BO55" i="13" s="1"/>
  <c r="BK55" i="13"/>
  <c r="BJ55" i="13"/>
  <c r="BI55" i="13"/>
  <c r="BH55" i="13"/>
  <c r="BG55" i="13"/>
  <c r="BF55" i="13"/>
  <c r="BE55" i="13"/>
  <c r="BD55" i="13"/>
  <c r="BC55" i="13"/>
  <c r="BB55" i="13"/>
  <c r="BA55" i="13"/>
  <c r="AZ55" i="13"/>
  <c r="AU55" i="13"/>
  <c r="AT55" i="13"/>
  <c r="AS55" i="13"/>
  <c r="AR55" i="13"/>
  <c r="AQ55" i="13"/>
  <c r="AP55" i="13"/>
  <c r="AO55" i="13"/>
  <c r="AN55" i="13"/>
  <c r="AM55" i="13"/>
  <c r="AL55" i="13"/>
  <c r="AK55" i="13"/>
  <c r="AJ55" i="13"/>
  <c r="AI55" i="13"/>
  <c r="AH55" i="13"/>
  <c r="AC55" i="13"/>
  <c r="AB55" i="13"/>
  <c r="AA55" i="13"/>
  <c r="Z55" i="13"/>
  <c r="Y55" i="13"/>
  <c r="X55" i="13"/>
  <c r="S55" i="13"/>
  <c r="R55" i="13"/>
  <c r="Q55" i="13"/>
  <c r="P55" i="13"/>
  <c r="O55" i="13"/>
  <c r="N55" i="13"/>
  <c r="I55" i="13"/>
  <c r="H55" i="13"/>
  <c r="F55" i="13"/>
  <c r="E55" i="13"/>
  <c r="D55" i="13"/>
  <c r="CG53" i="13"/>
  <c r="CF53" i="13"/>
  <c r="CE53" i="13"/>
  <c r="CD53" i="13"/>
  <c r="CC53" i="13"/>
  <c r="CB53" i="13"/>
  <c r="BW53" i="13"/>
  <c r="CA53" i="13" s="1"/>
  <c r="BV53" i="13"/>
  <c r="BY53" i="13" s="1"/>
  <c r="BU53" i="13"/>
  <c r="BT53" i="13"/>
  <c r="BS53" i="13"/>
  <c r="BR53" i="13"/>
  <c r="BM53" i="13"/>
  <c r="BQ53" i="13" s="1"/>
  <c r="BL53" i="13"/>
  <c r="BO53" i="13" s="1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U53" i="13"/>
  <c r="AT53" i="13"/>
  <c r="AS53" i="13"/>
  <c r="AR53" i="13"/>
  <c r="AQ53" i="13"/>
  <c r="AP53" i="13"/>
  <c r="AO53" i="13"/>
  <c r="AN53" i="13"/>
  <c r="AM53" i="13"/>
  <c r="AL53" i="13"/>
  <c r="AK53" i="13"/>
  <c r="AJ53" i="13"/>
  <c r="AI53" i="13"/>
  <c r="AH53" i="13"/>
  <c r="AC53" i="13"/>
  <c r="AB53" i="13"/>
  <c r="AA53" i="13"/>
  <c r="Z53" i="13"/>
  <c r="Y53" i="13"/>
  <c r="X53" i="13"/>
  <c r="S53" i="13"/>
  <c r="R53" i="13"/>
  <c r="Q53" i="13"/>
  <c r="P53" i="13"/>
  <c r="O53" i="13"/>
  <c r="N53" i="13"/>
  <c r="I53" i="13"/>
  <c r="H53" i="13"/>
  <c r="F53" i="13"/>
  <c r="E53" i="13"/>
  <c r="D53" i="13"/>
  <c r="CG52" i="13"/>
  <c r="CF52" i="13"/>
  <c r="CE52" i="13"/>
  <c r="CD52" i="13"/>
  <c r="CC52" i="13"/>
  <c r="CB52" i="13"/>
  <c r="BW52" i="13"/>
  <c r="CA52" i="13" s="1"/>
  <c r="BV52" i="13"/>
  <c r="BY52" i="13" s="1"/>
  <c r="BU52" i="13"/>
  <c r="BT52" i="13"/>
  <c r="BS52" i="13"/>
  <c r="BR52" i="13"/>
  <c r="BM52" i="13"/>
  <c r="BQ52" i="13" s="1"/>
  <c r="BL52" i="13"/>
  <c r="BO52" i="13" s="1"/>
  <c r="BK52" i="13"/>
  <c r="BJ52" i="13"/>
  <c r="BI52" i="13"/>
  <c r="BH52" i="13"/>
  <c r="BG52" i="13"/>
  <c r="BF52" i="13"/>
  <c r="BE52" i="13"/>
  <c r="BD52" i="13"/>
  <c r="BC52" i="13"/>
  <c r="BB52" i="13"/>
  <c r="BA52" i="13"/>
  <c r="AZ52" i="13"/>
  <c r="AU52" i="13"/>
  <c r="AT52" i="13"/>
  <c r="AS52" i="13"/>
  <c r="AR52" i="13"/>
  <c r="AQ52" i="13"/>
  <c r="AP52" i="13"/>
  <c r="AO52" i="13"/>
  <c r="AN52" i="13"/>
  <c r="AM52" i="13"/>
  <c r="AL52" i="13"/>
  <c r="AK52" i="13"/>
  <c r="AJ52" i="13"/>
  <c r="AI52" i="13"/>
  <c r="AH52" i="13"/>
  <c r="AC52" i="13"/>
  <c r="AB52" i="13"/>
  <c r="AA52" i="13"/>
  <c r="Z52" i="13"/>
  <c r="Y52" i="13"/>
  <c r="X52" i="13"/>
  <c r="S52" i="13"/>
  <c r="R52" i="13"/>
  <c r="Q52" i="13"/>
  <c r="P52" i="13"/>
  <c r="O52" i="13"/>
  <c r="N52" i="13"/>
  <c r="I52" i="13"/>
  <c r="H52" i="13"/>
  <c r="F52" i="13"/>
  <c r="E52" i="13"/>
  <c r="D52" i="13"/>
  <c r="CG51" i="13"/>
  <c r="CF51" i="13"/>
  <c r="CE51" i="13"/>
  <c r="CD51" i="13"/>
  <c r="CC51" i="13"/>
  <c r="CB51" i="13"/>
  <c r="BW51" i="13"/>
  <c r="CA51" i="13" s="1"/>
  <c r="BV51" i="13"/>
  <c r="BY51" i="13" s="1"/>
  <c r="BU51" i="13"/>
  <c r="BT51" i="13"/>
  <c r="BS51" i="13"/>
  <c r="BR51" i="13"/>
  <c r="BM51" i="13"/>
  <c r="BQ51" i="13" s="1"/>
  <c r="BL51" i="13"/>
  <c r="BO51" i="13" s="1"/>
  <c r="BK51" i="13"/>
  <c r="BJ51" i="13"/>
  <c r="BI51" i="13"/>
  <c r="BH51" i="13"/>
  <c r="BG51" i="13"/>
  <c r="BF51" i="13"/>
  <c r="BE51" i="13"/>
  <c r="BD51" i="13"/>
  <c r="BC51" i="13"/>
  <c r="BB51" i="13"/>
  <c r="BA51" i="13"/>
  <c r="AZ51" i="13"/>
  <c r="AU51" i="13"/>
  <c r="AT51" i="13"/>
  <c r="AS51" i="13"/>
  <c r="AR51" i="13"/>
  <c r="AQ51" i="13"/>
  <c r="AP51" i="13"/>
  <c r="AO51" i="13"/>
  <c r="AN51" i="13"/>
  <c r="AM51" i="13"/>
  <c r="AL51" i="13"/>
  <c r="AK51" i="13"/>
  <c r="AJ51" i="13"/>
  <c r="AI51" i="13"/>
  <c r="AH51" i="13"/>
  <c r="AC51" i="13"/>
  <c r="AB51" i="13"/>
  <c r="AA51" i="13"/>
  <c r="Z51" i="13"/>
  <c r="Y51" i="13"/>
  <c r="X51" i="13"/>
  <c r="S51" i="13"/>
  <c r="R51" i="13"/>
  <c r="Q51" i="13"/>
  <c r="P51" i="13"/>
  <c r="O51" i="13"/>
  <c r="N51" i="13"/>
  <c r="I51" i="13"/>
  <c r="H51" i="13"/>
  <c r="F51" i="13"/>
  <c r="E51" i="13"/>
  <c r="D51" i="13"/>
  <c r="CG50" i="13"/>
  <c r="CF50" i="13"/>
  <c r="CE50" i="13"/>
  <c r="CD50" i="13"/>
  <c r="CC50" i="13"/>
  <c r="CB50" i="13"/>
  <c r="BW50" i="13"/>
  <c r="CA50" i="13" s="1"/>
  <c r="BV50" i="13"/>
  <c r="BY50" i="13" s="1"/>
  <c r="BU50" i="13"/>
  <c r="BT50" i="13"/>
  <c r="BS50" i="13"/>
  <c r="BR50" i="13"/>
  <c r="BM50" i="13"/>
  <c r="BQ50" i="13" s="1"/>
  <c r="BL50" i="13"/>
  <c r="BO50" i="13" s="1"/>
  <c r="BK50" i="13"/>
  <c r="BJ50" i="13"/>
  <c r="BI50" i="13"/>
  <c r="BH50" i="13"/>
  <c r="BG50" i="13"/>
  <c r="BF50" i="13"/>
  <c r="BE50" i="13"/>
  <c r="BD50" i="13"/>
  <c r="BC50" i="13"/>
  <c r="BB50" i="13"/>
  <c r="BA50" i="13"/>
  <c r="AZ50" i="13"/>
  <c r="AU50" i="13"/>
  <c r="AT50" i="13"/>
  <c r="AS50" i="13"/>
  <c r="AR50" i="13"/>
  <c r="AQ50" i="13"/>
  <c r="AP50" i="13"/>
  <c r="AO50" i="13"/>
  <c r="AN50" i="13"/>
  <c r="AM50" i="13"/>
  <c r="AL50" i="13"/>
  <c r="AK50" i="13"/>
  <c r="AJ50" i="13"/>
  <c r="AI50" i="13"/>
  <c r="AH50" i="13"/>
  <c r="AC50" i="13"/>
  <c r="AB50" i="13"/>
  <c r="AA50" i="13"/>
  <c r="Z50" i="13"/>
  <c r="Y50" i="13"/>
  <c r="X50" i="13"/>
  <c r="S50" i="13"/>
  <c r="R50" i="13"/>
  <c r="Q50" i="13"/>
  <c r="P50" i="13"/>
  <c r="O50" i="13"/>
  <c r="N50" i="13"/>
  <c r="I50" i="13"/>
  <c r="H50" i="13"/>
  <c r="F50" i="13"/>
  <c r="E50" i="13"/>
  <c r="D50" i="13"/>
  <c r="CG49" i="13"/>
  <c r="CF49" i="13"/>
  <c r="CE49" i="13"/>
  <c r="CD49" i="13"/>
  <c r="CC49" i="13"/>
  <c r="CB49" i="13"/>
  <c r="BW49" i="13"/>
  <c r="CA49" i="13" s="1"/>
  <c r="BV49" i="13"/>
  <c r="BY49" i="13" s="1"/>
  <c r="BU49" i="13"/>
  <c r="BT49" i="13"/>
  <c r="BS49" i="13"/>
  <c r="BR49" i="13"/>
  <c r="BM49" i="13"/>
  <c r="BL49" i="13"/>
  <c r="BO49" i="13" s="1"/>
  <c r="BK49" i="13"/>
  <c r="BJ49" i="13"/>
  <c r="BI49" i="13"/>
  <c r="BH49" i="13"/>
  <c r="BG49" i="13"/>
  <c r="BF49" i="13"/>
  <c r="BE49" i="13"/>
  <c r="BD49" i="13"/>
  <c r="BC49" i="13"/>
  <c r="BB49" i="13"/>
  <c r="BA49" i="13"/>
  <c r="AZ49" i="13"/>
  <c r="AU49" i="13"/>
  <c r="AT49" i="13"/>
  <c r="AS49" i="13"/>
  <c r="AR49" i="13"/>
  <c r="AQ49" i="13"/>
  <c r="AP49" i="13"/>
  <c r="AO49" i="13"/>
  <c r="AN49" i="13"/>
  <c r="AM49" i="13"/>
  <c r="AL49" i="13"/>
  <c r="AK49" i="13"/>
  <c r="AJ49" i="13"/>
  <c r="AI49" i="13"/>
  <c r="AH49" i="13"/>
  <c r="AC49" i="13"/>
  <c r="AB49" i="13"/>
  <c r="AA49" i="13"/>
  <c r="Z49" i="13"/>
  <c r="Y49" i="13"/>
  <c r="X49" i="13"/>
  <c r="S49" i="13"/>
  <c r="R49" i="13"/>
  <c r="Q49" i="13"/>
  <c r="P49" i="13"/>
  <c r="O49" i="13"/>
  <c r="N49" i="13"/>
  <c r="I49" i="13"/>
  <c r="H49" i="13"/>
  <c r="F49" i="13"/>
  <c r="E49" i="13"/>
  <c r="D49" i="13"/>
  <c r="CG48" i="13"/>
  <c r="CF48" i="13"/>
  <c r="CE48" i="13"/>
  <c r="CD48" i="13"/>
  <c r="CC48" i="13"/>
  <c r="CB48" i="13"/>
  <c r="BW48" i="13"/>
  <c r="BV48" i="13"/>
  <c r="BU48" i="13"/>
  <c r="BT48" i="13"/>
  <c r="BS48" i="13"/>
  <c r="BR48" i="13"/>
  <c r="BM48" i="13"/>
  <c r="BQ48" i="13" s="1"/>
  <c r="BL48" i="13"/>
  <c r="BO48" i="13" s="1"/>
  <c r="BK48" i="13"/>
  <c r="BJ48" i="13"/>
  <c r="BI48" i="13"/>
  <c r="BH48" i="13"/>
  <c r="BG48" i="13"/>
  <c r="BF48" i="13"/>
  <c r="BE48" i="13"/>
  <c r="BD48" i="13"/>
  <c r="BC48" i="13"/>
  <c r="BB48" i="13"/>
  <c r="BA48" i="13"/>
  <c r="AZ48" i="13"/>
  <c r="AU48" i="13"/>
  <c r="AT48" i="13"/>
  <c r="AS48" i="13"/>
  <c r="AR48" i="13"/>
  <c r="AQ48" i="13"/>
  <c r="AP48" i="13"/>
  <c r="AO48" i="13"/>
  <c r="AN48" i="13"/>
  <c r="AM48" i="13"/>
  <c r="AL48" i="13"/>
  <c r="AK48" i="13"/>
  <c r="AJ48" i="13"/>
  <c r="AI48" i="13"/>
  <c r="AH48" i="13"/>
  <c r="AC48" i="13"/>
  <c r="AB48" i="13"/>
  <c r="AA48" i="13"/>
  <c r="Z48" i="13"/>
  <c r="Y48" i="13"/>
  <c r="X48" i="13"/>
  <c r="S48" i="13"/>
  <c r="R48" i="13"/>
  <c r="Q48" i="13"/>
  <c r="P48" i="13"/>
  <c r="O48" i="13"/>
  <c r="N48" i="13"/>
  <c r="I48" i="13"/>
  <c r="H48" i="13"/>
  <c r="F48" i="13"/>
  <c r="E48" i="13"/>
  <c r="D48" i="13"/>
  <c r="CG47" i="13"/>
  <c r="CF47" i="13"/>
  <c r="CE47" i="13"/>
  <c r="CD47" i="13"/>
  <c r="CC47" i="13"/>
  <c r="CB47" i="13"/>
  <c r="BW47" i="13"/>
  <c r="CA47" i="13" s="1"/>
  <c r="BV47" i="13"/>
  <c r="BY47" i="13" s="1"/>
  <c r="BU47" i="13"/>
  <c r="BT47" i="13"/>
  <c r="BS47" i="13"/>
  <c r="BR47" i="13"/>
  <c r="BM47" i="13"/>
  <c r="BQ47" i="13" s="1"/>
  <c r="BL47" i="13"/>
  <c r="BO47" i="13" s="1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U47" i="13"/>
  <c r="AT47" i="13"/>
  <c r="AS47" i="13"/>
  <c r="AR47" i="13"/>
  <c r="AQ47" i="13"/>
  <c r="AP47" i="13"/>
  <c r="AO47" i="13"/>
  <c r="AN47" i="13"/>
  <c r="AM47" i="13"/>
  <c r="AL47" i="13"/>
  <c r="AK47" i="13"/>
  <c r="AJ47" i="13"/>
  <c r="AI47" i="13"/>
  <c r="AH47" i="13"/>
  <c r="AC47" i="13"/>
  <c r="AB47" i="13"/>
  <c r="AA47" i="13"/>
  <c r="Z47" i="13"/>
  <c r="Y47" i="13"/>
  <c r="X47" i="13"/>
  <c r="S47" i="13"/>
  <c r="R47" i="13"/>
  <c r="Q47" i="13"/>
  <c r="P47" i="13"/>
  <c r="O47" i="13"/>
  <c r="N47" i="13"/>
  <c r="I47" i="13"/>
  <c r="H47" i="13"/>
  <c r="F47" i="13"/>
  <c r="E47" i="13"/>
  <c r="D47" i="13"/>
  <c r="CG46" i="13"/>
  <c r="CF46" i="13"/>
  <c r="CE46" i="13"/>
  <c r="CD46" i="13"/>
  <c r="CC46" i="13"/>
  <c r="CB46" i="13"/>
  <c r="BW46" i="13"/>
  <c r="CA46" i="13" s="1"/>
  <c r="BV46" i="13"/>
  <c r="BY46" i="13" s="1"/>
  <c r="BU46" i="13"/>
  <c r="BT46" i="13"/>
  <c r="BS46" i="13"/>
  <c r="BR46" i="13"/>
  <c r="BM46" i="13"/>
  <c r="BQ46" i="13" s="1"/>
  <c r="BL46" i="13"/>
  <c r="BO46" i="13" s="1"/>
  <c r="BK46" i="13"/>
  <c r="BJ46" i="13"/>
  <c r="BI46" i="13"/>
  <c r="BH46" i="13"/>
  <c r="BG46" i="13"/>
  <c r="BF46" i="13"/>
  <c r="BE46" i="13"/>
  <c r="BD46" i="13"/>
  <c r="BC46" i="13"/>
  <c r="BB46" i="13"/>
  <c r="BA46" i="13"/>
  <c r="AZ46" i="13"/>
  <c r="AU46" i="13"/>
  <c r="AT46" i="13"/>
  <c r="AS46" i="13"/>
  <c r="AR46" i="13"/>
  <c r="AQ46" i="13"/>
  <c r="AP46" i="13"/>
  <c r="AO46" i="13"/>
  <c r="AN46" i="13"/>
  <c r="AM46" i="13"/>
  <c r="AL46" i="13"/>
  <c r="AK46" i="13"/>
  <c r="AJ46" i="13"/>
  <c r="AI46" i="13"/>
  <c r="AH46" i="13"/>
  <c r="AC46" i="13"/>
  <c r="AB46" i="13"/>
  <c r="AA46" i="13"/>
  <c r="Z46" i="13"/>
  <c r="Y46" i="13"/>
  <c r="X46" i="13"/>
  <c r="S46" i="13"/>
  <c r="R46" i="13"/>
  <c r="Q46" i="13"/>
  <c r="P46" i="13"/>
  <c r="O46" i="13"/>
  <c r="N46" i="13"/>
  <c r="I46" i="13"/>
  <c r="H46" i="13"/>
  <c r="F46" i="13"/>
  <c r="E46" i="13"/>
  <c r="D46" i="13"/>
  <c r="CG45" i="13"/>
  <c r="CF45" i="13"/>
  <c r="CE45" i="13"/>
  <c r="CD45" i="13"/>
  <c r="CC45" i="13"/>
  <c r="CB45" i="13"/>
  <c r="BW45" i="13"/>
  <c r="CA45" i="13" s="1"/>
  <c r="BV45" i="13"/>
  <c r="BY45" i="13" s="1"/>
  <c r="BU45" i="13"/>
  <c r="BT45" i="13"/>
  <c r="BS45" i="13"/>
  <c r="BR45" i="13"/>
  <c r="BM45" i="13"/>
  <c r="BQ45" i="13" s="1"/>
  <c r="BL45" i="13"/>
  <c r="BO45" i="13" s="1"/>
  <c r="BK45" i="13"/>
  <c r="BJ45" i="13"/>
  <c r="BI45" i="13"/>
  <c r="BH45" i="13"/>
  <c r="BG45" i="13"/>
  <c r="BF45" i="13"/>
  <c r="BE45" i="13"/>
  <c r="BD45" i="13"/>
  <c r="BC45" i="13"/>
  <c r="BB45" i="13"/>
  <c r="BA45" i="13"/>
  <c r="AZ45" i="13"/>
  <c r="AU45" i="13"/>
  <c r="AT45" i="13"/>
  <c r="AS45" i="13"/>
  <c r="AR45" i="13"/>
  <c r="AQ45" i="13"/>
  <c r="AP45" i="13"/>
  <c r="AO45" i="13"/>
  <c r="AN45" i="13"/>
  <c r="AM45" i="13"/>
  <c r="AL45" i="13"/>
  <c r="AK45" i="13"/>
  <c r="AJ45" i="13"/>
  <c r="AI45" i="13"/>
  <c r="AH45" i="13"/>
  <c r="AC45" i="13"/>
  <c r="AB45" i="13"/>
  <c r="AA45" i="13"/>
  <c r="Z45" i="13"/>
  <c r="Y45" i="13"/>
  <c r="X45" i="13"/>
  <c r="S45" i="13"/>
  <c r="R45" i="13"/>
  <c r="Q45" i="13"/>
  <c r="P45" i="13"/>
  <c r="O45" i="13"/>
  <c r="N45" i="13"/>
  <c r="I45" i="13"/>
  <c r="H45" i="13"/>
  <c r="F45" i="13"/>
  <c r="E45" i="13"/>
  <c r="D45" i="13"/>
  <c r="CG44" i="13"/>
  <c r="CF44" i="13"/>
  <c r="CE44" i="13"/>
  <c r="CD44" i="13"/>
  <c r="CC44" i="13"/>
  <c r="CB44" i="13"/>
  <c r="BW44" i="13"/>
  <c r="CA44" i="13" s="1"/>
  <c r="BV44" i="13"/>
  <c r="BY44" i="13" s="1"/>
  <c r="BU44" i="13"/>
  <c r="BT44" i="13"/>
  <c r="BS44" i="13"/>
  <c r="BR44" i="13"/>
  <c r="BM44" i="13"/>
  <c r="BQ44" i="13" s="1"/>
  <c r="BL44" i="13"/>
  <c r="BO44" i="13" s="1"/>
  <c r="BK44" i="13"/>
  <c r="BJ44" i="13"/>
  <c r="BI44" i="13"/>
  <c r="BH44" i="13"/>
  <c r="BG44" i="13"/>
  <c r="BF44" i="13"/>
  <c r="BE44" i="13"/>
  <c r="BD44" i="13"/>
  <c r="BC44" i="13"/>
  <c r="BB44" i="13"/>
  <c r="BA44" i="13"/>
  <c r="AZ44" i="13"/>
  <c r="AU44" i="13"/>
  <c r="AT44" i="13"/>
  <c r="AS44" i="13"/>
  <c r="AR44" i="13"/>
  <c r="AQ44" i="13"/>
  <c r="AP44" i="13"/>
  <c r="AO44" i="13"/>
  <c r="AN44" i="13"/>
  <c r="AM44" i="13"/>
  <c r="AL44" i="13"/>
  <c r="AK44" i="13"/>
  <c r="AJ44" i="13"/>
  <c r="AI44" i="13"/>
  <c r="AH44" i="13"/>
  <c r="AC44" i="13"/>
  <c r="AB44" i="13"/>
  <c r="AA44" i="13"/>
  <c r="Z44" i="13"/>
  <c r="Y44" i="13"/>
  <c r="X44" i="13"/>
  <c r="S44" i="13"/>
  <c r="R44" i="13"/>
  <c r="Q44" i="13"/>
  <c r="P44" i="13"/>
  <c r="O44" i="13"/>
  <c r="N44" i="13"/>
  <c r="I44" i="13"/>
  <c r="H44" i="13"/>
  <c r="F44" i="13"/>
  <c r="E44" i="13"/>
  <c r="D44" i="13"/>
  <c r="CG43" i="13"/>
  <c r="CF43" i="13"/>
  <c r="CE43" i="13"/>
  <c r="CD43" i="13"/>
  <c r="CC43" i="13"/>
  <c r="CB43" i="13"/>
  <c r="BW43" i="13"/>
  <c r="CA43" i="13" s="1"/>
  <c r="BV43" i="13"/>
  <c r="BY43" i="13" s="1"/>
  <c r="BU43" i="13"/>
  <c r="BT43" i="13"/>
  <c r="BS43" i="13"/>
  <c r="BR43" i="13"/>
  <c r="BM43" i="13"/>
  <c r="BQ43" i="13" s="1"/>
  <c r="BL43" i="13"/>
  <c r="BO43" i="13" s="1"/>
  <c r="BK43" i="13"/>
  <c r="BJ43" i="13"/>
  <c r="BI43" i="13"/>
  <c r="BH43" i="13"/>
  <c r="BG43" i="13"/>
  <c r="BF43" i="13"/>
  <c r="BE43" i="13"/>
  <c r="BD43" i="13"/>
  <c r="BC43" i="13"/>
  <c r="BB43" i="13"/>
  <c r="BA43" i="13"/>
  <c r="AZ43" i="13"/>
  <c r="AU43" i="13"/>
  <c r="AT43" i="13"/>
  <c r="AS43" i="13"/>
  <c r="AR43" i="13"/>
  <c r="AQ43" i="13"/>
  <c r="AP43" i="13"/>
  <c r="AO43" i="13"/>
  <c r="AN43" i="13"/>
  <c r="AM43" i="13"/>
  <c r="AL43" i="13"/>
  <c r="AK43" i="13"/>
  <c r="AJ43" i="13"/>
  <c r="AI43" i="13"/>
  <c r="AH43" i="13"/>
  <c r="AC43" i="13"/>
  <c r="AB43" i="13"/>
  <c r="AA43" i="13"/>
  <c r="Z43" i="13"/>
  <c r="Y43" i="13"/>
  <c r="X43" i="13"/>
  <c r="S43" i="13"/>
  <c r="R43" i="13"/>
  <c r="Q43" i="13"/>
  <c r="P43" i="13"/>
  <c r="O43" i="13"/>
  <c r="N43" i="13"/>
  <c r="I43" i="13"/>
  <c r="H43" i="13"/>
  <c r="F43" i="13"/>
  <c r="E43" i="13"/>
  <c r="D43" i="13"/>
  <c r="CG42" i="13"/>
  <c r="CF42" i="13"/>
  <c r="CE42" i="13"/>
  <c r="CD42" i="13"/>
  <c r="CC42" i="13"/>
  <c r="CB42" i="13"/>
  <c r="BW42" i="13"/>
  <c r="CA42" i="13" s="1"/>
  <c r="BV42" i="13"/>
  <c r="BY42" i="13" s="1"/>
  <c r="BU42" i="13"/>
  <c r="BT42" i="13"/>
  <c r="BS42" i="13"/>
  <c r="BR42" i="13"/>
  <c r="BM42" i="13"/>
  <c r="BQ42" i="13" s="1"/>
  <c r="BL42" i="13"/>
  <c r="BO42" i="13" s="1"/>
  <c r="BK42" i="13"/>
  <c r="BJ42" i="13"/>
  <c r="BI42" i="13"/>
  <c r="BH42" i="13"/>
  <c r="BG42" i="13"/>
  <c r="BF42" i="13"/>
  <c r="BE42" i="13"/>
  <c r="BD42" i="13"/>
  <c r="BC42" i="13"/>
  <c r="BB42" i="13"/>
  <c r="BA42" i="13"/>
  <c r="AZ42" i="13"/>
  <c r="AU42" i="13"/>
  <c r="AT42" i="13"/>
  <c r="AS42" i="13"/>
  <c r="AR42" i="13"/>
  <c r="AQ42" i="13"/>
  <c r="AP42" i="13"/>
  <c r="AO42" i="13"/>
  <c r="AN42" i="13"/>
  <c r="AM42" i="13"/>
  <c r="AL42" i="13"/>
  <c r="AK42" i="13"/>
  <c r="AJ42" i="13"/>
  <c r="AI42" i="13"/>
  <c r="AH42" i="13"/>
  <c r="AC42" i="13"/>
  <c r="AB42" i="13"/>
  <c r="AA42" i="13"/>
  <c r="Z42" i="13"/>
  <c r="Y42" i="13"/>
  <c r="X42" i="13"/>
  <c r="S42" i="13"/>
  <c r="R42" i="13"/>
  <c r="Q42" i="13"/>
  <c r="P42" i="13"/>
  <c r="O42" i="13"/>
  <c r="N42" i="13"/>
  <c r="I42" i="13"/>
  <c r="H42" i="13"/>
  <c r="F42" i="13"/>
  <c r="E42" i="13"/>
  <c r="D42" i="13"/>
  <c r="CG41" i="13"/>
  <c r="CF41" i="13"/>
  <c r="CE41" i="13"/>
  <c r="CD41" i="13"/>
  <c r="CC41" i="13"/>
  <c r="CB41" i="13"/>
  <c r="BW41" i="13"/>
  <c r="CA41" i="13" s="1"/>
  <c r="BV41" i="13"/>
  <c r="BY41" i="13" s="1"/>
  <c r="BU41" i="13"/>
  <c r="BT41" i="13"/>
  <c r="BS41" i="13"/>
  <c r="BR41" i="13"/>
  <c r="BM41" i="13"/>
  <c r="BQ41" i="13" s="1"/>
  <c r="BL41" i="13"/>
  <c r="BO41" i="13" s="1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U41" i="13"/>
  <c r="AT41" i="13"/>
  <c r="AS41" i="13"/>
  <c r="AR41" i="13"/>
  <c r="AQ41" i="13"/>
  <c r="AP41" i="13"/>
  <c r="AO41" i="13"/>
  <c r="AN41" i="13"/>
  <c r="AM41" i="13"/>
  <c r="AL41" i="13"/>
  <c r="AK41" i="13"/>
  <c r="AJ41" i="13"/>
  <c r="AI41" i="13"/>
  <c r="AH41" i="13"/>
  <c r="AC41" i="13"/>
  <c r="AB41" i="13"/>
  <c r="AA41" i="13"/>
  <c r="Z41" i="13"/>
  <c r="Y41" i="13"/>
  <c r="X41" i="13"/>
  <c r="S41" i="13"/>
  <c r="R41" i="13"/>
  <c r="Q41" i="13"/>
  <c r="P41" i="13"/>
  <c r="O41" i="13"/>
  <c r="N41" i="13"/>
  <c r="I41" i="13"/>
  <c r="H41" i="13"/>
  <c r="F41" i="13"/>
  <c r="E41" i="13"/>
  <c r="D41" i="13"/>
  <c r="CG40" i="13"/>
  <c r="CF40" i="13"/>
  <c r="CE40" i="13"/>
  <c r="CD40" i="13"/>
  <c r="CC40" i="13"/>
  <c r="CB40" i="13"/>
  <c r="BW40" i="13"/>
  <c r="BV40" i="13"/>
  <c r="BU40" i="13"/>
  <c r="BT40" i="13"/>
  <c r="BS40" i="13"/>
  <c r="BR40" i="13"/>
  <c r="BM40" i="13"/>
  <c r="BQ40" i="13" s="1"/>
  <c r="BL40" i="13"/>
  <c r="BO40" i="13" s="1"/>
  <c r="BK40" i="13"/>
  <c r="BJ40" i="13"/>
  <c r="BI40" i="13"/>
  <c r="BH40" i="13"/>
  <c r="BG40" i="13"/>
  <c r="BF40" i="13"/>
  <c r="BE40" i="13"/>
  <c r="BD40" i="13"/>
  <c r="BC40" i="13"/>
  <c r="BB40" i="13"/>
  <c r="BA40" i="13"/>
  <c r="AZ40" i="13"/>
  <c r="AU40" i="13"/>
  <c r="AT40" i="13"/>
  <c r="AS40" i="13"/>
  <c r="AR40" i="13"/>
  <c r="AQ40" i="13"/>
  <c r="AP40" i="13"/>
  <c r="AO40" i="13"/>
  <c r="AN40" i="13"/>
  <c r="AM40" i="13"/>
  <c r="AL40" i="13"/>
  <c r="AK40" i="13"/>
  <c r="AJ40" i="13"/>
  <c r="AI40" i="13"/>
  <c r="AH40" i="13"/>
  <c r="AC40" i="13"/>
  <c r="AB40" i="13"/>
  <c r="AA40" i="13"/>
  <c r="Z40" i="13"/>
  <c r="Y40" i="13"/>
  <c r="X40" i="13"/>
  <c r="S40" i="13"/>
  <c r="R40" i="13"/>
  <c r="Q40" i="13"/>
  <c r="P40" i="13"/>
  <c r="O40" i="13"/>
  <c r="N40" i="13"/>
  <c r="I40" i="13"/>
  <c r="H40" i="13"/>
  <c r="F40" i="13"/>
  <c r="E40" i="13"/>
  <c r="D40" i="13"/>
  <c r="CG39" i="13"/>
  <c r="CF39" i="13"/>
  <c r="CE39" i="13"/>
  <c r="CD39" i="13"/>
  <c r="CC39" i="13"/>
  <c r="CB39" i="13"/>
  <c r="BW39" i="13"/>
  <c r="BV39" i="13"/>
  <c r="BU39" i="13"/>
  <c r="BT39" i="13"/>
  <c r="BS39" i="13"/>
  <c r="BR39" i="13"/>
  <c r="BM39" i="13"/>
  <c r="BQ39" i="13" s="1"/>
  <c r="BL39" i="13"/>
  <c r="BO39" i="13" s="1"/>
  <c r="BK39" i="13"/>
  <c r="BJ39" i="13"/>
  <c r="BI39" i="13"/>
  <c r="BH39" i="13"/>
  <c r="BG39" i="13"/>
  <c r="BF39" i="13"/>
  <c r="BE39" i="13"/>
  <c r="BD39" i="13"/>
  <c r="BC39" i="13"/>
  <c r="BB39" i="13"/>
  <c r="BA39" i="13"/>
  <c r="AZ39" i="13"/>
  <c r="AU39" i="13"/>
  <c r="AT39" i="13"/>
  <c r="AS39" i="13"/>
  <c r="AR39" i="13"/>
  <c r="AQ39" i="13"/>
  <c r="AP39" i="13"/>
  <c r="AO39" i="13"/>
  <c r="AN39" i="13"/>
  <c r="AM39" i="13"/>
  <c r="AL39" i="13"/>
  <c r="AK39" i="13"/>
  <c r="AJ39" i="13"/>
  <c r="AI39" i="13"/>
  <c r="AH39" i="13"/>
  <c r="AC39" i="13"/>
  <c r="AB39" i="13"/>
  <c r="AA39" i="13"/>
  <c r="Z39" i="13"/>
  <c r="Y39" i="13"/>
  <c r="X39" i="13"/>
  <c r="S39" i="13"/>
  <c r="R39" i="13"/>
  <c r="Q39" i="13"/>
  <c r="P39" i="13"/>
  <c r="O39" i="13"/>
  <c r="N39" i="13"/>
  <c r="I39" i="13"/>
  <c r="H39" i="13"/>
  <c r="F39" i="13"/>
  <c r="E39" i="13"/>
  <c r="D39" i="13"/>
  <c r="CG38" i="13"/>
  <c r="CF38" i="13"/>
  <c r="CE38" i="13"/>
  <c r="CD38" i="13"/>
  <c r="CC38" i="13"/>
  <c r="CB38" i="13"/>
  <c r="BW38" i="13"/>
  <c r="BV38" i="13"/>
  <c r="BU38" i="13"/>
  <c r="BT38" i="13"/>
  <c r="BS38" i="13"/>
  <c r="BR38" i="13"/>
  <c r="BM38" i="13"/>
  <c r="BQ38" i="13" s="1"/>
  <c r="BL38" i="13"/>
  <c r="BO38" i="13" s="1"/>
  <c r="BK38" i="13"/>
  <c r="BJ38" i="13"/>
  <c r="BI38" i="13"/>
  <c r="BH38" i="13"/>
  <c r="BG38" i="13"/>
  <c r="BF38" i="13"/>
  <c r="BE38" i="13"/>
  <c r="BD38" i="13"/>
  <c r="BC38" i="13"/>
  <c r="BB38" i="13"/>
  <c r="BA38" i="13"/>
  <c r="AZ38" i="13"/>
  <c r="AU38" i="13"/>
  <c r="AT38" i="13"/>
  <c r="AS38" i="13"/>
  <c r="AR38" i="13"/>
  <c r="AQ38" i="13"/>
  <c r="AP38" i="13"/>
  <c r="AO38" i="13"/>
  <c r="AN38" i="13"/>
  <c r="AM38" i="13"/>
  <c r="AL38" i="13"/>
  <c r="AK38" i="13"/>
  <c r="AJ38" i="13"/>
  <c r="AI38" i="13"/>
  <c r="AH38" i="13"/>
  <c r="AC38" i="13"/>
  <c r="AB38" i="13"/>
  <c r="AA38" i="13"/>
  <c r="Z38" i="13"/>
  <c r="Y38" i="13"/>
  <c r="X38" i="13"/>
  <c r="S38" i="13"/>
  <c r="R38" i="13"/>
  <c r="Q38" i="13"/>
  <c r="P38" i="13"/>
  <c r="O38" i="13"/>
  <c r="N38" i="13"/>
  <c r="I38" i="13"/>
  <c r="H38" i="13"/>
  <c r="F38" i="13"/>
  <c r="E38" i="13"/>
  <c r="D38" i="13"/>
  <c r="CG37" i="13"/>
  <c r="CF37" i="13"/>
  <c r="CE37" i="13"/>
  <c r="CD37" i="13"/>
  <c r="CC37" i="13"/>
  <c r="CB37" i="13"/>
  <c r="BW37" i="13"/>
  <c r="CA37" i="13" s="1"/>
  <c r="BV37" i="13"/>
  <c r="BY37" i="13" s="1"/>
  <c r="BU37" i="13"/>
  <c r="BT37" i="13"/>
  <c r="BS37" i="13"/>
  <c r="BR37" i="13"/>
  <c r="BM37" i="13"/>
  <c r="BQ37" i="13" s="1"/>
  <c r="BL37" i="13"/>
  <c r="BO37" i="13" s="1"/>
  <c r="BK37" i="13"/>
  <c r="BJ37" i="13"/>
  <c r="BI37" i="13"/>
  <c r="BH37" i="13"/>
  <c r="BG37" i="13"/>
  <c r="BF37" i="13"/>
  <c r="BE37" i="13"/>
  <c r="BD37" i="13"/>
  <c r="BC37" i="13"/>
  <c r="BB37" i="13"/>
  <c r="BA37" i="13"/>
  <c r="AZ37" i="13"/>
  <c r="AU37" i="13"/>
  <c r="AT37" i="13"/>
  <c r="AS37" i="13"/>
  <c r="AR37" i="13"/>
  <c r="AQ37" i="13"/>
  <c r="AP37" i="13"/>
  <c r="AO37" i="13"/>
  <c r="AN37" i="13"/>
  <c r="AM37" i="13"/>
  <c r="AL37" i="13"/>
  <c r="AK37" i="13"/>
  <c r="AJ37" i="13"/>
  <c r="AI37" i="13"/>
  <c r="AH37" i="13"/>
  <c r="AC37" i="13"/>
  <c r="AB37" i="13"/>
  <c r="AA37" i="13"/>
  <c r="Z37" i="13"/>
  <c r="Y37" i="13"/>
  <c r="X37" i="13"/>
  <c r="S37" i="13"/>
  <c r="R37" i="13"/>
  <c r="Q37" i="13"/>
  <c r="P37" i="13"/>
  <c r="O37" i="13"/>
  <c r="N37" i="13"/>
  <c r="I37" i="13"/>
  <c r="H37" i="13"/>
  <c r="F37" i="13"/>
  <c r="E37" i="13"/>
  <c r="D37" i="13"/>
  <c r="CG36" i="13"/>
  <c r="CF36" i="13"/>
  <c r="CE36" i="13"/>
  <c r="CD36" i="13"/>
  <c r="CC36" i="13"/>
  <c r="CB36" i="13"/>
  <c r="BW36" i="13"/>
  <c r="CA36" i="13" s="1"/>
  <c r="BV36" i="13"/>
  <c r="BY36" i="13" s="1"/>
  <c r="BU36" i="13"/>
  <c r="BT36" i="13"/>
  <c r="BS36" i="13"/>
  <c r="BR36" i="13"/>
  <c r="BM36" i="13"/>
  <c r="BQ36" i="13" s="1"/>
  <c r="BL36" i="13"/>
  <c r="BO36" i="13" s="1"/>
  <c r="BK36" i="13"/>
  <c r="BJ36" i="13"/>
  <c r="BI36" i="13"/>
  <c r="BH36" i="13"/>
  <c r="BG36" i="13"/>
  <c r="BF36" i="13"/>
  <c r="BE36" i="13"/>
  <c r="BD36" i="13"/>
  <c r="BC36" i="13"/>
  <c r="BB36" i="13"/>
  <c r="BA36" i="13"/>
  <c r="AZ36" i="13"/>
  <c r="AU36" i="13"/>
  <c r="AT36" i="13"/>
  <c r="AS36" i="13"/>
  <c r="AR36" i="13"/>
  <c r="AQ36" i="13"/>
  <c r="AP36" i="13"/>
  <c r="AO36" i="13"/>
  <c r="AN36" i="13"/>
  <c r="AM36" i="13"/>
  <c r="AL36" i="13"/>
  <c r="AK36" i="13"/>
  <c r="AJ36" i="13"/>
  <c r="AI36" i="13"/>
  <c r="AH36" i="13"/>
  <c r="AC36" i="13"/>
  <c r="AB36" i="13"/>
  <c r="AA36" i="13"/>
  <c r="Z36" i="13"/>
  <c r="Y36" i="13"/>
  <c r="X36" i="13"/>
  <c r="S36" i="13"/>
  <c r="R36" i="13"/>
  <c r="Q36" i="13"/>
  <c r="P36" i="13"/>
  <c r="O36" i="13"/>
  <c r="N36" i="13"/>
  <c r="I36" i="13"/>
  <c r="H36" i="13"/>
  <c r="F36" i="13"/>
  <c r="E36" i="13"/>
  <c r="D36" i="13"/>
  <c r="CG35" i="13"/>
  <c r="CF35" i="13"/>
  <c r="CE35" i="13"/>
  <c r="CD35" i="13"/>
  <c r="CC35" i="13"/>
  <c r="CB35" i="13"/>
  <c r="BW35" i="13"/>
  <c r="BV35" i="13"/>
  <c r="BU35" i="13"/>
  <c r="BT35" i="13"/>
  <c r="BS35" i="13"/>
  <c r="BR35" i="13"/>
  <c r="BM35" i="13"/>
  <c r="BQ35" i="13" s="1"/>
  <c r="BL35" i="13"/>
  <c r="BO35" i="13" s="1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U35" i="13"/>
  <c r="AT35" i="13"/>
  <c r="AS35" i="13"/>
  <c r="AR35" i="13"/>
  <c r="AQ35" i="13"/>
  <c r="AP35" i="13"/>
  <c r="AO35" i="13"/>
  <c r="AN35" i="13"/>
  <c r="AM35" i="13"/>
  <c r="AL35" i="13"/>
  <c r="AK35" i="13"/>
  <c r="AJ35" i="13"/>
  <c r="AI35" i="13"/>
  <c r="AH35" i="13"/>
  <c r="AC35" i="13"/>
  <c r="AB35" i="13"/>
  <c r="AA35" i="13"/>
  <c r="Z35" i="13"/>
  <c r="Y35" i="13"/>
  <c r="X35" i="13"/>
  <c r="S35" i="13"/>
  <c r="R35" i="13"/>
  <c r="Q35" i="13"/>
  <c r="P35" i="13"/>
  <c r="O35" i="13"/>
  <c r="N35" i="13"/>
  <c r="I35" i="13"/>
  <c r="H35" i="13"/>
  <c r="F35" i="13"/>
  <c r="E35" i="13"/>
  <c r="D35" i="13"/>
  <c r="CG34" i="13"/>
  <c r="CF34" i="13"/>
  <c r="CE34" i="13"/>
  <c r="CD34" i="13"/>
  <c r="CC34" i="13"/>
  <c r="CB34" i="13"/>
  <c r="BW34" i="13"/>
  <c r="CA34" i="13" s="1"/>
  <c r="BV34" i="13"/>
  <c r="BU34" i="13"/>
  <c r="BT34" i="13"/>
  <c r="BS34" i="13"/>
  <c r="BR34" i="13"/>
  <c r="BM34" i="13"/>
  <c r="BQ34" i="13" s="1"/>
  <c r="BL34" i="13"/>
  <c r="BK34" i="13"/>
  <c r="BJ34" i="13"/>
  <c r="BI34" i="13"/>
  <c r="BH34" i="13"/>
  <c r="BG34" i="13"/>
  <c r="BF34" i="13"/>
  <c r="BE34" i="13"/>
  <c r="BD34" i="13"/>
  <c r="BC34" i="13"/>
  <c r="BB34" i="13"/>
  <c r="BA34" i="13"/>
  <c r="AZ34" i="13"/>
  <c r="AU34" i="13"/>
  <c r="AT34" i="13"/>
  <c r="AS34" i="13"/>
  <c r="AR34" i="13"/>
  <c r="AQ34" i="13"/>
  <c r="AP34" i="13"/>
  <c r="AO34" i="13"/>
  <c r="AN34" i="13"/>
  <c r="AM34" i="13"/>
  <c r="AL34" i="13"/>
  <c r="AK34" i="13"/>
  <c r="AJ34" i="13"/>
  <c r="AI34" i="13"/>
  <c r="AH34" i="13"/>
  <c r="AC34" i="13"/>
  <c r="AB34" i="13"/>
  <c r="AA34" i="13"/>
  <c r="Z34" i="13"/>
  <c r="Y34" i="13"/>
  <c r="X34" i="13"/>
  <c r="S34" i="13"/>
  <c r="R34" i="13"/>
  <c r="Q34" i="13"/>
  <c r="P34" i="13"/>
  <c r="O34" i="13"/>
  <c r="N34" i="13"/>
  <c r="I34" i="13"/>
  <c r="H34" i="13"/>
  <c r="F34" i="13"/>
  <c r="E34" i="13"/>
  <c r="D34" i="13"/>
  <c r="CG32" i="13"/>
  <c r="CF32" i="13"/>
  <c r="CE32" i="13"/>
  <c r="CD32" i="13"/>
  <c r="CC32" i="13"/>
  <c r="CB32" i="13"/>
  <c r="BW32" i="13"/>
  <c r="BV32" i="13"/>
  <c r="BU32" i="13"/>
  <c r="BT32" i="13"/>
  <c r="BS32" i="13"/>
  <c r="BR32" i="13"/>
  <c r="BM32" i="13"/>
  <c r="BQ32" i="13" s="1"/>
  <c r="BL32" i="13"/>
  <c r="BO32" i="13" s="1"/>
  <c r="BK32" i="13"/>
  <c r="BJ32" i="13"/>
  <c r="BI32" i="13"/>
  <c r="BH32" i="13"/>
  <c r="BG32" i="13"/>
  <c r="BF32" i="13"/>
  <c r="BE32" i="13"/>
  <c r="BD32" i="13"/>
  <c r="BC32" i="13"/>
  <c r="BB32" i="13"/>
  <c r="BA32" i="13"/>
  <c r="AZ32" i="13"/>
  <c r="AU32" i="13"/>
  <c r="AT32" i="13"/>
  <c r="AS32" i="13"/>
  <c r="AR32" i="13"/>
  <c r="AQ32" i="13"/>
  <c r="AP32" i="13"/>
  <c r="AO32" i="13"/>
  <c r="AN32" i="13"/>
  <c r="AM32" i="13"/>
  <c r="AL32" i="13"/>
  <c r="AK32" i="13"/>
  <c r="AJ32" i="13"/>
  <c r="AI32" i="13"/>
  <c r="AH32" i="13"/>
  <c r="AC32" i="13"/>
  <c r="AB32" i="13"/>
  <c r="AA32" i="13"/>
  <c r="Z32" i="13"/>
  <c r="Y32" i="13"/>
  <c r="X32" i="13"/>
  <c r="S32" i="13"/>
  <c r="R32" i="13"/>
  <c r="Q32" i="13"/>
  <c r="P32" i="13"/>
  <c r="O32" i="13"/>
  <c r="N32" i="13"/>
  <c r="I32" i="13"/>
  <c r="H32" i="13"/>
  <c r="F32" i="13"/>
  <c r="E32" i="13"/>
  <c r="D32" i="13"/>
  <c r="CG31" i="13"/>
  <c r="CF31" i="13"/>
  <c r="CE31" i="13"/>
  <c r="CD31" i="13"/>
  <c r="CC31" i="13"/>
  <c r="CB31" i="13"/>
  <c r="BW31" i="13"/>
  <c r="CA31" i="13" s="1"/>
  <c r="BV31" i="13"/>
  <c r="BY31" i="13" s="1"/>
  <c r="BU31" i="13"/>
  <c r="BT31" i="13"/>
  <c r="BS31" i="13"/>
  <c r="BR31" i="13"/>
  <c r="BM31" i="13"/>
  <c r="BQ31" i="13" s="1"/>
  <c r="BL31" i="13"/>
  <c r="BO31" i="13" s="1"/>
  <c r="BK31" i="13"/>
  <c r="BJ31" i="13"/>
  <c r="BI31" i="13"/>
  <c r="BH31" i="13"/>
  <c r="BG31" i="13"/>
  <c r="BF31" i="13"/>
  <c r="BE31" i="13"/>
  <c r="BD31" i="13"/>
  <c r="BC31" i="13"/>
  <c r="BB31" i="13"/>
  <c r="BA31" i="13"/>
  <c r="AZ31" i="13"/>
  <c r="AU31" i="13"/>
  <c r="AT31" i="13"/>
  <c r="AS31" i="13"/>
  <c r="AR31" i="13"/>
  <c r="AQ31" i="13"/>
  <c r="AP31" i="13"/>
  <c r="AO31" i="13"/>
  <c r="AN31" i="13"/>
  <c r="AM31" i="13"/>
  <c r="AL31" i="13"/>
  <c r="AK31" i="13"/>
  <c r="AJ31" i="13"/>
  <c r="AI31" i="13"/>
  <c r="AH31" i="13"/>
  <c r="AC31" i="13"/>
  <c r="AB31" i="13"/>
  <c r="AA31" i="13"/>
  <c r="Z31" i="13"/>
  <c r="Y31" i="13"/>
  <c r="X31" i="13"/>
  <c r="S31" i="13"/>
  <c r="R31" i="13"/>
  <c r="Q31" i="13"/>
  <c r="P31" i="13"/>
  <c r="O31" i="13"/>
  <c r="N31" i="13"/>
  <c r="I31" i="13"/>
  <c r="H31" i="13"/>
  <c r="F31" i="13"/>
  <c r="E31" i="13"/>
  <c r="D31" i="13"/>
  <c r="CG30" i="13"/>
  <c r="CF30" i="13"/>
  <c r="CE30" i="13"/>
  <c r="CD30" i="13"/>
  <c r="CC30" i="13"/>
  <c r="CB30" i="13"/>
  <c r="BW30" i="13"/>
  <c r="BV30" i="13"/>
  <c r="BU30" i="13"/>
  <c r="BT30" i="13"/>
  <c r="BS30" i="13"/>
  <c r="BR30" i="13"/>
  <c r="BM30" i="13"/>
  <c r="BQ30" i="13" s="1"/>
  <c r="BL30" i="13"/>
  <c r="BO30" i="13" s="1"/>
  <c r="BK30" i="13"/>
  <c r="BJ30" i="13"/>
  <c r="BI30" i="13"/>
  <c r="BH30" i="13"/>
  <c r="BG30" i="13"/>
  <c r="BF30" i="13"/>
  <c r="BE30" i="13"/>
  <c r="BD30" i="13"/>
  <c r="BC30" i="13"/>
  <c r="BB30" i="13"/>
  <c r="BA30" i="13"/>
  <c r="AZ30" i="13"/>
  <c r="AU30" i="13"/>
  <c r="AT30" i="13"/>
  <c r="AS30" i="13"/>
  <c r="AR30" i="13"/>
  <c r="AQ30" i="13"/>
  <c r="AP30" i="13"/>
  <c r="AO30" i="13"/>
  <c r="AN30" i="13"/>
  <c r="AM30" i="13"/>
  <c r="AL30" i="13"/>
  <c r="AK30" i="13"/>
  <c r="AJ30" i="13"/>
  <c r="AI30" i="13"/>
  <c r="AH30" i="13"/>
  <c r="AC30" i="13"/>
  <c r="AB30" i="13"/>
  <c r="AA30" i="13"/>
  <c r="Z30" i="13"/>
  <c r="Y30" i="13"/>
  <c r="X30" i="13"/>
  <c r="S30" i="13"/>
  <c r="R30" i="13"/>
  <c r="Q30" i="13"/>
  <c r="P30" i="13"/>
  <c r="O30" i="13"/>
  <c r="N30" i="13"/>
  <c r="I30" i="13"/>
  <c r="H30" i="13"/>
  <c r="F30" i="13"/>
  <c r="E30" i="13"/>
  <c r="D30" i="13"/>
  <c r="CG29" i="13"/>
  <c r="CF29" i="13"/>
  <c r="CE29" i="13"/>
  <c r="CD29" i="13"/>
  <c r="CC29" i="13"/>
  <c r="CB29" i="13"/>
  <c r="BW29" i="13"/>
  <c r="BV29" i="13"/>
  <c r="BU29" i="13"/>
  <c r="BT29" i="13"/>
  <c r="BS29" i="13"/>
  <c r="BR29" i="13"/>
  <c r="BM29" i="13"/>
  <c r="BQ29" i="13" s="1"/>
  <c r="BL29" i="13"/>
  <c r="BO29" i="13" s="1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U29" i="13"/>
  <c r="AT29" i="13"/>
  <c r="AS29" i="13"/>
  <c r="AR29" i="13"/>
  <c r="AQ29" i="13"/>
  <c r="AP29" i="13"/>
  <c r="AO29" i="13"/>
  <c r="AN29" i="13"/>
  <c r="AM29" i="13"/>
  <c r="AL29" i="13"/>
  <c r="AK29" i="13"/>
  <c r="AJ29" i="13"/>
  <c r="AI29" i="13"/>
  <c r="AH29" i="13"/>
  <c r="AC29" i="13"/>
  <c r="AB29" i="13"/>
  <c r="AA29" i="13"/>
  <c r="Z29" i="13"/>
  <c r="Y29" i="13"/>
  <c r="X29" i="13"/>
  <c r="S29" i="13"/>
  <c r="R29" i="13"/>
  <c r="Q29" i="13"/>
  <c r="P29" i="13"/>
  <c r="O29" i="13"/>
  <c r="N29" i="13"/>
  <c r="I29" i="13"/>
  <c r="H29" i="13"/>
  <c r="F29" i="13"/>
  <c r="E29" i="13"/>
  <c r="D29" i="13"/>
  <c r="CG28" i="13"/>
  <c r="CF28" i="13"/>
  <c r="CE28" i="13"/>
  <c r="CD28" i="13"/>
  <c r="CC28" i="13"/>
  <c r="CB28" i="13"/>
  <c r="BW28" i="13"/>
  <c r="BV28" i="13"/>
  <c r="BU28" i="13"/>
  <c r="BT28" i="13"/>
  <c r="BS28" i="13"/>
  <c r="BR28" i="13"/>
  <c r="BM28" i="13"/>
  <c r="BQ28" i="13" s="1"/>
  <c r="BL28" i="13"/>
  <c r="BO28" i="13" s="1"/>
  <c r="BK28" i="13"/>
  <c r="BJ28" i="13"/>
  <c r="BI28" i="13"/>
  <c r="BH28" i="13"/>
  <c r="BG28" i="13"/>
  <c r="BF28" i="13"/>
  <c r="BE28" i="13"/>
  <c r="BD28" i="13"/>
  <c r="BC28" i="13"/>
  <c r="BB28" i="13"/>
  <c r="BA28" i="13"/>
  <c r="AZ28" i="13"/>
  <c r="AU28" i="13"/>
  <c r="AT28" i="13"/>
  <c r="AS28" i="13"/>
  <c r="AR28" i="13"/>
  <c r="AQ28" i="13"/>
  <c r="AP28" i="13"/>
  <c r="AO28" i="13"/>
  <c r="AN28" i="13"/>
  <c r="AM28" i="13"/>
  <c r="AL28" i="13"/>
  <c r="AK28" i="13"/>
  <c r="AJ28" i="13"/>
  <c r="AI28" i="13"/>
  <c r="AH28" i="13"/>
  <c r="AC28" i="13"/>
  <c r="AB28" i="13"/>
  <c r="AA28" i="13"/>
  <c r="Z28" i="13"/>
  <c r="Y28" i="13"/>
  <c r="X28" i="13"/>
  <c r="S28" i="13"/>
  <c r="R28" i="13"/>
  <c r="Q28" i="13"/>
  <c r="P28" i="13"/>
  <c r="O28" i="13"/>
  <c r="N28" i="13"/>
  <c r="I28" i="13"/>
  <c r="H28" i="13"/>
  <c r="F28" i="13"/>
  <c r="E28" i="13"/>
  <c r="D28" i="13"/>
  <c r="CG27" i="13"/>
  <c r="CF27" i="13"/>
  <c r="CE27" i="13"/>
  <c r="CD27" i="13"/>
  <c r="CC27" i="13"/>
  <c r="CB27" i="13"/>
  <c r="BW27" i="13"/>
  <c r="BV27" i="13"/>
  <c r="BU27" i="13"/>
  <c r="BT27" i="13"/>
  <c r="BS27" i="13"/>
  <c r="BR27" i="13"/>
  <c r="BM27" i="13"/>
  <c r="BQ27" i="13" s="1"/>
  <c r="BL27" i="13"/>
  <c r="BO27" i="13" s="1"/>
  <c r="BK27" i="13"/>
  <c r="BJ27" i="13"/>
  <c r="BI27" i="13"/>
  <c r="BH27" i="13"/>
  <c r="BG27" i="13"/>
  <c r="BF27" i="13"/>
  <c r="BE27" i="13"/>
  <c r="BD27" i="13"/>
  <c r="BC27" i="13"/>
  <c r="BB27" i="13"/>
  <c r="BA27" i="13"/>
  <c r="AZ27" i="13"/>
  <c r="AU27" i="13"/>
  <c r="AT27" i="13"/>
  <c r="AS27" i="13"/>
  <c r="AR27" i="13"/>
  <c r="AQ27" i="13"/>
  <c r="AP27" i="13"/>
  <c r="AO27" i="13"/>
  <c r="AN27" i="13"/>
  <c r="AM27" i="13"/>
  <c r="AL27" i="13"/>
  <c r="AK27" i="13"/>
  <c r="AJ27" i="13"/>
  <c r="AI27" i="13"/>
  <c r="AH27" i="13"/>
  <c r="AC27" i="13"/>
  <c r="AB27" i="13"/>
  <c r="AA27" i="13"/>
  <c r="Z27" i="13"/>
  <c r="Y27" i="13"/>
  <c r="X27" i="13"/>
  <c r="S27" i="13"/>
  <c r="R27" i="13"/>
  <c r="Q27" i="13"/>
  <c r="P27" i="13"/>
  <c r="O27" i="13"/>
  <c r="N27" i="13"/>
  <c r="I27" i="13"/>
  <c r="H27" i="13"/>
  <c r="F27" i="13"/>
  <c r="E27" i="13"/>
  <c r="D27" i="13"/>
  <c r="CG26" i="13"/>
  <c r="CF26" i="13"/>
  <c r="CE26" i="13"/>
  <c r="CD26" i="13"/>
  <c r="CC26" i="13"/>
  <c r="CB26" i="13"/>
  <c r="BW26" i="13"/>
  <c r="BV26" i="13"/>
  <c r="BU26" i="13"/>
  <c r="BT26" i="13"/>
  <c r="BS26" i="13"/>
  <c r="BR26" i="13"/>
  <c r="BM26" i="13"/>
  <c r="BQ26" i="13" s="1"/>
  <c r="BL26" i="13"/>
  <c r="BO26" i="13" s="1"/>
  <c r="BK26" i="13"/>
  <c r="BJ26" i="13"/>
  <c r="BI26" i="13"/>
  <c r="BH26" i="13"/>
  <c r="BG26" i="13"/>
  <c r="BF26" i="13"/>
  <c r="BE26" i="13"/>
  <c r="BD26" i="13"/>
  <c r="BC26" i="13"/>
  <c r="BB26" i="13"/>
  <c r="BA26" i="13"/>
  <c r="AZ26" i="13"/>
  <c r="AU26" i="13"/>
  <c r="AT26" i="13"/>
  <c r="AS26" i="13"/>
  <c r="AR26" i="13"/>
  <c r="AQ26" i="13"/>
  <c r="AP26" i="13"/>
  <c r="AO26" i="13"/>
  <c r="AN26" i="13"/>
  <c r="AM26" i="13"/>
  <c r="AL26" i="13"/>
  <c r="AK26" i="13"/>
  <c r="AJ26" i="13"/>
  <c r="AI26" i="13"/>
  <c r="AH26" i="13"/>
  <c r="AC26" i="13"/>
  <c r="AB26" i="13"/>
  <c r="AA26" i="13"/>
  <c r="Z26" i="13"/>
  <c r="Y26" i="13"/>
  <c r="X26" i="13"/>
  <c r="S26" i="13"/>
  <c r="R26" i="13"/>
  <c r="Q26" i="13"/>
  <c r="P26" i="13"/>
  <c r="O26" i="13"/>
  <c r="N26" i="13"/>
  <c r="I26" i="13"/>
  <c r="H26" i="13"/>
  <c r="F26" i="13"/>
  <c r="E26" i="13"/>
  <c r="D26" i="13"/>
  <c r="CG25" i="13"/>
  <c r="CF25" i="13"/>
  <c r="CE25" i="13"/>
  <c r="CD25" i="13"/>
  <c r="CC25" i="13"/>
  <c r="CB25" i="13"/>
  <c r="BW25" i="13"/>
  <c r="CA25" i="13" s="1"/>
  <c r="BV25" i="13"/>
  <c r="BY25" i="13" s="1"/>
  <c r="BU25" i="13"/>
  <c r="BT25" i="13"/>
  <c r="BS25" i="13"/>
  <c r="BR25" i="13"/>
  <c r="BM25" i="13"/>
  <c r="BQ25" i="13" s="1"/>
  <c r="BL25" i="13"/>
  <c r="BO25" i="13" s="1"/>
  <c r="BK25" i="13"/>
  <c r="BJ25" i="13"/>
  <c r="BI25" i="13"/>
  <c r="BH25" i="13"/>
  <c r="BG25" i="13"/>
  <c r="BF25" i="13"/>
  <c r="BE25" i="13"/>
  <c r="BD25" i="13"/>
  <c r="BC25" i="13"/>
  <c r="BB25" i="13"/>
  <c r="BA25" i="13"/>
  <c r="AZ25" i="13"/>
  <c r="AU25" i="13"/>
  <c r="AT25" i="13"/>
  <c r="AS25" i="13"/>
  <c r="AR25" i="13"/>
  <c r="AQ25" i="13"/>
  <c r="AP25" i="13"/>
  <c r="AO25" i="13"/>
  <c r="AN25" i="13"/>
  <c r="AM25" i="13"/>
  <c r="AL25" i="13"/>
  <c r="AK25" i="13"/>
  <c r="AJ25" i="13"/>
  <c r="AI25" i="13"/>
  <c r="AH25" i="13"/>
  <c r="AC25" i="13"/>
  <c r="AB25" i="13"/>
  <c r="AA25" i="13"/>
  <c r="Z25" i="13"/>
  <c r="Y25" i="13"/>
  <c r="X25" i="13"/>
  <c r="S25" i="13"/>
  <c r="R25" i="13"/>
  <c r="Q25" i="13"/>
  <c r="P25" i="13"/>
  <c r="O25" i="13"/>
  <c r="N25" i="13"/>
  <c r="I25" i="13"/>
  <c r="H25" i="13"/>
  <c r="F25" i="13"/>
  <c r="E25" i="13"/>
  <c r="D25" i="13"/>
  <c r="CG24" i="13"/>
  <c r="CF24" i="13"/>
  <c r="CE24" i="13"/>
  <c r="CD24" i="13"/>
  <c r="CC24" i="13"/>
  <c r="CB24" i="13"/>
  <c r="BW24" i="13"/>
  <c r="BV24" i="13"/>
  <c r="BU24" i="13"/>
  <c r="BT24" i="13"/>
  <c r="BS24" i="13"/>
  <c r="BR24" i="13"/>
  <c r="BM24" i="13"/>
  <c r="BQ24" i="13" s="1"/>
  <c r="BL24" i="13"/>
  <c r="BO24" i="13" s="1"/>
  <c r="BK24" i="13"/>
  <c r="BJ24" i="13"/>
  <c r="BI24" i="13"/>
  <c r="BH24" i="13"/>
  <c r="BG24" i="13"/>
  <c r="BF24" i="13"/>
  <c r="BE24" i="13"/>
  <c r="BD24" i="13"/>
  <c r="BC24" i="13"/>
  <c r="BB24" i="13"/>
  <c r="BA24" i="13"/>
  <c r="AZ24" i="13"/>
  <c r="AU24" i="13"/>
  <c r="AT24" i="13"/>
  <c r="AS24" i="13"/>
  <c r="AR24" i="13"/>
  <c r="AQ24" i="13"/>
  <c r="AP24" i="13"/>
  <c r="AO24" i="13"/>
  <c r="AN24" i="13"/>
  <c r="AM24" i="13"/>
  <c r="AL24" i="13"/>
  <c r="AK24" i="13"/>
  <c r="AJ24" i="13"/>
  <c r="AI24" i="13"/>
  <c r="AH24" i="13"/>
  <c r="AC24" i="13"/>
  <c r="AB24" i="13"/>
  <c r="AA24" i="13"/>
  <c r="Z24" i="13"/>
  <c r="Y24" i="13"/>
  <c r="X24" i="13"/>
  <c r="S24" i="13"/>
  <c r="R24" i="13"/>
  <c r="Q24" i="13"/>
  <c r="P24" i="13"/>
  <c r="O24" i="13"/>
  <c r="N24" i="13"/>
  <c r="I24" i="13"/>
  <c r="H24" i="13"/>
  <c r="F24" i="13"/>
  <c r="E24" i="13"/>
  <c r="D24" i="13"/>
  <c r="CG23" i="13"/>
  <c r="CF23" i="13"/>
  <c r="CE23" i="13"/>
  <c r="CD23" i="13"/>
  <c r="CC23" i="13"/>
  <c r="CB23" i="13"/>
  <c r="BW23" i="13"/>
  <c r="BV23" i="13"/>
  <c r="BU23" i="13"/>
  <c r="BT23" i="13"/>
  <c r="BS23" i="13"/>
  <c r="BR23" i="13"/>
  <c r="BM23" i="13"/>
  <c r="BQ23" i="13" s="1"/>
  <c r="BL23" i="13"/>
  <c r="BO23" i="13" s="1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U23" i="13"/>
  <c r="AT23" i="13"/>
  <c r="AS23" i="13"/>
  <c r="AR23" i="13"/>
  <c r="AQ23" i="13"/>
  <c r="AP23" i="13"/>
  <c r="AO23" i="13"/>
  <c r="AN23" i="13"/>
  <c r="AM23" i="13"/>
  <c r="AL23" i="13"/>
  <c r="AK23" i="13"/>
  <c r="AJ23" i="13"/>
  <c r="AI23" i="13"/>
  <c r="AH23" i="13"/>
  <c r="AC23" i="13"/>
  <c r="AB23" i="13"/>
  <c r="AA23" i="13"/>
  <c r="Z23" i="13"/>
  <c r="Y23" i="13"/>
  <c r="X23" i="13"/>
  <c r="S23" i="13"/>
  <c r="R23" i="13"/>
  <c r="Q23" i="13"/>
  <c r="P23" i="13"/>
  <c r="O23" i="13"/>
  <c r="N23" i="13"/>
  <c r="I23" i="13"/>
  <c r="H23" i="13"/>
  <c r="F23" i="13"/>
  <c r="E23" i="13"/>
  <c r="D23" i="13"/>
  <c r="CG22" i="13"/>
  <c r="CF22" i="13"/>
  <c r="CE22" i="13"/>
  <c r="CD22" i="13"/>
  <c r="CC22" i="13"/>
  <c r="CB22" i="13"/>
  <c r="BW22" i="13"/>
  <c r="BV22" i="13"/>
  <c r="BU22" i="13"/>
  <c r="BT22" i="13"/>
  <c r="BS22" i="13"/>
  <c r="BR22" i="13"/>
  <c r="BM22" i="13"/>
  <c r="BQ22" i="13" s="1"/>
  <c r="BL22" i="13"/>
  <c r="BO22" i="13" s="1"/>
  <c r="BK22" i="13"/>
  <c r="BJ22" i="13"/>
  <c r="BI22" i="13"/>
  <c r="BH22" i="13"/>
  <c r="BG22" i="13"/>
  <c r="BF22" i="13"/>
  <c r="BE22" i="13"/>
  <c r="BD22" i="13"/>
  <c r="BC22" i="13"/>
  <c r="BB22" i="13"/>
  <c r="BA22" i="13"/>
  <c r="AZ22" i="13"/>
  <c r="AU22" i="13"/>
  <c r="AT22" i="13"/>
  <c r="AS22" i="13"/>
  <c r="AR22" i="13"/>
  <c r="AQ22" i="13"/>
  <c r="AP22" i="13"/>
  <c r="AO22" i="13"/>
  <c r="AN22" i="13"/>
  <c r="AM22" i="13"/>
  <c r="AL22" i="13"/>
  <c r="AK22" i="13"/>
  <c r="AJ22" i="13"/>
  <c r="AI22" i="13"/>
  <c r="AH22" i="13"/>
  <c r="AC22" i="13"/>
  <c r="AB22" i="13"/>
  <c r="AA22" i="13"/>
  <c r="Z22" i="13"/>
  <c r="Y22" i="13"/>
  <c r="X22" i="13"/>
  <c r="S22" i="13"/>
  <c r="R22" i="13"/>
  <c r="Q22" i="13"/>
  <c r="P22" i="13"/>
  <c r="O22" i="13"/>
  <c r="N22" i="13"/>
  <c r="I22" i="13"/>
  <c r="H22" i="13"/>
  <c r="F22" i="13"/>
  <c r="E22" i="13"/>
  <c r="D22" i="13"/>
  <c r="CG21" i="13"/>
  <c r="CF21" i="13"/>
  <c r="CE21" i="13"/>
  <c r="CD21" i="13"/>
  <c r="CC21" i="13"/>
  <c r="CB21" i="13"/>
  <c r="BW21" i="13"/>
  <c r="BV21" i="13"/>
  <c r="BU21" i="13"/>
  <c r="BT21" i="13"/>
  <c r="BS21" i="13"/>
  <c r="BR21" i="13"/>
  <c r="BM21" i="13"/>
  <c r="BQ21" i="13" s="1"/>
  <c r="BL21" i="13"/>
  <c r="BO21" i="13" s="1"/>
  <c r="BK21" i="13"/>
  <c r="BJ21" i="13"/>
  <c r="BI21" i="13"/>
  <c r="BH21" i="13"/>
  <c r="BG21" i="13"/>
  <c r="BF21" i="13"/>
  <c r="BE21" i="13"/>
  <c r="BD21" i="13"/>
  <c r="BC21" i="13"/>
  <c r="BB21" i="13"/>
  <c r="BA21" i="13"/>
  <c r="AZ21" i="13"/>
  <c r="AU21" i="13"/>
  <c r="AT21" i="13"/>
  <c r="AS21" i="13"/>
  <c r="AR21" i="13"/>
  <c r="AQ21" i="13"/>
  <c r="AP21" i="13"/>
  <c r="AO21" i="13"/>
  <c r="AN21" i="13"/>
  <c r="AM21" i="13"/>
  <c r="AL21" i="13"/>
  <c r="AK21" i="13"/>
  <c r="AJ21" i="13"/>
  <c r="AI21" i="13"/>
  <c r="AH21" i="13"/>
  <c r="AC21" i="13"/>
  <c r="AB21" i="13"/>
  <c r="AA21" i="13"/>
  <c r="Z21" i="13"/>
  <c r="Y21" i="13"/>
  <c r="X21" i="13"/>
  <c r="S21" i="13"/>
  <c r="R21" i="13"/>
  <c r="Q21" i="13"/>
  <c r="P21" i="13"/>
  <c r="O21" i="13"/>
  <c r="N21" i="13"/>
  <c r="I21" i="13"/>
  <c r="H21" i="13"/>
  <c r="F21" i="13"/>
  <c r="E21" i="13"/>
  <c r="D21" i="13"/>
  <c r="CG20" i="13"/>
  <c r="CF20" i="13"/>
  <c r="CE20" i="13"/>
  <c r="CD20" i="13"/>
  <c r="CC20" i="13"/>
  <c r="CB20" i="13"/>
  <c r="BW20" i="13"/>
  <c r="CA20" i="13" s="1"/>
  <c r="BV20" i="13"/>
  <c r="BY20" i="13" s="1"/>
  <c r="BU20" i="13"/>
  <c r="BT20" i="13"/>
  <c r="BS20" i="13"/>
  <c r="BR20" i="13"/>
  <c r="BM20" i="13"/>
  <c r="BQ20" i="13" s="1"/>
  <c r="BL20" i="13"/>
  <c r="BO20" i="13" s="1"/>
  <c r="BK20" i="13"/>
  <c r="BJ20" i="13"/>
  <c r="BI20" i="13"/>
  <c r="BH20" i="13"/>
  <c r="BG20" i="13"/>
  <c r="BF20" i="13"/>
  <c r="BE20" i="13"/>
  <c r="BD20" i="13"/>
  <c r="BC20" i="13"/>
  <c r="BB20" i="13"/>
  <c r="BA20" i="13"/>
  <c r="AZ20" i="13"/>
  <c r="AU20" i="13"/>
  <c r="AT20" i="13"/>
  <c r="AS20" i="13"/>
  <c r="AR20" i="13"/>
  <c r="AQ20" i="13"/>
  <c r="AP20" i="13"/>
  <c r="AO20" i="13"/>
  <c r="AN20" i="13"/>
  <c r="AM20" i="13"/>
  <c r="AL20" i="13"/>
  <c r="AK20" i="13"/>
  <c r="AJ20" i="13"/>
  <c r="AI20" i="13"/>
  <c r="AH20" i="13"/>
  <c r="AC20" i="13"/>
  <c r="AB20" i="13"/>
  <c r="AA20" i="13"/>
  <c r="Z20" i="13"/>
  <c r="Y20" i="13"/>
  <c r="X20" i="13"/>
  <c r="S20" i="13"/>
  <c r="R20" i="13"/>
  <c r="Q20" i="13"/>
  <c r="P20" i="13"/>
  <c r="O20" i="13"/>
  <c r="N20" i="13"/>
  <c r="I20" i="13"/>
  <c r="H20" i="13"/>
  <c r="F20" i="13"/>
  <c r="E20" i="13"/>
  <c r="D20" i="13"/>
  <c r="CG19" i="13"/>
  <c r="CF19" i="13"/>
  <c r="CE19" i="13"/>
  <c r="CD19" i="13"/>
  <c r="CC19" i="13"/>
  <c r="CB19" i="13"/>
  <c r="BW19" i="13"/>
  <c r="BV19" i="13"/>
  <c r="BU19" i="13"/>
  <c r="BT19" i="13"/>
  <c r="BS19" i="13"/>
  <c r="BR19" i="13"/>
  <c r="BM19" i="13"/>
  <c r="BQ19" i="13" s="1"/>
  <c r="BL19" i="13"/>
  <c r="BO19" i="13" s="1"/>
  <c r="BK19" i="13"/>
  <c r="BJ19" i="13"/>
  <c r="BI19" i="13"/>
  <c r="BH19" i="13"/>
  <c r="BG19" i="13"/>
  <c r="BF19" i="13"/>
  <c r="BE19" i="13"/>
  <c r="BD19" i="13"/>
  <c r="BC19" i="13"/>
  <c r="BB19" i="13"/>
  <c r="BA19" i="13"/>
  <c r="AZ19" i="13"/>
  <c r="AU19" i="13"/>
  <c r="AT19" i="13"/>
  <c r="AS19" i="13"/>
  <c r="AR19" i="13"/>
  <c r="AQ19" i="13"/>
  <c r="AP19" i="13"/>
  <c r="AO19" i="13"/>
  <c r="AN19" i="13"/>
  <c r="AM19" i="13"/>
  <c r="AL19" i="13"/>
  <c r="AK19" i="13"/>
  <c r="AJ19" i="13"/>
  <c r="AI19" i="13"/>
  <c r="AH19" i="13"/>
  <c r="AC19" i="13"/>
  <c r="AB19" i="13"/>
  <c r="AA19" i="13"/>
  <c r="Z19" i="13"/>
  <c r="Y19" i="13"/>
  <c r="X19" i="13"/>
  <c r="S19" i="13"/>
  <c r="R19" i="13"/>
  <c r="Q19" i="13"/>
  <c r="P19" i="13"/>
  <c r="O19" i="13"/>
  <c r="N19" i="13"/>
  <c r="I19" i="13"/>
  <c r="H19" i="13"/>
  <c r="F19" i="13"/>
  <c r="E19" i="13"/>
  <c r="D19" i="13"/>
  <c r="CG18" i="13"/>
  <c r="CF18" i="13"/>
  <c r="CE18" i="13"/>
  <c r="CD18" i="13"/>
  <c r="CC18" i="13"/>
  <c r="CB18" i="13"/>
  <c r="BW18" i="13"/>
  <c r="BV18" i="13"/>
  <c r="BU18" i="13"/>
  <c r="BT18" i="13"/>
  <c r="BS18" i="13"/>
  <c r="BR18" i="13"/>
  <c r="BM18" i="13"/>
  <c r="BQ18" i="13" s="1"/>
  <c r="BL18" i="13"/>
  <c r="BO18" i="13" s="1"/>
  <c r="BK18" i="13"/>
  <c r="BJ18" i="13"/>
  <c r="BI18" i="13"/>
  <c r="BH18" i="13"/>
  <c r="BG18" i="13"/>
  <c r="BF18" i="13"/>
  <c r="BE18" i="13"/>
  <c r="BD18" i="13"/>
  <c r="BC18" i="13"/>
  <c r="BB18" i="13"/>
  <c r="BA18" i="13"/>
  <c r="AZ18" i="13"/>
  <c r="AU18" i="13"/>
  <c r="AT18" i="13"/>
  <c r="AS18" i="13"/>
  <c r="AR18" i="13"/>
  <c r="AQ18" i="13"/>
  <c r="AP18" i="13"/>
  <c r="AO18" i="13"/>
  <c r="AN18" i="13"/>
  <c r="AM18" i="13"/>
  <c r="AL18" i="13"/>
  <c r="AK18" i="13"/>
  <c r="AJ18" i="13"/>
  <c r="AI18" i="13"/>
  <c r="AH18" i="13"/>
  <c r="AC18" i="13"/>
  <c r="AB18" i="13"/>
  <c r="AA18" i="13"/>
  <c r="Z18" i="13"/>
  <c r="Y18" i="13"/>
  <c r="X18" i="13"/>
  <c r="S18" i="13"/>
  <c r="R18" i="13"/>
  <c r="Q18" i="13"/>
  <c r="P18" i="13"/>
  <c r="O18" i="13"/>
  <c r="N18" i="13"/>
  <c r="I18" i="13"/>
  <c r="H18" i="13"/>
  <c r="F18" i="13"/>
  <c r="E18" i="13"/>
  <c r="D18" i="13"/>
  <c r="CG17" i="13"/>
  <c r="CF17" i="13"/>
  <c r="CE17" i="13"/>
  <c r="CD17" i="13"/>
  <c r="CC17" i="13"/>
  <c r="CB17" i="13"/>
  <c r="BW17" i="13"/>
  <c r="BV17" i="13"/>
  <c r="BU17" i="13"/>
  <c r="BT17" i="13"/>
  <c r="BS17" i="13"/>
  <c r="BR17" i="13"/>
  <c r="BM17" i="13"/>
  <c r="BQ17" i="13" s="1"/>
  <c r="BL17" i="13"/>
  <c r="BO17" i="13" s="1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U17" i="13"/>
  <c r="AT17" i="13"/>
  <c r="AS17" i="13"/>
  <c r="AR17" i="13"/>
  <c r="AQ17" i="13"/>
  <c r="AP17" i="13"/>
  <c r="AO17" i="13"/>
  <c r="AN17" i="13"/>
  <c r="AM17" i="13"/>
  <c r="AL17" i="13"/>
  <c r="AK17" i="13"/>
  <c r="AJ17" i="13"/>
  <c r="AI17" i="13"/>
  <c r="AH17" i="13"/>
  <c r="AC17" i="13"/>
  <c r="AB17" i="13"/>
  <c r="AA17" i="13"/>
  <c r="Z17" i="13"/>
  <c r="Y17" i="13"/>
  <c r="X17" i="13"/>
  <c r="S17" i="13"/>
  <c r="R17" i="13"/>
  <c r="Q17" i="13"/>
  <c r="P17" i="13"/>
  <c r="O17" i="13"/>
  <c r="N17" i="13"/>
  <c r="I17" i="13"/>
  <c r="H17" i="13"/>
  <c r="F17" i="13"/>
  <c r="E17" i="13"/>
  <c r="D17" i="13"/>
  <c r="CG16" i="13"/>
  <c r="CF16" i="13"/>
  <c r="CE16" i="13"/>
  <c r="CD16" i="13"/>
  <c r="CC16" i="13"/>
  <c r="CB16" i="13"/>
  <c r="BW16" i="13"/>
  <c r="BV16" i="13"/>
  <c r="BU16" i="13"/>
  <c r="BT16" i="13"/>
  <c r="BS16" i="13"/>
  <c r="BR16" i="13"/>
  <c r="BM16" i="13"/>
  <c r="BQ16" i="13" s="1"/>
  <c r="BL16" i="13"/>
  <c r="BO16" i="13" s="1"/>
  <c r="BK16" i="13"/>
  <c r="BJ16" i="13"/>
  <c r="BI16" i="13"/>
  <c r="BH16" i="13"/>
  <c r="BG16" i="13"/>
  <c r="BF16" i="13"/>
  <c r="BE16" i="13"/>
  <c r="BD16" i="13"/>
  <c r="BC16" i="13"/>
  <c r="BB16" i="13"/>
  <c r="BA16" i="13"/>
  <c r="AZ16" i="13"/>
  <c r="AU16" i="13"/>
  <c r="AT16" i="13"/>
  <c r="AS16" i="13"/>
  <c r="AR16" i="13"/>
  <c r="AQ16" i="13"/>
  <c r="AP16" i="13"/>
  <c r="AO16" i="13"/>
  <c r="AN16" i="13"/>
  <c r="AM16" i="13"/>
  <c r="AL16" i="13"/>
  <c r="AK16" i="13"/>
  <c r="AJ16" i="13"/>
  <c r="AI16" i="13"/>
  <c r="AH16" i="13"/>
  <c r="AC16" i="13"/>
  <c r="AB16" i="13"/>
  <c r="AA16" i="13"/>
  <c r="Z16" i="13"/>
  <c r="Y16" i="13"/>
  <c r="X16" i="13"/>
  <c r="S16" i="13"/>
  <c r="R16" i="13"/>
  <c r="Q16" i="13"/>
  <c r="P16" i="13"/>
  <c r="O16" i="13"/>
  <c r="N16" i="13"/>
  <c r="I16" i="13"/>
  <c r="H16" i="13"/>
  <c r="F16" i="13"/>
  <c r="E16" i="13"/>
  <c r="D16" i="13"/>
  <c r="CA14" i="13"/>
  <c r="BY14" i="13"/>
  <c r="BQ14" i="13"/>
  <c r="BO14" i="13"/>
  <c r="AY14" i="13"/>
  <c r="AW14" i="13"/>
  <c r="AG14" i="13"/>
  <c r="AE14" i="13"/>
  <c r="W14" i="13"/>
  <c r="U14" i="13"/>
  <c r="M14" i="13"/>
  <c r="K14" i="13"/>
  <c r="G14" i="13"/>
  <c r="CG13" i="13"/>
  <c r="CF13" i="13"/>
  <c r="CE13" i="13"/>
  <c r="CD13" i="13"/>
  <c r="CC13" i="13"/>
  <c r="CB13" i="13"/>
  <c r="CA13" i="13"/>
  <c r="BZ13" i="13"/>
  <c r="BW13" i="13"/>
  <c r="BV13" i="13"/>
  <c r="BU13" i="13"/>
  <c r="BT13" i="13"/>
  <c r="BS13" i="13"/>
  <c r="BR13" i="13"/>
  <c r="BK13" i="13"/>
  <c r="BJ13" i="13"/>
  <c r="BI13" i="13"/>
  <c r="BH13" i="13"/>
  <c r="BF13" i="13"/>
  <c r="BE13" i="13"/>
  <c r="BD13" i="13"/>
  <c r="BC13" i="13"/>
  <c r="BB13" i="13"/>
  <c r="BA13" i="13"/>
  <c r="BA11" i="13" s="1"/>
  <c r="AZ13" i="13"/>
  <c r="AS13" i="13"/>
  <c r="AS11" i="13" s="1"/>
  <c r="AR13" i="13"/>
  <c r="AQ13" i="13"/>
  <c r="AO13" i="13"/>
  <c r="AN13" i="13"/>
  <c r="AM13" i="13"/>
  <c r="AL13" i="13"/>
  <c r="AK13" i="13"/>
  <c r="AK11" i="13" s="1"/>
  <c r="AJ13" i="13"/>
  <c r="AI13" i="13"/>
  <c r="AH13" i="13"/>
  <c r="AC13" i="13"/>
  <c r="AB13" i="13"/>
  <c r="AA13" i="13"/>
  <c r="X13" i="13"/>
  <c r="S13" i="13"/>
  <c r="R13" i="13"/>
  <c r="Q13" i="13"/>
  <c r="P13" i="13"/>
  <c r="O13" i="13"/>
  <c r="N13" i="13"/>
  <c r="CG12" i="13"/>
  <c r="CF12" i="13"/>
  <c r="CD12" i="13"/>
  <c r="CC12" i="13"/>
  <c r="CC11" i="13" s="1"/>
  <c r="CB12" i="13"/>
  <c r="CB11" i="13" s="1"/>
  <c r="BZ12" i="13"/>
  <c r="BZ11" i="13" s="1"/>
  <c r="BW12" i="13"/>
  <c r="CA12" i="13" s="1"/>
  <c r="BV12" i="13"/>
  <c r="BY12" i="13" s="1"/>
  <c r="BT12" i="13"/>
  <c r="BT11" i="13" s="1"/>
  <c r="BS12" i="13"/>
  <c r="BS11" i="13" s="1"/>
  <c r="BK12" i="13"/>
  <c r="BK11" i="13" s="1"/>
  <c r="BJ12" i="13"/>
  <c r="BJ11" i="13" s="1"/>
  <c r="BI12" i="13"/>
  <c r="BH12" i="13"/>
  <c r="BG12" i="13"/>
  <c r="BF12" i="13"/>
  <c r="BE12" i="13"/>
  <c r="BC12" i="13"/>
  <c r="BC11" i="13" s="1"/>
  <c r="BB12" i="13"/>
  <c r="BB11" i="13" s="1"/>
  <c r="BA12" i="13"/>
  <c r="AZ12" i="13"/>
  <c r="AR12" i="13"/>
  <c r="AR11" i="13" s="1"/>
  <c r="AQ12" i="13"/>
  <c r="AQ11" i="13" s="1"/>
  <c r="AP12" i="13"/>
  <c r="AO12" i="13"/>
  <c r="AN12" i="13"/>
  <c r="AM12" i="13"/>
  <c r="AM11" i="13" s="1"/>
  <c r="AL12" i="13"/>
  <c r="AL11" i="13" s="1"/>
  <c r="AJ12" i="13"/>
  <c r="AI12" i="13"/>
  <c r="AH12" i="13"/>
  <c r="AH11" i="13" s="1"/>
  <c r="AC12" i="13"/>
  <c r="AB12" i="13"/>
  <c r="AB11" i="13" s="1"/>
  <c r="AA12" i="13"/>
  <c r="AA11" i="13" s="1"/>
  <c r="Z12" i="13"/>
  <c r="Y12" i="13"/>
  <c r="X12" i="13"/>
  <c r="R12" i="13"/>
  <c r="R11" i="13" s="1"/>
  <c r="Q12" i="13"/>
  <c r="P12" i="13"/>
  <c r="P11" i="13" s="1"/>
  <c r="O12" i="13"/>
  <c r="O11" i="13" s="1"/>
  <c r="N12" i="13"/>
  <c r="N11" i="13" s="1"/>
  <c r="F12" i="13"/>
  <c r="F11" i="13" s="1"/>
  <c r="CF11" i="13"/>
  <c r="BW11" i="13"/>
  <c r="CA11" i="13" s="1"/>
  <c r="BH11" i="13"/>
  <c r="AO11" i="13"/>
  <c r="X11" i="13"/>
  <c r="R114" i="12"/>
  <c r="T114" i="12" s="1"/>
  <c r="P114" i="12"/>
  <c r="N114" i="12"/>
  <c r="L114" i="12"/>
  <c r="I114" i="12" s="1"/>
  <c r="E114" i="12"/>
  <c r="D114" i="12"/>
  <c r="R113" i="12"/>
  <c r="P113" i="12"/>
  <c r="N113" i="12"/>
  <c r="L113" i="12"/>
  <c r="I113" i="12"/>
  <c r="E113" i="12"/>
  <c r="D113" i="12"/>
  <c r="R112" i="12"/>
  <c r="T112" i="12" s="1"/>
  <c r="P112" i="12"/>
  <c r="N112" i="12"/>
  <c r="L112" i="12"/>
  <c r="I112" i="12" s="1"/>
  <c r="E112" i="12"/>
  <c r="D112" i="12"/>
  <c r="R111" i="12"/>
  <c r="T111" i="12" s="1"/>
  <c r="P111" i="12"/>
  <c r="N111" i="12"/>
  <c r="L111" i="12"/>
  <c r="I111" i="12"/>
  <c r="E111" i="12"/>
  <c r="D111" i="12"/>
  <c r="R110" i="12"/>
  <c r="T110" i="12" s="1"/>
  <c r="P110" i="12"/>
  <c r="N110" i="12"/>
  <c r="L110" i="12"/>
  <c r="I110" i="12" s="1"/>
  <c r="E110" i="12"/>
  <c r="D110" i="12"/>
  <c r="A110" i="12"/>
  <c r="A111" i="12" s="1"/>
  <c r="A112" i="12" s="1"/>
  <c r="R109" i="12"/>
  <c r="T109" i="12" s="1"/>
  <c r="P109" i="12"/>
  <c r="N109" i="12"/>
  <c r="L109" i="12"/>
  <c r="I109" i="12" s="1"/>
  <c r="E109" i="12"/>
  <c r="D109" i="12"/>
  <c r="R108" i="12"/>
  <c r="T108" i="12" s="1"/>
  <c r="P108" i="12"/>
  <c r="N108" i="12"/>
  <c r="L108" i="12"/>
  <c r="I108" i="12" s="1"/>
  <c r="E108" i="12"/>
  <c r="D108" i="12"/>
  <c r="R107" i="12"/>
  <c r="T107" i="12" s="1"/>
  <c r="P107" i="12"/>
  <c r="N107" i="12"/>
  <c r="L107" i="12"/>
  <c r="I107" i="12"/>
  <c r="E107" i="12"/>
  <c r="D107" i="12"/>
  <c r="S106" i="12"/>
  <c r="Q106" i="12"/>
  <c r="Q13" i="12" s="1"/>
  <c r="O106" i="12"/>
  <c r="F106" i="12"/>
  <c r="R105" i="12"/>
  <c r="P105" i="12"/>
  <c r="N105" i="12"/>
  <c r="L105" i="12"/>
  <c r="I105" i="12" s="1"/>
  <c r="E105" i="12"/>
  <c r="D105" i="12"/>
  <c r="R104" i="12"/>
  <c r="T104" i="12" s="1"/>
  <c r="P104" i="12"/>
  <c r="N104" i="12"/>
  <c r="L104" i="12"/>
  <c r="I104" i="12" s="1"/>
  <c r="E104" i="12"/>
  <c r="D104" i="12"/>
  <c r="R103" i="12"/>
  <c r="T103" i="12" s="1"/>
  <c r="P103" i="12"/>
  <c r="N103" i="12"/>
  <c r="L103" i="12"/>
  <c r="I103" i="12" s="1"/>
  <c r="E103" i="12"/>
  <c r="D103" i="12"/>
  <c r="R102" i="12"/>
  <c r="T102" i="12" s="1"/>
  <c r="P102" i="12"/>
  <c r="N102" i="12"/>
  <c r="L102" i="12"/>
  <c r="I102" i="12" s="1"/>
  <c r="E102" i="12"/>
  <c r="D102" i="12"/>
  <c r="R101" i="12"/>
  <c r="T101" i="12" s="1"/>
  <c r="P101" i="12"/>
  <c r="N101" i="12"/>
  <c r="L101" i="12"/>
  <c r="I101" i="12" s="1"/>
  <c r="E101" i="12"/>
  <c r="D101" i="12"/>
  <c r="R100" i="12"/>
  <c r="T100" i="12" s="1"/>
  <c r="P100" i="12"/>
  <c r="N100" i="12"/>
  <c r="L100" i="12"/>
  <c r="I100" i="12" s="1"/>
  <c r="E100" i="12"/>
  <c r="D100" i="12"/>
  <c r="R99" i="12"/>
  <c r="T99" i="12" s="1"/>
  <c r="P99" i="12"/>
  <c r="N99" i="12"/>
  <c r="L99" i="12"/>
  <c r="I99" i="12" s="1"/>
  <c r="E99" i="12"/>
  <c r="D99" i="12"/>
  <c r="S98" i="12"/>
  <c r="S91" i="12" s="1"/>
  <c r="S12" i="12" s="1"/>
  <c r="R98" i="12"/>
  <c r="P98" i="12"/>
  <c r="N98" i="12"/>
  <c r="L98" i="12"/>
  <c r="F98" i="12"/>
  <c r="F91" i="12" s="1"/>
  <c r="F12" i="12" s="1"/>
  <c r="F11" i="12" s="1"/>
  <c r="E98" i="12"/>
  <c r="D98" i="12"/>
  <c r="R97" i="12"/>
  <c r="T97" i="12" s="1"/>
  <c r="P97" i="12"/>
  <c r="N97" i="12"/>
  <c r="L97" i="12"/>
  <c r="I97" i="12"/>
  <c r="E97" i="12"/>
  <c r="D97" i="12"/>
  <c r="R96" i="12"/>
  <c r="T96" i="12" s="1"/>
  <c r="P96" i="12"/>
  <c r="N96" i="12"/>
  <c r="L96" i="12"/>
  <c r="I96" i="12" s="1"/>
  <c r="E96" i="12"/>
  <c r="D96" i="12"/>
  <c r="R95" i="12"/>
  <c r="T95" i="12" s="1"/>
  <c r="P95" i="12"/>
  <c r="N95" i="12"/>
  <c r="L95" i="12"/>
  <c r="I95" i="12"/>
  <c r="E95" i="12"/>
  <c r="D95" i="12"/>
  <c r="A95" i="12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R94" i="12"/>
  <c r="T94" i="12" s="1"/>
  <c r="P94" i="12"/>
  <c r="N94" i="12"/>
  <c r="L94" i="12"/>
  <c r="I94" i="12"/>
  <c r="E94" i="12"/>
  <c r="D94" i="12"/>
  <c r="R93" i="12"/>
  <c r="T93" i="12" s="1"/>
  <c r="P93" i="12"/>
  <c r="N93" i="12"/>
  <c r="L93" i="12"/>
  <c r="I93" i="12" s="1"/>
  <c r="E93" i="12"/>
  <c r="D93" i="12"/>
  <c r="R92" i="12"/>
  <c r="T92" i="12" s="1"/>
  <c r="P92" i="12"/>
  <c r="N92" i="12"/>
  <c r="L92" i="12"/>
  <c r="I92" i="12" s="1"/>
  <c r="E92" i="12"/>
  <c r="D92" i="12"/>
  <c r="Q91" i="12"/>
  <c r="O91" i="12"/>
  <c r="O12" i="12" s="1"/>
  <c r="O11" i="12" s="1"/>
  <c r="L91" i="12"/>
  <c r="L12" i="12" s="1"/>
  <c r="R90" i="12"/>
  <c r="T90" i="12" s="1"/>
  <c r="Q90" i="12"/>
  <c r="P90" i="12"/>
  <c r="O90" i="12"/>
  <c r="N90" i="12"/>
  <c r="F90" i="12"/>
  <c r="E90" i="12"/>
  <c r="D90" i="12"/>
  <c r="R89" i="12"/>
  <c r="T89" i="12" s="1"/>
  <c r="Q89" i="12"/>
  <c r="P89" i="12"/>
  <c r="O89" i="12"/>
  <c r="N89" i="12"/>
  <c r="F89" i="12"/>
  <c r="E89" i="12"/>
  <c r="D89" i="12"/>
  <c r="R88" i="12"/>
  <c r="T88" i="12" s="1"/>
  <c r="Q88" i="12"/>
  <c r="P88" i="12"/>
  <c r="O88" i="12"/>
  <c r="N88" i="12"/>
  <c r="F88" i="12"/>
  <c r="E88" i="12"/>
  <c r="D88" i="12"/>
  <c r="R87" i="12"/>
  <c r="T87" i="12" s="1"/>
  <c r="Q87" i="12"/>
  <c r="P87" i="12"/>
  <c r="O87" i="12"/>
  <c r="N87" i="12"/>
  <c r="F87" i="12"/>
  <c r="E87" i="12"/>
  <c r="D87" i="12"/>
  <c r="R86" i="12"/>
  <c r="Q86" i="12"/>
  <c r="P86" i="12"/>
  <c r="O86" i="12"/>
  <c r="N86" i="12"/>
  <c r="F86" i="12"/>
  <c r="E86" i="12"/>
  <c r="D86" i="12"/>
  <c r="R85" i="12"/>
  <c r="T85" i="12" s="1"/>
  <c r="Q85" i="12"/>
  <c r="P85" i="12"/>
  <c r="O85" i="12"/>
  <c r="N85" i="12"/>
  <c r="F85" i="12"/>
  <c r="E85" i="12"/>
  <c r="D85" i="12"/>
  <c r="R84" i="12"/>
  <c r="Q84" i="12"/>
  <c r="P84" i="12"/>
  <c r="O84" i="12"/>
  <c r="N84" i="12"/>
  <c r="F84" i="12"/>
  <c r="E84" i="12"/>
  <c r="D84" i="12"/>
  <c r="R83" i="12"/>
  <c r="T83" i="12" s="1"/>
  <c r="Q83" i="12"/>
  <c r="P83" i="12"/>
  <c r="O83" i="12"/>
  <c r="N83" i="12"/>
  <c r="F83" i="12"/>
  <c r="E83" i="12"/>
  <c r="D83" i="12"/>
  <c r="R82" i="12"/>
  <c r="T82" i="12" s="1"/>
  <c r="Q82" i="12"/>
  <c r="P82" i="12"/>
  <c r="O82" i="12"/>
  <c r="N82" i="12"/>
  <c r="F82" i="12"/>
  <c r="E82" i="12"/>
  <c r="D82" i="12"/>
  <c r="R81" i="12"/>
  <c r="T81" i="12" s="1"/>
  <c r="Q81" i="12"/>
  <c r="P81" i="12"/>
  <c r="O81" i="12"/>
  <c r="N81" i="12"/>
  <c r="F81" i="12"/>
  <c r="E81" i="12"/>
  <c r="D81" i="12"/>
  <c r="R80" i="12"/>
  <c r="T80" i="12" s="1"/>
  <c r="Q80" i="12"/>
  <c r="P80" i="12"/>
  <c r="O80" i="12"/>
  <c r="N80" i="12"/>
  <c r="F80" i="12"/>
  <c r="E80" i="12"/>
  <c r="D80" i="12"/>
  <c r="R79" i="12"/>
  <c r="T79" i="12" s="1"/>
  <c r="Q79" i="12"/>
  <c r="P79" i="12"/>
  <c r="O79" i="12"/>
  <c r="N79" i="12"/>
  <c r="F79" i="12"/>
  <c r="E79" i="12"/>
  <c r="D79" i="12"/>
  <c r="R78" i="12"/>
  <c r="T78" i="12" s="1"/>
  <c r="Q78" i="12"/>
  <c r="P78" i="12"/>
  <c r="O78" i="12"/>
  <c r="N78" i="12"/>
  <c r="F78" i="12"/>
  <c r="E78" i="12"/>
  <c r="D78" i="12"/>
  <c r="R77" i="12"/>
  <c r="T77" i="12" s="1"/>
  <c r="Q77" i="12"/>
  <c r="P77" i="12"/>
  <c r="O77" i="12"/>
  <c r="N77" i="12"/>
  <c r="F77" i="12"/>
  <c r="E77" i="12"/>
  <c r="D77" i="12"/>
  <c r="S76" i="12"/>
  <c r="R75" i="12"/>
  <c r="T75" i="12" s="1"/>
  <c r="Q75" i="12"/>
  <c r="P75" i="12"/>
  <c r="O75" i="12"/>
  <c r="N75" i="12"/>
  <c r="F75" i="12"/>
  <c r="E75" i="12"/>
  <c r="D75" i="12"/>
  <c r="R74" i="12"/>
  <c r="T74" i="12" s="1"/>
  <c r="Q74" i="12"/>
  <c r="P74" i="12"/>
  <c r="O74" i="12"/>
  <c r="N74" i="12"/>
  <c r="F74" i="12"/>
  <c r="E74" i="12"/>
  <c r="D74" i="12"/>
  <c r="R73" i="12"/>
  <c r="T73" i="12" s="1"/>
  <c r="Q73" i="12"/>
  <c r="P73" i="12"/>
  <c r="O73" i="12"/>
  <c r="N73" i="12"/>
  <c r="F73" i="12"/>
  <c r="E73" i="12"/>
  <c r="D73" i="12"/>
  <c r="R72" i="12"/>
  <c r="T72" i="12" s="1"/>
  <c r="Q72" i="12"/>
  <c r="P72" i="12"/>
  <c r="O72" i="12"/>
  <c r="N72" i="12"/>
  <c r="F72" i="12"/>
  <c r="E72" i="12"/>
  <c r="D72" i="12"/>
  <c r="R71" i="12"/>
  <c r="T71" i="12" s="1"/>
  <c r="Q71" i="12"/>
  <c r="P71" i="12"/>
  <c r="O71" i="12"/>
  <c r="N71" i="12"/>
  <c r="F71" i="12"/>
  <c r="E71" i="12"/>
  <c r="D71" i="12"/>
  <c r="R70" i="12"/>
  <c r="T70" i="12" s="1"/>
  <c r="Q70" i="12"/>
  <c r="P70" i="12"/>
  <c r="O70" i="12"/>
  <c r="N70" i="12"/>
  <c r="F70" i="12"/>
  <c r="E70" i="12"/>
  <c r="D70" i="12"/>
  <c r="R69" i="12"/>
  <c r="Q69" i="12"/>
  <c r="P69" i="12"/>
  <c r="O69" i="12"/>
  <c r="N69" i="12"/>
  <c r="F69" i="12"/>
  <c r="E69" i="12"/>
  <c r="D69" i="12"/>
  <c r="R68" i="12"/>
  <c r="T68" i="12" s="1"/>
  <c r="Q68" i="12"/>
  <c r="P68" i="12"/>
  <c r="O68" i="12"/>
  <c r="N68" i="12"/>
  <c r="F68" i="12"/>
  <c r="E68" i="12"/>
  <c r="D68" i="12"/>
  <c r="R67" i="12"/>
  <c r="T67" i="12" s="1"/>
  <c r="Q67" i="12"/>
  <c r="P67" i="12"/>
  <c r="O67" i="12"/>
  <c r="N67" i="12"/>
  <c r="F67" i="12"/>
  <c r="E67" i="12"/>
  <c r="D67" i="12"/>
  <c r="R66" i="12"/>
  <c r="T66" i="12" s="1"/>
  <c r="Q66" i="12"/>
  <c r="P66" i="12"/>
  <c r="O66" i="12"/>
  <c r="N66" i="12"/>
  <c r="F66" i="12"/>
  <c r="E66" i="12"/>
  <c r="D66" i="12"/>
  <c r="R65" i="12"/>
  <c r="T65" i="12" s="1"/>
  <c r="Q65" i="12"/>
  <c r="P65" i="12"/>
  <c r="O65" i="12"/>
  <c r="N65" i="12"/>
  <c r="F65" i="12"/>
  <c r="E65" i="12"/>
  <c r="D65" i="12"/>
  <c r="R64" i="12"/>
  <c r="T64" i="12" s="1"/>
  <c r="Q64" i="12"/>
  <c r="P64" i="12"/>
  <c r="O64" i="12"/>
  <c r="N64" i="12"/>
  <c r="F64" i="12"/>
  <c r="E64" i="12"/>
  <c r="D64" i="12"/>
  <c r="R63" i="12"/>
  <c r="T63" i="12" s="1"/>
  <c r="Q63" i="12"/>
  <c r="P63" i="12"/>
  <c r="O63" i="12"/>
  <c r="N63" i="12"/>
  <c r="F63" i="12"/>
  <c r="E63" i="12"/>
  <c r="D63" i="12"/>
  <c r="R62" i="12"/>
  <c r="T62" i="12" s="1"/>
  <c r="Q62" i="12"/>
  <c r="P62" i="12"/>
  <c r="O62" i="12"/>
  <c r="N62" i="12"/>
  <c r="F62" i="12"/>
  <c r="E62" i="12"/>
  <c r="D62" i="12"/>
  <c r="R61" i="12"/>
  <c r="Q61" i="12"/>
  <c r="P61" i="12"/>
  <c r="O61" i="12"/>
  <c r="N61" i="12"/>
  <c r="F61" i="12"/>
  <c r="E61" i="12"/>
  <c r="D61" i="12"/>
  <c r="R60" i="12"/>
  <c r="T60" i="12" s="1"/>
  <c r="Q60" i="12"/>
  <c r="P60" i="12"/>
  <c r="O60" i="12"/>
  <c r="N60" i="12"/>
  <c r="F60" i="12"/>
  <c r="E60" i="12"/>
  <c r="D60" i="12"/>
  <c r="R59" i="12"/>
  <c r="T59" i="12" s="1"/>
  <c r="Q59" i="12"/>
  <c r="P59" i="12"/>
  <c r="O59" i="12"/>
  <c r="N59" i="12"/>
  <c r="F59" i="12"/>
  <c r="E59" i="12"/>
  <c r="D59" i="12"/>
  <c r="R58" i="12"/>
  <c r="T58" i="12" s="1"/>
  <c r="Q58" i="12"/>
  <c r="P58" i="12"/>
  <c r="O58" i="12"/>
  <c r="N58" i="12"/>
  <c r="F58" i="12"/>
  <c r="E58" i="12"/>
  <c r="D58" i="12"/>
  <c r="R57" i="12"/>
  <c r="T57" i="12" s="1"/>
  <c r="Q57" i="12"/>
  <c r="P57" i="12"/>
  <c r="O57" i="12"/>
  <c r="N57" i="12"/>
  <c r="F57" i="12"/>
  <c r="E57" i="12"/>
  <c r="D57" i="12"/>
  <c r="R56" i="12"/>
  <c r="T56" i="12" s="1"/>
  <c r="Q56" i="12"/>
  <c r="P56" i="12"/>
  <c r="O56" i="12"/>
  <c r="N56" i="12"/>
  <c r="F56" i="12"/>
  <c r="E56" i="12"/>
  <c r="D56" i="12"/>
  <c r="R55" i="12"/>
  <c r="Q55" i="12"/>
  <c r="P55" i="12"/>
  <c r="O55" i="12"/>
  <c r="N55" i="12"/>
  <c r="F55" i="12"/>
  <c r="E55" i="12"/>
  <c r="D55" i="12"/>
  <c r="S54" i="12"/>
  <c r="R53" i="12"/>
  <c r="T53" i="12" s="1"/>
  <c r="Q53" i="12"/>
  <c r="P53" i="12"/>
  <c r="O53" i="12"/>
  <c r="N53" i="12"/>
  <c r="F53" i="12"/>
  <c r="E53" i="12"/>
  <c r="D53" i="12"/>
  <c r="R52" i="12"/>
  <c r="T52" i="12" s="1"/>
  <c r="Q52" i="12"/>
  <c r="P52" i="12"/>
  <c r="O52" i="12"/>
  <c r="N52" i="12"/>
  <c r="F52" i="12"/>
  <c r="E52" i="12"/>
  <c r="D52" i="12"/>
  <c r="R51" i="12"/>
  <c r="T51" i="12" s="1"/>
  <c r="Q51" i="12"/>
  <c r="P51" i="12"/>
  <c r="O51" i="12"/>
  <c r="N51" i="12"/>
  <c r="F51" i="12"/>
  <c r="E51" i="12"/>
  <c r="D51" i="12"/>
  <c r="R50" i="12"/>
  <c r="T50" i="12" s="1"/>
  <c r="Q50" i="12"/>
  <c r="P50" i="12"/>
  <c r="O50" i="12"/>
  <c r="N50" i="12"/>
  <c r="F50" i="12"/>
  <c r="E50" i="12"/>
  <c r="D50" i="12"/>
  <c r="R49" i="12"/>
  <c r="T49" i="12" s="1"/>
  <c r="Q49" i="12"/>
  <c r="P49" i="12"/>
  <c r="O49" i="12"/>
  <c r="N49" i="12"/>
  <c r="F49" i="12"/>
  <c r="E49" i="12"/>
  <c r="D49" i="12"/>
  <c r="R48" i="12"/>
  <c r="T48" i="12" s="1"/>
  <c r="Q48" i="12"/>
  <c r="P48" i="12"/>
  <c r="O48" i="12"/>
  <c r="N48" i="12"/>
  <c r="F48" i="12"/>
  <c r="E48" i="12"/>
  <c r="D48" i="12"/>
  <c r="R47" i="12"/>
  <c r="T47" i="12" s="1"/>
  <c r="Q47" i="12"/>
  <c r="P47" i="12"/>
  <c r="O47" i="12"/>
  <c r="N47" i="12"/>
  <c r="F47" i="12"/>
  <c r="E47" i="12"/>
  <c r="D47" i="12"/>
  <c r="R46" i="12"/>
  <c r="Q46" i="12"/>
  <c r="P46" i="12"/>
  <c r="O46" i="12"/>
  <c r="N46" i="12"/>
  <c r="F46" i="12"/>
  <c r="E46" i="12"/>
  <c r="D46" i="12"/>
  <c r="R45" i="12"/>
  <c r="T45" i="12" s="1"/>
  <c r="Q45" i="12"/>
  <c r="P45" i="12"/>
  <c r="O45" i="12"/>
  <c r="N45" i="12"/>
  <c r="F45" i="12"/>
  <c r="E45" i="12"/>
  <c r="D45" i="12"/>
  <c r="R44" i="12"/>
  <c r="T44" i="12" s="1"/>
  <c r="Q44" i="12"/>
  <c r="P44" i="12"/>
  <c r="O44" i="12"/>
  <c r="N44" i="12"/>
  <c r="F44" i="12"/>
  <c r="E44" i="12"/>
  <c r="D44" i="12"/>
  <c r="R43" i="12"/>
  <c r="T43" i="12" s="1"/>
  <c r="Q43" i="12"/>
  <c r="P43" i="12"/>
  <c r="O43" i="12"/>
  <c r="N43" i="12"/>
  <c r="F43" i="12"/>
  <c r="E43" i="12"/>
  <c r="D43" i="12"/>
  <c r="R42" i="12"/>
  <c r="T42" i="12" s="1"/>
  <c r="Q42" i="12"/>
  <c r="P42" i="12"/>
  <c r="O42" i="12"/>
  <c r="N42" i="12"/>
  <c r="F42" i="12"/>
  <c r="E42" i="12"/>
  <c r="D42" i="12"/>
  <c r="R41" i="12"/>
  <c r="T41" i="12" s="1"/>
  <c r="Q41" i="12"/>
  <c r="P41" i="12"/>
  <c r="O41" i="12"/>
  <c r="N41" i="12"/>
  <c r="F41" i="12"/>
  <c r="E41" i="12"/>
  <c r="D41" i="12"/>
  <c r="R40" i="12"/>
  <c r="T40" i="12" s="1"/>
  <c r="Q40" i="12"/>
  <c r="P40" i="12"/>
  <c r="O40" i="12"/>
  <c r="N40" i="12"/>
  <c r="F40" i="12"/>
  <c r="E40" i="12"/>
  <c r="D40" i="12"/>
  <c r="R39" i="12"/>
  <c r="T39" i="12" s="1"/>
  <c r="Q39" i="12"/>
  <c r="P39" i="12"/>
  <c r="O39" i="12"/>
  <c r="N39" i="12"/>
  <c r="F39" i="12"/>
  <c r="E39" i="12"/>
  <c r="D39" i="12"/>
  <c r="R38" i="12"/>
  <c r="Q38" i="12"/>
  <c r="P38" i="12"/>
  <c r="O38" i="12"/>
  <c r="N38" i="12"/>
  <c r="F38" i="12"/>
  <c r="E38" i="12"/>
  <c r="D38" i="12"/>
  <c r="R37" i="12"/>
  <c r="T37" i="12" s="1"/>
  <c r="Q37" i="12"/>
  <c r="P37" i="12"/>
  <c r="O37" i="12"/>
  <c r="N37" i="12"/>
  <c r="F37" i="12"/>
  <c r="E37" i="12"/>
  <c r="D37" i="12"/>
  <c r="R36" i="12"/>
  <c r="T36" i="12" s="1"/>
  <c r="Q36" i="12"/>
  <c r="P36" i="12"/>
  <c r="O36" i="12"/>
  <c r="N36" i="12"/>
  <c r="F36" i="12"/>
  <c r="E36" i="12"/>
  <c r="D36" i="12"/>
  <c r="R35" i="12"/>
  <c r="T35" i="12" s="1"/>
  <c r="Q35" i="12"/>
  <c r="P35" i="12"/>
  <c r="O35" i="12"/>
  <c r="N35" i="12"/>
  <c r="F35" i="12"/>
  <c r="E35" i="12"/>
  <c r="D35" i="12"/>
  <c r="R34" i="12"/>
  <c r="T34" i="12" s="1"/>
  <c r="Q34" i="12"/>
  <c r="P34" i="12"/>
  <c r="O34" i="12"/>
  <c r="N34" i="12"/>
  <c r="F34" i="12"/>
  <c r="E34" i="12"/>
  <c r="D34" i="12"/>
  <c r="S33" i="12"/>
  <c r="R32" i="12"/>
  <c r="T32" i="12" s="1"/>
  <c r="Q32" i="12"/>
  <c r="P32" i="12"/>
  <c r="O32" i="12"/>
  <c r="N32" i="12"/>
  <c r="F32" i="12"/>
  <c r="E32" i="12"/>
  <c r="D32" i="12"/>
  <c r="R31" i="12"/>
  <c r="Q31" i="12"/>
  <c r="P31" i="12"/>
  <c r="O31" i="12"/>
  <c r="N31" i="12"/>
  <c r="F31" i="12"/>
  <c r="E31" i="12"/>
  <c r="D31" i="12"/>
  <c r="R30" i="12"/>
  <c r="T30" i="12" s="1"/>
  <c r="Q30" i="12"/>
  <c r="P30" i="12"/>
  <c r="O30" i="12"/>
  <c r="N30" i="12"/>
  <c r="F30" i="12"/>
  <c r="E30" i="12"/>
  <c r="D30" i="12"/>
  <c r="R29" i="12"/>
  <c r="T29" i="12" s="1"/>
  <c r="Q29" i="12"/>
  <c r="P29" i="12"/>
  <c r="O29" i="12"/>
  <c r="N29" i="12"/>
  <c r="F29" i="12"/>
  <c r="E29" i="12"/>
  <c r="D29" i="12"/>
  <c r="R28" i="12"/>
  <c r="T28" i="12" s="1"/>
  <c r="Q28" i="12"/>
  <c r="P28" i="12"/>
  <c r="O28" i="12"/>
  <c r="N28" i="12"/>
  <c r="F28" i="12"/>
  <c r="E28" i="12"/>
  <c r="D28" i="12"/>
  <c r="R27" i="12"/>
  <c r="T27" i="12" s="1"/>
  <c r="Q27" i="12"/>
  <c r="P27" i="12"/>
  <c r="O27" i="12"/>
  <c r="N27" i="12"/>
  <c r="F27" i="12"/>
  <c r="E27" i="12"/>
  <c r="D27" i="12"/>
  <c r="R26" i="12"/>
  <c r="T26" i="12" s="1"/>
  <c r="Q26" i="12"/>
  <c r="P26" i="12"/>
  <c r="O26" i="12"/>
  <c r="N26" i="12"/>
  <c r="F26" i="12"/>
  <c r="E26" i="12"/>
  <c r="D26" i="12"/>
  <c r="R25" i="12"/>
  <c r="T25" i="12" s="1"/>
  <c r="Q25" i="12"/>
  <c r="P25" i="12"/>
  <c r="O25" i="12"/>
  <c r="N25" i="12"/>
  <c r="F25" i="12"/>
  <c r="E25" i="12"/>
  <c r="D25" i="12"/>
  <c r="R24" i="12"/>
  <c r="T24" i="12" s="1"/>
  <c r="Q24" i="12"/>
  <c r="P24" i="12"/>
  <c r="O24" i="12"/>
  <c r="N24" i="12"/>
  <c r="F24" i="12"/>
  <c r="E24" i="12"/>
  <c r="D24" i="12"/>
  <c r="R23" i="12"/>
  <c r="Q23" i="12"/>
  <c r="P23" i="12"/>
  <c r="O23" i="12"/>
  <c r="N23" i="12"/>
  <c r="F23" i="12"/>
  <c r="E23" i="12"/>
  <c r="D23" i="12"/>
  <c r="R22" i="12"/>
  <c r="T22" i="12" s="1"/>
  <c r="Q22" i="12"/>
  <c r="P22" i="12"/>
  <c r="O22" i="12"/>
  <c r="N22" i="12"/>
  <c r="F22" i="12"/>
  <c r="E22" i="12"/>
  <c r="D22" i="12"/>
  <c r="R21" i="12"/>
  <c r="T21" i="12" s="1"/>
  <c r="Q21" i="12"/>
  <c r="P21" i="12"/>
  <c r="O21" i="12"/>
  <c r="N21" i="12"/>
  <c r="F21" i="12"/>
  <c r="E21" i="12"/>
  <c r="D21" i="12"/>
  <c r="R20" i="12"/>
  <c r="T20" i="12" s="1"/>
  <c r="Q20" i="12"/>
  <c r="P20" i="12"/>
  <c r="O20" i="12"/>
  <c r="N20" i="12"/>
  <c r="F20" i="12"/>
  <c r="E20" i="12"/>
  <c r="D20" i="12"/>
  <c r="R19" i="12"/>
  <c r="T19" i="12" s="1"/>
  <c r="Q19" i="12"/>
  <c r="P19" i="12"/>
  <c r="O19" i="12"/>
  <c r="N19" i="12"/>
  <c r="F19" i="12"/>
  <c r="E19" i="12"/>
  <c r="D19" i="12"/>
  <c r="R18" i="12"/>
  <c r="T18" i="12" s="1"/>
  <c r="Q18" i="12"/>
  <c r="P18" i="12"/>
  <c r="O18" i="12"/>
  <c r="N18" i="12"/>
  <c r="F18" i="12"/>
  <c r="E18" i="12"/>
  <c r="D18" i="12"/>
  <c r="R17" i="12"/>
  <c r="T17" i="12" s="1"/>
  <c r="Q17" i="12"/>
  <c r="P17" i="12"/>
  <c r="O17" i="12"/>
  <c r="N17" i="12"/>
  <c r="F17" i="12"/>
  <c r="E17" i="12"/>
  <c r="D17" i="12"/>
  <c r="R16" i="12"/>
  <c r="T16" i="12" s="1"/>
  <c r="Q16" i="12"/>
  <c r="P16" i="12"/>
  <c r="O16" i="12"/>
  <c r="N16" i="12"/>
  <c r="F16" i="12"/>
  <c r="E16" i="12"/>
  <c r="D16" i="12"/>
  <c r="S15" i="12"/>
  <c r="S14" i="12"/>
  <c r="R14" i="12"/>
  <c r="Q14" i="12"/>
  <c r="P14" i="12"/>
  <c r="O14" i="12"/>
  <c r="K14" i="12"/>
  <c r="M14" i="12" s="1"/>
  <c r="G14" i="12"/>
  <c r="S13" i="12"/>
  <c r="O13" i="12"/>
  <c r="Q12" i="12"/>
  <c r="AR114" i="11"/>
  <c r="AP114" i="11"/>
  <c r="AN114" i="11"/>
  <c r="AI114" i="11"/>
  <c r="AF114" i="11"/>
  <c r="AE114" i="11"/>
  <c r="AH114" i="11" s="1"/>
  <c r="Z114" i="11"/>
  <c r="W114" i="11"/>
  <c r="AA114" i="11" s="1"/>
  <c r="V114" i="11"/>
  <c r="Y114" i="11" s="1"/>
  <c r="O114" i="11"/>
  <c r="S114" i="11" s="1"/>
  <c r="N114" i="11"/>
  <c r="E114" i="11"/>
  <c r="D114" i="11"/>
  <c r="AR113" i="11"/>
  <c r="AP113" i="11"/>
  <c r="AN113" i="11"/>
  <c r="AI113" i="11"/>
  <c r="AF113" i="11"/>
  <c r="AJ113" i="11" s="1"/>
  <c r="AE113" i="11"/>
  <c r="AH113" i="11" s="1"/>
  <c r="Z113" i="11"/>
  <c r="W113" i="11"/>
  <c r="AA113" i="11" s="1"/>
  <c r="V113" i="11"/>
  <c r="Y113" i="11" s="1"/>
  <c r="O113" i="11"/>
  <c r="N113" i="11"/>
  <c r="E113" i="11"/>
  <c r="D113" i="11"/>
  <c r="AR112" i="11"/>
  <c r="AP112" i="11"/>
  <c r="AN112" i="11"/>
  <c r="AI112" i="11"/>
  <c r="AF112" i="11"/>
  <c r="AJ112" i="11" s="1"/>
  <c r="AE112" i="11"/>
  <c r="AH112" i="11" s="1"/>
  <c r="Z112" i="11"/>
  <c r="W112" i="11"/>
  <c r="AA112" i="11" s="1"/>
  <c r="V112" i="11"/>
  <c r="Y112" i="11" s="1"/>
  <c r="O112" i="11"/>
  <c r="N112" i="11"/>
  <c r="E112" i="11"/>
  <c r="D112" i="11"/>
  <c r="AR111" i="11"/>
  <c r="AP111" i="11"/>
  <c r="AN111" i="11"/>
  <c r="AI111" i="11"/>
  <c r="AF111" i="11"/>
  <c r="AJ111" i="11" s="1"/>
  <c r="AE111" i="11"/>
  <c r="AH111" i="11" s="1"/>
  <c r="Z111" i="11"/>
  <c r="W111" i="11"/>
  <c r="V111" i="11"/>
  <c r="O111" i="11"/>
  <c r="S111" i="11" s="1"/>
  <c r="N111" i="11"/>
  <c r="Q111" i="11" s="1"/>
  <c r="E111" i="11"/>
  <c r="D111" i="11"/>
  <c r="A111" i="11"/>
  <c r="A112" i="11" s="1"/>
  <c r="AR110" i="11"/>
  <c r="AP110" i="11"/>
  <c r="AN110" i="11"/>
  <c r="AI110" i="11"/>
  <c r="AF110" i="11"/>
  <c r="AJ110" i="11" s="1"/>
  <c r="AE110" i="11"/>
  <c r="AH110" i="11" s="1"/>
  <c r="Z110" i="11"/>
  <c r="W110" i="11"/>
  <c r="AA110" i="11" s="1"/>
  <c r="V110" i="11"/>
  <c r="Y110" i="11" s="1"/>
  <c r="O110" i="11"/>
  <c r="N110" i="11"/>
  <c r="Q110" i="11" s="1"/>
  <c r="E110" i="11"/>
  <c r="D110" i="11"/>
  <c r="A110" i="11"/>
  <c r="AR109" i="11"/>
  <c r="AP109" i="11"/>
  <c r="AN109" i="11"/>
  <c r="AI109" i="11"/>
  <c r="AF109" i="11"/>
  <c r="AJ109" i="11" s="1"/>
  <c r="AE109" i="11"/>
  <c r="AH109" i="11" s="1"/>
  <c r="Z109" i="11"/>
  <c r="W109" i="11"/>
  <c r="AA109" i="11" s="1"/>
  <c r="V109" i="11"/>
  <c r="Y109" i="11" s="1"/>
  <c r="O109" i="11"/>
  <c r="N109" i="11"/>
  <c r="E109" i="11"/>
  <c r="D109" i="11"/>
  <c r="AR108" i="11"/>
  <c r="AP108" i="11"/>
  <c r="AN108" i="11"/>
  <c r="AI108" i="11"/>
  <c r="AF108" i="11"/>
  <c r="AJ108" i="11" s="1"/>
  <c r="AE108" i="11"/>
  <c r="Z108" i="11"/>
  <c r="W108" i="11"/>
  <c r="AA108" i="11" s="1"/>
  <c r="V108" i="11"/>
  <c r="Y108" i="11" s="1"/>
  <c r="O108" i="11"/>
  <c r="N108" i="11"/>
  <c r="E108" i="11"/>
  <c r="D108" i="11"/>
  <c r="AR107" i="11"/>
  <c r="AP107" i="11"/>
  <c r="AN107" i="11"/>
  <c r="AI107" i="11"/>
  <c r="AF107" i="11"/>
  <c r="AE107" i="11"/>
  <c r="AH107" i="11" s="1"/>
  <c r="Z107" i="11"/>
  <c r="W107" i="11"/>
  <c r="V107" i="11"/>
  <c r="O107" i="11"/>
  <c r="S107" i="11" s="1"/>
  <c r="N107" i="11"/>
  <c r="Q107" i="11" s="1"/>
  <c r="E107" i="11"/>
  <c r="D107" i="11"/>
  <c r="AS106" i="11"/>
  <c r="AQ106" i="11"/>
  <c r="AL106" i="11"/>
  <c r="AK106" i="11"/>
  <c r="AG106" i="11"/>
  <c r="AG13" i="11" s="1"/>
  <c r="AD106" i="11"/>
  <c r="AC106" i="11"/>
  <c r="AB106" i="11"/>
  <c r="AB13" i="11" s="1"/>
  <c r="X106" i="11"/>
  <c r="U106" i="11"/>
  <c r="T106" i="11"/>
  <c r="R106" i="11"/>
  <c r="P106" i="11"/>
  <c r="L106" i="11"/>
  <c r="J106" i="11"/>
  <c r="J13" i="11" s="1"/>
  <c r="F106" i="11"/>
  <c r="AR105" i="11"/>
  <c r="AP105" i="11"/>
  <c r="AN105" i="11"/>
  <c r="AI105" i="11"/>
  <c r="AF105" i="11"/>
  <c r="AJ105" i="11" s="1"/>
  <c r="AE105" i="11"/>
  <c r="AH105" i="11" s="1"/>
  <c r="Z105" i="11"/>
  <c r="W105" i="11"/>
  <c r="AA105" i="11" s="1"/>
  <c r="V105" i="11"/>
  <c r="Y105" i="11" s="1"/>
  <c r="O105" i="11"/>
  <c r="S105" i="11" s="1"/>
  <c r="N105" i="11"/>
  <c r="E105" i="11"/>
  <c r="D105" i="11"/>
  <c r="AR104" i="11"/>
  <c r="AP104" i="11"/>
  <c r="AN104" i="11"/>
  <c r="AI104" i="11"/>
  <c r="AF104" i="11"/>
  <c r="AJ104" i="11" s="1"/>
  <c r="AE104" i="11"/>
  <c r="AH104" i="11" s="1"/>
  <c r="Z104" i="11"/>
  <c r="W104" i="11"/>
  <c r="V104" i="11"/>
  <c r="Y104" i="11" s="1"/>
  <c r="O104" i="11"/>
  <c r="S104" i="11" s="1"/>
  <c r="N104" i="11"/>
  <c r="Q104" i="11" s="1"/>
  <c r="E104" i="11"/>
  <c r="D104" i="11"/>
  <c r="AR103" i="11"/>
  <c r="AP103" i="11"/>
  <c r="AN103" i="11"/>
  <c r="AI103" i="11"/>
  <c r="AF103" i="11"/>
  <c r="AJ103" i="11" s="1"/>
  <c r="AE103" i="11"/>
  <c r="AH103" i="11" s="1"/>
  <c r="Z103" i="11"/>
  <c r="W103" i="11"/>
  <c r="AA103" i="11" s="1"/>
  <c r="V103" i="11"/>
  <c r="Y103" i="11" s="1"/>
  <c r="O103" i="11"/>
  <c r="S103" i="11" s="1"/>
  <c r="N103" i="11"/>
  <c r="E103" i="11"/>
  <c r="D103" i="11"/>
  <c r="AR102" i="11"/>
  <c r="AP102" i="11"/>
  <c r="AN102" i="11"/>
  <c r="AI102" i="11"/>
  <c r="AF102" i="11"/>
  <c r="AJ102" i="11" s="1"/>
  <c r="AE102" i="11"/>
  <c r="AH102" i="11" s="1"/>
  <c r="Z102" i="11"/>
  <c r="W102" i="11"/>
  <c r="AA102" i="11" s="1"/>
  <c r="V102" i="11"/>
  <c r="Y102" i="11" s="1"/>
  <c r="O102" i="11"/>
  <c r="S102" i="11" s="1"/>
  <c r="N102" i="11"/>
  <c r="Q102" i="11" s="1"/>
  <c r="E102" i="11"/>
  <c r="D102" i="11"/>
  <c r="AR101" i="11"/>
  <c r="AP101" i="11"/>
  <c r="AN101" i="11"/>
  <c r="AI101" i="11"/>
  <c r="AF101" i="11"/>
  <c r="AJ101" i="11" s="1"/>
  <c r="AE101" i="11"/>
  <c r="AH101" i="11" s="1"/>
  <c r="Z101" i="11"/>
  <c r="W101" i="11"/>
  <c r="AA101" i="11" s="1"/>
  <c r="V101" i="11"/>
  <c r="Y101" i="11" s="1"/>
  <c r="O101" i="11"/>
  <c r="S101" i="11" s="1"/>
  <c r="N101" i="11"/>
  <c r="E101" i="11"/>
  <c r="D101" i="11"/>
  <c r="AR100" i="11"/>
  <c r="AP100" i="11"/>
  <c r="AN100" i="11"/>
  <c r="AI100" i="11"/>
  <c r="AF100" i="11"/>
  <c r="AJ100" i="11" s="1"/>
  <c r="AE100" i="11"/>
  <c r="AH100" i="11" s="1"/>
  <c r="Z100" i="11"/>
  <c r="W100" i="11"/>
  <c r="AA100" i="11" s="1"/>
  <c r="V100" i="11"/>
  <c r="Y100" i="11" s="1"/>
  <c r="O100" i="11"/>
  <c r="S100" i="11" s="1"/>
  <c r="N100" i="11"/>
  <c r="Q100" i="11" s="1"/>
  <c r="E100" i="11"/>
  <c r="D100" i="11"/>
  <c r="AR99" i="11"/>
  <c r="AP99" i="11"/>
  <c r="AN99" i="11"/>
  <c r="AI99" i="11"/>
  <c r="AF99" i="11"/>
  <c r="AJ99" i="11" s="1"/>
  <c r="AE99" i="11"/>
  <c r="AH99" i="11" s="1"/>
  <c r="Z99" i="11"/>
  <c r="W99" i="11"/>
  <c r="AA99" i="11" s="1"/>
  <c r="V99" i="11"/>
  <c r="Y99" i="11" s="1"/>
  <c r="O99" i="11"/>
  <c r="S99" i="11" s="1"/>
  <c r="N99" i="11"/>
  <c r="E99" i="11"/>
  <c r="D99" i="11"/>
  <c r="AR98" i="11"/>
  <c r="AP98" i="11"/>
  <c r="AN98" i="11"/>
  <c r="AI98" i="11"/>
  <c r="AF98" i="11"/>
  <c r="AJ98" i="11" s="1"/>
  <c r="AE98" i="11"/>
  <c r="AH98" i="11" s="1"/>
  <c r="Z98" i="11"/>
  <c r="W98" i="11"/>
  <c r="AA98" i="11" s="1"/>
  <c r="V98" i="11"/>
  <c r="Y98" i="11" s="1"/>
  <c r="O98" i="11"/>
  <c r="S98" i="11" s="1"/>
  <c r="N98" i="11"/>
  <c r="Q98" i="11" s="1"/>
  <c r="F98" i="11"/>
  <c r="F91" i="11" s="1"/>
  <c r="F12" i="11" s="1"/>
  <c r="F11" i="11" s="1"/>
  <c r="E98" i="11"/>
  <c r="D98" i="11"/>
  <c r="AR97" i="11"/>
  <c r="AP97" i="11"/>
  <c r="AN97" i="11"/>
  <c r="AI97" i="11"/>
  <c r="AF97" i="11"/>
  <c r="AJ97" i="11" s="1"/>
  <c r="AE97" i="11"/>
  <c r="Z97" i="11"/>
  <c r="W97" i="11"/>
  <c r="AA97" i="11" s="1"/>
  <c r="V97" i="11"/>
  <c r="Y97" i="11" s="1"/>
  <c r="O97" i="11"/>
  <c r="N97" i="11"/>
  <c r="Q97" i="11" s="1"/>
  <c r="E97" i="11"/>
  <c r="D97" i="11"/>
  <c r="AR96" i="11"/>
  <c r="AP96" i="11"/>
  <c r="AN96" i="11"/>
  <c r="AI96" i="11"/>
  <c r="AF96" i="11"/>
  <c r="AJ96" i="11" s="1"/>
  <c r="AE96" i="11"/>
  <c r="AH96" i="11" s="1"/>
  <c r="Z96" i="11"/>
  <c r="W96" i="11"/>
  <c r="AA96" i="11" s="1"/>
  <c r="V96" i="11"/>
  <c r="Y96" i="11" s="1"/>
  <c r="O96" i="11"/>
  <c r="N96" i="11"/>
  <c r="E96" i="11"/>
  <c r="D96" i="11"/>
  <c r="AR95" i="11"/>
  <c r="AP95" i="11"/>
  <c r="AN95" i="11"/>
  <c r="AI95" i="11"/>
  <c r="AF95" i="11"/>
  <c r="AJ95" i="11" s="1"/>
  <c r="AE95" i="11"/>
  <c r="Z95" i="11"/>
  <c r="W95" i="11"/>
  <c r="AA95" i="11" s="1"/>
  <c r="V95" i="11"/>
  <c r="Y95" i="11" s="1"/>
  <c r="O95" i="11"/>
  <c r="N95" i="11"/>
  <c r="Q95" i="11" s="1"/>
  <c r="E95" i="11"/>
  <c r="D95" i="11"/>
  <c r="A95" i="1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R94" i="11"/>
  <c r="AP94" i="11"/>
  <c r="AN94" i="11"/>
  <c r="AI94" i="11"/>
  <c r="AF94" i="11"/>
  <c r="AE94" i="11"/>
  <c r="AH94" i="11" s="1"/>
  <c r="Z94" i="11"/>
  <c r="W94" i="11"/>
  <c r="AA94" i="11" s="1"/>
  <c r="V94" i="11"/>
  <c r="O94" i="11"/>
  <c r="S94" i="11" s="1"/>
  <c r="N94" i="11"/>
  <c r="E94" i="11"/>
  <c r="D94" i="11"/>
  <c r="AR93" i="11"/>
  <c r="AP93" i="11"/>
  <c r="AN93" i="11"/>
  <c r="AI93" i="11"/>
  <c r="AF93" i="11"/>
  <c r="AJ93" i="11" s="1"/>
  <c r="AE93" i="11"/>
  <c r="Z93" i="11"/>
  <c r="W93" i="11"/>
  <c r="AA93" i="11" s="1"/>
  <c r="V93" i="11"/>
  <c r="Y93" i="11" s="1"/>
  <c r="O93" i="11"/>
  <c r="N93" i="11"/>
  <c r="E93" i="11"/>
  <c r="D93" i="11"/>
  <c r="AR92" i="11"/>
  <c r="AP92" i="11"/>
  <c r="AN92" i="11"/>
  <c r="AI92" i="11"/>
  <c r="AF92" i="11"/>
  <c r="AJ92" i="11" s="1"/>
  <c r="AE92" i="11"/>
  <c r="AH92" i="11" s="1"/>
  <c r="Z92" i="11"/>
  <c r="W92" i="11"/>
  <c r="AA92" i="11" s="1"/>
  <c r="V92" i="11"/>
  <c r="Y92" i="11" s="1"/>
  <c r="O92" i="11"/>
  <c r="S92" i="11" s="1"/>
  <c r="N92" i="11"/>
  <c r="E92" i="11"/>
  <c r="D92" i="11"/>
  <c r="AS91" i="11"/>
  <c r="AQ91" i="11"/>
  <c r="AQ12" i="11" s="1"/>
  <c r="AL91" i="11"/>
  <c r="AK91" i="11"/>
  <c r="AG91" i="11"/>
  <c r="AG12" i="11" s="1"/>
  <c r="AD91" i="11"/>
  <c r="AD12" i="11" s="1"/>
  <c r="AC91" i="11"/>
  <c r="AB91" i="11"/>
  <c r="X91" i="11"/>
  <c r="U91" i="11"/>
  <c r="T91" i="11"/>
  <c r="T12" i="11" s="1"/>
  <c r="R91" i="11"/>
  <c r="P91" i="11"/>
  <c r="L91" i="11"/>
  <c r="J91" i="11"/>
  <c r="AS90" i="11"/>
  <c r="AR90" i="11"/>
  <c r="AQ90" i="11"/>
  <c r="AP90" i="11"/>
  <c r="AN90" i="11"/>
  <c r="AL90" i="11"/>
  <c r="AK90" i="11"/>
  <c r="AI90" i="11"/>
  <c r="AG90" i="11"/>
  <c r="AF90" i="11"/>
  <c r="AE90" i="11"/>
  <c r="AD90" i="11"/>
  <c r="AC90" i="11"/>
  <c r="AB90" i="11"/>
  <c r="Z90" i="11"/>
  <c r="X90" i="11"/>
  <c r="W90" i="11"/>
  <c r="V90" i="11"/>
  <c r="Y90" i="11" s="1"/>
  <c r="U90" i="11"/>
  <c r="T90" i="11"/>
  <c r="R90" i="11"/>
  <c r="P90" i="11"/>
  <c r="O90" i="11"/>
  <c r="N90" i="11"/>
  <c r="F90" i="11"/>
  <c r="E90" i="11"/>
  <c r="D90" i="11"/>
  <c r="AS89" i="11"/>
  <c r="AR89" i="11"/>
  <c r="AQ89" i="11"/>
  <c r="AP89" i="11"/>
  <c r="AN89" i="11"/>
  <c r="AL89" i="11"/>
  <c r="AK89" i="11"/>
  <c r="AI89" i="11"/>
  <c r="AG89" i="11"/>
  <c r="AF89" i="11"/>
  <c r="AE89" i="11"/>
  <c r="AD89" i="11"/>
  <c r="AC89" i="11"/>
  <c r="AB89" i="11"/>
  <c r="Z89" i="11"/>
  <c r="X89" i="11"/>
  <c r="W89" i="11"/>
  <c r="AA89" i="11" s="1"/>
  <c r="V89" i="11"/>
  <c r="Y89" i="11" s="1"/>
  <c r="U89" i="11"/>
  <c r="T89" i="11"/>
  <c r="R89" i="11"/>
  <c r="P89" i="11"/>
  <c r="O89" i="11"/>
  <c r="N89" i="11"/>
  <c r="F89" i="11"/>
  <c r="E89" i="11"/>
  <c r="D89" i="11"/>
  <c r="AS88" i="11"/>
  <c r="AR88" i="11"/>
  <c r="AQ88" i="11"/>
  <c r="AP88" i="11"/>
  <c r="AN88" i="11"/>
  <c r="AL88" i="11"/>
  <c r="AK88" i="11"/>
  <c r="AI88" i="11"/>
  <c r="AG88" i="11"/>
  <c r="AF88" i="11"/>
  <c r="AE88" i="11"/>
  <c r="AD88" i="11"/>
  <c r="AC88" i="11"/>
  <c r="AB88" i="11"/>
  <c r="Z88" i="11"/>
  <c r="X88" i="11"/>
  <c r="W88" i="11"/>
  <c r="V88" i="11"/>
  <c r="U88" i="11"/>
  <c r="T88" i="11"/>
  <c r="R88" i="11"/>
  <c r="P88" i="11"/>
  <c r="O88" i="11"/>
  <c r="N88" i="11"/>
  <c r="Q88" i="11" s="1"/>
  <c r="F88" i="11"/>
  <c r="E88" i="11"/>
  <c r="D88" i="11"/>
  <c r="AS87" i="11"/>
  <c r="AR87" i="11"/>
  <c r="AQ87" i="11"/>
  <c r="AP87" i="11"/>
  <c r="AN87" i="11"/>
  <c r="AL87" i="11"/>
  <c r="AK87" i="11"/>
  <c r="AI87" i="11"/>
  <c r="AG87" i="11"/>
  <c r="AF87" i="11"/>
  <c r="AE87" i="11"/>
  <c r="AD87" i="11"/>
  <c r="AC87" i="11"/>
  <c r="AB87" i="11"/>
  <c r="Z87" i="11"/>
  <c r="X87" i="11"/>
  <c r="W87" i="11"/>
  <c r="V87" i="11"/>
  <c r="U87" i="11"/>
  <c r="T87" i="11"/>
  <c r="R87" i="11"/>
  <c r="P87" i="11"/>
  <c r="O87" i="11"/>
  <c r="N87" i="11"/>
  <c r="F87" i="11"/>
  <c r="E87" i="11"/>
  <c r="D87" i="11"/>
  <c r="AS86" i="11"/>
  <c r="AR86" i="11"/>
  <c r="AQ86" i="11"/>
  <c r="AP86" i="11"/>
  <c r="AN86" i="11"/>
  <c r="AL86" i="11"/>
  <c r="AK86" i="11"/>
  <c r="AI86" i="11"/>
  <c r="AG86" i="11"/>
  <c r="AF86" i="11"/>
  <c r="AE86" i="11"/>
  <c r="AD86" i="11"/>
  <c r="AC86" i="11"/>
  <c r="AB86" i="11"/>
  <c r="Z86" i="11"/>
  <c r="X86" i="11"/>
  <c r="W86" i="11"/>
  <c r="V86" i="11"/>
  <c r="U86" i="11"/>
  <c r="T86" i="11"/>
  <c r="R86" i="11"/>
  <c r="P86" i="11"/>
  <c r="O86" i="11"/>
  <c r="N86" i="11"/>
  <c r="F86" i="11"/>
  <c r="E86" i="11"/>
  <c r="D86" i="11"/>
  <c r="AS85" i="11"/>
  <c r="AR85" i="11"/>
  <c r="AQ85" i="11"/>
  <c r="AP85" i="11"/>
  <c r="AN85" i="11"/>
  <c r="AL85" i="11"/>
  <c r="AK85" i="11"/>
  <c r="AI85" i="11"/>
  <c r="AG85" i="11"/>
  <c r="AF85" i="11"/>
  <c r="AE85" i="11"/>
  <c r="AD85" i="11"/>
  <c r="AC85" i="11"/>
  <c r="AB85" i="11"/>
  <c r="Z85" i="11"/>
  <c r="X85" i="11"/>
  <c r="W85" i="11"/>
  <c r="V85" i="11"/>
  <c r="U85" i="11"/>
  <c r="T85" i="11"/>
  <c r="R85" i="11"/>
  <c r="P85" i="11"/>
  <c r="O85" i="11"/>
  <c r="N85" i="11"/>
  <c r="F85" i="11"/>
  <c r="E85" i="11"/>
  <c r="D85" i="11"/>
  <c r="AS84" i="11"/>
  <c r="AR84" i="11"/>
  <c r="AQ84" i="11"/>
  <c r="AP84" i="11"/>
  <c r="AN84" i="11"/>
  <c r="AL84" i="11"/>
  <c r="AK84" i="11"/>
  <c r="AI84" i="11"/>
  <c r="AG84" i="11"/>
  <c r="AF84" i="11"/>
  <c r="AE84" i="11"/>
  <c r="AD84" i="11"/>
  <c r="AC84" i="11"/>
  <c r="AB84" i="11"/>
  <c r="Z84" i="11"/>
  <c r="X84" i="11"/>
  <c r="W84" i="11"/>
  <c r="V84" i="11"/>
  <c r="U84" i="11"/>
  <c r="T84" i="11"/>
  <c r="R84" i="11"/>
  <c r="P84" i="11"/>
  <c r="O84" i="11"/>
  <c r="N84" i="11"/>
  <c r="F84" i="11"/>
  <c r="E84" i="11"/>
  <c r="D84" i="11"/>
  <c r="AS83" i="11"/>
  <c r="AR83" i="11"/>
  <c r="AQ83" i="11"/>
  <c r="AP83" i="11"/>
  <c r="AN83" i="11"/>
  <c r="AL83" i="11"/>
  <c r="AK83" i="11"/>
  <c r="AI83" i="11"/>
  <c r="AG83" i="11"/>
  <c r="AF83" i="11"/>
  <c r="AE83" i="11"/>
  <c r="AD83" i="11"/>
  <c r="AC83" i="11"/>
  <c r="AB83" i="11"/>
  <c r="Z83" i="11"/>
  <c r="X83" i="11"/>
  <c r="W83" i="11"/>
  <c r="V83" i="11"/>
  <c r="U83" i="11"/>
  <c r="T83" i="11"/>
  <c r="R83" i="11"/>
  <c r="P83" i="11"/>
  <c r="O83" i="11"/>
  <c r="N83" i="11"/>
  <c r="F83" i="11"/>
  <c r="E83" i="11"/>
  <c r="D83" i="11"/>
  <c r="AS82" i="11"/>
  <c r="AR82" i="11"/>
  <c r="AQ82" i="11"/>
  <c r="AP82" i="11"/>
  <c r="AN82" i="11"/>
  <c r="AL82" i="11"/>
  <c r="AK82" i="11"/>
  <c r="AI82" i="11"/>
  <c r="AG82" i="11"/>
  <c r="AF82" i="11"/>
  <c r="AE82" i="11"/>
  <c r="AD82" i="11"/>
  <c r="AC82" i="11"/>
  <c r="AB82" i="11"/>
  <c r="Z82" i="11"/>
  <c r="X82" i="11"/>
  <c r="W82" i="11"/>
  <c r="V82" i="11"/>
  <c r="U82" i="11"/>
  <c r="T82" i="11"/>
  <c r="R82" i="11"/>
  <c r="P82" i="11"/>
  <c r="O82" i="11"/>
  <c r="N82" i="11"/>
  <c r="F82" i="11"/>
  <c r="E82" i="11"/>
  <c r="D82" i="11"/>
  <c r="AS81" i="11"/>
  <c r="AR81" i="11"/>
  <c r="AQ81" i="11"/>
  <c r="AP81" i="11"/>
  <c r="AN81" i="11"/>
  <c r="AL81" i="11"/>
  <c r="AK81" i="11"/>
  <c r="AI81" i="11"/>
  <c r="AG81" i="11"/>
  <c r="AF81" i="11"/>
  <c r="AE81" i="11"/>
  <c r="AD81" i="11"/>
  <c r="AC81" i="11"/>
  <c r="AB81" i="11"/>
  <c r="Z81" i="11"/>
  <c r="X81" i="11"/>
  <c r="W81" i="11"/>
  <c r="V81" i="11"/>
  <c r="U81" i="11"/>
  <c r="T81" i="11"/>
  <c r="R81" i="11"/>
  <c r="P81" i="11"/>
  <c r="O81" i="11"/>
  <c r="N81" i="11"/>
  <c r="F81" i="11"/>
  <c r="E81" i="11"/>
  <c r="D81" i="11"/>
  <c r="AS80" i="11"/>
  <c r="AR80" i="11"/>
  <c r="AQ80" i="11"/>
  <c r="AP80" i="11"/>
  <c r="AN80" i="11"/>
  <c r="AL80" i="11"/>
  <c r="AK80" i="11"/>
  <c r="AI80" i="11"/>
  <c r="AG80" i="11"/>
  <c r="AF80" i="11"/>
  <c r="AE80" i="11"/>
  <c r="AD80" i="11"/>
  <c r="AC80" i="11"/>
  <c r="AB80" i="11"/>
  <c r="Z80" i="11"/>
  <c r="X80" i="11"/>
  <c r="W80" i="11"/>
  <c r="V80" i="11"/>
  <c r="U80" i="11"/>
  <c r="T80" i="11"/>
  <c r="R80" i="11"/>
  <c r="P80" i="11"/>
  <c r="O80" i="11"/>
  <c r="N80" i="11"/>
  <c r="Q80" i="11" s="1"/>
  <c r="F80" i="11"/>
  <c r="E80" i="11"/>
  <c r="D80" i="11"/>
  <c r="AS79" i="11"/>
  <c r="AR79" i="11"/>
  <c r="AQ79" i="11"/>
  <c r="AP79" i="11"/>
  <c r="AN79" i="11"/>
  <c r="AL79" i="11"/>
  <c r="AK79" i="11"/>
  <c r="AI79" i="11"/>
  <c r="AG79" i="11"/>
  <c r="AF79" i="11"/>
  <c r="AE79" i="11"/>
  <c r="AD79" i="11"/>
  <c r="AC79" i="11"/>
  <c r="AB79" i="11"/>
  <c r="Z79" i="11"/>
  <c r="X79" i="11"/>
  <c r="W79" i="11"/>
  <c r="V79" i="11"/>
  <c r="U79" i="11"/>
  <c r="T79" i="11"/>
  <c r="R79" i="11"/>
  <c r="P79" i="11"/>
  <c r="O79" i="11"/>
  <c r="N79" i="11"/>
  <c r="F79" i="11"/>
  <c r="E79" i="11"/>
  <c r="D79" i="11"/>
  <c r="AS78" i="11"/>
  <c r="AR78" i="11"/>
  <c r="AQ78" i="11"/>
  <c r="AP78" i="11"/>
  <c r="AN78" i="11"/>
  <c r="AL78" i="11"/>
  <c r="AK78" i="11"/>
  <c r="AI78" i="11"/>
  <c r="AG78" i="11"/>
  <c r="AF78" i="11"/>
  <c r="AE78" i="11"/>
  <c r="AD78" i="11"/>
  <c r="AC78" i="11"/>
  <c r="AB78" i="11"/>
  <c r="Z78" i="11"/>
  <c r="X78" i="11"/>
  <c r="W78" i="11"/>
  <c r="V78" i="11"/>
  <c r="U78" i="11"/>
  <c r="T78" i="11"/>
  <c r="R78" i="11"/>
  <c r="P78" i="11"/>
  <c r="O78" i="11"/>
  <c r="N78" i="11"/>
  <c r="F78" i="11"/>
  <c r="E78" i="11"/>
  <c r="D78" i="11"/>
  <c r="AS77" i="11"/>
  <c r="AR77" i="11"/>
  <c r="AQ77" i="11"/>
  <c r="AP77" i="11"/>
  <c r="AN77" i="11"/>
  <c r="AL77" i="11"/>
  <c r="AK77" i="11"/>
  <c r="AI77" i="11"/>
  <c r="AG77" i="11"/>
  <c r="AF77" i="11"/>
  <c r="AE77" i="11"/>
  <c r="AD77" i="11"/>
  <c r="AC77" i="11"/>
  <c r="AB77" i="11"/>
  <c r="Z77" i="11"/>
  <c r="X77" i="11"/>
  <c r="W77" i="11"/>
  <c r="V77" i="11"/>
  <c r="U77" i="11"/>
  <c r="T77" i="11"/>
  <c r="R77" i="11"/>
  <c r="P77" i="11"/>
  <c r="O77" i="11"/>
  <c r="N77" i="11"/>
  <c r="F77" i="11"/>
  <c r="E77" i="11"/>
  <c r="D77" i="11"/>
  <c r="AS75" i="11"/>
  <c r="AR75" i="11"/>
  <c r="AQ75" i="11"/>
  <c r="AP75" i="11"/>
  <c r="AN75" i="11"/>
  <c r="AL75" i="11"/>
  <c r="AK75" i="11"/>
  <c r="AI75" i="11"/>
  <c r="AG75" i="11"/>
  <c r="AF75" i="11"/>
  <c r="AE75" i="11"/>
  <c r="AD75" i="11"/>
  <c r="AC75" i="11"/>
  <c r="AB75" i="11"/>
  <c r="Z75" i="11"/>
  <c r="X75" i="11"/>
  <c r="W75" i="11"/>
  <c r="AA75" i="11" s="1"/>
  <c r="V75" i="11"/>
  <c r="Y75" i="11" s="1"/>
  <c r="U75" i="11"/>
  <c r="T75" i="11"/>
  <c r="R75" i="11"/>
  <c r="P75" i="11"/>
  <c r="O75" i="11"/>
  <c r="N75" i="11"/>
  <c r="F75" i="11"/>
  <c r="E75" i="11"/>
  <c r="D75" i="11"/>
  <c r="AS74" i="11"/>
  <c r="AR74" i="11"/>
  <c r="AQ74" i="11"/>
  <c r="AP74" i="11"/>
  <c r="AN74" i="11"/>
  <c r="AL74" i="11"/>
  <c r="AK74" i="11"/>
  <c r="AI74" i="11"/>
  <c r="AG74" i="11"/>
  <c r="AF74" i="11"/>
  <c r="AE74" i="11"/>
  <c r="AD74" i="11"/>
  <c r="AC74" i="11"/>
  <c r="AB74" i="11"/>
  <c r="Z74" i="11"/>
  <c r="X74" i="11"/>
  <c r="W74" i="11"/>
  <c r="V74" i="11"/>
  <c r="U74" i="11"/>
  <c r="T74" i="11"/>
  <c r="R74" i="11"/>
  <c r="P74" i="11"/>
  <c r="O74" i="11"/>
  <c r="S74" i="11" s="1"/>
  <c r="N74" i="11"/>
  <c r="F74" i="11"/>
  <c r="E74" i="11"/>
  <c r="D74" i="11"/>
  <c r="AS73" i="11"/>
  <c r="AR73" i="11"/>
  <c r="AQ73" i="11"/>
  <c r="AP73" i="11"/>
  <c r="AN73" i="11"/>
  <c r="AL73" i="11"/>
  <c r="AK73" i="11"/>
  <c r="AI73" i="11"/>
  <c r="AG73" i="11"/>
  <c r="AF73" i="11"/>
  <c r="AE73" i="11"/>
  <c r="AD73" i="11"/>
  <c r="AC73" i="11"/>
  <c r="AB73" i="11"/>
  <c r="Z73" i="11"/>
  <c r="X73" i="11"/>
  <c r="W73" i="11"/>
  <c r="V73" i="11"/>
  <c r="U73" i="11"/>
  <c r="T73" i="11"/>
  <c r="R73" i="11"/>
  <c r="P73" i="11"/>
  <c r="O73" i="11"/>
  <c r="S73" i="11" s="1"/>
  <c r="N73" i="11"/>
  <c r="F73" i="11"/>
  <c r="E73" i="11"/>
  <c r="D73" i="11"/>
  <c r="AS72" i="11"/>
  <c r="AR72" i="11"/>
  <c r="AQ72" i="11"/>
  <c r="AP72" i="11"/>
  <c r="AN72" i="11"/>
  <c r="AL72" i="11"/>
  <c r="AK72" i="11"/>
  <c r="AI72" i="11"/>
  <c r="AG72" i="11"/>
  <c r="AF72" i="11"/>
  <c r="AE72" i="11"/>
  <c r="AD72" i="11"/>
  <c r="AC72" i="11"/>
  <c r="AB72" i="11"/>
  <c r="Z72" i="11"/>
  <c r="X72" i="11"/>
  <c r="W72" i="11"/>
  <c r="V72" i="11"/>
  <c r="U72" i="11"/>
  <c r="T72" i="11"/>
  <c r="R72" i="11"/>
  <c r="P72" i="11"/>
  <c r="O72" i="11"/>
  <c r="N72" i="11"/>
  <c r="Q72" i="11" s="1"/>
  <c r="F72" i="11"/>
  <c r="E72" i="11"/>
  <c r="D72" i="11"/>
  <c r="AS71" i="11"/>
  <c r="AR71" i="11"/>
  <c r="AQ71" i="11"/>
  <c r="AP71" i="11"/>
  <c r="AN71" i="11"/>
  <c r="AL71" i="11"/>
  <c r="AK71" i="11"/>
  <c r="AI71" i="11"/>
  <c r="AG71" i="11"/>
  <c r="AF71" i="11"/>
  <c r="AE71" i="11"/>
  <c r="AD71" i="11"/>
  <c r="AC71" i="11"/>
  <c r="AB71" i="11"/>
  <c r="Z71" i="11"/>
  <c r="X71" i="11"/>
  <c r="W71" i="11"/>
  <c r="V71" i="11"/>
  <c r="U71" i="11"/>
  <c r="T71" i="11"/>
  <c r="R71" i="11"/>
  <c r="P71" i="11"/>
  <c r="O71" i="11"/>
  <c r="N71" i="11"/>
  <c r="F71" i="11"/>
  <c r="E71" i="11"/>
  <c r="D71" i="11"/>
  <c r="AS70" i="11"/>
  <c r="AR70" i="11"/>
  <c r="AQ70" i="11"/>
  <c r="AP70" i="11"/>
  <c r="AN70" i="11"/>
  <c r="AL70" i="11"/>
  <c r="AK70" i="11"/>
  <c r="AI70" i="11"/>
  <c r="AG70" i="11"/>
  <c r="AF70" i="11"/>
  <c r="AE70" i="11"/>
  <c r="AD70" i="11"/>
  <c r="AC70" i="11"/>
  <c r="AB70" i="11"/>
  <c r="Z70" i="11"/>
  <c r="X70" i="11"/>
  <c r="W70" i="11"/>
  <c r="V70" i="11"/>
  <c r="U70" i="11"/>
  <c r="T70" i="11"/>
  <c r="R70" i="11"/>
  <c r="P70" i="11"/>
  <c r="O70" i="11"/>
  <c r="N70" i="11"/>
  <c r="F70" i="11"/>
  <c r="E70" i="11"/>
  <c r="D70" i="11"/>
  <c r="AS69" i="11"/>
  <c r="AR69" i="11"/>
  <c r="AQ69" i="11"/>
  <c r="AP69" i="11"/>
  <c r="AN69" i="11"/>
  <c r="AL69" i="11"/>
  <c r="AK69" i="11"/>
  <c r="AI69" i="11"/>
  <c r="AG69" i="11"/>
  <c r="AF69" i="11"/>
  <c r="AE69" i="11"/>
  <c r="AD69" i="11"/>
  <c r="AC69" i="11"/>
  <c r="AB69" i="11"/>
  <c r="Z69" i="11"/>
  <c r="X69" i="11"/>
  <c r="W69" i="11"/>
  <c r="V69" i="11"/>
  <c r="U69" i="11"/>
  <c r="T69" i="11"/>
  <c r="R69" i="11"/>
  <c r="P69" i="11"/>
  <c r="O69" i="11"/>
  <c r="N69" i="11"/>
  <c r="F69" i="11"/>
  <c r="E69" i="11"/>
  <c r="D69" i="11"/>
  <c r="AS68" i="11"/>
  <c r="AR68" i="11"/>
  <c r="AQ68" i="11"/>
  <c r="AP68" i="11"/>
  <c r="AN68" i="11"/>
  <c r="AL68" i="11"/>
  <c r="AK68" i="11"/>
  <c r="AI68" i="11"/>
  <c r="AG68" i="11"/>
  <c r="AF68" i="11"/>
  <c r="AE68" i="11"/>
  <c r="AD68" i="11"/>
  <c r="AC68" i="11"/>
  <c r="AB68" i="11"/>
  <c r="Z68" i="11"/>
  <c r="X68" i="11"/>
  <c r="W68" i="11"/>
  <c r="V68" i="11"/>
  <c r="U68" i="11"/>
  <c r="T68" i="11"/>
  <c r="R68" i="11"/>
  <c r="P68" i="11"/>
  <c r="O68" i="11"/>
  <c r="N68" i="11"/>
  <c r="F68" i="11"/>
  <c r="E68" i="11"/>
  <c r="D68" i="11"/>
  <c r="AS67" i="11"/>
  <c r="AR67" i="11"/>
  <c r="AQ67" i="11"/>
  <c r="AP67" i="11"/>
  <c r="AN67" i="11"/>
  <c r="AL67" i="11"/>
  <c r="AK67" i="11"/>
  <c r="AI67" i="11"/>
  <c r="AG67" i="11"/>
  <c r="AF67" i="11"/>
  <c r="AE67" i="11"/>
  <c r="AD67" i="11"/>
  <c r="AC67" i="11"/>
  <c r="AB67" i="11"/>
  <c r="Z67" i="11"/>
  <c r="X67" i="11"/>
  <c r="W67" i="11"/>
  <c r="V67" i="11"/>
  <c r="U67" i="11"/>
  <c r="T67" i="11"/>
  <c r="R67" i="11"/>
  <c r="P67" i="11"/>
  <c r="O67" i="11"/>
  <c r="N67" i="11"/>
  <c r="F67" i="11"/>
  <c r="E67" i="11"/>
  <c r="D67" i="11"/>
  <c r="AS66" i="11"/>
  <c r="AR66" i="11"/>
  <c r="AQ66" i="11"/>
  <c r="AP66" i="11"/>
  <c r="AN66" i="11"/>
  <c r="AL66" i="11"/>
  <c r="AK66" i="11"/>
  <c r="AI66" i="11"/>
  <c r="AG66" i="11"/>
  <c r="AF66" i="11"/>
  <c r="AE66" i="11"/>
  <c r="AD66" i="11"/>
  <c r="AC66" i="11"/>
  <c r="AB66" i="11"/>
  <c r="Z66" i="11"/>
  <c r="X66" i="11"/>
  <c r="W66" i="11"/>
  <c r="V66" i="11"/>
  <c r="U66" i="11"/>
  <c r="T66" i="11"/>
  <c r="R66" i="11"/>
  <c r="P66" i="11"/>
  <c r="O66" i="11"/>
  <c r="S66" i="11" s="1"/>
  <c r="N66" i="11"/>
  <c r="F66" i="11"/>
  <c r="E66" i="11"/>
  <c r="D66" i="11"/>
  <c r="AS65" i="11"/>
  <c r="AR65" i="11"/>
  <c r="AQ65" i="11"/>
  <c r="AP65" i="11"/>
  <c r="AN65" i="11"/>
  <c r="AL65" i="11"/>
  <c r="AK65" i="11"/>
  <c r="AI65" i="11"/>
  <c r="AG65" i="11"/>
  <c r="AF65" i="11"/>
  <c r="AE65" i="11"/>
  <c r="AD65" i="11"/>
  <c r="AC65" i="11"/>
  <c r="AB65" i="11"/>
  <c r="Z65" i="11"/>
  <c r="X65" i="11"/>
  <c r="W65" i="11"/>
  <c r="V65" i="11"/>
  <c r="U65" i="11"/>
  <c r="T65" i="11"/>
  <c r="R65" i="11"/>
  <c r="P65" i="11"/>
  <c r="O65" i="11"/>
  <c r="N65" i="11"/>
  <c r="F65" i="11"/>
  <c r="E65" i="11"/>
  <c r="D65" i="11"/>
  <c r="AS64" i="11"/>
  <c r="AR64" i="11"/>
  <c r="AQ64" i="11"/>
  <c r="AP64" i="11"/>
  <c r="AN64" i="11"/>
  <c r="AL64" i="11"/>
  <c r="AK64" i="11"/>
  <c r="AI64" i="11"/>
  <c r="AG64" i="11"/>
  <c r="AF64" i="11"/>
  <c r="AE64" i="11"/>
  <c r="AD64" i="11"/>
  <c r="AC64" i="11"/>
  <c r="AB64" i="11"/>
  <c r="Z64" i="11"/>
  <c r="X64" i="11"/>
  <c r="W64" i="11"/>
  <c r="V64" i="11"/>
  <c r="U64" i="11"/>
  <c r="T64" i="11"/>
  <c r="R64" i="11"/>
  <c r="P64" i="11"/>
  <c r="O64" i="11"/>
  <c r="N64" i="11"/>
  <c r="Q64" i="11" s="1"/>
  <c r="F64" i="11"/>
  <c r="E64" i="11"/>
  <c r="D64" i="11"/>
  <c r="AS63" i="11"/>
  <c r="AR63" i="11"/>
  <c r="AQ63" i="11"/>
  <c r="AP63" i="11"/>
  <c r="AN63" i="11"/>
  <c r="AL63" i="11"/>
  <c r="AK63" i="11"/>
  <c r="AI63" i="11"/>
  <c r="AG63" i="11"/>
  <c r="AF63" i="11"/>
  <c r="AE63" i="11"/>
  <c r="AD63" i="11"/>
  <c r="AC63" i="11"/>
  <c r="AB63" i="11"/>
  <c r="Z63" i="11"/>
  <c r="X63" i="11"/>
  <c r="W63" i="11"/>
  <c r="V63" i="11"/>
  <c r="U63" i="11"/>
  <c r="T63" i="11"/>
  <c r="R63" i="11"/>
  <c r="P63" i="11"/>
  <c r="O63" i="11"/>
  <c r="N63" i="11"/>
  <c r="F63" i="11"/>
  <c r="E63" i="11"/>
  <c r="D63" i="11"/>
  <c r="AS62" i="11"/>
  <c r="AR62" i="11"/>
  <c r="AQ62" i="11"/>
  <c r="AP62" i="11"/>
  <c r="AN62" i="11"/>
  <c r="AL62" i="11"/>
  <c r="AK62" i="11"/>
  <c r="AI62" i="11"/>
  <c r="AG62" i="11"/>
  <c r="AF62" i="11"/>
  <c r="AE62" i="11"/>
  <c r="AD62" i="11"/>
  <c r="AC62" i="11"/>
  <c r="AB62" i="11"/>
  <c r="Z62" i="11"/>
  <c r="X62" i="11"/>
  <c r="W62" i="11"/>
  <c r="V62" i="11"/>
  <c r="U62" i="11"/>
  <c r="T62" i="11"/>
  <c r="R62" i="11"/>
  <c r="P62" i="11"/>
  <c r="O62" i="11"/>
  <c r="S62" i="11" s="1"/>
  <c r="N62" i="11"/>
  <c r="Q62" i="11" s="1"/>
  <c r="F62" i="11"/>
  <c r="E62" i="11"/>
  <c r="D62" i="11"/>
  <c r="AS61" i="11"/>
  <c r="AR61" i="11"/>
  <c r="AQ61" i="11"/>
  <c r="AP61" i="11"/>
  <c r="AN61" i="11"/>
  <c r="AL61" i="11"/>
  <c r="AK61" i="11"/>
  <c r="AI61" i="11"/>
  <c r="AG61" i="11"/>
  <c r="AF61" i="11"/>
  <c r="AE61" i="11"/>
  <c r="AD61" i="11"/>
  <c r="AC61" i="11"/>
  <c r="AB61" i="11"/>
  <c r="Z61" i="11"/>
  <c r="X61" i="11"/>
  <c r="W61" i="11"/>
  <c r="V61" i="11"/>
  <c r="U61" i="11"/>
  <c r="T61" i="11"/>
  <c r="R61" i="11"/>
  <c r="P61" i="11"/>
  <c r="O61" i="11"/>
  <c r="N61" i="11"/>
  <c r="F61" i="11"/>
  <c r="E61" i="11"/>
  <c r="D61" i="11"/>
  <c r="AS60" i="11"/>
  <c r="AR60" i="11"/>
  <c r="AQ60" i="11"/>
  <c r="AP60" i="11"/>
  <c r="AN60" i="11"/>
  <c r="AL60" i="11"/>
  <c r="AK60" i="11"/>
  <c r="AI60" i="11"/>
  <c r="AG60" i="11"/>
  <c r="AF60" i="11"/>
  <c r="AE60" i="11"/>
  <c r="AD60" i="11"/>
  <c r="AC60" i="11"/>
  <c r="AB60" i="11"/>
  <c r="Z60" i="11"/>
  <c r="X60" i="11"/>
  <c r="W60" i="11"/>
  <c r="V60" i="11"/>
  <c r="U60" i="11"/>
  <c r="T60" i="11"/>
  <c r="R60" i="11"/>
  <c r="P60" i="11"/>
  <c r="O60" i="11"/>
  <c r="N60" i="11"/>
  <c r="F60" i="11"/>
  <c r="E60" i="11"/>
  <c r="D60" i="11"/>
  <c r="AS59" i="11"/>
  <c r="AR59" i="11"/>
  <c r="AQ59" i="11"/>
  <c r="AP59" i="11"/>
  <c r="AN59" i="11"/>
  <c r="AL59" i="11"/>
  <c r="AK59" i="11"/>
  <c r="AI59" i="11"/>
  <c r="AG59" i="11"/>
  <c r="AF59" i="11"/>
  <c r="AE59" i="11"/>
  <c r="AD59" i="11"/>
  <c r="AC59" i="11"/>
  <c r="AB59" i="11"/>
  <c r="Z59" i="11"/>
  <c r="X59" i="11"/>
  <c r="W59" i="11"/>
  <c r="V59" i="11"/>
  <c r="U59" i="11"/>
  <c r="T59" i="11"/>
  <c r="R59" i="11"/>
  <c r="P59" i="11"/>
  <c r="O59" i="11"/>
  <c r="N59" i="11"/>
  <c r="F59" i="11"/>
  <c r="E59" i="11"/>
  <c r="D59" i="11"/>
  <c r="AS58" i="11"/>
  <c r="AR58" i="11"/>
  <c r="AQ58" i="11"/>
  <c r="AP58" i="11"/>
  <c r="AN58" i="11"/>
  <c r="AL58" i="11"/>
  <c r="AK58" i="11"/>
  <c r="AI58" i="11"/>
  <c r="AG58" i="11"/>
  <c r="AF58" i="11"/>
  <c r="AE58" i="11"/>
  <c r="AD58" i="11"/>
  <c r="AC58" i="11"/>
  <c r="AB58" i="11"/>
  <c r="Z58" i="11"/>
  <c r="X58" i="11"/>
  <c r="W58" i="11"/>
  <c r="V58" i="11"/>
  <c r="U58" i="11"/>
  <c r="T58" i="11"/>
  <c r="R58" i="11"/>
  <c r="P58" i="11"/>
  <c r="O58" i="11"/>
  <c r="N58" i="11"/>
  <c r="F58" i="11"/>
  <c r="E58" i="11"/>
  <c r="D58" i="11"/>
  <c r="AS57" i="11"/>
  <c r="AR57" i="11"/>
  <c r="AQ57" i="11"/>
  <c r="AP57" i="11"/>
  <c r="AN57" i="11"/>
  <c r="AL57" i="11"/>
  <c r="AK57" i="11"/>
  <c r="AI57" i="11"/>
  <c r="AG57" i="11"/>
  <c r="AF57" i="11"/>
  <c r="AE57" i="11"/>
  <c r="AD57" i="11"/>
  <c r="AC57" i="11"/>
  <c r="AB57" i="11"/>
  <c r="Z57" i="11"/>
  <c r="X57" i="11"/>
  <c r="W57" i="11"/>
  <c r="V57" i="11"/>
  <c r="U57" i="11"/>
  <c r="T57" i="11"/>
  <c r="R57" i="11"/>
  <c r="P57" i="11"/>
  <c r="O57" i="11"/>
  <c r="N57" i="11"/>
  <c r="F57" i="11"/>
  <c r="E57" i="11"/>
  <c r="D57" i="11"/>
  <c r="AS56" i="11"/>
  <c r="AR56" i="11"/>
  <c r="AQ56" i="11"/>
  <c r="AP56" i="11"/>
  <c r="AN56" i="11"/>
  <c r="AL56" i="11"/>
  <c r="AK56" i="11"/>
  <c r="AI56" i="11"/>
  <c r="AG56" i="11"/>
  <c r="AF56" i="11"/>
  <c r="AE56" i="11"/>
  <c r="AD56" i="11"/>
  <c r="AC56" i="11"/>
  <c r="AB56" i="11"/>
  <c r="Z56" i="11"/>
  <c r="X56" i="11"/>
  <c r="W56" i="11"/>
  <c r="V56" i="11"/>
  <c r="U56" i="11"/>
  <c r="T56" i="11"/>
  <c r="R56" i="11"/>
  <c r="P56" i="11"/>
  <c r="O56" i="11"/>
  <c r="N56" i="11"/>
  <c r="F56" i="11"/>
  <c r="E56" i="11"/>
  <c r="D56" i="11"/>
  <c r="AS55" i="11"/>
  <c r="AR55" i="11"/>
  <c r="AQ55" i="11"/>
  <c r="AP55" i="11"/>
  <c r="AN55" i="11"/>
  <c r="AL55" i="11"/>
  <c r="AK55" i="11"/>
  <c r="AI55" i="11"/>
  <c r="AG55" i="11"/>
  <c r="AF55" i="11"/>
  <c r="AE55" i="11"/>
  <c r="AD55" i="11"/>
  <c r="AC55" i="11"/>
  <c r="AB55" i="11"/>
  <c r="Z55" i="11"/>
  <c r="X55" i="11"/>
  <c r="W55" i="11"/>
  <c r="V55" i="11"/>
  <c r="U55" i="11"/>
  <c r="T55" i="11"/>
  <c r="R55" i="11"/>
  <c r="P55" i="11"/>
  <c r="O55" i="11"/>
  <c r="N55" i="11"/>
  <c r="F55" i="11"/>
  <c r="E55" i="11"/>
  <c r="D55" i="11"/>
  <c r="AS53" i="11"/>
  <c r="AR53" i="11"/>
  <c r="AQ53" i="11"/>
  <c r="AP53" i="11"/>
  <c r="AN53" i="11"/>
  <c r="AL53" i="11"/>
  <c r="AK53" i="11"/>
  <c r="AI53" i="11"/>
  <c r="AG53" i="11"/>
  <c r="AF53" i="11"/>
  <c r="AE53" i="11"/>
  <c r="AD53" i="11"/>
  <c r="AC53" i="11"/>
  <c r="AB53" i="11"/>
  <c r="Z53" i="11"/>
  <c r="X53" i="11"/>
  <c r="W53" i="11"/>
  <c r="V53" i="11"/>
  <c r="U53" i="11"/>
  <c r="T53" i="11"/>
  <c r="R53" i="11"/>
  <c r="P53" i="11"/>
  <c r="O53" i="11"/>
  <c r="N53" i="11"/>
  <c r="F53" i="11"/>
  <c r="E53" i="11"/>
  <c r="D53" i="11"/>
  <c r="AS52" i="11"/>
  <c r="AR52" i="11"/>
  <c r="AQ52" i="11"/>
  <c r="AP52" i="11"/>
  <c r="AN52" i="11"/>
  <c r="AL52" i="11"/>
  <c r="AK52" i="11"/>
  <c r="AI52" i="11"/>
  <c r="AG52" i="11"/>
  <c r="AF52" i="11"/>
  <c r="AE52" i="11"/>
  <c r="AD52" i="11"/>
  <c r="AC52" i="11"/>
  <c r="AB52" i="11"/>
  <c r="Z52" i="11"/>
  <c r="X52" i="11"/>
  <c r="W52" i="11"/>
  <c r="V52" i="11"/>
  <c r="U52" i="11"/>
  <c r="T52" i="11"/>
  <c r="R52" i="11"/>
  <c r="P52" i="11"/>
  <c r="O52" i="11"/>
  <c r="N52" i="11"/>
  <c r="F52" i="11"/>
  <c r="E52" i="11"/>
  <c r="D52" i="11"/>
  <c r="AS51" i="11"/>
  <c r="AR51" i="11"/>
  <c r="AQ51" i="11"/>
  <c r="AP51" i="11"/>
  <c r="AN51" i="11"/>
  <c r="AL51" i="11"/>
  <c r="AK51" i="11"/>
  <c r="AI51" i="11"/>
  <c r="AG51" i="11"/>
  <c r="AF51" i="11"/>
  <c r="AE51" i="11"/>
  <c r="AD51" i="11"/>
  <c r="AC51" i="11"/>
  <c r="AB51" i="11"/>
  <c r="Z51" i="11"/>
  <c r="X51" i="11"/>
  <c r="W51" i="11"/>
  <c r="V51" i="11"/>
  <c r="U51" i="11"/>
  <c r="T51" i="11"/>
  <c r="R51" i="11"/>
  <c r="P51" i="11"/>
  <c r="O51" i="11"/>
  <c r="N51" i="11"/>
  <c r="F51" i="11"/>
  <c r="E51" i="11"/>
  <c r="D51" i="11"/>
  <c r="AS50" i="11"/>
  <c r="AR50" i="11"/>
  <c r="AQ50" i="11"/>
  <c r="AP50" i="11"/>
  <c r="AN50" i="11"/>
  <c r="AL50" i="11"/>
  <c r="AK50" i="11"/>
  <c r="AI50" i="11"/>
  <c r="AG50" i="11"/>
  <c r="AF50" i="11"/>
  <c r="AE50" i="11"/>
  <c r="AD50" i="11"/>
  <c r="AC50" i="11"/>
  <c r="AB50" i="11"/>
  <c r="Z50" i="11"/>
  <c r="X50" i="11"/>
  <c r="W50" i="11"/>
  <c r="V50" i="11"/>
  <c r="U50" i="11"/>
  <c r="T50" i="11"/>
  <c r="R50" i="11"/>
  <c r="P50" i="11"/>
  <c r="O50" i="11"/>
  <c r="N50" i="11"/>
  <c r="F50" i="11"/>
  <c r="E50" i="11"/>
  <c r="D50" i="11"/>
  <c r="AS49" i="11"/>
  <c r="AR49" i="11"/>
  <c r="AQ49" i="11"/>
  <c r="AP49" i="11"/>
  <c r="AN49" i="11"/>
  <c r="AL49" i="11"/>
  <c r="AK49" i="11"/>
  <c r="AI49" i="11"/>
  <c r="AG49" i="11"/>
  <c r="AF49" i="11"/>
  <c r="AE49" i="11"/>
  <c r="AD49" i="11"/>
  <c r="AC49" i="11"/>
  <c r="AB49" i="11"/>
  <c r="Z49" i="11"/>
  <c r="X49" i="11"/>
  <c r="W49" i="11"/>
  <c r="V49" i="11"/>
  <c r="U49" i="11"/>
  <c r="T49" i="11"/>
  <c r="R49" i="11"/>
  <c r="P49" i="11"/>
  <c r="O49" i="11"/>
  <c r="N49" i="11"/>
  <c r="F49" i="11"/>
  <c r="E49" i="11"/>
  <c r="D49" i="11"/>
  <c r="AS48" i="11"/>
  <c r="AR48" i="11"/>
  <c r="AQ48" i="11"/>
  <c r="AP48" i="11"/>
  <c r="AN48" i="11"/>
  <c r="AL48" i="11"/>
  <c r="AK48" i="11"/>
  <c r="AI48" i="11"/>
  <c r="AG48" i="11"/>
  <c r="AF48" i="11"/>
  <c r="AE48" i="11"/>
  <c r="AD48" i="11"/>
  <c r="AC48" i="11"/>
  <c r="AB48" i="11"/>
  <c r="Z48" i="11"/>
  <c r="X48" i="11"/>
  <c r="W48" i="11"/>
  <c r="V48" i="11"/>
  <c r="U48" i="11"/>
  <c r="T48" i="11"/>
  <c r="R48" i="11"/>
  <c r="P48" i="11"/>
  <c r="O48" i="11"/>
  <c r="N48" i="11"/>
  <c r="F48" i="11"/>
  <c r="E48" i="11"/>
  <c r="D48" i="11"/>
  <c r="AS47" i="11"/>
  <c r="AR47" i="11"/>
  <c r="AQ47" i="11"/>
  <c r="AP47" i="11"/>
  <c r="AN47" i="11"/>
  <c r="AL47" i="11"/>
  <c r="AK47" i="11"/>
  <c r="AI47" i="11"/>
  <c r="AG47" i="11"/>
  <c r="AF47" i="11"/>
  <c r="AE47" i="11"/>
  <c r="AD47" i="11"/>
  <c r="AC47" i="11"/>
  <c r="AB47" i="11"/>
  <c r="Z47" i="11"/>
  <c r="X47" i="11"/>
  <c r="W47" i="11"/>
  <c r="V47" i="11"/>
  <c r="U47" i="11"/>
  <c r="T47" i="11"/>
  <c r="R47" i="11"/>
  <c r="P47" i="11"/>
  <c r="O47" i="11"/>
  <c r="N47" i="11"/>
  <c r="F47" i="11"/>
  <c r="E47" i="11"/>
  <c r="D47" i="11"/>
  <c r="AS46" i="11"/>
  <c r="AR46" i="11"/>
  <c r="AQ46" i="11"/>
  <c r="AP46" i="11"/>
  <c r="AN46" i="11"/>
  <c r="AL46" i="11"/>
  <c r="AK46" i="11"/>
  <c r="AI46" i="11"/>
  <c r="AG46" i="11"/>
  <c r="AF46" i="11"/>
  <c r="AE46" i="11"/>
  <c r="AD46" i="11"/>
  <c r="AC46" i="11"/>
  <c r="AB46" i="11"/>
  <c r="Z46" i="11"/>
  <c r="X46" i="11"/>
  <c r="W46" i="11"/>
  <c r="V46" i="11"/>
  <c r="U46" i="11"/>
  <c r="T46" i="11"/>
  <c r="R46" i="11"/>
  <c r="P46" i="11"/>
  <c r="O46" i="11"/>
  <c r="N46" i="11"/>
  <c r="F46" i="11"/>
  <c r="E46" i="11"/>
  <c r="D46" i="11"/>
  <c r="AS45" i="11"/>
  <c r="AR45" i="11"/>
  <c r="AQ45" i="11"/>
  <c r="AP45" i="11"/>
  <c r="AN45" i="11"/>
  <c r="AL45" i="11"/>
  <c r="AK45" i="11"/>
  <c r="AI45" i="11"/>
  <c r="AG45" i="11"/>
  <c r="AF45" i="11"/>
  <c r="AE45" i="11"/>
  <c r="AD45" i="11"/>
  <c r="AC45" i="11"/>
  <c r="AB45" i="11"/>
  <c r="Z45" i="11"/>
  <c r="X45" i="11"/>
  <c r="W45" i="11"/>
  <c r="V45" i="11"/>
  <c r="U45" i="11"/>
  <c r="T45" i="11"/>
  <c r="R45" i="11"/>
  <c r="P45" i="11"/>
  <c r="O45" i="11"/>
  <c r="N45" i="11"/>
  <c r="F45" i="11"/>
  <c r="E45" i="11"/>
  <c r="D45" i="11"/>
  <c r="AS44" i="11"/>
  <c r="AR44" i="11"/>
  <c r="AQ44" i="11"/>
  <c r="AP44" i="11"/>
  <c r="AN44" i="11"/>
  <c r="AL44" i="11"/>
  <c r="AK44" i="11"/>
  <c r="AI44" i="11"/>
  <c r="AG44" i="11"/>
  <c r="AF44" i="11"/>
  <c r="AE44" i="11"/>
  <c r="AD44" i="11"/>
  <c r="AC44" i="11"/>
  <c r="AB44" i="11"/>
  <c r="Z44" i="11"/>
  <c r="X44" i="11"/>
  <c r="W44" i="11"/>
  <c r="V44" i="11"/>
  <c r="U44" i="11"/>
  <c r="T44" i="11"/>
  <c r="R44" i="11"/>
  <c r="P44" i="11"/>
  <c r="O44" i="11"/>
  <c r="N44" i="11"/>
  <c r="F44" i="11"/>
  <c r="E44" i="11"/>
  <c r="D44" i="11"/>
  <c r="AS43" i="11"/>
  <c r="AR43" i="11"/>
  <c r="AQ43" i="11"/>
  <c r="AP43" i="11"/>
  <c r="AN43" i="11"/>
  <c r="AL43" i="11"/>
  <c r="AK43" i="11"/>
  <c r="AI43" i="11"/>
  <c r="AG43" i="11"/>
  <c r="AF43" i="11"/>
  <c r="AE43" i="11"/>
  <c r="AD43" i="11"/>
  <c r="AC43" i="11"/>
  <c r="AB43" i="11"/>
  <c r="Z43" i="11"/>
  <c r="X43" i="11"/>
  <c r="W43" i="11"/>
  <c r="V43" i="11"/>
  <c r="U43" i="11"/>
  <c r="T43" i="11"/>
  <c r="R43" i="11"/>
  <c r="P43" i="11"/>
  <c r="O43" i="11"/>
  <c r="N43" i="11"/>
  <c r="F43" i="11"/>
  <c r="E43" i="11"/>
  <c r="D43" i="11"/>
  <c r="AS42" i="11"/>
  <c r="AR42" i="11"/>
  <c r="AQ42" i="11"/>
  <c r="AP42" i="11"/>
  <c r="AN42" i="11"/>
  <c r="AL42" i="11"/>
  <c r="AK42" i="11"/>
  <c r="AI42" i="11"/>
  <c r="AG42" i="11"/>
  <c r="AF42" i="11"/>
  <c r="AE42" i="11"/>
  <c r="AD42" i="11"/>
  <c r="AC42" i="11"/>
  <c r="AB42" i="11"/>
  <c r="Z42" i="11"/>
  <c r="X42" i="11"/>
  <c r="W42" i="11"/>
  <c r="V42" i="11"/>
  <c r="U42" i="11"/>
  <c r="T42" i="11"/>
  <c r="R42" i="11"/>
  <c r="P42" i="11"/>
  <c r="O42" i="11"/>
  <c r="N42" i="11"/>
  <c r="F42" i="11"/>
  <c r="E42" i="11"/>
  <c r="D42" i="11"/>
  <c r="AS41" i="11"/>
  <c r="AR41" i="11"/>
  <c r="AQ41" i="11"/>
  <c r="AP41" i="11"/>
  <c r="AN41" i="11"/>
  <c r="AL41" i="11"/>
  <c r="AK41" i="11"/>
  <c r="AI41" i="11"/>
  <c r="AG41" i="11"/>
  <c r="AF41" i="11"/>
  <c r="AE41" i="11"/>
  <c r="AD41" i="11"/>
  <c r="AC41" i="11"/>
  <c r="AB41" i="11"/>
  <c r="Z41" i="11"/>
  <c r="X41" i="11"/>
  <c r="W41" i="11"/>
  <c r="V41" i="11"/>
  <c r="U41" i="11"/>
  <c r="T41" i="11"/>
  <c r="R41" i="11"/>
  <c r="P41" i="11"/>
  <c r="O41" i="11"/>
  <c r="N41" i="11"/>
  <c r="F41" i="11"/>
  <c r="E41" i="11"/>
  <c r="D41" i="11"/>
  <c r="AS40" i="11"/>
  <c r="AR40" i="11"/>
  <c r="AQ40" i="11"/>
  <c r="AP40" i="11"/>
  <c r="AN40" i="11"/>
  <c r="AL40" i="11"/>
  <c r="AK40" i="11"/>
  <c r="AI40" i="11"/>
  <c r="AG40" i="11"/>
  <c r="AF40" i="11"/>
  <c r="AE40" i="11"/>
  <c r="AD40" i="11"/>
  <c r="AC40" i="11"/>
  <c r="AB40" i="11"/>
  <c r="Z40" i="11"/>
  <c r="X40" i="11"/>
  <c r="W40" i="11"/>
  <c r="V40" i="11"/>
  <c r="U40" i="11"/>
  <c r="T40" i="11"/>
  <c r="R40" i="11"/>
  <c r="P40" i="11"/>
  <c r="O40" i="11"/>
  <c r="N40" i="11"/>
  <c r="F40" i="11"/>
  <c r="E40" i="11"/>
  <c r="D40" i="11"/>
  <c r="AS39" i="11"/>
  <c r="AR39" i="11"/>
  <c r="AQ39" i="11"/>
  <c r="AP39" i="11"/>
  <c r="AN39" i="11"/>
  <c r="AL39" i="11"/>
  <c r="AK39" i="11"/>
  <c r="AI39" i="11"/>
  <c r="AG39" i="11"/>
  <c r="AF39" i="11"/>
  <c r="AE39" i="11"/>
  <c r="AD39" i="11"/>
  <c r="AC39" i="11"/>
  <c r="AB39" i="11"/>
  <c r="Z39" i="11"/>
  <c r="X39" i="11"/>
  <c r="W39" i="11"/>
  <c r="V39" i="11"/>
  <c r="U39" i="11"/>
  <c r="T39" i="11"/>
  <c r="R39" i="11"/>
  <c r="P39" i="11"/>
  <c r="O39" i="11"/>
  <c r="N39" i="11"/>
  <c r="F39" i="11"/>
  <c r="E39" i="11"/>
  <c r="D39" i="11"/>
  <c r="AS38" i="11"/>
  <c r="AR38" i="11"/>
  <c r="AQ38" i="11"/>
  <c r="AP38" i="11"/>
  <c r="AN38" i="11"/>
  <c r="AL38" i="11"/>
  <c r="AK38" i="11"/>
  <c r="AI38" i="11"/>
  <c r="AG38" i="11"/>
  <c r="AF38" i="11"/>
  <c r="AE38" i="11"/>
  <c r="AD38" i="11"/>
  <c r="AC38" i="11"/>
  <c r="AB38" i="11"/>
  <c r="Z38" i="11"/>
  <c r="X38" i="11"/>
  <c r="W38" i="11"/>
  <c r="V38" i="11"/>
  <c r="U38" i="11"/>
  <c r="T38" i="11"/>
  <c r="R38" i="11"/>
  <c r="P38" i="11"/>
  <c r="O38" i="11"/>
  <c r="N38" i="11"/>
  <c r="F38" i="11"/>
  <c r="E38" i="11"/>
  <c r="D38" i="11"/>
  <c r="AS37" i="11"/>
  <c r="AR37" i="11"/>
  <c r="AQ37" i="11"/>
  <c r="AP37" i="11"/>
  <c r="AN37" i="11"/>
  <c r="AL37" i="11"/>
  <c r="AK37" i="11"/>
  <c r="AI37" i="11"/>
  <c r="AG37" i="11"/>
  <c r="AF37" i="11"/>
  <c r="AE37" i="11"/>
  <c r="AD37" i="11"/>
  <c r="AC37" i="11"/>
  <c r="AB37" i="11"/>
  <c r="Z37" i="11"/>
  <c r="X37" i="11"/>
  <c r="W37" i="11"/>
  <c r="V37" i="11"/>
  <c r="U37" i="11"/>
  <c r="T37" i="11"/>
  <c r="R37" i="11"/>
  <c r="P37" i="11"/>
  <c r="O37" i="11"/>
  <c r="N37" i="11"/>
  <c r="F37" i="11"/>
  <c r="E37" i="11"/>
  <c r="D37" i="11"/>
  <c r="AS36" i="11"/>
  <c r="AR36" i="11"/>
  <c r="AQ36" i="11"/>
  <c r="AP36" i="11"/>
  <c r="AN36" i="11"/>
  <c r="AL36" i="11"/>
  <c r="AK36" i="11"/>
  <c r="AI36" i="11"/>
  <c r="AG36" i="11"/>
  <c r="AF36" i="11"/>
  <c r="AE36" i="11"/>
  <c r="AD36" i="11"/>
  <c r="AC36" i="11"/>
  <c r="AB36" i="11"/>
  <c r="Z36" i="11"/>
  <c r="X36" i="11"/>
  <c r="W36" i="11"/>
  <c r="V36" i="11"/>
  <c r="U36" i="11"/>
  <c r="T36" i="11"/>
  <c r="R36" i="11"/>
  <c r="P36" i="11"/>
  <c r="O36" i="11"/>
  <c r="S36" i="11" s="1"/>
  <c r="N36" i="11"/>
  <c r="F36" i="11"/>
  <c r="E36" i="11"/>
  <c r="D36" i="11"/>
  <c r="AS35" i="11"/>
  <c r="AR35" i="11"/>
  <c r="AQ35" i="11"/>
  <c r="AP35" i="11"/>
  <c r="AN35" i="11"/>
  <c r="AL35" i="11"/>
  <c r="AK35" i="11"/>
  <c r="AI35" i="11"/>
  <c r="AG35" i="11"/>
  <c r="AF35" i="11"/>
  <c r="AE35" i="11"/>
  <c r="AD35" i="11"/>
  <c r="AC35" i="11"/>
  <c r="AB35" i="11"/>
  <c r="Z35" i="11"/>
  <c r="X35" i="11"/>
  <c r="W35" i="11"/>
  <c r="V35" i="11"/>
  <c r="U35" i="11"/>
  <c r="T35" i="11"/>
  <c r="R35" i="11"/>
  <c r="P35" i="11"/>
  <c r="O35" i="11"/>
  <c r="N35" i="11"/>
  <c r="F35" i="11"/>
  <c r="E35" i="11"/>
  <c r="D35" i="11"/>
  <c r="AS34" i="11"/>
  <c r="AR34" i="11"/>
  <c r="AQ34" i="11"/>
  <c r="AP34" i="11"/>
  <c r="AN34" i="11"/>
  <c r="AL34" i="11"/>
  <c r="AK34" i="11"/>
  <c r="AI34" i="11"/>
  <c r="AG34" i="11"/>
  <c r="AF34" i="11"/>
  <c r="AE34" i="11"/>
  <c r="AD34" i="11"/>
  <c r="AC34" i="11"/>
  <c r="AB34" i="11"/>
  <c r="Z34" i="11"/>
  <c r="X34" i="11"/>
  <c r="W34" i="11"/>
  <c r="V34" i="11"/>
  <c r="U34" i="11"/>
  <c r="T34" i="11"/>
  <c r="R34" i="11"/>
  <c r="P34" i="11"/>
  <c r="O34" i="11"/>
  <c r="N34" i="11"/>
  <c r="F34" i="11"/>
  <c r="E34" i="11"/>
  <c r="D34" i="11"/>
  <c r="AS32" i="11"/>
  <c r="AR32" i="11"/>
  <c r="AQ32" i="11"/>
  <c r="AP32" i="11"/>
  <c r="AN32" i="11"/>
  <c r="AL32" i="11"/>
  <c r="AK32" i="11"/>
  <c r="AI32" i="11"/>
  <c r="AG32" i="11"/>
  <c r="AF32" i="11"/>
  <c r="AE32" i="11"/>
  <c r="AD32" i="11"/>
  <c r="AC32" i="11"/>
  <c r="AB32" i="11"/>
  <c r="Z32" i="11"/>
  <c r="X32" i="11"/>
  <c r="W32" i="11"/>
  <c r="V32" i="11"/>
  <c r="U32" i="11"/>
  <c r="T32" i="11"/>
  <c r="R32" i="11"/>
  <c r="P32" i="11"/>
  <c r="O32" i="11"/>
  <c r="N32" i="11"/>
  <c r="F32" i="11"/>
  <c r="E32" i="11"/>
  <c r="D32" i="11"/>
  <c r="AS31" i="11"/>
  <c r="AR31" i="11"/>
  <c r="AQ31" i="11"/>
  <c r="AP31" i="11"/>
  <c r="AN31" i="11"/>
  <c r="AL31" i="11"/>
  <c r="AK31" i="11"/>
  <c r="AI31" i="11"/>
  <c r="AG31" i="11"/>
  <c r="AF31" i="11"/>
  <c r="AE31" i="11"/>
  <c r="AD31" i="11"/>
  <c r="AC31" i="11"/>
  <c r="AB31" i="11"/>
  <c r="Z31" i="11"/>
  <c r="X31" i="11"/>
  <c r="W31" i="11"/>
  <c r="V31" i="11"/>
  <c r="U31" i="11"/>
  <c r="T31" i="11"/>
  <c r="R31" i="11"/>
  <c r="P31" i="11"/>
  <c r="O31" i="11"/>
  <c r="N31" i="11"/>
  <c r="F31" i="11"/>
  <c r="E31" i="11"/>
  <c r="D31" i="11"/>
  <c r="AS30" i="11"/>
  <c r="AR30" i="11"/>
  <c r="AQ30" i="11"/>
  <c r="AP30" i="11"/>
  <c r="AN30" i="11"/>
  <c r="AL30" i="11"/>
  <c r="AK30" i="11"/>
  <c r="AI30" i="11"/>
  <c r="AG30" i="11"/>
  <c r="AF30" i="11"/>
  <c r="AE30" i="11"/>
  <c r="AD30" i="11"/>
  <c r="AC30" i="11"/>
  <c r="AB30" i="11"/>
  <c r="Z30" i="11"/>
  <c r="X30" i="11"/>
  <c r="W30" i="11"/>
  <c r="V30" i="11"/>
  <c r="U30" i="11"/>
  <c r="T30" i="11"/>
  <c r="R30" i="11"/>
  <c r="P30" i="11"/>
  <c r="O30" i="11"/>
  <c r="N30" i="11"/>
  <c r="F30" i="11"/>
  <c r="E30" i="11"/>
  <c r="D30" i="11"/>
  <c r="AS29" i="11"/>
  <c r="AR29" i="11"/>
  <c r="AQ29" i="11"/>
  <c r="AP29" i="11"/>
  <c r="AN29" i="11"/>
  <c r="AL29" i="11"/>
  <c r="AK29" i="11"/>
  <c r="AI29" i="11"/>
  <c r="AG29" i="11"/>
  <c r="AF29" i="11"/>
  <c r="AE29" i="11"/>
  <c r="AD29" i="11"/>
  <c r="AC29" i="11"/>
  <c r="AB29" i="11"/>
  <c r="Z29" i="11"/>
  <c r="X29" i="11"/>
  <c r="W29" i="11"/>
  <c r="V29" i="11"/>
  <c r="U29" i="11"/>
  <c r="T29" i="11"/>
  <c r="R29" i="11"/>
  <c r="P29" i="11"/>
  <c r="O29" i="11"/>
  <c r="N29" i="11"/>
  <c r="F29" i="11"/>
  <c r="E29" i="11"/>
  <c r="D29" i="11"/>
  <c r="AS28" i="11"/>
  <c r="AR28" i="11"/>
  <c r="AQ28" i="11"/>
  <c r="AP28" i="11"/>
  <c r="AN28" i="11"/>
  <c r="AL28" i="11"/>
  <c r="AK28" i="11"/>
  <c r="AI28" i="11"/>
  <c r="AG28" i="11"/>
  <c r="AF28" i="11"/>
  <c r="AE28" i="11"/>
  <c r="AD28" i="11"/>
  <c r="AC28" i="11"/>
  <c r="AB28" i="11"/>
  <c r="Z28" i="11"/>
  <c r="X28" i="11"/>
  <c r="W28" i="11"/>
  <c r="V28" i="11"/>
  <c r="U28" i="11"/>
  <c r="T28" i="11"/>
  <c r="R28" i="11"/>
  <c r="P28" i="11"/>
  <c r="O28" i="11"/>
  <c r="N28" i="11"/>
  <c r="F28" i="11"/>
  <c r="E28" i="11"/>
  <c r="D28" i="11"/>
  <c r="AS27" i="11"/>
  <c r="AR27" i="11"/>
  <c r="AQ27" i="11"/>
  <c r="AP27" i="11"/>
  <c r="AN27" i="11"/>
  <c r="AL27" i="11"/>
  <c r="AK27" i="11"/>
  <c r="AI27" i="11"/>
  <c r="AG27" i="11"/>
  <c r="AF27" i="11"/>
  <c r="AE27" i="11"/>
  <c r="AD27" i="11"/>
  <c r="AC27" i="11"/>
  <c r="AB27" i="11"/>
  <c r="Z27" i="11"/>
  <c r="X27" i="11"/>
  <c r="W27" i="11"/>
  <c r="V27" i="11"/>
  <c r="U27" i="11"/>
  <c r="T27" i="11"/>
  <c r="R27" i="11"/>
  <c r="P27" i="11"/>
  <c r="O27" i="11"/>
  <c r="S27" i="11" s="1"/>
  <c r="N27" i="11"/>
  <c r="Q27" i="11" s="1"/>
  <c r="F27" i="11"/>
  <c r="E27" i="11"/>
  <c r="D27" i="11"/>
  <c r="AS26" i="11"/>
  <c r="AR26" i="11"/>
  <c r="AQ26" i="11"/>
  <c r="AP26" i="11"/>
  <c r="AN26" i="11"/>
  <c r="AL26" i="11"/>
  <c r="AK26" i="11"/>
  <c r="AI26" i="11"/>
  <c r="AG26" i="11"/>
  <c r="AF26" i="11"/>
  <c r="AE26" i="11"/>
  <c r="AD26" i="11"/>
  <c r="AC26" i="11"/>
  <c r="AB26" i="11"/>
  <c r="Z26" i="11"/>
  <c r="X26" i="11"/>
  <c r="W26" i="11"/>
  <c r="V26" i="11"/>
  <c r="U26" i="11"/>
  <c r="T26" i="11"/>
  <c r="R26" i="11"/>
  <c r="P26" i="11"/>
  <c r="O26" i="11"/>
  <c r="N26" i="11"/>
  <c r="F26" i="11"/>
  <c r="E26" i="11"/>
  <c r="D26" i="11"/>
  <c r="AS25" i="11"/>
  <c r="AR25" i="11"/>
  <c r="AQ25" i="11"/>
  <c r="AP25" i="11"/>
  <c r="AN25" i="11"/>
  <c r="AL25" i="11"/>
  <c r="AK25" i="11"/>
  <c r="AI25" i="11"/>
  <c r="AG25" i="11"/>
  <c r="AF25" i="11"/>
  <c r="AE25" i="11"/>
  <c r="AD25" i="11"/>
  <c r="AC25" i="11"/>
  <c r="AB25" i="11"/>
  <c r="Z25" i="11"/>
  <c r="X25" i="11"/>
  <c r="W25" i="11"/>
  <c r="V25" i="11"/>
  <c r="U25" i="11"/>
  <c r="T25" i="11"/>
  <c r="R25" i="11"/>
  <c r="P25" i="11"/>
  <c r="O25" i="11"/>
  <c r="N25" i="11"/>
  <c r="F25" i="11"/>
  <c r="E25" i="11"/>
  <c r="D25" i="11"/>
  <c r="AS24" i="11"/>
  <c r="AR24" i="11"/>
  <c r="AQ24" i="11"/>
  <c r="AP24" i="11"/>
  <c r="AN24" i="11"/>
  <c r="AL24" i="11"/>
  <c r="AK24" i="11"/>
  <c r="AI24" i="11"/>
  <c r="AG24" i="11"/>
  <c r="AF24" i="11"/>
  <c r="AE24" i="11"/>
  <c r="AD24" i="11"/>
  <c r="AC24" i="11"/>
  <c r="AB24" i="11"/>
  <c r="Z24" i="11"/>
  <c r="X24" i="11"/>
  <c r="W24" i="11"/>
  <c r="V24" i="11"/>
  <c r="U24" i="11"/>
  <c r="T24" i="11"/>
  <c r="R24" i="11"/>
  <c r="P24" i="11"/>
  <c r="O24" i="11"/>
  <c r="N24" i="11"/>
  <c r="F24" i="11"/>
  <c r="E24" i="11"/>
  <c r="D24" i="11"/>
  <c r="AS23" i="11"/>
  <c r="AR23" i="11"/>
  <c r="AQ23" i="11"/>
  <c r="AP23" i="11"/>
  <c r="AN23" i="11"/>
  <c r="AL23" i="11"/>
  <c r="AK23" i="11"/>
  <c r="AI23" i="11"/>
  <c r="AG23" i="11"/>
  <c r="AF23" i="11"/>
  <c r="AE23" i="11"/>
  <c r="AD23" i="11"/>
  <c r="AC23" i="11"/>
  <c r="AB23" i="11"/>
  <c r="Z23" i="11"/>
  <c r="X23" i="11"/>
  <c r="W23" i="11"/>
  <c r="V23" i="11"/>
  <c r="U23" i="11"/>
  <c r="T23" i="11"/>
  <c r="R23" i="11"/>
  <c r="P23" i="11"/>
  <c r="O23" i="11"/>
  <c r="N23" i="11"/>
  <c r="F23" i="11"/>
  <c r="E23" i="11"/>
  <c r="D23" i="11"/>
  <c r="AS22" i="11"/>
  <c r="AR22" i="11"/>
  <c r="AQ22" i="11"/>
  <c r="AP22" i="11"/>
  <c r="AN22" i="11"/>
  <c r="AL22" i="11"/>
  <c r="AK22" i="11"/>
  <c r="AI22" i="11"/>
  <c r="AG22" i="11"/>
  <c r="AF22" i="11"/>
  <c r="AE22" i="11"/>
  <c r="AD22" i="11"/>
  <c r="AC22" i="11"/>
  <c r="AB22" i="11"/>
  <c r="Z22" i="11"/>
  <c r="X22" i="11"/>
  <c r="W22" i="11"/>
  <c r="V22" i="11"/>
  <c r="U22" i="11"/>
  <c r="T22" i="11"/>
  <c r="R22" i="11"/>
  <c r="P22" i="11"/>
  <c r="O22" i="11"/>
  <c r="N22" i="11"/>
  <c r="F22" i="11"/>
  <c r="E22" i="11"/>
  <c r="D22" i="11"/>
  <c r="AS21" i="11"/>
  <c r="AR21" i="11"/>
  <c r="AQ21" i="11"/>
  <c r="AP21" i="11"/>
  <c r="AN21" i="11"/>
  <c r="AL21" i="11"/>
  <c r="AK21" i="11"/>
  <c r="AI21" i="11"/>
  <c r="AG21" i="11"/>
  <c r="AF21" i="11"/>
  <c r="AE21" i="11"/>
  <c r="AD21" i="11"/>
  <c r="AC21" i="11"/>
  <c r="AB21" i="11"/>
  <c r="Z21" i="11"/>
  <c r="X21" i="11"/>
  <c r="W21" i="11"/>
  <c r="V21" i="11"/>
  <c r="U21" i="11"/>
  <c r="T21" i="11"/>
  <c r="R21" i="11"/>
  <c r="P21" i="11"/>
  <c r="O21" i="11"/>
  <c r="N21" i="11"/>
  <c r="F21" i="11"/>
  <c r="E21" i="11"/>
  <c r="D21" i="11"/>
  <c r="AS20" i="11"/>
  <c r="AR20" i="11"/>
  <c r="AQ20" i="11"/>
  <c r="AP20" i="11"/>
  <c r="AN20" i="11"/>
  <c r="AL20" i="11"/>
  <c r="AK20" i="11"/>
  <c r="AI20" i="11"/>
  <c r="AG20" i="11"/>
  <c r="AF20" i="11"/>
  <c r="AE20" i="11"/>
  <c r="AD20" i="11"/>
  <c r="AC20" i="11"/>
  <c r="AB20" i="11"/>
  <c r="Z20" i="11"/>
  <c r="X20" i="11"/>
  <c r="W20" i="11"/>
  <c r="V20" i="11"/>
  <c r="U20" i="11"/>
  <c r="T20" i="11"/>
  <c r="R20" i="11"/>
  <c r="P20" i="11"/>
  <c r="O20" i="11"/>
  <c r="N20" i="11"/>
  <c r="F20" i="11"/>
  <c r="E20" i="11"/>
  <c r="D20" i="11"/>
  <c r="AS19" i="11"/>
  <c r="AR19" i="11"/>
  <c r="AQ19" i="11"/>
  <c r="AP19" i="11"/>
  <c r="AN19" i="11"/>
  <c r="AL19" i="11"/>
  <c r="AK19" i="11"/>
  <c r="AI19" i="11"/>
  <c r="AG19" i="11"/>
  <c r="AF19" i="11"/>
  <c r="AE19" i="11"/>
  <c r="AD19" i="11"/>
  <c r="AC19" i="11"/>
  <c r="AB19" i="11"/>
  <c r="Z19" i="11"/>
  <c r="X19" i="11"/>
  <c r="W19" i="11"/>
  <c r="V19" i="11"/>
  <c r="U19" i="11"/>
  <c r="T19" i="11"/>
  <c r="R19" i="11"/>
  <c r="P19" i="11"/>
  <c r="O19" i="11"/>
  <c r="S19" i="11" s="1"/>
  <c r="N19" i="11"/>
  <c r="F19" i="11"/>
  <c r="E19" i="11"/>
  <c r="D19" i="11"/>
  <c r="AS18" i="11"/>
  <c r="AR18" i="11"/>
  <c r="AQ18" i="11"/>
  <c r="AP18" i="11"/>
  <c r="AN18" i="11"/>
  <c r="AL18" i="11"/>
  <c r="AK18" i="11"/>
  <c r="AI18" i="11"/>
  <c r="AG18" i="11"/>
  <c r="AF18" i="11"/>
  <c r="AE18" i="11"/>
  <c r="AD18" i="11"/>
  <c r="AC18" i="11"/>
  <c r="AB18" i="11"/>
  <c r="Z18" i="11"/>
  <c r="X18" i="11"/>
  <c r="W18" i="11"/>
  <c r="V18" i="11"/>
  <c r="U18" i="11"/>
  <c r="T18" i="11"/>
  <c r="R18" i="11"/>
  <c r="P18" i="11"/>
  <c r="O18" i="11"/>
  <c r="N18" i="11"/>
  <c r="F18" i="11"/>
  <c r="E18" i="11"/>
  <c r="D18" i="11"/>
  <c r="AS17" i="11"/>
  <c r="AR17" i="11"/>
  <c r="AQ17" i="11"/>
  <c r="AP17" i="11"/>
  <c r="AN17" i="11"/>
  <c r="AL17" i="11"/>
  <c r="AK17" i="11"/>
  <c r="AI17" i="11"/>
  <c r="AG17" i="11"/>
  <c r="AF17" i="11"/>
  <c r="AE17" i="11"/>
  <c r="AD17" i="11"/>
  <c r="AC17" i="11"/>
  <c r="AB17" i="11"/>
  <c r="Z17" i="11"/>
  <c r="X17" i="11"/>
  <c r="W17" i="11"/>
  <c r="V17" i="11"/>
  <c r="U17" i="11"/>
  <c r="T17" i="11"/>
  <c r="R17" i="11"/>
  <c r="P17" i="11"/>
  <c r="O17" i="11"/>
  <c r="N17" i="11"/>
  <c r="F17" i="11"/>
  <c r="E17" i="11"/>
  <c r="D17" i="11"/>
  <c r="AS16" i="11"/>
  <c r="AR16" i="11"/>
  <c r="AQ16" i="11"/>
  <c r="AP16" i="11"/>
  <c r="AN16" i="11"/>
  <c r="AL16" i="11"/>
  <c r="AK16" i="11"/>
  <c r="AI16" i="11"/>
  <c r="AG16" i="11"/>
  <c r="AF16" i="11"/>
  <c r="AE16" i="11"/>
  <c r="AD16" i="11"/>
  <c r="AC16" i="11"/>
  <c r="AB16" i="11"/>
  <c r="Z16" i="11"/>
  <c r="X16" i="11"/>
  <c r="W16" i="11"/>
  <c r="V16" i="11"/>
  <c r="U16" i="11"/>
  <c r="T16" i="11"/>
  <c r="R16" i="11"/>
  <c r="P16" i="11"/>
  <c r="O16" i="11"/>
  <c r="N16" i="11"/>
  <c r="F16" i="11"/>
  <c r="E16" i="11"/>
  <c r="D16" i="11"/>
  <c r="AO14" i="11"/>
  <c r="AJ14" i="11"/>
  <c r="AH14" i="11"/>
  <c r="AA14" i="11"/>
  <c r="Y14" i="11"/>
  <c r="S14" i="11"/>
  <c r="Q14" i="11"/>
  <c r="M14" i="11"/>
  <c r="K14" i="11"/>
  <c r="G14" i="11"/>
  <c r="AS13" i="11"/>
  <c r="AQ13" i="11"/>
  <c r="AL13" i="11"/>
  <c r="AK13" i="11"/>
  <c r="AD13" i="11"/>
  <c r="AC13" i="11"/>
  <c r="X13" i="11"/>
  <c r="U13" i="11"/>
  <c r="T13" i="11"/>
  <c r="R13" i="11"/>
  <c r="P13" i="11"/>
  <c r="L13" i="11"/>
  <c r="AS12" i="11"/>
  <c r="AL12" i="11"/>
  <c r="AL11" i="11" s="1"/>
  <c r="AK12" i="11"/>
  <c r="AC12" i="11"/>
  <c r="AC11" i="11" s="1"/>
  <c r="AB12" i="11"/>
  <c r="X12" i="11"/>
  <c r="X11" i="11" s="1"/>
  <c r="U12" i="11"/>
  <c r="R12" i="11"/>
  <c r="P12" i="11"/>
  <c r="L12" i="11"/>
  <c r="J12" i="11"/>
  <c r="AG11" i="11"/>
  <c r="U11" i="11"/>
  <c r="R11" i="11"/>
  <c r="P11" i="11"/>
  <c r="L114" i="10"/>
  <c r="P114" i="10" s="1"/>
  <c r="K114" i="10"/>
  <c r="N114" i="10" s="1"/>
  <c r="H114" i="10"/>
  <c r="J114" i="10" s="1"/>
  <c r="E114" i="10"/>
  <c r="D114" i="10"/>
  <c r="L113" i="10"/>
  <c r="P113" i="10" s="1"/>
  <c r="K113" i="10"/>
  <c r="N113" i="10" s="1"/>
  <c r="H113" i="10"/>
  <c r="J113" i="10" s="1"/>
  <c r="E113" i="10"/>
  <c r="D113" i="10"/>
  <c r="L112" i="10"/>
  <c r="P112" i="10" s="1"/>
  <c r="K112" i="10"/>
  <c r="N112" i="10" s="1"/>
  <c r="H112" i="10"/>
  <c r="J112" i="10" s="1"/>
  <c r="E112" i="10"/>
  <c r="D112" i="10"/>
  <c r="L111" i="10"/>
  <c r="P111" i="10" s="1"/>
  <c r="K111" i="10"/>
  <c r="N111" i="10" s="1"/>
  <c r="H111" i="10"/>
  <c r="J111" i="10" s="1"/>
  <c r="E111" i="10"/>
  <c r="D111" i="10"/>
  <c r="L110" i="10"/>
  <c r="P110" i="10" s="1"/>
  <c r="K110" i="10"/>
  <c r="N110" i="10" s="1"/>
  <c r="H110" i="10"/>
  <c r="J110" i="10" s="1"/>
  <c r="E110" i="10"/>
  <c r="D110" i="10"/>
  <c r="A110" i="10"/>
  <c r="A111" i="10" s="1"/>
  <c r="A112" i="10" s="1"/>
  <c r="L109" i="10"/>
  <c r="P109" i="10" s="1"/>
  <c r="K109" i="10"/>
  <c r="N109" i="10" s="1"/>
  <c r="H109" i="10"/>
  <c r="J109" i="10" s="1"/>
  <c r="E109" i="10"/>
  <c r="D109" i="10"/>
  <c r="L108" i="10"/>
  <c r="K108" i="10"/>
  <c r="N108" i="10" s="1"/>
  <c r="H108" i="10"/>
  <c r="E108" i="10"/>
  <c r="D108" i="10"/>
  <c r="L107" i="10"/>
  <c r="P107" i="10" s="1"/>
  <c r="K107" i="10"/>
  <c r="H107" i="10"/>
  <c r="J107" i="10" s="1"/>
  <c r="E107" i="10"/>
  <c r="D107" i="10"/>
  <c r="O106" i="10"/>
  <c r="M106" i="10"/>
  <c r="I106" i="10"/>
  <c r="I13" i="10" s="1"/>
  <c r="F106" i="10"/>
  <c r="L105" i="10"/>
  <c r="P105" i="10" s="1"/>
  <c r="K105" i="10"/>
  <c r="N105" i="10" s="1"/>
  <c r="H105" i="10"/>
  <c r="J105" i="10" s="1"/>
  <c r="E105" i="10"/>
  <c r="D105" i="10"/>
  <c r="L104" i="10"/>
  <c r="P104" i="10" s="1"/>
  <c r="K104" i="10"/>
  <c r="N104" i="10" s="1"/>
  <c r="H104" i="10"/>
  <c r="J104" i="10" s="1"/>
  <c r="E104" i="10"/>
  <c r="D104" i="10"/>
  <c r="L103" i="10"/>
  <c r="P103" i="10" s="1"/>
  <c r="K103" i="10"/>
  <c r="N103" i="10" s="1"/>
  <c r="H103" i="10"/>
  <c r="J103" i="10" s="1"/>
  <c r="E103" i="10"/>
  <c r="D103" i="10"/>
  <c r="L102" i="10"/>
  <c r="P102" i="10" s="1"/>
  <c r="K102" i="10"/>
  <c r="N102" i="10" s="1"/>
  <c r="H102" i="10"/>
  <c r="J102" i="10" s="1"/>
  <c r="E102" i="10"/>
  <c r="D102" i="10"/>
  <c r="L101" i="10"/>
  <c r="P101" i="10" s="1"/>
  <c r="K101" i="10"/>
  <c r="N101" i="10" s="1"/>
  <c r="H101" i="10"/>
  <c r="J101" i="10" s="1"/>
  <c r="E101" i="10"/>
  <c r="D101" i="10"/>
  <c r="L100" i="10"/>
  <c r="P100" i="10" s="1"/>
  <c r="K100" i="10"/>
  <c r="N100" i="10" s="1"/>
  <c r="H100" i="10"/>
  <c r="J100" i="10" s="1"/>
  <c r="E100" i="10"/>
  <c r="D100" i="10"/>
  <c r="L99" i="10"/>
  <c r="P99" i="10" s="1"/>
  <c r="K99" i="10"/>
  <c r="N99" i="10" s="1"/>
  <c r="H99" i="10"/>
  <c r="J99" i="10" s="1"/>
  <c r="E99" i="10"/>
  <c r="D99" i="10"/>
  <c r="L98" i="10"/>
  <c r="P98" i="10" s="1"/>
  <c r="K98" i="10"/>
  <c r="N98" i="10" s="1"/>
  <c r="H98" i="10"/>
  <c r="J98" i="10" s="1"/>
  <c r="F98" i="10"/>
  <c r="F91" i="10" s="1"/>
  <c r="F12" i="10" s="1"/>
  <c r="E98" i="10"/>
  <c r="D98" i="10"/>
  <c r="L97" i="10"/>
  <c r="P97" i="10" s="1"/>
  <c r="K97" i="10"/>
  <c r="N97" i="10" s="1"/>
  <c r="H97" i="10"/>
  <c r="J97" i="10" s="1"/>
  <c r="E97" i="10"/>
  <c r="D97" i="10"/>
  <c r="L96" i="10"/>
  <c r="P96" i="10" s="1"/>
  <c r="K96" i="10"/>
  <c r="N96" i="10" s="1"/>
  <c r="H96" i="10"/>
  <c r="J96" i="10" s="1"/>
  <c r="E96" i="10"/>
  <c r="D96" i="10"/>
  <c r="L95" i="10"/>
  <c r="P95" i="10" s="1"/>
  <c r="K95" i="10"/>
  <c r="N95" i="10" s="1"/>
  <c r="H95" i="10"/>
  <c r="J95" i="10" s="1"/>
  <c r="E95" i="10"/>
  <c r="D95" i="10"/>
  <c r="A95" i="10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L94" i="10"/>
  <c r="P94" i="10" s="1"/>
  <c r="K94" i="10"/>
  <c r="N94" i="10" s="1"/>
  <c r="H94" i="10"/>
  <c r="J94" i="10" s="1"/>
  <c r="E94" i="10"/>
  <c r="D94" i="10"/>
  <c r="L93" i="10"/>
  <c r="P93" i="10" s="1"/>
  <c r="K93" i="10"/>
  <c r="N93" i="10" s="1"/>
  <c r="H93" i="10"/>
  <c r="E93" i="10"/>
  <c r="D93" i="10"/>
  <c r="L92" i="10"/>
  <c r="P92" i="10" s="1"/>
  <c r="K92" i="10"/>
  <c r="H92" i="10"/>
  <c r="J92" i="10" s="1"/>
  <c r="E92" i="10"/>
  <c r="D92" i="10"/>
  <c r="O91" i="10"/>
  <c r="O12" i="10" s="1"/>
  <c r="M91" i="10"/>
  <c r="I91" i="10"/>
  <c r="O90" i="10"/>
  <c r="M90" i="10"/>
  <c r="L90" i="10"/>
  <c r="K90" i="10"/>
  <c r="I90" i="10"/>
  <c r="H90" i="10"/>
  <c r="F90" i="10"/>
  <c r="E90" i="10"/>
  <c r="D90" i="10"/>
  <c r="O89" i="10"/>
  <c r="M89" i="10"/>
  <c r="L89" i="10"/>
  <c r="K89" i="10"/>
  <c r="I89" i="10"/>
  <c r="H89" i="10"/>
  <c r="F89" i="10"/>
  <c r="E89" i="10"/>
  <c r="D89" i="10"/>
  <c r="O88" i="10"/>
  <c r="M88" i="10"/>
  <c r="L88" i="10"/>
  <c r="K88" i="10"/>
  <c r="I88" i="10"/>
  <c r="H88" i="10"/>
  <c r="F88" i="10"/>
  <c r="E88" i="10"/>
  <c r="D88" i="10"/>
  <c r="O87" i="10"/>
  <c r="M87" i="10"/>
  <c r="L87" i="10"/>
  <c r="K87" i="10"/>
  <c r="I87" i="10"/>
  <c r="H87" i="10"/>
  <c r="F87" i="10"/>
  <c r="E87" i="10"/>
  <c r="D87" i="10"/>
  <c r="O86" i="10"/>
  <c r="M86" i="10"/>
  <c r="L86" i="10"/>
  <c r="K86" i="10"/>
  <c r="I86" i="10"/>
  <c r="H86" i="10"/>
  <c r="F86" i="10"/>
  <c r="E86" i="10"/>
  <c r="D86" i="10"/>
  <c r="O85" i="10"/>
  <c r="M85" i="10"/>
  <c r="L85" i="10"/>
  <c r="K85" i="10"/>
  <c r="I85" i="10"/>
  <c r="H85" i="10"/>
  <c r="F85" i="10"/>
  <c r="E85" i="10"/>
  <c r="D85" i="10"/>
  <c r="O84" i="10"/>
  <c r="M84" i="10"/>
  <c r="L84" i="10"/>
  <c r="K84" i="10"/>
  <c r="I84" i="10"/>
  <c r="H84" i="10"/>
  <c r="F84" i="10"/>
  <c r="E84" i="10"/>
  <c r="D84" i="10"/>
  <c r="O83" i="10"/>
  <c r="M83" i="10"/>
  <c r="L83" i="10"/>
  <c r="K83" i="10"/>
  <c r="I83" i="10"/>
  <c r="H83" i="10"/>
  <c r="F83" i="10"/>
  <c r="E83" i="10"/>
  <c r="D83" i="10"/>
  <c r="O82" i="10"/>
  <c r="M82" i="10"/>
  <c r="L82" i="10"/>
  <c r="K82" i="10"/>
  <c r="I82" i="10"/>
  <c r="H82" i="10"/>
  <c r="F82" i="10"/>
  <c r="E82" i="10"/>
  <c r="D82" i="10"/>
  <c r="O81" i="10"/>
  <c r="M81" i="10"/>
  <c r="L81" i="10"/>
  <c r="K81" i="10"/>
  <c r="I81" i="10"/>
  <c r="H81" i="10"/>
  <c r="F81" i="10"/>
  <c r="E81" i="10"/>
  <c r="D81" i="10"/>
  <c r="O80" i="10"/>
  <c r="M80" i="10"/>
  <c r="L80" i="10"/>
  <c r="K80" i="10"/>
  <c r="I80" i="10"/>
  <c r="H80" i="10"/>
  <c r="F80" i="10"/>
  <c r="E80" i="10"/>
  <c r="D80" i="10"/>
  <c r="O79" i="10"/>
  <c r="M79" i="10"/>
  <c r="L79" i="10"/>
  <c r="K79" i="10"/>
  <c r="I79" i="10"/>
  <c r="H79" i="10"/>
  <c r="F79" i="10"/>
  <c r="E79" i="10"/>
  <c r="D79" i="10"/>
  <c r="O78" i="10"/>
  <c r="M78" i="10"/>
  <c r="L78" i="10"/>
  <c r="K78" i="10"/>
  <c r="I78" i="10"/>
  <c r="H78" i="10"/>
  <c r="F78" i="10"/>
  <c r="E78" i="10"/>
  <c r="D78" i="10"/>
  <c r="O77" i="10"/>
  <c r="M77" i="10"/>
  <c r="L77" i="10"/>
  <c r="K77" i="10"/>
  <c r="I77" i="10"/>
  <c r="H77" i="10"/>
  <c r="F77" i="10"/>
  <c r="E77" i="10"/>
  <c r="D77" i="10"/>
  <c r="O75" i="10"/>
  <c r="M75" i="10"/>
  <c r="L75" i="10"/>
  <c r="P75" i="10" s="1"/>
  <c r="K75" i="10"/>
  <c r="N75" i="10" s="1"/>
  <c r="I75" i="10"/>
  <c r="H75" i="10"/>
  <c r="J75" i="10" s="1"/>
  <c r="F75" i="10"/>
  <c r="E75" i="10"/>
  <c r="D75" i="10"/>
  <c r="O74" i="10"/>
  <c r="M74" i="10"/>
  <c r="L74" i="10"/>
  <c r="K74" i="10"/>
  <c r="I74" i="10"/>
  <c r="H74" i="10"/>
  <c r="F74" i="10"/>
  <c r="E74" i="10"/>
  <c r="D74" i="10"/>
  <c r="O73" i="10"/>
  <c r="M73" i="10"/>
  <c r="L73" i="10"/>
  <c r="P73" i="10" s="1"/>
  <c r="K73" i="10"/>
  <c r="N73" i="10" s="1"/>
  <c r="I73" i="10"/>
  <c r="H73" i="10"/>
  <c r="J73" i="10" s="1"/>
  <c r="F73" i="10"/>
  <c r="E73" i="10"/>
  <c r="D73" i="10"/>
  <c r="O72" i="10"/>
  <c r="M72" i="10"/>
  <c r="L72" i="10"/>
  <c r="K72" i="10"/>
  <c r="I72" i="10"/>
  <c r="H72" i="10"/>
  <c r="F72" i="10"/>
  <c r="E72" i="10"/>
  <c r="D72" i="10"/>
  <c r="O71" i="10"/>
  <c r="M71" i="10"/>
  <c r="L71" i="10"/>
  <c r="K71" i="10"/>
  <c r="I71" i="10"/>
  <c r="H71" i="10"/>
  <c r="F71" i="10"/>
  <c r="E71" i="10"/>
  <c r="D71" i="10"/>
  <c r="O70" i="10"/>
  <c r="M70" i="10"/>
  <c r="L70" i="10"/>
  <c r="K70" i="10"/>
  <c r="I70" i="10"/>
  <c r="H70" i="10"/>
  <c r="F70" i="10"/>
  <c r="E70" i="10"/>
  <c r="D70" i="10"/>
  <c r="O69" i="10"/>
  <c r="M69" i="10"/>
  <c r="L69" i="10"/>
  <c r="K69" i="10"/>
  <c r="I69" i="10"/>
  <c r="H69" i="10"/>
  <c r="F69" i="10"/>
  <c r="E69" i="10"/>
  <c r="D69" i="10"/>
  <c r="O68" i="10"/>
  <c r="M68" i="10"/>
  <c r="L68" i="10"/>
  <c r="K68" i="10"/>
  <c r="I68" i="10"/>
  <c r="H68" i="10"/>
  <c r="F68" i="10"/>
  <c r="E68" i="10"/>
  <c r="D68" i="10"/>
  <c r="O67" i="10"/>
  <c r="M67" i="10"/>
  <c r="L67" i="10"/>
  <c r="K67" i="10"/>
  <c r="I67" i="10"/>
  <c r="H67" i="10"/>
  <c r="F67" i="10"/>
  <c r="E67" i="10"/>
  <c r="D67" i="10"/>
  <c r="O66" i="10"/>
  <c r="M66" i="10"/>
  <c r="L66" i="10"/>
  <c r="P66" i="10" s="1"/>
  <c r="K66" i="10"/>
  <c r="N66" i="10" s="1"/>
  <c r="I66" i="10"/>
  <c r="H66" i="10"/>
  <c r="J66" i="10" s="1"/>
  <c r="F66" i="10"/>
  <c r="E66" i="10"/>
  <c r="D66" i="10"/>
  <c r="O65" i="10"/>
  <c r="M65" i="10"/>
  <c r="L65" i="10"/>
  <c r="K65" i="10"/>
  <c r="I65" i="10"/>
  <c r="H65" i="10"/>
  <c r="F65" i="10"/>
  <c r="E65" i="10"/>
  <c r="D65" i="10"/>
  <c r="O64" i="10"/>
  <c r="M64" i="10"/>
  <c r="L64" i="10"/>
  <c r="K64" i="10"/>
  <c r="I64" i="10"/>
  <c r="H64" i="10"/>
  <c r="F64" i="10"/>
  <c r="E64" i="10"/>
  <c r="D64" i="10"/>
  <c r="O63" i="10"/>
  <c r="M63" i="10"/>
  <c r="L63" i="10"/>
  <c r="K63" i="10"/>
  <c r="I63" i="10"/>
  <c r="H63" i="10"/>
  <c r="F63" i="10"/>
  <c r="E63" i="10"/>
  <c r="D63" i="10"/>
  <c r="O62" i="10"/>
  <c r="M62" i="10"/>
  <c r="L62" i="10"/>
  <c r="P62" i="10" s="1"/>
  <c r="K62" i="10"/>
  <c r="N62" i="10" s="1"/>
  <c r="I62" i="10"/>
  <c r="H62" i="10"/>
  <c r="J62" i="10" s="1"/>
  <c r="F62" i="10"/>
  <c r="E62" i="10"/>
  <c r="D62" i="10"/>
  <c r="O61" i="10"/>
  <c r="M61" i="10"/>
  <c r="L61" i="10"/>
  <c r="K61" i="10"/>
  <c r="I61" i="10"/>
  <c r="H61" i="10"/>
  <c r="F61" i="10"/>
  <c r="E61" i="10"/>
  <c r="D61" i="10"/>
  <c r="O60" i="10"/>
  <c r="M60" i="10"/>
  <c r="L60" i="10"/>
  <c r="K60" i="10"/>
  <c r="I60" i="10"/>
  <c r="H60" i="10"/>
  <c r="F60" i="10"/>
  <c r="E60" i="10"/>
  <c r="D60" i="10"/>
  <c r="O59" i="10"/>
  <c r="M59" i="10"/>
  <c r="L59" i="10"/>
  <c r="K59" i="10"/>
  <c r="I59" i="10"/>
  <c r="H59" i="10"/>
  <c r="F59" i="10"/>
  <c r="E59" i="10"/>
  <c r="D59" i="10"/>
  <c r="O58" i="10"/>
  <c r="M58" i="10"/>
  <c r="L58" i="10"/>
  <c r="K58" i="10"/>
  <c r="I58" i="10"/>
  <c r="H58" i="10"/>
  <c r="F58" i="10"/>
  <c r="E58" i="10"/>
  <c r="D58" i="10"/>
  <c r="O57" i="10"/>
  <c r="M57" i="10"/>
  <c r="L57" i="10"/>
  <c r="K57" i="10"/>
  <c r="I57" i="10"/>
  <c r="H57" i="10"/>
  <c r="F57" i="10"/>
  <c r="E57" i="10"/>
  <c r="D57" i="10"/>
  <c r="O56" i="10"/>
  <c r="M56" i="10"/>
  <c r="L56" i="10"/>
  <c r="K56" i="10"/>
  <c r="I56" i="10"/>
  <c r="H56" i="10"/>
  <c r="F56" i="10"/>
  <c r="E56" i="10"/>
  <c r="D56" i="10"/>
  <c r="O55" i="10"/>
  <c r="M55" i="10"/>
  <c r="L55" i="10"/>
  <c r="K55" i="10"/>
  <c r="I55" i="10"/>
  <c r="H55" i="10"/>
  <c r="F55" i="10"/>
  <c r="E55" i="10"/>
  <c r="D55" i="10"/>
  <c r="O53" i="10"/>
  <c r="M53" i="10"/>
  <c r="L53" i="10"/>
  <c r="K53" i="10"/>
  <c r="I53" i="10"/>
  <c r="H53" i="10"/>
  <c r="F53" i="10"/>
  <c r="E53" i="10"/>
  <c r="D53" i="10"/>
  <c r="O52" i="10"/>
  <c r="M52" i="10"/>
  <c r="L52" i="10"/>
  <c r="K52" i="10"/>
  <c r="I52" i="10"/>
  <c r="H52" i="10"/>
  <c r="F52" i="10"/>
  <c r="E52" i="10"/>
  <c r="D52" i="10"/>
  <c r="O51" i="10"/>
  <c r="M51" i="10"/>
  <c r="L51" i="10"/>
  <c r="K51" i="10"/>
  <c r="I51" i="10"/>
  <c r="H51" i="10"/>
  <c r="F51" i="10"/>
  <c r="E51" i="10"/>
  <c r="D51" i="10"/>
  <c r="O50" i="10"/>
  <c r="M50" i="10"/>
  <c r="L50" i="10"/>
  <c r="K50" i="10"/>
  <c r="I50" i="10"/>
  <c r="H50" i="10"/>
  <c r="F50" i="10"/>
  <c r="E50" i="10"/>
  <c r="D50" i="10"/>
  <c r="O49" i="10"/>
  <c r="M49" i="10"/>
  <c r="L49" i="10"/>
  <c r="K49" i="10"/>
  <c r="I49" i="10"/>
  <c r="H49" i="10"/>
  <c r="F49" i="10"/>
  <c r="E49" i="10"/>
  <c r="D49" i="10"/>
  <c r="O48" i="10"/>
  <c r="M48" i="10"/>
  <c r="L48" i="10"/>
  <c r="K48" i="10"/>
  <c r="I48" i="10"/>
  <c r="H48" i="10"/>
  <c r="F48" i="10"/>
  <c r="E48" i="10"/>
  <c r="D48" i="10"/>
  <c r="O47" i="10"/>
  <c r="M47" i="10"/>
  <c r="L47" i="10"/>
  <c r="K47" i="10"/>
  <c r="I47" i="10"/>
  <c r="H47" i="10"/>
  <c r="F47" i="10"/>
  <c r="E47" i="10"/>
  <c r="D47" i="10"/>
  <c r="O46" i="10"/>
  <c r="M46" i="10"/>
  <c r="L46" i="10"/>
  <c r="K46" i="10"/>
  <c r="I46" i="10"/>
  <c r="H46" i="10"/>
  <c r="F46" i="10"/>
  <c r="E46" i="10"/>
  <c r="D46" i="10"/>
  <c r="O45" i="10"/>
  <c r="M45" i="10"/>
  <c r="L45" i="10"/>
  <c r="K45" i="10"/>
  <c r="I45" i="10"/>
  <c r="H45" i="10"/>
  <c r="F45" i="10"/>
  <c r="E45" i="10"/>
  <c r="D45" i="10"/>
  <c r="O44" i="10"/>
  <c r="M44" i="10"/>
  <c r="L44" i="10"/>
  <c r="K44" i="10"/>
  <c r="I44" i="10"/>
  <c r="H44" i="10"/>
  <c r="F44" i="10"/>
  <c r="E44" i="10"/>
  <c r="D44" i="10"/>
  <c r="O43" i="10"/>
  <c r="M43" i="10"/>
  <c r="L43" i="10"/>
  <c r="K43" i="10"/>
  <c r="I43" i="10"/>
  <c r="H43" i="10"/>
  <c r="F43" i="10"/>
  <c r="E43" i="10"/>
  <c r="D43" i="10"/>
  <c r="O42" i="10"/>
  <c r="M42" i="10"/>
  <c r="L42" i="10"/>
  <c r="K42" i="10"/>
  <c r="I42" i="10"/>
  <c r="H42" i="10"/>
  <c r="F42" i="10"/>
  <c r="E42" i="10"/>
  <c r="D42" i="10"/>
  <c r="O41" i="10"/>
  <c r="M41" i="10"/>
  <c r="L41" i="10"/>
  <c r="K41" i="10"/>
  <c r="I41" i="10"/>
  <c r="H41" i="10"/>
  <c r="F41" i="10"/>
  <c r="E41" i="10"/>
  <c r="D41" i="10"/>
  <c r="O40" i="10"/>
  <c r="M40" i="10"/>
  <c r="L40" i="10"/>
  <c r="K40" i="10"/>
  <c r="I40" i="10"/>
  <c r="H40" i="10"/>
  <c r="F40" i="10"/>
  <c r="E40" i="10"/>
  <c r="D40" i="10"/>
  <c r="O39" i="10"/>
  <c r="M39" i="10"/>
  <c r="L39" i="10"/>
  <c r="K39" i="10"/>
  <c r="I39" i="10"/>
  <c r="H39" i="10"/>
  <c r="F39" i="10"/>
  <c r="E39" i="10"/>
  <c r="D39" i="10"/>
  <c r="O38" i="10"/>
  <c r="M38" i="10"/>
  <c r="L38" i="10"/>
  <c r="K38" i="10"/>
  <c r="I38" i="10"/>
  <c r="H38" i="10"/>
  <c r="F38" i="10"/>
  <c r="E38" i="10"/>
  <c r="D38" i="10"/>
  <c r="O37" i="10"/>
  <c r="M37" i="10"/>
  <c r="L37" i="10"/>
  <c r="K37" i="10"/>
  <c r="I37" i="10"/>
  <c r="H37" i="10"/>
  <c r="F37" i="10"/>
  <c r="E37" i="10"/>
  <c r="D37" i="10"/>
  <c r="O36" i="10"/>
  <c r="M36" i="10"/>
  <c r="L36" i="10"/>
  <c r="K36" i="10"/>
  <c r="I36" i="10"/>
  <c r="H36" i="10"/>
  <c r="F36" i="10"/>
  <c r="E36" i="10"/>
  <c r="D36" i="10"/>
  <c r="O35" i="10"/>
  <c r="M35" i="10"/>
  <c r="L35" i="10"/>
  <c r="K35" i="10"/>
  <c r="I35" i="10"/>
  <c r="H35" i="10"/>
  <c r="F35" i="10"/>
  <c r="E35" i="10"/>
  <c r="D35" i="10"/>
  <c r="O34" i="10"/>
  <c r="M34" i="10"/>
  <c r="L34" i="10"/>
  <c r="K34" i="10"/>
  <c r="I34" i="10"/>
  <c r="H34" i="10"/>
  <c r="F34" i="10"/>
  <c r="E34" i="10"/>
  <c r="D34" i="10"/>
  <c r="O32" i="10"/>
  <c r="M32" i="10"/>
  <c r="L32" i="10"/>
  <c r="K32" i="10"/>
  <c r="I32" i="10"/>
  <c r="H32" i="10"/>
  <c r="F32" i="10"/>
  <c r="E32" i="10"/>
  <c r="D32" i="10"/>
  <c r="O31" i="10"/>
  <c r="M31" i="10"/>
  <c r="L31" i="10"/>
  <c r="K31" i="10"/>
  <c r="I31" i="10"/>
  <c r="H31" i="10"/>
  <c r="F31" i="10"/>
  <c r="E31" i="10"/>
  <c r="D31" i="10"/>
  <c r="O30" i="10"/>
  <c r="M30" i="10"/>
  <c r="L30" i="10"/>
  <c r="K30" i="10"/>
  <c r="I30" i="10"/>
  <c r="H30" i="10"/>
  <c r="F30" i="10"/>
  <c r="E30" i="10"/>
  <c r="D30" i="10"/>
  <c r="O29" i="10"/>
  <c r="M29" i="10"/>
  <c r="L29" i="10"/>
  <c r="K29" i="10"/>
  <c r="I29" i="10"/>
  <c r="H29" i="10"/>
  <c r="F29" i="10"/>
  <c r="E29" i="10"/>
  <c r="D29" i="10"/>
  <c r="O28" i="10"/>
  <c r="M28" i="10"/>
  <c r="L28" i="10"/>
  <c r="K28" i="10"/>
  <c r="I28" i="10"/>
  <c r="H28" i="10"/>
  <c r="F28" i="10"/>
  <c r="E28" i="10"/>
  <c r="D28" i="10"/>
  <c r="O27" i="10"/>
  <c r="M27" i="10"/>
  <c r="L27" i="10"/>
  <c r="K27" i="10"/>
  <c r="I27" i="10"/>
  <c r="H27" i="10"/>
  <c r="F27" i="10"/>
  <c r="E27" i="10"/>
  <c r="D27" i="10"/>
  <c r="O26" i="10"/>
  <c r="M26" i="10"/>
  <c r="L26" i="10"/>
  <c r="K26" i="10"/>
  <c r="I26" i="10"/>
  <c r="H26" i="10"/>
  <c r="F26" i="10"/>
  <c r="E26" i="10"/>
  <c r="D26" i="10"/>
  <c r="O25" i="10"/>
  <c r="M25" i="10"/>
  <c r="L25" i="10"/>
  <c r="K25" i="10"/>
  <c r="I25" i="10"/>
  <c r="H25" i="10"/>
  <c r="F25" i="10"/>
  <c r="E25" i="10"/>
  <c r="D25" i="10"/>
  <c r="O24" i="10"/>
  <c r="M24" i="10"/>
  <c r="L24" i="10"/>
  <c r="K24" i="10"/>
  <c r="I24" i="10"/>
  <c r="H24" i="10"/>
  <c r="F24" i="10"/>
  <c r="E24" i="10"/>
  <c r="D24" i="10"/>
  <c r="O23" i="10"/>
  <c r="M23" i="10"/>
  <c r="L23" i="10"/>
  <c r="K23" i="10"/>
  <c r="I23" i="10"/>
  <c r="H23" i="10"/>
  <c r="F23" i="10"/>
  <c r="E23" i="10"/>
  <c r="D23" i="10"/>
  <c r="O22" i="10"/>
  <c r="M22" i="10"/>
  <c r="L22" i="10"/>
  <c r="K22" i="10"/>
  <c r="I22" i="10"/>
  <c r="H22" i="10"/>
  <c r="F22" i="10"/>
  <c r="E22" i="10"/>
  <c r="D22" i="10"/>
  <c r="O21" i="10"/>
  <c r="M21" i="10"/>
  <c r="L21" i="10"/>
  <c r="K21" i="10"/>
  <c r="I21" i="10"/>
  <c r="H21" i="10"/>
  <c r="F21" i="10"/>
  <c r="E21" i="10"/>
  <c r="D21" i="10"/>
  <c r="O20" i="10"/>
  <c r="M20" i="10"/>
  <c r="L20" i="10"/>
  <c r="K20" i="10"/>
  <c r="I20" i="10"/>
  <c r="H20" i="10"/>
  <c r="F20" i="10"/>
  <c r="E20" i="10"/>
  <c r="D20" i="10"/>
  <c r="O19" i="10"/>
  <c r="M19" i="10"/>
  <c r="L19" i="10"/>
  <c r="K19" i="10"/>
  <c r="I19" i="10"/>
  <c r="H19" i="10"/>
  <c r="F19" i="10"/>
  <c r="E19" i="10"/>
  <c r="D19" i="10"/>
  <c r="O18" i="10"/>
  <c r="M18" i="10"/>
  <c r="L18" i="10"/>
  <c r="K18" i="10"/>
  <c r="I18" i="10"/>
  <c r="H18" i="10"/>
  <c r="F18" i="10"/>
  <c r="E18" i="10"/>
  <c r="D18" i="10"/>
  <c r="O17" i="10"/>
  <c r="M17" i="10"/>
  <c r="L17" i="10"/>
  <c r="K17" i="10"/>
  <c r="I17" i="10"/>
  <c r="H17" i="10"/>
  <c r="F17" i="10"/>
  <c r="E17" i="10"/>
  <c r="D17" i="10"/>
  <c r="O16" i="10"/>
  <c r="M16" i="10"/>
  <c r="L16" i="10"/>
  <c r="K16" i="10"/>
  <c r="I16" i="10"/>
  <c r="H16" i="10"/>
  <c r="F16" i="10"/>
  <c r="E16" i="10"/>
  <c r="D16" i="10"/>
  <c r="P14" i="10"/>
  <c r="N14" i="10"/>
  <c r="J14" i="10"/>
  <c r="G14" i="10"/>
  <c r="O13" i="10"/>
  <c r="M13" i="10"/>
  <c r="F13" i="10"/>
  <c r="M12" i="10"/>
  <c r="I12" i="10"/>
  <c r="O11" i="10"/>
  <c r="Y114" i="9"/>
  <c r="AA114" i="9" s="1"/>
  <c r="V114" i="9"/>
  <c r="X114" i="9" s="1"/>
  <c r="U114" i="9"/>
  <c r="T114" i="9"/>
  <c r="P114" i="9"/>
  <c r="R114" i="9" s="1"/>
  <c r="L114" i="9"/>
  <c r="K114" i="9"/>
  <c r="M114" i="9" s="1"/>
  <c r="H114" i="9"/>
  <c r="J114" i="9" s="1"/>
  <c r="E114" i="9"/>
  <c r="D114" i="9"/>
  <c r="Y113" i="9"/>
  <c r="AA113" i="9" s="1"/>
  <c r="V113" i="9"/>
  <c r="X113" i="9" s="1"/>
  <c r="U113" i="9"/>
  <c r="T113" i="9"/>
  <c r="P113" i="9"/>
  <c r="R113" i="9" s="1"/>
  <c r="L113" i="9"/>
  <c r="K113" i="9"/>
  <c r="M113" i="9" s="1"/>
  <c r="H113" i="9"/>
  <c r="J113" i="9" s="1"/>
  <c r="E113" i="9"/>
  <c r="D113" i="9"/>
  <c r="Y112" i="9"/>
  <c r="AA112" i="9" s="1"/>
  <c r="V112" i="9"/>
  <c r="X112" i="9" s="1"/>
  <c r="U112" i="9"/>
  <c r="T112" i="9"/>
  <c r="P112" i="9"/>
  <c r="R112" i="9" s="1"/>
  <c r="L112" i="9"/>
  <c r="K112" i="9"/>
  <c r="M112" i="9" s="1"/>
  <c r="H112" i="9"/>
  <c r="J112" i="9" s="1"/>
  <c r="E112" i="9"/>
  <c r="D112" i="9"/>
  <c r="Y111" i="9"/>
  <c r="AA111" i="9" s="1"/>
  <c r="V111" i="9"/>
  <c r="X111" i="9" s="1"/>
  <c r="U111" i="9"/>
  <c r="T111" i="9"/>
  <c r="P111" i="9"/>
  <c r="R111" i="9" s="1"/>
  <c r="L111" i="9"/>
  <c r="K111" i="9"/>
  <c r="M111" i="9" s="1"/>
  <c r="H111" i="9"/>
  <c r="J111" i="9" s="1"/>
  <c r="E111" i="9"/>
  <c r="D111" i="9"/>
  <c r="Y110" i="9"/>
  <c r="AA110" i="9" s="1"/>
  <c r="V110" i="9"/>
  <c r="X110" i="9" s="1"/>
  <c r="U110" i="9"/>
  <c r="T110" i="9"/>
  <c r="P110" i="9"/>
  <c r="R110" i="9" s="1"/>
  <c r="L110" i="9"/>
  <c r="K110" i="9"/>
  <c r="M110" i="9" s="1"/>
  <c r="H110" i="9"/>
  <c r="J110" i="9" s="1"/>
  <c r="E110" i="9"/>
  <c r="D110" i="9"/>
  <c r="A110" i="9"/>
  <c r="A111" i="9" s="1"/>
  <c r="A112" i="9" s="1"/>
  <c r="Y109" i="9"/>
  <c r="AA109" i="9" s="1"/>
  <c r="V109" i="9"/>
  <c r="X109" i="9" s="1"/>
  <c r="U109" i="9"/>
  <c r="T109" i="9"/>
  <c r="P109" i="9"/>
  <c r="R109" i="9" s="1"/>
  <c r="L109" i="9"/>
  <c r="K109" i="9"/>
  <c r="M109" i="9" s="1"/>
  <c r="H109" i="9"/>
  <c r="J109" i="9" s="1"/>
  <c r="E109" i="9"/>
  <c r="D109" i="9"/>
  <c r="Y108" i="9"/>
  <c r="AA108" i="9" s="1"/>
  <c r="V108" i="9"/>
  <c r="X108" i="9" s="1"/>
  <c r="U108" i="9"/>
  <c r="T108" i="9"/>
  <c r="P108" i="9"/>
  <c r="R108" i="9" s="1"/>
  <c r="L108" i="9"/>
  <c r="K108" i="9"/>
  <c r="M108" i="9" s="1"/>
  <c r="H108" i="9"/>
  <c r="E108" i="9"/>
  <c r="D108" i="9"/>
  <c r="Y107" i="9"/>
  <c r="AA107" i="9" s="1"/>
  <c r="V107" i="9"/>
  <c r="U107" i="9"/>
  <c r="T107" i="9"/>
  <c r="P107" i="9"/>
  <c r="L107" i="9"/>
  <c r="K107" i="9"/>
  <c r="M107" i="9" s="1"/>
  <c r="H107" i="9"/>
  <c r="J107" i="9" s="1"/>
  <c r="E107" i="9"/>
  <c r="D107" i="9"/>
  <c r="Z106" i="9"/>
  <c r="W106" i="9"/>
  <c r="S106" i="9"/>
  <c r="Q106" i="9"/>
  <c r="Q13" i="9" s="1"/>
  <c r="O106" i="9"/>
  <c r="N106" i="9"/>
  <c r="L106" i="9" s="1"/>
  <c r="L13" i="9" s="1"/>
  <c r="I106" i="9"/>
  <c r="F106" i="9"/>
  <c r="Y105" i="9"/>
  <c r="AA105" i="9" s="1"/>
  <c r="V105" i="9"/>
  <c r="X105" i="9" s="1"/>
  <c r="U105" i="9"/>
  <c r="T105" i="9"/>
  <c r="P105" i="9"/>
  <c r="R105" i="9" s="1"/>
  <c r="L105" i="9"/>
  <c r="K105" i="9"/>
  <c r="M105" i="9" s="1"/>
  <c r="H105" i="9"/>
  <c r="J105" i="9" s="1"/>
  <c r="E105" i="9"/>
  <c r="D105" i="9"/>
  <c r="Y104" i="9"/>
  <c r="AA104" i="9" s="1"/>
  <c r="V104" i="9"/>
  <c r="X104" i="9" s="1"/>
  <c r="U104" i="9"/>
  <c r="T104" i="9"/>
  <c r="P104" i="9"/>
  <c r="R104" i="9" s="1"/>
  <c r="L104" i="9"/>
  <c r="K104" i="9"/>
  <c r="M104" i="9" s="1"/>
  <c r="H104" i="9"/>
  <c r="J104" i="9" s="1"/>
  <c r="E104" i="9"/>
  <c r="D104" i="9"/>
  <c r="Y103" i="9"/>
  <c r="AA103" i="9" s="1"/>
  <c r="V103" i="9"/>
  <c r="X103" i="9" s="1"/>
  <c r="U103" i="9"/>
  <c r="T103" i="9"/>
  <c r="P103" i="9"/>
  <c r="R103" i="9" s="1"/>
  <c r="L103" i="9"/>
  <c r="K103" i="9"/>
  <c r="M103" i="9" s="1"/>
  <c r="H103" i="9"/>
  <c r="J103" i="9" s="1"/>
  <c r="E103" i="9"/>
  <c r="D103" i="9"/>
  <c r="Y102" i="9"/>
  <c r="AA102" i="9" s="1"/>
  <c r="V102" i="9"/>
  <c r="X102" i="9" s="1"/>
  <c r="U102" i="9"/>
  <c r="T102" i="9"/>
  <c r="P102" i="9"/>
  <c r="R102" i="9" s="1"/>
  <c r="L102" i="9"/>
  <c r="K102" i="9"/>
  <c r="M102" i="9" s="1"/>
  <c r="H102" i="9"/>
  <c r="J102" i="9" s="1"/>
  <c r="E102" i="9"/>
  <c r="D102" i="9"/>
  <c r="Y101" i="9"/>
  <c r="AA101" i="9" s="1"/>
  <c r="V101" i="9"/>
  <c r="X101" i="9" s="1"/>
  <c r="U101" i="9"/>
  <c r="T101" i="9"/>
  <c r="P101" i="9"/>
  <c r="R101" i="9" s="1"/>
  <c r="L101" i="9"/>
  <c r="K101" i="9"/>
  <c r="M101" i="9" s="1"/>
  <c r="H101" i="9"/>
  <c r="J101" i="9" s="1"/>
  <c r="E101" i="9"/>
  <c r="D101" i="9"/>
  <c r="Y100" i="9"/>
  <c r="AA100" i="9" s="1"/>
  <c r="V100" i="9"/>
  <c r="X100" i="9" s="1"/>
  <c r="U100" i="9"/>
  <c r="T100" i="9"/>
  <c r="P100" i="9"/>
  <c r="R100" i="9" s="1"/>
  <c r="L100" i="9"/>
  <c r="K100" i="9"/>
  <c r="M100" i="9" s="1"/>
  <c r="H100" i="9"/>
  <c r="J100" i="9" s="1"/>
  <c r="E100" i="9"/>
  <c r="D100" i="9"/>
  <c r="Y99" i="9"/>
  <c r="AA99" i="9" s="1"/>
  <c r="V99" i="9"/>
  <c r="X99" i="9" s="1"/>
  <c r="U99" i="9"/>
  <c r="T99" i="9"/>
  <c r="P99" i="9"/>
  <c r="R99" i="9" s="1"/>
  <c r="L99" i="9"/>
  <c r="K99" i="9"/>
  <c r="M99" i="9" s="1"/>
  <c r="H99" i="9"/>
  <c r="J99" i="9" s="1"/>
  <c r="E99" i="9"/>
  <c r="D99" i="9"/>
  <c r="Y98" i="9"/>
  <c r="AA98" i="9" s="1"/>
  <c r="V98" i="9"/>
  <c r="X98" i="9" s="1"/>
  <c r="U98" i="9"/>
  <c r="T98" i="9"/>
  <c r="P98" i="9"/>
  <c r="R98" i="9" s="1"/>
  <c r="L98" i="9"/>
  <c r="K98" i="9"/>
  <c r="M98" i="9" s="1"/>
  <c r="H98" i="9"/>
  <c r="J98" i="9" s="1"/>
  <c r="F98" i="9"/>
  <c r="E98" i="9"/>
  <c r="D98" i="9"/>
  <c r="Y97" i="9"/>
  <c r="AA97" i="9" s="1"/>
  <c r="V97" i="9"/>
  <c r="X97" i="9" s="1"/>
  <c r="U97" i="9"/>
  <c r="T97" i="9"/>
  <c r="P97" i="9"/>
  <c r="R97" i="9" s="1"/>
  <c r="L97" i="9"/>
  <c r="K97" i="9"/>
  <c r="M97" i="9" s="1"/>
  <c r="H97" i="9"/>
  <c r="J97" i="9" s="1"/>
  <c r="E97" i="9"/>
  <c r="D97" i="9"/>
  <c r="Y96" i="9"/>
  <c r="AA96" i="9" s="1"/>
  <c r="V96" i="9"/>
  <c r="X96" i="9" s="1"/>
  <c r="U96" i="9"/>
  <c r="T96" i="9"/>
  <c r="P96" i="9"/>
  <c r="R96" i="9" s="1"/>
  <c r="L96" i="9"/>
  <c r="K96" i="9"/>
  <c r="M96" i="9" s="1"/>
  <c r="H96" i="9"/>
  <c r="J96" i="9" s="1"/>
  <c r="E96" i="9"/>
  <c r="D96" i="9"/>
  <c r="Y95" i="9"/>
  <c r="AA95" i="9" s="1"/>
  <c r="V95" i="9"/>
  <c r="U95" i="9"/>
  <c r="T95" i="9"/>
  <c r="P95" i="9"/>
  <c r="R95" i="9" s="1"/>
  <c r="L95" i="9"/>
  <c r="K95" i="9"/>
  <c r="M95" i="9" s="1"/>
  <c r="H95" i="9"/>
  <c r="J95" i="9" s="1"/>
  <c r="E95" i="9"/>
  <c r="D95" i="9"/>
  <c r="A95" i="9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Y94" i="9"/>
  <c r="AA94" i="9" s="1"/>
  <c r="V94" i="9"/>
  <c r="X94" i="9" s="1"/>
  <c r="U94" i="9"/>
  <c r="T94" i="9"/>
  <c r="P94" i="9"/>
  <c r="R94" i="9" s="1"/>
  <c r="L94" i="9"/>
  <c r="K94" i="9"/>
  <c r="M94" i="9" s="1"/>
  <c r="H94" i="9"/>
  <c r="J94" i="9" s="1"/>
  <c r="E94" i="9"/>
  <c r="D94" i="9"/>
  <c r="Y93" i="9"/>
  <c r="AA93" i="9" s="1"/>
  <c r="V93" i="9"/>
  <c r="X93" i="9" s="1"/>
  <c r="U93" i="9"/>
  <c r="T93" i="9"/>
  <c r="P93" i="9"/>
  <c r="R93" i="9" s="1"/>
  <c r="L93" i="9"/>
  <c r="K93" i="9"/>
  <c r="M93" i="9" s="1"/>
  <c r="H93" i="9"/>
  <c r="J93" i="9" s="1"/>
  <c r="E93" i="9"/>
  <c r="D93" i="9"/>
  <c r="Y92" i="9"/>
  <c r="AA92" i="9" s="1"/>
  <c r="V92" i="9"/>
  <c r="X92" i="9" s="1"/>
  <c r="U92" i="9"/>
  <c r="T92" i="9"/>
  <c r="P92" i="9"/>
  <c r="L92" i="9"/>
  <c r="K92" i="9"/>
  <c r="M92" i="9" s="1"/>
  <c r="H92" i="9"/>
  <c r="E92" i="9"/>
  <c r="D92" i="9"/>
  <c r="Z91" i="9"/>
  <c r="W91" i="9"/>
  <c r="U91" i="9"/>
  <c r="T91" i="9"/>
  <c r="S91" i="9"/>
  <c r="Q91" i="9"/>
  <c r="O91" i="9"/>
  <c r="O12" i="9" s="1"/>
  <c r="O11" i="9" s="1"/>
  <c r="N91" i="9"/>
  <c r="L91" i="9" s="1"/>
  <c r="L12" i="9" s="1"/>
  <c r="L11" i="9" s="1"/>
  <c r="I91" i="9"/>
  <c r="Z90" i="9"/>
  <c r="Y90" i="9"/>
  <c r="W90" i="9"/>
  <c r="V90" i="9"/>
  <c r="P90" i="9"/>
  <c r="R90" i="9" s="1"/>
  <c r="O90" i="9"/>
  <c r="N90" i="9"/>
  <c r="K90" i="9"/>
  <c r="H90" i="9"/>
  <c r="J90" i="9" s="1"/>
  <c r="F90" i="9"/>
  <c r="E90" i="9"/>
  <c r="D90" i="9"/>
  <c r="Z89" i="9"/>
  <c r="Y89" i="9"/>
  <c r="AA89" i="9" s="1"/>
  <c r="W89" i="9"/>
  <c r="V89" i="9"/>
  <c r="P89" i="9"/>
  <c r="R89" i="9" s="1"/>
  <c r="O89" i="9"/>
  <c r="N89" i="9"/>
  <c r="K89" i="9"/>
  <c r="M89" i="9" s="1"/>
  <c r="H89" i="9"/>
  <c r="J89" i="9" s="1"/>
  <c r="F89" i="9"/>
  <c r="E89" i="9"/>
  <c r="D89" i="9"/>
  <c r="Z88" i="9"/>
  <c r="Y88" i="9"/>
  <c r="W88" i="9"/>
  <c r="V88" i="9"/>
  <c r="P88" i="9"/>
  <c r="O88" i="9"/>
  <c r="N88" i="9"/>
  <c r="K88" i="9"/>
  <c r="H88" i="9"/>
  <c r="J88" i="9" s="1"/>
  <c r="F88" i="9"/>
  <c r="E88" i="9"/>
  <c r="D88" i="9"/>
  <c r="Z87" i="9"/>
  <c r="Y87" i="9"/>
  <c r="W87" i="9"/>
  <c r="V87" i="9"/>
  <c r="P87" i="9"/>
  <c r="R87" i="9" s="1"/>
  <c r="O87" i="9"/>
  <c r="N87" i="9"/>
  <c r="K87" i="9"/>
  <c r="H87" i="9"/>
  <c r="J87" i="9" s="1"/>
  <c r="F87" i="9"/>
  <c r="E87" i="9"/>
  <c r="D87" i="9"/>
  <c r="Z86" i="9"/>
  <c r="Y86" i="9"/>
  <c r="W86" i="9"/>
  <c r="V86" i="9"/>
  <c r="X86" i="9" s="1"/>
  <c r="P86" i="9"/>
  <c r="R86" i="9" s="1"/>
  <c r="O86" i="9"/>
  <c r="N86" i="9"/>
  <c r="K86" i="9"/>
  <c r="M86" i="9" s="1"/>
  <c r="H86" i="9"/>
  <c r="J86" i="9" s="1"/>
  <c r="F86" i="9"/>
  <c r="E86" i="9"/>
  <c r="D86" i="9"/>
  <c r="Z85" i="9"/>
  <c r="Y85" i="9"/>
  <c r="W85" i="9"/>
  <c r="V85" i="9"/>
  <c r="X85" i="9" s="1"/>
  <c r="P85" i="9"/>
  <c r="R85" i="9" s="1"/>
  <c r="O85" i="9"/>
  <c r="N85" i="9"/>
  <c r="K85" i="9"/>
  <c r="H85" i="9"/>
  <c r="J85" i="9" s="1"/>
  <c r="F85" i="9"/>
  <c r="E85" i="9"/>
  <c r="D85" i="9"/>
  <c r="Z84" i="9"/>
  <c r="Y84" i="9"/>
  <c r="W84" i="9"/>
  <c r="V84" i="9"/>
  <c r="P84" i="9"/>
  <c r="R84" i="9" s="1"/>
  <c r="O84" i="9"/>
  <c r="N84" i="9"/>
  <c r="K84" i="9"/>
  <c r="H84" i="9"/>
  <c r="J84" i="9" s="1"/>
  <c r="F84" i="9"/>
  <c r="E84" i="9"/>
  <c r="D84" i="9"/>
  <c r="Z83" i="9"/>
  <c r="Y83" i="9"/>
  <c r="W83" i="9"/>
  <c r="V83" i="9"/>
  <c r="P83" i="9"/>
  <c r="R83" i="9" s="1"/>
  <c r="O83" i="9"/>
  <c r="N83" i="9"/>
  <c r="K83" i="9"/>
  <c r="H83" i="9"/>
  <c r="J83" i="9" s="1"/>
  <c r="F83" i="9"/>
  <c r="E83" i="9"/>
  <c r="D83" i="9"/>
  <c r="Z82" i="9"/>
  <c r="Y82" i="9"/>
  <c r="AA82" i="9" s="1"/>
  <c r="W82" i="9"/>
  <c r="V82" i="9"/>
  <c r="P82" i="9"/>
  <c r="R82" i="9" s="1"/>
  <c r="O82" i="9"/>
  <c r="N82" i="9"/>
  <c r="K82" i="9"/>
  <c r="H82" i="9"/>
  <c r="J82" i="9" s="1"/>
  <c r="F82" i="9"/>
  <c r="E82" i="9"/>
  <c r="D82" i="9"/>
  <c r="Z81" i="9"/>
  <c r="Y81" i="9"/>
  <c r="AA81" i="9" s="1"/>
  <c r="W81" i="9"/>
  <c r="V81" i="9"/>
  <c r="X81" i="9" s="1"/>
  <c r="P81" i="9"/>
  <c r="R81" i="9" s="1"/>
  <c r="O81" i="9"/>
  <c r="N81" i="9"/>
  <c r="K81" i="9"/>
  <c r="M81" i="9" s="1"/>
  <c r="H81" i="9"/>
  <c r="J81" i="9" s="1"/>
  <c r="F81" i="9"/>
  <c r="E81" i="9"/>
  <c r="D81" i="9"/>
  <c r="Z80" i="9"/>
  <c r="Y80" i="9"/>
  <c r="AA80" i="9" s="1"/>
  <c r="W80" i="9"/>
  <c r="V80" i="9"/>
  <c r="P80" i="9"/>
  <c r="R80" i="9" s="1"/>
  <c r="O80" i="9"/>
  <c r="N80" i="9"/>
  <c r="K80" i="9"/>
  <c r="M80" i="9" s="1"/>
  <c r="H80" i="9"/>
  <c r="J80" i="9" s="1"/>
  <c r="F80" i="9"/>
  <c r="E80" i="9"/>
  <c r="D80" i="9"/>
  <c r="Z79" i="9"/>
  <c r="Y79" i="9"/>
  <c r="W79" i="9"/>
  <c r="V79" i="9"/>
  <c r="P79" i="9"/>
  <c r="R79" i="9" s="1"/>
  <c r="O79" i="9"/>
  <c r="N79" i="9"/>
  <c r="K79" i="9"/>
  <c r="H79" i="9"/>
  <c r="J79" i="9" s="1"/>
  <c r="F79" i="9"/>
  <c r="E79" i="9"/>
  <c r="D79" i="9"/>
  <c r="Z78" i="9"/>
  <c r="Y78" i="9"/>
  <c r="W78" i="9"/>
  <c r="V78" i="9"/>
  <c r="P78" i="9"/>
  <c r="R78" i="9" s="1"/>
  <c r="O78" i="9"/>
  <c r="N78" i="9"/>
  <c r="K78" i="9"/>
  <c r="H78" i="9"/>
  <c r="J78" i="9" s="1"/>
  <c r="F78" i="9"/>
  <c r="E78" i="9"/>
  <c r="D78" i="9"/>
  <c r="Z77" i="9"/>
  <c r="Y77" i="9"/>
  <c r="AA77" i="9" s="1"/>
  <c r="W77" i="9"/>
  <c r="V77" i="9"/>
  <c r="P77" i="9"/>
  <c r="R77" i="9" s="1"/>
  <c r="O77" i="9"/>
  <c r="N77" i="9"/>
  <c r="K77" i="9"/>
  <c r="M77" i="9" s="1"/>
  <c r="H77" i="9"/>
  <c r="F77" i="9"/>
  <c r="E77" i="9"/>
  <c r="D77" i="9"/>
  <c r="Q76" i="9"/>
  <c r="I76" i="9"/>
  <c r="Z75" i="9"/>
  <c r="Y75" i="9"/>
  <c r="AA75" i="9" s="1"/>
  <c r="W75" i="9"/>
  <c r="V75" i="9"/>
  <c r="P75" i="9"/>
  <c r="R75" i="9" s="1"/>
  <c r="O75" i="9"/>
  <c r="N75" i="9"/>
  <c r="K75" i="9"/>
  <c r="H75" i="9"/>
  <c r="J75" i="9" s="1"/>
  <c r="F75" i="9"/>
  <c r="E75" i="9"/>
  <c r="D75" i="9"/>
  <c r="Z74" i="9"/>
  <c r="Y74" i="9"/>
  <c r="W74" i="9"/>
  <c r="V74" i="9"/>
  <c r="P74" i="9"/>
  <c r="R74" i="9" s="1"/>
  <c r="O74" i="9"/>
  <c r="N74" i="9"/>
  <c r="K74" i="9"/>
  <c r="H74" i="9"/>
  <c r="J74" i="9" s="1"/>
  <c r="F74" i="9"/>
  <c r="E74" i="9"/>
  <c r="D74" i="9"/>
  <c r="Z73" i="9"/>
  <c r="Y73" i="9"/>
  <c r="AA73" i="9" s="1"/>
  <c r="W73" i="9"/>
  <c r="V73" i="9"/>
  <c r="P73" i="9"/>
  <c r="R73" i="9" s="1"/>
  <c r="O73" i="9"/>
  <c r="N73" i="9"/>
  <c r="K73" i="9"/>
  <c r="M73" i="9" s="1"/>
  <c r="H73" i="9"/>
  <c r="J73" i="9" s="1"/>
  <c r="F73" i="9"/>
  <c r="E73" i="9"/>
  <c r="D73" i="9"/>
  <c r="Z72" i="9"/>
  <c r="Y72" i="9"/>
  <c r="W72" i="9"/>
  <c r="V72" i="9"/>
  <c r="P72" i="9"/>
  <c r="R72" i="9" s="1"/>
  <c r="O72" i="9"/>
  <c r="N72" i="9"/>
  <c r="K72" i="9"/>
  <c r="H72" i="9"/>
  <c r="J72" i="9" s="1"/>
  <c r="F72" i="9"/>
  <c r="E72" i="9"/>
  <c r="D72" i="9"/>
  <c r="Z71" i="9"/>
  <c r="Y71" i="9"/>
  <c r="AA71" i="9" s="1"/>
  <c r="W71" i="9"/>
  <c r="V71" i="9"/>
  <c r="P71" i="9"/>
  <c r="R71" i="9" s="1"/>
  <c r="O71" i="9"/>
  <c r="N71" i="9"/>
  <c r="K71" i="9"/>
  <c r="M71" i="9" s="1"/>
  <c r="H71" i="9"/>
  <c r="J71" i="9" s="1"/>
  <c r="F71" i="9"/>
  <c r="E71" i="9"/>
  <c r="D71" i="9"/>
  <c r="Z70" i="9"/>
  <c r="Y70" i="9"/>
  <c r="W70" i="9"/>
  <c r="V70" i="9"/>
  <c r="P70" i="9"/>
  <c r="R70" i="9" s="1"/>
  <c r="O70" i="9"/>
  <c r="N70" i="9"/>
  <c r="K70" i="9"/>
  <c r="H70" i="9"/>
  <c r="J70" i="9" s="1"/>
  <c r="F70" i="9"/>
  <c r="E70" i="9"/>
  <c r="D70" i="9"/>
  <c r="Z69" i="9"/>
  <c r="Y69" i="9"/>
  <c r="W69" i="9"/>
  <c r="V69" i="9"/>
  <c r="X69" i="9" s="1"/>
  <c r="P69" i="9"/>
  <c r="R69" i="9" s="1"/>
  <c r="O69" i="9"/>
  <c r="N69" i="9"/>
  <c r="K69" i="9"/>
  <c r="M69" i="9" s="1"/>
  <c r="H69" i="9"/>
  <c r="J69" i="9" s="1"/>
  <c r="F69" i="9"/>
  <c r="E69" i="9"/>
  <c r="D69" i="9"/>
  <c r="Z68" i="9"/>
  <c r="Y68" i="9"/>
  <c r="W68" i="9"/>
  <c r="V68" i="9"/>
  <c r="P68" i="9"/>
  <c r="R68" i="9" s="1"/>
  <c r="O68" i="9"/>
  <c r="N68" i="9"/>
  <c r="K68" i="9"/>
  <c r="H68" i="9"/>
  <c r="J68" i="9" s="1"/>
  <c r="F68" i="9"/>
  <c r="E68" i="9"/>
  <c r="D68" i="9"/>
  <c r="Z67" i="9"/>
  <c r="Y67" i="9"/>
  <c r="AA67" i="9" s="1"/>
  <c r="W67" i="9"/>
  <c r="V67" i="9"/>
  <c r="X67" i="9" s="1"/>
  <c r="P67" i="9"/>
  <c r="R67" i="9" s="1"/>
  <c r="O67" i="9"/>
  <c r="N67" i="9"/>
  <c r="K67" i="9"/>
  <c r="M67" i="9" s="1"/>
  <c r="H67" i="9"/>
  <c r="J67" i="9" s="1"/>
  <c r="F67" i="9"/>
  <c r="E67" i="9"/>
  <c r="D67" i="9"/>
  <c r="Z66" i="9"/>
  <c r="Y66" i="9"/>
  <c r="W66" i="9"/>
  <c r="V66" i="9"/>
  <c r="X66" i="9" s="1"/>
  <c r="P66" i="9"/>
  <c r="R66" i="9" s="1"/>
  <c r="O66" i="9"/>
  <c r="N66" i="9"/>
  <c r="K66" i="9"/>
  <c r="M66" i="9" s="1"/>
  <c r="H66" i="9"/>
  <c r="J66" i="9" s="1"/>
  <c r="F66" i="9"/>
  <c r="E66" i="9"/>
  <c r="D66" i="9"/>
  <c r="Z65" i="9"/>
  <c r="Y65" i="9"/>
  <c r="W65" i="9"/>
  <c r="V65" i="9"/>
  <c r="P65" i="9"/>
  <c r="R65" i="9" s="1"/>
  <c r="O65" i="9"/>
  <c r="N65" i="9"/>
  <c r="K65" i="9"/>
  <c r="H65" i="9"/>
  <c r="J65" i="9" s="1"/>
  <c r="F65" i="9"/>
  <c r="E65" i="9"/>
  <c r="D65" i="9"/>
  <c r="Z64" i="9"/>
  <c r="Y64" i="9"/>
  <c r="AA64" i="9" s="1"/>
  <c r="W64" i="9"/>
  <c r="V64" i="9"/>
  <c r="P64" i="9"/>
  <c r="R64" i="9" s="1"/>
  <c r="O64" i="9"/>
  <c r="N64" i="9"/>
  <c r="K64" i="9"/>
  <c r="M64" i="9" s="1"/>
  <c r="H64" i="9"/>
  <c r="J64" i="9" s="1"/>
  <c r="F64" i="9"/>
  <c r="E64" i="9"/>
  <c r="D64" i="9"/>
  <c r="Z63" i="9"/>
  <c r="Y63" i="9"/>
  <c r="AA63" i="9" s="1"/>
  <c r="W63" i="9"/>
  <c r="V63" i="9"/>
  <c r="P63" i="9"/>
  <c r="R63" i="9" s="1"/>
  <c r="O63" i="9"/>
  <c r="N63" i="9"/>
  <c r="K63" i="9"/>
  <c r="H63" i="9"/>
  <c r="J63" i="9" s="1"/>
  <c r="F63" i="9"/>
  <c r="E63" i="9"/>
  <c r="D63" i="9"/>
  <c r="Z62" i="9"/>
  <c r="Y62" i="9"/>
  <c r="AA62" i="9" s="1"/>
  <c r="W62" i="9"/>
  <c r="V62" i="9"/>
  <c r="X62" i="9" s="1"/>
  <c r="P62" i="9"/>
  <c r="R62" i="9" s="1"/>
  <c r="O62" i="9"/>
  <c r="N62" i="9"/>
  <c r="K62" i="9"/>
  <c r="M62" i="9" s="1"/>
  <c r="H62" i="9"/>
  <c r="J62" i="9" s="1"/>
  <c r="F62" i="9"/>
  <c r="E62" i="9"/>
  <c r="D62" i="9"/>
  <c r="Z61" i="9"/>
  <c r="Y61" i="9"/>
  <c r="W61" i="9"/>
  <c r="V61" i="9"/>
  <c r="P61" i="9"/>
  <c r="R61" i="9" s="1"/>
  <c r="O61" i="9"/>
  <c r="N61" i="9"/>
  <c r="K61" i="9"/>
  <c r="H61" i="9"/>
  <c r="J61" i="9" s="1"/>
  <c r="F61" i="9"/>
  <c r="E61" i="9"/>
  <c r="D61" i="9"/>
  <c r="Z60" i="9"/>
  <c r="Y60" i="9"/>
  <c r="W60" i="9"/>
  <c r="V60" i="9"/>
  <c r="X60" i="9" s="1"/>
  <c r="P60" i="9"/>
  <c r="R60" i="9" s="1"/>
  <c r="O60" i="9"/>
  <c r="N60" i="9"/>
  <c r="K60" i="9"/>
  <c r="M60" i="9" s="1"/>
  <c r="H60" i="9"/>
  <c r="J60" i="9" s="1"/>
  <c r="F60" i="9"/>
  <c r="E60" i="9"/>
  <c r="D60" i="9"/>
  <c r="Z59" i="9"/>
  <c r="Y59" i="9"/>
  <c r="AA59" i="9" s="1"/>
  <c r="W59" i="9"/>
  <c r="V59" i="9"/>
  <c r="P59" i="9"/>
  <c r="R59" i="9" s="1"/>
  <c r="O59" i="9"/>
  <c r="N59" i="9"/>
  <c r="K59" i="9"/>
  <c r="H59" i="9"/>
  <c r="J59" i="9" s="1"/>
  <c r="F59" i="9"/>
  <c r="E59" i="9"/>
  <c r="D59" i="9"/>
  <c r="Z58" i="9"/>
  <c r="Y58" i="9"/>
  <c r="W58" i="9"/>
  <c r="V58" i="9"/>
  <c r="X58" i="9" s="1"/>
  <c r="P58" i="9"/>
  <c r="R58" i="9" s="1"/>
  <c r="O58" i="9"/>
  <c r="N58" i="9"/>
  <c r="K58" i="9"/>
  <c r="H58" i="9"/>
  <c r="J58" i="9" s="1"/>
  <c r="F58" i="9"/>
  <c r="E58" i="9"/>
  <c r="D58" i="9"/>
  <c r="Z57" i="9"/>
  <c r="Y57" i="9"/>
  <c r="W57" i="9"/>
  <c r="V57" i="9"/>
  <c r="P57" i="9"/>
  <c r="R57" i="9" s="1"/>
  <c r="O57" i="9"/>
  <c r="N57" i="9"/>
  <c r="K57" i="9"/>
  <c r="H57" i="9"/>
  <c r="J57" i="9" s="1"/>
  <c r="F57" i="9"/>
  <c r="E57" i="9"/>
  <c r="D57" i="9"/>
  <c r="Z56" i="9"/>
  <c r="Y56" i="9"/>
  <c r="W56" i="9"/>
  <c r="V56" i="9"/>
  <c r="P56" i="9"/>
  <c r="O56" i="9"/>
  <c r="N56" i="9"/>
  <c r="K56" i="9"/>
  <c r="M56" i="9" s="1"/>
  <c r="H56" i="9"/>
  <c r="J56" i="9" s="1"/>
  <c r="F56" i="9"/>
  <c r="E56" i="9"/>
  <c r="D56" i="9"/>
  <c r="Z55" i="9"/>
  <c r="Y55" i="9"/>
  <c r="AA55" i="9" s="1"/>
  <c r="W55" i="9"/>
  <c r="V55" i="9"/>
  <c r="P55" i="9"/>
  <c r="R55" i="9" s="1"/>
  <c r="O55" i="9"/>
  <c r="N55" i="9"/>
  <c r="K55" i="9"/>
  <c r="H55" i="9"/>
  <c r="F55" i="9"/>
  <c r="E55" i="9"/>
  <c r="D55" i="9"/>
  <c r="Q54" i="9"/>
  <c r="I54" i="9"/>
  <c r="Z53" i="9"/>
  <c r="Y53" i="9"/>
  <c r="W53" i="9"/>
  <c r="V53" i="9"/>
  <c r="P53" i="9"/>
  <c r="R53" i="9" s="1"/>
  <c r="O53" i="9"/>
  <c r="N53" i="9"/>
  <c r="K53" i="9"/>
  <c r="H53" i="9"/>
  <c r="J53" i="9" s="1"/>
  <c r="F53" i="9"/>
  <c r="E53" i="9"/>
  <c r="D53" i="9"/>
  <c r="Z52" i="9"/>
  <c r="Y52" i="9"/>
  <c r="W52" i="9"/>
  <c r="V52" i="9"/>
  <c r="P52" i="9"/>
  <c r="R52" i="9" s="1"/>
  <c r="O52" i="9"/>
  <c r="N52" i="9"/>
  <c r="K52" i="9"/>
  <c r="H52" i="9"/>
  <c r="J52" i="9" s="1"/>
  <c r="F52" i="9"/>
  <c r="E52" i="9"/>
  <c r="D52" i="9"/>
  <c r="Z51" i="9"/>
  <c r="Y51" i="9"/>
  <c r="W51" i="9"/>
  <c r="V51" i="9"/>
  <c r="P51" i="9"/>
  <c r="R51" i="9" s="1"/>
  <c r="O51" i="9"/>
  <c r="L51" i="9" s="1"/>
  <c r="N51" i="9"/>
  <c r="K51" i="9"/>
  <c r="H51" i="9"/>
  <c r="J51" i="9" s="1"/>
  <c r="F51" i="9"/>
  <c r="E51" i="9"/>
  <c r="D51" i="9"/>
  <c r="Z50" i="9"/>
  <c r="Y50" i="9"/>
  <c r="W50" i="9"/>
  <c r="V50" i="9"/>
  <c r="P50" i="9"/>
  <c r="R50" i="9" s="1"/>
  <c r="O50" i="9"/>
  <c r="N50" i="9"/>
  <c r="K50" i="9"/>
  <c r="H50" i="9"/>
  <c r="J50" i="9" s="1"/>
  <c r="F50" i="9"/>
  <c r="E50" i="9"/>
  <c r="D50" i="9"/>
  <c r="Z49" i="9"/>
  <c r="Y49" i="9"/>
  <c r="W49" i="9"/>
  <c r="V49" i="9"/>
  <c r="P49" i="9"/>
  <c r="R49" i="9" s="1"/>
  <c r="O49" i="9"/>
  <c r="N49" i="9"/>
  <c r="K49" i="9"/>
  <c r="H49" i="9"/>
  <c r="J49" i="9" s="1"/>
  <c r="F49" i="9"/>
  <c r="E49" i="9"/>
  <c r="D49" i="9"/>
  <c r="Z48" i="9"/>
  <c r="Y48" i="9"/>
  <c r="AA48" i="9" s="1"/>
  <c r="W48" i="9"/>
  <c r="V48" i="9"/>
  <c r="P48" i="9"/>
  <c r="R48" i="9" s="1"/>
  <c r="O48" i="9"/>
  <c r="N48" i="9"/>
  <c r="K48" i="9"/>
  <c r="H48" i="9"/>
  <c r="J48" i="9" s="1"/>
  <c r="F48" i="9"/>
  <c r="E48" i="9"/>
  <c r="D48" i="9"/>
  <c r="Z47" i="9"/>
  <c r="Y47" i="9"/>
  <c r="W47" i="9"/>
  <c r="V47" i="9"/>
  <c r="P47" i="9"/>
  <c r="R47" i="9" s="1"/>
  <c r="O47" i="9"/>
  <c r="N47" i="9"/>
  <c r="K47" i="9"/>
  <c r="H47" i="9"/>
  <c r="J47" i="9" s="1"/>
  <c r="F47" i="9"/>
  <c r="E47" i="9"/>
  <c r="D47" i="9"/>
  <c r="Z46" i="9"/>
  <c r="Y46" i="9"/>
  <c r="W46" i="9"/>
  <c r="V46" i="9"/>
  <c r="X46" i="9" s="1"/>
  <c r="P46" i="9"/>
  <c r="R46" i="9" s="1"/>
  <c r="O46" i="9"/>
  <c r="N46" i="9"/>
  <c r="K46" i="9"/>
  <c r="H46" i="9"/>
  <c r="J46" i="9" s="1"/>
  <c r="F46" i="9"/>
  <c r="E46" i="9"/>
  <c r="D46" i="9"/>
  <c r="Z45" i="9"/>
  <c r="Y45" i="9"/>
  <c r="W45" i="9"/>
  <c r="V45" i="9"/>
  <c r="P45" i="9"/>
  <c r="R45" i="9" s="1"/>
  <c r="O45" i="9"/>
  <c r="N45" i="9"/>
  <c r="K45" i="9"/>
  <c r="H45" i="9"/>
  <c r="J45" i="9" s="1"/>
  <c r="F45" i="9"/>
  <c r="E45" i="9"/>
  <c r="D45" i="9"/>
  <c r="Z44" i="9"/>
  <c r="Y44" i="9"/>
  <c r="W44" i="9"/>
  <c r="V44" i="9"/>
  <c r="P44" i="9"/>
  <c r="R44" i="9" s="1"/>
  <c r="O44" i="9"/>
  <c r="N44" i="9"/>
  <c r="K44" i="9"/>
  <c r="H44" i="9"/>
  <c r="J44" i="9" s="1"/>
  <c r="F44" i="9"/>
  <c r="E44" i="9"/>
  <c r="D44" i="9"/>
  <c r="Z43" i="9"/>
  <c r="Y43" i="9"/>
  <c r="W43" i="9"/>
  <c r="V43" i="9"/>
  <c r="P43" i="9"/>
  <c r="R43" i="9" s="1"/>
  <c r="O43" i="9"/>
  <c r="N43" i="9"/>
  <c r="K43" i="9"/>
  <c r="H43" i="9"/>
  <c r="J43" i="9" s="1"/>
  <c r="F43" i="9"/>
  <c r="E43" i="9"/>
  <c r="D43" i="9"/>
  <c r="Z42" i="9"/>
  <c r="Y42" i="9"/>
  <c r="W42" i="9"/>
  <c r="V42" i="9"/>
  <c r="P42" i="9"/>
  <c r="R42" i="9" s="1"/>
  <c r="O42" i="9"/>
  <c r="N42" i="9"/>
  <c r="K42" i="9"/>
  <c r="H42" i="9"/>
  <c r="J42" i="9" s="1"/>
  <c r="F42" i="9"/>
  <c r="E42" i="9"/>
  <c r="D42" i="9"/>
  <c r="Z41" i="9"/>
  <c r="Y41" i="9"/>
  <c r="W41" i="9"/>
  <c r="V41" i="9"/>
  <c r="P41" i="9"/>
  <c r="R41" i="9" s="1"/>
  <c r="O41" i="9"/>
  <c r="N41" i="9"/>
  <c r="K41" i="9"/>
  <c r="H41" i="9"/>
  <c r="J41" i="9" s="1"/>
  <c r="F41" i="9"/>
  <c r="E41" i="9"/>
  <c r="D41" i="9"/>
  <c r="Z40" i="9"/>
  <c r="Y40" i="9"/>
  <c r="AA40" i="9" s="1"/>
  <c r="W40" i="9"/>
  <c r="V40" i="9"/>
  <c r="P40" i="9"/>
  <c r="R40" i="9" s="1"/>
  <c r="O40" i="9"/>
  <c r="N40" i="9"/>
  <c r="K40" i="9"/>
  <c r="H40" i="9"/>
  <c r="J40" i="9" s="1"/>
  <c r="F40" i="9"/>
  <c r="E40" i="9"/>
  <c r="D40" i="9"/>
  <c r="Z39" i="9"/>
  <c r="Y39" i="9"/>
  <c r="W39" i="9"/>
  <c r="V39" i="9"/>
  <c r="P39" i="9"/>
  <c r="R39" i="9" s="1"/>
  <c r="O39" i="9"/>
  <c r="N39" i="9"/>
  <c r="K39" i="9"/>
  <c r="H39" i="9"/>
  <c r="J39" i="9" s="1"/>
  <c r="F39" i="9"/>
  <c r="E39" i="9"/>
  <c r="D39" i="9"/>
  <c r="Z38" i="9"/>
  <c r="Y38" i="9"/>
  <c r="W38" i="9"/>
  <c r="V38" i="9"/>
  <c r="P38" i="9"/>
  <c r="R38" i="9" s="1"/>
  <c r="O38" i="9"/>
  <c r="N38" i="9"/>
  <c r="K38" i="9"/>
  <c r="H38" i="9"/>
  <c r="J38" i="9" s="1"/>
  <c r="F38" i="9"/>
  <c r="E38" i="9"/>
  <c r="D38" i="9"/>
  <c r="Z37" i="9"/>
  <c r="Y37" i="9"/>
  <c r="W37" i="9"/>
  <c r="V37" i="9"/>
  <c r="P37" i="9"/>
  <c r="O37" i="9"/>
  <c r="N37" i="9"/>
  <c r="K37" i="9"/>
  <c r="H37" i="9"/>
  <c r="J37" i="9" s="1"/>
  <c r="F37" i="9"/>
  <c r="E37" i="9"/>
  <c r="D37" i="9"/>
  <c r="Z36" i="9"/>
  <c r="Y36" i="9"/>
  <c r="W36" i="9"/>
  <c r="V36" i="9"/>
  <c r="X36" i="9" s="1"/>
  <c r="P36" i="9"/>
  <c r="R36" i="9" s="1"/>
  <c r="O36" i="9"/>
  <c r="N36" i="9"/>
  <c r="K36" i="9"/>
  <c r="M36" i="9" s="1"/>
  <c r="H36" i="9"/>
  <c r="J36" i="9" s="1"/>
  <c r="F36" i="9"/>
  <c r="E36" i="9"/>
  <c r="D36" i="9"/>
  <c r="Z35" i="9"/>
  <c r="Y35" i="9"/>
  <c r="W35" i="9"/>
  <c r="V35" i="9"/>
  <c r="P35" i="9"/>
  <c r="R35" i="9" s="1"/>
  <c r="O35" i="9"/>
  <c r="N35" i="9"/>
  <c r="K35" i="9"/>
  <c r="H35" i="9"/>
  <c r="J35" i="9" s="1"/>
  <c r="F35" i="9"/>
  <c r="E35" i="9"/>
  <c r="D35" i="9"/>
  <c r="Z34" i="9"/>
  <c r="Y34" i="9"/>
  <c r="W34" i="9"/>
  <c r="V34" i="9"/>
  <c r="P34" i="9"/>
  <c r="R34" i="9" s="1"/>
  <c r="O34" i="9"/>
  <c r="N34" i="9"/>
  <c r="K34" i="9"/>
  <c r="H34" i="9"/>
  <c r="F34" i="9"/>
  <c r="E34" i="9"/>
  <c r="D34" i="9"/>
  <c r="Q33" i="9"/>
  <c r="I33" i="9"/>
  <c r="Z32" i="9"/>
  <c r="Y32" i="9"/>
  <c r="W32" i="9"/>
  <c r="V32" i="9"/>
  <c r="P32" i="9"/>
  <c r="R32" i="9" s="1"/>
  <c r="O32" i="9"/>
  <c r="N32" i="9"/>
  <c r="K32" i="9"/>
  <c r="H32" i="9"/>
  <c r="J32" i="9" s="1"/>
  <c r="F32" i="9"/>
  <c r="E32" i="9"/>
  <c r="D32" i="9"/>
  <c r="Z31" i="9"/>
  <c r="Y31" i="9"/>
  <c r="W31" i="9"/>
  <c r="V31" i="9"/>
  <c r="P31" i="9"/>
  <c r="R31" i="9" s="1"/>
  <c r="O31" i="9"/>
  <c r="N31" i="9"/>
  <c r="K31" i="9"/>
  <c r="H31" i="9"/>
  <c r="J31" i="9" s="1"/>
  <c r="F31" i="9"/>
  <c r="E31" i="9"/>
  <c r="D31" i="9"/>
  <c r="Z30" i="9"/>
  <c r="Y30" i="9"/>
  <c r="W30" i="9"/>
  <c r="V30" i="9"/>
  <c r="P30" i="9"/>
  <c r="R30" i="9" s="1"/>
  <c r="O30" i="9"/>
  <c r="N30" i="9"/>
  <c r="K30" i="9"/>
  <c r="H30" i="9"/>
  <c r="J30" i="9" s="1"/>
  <c r="F30" i="9"/>
  <c r="E30" i="9"/>
  <c r="D30" i="9"/>
  <c r="Z29" i="9"/>
  <c r="Y29" i="9"/>
  <c r="W29" i="9"/>
  <c r="V29" i="9"/>
  <c r="P29" i="9"/>
  <c r="R29" i="9" s="1"/>
  <c r="O29" i="9"/>
  <c r="N29" i="9"/>
  <c r="K29" i="9"/>
  <c r="H29" i="9"/>
  <c r="J29" i="9" s="1"/>
  <c r="F29" i="9"/>
  <c r="E29" i="9"/>
  <c r="D29" i="9"/>
  <c r="Z28" i="9"/>
  <c r="Y28" i="9"/>
  <c r="W28" i="9"/>
  <c r="V28" i="9"/>
  <c r="X28" i="9" s="1"/>
  <c r="P28" i="9"/>
  <c r="R28" i="9" s="1"/>
  <c r="O28" i="9"/>
  <c r="N28" i="9"/>
  <c r="K28" i="9"/>
  <c r="H28" i="9"/>
  <c r="J28" i="9" s="1"/>
  <c r="F28" i="9"/>
  <c r="E28" i="9"/>
  <c r="D28" i="9"/>
  <c r="Z27" i="9"/>
  <c r="Y27" i="9"/>
  <c r="W27" i="9"/>
  <c r="V27" i="9"/>
  <c r="P27" i="9"/>
  <c r="R27" i="9" s="1"/>
  <c r="O27" i="9"/>
  <c r="N27" i="9"/>
  <c r="K27" i="9"/>
  <c r="H27" i="9"/>
  <c r="J27" i="9" s="1"/>
  <c r="F27" i="9"/>
  <c r="E27" i="9"/>
  <c r="D27" i="9"/>
  <c r="Z26" i="9"/>
  <c r="Y26" i="9"/>
  <c r="W26" i="9"/>
  <c r="V26" i="9"/>
  <c r="P26" i="9"/>
  <c r="R26" i="9" s="1"/>
  <c r="O26" i="9"/>
  <c r="N26" i="9"/>
  <c r="K26" i="9"/>
  <c r="H26" i="9"/>
  <c r="J26" i="9" s="1"/>
  <c r="F26" i="9"/>
  <c r="E26" i="9"/>
  <c r="D26" i="9"/>
  <c r="Z25" i="9"/>
  <c r="Y25" i="9"/>
  <c r="W25" i="9"/>
  <c r="V25" i="9"/>
  <c r="P25" i="9"/>
  <c r="R25" i="9" s="1"/>
  <c r="O25" i="9"/>
  <c r="N25" i="9"/>
  <c r="K25" i="9"/>
  <c r="H25" i="9"/>
  <c r="J25" i="9" s="1"/>
  <c r="F25" i="9"/>
  <c r="E25" i="9"/>
  <c r="D25" i="9"/>
  <c r="Z24" i="9"/>
  <c r="Y24" i="9"/>
  <c r="W24" i="9"/>
  <c r="V24" i="9"/>
  <c r="X24" i="9" s="1"/>
  <c r="P24" i="9"/>
  <c r="R24" i="9" s="1"/>
  <c r="O24" i="9"/>
  <c r="N24" i="9"/>
  <c r="K24" i="9"/>
  <c r="M24" i="9" s="1"/>
  <c r="H24" i="9"/>
  <c r="J24" i="9" s="1"/>
  <c r="F24" i="9"/>
  <c r="E24" i="9"/>
  <c r="D24" i="9"/>
  <c r="Z23" i="9"/>
  <c r="Y23" i="9"/>
  <c r="W23" i="9"/>
  <c r="V23" i="9"/>
  <c r="P23" i="9"/>
  <c r="R23" i="9" s="1"/>
  <c r="O23" i="9"/>
  <c r="N23" i="9"/>
  <c r="K23" i="9"/>
  <c r="H23" i="9"/>
  <c r="J23" i="9" s="1"/>
  <c r="F23" i="9"/>
  <c r="E23" i="9"/>
  <c r="D23" i="9"/>
  <c r="Z22" i="9"/>
  <c r="Y22" i="9"/>
  <c r="W22" i="9"/>
  <c r="V22" i="9"/>
  <c r="P22" i="9"/>
  <c r="R22" i="9" s="1"/>
  <c r="O22" i="9"/>
  <c r="N22" i="9"/>
  <c r="K22" i="9"/>
  <c r="H22" i="9"/>
  <c r="J22" i="9" s="1"/>
  <c r="F22" i="9"/>
  <c r="E22" i="9"/>
  <c r="D22" i="9"/>
  <c r="Z21" i="9"/>
  <c r="Y21" i="9"/>
  <c r="W21" i="9"/>
  <c r="V21" i="9"/>
  <c r="P21" i="9"/>
  <c r="R21" i="9" s="1"/>
  <c r="O21" i="9"/>
  <c r="N21" i="9"/>
  <c r="K21" i="9"/>
  <c r="H21" i="9"/>
  <c r="J21" i="9" s="1"/>
  <c r="F21" i="9"/>
  <c r="E21" i="9"/>
  <c r="D21" i="9"/>
  <c r="Z20" i="9"/>
  <c r="Y20" i="9"/>
  <c r="W20" i="9"/>
  <c r="V20" i="9"/>
  <c r="P20" i="9"/>
  <c r="R20" i="9" s="1"/>
  <c r="O20" i="9"/>
  <c r="N20" i="9"/>
  <c r="K20" i="9"/>
  <c r="H20" i="9"/>
  <c r="J20" i="9" s="1"/>
  <c r="F20" i="9"/>
  <c r="E20" i="9"/>
  <c r="D20" i="9"/>
  <c r="Z19" i="9"/>
  <c r="Y19" i="9"/>
  <c r="AA19" i="9" s="1"/>
  <c r="W19" i="9"/>
  <c r="V19" i="9"/>
  <c r="P19" i="9"/>
  <c r="R19" i="9" s="1"/>
  <c r="O19" i="9"/>
  <c r="N19" i="9"/>
  <c r="K19" i="9"/>
  <c r="H19" i="9"/>
  <c r="J19" i="9" s="1"/>
  <c r="F19" i="9"/>
  <c r="E19" i="9"/>
  <c r="D19" i="9"/>
  <c r="Z18" i="9"/>
  <c r="Y18" i="9"/>
  <c r="W18" i="9"/>
  <c r="V18" i="9"/>
  <c r="P18" i="9"/>
  <c r="R18" i="9" s="1"/>
  <c r="O18" i="9"/>
  <c r="N18" i="9"/>
  <c r="K18" i="9"/>
  <c r="H18" i="9"/>
  <c r="J18" i="9" s="1"/>
  <c r="F18" i="9"/>
  <c r="E18" i="9"/>
  <c r="D18" i="9"/>
  <c r="Z17" i="9"/>
  <c r="Y17" i="9"/>
  <c r="W17" i="9"/>
  <c r="V17" i="9"/>
  <c r="P17" i="9"/>
  <c r="R17" i="9" s="1"/>
  <c r="O17" i="9"/>
  <c r="N17" i="9"/>
  <c r="K17" i="9"/>
  <c r="H17" i="9"/>
  <c r="J17" i="9" s="1"/>
  <c r="F17" i="9"/>
  <c r="E17" i="9"/>
  <c r="D17" i="9"/>
  <c r="Z16" i="9"/>
  <c r="Y16" i="9"/>
  <c r="AA16" i="9" s="1"/>
  <c r="W16" i="9"/>
  <c r="V16" i="9"/>
  <c r="P16" i="9"/>
  <c r="O16" i="9"/>
  <c r="N16" i="9"/>
  <c r="K16" i="9"/>
  <c r="M16" i="9" s="1"/>
  <c r="H16" i="9"/>
  <c r="J16" i="9" s="1"/>
  <c r="F16" i="9"/>
  <c r="E16" i="9"/>
  <c r="D16" i="9"/>
  <c r="Q15" i="9"/>
  <c r="I15" i="9"/>
  <c r="AA14" i="9"/>
  <c r="X14" i="9"/>
  <c r="U14" i="9"/>
  <c r="R14" i="9"/>
  <c r="M14" i="9"/>
  <c r="J14" i="9"/>
  <c r="G14" i="9"/>
  <c r="Z13" i="9"/>
  <c r="O13" i="9"/>
  <c r="N13" i="9"/>
  <c r="I13" i="9"/>
  <c r="I11" i="9" s="1"/>
  <c r="Z12" i="9"/>
  <c r="Z11" i="9" s="1"/>
  <c r="W12" i="9"/>
  <c r="T12" i="9"/>
  <c r="S12" i="9"/>
  <c r="U12" i="9" s="1"/>
  <c r="Q12" i="9"/>
  <c r="N12" i="9"/>
  <c r="I12" i="9"/>
  <c r="N119" i="8"/>
  <c r="K119" i="8"/>
  <c r="H119" i="8"/>
  <c r="M119" i="8" s="1"/>
  <c r="G119" i="8"/>
  <c r="O119" i="8" s="1"/>
  <c r="F119" i="8"/>
  <c r="E119" i="8"/>
  <c r="N118" i="8"/>
  <c r="K118" i="8"/>
  <c r="H118" i="8"/>
  <c r="M118" i="8" s="1"/>
  <c r="G118" i="8"/>
  <c r="O118" i="8" s="1"/>
  <c r="F118" i="8"/>
  <c r="E118" i="8"/>
  <c r="N117" i="8"/>
  <c r="K117" i="8"/>
  <c r="H117" i="8"/>
  <c r="M117" i="8" s="1"/>
  <c r="G117" i="8"/>
  <c r="O117" i="8" s="1"/>
  <c r="F117" i="8"/>
  <c r="E117" i="8"/>
  <c r="N116" i="8"/>
  <c r="K116" i="8"/>
  <c r="H116" i="8"/>
  <c r="M116" i="8" s="1"/>
  <c r="G116" i="8"/>
  <c r="O116" i="8" s="1"/>
  <c r="F116" i="8"/>
  <c r="E116" i="8"/>
  <c r="N115" i="8"/>
  <c r="K115" i="8"/>
  <c r="H115" i="8"/>
  <c r="M115" i="8" s="1"/>
  <c r="G115" i="8"/>
  <c r="O115" i="8" s="1"/>
  <c r="F115" i="8"/>
  <c r="E115" i="8"/>
  <c r="N114" i="8"/>
  <c r="K114" i="8"/>
  <c r="H114" i="8"/>
  <c r="G114" i="8"/>
  <c r="O114" i="8" s="1"/>
  <c r="F114" i="8"/>
  <c r="E114" i="8"/>
  <c r="N113" i="8"/>
  <c r="K113" i="8"/>
  <c r="H113" i="8"/>
  <c r="G113" i="8"/>
  <c r="O113" i="8" s="1"/>
  <c r="F113" i="8"/>
  <c r="E113" i="8"/>
  <c r="N112" i="8"/>
  <c r="K112" i="8"/>
  <c r="H112" i="8"/>
  <c r="M112" i="8" s="1"/>
  <c r="G112" i="8"/>
  <c r="O112" i="8" s="1"/>
  <c r="F112" i="8"/>
  <c r="E112" i="8"/>
  <c r="N111" i="8"/>
  <c r="K111" i="8"/>
  <c r="H111" i="8"/>
  <c r="M111" i="8" s="1"/>
  <c r="G111" i="8"/>
  <c r="O111" i="8" s="1"/>
  <c r="F111" i="8"/>
  <c r="E111" i="8"/>
  <c r="N110" i="8"/>
  <c r="K110" i="8"/>
  <c r="H110" i="8"/>
  <c r="M110" i="8" s="1"/>
  <c r="G110" i="8"/>
  <c r="F110" i="8"/>
  <c r="E110" i="8"/>
  <c r="N109" i="8"/>
  <c r="K109" i="8"/>
  <c r="H109" i="8"/>
  <c r="M109" i="8" s="1"/>
  <c r="G109" i="8"/>
  <c r="O109" i="8" s="1"/>
  <c r="F109" i="8"/>
  <c r="E109" i="8"/>
  <c r="N108" i="8"/>
  <c r="K108" i="8"/>
  <c r="H108" i="8"/>
  <c r="M108" i="8" s="1"/>
  <c r="G108" i="8"/>
  <c r="O108" i="8" s="1"/>
  <c r="F108" i="8"/>
  <c r="E108" i="8"/>
  <c r="N107" i="8"/>
  <c r="K107" i="8"/>
  <c r="H107" i="8"/>
  <c r="G107" i="8"/>
  <c r="O107" i="8" s="1"/>
  <c r="F107" i="8"/>
  <c r="E107" i="8"/>
  <c r="AC106" i="8"/>
  <c r="AB106" i="8"/>
  <c r="Z106" i="8"/>
  <c r="Y106" i="8"/>
  <c r="W106" i="8"/>
  <c r="V106" i="8"/>
  <c r="V13" i="8" s="1"/>
  <c r="T106" i="8"/>
  <c r="S106" i="8"/>
  <c r="Q106" i="8"/>
  <c r="U106" i="8" s="1"/>
  <c r="P106" i="8"/>
  <c r="AA106" i="8" s="1"/>
  <c r="Q105" i="8"/>
  <c r="U105" i="8" s="1"/>
  <c r="P105" i="8"/>
  <c r="AD105" i="8" s="1"/>
  <c r="N105" i="8"/>
  <c r="K105" i="8"/>
  <c r="H105" i="8"/>
  <c r="M105" i="8" s="1"/>
  <c r="G105" i="8"/>
  <c r="O105" i="8" s="1"/>
  <c r="F105" i="8"/>
  <c r="E105" i="8"/>
  <c r="Q104" i="8"/>
  <c r="U104" i="8" s="1"/>
  <c r="P104" i="8"/>
  <c r="N104" i="8"/>
  <c r="K104" i="8"/>
  <c r="H104" i="8"/>
  <c r="M104" i="8" s="1"/>
  <c r="G104" i="8"/>
  <c r="O104" i="8" s="1"/>
  <c r="F104" i="8"/>
  <c r="E104" i="8"/>
  <c r="Q103" i="8"/>
  <c r="U103" i="8" s="1"/>
  <c r="P103" i="8"/>
  <c r="N103" i="8"/>
  <c r="K103" i="8"/>
  <c r="H103" i="8"/>
  <c r="G103" i="8"/>
  <c r="O103" i="8" s="1"/>
  <c r="F103" i="8"/>
  <c r="E103" i="8"/>
  <c r="Q102" i="8"/>
  <c r="U102" i="8" s="1"/>
  <c r="P102" i="8"/>
  <c r="N102" i="8"/>
  <c r="K102" i="8"/>
  <c r="H102" i="8"/>
  <c r="G102" i="8"/>
  <c r="O102" i="8" s="1"/>
  <c r="F102" i="8"/>
  <c r="E102" i="8"/>
  <c r="Q101" i="8"/>
  <c r="U101" i="8" s="1"/>
  <c r="P101" i="8"/>
  <c r="N101" i="8"/>
  <c r="K101" i="8"/>
  <c r="H101" i="8"/>
  <c r="G101" i="8"/>
  <c r="O101" i="8" s="1"/>
  <c r="F101" i="8"/>
  <c r="E101" i="8"/>
  <c r="Q100" i="8"/>
  <c r="U100" i="8" s="1"/>
  <c r="P100" i="8"/>
  <c r="N100" i="8"/>
  <c r="K100" i="8"/>
  <c r="H100" i="8"/>
  <c r="G100" i="8"/>
  <c r="F100" i="8"/>
  <c r="E100" i="8"/>
  <c r="Q99" i="8"/>
  <c r="U99" i="8" s="1"/>
  <c r="P99" i="8"/>
  <c r="AA99" i="8" s="1"/>
  <c r="N99" i="8"/>
  <c r="K99" i="8"/>
  <c r="H99" i="8"/>
  <c r="G99" i="8"/>
  <c r="O99" i="8" s="1"/>
  <c r="F99" i="8"/>
  <c r="E99" i="8"/>
  <c r="Q98" i="8"/>
  <c r="U98" i="8" s="1"/>
  <c r="P98" i="8"/>
  <c r="AA98" i="8" s="1"/>
  <c r="N98" i="8"/>
  <c r="K98" i="8"/>
  <c r="H98" i="8"/>
  <c r="M98" i="8" s="1"/>
  <c r="G98" i="8"/>
  <c r="O98" i="8" s="1"/>
  <c r="F98" i="8"/>
  <c r="E98" i="8"/>
  <c r="Q97" i="8"/>
  <c r="U97" i="8" s="1"/>
  <c r="P97" i="8"/>
  <c r="AD97" i="8" s="1"/>
  <c r="N97" i="8"/>
  <c r="K97" i="8"/>
  <c r="H97" i="8"/>
  <c r="G97" i="8"/>
  <c r="O97" i="8" s="1"/>
  <c r="F97" i="8"/>
  <c r="E97" i="8"/>
  <c r="Q96" i="8"/>
  <c r="U96" i="8" s="1"/>
  <c r="P96" i="8"/>
  <c r="N96" i="8"/>
  <c r="K96" i="8"/>
  <c r="H96" i="8"/>
  <c r="G96" i="8"/>
  <c r="O96" i="8" s="1"/>
  <c r="F96" i="8"/>
  <c r="E96" i="8"/>
  <c r="Q95" i="8"/>
  <c r="U95" i="8" s="1"/>
  <c r="P95" i="8"/>
  <c r="AD95" i="8" s="1"/>
  <c r="N95" i="8"/>
  <c r="K95" i="8"/>
  <c r="H95" i="8"/>
  <c r="G95" i="8"/>
  <c r="O95" i="8" s="1"/>
  <c r="F95" i="8"/>
  <c r="E95" i="8"/>
  <c r="A95" i="8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Q94" i="8"/>
  <c r="U94" i="8" s="1"/>
  <c r="P94" i="8"/>
  <c r="AA94" i="8" s="1"/>
  <c r="N94" i="8"/>
  <c r="K94" i="8"/>
  <c r="H94" i="8"/>
  <c r="G94" i="8"/>
  <c r="F94" i="8"/>
  <c r="E94" i="8"/>
  <c r="Q93" i="8"/>
  <c r="U93" i="8" s="1"/>
  <c r="P93" i="8"/>
  <c r="AD93" i="8" s="1"/>
  <c r="N93" i="8"/>
  <c r="K93" i="8"/>
  <c r="H93" i="8"/>
  <c r="M93" i="8" s="1"/>
  <c r="G93" i="8"/>
  <c r="O93" i="8" s="1"/>
  <c r="F93" i="8"/>
  <c r="E93" i="8"/>
  <c r="Q92" i="8"/>
  <c r="U92" i="8" s="1"/>
  <c r="P92" i="8"/>
  <c r="X92" i="8" s="1"/>
  <c r="N92" i="8"/>
  <c r="K92" i="8"/>
  <c r="H92" i="8"/>
  <c r="G92" i="8"/>
  <c r="O92" i="8" s="1"/>
  <c r="F92" i="8"/>
  <c r="E92" i="8"/>
  <c r="AC91" i="8"/>
  <c r="AB91" i="8"/>
  <c r="Z91" i="8"/>
  <c r="Y91" i="8"/>
  <c r="Y12" i="8" s="1"/>
  <c r="W91" i="8"/>
  <c r="W12" i="8" s="1"/>
  <c r="V91" i="8"/>
  <c r="T91" i="8"/>
  <c r="T12" i="8" s="1"/>
  <c r="S91" i="8"/>
  <c r="BE90" i="8"/>
  <c r="BD90" i="8"/>
  <c r="BB90" i="8"/>
  <c r="BA90" i="8"/>
  <c r="AY90" i="8"/>
  <c r="AX90" i="8"/>
  <c r="AW90" i="8"/>
  <c r="AU90" i="8"/>
  <c r="AT90" i="8"/>
  <c r="AS90" i="8"/>
  <c r="AQ90" i="8"/>
  <c r="AP90" i="8"/>
  <c r="AN90" i="8"/>
  <c r="AM90" i="8"/>
  <c r="AK90" i="8"/>
  <c r="AJ90" i="8"/>
  <c r="AI90" i="8"/>
  <c r="AG90" i="8"/>
  <c r="AF90" i="8"/>
  <c r="AE90" i="8"/>
  <c r="AC90" i="8"/>
  <c r="AB90" i="8"/>
  <c r="Z90" i="8"/>
  <c r="Y90" i="8"/>
  <c r="W90" i="8"/>
  <c r="V90" i="8"/>
  <c r="T90" i="8"/>
  <c r="S90" i="8"/>
  <c r="Q90" i="8"/>
  <c r="P90" i="8"/>
  <c r="N90" i="8"/>
  <c r="K90" i="8"/>
  <c r="H90" i="8"/>
  <c r="G90" i="8"/>
  <c r="F90" i="8"/>
  <c r="E90" i="8"/>
  <c r="BE89" i="8"/>
  <c r="BD89" i="8"/>
  <c r="BB89" i="8"/>
  <c r="BA89" i="8"/>
  <c r="AY89" i="8"/>
  <c r="AX89" i="8"/>
  <c r="AW89" i="8"/>
  <c r="AU89" i="8"/>
  <c r="AT89" i="8"/>
  <c r="AS89" i="8"/>
  <c r="AQ89" i="8"/>
  <c r="AP89" i="8"/>
  <c r="AN89" i="8"/>
  <c r="AM89" i="8"/>
  <c r="AK89" i="8"/>
  <c r="AJ89" i="8"/>
  <c r="AI89" i="8"/>
  <c r="AG89" i="8"/>
  <c r="AF89" i="8"/>
  <c r="AE89" i="8"/>
  <c r="AC89" i="8"/>
  <c r="AB89" i="8"/>
  <c r="Z89" i="8"/>
  <c r="Y89" i="8"/>
  <c r="W89" i="8"/>
  <c r="V89" i="8"/>
  <c r="T89" i="8"/>
  <c r="S89" i="8"/>
  <c r="Q89" i="8"/>
  <c r="P89" i="8"/>
  <c r="N89" i="8"/>
  <c r="K89" i="8"/>
  <c r="H89" i="8"/>
  <c r="G89" i="8"/>
  <c r="F89" i="8"/>
  <c r="E89" i="8"/>
  <c r="BE88" i="8"/>
  <c r="BD88" i="8"/>
  <c r="BB88" i="8"/>
  <c r="BA88" i="8"/>
  <c r="AY88" i="8"/>
  <c r="AX88" i="8"/>
  <c r="AW88" i="8"/>
  <c r="AU88" i="8"/>
  <c r="AT88" i="8"/>
  <c r="AS88" i="8"/>
  <c r="AQ88" i="8"/>
  <c r="AP88" i="8"/>
  <c r="AN88" i="8"/>
  <c r="AM88" i="8"/>
  <c r="AK88" i="8"/>
  <c r="AJ88" i="8"/>
  <c r="AI88" i="8"/>
  <c r="AG88" i="8"/>
  <c r="AF88" i="8"/>
  <c r="AE88" i="8"/>
  <c r="AC88" i="8"/>
  <c r="AB88" i="8"/>
  <c r="Z88" i="8"/>
  <c r="Y88" i="8"/>
  <c r="W88" i="8"/>
  <c r="V88" i="8"/>
  <c r="T88" i="8"/>
  <c r="S88" i="8"/>
  <c r="Q88" i="8"/>
  <c r="P88" i="8"/>
  <c r="N88" i="8"/>
  <c r="K88" i="8"/>
  <c r="H88" i="8"/>
  <c r="G88" i="8"/>
  <c r="F88" i="8"/>
  <c r="E88" i="8"/>
  <c r="BE87" i="8"/>
  <c r="BD87" i="8"/>
  <c r="BB87" i="8"/>
  <c r="BA87" i="8"/>
  <c r="AY87" i="8"/>
  <c r="AX87" i="8"/>
  <c r="AW87" i="8"/>
  <c r="AU87" i="8"/>
  <c r="AT87" i="8"/>
  <c r="AS87" i="8"/>
  <c r="AQ87" i="8"/>
  <c r="AP87" i="8"/>
  <c r="AN87" i="8"/>
  <c r="AM87" i="8"/>
  <c r="AK87" i="8"/>
  <c r="AJ87" i="8"/>
  <c r="AI87" i="8"/>
  <c r="AG87" i="8"/>
  <c r="AF87" i="8"/>
  <c r="AE87" i="8"/>
  <c r="AC87" i="8"/>
  <c r="AB87" i="8"/>
  <c r="Z87" i="8"/>
  <c r="Y87" i="8"/>
  <c r="W87" i="8"/>
  <c r="V87" i="8"/>
  <c r="T87" i="8"/>
  <c r="S87" i="8"/>
  <c r="Q87" i="8"/>
  <c r="P87" i="8"/>
  <c r="N87" i="8"/>
  <c r="K87" i="8"/>
  <c r="H87" i="8"/>
  <c r="G87" i="8"/>
  <c r="O87" i="8" s="1"/>
  <c r="F87" i="8"/>
  <c r="E87" i="8"/>
  <c r="BE86" i="8"/>
  <c r="BD86" i="8"/>
  <c r="BB86" i="8"/>
  <c r="BA86" i="8"/>
  <c r="AY86" i="8"/>
  <c r="AX86" i="8"/>
  <c r="AW86" i="8"/>
  <c r="AU86" i="8"/>
  <c r="AT86" i="8"/>
  <c r="AS86" i="8"/>
  <c r="AQ86" i="8"/>
  <c r="AP86" i="8"/>
  <c r="AN86" i="8"/>
  <c r="AM86" i="8"/>
  <c r="AK86" i="8"/>
  <c r="AJ86" i="8"/>
  <c r="AI86" i="8"/>
  <c r="AG86" i="8"/>
  <c r="AF86" i="8"/>
  <c r="AE86" i="8"/>
  <c r="AC86" i="8"/>
  <c r="AB86" i="8"/>
  <c r="Z86" i="8"/>
  <c r="Y86" i="8"/>
  <c r="W86" i="8"/>
  <c r="V86" i="8"/>
  <c r="T86" i="8"/>
  <c r="S86" i="8"/>
  <c r="Q86" i="8"/>
  <c r="P86" i="8"/>
  <c r="N86" i="8"/>
  <c r="K86" i="8"/>
  <c r="H86" i="8"/>
  <c r="G86" i="8"/>
  <c r="F86" i="8"/>
  <c r="E86" i="8"/>
  <c r="BE85" i="8"/>
  <c r="BD85" i="8"/>
  <c r="BB85" i="8"/>
  <c r="BA85" i="8"/>
  <c r="AY85" i="8"/>
  <c r="AX85" i="8"/>
  <c r="AW85" i="8"/>
  <c r="AU85" i="8"/>
  <c r="AT85" i="8"/>
  <c r="AS85" i="8"/>
  <c r="AQ85" i="8"/>
  <c r="AP85" i="8"/>
  <c r="AN85" i="8"/>
  <c r="AM85" i="8"/>
  <c r="AK85" i="8"/>
  <c r="AJ85" i="8"/>
  <c r="AI85" i="8"/>
  <c r="AG85" i="8"/>
  <c r="AF85" i="8"/>
  <c r="AE85" i="8"/>
  <c r="AC85" i="8"/>
  <c r="AB85" i="8"/>
  <c r="Z85" i="8"/>
  <c r="Y85" i="8"/>
  <c r="W85" i="8"/>
  <c r="V85" i="8"/>
  <c r="T85" i="8"/>
  <c r="S85" i="8"/>
  <c r="Q85" i="8"/>
  <c r="P85" i="8"/>
  <c r="N85" i="8"/>
  <c r="K85" i="8"/>
  <c r="H85" i="8"/>
  <c r="G85" i="8"/>
  <c r="F85" i="8"/>
  <c r="E85" i="8"/>
  <c r="BE84" i="8"/>
  <c r="BD84" i="8"/>
  <c r="BB84" i="8"/>
  <c r="BA84" i="8"/>
  <c r="AY84" i="8"/>
  <c r="AX84" i="8"/>
  <c r="AW84" i="8"/>
  <c r="AU84" i="8"/>
  <c r="AT84" i="8"/>
  <c r="AS84" i="8"/>
  <c r="AQ84" i="8"/>
  <c r="AP84" i="8"/>
  <c r="AN84" i="8"/>
  <c r="AM84" i="8"/>
  <c r="AK84" i="8"/>
  <c r="AJ84" i="8"/>
  <c r="AI84" i="8"/>
  <c r="AG84" i="8"/>
  <c r="AF84" i="8"/>
  <c r="AE84" i="8"/>
  <c r="AC84" i="8"/>
  <c r="AB84" i="8"/>
  <c r="Z84" i="8"/>
  <c r="Y84" i="8"/>
  <c r="W84" i="8"/>
  <c r="V84" i="8"/>
  <c r="T84" i="8"/>
  <c r="S84" i="8"/>
  <c r="Q84" i="8"/>
  <c r="P84" i="8"/>
  <c r="N84" i="8"/>
  <c r="K84" i="8"/>
  <c r="H84" i="8"/>
  <c r="G84" i="8"/>
  <c r="F84" i="8"/>
  <c r="E84" i="8"/>
  <c r="BE83" i="8"/>
  <c r="BD83" i="8"/>
  <c r="BB83" i="8"/>
  <c r="BA83" i="8"/>
  <c r="AY83" i="8"/>
  <c r="AX83" i="8"/>
  <c r="AW83" i="8"/>
  <c r="AU83" i="8"/>
  <c r="AT83" i="8"/>
  <c r="AS83" i="8"/>
  <c r="AQ83" i="8"/>
  <c r="AP83" i="8"/>
  <c r="AN83" i="8"/>
  <c r="AM83" i="8"/>
  <c r="AK83" i="8"/>
  <c r="AJ83" i="8"/>
  <c r="AI83" i="8"/>
  <c r="AG83" i="8"/>
  <c r="AF83" i="8"/>
  <c r="AE83" i="8"/>
  <c r="AC83" i="8"/>
  <c r="AB83" i="8"/>
  <c r="Z83" i="8"/>
  <c r="Y83" i="8"/>
  <c r="W83" i="8"/>
  <c r="V83" i="8"/>
  <c r="T83" i="8"/>
  <c r="S83" i="8"/>
  <c r="Q83" i="8"/>
  <c r="P83" i="8"/>
  <c r="N83" i="8"/>
  <c r="K83" i="8"/>
  <c r="H83" i="8"/>
  <c r="G83" i="8"/>
  <c r="F83" i="8"/>
  <c r="E83" i="8"/>
  <c r="BE82" i="8"/>
  <c r="BD82" i="8"/>
  <c r="BB82" i="8"/>
  <c r="BA82" i="8"/>
  <c r="AY82" i="8"/>
  <c r="AX82" i="8"/>
  <c r="AW82" i="8"/>
  <c r="AU82" i="8"/>
  <c r="AT82" i="8"/>
  <c r="AS82" i="8"/>
  <c r="AQ82" i="8"/>
  <c r="AP82" i="8"/>
  <c r="AN82" i="8"/>
  <c r="AM82" i="8"/>
  <c r="AK82" i="8"/>
  <c r="AJ82" i="8"/>
  <c r="AI82" i="8"/>
  <c r="AG82" i="8"/>
  <c r="AF82" i="8"/>
  <c r="AE82" i="8"/>
  <c r="AC82" i="8"/>
  <c r="AB82" i="8"/>
  <c r="Z82" i="8"/>
  <c r="Y82" i="8"/>
  <c r="W82" i="8"/>
  <c r="V82" i="8"/>
  <c r="T82" i="8"/>
  <c r="S82" i="8"/>
  <c r="Q82" i="8"/>
  <c r="P82" i="8"/>
  <c r="N82" i="8"/>
  <c r="K82" i="8"/>
  <c r="H82" i="8"/>
  <c r="G82" i="8"/>
  <c r="F82" i="8"/>
  <c r="E82" i="8"/>
  <c r="BE81" i="8"/>
  <c r="BD81" i="8"/>
  <c r="BB81" i="8"/>
  <c r="BA81" i="8"/>
  <c r="AY81" i="8"/>
  <c r="AX81" i="8"/>
  <c r="AW81" i="8"/>
  <c r="AU81" i="8"/>
  <c r="AT81" i="8"/>
  <c r="AS81" i="8"/>
  <c r="AQ81" i="8"/>
  <c r="AP81" i="8"/>
  <c r="AN81" i="8"/>
  <c r="AM81" i="8"/>
  <c r="AK81" i="8"/>
  <c r="AJ81" i="8"/>
  <c r="AI81" i="8"/>
  <c r="AG81" i="8"/>
  <c r="AF81" i="8"/>
  <c r="AE81" i="8"/>
  <c r="AC81" i="8"/>
  <c r="AB81" i="8"/>
  <c r="Z81" i="8"/>
  <c r="Y81" i="8"/>
  <c r="W81" i="8"/>
  <c r="V81" i="8"/>
  <c r="T81" i="8"/>
  <c r="S81" i="8"/>
  <c r="Q81" i="8"/>
  <c r="P81" i="8"/>
  <c r="N81" i="8"/>
  <c r="K81" i="8"/>
  <c r="H81" i="8"/>
  <c r="G81" i="8"/>
  <c r="O81" i="8" s="1"/>
  <c r="F81" i="8"/>
  <c r="E81" i="8"/>
  <c r="BE80" i="8"/>
  <c r="BD80" i="8"/>
  <c r="BB80" i="8"/>
  <c r="BA80" i="8"/>
  <c r="AY80" i="8"/>
  <c r="AX80" i="8"/>
  <c r="AW80" i="8"/>
  <c r="AU80" i="8"/>
  <c r="AT80" i="8"/>
  <c r="AS80" i="8"/>
  <c r="AQ80" i="8"/>
  <c r="AP80" i="8"/>
  <c r="AN80" i="8"/>
  <c r="AM80" i="8"/>
  <c r="AK80" i="8"/>
  <c r="AJ80" i="8"/>
  <c r="AI80" i="8"/>
  <c r="AG80" i="8"/>
  <c r="AF80" i="8"/>
  <c r="AE80" i="8"/>
  <c r="AC80" i="8"/>
  <c r="AB80" i="8"/>
  <c r="Z80" i="8"/>
  <c r="Y80" i="8"/>
  <c r="W80" i="8"/>
  <c r="V80" i="8"/>
  <c r="T80" i="8"/>
  <c r="S80" i="8"/>
  <c r="Q80" i="8"/>
  <c r="P80" i="8"/>
  <c r="N80" i="8"/>
  <c r="K80" i="8"/>
  <c r="H80" i="8"/>
  <c r="G80" i="8"/>
  <c r="F80" i="8"/>
  <c r="E80" i="8"/>
  <c r="BE79" i="8"/>
  <c r="BD79" i="8"/>
  <c r="BB79" i="8"/>
  <c r="BA79" i="8"/>
  <c r="AY79" i="8"/>
  <c r="AX79" i="8"/>
  <c r="AW79" i="8"/>
  <c r="AU79" i="8"/>
  <c r="AT79" i="8"/>
  <c r="AS79" i="8"/>
  <c r="AQ79" i="8"/>
  <c r="AP79" i="8"/>
  <c r="AN79" i="8"/>
  <c r="AM79" i="8"/>
  <c r="AK79" i="8"/>
  <c r="AJ79" i="8"/>
  <c r="AI79" i="8"/>
  <c r="AG79" i="8"/>
  <c r="AF79" i="8"/>
  <c r="AE79" i="8"/>
  <c r="AC79" i="8"/>
  <c r="AB79" i="8"/>
  <c r="Z79" i="8"/>
  <c r="Y79" i="8"/>
  <c r="W79" i="8"/>
  <c r="V79" i="8"/>
  <c r="T79" i="8"/>
  <c r="S79" i="8"/>
  <c r="Q79" i="8"/>
  <c r="P79" i="8"/>
  <c r="N79" i="8"/>
  <c r="K79" i="8"/>
  <c r="H79" i="8"/>
  <c r="G79" i="8"/>
  <c r="F79" i="8"/>
  <c r="E79" i="8"/>
  <c r="BE78" i="8"/>
  <c r="BD78" i="8"/>
  <c r="BB78" i="8"/>
  <c r="BA78" i="8"/>
  <c r="AY78" i="8"/>
  <c r="AX78" i="8"/>
  <c r="AW78" i="8"/>
  <c r="AU78" i="8"/>
  <c r="AT78" i="8"/>
  <c r="AS78" i="8"/>
  <c r="AQ78" i="8"/>
  <c r="AP78" i="8"/>
  <c r="AN78" i="8"/>
  <c r="AM78" i="8"/>
  <c r="AK78" i="8"/>
  <c r="AJ78" i="8"/>
  <c r="AI78" i="8"/>
  <c r="AG78" i="8"/>
  <c r="AF78" i="8"/>
  <c r="AE78" i="8"/>
  <c r="AC78" i="8"/>
  <c r="AB78" i="8"/>
  <c r="Z78" i="8"/>
  <c r="Y78" i="8"/>
  <c r="W78" i="8"/>
  <c r="V78" i="8"/>
  <c r="T78" i="8"/>
  <c r="S78" i="8"/>
  <c r="Q78" i="8"/>
  <c r="P78" i="8"/>
  <c r="N78" i="8"/>
  <c r="K78" i="8"/>
  <c r="H78" i="8"/>
  <c r="G78" i="8"/>
  <c r="F78" i="8"/>
  <c r="E78" i="8"/>
  <c r="BE77" i="8"/>
  <c r="BD77" i="8"/>
  <c r="BB77" i="8"/>
  <c r="BA77" i="8"/>
  <c r="AY77" i="8"/>
  <c r="AX77" i="8"/>
  <c r="AW77" i="8"/>
  <c r="AU77" i="8"/>
  <c r="AT77" i="8"/>
  <c r="AS77" i="8"/>
  <c r="AQ77" i="8"/>
  <c r="AP77" i="8"/>
  <c r="AN77" i="8"/>
  <c r="AM77" i="8"/>
  <c r="AK77" i="8"/>
  <c r="AJ77" i="8"/>
  <c r="AI77" i="8"/>
  <c r="AG77" i="8"/>
  <c r="AF77" i="8"/>
  <c r="AE77" i="8"/>
  <c r="AC77" i="8"/>
  <c r="AB77" i="8"/>
  <c r="Z77" i="8"/>
  <c r="Y77" i="8"/>
  <c r="W77" i="8"/>
  <c r="V77" i="8"/>
  <c r="T77" i="8"/>
  <c r="S77" i="8"/>
  <c r="Q77" i="8"/>
  <c r="P77" i="8"/>
  <c r="N77" i="8"/>
  <c r="K77" i="8"/>
  <c r="H77" i="8"/>
  <c r="G77" i="8"/>
  <c r="F77" i="8"/>
  <c r="E77" i="8"/>
  <c r="BE75" i="8"/>
  <c r="BD75" i="8"/>
  <c r="BB75" i="8"/>
  <c r="BA75" i="8"/>
  <c r="AY75" i="8"/>
  <c r="AX75" i="8"/>
  <c r="AW75" i="8"/>
  <c r="AU75" i="8"/>
  <c r="AT75" i="8"/>
  <c r="AS75" i="8"/>
  <c r="AV75" i="8" s="1"/>
  <c r="AQ75" i="8"/>
  <c r="AP75" i="8"/>
  <c r="AN75" i="8"/>
  <c r="AM75" i="8"/>
  <c r="AK75" i="8"/>
  <c r="AJ75" i="8"/>
  <c r="AI75" i="8"/>
  <c r="AL75" i="8" s="1"/>
  <c r="AG75" i="8"/>
  <c r="AF75" i="8"/>
  <c r="AE75" i="8"/>
  <c r="AH75" i="8" s="1"/>
  <c r="AC75" i="8"/>
  <c r="AB75" i="8"/>
  <c r="Z75" i="8"/>
  <c r="Y75" i="8"/>
  <c r="W75" i="8"/>
  <c r="V75" i="8"/>
  <c r="T75" i="8"/>
  <c r="S75" i="8"/>
  <c r="Q75" i="8"/>
  <c r="U75" i="8" s="1"/>
  <c r="P75" i="8"/>
  <c r="N75" i="8"/>
  <c r="K75" i="8"/>
  <c r="H75" i="8"/>
  <c r="G75" i="8"/>
  <c r="F75" i="8"/>
  <c r="E75" i="8"/>
  <c r="BE74" i="8"/>
  <c r="BD74" i="8"/>
  <c r="BB74" i="8"/>
  <c r="BA74" i="8"/>
  <c r="AY74" i="8"/>
  <c r="AX74" i="8"/>
  <c r="AW74" i="8"/>
  <c r="AU74" i="8"/>
  <c r="AT74" i="8"/>
  <c r="AS74" i="8"/>
  <c r="AQ74" i="8"/>
  <c r="AP74" i="8"/>
  <c r="AN74" i="8"/>
  <c r="AM74" i="8"/>
  <c r="AK74" i="8"/>
  <c r="AJ74" i="8"/>
  <c r="AI74" i="8"/>
  <c r="AG74" i="8"/>
  <c r="AF74" i="8"/>
  <c r="AE74" i="8"/>
  <c r="AC74" i="8"/>
  <c r="AB74" i="8"/>
  <c r="Z74" i="8"/>
  <c r="Y74" i="8"/>
  <c r="W74" i="8"/>
  <c r="V74" i="8"/>
  <c r="T74" i="8"/>
  <c r="S74" i="8"/>
  <c r="Q74" i="8"/>
  <c r="P74" i="8"/>
  <c r="N74" i="8"/>
  <c r="K74" i="8"/>
  <c r="H74" i="8"/>
  <c r="G74" i="8"/>
  <c r="F74" i="8"/>
  <c r="E74" i="8"/>
  <c r="BE73" i="8"/>
  <c r="BD73" i="8"/>
  <c r="BB73" i="8"/>
  <c r="BA73" i="8"/>
  <c r="AY73" i="8"/>
  <c r="AX73" i="8"/>
  <c r="AW73" i="8"/>
  <c r="BC73" i="8" s="1"/>
  <c r="AU73" i="8"/>
  <c r="AT73" i="8"/>
  <c r="AS73" i="8"/>
  <c r="AV73" i="8" s="1"/>
  <c r="AQ73" i="8"/>
  <c r="AP73" i="8"/>
  <c r="AN73" i="8"/>
  <c r="AM73" i="8"/>
  <c r="AK73" i="8"/>
  <c r="AJ73" i="8"/>
  <c r="AI73" i="8"/>
  <c r="AR73" i="8" s="1"/>
  <c r="AG73" i="8"/>
  <c r="AF73" i="8"/>
  <c r="AE73" i="8"/>
  <c r="AH73" i="8" s="1"/>
  <c r="AC73" i="8"/>
  <c r="AB73" i="8"/>
  <c r="Z73" i="8"/>
  <c r="Y73" i="8"/>
  <c r="W73" i="8"/>
  <c r="V73" i="8"/>
  <c r="T73" i="8"/>
  <c r="S73" i="8"/>
  <c r="Q73" i="8"/>
  <c r="U73" i="8" s="1"/>
  <c r="P73" i="8"/>
  <c r="X73" i="8" s="1"/>
  <c r="N73" i="8"/>
  <c r="K73" i="8"/>
  <c r="H73" i="8"/>
  <c r="G73" i="8"/>
  <c r="F73" i="8"/>
  <c r="E73" i="8"/>
  <c r="BE72" i="8"/>
  <c r="BD72" i="8"/>
  <c r="BB72" i="8"/>
  <c r="BA72" i="8"/>
  <c r="AY72" i="8"/>
  <c r="AX72" i="8"/>
  <c r="AW72" i="8"/>
  <c r="AU72" i="8"/>
  <c r="AT72" i="8"/>
  <c r="AS72" i="8"/>
  <c r="AQ72" i="8"/>
  <c r="AP72" i="8"/>
  <c r="AN72" i="8"/>
  <c r="AM72" i="8"/>
  <c r="AK72" i="8"/>
  <c r="AJ72" i="8"/>
  <c r="AI72" i="8"/>
  <c r="AG72" i="8"/>
  <c r="AF72" i="8"/>
  <c r="AE72" i="8"/>
  <c r="AC72" i="8"/>
  <c r="AB72" i="8"/>
  <c r="Z72" i="8"/>
  <c r="Y72" i="8"/>
  <c r="W72" i="8"/>
  <c r="V72" i="8"/>
  <c r="T72" i="8"/>
  <c r="S72" i="8"/>
  <c r="Q72" i="8"/>
  <c r="P72" i="8"/>
  <c r="N72" i="8"/>
  <c r="K72" i="8"/>
  <c r="H72" i="8"/>
  <c r="G72" i="8"/>
  <c r="F72" i="8"/>
  <c r="E72" i="8"/>
  <c r="BE71" i="8"/>
  <c r="BD71" i="8"/>
  <c r="BB71" i="8"/>
  <c r="BA71" i="8"/>
  <c r="AY71" i="8"/>
  <c r="AX71" i="8"/>
  <c r="AW71" i="8"/>
  <c r="AU71" i="8"/>
  <c r="AT71" i="8"/>
  <c r="AS71" i="8"/>
  <c r="AQ71" i="8"/>
  <c r="AP71" i="8"/>
  <c r="AN71" i="8"/>
  <c r="AM71" i="8"/>
  <c r="AK71" i="8"/>
  <c r="AJ71" i="8"/>
  <c r="AI71" i="8"/>
  <c r="AG71" i="8"/>
  <c r="AF71" i="8"/>
  <c r="AE71" i="8"/>
  <c r="AC71" i="8"/>
  <c r="AB71" i="8"/>
  <c r="Z71" i="8"/>
  <c r="Y71" i="8"/>
  <c r="W71" i="8"/>
  <c r="V71" i="8"/>
  <c r="T71" i="8"/>
  <c r="S71" i="8"/>
  <c r="Q71" i="8"/>
  <c r="P71" i="8"/>
  <c r="N71" i="8"/>
  <c r="K71" i="8"/>
  <c r="H71" i="8"/>
  <c r="G71" i="8"/>
  <c r="F71" i="8"/>
  <c r="E71" i="8"/>
  <c r="BE70" i="8"/>
  <c r="BD70" i="8"/>
  <c r="BB70" i="8"/>
  <c r="BA70" i="8"/>
  <c r="AY70" i="8"/>
  <c r="AX70" i="8"/>
  <c r="AW70" i="8"/>
  <c r="AU70" i="8"/>
  <c r="AT70" i="8"/>
  <c r="AS70" i="8"/>
  <c r="AQ70" i="8"/>
  <c r="AP70" i="8"/>
  <c r="AN70" i="8"/>
  <c r="AM70" i="8"/>
  <c r="AK70" i="8"/>
  <c r="AJ70" i="8"/>
  <c r="AI70" i="8"/>
  <c r="AG70" i="8"/>
  <c r="AF70" i="8"/>
  <c r="AE70" i="8"/>
  <c r="AC70" i="8"/>
  <c r="AB70" i="8"/>
  <c r="Z70" i="8"/>
  <c r="Y70" i="8"/>
  <c r="W70" i="8"/>
  <c r="V70" i="8"/>
  <c r="T70" i="8"/>
  <c r="S70" i="8"/>
  <c r="Q70" i="8"/>
  <c r="P70" i="8"/>
  <c r="N70" i="8"/>
  <c r="K70" i="8"/>
  <c r="H70" i="8"/>
  <c r="G70" i="8"/>
  <c r="O70" i="8" s="1"/>
  <c r="F70" i="8"/>
  <c r="E70" i="8"/>
  <c r="BE69" i="8"/>
  <c r="BD69" i="8"/>
  <c r="BB69" i="8"/>
  <c r="BA69" i="8"/>
  <c r="AY69" i="8"/>
  <c r="AX69" i="8"/>
  <c r="AW69" i="8"/>
  <c r="AU69" i="8"/>
  <c r="AT69" i="8"/>
  <c r="AS69" i="8"/>
  <c r="AQ69" i="8"/>
  <c r="AP69" i="8"/>
  <c r="AN69" i="8"/>
  <c r="AM69" i="8"/>
  <c r="AK69" i="8"/>
  <c r="AJ69" i="8"/>
  <c r="AI69" i="8"/>
  <c r="AG69" i="8"/>
  <c r="AF69" i="8"/>
  <c r="AE69" i="8"/>
  <c r="AC69" i="8"/>
  <c r="AB69" i="8"/>
  <c r="Z69" i="8"/>
  <c r="Y69" i="8"/>
  <c r="W69" i="8"/>
  <c r="V69" i="8"/>
  <c r="T69" i="8"/>
  <c r="S69" i="8"/>
  <c r="Q69" i="8"/>
  <c r="P69" i="8"/>
  <c r="N69" i="8"/>
  <c r="K69" i="8"/>
  <c r="H69" i="8"/>
  <c r="G69" i="8"/>
  <c r="F69" i="8"/>
  <c r="E69" i="8"/>
  <c r="BE68" i="8"/>
  <c r="BD68" i="8"/>
  <c r="BB68" i="8"/>
  <c r="BA68" i="8"/>
  <c r="AY68" i="8"/>
  <c r="AX68" i="8"/>
  <c r="AW68" i="8"/>
  <c r="AU68" i="8"/>
  <c r="AT68" i="8"/>
  <c r="AS68" i="8"/>
  <c r="AQ68" i="8"/>
  <c r="AP68" i="8"/>
  <c r="AN68" i="8"/>
  <c r="AM68" i="8"/>
  <c r="AK68" i="8"/>
  <c r="AJ68" i="8"/>
  <c r="AI68" i="8"/>
  <c r="AG68" i="8"/>
  <c r="AF68" i="8"/>
  <c r="AE68" i="8"/>
  <c r="AC68" i="8"/>
  <c r="AB68" i="8"/>
  <c r="Z68" i="8"/>
  <c r="Y68" i="8"/>
  <c r="W68" i="8"/>
  <c r="V68" i="8"/>
  <c r="T68" i="8"/>
  <c r="S68" i="8"/>
  <c r="Q68" i="8"/>
  <c r="P68" i="8"/>
  <c r="N68" i="8"/>
  <c r="K68" i="8"/>
  <c r="H68" i="8"/>
  <c r="G68" i="8"/>
  <c r="F68" i="8"/>
  <c r="E68" i="8"/>
  <c r="BE67" i="8"/>
  <c r="BD67" i="8"/>
  <c r="BB67" i="8"/>
  <c r="BA67" i="8"/>
  <c r="AY67" i="8"/>
  <c r="AX67" i="8"/>
  <c r="AW67" i="8"/>
  <c r="AU67" i="8"/>
  <c r="AT67" i="8"/>
  <c r="AS67" i="8"/>
  <c r="AQ67" i="8"/>
  <c r="AP67" i="8"/>
  <c r="AN67" i="8"/>
  <c r="AM67" i="8"/>
  <c r="AK67" i="8"/>
  <c r="AJ67" i="8"/>
  <c r="AI67" i="8"/>
  <c r="AG67" i="8"/>
  <c r="AF67" i="8"/>
  <c r="AE67" i="8"/>
  <c r="AC67" i="8"/>
  <c r="AB67" i="8"/>
  <c r="Z67" i="8"/>
  <c r="Y67" i="8"/>
  <c r="W67" i="8"/>
  <c r="V67" i="8"/>
  <c r="T67" i="8"/>
  <c r="S67" i="8"/>
  <c r="Q67" i="8"/>
  <c r="P67" i="8"/>
  <c r="R67" i="8" s="1"/>
  <c r="N67" i="8"/>
  <c r="K67" i="8"/>
  <c r="H67" i="8"/>
  <c r="G67" i="8"/>
  <c r="O67" i="8" s="1"/>
  <c r="F67" i="8"/>
  <c r="E67" i="8"/>
  <c r="BE66" i="8"/>
  <c r="BD66" i="8"/>
  <c r="BB66" i="8"/>
  <c r="BA66" i="8"/>
  <c r="AY66" i="8"/>
  <c r="AX66" i="8"/>
  <c r="AW66" i="8"/>
  <c r="BC66" i="8" s="1"/>
  <c r="AU66" i="8"/>
  <c r="AT66" i="8"/>
  <c r="AS66" i="8"/>
  <c r="AV66" i="8" s="1"/>
  <c r="AQ66" i="8"/>
  <c r="AP66" i="8"/>
  <c r="AN66" i="8"/>
  <c r="AM66" i="8"/>
  <c r="AK66" i="8"/>
  <c r="AJ66" i="8"/>
  <c r="AI66" i="8"/>
  <c r="AO66" i="8" s="1"/>
  <c r="AG66" i="8"/>
  <c r="AF66" i="8"/>
  <c r="AE66" i="8"/>
  <c r="AH66" i="8" s="1"/>
  <c r="AC66" i="8"/>
  <c r="AB66" i="8"/>
  <c r="Z66" i="8"/>
  <c r="Y66" i="8"/>
  <c r="W66" i="8"/>
  <c r="V66" i="8"/>
  <c r="T66" i="8"/>
  <c r="S66" i="8"/>
  <c r="Q66" i="8"/>
  <c r="U66" i="8" s="1"/>
  <c r="P66" i="8"/>
  <c r="R66" i="8" s="1"/>
  <c r="N66" i="8"/>
  <c r="K66" i="8"/>
  <c r="H66" i="8"/>
  <c r="G66" i="8"/>
  <c r="F66" i="8"/>
  <c r="E66" i="8"/>
  <c r="BE65" i="8"/>
  <c r="BD65" i="8"/>
  <c r="BB65" i="8"/>
  <c r="BA65" i="8"/>
  <c r="AY65" i="8"/>
  <c r="AX65" i="8"/>
  <c r="AW65" i="8"/>
  <c r="AU65" i="8"/>
  <c r="AT65" i="8"/>
  <c r="AS65" i="8"/>
  <c r="AQ65" i="8"/>
  <c r="AP65" i="8"/>
  <c r="AN65" i="8"/>
  <c r="AM65" i="8"/>
  <c r="AK65" i="8"/>
  <c r="AJ65" i="8"/>
  <c r="AI65" i="8"/>
  <c r="AG65" i="8"/>
  <c r="AF65" i="8"/>
  <c r="AE65" i="8"/>
  <c r="AC65" i="8"/>
  <c r="AB65" i="8"/>
  <c r="Z65" i="8"/>
  <c r="Y65" i="8"/>
  <c r="W65" i="8"/>
  <c r="V65" i="8"/>
  <c r="T65" i="8"/>
  <c r="S65" i="8"/>
  <c r="Q65" i="8"/>
  <c r="P65" i="8"/>
  <c r="N65" i="8"/>
  <c r="K65" i="8"/>
  <c r="H65" i="8"/>
  <c r="G65" i="8"/>
  <c r="O65" i="8" s="1"/>
  <c r="F65" i="8"/>
  <c r="E65" i="8"/>
  <c r="BE64" i="8"/>
  <c r="BD64" i="8"/>
  <c r="BB64" i="8"/>
  <c r="BA64" i="8"/>
  <c r="AY64" i="8"/>
  <c r="AX64" i="8"/>
  <c r="AW64" i="8"/>
  <c r="AU64" i="8"/>
  <c r="AT64" i="8"/>
  <c r="AS64" i="8"/>
  <c r="AQ64" i="8"/>
  <c r="AP64" i="8"/>
  <c r="AN64" i="8"/>
  <c r="AM64" i="8"/>
  <c r="AK64" i="8"/>
  <c r="AJ64" i="8"/>
  <c r="AI64" i="8"/>
  <c r="AG64" i="8"/>
  <c r="AF64" i="8"/>
  <c r="AE64" i="8"/>
  <c r="AC64" i="8"/>
  <c r="AB64" i="8"/>
  <c r="Z64" i="8"/>
  <c r="Y64" i="8"/>
  <c r="W64" i="8"/>
  <c r="V64" i="8"/>
  <c r="T64" i="8"/>
  <c r="S64" i="8"/>
  <c r="Q64" i="8"/>
  <c r="P64" i="8"/>
  <c r="N64" i="8"/>
  <c r="K64" i="8"/>
  <c r="H64" i="8"/>
  <c r="G64" i="8"/>
  <c r="F64" i="8"/>
  <c r="E64" i="8"/>
  <c r="BE63" i="8"/>
  <c r="BD63" i="8"/>
  <c r="BB63" i="8"/>
  <c r="BA63" i="8"/>
  <c r="AY63" i="8"/>
  <c r="AX63" i="8"/>
  <c r="AW63" i="8"/>
  <c r="BC63" i="8" s="1"/>
  <c r="AU63" i="8"/>
  <c r="AT63" i="8"/>
  <c r="AS63" i="8"/>
  <c r="AV63" i="8" s="1"/>
  <c r="AQ63" i="8"/>
  <c r="AP63" i="8"/>
  <c r="AN63" i="8"/>
  <c r="AM63" i="8"/>
  <c r="AK63" i="8"/>
  <c r="AJ63" i="8"/>
  <c r="AI63" i="8"/>
  <c r="AG63" i="8"/>
  <c r="AF63" i="8"/>
  <c r="AE63" i="8"/>
  <c r="AH63" i="8" s="1"/>
  <c r="AC63" i="8"/>
  <c r="AB63" i="8"/>
  <c r="Z63" i="8"/>
  <c r="Y63" i="8"/>
  <c r="W63" i="8"/>
  <c r="V63" i="8"/>
  <c r="T63" i="8"/>
  <c r="S63" i="8"/>
  <c r="Q63" i="8"/>
  <c r="U63" i="8" s="1"/>
  <c r="P63" i="8"/>
  <c r="R63" i="8" s="1"/>
  <c r="N63" i="8"/>
  <c r="K63" i="8"/>
  <c r="H63" i="8"/>
  <c r="G63" i="8"/>
  <c r="O63" i="8" s="1"/>
  <c r="F63" i="8"/>
  <c r="E63" i="8"/>
  <c r="BE62" i="8"/>
  <c r="BD62" i="8"/>
  <c r="BB62" i="8"/>
  <c r="BA62" i="8"/>
  <c r="AY62" i="8"/>
  <c r="AX62" i="8"/>
  <c r="AW62" i="8"/>
  <c r="BC62" i="8" s="1"/>
  <c r="AU62" i="8"/>
  <c r="AT62" i="8"/>
  <c r="AS62" i="8"/>
  <c r="AV62" i="8" s="1"/>
  <c r="AQ62" i="8"/>
  <c r="AP62" i="8"/>
  <c r="AN62" i="8"/>
  <c r="AM62" i="8"/>
  <c r="AK62" i="8"/>
  <c r="AJ62" i="8"/>
  <c r="AI62" i="8"/>
  <c r="AG62" i="8"/>
  <c r="AF62" i="8"/>
  <c r="AE62" i="8"/>
  <c r="AH62" i="8" s="1"/>
  <c r="AC62" i="8"/>
  <c r="AB62" i="8"/>
  <c r="Z62" i="8"/>
  <c r="Y62" i="8"/>
  <c r="W62" i="8"/>
  <c r="V62" i="8"/>
  <c r="T62" i="8"/>
  <c r="S62" i="8"/>
  <c r="Q62" i="8"/>
  <c r="U62" i="8" s="1"/>
  <c r="P62" i="8"/>
  <c r="R62" i="8" s="1"/>
  <c r="N62" i="8"/>
  <c r="K62" i="8"/>
  <c r="H62" i="8"/>
  <c r="G62" i="8"/>
  <c r="F62" i="8"/>
  <c r="E62" i="8"/>
  <c r="BE61" i="8"/>
  <c r="BD61" i="8"/>
  <c r="BB61" i="8"/>
  <c r="BA61" i="8"/>
  <c r="AY61" i="8"/>
  <c r="AX61" i="8"/>
  <c r="AW61" i="8"/>
  <c r="AU61" i="8"/>
  <c r="AT61" i="8"/>
  <c r="AS61" i="8"/>
  <c r="AV61" i="8" s="1"/>
  <c r="AQ61" i="8"/>
  <c r="AP61" i="8"/>
  <c r="AN61" i="8"/>
  <c r="AM61" i="8"/>
  <c r="AK61" i="8"/>
  <c r="AJ61" i="8"/>
  <c r="AI61" i="8"/>
  <c r="AG61" i="8"/>
  <c r="AF61" i="8"/>
  <c r="AE61" i="8"/>
  <c r="AH61" i="8" s="1"/>
  <c r="AC61" i="8"/>
  <c r="AB61" i="8"/>
  <c r="Z61" i="8"/>
  <c r="Y61" i="8"/>
  <c r="W61" i="8"/>
  <c r="V61" i="8"/>
  <c r="T61" i="8"/>
  <c r="S61" i="8"/>
  <c r="Q61" i="8"/>
  <c r="U61" i="8" s="1"/>
  <c r="P61" i="8"/>
  <c r="N61" i="8"/>
  <c r="K61" i="8"/>
  <c r="H61" i="8"/>
  <c r="G61" i="8"/>
  <c r="F61" i="8"/>
  <c r="E61" i="8"/>
  <c r="BE60" i="8"/>
  <c r="BD60" i="8"/>
  <c r="BB60" i="8"/>
  <c r="BA60" i="8"/>
  <c r="AY60" i="8"/>
  <c r="AX60" i="8"/>
  <c r="AW60" i="8"/>
  <c r="AU60" i="8"/>
  <c r="AT60" i="8"/>
  <c r="AS60" i="8"/>
  <c r="AQ60" i="8"/>
  <c r="AP60" i="8"/>
  <c r="AN60" i="8"/>
  <c r="AM60" i="8"/>
  <c r="AK60" i="8"/>
  <c r="AJ60" i="8"/>
  <c r="AI60" i="8"/>
  <c r="AG60" i="8"/>
  <c r="AF60" i="8"/>
  <c r="AE60" i="8"/>
  <c r="AC60" i="8"/>
  <c r="AB60" i="8"/>
  <c r="Z60" i="8"/>
  <c r="Y60" i="8"/>
  <c r="W60" i="8"/>
  <c r="V60" i="8"/>
  <c r="T60" i="8"/>
  <c r="S60" i="8"/>
  <c r="Q60" i="8"/>
  <c r="P60" i="8"/>
  <c r="N60" i="8"/>
  <c r="K60" i="8"/>
  <c r="H60" i="8"/>
  <c r="G60" i="8"/>
  <c r="O60" i="8" s="1"/>
  <c r="F60" i="8"/>
  <c r="E60" i="8"/>
  <c r="BE59" i="8"/>
  <c r="BD59" i="8"/>
  <c r="BB59" i="8"/>
  <c r="BA59" i="8"/>
  <c r="AY59" i="8"/>
  <c r="AX59" i="8"/>
  <c r="AW59" i="8"/>
  <c r="AU59" i="8"/>
  <c r="AT59" i="8"/>
  <c r="AS59" i="8"/>
  <c r="AQ59" i="8"/>
  <c r="AP59" i="8"/>
  <c r="AN59" i="8"/>
  <c r="AM59" i="8"/>
  <c r="AK59" i="8"/>
  <c r="AJ59" i="8"/>
  <c r="AI59" i="8"/>
  <c r="AG59" i="8"/>
  <c r="AF59" i="8"/>
  <c r="AE59" i="8"/>
  <c r="AC59" i="8"/>
  <c r="AB59" i="8"/>
  <c r="Z59" i="8"/>
  <c r="Y59" i="8"/>
  <c r="W59" i="8"/>
  <c r="V59" i="8"/>
  <c r="T59" i="8"/>
  <c r="S59" i="8"/>
  <c r="Q59" i="8"/>
  <c r="P59" i="8"/>
  <c r="N59" i="8"/>
  <c r="K59" i="8"/>
  <c r="H59" i="8"/>
  <c r="G59" i="8"/>
  <c r="F59" i="8"/>
  <c r="E59" i="8"/>
  <c r="BE58" i="8"/>
  <c r="BD58" i="8"/>
  <c r="BB58" i="8"/>
  <c r="BA58" i="8"/>
  <c r="AY58" i="8"/>
  <c r="AX58" i="8"/>
  <c r="AW58" i="8"/>
  <c r="AU58" i="8"/>
  <c r="AT58" i="8"/>
  <c r="AS58" i="8"/>
  <c r="AQ58" i="8"/>
  <c r="AP58" i="8"/>
  <c r="AN58" i="8"/>
  <c r="AM58" i="8"/>
  <c r="AK58" i="8"/>
  <c r="AJ58" i="8"/>
  <c r="AI58" i="8"/>
  <c r="AG58" i="8"/>
  <c r="AF58" i="8"/>
  <c r="AE58" i="8"/>
  <c r="AC58" i="8"/>
  <c r="AB58" i="8"/>
  <c r="Z58" i="8"/>
  <c r="Y58" i="8"/>
  <c r="W58" i="8"/>
  <c r="V58" i="8"/>
  <c r="T58" i="8"/>
  <c r="S58" i="8"/>
  <c r="Q58" i="8"/>
  <c r="P58" i="8"/>
  <c r="N58" i="8"/>
  <c r="K58" i="8"/>
  <c r="H58" i="8"/>
  <c r="G58" i="8"/>
  <c r="F58" i="8"/>
  <c r="E58" i="8"/>
  <c r="BE57" i="8"/>
  <c r="BD57" i="8"/>
  <c r="BB57" i="8"/>
  <c r="BA57" i="8"/>
  <c r="AY57" i="8"/>
  <c r="AX57" i="8"/>
  <c r="AW57" i="8"/>
  <c r="AU57" i="8"/>
  <c r="AT57" i="8"/>
  <c r="AS57" i="8"/>
  <c r="AQ57" i="8"/>
  <c r="AP57" i="8"/>
  <c r="AN57" i="8"/>
  <c r="AM57" i="8"/>
  <c r="AK57" i="8"/>
  <c r="AJ57" i="8"/>
  <c r="AI57" i="8"/>
  <c r="AG57" i="8"/>
  <c r="AF57" i="8"/>
  <c r="AE57" i="8"/>
  <c r="AC57" i="8"/>
  <c r="AB57" i="8"/>
  <c r="Z57" i="8"/>
  <c r="Y57" i="8"/>
  <c r="W57" i="8"/>
  <c r="V57" i="8"/>
  <c r="T57" i="8"/>
  <c r="S57" i="8"/>
  <c r="Q57" i="8"/>
  <c r="P57" i="8"/>
  <c r="R57" i="8" s="1"/>
  <c r="N57" i="8"/>
  <c r="K57" i="8"/>
  <c r="H57" i="8"/>
  <c r="G57" i="8"/>
  <c r="F57" i="8"/>
  <c r="E57" i="8"/>
  <c r="BE56" i="8"/>
  <c r="BD56" i="8"/>
  <c r="BB56" i="8"/>
  <c r="BA56" i="8"/>
  <c r="AY56" i="8"/>
  <c r="AX56" i="8"/>
  <c r="AW56" i="8"/>
  <c r="AU56" i="8"/>
  <c r="AT56" i="8"/>
  <c r="AS56" i="8"/>
  <c r="AQ56" i="8"/>
  <c r="AP56" i="8"/>
  <c r="AN56" i="8"/>
  <c r="AM56" i="8"/>
  <c r="AK56" i="8"/>
  <c r="AJ56" i="8"/>
  <c r="AI56" i="8"/>
  <c r="AG56" i="8"/>
  <c r="AF56" i="8"/>
  <c r="AE56" i="8"/>
  <c r="AC56" i="8"/>
  <c r="AB56" i="8"/>
  <c r="Z56" i="8"/>
  <c r="Y56" i="8"/>
  <c r="W56" i="8"/>
  <c r="V56" i="8"/>
  <c r="T56" i="8"/>
  <c r="S56" i="8"/>
  <c r="Q56" i="8"/>
  <c r="P56" i="8"/>
  <c r="N56" i="8"/>
  <c r="K56" i="8"/>
  <c r="H56" i="8"/>
  <c r="G56" i="8"/>
  <c r="O56" i="8" s="1"/>
  <c r="F56" i="8"/>
  <c r="E56" i="8"/>
  <c r="BE55" i="8"/>
  <c r="BD55" i="8"/>
  <c r="BB55" i="8"/>
  <c r="BA55" i="8"/>
  <c r="AY55" i="8"/>
  <c r="AX55" i="8"/>
  <c r="AW55" i="8"/>
  <c r="AU55" i="8"/>
  <c r="AT55" i="8"/>
  <c r="AS55" i="8"/>
  <c r="AQ55" i="8"/>
  <c r="AP55" i="8"/>
  <c r="AN55" i="8"/>
  <c r="AM55" i="8"/>
  <c r="AK55" i="8"/>
  <c r="AJ55" i="8"/>
  <c r="AI55" i="8"/>
  <c r="AG55" i="8"/>
  <c r="AF55" i="8"/>
  <c r="AE55" i="8"/>
  <c r="AC55" i="8"/>
  <c r="AB55" i="8"/>
  <c r="Z55" i="8"/>
  <c r="Y55" i="8"/>
  <c r="W55" i="8"/>
  <c r="V55" i="8"/>
  <c r="T55" i="8"/>
  <c r="S55" i="8"/>
  <c r="Q55" i="8"/>
  <c r="P55" i="8"/>
  <c r="R55" i="8" s="1"/>
  <c r="N55" i="8"/>
  <c r="K55" i="8"/>
  <c r="H55" i="8"/>
  <c r="G55" i="8"/>
  <c r="F55" i="8"/>
  <c r="E55" i="8"/>
  <c r="BE53" i="8"/>
  <c r="BD53" i="8"/>
  <c r="BB53" i="8"/>
  <c r="BA53" i="8"/>
  <c r="AY53" i="8"/>
  <c r="AX53" i="8"/>
  <c r="AW53" i="8"/>
  <c r="AU53" i="8"/>
  <c r="AT53" i="8"/>
  <c r="AS53" i="8"/>
  <c r="AQ53" i="8"/>
  <c r="AP53" i="8"/>
  <c r="AN53" i="8"/>
  <c r="AM53" i="8"/>
  <c r="AK53" i="8"/>
  <c r="AJ53" i="8"/>
  <c r="AI53" i="8"/>
  <c r="AG53" i="8"/>
  <c r="AF53" i="8"/>
  <c r="AE53" i="8"/>
  <c r="AC53" i="8"/>
  <c r="AB53" i="8"/>
  <c r="Z53" i="8"/>
  <c r="Y53" i="8"/>
  <c r="W53" i="8"/>
  <c r="V53" i="8"/>
  <c r="T53" i="8"/>
  <c r="S53" i="8"/>
  <c r="Q53" i="8"/>
  <c r="P53" i="8"/>
  <c r="N53" i="8"/>
  <c r="K53" i="8"/>
  <c r="H53" i="8"/>
  <c r="G53" i="8"/>
  <c r="O53" i="8" s="1"/>
  <c r="F53" i="8"/>
  <c r="E53" i="8"/>
  <c r="BE52" i="8"/>
  <c r="BD52" i="8"/>
  <c r="BB52" i="8"/>
  <c r="BA52" i="8"/>
  <c r="AY52" i="8"/>
  <c r="AX52" i="8"/>
  <c r="AW52" i="8"/>
  <c r="AU52" i="8"/>
  <c r="AT52" i="8"/>
  <c r="AS52" i="8"/>
  <c r="AQ52" i="8"/>
  <c r="AP52" i="8"/>
  <c r="AN52" i="8"/>
  <c r="AM52" i="8"/>
  <c r="AK52" i="8"/>
  <c r="AJ52" i="8"/>
  <c r="AI52" i="8"/>
  <c r="AG52" i="8"/>
  <c r="AF52" i="8"/>
  <c r="AE52" i="8"/>
  <c r="AC52" i="8"/>
  <c r="AB52" i="8"/>
  <c r="Z52" i="8"/>
  <c r="Y52" i="8"/>
  <c r="W52" i="8"/>
  <c r="V52" i="8"/>
  <c r="T52" i="8"/>
  <c r="S52" i="8"/>
  <c r="Q52" i="8"/>
  <c r="P52" i="8"/>
  <c r="R52" i="8" s="1"/>
  <c r="N52" i="8"/>
  <c r="K52" i="8"/>
  <c r="H52" i="8"/>
  <c r="G52" i="8"/>
  <c r="F52" i="8"/>
  <c r="E52" i="8"/>
  <c r="BE51" i="8"/>
  <c r="BD51" i="8"/>
  <c r="BB51" i="8"/>
  <c r="BA51" i="8"/>
  <c r="AY51" i="8"/>
  <c r="AX51" i="8"/>
  <c r="AW51" i="8"/>
  <c r="AU51" i="8"/>
  <c r="AT51" i="8"/>
  <c r="AS51" i="8"/>
  <c r="AQ51" i="8"/>
  <c r="AP51" i="8"/>
  <c r="AN51" i="8"/>
  <c r="AM51" i="8"/>
  <c r="AK51" i="8"/>
  <c r="AJ51" i="8"/>
  <c r="AI51" i="8"/>
  <c r="AG51" i="8"/>
  <c r="AF51" i="8"/>
  <c r="AE51" i="8"/>
  <c r="AC51" i="8"/>
  <c r="AB51" i="8"/>
  <c r="Z51" i="8"/>
  <c r="Y51" i="8"/>
  <c r="W51" i="8"/>
  <c r="V51" i="8"/>
  <c r="T51" i="8"/>
  <c r="S51" i="8"/>
  <c r="Q51" i="8"/>
  <c r="P51" i="8"/>
  <c r="R51" i="8" s="1"/>
  <c r="N51" i="8"/>
  <c r="K51" i="8"/>
  <c r="H51" i="8"/>
  <c r="G51" i="8"/>
  <c r="F51" i="8"/>
  <c r="E51" i="8"/>
  <c r="BE50" i="8"/>
  <c r="BD50" i="8"/>
  <c r="BB50" i="8"/>
  <c r="BA50" i="8"/>
  <c r="AY50" i="8"/>
  <c r="AX50" i="8"/>
  <c r="AW50" i="8"/>
  <c r="AU50" i="8"/>
  <c r="AT50" i="8"/>
  <c r="AS50" i="8"/>
  <c r="AQ50" i="8"/>
  <c r="AP50" i="8"/>
  <c r="AN50" i="8"/>
  <c r="AM50" i="8"/>
  <c r="AK50" i="8"/>
  <c r="AJ50" i="8"/>
  <c r="AI50" i="8"/>
  <c r="AG50" i="8"/>
  <c r="AF50" i="8"/>
  <c r="AE50" i="8"/>
  <c r="AC50" i="8"/>
  <c r="AB50" i="8"/>
  <c r="Z50" i="8"/>
  <c r="Y50" i="8"/>
  <c r="W50" i="8"/>
  <c r="V50" i="8"/>
  <c r="T50" i="8"/>
  <c r="S50" i="8"/>
  <c r="Q50" i="8"/>
  <c r="P50" i="8"/>
  <c r="N50" i="8"/>
  <c r="K50" i="8"/>
  <c r="H50" i="8"/>
  <c r="G50" i="8"/>
  <c r="F50" i="8"/>
  <c r="E50" i="8"/>
  <c r="BE49" i="8"/>
  <c r="BD49" i="8"/>
  <c r="BB49" i="8"/>
  <c r="BA49" i="8"/>
  <c r="AY49" i="8"/>
  <c r="AX49" i="8"/>
  <c r="AW49" i="8"/>
  <c r="AU49" i="8"/>
  <c r="AT49" i="8"/>
  <c r="AS49" i="8"/>
  <c r="AQ49" i="8"/>
  <c r="AP49" i="8"/>
  <c r="AN49" i="8"/>
  <c r="AM49" i="8"/>
  <c r="AK49" i="8"/>
  <c r="AJ49" i="8"/>
  <c r="AI49" i="8"/>
  <c r="AG49" i="8"/>
  <c r="AF49" i="8"/>
  <c r="AE49" i="8"/>
  <c r="AC49" i="8"/>
  <c r="AB49" i="8"/>
  <c r="Z49" i="8"/>
  <c r="Y49" i="8"/>
  <c r="W49" i="8"/>
  <c r="V49" i="8"/>
  <c r="T49" i="8"/>
  <c r="S49" i="8"/>
  <c r="Q49" i="8"/>
  <c r="P49" i="8"/>
  <c r="N49" i="8"/>
  <c r="K49" i="8"/>
  <c r="H49" i="8"/>
  <c r="G49" i="8"/>
  <c r="F49" i="8"/>
  <c r="E49" i="8"/>
  <c r="BE48" i="8"/>
  <c r="BD48" i="8"/>
  <c r="BB48" i="8"/>
  <c r="BA48" i="8"/>
  <c r="AY48" i="8"/>
  <c r="AX48" i="8"/>
  <c r="AW48" i="8"/>
  <c r="AU48" i="8"/>
  <c r="AT48" i="8"/>
  <c r="AS48" i="8"/>
  <c r="AQ48" i="8"/>
  <c r="AP48" i="8"/>
  <c r="AN48" i="8"/>
  <c r="AM48" i="8"/>
  <c r="AK48" i="8"/>
  <c r="AJ48" i="8"/>
  <c r="AI48" i="8"/>
  <c r="AG48" i="8"/>
  <c r="AF48" i="8"/>
  <c r="AE48" i="8"/>
  <c r="AC48" i="8"/>
  <c r="AB48" i="8"/>
  <c r="Z48" i="8"/>
  <c r="Y48" i="8"/>
  <c r="W48" i="8"/>
  <c r="V48" i="8"/>
  <c r="T48" i="8"/>
  <c r="S48" i="8"/>
  <c r="Q48" i="8"/>
  <c r="P48" i="8"/>
  <c r="R48" i="8" s="1"/>
  <c r="N48" i="8"/>
  <c r="K48" i="8"/>
  <c r="H48" i="8"/>
  <c r="G48" i="8"/>
  <c r="F48" i="8"/>
  <c r="E48" i="8"/>
  <c r="BE47" i="8"/>
  <c r="BD47" i="8"/>
  <c r="BB47" i="8"/>
  <c r="BA47" i="8"/>
  <c r="AY47" i="8"/>
  <c r="AX47" i="8"/>
  <c r="AW47" i="8"/>
  <c r="AU47" i="8"/>
  <c r="AT47" i="8"/>
  <c r="AS47" i="8"/>
  <c r="AQ47" i="8"/>
  <c r="AP47" i="8"/>
  <c r="AN47" i="8"/>
  <c r="AM47" i="8"/>
  <c r="AK47" i="8"/>
  <c r="AJ47" i="8"/>
  <c r="AI47" i="8"/>
  <c r="AG47" i="8"/>
  <c r="AF47" i="8"/>
  <c r="AE47" i="8"/>
  <c r="AC47" i="8"/>
  <c r="AB47" i="8"/>
  <c r="Z47" i="8"/>
  <c r="Y47" i="8"/>
  <c r="W47" i="8"/>
  <c r="V47" i="8"/>
  <c r="T47" i="8"/>
  <c r="S47" i="8"/>
  <c r="Q47" i="8"/>
  <c r="P47" i="8"/>
  <c r="N47" i="8"/>
  <c r="K47" i="8"/>
  <c r="H47" i="8"/>
  <c r="G47" i="8"/>
  <c r="O47" i="8" s="1"/>
  <c r="F47" i="8"/>
  <c r="E47" i="8"/>
  <c r="BE46" i="8"/>
  <c r="BD46" i="8"/>
  <c r="BB46" i="8"/>
  <c r="BA46" i="8"/>
  <c r="AY46" i="8"/>
  <c r="AX46" i="8"/>
  <c r="AW46" i="8"/>
  <c r="AU46" i="8"/>
  <c r="AT46" i="8"/>
  <c r="AS46" i="8"/>
  <c r="AQ46" i="8"/>
  <c r="AP46" i="8"/>
  <c r="AN46" i="8"/>
  <c r="AM46" i="8"/>
  <c r="AK46" i="8"/>
  <c r="AJ46" i="8"/>
  <c r="AI46" i="8"/>
  <c r="AG46" i="8"/>
  <c r="AF46" i="8"/>
  <c r="AE46" i="8"/>
  <c r="AC46" i="8"/>
  <c r="AB46" i="8"/>
  <c r="Z46" i="8"/>
  <c r="Y46" i="8"/>
  <c r="W46" i="8"/>
  <c r="V46" i="8"/>
  <c r="T46" i="8"/>
  <c r="S46" i="8"/>
  <c r="Q46" i="8"/>
  <c r="P46" i="8"/>
  <c r="R46" i="8" s="1"/>
  <c r="N46" i="8"/>
  <c r="K46" i="8"/>
  <c r="H46" i="8"/>
  <c r="G46" i="8"/>
  <c r="F46" i="8"/>
  <c r="E46" i="8"/>
  <c r="BE45" i="8"/>
  <c r="BD45" i="8"/>
  <c r="BB45" i="8"/>
  <c r="BA45" i="8"/>
  <c r="AY45" i="8"/>
  <c r="AX45" i="8"/>
  <c r="AW45" i="8"/>
  <c r="AU45" i="8"/>
  <c r="AT45" i="8"/>
  <c r="AS45" i="8"/>
  <c r="AQ45" i="8"/>
  <c r="AP45" i="8"/>
  <c r="AN45" i="8"/>
  <c r="AM45" i="8"/>
  <c r="AK45" i="8"/>
  <c r="AJ45" i="8"/>
  <c r="AI45" i="8"/>
  <c r="AG45" i="8"/>
  <c r="AF45" i="8"/>
  <c r="AE45" i="8"/>
  <c r="AC45" i="8"/>
  <c r="AB45" i="8"/>
  <c r="Z45" i="8"/>
  <c r="Y45" i="8"/>
  <c r="W45" i="8"/>
  <c r="V45" i="8"/>
  <c r="T45" i="8"/>
  <c r="S45" i="8"/>
  <c r="Q45" i="8"/>
  <c r="P45" i="8"/>
  <c r="N45" i="8"/>
  <c r="K45" i="8"/>
  <c r="H45" i="8"/>
  <c r="G45" i="8"/>
  <c r="O45" i="8" s="1"/>
  <c r="F45" i="8"/>
  <c r="E45" i="8"/>
  <c r="BE44" i="8"/>
  <c r="BD44" i="8"/>
  <c r="BB44" i="8"/>
  <c r="BA44" i="8"/>
  <c r="AY44" i="8"/>
  <c r="AX44" i="8"/>
  <c r="AW44" i="8"/>
  <c r="AU44" i="8"/>
  <c r="AT44" i="8"/>
  <c r="AS44" i="8"/>
  <c r="AQ44" i="8"/>
  <c r="AP44" i="8"/>
  <c r="AN44" i="8"/>
  <c r="AM44" i="8"/>
  <c r="AK44" i="8"/>
  <c r="AJ44" i="8"/>
  <c r="AI44" i="8"/>
  <c r="AG44" i="8"/>
  <c r="AF44" i="8"/>
  <c r="AE44" i="8"/>
  <c r="AC44" i="8"/>
  <c r="AB44" i="8"/>
  <c r="Z44" i="8"/>
  <c r="Y44" i="8"/>
  <c r="W44" i="8"/>
  <c r="V44" i="8"/>
  <c r="T44" i="8"/>
  <c r="S44" i="8"/>
  <c r="Q44" i="8"/>
  <c r="P44" i="8"/>
  <c r="R44" i="8" s="1"/>
  <c r="N44" i="8"/>
  <c r="K44" i="8"/>
  <c r="H44" i="8"/>
  <c r="G44" i="8"/>
  <c r="F44" i="8"/>
  <c r="E44" i="8"/>
  <c r="BE43" i="8"/>
  <c r="BD43" i="8"/>
  <c r="BB43" i="8"/>
  <c r="BA43" i="8"/>
  <c r="AY43" i="8"/>
  <c r="AX43" i="8"/>
  <c r="AW43" i="8"/>
  <c r="AU43" i="8"/>
  <c r="AT43" i="8"/>
  <c r="AS43" i="8"/>
  <c r="AQ43" i="8"/>
  <c r="AP43" i="8"/>
  <c r="AN43" i="8"/>
  <c r="AM43" i="8"/>
  <c r="AK43" i="8"/>
  <c r="AJ43" i="8"/>
  <c r="AI43" i="8"/>
  <c r="AG43" i="8"/>
  <c r="AF43" i="8"/>
  <c r="AE43" i="8"/>
  <c r="AC43" i="8"/>
  <c r="AB43" i="8"/>
  <c r="Z43" i="8"/>
  <c r="Y43" i="8"/>
  <c r="W43" i="8"/>
  <c r="V43" i="8"/>
  <c r="T43" i="8"/>
  <c r="S43" i="8"/>
  <c r="Q43" i="8"/>
  <c r="P43" i="8"/>
  <c r="R43" i="8" s="1"/>
  <c r="N43" i="8"/>
  <c r="K43" i="8"/>
  <c r="H43" i="8"/>
  <c r="G43" i="8"/>
  <c r="F43" i="8"/>
  <c r="E43" i="8"/>
  <c r="BE42" i="8"/>
  <c r="BD42" i="8"/>
  <c r="BB42" i="8"/>
  <c r="BA42" i="8"/>
  <c r="AY42" i="8"/>
  <c r="AX42" i="8"/>
  <c r="AW42" i="8"/>
  <c r="AU42" i="8"/>
  <c r="AT42" i="8"/>
  <c r="AS42" i="8"/>
  <c r="AQ42" i="8"/>
  <c r="AP42" i="8"/>
  <c r="AN42" i="8"/>
  <c r="AM42" i="8"/>
  <c r="AK42" i="8"/>
  <c r="AJ42" i="8"/>
  <c r="AI42" i="8"/>
  <c r="AG42" i="8"/>
  <c r="AF42" i="8"/>
  <c r="AE42" i="8"/>
  <c r="AC42" i="8"/>
  <c r="AB42" i="8"/>
  <c r="Z42" i="8"/>
  <c r="Y42" i="8"/>
  <c r="W42" i="8"/>
  <c r="V42" i="8"/>
  <c r="T42" i="8"/>
  <c r="S42" i="8"/>
  <c r="Q42" i="8"/>
  <c r="P42" i="8"/>
  <c r="N42" i="8"/>
  <c r="K42" i="8"/>
  <c r="H42" i="8"/>
  <c r="G42" i="8"/>
  <c r="F42" i="8"/>
  <c r="E42" i="8"/>
  <c r="BE41" i="8"/>
  <c r="BD41" i="8"/>
  <c r="BB41" i="8"/>
  <c r="BA41" i="8"/>
  <c r="AY41" i="8"/>
  <c r="AX41" i="8"/>
  <c r="AW41" i="8"/>
  <c r="AU41" i="8"/>
  <c r="AT41" i="8"/>
  <c r="AS41" i="8"/>
  <c r="AQ41" i="8"/>
  <c r="AP41" i="8"/>
  <c r="AN41" i="8"/>
  <c r="AM41" i="8"/>
  <c r="AK41" i="8"/>
  <c r="AJ41" i="8"/>
  <c r="AI41" i="8"/>
  <c r="AG41" i="8"/>
  <c r="AF41" i="8"/>
  <c r="AE41" i="8"/>
  <c r="AC41" i="8"/>
  <c r="AB41" i="8"/>
  <c r="Z41" i="8"/>
  <c r="Y41" i="8"/>
  <c r="W41" i="8"/>
  <c r="V41" i="8"/>
  <c r="T41" i="8"/>
  <c r="S41" i="8"/>
  <c r="Q41" i="8"/>
  <c r="P41" i="8"/>
  <c r="N41" i="8"/>
  <c r="K41" i="8"/>
  <c r="H41" i="8"/>
  <c r="G41" i="8"/>
  <c r="O41" i="8" s="1"/>
  <c r="F41" i="8"/>
  <c r="E41" i="8"/>
  <c r="BE40" i="8"/>
  <c r="BD40" i="8"/>
  <c r="BB40" i="8"/>
  <c r="BA40" i="8"/>
  <c r="AY40" i="8"/>
  <c r="AX40" i="8"/>
  <c r="AW40" i="8"/>
  <c r="AU40" i="8"/>
  <c r="AT40" i="8"/>
  <c r="AS40" i="8"/>
  <c r="AQ40" i="8"/>
  <c r="AP40" i="8"/>
  <c r="AN40" i="8"/>
  <c r="AM40" i="8"/>
  <c r="AK40" i="8"/>
  <c r="AJ40" i="8"/>
  <c r="AI40" i="8"/>
  <c r="AG40" i="8"/>
  <c r="AF40" i="8"/>
  <c r="AE40" i="8"/>
  <c r="AC40" i="8"/>
  <c r="AB40" i="8"/>
  <c r="Z40" i="8"/>
  <c r="Y40" i="8"/>
  <c r="W40" i="8"/>
  <c r="V40" i="8"/>
  <c r="T40" i="8"/>
  <c r="S40" i="8"/>
  <c r="Q40" i="8"/>
  <c r="P40" i="8"/>
  <c r="R40" i="8" s="1"/>
  <c r="N40" i="8"/>
  <c r="K40" i="8"/>
  <c r="H40" i="8"/>
  <c r="G40" i="8"/>
  <c r="F40" i="8"/>
  <c r="E40" i="8"/>
  <c r="BE39" i="8"/>
  <c r="BD39" i="8"/>
  <c r="BB39" i="8"/>
  <c r="BA39" i="8"/>
  <c r="AY39" i="8"/>
  <c r="AX39" i="8"/>
  <c r="AW39" i="8"/>
  <c r="AU39" i="8"/>
  <c r="AT39" i="8"/>
  <c r="AS39" i="8"/>
  <c r="AQ39" i="8"/>
  <c r="AP39" i="8"/>
  <c r="AN39" i="8"/>
  <c r="AM39" i="8"/>
  <c r="AK39" i="8"/>
  <c r="AJ39" i="8"/>
  <c r="AI39" i="8"/>
  <c r="AG39" i="8"/>
  <c r="AF39" i="8"/>
  <c r="AE39" i="8"/>
  <c r="AC39" i="8"/>
  <c r="AB39" i="8"/>
  <c r="Z39" i="8"/>
  <c r="Y39" i="8"/>
  <c r="W39" i="8"/>
  <c r="V39" i="8"/>
  <c r="T39" i="8"/>
  <c r="S39" i="8"/>
  <c r="Q39" i="8"/>
  <c r="P39" i="8"/>
  <c r="R39" i="8" s="1"/>
  <c r="N39" i="8"/>
  <c r="K39" i="8"/>
  <c r="H39" i="8"/>
  <c r="G39" i="8"/>
  <c r="F39" i="8"/>
  <c r="E39" i="8"/>
  <c r="BE38" i="8"/>
  <c r="BD38" i="8"/>
  <c r="BB38" i="8"/>
  <c r="BA38" i="8"/>
  <c r="AY38" i="8"/>
  <c r="AX38" i="8"/>
  <c r="AW38" i="8"/>
  <c r="AU38" i="8"/>
  <c r="AT38" i="8"/>
  <c r="AS38" i="8"/>
  <c r="AQ38" i="8"/>
  <c r="AP38" i="8"/>
  <c r="AN38" i="8"/>
  <c r="AM38" i="8"/>
  <c r="AK38" i="8"/>
  <c r="AJ38" i="8"/>
  <c r="AI38" i="8"/>
  <c r="AG38" i="8"/>
  <c r="AF38" i="8"/>
  <c r="AE38" i="8"/>
  <c r="AC38" i="8"/>
  <c r="AB38" i="8"/>
  <c r="Z38" i="8"/>
  <c r="Y38" i="8"/>
  <c r="W38" i="8"/>
  <c r="V38" i="8"/>
  <c r="T38" i="8"/>
  <c r="S38" i="8"/>
  <c r="Q38" i="8"/>
  <c r="P38" i="8"/>
  <c r="R38" i="8" s="1"/>
  <c r="N38" i="8"/>
  <c r="K38" i="8"/>
  <c r="H38" i="8"/>
  <c r="G38" i="8"/>
  <c r="F38" i="8"/>
  <c r="E38" i="8"/>
  <c r="BE37" i="8"/>
  <c r="BD37" i="8"/>
  <c r="BB37" i="8"/>
  <c r="BA37" i="8"/>
  <c r="AY37" i="8"/>
  <c r="AX37" i="8"/>
  <c r="AW37" i="8"/>
  <c r="AU37" i="8"/>
  <c r="AT37" i="8"/>
  <c r="AS37" i="8"/>
  <c r="AQ37" i="8"/>
  <c r="AP37" i="8"/>
  <c r="AN37" i="8"/>
  <c r="AM37" i="8"/>
  <c r="AK37" i="8"/>
  <c r="AJ37" i="8"/>
  <c r="AI37" i="8"/>
  <c r="AG37" i="8"/>
  <c r="AF37" i="8"/>
  <c r="AE37" i="8"/>
  <c r="AC37" i="8"/>
  <c r="AB37" i="8"/>
  <c r="Z37" i="8"/>
  <c r="Y37" i="8"/>
  <c r="W37" i="8"/>
  <c r="V37" i="8"/>
  <c r="T37" i="8"/>
  <c r="S37" i="8"/>
  <c r="Q37" i="8"/>
  <c r="P37" i="8"/>
  <c r="R37" i="8" s="1"/>
  <c r="N37" i="8"/>
  <c r="K37" i="8"/>
  <c r="H37" i="8"/>
  <c r="G37" i="8"/>
  <c r="F37" i="8"/>
  <c r="E37" i="8"/>
  <c r="BE36" i="8"/>
  <c r="BD36" i="8"/>
  <c r="BB36" i="8"/>
  <c r="BA36" i="8"/>
  <c r="AY36" i="8"/>
  <c r="AX36" i="8"/>
  <c r="AW36" i="8"/>
  <c r="AU36" i="8"/>
  <c r="AT36" i="8"/>
  <c r="AS36" i="8"/>
  <c r="AQ36" i="8"/>
  <c r="AP36" i="8"/>
  <c r="AN36" i="8"/>
  <c r="AM36" i="8"/>
  <c r="AK36" i="8"/>
  <c r="AJ36" i="8"/>
  <c r="AI36" i="8"/>
  <c r="AG36" i="8"/>
  <c r="AF36" i="8"/>
  <c r="AE36" i="8"/>
  <c r="AC36" i="8"/>
  <c r="AB36" i="8"/>
  <c r="Z36" i="8"/>
  <c r="Y36" i="8"/>
  <c r="W36" i="8"/>
  <c r="V36" i="8"/>
  <c r="T36" i="8"/>
  <c r="S36" i="8"/>
  <c r="Q36" i="8"/>
  <c r="P36" i="8"/>
  <c r="N36" i="8"/>
  <c r="K36" i="8"/>
  <c r="H36" i="8"/>
  <c r="G36" i="8"/>
  <c r="O36" i="8" s="1"/>
  <c r="F36" i="8"/>
  <c r="E36" i="8"/>
  <c r="BE35" i="8"/>
  <c r="BD35" i="8"/>
  <c r="BB35" i="8"/>
  <c r="BA35" i="8"/>
  <c r="AY35" i="8"/>
  <c r="AX35" i="8"/>
  <c r="AW35" i="8"/>
  <c r="AU35" i="8"/>
  <c r="AT35" i="8"/>
  <c r="AS35" i="8"/>
  <c r="AQ35" i="8"/>
  <c r="AP35" i="8"/>
  <c r="AN35" i="8"/>
  <c r="AM35" i="8"/>
  <c r="AK35" i="8"/>
  <c r="AJ35" i="8"/>
  <c r="AI35" i="8"/>
  <c r="AG35" i="8"/>
  <c r="AF35" i="8"/>
  <c r="AE35" i="8"/>
  <c r="AC35" i="8"/>
  <c r="AB35" i="8"/>
  <c r="Z35" i="8"/>
  <c r="Y35" i="8"/>
  <c r="W35" i="8"/>
  <c r="V35" i="8"/>
  <c r="T35" i="8"/>
  <c r="S35" i="8"/>
  <c r="Q35" i="8"/>
  <c r="P35" i="8"/>
  <c r="R35" i="8" s="1"/>
  <c r="N35" i="8"/>
  <c r="K35" i="8"/>
  <c r="H35" i="8"/>
  <c r="G35" i="8"/>
  <c r="F35" i="8"/>
  <c r="E35" i="8"/>
  <c r="BE34" i="8"/>
  <c r="BD34" i="8"/>
  <c r="BB34" i="8"/>
  <c r="BA34" i="8"/>
  <c r="AY34" i="8"/>
  <c r="AX34" i="8"/>
  <c r="AW34" i="8"/>
  <c r="AU34" i="8"/>
  <c r="AT34" i="8"/>
  <c r="AS34" i="8"/>
  <c r="AQ34" i="8"/>
  <c r="AP34" i="8"/>
  <c r="AN34" i="8"/>
  <c r="AM34" i="8"/>
  <c r="AK34" i="8"/>
  <c r="AJ34" i="8"/>
  <c r="AI34" i="8"/>
  <c r="AG34" i="8"/>
  <c r="AF34" i="8"/>
  <c r="AE34" i="8"/>
  <c r="AC34" i="8"/>
  <c r="AB34" i="8"/>
  <c r="Z34" i="8"/>
  <c r="Y34" i="8"/>
  <c r="W34" i="8"/>
  <c r="V34" i="8"/>
  <c r="T34" i="8"/>
  <c r="S34" i="8"/>
  <c r="Q34" i="8"/>
  <c r="P34" i="8"/>
  <c r="R34" i="8" s="1"/>
  <c r="N34" i="8"/>
  <c r="K34" i="8"/>
  <c r="H34" i="8"/>
  <c r="G34" i="8"/>
  <c r="F34" i="8"/>
  <c r="E34" i="8"/>
  <c r="BE32" i="8"/>
  <c r="BD32" i="8"/>
  <c r="BB32" i="8"/>
  <c r="BA32" i="8"/>
  <c r="AY32" i="8"/>
  <c r="AX32" i="8"/>
  <c r="AW32" i="8"/>
  <c r="AU32" i="8"/>
  <c r="AT32" i="8"/>
  <c r="AS32" i="8"/>
  <c r="AQ32" i="8"/>
  <c r="AP32" i="8"/>
  <c r="AN32" i="8"/>
  <c r="AM32" i="8"/>
  <c r="AK32" i="8"/>
  <c r="AJ32" i="8"/>
  <c r="AI32" i="8"/>
  <c r="AG32" i="8"/>
  <c r="AF32" i="8"/>
  <c r="AE32" i="8"/>
  <c r="AC32" i="8"/>
  <c r="AB32" i="8"/>
  <c r="Z32" i="8"/>
  <c r="Y32" i="8"/>
  <c r="W32" i="8"/>
  <c r="V32" i="8"/>
  <c r="T32" i="8"/>
  <c r="S32" i="8"/>
  <c r="Q32" i="8"/>
  <c r="P32" i="8"/>
  <c r="R32" i="8" s="1"/>
  <c r="N32" i="8"/>
  <c r="K32" i="8"/>
  <c r="H32" i="8"/>
  <c r="G32" i="8"/>
  <c r="F32" i="8"/>
  <c r="E32" i="8"/>
  <c r="BE31" i="8"/>
  <c r="BD31" i="8"/>
  <c r="BB31" i="8"/>
  <c r="BA31" i="8"/>
  <c r="AY31" i="8"/>
  <c r="AX31" i="8"/>
  <c r="AW31" i="8"/>
  <c r="AU31" i="8"/>
  <c r="AT31" i="8"/>
  <c r="AS31" i="8"/>
  <c r="AQ31" i="8"/>
  <c r="AP31" i="8"/>
  <c r="AN31" i="8"/>
  <c r="AM31" i="8"/>
  <c r="AK31" i="8"/>
  <c r="AJ31" i="8"/>
  <c r="AI31" i="8"/>
  <c r="AG31" i="8"/>
  <c r="AF31" i="8"/>
  <c r="AE31" i="8"/>
  <c r="AC31" i="8"/>
  <c r="AB31" i="8"/>
  <c r="Z31" i="8"/>
  <c r="Y31" i="8"/>
  <c r="W31" i="8"/>
  <c r="V31" i="8"/>
  <c r="T31" i="8"/>
  <c r="S31" i="8"/>
  <c r="Q31" i="8"/>
  <c r="P31" i="8"/>
  <c r="R31" i="8" s="1"/>
  <c r="N31" i="8"/>
  <c r="K31" i="8"/>
  <c r="H31" i="8"/>
  <c r="G31" i="8"/>
  <c r="O31" i="8" s="1"/>
  <c r="F31" i="8"/>
  <c r="E31" i="8"/>
  <c r="BE30" i="8"/>
  <c r="BD30" i="8"/>
  <c r="BB30" i="8"/>
  <c r="BA30" i="8"/>
  <c r="AY30" i="8"/>
  <c r="AX30" i="8"/>
  <c r="AW30" i="8"/>
  <c r="AU30" i="8"/>
  <c r="AT30" i="8"/>
  <c r="AS30" i="8"/>
  <c r="AQ30" i="8"/>
  <c r="AP30" i="8"/>
  <c r="AN30" i="8"/>
  <c r="AM30" i="8"/>
  <c r="AK30" i="8"/>
  <c r="AJ30" i="8"/>
  <c r="AI30" i="8"/>
  <c r="AG30" i="8"/>
  <c r="AF30" i="8"/>
  <c r="AE30" i="8"/>
  <c r="AC30" i="8"/>
  <c r="AB30" i="8"/>
  <c r="Z30" i="8"/>
  <c r="Y30" i="8"/>
  <c r="W30" i="8"/>
  <c r="V30" i="8"/>
  <c r="T30" i="8"/>
  <c r="S30" i="8"/>
  <c r="Q30" i="8"/>
  <c r="P30" i="8"/>
  <c r="R30" i="8" s="1"/>
  <c r="N30" i="8"/>
  <c r="K30" i="8"/>
  <c r="H30" i="8"/>
  <c r="G30" i="8"/>
  <c r="O30" i="8" s="1"/>
  <c r="F30" i="8"/>
  <c r="E30" i="8"/>
  <c r="BE29" i="8"/>
  <c r="BD29" i="8"/>
  <c r="BB29" i="8"/>
  <c r="BA29" i="8"/>
  <c r="AY29" i="8"/>
  <c r="AX29" i="8"/>
  <c r="AW29" i="8"/>
  <c r="AU29" i="8"/>
  <c r="AT29" i="8"/>
  <c r="AS29" i="8"/>
  <c r="AQ29" i="8"/>
  <c r="AP29" i="8"/>
  <c r="AN29" i="8"/>
  <c r="AM29" i="8"/>
  <c r="AK29" i="8"/>
  <c r="AJ29" i="8"/>
  <c r="AI29" i="8"/>
  <c r="AG29" i="8"/>
  <c r="AF29" i="8"/>
  <c r="AE29" i="8"/>
  <c r="AC29" i="8"/>
  <c r="AB29" i="8"/>
  <c r="Z29" i="8"/>
  <c r="Y29" i="8"/>
  <c r="W29" i="8"/>
  <c r="V29" i="8"/>
  <c r="T29" i="8"/>
  <c r="S29" i="8"/>
  <c r="Q29" i="8"/>
  <c r="P29" i="8"/>
  <c r="N29" i="8"/>
  <c r="K29" i="8"/>
  <c r="H29" i="8"/>
  <c r="G29" i="8"/>
  <c r="F29" i="8"/>
  <c r="E29" i="8"/>
  <c r="BE28" i="8"/>
  <c r="BD28" i="8"/>
  <c r="BB28" i="8"/>
  <c r="BA28" i="8"/>
  <c r="AY28" i="8"/>
  <c r="AX28" i="8"/>
  <c r="AW28" i="8"/>
  <c r="AU28" i="8"/>
  <c r="AT28" i="8"/>
  <c r="AS28" i="8"/>
  <c r="AQ28" i="8"/>
  <c r="AP28" i="8"/>
  <c r="AN28" i="8"/>
  <c r="AM28" i="8"/>
  <c r="AK28" i="8"/>
  <c r="AJ28" i="8"/>
  <c r="AI28" i="8"/>
  <c r="AG28" i="8"/>
  <c r="AF28" i="8"/>
  <c r="AE28" i="8"/>
  <c r="AC28" i="8"/>
  <c r="AB28" i="8"/>
  <c r="Z28" i="8"/>
  <c r="Y28" i="8"/>
  <c r="W28" i="8"/>
  <c r="V28" i="8"/>
  <c r="T28" i="8"/>
  <c r="S28" i="8"/>
  <c r="Q28" i="8"/>
  <c r="P28" i="8"/>
  <c r="R28" i="8" s="1"/>
  <c r="N28" i="8"/>
  <c r="K28" i="8"/>
  <c r="H28" i="8"/>
  <c r="G28" i="8"/>
  <c r="F28" i="8"/>
  <c r="E28" i="8"/>
  <c r="BE27" i="8"/>
  <c r="BD27" i="8"/>
  <c r="BB27" i="8"/>
  <c r="BA27" i="8"/>
  <c r="AY27" i="8"/>
  <c r="AX27" i="8"/>
  <c r="AW27" i="8"/>
  <c r="AU27" i="8"/>
  <c r="AT27" i="8"/>
  <c r="AS27" i="8"/>
  <c r="AQ27" i="8"/>
  <c r="AP27" i="8"/>
  <c r="AN27" i="8"/>
  <c r="AM27" i="8"/>
  <c r="AK27" i="8"/>
  <c r="AJ27" i="8"/>
  <c r="AI27" i="8"/>
  <c r="AG27" i="8"/>
  <c r="AF27" i="8"/>
  <c r="AE27" i="8"/>
  <c r="AC27" i="8"/>
  <c r="AB27" i="8"/>
  <c r="Z27" i="8"/>
  <c r="Y27" i="8"/>
  <c r="W27" i="8"/>
  <c r="V27" i="8"/>
  <c r="T27" i="8"/>
  <c r="S27" i="8"/>
  <c r="Q27" i="8"/>
  <c r="P27" i="8"/>
  <c r="N27" i="8"/>
  <c r="K27" i="8"/>
  <c r="H27" i="8"/>
  <c r="G27" i="8"/>
  <c r="F27" i="8"/>
  <c r="E27" i="8"/>
  <c r="BE26" i="8"/>
  <c r="BD26" i="8"/>
  <c r="BB26" i="8"/>
  <c r="BA26" i="8"/>
  <c r="AY26" i="8"/>
  <c r="AX26" i="8"/>
  <c r="AW26" i="8"/>
  <c r="AU26" i="8"/>
  <c r="AT26" i="8"/>
  <c r="AS26" i="8"/>
  <c r="AQ26" i="8"/>
  <c r="AP26" i="8"/>
  <c r="AN26" i="8"/>
  <c r="AM26" i="8"/>
  <c r="AK26" i="8"/>
  <c r="AJ26" i="8"/>
  <c r="AI26" i="8"/>
  <c r="AG26" i="8"/>
  <c r="AF26" i="8"/>
  <c r="AE26" i="8"/>
  <c r="AC26" i="8"/>
  <c r="AB26" i="8"/>
  <c r="Z26" i="8"/>
  <c r="Y26" i="8"/>
  <c r="W26" i="8"/>
  <c r="V26" i="8"/>
  <c r="T26" i="8"/>
  <c r="S26" i="8"/>
  <c r="Q26" i="8"/>
  <c r="P26" i="8"/>
  <c r="R26" i="8" s="1"/>
  <c r="N26" i="8"/>
  <c r="K26" i="8"/>
  <c r="H26" i="8"/>
  <c r="G26" i="8"/>
  <c r="F26" i="8"/>
  <c r="E26" i="8"/>
  <c r="BE25" i="8"/>
  <c r="BD25" i="8"/>
  <c r="BB25" i="8"/>
  <c r="BA25" i="8"/>
  <c r="AY25" i="8"/>
  <c r="AX25" i="8"/>
  <c r="AW25" i="8"/>
  <c r="AU25" i="8"/>
  <c r="AT25" i="8"/>
  <c r="AS25" i="8"/>
  <c r="AQ25" i="8"/>
  <c r="AP25" i="8"/>
  <c r="AN25" i="8"/>
  <c r="AM25" i="8"/>
  <c r="AK25" i="8"/>
  <c r="AJ25" i="8"/>
  <c r="AI25" i="8"/>
  <c r="AG25" i="8"/>
  <c r="AF25" i="8"/>
  <c r="AE25" i="8"/>
  <c r="AC25" i="8"/>
  <c r="AB25" i="8"/>
  <c r="Z25" i="8"/>
  <c r="Y25" i="8"/>
  <c r="W25" i="8"/>
  <c r="V25" i="8"/>
  <c r="T25" i="8"/>
  <c r="S25" i="8"/>
  <c r="Q25" i="8"/>
  <c r="P25" i="8"/>
  <c r="R25" i="8" s="1"/>
  <c r="N25" i="8"/>
  <c r="K25" i="8"/>
  <c r="H25" i="8"/>
  <c r="G25" i="8"/>
  <c r="F25" i="8"/>
  <c r="E25" i="8"/>
  <c r="BE24" i="8"/>
  <c r="BD24" i="8"/>
  <c r="BB24" i="8"/>
  <c r="BA24" i="8"/>
  <c r="AY24" i="8"/>
  <c r="AX24" i="8"/>
  <c r="AW24" i="8"/>
  <c r="AU24" i="8"/>
  <c r="AT24" i="8"/>
  <c r="AS24" i="8"/>
  <c r="AQ24" i="8"/>
  <c r="AP24" i="8"/>
  <c r="AN24" i="8"/>
  <c r="AM24" i="8"/>
  <c r="AK24" i="8"/>
  <c r="AJ24" i="8"/>
  <c r="AI24" i="8"/>
  <c r="AG24" i="8"/>
  <c r="AF24" i="8"/>
  <c r="AE24" i="8"/>
  <c r="AC24" i="8"/>
  <c r="AB24" i="8"/>
  <c r="Z24" i="8"/>
  <c r="Y24" i="8"/>
  <c r="W24" i="8"/>
  <c r="V24" i="8"/>
  <c r="T24" i="8"/>
  <c r="S24" i="8"/>
  <c r="Q24" i="8"/>
  <c r="P24" i="8"/>
  <c r="N24" i="8"/>
  <c r="K24" i="8"/>
  <c r="H24" i="8"/>
  <c r="G24" i="8"/>
  <c r="F24" i="8"/>
  <c r="E24" i="8"/>
  <c r="BE23" i="8"/>
  <c r="BD23" i="8"/>
  <c r="BB23" i="8"/>
  <c r="BA23" i="8"/>
  <c r="AY23" i="8"/>
  <c r="AX23" i="8"/>
  <c r="AW23" i="8"/>
  <c r="AU23" i="8"/>
  <c r="AT23" i="8"/>
  <c r="AS23" i="8"/>
  <c r="AQ23" i="8"/>
  <c r="AP23" i="8"/>
  <c r="AN23" i="8"/>
  <c r="AM23" i="8"/>
  <c r="AK23" i="8"/>
  <c r="AJ23" i="8"/>
  <c r="AI23" i="8"/>
  <c r="AG23" i="8"/>
  <c r="AF23" i="8"/>
  <c r="AE23" i="8"/>
  <c r="AC23" i="8"/>
  <c r="AB23" i="8"/>
  <c r="Z23" i="8"/>
  <c r="Y23" i="8"/>
  <c r="W23" i="8"/>
  <c r="V23" i="8"/>
  <c r="T23" i="8"/>
  <c r="S23" i="8"/>
  <c r="Q23" i="8"/>
  <c r="P23" i="8"/>
  <c r="R23" i="8" s="1"/>
  <c r="N23" i="8"/>
  <c r="K23" i="8"/>
  <c r="H23" i="8"/>
  <c r="G23" i="8"/>
  <c r="F23" i="8"/>
  <c r="E23" i="8"/>
  <c r="BE22" i="8"/>
  <c r="BD22" i="8"/>
  <c r="BB22" i="8"/>
  <c r="BA22" i="8"/>
  <c r="AY22" i="8"/>
  <c r="AX22" i="8"/>
  <c r="AW22" i="8"/>
  <c r="AU22" i="8"/>
  <c r="AT22" i="8"/>
  <c r="AS22" i="8"/>
  <c r="AQ22" i="8"/>
  <c r="AP22" i="8"/>
  <c r="AN22" i="8"/>
  <c r="AM22" i="8"/>
  <c r="AK22" i="8"/>
  <c r="AJ22" i="8"/>
  <c r="AI22" i="8"/>
  <c r="AG22" i="8"/>
  <c r="AF22" i="8"/>
  <c r="AE22" i="8"/>
  <c r="AC22" i="8"/>
  <c r="AB22" i="8"/>
  <c r="Z22" i="8"/>
  <c r="Y22" i="8"/>
  <c r="W22" i="8"/>
  <c r="V22" i="8"/>
  <c r="T22" i="8"/>
  <c r="S22" i="8"/>
  <c r="Q22" i="8"/>
  <c r="P22" i="8"/>
  <c r="R22" i="8" s="1"/>
  <c r="N22" i="8"/>
  <c r="K22" i="8"/>
  <c r="H22" i="8"/>
  <c r="G22" i="8"/>
  <c r="F22" i="8"/>
  <c r="E22" i="8"/>
  <c r="BE21" i="8"/>
  <c r="BD21" i="8"/>
  <c r="BB21" i="8"/>
  <c r="BA21" i="8"/>
  <c r="AY21" i="8"/>
  <c r="AX21" i="8"/>
  <c r="AW21" i="8"/>
  <c r="AU21" i="8"/>
  <c r="AT21" i="8"/>
  <c r="AS21" i="8"/>
  <c r="AQ21" i="8"/>
  <c r="AP21" i="8"/>
  <c r="AN21" i="8"/>
  <c r="AM21" i="8"/>
  <c r="AK21" i="8"/>
  <c r="AJ21" i="8"/>
  <c r="AI21" i="8"/>
  <c r="AG21" i="8"/>
  <c r="AF21" i="8"/>
  <c r="AE21" i="8"/>
  <c r="AC21" i="8"/>
  <c r="AB21" i="8"/>
  <c r="Z21" i="8"/>
  <c r="Y21" i="8"/>
  <c r="W21" i="8"/>
  <c r="V21" i="8"/>
  <c r="T21" i="8"/>
  <c r="S21" i="8"/>
  <c r="Q21" i="8"/>
  <c r="P21" i="8"/>
  <c r="R21" i="8" s="1"/>
  <c r="N21" i="8"/>
  <c r="K21" i="8"/>
  <c r="H21" i="8"/>
  <c r="G21" i="8"/>
  <c r="F21" i="8"/>
  <c r="E21" i="8"/>
  <c r="BE20" i="8"/>
  <c r="BD20" i="8"/>
  <c r="BB20" i="8"/>
  <c r="BA20" i="8"/>
  <c r="AY20" i="8"/>
  <c r="AX20" i="8"/>
  <c r="AW20" i="8"/>
  <c r="AU20" i="8"/>
  <c r="AT20" i="8"/>
  <c r="AS20" i="8"/>
  <c r="AQ20" i="8"/>
  <c r="AP20" i="8"/>
  <c r="AN20" i="8"/>
  <c r="AM20" i="8"/>
  <c r="AK20" i="8"/>
  <c r="AJ20" i="8"/>
  <c r="AI20" i="8"/>
  <c r="AG20" i="8"/>
  <c r="AF20" i="8"/>
  <c r="AE20" i="8"/>
  <c r="AC20" i="8"/>
  <c r="AB20" i="8"/>
  <c r="Z20" i="8"/>
  <c r="Y20" i="8"/>
  <c r="W20" i="8"/>
  <c r="V20" i="8"/>
  <c r="T20" i="8"/>
  <c r="S20" i="8"/>
  <c r="Q20" i="8"/>
  <c r="P20" i="8"/>
  <c r="R20" i="8" s="1"/>
  <c r="N20" i="8"/>
  <c r="K20" i="8"/>
  <c r="H20" i="8"/>
  <c r="G20" i="8"/>
  <c r="F20" i="8"/>
  <c r="E20" i="8"/>
  <c r="BE19" i="8"/>
  <c r="BD19" i="8"/>
  <c r="BB19" i="8"/>
  <c r="BA19" i="8"/>
  <c r="AY19" i="8"/>
  <c r="AX19" i="8"/>
  <c r="AW19" i="8"/>
  <c r="AU19" i="8"/>
  <c r="AT19" i="8"/>
  <c r="AS19" i="8"/>
  <c r="AQ19" i="8"/>
  <c r="AP19" i="8"/>
  <c r="AN19" i="8"/>
  <c r="AM19" i="8"/>
  <c r="AK19" i="8"/>
  <c r="AJ19" i="8"/>
  <c r="AI19" i="8"/>
  <c r="AG19" i="8"/>
  <c r="AF19" i="8"/>
  <c r="AE19" i="8"/>
  <c r="AC19" i="8"/>
  <c r="AB19" i="8"/>
  <c r="Z19" i="8"/>
  <c r="Y19" i="8"/>
  <c r="W19" i="8"/>
  <c r="V19" i="8"/>
  <c r="T19" i="8"/>
  <c r="S19" i="8"/>
  <c r="Q19" i="8"/>
  <c r="P19" i="8"/>
  <c r="R19" i="8" s="1"/>
  <c r="N19" i="8"/>
  <c r="K19" i="8"/>
  <c r="H19" i="8"/>
  <c r="G19" i="8"/>
  <c r="F19" i="8"/>
  <c r="E19" i="8"/>
  <c r="BE18" i="8"/>
  <c r="BD18" i="8"/>
  <c r="BB18" i="8"/>
  <c r="BA18" i="8"/>
  <c r="AY18" i="8"/>
  <c r="AX18" i="8"/>
  <c r="AW18" i="8"/>
  <c r="AU18" i="8"/>
  <c r="AT18" i="8"/>
  <c r="AS18" i="8"/>
  <c r="AQ18" i="8"/>
  <c r="AP18" i="8"/>
  <c r="AN18" i="8"/>
  <c r="AM18" i="8"/>
  <c r="AK18" i="8"/>
  <c r="AJ18" i="8"/>
  <c r="AI18" i="8"/>
  <c r="AG18" i="8"/>
  <c r="AF18" i="8"/>
  <c r="AE18" i="8"/>
  <c r="AC18" i="8"/>
  <c r="AB18" i="8"/>
  <c r="Z18" i="8"/>
  <c r="Y18" i="8"/>
  <c r="W18" i="8"/>
  <c r="V18" i="8"/>
  <c r="T18" i="8"/>
  <c r="S18" i="8"/>
  <c r="Q18" i="8"/>
  <c r="P18" i="8"/>
  <c r="R18" i="8" s="1"/>
  <c r="N18" i="8"/>
  <c r="K18" i="8"/>
  <c r="H18" i="8"/>
  <c r="G18" i="8"/>
  <c r="F18" i="8"/>
  <c r="E18" i="8"/>
  <c r="BE17" i="8"/>
  <c r="BD17" i="8"/>
  <c r="BB17" i="8"/>
  <c r="BA17" i="8"/>
  <c r="AY17" i="8"/>
  <c r="AX17" i="8"/>
  <c r="AW17" i="8"/>
  <c r="AU17" i="8"/>
  <c r="AT17" i="8"/>
  <c r="AS17" i="8"/>
  <c r="AQ17" i="8"/>
  <c r="AP17" i="8"/>
  <c r="AN17" i="8"/>
  <c r="AM17" i="8"/>
  <c r="AK17" i="8"/>
  <c r="AJ17" i="8"/>
  <c r="AI17" i="8"/>
  <c r="AG17" i="8"/>
  <c r="AF17" i="8"/>
  <c r="AE17" i="8"/>
  <c r="AC17" i="8"/>
  <c r="AB17" i="8"/>
  <c r="Z17" i="8"/>
  <c r="Y17" i="8"/>
  <c r="W17" i="8"/>
  <c r="V17" i="8"/>
  <c r="T17" i="8"/>
  <c r="S17" i="8"/>
  <c r="Q17" i="8"/>
  <c r="P17" i="8"/>
  <c r="R17" i="8" s="1"/>
  <c r="N17" i="8"/>
  <c r="K17" i="8"/>
  <c r="H17" i="8"/>
  <c r="G17" i="8"/>
  <c r="F17" i="8"/>
  <c r="E17" i="8"/>
  <c r="BE16" i="8"/>
  <c r="BD16" i="8"/>
  <c r="BB16" i="8"/>
  <c r="BA16" i="8"/>
  <c r="AY16" i="8"/>
  <c r="AX16" i="8"/>
  <c r="AW16" i="8"/>
  <c r="AU16" i="8"/>
  <c r="AT16" i="8"/>
  <c r="AS16" i="8"/>
  <c r="AQ16" i="8"/>
  <c r="AP16" i="8"/>
  <c r="AN16" i="8"/>
  <c r="AM16" i="8"/>
  <c r="AK16" i="8"/>
  <c r="AJ16" i="8"/>
  <c r="AI16" i="8"/>
  <c r="AG16" i="8"/>
  <c r="AF16" i="8"/>
  <c r="AE16" i="8"/>
  <c r="AC16" i="8"/>
  <c r="AB16" i="8"/>
  <c r="Z16" i="8"/>
  <c r="Y16" i="8"/>
  <c r="W16" i="8"/>
  <c r="V16" i="8"/>
  <c r="T16" i="8"/>
  <c r="S16" i="8"/>
  <c r="Q16" i="8"/>
  <c r="P16" i="8"/>
  <c r="R16" i="8" s="1"/>
  <c r="N16" i="8"/>
  <c r="K16" i="8"/>
  <c r="H16" i="8"/>
  <c r="G16" i="8"/>
  <c r="O16" i="8" s="1"/>
  <c r="F16" i="8"/>
  <c r="E16" i="8"/>
  <c r="BF14" i="8"/>
  <c r="BC14" i="8"/>
  <c r="AZ14" i="8"/>
  <c r="AR14" i="8"/>
  <c r="AV14" i="8" s="1"/>
  <c r="AO14" i="8"/>
  <c r="AL14" i="8"/>
  <c r="AD14" i="8"/>
  <c r="AH14" i="8" s="1"/>
  <c r="AA14" i="8"/>
  <c r="X14" i="8"/>
  <c r="U14" i="8"/>
  <c r="O14" i="8"/>
  <c r="M14" i="8"/>
  <c r="L14" i="8"/>
  <c r="I14" i="8"/>
  <c r="C14" i="8"/>
  <c r="J14" i="8" s="1"/>
  <c r="BF13" i="8"/>
  <c r="BE13" i="8"/>
  <c r="BD13" i="8"/>
  <c r="BC13" i="8"/>
  <c r="BB13" i="8"/>
  <c r="BA13" i="8"/>
  <c r="AY13" i="8"/>
  <c r="AX13" i="8"/>
  <c r="AU13" i="8"/>
  <c r="AT13" i="8"/>
  <c r="AR13" i="8"/>
  <c r="AV13" i="8" s="1"/>
  <c r="AQ13" i="8"/>
  <c r="AZ13" i="8" s="1"/>
  <c r="AP13" i="8"/>
  <c r="AO13" i="8"/>
  <c r="AN13" i="8"/>
  <c r="AM13" i="8"/>
  <c r="AK13" i="8"/>
  <c r="AJ13" i="8"/>
  <c r="AG13" i="8"/>
  <c r="AF13" i="8"/>
  <c r="AC13" i="8"/>
  <c r="AL13" i="8" s="1"/>
  <c r="AB13" i="8"/>
  <c r="Z13" i="8"/>
  <c r="Y13" i="8"/>
  <c r="W13" i="8"/>
  <c r="T13" i="8"/>
  <c r="S13" i="8"/>
  <c r="BF12" i="8"/>
  <c r="BE12" i="8"/>
  <c r="BD12" i="8"/>
  <c r="BC12" i="8"/>
  <c r="BB12" i="8"/>
  <c r="BA12" i="8"/>
  <c r="AY12" i="8"/>
  <c r="AX12" i="8"/>
  <c r="AU12" i="8"/>
  <c r="AU11" i="8" s="1"/>
  <c r="AT12" i="8"/>
  <c r="AR12" i="8"/>
  <c r="AV12" i="8" s="1"/>
  <c r="AQ12" i="8"/>
  <c r="AZ12" i="8" s="1"/>
  <c r="AP12" i="8"/>
  <c r="AP11" i="8" s="1"/>
  <c r="AO12" i="8"/>
  <c r="AN12" i="8"/>
  <c r="AN11" i="8" s="1"/>
  <c r="AM12" i="8"/>
  <c r="AK12" i="8"/>
  <c r="AJ12" i="8"/>
  <c r="AJ11" i="8" s="1"/>
  <c r="AG12" i="8"/>
  <c r="AG11" i="8" s="1"/>
  <c r="AF12" i="8"/>
  <c r="AC12" i="8"/>
  <c r="AL12" i="8" s="1"/>
  <c r="AB12" i="8"/>
  <c r="Z12" i="8"/>
  <c r="V12" i="8"/>
  <c r="V11" i="8" s="1"/>
  <c r="S12" i="8"/>
  <c r="BF11" i="8"/>
  <c r="BC11" i="8"/>
  <c r="BB11" i="8"/>
  <c r="AV11" i="8"/>
  <c r="AR11" i="8"/>
  <c r="AQ11" i="8"/>
  <c r="AZ11" i="8" s="1"/>
  <c r="AO11" i="8"/>
  <c r="AC11" i="8"/>
  <c r="AL11" i="8" s="1"/>
  <c r="Y11" i="8"/>
  <c r="AM119" i="7"/>
  <c r="AJ119" i="7"/>
  <c r="AG119" i="7"/>
  <c r="AL119" i="7" s="1"/>
  <c r="AF119" i="7"/>
  <c r="AN119" i="7" s="1"/>
  <c r="AE119" i="7"/>
  <c r="AD119" i="7"/>
  <c r="N119" i="7"/>
  <c r="K119" i="7"/>
  <c r="H119" i="7"/>
  <c r="M119" i="7" s="1"/>
  <c r="G119" i="7"/>
  <c r="O119" i="7" s="1"/>
  <c r="F119" i="7"/>
  <c r="E119" i="7"/>
  <c r="AM118" i="7"/>
  <c r="AJ118" i="7"/>
  <c r="AG118" i="7"/>
  <c r="AL118" i="7" s="1"/>
  <c r="AF118" i="7"/>
  <c r="AN118" i="7" s="1"/>
  <c r="AE118" i="7"/>
  <c r="AD118" i="7"/>
  <c r="N118" i="7"/>
  <c r="K118" i="7"/>
  <c r="H118" i="7"/>
  <c r="M118" i="7" s="1"/>
  <c r="G118" i="7"/>
  <c r="O118" i="7" s="1"/>
  <c r="F118" i="7"/>
  <c r="E118" i="7"/>
  <c r="AM117" i="7"/>
  <c r="AJ117" i="7"/>
  <c r="AG117" i="7"/>
  <c r="AL117" i="7" s="1"/>
  <c r="AF117" i="7"/>
  <c r="AN117" i="7" s="1"/>
  <c r="AE117" i="7"/>
  <c r="AD117" i="7"/>
  <c r="N117" i="7"/>
  <c r="K117" i="7"/>
  <c r="H117" i="7"/>
  <c r="M117" i="7" s="1"/>
  <c r="G117" i="7"/>
  <c r="O117" i="7" s="1"/>
  <c r="F117" i="7"/>
  <c r="E117" i="7"/>
  <c r="AM116" i="7"/>
  <c r="AJ116" i="7"/>
  <c r="AG116" i="7"/>
  <c r="AL116" i="7" s="1"/>
  <c r="AF116" i="7"/>
  <c r="AN116" i="7" s="1"/>
  <c r="AE116" i="7"/>
  <c r="AD116" i="7"/>
  <c r="N116" i="7"/>
  <c r="K116" i="7"/>
  <c r="H116" i="7"/>
  <c r="M116" i="7" s="1"/>
  <c r="G116" i="7"/>
  <c r="O116" i="7" s="1"/>
  <c r="F116" i="7"/>
  <c r="E116" i="7"/>
  <c r="AM115" i="7"/>
  <c r="AJ115" i="7"/>
  <c r="AG115" i="7"/>
  <c r="AL115" i="7" s="1"/>
  <c r="AF115" i="7"/>
  <c r="AN115" i="7" s="1"/>
  <c r="AE115" i="7"/>
  <c r="AD115" i="7"/>
  <c r="N115" i="7"/>
  <c r="K115" i="7"/>
  <c r="H115" i="7"/>
  <c r="M115" i="7" s="1"/>
  <c r="G115" i="7"/>
  <c r="O115" i="7" s="1"/>
  <c r="F115" i="7"/>
  <c r="E115" i="7"/>
  <c r="AM114" i="7"/>
  <c r="AJ114" i="7"/>
  <c r="AG114" i="7"/>
  <c r="AL114" i="7" s="1"/>
  <c r="AF114" i="7"/>
  <c r="AN114" i="7" s="1"/>
  <c r="AE114" i="7"/>
  <c r="AD114" i="7"/>
  <c r="N114" i="7"/>
  <c r="K114" i="7"/>
  <c r="H114" i="7"/>
  <c r="M114" i="7" s="1"/>
  <c r="G114" i="7"/>
  <c r="O114" i="7" s="1"/>
  <c r="F114" i="7"/>
  <c r="E114" i="7"/>
  <c r="AM113" i="7"/>
  <c r="AJ113" i="7"/>
  <c r="AG113" i="7"/>
  <c r="AL113" i="7" s="1"/>
  <c r="AF113" i="7"/>
  <c r="AN113" i="7" s="1"/>
  <c r="AE113" i="7"/>
  <c r="AD113" i="7"/>
  <c r="N113" i="7"/>
  <c r="K113" i="7"/>
  <c r="H113" i="7"/>
  <c r="M113" i="7" s="1"/>
  <c r="G113" i="7"/>
  <c r="O113" i="7" s="1"/>
  <c r="F113" i="7"/>
  <c r="E113" i="7"/>
  <c r="AM112" i="7"/>
  <c r="AJ112" i="7"/>
  <c r="AG112" i="7"/>
  <c r="AL112" i="7" s="1"/>
  <c r="AF112" i="7"/>
  <c r="AN112" i="7" s="1"/>
  <c r="AE112" i="7"/>
  <c r="AD112" i="7"/>
  <c r="N112" i="7"/>
  <c r="K112" i="7"/>
  <c r="H112" i="7"/>
  <c r="M112" i="7" s="1"/>
  <c r="G112" i="7"/>
  <c r="O112" i="7" s="1"/>
  <c r="F112" i="7"/>
  <c r="E112" i="7"/>
  <c r="AM111" i="7"/>
  <c r="AJ111" i="7"/>
  <c r="AG111" i="7"/>
  <c r="AL111" i="7" s="1"/>
  <c r="AF111" i="7"/>
  <c r="AN111" i="7" s="1"/>
  <c r="AE111" i="7"/>
  <c r="AD111" i="7"/>
  <c r="N111" i="7"/>
  <c r="K111" i="7"/>
  <c r="H111" i="7"/>
  <c r="M111" i="7" s="1"/>
  <c r="G111" i="7"/>
  <c r="O111" i="7" s="1"/>
  <c r="F111" i="7"/>
  <c r="E111" i="7"/>
  <c r="AM110" i="7"/>
  <c r="AJ110" i="7"/>
  <c r="AG110" i="7"/>
  <c r="AL110" i="7" s="1"/>
  <c r="AF110" i="7"/>
  <c r="AE110" i="7"/>
  <c r="AD110" i="7"/>
  <c r="N110" i="7"/>
  <c r="K110" i="7"/>
  <c r="H110" i="7"/>
  <c r="M110" i="7" s="1"/>
  <c r="G110" i="7"/>
  <c r="F110" i="7"/>
  <c r="E110" i="7"/>
  <c r="AM109" i="7"/>
  <c r="AJ109" i="7"/>
  <c r="AG109" i="7"/>
  <c r="AL109" i="7" s="1"/>
  <c r="AF109" i="7"/>
  <c r="AN109" i="7" s="1"/>
  <c r="AE109" i="7"/>
  <c r="AD109" i="7"/>
  <c r="N109" i="7"/>
  <c r="K109" i="7"/>
  <c r="H109" i="7"/>
  <c r="M109" i="7" s="1"/>
  <c r="G109" i="7"/>
  <c r="O109" i="7" s="1"/>
  <c r="F109" i="7"/>
  <c r="E109" i="7"/>
  <c r="AM108" i="7"/>
  <c r="AJ108" i="7"/>
  <c r="AG108" i="7"/>
  <c r="AL108" i="7" s="1"/>
  <c r="AF108" i="7"/>
  <c r="AN108" i="7" s="1"/>
  <c r="AE108" i="7"/>
  <c r="AD108" i="7"/>
  <c r="N108" i="7"/>
  <c r="K108" i="7"/>
  <c r="H108" i="7"/>
  <c r="M108" i="7" s="1"/>
  <c r="G108" i="7"/>
  <c r="O108" i="7" s="1"/>
  <c r="F108" i="7"/>
  <c r="E108" i="7"/>
  <c r="AM107" i="7"/>
  <c r="AJ107" i="7"/>
  <c r="AG107" i="7"/>
  <c r="AF107" i="7"/>
  <c r="AN107" i="7" s="1"/>
  <c r="AE107" i="7"/>
  <c r="AD107" i="7"/>
  <c r="N107" i="7"/>
  <c r="K107" i="7"/>
  <c r="H107" i="7"/>
  <c r="G107" i="7"/>
  <c r="F107" i="7"/>
  <c r="E107" i="7"/>
  <c r="AP106" i="7"/>
  <c r="AP13" i="7" s="1"/>
  <c r="AO106" i="7"/>
  <c r="AQ106" i="7" s="1"/>
  <c r="Z106" i="7"/>
  <c r="Y106" i="7"/>
  <c r="AA106" i="7" s="1"/>
  <c r="W106" i="7"/>
  <c r="V106" i="7"/>
  <c r="X106" i="7" s="1"/>
  <c r="T106" i="7"/>
  <c r="S106" i="7"/>
  <c r="U106" i="7" s="1"/>
  <c r="Q106" i="7"/>
  <c r="P106" i="7"/>
  <c r="R106" i="7" s="1"/>
  <c r="AO105" i="7"/>
  <c r="AQ105" i="7" s="1"/>
  <c r="AM105" i="7"/>
  <c r="AJ105" i="7"/>
  <c r="AG105" i="7"/>
  <c r="AL105" i="7" s="1"/>
  <c r="AF105" i="7"/>
  <c r="AN105" i="7" s="1"/>
  <c r="AE105" i="7"/>
  <c r="AD105" i="7"/>
  <c r="Y105" i="7"/>
  <c r="AA105" i="7" s="1"/>
  <c r="V105" i="7"/>
  <c r="X105" i="7" s="1"/>
  <c r="S105" i="7"/>
  <c r="U105" i="7" s="1"/>
  <c r="P105" i="7"/>
  <c r="R105" i="7" s="1"/>
  <c r="N105" i="7"/>
  <c r="K105" i="7"/>
  <c r="H105" i="7"/>
  <c r="M105" i="7" s="1"/>
  <c r="G105" i="7"/>
  <c r="O105" i="7" s="1"/>
  <c r="F105" i="7"/>
  <c r="E105" i="7"/>
  <c r="AO104" i="7"/>
  <c r="AQ104" i="7" s="1"/>
  <c r="AM104" i="7"/>
  <c r="AJ104" i="7"/>
  <c r="AG104" i="7"/>
  <c r="AL104" i="7" s="1"/>
  <c r="AF104" i="7"/>
  <c r="AN104" i="7" s="1"/>
  <c r="AE104" i="7"/>
  <c r="AD104" i="7"/>
  <c r="Y104" i="7"/>
  <c r="AA104" i="7" s="1"/>
  <c r="V104" i="7"/>
  <c r="X104" i="7" s="1"/>
  <c r="S104" i="7"/>
  <c r="U104" i="7" s="1"/>
  <c r="P104" i="7"/>
  <c r="R104" i="7" s="1"/>
  <c r="N104" i="7"/>
  <c r="K104" i="7"/>
  <c r="H104" i="7"/>
  <c r="M104" i="7" s="1"/>
  <c r="G104" i="7"/>
  <c r="O104" i="7" s="1"/>
  <c r="F104" i="7"/>
  <c r="E104" i="7"/>
  <c r="AO103" i="7"/>
  <c r="AQ103" i="7" s="1"/>
  <c r="AM103" i="7"/>
  <c r="AJ103" i="7"/>
  <c r="AG103" i="7"/>
  <c r="AL103" i="7" s="1"/>
  <c r="AF103" i="7"/>
  <c r="AN103" i="7" s="1"/>
  <c r="AE103" i="7"/>
  <c r="AD103" i="7"/>
  <c r="Y103" i="7"/>
  <c r="AA103" i="7" s="1"/>
  <c r="V103" i="7"/>
  <c r="X103" i="7" s="1"/>
  <c r="S103" i="7"/>
  <c r="U103" i="7" s="1"/>
  <c r="P103" i="7"/>
  <c r="R103" i="7" s="1"/>
  <c r="N103" i="7"/>
  <c r="K103" i="7"/>
  <c r="H103" i="7"/>
  <c r="M103" i="7" s="1"/>
  <c r="G103" i="7"/>
  <c r="O103" i="7" s="1"/>
  <c r="F103" i="7"/>
  <c r="E103" i="7"/>
  <c r="AO102" i="7"/>
  <c r="AQ102" i="7" s="1"/>
  <c r="AM102" i="7"/>
  <c r="AJ102" i="7"/>
  <c r="AG102" i="7"/>
  <c r="AL102" i="7" s="1"/>
  <c r="AF102" i="7"/>
  <c r="AN102" i="7" s="1"/>
  <c r="AE102" i="7"/>
  <c r="AD102" i="7"/>
  <c r="Y102" i="7"/>
  <c r="AA102" i="7" s="1"/>
  <c r="V102" i="7"/>
  <c r="X102" i="7" s="1"/>
  <c r="S102" i="7"/>
  <c r="U102" i="7" s="1"/>
  <c r="P102" i="7"/>
  <c r="R102" i="7" s="1"/>
  <c r="N102" i="7"/>
  <c r="K102" i="7"/>
  <c r="H102" i="7"/>
  <c r="M102" i="7" s="1"/>
  <c r="G102" i="7"/>
  <c r="O102" i="7" s="1"/>
  <c r="F102" i="7"/>
  <c r="E102" i="7"/>
  <c r="AO101" i="7"/>
  <c r="AQ101" i="7" s="1"/>
  <c r="AM101" i="7"/>
  <c r="AJ101" i="7"/>
  <c r="AG101" i="7"/>
  <c r="AL101" i="7" s="1"/>
  <c r="AF101" i="7"/>
  <c r="AN101" i="7" s="1"/>
  <c r="AE101" i="7"/>
  <c r="AD101" i="7"/>
  <c r="Y101" i="7"/>
  <c r="AA101" i="7" s="1"/>
  <c r="V101" i="7"/>
  <c r="X101" i="7" s="1"/>
  <c r="S101" i="7"/>
  <c r="U101" i="7" s="1"/>
  <c r="P101" i="7"/>
  <c r="R101" i="7" s="1"/>
  <c r="N101" i="7"/>
  <c r="K101" i="7"/>
  <c r="H101" i="7"/>
  <c r="M101" i="7" s="1"/>
  <c r="G101" i="7"/>
  <c r="O101" i="7" s="1"/>
  <c r="F101" i="7"/>
  <c r="E101" i="7"/>
  <c r="AO100" i="7"/>
  <c r="AQ100" i="7" s="1"/>
  <c r="AM100" i="7"/>
  <c r="AJ100" i="7"/>
  <c r="AG100" i="7"/>
  <c r="AL100" i="7" s="1"/>
  <c r="AF100" i="7"/>
  <c r="AN100" i="7" s="1"/>
  <c r="AE100" i="7"/>
  <c r="AD100" i="7"/>
  <c r="Y100" i="7"/>
  <c r="AA100" i="7" s="1"/>
  <c r="V100" i="7"/>
  <c r="X100" i="7" s="1"/>
  <c r="S100" i="7"/>
  <c r="U100" i="7" s="1"/>
  <c r="P100" i="7"/>
  <c r="R100" i="7" s="1"/>
  <c r="N100" i="7"/>
  <c r="K100" i="7"/>
  <c r="H100" i="7"/>
  <c r="M100" i="7" s="1"/>
  <c r="G100" i="7"/>
  <c r="O100" i="7" s="1"/>
  <c r="F100" i="7"/>
  <c r="E100" i="7"/>
  <c r="AO99" i="7"/>
  <c r="AQ99" i="7" s="1"/>
  <c r="AM99" i="7"/>
  <c r="AJ99" i="7"/>
  <c r="AG99" i="7"/>
  <c r="AL99" i="7" s="1"/>
  <c r="AF99" i="7"/>
  <c r="AN99" i="7" s="1"/>
  <c r="AE99" i="7"/>
  <c r="AD99" i="7"/>
  <c r="Y99" i="7"/>
  <c r="AA99" i="7" s="1"/>
  <c r="V99" i="7"/>
  <c r="X99" i="7" s="1"/>
  <c r="S99" i="7"/>
  <c r="U99" i="7" s="1"/>
  <c r="P99" i="7"/>
  <c r="R99" i="7" s="1"/>
  <c r="N99" i="7"/>
  <c r="K99" i="7"/>
  <c r="H99" i="7"/>
  <c r="M99" i="7" s="1"/>
  <c r="G99" i="7"/>
  <c r="O99" i="7" s="1"/>
  <c r="F99" i="7"/>
  <c r="E99" i="7"/>
  <c r="AO98" i="7"/>
  <c r="AQ98" i="7" s="1"/>
  <c r="AM98" i="7"/>
  <c r="AJ98" i="7"/>
  <c r="AG98" i="7"/>
  <c r="AF98" i="7"/>
  <c r="AN98" i="7" s="1"/>
  <c r="AE98" i="7"/>
  <c r="AD98" i="7"/>
  <c r="Y98" i="7"/>
  <c r="AA98" i="7" s="1"/>
  <c r="V98" i="7"/>
  <c r="X98" i="7" s="1"/>
  <c r="S98" i="7"/>
  <c r="U98" i="7" s="1"/>
  <c r="P98" i="7"/>
  <c r="R98" i="7" s="1"/>
  <c r="N98" i="7"/>
  <c r="K98" i="7"/>
  <c r="H98" i="7"/>
  <c r="G98" i="7"/>
  <c r="O98" i="7" s="1"/>
  <c r="F98" i="7"/>
  <c r="E98" i="7"/>
  <c r="AO97" i="7"/>
  <c r="AQ97" i="7" s="1"/>
  <c r="AM97" i="7"/>
  <c r="AJ97" i="7"/>
  <c r="AG97" i="7"/>
  <c r="AL97" i="7" s="1"/>
  <c r="AF97" i="7"/>
  <c r="AN97" i="7" s="1"/>
  <c r="AE97" i="7"/>
  <c r="AD97" i="7"/>
  <c r="Y97" i="7"/>
  <c r="AA97" i="7" s="1"/>
  <c r="V97" i="7"/>
  <c r="X97" i="7" s="1"/>
  <c r="S97" i="7"/>
  <c r="U97" i="7" s="1"/>
  <c r="P97" i="7"/>
  <c r="R97" i="7" s="1"/>
  <c r="N97" i="7"/>
  <c r="K97" i="7"/>
  <c r="H97" i="7"/>
  <c r="M97" i="7" s="1"/>
  <c r="G97" i="7"/>
  <c r="O97" i="7" s="1"/>
  <c r="F97" i="7"/>
  <c r="E97" i="7"/>
  <c r="AO96" i="7"/>
  <c r="AQ96" i="7" s="1"/>
  <c r="AM96" i="7"/>
  <c r="AJ96" i="7"/>
  <c r="AG96" i="7"/>
  <c r="AL96" i="7" s="1"/>
  <c r="AF96" i="7"/>
  <c r="AN96" i="7" s="1"/>
  <c r="AE96" i="7"/>
  <c r="AD96" i="7"/>
  <c r="Y96" i="7"/>
  <c r="V96" i="7"/>
  <c r="X96" i="7" s="1"/>
  <c r="S96" i="7"/>
  <c r="U96" i="7" s="1"/>
  <c r="P96" i="7"/>
  <c r="R96" i="7" s="1"/>
  <c r="N96" i="7"/>
  <c r="K96" i="7"/>
  <c r="H96" i="7"/>
  <c r="M96" i="7" s="1"/>
  <c r="G96" i="7"/>
  <c r="O96" i="7" s="1"/>
  <c r="F96" i="7"/>
  <c r="E96" i="7"/>
  <c r="AO95" i="7"/>
  <c r="AQ95" i="7" s="1"/>
  <c r="AM95" i="7"/>
  <c r="AJ95" i="7"/>
  <c r="AG95" i="7"/>
  <c r="AL95" i="7" s="1"/>
  <c r="AF95" i="7"/>
  <c r="AN95" i="7" s="1"/>
  <c r="AE95" i="7"/>
  <c r="AD95" i="7"/>
  <c r="Y95" i="7"/>
  <c r="AA95" i="7" s="1"/>
  <c r="V95" i="7"/>
  <c r="S95" i="7"/>
  <c r="U95" i="7" s="1"/>
  <c r="P95" i="7"/>
  <c r="R95" i="7" s="1"/>
  <c r="N95" i="7"/>
  <c r="K95" i="7"/>
  <c r="H95" i="7"/>
  <c r="G95" i="7"/>
  <c r="O95" i="7" s="1"/>
  <c r="F95" i="7"/>
  <c r="E95" i="7"/>
  <c r="A95" i="7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O94" i="7"/>
  <c r="AQ94" i="7" s="1"/>
  <c r="AM94" i="7"/>
  <c r="AJ94" i="7"/>
  <c r="AG94" i="7"/>
  <c r="AL94" i="7" s="1"/>
  <c r="AF94" i="7"/>
  <c r="AN94" i="7" s="1"/>
  <c r="AE94" i="7"/>
  <c r="AD94" i="7"/>
  <c r="Y94" i="7"/>
  <c r="AA94" i="7" s="1"/>
  <c r="V94" i="7"/>
  <c r="X94" i="7" s="1"/>
  <c r="S94" i="7"/>
  <c r="U94" i="7" s="1"/>
  <c r="P94" i="7"/>
  <c r="R94" i="7" s="1"/>
  <c r="N94" i="7"/>
  <c r="K94" i="7"/>
  <c r="H94" i="7"/>
  <c r="M94" i="7" s="1"/>
  <c r="G94" i="7"/>
  <c r="O94" i="7" s="1"/>
  <c r="F94" i="7"/>
  <c r="E94" i="7"/>
  <c r="AO93" i="7"/>
  <c r="AM93" i="7"/>
  <c r="AJ93" i="7"/>
  <c r="AG93" i="7"/>
  <c r="AL93" i="7" s="1"/>
  <c r="AF93" i="7"/>
  <c r="AE93" i="7"/>
  <c r="AD93" i="7"/>
  <c r="Y93" i="7"/>
  <c r="AA93" i="7" s="1"/>
  <c r="V93" i="7"/>
  <c r="X93" i="7" s="1"/>
  <c r="S93" i="7"/>
  <c r="U93" i="7" s="1"/>
  <c r="P93" i="7"/>
  <c r="R93" i="7" s="1"/>
  <c r="N93" i="7"/>
  <c r="K93" i="7"/>
  <c r="H93" i="7"/>
  <c r="M93" i="7" s="1"/>
  <c r="G93" i="7"/>
  <c r="F93" i="7"/>
  <c r="E93" i="7"/>
  <c r="AO92" i="7"/>
  <c r="AQ92" i="7" s="1"/>
  <c r="AM92" i="7"/>
  <c r="AJ92" i="7"/>
  <c r="AG92" i="7"/>
  <c r="AL92" i="7" s="1"/>
  <c r="AF92" i="7"/>
  <c r="AN92" i="7" s="1"/>
  <c r="AE92" i="7"/>
  <c r="AD92" i="7"/>
  <c r="Y92" i="7"/>
  <c r="AA92" i="7" s="1"/>
  <c r="V92" i="7"/>
  <c r="X92" i="7" s="1"/>
  <c r="S92" i="7"/>
  <c r="U92" i="7" s="1"/>
  <c r="P92" i="7"/>
  <c r="R92" i="7" s="1"/>
  <c r="N92" i="7"/>
  <c r="K92" i="7"/>
  <c r="H92" i="7"/>
  <c r="M92" i="7" s="1"/>
  <c r="G92" i="7"/>
  <c r="O92" i="7" s="1"/>
  <c r="F92" i="7"/>
  <c r="E92" i="7"/>
  <c r="AP91" i="7"/>
  <c r="Z91" i="7"/>
  <c r="W91" i="7"/>
  <c r="T91" i="7"/>
  <c r="Q91" i="7"/>
  <c r="AP90" i="7"/>
  <c r="AO90" i="7"/>
  <c r="AM90" i="7"/>
  <c r="AJ90" i="7"/>
  <c r="AG90" i="7"/>
  <c r="AF90" i="7"/>
  <c r="AN90" i="7" s="1"/>
  <c r="AE90" i="7"/>
  <c r="AD90" i="7"/>
  <c r="Z90" i="7"/>
  <c r="Y90" i="7"/>
  <c r="W90" i="7"/>
  <c r="V90" i="7"/>
  <c r="T90" i="7"/>
  <c r="S90" i="7"/>
  <c r="Q90" i="7"/>
  <c r="P90" i="7"/>
  <c r="N90" i="7"/>
  <c r="K90" i="7"/>
  <c r="H90" i="7"/>
  <c r="G90" i="7"/>
  <c r="O90" i="7" s="1"/>
  <c r="F90" i="7"/>
  <c r="E90" i="7"/>
  <c r="AP89" i="7"/>
  <c r="AO89" i="7"/>
  <c r="AM89" i="7"/>
  <c r="AJ89" i="7"/>
  <c r="AG89" i="7"/>
  <c r="AF89" i="7"/>
  <c r="AE89" i="7"/>
  <c r="AD89" i="7"/>
  <c r="Z89" i="7"/>
  <c r="Y89" i="7"/>
  <c r="AA89" i="7" s="1"/>
  <c r="W89" i="7"/>
  <c r="V89" i="7"/>
  <c r="X89" i="7" s="1"/>
  <c r="T89" i="7"/>
  <c r="S89" i="7"/>
  <c r="U89" i="7" s="1"/>
  <c r="Q89" i="7"/>
  <c r="P89" i="7"/>
  <c r="R89" i="7" s="1"/>
  <c r="N89" i="7"/>
  <c r="K89" i="7"/>
  <c r="H89" i="7"/>
  <c r="M89" i="7" s="1"/>
  <c r="G89" i="7"/>
  <c r="O89" i="7" s="1"/>
  <c r="F89" i="7"/>
  <c r="E89" i="7"/>
  <c r="AP88" i="7"/>
  <c r="AO88" i="7"/>
  <c r="AM88" i="7"/>
  <c r="AJ88" i="7"/>
  <c r="AG88" i="7"/>
  <c r="AF88" i="7"/>
  <c r="AN88" i="7" s="1"/>
  <c r="AE88" i="7"/>
  <c r="AD88" i="7"/>
  <c r="Z88" i="7"/>
  <c r="Y88" i="7"/>
  <c r="AA88" i="7" s="1"/>
  <c r="W88" i="7"/>
  <c r="V88" i="7"/>
  <c r="X88" i="7" s="1"/>
  <c r="T88" i="7"/>
  <c r="S88" i="7"/>
  <c r="U88" i="7" s="1"/>
  <c r="Q88" i="7"/>
  <c r="P88" i="7"/>
  <c r="R88" i="7" s="1"/>
  <c r="N88" i="7"/>
  <c r="K88" i="7"/>
  <c r="H88" i="7"/>
  <c r="M88" i="7" s="1"/>
  <c r="G88" i="7"/>
  <c r="O88" i="7" s="1"/>
  <c r="F88" i="7"/>
  <c r="E88" i="7"/>
  <c r="AP87" i="7"/>
  <c r="AO87" i="7"/>
  <c r="AQ87" i="7" s="1"/>
  <c r="AM87" i="7"/>
  <c r="AJ87" i="7"/>
  <c r="AG87" i="7"/>
  <c r="AL87" i="7" s="1"/>
  <c r="AF87" i="7"/>
  <c r="AN87" i="7" s="1"/>
  <c r="AE87" i="7"/>
  <c r="AD87" i="7"/>
  <c r="Z87" i="7"/>
  <c r="Y87" i="7"/>
  <c r="AA87" i="7" s="1"/>
  <c r="W87" i="7"/>
  <c r="V87" i="7"/>
  <c r="X87" i="7" s="1"/>
  <c r="T87" i="7"/>
  <c r="S87" i="7"/>
  <c r="Q87" i="7"/>
  <c r="P87" i="7"/>
  <c r="R87" i="7" s="1"/>
  <c r="N87" i="7"/>
  <c r="K87" i="7"/>
  <c r="H87" i="7"/>
  <c r="M87" i="7" s="1"/>
  <c r="G87" i="7"/>
  <c r="O87" i="7" s="1"/>
  <c r="F87" i="7"/>
  <c r="E87" i="7"/>
  <c r="AP86" i="7"/>
  <c r="AO86" i="7"/>
  <c r="AQ86" i="7" s="1"/>
  <c r="AM86" i="7"/>
  <c r="AJ86" i="7"/>
  <c r="AG86" i="7"/>
  <c r="AL86" i="7" s="1"/>
  <c r="AF86" i="7"/>
  <c r="AN86" i="7" s="1"/>
  <c r="AE86" i="7"/>
  <c r="AD86" i="7"/>
  <c r="Z86" i="7"/>
  <c r="Y86" i="7"/>
  <c r="AA86" i="7" s="1"/>
  <c r="W86" i="7"/>
  <c r="V86" i="7"/>
  <c r="X86" i="7" s="1"/>
  <c r="T86" i="7"/>
  <c r="S86" i="7"/>
  <c r="U86" i="7" s="1"/>
  <c r="Q86" i="7"/>
  <c r="P86" i="7"/>
  <c r="R86" i="7" s="1"/>
  <c r="N86" i="7"/>
  <c r="K86" i="7"/>
  <c r="H86" i="7"/>
  <c r="M86" i="7" s="1"/>
  <c r="G86" i="7"/>
  <c r="O86" i="7" s="1"/>
  <c r="F86" i="7"/>
  <c r="E86" i="7"/>
  <c r="AP85" i="7"/>
  <c r="AO85" i="7"/>
  <c r="AQ85" i="7" s="1"/>
  <c r="AM85" i="7"/>
  <c r="AJ85" i="7"/>
  <c r="AG85" i="7"/>
  <c r="AL85" i="7" s="1"/>
  <c r="AF85" i="7"/>
  <c r="AN85" i="7" s="1"/>
  <c r="AE85" i="7"/>
  <c r="AD85" i="7"/>
  <c r="Z85" i="7"/>
  <c r="Y85" i="7"/>
  <c r="AA85" i="7" s="1"/>
  <c r="W85" i="7"/>
  <c r="V85" i="7"/>
  <c r="X85" i="7" s="1"/>
  <c r="T85" i="7"/>
  <c r="S85" i="7"/>
  <c r="U85" i="7" s="1"/>
  <c r="Q85" i="7"/>
  <c r="P85" i="7"/>
  <c r="R85" i="7" s="1"/>
  <c r="N85" i="7"/>
  <c r="K85" i="7"/>
  <c r="H85" i="7"/>
  <c r="M85" i="7" s="1"/>
  <c r="G85" i="7"/>
  <c r="O85" i="7" s="1"/>
  <c r="F85" i="7"/>
  <c r="E85" i="7"/>
  <c r="AP84" i="7"/>
  <c r="AO84" i="7"/>
  <c r="AQ84" i="7" s="1"/>
  <c r="AM84" i="7"/>
  <c r="AJ84" i="7"/>
  <c r="AG84" i="7"/>
  <c r="AL84" i="7" s="1"/>
  <c r="AF84" i="7"/>
  <c r="AE84" i="7"/>
  <c r="AD84" i="7"/>
  <c r="Z84" i="7"/>
  <c r="Y84" i="7"/>
  <c r="W84" i="7"/>
  <c r="V84" i="7"/>
  <c r="T84" i="7"/>
  <c r="S84" i="7"/>
  <c r="Q84" i="7"/>
  <c r="P84" i="7"/>
  <c r="N84" i="7"/>
  <c r="K84" i="7"/>
  <c r="H84" i="7"/>
  <c r="G84" i="7"/>
  <c r="O84" i="7" s="1"/>
  <c r="F84" i="7"/>
  <c r="E84" i="7"/>
  <c r="AP83" i="7"/>
  <c r="AO83" i="7"/>
  <c r="AM83" i="7"/>
  <c r="AJ83" i="7"/>
  <c r="AG83" i="7"/>
  <c r="AF83" i="7"/>
  <c r="AN83" i="7" s="1"/>
  <c r="AE83" i="7"/>
  <c r="AD83" i="7"/>
  <c r="Z83" i="7"/>
  <c r="Y83" i="7"/>
  <c r="W83" i="7"/>
  <c r="V83" i="7"/>
  <c r="X83" i="7" s="1"/>
  <c r="T83" i="7"/>
  <c r="S83" i="7"/>
  <c r="U83" i="7" s="1"/>
  <c r="Q83" i="7"/>
  <c r="P83" i="7"/>
  <c r="R83" i="7" s="1"/>
  <c r="N83" i="7"/>
  <c r="K83" i="7"/>
  <c r="H83" i="7"/>
  <c r="M83" i="7" s="1"/>
  <c r="G83" i="7"/>
  <c r="O83" i="7" s="1"/>
  <c r="F83" i="7"/>
  <c r="E83" i="7"/>
  <c r="AP82" i="7"/>
  <c r="AO82" i="7"/>
  <c r="AQ82" i="7" s="1"/>
  <c r="AM82" i="7"/>
  <c r="AJ82" i="7"/>
  <c r="AG82" i="7"/>
  <c r="AL82" i="7" s="1"/>
  <c r="AF82" i="7"/>
  <c r="AN82" i="7" s="1"/>
  <c r="AE82" i="7"/>
  <c r="AD82" i="7"/>
  <c r="Z82" i="7"/>
  <c r="Y82" i="7"/>
  <c r="AA82" i="7" s="1"/>
  <c r="W82" i="7"/>
  <c r="V82" i="7"/>
  <c r="X82" i="7" s="1"/>
  <c r="T82" i="7"/>
  <c r="S82" i="7"/>
  <c r="U82" i="7" s="1"/>
  <c r="Q82" i="7"/>
  <c r="P82" i="7"/>
  <c r="R82" i="7" s="1"/>
  <c r="N82" i="7"/>
  <c r="K82" i="7"/>
  <c r="H82" i="7"/>
  <c r="M82" i="7" s="1"/>
  <c r="G82" i="7"/>
  <c r="O82" i="7" s="1"/>
  <c r="F82" i="7"/>
  <c r="E82" i="7"/>
  <c r="AP81" i="7"/>
  <c r="AO81" i="7"/>
  <c r="AQ81" i="7" s="1"/>
  <c r="AM81" i="7"/>
  <c r="AJ81" i="7"/>
  <c r="AG81" i="7"/>
  <c r="AL81" i="7" s="1"/>
  <c r="AF81" i="7"/>
  <c r="AN81" i="7" s="1"/>
  <c r="AE81" i="7"/>
  <c r="AD81" i="7"/>
  <c r="Z81" i="7"/>
  <c r="Y81" i="7"/>
  <c r="AA81" i="7" s="1"/>
  <c r="W81" i="7"/>
  <c r="V81" i="7"/>
  <c r="X81" i="7" s="1"/>
  <c r="T81" i="7"/>
  <c r="S81" i="7"/>
  <c r="U81" i="7" s="1"/>
  <c r="Q81" i="7"/>
  <c r="P81" i="7"/>
  <c r="R81" i="7" s="1"/>
  <c r="N81" i="7"/>
  <c r="K81" i="7"/>
  <c r="H81" i="7"/>
  <c r="M81" i="7" s="1"/>
  <c r="G81" i="7"/>
  <c r="O81" i="7" s="1"/>
  <c r="F81" i="7"/>
  <c r="E81" i="7"/>
  <c r="AP80" i="7"/>
  <c r="AO80" i="7"/>
  <c r="AQ80" i="7" s="1"/>
  <c r="AM80" i="7"/>
  <c r="AJ80" i="7"/>
  <c r="AG80" i="7"/>
  <c r="AL80" i="7" s="1"/>
  <c r="AF80" i="7"/>
  <c r="AN80" i="7" s="1"/>
  <c r="AE80" i="7"/>
  <c r="AD80" i="7"/>
  <c r="Z80" i="7"/>
  <c r="Y80" i="7"/>
  <c r="AA80" i="7" s="1"/>
  <c r="W80" i="7"/>
  <c r="V80" i="7"/>
  <c r="X80" i="7" s="1"/>
  <c r="T80" i="7"/>
  <c r="S80" i="7"/>
  <c r="U80" i="7" s="1"/>
  <c r="Q80" i="7"/>
  <c r="P80" i="7"/>
  <c r="R80" i="7" s="1"/>
  <c r="N80" i="7"/>
  <c r="K80" i="7"/>
  <c r="H80" i="7"/>
  <c r="M80" i="7" s="1"/>
  <c r="G80" i="7"/>
  <c r="O80" i="7" s="1"/>
  <c r="F80" i="7"/>
  <c r="E80" i="7"/>
  <c r="AP79" i="7"/>
  <c r="AO79" i="7"/>
  <c r="AM79" i="7"/>
  <c r="AJ79" i="7"/>
  <c r="AG79" i="7"/>
  <c r="AL79" i="7" s="1"/>
  <c r="AF79" i="7"/>
  <c r="AN79" i="7" s="1"/>
  <c r="AE79" i="7"/>
  <c r="AD79" i="7"/>
  <c r="Z79" i="7"/>
  <c r="Y79" i="7"/>
  <c r="W79" i="7"/>
  <c r="V79" i="7"/>
  <c r="T79" i="7"/>
  <c r="S79" i="7"/>
  <c r="Q79" i="7"/>
  <c r="P79" i="7"/>
  <c r="N79" i="7"/>
  <c r="K79" i="7"/>
  <c r="H79" i="7"/>
  <c r="G79" i="7"/>
  <c r="O79" i="7" s="1"/>
  <c r="F79" i="7"/>
  <c r="E79" i="7"/>
  <c r="AP78" i="7"/>
  <c r="AO78" i="7"/>
  <c r="AM78" i="7"/>
  <c r="AJ78" i="7"/>
  <c r="AG78" i="7"/>
  <c r="AF78" i="7"/>
  <c r="AN78" i="7" s="1"/>
  <c r="AE78" i="7"/>
  <c r="AD78" i="7"/>
  <c r="Z78" i="7"/>
  <c r="Y78" i="7"/>
  <c r="W78" i="7"/>
  <c r="V78" i="7"/>
  <c r="T78" i="7"/>
  <c r="S78" i="7"/>
  <c r="Q78" i="7"/>
  <c r="P78" i="7"/>
  <c r="N78" i="7"/>
  <c r="K78" i="7"/>
  <c r="H78" i="7"/>
  <c r="G78" i="7"/>
  <c r="O78" i="7" s="1"/>
  <c r="F78" i="7"/>
  <c r="E78" i="7"/>
  <c r="AP77" i="7"/>
  <c r="AO77" i="7"/>
  <c r="AQ77" i="7" s="1"/>
  <c r="AM77" i="7"/>
  <c r="AJ77" i="7"/>
  <c r="AG77" i="7"/>
  <c r="AL77" i="7" s="1"/>
  <c r="AF77" i="7"/>
  <c r="AN77" i="7" s="1"/>
  <c r="AE77" i="7"/>
  <c r="AD77" i="7"/>
  <c r="Z77" i="7"/>
  <c r="Y77" i="7"/>
  <c r="AA77" i="7" s="1"/>
  <c r="W77" i="7"/>
  <c r="V77" i="7"/>
  <c r="X77" i="7" s="1"/>
  <c r="T77" i="7"/>
  <c r="S77" i="7"/>
  <c r="U77" i="7" s="1"/>
  <c r="Q77" i="7"/>
  <c r="P77" i="7"/>
  <c r="N77" i="7"/>
  <c r="K77" i="7"/>
  <c r="H77" i="7"/>
  <c r="M77" i="7" s="1"/>
  <c r="G77" i="7"/>
  <c r="F77" i="7"/>
  <c r="E77" i="7"/>
  <c r="AP75" i="7"/>
  <c r="AO75" i="7"/>
  <c r="AQ75" i="7" s="1"/>
  <c r="AM75" i="7"/>
  <c r="AJ75" i="7"/>
  <c r="AG75" i="7"/>
  <c r="AL75" i="7" s="1"/>
  <c r="AF75" i="7"/>
  <c r="AN75" i="7" s="1"/>
  <c r="AE75" i="7"/>
  <c r="AD75" i="7"/>
  <c r="Z75" i="7"/>
  <c r="Y75" i="7"/>
  <c r="AA75" i="7" s="1"/>
  <c r="W75" i="7"/>
  <c r="V75" i="7"/>
  <c r="X75" i="7" s="1"/>
  <c r="T75" i="7"/>
  <c r="S75" i="7"/>
  <c r="U75" i="7" s="1"/>
  <c r="Q75" i="7"/>
  <c r="P75" i="7"/>
  <c r="R75" i="7" s="1"/>
  <c r="N75" i="7"/>
  <c r="K75" i="7"/>
  <c r="H75" i="7"/>
  <c r="M75" i="7" s="1"/>
  <c r="G75" i="7"/>
  <c r="O75" i="7" s="1"/>
  <c r="F75" i="7"/>
  <c r="E75" i="7"/>
  <c r="AP74" i="7"/>
  <c r="AO74" i="7"/>
  <c r="AM74" i="7"/>
  <c r="AJ74" i="7"/>
  <c r="AG74" i="7"/>
  <c r="AF74" i="7"/>
  <c r="AN74" i="7" s="1"/>
  <c r="AE74" i="7"/>
  <c r="AD74" i="7"/>
  <c r="Z74" i="7"/>
  <c r="Y74" i="7"/>
  <c r="W74" i="7"/>
  <c r="V74" i="7"/>
  <c r="T74" i="7"/>
  <c r="S74" i="7"/>
  <c r="Q74" i="7"/>
  <c r="P74" i="7"/>
  <c r="N74" i="7"/>
  <c r="K74" i="7"/>
  <c r="H74" i="7"/>
  <c r="G74" i="7"/>
  <c r="O74" i="7" s="1"/>
  <c r="F74" i="7"/>
  <c r="E74" i="7"/>
  <c r="AP73" i="7"/>
  <c r="AO73" i="7"/>
  <c r="AQ73" i="7" s="1"/>
  <c r="AM73" i="7"/>
  <c r="AJ73" i="7"/>
  <c r="AG73" i="7"/>
  <c r="AF73" i="7"/>
  <c r="AN73" i="7" s="1"/>
  <c r="AE73" i="7"/>
  <c r="AD73" i="7"/>
  <c r="Z73" i="7"/>
  <c r="Y73" i="7"/>
  <c r="AA73" i="7" s="1"/>
  <c r="W73" i="7"/>
  <c r="V73" i="7"/>
  <c r="X73" i="7" s="1"/>
  <c r="T73" i="7"/>
  <c r="S73" i="7"/>
  <c r="U73" i="7" s="1"/>
  <c r="Q73" i="7"/>
  <c r="P73" i="7"/>
  <c r="R73" i="7" s="1"/>
  <c r="N73" i="7"/>
  <c r="K73" i="7"/>
  <c r="H73" i="7"/>
  <c r="M73" i="7" s="1"/>
  <c r="G73" i="7"/>
  <c r="O73" i="7" s="1"/>
  <c r="F73" i="7"/>
  <c r="E73" i="7"/>
  <c r="AP72" i="7"/>
  <c r="AO72" i="7"/>
  <c r="AM72" i="7"/>
  <c r="AJ72" i="7"/>
  <c r="AG72" i="7"/>
  <c r="AF72" i="7"/>
  <c r="AE72" i="7"/>
  <c r="AD72" i="7"/>
  <c r="Z72" i="7"/>
  <c r="Y72" i="7"/>
  <c r="W72" i="7"/>
  <c r="V72" i="7"/>
  <c r="T72" i="7"/>
  <c r="S72" i="7"/>
  <c r="Q72" i="7"/>
  <c r="P72" i="7"/>
  <c r="N72" i="7"/>
  <c r="K72" i="7"/>
  <c r="H72" i="7"/>
  <c r="G72" i="7"/>
  <c r="O72" i="7" s="1"/>
  <c r="F72" i="7"/>
  <c r="E72" i="7"/>
  <c r="AP71" i="7"/>
  <c r="AO71" i="7"/>
  <c r="AM71" i="7"/>
  <c r="AJ71" i="7"/>
  <c r="AG71" i="7"/>
  <c r="AF71" i="7"/>
  <c r="AN71" i="7" s="1"/>
  <c r="AE71" i="7"/>
  <c r="AD71" i="7"/>
  <c r="Z71" i="7"/>
  <c r="Y71" i="7"/>
  <c r="AA71" i="7" s="1"/>
  <c r="W71" i="7"/>
  <c r="V71" i="7"/>
  <c r="X71" i="7" s="1"/>
  <c r="T71" i="7"/>
  <c r="S71" i="7"/>
  <c r="U71" i="7" s="1"/>
  <c r="Q71" i="7"/>
  <c r="P71" i="7"/>
  <c r="R71" i="7" s="1"/>
  <c r="N71" i="7"/>
  <c r="K71" i="7"/>
  <c r="H71" i="7"/>
  <c r="M71" i="7" s="1"/>
  <c r="G71" i="7"/>
  <c r="O71" i="7" s="1"/>
  <c r="F71" i="7"/>
  <c r="E71" i="7"/>
  <c r="AP70" i="7"/>
  <c r="AO70" i="7"/>
  <c r="AM70" i="7"/>
  <c r="AJ70" i="7"/>
  <c r="AG70" i="7"/>
  <c r="AF70" i="7"/>
  <c r="AN70" i="7" s="1"/>
  <c r="AE70" i="7"/>
  <c r="AD70" i="7"/>
  <c r="Z70" i="7"/>
  <c r="Y70" i="7"/>
  <c r="W70" i="7"/>
  <c r="V70" i="7"/>
  <c r="T70" i="7"/>
  <c r="S70" i="7"/>
  <c r="Q70" i="7"/>
  <c r="P70" i="7"/>
  <c r="N70" i="7"/>
  <c r="K70" i="7"/>
  <c r="H70" i="7"/>
  <c r="G70" i="7"/>
  <c r="O70" i="7" s="1"/>
  <c r="F70" i="7"/>
  <c r="E70" i="7"/>
  <c r="AP69" i="7"/>
  <c r="AO69" i="7"/>
  <c r="AM69" i="7"/>
  <c r="AJ69" i="7"/>
  <c r="AG69" i="7"/>
  <c r="AF69" i="7"/>
  <c r="AN69" i="7" s="1"/>
  <c r="AE69" i="7"/>
  <c r="AD69" i="7"/>
  <c r="Z69" i="7"/>
  <c r="Y69" i="7"/>
  <c r="AA69" i="7" s="1"/>
  <c r="W69" i="7"/>
  <c r="V69" i="7"/>
  <c r="X69" i="7" s="1"/>
  <c r="T69" i="7"/>
  <c r="S69" i="7"/>
  <c r="U69" i="7" s="1"/>
  <c r="Q69" i="7"/>
  <c r="P69" i="7"/>
  <c r="R69" i="7" s="1"/>
  <c r="N69" i="7"/>
  <c r="K69" i="7"/>
  <c r="H69" i="7"/>
  <c r="M69" i="7" s="1"/>
  <c r="G69" i="7"/>
  <c r="O69" i="7" s="1"/>
  <c r="F69" i="7"/>
  <c r="E69" i="7"/>
  <c r="AP68" i="7"/>
  <c r="AO68" i="7"/>
  <c r="AM68" i="7"/>
  <c r="AJ68" i="7"/>
  <c r="AG68" i="7"/>
  <c r="AF68" i="7"/>
  <c r="AN68" i="7" s="1"/>
  <c r="AE68" i="7"/>
  <c r="AD68" i="7"/>
  <c r="Z68" i="7"/>
  <c r="Y68" i="7"/>
  <c r="W68" i="7"/>
  <c r="V68" i="7"/>
  <c r="T68" i="7"/>
  <c r="S68" i="7"/>
  <c r="Q68" i="7"/>
  <c r="P68" i="7"/>
  <c r="N68" i="7"/>
  <c r="K68" i="7"/>
  <c r="H68" i="7"/>
  <c r="G68" i="7"/>
  <c r="O68" i="7" s="1"/>
  <c r="F68" i="7"/>
  <c r="E68" i="7"/>
  <c r="AP67" i="7"/>
  <c r="AO67" i="7"/>
  <c r="AQ67" i="7" s="1"/>
  <c r="AM67" i="7"/>
  <c r="AJ67" i="7"/>
  <c r="AG67" i="7"/>
  <c r="AL67" i="7" s="1"/>
  <c r="AF67" i="7"/>
  <c r="AN67" i="7" s="1"/>
  <c r="AE67" i="7"/>
  <c r="AD67" i="7"/>
  <c r="Z67" i="7"/>
  <c r="Y67" i="7"/>
  <c r="AA67" i="7" s="1"/>
  <c r="W67" i="7"/>
  <c r="V67" i="7"/>
  <c r="X67" i="7" s="1"/>
  <c r="T67" i="7"/>
  <c r="S67" i="7"/>
  <c r="U67" i="7" s="1"/>
  <c r="Q67" i="7"/>
  <c r="P67" i="7"/>
  <c r="R67" i="7" s="1"/>
  <c r="N67" i="7"/>
  <c r="K67" i="7"/>
  <c r="H67" i="7"/>
  <c r="M67" i="7" s="1"/>
  <c r="G67" i="7"/>
  <c r="O67" i="7" s="1"/>
  <c r="F67" i="7"/>
  <c r="E67" i="7"/>
  <c r="AP66" i="7"/>
  <c r="AO66" i="7"/>
  <c r="AQ66" i="7" s="1"/>
  <c r="AM66" i="7"/>
  <c r="AJ66" i="7"/>
  <c r="AG66" i="7"/>
  <c r="AL66" i="7" s="1"/>
  <c r="AF66" i="7"/>
  <c r="AN66" i="7" s="1"/>
  <c r="AE66" i="7"/>
  <c r="AD66" i="7"/>
  <c r="Z66" i="7"/>
  <c r="Y66" i="7"/>
  <c r="AA66" i="7" s="1"/>
  <c r="W66" i="7"/>
  <c r="V66" i="7"/>
  <c r="X66" i="7" s="1"/>
  <c r="T66" i="7"/>
  <c r="S66" i="7"/>
  <c r="U66" i="7" s="1"/>
  <c r="Q66" i="7"/>
  <c r="P66" i="7"/>
  <c r="R66" i="7" s="1"/>
  <c r="N66" i="7"/>
  <c r="K66" i="7"/>
  <c r="H66" i="7"/>
  <c r="M66" i="7" s="1"/>
  <c r="G66" i="7"/>
  <c r="F66" i="7"/>
  <c r="E66" i="7"/>
  <c r="AP65" i="7"/>
  <c r="AO65" i="7"/>
  <c r="AQ65" i="7" s="1"/>
  <c r="AM65" i="7"/>
  <c r="AJ65" i="7"/>
  <c r="AG65" i="7"/>
  <c r="AL65" i="7" s="1"/>
  <c r="AF65" i="7"/>
  <c r="AN65" i="7" s="1"/>
  <c r="AE65" i="7"/>
  <c r="AD65" i="7"/>
  <c r="Z65" i="7"/>
  <c r="Y65" i="7"/>
  <c r="W65" i="7"/>
  <c r="V65" i="7"/>
  <c r="T65" i="7"/>
  <c r="S65" i="7"/>
  <c r="Q65" i="7"/>
  <c r="P65" i="7"/>
  <c r="N65" i="7"/>
  <c r="K65" i="7"/>
  <c r="H65" i="7"/>
  <c r="G65" i="7"/>
  <c r="O65" i="7" s="1"/>
  <c r="F65" i="7"/>
  <c r="E65" i="7"/>
  <c r="AP64" i="7"/>
  <c r="AO64" i="7"/>
  <c r="AQ64" i="7" s="1"/>
  <c r="AM64" i="7"/>
  <c r="AJ64" i="7"/>
  <c r="AG64" i="7"/>
  <c r="AL64" i="7" s="1"/>
  <c r="AF64" i="7"/>
  <c r="AN64" i="7" s="1"/>
  <c r="AE64" i="7"/>
  <c r="AD64" i="7"/>
  <c r="Z64" i="7"/>
  <c r="Y64" i="7"/>
  <c r="AA64" i="7" s="1"/>
  <c r="W64" i="7"/>
  <c r="V64" i="7"/>
  <c r="X64" i="7" s="1"/>
  <c r="T64" i="7"/>
  <c r="S64" i="7"/>
  <c r="U64" i="7" s="1"/>
  <c r="Q64" i="7"/>
  <c r="P64" i="7"/>
  <c r="R64" i="7" s="1"/>
  <c r="N64" i="7"/>
  <c r="K64" i="7"/>
  <c r="H64" i="7"/>
  <c r="M64" i="7" s="1"/>
  <c r="G64" i="7"/>
  <c r="O64" i="7" s="1"/>
  <c r="F64" i="7"/>
  <c r="E64" i="7"/>
  <c r="AP63" i="7"/>
  <c r="AO63" i="7"/>
  <c r="AM63" i="7"/>
  <c r="AJ63" i="7"/>
  <c r="AG63" i="7"/>
  <c r="AF63" i="7"/>
  <c r="AN63" i="7" s="1"/>
  <c r="AE63" i="7"/>
  <c r="AD63" i="7"/>
  <c r="Z63" i="7"/>
  <c r="Y63" i="7"/>
  <c r="W63" i="7"/>
  <c r="V63" i="7"/>
  <c r="X63" i="7" s="1"/>
  <c r="T63" i="7"/>
  <c r="S63" i="7"/>
  <c r="U63" i="7" s="1"/>
  <c r="Q63" i="7"/>
  <c r="P63" i="7"/>
  <c r="R63" i="7" s="1"/>
  <c r="N63" i="7"/>
  <c r="K63" i="7"/>
  <c r="H63" i="7"/>
  <c r="M63" i="7" s="1"/>
  <c r="G63" i="7"/>
  <c r="O63" i="7" s="1"/>
  <c r="F63" i="7"/>
  <c r="E63" i="7"/>
  <c r="AP62" i="7"/>
  <c r="AO62" i="7"/>
  <c r="AQ62" i="7" s="1"/>
  <c r="AM62" i="7"/>
  <c r="AJ62" i="7"/>
  <c r="AG62" i="7"/>
  <c r="AL62" i="7" s="1"/>
  <c r="AF62" i="7"/>
  <c r="AN62" i="7" s="1"/>
  <c r="AE62" i="7"/>
  <c r="AD62" i="7"/>
  <c r="Z62" i="7"/>
  <c r="Y62" i="7"/>
  <c r="AA62" i="7" s="1"/>
  <c r="W62" i="7"/>
  <c r="V62" i="7"/>
  <c r="X62" i="7" s="1"/>
  <c r="T62" i="7"/>
  <c r="S62" i="7"/>
  <c r="U62" i="7" s="1"/>
  <c r="Q62" i="7"/>
  <c r="P62" i="7"/>
  <c r="R62" i="7" s="1"/>
  <c r="N62" i="7"/>
  <c r="K62" i="7"/>
  <c r="H62" i="7"/>
  <c r="M62" i="7" s="1"/>
  <c r="G62" i="7"/>
  <c r="O62" i="7" s="1"/>
  <c r="F62" i="7"/>
  <c r="E62" i="7"/>
  <c r="AP61" i="7"/>
  <c r="AO61" i="7"/>
  <c r="AM61" i="7"/>
  <c r="AJ61" i="7"/>
  <c r="AG61" i="7"/>
  <c r="AF61" i="7"/>
  <c r="AN61" i="7" s="1"/>
  <c r="AE61" i="7"/>
  <c r="AD61" i="7"/>
  <c r="Z61" i="7"/>
  <c r="Y61" i="7"/>
  <c r="AA61" i="7" s="1"/>
  <c r="W61" i="7"/>
  <c r="V61" i="7"/>
  <c r="X61" i="7" s="1"/>
  <c r="T61" i="7"/>
  <c r="S61" i="7"/>
  <c r="U61" i="7" s="1"/>
  <c r="Q61" i="7"/>
  <c r="P61" i="7"/>
  <c r="R61" i="7" s="1"/>
  <c r="N61" i="7"/>
  <c r="K61" i="7"/>
  <c r="H61" i="7"/>
  <c r="M61" i="7" s="1"/>
  <c r="G61" i="7"/>
  <c r="O61" i="7" s="1"/>
  <c r="F61" i="7"/>
  <c r="E61" i="7"/>
  <c r="AP60" i="7"/>
  <c r="AO60" i="7"/>
  <c r="AQ60" i="7" s="1"/>
  <c r="AM60" i="7"/>
  <c r="AJ60" i="7"/>
  <c r="AG60" i="7"/>
  <c r="AL60" i="7" s="1"/>
  <c r="AF60" i="7"/>
  <c r="AN60" i="7" s="1"/>
  <c r="AE60" i="7"/>
  <c r="AD60" i="7"/>
  <c r="Z60" i="7"/>
  <c r="Y60" i="7"/>
  <c r="AA60" i="7" s="1"/>
  <c r="W60" i="7"/>
  <c r="V60" i="7"/>
  <c r="X60" i="7" s="1"/>
  <c r="T60" i="7"/>
  <c r="S60" i="7"/>
  <c r="U60" i="7" s="1"/>
  <c r="Q60" i="7"/>
  <c r="P60" i="7"/>
  <c r="R60" i="7" s="1"/>
  <c r="N60" i="7"/>
  <c r="K60" i="7"/>
  <c r="H60" i="7"/>
  <c r="M60" i="7" s="1"/>
  <c r="G60" i="7"/>
  <c r="O60" i="7" s="1"/>
  <c r="F60" i="7"/>
  <c r="E60" i="7"/>
  <c r="AP59" i="7"/>
  <c r="AO59" i="7"/>
  <c r="AM59" i="7"/>
  <c r="AJ59" i="7"/>
  <c r="AG59" i="7"/>
  <c r="AF59" i="7"/>
  <c r="AN59" i="7" s="1"/>
  <c r="AE59" i="7"/>
  <c r="AD59" i="7"/>
  <c r="Z59" i="7"/>
  <c r="Y59" i="7"/>
  <c r="W59" i="7"/>
  <c r="V59" i="7"/>
  <c r="T59" i="7"/>
  <c r="S59" i="7"/>
  <c r="Q59" i="7"/>
  <c r="P59" i="7"/>
  <c r="N59" i="7"/>
  <c r="K59" i="7"/>
  <c r="H59" i="7"/>
  <c r="G59" i="7"/>
  <c r="O59" i="7" s="1"/>
  <c r="F59" i="7"/>
  <c r="E59" i="7"/>
  <c r="AP58" i="7"/>
  <c r="AO58" i="7"/>
  <c r="AM58" i="7"/>
  <c r="AJ58" i="7"/>
  <c r="AG58" i="7"/>
  <c r="AF58" i="7"/>
  <c r="AN58" i="7" s="1"/>
  <c r="AE58" i="7"/>
  <c r="AD58" i="7"/>
  <c r="Z58" i="7"/>
  <c r="Y58" i="7"/>
  <c r="AA58" i="7" s="1"/>
  <c r="W58" i="7"/>
  <c r="V58" i="7"/>
  <c r="X58" i="7" s="1"/>
  <c r="T58" i="7"/>
  <c r="S58" i="7"/>
  <c r="U58" i="7" s="1"/>
  <c r="Q58" i="7"/>
  <c r="P58" i="7"/>
  <c r="R58" i="7" s="1"/>
  <c r="N58" i="7"/>
  <c r="K58" i="7"/>
  <c r="H58" i="7"/>
  <c r="M58" i="7" s="1"/>
  <c r="G58" i="7"/>
  <c r="O58" i="7" s="1"/>
  <c r="F58" i="7"/>
  <c r="E58" i="7"/>
  <c r="AP57" i="7"/>
  <c r="AO57" i="7"/>
  <c r="AM57" i="7"/>
  <c r="AJ57" i="7"/>
  <c r="AG57" i="7"/>
  <c r="AF57" i="7"/>
  <c r="AN57" i="7" s="1"/>
  <c r="AE57" i="7"/>
  <c r="AD57" i="7"/>
  <c r="Z57" i="7"/>
  <c r="Y57" i="7"/>
  <c r="W57" i="7"/>
  <c r="V57" i="7"/>
  <c r="T57" i="7"/>
  <c r="S57" i="7"/>
  <c r="Q57" i="7"/>
  <c r="P57" i="7"/>
  <c r="N57" i="7"/>
  <c r="K57" i="7"/>
  <c r="H57" i="7"/>
  <c r="G57" i="7"/>
  <c r="O57" i="7" s="1"/>
  <c r="F57" i="7"/>
  <c r="E57" i="7"/>
  <c r="AP56" i="7"/>
  <c r="AO56" i="7"/>
  <c r="AM56" i="7"/>
  <c r="AJ56" i="7"/>
  <c r="AG56" i="7"/>
  <c r="AF56" i="7"/>
  <c r="AN56" i="7" s="1"/>
  <c r="AE56" i="7"/>
  <c r="AD56" i="7"/>
  <c r="Z56" i="7"/>
  <c r="Y56" i="7"/>
  <c r="W56" i="7"/>
  <c r="V56" i="7"/>
  <c r="T56" i="7"/>
  <c r="S56" i="7"/>
  <c r="Q56" i="7"/>
  <c r="P56" i="7"/>
  <c r="N56" i="7"/>
  <c r="K56" i="7"/>
  <c r="H56" i="7"/>
  <c r="G56" i="7"/>
  <c r="O56" i="7" s="1"/>
  <c r="F56" i="7"/>
  <c r="E56" i="7"/>
  <c r="AP55" i="7"/>
  <c r="AO55" i="7"/>
  <c r="AM55" i="7"/>
  <c r="AJ55" i="7"/>
  <c r="AG55" i="7"/>
  <c r="AF55" i="7"/>
  <c r="AE55" i="7"/>
  <c r="AD55" i="7"/>
  <c r="Z55" i="7"/>
  <c r="Y55" i="7"/>
  <c r="W55" i="7"/>
  <c r="V55" i="7"/>
  <c r="T55" i="7"/>
  <c r="S55" i="7"/>
  <c r="Q55" i="7"/>
  <c r="P55" i="7"/>
  <c r="N55" i="7"/>
  <c r="K55" i="7"/>
  <c r="H55" i="7"/>
  <c r="G55" i="7"/>
  <c r="O55" i="7" s="1"/>
  <c r="F55" i="7"/>
  <c r="E55" i="7"/>
  <c r="AP53" i="7"/>
  <c r="AO53" i="7"/>
  <c r="AM53" i="7"/>
  <c r="AJ53" i="7"/>
  <c r="AG53" i="7"/>
  <c r="AF53" i="7"/>
  <c r="AN53" i="7" s="1"/>
  <c r="AE53" i="7"/>
  <c r="AD53" i="7"/>
  <c r="Z53" i="7"/>
  <c r="Y53" i="7"/>
  <c r="W53" i="7"/>
  <c r="V53" i="7"/>
  <c r="T53" i="7"/>
  <c r="S53" i="7"/>
  <c r="Q53" i="7"/>
  <c r="P53" i="7"/>
  <c r="N53" i="7"/>
  <c r="K53" i="7"/>
  <c r="H53" i="7"/>
  <c r="G53" i="7"/>
  <c r="O53" i="7" s="1"/>
  <c r="F53" i="7"/>
  <c r="E53" i="7"/>
  <c r="AP52" i="7"/>
  <c r="AO52" i="7"/>
  <c r="AM52" i="7"/>
  <c r="AJ52" i="7"/>
  <c r="AG52" i="7"/>
  <c r="AF52" i="7"/>
  <c r="AN52" i="7" s="1"/>
  <c r="AE52" i="7"/>
  <c r="AD52" i="7"/>
  <c r="Z52" i="7"/>
  <c r="Y52" i="7"/>
  <c r="W52" i="7"/>
  <c r="V52" i="7"/>
  <c r="T52" i="7"/>
  <c r="S52" i="7"/>
  <c r="Q52" i="7"/>
  <c r="P52" i="7"/>
  <c r="N52" i="7"/>
  <c r="K52" i="7"/>
  <c r="H52" i="7"/>
  <c r="G52" i="7"/>
  <c r="O52" i="7" s="1"/>
  <c r="F52" i="7"/>
  <c r="E52" i="7"/>
  <c r="AP51" i="7"/>
  <c r="AO51" i="7"/>
  <c r="AM51" i="7"/>
  <c r="AJ51" i="7"/>
  <c r="AG51" i="7"/>
  <c r="AF51" i="7"/>
  <c r="AN51" i="7" s="1"/>
  <c r="AE51" i="7"/>
  <c r="AD51" i="7"/>
  <c r="Z51" i="7"/>
  <c r="Y51" i="7"/>
  <c r="AA51" i="7" s="1"/>
  <c r="W51" i="7"/>
  <c r="V51" i="7"/>
  <c r="X51" i="7" s="1"/>
  <c r="T51" i="7"/>
  <c r="S51" i="7"/>
  <c r="U51" i="7" s="1"/>
  <c r="Q51" i="7"/>
  <c r="P51" i="7"/>
  <c r="R51" i="7" s="1"/>
  <c r="N51" i="7"/>
  <c r="K51" i="7"/>
  <c r="H51" i="7"/>
  <c r="M51" i="7" s="1"/>
  <c r="G51" i="7"/>
  <c r="O51" i="7" s="1"/>
  <c r="F51" i="7"/>
  <c r="E51" i="7"/>
  <c r="AP50" i="7"/>
  <c r="AO50" i="7"/>
  <c r="AQ50" i="7" s="1"/>
  <c r="AM50" i="7"/>
  <c r="AJ50" i="7"/>
  <c r="AG50" i="7"/>
  <c r="AL50" i="7" s="1"/>
  <c r="AF50" i="7"/>
  <c r="AN50" i="7" s="1"/>
  <c r="AE50" i="7"/>
  <c r="AD50" i="7"/>
  <c r="Z50" i="7"/>
  <c r="Y50" i="7"/>
  <c r="AA50" i="7" s="1"/>
  <c r="W50" i="7"/>
  <c r="V50" i="7"/>
  <c r="X50" i="7" s="1"/>
  <c r="T50" i="7"/>
  <c r="S50" i="7"/>
  <c r="U50" i="7" s="1"/>
  <c r="Q50" i="7"/>
  <c r="P50" i="7"/>
  <c r="R50" i="7" s="1"/>
  <c r="N50" i="7"/>
  <c r="K50" i="7"/>
  <c r="H50" i="7"/>
  <c r="M50" i="7" s="1"/>
  <c r="G50" i="7"/>
  <c r="O50" i="7" s="1"/>
  <c r="F50" i="7"/>
  <c r="E50" i="7"/>
  <c r="AP49" i="7"/>
  <c r="AO49" i="7"/>
  <c r="AQ49" i="7" s="1"/>
  <c r="AM49" i="7"/>
  <c r="AJ49" i="7"/>
  <c r="AG49" i="7"/>
  <c r="AL49" i="7" s="1"/>
  <c r="AF49" i="7"/>
  <c r="AN49" i="7" s="1"/>
  <c r="AE49" i="7"/>
  <c r="AD49" i="7"/>
  <c r="Z49" i="7"/>
  <c r="Y49" i="7"/>
  <c r="W49" i="7"/>
  <c r="V49" i="7"/>
  <c r="T49" i="7"/>
  <c r="S49" i="7"/>
  <c r="Q49" i="7"/>
  <c r="P49" i="7"/>
  <c r="N49" i="7"/>
  <c r="K49" i="7"/>
  <c r="H49" i="7"/>
  <c r="G49" i="7"/>
  <c r="O49" i="7" s="1"/>
  <c r="F49" i="7"/>
  <c r="E49" i="7"/>
  <c r="AP48" i="7"/>
  <c r="AO48" i="7"/>
  <c r="AM48" i="7"/>
  <c r="AJ48" i="7"/>
  <c r="AG48" i="7"/>
  <c r="AF48" i="7"/>
  <c r="AN48" i="7" s="1"/>
  <c r="AE48" i="7"/>
  <c r="AD48" i="7"/>
  <c r="Z48" i="7"/>
  <c r="Y48" i="7"/>
  <c r="AA48" i="7" s="1"/>
  <c r="W48" i="7"/>
  <c r="V48" i="7"/>
  <c r="X48" i="7" s="1"/>
  <c r="T48" i="7"/>
  <c r="S48" i="7"/>
  <c r="U48" i="7" s="1"/>
  <c r="Q48" i="7"/>
  <c r="P48" i="7"/>
  <c r="R48" i="7" s="1"/>
  <c r="N48" i="7"/>
  <c r="K48" i="7"/>
  <c r="H48" i="7"/>
  <c r="M48" i="7" s="1"/>
  <c r="G48" i="7"/>
  <c r="F48" i="7"/>
  <c r="E48" i="7"/>
  <c r="AP47" i="7"/>
  <c r="AO47" i="7"/>
  <c r="AQ47" i="7" s="1"/>
  <c r="AM47" i="7"/>
  <c r="AJ47" i="7"/>
  <c r="AG47" i="7"/>
  <c r="AL47" i="7" s="1"/>
  <c r="AF47" i="7"/>
  <c r="AN47" i="7" s="1"/>
  <c r="AE47" i="7"/>
  <c r="AD47" i="7"/>
  <c r="Z47" i="7"/>
  <c r="Y47" i="7"/>
  <c r="W47" i="7"/>
  <c r="V47" i="7"/>
  <c r="T47" i="7"/>
  <c r="S47" i="7"/>
  <c r="Q47" i="7"/>
  <c r="P47" i="7"/>
  <c r="N47" i="7"/>
  <c r="K47" i="7"/>
  <c r="H47" i="7"/>
  <c r="G47" i="7"/>
  <c r="O47" i="7" s="1"/>
  <c r="F47" i="7"/>
  <c r="E47" i="7"/>
  <c r="AP46" i="7"/>
  <c r="AO46" i="7"/>
  <c r="AM46" i="7"/>
  <c r="AJ46" i="7"/>
  <c r="AG46" i="7"/>
  <c r="AF46" i="7"/>
  <c r="AN46" i="7" s="1"/>
  <c r="AE46" i="7"/>
  <c r="AD46" i="7"/>
  <c r="Z46" i="7"/>
  <c r="Y46" i="7"/>
  <c r="W46" i="7"/>
  <c r="V46" i="7"/>
  <c r="T46" i="7"/>
  <c r="S46" i="7"/>
  <c r="Q46" i="7"/>
  <c r="P46" i="7"/>
  <c r="N46" i="7"/>
  <c r="K46" i="7"/>
  <c r="H46" i="7"/>
  <c r="G46" i="7"/>
  <c r="O46" i="7" s="1"/>
  <c r="F46" i="7"/>
  <c r="E46" i="7"/>
  <c r="AP45" i="7"/>
  <c r="AO45" i="7"/>
  <c r="AM45" i="7"/>
  <c r="AJ45" i="7"/>
  <c r="AG45" i="7"/>
  <c r="AF45" i="7"/>
  <c r="AN45" i="7" s="1"/>
  <c r="AE45" i="7"/>
  <c r="AD45" i="7"/>
  <c r="Z45" i="7"/>
  <c r="Y45" i="7"/>
  <c r="AA45" i="7" s="1"/>
  <c r="W45" i="7"/>
  <c r="V45" i="7"/>
  <c r="X45" i="7" s="1"/>
  <c r="T45" i="7"/>
  <c r="S45" i="7"/>
  <c r="U45" i="7" s="1"/>
  <c r="Q45" i="7"/>
  <c r="P45" i="7"/>
  <c r="R45" i="7" s="1"/>
  <c r="N45" i="7"/>
  <c r="K45" i="7"/>
  <c r="H45" i="7"/>
  <c r="M45" i="7" s="1"/>
  <c r="G45" i="7"/>
  <c r="O45" i="7" s="1"/>
  <c r="F45" i="7"/>
  <c r="E45" i="7"/>
  <c r="AP44" i="7"/>
  <c r="AO44" i="7"/>
  <c r="AM44" i="7"/>
  <c r="AJ44" i="7"/>
  <c r="AG44" i="7"/>
  <c r="AF44" i="7"/>
  <c r="AN44" i="7" s="1"/>
  <c r="AE44" i="7"/>
  <c r="AD44" i="7"/>
  <c r="Z44" i="7"/>
  <c r="Y44" i="7"/>
  <c r="AA44" i="7" s="1"/>
  <c r="W44" i="7"/>
  <c r="V44" i="7"/>
  <c r="X44" i="7" s="1"/>
  <c r="T44" i="7"/>
  <c r="S44" i="7"/>
  <c r="U44" i="7" s="1"/>
  <c r="Q44" i="7"/>
  <c r="P44" i="7"/>
  <c r="R44" i="7" s="1"/>
  <c r="N44" i="7"/>
  <c r="K44" i="7"/>
  <c r="H44" i="7"/>
  <c r="M44" i="7" s="1"/>
  <c r="G44" i="7"/>
  <c r="O44" i="7" s="1"/>
  <c r="F44" i="7"/>
  <c r="E44" i="7"/>
  <c r="AP43" i="7"/>
  <c r="AO43" i="7"/>
  <c r="AM43" i="7"/>
  <c r="AJ43" i="7"/>
  <c r="AG43" i="7"/>
  <c r="AF43" i="7"/>
  <c r="AN43" i="7" s="1"/>
  <c r="AE43" i="7"/>
  <c r="AD43" i="7"/>
  <c r="Z43" i="7"/>
  <c r="Y43" i="7"/>
  <c r="AA43" i="7" s="1"/>
  <c r="W43" i="7"/>
  <c r="V43" i="7"/>
  <c r="X43" i="7" s="1"/>
  <c r="T43" i="7"/>
  <c r="S43" i="7"/>
  <c r="U43" i="7" s="1"/>
  <c r="Q43" i="7"/>
  <c r="P43" i="7"/>
  <c r="R43" i="7" s="1"/>
  <c r="N43" i="7"/>
  <c r="K43" i="7"/>
  <c r="H43" i="7"/>
  <c r="M43" i="7" s="1"/>
  <c r="G43" i="7"/>
  <c r="O43" i="7" s="1"/>
  <c r="F43" i="7"/>
  <c r="E43" i="7"/>
  <c r="AP42" i="7"/>
  <c r="AO42" i="7"/>
  <c r="AM42" i="7"/>
  <c r="AJ42" i="7"/>
  <c r="AG42" i="7"/>
  <c r="AF42" i="7"/>
  <c r="AN42" i="7" s="1"/>
  <c r="AE42" i="7"/>
  <c r="AD42" i="7"/>
  <c r="Z42" i="7"/>
  <c r="Y42" i="7"/>
  <c r="AA42" i="7" s="1"/>
  <c r="W42" i="7"/>
  <c r="V42" i="7"/>
  <c r="X42" i="7" s="1"/>
  <c r="T42" i="7"/>
  <c r="S42" i="7"/>
  <c r="U42" i="7" s="1"/>
  <c r="Q42" i="7"/>
  <c r="P42" i="7"/>
  <c r="R42" i="7" s="1"/>
  <c r="N42" i="7"/>
  <c r="K42" i="7"/>
  <c r="H42" i="7"/>
  <c r="M42" i="7" s="1"/>
  <c r="G42" i="7"/>
  <c r="O42" i="7" s="1"/>
  <c r="F42" i="7"/>
  <c r="E42" i="7"/>
  <c r="AP41" i="7"/>
  <c r="AO41" i="7"/>
  <c r="AM41" i="7"/>
  <c r="AJ41" i="7"/>
  <c r="AG41" i="7"/>
  <c r="AF41" i="7"/>
  <c r="AN41" i="7" s="1"/>
  <c r="AE41" i="7"/>
  <c r="AD41" i="7"/>
  <c r="Z41" i="7"/>
  <c r="Y41" i="7"/>
  <c r="AA41" i="7" s="1"/>
  <c r="W41" i="7"/>
  <c r="V41" i="7"/>
  <c r="X41" i="7" s="1"/>
  <c r="T41" i="7"/>
  <c r="S41" i="7"/>
  <c r="U41" i="7" s="1"/>
  <c r="Q41" i="7"/>
  <c r="P41" i="7"/>
  <c r="R41" i="7" s="1"/>
  <c r="N41" i="7"/>
  <c r="K41" i="7"/>
  <c r="H41" i="7"/>
  <c r="M41" i="7" s="1"/>
  <c r="G41" i="7"/>
  <c r="O41" i="7" s="1"/>
  <c r="F41" i="7"/>
  <c r="E41" i="7"/>
  <c r="AP40" i="7"/>
  <c r="AO40" i="7"/>
  <c r="AM40" i="7"/>
  <c r="AJ40" i="7"/>
  <c r="AG40" i="7"/>
  <c r="AF40" i="7"/>
  <c r="AN40" i="7" s="1"/>
  <c r="AE40" i="7"/>
  <c r="AD40" i="7"/>
  <c r="Z40" i="7"/>
  <c r="Y40" i="7"/>
  <c r="W40" i="7"/>
  <c r="V40" i="7"/>
  <c r="T40" i="7"/>
  <c r="S40" i="7"/>
  <c r="Q40" i="7"/>
  <c r="P40" i="7"/>
  <c r="N40" i="7"/>
  <c r="K40" i="7"/>
  <c r="H40" i="7"/>
  <c r="G40" i="7"/>
  <c r="O40" i="7" s="1"/>
  <c r="F40" i="7"/>
  <c r="E40" i="7"/>
  <c r="AP39" i="7"/>
  <c r="AO39" i="7"/>
  <c r="AQ39" i="7" s="1"/>
  <c r="AM39" i="7"/>
  <c r="AJ39" i="7"/>
  <c r="AG39" i="7"/>
  <c r="AL39" i="7" s="1"/>
  <c r="AF39" i="7"/>
  <c r="AN39" i="7" s="1"/>
  <c r="AE39" i="7"/>
  <c r="AD39" i="7"/>
  <c r="Z39" i="7"/>
  <c r="Y39" i="7"/>
  <c r="AA39" i="7" s="1"/>
  <c r="W39" i="7"/>
  <c r="V39" i="7"/>
  <c r="X39" i="7" s="1"/>
  <c r="T39" i="7"/>
  <c r="S39" i="7"/>
  <c r="U39" i="7" s="1"/>
  <c r="Q39" i="7"/>
  <c r="P39" i="7"/>
  <c r="R39" i="7" s="1"/>
  <c r="N39" i="7"/>
  <c r="K39" i="7"/>
  <c r="H39" i="7"/>
  <c r="M39" i="7" s="1"/>
  <c r="G39" i="7"/>
  <c r="O39" i="7" s="1"/>
  <c r="F39" i="7"/>
  <c r="E39" i="7"/>
  <c r="AP38" i="7"/>
  <c r="AO38" i="7"/>
  <c r="AM38" i="7"/>
  <c r="AJ38" i="7"/>
  <c r="AG38" i="7"/>
  <c r="AF38" i="7"/>
  <c r="AN38" i="7" s="1"/>
  <c r="AE38" i="7"/>
  <c r="AD38" i="7"/>
  <c r="Z38" i="7"/>
  <c r="Y38" i="7"/>
  <c r="W38" i="7"/>
  <c r="V38" i="7"/>
  <c r="T38" i="7"/>
  <c r="S38" i="7"/>
  <c r="Q38" i="7"/>
  <c r="P38" i="7"/>
  <c r="N38" i="7"/>
  <c r="K38" i="7"/>
  <c r="H38" i="7"/>
  <c r="G38" i="7"/>
  <c r="O38" i="7" s="1"/>
  <c r="F38" i="7"/>
  <c r="E38" i="7"/>
  <c r="AP37" i="7"/>
  <c r="AO37" i="7"/>
  <c r="AQ37" i="7" s="1"/>
  <c r="AM37" i="7"/>
  <c r="AJ37" i="7"/>
  <c r="AG37" i="7"/>
  <c r="AL37" i="7" s="1"/>
  <c r="AF37" i="7"/>
  <c r="AN37" i="7" s="1"/>
  <c r="AE37" i="7"/>
  <c r="AD37" i="7"/>
  <c r="Z37" i="7"/>
  <c r="Y37" i="7"/>
  <c r="W37" i="7"/>
  <c r="V37" i="7"/>
  <c r="T37" i="7"/>
  <c r="S37" i="7"/>
  <c r="Q37" i="7"/>
  <c r="P37" i="7"/>
  <c r="N37" i="7"/>
  <c r="K37" i="7"/>
  <c r="H37" i="7"/>
  <c r="G37" i="7"/>
  <c r="O37" i="7" s="1"/>
  <c r="F37" i="7"/>
  <c r="E37" i="7"/>
  <c r="AP36" i="7"/>
  <c r="AO36" i="7"/>
  <c r="AM36" i="7"/>
  <c r="AJ36" i="7"/>
  <c r="AG36" i="7"/>
  <c r="AF36" i="7"/>
  <c r="AN36" i="7" s="1"/>
  <c r="AE36" i="7"/>
  <c r="AD36" i="7"/>
  <c r="Z36" i="7"/>
  <c r="Y36" i="7"/>
  <c r="AA36" i="7" s="1"/>
  <c r="W36" i="7"/>
  <c r="V36" i="7"/>
  <c r="X36" i="7" s="1"/>
  <c r="T36" i="7"/>
  <c r="S36" i="7"/>
  <c r="U36" i="7" s="1"/>
  <c r="Q36" i="7"/>
  <c r="P36" i="7"/>
  <c r="R36" i="7" s="1"/>
  <c r="N36" i="7"/>
  <c r="K36" i="7"/>
  <c r="H36" i="7"/>
  <c r="M36" i="7" s="1"/>
  <c r="G36" i="7"/>
  <c r="O36" i="7" s="1"/>
  <c r="F36" i="7"/>
  <c r="E36" i="7"/>
  <c r="AP35" i="7"/>
  <c r="AO35" i="7"/>
  <c r="AM35" i="7"/>
  <c r="AJ35" i="7"/>
  <c r="AG35" i="7"/>
  <c r="AF35" i="7"/>
  <c r="AN35" i="7" s="1"/>
  <c r="AE35" i="7"/>
  <c r="AD35" i="7"/>
  <c r="Z35" i="7"/>
  <c r="Y35" i="7"/>
  <c r="AA35" i="7" s="1"/>
  <c r="W35" i="7"/>
  <c r="V35" i="7"/>
  <c r="X35" i="7" s="1"/>
  <c r="T35" i="7"/>
  <c r="S35" i="7"/>
  <c r="U35" i="7" s="1"/>
  <c r="Q35" i="7"/>
  <c r="P35" i="7"/>
  <c r="R35" i="7" s="1"/>
  <c r="N35" i="7"/>
  <c r="K35" i="7"/>
  <c r="H35" i="7"/>
  <c r="M35" i="7" s="1"/>
  <c r="G35" i="7"/>
  <c r="O35" i="7" s="1"/>
  <c r="F35" i="7"/>
  <c r="E35" i="7"/>
  <c r="AP34" i="7"/>
  <c r="AO34" i="7"/>
  <c r="AM34" i="7"/>
  <c r="AJ34" i="7"/>
  <c r="AG34" i="7"/>
  <c r="AF34" i="7"/>
  <c r="AN34" i="7" s="1"/>
  <c r="AE34" i="7"/>
  <c r="AD34" i="7"/>
  <c r="Z34" i="7"/>
  <c r="Y34" i="7"/>
  <c r="W34" i="7"/>
  <c r="V34" i="7"/>
  <c r="T34" i="7"/>
  <c r="S34" i="7"/>
  <c r="Q34" i="7"/>
  <c r="P34" i="7"/>
  <c r="N34" i="7"/>
  <c r="K34" i="7"/>
  <c r="H34" i="7"/>
  <c r="G34" i="7"/>
  <c r="O34" i="7" s="1"/>
  <c r="F34" i="7"/>
  <c r="E34" i="7"/>
  <c r="AP32" i="7"/>
  <c r="AO32" i="7"/>
  <c r="AM32" i="7"/>
  <c r="AJ32" i="7"/>
  <c r="AG32" i="7"/>
  <c r="AF32" i="7"/>
  <c r="AN32" i="7" s="1"/>
  <c r="AE32" i="7"/>
  <c r="AD32" i="7"/>
  <c r="Z32" i="7"/>
  <c r="Y32" i="7"/>
  <c r="W32" i="7"/>
  <c r="V32" i="7"/>
  <c r="T32" i="7"/>
  <c r="S32" i="7"/>
  <c r="Q32" i="7"/>
  <c r="P32" i="7"/>
  <c r="N32" i="7"/>
  <c r="K32" i="7"/>
  <c r="H32" i="7"/>
  <c r="G32" i="7"/>
  <c r="O32" i="7" s="1"/>
  <c r="F32" i="7"/>
  <c r="E32" i="7"/>
  <c r="AP31" i="7"/>
  <c r="AO31" i="7"/>
  <c r="AQ31" i="7" s="1"/>
  <c r="AM31" i="7"/>
  <c r="AJ31" i="7"/>
  <c r="AG31" i="7"/>
  <c r="AL31" i="7" s="1"/>
  <c r="AF31" i="7"/>
  <c r="AN31" i="7" s="1"/>
  <c r="AE31" i="7"/>
  <c r="AD31" i="7"/>
  <c r="Z31" i="7"/>
  <c r="Y31" i="7"/>
  <c r="W31" i="7"/>
  <c r="V31" i="7"/>
  <c r="T31" i="7"/>
  <c r="S31" i="7"/>
  <c r="Q31" i="7"/>
  <c r="P31" i="7"/>
  <c r="N31" i="7"/>
  <c r="K31" i="7"/>
  <c r="H31" i="7"/>
  <c r="G31" i="7"/>
  <c r="O31" i="7" s="1"/>
  <c r="F31" i="7"/>
  <c r="E31" i="7"/>
  <c r="AP30" i="7"/>
  <c r="AO30" i="7"/>
  <c r="AM30" i="7"/>
  <c r="AJ30" i="7"/>
  <c r="AG30" i="7"/>
  <c r="AF30" i="7"/>
  <c r="AN30" i="7" s="1"/>
  <c r="AE30" i="7"/>
  <c r="AD30" i="7"/>
  <c r="Z30" i="7"/>
  <c r="Y30" i="7"/>
  <c r="AA30" i="7" s="1"/>
  <c r="W30" i="7"/>
  <c r="V30" i="7"/>
  <c r="X30" i="7" s="1"/>
  <c r="T30" i="7"/>
  <c r="S30" i="7"/>
  <c r="U30" i="7" s="1"/>
  <c r="Q30" i="7"/>
  <c r="P30" i="7"/>
  <c r="R30" i="7" s="1"/>
  <c r="N30" i="7"/>
  <c r="K30" i="7"/>
  <c r="H30" i="7"/>
  <c r="M30" i="7" s="1"/>
  <c r="G30" i="7"/>
  <c r="O30" i="7" s="1"/>
  <c r="F30" i="7"/>
  <c r="E30" i="7"/>
  <c r="AP29" i="7"/>
  <c r="AO29" i="7"/>
  <c r="AM29" i="7"/>
  <c r="AJ29" i="7"/>
  <c r="AG29" i="7"/>
  <c r="AF29" i="7"/>
  <c r="AN29" i="7" s="1"/>
  <c r="AE29" i="7"/>
  <c r="AD29" i="7"/>
  <c r="Z29" i="7"/>
  <c r="Y29" i="7"/>
  <c r="AA29" i="7" s="1"/>
  <c r="W29" i="7"/>
  <c r="V29" i="7"/>
  <c r="X29" i="7" s="1"/>
  <c r="T29" i="7"/>
  <c r="S29" i="7"/>
  <c r="U29" i="7" s="1"/>
  <c r="Q29" i="7"/>
  <c r="P29" i="7"/>
  <c r="R29" i="7" s="1"/>
  <c r="N29" i="7"/>
  <c r="K29" i="7"/>
  <c r="H29" i="7"/>
  <c r="M29" i="7" s="1"/>
  <c r="G29" i="7"/>
  <c r="O29" i="7" s="1"/>
  <c r="F29" i="7"/>
  <c r="E29" i="7"/>
  <c r="AP28" i="7"/>
  <c r="AO28" i="7"/>
  <c r="AM28" i="7"/>
  <c r="AJ28" i="7"/>
  <c r="AG28" i="7"/>
  <c r="AF28" i="7"/>
  <c r="AN28" i="7" s="1"/>
  <c r="AE28" i="7"/>
  <c r="AD28" i="7"/>
  <c r="Z28" i="7"/>
  <c r="Y28" i="7"/>
  <c r="AA28" i="7" s="1"/>
  <c r="W28" i="7"/>
  <c r="V28" i="7"/>
  <c r="X28" i="7" s="1"/>
  <c r="T28" i="7"/>
  <c r="S28" i="7"/>
  <c r="U28" i="7" s="1"/>
  <c r="Q28" i="7"/>
  <c r="P28" i="7"/>
  <c r="R28" i="7" s="1"/>
  <c r="N28" i="7"/>
  <c r="K28" i="7"/>
  <c r="H28" i="7"/>
  <c r="M28" i="7" s="1"/>
  <c r="G28" i="7"/>
  <c r="O28" i="7" s="1"/>
  <c r="F28" i="7"/>
  <c r="E28" i="7"/>
  <c r="AP27" i="7"/>
  <c r="AO27" i="7"/>
  <c r="AM27" i="7"/>
  <c r="AJ27" i="7"/>
  <c r="AG27" i="7"/>
  <c r="AF27" i="7"/>
  <c r="AN27" i="7" s="1"/>
  <c r="AE27" i="7"/>
  <c r="AD27" i="7"/>
  <c r="Z27" i="7"/>
  <c r="Y27" i="7"/>
  <c r="AA27" i="7" s="1"/>
  <c r="W27" i="7"/>
  <c r="V27" i="7"/>
  <c r="X27" i="7" s="1"/>
  <c r="T27" i="7"/>
  <c r="S27" i="7"/>
  <c r="U27" i="7" s="1"/>
  <c r="Q27" i="7"/>
  <c r="P27" i="7"/>
  <c r="R27" i="7" s="1"/>
  <c r="N27" i="7"/>
  <c r="K27" i="7"/>
  <c r="H27" i="7"/>
  <c r="M27" i="7" s="1"/>
  <c r="G27" i="7"/>
  <c r="O27" i="7" s="1"/>
  <c r="F27" i="7"/>
  <c r="E27" i="7"/>
  <c r="AP26" i="7"/>
  <c r="AO26" i="7"/>
  <c r="AM26" i="7"/>
  <c r="AJ26" i="7"/>
  <c r="AG26" i="7"/>
  <c r="AF26" i="7"/>
  <c r="AN26" i="7" s="1"/>
  <c r="AE26" i="7"/>
  <c r="AD26" i="7"/>
  <c r="Z26" i="7"/>
  <c r="Y26" i="7"/>
  <c r="W26" i="7"/>
  <c r="V26" i="7"/>
  <c r="T26" i="7"/>
  <c r="S26" i="7"/>
  <c r="Q26" i="7"/>
  <c r="P26" i="7"/>
  <c r="N26" i="7"/>
  <c r="K26" i="7"/>
  <c r="H26" i="7"/>
  <c r="G26" i="7"/>
  <c r="O26" i="7" s="1"/>
  <c r="F26" i="7"/>
  <c r="E26" i="7"/>
  <c r="AP25" i="7"/>
  <c r="AO25" i="7"/>
  <c r="AM25" i="7"/>
  <c r="AJ25" i="7"/>
  <c r="AG25" i="7"/>
  <c r="AF25" i="7"/>
  <c r="AN25" i="7" s="1"/>
  <c r="AE25" i="7"/>
  <c r="AD25" i="7"/>
  <c r="Z25" i="7"/>
  <c r="Y25" i="7"/>
  <c r="W25" i="7"/>
  <c r="V25" i="7"/>
  <c r="T25" i="7"/>
  <c r="S25" i="7"/>
  <c r="Q25" i="7"/>
  <c r="P25" i="7"/>
  <c r="N25" i="7"/>
  <c r="K25" i="7"/>
  <c r="H25" i="7"/>
  <c r="G25" i="7"/>
  <c r="O25" i="7" s="1"/>
  <c r="F25" i="7"/>
  <c r="E25" i="7"/>
  <c r="AP24" i="7"/>
  <c r="AO24" i="7"/>
  <c r="AM24" i="7"/>
  <c r="AJ24" i="7"/>
  <c r="AG24" i="7"/>
  <c r="AF24" i="7"/>
  <c r="AN24" i="7" s="1"/>
  <c r="AE24" i="7"/>
  <c r="AD24" i="7"/>
  <c r="Z24" i="7"/>
  <c r="Y24" i="7"/>
  <c r="AA24" i="7" s="1"/>
  <c r="W24" i="7"/>
  <c r="V24" i="7"/>
  <c r="X24" i="7" s="1"/>
  <c r="T24" i="7"/>
  <c r="S24" i="7"/>
  <c r="U24" i="7" s="1"/>
  <c r="Q24" i="7"/>
  <c r="P24" i="7"/>
  <c r="R24" i="7" s="1"/>
  <c r="N24" i="7"/>
  <c r="K24" i="7"/>
  <c r="H24" i="7"/>
  <c r="M24" i="7" s="1"/>
  <c r="G24" i="7"/>
  <c r="O24" i="7" s="1"/>
  <c r="F24" i="7"/>
  <c r="E24" i="7"/>
  <c r="AP23" i="7"/>
  <c r="AO23" i="7"/>
  <c r="AQ23" i="7" s="1"/>
  <c r="AM23" i="7"/>
  <c r="AJ23" i="7"/>
  <c r="AG23" i="7"/>
  <c r="AL23" i="7" s="1"/>
  <c r="AF23" i="7"/>
  <c r="AN23" i="7" s="1"/>
  <c r="AE23" i="7"/>
  <c r="AD23" i="7"/>
  <c r="Z23" i="7"/>
  <c r="Y23" i="7"/>
  <c r="AA23" i="7" s="1"/>
  <c r="W23" i="7"/>
  <c r="V23" i="7"/>
  <c r="X23" i="7" s="1"/>
  <c r="T23" i="7"/>
  <c r="S23" i="7"/>
  <c r="U23" i="7" s="1"/>
  <c r="Q23" i="7"/>
  <c r="P23" i="7"/>
  <c r="R23" i="7" s="1"/>
  <c r="N23" i="7"/>
  <c r="K23" i="7"/>
  <c r="H23" i="7"/>
  <c r="M23" i="7" s="1"/>
  <c r="G23" i="7"/>
  <c r="O23" i="7" s="1"/>
  <c r="F23" i="7"/>
  <c r="E23" i="7"/>
  <c r="AP22" i="7"/>
  <c r="AO22" i="7"/>
  <c r="AM22" i="7"/>
  <c r="AJ22" i="7"/>
  <c r="AG22" i="7"/>
  <c r="AF22" i="7"/>
  <c r="AN22" i="7" s="1"/>
  <c r="AE22" i="7"/>
  <c r="AD22" i="7"/>
  <c r="Z22" i="7"/>
  <c r="Y22" i="7"/>
  <c r="W22" i="7"/>
  <c r="V22" i="7"/>
  <c r="T22" i="7"/>
  <c r="S22" i="7"/>
  <c r="Q22" i="7"/>
  <c r="P22" i="7"/>
  <c r="N22" i="7"/>
  <c r="K22" i="7"/>
  <c r="H22" i="7"/>
  <c r="G22" i="7"/>
  <c r="O22" i="7" s="1"/>
  <c r="F22" i="7"/>
  <c r="E22" i="7"/>
  <c r="AP21" i="7"/>
  <c r="AO21" i="7"/>
  <c r="AM21" i="7"/>
  <c r="AJ21" i="7"/>
  <c r="AG21" i="7"/>
  <c r="AF21" i="7"/>
  <c r="AN21" i="7" s="1"/>
  <c r="AE21" i="7"/>
  <c r="AD21" i="7"/>
  <c r="Z21" i="7"/>
  <c r="Y21" i="7"/>
  <c r="AA21" i="7" s="1"/>
  <c r="W21" i="7"/>
  <c r="V21" i="7"/>
  <c r="X21" i="7" s="1"/>
  <c r="T21" i="7"/>
  <c r="S21" i="7"/>
  <c r="U21" i="7" s="1"/>
  <c r="Q21" i="7"/>
  <c r="P21" i="7"/>
  <c r="R21" i="7" s="1"/>
  <c r="N21" i="7"/>
  <c r="K21" i="7"/>
  <c r="H21" i="7"/>
  <c r="M21" i="7" s="1"/>
  <c r="G21" i="7"/>
  <c r="O21" i="7" s="1"/>
  <c r="F21" i="7"/>
  <c r="E21" i="7"/>
  <c r="AP20" i="7"/>
  <c r="AO20" i="7"/>
  <c r="AM20" i="7"/>
  <c r="AJ20" i="7"/>
  <c r="AG20" i="7"/>
  <c r="AF20" i="7"/>
  <c r="AN20" i="7" s="1"/>
  <c r="AE20" i="7"/>
  <c r="AD20" i="7"/>
  <c r="Z20" i="7"/>
  <c r="Y20" i="7"/>
  <c r="W20" i="7"/>
  <c r="V20" i="7"/>
  <c r="T20" i="7"/>
  <c r="S20" i="7"/>
  <c r="Q20" i="7"/>
  <c r="P20" i="7"/>
  <c r="N20" i="7"/>
  <c r="K20" i="7"/>
  <c r="H20" i="7"/>
  <c r="G20" i="7"/>
  <c r="O20" i="7" s="1"/>
  <c r="F20" i="7"/>
  <c r="E20" i="7"/>
  <c r="AP19" i="7"/>
  <c r="AO19" i="7"/>
  <c r="AM19" i="7"/>
  <c r="AJ19" i="7"/>
  <c r="AG19" i="7"/>
  <c r="AF19" i="7"/>
  <c r="AN19" i="7" s="1"/>
  <c r="AE19" i="7"/>
  <c r="AD19" i="7"/>
  <c r="Z19" i="7"/>
  <c r="Y19" i="7"/>
  <c r="AA19" i="7" s="1"/>
  <c r="W19" i="7"/>
  <c r="V19" i="7"/>
  <c r="X19" i="7" s="1"/>
  <c r="T19" i="7"/>
  <c r="S19" i="7"/>
  <c r="U19" i="7" s="1"/>
  <c r="Q19" i="7"/>
  <c r="P19" i="7"/>
  <c r="N19" i="7"/>
  <c r="K19" i="7"/>
  <c r="H19" i="7"/>
  <c r="M19" i="7" s="1"/>
  <c r="G19" i="7"/>
  <c r="O19" i="7" s="1"/>
  <c r="F19" i="7"/>
  <c r="E19" i="7"/>
  <c r="AP18" i="7"/>
  <c r="AO18" i="7"/>
  <c r="AM18" i="7"/>
  <c r="AJ18" i="7"/>
  <c r="AG18" i="7"/>
  <c r="AF18" i="7"/>
  <c r="AE18" i="7"/>
  <c r="AD18" i="7"/>
  <c r="Z18" i="7"/>
  <c r="Y18" i="7"/>
  <c r="W18" i="7"/>
  <c r="V18" i="7"/>
  <c r="T18" i="7"/>
  <c r="S18" i="7"/>
  <c r="Q18" i="7"/>
  <c r="P18" i="7"/>
  <c r="N18" i="7"/>
  <c r="K18" i="7"/>
  <c r="H18" i="7"/>
  <c r="G18" i="7"/>
  <c r="O18" i="7" s="1"/>
  <c r="F18" i="7"/>
  <c r="E18" i="7"/>
  <c r="AP17" i="7"/>
  <c r="AO17" i="7"/>
  <c r="AM17" i="7"/>
  <c r="AJ17" i="7"/>
  <c r="AG17" i="7"/>
  <c r="AF17" i="7"/>
  <c r="AN17" i="7" s="1"/>
  <c r="AE17" i="7"/>
  <c r="AD17" i="7"/>
  <c r="Z17" i="7"/>
  <c r="Y17" i="7"/>
  <c r="W17" i="7"/>
  <c r="V17" i="7"/>
  <c r="T17" i="7"/>
  <c r="S17" i="7"/>
  <c r="Q17" i="7"/>
  <c r="P17" i="7"/>
  <c r="N17" i="7"/>
  <c r="K17" i="7"/>
  <c r="H17" i="7"/>
  <c r="G17" i="7"/>
  <c r="O17" i="7" s="1"/>
  <c r="F17" i="7"/>
  <c r="E17" i="7"/>
  <c r="AP16" i="7"/>
  <c r="AO16" i="7"/>
  <c r="AM16" i="7"/>
  <c r="AJ16" i="7"/>
  <c r="AG16" i="7"/>
  <c r="AF16" i="7"/>
  <c r="AN16" i="7" s="1"/>
  <c r="AE16" i="7"/>
  <c r="AD16" i="7"/>
  <c r="Z16" i="7"/>
  <c r="Y16" i="7"/>
  <c r="AA16" i="7" s="1"/>
  <c r="W16" i="7"/>
  <c r="V16" i="7"/>
  <c r="T16" i="7"/>
  <c r="S16" i="7"/>
  <c r="Q16" i="7"/>
  <c r="P16" i="7"/>
  <c r="R16" i="7" s="1"/>
  <c r="N16" i="7"/>
  <c r="K16" i="7"/>
  <c r="H16" i="7"/>
  <c r="G16" i="7"/>
  <c r="O16" i="7" s="1"/>
  <c r="F16" i="7"/>
  <c r="E16" i="7"/>
  <c r="AQ14" i="7"/>
  <c r="AN14" i="7"/>
  <c r="AL14" i="7"/>
  <c r="AK14" i="7"/>
  <c r="AH14" i="7"/>
  <c r="AB14" i="7"/>
  <c r="AI14" i="7" s="1"/>
  <c r="AA14" i="7"/>
  <c r="X14" i="7"/>
  <c r="U14" i="7"/>
  <c r="R14" i="7"/>
  <c r="O14" i="7"/>
  <c r="M14" i="7"/>
  <c r="L14" i="7"/>
  <c r="J14" i="7"/>
  <c r="I14" i="7"/>
  <c r="C14" i="7"/>
  <c r="AQ13" i="7"/>
  <c r="AA13" i="7"/>
  <c r="Z13" i="7"/>
  <c r="X13" i="7"/>
  <c r="W13" i="7"/>
  <c r="U13" i="7"/>
  <c r="T13" i="7"/>
  <c r="R13" i="7"/>
  <c r="Q13" i="7"/>
  <c r="AQ12" i="7"/>
  <c r="AP12" i="7"/>
  <c r="AA12" i="7"/>
  <c r="Z12" i="7"/>
  <c r="Z11" i="7" s="1"/>
  <c r="X12" i="7"/>
  <c r="W12" i="7"/>
  <c r="U12" i="7"/>
  <c r="T12" i="7"/>
  <c r="R12" i="7"/>
  <c r="Q12" i="7"/>
  <c r="Q11" i="7" s="1"/>
  <c r="AQ11" i="7"/>
  <c r="AA11" i="7"/>
  <c r="X11" i="7"/>
  <c r="U11" i="7"/>
  <c r="R11" i="7"/>
  <c r="N119" i="6"/>
  <c r="K119" i="6"/>
  <c r="H119" i="6"/>
  <c r="M119" i="6" s="1"/>
  <c r="G119" i="6"/>
  <c r="O119" i="6" s="1"/>
  <c r="F119" i="6"/>
  <c r="E119" i="6"/>
  <c r="N118" i="6"/>
  <c r="K118" i="6"/>
  <c r="H118" i="6"/>
  <c r="M118" i="6" s="1"/>
  <c r="G118" i="6"/>
  <c r="O118" i="6" s="1"/>
  <c r="F118" i="6"/>
  <c r="E118" i="6"/>
  <c r="N117" i="6"/>
  <c r="K117" i="6"/>
  <c r="H117" i="6"/>
  <c r="M117" i="6" s="1"/>
  <c r="G117" i="6"/>
  <c r="O117" i="6" s="1"/>
  <c r="F117" i="6"/>
  <c r="E117" i="6"/>
  <c r="N116" i="6"/>
  <c r="K116" i="6"/>
  <c r="H116" i="6"/>
  <c r="M116" i="6" s="1"/>
  <c r="G116" i="6"/>
  <c r="O116" i="6" s="1"/>
  <c r="F116" i="6"/>
  <c r="E116" i="6"/>
  <c r="N115" i="6"/>
  <c r="K115" i="6"/>
  <c r="H115" i="6"/>
  <c r="G115" i="6"/>
  <c r="O115" i="6" s="1"/>
  <c r="F115" i="6"/>
  <c r="E115" i="6"/>
  <c r="N114" i="6"/>
  <c r="K114" i="6"/>
  <c r="H114" i="6"/>
  <c r="M114" i="6" s="1"/>
  <c r="G114" i="6"/>
  <c r="O114" i="6" s="1"/>
  <c r="F114" i="6"/>
  <c r="E114" i="6"/>
  <c r="N113" i="6"/>
  <c r="K113" i="6"/>
  <c r="H113" i="6"/>
  <c r="M113" i="6" s="1"/>
  <c r="G113" i="6"/>
  <c r="O113" i="6" s="1"/>
  <c r="F113" i="6"/>
  <c r="E113" i="6"/>
  <c r="N112" i="6"/>
  <c r="K112" i="6"/>
  <c r="H112" i="6"/>
  <c r="M112" i="6" s="1"/>
  <c r="G112" i="6"/>
  <c r="O112" i="6" s="1"/>
  <c r="F112" i="6"/>
  <c r="E112" i="6"/>
  <c r="N111" i="6"/>
  <c r="K111" i="6"/>
  <c r="H111" i="6"/>
  <c r="G111" i="6"/>
  <c r="O111" i="6" s="1"/>
  <c r="F111" i="6"/>
  <c r="E111" i="6"/>
  <c r="N110" i="6"/>
  <c r="K110" i="6"/>
  <c r="H110" i="6"/>
  <c r="G110" i="6"/>
  <c r="O110" i="6" s="1"/>
  <c r="F110" i="6"/>
  <c r="E110" i="6"/>
  <c r="N109" i="6"/>
  <c r="K109" i="6"/>
  <c r="H109" i="6"/>
  <c r="M109" i="6" s="1"/>
  <c r="G109" i="6"/>
  <c r="O109" i="6" s="1"/>
  <c r="F109" i="6"/>
  <c r="E109" i="6"/>
  <c r="N108" i="6"/>
  <c r="K108" i="6"/>
  <c r="H108" i="6"/>
  <c r="M108" i="6" s="1"/>
  <c r="G108" i="6"/>
  <c r="O108" i="6" s="1"/>
  <c r="F108" i="6"/>
  <c r="E108" i="6"/>
  <c r="N107" i="6"/>
  <c r="K107" i="6"/>
  <c r="H107" i="6"/>
  <c r="G107" i="6"/>
  <c r="O107" i="6" s="1"/>
  <c r="F107" i="6"/>
  <c r="E107" i="6"/>
  <c r="W106" i="6"/>
  <c r="V106" i="6"/>
  <c r="T106" i="6"/>
  <c r="S106" i="6"/>
  <c r="S13" i="6" s="1"/>
  <c r="U13" i="6" s="1"/>
  <c r="Q106" i="6"/>
  <c r="Q13" i="6" s="1"/>
  <c r="P106" i="6"/>
  <c r="R106" i="6" s="1"/>
  <c r="V105" i="6"/>
  <c r="X105" i="6" s="1"/>
  <c r="S105" i="6"/>
  <c r="U105" i="6" s="1"/>
  <c r="N105" i="6"/>
  <c r="K105" i="6"/>
  <c r="H105" i="6"/>
  <c r="G105" i="6"/>
  <c r="F105" i="6"/>
  <c r="E105" i="6"/>
  <c r="V104" i="6"/>
  <c r="X104" i="6" s="1"/>
  <c r="S104" i="6"/>
  <c r="N104" i="6"/>
  <c r="K104" i="6"/>
  <c r="H104" i="6"/>
  <c r="M104" i="6" s="1"/>
  <c r="G104" i="6"/>
  <c r="O104" i="6" s="1"/>
  <c r="F104" i="6"/>
  <c r="E104" i="6"/>
  <c r="V103" i="6"/>
  <c r="X103" i="6" s="1"/>
  <c r="S103" i="6"/>
  <c r="U103" i="6" s="1"/>
  <c r="N103" i="6"/>
  <c r="K103" i="6"/>
  <c r="H103" i="6"/>
  <c r="M103" i="6" s="1"/>
  <c r="G103" i="6"/>
  <c r="O103" i="6" s="1"/>
  <c r="F103" i="6"/>
  <c r="E103" i="6"/>
  <c r="V102" i="6"/>
  <c r="S102" i="6"/>
  <c r="U102" i="6" s="1"/>
  <c r="N102" i="6"/>
  <c r="K102" i="6"/>
  <c r="H102" i="6"/>
  <c r="M102" i="6" s="1"/>
  <c r="G102" i="6"/>
  <c r="O102" i="6" s="1"/>
  <c r="F102" i="6"/>
  <c r="E102" i="6"/>
  <c r="V101" i="6"/>
  <c r="X101" i="6" s="1"/>
  <c r="S101" i="6"/>
  <c r="U101" i="6" s="1"/>
  <c r="N101" i="6"/>
  <c r="K101" i="6"/>
  <c r="H101" i="6"/>
  <c r="M101" i="6" s="1"/>
  <c r="G101" i="6"/>
  <c r="O101" i="6" s="1"/>
  <c r="F101" i="6"/>
  <c r="E101" i="6"/>
  <c r="V100" i="6"/>
  <c r="X100" i="6" s="1"/>
  <c r="S100" i="6"/>
  <c r="N100" i="6"/>
  <c r="K100" i="6"/>
  <c r="H100" i="6"/>
  <c r="M100" i="6" s="1"/>
  <c r="G100" i="6"/>
  <c r="O100" i="6" s="1"/>
  <c r="F100" i="6"/>
  <c r="E100" i="6"/>
  <c r="V99" i="6"/>
  <c r="S99" i="6"/>
  <c r="U99" i="6" s="1"/>
  <c r="N99" i="6"/>
  <c r="K99" i="6"/>
  <c r="H99" i="6"/>
  <c r="M99" i="6" s="1"/>
  <c r="G99" i="6"/>
  <c r="O99" i="6" s="1"/>
  <c r="F99" i="6"/>
  <c r="E99" i="6"/>
  <c r="V98" i="6"/>
  <c r="X98" i="6" s="1"/>
  <c r="S98" i="6"/>
  <c r="N98" i="6"/>
  <c r="K98" i="6"/>
  <c r="H98" i="6"/>
  <c r="M98" i="6" s="1"/>
  <c r="G98" i="6"/>
  <c r="O98" i="6" s="1"/>
  <c r="F98" i="6"/>
  <c r="E98" i="6"/>
  <c r="V97" i="6"/>
  <c r="X97" i="6" s="1"/>
  <c r="S97" i="6"/>
  <c r="U97" i="6" s="1"/>
  <c r="N97" i="6"/>
  <c r="K97" i="6"/>
  <c r="H97" i="6"/>
  <c r="M97" i="6" s="1"/>
  <c r="G97" i="6"/>
  <c r="O97" i="6" s="1"/>
  <c r="F97" i="6"/>
  <c r="E97" i="6"/>
  <c r="V96" i="6"/>
  <c r="X96" i="6" s="1"/>
  <c r="S96" i="6"/>
  <c r="U96" i="6" s="1"/>
  <c r="N96" i="6"/>
  <c r="K96" i="6"/>
  <c r="H96" i="6"/>
  <c r="M96" i="6" s="1"/>
  <c r="G96" i="6"/>
  <c r="O96" i="6" s="1"/>
  <c r="F96" i="6"/>
  <c r="E96" i="6"/>
  <c r="V95" i="6"/>
  <c r="X95" i="6" s="1"/>
  <c r="S95" i="6"/>
  <c r="U95" i="6" s="1"/>
  <c r="N95" i="6"/>
  <c r="K95" i="6"/>
  <c r="H95" i="6"/>
  <c r="M95" i="6" s="1"/>
  <c r="G95" i="6"/>
  <c r="O95" i="6" s="1"/>
  <c r="F95" i="6"/>
  <c r="E95" i="6"/>
  <c r="A95" i="6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V94" i="6"/>
  <c r="X94" i="6" s="1"/>
  <c r="S94" i="6"/>
  <c r="U94" i="6" s="1"/>
  <c r="N94" i="6"/>
  <c r="K94" i="6"/>
  <c r="H94" i="6"/>
  <c r="G94" i="6"/>
  <c r="O94" i="6" s="1"/>
  <c r="F94" i="6"/>
  <c r="E94" i="6"/>
  <c r="V93" i="6"/>
  <c r="S93" i="6"/>
  <c r="U93" i="6" s="1"/>
  <c r="N93" i="6"/>
  <c r="K93" i="6"/>
  <c r="H93" i="6"/>
  <c r="M93" i="6" s="1"/>
  <c r="G93" i="6"/>
  <c r="O93" i="6" s="1"/>
  <c r="F93" i="6"/>
  <c r="E93" i="6"/>
  <c r="V92" i="6"/>
  <c r="X92" i="6" s="1"/>
  <c r="S92" i="6"/>
  <c r="U92" i="6" s="1"/>
  <c r="N92" i="6"/>
  <c r="K92" i="6"/>
  <c r="H92" i="6"/>
  <c r="M92" i="6" s="1"/>
  <c r="G92" i="6"/>
  <c r="F92" i="6"/>
  <c r="E92" i="6"/>
  <c r="W91" i="6"/>
  <c r="W12" i="6" s="1"/>
  <c r="T91" i="6"/>
  <c r="Q91" i="6"/>
  <c r="V90" i="6"/>
  <c r="X90" i="6" s="1"/>
  <c r="T90" i="6"/>
  <c r="S90" i="6"/>
  <c r="N90" i="6"/>
  <c r="K90" i="6"/>
  <c r="H90" i="6"/>
  <c r="G90" i="6"/>
  <c r="O90" i="6" s="1"/>
  <c r="F90" i="6"/>
  <c r="E90" i="6"/>
  <c r="V89" i="6"/>
  <c r="X89" i="6" s="1"/>
  <c r="T89" i="6"/>
  <c r="Q89" i="6" s="1"/>
  <c r="S89" i="6"/>
  <c r="N89" i="6"/>
  <c r="K89" i="6"/>
  <c r="H89" i="6"/>
  <c r="G89" i="6"/>
  <c r="O89" i="6" s="1"/>
  <c r="F89" i="6"/>
  <c r="E89" i="6"/>
  <c r="V88" i="6"/>
  <c r="X88" i="6" s="1"/>
  <c r="T88" i="6"/>
  <c r="Q88" i="6" s="1"/>
  <c r="S88" i="6"/>
  <c r="N88" i="6"/>
  <c r="K88" i="6"/>
  <c r="H88" i="6"/>
  <c r="G88" i="6"/>
  <c r="O88" i="6" s="1"/>
  <c r="F88" i="6"/>
  <c r="E88" i="6"/>
  <c r="V87" i="6"/>
  <c r="T87" i="6"/>
  <c r="Q87" i="6" s="1"/>
  <c r="S87" i="6"/>
  <c r="N87" i="6"/>
  <c r="K87" i="6"/>
  <c r="H87" i="6"/>
  <c r="G87" i="6"/>
  <c r="O87" i="6" s="1"/>
  <c r="F87" i="6"/>
  <c r="E87" i="6"/>
  <c r="V86" i="6"/>
  <c r="T86" i="6"/>
  <c r="Q86" i="6" s="1"/>
  <c r="S86" i="6"/>
  <c r="N86" i="6"/>
  <c r="K86" i="6"/>
  <c r="H86" i="6"/>
  <c r="G86" i="6"/>
  <c r="O86" i="6" s="1"/>
  <c r="F86" i="6"/>
  <c r="E86" i="6"/>
  <c r="V85" i="6"/>
  <c r="X85" i="6" s="1"/>
  <c r="T85" i="6"/>
  <c r="S85" i="6"/>
  <c r="N85" i="6"/>
  <c r="K85" i="6"/>
  <c r="H85" i="6"/>
  <c r="G85" i="6"/>
  <c r="O85" i="6" s="1"/>
  <c r="F85" i="6"/>
  <c r="E85" i="6"/>
  <c r="V84" i="6"/>
  <c r="X84" i="6" s="1"/>
  <c r="T84" i="6"/>
  <c r="Q84" i="6" s="1"/>
  <c r="S84" i="6"/>
  <c r="N84" i="6"/>
  <c r="K84" i="6"/>
  <c r="H84" i="6"/>
  <c r="G84" i="6"/>
  <c r="O84" i="6" s="1"/>
  <c r="F84" i="6"/>
  <c r="E84" i="6"/>
  <c r="V83" i="6"/>
  <c r="X83" i="6" s="1"/>
  <c r="T83" i="6"/>
  <c r="Q83" i="6" s="1"/>
  <c r="S83" i="6"/>
  <c r="N83" i="6"/>
  <c r="K83" i="6"/>
  <c r="H83" i="6"/>
  <c r="G83" i="6"/>
  <c r="O83" i="6" s="1"/>
  <c r="F83" i="6"/>
  <c r="E83" i="6"/>
  <c r="V82" i="6"/>
  <c r="X82" i="6" s="1"/>
  <c r="T82" i="6"/>
  <c r="Q82" i="6" s="1"/>
  <c r="S82" i="6"/>
  <c r="N82" i="6"/>
  <c r="K82" i="6"/>
  <c r="H82" i="6"/>
  <c r="G82" i="6"/>
  <c r="O82" i="6" s="1"/>
  <c r="F82" i="6"/>
  <c r="E82" i="6"/>
  <c r="V81" i="6"/>
  <c r="T81" i="6"/>
  <c r="S81" i="6"/>
  <c r="N81" i="6"/>
  <c r="K81" i="6"/>
  <c r="H81" i="6"/>
  <c r="G81" i="6"/>
  <c r="O81" i="6" s="1"/>
  <c r="F81" i="6"/>
  <c r="E81" i="6"/>
  <c r="V80" i="6"/>
  <c r="X80" i="6" s="1"/>
  <c r="T80" i="6"/>
  <c r="Q80" i="6" s="1"/>
  <c r="S80" i="6"/>
  <c r="N80" i="6"/>
  <c r="K80" i="6"/>
  <c r="H80" i="6"/>
  <c r="G80" i="6"/>
  <c r="O80" i="6" s="1"/>
  <c r="F80" i="6"/>
  <c r="E80" i="6"/>
  <c r="V79" i="6"/>
  <c r="T79" i="6"/>
  <c r="Q79" i="6" s="1"/>
  <c r="S79" i="6"/>
  <c r="N79" i="6"/>
  <c r="K79" i="6"/>
  <c r="H79" i="6"/>
  <c r="G79" i="6"/>
  <c r="O79" i="6" s="1"/>
  <c r="F79" i="6"/>
  <c r="E79" i="6"/>
  <c r="V78" i="6"/>
  <c r="X78" i="6" s="1"/>
  <c r="T78" i="6"/>
  <c r="Q78" i="6" s="1"/>
  <c r="S78" i="6"/>
  <c r="N78" i="6"/>
  <c r="K78" i="6"/>
  <c r="H78" i="6"/>
  <c r="M78" i="6" s="1"/>
  <c r="G78" i="6"/>
  <c r="O78" i="6" s="1"/>
  <c r="F78" i="6"/>
  <c r="E78" i="6"/>
  <c r="V77" i="6"/>
  <c r="T77" i="6"/>
  <c r="Q77" i="6" s="1"/>
  <c r="S77" i="6"/>
  <c r="N77" i="6"/>
  <c r="K77" i="6"/>
  <c r="H77" i="6"/>
  <c r="G77" i="6"/>
  <c r="O77" i="6" s="1"/>
  <c r="F77" i="6"/>
  <c r="E77" i="6"/>
  <c r="W76" i="6"/>
  <c r="V75" i="6"/>
  <c r="X75" i="6" s="1"/>
  <c r="T75" i="6"/>
  <c r="Q75" i="6" s="1"/>
  <c r="S75" i="6"/>
  <c r="U75" i="6" s="1"/>
  <c r="N75" i="6"/>
  <c r="K75" i="6"/>
  <c r="H75" i="6"/>
  <c r="M75" i="6" s="1"/>
  <c r="G75" i="6"/>
  <c r="O75" i="6" s="1"/>
  <c r="F75" i="6"/>
  <c r="E75" i="6"/>
  <c r="V74" i="6"/>
  <c r="X74" i="6" s="1"/>
  <c r="T74" i="6"/>
  <c r="Q74" i="6" s="1"/>
  <c r="S74" i="6"/>
  <c r="N74" i="6"/>
  <c r="K74" i="6"/>
  <c r="H74" i="6"/>
  <c r="G74" i="6"/>
  <c r="O74" i="6" s="1"/>
  <c r="F74" i="6"/>
  <c r="E74" i="6"/>
  <c r="V73" i="6"/>
  <c r="X73" i="6" s="1"/>
  <c r="T73" i="6"/>
  <c r="Q73" i="6" s="1"/>
  <c r="S73" i="6"/>
  <c r="N73" i="6"/>
  <c r="K73" i="6"/>
  <c r="H73" i="6"/>
  <c r="G73" i="6"/>
  <c r="O73" i="6" s="1"/>
  <c r="F73" i="6"/>
  <c r="E73" i="6"/>
  <c r="V72" i="6"/>
  <c r="X72" i="6" s="1"/>
  <c r="T72" i="6"/>
  <c r="Q72" i="6" s="1"/>
  <c r="S72" i="6"/>
  <c r="N72" i="6"/>
  <c r="K72" i="6"/>
  <c r="H72" i="6"/>
  <c r="G72" i="6"/>
  <c r="O72" i="6" s="1"/>
  <c r="F72" i="6"/>
  <c r="E72" i="6"/>
  <c r="V71" i="6"/>
  <c r="X71" i="6" s="1"/>
  <c r="T71" i="6"/>
  <c r="Q71" i="6" s="1"/>
  <c r="S71" i="6"/>
  <c r="N71" i="6"/>
  <c r="K71" i="6"/>
  <c r="H71" i="6"/>
  <c r="G71" i="6"/>
  <c r="O71" i="6" s="1"/>
  <c r="F71" i="6"/>
  <c r="E71" i="6"/>
  <c r="V70" i="6"/>
  <c r="T70" i="6"/>
  <c r="S70" i="6"/>
  <c r="N70" i="6"/>
  <c r="K70" i="6"/>
  <c r="H70" i="6"/>
  <c r="G70" i="6"/>
  <c r="O70" i="6" s="1"/>
  <c r="F70" i="6"/>
  <c r="E70" i="6"/>
  <c r="V69" i="6"/>
  <c r="X69" i="6" s="1"/>
  <c r="T69" i="6"/>
  <c r="Q69" i="6" s="1"/>
  <c r="S69" i="6"/>
  <c r="N69" i="6"/>
  <c r="K69" i="6"/>
  <c r="H69" i="6"/>
  <c r="G69" i="6"/>
  <c r="O69" i="6" s="1"/>
  <c r="F69" i="6"/>
  <c r="E69" i="6"/>
  <c r="V68" i="6"/>
  <c r="T68" i="6"/>
  <c r="Q68" i="6" s="1"/>
  <c r="S68" i="6"/>
  <c r="N68" i="6"/>
  <c r="K68" i="6"/>
  <c r="H68" i="6"/>
  <c r="G68" i="6"/>
  <c r="O68" i="6" s="1"/>
  <c r="F68" i="6"/>
  <c r="E68" i="6"/>
  <c r="V67" i="6"/>
  <c r="X67" i="6" s="1"/>
  <c r="T67" i="6"/>
  <c r="Q67" i="6" s="1"/>
  <c r="S67" i="6"/>
  <c r="N67" i="6"/>
  <c r="K67" i="6"/>
  <c r="H67" i="6"/>
  <c r="G67" i="6"/>
  <c r="O67" i="6" s="1"/>
  <c r="F67" i="6"/>
  <c r="E67" i="6"/>
  <c r="V66" i="6"/>
  <c r="T66" i="6"/>
  <c r="Q66" i="6" s="1"/>
  <c r="S66" i="6"/>
  <c r="N66" i="6"/>
  <c r="K66" i="6"/>
  <c r="H66" i="6"/>
  <c r="G66" i="6"/>
  <c r="O66" i="6" s="1"/>
  <c r="F66" i="6"/>
  <c r="E66" i="6"/>
  <c r="V65" i="6"/>
  <c r="X65" i="6" s="1"/>
  <c r="T65" i="6"/>
  <c r="Q65" i="6" s="1"/>
  <c r="S65" i="6"/>
  <c r="N65" i="6"/>
  <c r="K65" i="6"/>
  <c r="H65" i="6"/>
  <c r="G65" i="6"/>
  <c r="O65" i="6" s="1"/>
  <c r="F65" i="6"/>
  <c r="E65" i="6"/>
  <c r="V64" i="6"/>
  <c r="X64" i="6" s="1"/>
  <c r="T64" i="6"/>
  <c r="Q64" i="6" s="1"/>
  <c r="S64" i="6"/>
  <c r="N64" i="6"/>
  <c r="K64" i="6"/>
  <c r="H64" i="6"/>
  <c r="G64" i="6"/>
  <c r="O64" i="6" s="1"/>
  <c r="F64" i="6"/>
  <c r="E64" i="6"/>
  <c r="V63" i="6"/>
  <c r="T63" i="6"/>
  <c r="Q63" i="6" s="1"/>
  <c r="S63" i="6"/>
  <c r="N63" i="6"/>
  <c r="K63" i="6"/>
  <c r="H63" i="6"/>
  <c r="G63" i="6"/>
  <c r="O63" i="6" s="1"/>
  <c r="F63" i="6"/>
  <c r="E63" i="6"/>
  <c r="V62" i="6"/>
  <c r="T62" i="6"/>
  <c r="S62" i="6"/>
  <c r="N62" i="6"/>
  <c r="K62" i="6"/>
  <c r="H62" i="6"/>
  <c r="G62" i="6"/>
  <c r="O62" i="6" s="1"/>
  <c r="F62" i="6"/>
  <c r="E62" i="6"/>
  <c r="V61" i="6"/>
  <c r="X61" i="6" s="1"/>
  <c r="T61" i="6"/>
  <c r="Q61" i="6" s="1"/>
  <c r="S61" i="6"/>
  <c r="N61" i="6"/>
  <c r="K61" i="6"/>
  <c r="H61" i="6"/>
  <c r="M61" i="6" s="1"/>
  <c r="G61" i="6"/>
  <c r="O61" i="6" s="1"/>
  <c r="F61" i="6"/>
  <c r="E61" i="6"/>
  <c r="V60" i="6"/>
  <c r="T60" i="6"/>
  <c r="Q60" i="6" s="1"/>
  <c r="S60" i="6"/>
  <c r="N60" i="6"/>
  <c r="K60" i="6"/>
  <c r="H60" i="6"/>
  <c r="G60" i="6"/>
  <c r="O60" i="6" s="1"/>
  <c r="F60" i="6"/>
  <c r="E60" i="6"/>
  <c r="V59" i="6"/>
  <c r="T59" i="6"/>
  <c r="Q59" i="6" s="1"/>
  <c r="S59" i="6"/>
  <c r="N59" i="6"/>
  <c r="K59" i="6"/>
  <c r="H59" i="6"/>
  <c r="G59" i="6"/>
  <c r="O59" i="6" s="1"/>
  <c r="F59" i="6"/>
  <c r="E59" i="6"/>
  <c r="V58" i="6"/>
  <c r="X58" i="6" s="1"/>
  <c r="T58" i="6"/>
  <c r="Q58" i="6" s="1"/>
  <c r="S58" i="6"/>
  <c r="N58" i="6"/>
  <c r="K58" i="6"/>
  <c r="H58" i="6"/>
  <c r="M58" i="6" s="1"/>
  <c r="G58" i="6"/>
  <c r="O58" i="6" s="1"/>
  <c r="F58" i="6"/>
  <c r="E58" i="6"/>
  <c r="V57" i="6"/>
  <c r="X57" i="6" s="1"/>
  <c r="T57" i="6"/>
  <c r="Q57" i="6" s="1"/>
  <c r="S57" i="6"/>
  <c r="N57" i="6"/>
  <c r="K57" i="6"/>
  <c r="H57" i="6"/>
  <c r="G57" i="6"/>
  <c r="O57" i="6" s="1"/>
  <c r="F57" i="6"/>
  <c r="E57" i="6"/>
  <c r="V56" i="6"/>
  <c r="X56" i="6" s="1"/>
  <c r="T56" i="6"/>
  <c r="Q56" i="6" s="1"/>
  <c r="S56" i="6"/>
  <c r="N56" i="6"/>
  <c r="K56" i="6"/>
  <c r="H56" i="6"/>
  <c r="G56" i="6"/>
  <c r="O56" i="6" s="1"/>
  <c r="F56" i="6"/>
  <c r="E56" i="6"/>
  <c r="V55" i="6"/>
  <c r="X55" i="6" s="1"/>
  <c r="T55" i="6"/>
  <c r="Q55" i="6" s="1"/>
  <c r="S55" i="6"/>
  <c r="N55" i="6"/>
  <c r="K55" i="6"/>
  <c r="H55" i="6"/>
  <c r="G55" i="6"/>
  <c r="O55" i="6" s="1"/>
  <c r="F55" i="6"/>
  <c r="E55" i="6"/>
  <c r="W54" i="6"/>
  <c r="V53" i="6"/>
  <c r="X53" i="6" s="1"/>
  <c r="T53" i="6"/>
  <c r="Q53" i="6" s="1"/>
  <c r="S53" i="6"/>
  <c r="N53" i="6"/>
  <c r="K53" i="6"/>
  <c r="H53" i="6"/>
  <c r="G53" i="6"/>
  <c r="O53" i="6" s="1"/>
  <c r="F53" i="6"/>
  <c r="E53" i="6"/>
  <c r="V52" i="6"/>
  <c r="X52" i="6" s="1"/>
  <c r="T52" i="6"/>
  <c r="Q52" i="6" s="1"/>
  <c r="S52" i="6"/>
  <c r="N52" i="6"/>
  <c r="K52" i="6"/>
  <c r="H52" i="6"/>
  <c r="G52" i="6"/>
  <c r="O52" i="6" s="1"/>
  <c r="F52" i="6"/>
  <c r="E52" i="6"/>
  <c r="V51" i="6"/>
  <c r="T51" i="6"/>
  <c r="S51" i="6"/>
  <c r="N51" i="6"/>
  <c r="K51" i="6"/>
  <c r="H51" i="6"/>
  <c r="G51" i="6"/>
  <c r="O51" i="6" s="1"/>
  <c r="F51" i="6"/>
  <c r="E51" i="6"/>
  <c r="V50" i="6"/>
  <c r="X50" i="6" s="1"/>
  <c r="T50" i="6"/>
  <c r="Q50" i="6" s="1"/>
  <c r="S50" i="6"/>
  <c r="N50" i="6"/>
  <c r="K50" i="6"/>
  <c r="H50" i="6"/>
  <c r="G50" i="6"/>
  <c r="O50" i="6" s="1"/>
  <c r="F50" i="6"/>
  <c r="E50" i="6"/>
  <c r="V49" i="6"/>
  <c r="X49" i="6" s="1"/>
  <c r="T49" i="6"/>
  <c r="Q49" i="6" s="1"/>
  <c r="S49" i="6"/>
  <c r="N49" i="6"/>
  <c r="K49" i="6"/>
  <c r="H49" i="6"/>
  <c r="G49" i="6"/>
  <c r="O49" i="6" s="1"/>
  <c r="F49" i="6"/>
  <c r="E49" i="6"/>
  <c r="V48" i="6"/>
  <c r="X48" i="6" s="1"/>
  <c r="T48" i="6"/>
  <c r="Q48" i="6" s="1"/>
  <c r="S48" i="6"/>
  <c r="N48" i="6"/>
  <c r="K48" i="6"/>
  <c r="H48" i="6"/>
  <c r="G48" i="6"/>
  <c r="O48" i="6" s="1"/>
  <c r="F48" i="6"/>
  <c r="E48" i="6"/>
  <c r="V47" i="6"/>
  <c r="X47" i="6" s="1"/>
  <c r="T47" i="6"/>
  <c r="Q47" i="6" s="1"/>
  <c r="S47" i="6"/>
  <c r="N47" i="6"/>
  <c r="K47" i="6"/>
  <c r="H47" i="6"/>
  <c r="G47" i="6"/>
  <c r="O47" i="6" s="1"/>
  <c r="F47" i="6"/>
  <c r="E47" i="6"/>
  <c r="V46" i="6"/>
  <c r="X46" i="6" s="1"/>
  <c r="T46" i="6"/>
  <c r="Q46" i="6" s="1"/>
  <c r="S46" i="6"/>
  <c r="N46" i="6"/>
  <c r="K46" i="6"/>
  <c r="H46" i="6"/>
  <c r="G46" i="6"/>
  <c r="O46" i="6" s="1"/>
  <c r="F46" i="6"/>
  <c r="E46" i="6"/>
  <c r="V45" i="6"/>
  <c r="X45" i="6" s="1"/>
  <c r="T45" i="6"/>
  <c r="S45" i="6"/>
  <c r="N45" i="6"/>
  <c r="K45" i="6"/>
  <c r="H45" i="6"/>
  <c r="G45" i="6"/>
  <c r="O45" i="6" s="1"/>
  <c r="F45" i="6"/>
  <c r="E45" i="6"/>
  <c r="V44" i="6"/>
  <c r="T44" i="6"/>
  <c r="Q44" i="6" s="1"/>
  <c r="S44" i="6"/>
  <c r="N44" i="6"/>
  <c r="K44" i="6"/>
  <c r="H44" i="6"/>
  <c r="G44" i="6"/>
  <c r="O44" i="6" s="1"/>
  <c r="F44" i="6"/>
  <c r="E44" i="6"/>
  <c r="V43" i="6"/>
  <c r="T43" i="6"/>
  <c r="S43" i="6"/>
  <c r="N43" i="6"/>
  <c r="K43" i="6"/>
  <c r="H43" i="6"/>
  <c r="G43" i="6"/>
  <c r="O43" i="6" s="1"/>
  <c r="F43" i="6"/>
  <c r="E43" i="6"/>
  <c r="V42" i="6"/>
  <c r="X42" i="6" s="1"/>
  <c r="T42" i="6"/>
  <c r="Q42" i="6" s="1"/>
  <c r="S42" i="6"/>
  <c r="N42" i="6"/>
  <c r="K42" i="6"/>
  <c r="H42" i="6"/>
  <c r="G42" i="6"/>
  <c r="O42" i="6" s="1"/>
  <c r="F42" i="6"/>
  <c r="E42" i="6"/>
  <c r="V41" i="6"/>
  <c r="X41" i="6" s="1"/>
  <c r="T41" i="6"/>
  <c r="Q41" i="6" s="1"/>
  <c r="S41" i="6"/>
  <c r="N41" i="6"/>
  <c r="K41" i="6"/>
  <c r="H41" i="6"/>
  <c r="G41" i="6"/>
  <c r="O41" i="6" s="1"/>
  <c r="F41" i="6"/>
  <c r="E41" i="6"/>
  <c r="V40" i="6"/>
  <c r="X40" i="6" s="1"/>
  <c r="T40" i="6"/>
  <c r="Q40" i="6" s="1"/>
  <c r="S40" i="6"/>
  <c r="N40" i="6"/>
  <c r="K40" i="6"/>
  <c r="H40" i="6"/>
  <c r="G40" i="6"/>
  <c r="O40" i="6" s="1"/>
  <c r="F40" i="6"/>
  <c r="E40" i="6"/>
  <c r="V39" i="6"/>
  <c r="X39" i="6" s="1"/>
  <c r="T39" i="6"/>
  <c r="Q39" i="6" s="1"/>
  <c r="S39" i="6"/>
  <c r="N39" i="6"/>
  <c r="K39" i="6"/>
  <c r="H39" i="6"/>
  <c r="G39" i="6"/>
  <c r="O39" i="6" s="1"/>
  <c r="F39" i="6"/>
  <c r="E39" i="6"/>
  <c r="V38" i="6"/>
  <c r="X38" i="6" s="1"/>
  <c r="T38" i="6"/>
  <c r="Q38" i="6" s="1"/>
  <c r="S38" i="6"/>
  <c r="N38" i="6"/>
  <c r="K38" i="6"/>
  <c r="H38" i="6"/>
  <c r="G38" i="6"/>
  <c r="O38" i="6" s="1"/>
  <c r="F38" i="6"/>
  <c r="E38" i="6"/>
  <c r="V37" i="6"/>
  <c r="X37" i="6" s="1"/>
  <c r="T37" i="6"/>
  <c r="Q37" i="6" s="1"/>
  <c r="S37" i="6"/>
  <c r="N37" i="6"/>
  <c r="K37" i="6"/>
  <c r="H37" i="6"/>
  <c r="G37" i="6"/>
  <c r="O37" i="6" s="1"/>
  <c r="F37" i="6"/>
  <c r="E37" i="6"/>
  <c r="V36" i="6"/>
  <c r="X36" i="6" s="1"/>
  <c r="T36" i="6"/>
  <c r="Q36" i="6" s="1"/>
  <c r="S36" i="6"/>
  <c r="N36" i="6"/>
  <c r="K36" i="6"/>
  <c r="H36" i="6"/>
  <c r="G36" i="6"/>
  <c r="F36" i="6"/>
  <c r="E36" i="6"/>
  <c r="V35" i="6"/>
  <c r="X35" i="6" s="1"/>
  <c r="T35" i="6"/>
  <c r="S35" i="6"/>
  <c r="N35" i="6"/>
  <c r="K35" i="6"/>
  <c r="H35" i="6"/>
  <c r="G35" i="6"/>
  <c r="O35" i="6" s="1"/>
  <c r="F35" i="6"/>
  <c r="E35" i="6"/>
  <c r="V34" i="6"/>
  <c r="T34" i="6"/>
  <c r="S34" i="6"/>
  <c r="N34" i="6"/>
  <c r="K34" i="6"/>
  <c r="H34" i="6"/>
  <c r="G34" i="6"/>
  <c r="O34" i="6" s="1"/>
  <c r="F34" i="6"/>
  <c r="E34" i="6"/>
  <c r="W33" i="6"/>
  <c r="V32" i="6"/>
  <c r="T32" i="6"/>
  <c r="S32" i="6"/>
  <c r="N32" i="6"/>
  <c r="K32" i="6"/>
  <c r="H32" i="6"/>
  <c r="G32" i="6"/>
  <c r="O32" i="6" s="1"/>
  <c r="F32" i="6"/>
  <c r="E32" i="6"/>
  <c r="V31" i="6"/>
  <c r="X31" i="6" s="1"/>
  <c r="T31" i="6"/>
  <c r="Q31" i="6" s="1"/>
  <c r="S31" i="6"/>
  <c r="N31" i="6"/>
  <c r="K31" i="6"/>
  <c r="H31" i="6"/>
  <c r="G31" i="6"/>
  <c r="O31" i="6" s="1"/>
  <c r="F31" i="6"/>
  <c r="E31" i="6"/>
  <c r="V30" i="6"/>
  <c r="T30" i="6"/>
  <c r="Q30" i="6" s="1"/>
  <c r="S30" i="6"/>
  <c r="N30" i="6"/>
  <c r="K30" i="6"/>
  <c r="H30" i="6"/>
  <c r="G30" i="6"/>
  <c r="O30" i="6" s="1"/>
  <c r="F30" i="6"/>
  <c r="E30" i="6"/>
  <c r="V29" i="6"/>
  <c r="X29" i="6" s="1"/>
  <c r="T29" i="6"/>
  <c r="Q29" i="6" s="1"/>
  <c r="S29" i="6"/>
  <c r="N29" i="6"/>
  <c r="K29" i="6"/>
  <c r="H29" i="6"/>
  <c r="G29" i="6"/>
  <c r="O29" i="6" s="1"/>
  <c r="F29" i="6"/>
  <c r="E29" i="6"/>
  <c r="V28" i="6"/>
  <c r="X28" i="6" s="1"/>
  <c r="T28" i="6"/>
  <c r="Q28" i="6" s="1"/>
  <c r="S28" i="6"/>
  <c r="N28" i="6"/>
  <c r="K28" i="6"/>
  <c r="H28" i="6"/>
  <c r="G28" i="6"/>
  <c r="O28" i="6" s="1"/>
  <c r="F28" i="6"/>
  <c r="E28" i="6"/>
  <c r="V27" i="6"/>
  <c r="X27" i="6" s="1"/>
  <c r="T27" i="6"/>
  <c r="Q27" i="6" s="1"/>
  <c r="S27" i="6"/>
  <c r="N27" i="6"/>
  <c r="K27" i="6"/>
  <c r="H27" i="6"/>
  <c r="G27" i="6"/>
  <c r="O27" i="6" s="1"/>
  <c r="F27" i="6"/>
  <c r="E27" i="6"/>
  <c r="V26" i="6"/>
  <c r="X26" i="6" s="1"/>
  <c r="T26" i="6"/>
  <c r="Q26" i="6" s="1"/>
  <c r="S26" i="6"/>
  <c r="N26" i="6"/>
  <c r="K26" i="6"/>
  <c r="H26" i="6"/>
  <c r="G26" i="6"/>
  <c r="O26" i="6" s="1"/>
  <c r="F26" i="6"/>
  <c r="E26" i="6"/>
  <c r="V25" i="6"/>
  <c r="X25" i="6" s="1"/>
  <c r="T25" i="6"/>
  <c r="Q25" i="6" s="1"/>
  <c r="S25" i="6"/>
  <c r="N25" i="6"/>
  <c r="K25" i="6"/>
  <c r="H25" i="6"/>
  <c r="G25" i="6"/>
  <c r="O25" i="6" s="1"/>
  <c r="F25" i="6"/>
  <c r="E25" i="6"/>
  <c r="V24" i="6"/>
  <c r="T24" i="6"/>
  <c r="Q24" i="6" s="1"/>
  <c r="S24" i="6"/>
  <c r="U24" i="6" s="1"/>
  <c r="N24" i="6"/>
  <c r="K24" i="6"/>
  <c r="H24" i="6"/>
  <c r="M24" i="6" s="1"/>
  <c r="G24" i="6"/>
  <c r="O24" i="6" s="1"/>
  <c r="F24" i="6"/>
  <c r="E24" i="6"/>
  <c r="V23" i="6"/>
  <c r="X23" i="6" s="1"/>
  <c r="T23" i="6"/>
  <c r="Q23" i="6" s="1"/>
  <c r="S23" i="6"/>
  <c r="N23" i="6"/>
  <c r="K23" i="6"/>
  <c r="H23" i="6"/>
  <c r="G23" i="6"/>
  <c r="O23" i="6" s="1"/>
  <c r="F23" i="6"/>
  <c r="E23" i="6"/>
  <c r="V22" i="6"/>
  <c r="X22" i="6" s="1"/>
  <c r="T22" i="6"/>
  <c r="Q22" i="6" s="1"/>
  <c r="S22" i="6"/>
  <c r="N22" i="6"/>
  <c r="K22" i="6"/>
  <c r="H22" i="6"/>
  <c r="G22" i="6"/>
  <c r="O22" i="6" s="1"/>
  <c r="F22" i="6"/>
  <c r="E22" i="6"/>
  <c r="V21" i="6"/>
  <c r="X21" i="6" s="1"/>
  <c r="T21" i="6"/>
  <c r="Q21" i="6" s="1"/>
  <c r="S21" i="6"/>
  <c r="N21" i="6"/>
  <c r="K21" i="6"/>
  <c r="H21" i="6"/>
  <c r="G21" i="6"/>
  <c r="O21" i="6" s="1"/>
  <c r="F21" i="6"/>
  <c r="E21" i="6"/>
  <c r="V20" i="6"/>
  <c r="X20" i="6" s="1"/>
  <c r="T20" i="6"/>
  <c r="Q20" i="6" s="1"/>
  <c r="S20" i="6"/>
  <c r="N20" i="6"/>
  <c r="K20" i="6"/>
  <c r="H20" i="6"/>
  <c r="G20" i="6"/>
  <c r="O20" i="6" s="1"/>
  <c r="F20" i="6"/>
  <c r="E20" i="6"/>
  <c r="V19" i="6"/>
  <c r="X19" i="6" s="1"/>
  <c r="T19" i="6"/>
  <c r="Q19" i="6" s="1"/>
  <c r="S19" i="6"/>
  <c r="N19" i="6"/>
  <c r="K19" i="6"/>
  <c r="H19" i="6"/>
  <c r="G19" i="6"/>
  <c r="O19" i="6" s="1"/>
  <c r="F19" i="6"/>
  <c r="E19" i="6"/>
  <c r="V18" i="6"/>
  <c r="X18" i="6" s="1"/>
  <c r="T18" i="6"/>
  <c r="Q18" i="6" s="1"/>
  <c r="S18" i="6"/>
  <c r="N18" i="6"/>
  <c r="K18" i="6"/>
  <c r="H18" i="6"/>
  <c r="G18" i="6"/>
  <c r="O18" i="6" s="1"/>
  <c r="F18" i="6"/>
  <c r="E18" i="6"/>
  <c r="V17" i="6"/>
  <c r="X17" i="6" s="1"/>
  <c r="T17" i="6"/>
  <c r="Q17" i="6" s="1"/>
  <c r="S17" i="6"/>
  <c r="N17" i="6"/>
  <c r="K17" i="6"/>
  <c r="H17" i="6"/>
  <c r="G17" i="6"/>
  <c r="O17" i="6" s="1"/>
  <c r="F17" i="6"/>
  <c r="E17" i="6"/>
  <c r="V16" i="6"/>
  <c r="T16" i="6"/>
  <c r="S16" i="6"/>
  <c r="N16" i="6"/>
  <c r="K16" i="6"/>
  <c r="H16" i="6"/>
  <c r="G16" i="6"/>
  <c r="O16" i="6" s="1"/>
  <c r="F16" i="6"/>
  <c r="E16" i="6"/>
  <c r="W15" i="6"/>
  <c r="X14" i="6"/>
  <c r="U14" i="6"/>
  <c r="P14" i="6"/>
  <c r="R14" i="6" s="1"/>
  <c r="O14" i="6"/>
  <c r="M14" i="6"/>
  <c r="L14" i="6"/>
  <c r="I14" i="6"/>
  <c r="C14" i="6"/>
  <c r="J14" i="6" s="1"/>
  <c r="W13" i="6"/>
  <c r="T13" i="6"/>
  <c r="P13" i="6"/>
  <c r="R13" i="6" s="1"/>
  <c r="T12" i="6"/>
  <c r="N119" i="5"/>
  <c r="K119" i="5"/>
  <c r="H119" i="5"/>
  <c r="M119" i="5" s="1"/>
  <c r="G119" i="5"/>
  <c r="O119" i="5" s="1"/>
  <c r="F119" i="5"/>
  <c r="E119" i="5"/>
  <c r="N118" i="5"/>
  <c r="K118" i="5"/>
  <c r="H118" i="5"/>
  <c r="M118" i="5" s="1"/>
  <c r="G118" i="5"/>
  <c r="O118" i="5" s="1"/>
  <c r="F118" i="5"/>
  <c r="E118" i="5"/>
  <c r="N117" i="5"/>
  <c r="K117" i="5"/>
  <c r="H117" i="5"/>
  <c r="M117" i="5" s="1"/>
  <c r="G117" i="5"/>
  <c r="O117" i="5" s="1"/>
  <c r="F117" i="5"/>
  <c r="E117" i="5"/>
  <c r="N116" i="5"/>
  <c r="K116" i="5"/>
  <c r="H116" i="5"/>
  <c r="M116" i="5" s="1"/>
  <c r="G116" i="5"/>
  <c r="O116" i="5" s="1"/>
  <c r="F116" i="5"/>
  <c r="E116" i="5"/>
  <c r="N115" i="5"/>
  <c r="K115" i="5"/>
  <c r="H115" i="5"/>
  <c r="M115" i="5" s="1"/>
  <c r="G115" i="5"/>
  <c r="O115" i="5" s="1"/>
  <c r="F115" i="5"/>
  <c r="E115" i="5"/>
  <c r="N114" i="5"/>
  <c r="K114" i="5"/>
  <c r="H114" i="5"/>
  <c r="M114" i="5" s="1"/>
  <c r="G114" i="5"/>
  <c r="O114" i="5" s="1"/>
  <c r="F114" i="5"/>
  <c r="E114" i="5"/>
  <c r="N113" i="5"/>
  <c r="K113" i="5"/>
  <c r="H113" i="5"/>
  <c r="G113" i="5"/>
  <c r="F113" i="5"/>
  <c r="E113" i="5"/>
  <c r="N112" i="5"/>
  <c r="K112" i="5"/>
  <c r="H112" i="5"/>
  <c r="M112" i="5" s="1"/>
  <c r="G112" i="5"/>
  <c r="O112" i="5" s="1"/>
  <c r="F112" i="5"/>
  <c r="E112" i="5"/>
  <c r="N111" i="5"/>
  <c r="K111" i="5"/>
  <c r="H111" i="5"/>
  <c r="G111" i="5"/>
  <c r="O111" i="5" s="1"/>
  <c r="F111" i="5"/>
  <c r="E111" i="5"/>
  <c r="N110" i="5"/>
  <c r="K110" i="5"/>
  <c r="H110" i="5"/>
  <c r="G110" i="5"/>
  <c r="O110" i="5" s="1"/>
  <c r="F110" i="5"/>
  <c r="E110" i="5"/>
  <c r="N109" i="5"/>
  <c r="K109" i="5"/>
  <c r="H109" i="5"/>
  <c r="G109" i="5"/>
  <c r="O109" i="5" s="1"/>
  <c r="F109" i="5"/>
  <c r="E109" i="5"/>
  <c r="N108" i="5"/>
  <c r="K108" i="5"/>
  <c r="H108" i="5"/>
  <c r="M108" i="5" s="1"/>
  <c r="G108" i="5"/>
  <c r="O108" i="5" s="1"/>
  <c r="F108" i="5"/>
  <c r="E108" i="5"/>
  <c r="N107" i="5"/>
  <c r="K107" i="5"/>
  <c r="H107" i="5"/>
  <c r="G107" i="5"/>
  <c r="O107" i="5" s="1"/>
  <c r="F107" i="5"/>
  <c r="E107" i="5"/>
  <c r="BB106" i="5"/>
  <c r="BB13" i="5" s="1"/>
  <c r="BA106" i="5"/>
  <c r="BC106" i="5" s="1"/>
  <c r="AY106" i="5"/>
  <c r="AX106" i="5"/>
  <c r="AW106" i="5"/>
  <c r="AW13" i="5" s="1"/>
  <c r="AW11" i="5" s="1"/>
  <c r="AV106" i="5"/>
  <c r="AZ106" i="5" s="1"/>
  <c r="AU106" i="5"/>
  <c r="AS106" i="5"/>
  <c r="AR106" i="5"/>
  <c r="AT106" i="5" s="1"/>
  <c r="AQ106" i="5"/>
  <c r="AO106" i="5"/>
  <c r="AN106" i="5"/>
  <c r="AP106" i="5" s="1"/>
  <c r="AL106" i="5"/>
  <c r="AL13" i="5" s="1"/>
  <c r="AJ106" i="5"/>
  <c r="AI106" i="5"/>
  <c r="AI13" i="5" s="1"/>
  <c r="AK13" i="5" s="1"/>
  <c r="AH106" i="5"/>
  <c r="AF106" i="5"/>
  <c r="AE106" i="5"/>
  <c r="AG106" i="5" s="1"/>
  <c r="AC106" i="5"/>
  <c r="AB106" i="5"/>
  <c r="AD106" i="5" s="1"/>
  <c r="AA106" i="5"/>
  <c r="Y106" i="5"/>
  <c r="X106" i="5"/>
  <c r="Z106" i="5" s="1"/>
  <c r="W106" i="5"/>
  <c r="W13" i="5" s="1"/>
  <c r="R106" i="5"/>
  <c r="Q106" i="5"/>
  <c r="S106" i="5" s="1"/>
  <c r="P106" i="5"/>
  <c r="P13" i="5" s="1"/>
  <c r="BC105" i="5"/>
  <c r="AV105" i="5"/>
  <c r="AZ105" i="5" s="1"/>
  <c r="AU105" i="5"/>
  <c r="AX105" i="5" s="1"/>
  <c r="AR105" i="5"/>
  <c r="AT105" i="5" s="1"/>
  <c r="AQ105" i="5"/>
  <c r="AN105" i="5"/>
  <c r="AP105" i="5" s="1"/>
  <c r="AI105" i="5"/>
  <c r="AM105" i="5" s="1"/>
  <c r="AH105" i="5"/>
  <c r="AE105" i="5"/>
  <c r="AG105" i="5" s="1"/>
  <c r="AB105" i="5"/>
  <c r="AD105" i="5" s="1"/>
  <c r="AA105" i="5"/>
  <c r="X105" i="5"/>
  <c r="Z105" i="5" s="1"/>
  <c r="W105" i="5"/>
  <c r="Q105" i="5"/>
  <c r="S105" i="5" s="1"/>
  <c r="P105" i="5"/>
  <c r="N105" i="5"/>
  <c r="K105" i="5"/>
  <c r="H105" i="5"/>
  <c r="M105" i="5" s="1"/>
  <c r="G105" i="5"/>
  <c r="O105" i="5" s="1"/>
  <c r="F105" i="5"/>
  <c r="E105" i="5"/>
  <c r="BC104" i="5"/>
  <c r="AV104" i="5"/>
  <c r="AZ104" i="5" s="1"/>
  <c r="AU104" i="5"/>
  <c r="AX104" i="5" s="1"/>
  <c r="AR104" i="5"/>
  <c r="AT104" i="5" s="1"/>
  <c r="AQ104" i="5"/>
  <c r="AN104" i="5"/>
  <c r="AP104" i="5" s="1"/>
  <c r="AI104" i="5"/>
  <c r="AM104" i="5" s="1"/>
  <c r="AH104" i="5"/>
  <c r="AE104" i="5"/>
  <c r="AG104" i="5" s="1"/>
  <c r="AB104" i="5"/>
  <c r="AD104" i="5" s="1"/>
  <c r="AA104" i="5"/>
  <c r="X104" i="5"/>
  <c r="Z104" i="5" s="1"/>
  <c r="W104" i="5"/>
  <c r="Q104" i="5"/>
  <c r="S104" i="5" s="1"/>
  <c r="P104" i="5"/>
  <c r="N104" i="5"/>
  <c r="K104" i="5"/>
  <c r="H104" i="5"/>
  <c r="G104" i="5"/>
  <c r="O104" i="5" s="1"/>
  <c r="F104" i="5"/>
  <c r="E104" i="5"/>
  <c r="BC103" i="5"/>
  <c r="AV103" i="5"/>
  <c r="AZ103" i="5" s="1"/>
  <c r="AU103" i="5"/>
  <c r="AX103" i="5" s="1"/>
  <c r="AR103" i="5"/>
  <c r="AT103" i="5" s="1"/>
  <c r="AQ103" i="5"/>
  <c r="AN103" i="5"/>
  <c r="AP103" i="5" s="1"/>
  <c r="AI103" i="5"/>
  <c r="AH103" i="5"/>
  <c r="AE103" i="5"/>
  <c r="AG103" i="5" s="1"/>
  <c r="AB103" i="5"/>
  <c r="AD103" i="5" s="1"/>
  <c r="AA103" i="5"/>
  <c r="X103" i="5"/>
  <c r="Z103" i="5" s="1"/>
  <c r="W103" i="5"/>
  <c r="Q103" i="5"/>
  <c r="S103" i="5" s="1"/>
  <c r="P103" i="5"/>
  <c r="N103" i="5"/>
  <c r="K103" i="5"/>
  <c r="H103" i="5"/>
  <c r="M103" i="5" s="1"/>
  <c r="G103" i="5"/>
  <c r="O103" i="5" s="1"/>
  <c r="F103" i="5"/>
  <c r="E103" i="5"/>
  <c r="BC102" i="5"/>
  <c r="AV102" i="5"/>
  <c r="AZ102" i="5" s="1"/>
  <c r="AU102" i="5"/>
  <c r="AX102" i="5" s="1"/>
  <c r="AR102" i="5"/>
  <c r="AT102" i="5" s="1"/>
  <c r="AQ102" i="5"/>
  <c r="AN102" i="5"/>
  <c r="AP102" i="5" s="1"/>
  <c r="AI102" i="5"/>
  <c r="AM102" i="5" s="1"/>
  <c r="AH102" i="5"/>
  <c r="AE102" i="5"/>
  <c r="AG102" i="5" s="1"/>
  <c r="AB102" i="5"/>
  <c r="AD102" i="5" s="1"/>
  <c r="AA102" i="5"/>
  <c r="X102" i="5"/>
  <c r="Z102" i="5" s="1"/>
  <c r="W102" i="5"/>
  <c r="Q102" i="5"/>
  <c r="S102" i="5" s="1"/>
  <c r="P102" i="5"/>
  <c r="N102" i="5"/>
  <c r="K102" i="5"/>
  <c r="H102" i="5"/>
  <c r="M102" i="5" s="1"/>
  <c r="G102" i="5"/>
  <c r="O102" i="5" s="1"/>
  <c r="F102" i="5"/>
  <c r="E102" i="5"/>
  <c r="BC101" i="5"/>
  <c r="AV101" i="5"/>
  <c r="AZ101" i="5" s="1"/>
  <c r="AU101" i="5"/>
  <c r="AX101" i="5" s="1"/>
  <c r="AR101" i="5"/>
  <c r="AT101" i="5" s="1"/>
  <c r="AQ101" i="5"/>
  <c r="AN101" i="5"/>
  <c r="AP101" i="5" s="1"/>
  <c r="AI101" i="5"/>
  <c r="AM101" i="5" s="1"/>
  <c r="AH101" i="5"/>
  <c r="AE101" i="5"/>
  <c r="AG101" i="5" s="1"/>
  <c r="AB101" i="5"/>
  <c r="AD101" i="5" s="1"/>
  <c r="AA101" i="5"/>
  <c r="X101" i="5"/>
  <c r="Z101" i="5" s="1"/>
  <c r="W101" i="5"/>
  <c r="Q101" i="5"/>
  <c r="S101" i="5" s="1"/>
  <c r="P101" i="5"/>
  <c r="N101" i="5"/>
  <c r="K101" i="5"/>
  <c r="H101" i="5"/>
  <c r="M101" i="5" s="1"/>
  <c r="G101" i="5"/>
  <c r="O101" i="5" s="1"/>
  <c r="F101" i="5"/>
  <c r="E101" i="5"/>
  <c r="BC100" i="5"/>
  <c r="AV100" i="5"/>
  <c r="AZ100" i="5" s="1"/>
  <c r="AU100" i="5"/>
  <c r="AX100" i="5" s="1"/>
  <c r="AR100" i="5"/>
  <c r="AT100" i="5" s="1"/>
  <c r="AQ100" i="5"/>
  <c r="AN100" i="5"/>
  <c r="AP100" i="5" s="1"/>
  <c r="AI100" i="5"/>
  <c r="AM100" i="5" s="1"/>
  <c r="AH100" i="5"/>
  <c r="AE100" i="5"/>
  <c r="AG100" i="5" s="1"/>
  <c r="AB100" i="5"/>
  <c r="AD100" i="5" s="1"/>
  <c r="AA100" i="5"/>
  <c r="X100" i="5"/>
  <c r="Z100" i="5" s="1"/>
  <c r="W100" i="5"/>
  <c r="Q100" i="5"/>
  <c r="P100" i="5"/>
  <c r="N100" i="5"/>
  <c r="K100" i="5"/>
  <c r="H100" i="5"/>
  <c r="M100" i="5" s="1"/>
  <c r="G100" i="5"/>
  <c r="O100" i="5" s="1"/>
  <c r="F100" i="5"/>
  <c r="E100" i="5"/>
  <c r="BC99" i="5"/>
  <c r="AV99" i="5"/>
  <c r="AZ99" i="5" s="1"/>
  <c r="AU99" i="5"/>
  <c r="AX99" i="5" s="1"/>
  <c r="AR99" i="5"/>
  <c r="AT99" i="5" s="1"/>
  <c r="AQ99" i="5"/>
  <c r="AN99" i="5"/>
  <c r="AP99" i="5" s="1"/>
  <c r="AI99" i="5"/>
  <c r="AM99" i="5" s="1"/>
  <c r="AH99" i="5"/>
  <c r="AE99" i="5"/>
  <c r="AG99" i="5" s="1"/>
  <c r="AB99" i="5"/>
  <c r="AD99" i="5" s="1"/>
  <c r="AA99" i="5"/>
  <c r="X99" i="5"/>
  <c r="Z99" i="5" s="1"/>
  <c r="W99" i="5"/>
  <c r="Q99" i="5"/>
  <c r="S99" i="5" s="1"/>
  <c r="P99" i="5"/>
  <c r="N99" i="5"/>
  <c r="K99" i="5"/>
  <c r="H99" i="5"/>
  <c r="M99" i="5" s="1"/>
  <c r="G99" i="5"/>
  <c r="O99" i="5" s="1"/>
  <c r="F99" i="5"/>
  <c r="E99" i="5"/>
  <c r="BC98" i="5"/>
  <c r="AV98" i="5"/>
  <c r="AZ98" i="5" s="1"/>
  <c r="AU98" i="5"/>
  <c r="AX98" i="5" s="1"/>
  <c r="AR98" i="5"/>
  <c r="AT98" i="5" s="1"/>
  <c r="AQ98" i="5"/>
  <c r="AN98" i="5"/>
  <c r="AP98" i="5" s="1"/>
  <c r="AI98" i="5"/>
  <c r="AK98" i="5" s="1"/>
  <c r="AH98" i="5"/>
  <c r="AE98" i="5"/>
  <c r="AG98" i="5" s="1"/>
  <c r="AB98" i="5"/>
  <c r="AD98" i="5" s="1"/>
  <c r="AA98" i="5"/>
  <c r="X98" i="5"/>
  <c r="Z98" i="5" s="1"/>
  <c r="W98" i="5"/>
  <c r="Q98" i="5"/>
  <c r="S98" i="5" s="1"/>
  <c r="P98" i="5"/>
  <c r="N98" i="5"/>
  <c r="K98" i="5"/>
  <c r="H98" i="5"/>
  <c r="M98" i="5" s="1"/>
  <c r="G98" i="5"/>
  <c r="O98" i="5" s="1"/>
  <c r="F98" i="5"/>
  <c r="E98" i="5"/>
  <c r="BC97" i="5"/>
  <c r="AV97" i="5"/>
  <c r="AZ97" i="5" s="1"/>
  <c r="AU97" i="5"/>
  <c r="AX97" i="5" s="1"/>
  <c r="AR97" i="5"/>
  <c r="AT97" i="5" s="1"/>
  <c r="AQ97" i="5"/>
  <c r="AN97" i="5"/>
  <c r="AP97" i="5" s="1"/>
  <c r="AI97" i="5"/>
  <c r="AM97" i="5" s="1"/>
  <c r="AH97" i="5"/>
  <c r="AE97" i="5"/>
  <c r="AG97" i="5" s="1"/>
  <c r="AB97" i="5"/>
  <c r="AD97" i="5" s="1"/>
  <c r="AA97" i="5"/>
  <c r="X97" i="5"/>
  <c r="Z97" i="5" s="1"/>
  <c r="W97" i="5"/>
  <c r="Q97" i="5"/>
  <c r="S97" i="5" s="1"/>
  <c r="P97" i="5"/>
  <c r="N97" i="5"/>
  <c r="K97" i="5"/>
  <c r="H97" i="5"/>
  <c r="M97" i="5" s="1"/>
  <c r="G97" i="5"/>
  <c r="O97" i="5" s="1"/>
  <c r="F97" i="5"/>
  <c r="E97" i="5"/>
  <c r="BC96" i="5"/>
  <c r="AV96" i="5"/>
  <c r="AZ96" i="5" s="1"/>
  <c r="AU96" i="5"/>
  <c r="AX96" i="5" s="1"/>
  <c r="AR96" i="5"/>
  <c r="AT96" i="5" s="1"/>
  <c r="AQ96" i="5"/>
  <c r="AN96" i="5"/>
  <c r="AP96" i="5" s="1"/>
  <c r="AI96" i="5"/>
  <c r="AM96" i="5" s="1"/>
  <c r="AH96" i="5"/>
  <c r="AE96" i="5"/>
  <c r="AG96" i="5" s="1"/>
  <c r="AB96" i="5"/>
  <c r="AD96" i="5" s="1"/>
  <c r="AA96" i="5"/>
  <c r="X96" i="5"/>
  <c r="Z96" i="5" s="1"/>
  <c r="W96" i="5"/>
  <c r="Q96" i="5"/>
  <c r="S96" i="5" s="1"/>
  <c r="P96" i="5"/>
  <c r="N96" i="5"/>
  <c r="K96" i="5"/>
  <c r="H96" i="5"/>
  <c r="M96" i="5" s="1"/>
  <c r="G96" i="5"/>
  <c r="O96" i="5" s="1"/>
  <c r="F96" i="5"/>
  <c r="E96" i="5"/>
  <c r="BC95" i="5"/>
  <c r="AV95" i="5"/>
  <c r="AZ95" i="5" s="1"/>
  <c r="AU95" i="5"/>
  <c r="AX95" i="5" s="1"/>
  <c r="AR95" i="5"/>
  <c r="AT95" i="5" s="1"/>
  <c r="AQ95" i="5"/>
  <c r="AN95" i="5"/>
  <c r="AP95" i="5" s="1"/>
  <c r="AI95" i="5"/>
  <c r="AH95" i="5"/>
  <c r="AE95" i="5"/>
  <c r="AG95" i="5" s="1"/>
  <c r="AB95" i="5"/>
  <c r="AD95" i="5" s="1"/>
  <c r="AA95" i="5"/>
  <c r="X95" i="5"/>
  <c r="Z95" i="5" s="1"/>
  <c r="W95" i="5"/>
  <c r="Q95" i="5"/>
  <c r="S95" i="5" s="1"/>
  <c r="P95" i="5"/>
  <c r="N95" i="5"/>
  <c r="K95" i="5"/>
  <c r="H95" i="5"/>
  <c r="G95" i="5"/>
  <c r="O95" i="5" s="1"/>
  <c r="F95" i="5"/>
  <c r="E95" i="5"/>
  <c r="A95" i="5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BC94" i="5"/>
  <c r="AV94" i="5"/>
  <c r="AZ94" i="5" s="1"/>
  <c r="AU94" i="5"/>
  <c r="AX94" i="5" s="1"/>
  <c r="AR94" i="5"/>
  <c r="AT94" i="5" s="1"/>
  <c r="AQ94" i="5"/>
  <c r="AN94" i="5"/>
  <c r="AP94" i="5" s="1"/>
  <c r="AI94" i="5"/>
  <c r="AM94" i="5" s="1"/>
  <c r="AH94" i="5"/>
  <c r="AE94" i="5"/>
  <c r="AG94" i="5" s="1"/>
  <c r="AB94" i="5"/>
  <c r="AD94" i="5" s="1"/>
  <c r="AA94" i="5"/>
  <c r="X94" i="5"/>
  <c r="Z94" i="5" s="1"/>
  <c r="W94" i="5"/>
  <c r="Q94" i="5"/>
  <c r="S94" i="5" s="1"/>
  <c r="P94" i="5"/>
  <c r="N94" i="5"/>
  <c r="K94" i="5"/>
  <c r="H94" i="5"/>
  <c r="G94" i="5"/>
  <c r="O94" i="5" s="1"/>
  <c r="F94" i="5"/>
  <c r="E94" i="5"/>
  <c r="BC93" i="5"/>
  <c r="AV93" i="5"/>
  <c r="AZ93" i="5" s="1"/>
  <c r="AU93" i="5"/>
  <c r="AX93" i="5" s="1"/>
  <c r="AR93" i="5"/>
  <c r="AT93" i="5" s="1"/>
  <c r="AQ93" i="5"/>
  <c r="AN93" i="5"/>
  <c r="AP93" i="5" s="1"/>
  <c r="AI93" i="5"/>
  <c r="AM93" i="5" s="1"/>
  <c r="AH93" i="5"/>
  <c r="AE93" i="5"/>
  <c r="AG93" i="5" s="1"/>
  <c r="AB93" i="5"/>
  <c r="AD93" i="5" s="1"/>
  <c r="AA93" i="5"/>
  <c r="X93" i="5"/>
  <c r="Z93" i="5" s="1"/>
  <c r="W93" i="5"/>
  <c r="Q93" i="5"/>
  <c r="S93" i="5" s="1"/>
  <c r="P93" i="5"/>
  <c r="N93" i="5"/>
  <c r="K93" i="5"/>
  <c r="H93" i="5"/>
  <c r="M93" i="5" s="1"/>
  <c r="G93" i="5"/>
  <c r="O93" i="5" s="1"/>
  <c r="F93" i="5"/>
  <c r="E93" i="5"/>
  <c r="BC92" i="5"/>
  <c r="AV92" i="5"/>
  <c r="AZ92" i="5" s="1"/>
  <c r="AU92" i="5"/>
  <c r="AX92" i="5" s="1"/>
  <c r="AR92" i="5"/>
  <c r="AT92" i="5" s="1"/>
  <c r="AQ92" i="5"/>
  <c r="AN92" i="5"/>
  <c r="AI92" i="5"/>
  <c r="AK92" i="5" s="1"/>
  <c r="AH92" i="5"/>
  <c r="AE92" i="5"/>
  <c r="AG92" i="5" s="1"/>
  <c r="AB92" i="5"/>
  <c r="AA92" i="5"/>
  <c r="X92" i="5"/>
  <c r="W92" i="5"/>
  <c r="Q92" i="5"/>
  <c r="S92" i="5" s="1"/>
  <c r="P92" i="5"/>
  <c r="N92" i="5"/>
  <c r="K92" i="5"/>
  <c r="H92" i="5"/>
  <c r="M92" i="5" s="1"/>
  <c r="G92" i="5"/>
  <c r="O92" i="5" s="1"/>
  <c r="F92" i="5"/>
  <c r="E92" i="5"/>
  <c r="BB91" i="5"/>
  <c r="BA91" i="5"/>
  <c r="BC91" i="5" s="1"/>
  <c r="AY91" i="5"/>
  <c r="AW91" i="5"/>
  <c r="AS91" i="5"/>
  <c r="AS12" i="5" s="1"/>
  <c r="AS11" i="5" s="1"/>
  <c r="AO91" i="5"/>
  <c r="AO12" i="5" s="1"/>
  <c r="AL91" i="5"/>
  <c r="AL12" i="5" s="1"/>
  <c r="AJ91" i="5"/>
  <c r="AF91" i="5"/>
  <c r="AC91" i="5"/>
  <c r="Y91" i="5"/>
  <c r="R91" i="5"/>
  <c r="R12" i="5" s="1"/>
  <c r="AY90" i="5"/>
  <c r="AW90" i="5"/>
  <c r="AV90" i="5"/>
  <c r="AZ90" i="5" s="1"/>
  <c r="AU90" i="5"/>
  <c r="AX90" i="5" s="1"/>
  <c r="AS90" i="5"/>
  <c r="AR90" i="5"/>
  <c r="AT90" i="5" s="1"/>
  <c r="AQ90" i="5"/>
  <c r="AO90" i="5"/>
  <c r="AN90" i="5"/>
  <c r="AL90" i="5"/>
  <c r="AJ90" i="5"/>
  <c r="AI90" i="5"/>
  <c r="AH90" i="5"/>
  <c r="AF90" i="5"/>
  <c r="AE90" i="5"/>
  <c r="AG90" i="5" s="1"/>
  <c r="AC90" i="5"/>
  <c r="AB90" i="5"/>
  <c r="AD90" i="5" s="1"/>
  <c r="AA90" i="5"/>
  <c r="Y90" i="5"/>
  <c r="X90" i="5"/>
  <c r="W90" i="5"/>
  <c r="V90" i="5"/>
  <c r="U90" i="5"/>
  <c r="R90" i="5"/>
  <c r="Q90" i="5"/>
  <c r="P90" i="5"/>
  <c r="N90" i="5"/>
  <c r="K90" i="5"/>
  <c r="H90" i="5"/>
  <c r="G90" i="5"/>
  <c r="O90" i="5" s="1"/>
  <c r="F90" i="5"/>
  <c r="E90" i="5"/>
  <c r="AY89" i="5"/>
  <c r="AW89" i="5"/>
  <c r="AV89" i="5"/>
  <c r="AZ89" i="5" s="1"/>
  <c r="AU89" i="5"/>
  <c r="AX89" i="5" s="1"/>
  <c r="AS89" i="5"/>
  <c r="AR89" i="5"/>
  <c r="AT89" i="5" s="1"/>
  <c r="AQ89" i="5"/>
  <c r="AO89" i="5"/>
  <c r="AN89" i="5"/>
  <c r="AL89" i="5"/>
  <c r="AJ89" i="5"/>
  <c r="AI89" i="5"/>
  <c r="AH89" i="5"/>
  <c r="AF89" i="5"/>
  <c r="AE89" i="5"/>
  <c r="AG89" i="5" s="1"/>
  <c r="AC89" i="5"/>
  <c r="AB89" i="5"/>
  <c r="AD89" i="5" s="1"/>
  <c r="AA89" i="5"/>
  <c r="Y89" i="5"/>
  <c r="X89" i="5"/>
  <c r="W89" i="5"/>
  <c r="V89" i="5"/>
  <c r="U89" i="5"/>
  <c r="R89" i="5"/>
  <c r="Q89" i="5"/>
  <c r="P89" i="5"/>
  <c r="N89" i="5"/>
  <c r="K89" i="5"/>
  <c r="H89" i="5"/>
  <c r="G89" i="5"/>
  <c r="O89" i="5" s="1"/>
  <c r="F89" i="5"/>
  <c r="E89" i="5"/>
  <c r="AY88" i="5"/>
  <c r="AW88" i="5"/>
  <c r="AV88" i="5"/>
  <c r="AZ88" i="5" s="1"/>
  <c r="AU88" i="5"/>
  <c r="AX88" i="5" s="1"/>
  <c r="AS88" i="5"/>
  <c r="AR88" i="5"/>
  <c r="AT88" i="5" s="1"/>
  <c r="AQ88" i="5"/>
  <c r="AO88" i="5"/>
  <c r="AN88" i="5"/>
  <c r="AP88" i="5" s="1"/>
  <c r="AL88" i="5"/>
  <c r="AJ88" i="5"/>
  <c r="AI88" i="5"/>
  <c r="AH88" i="5"/>
  <c r="AF88" i="5"/>
  <c r="AE88" i="5"/>
  <c r="AC88" i="5"/>
  <c r="AB88" i="5"/>
  <c r="AA88" i="5"/>
  <c r="Y88" i="5"/>
  <c r="X88" i="5"/>
  <c r="W88" i="5"/>
  <c r="V88" i="5"/>
  <c r="U88" i="5"/>
  <c r="R88" i="5"/>
  <c r="Q88" i="5"/>
  <c r="P88" i="5"/>
  <c r="N88" i="5"/>
  <c r="K88" i="5"/>
  <c r="H88" i="5"/>
  <c r="G88" i="5"/>
  <c r="O88" i="5" s="1"/>
  <c r="F88" i="5"/>
  <c r="E88" i="5"/>
  <c r="AY87" i="5"/>
  <c r="AW87" i="5"/>
  <c r="AV87" i="5"/>
  <c r="AZ87" i="5" s="1"/>
  <c r="AU87" i="5"/>
  <c r="AX87" i="5" s="1"/>
  <c r="AS87" i="5"/>
  <c r="AR87" i="5"/>
  <c r="AT87" i="5" s="1"/>
  <c r="AQ87" i="5"/>
  <c r="AO87" i="5"/>
  <c r="AN87" i="5"/>
  <c r="AP87" i="5" s="1"/>
  <c r="AL87" i="5"/>
  <c r="AJ87" i="5"/>
  <c r="AI87" i="5"/>
  <c r="AH87" i="5"/>
  <c r="AF87" i="5"/>
  <c r="AE87" i="5"/>
  <c r="AG87" i="5" s="1"/>
  <c r="AC87" i="5"/>
  <c r="AB87" i="5"/>
  <c r="AD87" i="5" s="1"/>
  <c r="AA87" i="5"/>
  <c r="Y87" i="5"/>
  <c r="X87" i="5"/>
  <c r="W87" i="5"/>
  <c r="V87" i="5"/>
  <c r="U87" i="5"/>
  <c r="R87" i="5"/>
  <c r="Q87" i="5"/>
  <c r="P87" i="5"/>
  <c r="N87" i="5"/>
  <c r="K87" i="5"/>
  <c r="H87" i="5"/>
  <c r="G87" i="5"/>
  <c r="O87" i="5" s="1"/>
  <c r="F87" i="5"/>
  <c r="E87" i="5"/>
  <c r="AY86" i="5"/>
  <c r="AW86" i="5"/>
  <c r="AV86" i="5"/>
  <c r="AZ86" i="5" s="1"/>
  <c r="AU86" i="5"/>
  <c r="AX86" i="5" s="1"/>
  <c r="AS86" i="5"/>
  <c r="AR86" i="5"/>
  <c r="AT86" i="5" s="1"/>
  <c r="AQ86" i="5"/>
  <c r="AO86" i="5"/>
  <c r="AN86" i="5"/>
  <c r="AL86" i="5"/>
  <c r="AJ86" i="5"/>
  <c r="AI86" i="5"/>
  <c r="AH86" i="5"/>
  <c r="AF86" i="5"/>
  <c r="AE86" i="5"/>
  <c r="AG86" i="5" s="1"/>
  <c r="AC86" i="5"/>
  <c r="AB86" i="5"/>
  <c r="AD86" i="5" s="1"/>
  <c r="AA86" i="5"/>
  <c r="Y86" i="5"/>
  <c r="X86" i="5"/>
  <c r="W86" i="5"/>
  <c r="V86" i="5"/>
  <c r="U86" i="5"/>
  <c r="R86" i="5"/>
  <c r="Q86" i="5"/>
  <c r="P86" i="5"/>
  <c r="N86" i="5"/>
  <c r="K86" i="5"/>
  <c r="H86" i="5"/>
  <c r="G86" i="5"/>
  <c r="O86" i="5" s="1"/>
  <c r="F86" i="5"/>
  <c r="E86" i="5"/>
  <c r="AY85" i="5"/>
  <c r="AW85" i="5"/>
  <c r="AV85" i="5"/>
  <c r="AZ85" i="5" s="1"/>
  <c r="AU85" i="5"/>
  <c r="AX85" i="5" s="1"/>
  <c r="AS85" i="5"/>
  <c r="AR85" i="5"/>
  <c r="AT85" i="5" s="1"/>
  <c r="AQ85" i="5"/>
  <c r="AO85" i="5"/>
  <c r="AN85" i="5"/>
  <c r="AL85" i="5"/>
  <c r="AJ85" i="5"/>
  <c r="AI85" i="5"/>
  <c r="AK85" i="5" s="1"/>
  <c r="AH85" i="5"/>
  <c r="AF85" i="5"/>
  <c r="AE85" i="5"/>
  <c r="AG85" i="5" s="1"/>
  <c r="AC85" i="5"/>
  <c r="AB85" i="5"/>
  <c r="AD85" i="5" s="1"/>
  <c r="AA85" i="5"/>
  <c r="Y85" i="5"/>
  <c r="X85" i="5"/>
  <c r="W85" i="5"/>
  <c r="V85" i="5"/>
  <c r="U85" i="5"/>
  <c r="R85" i="5"/>
  <c r="Q85" i="5"/>
  <c r="P85" i="5"/>
  <c r="N85" i="5"/>
  <c r="K85" i="5"/>
  <c r="H85" i="5"/>
  <c r="G85" i="5"/>
  <c r="O85" i="5" s="1"/>
  <c r="F85" i="5"/>
  <c r="E85" i="5"/>
  <c r="AY84" i="5"/>
  <c r="AW84" i="5"/>
  <c r="AV84" i="5"/>
  <c r="AZ84" i="5" s="1"/>
  <c r="AU84" i="5"/>
  <c r="AX84" i="5" s="1"/>
  <c r="AS84" i="5"/>
  <c r="AR84" i="5"/>
  <c r="AT84" i="5" s="1"/>
  <c r="AQ84" i="5"/>
  <c r="AO84" i="5"/>
  <c r="AN84" i="5"/>
  <c r="AL84" i="5"/>
  <c r="AJ84" i="5"/>
  <c r="AI84" i="5"/>
  <c r="AH84" i="5"/>
  <c r="AF84" i="5"/>
  <c r="AE84" i="5"/>
  <c r="AG84" i="5" s="1"/>
  <c r="AC84" i="5"/>
  <c r="AB84" i="5"/>
  <c r="AD84" i="5" s="1"/>
  <c r="AA84" i="5"/>
  <c r="Y84" i="5"/>
  <c r="X84" i="5"/>
  <c r="W84" i="5"/>
  <c r="V84" i="5"/>
  <c r="U84" i="5"/>
  <c r="R84" i="5"/>
  <c r="Q84" i="5"/>
  <c r="P84" i="5"/>
  <c r="N84" i="5"/>
  <c r="K84" i="5"/>
  <c r="H84" i="5"/>
  <c r="G84" i="5"/>
  <c r="O84" i="5" s="1"/>
  <c r="F84" i="5"/>
  <c r="E84" i="5"/>
  <c r="AY83" i="5"/>
  <c r="AW83" i="5"/>
  <c r="AV83" i="5"/>
  <c r="AZ83" i="5" s="1"/>
  <c r="AU83" i="5"/>
  <c r="AX83" i="5" s="1"/>
  <c r="AS83" i="5"/>
  <c r="AR83" i="5"/>
  <c r="AT83" i="5" s="1"/>
  <c r="AQ83" i="5"/>
  <c r="AO83" i="5"/>
  <c r="AN83" i="5"/>
  <c r="AL83" i="5"/>
  <c r="AJ83" i="5"/>
  <c r="AI83" i="5"/>
  <c r="AH83" i="5"/>
  <c r="AF83" i="5"/>
  <c r="AE83" i="5"/>
  <c r="AG83" i="5" s="1"/>
  <c r="AC83" i="5"/>
  <c r="AB83" i="5"/>
  <c r="AD83" i="5" s="1"/>
  <c r="AA83" i="5"/>
  <c r="Y83" i="5"/>
  <c r="X83" i="5"/>
  <c r="W83" i="5"/>
  <c r="V83" i="5"/>
  <c r="U83" i="5"/>
  <c r="R83" i="5"/>
  <c r="Q83" i="5"/>
  <c r="P83" i="5"/>
  <c r="N83" i="5"/>
  <c r="K83" i="5"/>
  <c r="H83" i="5"/>
  <c r="G83" i="5"/>
  <c r="O83" i="5" s="1"/>
  <c r="F83" i="5"/>
  <c r="E83" i="5"/>
  <c r="AY82" i="5"/>
  <c r="AW82" i="5"/>
  <c r="AV82" i="5"/>
  <c r="AZ82" i="5" s="1"/>
  <c r="AU82" i="5"/>
  <c r="AX82" i="5" s="1"/>
  <c r="AS82" i="5"/>
  <c r="AR82" i="5"/>
  <c r="AT82" i="5" s="1"/>
  <c r="AQ82" i="5"/>
  <c r="AO82" i="5"/>
  <c r="AN82" i="5"/>
  <c r="AL82" i="5"/>
  <c r="AJ82" i="5"/>
  <c r="AI82" i="5"/>
  <c r="AH82" i="5"/>
  <c r="AF82" i="5"/>
  <c r="AE82" i="5"/>
  <c r="AG82" i="5" s="1"/>
  <c r="AC82" i="5"/>
  <c r="AB82" i="5"/>
  <c r="AD82" i="5" s="1"/>
  <c r="AA82" i="5"/>
  <c r="Y82" i="5"/>
  <c r="X82" i="5"/>
  <c r="W82" i="5"/>
  <c r="V82" i="5"/>
  <c r="U82" i="5"/>
  <c r="R82" i="5"/>
  <c r="Q82" i="5"/>
  <c r="P82" i="5"/>
  <c r="N82" i="5"/>
  <c r="K82" i="5"/>
  <c r="H82" i="5"/>
  <c r="G82" i="5"/>
  <c r="O82" i="5" s="1"/>
  <c r="F82" i="5"/>
  <c r="E82" i="5"/>
  <c r="AY81" i="5"/>
  <c r="AW81" i="5"/>
  <c r="AV81" i="5"/>
  <c r="AZ81" i="5" s="1"/>
  <c r="AU81" i="5"/>
  <c r="AX81" i="5" s="1"/>
  <c r="AS81" i="5"/>
  <c r="AR81" i="5"/>
  <c r="AT81" i="5" s="1"/>
  <c r="AQ81" i="5"/>
  <c r="AO81" i="5"/>
  <c r="AN81" i="5"/>
  <c r="AL81" i="5"/>
  <c r="AJ81" i="5"/>
  <c r="AI81" i="5"/>
  <c r="AH81" i="5"/>
  <c r="AF81" i="5"/>
  <c r="AE81" i="5"/>
  <c r="AG81" i="5" s="1"/>
  <c r="AC81" i="5"/>
  <c r="AB81" i="5"/>
  <c r="AD81" i="5" s="1"/>
  <c r="AA81" i="5"/>
  <c r="Y81" i="5"/>
  <c r="X81" i="5"/>
  <c r="W81" i="5"/>
  <c r="V81" i="5"/>
  <c r="U81" i="5"/>
  <c r="R81" i="5"/>
  <c r="Q81" i="5"/>
  <c r="P81" i="5"/>
  <c r="N81" i="5"/>
  <c r="K81" i="5"/>
  <c r="H81" i="5"/>
  <c r="G81" i="5"/>
  <c r="O81" i="5" s="1"/>
  <c r="F81" i="5"/>
  <c r="E81" i="5"/>
  <c r="AY80" i="5"/>
  <c r="AW80" i="5"/>
  <c r="AV80" i="5"/>
  <c r="AU80" i="5"/>
  <c r="AX80" i="5" s="1"/>
  <c r="AS80" i="5"/>
  <c r="AR80" i="5"/>
  <c r="AQ80" i="5"/>
  <c r="AO80" i="5"/>
  <c r="AN80" i="5"/>
  <c r="AP80" i="5" s="1"/>
  <c r="AL80" i="5"/>
  <c r="AJ80" i="5"/>
  <c r="AI80" i="5"/>
  <c r="AH80" i="5"/>
  <c r="AF80" i="5"/>
  <c r="AE80" i="5"/>
  <c r="AC80" i="5"/>
  <c r="AB80" i="5"/>
  <c r="AA80" i="5"/>
  <c r="Y80" i="5"/>
  <c r="X80" i="5"/>
  <c r="W80" i="5"/>
  <c r="V80" i="5"/>
  <c r="U80" i="5"/>
  <c r="R80" i="5"/>
  <c r="Q80" i="5"/>
  <c r="P80" i="5"/>
  <c r="N80" i="5"/>
  <c r="K80" i="5"/>
  <c r="H80" i="5"/>
  <c r="G80" i="5"/>
  <c r="O80" i="5" s="1"/>
  <c r="F80" i="5"/>
  <c r="E80" i="5"/>
  <c r="AY79" i="5"/>
  <c r="AW79" i="5"/>
  <c r="AV79" i="5"/>
  <c r="AZ79" i="5" s="1"/>
  <c r="AU79" i="5"/>
  <c r="AX79" i="5" s="1"/>
  <c r="AS79" i="5"/>
  <c r="AR79" i="5"/>
  <c r="AQ79" i="5"/>
  <c r="AO79" i="5"/>
  <c r="AN79" i="5"/>
  <c r="AL79" i="5"/>
  <c r="AJ79" i="5"/>
  <c r="AI79" i="5"/>
  <c r="AH79" i="5"/>
  <c r="AF79" i="5"/>
  <c r="AE79" i="5"/>
  <c r="AG79" i="5" s="1"/>
  <c r="AC79" i="5"/>
  <c r="AB79" i="5"/>
  <c r="AA79" i="5"/>
  <c r="Y79" i="5"/>
  <c r="X79" i="5"/>
  <c r="W79" i="5"/>
  <c r="V79" i="5"/>
  <c r="U79" i="5"/>
  <c r="R79" i="5"/>
  <c r="Q79" i="5"/>
  <c r="P79" i="5"/>
  <c r="N79" i="5"/>
  <c r="K79" i="5"/>
  <c r="H79" i="5"/>
  <c r="G79" i="5"/>
  <c r="O79" i="5" s="1"/>
  <c r="F79" i="5"/>
  <c r="E79" i="5"/>
  <c r="AY78" i="5"/>
  <c r="AW78" i="5"/>
  <c r="AV78" i="5"/>
  <c r="AU78" i="5"/>
  <c r="AX78" i="5" s="1"/>
  <c r="AS78" i="5"/>
  <c r="AR78" i="5"/>
  <c r="AT78" i="5" s="1"/>
  <c r="AQ78" i="5"/>
  <c r="AO78" i="5"/>
  <c r="AN78" i="5"/>
  <c r="AL78" i="5"/>
  <c r="AJ78" i="5"/>
  <c r="AI78" i="5"/>
  <c r="AH78" i="5"/>
  <c r="AF78" i="5"/>
  <c r="AE78" i="5"/>
  <c r="AC78" i="5"/>
  <c r="AB78" i="5"/>
  <c r="AA78" i="5"/>
  <c r="Y78" i="5"/>
  <c r="X78" i="5"/>
  <c r="W78" i="5"/>
  <c r="V78" i="5"/>
  <c r="U78" i="5"/>
  <c r="R78" i="5"/>
  <c r="Q78" i="5"/>
  <c r="P78" i="5"/>
  <c r="N78" i="5"/>
  <c r="K78" i="5"/>
  <c r="H78" i="5"/>
  <c r="G78" i="5"/>
  <c r="O78" i="5" s="1"/>
  <c r="F78" i="5"/>
  <c r="E78" i="5"/>
  <c r="AY77" i="5"/>
  <c r="AW77" i="5"/>
  <c r="AV77" i="5"/>
  <c r="AZ77" i="5" s="1"/>
  <c r="AU77" i="5"/>
  <c r="AS77" i="5"/>
  <c r="AR77" i="5"/>
  <c r="AT77" i="5" s="1"/>
  <c r="AQ77" i="5"/>
  <c r="AO77" i="5"/>
  <c r="AN77" i="5"/>
  <c r="AL77" i="5"/>
  <c r="AJ77" i="5"/>
  <c r="AI77" i="5"/>
  <c r="AH77" i="5"/>
  <c r="AF77" i="5"/>
  <c r="AE77" i="5"/>
  <c r="AG77" i="5" s="1"/>
  <c r="AC77" i="5"/>
  <c r="AB77" i="5"/>
  <c r="AD77" i="5" s="1"/>
  <c r="AA77" i="5"/>
  <c r="Y77" i="5"/>
  <c r="X77" i="5"/>
  <c r="W77" i="5"/>
  <c r="V77" i="5"/>
  <c r="U77" i="5"/>
  <c r="R77" i="5"/>
  <c r="Q77" i="5"/>
  <c r="P77" i="5"/>
  <c r="N77" i="5"/>
  <c r="K77" i="5"/>
  <c r="H77" i="5"/>
  <c r="G77" i="5"/>
  <c r="F77" i="5"/>
  <c r="E77" i="5"/>
  <c r="AY75" i="5"/>
  <c r="AW75" i="5"/>
  <c r="AV75" i="5"/>
  <c r="AZ75" i="5" s="1"/>
  <c r="AU75" i="5"/>
  <c r="AX75" i="5" s="1"/>
  <c r="AS75" i="5"/>
  <c r="AR75" i="5"/>
  <c r="AT75" i="5" s="1"/>
  <c r="AQ75" i="5"/>
  <c r="AO75" i="5"/>
  <c r="AN75" i="5"/>
  <c r="AP75" i="5" s="1"/>
  <c r="AL75" i="5"/>
  <c r="AJ75" i="5"/>
  <c r="AI75" i="5"/>
  <c r="AH75" i="5"/>
  <c r="AF75" i="5"/>
  <c r="AE75" i="5"/>
  <c r="AG75" i="5" s="1"/>
  <c r="AC75" i="5"/>
  <c r="AB75" i="5"/>
  <c r="AD75" i="5" s="1"/>
  <c r="AA75" i="5"/>
  <c r="Y75" i="5"/>
  <c r="X75" i="5"/>
  <c r="W75" i="5"/>
  <c r="V75" i="5"/>
  <c r="U75" i="5"/>
  <c r="R75" i="5"/>
  <c r="Q75" i="5"/>
  <c r="P75" i="5"/>
  <c r="N75" i="5"/>
  <c r="K75" i="5"/>
  <c r="H75" i="5"/>
  <c r="G75" i="5"/>
  <c r="O75" i="5" s="1"/>
  <c r="F75" i="5"/>
  <c r="E75" i="5"/>
  <c r="AY74" i="5"/>
  <c r="AW74" i="5"/>
  <c r="AV74" i="5"/>
  <c r="AZ74" i="5" s="1"/>
  <c r="AU74" i="5"/>
  <c r="AX74" i="5" s="1"/>
  <c r="AS74" i="5"/>
  <c r="AR74" i="5"/>
  <c r="AT74" i="5" s="1"/>
  <c r="AQ74" i="5"/>
  <c r="AO74" i="5"/>
  <c r="AN74" i="5"/>
  <c r="AP74" i="5" s="1"/>
  <c r="AL74" i="5"/>
  <c r="AJ74" i="5"/>
  <c r="AI74" i="5"/>
  <c r="AH74" i="5"/>
  <c r="AF74" i="5"/>
  <c r="AE74" i="5"/>
  <c r="AG74" i="5" s="1"/>
  <c r="AC74" i="5"/>
  <c r="AB74" i="5"/>
  <c r="AD74" i="5" s="1"/>
  <c r="AA74" i="5"/>
  <c r="Y74" i="5"/>
  <c r="X74" i="5"/>
  <c r="W74" i="5"/>
  <c r="V74" i="5"/>
  <c r="U74" i="5"/>
  <c r="R74" i="5"/>
  <c r="Q74" i="5"/>
  <c r="P74" i="5"/>
  <c r="N74" i="5"/>
  <c r="K74" i="5"/>
  <c r="H74" i="5"/>
  <c r="G74" i="5"/>
  <c r="O74" i="5" s="1"/>
  <c r="F74" i="5"/>
  <c r="E74" i="5"/>
  <c r="AY73" i="5"/>
  <c r="AW73" i="5"/>
  <c r="AV73" i="5"/>
  <c r="AZ73" i="5" s="1"/>
  <c r="AU73" i="5"/>
  <c r="AX73" i="5" s="1"/>
  <c r="AS73" i="5"/>
  <c r="AR73" i="5"/>
  <c r="AT73" i="5" s="1"/>
  <c r="AQ73" i="5"/>
  <c r="AO73" i="5"/>
  <c r="AN73" i="5"/>
  <c r="AP73" i="5" s="1"/>
  <c r="AL73" i="5"/>
  <c r="AJ73" i="5"/>
  <c r="AI73" i="5"/>
  <c r="AH73" i="5"/>
  <c r="AF73" i="5"/>
  <c r="AE73" i="5"/>
  <c r="AG73" i="5" s="1"/>
  <c r="AC73" i="5"/>
  <c r="AB73" i="5"/>
  <c r="AD73" i="5" s="1"/>
  <c r="AA73" i="5"/>
  <c r="Y73" i="5"/>
  <c r="X73" i="5"/>
  <c r="W73" i="5"/>
  <c r="V73" i="5"/>
  <c r="U73" i="5"/>
  <c r="R73" i="5"/>
  <c r="Q73" i="5"/>
  <c r="P73" i="5"/>
  <c r="N73" i="5"/>
  <c r="K73" i="5"/>
  <c r="H73" i="5"/>
  <c r="G73" i="5"/>
  <c r="O73" i="5" s="1"/>
  <c r="F73" i="5"/>
  <c r="E73" i="5"/>
  <c r="AY72" i="5"/>
  <c r="AW72" i="5"/>
  <c r="AV72" i="5"/>
  <c r="AZ72" i="5" s="1"/>
  <c r="AU72" i="5"/>
  <c r="AX72" i="5" s="1"/>
  <c r="AS72" i="5"/>
  <c r="AR72" i="5"/>
  <c r="AT72" i="5" s="1"/>
  <c r="AQ72" i="5"/>
  <c r="AO72" i="5"/>
  <c r="AN72" i="5"/>
  <c r="AL72" i="5"/>
  <c r="AJ72" i="5"/>
  <c r="AI72" i="5"/>
  <c r="AH72" i="5"/>
  <c r="AF72" i="5"/>
  <c r="AE72" i="5"/>
  <c r="AG72" i="5" s="1"/>
  <c r="AC72" i="5"/>
  <c r="AB72" i="5"/>
  <c r="AD72" i="5" s="1"/>
  <c r="AA72" i="5"/>
  <c r="Y72" i="5"/>
  <c r="X72" i="5"/>
  <c r="W72" i="5"/>
  <c r="V72" i="5"/>
  <c r="U72" i="5"/>
  <c r="R72" i="5"/>
  <c r="Q72" i="5"/>
  <c r="P72" i="5"/>
  <c r="N72" i="5"/>
  <c r="K72" i="5"/>
  <c r="H72" i="5"/>
  <c r="G72" i="5"/>
  <c r="O72" i="5" s="1"/>
  <c r="F72" i="5"/>
  <c r="E72" i="5"/>
  <c r="AY71" i="5"/>
  <c r="AW71" i="5"/>
  <c r="AV71" i="5"/>
  <c r="AU71" i="5"/>
  <c r="AS71" i="5"/>
  <c r="AR71" i="5"/>
  <c r="AQ71" i="5"/>
  <c r="AO71" i="5"/>
  <c r="AN71" i="5"/>
  <c r="AL71" i="5"/>
  <c r="AJ71" i="5"/>
  <c r="AI71" i="5"/>
  <c r="AH71" i="5"/>
  <c r="AF71" i="5"/>
  <c r="AE71" i="5"/>
  <c r="AC71" i="5"/>
  <c r="AB71" i="5"/>
  <c r="AA71" i="5"/>
  <c r="Y71" i="5"/>
  <c r="X71" i="5"/>
  <c r="W71" i="5"/>
  <c r="V71" i="5"/>
  <c r="U71" i="5"/>
  <c r="R71" i="5"/>
  <c r="Q71" i="5"/>
  <c r="P71" i="5"/>
  <c r="N71" i="5"/>
  <c r="K71" i="5"/>
  <c r="H71" i="5"/>
  <c r="G71" i="5"/>
  <c r="O71" i="5" s="1"/>
  <c r="F71" i="5"/>
  <c r="E71" i="5"/>
  <c r="AY70" i="5"/>
  <c r="AW70" i="5"/>
  <c r="AV70" i="5"/>
  <c r="AZ70" i="5" s="1"/>
  <c r="AU70" i="5"/>
  <c r="AX70" i="5" s="1"/>
  <c r="AS70" i="5"/>
  <c r="AR70" i="5"/>
  <c r="AT70" i="5" s="1"/>
  <c r="AQ70" i="5"/>
  <c r="AO70" i="5"/>
  <c r="AN70" i="5"/>
  <c r="AL70" i="5"/>
  <c r="AJ70" i="5"/>
  <c r="AI70" i="5"/>
  <c r="AH70" i="5"/>
  <c r="AF70" i="5"/>
  <c r="AE70" i="5"/>
  <c r="AG70" i="5" s="1"/>
  <c r="AC70" i="5"/>
  <c r="AB70" i="5"/>
  <c r="AD70" i="5" s="1"/>
  <c r="AA70" i="5"/>
  <c r="Y70" i="5"/>
  <c r="X70" i="5"/>
  <c r="W70" i="5"/>
  <c r="V70" i="5"/>
  <c r="U70" i="5"/>
  <c r="R70" i="5"/>
  <c r="Q70" i="5"/>
  <c r="P70" i="5"/>
  <c r="N70" i="5"/>
  <c r="K70" i="5"/>
  <c r="H70" i="5"/>
  <c r="G70" i="5"/>
  <c r="O70" i="5" s="1"/>
  <c r="F70" i="5"/>
  <c r="E70" i="5"/>
  <c r="AY69" i="5"/>
  <c r="AW69" i="5"/>
  <c r="AV69" i="5"/>
  <c r="AZ69" i="5" s="1"/>
  <c r="AU69" i="5"/>
  <c r="AX69" i="5" s="1"/>
  <c r="AS69" i="5"/>
  <c r="AR69" i="5"/>
  <c r="AQ69" i="5"/>
  <c r="AO69" i="5"/>
  <c r="AN69" i="5"/>
  <c r="AP69" i="5" s="1"/>
  <c r="AL69" i="5"/>
  <c r="AJ69" i="5"/>
  <c r="AI69" i="5"/>
  <c r="AH69" i="5"/>
  <c r="AF69" i="5"/>
  <c r="AE69" i="5"/>
  <c r="AG69" i="5" s="1"/>
  <c r="AC69" i="5"/>
  <c r="AB69" i="5"/>
  <c r="AD69" i="5" s="1"/>
  <c r="AA69" i="5"/>
  <c r="Y69" i="5"/>
  <c r="X69" i="5"/>
  <c r="W69" i="5"/>
  <c r="V69" i="5"/>
  <c r="U69" i="5"/>
  <c r="R69" i="5"/>
  <c r="Q69" i="5"/>
  <c r="P69" i="5"/>
  <c r="N69" i="5"/>
  <c r="K69" i="5"/>
  <c r="H69" i="5"/>
  <c r="G69" i="5"/>
  <c r="O69" i="5" s="1"/>
  <c r="F69" i="5"/>
  <c r="E69" i="5"/>
  <c r="AY68" i="5"/>
  <c r="AW68" i="5"/>
  <c r="AV68" i="5"/>
  <c r="AZ68" i="5" s="1"/>
  <c r="AU68" i="5"/>
  <c r="AS68" i="5"/>
  <c r="AR68" i="5"/>
  <c r="AQ68" i="5"/>
  <c r="AO68" i="5"/>
  <c r="AN68" i="5"/>
  <c r="AL68" i="5"/>
  <c r="AJ68" i="5"/>
  <c r="AI68" i="5"/>
  <c r="AH68" i="5"/>
  <c r="AF68" i="5"/>
  <c r="AE68" i="5"/>
  <c r="AG68" i="5" s="1"/>
  <c r="AC68" i="5"/>
  <c r="AB68" i="5"/>
  <c r="AD68" i="5" s="1"/>
  <c r="AA68" i="5"/>
  <c r="Y68" i="5"/>
  <c r="X68" i="5"/>
  <c r="W68" i="5"/>
  <c r="V68" i="5"/>
  <c r="U68" i="5"/>
  <c r="R68" i="5"/>
  <c r="Q68" i="5"/>
  <c r="P68" i="5"/>
  <c r="N68" i="5"/>
  <c r="K68" i="5"/>
  <c r="H68" i="5"/>
  <c r="G68" i="5"/>
  <c r="F68" i="5"/>
  <c r="E68" i="5"/>
  <c r="AY67" i="5"/>
  <c r="AW67" i="5"/>
  <c r="AV67" i="5"/>
  <c r="AZ67" i="5" s="1"/>
  <c r="AU67" i="5"/>
  <c r="AX67" i="5" s="1"/>
  <c r="AS67" i="5"/>
  <c r="AR67" i="5"/>
  <c r="AT67" i="5" s="1"/>
  <c r="AQ67" i="5"/>
  <c r="AO67" i="5"/>
  <c r="AN67" i="5"/>
  <c r="AP67" i="5" s="1"/>
  <c r="AL67" i="5"/>
  <c r="AJ67" i="5"/>
  <c r="AI67" i="5"/>
  <c r="AH67" i="5"/>
  <c r="AF67" i="5"/>
  <c r="AE67" i="5"/>
  <c r="AG67" i="5" s="1"/>
  <c r="AC67" i="5"/>
  <c r="AB67" i="5"/>
  <c r="AD67" i="5" s="1"/>
  <c r="AA67" i="5"/>
  <c r="Y67" i="5"/>
  <c r="X67" i="5"/>
  <c r="W67" i="5"/>
  <c r="V67" i="5"/>
  <c r="U67" i="5"/>
  <c r="R67" i="5"/>
  <c r="Q67" i="5"/>
  <c r="P67" i="5"/>
  <c r="N67" i="5"/>
  <c r="K67" i="5"/>
  <c r="H67" i="5"/>
  <c r="G67" i="5"/>
  <c r="O67" i="5" s="1"/>
  <c r="F67" i="5"/>
  <c r="E67" i="5"/>
  <c r="AY66" i="5"/>
  <c r="AW66" i="5"/>
  <c r="AV66" i="5"/>
  <c r="AU66" i="5"/>
  <c r="AX66" i="5" s="1"/>
  <c r="AS66" i="5"/>
  <c r="AR66" i="5"/>
  <c r="AQ66" i="5"/>
  <c r="AO66" i="5"/>
  <c r="AN66" i="5"/>
  <c r="AL66" i="5"/>
  <c r="AJ66" i="5"/>
  <c r="AI66" i="5"/>
  <c r="AH66" i="5"/>
  <c r="AF66" i="5"/>
  <c r="AE66" i="5"/>
  <c r="AG66" i="5" s="1"/>
  <c r="AC66" i="5"/>
  <c r="AB66" i="5"/>
  <c r="AD66" i="5" s="1"/>
  <c r="AA66" i="5"/>
  <c r="Y66" i="5"/>
  <c r="X66" i="5"/>
  <c r="W66" i="5"/>
  <c r="V66" i="5"/>
  <c r="U66" i="5"/>
  <c r="R66" i="5"/>
  <c r="Q66" i="5"/>
  <c r="P66" i="5"/>
  <c r="N66" i="5"/>
  <c r="K66" i="5"/>
  <c r="H66" i="5"/>
  <c r="G66" i="5"/>
  <c r="O66" i="5" s="1"/>
  <c r="F66" i="5"/>
  <c r="E66" i="5"/>
  <c r="AY65" i="5"/>
  <c r="AW65" i="5"/>
  <c r="AV65" i="5"/>
  <c r="AU65" i="5"/>
  <c r="AX65" i="5" s="1"/>
  <c r="AS65" i="5"/>
  <c r="AR65" i="5"/>
  <c r="AQ65" i="5"/>
  <c r="AO65" i="5"/>
  <c r="AN65" i="5"/>
  <c r="AL65" i="5"/>
  <c r="AJ65" i="5"/>
  <c r="AI65" i="5"/>
  <c r="AH65" i="5"/>
  <c r="AF65" i="5"/>
  <c r="AE65" i="5"/>
  <c r="AG65" i="5" s="1"/>
  <c r="AC65" i="5"/>
  <c r="AB65" i="5"/>
  <c r="AD65" i="5" s="1"/>
  <c r="AA65" i="5"/>
  <c r="Y65" i="5"/>
  <c r="X65" i="5"/>
  <c r="W65" i="5"/>
  <c r="V65" i="5"/>
  <c r="U65" i="5"/>
  <c r="R65" i="5"/>
  <c r="Q65" i="5"/>
  <c r="P65" i="5"/>
  <c r="N65" i="5"/>
  <c r="K65" i="5"/>
  <c r="H65" i="5"/>
  <c r="G65" i="5"/>
  <c r="O65" i="5" s="1"/>
  <c r="F65" i="5"/>
  <c r="E65" i="5"/>
  <c r="AY64" i="5"/>
  <c r="AW64" i="5"/>
  <c r="AV64" i="5"/>
  <c r="AZ64" i="5" s="1"/>
  <c r="AU64" i="5"/>
  <c r="AX64" i="5" s="1"/>
  <c r="AS64" i="5"/>
  <c r="AR64" i="5"/>
  <c r="AT64" i="5" s="1"/>
  <c r="AQ64" i="5"/>
  <c r="AO64" i="5"/>
  <c r="AN64" i="5"/>
  <c r="AP64" i="5" s="1"/>
  <c r="AL64" i="5"/>
  <c r="AJ64" i="5"/>
  <c r="AI64" i="5"/>
  <c r="AH64" i="5"/>
  <c r="AF64" i="5"/>
  <c r="AE64" i="5"/>
  <c r="AG64" i="5" s="1"/>
  <c r="AC64" i="5"/>
  <c r="AB64" i="5"/>
  <c r="AD64" i="5" s="1"/>
  <c r="AA64" i="5"/>
  <c r="Y64" i="5"/>
  <c r="X64" i="5"/>
  <c r="W64" i="5"/>
  <c r="V64" i="5"/>
  <c r="U64" i="5"/>
  <c r="R64" i="5"/>
  <c r="Q64" i="5"/>
  <c r="P64" i="5"/>
  <c r="N64" i="5"/>
  <c r="K64" i="5"/>
  <c r="H64" i="5"/>
  <c r="G64" i="5"/>
  <c r="O64" i="5" s="1"/>
  <c r="F64" i="5"/>
  <c r="E64" i="5"/>
  <c r="AY63" i="5"/>
  <c r="AW63" i="5"/>
  <c r="AV63" i="5"/>
  <c r="AU63" i="5"/>
  <c r="AX63" i="5" s="1"/>
  <c r="AS63" i="5"/>
  <c r="AR63" i="5"/>
  <c r="AQ63" i="5"/>
  <c r="AO63" i="5"/>
  <c r="AN63" i="5"/>
  <c r="AL63" i="5"/>
  <c r="AJ63" i="5"/>
  <c r="AI63" i="5"/>
  <c r="AH63" i="5"/>
  <c r="AF63" i="5"/>
  <c r="AE63" i="5"/>
  <c r="AG63" i="5" s="1"/>
  <c r="AC63" i="5"/>
  <c r="AB63" i="5"/>
  <c r="AD63" i="5" s="1"/>
  <c r="AA63" i="5"/>
  <c r="Y63" i="5"/>
  <c r="X63" i="5"/>
  <c r="W63" i="5"/>
  <c r="V63" i="5"/>
  <c r="U63" i="5"/>
  <c r="R63" i="5"/>
  <c r="Q63" i="5"/>
  <c r="P63" i="5"/>
  <c r="N63" i="5"/>
  <c r="K63" i="5"/>
  <c r="H63" i="5"/>
  <c r="G63" i="5"/>
  <c r="O63" i="5" s="1"/>
  <c r="F63" i="5"/>
  <c r="E63" i="5"/>
  <c r="AY62" i="5"/>
  <c r="AW62" i="5"/>
  <c r="AV62" i="5"/>
  <c r="AU62" i="5"/>
  <c r="AS62" i="5"/>
  <c r="AR62" i="5"/>
  <c r="AQ62" i="5"/>
  <c r="AO62" i="5"/>
  <c r="AN62" i="5"/>
  <c r="AP62" i="5" s="1"/>
  <c r="AL62" i="5"/>
  <c r="AJ62" i="5"/>
  <c r="AI62" i="5"/>
  <c r="AH62" i="5"/>
  <c r="AF62" i="5"/>
  <c r="AE62" i="5"/>
  <c r="AG62" i="5" s="1"/>
  <c r="AC62" i="5"/>
  <c r="AB62" i="5"/>
  <c r="AD62" i="5" s="1"/>
  <c r="AA62" i="5"/>
  <c r="Y62" i="5"/>
  <c r="X62" i="5"/>
  <c r="W62" i="5"/>
  <c r="V62" i="5"/>
  <c r="U62" i="5"/>
  <c r="R62" i="5"/>
  <c r="Q62" i="5"/>
  <c r="P62" i="5"/>
  <c r="N62" i="5"/>
  <c r="K62" i="5"/>
  <c r="H62" i="5"/>
  <c r="G62" i="5"/>
  <c r="F62" i="5"/>
  <c r="E62" i="5"/>
  <c r="AY61" i="5"/>
  <c r="AW61" i="5"/>
  <c r="AV61" i="5"/>
  <c r="AU61" i="5"/>
  <c r="AX61" i="5" s="1"/>
  <c r="AS61" i="5"/>
  <c r="AR61" i="5"/>
  <c r="AQ61" i="5"/>
  <c r="AO61" i="5"/>
  <c r="AN61" i="5"/>
  <c r="AP61" i="5" s="1"/>
  <c r="AL61" i="5"/>
  <c r="AJ61" i="5"/>
  <c r="AI61" i="5"/>
  <c r="AH61" i="5"/>
  <c r="AF61" i="5"/>
  <c r="AE61" i="5"/>
  <c r="AG61" i="5" s="1"/>
  <c r="AC61" i="5"/>
  <c r="AB61" i="5"/>
  <c r="AD61" i="5" s="1"/>
  <c r="AA61" i="5"/>
  <c r="Y61" i="5"/>
  <c r="X61" i="5"/>
  <c r="W61" i="5"/>
  <c r="V61" i="5"/>
  <c r="U61" i="5"/>
  <c r="R61" i="5"/>
  <c r="Q61" i="5"/>
  <c r="P61" i="5"/>
  <c r="N61" i="5"/>
  <c r="K61" i="5"/>
  <c r="H61" i="5"/>
  <c r="G61" i="5"/>
  <c r="O61" i="5" s="1"/>
  <c r="F61" i="5"/>
  <c r="E61" i="5"/>
  <c r="AY60" i="5"/>
  <c r="AW60" i="5"/>
  <c r="AV60" i="5"/>
  <c r="AZ60" i="5" s="1"/>
  <c r="AU60" i="5"/>
  <c r="AX60" i="5" s="1"/>
  <c r="AS60" i="5"/>
  <c r="AR60" i="5"/>
  <c r="AT60" i="5" s="1"/>
  <c r="AQ60" i="5"/>
  <c r="AO60" i="5"/>
  <c r="AN60" i="5"/>
  <c r="AL60" i="5"/>
  <c r="AJ60" i="5"/>
  <c r="AI60" i="5"/>
  <c r="AH60" i="5"/>
  <c r="AF60" i="5"/>
  <c r="AE60" i="5"/>
  <c r="AC60" i="5"/>
  <c r="AB60" i="5"/>
  <c r="AA60" i="5"/>
  <c r="Y60" i="5"/>
  <c r="X60" i="5"/>
  <c r="W60" i="5"/>
  <c r="V60" i="5"/>
  <c r="U60" i="5"/>
  <c r="R60" i="5"/>
  <c r="Q60" i="5"/>
  <c r="P60" i="5"/>
  <c r="N60" i="5"/>
  <c r="K60" i="5"/>
  <c r="H60" i="5"/>
  <c r="G60" i="5"/>
  <c r="O60" i="5" s="1"/>
  <c r="F60" i="5"/>
  <c r="E60" i="5"/>
  <c r="AY59" i="5"/>
  <c r="AW59" i="5"/>
  <c r="AV59" i="5"/>
  <c r="AZ59" i="5" s="1"/>
  <c r="AU59" i="5"/>
  <c r="AX59" i="5" s="1"/>
  <c r="AS59" i="5"/>
  <c r="AR59" i="5"/>
  <c r="AT59" i="5" s="1"/>
  <c r="AQ59" i="5"/>
  <c r="AO59" i="5"/>
  <c r="AN59" i="5"/>
  <c r="AL59" i="5"/>
  <c r="AJ59" i="5"/>
  <c r="AI59" i="5"/>
  <c r="AH59" i="5"/>
  <c r="AF59" i="5"/>
  <c r="AE59" i="5"/>
  <c r="AG59" i="5" s="1"/>
  <c r="AC59" i="5"/>
  <c r="AB59" i="5"/>
  <c r="AD59" i="5" s="1"/>
  <c r="AA59" i="5"/>
  <c r="Y59" i="5"/>
  <c r="X59" i="5"/>
  <c r="W59" i="5"/>
  <c r="V59" i="5"/>
  <c r="U59" i="5"/>
  <c r="R59" i="5"/>
  <c r="Q59" i="5"/>
  <c r="P59" i="5"/>
  <c r="N59" i="5"/>
  <c r="K59" i="5"/>
  <c r="H59" i="5"/>
  <c r="G59" i="5"/>
  <c r="O59" i="5" s="1"/>
  <c r="F59" i="5"/>
  <c r="E59" i="5"/>
  <c r="AY58" i="5"/>
  <c r="AW58" i="5"/>
  <c r="AV58" i="5"/>
  <c r="AZ58" i="5" s="1"/>
  <c r="AU58" i="5"/>
  <c r="AS58" i="5"/>
  <c r="AR58" i="5"/>
  <c r="AQ58" i="5"/>
  <c r="AO58" i="5"/>
  <c r="AN58" i="5"/>
  <c r="AL58" i="5"/>
  <c r="AJ58" i="5"/>
  <c r="AI58" i="5"/>
  <c r="AH58" i="5"/>
  <c r="AF58" i="5"/>
  <c r="AE58" i="5"/>
  <c r="AG58" i="5" s="1"/>
  <c r="AC58" i="5"/>
  <c r="AB58" i="5"/>
  <c r="AD58" i="5" s="1"/>
  <c r="AA58" i="5"/>
  <c r="Y58" i="5"/>
  <c r="X58" i="5"/>
  <c r="W58" i="5"/>
  <c r="V58" i="5"/>
  <c r="U58" i="5"/>
  <c r="R58" i="5"/>
  <c r="Q58" i="5"/>
  <c r="P58" i="5"/>
  <c r="N58" i="5"/>
  <c r="K58" i="5"/>
  <c r="H58" i="5"/>
  <c r="G58" i="5"/>
  <c r="O58" i="5" s="1"/>
  <c r="F58" i="5"/>
  <c r="E58" i="5"/>
  <c r="AY57" i="5"/>
  <c r="AW57" i="5"/>
  <c r="AV57" i="5"/>
  <c r="AU57" i="5"/>
  <c r="AS57" i="5"/>
  <c r="AR57" i="5"/>
  <c r="AQ57" i="5"/>
  <c r="AO57" i="5"/>
  <c r="AN57" i="5"/>
  <c r="AL57" i="5"/>
  <c r="AJ57" i="5"/>
  <c r="AI57" i="5"/>
  <c r="AH57" i="5"/>
  <c r="AF57" i="5"/>
  <c r="AE57" i="5"/>
  <c r="AC57" i="5"/>
  <c r="AB57" i="5"/>
  <c r="AA57" i="5"/>
  <c r="Y57" i="5"/>
  <c r="X57" i="5"/>
  <c r="W57" i="5"/>
  <c r="V57" i="5"/>
  <c r="U57" i="5"/>
  <c r="R57" i="5"/>
  <c r="Q57" i="5"/>
  <c r="P57" i="5"/>
  <c r="N57" i="5"/>
  <c r="K57" i="5"/>
  <c r="H57" i="5"/>
  <c r="G57" i="5"/>
  <c r="O57" i="5" s="1"/>
  <c r="F57" i="5"/>
  <c r="E57" i="5"/>
  <c r="AY56" i="5"/>
  <c r="AW56" i="5"/>
  <c r="AV56" i="5"/>
  <c r="AZ56" i="5" s="1"/>
  <c r="AU56" i="5"/>
  <c r="AX56" i="5" s="1"/>
  <c r="AS56" i="5"/>
  <c r="AR56" i="5"/>
  <c r="AQ56" i="5"/>
  <c r="AO56" i="5"/>
  <c r="AN56" i="5"/>
  <c r="AP56" i="5" s="1"/>
  <c r="AL56" i="5"/>
  <c r="AJ56" i="5"/>
  <c r="AI56" i="5"/>
  <c r="AH56" i="5"/>
  <c r="AF56" i="5"/>
  <c r="AE56" i="5"/>
  <c r="AC56" i="5"/>
  <c r="AB56" i="5"/>
  <c r="AA56" i="5"/>
  <c r="Y56" i="5"/>
  <c r="X56" i="5"/>
  <c r="W56" i="5"/>
  <c r="V56" i="5"/>
  <c r="U56" i="5"/>
  <c r="R56" i="5"/>
  <c r="Q56" i="5"/>
  <c r="P56" i="5"/>
  <c r="N56" i="5"/>
  <c r="K56" i="5"/>
  <c r="H56" i="5"/>
  <c r="G56" i="5"/>
  <c r="O56" i="5" s="1"/>
  <c r="F56" i="5"/>
  <c r="E56" i="5"/>
  <c r="AY55" i="5"/>
  <c r="AW55" i="5"/>
  <c r="AV55" i="5"/>
  <c r="AU55" i="5"/>
  <c r="AX55" i="5" s="1"/>
  <c r="AS55" i="5"/>
  <c r="AR55" i="5"/>
  <c r="AQ55" i="5"/>
  <c r="AO55" i="5"/>
  <c r="AN55" i="5"/>
  <c r="AL55" i="5"/>
  <c r="AJ55" i="5"/>
  <c r="AI55" i="5"/>
  <c r="AH55" i="5"/>
  <c r="AF55" i="5"/>
  <c r="AE55" i="5"/>
  <c r="AC55" i="5"/>
  <c r="AB55" i="5"/>
  <c r="AA55" i="5"/>
  <c r="Y55" i="5"/>
  <c r="X55" i="5"/>
  <c r="W55" i="5"/>
  <c r="V55" i="5"/>
  <c r="U55" i="5"/>
  <c r="R55" i="5"/>
  <c r="Q55" i="5"/>
  <c r="P55" i="5"/>
  <c r="N55" i="5"/>
  <c r="K55" i="5"/>
  <c r="H55" i="5"/>
  <c r="G55" i="5"/>
  <c r="O55" i="5" s="1"/>
  <c r="F55" i="5"/>
  <c r="E55" i="5"/>
  <c r="AY53" i="5"/>
  <c r="AW53" i="5"/>
  <c r="AV53" i="5"/>
  <c r="AU53" i="5"/>
  <c r="AX53" i="5" s="1"/>
  <c r="AS53" i="5"/>
  <c r="AR53" i="5"/>
  <c r="AQ53" i="5"/>
  <c r="AO53" i="5"/>
  <c r="AN53" i="5"/>
  <c r="AP53" i="5" s="1"/>
  <c r="AL53" i="5"/>
  <c r="AJ53" i="5"/>
  <c r="AI53" i="5"/>
  <c r="AH53" i="5"/>
  <c r="AF53" i="5"/>
  <c r="AE53" i="5"/>
  <c r="AC53" i="5"/>
  <c r="AB53" i="5"/>
  <c r="AA53" i="5"/>
  <c r="Y53" i="5"/>
  <c r="X53" i="5"/>
  <c r="W53" i="5"/>
  <c r="V53" i="5"/>
  <c r="U53" i="5"/>
  <c r="R53" i="5"/>
  <c r="Q53" i="5"/>
  <c r="P53" i="5"/>
  <c r="N53" i="5"/>
  <c r="K53" i="5"/>
  <c r="H53" i="5"/>
  <c r="G53" i="5"/>
  <c r="O53" i="5" s="1"/>
  <c r="F53" i="5"/>
  <c r="E53" i="5"/>
  <c r="AY52" i="5"/>
  <c r="AW52" i="5"/>
  <c r="AV52" i="5"/>
  <c r="AZ52" i="5" s="1"/>
  <c r="AU52" i="5"/>
  <c r="AX52" i="5" s="1"/>
  <c r="AS52" i="5"/>
  <c r="AR52" i="5"/>
  <c r="AT52" i="5" s="1"/>
  <c r="AQ52" i="5"/>
  <c r="AO52" i="5"/>
  <c r="AN52" i="5"/>
  <c r="AL52" i="5"/>
  <c r="AJ52" i="5"/>
  <c r="AI52" i="5"/>
  <c r="AH52" i="5"/>
  <c r="AF52" i="5"/>
  <c r="AE52" i="5"/>
  <c r="AC52" i="5"/>
  <c r="AB52" i="5"/>
  <c r="AA52" i="5"/>
  <c r="Y52" i="5"/>
  <c r="X52" i="5"/>
  <c r="W52" i="5"/>
  <c r="V52" i="5"/>
  <c r="U52" i="5"/>
  <c r="R52" i="5"/>
  <c r="Q52" i="5"/>
  <c r="P52" i="5"/>
  <c r="N52" i="5"/>
  <c r="K52" i="5"/>
  <c r="H52" i="5"/>
  <c r="G52" i="5"/>
  <c r="O52" i="5" s="1"/>
  <c r="F52" i="5"/>
  <c r="E52" i="5"/>
  <c r="AY51" i="5"/>
  <c r="AW51" i="5"/>
  <c r="AV51" i="5"/>
  <c r="AZ51" i="5" s="1"/>
  <c r="AU51" i="5"/>
  <c r="AX51" i="5" s="1"/>
  <c r="AS51" i="5"/>
  <c r="AR51" i="5"/>
  <c r="AT51" i="5" s="1"/>
  <c r="AQ51" i="5"/>
  <c r="AO51" i="5"/>
  <c r="AN51" i="5"/>
  <c r="AL51" i="5"/>
  <c r="AJ51" i="5"/>
  <c r="AI51" i="5"/>
  <c r="AH51" i="5"/>
  <c r="AF51" i="5"/>
  <c r="AE51" i="5"/>
  <c r="AC51" i="5"/>
  <c r="AB51" i="5"/>
  <c r="AA51" i="5"/>
  <c r="Y51" i="5"/>
  <c r="X51" i="5"/>
  <c r="W51" i="5"/>
  <c r="V51" i="5"/>
  <c r="U51" i="5"/>
  <c r="R51" i="5"/>
  <c r="Q51" i="5"/>
  <c r="P51" i="5"/>
  <c r="N51" i="5"/>
  <c r="K51" i="5"/>
  <c r="H51" i="5"/>
  <c r="G51" i="5"/>
  <c r="O51" i="5" s="1"/>
  <c r="F51" i="5"/>
  <c r="E51" i="5"/>
  <c r="AY50" i="5"/>
  <c r="AW50" i="5"/>
  <c r="AV50" i="5"/>
  <c r="AZ50" i="5" s="1"/>
  <c r="AU50" i="5"/>
  <c r="AX50" i="5" s="1"/>
  <c r="AS50" i="5"/>
  <c r="AR50" i="5"/>
  <c r="AT50" i="5" s="1"/>
  <c r="AQ50" i="5"/>
  <c r="AO50" i="5"/>
  <c r="AN50" i="5"/>
  <c r="AL50" i="5"/>
  <c r="AJ50" i="5"/>
  <c r="AI50" i="5"/>
  <c r="AH50" i="5"/>
  <c r="AF50" i="5"/>
  <c r="AE50" i="5"/>
  <c r="AC50" i="5"/>
  <c r="AB50" i="5"/>
  <c r="AA50" i="5"/>
  <c r="Y50" i="5"/>
  <c r="X50" i="5"/>
  <c r="W50" i="5"/>
  <c r="V50" i="5"/>
  <c r="U50" i="5"/>
  <c r="R50" i="5"/>
  <c r="Q50" i="5"/>
  <c r="P50" i="5"/>
  <c r="N50" i="5"/>
  <c r="K50" i="5"/>
  <c r="H50" i="5"/>
  <c r="G50" i="5"/>
  <c r="O50" i="5" s="1"/>
  <c r="F50" i="5"/>
  <c r="E50" i="5"/>
  <c r="AY49" i="5"/>
  <c r="AW49" i="5"/>
  <c r="AV49" i="5"/>
  <c r="AZ49" i="5" s="1"/>
  <c r="AU49" i="5"/>
  <c r="AX49" i="5" s="1"/>
  <c r="AS49" i="5"/>
  <c r="AR49" i="5"/>
  <c r="AT49" i="5" s="1"/>
  <c r="AQ49" i="5"/>
  <c r="AO49" i="5"/>
  <c r="AN49" i="5"/>
  <c r="AL49" i="5"/>
  <c r="AJ49" i="5"/>
  <c r="AI49" i="5"/>
  <c r="AH49" i="5"/>
  <c r="AF49" i="5"/>
  <c r="AE49" i="5"/>
  <c r="AC49" i="5"/>
  <c r="AB49" i="5"/>
  <c r="AA49" i="5"/>
  <c r="Y49" i="5"/>
  <c r="X49" i="5"/>
  <c r="W49" i="5"/>
  <c r="V49" i="5"/>
  <c r="U49" i="5"/>
  <c r="R49" i="5"/>
  <c r="Q49" i="5"/>
  <c r="P49" i="5"/>
  <c r="N49" i="5"/>
  <c r="K49" i="5"/>
  <c r="H49" i="5"/>
  <c r="G49" i="5"/>
  <c r="O49" i="5" s="1"/>
  <c r="F49" i="5"/>
  <c r="E49" i="5"/>
  <c r="AY48" i="5"/>
  <c r="AW48" i="5"/>
  <c r="AV48" i="5"/>
  <c r="AZ48" i="5" s="1"/>
  <c r="AU48" i="5"/>
  <c r="AX48" i="5" s="1"/>
  <c r="AS48" i="5"/>
  <c r="AR48" i="5"/>
  <c r="AT48" i="5" s="1"/>
  <c r="AQ48" i="5"/>
  <c r="AO48" i="5"/>
  <c r="AN48" i="5"/>
  <c r="AL48" i="5"/>
  <c r="AJ48" i="5"/>
  <c r="AI48" i="5"/>
  <c r="AH48" i="5"/>
  <c r="AF48" i="5"/>
  <c r="AE48" i="5"/>
  <c r="AC48" i="5"/>
  <c r="AB48" i="5"/>
  <c r="AA48" i="5"/>
  <c r="Y48" i="5"/>
  <c r="X48" i="5"/>
  <c r="W48" i="5"/>
  <c r="V48" i="5"/>
  <c r="U48" i="5"/>
  <c r="R48" i="5"/>
  <c r="Q48" i="5"/>
  <c r="P48" i="5"/>
  <c r="N48" i="5"/>
  <c r="K48" i="5"/>
  <c r="H48" i="5"/>
  <c r="G48" i="5"/>
  <c r="F48" i="5"/>
  <c r="E48" i="5"/>
  <c r="AY47" i="5"/>
  <c r="AW47" i="5"/>
  <c r="AV47" i="5"/>
  <c r="AU47" i="5"/>
  <c r="AS47" i="5"/>
  <c r="AR47" i="5"/>
  <c r="AQ47" i="5"/>
  <c r="AO47" i="5"/>
  <c r="AN47" i="5"/>
  <c r="AL47" i="5"/>
  <c r="AJ47" i="5"/>
  <c r="AI47" i="5"/>
  <c r="AH47" i="5"/>
  <c r="AF47" i="5"/>
  <c r="AE47" i="5"/>
  <c r="AG47" i="5" s="1"/>
  <c r="AC47" i="5"/>
  <c r="AB47" i="5"/>
  <c r="AD47" i="5" s="1"/>
  <c r="AA47" i="5"/>
  <c r="Y47" i="5"/>
  <c r="X47" i="5"/>
  <c r="W47" i="5"/>
  <c r="V47" i="5"/>
  <c r="U47" i="5"/>
  <c r="R47" i="5"/>
  <c r="Q47" i="5"/>
  <c r="P47" i="5"/>
  <c r="N47" i="5"/>
  <c r="K47" i="5"/>
  <c r="H47" i="5"/>
  <c r="G47" i="5"/>
  <c r="O47" i="5" s="1"/>
  <c r="F47" i="5"/>
  <c r="E47" i="5"/>
  <c r="AY46" i="5"/>
  <c r="AW46" i="5"/>
  <c r="AV46" i="5"/>
  <c r="AZ46" i="5" s="1"/>
  <c r="AU46" i="5"/>
  <c r="AX46" i="5" s="1"/>
  <c r="AS46" i="5"/>
  <c r="AR46" i="5"/>
  <c r="AT46" i="5" s="1"/>
  <c r="AQ46" i="5"/>
  <c r="AO46" i="5"/>
  <c r="AN46" i="5"/>
  <c r="AP46" i="5" s="1"/>
  <c r="AL46" i="5"/>
  <c r="AJ46" i="5"/>
  <c r="AI46" i="5"/>
  <c r="AH46" i="5"/>
  <c r="AF46" i="5"/>
  <c r="AE46" i="5"/>
  <c r="AC46" i="5"/>
  <c r="AB46" i="5"/>
  <c r="AA46" i="5"/>
  <c r="Y46" i="5"/>
  <c r="X46" i="5"/>
  <c r="W46" i="5"/>
  <c r="V46" i="5"/>
  <c r="U46" i="5"/>
  <c r="R46" i="5"/>
  <c r="Q46" i="5"/>
  <c r="P46" i="5"/>
  <c r="N46" i="5"/>
  <c r="K46" i="5"/>
  <c r="H46" i="5"/>
  <c r="G46" i="5"/>
  <c r="O46" i="5" s="1"/>
  <c r="F46" i="5"/>
  <c r="E46" i="5"/>
  <c r="AY45" i="5"/>
  <c r="AW45" i="5"/>
  <c r="AV45" i="5"/>
  <c r="AZ45" i="5" s="1"/>
  <c r="AU45" i="5"/>
  <c r="AX45" i="5" s="1"/>
  <c r="AS45" i="5"/>
  <c r="AR45" i="5"/>
  <c r="AQ45" i="5"/>
  <c r="AO45" i="5"/>
  <c r="AN45" i="5"/>
  <c r="AL45" i="5"/>
  <c r="AJ45" i="5"/>
  <c r="AI45" i="5"/>
  <c r="AH45" i="5"/>
  <c r="AF45" i="5"/>
  <c r="AE45" i="5"/>
  <c r="AC45" i="5"/>
  <c r="AB45" i="5"/>
  <c r="AA45" i="5"/>
  <c r="Y45" i="5"/>
  <c r="X45" i="5"/>
  <c r="W45" i="5"/>
  <c r="V45" i="5"/>
  <c r="U45" i="5"/>
  <c r="R45" i="5"/>
  <c r="Q45" i="5"/>
  <c r="P45" i="5"/>
  <c r="N45" i="5"/>
  <c r="K45" i="5"/>
  <c r="H45" i="5"/>
  <c r="G45" i="5"/>
  <c r="O45" i="5" s="1"/>
  <c r="F45" i="5"/>
  <c r="E45" i="5"/>
  <c r="AY44" i="5"/>
  <c r="AW44" i="5"/>
  <c r="AV44" i="5"/>
  <c r="AZ44" i="5" s="1"/>
  <c r="AU44" i="5"/>
  <c r="AX44" i="5" s="1"/>
  <c r="AS44" i="5"/>
  <c r="AR44" i="5"/>
  <c r="AT44" i="5" s="1"/>
  <c r="AQ44" i="5"/>
  <c r="AO44" i="5"/>
  <c r="AN44" i="5"/>
  <c r="AL44" i="5"/>
  <c r="AJ44" i="5"/>
  <c r="AI44" i="5"/>
  <c r="AH44" i="5"/>
  <c r="AF44" i="5"/>
  <c r="AE44" i="5"/>
  <c r="AG44" i="5" s="1"/>
  <c r="AC44" i="5"/>
  <c r="AB44" i="5"/>
  <c r="AD44" i="5" s="1"/>
  <c r="AA44" i="5"/>
  <c r="Y44" i="5"/>
  <c r="X44" i="5"/>
  <c r="W44" i="5"/>
  <c r="V44" i="5"/>
  <c r="U44" i="5"/>
  <c r="R44" i="5"/>
  <c r="Q44" i="5"/>
  <c r="P44" i="5"/>
  <c r="N44" i="5"/>
  <c r="K44" i="5"/>
  <c r="H44" i="5"/>
  <c r="G44" i="5"/>
  <c r="O44" i="5" s="1"/>
  <c r="F44" i="5"/>
  <c r="E44" i="5"/>
  <c r="AY43" i="5"/>
  <c r="AW43" i="5"/>
  <c r="AV43" i="5"/>
  <c r="AZ43" i="5" s="1"/>
  <c r="AU43" i="5"/>
  <c r="AX43" i="5" s="1"/>
  <c r="AS43" i="5"/>
  <c r="AR43" i="5"/>
  <c r="AT43" i="5" s="1"/>
  <c r="AQ43" i="5"/>
  <c r="AO43" i="5"/>
  <c r="AN43" i="5"/>
  <c r="AL43" i="5"/>
  <c r="AJ43" i="5"/>
  <c r="AI43" i="5"/>
  <c r="AH43" i="5"/>
  <c r="AF43" i="5"/>
  <c r="AE43" i="5"/>
  <c r="AC43" i="5"/>
  <c r="AB43" i="5"/>
  <c r="AA43" i="5"/>
  <c r="Y43" i="5"/>
  <c r="X43" i="5"/>
  <c r="W43" i="5"/>
  <c r="V43" i="5"/>
  <c r="U43" i="5"/>
  <c r="R43" i="5"/>
  <c r="Q43" i="5"/>
  <c r="P43" i="5"/>
  <c r="N43" i="5"/>
  <c r="K43" i="5"/>
  <c r="H43" i="5"/>
  <c r="G43" i="5"/>
  <c r="O43" i="5" s="1"/>
  <c r="F43" i="5"/>
  <c r="E43" i="5"/>
  <c r="AY42" i="5"/>
  <c r="AW42" i="5"/>
  <c r="AV42" i="5"/>
  <c r="AZ42" i="5" s="1"/>
  <c r="AU42" i="5"/>
  <c r="AX42" i="5" s="1"/>
  <c r="AS42" i="5"/>
  <c r="AR42" i="5"/>
  <c r="AT42" i="5" s="1"/>
  <c r="AQ42" i="5"/>
  <c r="AO42" i="5"/>
  <c r="AN42" i="5"/>
  <c r="AL42" i="5"/>
  <c r="AJ42" i="5"/>
  <c r="AI42" i="5"/>
  <c r="AH42" i="5"/>
  <c r="AF42" i="5"/>
  <c r="AE42" i="5"/>
  <c r="AC42" i="5"/>
  <c r="AB42" i="5"/>
  <c r="AA42" i="5"/>
  <c r="Y42" i="5"/>
  <c r="X42" i="5"/>
  <c r="W42" i="5"/>
  <c r="V42" i="5"/>
  <c r="U42" i="5"/>
  <c r="R42" i="5"/>
  <c r="Q42" i="5"/>
  <c r="P42" i="5"/>
  <c r="N42" i="5"/>
  <c r="K42" i="5"/>
  <c r="H42" i="5"/>
  <c r="G42" i="5"/>
  <c r="O42" i="5" s="1"/>
  <c r="F42" i="5"/>
  <c r="E42" i="5"/>
  <c r="AY41" i="5"/>
  <c r="AW41" i="5"/>
  <c r="AV41" i="5"/>
  <c r="AZ41" i="5" s="1"/>
  <c r="AU41" i="5"/>
  <c r="AX41" i="5" s="1"/>
  <c r="AS41" i="5"/>
  <c r="AR41" i="5"/>
  <c r="AT41" i="5" s="1"/>
  <c r="AQ41" i="5"/>
  <c r="AO41" i="5"/>
  <c r="AN41" i="5"/>
  <c r="AL41" i="5"/>
  <c r="AJ41" i="5"/>
  <c r="AI41" i="5"/>
  <c r="AH41" i="5"/>
  <c r="AF41" i="5"/>
  <c r="AE41" i="5"/>
  <c r="AG41" i="5" s="1"/>
  <c r="AC41" i="5"/>
  <c r="AB41" i="5"/>
  <c r="AD41" i="5" s="1"/>
  <c r="AA41" i="5"/>
  <c r="Y41" i="5"/>
  <c r="X41" i="5"/>
  <c r="W41" i="5"/>
  <c r="V41" i="5"/>
  <c r="U41" i="5"/>
  <c r="R41" i="5"/>
  <c r="Q41" i="5"/>
  <c r="P41" i="5"/>
  <c r="N41" i="5"/>
  <c r="K41" i="5"/>
  <c r="H41" i="5"/>
  <c r="G41" i="5"/>
  <c r="O41" i="5" s="1"/>
  <c r="F41" i="5"/>
  <c r="E41" i="5"/>
  <c r="AY40" i="5"/>
  <c r="AW40" i="5"/>
  <c r="AV40" i="5"/>
  <c r="AZ40" i="5" s="1"/>
  <c r="AU40" i="5"/>
  <c r="AX40" i="5" s="1"/>
  <c r="AS40" i="5"/>
  <c r="AR40" i="5"/>
  <c r="AT40" i="5" s="1"/>
  <c r="AQ40" i="5"/>
  <c r="AO40" i="5"/>
  <c r="AN40" i="5"/>
  <c r="AP40" i="5" s="1"/>
  <c r="AL40" i="5"/>
  <c r="AJ40" i="5"/>
  <c r="AI40" i="5"/>
  <c r="AH40" i="5"/>
  <c r="AF40" i="5"/>
  <c r="AE40" i="5"/>
  <c r="AC40" i="5"/>
  <c r="AB40" i="5"/>
  <c r="AA40" i="5"/>
  <c r="Y40" i="5"/>
  <c r="X40" i="5"/>
  <c r="W40" i="5"/>
  <c r="V40" i="5"/>
  <c r="U40" i="5"/>
  <c r="R40" i="5"/>
  <c r="Q40" i="5"/>
  <c r="P40" i="5"/>
  <c r="N40" i="5"/>
  <c r="K40" i="5"/>
  <c r="H40" i="5"/>
  <c r="G40" i="5"/>
  <c r="O40" i="5" s="1"/>
  <c r="F40" i="5"/>
  <c r="E40" i="5"/>
  <c r="AY39" i="5"/>
  <c r="AW39" i="5"/>
  <c r="AV39" i="5"/>
  <c r="AZ39" i="5" s="1"/>
  <c r="AU39" i="5"/>
  <c r="AX39" i="5" s="1"/>
  <c r="AS39" i="5"/>
  <c r="AR39" i="5"/>
  <c r="AT39" i="5" s="1"/>
  <c r="AQ39" i="5"/>
  <c r="AO39" i="5"/>
  <c r="AN39" i="5"/>
  <c r="AL39" i="5"/>
  <c r="AJ39" i="5"/>
  <c r="AI39" i="5"/>
  <c r="AH39" i="5"/>
  <c r="AF39" i="5"/>
  <c r="AE39" i="5"/>
  <c r="AC39" i="5"/>
  <c r="AB39" i="5"/>
  <c r="AA39" i="5"/>
  <c r="Y39" i="5"/>
  <c r="X39" i="5"/>
  <c r="W39" i="5"/>
  <c r="V39" i="5"/>
  <c r="U39" i="5"/>
  <c r="R39" i="5"/>
  <c r="Q39" i="5"/>
  <c r="P39" i="5"/>
  <c r="N39" i="5"/>
  <c r="K39" i="5"/>
  <c r="H39" i="5"/>
  <c r="G39" i="5"/>
  <c r="O39" i="5" s="1"/>
  <c r="F39" i="5"/>
  <c r="E39" i="5"/>
  <c r="AY38" i="5"/>
  <c r="AW38" i="5"/>
  <c r="AV38" i="5"/>
  <c r="AZ38" i="5" s="1"/>
  <c r="AU38" i="5"/>
  <c r="AX38" i="5" s="1"/>
  <c r="AS38" i="5"/>
  <c r="AR38" i="5"/>
  <c r="AT38" i="5" s="1"/>
  <c r="AQ38" i="5"/>
  <c r="AO38" i="5"/>
  <c r="AN38" i="5"/>
  <c r="AL38" i="5"/>
  <c r="AJ38" i="5"/>
  <c r="AI38" i="5"/>
  <c r="AH38" i="5"/>
  <c r="AF38" i="5"/>
  <c r="AE38" i="5"/>
  <c r="AG38" i="5" s="1"/>
  <c r="AC38" i="5"/>
  <c r="AB38" i="5"/>
  <c r="AD38" i="5" s="1"/>
  <c r="AA38" i="5"/>
  <c r="Y38" i="5"/>
  <c r="X38" i="5"/>
  <c r="W38" i="5"/>
  <c r="V38" i="5"/>
  <c r="U38" i="5"/>
  <c r="R38" i="5"/>
  <c r="Q38" i="5"/>
  <c r="P38" i="5"/>
  <c r="N38" i="5"/>
  <c r="K38" i="5"/>
  <c r="H38" i="5"/>
  <c r="G38" i="5"/>
  <c r="O38" i="5" s="1"/>
  <c r="F38" i="5"/>
  <c r="E38" i="5"/>
  <c r="AY37" i="5"/>
  <c r="AW37" i="5"/>
  <c r="AV37" i="5"/>
  <c r="AZ37" i="5" s="1"/>
  <c r="AU37" i="5"/>
  <c r="AX37" i="5" s="1"/>
  <c r="AS37" i="5"/>
  <c r="AR37" i="5"/>
  <c r="AQ37" i="5"/>
  <c r="AO37" i="5"/>
  <c r="AN37" i="5"/>
  <c r="AP37" i="5" s="1"/>
  <c r="AL37" i="5"/>
  <c r="AJ37" i="5"/>
  <c r="AI37" i="5"/>
  <c r="AH37" i="5"/>
  <c r="AF37" i="5"/>
  <c r="AE37" i="5"/>
  <c r="AC37" i="5"/>
  <c r="AB37" i="5"/>
  <c r="AA37" i="5"/>
  <c r="Y37" i="5"/>
  <c r="X37" i="5"/>
  <c r="W37" i="5"/>
  <c r="V37" i="5"/>
  <c r="U37" i="5"/>
  <c r="R37" i="5"/>
  <c r="Q37" i="5"/>
  <c r="P37" i="5"/>
  <c r="N37" i="5"/>
  <c r="K37" i="5"/>
  <c r="H37" i="5"/>
  <c r="G37" i="5"/>
  <c r="O37" i="5" s="1"/>
  <c r="F37" i="5"/>
  <c r="E37" i="5"/>
  <c r="AY36" i="5"/>
  <c r="AW36" i="5"/>
  <c r="AV36" i="5"/>
  <c r="AZ36" i="5" s="1"/>
  <c r="AU36" i="5"/>
  <c r="AX36" i="5" s="1"/>
  <c r="AS36" i="5"/>
  <c r="AR36" i="5"/>
  <c r="AT36" i="5" s="1"/>
  <c r="AQ36" i="5"/>
  <c r="AO36" i="5"/>
  <c r="AN36" i="5"/>
  <c r="AL36" i="5"/>
  <c r="AJ36" i="5"/>
  <c r="AI36" i="5"/>
  <c r="AH36" i="5"/>
  <c r="AF36" i="5"/>
  <c r="AE36" i="5"/>
  <c r="AG36" i="5" s="1"/>
  <c r="AC36" i="5"/>
  <c r="AB36" i="5"/>
  <c r="AD36" i="5" s="1"/>
  <c r="AA36" i="5"/>
  <c r="Y36" i="5"/>
  <c r="X36" i="5"/>
  <c r="W36" i="5"/>
  <c r="V36" i="5"/>
  <c r="U36" i="5"/>
  <c r="R36" i="5"/>
  <c r="Q36" i="5"/>
  <c r="P36" i="5"/>
  <c r="N36" i="5"/>
  <c r="K36" i="5"/>
  <c r="H36" i="5"/>
  <c r="G36" i="5"/>
  <c r="F36" i="5"/>
  <c r="E36" i="5"/>
  <c r="AY35" i="5"/>
  <c r="AW35" i="5"/>
  <c r="AV35" i="5"/>
  <c r="AZ35" i="5" s="1"/>
  <c r="AU35" i="5"/>
  <c r="AX35" i="5" s="1"/>
  <c r="AS35" i="5"/>
  <c r="AR35" i="5"/>
  <c r="AT35" i="5" s="1"/>
  <c r="AQ35" i="5"/>
  <c r="AO35" i="5"/>
  <c r="AN35" i="5"/>
  <c r="AL35" i="5"/>
  <c r="AJ35" i="5"/>
  <c r="AI35" i="5"/>
  <c r="AH35" i="5"/>
  <c r="AF35" i="5"/>
  <c r="AE35" i="5"/>
  <c r="AG35" i="5" s="1"/>
  <c r="AC35" i="5"/>
  <c r="AB35" i="5"/>
  <c r="AD35" i="5" s="1"/>
  <c r="AA35" i="5"/>
  <c r="Y35" i="5"/>
  <c r="X35" i="5"/>
  <c r="W35" i="5"/>
  <c r="V35" i="5"/>
  <c r="U35" i="5"/>
  <c r="R35" i="5"/>
  <c r="Q35" i="5"/>
  <c r="P35" i="5"/>
  <c r="N35" i="5"/>
  <c r="K35" i="5"/>
  <c r="H35" i="5"/>
  <c r="G35" i="5"/>
  <c r="O35" i="5" s="1"/>
  <c r="F35" i="5"/>
  <c r="E35" i="5"/>
  <c r="AY34" i="5"/>
  <c r="AW34" i="5"/>
  <c r="AV34" i="5"/>
  <c r="AU34" i="5"/>
  <c r="AX34" i="5" s="1"/>
  <c r="AS34" i="5"/>
  <c r="AR34" i="5"/>
  <c r="AQ34" i="5"/>
  <c r="AO34" i="5"/>
  <c r="AN34" i="5"/>
  <c r="AL34" i="5"/>
  <c r="AJ34" i="5"/>
  <c r="AI34" i="5"/>
  <c r="AH34" i="5"/>
  <c r="AF34" i="5"/>
  <c r="AE34" i="5"/>
  <c r="AG34" i="5" s="1"/>
  <c r="AC34" i="5"/>
  <c r="AB34" i="5"/>
  <c r="AA34" i="5"/>
  <c r="Y34" i="5"/>
  <c r="X34" i="5"/>
  <c r="W34" i="5"/>
  <c r="V34" i="5"/>
  <c r="U34" i="5"/>
  <c r="R34" i="5"/>
  <c r="Q34" i="5"/>
  <c r="P34" i="5"/>
  <c r="N34" i="5"/>
  <c r="K34" i="5"/>
  <c r="H34" i="5"/>
  <c r="G34" i="5"/>
  <c r="O34" i="5" s="1"/>
  <c r="F34" i="5"/>
  <c r="E34" i="5"/>
  <c r="AY32" i="5"/>
  <c r="AW32" i="5"/>
  <c r="AV32" i="5"/>
  <c r="AZ32" i="5" s="1"/>
  <c r="AU32" i="5"/>
  <c r="AX32" i="5" s="1"/>
  <c r="AS32" i="5"/>
  <c r="AR32" i="5"/>
  <c r="AT32" i="5" s="1"/>
  <c r="AQ32" i="5"/>
  <c r="AO32" i="5"/>
  <c r="AN32" i="5"/>
  <c r="AP32" i="5" s="1"/>
  <c r="AL32" i="5"/>
  <c r="AJ32" i="5"/>
  <c r="AI32" i="5"/>
  <c r="AH32" i="5"/>
  <c r="AF32" i="5"/>
  <c r="AE32" i="5"/>
  <c r="AG32" i="5" s="1"/>
  <c r="AC32" i="5"/>
  <c r="AB32" i="5"/>
  <c r="AD32" i="5" s="1"/>
  <c r="AA32" i="5"/>
  <c r="Y32" i="5"/>
  <c r="X32" i="5"/>
  <c r="W32" i="5"/>
  <c r="V32" i="5"/>
  <c r="U32" i="5"/>
  <c r="R32" i="5"/>
  <c r="Q32" i="5"/>
  <c r="P32" i="5"/>
  <c r="N32" i="5"/>
  <c r="K32" i="5"/>
  <c r="H32" i="5"/>
  <c r="G32" i="5"/>
  <c r="F32" i="5"/>
  <c r="E32" i="5"/>
  <c r="AY31" i="5"/>
  <c r="AW31" i="5"/>
  <c r="AV31" i="5"/>
  <c r="AZ31" i="5" s="1"/>
  <c r="AU31" i="5"/>
  <c r="AX31" i="5" s="1"/>
  <c r="AS31" i="5"/>
  <c r="AR31" i="5"/>
  <c r="AT31" i="5" s="1"/>
  <c r="AQ31" i="5"/>
  <c r="AO31" i="5"/>
  <c r="AN31" i="5"/>
  <c r="AL31" i="5"/>
  <c r="AJ31" i="5"/>
  <c r="AI31" i="5"/>
  <c r="AH31" i="5"/>
  <c r="AF31" i="5"/>
  <c r="AE31" i="5"/>
  <c r="AC31" i="5"/>
  <c r="AB31" i="5"/>
  <c r="AA31" i="5"/>
  <c r="Y31" i="5"/>
  <c r="X31" i="5"/>
  <c r="W31" i="5"/>
  <c r="V31" i="5"/>
  <c r="U31" i="5"/>
  <c r="R31" i="5"/>
  <c r="Q31" i="5"/>
  <c r="P31" i="5"/>
  <c r="N31" i="5"/>
  <c r="K31" i="5"/>
  <c r="H31" i="5"/>
  <c r="G31" i="5"/>
  <c r="O31" i="5" s="1"/>
  <c r="F31" i="5"/>
  <c r="E31" i="5"/>
  <c r="AY30" i="5"/>
  <c r="AW30" i="5"/>
  <c r="AV30" i="5"/>
  <c r="AZ30" i="5" s="1"/>
  <c r="AU30" i="5"/>
  <c r="AX30" i="5" s="1"/>
  <c r="AS30" i="5"/>
  <c r="AR30" i="5"/>
  <c r="AT30" i="5" s="1"/>
  <c r="AQ30" i="5"/>
  <c r="AO30" i="5"/>
  <c r="AN30" i="5"/>
  <c r="AL30" i="5"/>
  <c r="AJ30" i="5"/>
  <c r="AI30" i="5"/>
  <c r="AH30" i="5"/>
  <c r="AF30" i="5"/>
  <c r="AE30" i="5"/>
  <c r="AG30" i="5" s="1"/>
  <c r="AC30" i="5"/>
  <c r="AB30" i="5"/>
  <c r="AD30" i="5" s="1"/>
  <c r="AA30" i="5"/>
  <c r="Y30" i="5"/>
  <c r="X30" i="5"/>
  <c r="W30" i="5"/>
  <c r="V30" i="5"/>
  <c r="U30" i="5"/>
  <c r="R30" i="5"/>
  <c r="Q30" i="5"/>
  <c r="P30" i="5"/>
  <c r="N30" i="5"/>
  <c r="K30" i="5"/>
  <c r="H30" i="5"/>
  <c r="G30" i="5"/>
  <c r="O30" i="5" s="1"/>
  <c r="F30" i="5"/>
  <c r="E30" i="5"/>
  <c r="AY29" i="5"/>
  <c r="AW29" i="5"/>
  <c r="AV29" i="5"/>
  <c r="AU29" i="5"/>
  <c r="AX29" i="5" s="1"/>
  <c r="AS29" i="5"/>
  <c r="AR29" i="5"/>
  <c r="AQ29" i="5"/>
  <c r="AO29" i="5"/>
  <c r="AN29" i="5"/>
  <c r="AP29" i="5" s="1"/>
  <c r="AL29" i="5"/>
  <c r="AJ29" i="5"/>
  <c r="AI29" i="5"/>
  <c r="AH29" i="5"/>
  <c r="AF29" i="5"/>
  <c r="AE29" i="5"/>
  <c r="AG29" i="5" s="1"/>
  <c r="AC29" i="5"/>
  <c r="AB29" i="5"/>
  <c r="AD29" i="5" s="1"/>
  <c r="AA29" i="5"/>
  <c r="Y29" i="5"/>
  <c r="X29" i="5"/>
  <c r="W29" i="5"/>
  <c r="V29" i="5"/>
  <c r="U29" i="5"/>
  <c r="R29" i="5"/>
  <c r="Q29" i="5"/>
  <c r="P29" i="5"/>
  <c r="N29" i="5"/>
  <c r="K29" i="5"/>
  <c r="H29" i="5"/>
  <c r="G29" i="5"/>
  <c r="F29" i="5"/>
  <c r="E29" i="5"/>
  <c r="AY28" i="5"/>
  <c r="AW28" i="5"/>
  <c r="AV28" i="5"/>
  <c r="AZ28" i="5" s="1"/>
  <c r="AU28" i="5"/>
  <c r="AX28" i="5" s="1"/>
  <c r="AS28" i="5"/>
  <c r="AR28" i="5"/>
  <c r="AT28" i="5" s="1"/>
  <c r="AQ28" i="5"/>
  <c r="AO28" i="5"/>
  <c r="AN28" i="5"/>
  <c r="AL28" i="5"/>
  <c r="AJ28" i="5"/>
  <c r="AI28" i="5"/>
  <c r="AH28" i="5"/>
  <c r="AF28" i="5"/>
  <c r="AE28" i="5"/>
  <c r="AG28" i="5" s="1"/>
  <c r="AC28" i="5"/>
  <c r="AB28" i="5"/>
  <c r="AD28" i="5" s="1"/>
  <c r="AA28" i="5"/>
  <c r="Y28" i="5"/>
  <c r="X28" i="5"/>
  <c r="W28" i="5"/>
  <c r="V28" i="5"/>
  <c r="U28" i="5"/>
  <c r="R28" i="5"/>
  <c r="Q28" i="5"/>
  <c r="P28" i="5"/>
  <c r="N28" i="5"/>
  <c r="K28" i="5"/>
  <c r="H28" i="5"/>
  <c r="G28" i="5"/>
  <c r="O28" i="5" s="1"/>
  <c r="F28" i="5"/>
  <c r="E28" i="5"/>
  <c r="AY27" i="5"/>
  <c r="AW27" i="5"/>
  <c r="AV27" i="5"/>
  <c r="AZ27" i="5" s="1"/>
  <c r="AU27" i="5"/>
  <c r="AX27" i="5" s="1"/>
  <c r="AS27" i="5"/>
  <c r="AR27" i="5"/>
  <c r="AT27" i="5" s="1"/>
  <c r="AQ27" i="5"/>
  <c r="AO27" i="5"/>
  <c r="AN27" i="5"/>
  <c r="AL27" i="5"/>
  <c r="AJ27" i="5"/>
  <c r="AI27" i="5"/>
  <c r="AH27" i="5"/>
  <c r="AF27" i="5"/>
  <c r="AE27" i="5"/>
  <c r="AG27" i="5" s="1"/>
  <c r="AC27" i="5"/>
  <c r="AB27" i="5"/>
  <c r="AD27" i="5" s="1"/>
  <c r="AA27" i="5"/>
  <c r="Y27" i="5"/>
  <c r="X27" i="5"/>
  <c r="W27" i="5"/>
  <c r="V27" i="5"/>
  <c r="U27" i="5"/>
  <c r="R27" i="5"/>
  <c r="Q27" i="5"/>
  <c r="P27" i="5"/>
  <c r="N27" i="5"/>
  <c r="K27" i="5"/>
  <c r="H27" i="5"/>
  <c r="G27" i="5"/>
  <c r="O27" i="5" s="1"/>
  <c r="F27" i="5"/>
  <c r="E27" i="5"/>
  <c r="AY26" i="5"/>
  <c r="AW26" i="5"/>
  <c r="AV26" i="5"/>
  <c r="AZ26" i="5" s="1"/>
  <c r="AU26" i="5"/>
  <c r="AX26" i="5" s="1"/>
  <c r="AS26" i="5"/>
  <c r="AR26" i="5"/>
  <c r="AT26" i="5" s="1"/>
  <c r="AQ26" i="5"/>
  <c r="AO26" i="5"/>
  <c r="AN26" i="5"/>
  <c r="AP26" i="5" s="1"/>
  <c r="AL26" i="5"/>
  <c r="AJ26" i="5"/>
  <c r="AI26" i="5"/>
  <c r="AH26" i="5"/>
  <c r="AF26" i="5"/>
  <c r="AE26" i="5"/>
  <c r="AG26" i="5" s="1"/>
  <c r="AC26" i="5"/>
  <c r="AB26" i="5"/>
  <c r="AD26" i="5" s="1"/>
  <c r="AA26" i="5"/>
  <c r="Y26" i="5"/>
  <c r="X26" i="5"/>
  <c r="W26" i="5"/>
  <c r="V26" i="5"/>
  <c r="U26" i="5"/>
  <c r="R26" i="5"/>
  <c r="Q26" i="5"/>
  <c r="P26" i="5"/>
  <c r="N26" i="5"/>
  <c r="K26" i="5"/>
  <c r="H26" i="5"/>
  <c r="G26" i="5"/>
  <c r="O26" i="5" s="1"/>
  <c r="F26" i="5"/>
  <c r="E26" i="5"/>
  <c r="AY25" i="5"/>
  <c r="AW25" i="5"/>
  <c r="AV25" i="5"/>
  <c r="AZ25" i="5" s="1"/>
  <c r="AU25" i="5"/>
  <c r="AX25" i="5" s="1"/>
  <c r="AS25" i="5"/>
  <c r="AR25" i="5"/>
  <c r="AT25" i="5" s="1"/>
  <c r="AQ25" i="5"/>
  <c r="AO25" i="5"/>
  <c r="AN25" i="5"/>
  <c r="AL25" i="5"/>
  <c r="AJ25" i="5"/>
  <c r="AI25" i="5"/>
  <c r="AH25" i="5"/>
  <c r="AF25" i="5"/>
  <c r="AE25" i="5"/>
  <c r="AC25" i="5"/>
  <c r="AB25" i="5"/>
  <c r="AA25" i="5"/>
  <c r="Y25" i="5"/>
  <c r="X25" i="5"/>
  <c r="W25" i="5"/>
  <c r="V25" i="5"/>
  <c r="U25" i="5"/>
  <c r="R25" i="5"/>
  <c r="Q25" i="5"/>
  <c r="P25" i="5"/>
  <c r="N25" i="5"/>
  <c r="K25" i="5"/>
  <c r="H25" i="5"/>
  <c r="G25" i="5"/>
  <c r="O25" i="5" s="1"/>
  <c r="F25" i="5"/>
  <c r="E25" i="5"/>
  <c r="AY24" i="5"/>
  <c r="AW24" i="5"/>
  <c r="AV24" i="5"/>
  <c r="AZ24" i="5" s="1"/>
  <c r="AU24" i="5"/>
  <c r="AX24" i="5" s="1"/>
  <c r="AS24" i="5"/>
  <c r="AR24" i="5"/>
  <c r="AT24" i="5" s="1"/>
  <c r="AQ24" i="5"/>
  <c r="AO24" i="5"/>
  <c r="AN24" i="5"/>
  <c r="AL24" i="5"/>
  <c r="AJ24" i="5"/>
  <c r="AI24" i="5"/>
  <c r="AH24" i="5"/>
  <c r="AF24" i="5"/>
  <c r="AE24" i="5"/>
  <c r="AG24" i="5" s="1"/>
  <c r="AC24" i="5"/>
  <c r="AB24" i="5"/>
  <c r="AD24" i="5" s="1"/>
  <c r="AA24" i="5"/>
  <c r="Y24" i="5"/>
  <c r="X24" i="5"/>
  <c r="W24" i="5"/>
  <c r="V24" i="5"/>
  <c r="U24" i="5"/>
  <c r="R24" i="5"/>
  <c r="Q24" i="5"/>
  <c r="P24" i="5"/>
  <c r="N24" i="5"/>
  <c r="K24" i="5"/>
  <c r="H24" i="5"/>
  <c r="G24" i="5"/>
  <c r="O24" i="5" s="1"/>
  <c r="F24" i="5"/>
  <c r="E24" i="5"/>
  <c r="AY23" i="5"/>
  <c r="AW23" i="5"/>
  <c r="AV23" i="5"/>
  <c r="AZ23" i="5" s="1"/>
  <c r="AU23" i="5"/>
  <c r="AX23" i="5" s="1"/>
  <c r="AS23" i="5"/>
  <c r="AR23" i="5"/>
  <c r="AT23" i="5" s="1"/>
  <c r="AQ23" i="5"/>
  <c r="AO23" i="5"/>
  <c r="AN23" i="5"/>
  <c r="AL23" i="5"/>
  <c r="AJ23" i="5"/>
  <c r="AI23" i="5"/>
  <c r="AH23" i="5"/>
  <c r="AF23" i="5"/>
  <c r="AE23" i="5"/>
  <c r="AG23" i="5" s="1"/>
  <c r="AC23" i="5"/>
  <c r="AB23" i="5"/>
  <c r="AD23" i="5" s="1"/>
  <c r="AA23" i="5"/>
  <c r="Y23" i="5"/>
  <c r="X23" i="5"/>
  <c r="W23" i="5"/>
  <c r="V23" i="5"/>
  <c r="U23" i="5"/>
  <c r="R23" i="5"/>
  <c r="Q23" i="5"/>
  <c r="P23" i="5"/>
  <c r="N23" i="5"/>
  <c r="K23" i="5"/>
  <c r="H23" i="5"/>
  <c r="G23" i="5"/>
  <c r="O23" i="5" s="1"/>
  <c r="F23" i="5"/>
  <c r="E23" i="5"/>
  <c r="AY22" i="5"/>
  <c r="AW22" i="5"/>
  <c r="AV22" i="5"/>
  <c r="AU22" i="5"/>
  <c r="AS22" i="5"/>
  <c r="AR22" i="5"/>
  <c r="AQ22" i="5"/>
  <c r="AO22" i="5"/>
  <c r="AN22" i="5"/>
  <c r="AL22" i="5"/>
  <c r="AJ22" i="5"/>
  <c r="AI22" i="5"/>
  <c r="AH22" i="5"/>
  <c r="AF22" i="5"/>
  <c r="AE22" i="5"/>
  <c r="AG22" i="5" s="1"/>
  <c r="AC22" i="5"/>
  <c r="AB22" i="5"/>
  <c r="AD22" i="5" s="1"/>
  <c r="AA22" i="5"/>
  <c r="Y22" i="5"/>
  <c r="X22" i="5"/>
  <c r="W22" i="5"/>
  <c r="V22" i="5"/>
  <c r="U22" i="5"/>
  <c r="R22" i="5"/>
  <c r="Q22" i="5"/>
  <c r="P22" i="5"/>
  <c r="N22" i="5"/>
  <c r="K22" i="5"/>
  <c r="H22" i="5"/>
  <c r="G22" i="5"/>
  <c r="O22" i="5" s="1"/>
  <c r="F22" i="5"/>
  <c r="E22" i="5"/>
  <c r="AY21" i="5"/>
  <c r="AW21" i="5"/>
  <c r="AV21" i="5"/>
  <c r="AU21" i="5"/>
  <c r="AS21" i="5"/>
  <c r="AR21" i="5"/>
  <c r="AQ21" i="5"/>
  <c r="AO21" i="5"/>
  <c r="AN21" i="5"/>
  <c r="AL21" i="5"/>
  <c r="AJ21" i="5"/>
  <c r="AI21" i="5"/>
  <c r="AH21" i="5"/>
  <c r="AF21" i="5"/>
  <c r="AE21" i="5"/>
  <c r="AG21" i="5" s="1"/>
  <c r="AC21" i="5"/>
  <c r="AB21" i="5"/>
  <c r="AD21" i="5" s="1"/>
  <c r="AA21" i="5"/>
  <c r="Y21" i="5"/>
  <c r="X21" i="5"/>
  <c r="W21" i="5"/>
  <c r="V21" i="5"/>
  <c r="U21" i="5"/>
  <c r="R21" i="5"/>
  <c r="Q21" i="5"/>
  <c r="P21" i="5"/>
  <c r="N21" i="5"/>
  <c r="K21" i="5"/>
  <c r="H21" i="5"/>
  <c r="G21" i="5"/>
  <c r="O21" i="5" s="1"/>
  <c r="F21" i="5"/>
  <c r="E21" i="5"/>
  <c r="AY20" i="5"/>
  <c r="AW20" i="5"/>
  <c r="AV20" i="5"/>
  <c r="AZ20" i="5" s="1"/>
  <c r="AU20" i="5"/>
  <c r="AX20" i="5" s="1"/>
  <c r="AS20" i="5"/>
  <c r="AR20" i="5"/>
  <c r="AT20" i="5" s="1"/>
  <c r="AQ20" i="5"/>
  <c r="AO20" i="5"/>
  <c r="AN20" i="5"/>
  <c r="AL20" i="5"/>
  <c r="AJ20" i="5"/>
  <c r="AI20" i="5"/>
  <c r="AH20" i="5"/>
  <c r="AF20" i="5"/>
  <c r="AE20" i="5"/>
  <c r="AG20" i="5" s="1"/>
  <c r="AC20" i="5"/>
  <c r="AB20" i="5"/>
  <c r="AD20" i="5" s="1"/>
  <c r="AA20" i="5"/>
  <c r="Y20" i="5"/>
  <c r="X20" i="5"/>
  <c r="W20" i="5"/>
  <c r="V20" i="5"/>
  <c r="U20" i="5"/>
  <c r="R20" i="5"/>
  <c r="Q20" i="5"/>
  <c r="P20" i="5"/>
  <c r="N20" i="5"/>
  <c r="K20" i="5"/>
  <c r="H20" i="5"/>
  <c r="G20" i="5"/>
  <c r="O20" i="5" s="1"/>
  <c r="F20" i="5"/>
  <c r="E20" i="5"/>
  <c r="AY19" i="5"/>
  <c r="AW19" i="5"/>
  <c r="AV19" i="5"/>
  <c r="AZ19" i="5" s="1"/>
  <c r="AU19" i="5"/>
  <c r="AX19" i="5" s="1"/>
  <c r="AS19" i="5"/>
  <c r="AR19" i="5"/>
  <c r="AT19" i="5" s="1"/>
  <c r="AQ19" i="5"/>
  <c r="AO19" i="5"/>
  <c r="AN19" i="5"/>
  <c r="AL19" i="5"/>
  <c r="AJ19" i="5"/>
  <c r="AI19" i="5"/>
  <c r="AH19" i="5"/>
  <c r="AF19" i="5"/>
  <c r="AE19" i="5"/>
  <c r="AG19" i="5" s="1"/>
  <c r="AC19" i="5"/>
  <c r="AB19" i="5"/>
  <c r="AD19" i="5" s="1"/>
  <c r="AA19" i="5"/>
  <c r="Y19" i="5"/>
  <c r="X19" i="5"/>
  <c r="W19" i="5"/>
  <c r="V19" i="5"/>
  <c r="U19" i="5"/>
  <c r="R19" i="5"/>
  <c r="Q19" i="5"/>
  <c r="P19" i="5"/>
  <c r="N19" i="5"/>
  <c r="K19" i="5"/>
  <c r="H19" i="5"/>
  <c r="G19" i="5"/>
  <c r="O19" i="5" s="1"/>
  <c r="F19" i="5"/>
  <c r="E19" i="5"/>
  <c r="AY18" i="5"/>
  <c r="AW18" i="5"/>
  <c r="AV18" i="5"/>
  <c r="AU18" i="5"/>
  <c r="AX18" i="5" s="1"/>
  <c r="AS18" i="5"/>
  <c r="AR18" i="5"/>
  <c r="AQ18" i="5"/>
  <c r="AO18" i="5"/>
  <c r="AN18" i="5"/>
  <c r="AP18" i="5" s="1"/>
  <c r="AL18" i="5"/>
  <c r="AJ18" i="5"/>
  <c r="AI18" i="5"/>
  <c r="AH18" i="5"/>
  <c r="AF18" i="5"/>
  <c r="AE18" i="5"/>
  <c r="AC18" i="5"/>
  <c r="AB18" i="5"/>
  <c r="AA18" i="5"/>
  <c r="Y18" i="5"/>
  <c r="X18" i="5"/>
  <c r="W18" i="5"/>
  <c r="V18" i="5"/>
  <c r="U18" i="5"/>
  <c r="R18" i="5"/>
  <c r="Q18" i="5"/>
  <c r="P18" i="5"/>
  <c r="N18" i="5"/>
  <c r="K18" i="5"/>
  <c r="H18" i="5"/>
  <c r="G18" i="5"/>
  <c r="O18" i="5" s="1"/>
  <c r="F18" i="5"/>
  <c r="E18" i="5"/>
  <c r="AY17" i="5"/>
  <c r="AW17" i="5"/>
  <c r="AV17" i="5"/>
  <c r="AZ17" i="5" s="1"/>
  <c r="AU17" i="5"/>
  <c r="AX17" i="5" s="1"/>
  <c r="AS17" i="5"/>
  <c r="AR17" i="5"/>
  <c r="AT17" i="5" s="1"/>
  <c r="AQ17" i="5"/>
  <c r="AO17" i="5"/>
  <c r="AN17" i="5"/>
  <c r="AL17" i="5"/>
  <c r="AJ17" i="5"/>
  <c r="AI17" i="5"/>
  <c r="AH17" i="5"/>
  <c r="AF17" i="5"/>
  <c r="AE17" i="5"/>
  <c r="AG17" i="5" s="1"/>
  <c r="AC17" i="5"/>
  <c r="AB17" i="5"/>
  <c r="AD17" i="5" s="1"/>
  <c r="AA17" i="5"/>
  <c r="Y17" i="5"/>
  <c r="X17" i="5"/>
  <c r="W17" i="5"/>
  <c r="V17" i="5"/>
  <c r="U17" i="5"/>
  <c r="R17" i="5"/>
  <c r="Q17" i="5"/>
  <c r="P17" i="5"/>
  <c r="N17" i="5"/>
  <c r="K17" i="5"/>
  <c r="H17" i="5"/>
  <c r="G17" i="5"/>
  <c r="O17" i="5" s="1"/>
  <c r="F17" i="5"/>
  <c r="E17" i="5"/>
  <c r="AY16" i="5"/>
  <c r="AW16" i="5"/>
  <c r="AV16" i="5"/>
  <c r="AZ16" i="5" s="1"/>
  <c r="AU16" i="5"/>
  <c r="AS16" i="5"/>
  <c r="AR16" i="5"/>
  <c r="AT16" i="5" s="1"/>
  <c r="AQ16" i="5"/>
  <c r="AO16" i="5"/>
  <c r="AN16" i="5"/>
  <c r="AL16" i="5"/>
  <c r="AJ16" i="5"/>
  <c r="AI16" i="5"/>
  <c r="AH16" i="5"/>
  <c r="AF16" i="5"/>
  <c r="AE16" i="5"/>
  <c r="AC16" i="5"/>
  <c r="AB16" i="5"/>
  <c r="AD16" i="5" s="1"/>
  <c r="AA16" i="5"/>
  <c r="Y16" i="5"/>
  <c r="X16" i="5"/>
  <c r="W16" i="5"/>
  <c r="V16" i="5"/>
  <c r="U16" i="5"/>
  <c r="R16" i="5"/>
  <c r="Q16" i="5"/>
  <c r="P16" i="5"/>
  <c r="N16" i="5"/>
  <c r="K16" i="5"/>
  <c r="H16" i="5"/>
  <c r="G16" i="5"/>
  <c r="O16" i="5" s="1"/>
  <c r="F16" i="5"/>
  <c r="E16" i="5"/>
  <c r="BA14" i="5"/>
  <c r="BC14" i="5" s="1"/>
  <c r="AZ14" i="5"/>
  <c r="AX14" i="5"/>
  <c r="AT14" i="5"/>
  <c r="AP14" i="5"/>
  <c r="AM14" i="5"/>
  <c r="AK14" i="5"/>
  <c r="AG14" i="5"/>
  <c r="AD14" i="5"/>
  <c r="Z14" i="5"/>
  <c r="S14" i="5"/>
  <c r="O14" i="5"/>
  <c r="M14" i="5"/>
  <c r="L14" i="5"/>
  <c r="I14" i="5"/>
  <c r="C14" i="5"/>
  <c r="J14" i="5" s="1"/>
  <c r="AY13" i="5"/>
  <c r="AY11" i="5" s="1"/>
  <c r="AV13" i="5"/>
  <c r="AZ13" i="5" s="1"/>
  <c r="AU13" i="5"/>
  <c r="AX13" i="5" s="1"/>
  <c r="AS13" i="5"/>
  <c r="AR13" i="5"/>
  <c r="AT13" i="5" s="1"/>
  <c r="AQ13" i="5"/>
  <c r="AO13" i="5"/>
  <c r="AN13" i="5"/>
  <c r="BA13" i="5" s="1"/>
  <c r="BC13" i="5" s="1"/>
  <c r="AJ13" i="5"/>
  <c r="AH13" i="5"/>
  <c r="AF13" i="5"/>
  <c r="AE13" i="5"/>
  <c r="AG13" i="5" s="1"/>
  <c r="AC13" i="5"/>
  <c r="AB13" i="5"/>
  <c r="AD13" i="5" s="1"/>
  <c r="AA13" i="5"/>
  <c r="Z13" i="5"/>
  <c r="Y13" i="5"/>
  <c r="X13" i="5"/>
  <c r="V13" i="5"/>
  <c r="U13" i="5"/>
  <c r="T13" i="5"/>
  <c r="R13" i="5"/>
  <c r="Q13" i="5"/>
  <c r="S13" i="5" s="1"/>
  <c r="BB12" i="5"/>
  <c r="AY12" i="5"/>
  <c r="AW12" i="5"/>
  <c r="AJ12" i="5"/>
  <c r="AJ11" i="5" s="1"/>
  <c r="AF12" i="5"/>
  <c r="AC12" i="5"/>
  <c r="AC11" i="5" s="1"/>
  <c r="Y12" i="5"/>
  <c r="Y11" i="5" s="1"/>
  <c r="V12" i="5"/>
  <c r="U12" i="5"/>
  <c r="U11" i="5" s="1"/>
  <c r="T12" i="5"/>
  <c r="AO11" i="5"/>
  <c r="AF119" i="4"/>
  <c r="AC119" i="4"/>
  <c r="Z119" i="4"/>
  <c r="AE119" i="4" s="1"/>
  <c r="Y119" i="4"/>
  <c r="AG119" i="4" s="1"/>
  <c r="X119" i="4"/>
  <c r="W119" i="4"/>
  <c r="S119" i="4"/>
  <c r="N119" i="4"/>
  <c r="K119" i="4"/>
  <c r="H119" i="4"/>
  <c r="M119" i="4" s="1"/>
  <c r="G119" i="4"/>
  <c r="O119" i="4" s="1"/>
  <c r="F119" i="4"/>
  <c r="E119" i="4"/>
  <c r="AF118" i="4"/>
  <c r="AC118" i="4"/>
  <c r="Z118" i="4"/>
  <c r="AE118" i="4" s="1"/>
  <c r="Y118" i="4"/>
  <c r="AG118" i="4" s="1"/>
  <c r="X118" i="4"/>
  <c r="W118" i="4"/>
  <c r="S118" i="4"/>
  <c r="N118" i="4"/>
  <c r="K118" i="4"/>
  <c r="H118" i="4"/>
  <c r="M118" i="4" s="1"/>
  <c r="G118" i="4"/>
  <c r="O118" i="4" s="1"/>
  <c r="F118" i="4"/>
  <c r="E118" i="4"/>
  <c r="AF117" i="4"/>
  <c r="AC117" i="4"/>
  <c r="Z117" i="4"/>
  <c r="AE117" i="4" s="1"/>
  <c r="Y117" i="4"/>
  <c r="AG117" i="4" s="1"/>
  <c r="X117" i="4"/>
  <c r="W117" i="4"/>
  <c r="S117" i="4"/>
  <c r="N117" i="4"/>
  <c r="K117" i="4"/>
  <c r="H117" i="4"/>
  <c r="M117" i="4" s="1"/>
  <c r="G117" i="4"/>
  <c r="O117" i="4" s="1"/>
  <c r="F117" i="4"/>
  <c r="E117" i="4"/>
  <c r="AF116" i="4"/>
  <c r="AC116" i="4"/>
  <c r="Z116" i="4"/>
  <c r="AE116" i="4" s="1"/>
  <c r="Y116" i="4"/>
  <c r="AG116" i="4" s="1"/>
  <c r="X116" i="4"/>
  <c r="W116" i="4"/>
  <c r="S116" i="4"/>
  <c r="N116" i="4"/>
  <c r="K116" i="4"/>
  <c r="H116" i="4"/>
  <c r="M116" i="4" s="1"/>
  <c r="G116" i="4"/>
  <c r="F116" i="4"/>
  <c r="E116" i="4"/>
  <c r="AF115" i="4"/>
  <c r="AC115" i="4"/>
  <c r="Z115" i="4"/>
  <c r="AE115" i="4" s="1"/>
  <c r="Y115" i="4"/>
  <c r="AG115" i="4" s="1"/>
  <c r="X115" i="4"/>
  <c r="W115" i="4"/>
  <c r="S115" i="4"/>
  <c r="N115" i="4"/>
  <c r="K115" i="4"/>
  <c r="H115" i="4"/>
  <c r="M115" i="4" s="1"/>
  <c r="G115" i="4"/>
  <c r="O115" i="4" s="1"/>
  <c r="F115" i="4"/>
  <c r="E115" i="4"/>
  <c r="AJ114" i="4"/>
  <c r="AF114" i="4"/>
  <c r="AC114" i="4"/>
  <c r="Z114" i="4"/>
  <c r="AE114" i="4" s="1"/>
  <c r="Y114" i="4"/>
  <c r="AG114" i="4" s="1"/>
  <c r="X114" i="4"/>
  <c r="W114" i="4"/>
  <c r="S114" i="4"/>
  <c r="N114" i="4"/>
  <c r="K114" i="4"/>
  <c r="H114" i="4"/>
  <c r="M114" i="4" s="1"/>
  <c r="G114" i="4"/>
  <c r="O114" i="4" s="1"/>
  <c r="F114" i="4"/>
  <c r="E114" i="4"/>
  <c r="AJ113" i="4"/>
  <c r="AF113" i="4"/>
  <c r="AC113" i="4"/>
  <c r="Z113" i="4"/>
  <c r="AE113" i="4" s="1"/>
  <c r="Y113" i="4"/>
  <c r="AG113" i="4" s="1"/>
  <c r="X113" i="4"/>
  <c r="W113" i="4"/>
  <c r="S113" i="4"/>
  <c r="N113" i="4"/>
  <c r="K113" i="4"/>
  <c r="H113" i="4"/>
  <c r="M113" i="4" s="1"/>
  <c r="G113" i="4"/>
  <c r="O113" i="4" s="1"/>
  <c r="F113" i="4"/>
  <c r="E113" i="4"/>
  <c r="AJ112" i="4"/>
  <c r="AF112" i="4"/>
  <c r="AC112" i="4"/>
  <c r="Z112" i="4"/>
  <c r="AE112" i="4" s="1"/>
  <c r="Y112" i="4"/>
  <c r="AG112" i="4" s="1"/>
  <c r="X112" i="4"/>
  <c r="W112" i="4"/>
  <c r="S112" i="4"/>
  <c r="N112" i="4"/>
  <c r="K112" i="4"/>
  <c r="H112" i="4"/>
  <c r="M112" i="4" s="1"/>
  <c r="G112" i="4"/>
  <c r="O112" i="4" s="1"/>
  <c r="F112" i="4"/>
  <c r="E112" i="4"/>
  <c r="AJ111" i="4"/>
  <c r="AF111" i="4"/>
  <c r="AC111" i="4"/>
  <c r="Z111" i="4"/>
  <c r="AE111" i="4" s="1"/>
  <c r="Y111" i="4"/>
  <c r="AG111" i="4" s="1"/>
  <c r="X111" i="4"/>
  <c r="W111" i="4"/>
  <c r="S111" i="4"/>
  <c r="N111" i="4"/>
  <c r="K111" i="4"/>
  <c r="H111" i="4"/>
  <c r="M111" i="4" s="1"/>
  <c r="G111" i="4"/>
  <c r="O111" i="4" s="1"/>
  <c r="F111" i="4"/>
  <c r="E111" i="4"/>
  <c r="AJ110" i="4"/>
  <c r="AF110" i="4"/>
  <c r="AC110" i="4"/>
  <c r="Z110" i="4"/>
  <c r="AE110" i="4" s="1"/>
  <c r="Y110" i="4"/>
  <c r="AG110" i="4" s="1"/>
  <c r="X110" i="4"/>
  <c r="W110" i="4"/>
  <c r="S110" i="4"/>
  <c r="N110" i="4"/>
  <c r="K110" i="4"/>
  <c r="H110" i="4"/>
  <c r="M110" i="4" s="1"/>
  <c r="G110" i="4"/>
  <c r="O110" i="4" s="1"/>
  <c r="F110" i="4"/>
  <c r="E110" i="4"/>
  <c r="AJ109" i="4"/>
  <c r="AF109" i="4"/>
  <c r="AC109" i="4"/>
  <c r="Z109" i="4"/>
  <c r="AE109" i="4" s="1"/>
  <c r="Y109" i="4"/>
  <c r="AG109" i="4" s="1"/>
  <c r="X109" i="4"/>
  <c r="W109" i="4"/>
  <c r="S109" i="4"/>
  <c r="N109" i="4"/>
  <c r="K109" i="4"/>
  <c r="H109" i="4"/>
  <c r="M109" i="4" s="1"/>
  <c r="G109" i="4"/>
  <c r="O109" i="4" s="1"/>
  <c r="F109" i="4"/>
  <c r="E109" i="4"/>
  <c r="AJ108" i="4"/>
  <c r="AF108" i="4"/>
  <c r="AC108" i="4"/>
  <c r="Z108" i="4"/>
  <c r="AE108" i="4" s="1"/>
  <c r="Y108" i="4"/>
  <c r="AG108" i="4" s="1"/>
  <c r="X108" i="4"/>
  <c r="W108" i="4"/>
  <c r="S108" i="4"/>
  <c r="N108" i="4"/>
  <c r="K108" i="4"/>
  <c r="H108" i="4"/>
  <c r="G108" i="4"/>
  <c r="O108" i="4" s="1"/>
  <c r="F108" i="4"/>
  <c r="E108" i="4"/>
  <c r="AJ107" i="4"/>
  <c r="AF107" i="4"/>
  <c r="AC107" i="4"/>
  <c r="Z107" i="4"/>
  <c r="Y107" i="4"/>
  <c r="AG107" i="4" s="1"/>
  <c r="X107" i="4"/>
  <c r="W107" i="4"/>
  <c r="S107" i="4"/>
  <c r="N107" i="4"/>
  <c r="K107" i="4"/>
  <c r="H107" i="4"/>
  <c r="G107" i="4"/>
  <c r="O107" i="4" s="1"/>
  <c r="F107" i="4"/>
  <c r="E107" i="4"/>
  <c r="AI106" i="4"/>
  <c r="AH106" i="4"/>
  <c r="AH13" i="4" s="1"/>
  <c r="AJ13" i="4" s="1"/>
  <c r="Q106" i="4"/>
  <c r="P106" i="4"/>
  <c r="R106" i="4" s="1"/>
  <c r="AH105" i="4"/>
  <c r="AJ105" i="4" s="1"/>
  <c r="AF105" i="4"/>
  <c r="AC105" i="4"/>
  <c r="Z105" i="4"/>
  <c r="AE105" i="4" s="1"/>
  <c r="Y105" i="4"/>
  <c r="AG105" i="4" s="1"/>
  <c r="X105" i="4"/>
  <c r="W105" i="4"/>
  <c r="P105" i="4"/>
  <c r="R105" i="4" s="1"/>
  <c r="N105" i="4"/>
  <c r="K105" i="4"/>
  <c r="H105" i="4"/>
  <c r="M105" i="4" s="1"/>
  <c r="G105" i="4"/>
  <c r="O105" i="4" s="1"/>
  <c r="F105" i="4"/>
  <c r="E105" i="4"/>
  <c r="AH104" i="4"/>
  <c r="AJ104" i="4" s="1"/>
  <c r="AF104" i="4"/>
  <c r="AC104" i="4"/>
  <c r="Z104" i="4"/>
  <c r="AE104" i="4" s="1"/>
  <c r="Y104" i="4"/>
  <c r="AG104" i="4" s="1"/>
  <c r="X104" i="4"/>
  <c r="W104" i="4"/>
  <c r="P104" i="4"/>
  <c r="T104" i="4" s="1"/>
  <c r="N104" i="4"/>
  <c r="K104" i="4"/>
  <c r="H104" i="4"/>
  <c r="M104" i="4" s="1"/>
  <c r="G104" i="4"/>
  <c r="O104" i="4" s="1"/>
  <c r="F104" i="4"/>
  <c r="E104" i="4"/>
  <c r="AH103" i="4"/>
  <c r="AJ103" i="4" s="1"/>
  <c r="AF103" i="4"/>
  <c r="AC103" i="4"/>
  <c r="Z103" i="4"/>
  <c r="AE103" i="4" s="1"/>
  <c r="Y103" i="4"/>
  <c r="AG103" i="4" s="1"/>
  <c r="X103" i="4"/>
  <c r="W103" i="4"/>
  <c r="P103" i="4"/>
  <c r="T103" i="4" s="1"/>
  <c r="N103" i="4"/>
  <c r="K103" i="4"/>
  <c r="H103" i="4"/>
  <c r="M103" i="4" s="1"/>
  <c r="G103" i="4"/>
  <c r="O103" i="4" s="1"/>
  <c r="F103" i="4"/>
  <c r="E103" i="4"/>
  <c r="AH102" i="4"/>
  <c r="AJ102" i="4" s="1"/>
  <c r="AF102" i="4"/>
  <c r="AC102" i="4"/>
  <c r="Z102" i="4"/>
  <c r="AE102" i="4" s="1"/>
  <c r="Y102" i="4"/>
  <c r="AG102" i="4" s="1"/>
  <c r="X102" i="4"/>
  <c r="W102" i="4"/>
  <c r="P102" i="4"/>
  <c r="T102" i="4" s="1"/>
  <c r="N102" i="4"/>
  <c r="K102" i="4"/>
  <c r="H102" i="4"/>
  <c r="M102" i="4" s="1"/>
  <c r="G102" i="4"/>
  <c r="O102" i="4" s="1"/>
  <c r="F102" i="4"/>
  <c r="E102" i="4"/>
  <c r="AH101" i="4"/>
  <c r="AJ101" i="4" s="1"/>
  <c r="AF101" i="4"/>
  <c r="AC101" i="4"/>
  <c r="Z101" i="4"/>
  <c r="AE101" i="4" s="1"/>
  <c r="Y101" i="4"/>
  <c r="AG101" i="4" s="1"/>
  <c r="X101" i="4"/>
  <c r="W101" i="4"/>
  <c r="P101" i="4"/>
  <c r="T101" i="4" s="1"/>
  <c r="N101" i="4"/>
  <c r="K101" i="4"/>
  <c r="H101" i="4"/>
  <c r="M101" i="4" s="1"/>
  <c r="G101" i="4"/>
  <c r="O101" i="4" s="1"/>
  <c r="F101" i="4"/>
  <c r="E101" i="4"/>
  <c r="AH100" i="4"/>
  <c r="AJ100" i="4" s="1"/>
  <c r="AF100" i="4"/>
  <c r="AC100" i="4"/>
  <c r="Z100" i="4"/>
  <c r="AE100" i="4" s="1"/>
  <c r="Y100" i="4"/>
  <c r="AG100" i="4" s="1"/>
  <c r="X100" i="4"/>
  <c r="W100" i="4"/>
  <c r="P100" i="4"/>
  <c r="T100" i="4" s="1"/>
  <c r="N100" i="4"/>
  <c r="K100" i="4"/>
  <c r="H100" i="4"/>
  <c r="M100" i="4" s="1"/>
  <c r="G100" i="4"/>
  <c r="O100" i="4" s="1"/>
  <c r="F100" i="4"/>
  <c r="E100" i="4"/>
  <c r="AH99" i="4"/>
  <c r="AJ99" i="4" s="1"/>
  <c r="AF99" i="4"/>
  <c r="AC99" i="4"/>
  <c r="Z99" i="4"/>
  <c r="Y99" i="4"/>
  <c r="AG99" i="4" s="1"/>
  <c r="X99" i="4"/>
  <c r="W99" i="4"/>
  <c r="P99" i="4"/>
  <c r="T99" i="4" s="1"/>
  <c r="N99" i="4"/>
  <c r="K99" i="4"/>
  <c r="H99" i="4"/>
  <c r="M99" i="4" s="1"/>
  <c r="G99" i="4"/>
  <c r="O99" i="4" s="1"/>
  <c r="F99" i="4"/>
  <c r="E99" i="4"/>
  <c r="AH98" i="4"/>
  <c r="AJ98" i="4" s="1"/>
  <c r="AF98" i="4"/>
  <c r="AC98" i="4"/>
  <c r="Z98" i="4"/>
  <c r="AE98" i="4" s="1"/>
  <c r="Y98" i="4"/>
  <c r="AG98" i="4" s="1"/>
  <c r="X98" i="4"/>
  <c r="W98" i="4"/>
  <c r="P98" i="4"/>
  <c r="T98" i="4" s="1"/>
  <c r="N98" i="4"/>
  <c r="K98" i="4"/>
  <c r="H98" i="4"/>
  <c r="G98" i="4"/>
  <c r="F98" i="4"/>
  <c r="E98" i="4"/>
  <c r="AH97" i="4"/>
  <c r="AJ97" i="4" s="1"/>
  <c r="AF97" i="4"/>
  <c r="AC97" i="4"/>
  <c r="Z97" i="4"/>
  <c r="Y97" i="4"/>
  <c r="AG97" i="4" s="1"/>
  <c r="X97" i="4"/>
  <c r="W97" i="4"/>
  <c r="P97" i="4"/>
  <c r="T97" i="4" s="1"/>
  <c r="N97" i="4"/>
  <c r="K97" i="4"/>
  <c r="H97" i="4"/>
  <c r="M97" i="4" s="1"/>
  <c r="G97" i="4"/>
  <c r="O97" i="4" s="1"/>
  <c r="F97" i="4"/>
  <c r="E97" i="4"/>
  <c r="AH96" i="4"/>
  <c r="AJ96" i="4" s="1"/>
  <c r="AF96" i="4"/>
  <c r="AC96" i="4"/>
  <c r="Z96" i="4"/>
  <c r="AE96" i="4" s="1"/>
  <c r="Y96" i="4"/>
  <c r="X96" i="4"/>
  <c r="W96" i="4"/>
  <c r="P96" i="4"/>
  <c r="T96" i="4" s="1"/>
  <c r="N96" i="4"/>
  <c r="K96" i="4"/>
  <c r="H96" i="4"/>
  <c r="M96" i="4" s="1"/>
  <c r="G96" i="4"/>
  <c r="O96" i="4" s="1"/>
  <c r="F96" i="4"/>
  <c r="E96" i="4"/>
  <c r="AH95" i="4"/>
  <c r="AJ95" i="4" s="1"/>
  <c r="AF95" i="4"/>
  <c r="AC95" i="4"/>
  <c r="Z95" i="4"/>
  <c r="Y95" i="4"/>
  <c r="AG95" i="4" s="1"/>
  <c r="X95" i="4"/>
  <c r="W95" i="4"/>
  <c r="P95" i="4"/>
  <c r="T95" i="4" s="1"/>
  <c r="N95" i="4"/>
  <c r="K95" i="4"/>
  <c r="H95" i="4"/>
  <c r="M95" i="4" s="1"/>
  <c r="G95" i="4"/>
  <c r="O95" i="4" s="1"/>
  <c r="F95" i="4"/>
  <c r="E95" i="4"/>
  <c r="A95" i="4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H94" i="4"/>
  <c r="AF94" i="4"/>
  <c r="AC94" i="4"/>
  <c r="Z94" i="4"/>
  <c r="Y94" i="4"/>
  <c r="AG94" i="4" s="1"/>
  <c r="X94" i="4"/>
  <c r="W94" i="4"/>
  <c r="P94" i="4"/>
  <c r="T94" i="4" s="1"/>
  <c r="N94" i="4"/>
  <c r="K94" i="4"/>
  <c r="H94" i="4"/>
  <c r="M94" i="4" s="1"/>
  <c r="G94" i="4"/>
  <c r="O94" i="4" s="1"/>
  <c r="F94" i="4"/>
  <c r="E94" i="4"/>
  <c r="AH93" i="4"/>
  <c r="AJ93" i="4" s="1"/>
  <c r="AF93" i="4"/>
  <c r="AC93" i="4"/>
  <c r="Z93" i="4"/>
  <c r="AE93" i="4" s="1"/>
  <c r="Y93" i="4"/>
  <c r="X93" i="4"/>
  <c r="W93" i="4"/>
  <c r="P93" i="4"/>
  <c r="T93" i="4" s="1"/>
  <c r="N93" i="4"/>
  <c r="K93" i="4"/>
  <c r="H93" i="4"/>
  <c r="M93" i="4" s="1"/>
  <c r="G93" i="4"/>
  <c r="O93" i="4" s="1"/>
  <c r="F93" i="4"/>
  <c r="E93" i="4"/>
  <c r="AH92" i="4"/>
  <c r="AJ92" i="4" s="1"/>
  <c r="AF92" i="4"/>
  <c r="AC92" i="4"/>
  <c r="Z92" i="4"/>
  <c r="AE92" i="4" s="1"/>
  <c r="Y92" i="4"/>
  <c r="AG92" i="4" s="1"/>
  <c r="X92" i="4"/>
  <c r="W92" i="4"/>
  <c r="P92" i="4"/>
  <c r="N92" i="4"/>
  <c r="K92" i="4"/>
  <c r="H92" i="4"/>
  <c r="M92" i="4" s="1"/>
  <c r="G92" i="4"/>
  <c r="O92" i="4" s="1"/>
  <c r="F92" i="4"/>
  <c r="E92" i="4"/>
  <c r="AI91" i="4"/>
  <c r="AI12" i="4" s="1"/>
  <c r="S91" i="4"/>
  <c r="Q91" i="4"/>
  <c r="AI90" i="4"/>
  <c r="AH90" i="4"/>
  <c r="AF90" i="4"/>
  <c r="AC90" i="4"/>
  <c r="Z90" i="4"/>
  <c r="Y90" i="4"/>
  <c r="AG90" i="4" s="1"/>
  <c r="X90" i="4"/>
  <c r="W90" i="4"/>
  <c r="S90" i="4"/>
  <c r="Q90" i="4"/>
  <c r="P90" i="4"/>
  <c r="N90" i="4"/>
  <c r="K90" i="4"/>
  <c r="H90" i="4"/>
  <c r="G90" i="4"/>
  <c r="F90" i="4"/>
  <c r="E90" i="4"/>
  <c r="AI89" i="4"/>
  <c r="AH89" i="4"/>
  <c r="AJ89" i="4" s="1"/>
  <c r="AF89" i="4"/>
  <c r="AC89" i="4"/>
  <c r="Z89" i="4"/>
  <c r="AE89" i="4" s="1"/>
  <c r="Y89" i="4"/>
  <c r="AG89" i="4" s="1"/>
  <c r="X89" i="4"/>
  <c r="W89" i="4"/>
  <c r="S89" i="4"/>
  <c r="Q89" i="4"/>
  <c r="P89" i="4"/>
  <c r="T89" i="4" s="1"/>
  <c r="N89" i="4"/>
  <c r="K89" i="4"/>
  <c r="H89" i="4"/>
  <c r="M89" i="4" s="1"/>
  <c r="G89" i="4"/>
  <c r="O89" i="4" s="1"/>
  <c r="F89" i="4"/>
  <c r="E89" i="4"/>
  <c r="AI88" i="4"/>
  <c r="AH88" i="4"/>
  <c r="AF88" i="4"/>
  <c r="AC88" i="4"/>
  <c r="Z88" i="4"/>
  <c r="Y88" i="4"/>
  <c r="X88" i="4"/>
  <c r="W88" i="4"/>
  <c r="S88" i="4"/>
  <c r="Q88" i="4"/>
  <c r="P88" i="4"/>
  <c r="N88" i="4"/>
  <c r="K88" i="4"/>
  <c r="H88" i="4"/>
  <c r="G88" i="4"/>
  <c r="O88" i="4" s="1"/>
  <c r="F88" i="4"/>
  <c r="E88" i="4"/>
  <c r="AI87" i="4"/>
  <c r="AH87" i="4"/>
  <c r="AJ87" i="4" s="1"/>
  <c r="AF87" i="4"/>
  <c r="AC87" i="4"/>
  <c r="Z87" i="4"/>
  <c r="AE87" i="4" s="1"/>
  <c r="Y87" i="4"/>
  <c r="AG87" i="4" s="1"/>
  <c r="X87" i="4"/>
  <c r="W87" i="4"/>
  <c r="S87" i="4"/>
  <c r="Q87" i="4"/>
  <c r="P87" i="4"/>
  <c r="R87" i="4" s="1"/>
  <c r="N87" i="4"/>
  <c r="K87" i="4"/>
  <c r="H87" i="4"/>
  <c r="M87" i="4" s="1"/>
  <c r="G87" i="4"/>
  <c r="O87" i="4" s="1"/>
  <c r="F87" i="4"/>
  <c r="E87" i="4"/>
  <c r="AI86" i="4"/>
  <c r="AH86" i="4"/>
  <c r="AJ86" i="4" s="1"/>
  <c r="AF86" i="4"/>
  <c r="AC86" i="4"/>
  <c r="Z86" i="4"/>
  <c r="AE86" i="4" s="1"/>
  <c r="Y86" i="4"/>
  <c r="AG86" i="4" s="1"/>
  <c r="X86" i="4"/>
  <c r="W86" i="4"/>
  <c r="S86" i="4"/>
  <c r="Q86" i="4"/>
  <c r="P86" i="4"/>
  <c r="N86" i="4"/>
  <c r="K86" i="4"/>
  <c r="H86" i="4"/>
  <c r="M86" i="4" s="1"/>
  <c r="G86" i="4"/>
  <c r="O86" i="4" s="1"/>
  <c r="F86" i="4"/>
  <c r="E86" i="4"/>
  <c r="AI85" i="4"/>
  <c r="AH85" i="4"/>
  <c r="AJ85" i="4" s="1"/>
  <c r="AF85" i="4"/>
  <c r="AC85" i="4"/>
  <c r="Z85" i="4"/>
  <c r="AE85" i="4" s="1"/>
  <c r="Y85" i="4"/>
  <c r="AG85" i="4" s="1"/>
  <c r="X85" i="4"/>
  <c r="W85" i="4"/>
  <c r="S85" i="4"/>
  <c r="Q85" i="4"/>
  <c r="P85" i="4"/>
  <c r="N85" i="4"/>
  <c r="K85" i="4"/>
  <c r="H85" i="4"/>
  <c r="M85" i="4" s="1"/>
  <c r="G85" i="4"/>
  <c r="F85" i="4"/>
  <c r="E85" i="4"/>
  <c r="AI84" i="4"/>
  <c r="AH84" i="4"/>
  <c r="AJ84" i="4" s="1"/>
  <c r="AF84" i="4"/>
  <c r="AC84" i="4"/>
  <c r="Z84" i="4"/>
  <c r="AE84" i="4" s="1"/>
  <c r="Y84" i="4"/>
  <c r="X84" i="4"/>
  <c r="W84" i="4"/>
  <c r="S84" i="4"/>
  <c r="Q84" i="4"/>
  <c r="P84" i="4"/>
  <c r="T84" i="4" s="1"/>
  <c r="N84" i="4"/>
  <c r="K84" i="4"/>
  <c r="H84" i="4"/>
  <c r="M84" i="4" s="1"/>
  <c r="G84" i="4"/>
  <c r="O84" i="4" s="1"/>
  <c r="F84" i="4"/>
  <c r="E84" i="4"/>
  <c r="AI83" i="4"/>
  <c r="AH83" i="4"/>
  <c r="AJ83" i="4" s="1"/>
  <c r="AF83" i="4"/>
  <c r="AC83" i="4"/>
  <c r="Z83" i="4"/>
  <c r="AE83" i="4" s="1"/>
  <c r="Y83" i="4"/>
  <c r="AG83" i="4" s="1"/>
  <c r="X83" i="4"/>
  <c r="W83" i="4"/>
  <c r="S83" i="4"/>
  <c r="Q83" i="4"/>
  <c r="P83" i="4"/>
  <c r="R83" i="4" s="1"/>
  <c r="N83" i="4"/>
  <c r="K83" i="4"/>
  <c r="H83" i="4"/>
  <c r="M83" i="4" s="1"/>
  <c r="G83" i="4"/>
  <c r="O83" i="4" s="1"/>
  <c r="F83" i="4"/>
  <c r="E83" i="4"/>
  <c r="AI82" i="4"/>
  <c r="AH82" i="4"/>
  <c r="AJ82" i="4" s="1"/>
  <c r="AF82" i="4"/>
  <c r="AC82" i="4"/>
  <c r="Z82" i="4"/>
  <c r="AE82" i="4" s="1"/>
  <c r="Y82" i="4"/>
  <c r="AG82" i="4" s="1"/>
  <c r="X82" i="4"/>
  <c r="W82" i="4"/>
  <c r="S82" i="4"/>
  <c r="Q82" i="4"/>
  <c r="P82" i="4"/>
  <c r="N82" i="4"/>
  <c r="K82" i="4"/>
  <c r="H82" i="4"/>
  <c r="M82" i="4" s="1"/>
  <c r="G82" i="4"/>
  <c r="O82" i="4" s="1"/>
  <c r="F82" i="4"/>
  <c r="E82" i="4"/>
  <c r="AI81" i="4"/>
  <c r="AH81" i="4"/>
  <c r="AJ81" i="4" s="1"/>
  <c r="AF81" i="4"/>
  <c r="AC81" i="4"/>
  <c r="Z81" i="4"/>
  <c r="AE81" i="4" s="1"/>
  <c r="Y81" i="4"/>
  <c r="AG81" i="4" s="1"/>
  <c r="X81" i="4"/>
  <c r="W81" i="4"/>
  <c r="S81" i="4"/>
  <c r="Q81" i="4"/>
  <c r="P81" i="4"/>
  <c r="T81" i="4" s="1"/>
  <c r="N81" i="4"/>
  <c r="K81" i="4"/>
  <c r="H81" i="4"/>
  <c r="M81" i="4" s="1"/>
  <c r="G81" i="4"/>
  <c r="F81" i="4"/>
  <c r="E81" i="4"/>
  <c r="AI80" i="4"/>
  <c r="AH80" i="4"/>
  <c r="AJ80" i="4" s="1"/>
  <c r="AF80" i="4"/>
  <c r="AC80" i="4"/>
  <c r="Z80" i="4"/>
  <c r="AE80" i="4" s="1"/>
  <c r="Y80" i="4"/>
  <c r="AG80" i="4" s="1"/>
  <c r="X80" i="4"/>
  <c r="W80" i="4"/>
  <c r="S80" i="4"/>
  <c r="Q80" i="4"/>
  <c r="P80" i="4"/>
  <c r="R80" i="4" s="1"/>
  <c r="N80" i="4"/>
  <c r="K80" i="4"/>
  <c r="H80" i="4"/>
  <c r="M80" i="4" s="1"/>
  <c r="G80" i="4"/>
  <c r="O80" i="4" s="1"/>
  <c r="F80" i="4"/>
  <c r="E80" i="4"/>
  <c r="AI79" i="4"/>
  <c r="AH79" i="4"/>
  <c r="AJ79" i="4" s="1"/>
  <c r="AF79" i="4"/>
  <c r="AC79" i="4"/>
  <c r="Z79" i="4"/>
  <c r="AE79" i="4" s="1"/>
  <c r="Y79" i="4"/>
  <c r="AG79" i="4" s="1"/>
  <c r="X79" i="4"/>
  <c r="W79" i="4"/>
  <c r="S79" i="4"/>
  <c r="Q79" i="4"/>
  <c r="P79" i="4"/>
  <c r="R79" i="4" s="1"/>
  <c r="N79" i="4"/>
  <c r="K79" i="4"/>
  <c r="H79" i="4"/>
  <c r="M79" i="4" s="1"/>
  <c r="G79" i="4"/>
  <c r="O79" i="4" s="1"/>
  <c r="F79" i="4"/>
  <c r="E79" i="4"/>
  <c r="AI78" i="4"/>
  <c r="AH78" i="4"/>
  <c r="AF78" i="4"/>
  <c r="AC78" i="4"/>
  <c r="Z78" i="4"/>
  <c r="Y78" i="4"/>
  <c r="AG78" i="4" s="1"/>
  <c r="X78" i="4"/>
  <c r="W78" i="4"/>
  <c r="S78" i="4"/>
  <c r="Q78" i="4"/>
  <c r="P78" i="4"/>
  <c r="N78" i="4"/>
  <c r="K78" i="4"/>
  <c r="H78" i="4"/>
  <c r="G78" i="4"/>
  <c r="O78" i="4" s="1"/>
  <c r="F78" i="4"/>
  <c r="E78" i="4"/>
  <c r="AI77" i="4"/>
  <c r="AH77" i="4"/>
  <c r="AF77" i="4"/>
  <c r="AC77" i="4"/>
  <c r="Z77" i="4"/>
  <c r="Y77" i="4"/>
  <c r="X77" i="4"/>
  <c r="W77" i="4"/>
  <c r="S77" i="4"/>
  <c r="Q77" i="4"/>
  <c r="P77" i="4"/>
  <c r="N77" i="4"/>
  <c r="K77" i="4"/>
  <c r="H77" i="4"/>
  <c r="G77" i="4"/>
  <c r="F77" i="4"/>
  <c r="E77" i="4"/>
  <c r="AI75" i="4"/>
  <c r="AH75" i="4"/>
  <c r="AJ75" i="4" s="1"/>
  <c r="AF75" i="4"/>
  <c r="AC75" i="4"/>
  <c r="Z75" i="4"/>
  <c r="AE75" i="4" s="1"/>
  <c r="Y75" i="4"/>
  <c r="AG75" i="4" s="1"/>
  <c r="X75" i="4"/>
  <c r="W75" i="4"/>
  <c r="S75" i="4"/>
  <c r="Q75" i="4"/>
  <c r="P75" i="4"/>
  <c r="R75" i="4" s="1"/>
  <c r="N75" i="4"/>
  <c r="K75" i="4"/>
  <c r="H75" i="4"/>
  <c r="M75" i="4" s="1"/>
  <c r="G75" i="4"/>
  <c r="O75" i="4" s="1"/>
  <c r="F75" i="4"/>
  <c r="E75" i="4"/>
  <c r="AI74" i="4"/>
  <c r="AH74" i="4"/>
  <c r="AJ74" i="4" s="1"/>
  <c r="AF74" i="4"/>
  <c r="AC74" i="4"/>
  <c r="Z74" i="4"/>
  <c r="AE74" i="4" s="1"/>
  <c r="Y74" i="4"/>
  <c r="AG74" i="4" s="1"/>
  <c r="X74" i="4"/>
  <c r="W74" i="4"/>
  <c r="S74" i="4"/>
  <c r="Q74" i="4"/>
  <c r="P74" i="4"/>
  <c r="N74" i="4"/>
  <c r="K74" i="4"/>
  <c r="H74" i="4"/>
  <c r="M74" i="4" s="1"/>
  <c r="G74" i="4"/>
  <c r="O74" i="4" s="1"/>
  <c r="F74" i="4"/>
  <c r="E74" i="4"/>
  <c r="AI73" i="4"/>
  <c r="AH73" i="4"/>
  <c r="AJ73" i="4" s="1"/>
  <c r="AF73" i="4"/>
  <c r="AC73" i="4"/>
  <c r="Z73" i="4"/>
  <c r="AE73" i="4" s="1"/>
  <c r="Y73" i="4"/>
  <c r="AG73" i="4" s="1"/>
  <c r="X73" i="4"/>
  <c r="W73" i="4"/>
  <c r="S73" i="4"/>
  <c r="Q73" i="4"/>
  <c r="P73" i="4"/>
  <c r="T73" i="4" s="1"/>
  <c r="N73" i="4"/>
  <c r="K73" i="4"/>
  <c r="H73" i="4"/>
  <c r="M73" i="4" s="1"/>
  <c r="G73" i="4"/>
  <c r="O73" i="4" s="1"/>
  <c r="F73" i="4"/>
  <c r="E73" i="4"/>
  <c r="AI72" i="4"/>
  <c r="AH72" i="4"/>
  <c r="AJ72" i="4" s="1"/>
  <c r="AF72" i="4"/>
  <c r="AC72" i="4"/>
  <c r="Z72" i="4"/>
  <c r="AE72" i="4" s="1"/>
  <c r="Y72" i="4"/>
  <c r="AG72" i="4" s="1"/>
  <c r="X72" i="4"/>
  <c r="W72" i="4"/>
  <c r="S72" i="4"/>
  <c r="Q72" i="4"/>
  <c r="P72" i="4"/>
  <c r="T72" i="4" s="1"/>
  <c r="N72" i="4"/>
  <c r="K72" i="4"/>
  <c r="H72" i="4"/>
  <c r="M72" i="4" s="1"/>
  <c r="G72" i="4"/>
  <c r="O72" i="4" s="1"/>
  <c r="F72" i="4"/>
  <c r="E72" i="4"/>
  <c r="AI71" i="4"/>
  <c r="AH71" i="4"/>
  <c r="AF71" i="4"/>
  <c r="AC71" i="4"/>
  <c r="Z71" i="4"/>
  <c r="Y71" i="4"/>
  <c r="AG71" i="4" s="1"/>
  <c r="X71" i="4"/>
  <c r="W71" i="4"/>
  <c r="S71" i="4"/>
  <c r="Q71" i="4"/>
  <c r="P71" i="4"/>
  <c r="N71" i="4"/>
  <c r="K71" i="4"/>
  <c r="H71" i="4"/>
  <c r="G71" i="4"/>
  <c r="O71" i="4" s="1"/>
  <c r="F71" i="4"/>
  <c r="E71" i="4"/>
  <c r="AI70" i="4"/>
  <c r="AH70" i="4"/>
  <c r="AJ70" i="4" s="1"/>
  <c r="AF70" i="4"/>
  <c r="AC70" i="4"/>
  <c r="Z70" i="4"/>
  <c r="AE70" i="4" s="1"/>
  <c r="Y70" i="4"/>
  <c r="AG70" i="4" s="1"/>
  <c r="X70" i="4"/>
  <c r="W70" i="4"/>
  <c r="S70" i="4"/>
  <c r="Q70" i="4"/>
  <c r="P70" i="4"/>
  <c r="N70" i="4"/>
  <c r="K70" i="4"/>
  <c r="H70" i="4"/>
  <c r="M70" i="4" s="1"/>
  <c r="G70" i="4"/>
  <c r="O70" i="4" s="1"/>
  <c r="F70" i="4"/>
  <c r="E70" i="4"/>
  <c r="AI69" i="4"/>
  <c r="AH69" i="4"/>
  <c r="AJ69" i="4" s="1"/>
  <c r="AF69" i="4"/>
  <c r="AC69" i="4"/>
  <c r="Z69" i="4"/>
  <c r="AE69" i="4" s="1"/>
  <c r="Y69" i="4"/>
  <c r="AG69" i="4" s="1"/>
  <c r="X69" i="4"/>
  <c r="W69" i="4"/>
  <c r="S69" i="4"/>
  <c r="Q69" i="4"/>
  <c r="P69" i="4"/>
  <c r="T69" i="4" s="1"/>
  <c r="N69" i="4"/>
  <c r="K69" i="4"/>
  <c r="H69" i="4"/>
  <c r="M69" i="4" s="1"/>
  <c r="G69" i="4"/>
  <c r="O69" i="4" s="1"/>
  <c r="F69" i="4"/>
  <c r="E69" i="4"/>
  <c r="AI68" i="4"/>
  <c r="AH68" i="4"/>
  <c r="AJ68" i="4" s="1"/>
  <c r="AF68" i="4"/>
  <c r="AC68" i="4"/>
  <c r="Z68" i="4"/>
  <c r="AE68" i="4" s="1"/>
  <c r="Y68" i="4"/>
  <c r="X68" i="4"/>
  <c r="W68" i="4"/>
  <c r="S68" i="4"/>
  <c r="Q68" i="4"/>
  <c r="P68" i="4"/>
  <c r="N68" i="4"/>
  <c r="K68" i="4"/>
  <c r="H68" i="4"/>
  <c r="M68" i="4" s="1"/>
  <c r="G68" i="4"/>
  <c r="O68" i="4" s="1"/>
  <c r="F68" i="4"/>
  <c r="E68" i="4"/>
  <c r="AI67" i="4"/>
  <c r="AH67" i="4"/>
  <c r="AJ67" i="4" s="1"/>
  <c r="AF67" i="4"/>
  <c r="AC67" i="4"/>
  <c r="Z67" i="4"/>
  <c r="AE67" i="4" s="1"/>
  <c r="Y67" i="4"/>
  <c r="AG67" i="4" s="1"/>
  <c r="X67" i="4"/>
  <c r="W67" i="4"/>
  <c r="S67" i="4"/>
  <c r="Q67" i="4"/>
  <c r="P67" i="4"/>
  <c r="R67" i="4" s="1"/>
  <c r="N67" i="4"/>
  <c r="K67" i="4"/>
  <c r="H67" i="4"/>
  <c r="M67" i="4" s="1"/>
  <c r="G67" i="4"/>
  <c r="F67" i="4"/>
  <c r="E67" i="4"/>
  <c r="AI66" i="4"/>
  <c r="AH66" i="4"/>
  <c r="AJ66" i="4" s="1"/>
  <c r="AF66" i="4"/>
  <c r="AC66" i="4"/>
  <c r="Z66" i="4"/>
  <c r="AE66" i="4" s="1"/>
  <c r="Y66" i="4"/>
  <c r="AG66" i="4" s="1"/>
  <c r="X66" i="4"/>
  <c r="W66" i="4"/>
  <c r="S66" i="4"/>
  <c r="Q66" i="4"/>
  <c r="P66" i="4"/>
  <c r="N66" i="4"/>
  <c r="K66" i="4"/>
  <c r="H66" i="4"/>
  <c r="M66" i="4" s="1"/>
  <c r="G66" i="4"/>
  <c r="O66" i="4" s="1"/>
  <c r="F66" i="4"/>
  <c r="E66" i="4"/>
  <c r="AI65" i="4"/>
  <c r="AH65" i="4"/>
  <c r="AJ65" i="4" s="1"/>
  <c r="AF65" i="4"/>
  <c r="AC65" i="4"/>
  <c r="Z65" i="4"/>
  <c r="AE65" i="4" s="1"/>
  <c r="Y65" i="4"/>
  <c r="AG65" i="4" s="1"/>
  <c r="X65" i="4"/>
  <c r="W65" i="4"/>
  <c r="S65" i="4"/>
  <c r="Q65" i="4"/>
  <c r="P65" i="4"/>
  <c r="T65" i="4" s="1"/>
  <c r="N65" i="4"/>
  <c r="K65" i="4"/>
  <c r="H65" i="4"/>
  <c r="M65" i="4" s="1"/>
  <c r="G65" i="4"/>
  <c r="O65" i="4" s="1"/>
  <c r="F65" i="4"/>
  <c r="E65" i="4"/>
  <c r="AI64" i="4"/>
  <c r="AH64" i="4"/>
  <c r="AJ64" i="4" s="1"/>
  <c r="AF64" i="4"/>
  <c r="AC64" i="4"/>
  <c r="Z64" i="4"/>
  <c r="AE64" i="4" s="1"/>
  <c r="Y64" i="4"/>
  <c r="AG64" i="4" s="1"/>
  <c r="X64" i="4"/>
  <c r="W64" i="4"/>
  <c r="S64" i="4"/>
  <c r="Q64" i="4"/>
  <c r="P64" i="4"/>
  <c r="N64" i="4"/>
  <c r="K64" i="4"/>
  <c r="H64" i="4"/>
  <c r="M64" i="4" s="1"/>
  <c r="G64" i="4"/>
  <c r="O64" i="4" s="1"/>
  <c r="F64" i="4"/>
  <c r="E64" i="4"/>
  <c r="AI63" i="4"/>
  <c r="AH63" i="4"/>
  <c r="AJ63" i="4" s="1"/>
  <c r="AF63" i="4"/>
  <c r="AC63" i="4"/>
  <c r="Z63" i="4"/>
  <c r="AE63" i="4" s="1"/>
  <c r="Y63" i="4"/>
  <c r="AG63" i="4" s="1"/>
  <c r="X63" i="4"/>
  <c r="W63" i="4"/>
  <c r="S63" i="4"/>
  <c r="Q63" i="4"/>
  <c r="P63" i="4"/>
  <c r="R63" i="4" s="1"/>
  <c r="N63" i="4"/>
  <c r="K63" i="4"/>
  <c r="H63" i="4"/>
  <c r="M63" i="4" s="1"/>
  <c r="G63" i="4"/>
  <c r="O63" i="4" s="1"/>
  <c r="F63" i="4"/>
  <c r="E63" i="4"/>
  <c r="AI62" i="4"/>
  <c r="AH62" i="4"/>
  <c r="AJ62" i="4" s="1"/>
  <c r="AF62" i="4"/>
  <c r="AC62" i="4"/>
  <c r="Z62" i="4"/>
  <c r="AE62" i="4" s="1"/>
  <c r="Y62" i="4"/>
  <c r="AG62" i="4" s="1"/>
  <c r="X62" i="4"/>
  <c r="W62" i="4"/>
  <c r="S62" i="4"/>
  <c r="Q62" i="4"/>
  <c r="P62" i="4"/>
  <c r="N62" i="4"/>
  <c r="K62" i="4"/>
  <c r="H62" i="4"/>
  <c r="M62" i="4" s="1"/>
  <c r="G62" i="4"/>
  <c r="O62" i="4" s="1"/>
  <c r="F62" i="4"/>
  <c r="E62" i="4"/>
  <c r="AI61" i="4"/>
  <c r="AH61" i="4"/>
  <c r="AJ61" i="4" s="1"/>
  <c r="AF61" i="4"/>
  <c r="AC61" i="4"/>
  <c r="Z61" i="4"/>
  <c r="AE61" i="4" s="1"/>
  <c r="Y61" i="4"/>
  <c r="AG61" i="4" s="1"/>
  <c r="X61" i="4"/>
  <c r="W61" i="4"/>
  <c r="S61" i="4"/>
  <c r="Q61" i="4"/>
  <c r="P61" i="4"/>
  <c r="R61" i="4" s="1"/>
  <c r="N61" i="4"/>
  <c r="K61" i="4"/>
  <c r="H61" i="4"/>
  <c r="M61" i="4" s="1"/>
  <c r="G61" i="4"/>
  <c r="O61" i="4" s="1"/>
  <c r="F61" i="4"/>
  <c r="E61" i="4"/>
  <c r="AI60" i="4"/>
  <c r="AH60" i="4"/>
  <c r="AJ60" i="4" s="1"/>
  <c r="AF60" i="4"/>
  <c r="AC60" i="4"/>
  <c r="Z60" i="4"/>
  <c r="AE60" i="4" s="1"/>
  <c r="Y60" i="4"/>
  <c r="AG60" i="4" s="1"/>
  <c r="X60" i="4"/>
  <c r="W60" i="4"/>
  <c r="S60" i="4"/>
  <c r="Q60" i="4"/>
  <c r="P60" i="4"/>
  <c r="N60" i="4"/>
  <c r="K60" i="4"/>
  <c r="H60" i="4"/>
  <c r="M60" i="4" s="1"/>
  <c r="G60" i="4"/>
  <c r="O60" i="4" s="1"/>
  <c r="F60" i="4"/>
  <c r="E60" i="4"/>
  <c r="AI59" i="4"/>
  <c r="AH59" i="4"/>
  <c r="AJ59" i="4" s="1"/>
  <c r="AF59" i="4"/>
  <c r="AC59" i="4"/>
  <c r="Z59" i="4"/>
  <c r="AE59" i="4" s="1"/>
  <c r="Y59" i="4"/>
  <c r="AG59" i="4" s="1"/>
  <c r="X59" i="4"/>
  <c r="W59" i="4"/>
  <c r="S59" i="4"/>
  <c r="Q59" i="4"/>
  <c r="P59" i="4"/>
  <c r="R59" i="4" s="1"/>
  <c r="N59" i="4"/>
  <c r="K59" i="4"/>
  <c r="H59" i="4"/>
  <c r="M59" i="4" s="1"/>
  <c r="G59" i="4"/>
  <c r="O59" i="4" s="1"/>
  <c r="F59" i="4"/>
  <c r="E59" i="4"/>
  <c r="AI58" i="4"/>
  <c r="AH58" i="4"/>
  <c r="AF58" i="4"/>
  <c r="AC58" i="4"/>
  <c r="Z58" i="4"/>
  <c r="Y58" i="4"/>
  <c r="AG58" i="4" s="1"/>
  <c r="X58" i="4"/>
  <c r="W58" i="4"/>
  <c r="S58" i="4"/>
  <c r="Q58" i="4"/>
  <c r="P58" i="4"/>
  <c r="N58" i="4"/>
  <c r="K58" i="4"/>
  <c r="H58" i="4"/>
  <c r="G58" i="4"/>
  <c r="O58" i="4" s="1"/>
  <c r="F58" i="4"/>
  <c r="E58" i="4"/>
  <c r="AI57" i="4"/>
  <c r="AH57" i="4"/>
  <c r="AF57" i="4"/>
  <c r="AC57" i="4"/>
  <c r="Z57" i="4"/>
  <c r="AE57" i="4" s="1"/>
  <c r="Y57" i="4"/>
  <c r="AG57" i="4" s="1"/>
  <c r="X57" i="4"/>
  <c r="W57" i="4"/>
  <c r="S57" i="4"/>
  <c r="Q57" i="4"/>
  <c r="P57" i="4"/>
  <c r="N57" i="4"/>
  <c r="K57" i="4"/>
  <c r="H57" i="4"/>
  <c r="M57" i="4" s="1"/>
  <c r="G57" i="4"/>
  <c r="O57" i="4" s="1"/>
  <c r="F57" i="4"/>
  <c r="E57" i="4"/>
  <c r="AI56" i="4"/>
  <c r="AH56" i="4"/>
  <c r="AJ56" i="4" s="1"/>
  <c r="AF56" i="4"/>
  <c r="AC56" i="4"/>
  <c r="Z56" i="4"/>
  <c r="AE56" i="4" s="1"/>
  <c r="Y56" i="4"/>
  <c r="X56" i="4"/>
  <c r="W56" i="4"/>
  <c r="S56" i="4"/>
  <c r="Q56" i="4"/>
  <c r="P56" i="4"/>
  <c r="R56" i="4" s="1"/>
  <c r="N56" i="4"/>
  <c r="K56" i="4"/>
  <c r="H56" i="4"/>
  <c r="M56" i="4" s="1"/>
  <c r="G56" i="4"/>
  <c r="O56" i="4" s="1"/>
  <c r="F56" i="4"/>
  <c r="E56" i="4"/>
  <c r="AI55" i="4"/>
  <c r="AH55" i="4"/>
  <c r="AF55" i="4"/>
  <c r="AC55" i="4"/>
  <c r="Z55" i="4"/>
  <c r="Y55" i="4"/>
  <c r="AG55" i="4" s="1"/>
  <c r="X55" i="4"/>
  <c r="W55" i="4"/>
  <c r="S55" i="4"/>
  <c r="Q55" i="4"/>
  <c r="P55" i="4"/>
  <c r="N55" i="4"/>
  <c r="K55" i="4"/>
  <c r="H55" i="4"/>
  <c r="G55" i="4"/>
  <c r="F55" i="4"/>
  <c r="E55" i="4"/>
  <c r="AI53" i="4"/>
  <c r="AH53" i="4"/>
  <c r="AJ53" i="4" s="1"/>
  <c r="AF53" i="4"/>
  <c r="AC53" i="4"/>
  <c r="Z53" i="4"/>
  <c r="AE53" i="4" s="1"/>
  <c r="Y53" i="4"/>
  <c r="AG53" i="4" s="1"/>
  <c r="X53" i="4"/>
  <c r="W53" i="4"/>
  <c r="S53" i="4"/>
  <c r="Q53" i="4"/>
  <c r="P53" i="4"/>
  <c r="N53" i="4"/>
  <c r="K53" i="4"/>
  <c r="H53" i="4"/>
  <c r="M53" i="4" s="1"/>
  <c r="G53" i="4"/>
  <c r="O53" i="4" s="1"/>
  <c r="F53" i="4"/>
  <c r="E53" i="4"/>
  <c r="AI52" i="4"/>
  <c r="AH52" i="4"/>
  <c r="AJ52" i="4" s="1"/>
  <c r="AF52" i="4"/>
  <c r="AC52" i="4"/>
  <c r="Z52" i="4"/>
  <c r="AE52" i="4" s="1"/>
  <c r="Y52" i="4"/>
  <c r="AG52" i="4" s="1"/>
  <c r="X52" i="4"/>
  <c r="W52" i="4"/>
  <c r="S52" i="4"/>
  <c r="Q52" i="4"/>
  <c r="P52" i="4"/>
  <c r="T52" i="4" s="1"/>
  <c r="N52" i="4"/>
  <c r="K52" i="4"/>
  <c r="H52" i="4"/>
  <c r="M52" i="4" s="1"/>
  <c r="G52" i="4"/>
  <c r="O52" i="4" s="1"/>
  <c r="F52" i="4"/>
  <c r="E52" i="4"/>
  <c r="AI51" i="4"/>
  <c r="AH51" i="4"/>
  <c r="AJ51" i="4" s="1"/>
  <c r="AF51" i="4"/>
  <c r="AC51" i="4"/>
  <c r="Z51" i="4"/>
  <c r="AE51" i="4" s="1"/>
  <c r="Y51" i="4"/>
  <c r="AG51" i="4" s="1"/>
  <c r="X51" i="4"/>
  <c r="W51" i="4"/>
  <c r="S51" i="4"/>
  <c r="Q51" i="4"/>
  <c r="P51" i="4"/>
  <c r="R51" i="4" s="1"/>
  <c r="N51" i="4"/>
  <c r="K51" i="4"/>
  <c r="H51" i="4"/>
  <c r="M51" i="4" s="1"/>
  <c r="G51" i="4"/>
  <c r="O51" i="4" s="1"/>
  <c r="F51" i="4"/>
  <c r="E51" i="4"/>
  <c r="AI50" i="4"/>
  <c r="AH50" i="4"/>
  <c r="AJ50" i="4" s="1"/>
  <c r="AF50" i="4"/>
  <c r="AC50" i="4"/>
  <c r="Z50" i="4"/>
  <c r="AE50" i="4" s="1"/>
  <c r="Y50" i="4"/>
  <c r="AG50" i="4" s="1"/>
  <c r="X50" i="4"/>
  <c r="W50" i="4"/>
  <c r="S50" i="4"/>
  <c r="Q50" i="4"/>
  <c r="P50" i="4"/>
  <c r="N50" i="4"/>
  <c r="K50" i="4"/>
  <c r="H50" i="4"/>
  <c r="M50" i="4" s="1"/>
  <c r="G50" i="4"/>
  <c r="O50" i="4" s="1"/>
  <c r="F50" i="4"/>
  <c r="E50" i="4"/>
  <c r="AI49" i="4"/>
  <c r="AH49" i="4"/>
  <c r="AJ49" i="4" s="1"/>
  <c r="AF49" i="4"/>
  <c r="AC49" i="4"/>
  <c r="Z49" i="4"/>
  <c r="AE49" i="4" s="1"/>
  <c r="Y49" i="4"/>
  <c r="AG49" i="4" s="1"/>
  <c r="X49" i="4"/>
  <c r="W49" i="4"/>
  <c r="S49" i="4"/>
  <c r="Q49" i="4"/>
  <c r="P49" i="4"/>
  <c r="T49" i="4" s="1"/>
  <c r="N49" i="4"/>
  <c r="K49" i="4"/>
  <c r="H49" i="4"/>
  <c r="M49" i="4" s="1"/>
  <c r="G49" i="4"/>
  <c r="O49" i="4" s="1"/>
  <c r="F49" i="4"/>
  <c r="E49" i="4"/>
  <c r="AI48" i="4"/>
  <c r="AH48" i="4"/>
  <c r="AJ48" i="4" s="1"/>
  <c r="AF48" i="4"/>
  <c r="AC48" i="4"/>
  <c r="Z48" i="4"/>
  <c r="AE48" i="4" s="1"/>
  <c r="Y48" i="4"/>
  <c r="AG48" i="4" s="1"/>
  <c r="X48" i="4"/>
  <c r="W48" i="4"/>
  <c r="S48" i="4"/>
  <c r="Q48" i="4"/>
  <c r="P48" i="4"/>
  <c r="T48" i="4" s="1"/>
  <c r="N48" i="4"/>
  <c r="K48" i="4"/>
  <c r="H48" i="4"/>
  <c r="M48" i="4" s="1"/>
  <c r="G48" i="4"/>
  <c r="O48" i="4" s="1"/>
  <c r="F48" i="4"/>
  <c r="E48" i="4"/>
  <c r="AI47" i="4"/>
  <c r="AH47" i="4"/>
  <c r="AJ47" i="4" s="1"/>
  <c r="AF47" i="4"/>
  <c r="AC47" i="4"/>
  <c r="Z47" i="4"/>
  <c r="AE47" i="4" s="1"/>
  <c r="Y47" i="4"/>
  <c r="AG47" i="4" s="1"/>
  <c r="X47" i="4"/>
  <c r="W47" i="4"/>
  <c r="S47" i="4"/>
  <c r="Q47" i="4"/>
  <c r="P47" i="4"/>
  <c r="R47" i="4" s="1"/>
  <c r="N47" i="4"/>
  <c r="K47" i="4"/>
  <c r="H47" i="4"/>
  <c r="M47" i="4" s="1"/>
  <c r="G47" i="4"/>
  <c r="O47" i="4" s="1"/>
  <c r="F47" i="4"/>
  <c r="E47" i="4"/>
  <c r="AI46" i="4"/>
  <c r="AH46" i="4"/>
  <c r="AJ46" i="4" s="1"/>
  <c r="AF46" i="4"/>
  <c r="AC46" i="4"/>
  <c r="Z46" i="4"/>
  <c r="AE46" i="4" s="1"/>
  <c r="Y46" i="4"/>
  <c r="AG46" i="4" s="1"/>
  <c r="X46" i="4"/>
  <c r="W46" i="4"/>
  <c r="S46" i="4"/>
  <c r="Q46" i="4"/>
  <c r="P46" i="4"/>
  <c r="N46" i="4"/>
  <c r="K46" i="4"/>
  <c r="H46" i="4"/>
  <c r="M46" i="4" s="1"/>
  <c r="G46" i="4"/>
  <c r="O46" i="4" s="1"/>
  <c r="F46" i="4"/>
  <c r="E46" i="4"/>
  <c r="AI45" i="4"/>
  <c r="AH45" i="4"/>
  <c r="AJ45" i="4" s="1"/>
  <c r="AF45" i="4"/>
  <c r="AC45" i="4"/>
  <c r="Z45" i="4"/>
  <c r="AE45" i="4" s="1"/>
  <c r="Y45" i="4"/>
  <c r="AG45" i="4" s="1"/>
  <c r="X45" i="4"/>
  <c r="W45" i="4"/>
  <c r="S45" i="4"/>
  <c r="Q45" i="4"/>
  <c r="P45" i="4"/>
  <c r="T45" i="4" s="1"/>
  <c r="N45" i="4"/>
  <c r="K45" i="4"/>
  <c r="H45" i="4"/>
  <c r="M45" i="4" s="1"/>
  <c r="G45" i="4"/>
  <c r="O45" i="4" s="1"/>
  <c r="F45" i="4"/>
  <c r="E45" i="4"/>
  <c r="AI44" i="4"/>
  <c r="AH44" i="4"/>
  <c r="AJ44" i="4" s="1"/>
  <c r="AF44" i="4"/>
  <c r="AC44" i="4"/>
  <c r="Z44" i="4"/>
  <c r="AE44" i="4" s="1"/>
  <c r="Y44" i="4"/>
  <c r="AG44" i="4" s="1"/>
  <c r="X44" i="4"/>
  <c r="W44" i="4"/>
  <c r="S44" i="4"/>
  <c r="Q44" i="4"/>
  <c r="P44" i="4"/>
  <c r="N44" i="4"/>
  <c r="K44" i="4"/>
  <c r="H44" i="4"/>
  <c r="M44" i="4" s="1"/>
  <c r="G44" i="4"/>
  <c r="O44" i="4" s="1"/>
  <c r="F44" i="4"/>
  <c r="E44" i="4"/>
  <c r="AI43" i="4"/>
  <c r="AH43" i="4"/>
  <c r="AJ43" i="4" s="1"/>
  <c r="AF43" i="4"/>
  <c r="AC43" i="4"/>
  <c r="Z43" i="4"/>
  <c r="AE43" i="4" s="1"/>
  <c r="Y43" i="4"/>
  <c r="AG43" i="4" s="1"/>
  <c r="X43" i="4"/>
  <c r="W43" i="4"/>
  <c r="S43" i="4"/>
  <c r="Q43" i="4"/>
  <c r="P43" i="4"/>
  <c r="R43" i="4" s="1"/>
  <c r="N43" i="4"/>
  <c r="K43" i="4"/>
  <c r="H43" i="4"/>
  <c r="M43" i="4" s="1"/>
  <c r="G43" i="4"/>
  <c r="O43" i="4" s="1"/>
  <c r="F43" i="4"/>
  <c r="E43" i="4"/>
  <c r="AI42" i="4"/>
  <c r="AH42" i="4"/>
  <c r="AJ42" i="4" s="1"/>
  <c r="AF42" i="4"/>
  <c r="AC42" i="4"/>
  <c r="Z42" i="4"/>
  <c r="AE42" i="4" s="1"/>
  <c r="Y42" i="4"/>
  <c r="AG42" i="4" s="1"/>
  <c r="X42" i="4"/>
  <c r="W42" i="4"/>
  <c r="S42" i="4"/>
  <c r="Q42" i="4"/>
  <c r="P42" i="4"/>
  <c r="N42" i="4"/>
  <c r="K42" i="4"/>
  <c r="H42" i="4"/>
  <c r="M42" i="4" s="1"/>
  <c r="G42" i="4"/>
  <c r="O42" i="4" s="1"/>
  <c r="F42" i="4"/>
  <c r="E42" i="4"/>
  <c r="AI41" i="4"/>
  <c r="AH41" i="4"/>
  <c r="AJ41" i="4" s="1"/>
  <c r="AF41" i="4"/>
  <c r="AC41" i="4"/>
  <c r="Z41" i="4"/>
  <c r="AE41" i="4" s="1"/>
  <c r="Y41" i="4"/>
  <c r="AG41" i="4" s="1"/>
  <c r="X41" i="4"/>
  <c r="W41" i="4"/>
  <c r="S41" i="4"/>
  <c r="Q41" i="4"/>
  <c r="P41" i="4"/>
  <c r="T41" i="4" s="1"/>
  <c r="N41" i="4"/>
  <c r="K41" i="4"/>
  <c r="H41" i="4"/>
  <c r="M41" i="4" s="1"/>
  <c r="G41" i="4"/>
  <c r="O41" i="4" s="1"/>
  <c r="F41" i="4"/>
  <c r="E41" i="4"/>
  <c r="AI40" i="4"/>
  <c r="AH40" i="4"/>
  <c r="AJ40" i="4" s="1"/>
  <c r="AF40" i="4"/>
  <c r="AC40" i="4"/>
  <c r="Z40" i="4"/>
  <c r="AE40" i="4" s="1"/>
  <c r="Y40" i="4"/>
  <c r="AG40" i="4" s="1"/>
  <c r="X40" i="4"/>
  <c r="W40" i="4"/>
  <c r="S40" i="4"/>
  <c r="Q40" i="4"/>
  <c r="P40" i="4"/>
  <c r="N40" i="4"/>
  <c r="K40" i="4"/>
  <c r="H40" i="4"/>
  <c r="M40" i="4" s="1"/>
  <c r="G40" i="4"/>
  <c r="O40" i="4" s="1"/>
  <c r="F40" i="4"/>
  <c r="E40" i="4"/>
  <c r="AI39" i="4"/>
  <c r="AH39" i="4"/>
  <c r="AJ39" i="4" s="1"/>
  <c r="AF39" i="4"/>
  <c r="AC39" i="4"/>
  <c r="Z39" i="4"/>
  <c r="AE39" i="4" s="1"/>
  <c r="Y39" i="4"/>
  <c r="AG39" i="4" s="1"/>
  <c r="X39" i="4"/>
  <c r="W39" i="4"/>
  <c r="S39" i="4"/>
  <c r="Q39" i="4"/>
  <c r="P39" i="4"/>
  <c r="R39" i="4" s="1"/>
  <c r="N39" i="4"/>
  <c r="K39" i="4"/>
  <c r="H39" i="4"/>
  <c r="M39" i="4" s="1"/>
  <c r="G39" i="4"/>
  <c r="O39" i="4" s="1"/>
  <c r="F39" i="4"/>
  <c r="E39" i="4"/>
  <c r="AI38" i="4"/>
  <c r="AH38" i="4"/>
  <c r="AF38" i="4"/>
  <c r="AC38" i="4"/>
  <c r="Z38" i="4"/>
  <c r="Y38" i="4"/>
  <c r="AG38" i="4" s="1"/>
  <c r="X38" i="4"/>
  <c r="W38" i="4"/>
  <c r="S38" i="4"/>
  <c r="Q38" i="4"/>
  <c r="P38" i="4"/>
  <c r="N38" i="4"/>
  <c r="K38" i="4"/>
  <c r="H38" i="4"/>
  <c r="G38" i="4"/>
  <c r="O38" i="4" s="1"/>
  <c r="F38" i="4"/>
  <c r="E38" i="4"/>
  <c r="AI37" i="4"/>
  <c r="AH37" i="4"/>
  <c r="AJ37" i="4" s="1"/>
  <c r="AF37" i="4"/>
  <c r="AC37" i="4"/>
  <c r="Z37" i="4"/>
  <c r="AE37" i="4" s="1"/>
  <c r="Y37" i="4"/>
  <c r="AG37" i="4" s="1"/>
  <c r="X37" i="4"/>
  <c r="W37" i="4"/>
  <c r="S37" i="4"/>
  <c r="Q37" i="4"/>
  <c r="P37" i="4"/>
  <c r="N37" i="4"/>
  <c r="K37" i="4"/>
  <c r="H37" i="4"/>
  <c r="M37" i="4" s="1"/>
  <c r="G37" i="4"/>
  <c r="O37" i="4" s="1"/>
  <c r="F37" i="4"/>
  <c r="E37" i="4"/>
  <c r="AI36" i="4"/>
  <c r="AH36" i="4"/>
  <c r="AJ36" i="4" s="1"/>
  <c r="AF36" i="4"/>
  <c r="AC36" i="4"/>
  <c r="Z36" i="4"/>
  <c r="AE36" i="4" s="1"/>
  <c r="Y36" i="4"/>
  <c r="AG36" i="4" s="1"/>
  <c r="X36" i="4"/>
  <c r="W36" i="4"/>
  <c r="S36" i="4"/>
  <c r="Q36" i="4"/>
  <c r="P36" i="4"/>
  <c r="N36" i="4"/>
  <c r="K36" i="4"/>
  <c r="H36" i="4"/>
  <c r="M36" i="4" s="1"/>
  <c r="G36" i="4"/>
  <c r="O36" i="4" s="1"/>
  <c r="F36" i="4"/>
  <c r="E36" i="4"/>
  <c r="AI35" i="4"/>
  <c r="AH35" i="4"/>
  <c r="AJ35" i="4" s="1"/>
  <c r="AF35" i="4"/>
  <c r="AC35" i="4"/>
  <c r="Z35" i="4"/>
  <c r="AE35" i="4" s="1"/>
  <c r="Y35" i="4"/>
  <c r="AG35" i="4" s="1"/>
  <c r="X35" i="4"/>
  <c r="W35" i="4"/>
  <c r="S35" i="4"/>
  <c r="Q35" i="4"/>
  <c r="P35" i="4"/>
  <c r="R35" i="4" s="1"/>
  <c r="N35" i="4"/>
  <c r="K35" i="4"/>
  <c r="H35" i="4"/>
  <c r="M35" i="4" s="1"/>
  <c r="G35" i="4"/>
  <c r="O35" i="4" s="1"/>
  <c r="F35" i="4"/>
  <c r="E35" i="4"/>
  <c r="AI34" i="4"/>
  <c r="AH34" i="4"/>
  <c r="AF34" i="4"/>
  <c r="AC34" i="4"/>
  <c r="Z34" i="4"/>
  <c r="Y34" i="4"/>
  <c r="X34" i="4"/>
  <c r="W34" i="4"/>
  <c r="S34" i="4"/>
  <c r="Q34" i="4"/>
  <c r="P34" i="4"/>
  <c r="N34" i="4"/>
  <c r="K34" i="4"/>
  <c r="H34" i="4"/>
  <c r="G34" i="4"/>
  <c r="F34" i="4"/>
  <c r="E34" i="4"/>
  <c r="AI32" i="4"/>
  <c r="AH32" i="4"/>
  <c r="AF32" i="4"/>
  <c r="AC32" i="4"/>
  <c r="Z32" i="4"/>
  <c r="Y32" i="4"/>
  <c r="X32" i="4"/>
  <c r="W32" i="4"/>
  <c r="S32" i="4"/>
  <c r="Q32" i="4"/>
  <c r="P32" i="4"/>
  <c r="N32" i="4"/>
  <c r="K32" i="4"/>
  <c r="H32" i="4"/>
  <c r="G32" i="4"/>
  <c r="O32" i="4" s="1"/>
  <c r="F32" i="4"/>
  <c r="E32" i="4"/>
  <c r="AI31" i="4"/>
  <c r="AH31" i="4"/>
  <c r="AJ31" i="4" s="1"/>
  <c r="AF31" i="4"/>
  <c r="AC31" i="4"/>
  <c r="Z31" i="4"/>
  <c r="AE31" i="4" s="1"/>
  <c r="Y31" i="4"/>
  <c r="AG31" i="4" s="1"/>
  <c r="X31" i="4"/>
  <c r="W31" i="4"/>
  <c r="S31" i="4"/>
  <c r="Q31" i="4"/>
  <c r="P31" i="4"/>
  <c r="R31" i="4" s="1"/>
  <c r="N31" i="4"/>
  <c r="K31" i="4"/>
  <c r="H31" i="4"/>
  <c r="M31" i="4" s="1"/>
  <c r="G31" i="4"/>
  <c r="O31" i="4" s="1"/>
  <c r="F31" i="4"/>
  <c r="E31" i="4"/>
  <c r="AI30" i="4"/>
  <c r="AH30" i="4"/>
  <c r="AJ30" i="4" s="1"/>
  <c r="AF30" i="4"/>
  <c r="AC30" i="4"/>
  <c r="Z30" i="4"/>
  <c r="AE30" i="4" s="1"/>
  <c r="Y30" i="4"/>
  <c r="AG30" i="4" s="1"/>
  <c r="X30" i="4"/>
  <c r="W30" i="4"/>
  <c r="S30" i="4"/>
  <c r="Q30" i="4"/>
  <c r="P30" i="4"/>
  <c r="N30" i="4"/>
  <c r="K30" i="4"/>
  <c r="H30" i="4"/>
  <c r="M30" i="4" s="1"/>
  <c r="G30" i="4"/>
  <c r="O30" i="4" s="1"/>
  <c r="F30" i="4"/>
  <c r="E30" i="4"/>
  <c r="AI29" i="4"/>
  <c r="AH29" i="4"/>
  <c r="AJ29" i="4" s="1"/>
  <c r="AF29" i="4"/>
  <c r="AC29" i="4"/>
  <c r="Z29" i="4"/>
  <c r="AE29" i="4" s="1"/>
  <c r="Y29" i="4"/>
  <c r="AG29" i="4" s="1"/>
  <c r="X29" i="4"/>
  <c r="W29" i="4"/>
  <c r="S29" i="4"/>
  <c r="Q29" i="4"/>
  <c r="P29" i="4"/>
  <c r="N29" i="4"/>
  <c r="K29" i="4"/>
  <c r="H29" i="4"/>
  <c r="M29" i="4" s="1"/>
  <c r="G29" i="4"/>
  <c r="F29" i="4"/>
  <c r="E29" i="4"/>
  <c r="AI28" i="4"/>
  <c r="AH28" i="4"/>
  <c r="AJ28" i="4" s="1"/>
  <c r="AF28" i="4"/>
  <c r="AC28" i="4"/>
  <c r="Z28" i="4"/>
  <c r="AE28" i="4" s="1"/>
  <c r="Y28" i="4"/>
  <c r="X28" i="4"/>
  <c r="W28" i="4"/>
  <c r="S28" i="4"/>
  <c r="Q28" i="4"/>
  <c r="P28" i="4"/>
  <c r="N28" i="4"/>
  <c r="K28" i="4"/>
  <c r="H28" i="4"/>
  <c r="M28" i="4" s="1"/>
  <c r="G28" i="4"/>
  <c r="O28" i="4" s="1"/>
  <c r="F28" i="4"/>
  <c r="E28" i="4"/>
  <c r="AI27" i="4"/>
  <c r="AH27" i="4"/>
  <c r="AJ27" i="4" s="1"/>
  <c r="AF27" i="4"/>
  <c r="AC27" i="4"/>
  <c r="Z27" i="4"/>
  <c r="AE27" i="4" s="1"/>
  <c r="Y27" i="4"/>
  <c r="AG27" i="4" s="1"/>
  <c r="X27" i="4"/>
  <c r="W27" i="4"/>
  <c r="S27" i="4"/>
  <c r="Q27" i="4"/>
  <c r="P27" i="4"/>
  <c r="R27" i="4" s="1"/>
  <c r="N27" i="4"/>
  <c r="K27" i="4"/>
  <c r="H27" i="4"/>
  <c r="M27" i="4" s="1"/>
  <c r="G27" i="4"/>
  <c r="O27" i="4" s="1"/>
  <c r="F27" i="4"/>
  <c r="E27" i="4"/>
  <c r="AI26" i="4"/>
  <c r="AH26" i="4"/>
  <c r="AJ26" i="4" s="1"/>
  <c r="AF26" i="4"/>
  <c r="AC26" i="4"/>
  <c r="Z26" i="4"/>
  <c r="AE26" i="4" s="1"/>
  <c r="Y26" i="4"/>
  <c r="AG26" i="4" s="1"/>
  <c r="X26" i="4"/>
  <c r="W26" i="4"/>
  <c r="S26" i="4"/>
  <c r="Q26" i="4"/>
  <c r="P26" i="4"/>
  <c r="N26" i="4"/>
  <c r="K26" i="4"/>
  <c r="H26" i="4"/>
  <c r="M26" i="4" s="1"/>
  <c r="G26" i="4"/>
  <c r="F26" i="4"/>
  <c r="E26" i="4"/>
  <c r="AI25" i="4"/>
  <c r="AH25" i="4"/>
  <c r="AJ25" i="4" s="1"/>
  <c r="AF25" i="4"/>
  <c r="AC25" i="4"/>
  <c r="Z25" i="4"/>
  <c r="AE25" i="4" s="1"/>
  <c r="Y25" i="4"/>
  <c r="AG25" i="4" s="1"/>
  <c r="X25" i="4"/>
  <c r="W25" i="4"/>
  <c r="S25" i="4"/>
  <c r="Q25" i="4"/>
  <c r="P25" i="4"/>
  <c r="R25" i="4" s="1"/>
  <c r="N25" i="4"/>
  <c r="K25" i="4"/>
  <c r="H25" i="4"/>
  <c r="M25" i="4" s="1"/>
  <c r="G25" i="4"/>
  <c r="O25" i="4" s="1"/>
  <c r="F25" i="4"/>
  <c r="E25" i="4"/>
  <c r="AI24" i="4"/>
  <c r="AH24" i="4"/>
  <c r="AJ24" i="4" s="1"/>
  <c r="AF24" i="4"/>
  <c r="AC24" i="4"/>
  <c r="Z24" i="4"/>
  <c r="AE24" i="4" s="1"/>
  <c r="Y24" i="4"/>
  <c r="AG24" i="4" s="1"/>
  <c r="X24" i="4"/>
  <c r="W24" i="4"/>
  <c r="S24" i="4"/>
  <c r="Q24" i="4"/>
  <c r="P24" i="4"/>
  <c r="T24" i="4" s="1"/>
  <c r="N24" i="4"/>
  <c r="K24" i="4"/>
  <c r="H24" i="4"/>
  <c r="M24" i="4" s="1"/>
  <c r="G24" i="4"/>
  <c r="O24" i="4" s="1"/>
  <c r="F24" i="4"/>
  <c r="E24" i="4"/>
  <c r="AI23" i="4"/>
  <c r="AH23" i="4"/>
  <c r="AJ23" i="4" s="1"/>
  <c r="AF23" i="4"/>
  <c r="AC23" i="4"/>
  <c r="Z23" i="4"/>
  <c r="AE23" i="4" s="1"/>
  <c r="Y23" i="4"/>
  <c r="AG23" i="4" s="1"/>
  <c r="X23" i="4"/>
  <c r="W23" i="4"/>
  <c r="S23" i="4"/>
  <c r="Q23" i="4"/>
  <c r="P23" i="4"/>
  <c r="N23" i="4"/>
  <c r="K23" i="4"/>
  <c r="H23" i="4"/>
  <c r="M23" i="4" s="1"/>
  <c r="G23" i="4"/>
  <c r="O23" i="4" s="1"/>
  <c r="F23" i="4"/>
  <c r="E23" i="4"/>
  <c r="AI22" i="4"/>
  <c r="AH22" i="4"/>
  <c r="AJ22" i="4" s="1"/>
  <c r="AF22" i="4"/>
  <c r="AC22" i="4"/>
  <c r="Z22" i="4"/>
  <c r="AE22" i="4" s="1"/>
  <c r="Y22" i="4"/>
  <c r="AG22" i="4" s="1"/>
  <c r="X22" i="4"/>
  <c r="W22" i="4"/>
  <c r="S22" i="4"/>
  <c r="Q22" i="4"/>
  <c r="P22" i="4"/>
  <c r="N22" i="4"/>
  <c r="K22" i="4"/>
  <c r="H22" i="4"/>
  <c r="M22" i="4" s="1"/>
  <c r="G22" i="4"/>
  <c r="O22" i="4" s="1"/>
  <c r="F22" i="4"/>
  <c r="E22" i="4"/>
  <c r="AI21" i="4"/>
  <c r="AH21" i="4"/>
  <c r="AJ21" i="4" s="1"/>
  <c r="AF21" i="4"/>
  <c r="AC21" i="4"/>
  <c r="Z21" i="4"/>
  <c r="AE21" i="4" s="1"/>
  <c r="Y21" i="4"/>
  <c r="AG21" i="4" s="1"/>
  <c r="X21" i="4"/>
  <c r="W21" i="4"/>
  <c r="S21" i="4"/>
  <c r="Q21" i="4"/>
  <c r="P21" i="4"/>
  <c r="R21" i="4" s="1"/>
  <c r="N21" i="4"/>
  <c r="K21" i="4"/>
  <c r="H21" i="4"/>
  <c r="M21" i="4" s="1"/>
  <c r="G21" i="4"/>
  <c r="O21" i="4" s="1"/>
  <c r="F21" i="4"/>
  <c r="E21" i="4"/>
  <c r="AI20" i="4"/>
  <c r="AH20" i="4"/>
  <c r="AJ20" i="4" s="1"/>
  <c r="AF20" i="4"/>
  <c r="AC20" i="4"/>
  <c r="Z20" i="4"/>
  <c r="AE20" i="4" s="1"/>
  <c r="Y20" i="4"/>
  <c r="AG20" i="4" s="1"/>
  <c r="X20" i="4"/>
  <c r="W20" i="4"/>
  <c r="S20" i="4"/>
  <c r="Q20" i="4"/>
  <c r="P20" i="4"/>
  <c r="N20" i="4"/>
  <c r="K20" i="4"/>
  <c r="H20" i="4"/>
  <c r="M20" i="4" s="1"/>
  <c r="G20" i="4"/>
  <c r="O20" i="4" s="1"/>
  <c r="F20" i="4"/>
  <c r="E20" i="4"/>
  <c r="AI19" i="4"/>
  <c r="AH19" i="4"/>
  <c r="AJ19" i="4" s="1"/>
  <c r="AF19" i="4"/>
  <c r="AC19" i="4"/>
  <c r="Z19" i="4"/>
  <c r="AE19" i="4" s="1"/>
  <c r="Y19" i="4"/>
  <c r="AG19" i="4" s="1"/>
  <c r="X19" i="4"/>
  <c r="W19" i="4"/>
  <c r="S19" i="4"/>
  <c r="Q19" i="4"/>
  <c r="P19" i="4"/>
  <c r="R19" i="4" s="1"/>
  <c r="N19" i="4"/>
  <c r="K19" i="4"/>
  <c r="H19" i="4"/>
  <c r="M19" i="4" s="1"/>
  <c r="G19" i="4"/>
  <c r="O19" i="4" s="1"/>
  <c r="F19" i="4"/>
  <c r="E19" i="4"/>
  <c r="AI18" i="4"/>
  <c r="AH18" i="4"/>
  <c r="AF18" i="4"/>
  <c r="AC18" i="4"/>
  <c r="Z18" i="4"/>
  <c r="Y18" i="4"/>
  <c r="AG18" i="4" s="1"/>
  <c r="X18" i="4"/>
  <c r="W18" i="4"/>
  <c r="S18" i="4"/>
  <c r="Q18" i="4"/>
  <c r="P18" i="4"/>
  <c r="N18" i="4"/>
  <c r="K18" i="4"/>
  <c r="H18" i="4"/>
  <c r="M18" i="4" s="1"/>
  <c r="G18" i="4"/>
  <c r="O18" i="4" s="1"/>
  <c r="F18" i="4"/>
  <c r="E18" i="4"/>
  <c r="AI17" i="4"/>
  <c r="AH17" i="4"/>
  <c r="AJ17" i="4" s="1"/>
  <c r="AF17" i="4"/>
  <c r="AC17" i="4"/>
  <c r="Z17" i="4"/>
  <c r="AE17" i="4" s="1"/>
  <c r="Y17" i="4"/>
  <c r="AG17" i="4" s="1"/>
  <c r="X17" i="4"/>
  <c r="W17" i="4"/>
  <c r="S17" i="4"/>
  <c r="Q17" i="4"/>
  <c r="P17" i="4"/>
  <c r="N17" i="4"/>
  <c r="K17" i="4"/>
  <c r="H17" i="4"/>
  <c r="M17" i="4" s="1"/>
  <c r="G17" i="4"/>
  <c r="O17" i="4" s="1"/>
  <c r="F17" i="4"/>
  <c r="E17" i="4"/>
  <c r="AI16" i="4"/>
  <c r="AH16" i="4"/>
  <c r="AF16" i="4"/>
  <c r="AC16" i="4"/>
  <c r="Z16" i="4"/>
  <c r="Y16" i="4"/>
  <c r="X16" i="4"/>
  <c r="W16" i="4"/>
  <c r="S16" i="4"/>
  <c r="Q16" i="4"/>
  <c r="P16" i="4"/>
  <c r="R16" i="4" s="1"/>
  <c r="N16" i="4"/>
  <c r="K16" i="4"/>
  <c r="H16" i="4"/>
  <c r="G16" i="4"/>
  <c r="O16" i="4" s="1"/>
  <c r="F16" i="4"/>
  <c r="E16" i="4"/>
  <c r="AJ14" i="4"/>
  <c r="AG14" i="4"/>
  <c r="AE14" i="4"/>
  <c r="AD14" i="4"/>
  <c r="AA14" i="4"/>
  <c r="U14" i="4"/>
  <c r="AB14" i="4" s="1"/>
  <c r="T14" i="4"/>
  <c r="R14" i="4"/>
  <c r="O14" i="4"/>
  <c r="M14" i="4"/>
  <c r="L14" i="4"/>
  <c r="J14" i="4"/>
  <c r="I14" i="4"/>
  <c r="C14" i="4"/>
  <c r="AI13" i="4"/>
  <c r="Q13" i="4"/>
  <c r="P13" i="4"/>
  <c r="R13" i="4" s="1"/>
  <c r="S12" i="4"/>
  <c r="Q12" i="4"/>
  <c r="Q11" i="4" s="1"/>
  <c r="AI11" i="4"/>
  <c r="U119" i="3"/>
  <c r="S119" i="3"/>
  <c r="N119" i="3"/>
  <c r="K119" i="3"/>
  <c r="H119" i="3"/>
  <c r="M119" i="3" s="1"/>
  <c r="G119" i="3"/>
  <c r="O119" i="3" s="1"/>
  <c r="F119" i="3"/>
  <c r="E119" i="3"/>
  <c r="U118" i="3"/>
  <c r="S118" i="3"/>
  <c r="N118" i="3"/>
  <c r="K118" i="3"/>
  <c r="H118" i="3"/>
  <c r="M118" i="3" s="1"/>
  <c r="G118" i="3"/>
  <c r="O118" i="3" s="1"/>
  <c r="F118" i="3"/>
  <c r="E118" i="3"/>
  <c r="U117" i="3"/>
  <c r="S117" i="3"/>
  <c r="N117" i="3"/>
  <c r="K117" i="3"/>
  <c r="H117" i="3"/>
  <c r="M117" i="3" s="1"/>
  <c r="G117" i="3"/>
  <c r="O117" i="3" s="1"/>
  <c r="F117" i="3"/>
  <c r="E117" i="3"/>
  <c r="U116" i="3"/>
  <c r="S116" i="3"/>
  <c r="N116" i="3"/>
  <c r="K116" i="3"/>
  <c r="H116" i="3"/>
  <c r="M116" i="3" s="1"/>
  <c r="G116" i="3"/>
  <c r="O116" i="3" s="1"/>
  <c r="F116" i="3"/>
  <c r="E116" i="3"/>
  <c r="U115" i="3"/>
  <c r="S115" i="3"/>
  <c r="N115" i="3"/>
  <c r="K115" i="3"/>
  <c r="H115" i="3"/>
  <c r="M115" i="3" s="1"/>
  <c r="G115" i="3"/>
  <c r="O115" i="3" s="1"/>
  <c r="F115" i="3"/>
  <c r="E115" i="3"/>
  <c r="U114" i="3"/>
  <c r="S114" i="3"/>
  <c r="N114" i="3"/>
  <c r="K114" i="3"/>
  <c r="H114" i="3"/>
  <c r="M114" i="3" s="1"/>
  <c r="G114" i="3"/>
  <c r="O114" i="3" s="1"/>
  <c r="F114" i="3"/>
  <c r="E114" i="3"/>
  <c r="U113" i="3"/>
  <c r="S113" i="3"/>
  <c r="N113" i="3"/>
  <c r="K113" i="3"/>
  <c r="H113" i="3"/>
  <c r="M113" i="3" s="1"/>
  <c r="G113" i="3"/>
  <c r="O113" i="3" s="1"/>
  <c r="F113" i="3"/>
  <c r="E113" i="3"/>
  <c r="U112" i="3"/>
  <c r="S112" i="3"/>
  <c r="N112" i="3"/>
  <c r="K112" i="3"/>
  <c r="H112" i="3"/>
  <c r="M112" i="3" s="1"/>
  <c r="G112" i="3"/>
  <c r="O112" i="3" s="1"/>
  <c r="F112" i="3"/>
  <c r="E112" i="3"/>
  <c r="U111" i="3"/>
  <c r="S111" i="3"/>
  <c r="N111" i="3"/>
  <c r="K111" i="3"/>
  <c r="H111" i="3"/>
  <c r="M111" i="3" s="1"/>
  <c r="G111" i="3"/>
  <c r="O111" i="3" s="1"/>
  <c r="F111" i="3"/>
  <c r="E111" i="3"/>
  <c r="U110" i="3"/>
  <c r="S110" i="3"/>
  <c r="N110" i="3"/>
  <c r="K110" i="3"/>
  <c r="H110" i="3"/>
  <c r="M110" i="3" s="1"/>
  <c r="G110" i="3"/>
  <c r="F110" i="3"/>
  <c r="E110" i="3"/>
  <c r="U109" i="3"/>
  <c r="S109" i="3"/>
  <c r="N109" i="3"/>
  <c r="K109" i="3"/>
  <c r="H109" i="3"/>
  <c r="M109" i="3" s="1"/>
  <c r="G109" i="3"/>
  <c r="O109" i="3" s="1"/>
  <c r="F109" i="3"/>
  <c r="E109" i="3"/>
  <c r="U108" i="3"/>
  <c r="S108" i="3"/>
  <c r="N108" i="3"/>
  <c r="K108" i="3"/>
  <c r="H108" i="3"/>
  <c r="M108" i="3" s="1"/>
  <c r="G108" i="3"/>
  <c r="O108" i="3" s="1"/>
  <c r="F108" i="3"/>
  <c r="E108" i="3"/>
  <c r="U107" i="3"/>
  <c r="S107" i="3"/>
  <c r="N107" i="3"/>
  <c r="K107" i="3"/>
  <c r="H107" i="3"/>
  <c r="G107" i="3"/>
  <c r="O107" i="3" s="1"/>
  <c r="F107" i="3"/>
  <c r="E107" i="3"/>
  <c r="T106" i="3"/>
  <c r="T13" i="3" s="1"/>
  <c r="Q106" i="3"/>
  <c r="P106" i="3"/>
  <c r="P13" i="3" s="1"/>
  <c r="R13" i="3" s="1"/>
  <c r="S105" i="3"/>
  <c r="U105" i="3" s="1"/>
  <c r="P105" i="3"/>
  <c r="R105" i="3" s="1"/>
  <c r="N105" i="3"/>
  <c r="K105" i="3"/>
  <c r="H105" i="3"/>
  <c r="M105" i="3" s="1"/>
  <c r="G105" i="3"/>
  <c r="O105" i="3" s="1"/>
  <c r="F105" i="3"/>
  <c r="E105" i="3"/>
  <c r="S104" i="3"/>
  <c r="U104" i="3" s="1"/>
  <c r="P104" i="3"/>
  <c r="R104" i="3" s="1"/>
  <c r="N104" i="3"/>
  <c r="K104" i="3"/>
  <c r="H104" i="3"/>
  <c r="M104" i="3" s="1"/>
  <c r="G104" i="3"/>
  <c r="O104" i="3" s="1"/>
  <c r="F104" i="3"/>
  <c r="E104" i="3"/>
  <c r="S103" i="3"/>
  <c r="U103" i="3" s="1"/>
  <c r="P103" i="3"/>
  <c r="R103" i="3" s="1"/>
  <c r="N103" i="3"/>
  <c r="K103" i="3"/>
  <c r="H103" i="3"/>
  <c r="M103" i="3" s="1"/>
  <c r="G103" i="3"/>
  <c r="O103" i="3" s="1"/>
  <c r="F103" i="3"/>
  <c r="E103" i="3"/>
  <c r="S102" i="3"/>
  <c r="U102" i="3" s="1"/>
  <c r="P102" i="3"/>
  <c r="R102" i="3" s="1"/>
  <c r="N102" i="3"/>
  <c r="K102" i="3"/>
  <c r="H102" i="3"/>
  <c r="M102" i="3" s="1"/>
  <c r="G102" i="3"/>
  <c r="O102" i="3" s="1"/>
  <c r="F102" i="3"/>
  <c r="E102" i="3"/>
  <c r="S101" i="3"/>
  <c r="U101" i="3" s="1"/>
  <c r="P101" i="3"/>
  <c r="R101" i="3" s="1"/>
  <c r="N101" i="3"/>
  <c r="K101" i="3"/>
  <c r="H101" i="3"/>
  <c r="M101" i="3" s="1"/>
  <c r="G101" i="3"/>
  <c r="O101" i="3" s="1"/>
  <c r="F101" i="3"/>
  <c r="E101" i="3"/>
  <c r="S100" i="3"/>
  <c r="U100" i="3" s="1"/>
  <c r="P100" i="3"/>
  <c r="R100" i="3" s="1"/>
  <c r="N100" i="3"/>
  <c r="K100" i="3"/>
  <c r="H100" i="3"/>
  <c r="M100" i="3" s="1"/>
  <c r="G100" i="3"/>
  <c r="O100" i="3" s="1"/>
  <c r="F100" i="3"/>
  <c r="E100" i="3"/>
  <c r="S99" i="3"/>
  <c r="U99" i="3" s="1"/>
  <c r="P99" i="3"/>
  <c r="R99" i="3" s="1"/>
  <c r="N99" i="3"/>
  <c r="K99" i="3"/>
  <c r="H99" i="3"/>
  <c r="M99" i="3" s="1"/>
  <c r="G99" i="3"/>
  <c r="O99" i="3" s="1"/>
  <c r="F99" i="3"/>
  <c r="E99" i="3"/>
  <c r="S98" i="3"/>
  <c r="U98" i="3" s="1"/>
  <c r="P98" i="3"/>
  <c r="R98" i="3" s="1"/>
  <c r="N98" i="3"/>
  <c r="K98" i="3"/>
  <c r="H98" i="3"/>
  <c r="G98" i="3"/>
  <c r="O98" i="3" s="1"/>
  <c r="F98" i="3"/>
  <c r="E98" i="3"/>
  <c r="S97" i="3"/>
  <c r="U97" i="3" s="1"/>
  <c r="P97" i="3"/>
  <c r="R97" i="3" s="1"/>
  <c r="N97" i="3"/>
  <c r="K97" i="3"/>
  <c r="H97" i="3"/>
  <c r="M97" i="3" s="1"/>
  <c r="G97" i="3"/>
  <c r="O97" i="3" s="1"/>
  <c r="F97" i="3"/>
  <c r="E97" i="3"/>
  <c r="S96" i="3"/>
  <c r="U96" i="3" s="1"/>
  <c r="P96" i="3"/>
  <c r="R96" i="3" s="1"/>
  <c r="N96" i="3"/>
  <c r="K96" i="3"/>
  <c r="H96" i="3"/>
  <c r="M96" i="3" s="1"/>
  <c r="G96" i="3"/>
  <c r="O96" i="3" s="1"/>
  <c r="F96" i="3"/>
  <c r="E96" i="3"/>
  <c r="S95" i="3"/>
  <c r="U95" i="3" s="1"/>
  <c r="P95" i="3"/>
  <c r="N95" i="3"/>
  <c r="K95" i="3"/>
  <c r="H95" i="3"/>
  <c r="M95" i="3" s="1"/>
  <c r="G95" i="3"/>
  <c r="O95" i="3" s="1"/>
  <c r="F95" i="3"/>
  <c r="E95" i="3"/>
  <c r="A95" i="3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S94" i="3"/>
  <c r="U94" i="3" s="1"/>
  <c r="P94" i="3"/>
  <c r="R94" i="3" s="1"/>
  <c r="N94" i="3"/>
  <c r="K94" i="3"/>
  <c r="H94" i="3"/>
  <c r="M94" i="3" s="1"/>
  <c r="G94" i="3"/>
  <c r="O94" i="3" s="1"/>
  <c r="F94" i="3"/>
  <c r="E94" i="3"/>
  <c r="S93" i="3"/>
  <c r="U93" i="3" s="1"/>
  <c r="P93" i="3"/>
  <c r="R93" i="3" s="1"/>
  <c r="N93" i="3"/>
  <c r="K93" i="3"/>
  <c r="H93" i="3"/>
  <c r="M93" i="3" s="1"/>
  <c r="G93" i="3"/>
  <c r="O93" i="3" s="1"/>
  <c r="F93" i="3"/>
  <c r="E93" i="3"/>
  <c r="S92" i="3"/>
  <c r="P92" i="3"/>
  <c r="R92" i="3" s="1"/>
  <c r="N92" i="3"/>
  <c r="K92" i="3"/>
  <c r="H92" i="3"/>
  <c r="M92" i="3" s="1"/>
  <c r="G92" i="3"/>
  <c r="O92" i="3" s="1"/>
  <c r="F92" i="3"/>
  <c r="E92" i="3"/>
  <c r="T91" i="3"/>
  <c r="Q91" i="3"/>
  <c r="T90" i="3"/>
  <c r="S90" i="3"/>
  <c r="Q90" i="3"/>
  <c r="P90" i="3"/>
  <c r="N90" i="3"/>
  <c r="K90" i="3"/>
  <c r="H90" i="3"/>
  <c r="G90" i="3"/>
  <c r="O90" i="3" s="1"/>
  <c r="F90" i="3"/>
  <c r="E90" i="3"/>
  <c r="T89" i="3"/>
  <c r="S89" i="3"/>
  <c r="Q89" i="3"/>
  <c r="P89" i="3"/>
  <c r="N89" i="3"/>
  <c r="K89" i="3"/>
  <c r="H89" i="3"/>
  <c r="G89" i="3"/>
  <c r="O89" i="3" s="1"/>
  <c r="F89" i="3"/>
  <c r="E89" i="3"/>
  <c r="T88" i="3"/>
  <c r="S88" i="3"/>
  <c r="Q88" i="3"/>
  <c r="P88" i="3"/>
  <c r="N88" i="3"/>
  <c r="K88" i="3"/>
  <c r="H88" i="3"/>
  <c r="G88" i="3"/>
  <c r="O88" i="3" s="1"/>
  <c r="F88" i="3"/>
  <c r="E88" i="3"/>
  <c r="T87" i="3"/>
  <c r="S87" i="3"/>
  <c r="U87" i="3" s="1"/>
  <c r="Q87" i="3"/>
  <c r="P87" i="3"/>
  <c r="R87" i="3" s="1"/>
  <c r="N87" i="3"/>
  <c r="K87" i="3"/>
  <c r="H87" i="3"/>
  <c r="M87" i="3" s="1"/>
  <c r="G87" i="3"/>
  <c r="O87" i="3" s="1"/>
  <c r="F87" i="3"/>
  <c r="E87" i="3"/>
  <c r="T86" i="3"/>
  <c r="S86" i="3"/>
  <c r="U86" i="3" s="1"/>
  <c r="Q86" i="3"/>
  <c r="P86" i="3"/>
  <c r="R86" i="3" s="1"/>
  <c r="N86" i="3"/>
  <c r="K86" i="3"/>
  <c r="H86" i="3"/>
  <c r="M86" i="3" s="1"/>
  <c r="G86" i="3"/>
  <c r="O86" i="3" s="1"/>
  <c r="F86" i="3"/>
  <c r="E86" i="3"/>
  <c r="T85" i="3"/>
  <c r="S85" i="3"/>
  <c r="U85" i="3" s="1"/>
  <c r="Q85" i="3"/>
  <c r="P85" i="3"/>
  <c r="R85" i="3" s="1"/>
  <c r="N85" i="3"/>
  <c r="K85" i="3"/>
  <c r="H85" i="3"/>
  <c r="M85" i="3" s="1"/>
  <c r="G85" i="3"/>
  <c r="O85" i="3" s="1"/>
  <c r="F85" i="3"/>
  <c r="E85" i="3"/>
  <c r="T84" i="3"/>
  <c r="S84" i="3"/>
  <c r="Q84" i="3"/>
  <c r="P84" i="3"/>
  <c r="R84" i="3" s="1"/>
  <c r="N84" i="3"/>
  <c r="K84" i="3"/>
  <c r="H84" i="3"/>
  <c r="M84" i="3" s="1"/>
  <c r="G84" i="3"/>
  <c r="O84" i="3" s="1"/>
  <c r="F84" i="3"/>
  <c r="E84" i="3"/>
  <c r="T83" i="3"/>
  <c r="S83" i="3"/>
  <c r="Q83" i="3"/>
  <c r="P83" i="3"/>
  <c r="N83" i="3"/>
  <c r="K83" i="3"/>
  <c r="H83" i="3"/>
  <c r="G83" i="3"/>
  <c r="O83" i="3" s="1"/>
  <c r="F83" i="3"/>
  <c r="E83" i="3"/>
  <c r="T82" i="3"/>
  <c r="S82" i="3"/>
  <c r="U82" i="3" s="1"/>
  <c r="Q82" i="3"/>
  <c r="P82" i="3"/>
  <c r="R82" i="3" s="1"/>
  <c r="N82" i="3"/>
  <c r="K82" i="3"/>
  <c r="H82" i="3"/>
  <c r="M82" i="3" s="1"/>
  <c r="G82" i="3"/>
  <c r="O82" i="3" s="1"/>
  <c r="F82" i="3"/>
  <c r="E82" i="3"/>
  <c r="T81" i="3"/>
  <c r="S81" i="3"/>
  <c r="U81" i="3" s="1"/>
  <c r="Q81" i="3"/>
  <c r="P81" i="3"/>
  <c r="R81" i="3" s="1"/>
  <c r="N81" i="3"/>
  <c r="K81" i="3"/>
  <c r="H81" i="3"/>
  <c r="M81" i="3" s="1"/>
  <c r="G81" i="3"/>
  <c r="O81" i="3" s="1"/>
  <c r="F81" i="3"/>
  <c r="E81" i="3"/>
  <c r="T80" i="3"/>
  <c r="S80" i="3"/>
  <c r="U80" i="3" s="1"/>
  <c r="Q80" i="3"/>
  <c r="P80" i="3"/>
  <c r="R80" i="3" s="1"/>
  <c r="N80" i="3"/>
  <c r="K80" i="3"/>
  <c r="H80" i="3"/>
  <c r="M80" i="3" s="1"/>
  <c r="G80" i="3"/>
  <c r="O80" i="3" s="1"/>
  <c r="F80" i="3"/>
  <c r="E80" i="3"/>
  <c r="T79" i="3"/>
  <c r="S79" i="3"/>
  <c r="U79" i="3" s="1"/>
  <c r="Q79" i="3"/>
  <c r="P79" i="3"/>
  <c r="R79" i="3" s="1"/>
  <c r="N79" i="3"/>
  <c r="K79" i="3"/>
  <c r="H79" i="3"/>
  <c r="M79" i="3" s="1"/>
  <c r="G79" i="3"/>
  <c r="O79" i="3" s="1"/>
  <c r="F79" i="3"/>
  <c r="E79" i="3"/>
  <c r="T78" i="3"/>
  <c r="S78" i="3"/>
  <c r="Q78" i="3"/>
  <c r="P78" i="3"/>
  <c r="N78" i="3"/>
  <c r="K78" i="3"/>
  <c r="H78" i="3"/>
  <c r="G78" i="3"/>
  <c r="O78" i="3" s="1"/>
  <c r="F78" i="3"/>
  <c r="E78" i="3"/>
  <c r="T77" i="3"/>
  <c r="S77" i="3"/>
  <c r="U77" i="3" s="1"/>
  <c r="Q77" i="3"/>
  <c r="P77" i="3"/>
  <c r="N77" i="3"/>
  <c r="K77" i="3"/>
  <c r="H77" i="3"/>
  <c r="M77" i="3" s="1"/>
  <c r="G77" i="3"/>
  <c r="F77" i="3"/>
  <c r="E77" i="3"/>
  <c r="T75" i="3"/>
  <c r="S75" i="3"/>
  <c r="U75" i="3" s="1"/>
  <c r="Q75" i="3"/>
  <c r="P75" i="3"/>
  <c r="R75" i="3" s="1"/>
  <c r="N75" i="3"/>
  <c r="K75" i="3"/>
  <c r="H75" i="3"/>
  <c r="M75" i="3" s="1"/>
  <c r="G75" i="3"/>
  <c r="O75" i="3" s="1"/>
  <c r="F75" i="3"/>
  <c r="E75" i="3"/>
  <c r="T74" i="3"/>
  <c r="S74" i="3"/>
  <c r="Q74" i="3"/>
  <c r="P74" i="3"/>
  <c r="N74" i="3"/>
  <c r="K74" i="3"/>
  <c r="H74" i="3"/>
  <c r="G74" i="3"/>
  <c r="O74" i="3" s="1"/>
  <c r="F74" i="3"/>
  <c r="E74" i="3"/>
  <c r="T73" i="3"/>
  <c r="S73" i="3"/>
  <c r="U73" i="3" s="1"/>
  <c r="Q73" i="3"/>
  <c r="P73" i="3"/>
  <c r="R73" i="3" s="1"/>
  <c r="N73" i="3"/>
  <c r="K73" i="3"/>
  <c r="H73" i="3"/>
  <c r="M73" i="3" s="1"/>
  <c r="G73" i="3"/>
  <c r="O73" i="3" s="1"/>
  <c r="F73" i="3"/>
  <c r="E73" i="3"/>
  <c r="T72" i="3"/>
  <c r="S72" i="3"/>
  <c r="Q72" i="3"/>
  <c r="P72" i="3"/>
  <c r="N72" i="3"/>
  <c r="K72" i="3"/>
  <c r="H72" i="3"/>
  <c r="G72" i="3"/>
  <c r="O72" i="3" s="1"/>
  <c r="F72" i="3"/>
  <c r="E72" i="3"/>
  <c r="T71" i="3"/>
  <c r="S71" i="3"/>
  <c r="U71" i="3" s="1"/>
  <c r="Q71" i="3"/>
  <c r="P71" i="3"/>
  <c r="R71" i="3" s="1"/>
  <c r="N71" i="3"/>
  <c r="K71" i="3"/>
  <c r="H71" i="3"/>
  <c r="M71" i="3" s="1"/>
  <c r="G71" i="3"/>
  <c r="O71" i="3" s="1"/>
  <c r="F71" i="3"/>
  <c r="E71" i="3"/>
  <c r="T70" i="3"/>
  <c r="S70" i="3"/>
  <c r="Q70" i="3"/>
  <c r="P70" i="3"/>
  <c r="N70" i="3"/>
  <c r="K70" i="3"/>
  <c r="H70" i="3"/>
  <c r="G70" i="3"/>
  <c r="O70" i="3" s="1"/>
  <c r="F70" i="3"/>
  <c r="E70" i="3"/>
  <c r="T69" i="3"/>
  <c r="S69" i="3"/>
  <c r="U69" i="3" s="1"/>
  <c r="Q69" i="3"/>
  <c r="P69" i="3"/>
  <c r="R69" i="3" s="1"/>
  <c r="N69" i="3"/>
  <c r="K69" i="3"/>
  <c r="H69" i="3"/>
  <c r="M69" i="3" s="1"/>
  <c r="G69" i="3"/>
  <c r="O69" i="3" s="1"/>
  <c r="F69" i="3"/>
  <c r="E69" i="3"/>
  <c r="T68" i="3"/>
  <c r="S68" i="3"/>
  <c r="U68" i="3" s="1"/>
  <c r="Q68" i="3"/>
  <c r="P68" i="3"/>
  <c r="R68" i="3" s="1"/>
  <c r="N68" i="3"/>
  <c r="K68" i="3"/>
  <c r="H68" i="3"/>
  <c r="M68" i="3" s="1"/>
  <c r="G68" i="3"/>
  <c r="O68" i="3" s="1"/>
  <c r="F68" i="3"/>
  <c r="E68" i="3"/>
  <c r="T67" i="3"/>
  <c r="S67" i="3"/>
  <c r="U67" i="3" s="1"/>
  <c r="Q67" i="3"/>
  <c r="P67" i="3"/>
  <c r="R67" i="3" s="1"/>
  <c r="N67" i="3"/>
  <c r="K67" i="3"/>
  <c r="H67" i="3"/>
  <c r="M67" i="3" s="1"/>
  <c r="G67" i="3"/>
  <c r="O67" i="3" s="1"/>
  <c r="F67" i="3"/>
  <c r="E67" i="3"/>
  <c r="T66" i="3"/>
  <c r="S66" i="3"/>
  <c r="U66" i="3" s="1"/>
  <c r="Q66" i="3"/>
  <c r="P66" i="3"/>
  <c r="R66" i="3" s="1"/>
  <c r="N66" i="3"/>
  <c r="K66" i="3"/>
  <c r="H66" i="3"/>
  <c r="M66" i="3" s="1"/>
  <c r="G66" i="3"/>
  <c r="O66" i="3" s="1"/>
  <c r="F66" i="3"/>
  <c r="E66" i="3"/>
  <c r="T65" i="3"/>
  <c r="S65" i="3"/>
  <c r="U65" i="3" s="1"/>
  <c r="Q65" i="3"/>
  <c r="P65" i="3"/>
  <c r="R65" i="3" s="1"/>
  <c r="N65" i="3"/>
  <c r="K65" i="3"/>
  <c r="H65" i="3"/>
  <c r="M65" i="3" s="1"/>
  <c r="G65" i="3"/>
  <c r="O65" i="3" s="1"/>
  <c r="F65" i="3"/>
  <c r="E65" i="3"/>
  <c r="T64" i="3"/>
  <c r="S64" i="3"/>
  <c r="U64" i="3" s="1"/>
  <c r="Q64" i="3"/>
  <c r="P64" i="3"/>
  <c r="R64" i="3" s="1"/>
  <c r="N64" i="3"/>
  <c r="K64" i="3"/>
  <c r="H64" i="3"/>
  <c r="M64" i="3" s="1"/>
  <c r="G64" i="3"/>
  <c r="O64" i="3" s="1"/>
  <c r="F64" i="3"/>
  <c r="E64" i="3"/>
  <c r="T63" i="3"/>
  <c r="S63" i="3"/>
  <c r="U63" i="3" s="1"/>
  <c r="Q63" i="3"/>
  <c r="P63" i="3"/>
  <c r="R63" i="3" s="1"/>
  <c r="N63" i="3"/>
  <c r="K63" i="3"/>
  <c r="H63" i="3"/>
  <c r="M63" i="3" s="1"/>
  <c r="G63" i="3"/>
  <c r="O63" i="3" s="1"/>
  <c r="F63" i="3"/>
  <c r="E63" i="3"/>
  <c r="T62" i="3"/>
  <c r="S62" i="3"/>
  <c r="U62" i="3" s="1"/>
  <c r="Q62" i="3"/>
  <c r="P62" i="3"/>
  <c r="R62" i="3" s="1"/>
  <c r="N62" i="3"/>
  <c r="K62" i="3"/>
  <c r="H62" i="3"/>
  <c r="M62" i="3" s="1"/>
  <c r="G62" i="3"/>
  <c r="O62" i="3" s="1"/>
  <c r="F62" i="3"/>
  <c r="E62" i="3"/>
  <c r="T61" i="3"/>
  <c r="S61" i="3"/>
  <c r="U61" i="3" s="1"/>
  <c r="Q61" i="3"/>
  <c r="P61" i="3"/>
  <c r="R61" i="3" s="1"/>
  <c r="N61" i="3"/>
  <c r="K61" i="3"/>
  <c r="H61" i="3"/>
  <c r="M61" i="3" s="1"/>
  <c r="G61" i="3"/>
  <c r="O61" i="3" s="1"/>
  <c r="F61" i="3"/>
  <c r="E61" i="3"/>
  <c r="T60" i="3"/>
  <c r="S60" i="3"/>
  <c r="U60" i="3" s="1"/>
  <c r="Q60" i="3"/>
  <c r="P60" i="3"/>
  <c r="R60" i="3" s="1"/>
  <c r="N60" i="3"/>
  <c r="K60" i="3"/>
  <c r="H60" i="3"/>
  <c r="M60" i="3" s="1"/>
  <c r="G60" i="3"/>
  <c r="F60" i="3"/>
  <c r="E60" i="3"/>
  <c r="T59" i="3"/>
  <c r="S59" i="3"/>
  <c r="U59" i="3" s="1"/>
  <c r="Q59" i="3"/>
  <c r="P59" i="3"/>
  <c r="R59" i="3" s="1"/>
  <c r="N59" i="3"/>
  <c r="K59" i="3"/>
  <c r="H59" i="3"/>
  <c r="M59" i="3" s="1"/>
  <c r="G59" i="3"/>
  <c r="O59" i="3" s="1"/>
  <c r="F59" i="3"/>
  <c r="E59" i="3"/>
  <c r="T58" i="3"/>
  <c r="S58" i="3"/>
  <c r="Q58" i="3"/>
  <c r="P58" i="3"/>
  <c r="N58" i="3"/>
  <c r="K58" i="3"/>
  <c r="H58" i="3"/>
  <c r="G58" i="3"/>
  <c r="O58" i="3" s="1"/>
  <c r="F58" i="3"/>
  <c r="E58" i="3"/>
  <c r="T57" i="3"/>
  <c r="S57" i="3"/>
  <c r="Q57" i="3"/>
  <c r="P57" i="3"/>
  <c r="N57" i="3"/>
  <c r="K57" i="3"/>
  <c r="H57" i="3"/>
  <c r="G57" i="3"/>
  <c r="O57" i="3" s="1"/>
  <c r="F57" i="3"/>
  <c r="E57" i="3"/>
  <c r="T56" i="3"/>
  <c r="S56" i="3"/>
  <c r="U56" i="3" s="1"/>
  <c r="Q56" i="3"/>
  <c r="P56" i="3"/>
  <c r="R56" i="3" s="1"/>
  <c r="N56" i="3"/>
  <c r="K56" i="3"/>
  <c r="H56" i="3"/>
  <c r="M56" i="3" s="1"/>
  <c r="G56" i="3"/>
  <c r="O56" i="3" s="1"/>
  <c r="F56" i="3"/>
  <c r="E56" i="3"/>
  <c r="T55" i="3"/>
  <c r="S55" i="3"/>
  <c r="Q55" i="3"/>
  <c r="P55" i="3"/>
  <c r="N55" i="3"/>
  <c r="K55" i="3"/>
  <c r="H55" i="3"/>
  <c r="G55" i="3"/>
  <c r="O55" i="3" s="1"/>
  <c r="F55" i="3"/>
  <c r="E55" i="3"/>
  <c r="T53" i="3"/>
  <c r="S53" i="3"/>
  <c r="U53" i="3" s="1"/>
  <c r="Q53" i="3"/>
  <c r="P53" i="3"/>
  <c r="R53" i="3" s="1"/>
  <c r="N53" i="3"/>
  <c r="K53" i="3"/>
  <c r="H53" i="3"/>
  <c r="M53" i="3" s="1"/>
  <c r="G53" i="3"/>
  <c r="O53" i="3" s="1"/>
  <c r="F53" i="3"/>
  <c r="E53" i="3"/>
  <c r="T52" i="3"/>
  <c r="S52" i="3"/>
  <c r="Q52" i="3"/>
  <c r="P52" i="3"/>
  <c r="N52" i="3"/>
  <c r="K52" i="3"/>
  <c r="H52" i="3"/>
  <c r="G52" i="3"/>
  <c r="O52" i="3" s="1"/>
  <c r="F52" i="3"/>
  <c r="E52" i="3"/>
  <c r="T51" i="3"/>
  <c r="S51" i="3"/>
  <c r="U51" i="3" s="1"/>
  <c r="Q51" i="3"/>
  <c r="P51" i="3"/>
  <c r="R51" i="3" s="1"/>
  <c r="N51" i="3"/>
  <c r="K51" i="3"/>
  <c r="H51" i="3"/>
  <c r="M51" i="3" s="1"/>
  <c r="G51" i="3"/>
  <c r="O51" i="3" s="1"/>
  <c r="F51" i="3"/>
  <c r="E51" i="3"/>
  <c r="T50" i="3"/>
  <c r="S50" i="3"/>
  <c r="U50" i="3" s="1"/>
  <c r="Q50" i="3"/>
  <c r="P50" i="3"/>
  <c r="R50" i="3" s="1"/>
  <c r="N50" i="3"/>
  <c r="K50" i="3"/>
  <c r="H50" i="3"/>
  <c r="M50" i="3" s="1"/>
  <c r="G50" i="3"/>
  <c r="O50" i="3" s="1"/>
  <c r="F50" i="3"/>
  <c r="E50" i="3"/>
  <c r="T49" i="3"/>
  <c r="S49" i="3"/>
  <c r="Q49" i="3"/>
  <c r="P49" i="3"/>
  <c r="N49" i="3"/>
  <c r="K49" i="3"/>
  <c r="H49" i="3"/>
  <c r="G49" i="3"/>
  <c r="O49" i="3" s="1"/>
  <c r="F49" i="3"/>
  <c r="E49" i="3"/>
  <c r="T48" i="3"/>
  <c r="S48" i="3"/>
  <c r="U48" i="3" s="1"/>
  <c r="Q48" i="3"/>
  <c r="P48" i="3"/>
  <c r="R48" i="3" s="1"/>
  <c r="N48" i="3"/>
  <c r="K48" i="3"/>
  <c r="H48" i="3"/>
  <c r="M48" i="3" s="1"/>
  <c r="G48" i="3"/>
  <c r="O48" i="3" s="1"/>
  <c r="F48" i="3"/>
  <c r="E48" i="3"/>
  <c r="T47" i="3"/>
  <c r="S47" i="3"/>
  <c r="U47" i="3" s="1"/>
  <c r="Q47" i="3"/>
  <c r="P47" i="3"/>
  <c r="R47" i="3" s="1"/>
  <c r="N47" i="3"/>
  <c r="K47" i="3"/>
  <c r="H47" i="3"/>
  <c r="M47" i="3" s="1"/>
  <c r="G47" i="3"/>
  <c r="O47" i="3" s="1"/>
  <c r="F47" i="3"/>
  <c r="E47" i="3"/>
  <c r="T46" i="3"/>
  <c r="S46" i="3"/>
  <c r="U46" i="3" s="1"/>
  <c r="Q46" i="3"/>
  <c r="P46" i="3"/>
  <c r="R46" i="3" s="1"/>
  <c r="N46" i="3"/>
  <c r="K46" i="3"/>
  <c r="H46" i="3"/>
  <c r="M46" i="3" s="1"/>
  <c r="G46" i="3"/>
  <c r="O46" i="3" s="1"/>
  <c r="F46" i="3"/>
  <c r="E46" i="3"/>
  <c r="T45" i="3"/>
  <c r="S45" i="3"/>
  <c r="U45" i="3" s="1"/>
  <c r="Q45" i="3"/>
  <c r="P45" i="3"/>
  <c r="R45" i="3" s="1"/>
  <c r="N45" i="3"/>
  <c r="K45" i="3"/>
  <c r="H45" i="3"/>
  <c r="M45" i="3" s="1"/>
  <c r="G45" i="3"/>
  <c r="O45" i="3" s="1"/>
  <c r="F45" i="3"/>
  <c r="E45" i="3"/>
  <c r="T44" i="3"/>
  <c r="S44" i="3"/>
  <c r="U44" i="3" s="1"/>
  <c r="Q44" i="3"/>
  <c r="P44" i="3"/>
  <c r="R44" i="3" s="1"/>
  <c r="N44" i="3"/>
  <c r="K44" i="3"/>
  <c r="H44" i="3"/>
  <c r="M44" i="3" s="1"/>
  <c r="G44" i="3"/>
  <c r="O44" i="3" s="1"/>
  <c r="F44" i="3"/>
  <c r="E44" i="3"/>
  <c r="T43" i="3"/>
  <c r="S43" i="3"/>
  <c r="Q43" i="3"/>
  <c r="P43" i="3"/>
  <c r="N43" i="3"/>
  <c r="K43" i="3"/>
  <c r="H43" i="3"/>
  <c r="G43" i="3"/>
  <c r="O43" i="3" s="1"/>
  <c r="F43" i="3"/>
  <c r="E43" i="3"/>
  <c r="T42" i="3"/>
  <c r="S42" i="3"/>
  <c r="U42" i="3" s="1"/>
  <c r="Q42" i="3"/>
  <c r="P42" i="3"/>
  <c r="R42" i="3" s="1"/>
  <c r="N42" i="3"/>
  <c r="K42" i="3"/>
  <c r="H42" i="3"/>
  <c r="M42" i="3" s="1"/>
  <c r="G42" i="3"/>
  <c r="O42" i="3" s="1"/>
  <c r="F42" i="3"/>
  <c r="E42" i="3"/>
  <c r="T41" i="3"/>
  <c r="S41" i="3"/>
  <c r="U41" i="3" s="1"/>
  <c r="Q41" i="3"/>
  <c r="P41" i="3"/>
  <c r="R41" i="3" s="1"/>
  <c r="N41" i="3"/>
  <c r="K41" i="3"/>
  <c r="H41" i="3"/>
  <c r="M41" i="3" s="1"/>
  <c r="G41" i="3"/>
  <c r="O41" i="3" s="1"/>
  <c r="F41" i="3"/>
  <c r="E41" i="3"/>
  <c r="T40" i="3"/>
  <c r="S40" i="3"/>
  <c r="Q40" i="3"/>
  <c r="P40" i="3"/>
  <c r="N40" i="3"/>
  <c r="K40" i="3"/>
  <c r="H40" i="3"/>
  <c r="G40" i="3"/>
  <c r="O40" i="3" s="1"/>
  <c r="F40" i="3"/>
  <c r="E40" i="3"/>
  <c r="T39" i="3"/>
  <c r="S39" i="3"/>
  <c r="U39" i="3" s="1"/>
  <c r="Q39" i="3"/>
  <c r="P39" i="3"/>
  <c r="R39" i="3" s="1"/>
  <c r="N39" i="3"/>
  <c r="K39" i="3"/>
  <c r="H39" i="3"/>
  <c r="M39" i="3" s="1"/>
  <c r="G39" i="3"/>
  <c r="O39" i="3" s="1"/>
  <c r="F39" i="3"/>
  <c r="E39" i="3"/>
  <c r="T38" i="3"/>
  <c r="S38" i="3"/>
  <c r="U38" i="3" s="1"/>
  <c r="Q38" i="3"/>
  <c r="P38" i="3"/>
  <c r="R38" i="3" s="1"/>
  <c r="N38" i="3"/>
  <c r="K38" i="3"/>
  <c r="H38" i="3"/>
  <c r="M38" i="3" s="1"/>
  <c r="G38" i="3"/>
  <c r="O38" i="3" s="1"/>
  <c r="F38" i="3"/>
  <c r="E38" i="3"/>
  <c r="T37" i="3"/>
  <c r="S37" i="3"/>
  <c r="U37" i="3" s="1"/>
  <c r="Q37" i="3"/>
  <c r="P37" i="3"/>
  <c r="R37" i="3" s="1"/>
  <c r="N37" i="3"/>
  <c r="K37" i="3"/>
  <c r="H37" i="3"/>
  <c r="M37" i="3" s="1"/>
  <c r="G37" i="3"/>
  <c r="O37" i="3" s="1"/>
  <c r="F37" i="3"/>
  <c r="E37" i="3"/>
  <c r="T36" i="3"/>
  <c r="S36" i="3"/>
  <c r="Q36" i="3"/>
  <c r="P36" i="3"/>
  <c r="N36" i="3"/>
  <c r="K36" i="3"/>
  <c r="H36" i="3"/>
  <c r="G36" i="3"/>
  <c r="O36" i="3" s="1"/>
  <c r="F36" i="3"/>
  <c r="E36" i="3"/>
  <c r="T35" i="3"/>
  <c r="S35" i="3"/>
  <c r="U35" i="3" s="1"/>
  <c r="Q35" i="3"/>
  <c r="P35" i="3"/>
  <c r="N35" i="3"/>
  <c r="K35" i="3"/>
  <c r="H35" i="3"/>
  <c r="G35" i="3"/>
  <c r="O35" i="3" s="1"/>
  <c r="F35" i="3"/>
  <c r="E35" i="3"/>
  <c r="T34" i="3"/>
  <c r="S34" i="3"/>
  <c r="Q34" i="3"/>
  <c r="P34" i="3"/>
  <c r="N34" i="3"/>
  <c r="K34" i="3"/>
  <c r="H34" i="3"/>
  <c r="G34" i="3"/>
  <c r="F34" i="3"/>
  <c r="E34" i="3"/>
  <c r="T32" i="3"/>
  <c r="S32" i="3"/>
  <c r="U32" i="3" s="1"/>
  <c r="Q32" i="3"/>
  <c r="P32" i="3"/>
  <c r="R32" i="3" s="1"/>
  <c r="N32" i="3"/>
  <c r="K32" i="3"/>
  <c r="H32" i="3"/>
  <c r="M32" i="3" s="1"/>
  <c r="G32" i="3"/>
  <c r="O32" i="3" s="1"/>
  <c r="F32" i="3"/>
  <c r="E32" i="3"/>
  <c r="T31" i="3"/>
  <c r="S31" i="3"/>
  <c r="Q31" i="3"/>
  <c r="P31" i="3"/>
  <c r="N31" i="3"/>
  <c r="K31" i="3"/>
  <c r="H31" i="3"/>
  <c r="G31" i="3"/>
  <c r="O31" i="3" s="1"/>
  <c r="F31" i="3"/>
  <c r="E31" i="3"/>
  <c r="T30" i="3"/>
  <c r="S30" i="3"/>
  <c r="Q30" i="3"/>
  <c r="P30" i="3"/>
  <c r="N30" i="3"/>
  <c r="K30" i="3"/>
  <c r="H30" i="3"/>
  <c r="G30" i="3"/>
  <c r="O30" i="3" s="1"/>
  <c r="F30" i="3"/>
  <c r="E30" i="3"/>
  <c r="T29" i="3"/>
  <c r="S29" i="3"/>
  <c r="Q29" i="3"/>
  <c r="P29" i="3"/>
  <c r="N29" i="3"/>
  <c r="K29" i="3"/>
  <c r="H29" i="3"/>
  <c r="G29" i="3"/>
  <c r="O29" i="3" s="1"/>
  <c r="F29" i="3"/>
  <c r="E29" i="3"/>
  <c r="T28" i="3"/>
  <c r="S28" i="3"/>
  <c r="U28" i="3" s="1"/>
  <c r="Q28" i="3"/>
  <c r="P28" i="3"/>
  <c r="R28" i="3" s="1"/>
  <c r="N28" i="3"/>
  <c r="K28" i="3"/>
  <c r="H28" i="3"/>
  <c r="M28" i="3" s="1"/>
  <c r="G28" i="3"/>
  <c r="O28" i="3" s="1"/>
  <c r="F28" i="3"/>
  <c r="E28" i="3"/>
  <c r="T27" i="3"/>
  <c r="S27" i="3"/>
  <c r="Q27" i="3"/>
  <c r="P27" i="3"/>
  <c r="N27" i="3"/>
  <c r="K27" i="3"/>
  <c r="H27" i="3"/>
  <c r="G27" i="3"/>
  <c r="O27" i="3" s="1"/>
  <c r="F27" i="3"/>
  <c r="E27" i="3"/>
  <c r="T26" i="3"/>
  <c r="S26" i="3"/>
  <c r="Q26" i="3"/>
  <c r="P26" i="3"/>
  <c r="N26" i="3"/>
  <c r="K26" i="3"/>
  <c r="H26" i="3"/>
  <c r="G26" i="3"/>
  <c r="O26" i="3" s="1"/>
  <c r="F26" i="3"/>
  <c r="E26" i="3"/>
  <c r="T25" i="3"/>
  <c r="S25" i="3"/>
  <c r="Q25" i="3"/>
  <c r="P25" i="3"/>
  <c r="N25" i="3"/>
  <c r="K25" i="3"/>
  <c r="H25" i="3"/>
  <c r="G25" i="3"/>
  <c r="O25" i="3" s="1"/>
  <c r="F25" i="3"/>
  <c r="E25" i="3"/>
  <c r="T24" i="3"/>
  <c r="S24" i="3"/>
  <c r="U24" i="3" s="1"/>
  <c r="Q24" i="3"/>
  <c r="P24" i="3"/>
  <c r="R24" i="3" s="1"/>
  <c r="N24" i="3"/>
  <c r="K24" i="3"/>
  <c r="H24" i="3"/>
  <c r="M24" i="3" s="1"/>
  <c r="G24" i="3"/>
  <c r="O24" i="3" s="1"/>
  <c r="F24" i="3"/>
  <c r="E24" i="3"/>
  <c r="T23" i="3"/>
  <c r="S23" i="3"/>
  <c r="U23" i="3" s="1"/>
  <c r="Q23" i="3"/>
  <c r="P23" i="3"/>
  <c r="R23" i="3" s="1"/>
  <c r="N23" i="3"/>
  <c r="K23" i="3"/>
  <c r="H23" i="3"/>
  <c r="M23" i="3" s="1"/>
  <c r="G23" i="3"/>
  <c r="O23" i="3" s="1"/>
  <c r="F23" i="3"/>
  <c r="E23" i="3"/>
  <c r="T22" i="3"/>
  <c r="S22" i="3"/>
  <c r="Q22" i="3"/>
  <c r="P22" i="3"/>
  <c r="N22" i="3"/>
  <c r="K22" i="3"/>
  <c r="H22" i="3"/>
  <c r="G22" i="3"/>
  <c r="O22" i="3" s="1"/>
  <c r="F22" i="3"/>
  <c r="E22" i="3"/>
  <c r="T21" i="3"/>
  <c r="S21" i="3"/>
  <c r="U21" i="3" s="1"/>
  <c r="Q21" i="3"/>
  <c r="P21" i="3"/>
  <c r="R21" i="3" s="1"/>
  <c r="N21" i="3"/>
  <c r="K21" i="3"/>
  <c r="H21" i="3"/>
  <c r="M21" i="3" s="1"/>
  <c r="G21" i="3"/>
  <c r="O21" i="3" s="1"/>
  <c r="F21" i="3"/>
  <c r="E21" i="3"/>
  <c r="T20" i="3"/>
  <c r="S20" i="3"/>
  <c r="Q20" i="3"/>
  <c r="P20" i="3"/>
  <c r="N20" i="3"/>
  <c r="K20" i="3"/>
  <c r="H20" i="3"/>
  <c r="G20" i="3"/>
  <c r="O20" i="3" s="1"/>
  <c r="F20" i="3"/>
  <c r="E20" i="3"/>
  <c r="T19" i="3"/>
  <c r="S19" i="3"/>
  <c r="Q19" i="3"/>
  <c r="P19" i="3"/>
  <c r="N19" i="3"/>
  <c r="K19" i="3"/>
  <c r="H19" i="3"/>
  <c r="G19" i="3"/>
  <c r="O19" i="3" s="1"/>
  <c r="F19" i="3"/>
  <c r="E19" i="3"/>
  <c r="T18" i="3"/>
  <c r="S18" i="3"/>
  <c r="U18" i="3" s="1"/>
  <c r="Q18" i="3"/>
  <c r="P18" i="3"/>
  <c r="R18" i="3" s="1"/>
  <c r="N18" i="3"/>
  <c r="K18" i="3"/>
  <c r="H18" i="3"/>
  <c r="M18" i="3" s="1"/>
  <c r="G18" i="3"/>
  <c r="O18" i="3" s="1"/>
  <c r="F18" i="3"/>
  <c r="E18" i="3"/>
  <c r="T17" i="3"/>
  <c r="S17" i="3"/>
  <c r="U17" i="3" s="1"/>
  <c r="Q17" i="3"/>
  <c r="P17" i="3"/>
  <c r="R17" i="3" s="1"/>
  <c r="N17" i="3"/>
  <c r="K17" i="3"/>
  <c r="H17" i="3"/>
  <c r="M17" i="3" s="1"/>
  <c r="G17" i="3"/>
  <c r="O17" i="3" s="1"/>
  <c r="F17" i="3"/>
  <c r="E17" i="3"/>
  <c r="T16" i="3"/>
  <c r="S16" i="3"/>
  <c r="Q16" i="3"/>
  <c r="P16" i="3"/>
  <c r="N16" i="3"/>
  <c r="K16" i="3"/>
  <c r="H16" i="3"/>
  <c r="G16" i="3"/>
  <c r="O16" i="3" s="1"/>
  <c r="F16" i="3"/>
  <c r="E16" i="3"/>
  <c r="U14" i="3"/>
  <c r="R14" i="3"/>
  <c r="O14" i="3"/>
  <c r="M14" i="3"/>
  <c r="L14" i="3"/>
  <c r="I14" i="3"/>
  <c r="C14" i="3"/>
  <c r="J14" i="3" s="1"/>
  <c r="Q13" i="3"/>
  <c r="T12" i="3"/>
  <c r="T11" i="3" s="1"/>
  <c r="Q12" i="3"/>
  <c r="AD119" i="2"/>
  <c r="AA119" i="2"/>
  <c r="Z119" i="2"/>
  <c r="W119" i="2"/>
  <c r="V119" i="2"/>
  <c r="U119" i="2"/>
  <c r="S119" i="2"/>
  <c r="N119" i="2"/>
  <c r="K119" i="2"/>
  <c r="H119" i="2"/>
  <c r="M119" i="2" s="1"/>
  <c r="G119" i="2"/>
  <c r="O119" i="2" s="1"/>
  <c r="F119" i="2"/>
  <c r="E119" i="2"/>
  <c r="AD118" i="2"/>
  <c r="AA118" i="2"/>
  <c r="Z118" i="2"/>
  <c r="W118" i="2"/>
  <c r="V118" i="2"/>
  <c r="U118" i="2"/>
  <c r="S118" i="2"/>
  <c r="N118" i="2"/>
  <c r="K118" i="2"/>
  <c r="H118" i="2"/>
  <c r="M118" i="2" s="1"/>
  <c r="G118" i="2"/>
  <c r="O118" i="2" s="1"/>
  <c r="F118" i="2"/>
  <c r="E118" i="2"/>
  <c r="AD117" i="2"/>
  <c r="AA117" i="2"/>
  <c r="Z117" i="2"/>
  <c r="W117" i="2"/>
  <c r="V117" i="2"/>
  <c r="U117" i="2"/>
  <c r="S117" i="2"/>
  <c r="N117" i="2"/>
  <c r="K117" i="2"/>
  <c r="H117" i="2"/>
  <c r="M117" i="2" s="1"/>
  <c r="G117" i="2"/>
  <c r="O117" i="2" s="1"/>
  <c r="F117" i="2"/>
  <c r="E117" i="2"/>
  <c r="AD116" i="2"/>
  <c r="AA116" i="2"/>
  <c r="Z116" i="2"/>
  <c r="W116" i="2"/>
  <c r="V116" i="2"/>
  <c r="U116" i="2"/>
  <c r="S116" i="2"/>
  <c r="N116" i="2"/>
  <c r="K116" i="2"/>
  <c r="H116" i="2"/>
  <c r="M116" i="2" s="1"/>
  <c r="G116" i="2"/>
  <c r="O116" i="2" s="1"/>
  <c r="F116" i="2"/>
  <c r="E116" i="2"/>
  <c r="AD115" i="2"/>
  <c r="AA115" i="2"/>
  <c r="Z115" i="2"/>
  <c r="W115" i="2"/>
  <c r="V115" i="2"/>
  <c r="U115" i="2"/>
  <c r="S115" i="2"/>
  <c r="N115" i="2"/>
  <c r="K115" i="2"/>
  <c r="H115" i="2"/>
  <c r="M115" i="2" s="1"/>
  <c r="G115" i="2"/>
  <c r="O115" i="2" s="1"/>
  <c r="F115" i="2"/>
  <c r="E115" i="2"/>
  <c r="AD114" i="2"/>
  <c r="AA114" i="2"/>
  <c r="Z114" i="2"/>
  <c r="W114" i="2"/>
  <c r="V114" i="2"/>
  <c r="U114" i="2"/>
  <c r="S114" i="2"/>
  <c r="N114" i="2"/>
  <c r="K114" i="2"/>
  <c r="H114" i="2"/>
  <c r="M114" i="2" s="1"/>
  <c r="G114" i="2"/>
  <c r="F114" i="2"/>
  <c r="E114" i="2"/>
  <c r="AD113" i="2"/>
  <c r="AA113" i="2"/>
  <c r="Z113" i="2"/>
  <c r="W113" i="2"/>
  <c r="V113" i="2"/>
  <c r="U113" i="2"/>
  <c r="S113" i="2"/>
  <c r="N113" i="2"/>
  <c r="K113" i="2"/>
  <c r="H113" i="2"/>
  <c r="M113" i="2" s="1"/>
  <c r="G113" i="2"/>
  <c r="F113" i="2"/>
  <c r="E113" i="2"/>
  <c r="AD112" i="2"/>
  <c r="AA112" i="2"/>
  <c r="Z112" i="2"/>
  <c r="W112" i="2"/>
  <c r="V112" i="2"/>
  <c r="U112" i="2"/>
  <c r="S112" i="2"/>
  <c r="N112" i="2"/>
  <c r="K112" i="2"/>
  <c r="H112" i="2"/>
  <c r="M112" i="2" s="1"/>
  <c r="G112" i="2"/>
  <c r="O112" i="2" s="1"/>
  <c r="F112" i="2"/>
  <c r="E112" i="2"/>
  <c r="AD111" i="2"/>
  <c r="AA111" i="2"/>
  <c r="Z111" i="2"/>
  <c r="W111" i="2"/>
  <c r="V111" i="2"/>
  <c r="U111" i="2"/>
  <c r="S111" i="2"/>
  <c r="N111" i="2"/>
  <c r="K111" i="2"/>
  <c r="H111" i="2"/>
  <c r="M111" i="2" s="1"/>
  <c r="G111" i="2"/>
  <c r="O111" i="2" s="1"/>
  <c r="F111" i="2"/>
  <c r="E111" i="2"/>
  <c r="AD110" i="2"/>
  <c r="AA110" i="2"/>
  <c r="Z110" i="2"/>
  <c r="W110" i="2"/>
  <c r="V110" i="2"/>
  <c r="U110" i="2"/>
  <c r="S110" i="2"/>
  <c r="N110" i="2"/>
  <c r="K110" i="2"/>
  <c r="H110" i="2"/>
  <c r="M110" i="2" s="1"/>
  <c r="G110" i="2"/>
  <c r="O110" i="2" s="1"/>
  <c r="F110" i="2"/>
  <c r="E110" i="2"/>
  <c r="AD109" i="2"/>
  <c r="AA109" i="2"/>
  <c r="Z109" i="2"/>
  <c r="W109" i="2"/>
  <c r="V109" i="2"/>
  <c r="U109" i="2"/>
  <c r="S109" i="2"/>
  <c r="S106" i="2" s="1"/>
  <c r="N109" i="2"/>
  <c r="K109" i="2"/>
  <c r="H109" i="2"/>
  <c r="M109" i="2" s="1"/>
  <c r="G109" i="2"/>
  <c r="O109" i="2" s="1"/>
  <c r="F109" i="2"/>
  <c r="E109" i="2"/>
  <c r="AD108" i="2"/>
  <c r="AA108" i="2"/>
  <c r="Z108" i="2"/>
  <c r="W108" i="2"/>
  <c r="V108" i="2"/>
  <c r="U108" i="2"/>
  <c r="S108" i="2"/>
  <c r="N108" i="2"/>
  <c r="K108" i="2"/>
  <c r="H108" i="2"/>
  <c r="M108" i="2" s="1"/>
  <c r="G108" i="2"/>
  <c r="O108" i="2" s="1"/>
  <c r="F108" i="2"/>
  <c r="E108" i="2"/>
  <c r="AD107" i="2"/>
  <c r="AA107" i="2"/>
  <c r="Z107" i="2"/>
  <c r="W107" i="2"/>
  <c r="V107" i="2"/>
  <c r="U107" i="2"/>
  <c r="S107" i="2"/>
  <c r="N107" i="2"/>
  <c r="K107" i="2"/>
  <c r="H107" i="2"/>
  <c r="G107" i="2"/>
  <c r="O107" i="2" s="1"/>
  <c r="F107" i="2"/>
  <c r="E107" i="2"/>
  <c r="AC106" i="2"/>
  <c r="AB106" i="2"/>
  <c r="AD106" i="2" s="1"/>
  <c r="X106" i="2"/>
  <c r="X13" i="2" s="1"/>
  <c r="T106" i="2"/>
  <c r="T13" i="2" s="1"/>
  <c r="Q106" i="2"/>
  <c r="P106" i="2"/>
  <c r="R106" i="2" s="1"/>
  <c r="AB105" i="2"/>
  <c r="AD105" i="2" s="1"/>
  <c r="S105" i="2"/>
  <c r="AA105" i="2" s="1"/>
  <c r="P105" i="2"/>
  <c r="R105" i="2" s="1"/>
  <c r="N105" i="2"/>
  <c r="K105" i="2"/>
  <c r="H105" i="2"/>
  <c r="M105" i="2" s="1"/>
  <c r="G105" i="2"/>
  <c r="O105" i="2" s="1"/>
  <c r="F105" i="2"/>
  <c r="E105" i="2"/>
  <c r="AB104" i="2"/>
  <c r="AD104" i="2" s="1"/>
  <c r="S104" i="2"/>
  <c r="P104" i="2"/>
  <c r="R104" i="2" s="1"/>
  <c r="N104" i="2"/>
  <c r="K104" i="2"/>
  <c r="H104" i="2"/>
  <c r="M104" i="2" s="1"/>
  <c r="G104" i="2"/>
  <c r="O104" i="2" s="1"/>
  <c r="F104" i="2"/>
  <c r="E104" i="2"/>
  <c r="AB103" i="2"/>
  <c r="AD103" i="2" s="1"/>
  <c r="S103" i="2"/>
  <c r="AA103" i="2" s="1"/>
  <c r="P103" i="2"/>
  <c r="R103" i="2" s="1"/>
  <c r="N103" i="2"/>
  <c r="K103" i="2"/>
  <c r="H103" i="2"/>
  <c r="M103" i="2" s="1"/>
  <c r="G103" i="2"/>
  <c r="O103" i="2" s="1"/>
  <c r="F103" i="2"/>
  <c r="E103" i="2"/>
  <c r="AB102" i="2"/>
  <c r="AD102" i="2" s="1"/>
  <c r="S102" i="2"/>
  <c r="Y102" i="2" s="1"/>
  <c r="P102" i="2"/>
  <c r="R102" i="2" s="1"/>
  <c r="N102" i="2"/>
  <c r="K102" i="2"/>
  <c r="H102" i="2"/>
  <c r="M102" i="2" s="1"/>
  <c r="G102" i="2"/>
  <c r="O102" i="2" s="1"/>
  <c r="F102" i="2"/>
  <c r="E102" i="2"/>
  <c r="AB101" i="2"/>
  <c r="AD101" i="2" s="1"/>
  <c r="S101" i="2"/>
  <c r="W101" i="2" s="1"/>
  <c r="P101" i="2"/>
  <c r="R101" i="2" s="1"/>
  <c r="N101" i="2"/>
  <c r="K101" i="2"/>
  <c r="H101" i="2"/>
  <c r="M101" i="2" s="1"/>
  <c r="G101" i="2"/>
  <c r="O101" i="2" s="1"/>
  <c r="F101" i="2"/>
  <c r="E101" i="2"/>
  <c r="AB100" i="2"/>
  <c r="AD100" i="2" s="1"/>
  <c r="S100" i="2"/>
  <c r="Y100" i="2" s="1"/>
  <c r="P100" i="2"/>
  <c r="R100" i="2" s="1"/>
  <c r="N100" i="2"/>
  <c r="K100" i="2"/>
  <c r="H100" i="2"/>
  <c r="M100" i="2" s="1"/>
  <c r="G100" i="2"/>
  <c r="O100" i="2" s="1"/>
  <c r="F100" i="2"/>
  <c r="E100" i="2"/>
  <c r="AB99" i="2"/>
  <c r="AD99" i="2" s="1"/>
  <c r="S99" i="2"/>
  <c r="P99" i="2"/>
  <c r="R99" i="2" s="1"/>
  <c r="N99" i="2"/>
  <c r="K99" i="2"/>
  <c r="H99" i="2"/>
  <c r="M99" i="2" s="1"/>
  <c r="G99" i="2"/>
  <c r="O99" i="2" s="1"/>
  <c r="F99" i="2"/>
  <c r="E99" i="2"/>
  <c r="AB98" i="2"/>
  <c r="AD98" i="2" s="1"/>
  <c r="S98" i="2"/>
  <c r="AA98" i="2" s="1"/>
  <c r="P98" i="2"/>
  <c r="R98" i="2" s="1"/>
  <c r="N98" i="2"/>
  <c r="K98" i="2"/>
  <c r="H98" i="2"/>
  <c r="G98" i="2"/>
  <c r="O98" i="2" s="1"/>
  <c r="F98" i="2"/>
  <c r="E98" i="2"/>
  <c r="AB97" i="2"/>
  <c r="AD97" i="2" s="1"/>
  <c r="S97" i="2"/>
  <c r="AA97" i="2" s="1"/>
  <c r="P97" i="2"/>
  <c r="R97" i="2" s="1"/>
  <c r="N97" i="2"/>
  <c r="K97" i="2"/>
  <c r="H97" i="2"/>
  <c r="M97" i="2" s="1"/>
  <c r="G97" i="2"/>
  <c r="O97" i="2" s="1"/>
  <c r="F97" i="2"/>
  <c r="E97" i="2"/>
  <c r="AB96" i="2"/>
  <c r="AD96" i="2" s="1"/>
  <c r="S96" i="2"/>
  <c r="AA96" i="2" s="1"/>
  <c r="P96" i="2"/>
  <c r="R96" i="2" s="1"/>
  <c r="N96" i="2"/>
  <c r="K96" i="2"/>
  <c r="H96" i="2"/>
  <c r="M96" i="2" s="1"/>
  <c r="G96" i="2"/>
  <c r="O96" i="2" s="1"/>
  <c r="F96" i="2"/>
  <c r="E96" i="2"/>
  <c r="AB95" i="2"/>
  <c r="S95" i="2"/>
  <c r="AA95" i="2" s="1"/>
  <c r="P95" i="2"/>
  <c r="R95" i="2" s="1"/>
  <c r="N95" i="2"/>
  <c r="K95" i="2"/>
  <c r="H95" i="2"/>
  <c r="M95" i="2" s="1"/>
  <c r="G95" i="2"/>
  <c r="F95" i="2"/>
  <c r="E95" i="2"/>
  <c r="A95" i="2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B94" i="2"/>
  <c r="AD94" i="2" s="1"/>
  <c r="S94" i="2"/>
  <c r="Y94" i="2" s="1"/>
  <c r="P94" i="2"/>
  <c r="R94" i="2" s="1"/>
  <c r="N94" i="2"/>
  <c r="K94" i="2"/>
  <c r="H94" i="2"/>
  <c r="M94" i="2" s="1"/>
  <c r="G94" i="2"/>
  <c r="O94" i="2" s="1"/>
  <c r="F94" i="2"/>
  <c r="E94" i="2"/>
  <c r="AB93" i="2"/>
  <c r="AD93" i="2" s="1"/>
  <c r="S93" i="2"/>
  <c r="P93" i="2"/>
  <c r="N93" i="2"/>
  <c r="K93" i="2"/>
  <c r="H93" i="2"/>
  <c r="G93" i="2"/>
  <c r="O93" i="2" s="1"/>
  <c r="F93" i="2"/>
  <c r="E93" i="2"/>
  <c r="AB92" i="2"/>
  <c r="AD92" i="2" s="1"/>
  <c r="S92" i="2"/>
  <c r="P92" i="2"/>
  <c r="R92" i="2" s="1"/>
  <c r="N92" i="2"/>
  <c r="K92" i="2"/>
  <c r="H92" i="2"/>
  <c r="M92" i="2" s="1"/>
  <c r="G92" i="2"/>
  <c r="O92" i="2" s="1"/>
  <c r="F92" i="2"/>
  <c r="E92" i="2"/>
  <c r="AC91" i="2"/>
  <c r="Z91" i="2"/>
  <c r="Z12" i="2" s="1"/>
  <c r="X91" i="2"/>
  <c r="V91" i="2"/>
  <c r="T91" i="2"/>
  <c r="Q91" i="2"/>
  <c r="AC90" i="2"/>
  <c r="AB90" i="2"/>
  <c r="AD90" i="2" s="1"/>
  <c r="Z90" i="2"/>
  <c r="X90" i="2"/>
  <c r="V90" i="2"/>
  <c r="T90" i="2"/>
  <c r="S90" i="2"/>
  <c r="W90" i="2" s="1"/>
  <c r="Q90" i="2"/>
  <c r="P90" i="2"/>
  <c r="R90" i="2" s="1"/>
  <c r="N90" i="2"/>
  <c r="K90" i="2"/>
  <c r="H90" i="2"/>
  <c r="M90" i="2" s="1"/>
  <c r="G90" i="2"/>
  <c r="O90" i="2" s="1"/>
  <c r="F90" i="2"/>
  <c r="E90" i="2"/>
  <c r="AC89" i="2"/>
  <c r="AB89" i="2"/>
  <c r="AD89" i="2" s="1"/>
  <c r="Z89" i="2"/>
  <c r="X89" i="2"/>
  <c r="V89" i="2"/>
  <c r="T89" i="2"/>
  <c r="S89" i="2"/>
  <c r="AA89" i="2" s="1"/>
  <c r="Q89" i="2"/>
  <c r="P89" i="2"/>
  <c r="R89" i="2" s="1"/>
  <c r="N89" i="2"/>
  <c r="K89" i="2"/>
  <c r="H89" i="2"/>
  <c r="M89" i="2" s="1"/>
  <c r="G89" i="2"/>
  <c r="O89" i="2" s="1"/>
  <c r="F89" i="2"/>
  <c r="E89" i="2"/>
  <c r="AC88" i="2"/>
  <c r="AB88" i="2"/>
  <c r="AD88" i="2" s="1"/>
  <c r="Z88" i="2"/>
  <c r="X88" i="2"/>
  <c r="V88" i="2"/>
  <c r="T88" i="2"/>
  <c r="S88" i="2"/>
  <c r="W88" i="2" s="1"/>
  <c r="Q88" i="2"/>
  <c r="P88" i="2"/>
  <c r="R88" i="2" s="1"/>
  <c r="N88" i="2"/>
  <c r="K88" i="2"/>
  <c r="H88" i="2"/>
  <c r="M88" i="2" s="1"/>
  <c r="G88" i="2"/>
  <c r="O88" i="2" s="1"/>
  <c r="F88" i="2"/>
  <c r="E88" i="2"/>
  <c r="AC87" i="2"/>
  <c r="AB87" i="2"/>
  <c r="Z87" i="2"/>
  <c r="X87" i="2"/>
  <c r="V87" i="2"/>
  <c r="T87" i="2"/>
  <c r="S87" i="2"/>
  <c r="Q87" i="2"/>
  <c r="P87" i="2"/>
  <c r="N87" i="2"/>
  <c r="K87" i="2"/>
  <c r="H87" i="2"/>
  <c r="G87" i="2"/>
  <c r="F87" i="2"/>
  <c r="E87" i="2"/>
  <c r="AC86" i="2"/>
  <c r="AB86" i="2"/>
  <c r="AD86" i="2" s="1"/>
  <c r="Z86" i="2"/>
  <c r="X86" i="2"/>
  <c r="V86" i="2"/>
  <c r="T86" i="2"/>
  <c r="S86" i="2"/>
  <c r="W86" i="2" s="1"/>
  <c r="Q86" i="2"/>
  <c r="P86" i="2"/>
  <c r="R86" i="2" s="1"/>
  <c r="N86" i="2"/>
  <c r="K86" i="2"/>
  <c r="H86" i="2"/>
  <c r="M86" i="2" s="1"/>
  <c r="G86" i="2"/>
  <c r="O86" i="2" s="1"/>
  <c r="F86" i="2"/>
  <c r="E86" i="2"/>
  <c r="AC85" i="2"/>
  <c r="AB85" i="2"/>
  <c r="Z85" i="2"/>
  <c r="X85" i="2"/>
  <c r="V85" i="2"/>
  <c r="T85" i="2"/>
  <c r="S85" i="2"/>
  <c r="AA85" i="2" s="1"/>
  <c r="Q85" i="2"/>
  <c r="P85" i="2"/>
  <c r="R85" i="2" s="1"/>
  <c r="N85" i="2"/>
  <c r="K85" i="2"/>
  <c r="H85" i="2"/>
  <c r="M85" i="2" s="1"/>
  <c r="G85" i="2"/>
  <c r="O85" i="2" s="1"/>
  <c r="F85" i="2"/>
  <c r="E85" i="2"/>
  <c r="AC84" i="2"/>
  <c r="AB84" i="2"/>
  <c r="Z84" i="2"/>
  <c r="X84" i="2"/>
  <c r="V84" i="2"/>
  <c r="T84" i="2"/>
  <c r="S84" i="2"/>
  <c r="Q84" i="2"/>
  <c r="P84" i="2"/>
  <c r="N84" i="2"/>
  <c r="K84" i="2"/>
  <c r="H84" i="2"/>
  <c r="G84" i="2"/>
  <c r="F84" i="2"/>
  <c r="E84" i="2"/>
  <c r="AC83" i="2"/>
  <c r="AB83" i="2"/>
  <c r="AD83" i="2" s="1"/>
  <c r="Z83" i="2"/>
  <c r="X83" i="2"/>
  <c r="V83" i="2"/>
  <c r="T83" i="2"/>
  <c r="S83" i="2"/>
  <c r="AA83" i="2" s="1"/>
  <c r="Q83" i="2"/>
  <c r="P83" i="2"/>
  <c r="R83" i="2" s="1"/>
  <c r="N83" i="2"/>
  <c r="K83" i="2"/>
  <c r="H83" i="2"/>
  <c r="M83" i="2" s="1"/>
  <c r="G83" i="2"/>
  <c r="O83" i="2" s="1"/>
  <c r="F83" i="2"/>
  <c r="E83" i="2"/>
  <c r="AC82" i="2"/>
  <c r="AB82" i="2"/>
  <c r="AD82" i="2" s="1"/>
  <c r="Z82" i="2"/>
  <c r="X82" i="2"/>
  <c r="V82" i="2"/>
  <c r="T82" i="2"/>
  <c r="S82" i="2"/>
  <c r="Q82" i="2"/>
  <c r="P82" i="2"/>
  <c r="R82" i="2" s="1"/>
  <c r="N82" i="2"/>
  <c r="K82" i="2"/>
  <c r="H82" i="2"/>
  <c r="M82" i="2" s="1"/>
  <c r="G82" i="2"/>
  <c r="O82" i="2" s="1"/>
  <c r="F82" i="2"/>
  <c r="E82" i="2"/>
  <c r="AC81" i="2"/>
  <c r="AB81" i="2"/>
  <c r="AD81" i="2" s="1"/>
  <c r="Z81" i="2"/>
  <c r="X81" i="2"/>
  <c r="V81" i="2"/>
  <c r="T81" i="2"/>
  <c r="S81" i="2"/>
  <c r="AA81" i="2" s="1"/>
  <c r="Q81" i="2"/>
  <c r="P81" i="2"/>
  <c r="R81" i="2" s="1"/>
  <c r="N81" i="2"/>
  <c r="K81" i="2"/>
  <c r="H81" i="2"/>
  <c r="M81" i="2" s="1"/>
  <c r="G81" i="2"/>
  <c r="O81" i="2" s="1"/>
  <c r="F81" i="2"/>
  <c r="E81" i="2"/>
  <c r="AC80" i="2"/>
  <c r="AB80" i="2"/>
  <c r="Z80" i="2"/>
  <c r="X80" i="2"/>
  <c r="V80" i="2"/>
  <c r="T80" i="2"/>
  <c r="S80" i="2"/>
  <c r="Q80" i="2"/>
  <c r="P80" i="2"/>
  <c r="N80" i="2"/>
  <c r="K80" i="2"/>
  <c r="H80" i="2"/>
  <c r="G80" i="2"/>
  <c r="F80" i="2"/>
  <c r="E80" i="2"/>
  <c r="AC79" i="2"/>
  <c r="AB79" i="2"/>
  <c r="Z79" i="2"/>
  <c r="X79" i="2"/>
  <c r="V79" i="2"/>
  <c r="T79" i="2"/>
  <c r="S79" i="2"/>
  <c r="Q79" i="2"/>
  <c r="P79" i="2"/>
  <c r="N79" i="2"/>
  <c r="K79" i="2"/>
  <c r="H79" i="2"/>
  <c r="G79" i="2"/>
  <c r="F79" i="2"/>
  <c r="E79" i="2"/>
  <c r="AC78" i="2"/>
  <c r="AB78" i="2"/>
  <c r="Z78" i="2"/>
  <c r="X78" i="2"/>
  <c r="V78" i="2"/>
  <c r="T78" i="2"/>
  <c r="S78" i="2"/>
  <c r="Q78" i="2"/>
  <c r="P78" i="2"/>
  <c r="N78" i="2"/>
  <c r="K78" i="2"/>
  <c r="H78" i="2"/>
  <c r="G78" i="2"/>
  <c r="F78" i="2"/>
  <c r="E78" i="2"/>
  <c r="AC77" i="2"/>
  <c r="AB77" i="2"/>
  <c r="AD77" i="2" s="1"/>
  <c r="Z77" i="2"/>
  <c r="X77" i="2"/>
  <c r="V77" i="2"/>
  <c r="T77" i="2"/>
  <c r="S77" i="2"/>
  <c r="Q77" i="2"/>
  <c r="P77" i="2"/>
  <c r="N77" i="2"/>
  <c r="K77" i="2"/>
  <c r="H77" i="2"/>
  <c r="M77" i="2" s="1"/>
  <c r="G77" i="2"/>
  <c r="F77" i="2"/>
  <c r="E77" i="2"/>
  <c r="AC75" i="2"/>
  <c r="AB75" i="2"/>
  <c r="AD75" i="2" s="1"/>
  <c r="Z75" i="2"/>
  <c r="X75" i="2"/>
  <c r="V75" i="2"/>
  <c r="T75" i="2"/>
  <c r="S75" i="2"/>
  <c r="AA75" i="2" s="1"/>
  <c r="Q75" i="2"/>
  <c r="P75" i="2"/>
  <c r="R75" i="2" s="1"/>
  <c r="N75" i="2"/>
  <c r="K75" i="2"/>
  <c r="H75" i="2"/>
  <c r="M75" i="2" s="1"/>
  <c r="G75" i="2"/>
  <c r="O75" i="2" s="1"/>
  <c r="F75" i="2"/>
  <c r="E75" i="2"/>
  <c r="AC74" i="2"/>
  <c r="AB74" i="2"/>
  <c r="AD74" i="2" s="1"/>
  <c r="Z74" i="2"/>
  <c r="X74" i="2"/>
  <c r="V74" i="2"/>
  <c r="T74" i="2"/>
  <c r="S74" i="2"/>
  <c r="W74" i="2" s="1"/>
  <c r="Q74" i="2"/>
  <c r="P74" i="2"/>
  <c r="R74" i="2" s="1"/>
  <c r="N74" i="2"/>
  <c r="K74" i="2"/>
  <c r="H74" i="2"/>
  <c r="M74" i="2" s="1"/>
  <c r="G74" i="2"/>
  <c r="O74" i="2" s="1"/>
  <c r="F74" i="2"/>
  <c r="E74" i="2"/>
  <c r="AC73" i="2"/>
  <c r="AB73" i="2"/>
  <c r="AD73" i="2" s="1"/>
  <c r="Z73" i="2"/>
  <c r="X73" i="2"/>
  <c r="V73" i="2"/>
  <c r="T73" i="2"/>
  <c r="S73" i="2"/>
  <c r="AA73" i="2" s="1"/>
  <c r="Q73" i="2"/>
  <c r="P73" i="2"/>
  <c r="R73" i="2" s="1"/>
  <c r="N73" i="2"/>
  <c r="K73" i="2"/>
  <c r="H73" i="2"/>
  <c r="M73" i="2" s="1"/>
  <c r="G73" i="2"/>
  <c r="O73" i="2" s="1"/>
  <c r="F73" i="2"/>
  <c r="E73" i="2"/>
  <c r="AC72" i="2"/>
  <c r="AB72" i="2"/>
  <c r="Z72" i="2"/>
  <c r="X72" i="2"/>
  <c r="V72" i="2"/>
  <c r="T72" i="2"/>
  <c r="S72" i="2"/>
  <c r="Q72" i="2"/>
  <c r="P72" i="2"/>
  <c r="N72" i="2"/>
  <c r="K72" i="2"/>
  <c r="H72" i="2"/>
  <c r="G72" i="2"/>
  <c r="F72" i="2"/>
  <c r="E72" i="2"/>
  <c r="AC71" i="2"/>
  <c r="AB71" i="2"/>
  <c r="AD71" i="2" s="1"/>
  <c r="Z71" i="2"/>
  <c r="X71" i="2"/>
  <c r="V71" i="2"/>
  <c r="T71" i="2"/>
  <c r="S71" i="2"/>
  <c r="AA71" i="2" s="1"/>
  <c r="Q71" i="2"/>
  <c r="P71" i="2"/>
  <c r="R71" i="2" s="1"/>
  <c r="N71" i="2"/>
  <c r="K71" i="2"/>
  <c r="H71" i="2"/>
  <c r="M71" i="2" s="1"/>
  <c r="G71" i="2"/>
  <c r="O71" i="2" s="1"/>
  <c r="F71" i="2"/>
  <c r="E71" i="2"/>
  <c r="AC70" i="2"/>
  <c r="AB70" i="2"/>
  <c r="AD70" i="2" s="1"/>
  <c r="Z70" i="2"/>
  <c r="X70" i="2"/>
  <c r="V70" i="2"/>
  <c r="T70" i="2"/>
  <c r="S70" i="2"/>
  <c r="W70" i="2" s="1"/>
  <c r="Q70" i="2"/>
  <c r="P70" i="2"/>
  <c r="R70" i="2" s="1"/>
  <c r="N70" i="2"/>
  <c r="K70" i="2"/>
  <c r="H70" i="2"/>
  <c r="M70" i="2" s="1"/>
  <c r="G70" i="2"/>
  <c r="O70" i="2" s="1"/>
  <c r="F70" i="2"/>
  <c r="E70" i="2"/>
  <c r="AC69" i="2"/>
  <c r="AB69" i="2"/>
  <c r="Z69" i="2"/>
  <c r="X69" i="2"/>
  <c r="V69" i="2"/>
  <c r="T69" i="2"/>
  <c r="S69" i="2"/>
  <c r="Q69" i="2"/>
  <c r="P69" i="2"/>
  <c r="N69" i="2"/>
  <c r="K69" i="2"/>
  <c r="H69" i="2"/>
  <c r="G69" i="2"/>
  <c r="F69" i="2"/>
  <c r="E69" i="2"/>
  <c r="AC68" i="2"/>
  <c r="AB68" i="2"/>
  <c r="AD68" i="2" s="1"/>
  <c r="Z68" i="2"/>
  <c r="X68" i="2"/>
  <c r="V68" i="2"/>
  <c r="T68" i="2"/>
  <c r="S68" i="2"/>
  <c r="W68" i="2" s="1"/>
  <c r="Q68" i="2"/>
  <c r="P68" i="2"/>
  <c r="R68" i="2" s="1"/>
  <c r="N68" i="2"/>
  <c r="K68" i="2"/>
  <c r="H68" i="2"/>
  <c r="M68" i="2" s="1"/>
  <c r="G68" i="2"/>
  <c r="O68" i="2" s="1"/>
  <c r="F68" i="2"/>
  <c r="E68" i="2"/>
  <c r="AC67" i="2"/>
  <c r="AB67" i="2"/>
  <c r="AD67" i="2" s="1"/>
  <c r="Z67" i="2"/>
  <c r="X67" i="2"/>
  <c r="V67" i="2"/>
  <c r="T67" i="2"/>
  <c r="S67" i="2"/>
  <c r="AA67" i="2" s="1"/>
  <c r="Q67" i="2"/>
  <c r="P67" i="2"/>
  <c r="R67" i="2" s="1"/>
  <c r="N67" i="2"/>
  <c r="K67" i="2"/>
  <c r="H67" i="2"/>
  <c r="M67" i="2" s="1"/>
  <c r="G67" i="2"/>
  <c r="O67" i="2" s="1"/>
  <c r="F67" i="2"/>
  <c r="E67" i="2"/>
  <c r="AC66" i="2"/>
  <c r="AB66" i="2"/>
  <c r="AD66" i="2" s="1"/>
  <c r="Z66" i="2"/>
  <c r="X66" i="2"/>
  <c r="V66" i="2"/>
  <c r="T66" i="2"/>
  <c r="S66" i="2"/>
  <c r="W66" i="2" s="1"/>
  <c r="Q66" i="2"/>
  <c r="P66" i="2"/>
  <c r="R66" i="2" s="1"/>
  <c r="N66" i="2"/>
  <c r="K66" i="2"/>
  <c r="H66" i="2"/>
  <c r="M66" i="2" s="1"/>
  <c r="G66" i="2"/>
  <c r="O66" i="2" s="1"/>
  <c r="F66" i="2"/>
  <c r="E66" i="2"/>
  <c r="AC65" i="2"/>
  <c r="AB65" i="2"/>
  <c r="Z65" i="2"/>
  <c r="X65" i="2"/>
  <c r="V65" i="2"/>
  <c r="T65" i="2"/>
  <c r="S65" i="2"/>
  <c r="Q65" i="2"/>
  <c r="P65" i="2"/>
  <c r="N65" i="2"/>
  <c r="K65" i="2"/>
  <c r="H65" i="2"/>
  <c r="G65" i="2"/>
  <c r="F65" i="2"/>
  <c r="E65" i="2"/>
  <c r="AC64" i="2"/>
  <c r="AB64" i="2"/>
  <c r="AD64" i="2" s="1"/>
  <c r="Z64" i="2"/>
  <c r="X64" i="2"/>
  <c r="V64" i="2"/>
  <c r="T64" i="2"/>
  <c r="S64" i="2"/>
  <c r="W64" i="2" s="1"/>
  <c r="Q64" i="2"/>
  <c r="P64" i="2"/>
  <c r="R64" i="2" s="1"/>
  <c r="N64" i="2"/>
  <c r="K64" i="2"/>
  <c r="H64" i="2"/>
  <c r="M64" i="2" s="1"/>
  <c r="G64" i="2"/>
  <c r="O64" i="2" s="1"/>
  <c r="F64" i="2"/>
  <c r="E64" i="2"/>
  <c r="AC63" i="2"/>
  <c r="AB63" i="2"/>
  <c r="AD63" i="2" s="1"/>
  <c r="Z63" i="2"/>
  <c r="X63" i="2"/>
  <c r="V63" i="2"/>
  <c r="T63" i="2"/>
  <c r="S63" i="2"/>
  <c r="Q63" i="2"/>
  <c r="P63" i="2"/>
  <c r="R63" i="2" s="1"/>
  <c r="N63" i="2"/>
  <c r="K63" i="2"/>
  <c r="H63" i="2"/>
  <c r="M63" i="2" s="1"/>
  <c r="G63" i="2"/>
  <c r="O63" i="2" s="1"/>
  <c r="F63" i="2"/>
  <c r="E63" i="2"/>
  <c r="AC62" i="2"/>
  <c r="AB62" i="2"/>
  <c r="AD62" i="2" s="1"/>
  <c r="Z62" i="2"/>
  <c r="X62" i="2"/>
  <c r="V62" i="2"/>
  <c r="T62" i="2"/>
  <c r="S62" i="2"/>
  <c r="W62" i="2" s="1"/>
  <c r="Q62" i="2"/>
  <c r="P62" i="2"/>
  <c r="R62" i="2" s="1"/>
  <c r="N62" i="2"/>
  <c r="K62" i="2"/>
  <c r="H62" i="2"/>
  <c r="M62" i="2" s="1"/>
  <c r="G62" i="2"/>
  <c r="O62" i="2" s="1"/>
  <c r="F62" i="2"/>
  <c r="E62" i="2"/>
  <c r="AC61" i="2"/>
  <c r="AB61" i="2"/>
  <c r="AD61" i="2" s="1"/>
  <c r="Z61" i="2"/>
  <c r="X61" i="2"/>
  <c r="V61" i="2"/>
  <c r="T61" i="2"/>
  <c r="S61" i="2"/>
  <c r="Q61" i="2"/>
  <c r="P61" i="2"/>
  <c r="R61" i="2" s="1"/>
  <c r="N61" i="2"/>
  <c r="K61" i="2"/>
  <c r="H61" i="2"/>
  <c r="M61" i="2" s="1"/>
  <c r="G61" i="2"/>
  <c r="O61" i="2" s="1"/>
  <c r="F61" i="2"/>
  <c r="E61" i="2"/>
  <c r="AC60" i="2"/>
  <c r="AB60" i="2"/>
  <c r="AD60" i="2" s="1"/>
  <c r="Z60" i="2"/>
  <c r="X60" i="2"/>
  <c r="V60" i="2"/>
  <c r="T60" i="2"/>
  <c r="S60" i="2"/>
  <c r="Q60" i="2"/>
  <c r="P60" i="2"/>
  <c r="R60" i="2" s="1"/>
  <c r="N60" i="2"/>
  <c r="K60" i="2"/>
  <c r="H60" i="2"/>
  <c r="M60" i="2" s="1"/>
  <c r="G60" i="2"/>
  <c r="O60" i="2" s="1"/>
  <c r="F60" i="2"/>
  <c r="E60" i="2"/>
  <c r="AC59" i="2"/>
  <c r="AB59" i="2"/>
  <c r="AD59" i="2" s="1"/>
  <c r="Z59" i="2"/>
  <c r="X59" i="2"/>
  <c r="V59" i="2"/>
  <c r="T59" i="2"/>
  <c r="S59" i="2"/>
  <c r="Q59" i="2"/>
  <c r="P59" i="2"/>
  <c r="R59" i="2" s="1"/>
  <c r="N59" i="2"/>
  <c r="K59" i="2"/>
  <c r="H59" i="2"/>
  <c r="M59" i="2" s="1"/>
  <c r="G59" i="2"/>
  <c r="O59" i="2" s="1"/>
  <c r="F59" i="2"/>
  <c r="E59" i="2"/>
  <c r="AC58" i="2"/>
  <c r="AB58" i="2"/>
  <c r="Z58" i="2"/>
  <c r="X58" i="2"/>
  <c r="V58" i="2"/>
  <c r="T58" i="2"/>
  <c r="S58" i="2"/>
  <c r="Q58" i="2"/>
  <c r="P58" i="2"/>
  <c r="N58" i="2"/>
  <c r="K58" i="2"/>
  <c r="H58" i="2"/>
  <c r="G58" i="2"/>
  <c r="F58" i="2"/>
  <c r="E58" i="2"/>
  <c r="AC57" i="2"/>
  <c r="AB57" i="2"/>
  <c r="Z57" i="2"/>
  <c r="X57" i="2"/>
  <c r="V57" i="2"/>
  <c r="T57" i="2"/>
  <c r="S57" i="2"/>
  <c r="Q57" i="2"/>
  <c r="P57" i="2"/>
  <c r="N57" i="2"/>
  <c r="K57" i="2"/>
  <c r="H57" i="2"/>
  <c r="G57" i="2"/>
  <c r="F57" i="2"/>
  <c r="E57" i="2"/>
  <c r="AC56" i="2"/>
  <c r="AB56" i="2"/>
  <c r="AD56" i="2" s="1"/>
  <c r="Z56" i="2"/>
  <c r="X56" i="2"/>
  <c r="V56" i="2"/>
  <c r="T56" i="2"/>
  <c r="S56" i="2"/>
  <c r="Q56" i="2"/>
  <c r="P56" i="2"/>
  <c r="R56" i="2" s="1"/>
  <c r="N56" i="2"/>
  <c r="K56" i="2"/>
  <c r="H56" i="2"/>
  <c r="M56" i="2" s="1"/>
  <c r="G56" i="2"/>
  <c r="O56" i="2" s="1"/>
  <c r="F56" i="2"/>
  <c r="E56" i="2"/>
  <c r="AC55" i="2"/>
  <c r="AB55" i="2"/>
  <c r="Z55" i="2"/>
  <c r="X55" i="2"/>
  <c r="V55" i="2"/>
  <c r="T55" i="2"/>
  <c r="S55" i="2"/>
  <c r="Q55" i="2"/>
  <c r="P55" i="2"/>
  <c r="N55" i="2"/>
  <c r="K55" i="2"/>
  <c r="H55" i="2"/>
  <c r="G55" i="2"/>
  <c r="F55" i="2"/>
  <c r="E55" i="2"/>
  <c r="AC53" i="2"/>
  <c r="AB53" i="2"/>
  <c r="Z53" i="2"/>
  <c r="X53" i="2"/>
  <c r="V53" i="2"/>
  <c r="T53" i="2"/>
  <c r="S53" i="2"/>
  <c r="Q53" i="2"/>
  <c r="P53" i="2"/>
  <c r="N53" i="2"/>
  <c r="K53" i="2"/>
  <c r="H53" i="2"/>
  <c r="G53" i="2"/>
  <c r="F53" i="2"/>
  <c r="E53" i="2"/>
  <c r="AC52" i="2"/>
  <c r="AB52" i="2"/>
  <c r="AD52" i="2" s="1"/>
  <c r="Z52" i="2"/>
  <c r="X52" i="2"/>
  <c r="V52" i="2"/>
  <c r="T52" i="2"/>
  <c r="S52" i="2"/>
  <c r="W52" i="2" s="1"/>
  <c r="Q52" i="2"/>
  <c r="P52" i="2"/>
  <c r="R52" i="2" s="1"/>
  <c r="N52" i="2"/>
  <c r="K52" i="2"/>
  <c r="H52" i="2"/>
  <c r="M52" i="2" s="1"/>
  <c r="G52" i="2"/>
  <c r="O52" i="2" s="1"/>
  <c r="F52" i="2"/>
  <c r="E52" i="2"/>
  <c r="AC51" i="2"/>
  <c r="AB51" i="2"/>
  <c r="AD51" i="2" s="1"/>
  <c r="Z51" i="2"/>
  <c r="X51" i="2"/>
  <c r="V51" i="2"/>
  <c r="T51" i="2"/>
  <c r="S51" i="2"/>
  <c r="AA51" i="2" s="1"/>
  <c r="Q51" i="2"/>
  <c r="P51" i="2"/>
  <c r="R51" i="2" s="1"/>
  <c r="N51" i="2"/>
  <c r="K51" i="2"/>
  <c r="H51" i="2"/>
  <c r="M51" i="2" s="1"/>
  <c r="G51" i="2"/>
  <c r="O51" i="2" s="1"/>
  <c r="F51" i="2"/>
  <c r="E51" i="2"/>
  <c r="AC50" i="2"/>
  <c r="AB50" i="2"/>
  <c r="AD50" i="2" s="1"/>
  <c r="Z50" i="2"/>
  <c r="X50" i="2"/>
  <c r="V50" i="2"/>
  <c r="T50" i="2"/>
  <c r="S50" i="2"/>
  <c r="W50" i="2" s="1"/>
  <c r="Q50" i="2"/>
  <c r="P50" i="2"/>
  <c r="R50" i="2" s="1"/>
  <c r="N50" i="2"/>
  <c r="K50" i="2"/>
  <c r="H50" i="2"/>
  <c r="M50" i="2" s="1"/>
  <c r="G50" i="2"/>
  <c r="O50" i="2" s="1"/>
  <c r="F50" i="2"/>
  <c r="E50" i="2"/>
  <c r="AC49" i="2"/>
  <c r="AB49" i="2"/>
  <c r="Z49" i="2"/>
  <c r="X49" i="2"/>
  <c r="V49" i="2"/>
  <c r="T49" i="2"/>
  <c r="S49" i="2"/>
  <c r="Q49" i="2"/>
  <c r="P49" i="2"/>
  <c r="N49" i="2"/>
  <c r="K49" i="2"/>
  <c r="H49" i="2"/>
  <c r="G49" i="2"/>
  <c r="F49" i="2"/>
  <c r="E49" i="2"/>
  <c r="AC48" i="2"/>
  <c r="AB48" i="2"/>
  <c r="AD48" i="2" s="1"/>
  <c r="Z48" i="2"/>
  <c r="X48" i="2"/>
  <c r="V48" i="2"/>
  <c r="T48" i="2"/>
  <c r="S48" i="2"/>
  <c r="W48" i="2" s="1"/>
  <c r="Q48" i="2"/>
  <c r="P48" i="2"/>
  <c r="R48" i="2" s="1"/>
  <c r="N48" i="2"/>
  <c r="K48" i="2"/>
  <c r="H48" i="2"/>
  <c r="M48" i="2" s="1"/>
  <c r="G48" i="2"/>
  <c r="O48" i="2" s="1"/>
  <c r="F48" i="2"/>
  <c r="E48" i="2"/>
  <c r="AC47" i="2"/>
  <c r="AB47" i="2"/>
  <c r="Z47" i="2"/>
  <c r="X47" i="2"/>
  <c r="V47" i="2"/>
  <c r="T47" i="2"/>
  <c r="S47" i="2"/>
  <c r="Q47" i="2"/>
  <c r="P47" i="2"/>
  <c r="N47" i="2"/>
  <c r="K47" i="2"/>
  <c r="H47" i="2"/>
  <c r="G47" i="2"/>
  <c r="F47" i="2"/>
  <c r="E47" i="2"/>
  <c r="AC46" i="2"/>
  <c r="AB46" i="2"/>
  <c r="AD46" i="2" s="1"/>
  <c r="Z46" i="2"/>
  <c r="X46" i="2"/>
  <c r="V46" i="2"/>
  <c r="T46" i="2"/>
  <c r="S46" i="2"/>
  <c r="W46" i="2" s="1"/>
  <c r="Q46" i="2"/>
  <c r="P46" i="2"/>
  <c r="R46" i="2" s="1"/>
  <c r="N46" i="2"/>
  <c r="K46" i="2"/>
  <c r="H46" i="2"/>
  <c r="M46" i="2" s="1"/>
  <c r="G46" i="2"/>
  <c r="O46" i="2" s="1"/>
  <c r="F46" i="2"/>
  <c r="E46" i="2"/>
  <c r="AC45" i="2"/>
  <c r="AB45" i="2"/>
  <c r="Z45" i="2"/>
  <c r="X45" i="2"/>
  <c r="V45" i="2"/>
  <c r="T45" i="2"/>
  <c r="S45" i="2"/>
  <c r="Q45" i="2"/>
  <c r="P45" i="2"/>
  <c r="N45" i="2"/>
  <c r="K45" i="2"/>
  <c r="H45" i="2"/>
  <c r="G45" i="2"/>
  <c r="F45" i="2"/>
  <c r="E45" i="2"/>
  <c r="AC44" i="2"/>
  <c r="AB44" i="2"/>
  <c r="AD44" i="2" s="1"/>
  <c r="Z44" i="2"/>
  <c r="X44" i="2"/>
  <c r="V44" i="2"/>
  <c r="T44" i="2"/>
  <c r="S44" i="2"/>
  <c r="W44" i="2" s="1"/>
  <c r="Q44" i="2"/>
  <c r="P44" i="2"/>
  <c r="R44" i="2" s="1"/>
  <c r="N44" i="2"/>
  <c r="K44" i="2"/>
  <c r="H44" i="2"/>
  <c r="M44" i="2" s="1"/>
  <c r="G44" i="2"/>
  <c r="O44" i="2" s="1"/>
  <c r="F44" i="2"/>
  <c r="E44" i="2"/>
  <c r="AC43" i="2"/>
  <c r="AB43" i="2"/>
  <c r="Z43" i="2"/>
  <c r="X43" i="2"/>
  <c r="V43" i="2"/>
  <c r="T43" i="2"/>
  <c r="S43" i="2"/>
  <c r="Q43" i="2"/>
  <c r="P43" i="2"/>
  <c r="N43" i="2"/>
  <c r="K43" i="2"/>
  <c r="H43" i="2"/>
  <c r="G43" i="2"/>
  <c r="F43" i="2"/>
  <c r="E43" i="2"/>
  <c r="AC42" i="2"/>
  <c r="AB42" i="2"/>
  <c r="Z42" i="2"/>
  <c r="X42" i="2"/>
  <c r="V42" i="2"/>
  <c r="T42" i="2"/>
  <c r="S42" i="2"/>
  <c r="Q42" i="2"/>
  <c r="P42" i="2"/>
  <c r="N42" i="2"/>
  <c r="K42" i="2"/>
  <c r="H42" i="2"/>
  <c r="G42" i="2"/>
  <c r="F42" i="2"/>
  <c r="E42" i="2"/>
  <c r="AC41" i="2"/>
  <c r="AB41" i="2"/>
  <c r="Z41" i="2"/>
  <c r="X41" i="2"/>
  <c r="V41" i="2"/>
  <c r="T41" i="2"/>
  <c r="S41" i="2"/>
  <c r="Q41" i="2"/>
  <c r="P41" i="2"/>
  <c r="N41" i="2"/>
  <c r="K41" i="2"/>
  <c r="H41" i="2"/>
  <c r="G41" i="2"/>
  <c r="F41" i="2"/>
  <c r="E41" i="2"/>
  <c r="AC40" i="2"/>
  <c r="AB40" i="2"/>
  <c r="AD40" i="2" s="1"/>
  <c r="Z40" i="2"/>
  <c r="X40" i="2"/>
  <c r="V40" i="2"/>
  <c r="T40" i="2"/>
  <c r="S40" i="2"/>
  <c r="AA40" i="2" s="1"/>
  <c r="Q40" i="2"/>
  <c r="P40" i="2"/>
  <c r="R40" i="2" s="1"/>
  <c r="N40" i="2"/>
  <c r="K40" i="2"/>
  <c r="H40" i="2"/>
  <c r="M40" i="2" s="1"/>
  <c r="G40" i="2"/>
  <c r="O40" i="2" s="1"/>
  <c r="F40" i="2"/>
  <c r="E40" i="2"/>
  <c r="AC39" i="2"/>
  <c r="AB39" i="2"/>
  <c r="Z39" i="2"/>
  <c r="X39" i="2"/>
  <c r="V39" i="2"/>
  <c r="T39" i="2"/>
  <c r="S39" i="2"/>
  <c r="Q39" i="2"/>
  <c r="P39" i="2"/>
  <c r="N39" i="2"/>
  <c r="K39" i="2"/>
  <c r="H39" i="2"/>
  <c r="G39" i="2"/>
  <c r="F39" i="2"/>
  <c r="E39" i="2"/>
  <c r="AC38" i="2"/>
  <c r="AB38" i="2"/>
  <c r="Z38" i="2"/>
  <c r="X38" i="2"/>
  <c r="V38" i="2"/>
  <c r="T38" i="2"/>
  <c r="S38" i="2"/>
  <c r="Q38" i="2"/>
  <c r="P38" i="2"/>
  <c r="N38" i="2"/>
  <c r="K38" i="2"/>
  <c r="H38" i="2"/>
  <c r="G38" i="2"/>
  <c r="F38" i="2"/>
  <c r="E38" i="2"/>
  <c r="AC37" i="2"/>
  <c r="AB37" i="2"/>
  <c r="Z37" i="2"/>
  <c r="X37" i="2"/>
  <c r="V37" i="2"/>
  <c r="T37" i="2"/>
  <c r="S37" i="2"/>
  <c r="Q37" i="2"/>
  <c r="P37" i="2"/>
  <c r="N37" i="2"/>
  <c r="K37" i="2"/>
  <c r="H37" i="2"/>
  <c r="G37" i="2"/>
  <c r="F37" i="2"/>
  <c r="E37" i="2"/>
  <c r="AC36" i="2"/>
  <c r="AB36" i="2"/>
  <c r="AD36" i="2" s="1"/>
  <c r="Z36" i="2"/>
  <c r="X36" i="2"/>
  <c r="V36" i="2"/>
  <c r="T36" i="2"/>
  <c r="S36" i="2"/>
  <c r="AA36" i="2" s="1"/>
  <c r="Q36" i="2"/>
  <c r="P36" i="2"/>
  <c r="R36" i="2" s="1"/>
  <c r="N36" i="2"/>
  <c r="K36" i="2"/>
  <c r="H36" i="2"/>
  <c r="M36" i="2" s="1"/>
  <c r="G36" i="2"/>
  <c r="O36" i="2" s="1"/>
  <c r="F36" i="2"/>
  <c r="E36" i="2"/>
  <c r="AC35" i="2"/>
  <c r="AB35" i="2"/>
  <c r="Z35" i="2"/>
  <c r="X35" i="2"/>
  <c r="V35" i="2"/>
  <c r="T35" i="2"/>
  <c r="S35" i="2"/>
  <c r="Q35" i="2"/>
  <c r="P35" i="2"/>
  <c r="N35" i="2"/>
  <c r="K35" i="2"/>
  <c r="H35" i="2"/>
  <c r="G35" i="2"/>
  <c r="F35" i="2"/>
  <c r="E35" i="2"/>
  <c r="AC34" i="2"/>
  <c r="AB34" i="2"/>
  <c r="AD34" i="2" s="1"/>
  <c r="Z34" i="2"/>
  <c r="X34" i="2"/>
  <c r="V34" i="2"/>
  <c r="T34" i="2"/>
  <c r="S34" i="2"/>
  <c r="AA34" i="2" s="1"/>
  <c r="Q34" i="2"/>
  <c r="P34" i="2"/>
  <c r="R34" i="2" s="1"/>
  <c r="N34" i="2"/>
  <c r="K34" i="2"/>
  <c r="H34" i="2"/>
  <c r="G34" i="2"/>
  <c r="O34" i="2" s="1"/>
  <c r="F34" i="2"/>
  <c r="E34" i="2"/>
  <c r="AC32" i="2"/>
  <c r="AB32" i="2"/>
  <c r="Z32" i="2"/>
  <c r="X32" i="2"/>
  <c r="V32" i="2"/>
  <c r="T32" i="2"/>
  <c r="S32" i="2"/>
  <c r="Q32" i="2"/>
  <c r="P32" i="2"/>
  <c r="N32" i="2"/>
  <c r="K32" i="2"/>
  <c r="H32" i="2"/>
  <c r="G32" i="2"/>
  <c r="F32" i="2"/>
  <c r="E32" i="2"/>
  <c r="AC31" i="2"/>
  <c r="AB31" i="2"/>
  <c r="Z31" i="2"/>
  <c r="X31" i="2"/>
  <c r="V31" i="2"/>
  <c r="T31" i="2"/>
  <c r="S31" i="2"/>
  <c r="Q31" i="2"/>
  <c r="P31" i="2"/>
  <c r="N31" i="2"/>
  <c r="K31" i="2"/>
  <c r="H31" i="2"/>
  <c r="G31" i="2"/>
  <c r="F31" i="2"/>
  <c r="E31" i="2"/>
  <c r="AC30" i="2"/>
  <c r="AB30" i="2"/>
  <c r="AD30" i="2" s="1"/>
  <c r="Z30" i="2"/>
  <c r="X30" i="2"/>
  <c r="V30" i="2"/>
  <c r="T30" i="2"/>
  <c r="S30" i="2"/>
  <c r="U30" i="2" s="1"/>
  <c r="Q30" i="2"/>
  <c r="P30" i="2"/>
  <c r="R30" i="2" s="1"/>
  <c r="N30" i="2"/>
  <c r="K30" i="2"/>
  <c r="H30" i="2"/>
  <c r="M30" i="2" s="1"/>
  <c r="G30" i="2"/>
  <c r="O30" i="2" s="1"/>
  <c r="F30" i="2"/>
  <c r="E30" i="2"/>
  <c r="AC29" i="2"/>
  <c r="AB29" i="2"/>
  <c r="AD29" i="2" s="1"/>
  <c r="Z29" i="2"/>
  <c r="X29" i="2"/>
  <c r="V29" i="2"/>
  <c r="T29" i="2"/>
  <c r="S29" i="2"/>
  <c r="AA29" i="2" s="1"/>
  <c r="Q29" i="2"/>
  <c r="P29" i="2"/>
  <c r="R29" i="2" s="1"/>
  <c r="N29" i="2"/>
  <c r="K29" i="2"/>
  <c r="H29" i="2"/>
  <c r="M29" i="2" s="1"/>
  <c r="G29" i="2"/>
  <c r="O29" i="2" s="1"/>
  <c r="F29" i="2"/>
  <c r="E29" i="2"/>
  <c r="AC28" i="2"/>
  <c r="AB28" i="2"/>
  <c r="Z28" i="2"/>
  <c r="X28" i="2"/>
  <c r="V28" i="2"/>
  <c r="T28" i="2"/>
  <c r="S28" i="2"/>
  <c r="Q28" i="2"/>
  <c r="P28" i="2"/>
  <c r="N28" i="2"/>
  <c r="K28" i="2"/>
  <c r="H28" i="2"/>
  <c r="G28" i="2"/>
  <c r="F28" i="2"/>
  <c r="E28" i="2"/>
  <c r="AC27" i="2"/>
  <c r="AB27" i="2"/>
  <c r="AD27" i="2" s="1"/>
  <c r="Z27" i="2"/>
  <c r="X27" i="2"/>
  <c r="V27" i="2"/>
  <c r="T27" i="2"/>
  <c r="S27" i="2"/>
  <c r="W27" i="2" s="1"/>
  <c r="Q27" i="2"/>
  <c r="P27" i="2"/>
  <c r="R27" i="2" s="1"/>
  <c r="N27" i="2"/>
  <c r="K27" i="2"/>
  <c r="H27" i="2"/>
  <c r="M27" i="2" s="1"/>
  <c r="G27" i="2"/>
  <c r="O27" i="2" s="1"/>
  <c r="F27" i="2"/>
  <c r="E27" i="2"/>
  <c r="AC26" i="2"/>
  <c r="AB26" i="2"/>
  <c r="Z26" i="2"/>
  <c r="X26" i="2"/>
  <c r="V26" i="2"/>
  <c r="T26" i="2"/>
  <c r="S26" i="2"/>
  <c r="Q26" i="2"/>
  <c r="P26" i="2"/>
  <c r="N26" i="2"/>
  <c r="K26" i="2"/>
  <c r="H26" i="2"/>
  <c r="G26" i="2"/>
  <c r="F26" i="2"/>
  <c r="E26" i="2"/>
  <c r="AC25" i="2"/>
  <c r="AB25" i="2"/>
  <c r="AD25" i="2" s="1"/>
  <c r="Z25" i="2"/>
  <c r="X25" i="2"/>
  <c r="V25" i="2"/>
  <c r="T25" i="2"/>
  <c r="S25" i="2"/>
  <c r="W25" i="2" s="1"/>
  <c r="Q25" i="2"/>
  <c r="P25" i="2"/>
  <c r="R25" i="2" s="1"/>
  <c r="N25" i="2"/>
  <c r="K25" i="2"/>
  <c r="H25" i="2"/>
  <c r="M25" i="2" s="1"/>
  <c r="G25" i="2"/>
  <c r="O25" i="2" s="1"/>
  <c r="F25" i="2"/>
  <c r="E25" i="2"/>
  <c r="AC24" i="2"/>
  <c r="AB24" i="2"/>
  <c r="AD24" i="2" s="1"/>
  <c r="Z24" i="2"/>
  <c r="X24" i="2"/>
  <c r="V24" i="2"/>
  <c r="T24" i="2"/>
  <c r="S24" i="2"/>
  <c r="U24" i="2" s="1"/>
  <c r="Q24" i="2"/>
  <c r="P24" i="2"/>
  <c r="R24" i="2" s="1"/>
  <c r="N24" i="2"/>
  <c r="K24" i="2"/>
  <c r="H24" i="2"/>
  <c r="M24" i="2" s="1"/>
  <c r="G24" i="2"/>
  <c r="O24" i="2" s="1"/>
  <c r="F24" i="2"/>
  <c r="E24" i="2"/>
  <c r="AC23" i="2"/>
  <c r="AB23" i="2"/>
  <c r="AD23" i="2" s="1"/>
  <c r="Z23" i="2"/>
  <c r="X23" i="2"/>
  <c r="V23" i="2"/>
  <c r="T23" i="2"/>
  <c r="S23" i="2"/>
  <c r="W23" i="2" s="1"/>
  <c r="Q23" i="2"/>
  <c r="P23" i="2"/>
  <c r="R23" i="2" s="1"/>
  <c r="N23" i="2"/>
  <c r="K23" i="2"/>
  <c r="H23" i="2"/>
  <c r="M23" i="2" s="1"/>
  <c r="G23" i="2"/>
  <c r="O23" i="2" s="1"/>
  <c r="F23" i="2"/>
  <c r="E23" i="2"/>
  <c r="AC22" i="2"/>
  <c r="AB22" i="2"/>
  <c r="Z22" i="2"/>
  <c r="X22" i="2"/>
  <c r="V22" i="2"/>
  <c r="T22" i="2"/>
  <c r="S22" i="2"/>
  <c r="Q22" i="2"/>
  <c r="P22" i="2"/>
  <c r="N22" i="2"/>
  <c r="K22" i="2"/>
  <c r="H22" i="2"/>
  <c r="G22" i="2"/>
  <c r="F22" i="2"/>
  <c r="E22" i="2"/>
  <c r="AC21" i="2"/>
  <c r="AB21" i="2"/>
  <c r="Z21" i="2"/>
  <c r="X21" i="2"/>
  <c r="V21" i="2"/>
  <c r="T21" i="2"/>
  <c r="S21" i="2"/>
  <c r="Q21" i="2"/>
  <c r="P21" i="2"/>
  <c r="N21" i="2"/>
  <c r="K21" i="2"/>
  <c r="H21" i="2"/>
  <c r="G21" i="2"/>
  <c r="F21" i="2"/>
  <c r="E21" i="2"/>
  <c r="AC20" i="2"/>
  <c r="AB20" i="2"/>
  <c r="Z20" i="2"/>
  <c r="X20" i="2"/>
  <c r="V20" i="2"/>
  <c r="T20" i="2"/>
  <c r="S20" i="2"/>
  <c r="Q20" i="2"/>
  <c r="P20" i="2"/>
  <c r="N20" i="2"/>
  <c r="K20" i="2"/>
  <c r="H20" i="2"/>
  <c r="G20" i="2"/>
  <c r="F20" i="2"/>
  <c r="E20" i="2"/>
  <c r="AC19" i="2"/>
  <c r="AB19" i="2"/>
  <c r="Z19" i="2"/>
  <c r="X19" i="2"/>
  <c r="V19" i="2"/>
  <c r="T19" i="2"/>
  <c r="S19" i="2"/>
  <c r="Q19" i="2"/>
  <c r="P19" i="2"/>
  <c r="N19" i="2"/>
  <c r="K19" i="2"/>
  <c r="H19" i="2"/>
  <c r="G19" i="2"/>
  <c r="F19" i="2"/>
  <c r="E19" i="2"/>
  <c r="AC18" i="2"/>
  <c r="AB18" i="2"/>
  <c r="Z18" i="2"/>
  <c r="X18" i="2"/>
  <c r="V18" i="2"/>
  <c r="T18" i="2"/>
  <c r="S18" i="2"/>
  <c r="Q18" i="2"/>
  <c r="P18" i="2"/>
  <c r="N18" i="2"/>
  <c r="K18" i="2"/>
  <c r="H18" i="2"/>
  <c r="G18" i="2"/>
  <c r="F18" i="2"/>
  <c r="E18" i="2"/>
  <c r="AC17" i="2"/>
  <c r="AB17" i="2"/>
  <c r="Z17" i="2"/>
  <c r="X17" i="2"/>
  <c r="V17" i="2"/>
  <c r="T17" i="2"/>
  <c r="S17" i="2"/>
  <c r="Q17" i="2"/>
  <c r="P17" i="2"/>
  <c r="N17" i="2"/>
  <c r="K17" i="2"/>
  <c r="H17" i="2"/>
  <c r="G17" i="2"/>
  <c r="F17" i="2"/>
  <c r="E17" i="2"/>
  <c r="AC16" i="2"/>
  <c r="AB16" i="2"/>
  <c r="AD16" i="2" s="1"/>
  <c r="Z16" i="2"/>
  <c r="X16" i="2"/>
  <c r="V16" i="2"/>
  <c r="T16" i="2"/>
  <c r="S16" i="2"/>
  <c r="U16" i="2" s="1"/>
  <c r="Q16" i="2"/>
  <c r="P16" i="2"/>
  <c r="R16" i="2" s="1"/>
  <c r="N16" i="2"/>
  <c r="L16" i="2"/>
  <c r="K16" i="2"/>
  <c r="H16" i="2"/>
  <c r="G16" i="2"/>
  <c r="O16" i="2" s="1"/>
  <c r="F16" i="2"/>
  <c r="E16" i="2"/>
  <c r="AD14" i="2"/>
  <c r="AA14" i="2"/>
  <c r="Y14" i="2"/>
  <c r="W14" i="2"/>
  <c r="U14" i="2"/>
  <c r="R14" i="2"/>
  <c r="O14" i="2"/>
  <c r="M14" i="2"/>
  <c r="L14" i="2"/>
  <c r="I14" i="2"/>
  <c r="C14" i="2"/>
  <c r="J14" i="2" s="1"/>
  <c r="AC13" i="2"/>
  <c r="Q13" i="2"/>
  <c r="P13" i="2"/>
  <c r="R13" i="2" s="1"/>
  <c r="AC12" i="2"/>
  <c r="AC11" i="2" s="1"/>
  <c r="X12" i="2"/>
  <c r="V12" i="2"/>
  <c r="T12" i="2"/>
  <c r="Q12" i="2"/>
  <c r="AH119" i="1"/>
  <c r="AJ119" i="1" s="1"/>
  <c r="AE119" i="1"/>
  <c r="AD119" i="1"/>
  <c r="AA119" i="1"/>
  <c r="Z119" i="1"/>
  <c r="W119" i="1"/>
  <c r="V119" i="1"/>
  <c r="U119" i="1"/>
  <c r="S119" i="1"/>
  <c r="N119" i="1"/>
  <c r="K119" i="1"/>
  <c r="H119" i="1"/>
  <c r="M119" i="1" s="1"/>
  <c r="G119" i="1"/>
  <c r="O119" i="1" s="1"/>
  <c r="F119" i="1"/>
  <c r="E119" i="1"/>
  <c r="AH118" i="1"/>
  <c r="AJ118" i="1" s="1"/>
  <c r="AE118" i="1"/>
  <c r="AD118" i="1"/>
  <c r="AA118" i="1"/>
  <c r="Z118" i="1"/>
  <c r="W118" i="1"/>
  <c r="V118" i="1"/>
  <c r="U118" i="1"/>
  <c r="S118" i="1"/>
  <c r="N118" i="1"/>
  <c r="K118" i="1"/>
  <c r="H118" i="1"/>
  <c r="M118" i="1" s="1"/>
  <c r="G118" i="1"/>
  <c r="O118" i="1" s="1"/>
  <c r="F118" i="1"/>
  <c r="E118" i="1"/>
  <c r="AH117" i="1"/>
  <c r="AJ117" i="1" s="1"/>
  <c r="AE117" i="1"/>
  <c r="AD117" i="1"/>
  <c r="AA117" i="1"/>
  <c r="Z117" i="1"/>
  <c r="W117" i="1"/>
  <c r="V117" i="1"/>
  <c r="U117" i="1"/>
  <c r="S117" i="1"/>
  <c r="N117" i="1"/>
  <c r="K117" i="1"/>
  <c r="H117" i="1"/>
  <c r="M117" i="1" s="1"/>
  <c r="G117" i="1"/>
  <c r="O117" i="1" s="1"/>
  <c r="F117" i="1"/>
  <c r="E117" i="1"/>
  <c r="AH116" i="1"/>
  <c r="AJ116" i="1" s="1"/>
  <c r="AE116" i="1"/>
  <c r="AD116" i="1"/>
  <c r="AA116" i="1"/>
  <c r="Z116" i="1"/>
  <c r="W116" i="1"/>
  <c r="V116" i="1"/>
  <c r="U116" i="1"/>
  <c r="S116" i="1"/>
  <c r="N116" i="1"/>
  <c r="K116" i="1"/>
  <c r="H116" i="1"/>
  <c r="M116" i="1" s="1"/>
  <c r="G116" i="1"/>
  <c r="O116" i="1" s="1"/>
  <c r="F116" i="1"/>
  <c r="E116" i="1"/>
  <c r="AH115" i="1"/>
  <c r="AJ115" i="1" s="1"/>
  <c r="AE115" i="1"/>
  <c r="AD115" i="1"/>
  <c r="AA115" i="1"/>
  <c r="Z115" i="1"/>
  <c r="W115" i="1"/>
  <c r="V115" i="1"/>
  <c r="U115" i="1"/>
  <c r="S115" i="1"/>
  <c r="N115" i="1"/>
  <c r="K115" i="1"/>
  <c r="H115" i="1"/>
  <c r="M115" i="1" s="1"/>
  <c r="G115" i="1"/>
  <c r="O115" i="1" s="1"/>
  <c r="F115" i="1"/>
  <c r="E115" i="1"/>
  <c r="AH114" i="1"/>
  <c r="AJ114" i="1" s="1"/>
  <c r="AE114" i="1"/>
  <c r="AD114" i="1"/>
  <c r="AA114" i="1"/>
  <c r="Z114" i="1"/>
  <c r="W114" i="1"/>
  <c r="V114" i="1"/>
  <c r="U114" i="1"/>
  <c r="S114" i="1"/>
  <c r="N114" i="1"/>
  <c r="K114" i="1"/>
  <c r="H114" i="1"/>
  <c r="M114" i="1" s="1"/>
  <c r="G114" i="1"/>
  <c r="O114" i="1" s="1"/>
  <c r="F114" i="1"/>
  <c r="E114" i="1"/>
  <c r="AH113" i="1"/>
  <c r="AJ113" i="1" s="1"/>
  <c r="AE113" i="1"/>
  <c r="AD113" i="1"/>
  <c r="AA113" i="1"/>
  <c r="Z113" i="1"/>
  <c r="W113" i="1"/>
  <c r="V113" i="1"/>
  <c r="U113" i="1"/>
  <c r="S113" i="1"/>
  <c r="N113" i="1"/>
  <c r="K113" i="1"/>
  <c r="H113" i="1"/>
  <c r="M113" i="1" s="1"/>
  <c r="G113" i="1"/>
  <c r="O113" i="1" s="1"/>
  <c r="F113" i="1"/>
  <c r="E113" i="1"/>
  <c r="AH112" i="1"/>
  <c r="AJ112" i="1" s="1"/>
  <c r="AE112" i="1"/>
  <c r="AD112" i="1"/>
  <c r="AA112" i="1"/>
  <c r="Z112" i="1"/>
  <c r="W112" i="1"/>
  <c r="V112" i="1"/>
  <c r="U112" i="1"/>
  <c r="S112" i="1"/>
  <c r="N112" i="1"/>
  <c r="K112" i="1"/>
  <c r="H112" i="1"/>
  <c r="M112" i="1" s="1"/>
  <c r="G112" i="1"/>
  <c r="O112" i="1" s="1"/>
  <c r="F112" i="1"/>
  <c r="E112" i="1"/>
  <c r="AH111" i="1"/>
  <c r="AJ111" i="1" s="1"/>
  <c r="AE111" i="1"/>
  <c r="AD111" i="1"/>
  <c r="AA111" i="1"/>
  <c r="Z111" i="1"/>
  <c r="W111" i="1"/>
  <c r="V111" i="1"/>
  <c r="U111" i="1"/>
  <c r="S111" i="1"/>
  <c r="N111" i="1"/>
  <c r="K111" i="1"/>
  <c r="H111" i="1"/>
  <c r="G111" i="1"/>
  <c r="O111" i="1" s="1"/>
  <c r="F111" i="1"/>
  <c r="E111" i="1"/>
  <c r="AH110" i="1"/>
  <c r="AJ110" i="1" s="1"/>
  <c r="AE110" i="1"/>
  <c r="AD110" i="1"/>
  <c r="AA110" i="1"/>
  <c r="Z110" i="1"/>
  <c r="W110" i="1"/>
  <c r="V110" i="1"/>
  <c r="U110" i="1"/>
  <c r="S110" i="1"/>
  <c r="N110" i="1"/>
  <c r="K110" i="1"/>
  <c r="H110" i="1"/>
  <c r="M110" i="1" s="1"/>
  <c r="G110" i="1"/>
  <c r="O110" i="1" s="1"/>
  <c r="F110" i="1"/>
  <c r="E110" i="1"/>
  <c r="AH109" i="1"/>
  <c r="AJ109" i="1" s="1"/>
  <c r="AE109" i="1"/>
  <c r="AD109" i="1"/>
  <c r="AA109" i="1"/>
  <c r="Z109" i="1"/>
  <c r="W109" i="1"/>
  <c r="V109" i="1"/>
  <c r="U109" i="1"/>
  <c r="S109" i="1"/>
  <c r="N109" i="1"/>
  <c r="K109" i="1"/>
  <c r="H109" i="1"/>
  <c r="M109" i="1" s="1"/>
  <c r="G109" i="1"/>
  <c r="O109" i="1" s="1"/>
  <c r="F109" i="1"/>
  <c r="E109" i="1"/>
  <c r="AH108" i="1"/>
  <c r="AE108" i="1"/>
  <c r="AD108" i="1"/>
  <c r="AA108" i="1"/>
  <c r="Z108" i="1"/>
  <c r="W108" i="1"/>
  <c r="V108" i="1"/>
  <c r="U108" i="1"/>
  <c r="S108" i="1"/>
  <c r="N108" i="1"/>
  <c r="K108" i="1"/>
  <c r="H108" i="1"/>
  <c r="M108" i="1" s="1"/>
  <c r="G108" i="1"/>
  <c r="O108" i="1" s="1"/>
  <c r="F108" i="1"/>
  <c r="E108" i="1"/>
  <c r="AH107" i="1"/>
  <c r="AJ107" i="1" s="1"/>
  <c r="AE107" i="1"/>
  <c r="AD107" i="1"/>
  <c r="AA107" i="1"/>
  <c r="Z107" i="1"/>
  <c r="W107" i="1"/>
  <c r="V107" i="1"/>
  <c r="U107" i="1"/>
  <c r="S107" i="1"/>
  <c r="N107" i="1"/>
  <c r="K107" i="1"/>
  <c r="H107" i="1"/>
  <c r="G107" i="1"/>
  <c r="O107" i="1" s="1"/>
  <c r="F107" i="1"/>
  <c r="E107" i="1"/>
  <c r="AI106" i="1"/>
  <c r="AG106" i="1"/>
  <c r="AG13" i="1" s="1"/>
  <c r="AF106" i="1"/>
  <c r="AF13" i="1" s="1"/>
  <c r="AC106" i="1"/>
  <c r="AB106" i="1"/>
  <c r="AB13" i="1" s="1"/>
  <c r="Y106" i="1"/>
  <c r="Y13" i="1" s="1"/>
  <c r="X106" i="1"/>
  <c r="T106" i="1"/>
  <c r="R106" i="1"/>
  <c r="Q106" i="1"/>
  <c r="U106" i="1" s="1"/>
  <c r="P106" i="1"/>
  <c r="S106" i="1" s="1"/>
  <c r="AH105" i="1"/>
  <c r="AJ105" i="1" s="1"/>
  <c r="AE105" i="1"/>
  <c r="AD105" i="1"/>
  <c r="AA105" i="1"/>
  <c r="Z105" i="1"/>
  <c r="W105" i="1"/>
  <c r="V105" i="1"/>
  <c r="U105" i="1"/>
  <c r="S105" i="1"/>
  <c r="N105" i="1"/>
  <c r="K105" i="1"/>
  <c r="H105" i="1"/>
  <c r="M105" i="1" s="1"/>
  <c r="G105" i="1"/>
  <c r="O105" i="1" s="1"/>
  <c r="F105" i="1"/>
  <c r="E105" i="1"/>
  <c r="AH104" i="1"/>
  <c r="AJ104" i="1" s="1"/>
  <c r="AE104" i="1"/>
  <c r="AD104" i="1"/>
  <c r="AA104" i="1"/>
  <c r="Z104" i="1"/>
  <c r="W104" i="1"/>
  <c r="V104" i="1"/>
  <c r="U104" i="1"/>
  <c r="S104" i="1"/>
  <c r="N104" i="1"/>
  <c r="K104" i="1"/>
  <c r="H104" i="1"/>
  <c r="M104" i="1" s="1"/>
  <c r="G104" i="1"/>
  <c r="O104" i="1" s="1"/>
  <c r="F104" i="1"/>
  <c r="E104" i="1"/>
  <c r="AH103" i="1"/>
  <c r="AJ103" i="1" s="1"/>
  <c r="AE103" i="1"/>
  <c r="AD103" i="1"/>
  <c r="AA103" i="1"/>
  <c r="Z103" i="1"/>
  <c r="W103" i="1"/>
  <c r="V103" i="1"/>
  <c r="U103" i="1"/>
  <c r="S103" i="1"/>
  <c r="N103" i="1"/>
  <c r="K103" i="1"/>
  <c r="H103" i="1"/>
  <c r="M103" i="1" s="1"/>
  <c r="G103" i="1"/>
  <c r="O103" i="1" s="1"/>
  <c r="F103" i="1"/>
  <c r="E103" i="1"/>
  <c r="AH102" i="1"/>
  <c r="AJ102" i="1" s="1"/>
  <c r="AE102" i="1"/>
  <c r="AD102" i="1"/>
  <c r="AA102" i="1"/>
  <c r="Z102" i="1"/>
  <c r="W102" i="1"/>
  <c r="V102" i="1"/>
  <c r="U102" i="1"/>
  <c r="S102" i="1"/>
  <c r="N102" i="1"/>
  <c r="K102" i="1"/>
  <c r="H102" i="1"/>
  <c r="M102" i="1" s="1"/>
  <c r="G102" i="1"/>
  <c r="O102" i="1" s="1"/>
  <c r="F102" i="1"/>
  <c r="E102" i="1"/>
  <c r="AH101" i="1"/>
  <c r="AJ101" i="1" s="1"/>
  <c r="AE101" i="1"/>
  <c r="AD101" i="1"/>
  <c r="AA101" i="1"/>
  <c r="Z101" i="1"/>
  <c r="W101" i="1"/>
  <c r="V101" i="1"/>
  <c r="U101" i="1"/>
  <c r="S101" i="1"/>
  <c r="N101" i="1"/>
  <c r="K101" i="1"/>
  <c r="H101" i="1"/>
  <c r="M101" i="1" s="1"/>
  <c r="G101" i="1"/>
  <c r="O101" i="1" s="1"/>
  <c r="F101" i="1"/>
  <c r="E101" i="1"/>
  <c r="AH100" i="1"/>
  <c r="AJ100" i="1" s="1"/>
  <c r="AE100" i="1"/>
  <c r="AD100" i="1"/>
  <c r="AA100" i="1"/>
  <c r="Z100" i="1"/>
  <c r="W100" i="1"/>
  <c r="V100" i="1"/>
  <c r="U100" i="1"/>
  <c r="S100" i="1"/>
  <c r="N100" i="1"/>
  <c r="K100" i="1"/>
  <c r="H100" i="1"/>
  <c r="M100" i="1" s="1"/>
  <c r="G100" i="1"/>
  <c r="O100" i="1" s="1"/>
  <c r="F100" i="1"/>
  <c r="E100" i="1"/>
  <c r="AH99" i="1"/>
  <c r="AJ99" i="1" s="1"/>
  <c r="AE99" i="1"/>
  <c r="AD99" i="1"/>
  <c r="AA99" i="1"/>
  <c r="Z99" i="1"/>
  <c r="W99" i="1"/>
  <c r="V99" i="1"/>
  <c r="U99" i="1"/>
  <c r="S99" i="1"/>
  <c r="N99" i="1"/>
  <c r="K99" i="1"/>
  <c r="H99" i="1"/>
  <c r="M99" i="1" s="1"/>
  <c r="G99" i="1"/>
  <c r="O99" i="1" s="1"/>
  <c r="F99" i="1"/>
  <c r="E99" i="1"/>
  <c r="AH98" i="1"/>
  <c r="AJ98" i="1" s="1"/>
  <c r="AE98" i="1"/>
  <c r="AD98" i="1"/>
  <c r="AA98" i="1"/>
  <c r="Z98" i="1"/>
  <c r="W98" i="1"/>
  <c r="V98" i="1"/>
  <c r="U98" i="1"/>
  <c r="S98" i="1"/>
  <c r="N98" i="1"/>
  <c r="K98" i="1"/>
  <c r="H98" i="1"/>
  <c r="G98" i="1"/>
  <c r="F98" i="1"/>
  <c r="E98" i="1"/>
  <c r="AH97" i="1"/>
  <c r="AJ97" i="1" s="1"/>
  <c r="AE97" i="1"/>
  <c r="AD97" i="1"/>
  <c r="AA97" i="1"/>
  <c r="Z97" i="1"/>
  <c r="W97" i="1"/>
  <c r="V97" i="1"/>
  <c r="U97" i="1"/>
  <c r="S97" i="1"/>
  <c r="N97" i="1"/>
  <c r="K97" i="1"/>
  <c r="H97" i="1"/>
  <c r="M97" i="1" s="1"/>
  <c r="G97" i="1"/>
  <c r="O97" i="1" s="1"/>
  <c r="F97" i="1"/>
  <c r="E97" i="1"/>
  <c r="AH96" i="1"/>
  <c r="AJ96" i="1" s="1"/>
  <c r="AE96" i="1"/>
  <c r="AD96" i="1"/>
  <c r="AA96" i="1"/>
  <c r="Z96" i="1"/>
  <c r="W96" i="1"/>
  <c r="V96" i="1"/>
  <c r="U96" i="1"/>
  <c r="S96" i="1"/>
  <c r="N96" i="1"/>
  <c r="K96" i="1"/>
  <c r="H96" i="1"/>
  <c r="M96" i="1" s="1"/>
  <c r="G96" i="1"/>
  <c r="O96" i="1" s="1"/>
  <c r="F96" i="1"/>
  <c r="E96" i="1"/>
  <c r="AH95" i="1"/>
  <c r="AJ95" i="1" s="1"/>
  <c r="AE95" i="1"/>
  <c r="AD95" i="1"/>
  <c r="AA95" i="1"/>
  <c r="Z95" i="1"/>
  <c r="W95" i="1"/>
  <c r="V95" i="1"/>
  <c r="U95" i="1"/>
  <c r="S95" i="1"/>
  <c r="N95" i="1"/>
  <c r="K95" i="1"/>
  <c r="H95" i="1"/>
  <c r="G95" i="1"/>
  <c r="O95" i="1" s="1"/>
  <c r="F95" i="1"/>
  <c r="E95" i="1"/>
  <c r="A95" i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H94" i="1"/>
  <c r="AE94" i="1"/>
  <c r="AD94" i="1"/>
  <c r="AA94" i="1"/>
  <c r="Z94" i="1"/>
  <c r="W94" i="1"/>
  <c r="V94" i="1"/>
  <c r="U94" i="1"/>
  <c r="S94" i="1"/>
  <c r="N94" i="1"/>
  <c r="K94" i="1"/>
  <c r="H94" i="1"/>
  <c r="G94" i="1"/>
  <c r="O94" i="1" s="1"/>
  <c r="F94" i="1"/>
  <c r="E94" i="1"/>
  <c r="AH93" i="1"/>
  <c r="AJ93" i="1" s="1"/>
  <c r="AE93" i="1"/>
  <c r="AD93" i="1"/>
  <c r="AA93" i="1"/>
  <c r="Z93" i="1"/>
  <c r="W93" i="1"/>
  <c r="V93" i="1"/>
  <c r="U93" i="1"/>
  <c r="S93" i="1"/>
  <c r="N93" i="1"/>
  <c r="K93" i="1"/>
  <c r="H93" i="1"/>
  <c r="M93" i="1" s="1"/>
  <c r="G93" i="1"/>
  <c r="O93" i="1" s="1"/>
  <c r="F93" i="1"/>
  <c r="E93" i="1"/>
  <c r="AH92" i="1"/>
  <c r="AJ92" i="1" s="1"/>
  <c r="AE92" i="1"/>
  <c r="AD92" i="1"/>
  <c r="AA92" i="1"/>
  <c r="Z92" i="1"/>
  <c r="W92" i="1"/>
  <c r="V92" i="1"/>
  <c r="U92" i="1"/>
  <c r="S92" i="1"/>
  <c r="N92" i="1"/>
  <c r="K92" i="1"/>
  <c r="H92" i="1"/>
  <c r="M92" i="1" s="1"/>
  <c r="G92" i="1"/>
  <c r="O92" i="1" s="1"/>
  <c r="F92" i="1"/>
  <c r="E92" i="1"/>
  <c r="AI91" i="1"/>
  <c r="AG91" i="1"/>
  <c r="AF91" i="1"/>
  <c r="AC91" i="1"/>
  <c r="AC12" i="1" s="1"/>
  <c r="AC11" i="1" s="1"/>
  <c r="AB91" i="1"/>
  <c r="Y91" i="1"/>
  <c r="X91" i="1"/>
  <c r="T91" i="1"/>
  <c r="R91" i="1"/>
  <c r="R12" i="1" s="1"/>
  <c r="R11" i="1" s="1"/>
  <c r="Q91" i="1"/>
  <c r="U91" i="1" s="1"/>
  <c r="P91" i="1"/>
  <c r="S91" i="1" s="1"/>
  <c r="AI90" i="1"/>
  <c r="AH90" i="1"/>
  <c r="AJ90" i="1" s="1"/>
  <c r="AG90" i="1"/>
  <c r="AF90" i="1"/>
  <c r="AE90" i="1"/>
  <c r="AD90" i="1"/>
  <c r="AC90" i="1"/>
  <c r="AB90" i="1"/>
  <c r="AA90" i="1"/>
  <c r="Z90" i="1"/>
  <c r="Y90" i="1"/>
  <c r="X90" i="1"/>
  <c r="W90" i="1"/>
  <c r="V90" i="1"/>
  <c r="N90" i="1"/>
  <c r="K90" i="1"/>
  <c r="H90" i="1"/>
  <c r="M90" i="1" s="1"/>
  <c r="G90" i="1"/>
  <c r="O90" i="1" s="1"/>
  <c r="F90" i="1"/>
  <c r="E90" i="1"/>
  <c r="AI89" i="1"/>
  <c r="AH89" i="1"/>
  <c r="AJ89" i="1" s="1"/>
  <c r="AG89" i="1"/>
  <c r="AF89" i="1"/>
  <c r="AE89" i="1"/>
  <c r="AD89" i="1"/>
  <c r="AC89" i="1"/>
  <c r="AB89" i="1"/>
  <c r="AA89" i="1"/>
  <c r="Z89" i="1"/>
  <c r="Y89" i="1"/>
  <c r="X89" i="1"/>
  <c r="W89" i="1"/>
  <c r="V89" i="1"/>
  <c r="N89" i="1"/>
  <c r="K89" i="1"/>
  <c r="H89" i="1"/>
  <c r="M89" i="1" s="1"/>
  <c r="G89" i="1"/>
  <c r="O89" i="1" s="1"/>
  <c r="F89" i="1"/>
  <c r="E89" i="1"/>
  <c r="AI88" i="1"/>
  <c r="AH88" i="1"/>
  <c r="AJ88" i="1" s="1"/>
  <c r="AG88" i="1"/>
  <c r="AF88" i="1"/>
  <c r="AE88" i="1"/>
  <c r="AD88" i="1"/>
  <c r="AC88" i="1"/>
  <c r="AB88" i="1"/>
  <c r="AA88" i="1"/>
  <c r="Z88" i="1"/>
  <c r="Y88" i="1"/>
  <c r="X88" i="1"/>
  <c r="W88" i="1"/>
  <c r="V88" i="1"/>
  <c r="N88" i="1"/>
  <c r="K88" i="1"/>
  <c r="H88" i="1"/>
  <c r="M88" i="1" s="1"/>
  <c r="G88" i="1"/>
  <c r="F88" i="1"/>
  <c r="E88" i="1"/>
  <c r="AI87" i="1"/>
  <c r="AH87" i="1"/>
  <c r="AJ87" i="1" s="1"/>
  <c r="AG87" i="1"/>
  <c r="AF87" i="1"/>
  <c r="AE87" i="1"/>
  <c r="AD87" i="1"/>
  <c r="AC87" i="1"/>
  <c r="AB87" i="1"/>
  <c r="AA87" i="1"/>
  <c r="Z87" i="1"/>
  <c r="Y87" i="1"/>
  <c r="X87" i="1"/>
  <c r="W87" i="1"/>
  <c r="V87" i="1"/>
  <c r="N87" i="1"/>
  <c r="K87" i="1"/>
  <c r="H87" i="1"/>
  <c r="M87" i="1" s="1"/>
  <c r="G87" i="1"/>
  <c r="O87" i="1" s="1"/>
  <c r="F87" i="1"/>
  <c r="E87" i="1"/>
  <c r="AI86" i="1"/>
  <c r="AH86" i="1"/>
  <c r="AJ86" i="1" s="1"/>
  <c r="AG86" i="1"/>
  <c r="AF86" i="1"/>
  <c r="AE86" i="1"/>
  <c r="AD86" i="1"/>
  <c r="AC86" i="1"/>
  <c r="AB86" i="1"/>
  <c r="AA86" i="1"/>
  <c r="Z86" i="1"/>
  <c r="Y86" i="1"/>
  <c r="X86" i="1"/>
  <c r="W86" i="1"/>
  <c r="V86" i="1"/>
  <c r="N86" i="1"/>
  <c r="K86" i="1"/>
  <c r="H86" i="1"/>
  <c r="M86" i="1" s="1"/>
  <c r="G86" i="1"/>
  <c r="O86" i="1" s="1"/>
  <c r="F86" i="1"/>
  <c r="E86" i="1"/>
  <c r="AI85" i="1"/>
  <c r="AH85" i="1"/>
  <c r="AJ85" i="1" s="1"/>
  <c r="AG85" i="1"/>
  <c r="AF85" i="1"/>
  <c r="AE85" i="1"/>
  <c r="AD85" i="1"/>
  <c r="AC85" i="1"/>
  <c r="AB85" i="1"/>
  <c r="AA85" i="1"/>
  <c r="Z85" i="1"/>
  <c r="Y85" i="1"/>
  <c r="X85" i="1"/>
  <c r="W85" i="1"/>
  <c r="V85" i="1"/>
  <c r="N85" i="1"/>
  <c r="K85" i="1"/>
  <c r="H85" i="1"/>
  <c r="M85" i="1" s="1"/>
  <c r="G85" i="1"/>
  <c r="O85" i="1" s="1"/>
  <c r="F85" i="1"/>
  <c r="E85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N84" i="1"/>
  <c r="K84" i="1"/>
  <c r="H84" i="1"/>
  <c r="G84" i="1"/>
  <c r="F84" i="1"/>
  <c r="E84" i="1"/>
  <c r="AI83" i="1"/>
  <c r="AH83" i="1"/>
  <c r="AJ83" i="1" s="1"/>
  <c r="AG83" i="1"/>
  <c r="AF83" i="1"/>
  <c r="AE83" i="1"/>
  <c r="AD83" i="1"/>
  <c r="AC83" i="1"/>
  <c r="AB83" i="1"/>
  <c r="AA83" i="1"/>
  <c r="Z83" i="1"/>
  <c r="Y83" i="1"/>
  <c r="X83" i="1"/>
  <c r="W83" i="1"/>
  <c r="V83" i="1"/>
  <c r="N83" i="1"/>
  <c r="K83" i="1"/>
  <c r="H83" i="1"/>
  <c r="M83" i="1" s="1"/>
  <c r="G83" i="1"/>
  <c r="O83" i="1" s="1"/>
  <c r="F83" i="1"/>
  <c r="E83" i="1"/>
  <c r="AI82" i="1"/>
  <c r="AH82" i="1"/>
  <c r="AJ82" i="1" s="1"/>
  <c r="AG82" i="1"/>
  <c r="AF82" i="1"/>
  <c r="AE82" i="1"/>
  <c r="AD82" i="1"/>
  <c r="AC82" i="1"/>
  <c r="AB82" i="1"/>
  <c r="AA82" i="1"/>
  <c r="Z82" i="1"/>
  <c r="Y82" i="1"/>
  <c r="X82" i="1"/>
  <c r="W82" i="1"/>
  <c r="V82" i="1"/>
  <c r="N82" i="1"/>
  <c r="K82" i="1"/>
  <c r="H82" i="1"/>
  <c r="M82" i="1" s="1"/>
  <c r="G82" i="1"/>
  <c r="O82" i="1" s="1"/>
  <c r="F82" i="1"/>
  <c r="E82" i="1"/>
  <c r="AI81" i="1"/>
  <c r="AH81" i="1"/>
  <c r="AJ81" i="1" s="1"/>
  <c r="AG81" i="1"/>
  <c r="AF81" i="1"/>
  <c r="AE81" i="1"/>
  <c r="AD81" i="1"/>
  <c r="AC81" i="1"/>
  <c r="AB81" i="1"/>
  <c r="AA81" i="1"/>
  <c r="Z81" i="1"/>
  <c r="Y81" i="1"/>
  <c r="X81" i="1"/>
  <c r="W81" i="1"/>
  <c r="V81" i="1"/>
  <c r="N81" i="1"/>
  <c r="K81" i="1"/>
  <c r="H81" i="1"/>
  <c r="M81" i="1" s="1"/>
  <c r="G81" i="1"/>
  <c r="O81" i="1" s="1"/>
  <c r="F81" i="1"/>
  <c r="E81" i="1"/>
  <c r="AI80" i="1"/>
  <c r="AH80" i="1"/>
  <c r="AJ80" i="1" s="1"/>
  <c r="AG80" i="1"/>
  <c r="AF80" i="1"/>
  <c r="AE80" i="1"/>
  <c r="AD80" i="1"/>
  <c r="AC80" i="1"/>
  <c r="AB80" i="1"/>
  <c r="AA80" i="1"/>
  <c r="Z80" i="1"/>
  <c r="Y80" i="1"/>
  <c r="X80" i="1"/>
  <c r="W80" i="1"/>
  <c r="V80" i="1"/>
  <c r="N80" i="1"/>
  <c r="K80" i="1"/>
  <c r="H80" i="1"/>
  <c r="M80" i="1" s="1"/>
  <c r="G80" i="1"/>
  <c r="O80" i="1" s="1"/>
  <c r="F80" i="1"/>
  <c r="E80" i="1"/>
  <c r="AI79" i="1"/>
  <c r="AH79" i="1"/>
  <c r="AJ79" i="1" s="1"/>
  <c r="AG79" i="1"/>
  <c r="AF79" i="1"/>
  <c r="AE79" i="1"/>
  <c r="AD79" i="1"/>
  <c r="AC79" i="1"/>
  <c r="AB79" i="1"/>
  <c r="AA79" i="1"/>
  <c r="Z79" i="1"/>
  <c r="Y79" i="1"/>
  <c r="X79" i="1"/>
  <c r="W79" i="1"/>
  <c r="V79" i="1"/>
  <c r="N79" i="1"/>
  <c r="K79" i="1"/>
  <c r="H79" i="1"/>
  <c r="M79" i="1" s="1"/>
  <c r="G79" i="1"/>
  <c r="O79" i="1" s="1"/>
  <c r="F79" i="1"/>
  <c r="E79" i="1"/>
  <c r="AI78" i="1"/>
  <c r="AH78" i="1"/>
  <c r="AJ78" i="1" s="1"/>
  <c r="AG78" i="1"/>
  <c r="AF78" i="1"/>
  <c r="AE78" i="1"/>
  <c r="AD78" i="1"/>
  <c r="AC78" i="1"/>
  <c r="AB78" i="1"/>
  <c r="AA78" i="1"/>
  <c r="Z78" i="1"/>
  <c r="Y78" i="1"/>
  <c r="X78" i="1"/>
  <c r="W78" i="1"/>
  <c r="V78" i="1"/>
  <c r="N78" i="1"/>
  <c r="K78" i="1"/>
  <c r="H78" i="1"/>
  <c r="G78" i="1"/>
  <c r="O78" i="1" s="1"/>
  <c r="F78" i="1"/>
  <c r="E78" i="1"/>
  <c r="AI77" i="1"/>
  <c r="AH77" i="1"/>
  <c r="AJ77" i="1" s="1"/>
  <c r="AG77" i="1"/>
  <c r="AF77" i="1"/>
  <c r="AE77" i="1"/>
  <c r="AD77" i="1"/>
  <c r="AC77" i="1"/>
  <c r="AB77" i="1"/>
  <c r="AA77" i="1"/>
  <c r="Z77" i="1"/>
  <c r="Y77" i="1"/>
  <c r="X77" i="1"/>
  <c r="W77" i="1"/>
  <c r="V77" i="1"/>
  <c r="N77" i="1"/>
  <c r="K77" i="1"/>
  <c r="H77" i="1"/>
  <c r="G77" i="1"/>
  <c r="O77" i="1" s="1"/>
  <c r="F77" i="1"/>
  <c r="E77" i="1"/>
  <c r="AI75" i="1"/>
  <c r="AH75" i="1"/>
  <c r="AJ75" i="1" s="1"/>
  <c r="AG75" i="1"/>
  <c r="AF75" i="1"/>
  <c r="AE75" i="1"/>
  <c r="AD75" i="1"/>
  <c r="AC75" i="1"/>
  <c r="AB75" i="1"/>
  <c r="AA75" i="1"/>
  <c r="Z75" i="1"/>
  <c r="Y75" i="1"/>
  <c r="X75" i="1"/>
  <c r="W75" i="1"/>
  <c r="V75" i="1"/>
  <c r="N75" i="1"/>
  <c r="K75" i="1"/>
  <c r="H75" i="1"/>
  <c r="M75" i="1" s="1"/>
  <c r="G75" i="1"/>
  <c r="O75" i="1" s="1"/>
  <c r="F75" i="1"/>
  <c r="E75" i="1"/>
  <c r="AI74" i="1"/>
  <c r="AH74" i="1"/>
  <c r="AJ74" i="1" s="1"/>
  <c r="AG74" i="1"/>
  <c r="AF74" i="1"/>
  <c r="AE74" i="1"/>
  <c r="AD74" i="1"/>
  <c r="AC74" i="1"/>
  <c r="AB74" i="1"/>
  <c r="AA74" i="1"/>
  <c r="Z74" i="1"/>
  <c r="Y74" i="1"/>
  <c r="X74" i="1"/>
  <c r="W74" i="1"/>
  <c r="V74" i="1"/>
  <c r="N74" i="1"/>
  <c r="K74" i="1"/>
  <c r="H74" i="1"/>
  <c r="G74" i="1"/>
  <c r="F74" i="1"/>
  <c r="E74" i="1"/>
  <c r="AI73" i="1"/>
  <c r="AH73" i="1"/>
  <c r="AJ73" i="1" s="1"/>
  <c r="AG73" i="1"/>
  <c r="AF73" i="1"/>
  <c r="AE73" i="1"/>
  <c r="AD73" i="1"/>
  <c r="AC73" i="1"/>
  <c r="AB73" i="1"/>
  <c r="AA73" i="1"/>
  <c r="Z73" i="1"/>
  <c r="Y73" i="1"/>
  <c r="X73" i="1"/>
  <c r="W73" i="1"/>
  <c r="V73" i="1"/>
  <c r="N73" i="1"/>
  <c r="K73" i="1"/>
  <c r="H73" i="1"/>
  <c r="M73" i="1" s="1"/>
  <c r="G73" i="1"/>
  <c r="O73" i="1" s="1"/>
  <c r="F73" i="1"/>
  <c r="E73" i="1"/>
  <c r="AI72" i="1"/>
  <c r="AH72" i="1"/>
  <c r="AJ72" i="1" s="1"/>
  <c r="AG72" i="1"/>
  <c r="AF72" i="1"/>
  <c r="AE72" i="1"/>
  <c r="AD72" i="1"/>
  <c r="AC72" i="1"/>
  <c r="AB72" i="1"/>
  <c r="AA72" i="1"/>
  <c r="Z72" i="1"/>
  <c r="Y72" i="1"/>
  <c r="X72" i="1"/>
  <c r="W72" i="1"/>
  <c r="V72" i="1"/>
  <c r="N72" i="1"/>
  <c r="K72" i="1"/>
  <c r="H72" i="1"/>
  <c r="M72" i="1" s="1"/>
  <c r="G72" i="1"/>
  <c r="O72" i="1" s="1"/>
  <c r="F72" i="1"/>
  <c r="E72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N71" i="1"/>
  <c r="K71" i="1"/>
  <c r="H71" i="1"/>
  <c r="G71" i="1"/>
  <c r="F71" i="1"/>
  <c r="E71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N70" i="1"/>
  <c r="K70" i="1"/>
  <c r="H70" i="1"/>
  <c r="G70" i="1"/>
  <c r="F70" i="1"/>
  <c r="E70" i="1"/>
  <c r="AI69" i="1"/>
  <c r="AH69" i="1"/>
  <c r="AJ69" i="1" s="1"/>
  <c r="AG69" i="1"/>
  <c r="AF69" i="1"/>
  <c r="AE69" i="1"/>
  <c r="AD69" i="1"/>
  <c r="AC69" i="1"/>
  <c r="AB69" i="1"/>
  <c r="AA69" i="1"/>
  <c r="Z69" i="1"/>
  <c r="Y69" i="1"/>
  <c r="X69" i="1"/>
  <c r="W69" i="1"/>
  <c r="V69" i="1"/>
  <c r="N69" i="1"/>
  <c r="K69" i="1"/>
  <c r="H69" i="1"/>
  <c r="M69" i="1" s="1"/>
  <c r="G69" i="1"/>
  <c r="O69" i="1" s="1"/>
  <c r="F69" i="1"/>
  <c r="E69" i="1"/>
  <c r="AI68" i="1"/>
  <c r="AH68" i="1"/>
  <c r="AJ68" i="1" s="1"/>
  <c r="AG68" i="1"/>
  <c r="AF68" i="1"/>
  <c r="AE68" i="1"/>
  <c r="AD68" i="1"/>
  <c r="AC68" i="1"/>
  <c r="AB68" i="1"/>
  <c r="AA68" i="1"/>
  <c r="Z68" i="1"/>
  <c r="Y68" i="1"/>
  <c r="X68" i="1"/>
  <c r="W68" i="1"/>
  <c r="V68" i="1"/>
  <c r="N68" i="1"/>
  <c r="K68" i="1"/>
  <c r="H68" i="1"/>
  <c r="M68" i="1" s="1"/>
  <c r="G68" i="1"/>
  <c r="O68" i="1" s="1"/>
  <c r="F68" i="1"/>
  <c r="E68" i="1"/>
  <c r="AI67" i="1"/>
  <c r="AH67" i="1"/>
  <c r="AJ67" i="1" s="1"/>
  <c r="AG67" i="1"/>
  <c r="AF67" i="1"/>
  <c r="AE67" i="1"/>
  <c r="AD67" i="1"/>
  <c r="AC67" i="1"/>
  <c r="AB67" i="1"/>
  <c r="AA67" i="1"/>
  <c r="Z67" i="1"/>
  <c r="Y67" i="1"/>
  <c r="X67" i="1"/>
  <c r="W67" i="1"/>
  <c r="V67" i="1"/>
  <c r="N67" i="1"/>
  <c r="K67" i="1"/>
  <c r="H67" i="1"/>
  <c r="M67" i="1" s="1"/>
  <c r="G67" i="1"/>
  <c r="O67" i="1" s="1"/>
  <c r="F67" i="1"/>
  <c r="E67" i="1"/>
  <c r="AI66" i="1"/>
  <c r="AH66" i="1"/>
  <c r="AJ66" i="1" s="1"/>
  <c r="AG66" i="1"/>
  <c r="AF66" i="1"/>
  <c r="AE66" i="1"/>
  <c r="AD66" i="1"/>
  <c r="AC66" i="1"/>
  <c r="AB66" i="1"/>
  <c r="AA66" i="1"/>
  <c r="Z66" i="1"/>
  <c r="Y66" i="1"/>
  <c r="X66" i="1"/>
  <c r="W66" i="1"/>
  <c r="V66" i="1"/>
  <c r="N66" i="1"/>
  <c r="K66" i="1"/>
  <c r="H66" i="1"/>
  <c r="G66" i="1"/>
  <c r="O66" i="1" s="1"/>
  <c r="F66" i="1"/>
  <c r="E66" i="1"/>
  <c r="AI65" i="1"/>
  <c r="AH65" i="1"/>
  <c r="AJ65" i="1" s="1"/>
  <c r="AG65" i="1"/>
  <c r="AF65" i="1"/>
  <c r="AE65" i="1"/>
  <c r="AD65" i="1"/>
  <c r="AC65" i="1"/>
  <c r="AB65" i="1"/>
  <c r="AA65" i="1"/>
  <c r="Z65" i="1"/>
  <c r="Y65" i="1"/>
  <c r="X65" i="1"/>
  <c r="W65" i="1"/>
  <c r="V65" i="1"/>
  <c r="N65" i="1"/>
  <c r="K65" i="1"/>
  <c r="H65" i="1"/>
  <c r="M65" i="1" s="1"/>
  <c r="G65" i="1"/>
  <c r="O65" i="1" s="1"/>
  <c r="F65" i="1"/>
  <c r="E65" i="1"/>
  <c r="AI64" i="1"/>
  <c r="AH64" i="1"/>
  <c r="AJ64" i="1" s="1"/>
  <c r="AG64" i="1"/>
  <c r="AF64" i="1"/>
  <c r="AE64" i="1"/>
  <c r="AD64" i="1"/>
  <c r="AC64" i="1"/>
  <c r="AB64" i="1"/>
  <c r="AA64" i="1"/>
  <c r="Z64" i="1"/>
  <c r="Y64" i="1"/>
  <c r="X64" i="1"/>
  <c r="W64" i="1"/>
  <c r="V64" i="1"/>
  <c r="N64" i="1"/>
  <c r="K64" i="1"/>
  <c r="H64" i="1"/>
  <c r="M64" i="1" s="1"/>
  <c r="G64" i="1"/>
  <c r="O64" i="1" s="1"/>
  <c r="F64" i="1"/>
  <c r="E64" i="1"/>
  <c r="AI63" i="1"/>
  <c r="AH63" i="1"/>
  <c r="AJ63" i="1" s="1"/>
  <c r="AG63" i="1"/>
  <c r="AF63" i="1"/>
  <c r="AE63" i="1"/>
  <c r="AD63" i="1"/>
  <c r="AC63" i="1"/>
  <c r="AB63" i="1"/>
  <c r="AA63" i="1"/>
  <c r="Z63" i="1"/>
  <c r="Y63" i="1"/>
  <c r="X63" i="1"/>
  <c r="W63" i="1"/>
  <c r="V63" i="1"/>
  <c r="N63" i="1"/>
  <c r="K63" i="1"/>
  <c r="H63" i="1"/>
  <c r="M63" i="1" s="1"/>
  <c r="G63" i="1"/>
  <c r="O63" i="1" s="1"/>
  <c r="F63" i="1"/>
  <c r="E63" i="1"/>
  <c r="AI62" i="1"/>
  <c r="AH62" i="1"/>
  <c r="AJ62" i="1" s="1"/>
  <c r="AG62" i="1"/>
  <c r="AF62" i="1"/>
  <c r="AE62" i="1"/>
  <c r="AD62" i="1"/>
  <c r="AC62" i="1"/>
  <c r="AB62" i="1"/>
  <c r="AA62" i="1"/>
  <c r="Z62" i="1"/>
  <c r="Y62" i="1"/>
  <c r="X62" i="1"/>
  <c r="W62" i="1"/>
  <c r="V62" i="1"/>
  <c r="N62" i="1"/>
  <c r="K62" i="1"/>
  <c r="H62" i="1"/>
  <c r="M62" i="1" s="1"/>
  <c r="G62" i="1"/>
  <c r="O62" i="1" s="1"/>
  <c r="F62" i="1"/>
  <c r="E62" i="1"/>
  <c r="AI61" i="1"/>
  <c r="AH61" i="1"/>
  <c r="AJ61" i="1" s="1"/>
  <c r="AG61" i="1"/>
  <c r="AF61" i="1"/>
  <c r="AE61" i="1"/>
  <c r="AD61" i="1"/>
  <c r="AC61" i="1"/>
  <c r="AB61" i="1"/>
  <c r="AA61" i="1"/>
  <c r="Z61" i="1"/>
  <c r="Y61" i="1"/>
  <c r="X61" i="1"/>
  <c r="W61" i="1"/>
  <c r="V61" i="1"/>
  <c r="N61" i="1"/>
  <c r="K61" i="1"/>
  <c r="H61" i="1"/>
  <c r="M61" i="1" s="1"/>
  <c r="G61" i="1"/>
  <c r="O61" i="1" s="1"/>
  <c r="F61" i="1"/>
  <c r="E61" i="1"/>
  <c r="AI60" i="1"/>
  <c r="AH60" i="1"/>
  <c r="AJ60" i="1" s="1"/>
  <c r="AG60" i="1"/>
  <c r="AF60" i="1"/>
  <c r="AE60" i="1"/>
  <c r="AD60" i="1"/>
  <c r="AC60" i="1"/>
  <c r="AB60" i="1"/>
  <c r="AA60" i="1"/>
  <c r="Z60" i="1"/>
  <c r="Y60" i="1"/>
  <c r="X60" i="1"/>
  <c r="W60" i="1"/>
  <c r="V60" i="1"/>
  <c r="N60" i="1"/>
  <c r="K60" i="1"/>
  <c r="H60" i="1"/>
  <c r="M60" i="1" s="1"/>
  <c r="G60" i="1"/>
  <c r="O60" i="1" s="1"/>
  <c r="F60" i="1"/>
  <c r="E60" i="1"/>
  <c r="AI59" i="1"/>
  <c r="AH59" i="1"/>
  <c r="AJ59" i="1" s="1"/>
  <c r="AG59" i="1"/>
  <c r="AF59" i="1"/>
  <c r="AE59" i="1"/>
  <c r="AD59" i="1"/>
  <c r="AC59" i="1"/>
  <c r="AB59" i="1"/>
  <c r="AA59" i="1"/>
  <c r="Z59" i="1"/>
  <c r="Y59" i="1"/>
  <c r="X59" i="1"/>
  <c r="W59" i="1"/>
  <c r="V59" i="1"/>
  <c r="N59" i="1"/>
  <c r="K59" i="1"/>
  <c r="H59" i="1"/>
  <c r="G59" i="1"/>
  <c r="O59" i="1" s="1"/>
  <c r="F59" i="1"/>
  <c r="E59" i="1"/>
  <c r="AI58" i="1"/>
  <c r="AH58" i="1"/>
  <c r="AJ58" i="1" s="1"/>
  <c r="AG58" i="1"/>
  <c r="AF58" i="1"/>
  <c r="AE58" i="1"/>
  <c r="AD58" i="1"/>
  <c r="AC58" i="1"/>
  <c r="AB58" i="1"/>
  <c r="AA58" i="1"/>
  <c r="Z58" i="1"/>
  <c r="Y58" i="1"/>
  <c r="X58" i="1"/>
  <c r="W58" i="1"/>
  <c r="V58" i="1"/>
  <c r="N58" i="1"/>
  <c r="K58" i="1"/>
  <c r="H58" i="1"/>
  <c r="M58" i="1" s="1"/>
  <c r="G58" i="1"/>
  <c r="O58" i="1" s="1"/>
  <c r="F58" i="1"/>
  <c r="E58" i="1"/>
  <c r="AI57" i="1"/>
  <c r="AH57" i="1"/>
  <c r="AJ57" i="1" s="1"/>
  <c r="AG57" i="1"/>
  <c r="AF57" i="1"/>
  <c r="AE57" i="1"/>
  <c r="AD57" i="1"/>
  <c r="AC57" i="1"/>
  <c r="AB57" i="1"/>
  <c r="AA57" i="1"/>
  <c r="Z57" i="1"/>
  <c r="Y57" i="1"/>
  <c r="X57" i="1"/>
  <c r="W57" i="1"/>
  <c r="V57" i="1"/>
  <c r="N57" i="1"/>
  <c r="K57" i="1"/>
  <c r="H57" i="1"/>
  <c r="M57" i="1" s="1"/>
  <c r="G57" i="1"/>
  <c r="O57" i="1" s="1"/>
  <c r="F57" i="1"/>
  <c r="E57" i="1"/>
  <c r="AI56" i="1"/>
  <c r="AH56" i="1"/>
  <c r="AJ56" i="1" s="1"/>
  <c r="AG56" i="1"/>
  <c r="AF56" i="1"/>
  <c r="AE56" i="1"/>
  <c r="AD56" i="1"/>
  <c r="AC56" i="1"/>
  <c r="AB56" i="1"/>
  <c r="AA56" i="1"/>
  <c r="Z56" i="1"/>
  <c r="Y56" i="1"/>
  <c r="X56" i="1"/>
  <c r="W56" i="1"/>
  <c r="V56" i="1"/>
  <c r="N56" i="1"/>
  <c r="K56" i="1"/>
  <c r="H56" i="1"/>
  <c r="G56" i="1"/>
  <c r="F56" i="1"/>
  <c r="E56" i="1"/>
  <c r="AI55" i="1"/>
  <c r="AH55" i="1"/>
  <c r="AJ55" i="1" s="1"/>
  <c r="AG55" i="1"/>
  <c r="AF55" i="1"/>
  <c r="AE55" i="1"/>
  <c r="AD55" i="1"/>
  <c r="AC55" i="1"/>
  <c r="AB55" i="1"/>
  <c r="AA55" i="1"/>
  <c r="Z55" i="1"/>
  <c r="Y55" i="1"/>
  <c r="X55" i="1"/>
  <c r="W55" i="1"/>
  <c r="V55" i="1"/>
  <c r="N55" i="1"/>
  <c r="K55" i="1"/>
  <c r="H55" i="1"/>
  <c r="M55" i="1" s="1"/>
  <c r="G55" i="1"/>
  <c r="O55" i="1" s="1"/>
  <c r="F55" i="1"/>
  <c r="E55" i="1"/>
  <c r="AI53" i="1"/>
  <c r="AH53" i="1"/>
  <c r="AJ53" i="1" s="1"/>
  <c r="AG53" i="1"/>
  <c r="AF53" i="1"/>
  <c r="AE53" i="1"/>
  <c r="AD53" i="1"/>
  <c r="AC53" i="1"/>
  <c r="AB53" i="1"/>
  <c r="AA53" i="1"/>
  <c r="Z53" i="1"/>
  <c r="Y53" i="1"/>
  <c r="X53" i="1"/>
  <c r="W53" i="1"/>
  <c r="V53" i="1"/>
  <c r="N53" i="1"/>
  <c r="K53" i="1"/>
  <c r="H53" i="1"/>
  <c r="M53" i="1" s="1"/>
  <c r="G53" i="1"/>
  <c r="O53" i="1" s="1"/>
  <c r="F53" i="1"/>
  <c r="E53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N52" i="1"/>
  <c r="K52" i="1"/>
  <c r="H52" i="1"/>
  <c r="G52" i="1"/>
  <c r="O52" i="1" s="1"/>
  <c r="F52" i="1"/>
  <c r="E52" i="1"/>
  <c r="AI51" i="1"/>
  <c r="AH51" i="1"/>
  <c r="AJ51" i="1" s="1"/>
  <c r="AG51" i="1"/>
  <c r="AF51" i="1"/>
  <c r="AE51" i="1"/>
  <c r="AD51" i="1"/>
  <c r="AC51" i="1"/>
  <c r="AB51" i="1"/>
  <c r="AA51" i="1"/>
  <c r="Z51" i="1"/>
  <c r="Y51" i="1"/>
  <c r="X51" i="1"/>
  <c r="W51" i="1"/>
  <c r="V51" i="1"/>
  <c r="N51" i="1"/>
  <c r="K51" i="1"/>
  <c r="H51" i="1"/>
  <c r="G51" i="1"/>
  <c r="O51" i="1" s="1"/>
  <c r="F51" i="1"/>
  <c r="E51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N50" i="1"/>
  <c r="K50" i="1"/>
  <c r="H50" i="1"/>
  <c r="G50" i="1"/>
  <c r="O50" i="1" s="1"/>
  <c r="F50" i="1"/>
  <c r="E50" i="1"/>
  <c r="AI49" i="1"/>
  <c r="AH49" i="1"/>
  <c r="AJ49" i="1" s="1"/>
  <c r="AG49" i="1"/>
  <c r="AF49" i="1"/>
  <c r="AE49" i="1"/>
  <c r="AD49" i="1"/>
  <c r="AC49" i="1"/>
  <c r="AB49" i="1"/>
  <c r="AA49" i="1"/>
  <c r="Z49" i="1"/>
  <c r="Y49" i="1"/>
  <c r="X49" i="1"/>
  <c r="W49" i="1"/>
  <c r="V49" i="1"/>
  <c r="N49" i="1"/>
  <c r="K49" i="1"/>
  <c r="H49" i="1"/>
  <c r="G49" i="1"/>
  <c r="O49" i="1" s="1"/>
  <c r="F49" i="1"/>
  <c r="E49" i="1"/>
  <c r="AI48" i="1"/>
  <c r="AH48" i="1"/>
  <c r="AJ48" i="1" s="1"/>
  <c r="AG48" i="1"/>
  <c r="AF48" i="1"/>
  <c r="AE48" i="1"/>
  <c r="AD48" i="1"/>
  <c r="AC48" i="1"/>
  <c r="AB48" i="1"/>
  <c r="AA48" i="1"/>
  <c r="Z48" i="1"/>
  <c r="Y48" i="1"/>
  <c r="X48" i="1"/>
  <c r="W48" i="1"/>
  <c r="V48" i="1"/>
  <c r="N48" i="1"/>
  <c r="K48" i="1"/>
  <c r="H48" i="1"/>
  <c r="M48" i="1" s="1"/>
  <c r="G48" i="1"/>
  <c r="O48" i="1" s="1"/>
  <c r="F48" i="1"/>
  <c r="E48" i="1"/>
  <c r="AI47" i="1"/>
  <c r="AH47" i="1"/>
  <c r="AJ47" i="1" s="1"/>
  <c r="AG47" i="1"/>
  <c r="AF47" i="1"/>
  <c r="AE47" i="1"/>
  <c r="AD47" i="1"/>
  <c r="AC47" i="1"/>
  <c r="AB47" i="1"/>
  <c r="AA47" i="1"/>
  <c r="Z47" i="1"/>
  <c r="Y47" i="1"/>
  <c r="X47" i="1"/>
  <c r="W47" i="1"/>
  <c r="V47" i="1"/>
  <c r="N47" i="1"/>
  <c r="K47" i="1"/>
  <c r="H47" i="1"/>
  <c r="G47" i="1"/>
  <c r="O47" i="1" s="1"/>
  <c r="F47" i="1"/>
  <c r="E47" i="1"/>
  <c r="AI46" i="1"/>
  <c r="AH46" i="1"/>
  <c r="AJ46" i="1" s="1"/>
  <c r="AG46" i="1"/>
  <c r="AF46" i="1"/>
  <c r="AE46" i="1"/>
  <c r="AD46" i="1"/>
  <c r="AC46" i="1"/>
  <c r="AB46" i="1"/>
  <c r="AA46" i="1"/>
  <c r="Z46" i="1"/>
  <c r="Y46" i="1"/>
  <c r="X46" i="1"/>
  <c r="W46" i="1"/>
  <c r="V46" i="1"/>
  <c r="N46" i="1"/>
  <c r="K46" i="1"/>
  <c r="H46" i="1"/>
  <c r="G46" i="1"/>
  <c r="O46" i="1" s="1"/>
  <c r="F46" i="1"/>
  <c r="E46" i="1"/>
  <c r="AI45" i="1"/>
  <c r="AH45" i="1"/>
  <c r="AJ45" i="1" s="1"/>
  <c r="AG45" i="1"/>
  <c r="AF45" i="1"/>
  <c r="AE45" i="1"/>
  <c r="AD45" i="1"/>
  <c r="AC45" i="1"/>
  <c r="AB45" i="1"/>
  <c r="AA45" i="1"/>
  <c r="Z45" i="1"/>
  <c r="Y45" i="1"/>
  <c r="X45" i="1"/>
  <c r="W45" i="1"/>
  <c r="V45" i="1"/>
  <c r="N45" i="1"/>
  <c r="K45" i="1"/>
  <c r="H45" i="1"/>
  <c r="M45" i="1" s="1"/>
  <c r="G45" i="1"/>
  <c r="O45" i="1" s="1"/>
  <c r="F45" i="1"/>
  <c r="E45" i="1"/>
  <c r="AI44" i="1"/>
  <c r="AH44" i="1"/>
  <c r="AJ44" i="1" s="1"/>
  <c r="AG44" i="1"/>
  <c r="AF44" i="1"/>
  <c r="AE44" i="1"/>
  <c r="AD44" i="1"/>
  <c r="AC44" i="1"/>
  <c r="AB44" i="1"/>
  <c r="AA44" i="1"/>
  <c r="Z44" i="1"/>
  <c r="Y44" i="1"/>
  <c r="X44" i="1"/>
  <c r="W44" i="1"/>
  <c r="V44" i="1"/>
  <c r="N44" i="1"/>
  <c r="K44" i="1"/>
  <c r="H44" i="1"/>
  <c r="G44" i="1"/>
  <c r="O44" i="1" s="1"/>
  <c r="F44" i="1"/>
  <c r="E44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N43" i="1"/>
  <c r="K43" i="1"/>
  <c r="H43" i="1"/>
  <c r="G43" i="1"/>
  <c r="O43" i="1" s="1"/>
  <c r="F43" i="1"/>
  <c r="E43" i="1"/>
  <c r="AI42" i="1"/>
  <c r="AH42" i="1"/>
  <c r="AJ42" i="1" s="1"/>
  <c r="AG42" i="1"/>
  <c r="AF42" i="1"/>
  <c r="AE42" i="1"/>
  <c r="AD42" i="1"/>
  <c r="AC42" i="1"/>
  <c r="AB42" i="1"/>
  <c r="AA42" i="1"/>
  <c r="Z42" i="1"/>
  <c r="Y42" i="1"/>
  <c r="X42" i="1"/>
  <c r="W42" i="1"/>
  <c r="V42" i="1"/>
  <c r="N42" i="1"/>
  <c r="K42" i="1"/>
  <c r="H42" i="1"/>
  <c r="G42" i="1"/>
  <c r="O42" i="1" s="1"/>
  <c r="F42" i="1"/>
  <c r="E42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N41" i="1"/>
  <c r="K41" i="1"/>
  <c r="H41" i="1"/>
  <c r="G41" i="1"/>
  <c r="F41" i="1"/>
  <c r="E41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N40" i="1"/>
  <c r="K40" i="1"/>
  <c r="H40" i="1"/>
  <c r="G40" i="1"/>
  <c r="O40" i="1" s="1"/>
  <c r="F40" i="1"/>
  <c r="E40" i="1"/>
  <c r="AI39" i="1"/>
  <c r="AH39" i="1"/>
  <c r="AJ39" i="1" s="1"/>
  <c r="AG39" i="1"/>
  <c r="AF39" i="1"/>
  <c r="AE39" i="1"/>
  <c r="AD39" i="1"/>
  <c r="AC39" i="1"/>
  <c r="AB39" i="1"/>
  <c r="AA39" i="1"/>
  <c r="Z39" i="1"/>
  <c r="Y39" i="1"/>
  <c r="X39" i="1"/>
  <c r="W39" i="1"/>
  <c r="V39" i="1"/>
  <c r="N39" i="1"/>
  <c r="K39" i="1"/>
  <c r="H39" i="1"/>
  <c r="M39" i="1" s="1"/>
  <c r="G39" i="1"/>
  <c r="O39" i="1" s="1"/>
  <c r="F39" i="1"/>
  <c r="E39" i="1"/>
  <c r="AI38" i="1"/>
  <c r="AH38" i="1"/>
  <c r="AJ38" i="1" s="1"/>
  <c r="AG38" i="1"/>
  <c r="AF38" i="1"/>
  <c r="AE38" i="1"/>
  <c r="AD38" i="1"/>
  <c r="AC38" i="1"/>
  <c r="AB38" i="1"/>
  <c r="AA38" i="1"/>
  <c r="Z38" i="1"/>
  <c r="Y38" i="1"/>
  <c r="X38" i="1"/>
  <c r="W38" i="1"/>
  <c r="V38" i="1"/>
  <c r="N38" i="1"/>
  <c r="K38" i="1"/>
  <c r="H38" i="1"/>
  <c r="M38" i="1" s="1"/>
  <c r="G38" i="1"/>
  <c r="O38" i="1" s="1"/>
  <c r="F38" i="1"/>
  <c r="E38" i="1"/>
  <c r="AI37" i="1"/>
  <c r="AH37" i="1"/>
  <c r="AJ37" i="1" s="1"/>
  <c r="AG37" i="1"/>
  <c r="AF37" i="1"/>
  <c r="AE37" i="1"/>
  <c r="AD37" i="1"/>
  <c r="AC37" i="1"/>
  <c r="AB37" i="1"/>
  <c r="AA37" i="1"/>
  <c r="Z37" i="1"/>
  <c r="Y37" i="1"/>
  <c r="X37" i="1"/>
  <c r="W37" i="1"/>
  <c r="V37" i="1"/>
  <c r="N37" i="1"/>
  <c r="K37" i="1"/>
  <c r="H37" i="1"/>
  <c r="G37" i="1"/>
  <c r="O37" i="1" s="1"/>
  <c r="F37" i="1"/>
  <c r="E37" i="1"/>
  <c r="AI36" i="1"/>
  <c r="AH36" i="1"/>
  <c r="AJ36" i="1" s="1"/>
  <c r="AG36" i="1"/>
  <c r="AF36" i="1"/>
  <c r="AE36" i="1"/>
  <c r="AD36" i="1"/>
  <c r="AC36" i="1"/>
  <c r="AB36" i="1"/>
  <c r="AA36" i="1"/>
  <c r="Z36" i="1"/>
  <c r="Y36" i="1"/>
  <c r="X36" i="1"/>
  <c r="W36" i="1"/>
  <c r="V36" i="1"/>
  <c r="N36" i="1"/>
  <c r="K36" i="1"/>
  <c r="H36" i="1"/>
  <c r="G36" i="1"/>
  <c r="O36" i="1" s="1"/>
  <c r="F36" i="1"/>
  <c r="E36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N35" i="1"/>
  <c r="K35" i="1"/>
  <c r="H35" i="1"/>
  <c r="G35" i="1"/>
  <c r="F35" i="1"/>
  <c r="E35" i="1"/>
  <c r="AI34" i="1"/>
  <c r="AH34" i="1"/>
  <c r="AJ34" i="1" s="1"/>
  <c r="AG34" i="1"/>
  <c r="AF34" i="1"/>
  <c r="AE34" i="1"/>
  <c r="AD34" i="1"/>
  <c r="AC34" i="1"/>
  <c r="AB34" i="1"/>
  <c r="AA34" i="1"/>
  <c r="Z34" i="1"/>
  <c r="Y34" i="1"/>
  <c r="X34" i="1"/>
  <c r="W34" i="1"/>
  <c r="V34" i="1"/>
  <c r="N34" i="1"/>
  <c r="K34" i="1"/>
  <c r="H34" i="1"/>
  <c r="M34" i="1" s="1"/>
  <c r="G34" i="1"/>
  <c r="F34" i="1"/>
  <c r="E34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N32" i="1"/>
  <c r="K32" i="1"/>
  <c r="H32" i="1"/>
  <c r="G32" i="1"/>
  <c r="O32" i="1" s="1"/>
  <c r="F32" i="1"/>
  <c r="E32" i="1"/>
  <c r="AI31" i="1"/>
  <c r="AH31" i="1"/>
  <c r="AJ31" i="1" s="1"/>
  <c r="AG31" i="1"/>
  <c r="AF31" i="1"/>
  <c r="AE31" i="1"/>
  <c r="AD31" i="1"/>
  <c r="AC31" i="1"/>
  <c r="AB31" i="1"/>
  <c r="AA31" i="1"/>
  <c r="Z31" i="1"/>
  <c r="Y31" i="1"/>
  <c r="X31" i="1"/>
  <c r="W31" i="1"/>
  <c r="V31" i="1"/>
  <c r="N31" i="1"/>
  <c r="K31" i="1"/>
  <c r="H31" i="1"/>
  <c r="M31" i="1" s="1"/>
  <c r="G31" i="1"/>
  <c r="O31" i="1" s="1"/>
  <c r="F31" i="1"/>
  <c r="E31" i="1"/>
  <c r="AI30" i="1"/>
  <c r="AH30" i="1"/>
  <c r="AJ30" i="1" s="1"/>
  <c r="AG30" i="1"/>
  <c r="AF30" i="1"/>
  <c r="AE30" i="1"/>
  <c r="AD30" i="1"/>
  <c r="AC30" i="1"/>
  <c r="AB30" i="1"/>
  <c r="AA30" i="1"/>
  <c r="Z30" i="1"/>
  <c r="Y30" i="1"/>
  <c r="X30" i="1"/>
  <c r="W30" i="1"/>
  <c r="V30" i="1"/>
  <c r="N30" i="1"/>
  <c r="K30" i="1"/>
  <c r="H30" i="1"/>
  <c r="G30" i="1"/>
  <c r="F30" i="1"/>
  <c r="E30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N29" i="1"/>
  <c r="K29" i="1"/>
  <c r="H29" i="1"/>
  <c r="G29" i="1"/>
  <c r="O29" i="1" s="1"/>
  <c r="F29" i="1"/>
  <c r="E29" i="1"/>
  <c r="AI28" i="1"/>
  <c r="AH28" i="1"/>
  <c r="AJ28" i="1" s="1"/>
  <c r="AG28" i="1"/>
  <c r="AF28" i="1"/>
  <c r="AE28" i="1"/>
  <c r="AD28" i="1"/>
  <c r="AC28" i="1"/>
  <c r="AB28" i="1"/>
  <c r="AA28" i="1"/>
  <c r="Z28" i="1"/>
  <c r="Y28" i="1"/>
  <c r="X28" i="1"/>
  <c r="W28" i="1"/>
  <c r="V28" i="1"/>
  <c r="N28" i="1"/>
  <c r="K28" i="1"/>
  <c r="H28" i="1"/>
  <c r="M28" i="1" s="1"/>
  <c r="G28" i="1"/>
  <c r="O28" i="1" s="1"/>
  <c r="F28" i="1"/>
  <c r="E28" i="1"/>
  <c r="AI27" i="1"/>
  <c r="AH27" i="1"/>
  <c r="AJ27" i="1" s="1"/>
  <c r="AG27" i="1"/>
  <c r="AF27" i="1"/>
  <c r="AE27" i="1"/>
  <c r="AD27" i="1"/>
  <c r="AC27" i="1"/>
  <c r="AB27" i="1"/>
  <c r="AA27" i="1"/>
  <c r="Z27" i="1"/>
  <c r="Y27" i="1"/>
  <c r="X27" i="1"/>
  <c r="W27" i="1"/>
  <c r="V27" i="1"/>
  <c r="N27" i="1"/>
  <c r="K27" i="1"/>
  <c r="H27" i="1"/>
  <c r="M27" i="1" s="1"/>
  <c r="G27" i="1"/>
  <c r="O27" i="1" s="1"/>
  <c r="F27" i="1"/>
  <c r="E27" i="1"/>
  <c r="AI26" i="1"/>
  <c r="AH26" i="1"/>
  <c r="AJ26" i="1" s="1"/>
  <c r="AG26" i="1"/>
  <c r="AF26" i="1"/>
  <c r="AE26" i="1"/>
  <c r="AD26" i="1"/>
  <c r="AC26" i="1"/>
  <c r="AB26" i="1"/>
  <c r="AA26" i="1"/>
  <c r="Z26" i="1"/>
  <c r="Y26" i="1"/>
  <c r="X26" i="1"/>
  <c r="W26" i="1"/>
  <c r="V26" i="1"/>
  <c r="N26" i="1"/>
  <c r="K26" i="1"/>
  <c r="H26" i="1"/>
  <c r="M26" i="1" s="1"/>
  <c r="G26" i="1"/>
  <c r="F26" i="1"/>
  <c r="E26" i="1"/>
  <c r="AI25" i="1"/>
  <c r="AH25" i="1"/>
  <c r="AJ25" i="1" s="1"/>
  <c r="AG25" i="1"/>
  <c r="AF25" i="1"/>
  <c r="AE25" i="1"/>
  <c r="AD25" i="1"/>
  <c r="AC25" i="1"/>
  <c r="AB25" i="1"/>
  <c r="AA25" i="1"/>
  <c r="Z25" i="1"/>
  <c r="Y25" i="1"/>
  <c r="X25" i="1"/>
  <c r="W25" i="1"/>
  <c r="V25" i="1"/>
  <c r="N25" i="1"/>
  <c r="K25" i="1"/>
  <c r="H25" i="1"/>
  <c r="G25" i="1"/>
  <c r="O25" i="1" s="1"/>
  <c r="F25" i="1"/>
  <c r="E25" i="1"/>
  <c r="AI24" i="1"/>
  <c r="AH24" i="1"/>
  <c r="AJ24" i="1" s="1"/>
  <c r="AG24" i="1"/>
  <c r="AF24" i="1"/>
  <c r="AE24" i="1"/>
  <c r="AD24" i="1"/>
  <c r="AC24" i="1"/>
  <c r="AB24" i="1"/>
  <c r="AA24" i="1"/>
  <c r="Z24" i="1"/>
  <c r="Y24" i="1"/>
  <c r="X24" i="1"/>
  <c r="W24" i="1"/>
  <c r="V24" i="1"/>
  <c r="N24" i="1"/>
  <c r="K24" i="1"/>
  <c r="H24" i="1"/>
  <c r="G24" i="1"/>
  <c r="F24" i="1"/>
  <c r="E24" i="1"/>
  <c r="AI23" i="1"/>
  <c r="AH23" i="1"/>
  <c r="AJ23" i="1" s="1"/>
  <c r="AG23" i="1"/>
  <c r="AF23" i="1"/>
  <c r="AE23" i="1"/>
  <c r="AD23" i="1"/>
  <c r="AC23" i="1"/>
  <c r="AB23" i="1"/>
  <c r="AA23" i="1"/>
  <c r="Z23" i="1"/>
  <c r="Y23" i="1"/>
  <c r="X23" i="1"/>
  <c r="W23" i="1"/>
  <c r="V23" i="1"/>
  <c r="N23" i="1"/>
  <c r="K23" i="1"/>
  <c r="H23" i="1"/>
  <c r="M23" i="1" s="1"/>
  <c r="G23" i="1"/>
  <c r="O23" i="1" s="1"/>
  <c r="F23" i="1"/>
  <c r="E23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N22" i="1"/>
  <c r="K22" i="1"/>
  <c r="H22" i="1"/>
  <c r="G22" i="1"/>
  <c r="O22" i="1" s="1"/>
  <c r="F22" i="1"/>
  <c r="E22" i="1"/>
  <c r="AI21" i="1"/>
  <c r="AH21" i="1"/>
  <c r="AJ21" i="1" s="1"/>
  <c r="AG21" i="1"/>
  <c r="AF21" i="1"/>
  <c r="AE21" i="1"/>
  <c r="AD21" i="1"/>
  <c r="AC21" i="1"/>
  <c r="AB21" i="1"/>
  <c r="AA21" i="1"/>
  <c r="Z21" i="1"/>
  <c r="Y21" i="1"/>
  <c r="X21" i="1"/>
  <c r="W21" i="1"/>
  <c r="V21" i="1"/>
  <c r="N21" i="1"/>
  <c r="K21" i="1"/>
  <c r="H21" i="1"/>
  <c r="G21" i="1"/>
  <c r="F21" i="1"/>
  <c r="E21" i="1"/>
  <c r="AI20" i="1"/>
  <c r="AH20" i="1"/>
  <c r="AJ20" i="1" s="1"/>
  <c r="AG20" i="1"/>
  <c r="AF20" i="1"/>
  <c r="AE20" i="1"/>
  <c r="AD20" i="1"/>
  <c r="AC20" i="1"/>
  <c r="AB20" i="1"/>
  <c r="AA20" i="1"/>
  <c r="Z20" i="1"/>
  <c r="Y20" i="1"/>
  <c r="X20" i="1"/>
  <c r="W20" i="1"/>
  <c r="V20" i="1"/>
  <c r="N20" i="1"/>
  <c r="K20" i="1"/>
  <c r="H20" i="1"/>
  <c r="G20" i="1"/>
  <c r="F20" i="1"/>
  <c r="E20" i="1"/>
  <c r="AI19" i="1"/>
  <c r="AH19" i="1"/>
  <c r="AJ19" i="1" s="1"/>
  <c r="AG19" i="1"/>
  <c r="AF19" i="1"/>
  <c r="AE19" i="1"/>
  <c r="AD19" i="1"/>
  <c r="AC19" i="1"/>
  <c r="AB19" i="1"/>
  <c r="AA19" i="1"/>
  <c r="Z19" i="1"/>
  <c r="Y19" i="1"/>
  <c r="X19" i="1"/>
  <c r="W19" i="1"/>
  <c r="V19" i="1"/>
  <c r="N19" i="1"/>
  <c r="K19" i="1"/>
  <c r="H19" i="1"/>
  <c r="M19" i="1" s="1"/>
  <c r="G19" i="1"/>
  <c r="O19" i="1" s="1"/>
  <c r="F19" i="1"/>
  <c r="E19" i="1"/>
  <c r="AI18" i="1"/>
  <c r="AH18" i="1"/>
  <c r="AJ18" i="1" s="1"/>
  <c r="AG18" i="1"/>
  <c r="AF18" i="1"/>
  <c r="AE18" i="1"/>
  <c r="AD18" i="1"/>
  <c r="AC18" i="1"/>
  <c r="AB18" i="1"/>
  <c r="AA18" i="1"/>
  <c r="Z18" i="1"/>
  <c r="Y18" i="1"/>
  <c r="X18" i="1"/>
  <c r="W18" i="1"/>
  <c r="V18" i="1"/>
  <c r="N18" i="1"/>
  <c r="K18" i="1"/>
  <c r="H18" i="1"/>
  <c r="G18" i="1"/>
  <c r="O18" i="1" s="1"/>
  <c r="F18" i="1"/>
  <c r="E18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N17" i="1"/>
  <c r="K17" i="1"/>
  <c r="H17" i="1"/>
  <c r="G17" i="1"/>
  <c r="O17" i="1" s="1"/>
  <c r="F17" i="1"/>
  <c r="E17" i="1"/>
  <c r="AI16" i="1"/>
  <c r="AH16" i="1"/>
  <c r="AJ16" i="1" s="1"/>
  <c r="AG16" i="1"/>
  <c r="AF16" i="1"/>
  <c r="AE16" i="1"/>
  <c r="AD16" i="1"/>
  <c r="AC16" i="1"/>
  <c r="AB16" i="1"/>
  <c r="AA16" i="1"/>
  <c r="Z16" i="1"/>
  <c r="Y16" i="1"/>
  <c r="X16" i="1"/>
  <c r="W16" i="1"/>
  <c r="V16" i="1"/>
  <c r="N16" i="1"/>
  <c r="K16" i="1"/>
  <c r="H16" i="1"/>
  <c r="G16" i="1"/>
  <c r="F16" i="1"/>
  <c r="E16" i="1"/>
  <c r="AJ14" i="1"/>
  <c r="U14" i="1"/>
  <c r="S14" i="1"/>
  <c r="Q14" i="1"/>
  <c r="O14" i="1"/>
  <c r="M14" i="1"/>
  <c r="L14" i="1"/>
  <c r="I14" i="1"/>
  <c r="C14" i="1"/>
  <c r="J14" i="1" s="1"/>
  <c r="AJ13" i="1"/>
  <c r="AI13" i="1"/>
  <c r="AC13" i="1"/>
  <c r="X13" i="1"/>
  <c r="T13" i="1"/>
  <c r="S13" i="1"/>
  <c r="R13" i="1"/>
  <c r="Q13" i="1"/>
  <c r="U13" i="1" s="1"/>
  <c r="AJ12" i="1"/>
  <c r="AI12" i="1"/>
  <c r="AG12" i="1"/>
  <c r="AF12" i="1"/>
  <c r="AB12" i="1"/>
  <c r="Y12" i="1"/>
  <c r="X12" i="1"/>
  <c r="T12" i="1"/>
  <c r="T11" i="1" s="1"/>
  <c r="S12" i="1"/>
  <c r="Q12" i="1"/>
  <c r="U12" i="1" s="1"/>
  <c r="AJ11" i="1"/>
  <c r="U11" i="1"/>
  <c r="S11" i="1"/>
  <c r="Q11" i="1"/>
  <c r="CE11" i="13" l="1"/>
  <c r="AZ11" i="13"/>
  <c r="Y11" i="1"/>
  <c r="T11" i="5"/>
  <c r="AB11" i="1"/>
  <c r="R106" i="3"/>
  <c r="AF11" i="5"/>
  <c r="S11" i="8"/>
  <c r="W11" i="8"/>
  <c r="AB13" i="2"/>
  <c r="AD13" i="2" s="1"/>
  <c r="Q11" i="3"/>
  <c r="T106" i="4"/>
  <c r="P13" i="8"/>
  <c r="AB11" i="8"/>
  <c r="AT11" i="8"/>
  <c r="W11" i="7"/>
  <c r="AF11" i="8"/>
  <c r="T11" i="2"/>
  <c r="AD69" i="8"/>
  <c r="AD70" i="8"/>
  <c r="AD80" i="8"/>
  <c r="S13" i="2"/>
  <c r="AA106" i="2"/>
  <c r="W106" i="2"/>
  <c r="BX11" i="13"/>
  <c r="Z106" i="11"/>
  <c r="Z13" i="11" s="1"/>
  <c r="L106" i="12"/>
  <c r="L13" i="12" s="1"/>
  <c r="O11" i="16"/>
  <c r="BE11" i="8"/>
  <c r="AB11" i="11"/>
  <c r="X11" i="2"/>
  <c r="AJ106" i="4"/>
  <c r="I11" i="10"/>
  <c r="J11" i="17"/>
  <c r="T11" i="17"/>
  <c r="AI11" i="1"/>
  <c r="AF11" i="1"/>
  <c r="AL11" i="5"/>
  <c r="AP11" i="7"/>
  <c r="AD77" i="8"/>
  <c r="AD78" i="8"/>
  <c r="AD81" i="8"/>
  <c r="AK11" i="11"/>
  <c r="I14" i="12"/>
  <c r="CD11" i="13"/>
  <c r="CG11" i="13"/>
  <c r="O13" i="17"/>
  <c r="L14" i="18"/>
  <c r="AG11" i="1"/>
  <c r="Z11" i="13"/>
  <c r="N14" i="18"/>
  <c r="X106" i="8"/>
  <c r="AD11" i="11"/>
  <c r="J11" i="11"/>
  <c r="AI106" i="11"/>
  <c r="AI13" i="11" s="1"/>
  <c r="S11" i="12"/>
  <c r="S9" i="12" s="1"/>
  <c r="AN11" i="13"/>
  <c r="BE11" i="13"/>
  <c r="BU11" i="13"/>
  <c r="J106" i="15"/>
  <c r="J13" i="15" s="1"/>
  <c r="R106" i="17"/>
  <c r="Q11" i="18"/>
  <c r="R14" i="18"/>
  <c r="Q11" i="2"/>
  <c r="Z11" i="8"/>
  <c r="AN106" i="11"/>
  <c r="AN13" i="11" s="1"/>
  <c r="BF11" i="13"/>
  <c r="J106" i="13"/>
  <c r="J13" i="13" s="1"/>
  <c r="J11" i="13" s="1"/>
  <c r="I11" i="14"/>
  <c r="I106" i="15"/>
  <c r="I13" i="15" s="1"/>
  <c r="R13" i="17"/>
  <c r="BB11" i="5"/>
  <c r="AP13" i="5"/>
  <c r="T11" i="6"/>
  <c r="Z91" i="11"/>
  <c r="Z12" i="11" s="1"/>
  <c r="Z11" i="11" s="1"/>
  <c r="L106" i="13"/>
  <c r="L13" i="13" s="1"/>
  <c r="Y106" i="18"/>
  <c r="Y13" i="18" s="1"/>
  <c r="X11" i="1"/>
  <c r="W10" i="6"/>
  <c r="Q13" i="8"/>
  <c r="U13" i="8" s="1"/>
  <c r="AK11" i="8"/>
  <c r="AI91" i="11"/>
  <c r="AI12" i="11" s="1"/>
  <c r="S10" i="12"/>
  <c r="L91" i="13"/>
  <c r="L12" i="13" s="1"/>
  <c r="BY91" i="13"/>
  <c r="BX106" i="13"/>
  <c r="BX13" i="13" s="1"/>
  <c r="BA11" i="8"/>
  <c r="AS11" i="11"/>
  <c r="AI11" i="13"/>
  <c r="AC11" i="13"/>
  <c r="BI11" i="13"/>
  <c r="V106" i="13"/>
  <c r="V13" i="13" s="1"/>
  <c r="I106" i="16"/>
  <c r="I13" i="16" s="1"/>
  <c r="K11" i="16"/>
  <c r="V11" i="5"/>
  <c r="R11" i="5"/>
  <c r="AX11" i="8"/>
  <c r="AM11" i="8"/>
  <c r="I106" i="12"/>
  <c r="I13" i="12" s="1"/>
  <c r="AJ11" i="13"/>
  <c r="AV91" i="13"/>
  <c r="AV12" i="13" s="1"/>
  <c r="K11" i="17"/>
  <c r="O41" i="1"/>
  <c r="H51" i="18"/>
  <c r="N51" i="18" s="1"/>
  <c r="H56" i="18"/>
  <c r="P56" i="18" s="1"/>
  <c r="H59" i="18"/>
  <c r="R59" i="18" s="1"/>
  <c r="H64" i="18"/>
  <c r="H65" i="18"/>
  <c r="P65" i="18" s="1"/>
  <c r="AA31" i="7"/>
  <c r="R32" i="7"/>
  <c r="AC32" i="7"/>
  <c r="AK32" i="7" s="1"/>
  <c r="AQ36" i="7"/>
  <c r="R37" i="7"/>
  <c r="AC37" i="7"/>
  <c r="AK37" i="7" s="1"/>
  <c r="D38" i="7"/>
  <c r="U38" i="7"/>
  <c r="AH39" i="7"/>
  <c r="I40" i="7"/>
  <c r="AA40" i="7"/>
  <c r="AQ40" i="7"/>
  <c r="I44" i="7"/>
  <c r="AC45" i="7"/>
  <c r="AB45" i="7" s="1"/>
  <c r="X47" i="7"/>
  <c r="I48" i="7"/>
  <c r="AH51" i="7"/>
  <c r="AA52" i="7"/>
  <c r="AQ52" i="7"/>
  <c r="R53" i="7"/>
  <c r="AQ57" i="7"/>
  <c r="AC58" i="7"/>
  <c r="AK58" i="7" s="1"/>
  <c r="U59" i="7"/>
  <c r="AA65" i="7"/>
  <c r="AC66" i="7"/>
  <c r="AB66" i="7" s="1"/>
  <c r="AI66" i="7" s="1"/>
  <c r="X68" i="7"/>
  <c r="D71" i="7"/>
  <c r="L71" i="7" s="1"/>
  <c r="D75" i="7"/>
  <c r="N63" i="10"/>
  <c r="P79" i="10"/>
  <c r="I20" i="8"/>
  <c r="AM17" i="11"/>
  <c r="AO17" i="11" s="1"/>
  <c r="J64" i="10"/>
  <c r="D50" i="6"/>
  <c r="L50" i="6" s="1"/>
  <c r="M55" i="6"/>
  <c r="U68" i="6"/>
  <c r="M71" i="6"/>
  <c r="I102" i="1"/>
  <c r="M32" i="1"/>
  <c r="M35" i="1"/>
  <c r="M37" i="1"/>
  <c r="L68" i="9"/>
  <c r="M68" i="9" s="1"/>
  <c r="U25" i="17"/>
  <c r="D55" i="1"/>
  <c r="L55" i="1" s="1"/>
  <c r="I79" i="1"/>
  <c r="D118" i="2"/>
  <c r="L118" i="2" s="1"/>
  <c r="U25" i="3"/>
  <c r="U29" i="3"/>
  <c r="R30" i="3"/>
  <c r="I48" i="3"/>
  <c r="D50" i="3"/>
  <c r="L50" i="3" s="1"/>
  <c r="D55" i="3"/>
  <c r="L55" i="3" s="1"/>
  <c r="I57" i="3"/>
  <c r="D94" i="3"/>
  <c r="C94" i="3" s="1"/>
  <c r="J94" i="3" s="1"/>
  <c r="I22" i="4"/>
  <c r="T88" i="4"/>
  <c r="T28" i="1"/>
  <c r="T56" i="1"/>
  <c r="T58" i="1"/>
  <c r="T60" i="1"/>
  <c r="J85" i="13"/>
  <c r="BN87" i="13"/>
  <c r="I68" i="6"/>
  <c r="M53" i="2"/>
  <c r="M16" i="6"/>
  <c r="D19" i="6"/>
  <c r="L19" i="6" s="1"/>
  <c r="D80" i="1"/>
  <c r="L80" i="1" s="1"/>
  <c r="M90" i="7"/>
  <c r="AC96" i="7"/>
  <c r="AK96" i="7" s="1"/>
  <c r="AC97" i="7"/>
  <c r="AK97" i="7" s="1"/>
  <c r="S32" i="9"/>
  <c r="I18" i="1"/>
  <c r="C45" i="9"/>
  <c r="G45" i="9" s="1"/>
  <c r="D21" i="1"/>
  <c r="L21" i="1" s="1"/>
  <c r="C52" i="9"/>
  <c r="G52" i="9" s="1"/>
  <c r="C61" i="10"/>
  <c r="G61" i="10" s="1"/>
  <c r="T40" i="1"/>
  <c r="O28" i="2"/>
  <c r="Q60" i="1"/>
  <c r="U60" i="1" s="1"/>
  <c r="D30" i="1"/>
  <c r="L30" i="1" s="1"/>
  <c r="V79" i="4"/>
  <c r="U79" i="4" s="1"/>
  <c r="AB79" i="4" s="1"/>
  <c r="BF79" i="8"/>
  <c r="C45" i="12"/>
  <c r="G45" i="12" s="1"/>
  <c r="K92" i="12"/>
  <c r="M92" i="12" s="1"/>
  <c r="N28" i="10"/>
  <c r="P36" i="10"/>
  <c r="P52" i="10"/>
  <c r="P61" i="10"/>
  <c r="D103" i="1"/>
  <c r="C103" i="1" s="1"/>
  <c r="J103" i="1" s="1"/>
  <c r="D27" i="2"/>
  <c r="C27" i="2" s="1"/>
  <c r="J27" i="2" s="1"/>
  <c r="D44" i="2"/>
  <c r="C44" i="2" s="1"/>
  <c r="J44" i="2" s="1"/>
  <c r="C95" i="12"/>
  <c r="G95" i="12" s="1"/>
  <c r="BP19" i="13"/>
  <c r="D69" i="6"/>
  <c r="L69" i="6" s="1"/>
  <c r="J86" i="10"/>
  <c r="P57" i="6"/>
  <c r="R57" i="6" s="1"/>
  <c r="U25" i="18"/>
  <c r="U27" i="18"/>
  <c r="AA68" i="8"/>
  <c r="C16" i="10"/>
  <c r="G16" i="10" s="1"/>
  <c r="J21" i="10"/>
  <c r="J45" i="14"/>
  <c r="P18" i="1"/>
  <c r="P20" i="1"/>
  <c r="P22" i="1"/>
  <c r="P24" i="1"/>
  <c r="T29" i="1"/>
  <c r="T32" i="1"/>
  <c r="T34" i="1"/>
  <c r="P81" i="10"/>
  <c r="P89" i="10"/>
  <c r="N90" i="10"/>
  <c r="S78" i="11"/>
  <c r="Y79" i="11"/>
  <c r="AJ79" i="11"/>
  <c r="BP37" i="13"/>
  <c r="BN80" i="13"/>
  <c r="BP87" i="13"/>
  <c r="Z56" i="5"/>
  <c r="Z57" i="5"/>
  <c r="I77" i="5"/>
  <c r="I78" i="5"/>
  <c r="M111" i="5"/>
  <c r="M65" i="6"/>
  <c r="M81" i="6"/>
  <c r="AV35" i="8"/>
  <c r="AV51" i="8"/>
  <c r="C38" i="10"/>
  <c r="G38" i="10" s="1"/>
  <c r="C100" i="10"/>
  <c r="G100" i="10" s="1"/>
  <c r="C111" i="10"/>
  <c r="G111" i="10" s="1"/>
  <c r="M24" i="8"/>
  <c r="C110" i="18"/>
  <c r="G110" i="18" s="1"/>
  <c r="L46" i="9"/>
  <c r="M46" i="9" s="1"/>
  <c r="L38" i="12"/>
  <c r="I38" i="12" s="1"/>
  <c r="L41" i="12"/>
  <c r="I41" i="12" s="1"/>
  <c r="L42" i="12"/>
  <c r="I42" i="12" s="1"/>
  <c r="L50" i="12"/>
  <c r="I50" i="12" s="1"/>
  <c r="K57" i="12"/>
  <c r="K60" i="12"/>
  <c r="K61" i="12"/>
  <c r="K68" i="12"/>
  <c r="K69" i="12"/>
  <c r="BN74" i="13"/>
  <c r="M31" i="2"/>
  <c r="I21" i="3"/>
  <c r="D36" i="3"/>
  <c r="L36" i="3" s="1"/>
  <c r="D40" i="3"/>
  <c r="L40" i="3" s="1"/>
  <c r="I50" i="3"/>
  <c r="U57" i="3"/>
  <c r="R58" i="3"/>
  <c r="D61" i="3"/>
  <c r="I71" i="3"/>
  <c r="D86" i="3"/>
  <c r="C86" i="3" s="1"/>
  <c r="J86" i="3" s="1"/>
  <c r="I88" i="3"/>
  <c r="I92" i="3"/>
  <c r="I93" i="3"/>
  <c r="AA17" i="4"/>
  <c r="I18" i="4"/>
  <c r="V29" i="4"/>
  <c r="AD29" i="4" s="1"/>
  <c r="D30" i="4"/>
  <c r="L30" i="4" s="1"/>
  <c r="AE77" i="4"/>
  <c r="M78" i="4"/>
  <c r="AA84" i="4"/>
  <c r="I85" i="4"/>
  <c r="S22" i="5"/>
  <c r="AP22" i="5"/>
  <c r="S23" i="5"/>
  <c r="D55" i="6"/>
  <c r="L55" i="6" s="1"/>
  <c r="D63" i="6"/>
  <c r="L63" i="6" s="1"/>
  <c r="D71" i="6"/>
  <c r="L71" i="6" s="1"/>
  <c r="D107" i="8"/>
  <c r="C107" i="8" s="1"/>
  <c r="U29" i="18"/>
  <c r="H110" i="18"/>
  <c r="T110" i="18" s="1"/>
  <c r="C16" i="16"/>
  <c r="G16" i="16" s="1"/>
  <c r="D117" i="1"/>
  <c r="I48" i="2"/>
  <c r="D20" i="5"/>
  <c r="C20" i="5" s="1"/>
  <c r="L26" i="9"/>
  <c r="M26" i="9" s="1"/>
  <c r="L32" i="9"/>
  <c r="M32" i="9" s="1"/>
  <c r="AA43" i="9"/>
  <c r="K107" i="12"/>
  <c r="W43" i="2"/>
  <c r="O46" i="8"/>
  <c r="BC55" i="8"/>
  <c r="BC67" i="8"/>
  <c r="BC69" i="8"/>
  <c r="P43" i="1"/>
  <c r="P62" i="1"/>
  <c r="S62" i="1" s="1"/>
  <c r="AA31" i="2"/>
  <c r="AV68" i="8"/>
  <c r="P31" i="10"/>
  <c r="N32" i="10"/>
  <c r="P65" i="10"/>
  <c r="AA53" i="11"/>
  <c r="AJ57" i="11"/>
  <c r="Y65" i="11"/>
  <c r="AJ65" i="11"/>
  <c r="AH68" i="11"/>
  <c r="BP27" i="13"/>
  <c r="BP46" i="13"/>
  <c r="V65" i="13"/>
  <c r="W65" i="13" s="1"/>
  <c r="I119" i="1"/>
  <c r="C39" i="13"/>
  <c r="G39" i="13" s="1"/>
  <c r="C24" i="14"/>
  <c r="G24" i="14" s="1"/>
  <c r="I25" i="6"/>
  <c r="AM31" i="11"/>
  <c r="AO31" i="11" s="1"/>
  <c r="H38" i="12"/>
  <c r="L70" i="12"/>
  <c r="I70" i="12" s="1"/>
  <c r="L75" i="12"/>
  <c r="I75" i="12" s="1"/>
  <c r="M42" i="1"/>
  <c r="M46" i="1"/>
  <c r="AD78" i="2"/>
  <c r="J74" i="11"/>
  <c r="J34" i="15"/>
  <c r="R47" i="1"/>
  <c r="L87" i="13"/>
  <c r="T62" i="1"/>
  <c r="Y20" i="2"/>
  <c r="AF34" i="13"/>
  <c r="AG34" i="13" s="1"/>
  <c r="J41" i="15"/>
  <c r="D104" i="2"/>
  <c r="L104" i="2" s="1"/>
  <c r="D48" i="6"/>
  <c r="C48" i="6" s="1"/>
  <c r="BC35" i="8"/>
  <c r="BC39" i="8"/>
  <c r="BC43" i="8"/>
  <c r="AH16" i="11"/>
  <c r="L28" i="11"/>
  <c r="AJ29" i="11"/>
  <c r="AH32" i="11"/>
  <c r="AJ40" i="11"/>
  <c r="L45" i="11"/>
  <c r="Y46" i="11"/>
  <c r="L28" i="12"/>
  <c r="I28" i="12" s="1"/>
  <c r="L29" i="12"/>
  <c r="I29" i="12" s="1"/>
  <c r="L31" i="12"/>
  <c r="I31" i="12" s="1"/>
  <c r="I112" i="2"/>
  <c r="U16" i="3"/>
  <c r="D28" i="3"/>
  <c r="C28" i="3" s="1"/>
  <c r="J28" i="3" s="1"/>
  <c r="I47" i="3"/>
  <c r="U49" i="3"/>
  <c r="D70" i="3"/>
  <c r="C70" i="3" s="1"/>
  <c r="U74" i="3"/>
  <c r="D109" i="3"/>
  <c r="C109" i="3" s="1"/>
  <c r="J109" i="3" s="1"/>
  <c r="AA44" i="4"/>
  <c r="D49" i="4"/>
  <c r="L49" i="4" s="1"/>
  <c r="AA52" i="4"/>
  <c r="AA61" i="4"/>
  <c r="I62" i="4"/>
  <c r="V65" i="4"/>
  <c r="AD65" i="4" s="1"/>
  <c r="D66" i="4"/>
  <c r="L66" i="4" s="1"/>
  <c r="T63" i="5"/>
  <c r="P36" i="6"/>
  <c r="I112" i="6"/>
  <c r="D114" i="6"/>
  <c r="L114" i="6" s="1"/>
  <c r="AH25" i="7"/>
  <c r="D28" i="7"/>
  <c r="L28" i="7" s="1"/>
  <c r="I30" i="7"/>
  <c r="AQ35" i="7"/>
  <c r="U37" i="7"/>
  <c r="AH38" i="7"/>
  <c r="R40" i="7"/>
  <c r="AC40" i="7"/>
  <c r="AK40" i="7" s="1"/>
  <c r="AC44" i="7"/>
  <c r="D45" i="7"/>
  <c r="L45" i="7" s="1"/>
  <c r="X46" i="7"/>
  <c r="I51" i="7"/>
  <c r="X59" i="7"/>
  <c r="AH59" i="7"/>
  <c r="D62" i="7"/>
  <c r="L62" i="7" s="1"/>
  <c r="R65" i="7"/>
  <c r="AQ72" i="7"/>
  <c r="I81" i="7"/>
  <c r="I103" i="8"/>
  <c r="J88" i="10"/>
  <c r="K98" i="12"/>
  <c r="M98" i="12" s="1"/>
  <c r="C114" i="12"/>
  <c r="G114" i="12" s="1"/>
  <c r="C38" i="13"/>
  <c r="G38" i="13" s="1"/>
  <c r="C88" i="15"/>
  <c r="G88" i="15" s="1"/>
  <c r="C93" i="15"/>
  <c r="G93" i="15" s="1"/>
  <c r="C112" i="15"/>
  <c r="G112" i="15" s="1"/>
  <c r="I52" i="4"/>
  <c r="D103" i="5"/>
  <c r="L103" i="5" s="1"/>
  <c r="C57" i="11"/>
  <c r="G57" i="11" s="1"/>
  <c r="BN70" i="13"/>
  <c r="D53" i="5"/>
  <c r="C53" i="5" s="1"/>
  <c r="D73" i="5"/>
  <c r="L73" i="5" s="1"/>
  <c r="D25" i="6"/>
  <c r="L25" i="6" s="1"/>
  <c r="C68" i="13"/>
  <c r="G68" i="13" s="1"/>
  <c r="C32" i="16"/>
  <c r="G32" i="16" s="1"/>
  <c r="O27" i="17"/>
  <c r="AO18" i="8"/>
  <c r="I53" i="11"/>
  <c r="J39" i="15"/>
  <c r="J43" i="15"/>
  <c r="J52" i="15"/>
  <c r="U29" i="6"/>
  <c r="U20" i="8"/>
  <c r="AA53" i="9"/>
  <c r="C60" i="9"/>
  <c r="G60" i="9" s="1"/>
  <c r="AX28" i="13"/>
  <c r="C72" i="17"/>
  <c r="G72" i="17" s="1"/>
  <c r="C79" i="17"/>
  <c r="G79" i="17" s="1"/>
  <c r="C87" i="17"/>
  <c r="G87" i="17" s="1"/>
  <c r="C108" i="17"/>
  <c r="G108" i="17" s="1"/>
  <c r="AD28" i="2"/>
  <c r="D73" i="2"/>
  <c r="C73" i="2" s="1"/>
  <c r="J73" i="2" s="1"/>
  <c r="I97" i="2"/>
  <c r="D95" i="3"/>
  <c r="L95" i="3" s="1"/>
  <c r="AA47" i="4"/>
  <c r="R69" i="4"/>
  <c r="AA80" i="4"/>
  <c r="M90" i="4"/>
  <c r="U30" i="6"/>
  <c r="M48" i="6"/>
  <c r="R26" i="7"/>
  <c r="AC26" i="7"/>
  <c r="D27" i="7"/>
  <c r="C27" i="7" s="1"/>
  <c r="J27" i="7" s="1"/>
  <c r="X37" i="7"/>
  <c r="AA38" i="7"/>
  <c r="AC39" i="7"/>
  <c r="AB39" i="7" s="1"/>
  <c r="AI39" i="7" s="1"/>
  <c r="D40" i="7"/>
  <c r="L40" i="7" s="1"/>
  <c r="U40" i="7"/>
  <c r="I42" i="7"/>
  <c r="AH45" i="7"/>
  <c r="D48" i="7"/>
  <c r="X53" i="7"/>
  <c r="I59" i="7"/>
  <c r="AH66" i="7"/>
  <c r="AH70" i="7"/>
  <c r="AQ71" i="7"/>
  <c r="R72" i="7"/>
  <c r="AH74" i="7"/>
  <c r="X79" i="7"/>
  <c r="I19" i="8"/>
  <c r="J18" i="15"/>
  <c r="I19" i="15"/>
  <c r="I26" i="15"/>
  <c r="C36" i="16"/>
  <c r="G36" i="16" s="1"/>
  <c r="C78" i="16"/>
  <c r="G78" i="16" s="1"/>
  <c r="AM18" i="5"/>
  <c r="AM27" i="5"/>
  <c r="AM30" i="5"/>
  <c r="AM47" i="5"/>
  <c r="AM48" i="5"/>
  <c r="AM64" i="5"/>
  <c r="AM81" i="5"/>
  <c r="AM88" i="5"/>
  <c r="AM87" i="11"/>
  <c r="AO87" i="11" s="1"/>
  <c r="V18" i="13"/>
  <c r="W18" i="13" s="1"/>
  <c r="BN67" i="13"/>
  <c r="AM19" i="5"/>
  <c r="AX47" i="5"/>
  <c r="R70" i="1"/>
  <c r="U39" i="2"/>
  <c r="V20" i="4"/>
  <c r="AD20" i="4" s="1"/>
  <c r="V28" i="4"/>
  <c r="AD28" i="4" s="1"/>
  <c r="D29" i="4"/>
  <c r="L29" i="4" s="1"/>
  <c r="V62" i="4"/>
  <c r="AD62" i="4" s="1"/>
  <c r="I74" i="4"/>
  <c r="V78" i="4"/>
  <c r="U78" i="4" s="1"/>
  <c r="D87" i="4"/>
  <c r="L87" i="4" s="1"/>
  <c r="AE97" i="4"/>
  <c r="I51" i="5"/>
  <c r="AK51" i="5"/>
  <c r="AZ61" i="5"/>
  <c r="AZ62" i="5"/>
  <c r="I102" i="5"/>
  <c r="AL40" i="7"/>
  <c r="X82" i="8"/>
  <c r="I111" i="8"/>
  <c r="M114" i="8"/>
  <c r="AM40" i="11"/>
  <c r="K114" i="12"/>
  <c r="M114" i="12" s="1"/>
  <c r="J46" i="14"/>
  <c r="J50" i="14"/>
  <c r="J55" i="14"/>
  <c r="BB65" i="5"/>
  <c r="BB67" i="5"/>
  <c r="BB69" i="5"/>
  <c r="BB70" i="5"/>
  <c r="O72" i="8"/>
  <c r="O83" i="8"/>
  <c r="O85" i="8"/>
  <c r="O89" i="8"/>
  <c r="R80" i="2"/>
  <c r="U83" i="2"/>
  <c r="I119" i="2"/>
  <c r="D109" i="4"/>
  <c r="I111" i="4"/>
  <c r="D80" i="5"/>
  <c r="C80" i="5" s="1"/>
  <c r="AL22" i="8"/>
  <c r="AD23" i="8"/>
  <c r="U29" i="8"/>
  <c r="AO45" i="8"/>
  <c r="U84" i="8"/>
  <c r="S50" i="9"/>
  <c r="C49" i="10"/>
  <c r="G49" i="10" s="1"/>
  <c r="J24" i="14"/>
  <c r="C26" i="14"/>
  <c r="G26" i="14" s="1"/>
  <c r="C30" i="14"/>
  <c r="G30" i="14" s="1"/>
  <c r="J41" i="14"/>
  <c r="C43" i="14"/>
  <c r="G43" i="14" s="1"/>
  <c r="J70" i="14"/>
  <c r="J83" i="14"/>
  <c r="I31" i="15"/>
  <c r="J40" i="15"/>
  <c r="O50" i="15"/>
  <c r="I55" i="15"/>
  <c r="K55" i="15" s="1"/>
  <c r="J79" i="15"/>
  <c r="J87" i="15"/>
  <c r="M41" i="2"/>
  <c r="I67" i="2"/>
  <c r="R69" i="2"/>
  <c r="I92" i="2"/>
  <c r="D101" i="2"/>
  <c r="R27" i="3"/>
  <c r="R31" i="3"/>
  <c r="I32" i="3"/>
  <c r="D43" i="3"/>
  <c r="L43" i="3" s="1"/>
  <c r="D47" i="3"/>
  <c r="D51" i="3"/>
  <c r="C51" i="3" s="1"/>
  <c r="J51" i="3" s="1"/>
  <c r="V18" i="4"/>
  <c r="AD18" i="4" s="1"/>
  <c r="V36" i="4"/>
  <c r="AD36" i="4" s="1"/>
  <c r="AJ38" i="4"/>
  <c r="AA40" i="4"/>
  <c r="Z27" i="5"/>
  <c r="M62" i="5"/>
  <c r="AT65" i="5"/>
  <c r="AT80" i="5"/>
  <c r="M85" i="6"/>
  <c r="AH31" i="8"/>
  <c r="I32" i="8"/>
  <c r="AH48" i="8"/>
  <c r="I56" i="8"/>
  <c r="I83" i="8"/>
  <c r="I87" i="8"/>
  <c r="D88" i="8"/>
  <c r="L88" i="8" s="1"/>
  <c r="C98" i="9"/>
  <c r="G98" i="9" s="1"/>
  <c r="AA69" i="11"/>
  <c r="C22" i="13"/>
  <c r="G22" i="13" s="1"/>
  <c r="BP38" i="13"/>
  <c r="N79" i="10"/>
  <c r="C63" i="13"/>
  <c r="G63" i="13" s="1"/>
  <c r="C80" i="13"/>
  <c r="G80" i="13" s="1"/>
  <c r="C108" i="13"/>
  <c r="G108" i="13" s="1"/>
  <c r="C113" i="13"/>
  <c r="G113" i="13" s="1"/>
  <c r="J40" i="14"/>
  <c r="R21" i="1"/>
  <c r="Q31" i="1"/>
  <c r="U31" i="1" s="1"/>
  <c r="D110" i="1"/>
  <c r="C110" i="1" s="1"/>
  <c r="J110" i="1" s="1"/>
  <c r="I59" i="5"/>
  <c r="D82" i="6"/>
  <c r="L82" i="6" s="1"/>
  <c r="D87" i="7"/>
  <c r="L87" i="7" s="1"/>
  <c r="O25" i="8"/>
  <c r="O73" i="8"/>
  <c r="BZ61" i="13"/>
  <c r="AJ58" i="4"/>
  <c r="BA50" i="5"/>
  <c r="P39" i="6"/>
  <c r="R39" i="6" s="1"/>
  <c r="P40" i="10"/>
  <c r="P71" i="10"/>
  <c r="I81" i="11"/>
  <c r="J47" i="14"/>
  <c r="H114" i="18"/>
  <c r="R114" i="18" s="1"/>
  <c r="D36" i="1"/>
  <c r="L36" i="1" s="1"/>
  <c r="T36" i="1"/>
  <c r="I56" i="1"/>
  <c r="R58" i="2"/>
  <c r="AA36" i="4"/>
  <c r="D31" i="5"/>
  <c r="C31" i="5" s="1"/>
  <c r="D32" i="5"/>
  <c r="L32" i="5" s="1"/>
  <c r="D40" i="5"/>
  <c r="C40" i="5" s="1"/>
  <c r="D47" i="5"/>
  <c r="C47" i="5" s="1"/>
  <c r="D52" i="5"/>
  <c r="L52" i="5" s="1"/>
  <c r="AD53" i="5"/>
  <c r="I119" i="5"/>
  <c r="M74" i="6"/>
  <c r="D111" i="7"/>
  <c r="L111" i="7" s="1"/>
  <c r="D53" i="8"/>
  <c r="C53" i="8" s="1"/>
  <c r="AH89" i="8"/>
  <c r="T64" i="9"/>
  <c r="X70" i="9"/>
  <c r="Y18" i="11"/>
  <c r="AA40" i="11"/>
  <c r="AH46" i="11"/>
  <c r="AA48" i="11"/>
  <c r="AM49" i="11"/>
  <c r="S50" i="11"/>
  <c r="AH55" i="11"/>
  <c r="AX30" i="13"/>
  <c r="AY30" i="13" s="1"/>
  <c r="BP36" i="13"/>
  <c r="V87" i="13"/>
  <c r="T88" i="13"/>
  <c r="U88" i="13" s="1"/>
  <c r="AD88" i="13"/>
  <c r="AE88" i="13" s="1"/>
  <c r="AF89" i="13"/>
  <c r="AG89" i="13" s="1"/>
  <c r="AV90" i="13"/>
  <c r="AW90" i="13" s="1"/>
  <c r="J75" i="14"/>
  <c r="J88" i="14"/>
  <c r="J65" i="15"/>
  <c r="J84" i="15"/>
  <c r="I86" i="15"/>
  <c r="Q16" i="1"/>
  <c r="U16" i="1" s="1"/>
  <c r="M21" i="1"/>
  <c r="Q22" i="1"/>
  <c r="T72" i="1"/>
  <c r="T73" i="1"/>
  <c r="T75" i="1"/>
  <c r="T82" i="1"/>
  <c r="T86" i="1"/>
  <c r="T90" i="1"/>
  <c r="R39" i="2"/>
  <c r="I45" i="2"/>
  <c r="Y58" i="2"/>
  <c r="D25" i="4"/>
  <c r="L25" i="4" s="1"/>
  <c r="I29" i="4"/>
  <c r="V32" i="4"/>
  <c r="AD32" i="4" s="1"/>
  <c r="AA53" i="4"/>
  <c r="V66" i="4"/>
  <c r="AD66" i="4" s="1"/>
  <c r="R77" i="4"/>
  <c r="V90" i="4"/>
  <c r="AD90" i="4" s="1"/>
  <c r="I96" i="4"/>
  <c r="I108" i="4"/>
  <c r="D59" i="5"/>
  <c r="C59" i="5" s="1"/>
  <c r="J59" i="5" s="1"/>
  <c r="AD80" i="5"/>
  <c r="M20" i="6"/>
  <c r="AH86" i="7"/>
  <c r="C34" i="9"/>
  <c r="C36" i="9"/>
  <c r="G36" i="9" s="1"/>
  <c r="AA90" i="9"/>
  <c r="N51" i="10"/>
  <c r="J53" i="10"/>
  <c r="T48" i="13"/>
  <c r="U48" i="13" s="1"/>
  <c r="C40" i="14"/>
  <c r="G40" i="14" s="1"/>
  <c r="C65" i="14"/>
  <c r="G65" i="14" s="1"/>
  <c r="J64" i="15"/>
  <c r="I41" i="4"/>
  <c r="D53" i="4"/>
  <c r="L53" i="4" s="1"/>
  <c r="AA57" i="4"/>
  <c r="I58" i="4"/>
  <c r="T89" i="5"/>
  <c r="D24" i="6"/>
  <c r="C24" i="6" s="1"/>
  <c r="J24" i="6" s="1"/>
  <c r="P26" i="6"/>
  <c r="R26" i="6" s="1"/>
  <c r="I90" i="6"/>
  <c r="D93" i="6"/>
  <c r="L93" i="6" s="1"/>
  <c r="D94" i="6"/>
  <c r="L94" i="6" s="1"/>
  <c r="AL22" i="7"/>
  <c r="M95" i="7"/>
  <c r="I90" i="8"/>
  <c r="D92" i="8"/>
  <c r="L92" i="8" s="1"/>
  <c r="S88" i="9"/>
  <c r="J44" i="14"/>
  <c r="C93" i="14"/>
  <c r="G93" i="14" s="1"/>
  <c r="C52" i="15"/>
  <c r="G52" i="15" s="1"/>
  <c r="J57" i="15"/>
  <c r="U17" i="17"/>
  <c r="C50" i="17"/>
  <c r="G50" i="17" s="1"/>
  <c r="C52" i="17"/>
  <c r="G52" i="17" s="1"/>
  <c r="C59" i="17"/>
  <c r="G59" i="17" s="1"/>
  <c r="C25" i="18"/>
  <c r="C87" i="18"/>
  <c r="G87" i="18" s="1"/>
  <c r="C89" i="18"/>
  <c r="G89" i="18" s="1"/>
  <c r="H95" i="18"/>
  <c r="T95" i="18" s="1"/>
  <c r="C99" i="18"/>
  <c r="G99" i="18" s="1"/>
  <c r="H100" i="18"/>
  <c r="T100" i="18" s="1"/>
  <c r="H107" i="18"/>
  <c r="R107" i="18" s="1"/>
  <c r="I96" i="3"/>
  <c r="C99" i="9"/>
  <c r="G99" i="9" s="1"/>
  <c r="AJ37" i="11"/>
  <c r="AM113" i="11"/>
  <c r="AO113" i="11" s="1"/>
  <c r="C31" i="16"/>
  <c r="G31" i="16" s="1"/>
  <c r="O23" i="17"/>
  <c r="C114" i="17"/>
  <c r="G114" i="17" s="1"/>
  <c r="U16" i="18"/>
  <c r="U17" i="18"/>
  <c r="U40" i="18"/>
  <c r="U41" i="18"/>
  <c r="U82" i="18"/>
  <c r="T74" i="1"/>
  <c r="M94" i="1"/>
  <c r="D113" i="3"/>
  <c r="L113" i="3" s="1"/>
  <c r="I68" i="4"/>
  <c r="V111" i="4"/>
  <c r="AD111" i="4" s="1"/>
  <c r="M39" i="6"/>
  <c r="I53" i="6"/>
  <c r="I90" i="7"/>
  <c r="AC92" i="7"/>
  <c r="AK92" i="7" s="1"/>
  <c r="I96" i="7"/>
  <c r="U27" i="8"/>
  <c r="N74" i="10"/>
  <c r="P82" i="10"/>
  <c r="AA20" i="11"/>
  <c r="AA37" i="11"/>
  <c r="BN50" i="13"/>
  <c r="AA43" i="4"/>
  <c r="AA88" i="9"/>
  <c r="AV35" i="13"/>
  <c r="AW35" i="13" s="1"/>
  <c r="K114" i="13"/>
  <c r="C98" i="16"/>
  <c r="G98" i="16" s="1"/>
  <c r="C51" i="17"/>
  <c r="G51" i="17" s="1"/>
  <c r="C56" i="17"/>
  <c r="G56" i="17" s="1"/>
  <c r="C60" i="17"/>
  <c r="G60" i="17" s="1"/>
  <c r="C64" i="17"/>
  <c r="G64" i="17" s="1"/>
  <c r="Y17" i="18"/>
  <c r="Y18" i="18"/>
  <c r="Y22" i="18"/>
  <c r="Y24" i="18"/>
  <c r="Y31" i="18"/>
  <c r="Y34" i="18"/>
  <c r="H36" i="18"/>
  <c r="N36" i="18" s="1"/>
  <c r="Y37" i="18"/>
  <c r="Y39" i="18"/>
  <c r="Y49" i="18"/>
  <c r="Y52" i="18"/>
  <c r="Y83" i="18"/>
  <c r="Y84" i="18"/>
  <c r="Y87" i="18"/>
  <c r="H102" i="18"/>
  <c r="L102" i="18" s="1"/>
  <c r="BA58" i="5"/>
  <c r="C31" i="15"/>
  <c r="G31" i="15" s="1"/>
  <c r="R49" i="1"/>
  <c r="D74" i="1"/>
  <c r="L74" i="1" s="1"/>
  <c r="I75" i="1"/>
  <c r="AA21" i="2"/>
  <c r="I112" i="4"/>
  <c r="T36" i="5"/>
  <c r="AG37" i="5"/>
  <c r="BB57" i="5"/>
  <c r="S59" i="5"/>
  <c r="D45" i="6"/>
  <c r="C45" i="6" s="1"/>
  <c r="D60" i="6"/>
  <c r="C60" i="6" s="1"/>
  <c r="U22" i="8"/>
  <c r="I40" i="11"/>
  <c r="L30" i="13"/>
  <c r="M30" i="13" s="1"/>
  <c r="T66" i="13"/>
  <c r="U66" i="13" s="1"/>
  <c r="D28" i="2"/>
  <c r="L28" i="2" s="1"/>
  <c r="M31" i="8"/>
  <c r="O88" i="8"/>
  <c r="C92" i="12"/>
  <c r="G92" i="12" s="1"/>
  <c r="C48" i="14"/>
  <c r="G48" i="14" s="1"/>
  <c r="C111" i="15"/>
  <c r="G111" i="15" s="1"/>
  <c r="C114" i="16"/>
  <c r="G114" i="16" s="1"/>
  <c r="U49" i="17"/>
  <c r="C103" i="17"/>
  <c r="G103" i="17" s="1"/>
  <c r="C100" i="18"/>
  <c r="G100" i="18" s="1"/>
  <c r="P52" i="1"/>
  <c r="I110" i="2"/>
  <c r="D114" i="2"/>
  <c r="L114" i="2" s="1"/>
  <c r="AA39" i="4"/>
  <c r="D119" i="4"/>
  <c r="L119" i="4" s="1"/>
  <c r="M24" i="5"/>
  <c r="D69" i="5"/>
  <c r="C69" i="5" s="1"/>
  <c r="D74" i="5"/>
  <c r="C74" i="5" s="1"/>
  <c r="AH64" i="8"/>
  <c r="AA65" i="8"/>
  <c r="AV80" i="8"/>
  <c r="S21" i="9"/>
  <c r="C72" i="11"/>
  <c r="G72" i="11" s="1"/>
  <c r="AJ89" i="11"/>
  <c r="I50" i="1"/>
  <c r="I55" i="1"/>
  <c r="D56" i="1"/>
  <c r="C56" i="1" s="1"/>
  <c r="I117" i="1"/>
  <c r="I57" i="4"/>
  <c r="Z28" i="5"/>
  <c r="I30" i="5"/>
  <c r="T43" i="5"/>
  <c r="T44" i="5"/>
  <c r="AG51" i="5"/>
  <c r="AK83" i="5"/>
  <c r="M45" i="6"/>
  <c r="M46" i="6"/>
  <c r="AH96" i="7"/>
  <c r="AA26" i="8"/>
  <c r="AD34" i="8"/>
  <c r="U48" i="8"/>
  <c r="L80" i="9"/>
  <c r="J34" i="10"/>
  <c r="Q25" i="11"/>
  <c r="C75" i="11"/>
  <c r="G75" i="11" s="1"/>
  <c r="AM96" i="11"/>
  <c r="AO96" i="11" s="1"/>
  <c r="C42" i="13"/>
  <c r="G42" i="13" s="1"/>
  <c r="C107" i="14"/>
  <c r="G107" i="14" s="1"/>
  <c r="J85" i="15"/>
  <c r="C73" i="17"/>
  <c r="G73" i="17" s="1"/>
  <c r="C88" i="17"/>
  <c r="G88" i="17" s="1"/>
  <c r="U18" i="18"/>
  <c r="U20" i="18"/>
  <c r="U53" i="18"/>
  <c r="M69" i="2"/>
  <c r="I70" i="2"/>
  <c r="I100" i="3"/>
  <c r="I101" i="3"/>
  <c r="I103" i="3"/>
  <c r="V112" i="4"/>
  <c r="U112" i="4" s="1"/>
  <c r="AZ29" i="5"/>
  <c r="P72" i="6"/>
  <c r="R72" i="6" s="1"/>
  <c r="I74" i="6"/>
  <c r="U87" i="6"/>
  <c r="D108" i="6"/>
  <c r="L108" i="6" s="1"/>
  <c r="I114" i="6"/>
  <c r="D116" i="6"/>
  <c r="C116" i="6" s="1"/>
  <c r="J116" i="6" s="1"/>
  <c r="I118" i="6"/>
  <c r="I119" i="6"/>
  <c r="AQ16" i="7"/>
  <c r="R17" i="7"/>
  <c r="I24" i="7"/>
  <c r="AQ24" i="7"/>
  <c r="D30" i="7"/>
  <c r="R38" i="7"/>
  <c r="X40" i="7"/>
  <c r="U56" i="7"/>
  <c r="I58" i="7"/>
  <c r="AQ58" i="7"/>
  <c r="R59" i="7"/>
  <c r="AC59" i="7"/>
  <c r="AK59" i="7" s="1"/>
  <c r="AH61" i="7"/>
  <c r="AC63" i="7"/>
  <c r="AB63" i="7" s="1"/>
  <c r="D64" i="7"/>
  <c r="L64" i="7" s="1"/>
  <c r="AH65" i="7"/>
  <c r="I66" i="7"/>
  <c r="AC67" i="7"/>
  <c r="AK67" i="7" s="1"/>
  <c r="U68" i="7"/>
  <c r="AC75" i="7"/>
  <c r="AK75" i="7" s="1"/>
  <c r="AH82" i="7"/>
  <c r="I83" i="7"/>
  <c r="AQ83" i="7"/>
  <c r="R84" i="7"/>
  <c r="D85" i="7"/>
  <c r="L85" i="7" s="1"/>
  <c r="BC34" i="8"/>
  <c r="AH55" i="8"/>
  <c r="I100" i="8"/>
  <c r="L40" i="9"/>
  <c r="M40" i="9" s="1"/>
  <c r="L42" i="9"/>
  <c r="M42" i="9" s="1"/>
  <c r="C22" i="10"/>
  <c r="J44" i="10"/>
  <c r="C89" i="10"/>
  <c r="G89" i="10" s="1"/>
  <c r="AJ18" i="11"/>
  <c r="Q20" i="11"/>
  <c r="Y26" i="11"/>
  <c r="AJ26" i="11"/>
  <c r="AM79" i="11"/>
  <c r="AO79" i="11" s="1"/>
  <c r="Y84" i="11"/>
  <c r="AJ84" i="11"/>
  <c r="L85" i="11"/>
  <c r="AM111" i="11"/>
  <c r="AO111" i="11" s="1"/>
  <c r="H113" i="11"/>
  <c r="K113" i="11" s="1"/>
  <c r="V46" i="13"/>
  <c r="W46" i="13" s="1"/>
  <c r="J53" i="14"/>
  <c r="J78" i="15"/>
  <c r="H79" i="18"/>
  <c r="N79" i="18" s="1"/>
  <c r="D23" i="1"/>
  <c r="L23" i="1" s="1"/>
  <c r="I24" i="1"/>
  <c r="P40" i="1"/>
  <c r="P55" i="1"/>
  <c r="S55" i="1" s="1"/>
  <c r="P57" i="1"/>
  <c r="S57" i="1" s="1"/>
  <c r="P59" i="1"/>
  <c r="M19" i="3"/>
  <c r="I35" i="3"/>
  <c r="I85" i="3"/>
  <c r="V55" i="4"/>
  <c r="AD55" i="4" s="1"/>
  <c r="I60" i="4"/>
  <c r="D71" i="4"/>
  <c r="L71" i="4" s="1"/>
  <c r="D80" i="4"/>
  <c r="D118" i="4"/>
  <c r="C118" i="4" s="1"/>
  <c r="J118" i="4" s="1"/>
  <c r="Z38" i="5"/>
  <c r="M41" i="5"/>
  <c r="M45" i="5"/>
  <c r="AT57" i="5"/>
  <c r="AT58" i="5"/>
  <c r="I100" i="7"/>
  <c r="AH105" i="7"/>
  <c r="C19" i="9"/>
  <c r="G19" i="9" s="1"/>
  <c r="C68" i="11"/>
  <c r="G68" i="11" s="1"/>
  <c r="C71" i="11"/>
  <c r="G71" i="11" s="1"/>
  <c r="J78" i="11"/>
  <c r="C30" i="13"/>
  <c r="G30" i="13" s="1"/>
  <c r="BN38" i="13"/>
  <c r="BP74" i="13"/>
  <c r="BN75" i="13"/>
  <c r="AE107" i="13"/>
  <c r="J26" i="15"/>
  <c r="I27" i="15"/>
  <c r="I53" i="16"/>
  <c r="J53" i="16" s="1"/>
  <c r="C60" i="16"/>
  <c r="G60" i="16" s="1"/>
  <c r="L23" i="17"/>
  <c r="C68" i="17"/>
  <c r="G68" i="17" s="1"/>
  <c r="R88" i="17"/>
  <c r="T24" i="1"/>
  <c r="T25" i="1"/>
  <c r="T27" i="1"/>
  <c r="R31" i="1"/>
  <c r="Q57" i="1"/>
  <c r="U57" i="1" s="1"/>
  <c r="I24" i="2"/>
  <c r="AA38" i="2"/>
  <c r="I61" i="3"/>
  <c r="I64" i="3"/>
  <c r="M78" i="3"/>
  <c r="I104" i="3"/>
  <c r="D65" i="4"/>
  <c r="C65" i="4" s="1"/>
  <c r="J65" i="4" s="1"/>
  <c r="D36" i="6"/>
  <c r="L36" i="6" s="1"/>
  <c r="AH80" i="8"/>
  <c r="C30" i="12"/>
  <c r="G30" i="12" s="1"/>
  <c r="BZ38" i="13"/>
  <c r="CA38" i="13" s="1"/>
  <c r="V84" i="13"/>
  <c r="W84" i="13" s="1"/>
  <c r="O21" i="1"/>
  <c r="T38" i="1"/>
  <c r="I105" i="1"/>
  <c r="U55" i="2"/>
  <c r="O84" i="2"/>
  <c r="I111" i="2"/>
  <c r="S31" i="5"/>
  <c r="S32" i="5"/>
  <c r="I41" i="5"/>
  <c r="Z41" i="5"/>
  <c r="Z44" i="5"/>
  <c r="T81" i="5"/>
  <c r="T86" i="5"/>
  <c r="T87" i="5"/>
  <c r="AL17" i="7"/>
  <c r="I27" i="7"/>
  <c r="AL42" i="7"/>
  <c r="AR52" i="8"/>
  <c r="BC81" i="8"/>
  <c r="J38" i="10"/>
  <c r="Y27" i="11"/>
  <c r="I27" i="11"/>
  <c r="S84" i="11"/>
  <c r="BP26" i="13"/>
  <c r="BN27" i="13"/>
  <c r="BZ28" i="13"/>
  <c r="CA28" i="13" s="1"/>
  <c r="C17" i="14"/>
  <c r="G17" i="14" s="1"/>
  <c r="J65" i="14"/>
  <c r="J83" i="15"/>
  <c r="C108" i="16"/>
  <c r="G108" i="16" s="1"/>
  <c r="I96" i="1"/>
  <c r="I104" i="1"/>
  <c r="R57" i="3"/>
  <c r="AE55" i="4"/>
  <c r="AE99" i="4"/>
  <c r="D96" i="5"/>
  <c r="C96" i="5" s="1"/>
  <c r="J96" i="5" s="1"/>
  <c r="D102" i="5"/>
  <c r="L102" i="5" s="1"/>
  <c r="P25" i="6"/>
  <c r="R25" i="6" s="1"/>
  <c r="I36" i="8"/>
  <c r="BC47" i="8"/>
  <c r="AH53" i="8"/>
  <c r="AV67" i="8"/>
  <c r="T27" i="9"/>
  <c r="T36" i="9"/>
  <c r="S68" i="9"/>
  <c r="T84" i="9"/>
  <c r="T88" i="9"/>
  <c r="C68" i="10"/>
  <c r="C101" i="10"/>
  <c r="G101" i="10" s="1"/>
  <c r="AH17" i="11"/>
  <c r="J26" i="11"/>
  <c r="AA27" i="11"/>
  <c r="Q32" i="11"/>
  <c r="AH72" i="11"/>
  <c r="Y74" i="11"/>
  <c r="AJ74" i="11"/>
  <c r="AM74" i="11"/>
  <c r="AO74" i="11" s="1"/>
  <c r="Q77" i="11"/>
  <c r="J82" i="11"/>
  <c r="C104" i="11"/>
  <c r="G104" i="11" s="1"/>
  <c r="C58" i="12"/>
  <c r="G58" i="12" s="1"/>
  <c r="BN21" i="13"/>
  <c r="C25" i="13"/>
  <c r="G25" i="13" s="1"/>
  <c r="BZ36" i="13"/>
  <c r="T37" i="13"/>
  <c r="U37" i="13" s="1"/>
  <c r="AX38" i="13"/>
  <c r="AY38" i="13" s="1"/>
  <c r="BN43" i="13"/>
  <c r="L48" i="13"/>
  <c r="M48" i="13" s="1"/>
  <c r="J49" i="13"/>
  <c r="K49" i="13" s="1"/>
  <c r="BN49" i="13"/>
  <c r="T51" i="13"/>
  <c r="U51" i="13" s="1"/>
  <c r="BX53" i="13"/>
  <c r="BP59" i="13"/>
  <c r="L64" i="13"/>
  <c r="M64" i="13" s="1"/>
  <c r="C98" i="13"/>
  <c r="G98" i="13" s="1"/>
  <c r="J64" i="14"/>
  <c r="J77" i="14"/>
  <c r="I19" i="1"/>
  <c r="D20" i="1"/>
  <c r="L20" i="1" s="1"/>
  <c r="D26" i="1"/>
  <c r="C26" i="1" s="1"/>
  <c r="D28" i="1"/>
  <c r="L28" i="1" s="1"/>
  <c r="I84" i="2"/>
  <c r="D117" i="2"/>
  <c r="C117" i="2" s="1"/>
  <c r="J117" i="2" s="1"/>
  <c r="I16" i="3"/>
  <c r="D64" i="3"/>
  <c r="C64" i="3" s="1"/>
  <c r="J64" i="3" s="1"/>
  <c r="I66" i="3"/>
  <c r="D68" i="3"/>
  <c r="L68" i="3" s="1"/>
  <c r="D77" i="3"/>
  <c r="I87" i="3"/>
  <c r="D104" i="3"/>
  <c r="C104" i="3" s="1"/>
  <c r="J104" i="3" s="1"/>
  <c r="I110" i="3"/>
  <c r="V119" i="4"/>
  <c r="AD119" i="4" s="1"/>
  <c r="BB37" i="5"/>
  <c r="D38" i="5"/>
  <c r="L38" i="5" s="1"/>
  <c r="BB39" i="5"/>
  <c r="BA44" i="5"/>
  <c r="BC44" i="5" s="1"/>
  <c r="S51" i="5"/>
  <c r="AD51" i="5"/>
  <c r="AX68" i="5"/>
  <c r="Z70" i="5"/>
  <c r="M71" i="5"/>
  <c r="Z71" i="5"/>
  <c r="Z73" i="5"/>
  <c r="M77" i="5"/>
  <c r="M78" i="5"/>
  <c r="M83" i="5"/>
  <c r="D119" i="5"/>
  <c r="L119" i="5" s="1"/>
  <c r="D31" i="6"/>
  <c r="L31" i="6" s="1"/>
  <c r="U41" i="6"/>
  <c r="M64" i="6"/>
  <c r="I71" i="6"/>
  <c r="I86" i="6"/>
  <c r="M111" i="6"/>
  <c r="D20" i="7"/>
  <c r="C20" i="7" s="1"/>
  <c r="I26" i="7"/>
  <c r="AA26" i="7"/>
  <c r="D100" i="7"/>
  <c r="L100" i="7" s="1"/>
  <c r="AC110" i="7"/>
  <c r="AB110" i="7" s="1"/>
  <c r="AI110" i="7" s="1"/>
  <c r="M57" i="8"/>
  <c r="D108" i="8"/>
  <c r="L108" i="8" s="1"/>
  <c r="T18" i="9"/>
  <c r="C20" i="10"/>
  <c r="G20" i="10" s="1"/>
  <c r="J49" i="10"/>
  <c r="C86" i="10"/>
  <c r="G86" i="10" s="1"/>
  <c r="C67" i="11"/>
  <c r="G67" i="11" s="1"/>
  <c r="H72" i="11"/>
  <c r="AJ72" i="11"/>
  <c r="S77" i="11"/>
  <c r="Y78" i="11"/>
  <c r="K46" i="12"/>
  <c r="BZ37" i="13"/>
  <c r="C49" i="13"/>
  <c r="G49" i="13" s="1"/>
  <c r="C109" i="13"/>
  <c r="G109" i="13" s="1"/>
  <c r="K113" i="13"/>
  <c r="J21" i="14"/>
  <c r="C58" i="14"/>
  <c r="G58" i="14" s="1"/>
  <c r="C62" i="14"/>
  <c r="G62" i="14" s="1"/>
  <c r="C30" i="15"/>
  <c r="G30" i="15" s="1"/>
  <c r="C64" i="16"/>
  <c r="G64" i="16" s="1"/>
  <c r="C31" i="17"/>
  <c r="G31" i="17" s="1"/>
  <c r="C42" i="18"/>
  <c r="G42" i="18" s="1"/>
  <c r="C55" i="18"/>
  <c r="G55" i="18" s="1"/>
  <c r="C57" i="18"/>
  <c r="G57" i="18" s="1"/>
  <c r="C59" i="18"/>
  <c r="G59" i="18" s="1"/>
  <c r="C61" i="18"/>
  <c r="G61" i="18" s="1"/>
  <c r="C65" i="18"/>
  <c r="G65" i="18" s="1"/>
  <c r="C66" i="18"/>
  <c r="G66" i="18" s="1"/>
  <c r="H96" i="18"/>
  <c r="T96" i="18" s="1"/>
  <c r="H113" i="18"/>
  <c r="P113" i="18" s="1"/>
  <c r="D29" i="1"/>
  <c r="L29" i="1" s="1"/>
  <c r="I30" i="1"/>
  <c r="I32" i="1"/>
  <c r="AJ41" i="1"/>
  <c r="D60" i="1"/>
  <c r="L60" i="1" s="1"/>
  <c r="D62" i="1"/>
  <c r="L62" i="1" s="1"/>
  <c r="M71" i="1"/>
  <c r="I113" i="1"/>
  <c r="AD17" i="2"/>
  <c r="D20" i="2"/>
  <c r="L20" i="2" s="1"/>
  <c r="I26" i="2"/>
  <c r="AD26" i="2"/>
  <c r="D32" i="2"/>
  <c r="C32" i="2" s="1"/>
  <c r="AD37" i="2"/>
  <c r="M43" i="2"/>
  <c r="I44" i="2"/>
  <c r="M41" i="1"/>
  <c r="M43" i="1"/>
  <c r="D66" i="1"/>
  <c r="C66" i="1" s="1"/>
  <c r="I67" i="1"/>
  <c r="D70" i="1"/>
  <c r="C70" i="1" s="1"/>
  <c r="I71" i="1"/>
  <c r="I87" i="1"/>
  <c r="D107" i="1"/>
  <c r="C107" i="1" s="1"/>
  <c r="AD53" i="2"/>
  <c r="R55" i="2"/>
  <c r="D57" i="2"/>
  <c r="L57" i="2" s="1"/>
  <c r="R18" i="1"/>
  <c r="R24" i="1"/>
  <c r="Q28" i="1"/>
  <c r="U28" i="1" s="1"/>
  <c r="Q30" i="1"/>
  <c r="T44" i="1"/>
  <c r="T46" i="1"/>
  <c r="R48" i="1"/>
  <c r="R57" i="1"/>
  <c r="Q59" i="1"/>
  <c r="Y26" i="2"/>
  <c r="D46" i="2"/>
  <c r="C46" i="2" s="1"/>
  <c r="J46" i="2" s="1"/>
  <c r="T16" i="1"/>
  <c r="T18" i="1"/>
  <c r="T20" i="1"/>
  <c r="T22" i="1"/>
  <c r="R35" i="1"/>
  <c r="R37" i="1"/>
  <c r="R39" i="1"/>
  <c r="T48" i="1"/>
  <c r="T50" i="1"/>
  <c r="T55" i="1"/>
  <c r="D61" i="1"/>
  <c r="L61" i="1" s="1"/>
  <c r="M70" i="1"/>
  <c r="O74" i="1"/>
  <c r="P78" i="1"/>
  <c r="T79" i="1"/>
  <c r="T81" i="1"/>
  <c r="R83" i="1"/>
  <c r="Q87" i="1"/>
  <c r="U87" i="1" s="1"/>
  <c r="Q89" i="1"/>
  <c r="U89" i="1" s="1"/>
  <c r="V91" i="1"/>
  <c r="I108" i="1"/>
  <c r="M19" i="2"/>
  <c r="AD21" i="2"/>
  <c r="W28" i="2"/>
  <c r="M39" i="2"/>
  <c r="AA53" i="2"/>
  <c r="M57" i="2"/>
  <c r="Q41" i="1"/>
  <c r="Q43" i="1"/>
  <c r="Q45" i="1"/>
  <c r="U45" i="1" s="1"/>
  <c r="R71" i="1"/>
  <c r="Q73" i="1"/>
  <c r="U73" i="1" s="1"/>
  <c r="Q75" i="1"/>
  <c r="U75" i="1" s="1"/>
  <c r="Q78" i="1"/>
  <c r="P80" i="1"/>
  <c r="S80" i="1" s="1"/>
  <c r="D87" i="1"/>
  <c r="L87" i="1" s="1"/>
  <c r="R87" i="1"/>
  <c r="R89" i="1"/>
  <c r="R90" i="1"/>
  <c r="I101" i="1"/>
  <c r="AD106" i="1"/>
  <c r="I116" i="1"/>
  <c r="R32" i="2"/>
  <c r="O37" i="2"/>
  <c r="R41" i="2"/>
  <c r="Q17" i="1"/>
  <c r="Q25" i="1"/>
  <c r="Q27" i="1"/>
  <c r="U27" i="1" s="1"/>
  <c r="P29" i="1"/>
  <c r="P32" i="1"/>
  <c r="AJ32" i="1"/>
  <c r="P36" i="1"/>
  <c r="S36" i="1" s="1"/>
  <c r="R41" i="1"/>
  <c r="R43" i="1"/>
  <c r="I44" i="1"/>
  <c r="I74" i="1"/>
  <c r="D75" i="1"/>
  <c r="L75" i="1" s="1"/>
  <c r="D78" i="1"/>
  <c r="C78" i="1" s="1"/>
  <c r="R78" i="1"/>
  <c r="Q80" i="1"/>
  <c r="U80" i="1" s="1"/>
  <c r="P84" i="1"/>
  <c r="T87" i="1"/>
  <c r="D104" i="1"/>
  <c r="C104" i="1" s="1"/>
  <c r="J104" i="1" s="1"/>
  <c r="I28" i="2"/>
  <c r="D34" i="2"/>
  <c r="L34" i="2" s="1"/>
  <c r="AD47" i="2"/>
  <c r="M72" i="2"/>
  <c r="M65" i="2"/>
  <c r="Y80" i="2"/>
  <c r="D93" i="2"/>
  <c r="C93" i="2" s="1"/>
  <c r="J93" i="2" s="1"/>
  <c r="D19" i="3"/>
  <c r="C19" i="3" s="1"/>
  <c r="M25" i="3"/>
  <c r="D35" i="3"/>
  <c r="C35" i="3" s="1"/>
  <c r="J35" i="3" s="1"/>
  <c r="I37" i="3"/>
  <c r="I44" i="3"/>
  <c r="D63" i="3"/>
  <c r="C63" i="3" s="1"/>
  <c r="J63" i="3" s="1"/>
  <c r="I69" i="3"/>
  <c r="I73" i="3"/>
  <c r="R88" i="3"/>
  <c r="R41" i="4"/>
  <c r="V46" i="4"/>
  <c r="AD46" i="4" s="1"/>
  <c r="D61" i="4"/>
  <c r="L61" i="4" s="1"/>
  <c r="AT21" i="5"/>
  <c r="T29" i="5"/>
  <c r="BA38" i="5"/>
  <c r="AZ55" i="5"/>
  <c r="I62" i="5"/>
  <c r="I63" i="5"/>
  <c r="M74" i="5"/>
  <c r="T78" i="5"/>
  <c r="AG78" i="5"/>
  <c r="D82" i="5"/>
  <c r="L82" i="5" s="1"/>
  <c r="BB84" i="5"/>
  <c r="BB85" i="5"/>
  <c r="BA89" i="5"/>
  <c r="BC89" i="5" s="1"/>
  <c r="S90" i="5"/>
  <c r="D94" i="5"/>
  <c r="L94" i="5" s="1"/>
  <c r="I103" i="5"/>
  <c r="D109" i="5"/>
  <c r="C109" i="5" s="1"/>
  <c r="I111" i="5"/>
  <c r="D113" i="5"/>
  <c r="D117" i="5"/>
  <c r="L117" i="5" s="1"/>
  <c r="M18" i="6"/>
  <c r="D32" i="6"/>
  <c r="C32" i="6" s="1"/>
  <c r="I49" i="6"/>
  <c r="D52" i="6"/>
  <c r="L52" i="6" s="1"/>
  <c r="M63" i="6"/>
  <c r="P67" i="6"/>
  <c r="R67" i="6" s="1"/>
  <c r="M70" i="6"/>
  <c r="D72" i="6"/>
  <c r="C72" i="6" s="1"/>
  <c r="D85" i="6"/>
  <c r="L85" i="6" s="1"/>
  <c r="I102" i="6"/>
  <c r="I103" i="6"/>
  <c r="I107" i="6"/>
  <c r="I111" i="6"/>
  <c r="AQ17" i="7"/>
  <c r="AQ21" i="7"/>
  <c r="R22" i="7"/>
  <c r="AC22" i="7"/>
  <c r="AK22" i="7" s="1"/>
  <c r="M31" i="7"/>
  <c r="X31" i="7"/>
  <c r="AQ32" i="7"/>
  <c r="AC42" i="7"/>
  <c r="AB42" i="7" s="1"/>
  <c r="AA49" i="7"/>
  <c r="AC50" i="7"/>
  <c r="AB50" i="7" s="1"/>
  <c r="AI50" i="7" s="1"/>
  <c r="D86" i="7"/>
  <c r="C86" i="7" s="1"/>
  <c r="J86" i="7" s="1"/>
  <c r="I88" i="7"/>
  <c r="AQ88" i="7"/>
  <c r="I93" i="7"/>
  <c r="AC98" i="7"/>
  <c r="AK98" i="7" s="1"/>
  <c r="I109" i="7"/>
  <c r="AH109" i="7"/>
  <c r="AH113" i="7"/>
  <c r="U19" i="8"/>
  <c r="AL20" i="8"/>
  <c r="AR22" i="8"/>
  <c r="O26" i="8"/>
  <c r="AV30" i="8"/>
  <c r="O32" i="8"/>
  <c r="M42" i="8"/>
  <c r="AH59" i="8"/>
  <c r="I64" i="8"/>
  <c r="AH65" i="8"/>
  <c r="I86" i="2"/>
  <c r="D27" i="3"/>
  <c r="C27" i="3" s="1"/>
  <c r="D31" i="3"/>
  <c r="L31" i="3" s="1"/>
  <c r="U43" i="3"/>
  <c r="D119" i="3"/>
  <c r="L119" i="3" s="1"/>
  <c r="Z18" i="5"/>
  <c r="AK67" i="5"/>
  <c r="I92" i="5"/>
  <c r="I70" i="6"/>
  <c r="I111" i="7"/>
  <c r="M48" i="8"/>
  <c r="L41" i="9"/>
  <c r="M41" i="9" s="1"/>
  <c r="H64" i="11"/>
  <c r="C99" i="11"/>
  <c r="G99" i="11" s="1"/>
  <c r="C108" i="11"/>
  <c r="G108" i="11" s="1"/>
  <c r="C38" i="15"/>
  <c r="G38" i="15" s="1"/>
  <c r="C18" i="17"/>
  <c r="G18" i="17" s="1"/>
  <c r="Y101" i="2"/>
  <c r="AA25" i="4"/>
  <c r="AM17" i="5"/>
  <c r="Z20" i="5"/>
  <c r="I22" i="5"/>
  <c r="Z24" i="5"/>
  <c r="Z26" i="5"/>
  <c r="D51" i="5"/>
  <c r="C51" i="5" s="1"/>
  <c r="AD57" i="5"/>
  <c r="I99" i="5"/>
  <c r="D23" i="6"/>
  <c r="C23" i="6" s="1"/>
  <c r="D61" i="6"/>
  <c r="C61" i="6" s="1"/>
  <c r="J61" i="6" s="1"/>
  <c r="P81" i="6"/>
  <c r="I20" i="7"/>
  <c r="AL46" i="7"/>
  <c r="M57" i="7"/>
  <c r="M65" i="7"/>
  <c r="D81" i="7"/>
  <c r="L81" i="7" s="1"/>
  <c r="U53" i="8"/>
  <c r="C74" i="9"/>
  <c r="G74" i="9" s="1"/>
  <c r="R65" i="2"/>
  <c r="O78" i="2"/>
  <c r="D87" i="2"/>
  <c r="L87" i="2" s="1"/>
  <c r="U89" i="2"/>
  <c r="M43" i="3"/>
  <c r="R83" i="3"/>
  <c r="D102" i="3"/>
  <c r="C102" i="3" s="1"/>
  <c r="J102" i="3" s="1"/>
  <c r="V89" i="4"/>
  <c r="U89" i="4" s="1"/>
  <c r="AB89" i="4" s="1"/>
  <c r="AA92" i="4"/>
  <c r="AA104" i="4"/>
  <c r="V114" i="4"/>
  <c r="U114" i="4" s="1"/>
  <c r="AB114" i="4" s="1"/>
  <c r="I116" i="4"/>
  <c r="I119" i="4"/>
  <c r="AM25" i="5"/>
  <c r="I34" i="5"/>
  <c r="Z35" i="5"/>
  <c r="AG53" i="5"/>
  <c r="T58" i="5"/>
  <c r="D60" i="5"/>
  <c r="L60" i="5" s="1"/>
  <c r="S61" i="5"/>
  <c r="BB61" i="5"/>
  <c r="S70" i="5"/>
  <c r="S71" i="5"/>
  <c r="S72" i="5"/>
  <c r="I81" i="5"/>
  <c r="Z87" i="5"/>
  <c r="AK87" i="5"/>
  <c r="Z88" i="5"/>
  <c r="I89" i="5"/>
  <c r="Z89" i="5"/>
  <c r="BB90" i="5"/>
  <c r="D17" i="6"/>
  <c r="L17" i="6" s="1"/>
  <c r="M41" i="6"/>
  <c r="D44" i="6"/>
  <c r="L44" i="6" s="1"/>
  <c r="D87" i="6"/>
  <c r="C87" i="6" s="1"/>
  <c r="D88" i="6"/>
  <c r="L88" i="6" s="1"/>
  <c r="D100" i="6"/>
  <c r="L100" i="6" s="1"/>
  <c r="D101" i="6"/>
  <c r="C101" i="6" s="1"/>
  <c r="J101" i="6" s="1"/>
  <c r="D103" i="6"/>
  <c r="C103" i="6" s="1"/>
  <c r="J103" i="6" s="1"/>
  <c r="D104" i="6"/>
  <c r="L104" i="6" s="1"/>
  <c r="D111" i="6"/>
  <c r="L111" i="6" s="1"/>
  <c r="D119" i="6"/>
  <c r="C119" i="6" s="1"/>
  <c r="J119" i="6" s="1"/>
  <c r="X18" i="7"/>
  <c r="AH18" i="7"/>
  <c r="X22" i="7"/>
  <c r="I23" i="7"/>
  <c r="AC48" i="7"/>
  <c r="AK48" i="7" s="1"/>
  <c r="D49" i="7"/>
  <c r="C49" i="7" s="1"/>
  <c r="U49" i="7"/>
  <c r="AH50" i="7"/>
  <c r="I86" i="7"/>
  <c r="AH89" i="7"/>
  <c r="M23" i="8"/>
  <c r="D42" i="8"/>
  <c r="L42" i="8" s="1"/>
  <c r="I63" i="8"/>
  <c r="D64" i="8"/>
  <c r="C64" i="8" s="1"/>
  <c r="BC77" i="8"/>
  <c r="I78" i="8"/>
  <c r="D79" i="8"/>
  <c r="C79" i="8" s="1"/>
  <c r="D81" i="8"/>
  <c r="L81" i="8" s="1"/>
  <c r="I82" i="8"/>
  <c r="J67" i="10"/>
  <c r="C70" i="10"/>
  <c r="G70" i="10" s="1"/>
  <c r="C40" i="13"/>
  <c r="G40" i="13" s="1"/>
  <c r="C110" i="13"/>
  <c r="C16" i="14"/>
  <c r="G16" i="14" s="1"/>
  <c r="J56" i="14"/>
  <c r="D73" i="4"/>
  <c r="L73" i="4" s="1"/>
  <c r="I78" i="4"/>
  <c r="AP15" i="8"/>
  <c r="AR29" i="8"/>
  <c r="AR31" i="8"/>
  <c r="O57" i="8"/>
  <c r="K54" i="2"/>
  <c r="Y72" i="2"/>
  <c r="AD80" i="2"/>
  <c r="D97" i="2"/>
  <c r="L97" i="2" s="1"/>
  <c r="M20" i="3"/>
  <c r="I43" i="3"/>
  <c r="M52" i="3"/>
  <c r="D74" i="3"/>
  <c r="C74" i="3" s="1"/>
  <c r="D83" i="3"/>
  <c r="L83" i="3" s="1"/>
  <c r="U83" i="3"/>
  <c r="I17" i="4"/>
  <c r="I23" i="4"/>
  <c r="V31" i="4"/>
  <c r="AD31" i="4" s="1"/>
  <c r="AA41" i="4"/>
  <c r="I42" i="4"/>
  <c r="D45" i="4"/>
  <c r="L45" i="4" s="1"/>
  <c r="V52" i="4"/>
  <c r="AD52" i="4" s="1"/>
  <c r="AA56" i="4"/>
  <c r="AA63" i="4"/>
  <c r="D68" i="4"/>
  <c r="C68" i="4" s="1"/>
  <c r="J68" i="4" s="1"/>
  <c r="I70" i="4"/>
  <c r="AA70" i="4"/>
  <c r="D75" i="4"/>
  <c r="L75" i="4" s="1"/>
  <c r="I80" i="4"/>
  <c r="M88" i="4"/>
  <c r="M107" i="4"/>
  <c r="AA111" i="4"/>
  <c r="D117" i="4"/>
  <c r="C117" i="4" s="1"/>
  <c r="J117" i="4" s="1"/>
  <c r="AP25" i="5"/>
  <c r="AM35" i="5"/>
  <c r="Z40" i="5"/>
  <c r="I46" i="5"/>
  <c r="I48" i="5"/>
  <c r="I52" i="5"/>
  <c r="AK52" i="5"/>
  <c r="AT53" i="5"/>
  <c r="T67" i="5"/>
  <c r="T68" i="5"/>
  <c r="T69" i="5"/>
  <c r="BA77" i="5"/>
  <c r="AK105" i="5"/>
  <c r="I27" i="6"/>
  <c r="U40" i="6"/>
  <c r="D83" i="6"/>
  <c r="C83" i="6" s="1"/>
  <c r="O105" i="6"/>
  <c r="AH17" i="7"/>
  <c r="AQ22" i="7"/>
  <c r="M26" i="7"/>
  <c r="AH49" i="7"/>
  <c r="AL53" i="7"/>
  <c r="AH67" i="7"/>
  <c r="AL74" i="7"/>
  <c r="AC93" i="7"/>
  <c r="AK93" i="7" s="1"/>
  <c r="AH101" i="7"/>
  <c r="AC108" i="7"/>
  <c r="AK108" i="7" s="1"/>
  <c r="I23" i="8"/>
  <c r="M34" i="8"/>
  <c r="AR38" i="8"/>
  <c r="AL40" i="8"/>
  <c r="O62" i="8"/>
  <c r="R65" i="8"/>
  <c r="AD65" i="8"/>
  <c r="X75" i="8"/>
  <c r="AD75" i="8"/>
  <c r="L66" i="9"/>
  <c r="Q28" i="11"/>
  <c r="C27" i="13"/>
  <c r="G27" i="13" s="1"/>
  <c r="C98" i="15"/>
  <c r="G98" i="15" s="1"/>
  <c r="C22" i="16"/>
  <c r="G22" i="16" s="1"/>
  <c r="C80" i="16"/>
  <c r="G80" i="16" s="1"/>
  <c r="O65" i="2"/>
  <c r="M87" i="2"/>
  <c r="W91" i="4"/>
  <c r="W12" i="4" s="1"/>
  <c r="BB27" i="5"/>
  <c r="AM55" i="5"/>
  <c r="AM58" i="5"/>
  <c r="T75" i="5"/>
  <c r="M107" i="5"/>
  <c r="P51" i="6"/>
  <c r="P53" i="6"/>
  <c r="R53" i="6" s="1"/>
  <c r="AQ45" i="7"/>
  <c r="D47" i="7"/>
  <c r="L47" i="7" s="1"/>
  <c r="U47" i="7"/>
  <c r="D52" i="7"/>
  <c r="L52" i="7" s="1"/>
  <c r="U52" i="7"/>
  <c r="BC27" i="8"/>
  <c r="BC29" i="8"/>
  <c r="T15" i="8"/>
  <c r="BC31" i="8"/>
  <c r="AH37" i="8"/>
  <c r="U41" i="8"/>
  <c r="U43" i="8"/>
  <c r="U45" i="8"/>
  <c r="BC51" i="8"/>
  <c r="AR56" i="8"/>
  <c r="AR60" i="8"/>
  <c r="V62" i="13"/>
  <c r="C35" i="17"/>
  <c r="G35" i="17" s="1"/>
  <c r="U58" i="18"/>
  <c r="U65" i="18"/>
  <c r="U73" i="18"/>
  <c r="U74" i="18"/>
  <c r="U75" i="18"/>
  <c r="U78" i="18"/>
  <c r="U81" i="18"/>
  <c r="U83" i="18"/>
  <c r="U85" i="18"/>
  <c r="U87" i="18"/>
  <c r="U89" i="18"/>
  <c r="U71" i="8"/>
  <c r="M72" i="8"/>
  <c r="BC84" i="8"/>
  <c r="AD92" i="8"/>
  <c r="M113" i="8"/>
  <c r="S26" i="9"/>
  <c r="C28" i="9"/>
  <c r="G28" i="9" s="1"/>
  <c r="C30" i="9"/>
  <c r="G30" i="9" s="1"/>
  <c r="X30" i="9"/>
  <c r="C32" i="9"/>
  <c r="G32" i="9" s="1"/>
  <c r="AA38" i="9"/>
  <c r="S52" i="9"/>
  <c r="AA61" i="9"/>
  <c r="AA72" i="9"/>
  <c r="S81" i="9"/>
  <c r="U81" i="9" s="1"/>
  <c r="C39" i="10"/>
  <c r="G39" i="10" s="1"/>
  <c r="C47" i="10"/>
  <c r="G47" i="10" s="1"/>
  <c r="J68" i="10"/>
  <c r="N83" i="10"/>
  <c r="P90" i="10"/>
  <c r="AM25" i="11"/>
  <c r="AO25" i="11" s="1"/>
  <c r="AA29" i="11"/>
  <c r="C38" i="11"/>
  <c r="G38" i="11" s="1"/>
  <c r="C59" i="11"/>
  <c r="G59" i="11" s="1"/>
  <c r="L60" i="11"/>
  <c r="Q61" i="11"/>
  <c r="L61" i="11"/>
  <c r="C62" i="11"/>
  <c r="G62" i="11" s="1"/>
  <c r="AJ67" i="11"/>
  <c r="AM67" i="11"/>
  <c r="AO67" i="11" s="1"/>
  <c r="Q69" i="11"/>
  <c r="AA72" i="11"/>
  <c r="AM73" i="11"/>
  <c r="AO73" i="11" s="1"/>
  <c r="S90" i="11"/>
  <c r="L90" i="11"/>
  <c r="AM102" i="11"/>
  <c r="AO102" i="11" s="1"/>
  <c r="K24" i="12"/>
  <c r="H27" i="12"/>
  <c r="C53" i="12"/>
  <c r="G53" i="12" s="1"/>
  <c r="C61" i="12"/>
  <c r="G61" i="12" s="1"/>
  <c r="C67" i="12"/>
  <c r="G67" i="12" s="1"/>
  <c r="C70" i="12"/>
  <c r="G70" i="12" s="1"/>
  <c r="C72" i="12"/>
  <c r="G72" i="12" s="1"/>
  <c r="BP24" i="13"/>
  <c r="BN45" i="13"/>
  <c r="V52" i="13"/>
  <c r="W52" i="13" s="1"/>
  <c r="AD53" i="13"/>
  <c r="AE53" i="13" s="1"/>
  <c r="AV63" i="13"/>
  <c r="BP64" i="13"/>
  <c r="C69" i="13"/>
  <c r="G69" i="13" s="1"/>
  <c r="J88" i="13"/>
  <c r="K88" i="13" s="1"/>
  <c r="BN88" i="13"/>
  <c r="BZ89" i="13"/>
  <c r="CA89" i="13" s="1"/>
  <c r="J38" i="14"/>
  <c r="J85" i="14"/>
  <c r="J89" i="14"/>
  <c r="C48" i="15"/>
  <c r="G48" i="15" s="1"/>
  <c r="J49" i="15"/>
  <c r="J59" i="15"/>
  <c r="C65" i="15"/>
  <c r="G65" i="15" s="1"/>
  <c r="C97" i="15"/>
  <c r="G97" i="15" s="1"/>
  <c r="C81" i="16"/>
  <c r="G81" i="16" s="1"/>
  <c r="C17" i="17"/>
  <c r="G17" i="17" s="1"/>
  <c r="U18" i="17"/>
  <c r="H82" i="18"/>
  <c r="P82" i="18" s="1"/>
  <c r="H83" i="18"/>
  <c r="P83" i="18" s="1"/>
  <c r="H89" i="18"/>
  <c r="L89" i="18" s="1"/>
  <c r="AA84" i="8"/>
  <c r="AO84" i="8"/>
  <c r="AV85" i="8"/>
  <c r="T24" i="9"/>
  <c r="T30" i="9"/>
  <c r="T52" i="9"/>
  <c r="T56" i="9"/>
  <c r="T63" i="9"/>
  <c r="T70" i="9"/>
  <c r="T79" i="9"/>
  <c r="P32" i="10"/>
  <c r="P43" i="10"/>
  <c r="N52" i="10"/>
  <c r="P59" i="10"/>
  <c r="N60" i="10"/>
  <c r="Y20" i="11"/>
  <c r="AJ20" i="11"/>
  <c r="AM20" i="11"/>
  <c r="AO20" i="11" s="1"/>
  <c r="H22" i="11"/>
  <c r="J22" i="11"/>
  <c r="AM41" i="11"/>
  <c r="AO41" i="11" s="1"/>
  <c r="AA45" i="11"/>
  <c r="AM46" i="11"/>
  <c r="AO46" i="11" s="1"/>
  <c r="Y48" i="11"/>
  <c r="AM53" i="11"/>
  <c r="AO53" i="11" s="1"/>
  <c r="AH65" i="11"/>
  <c r="AA67" i="11"/>
  <c r="C89" i="11"/>
  <c r="G89" i="11" s="1"/>
  <c r="AH89" i="11"/>
  <c r="L22" i="12"/>
  <c r="I22" i="12" s="1"/>
  <c r="L23" i="12"/>
  <c r="I23" i="12" s="1"/>
  <c r="K31" i="12"/>
  <c r="J30" i="13"/>
  <c r="K30" i="13" s="1"/>
  <c r="BN31" i="13"/>
  <c r="C43" i="13"/>
  <c r="G43" i="13" s="1"/>
  <c r="T44" i="13"/>
  <c r="U44" i="13" s="1"/>
  <c r="BX46" i="13"/>
  <c r="AD48" i="13"/>
  <c r="AE48" i="13" s="1"/>
  <c r="BZ59" i="13"/>
  <c r="AV60" i="13"/>
  <c r="AW60" i="13" s="1"/>
  <c r="BN60" i="13"/>
  <c r="C99" i="13"/>
  <c r="G99" i="13" s="1"/>
  <c r="C100" i="13"/>
  <c r="G100" i="13" s="1"/>
  <c r="J20" i="14"/>
  <c r="C96" i="14"/>
  <c r="G96" i="14" s="1"/>
  <c r="J35" i="15"/>
  <c r="O38" i="15"/>
  <c r="C44" i="15"/>
  <c r="G44" i="15" s="1"/>
  <c r="J48" i="15"/>
  <c r="C53" i="15"/>
  <c r="G53" i="15" s="1"/>
  <c r="C70" i="15"/>
  <c r="G70" i="15" s="1"/>
  <c r="I70" i="15"/>
  <c r="C113" i="15"/>
  <c r="G113" i="15" s="1"/>
  <c r="R39" i="17"/>
  <c r="Y60" i="18"/>
  <c r="Y71" i="18"/>
  <c r="Y74" i="18"/>
  <c r="Y82" i="18"/>
  <c r="D78" i="8"/>
  <c r="L78" i="8" s="1"/>
  <c r="I79" i="8"/>
  <c r="M83" i="8"/>
  <c r="M85" i="8"/>
  <c r="D119" i="8"/>
  <c r="C119" i="8" s="1"/>
  <c r="J119" i="8" s="1"/>
  <c r="C37" i="9"/>
  <c r="G37" i="9" s="1"/>
  <c r="C64" i="9"/>
  <c r="G64" i="9" s="1"/>
  <c r="C66" i="9"/>
  <c r="G66" i="9" s="1"/>
  <c r="C69" i="9"/>
  <c r="G69" i="9" s="1"/>
  <c r="C113" i="9"/>
  <c r="G113" i="9" s="1"/>
  <c r="C34" i="10"/>
  <c r="G34" i="10" s="1"/>
  <c r="C66" i="10"/>
  <c r="G66" i="10" s="1"/>
  <c r="J87" i="10"/>
  <c r="C114" i="10"/>
  <c r="G114" i="10" s="1"/>
  <c r="I17" i="11"/>
  <c r="L24" i="11"/>
  <c r="C60" i="11"/>
  <c r="G60" i="11" s="1"/>
  <c r="L80" i="11"/>
  <c r="C84" i="11"/>
  <c r="G84" i="11" s="1"/>
  <c r="C103" i="11"/>
  <c r="G103" i="11" s="1"/>
  <c r="C80" i="12"/>
  <c r="G80" i="12" s="1"/>
  <c r="C88" i="12"/>
  <c r="G88" i="12" s="1"/>
  <c r="K112" i="12"/>
  <c r="M112" i="12" s="1"/>
  <c r="L82" i="13"/>
  <c r="M82" i="13" s="1"/>
  <c r="BZ83" i="13"/>
  <c r="CA83" i="13" s="1"/>
  <c r="I63" i="15"/>
  <c r="J86" i="15"/>
  <c r="C38" i="17"/>
  <c r="G38" i="17" s="1"/>
  <c r="H73" i="12"/>
  <c r="T27" i="13"/>
  <c r="U27" i="13" s="1"/>
  <c r="L32" i="13"/>
  <c r="M32" i="13" s="1"/>
  <c r="BP65" i="13"/>
  <c r="C88" i="13"/>
  <c r="G88" i="13" s="1"/>
  <c r="J19" i="14"/>
  <c r="J68" i="15"/>
  <c r="C18" i="16"/>
  <c r="G18" i="16" s="1"/>
  <c r="C65" i="17"/>
  <c r="G65" i="17" s="1"/>
  <c r="C18" i="18"/>
  <c r="G18" i="18" s="1"/>
  <c r="C36" i="18"/>
  <c r="G36" i="18" s="1"/>
  <c r="U72" i="8"/>
  <c r="AH78" i="8"/>
  <c r="O80" i="8"/>
  <c r="O82" i="8"/>
  <c r="D99" i="8"/>
  <c r="C99" i="8" s="1"/>
  <c r="L20" i="9"/>
  <c r="M20" i="9" s="1"/>
  <c r="X21" i="9"/>
  <c r="C25" i="9"/>
  <c r="G25" i="9" s="1"/>
  <c r="X25" i="9"/>
  <c r="T43" i="9"/>
  <c r="C53" i="9"/>
  <c r="G53" i="9" s="1"/>
  <c r="C19" i="10"/>
  <c r="G19" i="10" s="1"/>
  <c r="AA18" i="11"/>
  <c r="AM19" i="11"/>
  <c r="AO19" i="11" s="1"/>
  <c r="AH24" i="11"/>
  <c r="AJ28" i="11"/>
  <c r="L29" i="11"/>
  <c r="Y39" i="11"/>
  <c r="AJ39" i="11"/>
  <c r="J51" i="11"/>
  <c r="AH52" i="11"/>
  <c r="Y55" i="11"/>
  <c r="Y77" i="11"/>
  <c r="J89" i="11"/>
  <c r="C93" i="11"/>
  <c r="G93" i="11" s="1"/>
  <c r="K84" i="12"/>
  <c r="L21" i="13"/>
  <c r="M21" i="13" s="1"/>
  <c r="BN22" i="13"/>
  <c r="T29" i="13"/>
  <c r="U29" i="13" s="1"/>
  <c r="BP40" i="13"/>
  <c r="BN41" i="13"/>
  <c r="V42" i="13"/>
  <c r="W42" i="13" s="1"/>
  <c r="BZ42" i="13"/>
  <c r="AF44" i="13"/>
  <c r="AG44" i="13" s="1"/>
  <c r="AD45" i="13"/>
  <c r="AE45" i="13" s="1"/>
  <c r="BZ58" i="13"/>
  <c r="CA58" i="13" s="1"/>
  <c r="BX59" i="13"/>
  <c r="AF78" i="13"/>
  <c r="AG78" i="13" s="1"/>
  <c r="AX78" i="13"/>
  <c r="AY78" i="13" s="1"/>
  <c r="BP83" i="13"/>
  <c r="C69" i="14"/>
  <c r="G69" i="14" s="1"/>
  <c r="C82" i="14"/>
  <c r="G82" i="14" s="1"/>
  <c r="I56" i="15"/>
  <c r="J77" i="15"/>
  <c r="J80" i="15"/>
  <c r="C28" i="16"/>
  <c r="G28" i="16" s="1"/>
  <c r="AH70" i="8"/>
  <c r="AH74" i="8"/>
  <c r="U79" i="8"/>
  <c r="U81" i="8"/>
  <c r="AV82" i="8"/>
  <c r="L48" i="9"/>
  <c r="M48" i="9" s="1"/>
  <c r="T55" i="9"/>
  <c r="T69" i="9"/>
  <c r="T80" i="9"/>
  <c r="T83" i="9"/>
  <c r="P39" i="10"/>
  <c r="N40" i="10"/>
  <c r="P45" i="10"/>
  <c r="J58" i="10"/>
  <c r="J90" i="10"/>
  <c r="J18" i="11"/>
  <c r="AH19" i="11"/>
  <c r="AA21" i="11"/>
  <c r="I37" i="11"/>
  <c r="AA39" i="11"/>
  <c r="Q41" i="11"/>
  <c r="AA44" i="11"/>
  <c r="AH47" i="11"/>
  <c r="AJ52" i="11"/>
  <c r="J70" i="11"/>
  <c r="Y82" i="11"/>
  <c r="AJ82" i="11"/>
  <c r="AH85" i="11"/>
  <c r="AA87" i="11"/>
  <c r="C24" i="12"/>
  <c r="G24" i="12" s="1"/>
  <c r="C27" i="12"/>
  <c r="G27" i="12" s="1"/>
  <c r="L83" i="12"/>
  <c r="I83" i="12" s="1"/>
  <c r="L84" i="12"/>
  <c r="I84" i="12" s="1"/>
  <c r="BN16" i="13"/>
  <c r="L28" i="13"/>
  <c r="M28" i="13" s="1"/>
  <c r="C55" i="13"/>
  <c r="G55" i="13" s="1"/>
  <c r="AV56" i="13"/>
  <c r="AW56" i="13" s="1"/>
  <c r="BP68" i="13"/>
  <c r="BX69" i="13"/>
  <c r="AF70" i="13"/>
  <c r="AG70" i="13" s="1"/>
  <c r="BN78" i="13"/>
  <c r="V79" i="13"/>
  <c r="W79" i="13" s="1"/>
  <c r="AX90" i="13"/>
  <c r="AY90" i="13" s="1"/>
  <c r="C96" i="13"/>
  <c r="G96" i="13" s="1"/>
  <c r="J43" i="14"/>
  <c r="C68" i="14"/>
  <c r="G68" i="14" s="1"/>
  <c r="C112" i="14"/>
  <c r="G112" i="14" s="1"/>
  <c r="I42" i="15"/>
  <c r="J46" i="15"/>
  <c r="C51" i="15"/>
  <c r="G51" i="15" s="1"/>
  <c r="C38" i="16"/>
  <c r="G38" i="16" s="1"/>
  <c r="C46" i="16"/>
  <c r="G46" i="16" s="1"/>
  <c r="C70" i="16"/>
  <c r="G70" i="16" s="1"/>
  <c r="H43" i="18"/>
  <c r="R43" i="18" s="1"/>
  <c r="H44" i="18"/>
  <c r="T44" i="18" s="1"/>
  <c r="C93" i="18"/>
  <c r="G93" i="18" s="1"/>
  <c r="H104" i="18"/>
  <c r="L104" i="18" s="1"/>
  <c r="Q12" i="6"/>
  <c r="Q11" i="6" s="1"/>
  <c r="W11" i="6"/>
  <c r="W9" i="6" s="1"/>
  <c r="P16" i="1"/>
  <c r="S16" i="1" s="1"/>
  <c r="T19" i="1"/>
  <c r="Q21" i="1"/>
  <c r="M22" i="1"/>
  <c r="Q23" i="1"/>
  <c r="U23" i="1" s="1"/>
  <c r="M24" i="1"/>
  <c r="P25" i="1"/>
  <c r="P27" i="1"/>
  <c r="S27" i="1" s="1"/>
  <c r="D32" i="1"/>
  <c r="L32" i="1" s="1"/>
  <c r="Q32" i="1"/>
  <c r="Q35" i="1"/>
  <c r="Q37" i="1"/>
  <c r="M40" i="1"/>
  <c r="D42" i="1"/>
  <c r="L42" i="1" s="1"/>
  <c r="R42" i="1"/>
  <c r="R44" i="1"/>
  <c r="R46" i="1"/>
  <c r="I47" i="1"/>
  <c r="P48" i="1"/>
  <c r="S48" i="1" s="1"/>
  <c r="P50" i="1"/>
  <c r="D58" i="1"/>
  <c r="L58" i="1" s="1"/>
  <c r="M59" i="1"/>
  <c r="P60" i="1"/>
  <c r="S60" i="1" s="1"/>
  <c r="R63" i="1"/>
  <c r="R65" i="1"/>
  <c r="R67" i="1"/>
  <c r="I68" i="1"/>
  <c r="D69" i="1"/>
  <c r="L69" i="1" s="1"/>
  <c r="R69" i="1"/>
  <c r="R79" i="1"/>
  <c r="R81" i="1"/>
  <c r="I97" i="1"/>
  <c r="N106" i="1"/>
  <c r="N13" i="1" s="1"/>
  <c r="AA17" i="2"/>
  <c r="M20" i="2"/>
  <c r="AD22" i="2"/>
  <c r="F33" i="2"/>
  <c r="U47" i="2"/>
  <c r="U57" i="2"/>
  <c r="AD65" i="2"/>
  <c r="D68" i="2"/>
  <c r="L68" i="2" s="1"/>
  <c r="AA87" i="2"/>
  <c r="Z106" i="2"/>
  <c r="Z13" i="2" s="1"/>
  <c r="Z11" i="2" s="1"/>
  <c r="R41" i="8"/>
  <c r="AD41" i="8"/>
  <c r="O30" i="1"/>
  <c r="D39" i="1"/>
  <c r="L39" i="1" s="1"/>
  <c r="O56" i="1"/>
  <c r="D83" i="1"/>
  <c r="L83" i="1" s="1"/>
  <c r="R42" i="2"/>
  <c r="U36" i="3"/>
  <c r="U22" i="6"/>
  <c r="P22" i="6"/>
  <c r="R22" i="6" s="1"/>
  <c r="R16" i="1"/>
  <c r="AF15" i="1"/>
  <c r="R27" i="1"/>
  <c r="I28" i="1"/>
  <c r="Q29" i="1"/>
  <c r="M30" i="1"/>
  <c r="P31" i="1"/>
  <c r="S31" i="1" s="1"/>
  <c r="T39" i="1"/>
  <c r="D50" i="1"/>
  <c r="C50" i="1" s="1"/>
  <c r="I51" i="1"/>
  <c r="I95" i="1"/>
  <c r="D108" i="1"/>
  <c r="L108" i="1" s="1"/>
  <c r="D119" i="1"/>
  <c r="L119" i="1" s="1"/>
  <c r="AD20" i="2"/>
  <c r="D24" i="2"/>
  <c r="L24" i="2" s="1"/>
  <c r="M37" i="2"/>
  <c r="AD39" i="2"/>
  <c r="M47" i="2"/>
  <c r="AD49" i="2"/>
  <c r="D53" i="2"/>
  <c r="C53" i="2" s="1"/>
  <c r="D55" i="2"/>
  <c r="L55" i="2" s="1"/>
  <c r="M58" i="2"/>
  <c r="R72" i="2"/>
  <c r="D75" i="2"/>
  <c r="L75" i="2" s="1"/>
  <c r="D78" i="2"/>
  <c r="L78" i="2" s="1"/>
  <c r="R84" i="2"/>
  <c r="I19" i="3"/>
  <c r="M31" i="3"/>
  <c r="R34" i="3"/>
  <c r="AB54" i="1"/>
  <c r="T88" i="1"/>
  <c r="D26" i="2"/>
  <c r="C26" i="2" s="1"/>
  <c r="D30" i="2"/>
  <c r="L30" i="2" s="1"/>
  <c r="I36" i="2"/>
  <c r="U41" i="2"/>
  <c r="D52" i="2"/>
  <c r="C52" i="2" s="1"/>
  <c r="J52" i="2" s="1"/>
  <c r="I68" i="2"/>
  <c r="D74" i="2"/>
  <c r="L74" i="2" s="1"/>
  <c r="D96" i="2"/>
  <c r="C96" i="2" s="1"/>
  <c r="J96" i="2" s="1"/>
  <c r="D100" i="2"/>
  <c r="C100" i="2" s="1"/>
  <c r="J100" i="2" s="1"/>
  <c r="I118" i="2"/>
  <c r="R19" i="3"/>
  <c r="I20" i="3"/>
  <c r="U22" i="3"/>
  <c r="I36" i="3"/>
  <c r="D38" i="3"/>
  <c r="L38" i="3" s="1"/>
  <c r="D22" i="1"/>
  <c r="L22" i="1" s="1"/>
  <c r="I23" i="1"/>
  <c r="D24" i="1"/>
  <c r="L24" i="1" s="1"/>
  <c r="Q24" i="1"/>
  <c r="Q26" i="1"/>
  <c r="U26" i="1" s="1"/>
  <c r="AJ29" i="1"/>
  <c r="P30" i="1"/>
  <c r="D34" i="1"/>
  <c r="C34" i="1" s="1"/>
  <c r="J34" i="1" s="1"/>
  <c r="R34" i="1"/>
  <c r="R38" i="1"/>
  <c r="I39" i="1"/>
  <c r="Q49" i="1"/>
  <c r="AJ50" i="1"/>
  <c r="Q51" i="1"/>
  <c r="T57" i="1"/>
  <c r="D59" i="1"/>
  <c r="L59" i="1" s="1"/>
  <c r="Q61" i="1"/>
  <c r="U61" i="1" s="1"/>
  <c r="T64" i="1"/>
  <c r="T66" i="1"/>
  <c r="T68" i="1"/>
  <c r="T70" i="1"/>
  <c r="P72" i="1"/>
  <c r="S72" i="1" s="1"/>
  <c r="P74" i="1"/>
  <c r="Q85" i="1"/>
  <c r="U85" i="1" s="1"/>
  <c r="P86" i="1"/>
  <c r="S86" i="1" s="1"/>
  <c r="P88" i="1"/>
  <c r="S88" i="1" s="1"/>
  <c r="I110" i="1"/>
  <c r="AD18" i="2"/>
  <c r="Z33" i="2"/>
  <c r="AD35" i="2"/>
  <c r="W41" i="2"/>
  <c r="Y42" i="2"/>
  <c r="R47" i="2"/>
  <c r="X54" i="2"/>
  <c r="AD57" i="2"/>
  <c r="D61" i="2"/>
  <c r="L61" i="2" s="1"/>
  <c r="I80" i="2"/>
  <c r="W83" i="2"/>
  <c r="M84" i="2"/>
  <c r="D17" i="1"/>
  <c r="L17" i="1" s="1"/>
  <c r="F33" i="1"/>
  <c r="D51" i="1"/>
  <c r="C51" i="1" s="1"/>
  <c r="R51" i="1"/>
  <c r="I52" i="1"/>
  <c r="Q53" i="1"/>
  <c r="U53" i="1" s="1"/>
  <c r="Q55" i="1"/>
  <c r="U55" i="1" s="1"/>
  <c r="P63" i="1"/>
  <c r="S63" i="1" s="1"/>
  <c r="P65" i="1"/>
  <c r="S65" i="1" s="1"/>
  <c r="P67" i="1"/>
  <c r="S67" i="1" s="1"/>
  <c r="O70" i="1"/>
  <c r="Q74" i="1"/>
  <c r="Q77" i="1"/>
  <c r="D86" i="1"/>
  <c r="L86" i="1" s="1"/>
  <c r="Q86" i="1"/>
  <c r="U86" i="1" s="1"/>
  <c r="M107" i="1"/>
  <c r="I111" i="1"/>
  <c r="AD43" i="2"/>
  <c r="I65" i="2"/>
  <c r="U69" i="2"/>
  <c r="R19" i="1"/>
  <c r="P21" i="1"/>
  <c r="T26" i="1"/>
  <c r="R30" i="1"/>
  <c r="P35" i="1"/>
  <c r="Q46" i="1"/>
  <c r="T51" i="1"/>
  <c r="R53" i="1"/>
  <c r="Q63" i="1"/>
  <c r="U63" i="1" s="1"/>
  <c r="Q65" i="1"/>
  <c r="U65" i="1" s="1"/>
  <c r="Q67" i="1"/>
  <c r="U67" i="1" s="1"/>
  <c r="Q69" i="1"/>
  <c r="U69" i="1" s="1"/>
  <c r="R72" i="1"/>
  <c r="R77" i="1"/>
  <c r="AF76" i="1"/>
  <c r="Q81" i="1"/>
  <c r="U81" i="1" s="1"/>
  <c r="T84" i="1"/>
  <c r="R86" i="1"/>
  <c r="D88" i="1"/>
  <c r="L88" i="1" s="1"/>
  <c r="D115" i="1"/>
  <c r="L115" i="1" s="1"/>
  <c r="Y30" i="2"/>
  <c r="R35" i="2"/>
  <c r="W37" i="2"/>
  <c r="E106" i="2"/>
  <c r="E13" i="2" s="1"/>
  <c r="D110" i="2"/>
  <c r="C110" i="2" s="1"/>
  <c r="J110" i="2" s="1"/>
  <c r="I117" i="2"/>
  <c r="U19" i="3"/>
  <c r="R20" i="3"/>
  <c r="D44" i="3"/>
  <c r="C44" i="3" s="1"/>
  <c r="J44" i="3" s="1"/>
  <c r="V39" i="4"/>
  <c r="U39" i="4" s="1"/>
  <c r="AB39" i="4" s="1"/>
  <c r="V56" i="4"/>
  <c r="AD56" i="4" s="1"/>
  <c r="AA65" i="4"/>
  <c r="I79" i="4"/>
  <c r="V80" i="4"/>
  <c r="AD80" i="4" s="1"/>
  <c r="R81" i="4"/>
  <c r="AA83" i="4"/>
  <c r="AA107" i="4"/>
  <c r="BA17" i="5"/>
  <c r="AK19" i="5"/>
  <c r="Z39" i="5"/>
  <c r="AG42" i="5"/>
  <c r="BB43" i="5"/>
  <c r="D44" i="5"/>
  <c r="C44" i="5" s="1"/>
  <c r="S48" i="5"/>
  <c r="M50" i="5"/>
  <c r="T53" i="5"/>
  <c r="AM62" i="5"/>
  <c r="I66" i="5"/>
  <c r="I68" i="5"/>
  <c r="I69" i="5"/>
  <c r="T74" i="5"/>
  <c r="BB78" i="5"/>
  <c r="D79" i="5"/>
  <c r="C79" i="5" s="1"/>
  <c r="AP79" i="5"/>
  <c r="I96" i="5"/>
  <c r="M104" i="5"/>
  <c r="M32" i="6"/>
  <c r="D35" i="6"/>
  <c r="C35" i="6" s="1"/>
  <c r="M49" i="6"/>
  <c r="I60" i="6"/>
  <c r="D84" i="6"/>
  <c r="L84" i="6" s="1"/>
  <c r="I92" i="6"/>
  <c r="I93" i="6"/>
  <c r="P105" i="6"/>
  <c r="R105" i="6" s="1"/>
  <c r="D31" i="7"/>
  <c r="L31" i="7" s="1"/>
  <c r="U31" i="7"/>
  <c r="I39" i="7"/>
  <c r="AH42" i="7"/>
  <c r="U46" i="7"/>
  <c r="M47" i="7"/>
  <c r="AL52" i="7"/>
  <c r="AH53" i="7"/>
  <c r="AL57" i="7"/>
  <c r="AL61" i="7"/>
  <c r="X74" i="7"/>
  <c r="AH90" i="7"/>
  <c r="I103" i="7"/>
  <c r="AC113" i="7"/>
  <c r="AB113" i="7" s="1"/>
  <c r="AI113" i="7" s="1"/>
  <c r="AH116" i="7"/>
  <c r="BC18" i="8"/>
  <c r="I22" i="8"/>
  <c r="O24" i="8"/>
  <c r="AD26" i="8"/>
  <c r="M27" i="8"/>
  <c r="AP33" i="8"/>
  <c r="AH36" i="8"/>
  <c r="I39" i="8"/>
  <c r="AL39" i="8"/>
  <c r="T76" i="11"/>
  <c r="D65" i="3"/>
  <c r="L65" i="3" s="1"/>
  <c r="AX21" i="5"/>
  <c r="T27" i="5"/>
  <c r="T28" i="5"/>
  <c r="O29" i="5"/>
  <c r="AM70" i="5"/>
  <c r="AM71" i="5"/>
  <c r="AM72" i="5"/>
  <c r="D111" i="5"/>
  <c r="L111" i="5" s="1"/>
  <c r="P64" i="6"/>
  <c r="R64" i="6" s="1"/>
  <c r="N15" i="7"/>
  <c r="D84" i="7"/>
  <c r="C84" i="7" s="1"/>
  <c r="AV43" i="8"/>
  <c r="U49" i="8"/>
  <c r="I62" i="3"/>
  <c r="I86" i="3"/>
  <c r="M98" i="3"/>
  <c r="I114" i="3"/>
  <c r="I115" i="3"/>
  <c r="I116" i="3"/>
  <c r="I118" i="3"/>
  <c r="R24" i="4"/>
  <c r="AA30" i="4"/>
  <c r="V35" i="4"/>
  <c r="U35" i="4" s="1"/>
  <c r="AB35" i="4" s="1"/>
  <c r="D36" i="4"/>
  <c r="L36" i="4" s="1"/>
  <c r="V44" i="4"/>
  <c r="AD44" i="4" s="1"/>
  <c r="V45" i="4"/>
  <c r="AD45" i="4" s="1"/>
  <c r="D46" i="4"/>
  <c r="C46" i="4" s="1"/>
  <c r="J46" i="4" s="1"/>
  <c r="O55" i="4"/>
  <c r="I56" i="4"/>
  <c r="AA60" i="4"/>
  <c r="V64" i="4"/>
  <c r="AD64" i="4" s="1"/>
  <c r="V69" i="4"/>
  <c r="AD69" i="4" s="1"/>
  <c r="D70" i="4"/>
  <c r="L70" i="4" s="1"/>
  <c r="AA72" i="4"/>
  <c r="I73" i="4"/>
  <c r="D77" i="4"/>
  <c r="L77" i="4" s="1"/>
  <c r="AJ78" i="4"/>
  <c r="D82" i="4"/>
  <c r="AA85" i="4"/>
  <c r="I86" i="4"/>
  <c r="V88" i="4"/>
  <c r="U88" i="4" s="1"/>
  <c r="AA102" i="4"/>
  <c r="M16" i="5"/>
  <c r="BB18" i="5"/>
  <c r="AZ21" i="5"/>
  <c r="I25" i="5"/>
  <c r="Z25" i="5"/>
  <c r="T31" i="5"/>
  <c r="AG31" i="5"/>
  <c r="BB35" i="5"/>
  <c r="D36" i="5"/>
  <c r="C36" i="5" s="1"/>
  <c r="BA36" i="5"/>
  <c r="BC36" i="5" s="1"/>
  <c r="AD37" i="5"/>
  <c r="M43" i="5"/>
  <c r="T47" i="5"/>
  <c r="T48" i="5"/>
  <c r="BA49" i="5"/>
  <c r="BC49" i="5" s="1"/>
  <c r="Z53" i="5"/>
  <c r="M56" i="5"/>
  <c r="T59" i="5"/>
  <c r="T60" i="5"/>
  <c r="AG60" i="5"/>
  <c r="Z69" i="5"/>
  <c r="Z74" i="5"/>
  <c r="D81" i="5"/>
  <c r="L81" i="5" s="1"/>
  <c r="S82" i="5"/>
  <c r="AP82" i="5"/>
  <c r="S83" i="5"/>
  <c r="BA84" i="5"/>
  <c r="BC84" i="5" s="1"/>
  <c r="AM85" i="5"/>
  <c r="Z90" i="5"/>
  <c r="AK100" i="5"/>
  <c r="D101" i="5"/>
  <c r="L101" i="5" s="1"/>
  <c r="D110" i="5"/>
  <c r="L110" i="5" s="1"/>
  <c r="I112" i="5"/>
  <c r="D114" i="5"/>
  <c r="L114" i="5" s="1"/>
  <c r="I116" i="5"/>
  <c r="D118" i="5"/>
  <c r="I23" i="6"/>
  <c r="I32" i="6"/>
  <c r="D53" i="6"/>
  <c r="C53" i="6" s="1"/>
  <c r="D59" i="6"/>
  <c r="C59" i="6" s="1"/>
  <c r="D64" i="6"/>
  <c r="C64" i="6" s="1"/>
  <c r="I66" i="6"/>
  <c r="M73" i="6"/>
  <c r="M79" i="6"/>
  <c r="D80" i="6"/>
  <c r="C80" i="6" s="1"/>
  <c r="M89" i="6"/>
  <c r="I95" i="6"/>
  <c r="I117" i="6"/>
  <c r="U18" i="7"/>
  <c r="AH19" i="7"/>
  <c r="AQ20" i="7"/>
  <c r="D36" i="7"/>
  <c r="C36" i="7" s="1"/>
  <c r="J36" i="7" s="1"/>
  <c r="M37" i="7"/>
  <c r="AQ42" i="7"/>
  <c r="M46" i="7"/>
  <c r="AQ48" i="7"/>
  <c r="AH57" i="7"/>
  <c r="D68" i="7"/>
  <c r="L68" i="7" s="1"/>
  <c r="I70" i="7"/>
  <c r="AC71" i="7"/>
  <c r="D72" i="7"/>
  <c r="C72" i="7" s="1"/>
  <c r="I74" i="7"/>
  <c r="I80" i="7"/>
  <c r="AC82" i="7"/>
  <c r="AK82" i="7" s="1"/>
  <c r="X84" i="7"/>
  <c r="I85" i="7"/>
  <c r="AQ90" i="7"/>
  <c r="AL98" i="7"/>
  <c r="AH103" i="7"/>
  <c r="M107" i="7"/>
  <c r="M106" i="7" s="1"/>
  <c r="D115" i="7"/>
  <c r="L115" i="7" s="1"/>
  <c r="M19" i="8"/>
  <c r="I24" i="8"/>
  <c r="BC30" i="8"/>
  <c r="AV38" i="8"/>
  <c r="U42" i="8"/>
  <c r="M43" i="8"/>
  <c r="O48" i="8"/>
  <c r="AA48" i="8"/>
  <c r="AH48" i="11"/>
  <c r="H48" i="11"/>
  <c r="L27" i="9"/>
  <c r="M27" i="9" s="1"/>
  <c r="Q40" i="11"/>
  <c r="H40" i="11"/>
  <c r="U70" i="3"/>
  <c r="U78" i="3"/>
  <c r="I80" i="3"/>
  <c r="U89" i="3"/>
  <c r="R90" i="3"/>
  <c r="I98" i="3"/>
  <c r="I99" i="3"/>
  <c r="D41" i="4"/>
  <c r="L41" i="4" s="1"/>
  <c r="AA73" i="4"/>
  <c r="AA74" i="4"/>
  <c r="I81" i="4"/>
  <c r="V83" i="4"/>
  <c r="AD83" i="4" s="1"/>
  <c r="V95" i="4"/>
  <c r="U95" i="4" s="1"/>
  <c r="BB19" i="5"/>
  <c r="BA20" i="5"/>
  <c r="BC20" i="5" s="1"/>
  <c r="AK29" i="5"/>
  <c r="D37" i="5"/>
  <c r="C37" i="5" s="1"/>
  <c r="Z42" i="5"/>
  <c r="AK42" i="5"/>
  <c r="Z43" i="5"/>
  <c r="I44" i="5"/>
  <c r="M46" i="5"/>
  <c r="D50" i="5"/>
  <c r="L50" i="5" s="1"/>
  <c r="Z58" i="5"/>
  <c r="M59" i="5"/>
  <c r="BA71" i="5"/>
  <c r="M79" i="5"/>
  <c r="AG80" i="5"/>
  <c r="T84" i="5"/>
  <c r="D43" i="6"/>
  <c r="L43" i="6" s="1"/>
  <c r="M51" i="6"/>
  <c r="I79" i="6"/>
  <c r="U34" i="7"/>
  <c r="AA37" i="7"/>
  <c r="D39" i="7"/>
  <c r="L39" i="7" s="1"/>
  <c r="AQ41" i="7"/>
  <c r="AL55" i="7"/>
  <c r="AQ61" i="7"/>
  <c r="AL72" i="7"/>
  <c r="I73" i="7"/>
  <c r="I107" i="7"/>
  <c r="AL52" i="8"/>
  <c r="Q114" i="11"/>
  <c r="H114" i="11"/>
  <c r="K114" i="11" s="1"/>
  <c r="I52" i="3"/>
  <c r="D111" i="3"/>
  <c r="C111" i="3" s="1"/>
  <c r="J111" i="3" s="1"/>
  <c r="AA32" i="4"/>
  <c r="V47" i="4"/>
  <c r="D48" i="4"/>
  <c r="C48" i="4" s="1"/>
  <c r="J48" i="4" s="1"/>
  <c r="I75" i="4"/>
  <c r="V84" i="4"/>
  <c r="AD84" i="4" s="1"/>
  <c r="D85" i="4"/>
  <c r="L85" i="4" s="1"/>
  <c r="AA87" i="4"/>
  <c r="D93" i="4"/>
  <c r="C93" i="4" s="1"/>
  <c r="J93" i="4" s="1"/>
  <c r="V107" i="4"/>
  <c r="AD107" i="4" s="1"/>
  <c r="AM16" i="5"/>
  <c r="I17" i="5"/>
  <c r="S24" i="5"/>
  <c r="AK32" i="5"/>
  <c r="BA40" i="5"/>
  <c r="BC40" i="5" s="1"/>
  <c r="I60" i="5"/>
  <c r="AK60" i="5"/>
  <c r="I61" i="5"/>
  <c r="Z61" i="5"/>
  <c r="M29" i="6"/>
  <c r="P32" i="6"/>
  <c r="I52" i="6"/>
  <c r="P98" i="6"/>
  <c r="R98" i="6" s="1"/>
  <c r="R25" i="7"/>
  <c r="I50" i="7"/>
  <c r="AA68" i="7"/>
  <c r="AQ68" i="7"/>
  <c r="M72" i="7"/>
  <c r="AH77" i="7"/>
  <c r="M78" i="7"/>
  <c r="AC79" i="7"/>
  <c r="AB79" i="7" s="1"/>
  <c r="AI79" i="7" s="1"/>
  <c r="AH83" i="7"/>
  <c r="AH104" i="7"/>
  <c r="D112" i="7"/>
  <c r="L112" i="7" s="1"/>
  <c r="AC114" i="7"/>
  <c r="AB114" i="7" s="1"/>
  <c r="AI114" i="7" s="1"/>
  <c r="AO19" i="8"/>
  <c r="O20" i="8"/>
  <c r="BC21" i="8"/>
  <c r="U24" i="8"/>
  <c r="AV25" i="8"/>
  <c r="AH27" i="8"/>
  <c r="D29" i="8"/>
  <c r="L29" i="8" s="1"/>
  <c r="AO30" i="8"/>
  <c r="U31" i="8"/>
  <c r="BC38" i="8"/>
  <c r="O42" i="8"/>
  <c r="AR49" i="8"/>
  <c r="M51" i="8"/>
  <c r="U52" i="8"/>
  <c r="AO52" i="8"/>
  <c r="AD72" i="8"/>
  <c r="R72" i="8"/>
  <c r="M49" i="3"/>
  <c r="D118" i="3"/>
  <c r="L118" i="3" s="1"/>
  <c r="D21" i="4"/>
  <c r="L21" i="4" s="1"/>
  <c r="V38" i="4"/>
  <c r="AD38" i="4" s="1"/>
  <c r="AA45" i="4"/>
  <c r="I46" i="4"/>
  <c r="V48" i="4"/>
  <c r="AD48" i="4" s="1"/>
  <c r="AA64" i="4"/>
  <c r="V72" i="4"/>
  <c r="AD72" i="4" s="1"/>
  <c r="AJ15" i="5"/>
  <c r="M19" i="5"/>
  <c r="BB26" i="5"/>
  <c r="BA42" i="5"/>
  <c r="S43" i="5"/>
  <c r="BB49" i="5"/>
  <c r="T52" i="5"/>
  <c r="AG52" i="5"/>
  <c r="D55" i="5"/>
  <c r="L55" i="5" s="1"/>
  <c r="Z63" i="5"/>
  <c r="AM63" i="5"/>
  <c r="BB64" i="5"/>
  <c r="D70" i="5"/>
  <c r="L70" i="5" s="1"/>
  <c r="T73" i="5"/>
  <c r="S75" i="5"/>
  <c r="U19" i="6"/>
  <c r="M25" i="6"/>
  <c r="I42" i="6"/>
  <c r="M43" i="6"/>
  <c r="I47" i="6"/>
  <c r="I59" i="6"/>
  <c r="M60" i="6"/>
  <c r="U98" i="6"/>
  <c r="I99" i="6"/>
  <c r="M110" i="6"/>
  <c r="AL21" i="7"/>
  <c r="M22" i="7"/>
  <c r="AQ29" i="7"/>
  <c r="AC31" i="7"/>
  <c r="AK31" i="7" s="1"/>
  <c r="D32" i="7"/>
  <c r="C32" i="7" s="1"/>
  <c r="X34" i="7"/>
  <c r="I35" i="7"/>
  <c r="X55" i="7"/>
  <c r="AA56" i="7"/>
  <c r="AQ56" i="7"/>
  <c r="AL58" i="7"/>
  <c r="M59" i="7"/>
  <c r="AC61" i="7"/>
  <c r="AB61" i="7" s="1"/>
  <c r="AC94" i="7"/>
  <c r="AK94" i="7" s="1"/>
  <c r="AC103" i="7"/>
  <c r="AK103" i="7" s="1"/>
  <c r="I113" i="7"/>
  <c r="D114" i="7"/>
  <c r="L114" i="7" s="1"/>
  <c r="I115" i="7"/>
  <c r="D118" i="7"/>
  <c r="L118" i="7" s="1"/>
  <c r="O37" i="8"/>
  <c r="O39" i="8"/>
  <c r="AR44" i="8"/>
  <c r="I51" i="8"/>
  <c r="I53" i="3"/>
  <c r="D101" i="3"/>
  <c r="C101" i="3" s="1"/>
  <c r="J101" i="3" s="1"/>
  <c r="I20" i="4"/>
  <c r="D32" i="4"/>
  <c r="C32" i="4" s="1"/>
  <c r="T56" i="4"/>
  <c r="AA77" i="4"/>
  <c r="I82" i="4"/>
  <c r="AA118" i="4"/>
  <c r="T26" i="5"/>
  <c r="D29" i="5"/>
  <c r="L29" i="5" s="1"/>
  <c r="D30" i="5"/>
  <c r="L30" i="5" s="1"/>
  <c r="AK34" i="5"/>
  <c r="AK36" i="5"/>
  <c r="T41" i="5"/>
  <c r="S58" i="5"/>
  <c r="AK62" i="5"/>
  <c r="Z65" i="5"/>
  <c r="AK80" i="5"/>
  <c r="I82" i="5"/>
  <c r="M87" i="5"/>
  <c r="P46" i="6"/>
  <c r="R46" i="6" s="1"/>
  <c r="AH75" i="7"/>
  <c r="U79" i="7"/>
  <c r="U26" i="8"/>
  <c r="O27" i="8"/>
  <c r="AV29" i="8"/>
  <c r="AR35" i="8"/>
  <c r="U40" i="8"/>
  <c r="AH41" i="8"/>
  <c r="O49" i="8"/>
  <c r="O86" i="8"/>
  <c r="AO58" i="8"/>
  <c r="AO82" i="8"/>
  <c r="O84" i="8"/>
  <c r="BC87" i="8"/>
  <c r="I89" i="8"/>
  <c r="T21" i="9"/>
  <c r="L56" i="9"/>
  <c r="L63" i="9"/>
  <c r="M63" i="9" s="1"/>
  <c r="S74" i="9"/>
  <c r="L15" i="10"/>
  <c r="J26" i="10"/>
  <c r="C29" i="10"/>
  <c r="G29" i="10" s="1"/>
  <c r="C30" i="10"/>
  <c r="G30" i="10" s="1"/>
  <c r="N55" i="10"/>
  <c r="J65" i="10"/>
  <c r="P77" i="10"/>
  <c r="J80" i="10"/>
  <c r="AK15" i="11"/>
  <c r="L20" i="11"/>
  <c r="C22" i="11"/>
  <c r="G22" i="11" s="1"/>
  <c r="C32" i="11"/>
  <c r="G32" i="11" s="1"/>
  <c r="AM42" i="11"/>
  <c r="AO42" i="11" s="1"/>
  <c r="AA46" i="11"/>
  <c r="J48" i="11"/>
  <c r="J62" i="11"/>
  <c r="I65" i="11"/>
  <c r="C83" i="11"/>
  <c r="G83" i="11" s="1"/>
  <c r="I89" i="11"/>
  <c r="J29" i="14"/>
  <c r="U80" i="17"/>
  <c r="U56" i="8"/>
  <c r="U60" i="8"/>
  <c r="AO64" i="8"/>
  <c r="AH69" i="8"/>
  <c r="AV88" i="8"/>
  <c r="X89" i="8"/>
  <c r="O90" i="8"/>
  <c r="S60" i="9"/>
  <c r="U60" i="9" s="1"/>
  <c r="L78" i="9"/>
  <c r="M78" i="9" s="1"/>
  <c r="C107" i="9"/>
  <c r="G107" i="9" s="1"/>
  <c r="N26" i="10"/>
  <c r="N58" i="10"/>
  <c r="N64" i="10"/>
  <c r="G68" i="10"/>
  <c r="P70" i="10"/>
  <c r="J72" i="10"/>
  <c r="C75" i="10"/>
  <c r="G75" i="10" s="1"/>
  <c r="J81" i="10"/>
  <c r="C84" i="10"/>
  <c r="G84" i="10" s="1"/>
  <c r="N85" i="10"/>
  <c r="C99" i="10"/>
  <c r="G99" i="10" s="1"/>
  <c r="AA19" i="11"/>
  <c r="Q24" i="11"/>
  <c r="J24" i="11"/>
  <c r="AA26" i="11"/>
  <c r="I29" i="11"/>
  <c r="AM30" i="11"/>
  <c r="AO30" i="11" s="1"/>
  <c r="Y40" i="11"/>
  <c r="AH40" i="11"/>
  <c r="AA42" i="11"/>
  <c r="AH50" i="11"/>
  <c r="AA58" i="11"/>
  <c r="AH58" i="11"/>
  <c r="AM59" i="11"/>
  <c r="AO59" i="11" s="1"/>
  <c r="Q70" i="11"/>
  <c r="AH71" i="11"/>
  <c r="J72" i="11"/>
  <c r="L74" i="11"/>
  <c r="H75" i="11"/>
  <c r="Y83" i="11"/>
  <c r="AM83" i="11"/>
  <c r="AO83" i="11" s="1"/>
  <c r="AM86" i="11"/>
  <c r="AO86" i="11" s="1"/>
  <c r="C88" i="11"/>
  <c r="G88" i="11" s="1"/>
  <c r="Y88" i="11"/>
  <c r="AM98" i="11"/>
  <c r="AO98" i="11" s="1"/>
  <c r="BX56" i="13"/>
  <c r="D52" i="8"/>
  <c r="C52" i="8" s="1"/>
  <c r="M53" i="8"/>
  <c r="I59" i="8"/>
  <c r="D60" i="8"/>
  <c r="C60" i="8" s="1"/>
  <c r="U64" i="8"/>
  <c r="D75" i="8"/>
  <c r="L75" i="8" s="1"/>
  <c r="R75" i="8"/>
  <c r="AV77" i="8"/>
  <c r="AV79" i="8"/>
  <c r="AO80" i="8"/>
  <c r="BC85" i="8"/>
  <c r="I86" i="8"/>
  <c r="U87" i="8"/>
  <c r="U89" i="8"/>
  <c r="M96" i="8"/>
  <c r="D100" i="8"/>
  <c r="L100" i="8" s="1"/>
  <c r="I112" i="8"/>
  <c r="X17" i="9"/>
  <c r="S19" i="9"/>
  <c r="U19" i="9" s="1"/>
  <c r="S20" i="9"/>
  <c r="L30" i="9"/>
  <c r="M30" i="9" s="1"/>
  <c r="L34" i="9"/>
  <c r="M34" i="9" s="1"/>
  <c r="L36" i="9"/>
  <c r="C44" i="9"/>
  <c r="G44" i="9" s="1"/>
  <c r="C48" i="9"/>
  <c r="G48" i="9" s="1"/>
  <c r="L58" i="9"/>
  <c r="M58" i="9" s="1"/>
  <c r="L89" i="9"/>
  <c r="C24" i="10"/>
  <c r="G24" i="10" s="1"/>
  <c r="J29" i="10"/>
  <c r="C32" i="10"/>
  <c r="G32" i="10" s="1"/>
  <c r="P35" i="10"/>
  <c r="P41" i="10"/>
  <c r="J45" i="10"/>
  <c r="P51" i="10"/>
  <c r="C56" i="10"/>
  <c r="G56" i="10" s="1"/>
  <c r="N65" i="10"/>
  <c r="N80" i="10"/>
  <c r="J82" i="10"/>
  <c r="C85" i="10"/>
  <c r="G85" i="10" s="1"/>
  <c r="P87" i="10"/>
  <c r="N88" i="10"/>
  <c r="J89" i="10"/>
  <c r="C107" i="10"/>
  <c r="G107" i="10" s="1"/>
  <c r="C110" i="10"/>
  <c r="G110" i="10" s="1"/>
  <c r="Q17" i="11"/>
  <c r="X15" i="11"/>
  <c r="L18" i="11"/>
  <c r="C20" i="11"/>
  <c r="G20" i="11" s="1"/>
  <c r="AH22" i="11"/>
  <c r="AM23" i="11"/>
  <c r="AO23" i="11" s="1"/>
  <c r="AH28" i="11"/>
  <c r="C30" i="11"/>
  <c r="G30" i="11" s="1"/>
  <c r="S37" i="11"/>
  <c r="Y38" i="11"/>
  <c r="L39" i="11"/>
  <c r="C43" i="11"/>
  <c r="G43" i="11" s="1"/>
  <c r="AM48" i="11"/>
  <c r="AO48" i="11" s="1"/>
  <c r="I55" i="11"/>
  <c r="AA55" i="11"/>
  <c r="Y58" i="11"/>
  <c r="AA61" i="11"/>
  <c r="AM62" i="11"/>
  <c r="AO62" i="11" s="1"/>
  <c r="AJ64" i="11"/>
  <c r="L72" i="11"/>
  <c r="Y81" i="11"/>
  <c r="AJ81" i="11"/>
  <c r="AA83" i="11"/>
  <c r="S85" i="11"/>
  <c r="J87" i="11"/>
  <c r="Z54" i="13"/>
  <c r="AG62" i="13"/>
  <c r="M62" i="13"/>
  <c r="J67" i="13"/>
  <c r="K67" i="13" s="1"/>
  <c r="C39" i="15"/>
  <c r="G39" i="15" s="1"/>
  <c r="C105" i="15"/>
  <c r="G105" i="15" s="1"/>
  <c r="I69" i="16"/>
  <c r="J69" i="16" s="1"/>
  <c r="R47" i="17"/>
  <c r="I47" i="17"/>
  <c r="L47" i="17" s="1"/>
  <c r="O47" i="17"/>
  <c r="I96" i="8"/>
  <c r="D102" i="8"/>
  <c r="L102" i="8" s="1"/>
  <c r="D104" i="8"/>
  <c r="C104" i="8" s="1"/>
  <c r="J104" i="8" s="1"/>
  <c r="X105" i="8"/>
  <c r="I119" i="8"/>
  <c r="AA17" i="9"/>
  <c r="X19" i="9"/>
  <c r="T26" i="9"/>
  <c r="L53" i="9"/>
  <c r="M53" i="9" s="1"/>
  <c r="L60" i="9"/>
  <c r="C78" i="9"/>
  <c r="G78" i="9" s="1"/>
  <c r="S82" i="9"/>
  <c r="C89" i="9"/>
  <c r="G89" i="9" s="1"/>
  <c r="C111" i="9"/>
  <c r="G111" i="9" s="1"/>
  <c r="J30" i="10"/>
  <c r="C43" i="10"/>
  <c r="G43" i="10" s="1"/>
  <c r="C64" i="10"/>
  <c r="G64" i="10" s="1"/>
  <c r="N82" i="10"/>
  <c r="C95" i="10"/>
  <c r="G95" i="10" s="1"/>
  <c r="H41" i="11"/>
  <c r="C46" i="11"/>
  <c r="G46" i="11" s="1"/>
  <c r="C51" i="11"/>
  <c r="G51" i="11" s="1"/>
  <c r="AH51" i="11"/>
  <c r="AA59" i="11"/>
  <c r="I66" i="11"/>
  <c r="AA66" i="11"/>
  <c r="AJ77" i="11"/>
  <c r="AA79" i="11"/>
  <c r="C82" i="11"/>
  <c r="G82" i="11" s="1"/>
  <c r="AA88" i="11"/>
  <c r="C20" i="13"/>
  <c r="G20" i="13" s="1"/>
  <c r="AX66" i="13"/>
  <c r="AY66" i="13" s="1"/>
  <c r="AG98" i="13"/>
  <c r="O64" i="8"/>
  <c r="AA67" i="8"/>
  <c r="M69" i="8"/>
  <c r="AL71" i="8"/>
  <c r="D72" i="8"/>
  <c r="L72" i="8" s="1"/>
  <c r="AZ77" i="8"/>
  <c r="AA88" i="8"/>
  <c r="T41" i="9"/>
  <c r="Y25" i="11"/>
  <c r="L26" i="11"/>
  <c r="H30" i="11"/>
  <c r="Y30" i="11"/>
  <c r="AA38" i="11"/>
  <c r="J40" i="11"/>
  <c r="AM57" i="11"/>
  <c r="AO57" i="11" s="1"/>
  <c r="L73" i="11"/>
  <c r="AA86" i="11"/>
  <c r="J88" i="11"/>
  <c r="H99" i="11"/>
  <c r="K99" i="11" s="1"/>
  <c r="BS33" i="13"/>
  <c r="BN51" i="13"/>
  <c r="W107" i="13"/>
  <c r="M107" i="13"/>
  <c r="D86" i="8"/>
  <c r="L86" i="8" s="1"/>
  <c r="U86" i="8"/>
  <c r="M87" i="8"/>
  <c r="C18" i="9"/>
  <c r="G18" i="9" s="1"/>
  <c r="C42" i="9"/>
  <c r="G42" i="9" s="1"/>
  <c r="T65" i="9"/>
  <c r="AA78" i="9"/>
  <c r="C80" i="9"/>
  <c r="G80" i="9" s="1"/>
  <c r="AA84" i="9"/>
  <c r="C86" i="9"/>
  <c r="G86" i="9" s="1"/>
  <c r="T89" i="9"/>
  <c r="N23" i="10"/>
  <c r="C27" i="10"/>
  <c r="G27" i="10" s="1"/>
  <c r="C44" i="10"/>
  <c r="G44" i="10" s="1"/>
  <c r="C52" i="10"/>
  <c r="G52" i="10" s="1"/>
  <c r="J56" i="10"/>
  <c r="C60" i="10"/>
  <c r="G60" i="10" s="1"/>
  <c r="C65" i="10"/>
  <c r="G65" i="10" s="1"/>
  <c r="J70" i="10"/>
  <c r="C80" i="10"/>
  <c r="G80" i="10" s="1"/>
  <c r="C97" i="10"/>
  <c r="G97" i="10" s="1"/>
  <c r="I25" i="11"/>
  <c r="C29" i="11"/>
  <c r="G29" i="11" s="1"/>
  <c r="J34" i="11"/>
  <c r="L40" i="11"/>
  <c r="AJ48" i="11"/>
  <c r="C63" i="11"/>
  <c r="G63" i="11" s="1"/>
  <c r="L69" i="11"/>
  <c r="C70" i="11"/>
  <c r="G70" i="11" s="1"/>
  <c r="C78" i="11"/>
  <c r="G78" i="11" s="1"/>
  <c r="C80" i="11"/>
  <c r="G80" i="11" s="1"/>
  <c r="AM82" i="11"/>
  <c r="AO82" i="11" s="1"/>
  <c r="Y87" i="11"/>
  <c r="AJ87" i="11"/>
  <c r="C99" i="12"/>
  <c r="G99" i="12" s="1"/>
  <c r="C112" i="12"/>
  <c r="G112" i="12" s="1"/>
  <c r="K92" i="13"/>
  <c r="U92" i="13"/>
  <c r="C102" i="14"/>
  <c r="G102" i="14" s="1"/>
  <c r="C60" i="15"/>
  <c r="G60" i="15" s="1"/>
  <c r="C71" i="15"/>
  <c r="G71" i="15" s="1"/>
  <c r="AD67" i="8"/>
  <c r="M80" i="8"/>
  <c r="L22" i="9"/>
  <c r="M22" i="9" s="1"/>
  <c r="L24" i="9"/>
  <c r="S28" i="9"/>
  <c r="P21" i="10"/>
  <c r="P29" i="10"/>
  <c r="H16" i="11"/>
  <c r="AH27" i="11"/>
  <c r="H46" i="11"/>
  <c r="I48" i="11"/>
  <c r="H57" i="11"/>
  <c r="H65" i="11"/>
  <c r="L81" i="11"/>
  <c r="AF40" i="13"/>
  <c r="AG40" i="13" s="1"/>
  <c r="V21" i="13"/>
  <c r="W21" i="13" s="1"/>
  <c r="T26" i="13"/>
  <c r="U26" i="13" s="1"/>
  <c r="BP29" i="13"/>
  <c r="V30" i="13"/>
  <c r="W30" i="13" s="1"/>
  <c r="T36" i="13"/>
  <c r="U36" i="13" s="1"/>
  <c r="AD37" i="13"/>
  <c r="AE37" i="13" s="1"/>
  <c r="AV37" i="13"/>
  <c r="AW37" i="13" s="1"/>
  <c r="BZ40" i="13"/>
  <c r="CA40" i="13" s="1"/>
  <c r="AF42" i="13"/>
  <c r="AG42" i="13" s="1"/>
  <c r="AX42" i="13"/>
  <c r="AY42" i="13" s="1"/>
  <c r="BP45" i="13"/>
  <c r="BN63" i="13"/>
  <c r="AX64" i="13"/>
  <c r="AY64" i="13" s="1"/>
  <c r="BZ64" i="13"/>
  <c r="CA64" i="13" s="1"/>
  <c r="L67" i="13"/>
  <c r="M67" i="13" s="1"/>
  <c r="BN84" i="13"/>
  <c r="J16" i="15"/>
  <c r="I23" i="15"/>
  <c r="H24" i="15"/>
  <c r="H31" i="15"/>
  <c r="I64" i="15"/>
  <c r="J67" i="15"/>
  <c r="J71" i="15"/>
  <c r="J88" i="15"/>
  <c r="I47" i="16"/>
  <c r="J47" i="16" s="1"/>
  <c r="I63" i="16"/>
  <c r="J63" i="16" s="1"/>
  <c r="C22" i="12"/>
  <c r="G22" i="12" s="1"/>
  <c r="C25" i="12"/>
  <c r="G25" i="12" s="1"/>
  <c r="C31" i="12"/>
  <c r="G31" i="12" s="1"/>
  <c r="C32" i="12"/>
  <c r="G32" i="12" s="1"/>
  <c r="H37" i="12"/>
  <c r="K40" i="12"/>
  <c r="L46" i="12"/>
  <c r="I46" i="12" s="1"/>
  <c r="K47" i="12"/>
  <c r="C74" i="12"/>
  <c r="G74" i="12" s="1"/>
  <c r="C77" i="12"/>
  <c r="G77" i="12" s="1"/>
  <c r="C84" i="12"/>
  <c r="G84" i="12" s="1"/>
  <c r="C85" i="12"/>
  <c r="G85" i="12" s="1"/>
  <c r="C98" i="12"/>
  <c r="G98" i="12" s="1"/>
  <c r="C113" i="12"/>
  <c r="G113" i="12" s="1"/>
  <c r="T22" i="13"/>
  <c r="U22" i="13" s="1"/>
  <c r="C24" i="13"/>
  <c r="G24" i="13" s="1"/>
  <c r="BX31" i="13"/>
  <c r="BG33" i="13"/>
  <c r="BN35" i="13"/>
  <c r="BX35" i="13"/>
  <c r="BY35" i="13" s="1"/>
  <c r="BN40" i="13"/>
  <c r="BP44" i="13"/>
  <c r="AD49" i="13"/>
  <c r="AE49" i="13" s="1"/>
  <c r="BP56" i="13"/>
  <c r="C59" i="13"/>
  <c r="G59" i="13" s="1"/>
  <c r="BP60" i="13"/>
  <c r="AD61" i="13"/>
  <c r="BP62" i="13"/>
  <c r="AF66" i="13"/>
  <c r="AG66" i="13" s="1"/>
  <c r="BN85" i="13"/>
  <c r="C89" i="13"/>
  <c r="G89" i="13" s="1"/>
  <c r="AX89" i="13"/>
  <c r="C92" i="13"/>
  <c r="G92" i="13" s="1"/>
  <c r="C105" i="13"/>
  <c r="G105" i="13" s="1"/>
  <c r="C32" i="14"/>
  <c r="G32" i="14" s="1"/>
  <c r="J90" i="14"/>
  <c r="C109" i="14"/>
  <c r="G109" i="14" s="1"/>
  <c r="C111" i="14"/>
  <c r="G111" i="14" s="1"/>
  <c r="O18" i="15"/>
  <c r="C20" i="15"/>
  <c r="G20" i="15" s="1"/>
  <c r="C43" i="15"/>
  <c r="G43" i="15" s="1"/>
  <c r="J44" i="15"/>
  <c r="C47" i="15"/>
  <c r="G47" i="15" s="1"/>
  <c r="J53" i="15"/>
  <c r="O55" i="15"/>
  <c r="I40" i="16"/>
  <c r="J40" i="16" s="1"/>
  <c r="I56" i="16"/>
  <c r="J56" i="16" s="1"/>
  <c r="C68" i="16"/>
  <c r="G68" i="16" s="1"/>
  <c r="I78" i="16"/>
  <c r="J78" i="16" s="1"/>
  <c r="I79" i="16"/>
  <c r="J79" i="16" s="1"/>
  <c r="C93" i="16"/>
  <c r="G93" i="16" s="1"/>
  <c r="C19" i="17"/>
  <c r="G19" i="17" s="1"/>
  <c r="U50" i="17"/>
  <c r="U57" i="17"/>
  <c r="C82" i="17"/>
  <c r="G82" i="17" s="1"/>
  <c r="C90" i="17"/>
  <c r="G90" i="17" s="1"/>
  <c r="D15" i="18"/>
  <c r="Y23" i="18"/>
  <c r="Y26" i="18"/>
  <c r="Y27" i="18"/>
  <c r="H38" i="18"/>
  <c r="R38" i="18" s="1"/>
  <c r="H39" i="18"/>
  <c r="P39" i="18" s="1"/>
  <c r="U45" i="18"/>
  <c r="U48" i="18"/>
  <c r="C53" i="18"/>
  <c r="G53" i="18" s="1"/>
  <c r="C102" i="18"/>
  <c r="G102" i="18" s="1"/>
  <c r="C109" i="18"/>
  <c r="G109" i="18" s="1"/>
  <c r="H111" i="18"/>
  <c r="V111" i="18" s="1"/>
  <c r="C97" i="17"/>
  <c r="G97" i="17" s="1"/>
  <c r="C101" i="17"/>
  <c r="G101" i="17" s="1"/>
  <c r="Y32" i="18"/>
  <c r="C63" i="18"/>
  <c r="G63" i="18" s="1"/>
  <c r="C81" i="18"/>
  <c r="G81" i="18" s="1"/>
  <c r="C95" i="18"/>
  <c r="G95" i="18" s="1"/>
  <c r="K18" i="12"/>
  <c r="C34" i="12"/>
  <c r="G34" i="12" s="1"/>
  <c r="C39" i="12"/>
  <c r="G39" i="12" s="1"/>
  <c r="C41" i="12"/>
  <c r="G41" i="12" s="1"/>
  <c r="C42" i="12"/>
  <c r="G42" i="12" s="1"/>
  <c r="L47" i="12"/>
  <c r="I47" i="12" s="1"/>
  <c r="K56" i="12"/>
  <c r="L65" i="12"/>
  <c r="I65" i="12" s="1"/>
  <c r="L66" i="12"/>
  <c r="I66" i="12" s="1"/>
  <c r="L68" i="12"/>
  <c r="I68" i="12" s="1"/>
  <c r="L69" i="12"/>
  <c r="I69" i="12" s="1"/>
  <c r="H79" i="12"/>
  <c r="K85" i="12"/>
  <c r="K88" i="12"/>
  <c r="BZ17" i="13"/>
  <c r="CA17" i="13" s="1"/>
  <c r="BZ32" i="13"/>
  <c r="CA32" i="13" s="1"/>
  <c r="BN37" i="13"/>
  <c r="AX39" i="13"/>
  <c r="AY39" i="13" s="1"/>
  <c r="J41" i="13"/>
  <c r="K41" i="13" s="1"/>
  <c r="C46" i="13"/>
  <c r="G46" i="13" s="1"/>
  <c r="C52" i="13"/>
  <c r="G52" i="13" s="1"/>
  <c r="BZ53" i="13"/>
  <c r="AF55" i="13"/>
  <c r="AG55" i="13" s="1"/>
  <c r="AX55" i="13"/>
  <c r="AY55" i="13" s="1"/>
  <c r="L58" i="13"/>
  <c r="M58" i="13" s="1"/>
  <c r="V58" i="13"/>
  <c r="W58" i="13" s="1"/>
  <c r="V59" i="13"/>
  <c r="W59" i="13" s="1"/>
  <c r="BP70" i="13"/>
  <c r="AF72" i="13"/>
  <c r="AG72" i="13" s="1"/>
  <c r="BN77" i="13"/>
  <c r="V80" i="13"/>
  <c r="W80" i="13" s="1"/>
  <c r="C81" i="13"/>
  <c r="G81" i="13" s="1"/>
  <c r="AD84" i="13"/>
  <c r="AE84" i="13" s="1"/>
  <c r="C85" i="13"/>
  <c r="G85" i="13" s="1"/>
  <c r="BP85" i="13"/>
  <c r="J86" i="13"/>
  <c r="K86" i="13" s="1"/>
  <c r="AD89" i="13"/>
  <c r="AE89" i="13" s="1"/>
  <c r="M110" i="13"/>
  <c r="J16" i="14"/>
  <c r="J81" i="14"/>
  <c r="J19" i="15"/>
  <c r="C36" i="15"/>
  <c r="G36" i="15" s="1"/>
  <c r="J50" i="15"/>
  <c r="C68" i="15"/>
  <c r="G68" i="15" s="1"/>
  <c r="J69" i="15"/>
  <c r="C40" i="16"/>
  <c r="G40" i="16" s="1"/>
  <c r="C47" i="16"/>
  <c r="G47" i="16" s="1"/>
  <c r="I64" i="16"/>
  <c r="J64" i="16" s="1"/>
  <c r="I89" i="16"/>
  <c r="J89" i="16" s="1"/>
  <c r="C25" i="17"/>
  <c r="G25" i="17" s="1"/>
  <c r="C96" i="17"/>
  <c r="G96" i="17" s="1"/>
  <c r="C100" i="17"/>
  <c r="G100" i="17" s="1"/>
  <c r="C104" i="17"/>
  <c r="G104" i="17" s="1"/>
  <c r="C109" i="17"/>
  <c r="G109" i="17" s="1"/>
  <c r="U19" i="18"/>
  <c r="C22" i="18"/>
  <c r="G22" i="18" s="1"/>
  <c r="Y48" i="18"/>
  <c r="Y51" i="18"/>
  <c r="U60" i="18"/>
  <c r="U66" i="18"/>
  <c r="U68" i="18"/>
  <c r="U69" i="18"/>
  <c r="H101" i="18"/>
  <c r="R101" i="18" s="1"/>
  <c r="L17" i="12"/>
  <c r="I17" i="12" s="1"/>
  <c r="K64" i="12"/>
  <c r="K71" i="12"/>
  <c r="V32" i="13"/>
  <c r="W32" i="13" s="1"/>
  <c r="AX36" i="13"/>
  <c r="AY36" i="13" s="1"/>
  <c r="BN36" i="13"/>
  <c r="L41" i="13"/>
  <c r="M41" i="13" s="1"/>
  <c r="BX43" i="13"/>
  <c r="BZ46" i="13"/>
  <c r="BX49" i="13"/>
  <c r="V50" i="13"/>
  <c r="W50" i="13" s="1"/>
  <c r="BP53" i="13"/>
  <c r="BN66" i="13"/>
  <c r="AV70" i="13"/>
  <c r="AW70" i="13" s="1"/>
  <c r="T74" i="13"/>
  <c r="U74" i="13" s="1"/>
  <c r="C77" i="13"/>
  <c r="G77" i="13" s="1"/>
  <c r="AF84" i="13"/>
  <c r="AG84" i="13" s="1"/>
  <c r="L86" i="13"/>
  <c r="M86" i="13" s="1"/>
  <c r="AV86" i="13"/>
  <c r="V89" i="13"/>
  <c r="W89" i="13" s="1"/>
  <c r="T90" i="13"/>
  <c r="U90" i="13" s="1"/>
  <c r="J27" i="15"/>
  <c r="J38" i="15"/>
  <c r="I66" i="15"/>
  <c r="J81" i="15"/>
  <c r="I49" i="16"/>
  <c r="J49" i="16" s="1"/>
  <c r="C56" i="16"/>
  <c r="G56" i="16" s="1"/>
  <c r="C88" i="16"/>
  <c r="G88" i="16" s="1"/>
  <c r="O20" i="17"/>
  <c r="O53" i="17"/>
  <c r="AA15" i="18"/>
  <c r="K77" i="12"/>
  <c r="H98" i="12"/>
  <c r="V24" i="13"/>
  <c r="W24" i="13" s="1"/>
  <c r="BZ24" i="13"/>
  <c r="CA24" i="13" s="1"/>
  <c r="T25" i="13"/>
  <c r="U25" i="13" s="1"/>
  <c r="BP28" i="13"/>
  <c r="V38" i="13"/>
  <c r="W38" i="13" s="1"/>
  <c r="AM33" i="13"/>
  <c r="BN44" i="13"/>
  <c r="C47" i="13"/>
  <c r="G47" i="13" s="1"/>
  <c r="AX53" i="13"/>
  <c r="AY53" i="13" s="1"/>
  <c r="BN59" i="13"/>
  <c r="BX62" i="13"/>
  <c r="BJ76" i="13"/>
  <c r="J83" i="13"/>
  <c r="K83" i="13" s="1"/>
  <c r="BN83" i="13"/>
  <c r="C94" i="13"/>
  <c r="G94" i="13" s="1"/>
  <c r="J36" i="14"/>
  <c r="C56" i="14"/>
  <c r="G56" i="14" s="1"/>
  <c r="J58" i="14"/>
  <c r="J62" i="14"/>
  <c r="J80" i="14"/>
  <c r="C90" i="14"/>
  <c r="G90" i="14" s="1"/>
  <c r="C101" i="14"/>
  <c r="G101" i="14" s="1"/>
  <c r="J28" i="15"/>
  <c r="H30" i="15"/>
  <c r="K30" i="15" s="1"/>
  <c r="C37" i="15"/>
  <c r="G37" i="15" s="1"/>
  <c r="I85" i="15"/>
  <c r="C101" i="15"/>
  <c r="G101" i="15" s="1"/>
  <c r="C41" i="16"/>
  <c r="G41" i="16" s="1"/>
  <c r="C71" i="16"/>
  <c r="G71" i="16" s="1"/>
  <c r="C72" i="16"/>
  <c r="G72" i="16" s="1"/>
  <c r="C89" i="16"/>
  <c r="G89" i="16" s="1"/>
  <c r="R34" i="17"/>
  <c r="O46" i="17"/>
  <c r="C63" i="17"/>
  <c r="G63" i="17" s="1"/>
  <c r="U72" i="17"/>
  <c r="U21" i="18"/>
  <c r="C26" i="18"/>
  <c r="G26" i="18" s="1"/>
  <c r="C31" i="18"/>
  <c r="G31" i="18" s="1"/>
  <c r="C34" i="18"/>
  <c r="G34" i="18" s="1"/>
  <c r="C37" i="18"/>
  <c r="G37" i="18" s="1"/>
  <c r="C40" i="18"/>
  <c r="G40" i="18" s="1"/>
  <c r="Y61" i="18"/>
  <c r="Y62" i="18"/>
  <c r="Y67" i="18"/>
  <c r="H68" i="18"/>
  <c r="L68" i="18" s="1"/>
  <c r="Y70" i="18"/>
  <c r="Y77" i="18"/>
  <c r="Y78" i="18"/>
  <c r="Y79" i="18"/>
  <c r="J106" i="18"/>
  <c r="C110" i="11"/>
  <c r="G110" i="11" s="1"/>
  <c r="C16" i="12"/>
  <c r="G16" i="12" s="1"/>
  <c r="C18" i="12"/>
  <c r="G18" i="12" s="1"/>
  <c r="C19" i="12"/>
  <c r="G19" i="12" s="1"/>
  <c r="C57" i="12"/>
  <c r="G57" i="12" s="1"/>
  <c r="H69" i="12"/>
  <c r="L82" i="12"/>
  <c r="I82" i="12" s="1"/>
  <c r="K97" i="12"/>
  <c r="M97" i="12" s="1"/>
  <c r="BN20" i="13"/>
  <c r="BZ23" i="13"/>
  <c r="CA23" i="13" s="1"/>
  <c r="AD31" i="13"/>
  <c r="AE31" i="13" s="1"/>
  <c r="BN32" i="13"/>
  <c r="BX40" i="13"/>
  <c r="BY40" i="13" s="1"/>
  <c r="AF56" i="13"/>
  <c r="AG56" i="13" s="1"/>
  <c r="T64" i="13"/>
  <c r="U64" i="13" s="1"/>
  <c r="T72" i="13"/>
  <c r="U72" i="13" s="1"/>
  <c r="AQ76" i="13"/>
  <c r="BX85" i="13"/>
  <c r="C101" i="13"/>
  <c r="G101" i="13" s="1"/>
  <c r="J79" i="14"/>
  <c r="C26" i="15"/>
  <c r="G26" i="15" s="1"/>
  <c r="I35" i="15"/>
  <c r="I52" i="15"/>
  <c r="I88" i="15"/>
  <c r="I20" i="16"/>
  <c r="J20" i="16" s="1"/>
  <c r="I22" i="16"/>
  <c r="J22" i="16" s="1"/>
  <c r="C27" i="16"/>
  <c r="G27" i="16" s="1"/>
  <c r="I38" i="16"/>
  <c r="J38" i="16" s="1"/>
  <c r="C43" i="16"/>
  <c r="G43" i="16" s="1"/>
  <c r="C82" i="16"/>
  <c r="G82" i="16" s="1"/>
  <c r="C103" i="16"/>
  <c r="G103" i="16" s="1"/>
  <c r="C24" i="17"/>
  <c r="G24" i="17" s="1"/>
  <c r="C41" i="17"/>
  <c r="G41" i="17" s="1"/>
  <c r="C107" i="17"/>
  <c r="G107" i="17" s="1"/>
  <c r="Y20" i="18"/>
  <c r="Y21" i="18"/>
  <c r="C47" i="18"/>
  <c r="G47" i="18" s="1"/>
  <c r="C51" i="18"/>
  <c r="G51" i="18" s="1"/>
  <c r="D16" i="1"/>
  <c r="L16" i="1" s="1"/>
  <c r="M17" i="1"/>
  <c r="Z15" i="1"/>
  <c r="AJ17" i="1"/>
  <c r="Q19" i="1"/>
  <c r="U19" i="1" s="1"/>
  <c r="D25" i="1"/>
  <c r="L25" i="1" s="1"/>
  <c r="R25" i="1"/>
  <c r="I26" i="1"/>
  <c r="I29" i="1"/>
  <c r="I35" i="1"/>
  <c r="AC33" i="1"/>
  <c r="I43" i="1"/>
  <c r="P44" i="1"/>
  <c r="D52" i="1"/>
  <c r="L52" i="1" s="1"/>
  <c r="AA54" i="1"/>
  <c r="Q58" i="1"/>
  <c r="U58" i="1" s="1"/>
  <c r="D64" i="1"/>
  <c r="L64" i="1" s="1"/>
  <c r="Q64" i="1"/>
  <c r="U64" i="1" s="1"/>
  <c r="Q66" i="1"/>
  <c r="Q68" i="1"/>
  <c r="U68" i="1" s="1"/>
  <c r="O71" i="1"/>
  <c r="P73" i="1"/>
  <c r="S73" i="1" s="1"/>
  <c r="R75" i="1"/>
  <c r="G76" i="1"/>
  <c r="O76" i="1" s="1"/>
  <c r="P77" i="1"/>
  <c r="AD76" i="1"/>
  <c r="T80" i="1"/>
  <c r="D82" i="1"/>
  <c r="C82" i="1" s="1"/>
  <c r="J82" i="1" s="1"/>
  <c r="R88" i="1"/>
  <c r="Q90" i="1"/>
  <c r="U90" i="1" s="1"/>
  <c r="D102" i="1"/>
  <c r="C102" i="1" s="1"/>
  <c r="J102" i="1" s="1"/>
  <c r="M111" i="1"/>
  <c r="I112" i="1"/>
  <c r="W26" i="2"/>
  <c r="R28" i="2"/>
  <c r="I30" i="2"/>
  <c r="M35" i="2"/>
  <c r="Y38" i="2"/>
  <c r="I40" i="2"/>
  <c r="AD41" i="2"/>
  <c r="AD42" i="2"/>
  <c r="W51" i="2"/>
  <c r="D52" i="3"/>
  <c r="L52" i="3" s="1"/>
  <c r="T20" i="4"/>
  <c r="R20" i="4"/>
  <c r="AK20" i="5"/>
  <c r="AM20" i="5"/>
  <c r="AG15" i="1"/>
  <c r="I31" i="1"/>
  <c r="Q36" i="1"/>
  <c r="U36" i="1" s="1"/>
  <c r="N33" i="1"/>
  <c r="P41" i="1"/>
  <c r="T42" i="1"/>
  <c r="D44" i="1"/>
  <c r="L44" i="1" s="1"/>
  <c r="Q44" i="1"/>
  <c r="P46" i="1"/>
  <c r="D49" i="1"/>
  <c r="L49" i="1" s="1"/>
  <c r="P51" i="1"/>
  <c r="T52" i="1"/>
  <c r="I53" i="1"/>
  <c r="N54" i="1"/>
  <c r="R61" i="1"/>
  <c r="R64" i="1"/>
  <c r="R66" i="1"/>
  <c r="D68" i="1"/>
  <c r="L68" i="1" s="1"/>
  <c r="T71" i="1"/>
  <c r="M74" i="1"/>
  <c r="D77" i="1"/>
  <c r="L77" i="1" s="1"/>
  <c r="P79" i="1"/>
  <c r="S79" i="1" s="1"/>
  <c r="R82" i="1"/>
  <c r="I83" i="1"/>
  <c r="Q83" i="1"/>
  <c r="U83" i="1" s="1"/>
  <c r="P87" i="1"/>
  <c r="S87" i="1" s="1"/>
  <c r="D90" i="1"/>
  <c r="C90" i="1" s="1"/>
  <c r="J90" i="1" s="1"/>
  <c r="D93" i="1"/>
  <c r="C93" i="1" s="1"/>
  <c r="J93" i="1" s="1"/>
  <c r="S15" i="2"/>
  <c r="Y34" i="2"/>
  <c r="AA63" i="2"/>
  <c r="W63" i="2"/>
  <c r="U63" i="2"/>
  <c r="T37" i="4"/>
  <c r="R37" i="4"/>
  <c r="T53" i="4"/>
  <c r="R53" i="4"/>
  <c r="AY15" i="5"/>
  <c r="D18" i="1"/>
  <c r="L18" i="1" s="1"/>
  <c r="R22" i="1"/>
  <c r="R36" i="1"/>
  <c r="D38" i="1"/>
  <c r="C38" i="1" s="1"/>
  <c r="J38" i="1" s="1"/>
  <c r="D41" i="1"/>
  <c r="L41" i="1" s="1"/>
  <c r="D46" i="1"/>
  <c r="L46" i="1" s="1"/>
  <c r="M47" i="1"/>
  <c r="M52" i="1"/>
  <c r="AJ52" i="1"/>
  <c r="I59" i="1"/>
  <c r="R59" i="1"/>
  <c r="I62" i="1"/>
  <c r="AJ71" i="1"/>
  <c r="I78" i="1"/>
  <c r="D79" i="1"/>
  <c r="L79" i="1" s="1"/>
  <c r="Q79" i="1"/>
  <c r="U79" i="1" s="1"/>
  <c r="D94" i="1"/>
  <c r="C94" i="1" s="1"/>
  <c r="J94" i="1" s="1"/>
  <c r="D95" i="1"/>
  <c r="C95" i="1" s="1"/>
  <c r="D96" i="1"/>
  <c r="C96" i="1" s="1"/>
  <c r="J96" i="1" s="1"/>
  <c r="D97" i="1"/>
  <c r="C97" i="1" s="1"/>
  <c r="J97" i="1" s="1"/>
  <c r="D98" i="1"/>
  <c r="L98" i="1" s="1"/>
  <c r="D99" i="1"/>
  <c r="C99" i="1" s="1"/>
  <c r="J99" i="1" s="1"/>
  <c r="I109" i="1"/>
  <c r="O26" i="2"/>
  <c r="Y28" i="2"/>
  <c r="D29" i="2"/>
  <c r="L29" i="2" s="1"/>
  <c r="AD32" i="2"/>
  <c r="H54" i="2"/>
  <c r="Y93" i="2"/>
  <c r="AA93" i="2"/>
  <c r="T60" i="4"/>
  <c r="R60" i="4"/>
  <c r="AG18" i="5"/>
  <c r="M25" i="1"/>
  <c r="AG54" i="1"/>
  <c r="I80" i="1"/>
  <c r="D84" i="1"/>
  <c r="L84" i="1" s="1"/>
  <c r="D114" i="1"/>
  <c r="L114" i="1" s="1"/>
  <c r="D116" i="1"/>
  <c r="C116" i="1" s="1"/>
  <c r="J116" i="1" s="1"/>
  <c r="D18" i="2"/>
  <c r="C18" i="2" s="1"/>
  <c r="U18" i="2"/>
  <c r="R21" i="2"/>
  <c r="M26" i="2"/>
  <c r="AD31" i="2"/>
  <c r="R37" i="2"/>
  <c r="D40" i="2"/>
  <c r="C40" i="2" s="1"/>
  <c r="J40" i="2" s="1"/>
  <c r="D42" i="2"/>
  <c r="C42" i="2" s="1"/>
  <c r="D45" i="2"/>
  <c r="C45" i="2" s="1"/>
  <c r="U45" i="2"/>
  <c r="D48" i="2"/>
  <c r="C48" i="2" s="1"/>
  <c r="J48" i="2" s="1"/>
  <c r="D50" i="2"/>
  <c r="C50" i="2" s="1"/>
  <c r="J50" i="2" s="1"/>
  <c r="I52" i="2"/>
  <c r="AA59" i="2"/>
  <c r="W59" i="2"/>
  <c r="D39" i="3"/>
  <c r="C39" i="3" s="1"/>
  <c r="J39" i="3" s="1"/>
  <c r="T30" i="1"/>
  <c r="D31" i="1"/>
  <c r="C31" i="1" s="1"/>
  <c r="J31" i="1" s="1"/>
  <c r="D35" i="1"/>
  <c r="L35" i="1" s="1"/>
  <c r="I36" i="1"/>
  <c r="D40" i="1"/>
  <c r="L40" i="1" s="1"/>
  <c r="I42" i="1"/>
  <c r="D48" i="1"/>
  <c r="L48" i="1" s="1"/>
  <c r="M49" i="1"/>
  <c r="D53" i="1"/>
  <c r="L53" i="1" s="1"/>
  <c r="I64" i="1"/>
  <c r="M66" i="1"/>
  <c r="D72" i="1"/>
  <c r="L72" i="1" s="1"/>
  <c r="M77" i="1"/>
  <c r="I82" i="1"/>
  <c r="I88" i="1"/>
  <c r="AE76" i="1"/>
  <c r="D112" i="1"/>
  <c r="L112" i="1" s="1"/>
  <c r="D22" i="2"/>
  <c r="C22" i="2" s="1"/>
  <c r="U22" i="2"/>
  <c r="D36" i="2"/>
  <c r="C36" i="2" s="1"/>
  <c r="J36" i="2" s="1"/>
  <c r="D37" i="2"/>
  <c r="C37" i="2" s="1"/>
  <c r="D38" i="2"/>
  <c r="C38" i="2" s="1"/>
  <c r="D39" i="2"/>
  <c r="C39" i="2" s="1"/>
  <c r="I77" i="3"/>
  <c r="T39" i="5"/>
  <c r="I22" i="1"/>
  <c r="P23" i="1"/>
  <c r="S23" i="1" s="1"/>
  <c r="R26" i="1"/>
  <c r="I27" i="1"/>
  <c r="P28" i="1"/>
  <c r="S28" i="1" s="1"/>
  <c r="T35" i="1"/>
  <c r="AA91" i="1"/>
  <c r="O113" i="2"/>
  <c r="G106" i="2"/>
  <c r="G13" i="2" s="1"/>
  <c r="O13" i="2" s="1"/>
  <c r="M29" i="1"/>
  <c r="T31" i="1"/>
  <c r="O35" i="1"/>
  <c r="D37" i="1"/>
  <c r="L37" i="1" s="1"/>
  <c r="I38" i="1"/>
  <c r="P42" i="1"/>
  <c r="AD33" i="1"/>
  <c r="R45" i="1"/>
  <c r="I46" i="1"/>
  <c r="M51" i="1"/>
  <c r="R55" i="1"/>
  <c r="P56" i="1"/>
  <c r="Q62" i="1"/>
  <c r="U62" i="1" s="1"/>
  <c r="T65" i="1"/>
  <c r="T67" i="1"/>
  <c r="T69" i="1"/>
  <c r="I90" i="1"/>
  <c r="AD91" i="1"/>
  <c r="O17" i="2"/>
  <c r="O20" i="2"/>
  <c r="O21" i="2"/>
  <c r="W21" i="2"/>
  <c r="U35" i="2"/>
  <c r="U37" i="2"/>
  <c r="O39" i="2"/>
  <c r="W39" i="2"/>
  <c r="I43" i="2"/>
  <c r="W47" i="2"/>
  <c r="U51" i="2"/>
  <c r="T76" i="2"/>
  <c r="T57" i="4"/>
  <c r="R57" i="4"/>
  <c r="T17" i="1"/>
  <c r="D19" i="1"/>
  <c r="L19" i="1" s="1"/>
  <c r="R23" i="1"/>
  <c r="T37" i="1"/>
  <c r="Q39" i="1"/>
  <c r="U39" i="1" s="1"/>
  <c r="Q42" i="1"/>
  <c r="T45" i="1"/>
  <c r="Q47" i="1"/>
  <c r="R50" i="1"/>
  <c r="Q52" i="1"/>
  <c r="Q56" i="1"/>
  <c r="AI54" i="1"/>
  <c r="P58" i="1"/>
  <c r="S58" i="1" s="1"/>
  <c r="I60" i="1"/>
  <c r="P61" i="1"/>
  <c r="S61" i="1" s="1"/>
  <c r="R62" i="1"/>
  <c r="I63" i="1"/>
  <c r="P64" i="1"/>
  <c r="S64" i="1" s="1"/>
  <c r="P68" i="1"/>
  <c r="S68" i="1" s="1"/>
  <c r="Q71" i="1"/>
  <c r="T78" i="1"/>
  <c r="R80" i="1"/>
  <c r="T83" i="1"/>
  <c r="P85" i="1"/>
  <c r="S85" i="1" s="1"/>
  <c r="Q88" i="1"/>
  <c r="U88" i="1" s="1"/>
  <c r="F106" i="1"/>
  <c r="F13" i="1" s="1"/>
  <c r="W16" i="2"/>
  <c r="W22" i="2"/>
  <c r="W31" i="2"/>
  <c r="V33" i="2"/>
  <c r="I42" i="2"/>
  <c r="AA77" i="2"/>
  <c r="S76" i="2"/>
  <c r="AK38" i="5"/>
  <c r="AM38" i="5"/>
  <c r="P63" i="6"/>
  <c r="R63" i="6" s="1"/>
  <c r="X63" i="6"/>
  <c r="T76" i="8"/>
  <c r="D60" i="2"/>
  <c r="L60" i="2" s="1"/>
  <c r="W73" i="2"/>
  <c r="O79" i="2"/>
  <c r="U81" i="2"/>
  <c r="W85" i="2"/>
  <c r="D98" i="2"/>
  <c r="L98" i="2" s="1"/>
  <c r="D21" i="3"/>
  <c r="L21" i="3" s="1"/>
  <c r="I28" i="3"/>
  <c r="M36" i="3"/>
  <c r="U40" i="3"/>
  <c r="R43" i="3"/>
  <c r="I46" i="3"/>
  <c r="D72" i="3"/>
  <c r="L72" i="3" s="1"/>
  <c r="I109" i="3"/>
  <c r="Q15" i="4"/>
  <c r="D19" i="4"/>
  <c r="C19" i="4" s="1"/>
  <c r="J19" i="4" s="1"/>
  <c r="AA20" i="4"/>
  <c r="I21" i="4"/>
  <c r="D26" i="4"/>
  <c r="L26" i="4" s="1"/>
  <c r="I28" i="4"/>
  <c r="AA37" i="4"/>
  <c r="I38" i="4"/>
  <c r="D40" i="4"/>
  <c r="L40" i="4" s="1"/>
  <c r="R49" i="4"/>
  <c r="AE71" i="4"/>
  <c r="AA75" i="4"/>
  <c r="AG77" i="4"/>
  <c r="I84" i="4"/>
  <c r="R89" i="4"/>
  <c r="AA96" i="4"/>
  <c r="I104" i="4"/>
  <c r="D116" i="4"/>
  <c r="L116" i="4" s="1"/>
  <c r="AA117" i="4"/>
  <c r="S16" i="5"/>
  <c r="AK17" i="5"/>
  <c r="M21" i="5"/>
  <c r="Z21" i="5"/>
  <c r="D23" i="5"/>
  <c r="L23" i="5" s="1"/>
  <c r="AP24" i="5"/>
  <c r="AD25" i="5"/>
  <c r="BA25" i="5"/>
  <c r="I28" i="5"/>
  <c r="AT29" i="5"/>
  <c r="T30" i="5"/>
  <c r="M35" i="5"/>
  <c r="BB36" i="5"/>
  <c r="I39" i="5"/>
  <c r="T40" i="5"/>
  <c r="Z45" i="5"/>
  <c r="AD46" i="5"/>
  <c r="AZ47" i="5"/>
  <c r="AK48" i="5"/>
  <c r="AG49" i="5"/>
  <c r="AG50" i="5"/>
  <c r="U38" i="6"/>
  <c r="P38" i="6"/>
  <c r="R38" i="6" s="1"/>
  <c r="M50" i="6"/>
  <c r="I50" i="6"/>
  <c r="AL45" i="7"/>
  <c r="I118" i="7"/>
  <c r="D56" i="2"/>
  <c r="L56" i="2" s="1"/>
  <c r="W57" i="2"/>
  <c r="U65" i="2"/>
  <c r="AD69" i="2"/>
  <c r="I72" i="2"/>
  <c r="M79" i="2"/>
  <c r="AD84" i="2"/>
  <c r="Y86" i="2"/>
  <c r="I88" i="2"/>
  <c r="Y88" i="2"/>
  <c r="W89" i="2"/>
  <c r="I103" i="2"/>
  <c r="D105" i="2"/>
  <c r="C105" i="2" s="1"/>
  <c r="J105" i="2" s="1"/>
  <c r="D109" i="2"/>
  <c r="L109" i="2" s="1"/>
  <c r="R25" i="3"/>
  <c r="I29" i="3"/>
  <c r="I56" i="3"/>
  <c r="I78" i="3"/>
  <c r="D80" i="3"/>
  <c r="C80" i="3" s="1"/>
  <c r="J80" i="3" s="1"/>
  <c r="I82" i="3"/>
  <c r="D89" i="3"/>
  <c r="L89" i="3" s="1"/>
  <c r="I97" i="3"/>
  <c r="I102" i="3"/>
  <c r="V23" i="4"/>
  <c r="AA24" i="4"/>
  <c r="T32" i="4"/>
  <c r="Q33" i="4"/>
  <c r="AJ34" i="4"/>
  <c r="I36" i="4"/>
  <c r="D37" i="4"/>
  <c r="C37" i="4" s="1"/>
  <c r="J37" i="4" s="1"/>
  <c r="V41" i="4"/>
  <c r="AD41" i="4" s="1"/>
  <c r="D42" i="4"/>
  <c r="L42" i="4" s="1"/>
  <c r="D44" i="4"/>
  <c r="L44" i="4" s="1"/>
  <c r="I48" i="4"/>
  <c r="R55" i="4"/>
  <c r="D57" i="4"/>
  <c r="L57" i="4" s="1"/>
  <c r="D64" i="4"/>
  <c r="C64" i="4" s="1"/>
  <c r="J64" i="4" s="1"/>
  <c r="I65" i="4"/>
  <c r="AA68" i="4"/>
  <c r="AG88" i="4"/>
  <c r="I100" i="4"/>
  <c r="N91" i="4"/>
  <c r="N12" i="4" s="1"/>
  <c r="V118" i="4"/>
  <c r="AD118" i="4" s="1"/>
  <c r="T23" i="5"/>
  <c r="I29" i="5"/>
  <c r="AM32" i="5"/>
  <c r="AM39" i="5"/>
  <c r="U17" i="6"/>
  <c r="P17" i="6"/>
  <c r="R17" i="6" s="1"/>
  <c r="H54" i="8"/>
  <c r="Y62" i="2"/>
  <c r="U67" i="2"/>
  <c r="K76" i="2"/>
  <c r="W81" i="2"/>
  <c r="AD87" i="2"/>
  <c r="W96" i="2"/>
  <c r="D99" i="2"/>
  <c r="L99" i="2" s="1"/>
  <c r="D17" i="3"/>
  <c r="L17" i="3" s="1"/>
  <c r="I23" i="3"/>
  <c r="I39" i="3"/>
  <c r="I42" i="3"/>
  <c r="R49" i="3"/>
  <c r="I75" i="3"/>
  <c r="D84" i="3"/>
  <c r="L84" i="3" s="1"/>
  <c r="I105" i="3"/>
  <c r="D107" i="3"/>
  <c r="L107" i="3" s="1"/>
  <c r="D108" i="3"/>
  <c r="L108" i="3" s="1"/>
  <c r="V16" i="4"/>
  <c r="U16" i="4" s="1"/>
  <c r="V49" i="4"/>
  <c r="AD49" i="4" s="1"/>
  <c r="I77" i="4"/>
  <c r="D90" i="4"/>
  <c r="C90" i="4" s="1"/>
  <c r="V115" i="4"/>
  <c r="U115" i="4" s="1"/>
  <c r="AB115" i="4" s="1"/>
  <c r="AA116" i="4"/>
  <c r="D26" i="5"/>
  <c r="C26" i="5" s="1"/>
  <c r="S27" i="5"/>
  <c r="M29" i="5"/>
  <c r="Z29" i="5"/>
  <c r="M30" i="5"/>
  <c r="AK35" i="5"/>
  <c r="I36" i="5"/>
  <c r="BB40" i="5"/>
  <c r="D42" i="5"/>
  <c r="L42" i="5" s="1"/>
  <c r="BA47" i="5"/>
  <c r="Z49" i="5"/>
  <c r="D110" i="7"/>
  <c r="L110" i="7" s="1"/>
  <c r="AH117" i="7"/>
  <c r="I57" i="2"/>
  <c r="I59" i="3"/>
  <c r="M83" i="3"/>
  <c r="U90" i="3"/>
  <c r="AA21" i="4"/>
  <c r="AJ71" i="4"/>
  <c r="N106" i="4"/>
  <c r="N13" i="4" s="1"/>
  <c r="BA21" i="5"/>
  <c r="AT22" i="5"/>
  <c r="AP90" i="5"/>
  <c r="BA90" i="5"/>
  <c r="BC90" i="5" s="1"/>
  <c r="AF33" i="8"/>
  <c r="AD58" i="2"/>
  <c r="I64" i="2"/>
  <c r="I66" i="2"/>
  <c r="W67" i="2"/>
  <c r="R78" i="2"/>
  <c r="R79" i="2"/>
  <c r="I82" i="2"/>
  <c r="I83" i="2"/>
  <c r="R87" i="2"/>
  <c r="Y97" i="2"/>
  <c r="I101" i="2"/>
  <c r="D108" i="2"/>
  <c r="L108" i="2" s="1"/>
  <c r="R26" i="3"/>
  <c r="M27" i="3"/>
  <c r="R29" i="3"/>
  <c r="D32" i="3"/>
  <c r="L32" i="3" s="1"/>
  <c r="D85" i="3"/>
  <c r="L85" i="3" s="1"/>
  <c r="I26" i="4"/>
  <c r="V27" i="4"/>
  <c r="AD27" i="4" s="1"/>
  <c r="D28" i="4"/>
  <c r="L28" i="4" s="1"/>
  <c r="V37" i="4"/>
  <c r="AD37" i="4" s="1"/>
  <c r="D38" i="4"/>
  <c r="C38" i="4" s="1"/>
  <c r="I40" i="4"/>
  <c r="V40" i="4"/>
  <c r="R48" i="4"/>
  <c r="I49" i="4"/>
  <c r="D52" i="4"/>
  <c r="L52" i="4" s="1"/>
  <c r="D58" i="4"/>
  <c r="L58" i="4" s="1"/>
  <c r="V60" i="4"/>
  <c r="U60" i="4" s="1"/>
  <c r="AB60" i="4" s="1"/>
  <c r="I66" i="4"/>
  <c r="AA69" i="4"/>
  <c r="V71" i="4"/>
  <c r="AD71" i="4" s="1"/>
  <c r="D72" i="4"/>
  <c r="L72" i="4" s="1"/>
  <c r="V75" i="4"/>
  <c r="U75" i="4" s="1"/>
  <c r="AB75" i="4" s="1"/>
  <c r="D84" i="4"/>
  <c r="C84" i="4" s="1"/>
  <c r="J84" i="4" s="1"/>
  <c r="V87" i="4"/>
  <c r="AA88" i="4"/>
  <c r="I89" i="4"/>
  <c r="O90" i="4"/>
  <c r="R93" i="4"/>
  <c r="M98" i="4"/>
  <c r="AA98" i="4"/>
  <c r="S18" i="5"/>
  <c r="T20" i="5"/>
  <c r="BB20" i="5"/>
  <c r="AM22" i="5"/>
  <c r="AX22" i="5"/>
  <c r="I23" i="5"/>
  <c r="BB24" i="5"/>
  <c r="M25" i="5"/>
  <c r="D27" i="5"/>
  <c r="C27" i="5" s="1"/>
  <c r="AK30" i="5"/>
  <c r="M32" i="5"/>
  <c r="BA34" i="5"/>
  <c r="BC34" i="5" s="1"/>
  <c r="Z36" i="5"/>
  <c r="M37" i="5"/>
  <c r="Z37" i="5"/>
  <c r="AM37" i="5"/>
  <c r="BB38" i="5"/>
  <c r="D39" i="5"/>
  <c r="C39" i="5" s="1"/>
  <c r="S39" i="5"/>
  <c r="AD39" i="5"/>
  <c r="BB44" i="5"/>
  <c r="D45" i="5"/>
  <c r="L45" i="5" s="1"/>
  <c r="S45" i="5"/>
  <c r="Z46" i="5"/>
  <c r="AM46" i="5"/>
  <c r="M47" i="5"/>
  <c r="AD48" i="5"/>
  <c r="T51" i="5"/>
  <c r="W72" i="2"/>
  <c r="AA100" i="2"/>
  <c r="D103" i="2"/>
  <c r="L103" i="2" s="1"/>
  <c r="U103" i="2"/>
  <c r="I105" i="2"/>
  <c r="R16" i="3"/>
  <c r="D20" i="3"/>
  <c r="C20" i="3" s="1"/>
  <c r="U20" i="3"/>
  <c r="I24" i="3"/>
  <c r="I67" i="3"/>
  <c r="R72" i="3"/>
  <c r="AA23" i="4"/>
  <c r="I27" i="4"/>
  <c r="R45" i="4"/>
  <c r="R52" i="4"/>
  <c r="I53" i="4"/>
  <c r="I64" i="4"/>
  <c r="I67" i="4"/>
  <c r="V68" i="4"/>
  <c r="AD68" i="4" s="1"/>
  <c r="I118" i="4"/>
  <c r="N15" i="5"/>
  <c r="Z16" i="5"/>
  <c r="M17" i="5"/>
  <c r="D18" i="5"/>
  <c r="C18" i="5" s="1"/>
  <c r="AP21" i="5"/>
  <c r="I31" i="5"/>
  <c r="AM31" i="5"/>
  <c r="I32" i="5"/>
  <c r="D35" i="5"/>
  <c r="C35" i="5" s="1"/>
  <c r="S36" i="5"/>
  <c r="AK41" i="5"/>
  <c r="M42" i="5"/>
  <c r="T45" i="5"/>
  <c r="AG48" i="5"/>
  <c r="AD49" i="5"/>
  <c r="M51" i="5"/>
  <c r="U52" i="6"/>
  <c r="P52" i="6"/>
  <c r="R52" i="6" s="1"/>
  <c r="O66" i="7"/>
  <c r="G54" i="7"/>
  <c r="O54" i="7" s="1"/>
  <c r="D59" i="2"/>
  <c r="L59" i="2" s="1"/>
  <c r="U71" i="2"/>
  <c r="D86" i="2"/>
  <c r="L86" i="2" s="1"/>
  <c r="U87" i="2"/>
  <c r="W95" i="2"/>
  <c r="I99" i="2"/>
  <c r="D111" i="2"/>
  <c r="D112" i="2"/>
  <c r="D23" i="3"/>
  <c r="L23" i="3" s="1"/>
  <c r="D26" i="3"/>
  <c r="C26" i="3" s="1"/>
  <c r="U26" i="3"/>
  <c r="D42" i="3"/>
  <c r="L42" i="3" s="1"/>
  <c r="U52" i="3"/>
  <c r="D66" i="3"/>
  <c r="L66" i="3" s="1"/>
  <c r="D75" i="3"/>
  <c r="L75" i="3" s="1"/>
  <c r="D79" i="3"/>
  <c r="L79" i="3" s="1"/>
  <c r="I81" i="3"/>
  <c r="R89" i="3"/>
  <c r="D97" i="3"/>
  <c r="L97" i="3" s="1"/>
  <c r="D115" i="3"/>
  <c r="C115" i="3" s="1"/>
  <c r="J115" i="3" s="1"/>
  <c r="AA16" i="4"/>
  <c r="D22" i="4"/>
  <c r="L22" i="4" s="1"/>
  <c r="V24" i="4"/>
  <c r="AD24" i="4" s="1"/>
  <c r="AA29" i="4"/>
  <c r="I30" i="4"/>
  <c r="I34" i="4"/>
  <c r="V43" i="4"/>
  <c r="I44" i="4"/>
  <c r="AA49" i="4"/>
  <c r="I50" i="4"/>
  <c r="R65" i="4"/>
  <c r="D69" i="4"/>
  <c r="L69" i="4" s="1"/>
  <c r="M71" i="4"/>
  <c r="D81" i="4"/>
  <c r="L81" i="4" s="1"/>
  <c r="AA82" i="4"/>
  <c r="V85" i="4"/>
  <c r="AD85" i="4" s="1"/>
  <c r="AA89" i="4"/>
  <c r="I90" i="4"/>
  <c r="AE90" i="4"/>
  <c r="D107" i="4"/>
  <c r="C107" i="4" s="1"/>
  <c r="AA109" i="4"/>
  <c r="I110" i="4"/>
  <c r="D113" i="4"/>
  <c r="L113" i="4" s="1"/>
  <c r="I20" i="5"/>
  <c r="AK25" i="5"/>
  <c r="M27" i="5"/>
  <c r="Z32" i="5"/>
  <c r="T35" i="5"/>
  <c r="AM36" i="5"/>
  <c r="S40" i="5"/>
  <c r="I42" i="5"/>
  <c r="Z47" i="5"/>
  <c r="D49" i="5"/>
  <c r="L49" i="5" s="1"/>
  <c r="I86" i="5"/>
  <c r="AK86" i="5"/>
  <c r="AM86" i="5"/>
  <c r="X90" i="7"/>
  <c r="S53" i="5"/>
  <c r="AK61" i="5"/>
  <c r="D63" i="5"/>
  <c r="L63" i="5" s="1"/>
  <c r="BB63" i="5"/>
  <c r="S64" i="5"/>
  <c r="T72" i="5"/>
  <c r="AI76" i="5"/>
  <c r="BB83" i="5"/>
  <c r="I93" i="5"/>
  <c r="D104" i="5"/>
  <c r="L104" i="5" s="1"/>
  <c r="M109" i="5"/>
  <c r="I118" i="5"/>
  <c r="I19" i="6"/>
  <c r="D34" i="6"/>
  <c r="C34" i="6" s="1"/>
  <c r="D41" i="6"/>
  <c r="L41" i="6" s="1"/>
  <c r="D57" i="6"/>
  <c r="L57" i="6" s="1"/>
  <c r="P94" i="6"/>
  <c r="R94" i="6" s="1"/>
  <c r="P100" i="6"/>
  <c r="R100" i="6" s="1"/>
  <c r="P101" i="6"/>
  <c r="R101" i="6" s="1"/>
  <c r="I104" i="6"/>
  <c r="AH26" i="7"/>
  <c r="AH36" i="7"/>
  <c r="M38" i="7"/>
  <c r="AL48" i="7"/>
  <c r="AQ53" i="7"/>
  <c r="X57" i="7"/>
  <c r="D65" i="7"/>
  <c r="L65" i="7" s="1"/>
  <c r="R70" i="7"/>
  <c r="X72" i="7"/>
  <c r="D78" i="7"/>
  <c r="C78" i="7" s="1"/>
  <c r="I89" i="7"/>
  <c r="AH95" i="7"/>
  <c r="I102" i="7"/>
  <c r="AC102" i="7"/>
  <c r="AB102" i="7" s="1"/>
  <c r="AI102" i="7" s="1"/>
  <c r="AC104" i="7"/>
  <c r="AK104" i="7" s="1"/>
  <c r="AC105" i="7"/>
  <c r="AK105" i="7" s="1"/>
  <c r="AL107" i="7"/>
  <c r="AL106" i="7" s="1"/>
  <c r="AC109" i="7"/>
  <c r="I114" i="7"/>
  <c r="R36" i="8"/>
  <c r="AD36" i="8"/>
  <c r="AV42" i="8"/>
  <c r="AV78" i="8"/>
  <c r="M57" i="5"/>
  <c r="M58" i="5"/>
  <c r="AM65" i="5"/>
  <c r="AZ65" i="5"/>
  <c r="AT68" i="5"/>
  <c r="AX71" i="5"/>
  <c r="M72" i="5"/>
  <c r="S74" i="5"/>
  <c r="BA79" i="5"/>
  <c r="BB80" i="5"/>
  <c r="AZ80" i="5"/>
  <c r="I83" i="5"/>
  <c r="Z83" i="5"/>
  <c r="D86" i="5"/>
  <c r="L86" i="5" s="1"/>
  <c r="I87" i="5"/>
  <c r="I113" i="5"/>
  <c r="I117" i="5"/>
  <c r="P19" i="6"/>
  <c r="R19" i="6" s="1"/>
  <c r="D26" i="6"/>
  <c r="C26" i="6" s="1"/>
  <c r="P27" i="6"/>
  <c r="R27" i="6" s="1"/>
  <c r="M37" i="6"/>
  <c r="I43" i="6"/>
  <c r="I46" i="6"/>
  <c r="I55" i="6"/>
  <c r="U59" i="6"/>
  <c r="I65" i="6"/>
  <c r="M66" i="6"/>
  <c r="P83" i="6"/>
  <c r="R83" i="6" s="1"/>
  <c r="M115" i="6"/>
  <c r="AL18" i="7"/>
  <c r="AH23" i="7"/>
  <c r="AL24" i="7"/>
  <c r="AA25" i="7"/>
  <c r="AQ26" i="7"/>
  <c r="AH37" i="7"/>
  <c r="I43" i="7"/>
  <c r="AA47" i="7"/>
  <c r="AH58" i="7"/>
  <c r="D63" i="7"/>
  <c r="L63" i="7" s="1"/>
  <c r="U74" i="7"/>
  <c r="AA79" i="7"/>
  <c r="N91" i="7"/>
  <c r="N12" i="7" s="1"/>
  <c r="AH114" i="7"/>
  <c r="R64" i="8"/>
  <c r="AD64" i="8"/>
  <c r="I58" i="5"/>
  <c r="S60" i="5"/>
  <c r="AD60" i="5"/>
  <c r="T64" i="5"/>
  <c r="S65" i="5"/>
  <c r="M69" i="5"/>
  <c r="BA70" i="5"/>
  <c r="BC70" i="5" s="1"/>
  <c r="Z72" i="5"/>
  <c r="M73" i="5"/>
  <c r="BB79" i="5"/>
  <c r="D95" i="5"/>
  <c r="C95" i="5" s="1"/>
  <c r="M17" i="6"/>
  <c r="D42" i="6"/>
  <c r="C42" i="6" s="1"/>
  <c r="I44" i="6"/>
  <c r="I19" i="7"/>
  <c r="AA22" i="7"/>
  <c r="I38" i="7"/>
  <c r="D70" i="7"/>
  <c r="C70" i="7" s="1"/>
  <c r="AC89" i="7"/>
  <c r="AK89" i="7" s="1"/>
  <c r="R90" i="7"/>
  <c r="AH98" i="7"/>
  <c r="D101" i="7"/>
  <c r="L101" i="7" s="1"/>
  <c r="AH110" i="7"/>
  <c r="I119" i="7"/>
  <c r="AH119" i="7"/>
  <c r="AH16" i="8"/>
  <c r="Z15" i="8"/>
  <c r="T33" i="8"/>
  <c r="AZ75" i="8"/>
  <c r="BC75" i="8"/>
  <c r="M53" i="5"/>
  <c r="I57" i="5"/>
  <c r="I84" i="5"/>
  <c r="M85" i="5"/>
  <c r="Z85" i="5"/>
  <c r="P73" i="6"/>
  <c r="R73" i="6" s="1"/>
  <c r="D107" i="6"/>
  <c r="L107" i="6" s="1"/>
  <c r="AH34" i="7"/>
  <c r="AC46" i="7"/>
  <c r="AK46" i="7" s="1"/>
  <c r="AC47" i="7"/>
  <c r="AK47" i="7" s="1"/>
  <c r="AC49" i="7"/>
  <c r="AK49" i="7" s="1"/>
  <c r="D90" i="7"/>
  <c r="C90" i="7" s="1"/>
  <c r="AC90" i="7"/>
  <c r="AK90" i="7" s="1"/>
  <c r="AH97" i="7"/>
  <c r="AH102" i="7"/>
  <c r="D104" i="7"/>
  <c r="L104" i="7" s="1"/>
  <c r="I116" i="7"/>
  <c r="D117" i="7"/>
  <c r="L117" i="7" s="1"/>
  <c r="U16" i="8"/>
  <c r="BC17" i="8"/>
  <c r="AD32" i="8"/>
  <c r="S27" i="9"/>
  <c r="X27" i="9"/>
  <c r="AM57" i="5"/>
  <c r="AX57" i="5"/>
  <c r="D61" i="5"/>
  <c r="C61" i="5" s="1"/>
  <c r="BB66" i="5"/>
  <c r="AZ66" i="5"/>
  <c r="M70" i="5"/>
  <c r="BB82" i="5"/>
  <c r="BA83" i="5"/>
  <c r="BC83" i="5" s="1"/>
  <c r="BB86" i="5"/>
  <c r="AM87" i="5"/>
  <c r="AA91" i="5"/>
  <c r="AA12" i="5" s="1"/>
  <c r="AA11" i="5" s="1"/>
  <c r="AK97" i="5"/>
  <c r="AM98" i="5"/>
  <c r="I17" i="6"/>
  <c r="M26" i="6"/>
  <c r="P28" i="6"/>
  <c r="R28" i="6" s="1"/>
  <c r="I34" i="6"/>
  <c r="M35" i="6"/>
  <c r="I38" i="6"/>
  <c r="D39" i="6"/>
  <c r="P56" i="6"/>
  <c r="R56" i="6" s="1"/>
  <c r="I61" i="6"/>
  <c r="D62" i="6"/>
  <c r="C62" i="6" s="1"/>
  <c r="D73" i="6"/>
  <c r="L73" i="6" s="1"/>
  <c r="I82" i="6"/>
  <c r="U84" i="6"/>
  <c r="I97" i="6"/>
  <c r="D105" i="6"/>
  <c r="C105" i="6" s="1"/>
  <c r="AG15" i="7"/>
  <c r="AC21" i="7"/>
  <c r="AB21" i="7" s="1"/>
  <c r="U26" i="7"/>
  <c r="AC27" i="7"/>
  <c r="AB27" i="7" s="1"/>
  <c r="AL28" i="7"/>
  <c r="AL29" i="7"/>
  <c r="X32" i="7"/>
  <c r="AC38" i="7"/>
  <c r="AK38" i="7" s="1"/>
  <c r="D41" i="7"/>
  <c r="L41" i="7" s="1"/>
  <c r="AC43" i="7"/>
  <c r="AK43" i="7" s="1"/>
  <c r="I56" i="7"/>
  <c r="R57" i="7"/>
  <c r="I64" i="7"/>
  <c r="AH64" i="7"/>
  <c r="AL68" i="7"/>
  <c r="AL69" i="7"/>
  <c r="AC72" i="7"/>
  <c r="AB72" i="7" s="1"/>
  <c r="I78" i="7"/>
  <c r="AH85" i="7"/>
  <c r="AM91" i="7"/>
  <c r="AM12" i="7" s="1"/>
  <c r="I48" i="8"/>
  <c r="BD33" i="8"/>
  <c r="R49" i="8"/>
  <c r="AD49" i="8"/>
  <c r="D56" i="5"/>
  <c r="S56" i="5"/>
  <c r="BA57" i="5"/>
  <c r="Z59" i="5"/>
  <c r="Z64" i="5"/>
  <c r="AP71" i="5"/>
  <c r="AM73" i="5"/>
  <c r="AM74" i="5"/>
  <c r="T77" i="5"/>
  <c r="AD78" i="5"/>
  <c r="BA78" i="5"/>
  <c r="I80" i="5"/>
  <c r="S87" i="5"/>
  <c r="S88" i="5"/>
  <c r="D99" i="5"/>
  <c r="L99" i="5" s="1"/>
  <c r="M110" i="5"/>
  <c r="I22" i="6"/>
  <c r="M27" i="6"/>
  <c r="U63" i="6"/>
  <c r="M72" i="6"/>
  <c r="I75" i="6"/>
  <c r="D81" i="6"/>
  <c r="C81" i="6" s="1"/>
  <c r="P85" i="6"/>
  <c r="D21" i="7"/>
  <c r="L21" i="7" s="1"/>
  <c r="D23" i="7"/>
  <c r="L23" i="7" s="1"/>
  <c r="AC23" i="7"/>
  <c r="AK23" i="7" s="1"/>
  <c r="I29" i="7"/>
  <c r="AL30" i="7"/>
  <c r="D43" i="7"/>
  <c r="C43" i="7" s="1"/>
  <c r="J43" i="7" s="1"/>
  <c r="M53" i="7"/>
  <c r="D60" i="7"/>
  <c r="C60" i="7" s="1"/>
  <c r="J60" i="7" s="1"/>
  <c r="AA74" i="7"/>
  <c r="I75" i="7"/>
  <c r="AL83" i="7"/>
  <c r="M84" i="7"/>
  <c r="AC88" i="7"/>
  <c r="AK88" i="7" s="1"/>
  <c r="U90" i="7"/>
  <c r="D94" i="7"/>
  <c r="C94" i="7" s="1"/>
  <c r="J94" i="7" s="1"/>
  <c r="AH94" i="7"/>
  <c r="I95" i="7"/>
  <c r="D97" i="7"/>
  <c r="C97" i="7" s="1"/>
  <c r="J97" i="7" s="1"/>
  <c r="I112" i="7"/>
  <c r="AC116" i="7"/>
  <c r="AK116" i="7" s="1"/>
  <c r="AC119" i="7"/>
  <c r="AK119" i="7" s="1"/>
  <c r="U37" i="8"/>
  <c r="U59" i="8"/>
  <c r="M62" i="8"/>
  <c r="U70" i="8"/>
  <c r="S52" i="5"/>
  <c r="AD52" i="5"/>
  <c r="AZ53" i="5"/>
  <c r="M60" i="5"/>
  <c r="M61" i="5"/>
  <c r="T62" i="5"/>
  <c r="M65" i="5"/>
  <c r="AT66" i="5"/>
  <c r="D68" i="5"/>
  <c r="L68" i="5" s="1"/>
  <c r="AK69" i="5"/>
  <c r="AK70" i="5"/>
  <c r="D72" i="5"/>
  <c r="C72" i="5" s="1"/>
  <c r="S73" i="5"/>
  <c r="I75" i="5"/>
  <c r="AY76" i="5"/>
  <c r="T83" i="5"/>
  <c r="D84" i="5"/>
  <c r="L84" i="5" s="1"/>
  <c r="S85" i="5"/>
  <c r="D87" i="5"/>
  <c r="L87" i="5" s="1"/>
  <c r="I97" i="5"/>
  <c r="I101" i="5"/>
  <c r="D112" i="5"/>
  <c r="C112" i="5" s="1"/>
  <c r="I114" i="5"/>
  <c r="I18" i="6"/>
  <c r="M19" i="6"/>
  <c r="U25" i="6"/>
  <c r="M36" i="6"/>
  <c r="M53" i="6"/>
  <c r="M62" i="6"/>
  <c r="I72" i="6"/>
  <c r="M77" i="6"/>
  <c r="M83" i="6"/>
  <c r="D92" i="6"/>
  <c r="L92" i="6" s="1"/>
  <c r="I94" i="6"/>
  <c r="M105" i="6"/>
  <c r="U22" i="7"/>
  <c r="X26" i="7"/>
  <c r="AL26" i="7"/>
  <c r="AL27" i="7"/>
  <c r="AH30" i="7"/>
  <c r="I31" i="7"/>
  <c r="I32" i="7"/>
  <c r="AA32" i="7"/>
  <c r="D35" i="7"/>
  <c r="C35" i="7" s="1"/>
  <c r="J35" i="7" s="1"/>
  <c r="AL38" i="7"/>
  <c r="AL43" i="7"/>
  <c r="AA53" i="7"/>
  <c r="AA55" i="7"/>
  <c r="R56" i="7"/>
  <c r="AQ63" i="7"/>
  <c r="AA84" i="7"/>
  <c r="D119" i="7"/>
  <c r="L119" i="7" s="1"/>
  <c r="D17" i="8"/>
  <c r="L17" i="8" s="1"/>
  <c r="M38" i="8"/>
  <c r="I38" i="8"/>
  <c r="AR17" i="8"/>
  <c r="U18" i="8"/>
  <c r="D21" i="8"/>
  <c r="L21" i="8" s="1"/>
  <c r="AH21" i="8"/>
  <c r="AV22" i="8"/>
  <c r="BC23" i="8"/>
  <c r="AR25" i="8"/>
  <c r="AH29" i="8"/>
  <c r="U32" i="8"/>
  <c r="AH32" i="8"/>
  <c r="U36" i="8"/>
  <c r="U39" i="8"/>
  <c r="AX33" i="8"/>
  <c r="I41" i="8"/>
  <c r="AA44" i="8"/>
  <c r="BC46" i="8"/>
  <c r="M47" i="8"/>
  <c r="AH56" i="8"/>
  <c r="AR57" i="8"/>
  <c r="O59" i="8"/>
  <c r="AV65" i="8"/>
  <c r="I68" i="8"/>
  <c r="U69" i="8"/>
  <c r="AD71" i="8"/>
  <c r="M73" i="8"/>
  <c r="U74" i="8"/>
  <c r="AH79" i="8"/>
  <c r="X86" i="8"/>
  <c r="I88" i="8"/>
  <c r="D89" i="8"/>
  <c r="C89" i="8" s="1"/>
  <c r="AO89" i="8"/>
  <c r="AV90" i="8"/>
  <c r="D96" i="8"/>
  <c r="C96" i="8" s="1"/>
  <c r="D97" i="8"/>
  <c r="C97" i="8" s="1"/>
  <c r="M100" i="8"/>
  <c r="D105" i="8"/>
  <c r="L105" i="8" s="1"/>
  <c r="AA105" i="8"/>
  <c r="I107" i="8"/>
  <c r="I116" i="8"/>
  <c r="C17" i="9"/>
  <c r="G17" i="9" s="1"/>
  <c r="S17" i="9"/>
  <c r="S18" i="9"/>
  <c r="C24" i="9"/>
  <c r="G24" i="9" s="1"/>
  <c r="T25" i="9"/>
  <c r="S29" i="9"/>
  <c r="AA37" i="9"/>
  <c r="S39" i="9"/>
  <c r="L43" i="9"/>
  <c r="M43" i="9" s="1"/>
  <c r="S47" i="9"/>
  <c r="AA52" i="9"/>
  <c r="C55" i="9"/>
  <c r="G55" i="9" s="1"/>
  <c r="C61" i="9"/>
  <c r="G61" i="9" s="1"/>
  <c r="X61" i="9"/>
  <c r="C67" i="9"/>
  <c r="G67" i="9" s="1"/>
  <c r="AA68" i="9"/>
  <c r="C70" i="9"/>
  <c r="G70" i="9" s="1"/>
  <c r="L86" i="9"/>
  <c r="C87" i="9"/>
  <c r="G87" i="9" s="1"/>
  <c r="C97" i="9"/>
  <c r="G97" i="9" s="1"/>
  <c r="C102" i="9"/>
  <c r="G102" i="9" s="1"/>
  <c r="C105" i="9"/>
  <c r="G105" i="9" s="1"/>
  <c r="J17" i="10"/>
  <c r="P22" i="10"/>
  <c r="D18" i="8"/>
  <c r="C18" i="8" s="1"/>
  <c r="D26" i="8"/>
  <c r="C26" i="8" s="1"/>
  <c r="AV27" i="8"/>
  <c r="O28" i="8"/>
  <c r="M32" i="8"/>
  <c r="AN33" i="8"/>
  <c r="AH39" i="8"/>
  <c r="O44" i="8"/>
  <c r="D45" i="8"/>
  <c r="C45" i="8" s="1"/>
  <c r="D48" i="8"/>
  <c r="C48" i="8" s="1"/>
  <c r="AV50" i="8"/>
  <c r="M59" i="8"/>
  <c r="BD54" i="8"/>
  <c r="I62" i="8"/>
  <c r="AR65" i="8"/>
  <c r="M67" i="8"/>
  <c r="AO71" i="8"/>
  <c r="D74" i="8"/>
  <c r="L74" i="8" s="1"/>
  <c r="BC74" i="8"/>
  <c r="AO78" i="8"/>
  <c r="O79" i="8"/>
  <c r="I80" i="8"/>
  <c r="M82" i="8"/>
  <c r="M90" i="8"/>
  <c r="D98" i="8"/>
  <c r="C98" i="8" s="1"/>
  <c r="J98" i="8" s="1"/>
  <c r="I101" i="8"/>
  <c r="M102" i="8"/>
  <c r="N106" i="8"/>
  <c r="N13" i="8" s="1"/>
  <c r="D113" i="8"/>
  <c r="L113" i="8" s="1"/>
  <c r="I115" i="8"/>
  <c r="D117" i="8"/>
  <c r="C117" i="8" s="1"/>
  <c r="J117" i="8" s="1"/>
  <c r="L19" i="9"/>
  <c r="T19" i="9"/>
  <c r="C26" i="9"/>
  <c r="G26" i="9" s="1"/>
  <c r="C58" i="9"/>
  <c r="G58" i="9" s="1"/>
  <c r="T59" i="9"/>
  <c r="C63" i="9"/>
  <c r="G63" i="9" s="1"/>
  <c r="C75" i="9"/>
  <c r="G75" i="9" s="1"/>
  <c r="X75" i="9"/>
  <c r="C79" i="9"/>
  <c r="G79" i="9" s="1"/>
  <c r="L83" i="9"/>
  <c r="M83" i="9" s="1"/>
  <c r="S84" i="9"/>
  <c r="AA85" i="9"/>
  <c r="S87" i="9"/>
  <c r="O21" i="8"/>
  <c r="AR27" i="8"/>
  <c r="AO34" i="8"/>
  <c r="AO38" i="8"/>
  <c r="AR41" i="8"/>
  <c r="AD44" i="8"/>
  <c r="O52" i="8"/>
  <c r="AF54" i="8"/>
  <c r="AP54" i="8"/>
  <c r="BC68" i="8"/>
  <c r="AA73" i="8"/>
  <c r="AK76" i="8"/>
  <c r="AJ76" i="8"/>
  <c r="AO83" i="8"/>
  <c r="F76" i="9"/>
  <c r="AB15" i="8"/>
  <c r="D20" i="8"/>
  <c r="L20" i="8" s="1"/>
  <c r="AH23" i="8"/>
  <c r="U28" i="8"/>
  <c r="AA32" i="8"/>
  <c r="N33" i="8"/>
  <c r="Z33" i="8"/>
  <c r="U35" i="8"/>
  <c r="M36" i="8"/>
  <c r="AD38" i="8"/>
  <c r="M39" i="8"/>
  <c r="M40" i="8"/>
  <c r="AA40" i="8"/>
  <c r="I43" i="8"/>
  <c r="U44" i="8"/>
  <c r="M46" i="8"/>
  <c r="AO46" i="8"/>
  <c r="U47" i="8"/>
  <c r="AH49" i="8"/>
  <c r="M50" i="8"/>
  <c r="U51" i="8"/>
  <c r="F54" i="8"/>
  <c r="BC59" i="8"/>
  <c r="AH60" i="8"/>
  <c r="I67" i="8"/>
  <c r="U68" i="8"/>
  <c r="AX54" i="8"/>
  <c r="O69" i="8"/>
  <c r="AH71" i="8"/>
  <c r="AO72" i="8"/>
  <c r="O74" i="8"/>
  <c r="BC78" i="8"/>
  <c r="AO79" i="8"/>
  <c r="AQ76" i="8"/>
  <c r="U83" i="8"/>
  <c r="M84" i="8"/>
  <c r="M86" i="8"/>
  <c r="U88" i="8"/>
  <c r="AA92" i="8"/>
  <c r="I114" i="8"/>
  <c r="C16" i="9"/>
  <c r="G16" i="9" s="1"/>
  <c r="C23" i="9"/>
  <c r="G23" i="9" s="1"/>
  <c r="AA26" i="9"/>
  <c r="S35" i="9"/>
  <c r="L45" i="9"/>
  <c r="M45" i="9" s="1"/>
  <c r="T61" i="9"/>
  <c r="X63" i="9"/>
  <c r="T67" i="9"/>
  <c r="T71" i="9"/>
  <c r="L81" i="9"/>
  <c r="X84" i="9"/>
  <c r="X87" i="9"/>
  <c r="L88" i="9"/>
  <c r="M88" i="9" s="1"/>
  <c r="C90" i="9"/>
  <c r="G90" i="9" s="1"/>
  <c r="C95" i="9"/>
  <c r="G95" i="9" s="1"/>
  <c r="AR18" i="8"/>
  <c r="BD15" i="8"/>
  <c r="BC19" i="8"/>
  <c r="AH20" i="8"/>
  <c r="AX15" i="8"/>
  <c r="O23" i="8"/>
  <c r="D25" i="8"/>
  <c r="C25" i="8" s="1"/>
  <c r="I27" i="8"/>
  <c r="D28" i="8"/>
  <c r="L28" i="8" s="1"/>
  <c r="I29" i="8"/>
  <c r="D30" i="8"/>
  <c r="L30" i="8" s="1"/>
  <c r="U30" i="8"/>
  <c r="AV31" i="8"/>
  <c r="AH35" i="8"/>
  <c r="AR39" i="8"/>
  <c r="O40" i="8"/>
  <c r="D41" i="8"/>
  <c r="C41" i="8" s="1"/>
  <c r="D44" i="8"/>
  <c r="C44" i="8" s="1"/>
  <c r="AD48" i="8"/>
  <c r="M52" i="8"/>
  <c r="AJ54" i="8"/>
  <c r="U57" i="8"/>
  <c r="M58" i="8"/>
  <c r="AA64" i="8"/>
  <c r="AR64" i="8"/>
  <c r="X67" i="8"/>
  <c r="D68" i="8"/>
  <c r="C68" i="8" s="1"/>
  <c r="R68" i="8"/>
  <c r="I72" i="8"/>
  <c r="AA75" i="8"/>
  <c r="U77" i="8"/>
  <c r="M79" i="8"/>
  <c r="AH81" i="8"/>
  <c r="AV81" i="8"/>
  <c r="AH83" i="8"/>
  <c r="I84" i="8"/>
  <c r="AH85" i="8"/>
  <c r="AV86" i="8"/>
  <c r="BC88" i="8"/>
  <c r="AV89" i="8"/>
  <c r="AA90" i="8"/>
  <c r="AO90" i="8"/>
  <c r="I97" i="8"/>
  <c r="T23" i="9"/>
  <c r="T31" i="9"/>
  <c r="L39" i="9"/>
  <c r="M39" i="9" s="1"/>
  <c r="C40" i="9"/>
  <c r="G40" i="9" s="1"/>
  <c r="C43" i="9"/>
  <c r="G43" i="9" s="1"/>
  <c r="T44" i="9"/>
  <c r="T46" i="9"/>
  <c r="C62" i="9"/>
  <c r="G62" i="9" s="1"/>
  <c r="T66" i="9"/>
  <c r="T75" i="9"/>
  <c r="T86" i="9"/>
  <c r="S90" i="9"/>
  <c r="P19" i="10"/>
  <c r="U80" i="8"/>
  <c r="M81" i="8"/>
  <c r="AT76" i="8"/>
  <c r="X87" i="8"/>
  <c r="U90" i="8"/>
  <c r="M92" i="8"/>
  <c r="D101" i="8"/>
  <c r="L101" i="8" s="1"/>
  <c r="T17" i="9"/>
  <c r="L18" i="9"/>
  <c r="M18" i="9" s="1"/>
  <c r="C22" i="9"/>
  <c r="G22" i="9" s="1"/>
  <c r="AA23" i="9"/>
  <c r="C27" i="9"/>
  <c r="G27" i="9" s="1"/>
  <c r="AA46" i="9"/>
  <c r="T72" i="9"/>
  <c r="X78" i="9"/>
  <c r="AA79" i="9"/>
  <c r="L87" i="9"/>
  <c r="M87" i="9" s="1"/>
  <c r="C93" i="9"/>
  <c r="G93" i="9" s="1"/>
  <c r="C112" i="9"/>
  <c r="G112" i="9" s="1"/>
  <c r="C18" i="10"/>
  <c r="G18" i="10" s="1"/>
  <c r="M20" i="8"/>
  <c r="O22" i="8"/>
  <c r="AL23" i="8"/>
  <c r="I31" i="8"/>
  <c r="D37" i="8"/>
  <c r="L37" i="8" s="1"/>
  <c r="AA49" i="8"/>
  <c r="M55" i="8"/>
  <c r="I58" i="8"/>
  <c r="AG54" i="8"/>
  <c r="AZ74" i="8"/>
  <c r="X85" i="8"/>
  <c r="D87" i="8"/>
  <c r="L87" i="8" s="1"/>
  <c r="D90" i="8"/>
  <c r="L90" i="8" s="1"/>
  <c r="M99" i="8"/>
  <c r="C56" i="9"/>
  <c r="G56" i="9" s="1"/>
  <c r="K76" i="9"/>
  <c r="C88" i="9"/>
  <c r="G88" i="9" s="1"/>
  <c r="C114" i="9"/>
  <c r="G114" i="9" s="1"/>
  <c r="J25" i="10"/>
  <c r="C28" i="10"/>
  <c r="G28" i="10" s="1"/>
  <c r="C36" i="10"/>
  <c r="G36" i="10" s="1"/>
  <c r="C42" i="10"/>
  <c r="G42" i="10" s="1"/>
  <c r="J57" i="10"/>
  <c r="C78" i="10"/>
  <c r="G78" i="10" s="1"/>
  <c r="C19" i="11"/>
  <c r="G19" i="11" s="1"/>
  <c r="C23" i="11"/>
  <c r="G23" i="11" s="1"/>
  <c r="I24" i="11"/>
  <c r="AA24" i="11"/>
  <c r="AJ24" i="11"/>
  <c r="AH25" i="11"/>
  <c r="C27" i="11"/>
  <c r="G27" i="11" s="1"/>
  <c r="AJ27" i="11"/>
  <c r="AA30" i="11"/>
  <c r="J32" i="11"/>
  <c r="H36" i="11"/>
  <c r="C37" i="11"/>
  <c r="G37" i="11" s="1"/>
  <c r="AH38" i="11"/>
  <c r="AM39" i="11"/>
  <c r="AO39" i="11" s="1"/>
  <c r="L44" i="11"/>
  <c r="J47" i="11"/>
  <c r="S53" i="11"/>
  <c r="C66" i="11"/>
  <c r="G66" i="11" s="1"/>
  <c r="H67" i="11"/>
  <c r="J67" i="11"/>
  <c r="I69" i="11"/>
  <c r="J71" i="11"/>
  <c r="AM80" i="11"/>
  <c r="AO80" i="11" s="1"/>
  <c r="H81" i="11"/>
  <c r="H83" i="11"/>
  <c r="AM94" i="11"/>
  <c r="AO94" i="11" s="1"/>
  <c r="AM100" i="11"/>
  <c r="AO100" i="11" s="1"/>
  <c r="AM104" i="11"/>
  <c r="AO104" i="11" s="1"/>
  <c r="H109" i="11"/>
  <c r="K109" i="11" s="1"/>
  <c r="AM114" i="11"/>
  <c r="AO114" i="11" s="1"/>
  <c r="L21" i="12"/>
  <c r="I21" i="12" s="1"/>
  <c r="L26" i="12"/>
  <c r="I26" i="12" s="1"/>
  <c r="K34" i="12"/>
  <c r="C60" i="12"/>
  <c r="G60" i="12" s="1"/>
  <c r="L61" i="12"/>
  <c r="I61" i="12" s="1"/>
  <c r="L63" i="12"/>
  <c r="I63" i="12" s="1"/>
  <c r="H70" i="12"/>
  <c r="C78" i="12"/>
  <c r="G78" i="12" s="1"/>
  <c r="C82" i="12"/>
  <c r="G82" i="12" s="1"/>
  <c r="H33" i="10"/>
  <c r="N39" i="10"/>
  <c r="J52" i="10"/>
  <c r="P56" i="10"/>
  <c r="J59" i="10"/>
  <c r="P68" i="10"/>
  <c r="C72" i="10"/>
  <c r="G72" i="10" s="1"/>
  <c r="P74" i="10"/>
  <c r="N81" i="10"/>
  <c r="H17" i="11"/>
  <c r="AJ17" i="11"/>
  <c r="Y19" i="11"/>
  <c r="AJ19" i="11"/>
  <c r="AJ21" i="11"/>
  <c r="AM21" i="11"/>
  <c r="AO21" i="11" s="1"/>
  <c r="AA23" i="11"/>
  <c r="AM28" i="11"/>
  <c r="AO28" i="11" s="1"/>
  <c r="AM29" i="11"/>
  <c r="AO29" i="11" s="1"/>
  <c r="AA31" i="11"/>
  <c r="AA34" i="11"/>
  <c r="L36" i="11"/>
  <c r="Y37" i="11"/>
  <c r="AH37" i="11"/>
  <c r="H38" i="11"/>
  <c r="AH39" i="11"/>
  <c r="L41" i="11"/>
  <c r="J42" i="11"/>
  <c r="AM43" i="11"/>
  <c r="AO43" i="11" s="1"/>
  <c r="L49" i="11"/>
  <c r="AA50" i="11"/>
  <c r="H55" i="11"/>
  <c r="AM56" i="11"/>
  <c r="AO56" i="11" s="1"/>
  <c r="Y60" i="11"/>
  <c r="AJ60" i="11"/>
  <c r="AM60" i="11"/>
  <c r="AO60" i="11" s="1"/>
  <c r="AA62" i="11"/>
  <c r="AH62" i="11"/>
  <c r="AH64" i="11"/>
  <c r="AH66" i="11"/>
  <c r="L67" i="11"/>
  <c r="Y68" i="11"/>
  <c r="AJ68" i="11"/>
  <c r="AM68" i="11"/>
  <c r="AO68" i="11" s="1"/>
  <c r="AH73" i="11"/>
  <c r="AM75" i="11"/>
  <c r="AO75" i="11" s="1"/>
  <c r="J77" i="11"/>
  <c r="AA85" i="11"/>
  <c r="AM88" i="11"/>
  <c r="AO88" i="11" s="1"/>
  <c r="I97" i="11"/>
  <c r="M97" i="11" s="1"/>
  <c r="K25" i="12"/>
  <c r="K26" i="12"/>
  <c r="K27" i="12"/>
  <c r="H31" i="12"/>
  <c r="L32" i="12"/>
  <c r="I32" i="12" s="1"/>
  <c r="K37" i="12"/>
  <c r="K48" i="12"/>
  <c r="L51" i="12"/>
  <c r="I51" i="12" s="1"/>
  <c r="K53" i="12"/>
  <c r="L67" i="12"/>
  <c r="I67" i="12" s="1"/>
  <c r="K73" i="12"/>
  <c r="J27" i="10"/>
  <c r="J28" i="10"/>
  <c r="J47" i="10"/>
  <c r="C50" i="10"/>
  <c r="G50" i="10" s="1"/>
  <c r="C62" i="10"/>
  <c r="G62" i="10" s="1"/>
  <c r="P69" i="10"/>
  <c r="J78" i="10"/>
  <c r="J83" i="10"/>
  <c r="C104" i="10"/>
  <c r="G104" i="10" s="1"/>
  <c r="L30" i="11"/>
  <c r="AI15" i="11"/>
  <c r="C35" i="11"/>
  <c r="G35" i="11" s="1"/>
  <c r="S42" i="11"/>
  <c r="AM47" i="11"/>
  <c r="AO47" i="11" s="1"/>
  <c r="J50" i="11"/>
  <c r="AM51" i="11"/>
  <c r="AO51" i="11" s="1"/>
  <c r="L52" i="11"/>
  <c r="AH56" i="11"/>
  <c r="L59" i="11"/>
  <c r="AA60" i="11"/>
  <c r="AM63" i="11"/>
  <c r="AO63" i="11" s="1"/>
  <c r="AA70" i="11"/>
  <c r="AH70" i="11"/>
  <c r="Y73" i="11"/>
  <c r="AJ73" i="11"/>
  <c r="J79" i="11"/>
  <c r="J81" i="11"/>
  <c r="J83" i="11"/>
  <c r="AM84" i="11"/>
  <c r="AO84" i="11" s="1"/>
  <c r="C90" i="11"/>
  <c r="G90" i="11" s="1"/>
  <c r="AM92" i="11"/>
  <c r="AO92" i="11" s="1"/>
  <c r="C95" i="11"/>
  <c r="G95" i="11" s="1"/>
  <c r="S97" i="11"/>
  <c r="AM97" i="11"/>
  <c r="AO97" i="11" s="1"/>
  <c r="AM99" i="11"/>
  <c r="AO99" i="11" s="1"/>
  <c r="C101" i="11"/>
  <c r="G101" i="11" s="1"/>
  <c r="H103" i="11"/>
  <c r="K103" i="11" s="1"/>
  <c r="C105" i="11"/>
  <c r="G105" i="11" s="1"/>
  <c r="C114" i="11"/>
  <c r="G114" i="11" s="1"/>
  <c r="L24" i="12"/>
  <c r="I24" i="12" s="1"/>
  <c r="L27" i="12"/>
  <c r="I27" i="12" s="1"/>
  <c r="L35" i="12"/>
  <c r="I35" i="12" s="1"/>
  <c r="L37" i="12"/>
  <c r="I37" i="12" s="1"/>
  <c r="K38" i="12"/>
  <c r="C47" i="12"/>
  <c r="G47" i="12" s="1"/>
  <c r="L53" i="12"/>
  <c r="I53" i="12" s="1"/>
  <c r="C62" i="12"/>
  <c r="G62" i="12" s="1"/>
  <c r="C64" i="12"/>
  <c r="G64" i="12" s="1"/>
  <c r="C65" i="12"/>
  <c r="G65" i="12" s="1"/>
  <c r="L73" i="12"/>
  <c r="I73" i="12" s="1"/>
  <c r="H57" i="12"/>
  <c r="P25" i="10"/>
  <c r="J37" i="10"/>
  <c r="J42" i="10"/>
  <c r="C45" i="10"/>
  <c r="G45" i="10" s="1"/>
  <c r="C69" i="10"/>
  <c r="G69" i="10" s="1"/>
  <c r="P88" i="10"/>
  <c r="C103" i="10"/>
  <c r="G103" i="10" s="1"/>
  <c r="Y16" i="11"/>
  <c r="AJ16" i="11"/>
  <c r="AM18" i="11"/>
  <c r="AO18" i="11" s="1"/>
  <c r="AM26" i="11"/>
  <c r="AO26" i="11" s="1"/>
  <c r="H27" i="11"/>
  <c r="AA28" i="11"/>
  <c r="S29" i="11"/>
  <c r="AH30" i="11"/>
  <c r="AJ32" i="11"/>
  <c r="AA35" i="11"/>
  <c r="AM36" i="11"/>
  <c r="AO36" i="11" s="1"/>
  <c r="C40" i="11"/>
  <c r="G40" i="11" s="1"/>
  <c r="AJ41" i="11"/>
  <c r="AM44" i="11"/>
  <c r="AO44" i="11" s="1"/>
  <c r="Q45" i="11"/>
  <c r="Y47" i="11"/>
  <c r="AJ47" i="11"/>
  <c r="H49" i="11"/>
  <c r="AJ49" i="11"/>
  <c r="Y51" i="11"/>
  <c r="Q53" i="11"/>
  <c r="AH59" i="11"/>
  <c r="C61" i="11"/>
  <c r="G61" i="11" s="1"/>
  <c r="AH61" i="11"/>
  <c r="J66" i="11"/>
  <c r="S68" i="11"/>
  <c r="C69" i="11"/>
  <c r="G69" i="11" s="1"/>
  <c r="S70" i="11"/>
  <c r="Y71" i="11"/>
  <c r="AJ71" i="11"/>
  <c r="C74" i="11"/>
  <c r="G74" i="11" s="1"/>
  <c r="C77" i="11"/>
  <c r="G77" i="11" s="1"/>
  <c r="Q78" i="11"/>
  <c r="AA78" i="11"/>
  <c r="AH78" i="11"/>
  <c r="AM81" i="11"/>
  <c r="AO81" i="11" s="1"/>
  <c r="Q89" i="11"/>
  <c r="AJ90" i="11"/>
  <c r="AM90" i="11"/>
  <c r="AO90" i="11" s="1"/>
  <c r="C94" i="11"/>
  <c r="G94" i="11" s="1"/>
  <c r="I96" i="11"/>
  <c r="M96" i="11" s="1"/>
  <c r="H105" i="11"/>
  <c r="K105" i="11" s="1"/>
  <c r="AM108" i="11"/>
  <c r="AO108" i="11" s="1"/>
  <c r="C112" i="11"/>
  <c r="G112" i="11" s="1"/>
  <c r="I113" i="11"/>
  <c r="M113" i="11" s="1"/>
  <c r="K16" i="12"/>
  <c r="H18" i="12"/>
  <c r="C26" i="12"/>
  <c r="G26" i="12" s="1"/>
  <c r="L30" i="12"/>
  <c r="I30" i="12" s="1"/>
  <c r="L43" i="12"/>
  <c r="I43" i="12" s="1"/>
  <c r="L44" i="12"/>
  <c r="I44" i="12" s="1"/>
  <c r="C49" i="12"/>
  <c r="G49" i="12" s="1"/>
  <c r="C50" i="12"/>
  <c r="G50" i="12" s="1"/>
  <c r="L57" i="12"/>
  <c r="I57" i="12" s="1"/>
  <c r="L59" i="12"/>
  <c r="I59" i="12" s="1"/>
  <c r="H60" i="12"/>
  <c r="C69" i="12"/>
  <c r="G69" i="12" s="1"/>
  <c r="L79" i="12"/>
  <c r="I79" i="12" s="1"/>
  <c r="L80" i="12"/>
  <c r="I80" i="12" s="1"/>
  <c r="K83" i="12"/>
  <c r="P20" i="10"/>
  <c r="C25" i="10"/>
  <c r="G25" i="10" s="1"/>
  <c r="N42" i="10"/>
  <c r="N53" i="10"/>
  <c r="P60" i="10"/>
  <c r="N71" i="10"/>
  <c r="N72" i="10"/>
  <c r="P78" i="10"/>
  <c r="C81" i="10"/>
  <c r="G81" i="10" s="1"/>
  <c r="P83" i="10"/>
  <c r="N84" i="10"/>
  <c r="AJ22" i="11"/>
  <c r="L23" i="11"/>
  <c r="J25" i="11"/>
  <c r="AH26" i="11"/>
  <c r="Y35" i="11"/>
  <c r="J37" i="11"/>
  <c r="AM38" i="11"/>
  <c r="AO38" i="11" s="1"/>
  <c r="AA41" i="11"/>
  <c r="H43" i="11"/>
  <c r="Y43" i="11"/>
  <c r="AH44" i="11"/>
  <c r="AA49" i="11"/>
  <c r="AM52" i="11"/>
  <c r="AO52" i="11" s="1"/>
  <c r="AJ59" i="11"/>
  <c r="Y61" i="11"/>
  <c r="AA63" i="11"/>
  <c r="Y69" i="11"/>
  <c r="AJ69" i="11"/>
  <c r="AM69" i="11"/>
  <c r="AO69" i="11" s="1"/>
  <c r="AM72" i="11"/>
  <c r="AO72" i="11" s="1"/>
  <c r="AH77" i="11"/>
  <c r="AQ76" i="11"/>
  <c r="C79" i="11"/>
  <c r="G79" i="11" s="1"/>
  <c r="AH79" i="11"/>
  <c r="AH81" i="11"/>
  <c r="AH83" i="11"/>
  <c r="H86" i="11"/>
  <c r="Y86" i="11"/>
  <c r="AJ88" i="11"/>
  <c r="L89" i="11"/>
  <c r="Q113" i="11"/>
  <c r="L18" i="12"/>
  <c r="I18" i="12" s="1"/>
  <c r="L19" i="12"/>
  <c r="I19" i="12" s="1"/>
  <c r="K22" i="12"/>
  <c r="K23" i="12"/>
  <c r="K30" i="12"/>
  <c r="L39" i="12"/>
  <c r="I39" i="12" s="1"/>
  <c r="L60" i="12"/>
  <c r="I60" i="12" s="1"/>
  <c r="K62" i="12"/>
  <c r="J23" i="10"/>
  <c r="J24" i="10"/>
  <c r="C26" i="10"/>
  <c r="G26" i="10" s="1"/>
  <c r="C40" i="10"/>
  <c r="G40" i="10" s="1"/>
  <c r="N49" i="10"/>
  <c r="J50" i="10"/>
  <c r="J51" i="10"/>
  <c r="C59" i="10"/>
  <c r="G59" i="10" s="1"/>
  <c r="N61" i="10"/>
  <c r="O76" i="10"/>
  <c r="P84" i="10"/>
  <c r="C98" i="10"/>
  <c r="G98" i="10" s="1"/>
  <c r="C105" i="10"/>
  <c r="G105" i="10" s="1"/>
  <c r="I20" i="11"/>
  <c r="J39" i="11"/>
  <c r="I43" i="11"/>
  <c r="C48" i="11"/>
  <c r="G48" i="11" s="1"/>
  <c r="J59" i="11"/>
  <c r="J73" i="11"/>
  <c r="J80" i="11"/>
  <c r="J84" i="11"/>
  <c r="C85" i="11"/>
  <c r="G85" i="11" s="1"/>
  <c r="C92" i="11"/>
  <c r="G92" i="11" s="1"/>
  <c r="AM95" i="11"/>
  <c r="AO95" i="11" s="1"/>
  <c r="I100" i="11"/>
  <c r="M100" i="11" s="1"/>
  <c r="AM105" i="11"/>
  <c r="AO105" i="11" s="1"/>
  <c r="C109" i="11"/>
  <c r="G109" i="11" s="1"/>
  <c r="AM112" i="11"/>
  <c r="AO112" i="11" s="1"/>
  <c r="P15" i="12"/>
  <c r="C38" i="12"/>
  <c r="G38" i="12" s="1"/>
  <c r="C71" i="12"/>
  <c r="G71" i="12" s="1"/>
  <c r="C73" i="12"/>
  <c r="G73" i="12" s="1"/>
  <c r="W85" i="13"/>
  <c r="AE98" i="13"/>
  <c r="K96" i="12"/>
  <c r="M96" i="12" s="1"/>
  <c r="H114" i="12"/>
  <c r="J114" i="12" s="1"/>
  <c r="BZ16" i="13"/>
  <c r="CA16" i="13" s="1"/>
  <c r="T17" i="13"/>
  <c r="U17" i="13" s="1"/>
  <c r="AD17" i="13"/>
  <c r="AE17" i="13" s="1"/>
  <c r="AV20" i="13"/>
  <c r="AW20" i="13" s="1"/>
  <c r="L26" i="13"/>
  <c r="M26" i="13" s="1"/>
  <c r="O15" i="13"/>
  <c r="T31" i="13"/>
  <c r="U31" i="13" s="1"/>
  <c r="C32" i="13"/>
  <c r="G32" i="13" s="1"/>
  <c r="BZ35" i="13"/>
  <c r="CA35" i="13" s="1"/>
  <c r="V36" i="13"/>
  <c r="W36" i="13" s="1"/>
  <c r="AX40" i="13"/>
  <c r="AY40" i="13" s="1"/>
  <c r="T43" i="13"/>
  <c r="U43" i="13" s="1"/>
  <c r="AV44" i="13"/>
  <c r="AW44" i="13" s="1"/>
  <c r="AX46" i="13"/>
  <c r="AY46" i="13" s="1"/>
  <c r="J50" i="13"/>
  <c r="K50" i="13" s="1"/>
  <c r="V56" i="13"/>
  <c r="W56" i="13" s="1"/>
  <c r="AV58" i="13"/>
  <c r="AW58" i="13" s="1"/>
  <c r="L80" i="13"/>
  <c r="M80" i="13" s="1"/>
  <c r="BP82" i="13"/>
  <c r="M85" i="13"/>
  <c r="BN86" i="13"/>
  <c r="U99" i="13"/>
  <c r="M101" i="13"/>
  <c r="AG102" i="13"/>
  <c r="K105" i="13"/>
  <c r="U113" i="13"/>
  <c r="J22" i="14"/>
  <c r="C25" i="14"/>
  <c r="G25" i="14" s="1"/>
  <c r="J30" i="14"/>
  <c r="C47" i="14"/>
  <c r="G47" i="14" s="1"/>
  <c r="C71" i="14"/>
  <c r="G71" i="14" s="1"/>
  <c r="C87" i="12"/>
  <c r="G87" i="12" s="1"/>
  <c r="C90" i="12"/>
  <c r="G90" i="12" s="1"/>
  <c r="H92" i="12"/>
  <c r="J92" i="12" s="1"/>
  <c r="H99" i="12"/>
  <c r="J99" i="12" s="1"/>
  <c r="C102" i="12"/>
  <c r="G102" i="12" s="1"/>
  <c r="C107" i="12"/>
  <c r="G107" i="12" s="1"/>
  <c r="AP15" i="13"/>
  <c r="BB15" i="13"/>
  <c r="BX16" i="13"/>
  <c r="BY16" i="13" s="1"/>
  <c r="T18" i="13"/>
  <c r="U18" i="13" s="1"/>
  <c r="C19" i="13"/>
  <c r="G19" i="13" s="1"/>
  <c r="AF22" i="13"/>
  <c r="AG22" i="13" s="1"/>
  <c r="AV23" i="13"/>
  <c r="AW23" i="13" s="1"/>
  <c r="L24" i="13"/>
  <c r="M24" i="13" s="1"/>
  <c r="BN28" i="13"/>
  <c r="J32" i="13"/>
  <c r="K32" i="13" s="1"/>
  <c r="AX32" i="13"/>
  <c r="AY32" i="13" s="1"/>
  <c r="BP32" i="13"/>
  <c r="AX34" i="13"/>
  <c r="AY34" i="13" s="1"/>
  <c r="C35" i="13"/>
  <c r="G35" i="13" s="1"/>
  <c r="L38" i="13"/>
  <c r="M38" i="13" s="1"/>
  <c r="BX38" i="13"/>
  <c r="BY38" i="13" s="1"/>
  <c r="BX39" i="13"/>
  <c r="BY39" i="13" s="1"/>
  <c r="J42" i="13"/>
  <c r="K42" i="13" s="1"/>
  <c r="L44" i="13"/>
  <c r="M44" i="13" s="1"/>
  <c r="BX45" i="13"/>
  <c r="AD46" i="13"/>
  <c r="AE46" i="13" s="1"/>
  <c r="AF48" i="13"/>
  <c r="AG48" i="13" s="1"/>
  <c r="L50" i="13"/>
  <c r="M50" i="13" s="1"/>
  <c r="AV53" i="13"/>
  <c r="AW53" i="13" s="1"/>
  <c r="BN53" i="13"/>
  <c r="AF61" i="13"/>
  <c r="AX61" i="13"/>
  <c r="U62" i="13"/>
  <c r="BP66" i="13"/>
  <c r="BN69" i="13"/>
  <c r="J72" i="13"/>
  <c r="K72" i="13" s="1"/>
  <c r="L73" i="13"/>
  <c r="J74" i="13"/>
  <c r="K74" i="13" s="1"/>
  <c r="BZ74" i="13"/>
  <c r="AV75" i="13"/>
  <c r="X76" i="13"/>
  <c r="AR76" i="13"/>
  <c r="C78" i="13"/>
  <c r="G78" i="13" s="1"/>
  <c r="V82" i="13"/>
  <c r="W82" i="13" s="1"/>
  <c r="BZ82" i="13"/>
  <c r="AD87" i="13"/>
  <c r="AG95" i="13"/>
  <c r="M102" i="13"/>
  <c r="AE110" i="13"/>
  <c r="C111" i="13"/>
  <c r="G111" i="13" s="1"/>
  <c r="J35" i="14"/>
  <c r="C42" i="14"/>
  <c r="G42" i="14" s="1"/>
  <c r="J52" i="14"/>
  <c r="C66" i="14"/>
  <c r="G66" i="14" s="1"/>
  <c r="H27" i="15"/>
  <c r="K27" i="15" s="1"/>
  <c r="H113" i="12"/>
  <c r="J113" i="12" s="1"/>
  <c r="F15" i="13"/>
  <c r="J36" i="13"/>
  <c r="K36" i="13" s="1"/>
  <c r="AF36" i="13"/>
  <c r="AG36" i="13" s="1"/>
  <c r="AF37" i="13"/>
  <c r="AG37" i="13" s="1"/>
  <c r="CC33" i="13"/>
  <c r="T59" i="13"/>
  <c r="U59" i="13" s="1"/>
  <c r="C61" i="13"/>
  <c r="G61" i="13" s="1"/>
  <c r="BP69" i="13"/>
  <c r="AX75" i="13"/>
  <c r="BZ84" i="13"/>
  <c r="CA84" i="13" s="1"/>
  <c r="T85" i="13"/>
  <c r="BZ87" i="13"/>
  <c r="BN89" i="13"/>
  <c r="K98" i="13"/>
  <c r="AE114" i="13"/>
  <c r="C94" i="12"/>
  <c r="G94" i="12" s="1"/>
  <c r="C101" i="12"/>
  <c r="G101" i="12" s="1"/>
  <c r="K105" i="12"/>
  <c r="M105" i="12" s="1"/>
  <c r="R106" i="12"/>
  <c r="R13" i="12" s="1"/>
  <c r="T13" i="12" s="1"/>
  <c r="J18" i="13"/>
  <c r="K18" i="13" s="1"/>
  <c r="BZ18" i="13"/>
  <c r="CA18" i="13" s="1"/>
  <c r="AF20" i="13"/>
  <c r="AG20" i="13" s="1"/>
  <c r="BK15" i="13"/>
  <c r="BZ25" i="13"/>
  <c r="J27" i="13"/>
  <c r="K27" i="13" s="1"/>
  <c r="AF32" i="13"/>
  <c r="AG32" i="13" s="1"/>
  <c r="J34" i="13"/>
  <c r="K34" i="13" s="1"/>
  <c r="T35" i="13"/>
  <c r="U35" i="13" s="1"/>
  <c r="C36" i="13"/>
  <c r="G36" i="13" s="1"/>
  <c r="L36" i="13"/>
  <c r="M36" i="13" s="1"/>
  <c r="J37" i="13"/>
  <c r="K37" i="13" s="1"/>
  <c r="BX37" i="13"/>
  <c r="AV41" i="13"/>
  <c r="AW41" i="13" s="1"/>
  <c r="L43" i="13"/>
  <c r="M43" i="13" s="1"/>
  <c r="AV47" i="13"/>
  <c r="AW47" i="13" s="1"/>
  <c r="V48" i="13"/>
  <c r="W48" i="13" s="1"/>
  <c r="AF49" i="13"/>
  <c r="AG49" i="13" s="1"/>
  <c r="L51" i="13"/>
  <c r="M51" i="13" s="1"/>
  <c r="X54" i="13"/>
  <c r="T57" i="13"/>
  <c r="U57" i="13" s="1"/>
  <c r="BD54" i="13"/>
  <c r="L59" i="13"/>
  <c r="M59" i="13" s="1"/>
  <c r="BX60" i="13"/>
  <c r="J62" i="13"/>
  <c r="T62" i="13"/>
  <c r="AV65" i="13"/>
  <c r="AW65" i="13" s="1"/>
  <c r="V66" i="13"/>
  <c r="W66" i="13" s="1"/>
  <c r="T68" i="13"/>
  <c r="U68" i="13" s="1"/>
  <c r="L70" i="13"/>
  <c r="M70" i="13" s="1"/>
  <c r="L71" i="13"/>
  <c r="M71" i="13" s="1"/>
  <c r="BN71" i="13"/>
  <c r="AX73" i="13"/>
  <c r="K75" i="13"/>
  <c r="J77" i="13"/>
  <c r="K77" i="13" s="1"/>
  <c r="V85" i="13"/>
  <c r="AX86" i="13"/>
  <c r="BP88" i="13"/>
  <c r="U102" i="13"/>
  <c r="U105" i="13"/>
  <c r="K107" i="13"/>
  <c r="C23" i="14"/>
  <c r="G23" i="14" s="1"/>
  <c r="C27" i="14"/>
  <c r="G27" i="14" s="1"/>
  <c r="J51" i="14"/>
  <c r="J67" i="14"/>
  <c r="C74" i="14"/>
  <c r="G74" i="14" s="1"/>
  <c r="BN17" i="13"/>
  <c r="AS15" i="13"/>
  <c r="J22" i="13"/>
  <c r="K22" i="13" s="1"/>
  <c r="T24" i="13"/>
  <c r="U24" i="13" s="1"/>
  <c r="AV25" i="13"/>
  <c r="AW25" i="13" s="1"/>
  <c r="BX26" i="13"/>
  <c r="BY26" i="13" s="1"/>
  <c r="C28" i="13"/>
  <c r="G28" i="13" s="1"/>
  <c r="BP30" i="13"/>
  <c r="BP31" i="13"/>
  <c r="L39" i="13"/>
  <c r="M39" i="13" s="1"/>
  <c r="AV43" i="13"/>
  <c r="AW43" i="13" s="1"/>
  <c r="BZ43" i="13"/>
  <c r="BN47" i="13"/>
  <c r="J48" i="13"/>
  <c r="K48" i="13" s="1"/>
  <c r="J51" i="13"/>
  <c r="K51" i="13" s="1"/>
  <c r="AX52" i="13"/>
  <c r="AY52" i="13" s="1"/>
  <c r="BX52" i="13"/>
  <c r="AD59" i="13"/>
  <c r="AE59" i="13" s="1"/>
  <c r="T61" i="13"/>
  <c r="L62" i="13"/>
  <c r="C64" i="13"/>
  <c r="G64" i="13" s="1"/>
  <c r="AF65" i="13"/>
  <c r="AG65" i="13" s="1"/>
  <c r="J66" i="13"/>
  <c r="K66" i="13" s="1"/>
  <c r="BZ67" i="13"/>
  <c r="BX68" i="13"/>
  <c r="BZ70" i="13"/>
  <c r="BH54" i="13"/>
  <c r="BP80" i="13"/>
  <c r="BZ85" i="13"/>
  <c r="BP90" i="13"/>
  <c r="M92" i="13"/>
  <c r="M95" i="13"/>
  <c r="AE101" i="13"/>
  <c r="J28" i="14"/>
  <c r="C45" i="14"/>
  <c r="G45" i="14" s="1"/>
  <c r="C53" i="14"/>
  <c r="G53" i="14" s="1"/>
  <c r="J57" i="14"/>
  <c r="J61" i="14"/>
  <c r="C73" i="14"/>
  <c r="G73" i="14" s="1"/>
  <c r="L87" i="12"/>
  <c r="I87" i="12" s="1"/>
  <c r="L90" i="12"/>
  <c r="I90" i="12" s="1"/>
  <c r="C100" i="12"/>
  <c r="G100" i="12" s="1"/>
  <c r="BA15" i="13"/>
  <c r="BP22" i="13"/>
  <c r="J26" i="13"/>
  <c r="K26" i="13" s="1"/>
  <c r="AF26" i="13"/>
  <c r="AG26" i="13" s="1"/>
  <c r="BZ26" i="13"/>
  <c r="CA26" i="13" s="1"/>
  <c r="AF28" i="13"/>
  <c r="AG28" i="13" s="1"/>
  <c r="AF30" i="13"/>
  <c r="AG30" i="13" s="1"/>
  <c r="C31" i="13"/>
  <c r="G31" i="13" s="1"/>
  <c r="BP34" i="13"/>
  <c r="AD36" i="13"/>
  <c r="AE36" i="13" s="1"/>
  <c r="AV39" i="13"/>
  <c r="AW39" i="13" s="1"/>
  <c r="BN39" i="13"/>
  <c r="L40" i="13"/>
  <c r="M40" i="13" s="1"/>
  <c r="C41" i="13"/>
  <c r="G41" i="13" s="1"/>
  <c r="AX44" i="13"/>
  <c r="AY44" i="13" s="1"/>
  <c r="BX44" i="13"/>
  <c r="L46" i="13"/>
  <c r="M46" i="13" s="1"/>
  <c r="AD47" i="13"/>
  <c r="AE47" i="13" s="1"/>
  <c r="BP48" i="13"/>
  <c r="BZ48" i="13"/>
  <c r="CA48" i="13" s="1"/>
  <c r="AF50" i="13"/>
  <c r="AG50" i="13" s="1"/>
  <c r="AX50" i="13"/>
  <c r="AY50" i="13" s="1"/>
  <c r="T53" i="13"/>
  <c r="U53" i="13" s="1"/>
  <c r="T56" i="13"/>
  <c r="U56" i="13" s="1"/>
  <c r="J57" i="13"/>
  <c r="K57" i="13" s="1"/>
  <c r="BN57" i="13"/>
  <c r="AF58" i="13"/>
  <c r="AG58" i="13" s="1"/>
  <c r="AX58" i="13"/>
  <c r="AY58" i="13" s="1"/>
  <c r="BX58" i="13"/>
  <c r="BY58" i="13" s="1"/>
  <c r="J60" i="13"/>
  <c r="BZ62" i="13"/>
  <c r="AF63" i="13"/>
  <c r="AX63" i="13"/>
  <c r="AV64" i="13"/>
  <c r="AW64" i="13" s="1"/>
  <c r="J68" i="13"/>
  <c r="K68" i="13" s="1"/>
  <c r="BN68" i="13"/>
  <c r="L79" i="13"/>
  <c r="M79" i="13" s="1"/>
  <c r="T79" i="13"/>
  <c r="U79" i="13" s="1"/>
  <c r="V81" i="13"/>
  <c r="W81" i="13" s="1"/>
  <c r="J89" i="13"/>
  <c r="K89" i="13" s="1"/>
  <c r="C105" i="12"/>
  <c r="G105" i="12" s="1"/>
  <c r="L16" i="13"/>
  <c r="M16" i="13" s="1"/>
  <c r="D15" i="13"/>
  <c r="BF15" i="13"/>
  <c r="J24" i="13"/>
  <c r="K24" i="13" s="1"/>
  <c r="BX29" i="13"/>
  <c r="BY29" i="13" s="1"/>
  <c r="T32" i="13"/>
  <c r="U32" i="13" s="1"/>
  <c r="V35" i="13"/>
  <c r="W35" i="13" s="1"/>
  <c r="BP41" i="13"/>
  <c r="BZ44" i="13"/>
  <c r="T45" i="13"/>
  <c r="U45" i="13" s="1"/>
  <c r="AV45" i="13"/>
  <c r="AW45" i="13" s="1"/>
  <c r="BN46" i="13"/>
  <c r="C48" i="13"/>
  <c r="G48" i="13" s="1"/>
  <c r="AD50" i="13"/>
  <c r="AE50" i="13" s="1"/>
  <c r="BP52" i="13"/>
  <c r="AF64" i="13"/>
  <c r="AG64" i="13" s="1"/>
  <c r="AX69" i="13"/>
  <c r="AY69" i="13" s="1"/>
  <c r="C71" i="13"/>
  <c r="G71" i="13" s="1"/>
  <c r="BX71" i="13"/>
  <c r="T73" i="13"/>
  <c r="BX73" i="13"/>
  <c r="L74" i="13"/>
  <c r="M74" i="13" s="1"/>
  <c r="C75" i="13"/>
  <c r="G75" i="13" s="1"/>
  <c r="C93" i="13"/>
  <c r="G93" i="13" s="1"/>
  <c r="C97" i="13"/>
  <c r="G97" i="13" s="1"/>
  <c r="AE102" i="13"/>
  <c r="C103" i="13"/>
  <c r="G103" i="13" s="1"/>
  <c r="C107" i="13"/>
  <c r="G107" i="13" s="1"/>
  <c r="M113" i="13"/>
  <c r="I15" i="14"/>
  <c r="J37" i="14"/>
  <c r="C63" i="14"/>
  <c r="G63" i="14" s="1"/>
  <c r="J74" i="14"/>
  <c r="C81" i="14"/>
  <c r="G81" i="14" s="1"/>
  <c r="C85" i="14"/>
  <c r="G85" i="14" s="1"/>
  <c r="C72" i="15"/>
  <c r="G72" i="15" s="1"/>
  <c r="I74" i="15"/>
  <c r="R76" i="15"/>
  <c r="J89" i="15"/>
  <c r="C104" i="15"/>
  <c r="G104" i="15" s="1"/>
  <c r="C24" i="16"/>
  <c r="G24" i="16" s="1"/>
  <c r="C55" i="16"/>
  <c r="G55" i="16" s="1"/>
  <c r="C62" i="16"/>
  <c r="G62" i="16" s="1"/>
  <c r="C63" i="16"/>
  <c r="G63" i="16" s="1"/>
  <c r="I81" i="16"/>
  <c r="J81" i="16" s="1"/>
  <c r="C86" i="16"/>
  <c r="G86" i="16" s="1"/>
  <c r="C87" i="16"/>
  <c r="G87" i="16" s="1"/>
  <c r="C101" i="16"/>
  <c r="G101" i="16" s="1"/>
  <c r="C104" i="16"/>
  <c r="G104" i="16" s="1"/>
  <c r="R18" i="17"/>
  <c r="U23" i="17"/>
  <c r="O30" i="17"/>
  <c r="O36" i="17"/>
  <c r="O45" i="17"/>
  <c r="C78" i="17"/>
  <c r="G78" i="17" s="1"/>
  <c r="O85" i="17"/>
  <c r="C92" i="17"/>
  <c r="G92" i="17" s="1"/>
  <c r="Y16" i="18"/>
  <c r="U22" i="18"/>
  <c r="C23" i="18"/>
  <c r="G23" i="18" s="1"/>
  <c r="C24" i="18"/>
  <c r="G24" i="18" s="1"/>
  <c r="H40" i="18"/>
  <c r="P40" i="18" s="1"/>
  <c r="Y66" i="18"/>
  <c r="H73" i="18"/>
  <c r="P73" i="18" s="1"/>
  <c r="Y80" i="18"/>
  <c r="H81" i="18"/>
  <c r="L81" i="18" s="1"/>
  <c r="Y81" i="18"/>
  <c r="U84" i="18"/>
  <c r="U88" i="18"/>
  <c r="C79" i="14"/>
  <c r="G79" i="14" s="1"/>
  <c r="J86" i="14"/>
  <c r="C99" i="14"/>
  <c r="G99" i="14" s="1"/>
  <c r="C103" i="14"/>
  <c r="G103" i="14" s="1"/>
  <c r="J31" i="15"/>
  <c r="I32" i="15"/>
  <c r="E33" i="15"/>
  <c r="I43" i="15"/>
  <c r="I46" i="15"/>
  <c r="I49" i="15"/>
  <c r="J51" i="15"/>
  <c r="C55" i="15"/>
  <c r="G55" i="15" s="1"/>
  <c r="I62" i="15"/>
  <c r="C64" i="15"/>
  <c r="G64" i="15" s="1"/>
  <c r="I68" i="15"/>
  <c r="I71" i="15"/>
  <c r="C73" i="15"/>
  <c r="G73" i="15" s="1"/>
  <c r="E76" i="15"/>
  <c r="I80" i="15"/>
  <c r="J82" i="15"/>
  <c r="C86" i="15"/>
  <c r="G86" i="15" s="1"/>
  <c r="C100" i="15"/>
  <c r="G100" i="15" s="1"/>
  <c r="C103" i="15"/>
  <c r="G103" i="15" s="1"/>
  <c r="C26" i="16"/>
  <c r="G26" i="16" s="1"/>
  <c r="I28" i="16"/>
  <c r="J28" i="16" s="1"/>
  <c r="I37" i="16"/>
  <c r="J37" i="16" s="1"/>
  <c r="I51" i="16"/>
  <c r="J51" i="16" s="1"/>
  <c r="I65" i="16"/>
  <c r="J65" i="16" s="1"/>
  <c r="C75" i="16"/>
  <c r="G75" i="16" s="1"/>
  <c r="C109" i="16"/>
  <c r="G109" i="16" s="1"/>
  <c r="F33" i="17"/>
  <c r="C47" i="17"/>
  <c r="G47" i="17" s="1"/>
  <c r="C80" i="17"/>
  <c r="G80" i="17" s="1"/>
  <c r="Y19" i="18"/>
  <c r="H22" i="18"/>
  <c r="R22" i="18" s="1"/>
  <c r="U23" i="18"/>
  <c r="U24" i="18"/>
  <c r="G25" i="18"/>
  <c r="C27" i="18"/>
  <c r="G27" i="18" s="1"/>
  <c r="C29" i="18"/>
  <c r="G29" i="18" s="1"/>
  <c r="Y40" i="18"/>
  <c r="Y41" i="18"/>
  <c r="U43" i="18"/>
  <c r="U57" i="18"/>
  <c r="C62" i="18"/>
  <c r="G62" i="18" s="1"/>
  <c r="Y72" i="18"/>
  <c r="H87" i="18"/>
  <c r="T87" i="18" s="1"/>
  <c r="H90" i="18"/>
  <c r="R90" i="18" s="1"/>
  <c r="C103" i="18"/>
  <c r="G103" i="18" s="1"/>
  <c r="J20" i="15"/>
  <c r="I21" i="15"/>
  <c r="J32" i="15"/>
  <c r="C35" i="15"/>
  <c r="G35" i="15" s="1"/>
  <c r="C42" i="15"/>
  <c r="G42" i="15" s="1"/>
  <c r="C78" i="14"/>
  <c r="G78" i="14" s="1"/>
  <c r="C104" i="14"/>
  <c r="G104" i="14" s="1"/>
  <c r="J21" i="15"/>
  <c r="I22" i="15"/>
  <c r="C25" i="15"/>
  <c r="G25" i="15" s="1"/>
  <c r="J36" i="15"/>
  <c r="J42" i="15"/>
  <c r="C45" i="15"/>
  <c r="G45" i="15" s="1"/>
  <c r="C46" i="15"/>
  <c r="G46" i="15" s="1"/>
  <c r="I47" i="15"/>
  <c r="C49" i="15"/>
  <c r="G49" i="15" s="1"/>
  <c r="I50" i="15"/>
  <c r="K50" i="15" s="1"/>
  <c r="I53" i="15"/>
  <c r="K53" i="15" s="1"/>
  <c r="C56" i="15"/>
  <c r="G56" i="15" s="1"/>
  <c r="C61" i="15"/>
  <c r="G61" i="15" s="1"/>
  <c r="J70" i="15"/>
  <c r="I78" i="15"/>
  <c r="I87" i="15"/>
  <c r="C95" i="15"/>
  <c r="G95" i="15" s="1"/>
  <c r="C20" i="16"/>
  <c r="G20" i="16" s="1"/>
  <c r="I31" i="16"/>
  <c r="J31" i="16" s="1"/>
  <c r="C58" i="16"/>
  <c r="G58" i="16" s="1"/>
  <c r="C113" i="16"/>
  <c r="G113" i="16" s="1"/>
  <c r="C26" i="17"/>
  <c r="G26" i="17" s="1"/>
  <c r="C32" i="17"/>
  <c r="G32" i="17" s="1"/>
  <c r="C40" i="17"/>
  <c r="G40" i="17" s="1"/>
  <c r="I66" i="17"/>
  <c r="L66" i="17" s="1"/>
  <c r="R70" i="17"/>
  <c r="O77" i="17"/>
  <c r="I85" i="17"/>
  <c r="L85" i="17" s="1"/>
  <c r="R85" i="17"/>
  <c r="C89" i="17"/>
  <c r="G89" i="17" s="1"/>
  <c r="C95" i="17"/>
  <c r="G95" i="17" s="1"/>
  <c r="H25" i="18"/>
  <c r="R25" i="18" s="1"/>
  <c r="U28" i="18"/>
  <c r="U30" i="18"/>
  <c r="U31" i="18"/>
  <c r="H42" i="18"/>
  <c r="P42" i="18" s="1"/>
  <c r="Y43" i="18"/>
  <c r="Y44" i="18"/>
  <c r="H45" i="18"/>
  <c r="N45" i="18" s="1"/>
  <c r="H46" i="18"/>
  <c r="P46" i="18" s="1"/>
  <c r="H47" i="18"/>
  <c r="N47" i="18" s="1"/>
  <c r="U47" i="18"/>
  <c r="H55" i="18"/>
  <c r="L55" i="18" s="1"/>
  <c r="Y59" i="18"/>
  <c r="H60" i="18"/>
  <c r="R60" i="18" s="1"/>
  <c r="U61" i="18"/>
  <c r="U62" i="18"/>
  <c r="U63" i="18"/>
  <c r="C67" i="18"/>
  <c r="G67" i="18" s="1"/>
  <c r="C69" i="18"/>
  <c r="G69" i="18" s="1"/>
  <c r="C70" i="18"/>
  <c r="G70" i="18" s="1"/>
  <c r="Y86" i="18"/>
  <c r="Y88" i="18"/>
  <c r="Y90" i="18"/>
  <c r="C96" i="18"/>
  <c r="G96" i="18" s="1"/>
  <c r="C97" i="18"/>
  <c r="G97" i="18" s="1"/>
  <c r="I72" i="15"/>
  <c r="C80" i="15"/>
  <c r="G80" i="15" s="1"/>
  <c r="J90" i="15"/>
  <c r="C21" i="16"/>
  <c r="G21" i="16" s="1"/>
  <c r="I24" i="16"/>
  <c r="J24" i="16" s="1"/>
  <c r="C37" i="16"/>
  <c r="G37" i="16" s="1"/>
  <c r="C44" i="16"/>
  <c r="G44" i="16" s="1"/>
  <c r="I61" i="16"/>
  <c r="J61" i="16" s="1"/>
  <c r="I80" i="16"/>
  <c r="J80" i="16" s="1"/>
  <c r="I90" i="16"/>
  <c r="J90" i="16" s="1"/>
  <c r="C92" i="16"/>
  <c r="G92" i="16" s="1"/>
  <c r="C97" i="16"/>
  <c r="G97" i="16" s="1"/>
  <c r="C105" i="16"/>
  <c r="G105" i="16" s="1"/>
  <c r="C16" i="17"/>
  <c r="G16" i="17" s="1"/>
  <c r="C49" i="17"/>
  <c r="G49" i="17" s="1"/>
  <c r="C113" i="17"/>
  <c r="G113" i="17" s="1"/>
  <c r="C19" i="18"/>
  <c r="G19" i="18" s="1"/>
  <c r="X15" i="18"/>
  <c r="H27" i="18"/>
  <c r="N27" i="18" s="1"/>
  <c r="H30" i="18"/>
  <c r="R30" i="18" s="1"/>
  <c r="U32" i="18"/>
  <c r="U34" i="18"/>
  <c r="S33" i="18"/>
  <c r="Y46" i="18"/>
  <c r="H50" i="18"/>
  <c r="T50" i="18" s="1"/>
  <c r="U50" i="18"/>
  <c r="H62" i="18"/>
  <c r="T62" i="18" s="1"/>
  <c r="U64" i="18"/>
  <c r="V64" i="18" s="1"/>
  <c r="C75" i="18"/>
  <c r="G75" i="18" s="1"/>
  <c r="C77" i="18"/>
  <c r="G77" i="18" s="1"/>
  <c r="C111" i="18"/>
  <c r="G111" i="18" s="1"/>
  <c r="C113" i="18"/>
  <c r="G113" i="18" s="1"/>
  <c r="C77" i="14"/>
  <c r="G77" i="14" s="1"/>
  <c r="C92" i="14"/>
  <c r="G92" i="14" s="1"/>
  <c r="C98" i="14"/>
  <c r="G98" i="14" s="1"/>
  <c r="J17" i="15"/>
  <c r="J23" i="15"/>
  <c r="J29" i="15"/>
  <c r="I37" i="15"/>
  <c r="I51" i="15"/>
  <c r="J56" i="15"/>
  <c r="J62" i="15"/>
  <c r="J66" i="15"/>
  <c r="F54" i="16"/>
  <c r="U36" i="17"/>
  <c r="J78" i="14"/>
  <c r="J87" i="14"/>
  <c r="J24" i="15"/>
  <c r="C27" i="15"/>
  <c r="G27" i="15" s="1"/>
  <c r="N33" i="15"/>
  <c r="I48" i="15"/>
  <c r="I77" i="15"/>
  <c r="C81" i="15"/>
  <c r="G81" i="15" s="1"/>
  <c r="C83" i="15"/>
  <c r="G83" i="15" s="1"/>
  <c r="E106" i="15"/>
  <c r="E13" i="15" s="1"/>
  <c r="C108" i="15"/>
  <c r="G108" i="15" s="1"/>
  <c r="C30" i="16"/>
  <c r="G30" i="16" s="1"/>
  <c r="I32" i="16"/>
  <c r="J32" i="16" s="1"/>
  <c r="C45" i="16"/>
  <c r="G45" i="16" s="1"/>
  <c r="I74" i="16"/>
  <c r="J74" i="16" s="1"/>
  <c r="K76" i="16"/>
  <c r="C84" i="16"/>
  <c r="G84" i="16" s="1"/>
  <c r="C23" i="17"/>
  <c r="G23" i="17" s="1"/>
  <c r="O32" i="17"/>
  <c r="O35" i="17"/>
  <c r="O39" i="17"/>
  <c r="O40" i="17"/>
  <c r="U42" i="17"/>
  <c r="U47" i="17"/>
  <c r="C58" i="17"/>
  <c r="G58" i="17" s="1"/>
  <c r="U65" i="17"/>
  <c r="I72" i="17"/>
  <c r="L72" i="17" s="1"/>
  <c r="O83" i="17"/>
  <c r="C93" i="17"/>
  <c r="G93" i="17" s="1"/>
  <c r="D106" i="17"/>
  <c r="D13" i="17" s="1"/>
  <c r="H17" i="18"/>
  <c r="P17" i="18" s="1"/>
  <c r="H18" i="18"/>
  <c r="N18" i="18" s="1"/>
  <c r="C20" i="18"/>
  <c r="G20" i="18" s="1"/>
  <c r="AB15" i="18"/>
  <c r="Y28" i="18"/>
  <c r="Y30" i="18"/>
  <c r="U39" i="18"/>
  <c r="H52" i="18"/>
  <c r="N52" i="18" s="1"/>
  <c r="Y63" i="18"/>
  <c r="Y64" i="18"/>
  <c r="Z64" i="18" s="1"/>
  <c r="Y65" i="18"/>
  <c r="H67" i="18"/>
  <c r="L67" i="18" s="1"/>
  <c r="U67" i="18"/>
  <c r="H69" i="18"/>
  <c r="H70" i="18"/>
  <c r="T70" i="18" s="1"/>
  <c r="U70" i="18"/>
  <c r="U71" i="18"/>
  <c r="U72" i="18"/>
  <c r="U80" i="18"/>
  <c r="C85" i="18"/>
  <c r="G85" i="18" s="1"/>
  <c r="C112" i="18"/>
  <c r="G112" i="18" s="1"/>
  <c r="C89" i="14"/>
  <c r="G89" i="14" s="1"/>
  <c r="E15" i="15"/>
  <c r="I29" i="15"/>
  <c r="C34" i="15"/>
  <c r="G34" i="15" s="1"/>
  <c r="I38" i="15"/>
  <c r="K38" i="15" s="1"/>
  <c r="C40" i="15"/>
  <c r="G40" i="15" s="1"/>
  <c r="J45" i="15"/>
  <c r="J47" i="15"/>
  <c r="C57" i="15"/>
  <c r="G57" i="15" s="1"/>
  <c r="C63" i="15"/>
  <c r="G63" i="15" s="1"/>
  <c r="C66" i="15"/>
  <c r="G66" i="15" s="1"/>
  <c r="J73" i="15"/>
  <c r="I79" i="15"/>
  <c r="Q76" i="15"/>
  <c r="I26" i="16"/>
  <c r="J26" i="16" s="1"/>
  <c r="C53" i="16"/>
  <c r="G53" i="16" s="1"/>
  <c r="I88" i="16"/>
  <c r="J88" i="16" s="1"/>
  <c r="C45" i="17"/>
  <c r="G45" i="17" s="1"/>
  <c r="R68" i="1"/>
  <c r="Y15" i="1"/>
  <c r="H15" i="1"/>
  <c r="AB15" i="1"/>
  <c r="G33" i="1"/>
  <c r="H33" i="1"/>
  <c r="P53" i="1"/>
  <c r="S53" i="1" s="1"/>
  <c r="Z54" i="1"/>
  <c r="AJ70" i="1"/>
  <c r="D73" i="1"/>
  <c r="L73" i="1" s="1"/>
  <c r="H76" i="1"/>
  <c r="Y76" i="1"/>
  <c r="AG76" i="1"/>
  <c r="M78" i="1"/>
  <c r="I81" i="1"/>
  <c r="D85" i="1"/>
  <c r="L85" i="1" s="1"/>
  <c r="E91" i="1"/>
  <c r="E12" i="1" s="1"/>
  <c r="I103" i="1"/>
  <c r="C16" i="2"/>
  <c r="J16" i="2" s="1"/>
  <c r="AA20" i="2"/>
  <c r="W35" i="2"/>
  <c r="I38" i="2"/>
  <c r="U49" i="2"/>
  <c r="Y78" i="2"/>
  <c r="AA79" i="2"/>
  <c r="U79" i="2"/>
  <c r="T29" i="4"/>
  <c r="R29" i="4"/>
  <c r="AA59" i="4"/>
  <c r="AA81" i="4"/>
  <c r="T85" i="4"/>
  <c r="R85" i="4"/>
  <c r="BA16" i="5"/>
  <c r="BC16" i="5" s="1"/>
  <c r="AP16" i="5"/>
  <c r="I16" i="1"/>
  <c r="I17" i="1"/>
  <c r="V33" i="1"/>
  <c r="AG33" i="1"/>
  <c r="I37" i="1"/>
  <c r="T47" i="1"/>
  <c r="I48" i="1"/>
  <c r="I49" i="1"/>
  <c r="D57" i="1"/>
  <c r="L57" i="1" s="1"/>
  <c r="I69" i="1"/>
  <c r="D71" i="1"/>
  <c r="C71" i="1" s="1"/>
  <c r="P75" i="1"/>
  <c r="S75" i="1" s="1"/>
  <c r="W76" i="1"/>
  <c r="AA76" i="1"/>
  <c r="AI76" i="1"/>
  <c r="Z76" i="1"/>
  <c r="T89" i="1"/>
  <c r="F91" i="1"/>
  <c r="F12" i="1" s="1"/>
  <c r="I94" i="1"/>
  <c r="Z106" i="1"/>
  <c r="Z15" i="2"/>
  <c r="W18" i="2"/>
  <c r="AA25" i="2"/>
  <c r="O31" i="2"/>
  <c r="O35" i="2"/>
  <c r="W49" i="2"/>
  <c r="W60" i="2"/>
  <c r="Y60" i="2"/>
  <c r="AA61" i="2"/>
  <c r="W61" i="2"/>
  <c r="U61" i="2"/>
  <c r="E33" i="3"/>
  <c r="M57" i="3"/>
  <c r="D92" i="3"/>
  <c r="E91" i="3"/>
  <c r="E12" i="3" s="1"/>
  <c r="T17" i="4"/>
  <c r="R17" i="4"/>
  <c r="T19" i="4"/>
  <c r="AF33" i="4"/>
  <c r="T40" i="4"/>
  <c r="R40" i="4"/>
  <c r="T44" i="4"/>
  <c r="R44" i="4"/>
  <c r="O98" i="4"/>
  <c r="G91" i="4"/>
  <c r="C109" i="4"/>
  <c r="J109" i="4" s="1"/>
  <c r="L109" i="4"/>
  <c r="P43" i="6"/>
  <c r="X43" i="6"/>
  <c r="U47" i="6"/>
  <c r="P47" i="6"/>
  <c r="R47" i="6" s="1"/>
  <c r="P77" i="6"/>
  <c r="R77" i="6" s="1"/>
  <c r="X77" i="6"/>
  <c r="AA15" i="1"/>
  <c r="AI15" i="1"/>
  <c r="AC15" i="1"/>
  <c r="T23" i="1"/>
  <c r="I25" i="1"/>
  <c r="D27" i="1"/>
  <c r="L27" i="1" s="1"/>
  <c r="R32" i="1"/>
  <c r="I34" i="1"/>
  <c r="AA33" i="1"/>
  <c r="AI33" i="1"/>
  <c r="Z33" i="1"/>
  <c r="AH33" i="1"/>
  <c r="P38" i="1"/>
  <c r="S38" i="1" s="1"/>
  <c r="M44" i="1"/>
  <c r="F54" i="1"/>
  <c r="AD54" i="1"/>
  <c r="I66" i="1"/>
  <c r="R74" i="1"/>
  <c r="X76" i="1"/>
  <c r="AB76" i="1"/>
  <c r="D81" i="1"/>
  <c r="L81" i="1" s="1"/>
  <c r="P82" i="1"/>
  <c r="S82" i="1" s="1"/>
  <c r="W91" i="1"/>
  <c r="M95" i="1"/>
  <c r="D100" i="1"/>
  <c r="C100" i="1" s="1"/>
  <c r="J100" i="1" s="1"/>
  <c r="D101" i="1"/>
  <c r="L101" i="1" s="1"/>
  <c r="I118" i="1"/>
  <c r="AA16" i="2"/>
  <c r="M18" i="2"/>
  <c r="R20" i="2"/>
  <c r="M22" i="2"/>
  <c r="D23" i="2"/>
  <c r="L23" i="2" s="1"/>
  <c r="W24" i="2"/>
  <c r="D25" i="2"/>
  <c r="L25" i="2" s="1"/>
  <c r="AA28" i="2"/>
  <c r="I29" i="2"/>
  <c r="R31" i="2"/>
  <c r="I32" i="2"/>
  <c r="R38" i="2"/>
  <c r="AD38" i="2"/>
  <c r="R43" i="2"/>
  <c r="Y44" i="2"/>
  <c r="M45" i="2"/>
  <c r="W45" i="2"/>
  <c r="D47" i="2"/>
  <c r="C47" i="2" s="1"/>
  <c r="AA47" i="2"/>
  <c r="Y48" i="2"/>
  <c r="M49" i="2"/>
  <c r="D51" i="2"/>
  <c r="C51" i="2" s="1"/>
  <c r="J51" i="2" s="1"/>
  <c r="AC33" i="2"/>
  <c r="W53" i="2"/>
  <c r="W56" i="2"/>
  <c r="Y56" i="2"/>
  <c r="S54" i="2"/>
  <c r="W82" i="2"/>
  <c r="Y82" i="2"/>
  <c r="O110" i="3"/>
  <c r="O106" i="3" s="1"/>
  <c r="G106" i="3"/>
  <c r="G13" i="3" s="1"/>
  <c r="O13" i="3" s="1"/>
  <c r="AG28" i="4"/>
  <c r="AC76" i="4"/>
  <c r="AE78" i="4"/>
  <c r="P91" i="4"/>
  <c r="T91" i="4" s="1"/>
  <c r="T92" i="4"/>
  <c r="R92" i="4"/>
  <c r="V108" i="4"/>
  <c r="AD108" i="4" s="1"/>
  <c r="D83" i="5"/>
  <c r="C83" i="5" s="1"/>
  <c r="E76" i="5"/>
  <c r="AE34" i="4"/>
  <c r="Z33" i="4"/>
  <c r="V15" i="1"/>
  <c r="AD15" i="1"/>
  <c r="Q18" i="1"/>
  <c r="P19" i="1"/>
  <c r="S19" i="1" s="1"/>
  <c r="Q20" i="1"/>
  <c r="T21" i="1"/>
  <c r="P26" i="1"/>
  <c r="S26" i="1" s="1"/>
  <c r="R29" i="1"/>
  <c r="AB33" i="1"/>
  <c r="P37" i="1"/>
  <c r="Q38" i="1"/>
  <c r="U38" i="1" s="1"/>
  <c r="P39" i="1"/>
  <c r="S39" i="1" s="1"/>
  <c r="Q40" i="1"/>
  <c r="T41" i="1"/>
  <c r="T43" i="1"/>
  <c r="I45" i="1"/>
  <c r="P49" i="1"/>
  <c r="Q50" i="1"/>
  <c r="R52" i="1"/>
  <c r="T53" i="1"/>
  <c r="AC54" i="1"/>
  <c r="R58" i="1"/>
  <c r="R60" i="1"/>
  <c r="T61" i="1"/>
  <c r="T63" i="1"/>
  <c r="I65" i="1"/>
  <c r="P70" i="1"/>
  <c r="P71" i="1"/>
  <c r="Q72" i="1"/>
  <c r="U72" i="1" s="1"/>
  <c r="R73" i="1"/>
  <c r="N76" i="1"/>
  <c r="P81" i="1"/>
  <c r="S81" i="1" s="1"/>
  <c r="Q82" i="1"/>
  <c r="U82" i="1" s="1"/>
  <c r="P83" i="1"/>
  <c r="S83" i="1" s="1"/>
  <c r="Q84" i="1"/>
  <c r="R85" i="1"/>
  <c r="G91" i="1"/>
  <c r="O91" i="1" s="1"/>
  <c r="Y18" i="2"/>
  <c r="Y36" i="2"/>
  <c r="O47" i="2"/>
  <c r="Y52" i="2"/>
  <c r="AA104" i="2"/>
  <c r="W104" i="2"/>
  <c r="M40" i="3"/>
  <c r="I40" i="3"/>
  <c r="Q54" i="3"/>
  <c r="T68" i="4"/>
  <c r="R68" i="4"/>
  <c r="H77" i="18"/>
  <c r="P77" i="18" s="1"/>
  <c r="J76" i="18"/>
  <c r="F15" i="1"/>
  <c r="R20" i="1"/>
  <c r="AJ22" i="1"/>
  <c r="R40" i="1"/>
  <c r="AJ43" i="1"/>
  <c r="D47" i="1"/>
  <c r="C47" i="1" s="1"/>
  <c r="AE54" i="1"/>
  <c r="D67" i="1"/>
  <c r="L67" i="1" s="1"/>
  <c r="P69" i="1"/>
  <c r="S69" i="1" s="1"/>
  <c r="Q70" i="1"/>
  <c r="AC76" i="1"/>
  <c r="R84" i="1"/>
  <c r="T85" i="1"/>
  <c r="I89" i="1"/>
  <c r="P90" i="1"/>
  <c r="S90" i="1" s="1"/>
  <c r="K91" i="1"/>
  <c r="K12" i="1" s="1"/>
  <c r="M98" i="1"/>
  <c r="V106" i="1"/>
  <c r="I27" i="2"/>
  <c r="Y40" i="2"/>
  <c r="O42" i="2"/>
  <c r="W42" i="2"/>
  <c r="D43" i="2"/>
  <c r="C43" i="2" s="1"/>
  <c r="AA43" i="2"/>
  <c r="N106" i="3"/>
  <c r="N13" i="3" s="1"/>
  <c r="I112" i="3"/>
  <c r="T28" i="4"/>
  <c r="R28" i="4"/>
  <c r="T36" i="4"/>
  <c r="R36" i="4"/>
  <c r="AG68" i="4"/>
  <c r="AG84" i="4"/>
  <c r="Y76" i="4"/>
  <c r="BA63" i="5"/>
  <c r="AP63" i="5"/>
  <c r="AF33" i="1"/>
  <c r="I89" i="3"/>
  <c r="M89" i="3"/>
  <c r="AH15" i="1"/>
  <c r="R17" i="1"/>
  <c r="M20" i="1"/>
  <c r="R28" i="1"/>
  <c r="P34" i="1"/>
  <c r="S34" i="1" s="1"/>
  <c r="D45" i="1"/>
  <c r="C45" i="1" s="1"/>
  <c r="J45" i="1" s="1"/>
  <c r="X54" i="1"/>
  <c r="AF54" i="1"/>
  <c r="T59" i="1"/>
  <c r="I61" i="1"/>
  <c r="D65" i="1"/>
  <c r="L65" i="1" s="1"/>
  <c r="P66" i="1"/>
  <c r="M84" i="1"/>
  <c r="I86" i="1"/>
  <c r="AE91" i="1"/>
  <c r="I98" i="1"/>
  <c r="D105" i="1"/>
  <c r="L105" i="1" s="1"/>
  <c r="D111" i="1"/>
  <c r="C111" i="1" s="1"/>
  <c r="R17" i="2"/>
  <c r="R18" i="2"/>
  <c r="O19" i="2"/>
  <c r="I20" i="2"/>
  <c r="W20" i="2"/>
  <c r="D21" i="2"/>
  <c r="L21" i="2" s="1"/>
  <c r="I22" i="2"/>
  <c r="Y22" i="2"/>
  <c r="AA24" i="2"/>
  <c r="I25" i="2"/>
  <c r="W30" i="2"/>
  <c r="U31" i="2"/>
  <c r="K33" i="2"/>
  <c r="O38" i="2"/>
  <c r="M42" i="2"/>
  <c r="O43" i="2"/>
  <c r="R45" i="2"/>
  <c r="AD45" i="2"/>
  <c r="I46" i="2"/>
  <c r="Y46" i="2"/>
  <c r="I47" i="2"/>
  <c r="R49" i="2"/>
  <c r="I50" i="2"/>
  <c r="Y50" i="2"/>
  <c r="I51" i="2"/>
  <c r="W65" i="2"/>
  <c r="AD72" i="2"/>
  <c r="AD85" i="2"/>
  <c r="AB76" i="2"/>
  <c r="I18" i="3"/>
  <c r="K15" i="3"/>
  <c r="R78" i="3"/>
  <c r="K15" i="4"/>
  <c r="I16" i="4"/>
  <c r="T18" i="4"/>
  <c r="R18" i="4"/>
  <c r="M32" i="4"/>
  <c r="T64" i="4"/>
  <c r="R64" i="4"/>
  <c r="H76" i="4"/>
  <c r="H51" i="11"/>
  <c r="Q51" i="11"/>
  <c r="AE15" i="1"/>
  <c r="M18" i="1"/>
  <c r="I20" i="1"/>
  <c r="I21" i="1"/>
  <c r="O26" i="1"/>
  <c r="E33" i="1"/>
  <c r="W33" i="1"/>
  <c r="AE33" i="1"/>
  <c r="I40" i="1"/>
  <c r="AJ40" i="1"/>
  <c r="I41" i="1"/>
  <c r="D43" i="1"/>
  <c r="L43" i="1" s="1"/>
  <c r="P45" i="1"/>
  <c r="S45" i="1" s="1"/>
  <c r="P47" i="1"/>
  <c r="S47" i="1" s="1"/>
  <c r="Q48" i="1"/>
  <c r="U48" i="1" s="1"/>
  <c r="T49" i="1"/>
  <c r="M50" i="1"/>
  <c r="K54" i="1"/>
  <c r="H54" i="1"/>
  <c r="I58" i="1"/>
  <c r="D63" i="1"/>
  <c r="C63" i="1" s="1"/>
  <c r="J63" i="1" s="1"/>
  <c r="I72" i="1"/>
  <c r="I73" i="1"/>
  <c r="F76" i="1"/>
  <c r="I84" i="1"/>
  <c r="AJ84" i="1"/>
  <c r="I85" i="1"/>
  <c r="D89" i="1"/>
  <c r="L89" i="1" s="1"/>
  <c r="P89" i="1"/>
  <c r="S89" i="1" s="1"/>
  <c r="N91" i="1"/>
  <c r="N12" i="1" s="1"/>
  <c r="I93" i="1"/>
  <c r="I99" i="1"/>
  <c r="I100" i="1"/>
  <c r="D113" i="1"/>
  <c r="C113" i="1" s="1"/>
  <c r="J113" i="1" s="1"/>
  <c r="I115" i="1"/>
  <c r="D118" i="1"/>
  <c r="V15" i="2"/>
  <c r="R19" i="2"/>
  <c r="I23" i="2"/>
  <c r="U26" i="2"/>
  <c r="G33" i="2"/>
  <c r="X33" i="2"/>
  <c r="M38" i="2"/>
  <c r="O41" i="2"/>
  <c r="R53" i="2"/>
  <c r="L47" i="3"/>
  <c r="C47" i="3"/>
  <c r="J47" i="3" s="1"/>
  <c r="D87" i="3"/>
  <c r="C87" i="3" s="1"/>
  <c r="J87" i="3" s="1"/>
  <c r="D18" i="4"/>
  <c r="C18" i="4" s="1"/>
  <c r="J18" i="4" s="1"/>
  <c r="F15" i="4"/>
  <c r="I32" i="4"/>
  <c r="D89" i="4"/>
  <c r="V110" i="4"/>
  <c r="AD110" i="4" s="1"/>
  <c r="I38" i="5"/>
  <c r="M38" i="5"/>
  <c r="T54" i="2"/>
  <c r="Y64" i="2"/>
  <c r="D66" i="2"/>
  <c r="L66" i="2" s="1"/>
  <c r="U73" i="2"/>
  <c r="W75" i="2"/>
  <c r="W77" i="2"/>
  <c r="Q76" i="2"/>
  <c r="D84" i="2"/>
  <c r="L84" i="2" s="1"/>
  <c r="W84" i="2"/>
  <c r="I98" i="2"/>
  <c r="AA101" i="2"/>
  <c r="I108" i="2"/>
  <c r="T15" i="3"/>
  <c r="D34" i="3"/>
  <c r="C34" i="3" s="1"/>
  <c r="R36" i="3"/>
  <c r="D45" i="3"/>
  <c r="L45" i="3" s="1"/>
  <c r="D59" i="3"/>
  <c r="L59" i="3" s="1"/>
  <c r="I70" i="3"/>
  <c r="F76" i="3"/>
  <c r="D103" i="3"/>
  <c r="L103" i="3" s="1"/>
  <c r="I113" i="3"/>
  <c r="D116" i="3"/>
  <c r="L116" i="3" s="1"/>
  <c r="I119" i="3"/>
  <c r="T16" i="4"/>
  <c r="AI15" i="4"/>
  <c r="T21" i="4"/>
  <c r="I24" i="4"/>
  <c r="T25" i="4"/>
  <c r="AJ32" i="4"/>
  <c r="N33" i="4"/>
  <c r="AI33" i="4"/>
  <c r="I47" i="4"/>
  <c r="V59" i="4"/>
  <c r="T61" i="4"/>
  <c r="AA67" i="4"/>
  <c r="R72" i="4"/>
  <c r="T80" i="4"/>
  <c r="R84" i="4"/>
  <c r="AH91" i="4"/>
  <c r="D101" i="4"/>
  <c r="L101" i="4" s="1"/>
  <c r="V109" i="4"/>
  <c r="U109" i="4" s="1"/>
  <c r="AB109" i="4" s="1"/>
  <c r="D115" i="4"/>
  <c r="C115" i="4" s="1"/>
  <c r="J115" i="4" s="1"/>
  <c r="G106" i="4"/>
  <c r="G13" i="4" s="1"/>
  <c r="O13" i="4" s="1"/>
  <c r="O116" i="4"/>
  <c r="O106" i="4" s="1"/>
  <c r="AA119" i="4"/>
  <c r="BA24" i="5"/>
  <c r="BB53" i="5"/>
  <c r="D92" i="5"/>
  <c r="C92" i="5" s="1"/>
  <c r="J92" i="5" s="1"/>
  <c r="F91" i="5"/>
  <c r="F12" i="5" s="1"/>
  <c r="U53" i="2"/>
  <c r="D58" i="2"/>
  <c r="L58" i="2" s="1"/>
  <c r="I62" i="2"/>
  <c r="D69" i="2"/>
  <c r="C69" i="2" s="1"/>
  <c r="Y70" i="2"/>
  <c r="P76" i="2"/>
  <c r="X76" i="2"/>
  <c r="M78" i="2"/>
  <c r="AD79" i="2"/>
  <c r="D82" i="2"/>
  <c r="L82" i="2" s="1"/>
  <c r="D85" i="2"/>
  <c r="C85" i="2" s="1"/>
  <c r="J85" i="2" s="1"/>
  <c r="D90" i="2"/>
  <c r="L90" i="2" s="1"/>
  <c r="D92" i="2"/>
  <c r="L92" i="2" s="1"/>
  <c r="I93" i="2"/>
  <c r="U95" i="2"/>
  <c r="I100" i="2"/>
  <c r="H106" i="2"/>
  <c r="H13" i="2" s="1"/>
  <c r="I114" i="2"/>
  <c r="D116" i="2"/>
  <c r="L116" i="2" s="1"/>
  <c r="R22" i="3"/>
  <c r="D24" i="3"/>
  <c r="C24" i="3" s="1"/>
  <c r="J24" i="3" s="1"/>
  <c r="N33" i="3"/>
  <c r="D48" i="3"/>
  <c r="C48" i="3" s="1"/>
  <c r="J48" i="3" s="1"/>
  <c r="I49" i="3"/>
  <c r="R70" i="3"/>
  <c r="I83" i="3"/>
  <c r="D93" i="3"/>
  <c r="I95" i="3"/>
  <c r="N91" i="3"/>
  <c r="N12" i="3" s="1"/>
  <c r="AJ16" i="4"/>
  <c r="N15" i="4"/>
  <c r="I25" i="4"/>
  <c r="V25" i="4"/>
  <c r="AD25" i="4" s="1"/>
  <c r="I35" i="4"/>
  <c r="I37" i="4"/>
  <c r="D56" i="4"/>
  <c r="AA71" i="4"/>
  <c r="D78" i="4"/>
  <c r="L78" i="4" s="1"/>
  <c r="V81" i="4"/>
  <c r="U81" i="4" s="1"/>
  <c r="AB81" i="4" s="1"/>
  <c r="I88" i="4"/>
  <c r="H91" i="4"/>
  <c r="H12" i="4" s="1"/>
  <c r="I98" i="4"/>
  <c r="BB41" i="5"/>
  <c r="BB59" i="5"/>
  <c r="T79" i="5"/>
  <c r="M113" i="5"/>
  <c r="H106" i="5"/>
  <c r="H13" i="5" s="1"/>
  <c r="X60" i="6"/>
  <c r="P60" i="6"/>
  <c r="R60" i="6" s="1"/>
  <c r="F76" i="6"/>
  <c r="V51" i="4"/>
  <c r="V53" i="4"/>
  <c r="U53" i="4" s="1"/>
  <c r="AB53" i="4" s="1"/>
  <c r="I61" i="4"/>
  <c r="V70" i="4"/>
  <c r="U70" i="4" s="1"/>
  <c r="AB70" i="4" s="1"/>
  <c r="R71" i="4"/>
  <c r="R73" i="4"/>
  <c r="V92" i="4"/>
  <c r="U92" i="4" s="1"/>
  <c r="AB92" i="4" s="1"/>
  <c r="D94" i="4"/>
  <c r="L94" i="4" s="1"/>
  <c r="V94" i="4"/>
  <c r="AD94" i="4" s="1"/>
  <c r="D95" i="4"/>
  <c r="L95" i="4" s="1"/>
  <c r="D103" i="4"/>
  <c r="L103" i="4" s="1"/>
  <c r="AF106" i="4"/>
  <c r="AF13" i="4" s="1"/>
  <c r="I109" i="4"/>
  <c r="AA110" i="4"/>
  <c r="AV33" i="5"/>
  <c r="V76" i="5"/>
  <c r="I36" i="6"/>
  <c r="P44" i="6"/>
  <c r="R44" i="6" s="1"/>
  <c r="X44" i="6"/>
  <c r="P66" i="6"/>
  <c r="R66" i="6" s="1"/>
  <c r="X66" i="6"/>
  <c r="U71" i="6"/>
  <c r="P71" i="6"/>
  <c r="R71" i="6" s="1"/>
  <c r="AJ15" i="8"/>
  <c r="I56" i="2"/>
  <c r="I60" i="2"/>
  <c r="D64" i="2"/>
  <c r="L64" i="2" s="1"/>
  <c r="D72" i="2"/>
  <c r="L72" i="2" s="1"/>
  <c r="R77" i="2"/>
  <c r="I78" i="2"/>
  <c r="D80" i="2"/>
  <c r="L80" i="2" s="1"/>
  <c r="D88" i="2"/>
  <c r="C88" i="2" s="1"/>
  <c r="J88" i="2" s="1"/>
  <c r="Y95" i="2"/>
  <c r="W103" i="2"/>
  <c r="U27" i="3"/>
  <c r="D29" i="3"/>
  <c r="L29" i="3" s="1"/>
  <c r="F33" i="3"/>
  <c r="D53" i="3"/>
  <c r="C53" i="3" s="1"/>
  <c r="J53" i="3" s="1"/>
  <c r="I63" i="3"/>
  <c r="R74" i="3"/>
  <c r="D88" i="3"/>
  <c r="L88" i="3" s="1"/>
  <c r="I94" i="3"/>
  <c r="I111" i="3"/>
  <c r="I19" i="4"/>
  <c r="AA35" i="4"/>
  <c r="I51" i="4"/>
  <c r="H54" i="4"/>
  <c r="AA62" i="4"/>
  <c r="I72" i="4"/>
  <c r="AJ88" i="4"/>
  <c r="Y91" i="4"/>
  <c r="Y12" i="4" s="1"/>
  <c r="AO15" i="5"/>
  <c r="BB17" i="5"/>
  <c r="AM40" i="5"/>
  <c r="AK40" i="5"/>
  <c r="BB51" i="5"/>
  <c r="BA64" i="5"/>
  <c r="BC64" i="5" s="1"/>
  <c r="I72" i="5"/>
  <c r="U58" i="6"/>
  <c r="P58" i="6"/>
  <c r="R58" i="6" s="1"/>
  <c r="M80" i="6"/>
  <c r="I80" i="6"/>
  <c r="P82" i="6"/>
  <c r="R82" i="6" s="1"/>
  <c r="I87" i="6"/>
  <c r="M87" i="6"/>
  <c r="AB54" i="2"/>
  <c r="Y68" i="2"/>
  <c r="D70" i="2"/>
  <c r="L70" i="2" s="1"/>
  <c r="W71" i="2"/>
  <c r="G76" i="2"/>
  <c r="O80" i="2"/>
  <c r="F76" i="2"/>
  <c r="Y84" i="2"/>
  <c r="W87" i="2"/>
  <c r="Y103" i="2"/>
  <c r="I17" i="3"/>
  <c r="D37" i="3"/>
  <c r="L37" i="3" s="1"/>
  <c r="I45" i="3"/>
  <c r="D58" i="3"/>
  <c r="C58" i="3" s="1"/>
  <c r="U72" i="3"/>
  <c r="I84" i="3"/>
  <c r="D17" i="4"/>
  <c r="L17" i="4" s="1"/>
  <c r="D24" i="4"/>
  <c r="L24" i="4" s="1"/>
  <c r="AA28" i="4"/>
  <c r="AA31" i="4"/>
  <c r="R32" i="4"/>
  <c r="V34" i="4"/>
  <c r="U34" i="4" s="1"/>
  <c r="D50" i="4"/>
  <c r="L50" i="4" s="1"/>
  <c r="D55" i="4"/>
  <c r="C55" i="4" s="1"/>
  <c r="D62" i="4"/>
  <c r="C62" i="4" s="1"/>
  <c r="J62" i="4" s="1"/>
  <c r="V63" i="4"/>
  <c r="AD63" i="4" s="1"/>
  <c r="V67" i="4"/>
  <c r="AA79" i="4"/>
  <c r="V96" i="4"/>
  <c r="AD96" i="4" s="1"/>
  <c r="AA100" i="4"/>
  <c r="T105" i="4"/>
  <c r="AA112" i="4"/>
  <c r="I113" i="4"/>
  <c r="I114" i="4"/>
  <c r="AA114" i="4"/>
  <c r="AM24" i="5"/>
  <c r="AK24" i="5"/>
  <c r="T55" i="5"/>
  <c r="U54" i="5"/>
  <c r="AE54" i="5"/>
  <c r="BA66" i="5"/>
  <c r="AP66" i="5"/>
  <c r="AK68" i="5"/>
  <c r="AM68" i="5"/>
  <c r="Q76" i="5"/>
  <c r="S77" i="5"/>
  <c r="T80" i="5"/>
  <c r="I63" i="6"/>
  <c r="X79" i="6"/>
  <c r="P79" i="6"/>
  <c r="R79" i="6" s="1"/>
  <c r="D90" i="6"/>
  <c r="C90" i="6" s="1"/>
  <c r="AH35" i="7"/>
  <c r="AJ33" i="7"/>
  <c r="F54" i="2"/>
  <c r="I58" i="2"/>
  <c r="D62" i="2"/>
  <c r="L62" i="2" s="1"/>
  <c r="D65" i="2"/>
  <c r="C65" i="2" s="1"/>
  <c r="Y66" i="2"/>
  <c r="I74" i="2"/>
  <c r="Y74" i="2"/>
  <c r="H76" i="2"/>
  <c r="W79" i="2"/>
  <c r="M80" i="2"/>
  <c r="U85" i="2"/>
  <c r="I90" i="2"/>
  <c r="Y90" i="2"/>
  <c r="U93" i="2"/>
  <c r="U100" i="2"/>
  <c r="U101" i="2"/>
  <c r="I104" i="2"/>
  <c r="U105" i="2"/>
  <c r="I116" i="2"/>
  <c r="M29" i="3"/>
  <c r="U30" i="3"/>
  <c r="I31" i="3"/>
  <c r="D62" i="3"/>
  <c r="L62" i="3" s="1"/>
  <c r="I65" i="3"/>
  <c r="D69" i="3"/>
  <c r="L69" i="3" s="1"/>
  <c r="D71" i="3"/>
  <c r="L71" i="3" s="1"/>
  <c r="T76" i="3"/>
  <c r="M88" i="3"/>
  <c r="I117" i="3"/>
  <c r="AE16" i="4"/>
  <c r="AA27" i="4"/>
  <c r="M38" i="4"/>
  <c r="C41" i="4"/>
  <c r="J41" i="4" s="1"/>
  <c r="X54" i="4"/>
  <c r="I63" i="4"/>
  <c r="V73" i="4"/>
  <c r="AD73" i="4" s="1"/>
  <c r="S76" i="4"/>
  <c r="Q76" i="4"/>
  <c r="D88" i="4"/>
  <c r="C88" i="4" s="1"/>
  <c r="R88" i="4"/>
  <c r="Z91" i="4"/>
  <c r="Z12" i="4" s="1"/>
  <c r="I102" i="4"/>
  <c r="V105" i="4"/>
  <c r="AD105" i="4" s="1"/>
  <c r="E106" i="4"/>
  <c r="E13" i="4" s="1"/>
  <c r="D108" i="4"/>
  <c r="L108" i="4" s="1"/>
  <c r="D111" i="4"/>
  <c r="T18" i="5"/>
  <c r="P15" i="5"/>
  <c r="BB45" i="5"/>
  <c r="AP45" i="5"/>
  <c r="AP48" i="5"/>
  <c r="BA48" i="5"/>
  <c r="BC48" i="5" s="1"/>
  <c r="Z68" i="5"/>
  <c r="Y54" i="5"/>
  <c r="D77" i="5"/>
  <c r="L77" i="5" s="1"/>
  <c r="BA86" i="5"/>
  <c r="BC86" i="5" s="1"/>
  <c r="AP86" i="5"/>
  <c r="I56" i="6"/>
  <c r="M56" i="6"/>
  <c r="P65" i="6"/>
  <c r="R65" i="6" s="1"/>
  <c r="U65" i="6"/>
  <c r="P86" i="6"/>
  <c r="R86" i="6" s="1"/>
  <c r="X86" i="6"/>
  <c r="G54" i="2"/>
  <c r="AA55" i="2"/>
  <c r="I59" i="2"/>
  <c r="U59" i="2"/>
  <c r="W69" i="2"/>
  <c r="D71" i="2"/>
  <c r="L71" i="2" s="1"/>
  <c r="I75" i="2"/>
  <c r="U75" i="2"/>
  <c r="U77" i="2"/>
  <c r="W93" i="2"/>
  <c r="I96" i="2"/>
  <c r="U97" i="2"/>
  <c r="M98" i="2"/>
  <c r="W100" i="2"/>
  <c r="Y105" i="2"/>
  <c r="D107" i="2"/>
  <c r="L107" i="2" s="1"/>
  <c r="I109" i="2"/>
  <c r="D18" i="3"/>
  <c r="I27" i="3"/>
  <c r="I51" i="3"/>
  <c r="R52" i="3"/>
  <c r="U58" i="3"/>
  <c r="I68" i="3"/>
  <c r="M70" i="3"/>
  <c r="M72" i="3"/>
  <c r="D73" i="3"/>
  <c r="L73" i="3" s="1"/>
  <c r="D96" i="3"/>
  <c r="L96" i="3" s="1"/>
  <c r="D99" i="3"/>
  <c r="C99" i="3" s="1"/>
  <c r="J99" i="3" s="1"/>
  <c r="D100" i="3"/>
  <c r="C100" i="3" s="1"/>
  <c r="J100" i="3" s="1"/>
  <c r="I108" i="3"/>
  <c r="D20" i="4"/>
  <c r="D23" i="4"/>
  <c r="L23" i="4" s="1"/>
  <c r="D27" i="4"/>
  <c r="L27" i="4" s="1"/>
  <c r="AG32" i="4"/>
  <c r="S33" i="4"/>
  <c r="AA46" i="4"/>
  <c r="AA48" i="4"/>
  <c r="V50" i="4"/>
  <c r="AD50" i="4" s="1"/>
  <c r="AA51" i="4"/>
  <c r="V57" i="4"/>
  <c r="AD57" i="4" s="1"/>
  <c r="M58" i="4"/>
  <c r="I69" i="4"/>
  <c r="D74" i="4"/>
  <c r="L74" i="4" s="1"/>
  <c r="T77" i="4"/>
  <c r="V82" i="4"/>
  <c r="AD82" i="4" s="1"/>
  <c r="O85" i="4"/>
  <c r="D86" i="4"/>
  <c r="L86" i="4" s="1"/>
  <c r="AJ90" i="4"/>
  <c r="D99" i="4"/>
  <c r="L99" i="4" s="1"/>
  <c r="W106" i="4"/>
  <c r="W13" i="4" s="1"/>
  <c r="S19" i="5"/>
  <c r="U55" i="6"/>
  <c r="P55" i="6"/>
  <c r="R55" i="6" s="1"/>
  <c r="I89" i="6"/>
  <c r="AK28" i="5"/>
  <c r="S29" i="5"/>
  <c r="Z31" i="5"/>
  <c r="T32" i="5"/>
  <c r="M36" i="5"/>
  <c r="S42" i="5"/>
  <c r="AD42" i="5"/>
  <c r="S44" i="5"/>
  <c r="AG45" i="5"/>
  <c r="BA46" i="5"/>
  <c r="BC46" i="5" s="1"/>
  <c r="I49" i="5"/>
  <c r="AK49" i="5"/>
  <c r="T50" i="5"/>
  <c r="Z51" i="5"/>
  <c r="Z52" i="5"/>
  <c r="AK53" i="5"/>
  <c r="Z60" i="5"/>
  <c r="M63" i="5"/>
  <c r="T66" i="5"/>
  <c r="I67" i="5"/>
  <c r="Z67" i="5"/>
  <c r="S68" i="5"/>
  <c r="S69" i="5"/>
  <c r="T70" i="5"/>
  <c r="Z75" i="5"/>
  <c r="BA75" i="5"/>
  <c r="BC75" i="5" s="1"/>
  <c r="AA76" i="5"/>
  <c r="Z81" i="5"/>
  <c r="AK82" i="5"/>
  <c r="M88" i="5"/>
  <c r="D89" i="5"/>
  <c r="L89" i="5" s="1"/>
  <c r="S89" i="5"/>
  <c r="D98" i="5"/>
  <c r="C98" i="5" s="1"/>
  <c r="J98" i="5" s="1"/>
  <c r="P91" i="5"/>
  <c r="P12" i="5" s="1"/>
  <c r="P11" i="5" s="1"/>
  <c r="D100" i="5"/>
  <c r="C100" i="5" s="1"/>
  <c r="J100" i="5" s="1"/>
  <c r="D116" i="5"/>
  <c r="L116" i="5" s="1"/>
  <c r="M30" i="6"/>
  <c r="D51" i="6"/>
  <c r="C51" i="6" s="1"/>
  <c r="R24" i="8"/>
  <c r="P15" i="8"/>
  <c r="AD24" i="8"/>
  <c r="R27" i="8"/>
  <c r="AD27" i="8"/>
  <c r="AA27" i="8"/>
  <c r="AF15" i="5"/>
  <c r="AH33" i="5"/>
  <c r="AH54" i="5"/>
  <c r="AK59" i="5"/>
  <c r="T61" i="5"/>
  <c r="BA74" i="5"/>
  <c r="BC74" i="5" s="1"/>
  <c r="AS76" i="5"/>
  <c r="AM82" i="5"/>
  <c r="I85" i="5"/>
  <c r="I24" i="6"/>
  <c r="R36" i="6"/>
  <c r="M42" i="6"/>
  <c r="I84" i="6"/>
  <c r="X16" i="7"/>
  <c r="V15" i="7"/>
  <c r="AB37" i="7"/>
  <c r="AI37" i="7" s="1"/>
  <c r="AB33" i="8"/>
  <c r="Z17" i="5"/>
  <c r="AT18" i="5"/>
  <c r="D19" i="5"/>
  <c r="C19" i="5" s="1"/>
  <c r="AP20" i="5"/>
  <c r="AK27" i="5"/>
  <c r="D28" i="5"/>
  <c r="C28" i="5" s="1"/>
  <c r="S28" i="5"/>
  <c r="V33" i="5"/>
  <c r="AP36" i="5"/>
  <c r="AG39" i="5"/>
  <c r="AM41" i="5"/>
  <c r="T42" i="5"/>
  <c r="N33" i="5"/>
  <c r="BA45" i="5"/>
  <c r="Z48" i="5"/>
  <c r="AM49" i="5"/>
  <c r="AM51" i="5"/>
  <c r="F54" i="5"/>
  <c r="AG57" i="5"/>
  <c r="AM59" i="5"/>
  <c r="D64" i="5"/>
  <c r="C64" i="5" s="1"/>
  <c r="AK64" i="5"/>
  <c r="S67" i="5"/>
  <c r="AM67" i="5"/>
  <c r="M68" i="5"/>
  <c r="AP70" i="5"/>
  <c r="AK72" i="5"/>
  <c r="BB74" i="5"/>
  <c r="AC76" i="5"/>
  <c r="AF76" i="5"/>
  <c r="AQ76" i="5"/>
  <c r="Z79" i="5"/>
  <c r="AT79" i="5"/>
  <c r="Z80" i="5"/>
  <c r="S81" i="5"/>
  <c r="AK81" i="5"/>
  <c r="M84" i="5"/>
  <c r="AP84" i="5"/>
  <c r="I88" i="5"/>
  <c r="BB88" i="5"/>
  <c r="BB89" i="5"/>
  <c r="AM90" i="5"/>
  <c r="AK93" i="5"/>
  <c r="AK94" i="5"/>
  <c r="AK102" i="5"/>
  <c r="I108" i="5"/>
  <c r="U27" i="6"/>
  <c r="I28" i="6"/>
  <c r="D29" i="6"/>
  <c r="L29" i="6" s="1"/>
  <c r="I30" i="6"/>
  <c r="I35" i="6"/>
  <c r="U36" i="6"/>
  <c r="I37" i="6"/>
  <c r="D38" i="6"/>
  <c r="L38" i="6" s="1"/>
  <c r="U39" i="6"/>
  <c r="I40" i="6"/>
  <c r="P45" i="6"/>
  <c r="U46" i="6"/>
  <c r="M57" i="6"/>
  <c r="U57" i="6"/>
  <c r="I58" i="6"/>
  <c r="D67" i="6"/>
  <c r="C67" i="6" s="1"/>
  <c r="D70" i="6"/>
  <c r="L70" i="6" s="1"/>
  <c r="U73" i="6"/>
  <c r="D78" i="6"/>
  <c r="P84" i="6"/>
  <c r="R84" i="6" s="1"/>
  <c r="D89" i="6"/>
  <c r="C89" i="6" s="1"/>
  <c r="AC24" i="7"/>
  <c r="AB24" i="7" s="1"/>
  <c r="AH29" i="7"/>
  <c r="M70" i="7"/>
  <c r="M74" i="7"/>
  <c r="R29" i="8"/>
  <c r="AD29" i="8"/>
  <c r="AJ33" i="8"/>
  <c r="R50" i="8"/>
  <c r="AD50" i="8"/>
  <c r="R61" i="8"/>
  <c r="AD61" i="8"/>
  <c r="AA61" i="8"/>
  <c r="BB21" i="5"/>
  <c r="D22" i="5"/>
  <c r="L22" i="5" s="1"/>
  <c r="AM28" i="5"/>
  <c r="AD31" i="5"/>
  <c r="AP34" i="5"/>
  <c r="AF33" i="5"/>
  <c r="AK37" i="5"/>
  <c r="AD40" i="5"/>
  <c r="I43" i="5"/>
  <c r="AP44" i="5"/>
  <c r="D46" i="5"/>
  <c r="L46" i="5" s="1"/>
  <c r="AK46" i="5"/>
  <c r="BB48" i="5"/>
  <c r="AM52" i="5"/>
  <c r="AJ54" i="5"/>
  <c r="AV54" i="5"/>
  <c r="BA60" i="5"/>
  <c r="BC60" i="5" s="1"/>
  <c r="Z62" i="5"/>
  <c r="BA62" i="5"/>
  <c r="AT63" i="5"/>
  <c r="M66" i="5"/>
  <c r="BA68" i="5"/>
  <c r="I70" i="5"/>
  <c r="AK71" i="5"/>
  <c r="I73" i="5"/>
  <c r="K76" i="5"/>
  <c r="U76" i="5"/>
  <c r="S79" i="5"/>
  <c r="T82" i="5"/>
  <c r="AK88" i="5"/>
  <c r="AP89" i="5"/>
  <c r="I104" i="5"/>
  <c r="AK104" i="5"/>
  <c r="I110" i="5"/>
  <c r="U26" i="6"/>
  <c r="G33" i="6"/>
  <c r="O33" i="6" s="1"/>
  <c r="G54" i="6"/>
  <c r="O54" i="6" s="1"/>
  <c r="I62" i="6"/>
  <c r="U64" i="6"/>
  <c r="P70" i="6"/>
  <c r="AN72" i="7"/>
  <c r="D99" i="7"/>
  <c r="C99" i="7" s="1"/>
  <c r="J99" i="7" s="1"/>
  <c r="M35" i="8"/>
  <c r="R45" i="8"/>
  <c r="AD45" i="8"/>
  <c r="D56" i="8"/>
  <c r="C56" i="8" s="1"/>
  <c r="E54" i="8"/>
  <c r="R56" i="8"/>
  <c r="AD56" i="8"/>
  <c r="P54" i="8"/>
  <c r="T19" i="5"/>
  <c r="S21" i="5"/>
  <c r="AK21" i="5"/>
  <c r="AK22" i="5"/>
  <c r="BB23" i="5"/>
  <c r="AG25" i="5"/>
  <c r="BA28" i="5"/>
  <c r="BC28" i="5" s="1"/>
  <c r="BB31" i="5"/>
  <c r="BA32" i="5"/>
  <c r="BC32" i="5" s="1"/>
  <c r="AZ34" i="5"/>
  <c r="I35" i="5"/>
  <c r="S37" i="5"/>
  <c r="S38" i="5"/>
  <c r="AG40" i="5"/>
  <c r="AK43" i="5"/>
  <c r="AK45" i="5"/>
  <c r="S46" i="5"/>
  <c r="BB47" i="5"/>
  <c r="Z50" i="5"/>
  <c r="BA52" i="5"/>
  <c r="BC52" i="5" s="1"/>
  <c r="AD56" i="5"/>
  <c r="AK57" i="5"/>
  <c r="D58" i="5"/>
  <c r="BA61" i="5"/>
  <c r="Z66" i="5"/>
  <c r="D67" i="5"/>
  <c r="C67" i="5" s="1"/>
  <c r="BB68" i="5"/>
  <c r="AK74" i="5"/>
  <c r="AH76" i="5"/>
  <c r="AB76" i="5"/>
  <c r="R76" i="5"/>
  <c r="AM80" i="5"/>
  <c r="AP83" i="5"/>
  <c r="D85" i="5"/>
  <c r="L85" i="5" s="1"/>
  <c r="Z86" i="5"/>
  <c r="AV91" i="5"/>
  <c r="I26" i="6"/>
  <c r="I57" i="6"/>
  <c r="M88" i="6"/>
  <c r="S76" i="7"/>
  <c r="U87" i="7"/>
  <c r="AF15" i="8"/>
  <c r="I35" i="8"/>
  <c r="K33" i="8"/>
  <c r="AK16" i="5"/>
  <c r="AA15" i="5"/>
  <c r="AQ15" i="5"/>
  <c r="BB25" i="5"/>
  <c r="AM26" i="5"/>
  <c r="BB28" i="5"/>
  <c r="AM29" i="5"/>
  <c r="BB29" i="5"/>
  <c r="S30" i="5"/>
  <c r="BB32" i="5"/>
  <c r="P33" i="5"/>
  <c r="AM43" i="5"/>
  <c r="D48" i="5"/>
  <c r="C48" i="5" s="1"/>
  <c r="BB52" i="5"/>
  <c r="I56" i="5"/>
  <c r="T56" i="5"/>
  <c r="AG56" i="5"/>
  <c r="BA56" i="5"/>
  <c r="AX58" i="5"/>
  <c r="AP60" i="5"/>
  <c r="AM61" i="5"/>
  <c r="D62" i="5"/>
  <c r="C62" i="5" s="1"/>
  <c r="S63" i="5"/>
  <c r="I65" i="5"/>
  <c r="AP68" i="5"/>
  <c r="T71" i="5"/>
  <c r="AD71" i="5"/>
  <c r="BA72" i="5"/>
  <c r="M75" i="5"/>
  <c r="BB75" i="5"/>
  <c r="AK78" i="5"/>
  <c r="M80" i="5"/>
  <c r="M81" i="5"/>
  <c r="BA81" i="5"/>
  <c r="BC81" i="5" s="1"/>
  <c r="Z84" i="5"/>
  <c r="AM84" i="5"/>
  <c r="S86" i="5"/>
  <c r="D88" i="5"/>
  <c r="L88" i="5" s="1"/>
  <c r="AD88" i="5"/>
  <c r="I98" i="5"/>
  <c r="AK99" i="5"/>
  <c r="I115" i="5"/>
  <c r="P18" i="6"/>
  <c r="R18" i="6" s="1"/>
  <c r="M22" i="6"/>
  <c r="M23" i="6"/>
  <c r="D30" i="6"/>
  <c r="L30" i="6" s="1"/>
  <c r="H33" i="6"/>
  <c r="I39" i="6"/>
  <c r="I41" i="6"/>
  <c r="M44" i="6"/>
  <c r="U44" i="6"/>
  <c r="I51" i="6"/>
  <c r="M52" i="6"/>
  <c r="U60" i="6"/>
  <c r="I64" i="6"/>
  <c r="D66" i="6"/>
  <c r="C66" i="6" s="1"/>
  <c r="U66" i="6"/>
  <c r="I73" i="6"/>
  <c r="D74" i="6"/>
  <c r="L74" i="6" s="1"/>
  <c r="U79" i="6"/>
  <c r="I81" i="6"/>
  <c r="M82" i="6"/>
  <c r="U82" i="6"/>
  <c r="I83" i="6"/>
  <c r="I85" i="6"/>
  <c r="U86" i="6"/>
  <c r="D118" i="6"/>
  <c r="T33" i="7"/>
  <c r="I62" i="7"/>
  <c r="I67" i="7"/>
  <c r="AC85" i="7"/>
  <c r="AD76" i="7"/>
  <c r="H33" i="8"/>
  <c r="M37" i="8"/>
  <c r="R42" i="8"/>
  <c r="P33" i="8"/>
  <c r="AD42" i="8"/>
  <c r="AR48" i="8"/>
  <c r="AL48" i="8"/>
  <c r="Z19" i="5"/>
  <c r="S20" i="5"/>
  <c r="T21" i="5"/>
  <c r="M22" i="5"/>
  <c r="T22" i="5"/>
  <c r="S26" i="5"/>
  <c r="AP28" i="5"/>
  <c r="M31" i="5"/>
  <c r="S35" i="5"/>
  <c r="T37" i="5"/>
  <c r="T38" i="5"/>
  <c r="AM42" i="5"/>
  <c r="AD43" i="5"/>
  <c r="AD45" i="5"/>
  <c r="T46" i="5"/>
  <c r="AG46" i="5"/>
  <c r="I47" i="5"/>
  <c r="AT47" i="5"/>
  <c r="M49" i="5"/>
  <c r="S50" i="5"/>
  <c r="AP52" i="5"/>
  <c r="BA53" i="5"/>
  <c r="BB55" i="5"/>
  <c r="AZ57" i="5"/>
  <c r="AZ63" i="5"/>
  <c r="I64" i="5"/>
  <c r="AK65" i="5"/>
  <c r="D66" i="5"/>
  <c r="C66" i="5" s="1"/>
  <c r="S66" i="5"/>
  <c r="M67" i="5"/>
  <c r="O68" i="5"/>
  <c r="AM69" i="5"/>
  <c r="I71" i="5"/>
  <c r="AG71" i="5"/>
  <c r="AZ71" i="5"/>
  <c r="BB72" i="5"/>
  <c r="AK73" i="5"/>
  <c r="Z77" i="5"/>
  <c r="S78" i="5"/>
  <c r="AD79" i="5"/>
  <c r="Z82" i="5"/>
  <c r="AM83" i="5"/>
  <c r="S84" i="5"/>
  <c r="T85" i="5"/>
  <c r="M86" i="5"/>
  <c r="T88" i="5"/>
  <c r="AG88" i="5"/>
  <c r="T90" i="5"/>
  <c r="E91" i="5"/>
  <c r="E12" i="5" s="1"/>
  <c r="AQ91" i="5"/>
  <c r="AQ12" i="5" s="1"/>
  <c r="AQ11" i="5" s="1"/>
  <c r="I105" i="5"/>
  <c r="F15" i="6"/>
  <c r="D18" i="6"/>
  <c r="C18" i="6" s="1"/>
  <c r="D20" i="6"/>
  <c r="C20" i="6" s="1"/>
  <c r="D27" i="6"/>
  <c r="L27" i="6" s="1"/>
  <c r="D28" i="6"/>
  <c r="C28" i="6" s="1"/>
  <c r="U28" i="6"/>
  <c r="P35" i="6"/>
  <c r="D37" i="6"/>
  <c r="C37" i="6" s="1"/>
  <c r="P37" i="6"/>
  <c r="R37" i="6" s="1"/>
  <c r="D40" i="6"/>
  <c r="L40" i="6" s="1"/>
  <c r="P41" i="6"/>
  <c r="R41" i="6" s="1"/>
  <c r="I45" i="6"/>
  <c r="D46" i="6"/>
  <c r="L46" i="6" s="1"/>
  <c r="D47" i="6"/>
  <c r="U49" i="6"/>
  <c r="D58" i="6"/>
  <c r="D65" i="6"/>
  <c r="L65" i="6" s="1"/>
  <c r="M68" i="6"/>
  <c r="I78" i="6"/>
  <c r="M86" i="6"/>
  <c r="AH22" i="7"/>
  <c r="AN15" i="8"/>
  <c r="H15" i="8"/>
  <c r="M21" i="8"/>
  <c r="AL24" i="8"/>
  <c r="AA41" i="8"/>
  <c r="Y33" i="8"/>
  <c r="R47" i="8"/>
  <c r="AD47" i="8"/>
  <c r="AA47" i="8"/>
  <c r="G91" i="6"/>
  <c r="G12" i="6" s="1"/>
  <c r="P96" i="6"/>
  <c r="R96" i="6" s="1"/>
  <c r="I101" i="6"/>
  <c r="G15" i="7"/>
  <c r="O15" i="7" s="1"/>
  <c r="AC18" i="7"/>
  <c r="AB18" i="7" s="1"/>
  <c r="D25" i="7"/>
  <c r="L25" i="7" s="1"/>
  <c r="AC29" i="7"/>
  <c r="AB29" i="7" s="1"/>
  <c r="AC34" i="7"/>
  <c r="AB34" i="7" s="1"/>
  <c r="AL36" i="7"/>
  <c r="AL41" i="7"/>
  <c r="D44" i="7"/>
  <c r="L44" i="7" s="1"/>
  <c r="R46" i="7"/>
  <c r="AC56" i="7"/>
  <c r="AB56" i="7" s="1"/>
  <c r="I60" i="7"/>
  <c r="I63" i="7"/>
  <c r="AC64" i="7"/>
  <c r="AK64" i="7" s="1"/>
  <c r="D67" i="7"/>
  <c r="C67" i="7" s="1"/>
  <c r="J67" i="7" s="1"/>
  <c r="AQ69" i="7"/>
  <c r="I72" i="7"/>
  <c r="D73" i="7"/>
  <c r="C73" i="7" s="1"/>
  <c r="J73" i="7" s="1"/>
  <c r="R79" i="7"/>
  <c r="H91" i="7"/>
  <c r="H12" i="7" s="1"/>
  <c r="D103" i="7"/>
  <c r="C103" i="7" s="1"/>
  <c r="J103" i="7" s="1"/>
  <c r="D105" i="7"/>
  <c r="N106" i="7"/>
  <c r="N13" i="7" s="1"/>
  <c r="AC112" i="7"/>
  <c r="AK112" i="7" s="1"/>
  <c r="AH115" i="7"/>
  <c r="S15" i="8"/>
  <c r="AC15" i="8"/>
  <c r="AL18" i="8"/>
  <c r="BE15" i="8"/>
  <c r="AR19" i="8"/>
  <c r="AV21" i="8"/>
  <c r="M22" i="8"/>
  <c r="AO22" i="8"/>
  <c r="AA25" i="8"/>
  <c r="AA28" i="8"/>
  <c r="AA30" i="8"/>
  <c r="AA34" i="8"/>
  <c r="BA33" i="8"/>
  <c r="AO39" i="8"/>
  <c r="O43" i="8"/>
  <c r="AL44" i="8"/>
  <c r="U50" i="8"/>
  <c r="O51" i="8"/>
  <c r="R58" i="8"/>
  <c r="AD58" i="8"/>
  <c r="T54" i="8"/>
  <c r="U65" i="8"/>
  <c r="F15" i="9"/>
  <c r="S53" i="9"/>
  <c r="X53" i="9"/>
  <c r="I32" i="11"/>
  <c r="S32" i="11"/>
  <c r="J35" i="11"/>
  <c r="Q35" i="11"/>
  <c r="D96" i="6"/>
  <c r="C96" i="6" s="1"/>
  <c r="J96" i="6" s="1"/>
  <c r="U100" i="6"/>
  <c r="AL20" i="7"/>
  <c r="AL25" i="7"/>
  <c r="Q33" i="7"/>
  <c r="D51" i="7"/>
  <c r="C51" i="7" s="1"/>
  <c r="J51" i="7" s="1"/>
  <c r="F54" i="7"/>
  <c r="AE54" i="7"/>
  <c r="AH80" i="7"/>
  <c r="I84" i="7"/>
  <c r="I87" i="7"/>
  <c r="AC87" i="7"/>
  <c r="AB87" i="7" s="1"/>
  <c r="AI87" i="7" s="1"/>
  <c r="I94" i="7"/>
  <c r="D95" i="7"/>
  <c r="C95" i="7" s="1"/>
  <c r="AC111" i="7"/>
  <c r="AB111" i="7" s="1"/>
  <c r="AI111" i="7" s="1"/>
  <c r="AD17" i="8"/>
  <c r="AD18" i="8"/>
  <c r="AA19" i="8"/>
  <c r="AA21" i="8"/>
  <c r="AR21" i="8"/>
  <c r="U25" i="8"/>
  <c r="BC26" i="8"/>
  <c r="AL27" i="8"/>
  <c r="AT33" i="8"/>
  <c r="AV37" i="8"/>
  <c r="AD40" i="8"/>
  <c r="AD43" i="8"/>
  <c r="AO44" i="8"/>
  <c r="U46" i="8"/>
  <c r="AD51" i="8"/>
  <c r="AB54" i="8"/>
  <c r="X74" i="8"/>
  <c r="AD74" i="8"/>
  <c r="R74" i="8"/>
  <c r="AA74" i="8"/>
  <c r="BB76" i="8"/>
  <c r="U82" i="8"/>
  <c r="S16" i="9"/>
  <c r="U16" i="9" s="1"/>
  <c r="X16" i="9"/>
  <c r="C46" i="9"/>
  <c r="G46" i="9" s="1"/>
  <c r="L52" i="9"/>
  <c r="M52" i="9" s="1"/>
  <c r="T58" i="9"/>
  <c r="W54" i="9"/>
  <c r="X79" i="9"/>
  <c r="S79" i="9"/>
  <c r="G22" i="10"/>
  <c r="I105" i="6"/>
  <c r="I113" i="6"/>
  <c r="Y15" i="7"/>
  <c r="D19" i="7"/>
  <c r="C19" i="7" s="1"/>
  <c r="J19" i="7" s="1"/>
  <c r="AQ19" i="7"/>
  <c r="AH20" i="7"/>
  <c r="AH21" i="7"/>
  <c r="AH27" i="7"/>
  <c r="I28" i="7"/>
  <c r="I36" i="7"/>
  <c r="AH41" i="7"/>
  <c r="AL44" i="7"/>
  <c r="M52" i="7"/>
  <c r="X52" i="7"/>
  <c r="U53" i="7"/>
  <c r="I68" i="7"/>
  <c r="AC78" i="7"/>
  <c r="AB78" i="7" s="1"/>
  <c r="D79" i="7"/>
  <c r="C79" i="7" s="1"/>
  <c r="D80" i="7"/>
  <c r="AC81" i="7"/>
  <c r="AK81" i="7" s="1"/>
  <c r="AC83" i="7"/>
  <c r="AH88" i="7"/>
  <c r="AL89" i="7"/>
  <c r="AC99" i="7"/>
  <c r="AB99" i="7" s="1"/>
  <c r="AI99" i="7" s="1"/>
  <c r="AC100" i="7"/>
  <c r="AK100" i="7" s="1"/>
  <c r="D108" i="7"/>
  <c r="L108" i="7" s="1"/>
  <c r="D116" i="7"/>
  <c r="AC117" i="7"/>
  <c r="AH118" i="7"/>
  <c r="AM15" i="8"/>
  <c r="AO17" i="8"/>
  <c r="AA20" i="8"/>
  <c r="AA22" i="8"/>
  <c r="AO25" i="8"/>
  <c r="AA31" i="8"/>
  <c r="AA35" i="8"/>
  <c r="AR37" i="8"/>
  <c r="AA38" i="8"/>
  <c r="I40" i="8"/>
  <c r="AH40" i="8"/>
  <c r="AO41" i="8"/>
  <c r="BC42" i="8"/>
  <c r="AH43" i="8"/>
  <c r="AH44" i="8"/>
  <c r="AD46" i="8"/>
  <c r="D49" i="8"/>
  <c r="C49" i="8" s="1"/>
  <c r="AO49" i="8"/>
  <c r="BC50" i="8"/>
  <c r="AH51" i="8"/>
  <c r="R53" i="8"/>
  <c r="AD53" i="8"/>
  <c r="AA57" i="8"/>
  <c r="Y54" i="8"/>
  <c r="R60" i="8"/>
  <c r="AD60" i="8"/>
  <c r="AN54" i="8"/>
  <c r="I81" i="8"/>
  <c r="D111" i="8"/>
  <c r="C111" i="8" s="1"/>
  <c r="J111" i="8" s="1"/>
  <c r="P33" i="9"/>
  <c r="R33" i="9" s="1"/>
  <c r="R37" i="9"/>
  <c r="S70" i="9"/>
  <c r="AA70" i="9"/>
  <c r="X72" i="9"/>
  <c r="S72" i="9"/>
  <c r="D15" i="10"/>
  <c r="E91" i="6"/>
  <c r="E12" i="6" s="1"/>
  <c r="I98" i="6"/>
  <c r="I110" i="6"/>
  <c r="W15" i="7"/>
  <c r="D24" i="7"/>
  <c r="L24" i="7" s="1"/>
  <c r="N33" i="7"/>
  <c r="AH43" i="7"/>
  <c r="Z33" i="7"/>
  <c r="AH48" i="7"/>
  <c r="R49" i="7"/>
  <c r="Q54" i="7"/>
  <c r="D58" i="7"/>
  <c r="AC70" i="7"/>
  <c r="AA72" i="7"/>
  <c r="AH93" i="7"/>
  <c r="AD16" i="8"/>
  <c r="AD25" i="8"/>
  <c r="AO29" i="8"/>
  <c r="AD30" i="8"/>
  <c r="AK33" i="8"/>
  <c r="AA36" i="8"/>
  <c r="AA37" i="8"/>
  <c r="U38" i="8"/>
  <c r="AA39" i="8"/>
  <c r="AH45" i="8"/>
  <c r="I47" i="8"/>
  <c r="AH47" i="8"/>
  <c r="AO48" i="8"/>
  <c r="S76" i="8"/>
  <c r="E91" i="8"/>
  <c r="E12" i="8" s="1"/>
  <c r="S48" i="9"/>
  <c r="X48" i="9"/>
  <c r="S57" i="9"/>
  <c r="X57" i="9"/>
  <c r="T87" i="9"/>
  <c r="AA87" i="9"/>
  <c r="M90" i="6"/>
  <c r="M94" i="6"/>
  <c r="P95" i="6"/>
  <c r="R95" i="6" s="1"/>
  <c r="I109" i="6"/>
  <c r="Q15" i="7"/>
  <c r="AA17" i="7"/>
  <c r="AM15" i="7"/>
  <c r="I18" i="7"/>
  <c r="AC19" i="7"/>
  <c r="AK19" i="7" s="1"/>
  <c r="AA20" i="7"/>
  <c r="I21" i="7"/>
  <c r="I22" i="7"/>
  <c r="AH31" i="7"/>
  <c r="I45" i="7"/>
  <c r="AD54" i="7"/>
  <c r="AM54" i="7"/>
  <c r="I57" i="7"/>
  <c r="AG54" i="7"/>
  <c r="AC74" i="7"/>
  <c r="AB74" i="7" s="1"/>
  <c r="AC84" i="7"/>
  <c r="AK84" i="7" s="1"/>
  <c r="D88" i="7"/>
  <c r="L88" i="7" s="1"/>
  <c r="D93" i="7"/>
  <c r="L93" i="7" s="1"/>
  <c r="I97" i="7"/>
  <c r="I99" i="7"/>
  <c r="I110" i="7"/>
  <c r="AH111" i="7"/>
  <c r="AC115" i="7"/>
  <c r="AB115" i="7" s="1"/>
  <c r="AI115" i="7" s="1"/>
  <c r="I17" i="8"/>
  <c r="AD19" i="8"/>
  <c r="U21" i="8"/>
  <c r="AO21" i="8"/>
  <c r="AA23" i="8"/>
  <c r="AO27" i="8"/>
  <c r="AD28" i="8"/>
  <c r="AY33" i="8"/>
  <c r="AG33" i="8"/>
  <c r="AR61" i="8"/>
  <c r="AO61" i="8"/>
  <c r="S69" i="9"/>
  <c r="U69" i="9" s="1"/>
  <c r="AA69" i="9"/>
  <c r="P92" i="6"/>
  <c r="R92" i="6" s="1"/>
  <c r="D95" i="6"/>
  <c r="L95" i="6" s="1"/>
  <c r="I96" i="6"/>
  <c r="D97" i="6"/>
  <c r="C97" i="6" s="1"/>
  <c r="J97" i="6" s="1"/>
  <c r="N106" i="6"/>
  <c r="N13" i="6" s="1"/>
  <c r="D113" i="6"/>
  <c r="C113" i="6" s="1"/>
  <c r="J113" i="6" s="1"/>
  <c r="D17" i="7"/>
  <c r="L17" i="7" s="1"/>
  <c r="AQ25" i="7"/>
  <c r="AC28" i="7"/>
  <c r="AK28" i="7" s="1"/>
  <c r="AQ28" i="7"/>
  <c r="AL35" i="7"/>
  <c r="AC36" i="7"/>
  <c r="AK36" i="7" s="1"/>
  <c r="M40" i="7"/>
  <c r="AC41" i="7"/>
  <c r="AK41" i="7" s="1"/>
  <c r="AQ43" i="7"/>
  <c r="I65" i="7"/>
  <c r="U70" i="7"/>
  <c r="AH73" i="7"/>
  <c r="AH79" i="7"/>
  <c r="K76" i="7"/>
  <c r="F91" i="7"/>
  <c r="F12" i="7" s="1"/>
  <c r="I104" i="7"/>
  <c r="I105" i="7"/>
  <c r="H106" i="7"/>
  <c r="H13" i="7" s="1"/>
  <c r="I117" i="7"/>
  <c r="I16" i="8"/>
  <c r="AV17" i="8"/>
  <c r="N15" i="8"/>
  <c r="AH19" i="8"/>
  <c r="AD21" i="8"/>
  <c r="U23" i="8"/>
  <c r="BB15" i="8"/>
  <c r="M30" i="8"/>
  <c r="AD31" i="8"/>
  <c r="W33" i="8"/>
  <c r="AD35" i="8"/>
  <c r="G33" i="8"/>
  <c r="S33" i="8"/>
  <c r="M41" i="8"/>
  <c r="I42" i="8"/>
  <c r="AA42" i="8"/>
  <c r="AV46" i="8"/>
  <c r="AV47" i="8"/>
  <c r="AA50" i="8"/>
  <c r="R59" i="8"/>
  <c r="AD59" i="8"/>
  <c r="AA59" i="8"/>
  <c r="O77" i="8"/>
  <c r="N76" i="8"/>
  <c r="AV87" i="8"/>
  <c r="AS76" i="8"/>
  <c r="P90" i="6"/>
  <c r="D98" i="6"/>
  <c r="C98" i="6" s="1"/>
  <c r="J98" i="6" s="1"/>
  <c r="I100" i="6"/>
  <c r="D112" i="6"/>
  <c r="D115" i="6"/>
  <c r="L115" i="6" s="1"/>
  <c r="D117" i="6"/>
  <c r="L117" i="6" s="1"/>
  <c r="U17" i="7"/>
  <c r="AC17" i="7"/>
  <c r="R18" i="7"/>
  <c r="AA18" i="7"/>
  <c r="AL19" i="7"/>
  <c r="R20" i="7"/>
  <c r="AC20" i="7"/>
  <c r="AK20" i="7" s="1"/>
  <c r="AC30" i="7"/>
  <c r="AK30" i="7" s="1"/>
  <c r="M32" i="7"/>
  <c r="AA34" i="7"/>
  <c r="D37" i="7"/>
  <c r="C37" i="7" s="1"/>
  <c r="D42" i="7"/>
  <c r="L42" i="7" s="1"/>
  <c r="AQ44" i="7"/>
  <c r="I46" i="7"/>
  <c r="I47" i="7"/>
  <c r="AH47" i="7"/>
  <c r="AC51" i="7"/>
  <c r="AK51" i="7" s="1"/>
  <c r="D56" i="7"/>
  <c r="D59" i="7"/>
  <c r="C59" i="7" s="1"/>
  <c r="AH62" i="7"/>
  <c r="X65" i="7"/>
  <c r="AH69" i="7"/>
  <c r="AL73" i="7"/>
  <c r="F76" i="7"/>
  <c r="AC77" i="7"/>
  <c r="AK77" i="7" s="1"/>
  <c r="W76" i="7"/>
  <c r="I79" i="7"/>
  <c r="AC80" i="7"/>
  <c r="AK80" i="7" s="1"/>
  <c r="AH81" i="7"/>
  <c r="D83" i="7"/>
  <c r="L83" i="7" s="1"/>
  <c r="D89" i="7"/>
  <c r="C89" i="7" s="1"/>
  <c r="J89" i="7" s="1"/>
  <c r="D98" i="7"/>
  <c r="L98" i="7" s="1"/>
  <c r="AH99" i="7"/>
  <c r="F106" i="7"/>
  <c r="F13" i="7" s="1"/>
  <c r="AC118" i="7"/>
  <c r="AK118" i="7" s="1"/>
  <c r="AA17" i="8"/>
  <c r="AA18" i="8"/>
  <c r="AD20" i="8"/>
  <c r="AD22" i="8"/>
  <c r="F15" i="8"/>
  <c r="AA24" i="8"/>
  <c r="AA29" i="8"/>
  <c r="I30" i="8"/>
  <c r="AQ33" i="8"/>
  <c r="BB33" i="8"/>
  <c r="AD37" i="8"/>
  <c r="AD39" i="8"/>
  <c r="AV41" i="8"/>
  <c r="AA43" i="8"/>
  <c r="AA45" i="8"/>
  <c r="AR45" i="8"/>
  <c r="AV45" i="8"/>
  <c r="I46" i="8"/>
  <c r="AA46" i="8"/>
  <c r="AV49" i="8"/>
  <c r="AA51" i="8"/>
  <c r="Z54" i="8"/>
  <c r="M63" i="8"/>
  <c r="AR69" i="8"/>
  <c r="AL69" i="8"/>
  <c r="AB76" i="8"/>
  <c r="Q91" i="8"/>
  <c r="D109" i="8"/>
  <c r="L25" i="9"/>
  <c r="M25" i="9" s="1"/>
  <c r="L72" i="9"/>
  <c r="M72" i="9" s="1"/>
  <c r="C46" i="10"/>
  <c r="G46" i="10" s="1"/>
  <c r="E33" i="10"/>
  <c r="AD52" i="8"/>
  <c r="U58" i="8"/>
  <c r="M64" i="8"/>
  <c r="M66" i="8"/>
  <c r="AD68" i="8"/>
  <c r="R69" i="8"/>
  <c r="AA69" i="8"/>
  <c r="R73" i="8"/>
  <c r="AC76" i="8"/>
  <c r="AN76" i="8"/>
  <c r="D80" i="8"/>
  <c r="C80" i="8" s="1"/>
  <c r="X88" i="8"/>
  <c r="M89" i="8"/>
  <c r="X93" i="8"/>
  <c r="I94" i="8"/>
  <c r="D95" i="8"/>
  <c r="C95" i="8" s="1"/>
  <c r="X97" i="8"/>
  <c r="I98" i="8"/>
  <c r="X29" i="9"/>
  <c r="AA32" i="9"/>
  <c r="T38" i="9"/>
  <c r="AA39" i="9"/>
  <c r="S46" i="9"/>
  <c r="T48" i="9"/>
  <c r="T49" i="9"/>
  <c r="T57" i="9"/>
  <c r="AA60" i="9"/>
  <c r="L74" i="9"/>
  <c r="M74" i="9" s="1"/>
  <c r="T78" i="9"/>
  <c r="L90" i="9"/>
  <c r="M90" i="9" s="1"/>
  <c r="F91" i="9"/>
  <c r="F12" i="9" s="1"/>
  <c r="F11" i="9" s="1"/>
  <c r="C96" i="9"/>
  <c r="G96" i="9" s="1"/>
  <c r="C17" i="10"/>
  <c r="G17" i="10" s="1"/>
  <c r="C23" i="10"/>
  <c r="G23" i="10" s="1"/>
  <c r="J41" i="10"/>
  <c r="H108" i="12"/>
  <c r="J108" i="12" s="1"/>
  <c r="K108" i="12"/>
  <c r="M108" i="12" s="1"/>
  <c r="AH52" i="8"/>
  <c r="AO53" i="8"/>
  <c r="AD55" i="8"/>
  <c r="AL56" i="8"/>
  <c r="D57" i="8"/>
  <c r="C57" i="8" s="1"/>
  <c r="AL60" i="8"/>
  <c r="D61" i="8"/>
  <c r="C61" i="8" s="1"/>
  <c r="AA62" i="8"/>
  <c r="I65" i="8"/>
  <c r="I66" i="8"/>
  <c r="AH68" i="8"/>
  <c r="AA70" i="8"/>
  <c r="AR70" i="8"/>
  <c r="O71" i="8"/>
  <c r="BC83" i="8"/>
  <c r="AA86" i="8"/>
  <c r="AA93" i="8"/>
  <c r="AA95" i="8"/>
  <c r="I104" i="8"/>
  <c r="T28" i="9"/>
  <c r="T39" i="9"/>
  <c r="C41" i="9"/>
  <c r="G41" i="9" s="1"/>
  <c r="M51" i="9"/>
  <c r="T51" i="9"/>
  <c r="S58" i="9"/>
  <c r="L64" i="9"/>
  <c r="C68" i="9"/>
  <c r="G68" i="9" s="1"/>
  <c r="T73" i="9"/>
  <c r="Y76" i="9"/>
  <c r="T81" i="9"/>
  <c r="L84" i="9"/>
  <c r="M84" i="9" s="1"/>
  <c r="P17" i="10"/>
  <c r="N18" i="10"/>
  <c r="P24" i="10"/>
  <c r="N45" i="10"/>
  <c r="P48" i="10"/>
  <c r="L42" i="11"/>
  <c r="AJ42" i="11"/>
  <c r="I61" i="11"/>
  <c r="I55" i="8"/>
  <c r="AO56" i="8"/>
  <c r="AO57" i="8"/>
  <c r="AY54" i="8"/>
  <c r="AO60" i="8"/>
  <c r="AA63" i="8"/>
  <c r="AA66" i="8"/>
  <c r="M68" i="8"/>
  <c r="I69" i="8"/>
  <c r="AA71" i="8"/>
  <c r="AR71" i="8"/>
  <c r="AH72" i="8"/>
  <c r="AD73" i="8"/>
  <c r="R77" i="8"/>
  <c r="AA77" i="8"/>
  <c r="AA81" i="8"/>
  <c r="AH82" i="8"/>
  <c r="BC82" i="8"/>
  <c r="AO86" i="8"/>
  <c r="BC90" i="8"/>
  <c r="O100" i="8"/>
  <c r="M107" i="8"/>
  <c r="I110" i="8"/>
  <c r="I117" i="8"/>
  <c r="T29" i="9"/>
  <c r="C31" i="9"/>
  <c r="G31" i="9" s="1"/>
  <c r="C35" i="9"/>
  <c r="G35" i="9" s="1"/>
  <c r="X44" i="9"/>
  <c r="C50" i="9"/>
  <c r="G50" i="9" s="1"/>
  <c r="S61" i="9"/>
  <c r="C65" i="9"/>
  <c r="G65" i="9" s="1"/>
  <c r="C71" i="9"/>
  <c r="G71" i="9" s="1"/>
  <c r="C72" i="9"/>
  <c r="G72" i="9" s="1"/>
  <c r="P18" i="10"/>
  <c r="J19" i="10"/>
  <c r="C21" i="10"/>
  <c r="G21" i="10" s="1"/>
  <c r="J22" i="10"/>
  <c r="P28" i="10"/>
  <c r="C31" i="10"/>
  <c r="G31" i="10" s="1"/>
  <c r="C35" i="10"/>
  <c r="G35" i="10" s="1"/>
  <c r="N41" i="10"/>
  <c r="P44" i="10"/>
  <c r="J46" i="10"/>
  <c r="C48" i="10"/>
  <c r="G48" i="10" s="1"/>
  <c r="N50" i="10"/>
  <c r="I21" i="11"/>
  <c r="L34" i="11"/>
  <c r="AJ34" i="11"/>
  <c r="I67" i="11"/>
  <c r="S67" i="11"/>
  <c r="AD57" i="8"/>
  <c r="AO69" i="8"/>
  <c r="R70" i="8"/>
  <c r="AO73" i="8"/>
  <c r="F76" i="8"/>
  <c r="R81" i="8"/>
  <c r="AV83" i="8"/>
  <c r="X84" i="8"/>
  <c r="X90" i="8"/>
  <c r="D103" i="8"/>
  <c r="I118" i="8"/>
  <c r="L28" i="9"/>
  <c r="M28" i="9" s="1"/>
  <c r="N33" i="9"/>
  <c r="C59" i="9"/>
  <c r="G59" i="9" s="1"/>
  <c r="S78" i="9"/>
  <c r="C103" i="9"/>
  <c r="G103" i="9" s="1"/>
  <c r="J20" i="10"/>
  <c r="N22" i="10"/>
  <c r="N37" i="10"/>
  <c r="N46" i="10"/>
  <c r="P49" i="10"/>
  <c r="L50" i="11"/>
  <c r="AJ50" i="11"/>
  <c r="I68" i="11"/>
  <c r="AA68" i="11"/>
  <c r="AA52" i="8"/>
  <c r="M56" i="8"/>
  <c r="AH57" i="8"/>
  <c r="M60" i="8"/>
  <c r="AD62" i="8"/>
  <c r="D66" i="8"/>
  <c r="L66" i="8" s="1"/>
  <c r="AL70" i="8"/>
  <c r="D71" i="8"/>
  <c r="C71" i="8" s="1"/>
  <c r="R71" i="8"/>
  <c r="I73" i="8"/>
  <c r="AD79" i="8"/>
  <c r="BC80" i="8"/>
  <c r="D82" i="8"/>
  <c r="C82" i="8" s="1"/>
  <c r="AH86" i="8"/>
  <c r="AO88" i="8"/>
  <c r="D94" i="8"/>
  <c r="C94" i="8" s="1"/>
  <c r="I95" i="8"/>
  <c r="C108" i="8"/>
  <c r="J108" i="8" s="1"/>
  <c r="I113" i="8"/>
  <c r="X18" i="9"/>
  <c r="X20" i="9"/>
  <c r="AA27" i="9"/>
  <c r="AA28" i="9"/>
  <c r="L38" i="9"/>
  <c r="M38" i="9" s="1"/>
  <c r="S44" i="9"/>
  <c r="AA45" i="9"/>
  <c r="C49" i="9"/>
  <c r="G49" i="9" s="1"/>
  <c r="AA50" i="9"/>
  <c r="T60" i="9"/>
  <c r="S62" i="9"/>
  <c r="U62" i="9" s="1"/>
  <c r="S63" i="9"/>
  <c r="E76" i="9"/>
  <c r="S89" i="9"/>
  <c r="U89" i="9" s="1"/>
  <c r="J48" i="10"/>
  <c r="C53" i="10"/>
  <c r="G53" i="10" s="1"/>
  <c r="J43" i="11"/>
  <c r="AH43" i="11"/>
  <c r="Q68" i="11"/>
  <c r="H68" i="11"/>
  <c r="AV53" i="8"/>
  <c r="AT54" i="8"/>
  <c r="I57" i="8"/>
  <c r="AA58" i="8"/>
  <c r="AV58" i="8"/>
  <c r="AV59" i="8"/>
  <c r="AD63" i="8"/>
  <c r="AL64" i="8"/>
  <c r="D65" i="8"/>
  <c r="C65" i="8" s="1"/>
  <c r="AD66" i="8"/>
  <c r="U67" i="8"/>
  <c r="AO70" i="8"/>
  <c r="AA72" i="8"/>
  <c r="AR72" i="8"/>
  <c r="AV72" i="8"/>
  <c r="M74" i="8"/>
  <c r="D84" i="8"/>
  <c r="L84" i="8" s="1"/>
  <c r="AV84" i="8"/>
  <c r="BC86" i="8"/>
  <c r="M88" i="8"/>
  <c r="I102" i="8"/>
  <c r="D112" i="8"/>
  <c r="L112" i="8" s="1"/>
  <c r="D114" i="8"/>
  <c r="C114" i="8" s="1"/>
  <c r="J114" i="8" s="1"/>
  <c r="D116" i="8"/>
  <c r="L116" i="8" s="1"/>
  <c r="D118" i="8"/>
  <c r="T20" i="9"/>
  <c r="C29" i="9"/>
  <c r="G29" i="9" s="1"/>
  <c r="F33" i="9"/>
  <c r="AA41" i="9"/>
  <c r="C51" i="9"/>
  <c r="G51" i="9" s="1"/>
  <c r="L61" i="9"/>
  <c r="M61" i="9" s="1"/>
  <c r="S71" i="9"/>
  <c r="U71" i="9" s="1"/>
  <c r="T85" i="9"/>
  <c r="C94" i="9"/>
  <c r="G94" i="9" s="1"/>
  <c r="N20" i="10"/>
  <c r="P23" i="10"/>
  <c r="P26" i="10"/>
  <c r="N30" i="10"/>
  <c r="J31" i="10"/>
  <c r="J35" i="10"/>
  <c r="N38" i="10"/>
  <c r="J43" i="10"/>
  <c r="N47" i="10"/>
  <c r="N57" i="10"/>
  <c r="P108" i="10"/>
  <c r="L106" i="10"/>
  <c r="L13" i="10" s="1"/>
  <c r="P13" i="10" s="1"/>
  <c r="I45" i="11"/>
  <c r="S45" i="11"/>
  <c r="L66" i="11"/>
  <c r="AJ66" i="11"/>
  <c r="AA53" i="8"/>
  <c r="AR53" i="8"/>
  <c r="AA55" i="8"/>
  <c r="AA56" i="8"/>
  <c r="W54" i="8"/>
  <c r="AV57" i="8"/>
  <c r="AA60" i="8"/>
  <c r="O61" i="8"/>
  <c r="AO65" i="8"/>
  <c r="D69" i="8"/>
  <c r="C69" i="8" s="1"/>
  <c r="M70" i="8"/>
  <c r="AV74" i="8"/>
  <c r="V76" i="8"/>
  <c r="R79" i="8"/>
  <c r="AA79" i="8"/>
  <c r="AA80" i="8"/>
  <c r="D83" i="8"/>
  <c r="L83" i="8" s="1"/>
  <c r="D85" i="8"/>
  <c r="C85" i="8" s="1"/>
  <c r="U85" i="8"/>
  <c r="AO85" i="8"/>
  <c r="D93" i="8"/>
  <c r="M94" i="8"/>
  <c r="D115" i="8"/>
  <c r="C115" i="8" s="1"/>
  <c r="J115" i="8" s="1"/>
  <c r="AA31" i="9"/>
  <c r="S40" i="9"/>
  <c r="AA44" i="9"/>
  <c r="C47" i="9"/>
  <c r="G47" i="9" s="1"/>
  <c r="L50" i="9"/>
  <c r="M50" i="9" s="1"/>
  <c r="T53" i="9"/>
  <c r="T62" i="9"/>
  <c r="AA65" i="9"/>
  <c r="L69" i="9"/>
  <c r="L71" i="9"/>
  <c r="C82" i="9"/>
  <c r="G82" i="9" s="1"/>
  <c r="C83" i="9"/>
  <c r="G83" i="9" s="1"/>
  <c r="S85" i="9"/>
  <c r="X89" i="9"/>
  <c r="N24" i="10"/>
  <c r="P27" i="10"/>
  <c r="P30" i="10"/>
  <c r="N31" i="10"/>
  <c r="J32" i="10"/>
  <c r="I33" i="10"/>
  <c r="N35" i="10"/>
  <c r="J36" i="10"/>
  <c r="C37" i="10"/>
  <c r="G37" i="10" s="1"/>
  <c r="P37" i="10"/>
  <c r="J39" i="10"/>
  <c r="J40" i="10"/>
  <c r="C41" i="10"/>
  <c r="G41" i="10" s="1"/>
  <c r="N43" i="10"/>
  <c r="P47" i="10"/>
  <c r="C51" i="10"/>
  <c r="G51" i="10" s="1"/>
  <c r="I35" i="11"/>
  <c r="I51" i="11"/>
  <c r="H56" i="11"/>
  <c r="P53" i="10"/>
  <c r="C57" i="10"/>
  <c r="G57" i="10" s="1"/>
  <c r="P58" i="10"/>
  <c r="C73" i="10"/>
  <c r="G73" i="10" s="1"/>
  <c r="C83" i="10"/>
  <c r="G83" i="10" s="1"/>
  <c r="J84" i="10"/>
  <c r="N86" i="10"/>
  <c r="E91" i="10"/>
  <c r="E12" i="10" s="1"/>
  <c r="H19" i="11"/>
  <c r="Y22" i="11"/>
  <c r="AD15" i="11"/>
  <c r="H24" i="11"/>
  <c r="J27" i="11"/>
  <c r="AL15" i="11"/>
  <c r="AA32" i="11"/>
  <c r="AH35" i="11"/>
  <c r="C39" i="11"/>
  <c r="G39" i="11" s="1"/>
  <c r="AO40" i="11"/>
  <c r="J45" i="11"/>
  <c r="AJ45" i="11"/>
  <c r="C47" i="11"/>
  <c r="G47" i="11" s="1"/>
  <c r="AG33" i="11"/>
  <c r="Y57" i="11"/>
  <c r="AH80" i="11"/>
  <c r="H80" i="11"/>
  <c r="S109" i="11"/>
  <c r="I109" i="11"/>
  <c r="M109" i="11" s="1"/>
  <c r="F54" i="10"/>
  <c r="N67" i="10"/>
  <c r="N70" i="10"/>
  <c r="J79" i="10"/>
  <c r="P86" i="10"/>
  <c r="N89" i="10"/>
  <c r="T15" i="11"/>
  <c r="J19" i="11"/>
  <c r="J21" i="11"/>
  <c r="L21" i="11"/>
  <c r="AA22" i="11"/>
  <c r="AH23" i="11"/>
  <c r="Y24" i="11"/>
  <c r="AJ25" i="11"/>
  <c r="W33" i="11"/>
  <c r="R33" i="11"/>
  <c r="C36" i="11"/>
  <c r="G36" i="11" s="1"/>
  <c r="Q36" i="11"/>
  <c r="Y41" i="11"/>
  <c r="Q43" i="11"/>
  <c r="AJ43" i="11"/>
  <c r="C45" i="11"/>
  <c r="G45" i="11" s="1"/>
  <c r="AA47" i="11"/>
  <c r="Y49" i="11"/>
  <c r="AM55" i="11"/>
  <c r="AO55" i="11" s="1"/>
  <c r="AM58" i="11"/>
  <c r="AO58" i="11" s="1"/>
  <c r="S60" i="11"/>
  <c r="J61" i="11"/>
  <c r="AJ61" i="11"/>
  <c r="AH63" i="11"/>
  <c r="J68" i="11"/>
  <c r="L68" i="11"/>
  <c r="H88" i="11"/>
  <c r="AH88" i="11"/>
  <c r="H89" i="11"/>
  <c r="AA104" i="11"/>
  <c r="I104" i="11"/>
  <c r="M104" i="11" s="1"/>
  <c r="K49" i="12"/>
  <c r="H49" i="12"/>
  <c r="K101" i="12"/>
  <c r="M101" i="12" s="1"/>
  <c r="H101" i="12"/>
  <c r="J101" i="12" s="1"/>
  <c r="C58" i="10"/>
  <c r="G58" i="10" s="1"/>
  <c r="P67" i="10"/>
  <c r="N68" i="10"/>
  <c r="J69" i="10"/>
  <c r="P80" i="10"/>
  <c r="C108" i="10"/>
  <c r="G108" i="10" s="1"/>
  <c r="S20" i="11"/>
  <c r="Q22" i="11"/>
  <c r="AJ23" i="11"/>
  <c r="AA25" i="11"/>
  <c r="Y29" i="11"/>
  <c r="AH29" i="11"/>
  <c r="L31" i="11"/>
  <c r="AC33" i="11"/>
  <c r="AL33" i="11"/>
  <c r="S35" i="11"/>
  <c r="C44" i="11"/>
  <c r="G44" i="11" s="1"/>
  <c r="Q48" i="11"/>
  <c r="C50" i="11"/>
  <c r="G50" i="11" s="1"/>
  <c r="AA51" i="11"/>
  <c r="AJ51" i="11"/>
  <c r="C52" i="11"/>
  <c r="G52" i="11" s="1"/>
  <c r="Y53" i="11"/>
  <c r="AH53" i="11"/>
  <c r="AJ58" i="11"/>
  <c r="J60" i="11"/>
  <c r="Y63" i="11"/>
  <c r="AJ63" i="11"/>
  <c r="I73" i="11"/>
  <c r="J75" i="11"/>
  <c r="AA82" i="11"/>
  <c r="I82" i="11"/>
  <c r="H96" i="11"/>
  <c r="K96" i="11" s="1"/>
  <c r="Q96" i="11"/>
  <c r="H40" i="12"/>
  <c r="K42" i="12"/>
  <c r="H42" i="12"/>
  <c r="AM15" i="13"/>
  <c r="J60" i="10"/>
  <c r="P64" i="10"/>
  <c r="C74" i="10"/>
  <c r="G74" i="10" s="1"/>
  <c r="AQ15" i="11"/>
  <c r="Q19" i="11"/>
  <c r="S21" i="11"/>
  <c r="S25" i="11"/>
  <c r="AJ38" i="11"/>
  <c r="AJ56" i="11"/>
  <c r="L57" i="11"/>
  <c r="S61" i="11"/>
  <c r="H73" i="11"/>
  <c r="Q73" i="11"/>
  <c r="I75" i="11"/>
  <c r="S75" i="11"/>
  <c r="Q84" i="11"/>
  <c r="H84" i="11"/>
  <c r="I84" i="11"/>
  <c r="AA84" i="11"/>
  <c r="AN15" i="13"/>
  <c r="AX22" i="13"/>
  <c r="AY22" i="13" s="1"/>
  <c r="V28" i="13"/>
  <c r="W28" i="13" s="1"/>
  <c r="L52" i="13"/>
  <c r="M52" i="13" s="1"/>
  <c r="Q33" i="13"/>
  <c r="N59" i="10"/>
  <c r="J63" i="10"/>
  <c r="N87" i="10"/>
  <c r="C94" i="10"/>
  <c r="G94" i="10" s="1"/>
  <c r="C96" i="10"/>
  <c r="G96" i="10" s="1"/>
  <c r="C113" i="10"/>
  <c r="G113" i="10" s="1"/>
  <c r="Y17" i="11"/>
  <c r="L19" i="11"/>
  <c r="AH31" i="11"/>
  <c r="H32" i="11"/>
  <c r="U33" i="11"/>
  <c r="AH36" i="11"/>
  <c r="AH42" i="11"/>
  <c r="AA90" i="11"/>
  <c r="I90" i="11"/>
  <c r="H100" i="12"/>
  <c r="J100" i="12" s="1"/>
  <c r="K100" i="12"/>
  <c r="M100" i="12" s="1"/>
  <c r="P72" i="10"/>
  <c r="C18" i="11"/>
  <c r="G18" i="11" s="1"/>
  <c r="AM22" i="11"/>
  <c r="AO22" i="11" s="1"/>
  <c r="C24" i="11"/>
  <c r="G24" i="11" s="1"/>
  <c r="C25" i="11"/>
  <c r="G25" i="11" s="1"/>
  <c r="C28" i="11"/>
  <c r="G28" i="11" s="1"/>
  <c r="J29" i="11"/>
  <c r="C31" i="11"/>
  <c r="G31" i="11" s="1"/>
  <c r="AJ31" i="11"/>
  <c r="Y32" i="11"/>
  <c r="H35" i="11"/>
  <c r="Y36" i="11"/>
  <c r="AM37" i="11"/>
  <c r="AO37" i="11" s="1"/>
  <c r="S40" i="11"/>
  <c r="C41" i="11"/>
  <c r="G41" i="11" s="1"/>
  <c r="AN33" i="11"/>
  <c r="Y42" i="11"/>
  <c r="AJ44" i="11"/>
  <c r="Y45" i="11"/>
  <c r="AH45" i="11"/>
  <c r="L47" i="11"/>
  <c r="C49" i="11"/>
  <c r="G49" i="11" s="1"/>
  <c r="AO49" i="11"/>
  <c r="Y50" i="11"/>
  <c r="AA52" i="11"/>
  <c r="J53" i="11"/>
  <c r="C56" i="11"/>
  <c r="G56" i="11" s="1"/>
  <c r="L58" i="11"/>
  <c r="AD54" i="11"/>
  <c r="AH60" i="11"/>
  <c r="Y62" i="11"/>
  <c r="C64" i="11"/>
  <c r="G64" i="11" s="1"/>
  <c r="AM64" i="11"/>
  <c r="AO64" i="11" s="1"/>
  <c r="Y66" i="11"/>
  <c r="Y67" i="11"/>
  <c r="AH67" i="11"/>
  <c r="L45" i="12"/>
  <c r="I45" i="12" s="1"/>
  <c r="K65" i="12"/>
  <c r="H65" i="12"/>
  <c r="H80" i="12"/>
  <c r="H109" i="12"/>
  <c r="J109" i="12" s="1"/>
  <c r="K109" i="12"/>
  <c r="M109" i="12" s="1"/>
  <c r="P63" i="10"/>
  <c r="J71" i="10"/>
  <c r="J74" i="10"/>
  <c r="C88" i="10"/>
  <c r="G88" i="10" s="1"/>
  <c r="C102" i="10"/>
  <c r="G102" i="10" s="1"/>
  <c r="C112" i="10"/>
  <c r="G112" i="10" s="1"/>
  <c r="AH18" i="11"/>
  <c r="AH20" i="11"/>
  <c r="Y21" i="11"/>
  <c r="AH21" i="11"/>
  <c r="S24" i="11"/>
  <c r="L37" i="11"/>
  <c r="AM45" i="11"/>
  <c r="AO45" i="11" s="1"/>
  <c r="AM50" i="11"/>
  <c r="AO50" i="11" s="1"/>
  <c r="AL54" i="11"/>
  <c r="J63" i="11"/>
  <c r="AM66" i="11"/>
  <c r="AO66" i="11" s="1"/>
  <c r="AA74" i="11"/>
  <c r="I74" i="11"/>
  <c r="I77" i="11"/>
  <c r="AA77" i="11"/>
  <c r="Y94" i="11"/>
  <c r="V91" i="11"/>
  <c r="K104" i="12"/>
  <c r="M104" i="12" s="1"/>
  <c r="H104" i="12"/>
  <c r="J104" i="12" s="1"/>
  <c r="V34" i="13"/>
  <c r="W34" i="13" s="1"/>
  <c r="Y33" i="13"/>
  <c r="L75" i="11"/>
  <c r="I83" i="11"/>
  <c r="Y85" i="11"/>
  <c r="D91" i="11"/>
  <c r="D12" i="11" s="1"/>
  <c r="H101" i="11"/>
  <c r="K101" i="11" s="1"/>
  <c r="I102" i="11"/>
  <c r="M102" i="11" s="1"/>
  <c r="Q109" i="11"/>
  <c r="H110" i="11"/>
  <c r="K110" i="11" s="1"/>
  <c r="C17" i="12"/>
  <c r="G17" i="12" s="1"/>
  <c r="H22" i="12"/>
  <c r="R33" i="12"/>
  <c r="T33" i="12" s="1"/>
  <c r="C40" i="12"/>
  <c r="G40" i="12" s="1"/>
  <c r="C48" i="12"/>
  <c r="G48" i="12" s="1"/>
  <c r="L49" i="12"/>
  <c r="I49" i="12" s="1"/>
  <c r="H53" i="12"/>
  <c r="L71" i="12"/>
  <c r="I71" i="12" s="1"/>
  <c r="H85" i="12"/>
  <c r="C89" i="12"/>
  <c r="G89" i="12" s="1"/>
  <c r="H96" i="12"/>
  <c r="J96" i="12" s="1"/>
  <c r="K113" i="12"/>
  <c r="M113" i="12" s="1"/>
  <c r="BC15" i="13"/>
  <c r="C18" i="13"/>
  <c r="G18" i="13" s="1"/>
  <c r="AX18" i="13"/>
  <c r="AY18" i="13" s="1"/>
  <c r="J19" i="13"/>
  <c r="K19" i="13" s="1"/>
  <c r="BZ19" i="13"/>
  <c r="CA19" i="13" s="1"/>
  <c r="R15" i="13"/>
  <c r="BX20" i="13"/>
  <c r="J21" i="13"/>
  <c r="K21" i="13" s="1"/>
  <c r="AX21" i="13"/>
  <c r="AY21" i="13" s="1"/>
  <c r="BX21" i="13"/>
  <c r="BY21" i="13" s="1"/>
  <c r="BX22" i="13"/>
  <c r="BY22" i="13" s="1"/>
  <c r="V25" i="13"/>
  <c r="W25" i="13" s="1"/>
  <c r="J29" i="13"/>
  <c r="K29" i="13" s="1"/>
  <c r="BZ34" i="13"/>
  <c r="AV66" i="13"/>
  <c r="AW66" i="13" s="1"/>
  <c r="L77" i="13"/>
  <c r="M77" i="13" s="1"/>
  <c r="J69" i="11"/>
  <c r="AM71" i="11"/>
  <c r="AO71" i="11" s="1"/>
  <c r="AS76" i="11"/>
  <c r="L83" i="11"/>
  <c r="L84" i="11"/>
  <c r="Q85" i="11"/>
  <c r="I85" i="11"/>
  <c r="AM85" i="11"/>
  <c r="AO85" i="11" s="1"/>
  <c r="C87" i="11"/>
  <c r="G87" i="11" s="1"/>
  <c r="AM89" i="11"/>
  <c r="AO89" i="11" s="1"/>
  <c r="L20" i="12"/>
  <c r="I20" i="12" s="1"/>
  <c r="C23" i="12"/>
  <c r="G23" i="12" s="1"/>
  <c r="P33" i="12"/>
  <c r="H68" i="12"/>
  <c r="L78" i="12"/>
  <c r="I78" i="12" s="1"/>
  <c r="H84" i="12"/>
  <c r="J84" i="12" s="1"/>
  <c r="AR15" i="13"/>
  <c r="BP20" i="13"/>
  <c r="BZ20" i="13"/>
  <c r="BP21" i="13"/>
  <c r="L22" i="13"/>
  <c r="M22" i="13" s="1"/>
  <c r="T23" i="13"/>
  <c r="U23" i="13" s="1"/>
  <c r="L27" i="13"/>
  <c r="M27" i="13" s="1"/>
  <c r="BE33" i="13"/>
  <c r="BX48" i="13"/>
  <c r="BY48" i="13" s="1"/>
  <c r="D76" i="11"/>
  <c r="L86" i="11"/>
  <c r="H93" i="11"/>
  <c r="K93" i="11" s="1"/>
  <c r="S96" i="11"/>
  <c r="C98" i="11"/>
  <c r="G98" i="11" s="1"/>
  <c r="H23" i="12"/>
  <c r="H32" i="12"/>
  <c r="C46" i="12"/>
  <c r="G46" i="12" s="1"/>
  <c r="H46" i="12"/>
  <c r="L52" i="12"/>
  <c r="I52" i="12" s="1"/>
  <c r="L58" i="12"/>
  <c r="I58" i="12" s="1"/>
  <c r="C63" i="12"/>
  <c r="G63" i="12" s="1"/>
  <c r="L74" i="12"/>
  <c r="I74" i="12" s="1"/>
  <c r="K79" i="12"/>
  <c r="C81" i="12"/>
  <c r="G81" i="12" s="1"/>
  <c r="T84" i="12"/>
  <c r="K86" i="12"/>
  <c r="K87" i="12"/>
  <c r="L88" i="12"/>
  <c r="I88" i="12" s="1"/>
  <c r="C97" i="12"/>
  <c r="G97" i="12" s="1"/>
  <c r="K99" i="12"/>
  <c r="M99" i="12" s="1"/>
  <c r="C103" i="12"/>
  <c r="G103" i="12" s="1"/>
  <c r="C104" i="12"/>
  <c r="G104" i="12" s="1"/>
  <c r="H105" i="12"/>
  <c r="J105" i="12" s="1"/>
  <c r="C108" i="12"/>
  <c r="G108" i="12" s="1"/>
  <c r="CC15" i="13"/>
  <c r="AF18" i="13"/>
  <c r="AG18" i="13" s="1"/>
  <c r="BP18" i="13"/>
  <c r="AB15" i="13"/>
  <c r="AF21" i="13"/>
  <c r="AG21" i="13" s="1"/>
  <c r="BX23" i="13"/>
  <c r="BY23" i="13" s="1"/>
  <c r="L25" i="13"/>
  <c r="M25" i="13" s="1"/>
  <c r="AV26" i="13"/>
  <c r="AW26" i="13" s="1"/>
  <c r="BN26" i="13"/>
  <c r="AV27" i="13"/>
  <c r="AW27" i="13" s="1"/>
  <c r="BX27" i="13"/>
  <c r="BY27" i="13" s="1"/>
  <c r="AV28" i="13"/>
  <c r="AW28" i="13" s="1"/>
  <c r="V40" i="13"/>
  <c r="W40" i="13" s="1"/>
  <c r="BP50" i="13"/>
  <c r="BV54" i="13"/>
  <c r="AF60" i="13"/>
  <c r="J71" i="13"/>
  <c r="K71" i="13" s="1"/>
  <c r="S69" i="11"/>
  <c r="AB76" i="11"/>
  <c r="L82" i="11"/>
  <c r="S83" i="11"/>
  <c r="H94" i="11"/>
  <c r="K94" i="11" s="1"/>
  <c r="H97" i="11"/>
  <c r="K97" i="11" s="1"/>
  <c r="C107" i="11"/>
  <c r="G107" i="11" s="1"/>
  <c r="S113" i="11"/>
  <c r="T31" i="12"/>
  <c r="H62" i="12"/>
  <c r="K70" i="12"/>
  <c r="C79" i="12"/>
  <c r="G79" i="12" s="1"/>
  <c r="K80" i="12"/>
  <c r="L85" i="12"/>
  <c r="I85" i="12" s="1"/>
  <c r="L86" i="12"/>
  <c r="I86" i="12" s="1"/>
  <c r="L89" i="12"/>
  <c r="I89" i="12" s="1"/>
  <c r="K95" i="12"/>
  <c r="M95" i="12" s="1"/>
  <c r="C109" i="12"/>
  <c r="G109" i="12" s="1"/>
  <c r="C110" i="12"/>
  <c r="G110" i="12" s="1"/>
  <c r="C111" i="12"/>
  <c r="G111" i="12" s="1"/>
  <c r="P15" i="13"/>
  <c r="AV17" i="13"/>
  <c r="AW17" i="13" s="1"/>
  <c r="BP17" i="13"/>
  <c r="AD18" i="13"/>
  <c r="AE18" i="13" s="1"/>
  <c r="L19" i="13"/>
  <c r="M19" i="13" s="1"/>
  <c r="V19" i="13"/>
  <c r="W19" i="13" s="1"/>
  <c r="AX19" i="13"/>
  <c r="AY19" i="13" s="1"/>
  <c r="T20" i="13"/>
  <c r="U20" i="13" s="1"/>
  <c r="CG15" i="13"/>
  <c r="J23" i="13"/>
  <c r="K23" i="13" s="1"/>
  <c r="AD23" i="13"/>
  <c r="AE23" i="13" s="1"/>
  <c r="BN23" i="13"/>
  <c r="AX24" i="13"/>
  <c r="AY24" i="13" s="1"/>
  <c r="J25" i="13"/>
  <c r="K25" i="13" s="1"/>
  <c r="BX25" i="13"/>
  <c r="V26" i="13"/>
  <c r="W26" i="13" s="1"/>
  <c r="AX26" i="13"/>
  <c r="AY26" i="13" s="1"/>
  <c r="AD27" i="13"/>
  <c r="AE27" i="13" s="1"/>
  <c r="C29" i="13"/>
  <c r="G29" i="13" s="1"/>
  <c r="J44" i="13"/>
  <c r="K44" i="13" s="1"/>
  <c r="T52" i="13"/>
  <c r="U52" i="13" s="1"/>
  <c r="AG75" i="13"/>
  <c r="AA71" i="11"/>
  <c r="AL76" i="11"/>
  <c r="C86" i="11"/>
  <c r="G86" i="11" s="1"/>
  <c r="I94" i="11"/>
  <c r="M94" i="11" s="1"/>
  <c r="I98" i="11"/>
  <c r="M98" i="11" s="1"/>
  <c r="C100" i="11"/>
  <c r="G100" i="11" s="1"/>
  <c r="AM101" i="11"/>
  <c r="AO101" i="11" s="1"/>
  <c r="K17" i="12"/>
  <c r="E106" i="12"/>
  <c r="E13" i="12" s="1"/>
  <c r="AA15" i="13"/>
  <c r="C17" i="13"/>
  <c r="G17" i="13" s="1"/>
  <c r="W75" i="13"/>
  <c r="AM70" i="11"/>
  <c r="AO70" i="11" s="1"/>
  <c r="AH74" i="11"/>
  <c r="AH75" i="11"/>
  <c r="F76" i="11"/>
  <c r="Q79" i="11"/>
  <c r="AH82" i="11"/>
  <c r="Q94" i="11"/>
  <c r="C96" i="11"/>
  <c r="G96" i="11" s="1"/>
  <c r="C113" i="11"/>
  <c r="G113" i="11" s="1"/>
  <c r="C20" i="12"/>
  <c r="G20" i="12" s="1"/>
  <c r="L25" i="12"/>
  <c r="I25" i="12" s="1"/>
  <c r="C28" i="12"/>
  <c r="G28" i="12" s="1"/>
  <c r="T38" i="12"/>
  <c r="C51" i="12"/>
  <c r="G51" i="12" s="1"/>
  <c r="H77" i="12"/>
  <c r="L81" i="12"/>
  <c r="I81" i="12" s="1"/>
  <c r="H83" i="12"/>
  <c r="E91" i="12"/>
  <c r="E12" i="12" s="1"/>
  <c r="T98" i="12"/>
  <c r="T113" i="12"/>
  <c r="BJ15" i="13"/>
  <c r="L18" i="13"/>
  <c r="M18" i="13" s="1"/>
  <c r="BX18" i="13"/>
  <c r="BY18" i="13" s="1"/>
  <c r="L20" i="13"/>
  <c r="M20" i="13" s="1"/>
  <c r="T21" i="13"/>
  <c r="U21" i="13" s="1"/>
  <c r="V22" i="13"/>
  <c r="W22" i="13" s="1"/>
  <c r="BN24" i="13"/>
  <c r="AD25" i="13"/>
  <c r="AE25" i="13" s="1"/>
  <c r="BP25" i="13"/>
  <c r="AD28" i="13"/>
  <c r="AE28" i="13" s="1"/>
  <c r="BX28" i="13"/>
  <c r="BY28" i="13" s="1"/>
  <c r="V61" i="13"/>
  <c r="AH69" i="11"/>
  <c r="Y70" i="11"/>
  <c r="AH84" i="11"/>
  <c r="AH86" i="11"/>
  <c r="AM93" i="11"/>
  <c r="AO93" i="11" s="1"/>
  <c r="C102" i="11"/>
  <c r="G102" i="11" s="1"/>
  <c r="AM103" i="11"/>
  <c r="AO103" i="11" s="1"/>
  <c r="C111" i="11"/>
  <c r="G111" i="11" s="1"/>
  <c r="C35" i="12"/>
  <c r="G35" i="12" s="1"/>
  <c r="C37" i="12"/>
  <c r="G37" i="12" s="1"/>
  <c r="L40" i="12"/>
  <c r="K41" i="12"/>
  <c r="C43" i="12"/>
  <c r="G43" i="12" s="1"/>
  <c r="K45" i="12"/>
  <c r="L48" i="12"/>
  <c r="I48" i="12" s="1"/>
  <c r="H50" i="12"/>
  <c r="L56" i="12"/>
  <c r="I56" i="12" s="1"/>
  <c r="C59" i="12"/>
  <c r="G59" i="12" s="1"/>
  <c r="L62" i="12"/>
  <c r="I62" i="12" s="1"/>
  <c r="L64" i="12"/>
  <c r="I64" i="12" s="1"/>
  <c r="C66" i="12"/>
  <c r="G66" i="12" s="1"/>
  <c r="C68" i="12"/>
  <c r="G68" i="12" s="1"/>
  <c r="T69" i="12"/>
  <c r="L72" i="12"/>
  <c r="I72" i="12" s="1"/>
  <c r="C86" i="12"/>
  <c r="G86" i="12" s="1"/>
  <c r="C96" i="12"/>
  <c r="G96" i="12" s="1"/>
  <c r="H97" i="12"/>
  <c r="J97" i="12" s="1"/>
  <c r="I98" i="12"/>
  <c r="H112" i="12"/>
  <c r="J112" i="12" s="1"/>
  <c r="AX16" i="13"/>
  <c r="AY16" i="13" s="1"/>
  <c r="BI15" i="13"/>
  <c r="L17" i="13"/>
  <c r="M17" i="13" s="1"/>
  <c r="AV19" i="13"/>
  <c r="AW19" i="13" s="1"/>
  <c r="AX20" i="13"/>
  <c r="AY20" i="13" s="1"/>
  <c r="C21" i="13"/>
  <c r="G21" i="13" s="1"/>
  <c r="AV22" i="13"/>
  <c r="AW22" i="13" s="1"/>
  <c r="C23" i="13"/>
  <c r="G23" i="13" s="1"/>
  <c r="Q15" i="13"/>
  <c r="V23" i="13"/>
  <c r="W23" i="13" s="1"/>
  <c r="AF24" i="13"/>
  <c r="AG24" i="13" s="1"/>
  <c r="BX24" i="13"/>
  <c r="BY24" i="13" s="1"/>
  <c r="BN25" i="13"/>
  <c r="AD26" i="13"/>
  <c r="AE26" i="13" s="1"/>
  <c r="V27" i="13"/>
  <c r="W27" i="13" s="1"/>
  <c r="BW76" i="13"/>
  <c r="L34" i="13"/>
  <c r="M34" i="13" s="1"/>
  <c r="J35" i="13"/>
  <c r="K35" i="13" s="1"/>
  <c r="AJ33" i="13"/>
  <c r="AR33" i="13"/>
  <c r="AA33" i="13"/>
  <c r="BW33" i="13"/>
  <c r="AD42" i="13"/>
  <c r="AE42" i="13" s="1"/>
  <c r="BP43" i="13"/>
  <c r="AF46" i="13"/>
  <c r="AG46" i="13" s="1"/>
  <c r="T47" i="13"/>
  <c r="U47" i="13" s="1"/>
  <c r="BP49" i="13"/>
  <c r="AF52" i="13"/>
  <c r="AG52" i="13" s="1"/>
  <c r="BZ52" i="13"/>
  <c r="C57" i="13"/>
  <c r="G57" i="13" s="1"/>
  <c r="V57" i="13"/>
  <c r="W57" i="13" s="1"/>
  <c r="C58" i="13"/>
  <c r="G58" i="13" s="1"/>
  <c r="BN58" i="13"/>
  <c r="BX61" i="13"/>
  <c r="AE63" i="13"/>
  <c r="T65" i="13"/>
  <c r="U65" i="13" s="1"/>
  <c r="L68" i="13"/>
  <c r="M68" i="13" s="1"/>
  <c r="BP71" i="13"/>
  <c r="BZ73" i="13"/>
  <c r="AD74" i="13"/>
  <c r="AE74" i="13" s="1"/>
  <c r="AZ76" i="13"/>
  <c r="AD79" i="13"/>
  <c r="AE79" i="13" s="1"/>
  <c r="V83" i="13"/>
  <c r="W83" i="13" s="1"/>
  <c r="BX87" i="13"/>
  <c r="U111" i="13"/>
  <c r="K111" i="13"/>
  <c r="AE111" i="13"/>
  <c r="I16" i="16"/>
  <c r="J16" i="16" s="1"/>
  <c r="L15" i="16"/>
  <c r="U86" i="17"/>
  <c r="O86" i="17"/>
  <c r="R86" i="17"/>
  <c r="I86" i="17"/>
  <c r="L86" i="17" s="1"/>
  <c r="AD29" i="13"/>
  <c r="AE29" i="13" s="1"/>
  <c r="AV30" i="13"/>
  <c r="AW30" i="13" s="1"/>
  <c r="O33" i="13"/>
  <c r="J39" i="13"/>
  <c r="K39" i="13" s="1"/>
  <c r="AV40" i="13"/>
  <c r="AW40" i="13" s="1"/>
  <c r="AD41" i="13"/>
  <c r="AE41" i="13" s="1"/>
  <c r="BX41" i="13"/>
  <c r="T42" i="13"/>
  <c r="U42" i="13" s="1"/>
  <c r="AV42" i="13"/>
  <c r="AW42" i="13" s="1"/>
  <c r="AX47" i="13"/>
  <c r="AY47" i="13" s="1"/>
  <c r="BE54" i="13"/>
  <c r="C60" i="13"/>
  <c r="G60" i="13" s="1"/>
  <c r="AX60" i="13"/>
  <c r="AY60" i="13" s="1"/>
  <c r="BZ60" i="13"/>
  <c r="W63" i="13"/>
  <c r="J65" i="13"/>
  <c r="K65" i="13" s="1"/>
  <c r="C67" i="13"/>
  <c r="G67" i="13" s="1"/>
  <c r="V68" i="13"/>
  <c r="W68" i="13" s="1"/>
  <c r="L69" i="13"/>
  <c r="AX70" i="13"/>
  <c r="AY70" i="13" s="1"/>
  <c r="BX70" i="13"/>
  <c r="AX72" i="13"/>
  <c r="AY72" i="13" s="1"/>
  <c r="C74" i="13"/>
  <c r="G74" i="13" s="1"/>
  <c r="AF75" i="13"/>
  <c r="T78" i="13"/>
  <c r="U78" i="13" s="1"/>
  <c r="BX78" i="13"/>
  <c r="J79" i="13"/>
  <c r="K79" i="13" s="1"/>
  <c r="AF79" i="13"/>
  <c r="AG79" i="13" s="1"/>
  <c r="AS76" i="13"/>
  <c r="AV80" i="13"/>
  <c r="BX82" i="13"/>
  <c r="L76" i="15"/>
  <c r="O76" i="15" s="1"/>
  <c r="D106" i="15"/>
  <c r="D13" i="15" s="1"/>
  <c r="C110" i="15"/>
  <c r="G110" i="15" s="1"/>
  <c r="I43" i="17"/>
  <c r="L43" i="17" s="1"/>
  <c r="O43" i="17"/>
  <c r="CG33" i="13"/>
  <c r="AD38" i="13"/>
  <c r="AE38" i="13" s="1"/>
  <c r="J46" i="13"/>
  <c r="K46" i="13" s="1"/>
  <c r="T49" i="13"/>
  <c r="U49" i="13" s="1"/>
  <c r="C50" i="13"/>
  <c r="G50" i="13" s="1"/>
  <c r="J53" i="13"/>
  <c r="K53" i="13" s="1"/>
  <c r="AZ54" i="13"/>
  <c r="AG61" i="13"/>
  <c r="K63" i="13"/>
  <c r="T63" i="13"/>
  <c r="AG63" i="13"/>
  <c r="BX63" i="13"/>
  <c r="BN64" i="13"/>
  <c r="C66" i="13"/>
  <c r="G66" i="13" s="1"/>
  <c r="L66" i="13"/>
  <c r="M66" i="13" s="1"/>
  <c r="AD67" i="13"/>
  <c r="AE67" i="13" s="1"/>
  <c r="AV68" i="13"/>
  <c r="AW68" i="13" s="1"/>
  <c r="J69" i="13"/>
  <c r="AV69" i="13"/>
  <c r="AW69" i="13" s="1"/>
  <c r="BZ69" i="13"/>
  <c r="AF71" i="13"/>
  <c r="AG71" i="13" s="1"/>
  <c r="AV72" i="13"/>
  <c r="AW72" i="13" s="1"/>
  <c r="AD73" i="13"/>
  <c r="BN73" i="13"/>
  <c r="T77" i="13"/>
  <c r="U77" i="13" s="1"/>
  <c r="AX77" i="13"/>
  <c r="AY77" i="13" s="1"/>
  <c r="V78" i="13"/>
  <c r="W78" i="13" s="1"/>
  <c r="BP78" i="13"/>
  <c r="AF80" i="13"/>
  <c r="AG80" i="13" s="1"/>
  <c r="BZ80" i="13"/>
  <c r="J81" i="13"/>
  <c r="K81" i="13" s="1"/>
  <c r="T82" i="13"/>
  <c r="U82" i="13" s="1"/>
  <c r="AV82" i="13"/>
  <c r="C86" i="13"/>
  <c r="G86" i="13" s="1"/>
  <c r="K15" i="14"/>
  <c r="P76" i="15"/>
  <c r="S76" i="15" s="1"/>
  <c r="I101" i="15"/>
  <c r="I91" i="15" s="1"/>
  <c r="I12" i="15" s="1"/>
  <c r="I11" i="15" s="1"/>
  <c r="S101" i="15"/>
  <c r="Q91" i="15"/>
  <c r="Q12" i="15" s="1"/>
  <c r="S12" i="15" s="1"/>
  <c r="I18" i="16"/>
  <c r="J18" i="16" s="1"/>
  <c r="BZ30" i="13"/>
  <c r="CA30" i="13" s="1"/>
  <c r="BZ31" i="13"/>
  <c r="AD32" i="13"/>
  <c r="AE32" i="13" s="1"/>
  <c r="AC33" i="13"/>
  <c r="BX36" i="13"/>
  <c r="AF38" i="13"/>
  <c r="AG38" i="13" s="1"/>
  <c r="L42" i="13"/>
  <c r="M42" i="13" s="1"/>
  <c r="J43" i="13"/>
  <c r="K43" i="13" s="1"/>
  <c r="AD43" i="13"/>
  <c r="AE43" i="13" s="1"/>
  <c r="AD44" i="13"/>
  <c r="AE44" i="13" s="1"/>
  <c r="J45" i="13"/>
  <c r="K45" i="13" s="1"/>
  <c r="BX47" i="13"/>
  <c r="AV48" i="13"/>
  <c r="AW48" i="13" s="1"/>
  <c r="AV49" i="13"/>
  <c r="AW49" i="13" s="1"/>
  <c r="AD51" i="13"/>
  <c r="AE51" i="13" s="1"/>
  <c r="AD52" i="13"/>
  <c r="AE52" i="13" s="1"/>
  <c r="AD58" i="13"/>
  <c r="AE58" i="13" s="1"/>
  <c r="J59" i="13"/>
  <c r="K59" i="13" s="1"/>
  <c r="AV61" i="13"/>
  <c r="K62" i="13"/>
  <c r="BZ63" i="13"/>
  <c r="AD65" i="13"/>
  <c r="AE65" i="13" s="1"/>
  <c r="BX65" i="13"/>
  <c r="V70" i="13"/>
  <c r="W70" i="13" s="1"/>
  <c r="BZ71" i="13"/>
  <c r="AV73" i="13"/>
  <c r="BP73" i="13"/>
  <c r="BZ75" i="13"/>
  <c r="BP79" i="13"/>
  <c r="BZ79" i="13"/>
  <c r="AD80" i="13"/>
  <c r="AE80" i="13" s="1"/>
  <c r="BX80" i="13"/>
  <c r="AF81" i="13"/>
  <c r="AG81" i="13" s="1"/>
  <c r="AV81" i="13"/>
  <c r="J82" i="13"/>
  <c r="K82" i="13" s="1"/>
  <c r="C83" i="13"/>
  <c r="G83" i="13" s="1"/>
  <c r="AV83" i="13"/>
  <c r="AW83" i="13" s="1"/>
  <c r="BX83" i="13"/>
  <c r="BY83" i="13" s="1"/>
  <c r="AV84" i="13"/>
  <c r="AW84" i="13" s="1"/>
  <c r="BT33" i="13"/>
  <c r="CD33" i="13"/>
  <c r="BH33" i="13"/>
  <c r="AD39" i="13"/>
  <c r="AE39" i="13" s="1"/>
  <c r="AF45" i="13"/>
  <c r="AG45" i="13" s="1"/>
  <c r="J47" i="13"/>
  <c r="K47" i="13" s="1"/>
  <c r="BZ47" i="13"/>
  <c r="AX48" i="13"/>
  <c r="AY48" i="13" s="1"/>
  <c r="L49" i="13"/>
  <c r="M49" i="13" s="1"/>
  <c r="BX50" i="13"/>
  <c r="AO54" i="13"/>
  <c r="BX57" i="13"/>
  <c r="T58" i="13"/>
  <c r="U58" i="13" s="1"/>
  <c r="M61" i="13"/>
  <c r="BT76" i="13"/>
  <c r="BK76" i="13"/>
  <c r="S26" i="15"/>
  <c r="H26" i="15"/>
  <c r="K26" i="15" s="1"/>
  <c r="F33" i="15"/>
  <c r="AV29" i="13"/>
  <c r="AW29" i="13" s="1"/>
  <c r="BN29" i="13"/>
  <c r="J31" i="13"/>
  <c r="K31" i="13" s="1"/>
  <c r="V31" i="13"/>
  <c r="W31" i="13" s="1"/>
  <c r="AV31" i="13"/>
  <c r="AW31" i="13" s="1"/>
  <c r="BX32" i="13"/>
  <c r="BY32" i="13" s="1"/>
  <c r="AP33" i="13"/>
  <c r="BA33" i="13"/>
  <c r="BI33" i="13"/>
  <c r="S33" i="13"/>
  <c r="BP35" i="13"/>
  <c r="I33" i="13"/>
  <c r="T39" i="13"/>
  <c r="U39" i="13" s="1"/>
  <c r="J40" i="13"/>
  <c r="K40" i="13" s="1"/>
  <c r="AD40" i="13"/>
  <c r="AE40" i="13" s="1"/>
  <c r="T41" i="13"/>
  <c r="U41" i="13" s="1"/>
  <c r="BN42" i="13"/>
  <c r="V44" i="13"/>
  <c r="W44" i="13" s="1"/>
  <c r="T46" i="13"/>
  <c r="U46" i="13" s="1"/>
  <c r="BZ50" i="13"/>
  <c r="V51" i="13"/>
  <c r="W51" i="13" s="1"/>
  <c r="BP51" i="13"/>
  <c r="C53" i="13"/>
  <c r="G53" i="13" s="1"/>
  <c r="R54" i="13"/>
  <c r="L56" i="13"/>
  <c r="M56" i="13" s="1"/>
  <c r="J58" i="13"/>
  <c r="K58" i="13" s="1"/>
  <c r="AD62" i="13"/>
  <c r="AX62" i="13"/>
  <c r="BN62" i="13"/>
  <c r="J63" i="13"/>
  <c r="V64" i="13"/>
  <c r="W64" i="13" s="1"/>
  <c r="C65" i="13"/>
  <c r="G65" i="13" s="1"/>
  <c r="AX67" i="13"/>
  <c r="AY67" i="13" s="1"/>
  <c r="AF68" i="13"/>
  <c r="AG68" i="13" s="1"/>
  <c r="AF69" i="13"/>
  <c r="T71" i="13"/>
  <c r="U71" i="13" s="1"/>
  <c r="BP72" i="13"/>
  <c r="V73" i="13"/>
  <c r="AX74" i="13"/>
  <c r="AY74" i="13" s="1"/>
  <c r="BX74" i="13"/>
  <c r="L78" i="13"/>
  <c r="M78" i="13" s="1"/>
  <c r="J80" i="13"/>
  <c r="K80" i="13" s="1"/>
  <c r="T80" i="13"/>
  <c r="U80" i="13" s="1"/>
  <c r="AF82" i="13"/>
  <c r="AG82" i="13" s="1"/>
  <c r="T84" i="13"/>
  <c r="U84" i="13" s="1"/>
  <c r="K95" i="13"/>
  <c r="U95" i="13"/>
  <c r="I42" i="16"/>
  <c r="J42" i="16" s="1"/>
  <c r="BN30" i="13"/>
  <c r="BP42" i="13"/>
  <c r="V43" i="13"/>
  <c r="W43" i="13" s="1"/>
  <c r="C44" i="13"/>
  <c r="G44" i="13" s="1"/>
  <c r="AQ33" i="13"/>
  <c r="C62" i="13"/>
  <c r="G62" i="13" s="1"/>
  <c r="AF62" i="13"/>
  <c r="AV67" i="13"/>
  <c r="AW67" i="13" s="1"/>
  <c r="J70" i="13"/>
  <c r="K70" i="13" s="1"/>
  <c r="V71" i="13"/>
  <c r="W71" i="13" s="1"/>
  <c r="C72" i="13"/>
  <c r="G72" i="13" s="1"/>
  <c r="L72" i="13"/>
  <c r="M72" i="13" s="1"/>
  <c r="BN72" i="13"/>
  <c r="AE75" i="13"/>
  <c r="AN76" i="13"/>
  <c r="AV78" i="13"/>
  <c r="AW78" i="13" s="1"/>
  <c r="BB76" i="13"/>
  <c r="AD81" i="13"/>
  <c r="AE81" i="13" s="1"/>
  <c r="J84" i="13"/>
  <c r="K84" i="13" s="1"/>
  <c r="J63" i="14"/>
  <c r="D91" i="15"/>
  <c r="D12" i="15" s="1"/>
  <c r="C90" i="13"/>
  <c r="G90" i="13" s="1"/>
  <c r="AG93" i="13"/>
  <c r="M103" i="13"/>
  <c r="AG107" i="13"/>
  <c r="U110" i="13"/>
  <c r="AG113" i="13"/>
  <c r="J25" i="14"/>
  <c r="J31" i="14"/>
  <c r="C41" i="14"/>
  <c r="G41" i="14" s="1"/>
  <c r="C46" i="14"/>
  <c r="G46" i="14" s="1"/>
  <c r="J49" i="14"/>
  <c r="C60" i="14"/>
  <c r="G60" i="14" s="1"/>
  <c r="C67" i="14"/>
  <c r="G67" i="14" s="1"/>
  <c r="J71" i="14"/>
  <c r="C86" i="14"/>
  <c r="G86" i="14" s="1"/>
  <c r="E106" i="14"/>
  <c r="E13" i="14" s="1"/>
  <c r="C114" i="14"/>
  <c r="G114" i="14" s="1"/>
  <c r="I17" i="15"/>
  <c r="H18" i="15"/>
  <c r="H20" i="15"/>
  <c r="K20" i="15" s="1"/>
  <c r="J22" i="15"/>
  <c r="H23" i="15"/>
  <c r="K23" i="15" s="1"/>
  <c r="C50" i="15"/>
  <c r="G50" i="15" s="1"/>
  <c r="C59" i="15"/>
  <c r="G59" i="15" s="1"/>
  <c r="C62" i="15"/>
  <c r="G62" i="15" s="1"/>
  <c r="J72" i="15"/>
  <c r="C74" i="15"/>
  <c r="G74" i="15" s="1"/>
  <c r="I75" i="15"/>
  <c r="S78" i="15"/>
  <c r="C82" i="15"/>
  <c r="G82" i="15" s="1"/>
  <c r="I84" i="15"/>
  <c r="C90" i="15"/>
  <c r="G90" i="15" s="1"/>
  <c r="C99" i="15"/>
  <c r="G99" i="15" s="1"/>
  <c r="C29" i="16"/>
  <c r="G29" i="16" s="1"/>
  <c r="F33" i="16"/>
  <c r="I62" i="16"/>
  <c r="J62" i="16" s="1"/>
  <c r="I66" i="16"/>
  <c r="J66" i="16" s="1"/>
  <c r="J15" i="17"/>
  <c r="U22" i="17"/>
  <c r="R22" i="17"/>
  <c r="I22" i="17"/>
  <c r="L22" i="17" s="1"/>
  <c r="F54" i="17"/>
  <c r="L85" i="13"/>
  <c r="AF87" i="13"/>
  <c r="AV89" i="13"/>
  <c r="AF90" i="13"/>
  <c r="AG90" i="13" s="1"/>
  <c r="E91" i="13"/>
  <c r="E12" i="13" s="1"/>
  <c r="C21" i="14"/>
  <c r="G21" i="14" s="1"/>
  <c r="C34" i="14"/>
  <c r="G34" i="14" s="1"/>
  <c r="J69" i="14"/>
  <c r="C80" i="14"/>
  <c r="G80" i="14" s="1"/>
  <c r="C19" i="15"/>
  <c r="G19" i="15" s="1"/>
  <c r="I40" i="15"/>
  <c r="F54" i="15"/>
  <c r="I60" i="15"/>
  <c r="J63" i="15"/>
  <c r="J75" i="15"/>
  <c r="N76" i="15"/>
  <c r="C79" i="15"/>
  <c r="G79" i="15" s="1"/>
  <c r="I81" i="15"/>
  <c r="C84" i="15"/>
  <c r="G84" i="15" s="1"/>
  <c r="C87" i="15"/>
  <c r="G87" i="15" s="1"/>
  <c r="I89" i="15"/>
  <c r="C94" i="15"/>
  <c r="G94" i="15" s="1"/>
  <c r="I17" i="16"/>
  <c r="J17" i="16" s="1"/>
  <c r="C19" i="16"/>
  <c r="G19" i="16" s="1"/>
  <c r="C23" i="16"/>
  <c r="G23" i="16" s="1"/>
  <c r="I30" i="16"/>
  <c r="J30" i="16" s="1"/>
  <c r="K33" i="16"/>
  <c r="O33" i="16"/>
  <c r="C52" i="16"/>
  <c r="G52" i="16" s="1"/>
  <c r="C61" i="16"/>
  <c r="G61" i="16" s="1"/>
  <c r="C65" i="16"/>
  <c r="G65" i="16" s="1"/>
  <c r="C69" i="16"/>
  <c r="G69" i="16" s="1"/>
  <c r="L30" i="17"/>
  <c r="U26" i="18"/>
  <c r="AE94" i="13"/>
  <c r="AG96" i="13"/>
  <c r="M98" i="13"/>
  <c r="AE108" i="13"/>
  <c r="C39" i="14"/>
  <c r="G39" i="14" s="1"/>
  <c r="C51" i="14"/>
  <c r="G51" i="14" s="1"/>
  <c r="C72" i="14"/>
  <c r="G72" i="14" s="1"/>
  <c r="K76" i="14"/>
  <c r="C95" i="14"/>
  <c r="G95" i="14" s="1"/>
  <c r="C16" i="15"/>
  <c r="G16" i="15" s="1"/>
  <c r="R15" i="15"/>
  <c r="J25" i="15"/>
  <c r="J37" i="15"/>
  <c r="I44" i="15"/>
  <c r="I58" i="15"/>
  <c r="J60" i="15"/>
  <c r="I67" i="15"/>
  <c r="I69" i="15"/>
  <c r="C89" i="15"/>
  <c r="G89" i="15" s="1"/>
  <c r="I25" i="16"/>
  <c r="J25" i="16" s="1"/>
  <c r="I44" i="16"/>
  <c r="J44" i="16" s="1"/>
  <c r="I58" i="16"/>
  <c r="J58" i="16" s="1"/>
  <c r="O38" i="17"/>
  <c r="U38" i="17"/>
  <c r="R38" i="17"/>
  <c r="I38" i="17"/>
  <c r="L38" i="17" s="1"/>
  <c r="C99" i="17"/>
  <c r="G99" i="17" s="1"/>
  <c r="D91" i="17"/>
  <c r="D12" i="17" s="1"/>
  <c r="AV87" i="13"/>
  <c r="AW87" i="13" s="1"/>
  <c r="BZ88" i="13"/>
  <c r="BX90" i="13"/>
  <c r="BY90" i="13" s="1"/>
  <c r="M93" i="13"/>
  <c r="W101" i="13"/>
  <c r="AG114" i="13"/>
  <c r="J23" i="14"/>
  <c r="C50" i="14"/>
  <c r="G50" i="14" s="1"/>
  <c r="J60" i="14"/>
  <c r="C64" i="14"/>
  <c r="G64" i="14" s="1"/>
  <c r="J73" i="14"/>
  <c r="J82" i="14"/>
  <c r="C84" i="14"/>
  <c r="G84" i="14" s="1"/>
  <c r="I18" i="15"/>
  <c r="I20" i="15"/>
  <c r="O23" i="15"/>
  <c r="I24" i="15"/>
  <c r="C28" i="15"/>
  <c r="G28" i="15" s="1"/>
  <c r="C29" i="15"/>
  <c r="G29" i="15" s="1"/>
  <c r="O45" i="15"/>
  <c r="J58" i="15"/>
  <c r="C69" i="15"/>
  <c r="G69" i="15" s="1"/>
  <c r="C75" i="15"/>
  <c r="G75" i="15" s="1"/>
  <c r="I83" i="15"/>
  <c r="C102" i="15"/>
  <c r="G102" i="15" s="1"/>
  <c r="C17" i="16"/>
  <c r="G17" i="16" s="1"/>
  <c r="C48" i="16"/>
  <c r="G48" i="16" s="1"/>
  <c r="I59" i="16"/>
  <c r="J59" i="16" s="1"/>
  <c r="I71" i="16"/>
  <c r="J71" i="16" s="1"/>
  <c r="C74" i="16"/>
  <c r="G74" i="16" s="1"/>
  <c r="O87" i="17"/>
  <c r="U87" i="17"/>
  <c r="Q76" i="18"/>
  <c r="AX87" i="13"/>
  <c r="AY87" i="13" s="1"/>
  <c r="BP89" i="13"/>
  <c r="AD90" i="13"/>
  <c r="AE90" i="13" s="1"/>
  <c r="AE92" i="13"/>
  <c r="K94" i="13"/>
  <c r="C104" i="13"/>
  <c r="G104" i="13" s="1"/>
  <c r="AG105" i="13"/>
  <c r="K108" i="13"/>
  <c r="J17" i="14"/>
  <c r="J27" i="14"/>
  <c r="C31" i="14"/>
  <c r="G31" i="14" s="1"/>
  <c r="C37" i="14"/>
  <c r="G37" i="14" s="1"/>
  <c r="K54" i="14"/>
  <c r="C88" i="14"/>
  <c r="G88" i="14" s="1"/>
  <c r="C97" i="14"/>
  <c r="G97" i="14" s="1"/>
  <c r="C113" i="14"/>
  <c r="G113" i="14" s="1"/>
  <c r="F15" i="15"/>
  <c r="I30" i="15"/>
  <c r="I36" i="15"/>
  <c r="I41" i="15"/>
  <c r="I45" i="15"/>
  <c r="K45" i="15" s="1"/>
  <c r="C25" i="16"/>
  <c r="G25" i="16" s="1"/>
  <c r="I82" i="16"/>
  <c r="J82" i="16" s="1"/>
  <c r="C20" i="17"/>
  <c r="G20" i="17" s="1"/>
  <c r="O21" i="17"/>
  <c r="U21" i="17"/>
  <c r="R21" i="17"/>
  <c r="I21" i="17"/>
  <c r="L21" i="17" s="1"/>
  <c r="AF86" i="13"/>
  <c r="AG86" i="13" s="1"/>
  <c r="T87" i="13"/>
  <c r="L88" i="13"/>
  <c r="M88" i="13" s="1"/>
  <c r="M96" i="13"/>
  <c r="AE99" i="13"/>
  <c r="AG103" i="13"/>
  <c r="M105" i="13"/>
  <c r="AG110" i="13"/>
  <c r="M114" i="13"/>
  <c r="I33" i="14"/>
  <c r="C49" i="14"/>
  <c r="G49" i="14" s="1"/>
  <c r="C70" i="14"/>
  <c r="G70" i="14" s="1"/>
  <c r="E76" i="14"/>
  <c r="H16" i="15"/>
  <c r="C18" i="15"/>
  <c r="G18" i="15" s="1"/>
  <c r="C23" i="15"/>
  <c r="G23" i="15" s="1"/>
  <c r="O24" i="15"/>
  <c r="J30" i="15"/>
  <c r="C32" i="15"/>
  <c r="G32" i="15" s="1"/>
  <c r="C96" i="15"/>
  <c r="G96" i="15" s="1"/>
  <c r="C109" i="15"/>
  <c r="G109" i="15" s="1"/>
  <c r="I35" i="16"/>
  <c r="J35" i="16" s="1"/>
  <c r="I46" i="16"/>
  <c r="J46" i="16" s="1"/>
  <c r="C49" i="16"/>
  <c r="G49" i="16" s="1"/>
  <c r="C67" i="16"/>
  <c r="G67" i="16" s="1"/>
  <c r="I67" i="16"/>
  <c r="J67" i="16" s="1"/>
  <c r="O37" i="17"/>
  <c r="U37" i="17"/>
  <c r="H33" i="17"/>
  <c r="I37" i="17"/>
  <c r="L37" i="17" s="1"/>
  <c r="AX84" i="13"/>
  <c r="AY84" i="13" s="1"/>
  <c r="K85" i="13"/>
  <c r="U85" i="13"/>
  <c r="T86" i="13"/>
  <c r="U86" i="13" s="1"/>
  <c r="BP86" i="13"/>
  <c r="BX88" i="13"/>
  <c r="BZ90" i="13"/>
  <c r="CA90" i="13" s="1"/>
  <c r="AG92" i="13"/>
  <c r="K101" i="13"/>
  <c r="C102" i="13"/>
  <c r="G102" i="13" s="1"/>
  <c r="C18" i="14"/>
  <c r="G18" i="14" s="1"/>
  <c r="C29" i="14"/>
  <c r="G29" i="14" s="1"/>
  <c r="J32" i="14"/>
  <c r="J39" i="14"/>
  <c r="C57" i="14"/>
  <c r="G57" i="14" s="1"/>
  <c r="J66" i="14"/>
  <c r="F76" i="14"/>
  <c r="C110" i="14"/>
  <c r="G110" i="14" s="1"/>
  <c r="H22" i="15"/>
  <c r="K22" i="15" s="1"/>
  <c r="I25" i="15"/>
  <c r="I28" i="15"/>
  <c r="C41" i="15"/>
  <c r="G41" i="15" s="1"/>
  <c r="O53" i="15"/>
  <c r="E54" i="15"/>
  <c r="I59" i="15"/>
  <c r="C77" i="15"/>
  <c r="G77" i="15" s="1"/>
  <c r="I82" i="15"/>
  <c r="C85" i="15"/>
  <c r="G85" i="15" s="1"/>
  <c r="I90" i="15"/>
  <c r="C114" i="15"/>
  <c r="G114" i="15" s="1"/>
  <c r="I23" i="16"/>
  <c r="J23" i="16" s="1"/>
  <c r="C51" i="16"/>
  <c r="G51" i="16" s="1"/>
  <c r="I72" i="16"/>
  <c r="J72" i="16" s="1"/>
  <c r="O69" i="17"/>
  <c r="U69" i="17"/>
  <c r="U79" i="17"/>
  <c r="I79" i="17"/>
  <c r="L79" i="17" s="1"/>
  <c r="O76" i="16"/>
  <c r="C94" i="16"/>
  <c r="G94" i="16" s="1"/>
  <c r="C102" i="16"/>
  <c r="G102" i="16" s="1"/>
  <c r="F15" i="17"/>
  <c r="S15" i="17"/>
  <c r="K15" i="17"/>
  <c r="N15" i="17"/>
  <c r="U30" i="17"/>
  <c r="C42" i="17"/>
  <c r="G42" i="17" s="1"/>
  <c r="O55" i="17"/>
  <c r="U59" i="17"/>
  <c r="U60" i="17"/>
  <c r="O62" i="17"/>
  <c r="U63" i="17"/>
  <c r="U66" i="17"/>
  <c r="F76" i="17"/>
  <c r="O81" i="17"/>
  <c r="C17" i="18"/>
  <c r="G17" i="18" s="1"/>
  <c r="S15" i="18"/>
  <c r="T15" i="18" s="1"/>
  <c r="Y29" i="18"/>
  <c r="F33" i="18"/>
  <c r="C43" i="18"/>
  <c r="G43" i="18" s="1"/>
  <c r="U49" i="18"/>
  <c r="Y50" i="18"/>
  <c r="U51" i="18"/>
  <c r="C58" i="18"/>
  <c r="G58" i="18" s="1"/>
  <c r="H66" i="18"/>
  <c r="P66" i="18" s="1"/>
  <c r="Y68" i="18"/>
  <c r="C71" i="18"/>
  <c r="G71" i="18" s="1"/>
  <c r="Y73" i="18"/>
  <c r="H74" i="18"/>
  <c r="T74" i="18" s="1"/>
  <c r="AB76" i="18"/>
  <c r="H85" i="18"/>
  <c r="N85" i="18" s="1"/>
  <c r="C86" i="18"/>
  <c r="G86" i="18" s="1"/>
  <c r="H93" i="18"/>
  <c r="T93" i="18" s="1"/>
  <c r="H94" i="18"/>
  <c r="Z94" i="18" s="1"/>
  <c r="H98" i="18"/>
  <c r="R98" i="18" s="1"/>
  <c r="H99" i="18"/>
  <c r="L99" i="18" s="1"/>
  <c r="H103" i="18"/>
  <c r="V103" i="18" s="1"/>
  <c r="C108" i="18"/>
  <c r="G108" i="18" s="1"/>
  <c r="C111" i="16"/>
  <c r="G111" i="16" s="1"/>
  <c r="T15" i="17"/>
  <c r="R23" i="17"/>
  <c r="C28" i="17"/>
  <c r="G28" i="17" s="1"/>
  <c r="U31" i="17"/>
  <c r="I39" i="17"/>
  <c r="L39" i="17" s="1"/>
  <c r="C44" i="17"/>
  <c r="G44" i="17" s="1"/>
  <c r="U45" i="17"/>
  <c r="I46" i="17"/>
  <c r="L46" i="17" s="1"/>
  <c r="R46" i="17"/>
  <c r="O56" i="17"/>
  <c r="I58" i="17"/>
  <c r="L58" i="17" s="1"/>
  <c r="C61" i="17"/>
  <c r="G61" i="17" s="1"/>
  <c r="C75" i="17"/>
  <c r="G75" i="17" s="1"/>
  <c r="C81" i="17"/>
  <c r="G81" i="17" s="1"/>
  <c r="R82" i="17"/>
  <c r="I83" i="17"/>
  <c r="L83" i="17" s="1"/>
  <c r="U88" i="17"/>
  <c r="C98" i="17"/>
  <c r="G98" i="17" s="1"/>
  <c r="C21" i="18"/>
  <c r="G21" i="18" s="1"/>
  <c r="U42" i="18"/>
  <c r="Y47" i="18"/>
  <c r="W54" i="18"/>
  <c r="AC76" i="18"/>
  <c r="H92" i="18"/>
  <c r="V92" i="18" s="1"/>
  <c r="U26" i="17"/>
  <c r="C30" i="17"/>
  <c r="G30" i="17" s="1"/>
  <c r="L45" i="17"/>
  <c r="R45" i="17"/>
  <c r="U51" i="17"/>
  <c r="Q54" i="17"/>
  <c r="I57" i="17"/>
  <c r="L57" i="17" s="1"/>
  <c r="U58" i="17"/>
  <c r="O63" i="17"/>
  <c r="C67" i="17"/>
  <c r="G67" i="17" s="1"/>
  <c r="C71" i="17"/>
  <c r="G71" i="17" s="1"/>
  <c r="R72" i="17"/>
  <c r="I77" i="17"/>
  <c r="L77" i="17" s="1"/>
  <c r="R77" i="17"/>
  <c r="J76" i="17"/>
  <c r="R83" i="17"/>
  <c r="Y38" i="18"/>
  <c r="C44" i="18"/>
  <c r="G44" i="18" s="1"/>
  <c r="H71" i="18"/>
  <c r="L71" i="18" s="1"/>
  <c r="C72" i="18"/>
  <c r="G72" i="18" s="1"/>
  <c r="C73" i="18"/>
  <c r="G73" i="18" s="1"/>
  <c r="H75" i="18"/>
  <c r="L75" i="18" s="1"/>
  <c r="J91" i="18"/>
  <c r="E91" i="16"/>
  <c r="E12" i="16" s="1"/>
  <c r="E106" i="16"/>
  <c r="E13" i="16" s="1"/>
  <c r="O31" i="17"/>
  <c r="U39" i="17"/>
  <c r="U44" i="17"/>
  <c r="I55" i="17"/>
  <c r="L55" i="17" s="1"/>
  <c r="R55" i="17"/>
  <c r="O59" i="17"/>
  <c r="I62" i="17"/>
  <c r="L62" i="17" s="1"/>
  <c r="R62" i="17"/>
  <c r="P76" i="17"/>
  <c r="C86" i="17"/>
  <c r="G86" i="17" s="1"/>
  <c r="O33" i="18"/>
  <c r="H37" i="18"/>
  <c r="P37" i="18" s="1"/>
  <c r="Y42" i="18"/>
  <c r="C45" i="18"/>
  <c r="G45" i="18" s="1"/>
  <c r="J54" i="18"/>
  <c r="H61" i="18"/>
  <c r="R61" i="18" s="1"/>
  <c r="F76" i="18"/>
  <c r="H86" i="18"/>
  <c r="L86" i="18" s="1"/>
  <c r="U86" i="18"/>
  <c r="H108" i="18"/>
  <c r="T108" i="18" s="1"/>
  <c r="C85" i="16"/>
  <c r="G85" i="16" s="1"/>
  <c r="I86" i="16"/>
  <c r="J86" i="16" s="1"/>
  <c r="I87" i="16"/>
  <c r="J87" i="16" s="1"/>
  <c r="C96" i="16"/>
  <c r="G96" i="16" s="1"/>
  <c r="C110" i="16"/>
  <c r="G110" i="16" s="1"/>
  <c r="U19" i="17"/>
  <c r="O22" i="17"/>
  <c r="C27" i="17"/>
  <c r="G27" i="17" s="1"/>
  <c r="U46" i="17"/>
  <c r="I63" i="17"/>
  <c r="L63" i="17" s="1"/>
  <c r="C66" i="17"/>
  <c r="G66" i="17" s="1"/>
  <c r="O70" i="17"/>
  <c r="U71" i="17"/>
  <c r="I75" i="17"/>
  <c r="L75" i="17" s="1"/>
  <c r="U82" i="17"/>
  <c r="O15" i="18"/>
  <c r="P15" i="18" s="1"/>
  <c r="K15" i="18"/>
  <c r="L15" i="18" s="1"/>
  <c r="AC33" i="18"/>
  <c r="U37" i="18"/>
  <c r="C38" i="18"/>
  <c r="G38" i="18" s="1"/>
  <c r="Y75" i="18"/>
  <c r="H80" i="18"/>
  <c r="T80" i="18" s="1"/>
  <c r="H84" i="18"/>
  <c r="T84" i="18" s="1"/>
  <c r="Y89" i="18"/>
  <c r="C73" i="16"/>
  <c r="G73" i="16" s="1"/>
  <c r="R28" i="17"/>
  <c r="R30" i="17"/>
  <c r="C43" i="17"/>
  <c r="G43" i="17" s="1"/>
  <c r="R60" i="17"/>
  <c r="C74" i="17"/>
  <c r="G74" i="17" s="1"/>
  <c r="C83" i="17"/>
  <c r="G83" i="17" s="1"/>
  <c r="Q15" i="18"/>
  <c r="R15" i="18" s="1"/>
  <c r="M33" i="18"/>
  <c r="O54" i="18"/>
  <c r="U59" i="18"/>
  <c r="V59" i="18" s="1"/>
  <c r="C105" i="18"/>
  <c r="G105" i="18" s="1"/>
  <c r="H112" i="18"/>
  <c r="R112" i="18" s="1"/>
  <c r="I75" i="16"/>
  <c r="J75" i="16" s="1"/>
  <c r="C90" i="16"/>
  <c r="G90" i="16" s="1"/>
  <c r="C99" i="16"/>
  <c r="G99" i="16" s="1"/>
  <c r="C112" i="16"/>
  <c r="G112" i="16" s="1"/>
  <c r="I31" i="17"/>
  <c r="L31" i="17" s="1"/>
  <c r="N33" i="17"/>
  <c r="C48" i="17"/>
  <c r="G48" i="17" s="1"/>
  <c r="C55" i="17"/>
  <c r="G55" i="17" s="1"/>
  <c r="C57" i="17"/>
  <c r="G57" i="17" s="1"/>
  <c r="M54" i="17"/>
  <c r="C62" i="17"/>
  <c r="G62" i="17" s="1"/>
  <c r="I70" i="17"/>
  <c r="L70" i="17" s="1"/>
  <c r="O82" i="17"/>
  <c r="C84" i="17"/>
  <c r="G84" i="17" s="1"/>
  <c r="I88" i="17"/>
  <c r="L88" i="17" s="1"/>
  <c r="U89" i="17"/>
  <c r="C105" i="17"/>
  <c r="G105" i="17" s="1"/>
  <c r="C112" i="17"/>
  <c r="G112" i="17" s="1"/>
  <c r="Y25" i="18"/>
  <c r="C39" i="18"/>
  <c r="G39" i="18" s="1"/>
  <c r="H41" i="18"/>
  <c r="R41" i="18" s="1"/>
  <c r="C49" i="18"/>
  <c r="G49" i="18" s="1"/>
  <c r="H53" i="18"/>
  <c r="R53" i="18" s="1"/>
  <c r="Y58" i="18"/>
  <c r="H63" i="18"/>
  <c r="T63" i="18" s="1"/>
  <c r="C64" i="18"/>
  <c r="G64" i="18" s="1"/>
  <c r="H72" i="18"/>
  <c r="N72" i="18" s="1"/>
  <c r="U77" i="18"/>
  <c r="C79" i="18"/>
  <c r="G79" i="18" s="1"/>
  <c r="C83" i="18"/>
  <c r="G83" i="18" s="1"/>
  <c r="H88" i="18"/>
  <c r="P88" i="18" s="1"/>
  <c r="C101" i="18"/>
  <c r="G101" i="18" s="1"/>
  <c r="C104" i="18"/>
  <c r="G104" i="18" s="1"/>
  <c r="H105" i="18"/>
  <c r="V105" i="18" s="1"/>
  <c r="O84" i="1"/>
  <c r="O88" i="1"/>
  <c r="W106" i="1"/>
  <c r="I18" i="2"/>
  <c r="N15" i="2"/>
  <c r="O26" i="4"/>
  <c r="G15" i="4"/>
  <c r="O34" i="1"/>
  <c r="K76" i="1"/>
  <c r="O106" i="1"/>
  <c r="AE106" i="1"/>
  <c r="AB15" i="2"/>
  <c r="K15" i="2"/>
  <c r="T15" i="2"/>
  <c r="O18" i="2"/>
  <c r="I21" i="2"/>
  <c r="M21" i="2"/>
  <c r="W29" i="2"/>
  <c r="U43" i="2"/>
  <c r="T33" i="2"/>
  <c r="R57" i="2"/>
  <c r="P54" i="2"/>
  <c r="N15" i="1"/>
  <c r="G15" i="1"/>
  <c r="W15" i="1"/>
  <c r="M16" i="1"/>
  <c r="K33" i="1"/>
  <c r="Q34" i="1"/>
  <c r="U34" i="1" s="1"/>
  <c r="M36" i="1"/>
  <c r="Y54" i="1"/>
  <c r="M56" i="1"/>
  <c r="I70" i="1"/>
  <c r="E76" i="1"/>
  <c r="O98" i="1"/>
  <c r="D17" i="2"/>
  <c r="F15" i="2"/>
  <c r="E15" i="2"/>
  <c r="D19" i="2"/>
  <c r="AD19" i="2"/>
  <c r="O22" i="2"/>
  <c r="Y25" i="2"/>
  <c r="U25" i="2"/>
  <c r="Y27" i="2"/>
  <c r="U27" i="2"/>
  <c r="AA27" i="2"/>
  <c r="W32" i="2"/>
  <c r="U32" i="2"/>
  <c r="AA32" i="2"/>
  <c r="M34" i="2"/>
  <c r="H33" i="2"/>
  <c r="D35" i="2"/>
  <c r="M55" i="2"/>
  <c r="W55" i="2"/>
  <c r="V54" i="2"/>
  <c r="AA57" i="2"/>
  <c r="D67" i="2"/>
  <c r="X91" i="4"/>
  <c r="X12" i="4" s="1"/>
  <c r="V93" i="4"/>
  <c r="O16" i="1"/>
  <c r="O20" i="1"/>
  <c r="O24" i="1"/>
  <c r="E15" i="1"/>
  <c r="Y33" i="1"/>
  <c r="G54" i="1"/>
  <c r="W54" i="1"/>
  <c r="I57" i="1"/>
  <c r="I77" i="1"/>
  <c r="H91" i="1"/>
  <c r="I18" i="5"/>
  <c r="K15" i="5"/>
  <c r="M18" i="5"/>
  <c r="X15" i="1"/>
  <c r="AH54" i="1"/>
  <c r="V76" i="1"/>
  <c r="T77" i="1"/>
  <c r="D92" i="1"/>
  <c r="E106" i="1"/>
  <c r="E13" i="1" s="1"/>
  <c r="G13" i="1"/>
  <c r="O13" i="1" s="1"/>
  <c r="AA106" i="1"/>
  <c r="L117" i="1"/>
  <c r="C117" i="1"/>
  <c r="J117" i="1" s="1"/>
  <c r="G15" i="2"/>
  <c r="AC15" i="2"/>
  <c r="R26" i="2"/>
  <c r="D31" i="2"/>
  <c r="E33" i="2"/>
  <c r="I49" i="2"/>
  <c r="AC76" i="2"/>
  <c r="Z76" i="2"/>
  <c r="O114" i="2"/>
  <c r="C114" i="2"/>
  <c r="J114" i="2" s="1"/>
  <c r="BA29" i="5"/>
  <c r="BA31" i="5"/>
  <c r="BC31" i="5" s="1"/>
  <c r="AP31" i="5"/>
  <c r="AN15" i="5"/>
  <c r="Y17" i="2"/>
  <c r="U17" i="2"/>
  <c r="Y19" i="2"/>
  <c r="U19" i="2"/>
  <c r="AA19" i="2"/>
  <c r="G91" i="2"/>
  <c r="O95" i="2"/>
  <c r="I58" i="3"/>
  <c r="M58" i="3"/>
  <c r="AJ18" i="4"/>
  <c r="AH15" i="4"/>
  <c r="H106" i="1"/>
  <c r="I107" i="1"/>
  <c r="K13" i="1"/>
  <c r="Q15" i="2"/>
  <c r="Y29" i="2"/>
  <c r="U29" i="2"/>
  <c r="AB33" i="2"/>
  <c r="I34" i="2"/>
  <c r="N33" i="2"/>
  <c r="AA99" i="2"/>
  <c r="Y99" i="2"/>
  <c r="W99" i="2"/>
  <c r="U99" i="2"/>
  <c r="C101" i="2"/>
  <c r="J101" i="2" s="1"/>
  <c r="L101" i="2"/>
  <c r="M107" i="2"/>
  <c r="M106" i="2" s="1"/>
  <c r="I107" i="2"/>
  <c r="K106" i="2"/>
  <c r="K13" i="2" s="1"/>
  <c r="H15" i="3"/>
  <c r="M16" i="3"/>
  <c r="E54" i="3"/>
  <c r="D56" i="3"/>
  <c r="I74" i="3"/>
  <c r="U92" i="3"/>
  <c r="S91" i="3"/>
  <c r="K15" i="1"/>
  <c r="E54" i="1"/>
  <c r="AJ94" i="1"/>
  <c r="AH91" i="1"/>
  <c r="AJ91" i="1" s="1"/>
  <c r="AJ108" i="1"/>
  <c r="AH106" i="1"/>
  <c r="AJ106" i="1" s="1"/>
  <c r="I114" i="1"/>
  <c r="M16" i="2"/>
  <c r="H15" i="2"/>
  <c r="I17" i="2"/>
  <c r="M17" i="2"/>
  <c r="I19" i="2"/>
  <c r="Y21" i="2"/>
  <c r="U21" i="2"/>
  <c r="Y23" i="2"/>
  <c r="U23" i="2"/>
  <c r="AA23" i="2"/>
  <c r="Y32" i="2"/>
  <c r="N54" i="2"/>
  <c r="AC54" i="2"/>
  <c r="AD55" i="2"/>
  <c r="Z54" i="2"/>
  <c r="O72" i="2"/>
  <c r="V76" i="2"/>
  <c r="N54" i="3"/>
  <c r="P17" i="1"/>
  <c r="X33" i="1"/>
  <c r="AJ35" i="1"/>
  <c r="V54" i="1"/>
  <c r="R56" i="1"/>
  <c r="AH76" i="1"/>
  <c r="D109" i="1"/>
  <c r="I16" i="2"/>
  <c r="W17" i="2"/>
  <c r="W19" i="2"/>
  <c r="R22" i="2"/>
  <c r="M28" i="2"/>
  <c r="I31" i="2"/>
  <c r="Q33" i="2"/>
  <c r="D41" i="2"/>
  <c r="D49" i="2"/>
  <c r="Q54" i="2"/>
  <c r="N76" i="2"/>
  <c r="I34" i="3"/>
  <c r="K33" i="3"/>
  <c r="M34" i="3"/>
  <c r="C77" i="3"/>
  <c r="J77" i="3" s="1"/>
  <c r="L77" i="3"/>
  <c r="I40" i="5"/>
  <c r="M40" i="5"/>
  <c r="AK44" i="5"/>
  <c r="AM44" i="5"/>
  <c r="E54" i="6"/>
  <c r="D56" i="6"/>
  <c r="V54" i="6"/>
  <c r="X54" i="6" s="1"/>
  <c r="X59" i="6"/>
  <c r="I92" i="1"/>
  <c r="Z91" i="1"/>
  <c r="U13" i="2"/>
  <c r="W13" i="2"/>
  <c r="P33" i="2"/>
  <c r="N91" i="2"/>
  <c r="N12" i="2" s="1"/>
  <c r="D98" i="3"/>
  <c r="F91" i="3"/>
  <c r="F12" i="3" s="1"/>
  <c r="V113" i="4"/>
  <c r="X106" i="4"/>
  <c r="X13" i="4" s="1"/>
  <c r="AF54" i="5"/>
  <c r="AG55" i="5"/>
  <c r="AR54" i="5"/>
  <c r="AT55" i="5"/>
  <c r="AM56" i="5"/>
  <c r="AK56" i="5"/>
  <c r="X15" i="2"/>
  <c r="O32" i="2"/>
  <c r="O53" i="2"/>
  <c r="O58" i="2"/>
  <c r="I61" i="2"/>
  <c r="AA65" i="2"/>
  <c r="O69" i="2"/>
  <c r="I77" i="2"/>
  <c r="E91" i="2"/>
  <c r="E12" i="2" s="1"/>
  <c r="S91" i="2"/>
  <c r="Y92" i="2"/>
  <c r="W92" i="2"/>
  <c r="U92" i="2"/>
  <c r="I95" i="2"/>
  <c r="I113" i="2"/>
  <c r="P15" i="3"/>
  <c r="I26" i="3"/>
  <c r="M26" i="3"/>
  <c r="G33" i="3"/>
  <c r="O33" i="3" s="1"/>
  <c r="N76" i="3"/>
  <c r="M90" i="3"/>
  <c r="I90" i="3"/>
  <c r="X15" i="4"/>
  <c r="T22" i="4"/>
  <c r="R22" i="4"/>
  <c r="P15" i="4"/>
  <c r="D60" i="4"/>
  <c r="E54" i="4"/>
  <c r="AI76" i="4"/>
  <c r="S62" i="5"/>
  <c r="Q54" i="5"/>
  <c r="AT62" i="5"/>
  <c r="AS54" i="5"/>
  <c r="P15" i="2"/>
  <c r="Y16" i="2"/>
  <c r="Y24" i="2"/>
  <c r="M32" i="2"/>
  <c r="AA45" i="2"/>
  <c r="AA49" i="2"/>
  <c r="W58" i="2"/>
  <c r="I63" i="2"/>
  <c r="AA69" i="2"/>
  <c r="I79" i="2"/>
  <c r="I81" i="2"/>
  <c r="O87" i="2"/>
  <c r="F91" i="2"/>
  <c r="F12" i="2" s="1"/>
  <c r="AA92" i="2"/>
  <c r="H91" i="2"/>
  <c r="M93" i="2"/>
  <c r="I94" i="2"/>
  <c r="I102" i="2"/>
  <c r="Y106" i="2"/>
  <c r="U106" i="2"/>
  <c r="I115" i="2"/>
  <c r="S15" i="3"/>
  <c r="F15" i="3"/>
  <c r="I25" i="3"/>
  <c r="U31" i="3"/>
  <c r="R35" i="3"/>
  <c r="P33" i="3"/>
  <c r="C61" i="3"/>
  <c r="J61" i="3" s="1"/>
  <c r="L61" i="3"/>
  <c r="R95" i="3"/>
  <c r="P91" i="3"/>
  <c r="V19" i="4"/>
  <c r="I45" i="4"/>
  <c r="K33" i="4"/>
  <c r="O62" i="5"/>
  <c r="G54" i="5"/>
  <c r="O54" i="5" s="1"/>
  <c r="AX62" i="5"/>
  <c r="AU54" i="5"/>
  <c r="I16" i="6"/>
  <c r="N15" i="6"/>
  <c r="I53" i="2"/>
  <c r="I69" i="2"/>
  <c r="I71" i="2"/>
  <c r="D77" i="2"/>
  <c r="E76" i="2"/>
  <c r="W78" i="2"/>
  <c r="W80" i="2"/>
  <c r="I85" i="2"/>
  <c r="AB91" i="2"/>
  <c r="AD95" i="2"/>
  <c r="F106" i="2"/>
  <c r="F13" i="2" s="1"/>
  <c r="D16" i="3"/>
  <c r="E15" i="3"/>
  <c r="M22" i="3"/>
  <c r="I22" i="3"/>
  <c r="M55" i="3"/>
  <c r="H54" i="3"/>
  <c r="D82" i="3"/>
  <c r="E76" i="3"/>
  <c r="AJ57" i="4"/>
  <c r="AH54" i="4"/>
  <c r="G54" i="4"/>
  <c r="O67" i="4"/>
  <c r="I79" i="5"/>
  <c r="N76" i="5"/>
  <c r="C118" i="5"/>
  <c r="J118" i="5" s="1"/>
  <c r="L118" i="5"/>
  <c r="U20" i="2"/>
  <c r="U28" i="2"/>
  <c r="I55" i="2"/>
  <c r="O57" i="2"/>
  <c r="D63" i="2"/>
  <c r="I73" i="2"/>
  <c r="D79" i="2"/>
  <c r="D81" i="2"/>
  <c r="I87" i="2"/>
  <c r="I89" i="2"/>
  <c r="K91" i="2"/>
  <c r="D94" i="2"/>
  <c r="D95" i="2"/>
  <c r="D102" i="2"/>
  <c r="V106" i="2"/>
  <c r="V13" i="2" s="1"/>
  <c r="V11" i="2" s="1"/>
  <c r="D113" i="2"/>
  <c r="Q15" i="3"/>
  <c r="D25" i="3"/>
  <c r="O34" i="3"/>
  <c r="I55" i="3"/>
  <c r="K54" i="3"/>
  <c r="U84" i="3"/>
  <c r="S76" i="3"/>
  <c r="AI54" i="4"/>
  <c r="AJ55" i="4"/>
  <c r="D83" i="2"/>
  <c r="R93" i="2"/>
  <c r="P91" i="2"/>
  <c r="W94" i="2"/>
  <c r="U94" i="2"/>
  <c r="Y98" i="2"/>
  <c r="W98" i="2"/>
  <c r="U98" i="2"/>
  <c r="W102" i="2"/>
  <c r="U102" i="2"/>
  <c r="D115" i="2"/>
  <c r="D41" i="3"/>
  <c r="M74" i="3"/>
  <c r="D110" i="3"/>
  <c r="F106" i="3"/>
  <c r="F13" i="3" s="1"/>
  <c r="H15" i="4"/>
  <c r="M16" i="4"/>
  <c r="I55" i="4"/>
  <c r="K54" i="4"/>
  <c r="M55" i="4"/>
  <c r="Z23" i="5"/>
  <c r="X15" i="5"/>
  <c r="AA18" i="2"/>
  <c r="AA22" i="2"/>
  <c r="AA26" i="2"/>
  <c r="AA30" i="2"/>
  <c r="W34" i="2"/>
  <c r="S33" i="2"/>
  <c r="U34" i="2"/>
  <c r="I35" i="2"/>
  <c r="AA35" i="2"/>
  <c r="W36" i="2"/>
  <c r="U36" i="2"/>
  <c r="I37" i="2"/>
  <c r="AA37" i="2"/>
  <c r="W38" i="2"/>
  <c r="U38" i="2"/>
  <c r="I39" i="2"/>
  <c r="AA39" i="2"/>
  <c r="W40" i="2"/>
  <c r="U40" i="2"/>
  <c r="I41" i="2"/>
  <c r="AA41" i="2"/>
  <c r="O45" i="2"/>
  <c r="O49" i="2"/>
  <c r="E54" i="2"/>
  <c r="D89" i="2"/>
  <c r="AA94" i="2"/>
  <c r="AA102" i="2"/>
  <c r="N106" i="2"/>
  <c r="N13" i="2" s="1"/>
  <c r="D119" i="2"/>
  <c r="N15" i="3"/>
  <c r="D22" i="3"/>
  <c r="M30" i="3"/>
  <c r="I30" i="3"/>
  <c r="F54" i="3"/>
  <c r="O60" i="3"/>
  <c r="G54" i="3"/>
  <c r="O54" i="3" s="1"/>
  <c r="S106" i="3"/>
  <c r="T30" i="4"/>
  <c r="R30" i="4"/>
  <c r="V61" i="4"/>
  <c r="W54" i="4"/>
  <c r="O36" i="5"/>
  <c r="M39" i="5"/>
  <c r="H33" i="5"/>
  <c r="BA39" i="5"/>
  <c r="BC39" i="5" s="1"/>
  <c r="AP39" i="5"/>
  <c r="D43" i="5"/>
  <c r="F33" i="5"/>
  <c r="O48" i="5"/>
  <c r="U55" i="3"/>
  <c r="D60" i="3"/>
  <c r="H76" i="3"/>
  <c r="G76" i="3"/>
  <c r="O76" i="3" s="1"/>
  <c r="I79" i="3"/>
  <c r="K76" i="3"/>
  <c r="E106" i="3"/>
  <c r="E13" i="3" s="1"/>
  <c r="D117" i="3"/>
  <c r="E15" i="4"/>
  <c r="D16" i="4"/>
  <c r="Y15" i="4"/>
  <c r="AG16" i="4"/>
  <c r="AA18" i="4"/>
  <c r="AC15" i="4"/>
  <c r="R23" i="4"/>
  <c r="T23" i="4"/>
  <c r="O29" i="4"/>
  <c r="H33" i="4"/>
  <c r="M34" i="4"/>
  <c r="C36" i="4"/>
  <c r="J36" i="4" s="1"/>
  <c r="AA38" i="4"/>
  <c r="AE38" i="4"/>
  <c r="L80" i="4"/>
  <c r="C80" i="4"/>
  <c r="J80" i="4" s="1"/>
  <c r="L82" i="4"/>
  <c r="C82" i="4"/>
  <c r="J82" i="4" s="1"/>
  <c r="T82" i="4"/>
  <c r="R82" i="4"/>
  <c r="D92" i="4"/>
  <c r="E91" i="4"/>
  <c r="E12" i="4" s="1"/>
  <c r="D105" i="4"/>
  <c r="M108" i="4"/>
  <c r="M106" i="4" s="1"/>
  <c r="H106" i="4"/>
  <c r="H13" i="4" s="1"/>
  <c r="D114" i="4"/>
  <c r="AZ22" i="5"/>
  <c r="AV15" i="5"/>
  <c r="K33" i="5"/>
  <c r="M34" i="5"/>
  <c r="AM50" i="5"/>
  <c r="AK50" i="5"/>
  <c r="D71" i="5"/>
  <c r="E54" i="5"/>
  <c r="BB71" i="5"/>
  <c r="AT71" i="5"/>
  <c r="U35" i="18"/>
  <c r="W33" i="18"/>
  <c r="D46" i="3"/>
  <c r="T54" i="3"/>
  <c r="I72" i="3"/>
  <c r="AF15" i="4"/>
  <c r="T26" i="4"/>
  <c r="R26" i="4"/>
  <c r="S15" i="4"/>
  <c r="Y33" i="4"/>
  <c r="AG33" i="4" s="1"/>
  <c r="AG34" i="4"/>
  <c r="T38" i="4"/>
  <c r="R38" i="4"/>
  <c r="T70" i="4"/>
  <c r="R70" i="4"/>
  <c r="G76" i="4"/>
  <c r="O77" i="4"/>
  <c r="V117" i="4"/>
  <c r="W15" i="5"/>
  <c r="AE15" i="5"/>
  <c r="AG16" i="5"/>
  <c r="AQ54" i="5"/>
  <c r="N54" i="5"/>
  <c r="W54" i="5"/>
  <c r="AN89" i="7"/>
  <c r="AF76" i="7"/>
  <c r="AN76" i="7" s="1"/>
  <c r="Q33" i="3"/>
  <c r="M35" i="3"/>
  <c r="H33" i="3"/>
  <c r="T33" i="3"/>
  <c r="R40" i="3"/>
  <c r="S54" i="3"/>
  <c r="D78" i="3"/>
  <c r="Z15" i="4"/>
  <c r="W15" i="4"/>
  <c r="V17" i="4"/>
  <c r="D39" i="4"/>
  <c r="T46" i="4"/>
  <c r="R46" i="4"/>
  <c r="D83" i="4"/>
  <c r="K91" i="4"/>
  <c r="D97" i="4"/>
  <c r="H15" i="5"/>
  <c r="S25" i="5"/>
  <c r="AP35" i="5"/>
  <c r="BA35" i="5"/>
  <c r="BC35" i="5" s="1"/>
  <c r="AN33" i="5"/>
  <c r="AP38" i="5"/>
  <c r="X54" i="5"/>
  <c r="Z55" i="5"/>
  <c r="AO76" i="5"/>
  <c r="BB77" i="5"/>
  <c r="K106" i="6"/>
  <c r="K13" i="6" s="1"/>
  <c r="I116" i="6"/>
  <c r="AD47" i="4"/>
  <c r="U47" i="4"/>
  <c r="AB47" i="4" s="1"/>
  <c r="Q54" i="4"/>
  <c r="AG56" i="4"/>
  <c r="Y54" i="4"/>
  <c r="AG54" i="4" s="1"/>
  <c r="T62" i="4"/>
  <c r="R62" i="4"/>
  <c r="O81" i="4"/>
  <c r="AH15" i="5"/>
  <c r="U33" i="5"/>
  <c r="T34" i="5"/>
  <c r="AW33" i="5"/>
  <c r="BA37" i="5"/>
  <c r="BC37" i="5" s="1"/>
  <c r="AT37" i="5"/>
  <c r="N106" i="5"/>
  <c r="N13" i="5" s="1"/>
  <c r="U43" i="6"/>
  <c r="Q43" i="6"/>
  <c r="AO33" i="7"/>
  <c r="AQ34" i="7"/>
  <c r="D30" i="3"/>
  <c r="S33" i="3"/>
  <c r="U34" i="3"/>
  <c r="I41" i="3"/>
  <c r="R55" i="3"/>
  <c r="P54" i="3"/>
  <c r="O77" i="3"/>
  <c r="H91" i="3"/>
  <c r="I107" i="3"/>
  <c r="AC54" i="4"/>
  <c r="AF54" i="4"/>
  <c r="AA94" i="4"/>
  <c r="AE94" i="4"/>
  <c r="AC91" i="4"/>
  <c r="AG96" i="4"/>
  <c r="S17" i="5"/>
  <c r="Q15" i="5"/>
  <c r="D21" i="5"/>
  <c r="O32" i="5"/>
  <c r="C32" i="5"/>
  <c r="BB34" i="5"/>
  <c r="AO33" i="5"/>
  <c r="S47" i="5"/>
  <c r="R33" i="5"/>
  <c r="S49" i="5"/>
  <c r="I100" i="5"/>
  <c r="N91" i="5"/>
  <c r="N12" i="5" s="1"/>
  <c r="X87" i="6"/>
  <c r="V76" i="6"/>
  <c r="X76" i="6" s="1"/>
  <c r="U88" i="6"/>
  <c r="P88" i="6"/>
  <c r="R88" i="6" s="1"/>
  <c r="Q90" i="6"/>
  <c r="U90" i="6"/>
  <c r="D34" i="7"/>
  <c r="E33" i="7"/>
  <c r="I38" i="3"/>
  <c r="D49" i="3"/>
  <c r="D57" i="3"/>
  <c r="P76" i="3"/>
  <c r="R77" i="3"/>
  <c r="D81" i="3"/>
  <c r="D90" i="3"/>
  <c r="D105" i="3"/>
  <c r="K106" i="3"/>
  <c r="K13" i="3" s="1"/>
  <c r="D112" i="3"/>
  <c r="AE18" i="4"/>
  <c r="AA19" i="4"/>
  <c r="O34" i="4"/>
  <c r="G33" i="4"/>
  <c r="O33" i="4" s="1"/>
  <c r="F91" i="4"/>
  <c r="F12" i="4" s="1"/>
  <c r="F106" i="4"/>
  <c r="F13" i="4" s="1"/>
  <c r="R15" i="5"/>
  <c r="AB15" i="5"/>
  <c r="I26" i="5"/>
  <c r="M26" i="5"/>
  <c r="AP30" i="5"/>
  <c r="BA30" i="5"/>
  <c r="BC30" i="5" s="1"/>
  <c r="BA41" i="5"/>
  <c r="BC41" i="5" s="1"/>
  <c r="AP41" i="5"/>
  <c r="BB60" i="5"/>
  <c r="AO54" i="5"/>
  <c r="AA42" i="2"/>
  <c r="AA44" i="2"/>
  <c r="AA46" i="2"/>
  <c r="AA48" i="2"/>
  <c r="AA50" i="2"/>
  <c r="AA52" i="2"/>
  <c r="O55" i="2"/>
  <c r="AA56" i="2"/>
  <c r="AA58" i="2"/>
  <c r="AA60" i="2"/>
  <c r="AA62" i="2"/>
  <c r="AA64" i="2"/>
  <c r="AA66" i="2"/>
  <c r="AA68" i="2"/>
  <c r="AA70" i="2"/>
  <c r="AA72" i="2"/>
  <c r="AA74" i="2"/>
  <c r="O77" i="2"/>
  <c r="AA78" i="2"/>
  <c r="AA80" i="2"/>
  <c r="AA82" i="2"/>
  <c r="AA84" i="2"/>
  <c r="AA86" i="2"/>
  <c r="AA88" i="2"/>
  <c r="AA90" i="2"/>
  <c r="Q76" i="3"/>
  <c r="U88" i="3"/>
  <c r="G91" i="3"/>
  <c r="V22" i="4"/>
  <c r="V26" i="4"/>
  <c r="D43" i="4"/>
  <c r="F54" i="4"/>
  <c r="AA55" i="4"/>
  <c r="Z54" i="4"/>
  <c r="D59" i="4"/>
  <c r="T74" i="4"/>
  <c r="R74" i="4"/>
  <c r="AF76" i="4"/>
  <c r="V97" i="4"/>
  <c r="V99" i="4"/>
  <c r="V101" i="4"/>
  <c r="V103" i="4"/>
  <c r="I115" i="4"/>
  <c r="E15" i="5"/>
  <c r="D16" i="5"/>
  <c r="T17" i="5"/>
  <c r="AM21" i="5"/>
  <c r="AM23" i="5"/>
  <c r="AK23" i="5"/>
  <c r="D24" i="5"/>
  <c r="T25" i="5"/>
  <c r="Z30" i="5"/>
  <c r="BB30" i="5"/>
  <c r="AY33" i="5"/>
  <c r="AP43" i="5"/>
  <c r="BA43" i="5"/>
  <c r="BC43" i="5" s="1"/>
  <c r="BB46" i="5"/>
  <c r="T49" i="5"/>
  <c r="AD50" i="5"/>
  <c r="P54" i="5"/>
  <c r="BB56" i="5"/>
  <c r="AT56" i="5"/>
  <c r="D57" i="5"/>
  <c r="S57" i="5"/>
  <c r="AT69" i="5"/>
  <c r="BA69" i="5"/>
  <c r="BC69" i="5" s="1"/>
  <c r="X76" i="5"/>
  <c r="Z78" i="5"/>
  <c r="Y76" i="5"/>
  <c r="AJ76" i="5"/>
  <c r="AK79" i="5"/>
  <c r="S100" i="5"/>
  <c r="Q91" i="5"/>
  <c r="D16" i="6"/>
  <c r="T33" i="6"/>
  <c r="Q34" i="6"/>
  <c r="M84" i="6"/>
  <c r="H76" i="6"/>
  <c r="P93" i="6"/>
  <c r="R93" i="6" s="1"/>
  <c r="X93" i="6"/>
  <c r="C30" i="7"/>
  <c r="J30" i="7" s="1"/>
  <c r="L30" i="7"/>
  <c r="AH63" i="7"/>
  <c r="R77" i="7"/>
  <c r="P76" i="7"/>
  <c r="I31" i="4"/>
  <c r="T42" i="4"/>
  <c r="R42" i="4"/>
  <c r="AA42" i="4"/>
  <c r="S54" i="4"/>
  <c r="T58" i="4"/>
  <c r="R58" i="4"/>
  <c r="AA58" i="4"/>
  <c r="V77" i="4"/>
  <c r="W76" i="4"/>
  <c r="T86" i="4"/>
  <c r="R86" i="4"/>
  <c r="AA86" i="4"/>
  <c r="AG106" i="4"/>
  <c r="AA113" i="4"/>
  <c r="I117" i="4"/>
  <c r="F15" i="5"/>
  <c r="I19" i="5"/>
  <c r="M23" i="5"/>
  <c r="I27" i="5"/>
  <c r="AQ33" i="5"/>
  <c r="W33" i="5"/>
  <c r="M44" i="5"/>
  <c r="AM45" i="5"/>
  <c r="AP51" i="5"/>
  <c r="BA51" i="5"/>
  <c r="BC51" i="5" s="1"/>
  <c r="AM66" i="5"/>
  <c r="AK66" i="5"/>
  <c r="BA73" i="5"/>
  <c r="BC73" i="5" s="1"/>
  <c r="P76" i="5"/>
  <c r="D78" i="5"/>
  <c r="F76" i="5"/>
  <c r="AL76" i="5"/>
  <c r="AM79" i="5"/>
  <c r="AR91" i="5"/>
  <c r="M95" i="5"/>
  <c r="D107" i="5"/>
  <c r="E106" i="5"/>
  <c r="E13" i="5" s="1"/>
  <c r="L113" i="5"/>
  <c r="C113" i="5"/>
  <c r="J113" i="5" s="1"/>
  <c r="U32" i="6"/>
  <c r="Q32" i="6"/>
  <c r="Q85" i="6"/>
  <c r="U85" i="6"/>
  <c r="X102" i="6"/>
  <c r="P102" i="6"/>
  <c r="R102" i="6" s="1"/>
  <c r="E106" i="6"/>
  <c r="E13" i="6" s="1"/>
  <c r="D110" i="6"/>
  <c r="M16" i="7"/>
  <c r="H15" i="7"/>
  <c r="T15" i="7"/>
  <c r="M79" i="7"/>
  <c r="H76" i="7"/>
  <c r="AL81" i="8"/>
  <c r="AR81" i="8"/>
  <c r="AO81" i="8"/>
  <c r="Y31" i="2"/>
  <c r="Y35" i="2"/>
  <c r="Y37" i="2"/>
  <c r="Y39" i="2"/>
  <c r="Y41" i="2"/>
  <c r="U42" i="2"/>
  <c r="Y43" i="2"/>
  <c r="U44" i="2"/>
  <c r="Y45" i="2"/>
  <c r="U46" i="2"/>
  <c r="Y47" i="2"/>
  <c r="U48" i="2"/>
  <c r="Y49" i="2"/>
  <c r="U50" i="2"/>
  <c r="Y51" i="2"/>
  <c r="U52" i="2"/>
  <c r="Y53" i="2"/>
  <c r="Y55" i="2"/>
  <c r="U56" i="2"/>
  <c r="Y57" i="2"/>
  <c r="U58" i="2"/>
  <c r="Y59" i="2"/>
  <c r="U60" i="2"/>
  <c r="Y61" i="2"/>
  <c r="U62" i="2"/>
  <c r="Y63" i="2"/>
  <c r="U64" i="2"/>
  <c r="Y65" i="2"/>
  <c r="U66" i="2"/>
  <c r="Y67" i="2"/>
  <c r="U68" i="2"/>
  <c r="Y69" i="2"/>
  <c r="U70" i="2"/>
  <c r="Y71" i="2"/>
  <c r="U72" i="2"/>
  <c r="Y73" i="2"/>
  <c r="U74" i="2"/>
  <c r="Y75" i="2"/>
  <c r="Y77" i="2"/>
  <c r="U78" i="2"/>
  <c r="Y79" i="2"/>
  <c r="U80" i="2"/>
  <c r="Y81" i="2"/>
  <c r="U82" i="2"/>
  <c r="Y83" i="2"/>
  <c r="U84" i="2"/>
  <c r="Y85" i="2"/>
  <c r="U86" i="2"/>
  <c r="Y87" i="2"/>
  <c r="U88" i="2"/>
  <c r="Y89" i="2"/>
  <c r="U90" i="2"/>
  <c r="U96" i="2"/>
  <c r="W97" i="2"/>
  <c r="U104" i="2"/>
  <c r="W105" i="2"/>
  <c r="G15" i="3"/>
  <c r="I60" i="3"/>
  <c r="D67" i="3"/>
  <c r="M107" i="3"/>
  <c r="M106" i="3" s="1"/>
  <c r="H106" i="3"/>
  <c r="H13" i="3" s="1"/>
  <c r="D114" i="3"/>
  <c r="V30" i="4"/>
  <c r="AE32" i="4"/>
  <c r="AH33" i="4"/>
  <c r="X33" i="4"/>
  <c r="I39" i="4"/>
  <c r="D47" i="4"/>
  <c r="AE58" i="4"/>
  <c r="D63" i="4"/>
  <c r="I71" i="4"/>
  <c r="E76" i="4"/>
  <c r="X76" i="4"/>
  <c r="AJ77" i="4"/>
  <c r="AH76" i="4"/>
  <c r="N76" i="4"/>
  <c r="I83" i="4"/>
  <c r="T90" i="4"/>
  <c r="R90" i="4"/>
  <c r="AA90" i="4"/>
  <c r="I92" i="4"/>
  <c r="AA93" i="4"/>
  <c r="I95" i="4"/>
  <c r="D96" i="4"/>
  <c r="I97" i="4"/>
  <c r="D98" i="4"/>
  <c r="I99" i="4"/>
  <c r="D100" i="4"/>
  <c r="I101" i="4"/>
  <c r="D102" i="4"/>
  <c r="I103" i="4"/>
  <c r="D104" i="4"/>
  <c r="I105" i="4"/>
  <c r="AA115" i="4"/>
  <c r="V116" i="4"/>
  <c r="AR15" i="5"/>
  <c r="G15" i="5"/>
  <c r="AZ18" i="5"/>
  <c r="AP19" i="5"/>
  <c r="BA19" i="5"/>
  <c r="BC19" i="5" s="1"/>
  <c r="I21" i="5"/>
  <c r="Z22" i="5"/>
  <c r="BB22" i="5"/>
  <c r="BA22" i="5"/>
  <c r="AP27" i="5"/>
  <c r="BA27" i="5"/>
  <c r="BC27" i="5" s="1"/>
  <c r="AL33" i="5"/>
  <c r="E33" i="5"/>
  <c r="D34" i="5"/>
  <c r="Y33" i="5"/>
  <c r="Z34" i="5"/>
  <c r="AM34" i="5"/>
  <c r="AI33" i="5"/>
  <c r="AR33" i="5"/>
  <c r="I37" i="5"/>
  <c r="BB42" i="5"/>
  <c r="AP42" i="5"/>
  <c r="AG43" i="5"/>
  <c r="AT45" i="5"/>
  <c r="AP47" i="5"/>
  <c r="M48" i="5"/>
  <c r="AP49" i="5"/>
  <c r="I50" i="5"/>
  <c r="M52" i="5"/>
  <c r="AM53" i="5"/>
  <c r="R54" i="5"/>
  <c r="S55" i="5"/>
  <c r="AA54" i="5"/>
  <c r="AL54" i="5"/>
  <c r="T57" i="5"/>
  <c r="AK58" i="5"/>
  <c r="AP59" i="5"/>
  <c r="BA59" i="5"/>
  <c r="M64" i="5"/>
  <c r="AM77" i="5"/>
  <c r="AK77" i="5"/>
  <c r="AV76" i="5"/>
  <c r="AZ78" i="5"/>
  <c r="AP85" i="5"/>
  <c r="BA85" i="5"/>
  <c r="BC85" i="5" s="1"/>
  <c r="AK90" i="5"/>
  <c r="I95" i="5"/>
  <c r="I21" i="6"/>
  <c r="M21" i="6"/>
  <c r="M31" i="6"/>
  <c r="I31" i="6"/>
  <c r="M69" i="6"/>
  <c r="I69" i="6"/>
  <c r="U74" i="6"/>
  <c r="P74" i="6"/>
  <c r="R74" i="6" s="1"/>
  <c r="P78" i="6"/>
  <c r="R78" i="6" s="1"/>
  <c r="U78" i="6"/>
  <c r="F15" i="7"/>
  <c r="Y54" i="7"/>
  <c r="AA63" i="7"/>
  <c r="AH78" i="7"/>
  <c r="AJ76" i="7"/>
  <c r="S106" i="4"/>
  <c r="S13" i="4" s="1"/>
  <c r="S11" i="4" s="1"/>
  <c r="AA108" i="4"/>
  <c r="AC106" i="4"/>
  <c r="AC13" i="4" s="1"/>
  <c r="AS15" i="5"/>
  <c r="BB16" i="5"/>
  <c r="AW15" i="5"/>
  <c r="BA18" i="5"/>
  <c r="M20" i="5"/>
  <c r="BA23" i="5"/>
  <c r="BC23" i="5" s="1"/>
  <c r="BA26" i="5"/>
  <c r="BC26" i="5" s="1"/>
  <c r="M28" i="5"/>
  <c r="Q33" i="5"/>
  <c r="AA33" i="5"/>
  <c r="AJ33" i="5"/>
  <c r="AS33" i="5"/>
  <c r="BB50" i="5"/>
  <c r="AP50" i="5"/>
  <c r="M55" i="5"/>
  <c r="H54" i="5"/>
  <c r="AB54" i="5"/>
  <c r="AD55" i="5"/>
  <c r="BA55" i="5"/>
  <c r="AN54" i="5"/>
  <c r="BB62" i="5"/>
  <c r="G76" i="5"/>
  <c r="O76" i="5" s="1"/>
  <c r="O77" i="5"/>
  <c r="AM89" i="5"/>
  <c r="AK89" i="5"/>
  <c r="M94" i="5"/>
  <c r="H91" i="5"/>
  <c r="O113" i="5"/>
  <c r="O106" i="5" s="1"/>
  <c r="G106" i="5"/>
  <c r="G13" i="5" s="1"/>
  <c r="O13" i="5" s="1"/>
  <c r="P24" i="6"/>
  <c r="R24" i="6" s="1"/>
  <c r="X24" i="6"/>
  <c r="P62" i="6"/>
  <c r="X62" i="6"/>
  <c r="X68" i="6"/>
  <c r="P68" i="6"/>
  <c r="R68" i="6" s="1"/>
  <c r="N76" i="6"/>
  <c r="C38" i="7"/>
  <c r="L38" i="7"/>
  <c r="N54" i="7"/>
  <c r="AH71" i="7"/>
  <c r="AL71" i="7"/>
  <c r="Y96" i="2"/>
  <c r="Y104" i="2"/>
  <c r="K91" i="3"/>
  <c r="T13" i="4"/>
  <c r="V21" i="4"/>
  <c r="AA22" i="4"/>
  <c r="U24" i="4"/>
  <c r="AB24" i="4" s="1"/>
  <c r="AA26" i="4"/>
  <c r="W33" i="4"/>
  <c r="D34" i="4"/>
  <c r="E33" i="4"/>
  <c r="D35" i="4"/>
  <c r="I43" i="4"/>
  <c r="D51" i="4"/>
  <c r="P54" i="4"/>
  <c r="I59" i="4"/>
  <c r="D67" i="4"/>
  <c r="V74" i="4"/>
  <c r="K76" i="4"/>
  <c r="Z76" i="4"/>
  <c r="D79" i="4"/>
  <c r="I87" i="4"/>
  <c r="AA95" i="4"/>
  <c r="AA97" i="4"/>
  <c r="V98" i="4"/>
  <c r="AA99" i="4"/>
  <c r="V100" i="4"/>
  <c r="AA101" i="4"/>
  <c r="V102" i="4"/>
  <c r="AA103" i="4"/>
  <c r="V104" i="4"/>
  <c r="I107" i="4"/>
  <c r="Y106" i="4"/>
  <c r="Y13" i="4" s="1"/>
  <c r="AG13" i="4" s="1"/>
  <c r="D110" i="4"/>
  <c r="AM13" i="5"/>
  <c r="I16" i="5"/>
  <c r="U15" i="5"/>
  <c r="T16" i="5"/>
  <c r="AC15" i="5"/>
  <c r="AL15" i="5"/>
  <c r="Y15" i="5"/>
  <c r="AP17" i="5"/>
  <c r="I24" i="5"/>
  <c r="T24" i="5"/>
  <c r="AB33" i="5"/>
  <c r="D41" i="5"/>
  <c r="S41" i="5"/>
  <c r="I45" i="5"/>
  <c r="AC54" i="5"/>
  <c r="AW54" i="5"/>
  <c r="AP57" i="5"/>
  <c r="AM60" i="5"/>
  <c r="AT61" i="5"/>
  <c r="D65" i="5"/>
  <c r="AP72" i="5"/>
  <c r="AM75" i="5"/>
  <c r="AK75" i="5"/>
  <c r="AW76" i="5"/>
  <c r="M82" i="5"/>
  <c r="AD92" i="5"/>
  <c r="AB91" i="5"/>
  <c r="I94" i="5"/>
  <c r="K91" i="5"/>
  <c r="P23" i="6"/>
  <c r="R23" i="6" s="1"/>
  <c r="U23" i="6"/>
  <c r="X30" i="6"/>
  <c r="P30" i="6"/>
  <c r="R30" i="6" s="1"/>
  <c r="P42" i="6"/>
  <c r="R42" i="6" s="1"/>
  <c r="U42" i="6"/>
  <c r="Q45" i="6"/>
  <c r="U45" i="6"/>
  <c r="P48" i="6"/>
  <c r="R48" i="6" s="1"/>
  <c r="U48" i="6"/>
  <c r="I67" i="6"/>
  <c r="M67" i="6"/>
  <c r="F91" i="6"/>
  <c r="F12" i="6" s="1"/>
  <c r="P104" i="6"/>
  <c r="R104" i="6" s="1"/>
  <c r="U104" i="6"/>
  <c r="R19" i="7"/>
  <c r="P15" i="7"/>
  <c r="D31" i="4"/>
  <c r="F33" i="4"/>
  <c r="T34" i="4"/>
  <c r="R34" i="4"/>
  <c r="P33" i="4"/>
  <c r="AA34" i="4"/>
  <c r="AC33" i="4"/>
  <c r="V42" i="4"/>
  <c r="T50" i="4"/>
  <c r="R50" i="4"/>
  <c r="AA50" i="4"/>
  <c r="N54" i="4"/>
  <c r="V58" i="4"/>
  <c r="T66" i="4"/>
  <c r="R66" i="4"/>
  <c r="AA66" i="4"/>
  <c r="P76" i="4"/>
  <c r="T78" i="4"/>
  <c r="R78" i="4"/>
  <c r="AA78" i="4"/>
  <c r="F76" i="4"/>
  <c r="V86" i="4"/>
  <c r="AE88" i="4"/>
  <c r="I93" i="4"/>
  <c r="AF91" i="4"/>
  <c r="AF12" i="4" s="1"/>
  <c r="I94" i="4"/>
  <c r="AE95" i="4"/>
  <c r="AA105" i="4"/>
  <c r="Z106" i="4"/>
  <c r="Z13" i="4" s="1"/>
  <c r="AE107" i="4"/>
  <c r="AE106" i="4" s="1"/>
  <c r="D112" i="4"/>
  <c r="AI15" i="5"/>
  <c r="V15" i="5"/>
  <c r="AX16" i="5"/>
  <c r="AU15" i="5"/>
  <c r="D17" i="5"/>
  <c r="AD18" i="5"/>
  <c r="AK18" i="5"/>
  <c r="AP23" i="5"/>
  <c r="D25" i="5"/>
  <c r="AK26" i="5"/>
  <c r="X33" i="5"/>
  <c r="S34" i="5"/>
  <c r="AC33" i="5"/>
  <c r="I53" i="5"/>
  <c r="K54" i="5"/>
  <c r="AP55" i="5"/>
  <c r="AY54" i="5"/>
  <c r="V54" i="5"/>
  <c r="BB58" i="5"/>
  <c r="AP58" i="5"/>
  <c r="T65" i="5"/>
  <c r="BA65" i="5"/>
  <c r="AP65" i="5"/>
  <c r="H76" i="5"/>
  <c r="AR76" i="5"/>
  <c r="AN76" i="5"/>
  <c r="AP78" i="5"/>
  <c r="E15" i="6"/>
  <c r="AF15" i="7"/>
  <c r="AN18" i="7"/>
  <c r="P33" i="7"/>
  <c r="R34" i="7"/>
  <c r="T27" i="4"/>
  <c r="T31" i="4"/>
  <c r="T35" i="4"/>
  <c r="T39" i="4"/>
  <c r="T43" i="4"/>
  <c r="T47" i="4"/>
  <c r="T51" i="4"/>
  <c r="T55" i="4"/>
  <c r="T59" i="4"/>
  <c r="T63" i="4"/>
  <c r="T67" i="4"/>
  <c r="T71" i="4"/>
  <c r="T75" i="4"/>
  <c r="T79" i="4"/>
  <c r="T83" i="4"/>
  <c r="T87" i="4"/>
  <c r="G33" i="5"/>
  <c r="O33" i="5" s="1"/>
  <c r="AE33" i="5"/>
  <c r="AU33" i="5"/>
  <c r="I55" i="5"/>
  <c r="BA67" i="5"/>
  <c r="BC67" i="5" s="1"/>
  <c r="I74" i="5"/>
  <c r="J74" i="5" s="1"/>
  <c r="S80" i="5"/>
  <c r="BA82" i="5"/>
  <c r="BA87" i="5"/>
  <c r="BC87" i="5" s="1"/>
  <c r="D90" i="5"/>
  <c r="AU91" i="5"/>
  <c r="AM106" i="5"/>
  <c r="AK106" i="5"/>
  <c r="D108" i="5"/>
  <c r="D115" i="5"/>
  <c r="S15" i="6"/>
  <c r="U20" i="6"/>
  <c r="D22" i="6"/>
  <c r="L24" i="6"/>
  <c r="P29" i="6"/>
  <c r="R29" i="6" s="1"/>
  <c r="V33" i="6"/>
  <c r="X33" i="6" s="1"/>
  <c r="O36" i="6"/>
  <c r="H54" i="6"/>
  <c r="F54" i="6"/>
  <c r="U62" i="6"/>
  <c r="Q62" i="6"/>
  <c r="I77" i="6"/>
  <c r="K76" i="6"/>
  <c r="D102" i="6"/>
  <c r="F106" i="6"/>
  <c r="F13" i="6" s="1"/>
  <c r="D109" i="6"/>
  <c r="I115" i="6"/>
  <c r="I16" i="7"/>
  <c r="K15" i="7"/>
  <c r="M18" i="7"/>
  <c r="D22" i="7"/>
  <c r="AQ38" i="7"/>
  <c r="AG76" i="7"/>
  <c r="D82" i="7"/>
  <c r="AQ93" i="7"/>
  <c r="AO91" i="7"/>
  <c r="AQ91" i="7" s="1"/>
  <c r="AB109" i="7"/>
  <c r="AI109" i="7" s="1"/>
  <c r="AK109" i="7"/>
  <c r="O110" i="7"/>
  <c r="O17" i="8"/>
  <c r="G15" i="8"/>
  <c r="AZ53" i="8"/>
  <c r="BF53" i="8"/>
  <c r="BC53" i="8"/>
  <c r="F106" i="5"/>
  <c r="F13" i="5" s="1"/>
  <c r="G15" i="6"/>
  <c r="U16" i="6"/>
  <c r="Q16" i="6"/>
  <c r="M34" i="6"/>
  <c r="K33" i="6"/>
  <c r="U51" i="6"/>
  <c r="Q51" i="6"/>
  <c r="P61" i="6"/>
  <c r="R61" i="6" s="1"/>
  <c r="U61" i="6"/>
  <c r="G76" i="6"/>
  <c r="O76" i="6" s="1"/>
  <c r="U81" i="6"/>
  <c r="Q81" i="6"/>
  <c r="H106" i="6"/>
  <c r="H13" i="6" s="1"/>
  <c r="M107" i="6"/>
  <c r="C111" i="6"/>
  <c r="M25" i="7"/>
  <c r="I25" i="7"/>
  <c r="AB26" i="7"/>
  <c r="AK26" i="7"/>
  <c r="F33" i="7"/>
  <c r="AP33" i="7"/>
  <c r="L48" i="7"/>
  <c r="C48" i="7"/>
  <c r="J48" i="7" s="1"/>
  <c r="E54" i="7"/>
  <c r="D55" i="7"/>
  <c r="S54" i="7"/>
  <c r="U55" i="7"/>
  <c r="O93" i="7"/>
  <c r="BA80" i="5"/>
  <c r="BB81" i="5"/>
  <c r="G91" i="5"/>
  <c r="AM92" i="5"/>
  <c r="H15" i="6"/>
  <c r="P16" i="6"/>
  <c r="V15" i="6"/>
  <c r="U18" i="6"/>
  <c r="I20" i="6"/>
  <c r="K15" i="6"/>
  <c r="P31" i="6"/>
  <c r="R31" i="6" s="1"/>
  <c r="U31" i="6"/>
  <c r="X32" i="6"/>
  <c r="L34" i="6"/>
  <c r="U53" i="6"/>
  <c r="U70" i="6"/>
  <c r="Q70" i="6"/>
  <c r="E76" i="6"/>
  <c r="U83" i="6"/>
  <c r="AH16" i="7"/>
  <c r="AL16" i="7"/>
  <c r="AJ15" i="7"/>
  <c r="X20" i="7"/>
  <c r="AF33" i="7"/>
  <c r="AN33" i="7" s="1"/>
  <c r="L35" i="7"/>
  <c r="AP54" i="7"/>
  <c r="V76" i="7"/>
  <c r="G106" i="7"/>
  <c r="G13" i="7" s="1"/>
  <c r="O13" i="7" s="1"/>
  <c r="O107" i="7"/>
  <c r="M26" i="8"/>
  <c r="I26" i="8"/>
  <c r="AH28" i="8"/>
  <c r="AE15" i="8"/>
  <c r="AZ37" i="8"/>
  <c r="BF37" i="8"/>
  <c r="BC37" i="8"/>
  <c r="AW33" i="8"/>
  <c r="AG93" i="4"/>
  <c r="AK31" i="5"/>
  <c r="AD34" i="5"/>
  <c r="AT34" i="5"/>
  <c r="AK39" i="5"/>
  <c r="AK47" i="5"/>
  <c r="AK55" i="5"/>
  <c r="AK63" i="5"/>
  <c r="BB73" i="5"/>
  <c r="AX77" i="5"/>
  <c r="AU76" i="5"/>
  <c r="AX76" i="5" s="1"/>
  <c r="AP81" i="5"/>
  <c r="M89" i="5"/>
  <c r="I90" i="5"/>
  <c r="AI91" i="5"/>
  <c r="W91" i="5"/>
  <c r="W12" i="5" s="1"/>
  <c r="W11" i="5" s="1"/>
  <c r="AN91" i="5"/>
  <c r="AP92" i="5"/>
  <c r="T15" i="6"/>
  <c r="X16" i="6"/>
  <c r="P21" i="6"/>
  <c r="R21" i="6" s="1"/>
  <c r="N33" i="6"/>
  <c r="U35" i="6"/>
  <c r="Q35" i="6"/>
  <c r="M40" i="6"/>
  <c r="P49" i="6"/>
  <c r="R49" i="6" s="1"/>
  <c r="P50" i="6"/>
  <c r="R50" i="6" s="1"/>
  <c r="U50" i="6"/>
  <c r="X51" i="6"/>
  <c r="M59" i="6"/>
  <c r="U67" i="6"/>
  <c r="U72" i="6"/>
  <c r="P80" i="6"/>
  <c r="R80" i="6" s="1"/>
  <c r="U80" i="6"/>
  <c r="X81" i="6"/>
  <c r="P87" i="6"/>
  <c r="R87" i="6" s="1"/>
  <c r="H91" i="6"/>
  <c r="N91" i="6"/>
  <c r="N12" i="6" s="1"/>
  <c r="U106" i="6"/>
  <c r="G106" i="6"/>
  <c r="G13" i="6" s="1"/>
  <c r="O13" i="6" s="1"/>
  <c r="T11" i="7"/>
  <c r="E15" i="7"/>
  <c r="AL34" i="7"/>
  <c r="AG33" i="7"/>
  <c r="W33" i="7"/>
  <c r="X38" i="7"/>
  <c r="V33" i="7"/>
  <c r="AK44" i="7"/>
  <c r="AB44" i="7"/>
  <c r="O48" i="7"/>
  <c r="G33" i="7"/>
  <c r="O33" i="7" s="1"/>
  <c r="AA83" i="7"/>
  <c r="Y76" i="7"/>
  <c r="AG91" i="7"/>
  <c r="I92" i="7"/>
  <c r="K91" i="7"/>
  <c r="M28" i="8"/>
  <c r="I28" i="8"/>
  <c r="M29" i="8"/>
  <c r="AM33" i="8"/>
  <c r="AO37" i="8"/>
  <c r="I75" i="8"/>
  <c r="M75" i="8"/>
  <c r="M77" i="4"/>
  <c r="R94" i="4"/>
  <c r="AJ94" i="4"/>
  <c r="R95" i="4"/>
  <c r="R96" i="4"/>
  <c r="R97" i="4"/>
  <c r="R98" i="4"/>
  <c r="R99" i="4"/>
  <c r="R100" i="4"/>
  <c r="R101" i="4"/>
  <c r="R102" i="4"/>
  <c r="R103" i="4"/>
  <c r="R104" i="4"/>
  <c r="AI54" i="5"/>
  <c r="D75" i="5"/>
  <c r="AE76" i="5"/>
  <c r="AK84" i="5"/>
  <c r="BB87" i="5"/>
  <c r="M90" i="5"/>
  <c r="Z92" i="5"/>
  <c r="X91" i="5"/>
  <c r="D93" i="5"/>
  <c r="AM95" i="5"/>
  <c r="AK95" i="5"/>
  <c r="AK96" i="5"/>
  <c r="D97" i="5"/>
  <c r="I107" i="5"/>
  <c r="K13" i="5"/>
  <c r="I109" i="5"/>
  <c r="P20" i="6"/>
  <c r="R20" i="6" s="1"/>
  <c r="D21" i="6"/>
  <c r="M28" i="6"/>
  <c r="I29" i="6"/>
  <c r="E33" i="6"/>
  <c r="U37" i="6"/>
  <c r="M38" i="6"/>
  <c r="D49" i="6"/>
  <c r="T54" i="6"/>
  <c r="U56" i="6"/>
  <c r="N54" i="6"/>
  <c r="P69" i="6"/>
  <c r="R69" i="6" s="1"/>
  <c r="U69" i="6"/>
  <c r="X70" i="6"/>
  <c r="P75" i="6"/>
  <c r="R75" i="6" s="1"/>
  <c r="U77" i="6"/>
  <c r="S76" i="6"/>
  <c r="D79" i="6"/>
  <c r="I88" i="6"/>
  <c r="P97" i="6"/>
  <c r="R97" i="6" s="1"/>
  <c r="X106" i="6"/>
  <c r="V13" i="6"/>
  <c r="X13" i="6" s="1"/>
  <c r="I108" i="6"/>
  <c r="D18" i="7"/>
  <c r="AL32" i="7"/>
  <c r="AH32" i="7"/>
  <c r="Y33" i="7"/>
  <c r="I34" i="7"/>
  <c r="AE33" i="7"/>
  <c r="I37" i="7"/>
  <c r="K33" i="7"/>
  <c r="AM33" i="7"/>
  <c r="I41" i="7"/>
  <c r="AK50" i="7"/>
  <c r="AO76" i="7"/>
  <c r="AQ79" i="7"/>
  <c r="K106" i="4"/>
  <c r="K13" i="4" s="1"/>
  <c r="W76" i="5"/>
  <c r="AP77" i="5"/>
  <c r="AM78" i="5"/>
  <c r="BA88" i="5"/>
  <c r="BC88" i="5" s="1"/>
  <c r="AH91" i="5"/>
  <c r="AH12" i="5" s="1"/>
  <c r="AH11" i="5" s="1"/>
  <c r="AM103" i="5"/>
  <c r="AK103" i="5"/>
  <c r="D105" i="5"/>
  <c r="U21" i="6"/>
  <c r="F33" i="6"/>
  <c r="P34" i="6"/>
  <c r="U34" i="6"/>
  <c r="S33" i="6"/>
  <c r="P40" i="6"/>
  <c r="R40" i="6" s="1"/>
  <c r="M47" i="6"/>
  <c r="I48" i="6"/>
  <c r="K54" i="6"/>
  <c r="P59" i="6"/>
  <c r="R59" i="6" s="1"/>
  <c r="D68" i="6"/>
  <c r="D75" i="6"/>
  <c r="T76" i="6"/>
  <c r="P89" i="6"/>
  <c r="R89" i="6" s="1"/>
  <c r="D99" i="6"/>
  <c r="X99" i="6"/>
  <c r="P99" i="6"/>
  <c r="R99" i="6" s="1"/>
  <c r="O106" i="6"/>
  <c r="AE15" i="7"/>
  <c r="S15" i="7"/>
  <c r="U16" i="7"/>
  <c r="AD15" i="7"/>
  <c r="I17" i="7"/>
  <c r="M17" i="7"/>
  <c r="AO15" i="7"/>
  <c r="AQ18" i="7"/>
  <c r="AQ27" i="7"/>
  <c r="U32" i="7"/>
  <c r="D46" i="7"/>
  <c r="M49" i="7"/>
  <c r="I49" i="7"/>
  <c r="AH55" i="7"/>
  <c r="AJ54" i="7"/>
  <c r="M68" i="7"/>
  <c r="AH84" i="7"/>
  <c r="AQ89" i="7"/>
  <c r="I98" i="7"/>
  <c r="M98" i="7"/>
  <c r="AV19" i="8"/>
  <c r="AS15" i="8"/>
  <c r="C25" i="6"/>
  <c r="J25" i="6" s="1"/>
  <c r="D77" i="6"/>
  <c r="O92" i="6"/>
  <c r="D16" i="7"/>
  <c r="AC16" i="7"/>
  <c r="D26" i="7"/>
  <c r="AQ30" i="7"/>
  <c r="AB31" i="7"/>
  <c r="AI31" i="7" s="1"/>
  <c r="AA46" i="7"/>
  <c r="AH46" i="7"/>
  <c r="R47" i="7"/>
  <c r="X49" i="7"/>
  <c r="AC53" i="7"/>
  <c r="AC55" i="7"/>
  <c r="M56" i="7"/>
  <c r="T54" i="7"/>
  <c r="X70" i="7"/>
  <c r="AL70" i="7"/>
  <c r="U72" i="7"/>
  <c r="AQ74" i="7"/>
  <c r="G76" i="7"/>
  <c r="O76" i="7" s="1"/>
  <c r="O77" i="7"/>
  <c r="AM76" i="7"/>
  <c r="AN84" i="7"/>
  <c r="AH92" i="7"/>
  <c r="AJ91" i="7"/>
  <c r="V15" i="8"/>
  <c r="AY15" i="8"/>
  <c r="O18" i="8"/>
  <c r="AR26" i="8"/>
  <c r="AO26" i="8"/>
  <c r="AL26" i="8"/>
  <c r="V33" i="8"/>
  <c r="M44" i="8"/>
  <c r="I44" i="8"/>
  <c r="I52" i="8"/>
  <c r="H33" i="7"/>
  <c r="H54" i="7"/>
  <c r="M55" i="7"/>
  <c r="AO54" i="7"/>
  <c r="AK71" i="7"/>
  <c r="AB71" i="7"/>
  <c r="Q76" i="7"/>
  <c r="AN93" i="7"/>
  <c r="AF91" i="7"/>
  <c r="K15" i="8"/>
  <c r="M16" i="8"/>
  <c r="AQ15" i="8"/>
  <c r="W15" i="8"/>
  <c r="AZ21" i="8"/>
  <c r="BF21" i="8"/>
  <c r="AR28" i="8"/>
  <c r="AO28" i="8"/>
  <c r="AL28" i="8"/>
  <c r="AR30" i="8"/>
  <c r="AL30" i="8"/>
  <c r="O34" i="8"/>
  <c r="I34" i="8"/>
  <c r="AR34" i="8"/>
  <c r="AI33" i="8"/>
  <c r="AL34" i="8"/>
  <c r="AV34" i="8"/>
  <c r="AS33" i="8"/>
  <c r="I45" i="8"/>
  <c r="M45" i="8"/>
  <c r="AZ60" i="8"/>
  <c r="BF60" i="8"/>
  <c r="BC60" i="8"/>
  <c r="AR62" i="8"/>
  <c r="AL62" i="8"/>
  <c r="AO62" i="8"/>
  <c r="AE91" i="5"/>
  <c r="AK101" i="5"/>
  <c r="X34" i="6"/>
  <c r="S54" i="6"/>
  <c r="U89" i="6"/>
  <c r="V91" i="6"/>
  <c r="X17" i="7"/>
  <c r="S33" i="7"/>
  <c r="AD33" i="7"/>
  <c r="AC35" i="7"/>
  <c r="AH44" i="7"/>
  <c r="I52" i="7"/>
  <c r="K54" i="7"/>
  <c r="I55" i="7"/>
  <c r="X56" i="7"/>
  <c r="W54" i="7"/>
  <c r="D57" i="7"/>
  <c r="C75" i="7"/>
  <c r="J75" i="7" s="1"/>
  <c r="L75" i="7"/>
  <c r="AE76" i="7"/>
  <c r="AP76" i="7"/>
  <c r="R78" i="7"/>
  <c r="U84" i="7"/>
  <c r="AH87" i="7"/>
  <c r="AY11" i="8"/>
  <c r="M18" i="8"/>
  <c r="I18" i="8"/>
  <c r="AZ25" i="8"/>
  <c r="BF25" i="8"/>
  <c r="BC25" i="8"/>
  <c r="AE33" i="8"/>
  <c r="AR42" i="8"/>
  <c r="AL42" i="8"/>
  <c r="AO42" i="8"/>
  <c r="AR43" i="8"/>
  <c r="AO43" i="8"/>
  <c r="AL43" i="8"/>
  <c r="AR50" i="8"/>
  <c r="AL50" i="8"/>
  <c r="AO50" i="8"/>
  <c r="I71" i="8"/>
  <c r="M71" i="8"/>
  <c r="C82" i="10"/>
  <c r="G82" i="10" s="1"/>
  <c r="D76" i="10"/>
  <c r="P85" i="10"/>
  <c r="L76" i="10"/>
  <c r="H106" i="10"/>
  <c r="J108" i="10"/>
  <c r="D86" i="6"/>
  <c r="S91" i="6"/>
  <c r="P103" i="6"/>
  <c r="R103" i="6" s="1"/>
  <c r="M20" i="7"/>
  <c r="U20" i="7"/>
  <c r="AH24" i="7"/>
  <c r="U25" i="7"/>
  <c r="AC25" i="7"/>
  <c r="AH28" i="7"/>
  <c r="D29" i="7"/>
  <c r="AH40" i="7"/>
  <c r="AQ51" i="7"/>
  <c r="V54" i="7"/>
  <c r="AF54" i="7"/>
  <c r="AN54" i="7" s="1"/>
  <c r="AN55" i="7"/>
  <c r="AQ55" i="7"/>
  <c r="AA57" i="7"/>
  <c r="AL59" i="7"/>
  <c r="C64" i="7"/>
  <c r="J64" i="7" s="1"/>
  <c r="I71" i="7"/>
  <c r="AH72" i="7"/>
  <c r="I82" i="7"/>
  <c r="AL90" i="7"/>
  <c r="AC95" i="7"/>
  <c r="AB97" i="7"/>
  <c r="AI97" i="7" s="1"/>
  <c r="D113" i="7"/>
  <c r="AZ20" i="8"/>
  <c r="BF20" i="8"/>
  <c r="BC20" i="8"/>
  <c r="AR23" i="8"/>
  <c r="AO23" i="8"/>
  <c r="AI15" i="8"/>
  <c r="U34" i="8"/>
  <c r="Q33" i="8"/>
  <c r="I50" i="8"/>
  <c r="O50" i="8"/>
  <c r="AQ54" i="8"/>
  <c r="BB54" i="8"/>
  <c r="BC58" i="8"/>
  <c r="BA54" i="8"/>
  <c r="AM76" i="8"/>
  <c r="AL56" i="7"/>
  <c r="AH56" i="7"/>
  <c r="Z54" i="7"/>
  <c r="U78" i="7"/>
  <c r="T76" i="7"/>
  <c r="D107" i="7"/>
  <c r="E106" i="7"/>
  <c r="E13" i="7" s="1"/>
  <c r="AC107" i="7"/>
  <c r="AD106" i="7"/>
  <c r="AD13" i="7" s="1"/>
  <c r="AU15" i="8"/>
  <c r="AT15" i="8"/>
  <c r="O29" i="8"/>
  <c r="D34" i="8"/>
  <c r="E33" i="8"/>
  <c r="AD102" i="8"/>
  <c r="X102" i="8"/>
  <c r="AA102" i="8"/>
  <c r="K91" i="6"/>
  <c r="Z15" i="7"/>
  <c r="AP15" i="7"/>
  <c r="X25" i="7"/>
  <c r="R31" i="7"/>
  <c r="M34" i="7"/>
  <c r="AQ46" i="7"/>
  <c r="I61" i="7"/>
  <c r="AC62" i="7"/>
  <c r="AL63" i="7"/>
  <c r="AC69" i="7"/>
  <c r="R74" i="7"/>
  <c r="N76" i="7"/>
  <c r="X78" i="7"/>
  <c r="AL78" i="7"/>
  <c r="AD91" i="7"/>
  <c r="AD12" i="7" s="1"/>
  <c r="G91" i="7"/>
  <c r="AE106" i="7"/>
  <c r="AE13" i="7" s="1"/>
  <c r="AK15" i="8"/>
  <c r="Q15" i="8"/>
  <c r="U17" i="8"/>
  <c r="AZ22" i="8"/>
  <c r="BF22" i="8"/>
  <c r="BC22" i="8"/>
  <c r="I25" i="8"/>
  <c r="M25" i="8"/>
  <c r="D32" i="8"/>
  <c r="AR32" i="8"/>
  <c r="AO32" i="8"/>
  <c r="AL32" i="8"/>
  <c r="F33" i="8"/>
  <c r="D36" i="8"/>
  <c r="AR36" i="8"/>
  <c r="AO36" i="8"/>
  <c r="AL36" i="8"/>
  <c r="AZ40" i="8"/>
  <c r="BF40" i="8"/>
  <c r="BC40" i="8"/>
  <c r="AR55" i="8"/>
  <c r="AO55" i="8"/>
  <c r="AL55" i="8"/>
  <c r="AI54" i="8"/>
  <c r="O38" i="8"/>
  <c r="AU54" i="8"/>
  <c r="BE54" i="8"/>
  <c r="AZ65" i="8"/>
  <c r="BF65" i="8"/>
  <c r="BC65" i="8"/>
  <c r="AL87" i="8"/>
  <c r="AR87" i="8"/>
  <c r="AO87" i="8"/>
  <c r="R52" i="7"/>
  <c r="AH52" i="7"/>
  <c r="D53" i="7"/>
  <c r="AQ59" i="7"/>
  <c r="AC60" i="7"/>
  <c r="U65" i="7"/>
  <c r="AC65" i="7"/>
  <c r="R68" i="7"/>
  <c r="AH68" i="7"/>
  <c r="D69" i="7"/>
  <c r="AA70" i="7"/>
  <c r="D74" i="7"/>
  <c r="D77" i="7"/>
  <c r="E76" i="7"/>
  <c r="AA78" i="7"/>
  <c r="AL88" i="7"/>
  <c r="BA15" i="8"/>
  <c r="AZ17" i="8"/>
  <c r="BF17" i="8"/>
  <c r="O19" i="8"/>
  <c r="AL19" i="8"/>
  <c r="I21" i="8"/>
  <c r="D22" i="8"/>
  <c r="D24" i="8"/>
  <c r="AR24" i="8"/>
  <c r="AO24" i="8"/>
  <c r="AH25" i="8"/>
  <c r="AV26" i="8"/>
  <c r="AO31" i="8"/>
  <c r="AO35" i="8"/>
  <c r="AL38" i="8"/>
  <c r="AZ48" i="8"/>
  <c r="BF48" i="8"/>
  <c r="BC48" i="8"/>
  <c r="AR51" i="8"/>
  <c r="AO51" i="8"/>
  <c r="AL51" i="8"/>
  <c r="I53" i="8"/>
  <c r="U55" i="8"/>
  <c r="Q54" i="8"/>
  <c r="AK54" i="8"/>
  <c r="I60" i="8"/>
  <c r="AZ61" i="8"/>
  <c r="BF61" i="8"/>
  <c r="BC61" i="8"/>
  <c r="D62" i="8"/>
  <c r="AR67" i="8"/>
  <c r="AO67" i="8"/>
  <c r="AL67" i="8"/>
  <c r="AZ72" i="8"/>
  <c r="BF72" i="8"/>
  <c r="BC72" i="8"/>
  <c r="D73" i="8"/>
  <c r="AY76" i="8"/>
  <c r="O78" i="8"/>
  <c r="G76" i="8"/>
  <c r="I85" i="8"/>
  <c r="K76" i="8"/>
  <c r="P15" i="9"/>
  <c r="R16" i="9"/>
  <c r="S25" i="9"/>
  <c r="V15" i="9"/>
  <c r="X56" i="9"/>
  <c r="S56" i="9"/>
  <c r="U56" i="9" s="1"/>
  <c r="K54" i="9"/>
  <c r="O76" i="9"/>
  <c r="L79" i="9"/>
  <c r="M79" i="9" s="1"/>
  <c r="Y91" i="7"/>
  <c r="AA91" i="7" s="1"/>
  <c r="AN110" i="7"/>
  <c r="AN106" i="7" s="1"/>
  <c r="AF106" i="7"/>
  <c r="AF13" i="7" s="1"/>
  <c r="AN13" i="7" s="1"/>
  <c r="AG15" i="8"/>
  <c r="AR20" i="8"/>
  <c r="AO20" i="8"/>
  <c r="AZ32" i="8"/>
  <c r="BF32" i="8"/>
  <c r="BC32" i="8"/>
  <c r="AC33" i="8"/>
  <c r="AU33" i="8"/>
  <c r="BE33" i="8"/>
  <c r="AZ36" i="8"/>
  <c r="BF36" i="8"/>
  <c r="BC36" i="8"/>
  <c r="AZ38" i="8"/>
  <c r="BF38" i="8"/>
  <c r="AZ41" i="8"/>
  <c r="BF41" i="8"/>
  <c r="BC41" i="8"/>
  <c r="AZ49" i="8"/>
  <c r="BF49" i="8"/>
  <c r="BC49" i="8"/>
  <c r="D50" i="8"/>
  <c r="N54" i="8"/>
  <c r="O55" i="8"/>
  <c r="G54" i="8"/>
  <c r="S54" i="8"/>
  <c r="AC54" i="8"/>
  <c r="AM54" i="8"/>
  <c r="AR58" i="8"/>
  <c r="AL58" i="8"/>
  <c r="AR63" i="8"/>
  <c r="AO63" i="8"/>
  <c r="AL63" i="8"/>
  <c r="AR68" i="8"/>
  <c r="AO68" i="8"/>
  <c r="AL68" i="8"/>
  <c r="AR74" i="8"/>
  <c r="AO74" i="8"/>
  <c r="AL74" i="8"/>
  <c r="AH77" i="8"/>
  <c r="AE76" i="8"/>
  <c r="M78" i="8"/>
  <c r="H76" i="8"/>
  <c r="T11" i="8"/>
  <c r="O110" i="8"/>
  <c r="O106" i="8" s="1"/>
  <c r="G13" i="8"/>
  <c r="L37" i="9"/>
  <c r="M37" i="9" s="1"/>
  <c r="P91" i="9"/>
  <c r="R92" i="9"/>
  <c r="K76" i="10"/>
  <c r="N77" i="10"/>
  <c r="X95" i="7"/>
  <c r="V91" i="7"/>
  <c r="X91" i="7" s="1"/>
  <c r="AA96" i="7"/>
  <c r="X13" i="8"/>
  <c r="AD13" i="8"/>
  <c r="AH13" i="8" s="1"/>
  <c r="AA13" i="8"/>
  <c r="D16" i="8"/>
  <c r="E15" i="8"/>
  <c r="AA16" i="8"/>
  <c r="Y15" i="8"/>
  <c r="AR16" i="8"/>
  <c r="AO16" i="8"/>
  <c r="M17" i="8"/>
  <c r="AH17" i="8"/>
  <c r="AV18" i="8"/>
  <c r="AZ28" i="8"/>
  <c r="BF28" i="8"/>
  <c r="BC28" i="8"/>
  <c r="AZ30" i="8"/>
  <c r="BF30" i="8"/>
  <c r="AZ34" i="8"/>
  <c r="BF34" i="8"/>
  <c r="AV39" i="8"/>
  <c r="AZ56" i="8"/>
  <c r="BF56" i="8"/>
  <c r="BC56" i="8"/>
  <c r="O58" i="8"/>
  <c r="AR59" i="8"/>
  <c r="AO59" i="8"/>
  <c r="AL59" i="8"/>
  <c r="I61" i="8"/>
  <c r="M65" i="8"/>
  <c r="W76" i="8"/>
  <c r="I108" i="8"/>
  <c r="K13" i="8"/>
  <c r="X32" i="9"/>
  <c r="T32" i="9"/>
  <c r="U32" i="9" s="1"/>
  <c r="S42" i="9"/>
  <c r="AA42" i="9"/>
  <c r="AA56" i="9"/>
  <c r="Y54" i="9"/>
  <c r="V106" i="9"/>
  <c r="X107" i="9"/>
  <c r="AC52" i="7"/>
  <c r="AA59" i="7"/>
  <c r="AC68" i="7"/>
  <c r="AC73" i="7"/>
  <c r="Z76" i="7"/>
  <c r="AA90" i="7"/>
  <c r="D96" i="7"/>
  <c r="AB96" i="7"/>
  <c r="AI96" i="7" s="1"/>
  <c r="I101" i="7"/>
  <c r="I108" i="7"/>
  <c r="K106" i="7"/>
  <c r="K13" i="7" s="1"/>
  <c r="AH112" i="7"/>
  <c r="AZ24" i="8"/>
  <c r="BF24" i="8"/>
  <c r="BC24" i="8"/>
  <c r="AZ26" i="8"/>
  <c r="BF26" i="8"/>
  <c r="AZ44" i="8"/>
  <c r="BF44" i="8"/>
  <c r="BC44" i="8"/>
  <c r="AR46" i="8"/>
  <c r="AL46" i="8"/>
  <c r="V54" i="8"/>
  <c r="AZ57" i="8"/>
  <c r="BF57" i="8"/>
  <c r="BC57" i="8"/>
  <c r="D58" i="8"/>
  <c r="M61" i="8"/>
  <c r="I70" i="8"/>
  <c r="AZ70" i="8"/>
  <c r="BF70" i="8"/>
  <c r="BC70" i="8"/>
  <c r="X77" i="8"/>
  <c r="AD83" i="8"/>
  <c r="R83" i="8"/>
  <c r="AA83" i="8"/>
  <c r="X83" i="8"/>
  <c r="AZ89" i="8"/>
  <c r="BF89" i="8"/>
  <c r="BC89" i="8"/>
  <c r="H15" i="9"/>
  <c r="L35" i="9"/>
  <c r="M35" i="9" s="1"/>
  <c r="K33" i="9"/>
  <c r="X51" i="9"/>
  <c r="S51" i="9"/>
  <c r="D91" i="9"/>
  <c r="D12" i="9" s="1"/>
  <c r="C92" i="9"/>
  <c r="D54" i="10"/>
  <c r="H28" i="11"/>
  <c r="Y28" i="11"/>
  <c r="AM61" i="11"/>
  <c r="AO61" i="11" s="1"/>
  <c r="AR54" i="11"/>
  <c r="AR40" i="8"/>
  <c r="AO40" i="8"/>
  <c r="AR47" i="8"/>
  <c r="AO47" i="8"/>
  <c r="AL47" i="8"/>
  <c r="I49" i="8"/>
  <c r="AZ52" i="8"/>
  <c r="BF52" i="8"/>
  <c r="BC52" i="8"/>
  <c r="K54" i="8"/>
  <c r="O68" i="8"/>
  <c r="AV69" i="8"/>
  <c r="D77" i="8"/>
  <c r="E76" i="8"/>
  <c r="AZ79" i="8"/>
  <c r="AW76" i="8"/>
  <c r="BC79" i="8"/>
  <c r="C20" i="9"/>
  <c r="G20" i="9" s="1"/>
  <c r="D15" i="9"/>
  <c r="S24" i="9"/>
  <c r="U24" i="9" s="1"/>
  <c r="AA24" i="9"/>
  <c r="X34" i="9"/>
  <c r="W33" i="9"/>
  <c r="T34" i="9"/>
  <c r="AA35" i="9"/>
  <c r="T35" i="9"/>
  <c r="Z33" i="9"/>
  <c r="X64" i="9"/>
  <c r="S64" i="9"/>
  <c r="U64" i="9" s="1"/>
  <c r="J16" i="10"/>
  <c r="H15" i="10"/>
  <c r="D50" i="7"/>
  <c r="AL51" i="7"/>
  <c r="I53" i="7"/>
  <c r="R55" i="7"/>
  <c r="P54" i="7"/>
  <c r="U57" i="7"/>
  <c r="AC57" i="7"/>
  <c r="AH60" i="7"/>
  <c r="D61" i="7"/>
  <c r="D66" i="7"/>
  <c r="I69" i="7"/>
  <c r="AQ70" i="7"/>
  <c r="I77" i="7"/>
  <c r="AQ78" i="7"/>
  <c r="AC86" i="7"/>
  <c r="S91" i="7"/>
  <c r="U91" i="7" s="1"/>
  <c r="D92" i="7"/>
  <c r="E91" i="7"/>
  <c r="E12" i="7" s="1"/>
  <c r="P91" i="7"/>
  <c r="R91" i="7" s="1"/>
  <c r="AE91" i="7"/>
  <c r="AE12" i="7" s="1"/>
  <c r="D102" i="7"/>
  <c r="AH107" i="7"/>
  <c r="AM106" i="7"/>
  <c r="AM13" i="7" s="1"/>
  <c r="AH108" i="7"/>
  <c r="AJ106" i="7"/>
  <c r="AJ13" i="7" s="1"/>
  <c r="AL16" i="8"/>
  <c r="AZ16" i="8"/>
  <c r="BF16" i="8"/>
  <c r="BC16" i="8"/>
  <c r="AW15" i="8"/>
  <c r="AZ18" i="8"/>
  <c r="BF18" i="8"/>
  <c r="AV23" i="8"/>
  <c r="AH24" i="8"/>
  <c r="AZ29" i="8"/>
  <c r="BF29" i="8"/>
  <c r="AL31" i="8"/>
  <c r="O35" i="8"/>
  <c r="AL35" i="8"/>
  <c r="I37" i="8"/>
  <c r="D38" i="8"/>
  <c r="AZ45" i="8"/>
  <c r="BF45" i="8"/>
  <c r="BC45" i="8"/>
  <c r="D46" i="8"/>
  <c r="M49" i="8"/>
  <c r="AV55" i="8"/>
  <c r="AS54" i="8"/>
  <c r="AZ64" i="8"/>
  <c r="BF64" i="8"/>
  <c r="BC64" i="8"/>
  <c r="O66" i="8"/>
  <c r="AR66" i="8"/>
  <c r="AL66" i="8"/>
  <c r="AZ71" i="8"/>
  <c r="BF71" i="8"/>
  <c r="BC71" i="8"/>
  <c r="O75" i="8"/>
  <c r="AU76" i="8"/>
  <c r="X78" i="8"/>
  <c r="BE76" i="8"/>
  <c r="T22" i="9"/>
  <c r="X22" i="9"/>
  <c r="J34" i="9"/>
  <c r="H33" i="9"/>
  <c r="J33" i="9" s="1"/>
  <c r="S66" i="9"/>
  <c r="U66" i="9" s="1"/>
  <c r="AA66" i="9"/>
  <c r="O94" i="8"/>
  <c r="G91" i="8"/>
  <c r="L16" i="9"/>
  <c r="N15" i="9"/>
  <c r="S22" i="9"/>
  <c r="AA22" i="9"/>
  <c r="S37" i="9"/>
  <c r="X37" i="9"/>
  <c r="AD100" i="8"/>
  <c r="X100" i="8"/>
  <c r="AA100" i="8"/>
  <c r="Z15" i="9"/>
  <c r="S30" i="9"/>
  <c r="AA30" i="9"/>
  <c r="Y33" i="9"/>
  <c r="AA34" i="9"/>
  <c r="S36" i="9"/>
  <c r="U36" i="9" s="1"/>
  <c r="AA36" i="9"/>
  <c r="L44" i="9"/>
  <c r="M44" i="9" s="1"/>
  <c r="L47" i="9"/>
  <c r="M47" i="9" s="1"/>
  <c r="O54" i="9"/>
  <c r="I76" i="10"/>
  <c r="J77" i="10"/>
  <c r="J16" i="11"/>
  <c r="P15" i="11"/>
  <c r="C17" i="11"/>
  <c r="G17" i="11" s="1"/>
  <c r="E15" i="11"/>
  <c r="Q31" i="11"/>
  <c r="H31" i="11"/>
  <c r="Q52" i="11"/>
  <c r="H52" i="11"/>
  <c r="L53" i="8"/>
  <c r="AZ69" i="8"/>
  <c r="BF69" i="8"/>
  <c r="X72" i="8"/>
  <c r="AR77" i="8"/>
  <c r="AO77" i="8"/>
  <c r="AF76" i="8"/>
  <c r="AX76" i="8"/>
  <c r="AD87" i="8"/>
  <c r="R87" i="8"/>
  <c r="AA87" i="8"/>
  <c r="AD103" i="8"/>
  <c r="AA103" i="8"/>
  <c r="X103" i="8"/>
  <c r="Q11" i="9"/>
  <c r="I10" i="9"/>
  <c r="I9" i="9" s="1"/>
  <c r="O15" i="9"/>
  <c r="AA20" i="9"/>
  <c r="D54" i="9"/>
  <c r="L59" i="9"/>
  <c r="M59" i="9" s="1"/>
  <c r="V76" i="9"/>
  <c r="S77" i="9"/>
  <c r="R88" i="9"/>
  <c r="P76" i="9"/>
  <c r="R76" i="9" s="1"/>
  <c r="E91" i="9"/>
  <c r="E12" i="9" s="1"/>
  <c r="U106" i="9"/>
  <c r="S13" i="9"/>
  <c r="AC101" i="7"/>
  <c r="AG106" i="7"/>
  <c r="AG13" i="7" s="1"/>
  <c r="AZ19" i="8"/>
  <c r="BF19" i="8"/>
  <c r="AZ23" i="8"/>
  <c r="BF23" i="8"/>
  <c r="AZ27" i="8"/>
  <c r="BF27" i="8"/>
  <c r="AZ31" i="8"/>
  <c r="BF31" i="8"/>
  <c r="AZ35" i="8"/>
  <c r="BF35" i="8"/>
  <c r="AZ39" i="8"/>
  <c r="BF39" i="8"/>
  <c r="AZ43" i="8"/>
  <c r="BF43" i="8"/>
  <c r="AZ47" i="8"/>
  <c r="BF47" i="8"/>
  <c r="AZ51" i="8"/>
  <c r="BF51" i="8"/>
  <c r="AZ55" i="8"/>
  <c r="BF55" i="8"/>
  <c r="AZ59" i="8"/>
  <c r="BF59" i="8"/>
  <c r="AZ63" i="8"/>
  <c r="BF63" i="8"/>
  <c r="AZ68" i="8"/>
  <c r="BF68" i="8"/>
  <c r="D70" i="8"/>
  <c r="X71" i="8"/>
  <c r="I74" i="8"/>
  <c r="AI76" i="8"/>
  <c r="BD76" i="8"/>
  <c r="AG76" i="8"/>
  <c r="AP76" i="8"/>
  <c r="AD82" i="8"/>
  <c r="AA82" i="8"/>
  <c r="R82" i="8"/>
  <c r="M97" i="8"/>
  <c r="AD101" i="8"/>
  <c r="AA101" i="8"/>
  <c r="X101" i="8"/>
  <c r="E106" i="8"/>
  <c r="E13" i="8" s="1"/>
  <c r="C21" i="9"/>
  <c r="G21" i="9" s="1"/>
  <c r="D33" i="9"/>
  <c r="G34" i="9"/>
  <c r="C38" i="9"/>
  <c r="G38" i="9" s="1"/>
  <c r="L67" i="9"/>
  <c r="T74" i="9"/>
  <c r="X74" i="9"/>
  <c r="J77" i="9"/>
  <c r="H76" i="9"/>
  <c r="J76" i="9" s="1"/>
  <c r="D40" i="8"/>
  <c r="AZ67" i="8"/>
  <c r="BF67" i="8"/>
  <c r="X70" i="8"/>
  <c r="AA78" i="8"/>
  <c r="P76" i="8"/>
  <c r="Y76" i="8"/>
  <c r="AD99" i="8"/>
  <c r="X99" i="8"/>
  <c r="AD104" i="8"/>
  <c r="X104" i="8"/>
  <c r="AA104" i="8"/>
  <c r="F106" i="8"/>
  <c r="F13" i="8" s="1"/>
  <c r="Q10" i="9"/>
  <c r="Y15" i="9"/>
  <c r="S31" i="9"/>
  <c r="X31" i="9"/>
  <c r="F54" i="9"/>
  <c r="E54" i="9"/>
  <c r="AA58" i="9"/>
  <c r="X77" i="9"/>
  <c r="N76" i="9"/>
  <c r="N34" i="10"/>
  <c r="K33" i="10"/>
  <c r="J93" i="10"/>
  <c r="H91" i="10"/>
  <c r="AZ42" i="8"/>
  <c r="BF42" i="8"/>
  <c r="AZ46" i="8"/>
  <c r="BF46" i="8"/>
  <c r="AZ50" i="8"/>
  <c r="BF50" i="8"/>
  <c r="AW54" i="8"/>
  <c r="AZ58" i="8"/>
  <c r="BF58" i="8"/>
  <c r="AZ62" i="8"/>
  <c r="BF62" i="8"/>
  <c r="AZ66" i="8"/>
  <c r="BF66" i="8"/>
  <c r="AH67" i="8"/>
  <c r="X69" i="8"/>
  <c r="AV71" i="8"/>
  <c r="AL73" i="8"/>
  <c r="BA76" i="8"/>
  <c r="I77" i="8"/>
  <c r="AL77" i="8"/>
  <c r="U78" i="8"/>
  <c r="Q76" i="8"/>
  <c r="Z76" i="8"/>
  <c r="AL83" i="8"/>
  <c r="AR83" i="8"/>
  <c r="AZ85" i="8"/>
  <c r="BF85" i="8"/>
  <c r="AH87" i="8"/>
  <c r="M19" i="9"/>
  <c r="S23" i="9"/>
  <c r="X23" i="9"/>
  <c r="S34" i="9"/>
  <c r="T37" i="9"/>
  <c r="X38" i="9"/>
  <c r="S38" i="9"/>
  <c r="T40" i="9"/>
  <c r="X40" i="9"/>
  <c r="S43" i="9"/>
  <c r="X43" i="9"/>
  <c r="S45" i="9"/>
  <c r="X45" i="9"/>
  <c r="T47" i="9"/>
  <c r="S49" i="9"/>
  <c r="X49" i="9"/>
  <c r="J55" i="9"/>
  <c r="H54" i="9"/>
  <c r="J54" i="9" s="1"/>
  <c r="L62" i="9"/>
  <c r="S65" i="9"/>
  <c r="X65" i="9"/>
  <c r="S73" i="9"/>
  <c r="U73" i="9" s="1"/>
  <c r="X73" i="9"/>
  <c r="W76" i="9"/>
  <c r="S83" i="9"/>
  <c r="X83" i="9"/>
  <c r="S86" i="9"/>
  <c r="U86" i="9" s="1"/>
  <c r="AA86" i="9"/>
  <c r="E15" i="10"/>
  <c r="F11" i="10"/>
  <c r="AH100" i="7"/>
  <c r="D109" i="7"/>
  <c r="BD11" i="8"/>
  <c r="AV16" i="8"/>
  <c r="AL17" i="8"/>
  <c r="AH18" i="8"/>
  <c r="D19" i="8"/>
  <c r="AV20" i="8"/>
  <c r="AL21" i="8"/>
  <c r="AH22" i="8"/>
  <c r="D23" i="8"/>
  <c r="AV24" i="8"/>
  <c r="AL25" i="8"/>
  <c r="AH26" i="8"/>
  <c r="D27" i="8"/>
  <c r="AV28" i="8"/>
  <c r="AL29" i="8"/>
  <c r="AH30" i="8"/>
  <c r="D31" i="8"/>
  <c r="AV32" i="8"/>
  <c r="AH34" i="8"/>
  <c r="D35" i="8"/>
  <c r="AV36" i="8"/>
  <c r="AL37" i="8"/>
  <c r="AH38" i="8"/>
  <c r="D39" i="8"/>
  <c r="AV40" i="8"/>
  <c r="AL41" i="8"/>
  <c r="AH42" i="8"/>
  <c r="D43" i="8"/>
  <c r="AV44" i="8"/>
  <c r="AL45" i="8"/>
  <c r="AH46" i="8"/>
  <c r="D47" i="8"/>
  <c r="AV48" i="8"/>
  <c r="AL49" i="8"/>
  <c r="AH50" i="8"/>
  <c r="D51" i="8"/>
  <c r="AV52" i="8"/>
  <c r="AL53" i="8"/>
  <c r="AE54" i="8"/>
  <c r="D55" i="8"/>
  <c r="AV56" i="8"/>
  <c r="AL57" i="8"/>
  <c r="AH58" i="8"/>
  <c r="D59" i="8"/>
  <c r="AV60" i="8"/>
  <c r="AL61" i="8"/>
  <c r="D63" i="8"/>
  <c r="AV64" i="8"/>
  <c r="AL65" i="8"/>
  <c r="D67" i="8"/>
  <c r="X68" i="8"/>
  <c r="AV70" i="8"/>
  <c r="AL72" i="8"/>
  <c r="AZ73" i="8"/>
  <c r="BF73" i="8"/>
  <c r="AR75" i="8"/>
  <c r="AO75" i="8"/>
  <c r="M77" i="8"/>
  <c r="R78" i="8"/>
  <c r="AH90" i="8"/>
  <c r="H91" i="8"/>
  <c r="I93" i="8"/>
  <c r="K91" i="8"/>
  <c r="H106" i="8"/>
  <c r="H13" i="8" s="1"/>
  <c r="AA18" i="9"/>
  <c r="V33" i="9"/>
  <c r="X35" i="9"/>
  <c r="X39" i="9"/>
  <c r="X42" i="9"/>
  <c r="T42" i="9"/>
  <c r="AA47" i="9"/>
  <c r="L55" i="9"/>
  <c r="M55" i="9" s="1"/>
  <c r="L70" i="9"/>
  <c r="M70" i="9" s="1"/>
  <c r="AA74" i="9"/>
  <c r="L75" i="9"/>
  <c r="M75" i="9" s="1"/>
  <c r="C81" i="9"/>
  <c r="G81" i="9" s="1"/>
  <c r="X95" i="9"/>
  <c r="V91" i="9"/>
  <c r="C100" i="9"/>
  <c r="G100" i="9" s="1"/>
  <c r="F15" i="10"/>
  <c r="J18" i="10"/>
  <c r="I15" i="10"/>
  <c r="C87" i="10"/>
  <c r="G87" i="10" s="1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5" i="8"/>
  <c r="X56" i="8"/>
  <c r="X57" i="8"/>
  <c r="X58" i="8"/>
  <c r="X59" i="8"/>
  <c r="X60" i="8"/>
  <c r="X61" i="8"/>
  <c r="X62" i="8"/>
  <c r="X63" i="8"/>
  <c r="X64" i="8"/>
  <c r="X65" i="8"/>
  <c r="X66" i="8"/>
  <c r="AL78" i="8"/>
  <c r="AR78" i="8"/>
  <c r="X79" i="8"/>
  <c r="AZ80" i="8"/>
  <c r="BF80" i="8"/>
  <c r="AL82" i="8"/>
  <c r="AR82" i="8"/>
  <c r="AZ84" i="8"/>
  <c r="BF84" i="8"/>
  <c r="AD86" i="8"/>
  <c r="R86" i="8"/>
  <c r="AL86" i="8"/>
  <c r="AR86" i="8"/>
  <c r="AZ88" i="8"/>
  <c r="BF88" i="8"/>
  <c r="AD90" i="8"/>
  <c r="R90" i="8"/>
  <c r="AL90" i="8"/>
  <c r="AR90" i="8"/>
  <c r="AD98" i="8"/>
  <c r="X98" i="8"/>
  <c r="M103" i="8"/>
  <c r="I109" i="8"/>
  <c r="N11" i="9"/>
  <c r="E33" i="9"/>
  <c r="C39" i="9"/>
  <c r="G39" i="9" s="1"/>
  <c r="S41" i="9"/>
  <c r="S55" i="9"/>
  <c r="V54" i="9"/>
  <c r="N54" i="9"/>
  <c r="L57" i="9"/>
  <c r="M57" i="9" s="1"/>
  <c r="AA57" i="9"/>
  <c r="L77" i="9"/>
  <c r="X82" i="9"/>
  <c r="T82" i="9"/>
  <c r="T90" i="9"/>
  <c r="X90" i="9"/>
  <c r="T106" i="9"/>
  <c r="T13" i="9" s="1"/>
  <c r="T11" i="9" s="1"/>
  <c r="W13" i="9"/>
  <c r="W11" i="9" s="1"/>
  <c r="J61" i="10"/>
  <c r="D15" i="11"/>
  <c r="C16" i="11"/>
  <c r="U15" i="11"/>
  <c r="AJ30" i="11"/>
  <c r="I30" i="11"/>
  <c r="AF15" i="11"/>
  <c r="Q60" i="11"/>
  <c r="H60" i="11"/>
  <c r="BF77" i="8"/>
  <c r="AH84" i="8"/>
  <c r="AH88" i="8"/>
  <c r="N91" i="8"/>
  <c r="N12" i="8" s="1"/>
  <c r="I92" i="8"/>
  <c r="AD96" i="8"/>
  <c r="X96" i="8"/>
  <c r="M101" i="8"/>
  <c r="I105" i="8"/>
  <c r="L23" i="9"/>
  <c r="M23" i="9" s="1"/>
  <c r="L31" i="9"/>
  <c r="M31" i="9" s="1"/>
  <c r="L65" i="9"/>
  <c r="M65" i="9" s="1"/>
  <c r="X68" i="9"/>
  <c r="T68" i="9"/>
  <c r="C77" i="9"/>
  <c r="D76" i="9"/>
  <c r="Z76" i="9"/>
  <c r="X80" i="9"/>
  <c r="S80" i="9"/>
  <c r="U80" i="9" s="1"/>
  <c r="J92" i="9"/>
  <c r="H91" i="9"/>
  <c r="Y106" i="9"/>
  <c r="K15" i="10"/>
  <c r="N16" i="10"/>
  <c r="O33" i="10"/>
  <c r="M33" i="10"/>
  <c r="N36" i="10"/>
  <c r="P57" i="10"/>
  <c r="L54" i="10"/>
  <c r="F76" i="10"/>
  <c r="AI33" i="11"/>
  <c r="AJ35" i="11"/>
  <c r="AA43" i="11"/>
  <c r="Z33" i="11"/>
  <c r="H59" i="11"/>
  <c r="Q59" i="11"/>
  <c r="BF74" i="8"/>
  <c r="BF75" i="8"/>
  <c r="AL79" i="8"/>
  <c r="AR79" i="8"/>
  <c r="X80" i="8"/>
  <c r="AZ81" i="8"/>
  <c r="BF81" i="8"/>
  <c r="AZ83" i="8"/>
  <c r="BF83" i="8"/>
  <c r="AD85" i="8"/>
  <c r="R85" i="8"/>
  <c r="AL85" i="8"/>
  <c r="AR85" i="8"/>
  <c r="AZ87" i="8"/>
  <c r="BF87" i="8"/>
  <c r="AD89" i="8"/>
  <c r="R89" i="8"/>
  <c r="AL89" i="8"/>
  <c r="AR89" i="8"/>
  <c r="F91" i="8"/>
  <c r="F12" i="8" s="1"/>
  <c r="AD94" i="8"/>
  <c r="X94" i="8"/>
  <c r="W15" i="9"/>
  <c r="T16" i="9"/>
  <c r="AA25" i="9"/>
  <c r="X26" i="9"/>
  <c r="O33" i="9"/>
  <c r="X41" i="9"/>
  <c r="L49" i="9"/>
  <c r="M49" i="9" s="1"/>
  <c r="AA49" i="9"/>
  <c r="AA51" i="9"/>
  <c r="X52" i="9"/>
  <c r="X55" i="9"/>
  <c r="R56" i="9"/>
  <c r="P54" i="9"/>
  <c r="R54" i="9" s="1"/>
  <c r="C57" i="9"/>
  <c r="G57" i="9" s="1"/>
  <c r="S59" i="9"/>
  <c r="L73" i="9"/>
  <c r="L82" i="9"/>
  <c r="M82" i="9" s="1"/>
  <c r="C101" i="9"/>
  <c r="G101" i="9" s="1"/>
  <c r="K106" i="9"/>
  <c r="K63" i="12"/>
  <c r="H63" i="12"/>
  <c r="Y91" i="9"/>
  <c r="H106" i="9"/>
  <c r="J108" i="9"/>
  <c r="M11" i="10"/>
  <c r="M15" i="10"/>
  <c r="N19" i="10"/>
  <c r="N27" i="10"/>
  <c r="N44" i="10"/>
  <c r="O54" i="10"/>
  <c r="E54" i="10"/>
  <c r="AZ78" i="8"/>
  <c r="BF78" i="8"/>
  <c r="R80" i="8"/>
  <c r="AL80" i="8"/>
  <c r="AR80" i="8"/>
  <c r="X81" i="8"/>
  <c r="AZ82" i="8"/>
  <c r="BF82" i="8"/>
  <c r="AD84" i="8"/>
  <c r="R84" i="8"/>
  <c r="AL84" i="8"/>
  <c r="AR84" i="8"/>
  <c r="AA85" i="8"/>
  <c r="AZ86" i="8"/>
  <c r="BF86" i="8"/>
  <c r="AD88" i="8"/>
  <c r="R88" i="8"/>
  <c r="AL88" i="8"/>
  <c r="AR88" i="8"/>
  <c r="AA89" i="8"/>
  <c r="AZ90" i="8"/>
  <c r="BF90" i="8"/>
  <c r="P91" i="8"/>
  <c r="M95" i="8"/>
  <c r="X95" i="8"/>
  <c r="AA96" i="8"/>
  <c r="AA97" i="8"/>
  <c r="I99" i="8"/>
  <c r="AD106" i="8"/>
  <c r="D110" i="8"/>
  <c r="E15" i="9"/>
  <c r="L17" i="9"/>
  <c r="M17" i="9" s="1"/>
  <c r="K15" i="9"/>
  <c r="L21" i="9"/>
  <c r="M21" i="9" s="1"/>
  <c r="AA21" i="9"/>
  <c r="L29" i="9"/>
  <c r="M29" i="9" s="1"/>
  <c r="AA29" i="9"/>
  <c r="T45" i="9"/>
  <c r="X47" i="9"/>
  <c r="X50" i="9"/>
  <c r="T50" i="9"/>
  <c r="U50" i="9" s="1"/>
  <c r="Z54" i="9"/>
  <c r="X59" i="9"/>
  <c r="S67" i="9"/>
  <c r="U67" i="9" s="1"/>
  <c r="X71" i="9"/>
  <c r="C73" i="9"/>
  <c r="G73" i="9" s="1"/>
  <c r="S75" i="9"/>
  <c r="T77" i="9"/>
  <c r="C84" i="9"/>
  <c r="G84" i="9" s="1"/>
  <c r="C109" i="9"/>
  <c r="G109" i="9" s="1"/>
  <c r="D106" i="9"/>
  <c r="D13" i="9" s="1"/>
  <c r="O15" i="10"/>
  <c r="P16" i="10"/>
  <c r="N48" i="10"/>
  <c r="P55" i="10"/>
  <c r="J30" i="11"/>
  <c r="Q30" i="11"/>
  <c r="J55" i="11"/>
  <c r="P54" i="11"/>
  <c r="Q55" i="11"/>
  <c r="AN54" i="11"/>
  <c r="N54" i="11"/>
  <c r="Q58" i="11"/>
  <c r="H58" i="11"/>
  <c r="K43" i="12"/>
  <c r="H43" i="12"/>
  <c r="AC15" i="11"/>
  <c r="H20" i="11"/>
  <c r="L22" i="11"/>
  <c r="S22" i="11"/>
  <c r="AM24" i="11"/>
  <c r="AO24" i="11" s="1"/>
  <c r="H25" i="11"/>
  <c r="S31" i="11"/>
  <c r="I31" i="11"/>
  <c r="F33" i="11"/>
  <c r="P33" i="11"/>
  <c r="Q38" i="11"/>
  <c r="L43" i="11"/>
  <c r="S43" i="11"/>
  <c r="C53" i="11"/>
  <c r="G53" i="11" s="1"/>
  <c r="L53" i="11"/>
  <c r="M53" i="11" s="1"/>
  <c r="AJ53" i="11"/>
  <c r="AC54" i="11"/>
  <c r="U54" i="11"/>
  <c r="S58" i="11"/>
  <c r="I58" i="11"/>
  <c r="S59" i="11"/>
  <c r="I59" i="11"/>
  <c r="R54" i="11"/>
  <c r="H54" i="10"/>
  <c r="K54" i="10"/>
  <c r="N56" i="10"/>
  <c r="AN15" i="11"/>
  <c r="L17" i="11"/>
  <c r="F15" i="11"/>
  <c r="S28" i="11"/>
  <c r="I28" i="11"/>
  <c r="AH34" i="11"/>
  <c r="AE33" i="11"/>
  <c r="S49" i="11"/>
  <c r="I49" i="11"/>
  <c r="J52" i="11"/>
  <c r="AJ80" i="11"/>
  <c r="AF76" i="11"/>
  <c r="T55" i="12"/>
  <c r="R54" i="12"/>
  <c r="T54" i="12" s="1"/>
  <c r="H55" i="12"/>
  <c r="K58" i="12"/>
  <c r="H58" i="12"/>
  <c r="P76" i="12"/>
  <c r="K78" i="12"/>
  <c r="H78" i="12"/>
  <c r="M54" i="10"/>
  <c r="I54" i="10"/>
  <c r="E76" i="10"/>
  <c r="C77" i="10"/>
  <c r="K106" i="10"/>
  <c r="N107" i="10"/>
  <c r="L11" i="11"/>
  <c r="AM16" i="11"/>
  <c r="AP15" i="11"/>
  <c r="J28" i="11"/>
  <c r="S30" i="11"/>
  <c r="AJ46" i="11"/>
  <c r="I46" i="11"/>
  <c r="S47" i="11"/>
  <c r="I47" i="11"/>
  <c r="X54" i="11"/>
  <c r="W54" i="11"/>
  <c r="AA57" i="11"/>
  <c r="C56" i="12"/>
  <c r="G56" i="12" s="1"/>
  <c r="D54" i="12"/>
  <c r="J55" i="10"/>
  <c r="N69" i="10"/>
  <c r="L91" i="10"/>
  <c r="Q23" i="11"/>
  <c r="H23" i="11"/>
  <c r="AR33" i="11"/>
  <c r="AM34" i="11"/>
  <c r="L51" i="11"/>
  <c r="S51" i="11"/>
  <c r="T54" i="11"/>
  <c r="AQ11" i="11"/>
  <c r="AA83" i="9"/>
  <c r="C85" i="9"/>
  <c r="G85" i="9" s="1"/>
  <c r="L85" i="9"/>
  <c r="M85" i="9" s="1"/>
  <c r="X88" i="9"/>
  <c r="K91" i="9"/>
  <c r="C104" i="9"/>
  <c r="G104" i="9" s="1"/>
  <c r="P106" i="9"/>
  <c r="C108" i="9"/>
  <c r="E106" i="9"/>
  <c r="E13" i="9" s="1"/>
  <c r="N17" i="10"/>
  <c r="N21" i="10"/>
  <c r="N25" i="10"/>
  <c r="N29" i="10"/>
  <c r="F33" i="10"/>
  <c r="C63" i="10"/>
  <c r="G63" i="10" s="1"/>
  <c r="H76" i="10"/>
  <c r="N78" i="10"/>
  <c r="J85" i="10"/>
  <c r="C90" i="10"/>
  <c r="G90" i="10" s="1"/>
  <c r="C93" i="10"/>
  <c r="G93" i="10" s="1"/>
  <c r="AR15" i="11"/>
  <c r="J17" i="11"/>
  <c r="Q18" i="11"/>
  <c r="H18" i="11"/>
  <c r="N15" i="11"/>
  <c r="I19" i="11"/>
  <c r="Q29" i="11"/>
  <c r="H29" i="11"/>
  <c r="N33" i="11"/>
  <c r="Q34" i="11"/>
  <c r="H34" i="11"/>
  <c r="AM35" i="11"/>
  <c r="AO35" i="11" s="1"/>
  <c r="AJ36" i="11"/>
  <c r="AF33" i="11"/>
  <c r="L48" i="11"/>
  <c r="S48" i="11"/>
  <c r="S57" i="11"/>
  <c r="I57" i="11"/>
  <c r="AH87" i="11"/>
  <c r="AE76" i="11"/>
  <c r="H112" i="11"/>
  <c r="K112" i="11" s="1"/>
  <c r="Q112" i="11"/>
  <c r="T105" i="12"/>
  <c r="V15" i="11"/>
  <c r="Q16" i="11"/>
  <c r="AS15" i="11"/>
  <c r="AG15" i="11"/>
  <c r="S18" i="11"/>
  <c r="I18" i="11"/>
  <c r="J23" i="11"/>
  <c r="L27" i="11"/>
  <c r="Y31" i="11"/>
  <c r="AP33" i="11"/>
  <c r="AA36" i="11"/>
  <c r="I36" i="11"/>
  <c r="J38" i="11"/>
  <c r="Q39" i="11"/>
  <c r="H39" i="11"/>
  <c r="Q44" i="11"/>
  <c r="H44" i="11"/>
  <c r="Q46" i="11"/>
  <c r="J46" i="11"/>
  <c r="Y52" i="11"/>
  <c r="AP54" i="11"/>
  <c r="AG54" i="11"/>
  <c r="AQ54" i="11"/>
  <c r="V54" i="11"/>
  <c r="Y59" i="11"/>
  <c r="H87" i="11"/>
  <c r="I88" i="11"/>
  <c r="S88" i="11"/>
  <c r="S110" i="11"/>
  <c r="I110" i="11"/>
  <c r="M110" i="11" s="1"/>
  <c r="S112" i="11"/>
  <c r="I112" i="11"/>
  <c r="M112" i="11" s="1"/>
  <c r="K50" i="12"/>
  <c r="D91" i="12"/>
  <c r="D12" i="12" s="1"/>
  <c r="C93" i="12"/>
  <c r="C110" i="9"/>
  <c r="G110" i="9" s="1"/>
  <c r="D33" i="10"/>
  <c r="P34" i="10"/>
  <c r="L33" i="10"/>
  <c r="P38" i="10"/>
  <c r="P42" i="10"/>
  <c r="P46" i="10"/>
  <c r="P50" i="10"/>
  <c r="C92" i="10"/>
  <c r="D91" i="10"/>
  <c r="D12" i="10" s="1"/>
  <c r="D106" i="10"/>
  <c r="D13" i="10" s="1"/>
  <c r="W15" i="11"/>
  <c r="I16" i="11"/>
  <c r="Z15" i="11"/>
  <c r="AA16" i="11"/>
  <c r="S17" i="11"/>
  <c r="O15" i="11"/>
  <c r="C21" i="11"/>
  <c r="G21" i="11" s="1"/>
  <c r="C26" i="11"/>
  <c r="G26" i="11" s="1"/>
  <c r="S26" i="11"/>
  <c r="I26" i="11"/>
  <c r="L32" i="11"/>
  <c r="X33" i="11"/>
  <c r="S39" i="11"/>
  <c r="I39" i="11"/>
  <c r="O33" i="11"/>
  <c r="S41" i="11"/>
  <c r="I41" i="11"/>
  <c r="L46" i="11"/>
  <c r="S46" i="11"/>
  <c r="I56" i="11"/>
  <c r="O54" i="11"/>
  <c r="S56" i="11"/>
  <c r="AA56" i="11"/>
  <c r="Z54" i="11"/>
  <c r="I64" i="11"/>
  <c r="S64" i="11"/>
  <c r="J65" i="11"/>
  <c r="Q65" i="11"/>
  <c r="K36" i="12"/>
  <c r="H36" i="12"/>
  <c r="T11" i="11"/>
  <c r="R15" i="11"/>
  <c r="Y23" i="11"/>
  <c r="AM27" i="11"/>
  <c r="AO27" i="11" s="1"/>
  <c r="J31" i="11"/>
  <c r="AM32" i="11"/>
  <c r="AO32" i="11" s="1"/>
  <c r="C34" i="11"/>
  <c r="D33" i="11"/>
  <c r="S34" i="11"/>
  <c r="I34" i="11"/>
  <c r="AS33" i="11"/>
  <c r="L35" i="11"/>
  <c r="AH41" i="11"/>
  <c r="S44" i="11"/>
  <c r="I44" i="11"/>
  <c r="J49" i="11"/>
  <c r="Q50" i="11"/>
  <c r="H50" i="11"/>
  <c r="E54" i="11"/>
  <c r="J56" i="11"/>
  <c r="J57" i="11"/>
  <c r="J58" i="11"/>
  <c r="AS54" i="11"/>
  <c r="Q63" i="11"/>
  <c r="H63" i="11"/>
  <c r="J64" i="11"/>
  <c r="V76" i="11"/>
  <c r="AA80" i="11"/>
  <c r="W76" i="11"/>
  <c r="AJ86" i="11"/>
  <c r="I86" i="11"/>
  <c r="I93" i="11"/>
  <c r="M93" i="11" s="1"/>
  <c r="AM109" i="11"/>
  <c r="AO109" i="11" s="1"/>
  <c r="AP106" i="11"/>
  <c r="AP13" i="11" s="1"/>
  <c r="T14" i="12"/>
  <c r="N14" i="12" s="1"/>
  <c r="H14" i="12" s="1"/>
  <c r="J14" i="12" s="1"/>
  <c r="L14" i="12"/>
  <c r="C21" i="12"/>
  <c r="G21" i="12" s="1"/>
  <c r="D15" i="12"/>
  <c r="H39" i="12"/>
  <c r="K39" i="12"/>
  <c r="K52" i="12"/>
  <c r="H52" i="12"/>
  <c r="N15" i="13"/>
  <c r="J16" i="13"/>
  <c r="T16" i="13"/>
  <c r="Z15" i="13"/>
  <c r="R107" i="9"/>
  <c r="C55" i="10"/>
  <c r="C71" i="10"/>
  <c r="G71" i="10" s="1"/>
  <c r="M76" i="10"/>
  <c r="K91" i="10"/>
  <c r="N92" i="10"/>
  <c r="S16" i="11"/>
  <c r="AB15" i="11"/>
  <c r="AA17" i="11"/>
  <c r="J20" i="11"/>
  <c r="E33" i="11"/>
  <c r="AB33" i="11"/>
  <c r="AK33" i="11"/>
  <c r="J36" i="11"/>
  <c r="L38" i="11"/>
  <c r="S38" i="11"/>
  <c r="J44" i="11"/>
  <c r="Q49" i="11"/>
  <c r="L55" i="11"/>
  <c r="S55" i="11"/>
  <c r="L56" i="11"/>
  <c r="AB54" i="11"/>
  <c r="Q57" i="11"/>
  <c r="AK54" i="11"/>
  <c r="L64" i="11"/>
  <c r="L65" i="11"/>
  <c r="AD76" i="11"/>
  <c r="AN76" i="11"/>
  <c r="X76" i="11"/>
  <c r="L88" i="11"/>
  <c r="Y111" i="11"/>
  <c r="H111" i="11"/>
  <c r="K111" i="11" s="1"/>
  <c r="L11" i="12"/>
  <c r="K19" i="12"/>
  <c r="H19" i="12"/>
  <c r="Q33" i="12"/>
  <c r="K72" i="12"/>
  <c r="H72" i="12"/>
  <c r="C83" i="12"/>
  <c r="G83" i="12" s="1"/>
  <c r="D76" i="12"/>
  <c r="BV11" i="13"/>
  <c r="BY11" i="13" s="1"/>
  <c r="BY13" i="13"/>
  <c r="I80" i="11"/>
  <c r="S80" i="11"/>
  <c r="AA111" i="11"/>
  <c r="I111" i="11"/>
  <c r="M111" i="11" s="1"/>
  <c r="K67" i="12"/>
  <c r="H67" i="12"/>
  <c r="K81" i="12"/>
  <c r="H81" i="12"/>
  <c r="K102" i="12"/>
  <c r="M102" i="12" s="1"/>
  <c r="H102" i="12"/>
  <c r="J102" i="12" s="1"/>
  <c r="C67" i="10"/>
  <c r="G67" i="10" s="1"/>
  <c r="C79" i="10"/>
  <c r="G79" i="10" s="1"/>
  <c r="E106" i="10"/>
  <c r="E13" i="10" s="1"/>
  <c r="C109" i="10"/>
  <c r="G109" i="10" s="1"/>
  <c r="AE15" i="11"/>
  <c r="L16" i="11"/>
  <c r="Q21" i="11"/>
  <c r="H21" i="11"/>
  <c r="I22" i="11"/>
  <c r="S23" i="11"/>
  <c r="I23" i="11"/>
  <c r="L25" i="11"/>
  <c r="Q26" i="11"/>
  <c r="H26" i="11"/>
  <c r="T33" i="11"/>
  <c r="AD33" i="11"/>
  <c r="Q37" i="11"/>
  <c r="H37" i="11"/>
  <c r="I38" i="11"/>
  <c r="J41" i="11"/>
  <c r="Q42" i="11"/>
  <c r="H42" i="11"/>
  <c r="Q47" i="11"/>
  <c r="H47" i="11"/>
  <c r="AI54" i="11"/>
  <c r="F54" i="11"/>
  <c r="Q81" i="11"/>
  <c r="AJ83" i="11"/>
  <c r="Q92" i="11"/>
  <c r="H92" i="11"/>
  <c r="N91" i="11"/>
  <c r="H95" i="11"/>
  <c r="K95" i="11" s="1"/>
  <c r="AH95" i="11"/>
  <c r="N106" i="11"/>
  <c r="Q108" i="11"/>
  <c r="H108" i="11"/>
  <c r="K108" i="11" s="1"/>
  <c r="H25" i="12"/>
  <c r="K28" i="12"/>
  <c r="H28" i="12"/>
  <c r="O54" i="12"/>
  <c r="T86" i="12"/>
  <c r="H86" i="12"/>
  <c r="K90" i="12"/>
  <c r="H90" i="12"/>
  <c r="P91" i="12"/>
  <c r="P12" i="12" s="1"/>
  <c r="H94" i="12"/>
  <c r="J94" i="12" s="1"/>
  <c r="I72" i="11"/>
  <c r="S72" i="11"/>
  <c r="AM77" i="11"/>
  <c r="AR76" i="11"/>
  <c r="J86" i="11"/>
  <c r="Q86" i="11"/>
  <c r="H90" i="11"/>
  <c r="Q90" i="11"/>
  <c r="J90" i="11"/>
  <c r="AG76" i="11"/>
  <c r="H61" i="12"/>
  <c r="T61" i="12"/>
  <c r="AV18" i="13"/>
  <c r="AW18" i="13" s="1"/>
  <c r="AZ15" i="13"/>
  <c r="BN18" i="13"/>
  <c r="BR15" i="13"/>
  <c r="AK15" i="13"/>
  <c r="AF19" i="13"/>
  <c r="AG19" i="13" s="1"/>
  <c r="V33" i="11"/>
  <c r="Y34" i="11"/>
  <c r="AQ33" i="11"/>
  <c r="C42" i="11"/>
  <c r="G42" i="11" s="1"/>
  <c r="Y44" i="11"/>
  <c r="AH49" i="11"/>
  <c r="S52" i="11"/>
  <c r="I52" i="11"/>
  <c r="AJ55" i="11"/>
  <c r="AF54" i="11"/>
  <c r="AH57" i="11"/>
  <c r="AA64" i="11"/>
  <c r="AM65" i="11"/>
  <c r="AO65" i="11" s="1"/>
  <c r="Q71" i="11"/>
  <c r="H71" i="11"/>
  <c r="AJ75" i="11"/>
  <c r="AI76" i="11"/>
  <c r="L77" i="11"/>
  <c r="AI11" i="11"/>
  <c r="I95" i="11"/>
  <c r="M95" i="11" s="1"/>
  <c r="S95" i="11"/>
  <c r="E33" i="12"/>
  <c r="N33" i="12"/>
  <c r="H34" i="12"/>
  <c r="H71" i="12"/>
  <c r="AK76" i="11"/>
  <c r="V106" i="11"/>
  <c r="Y107" i="11"/>
  <c r="O106" i="11"/>
  <c r="I108" i="11"/>
  <c r="M108" i="11" s="1"/>
  <c r="S108" i="11"/>
  <c r="K32" i="12"/>
  <c r="O33" i="12"/>
  <c r="L34" i="12"/>
  <c r="C36" i="12"/>
  <c r="G36" i="12" s="1"/>
  <c r="C52" i="12"/>
  <c r="G52" i="12" s="1"/>
  <c r="C75" i="12"/>
  <c r="G75" i="12" s="1"/>
  <c r="K82" i="12"/>
  <c r="H82" i="12"/>
  <c r="H88" i="12"/>
  <c r="K111" i="12"/>
  <c r="M111" i="12" s="1"/>
  <c r="H111" i="12"/>
  <c r="J111" i="12" s="1"/>
  <c r="Q11" i="13"/>
  <c r="BX17" i="13"/>
  <c r="CB15" i="13"/>
  <c r="AT15" i="13"/>
  <c r="AH33" i="13"/>
  <c r="AD34" i="13"/>
  <c r="I63" i="11"/>
  <c r="I71" i="11"/>
  <c r="N76" i="11"/>
  <c r="U76" i="11"/>
  <c r="AC76" i="11"/>
  <c r="I79" i="11"/>
  <c r="E91" i="11"/>
  <c r="E12" i="11" s="1"/>
  <c r="W106" i="11"/>
  <c r="AM107" i="11"/>
  <c r="AR106" i="11"/>
  <c r="AR13" i="11" s="1"/>
  <c r="AJ114" i="11"/>
  <c r="I114" i="11"/>
  <c r="M114" i="11" s="1"/>
  <c r="H16" i="12"/>
  <c r="N15" i="12"/>
  <c r="K29" i="12"/>
  <c r="H29" i="12"/>
  <c r="D33" i="12"/>
  <c r="K59" i="12"/>
  <c r="H59" i="12"/>
  <c r="K103" i="12"/>
  <c r="M103" i="12" s="1"/>
  <c r="H103" i="12"/>
  <c r="J103" i="12" s="1"/>
  <c r="M107" i="12"/>
  <c r="BX19" i="13"/>
  <c r="BY19" i="13" s="1"/>
  <c r="CD15" i="13"/>
  <c r="T34" i="13"/>
  <c r="U34" i="13" s="1"/>
  <c r="X33" i="13"/>
  <c r="AX81" i="13"/>
  <c r="BC76" i="13"/>
  <c r="D54" i="11"/>
  <c r="C55" i="11"/>
  <c r="H66" i="11"/>
  <c r="H74" i="11"/>
  <c r="K74" i="11" s="1"/>
  <c r="O76" i="11"/>
  <c r="H82" i="11"/>
  <c r="S86" i="11"/>
  <c r="Q87" i="11"/>
  <c r="W91" i="11"/>
  <c r="AR91" i="11"/>
  <c r="AR12" i="11" s="1"/>
  <c r="I99" i="11"/>
  <c r="M99" i="11" s="1"/>
  <c r="I101" i="11"/>
  <c r="M101" i="11" s="1"/>
  <c r="I103" i="11"/>
  <c r="M103" i="11" s="1"/>
  <c r="I105" i="11"/>
  <c r="M105" i="11" s="1"/>
  <c r="H107" i="11"/>
  <c r="Q11" i="12"/>
  <c r="E15" i="12"/>
  <c r="O15" i="12"/>
  <c r="H17" i="12"/>
  <c r="K20" i="12"/>
  <c r="H20" i="12"/>
  <c r="H30" i="12"/>
  <c r="K44" i="12"/>
  <c r="H44" i="12"/>
  <c r="T46" i="12"/>
  <c r="H47" i="12"/>
  <c r="N54" i="12"/>
  <c r="O76" i="12"/>
  <c r="D106" i="12"/>
  <c r="D13" i="12" s="1"/>
  <c r="AD24" i="13"/>
  <c r="AE24" i="13" s="1"/>
  <c r="AH15" i="13"/>
  <c r="I42" i="11"/>
  <c r="H45" i="11"/>
  <c r="I50" i="11"/>
  <c r="H53" i="11"/>
  <c r="AJ62" i="11"/>
  <c r="L63" i="11"/>
  <c r="C65" i="11"/>
  <c r="G65" i="11" s="1"/>
  <c r="AJ70" i="11"/>
  <c r="L71" i="11"/>
  <c r="C73" i="11"/>
  <c r="G73" i="11" s="1"/>
  <c r="P76" i="11"/>
  <c r="E76" i="11"/>
  <c r="AJ78" i="11"/>
  <c r="AM78" i="11"/>
  <c r="AO78" i="11" s="1"/>
  <c r="AP76" i="11"/>
  <c r="L79" i="11"/>
  <c r="C81" i="11"/>
  <c r="G81" i="11" s="1"/>
  <c r="S82" i="11"/>
  <c r="J85" i="11"/>
  <c r="S87" i="11"/>
  <c r="I87" i="11"/>
  <c r="S89" i="11"/>
  <c r="AN91" i="11"/>
  <c r="AN12" i="11" s="1"/>
  <c r="AN11" i="11" s="1"/>
  <c r="AE91" i="11"/>
  <c r="AH93" i="11"/>
  <c r="AH97" i="11"/>
  <c r="E106" i="11"/>
  <c r="E13" i="11" s="1"/>
  <c r="D106" i="11"/>
  <c r="D13" i="11" s="1"/>
  <c r="AM110" i="11"/>
  <c r="AO110" i="11" s="1"/>
  <c r="H26" i="12"/>
  <c r="C29" i="12"/>
  <c r="G29" i="12" s="1"/>
  <c r="F33" i="12"/>
  <c r="K35" i="12"/>
  <c r="H35" i="12"/>
  <c r="H45" i="12"/>
  <c r="H48" i="12"/>
  <c r="K51" i="12"/>
  <c r="H51" i="12"/>
  <c r="H56" i="12"/>
  <c r="K74" i="12"/>
  <c r="H74" i="12"/>
  <c r="K93" i="12"/>
  <c r="H93" i="12"/>
  <c r="J93" i="12" s="1"/>
  <c r="N91" i="12"/>
  <c r="N12" i="12" s="1"/>
  <c r="E15" i="13"/>
  <c r="C16" i="13"/>
  <c r="BP16" i="13"/>
  <c r="BS15" i="13"/>
  <c r="AF17" i="13"/>
  <c r="AG17" i="13" s="1"/>
  <c r="I15" i="13"/>
  <c r="Y56" i="11"/>
  <c r="I60" i="11"/>
  <c r="H62" i="11"/>
  <c r="S63" i="11"/>
  <c r="AA65" i="11"/>
  <c r="Q67" i="11"/>
  <c r="H70" i="11"/>
  <c r="S71" i="11"/>
  <c r="AA73" i="11"/>
  <c r="Q75" i="11"/>
  <c r="H78" i="11"/>
  <c r="H79" i="11"/>
  <c r="S79" i="11"/>
  <c r="AA81" i="11"/>
  <c r="Q83" i="11"/>
  <c r="AJ85" i="11"/>
  <c r="O91" i="11"/>
  <c r="S93" i="11"/>
  <c r="AF91" i="11"/>
  <c r="AJ94" i="11"/>
  <c r="AJ107" i="11"/>
  <c r="I107" i="11"/>
  <c r="Q15" i="12"/>
  <c r="L16" i="12"/>
  <c r="L36" i="12"/>
  <c r="I36" i="12" s="1"/>
  <c r="H41" i="12"/>
  <c r="C44" i="12"/>
  <c r="G44" i="12" s="1"/>
  <c r="C55" i="12"/>
  <c r="E54" i="12"/>
  <c r="P54" i="12"/>
  <c r="K55" i="12"/>
  <c r="E76" i="12"/>
  <c r="Q76" i="12"/>
  <c r="L77" i="12"/>
  <c r="H87" i="12"/>
  <c r="K89" i="12"/>
  <c r="H89" i="12"/>
  <c r="Y11" i="13"/>
  <c r="AF16" i="13"/>
  <c r="AI15" i="13"/>
  <c r="AQ15" i="13"/>
  <c r="Y15" i="13"/>
  <c r="V17" i="13"/>
  <c r="W17" i="13" s="1"/>
  <c r="AE54" i="11"/>
  <c r="Q56" i="11"/>
  <c r="C58" i="11"/>
  <c r="G58" i="11" s="1"/>
  <c r="H61" i="11"/>
  <c r="I62" i="11"/>
  <c r="L62" i="11"/>
  <c r="Y64" i="11"/>
  <c r="S65" i="11"/>
  <c r="Q66" i="11"/>
  <c r="H69" i="11"/>
  <c r="I70" i="11"/>
  <c r="L70" i="11"/>
  <c r="Y72" i="11"/>
  <c r="Q74" i="11"/>
  <c r="H77" i="11"/>
  <c r="I78" i="11"/>
  <c r="L78" i="11"/>
  <c r="R76" i="11"/>
  <c r="Z76" i="11"/>
  <c r="Y80" i="11"/>
  <c r="S81" i="11"/>
  <c r="Q82" i="11"/>
  <c r="H85" i="11"/>
  <c r="L87" i="11"/>
  <c r="AH90" i="11"/>
  <c r="AP91" i="11"/>
  <c r="AP12" i="11" s="1"/>
  <c r="I92" i="11"/>
  <c r="Q93" i="11"/>
  <c r="C97" i="11"/>
  <c r="G97" i="11" s="1"/>
  <c r="H98" i="11"/>
  <c r="K98" i="11" s="1"/>
  <c r="Q99" i="11"/>
  <c r="H100" i="11"/>
  <c r="K100" i="11" s="1"/>
  <c r="Q101" i="11"/>
  <c r="H102" i="11"/>
  <c r="K102" i="11" s="1"/>
  <c r="Q103" i="11"/>
  <c r="H104" i="11"/>
  <c r="K104" i="11" s="1"/>
  <c r="Q105" i="11"/>
  <c r="AF106" i="11"/>
  <c r="AE106" i="11"/>
  <c r="AH108" i="11"/>
  <c r="F15" i="12"/>
  <c r="R15" i="12"/>
  <c r="K21" i="12"/>
  <c r="H21" i="12"/>
  <c r="T23" i="12"/>
  <c r="H24" i="12"/>
  <c r="F54" i="12"/>
  <c r="Q54" i="12"/>
  <c r="L55" i="12"/>
  <c r="H64" i="12"/>
  <c r="K66" i="12"/>
  <c r="H66" i="12"/>
  <c r="K75" i="12"/>
  <c r="H75" i="12"/>
  <c r="F76" i="12"/>
  <c r="R76" i="12"/>
  <c r="T76" i="12" s="1"/>
  <c r="K94" i="12"/>
  <c r="M94" i="12" s="1"/>
  <c r="H95" i="12"/>
  <c r="J95" i="12" s="1"/>
  <c r="P106" i="12"/>
  <c r="P13" i="12" s="1"/>
  <c r="H107" i="12"/>
  <c r="K110" i="12"/>
  <c r="M110" i="12" s="1"/>
  <c r="H110" i="12"/>
  <c r="J110" i="12" s="1"/>
  <c r="BL15" i="13"/>
  <c r="AD16" i="13"/>
  <c r="AJ15" i="13"/>
  <c r="J17" i="13"/>
  <c r="K17" i="13" s="1"/>
  <c r="AD21" i="13"/>
  <c r="AE21" i="13" s="1"/>
  <c r="BE15" i="13"/>
  <c r="T19" i="13"/>
  <c r="U19" i="13" s="1"/>
  <c r="BQ49" i="13"/>
  <c r="BM33" i="13"/>
  <c r="BQ33" i="13" s="1"/>
  <c r="CC76" i="13"/>
  <c r="N76" i="12"/>
  <c r="AD20" i="13"/>
  <c r="AE20" i="13" s="1"/>
  <c r="N33" i="13"/>
  <c r="BZ55" i="13"/>
  <c r="CA55" i="13" s="1"/>
  <c r="CC54" i="13"/>
  <c r="Q54" i="13"/>
  <c r="M87" i="13"/>
  <c r="W87" i="13"/>
  <c r="AG87" i="13"/>
  <c r="H15" i="13"/>
  <c r="AL15" i="13"/>
  <c r="BM15" i="13"/>
  <c r="AX17" i="13"/>
  <c r="AY17" i="13" s="1"/>
  <c r="BD15" i="13"/>
  <c r="V20" i="13"/>
  <c r="W20" i="13" s="1"/>
  <c r="AD22" i="13"/>
  <c r="AE22" i="13" s="1"/>
  <c r="BP23" i="13"/>
  <c r="AF25" i="13"/>
  <c r="AG25" i="13" s="1"/>
  <c r="T30" i="13"/>
  <c r="U30" i="13" s="1"/>
  <c r="CE33" i="13"/>
  <c r="AO33" i="13"/>
  <c r="AN54" i="13"/>
  <c r="AB54" i="13"/>
  <c r="S15" i="13"/>
  <c r="AC15" i="13"/>
  <c r="AU15" i="13"/>
  <c r="BV15" i="13"/>
  <c r="BZ21" i="13"/>
  <c r="CA21" i="13" s="1"/>
  <c r="AI33" i="13"/>
  <c r="BC33" i="13"/>
  <c r="BK33" i="13"/>
  <c r="AV36" i="13"/>
  <c r="AW36" i="13" s="1"/>
  <c r="BU33" i="13"/>
  <c r="J52" i="13"/>
  <c r="K52" i="13" s="1"/>
  <c r="AC54" i="13"/>
  <c r="CE54" i="13"/>
  <c r="AA107" i="11"/>
  <c r="N106" i="12"/>
  <c r="N13" i="12" s="1"/>
  <c r="X15" i="13"/>
  <c r="BT15" i="13"/>
  <c r="CF15" i="13"/>
  <c r="AD19" i="13"/>
  <c r="AE19" i="13" s="1"/>
  <c r="J20" i="13"/>
  <c r="K20" i="13" s="1"/>
  <c r="J28" i="13"/>
  <c r="K28" i="13" s="1"/>
  <c r="BN34" i="13"/>
  <c r="J38" i="13"/>
  <c r="K38" i="13" s="1"/>
  <c r="AD55" i="13"/>
  <c r="AE55" i="13" s="1"/>
  <c r="AH54" i="13"/>
  <c r="AP54" i="13"/>
  <c r="AF67" i="13"/>
  <c r="AG67" i="13" s="1"/>
  <c r="AI54" i="13"/>
  <c r="D54" i="14"/>
  <c r="C55" i="14"/>
  <c r="R91" i="12"/>
  <c r="BU15" i="13"/>
  <c r="V16" i="13"/>
  <c r="AO15" i="13"/>
  <c r="AV16" i="13"/>
  <c r="BH15" i="13"/>
  <c r="BN19" i="13"/>
  <c r="L23" i="13"/>
  <c r="M23" i="13" s="1"/>
  <c r="AV24" i="13"/>
  <c r="AW24" i="13" s="1"/>
  <c r="AX25" i="13"/>
  <c r="AY25" i="13" s="1"/>
  <c r="BX30" i="13"/>
  <c r="BY30" i="13" s="1"/>
  <c r="F33" i="13"/>
  <c r="R33" i="13"/>
  <c r="T38" i="13"/>
  <c r="U38" i="13" s="1"/>
  <c r="T40" i="13"/>
  <c r="U40" i="13" s="1"/>
  <c r="I54" i="13"/>
  <c r="Z33" i="13"/>
  <c r="BB33" i="13"/>
  <c r="BJ33" i="13"/>
  <c r="CF33" i="13"/>
  <c r="AX51" i="13"/>
  <c r="AY51" i="13" s="1"/>
  <c r="BN52" i="13"/>
  <c r="BM54" i="13"/>
  <c r="BQ54" i="13" s="1"/>
  <c r="AQ54" i="13"/>
  <c r="BT54" i="13"/>
  <c r="BU54" i="13"/>
  <c r="BP57" i="13"/>
  <c r="L60" i="13"/>
  <c r="J64" i="13"/>
  <c r="K64" i="13" s="1"/>
  <c r="BZ65" i="13"/>
  <c r="BX66" i="13"/>
  <c r="AD82" i="13"/>
  <c r="AE82" i="13" s="1"/>
  <c r="C87" i="14"/>
  <c r="G87" i="14" s="1"/>
  <c r="D76" i="14"/>
  <c r="AY28" i="13"/>
  <c r="AX29" i="13"/>
  <c r="AY29" i="13" s="1"/>
  <c r="L31" i="13"/>
  <c r="M31" i="13" s="1"/>
  <c r="AX31" i="13"/>
  <c r="AY31" i="13" s="1"/>
  <c r="P33" i="13"/>
  <c r="AK33" i="13"/>
  <c r="AS33" i="13"/>
  <c r="BY34" i="13"/>
  <c r="BV33" i="13"/>
  <c r="AB33" i="13"/>
  <c r="BX51" i="13"/>
  <c r="H54" i="13"/>
  <c r="AX56" i="13"/>
  <c r="AY56" i="13" s="1"/>
  <c r="CD54" i="13"/>
  <c r="K61" i="13"/>
  <c r="AE61" i="13"/>
  <c r="U61" i="13"/>
  <c r="BP61" i="13"/>
  <c r="BX64" i="13"/>
  <c r="BY64" i="13" s="1"/>
  <c r="AD66" i="13"/>
  <c r="AE66" i="13" s="1"/>
  <c r="V67" i="13"/>
  <c r="W67" i="13" s="1"/>
  <c r="AD68" i="13"/>
  <c r="AE68" i="13" s="1"/>
  <c r="AX68" i="13"/>
  <c r="AY68" i="13" s="1"/>
  <c r="AF73" i="13"/>
  <c r="D76" i="13"/>
  <c r="CD76" i="13"/>
  <c r="BX77" i="13"/>
  <c r="BY77" i="13" s="1"/>
  <c r="H76" i="13"/>
  <c r="C95" i="13"/>
  <c r="G95" i="13" s="1"/>
  <c r="D91" i="13"/>
  <c r="D12" i="13" s="1"/>
  <c r="AG112" i="13"/>
  <c r="M112" i="13"/>
  <c r="W112" i="13"/>
  <c r="J48" i="14"/>
  <c r="H33" i="14"/>
  <c r="I76" i="14"/>
  <c r="BG15" i="13"/>
  <c r="BW15" i="13"/>
  <c r="CE15" i="13"/>
  <c r="AX23" i="13"/>
  <c r="AY23" i="13" s="1"/>
  <c r="AF27" i="13"/>
  <c r="AG27" i="13" s="1"/>
  <c r="AX27" i="13"/>
  <c r="AY27" i="13" s="1"/>
  <c r="BZ27" i="13"/>
  <c r="L29" i="13"/>
  <c r="M29" i="13" s="1"/>
  <c r="AF29" i="13"/>
  <c r="AG29" i="13" s="1"/>
  <c r="AV32" i="13"/>
  <c r="AW32" i="13" s="1"/>
  <c r="AU33" i="13"/>
  <c r="E33" i="13"/>
  <c r="AL33" i="13"/>
  <c r="AT33" i="13"/>
  <c r="BD33" i="13"/>
  <c r="BO34" i="13"/>
  <c r="BL33" i="13"/>
  <c r="BO33" i="13" s="1"/>
  <c r="C51" i="13"/>
  <c r="G51" i="13" s="1"/>
  <c r="AV52" i="13"/>
  <c r="AW52" i="13" s="1"/>
  <c r="V55" i="13"/>
  <c r="Y54" i="13"/>
  <c r="CA57" i="13"/>
  <c r="BW54" i="13"/>
  <c r="AE60" i="13"/>
  <c r="U60" i="13"/>
  <c r="K60" i="13"/>
  <c r="T70" i="13"/>
  <c r="U70" i="13" s="1"/>
  <c r="BS76" i="13"/>
  <c r="BP77" i="13"/>
  <c r="Q54" i="15"/>
  <c r="I61" i="15"/>
  <c r="BZ45" i="13"/>
  <c r="AX49" i="13"/>
  <c r="AY49" i="13" s="1"/>
  <c r="BZ49" i="13"/>
  <c r="D54" i="13"/>
  <c r="AD56" i="13"/>
  <c r="AE56" i="13" s="1"/>
  <c r="AJ54" i="13"/>
  <c r="AR54" i="13"/>
  <c r="S54" i="13"/>
  <c r="L57" i="13"/>
  <c r="M57" i="13" s="1"/>
  <c r="T60" i="13"/>
  <c r="AJ76" i="13"/>
  <c r="G110" i="13"/>
  <c r="C114" i="13"/>
  <c r="G114" i="13" s="1"/>
  <c r="D106" i="13"/>
  <c r="D13" i="13" s="1"/>
  <c r="BZ22" i="13"/>
  <c r="CA22" i="13" s="1"/>
  <c r="C26" i="13"/>
  <c r="G26" i="13" s="1"/>
  <c r="T28" i="13"/>
  <c r="U28" i="13" s="1"/>
  <c r="BZ29" i="13"/>
  <c r="CA29" i="13" s="1"/>
  <c r="AD30" i="13"/>
  <c r="AE30" i="13" s="1"/>
  <c r="AF31" i="13"/>
  <c r="AG31" i="13" s="1"/>
  <c r="H33" i="13"/>
  <c r="AN33" i="13"/>
  <c r="AV34" i="13"/>
  <c r="AW34" i="13" s="1"/>
  <c r="BF33" i="13"/>
  <c r="D33" i="13"/>
  <c r="AX35" i="13"/>
  <c r="AY35" i="13" s="1"/>
  <c r="C37" i="13"/>
  <c r="G37" i="13" s="1"/>
  <c r="L37" i="13"/>
  <c r="M37" i="13" s="1"/>
  <c r="V37" i="13"/>
  <c r="W37" i="13" s="1"/>
  <c r="AX37" i="13"/>
  <c r="AY37" i="13" s="1"/>
  <c r="BZ39" i="13"/>
  <c r="CA39" i="13" s="1"/>
  <c r="AF41" i="13"/>
  <c r="AG41" i="13" s="1"/>
  <c r="AX41" i="13"/>
  <c r="AY41" i="13" s="1"/>
  <c r="BZ41" i="13"/>
  <c r="AX43" i="13"/>
  <c r="AY43" i="13" s="1"/>
  <c r="C45" i="13"/>
  <c r="G45" i="13" s="1"/>
  <c r="L45" i="13"/>
  <c r="M45" i="13" s="1"/>
  <c r="V45" i="13"/>
  <c r="W45" i="13" s="1"/>
  <c r="AX45" i="13"/>
  <c r="AY45" i="13" s="1"/>
  <c r="V47" i="13"/>
  <c r="W47" i="13" s="1"/>
  <c r="AF47" i="13"/>
  <c r="AG47" i="13" s="1"/>
  <c r="BP47" i="13"/>
  <c r="V49" i="13"/>
  <c r="W49" i="13" s="1"/>
  <c r="AV50" i="13"/>
  <c r="AW50" i="13" s="1"/>
  <c r="L53" i="13"/>
  <c r="M53" i="13" s="1"/>
  <c r="AA54" i="13"/>
  <c r="AV55" i="13"/>
  <c r="BF54" i="13"/>
  <c r="BN55" i="13"/>
  <c r="CF54" i="13"/>
  <c r="AD57" i="13"/>
  <c r="AE57" i="13" s="1"/>
  <c r="AT76" i="13"/>
  <c r="BX79" i="13"/>
  <c r="CB76" i="13"/>
  <c r="BA76" i="13"/>
  <c r="AX80" i="13"/>
  <c r="AF106" i="13"/>
  <c r="AF13" i="13" s="1"/>
  <c r="BQ107" i="13"/>
  <c r="BM106" i="13"/>
  <c r="AG109" i="13"/>
  <c r="M109" i="13"/>
  <c r="I106" i="13"/>
  <c r="W109" i="13"/>
  <c r="AV21" i="13"/>
  <c r="AW21" i="13" s="1"/>
  <c r="AF23" i="13"/>
  <c r="AG23" i="13" s="1"/>
  <c r="V29" i="13"/>
  <c r="W29" i="13" s="1"/>
  <c r="BR33" i="13"/>
  <c r="CB33" i="13"/>
  <c r="BX34" i="13"/>
  <c r="L35" i="13"/>
  <c r="M35" i="13" s="1"/>
  <c r="AF35" i="13"/>
  <c r="AV38" i="13"/>
  <c r="AW38" i="13" s="1"/>
  <c r="V39" i="13"/>
  <c r="W39" i="13" s="1"/>
  <c r="AF39" i="13"/>
  <c r="AG39" i="13" s="1"/>
  <c r="BP39" i="13"/>
  <c r="V41" i="13"/>
  <c r="W41" i="13" s="1"/>
  <c r="BX42" i="13"/>
  <c r="AF43" i="13"/>
  <c r="AG43" i="13" s="1"/>
  <c r="AV46" i="13"/>
  <c r="AW46" i="13" s="1"/>
  <c r="L47" i="13"/>
  <c r="M47" i="13" s="1"/>
  <c r="BN48" i="13"/>
  <c r="T50" i="13"/>
  <c r="U50" i="13" s="1"/>
  <c r="V53" i="13"/>
  <c r="W53" i="13" s="1"/>
  <c r="J55" i="13"/>
  <c r="K55" i="13" s="1"/>
  <c r="P54" i="13"/>
  <c r="BG54" i="13"/>
  <c r="CG54" i="13"/>
  <c r="BZ56" i="13"/>
  <c r="AX57" i="13"/>
  <c r="AY57" i="13" s="1"/>
  <c r="BO60" i="13"/>
  <c r="BL54" i="13"/>
  <c r="BO54" i="13" s="1"/>
  <c r="AV62" i="13"/>
  <c r="V63" i="13"/>
  <c r="AD63" i="13"/>
  <c r="AD64" i="13"/>
  <c r="AE64" i="13" s="1"/>
  <c r="V69" i="13"/>
  <c r="M73" i="13"/>
  <c r="W73" i="13"/>
  <c r="L75" i="13"/>
  <c r="BD76" i="13"/>
  <c r="BO78" i="13"/>
  <c r="BL76" i="13"/>
  <c r="BO76" i="13" s="1"/>
  <c r="T83" i="13"/>
  <c r="U83" i="13" s="1"/>
  <c r="U96" i="13"/>
  <c r="K96" i="13"/>
  <c r="AE96" i="13"/>
  <c r="E54" i="13"/>
  <c r="O54" i="13"/>
  <c r="L55" i="13"/>
  <c r="CB54" i="13"/>
  <c r="BX55" i="13"/>
  <c r="BY55" i="13" s="1"/>
  <c r="F54" i="13"/>
  <c r="BN56" i="13"/>
  <c r="BR54" i="13"/>
  <c r="BI76" i="13"/>
  <c r="V91" i="13"/>
  <c r="V12" i="13" s="1"/>
  <c r="W97" i="13"/>
  <c r="BR91" i="13"/>
  <c r="BN101" i="13"/>
  <c r="BO101" i="13" s="1"/>
  <c r="BO91" i="13" s="1"/>
  <c r="C19" i="14"/>
  <c r="G19" i="14" s="1"/>
  <c r="H32" i="15"/>
  <c r="K32" i="15" s="1"/>
  <c r="O32" i="15"/>
  <c r="L15" i="15"/>
  <c r="S110" i="15"/>
  <c r="P106" i="15"/>
  <c r="I77" i="16"/>
  <c r="J77" i="16" s="1"/>
  <c r="M76" i="16"/>
  <c r="I84" i="16"/>
  <c r="J84" i="16" s="1"/>
  <c r="L76" i="16"/>
  <c r="AD35" i="13"/>
  <c r="AE35" i="13" s="1"/>
  <c r="AF51" i="13"/>
  <c r="AG51" i="13" s="1"/>
  <c r="AV51" i="13"/>
  <c r="AW51" i="13" s="1"/>
  <c r="AK54" i="13"/>
  <c r="AS54" i="13"/>
  <c r="BA54" i="13"/>
  <c r="BI54" i="13"/>
  <c r="BS54" i="13"/>
  <c r="BP55" i="13"/>
  <c r="BB54" i="13"/>
  <c r="BJ54" i="13"/>
  <c r="AF57" i="13"/>
  <c r="AG57" i="13" s="1"/>
  <c r="AV57" i="13"/>
  <c r="AW57" i="13" s="1"/>
  <c r="W60" i="13"/>
  <c r="M60" i="13"/>
  <c r="L63" i="13"/>
  <c r="S76" i="13"/>
  <c r="AA76" i="13"/>
  <c r="AK76" i="13"/>
  <c r="CE76" i="13"/>
  <c r="BZ77" i="13"/>
  <c r="CA77" i="13" s="1"/>
  <c r="C82" i="13"/>
  <c r="G82" i="13" s="1"/>
  <c r="AW92" i="13"/>
  <c r="AT91" i="13"/>
  <c r="U93" i="13"/>
  <c r="K93" i="13"/>
  <c r="AE93" i="13"/>
  <c r="AE97" i="13"/>
  <c r="K97" i="13"/>
  <c r="U97" i="13"/>
  <c r="BN106" i="13"/>
  <c r="BN13" i="13" s="1"/>
  <c r="C38" i="14"/>
  <c r="G38" i="14" s="1"/>
  <c r="C21" i="15"/>
  <c r="G21" i="15" s="1"/>
  <c r="D15" i="15"/>
  <c r="V74" i="13"/>
  <c r="W74" i="13" s="1"/>
  <c r="AB76" i="13"/>
  <c r="AL76" i="13"/>
  <c r="BU76" i="13"/>
  <c r="AD78" i="13"/>
  <c r="AE78" i="13" s="1"/>
  <c r="AV79" i="13"/>
  <c r="AW79" i="13" s="1"/>
  <c r="V88" i="13"/>
  <c r="W88" i="13" s="1"/>
  <c r="T91" i="13"/>
  <c r="T12" i="13" s="1"/>
  <c r="T11" i="13" s="1"/>
  <c r="AY92" i="13"/>
  <c r="AU91" i="13"/>
  <c r="AF91" i="13"/>
  <c r="AF12" i="13" s="1"/>
  <c r="AG97" i="13"/>
  <c r="K33" i="14"/>
  <c r="U24" i="17"/>
  <c r="R24" i="17"/>
  <c r="O24" i="17"/>
  <c r="I24" i="17"/>
  <c r="L24" i="17" s="1"/>
  <c r="AZ33" i="13"/>
  <c r="C34" i="13"/>
  <c r="AF53" i="13"/>
  <c r="AG53" i="13" s="1"/>
  <c r="AM54" i="13"/>
  <c r="AU54" i="13"/>
  <c r="BC54" i="13"/>
  <c r="BK54" i="13"/>
  <c r="BP58" i="13"/>
  <c r="AV59" i="13"/>
  <c r="AW59" i="13" s="1"/>
  <c r="AG60" i="13"/>
  <c r="J61" i="13"/>
  <c r="BP63" i="13"/>
  <c r="L65" i="13"/>
  <c r="M65" i="13" s="1"/>
  <c r="BZ66" i="13"/>
  <c r="AE69" i="13"/>
  <c r="U69" i="13"/>
  <c r="K69" i="13"/>
  <c r="BX72" i="13"/>
  <c r="N76" i="13"/>
  <c r="AC76" i="13"/>
  <c r="AM76" i="13"/>
  <c r="AU76" i="13"/>
  <c r="BE76" i="13"/>
  <c r="BM76" i="13"/>
  <c r="BQ76" i="13" s="1"/>
  <c r="BV76" i="13"/>
  <c r="CG76" i="13"/>
  <c r="C79" i="13"/>
  <c r="G79" i="13" s="1"/>
  <c r="AX79" i="13"/>
  <c r="AY79" i="13" s="1"/>
  <c r="BX81" i="13"/>
  <c r="L83" i="13"/>
  <c r="M83" i="13" s="1"/>
  <c r="C84" i="13"/>
  <c r="G84" i="13" s="1"/>
  <c r="L84" i="13"/>
  <c r="M84" i="13" s="1"/>
  <c r="AV85" i="13"/>
  <c r="BX86" i="13"/>
  <c r="M104" i="13"/>
  <c r="AG104" i="13"/>
  <c r="W104" i="13"/>
  <c r="C22" i="14"/>
  <c r="G22" i="14" s="1"/>
  <c r="E54" i="14"/>
  <c r="D91" i="14"/>
  <c r="D12" i="14" s="1"/>
  <c r="AL54" i="13"/>
  <c r="AT54" i="13"/>
  <c r="BZ57" i="13"/>
  <c r="AX59" i="13"/>
  <c r="AY59" i="13" s="1"/>
  <c r="AD60" i="13"/>
  <c r="L61" i="13"/>
  <c r="BZ68" i="13"/>
  <c r="W69" i="13"/>
  <c r="AG69" i="13"/>
  <c r="AD70" i="13"/>
  <c r="AE70" i="13" s="1"/>
  <c r="AV71" i="13"/>
  <c r="AW71" i="13" s="1"/>
  <c r="BZ72" i="13"/>
  <c r="T75" i="13"/>
  <c r="AI76" i="13"/>
  <c r="E76" i="13"/>
  <c r="V77" i="13"/>
  <c r="AD77" i="13"/>
  <c r="BF76" i="13"/>
  <c r="BH76" i="13"/>
  <c r="BN81" i="13"/>
  <c r="BR76" i="13"/>
  <c r="BZ81" i="13"/>
  <c r="AX83" i="13"/>
  <c r="AY83" i="13" s="1"/>
  <c r="AD85" i="13"/>
  <c r="AX85" i="13"/>
  <c r="BZ86" i="13"/>
  <c r="E91" i="14"/>
  <c r="E12" i="14" s="1"/>
  <c r="I34" i="15"/>
  <c r="Q33" i="15"/>
  <c r="I39" i="15"/>
  <c r="K39" i="15" s="1"/>
  <c r="M33" i="15"/>
  <c r="C67" i="15"/>
  <c r="G67" i="15" s="1"/>
  <c r="D54" i="15"/>
  <c r="BZ51" i="13"/>
  <c r="T55" i="13"/>
  <c r="C56" i="13"/>
  <c r="J56" i="13"/>
  <c r="K56" i="13" s="1"/>
  <c r="N54" i="13"/>
  <c r="AF59" i="13"/>
  <c r="AG59" i="13" s="1"/>
  <c r="V60" i="13"/>
  <c r="BN61" i="13"/>
  <c r="T67" i="13"/>
  <c r="U67" i="13" s="1"/>
  <c r="T69" i="13"/>
  <c r="AD69" i="13"/>
  <c r="AD71" i="13"/>
  <c r="AE71" i="13" s="1"/>
  <c r="AX71" i="13"/>
  <c r="AY71" i="13" s="1"/>
  <c r="K73" i="13"/>
  <c r="U73" i="13"/>
  <c r="J75" i="13"/>
  <c r="V75" i="13"/>
  <c r="AD75" i="13"/>
  <c r="F76" i="13"/>
  <c r="O76" i="13"/>
  <c r="AO76" i="13"/>
  <c r="BG76" i="13"/>
  <c r="J78" i="13"/>
  <c r="K78" i="13" s="1"/>
  <c r="P76" i="13"/>
  <c r="BP81" i="13"/>
  <c r="AF83" i="13"/>
  <c r="AG83" i="13" s="1"/>
  <c r="AF85" i="13"/>
  <c r="K87" i="13"/>
  <c r="U87" i="13"/>
  <c r="V90" i="13"/>
  <c r="W90" i="13" s="1"/>
  <c r="BN90" i="13"/>
  <c r="H91" i="13"/>
  <c r="BL91" i="13"/>
  <c r="BL12" i="13" s="1"/>
  <c r="AE112" i="13"/>
  <c r="K112" i="13"/>
  <c r="U112" i="13"/>
  <c r="C35" i="14"/>
  <c r="G35" i="14" s="1"/>
  <c r="I16" i="15"/>
  <c r="O16" i="15"/>
  <c r="M15" i="15"/>
  <c r="I83" i="16"/>
  <c r="J83" i="16" s="1"/>
  <c r="AE104" i="13"/>
  <c r="K104" i="13"/>
  <c r="BL106" i="13"/>
  <c r="BO107" i="13"/>
  <c r="H106" i="13"/>
  <c r="AE109" i="13"/>
  <c r="K109" i="13"/>
  <c r="C20" i="14"/>
  <c r="G20" i="14" s="1"/>
  <c r="C36" i="14"/>
  <c r="G36" i="14" s="1"/>
  <c r="J68" i="14"/>
  <c r="C75" i="14"/>
  <c r="G75" i="14" s="1"/>
  <c r="H76" i="14"/>
  <c r="J84" i="14"/>
  <c r="H91" i="14"/>
  <c r="C17" i="15"/>
  <c r="C22" i="15"/>
  <c r="G22" i="15" s="1"/>
  <c r="D33" i="15"/>
  <c r="I57" i="15"/>
  <c r="M54" i="15"/>
  <c r="C78" i="15"/>
  <c r="G78" i="15" s="1"/>
  <c r="D76" i="15"/>
  <c r="N54" i="16"/>
  <c r="H19" i="15"/>
  <c r="K19" i="15" s="1"/>
  <c r="O19" i="15"/>
  <c r="H21" i="15"/>
  <c r="K21" i="15" s="1"/>
  <c r="O21" i="15"/>
  <c r="R54" i="15"/>
  <c r="AW107" i="13"/>
  <c r="AT106" i="13"/>
  <c r="E33" i="14"/>
  <c r="J55" i="15"/>
  <c r="W62" i="13"/>
  <c r="C70" i="13"/>
  <c r="G70" i="13" s="1"/>
  <c r="BX75" i="13"/>
  <c r="AH76" i="13"/>
  <c r="AP76" i="13"/>
  <c r="AV77" i="13"/>
  <c r="CF76" i="13"/>
  <c r="T81" i="13"/>
  <c r="U81" i="13" s="1"/>
  <c r="AX82" i="13"/>
  <c r="BN82" i="13"/>
  <c r="T89" i="13"/>
  <c r="AD91" i="13"/>
  <c r="AD12" i="13" s="1"/>
  <c r="AD11" i="13" s="1"/>
  <c r="AE103" i="13"/>
  <c r="AG108" i="13"/>
  <c r="M108" i="13"/>
  <c r="AV106" i="13"/>
  <c r="AV13" i="13" s="1"/>
  <c r="AV11" i="13" s="1"/>
  <c r="J26" i="14"/>
  <c r="F33" i="14"/>
  <c r="J42" i="14"/>
  <c r="C52" i="14"/>
  <c r="G52" i="14" s="1"/>
  <c r="F54" i="14"/>
  <c r="J59" i="14"/>
  <c r="H106" i="14"/>
  <c r="C108" i="14"/>
  <c r="G108" i="14" s="1"/>
  <c r="D106" i="14"/>
  <c r="D13" i="14" s="1"/>
  <c r="N15" i="15"/>
  <c r="C24" i="15"/>
  <c r="G24" i="15" s="1"/>
  <c r="L54" i="15"/>
  <c r="N15" i="16"/>
  <c r="I28" i="17"/>
  <c r="L28" i="17" s="1"/>
  <c r="U28" i="17"/>
  <c r="O28" i="17"/>
  <c r="AX65" i="13"/>
  <c r="AY65" i="13" s="1"/>
  <c r="BN65" i="13"/>
  <c r="BP67" i="13"/>
  <c r="BX67" i="13"/>
  <c r="V72" i="13"/>
  <c r="W72" i="13" s="1"/>
  <c r="AD72" i="13"/>
  <c r="AE72" i="13" s="1"/>
  <c r="BP75" i="13"/>
  <c r="Q76" i="13"/>
  <c r="Y76" i="13"/>
  <c r="AF77" i="13"/>
  <c r="AG77" i="13" s="1"/>
  <c r="BZ78" i="13"/>
  <c r="L81" i="13"/>
  <c r="BP84" i="13"/>
  <c r="BX84" i="13"/>
  <c r="BY84" i="13" s="1"/>
  <c r="V86" i="13"/>
  <c r="W86" i="13" s="1"/>
  <c r="AD86" i="13"/>
  <c r="AE86" i="13" s="1"/>
  <c r="AV88" i="13"/>
  <c r="AW88" i="13" s="1"/>
  <c r="J90" i="13"/>
  <c r="K90" i="13" s="1"/>
  <c r="BM91" i="13"/>
  <c r="BQ92" i="13"/>
  <c r="I91" i="13"/>
  <c r="AG94" i="13"/>
  <c r="M94" i="13"/>
  <c r="AE95" i="13"/>
  <c r="AE100" i="13"/>
  <c r="K100" i="13"/>
  <c r="AU106" i="13"/>
  <c r="BY106" i="13"/>
  <c r="U109" i="13"/>
  <c r="AG111" i="13"/>
  <c r="M111" i="13"/>
  <c r="F15" i="14"/>
  <c r="H54" i="14"/>
  <c r="S25" i="15"/>
  <c r="H25" i="15"/>
  <c r="K25" i="15" s="1"/>
  <c r="O28" i="15"/>
  <c r="H29" i="15"/>
  <c r="K29" i="15" s="1"/>
  <c r="L33" i="16"/>
  <c r="I34" i="16"/>
  <c r="C73" i="13"/>
  <c r="G73" i="13" s="1"/>
  <c r="J73" i="13"/>
  <c r="AF74" i="13"/>
  <c r="AG74" i="13" s="1"/>
  <c r="AV74" i="13"/>
  <c r="AW74" i="13" s="1"/>
  <c r="R76" i="13"/>
  <c r="Z76" i="13"/>
  <c r="BN79" i="13"/>
  <c r="AD83" i="13"/>
  <c r="AE83" i="13" s="1"/>
  <c r="C87" i="13"/>
  <c r="G87" i="13" s="1"/>
  <c r="J87" i="13"/>
  <c r="AF88" i="13"/>
  <c r="AG88" i="13" s="1"/>
  <c r="AX88" i="13"/>
  <c r="AY88" i="13" s="1"/>
  <c r="L89" i="13"/>
  <c r="M89" i="13" s="1"/>
  <c r="BX89" i="13"/>
  <c r="BY89" i="13" s="1"/>
  <c r="L90" i="13"/>
  <c r="M90" i="13" s="1"/>
  <c r="AG99" i="13"/>
  <c r="M99" i="13"/>
  <c r="AG100" i="13"/>
  <c r="M100" i="13"/>
  <c r="K103" i="13"/>
  <c r="U104" i="13"/>
  <c r="E106" i="13"/>
  <c r="E13" i="13" s="1"/>
  <c r="C112" i="13"/>
  <c r="G112" i="13" s="1"/>
  <c r="D15" i="14"/>
  <c r="H15" i="14"/>
  <c r="J18" i="14"/>
  <c r="C28" i="14"/>
  <c r="G28" i="14" s="1"/>
  <c r="J34" i="14"/>
  <c r="C44" i="14"/>
  <c r="G44" i="14" s="1"/>
  <c r="I54" i="14"/>
  <c r="C61" i="14"/>
  <c r="G61" i="14" s="1"/>
  <c r="J72" i="14"/>
  <c r="C94" i="14"/>
  <c r="G94" i="14" s="1"/>
  <c r="C105" i="14"/>
  <c r="G105" i="14" s="1"/>
  <c r="S17" i="15"/>
  <c r="P15" i="15"/>
  <c r="S15" i="15" s="1"/>
  <c r="H17" i="15"/>
  <c r="K17" i="15" s="1"/>
  <c r="P33" i="15"/>
  <c r="S33" i="15" s="1"/>
  <c r="C58" i="15"/>
  <c r="G58" i="15" s="1"/>
  <c r="P91" i="15"/>
  <c r="K15" i="16"/>
  <c r="I55" i="16"/>
  <c r="J55" i="16" s="1"/>
  <c r="L54" i="16"/>
  <c r="C110" i="17"/>
  <c r="G110" i="17" s="1"/>
  <c r="E106" i="17"/>
  <c r="E13" i="17" s="1"/>
  <c r="O39" i="15"/>
  <c r="O92" i="15"/>
  <c r="L91" i="15"/>
  <c r="H15" i="16"/>
  <c r="C39" i="16"/>
  <c r="G39" i="16" s="1"/>
  <c r="I50" i="16"/>
  <c r="J50" i="16" s="1"/>
  <c r="C57" i="16"/>
  <c r="G57" i="16" s="1"/>
  <c r="J94" i="16"/>
  <c r="H91" i="16"/>
  <c r="D106" i="16"/>
  <c r="D13" i="16" s="1"/>
  <c r="U16" i="17"/>
  <c r="H15" i="17"/>
  <c r="R16" i="17"/>
  <c r="O16" i="17"/>
  <c r="I16" i="17"/>
  <c r="C39" i="17"/>
  <c r="G39" i="17" s="1"/>
  <c r="D33" i="17"/>
  <c r="N54" i="15"/>
  <c r="M33" i="16"/>
  <c r="O54" i="16"/>
  <c r="I84" i="17"/>
  <c r="L84" i="17" s="1"/>
  <c r="U84" i="17"/>
  <c r="O84" i="17"/>
  <c r="R84" i="17"/>
  <c r="H109" i="18"/>
  <c r="I106" i="18"/>
  <c r="I76" i="13"/>
  <c r="BP101" i="13"/>
  <c r="BP91" i="13" s="1"/>
  <c r="BP12" i="13" s="1"/>
  <c r="BP11" i="13" s="1"/>
  <c r="E15" i="14"/>
  <c r="Q15" i="15"/>
  <c r="H28" i="15"/>
  <c r="O31" i="15"/>
  <c r="R33" i="15"/>
  <c r="I65" i="15"/>
  <c r="J74" i="15"/>
  <c r="E91" i="15"/>
  <c r="E12" i="15" s="1"/>
  <c r="C92" i="15"/>
  <c r="C107" i="15"/>
  <c r="O15" i="16"/>
  <c r="N33" i="16"/>
  <c r="I41" i="16"/>
  <c r="J41" i="16" s="1"/>
  <c r="I48" i="16"/>
  <c r="J48" i="16" s="1"/>
  <c r="C50" i="16"/>
  <c r="G50" i="16" s="1"/>
  <c r="E54" i="16"/>
  <c r="K54" i="16"/>
  <c r="C100" i="16"/>
  <c r="G100" i="16" s="1"/>
  <c r="P33" i="17"/>
  <c r="I44" i="17"/>
  <c r="L44" i="17" s="1"/>
  <c r="O44" i="17"/>
  <c r="R44" i="17"/>
  <c r="R65" i="17"/>
  <c r="O65" i="17"/>
  <c r="C16" i="18"/>
  <c r="E15" i="18"/>
  <c r="D33" i="14"/>
  <c r="C83" i="14"/>
  <c r="G83" i="14" s="1"/>
  <c r="C100" i="14"/>
  <c r="G100" i="14" s="1"/>
  <c r="M76" i="15"/>
  <c r="J101" i="15"/>
  <c r="J91" i="15" s="1"/>
  <c r="J12" i="15" s="1"/>
  <c r="J11" i="15" s="1"/>
  <c r="H101" i="15"/>
  <c r="R91" i="15"/>
  <c r="R12" i="15" s="1"/>
  <c r="R11" i="15" s="1"/>
  <c r="D15" i="16"/>
  <c r="F15" i="16"/>
  <c r="E33" i="16"/>
  <c r="C59" i="16"/>
  <c r="G59" i="16" s="1"/>
  <c r="C66" i="16"/>
  <c r="G66" i="16" s="1"/>
  <c r="I73" i="16"/>
  <c r="J73" i="16" s="1"/>
  <c r="H76" i="16"/>
  <c r="N11" i="17"/>
  <c r="C34" i="17"/>
  <c r="E33" i="17"/>
  <c r="Q33" i="17"/>
  <c r="I35" i="17"/>
  <c r="L35" i="17" s="1"/>
  <c r="U35" i="17"/>
  <c r="R35" i="17"/>
  <c r="N54" i="17"/>
  <c r="I65" i="17"/>
  <c r="L65" i="17" s="1"/>
  <c r="T54" i="17"/>
  <c r="I74" i="17"/>
  <c r="L74" i="17" s="1"/>
  <c r="U74" i="17"/>
  <c r="R74" i="17"/>
  <c r="O74" i="17"/>
  <c r="M76" i="17"/>
  <c r="C59" i="14"/>
  <c r="G59" i="14" s="1"/>
  <c r="P54" i="15"/>
  <c r="S54" i="15" s="1"/>
  <c r="J61" i="15"/>
  <c r="I73" i="15"/>
  <c r="F76" i="15"/>
  <c r="L106" i="15"/>
  <c r="C35" i="16"/>
  <c r="G35" i="16" s="1"/>
  <c r="D33" i="16"/>
  <c r="I39" i="16"/>
  <c r="J39" i="16" s="1"/>
  <c r="I57" i="16"/>
  <c r="J57" i="16" s="1"/>
  <c r="C79" i="16"/>
  <c r="G79" i="16" s="1"/>
  <c r="D76" i="16"/>
  <c r="P15" i="17"/>
  <c r="R17" i="17"/>
  <c r="O17" i="17"/>
  <c r="I17" i="17"/>
  <c r="L17" i="17" s="1"/>
  <c r="U53" i="17"/>
  <c r="R53" i="17"/>
  <c r="I53" i="17"/>
  <c r="L53" i="17" s="1"/>
  <c r="U61" i="17"/>
  <c r="O61" i="17"/>
  <c r="R61" i="17"/>
  <c r="L33" i="15"/>
  <c r="I45" i="16"/>
  <c r="J45" i="16" s="1"/>
  <c r="I52" i="16"/>
  <c r="J52" i="16" s="1"/>
  <c r="D54" i="16"/>
  <c r="M54" i="16"/>
  <c r="I91" i="16"/>
  <c r="I12" i="16" s="1"/>
  <c r="I11" i="16" s="1"/>
  <c r="Q15" i="17"/>
  <c r="R29" i="17"/>
  <c r="I29" i="17"/>
  <c r="L29" i="17" s="1"/>
  <c r="U29" i="17"/>
  <c r="O34" i="17"/>
  <c r="U34" i="17"/>
  <c r="I34" i="17"/>
  <c r="S33" i="17"/>
  <c r="U43" i="17"/>
  <c r="E54" i="17"/>
  <c r="I61" i="17"/>
  <c r="O73" i="17"/>
  <c r="U73" i="17"/>
  <c r="I73" i="17"/>
  <c r="L73" i="17" s="1"/>
  <c r="E76" i="17"/>
  <c r="C77" i="17"/>
  <c r="T76" i="17"/>
  <c r="M11" i="17"/>
  <c r="J33" i="18"/>
  <c r="M15" i="16"/>
  <c r="N76" i="16"/>
  <c r="R12" i="17"/>
  <c r="O12" i="17"/>
  <c r="U12" i="17"/>
  <c r="H11" i="17"/>
  <c r="M15" i="17"/>
  <c r="R26" i="17"/>
  <c r="I27" i="17"/>
  <c r="L27" i="17" s="1"/>
  <c r="U27" i="17"/>
  <c r="R27" i="17"/>
  <c r="U32" i="17"/>
  <c r="R32" i="17"/>
  <c r="I32" i="17"/>
  <c r="L32" i="17" s="1"/>
  <c r="I52" i="17"/>
  <c r="L52" i="17" s="1"/>
  <c r="U52" i="17"/>
  <c r="O52" i="17"/>
  <c r="R52" i="17"/>
  <c r="U64" i="17"/>
  <c r="R64" i="17"/>
  <c r="O64" i="17"/>
  <c r="R69" i="17"/>
  <c r="I69" i="17"/>
  <c r="L69" i="17" s="1"/>
  <c r="M11" i="16"/>
  <c r="E15" i="16"/>
  <c r="H54" i="16"/>
  <c r="C77" i="16"/>
  <c r="E76" i="16"/>
  <c r="I85" i="16"/>
  <c r="J85" i="16" s="1"/>
  <c r="D91" i="16"/>
  <c r="D12" i="16" s="1"/>
  <c r="I11" i="17"/>
  <c r="L11" i="17" s="1"/>
  <c r="I20" i="17"/>
  <c r="L20" i="17" s="1"/>
  <c r="U20" i="17"/>
  <c r="I26" i="17"/>
  <c r="L26" i="17" s="1"/>
  <c r="K33" i="17"/>
  <c r="T33" i="17"/>
  <c r="I64" i="17"/>
  <c r="L64" i="17" s="1"/>
  <c r="I68" i="17"/>
  <c r="L68" i="17" s="1"/>
  <c r="U68" i="17"/>
  <c r="R68" i="17"/>
  <c r="J15" i="18"/>
  <c r="Y56" i="18"/>
  <c r="Z56" i="18" s="1"/>
  <c r="AB54" i="18"/>
  <c r="I36" i="16"/>
  <c r="J36" i="16" s="1"/>
  <c r="I70" i="16"/>
  <c r="J70" i="16" s="1"/>
  <c r="F76" i="16"/>
  <c r="R25" i="17"/>
  <c r="O25" i="17"/>
  <c r="J54" i="17"/>
  <c r="D76" i="17"/>
  <c r="I19" i="16"/>
  <c r="J19" i="16" s="1"/>
  <c r="I21" i="16"/>
  <c r="I27" i="16"/>
  <c r="J27" i="16" s="1"/>
  <c r="I29" i="16"/>
  <c r="J29" i="16" s="1"/>
  <c r="C34" i="16"/>
  <c r="I43" i="16"/>
  <c r="J43" i="16" s="1"/>
  <c r="I68" i="16"/>
  <c r="J68" i="16" s="1"/>
  <c r="D15" i="17"/>
  <c r="O18" i="17"/>
  <c r="I18" i="17"/>
  <c r="L18" i="17" s="1"/>
  <c r="I25" i="17"/>
  <c r="L25" i="17" s="1"/>
  <c r="M33" i="17"/>
  <c r="C36" i="17"/>
  <c r="G36" i="17" s="1"/>
  <c r="C37" i="17"/>
  <c r="G37" i="17" s="1"/>
  <c r="R66" i="17"/>
  <c r="I67" i="17"/>
  <c r="L67" i="17" s="1"/>
  <c r="U67" i="17"/>
  <c r="O67" i="17"/>
  <c r="C70" i="17"/>
  <c r="G70" i="17" s="1"/>
  <c r="R75" i="17"/>
  <c r="O75" i="17"/>
  <c r="N76" i="17"/>
  <c r="E91" i="17"/>
  <c r="E12" i="17" s="1"/>
  <c r="C111" i="17"/>
  <c r="G111" i="17" s="1"/>
  <c r="U48" i="17"/>
  <c r="R48" i="17"/>
  <c r="R49" i="17"/>
  <c r="O49" i="17"/>
  <c r="O50" i="17"/>
  <c r="R50" i="17"/>
  <c r="R59" i="17"/>
  <c r="S76" i="17"/>
  <c r="U78" i="17"/>
  <c r="H76" i="17"/>
  <c r="I78" i="17"/>
  <c r="R78" i="17"/>
  <c r="R89" i="17"/>
  <c r="R91" i="17"/>
  <c r="O91" i="17"/>
  <c r="N64" i="18"/>
  <c r="R64" i="18"/>
  <c r="P64" i="18"/>
  <c r="T64" i="18"/>
  <c r="C83" i="16"/>
  <c r="G83" i="16" s="1"/>
  <c r="H106" i="16"/>
  <c r="L19" i="17"/>
  <c r="R19" i="17"/>
  <c r="C22" i="17"/>
  <c r="G22" i="17" s="1"/>
  <c r="C29" i="17"/>
  <c r="G29" i="17" s="1"/>
  <c r="I48" i="17"/>
  <c r="L48" i="17" s="1"/>
  <c r="I49" i="17"/>
  <c r="L49" i="17" s="1"/>
  <c r="I50" i="17"/>
  <c r="L50" i="17" s="1"/>
  <c r="R51" i="17"/>
  <c r="D54" i="17"/>
  <c r="C69" i="17"/>
  <c r="G69" i="17" s="1"/>
  <c r="R71" i="17"/>
  <c r="I71" i="17"/>
  <c r="L71" i="17" s="1"/>
  <c r="K76" i="17"/>
  <c r="I89" i="17"/>
  <c r="L89" i="17" s="1"/>
  <c r="I90" i="17"/>
  <c r="L90" i="17" s="1"/>
  <c r="U90" i="17"/>
  <c r="R90" i="17"/>
  <c r="C94" i="17"/>
  <c r="G94" i="17" s="1"/>
  <c r="F15" i="18"/>
  <c r="AC15" i="18"/>
  <c r="M15" i="18"/>
  <c r="AD15" i="18"/>
  <c r="H20" i="18"/>
  <c r="AC54" i="18"/>
  <c r="L64" i="18"/>
  <c r="H16" i="18"/>
  <c r="K33" i="18"/>
  <c r="AB33" i="18"/>
  <c r="E15" i="17"/>
  <c r="O19" i="17"/>
  <c r="J33" i="17"/>
  <c r="U40" i="17"/>
  <c r="R40" i="17"/>
  <c r="R41" i="17"/>
  <c r="O41" i="17"/>
  <c r="O42" i="17"/>
  <c r="R42" i="17"/>
  <c r="O51" i="17"/>
  <c r="Q76" i="17"/>
  <c r="H33" i="16"/>
  <c r="C42" i="16"/>
  <c r="G42" i="16" s="1"/>
  <c r="I60" i="16"/>
  <c r="J60" i="16" s="1"/>
  <c r="C95" i="16"/>
  <c r="G95" i="16" s="1"/>
  <c r="C107" i="16"/>
  <c r="C21" i="17"/>
  <c r="G21" i="17" s="1"/>
  <c r="R36" i="17"/>
  <c r="I40" i="17"/>
  <c r="L40" i="17" s="1"/>
  <c r="I41" i="17"/>
  <c r="L41" i="17" s="1"/>
  <c r="I42" i="17"/>
  <c r="L42" i="17" s="1"/>
  <c r="R43" i="17"/>
  <c r="C46" i="17"/>
  <c r="G46" i="17" s="1"/>
  <c r="O48" i="17"/>
  <c r="C53" i="17"/>
  <c r="G53" i="17" s="1"/>
  <c r="K54" i="17"/>
  <c r="S54" i="17"/>
  <c r="U56" i="17"/>
  <c r="R56" i="17"/>
  <c r="H54" i="17"/>
  <c r="P54" i="17"/>
  <c r="R57" i="17"/>
  <c r="O57" i="17"/>
  <c r="R58" i="17"/>
  <c r="O60" i="17"/>
  <c r="O71" i="17"/>
  <c r="R79" i="17"/>
  <c r="O79" i="17"/>
  <c r="O80" i="17"/>
  <c r="R80" i="17"/>
  <c r="I80" i="17"/>
  <c r="L80" i="17" s="1"/>
  <c r="I81" i="17"/>
  <c r="L81" i="17" s="1"/>
  <c r="R81" i="17"/>
  <c r="C85" i="17"/>
  <c r="G85" i="17" s="1"/>
  <c r="R87" i="17"/>
  <c r="I87" i="17"/>
  <c r="L87" i="17" s="1"/>
  <c r="O90" i="17"/>
  <c r="H34" i="18"/>
  <c r="I33" i="18"/>
  <c r="U56" i="18"/>
  <c r="V56" i="18" s="1"/>
  <c r="C78" i="18"/>
  <c r="G78" i="18" s="1"/>
  <c r="D76" i="18"/>
  <c r="M76" i="18"/>
  <c r="T89" i="18"/>
  <c r="W15" i="18"/>
  <c r="Q33" i="18"/>
  <c r="Y35" i="18"/>
  <c r="D33" i="18"/>
  <c r="O76" i="18"/>
  <c r="O72" i="17"/>
  <c r="O88" i="17"/>
  <c r="C102" i="17"/>
  <c r="G102" i="17" s="1"/>
  <c r="Y36" i="18"/>
  <c r="AA33" i="18"/>
  <c r="C41" i="18"/>
  <c r="G41" i="18" s="1"/>
  <c r="P14" i="18"/>
  <c r="Z14" i="18"/>
  <c r="T14" i="18"/>
  <c r="H19" i="18"/>
  <c r="H23" i="18"/>
  <c r="H26" i="18"/>
  <c r="C30" i="18"/>
  <c r="G30" i="18" s="1"/>
  <c r="H31" i="18"/>
  <c r="E33" i="18"/>
  <c r="AA54" i="18"/>
  <c r="Y55" i="18"/>
  <c r="R56" i="18"/>
  <c r="N56" i="18"/>
  <c r="T56" i="18"/>
  <c r="L56" i="18"/>
  <c r="Q54" i="18"/>
  <c r="AD54" i="18"/>
  <c r="H24" i="18"/>
  <c r="C28" i="18"/>
  <c r="G28" i="18" s="1"/>
  <c r="H32" i="18"/>
  <c r="U36" i="18"/>
  <c r="H49" i="18"/>
  <c r="N59" i="18"/>
  <c r="T59" i="18"/>
  <c r="L59" i="18"/>
  <c r="P59" i="18"/>
  <c r="Y69" i="18"/>
  <c r="U91" i="18"/>
  <c r="U12" i="18" s="1"/>
  <c r="U11" i="18" s="1"/>
  <c r="H21" i="18"/>
  <c r="H29" i="18"/>
  <c r="AD33" i="18"/>
  <c r="U38" i="18"/>
  <c r="U52" i="18"/>
  <c r="Y53" i="18"/>
  <c r="S54" i="18"/>
  <c r="C56" i="18"/>
  <c r="G56" i="18" s="1"/>
  <c r="D54" i="18"/>
  <c r="H28" i="18"/>
  <c r="C32" i="18"/>
  <c r="G32" i="18" s="1"/>
  <c r="C35" i="18"/>
  <c r="U44" i="18"/>
  <c r="Y45" i="18"/>
  <c r="H48" i="18"/>
  <c r="E54" i="18"/>
  <c r="M54" i="18"/>
  <c r="H35" i="18"/>
  <c r="C50" i="18"/>
  <c r="G50" i="18" s="1"/>
  <c r="K54" i="18"/>
  <c r="X54" i="18"/>
  <c r="U55" i="18"/>
  <c r="H57" i="18"/>
  <c r="I54" i="18"/>
  <c r="C60" i="18"/>
  <c r="G60" i="18" s="1"/>
  <c r="U79" i="18"/>
  <c r="V79" i="18" s="1"/>
  <c r="X76" i="18"/>
  <c r="C98" i="18"/>
  <c r="G98" i="18" s="1"/>
  <c r="U46" i="18"/>
  <c r="C48" i="18"/>
  <c r="G48" i="18" s="1"/>
  <c r="H58" i="18"/>
  <c r="D91" i="18"/>
  <c r="D12" i="18" s="1"/>
  <c r="C107" i="18"/>
  <c r="D106" i="18"/>
  <c r="D13" i="18" s="1"/>
  <c r="X33" i="18"/>
  <c r="F54" i="18"/>
  <c r="Y57" i="18"/>
  <c r="C68" i="18"/>
  <c r="G68" i="18" s="1"/>
  <c r="AD76" i="18"/>
  <c r="U90" i="18"/>
  <c r="W76" i="18"/>
  <c r="C46" i="18"/>
  <c r="G46" i="18" s="1"/>
  <c r="E76" i="18"/>
  <c r="R79" i="18"/>
  <c r="P79" i="18"/>
  <c r="Y91" i="18"/>
  <c r="Y12" i="18" s="1"/>
  <c r="Y11" i="18" s="1"/>
  <c r="E106" i="18"/>
  <c r="E13" i="18" s="1"/>
  <c r="E91" i="18"/>
  <c r="E12" i="18" s="1"/>
  <c r="C52" i="18"/>
  <c r="G52" i="18" s="1"/>
  <c r="C74" i="18"/>
  <c r="G74" i="18" s="1"/>
  <c r="H78" i="18"/>
  <c r="I76" i="18"/>
  <c r="Y85" i="18"/>
  <c r="I91" i="18"/>
  <c r="C114" i="18"/>
  <c r="G114" i="18" s="1"/>
  <c r="C80" i="18"/>
  <c r="G80" i="18" s="1"/>
  <c r="C88" i="18"/>
  <c r="G88" i="18" s="1"/>
  <c r="C94" i="18"/>
  <c r="G94" i="18" s="1"/>
  <c r="C84" i="18"/>
  <c r="G84" i="18" s="1"/>
  <c r="C92" i="18"/>
  <c r="H97" i="18"/>
  <c r="K76" i="18"/>
  <c r="S76" i="18"/>
  <c r="AA76" i="18"/>
  <c r="C82" i="18"/>
  <c r="G82" i="18" s="1"/>
  <c r="C90" i="18"/>
  <c r="G90" i="18" s="1"/>
  <c r="L11" i="13" l="1"/>
  <c r="AF11" i="13"/>
  <c r="L56" i="1"/>
  <c r="L26" i="1"/>
  <c r="J41" i="12"/>
  <c r="M41" i="12"/>
  <c r="L83" i="18"/>
  <c r="J59" i="7"/>
  <c r="U36" i="4"/>
  <c r="AB36" i="4" s="1"/>
  <c r="U29" i="4"/>
  <c r="AB29" i="4" s="1"/>
  <c r="M45" i="11"/>
  <c r="J90" i="6"/>
  <c r="O13" i="8"/>
  <c r="H13" i="1"/>
  <c r="M106" i="1"/>
  <c r="P110" i="18"/>
  <c r="N110" i="18"/>
  <c r="R110" i="18"/>
  <c r="L110" i="18"/>
  <c r="Z110" i="18"/>
  <c r="V110" i="18"/>
  <c r="C62" i="7"/>
  <c r="J62" i="7" s="1"/>
  <c r="L27" i="7"/>
  <c r="AB94" i="7"/>
  <c r="AI94" i="7" s="1"/>
  <c r="U40" i="1"/>
  <c r="C104" i="2"/>
  <c r="J104" i="2" s="1"/>
  <c r="C49" i="4"/>
  <c r="J49" i="4" s="1"/>
  <c r="L45" i="6"/>
  <c r="J95" i="1"/>
  <c r="C95" i="3"/>
  <c r="J95" i="3" s="1"/>
  <c r="AI74" i="7"/>
  <c r="R83" i="18"/>
  <c r="T83" i="18"/>
  <c r="N83" i="18"/>
  <c r="AB108" i="7"/>
  <c r="AI108" i="7" s="1"/>
  <c r="R51" i="6"/>
  <c r="C20" i="8"/>
  <c r="J20" i="8" s="1"/>
  <c r="K24" i="11"/>
  <c r="J70" i="7"/>
  <c r="L53" i="5"/>
  <c r="C29" i="4"/>
  <c r="J29" i="4" s="1"/>
  <c r="P51" i="18"/>
  <c r="L51" i="18"/>
  <c r="T51" i="18"/>
  <c r="L78" i="7"/>
  <c r="C57" i="2"/>
  <c r="J57" i="2" s="1"/>
  <c r="R51" i="18"/>
  <c r="V51" i="18"/>
  <c r="S49" i="1"/>
  <c r="S84" i="1"/>
  <c r="AI61" i="7"/>
  <c r="L36" i="7"/>
  <c r="Z51" i="18"/>
  <c r="C82" i="6"/>
  <c r="C78" i="2"/>
  <c r="J78" i="2" s="1"/>
  <c r="U28" i="4"/>
  <c r="AB28" i="4" s="1"/>
  <c r="V11" i="13"/>
  <c r="AA13" i="2"/>
  <c r="Y13" i="2"/>
  <c r="L22" i="2"/>
  <c r="U69" i="4"/>
  <c r="AB69" i="4" s="1"/>
  <c r="R32" i="6"/>
  <c r="AB104" i="7"/>
  <c r="AI104" i="7" s="1"/>
  <c r="C65" i="7"/>
  <c r="J65" i="7" s="1"/>
  <c r="L115" i="3"/>
  <c r="C63" i="5"/>
  <c r="C42" i="3"/>
  <c r="J42" i="3" s="1"/>
  <c r="J32" i="5"/>
  <c r="U85" i="4"/>
  <c r="AB85" i="4" s="1"/>
  <c r="L39" i="3"/>
  <c r="AD75" i="4"/>
  <c r="J78" i="7"/>
  <c r="L116" i="1"/>
  <c r="T73" i="18"/>
  <c r="C37" i="8"/>
  <c r="J37" i="8" s="1"/>
  <c r="C73" i="6"/>
  <c r="J73" i="6" s="1"/>
  <c r="AK27" i="7"/>
  <c r="L37" i="4"/>
  <c r="O54" i="15"/>
  <c r="C75" i="3"/>
  <c r="J75" i="3" s="1"/>
  <c r="BC71" i="5"/>
  <c r="L20" i="3"/>
  <c r="C29" i="2"/>
  <c r="J29" i="2" s="1"/>
  <c r="U79" i="9"/>
  <c r="U72" i="4"/>
  <c r="AB72" i="4" s="1"/>
  <c r="Z59" i="18"/>
  <c r="U23" i="9"/>
  <c r="T111" i="18"/>
  <c r="J25" i="12"/>
  <c r="L19" i="7"/>
  <c r="C63" i="6"/>
  <c r="J63" i="6" s="1"/>
  <c r="T107" i="18"/>
  <c r="L86" i="7"/>
  <c r="L110" i="2"/>
  <c r="L31" i="1"/>
  <c r="V107" i="18"/>
  <c r="Z107" i="18"/>
  <c r="L68" i="8"/>
  <c r="C31" i="7"/>
  <c r="J31" i="7" s="1"/>
  <c r="J45" i="6"/>
  <c r="L107" i="18"/>
  <c r="C44" i="6"/>
  <c r="J44" i="6" s="1"/>
  <c r="L94" i="1"/>
  <c r="P107" i="18"/>
  <c r="C113" i="8"/>
  <c r="J113" i="8" s="1"/>
  <c r="C61" i="2"/>
  <c r="J61" i="2" s="1"/>
  <c r="C74" i="1"/>
  <c r="J74" i="1" s="1"/>
  <c r="N107" i="18"/>
  <c r="U49" i="1"/>
  <c r="AM11" i="7"/>
  <c r="L83" i="5"/>
  <c r="T101" i="18"/>
  <c r="M17" i="11"/>
  <c r="C92" i="8"/>
  <c r="J92" i="8" s="1"/>
  <c r="BC80" i="5"/>
  <c r="U84" i="1"/>
  <c r="J53" i="6"/>
  <c r="L51" i="2"/>
  <c r="L39" i="18"/>
  <c r="R39" i="18"/>
  <c r="C96" i="3"/>
  <c r="J96" i="3" s="1"/>
  <c r="L70" i="18"/>
  <c r="E11" i="13"/>
  <c r="L40" i="5"/>
  <c r="C21" i="1"/>
  <c r="J21" i="1" s="1"/>
  <c r="N65" i="18"/>
  <c r="K78" i="11"/>
  <c r="C117" i="7"/>
  <c r="J117" i="7" s="1"/>
  <c r="J78" i="12"/>
  <c r="L19" i="5"/>
  <c r="M78" i="12"/>
  <c r="Z113" i="18"/>
  <c r="P50" i="18"/>
  <c r="Z50" i="18"/>
  <c r="M87" i="12"/>
  <c r="R50" i="18"/>
  <c r="K28" i="15"/>
  <c r="AD53" i="4"/>
  <c r="P105" i="18"/>
  <c r="T17" i="18"/>
  <c r="M59" i="11"/>
  <c r="L42" i="18"/>
  <c r="R84" i="18"/>
  <c r="V42" i="18"/>
  <c r="L38" i="4"/>
  <c r="L52" i="2"/>
  <c r="C78" i="8"/>
  <c r="J78" i="8" s="1"/>
  <c r="N114" i="18"/>
  <c r="R65" i="18"/>
  <c r="L44" i="5"/>
  <c r="C45" i="3"/>
  <c r="J45" i="3" s="1"/>
  <c r="L18" i="5"/>
  <c r="T114" i="18"/>
  <c r="L65" i="18"/>
  <c r="AA76" i="4"/>
  <c r="Z114" i="18"/>
  <c r="T65" i="18"/>
  <c r="U43" i="9"/>
  <c r="Z102" i="18"/>
  <c r="C36" i="3"/>
  <c r="J36" i="3" s="1"/>
  <c r="C56" i="2"/>
  <c r="J56" i="2" s="1"/>
  <c r="L105" i="6"/>
  <c r="L27" i="2"/>
  <c r="U56" i="1"/>
  <c r="R96" i="18"/>
  <c r="M50" i="12"/>
  <c r="C19" i="6"/>
  <c r="J19" i="6" s="1"/>
  <c r="AD81" i="4"/>
  <c r="L83" i="6"/>
  <c r="S32" i="1"/>
  <c r="S24" i="1"/>
  <c r="R111" i="18"/>
  <c r="J87" i="12"/>
  <c r="C50" i="6"/>
  <c r="J50" i="6" s="1"/>
  <c r="J52" i="12"/>
  <c r="R85" i="6"/>
  <c r="L86" i="3"/>
  <c r="V43" i="18"/>
  <c r="Z111" i="18"/>
  <c r="L111" i="18"/>
  <c r="J82" i="12"/>
  <c r="J28" i="12"/>
  <c r="L20" i="5"/>
  <c r="Z45" i="18"/>
  <c r="M75" i="12"/>
  <c r="M82" i="12"/>
  <c r="C71" i="6"/>
  <c r="J71" i="6" s="1"/>
  <c r="AD70" i="4"/>
  <c r="AK76" i="5"/>
  <c r="C42" i="4"/>
  <c r="J42" i="4" s="1"/>
  <c r="C108" i="1"/>
  <c r="J108" i="1" s="1"/>
  <c r="AD78" i="4"/>
  <c r="C88" i="1"/>
  <c r="J88" i="1" s="1"/>
  <c r="Z65" i="18"/>
  <c r="T81" i="18"/>
  <c r="R17" i="18"/>
  <c r="N17" i="18"/>
  <c r="U90" i="4"/>
  <c r="AB90" i="4" s="1"/>
  <c r="AK39" i="7"/>
  <c r="C93" i="6"/>
  <c r="J93" i="6" s="1"/>
  <c r="V65" i="18"/>
  <c r="L51" i="5"/>
  <c r="C83" i="1"/>
  <c r="J83" i="1" s="1"/>
  <c r="L97" i="6"/>
  <c r="C41" i="6"/>
  <c r="J41" i="6" s="1"/>
  <c r="L88" i="2"/>
  <c r="L53" i="2"/>
  <c r="M35" i="11"/>
  <c r="L107" i="4"/>
  <c r="J45" i="2"/>
  <c r="AM76" i="5"/>
  <c r="J98" i="12"/>
  <c r="L94" i="7"/>
  <c r="AD34" i="4"/>
  <c r="C79" i="3"/>
  <c r="J79" i="3" s="1"/>
  <c r="S66" i="1"/>
  <c r="M49" i="11"/>
  <c r="L98" i="18"/>
  <c r="C29" i="1"/>
  <c r="J29" i="1" s="1"/>
  <c r="L103" i="6"/>
  <c r="J22" i="12"/>
  <c r="T67" i="18"/>
  <c r="C52" i="3"/>
  <c r="J52" i="3" s="1"/>
  <c r="T39" i="18"/>
  <c r="N39" i="18"/>
  <c r="M52" i="11"/>
  <c r="R54" i="3"/>
  <c r="M36" i="11"/>
  <c r="J63" i="12"/>
  <c r="M40" i="12"/>
  <c r="J50" i="12"/>
  <c r="C68" i="1"/>
  <c r="J68" i="1" s="1"/>
  <c r="C75" i="1"/>
  <c r="J75" i="1" s="1"/>
  <c r="L99" i="3"/>
  <c r="L61" i="5"/>
  <c r="L60" i="7"/>
  <c r="N111" i="18"/>
  <c r="L52" i="18"/>
  <c r="N42" i="18"/>
  <c r="R42" i="18"/>
  <c r="C49" i="1"/>
  <c r="J49" i="1" s="1"/>
  <c r="M68" i="12"/>
  <c r="AK66" i="7"/>
  <c r="C64" i="1"/>
  <c r="J64" i="1" s="1"/>
  <c r="T42" i="18"/>
  <c r="C52" i="7"/>
  <c r="J52" i="7" s="1"/>
  <c r="C34" i="2"/>
  <c r="J34" i="2" s="1"/>
  <c r="J68" i="12"/>
  <c r="AD79" i="4"/>
  <c r="C44" i="4"/>
  <c r="J44" i="4" s="1"/>
  <c r="C105" i="1"/>
  <c r="J105" i="1" s="1"/>
  <c r="V39" i="18"/>
  <c r="J79" i="12"/>
  <c r="U35" i="1"/>
  <c r="R70" i="18"/>
  <c r="L27" i="18"/>
  <c r="K36" i="11"/>
  <c r="L18" i="8"/>
  <c r="J45" i="8"/>
  <c r="AB48" i="7"/>
  <c r="AI48" i="7" s="1"/>
  <c r="K72" i="11"/>
  <c r="N70" i="18"/>
  <c r="M27" i="11"/>
  <c r="J109" i="5"/>
  <c r="U110" i="4"/>
  <c r="AB110" i="4" s="1"/>
  <c r="U20" i="1"/>
  <c r="L45" i="8"/>
  <c r="C100" i="8"/>
  <c r="J100" i="8" s="1"/>
  <c r="L25" i="8"/>
  <c r="AK110" i="7"/>
  <c r="AK42" i="7"/>
  <c r="T82" i="18"/>
  <c r="T55" i="18"/>
  <c r="J25" i="8"/>
  <c r="L23" i="6"/>
  <c r="O33" i="8"/>
  <c r="L109" i="5"/>
  <c r="L102" i="3"/>
  <c r="AB49" i="7"/>
  <c r="AI49" i="7" s="1"/>
  <c r="C118" i="7"/>
  <c r="J118" i="7" s="1"/>
  <c r="J23" i="6"/>
  <c r="E11" i="14"/>
  <c r="AE76" i="4"/>
  <c r="U20" i="4"/>
  <c r="AB20" i="4" s="1"/>
  <c r="C38" i="5"/>
  <c r="J38" i="5" s="1"/>
  <c r="C61" i="1"/>
  <c r="J61" i="1" s="1"/>
  <c r="P70" i="18"/>
  <c r="V27" i="18"/>
  <c r="L98" i="8"/>
  <c r="J18" i="8"/>
  <c r="J111" i="6"/>
  <c r="L111" i="3"/>
  <c r="C57" i="1"/>
  <c r="J57" i="1" s="1"/>
  <c r="U84" i="9"/>
  <c r="N11" i="6"/>
  <c r="K80" i="11"/>
  <c r="I13" i="6"/>
  <c r="C85" i="1"/>
  <c r="J85" i="1" s="1"/>
  <c r="C119" i="7"/>
  <c r="J119" i="7" s="1"/>
  <c r="U21" i="9"/>
  <c r="U30" i="1"/>
  <c r="J46" i="12"/>
  <c r="S78" i="1"/>
  <c r="AI45" i="7"/>
  <c r="C69" i="6"/>
  <c r="J69" i="6" s="1"/>
  <c r="Z101" i="18"/>
  <c r="E11" i="15"/>
  <c r="N67" i="18"/>
  <c r="M52" i="12"/>
  <c r="M19" i="11"/>
  <c r="AB58" i="7"/>
  <c r="AI58" i="7" s="1"/>
  <c r="C103" i="4"/>
  <c r="J103" i="4" s="1"/>
  <c r="C70" i="4"/>
  <c r="J70" i="4" s="1"/>
  <c r="C72" i="4"/>
  <c r="J72" i="4" s="1"/>
  <c r="C85" i="3"/>
  <c r="J85" i="3" s="1"/>
  <c r="C28" i="1"/>
  <c r="J28" i="1" s="1"/>
  <c r="C63" i="7"/>
  <c r="J63" i="7" s="1"/>
  <c r="S37" i="1"/>
  <c r="U18" i="9"/>
  <c r="Z79" i="18"/>
  <c r="L114" i="18"/>
  <c r="V114" i="18"/>
  <c r="T43" i="18"/>
  <c r="M86" i="11"/>
  <c r="C117" i="5"/>
  <c r="J117" i="5" s="1"/>
  <c r="L93" i="2"/>
  <c r="C75" i="4"/>
  <c r="J75" i="4" s="1"/>
  <c r="C27" i="1"/>
  <c r="J27" i="1" s="1"/>
  <c r="L79" i="18"/>
  <c r="T79" i="18"/>
  <c r="N43" i="18"/>
  <c r="K37" i="11"/>
  <c r="AK45" i="7"/>
  <c r="L72" i="6"/>
  <c r="AD39" i="4"/>
  <c r="J20" i="5"/>
  <c r="L94" i="3"/>
  <c r="S20" i="1"/>
  <c r="U43" i="1"/>
  <c r="C58" i="1"/>
  <c r="J58" i="1" s="1"/>
  <c r="M40" i="11"/>
  <c r="S21" i="1"/>
  <c r="R67" i="18"/>
  <c r="C116" i="8"/>
  <c r="J116" i="8" s="1"/>
  <c r="L104" i="8"/>
  <c r="C45" i="7"/>
  <c r="J45" i="7" s="1"/>
  <c r="C118" i="2"/>
  <c r="J118" i="2" s="1"/>
  <c r="M70" i="12"/>
  <c r="U59" i="1"/>
  <c r="U21" i="1"/>
  <c r="C30" i="1"/>
  <c r="J30" i="1" s="1"/>
  <c r="P43" i="18"/>
  <c r="R82" i="18"/>
  <c r="P114" i="18"/>
  <c r="P67" i="18"/>
  <c r="K57" i="11"/>
  <c r="U74" i="9"/>
  <c r="AK113" i="7"/>
  <c r="L119" i="6"/>
  <c r="L24" i="3"/>
  <c r="C81" i="5"/>
  <c r="J81" i="5" s="1"/>
  <c r="L47" i="1"/>
  <c r="U44" i="9"/>
  <c r="R81" i="18"/>
  <c r="M22" i="12"/>
  <c r="U17" i="1"/>
  <c r="N82" i="18"/>
  <c r="L82" i="18"/>
  <c r="M60" i="11"/>
  <c r="K29" i="11"/>
  <c r="C28" i="7"/>
  <c r="J28" i="7" s="1"/>
  <c r="L43" i="18"/>
  <c r="J26" i="2"/>
  <c r="V83" i="18"/>
  <c r="Z37" i="18"/>
  <c r="L95" i="18"/>
  <c r="N68" i="18"/>
  <c r="P22" i="18"/>
  <c r="K61" i="11"/>
  <c r="K71" i="11"/>
  <c r="AB116" i="7"/>
  <c r="AI116" i="7" s="1"/>
  <c r="C68" i="7"/>
  <c r="J68" i="7" s="1"/>
  <c r="L62" i="6"/>
  <c r="C43" i="6"/>
  <c r="J43" i="6" s="1"/>
  <c r="K70" i="11"/>
  <c r="M35" i="12"/>
  <c r="C83" i="7"/>
  <c r="J83" i="7" s="1"/>
  <c r="L64" i="5"/>
  <c r="BC18" i="5"/>
  <c r="L32" i="6"/>
  <c r="J66" i="6"/>
  <c r="J56" i="8"/>
  <c r="C52" i="5"/>
  <c r="J52" i="5" s="1"/>
  <c r="M84" i="12"/>
  <c r="K65" i="11"/>
  <c r="T22" i="18"/>
  <c r="L69" i="8"/>
  <c r="AB32" i="7"/>
  <c r="AI32" i="7" s="1"/>
  <c r="N95" i="18"/>
  <c r="T68" i="18"/>
  <c r="P68" i="18"/>
  <c r="L22" i="18"/>
  <c r="V22" i="18"/>
  <c r="M25" i="11"/>
  <c r="K63" i="11"/>
  <c r="U33" i="8"/>
  <c r="C21" i="8"/>
  <c r="J21" i="8" s="1"/>
  <c r="BC58" i="5"/>
  <c r="C114" i="5"/>
  <c r="J114" i="5" s="1"/>
  <c r="Z22" i="18"/>
  <c r="L108" i="18"/>
  <c r="E11" i="10"/>
  <c r="L103" i="7"/>
  <c r="C36" i="6"/>
  <c r="J36" i="6" s="1"/>
  <c r="C77" i="4"/>
  <c r="J77" i="4" s="1"/>
  <c r="C80" i="1"/>
  <c r="J80" i="1" s="1"/>
  <c r="C71" i="7"/>
  <c r="J71" i="7" s="1"/>
  <c r="U59" i="9"/>
  <c r="C75" i="8"/>
  <c r="J75" i="8" s="1"/>
  <c r="I13" i="8"/>
  <c r="C66" i="4"/>
  <c r="J66" i="4" s="1"/>
  <c r="C30" i="5"/>
  <c r="J30" i="5" s="1"/>
  <c r="Z80" i="18"/>
  <c r="C103" i="5"/>
  <c r="J103" i="5" s="1"/>
  <c r="C62" i="1"/>
  <c r="J62" i="1" s="1"/>
  <c r="L93" i="4"/>
  <c r="BC42" i="5"/>
  <c r="U28" i="9"/>
  <c r="C73" i="4"/>
  <c r="J73" i="4" s="1"/>
  <c r="J71" i="1"/>
  <c r="M89" i="11"/>
  <c r="M26" i="12"/>
  <c r="Z70" i="18"/>
  <c r="BC57" i="5"/>
  <c r="Z39" i="18"/>
  <c r="Z17" i="18"/>
  <c r="J18" i="12"/>
  <c r="BC79" i="5"/>
  <c r="V96" i="18"/>
  <c r="U47" i="9"/>
  <c r="O76" i="8"/>
  <c r="C29" i="8"/>
  <c r="J29" i="8" s="1"/>
  <c r="C84" i="5"/>
  <c r="J84" i="5" s="1"/>
  <c r="L59" i="5"/>
  <c r="C50" i="5"/>
  <c r="J50" i="5" s="1"/>
  <c r="C39" i="1"/>
  <c r="J39" i="1" s="1"/>
  <c r="J82" i="8"/>
  <c r="S29" i="1"/>
  <c r="J32" i="6"/>
  <c r="U74" i="1"/>
  <c r="S43" i="1"/>
  <c r="L96" i="18"/>
  <c r="R87" i="18"/>
  <c r="L67" i="7"/>
  <c r="J51" i="5"/>
  <c r="BC61" i="5"/>
  <c r="Z67" i="18"/>
  <c r="N10" i="8"/>
  <c r="C100" i="6"/>
  <c r="J100" i="6" s="1"/>
  <c r="C70" i="5"/>
  <c r="J70" i="5" s="1"/>
  <c r="U49" i="4"/>
  <c r="AB49" i="4" s="1"/>
  <c r="L69" i="5"/>
  <c r="C60" i="2"/>
  <c r="J60" i="2" s="1"/>
  <c r="L68" i="4"/>
  <c r="J18" i="2"/>
  <c r="C101" i="1"/>
  <c r="J101" i="1" s="1"/>
  <c r="C94" i="5"/>
  <c r="J94" i="5" s="1"/>
  <c r="L32" i="4"/>
  <c r="J89" i="8"/>
  <c r="Z96" i="18"/>
  <c r="N96" i="18"/>
  <c r="J81" i="12"/>
  <c r="C30" i="6"/>
  <c r="J30" i="6" s="1"/>
  <c r="C78" i="4"/>
  <c r="J78" i="4" s="1"/>
  <c r="C108" i="4"/>
  <c r="J108" i="4" s="1"/>
  <c r="J61" i="5"/>
  <c r="L18" i="2"/>
  <c r="C53" i="1"/>
  <c r="J53" i="1" s="1"/>
  <c r="U29" i="9"/>
  <c r="M77" i="12"/>
  <c r="M81" i="12"/>
  <c r="C31" i="6"/>
  <c r="J31" i="6" s="1"/>
  <c r="U119" i="4"/>
  <c r="AB119" i="4" s="1"/>
  <c r="AB28" i="7"/>
  <c r="AI28" i="7" s="1"/>
  <c r="C43" i="3"/>
  <c r="J43" i="3" s="1"/>
  <c r="L45" i="2"/>
  <c r="C112" i="1"/>
  <c r="J112" i="1" s="1"/>
  <c r="C55" i="3"/>
  <c r="J55" i="3" s="1"/>
  <c r="C112" i="7"/>
  <c r="J112" i="7" s="1"/>
  <c r="U33" i="17"/>
  <c r="J67" i="12"/>
  <c r="M39" i="12"/>
  <c r="M18" i="11"/>
  <c r="M28" i="11"/>
  <c r="L90" i="7"/>
  <c r="U27" i="4"/>
  <c r="AB27" i="4" s="1"/>
  <c r="L105" i="2"/>
  <c r="L35" i="3"/>
  <c r="J56" i="1"/>
  <c r="P96" i="18"/>
  <c r="L27" i="3"/>
  <c r="L109" i="3"/>
  <c r="C24" i="1"/>
  <c r="J24" i="1" s="1"/>
  <c r="J31" i="12"/>
  <c r="J48" i="12"/>
  <c r="J39" i="12"/>
  <c r="M39" i="11"/>
  <c r="I76" i="8"/>
  <c r="L62" i="5"/>
  <c r="U46" i="4"/>
  <c r="AB46" i="4" s="1"/>
  <c r="U107" i="4"/>
  <c r="AB107" i="4" s="1"/>
  <c r="J66" i="5"/>
  <c r="U50" i="1"/>
  <c r="U35" i="9"/>
  <c r="V99" i="18"/>
  <c r="Z95" i="18"/>
  <c r="L101" i="18"/>
  <c r="N25" i="18"/>
  <c r="K79" i="11"/>
  <c r="P106" i="10"/>
  <c r="M43" i="11"/>
  <c r="C88" i="6"/>
  <c r="J88" i="6" s="1"/>
  <c r="AB67" i="7"/>
  <c r="AI67" i="7" s="1"/>
  <c r="L43" i="7"/>
  <c r="U118" i="4"/>
  <c r="AB118" i="4" s="1"/>
  <c r="S56" i="1"/>
  <c r="L44" i="2"/>
  <c r="C36" i="1"/>
  <c r="J36" i="1" s="1"/>
  <c r="C37" i="1"/>
  <c r="J37" i="1" s="1"/>
  <c r="L79" i="8"/>
  <c r="M61" i="11"/>
  <c r="BC47" i="5"/>
  <c r="S77" i="1"/>
  <c r="K24" i="15"/>
  <c r="C81" i="8"/>
  <c r="J81" i="8" s="1"/>
  <c r="L96" i="2"/>
  <c r="C25" i="4"/>
  <c r="J25" i="4" s="1"/>
  <c r="U32" i="1"/>
  <c r="Z99" i="18"/>
  <c r="P101" i="18"/>
  <c r="N101" i="18"/>
  <c r="K39" i="11"/>
  <c r="U31" i="9"/>
  <c r="AB112" i="7"/>
  <c r="AI112" i="7" s="1"/>
  <c r="AB46" i="7"/>
  <c r="AI46" i="7" s="1"/>
  <c r="J63" i="5"/>
  <c r="C42" i="5"/>
  <c r="J42" i="5" s="1"/>
  <c r="L81" i="6"/>
  <c r="L73" i="2"/>
  <c r="C108" i="3"/>
  <c r="J108" i="3" s="1"/>
  <c r="C17" i="3"/>
  <c r="J17" i="3" s="1"/>
  <c r="L47" i="2"/>
  <c r="AJ54" i="1"/>
  <c r="L39" i="2"/>
  <c r="C43" i="1"/>
  <c r="J43" i="1" s="1"/>
  <c r="L71" i="1"/>
  <c r="J80" i="8"/>
  <c r="W11" i="4"/>
  <c r="L64" i="6"/>
  <c r="M83" i="12"/>
  <c r="S46" i="1"/>
  <c r="L117" i="8"/>
  <c r="AB77" i="7"/>
  <c r="AI77" i="7" s="1"/>
  <c r="AI78" i="7"/>
  <c r="Z46" i="18"/>
  <c r="J29" i="12"/>
  <c r="M30" i="11"/>
  <c r="L56" i="8"/>
  <c r="AB92" i="7"/>
  <c r="AI92" i="7" s="1"/>
  <c r="C50" i="4"/>
  <c r="J50" i="4" s="1"/>
  <c r="C24" i="2"/>
  <c r="J24" i="2" s="1"/>
  <c r="L93" i="1"/>
  <c r="L46" i="2"/>
  <c r="L110" i="1"/>
  <c r="C55" i="1"/>
  <c r="J55" i="1" s="1"/>
  <c r="M90" i="11"/>
  <c r="O33" i="1"/>
  <c r="M86" i="12"/>
  <c r="U75" i="9"/>
  <c r="AX10" i="8"/>
  <c r="AX9" i="8" s="1"/>
  <c r="V101" i="18"/>
  <c r="R95" i="18"/>
  <c r="T45" i="18"/>
  <c r="L18" i="18"/>
  <c r="M29" i="12"/>
  <c r="K38" i="11"/>
  <c r="L89" i="8"/>
  <c r="C95" i="6"/>
  <c r="J95" i="6" s="1"/>
  <c r="BC50" i="5"/>
  <c r="L112" i="5"/>
  <c r="L18" i="4"/>
  <c r="AD109" i="4"/>
  <c r="L80" i="3"/>
  <c r="C98" i="2"/>
  <c r="J98" i="2" s="1"/>
  <c r="P95" i="18"/>
  <c r="J32" i="12"/>
  <c r="V46" i="18"/>
  <c r="J26" i="12"/>
  <c r="AH54" i="8"/>
  <c r="C77" i="5"/>
  <c r="J77" i="5" s="1"/>
  <c r="J38" i="4"/>
  <c r="C107" i="3"/>
  <c r="J107" i="3" s="1"/>
  <c r="V95" i="18"/>
  <c r="L40" i="18"/>
  <c r="J35" i="12"/>
  <c r="M32" i="12"/>
  <c r="I33" i="1"/>
  <c r="AI18" i="7"/>
  <c r="BC17" i="5"/>
  <c r="R99" i="18"/>
  <c r="U46" i="1"/>
  <c r="X15" i="7"/>
  <c r="R71" i="18"/>
  <c r="J53" i="12"/>
  <c r="P99" i="18"/>
  <c r="S22" i="1"/>
  <c r="C90" i="8"/>
  <c r="J90" i="8" s="1"/>
  <c r="N98" i="18"/>
  <c r="T98" i="18"/>
  <c r="R105" i="18"/>
  <c r="N55" i="18"/>
  <c r="K42" i="11"/>
  <c r="M80" i="11"/>
  <c r="U30" i="9"/>
  <c r="L48" i="5"/>
  <c r="C30" i="4"/>
  <c r="J30" i="4" s="1"/>
  <c r="L100" i="1"/>
  <c r="K75" i="11"/>
  <c r="AB19" i="7"/>
  <c r="AI19" i="7" s="1"/>
  <c r="L90" i="4"/>
  <c r="L53" i="3"/>
  <c r="J42" i="12"/>
  <c r="M73" i="11"/>
  <c r="C114" i="6"/>
  <c r="J114" i="6" s="1"/>
  <c r="L116" i="6"/>
  <c r="K59" i="11"/>
  <c r="C55" i="6"/>
  <c r="J55" i="6" s="1"/>
  <c r="AL33" i="7"/>
  <c r="C87" i="8"/>
  <c r="J87" i="8" s="1"/>
  <c r="C68" i="2"/>
  <c r="J68" i="2" s="1"/>
  <c r="I13" i="1"/>
  <c r="C32" i="1"/>
  <c r="J32" i="1" s="1"/>
  <c r="M42" i="12"/>
  <c r="L60" i="6"/>
  <c r="AI27" i="7"/>
  <c r="AK63" i="7"/>
  <c r="P98" i="18"/>
  <c r="L105" i="18"/>
  <c r="N81" i="18"/>
  <c r="R55" i="18"/>
  <c r="AA76" i="9"/>
  <c r="AB93" i="7"/>
  <c r="AI93" i="7" s="1"/>
  <c r="V98" i="18"/>
  <c r="Z105" i="18"/>
  <c r="P81" i="18"/>
  <c r="P55" i="18"/>
  <c r="M42" i="11"/>
  <c r="L35" i="6"/>
  <c r="AK111" i="7"/>
  <c r="C66" i="2"/>
  <c r="J66" i="2" s="1"/>
  <c r="J20" i="3"/>
  <c r="L103" i="1"/>
  <c r="L102" i="1"/>
  <c r="T105" i="18"/>
  <c r="Z98" i="18"/>
  <c r="N105" i="18"/>
  <c r="K25" i="11"/>
  <c r="C111" i="5"/>
  <c r="J111" i="5" s="1"/>
  <c r="L95" i="1"/>
  <c r="AK21" i="7"/>
  <c r="AD11" i="7"/>
  <c r="J70" i="12"/>
  <c r="C50" i="3"/>
  <c r="J50" i="3" s="1"/>
  <c r="I15" i="4"/>
  <c r="L51" i="7"/>
  <c r="N11" i="1"/>
  <c r="U29" i="1"/>
  <c r="C86" i="1"/>
  <c r="J86" i="1" s="1"/>
  <c r="V70" i="18"/>
  <c r="Z82" i="18"/>
  <c r="C70" i="6"/>
  <c r="J70" i="6" s="1"/>
  <c r="U17" i="9"/>
  <c r="J90" i="4"/>
  <c r="M69" i="11"/>
  <c r="V82" i="18"/>
  <c r="S18" i="1"/>
  <c r="AB20" i="7"/>
  <c r="AI20" i="7" s="1"/>
  <c r="L96" i="6"/>
  <c r="C88" i="5"/>
  <c r="J88" i="5" s="1"/>
  <c r="C115" i="6"/>
  <c r="J115" i="6" s="1"/>
  <c r="C69" i="3"/>
  <c r="J69" i="3" s="1"/>
  <c r="C116" i="2"/>
  <c r="J116" i="2" s="1"/>
  <c r="Z103" i="18"/>
  <c r="V44" i="18"/>
  <c r="T40" i="18"/>
  <c r="L45" i="18"/>
  <c r="N89" i="18"/>
  <c r="T18" i="18"/>
  <c r="M28" i="12"/>
  <c r="J19" i="12"/>
  <c r="M51" i="11"/>
  <c r="J61" i="8"/>
  <c r="C94" i="6"/>
  <c r="J94" i="6" s="1"/>
  <c r="C119" i="4"/>
  <c r="J119" i="4" s="1"/>
  <c r="L47" i="5"/>
  <c r="C23" i="1"/>
  <c r="J23" i="1" s="1"/>
  <c r="V40" i="18"/>
  <c r="P86" i="18"/>
  <c r="T102" i="18"/>
  <c r="P45" i="18"/>
  <c r="P36" i="18"/>
  <c r="M34" i="12"/>
  <c r="M19" i="12"/>
  <c r="M65" i="11"/>
  <c r="M48" i="11"/>
  <c r="C83" i="8"/>
  <c r="J83" i="8" s="1"/>
  <c r="L61" i="8"/>
  <c r="C44" i="7"/>
  <c r="J44" i="7" s="1"/>
  <c r="C40" i="7"/>
  <c r="J40" i="7" s="1"/>
  <c r="L100" i="5"/>
  <c r="C22" i="4"/>
  <c r="J22" i="4" s="1"/>
  <c r="C58" i="4"/>
  <c r="J58" i="4" s="1"/>
  <c r="L97" i="1"/>
  <c r="N40" i="18"/>
  <c r="J23" i="12"/>
  <c r="M85" i="11"/>
  <c r="J87" i="6"/>
  <c r="V102" i="18"/>
  <c r="V36" i="18"/>
  <c r="R36" i="18"/>
  <c r="N44" i="18"/>
  <c r="J45" i="12"/>
  <c r="J47" i="12"/>
  <c r="K66" i="11"/>
  <c r="AX33" i="5"/>
  <c r="L70" i="7"/>
  <c r="I91" i="1"/>
  <c r="Z89" i="18"/>
  <c r="J48" i="5"/>
  <c r="L97" i="7"/>
  <c r="U22" i="1"/>
  <c r="N102" i="18"/>
  <c r="L36" i="18"/>
  <c r="P44" i="18"/>
  <c r="L119" i="8"/>
  <c r="L48" i="8"/>
  <c r="J26" i="8"/>
  <c r="J62" i="5"/>
  <c r="C40" i="6"/>
  <c r="J40" i="6" s="1"/>
  <c r="L59" i="6"/>
  <c r="C25" i="2"/>
  <c r="J25" i="2" s="1"/>
  <c r="AJ76" i="1"/>
  <c r="I54" i="2"/>
  <c r="C83" i="3"/>
  <c r="J83" i="3" s="1"/>
  <c r="U63" i="9"/>
  <c r="P102" i="18"/>
  <c r="Z36" i="18"/>
  <c r="T36" i="18"/>
  <c r="R44" i="18"/>
  <c r="AI26" i="7"/>
  <c r="L70" i="3"/>
  <c r="R89" i="18"/>
  <c r="J33" i="10"/>
  <c r="C68" i="5"/>
  <c r="J68" i="5" s="1"/>
  <c r="U52" i="4"/>
  <c r="AB52" i="4" s="1"/>
  <c r="C66" i="3"/>
  <c r="J66" i="3" s="1"/>
  <c r="R102" i="18"/>
  <c r="P89" i="18"/>
  <c r="R18" i="18"/>
  <c r="L44" i="18"/>
  <c r="I40" i="12"/>
  <c r="J40" i="12" s="1"/>
  <c r="U40" i="9"/>
  <c r="C74" i="8"/>
  <c r="J74" i="8" s="1"/>
  <c r="C85" i="7"/>
  <c r="J85" i="7" s="1"/>
  <c r="P76" i="10"/>
  <c r="L26" i="8"/>
  <c r="C98" i="7"/>
  <c r="J98" i="7" s="1"/>
  <c r="AK79" i="7"/>
  <c r="U25" i="4"/>
  <c r="AB25" i="4" s="1"/>
  <c r="U65" i="4"/>
  <c r="AB65" i="4" s="1"/>
  <c r="BC29" i="5"/>
  <c r="L96" i="8"/>
  <c r="J111" i="1"/>
  <c r="S70" i="1"/>
  <c r="L65" i="4"/>
  <c r="M23" i="12"/>
  <c r="R40" i="18"/>
  <c r="P18" i="18"/>
  <c r="J30" i="12"/>
  <c r="X33" i="8"/>
  <c r="BC65" i="5"/>
  <c r="C53" i="4"/>
  <c r="J53" i="4" s="1"/>
  <c r="AD33" i="2"/>
  <c r="K43" i="11"/>
  <c r="C21" i="4"/>
  <c r="J21" i="4" s="1"/>
  <c r="Z40" i="18"/>
  <c r="L85" i="8"/>
  <c r="J85" i="8"/>
  <c r="C24" i="7"/>
  <c r="J24" i="7" s="1"/>
  <c r="U58" i="9"/>
  <c r="Q33" i="1"/>
  <c r="J83" i="5"/>
  <c r="Z44" i="18"/>
  <c r="M38" i="12"/>
  <c r="M31" i="12"/>
  <c r="U52" i="9"/>
  <c r="U96" i="4"/>
  <c r="AB96" i="4" s="1"/>
  <c r="C116" i="4"/>
  <c r="J116" i="4" s="1"/>
  <c r="C22" i="1"/>
  <c r="J22" i="1" s="1"/>
  <c r="J90" i="7"/>
  <c r="C87" i="4"/>
  <c r="J87" i="4" s="1"/>
  <c r="C57" i="4"/>
  <c r="J57" i="4" s="1"/>
  <c r="N11" i="7"/>
  <c r="L26" i="5"/>
  <c r="M54" i="2"/>
  <c r="K32" i="11"/>
  <c r="C86" i="5"/>
  <c r="J86" i="5" s="1"/>
  <c r="C16" i="1"/>
  <c r="J16" i="1" s="1"/>
  <c r="M30" i="12"/>
  <c r="M47" i="12"/>
  <c r="K30" i="11"/>
  <c r="M24" i="11"/>
  <c r="K22" i="11"/>
  <c r="U78" i="1"/>
  <c r="J38" i="12"/>
  <c r="L113" i="18"/>
  <c r="R113" i="18"/>
  <c r="N104" i="18"/>
  <c r="T113" i="18"/>
  <c r="V80" i="18"/>
  <c r="P87" i="18"/>
  <c r="M51" i="12"/>
  <c r="M79" i="12"/>
  <c r="J43" i="12"/>
  <c r="U82" i="9"/>
  <c r="BD10" i="8"/>
  <c r="BD9" i="8" s="1"/>
  <c r="C42" i="8"/>
  <c r="J42" i="8" s="1"/>
  <c r="AB75" i="7"/>
  <c r="AI75" i="7" s="1"/>
  <c r="L101" i="6"/>
  <c r="J44" i="5"/>
  <c r="C108" i="6"/>
  <c r="J108" i="6" s="1"/>
  <c r="L117" i="4"/>
  <c r="C104" i="7"/>
  <c r="J104" i="7" s="1"/>
  <c r="R104" i="18"/>
  <c r="P104" i="18"/>
  <c r="V113" i="18"/>
  <c r="N80" i="18"/>
  <c r="V87" i="18"/>
  <c r="M43" i="12"/>
  <c r="U83" i="9"/>
  <c r="AB98" i="7"/>
  <c r="AI98" i="7" s="1"/>
  <c r="C100" i="7"/>
  <c r="J100" i="7" s="1"/>
  <c r="AB88" i="7"/>
  <c r="AI88" i="7" s="1"/>
  <c r="AK78" i="7"/>
  <c r="C61" i="4"/>
  <c r="J61" i="4" s="1"/>
  <c r="L107" i="1"/>
  <c r="C72" i="1"/>
  <c r="J72" i="1" s="1"/>
  <c r="AB119" i="7"/>
  <c r="AI119" i="7" s="1"/>
  <c r="AI34" i="7"/>
  <c r="BC25" i="5"/>
  <c r="L36" i="5"/>
  <c r="J64" i="8"/>
  <c r="U24" i="1"/>
  <c r="V18" i="18"/>
  <c r="Z83" i="18"/>
  <c r="U88" i="9"/>
  <c r="V104" i="18"/>
  <c r="Z52" i="18"/>
  <c r="L80" i="18"/>
  <c r="N87" i="18"/>
  <c r="L74" i="5"/>
  <c r="U20" i="9"/>
  <c r="C42" i="1"/>
  <c r="J42" i="1" s="1"/>
  <c r="P15" i="1"/>
  <c r="T37" i="18"/>
  <c r="P80" i="18"/>
  <c r="Z87" i="18"/>
  <c r="K41" i="11"/>
  <c r="C84" i="8"/>
  <c r="J84" i="8" s="1"/>
  <c r="J60" i="8"/>
  <c r="C52" i="6"/>
  <c r="J52" i="6" s="1"/>
  <c r="C71" i="4"/>
  <c r="J71" i="4" s="1"/>
  <c r="L101" i="3"/>
  <c r="L90" i="1"/>
  <c r="U32" i="4"/>
  <c r="AB32" i="4" s="1"/>
  <c r="T104" i="18"/>
  <c r="N37" i="18"/>
  <c r="R80" i="18"/>
  <c r="L87" i="18"/>
  <c r="M23" i="11"/>
  <c r="U68" i="9"/>
  <c r="C102" i="5"/>
  <c r="J102" i="5" s="1"/>
  <c r="L72" i="5"/>
  <c r="C25" i="7"/>
  <c r="J25" i="7" s="1"/>
  <c r="L46" i="4"/>
  <c r="U38" i="4"/>
  <c r="AB38" i="4" s="1"/>
  <c r="C97" i="2"/>
  <c r="J97" i="2" s="1"/>
  <c r="I76" i="2"/>
  <c r="L51" i="1"/>
  <c r="U46" i="9"/>
  <c r="L50" i="2"/>
  <c r="V69" i="18"/>
  <c r="J97" i="8"/>
  <c r="C29" i="5"/>
  <c r="J29" i="5" s="1"/>
  <c r="M29" i="11"/>
  <c r="Z104" i="18"/>
  <c r="K49" i="11"/>
  <c r="C30" i="8"/>
  <c r="J30" i="8" s="1"/>
  <c r="AB59" i="7"/>
  <c r="AI59" i="7" s="1"/>
  <c r="AD92" i="4"/>
  <c r="C113" i="4"/>
  <c r="J113" i="4" s="1"/>
  <c r="L64" i="3"/>
  <c r="C67" i="1"/>
  <c r="J67" i="1" s="1"/>
  <c r="V60" i="18"/>
  <c r="V100" i="18"/>
  <c r="J51" i="12"/>
  <c r="L60" i="8"/>
  <c r="L65" i="8"/>
  <c r="L84" i="7"/>
  <c r="L85" i="2"/>
  <c r="L36" i="2"/>
  <c r="N113" i="18"/>
  <c r="U47" i="1"/>
  <c r="L38" i="1"/>
  <c r="M20" i="11"/>
  <c r="L38" i="18"/>
  <c r="U41" i="9"/>
  <c r="L53" i="6"/>
  <c r="AD88" i="4"/>
  <c r="C40" i="3"/>
  <c r="J40" i="3" s="1"/>
  <c r="U18" i="4"/>
  <c r="AB18" i="4" s="1"/>
  <c r="C40" i="1"/>
  <c r="J40" i="1" s="1"/>
  <c r="AB40" i="7"/>
  <c r="AI40" i="7" s="1"/>
  <c r="L26" i="3"/>
  <c r="L34" i="1"/>
  <c r="L82" i="1"/>
  <c r="S59" i="1"/>
  <c r="M81" i="11"/>
  <c r="M21" i="12"/>
  <c r="V38" i="18"/>
  <c r="T38" i="18"/>
  <c r="L107" i="8"/>
  <c r="C92" i="6"/>
  <c r="J92" i="6" s="1"/>
  <c r="L31" i="5"/>
  <c r="U66" i="4"/>
  <c r="AB66" i="4" s="1"/>
  <c r="C81" i="4"/>
  <c r="J81" i="4" s="1"/>
  <c r="C38" i="3"/>
  <c r="J38" i="3" s="1"/>
  <c r="C98" i="1"/>
  <c r="J98" i="1" s="1"/>
  <c r="C71" i="2"/>
  <c r="J71" i="2" s="1"/>
  <c r="C59" i="1"/>
  <c r="J59" i="1" s="1"/>
  <c r="V61" i="18"/>
  <c r="AB103" i="7"/>
  <c r="AI103" i="7" s="1"/>
  <c r="AD112" i="4"/>
  <c r="L44" i="3"/>
  <c r="O33" i="17"/>
  <c r="Q11" i="15"/>
  <c r="Q9" i="15" s="1"/>
  <c r="C17" i="6"/>
  <c r="J17" i="6" s="1"/>
  <c r="C93" i="7"/>
  <c r="J93" i="7" s="1"/>
  <c r="BC82" i="5"/>
  <c r="C73" i="5"/>
  <c r="J73" i="5" s="1"/>
  <c r="L79" i="5"/>
  <c r="V88" i="18"/>
  <c r="L48" i="6"/>
  <c r="AB23" i="7"/>
  <c r="AI23" i="7" s="1"/>
  <c r="C20" i="1"/>
  <c r="J20" i="1" s="1"/>
  <c r="U84" i="4"/>
  <c r="AB84" i="4" s="1"/>
  <c r="AB88" i="4"/>
  <c r="C20" i="2"/>
  <c r="J20" i="2" s="1"/>
  <c r="S91" i="15"/>
  <c r="M55" i="11"/>
  <c r="C102" i="8"/>
  <c r="J102" i="8" s="1"/>
  <c r="L97" i="8"/>
  <c r="L37" i="7"/>
  <c r="C84" i="6"/>
  <c r="J84" i="6" s="1"/>
  <c r="C68" i="3"/>
  <c r="J68" i="3" s="1"/>
  <c r="C118" i="3"/>
  <c r="J118" i="3" s="1"/>
  <c r="L88" i="4"/>
  <c r="AD16" i="4"/>
  <c r="C74" i="2"/>
  <c r="J74" i="2" s="1"/>
  <c r="C23" i="2"/>
  <c r="J23" i="2" s="1"/>
  <c r="C17" i="1"/>
  <c r="J17" i="1" s="1"/>
  <c r="N38" i="18"/>
  <c r="U61" i="9"/>
  <c r="C115" i="7"/>
  <c r="J115" i="7" s="1"/>
  <c r="C46" i="1"/>
  <c r="J46" i="1" s="1"/>
  <c r="V17" i="18"/>
  <c r="V81" i="18"/>
  <c r="C31" i="3"/>
  <c r="J31" i="3" s="1"/>
  <c r="U71" i="1"/>
  <c r="J42" i="2"/>
  <c r="U44" i="1"/>
  <c r="U25" i="1"/>
  <c r="R33" i="17"/>
  <c r="K62" i="11"/>
  <c r="C101" i="5"/>
  <c r="J101" i="5" s="1"/>
  <c r="AB51" i="7"/>
  <c r="AI51" i="7" s="1"/>
  <c r="C55" i="5"/>
  <c r="J55" i="5" s="1"/>
  <c r="J26" i="3"/>
  <c r="L37" i="2"/>
  <c r="L28" i="3"/>
  <c r="Z42" i="18"/>
  <c r="P38" i="18"/>
  <c r="U44" i="4"/>
  <c r="AB44" i="4" s="1"/>
  <c r="C111" i="7"/>
  <c r="J111" i="7" s="1"/>
  <c r="V72" i="18"/>
  <c r="K16" i="15"/>
  <c r="J75" i="12"/>
  <c r="J24" i="12"/>
  <c r="I91" i="12"/>
  <c r="I12" i="12" s="1"/>
  <c r="I11" i="12" s="1"/>
  <c r="AK99" i="7"/>
  <c r="U111" i="4"/>
  <c r="AB111" i="4" s="1"/>
  <c r="C70" i="2"/>
  <c r="J70" i="2" s="1"/>
  <c r="BC24" i="5"/>
  <c r="C69" i="4"/>
  <c r="J69" i="4" s="1"/>
  <c r="J21" i="12"/>
  <c r="M16" i="12"/>
  <c r="M50" i="11"/>
  <c r="C39" i="7"/>
  <c r="J39" i="7" s="1"/>
  <c r="AD89" i="4"/>
  <c r="U62" i="4"/>
  <c r="AB62" i="4" s="1"/>
  <c r="C82" i="2"/>
  <c r="J82" i="2" s="1"/>
  <c r="M75" i="11"/>
  <c r="I33" i="8"/>
  <c r="L118" i="4"/>
  <c r="L78" i="1"/>
  <c r="Z43" i="18"/>
  <c r="J40" i="5"/>
  <c r="L90" i="18"/>
  <c r="N84" i="18"/>
  <c r="T106" i="12"/>
  <c r="T90" i="18"/>
  <c r="T60" i="18"/>
  <c r="V84" i="18"/>
  <c r="T77" i="18"/>
  <c r="Z27" i="18"/>
  <c r="L73" i="7"/>
  <c r="U50" i="4"/>
  <c r="AB50" i="4" s="1"/>
  <c r="C74" i="4"/>
  <c r="J74" i="4" s="1"/>
  <c r="V37" i="18"/>
  <c r="J47" i="1"/>
  <c r="AG10" i="1"/>
  <c r="AG9" i="1" s="1"/>
  <c r="AK114" i="7"/>
  <c r="J48" i="6"/>
  <c r="N60" i="18"/>
  <c r="V77" i="18"/>
  <c r="R27" i="18"/>
  <c r="J64" i="12"/>
  <c r="L114" i="8"/>
  <c r="U73" i="4"/>
  <c r="AB73" i="4" s="1"/>
  <c r="L87" i="3"/>
  <c r="AD54" i="2"/>
  <c r="D11" i="17"/>
  <c r="J49" i="12"/>
  <c r="U52" i="1"/>
  <c r="T27" i="18"/>
  <c r="AG33" i="5"/>
  <c r="J62" i="6"/>
  <c r="L28" i="5"/>
  <c r="C29" i="6"/>
  <c r="J29" i="6" s="1"/>
  <c r="L55" i="4"/>
  <c r="L45" i="1"/>
  <c r="U18" i="1"/>
  <c r="C81" i="7"/>
  <c r="J81" i="7" s="1"/>
  <c r="Z84" i="18"/>
  <c r="P90" i="18"/>
  <c r="P84" i="18"/>
  <c r="P27" i="18"/>
  <c r="AK18" i="7"/>
  <c r="R45" i="6"/>
  <c r="C58" i="2"/>
  <c r="J58" i="2" s="1"/>
  <c r="J55" i="4"/>
  <c r="C103" i="3"/>
  <c r="J103" i="3" s="1"/>
  <c r="C29" i="3"/>
  <c r="J29" i="3" s="1"/>
  <c r="C104" i="5"/>
  <c r="J104" i="5" s="1"/>
  <c r="U70" i="1"/>
  <c r="U48" i="4"/>
  <c r="AB48" i="4" s="1"/>
  <c r="C65" i="3"/>
  <c r="J65" i="3" s="1"/>
  <c r="L42" i="2"/>
  <c r="P60" i="18"/>
  <c r="N90" i="18"/>
  <c r="L84" i="18"/>
  <c r="AT10" i="8"/>
  <c r="AT9" i="8" s="1"/>
  <c r="I33" i="7"/>
  <c r="AK34" i="7"/>
  <c r="L113" i="1"/>
  <c r="U80" i="4"/>
  <c r="AB80" i="4" s="1"/>
  <c r="K40" i="11"/>
  <c r="O33" i="2"/>
  <c r="K31" i="15"/>
  <c r="C24" i="4"/>
  <c r="J24" i="4" s="1"/>
  <c r="C62" i="3"/>
  <c r="J62" i="3" s="1"/>
  <c r="L69" i="2"/>
  <c r="U63" i="4"/>
  <c r="AB63" i="4" s="1"/>
  <c r="BC45" i="5"/>
  <c r="M73" i="12"/>
  <c r="Z108" i="18"/>
  <c r="L41" i="18"/>
  <c r="M74" i="11"/>
  <c r="N108" i="18"/>
  <c r="V108" i="18"/>
  <c r="L95" i="8"/>
  <c r="M91" i="7"/>
  <c r="J27" i="3"/>
  <c r="J69" i="5"/>
  <c r="Z18" i="18"/>
  <c r="P108" i="18"/>
  <c r="D11" i="15"/>
  <c r="Z90" i="18"/>
  <c r="U27" i="9"/>
  <c r="R108" i="18"/>
  <c r="C89" i="1"/>
  <c r="J89" i="1" s="1"/>
  <c r="J79" i="8"/>
  <c r="J19" i="3"/>
  <c r="J20" i="7"/>
  <c r="U78" i="9"/>
  <c r="V89" i="18"/>
  <c r="AA33" i="7"/>
  <c r="L34" i="3"/>
  <c r="Z73" i="18"/>
  <c r="T71" i="18"/>
  <c r="K26" i="11"/>
  <c r="F10" i="8"/>
  <c r="L28" i="6"/>
  <c r="C94" i="4"/>
  <c r="J94" i="4" s="1"/>
  <c r="C113" i="3"/>
  <c r="J113" i="3" s="1"/>
  <c r="L43" i="2"/>
  <c r="J74" i="3"/>
  <c r="L117" i="2"/>
  <c r="L87" i="6"/>
  <c r="L51" i="3"/>
  <c r="L73" i="18"/>
  <c r="L103" i="18"/>
  <c r="R100" i="18"/>
  <c r="P71" i="18"/>
  <c r="K82" i="11"/>
  <c r="K18" i="11"/>
  <c r="U65" i="9"/>
  <c r="L80" i="5"/>
  <c r="K27" i="11"/>
  <c r="C72" i="8"/>
  <c r="J72" i="8" s="1"/>
  <c r="C87" i="7"/>
  <c r="J87" i="7" s="1"/>
  <c r="L26" i="6"/>
  <c r="C85" i="6"/>
  <c r="J85" i="6" s="1"/>
  <c r="C110" i="7"/>
  <c r="J110" i="7" s="1"/>
  <c r="C60" i="1"/>
  <c r="J60" i="1" s="1"/>
  <c r="C28" i="2"/>
  <c r="J28" i="2" s="1"/>
  <c r="L63" i="1"/>
  <c r="AD76" i="5"/>
  <c r="L19" i="3"/>
  <c r="J32" i="2"/>
  <c r="N103" i="18"/>
  <c r="C88" i="8"/>
  <c r="J88" i="8" s="1"/>
  <c r="L72" i="7"/>
  <c r="P103" i="18"/>
  <c r="L100" i="18"/>
  <c r="P74" i="18"/>
  <c r="R62" i="18"/>
  <c r="P69" i="18"/>
  <c r="T53" i="18"/>
  <c r="J89" i="12"/>
  <c r="J86" i="12"/>
  <c r="R76" i="3"/>
  <c r="C45" i="4"/>
  <c r="J45" i="4" s="1"/>
  <c r="L32" i="2"/>
  <c r="J70" i="1"/>
  <c r="L104" i="1"/>
  <c r="J83" i="12"/>
  <c r="J65" i="12"/>
  <c r="AD114" i="4"/>
  <c r="L70" i="1"/>
  <c r="V74" i="18"/>
  <c r="P61" i="18"/>
  <c r="M89" i="12"/>
  <c r="M72" i="11"/>
  <c r="M31" i="11"/>
  <c r="AK72" i="7"/>
  <c r="C119" i="5"/>
  <c r="J119" i="5" s="1"/>
  <c r="AB90" i="7"/>
  <c r="AI90" i="7" s="1"/>
  <c r="L37" i="5"/>
  <c r="C87" i="2"/>
  <c r="J87" i="2" s="1"/>
  <c r="N100" i="18"/>
  <c r="M65" i="12"/>
  <c r="L20" i="7"/>
  <c r="S40" i="1"/>
  <c r="N71" i="18"/>
  <c r="Z100" i="18"/>
  <c r="J53" i="8"/>
  <c r="N73" i="18"/>
  <c r="L74" i="18"/>
  <c r="V30" i="18"/>
  <c r="T103" i="18"/>
  <c r="V73" i="18"/>
  <c r="K10" i="14"/>
  <c r="K9" i="14" s="1"/>
  <c r="U38" i="9"/>
  <c r="AB22" i="7"/>
  <c r="AI22" i="7" s="1"/>
  <c r="L96" i="5"/>
  <c r="C19" i="1"/>
  <c r="J19" i="1" s="1"/>
  <c r="K89" i="11"/>
  <c r="U39" i="9"/>
  <c r="BC72" i="5"/>
  <c r="C60" i="5"/>
  <c r="J60" i="5" s="1"/>
  <c r="S71" i="1"/>
  <c r="J80" i="5"/>
  <c r="J50" i="1"/>
  <c r="J17" i="12"/>
  <c r="R103" i="18"/>
  <c r="P100" i="18"/>
  <c r="R73" i="18"/>
  <c r="I13" i="4"/>
  <c r="L74" i="3"/>
  <c r="C44" i="1"/>
  <c r="J44" i="1" s="1"/>
  <c r="M17" i="12"/>
  <c r="M83" i="11"/>
  <c r="Z81" i="18"/>
  <c r="BC21" i="5"/>
  <c r="V67" i="18"/>
  <c r="J31" i="5"/>
  <c r="J27" i="12"/>
  <c r="U26" i="9"/>
  <c r="BC38" i="5"/>
  <c r="S35" i="1"/>
  <c r="S76" i="11"/>
  <c r="J76" i="10"/>
  <c r="J67" i="5"/>
  <c r="J34" i="6"/>
  <c r="U42" i="1"/>
  <c r="K48" i="11"/>
  <c r="S51" i="1"/>
  <c r="U66" i="1"/>
  <c r="J41" i="8"/>
  <c r="J69" i="12"/>
  <c r="J59" i="6"/>
  <c r="U51" i="1"/>
  <c r="J51" i="1"/>
  <c r="S25" i="1"/>
  <c r="Z71" i="18"/>
  <c r="M24" i="12"/>
  <c r="BN76" i="13"/>
  <c r="T52" i="18"/>
  <c r="L77" i="18"/>
  <c r="L17" i="18"/>
  <c r="K45" i="11"/>
  <c r="M56" i="12"/>
  <c r="C105" i="8"/>
  <c r="J105" i="8" s="1"/>
  <c r="E11" i="7"/>
  <c r="U54" i="8"/>
  <c r="AB89" i="7"/>
  <c r="AI89" i="7" s="1"/>
  <c r="AK74" i="7"/>
  <c r="J37" i="7"/>
  <c r="L66" i="6"/>
  <c r="BC59" i="5"/>
  <c r="C46" i="5"/>
  <c r="J46" i="5" s="1"/>
  <c r="I13" i="3"/>
  <c r="J70" i="3"/>
  <c r="E11" i="2"/>
  <c r="C72" i="3"/>
  <c r="J72" i="3" s="1"/>
  <c r="J58" i="3"/>
  <c r="F11" i="7"/>
  <c r="N11" i="3"/>
  <c r="F11" i="1"/>
  <c r="P111" i="18"/>
  <c r="M67" i="11"/>
  <c r="S44" i="1"/>
  <c r="Z62" i="18"/>
  <c r="M18" i="12"/>
  <c r="J96" i="8"/>
  <c r="L44" i="8"/>
  <c r="AF10" i="8"/>
  <c r="AF9" i="8" s="1"/>
  <c r="J71" i="8"/>
  <c r="C65" i="6"/>
  <c r="J65" i="6" s="1"/>
  <c r="J72" i="6"/>
  <c r="AK24" i="7"/>
  <c r="C23" i="4"/>
  <c r="J23" i="4" s="1"/>
  <c r="L27" i="5"/>
  <c r="J43" i="2"/>
  <c r="V71" i="18"/>
  <c r="C86" i="8"/>
  <c r="J86" i="8" s="1"/>
  <c r="M76" i="2"/>
  <c r="BC66" i="5"/>
  <c r="C103" i="2"/>
  <c r="J103" i="2" s="1"/>
  <c r="L66" i="1"/>
  <c r="J48" i="8"/>
  <c r="U15" i="2"/>
  <c r="S41" i="1"/>
  <c r="R63" i="18"/>
  <c r="N77" i="18"/>
  <c r="U25" i="9"/>
  <c r="U33" i="7"/>
  <c r="J67" i="6"/>
  <c r="J112" i="5"/>
  <c r="AZ76" i="5"/>
  <c r="C17" i="7"/>
  <c r="J17" i="7" s="1"/>
  <c r="L115" i="4"/>
  <c r="C62" i="2"/>
  <c r="J62" i="2" s="1"/>
  <c r="C107" i="2"/>
  <c r="J107" i="2" s="1"/>
  <c r="F10" i="2"/>
  <c r="C79" i="1"/>
  <c r="J79" i="1" s="1"/>
  <c r="R68" i="18"/>
  <c r="AD95" i="4"/>
  <c r="K86" i="11"/>
  <c r="T92" i="18"/>
  <c r="J44" i="8"/>
  <c r="M33" i="8"/>
  <c r="L59" i="7"/>
  <c r="U41" i="4"/>
  <c r="AB41" i="4" s="1"/>
  <c r="AB95" i="4"/>
  <c r="C99" i="5"/>
  <c r="J99" i="5" s="1"/>
  <c r="R90" i="6"/>
  <c r="L37" i="6"/>
  <c r="U55" i="4"/>
  <c r="AB55" i="4" s="1"/>
  <c r="U76" i="3"/>
  <c r="C72" i="2"/>
  <c r="J72" i="2" s="1"/>
  <c r="C59" i="3"/>
  <c r="J59" i="3" s="1"/>
  <c r="C48" i="1"/>
  <c r="J48" i="1" s="1"/>
  <c r="W54" i="2"/>
  <c r="C73" i="1"/>
  <c r="J73" i="1" s="1"/>
  <c r="C114" i="7"/>
  <c r="J114" i="7" s="1"/>
  <c r="L50" i="1"/>
  <c r="L40" i="2"/>
  <c r="N11" i="4"/>
  <c r="R76" i="1"/>
  <c r="S42" i="1"/>
  <c r="N66" i="18"/>
  <c r="R77" i="18"/>
  <c r="V93" i="18"/>
  <c r="M22" i="11"/>
  <c r="L115" i="8"/>
  <c r="AK115" i="7"/>
  <c r="AB38" i="7"/>
  <c r="AI38" i="7" s="1"/>
  <c r="U57" i="4"/>
  <c r="AB57" i="4" s="1"/>
  <c r="U94" i="4"/>
  <c r="AB94" i="4" s="1"/>
  <c r="J26" i="5"/>
  <c r="C116" i="5"/>
  <c r="J116" i="5" s="1"/>
  <c r="C52" i="4"/>
  <c r="J52" i="4" s="1"/>
  <c r="L104" i="3"/>
  <c r="E10" i="15"/>
  <c r="U87" i="9"/>
  <c r="L84" i="4"/>
  <c r="J37" i="12"/>
  <c r="J42" i="6"/>
  <c r="V68" i="18"/>
  <c r="E10" i="14"/>
  <c r="V52" i="18"/>
  <c r="R52" i="18"/>
  <c r="K47" i="11"/>
  <c r="M41" i="11"/>
  <c r="AL13" i="7"/>
  <c r="L71" i="8"/>
  <c r="L67" i="6"/>
  <c r="L58" i="3"/>
  <c r="C30" i="2"/>
  <c r="J30" i="2" s="1"/>
  <c r="Z38" i="18"/>
  <c r="Z68" i="18"/>
  <c r="J51" i="6"/>
  <c r="J65" i="2"/>
  <c r="C114" i="1"/>
  <c r="J114" i="1" s="1"/>
  <c r="L94" i="18"/>
  <c r="L69" i="18"/>
  <c r="J66" i="12"/>
  <c r="J44" i="12"/>
  <c r="K64" i="11"/>
  <c r="K50" i="11"/>
  <c r="K23" i="11"/>
  <c r="AI72" i="7"/>
  <c r="M106" i="6"/>
  <c r="M76" i="5"/>
  <c r="L61" i="6"/>
  <c r="L42" i="6"/>
  <c r="AB82" i="7"/>
  <c r="AI82" i="7" s="1"/>
  <c r="C110" i="5"/>
  <c r="J110" i="5" s="1"/>
  <c r="AG91" i="4"/>
  <c r="U45" i="4"/>
  <c r="AB45" i="4" s="1"/>
  <c r="X10" i="2"/>
  <c r="X9" i="2" s="1"/>
  <c r="C87" i="1"/>
  <c r="J87" i="1" s="1"/>
  <c r="C77" i="1"/>
  <c r="J77" i="1" s="1"/>
  <c r="P47" i="18"/>
  <c r="M49" i="12"/>
  <c r="J65" i="8"/>
  <c r="C85" i="4"/>
  <c r="J85" i="4" s="1"/>
  <c r="AD60" i="4"/>
  <c r="AB10" i="1"/>
  <c r="AB9" i="1" s="1"/>
  <c r="J73" i="12"/>
  <c r="K67" i="11"/>
  <c r="C99" i="2"/>
  <c r="J99" i="2" s="1"/>
  <c r="J80" i="6"/>
  <c r="BC78" i="5"/>
  <c r="S74" i="1"/>
  <c r="S30" i="1"/>
  <c r="S50" i="1"/>
  <c r="U37" i="1"/>
  <c r="R69" i="18"/>
  <c r="F10" i="16"/>
  <c r="F9" i="16" s="1"/>
  <c r="C15" i="16"/>
  <c r="G15" i="16" s="1"/>
  <c r="M66" i="12"/>
  <c r="M44" i="12"/>
  <c r="J88" i="12"/>
  <c r="K17" i="11"/>
  <c r="BB10" i="8"/>
  <c r="BB9" i="8" s="1"/>
  <c r="L49" i="7"/>
  <c r="AA33" i="4"/>
  <c r="U83" i="4"/>
  <c r="AB83" i="4" s="1"/>
  <c r="L100" i="2"/>
  <c r="T47" i="18"/>
  <c r="L99" i="8"/>
  <c r="AK102" i="7"/>
  <c r="Z77" i="18"/>
  <c r="L47" i="18"/>
  <c r="N63" i="18"/>
  <c r="V47" i="18"/>
  <c r="T69" i="18"/>
  <c r="AP11" i="11"/>
  <c r="L10" i="10"/>
  <c r="AB41" i="7"/>
  <c r="AI41" i="7" s="1"/>
  <c r="AL54" i="7"/>
  <c r="C97" i="3"/>
  <c r="J97" i="3" s="1"/>
  <c r="C85" i="5"/>
  <c r="J85" i="5" s="1"/>
  <c r="C119" i="3"/>
  <c r="J119" i="3" s="1"/>
  <c r="E11" i="3"/>
  <c r="C86" i="2"/>
  <c r="J86" i="2" s="1"/>
  <c r="AC10" i="2"/>
  <c r="AC9" i="2" s="1"/>
  <c r="M80" i="12"/>
  <c r="U70" i="9"/>
  <c r="L63" i="3"/>
  <c r="L26" i="2"/>
  <c r="AB16" i="4"/>
  <c r="J28" i="5"/>
  <c r="AA76" i="2"/>
  <c r="R15" i="1"/>
  <c r="L63" i="18"/>
  <c r="R47" i="18"/>
  <c r="N69" i="18"/>
  <c r="K53" i="11"/>
  <c r="F11" i="8"/>
  <c r="U76" i="8"/>
  <c r="L64" i="8"/>
  <c r="X76" i="7"/>
  <c r="C41" i="7"/>
  <c r="J41" i="7" s="1"/>
  <c r="L92" i="5"/>
  <c r="U31" i="4"/>
  <c r="AB31" i="4" s="1"/>
  <c r="L51" i="6"/>
  <c r="U37" i="4"/>
  <c r="AB37" i="4" s="1"/>
  <c r="L19" i="4"/>
  <c r="I76" i="5"/>
  <c r="C80" i="2"/>
  <c r="J80" i="2" s="1"/>
  <c r="C104" i="6"/>
  <c r="J104" i="6" s="1"/>
  <c r="M37" i="11"/>
  <c r="K84" i="11"/>
  <c r="M66" i="11"/>
  <c r="K51" i="11"/>
  <c r="P63" i="18"/>
  <c r="Z69" i="18"/>
  <c r="Z47" i="18"/>
  <c r="C106" i="11"/>
  <c r="C13" i="11" s="1"/>
  <c r="G13" i="11" s="1"/>
  <c r="U51" i="9"/>
  <c r="J49" i="7"/>
  <c r="J72" i="5"/>
  <c r="J80" i="12"/>
  <c r="U56" i="4"/>
  <c r="AB56" i="4" s="1"/>
  <c r="T76" i="5"/>
  <c r="U15" i="18"/>
  <c r="Z63" i="18"/>
  <c r="J99" i="8"/>
  <c r="L52" i="8"/>
  <c r="J52" i="8"/>
  <c r="C21" i="7"/>
  <c r="J21" i="7" s="1"/>
  <c r="C47" i="7"/>
  <c r="J47" i="7" s="1"/>
  <c r="AG76" i="5"/>
  <c r="M33" i="6"/>
  <c r="C22" i="5"/>
  <c r="J22" i="5" s="1"/>
  <c r="L62" i="4"/>
  <c r="J37" i="6"/>
  <c r="L67" i="5"/>
  <c r="C82" i="5"/>
  <c r="J82" i="5" s="1"/>
  <c r="C75" i="2"/>
  <c r="J75" i="2" s="1"/>
  <c r="N10" i="1"/>
  <c r="U41" i="1"/>
  <c r="Y54" i="2"/>
  <c r="AA15" i="2"/>
  <c r="V63" i="18"/>
  <c r="J39" i="5"/>
  <c r="T10" i="11"/>
  <c r="T9" i="11" s="1"/>
  <c r="L111" i="8"/>
  <c r="R35" i="6"/>
  <c r="L113" i="6"/>
  <c r="E11" i="6"/>
  <c r="D76" i="5"/>
  <c r="L76" i="5" s="1"/>
  <c r="M76" i="3"/>
  <c r="I33" i="3"/>
  <c r="I76" i="1"/>
  <c r="C35" i="1"/>
  <c r="J35" i="1" s="1"/>
  <c r="AI29" i="7"/>
  <c r="J47" i="5"/>
  <c r="J89" i="6"/>
  <c r="J35" i="6"/>
  <c r="W15" i="2"/>
  <c r="M27" i="12"/>
  <c r="Z86" i="18"/>
  <c r="F10" i="18"/>
  <c r="F9" i="18" s="1"/>
  <c r="AM54" i="11"/>
  <c r="AO54" i="11" s="1"/>
  <c r="M13" i="8"/>
  <c r="L88" i="18"/>
  <c r="N86" i="18"/>
  <c r="H106" i="18"/>
  <c r="N106" i="18" s="1"/>
  <c r="P92" i="18"/>
  <c r="V112" i="18"/>
  <c r="L62" i="18"/>
  <c r="N75" i="18"/>
  <c r="Q10" i="18"/>
  <c r="Q9" i="18" s="1"/>
  <c r="N53" i="18"/>
  <c r="T54" i="13"/>
  <c r="U54" i="13" s="1"/>
  <c r="AN10" i="13"/>
  <c r="AN9" i="13" s="1"/>
  <c r="C101" i="7"/>
  <c r="J101" i="7" s="1"/>
  <c r="I106" i="6"/>
  <c r="AB43" i="7"/>
  <c r="AI43" i="7" s="1"/>
  <c r="J60" i="6"/>
  <c r="C38" i="6"/>
  <c r="J38" i="6" s="1"/>
  <c r="I54" i="5"/>
  <c r="C107" i="6"/>
  <c r="J107" i="6" s="1"/>
  <c r="J83" i="6"/>
  <c r="L35" i="5"/>
  <c r="C45" i="5"/>
  <c r="J45" i="5" s="1"/>
  <c r="L100" i="3"/>
  <c r="C37" i="3"/>
  <c r="J37" i="3" s="1"/>
  <c r="L48" i="3"/>
  <c r="L64" i="4"/>
  <c r="D106" i="1"/>
  <c r="C109" i="2"/>
  <c r="J109" i="2" s="1"/>
  <c r="C69" i="1"/>
  <c r="J69" i="1" s="1"/>
  <c r="J33" i="15"/>
  <c r="J35" i="5"/>
  <c r="L80" i="6"/>
  <c r="AI10" i="1"/>
  <c r="AI9" i="1" s="1"/>
  <c r="Z92" i="18"/>
  <c r="T112" i="18"/>
  <c r="T75" i="18"/>
  <c r="M71" i="12"/>
  <c r="N11" i="8"/>
  <c r="T88" i="18"/>
  <c r="V86" i="18"/>
  <c r="R92" i="18"/>
  <c r="P62" i="18"/>
  <c r="V75" i="18"/>
  <c r="Z30" i="18"/>
  <c r="V53" i="18"/>
  <c r="R54" i="7"/>
  <c r="AI56" i="7"/>
  <c r="AK56" i="7"/>
  <c r="R70" i="6"/>
  <c r="BC62" i="5"/>
  <c r="L66" i="5"/>
  <c r="U82" i="4"/>
  <c r="AB82" i="4" s="1"/>
  <c r="E11" i="5"/>
  <c r="J81" i="6"/>
  <c r="Z54" i="5"/>
  <c r="O76" i="4"/>
  <c r="AD35" i="4"/>
  <c r="L111" i="1"/>
  <c r="K88" i="11"/>
  <c r="U53" i="9"/>
  <c r="U85" i="9"/>
  <c r="M68" i="11"/>
  <c r="L33" i="11"/>
  <c r="J69" i="8"/>
  <c r="L32" i="7"/>
  <c r="J60" i="12"/>
  <c r="J57" i="12"/>
  <c r="K55" i="11"/>
  <c r="M69" i="12"/>
  <c r="K73" i="11"/>
  <c r="R88" i="18"/>
  <c r="Y76" i="18"/>
  <c r="N92" i="18"/>
  <c r="L112" i="18"/>
  <c r="V62" i="18"/>
  <c r="R75" i="18"/>
  <c r="R46" i="18"/>
  <c r="P30" i="18"/>
  <c r="L25" i="18"/>
  <c r="L53" i="18"/>
  <c r="M46" i="12"/>
  <c r="J59" i="12"/>
  <c r="J61" i="12"/>
  <c r="AV54" i="8"/>
  <c r="AK29" i="7"/>
  <c r="C17" i="8"/>
  <c r="J17" i="8" s="1"/>
  <c r="C26" i="4"/>
  <c r="J26" i="4" s="1"/>
  <c r="U71" i="4"/>
  <c r="AB71" i="4" s="1"/>
  <c r="T10" i="3"/>
  <c r="T9" i="3" s="1"/>
  <c r="J84" i="7"/>
  <c r="E11" i="1"/>
  <c r="C95" i="4"/>
  <c r="J95" i="4" s="1"/>
  <c r="C115" i="1"/>
  <c r="J115" i="1" s="1"/>
  <c r="N88" i="18"/>
  <c r="M37" i="12"/>
  <c r="Y76" i="2"/>
  <c r="M53" i="12"/>
  <c r="Z88" i="18"/>
  <c r="L46" i="18"/>
  <c r="AR10" i="13"/>
  <c r="AR9" i="13" s="1"/>
  <c r="M59" i="12"/>
  <c r="J90" i="12"/>
  <c r="M72" i="12"/>
  <c r="AC91" i="7"/>
  <c r="AB91" i="7" s="1"/>
  <c r="S10" i="8"/>
  <c r="S9" i="8" s="1"/>
  <c r="C66" i="8"/>
  <c r="J66" i="8" s="1"/>
  <c r="AK61" i="7"/>
  <c r="F11" i="5"/>
  <c r="V33" i="4"/>
  <c r="AD33" i="4" s="1"/>
  <c r="L89" i="6"/>
  <c r="C32" i="3"/>
  <c r="J32" i="3" s="1"/>
  <c r="C17" i="4"/>
  <c r="J17" i="4" s="1"/>
  <c r="C55" i="2"/>
  <c r="J55" i="2" s="1"/>
  <c r="J72" i="7"/>
  <c r="I33" i="2"/>
  <c r="BC63" i="5"/>
  <c r="J38" i="2"/>
  <c r="C18" i="1"/>
  <c r="J18" i="1" s="1"/>
  <c r="J76" i="15"/>
  <c r="N62" i="18"/>
  <c r="N30" i="18"/>
  <c r="Z75" i="18"/>
  <c r="L30" i="18"/>
  <c r="T25" i="18"/>
  <c r="P53" i="18"/>
  <c r="N112" i="18"/>
  <c r="T46" i="18"/>
  <c r="M90" i="12"/>
  <c r="M26" i="11"/>
  <c r="K46" i="11"/>
  <c r="X33" i="9"/>
  <c r="C46" i="6"/>
  <c r="J46" i="6" s="1"/>
  <c r="AL76" i="7"/>
  <c r="C49" i="5"/>
  <c r="J49" i="5" s="1"/>
  <c r="I33" i="5"/>
  <c r="C89" i="3"/>
  <c r="J89" i="3" s="1"/>
  <c r="L48" i="4"/>
  <c r="L65" i="2"/>
  <c r="K18" i="15"/>
  <c r="AI42" i="7"/>
  <c r="C84" i="1"/>
  <c r="J84" i="1" s="1"/>
  <c r="U76" i="2"/>
  <c r="T54" i="1"/>
  <c r="Z112" i="18"/>
  <c r="T86" i="18"/>
  <c r="P112" i="18"/>
  <c r="S10" i="18"/>
  <c r="S9" i="18" s="1"/>
  <c r="P75" i="18"/>
  <c r="T30" i="18"/>
  <c r="P25" i="18"/>
  <c r="O33" i="15"/>
  <c r="BI10" i="13"/>
  <c r="BI9" i="13" s="1"/>
  <c r="D10" i="13"/>
  <c r="R86" i="18"/>
  <c r="H76" i="18"/>
  <c r="L76" i="18" s="1"/>
  <c r="L92" i="18"/>
  <c r="Z53" i="18"/>
  <c r="N46" i="18"/>
  <c r="V25" i="18"/>
  <c r="E11" i="17"/>
  <c r="J71" i="12"/>
  <c r="K87" i="11"/>
  <c r="L82" i="8"/>
  <c r="AB118" i="7"/>
  <c r="AI118" i="7" s="1"/>
  <c r="L98" i="6"/>
  <c r="AY10" i="5"/>
  <c r="AY9" i="5" s="1"/>
  <c r="Z33" i="5"/>
  <c r="Y10" i="5"/>
  <c r="Y9" i="5" s="1"/>
  <c r="U64" i="4"/>
  <c r="AB64" i="4" s="1"/>
  <c r="L99" i="1"/>
  <c r="E11" i="16"/>
  <c r="P52" i="18"/>
  <c r="J95" i="7"/>
  <c r="K35" i="11"/>
  <c r="J18" i="6"/>
  <c r="J78" i="1"/>
  <c r="J26" i="1"/>
  <c r="J32" i="7"/>
  <c r="AG10" i="8"/>
  <c r="AG9" i="8" s="1"/>
  <c r="C23" i="7"/>
  <c r="J23" i="7" s="1"/>
  <c r="AB80" i="7"/>
  <c r="AI80" i="7" s="1"/>
  <c r="W76" i="2"/>
  <c r="C119" i="1"/>
  <c r="J119" i="1" s="1"/>
  <c r="L38" i="2"/>
  <c r="M60" i="12"/>
  <c r="AB84" i="7"/>
  <c r="AI84" i="7" s="1"/>
  <c r="U72" i="9"/>
  <c r="AB105" i="7"/>
  <c r="AI105" i="7" s="1"/>
  <c r="M84" i="11"/>
  <c r="T54" i="9"/>
  <c r="U87" i="4"/>
  <c r="AB87" i="4" s="1"/>
  <c r="AD87" i="4"/>
  <c r="J95" i="5"/>
  <c r="N94" i="18"/>
  <c r="C76" i="15"/>
  <c r="G76" i="15" s="1"/>
  <c r="AF33" i="13"/>
  <c r="AG33" i="13" s="1"/>
  <c r="M62" i="11"/>
  <c r="AZ10" i="13"/>
  <c r="AZ9" i="13" s="1"/>
  <c r="M63" i="12"/>
  <c r="AC33" i="7"/>
  <c r="AK33" i="7" s="1"/>
  <c r="AB36" i="7"/>
  <c r="AI36" i="7" s="1"/>
  <c r="C87" i="5"/>
  <c r="J87" i="5" s="1"/>
  <c r="C57" i="6"/>
  <c r="J57" i="6" s="1"/>
  <c r="BB15" i="5"/>
  <c r="AA54" i="7"/>
  <c r="L95" i="5"/>
  <c r="AH10" i="5"/>
  <c r="AH9" i="5" s="1"/>
  <c r="C92" i="2"/>
  <c r="J92" i="2" s="1"/>
  <c r="D54" i="2"/>
  <c r="C54" i="2" s="1"/>
  <c r="X10" i="4"/>
  <c r="D33" i="2"/>
  <c r="L33" i="2" s="1"/>
  <c r="C28" i="4"/>
  <c r="J28" i="4" s="1"/>
  <c r="O106" i="2"/>
  <c r="F10" i="17"/>
  <c r="F9" i="17" s="1"/>
  <c r="J15" i="15"/>
  <c r="I10" i="14"/>
  <c r="I9" i="14" s="1"/>
  <c r="K19" i="11"/>
  <c r="O54" i="2"/>
  <c r="J34" i="3"/>
  <c r="AG76" i="4"/>
  <c r="AB112" i="4"/>
  <c r="R33" i="1"/>
  <c r="M61" i="12"/>
  <c r="M57" i="12"/>
  <c r="L112" i="2"/>
  <c r="C112" i="2"/>
  <c r="J112" i="2" s="1"/>
  <c r="AD23" i="4"/>
  <c r="U23" i="4"/>
  <c r="AB23" i="4" s="1"/>
  <c r="N10" i="17"/>
  <c r="N9" i="17" s="1"/>
  <c r="J54" i="14"/>
  <c r="Q10" i="13"/>
  <c r="Q9" i="13" s="1"/>
  <c r="AQ10" i="11"/>
  <c r="AQ9" i="11" s="1"/>
  <c r="C106" i="10"/>
  <c r="G106" i="10" s="1"/>
  <c r="T15" i="9"/>
  <c r="U90" i="9"/>
  <c r="C101" i="8"/>
  <c r="J101" i="8" s="1"/>
  <c r="E11" i="8"/>
  <c r="L41" i="8"/>
  <c r="U22" i="9"/>
  <c r="J68" i="8"/>
  <c r="C28" i="8"/>
  <c r="J28" i="8" s="1"/>
  <c r="L89" i="7"/>
  <c r="C117" i="6"/>
  <c r="J117" i="6" s="1"/>
  <c r="C23" i="5"/>
  <c r="J23" i="5" s="1"/>
  <c r="AD115" i="4"/>
  <c r="C21" i="2"/>
  <c r="J21" i="2" s="1"/>
  <c r="D15" i="1"/>
  <c r="L15" i="1" s="1"/>
  <c r="D11" i="11"/>
  <c r="J79" i="7"/>
  <c r="AZ33" i="5"/>
  <c r="L111" i="2"/>
  <c r="C111" i="2"/>
  <c r="J111" i="2" s="1"/>
  <c r="F10" i="7"/>
  <c r="J10" i="17"/>
  <c r="J9" i="17" s="1"/>
  <c r="K10" i="17"/>
  <c r="K9" i="17" s="1"/>
  <c r="I15" i="15"/>
  <c r="F10" i="13"/>
  <c r="F9" i="13" s="1"/>
  <c r="J56" i="12"/>
  <c r="T33" i="13"/>
  <c r="U33" i="13" s="1"/>
  <c r="AK10" i="11"/>
  <c r="AK9" i="11" s="1"/>
  <c r="J58" i="12"/>
  <c r="U49" i="9"/>
  <c r="W10" i="7"/>
  <c r="W9" i="7" s="1"/>
  <c r="M13" i="6"/>
  <c r="J38" i="7"/>
  <c r="J36" i="5"/>
  <c r="J88" i="4"/>
  <c r="D33" i="3"/>
  <c r="C33" i="3" s="1"/>
  <c r="C40" i="4"/>
  <c r="J40" i="4" s="1"/>
  <c r="D91" i="2"/>
  <c r="L91" i="2" s="1"/>
  <c r="Y15" i="18"/>
  <c r="Z15" i="18" s="1"/>
  <c r="O10" i="18"/>
  <c r="O9" i="18" s="1"/>
  <c r="I76" i="15"/>
  <c r="K83" i="11"/>
  <c r="L56" i="5"/>
  <c r="C56" i="5"/>
  <c r="J56" i="5" s="1"/>
  <c r="S10" i="17"/>
  <c r="S9" i="17" s="1"/>
  <c r="T94" i="18"/>
  <c r="L10" i="16"/>
  <c r="L9" i="16" s="1"/>
  <c r="BB10" i="13"/>
  <c r="BB9" i="13" s="1"/>
  <c r="AR11" i="11"/>
  <c r="M71" i="11"/>
  <c r="M67" i="12"/>
  <c r="M58" i="12"/>
  <c r="M58" i="11"/>
  <c r="AA33" i="11"/>
  <c r="O10" i="9"/>
  <c r="O9" i="9" s="1"/>
  <c r="J107" i="8"/>
  <c r="Z10" i="7"/>
  <c r="Z9" i="7" s="1"/>
  <c r="L20" i="6"/>
  <c r="Q76" i="6"/>
  <c r="I76" i="6"/>
  <c r="V10" i="5"/>
  <c r="V9" i="5" s="1"/>
  <c r="AB30" i="7"/>
  <c r="AI30" i="7" s="1"/>
  <c r="AJ33" i="4"/>
  <c r="AO10" i="5"/>
  <c r="AO9" i="5" s="1"/>
  <c r="AA54" i="4"/>
  <c r="Q10" i="4"/>
  <c r="Q9" i="4" s="1"/>
  <c r="N10" i="3"/>
  <c r="C73" i="3"/>
  <c r="J73" i="3" s="1"/>
  <c r="AJ54" i="4"/>
  <c r="C21" i="3"/>
  <c r="J21" i="3" s="1"/>
  <c r="O54" i="1"/>
  <c r="C52" i="1"/>
  <c r="J52" i="1" s="1"/>
  <c r="L96" i="1"/>
  <c r="M88" i="12"/>
  <c r="L39" i="5"/>
  <c r="U68" i="4"/>
  <c r="AB68" i="4" s="1"/>
  <c r="Z10" i="1"/>
  <c r="Z9" i="1" s="1"/>
  <c r="H10" i="1"/>
  <c r="AD40" i="4"/>
  <c r="U40" i="4"/>
  <c r="AB40" i="4" s="1"/>
  <c r="U76" i="18"/>
  <c r="R94" i="18"/>
  <c r="H54" i="18"/>
  <c r="T54" i="18" s="1"/>
  <c r="J10" i="18"/>
  <c r="J9" i="18" s="1"/>
  <c r="H9" i="18" s="1"/>
  <c r="BH10" i="13"/>
  <c r="BH9" i="13" s="1"/>
  <c r="AB10" i="13"/>
  <c r="AB9" i="13" s="1"/>
  <c r="H91" i="12"/>
  <c r="H12" i="12" s="1"/>
  <c r="AM91" i="11"/>
  <c r="AO91" i="11" s="1"/>
  <c r="M44" i="11"/>
  <c r="D106" i="8"/>
  <c r="D13" i="8" s="1"/>
  <c r="K60" i="11"/>
  <c r="AI63" i="7"/>
  <c r="AM10" i="7"/>
  <c r="D91" i="5"/>
  <c r="L91" i="5" s="1"/>
  <c r="T54" i="5"/>
  <c r="U108" i="4"/>
  <c r="AB108" i="4" s="1"/>
  <c r="N10" i="7"/>
  <c r="M76" i="7"/>
  <c r="U54" i="3"/>
  <c r="J47" i="2"/>
  <c r="C59" i="2"/>
  <c r="J59" i="2" s="1"/>
  <c r="AD76" i="2"/>
  <c r="C41" i="1"/>
  <c r="J41" i="1" s="1"/>
  <c r="L60" i="18"/>
  <c r="AF10" i="1"/>
  <c r="AF9" i="1" s="1"/>
  <c r="C23" i="3"/>
  <c r="J23" i="3" s="1"/>
  <c r="L48" i="2"/>
  <c r="K81" i="11"/>
  <c r="L39" i="6"/>
  <c r="C39" i="6"/>
  <c r="J39" i="6" s="1"/>
  <c r="AH76" i="11"/>
  <c r="K20" i="11"/>
  <c r="P94" i="18"/>
  <c r="Z85" i="18"/>
  <c r="V94" i="18"/>
  <c r="K10" i="16"/>
  <c r="K9" i="16" s="1"/>
  <c r="J76" i="13"/>
  <c r="K76" i="13" s="1"/>
  <c r="BK10" i="13"/>
  <c r="BK9" i="13" s="1"/>
  <c r="AI10" i="11"/>
  <c r="AI9" i="11" s="1"/>
  <c r="D10" i="10"/>
  <c r="AP10" i="8"/>
  <c r="AP9" i="8" s="1"/>
  <c r="AV76" i="8"/>
  <c r="I106" i="7"/>
  <c r="AB81" i="7"/>
  <c r="AI81" i="7" s="1"/>
  <c r="AB47" i="7"/>
  <c r="AI47" i="7" s="1"/>
  <c r="M13" i="5"/>
  <c r="J20" i="6"/>
  <c r="AD33" i="5"/>
  <c r="AC10" i="5"/>
  <c r="AC9" i="5" s="1"/>
  <c r="BC56" i="5"/>
  <c r="E11" i="4"/>
  <c r="M33" i="2"/>
  <c r="C25" i="1"/>
  <c r="J25" i="1" s="1"/>
  <c r="Z60" i="18"/>
  <c r="J62" i="12"/>
  <c r="J94" i="8"/>
  <c r="J57" i="8"/>
  <c r="AB10" i="8"/>
  <c r="AB9" i="8" s="1"/>
  <c r="AI21" i="7"/>
  <c r="AH10" i="1"/>
  <c r="AH9" i="1" s="1"/>
  <c r="T15" i="1"/>
  <c r="V50" i="18"/>
  <c r="R45" i="18"/>
  <c r="V45" i="18"/>
  <c r="AD43" i="4"/>
  <c r="U43" i="4"/>
  <c r="AB43" i="4" s="1"/>
  <c r="CG10" i="13"/>
  <c r="CG9" i="13" s="1"/>
  <c r="K21" i="11"/>
  <c r="M56" i="11"/>
  <c r="X10" i="11"/>
  <c r="X9" i="11" s="1"/>
  <c r="U42" i="9"/>
  <c r="AC10" i="8"/>
  <c r="AC9" i="8" s="1"/>
  <c r="I76" i="7"/>
  <c r="U76" i="7"/>
  <c r="J82" i="6"/>
  <c r="AH54" i="7"/>
  <c r="AD54" i="5"/>
  <c r="C84" i="3"/>
  <c r="J84" i="3" s="1"/>
  <c r="D106" i="3"/>
  <c r="D13" i="3" s="1"/>
  <c r="AI10" i="4"/>
  <c r="AI9" i="4" s="1"/>
  <c r="C108" i="2"/>
  <c r="J108" i="2" s="1"/>
  <c r="N22" i="18"/>
  <c r="T10" i="8"/>
  <c r="T9" i="8" s="1"/>
  <c r="I54" i="1"/>
  <c r="AE10" i="1"/>
  <c r="AE9" i="1" s="1"/>
  <c r="AC10" i="1"/>
  <c r="AC9" i="1" s="1"/>
  <c r="D91" i="3"/>
  <c r="D12" i="3" s="1"/>
  <c r="AA10" i="1"/>
  <c r="AA9" i="1" s="1"/>
  <c r="N50" i="18"/>
  <c r="L50" i="18"/>
  <c r="T76" i="13"/>
  <c r="U76" i="13" s="1"/>
  <c r="AM10" i="13"/>
  <c r="AM9" i="13" s="1"/>
  <c r="AQ10" i="8"/>
  <c r="AQ9" i="8" s="1"/>
  <c r="L56" i="7"/>
  <c r="C56" i="7"/>
  <c r="J56" i="7" s="1"/>
  <c r="R15" i="8"/>
  <c r="AD15" i="8"/>
  <c r="Z66" i="18"/>
  <c r="V66" i="18"/>
  <c r="L61" i="18"/>
  <c r="R72" i="18"/>
  <c r="Z41" i="18"/>
  <c r="I15" i="16"/>
  <c r="J15" i="16" s="1"/>
  <c r="BP33" i="13"/>
  <c r="BF10" i="13"/>
  <c r="BF9" i="13" s="1"/>
  <c r="D10" i="12"/>
  <c r="M47" i="11"/>
  <c r="AH33" i="11"/>
  <c r="F10" i="9"/>
  <c r="F9" i="9" s="1"/>
  <c r="AE11" i="7"/>
  <c r="AA54" i="9"/>
  <c r="BA10" i="8"/>
  <c r="BA9" i="8" s="1"/>
  <c r="AB100" i="7"/>
  <c r="AI100" i="7" s="1"/>
  <c r="F10" i="6"/>
  <c r="L95" i="7"/>
  <c r="AK87" i="7"/>
  <c r="AT76" i="5"/>
  <c r="F10" i="4"/>
  <c r="U10" i="5"/>
  <c r="U9" i="5" s="1"/>
  <c r="BC55" i="5"/>
  <c r="AQ10" i="5"/>
  <c r="AQ9" i="5" s="1"/>
  <c r="AB34" i="4"/>
  <c r="C88" i="3"/>
  <c r="J88" i="3" s="1"/>
  <c r="BB76" i="5"/>
  <c r="M33" i="4"/>
  <c r="L92" i="3"/>
  <c r="I54" i="3"/>
  <c r="C64" i="2"/>
  <c r="J64" i="2" s="1"/>
  <c r="R54" i="1"/>
  <c r="Z10" i="2"/>
  <c r="Z9" i="2" s="1"/>
  <c r="P76" i="1"/>
  <c r="J18" i="5"/>
  <c r="M76" i="1"/>
  <c r="S52" i="1"/>
  <c r="T33" i="1"/>
  <c r="AJ33" i="1"/>
  <c r="M85" i="12"/>
  <c r="AL10" i="11"/>
  <c r="AL9" i="11" s="1"/>
  <c r="C103" i="8"/>
  <c r="J103" i="8" s="1"/>
  <c r="L103" i="8"/>
  <c r="M21" i="11"/>
  <c r="AN10" i="8"/>
  <c r="AN9" i="8" s="1"/>
  <c r="AA54" i="8"/>
  <c r="L58" i="6"/>
  <c r="C58" i="6"/>
  <c r="J58" i="6" s="1"/>
  <c r="AZ91" i="5"/>
  <c r="AV12" i="5"/>
  <c r="AJ15" i="1"/>
  <c r="AD10" i="1"/>
  <c r="AD9" i="1" s="1"/>
  <c r="J32" i="4"/>
  <c r="Q76" i="1"/>
  <c r="AV76" i="13"/>
  <c r="AW76" i="13" s="1"/>
  <c r="Y10" i="13"/>
  <c r="Y9" i="13" s="1"/>
  <c r="AF10" i="4"/>
  <c r="J39" i="2"/>
  <c r="U67" i="4"/>
  <c r="AB67" i="4" s="1"/>
  <c r="AD67" i="4"/>
  <c r="T61" i="18"/>
  <c r="L72" i="18"/>
  <c r="T41" i="18"/>
  <c r="L54" i="13"/>
  <c r="M54" i="13" s="1"/>
  <c r="BU10" i="13"/>
  <c r="BU9" i="13" s="1"/>
  <c r="BC10" i="13"/>
  <c r="BC9" i="13" s="1"/>
  <c r="AI10" i="13"/>
  <c r="AI9" i="13" s="1"/>
  <c r="C106" i="12"/>
  <c r="G106" i="12" s="1"/>
  <c r="AD33" i="13"/>
  <c r="AE33" i="13" s="1"/>
  <c r="AD10" i="11"/>
  <c r="AD9" i="11" s="1"/>
  <c r="R10" i="11"/>
  <c r="R9" i="11" s="1"/>
  <c r="AS10" i="11"/>
  <c r="AS9" i="11" s="1"/>
  <c r="AJ33" i="11"/>
  <c r="K58" i="11"/>
  <c r="E10" i="9"/>
  <c r="D10" i="11"/>
  <c r="X54" i="9"/>
  <c r="D91" i="8"/>
  <c r="L91" i="8" s="1"/>
  <c r="L57" i="8"/>
  <c r="AH13" i="7"/>
  <c r="I13" i="7"/>
  <c r="C108" i="7"/>
  <c r="J108" i="7" s="1"/>
  <c r="L79" i="7"/>
  <c r="AY10" i="8"/>
  <c r="AY9" i="8" s="1"/>
  <c r="I54" i="6"/>
  <c r="AB64" i="7"/>
  <c r="AI64" i="7" s="1"/>
  <c r="D106" i="6"/>
  <c r="D13" i="6" s="1"/>
  <c r="R33" i="7"/>
  <c r="C74" i="6"/>
  <c r="J74" i="6" s="1"/>
  <c r="L18" i="6"/>
  <c r="C27" i="4"/>
  <c r="J27" i="4" s="1"/>
  <c r="S10" i="2"/>
  <c r="C92" i="3"/>
  <c r="J92" i="3" s="1"/>
  <c r="C101" i="4"/>
  <c r="J101" i="4" s="1"/>
  <c r="P54" i="1"/>
  <c r="Y10" i="1"/>
  <c r="Y9" i="1" s="1"/>
  <c r="L37" i="18"/>
  <c r="R37" i="18"/>
  <c r="R74" i="18"/>
  <c r="N74" i="18"/>
  <c r="Z74" i="18"/>
  <c r="M45" i="12"/>
  <c r="E11" i="12"/>
  <c r="J85" i="12"/>
  <c r="J95" i="8"/>
  <c r="L109" i="8"/>
  <c r="C109" i="8"/>
  <c r="J109" i="8" s="1"/>
  <c r="U48" i="9"/>
  <c r="H11" i="7"/>
  <c r="J64" i="6"/>
  <c r="S76" i="5"/>
  <c r="U51" i="4"/>
  <c r="AB51" i="4" s="1"/>
  <c r="AD51" i="4"/>
  <c r="L118" i="1"/>
  <c r="C118" i="1"/>
  <c r="J118" i="1" s="1"/>
  <c r="J22" i="2"/>
  <c r="AS10" i="13"/>
  <c r="AS9" i="13" s="1"/>
  <c r="J33" i="14"/>
  <c r="BX15" i="13"/>
  <c r="BY15" i="13" s="1"/>
  <c r="R33" i="8"/>
  <c r="AD33" i="8"/>
  <c r="D10" i="18"/>
  <c r="Z25" i="18"/>
  <c r="Z61" i="18"/>
  <c r="T72" i="18"/>
  <c r="N41" i="18"/>
  <c r="R10" i="15"/>
  <c r="R9" i="15" s="1"/>
  <c r="L76" i="13"/>
  <c r="M76" i="13" s="1"/>
  <c r="O10" i="13"/>
  <c r="O9" i="13" s="1"/>
  <c r="K69" i="11"/>
  <c r="J74" i="12"/>
  <c r="J76" i="11"/>
  <c r="M38" i="11"/>
  <c r="S33" i="11"/>
  <c r="M57" i="11"/>
  <c r="I10" i="10"/>
  <c r="I9" i="10" s="1"/>
  <c r="T76" i="9"/>
  <c r="E10" i="11"/>
  <c r="J49" i="8"/>
  <c r="X54" i="8"/>
  <c r="O54" i="8"/>
  <c r="BE10" i="8"/>
  <c r="BE9" i="8" s="1"/>
  <c r="L99" i="7"/>
  <c r="Q10" i="7"/>
  <c r="Q9" i="7" s="1"/>
  <c r="M54" i="7"/>
  <c r="X15" i="8"/>
  <c r="AD10" i="7"/>
  <c r="D91" i="6"/>
  <c r="L91" i="6" s="1"/>
  <c r="AJ10" i="5"/>
  <c r="AJ9" i="5" s="1"/>
  <c r="AA13" i="4"/>
  <c r="BC22" i="5"/>
  <c r="D54" i="4"/>
  <c r="L54" i="4" s="1"/>
  <c r="L98" i="5"/>
  <c r="E10" i="5"/>
  <c r="C86" i="4"/>
  <c r="J86" i="4" s="1"/>
  <c r="I76" i="3"/>
  <c r="C90" i="2"/>
  <c r="J90" i="2" s="1"/>
  <c r="N10" i="6"/>
  <c r="AT54" i="5"/>
  <c r="D33" i="1"/>
  <c r="C33" i="1" s="1"/>
  <c r="X11" i="4"/>
  <c r="D76" i="1"/>
  <c r="L76" i="1" s="1"/>
  <c r="C81" i="1"/>
  <c r="J81" i="1" s="1"/>
  <c r="T99" i="18"/>
  <c r="N99" i="18"/>
  <c r="C33" i="15"/>
  <c r="G33" i="15" s="1"/>
  <c r="Y91" i="11"/>
  <c r="V12" i="11"/>
  <c r="Y12" i="11" s="1"/>
  <c r="L118" i="8"/>
  <c r="C118" i="8"/>
  <c r="J118" i="8" s="1"/>
  <c r="U91" i="8"/>
  <c r="Q12" i="8"/>
  <c r="AB117" i="7"/>
  <c r="AI117" i="7" s="1"/>
  <c r="AK117" i="7"/>
  <c r="L47" i="6"/>
  <c r="C47" i="6"/>
  <c r="J47" i="6" s="1"/>
  <c r="C111" i="4"/>
  <c r="J111" i="4" s="1"/>
  <c r="L111" i="4"/>
  <c r="AJ10" i="8"/>
  <c r="AJ9" i="8" s="1"/>
  <c r="R91" i="4"/>
  <c r="P12" i="4"/>
  <c r="O91" i="4"/>
  <c r="G12" i="4"/>
  <c r="U76" i="6"/>
  <c r="J54" i="15"/>
  <c r="I54" i="15"/>
  <c r="K54" i="15" s="1"/>
  <c r="AM10" i="8"/>
  <c r="AM9" i="8" s="1"/>
  <c r="P85" i="18"/>
  <c r="R85" i="18"/>
  <c r="L85" i="18"/>
  <c r="V85" i="18"/>
  <c r="T85" i="18"/>
  <c r="U57" i="9"/>
  <c r="L20" i="4"/>
  <c r="C20" i="4"/>
  <c r="J20" i="4" s="1"/>
  <c r="N61" i="18"/>
  <c r="P72" i="18"/>
  <c r="V41" i="18"/>
  <c r="F10" i="15"/>
  <c r="F9" i="15" s="1"/>
  <c r="O10" i="16"/>
  <c r="O9" i="16" s="1"/>
  <c r="BJ10" i="13"/>
  <c r="BJ9" i="13" s="1"/>
  <c r="AC10" i="13"/>
  <c r="AC9" i="13" s="1"/>
  <c r="BD10" i="13"/>
  <c r="BD9" i="13" s="1"/>
  <c r="K76" i="12"/>
  <c r="F10" i="12"/>
  <c r="F9" i="12" s="1"/>
  <c r="AH54" i="11"/>
  <c r="BS10" i="13"/>
  <c r="BS9" i="13" s="1"/>
  <c r="M74" i="12"/>
  <c r="J20" i="12"/>
  <c r="Y76" i="11"/>
  <c r="Y54" i="11"/>
  <c r="AJ76" i="11"/>
  <c r="L80" i="8"/>
  <c r="C112" i="8"/>
  <c r="J112" i="8" s="1"/>
  <c r="L49" i="8"/>
  <c r="AH33" i="8"/>
  <c r="X33" i="7"/>
  <c r="C88" i="7"/>
  <c r="J88" i="7" s="1"/>
  <c r="V10" i="7"/>
  <c r="C27" i="6"/>
  <c r="J27" i="6" s="1"/>
  <c r="C89" i="5"/>
  <c r="J89" i="5" s="1"/>
  <c r="AF11" i="4"/>
  <c r="AA10" i="5"/>
  <c r="AA9" i="5" s="1"/>
  <c r="D54" i="5"/>
  <c r="L54" i="5" s="1"/>
  <c r="BB54" i="5"/>
  <c r="C99" i="4"/>
  <c r="J99" i="4" s="1"/>
  <c r="I106" i="3"/>
  <c r="C71" i="3"/>
  <c r="J71" i="3" s="1"/>
  <c r="C84" i="2"/>
  <c r="J84" i="2" s="1"/>
  <c r="C116" i="3"/>
  <c r="J116" i="3" s="1"/>
  <c r="I15" i="3"/>
  <c r="Q54" i="1"/>
  <c r="E10" i="1"/>
  <c r="J53" i="2"/>
  <c r="G12" i="1"/>
  <c r="O12" i="1" s="1"/>
  <c r="C65" i="1"/>
  <c r="J65" i="1" s="1"/>
  <c r="M62" i="12"/>
  <c r="M48" i="12"/>
  <c r="K68" i="11"/>
  <c r="C112" i="6"/>
  <c r="J112" i="6" s="1"/>
  <c r="L112" i="6"/>
  <c r="L116" i="7"/>
  <c r="C116" i="7"/>
  <c r="J116" i="7" s="1"/>
  <c r="C118" i="6"/>
  <c r="J118" i="6" s="1"/>
  <c r="L118" i="6"/>
  <c r="J64" i="5"/>
  <c r="J105" i="6"/>
  <c r="L89" i="4"/>
  <c r="C89" i="4"/>
  <c r="J89" i="4" s="1"/>
  <c r="P33" i="1"/>
  <c r="P10" i="13"/>
  <c r="P9" i="13" s="1"/>
  <c r="P76" i="6"/>
  <c r="AK17" i="7"/>
  <c r="AB17" i="7"/>
  <c r="AI17" i="7" s="1"/>
  <c r="L93" i="18"/>
  <c r="Z72" i="18"/>
  <c r="P41" i="18"/>
  <c r="T10" i="17"/>
  <c r="T9" i="17" s="1"/>
  <c r="BA10" i="13"/>
  <c r="BA9" i="13" s="1"/>
  <c r="C91" i="13"/>
  <c r="G91" i="13" s="1"/>
  <c r="BY33" i="13"/>
  <c r="BP15" i="13"/>
  <c r="M20" i="12"/>
  <c r="J72" i="12"/>
  <c r="C33" i="10"/>
  <c r="G33" i="10" s="1"/>
  <c r="F10" i="10"/>
  <c r="F9" i="10" s="1"/>
  <c r="L94" i="8"/>
  <c r="Z10" i="8"/>
  <c r="Z9" i="8" s="1"/>
  <c r="C15" i="10"/>
  <c r="G15" i="10" s="1"/>
  <c r="AK10" i="8"/>
  <c r="AK9" i="8" s="1"/>
  <c r="U54" i="6"/>
  <c r="N10" i="4"/>
  <c r="D106" i="4"/>
  <c r="D13" i="4" s="1"/>
  <c r="O91" i="6"/>
  <c r="U105" i="4"/>
  <c r="AB105" i="4" s="1"/>
  <c r="AB78" i="4"/>
  <c r="R43" i="6"/>
  <c r="U33" i="18"/>
  <c r="I54" i="4"/>
  <c r="I33" i="4"/>
  <c r="S17" i="1"/>
  <c r="V10" i="2"/>
  <c r="V9" i="2" s="1"/>
  <c r="D54" i="1"/>
  <c r="L54" i="1" s="1"/>
  <c r="M64" i="12"/>
  <c r="AK83" i="7"/>
  <c r="AB83" i="7"/>
  <c r="AI83" i="7" s="1"/>
  <c r="AA33" i="8"/>
  <c r="J28" i="6"/>
  <c r="L18" i="3"/>
  <c r="C18" i="3"/>
  <c r="J18" i="3" s="1"/>
  <c r="L56" i="4"/>
  <c r="C56" i="4"/>
  <c r="J56" i="4" s="1"/>
  <c r="AD59" i="4"/>
  <c r="U59" i="4"/>
  <c r="AB59" i="4" s="1"/>
  <c r="M54" i="1"/>
  <c r="R93" i="18"/>
  <c r="P93" i="18"/>
  <c r="R66" i="18"/>
  <c r="L66" i="18"/>
  <c r="AK70" i="7"/>
  <c r="AB70" i="7"/>
  <c r="AI70" i="7" s="1"/>
  <c r="AB85" i="7"/>
  <c r="AI85" i="7" s="1"/>
  <c r="AK85" i="7"/>
  <c r="L58" i="5"/>
  <c r="C58" i="5"/>
  <c r="J58" i="5" s="1"/>
  <c r="R54" i="8"/>
  <c r="AD54" i="8"/>
  <c r="Z93" i="18"/>
  <c r="N93" i="18"/>
  <c r="T66" i="18"/>
  <c r="U54" i="18"/>
  <c r="Y33" i="18"/>
  <c r="K10" i="18"/>
  <c r="K9" i="18" s="1"/>
  <c r="D10" i="17"/>
  <c r="M10" i="16"/>
  <c r="M9" i="16" s="1"/>
  <c r="M10" i="15"/>
  <c r="I10" i="15" s="1"/>
  <c r="C76" i="14"/>
  <c r="G76" i="14" s="1"/>
  <c r="AA10" i="13"/>
  <c r="AA9" i="13" s="1"/>
  <c r="BZ15" i="13"/>
  <c r="BZ10" i="13" s="1"/>
  <c r="BZ9" i="13" s="1"/>
  <c r="P10" i="12"/>
  <c r="O10" i="12"/>
  <c r="O9" i="12" s="1"/>
  <c r="K56" i="11"/>
  <c r="M32" i="11"/>
  <c r="Q33" i="11"/>
  <c r="AN10" i="11"/>
  <c r="AN9" i="11" s="1"/>
  <c r="K52" i="11"/>
  <c r="M33" i="7"/>
  <c r="C42" i="7"/>
  <c r="J42" i="7" s="1"/>
  <c r="L90" i="6"/>
  <c r="I76" i="4"/>
  <c r="R62" i="6"/>
  <c r="AA106" i="4"/>
  <c r="U54" i="2"/>
  <c r="G10" i="7"/>
  <c r="O10" i="7" s="1"/>
  <c r="P10" i="5"/>
  <c r="P9" i="5" s="1"/>
  <c r="AA54" i="2"/>
  <c r="U33" i="3"/>
  <c r="J79" i="5"/>
  <c r="M82" i="11"/>
  <c r="M25" i="12"/>
  <c r="L93" i="8"/>
  <c r="C93" i="8"/>
  <c r="J93" i="8" s="1"/>
  <c r="L58" i="7"/>
  <c r="C58" i="7"/>
  <c r="J58" i="7" s="1"/>
  <c r="C80" i="7"/>
  <c r="J80" i="7" s="1"/>
  <c r="L80" i="7"/>
  <c r="C105" i="7"/>
  <c r="J105" i="7" s="1"/>
  <c r="L105" i="7"/>
  <c r="BC53" i="5"/>
  <c r="BC68" i="5"/>
  <c r="L78" i="6"/>
  <c r="C78" i="6"/>
  <c r="J78" i="6" s="1"/>
  <c r="J26" i="6"/>
  <c r="C93" i="3"/>
  <c r="J93" i="3" s="1"/>
  <c r="L93" i="3"/>
  <c r="AJ91" i="4"/>
  <c r="AH12" i="4"/>
  <c r="R76" i="2"/>
  <c r="F10" i="1"/>
  <c r="J66" i="1"/>
  <c r="P48" i="18"/>
  <c r="V48" i="18"/>
  <c r="N48" i="18"/>
  <c r="Z48" i="18"/>
  <c r="R48" i="18"/>
  <c r="L48" i="18"/>
  <c r="T48" i="18"/>
  <c r="O106" i="15"/>
  <c r="L13" i="15"/>
  <c r="BN91" i="13"/>
  <c r="BN12" i="13" s="1"/>
  <c r="BN11" i="13" s="1"/>
  <c r="BR12" i="13"/>
  <c r="BR11" i="13" s="1"/>
  <c r="G55" i="12"/>
  <c r="C54" i="12"/>
  <c r="G54" i="12" s="1"/>
  <c r="AA106" i="11"/>
  <c r="W13" i="11"/>
  <c r="AA13" i="11" s="1"/>
  <c r="C91" i="10"/>
  <c r="G92" i="10"/>
  <c r="AO34" i="11"/>
  <c r="AM33" i="11"/>
  <c r="AO33" i="11" s="1"/>
  <c r="L76" i="9"/>
  <c r="M76" i="9" s="1"/>
  <c r="L38" i="8"/>
  <c r="C38" i="8"/>
  <c r="J38" i="8" s="1"/>
  <c r="M107" i="11"/>
  <c r="I106" i="11"/>
  <c r="C15" i="13"/>
  <c r="G16" i="13"/>
  <c r="H33" i="12"/>
  <c r="L76" i="11"/>
  <c r="T15" i="13"/>
  <c r="U16" i="13"/>
  <c r="Z10" i="11"/>
  <c r="Z9" i="11" s="1"/>
  <c r="G93" i="12"/>
  <c r="C91" i="12"/>
  <c r="G108" i="9"/>
  <c r="C106" i="9"/>
  <c r="M46" i="11"/>
  <c r="AO16" i="11"/>
  <c r="AM15" i="11"/>
  <c r="H15" i="11"/>
  <c r="L27" i="8"/>
  <c r="C27" i="8"/>
  <c r="J27" i="8" s="1"/>
  <c r="L19" i="8"/>
  <c r="C19" i="8"/>
  <c r="J19" i="8" s="1"/>
  <c r="E10" i="10"/>
  <c r="X76" i="9"/>
  <c r="L15" i="9"/>
  <c r="L66" i="7"/>
  <c r="C66" i="7"/>
  <c r="J66" i="7" s="1"/>
  <c r="C96" i="7"/>
  <c r="J96" i="7" s="1"/>
  <c r="L96" i="7"/>
  <c r="M76" i="8"/>
  <c r="H10" i="8"/>
  <c r="AK65" i="7"/>
  <c r="AB65" i="7"/>
  <c r="AI65" i="7" s="1"/>
  <c r="L107" i="7"/>
  <c r="C107" i="7"/>
  <c r="J107" i="7" s="1"/>
  <c r="D106" i="7"/>
  <c r="L86" i="6"/>
  <c r="C86" i="6"/>
  <c r="J86" i="6" s="1"/>
  <c r="L33" i="9"/>
  <c r="M33" i="9" s="1"/>
  <c r="W10" i="8"/>
  <c r="W9" i="8" s="1"/>
  <c r="AN91" i="7"/>
  <c r="AF12" i="7"/>
  <c r="L26" i="7"/>
  <c r="C26" i="7"/>
  <c r="J26" i="7" s="1"/>
  <c r="C46" i="7"/>
  <c r="J46" i="7" s="1"/>
  <c r="L46" i="7"/>
  <c r="L49" i="6"/>
  <c r="C49" i="6"/>
  <c r="J49" i="6" s="1"/>
  <c r="L75" i="5"/>
  <c r="C75" i="5"/>
  <c r="J75" i="5" s="1"/>
  <c r="M91" i="6"/>
  <c r="H12" i="6"/>
  <c r="AM91" i="5"/>
  <c r="AK91" i="5"/>
  <c r="AI12" i="5"/>
  <c r="AH15" i="7"/>
  <c r="AJ10" i="7"/>
  <c r="R16" i="6"/>
  <c r="P15" i="6"/>
  <c r="C55" i="7"/>
  <c r="J55" i="7" s="1"/>
  <c r="L55" i="7"/>
  <c r="D54" i="7"/>
  <c r="Q54" i="6"/>
  <c r="AX91" i="5"/>
  <c r="AU12" i="5"/>
  <c r="AA15" i="7"/>
  <c r="AL15" i="7"/>
  <c r="K12" i="5"/>
  <c r="I91" i="5"/>
  <c r="AD98" i="4"/>
  <c r="U98" i="4"/>
  <c r="AB98" i="4" s="1"/>
  <c r="T54" i="4"/>
  <c r="R54" i="4"/>
  <c r="L104" i="4"/>
  <c r="C104" i="4"/>
  <c r="J104" i="4" s="1"/>
  <c r="L96" i="4"/>
  <c r="C96" i="4"/>
  <c r="J96" i="4" s="1"/>
  <c r="L114" i="3"/>
  <c r="C114" i="3"/>
  <c r="J114" i="3" s="1"/>
  <c r="L24" i="5"/>
  <c r="C24" i="5"/>
  <c r="J24" i="5" s="1"/>
  <c r="AE54" i="4"/>
  <c r="AD26" i="4"/>
  <c r="U26" i="4"/>
  <c r="AB26" i="4" s="1"/>
  <c r="AA91" i="4"/>
  <c r="AC12" i="4"/>
  <c r="AE12" i="4" s="1"/>
  <c r="BA33" i="5"/>
  <c r="AP33" i="5"/>
  <c r="I91" i="4"/>
  <c r="K12" i="4"/>
  <c r="M91" i="4"/>
  <c r="N10" i="5"/>
  <c r="L117" i="3"/>
  <c r="C117" i="3"/>
  <c r="J117" i="3" s="1"/>
  <c r="C60" i="3"/>
  <c r="J60" i="3" s="1"/>
  <c r="L60" i="3"/>
  <c r="X10" i="5"/>
  <c r="Z15" i="5"/>
  <c r="L115" i="2"/>
  <c r="C115" i="2"/>
  <c r="J115" i="2" s="1"/>
  <c r="P12" i="2"/>
  <c r="R91" i="2"/>
  <c r="AB12" i="2"/>
  <c r="AD91" i="2"/>
  <c r="L77" i="2"/>
  <c r="C77" i="2"/>
  <c r="J77" i="2" s="1"/>
  <c r="D76" i="2"/>
  <c r="AD19" i="4"/>
  <c r="U19" i="4"/>
  <c r="AB19" i="4" s="1"/>
  <c r="F10" i="3"/>
  <c r="P10" i="2"/>
  <c r="R15" i="2"/>
  <c r="F11" i="3"/>
  <c r="L56" i="3"/>
  <c r="C56" i="3"/>
  <c r="J56" i="3" s="1"/>
  <c r="M13" i="2"/>
  <c r="I13" i="2"/>
  <c r="O91" i="2"/>
  <c r="G12" i="2"/>
  <c r="BA15" i="5"/>
  <c r="AN10" i="5"/>
  <c r="AP15" i="5"/>
  <c r="C31" i="2"/>
  <c r="J31" i="2" s="1"/>
  <c r="L31" i="2"/>
  <c r="C35" i="2"/>
  <c r="J35" i="2" s="1"/>
  <c r="L35" i="2"/>
  <c r="C19" i="2"/>
  <c r="J19" i="2" s="1"/>
  <c r="L19" i="2"/>
  <c r="T10" i="2"/>
  <c r="T9" i="2" s="1"/>
  <c r="G92" i="18"/>
  <c r="C91" i="18"/>
  <c r="Z57" i="18"/>
  <c r="R57" i="18"/>
  <c r="P57" i="18"/>
  <c r="N57" i="18"/>
  <c r="T57" i="18"/>
  <c r="L57" i="18"/>
  <c r="V57" i="18"/>
  <c r="E10" i="17"/>
  <c r="AB10" i="18"/>
  <c r="AB9" i="18" s="1"/>
  <c r="M10" i="18"/>
  <c r="M9" i="18" s="1"/>
  <c r="N15" i="18"/>
  <c r="C76" i="16"/>
  <c r="G76" i="16" s="1"/>
  <c r="G77" i="16"/>
  <c r="L61" i="17"/>
  <c r="I54" i="17"/>
  <c r="L54" i="17" s="1"/>
  <c r="C91" i="17"/>
  <c r="H91" i="15"/>
  <c r="K91" i="15" s="1"/>
  <c r="K101" i="15"/>
  <c r="E10" i="18"/>
  <c r="AY106" i="13"/>
  <c r="AU13" i="13"/>
  <c r="AY13" i="13" s="1"/>
  <c r="BQ91" i="13"/>
  <c r="BM12" i="13"/>
  <c r="J106" i="14"/>
  <c r="H13" i="14"/>
  <c r="J13" i="14" s="1"/>
  <c r="AW106" i="13"/>
  <c r="AT13" i="13"/>
  <c r="AW13" i="13" s="1"/>
  <c r="G17" i="15"/>
  <c r="C15" i="15"/>
  <c r="C54" i="13"/>
  <c r="G54" i="13" s="1"/>
  <c r="G56" i="13"/>
  <c r="W77" i="13"/>
  <c r="V76" i="13"/>
  <c r="W76" i="13" s="1"/>
  <c r="M55" i="13"/>
  <c r="AY91" i="13"/>
  <c r="AU12" i="13"/>
  <c r="J54" i="13"/>
  <c r="K54" i="13" s="1"/>
  <c r="BX33" i="13"/>
  <c r="C54" i="15"/>
  <c r="G54" i="15" s="1"/>
  <c r="AV33" i="13"/>
  <c r="AW33" i="13" s="1"/>
  <c r="AX76" i="13"/>
  <c r="AY76" i="13" s="1"/>
  <c r="BP76" i="13"/>
  <c r="AG35" i="13"/>
  <c r="R10" i="13"/>
  <c r="R9" i="13" s="1"/>
  <c r="BN33" i="13"/>
  <c r="C91" i="14"/>
  <c r="BY17" i="13"/>
  <c r="AJ106" i="11"/>
  <c r="AF13" i="11"/>
  <c r="AJ13" i="11" s="1"/>
  <c r="I10" i="13"/>
  <c r="E10" i="13"/>
  <c r="AH91" i="11"/>
  <c r="AE12" i="11"/>
  <c r="E10" i="12"/>
  <c r="J33" i="13"/>
  <c r="K33" i="13" s="1"/>
  <c r="H76" i="12"/>
  <c r="H15" i="12"/>
  <c r="M79" i="11"/>
  <c r="L33" i="12"/>
  <c r="I34" i="12"/>
  <c r="S106" i="11"/>
  <c r="O13" i="11"/>
  <c r="S13" i="11" s="1"/>
  <c r="L15" i="11"/>
  <c r="L54" i="11"/>
  <c r="N91" i="10"/>
  <c r="K12" i="10"/>
  <c r="J15" i="13"/>
  <c r="K15" i="13" s="1"/>
  <c r="K16" i="13"/>
  <c r="AA76" i="11"/>
  <c r="M64" i="11"/>
  <c r="I15" i="11"/>
  <c r="M16" i="11"/>
  <c r="D11" i="12"/>
  <c r="M88" i="11"/>
  <c r="AG10" i="11"/>
  <c r="AG9" i="11" s="1"/>
  <c r="R106" i="9"/>
  <c r="P13" i="9"/>
  <c r="R13" i="9" s="1"/>
  <c r="J54" i="11"/>
  <c r="K10" i="9"/>
  <c r="M10" i="10"/>
  <c r="M9" i="10" s="1"/>
  <c r="L54" i="9"/>
  <c r="M54" i="9" s="1"/>
  <c r="L59" i="8"/>
  <c r="C59" i="8"/>
  <c r="J59" i="8" s="1"/>
  <c r="L51" i="8"/>
  <c r="C51" i="8"/>
  <c r="J51" i="8" s="1"/>
  <c r="L43" i="8"/>
  <c r="C43" i="8"/>
  <c r="J43" i="8" s="1"/>
  <c r="L35" i="8"/>
  <c r="C35" i="8"/>
  <c r="J35" i="8" s="1"/>
  <c r="S15" i="9"/>
  <c r="AK101" i="7"/>
  <c r="AB101" i="7"/>
  <c r="AI101" i="7" s="1"/>
  <c r="P10" i="11"/>
  <c r="P9" i="11" s="1"/>
  <c r="L92" i="7"/>
  <c r="C92" i="7"/>
  <c r="J92" i="7" s="1"/>
  <c r="D91" i="7"/>
  <c r="L61" i="7"/>
  <c r="C61" i="7"/>
  <c r="J61" i="7" s="1"/>
  <c r="L50" i="7"/>
  <c r="C50" i="7"/>
  <c r="J50" i="7" s="1"/>
  <c r="D10" i="9"/>
  <c r="K28" i="11"/>
  <c r="X106" i="9"/>
  <c r="V13" i="9"/>
  <c r="X13" i="9" s="1"/>
  <c r="P12" i="9"/>
  <c r="R91" i="9"/>
  <c r="G12" i="7"/>
  <c r="O91" i="7"/>
  <c r="AB62" i="7"/>
  <c r="AI62" i="7" s="1"/>
  <c r="AK62" i="7"/>
  <c r="AP10" i="7"/>
  <c r="AP9" i="7" s="1"/>
  <c r="X54" i="7"/>
  <c r="AK25" i="7"/>
  <c r="AB25" i="7"/>
  <c r="AI25" i="7" s="1"/>
  <c r="I54" i="7"/>
  <c r="V12" i="6"/>
  <c r="X91" i="6"/>
  <c r="AV33" i="8"/>
  <c r="D76" i="6"/>
  <c r="L77" i="6"/>
  <c r="C77" i="6"/>
  <c r="J77" i="6" s="1"/>
  <c r="C99" i="6"/>
  <c r="J99" i="6" s="1"/>
  <c r="L99" i="6"/>
  <c r="L93" i="5"/>
  <c r="C93" i="5"/>
  <c r="J93" i="5" s="1"/>
  <c r="AM54" i="5"/>
  <c r="AK54" i="5"/>
  <c r="K12" i="7"/>
  <c r="I91" i="7"/>
  <c r="H10" i="6"/>
  <c r="M15" i="6"/>
  <c r="M54" i="6"/>
  <c r="L22" i="6"/>
  <c r="C22" i="6"/>
  <c r="J22" i="6" s="1"/>
  <c r="L90" i="5"/>
  <c r="C90" i="5"/>
  <c r="J90" i="5" s="1"/>
  <c r="L25" i="5"/>
  <c r="C25" i="5"/>
  <c r="J25" i="5" s="1"/>
  <c r="AM15" i="5"/>
  <c r="AK15" i="5"/>
  <c r="AI10" i="5"/>
  <c r="L65" i="5"/>
  <c r="C65" i="5"/>
  <c r="J65" i="5" s="1"/>
  <c r="T15" i="5"/>
  <c r="I106" i="4"/>
  <c r="AD74" i="4"/>
  <c r="U74" i="4"/>
  <c r="AB74" i="4" s="1"/>
  <c r="L51" i="4"/>
  <c r="C51" i="4"/>
  <c r="J51" i="4" s="1"/>
  <c r="I91" i="3"/>
  <c r="K12" i="3"/>
  <c r="M91" i="5"/>
  <c r="H12" i="5"/>
  <c r="M54" i="5"/>
  <c r="S33" i="5"/>
  <c r="AW10" i="5"/>
  <c r="AW9" i="5" s="1"/>
  <c r="M13" i="3"/>
  <c r="F10" i="5"/>
  <c r="R76" i="7"/>
  <c r="AI24" i="7"/>
  <c r="M76" i="6"/>
  <c r="AD103" i="4"/>
  <c r="U103" i="4"/>
  <c r="AB103" i="4" s="1"/>
  <c r="AD22" i="4"/>
  <c r="U22" i="4"/>
  <c r="AB22" i="4" s="1"/>
  <c r="L105" i="3"/>
  <c r="C105" i="3"/>
  <c r="J105" i="3" s="1"/>
  <c r="C81" i="3"/>
  <c r="J81" i="3" s="1"/>
  <c r="L81" i="3"/>
  <c r="M91" i="3"/>
  <c r="H12" i="3"/>
  <c r="D54" i="3"/>
  <c r="BC77" i="5"/>
  <c r="T33" i="5"/>
  <c r="L83" i="4"/>
  <c r="C83" i="4"/>
  <c r="J83" i="4" s="1"/>
  <c r="L39" i="4"/>
  <c r="C39" i="4"/>
  <c r="J39" i="4" s="1"/>
  <c r="J37" i="5"/>
  <c r="L114" i="4"/>
  <c r="C114" i="4"/>
  <c r="J114" i="4" s="1"/>
  <c r="D91" i="4"/>
  <c r="L92" i="4"/>
  <c r="C92" i="4"/>
  <c r="J92" i="4" s="1"/>
  <c r="U106" i="3"/>
  <c r="S13" i="3"/>
  <c r="U13" i="3" s="1"/>
  <c r="H10" i="4"/>
  <c r="M15" i="4"/>
  <c r="L102" i="2"/>
  <c r="C102" i="2"/>
  <c r="J102" i="2" s="1"/>
  <c r="J27" i="5"/>
  <c r="E10" i="3"/>
  <c r="S10" i="3"/>
  <c r="U15" i="3"/>
  <c r="AA91" i="2"/>
  <c r="Y91" i="2"/>
  <c r="W91" i="2"/>
  <c r="U91" i="2"/>
  <c r="S12" i="2"/>
  <c r="L98" i="3"/>
  <c r="C98" i="3"/>
  <c r="J98" i="3" s="1"/>
  <c r="N11" i="2"/>
  <c r="C56" i="6"/>
  <c r="J56" i="6" s="1"/>
  <c r="L56" i="6"/>
  <c r="C49" i="2"/>
  <c r="J49" i="2" s="1"/>
  <c r="L49" i="2"/>
  <c r="I106" i="2"/>
  <c r="X10" i="1"/>
  <c r="X9" i="1" s="1"/>
  <c r="K10" i="3"/>
  <c r="U93" i="4"/>
  <c r="AB93" i="4" s="1"/>
  <c r="AD93" i="4"/>
  <c r="E10" i="2"/>
  <c r="W10" i="1"/>
  <c r="Q15" i="1"/>
  <c r="R54" i="2"/>
  <c r="I15" i="2"/>
  <c r="K10" i="2"/>
  <c r="I12" i="1"/>
  <c r="K11" i="1"/>
  <c r="P35" i="18"/>
  <c r="V35" i="18"/>
  <c r="L35" i="18"/>
  <c r="Z35" i="18"/>
  <c r="R35" i="18"/>
  <c r="N35" i="18"/>
  <c r="T35" i="18"/>
  <c r="BO106" i="13"/>
  <c r="BL13" i="13"/>
  <c r="BO13" i="13" s="1"/>
  <c r="Q10" i="12"/>
  <c r="Q9" i="12" s="1"/>
  <c r="Q15" i="11"/>
  <c r="N10" i="11"/>
  <c r="L63" i="8"/>
  <c r="C63" i="8"/>
  <c r="J63" i="8" s="1"/>
  <c r="T28" i="18"/>
  <c r="L28" i="18"/>
  <c r="P28" i="18"/>
  <c r="R28" i="18"/>
  <c r="N28" i="18"/>
  <c r="Z28" i="18"/>
  <c r="V28" i="18"/>
  <c r="P21" i="18"/>
  <c r="T21" i="18"/>
  <c r="L21" i="18"/>
  <c r="N21" i="18"/>
  <c r="R21" i="18"/>
  <c r="Z21" i="18"/>
  <c r="V21" i="18"/>
  <c r="T32" i="18"/>
  <c r="L32" i="18"/>
  <c r="P32" i="18"/>
  <c r="N32" i="18"/>
  <c r="R32" i="18"/>
  <c r="V32" i="18"/>
  <c r="Z32" i="18"/>
  <c r="U11" i="17"/>
  <c r="R11" i="17"/>
  <c r="O11" i="17"/>
  <c r="I15" i="17"/>
  <c r="L16" i="17"/>
  <c r="C76" i="13"/>
  <c r="G76" i="13" s="1"/>
  <c r="L33" i="13"/>
  <c r="M33" i="13" s="1"/>
  <c r="G55" i="14"/>
  <c r="C54" i="14"/>
  <c r="G54" i="14" s="1"/>
  <c r="AE13" i="11"/>
  <c r="AH13" i="11" s="1"/>
  <c r="AH106" i="11"/>
  <c r="E11" i="11"/>
  <c r="D11" i="18"/>
  <c r="T49" i="18"/>
  <c r="L49" i="18"/>
  <c r="Z49" i="18"/>
  <c r="P49" i="18"/>
  <c r="N49" i="18"/>
  <c r="V49" i="18"/>
  <c r="R49" i="18"/>
  <c r="T20" i="18"/>
  <c r="L20" i="18"/>
  <c r="P20" i="18"/>
  <c r="R20" i="18"/>
  <c r="V20" i="18"/>
  <c r="Z20" i="18"/>
  <c r="N20" i="18"/>
  <c r="N10" i="13"/>
  <c r="N9" i="13" s="1"/>
  <c r="AR10" i="11"/>
  <c r="J15" i="11"/>
  <c r="K16" i="11"/>
  <c r="L46" i="8"/>
  <c r="C46" i="8"/>
  <c r="J46" i="8" s="1"/>
  <c r="AH106" i="7"/>
  <c r="AH76" i="8"/>
  <c r="L77" i="7"/>
  <c r="C77" i="7"/>
  <c r="J77" i="7" s="1"/>
  <c r="D76" i="7"/>
  <c r="AK60" i="7"/>
  <c r="AB60" i="7"/>
  <c r="AI60" i="7" s="1"/>
  <c r="Q10" i="8"/>
  <c r="U15" i="8"/>
  <c r="AB95" i="7"/>
  <c r="AI95" i="7" s="1"/>
  <c r="AK95" i="7"/>
  <c r="J106" i="10"/>
  <c r="H13" i="10"/>
  <c r="J13" i="10" s="1"/>
  <c r="AI71" i="7"/>
  <c r="L18" i="7"/>
  <c r="C18" i="7"/>
  <c r="J18" i="7" s="1"/>
  <c r="Z91" i="5"/>
  <c r="X12" i="5"/>
  <c r="L82" i="7"/>
  <c r="C82" i="7"/>
  <c r="J82" i="7" s="1"/>
  <c r="AH33" i="7"/>
  <c r="T33" i="4"/>
  <c r="R33" i="4"/>
  <c r="O15" i="5"/>
  <c r="G10" i="5"/>
  <c r="Q33" i="6"/>
  <c r="G12" i="3"/>
  <c r="O91" i="3"/>
  <c r="AA15" i="4"/>
  <c r="AC10" i="4"/>
  <c r="C43" i="5"/>
  <c r="J43" i="5" s="1"/>
  <c r="L43" i="5"/>
  <c r="G10" i="1"/>
  <c r="O15" i="1"/>
  <c r="P23" i="18"/>
  <c r="T23" i="18"/>
  <c r="L23" i="18"/>
  <c r="V23" i="18"/>
  <c r="R23" i="18"/>
  <c r="N23" i="18"/>
  <c r="Z23" i="18"/>
  <c r="AD10" i="18"/>
  <c r="AD9" i="18" s="1"/>
  <c r="G34" i="17"/>
  <c r="C33" i="17"/>
  <c r="G33" i="17" s="1"/>
  <c r="AF54" i="13"/>
  <c r="AG54" i="13" s="1"/>
  <c r="AV15" i="13"/>
  <c r="CF10" i="13"/>
  <c r="CF9" i="13" s="1"/>
  <c r="N11" i="12"/>
  <c r="C54" i="11"/>
  <c r="G54" i="11" s="1"/>
  <c r="G55" i="11"/>
  <c r="AT10" i="13"/>
  <c r="V13" i="11"/>
  <c r="Y106" i="11"/>
  <c r="H91" i="11"/>
  <c r="K92" i="11"/>
  <c r="K44" i="11"/>
  <c r="M91" i="9"/>
  <c r="K12" i="9"/>
  <c r="AA54" i="11"/>
  <c r="O10" i="10"/>
  <c r="O9" i="10" s="1"/>
  <c r="AA91" i="8"/>
  <c r="X91" i="8"/>
  <c r="P12" i="8"/>
  <c r="AD91" i="8"/>
  <c r="M106" i="9"/>
  <c r="K13" i="9"/>
  <c r="M13" i="9" s="1"/>
  <c r="L67" i="8"/>
  <c r="C67" i="8"/>
  <c r="J67" i="8" s="1"/>
  <c r="Y10" i="9"/>
  <c r="AA15" i="9"/>
  <c r="R76" i="8"/>
  <c r="X76" i="8"/>
  <c r="AA76" i="8"/>
  <c r="AD76" i="8"/>
  <c r="P10" i="8"/>
  <c r="L102" i="7"/>
  <c r="C102" i="7"/>
  <c r="J102" i="7" s="1"/>
  <c r="AK86" i="7"/>
  <c r="AB86" i="7"/>
  <c r="AI86" i="7" s="1"/>
  <c r="AK57" i="7"/>
  <c r="AB57" i="7"/>
  <c r="AI57" i="7" s="1"/>
  <c r="L62" i="8"/>
  <c r="C62" i="8"/>
  <c r="J62" i="8" s="1"/>
  <c r="L74" i="7"/>
  <c r="C74" i="7"/>
  <c r="J74" i="7" s="1"/>
  <c r="L32" i="8"/>
  <c r="C32" i="8"/>
  <c r="J32" i="8" s="1"/>
  <c r="I91" i="6"/>
  <c r="K12" i="6"/>
  <c r="M15" i="8"/>
  <c r="I15" i="8"/>
  <c r="K10" i="8"/>
  <c r="AH91" i="7"/>
  <c r="AJ12" i="7"/>
  <c r="AC15" i="7"/>
  <c r="AK16" i="7"/>
  <c r="AB16" i="7"/>
  <c r="AI16" i="7" s="1"/>
  <c r="AQ76" i="7"/>
  <c r="AL91" i="7"/>
  <c r="AG12" i="7"/>
  <c r="AI44" i="7"/>
  <c r="AZ33" i="8"/>
  <c r="BF33" i="8"/>
  <c r="BC33" i="8"/>
  <c r="O91" i="5"/>
  <c r="G12" i="5"/>
  <c r="Q15" i="6"/>
  <c r="C22" i="7"/>
  <c r="J22" i="7" s="1"/>
  <c r="L22" i="7"/>
  <c r="S10" i="6"/>
  <c r="U15" i="6"/>
  <c r="AP76" i="5"/>
  <c r="BA76" i="5"/>
  <c r="AD86" i="4"/>
  <c r="U86" i="4"/>
  <c r="AB86" i="4" s="1"/>
  <c r="AS10" i="5"/>
  <c r="AS9" i="5" s="1"/>
  <c r="AZ54" i="5"/>
  <c r="AT15" i="5"/>
  <c r="AR10" i="5"/>
  <c r="L67" i="3"/>
  <c r="C67" i="3"/>
  <c r="J67" i="3" s="1"/>
  <c r="T10" i="7"/>
  <c r="T9" i="7" s="1"/>
  <c r="L78" i="5"/>
  <c r="C78" i="5"/>
  <c r="J78" i="5" s="1"/>
  <c r="Z76" i="5"/>
  <c r="AD99" i="4"/>
  <c r="U99" i="4"/>
  <c r="AB99" i="4" s="1"/>
  <c r="F11" i="4"/>
  <c r="C21" i="5"/>
  <c r="J21" i="5" s="1"/>
  <c r="L21" i="5"/>
  <c r="L30" i="3"/>
  <c r="C30" i="3"/>
  <c r="J30" i="3" s="1"/>
  <c r="AE91" i="4"/>
  <c r="C78" i="3"/>
  <c r="J78" i="3" s="1"/>
  <c r="L78" i="3"/>
  <c r="L22" i="3"/>
  <c r="C22" i="3"/>
  <c r="J22" i="3" s="1"/>
  <c r="L110" i="3"/>
  <c r="C110" i="3"/>
  <c r="J110" i="3" s="1"/>
  <c r="L63" i="2"/>
  <c r="C63" i="2"/>
  <c r="J63" i="2" s="1"/>
  <c r="P10" i="4"/>
  <c r="T15" i="4"/>
  <c r="R15" i="4"/>
  <c r="M91" i="1"/>
  <c r="H12" i="1"/>
  <c r="V91" i="4"/>
  <c r="L17" i="2"/>
  <c r="C17" i="2"/>
  <c r="J17" i="2" s="1"/>
  <c r="D15" i="2"/>
  <c r="C33" i="18"/>
  <c r="G33" i="18" s="1"/>
  <c r="G35" i="18"/>
  <c r="O91" i="15"/>
  <c r="L12" i="15"/>
  <c r="AX54" i="13"/>
  <c r="AY54" i="13" s="1"/>
  <c r="AM76" i="11"/>
  <c r="AO76" i="11" s="1"/>
  <c r="AO77" i="11"/>
  <c r="AZ54" i="8"/>
  <c r="BF54" i="8"/>
  <c r="BC54" i="8"/>
  <c r="AE77" i="13"/>
  <c r="AD76" i="13"/>
  <c r="AE76" i="13" s="1"/>
  <c r="BY54" i="13"/>
  <c r="BE10" i="13"/>
  <c r="BE9" i="13" s="1"/>
  <c r="H76" i="11"/>
  <c r="K77" i="11"/>
  <c r="T26" i="18"/>
  <c r="L26" i="18"/>
  <c r="P26" i="18"/>
  <c r="Z26" i="18"/>
  <c r="V26" i="18"/>
  <c r="R26" i="18"/>
  <c r="N26" i="18"/>
  <c r="J106" i="16"/>
  <c r="H13" i="16"/>
  <c r="J13" i="16" s="1"/>
  <c r="G16" i="18"/>
  <c r="C15" i="18"/>
  <c r="CD10" i="13"/>
  <c r="CD9" i="13" s="1"/>
  <c r="Q91" i="11"/>
  <c r="N12" i="11"/>
  <c r="AH15" i="11"/>
  <c r="AE10" i="11"/>
  <c r="J33" i="11"/>
  <c r="X91" i="9"/>
  <c r="V12" i="9"/>
  <c r="C54" i="9"/>
  <c r="G54" i="9" s="1"/>
  <c r="Z10" i="9"/>
  <c r="Z9" i="9" s="1"/>
  <c r="X15" i="9"/>
  <c r="V10" i="9"/>
  <c r="AU10" i="8"/>
  <c r="AU9" i="8" s="1"/>
  <c r="I13" i="5"/>
  <c r="L112" i="4"/>
  <c r="C112" i="4"/>
  <c r="J112" i="4" s="1"/>
  <c r="AD91" i="5"/>
  <c r="AB12" i="5"/>
  <c r="AD104" i="4"/>
  <c r="U104" i="4"/>
  <c r="AB104" i="4" s="1"/>
  <c r="Y11" i="4"/>
  <c r="AG11" i="4" s="1"/>
  <c r="AG12" i="4"/>
  <c r="L16" i="3"/>
  <c r="C16" i="3"/>
  <c r="J16" i="3" s="1"/>
  <c r="D15" i="3"/>
  <c r="R15" i="3"/>
  <c r="P10" i="3"/>
  <c r="C41" i="2"/>
  <c r="J41" i="2" s="1"/>
  <c r="L41" i="2"/>
  <c r="AB10" i="2"/>
  <c r="AD15" i="2"/>
  <c r="V10" i="1"/>
  <c r="V9" i="1" s="1"/>
  <c r="W10" i="18"/>
  <c r="W9" i="18" s="1"/>
  <c r="L78" i="17"/>
  <c r="I76" i="17"/>
  <c r="L76" i="17" s="1"/>
  <c r="J34" i="16"/>
  <c r="I33" i="16"/>
  <c r="J33" i="16" s="1"/>
  <c r="N10" i="16"/>
  <c r="N9" i="16" s="1"/>
  <c r="AW77" i="13"/>
  <c r="AE16" i="13"/>
  <c r="AD15" i="13"/>
  <c r="AE15" i="13" s="1"/>
  <c r="AJ91" i="11"/>
  <c r="AF12" i="11"/>
  <c r="K107" i="11"/>
  <c r="H106" i="11"/>
  <c r="C15" i="12"/>
  <c r="AK10" i="13"/>
  <c r="AK9" i="13" s="1"/>
  <c r="P78" i="18"/>
  <c r="V78" i="18"/>
  <c r="N78" i="18"/>
  <c r="Z78" i="18"/>
  <c r="R78" i="18"/>
  <c r="T78" i="18"/>
  <c r="L78" i="18"/>
  <c r="C76" i="18"/>
  <c r="G76" i="18" s="1"/>
  <c r="P19" i="18"/>
  <c r="T19" i="18"/>
  <c r="L19" i="18"/>
  <c r="Z19" i="18"/>
  <c r="R19" i="18"/>
  <c r="N19" i="18"/>
  <c r="V19" i="18"/>
  <c r="G107" i="16"/>
  <c r="C106" i="16"/>
  <c r="R76" i="17"/>
  <c r="U76" i="17"/>
  <c r="O76" i="17"/>
  <c r="C76" i="17"/>
  <c r="G76" i="17" s="1"/>
  <c r="G77" i="17"/>
  <c r="P10" i="17"/>
  <c r="P9" i="17" s="1"/>
  <c r="C106" i="15"/>
  <c r="G107" i="15"/>
  <c r="C106" i="17"/>
  <c r="H10" i="16"/>
  <c r="I54" i="16"/>
  <c r="J54" i="16" s="1"/>
  <c r="F10" i="14"/>
  <c r="F9" i="14" s="1"/>
  <c r="U106" i="13"/>
  <c r="AE106" i="13"/>
  <c r="K106" i="13"/>
  <c r="H13" i="13"/>
  <c r="AE91" i="13"/>
  <c r="U91" i="13"/>
  <c r="K91" i="13"/>
  <c r="H12" i="13"/>
  <c r="C15" i="14"/>
  <c r="M81" i="13"/>
  <c r="I76" i="16"/>
  <c r="J76" i="16" s="1"/>
  <c r="BX54" i="13"/>
  <c r="AX33" i="13"/>
  <c r="AY33" i="13" s="1"/>
  <c r="M106" i="13"/>
  <c r="AG106" i="13"/>
  <c r="W106" i="13"/>
  <c r="I13" i="13"/>
  <c r="AE34" i="13"/>
  <c r="C106" i="13"/>
  <c r="BW10" i="13"/>
  <c r="D11" i="13"/>
  <c r="AO10" i="13"/>
  <c r="AO9" i="13" s="1"/>
  <c r="BT10" i="13"/>
  <c r="BT9" i="13" s="1"/>
  <c r="AU10" i="13"/>
  <c r="AW16" i="13"/>
  <c r="CC10" i="13"/>
  <c r="CC9" i="13" s="1"/>
  <c r="CA27" i="13"/>
  <c r="BO15" i="13"/>
  <c r="BL10" i="13"/>
  <c r="M92" i="11"/>
  <c r="I91" i="11"/>
  <c r="M70" i="11"/>
  <c r="M87" i="11"/>
  <c r="K106" i="12"/>
  <c r="Q76" i="11"/>
  <c r="BR10" i="13"/>
  <c r="P11" i="12"/>
  <c r="C54" i="10"/>
  <c r="G54" i="10" s="1"/>
  <c r="G55" i="10"/>
  <c r="J36" i="12"/>
  <c r="P33" i="10"/>
  <c r="Y15" i="11"/>
  <c r="V10" i="11"/>
  <c r="K13" i="10"/>
  <c r="N13" i="10" s="1"/>
  <c r="N106" i="10"/>
  <c r="F10" i="11"/>
  <c r="F9" i="11" s="1"/>
  <c r="N54" i="10"/>
  <c r="Q54" i="11"/>
  <c r="L110" i="8"/>
  <c r="C110" i="8"/>
  <c r="J110" i="8" s="1"/>
  <c r="W10" i="9"/>
  <c r="W9" i="9" s="1"/>
  <c r="P54" i="10"/>
  <c r="P15" i="10"/>
  <c r="G77" i="9"/>
  <c r="C76" i="9"/>
  <c r="G76" i="9" s="1"/>
  <c r="AJ15" i="11"/>
  <c r="AF10" i="11"/>
  <c r="S54" i="9"/>
  <c r="U55" i="9"/>
  <c r="I91" i="8"/>
  <c r="K12" i="8"/>
  <c r="L31" i="8"/>
  <c r="C31" i="8"/>
  <c r="J31" i="8" s="1"/>
  <c r="L23" i="8"/>
  <c r="C23" i="8"/>
  <c r="J23" i="8" s="1"/>
  <c r="U45" i="9"/>
  <c r="S33" i="9"/>
  <c r="U34" i="9"/>
  <c r="C33" i="9"/>
  <c r="G33" i="9" s="1"/>
  <c r="E11" i="9"/>
  <c r="K31" i="11"/>
  <c r="AA33" i="9"/>
  <c r="U37" i="9"/>
  <c r="J15" i="10"/>
  <c r="H10" i="10"/>
  <c r="AZ76" i="8"/>
  <c r="BF76" i="8"/>
  <c r="BC76" i="8"/>
  <c r="M54" i="8"/>
  <c r="I54" i="8"/>
  <c r="C91" i="9"/>
  <c r="G92" i="9"/>
  <c r="AK73" i="7"/>
  <c r="AB73" i="7"/>
  <c r="AI73" i="7" s="1"/>
  <c r="AA15" i="8"/>
  <c r="Y10" i="8"/>
  <c r="Y9" i="8" s="1"/>
  <c r="L73" i="8"/>
  <c r="C73" i="8"/>
  <c r="J73" i="8" s="1"/>
  <c r="L24" i="8"/>
  <c r="C24" i="8"/>
  <c r="J24" i="8" s="1"/>
  <c r="L53" i="7"/>
  <c r="C53" i="7"/>
  <c r="J53" i="7" s="1"/>
  <c r="AR54" i="8"/>
  <c r="AL54" i="8"/>
  <c r="AO54" i="8"/>
  <c r="AK35" i="7"/>
  <c r="AB35" i="7"/>
  <c r="AI35" i="7" s="1"/>
  <c r="AR33" i="8"/>
  <c r="AL33" i="8"/>
  <c r="AO33" i="8"/>
  <c r="D15" i="7"/>
  <c r="C16" i="7"/>
  <c r="J16" i="7" s="1"/>
  <c r="L16" i="7"/>
  <c r="U15" i="7"/>
  <c r="S10" i="7"/>
  <c r="P91" i="6"/>
  <c r="AA76" i="7"/>
  <c r="E10" i="7"/>
  <c r="T10" i="6"/>
  <c r="T9" i="6" s="1"/>
  <c r="M13" i="7"/>
  <c r="R81" i="6"/>
  <c r="I15" i="6"/>
  <c r="K10" i="6"/>
  <c r="O15" i="8"/>
  <c r="G10" i="8"/>
  <c r="L102" i="6"/>
  <c r="C102" i="6"/>
  <c r="J102" i="6" s="1"/>
  <c r="L115" i="5"/>
  <c r="C115" i="5"/>
  <c r="J115" i="5" s="1"/>
  <c r="AE13" i="4"/>
  <c r="AD102" i="4"/>
  <c r="U102" i="4"/>
  <c r="AB102" i="4" s="1"/>
  <c r="L79" i="4"/>
  <c r="D76" i="4"/>
  <c r="C79" i="4"/>
  <c r="J79" i="4" s="1"/>
  <c r="L67" i="4"/>
  <c r="C67" i="4"/>
  <c r="J67" i="4" s="1"/>
  <c r="AP54" i="5"/>
  <c r="BA54" i="5"/>
  <c r="L100" i="4"/>
  <c r="C100" i="4"/>
  <c r="J100" i="4" s="1"/>
  <c r="H10" i="7"/>
  <c r="M15" i="7"/>
  <c r="AD77" i="4"/>
  <c r="U77" i="4"/>
  <c r="AB77" i="4" s="1"/>
  <c r="V76" i="4"/>
  <c r="AD97" i="4"/>
  <c r="U97" i="4"/>
  <c r="AB97" i="4" s="1"/>
  <c r="L43" i="4"/>
  <c r="C43" i="4"/>
  <c r="J43" i="4" s="1"/>
  <c r="S15" i="5"/>
  <c r="Q10" i="5"/>
  <c r="Z11" i="4"/>
  <c r="U17" i="4"/>
  <c r="AB17" i="4" s="1"/>
  <c r="AD17" i="4"/>
  <c r="AG15" i="5"/>
  <c r="AE10" i="5"/>
  <c r="L71" i="5"/>
  <c r="C71" i="5"/>
  <c r="J71" i="5" s="1"/>
  <c r="H11" i="4"/>
  <c r="M13" i="4"/>
  <c r="M54" i="4"/>
  <c r="J53" i="5"/>
  <c r="AD61" i="4"/>
  <c r="U61" i="4"/>
  <c r="AB61" i="4" s="1"/>
  <c r="L89" i="2"/>
  <c r="C89" i="2"/>
  <c r="J89" i="2" s="1"/>
  <c r="L83" i="2"/>
  <c r="C83" i="2"/>
  <c r="J83" i="2" s="1"/>
  <c r="L25" i="3"/>
  <c r="C25" i="3"/>
  <c r="J25" i="3" s="1"/>
  <c r="L95" i="2"/>
  <c r="C95" i="2"/>
  <c r="J95" i="2" s="1"/>
  <c r="L82" i="3"/>
  <c r="C82" i="3"/>
  <c r="J82" i="3" s="1"/>
  <c r="AX54" i="5"/>
  <c r="R33" i="3"/>
  <c r="F11" i="2"/>
  <c r="U113" i="4"/>
  <c r="AB113" i="4" s="1"/>
  <c r="AD113" i="4"/>
  <c r="J69" i="2"/>
  <c r="U91" i="3"/>
  <c r="S12" i="3"/>
  <c r="M13" i="1"/>
  <c r="D91" i="1"/>
  <c r="L92" i="1"/>
  <c r="C92" i="1"/>
  <c r="J92" i="1" s="1"/>
  <c r="M33" i="1"/>
  <c r="H10" i="14"/>
  <c r="J15" i="14"/>
  <c r="N10" i="15"/>
  <c r="N9" i="15" s="1"/>
  <c r="AW91" i="13"/>
  <c r="AT12" i="13"/>
  <c r="H10" i="13"/>
  <c r="AB10" i="11"/>
  <c r="AB9" i="11" s="1"/>
  <c r="I54" i="11"/>
  <c r="AA91" i="9"/>
  <c r="Y12" i="9"/>
  <c r="M91" i="8"/>
  <c r="H12" i="8"/>
  <c r="Z97" i="18"/>
  <c r="L97" i="18"/>
  <c r="V97" i="18"/>
  <c r="P97" i="18"/>
  <c r="T97" i="18"/>
  <c r="R97" i="18"/>
  <c r="N97" i="18"/>
  <c r="K85" i="11"/>
  <c r="N10" i="12"/>
  <c r="T24" i="18"/>
  <c r="L24" i="18"/>
  <c r="P24" i="18"/>
  <c r="N24" i="18"/>
  <c r="V24" i="18"/>
  <c r="R24" i="18"/>
  <c r="Z24" i="18"/>
  <c r="AC10" i="18"/>
  <c r="AC9" i="18" s="1"/>
  <c r="N109" i="18"/>
  <c r="V109" i="18"/>
  <c r="T109" i="18"/>
  <c r="R109" i="18"/>
  <c r="Z109" i="18"/>
  <c r="L109" i="18"/>
  <c r="P109" i="18"/>
  <c r="I33" i="15"/>
  <c r="K33" i="15" s="1"/>
  <c r="U89" i="13"/>
  <c r="AJ10" i="13"/>
  <c r="AJ9" i="13" s="1"/>
  <c r="AH10" i="13"/>
  <c r="AH9" i="13" s="1"/>
  <c r="AA91" i="11"/>
  <c r="W12" i="11"/>
  <c r="K90" i="11"/>
  <c r="I33" i="11"/>
  <c r="M34" i="11"/>
  <c r="W10" i="11"/>
  <c r="AA15" i="11"/>
  <c r="K10" i="10"/>
  <c r="N15" i="10"/>
  <c r="G16" i="11"/>
  <c r="C15" i="11"/>
  <c r="AR76" i="8"/>
  <c r="AO76" i="8"/>
  <c r="AL76" i="8"/>
  <c r="U13" i="9"/>
  <c r="S11" i="9"/>
  <c r="U11" i="9" s="1"/>
  <c r="AZ15" i="8"/>
  <c r="BF15" i="8"/>
  <c r="AW10" i="8"/>
  <c r="BC15" i="8"/>
  <c r="L109" i="6"/>
  <c r="C109" i="6"/>
  <c r="J109" i="6" s="1"/>
  <c r="R76" i="4"/>
  <c r="T76" i="4"/>
  <c r="D33" i="5"/>
  <c r="L34" i="5"/>
  <c r="C34" i="5"/>
  <c r="J34" i="5" s="1"/>
  <c r="L102" i="4"/>
  <c r="C102" i="4"/>
  <c r="J102" i="4" s="1"/>
  <c r="L63" i="4"/>
  <c r="C63" i="4"/>
  <c r="J63" i="4" s="1"/>
  <c r="AD101" i="4"/>
  <c r="U101" i="4"/>
  <c r="AB101" i="4" s="1"/>
  <c r="M76" i="4"/>
  <c r="M91" i="2"/>
  <c r="H12" i="2"/>
  <c r="AE33" i="4"/>
  <c r="C54" i="18"/>
  <c r="G54" i="18" s="1"/>
  <c r="C106" i="18"/>
  <c r="G107" i="18"/>
  <c r="Y54" i="18"/>
  <c r="V55" i="18"/>
  <c r="Q10" i="17"/>
  <c r="Q9" i="17" s="1"/>
  <c r="H10" i="17"/>
  <c r="U15" i="17"/>
  <c r="O15" i="17"/>
  <c r="R15" i="17"/>
  <c r="AF76" i="13"/>
  <c r="AG76" i="13" s="1"/>
  <c r="H12" i="14"/>
  <c r="J91" i="14"/>
  <c r="C106" i="14"/>
  <c r="BY76" i="13"/>
  <c r="D10" i="15"/>
  <c r="BP54" i="13"/>
  <c r="C33" i="14"/>
  <c r="G33" i="14" s="1"/>
  <c r="BN54" i="13"/>
  <c r="CE10" i="13"/>
  <c r="CE9" i="13" s="1"/>
  <c r="BV10" i="13"/>
  <c r="BQ15" i="13"/>
  <c r="BM10" i="13"/>
  <c r="K54" i="12"/>
  <c r="M55" i="12"/>
  <c r="C91" i="11"/>
  <c r="C33" i="12"/>
  <c r="G33" i="12" s="1"/>
  <c r="AJ54" i="11"/>
  <c r="E11" i="18"/>
  <c r="V90" i="18"/>
  <c r="X10" i="18"/>
  <c r="X9" i="18" s="1"/>
  <c r="AA10" i="18"/>
  <c r="AA9" i="18" s="1"/>
  <c r="Z55" i="18"/>
  <c r="T34" i="18"/>
  <c r="L34" i="18"/>
  <c r="H33" i="18"/>
  <c r="N34" i="18"/>
  <c r="V34" i="18"/>
  <c r="R34" i="18"/>
  <c r="P34" i="18"/>
  <c r="Z34" i="18"/>
  <c r="U54" i="17"/>
  <c r="R54" i="17"/>
  <c r="O54" i="17"/>
  <c r="T16" i="18"/>
  <c r="L16" i="18"/>
  <c r="P16" i="18"/>
  <c r="V16" i="18"/>
  <c r="R16" i="18"/>
  <c r="Z16" i="18"/>
  <c r="N16" i="18"/>
  <c r="C33" i="16"/>
  <c r="G33" i="16" s="1"/>
  <c r="G34" i="16"/>
  <c r="D11" i="16"/>
  <c r="E10" i="16"/>
  <c r="L34" i="17"/>
  <c r="I33" i="17"/>
  <c r="L33" i="17" s="1"/>
  <c r="C91" i="16"/>
  <c r="J21" i="16"/>
  <c r="H15" i="15"/>
  <c r="C91" i="15"/>
  <c r="G92" i="15"/>
  <c r="C15" i="17"/>
  <c r="J76" i="14"/>
  <c r="D11" i="14"/>
  <c r="S106" i="15"/>
  <c r="P13" i="15"/>
  <c r="AW55" i="13"/>
  <c r="AV54" i="13"/>
  <c r="AW54" i="13" s="1"/>
  <c r="V54" i="13"/>
  <c r="W54" i="13" s="1"/>
  <c r="W55" i="13"/>
  <c r="BG10" i="13"/>
  <c r="BG9" i="13" s="1"/>
  <c r="BX76" i="13"/>
  <c r="W16" i="13"/>
  <c r="V15" i="13"/>
  <c r="AP10" i="13"/>
  <c r="AP9" i="13" s="1"/>
  <c r="X10" i="13"/>
  <c r="X9" i="13" s="1"/>
  <c r="AL10" i="13"/>
  <c r="AL9" i="13" s="1"/>
  <c r="L54" i="12"/>
  <c r="I55" i="12"/>
  <c r="I54" i="12" s="1"/>
  <c r="T15" i="12"/>
  <c r="R10" i="12"/>
  <c r="AQ10" i="13"/>
  <c r="AQ9" i="13" s="1"/>
  <c r="L15" i="12"/>
  <c r="I16" i="12"/>
  <c r="I15" i="12" s="1"/>
  <c r="S91" i="11"/>
  <c r="O12" i="11"/>
  <c r="M93" i="12"/>
  <c r="K91" i="12"/>
  <c r="C76" i="12"/>
  <c r="G76" i="12" s="1"/>
  <c r="AM106" i="11"/>
  <c r="AO107" i="11"/>
  <c r="C76" i="11"/>
  <c r="G76" i="11" s="1"/>
  <c r="CB10" i="13"/>
  <c r="CB9" i="13" s="1"/>
  <c r="BN15" i="13"/>
  <c r="K33" i="12"/>
  <c r="C33" i="11"/>
  <c r="G33" i="11" s="1"/>
  <c r="G34" i="11"/>
  <c r="M36" i="12"/>
  <c r="S54" i="11"/>
  <c r="O10" i="11"/>
  <c r="S15" i="11"/>
  <c r="D11" i="10"/>
  <c r="H54" i="11"/>
  <c r="P91" i="10"/>
  <c r="L12" i="10"/>
  <c r="G77" i="10"/>
  <c r="C76" i="10"/>
  <c r="G76" i="10" s="1"/>
  <c r="J54" i="10"/>
  <c r="J106" i="9"/>
  <c r="H13" i="9"/>
  <c r="J13" i="9" s="1"/>
  <c r="C15" i="9"/>
  <c r="AA106" i="9"/>
  <c r="Y13" i="9"/>
  <c r="AA13" i="9" s="1"/>
  <c r="L55" i="8"/>
  <c r="D54" i="8"/>
  <c r="C55" i="8"/>
  <c r="J55" i="8" s="1"/>
  <c r="L47" i="8"/>
  <c r="C47" i="8"/>
  <c r="J47" i="8" s="1"/>
  <c r="L39" i="8"/>
  <c r="C39" i="8"/>
  <c r="J39" i="8" s="1"/>
  <c r="L109" i="7"/>
  <c r="C109" i="7"/>
  <c r="J109" i="7" s="1"/>
  <c r="H12" i="10"/>
  <c r="J91" i="10"/>
  <c r="Q9" i="9"/>
  <c r="L70" i="8"/>
  <c r="C70" i="8"/>
  <c r="J70" i="8" s="1"/>
  <c r="T33" i="9"/>
  <c r="D11" i="9"/>
  <c r="AK68" i="7"/>
  <c r="AB68" i="7"/>
  <c r="AI68" i="7" s="1"/>
  <c r="R15" i="9"/>
  <c r="P10" i="9"/>
  <c r="L22" i="8"/>
  <c r="C22" i="8"/>
  <c r="J22" i="8" s="1"/>
  <c r="L69" i="7"/>
  <c r="C69" i="7"/>
  <c r="J69" i="7" s="1"/>
  <c r="AR15" i="8"/>
  <c r="AI10" i="8"/>
  <c r="AL15" i="8"/>
  <c r="AO15" i="8"/>
  <c r="L57" i="7"/>
  <c r="C57" i="7"/>
  <c r="J57" i="7" s="1"/>
  <c r="AQ54" i="7"/>
  <c r="AK55" i="7"/>
  <c r="AB55" i="7"/>
  <c r="AI55" i="7" s="1"/>
  <c r="AC54" i="7"/>
  <c r="AS10" i="8"/>
  <c r="AV15" i="8"/>
  <c r="AE10" i="7"/>
  <c r="U33" i="6"/>
  <c r="L105" i="5"/>
  <c r="C105" i="5"/>
  <c r="J105" i="5" s="1"/>
  <c r="L97" i="5"/>
  <c r="C97" i="5"/>
  <c r="J97" i="5" s="1"/>
  <c r="D33" i="6"/>
  <c r="O106" i="7"/>
  <c r="I33" i="6"/>
  <c r="O15" i="6"/>
  <c r="G10" i="6"/>
  <c r="L108" i="5"/>
  <c r="C108" i="5"/>
  <c r="J108" i="5" s="1"/>
  <c r="E10" i="6"/>
  <c r="L17" i="5"/>
  <c r="C17" i="5"/>
  <c r="J17" i="5" s="1"/>
  <c r="AD42" i="4"/>
  <c r="U42" i="4"/>
  <c r="AB42" i="4" s="1"/>
  <c r="R15" i="7"/>
  <c r="P10" i="7"/>
  <c r="F11" i="6"/>
  <c r="L35" i="4"/>
  <c r="C35" i="4"/>
  <c r="J35" i="4" s="1"/>
  <c r="AT33" i="5"/>
  <c r="AD116" i="4"/>
  <c r="U116" i="4"/>
  <c r="AB116" i="4" s="1"/>
  <c r="AJ76" i="4"/>
  <c r="AD30" i="4"/>
  <c r="U30" i="4"/>
  <c r="AB30" i="4" s="1"/>
  <c r="O15" i="3"/>
  <c r="G10" i="3"/>
  <c r="AT91" i="5"/>
  <c r="AR12" i="5"/>
  <c r="P54" i="6"/>
  <c r="L16" i="5"/>
  <c r="D15" i="5"/>
  <c r="C16" i="5"/>
  <c r="J16" i="5" s="1"/>
  <c r="L59" i="4"/>
  <c r="C59" i="4"/>
  <c r="J59" i="4" s="1"/>
  <c r="AD15" i="5"/>
  <c r="AB10" i="5"/>
  <c r="AQ33" i="7"/>
  <c r="J19" i="5"/>
  <c r="W10" i="4"/>
  <c r="M33" i="3"/>
  <c r="W10" i="5"/>
  <c r="W9" i="5" s="1"/>
  <c r="AV10" i="5"/>
  <c r="AZ15" i="5"/>
  <c r="AG15" i="4"/>
  <c r="Y10" i="4"/>
  <c r="M33" i="5"/>
  <c r="L119" i="2"/>
  <c r="C119" i="2"/>
  <c r="J119" i="2" s="1"/>
  <c r="J107" i="4"/>
  <c r="Q10" i="3"/>
  <c r="Q9" i="3" s="1"/>
  <c r="L94" i="2"/>
  <c r="C94" i="2"/>
  <c r="J94" i="2" s="1"/>
  <c r="L81" i="2"/>
  <c r="C81" i="2"/>
  <c r="J81" i="2" s="1"/>
  <c r="O54" i="4"/>
  <c r="M54" i="3"/>
  <c r="L60" i="4"/>
  <c r="C60" i="4"/>
  <c r="J60" i="4" s="1"/>
  <c r="AG54" i="5"/>
  <c r="AF10" i="5"/>
  <c r="AF9" i="5" s="1"/>
  <c r="K10" i="1"/>
  <c r="I15" i="1"/>
  <c r="M15" i="3"/>
  <c r="H10" i="3"/>
  <c r="AJ15" i="4"/>
  <c r="AH10" i="4"/>
  <c r="G10" i="2"/>
  <c r="O15" i="2"/>
  <c r="T76" i="1"/>
  <c r="U77" i="1"/>
  <c r="K10" i="5"/>
  <c r="I15" i="5"/>
  <c r="N10" i="2"/>
  <c r="M15" i="1"/>
  <c r="J37" i="2"/>
  <c r="L109" i="1"/>
  <c r="C109" i="1"/>
  <c r="J109" i="1" s="1"/>
  <c r="H12" i="9"/>
  <c r="J91" i="9"/>
  <c r="H10" i="9"/>
  <c r="J15" i="9"/>
  <c r="E10" i="8"/>
  <c r="L50" i="8"/>
  <c r="C50" i="8"/>
  <c r="J50" i="8" s="1"/>
  <c r="L36" i="8"/>
  <c r="C36" i="8"/>
  <c r="J36" i="8" s="1"/>
  <c r="L34" i="8"/>
  <c r="D33" i="8"/>
  <c r="C34" i="8"/>
  <c r="J34" i="8" s="1"/>
  <c r="AB107" i="7"/>
  <c r="AI107" i="7" s="1"/>
  <c r="AC106" i="7"/>
  <c r="AK107" i="7"/>
  <c r="AG91" i="5"/>
  <c r="AE12" i="5"/>
  <c r="AB53" i="7"/>
  <c r="AI53" i="7" s="1"/>
  <c r="AK53" i="7"/>
  <c r="L75" i="6"/>
  <c r="C75" i="6"/>
  <c r="J75" i="6" s="1"/>
  <c r="L79" i="6"/>
  <c r="C79" i="6"/>
  <c r="J79" i="6" s="1"/>
  <c r="AP91" i="5"/>
  <c r="AN12" i="5"/>
  <c r="AF10" i="7"/>
  <c r="AN15" i="7"/>
  <c r="AU10" i="5"/>
  <c r="AX15" i="5"/>
  <c r="AD58" i="4"/>
  <c r="U58" i="4"/>
  <c r="AB58" i="4" s="1"/>
  <c r="L31" i="4"/>
  <c r="C31" i="4"/>
  <c r="J31" i="4" s="1"/>
  <c r="L110" i="4"/>
  <c r="C110" i="4"/>
  <c r="J110" i="4" s="1"/>
  <c r="AD100" i="4"/>
  <c r="U100" i="4"/>
  <c r="AB100" i="4" s="1"/>
  <c r="AD21" i="4"/>
  <c r="U21" i="4"/>
  <c r="AB21" i="4" s="1"/>
  <c r="AK33" i="5"/>
  <c r="AM33" i="5"/>
  <c r="L98" i="4"/>
  <c r="C98" i="4"/>
  <c r="J98" i="4" s="1"/>
  <c r="L47" i="4"/>
  <c r="C47" i="4"/>
  <c r="J47" i="4" s="1"/>
  <c r="D54" i="6"/>
  <c r="C16" i="6"/>
  <c r="J16" i="6" s="1"/>
  <c r="D15" i="6"/>
  <c r="L16" i="6"/>
  <c r="R10" i="5"/>
  <c r="R9" i="5" s="1"/>
  <c r="L90" i="3"/>
  <c r="C90" i="3"/>
  <c r="J90" i="3" s="1"/>
  <c r="L57" i="3"/>
  <c r="C57" i="3"/>
  <c r="J57" i="3" s="1"/>
  <c r="L34" i="7"/>
  <c r="C34" i="7"/>
  <c r="J34" i="7" s="1"/>
  <c r="D33" i="7"/>
  <c r="M15" i="5"/>
  <c r="H10" i="5"/>
  <c r="AE15" i="4"/>
  <c r="Z10" i="4"/>
  <c r="AD117" i="4"/>
  <c r="U117" i="4"/>
  <c r="AB117" i="4" s="1"/>
  <c r="L46" i="3"/>
  <c r="C46" i="3"/>
  <c r="J46" i="3" s="1"/>
  <c r="D15" i="4"/>
  <c r="L16" i="4"/>
  <c r="C16" i="4"/>
  <c r="J16" i="4" s="1"/>
  <c r="AA33" i="2"/>
  <c r="Y33" i="2"/>
  <c r="U33" i="2"/>
  <c r="W33" i="2"/>
  <c r="I91" i="2"/>
  <c r="K12" i="2"/>
  <c r="L79" i="2"/>
  <c r="C79" i="2"/>
  <c r="J79" i="2" s="1"/>
  <c r="P12" i="3"/>
  <c r="R91" i="3"/>
  <c r="H91" i="18"/>
  <c r="P58" i="18"/>
  <c r="V58" i="18"/>
  <c r="N58" i="18"/>
  <c r="T58" i="18"/>
  <c r="Z58" i="18"/>
  <c r="R58" i="18"/>
  <c r="L58" i="18"/>
  <c r="P29" i="18"/>
  <c r="T29" i="18"/>
  <c r="L29" i="18"/>
  <c r="V29" i="18"/>
  <c r="Z29" i="18"/>
  <c r="R29" i="18"/>
  <c r="N29" i="18"/>
  <c r="P31" i="18"/>
  <c r="T31" i="18"/>
  <c r="L31" i="18"/>
  <c r="V31" i="18"/>
  <c r="R31" i="18"/>
  <c r="Z31" i="18"/>
  <c r="N31" i="18"/>
  <c r="C54" i="17"/>
  <c r="G54" i="17" s="1"/>
  <c r="M10" i="17"/>
  <c r="M9" i="17" s="1"/>
  <c r="D10" i="16"/>
  <c r="H12" i="16"/>
  <c r="J91" i="16"/>
  <c r="D10" i="14"/>
  <c r="AG91" i="13"/>
  <c r="W91" i="13"/>
  <c r="M91" i="13"/>
  <c r="I12" i="13"/>
  <c r="C54" i="16"/>
  <c r="G54" i="16" s="1"/>
  <c r="G34" i="13"/>
  <c r="C33" i="13"/>
  <c r="G33" i="13" s="1"/>
  <c r="O15" i="15"/>
  <c r="L10" i="15"/>
  <c r="V33" i="13"/>
  <c r="W33" i="13" s="1"/>
  <c r="BQ106" i="13"/>
  <c r="BM13" i="13"/>
  <c r="BQ13" i="13" s="1"/>
  <c r="U55" i="13"/>
  <c r="R12" i="12"/>
  <c r="T91" i="12"/>
  <c r="AD54" i="13"/>
  <c r="AE54" i="13" s="1"/>
  <c r="S10" i="13"/>
  <c r="S9" i="13" s="1"/>
  <c r="J107" i="12"/>
  <c r="H106" i="12"/>
  <c r="M78" i="11"/>
  <c r="I76" i="11"/>
  <c r="AF15" i="13"/>
  <c r="AG15" i="13" s="1"/>
  <c r="AG16" i="13"/>
  <c r="L76" i="12"/>
  <c r="I77" i="12"/>
  <c r="K15" i="12"/>
  <c r="AX15" i="13"/>
  <c r="M63" i="11"/>
  <c r="L15" i="13"/>
  <c r="Y33" i="11"/>
  <c r="Q106" i="11"/>
  <c r="N13" i="11"/>
  <c r="Q13" i="11" s="1"/>
  <c r="M77" i="11"/>
  <c r="Z10" i="13"/>
  <c r="Z9" i="13" s="1"/>
  <c r="K34" i="11"/>
  <c r="H33" i="11"/>
  <c r="AP10" i="11"/>
  <c r="H54" i="12"/>
  <c r="AC10" i="11"/>
  <c r="AC9" i="11" s="1"/>
  <c r="U10" i="11"/>
  <c r="U9" i="11" s="1"/>
  <c r="N33" i="10"/>
  <c r="L40" i="8"/>
  <c r="C40" i="8"/>
  <c r="J40" i="8" s="1"/>
  <c r="U77" i="9"/>
  <c r="S76" i="9"/>
  <c r="N10" i="9"/>
  <c r="N9" i="9" s="1"/>
  <c r="G12" i="8"/>
  <c r="O91" i="8"/>
  <c r="L77" i="8"/>
  <c r="D76" i="8"/>
  <c r="C77" i="8"/>
  <c r="J77" i="8" s="1"/>
  <c r="L58" i="8"/>
  <c r="C58" i="8"/>
  <c r="J58" i="8" s="1"/>
  <c r="AK52" i="7"/>
  <c r="AB52" i="7"/>
  <c r="AI52" i="7" s="1"/>
  <c r="L16" i="8"/>
  <c r="D15" i="8"/>
  <c r="C16" i="8"/>
  <c r="J16" i="8" s="1"/>
  <c r="N76" i="10"/>
  <c r="AB69" i="7"/>
  <c r="AI69" i="7" s="1"/>
  <c r="AK69" i="7"/>
  <c r="L113" i="7"/>
  <c r="C113" i="7"/>
  <c r="J113" i="7" s="1"/>
  <c r="L29" i="7"/>
  <c r="C29" i="7"/>
  <c r="J29" i="7" s="1"/>
  <c r="U91" i="6"/>
  <c r="S12" i="6"/>
  <c r="AC76" i="7"/>
  <c r="V10" i="8"/>
  <c r="V9" i="8" s="1"/>
  <c r="AO10" i="7"/>
  <c r="AQ15" i="7"/>
  <c r="L68" i="6"/>
  <c r="C68" i="6"/>
  <c r="J68" i="6" s="1"/>
  <c r="R34" i="6"/>
  <c r="P33" i="6"/>
  <c r="L21" i="6"/>
  <c r="C21" i="6"/>
  <c r="J21" i="6" s="1"/>
  <c r="AE10" i="8"/>
  <c r="AH15" i="8"/>
  <c r="X15" i="6"/>
  <c r="V10" i="6"/>
  <c r="U54" i="7"/>
  <c r="K10" i="7"/>
  <c r="I15" i="7"/>
  <c r="Y10" i="7"/>
  <c r="AG10" i="7"/>
  <c r="L41" i="5"/>
  <c r="C41" i="5"/>
  <c r="J41" i="5" s="1"/>
  <c r="AL10" i="5"/>
  <c r="AL9" i="5" s="1"/>
  <c r="L34" i="4"/>
  <c r="C34" i="4"/>
  <c r="J34" i="4" s="1"/>
  <c r="D33" i="4"/>
  <c r="AH76" i="7"/>
  <c r="C110" i="6"/>
  <c r="J110" i="6" s="1"/>
  <c r="L110" i="6"/>
  <c r="L107" i="5"/>
  <c r="D106" i="5"/>
  <c r="C107" i="5"/>
  <c r="J107" i="5" s="1"/>
  <c r="G11" i="6"/>
  <c r="O12" i="6"/>
  <c r="S91" i="5"/>
  <c r="Q12" i="5"/>
  <c r="L57" i="5"/>
  <c r="C57" i="5"/>
  <c r="J57" i="5" s="1"/>
  <c r="L112" i="3"/>
  <c r="C112" i="3"/>
  <c r="J112" i="3" s="1"/>
  <c r="L49" i="3"/>
  <c r="C49" i="3"/>
  <c r="J49" i="3" s="1"/>
  <c r="N11" i="5"/>
  <c r="BB33" i="5"/>
  <c r="V106" i="4"/>
  <c r="L97" i="4"/>
  <c r="C97" i="4"/>
  <c r="J97" i="4" s="1"/>
  <c r="V54" i="4"/>
  <c r="S10" i="4"/>
  <c r="S9" i="4" s="1"/>
  <c r="L105" i="4"/>
  <c r="C105" i="4"/>
  <c r="J105" i="4" s="1"/>
  <c r="E10" i="4"/>
  <c r="K10" i="4"/>
  <c r="L41" i="3"/>
  <c r="C41" i="3"/>
  <c r="J41" i="3" s="1"/>
  <c r="L113" i="2"/>
  <c r="C113" i="2"/>
  <c r="J113" i="2" s="1"/>
  <c r="S54" i="5"/>
  <c r="V15" i="4"/>
  <c r="D106" i="2"/>
  <c r="R33" i="2"/>
  <c r="D76" i="3"/>
  <c r="J107" i="1"/>
  <c r="H10" i="2"/>
  <c r="M15" i="2"/>
  <c r="Q10" i="2"/>
  <c r="Q9" i="2" s="1"/>
  <c r="O76" i="2"/>
  <c r="L67" i="2"/>
  <c r="C67" i="2"/>
  <c r="J67" i="2" s="1"/>
  <c r="G10" i="4"/>
  <c r="O15" i="4"/>
  <c r="Y15" i="2"/>
  <c r="C106" i="1" l="1"/>
  <c r="J106" i="1" s="1"/>
  <c r="L106" i="1"/>
  <c r="AM9" i="7"/>
  <c r="W9" i="4"/>
  <c r="U76" i="9"/>
  <c r="E9" i="13"/>
  <c r="AD9" i="7"/>
  <c r="J33" i="1"/>
  <c r="E9" i="14"/>
  <c r="I11" i="1"/>
  <c r="G106" i="11"/>
  <c r="N9" i="8"/>
  <c r="R54" i="18"/>
  <c r="L33" i="3"/>
  <c r="D12" i="8"/>
  <c r="D11" i="8" s="1"/>
  <c r="C91" i="8"/>
  <c r="J91" i="8" s="1"/>
  <c r="AP9" i="11"/>
  <c r="C91" i="6"/>
  <c r="J91" i="6" s="1"/>
  <c r="U76" i="1"/>
  <c r="C76" i="1"/>
  <c r="J76" i="1" s="1"/>
  <c r="N9" i="6"/>
  <c r="O11" i="6"/>
  <c r="E9" i="3"/>
  <c r="BC54" i="5"/>
  <c r="C15" i="1"/>
  <c r="J15" i="1" s="1"/>
  <c r="D12" i="2"/>
  <c r="L12" i="2" s="1"/>
  <c r="C91" i="2"/>
  <c r="J91" i="2" s="1"/>
  <c r="N9" i="2"/>
  <c r="D9" i="13"/>
  <c r="N9" i="7"/>
  <c r="N9" i="4"/>
  <c r="C33" i="2"/>
  <c r="J33" i="2" s="1"/>
  <c r="N9" i="1"/>
  <c r="F9" i="8"/>
  <c r="AR9" i="11"/>
  <c r="E9" i="15"/>
  <c r="E9" i="7"/>
  <c r="N54" i="18"/>
  <c r="L91" i="3"/>
  <c r="Z54" i="18"/>
  <c r="S54" i="1"/>
  <c r="E9" i="8"/>
  <c r="P54" i="18"/>
  <c r="L54" i="18"/>
  <c r="E9" i="17"/>
  <c r="Z106" i="18"/>
  <c r="K54" i="11"/>
  <c r="T106" i="18"/>
  <c r="AF9" i="4"/>
  <c r="AC12" i="7"/>
  <c r="AB12" i="7" s="1"/>
  <c r="D9" i="10"/>
  <c r="AM12" i="11"/>
  <c r="AO12" i="11" s="1"/>
  <c r="AK91" i="7"/>
  <c r="J54" i="2"/>
  <c r="C76" i="5"/>
  <c r="J76" i="5" s="1"/>
  <c r="D13" i="1"/>
  <c r="C13" i="1" s="1"/>
  <c r="J13" i="1" s="1"/>
  <c r="E9" i="10"/>
  <c r="C12" i="13"/>
  <c r="G12" i="13" s="1"/>
  <c r="F9" i="2"/>
  <c r="C54" i="1"/>
  <c r="J54" i="1" s="1"/>
  <c r="D12" i="6"/>
  <c r="L12" i="6" s="1"/>
  <c r="U33" i="4"/>
  <c r="AB33" i="4" s="1"/>
  <c r="D9" i="11"/>
  <c r="S76" i="1"/>
  <c r="AK106" i="7"/>
  <c r="F9" i="1"/>
  <c r="E9" i="1"/>
  <c r="E9" i="5"/>
  <c r="AJ9" i="1"/>
  <c r="S15" i="1"/>
  <c r="U15" i="1"/>
  <c r="F9" i="5"/>
  <c r="BB10" i="5"/>
  <c r="BB9" i="5" s="1"/>
  <c r="C13" i="10"/>
  <c r="G13" i="10" s="1"/>
  <c r="C13" i="12"/>
  <c r="G13" i="12" s="1"/>
  <c r="E9" i="2"/>
  <c r="D9" i="18"/>
  <c r="I33" i="12"/>
  <c r="J33" i="12" s="1"/>
  <c r="D9" i="17"/>
  <c r="D9" i="15"/>
  <c r="E9" i="11"/>
  <c r="AI106" i="7"/>
  <c r="L54" i="2"/>
  <c r="AJ10" i="1"/>
  <c r="X10" i="7"/>
  <c r="D9" i="14"/>
  <c r="U10" i="18"/>
  <c r="U9" i="18" s="1"/>
  <c r="V9" i="18" s="1"/>
  <c r="E9" i="4"/>
  <c r="C106" i="3"/>
  <c r="V15" i="18"/>
  <c r="P76" i="18"/>
  <c r="U33" i="1"/>
  <c r="T76" i="18"/>
  <c r="J10" i="15"/>
  <c r="J9" i="15" s="1"/>
  <c r="J91" i="12"/>
  <c r="V76" i="18"/>
  <c r="N76" i="18"/>
  <c r="E9" i="16"/>
  <c r="M33" i="11"/>
  <c r="P9" i="12"/>
  <c r="R76" i="18"/>
  <c r="Z76" i="18"/>
  <c r="R10" i="1"/>
  <c r="R9" i="1" s="1"/>
  <c r="R76" i="6"/>
  <c r="V106" i="18"/>
  <c r="R106" i="18"/>
  <c r="H10" i="18"/>
  <c r="P10" i="18" s="1"/>
  <c r="L106" i="18"/>
  <c r="X9" i="4"/>
  <c r="C106" i="8"/>
  <c r="M76" i="11"/>
  <c r="T10" i="9"/>
  <c r="T9" i="9" s="1"/>
  <c r="AX10" i="13"/>
  <c r="AX9" i="13" s="1"/>
  <c r="U54" i="9"/>
  <c r="S33" i="1"/>
  <c r="E9" i="6"/>
  <c r="F9" i="6"/>
  <c r="C106" i="6"/>
  <c r="K15" i="15"/>
  <c r="L106" i="3"/>
  <c r="AE9" i="7"/>
  <c r="J33" i="3"/>
  <c r="D12" i="5"/>
  <c r="C12" i="5" s="1"/>
  <c r="N9" i="12"/>
  <c r="BP10" i="13"/>
  <c r="BP9" i="13" s="1"/>
  <c r="C91" i="5"/>
  <c r="J91" i="5" s="1"/>
  <c r="M10" i="1"/>
  <c r="C91" i="3"/>
  <c r="J91" i="3" s="1"/>
  <c r="F9" i="7"/>
  <c r="N9" i="3"/>
  <c r="U54" i="1"/>
  <c r="D9" i="12"/>
  <c r="C106" i="4"/>
  <c r="F9" i="3"/>
  <c r="T10" i="13"/>
  <c r="T9" i="13" s="1"/>
  <c r="P106" i="18"/>
  <c r="AB33" i="7"/>
  <c r="AI33" i="7" s="1"/>
  <c r="V54" i="18"/>
  <c r="BC76" i="5"/>
  <c r="L106" i="2"/>
  <c r="T10" i="5"/>
  <c r="T9" i="5" s="1"/>
  <c r="AA10" i="2"/>
  <c r="M54" i="11"/>
  <c r="J106" i="6"/>
  <c r="D9" i="16"/>
  <c r="AB106" i="4"/>
  <c r="D10" i="1"/>
  <c r="C10" i="1" s="1"/>
  <c r="W10" i="2"/>
  <c r="K76" i="11"/>
  <c r="BC15" i="5"/>
  <c r="C54" i="5"/>
  <c r="J54" i="5" s="1"/>
  <c r="Y10" i="18"/>
  <c r="Y9" i="18" s="1"/>
  <c r="Z9" i="18" s="1"/>
  <c r="F9" i="4"/>
  <c r="U12" i="8"/>
  <c r="Q11" i="8"/>
  <c r="U11" i="8" s="1"/>
  <c r="L106" i="4"/>
  <c r="AI91" i="7"/>
  <c r="T10" i="1"/>
  <c r="T9" i="1" s="1"/>
  <c r="M54" i="12"/>
  <c r="CA15" i="13"/>
  <c r="M9" i="15"/>
  <c r="I9" i="15" s="1"/>
  <c r="G11" i="1"/>
  <c r="O11" i="1" s="1"/>
  <c r="L33" i="1"/>
  <c r="Y10" i="2"/>
  <c r="J106" i="2"/>
  <c r="BX10" i="13"/>
  <c r="BX9" i="13" s="1"/>
  <c r="I10" i="16"/>
  <c r="I9" i="16" s="1"/>
  <c r="E9" i="18"/>
  <c r="AH11" i="4"/>
  <c r="AJ11" i="4" s="1"/>
  <c r="AJ12" i="4"/>
  <c r="AV11" i="5"/>
  <c r="AZ11" i="5" s="1"/>
  <c r="AZ12" i="5"/>
  <c r="J106" i="3"/>
  <c r="J55" i="12"/>
  <c r="M76" i="12"/>
  <c r="V10" i="13"/>
  <c r="V9" i="13" s="1"/>
  <c r="V9" i="7"/>
  <c r="X9" i="7" s="1"/>
  <c r="E9" i="12"/>
  <c r="C54" i="4"/>
  <c r="J54" i="4" s="1"/>
  <c r="J54" i="12"/>
  <c r="J106" i="4"/>
  <c r="R54" i="6"/>
  <c r="AD106" i="4"/>
  <c r="J10" i="13"/>
  <c r="J9" i="13" s="1"/>
  <c r="J34" i="12"/>
  <c r="L106" i="6"/>
  <c r="E9" i="9"/>
  <c r="P10" i="1"/>
  <c r="G11" i="4"/>
  <c r="O11" i="4" s="1"/>
  <c r="O12" i="4"/>
  <c r="L106" i="7"/>
  <c r="BN10" i="13"/>
  <c r="BN9" i="13" s="1"/>
  <c r="C10" i="10"/>
  <c r="G10" i="10" s="1"/>
  <c r="AV10" i="13"/>
  <c r="AV9" i="13" s="1"/>
  <c r="BC33" i="5"/>
  <c r="T12" i="4"/>
  <c r="R12" i="4"/>
  <c r="P11" i="4"/>
  <c r="P9" i="4" s="1"/>
  <c r="Y9" i="7"/>
  <c r="AA9" i="7" s="1"/>
  <c r="AA10" i="7"/>
  <c r="AO9" i="7"/>
  <c r="AQ9" i="7" s="1"/>
  <c r="AQ10" i="7"/>
  <c r="H11" i="5"/>
  <c r="M12" i="5"/>
  <c r="G15" i="13"/>
  <c r="C10" i="13"/>
  <c r="J12" i="10"/>
  <c r="H11" i="10"/>
  <c r="J11" i="10" s="1"/>
  <c r="L33" i="5"/>
  <c r="C33" i="5"/>
  <c r="J33" i="5" s="1"/>
  <c r="D10" i="7"/>
  <c r="L15" i="7"/>
  <c r="C15" i="7"/>
  <c r="J15" i="7" s="1"/>
  <c r="CA10" i="13"/>
  <c r="BW9" i="13"/>
  <c r="CA9" i="13" s="1"/>
  <c r="AY12" i="13"/>
  <c r="AU11" i="13"/>
  <c r="AY11" i="13" s="1"/>
  <c r="L10" i="9"/>
  <c r="L9" i="9" s="1"/>
  <c r="AK76" i="7"/>
  <c r="AB76" i="7"/>
  <c r="AI76" i="7" s="1"/>
  <c r="G11" i="8"/>
  <c r="O11" i="8" s="1"/>
  <c r="O12" i="8"/>
  <c r="AE11" i="5"/>
  <c r="AG11" i="5" s="1"/>
  <c r="AG12" i="5"/>
  <c r="AT12" i="5"/>
  <c r="AR11" i="5"/>
  <c r="AT11" i="5" s="1"/>
  <c r="U10" i="17"/>
  <c r="H9" i="17"/>
  <c r="R10" i="17"/>
  <c r="O10" i="17"/>
  <c r="M10" i="7"/>
  <c r="H9" i="7"/>
  <c r="I12" i="6"/>
  <c r="K11" i="6"/>
  <c r="I11" i="6" s="1"/>
  <c r="O10" i="5"/>
  <c r="AK12" i="5"/>
  <c r="AM12" i="5"/>
  <c r="AI11" i="5"/>
  <c r="AI9" i="5" s="1"/>
  <c r="O13" i="15"/>
  <c r="H13" i="15"/>
  <c r="K13" i="15" s="1"/>
  <c r="R33" i="6"/>
  <c r="I76" i="12"/>
  <c r="J76" i="12" s="1"/>
  <c r="J77" i="12"/>
  <c r="J10" i="9"/>
  <c r="O10" i="8"/>
  <c r="M10" i="8"/>
  <c r="G91" i="10"/>
  <c r="C12" i="10"/>
  <c r="L13" i="4"/>
  <c r="C13" i="4"/>
  <c r="J13" i="4" s="1"/>
  <c r="AA10" i="11"/>
  <c r="AJ10" i="11"/>
  <c r="W9" i="1"/>
  <c r="Q9" i="1" s="1"/>
  <c r="Q10" i="1"/>
  <c r="U15" i="9"/>
  <c r="S10" i="9"/>
  <c r="G15" i="15"/>
  <c r="C10" i="15"/>
  <c r="P9" i="2"/>
  <c r="R9" i="2" s="1"/>
  <c r="R10" i="2"/>
  <c r="G9" i="6"/>
  <c r="O10" i="6"/>
  <c r="AA12" i="9"/>
  <c r="Y11" i="9"/>
  <c r="AA11" i="9" s="1"/>
  <c r="M106" i="12"/>
  <c r="K13" i="12"/>
  <c r="M13" i="12" s="1"/>
  <c r="L15" i="3"/>
  <c r="D10" i="3"/>
  <c r="C15" i="3"/>
  <c r="J15" i="3" s="1"/>
  <c r="AW15" i="13"/>
  <c r="X11" i="5"/>
  <c r="Z11" i="5" s="1"/>
  <c r="Z12" i="5"/>
  <c r="P11" i="9"/>
  <c r="R11" i="9" s="1"/>
  <c r="R12" i="9"/>
  <c r="AE11" i="11"/>
  <c r="AH11" i="11" s="1"/>
  <c r="AH12" i="11"/>
  <c r="K10" i="12"/>
  <c r="M15" i="12"/>
  <c r="G15" i="17"/>
  <c r="C10" i="17"/>
  <c r="G106" i="14"/>
  <c r="C13" i="14"/>
  <c r="G13" i="14" s="1"/>
  <c r="AD54" i="4"/>
  <c r="U54" i="4"/>
  <c r="AB54" i="4" s="1"/>
  <c r="T10" i="12"/>
  <c r="C10" i="11"/>
  <c r="G15" i="11"/>
  <c r="G106" i="13"/>
  <c r="C13" i="13"/>
  <c r="G13" i="13" s="1"/>
  <c r="J15" i="12"/>
  <c r="H10" i="12"/>
  <c r="C106" i="5"/>
  <c r="D13" i="5"/>
  <c r="M12" i="13"/>
  <c r="W12" i="13"/>
  <c r="AG12" i="13"/>
  <c r="I11" i="13"/>
  <c r="I9" i="13" s="1"/>
  <c r="P91" i="18"/>
  <c r="V91" i="18"/>
  <c r="N91" i="18"/>
  <c r="Z91" i="18"/>
  <c r="L91" i="18"/>
  <c r="R91" i="18"/>
  <c r="T91" i="18"/>
  <c r="C15" i="6"/>
  <c r="J15" i="6" s="1"/>
  <c r="D10" i="6"/>
  <c r="L15" i="6"/>
  <c r="AX10" i="5"/>
  <c r="I10" i="1"/>
  <c r="K9" i="1"/>
  <c r="O10" i="3"/>
  <c r="K12" i="12"/>
  <c r="M91" i="12"/>
  <c r="C12" i="15"/>
  <c r="G91" i="15"/>
  <c r="J12" i="14"/>
  <c r="H11" i="14"/>
  <c r="J11" i="14" s="1"/>
  <c r="P12" i="6"/>
  <c r="R91" i="6"/>
  <c r="K11" i="8"/>
  <c r="I11" i="8" s="1"/>
  <c r="I12" i="8"/>
  <c r="M91" i="11"/>
  <c r="I12" i="11"/>
  <c r="AY15" i="13"/>
  <c r="C13" i="15"/>
  <c r="G13" i="15" s="1"/>
  <c r="G106" i="15"/>
  <c r="AD10" i="2"/>
  <c r="AB11" i="5"/>
  <c r="AD11" i="5" s="1"/>
  <c r="AD12" i="5"/>
  <c r="U91" i="4"/>
  <c r="AB91" i="4" s="1"/>
  <c r="AD91" i="4"/>
  <c r="V12" i="4"/>
  <c r="Q10" i="6"/>
  <c r="Q9" i="6" s="1"/>
  <c r="AA10" i="4"/>
  <c r="I10" i="2"/>
  <c r="I10" i="3"/>
  <c r="L54" i="3"/>
  <c r="C54" i="3"/>
  <c r="J54" i="3" s="1"/>
  <c r="AK10" i="5"/>
  <c r="AM10" i="5"/>
  <c r="M15" i="9"/>
  <c r="I10" i="11"/>
  <c r="M15" i="11"/>
  <c r="L10" i="11"/>
  <c r="L9" i="11" s="1"/>
  <c r="L76" i="2"/>
  <c r="C76" i="2"/>
  <c r="J76" i="2" s="1"/>
  <c r="G106" i="9"/>
  <c r="C13" i="9"/>
  <c r="G13" i="9" s="1"/>
  <c r="U10" i="2"/>
  <c r="V10" i="4"/>
  <c r="U15" i="4"/>
  <c r="AB15" i="4" s="1"/>
  <c r="AD15" i="4"/>
  <c r="AE9" i="8"/>
  <c r="AH9" i="8" s="1"/>
  <c r="AH10" i="8"/>
  <c r="AB106" i="7"/>
  <c r="AC13" i="7"/>
  <c r="S10" i="11"/>
  <c r="K106" i="11"/>
  <c r="H13" i="11"/>
  <c r="K13" i="11" s="1"/>
  <c r="AH10" i="7"/>
  <c r="H10" i="11"/>
  <c r="K15" i="11"/>
  <c r="M10" i="3"/>
  <c r="L12" i="3"/>
  <c r="C12" i="3"/>
  <c r="D11" i="3"/>
  <c r="AW12" i="13"/>
  <c r="AT11" i="13"/>
  <c r="AW11" i="13" s="1"/>
  <c r="BL11" i="13"/>
  <c r="BO11" i="13" s="1"/>
  <c r="AH10" i="11"/>
  <c r="U10" i="6"/>
  <c r="AA10" i="9"/>
  <c r="M12" i="7"/>
  <c r="K11" i="7"/>
  <c r="K9" i="7" s="1"/>
  <c r="I12" i="7"/>
  <c r="I13" i="11"/>
  <c r="M13" i="11" s="1"/>
  <c r="M106" i="11"/>
  <c r="I10" i="7"/>
  <c r="J12" i="16"/>
  <c r="H11" i="16"/>
  <c r="J11" i="16" s="1"/>
  <c r="I10" i="5"/>
  <c r="AD10" i="5"/>
  <c r="K13" i="13"/>
  <c r="AE13" i="13"/>
  <c r="U13" i="13"/>
  <c r="BO12" i="13"/>
  <c r="X10" i="9"/>
  <c r="AC10" i="7"/>
  <c r="AK15" i="7"/>
  <c r="AB15" i="7"/>
  <c r="AI15" i="7" s="1"/>
  <c r="D12" i="4"/>
  <c r="L91" i="4"/>
  <c r="C91" i="4"/>
  <c r="J91" i="4" s="1"/>
  <c r="L91" i="7"/>
  <c r="C91" i="7"/>
  <c r="J91" i="7" s="1"/>
  <c r="D12" i="7"/>
  <c r="P9" i="18"/>
  <c r="L9" i="18"/>
  <c r="N9" i="18"/>
  <c r="T9" i="18"/>
  <c r="R9" i="18"/>
  <c r="L33" i="8"/>
  <c r="C33" i="8"/>
  <c r="J33" i="8" s="1"/>
  <c r="BC10" i="8"/>
  <c r="AZ10" i="8"/>
  <c r="BF10" i="8"/>
  <c r="AW9" i="8"/>
  <c r="D12" i="1"/>
  <c r="L91" i="1"/>
  <c r="C91" i="1"/>
  <c r="J91" i="1" s="1"/>
  <c r="J10" i="10"/>
  <c r="AJ11" i="7"/>
  <c r="AH11" i="7" s="1"/>
  <c r="AH12" i="7"/>
  <c r="AA10" i="8"/>
  <c r="X10" i="8"/>
  <c r="AD10" i="8"/>
  <c r="AA12" i="8"/>
  <c r="X12" i="8"/>
  <c r="AD12" i="8"/>
  <c r="AH12" i="8" s="1"/>
  <c r="P11" i="8"/>
  <c r="P9" i="8" s="1"/>
  <c r="U10" i="8"/>
  <c r="C12" i="14"/>
  <c r="G91" i="14"/>
  <c r="N9" i="5"/>
  <c r="C54" i="7"/>
  <c r="J54" i="7" s="1"/>
  <c r="L54" i="7"/>
  <c r="U12" i="6"/>
  <c r="S11" i="6"/>
  <c r="U11" i="6" s="1"/>
  <c r="O10" i="4"/>
  <c r="L76" i="3"/>
  <c r="C76" i="3"/>
  <c r="J76" i="3" s="1"/>
  <c r="X10" i="6"/>
  <c r="H10" i="15"/>
  <c r="K10" i="15" s="1"/>
  <c r="O10" i="15"/>
  <c r="L33" i="6"/>
  <c r="C33" i="6"/>
  <c r="J33" i="6" s="1"/>
  <c r="AS9" i="8"/>
  <c r="AV9" i="8" s="1"/>
  <c r="AV10" i="8"/>
  <c r="R10" i="9"/>
  <c r="G15" i="9"/>
  <c r="C10" i="9"/>
  <c r="M33" i="12"/>
  <c r="S13" i="15"/>
  <c r="P11" i="15"/>
  <c r="P33" i="18"/>
  <c r="Z33" i="18"/>
  <c r="L33" i="18"/>
  <c r="R33" i="18"/>
  <c r="T33" i="18"/>
  <c r="N33" i="18"/>
  <c r="V33" i="18"/>
  <c r="BV9" i="13"/>
  <c r="AA12" i="11"/>
  <c r="W11" i="11"/>
  <c r="AA11" i="11" s="1"/>
  <c r="J10" i="14"/>
  <c r="H9" i="14"/>
  <c r="J9" i="14" s="1"/>
  <c r="S11" i="3"/>
  <c r="U11" i="3" s="1"/>
  <c r="U12" i="3"/>
  <c r="I10" i="6"/>
  <c r="S9" i="7"/>
  <c r="U9" i="7" s="1"/>
  <c r="U10" i="7"/>
  <c r="C12" i="9"/>
  <c r="G91" i="9"/>
  <c r="BR9" i="13"/>
  <c r="W13" i="13"/>
  <c r="M13" i="13"/>
  <c r="AG13" i="13"/>
  <c r="G15" i="14"/>
  <c r="C10" i="14"/>
  <c r="G106" i="16"/>
  <c r="C13" i="16"/>
  <c r="G13" i="16" s="1"/>
  <c r="AD10" i="13"/>
  <c r="AD9" i="13" s="1"/>
  <c r="H11" i="1"/>
  <c r="M12" i="1"/>
  <c r="G11" i="5"/>
  <c r="O11" i="5" s="1"/>
  <c r="O12" i="5"/>
  <c r="AL12" i="7"/>
  <c r="AG11" i="7"/>
  <c r="AG9" i="7" s="1"/>
  <c r="I10" i="8"/>
  <c r="P10" i="10"/>
  <c r="H12" i="11"/>
  <c r="K91" i="11"/>
  <c r="J12" i="12"/>
  <c r="U10" i="3"/>
  <c r="S9" i="3"/>
  <c r="U9" i="3" s="1"/>
  <c r="M10" i="4"/>
  <c r="H9" i="4"/>
  <c r="M12" i="3"/>
  <c r="H11" i="3"/>
  <c r="D9" i="9"/>
  <c r="G91" i="17"/>
  <c r="C12" i="17"/>
  <c r="BA10" i="5"/>
  <c r="AP10" i="5"/>
  <c r="I12" i="4"/>
  <c r="K11" i="4"/>
  <c r="I11" i="4" s="1"/>
  <c r="M12" i="4"/>
  <c r="I12" i="5"/>
  <c r="K11" i="5"/>
  <c r="I11" i="5" s="1"/>
  <c r="M12" i="6"/>
  <c r="H11" i="6"/>
  <c r="L13" i="8"/>
  <c r="C13" i="8"/>
  <c r="J13" i="8" s="1"/>
  <c r="M10" i="5"/>
  <c r="R10" i="7"/>
  <c r="P9" i="7"/>
  <c r="R9" i="7" s="1"/>
  <c r="AG10" i="5"/>
  <c r="O12" i="3"/>
  <c r="G11" i="3"/>
  <c r="O11" i="3" s="1"/>
  <c r="AX12" i="5"/>
  <c r="AU11" i="5"/>
  <c r="AX11" i="5" s="1"/>
  <c r="J106" i="12"/>
  <c r="H13" i="12"/>
  <c r="J13" i="12" s="1"/>
  <c r="D10" i="4"/>
  <c r="L15" i="4"/>
  <c r="C15" i="4"/>
  <c r="J15" i="4" s="1"/>
  <c r="L10" i="12"/>
  <c r="L9" i="12" s="1"/>
  <c r="D10" i="2"/>
  <c r="L15" i="2"/>
  <c r="C15" i="2"/>
  <c r="J15" i="2" s="1"/>
  <c r="M12" i="9"/>
  <c r="K11" i="9"/>
  <c r="M11" i="9" s="1"/>
  <c r="N12" i="10"/>
  <c r="K11" i="10"/>
  <c r="N11" i="10" s="1"/>
  <c r="C13" i="6"/>
  <c r="J13" i="6" s="1"/>
  <c r="L13" i="6"/>
  <c r="L33" i="7"/>
  <c r="C33" i="7"/>
  <c r="J33" i="7" s="1"/>
  <c r="AZ10" i="5"/>
  <c r="AO106" i="11"/>
  <c r="AM13" i="11"/>
  <c r="AO13" i="11" s="1"/>
  <c r="BQ10" i="13"/>
  <c r="L76" i="4"/>
  <c r="C76" i="4"/>
  <c r="J76" i="4" s="1"/>
  <c r="G106" i="17"/>
  <c r="C13" i="17"/>
  <c r="G13" i="17" s="1"/>
  <c r="AJ12" i="11"/>
  <c r="AF11" i="11"/>
  <c r="AJ11" i="11" s="1"/>
  <c r="R10" i="4"/>
  <c r="T10" i="4"/>
  <c r="K11" i="3"/>
  <c r="I11" i="3" s="1"/>
  <c r="I12" i="3"/>
  <c r="J16" i="12"/>
  <c r="P11" i="2"/>
  <c r="R11" i="2" s="1"/>
  <c r="R12" i="2"/>
  <c r="P12" i="10"/>
  <c r="L11" i="10"/>
  <c r="N11" i="11"/>
  <c r="Q11" i="11" s="1"/>
  <c r="Q12" i="11"/>
  <c r="U106" i="4"/>
  <c r="V13" i="4"/>
  <c r="L10" i="13"/>
  <c r="L9" i="13" s="1"/>
  <c r="R11" i="12"/>
  <c r="T11" i="12" s="1"/>
  <c r="T12" i="12"/>
  <c r="P11" i="3"/>
  <c r="R11" i="3" s="1"/>
  <c r="R12" i="3"/>
  <c r="L54" i="6"/>
  <c r="C54" i="6"/>
  <c r="J54" i="6" s="1"/>
  <c r="H11" i="9"/>
  <c r="J11" i="9" s="1"/>
  <c r="J12" i="9"/>
  <c r="O10" i="2"/>
  <c r="AK54" i="7"/>
  <c r="AB54" i="7"/>
  <c r="AI54" i="7" s="1"/>
  <c r="AR10" i="8"/>
  <c r="AI9" i="8"/>
  <c r="AO10" i="8"/>
  <c r="AL10" i="8"/>
  <c r="S12" i="11"/>
  <c r="O11" i="11"/>
  <c r="S11" i="11" s="1"/>
  <c r="N10" i="10"/>
  <c r="AD76" i="4"/>
  <c r="U76" i="4"/>
  <c r="AB76" i="4" s="1"/>
  <c r="U33" i="9"/>
  <c r="Y10" i="11"/>
  <c r="BO10" i="13"/>
  <c r="U12" i="13"/>
  <c r="AE12" i="13"/>
  <c r="K12" i="13"/>
  <c r="H11" i="13"/>
  <c r="H9" i="13" s="1"/>
  <c r="V11" i="9"/>
  <c r="X11" i="9" s="1"/>
  <c r="X12" i="9"/>
  <c r="G15" i="18"/>
  <c r="C10" i="18"/>
  <c r="AT10" i="5"/>
  <c r="C76" i="7"/>
  <c r="J76" i="7" s="1"/>
  <c r="L76" i="7"/>
  <c r="J10" i="11"/>
  <c r="J9" i="11" s="1"/>
  <c r="I10" i="17"/>
  <c r="L15" i="17"/>
  <c r="V11" i="6"/>
  <c r="X11" i="6" s="1"/>
  <c r="X12" i="6"/>
  <c r="M15" i="13"/>
  <c r="BQ12" i="13"/>
  <c r="BM11" i="13"/>
  <c r="BQ11" i="13" s="1"/>
  <c r="Z10" i="5"/>
  <c r="P10" i="6"/>
  <c r="R15" i="6"/>
  <c r="C106" i="7"/>
  <c r="D13" i="7"/>
  <c r="C12" i="12"/>
  <c r="G91" i="12"/>
  <c r="AD12" i="2"/>
  <c r="AB11" i="2"/>
  <c r="AD11" i="2" s="1"/>
  <c r="AN12" i="7"/>
  <c r="AF11" i="7"/>
  <c r="AN11" i="7" s="1"/>
  <c r="L33" i="4"/>
  <c r="C33" i="4"/>
  <c r="J33" i="4" s="1"/>
  <c r="I12" i="2"/>
  <c r="K11" i="2"/>
  <c r="I11" i="2" s="1"/>
  <c r="L54" i="8"/>
  <c r="C54" i="8"/>
  <c r="J54" i="8" s="1"/>
  <c r="AM10" i="11"/>
  <c r="AO15" i="11"/>
  <c r="C10" i="16"/>
  <c r="Q10" i="11"/>
  <c r="AA12" i="4"/>
  <c r="AC11" i="4"/>
  <c r="AA11" i="4" s="1"/>
  <c r="M10" i="2"/>
  <c r="L76" i="6"/>
  <c r="C76" i="6"/>
  <c r="J76" i="6" s="1"/>
  <c r="I10" i="4"/>
  <c r="AF10" i="13"/>
  <c r="AF9" i="13" s="1"/>
  <c r="Z9" i="4"/>
  <c r="AE10" i="4"/>
  <c r="AN10" i="7"/>
  <c r="D13" i="2"/>
  <c r="C106" i="2"/>
  <c r="S12" i="5"/>
  <c r="Q11" i="5"/>
  <c r="S11" i="5" s="1"/>
  <c r="AL10" i="7"/>
  <c r="L15" i="8"/>
  <c r="D10" i="8"/>
  <c r="C15" i="8"/>
  <c r="J15" i="8" s="1"/>
  <c r="L76" i="8"/>
  <c r="C76" i="8"/>
  <c r="J76" i="8" s="1"/>
  <c r="K33" i="11"/>
  <c r="AN11" i="5"/>
  <c r="AN9" i="5" s="1"/>
  <c r="AP12" i="5"/>
  <c r="BA12" i="5"/>
  <c r="BC12" i="5" s="1"/>
  <c r="AJ10" i="4"/>
  <c r="Y9" i="4"/>
  <c r="AG10" i="4"/>
  <c r="D10" i="5"/>
  <c r="C15" i="5"/>
  <c r="J15" i="5" s="1"/>
  <c r="L15" i="5"/>
  <c r="C12" i="16"/>
  <c r="G91" i="16"/>
  <c r="G91" i="11"/>
  <c r="C12" i="11"/>
  <c r="G106" i="18"/>
  <c r="C13" i="18"/>
  <c r="G13" i="18" s="1"/>
  <c r="H11" i="2"/>
  <c r="H9" i="2" s="1"/>
  <c r="M12" i="2"/>
  <c r="M12" i="8"/>
  <c r="H11" i="8"/>
  <c r="H9" i="8" s="1"/>
  <c r="U15" i="13"/>
  <c r="S10" i="5"/>
  <c r="G15" i="12"/>
  <c r="C10" i="12"/>
  <c r="P9" i="3"/>
  <c r="R9" i="3" s="1"/>
  <c r="R10" i="3"/>
  <c r="L13" i="3"/>
  <c r="C13" i="3"/>
  <c r="J13" i="3" s="1"/>
  <c r="L11" i="15"/>
  <c r="L9" i="15" s="1"/>
  <c r="H12" i="15"/>
  <c r="K12" i="15" s="1"/>
  <c r="O12" i="15"/>
  <c r="Y13" i="11"/>
  <c r="V11" i="11"/>
  <c r="Y11" i="11" s="1"/>
  <c r="O10" i="1"/>
  <c r="W12" i="2"/>
  <c r="Y12" i="2"/>
  <c r="U12" i="2"/>
  <c r="S11" i="2"/>
  <c r="AA12" i="2"/>
  <c r="M10" i="6"/>
  <c r="G11" i="7"/>
  <c r="O12" i="7"/>
  <c r="W15" i="13"/>
  <c r="G91" i="18"/>
  <c r="C12" i="18"/>
  <c r="O12" i="2"/>
  <c r="G11" i="2"/>
  <c r="O11" i="2" s="1"/>
  <c r="J106" i="7"/>
  <c r="C12" i="2" l="1"/>
  <c r="J12" i="2" s="1"/>
  <c r="D11" i="6"/>
  <c r="L11" i="6" s="1"/>
  <c r="C12" i="6"/>
  <c r="J12" i="6" s="1"/>
  <c r="L12" i="8"/>
  <c r="I9" i="1"/>
  <c r="D11" i="2"/>
  <c r="L11" i="2" s="1"/>
  <c r="O9" i="6"/>
  <c r="C12" i="8"/>
  <c r="J12" i="8" s="1"/>
  <c r="I9" i="7"/>
  <c r="AG9" i="4"/>
  <c r="AK12" i="7"/>
  <c r="L13" i="1"/>
  <c r="BC10" i="5"/>
  <c r="R10" i="18"/>
  <c r="T10" i="18"/>
  <c r="N10" i="18"/>
  <c r="L10" i="18"/>
  <c r="AY10" i="13"/>
  <c r="L12" i="5"/>
  <c r="S10" i="1"/>
  <c r="AH9" i="4"/>
  <c r="AJ9" i="4" s="1"/>
  <c r="H9" i="10"/>
  <c r="J9" i="10" s="1"/>
  <c r="Z10" i="18"/>
  <c r="V10" i="18"/>
  <c r="BY10" i="13"/>
  <c r="G9" i="1"/>
  <c r="O9" i="1" s="1"/>
  <c r="U9" i="1"/>
  <c r="U10" i="13"/>
  <c r="AE9" i="5"/>
  <c r="AG9" i="5" s="1"/>
  <c r="BY9" i="13"/>
  <c r="L10" i="1"/>
  <c r="Q9" i="8"/>
  <c r="U9" i="8" s="1"/>
  <c r="Q9" i="5"/>
  <c r="S9" i="5" s="1"/>
  <c r="AM11" i="11"/>
  <c r="AO11" i="11" s="1"/>
  <c r="K10" i="13"/>
  <c r="U10" i="1"/>
  <c r="X9" i="5"/>
  <c r="Z9" i="5" s="1"/>
  <c r="AW10" i="13"/>
  <c r="P9" i="1"/>
  <c r="S9" i="1" s="1"/>
  <c r="K9" i="10"/>
  <c r="N9" i="10" s="1"/>
  <c r="M10" i="13"/>
  <c r="I10" i="12"/>
  <c r="I9" i="12" s="1"/>
  <c r="AR9" i="5"/>
  <c r="AT9" i="5" s="1"/>
  <c r="W10" i="13"/>
  <c r="J10" i="16"/>
  <c r="M11" i="6"/>
  <c r="M11" i="3"/>
  <c r="BL9" i="13"/>
  <c r="BO9" i="13" s="1"/>
  <c r="BM9" i="13"/>
  <c r="BQ9" i="13" s="1"/>
  <c r="AU9" i="5"/>
  <c r="AX9" i="5" s="1"/>
  <c r="AT9" i="13"/>
  <c r="AW9" i="13" s="1"/>
  <c r="J12" i="5"/>
  <c r="M11" i="5"/>
  <c r="Y9" i="9"/>
  <c r="AA9" i="9" s="1"/>
  <c r="AV9" i="5"/>
  <c r="AZ9" i="5" s="1"/>
  <c r="G9" i="4"/>
  <c r="O9" i="4" s="1"/>
  <c r="J12" i="3"/>
  <c r="AB9" i="2"/>
  <c r="AD9" i="2" s="1"/>
  <c r="AF9" i="11"/>
  <c r="AJ9" i="11" s="1"/>
  <c r="S9" i="6"/>
  <c r="U9" i="6" s="1"/>
  <c r="AE10" i="13"/>
  <c r="H9" i="9"/>
  <c r="J9" i="9" s="1"/>
  <c r="T11" i="4"/>
  <c r="R11" i="4"/>
  <c r="AD9" i="8"/>
  <c r="R9" i="8"/>
  <c r="AA9" i="8"/>
  <c r="X9" i="8"/>
  <c r="AE9" i="13"/>
  <c r="K9" i="13"/>
  <c r="U9" i="13"/>
  <c r="O9" i="15"/>
  <c r="Y11" i="2"/>
  <c r="U11" i="2"/>
  <c r="AA11" i="2"/>
  <c r="W11" i="2"/>
  <c r="S9" i="2"/>
  <c r="AO10" i="11"/>
  <c r="R10" i="6"/>
  <c r="AL9" i="8"/>
  <c r="AR9" i="8"/>
  <c r="AO9" i="8"/>
  <c r="L10" i="4"/>
  <c r="C10" i="4"/>
  <c r="J10" i="4" s="1"/>
  <c r="AP9" i="5"/>
  <c r="AB13" i="7"/>
  <c r="AI13" i="7" s="1"/>
  <c r="AK13" i="7"/>
  <c r="AG9" i="13"/>
  <c r="W9" i="13"/>
  <c r="M9" i="13"/>
  <c r="AC11" i="7"/>
  <c r="G10" i="17"/>
  <c r="U10" i="9"/>
  <c r="S9" i="9"/>
  <c r="U9" i="9" s="1"/>
  <c r="G10" i="12"/>
  <c r="K9" i="8"/>
  <c r="I9" i="8" s="1"/>
  <c r="K9" i="6"/>
  <c r="I9" i="6" s="1"/>
  <c r="G10" i="9"/>
  <c r="C12" i="7"/>
  <c r="J12" i="7" s="1"/>
  <c r="D11" i="7"/>
  <c r="D9" i="7" s="1"/>
  <c r="L12" i="7"/>
  <c r="AK10" i="7"/>
  <c r="AB10" i="7"/>
  <c r="AI10" i="7" s="1"/>
  <c r="AB9" i="5"/>
  <c r="AD9" i="5" s="1"/>
  <c r="H9" i="3"/>
  <c r="C11" i="8"/>
  <c r="J11" i="8" s="1"/>
  <c r="L11" i="8"/>
  <c r="AC9" i="4"/>
  <c r="AA9" i="4" s="1"/>
  <c r="K11" i="12"/>
  <c r="M11" i="12" s="1"/>
  <c r="M12" i="12"/>
  <c r="L13" i="5"/>
  <c r="C13" i="5"/>
  <c r="J13" i="5" s="1"/>
  <c r="G10" i="11"/>
  <c r="D11" i="5"/>
  <c r="L10" i="5"/>
  <c r="C10" i="5"/>
  <c r="J10" i="5" s="1"/>
  <c r="L10" i="17"/>
  <c r="I9" i="17"/>
  <c r="L9" i="17" s="1"/>
  <c r="G12" i="17"/>
  <c r="C11" i="17"/>
  <c r="G11" i="17" s="1"/>
  <c r="AL11" i="7"/>
  <c r="J10" i="1"/>
  <c r="M11" i="4"/>
  <c r="C11" i="14"/>
  <c r="G11" i="14" s="1"/>
  <c r="G12" i="14"/>
  <c r="K9" i="5"/>
  <c r="I9" i="5" s="1"/>
  <c r="AE9" i="11"/>
  <c r="AH9" i="11" s="1"/>
  <c r="R12" i="6"/>
  <c r="P11" i="6"/>
  <c r="R11" i="6" s="1"/>
  <c r="R9" i="12"/>
  <c r="T9" i="12" s="1"/>
  <c r="M9" i="7"/>
  <c r="O11" i="7"/>
  <c r="G9" i="7"/>
  <c r="O9" i="7" s="1"/>
  <c r="N9" i="11"/>
  <c r="Q9" i="11" s="1"/>
  <c r="G12" i="12"/>
  <c r="C11" i="12"/>
  <c r="G11" i="12" s="1"/>
  <c r="V9" i="11"/>
  <c r="Y9" i="11" s="1"/>
  <c r="AU9" i="13"/>
  <c r="AY9" i="13" s="1"/>
  <c r="H9" i="5"/>
  <c r="H11" i="12"/>
  <c r="J11" i="12" s="1"/>
  <c r="D11" i="1"/>
  <c r="C12" i="1"/>
  <c r="J12" i="1" s="1"/>
  <c r="L12" i="1"/>
  <c r="V9" i="9"/>
  <c r="X9" i="9" s="1"/>
  <c r="I11" i="7"/>
  <c r="M11" i="7"/>
  <c r="C11" i="13"/>
  <c r="G11" i="13" s="1"/>
  <c r="V11" i="4"/>
  <c r="U12" i="4"/>
  <c r="AB12" i="4" s="1"/>
  <c r="AD12" i="4"/>
  <c r="AE11" i="4"/>
  <c r="G9" i="3"/>
  <c r="O9" i="3" s="1"/>
  <c r="M10" i="12"/>
  <c r="W9" i="11"/>
  <c r="AA9" i="11" s="1"/>
  <c r="G9" i="8"/>
  <c r="O9" i="8" s="1"/>
  <c r="AM11" i="5"/>
  <c r="AK11" i="5"/>
  <c r="AM9" i="5"/>
  <c r="AK9" i="5"/>
  <c r="C11" i="15"/>
  <c r="G11" i="15" s="1"/>
  <c r="G12" i="15"/>
  <c r="C10" i="7"/>
  <c r="J10" i="7" s="1"/>
  <c r="L10" i="7"/>
  <c r="AD10" i="4"/>
  <c r="U10" i="4"/>
  <c r="AB10" i="4" s="1"/>
  <c r="M11" i="2"/>
  <c r="AP11" i="5"/>
  <c r="BA11" i="5"/>
  <c r="BC11" i="5" s="1"/>
  <c r="G10" i="18"/>
  <c r="H9" i="6"/>
  <c r="H11" i="15"/>
  <c r="K11" i="15" s="1"/>
  <c r="O11" i="15"/>
  <c r="C11" i="11"/>
  <c r="G11" i="11" s="1"/>
  <c r="G12" i="11"/>
  <c r="K9" i="4"/>
  <c r="I9" i="4" s="1"/>
  <c r="L13" i="7"/>
  <c r="C13" i="7"/>
  <c r="J13" i="7" s="1"/>
  <c r="G9" i="2"/>
  <c r="O9" i="2" s="1"/>
  <c r="P11" i="10"/>
  <c r="L9" i="10"/>
  <c r="P9" i="10" s="1"/>
  <c r="L10" i="2"/>
  <c r="C10" i="2"/>
  <c r="J10" i="2" s="1"/>
  <c r="P9" i="9"/>
  <c r="R9" i="9" s="1"/>
  <c r="V9" i="6"/>
  <c r="X9" i="6" s="1"/>
  <c r="AZ9" i="8"/>
  <c r="BF9" i="8"/>
  <c r="BC9" i="8"/>
  <c r="K10" i="11"/>
  <c r="K9" i="3"/>
  <c r="I9" i="3" s="1"/>
  <c r="C10" i="6"/>
  <c r="J10" i="6" s="1"/>
  <c r="L10" i="6"/>
  <c r="K9" i="9"/>
  <c r="M9" i="9" s="1"/>
  <c r="C10" i="3"/>
  <c r="J10" i="3" s="1"/>
  <c r="D9" i="3"/>
  <c r="L10" i="3"/>
  <c r="G10" i="13"/>
  <c r="C11" i="18"/>
  <c r="G11" i="18" s="1"/>
  <c r="G12" i="18"/>
  <c r="C11" i="16"/>
  <c r="G11" i="16" s="1"/>
  <c r="G12" i="16"/>
  <c r="M11" i="1"/>
  <c r="H9" i="1"/>
  <c r="M9" i="1" s="1"/>
  <c r="L13" i="2"/>
  <c r="C13" i="2"/>
  <c r="J13" i="2" s="1"/>
  <c r="G10" i="16"/>
  <c r="U11" i="13"/>
  <c r="K11" i="13"/>
  <c r="AE11" i="13"/>
  <c r="R9" i="4"/>
  <c r="T9" i="4"/>
  <c r="G12" i="9"/>
  <c r="C11" i="9"/>
  <c r="G11" i="9" s="1"/>
  <c r="X11" i="8"/>
  <c r="AD11" i="8"/>
  <c r="AH11" i="8" s="1"/>
  <c r="AA11" i="8"/>
  <c r="M10" i="11"/>
  <c r="M12" i="11"/>
  <c r="I11" i="11"/>
  <c r="M11" i="11" s="1"/>
  <c r="AG11" i="13"/>
  <c r="M11" i="13"/>
  <c r="W11" i="13"/>
  <c r="M10" i="9"/>
  <c r="M11" i="8"/>
  <c r="L10" i="8"/>
  <c r="D9" i="8"/>
  <c r="C10" i="8"/>
  <c r="J10" i="8" s="1"/>
  <c r="AF9" i="7"/>
  <c r="AN9" i="7" s="1"/>
  <c r="AD13" i="4"/>
  <c r="U13" i="4"/>
  <c r="AB13" i="4" s="1"/>
  <c r="K12" i="11"/>
  <c r="H11" i="11"/>
  <c r="K11" i="11" s="1"/>
  <c r="G10" i="14"/>
  <c r="P9" i="15"/>
  <c r="S9" i="15" s="1"/>
  <c r="S11" i="15"/>
  <c r="L12" i="4"/>
  <c r="C12" i="4"/>
  <c r="J12" i="4" s="1"/>
  <c r="D11" i="4"/>
  <c r="D9" i="4" s="1"/>
  <c r="C11" i="3"/>
  <c r="J11" i="3" s="1"/>
  <c r="L11" i="3"/>
  <c r="AJ9" i="7"/>
  <c r="AH9" i="7" s="1"/>
  <c r="O9" i="11"/>
  <c r="S9" i="11" s="1"/>
  <c r="AG10" i="13"/>
  <c r="K9" i="2"/>
  <c r="I9" i="2" s="1"/>
  <c r="AI12" i="7"/>
  <c r="G10" i="15"/>
  <c r="H9" i="16"/>
  <c r="J9" i="16" s="1"/>
  <c r="G12" i="10"/>
  <c r="C11" i="10"/>
  <c r="G9" i="5"/>
  <c r="O9" i="5" s="1"/>
  <c r="O9" i="17"/>
  <c r="R9" i="17"/>
  <c r="U9" i="17"/>
  <c r="D9" i="6" l="1"/>
  <c r="L9" i="6" s="1"/>
  <c r="C11" i="6"/>
  <c r="J11" i="6" s="1"/>
  <c r="C11" i="2"/>
  <c r="J11" i="2" s="1"/>
  <c r="D9" i="2"/>
  <c r="C9" i="2" s="1"/>
  <c r="J9" i="2" s="1"/>
  <c r="C9" i="14"/>
  <c r="G9" i="14" s="1"/>
  <c r="AM9" i="11"/>
  <c r="AO9" i="11" s="1"/>
  <c r="J10" i="12"/>
  <c r="BA9" i="5"/>
  <c r="BC9" i="5" s="1"/>
  <c r="C9" i="15"/>
  <c r="G9" i="15" s="1"/>
  <c r="AE9" i="4"/>
  <c r="M9" i="8"/>
  <c r="I9" i="11"/>
  <c r="M9" i="11" s="1"/>
  <c r="H9" i="11"/>
  <c r="K9" i="11" s="1"/>
  <c r="P9" i="6"/>
  <c r="R9" i="6" s="1"/>
  <c r="M9" i="5"/>
  <c r="H9" i="15"/>
  <c r="K9" i="15" s="1"/>
  <c r="AL9" i="7"/>
  <c r="C9" i="12"/>
  <c r="G9" i="12" s="1"/>
  <c r="C9" i="16"/>
  <c r="G9" i="16" s="1"/>
  <c r="L11" i="1"/>
  <c r="C11" i="1"/>
  <c r="J11" i="1" s="1"/>
  <c r="D9" i="1"/>
  <c r="L9" i="7"/>
  <c r="C9" i="7"/>
  <c r="J9" i="7" s="1"/>
  <c r="C11" i="5"/>
  <c r="J11" i="5" s="1"/>
  <c r="L11" i="5"/>
  <c r="L11" i="7"/>
  <c r="C11" i="7"/>
  <c r="J11" i="7" s="1"/>
  <c r="AA9" i="2"/>
  <c r="W9" i="2"/>
  <c r="U9" i="2"/>
  <c r="Y9" i="2"/>
  <c r="C9" i="11"/>
  <c r="G9" i="11" s="1"/>
  <c r="K9" i="12"/>
  <c r="M9" i="12" s="1"/>
  <c r="M9" i="3"/>
  <c r="C9" i="9"/>
  <c r="G9" i="9" s="1"/>
  <c r="AD11" i="4"/>
  <c r="U11" i="4"/>
  <c r="AB11" i="4" s="1"/>
  <c r="G11" i="10"/>
  <c r="C9" i="10"/>
  <c r="G9" i="10" s="1"/>
  <c r="L9" i="8"/>
  <c r="C9" i="8"/>
  <c r="J9" i="8" s="1"/>
  <c r="V9" i="4"/>
  <c r="C9" i="13"/>
  <c r="G9" i="13" s="1"/>
  <c r="M9" i="6"/>
  <c r="AK11" i="7"/>
  <c r="AB11" i="7"/>
  <c r="AI11" i="7" s="1"/>
  <c r="L9" i="3"/>
  <c r="C9" i="3"/>
  <c r="J9" i="3" s="1"/>
  <c r="C9" i="4"/>
  <c r="J9" i="4" s="1"/>
  <c r="L9" i="4"/>
  <c r="H9" i="12"/>
  <c r="J9" i="12" s="1"/>
  <c r="AC9" i="7"/>
  <c r="L11" i="4"/>
  <c r="C11" i="4"/>
  <c r="J11" i="4" s="1"/>
  <c r="C9" i="18"/>
  <c r="G9" i="18" s="1"/>
  <c r="M9" i="2"/>
  <c r="M9" i="4"/>
  <c r="D9" i="5"/>
  <c r="C9" i="17"/>
  <c r="G9" i="17" s="1"/>
  <c r="C9" i="6" l="1"/>
  <c r="J9" i="6" s="1"/>
  <c r="L9" i="2"/>
  <c r="AK9" i="7"/>
  <c r="AB9" i="7"/>
  <c r="AI9" i="7" s="1"/>
  <c r="L9" i="1"/>
  <c r="C9" i="1"/>
  <c r="J9" i="1" s="1"/>
  <c r="L9" i="5"/>
  <c r="C9" i="5"/>
  <c r="J9" i="5" s="1"/>
  <c r="AD9" i="4"/>
  <c r="U9" i="4"/>
  <c r="AB9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2" authorId="0" shapeId="0" xr:uid="{00000000-0006-0000-0C00-000001000000}">
      <text>
        <r>
          <rPr>
            <sz val="11"/>
            <color theme="1"/>
            <rFont val="Calibri"/>
            <scheme val="minor"/>
          </rPr>
          <t>แยกแต่ละสำนักไม่ได้</t>
        </r>
      </text>
    </comment>
  </commentList>
</comments>
</file>

<file path=xl/sharedStrings.xml><?xml version="1.0" encoding="utf-8"?>
<sst xmlns="http://schemas.openxmlformats.org/spreadsheetml/2006/main" count="3032" uniqueCount="374">
  <si>
    <r>
      <rPr>
        <b/>
        <sz val="12"/>
        <color theme="1"/>
        <rFont val="Calibri"/>
      </rPr>
      <t xml:space="preserve">แผนงาน งบประมาณ และผลการดำเนินงาน รายกิจกรรม ตาม พรบ. งบประมาณ 2565 </t>
    </r>
    <r>
      <rPr>
        <sz val="12"/>
        <color rgb="FFFF0000"/>
        <rFont val="Calibri"/>
      </rPr>
      <t>(ผลการเบิกจ่าย ข้อมูลจาก กลุ่มงบประมาณ สำนักบริหารกลาง ณ 31 มี.ค. 65 / ผลการดำเนินงาน ข้อมูลจาก Google Sheet ณ 1 เม.ย. 65)</t>
    </r>
  </si>
  <si>
    <t xml:space="preserve">            โครงการ</t>
  </si>
  <si>
    <t>แผนงานยุทธศาสตร์การเกษตรสร้างมูลค่า</t>
  </si>
  <si>
    <t xml:space="preserve">โครงการระบบส่งเสริมเกษตรแบบแปลงใหญ่ </t>
  </si>
  <si>
    <t xml:space="preserve">กิจกรรมส่งเสริมเกษตรแบบแปลงใหญ่  </t>
  </si>
  <si>
    <t>งบประมาณ (งบดำเนินงาน)</t>
  </si>
  <si>
    <t>อบรมเกษตรกร 
 เป้าหมาย 40 แปลง / 1,909 ราย</t>
  </si>
  <si>
    <t>สนับสนุนปัจจัยการผลิต
(เฉพาะแปลงใหญ่
ปี 2565) 
เป้าหมาย 605 ราย</t>
  </si>
  <si>
    <t xml:space="preserve">      ส.ป.ก.จังหวัด      
     สำนัก/กอง/ศูนย์</t>
  </si>
  <si>
    <t>แผนงบประมาณ (บาท)</t>
  </si>
  <si>
    <t>โอนจัดสรร</t>
  </si>
  <si>
    <t>ผลการเบิกจ่าย</t>
  </si>
  <si>
    <t xml:space="preserve">รวม
</t>
  </si>
  <si>
    <t>แปลงใหญ่ปีที่ 1 
(2565) : เป้าหมาย 13 แปลง/ 605 ราย</t>
  </si>
  <si>
    <t>แปลงใหญ่ปีที่ 2
(2564) : เป้าหมาย 14 แปลง / 683 ราย</t>
  </si>
  <si>
    <t>แปลงใหญ่ปีที่ 3 
(2563) : เป้าหมาย 13 แปลง / 621 ราย</t>
  </si>
  <si>
    <t>รวม
(1)+(2)+(3)</t>
  </si>
  <si>
    <t>รวม
(1)+(2)</t>
  </si>
  <si>
    <t>ค่าบริหาร
สำนักงาน 
(1)</t>
  </si>
  <si>
    <t>เนื้องาน
(2)</t>
  </si>
  <si>
    <t>งบลงทุน
(3)</t>
  </si>
  <si>
    <t>งบดำเนินงาน</t>
  </si>
  <si>
    <t>งบดำเนินงาน+งบลงทุน</t>
  </si>
  <si>
    <t>งบลงทุน</t>
  </si>
  <si>
    <t>แผนงาน</t>
  </si>
  <si>
    <t>ผลงาน</t>
  </si>
  <si>
    <t>บาท</t>
  </si>
  <si>
    <t>ร้อยละ</t>
  </si>
  <si>
    <t>ร้อยละ(ได้รับ)</t>
  </si>
  <si>
    <t>ร้อยละ(จัดสรร)</t>
  </si>
  <si>
    <t>แปลง</t>
  </si>
  <si>
    <t>ราย</t>
  </si>
  <si>
    <t>(ราย)</t>
  </si>
  <si>
    <t>ร้อยละ 
(ราย)</t>
  </si>
  <si>
    <t>รวมทั้งสิ้น (1 + 2 + 3)</t>
  </si>
  <si>
    <t>1. รวม ส.ป.ก.จังหวัด</t>
  </si>
  <si>
    <t xml:space="preserve">   2.1 สำนัก/กอง/ศูนย์</t>
  </si>
  <si>
    <t xml:space="preserve">   2.2 สำรองนโยบาย (รวมฝึกอบรมสัมมนาบริหาร)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</si>
  <si>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</si>
  <si>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</si>
  <si>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</si>
  <si>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</si>
  <si>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</si>
  <si>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</si>
  <si>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</si>
  <si>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</si>
  <si>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</si>
  <si>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</si>
  <si>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</si>
  <si>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</si>
  <si>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</si>
  <si>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</si>
  <si>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</si>
  <si>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</si>
  <si>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</si>
  <si>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</si>
  <si>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</si>
  <si>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</si>
  <si>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</si>
  <si>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</si>
  <si>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</si>
  <si>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</si>
  <si>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</si>
  <si>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</si>
  <si>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</si>
  <si>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</si>
  <si>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</si>
  <si>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</si>
  <si>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</si>
  <si>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</si>
  <si>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</si>
  <si>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</si>
  <si>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</si>
  <si>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</si>
  <si>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</si>
  <si>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</si>
  <si>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</si>
  <si>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</si>
  <si>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</si>
  <si>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</si>
  <si>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</si>
  <si>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</si>
  <si>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</si>
  <si>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</si>
  <si>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</si>
  <si>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</si>
  <si>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</si>
  <si>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</si>
  <si>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</si>
  <si>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</si>
  <si>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</si>
  <si>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</si>
  <si>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</si>
  <si>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</si>
  <si>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</si>
  <si>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</si>
  <si>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</si>
  <si>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</si>
  <si>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</si>
  <si>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</si>
  <si>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</si>
  <si>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</si>
  <si>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</si>
  <si>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</si>
  <si>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</si>
  <si>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</si>
  <si>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</si>
  <si>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</si>
  <si>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</si>
  <si>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</si>
  <si>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</si>
  <si>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</si>
  <si>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</si>
  <si>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</si>
  <si>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</si>
  <si>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</si>
  <si>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</si>
  <si>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</si>
  <si>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</si>
  <si>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</si>
  <si>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</si>
  <si>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</si>
  <si>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</si>
  <si>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</si>
  <si>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</si>
  <si>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</si>
  <si>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</si>
  <si>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</si>
  <si>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</si>
  <si>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</si>
  <si>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</si>
  <si>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</si>
  <si>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</si>
  <si>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</si>
  <si>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</si>
  <si>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</si>
  <si>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งบประชาสัมพันธ์</t>
  </si>
  <si>
    <t>ผู้บริหาร</t>
  </si>
  <si>
    <t>ผู้ตรวจ</t>
  </si>
  <si>
    <t>รายจ่ายภาครัฐ0ส่วนกลาง</t>
  </si>
  <si>
    <t>อบรม นบต. นบก. นบส. พระปกเกล้า และอื่นๆ</t>
  </si>
  <si>
    <t>อบรมบุคลากร สพท.</t>
  </si>
  <si>
    <t>เงินสำรองที่อยู่ส่วนกลาง ไม่มีเจ้าของ(บริหารจังหวัด)</t>
  </si>
  <si>
    <t>เบิกแทนกัน</t>
  </si>
  <si>
    <r>
      <rPr>
        <b/>
        <sz val="12"/>
        <color theme="1"/>
        <rFont val="Calibri"/>
      </rPr>
      <t xml:space="preserve">แผนงาน งบประมาณ และผลการดำเนินงาน รายกิจกรรม ตาม พรบ. งบประมาณ 2565 </t>
    </r>
    <r>
      <rPr>
        <sz val="12"/>
        <color rgb="FFFF0000"/>
        <rFont val="Calibri"/>
      </rPr>
      <t>(ผลการเบิกจ่าย ข้อมูลจาก กลุ่มงบประมาณ สำนักบริหารกลาง ณ 31 มี.ค. 65 / ผลการดำเนินงาน ข้อมูลจาก Google Sheet ณ 1 เม.ย. 65)</t>
    </r>
  </si>
  <si>
    <t>โครงการส่งเสริมการผลิตสินค้าเกษตรเศรษฐกิจชีวภาพตามความต้องการของตลาด (พืชสมุนไพร แมลงเศรษฐกิจ และไม้มีค่า)</t>
  </si>
  <si>
    <t xml:space="preserve">กิจกรรมส่งเสริมการแปรรูปสมุนไพรด้วยโรงอบพลังงานแสงอาทิตย์ต้นทุนต่ำในเขตปฏิรูปที่ดินงบประมาณ  </t>
  </si>
  <si>
    <t>การเตรียมการ (การจัดทำฐานข้อมูลสมุนไพรและแผนการผลิตคามความต้องการตลาด) เป้าหมาย 32 จังหวัด</t>
  </si>
  <si>
    <t>การอบรมเกษตรกร : เป้าหมาย 150 ราย 
(ผู้เข้าร่วมโครงการอบรมคนละ 3 หลักสูตร ตั้งแต่หลักสูตรที่ 1-3)</t>
  </si>
  <si>
    <t>จัดทำโรงอบ (งบลงทุน) 
เป้าหมาย 40 แห่ง</t>
  </si>
  <si>
    <t>รวม</t>
  </si>
  <si>
    <t xml:space="preserve">หลักสูตรที่ 1 
</t>
  </si>
  <si>
    <t xml:space="preserve">หลักสูตรที่ 2 
</t>
  </si>
  <si>
    <t xml:space="preserve">หลักสูตรที่ 3 
</t>
  </si>
  <si>
    <t>(จังหวัด)</t>
  </si>
  <si>
    <t>จังหวัด</t>
  </si>
  <si>
    <t>(แห่ง)</t>
  </si>
  <si>
    <t>แห่ง</t>
  </si>
  <si>
    <r>
      <rPr>
        <b/>
        <sz val="12"/>
        <color theme="1"/>
        <rFont val="Calibri"/>
      </rPr>
      <t xml:space="preserve">แผนงาน งบประมาณ และผลการดำเนินงาน รายกิจกรรม ตาม พรบ. งบประมาณ 2565 </t>
    </r>
    <r>
      <rPr>
        <sz val="12"/>
        <color rgb="FFFF0000"/>
        <rFont val="Calibri"/>
      </rPr>
      <t>(ผลการเบิกจ่าย ข้อมูลจาก กลุ่มงบประมาณ สำนักบริหารกลาง ณ 31 มี.ค. 65 / ผลการดำเนินงาน ข้อมูลจาก Google Sheet ณ 1 เม.ย. 65)</t>
    </r>
  </si>
  <si>
    <t xml:space="preserve">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</si>
  <si>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</si>
  <si>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t>อบรมเกษตรกร 
เป้าหมาย 500 ราย</t>
  </si>
  <si>
    <t>ขอรับการรับรองมาตรฐานสินค้า 
เป้าหมาย  500 ราย</t>
  </si>
  <si>
    <r>
      <rPr>
        <b/>
        <sz val="12"/>
        <color theme="1"/>
        <rFont val="Calibri"/>
      </rPr>
      <t xml:space="preserve">แผนงาน งบประมาณ และผลการดำเนินงาน รายกิจกรรม ตาม พรบ. งบประมาณ 2565 </t>
    </r>
    <r>
      <rPr>
        <sz val="12"/>
        <color rgb="FFFF0000"/>
        <rFont val="Calibri"/>
      </rPr>
      <t>(ผลการเบิกจ่าย ข้อมูลจาก กลุ่มงบประมาณ สำนักบริหารกลาง ณ 31 มี.ค. 65 / ผลการดำเนินงาน ข้อมูลจาก Google Sheet ณ 1 เม.ย. 65)</t>
    </r>
  </si>
  <si>
    <t xml:space="preserve"> แผนงานบูรณาการพัฒนาและส่งเสริมเศรษฐกิจฐานราก</t>
  </si>
  <si>
    <t>โครงการส่งเสริมและพัฒนาอาชีพเพื่อแก้ไขปัญหาที่ดินทำกินของเกษตรกร</t>
  </si>
  <si>
    <t xml:space="preserve">กิจกรรมยกระดับรายได้เกษตรกรในเขตปฏิรูปที่ดินเพื่อลดความเหลื่อมล้ำ  </t>
  </si>
  <si>
    <t xml:space="preserve">กิจกรรมบริหารจัดการพื้นที่ที่ดินแปลงรวม  </t>
  </si>
  <si>
    <t>ฝึกอบรมเชิงปฏิบัติการ /สนับสนุนปัจจัยการผลิต
เป้าหมาย 300 ราย</t>
  </si>
  <si>
    <t>ประสาน/สำรวจพื้นที่/
ประสานหน่วยงานที่เกี่ยวข้อง 
เป้าหมาย 31 พื้นที่</t>
  </si>
  <si>
    <t>ฝึกอบรมเชิงปฏิบัติการ 
เป้าหมาย 300 ราย</t>
  </si>
  <si>
    <t>สนับสนุนปัจจัยการผลิต
เป้าหมาย 300 ราย</t>
  </si>
  <si>
    <t>(พื้นที่)</t>
  </si>
  <si>
    <t>พื้นที่</t>
  </si>
  <si>
    <r>
      <rPr>
        <b/>
        <sz val="12"/>
        <color theme="1"/>
        <rFont val="Calibri"/>
      </rPr>
      <t xml:space="preserve">แผนงาน งบประมาณ และผลการดำเนินงาน รายกิจกรรม ตาม พรบ. งบประมาณ 2565 </t>
    </r>
    <r>
      <rPr>
        <sz val="12"/>
        <color rgb="FFFF0000"/>
        <rFont val="Calibri"/>
      </rPr>
      <t>(ผลการเบิกจ่าย ข้อมูลจาก กลุ่มงบประมาณ สำนักบริหารกลาง ณ 31 มี.ค. 65 / ผลการดำเนินงาน ข้อมูลจาก Google Sheet ณ 1 เม.ย. 65)</t>
    </r>
  </si>
  <si>
    <t>แผนงานยุทธศาสตร์เสริมสร้างพลังทางสังคม</t>
  </si>
  <si>
    <t xml:space="preserve"> โครงการส่งเสริมการดำเนินงานอันเนื่องมาจากพระราชดำริ</t>
  </si>
  <si>
    <t xml:space="preserve">กิจกรรมพัฒนาตามแนวทางพระราชดำริ </t>
  </si>
  <si>
    <t>1) คลินิกเกษตร 
เป้าหมาย 288 ครั้ง</t>
  </si>
  <si>
    <t>2) อพ.สธ. 
เป้าหมาย 203 โรงเรียน</t>
  </si>
  <si>
    <t>3)  โครงการเพิ่มศักยภาพระบบงานเกษตรฯ 
เป้าหมาย 58 โรงเรียน</t>
  </si>
  <si>
    <t>4) การส่งเสริมการปลูกหญ้าแฝก 
เป้าหมาย 2,857,800 กล้า</t>
  </si>
  <si>
    <t>(5) โครงการอันเนื่องมาจากพระราชดำริพัฒนาความรู้ 12 โครงการ 
เป้าหมาย 960 ราย</t>
  </si>
  <si>
    <t xml:space="preserve">รวมอบรม (หญ้าแฝก+พัฒนาองค์ความรู้ 12 โครงการ)
 เป้าหมาย 1,200 ราย
</t>
  </si>
  <si>
    <t>แผนงบ
ประมาณ</t>
  </si>
  <si>
    <t>ออกหน่วยบริการ
คลินิกเกษตรเคลื่อนที่</t>
  </si>
  <si>
    <t>เกษตรกรใช้บริการคลินิก</t>
  </si>
  <si>
    <t>จัดฝึกอบรม</t>
  </si>
  <si>
    <t>สนับสนุนปัจจัยการผลิต</t>
  </si>
  <si>
    <t>ฝึกอบรมเด็กและเยาวชน</t>
  </si>
  <si>
    <t xml:space="preserve"> การส่งเสริมการปลูกหญ้าแฝก</t>
  </si>
  <si>
    <t>ฝึกอบรม</t>
  </si>
  <si>
    <t>อบรมเกษตรกร</t>
  </si>
  <si>
    <t>บริการเบ็ดเสร็จ</t>
  </si>
  <si>
    <t>บริการต่อเนื่อง</t>
  </si>
  <si>
    <t>ประสานขอรับพันธุ์</t>
  </si>
  <si>
    <t>ปลูกหญ้าแฝก</t>
  </si>
  <si>
    <t>(บาท)</t>
  </si>
  <si>
    <t>(ครั้ง)</t>
  </si>
  <si>
    <t>ครั้ง</t>
  </si>
  <si>
    <t>(โรงเรียน)</t>
  </si>
  <si>
    <t>โรงเรียน</t>
  </si>
  <si>
    <t>(กล้า)</t>
  </si>
  <si>
    <t>กล้า</t>
  </si>
  <si>
    <r>
      <rPr>
        <b/>
        <sz val="12"/>
        <color theme="1"/>
        <rFont val="Calibri"/>
      </rPr>
      <t xml:space="preserve">แผนงาน งบประมาณ และผลการดำเนินงาน รายกิจกรรม ตาม พรบ. งบประมาณ 2565 </t>
    </r>
    <r>
      <rPr>
        <sz val="12"/>
        <color rgb="FFFF0000"/>
        <rFont val="Calibri"/>
      </rPr>
      <t>(ผลการเบิกจ่าย ข้อมูลจาก กลุ่มงบประมาณ สำนักบริหารกลาง ณ 31 มี.ค. 65 / ผลการดำเนินงาน ข้อมูลจาก Google Sheet ณ 1 เม.ย. 65)</t>
    </r>
  </si>
  <si>
    <t xml:space="preserve">แผนงานยุทธศาสตร์เสริมสร้างพลังทางสังคม </t>
  </si>
  <si>
    <t>โครงการส่งเสริมการดำเนินงานอันเนื่องมาจากพระราชดำริ</t>
  </si>
  <si>
    <t xml:space="preserve"> กิจกรรมพัฒนาและส่งเสริมศิลปหัตถกรรม</t>
  </si>
  <si>
    <t>การฝึกอบรมเกษตรกร เป้าหมาย 1,000 ราย</t>
  </si>
  <si>
    <t xml:space="preserve">รวม 
</t>
  </si>
  <si>
    <t>ฝึกอบรมโดย : ส.ป.ก.จังหวัด 
เป้าหมาย 800 ราย</t>
  </si>
  <si>
    <t>ฝึกอบรมโดย : ศพส.
เป้าหมาย 200 ราย</t>
  </si>
  <si>
    <r>
      <rPr>
        <b/>
        <sz val="12"/>
        <color theme="1"/>
        <rFont val="Calibri"/>
      </rPr>
      <t xml:space="preserve">แผนงาน งบประมาณ และผลการดำเนินงาน รายกิจกรรม ตาม พรบ. งบประมาณ 2565 </t>
    </r>
    <r>
      <rPr>
        <sz val="12"/>
        <color rgb="FFFF0000"/>
        <rFont val="Calibri"/>
      </rPr>
      <t>(ผลการเบิกจ่าย ข้อมูลจาก กลุ่มงบประมาณ สำนักบริหารกลาง ณ 31 มี.ค. 65 / ผลการดำเนินงาน ข้อมูลจาก Google Sheet ณ 1 เม.ย. 65)</t>
    </r>
  </si>
  <si>
    <t>แผนงานบูรณาการพัฒนาและส่งเสริมเศรษฐกิจฐานราก</t>
  </si>
  <si>
    <t>โครงการพัฒนาเกษตรกรปราดเปรื่อง (Smart Farmer)</t>
  </si>
  <si>
    <t>โครงการพัฒนาเกษตรกรปราดเปรื่องในเขตปฏิรูปที่ดิน (Smart Farmer)</t>
  </si>
  <si>
    <t xml:space="preserve"> กิจกรรมสร้างและพัฒนาเกษตรกรรุ่นใหม่  </t>
  </si>
  <si>
    <t xml:space="preserve">กิจกรรมพัฒนาเกษตรกรปราดเปรื่องในเขตปฏิรูปที่ดิน (Smart Farmer) </t>
  </si>
  <si>
    <t>พัฒนาพื้นที่/จัดตั้งศูนย์ต้นแบบ/องค์ความรู้ 
เป้าหมาย 30 แห่ง</t>
  </si>
  <si>
    <t>พัฒนาเกษตรกร 
(ฝึกอบรมและขยายผล
องค์ความรู้)
เป้าหมาย 700 ราย</t>
  </si>
  <si>
    <t>สนับสนุนปัจจัยการผลิต 
เป้าหมาย 700 ราย</t>
  </si>
  <si>
    <t>คัดเลือกเกษตรกรต้นแบบ เป้าหมายจังหวัดละ 1 ราย
เป้าหมาย 30 ราย</t>
  </si>
  <si>
    <t xml:space="preserve"> พัฒนาเกษตรกร 
(ฝึกอบรมและขยายผลองค์ความรู้ฯ)
เป้าหมาย 800 ราย</t>
  </si>
  <si>
    <r>
      <rPr>
        <b/>
        <sz val="12"/>
        <color theme="1"/>
        <rFont val="Calibri"/>
      </rPr>
      <t xml:space="preserve">แผนงาน งบประมาณ และผลการดำเนินงาน ตาม พรบ. งบประมาณ 2565 </t>
    </r>
    <r>
      <rPr>
        <sz val="12"/>
        <color rgb="FFFF0000"/>
        <rFont val="Calibri"/>
      </rPr>
      <t>(ผลการเบิกจ่าย ข้อมูลจาก กลุ่มงบประมาณ สำนักบริหารกลาง ณ 31 มี.ค. 65 / ผลการดำเนินงาน ข้อมูลจาก ALRO Land Online ณ 1 เม.ย. 65)</t>
    </r>
  </si>
  <si>
    <t>โครงการบริหารจัดการที่ดินทำกินแก่เกษตรกรรายย่อยและผู้ด้อยโอกาส</t>
  </si>
  <si>
    <t xml:space="preserve">กิจกรรมจัดที่ดิน </t>
  </si>
  <si>
    <t>กิจกรรมจัดที่ดิน</t>
  </si>
  <si>
    <t>จัดที่ดิน แปลงเกษตรกรรม เป้าหมาย 23,500 ราย</t>
  </si>
  <si>
    <t>งานพื้นที่คงเหลือ</t>
  </si>
  <si>
    <t>จัดที่ดินแทนที่</t>
  </si>
  <si>
    <t>แผนมอบ ส.ป.ก.4-01 ภายในไตรมาส 2 (60%)</t>
  </si>
  <si>
    <t>ผลการดำเนินงาน</t>
  </si>
  <si>
    <t>เป้าหมาย 86,000 ราย</t>
  </si>
  <si>
    <t>เป้าหมาย 14,900 ราย</t>
  </si>
  <si>
    <t>จัดที่ดิน</t>
  </si>
  <si>
    <t>รังวัด</t>
  </si>
  <si>
    <t>สอบสิทธิ</t>
  </si>
  <si>
    <t>คปจ.</t>
  </si>
  <si>
    <t>มอบ ส.ป.ก.4-01</t>
  </si>
  <si>
    <t>(ไร่)</t>
  </si>
  <si>
    <t>ไร่</t>
  </si>
  <si>
    <t>ร้อยละ 
(ไร่)</t>
  </si>
  <si>
    <t>แผนงาน
(ไร่)</t>
  </si>
  <si>
    <t>แผนงาน
(ราย)</t>
  </si>
  <si>
    <r>
      <rPr>
        <b/>
        <sz val="12"/>
        <color theme="1"/>
        <rFont val="Calibri"/>
      </rPr>
      <t>แผนงาน งบประมาณ  และผลการดำเนินงาน กิจกรรมที่ใช้งบประมาณกองทุนฯ</t>
    </r>
    <r>
      <rPr>
        <sz val="12"/>
        <color rgb="FF0000FF"/>
        <rFont val="Calibri"/>
      </rPr>
      <t xml:space="preserve"> (ผลการเบิกจ่ายและผลการดำเนินงาน ข้อมูลจาก Google Sheet ข้อมูล ณ 31 มี.ค. 65)</t>
    </r>
  </si>
  <si>
    <t>1. โครงการส่งเสริมเกษตรอินทรีย์ในเขตปฏิรูปที่ดิน</t>
  </si>
  <si>
    <t>งบประมาณ (บาท)</t>
  </si>
  <si>
    <t xml:space="preserve">อบรมเกษตรกร เป้าหมาย 2,805 ราย </t>
  </si>
  <si>
    <t>สนับสนุนปัจจัยการผลิต 
เป้าหมาย 8,480 ไร่ (พื้นที่ขั้นที่ 1 + พื้นที่ขั้นที่ 2-3)</t>
  </si>
  <si>
    <t>1.หลักสูตรสำหรับสร้างและพัฒนากลไกเพื่อขับเคลื่อนงานเกษตรอินทรีย์ในเขตปฏิรูปที่ดิน 
(โดย สพท.) 
เป้าหมาย : 120 ราย</t>
  </si>
  <si>
    <t>2. จัดฝึกอบรมโดยใช้กระบวนการโรงเรียน (โดย ส.ป.ก.จังหวัด)</t>
  </si>
  <si>
    <t>3. หลักสูตรสำหรับการเพิ่มช่องทางบริหารจัดการตลาดสินค้าเกษตรอินทรีย์โดยตรงถึงผู้บริโภค (โดย สพท.)</t>
  </si>
  <si>
    <t>กลุ่ม/พื้นที่เดิม (ขั้นที่ 2-3)</t>
  </si>
  <si>
    <t>กลุ่ม/พื้นที่ใหม่ (ขั้นที่ 1)</t>
  </si>
  <si>
    <t xml:space="preserve">พื้นที่ใหม่ (ขั้นที่ 1)
</t>
  </si>
  <si>
    <t xml:space="preserve">พื้นที่เดิม (ขั้นที่ 2-3)
</t>
  </si>
  <si>
    <t>ส.ป.ก.จังหวัด
สำนัก/กอง/ศูนย์</t>
  </si>
  <si>
    <t>ค่าบริหาร
สำนักงาน</t>
  </si>
  <si>
    <t>เนื้องาน</t>
  </si>
  <si>
    <t>(รวม)</t>
  </si>
  <si>
    <t xml:space="preserve">   2.3. ค่าใช้จ่ายบุคลากรภาครัฐ (ถ้ามี)</t>
  </si>
  <si>
    <r>
      <rPr>
        <b/>
        <sz val="12"/>
        <color theme="1"/>
        <rFont val="Calibri"/>
      </rPr>
      <t>แผนงาน งบประมาณ  และผลการดำเนินงาน กิจกรรมที่ใช้งบประมาณกองทุนฯ</t>
    </r>
    <r>
      <rPr>
        <sz val="12"/>
        <color rgb="FF0000FF"/>
        <rFont val="Calibri"/>
      </rPr>
      <t xml:space="preserve"> (ผลการเบิกจ่ายและผลการดำเนินงาน ข้อมูลจาก Google Sheet ข้อมูล ณ 31 มี.ค. 65)</t>
    </r>
  </si>
  <si>
    <t>2. โครงการส่งเสริมระบบวนเกษตรในเขตปฏิรูปที่ดิน</t>
  </si>
  <si>
    <t>อบรมเกษตรกร
 เป้าหมาย 4,500 ราย</t>
  </si>
  <si>
    <t>สนับสนุนปัจจัยการผลิต 
เป้าหมาย 4,500 ราย / 45,000 ไร่</t>
  </si>
  <si>
    <r>
      <rPr>
        <b/>
        <sz val="12"/>
        <color theme="1"/>
        <rFont val="Calibri"/>
      </rPr>
      <t>แผนงาน งบประมาณ  และผลการดำเนินงาน กิจกรรมที่ใช้งบประมาณกองทุนฯ</t>
    </r>
    <r>
      <rPr>
        <sz val="12"/>
        <color rgb="FF0000FF"/>
        <rFont val="Calibri"/>
      </rPr>
      <t xml:space="preserve"> (ผลการเบิกจ่ายและผลการดำเนินงาน ข้อมูลจาก Google Sheet ข้อมูล ณ 31 มี.ค. 65)</t>
    </r>
  </si>
  <si>
    <t>3. โครงการส่งเสริมและพัฒนาเกษตรทฤษฎีใหม่ในเขตปฏิรูปที่ดิน</t>
  </si>
  <si>
    <t xml:space="preserve">อบรมเกษตรกร เป้าหมาย : พื้นที่ 10,800 ไร่ เกษตรกร 3,600 ราย </t>
  </si>
  <si>
    <t>สนับสนุนวัสดุการเกษตร</t>
  </si>
  <si>
    <t>รวม (ขั้นที่ 1+ขั้นที่ 2+ขั้นที่ 3)</t>
  </si>
  <si>
    <t>ขั้นที่ 1 (จังหวัดกำหนด) 
เป้าหมายหลักสูตรละ 843 ราย (อบรมรายละ 2 หลักสูตร)</t>
  </si>
  <si>
    <t>ขั้นที่ 2 (50% ของผลปี 2564) 
เป้าหมายหลักสูตรละ 1,949 ราย (อบรมรายละ 3 หลักสูตร)</t>
  </si>
  <si>
    <t>ขั้นที่ 3 (ขั้นที่ 2 ปี 2564) 
เป้าหมายหลักสูตรละ 808 ราย (อบรมรายละ 2 หลักสูตร)</t>
  </si>
  <si>
    <t>ขั้นที่ 1</t>
  </si>
  <si>
    <t>ขั้นที่ 2</t>
  </si>
  <si>
    <t>รวม
(ดำเนินการแล้วเสร็จทั้ง 2 หลักสูตร)</t>
  </si>
  <si>
    <t xml:space="preserve">"สร้างแรงบันดาลใจในการเปลี่ยนเป็นเกษตรทฤษฎีใหม่" </t>
  </si>
  <si>
    <t xml:space="preserve">"การเปลี่ยนแปลงวิธีทำเกษตรแบบเดิมสู่เกษตรทฤษฎีใหม่" </t>
  </si>
  <si>
    <t>รวม
(ดำเนินการแล้วเสร็จทั้ง 3 หลักสูตร)</t>
  </si>
  <si>
    <t>การส่งเสริมการรวมกลุ่ม</t>
  </si>
  <si>
    <t>การเพิ่มมูลค่าผลผลิตและการแปรรูปในรูปแบบกลุ่ม</t>
  </si>
  <si>
    <t xml:space="preserve">การบริหารจัดการตลาด </t>
  </si>
  <si>
    <t xml:space="preserve">มาตรฐาน
การผลิต  </t>
  </si>
  <si>
    <t xml:space="preserve">การพัฒนาบรรจุภัณฑ์  </t>
  </si>
  <si>
    <r>
      <rPr>
        <b/>
        <sz val="12"/>
        <color theme="1"/>
        <rFont val="Calibri"/>
      </rPr>
      <t>แผนงาน งบประมาณ  และผลการดำเนินงาน กิจกรรมที่ใช้งบประมาณกองทุนฯ</t>
    </r>
    <r>
      <rPr>
        <sz val="12"/>
        <color rgb="FF0000FF"/>
        <rFont val="Calibri"/>
      </rPr>
      <t xml:space="preserve"> (ผลการเบิกจ่ายและผลการดำเนินงาน ข้อมูลจาก Google Sheet ข้อมูล ณ 31 มี.ค. 65)</t>
    </r>
  </si>
  <si>
    <t>4. โครงการพัฒนาธุรกิจชุมชนในเขตปฏิรูปที่ดิน</t>
  </si>
  <si>
    <t>อบรมเกษตรกร 
เป้าหมาย 2,000 ราย</t>
  </si>
  <si>
    <t>อบรมโดย ส.ป.ก. จังหวัด 
เป้าหมาย 1,784 ราย</t>
  </si>
  <si>
    <t>หลักสูตร การพัฒนาช่องทางด้านการตลาดสินค้าเกษตรออนไลน์ 
โดย สพท.
เป้าหมาย 360 ราย</t>
  </si>
  <si>
    <t>รวม
(หลักสูตร 1 + หลักสูตร 2)</t>
  </si>
  <si>
    <t xml:space="preserve">1.หลักสูตรการแปรรูปและการพัฒนาสินค้า การตลาดและการบริหารจัดการธุรกิจ   </t>
  </si>
  <si>
    <t>2.หลักสูตรการสร้างความเข้มแข็งและพัฒธุรกิจของสหกรณ์การเกษตรในเขตปฏิรูปที่ดิน</t>
  </si>
  <si>
    <r>
      <rPr>
        <b/>
        <sz val="12"/>
        <color theme="1"/>
        <rFont val="Calibri"/>
      </rPr>
      <t>แผนงาน งบประมาณ  และผลการดำเนินงาน กิจกรรมที่ใช้งบประมาณกองทุนฯ</t>
    </r>
    <r>
      <rPr>
        <sz val="12"/>
        <color rgb="FF0000FF"/>
        <rFont val="Calibri"/>
      </rPr>
      <t xml:space="preserve"> (ผลการเบิกจ่ายและผลการดำเนินงาน ข้อมูลจาก Google Sheet ข้อมูล ณ 31 มี.ค. 65)</t>
    </r>
  </si>
  <si>
    <t>5. โครงการตรวจสอบที่ดินในเขตปฏิรูปที่ดิน (ตรวจสอบการถือครอง (กรณีแผนงานปกติ)</t>
  </si>
  <si>
    <t>5. โครงการตรวจสอบที่ดินในเขตปฏิรูปที่ดิน (กรณีผิดปกติ)</t>
  </si>
  <si>
    <t>5. โครงการตรวจสอบที่ดินในเขตปฏิรูปที่ดิน (ตรวจสอบการใช้ที่ดินผิดวัตถุประสงค์ โดยแผนที่ภาพถ่ายทางอากาศ/ดาวเทียม)</t>
  </si>
  <si>
    <t>ตรวจสอบการถือครอง (กรณีแผนงานปกติ)</t>
  </si>
  <si>
    <t>ตรวจสอบการถือครอง (กรณีผิดปกติ)</t>
  </si>
  <si>
    <t>ตรวจสอบการใช้ที่ดินผิดวัตถุประสงค์ โดยแผนที่ภาพถ่ายทางอากาศ/ดาวเทียม</t>
  </si>
  <si>
    <t>1) ผลการลงพื้นที่หาข้อมูลเบื้องต้นจากผู้ที่น่าเชื่อถือได้</t>
  </si>
  <si>
    <t>2. ผลการพิจารณาของคณะอนุกรรมการฯ</t>
  </si>
  <si>
    <t>3. สรุปผลการตรวจสอบการถือครอง</t>
  </si>
  <si>
    <t>สรุปผลการตรวจสอบ</t>
  </si>
  <si>
    <t xml:space="preserve">ตรวจสอบโดย สผส. </t>
  </si>
  <si>
    <t>ตรวจสอบโดย ส.ป.ก.จังหวัด</t>
  </si>
  <si>
    <t>ผลการตวจสอบ</t>
  </si>
  <si>
    <t>สรุป =1+2+3</t>
  </si>
  <si>
    <t>1.เกษตรกรมีชีวิตอยู่</t>
  </si>
  <si>
    <t>2.เกษตรกรเสียชีวิต</t>
  </si>
  <si>
    <t>ผลการตรวจสอบ</t>
  </si>
  <si>
    <t>ส่งข้อมูลกรณีใช้ที่ผิดวัตถุประสงค์ (2)
 ให้ ส.ป.ก.จังหวัด</t>
  </si>
  <si>
    <t>ใช้ประโยชน์ด้วยตนเอง</t>
  </si>
  <si>
    <t>ไม่ใช้ประโยชน์ในที่ดิน
 (รวมไม่ทราบข้อมูล)</t>
  </si>
  <si>
    <t>เสียชีวิต</t>
  </si>
  <si>
    <t>ไม่ใช้ประโยชน์ในที่ดิน 
(รวมไม่ทราบข้อมูล)</t>
  </si>
  <si>
    <t>เสียชีวิตทายาททำประโยชน์</t>
  </si>
  <si>
    <t>เสียชีวิตบุคคลอื่นทำประโยชน์</t>
  </si>
  <si>
    <t>ไม่มาให้ข้อเท็จจริง</t>
  </si>
  <si>
    <t>บอกเลิกสัญญาเช่า/เช่าซื้อ</t>
  </si>
  <si>
    <t>ปฏิบัติตามระเบียบ
 (ผลจากการลงพื้นที่/ยุตติเรื่อง)</t>
  </si>
  <si>
    <t>ไม่ปฏิบัติตามระเบียบ
 (หลังจากทำหนังสือแจ้งเตือน/แจ้งสิทธิ)</t>
  </si>
  <si>
    <t xml:space="preserve"> คปจ.สั่งให้สิ้นสิทธิ์</t>
  </si>
  <si>
    <t>เสียชีวิต
 ทายาททำประโยชน์</t>
  </si>
  <si>
    <t xml:space="preserve"> เสียชีวิต 
บุคคลอื่นทำประโยชน์</t>
  </si>
  <si>
    <t>รวม (1+2)</t>
  </si>
  <si>
    <t>1.ใช้ที่ดินตามวัตถุประสงค์</t>
  </si>
  <si>
    <t>2.ใช้ที่ดินผิดวัตถุประสงค์</t>
  </si>
  <si>
    <t>ใช้ที่ดินตามวัตถุประสงค์</t>
  </si>
  <si>
    <t>ใช้ที่ดินผิดวัตถุประสงค์</t>
  </si>
  <si>
    <t>อื่น ๆ</t>
  </si>
  <si>
    <r>
      <rPr>
        <b/>
        <sz val="12"/>
        <color theme="1"/>
        <rFont val="Calibri"/>
      </rPr>
      <t>แผนงาน งบประมาณ  และผลการดำเนินงาน กิจกรรมที่ใช้งบประมาณกองทุนฯ</t>
    </r>
    <r>
      <rPr>
        <sz val="12"/>
        <color rgb="FF0000FF"/>
        <rFont val="Calibri"/>
      </rPr>
      <t xml:space="preserve"> (ผลการเบิกจ่ายและผลการดำเนินงาน ข้อมูลจาก Google Sheet ข้อมูล ณ 31 มี.ค. 65)</t>
    </r>
  </si>
  <si>
    <t>6. โครงการพัฒนาผู้แทนเกษตรกร</t>
  </si>
  <si>
    <t xml:space="preserve">อบรมเกษตรกร 
เป้าหมาย 1,584 ราย </t>
  </si>
  <si>
    <t xml:space="preserve">หลักสูตรสำหรับการพัฒนาผู้แทนเกษตรกรในระดับพื้นที่ 
โดย : ส.ป.ก.จังหวัด </t>
  </si>
  <si>
    <t xml:space="preserve">หลักสูตรสำหรับการพัฒนาภาวะผู้นำแก่ผู้นำเกษตรกร 
โดย สพท. </t>
  </si>
  <si>
    <r>
      <rPr>
        <b/>
        <sz val="12"/>
        <color theme="1"/>
        <rFont val="Calibri"/>
      </rPr>
      <t xml:space="preserve">แผนงาน งบประมาณ  และผลการดำเนินงาน กิจกรรมที่ใช้งบประมาณกองทุนฯ </t>
    </r>
    <r>
      <rPr>
        <sz val="12"/>
        <color rgb="FF0000FF"/>
        <rFont val="Calibri"/>
      </rPr>
      <t>(ผลการเบิกจ่าย ข้อมูลจาก Google Sheet ข้อมูล ณ 31 มี.ค. 65 / ผลการดำเนินงาน ข้อมูลจาก สผส. ณ 31 มี.ค. 65)</t>
    </r>
  </si>
  <si>
    <t>7. โครงการสำรวจรังวัดปรับปรุงแผนที่แปลงที่ดินตามมาตรฐาน RTK GNSS Network ในเขตปฏิรูปที่ดิน</t>
  </si>
  <si>
    <t>ปรับปรุงแผนที่แปลงที่ดินตามมาตรฐาน RTK GNSS Network ในเขตปฏิรูปที่ดิน
เป้าหมาย 200,000 ไร่</t>
  </si>
  <si>
    <t>ดำเนินการ โดย ส.ป.ก.จังหวัด
เป้าหมาย 53,000 ไร่</t>
  </si>
  <si>
    <t>ดำเนินการโดย สผส. 
เป้าหมาย 147,000 ไร่</t>
  </si>
  <si>
    <t xml:space="preserve">ร้อยละ </t>
  </si>
  <si>
    <r>
      <rPr>
        <b/>
        <sz val="12"/>
        <color theme="1"/>
        <rFont val="Calibri"/>
      </rPr>
      <t>แผนงาน งบประมาณ  และผลการดำเนินงาน กิจกรรมที่ใช้งบประมาณกองทุนฯ</t>
    </r>
    <r>
      <rPr>
        <sz val="12"/>
        <color rgb="FF1155CC"/>
        <rFont val="Calibri"/>
      </rPr>
      <t xml:space="preserve"> </t>
    </r>
    <r>
      <rPr>
        <sz val="12"/>
        <color rgb="FF0000FF"/>
        <rFont val="Calibri"/>
      </rPr>
      <t>(ผลการเบิกจ่ายและผลการดำเนินงาน ข้อมูลจาก Google Sheet ข้อมูล ณ 31 มี.ค. 65)</t>
    </r>
  </si>
  <si>
    <t>8. โครงการศูนย์บริการประชาชนในเขตปฏิรูปที่ดินเพื่อเกษตรกรรม</t>
  </si>
  <si>
    <t>เป้าหมายผู้มารับบริการ 
เป้าหมาย 136,000 ราย</t>
  </si>
  <si>
    <t>ศูนย์บริการประชาชน
เคลื่อนที่</t>
  </si>
  <si>
    <t>ผู้มารับบริการศูนย์บริการประชาชน (Service Center)</t>
  </si>
  <si>
    <t>ผู้รับบริการจากระบบออนไลน์</t>
  </si>
  <si>
    <t>ออกรับบริการร่วมกับหน่วยงานภายนอกอื่น ๆ</t>
  </si>
  <si>
    <r>
      <rPr>
        <b/>
        <sz val="12"/>
        <color theme="1"/>
        <rFont val="Calibri"/>
      </rPr>
      <t xml:space="preserve">แผนงาน งบประมาณ  และผลการดำเนินงาน กิจกรรมที่ใช้งบประมาณกองทุนฯ </t>
    </r>
    <r>
      <rPr>
        <sz val="12"/>
        <color rgb="FF0000FF"/>
        <rFont val="Calibri"/>
      </rPr>
      <t>(ผลการเบิกจ่าย ข้อมูลจาก Google Sheet ข้อมูล ณ 31 มี.ค. 65 / ผลการดำเนินงาน ข้อมูลจาก ALRO Land Online ข้อมูล ณ 1 เม.ย. 65)</t>
    </r>
  </si>
  <si>
    <t>9. โครงการจัดที่ดินชุมชนแปลงที่อยู่อาศัยของเกษตรกรในเขตปฏิรูปที่ดิน)</t>
  </si>
  <si>
    <t>จัดที่ดินชุมชน  แปลงที่อยุ่อาศัย 
เป้าหมาย 5,813  ราย</t>
  </si>
  <si>
    <t>(แปลง)</t>
  </si>
  <si>
    <t>ร้อยละ
 (แปลง)</t>
  </si>
  <si>
    <t>ร้อยละ
 (ราย)</t>
  </si>
  <si>
    <r>
      <rPr>
        <b/>
        <sz val="12"/>
        <color theme="1"/>
        <rFont val="Calibri"/>
      </rPr>
      <t>แผนงาน งบประมาณ  และผลการดำเนินงาน กิจกรรมที่ใช้งบประมาณกองทุนฯ</t>
    </r>
    <r>
      <rPr>
        <sz val="12"/>
        <color rgb="FF1155CC"/>
        <rFont val="Calibri"/>
      </rPr>
      <t xml:space="preserve"> </t>
    </r>
    <r>
      <rPr>
        <sz val="12"/>
        <color rgb="FF0000FF"/>
        <rFont val="Calibri"/>
      </rPr>
      <t>(ผลการเบิกจ่ายและผลการดำเนินงาน ข้อมูลจาก Google Sheet ข้อมูล ณ 31 มี.ค. 65)</t>
    </r>
  </si>
  <si>
    <t>10. โครงการจัดหาที่ดินเอกชนเพื่อนำมาดำเนินการปฏิรูปที่ดินเพื่อเกษตรกรรม</t>
  </si>
  <si>
    <t xml:space="preserve">แผนงาน </t>
  </si>
  <si>
    <t>1. การจัดหาที่ดินเพื่อการจัดซื้อที่ดินเอกชน ปี 2565 
เป้าหมาย 6,700 ไร่</t>
  </si>
  <si>
    <t>2. จัดซื้อที่ดินงานต่อเนื่อง (ระหว่างปี พ.ศ. 2560 - 2564)
 เป้าหมาย 6,649 ไร่</t>
  </si>
  <si>
    <t>การจัดหาที่ดินฯ 
ปี 2565</t>
  </si>
  <si>
    <t>จัดซื้อที่ดินต่อเนื่องฯ</t>
  </si>
  <si>
    <t>รับคำเสนอขาย</t>
  </si>
  <si>
    <t>ตรวจสอบความถูกต้องหนังสือแสดงสิทธิฯ</t>
  </si>
  <si>
    <t>ตรวจสอบสภาพพื้นที่ แปลงที่ดิน การทำประโยชน์</t>
  </si>
  <si>
    <t xml:space="preserve"> ต่อรองราคาที่ดิน</t>
  </si>
  <si>
    <t>คณะอนุฯ พิจารณาความเหมาะสมของที่ดิน</t>
  </si>
  <si>
    <t xml:space="preserve">
นำเสนอ คปจ.
</t>
  </si>
  <si>
    <t>ประกาศเขตปฏิรูปที่ดินแล้ว</t>
  </si>
  <si>
    <t xml:space="preserve">รวม
</t>
  </si>
  <si>
    <t xml:space="preserve">
ราคาไม่เกิน 1.5 เท่า</t>
  </si>
  <si>
    <t>รังวัดสอบเขต</t>
  </si>
  <si>
    <t>จดทะเบียนสิทธิและนิติกรรม และชำระมูลค่าที่ดิน</t>
  </si>
  <si>
    <t>3.กรณีอื่นๆ
 ( เช่น พื้นที่นอกเขตฯ 
ฐานข้อมูล,คลาดเคลื่อน)</t>
  </si>
  <si>
    <t>2. รวมส่วนกลาง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</si>
</sst>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_-;\-* #,##0_-;_-* &quot;-&quot;_-;_-@"/>
    <numFmt numFmtId="165" formatCode="_-* #,##0.00_-;\-* #,##0.00_-;_-* &quot;-&quot;??_-;_-@"/>
    <numFmt numFmtId="166" formatCode="_-* #,##0_-;\-* #,##0_-;_-* &quot;-&quot;??_-;_-@"/>
    <numFmt numFmtId="167" formatCode="_-* #,##0.00_-;\-* #,##0.00_-;_-* &quot;-&quot;_-;_-@"/>
    <numFmt numFmtId="168" formatCode="_(* #,##0_);_(* \(#,##0\);_(* &quot;-&quot;??_);_(@_)"/>
    <numFmt numFmtId="169" formatCode="_-* #,##0.0_-;\-* #,##0.0_-;_-* &quot;-&quot;??_-;_-@"/>
  </numFmts>
  <fonts count="24">
    <font>
      <sz val="11"/>
      <color theme="1"/>
      <name val="Calibri"/>
      <scheme val="minor"/>
    </font>
    <font>
      <b/>
      <sz val="12"/>
      <color theme="1"/>
      <name val="Calibri"/>
      <scheme val="minor"/>
    </font>
    <font>
      <sz val="11"/>
      <name val="Calibri"/>
    </font>
    <font>
      <b/>
      <sz val="11"/>
      <color theme="1"/>
      <name val="Calibri"/>
      <scheme val="minor"/>
    </font>
    <font>
      <b/>
      <sz val="10"/>
      <color theme="1"/>
      <name val="Calibri"/>
      <scheme val="minor"/>
    </font>
    <font>
      <sz val="12"/>
      <color theme="1"/>
      <name val="Calibri"/>
      <scheme val="minor"/>
    </font>
    <font>
      <b/>
      <sz val="12"/>
      <color rgb="FFFFFFFF"/>
      <name val="Calibri"/>
      <scheme val="minor"/>
    </font>
    <font>
      <b/>
      <sz val="12"/>
      <color theme="0"/>
      <name val="Calibri"/>
      <scheme val="minor"/>
    </font>
    <font>
      <b/>
      <sz val="13"/>
      <color theme="1"/>
      <name val="Sarabun"/>
    </font>
    <font>
      <b/>
      <sz val="15"/>
      <color theme="1"/>
      <name val="Sarabun"/>
    </font>
    <font>
      <b/>
      <sz val="12"/>
      <color theme="1"/>
      <name val="Sarabun"/>
    </font>
    <font>
      <b/>
      <sz val="14"/>
      <color theme="1"/>
      <name val="Sarabun"/>
    </font>
    <font>
      <b/>
      <sz val="10"/>
      <color theme="1"/>
      <name val="Sarabun"/>
    </font>
    <font>
      <sz val="14"/>
      <color theme="1"/>
      <name val="Sarabun"/>
    </font>
    <font>
      <sz val="13"/>
      <color theme="1"/>
      <name val="Sarabun"/>
    </font>
    <font>
      <sz val="15"/>
      <color theme="1"/>
      <name val="Sarabun"/>
    </font>
    <font>
      <sz val="12"/>
      <color theme="1"/>
      <name val="Sarabun"/>
    </font>
    <font>
      <b/>
      <sz val="13"/>
      <color rgb="FFFF0000"/>
      <name val="Sarabun"/>
    </font>
    <font>
      <sz val="13"/>
      <color rgb="FFFF0000"/>
      <name val="Sarabun"/>
    </font>
    <font>
      <b/>
      <sz val="12"/>
      <color theme="1"/>
      <name val="Calibri"/>
    </font>
    <font>
      <sz val="12"/>
      <color rgb="FFFF0000"/>
      <name val="Calibri"/>
    </font>
    <font>
      <sz val="12"/>
      <color rgb="FF0000FF"/>
      <name val="Calibri"/>
    </font>
    <font>
      <sz val="12"/>
      <color rgb="FF1155CC"/>
      <name val="Calibri"/>
    </font>
    <font>
      <b/>
      <sz val="12"/>
      <color theme="4" tint="-0.249977111117893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theme="9"/>
        <bgColor theme="9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DADADA"/>
        <bgColor rgb="FFDADADA"/>
      </patternFill>
    </fill>
    <fill>
      <patternFill patternType="solid">
        <fgColor rgb="FFBAF9B1"/>
        <bgColor rgb="FFBAF9B1"/>
      </patternFill>
    </fill>
    <fill>
      <patternFill patternType="solid">
        <fgColor rgb="FFA4C2F4"/>
        <bgColor rgb="FFA4C2F4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E2EFD9"/>
        <bgColor rgb="FFE2EFD9"/>
      </patternFill>
    </fill>
    <fill>
      <patternFill patternType="solid">
        <fgColor rgb="FFFFD965"/>
        <bgColor rgb="FFFFD965"/>
      </patternFill>
    </fill>
    <fill>
      <patternFill patternType="solid">
        <fgColor rgb="FFFFFF00"/>
        <bgColor rgb="FFFFFF00"/>
      </patternFill>
    </fill>
    <fill>
      <patternFill patternType="solid">
        <fgColor rgb="FF38761D"/>
        <bgColor rgb="FF38761D"/>
      </patternFill>
    </fill>
    <fill>
      <patternFill patternType="solid">
        <fgColor rgb="FF134F5C"/>
        <bgColor rgb="FF134F5C"/>
      </patternFill>
    </fill>
    <fill>
      <patternFill patternType="solid">
        <fgColor rgb="FFCFE2F3"/>
        <bgColor rgb="FFCFE2F3"/>
      </patternFill>
    </fill>
    <fill>
      <patternFill patternType="solid">
        <fgColor rgb="FFFFE598"/>
        <bgColor rgb="FFFFE598"/>
      </patternFill>
    </fill>
    <fill>
      <patternFill patternType="solid">
        <fgColor rgb="FFBDD6EE"/>
        <bgColor rgb="FFBDD6EE"/>
      </patternFill>
    </fill>
    <fill>
      <patternFill patternType="solid">
        <fgColor rgb="FFFFFF99"/>
        <bgColor indexed="64"/>
      </patternFill>
    </fill>
  </fills>
  <borders count="15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914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0" xfId="0" applyFont="1"/>
    <xf numFmtId="164" fontId="1" fillId="0" borderId="0" xfId="0" applyNumberFormat="1" applyFont="1"/>
    <xf numFmtId="165" fontId="1" fillId="0" borderId="0" xfId="0" applyNumberFormat="1" applyFont="1" applyAlignment="1">
      <alignment horizontal="right" vertical="center"/>
    </xf>
    <xf numFmtId="166" fontId="1" fillId="0" borderId="0" xfId="0" applyNumberFormat="1" applyFont="1" applyAlignment="1">
      <alignment horizontal="right" vertical="center"/>
    </xf>
    <xf numFmtId="164" fontId="1" fillId="2" borderId="16" xfId="0" applyNumberFormat="1" applyFont="1" applyFill="1" applyBorder="1" applyAlignment="1">
      <alignment vertical="center" shrinkToFit="1"/>
    </xf>
    <xf numFmtId="164" fontId="1" fillId="2" borderId="17" xfId="0" applyNumberFormat="1" applyFont="1" applyFill="1" applyBorder="1" applyAlignment="1">
      <alignment vertical="center" shrinkToFit="1"/>
    </xf>
    <xf numFmtId="164" fontId="1" fillId="9" borderId="24" xfId="0" applyNumberFormat="1" applyFont="1" applyFill="1" applyBorder="1" applyAlignment="1">
      <alignment horizontal="center" vertical="center" shrinkToFit="1"/>
    </xf>
    <xf numFmtId="164" fontId="1" fillId="9" borderId="31" xfId="0" applyNumberFormat="1" applyFont="1" applyFill="1" applyBorder="1" applyAlignment="1">
      <alignment horizontal="center" vertical="center" shrinkToFit="1"/>
    </xf>
    <xf numFmtId="164" fontId="4" fillId="16" borderId="36" xfId="0" applyNumberFormat="1" applyFont="1" applyFill="1" applyBorder="1" applyAlignment="1">
      <alignment horizontal="center" vertical="center" wrapText="1"/>
    </xf>
    <xf numFmtId="164" fontId="1" fillId="15" borderId="41" xfId="0" applyNumberFormat="1" applyFont="1" applyFill="1" applyBorder="1" applyAlignment="1">
      <alignment horizontal="center" vertical="center" shrinkToFit="1"/>
    </xf>
    <xf numFmtId="165" fontId="1" fillId="15" borderId="41" xfId="0" applyNumberFormat="1" applyFont="1" applyFill="1" applyBorder="1" applyAlignment="1">
      <alignment horizontal="center" vertical="center" shrinkToFit="1"/>
    </xf>
    <xf numFmtId="165" fontId="1" fillId="15" borderId="41" xfId="0" applyNumberFormat="1" applyFont="1" applyFill="1" applyBorder="1" applyAlignment="1">
      <alignment horizontal="center" vertical="center" shrinkToFit="1"/>
    </xf>
    <xf numFmtId="165" fontId="1" fillId="15" borderId="40" xfId="0" applyNumberFormat="1" applyFont="1" applyFill="1" applyBorder="1" applyAlignment="1">
      <alignment horizontal="center" vertical="center" shrinkToFit="1"/>
    </xf>
    <xf numFmtId="166" fontId="1" fillId="15" borderId="40" xfId="0" applyNumberFormat="1" applyFont="1" applyFill="1" applyBorder="1" applyAlignment="1">
      <alignment horizontal="center" vertical="center" shrinkToFit="1"/>
    </xf>
    <xf numFmtId="164" fontId="1" fillId="16" borderId="42" xfId="0" applyNumberFormat="1" applyFont="1" applyFill="1" applyBorder="1" applyAlignment="1">
      <alignment horizontal="center" vertical="center" wrapText="1"/>
    </xf>
    <xf numFmtId="164" fontId="1" fillId="2" borderId="41" xfId="0" applyNumberFormat="1" applyFont="1" applyFill="1" applyBorder="1" applyAlignment="1">
      <alignment horizontal="center" vertical="center"/>
    </xf>
    <xf numFmtId="165" fontId="1" fillId="2" borderId="41" xfId="0" applyNumberFormat="1" applyFont="1" applyFill="1" applyBorder="1" applyAlignment="1">
      <alignment horizontal="center" vertical="center" wrapText="1"/>
    </xf>
    <xf numFmtId="164" fontId="1" fillId="2" borderId="41" xfId="0" applyNumberFormat="1" applyFont="1" applyFill="1" applyBorder="1" applyAlignment="1">
      <alignment horizontal="center" vertical="center" wrapText="1"/>
    </xf>
    <xf numFmtId="164" fontId="1" fillId="11" borderId="44" xfId="0" applyNumberFormat="1" applyFont="1" applyFill="1" applyBorder="1" applyAlignment="1">
      <alignment horizontal="center" vertical="center" shrinkToFit="1"/>
    </xf>
    <xf numFmtId="164" fontId="1" fillId="8" borderId="45" xfId="0" applyNumberFormat="1" applyFont="1" applyFill="1" applyBorder="1" applyAlignment="1">
      <alignment horizontal="center" vertical="center" shrinkToFit="1"/>
    </xf>
    <xf numFmtId="164" fontId="1" fillId="12" borderId="45" xfId="0" applyNumberFormat="1" applyFont="1" applyFill="1" applyBorder="1" applyAlignment="1">
      <alignment horizontal="center" vertical="center" shrinkToFit="1"/>
    </xf>
    <xf numFmtId="164" fontId="1" fillId="13" borderId="45" xfId="0" applyNumberFormat="1" applyFont="1" applyFill="1" applyBorder="1" applyAlignment="1">
      <alignment horizontal="center" vertical="center" shrinkToFit="1"/>
    </xf>
    <xf numFmtId="164" fontId="1" fillId="17" borderId="45" xfId="0" applyNumberFormat="1" applyFont="1" applyFill="1" applyBorder="1" applyAlignment="1">
      <alignment horizontal="center" vertical="center" shrinkToFit="1"/>
    </xf>
    <xf numFmtId="164" fontId="1" fillId="9" borderId="45" xfId="0" applyNumberFormat="1" applyFont="1" applyFill="1" applyBorder="1" applyAlignment="1">
      <alignment horizontal="center" vertical="center" shrinkToFit="1"/>
    </xf>
    <xf numFmtId="164" fontId="1" fillId="18" borderId="45" xfId="0" applyNumberFormat="1" applyFont="1" applyFill="1" applyBorder="1" applyAlignment="1">
      <alignment horizontal="center" vertical="center" shrinkToFit="1"/>
    </xf>
    <xf numFmtId="167" fontId="1" fillId="18" borderId="45" xfId="0" applyNumberFormat="1" applyFont="1" applyFill="1" applyBorder="1" applyAlignment="1">
      <alignment horizontal="center" vertical="center" shrinkToFit="1"/>
    </xf>
    <xf numFmtId="165" fontId="1" fillId="18" borderId="45" xfId="0" applyNumberFormat="1" applyFont="1" applyFill="1" applyBorder="1" applyAlignment="1">
      <alignment horizontal="right" vertical="center" shrinkToFit="1"/>
    </xf>
    <xf numFmtId="166" fontId="1" fillId="18" borderId="45" xfId="0" applyNumberFormat="1" applyFont="1" applyFill="1" applyBorder="1" applyAlignment="1">
      <alignment horizontal="right" vertical="center" shrinkToFit="1"/>
    </xf>
    <xf numFmtId="164" fontId="1" fillId="16" borderId="45" xfId="0" applyNumberFormat="1" applyFont="1" applyFill="1" applyBorder="1" applyAlignment="1">
      <alignment horizontal="center" vertical="center" shrinkToFit="1"/>
    </xf>
    <xf numFmtId="164" fontId="1" fillId="2" borderId="45" xfId="0" applyNumberFormat="1" applyFont="1" applyFill="1" applyBorder="1" applyAlignment="1">
      <alignment horizontal="center" vertical="center" shrinkToFit="1"/>
    </xf>
    <xf numFmtId="165" fontId="1" fillId="2" borderId="45" xfId="0" applyNumberFormat="1" applyFont="1" applyFill="1" applyBorder="1" applyAlignment="1">
      <alignment horizontal="right" vertical="center" shrinkToFit="1"/>
    </xf>
    <xf numFmtId="0" fontId="1" fillId="10" borderId="46" xfId="0" applyFont="1" applyFill="1" applyBorder="1" applyAlignment="1">
      <alignment horizontal="left" vertical="center"/>
    </xf>
    <xf numFmtId="0" fontId="1" fillId="10" borderId="47" xfId="0" applyFont="1" applyFill="1" applyBorder="1" applyAlignment="1">
      <alignment horizontal="left" vertical="center"/>
    </xf>
    <xf numFmtId="164" fontId="1" fillId="10" borderId="26" xfId="0" applyNumberFormat="1" applyFont="1" applyFill="1" applyBorder="1" applyAlignment="1">
      <alignment vertical="center" shrinkToFit="1"/>
    </xf>
    <xf numFmtId="164" fontId="1" fillId="10" borderId="48" xfId="0" applyNumberFormat="1" applyFont="1" applyFill="1" applyBorder="1" applyAlignment="1">
      <alignment vertical="center" shrinkToFit="1"/>
    </xf>
    <xf numFmtId="167" fontId="1" fillId="10" borderId="48" xfId="0" applyNumberFormat="1" applyFont="1" applyFill="1" applyBorder="1" applyAlignment="1">
      <alignment vertical="center" shrinkToFit="1"/>
    </xf>
    <xf numFmtId="165" fontId="1" fillId="10" borderId="48" xfId="0" applyNumberFormat="1" applyFont="1" applyFill="1" applyBorder="1" applyAlignment="1">
      <alignment horizontal="right" vertical="center" shrinkToFit="1"/>
    </xf>
    <xf numFmtId="166" fontId="1" fillId="10" borderId="48" xfId="0" applyNumberFormat="1" applyFont="1" applyFill="1" applyBorder="1" applyAlignment="1">
      <alignment horizontal="right" vertical="center" shrinkToFit="1"/>
    </xf>
    <xf numFmtId="164" fontId="1" fillId="10" borderId="49" xfId="0" applyNumberFormat="1" applyFont="1" applyFill="1" applyBorder="1" applyAlignment="1">
      <alignment vertical="center" shrinkToFit="1"/>
    </xf>
    <xf numFmtId="165" fontId="1" fillId="10" borderId="49" xfId="0" applyNumberFormat="1" applyFont="1" applyFill="1" applyBorder="1" applyAlignment="1">
      <alignment horizontal="right" vertical="center" shrinkToFit="1"/>
    </xf>
    <xf numFmtId="0" fontId="1" fillId="19" borderId="50" xfId="0" applyFont="1" applyFill="1" applyBorder="1" applyAlignment="1">
      <alignment horizontal="left" vertical="center"/>
    </xf>
    <xf numFmtId="0" fontId="1" fillId="19" borderId="51" xfId="0" applyFont="1" applyFill="1" applyBorder="1" applyAlignment="1">
      <alignment horizontal="left" vertical="center"/>
    </xf>
    <xf numFmtId="164" fontId="1" fillId="19" borderId="9" xfId="0" applyNumberFormat="1" applyFont="1" applyFill="1" applyBorder="1" applyAlignment="1">
      <alignment vertical="center" shrinkToFit="1"/>
    </xf>
    <xf numFmtId="164" fontId="1" fillId="19" borderId="52" xfId="0" applyNumberFormat="1" applyFont="1" applyFill="1" applyBorder="1" applyAlignment="1">
      <alignment vertical="center" shrinkToFit="1"/>
    </xf>
    <xf numFmtId="167" fontId="1" fillId="19" borderId="52" xfId="0" applyNumberFormat="1" applyFont="1" applyFill="1" applyBorder="1" applyAlignment="1">
      <alignment vertical="center" shrinkToFit="1"/>
    </xf>
    <xf numFmtId="165" fontId="1" fillId="19" borderId="52" xfId="0" applyNumberFormat="1" applyFont="1" applyFill="1" applyBorder="1" applyAlignment="1">
      <alignment horizontal="right" vertical="center" shrinkToFit="1"/>
    </xf>
    <xf numFmtId="166" fontId="1" fillId="19" borderId="52" xfId="0" applyNumberFormat="1" applyFont="1" applyFill="1" applyBorder="1" applyAlignment="1">
      <alignment horizontal="right" vertical="center" shrinkToFit="1"/>
    </xf>
    <xf numFmtId="164" fontId="1" fillId="19" borderId="53" xfId="0" applyNumberFormat="1" applyFont="1" applyFill="1" applyBorder="1" applyAlignment="1">
      <alignment vertical="center" shrinkToFit="1"/>
    </xf>
    <xf numFmtId="165" fontId="1" fillId="19" borderId="53" xfId="0" applyNumberFormat="1" applyFont="1" applyFill="1" applyBorder="1" applyAlignment="1">
      <alignment horizontal="right" vertical="center" shrinkToFit="1"/>
    </xf>
    <xf numFmtId="0" fontId="1" fillId="20" borderId="50" xfId="0" applyFont="1" applyFill="1" applyBorder="1" applyAlignment="1">
      <alignment horizontal="left" vertical="center"/>
    </xf>
    <xf numFmtId="0" fontId="1" fillId="20" borderId="53" xfId="0" applyFont="1" applyFill="1" applyBorder="1" applyAlignment="1">
      <alignment horizontal="left" vertical="center"/>
    </xf>
    <xf numFmtId="164" fontId="1" fillId="20" borderId="33" xfId="0" applyNumberFormat="1" applyFont="1" applyFill="1" applyBorder="1" applyAlignment="1">
      <alignment vertical="center" shrinkToFit="1"/>
    </xf>
    <xf numFmtId="164" fontId="1" fillId="20" borderId="54" xfId="0" applyNumberFormat="1" applyFont="1" applyFill="1" applyBorder="1" applyAlignment="1">
      <alignment vertical="center" shrinkToFit="1"/>
    </xf>
    <xf numFmtId="167" fontId="1" fillId="20" borderId="54" xfId="0" applyNumberFormat="1" applyFont="1" applyFill="1" applyBorder="1" applyAlignment="1">
      <alignment vertical="center" shrinkToFit="1"/>
    </xf>
    <xf numFmtId="165" fontId="1" fillId="20" borderId="54" xfId="0" applyNumberFormat="1" applyFont="1" applyFill="1" applyBorder="1" applyAlignment="1">
      <alignment horizontal="right" vertical="center" shrinkToFit="1"/>
    </xf>
    <xf numFmtId="166" fontId="1" fillId="20" borderId="54" xfId="0" applyNumberFormat="1" applyFont="1" applyFill="1" applyBorder="1" applyAlignment="1">
      <alignment horizontal="right" vertical="center" shrinkToFit="1"/>
    </xf>
    <xf numFmtId="164" fontId="1" fillId="10" borderId="21" xfId="0" applyNumberFormat="1" applyFont="1" applyFill="1" applyBorder="1" applyAlignment="1">
      <alignment vertical="center" shrinkToFit="1"/>
    </xf>
    <xf numFmtId="164" fontId="1" fillId="10" borderId="36" xfId="0" applyNumberFormat="1" applyFont="1" applyFill="1" applyBorder="1" applyAlignment="1">
      <alignment vertical="center" shrinkToFit="1"/>
    </xf>
    <xf numFmtId="167" fontId="1" fillId="10" borderId="36" xfId="0" applyNumberFormat="1" applyFont="1" applyFill="1" applyBorder="1" applyAlignment="1">
      <alignment vertical="center" shrinkToFit="1"/>
    </xf>
    <xf numFmtId="165" fontId="1" fillId="10" borderId="36" xfId="0" applyNumberFormat="1" applyFont="1" applyFill="1" applyBorder="1" applyAlignment="1">
      <alignment horizontal="right" vertical="center" shrinkToFit="1"/>
    </xf>
    <xf numFmtId="166" fontId="1" fillId="10" borderId="36" xfId="0" applyNumberFormat="1" applyFont="1" applyFill="1" applyBorder="1" applyAlignment="1">
      <alignment horizontal="right" vertical="center" shrinkToFit="1"/>
    </xf>
    <xf numFmtId="0" fontId="1" fillId="0" borderId="56" xfId="0" applyFont="1" applyBorder="1" applyAlignment="1">
      <alignment horizontal="center" vertical="center" shrinkToFit="1"/>
    </xf>
    <xf numFmtId="0" fontId="1" fillId="0" borderId="57" xfId="0" applyFont="1" applyBorder="1" applyAlignment="1">
      <alignment horizontal="left" vertical="center" shrinkToFit="1"/>
    </xf>
    <xf numFmtId="164" fontId="1" fillId="11" borderId="57" xfId="0" applyNumberFormat="1" applyFont="1" applyFill="1" applyBorder="1" applyAlignment="1">
      <alignment vertical="center" shrinkToFit="1"/>
    </xf>
    <xf numFmtId="164" fontId="1" fillId="8" borderId="58" xfId="0" applyNumberFormat="1" applyFont="1" applyFill="1" applyBorder="1" applyAlignment="1">
      <alignment vertical="center" shrinkToFit="1"/>
    </xf>
    <xf numFmtId="164" fontId="1" fillId="0" borderId="58" xfId="0" applyNumberFormat="1" applyFont="1" applyBorder="1" applyAlignment="1">
      <alignment vertical="center" shrinkToFit="1"/>
    </xf>
    <xf numFmtId="164" fontId="1" fillId="15" borderId="58" xfId="0" applyNumberFormat="1" applyFont="1" applyFill="1" applyBorder="1" applyAlignment="1">
      <alignment vertical="center" shrinkToFit="1"/>
    </xf>
    <xf numFmtId="167" fontId="1" fillId="15" borderId="58" xfId="0" applyNumberFormat="1" applyFont="1" applyFill="1" applyBorder="1" applyAlignment="1">
      <alignment vertical="center" shrinkToFit="1"/>
    </xf>
    <xf numFmtId="165" fontId="1" fillId="0" borderId="58" xfId="0" applyNumberFormat="1" applyFont="1" applyBorder="1" applyAlignment="1">
      <alignment horizontal="right" vertical="center" shrinkToFit="1"/>
    </xf>
    <xf numFmtId="166" fontId="1" fillId="0" borderId="58" xfId="0" applyNumberFormat="1" applyFont="1" applyBorder="1" applyAlignment="1">
      <alignment horizontal="right" vertical="center" shrinkToFit="1"/>
    </xf>
    <xf numFmtId="165" fontId="1" fillId="15" borderId="58" xfId="0" applyNumberFormat="1" applyFont="1" applyFill="1" applyBorder="1" applyAlignment="1">
      <alignment horizontal="right" vertical="center" shrinkToFit="1"/>
    </xf>
    <xf numFmtId="0" fontId="1" fillId="0" borderId="59" xfId="0" applyFont="1" applyBorder="1" applyAlignment="1">
      <alignment horizontal="center" vertical="center" shrinkToFit="1"/>
    </xf>
    <xf numFmtId="0" fontId="1" fillId="0" borderId="60" xfId="0" applyFont="1" applyBorder="1" applyAlignment="1">
      <alignment horizontal="left" vertical="center" shrinkToFit="1"/>
    </xf>
    <xf numFmtId="164" fontId="1" fillId="11" borderId="60" xfId="0" applyNumberFormat="1" applyFont="1" applyFill="1" applyBorder="1" applyAlignment="1">
      <alignment vertical="center" shrinkToFit="1"/>
    </xf>
    <xf numFmtId="164" fontId="1" fillId="8" borderId="61" xfId="0" applyNumberFormat="1" applyFont="1" applyFill="1" applyBorder="1" applyAlignment="1">
      <alignment vertical="center" shrinkToFit="1"/>
    </xf>
    <xf numFmtId="164" fontId="1" fillId="0" borderId="61" xfId="0" applyNumberFormat="1" applyFont="1" applyBorder="1" applyAlignment="1">
      <alignment vertical="center" shrinkToFit="1"/>
    </xf>
    <xf numFmtId="167" fontId="1" fillId="0" borderId="61" xfId="0" applyNumberFormat="1" applyFont="1" applyBorder="1" applyAlignment="1">
      <alignment vertical="center" shrinkToFit="1"/>
    </xf>
    <xf numFmtId="165" fontId="1" fillId="0" borderId="61" xfId="0" applyNumberFormat="1" applyFont="1" applyBorder="1" applyAlignment="1">
      <alignment horizontal="right" vertical="center" shrinkToFit="1"/>
    </xf>
    <xf numFmtId="166" fontId="1" fillId="0" borderId="61" xfId="0" applyNumberFormat="1" applyFont="1" applyBorder="1" applyAlignment="1">
      <alignment horizontal="right" vertical="center" shrinkToFit="1"/>
    </xf>
    <xf numFmtId="164" fontId="1" fillId="15" borderId="61" xfId="0" applyNumberFormat="1" applyFont="1" applyFill="1" applyBorder="1" applyAlignment="1">
      <alignment vertical="center" shrinkToFit="1"/>
    </xf>
    <xf numFmtId="165" fontId="1" fillId="15" borderId="61" xfId="0" applyNumberFormat="1" applyFont="1" applyFill="1" applyBorder="1" applyAlignment="1">
      <alignment horizontal="right" vertical="center" shrinkToFit="1"/>
    </xf>
    <xf numFmtId="164" fontId="1" fillId="15" borderId="61" xfId="0" applyNumberFormat="1" applyFont="1" applyFill="1" applyBorder="1" applyAlignment="1">
      <alignment vertical="center" shrinkToFit="1"/>
    </xf>
    <xf numFmtId="0" fontId="1" fillId="0" borderId="62" xfId="0" applyFont="1" applyBorder="1" applyAlignment="1">
      <alignment horizontal="center" vertical="center" shrinkToFit="1"/>
    </xf>
    <xf numFmtId="0" fontId="1" fillId="0" borderId="63" xfId="0" applyFont="1" applyBorder="1" applyAlignment="1">
      <alignment horizontal="left" vertical="center" shrinkToFit="1"/>
    </xf>
    <xf numFmtId="164" fontId="1" fillId="11" borderId="63" xfId="0" applyNumberFormat="1" applyFont="1" applyFill="1" applyBorder="1" applyAlignment="1">
      <alignment vertical="center" shrinkToFit="1"/>
    </xf>
    <xf numFmtId="164" fontId="1" fillId="8" borderId="64" xfId="0" applyNumberFormat="1" applyFont="1" applyFill="1" applyBorder="1" applyAlignment="1">
      <alignment vertical="center" shrinkToFit="1"/>
    </xf>
    <xf numFmtId="164" fontId="1" fillId="0" borderId="64" xfId="0" applyNumberFormat="1" applyFont="1" applyBorder="1" applyAlignment="1">
      <alignment vertical="center" shrinkToFit="1"/>
    </xf>
    <xf numFmtId="167" fontId="1" fillId="0" borderId="64" xfId="0" applyNumberFormat="1" applyFont="1" applyBorder="1" applyAlignment="1">
      <alignment vertical="center" shrinkToFit="1"/>
    </xf>
    <xf numFmtId="165" fontId="1" fillId="0" borderId="64" xfId="0" applyNumberFormat="1" applyFont="1" applyBorder="1" applyAlignment="1">
      <alignment horizontal="right" vertical="center" shrinkToFit="1"/>
    </xf>
    <xf numFmtId="166" fontId="1" fillId="0" borderId="64" xfId="0" applyNumberFormat="1" applyFont="1" applyBorder="1" applyAlignment="1">
      <alignment horizontal="right" vertical="center" shrinkToFit="1"/>
    </xf>
    <xf numFmtId="164" fontId="1" fillId="15" borderId="64" xfId="0" applyNumberFormat="1" applyFont="1" applyFill="1" applyBorder="1" applyAlignment="1">
      <alignment vertical="center" shrinkToFit="1"/>
    </xf>
    <xf numFmtId="165" fontId="1" fillId="15" borderId="64" xfId="0" applyNumberFormat="1" applyFont="1" applyFill="1" applyBorder="1" applyAlignment="1">
      <alignment horizontal="right" vertical="center" shrinkToFit="1"/>
    </xf>
    <xf numFmtId="164" fontId="1" fillId="10" borderId="29" xfId="0" applyNumberFormat="1" applyFont="1" applyFill="1" applyBorder="1" applyAlignment="1">
      <alignment vertical="center" shrinkToFit="1"/>
    </xf>
    <xf numFmtId="164" fontId="1" fillId="10" borderId="52" xfId="0" applyNumberFormat="1" applyFont="1" applyFill="1" applyBorder="1" applyAlignment="1">
      <alignment vertical="center" shrinkToFit="1"/>
    </xf>
    <xf numFmtId="167" fontId="1" fillId="10" borderId="52" xfId="0" applyNumberFormat="1" applyFont="1" applyFill="1" applyBorder="1" applyAlignment="1">
      <alignment vertical="center" shrinkToFit="1"/>
    </xf>
    <xf numFmtId="165" fontId="1" fillId="10" borderId="52" xfId="0" applyNumberFormat="1" applyFont="1" applyFill="1" applyBorder="1" applyAlignment="1">
      <alignment horizontal="right" vertical="center" shrinkToFit="1"/>
    </xf>
    <xf numFmtId="166" fontId="1" fillId="10" borderId="52" xfId="0" applyNumberFormat="1" applyFont="1" applyFill="1" applyBorder="1" applyAlignment="1">
      <alignment horizontal="right" vertical="center" shrinkToFit="1"/>
    </xf>
    <xf numFmtId="164" fontId="1" fillId="10" borderId="9" xfId="0" applyNumberFormat="1" applyFont="1" applyFill="1" applyBorder="1" applyAlignment="1">
      <alignment vertical="center" shrinkToFit="1"/>
    </xf>
    <xf numFmtId="164" fontId="1" fillId="0" borderId="67" xfId="0" applyNumberFormat="1" applyFont="1" applyBorder="1" applyAlignment="1">
      <alignment vertical="center" shrinkToFit="1"/>
    </xf>
    <xf numFmtId="167" fontId="1" fillId="0" borderId="67" xfId="0" applyNumberFormat="1" applyFont="1" applyBorder="1" applyAlignment="1">
      <alignment vertical="center" shrinkToFit="1"/>
    </xf>
    <xf numFmtId="0" fontId="1" fillId="0" borderId="56" xfId="0" applyFont="1" applyBorder="1" applyAlignment="1">
      <alignment horizontal="center" vertical="center"/>
    </xf>
    <xf numFmtId="0" fontId="1" fillId="0" borderId="57" xfId="0" applyFont="1" applyBorder="1" applyAlignment="1">
      <alignment horizontal="left" vertical="center"/>
    </xf>
    <xf numFmtId="167" fontId="1" fillId="0" borderId="58" xfId="0" applyNumberFormat="1" applyFont="1" applyBorder="1" applyAlignment="1">
      <alignment vertical="center" shrinkToFit="1"/>
    </xf>
    <xf numFmtId="0" fontId="1" fillId="0" borderId="59" xfId="0" applyFont="1" applyBorder="1" applyAlignment="1">
      <alignment horizontal="center" vertical="center"/>
    </xf>
    <xf numFmtId="0" fontId="1" fillId="0" borderId="60" xfId="0" applyFont="1" applyBorder="1" applyAlignment="1">
      <alignment horizontal="left" vertical="center"/>
    </xf>
    <xf numFmtId="0" fontId="1" fillId="0" borderId="62" xfId="0" applyFont="1" applyBorder="1" applyAlignment="1">
      <alignment horizontal="center" vertical="center"/>
    </xf>
    <xf numFmtId="0" fontId="1" fillId="0" borderId="63" xfId="0" applyFont="1" applyBorder="1" applyAlignment="1">
      <alignment horizontal="left" vertical="center"/>
    </xf>
    <xf numFmtId="0" fontId="1" fillId="0" borderId="58" xfId="0" applyFont="1" applyBorder="1" applyAlignment="1">
      <alignment horizontal="left" vertical="center"/>
    </xf>
    <xf numFmtId="164" fontId="1" fillId="11" borderId="58" xfId="0" applyNumberFormat="1" applyFont="1" applyFill="1" applyBorder="1" applyAlignment="1">
      <alignment vertical="center" shrinkToFit="1"/>
    </xf>
    <xf numFmtId="0" fontId="1" fillId="0" borderId="61" xfId="0" applyFont="1" applyBorder="1" applyAlignment="1">
      <alignment horizontal="left" vertical="center"/>
    </xf>
    <xf numFmtId="164" fontId="1" fillId="11" borderId="61" xfId="0" applyNumberFormat="1" applyFont="1" applyFill="1" applyBorder="1" applyAlignment="1">
      <alignment vertical="center" shrinkToFit="1"/>
    </xf>
    <xf numFmtId="0" fontId="1" fillId="0" borderId="59" xfId="0" applyFont="1" applyBorder="1" applyAlignment="1">
      <alignment horizontal="center" vertical="center"/>
    </xf>
    <xf numFmtId="0" fontId="5" fillId="0" borderId="0" xfId="0" applyFont="1"/>
    <xf numFmtId="165" fontId="5" fillId="0" borderId="0" xfId="0" applyNumberFormat="1" applyFont="1" applyAlignment="1">
      <alignment horizontal="right" vertical="center"/>
    </xf>
    <xf numFmtId="166" fontId="5" fillId="0" borderId="0" xfId="0" applyNumberFormat="1" applyFont="1" applyAlignment="1">
      <alignment horizontal="right" vertical="center"/>
    </xf>
    <xf numFmtId="165" fontId="1" fillId="0" borderId="0" xfId="0" applyNumberFormat="1" applyFont="1"/>
    <xf numFmtId="164" fontId="1" fillId="16" borderId="72" xfId="0" applyNumberFormat="1" applyFont="1" applyFill="1" applyBorder="1" applyAlignment="1">
      <alignment horizontal="center" vertical="center" wrapText="1"/>
    </xf>
    <xf numFmtId="164" fontId="1" fillId="2" borderId="42" xfId="0" applyNumberFormat="1" applyFont="1" applyFill="1" applyBorder="1" applyAlignment="1">
      <alignment horizontal="center" vertical="center" wrapText="1"/>
    </xf>
    <xf numFmtId="165" fontId="1" fillId="2" borderId="42" xfId="0" applyNumberFormat="1" applyFont="1" applyFill="1" applyBorder="1" applyAlignment="1">
      <alignment horizontal="center" vertical="center" wrapText="1"/>
    </xf>
    <xf numFmtId="164" fontId="1" fillId="8" borderId="73" xfId="0" applyNumberFormat="1" applyFont="1" applyFill="1" applyBorder="1" applyAlignment="1">
      <alignment horizontal="center" vertical="center" shrinkToFit="1"/>
    </xf>
    <xf numFmtId="165" fontId="1" fillId="18" borderId="45" xfId="0" applyNumberFormat="1" applyFont="1" applyFill="1" applyBorder="1" applyAlignment="1">
      <alignment horizontal="center" vertical="center" shrinkToFit="1"/>
    </xf>
    <xf numFmtId="165" fontId="1" fillId="2" borderId="45" xfId="0" applyNumberFormat="1" applyFont="1" applyFill="1" applyBorder="1" applyAlignment="1">
      <alignment horizontal="center" vertical="center" shrinkToFit="1"/>
    </xf>
    <xf numFmtId="164" fontId="1" fillId="10" borderId="74" xfId="0" applyNumberFormat="1" applyFont="1" applyFill="1" applyBorder="1" applyAlignment="1">
      <alignment vertical="center" shrinkToFit="1"/>
    </xf>
    <xf numFmtId="165" fontId="1" fillId="10" borderId="48" xfId="0" applyNumberFormat="1" applyFont="1" applyFill="1" applyBorder="1" applyAlignment="1">
      <alignment vertical="center" shrinkToFit="1"/>
    </xf>
    <xf numFmtId="164" fontId="1" fillId="19" borderId="35" xfId="0" applyNumberFormat="1" applyFont="1" applyFill="1" applyBorder="1" applyAlignment="1">
      <alignment vertical="center" shrinkToFit="1"/>
    </xf>
    <xf numFmtId="165" fontId="1" fillId="19" borderId="52" xfId="0" applyNumberFormat="1" applyFont="1" applyFill="1" applyBorder="1" applyAlignment="1">
      <alignment vertical="center" shrinkToFit="1"/>
    </xf>
    <xf numFmtId="164" fontId="1" fillId="20" borderId="21" xfId="0" applyNumberFormat="1" applyFont="1" applyFill="1" applyBorder="1" applyAlignment="1">
      <alignment vertical="center" shrinkToFit="1"/>
    </xf>
    <xf numFmtId="164" fontId="1" fillId="20" borderId="36" xfId="0" applyNumberFormat="1" applyFont="1" applyFill="1" applyBorder="1" applyAlignment="1">
      <alignment vertical="center" shrinkToFit="1"/>
    </xf>
    <xf numFmtId="164" fontId="1" fillId="20" borderId="75" xfId="0" applyNumberFormat="1" applyFont="1" applyFill="1" applyBorder="1" applyAlignment="1">
      <alignment vertical="center" shrinkToFit="1"/>
    </xf>
    <xf numFmtId="165" fontId="1" fillId="20" borderId="54" xfId="0" applyNumberFormat="1" applyFont="1" applyFill="1" applyBorder="1" applyAlignment="1">
      <alignment vertical="center" shrinkToFit="1"/>
    </xf>
    <xf numFmtId="165" fontId="1" fillId="20" borderId="75" xfId="0" applyNumberFormat="1" applyFont="1" applyFill="1" applyBorder="1" applyAlignment="1">
      <alignment vertical="center" shrinkToFit="1"/>
    </xf>
    <xf numFmtId="165" fontId="1" fillId="20" borderId="36" xfId="0" applyNumberFormat="1" applyFont="1" applyFill="1" applyBorder="1" applyAlignment="1">
      <alignment horizontal="right" vertical="center" shrinkToFit="1"/>
    </xf>
    <xf numFmtId="165" fontId="1" fillId="20" borderId="36" xfId="0" applyNumberFormat="1" applyFont="1" applyFill="1" applyBorder="1" applyAlignment="1">
      <alignment vertical="center" shrinkToFit="1"/>
    </xf>
    <xf numFmtId="165" fontId="1" fillId="10" borderId="36" xfId="0" applyNumberFormat="1" applyFont="1" applyFill="1" applyBorder="1" applyAlignment="1">
      <alignment vertical="center" shrinkToFit="1"/>
    </xf>
    <xf numFmtId="165" fontId="1" fillId="0" borderId="58" xfId="0" applyNumberFormat="1" applyFont="1" applyBorder="1" applyAlignment="1">
      <alignment vertical="center" shrinkToFit="1"/>
    </xf>
    <xf numFmtId="165" fontId="1" fillId="0" borderId="61" xfId="0" applyNumberFormat="1" applyFont="1" applyBorder="1" applyAlignment="1">
      <alignment vertical="center" shrinkToFit="1"/>
    </xf>
    <xf numFmtId="165" fontId="1" fillId="0" borderId="64" xfId="0" applyNumberFormat="1" applyFont="1" applyBorder="1" applyAlignment="1">
      <alignment vertical="center" shrinkToFit="1"/>
    </xf>
    <xf numFmtId="165" fontId="1" fillId="10" borderId="52" xfId="0" applyNumberFormat="1" applyFont="1" applyFill="1" applyBorder="1" applyAlignment="1">
      <alignment vertical="center" shrinkToFit="1"/>
    </xf>
    <xf numFmtId="165" fontId="1" fillId="0" borderId="76" xfId="0" applyNumberFormat="1" applyFont="1" applyBorder="1" applyAlignment="1">
      <alignment vertical="center" shrinkToFit="1"/>
    </xf>
    <xf numFmtId="164" fontId="1" fillId="0" borderId="76" xfId="0" applyNumberFormat="1" applyFont="1" applyBorder="1" applyAlignment="1">
      <alignment vertical="center" shrinkToFit="1"/>
    </xf>
    <xf numFmtId="165" fontId="1" fillId="0" borderId="76" xfId="0" applyNumberFormat="1" applyFont="1" applyBorder="1" applyAlignment="1">
      <alignment horizontal="right" vertical="center" shrinkToFit="1"/>
    </xf>
    <xf numFmtId="165" fontId="5" fillId="0" borderId="0" xfId="0" applyNumberFormat="1" applyFont="1"/>
    <xf numFmtId="165" fontId="1" fillId="20" borderId="75" xfId="0" applyNumberFormat="1" applyFont="1" applyFill="1" applyBorder="1" applyAlignment="1">
      <alignment horizontal="right" vertical="center" shrinkToFit="1"/>
    </xf>
    <xf numFmtId="166" fontId="1" fillId="0" borderId="0" xfId="0" applyNumberFormat="1" applyFont="1"/>
    <xf numFmtId="166" fontId="1" fillId="16" borderId="79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164" fontId="1" fillId="0" borderId="58" xfId="0" applyNumberFormat="1" applyFont="1" applyBorder="1" applyAlignment="1">
      <alignment vertical="center" shrinkToFit="1"/>
    </xf>
    <xf numFmtId="164" fontId="1" fillId="0" borderId="61" xfId="0" applyNumberFormat="1" applyFont="1" applyBorder="1" applyAlignment="1">
      <alignment vertical="center" shrinkToFit="1"/>
    </xf>
    <xf numFmtId="164" fontId="1" fillId="0" borderId="76" xfId="0" applyNumberFormat="1" applyFont="1" applyBorder="1" applyAlignment="1">
      <alignment vertical="center" shrinkToFit="1"/>
    </xf>
    <xf numFmtId="164" fontId="1" fillId="0" borderId="39" xfId="0" applyNumberFormat="1" applyFont="1" applyBorder="1"/>
    <xf numFmtId="165" fontId="1" fillId="0" borderId="39" xfId="0" applyNumberFormat="1" applyFont="1" applyBorder="1"/>
    <xf numFmtId="164" fontId="1" fillId="2" borderId="21" xfId="0" applyNumberFormat="1" applyFont="1" applyFill="1" applyBorder="1" applyAlignment="1">
      <alignment horizontal="center" vertical="center" shrinkToFit="1"/>
    </xf>
    <xf numFmtId="164" fontId="1" fillId="25" borderId="42" xfId="0" applyNumberFormat="1" applyFont="1" applyFill="1" applyBorder="1" applyAlignment="1">
      <alignment horizontal="center" vertical="center" shrinkToFit="1"/>
    </xf>
    <xf numFmtId="164" fontId="1" fillId="2" borderId="41" xfId="0" applyNumberFormat="1" applyFont="1" applyFill="1" applyBorder="1" applyAlignment="1">
      <alignment horizontal="center" vertical="center" shrinkToFit="1"/>
    </xf>
    <xf numFmtId="164" fontId="1" fillId="2" borderId="42" xfId="0" applyNumberFormat="1" applyFont="1" applyFill="1" applyBorder="1" applyAlignment="1">
      <alignment horizontal="center" vertical="center" wrapText="1"/>
    </xf>
    <xf numFmtId="164" fontId="1" fillId="2" borderId="41" xfId="0" applyNumberFormat="1" applyFont="1" applyFill="1" applyBorder="1" applyAlignment="1">
      <alignment horizontal="center" vertical="center" shrinkToFit="1"/>
    </xf>
    <xf numFmtId="164" fontId="1" fillId="25" borderId="45" xfId="0" applyNumberFormat="1" applyFont="1" applyFill="1" applyBorder="1" applyAlignment="1">
      <alignment horizontal="center" vertical="center" shrinkToFit="1"/>
    </xf>
    <xf numFmtId="164" fontId="1" fillId="0" borderId="64" xfId="0" applyNumberFormat="1" applyFont="1" applyBorder="1" applyAlignment="1">
      <alignment vertical="center" shrinkToFit="1"/>
    </xf>
    <xf numFmtId="164" fontId="1" fillId="26" borderId="61" xfId="0" applyNumberFormat="1" applyFont="1" applyFill="1" applyBorder="1" applyAlignment="1">
      <alignment vertical="center" shrinkToFit="1"/>
    </xf>
    <xf numFmtId="164" fontId="1" fillId="0" borderId="0" xfId="0" applyNumberFormat="1" applyFont="1" applyAlignment="1">
      <alignment horizontal="right" vertical="center"/>
    </xf>
    <xf numFmtId="166" fontId="1" fillId="0" borderId="0" xfId="0" applyNumberFormat="1" applyFont="1" applyAlignment="1">
      <alignment horizontal="right"/>
    </xf>
    <xf numFmtId="164" fontId="1" fillId="8" borderId="45" xfId="0" applyNumberFormat="1" applyFont="1" applyFill="1" applyBorder="1" applyAlignment="1">
      <alignment horizontal="right" vertical="center" shrinkToFit="1"/>
    </xf>
    <xf numFmtId="164" fontId="1" fillId="13" borderId="45" xfId="0" applyNumberFormat="1" applyFont="1" applyFill="1" applyBorder="1" applyAlignment="1">
      <alignment horizontal="right" vertical="center" shrinkToFit="1"/>
    </xf>
    <xf numFmtId="166" fontId="1" fillId="16" borderId="45" xfId="0" applyNumberFormat="1" applyFont="1" applyFill="1" applyBorder="1" applyAlignment="1">
      <alignment horizontal="right" vertical="center" shrinkToFit="1"/>
    </xf>
    <xf numFmtId="164" fontId="1" fillId="10" borderId="48" xfId="0" applyNumberFormat="1" applyFont="1" applyFill="1" applyBorder="1" applyAlignment="1">
      <alignment horizontal="right" vertical="center" shrinkToFit="1"/>
    </xf>
    <xf numFmtId="164" fontId="1" fillId="19" borderId="52" xfId="0" applyNumberFormat="1" applyFont="1" applyFill="1" applyBorder="1" applyAlignment="1">
      <alignment horizontal="right" vertical="center" shrinkToFit="1"/>
    </xf>
    <xf numFmtId="164" fontId="1" fillId="20" borderId="36" xfId="0" applyNumberFormat="1" applyFont="1" applyFill="1" applyBorder="1" applyAlignment="1">
      <alignment horizontal="right" vertical="center" shrinkToFit="1"/>
    </xf>
    <xf numFmtId="166" fontId="1" fillId="20" borderId="36" xfId="0" applyNumberFormat="1" applyFont="1" applyFill="1" applyBorder="1" applyAlignment="1">
      <alignment horizontal="right" vertical="center" shrinkToFit="1"/>
    </xf>
    <xf numFmtId="164" fontId="1" fillId="10" borderId="36" xfId="0" applyNumberFormat="1" applyFont="1" applyFill="1" applyBorder="1" applyAlignment="1">
      <alignment horizontal="right" vertical="center" shrinkToFit="1"/>
    </xf>
    <xf numFmtId="164" fontId="1" fillId="8" borderId="58" xfId="0" applyNumberFormat="1" applyFont="1" applyFill="1" applyBorder="1" applyAlignment="1">
      <alignment horizontal="right" vertical="center" shrinkToFit="1"/>
    </xf>
    <xf numFmtId="164" fontId="1" fillId="0" borderId="58" xfId="0" applyNumberFormat="1" applyFont="1" applyBorder="1" applyAlignment="1">
      <alignment horizontal="right" vertical="center" shrinkToFit="1"/>
    </xf>
    <xf numFmtId="166" fontId="1" fillId="0" borderId="87" xfId="0" applyNumberFormat="1" applyFont="1" applyBorder="1" applyAlignment="1">
      <alignment horizontal="right" vertical="center" wrapText="1"/>
    </xf>
    <xf numFmtId="164" fontId="1" fillId="8" borderId="61" xfId="0" applyNumberFormat="1" applyFont="1" applyFill="1" applyBorder="1" applyAlignment="1">
      <alignment horizontal="right" vertical="center" shrinkToFit="1"/>
    </xf>
    <xf numFmtId="164" fontId="1" fillId="0" borderId="61" xfId="0" applyNumberFormat="1" applyFont="1" applyBorder="1" applyAlignment="1">
      <alignment horizontal="right" vertical="center" shrinkToFit="1"/>
    </xf>
    <xf numFmtId="166" fontId="1" fillId="0" borderId="88" xfId="0" applyNumberFormat="1" applyFont="1" applyBorder="1" applyAlignment="1">
      <alignment horizontal="right" vertical="center" wrapText="1"/>
    </xf>
    <xf numFmtId="166" fontId="1" fillId="0" borderId="61" xfId="0" applyNumberFormat="1" applyFont="1" applyBorder="1" applyAlignment="1">
      <alignment horizontal="right" vertical="center" wrapText="1"/>
    </xf>
    <xf numFmtId="164" fontId="1" fillId="8" borderId="64" xfId="0" applyNumberFormat="1" applyFont="1" applyFill="1" applyBorder="1" applyAlignment="1">
      <alignment horizontal="right" vertical="center" shrinkToFit="1"/>
    </xf>
    <xf numFmtId="164" fontId="1" fillId="0" borderId="64" xfId="0" applyNumberFormat="1" applyFont="1" applyBorder="1" applyAlignment="1">
      <alignment horizontal="right" vertical="center" shrinkToFit="1"/>
    </xf>
    <xf numFmtId="166" fontId="1" fillId="0" borderId="64" xfId="0" applyNumberFormat="1" applyFont="1" applyBorder="1" applyAlignment="1">
      <alignment horizontal="right" vertical="center" wrapText="1"/>
    </xf>
    <xf numFmtId="164" fontId="1" fillId="10" borderId="52" xfId="0" applyNumberFormat="1" applyFont="1" applyFill="1" applyBorder="1" applyAlignment="1">
      <alignment horizontal="right" vertical="center" shrinkToFit="1"/>
    </xf>
    <xf numFmtId="166" fontId="1" fillId="0" borderId="58" xfId="0" applyNumberFormat="1" applyFont="1" applyBorder="1" applyAlignment="1">
      <alignment horizontal="right" vertical="center" wrapText="1"/>
    </xf>
    <xf numFmtId="164" fontId="1" fillId="20" borderId="75" xfId="0" applyNumberFormat="1" applyFont="1" applyFill="1" applyBorder="1" applyAlignment="1">
      <alignment horizontal="right" vertical="center" shrinkToFit="1"/>
    </xf>
    <xf numFmtId="0" fontId="1" fillId="0" borderId="60" xfId="0" applyFont="1" applyBorder="1" applyAlignment="1">
      <alignment horizontal="left" vertical="center" shrinkToFit="1"/>
    </xf>
    <xf numFmtId="0" fontId="1" fillId="0" borderId="63" xfId="0" applyFont="1" applyBorder="1" applyAlignment="1">
      <alignment horizontal="left" vertical="center" shrinkToFit="1"/>
    </xf>
    <xf numFmtId="0" fontId="1" fillId="0" borderId="57" xfId="0" applyFont="1" applyBorder="1" applyAlignment="1">
      <alignment horizontal="left" vertical="center" shrinkToFit="1"/>
    </xf>
    <xf numFmtId="165" fontId="1" fillId="0" borderId="58" xfId="0" applyNumberFormat="1" applyFont="1" applyBorder="1" applyAlignment="1">
      <alignment vertical="center" shrinkToFit="1"/>
    </xf>
    <xf numFmtId="165" fontId="1" fillId="0" borderId="61" xfId="0" applyNumberFormat="1" applyFont="1" applyBorder="1" applyAlignment="1">
      <alignment vertical="center" shrinkToFit="1"/>
    </xf>
    <xf numFmtId="0" fontId="1" fillId="15" borderId="0" xfId="0" applyFont="1" applyFill="1"/>
    <xf numFmtId="164" fontId="1" fillId="16" borderId="17" xfId="0" applyNumberFormat="1" applyFont="1" applyFill="1" applyBorder="1" applyAlignment="1">
      <alignment horizontal="center" vertical="center" shrinkToFit="1"/>
    </xf>
    <xf numFmtId="164" fontId="1" fillId="16" borderId="36" xfId="0" applyNumberFormat="1" applyFont="1" applyFill="1" applyBorder="1" applyAlignment="1">
      <alignment horizontal="center" vertical="center" wrapText="1"/>
    </xf>
    <xf numFmtId="164" fontId="1" fillId="16" borderId="92" xfId="0" applyNumberFormat="1" applyFont="1" applyFill="1" applyBorder="1" applyAlignment="1">
      <alignment horizontal="center" vertical="center" shrinkToFit="1"/>
    </xf>
    <xf numFmtId="164" fontId="1" fillId="2" borderId="93" xfId="0" applyNumberFormat="1" applyFont="1" applyFill="1" applyBorder="1" applyAlignment="1">
      <alignment horizontal="center" vertical="center" wrapText="1"/>
    </xf>
    <xf numFmtId="164" fontId="7" fillId="27" borderId="52" xfId="0" applyNumberFormat="1" applyFont="1" applyFill="1" applyBorder="1" applyAlignment="1">
      <alignment horizontal="center" vertical="center" wrapText="1"/>
    </xf>
    <xf numFmtId="164" fontId="1" fillId="24" borderId="52" xfId="0" applyNumberFormat="1" applyFont="1" applyFill="1" applyBorder="1" applyAlignment="1">
      <alignment horizontal="center" vertical="center" wrapText="1"/>
    </xf>
    <xf numFmtId="164" fontId="1" fillId="24" borderId="52" xfId="0" applyNumberFormat="1" applyFont="1" applyFill="1" applyBorder="1" applyAlignment="1">
      <alignment horizontal="center" vertical="center" wrapText="1"/>
    </xf>
    <xf numFmtId="164" fontId="7" fillId="28" borderId="52" xfId="0" applyNumberFormat="1" applyFont="1" applyFill="1" applyBorder="1" applyAlignment="1">
      <alignment horizontal="center" vertical="center" wrapText="1"/>
    </xf>
    <xf numFmtId="164" fontId="1" fillId="29" borderId="52" xfId="0" applyNumberFormat="1" applyFont="1" applyFill="1" applyBorder="1" applyAlignment="1">
      <alignment horizontal="center" vertical="center" wrapText="1"/>
    </xf>
    <xf numFmtId="164" fontId="1" fillId="29" borderId="52" xfId="0" applyNumberFormat="1" applyFont="1" applyFill="1" applyBorder="1" applyAlignment="1">
      <alignment horizontal="center" vertical="center" wrapText="1"/>
    </xf>
    <xf numFmtId="164" fontId="1" fillId="16" borderId="42" xfId="0" applyNumberFormat="1" applyFont="1" applyFill="1" applyBorder="1" applyAlignment="1">
      <alignment horizontal="center" vertical="center" shrinkToFit="1"/>
    </xf>
    <xf numFmtId="164" fontId="1" fillId="2" borderId="40" xfId="0" applyNumberFormat="1" applyFont="1" applyFill="1" applyBorder="1" applyAlignment="1">
      <alignment horizontal="center" vertical="center" shrinkToFit="1"/>
    </xf>
    <xf numFmtId="164" fontId="7" fillId="27" borderId="40" xfId="0" applyNumberFormat="1" applyFont="1" applyFill="1" applyBorder="1" applyAlignment="1">
      <alignment horizontal="center" vertical="center" shrinkToFit="1"/>
    </xf>
    <xf numFmtId="164" fontId="1" fillId="24" borderId="40" xfId="0" applyNumberFormat="1" applyFont="1" applyFill="1" applyBorder="1" applyAlignment="1">
      <alignment horizontal="center" vertical="center" shrinkToFit="1"/>
    </xf>
    <xf numFmtId="165" fontId="1" fillId="24" borderId="40" xfId="0" applyNumberFormat="1" applyFont="1" applyFill="1" applyBorder="1" applyAlignment="1">
      <alignment horizontal="center" vertical="center" shrinkToFit="1"/>
    </xf>
    <xf numFmtId="164" fontId="7" fillId="28" borderId="40" xfId="0" applyNumberFormat="1" applyFont="1" applyFill="1" applyBorder="1" applyAlignment="1">
      <alignment horizontal="center" vertical="center" shrinkToFit="1"/>
    </xf>
    <xf numFmtId="164" fontId="1" fillId="29" borderId="40" xfId="0" applyNumberFormat="1" applyFont="1" applyFill="1" applyBorder="1" applyAlignment="1">
      <alignment horizontal="center" vertical="center" shrinkToFit="1"/>
    </xf>
    <xf numFmtId="165" fontId="1" fillId="29" borderId="40" xfId="0" applyNumberFormat="1" applyFont="1" applyFill="1" applyBorder="1" applyAlignment="1">
      <alignment horizontal="center" vertical="center" shrinkToFit="1"/>
    </xf>
    <xf numFmtId="164" fontId="1" fillId="10" borderId="94" xfId="0" applyNumberFormat="1" applyFont="1" applyFill="1" applyBorder="1" applyAlignment="1">
      <alignment vertical="center" shrinkToFit="1"/>
    </xf>
    <xf numFmtId="164" fontId="1" fillId="19" borderId="94" xfId="0" applyNumberFormat="1" applyFont="1" applyFill="1" applyBorder="1" applyAlignment="1">
      <alignment horizontal="right" vertical="center"/>
    </xf>
    <xf numFmtId="164" fontId="1" fillId="20" borderId="94" xfId="0" applyNumberFormat="1" applyFont="1" applyFill="1" applyBorder="1" applyAlignment="1">
      <alignment horizontal="right" vertical="center"/>
    </xf>
    <xf numFmtId="165" fontId="1" fillId="20" borderId="24" xfId="0" applyNumberFormat="1" applyFont="1" applyFill="1" applyBorder="1" applyAlignment="1">
      <alignment vertical="center" shrinkToFit="1"/>
    </xf>
    <xf numFmtId="164" fontId="1" fillId="10" borderId="94" xfId="0" applyNumberFormat="1" applyFont="1" applyFill="1" applyBorder="1" applyAlignment="1">
      <alignment horizontal="right" vertical="center"/>
    </xf>
    <xf numFmtId="164" fontId="1" fillId="3" borderId="58" xfId="0" applyNumberFormat="1" applyFont="1" applyFill="1" applyBorder="1" applyAlignment="1">
      <alignment vertical="center" shrinkToFit="1"/>
    </xf>
    <xf numFmtId="165" fontId="1" fillId="0" borderId="57" xfId="0" applyNumberFormat="1" applyFont="1" applyBorder="1" applyAlignment="1">
      <alignment vertical="center" shrinkToFit="1"/>
    </xf>
    <xf numFmtId="164" fontId="1" fillId="0" borderId="67" xfId="0" applyNumberFormat="1" applyFont="1" applyBorder="1" applyAlignment="1">
      <alignment horizontal="right" vertical="center"/>
    </xf>
    <xf numFmtId="165" fontId="1" fillId="15" borderId="67" xfId="0" applyNumberFormat="1" applyFont="1" applyFill="1" applyBorder="1" applyAlignment="1">
      <alignment vertical="center" shrinkToFit="1"/>
    </xf>
    <xf numFmtId="165" fontId="1" fillId="15" borderId="95" xfId="0" applyNumberFormat="1" applyFont="1" applyFill="1" applyBorder="1" applyAlignment="1">
      <alignment vertical="center" shrinkToFit="1"/>
    </xf>
    <xf numFmtId="164" fontId="1" fillId="3" borderId="61" xfId="0" applyNumberFormat="1" applyFont="1" applyFill="1" applyBorder="1" applyAlignment="1">
      <alignment vertical="center" shrinkToFit="1"/>
    </xf>
    <xf numFmtId="165" fontId="1" fillId="0" borderId="60" xfId="0" applyNumberFormat="1" applyFont="1" applyBorder="1" applyAlignment="1">
      <alignment vertical="center" shrinkToFit="1"/>
    </xf>
    <xf numFmtId="165" fontId="1" fillId="15" borderId="61" xfId="0" applyNumberFormat="1" applyFont="1" applyFill="1" applyBorder="1" applyAlignment="1">
      <alignment vertical="center" shrinkToFit="1"/>
    </xf>
    <xf numFmtId="165" fontId="1" fillId="15" borderId="96" xfId="0" applyNumberFormat="1" applyFont="1" applyFill="1" applyBorder="1" applyAlignment="1">
      <alignment vertical="center" shrinkToFit="1"/>
    </xf>
    <xf numFmtId="164" fontId="1" fillId="3" borderId="64" xfId="0" applyNumberFormat="1" applyFont="1" applyFill="1" applyBorder="1" applyAlignment="1">
      <alignment vertical="center" shrinkToFit="1"/>
    </xf>
    <xf numFmtId="165" fontId="1" fillId="0" borderId="63" xfId="0" applyNumberFormat="1" applyFont="1" applyBorder="1" applyAlignment="1">
      <alignment vertical="center" shrinkToFit="1"/>
    </xf>
    <xf numFmtId="164" fontId="1" fillId="0" borderId="94" xfId="0" applyNumberFormat="1" applyFont="1" applyBorder="1" applyAlignment="1">
      <alignment horizontal="right" vertical="center"/>
    </xf>
    <xf numFmtId="165" fontId="1" fillId="15" borderId="76" xfId="0" applyNumberFormat="1" applyFont="1" applyFill="1" applyBorder="1" applyAlignment="1">
      <alignment vertical="center" shrinkToFit="1"/>
    </xf>
    <xf numFmtId="165" fontId="1" fillId="15" borderId="97" xfId="0" applyNumberFormat="1" applyFont="1" applyFill="1" applyBorder="1" applyAlignment="1">
      <alignment vertical="center" shrinkToFit="1"/>
    </xf>
    <xf numFmtId="165" fontId="1" fillId="10" borderId="8" xfId="0" applyNumberFormat="1" applyFont="1" applyFill="1" applyBorder="1" applyAlignment="1">
      <alignment vertical="center" shrinkToFit="1"/>
    </xf>
    <xf numFmtId="164" fontId="1" fillId="10" borderId="52" xfId="0" applyNumberFormat="1" applyFont="1" applyFill="1" applyBorder="1" applyAlignment="1">
      <alignment horizontal="right" vertical="center"/>
    </xf>
    <xf numFmtId="165" fontId="1" fillId="19" borderId="8" xfId="0" applyNumberFormat="1" applyFont="1" applyFill="1" applyBorder="1" applyAlignment="1">
      <alignment vertical="center" shrinkToFit="1"/>
    </xf>
    <xf numFmtId="164" fontId="1" fillId="0" borderId="57" xfId="0" applyNumberFormat="1" applyFont="1" applyBorder="1" applyAlignment="1">
      <alignment vertical="center" shrinkToFit="1"/>
    </xf>
    <xf numFmtId="164" fontId="1" fillId="15" borderId="67" xfId="0" applyNumberFormat="1" applyFont="1" applyFill="1" applyBorder="1" applyAlignment="1">
      <alignment vertical="center" shrinkToFit="1"/>
    </xf>
    <xf numFmtId="164" fontId="1" fillId="15" borderId="95" xfId="0" applyNumberFormat="1" applyFont="1" applyFill="1" applyBorder="1" applyAlignment="1">
      <alignment vertical="center" shrinkToFit="1"/>
    </xf>
    <xf numFmtId="164" fontId="1" fillId="0" borderId="60" xfId="0" applyNumberFormat="1" applyFont="1" applyBorder="1" applyAlignment="1">
      <alignment vertical="center" shrinkToFit="1"/>
    </xf>
    <xf numFmtId="164" fontId="1" fillId="15" borderId="96" xfId="0" applyNumberFormat="1" applyFont="1" applyFill="1" applyBorder="1" applyAlignment="1">
      <alignment vertical="center" shrinkToFit="1"/>
    </xf>
    <xf numFmtId="0" fontId="5" fillId="15" borderId="0" xfId="0" applyFont="1" applyFill="1"/>
    <xf numFmtId="0" fontId="8" fillId="15" borderId="17" xfId="0" applyFont="1" applyFill="1" applyBorder="1"/>
    <xf numFmtId="164" fontId="8" fillId="15" borderId="17" xfId="0" applyNumberFormat="1" applyFont="1" applyFill="1" applyBorder="1"/>
    <xf numFmtId="165" fontId="8" fillId="15" borderId="17" xfId="0" applyNumberFormat="1" applyFont="1" applyFill="1" applyBorder="1"/>
    <xf numFmtId="0" fontId="8" fillId="15" borderId="17" xfId="0" applyFont="1" applyFill="1" applyBorder="1" applyAlignment="1">
      <alignment horizontal="center"/>
    </xf>
    <xf numFmtId="165" fontId="8" fillId="15" borderId="17" xfId="0" applyNumberFormat="1" applyFont="1" applyFill="1" applyBorder="1" applyAlignment="1">
      <alignment horizontal="center"/>
    </xf>
    <xf numFmtId="167" fontId="8" fillId="15" borderId="17" xfId="0" applyNumberFormat="1" applyFont="1" applyFill="1" applyBorder="1"/>
    <xf numFmtId="167" fontId="8" fillId="15" borderId="17" xfId="0" applyNumberFormat="1" applyFont="1" applyFill="1" applyBorder="1" applyAlignment="1">
      <alignment horizontal="center" vertical="center"/>
    </xf>
    <xf numFmtId="167" fontId="9" fillId="15" borderId="17" xfId="0" applyNumberFormat="1" applyFont="1" applyFill="1" applyBorder="1" applyAlignment="1">
      <alignment horizontal="center" vertical="center"/>
    </xf>
    <xf numFmtId="166" fontId="12" fillId="7" borderId="52" xfId="0" applyNumberFormat="1" applyFont="1" applyFill="1" applyBorder="1" applyAlignment="1">
      <alignment horizontal="center" vertical="center" wrapText="1"/>
    </xf>
    <xf numFmtId="167" fontId="8" fillId="15" borderId="17" xfId="0" applyNumberFormat="1" applyFont="1" applyFill="1" applyBorder="1" applyAlignment="1">
      <alignment horizontal="center" vertical="top" shrinkToFit="1"/>
    </xf>
    <xf numFmtId="164" fontId="11" fillId="8" borderId="105" xfId="0" applyNumberFormat="1" applyFont="1" applyFill="1" applyBorder="1" applyAlignment="1">
      <alignment horizontal="center" vertical="center" shrinkToFit="1"/>
    </xf>
    <xf numFmtId="164" fontId="11" fillId="13" borderId="36" xfId="0" applyNumberFormat="1" applyFont="1" applyFill="1" applyBorder="1" applyAlignment="1">
      <alignment horizontal="center" vertical="center" shrinkToFit="1"/>
    </xf>
    <xf numFmtId="166" fontId="8" fillId="16" borderId="36" xfId="0" applyNumberFormat="1" applyFont="1" applyFill="1" applyBorder="1" applyAlignment="1">
      <alignment horizontal="center" vertical="center" shrinkToFit="1"/>
    </xf>
    <xf numFmtId="166" fontId="8" fillId="16" borderId="94" xfId="0" applyNumberFormat="1" applyFont="1" applyFill="1" applyBorder="1" applyAlignment="1">
      <alignment horizontal="center" vertical="center" shrinkToFit="1"/>
    </xf>
    <xf numFmtId="164" fontId="8" fillId="2" borderId="52" xfId="0" applyNumberFormat="1" applyFont="1" applyFill="1" applyBorder="1" applyAlignment="1">
      <alignment horizontal="center" vertical="center" shrinkToFit="1"/>
    </xf>
    <xf numFmtId="164" fontId="11" fillId="8" borderId="106" xfId="0" applyNumberFormat="1" applyFont="1" applyFill="1" applyBorder="1" applyAlignment="1">
      <alignment horizontal="center" vertical="center" shrinkToFit="1"/>
    </xf>
    <xf numFmtId="164" fontId="11" fillId="13" borderId="42" xfId="0" applyNumberFormat="1" applyFont="1" applyFill="1" applyBorder="1" applyAlignment="1">
      <alignment horizontal="center" vertical="center" shrinkToFit="1"/>
    </xf>
    <xf numFmtId="164" fontId="11" fillId="18" borderId="41" xfId="0" applyNumberFormat="1" applyFont="1" applyFill="1" applyBorder="1" applyAlignment="1">
      <alignment horizontal="center" vertical="center" shrinkToFit="1"/>
    </xf>
    <xf numFmtId="165" fontId="11" fillId="18" borderId="41" xfId="0" applyNumberFormat="1" applyFont="1" applyFill="1" applyBorder="1" applyAlignment="1">
      <alignment horizontal="center" vertical="center" shrinkToFit="1"/>
    </xf>
    <xf numFmtId="164" fontId="11" fillId="16" borderId="42" xfId="0" applyNumberFormat="1" applyFont="1" applyFill="1" applyBorder="1" applyAlignment="1">
      <alignment horizontal="center" vertical="center" wrapText="1"/>
    </xf>
    <xf numFmtId="164" fontId="11" fillId="2" borderId="41" xfId="0" applyNumberFormat="1" applyFont="1" applyFill="1" applyBorder="1" applyAlignment="1">
      <alignment horizontal="center" vertical="center" wrapText="1"/>
    </xf>
    <xf numFmtId="165" fontId="11" fillId="2" borderId="41" xfId="0" applyNumberFormat="1" applyFont="1" applyFill="1" applyBorder="1" applyAlignment="1">
      <alignment horizontal="center" vertical="center" wrapText="1"/>
    </xf>
    <xf numFmtId="164" fontId="11" fillId="16" borderId="42" xfId="0" applyNumberFormat="1" applyFont="1" applyFill="1" applyBorder="1" applyAlignment="1">
      <alignment horizontal="center" vertical="center" shrinkToFit="1"/>
    </xf>
    <xf numFmtId="164" fontId="11" fillId="2" borderId="42" xfId="0" applyNumberFormat="1" applyFont="1" applyFill="1" applyBorder="1" applyAlignment="1">
      <alignment horizontal="center" vertical="center" wrapText="1"/>
    </xf>
    <xf numFmtId="165" fontId="11" fillId="2" borderId="42" xfId="0" applyNumberFormat="1" applyFont="1" applyFill="1" applyBorder="1" applyAlignment="1">
      <alignment horizontal="center" vertical="center" wrapText="1"/>
    </xf>
    <xf numFmtId="164" fontId="11" fillId="2" borderId="107" xfId="0" applyNumberFormat="1" applyFont="1" applyFill="1" applyBorder="1" applyAlignment="1">
      <alignment horizontal="center" vertical="center" wrapText="1"/>
    </xf>
    <xf numFmtId="167" fontId="11" fillId="15" borderId="17" xfId="0" applyNumberFormat="1" applyFont="1" applyFill="1" applyBorder="1" applyAlignment="1">
      <alignment horizontal="center" vertical="center" shrinkToFit="1"/>
    </xf>
    <xf numFmtId="164" fontId="8" fillId="8" borderId="109" xfId="0" applyNumberFormat="1" applyFont="1" applyFill="1" applyBorder="1" applyAlignment="1">
      <alignment horizontal="center" vertical="center" shrinkToFit="1"/>
    </xf>
    <xf numFmtId="164" fontId="8" fillId="12" borderId="110" xfId="0" applyNumberFormat="1" applyFont="1" applyFill="1" applyBorder="1" applyAlignment="1">
      <alignment horizontal="center" vertical="center" shrinkToFit="1"/>
    </xf>
    <xf numFmtId="164" fontId="8" fillId="13" borderId="110" xfId="0" applyNumberFormat="1" applyFont="1" applyFill="1" applyBorder="1" applyAlignment="1">
      <alignment horizontal="center" vertical="center" shrinkToFit="1"/>
    </xf>
    <xf numFmtId="164" fontId="11" fillId="18" borderId="110" xfId="0" applyNumberFormat="1" applyFont="1" applyFill="1" applyBorder="1" applyAlignment="1">
      <alignment horizontal="center" vertical="center" shrinkToFit="1"/>
    </xf>
    <xf numFmtId="165" fontId="11" fillId="18" borderId="110" xfId="0" applyNumberFormat="1" applyFont="1" applyFill="1" applyBorder="1" applyAlignment="1">
      <alignment horizontal="center" vertical="center" shrinkToFit="1"/>
    </xf>
    <xf numFmtId="164" fontId="11" fillId="16" borderId="110" xfId="0" applyNumberFormat="1" applyFont="1" applyFill="1" applyBorder="1" applyAlignment="1">
      <alignment horizontal="center" vertical="center" shrinkToFit="1"/>
    </xf>
    <xf numFmtId="165" fontId="11" fillId="2" borderId="48" xfId="0" applyNumberFormat="1" applyFont="1" applyFill="1" applyBorder="1" applyAlignment="1">
      <alignment horizontal="center" vertical="center" shrinkToFit="1"/>
    </xf>
    <xf numFmtId="164" fontId="11" fillId="16" borderId="48" xfId="0" applyNumberFormat="1" applyFont="1" applyFill="1" applyBorder="1" applyAlignment="1">
      <alignment horizontal="center" vertical="center" shrinkToFit="1"/>
    </xf>
    <xf numFmtId="164" fontId="11" fillId="2" borderId="48" xfId="0" applyNumberFormat="1" applyFont="1" applyFill="1" applyBorder="1" applyAlignment="1">
      <alignment horizontal="center" vertical="center" shrinkToFit="1"/>
    </xf>
    <xf numFmtId="165" fontId="11" fillId="2" borderId="110" xfId="0" applyNumberFormat="1" applyFont="1" applyFill="1" applyBorder="1" applyAlignment="1">
      <alignment horizontal="center" vertical="center" shrinkToFit="1"/>
    </xf>
    <xf numFmtId="0" fontId="11" fillId="10" borderId="46" xfId="0" applyFont="1" applyFill="1" applyBorder="1" applyAlignment="1">
      <alignment horizontal="left" vertical="center"/>
    </xf>
    <xf numFmtId="0" fontId="11" fillId="10" borderId="47" xfId="0" applyFont="1" applyFill="1" applyBorder="1" applyAlignment="1">
      <alignment horizontal="left" vertical="center"/>
    </xf>
    <xf numFmtId="164" fontId="11" fillId="10" borderId="111" xfId="0" applyNumberFormat="1" applyFont="1" applyFill="1" applyBorder="1" applyAlignment="1">
      <alignment vertical="center" shrinkToFit="1"/>
    </xf>
    <xf numFmtId="164" fontId="11" fillId="10" borderId="48" xfId="0" applyNumberFormat="1" applyFont="1" applyFill="1" applyBorder="1" applyAlignment="1">
      <alignment vertical="center" shrinkToFit="1"/>
    </xf>
    <xf numFmtId="165" fontId="11" fillId="10" borderId="48" xfId="0" applyNumberFormat="1" applyFont="1" applyFill="1" applyBorder="1" applyAlignment="1">
      <alignment vertical="center" shrinkToFit="1"/>
    </xf>
    <xf numFmtId="165" fontId="11" fillId="10" borderId="52" xfId="0" applyNumberFormat="1" applyFont="1" applyFill="1" applyBorder="1" applyAlignment="1">
      <alignment vertical="center" shrinkToFit="1"/>
    </xf>
    <xf numFmtId="164" fontId="11" fillId="10" borderId="52" xfId="0" applyNumberFormat="1" applyFont="1" applyFill="1" applyBorder="1" applyAlignment="1">
      <alignment vertical="center" shrinkToFit="1"/>
    </xf>
    <xf numFmtId="167" fontId="13" fillId="15" borderId="17" xfId="0" applyNumberFormat="1" applyFont="1" applyFill="1" applyBorder="1" applyAlignment="1">
      <alignment vertical="center" shrinkToFit="1"/>
    </xf>
    <xf numFmtId="0" fontId="11" fillId="19" borderId="50" xfId="0" applyFont="1" applyFill="1" applyBorder="1" applyAlignment="1">
      <alignment horizontal="left" vertical="center"/>
    </xf>
    <xf numFmtId="0" fontId="11" fillId="19" borderId="51" xfId="0" applyFont="1" applyFill="1" applyBorder="1" applyAlignment="1">
      <alignment horizontal="left" vertical="center"/>
    </xf>
    <xf numFmtId="164" fontId="11" fillId="19" borderId="112" xfId="0" applyNumberFormat="1" applyFont="1" applyFill="1" applyBorder="1" applyAlignment="1">
      <alignment vertical="center" shrinkToFit="1"/>
    </xf>
    <xf numFmtId="164" fontId="11" fillId="19" borderId="52" xfId="0" applyNumberFormat="1" applyFont="1" applyFill="1" applyBorder="1" applyAlignment="1">
      <alignment vertical="center" shrinkToFit="1"/>
    </xf>
    <xf numFmtId="165" fontId="11" fillId="19" borderId="52" xfId="0" applyNumberFormat="1" applyFont="1" applyFill="1" applyBorder="1" applyAlignment="1">
      <alignment vertical="center" shrinkToFit="1"/>
    </xf>
    <xf numFmtId="167" fontId="11" fillId="15" borderId="17" xfId="0" applyNumberFormat="1" applyFont="1" applyFill="1" applyBorder="1" applyAlignment="1">
      <alignment vertical="center" shrinkToFit="1"/>
    </xf>
    <xf numFmtId="0" fontId="11" fillId="20" borderId="50" xfId="0" applyFont="1" applyFill="1" applyBorder="1" applyAlignment="1">
      <alignment horizontal="left" vertical="center"/>
    </xf>
    <xf numFmtId="0" fontId="11" fillId="20" borderId="51" xfId="0" applyFont="1" applyFill="1" applyBorder="1" applyAlignment="1">
      <alignment horizontal="left" vertical="center"/>
    </xf>
    <xf numFmtId="164" fontId="11" fillId="20" borderId="105" xfId="0" applyNumberFormat="1" applyFont="1" applyFill="1" applyBorder="1" applyAlignment="1">
      <alignment vertical="center" shrinkToFit="1"/>
    </xf>
    <xf numFmtId="164" fontId="11" fillId="20" borderId="36" xfId="0" applyNumberFormat="1" applyFont="1" applyFill="1" applyBorder="1" applyAlignment="1">
      <alignment vertical="center" shrinkToFit="1"/>
    </xf>
    <xf numFmtId="165" fontId="11" fillId="20" borderId="36" xfId="0" applyNumberFormat="1" applyFont="1" applyFill="1" applyBorder="1" applyAlignment="1">
      <alignment vertical="center" shrinkToFit="1"/>
    </xf>
    <xf numFmtId="164" fontId="11" fillId="10" borderId="112" xfId="0" applyNumberFormat="1" applyFont="1" applyFill="1" applyBorder="1" applyAlignment="1">
      <alignment vertical="center" shrinkToFit="1"/>
    </xf>
    <xf numFmtId="0" fontId="14" fillId="0" borderId="58" xfId="0" applyFont="1" applyBorder="1" applyAlignment="1">
      <alignment horizontal="center" vertical="center" shrinkToFit="1"/>
    </xf>
    <xf numFmtId="0" fontId="13" fillId="0" borderId="57" xfId="0" applyFont="1" applyBorder="1" applyAlignment="1">
      <alignment horizontal="left" vertical="center" shrinkToFit="1"/>
    </xf>
    <xf numFmtId="164" fontId="8" fillId="8" borderId="56" xfId="0" applyNumberFormat="1" applyFont="1" applyFill="1" applyBorder="1" applyAlignment="1">
      <alignment vertical="center" shrinkToFit="1"/>
    </xf>
    <xf numFmtId="164" fontId="8" fillId="0" borderId="58" xfId="0" applyNumberFormat="1" applyFont="1" applyBorder="1" applyAlignment="1">
      <alignment vertical="center" shrinkToFit="1"/>
    </xf>
    <xf numFmtId="165" fontId="8" fillId="0" borderId="58" xfId="0" applyNumberFormat="1" applyFont="1" applyBorder="1" applyAlignment="1">
      <alignment vertical="center" shrinkToFit="1"/>
    </xf>
    <xf numFmtId="165" fontId="11" fillId="0" borderId="58" xfId="0" applyNumberFormat="1" applyFont="1" applyBorder="1" applyAlignment="1">
      <alignment vertical="center" shrinkToFit="1"/>
    </xf>
    <xf numFmtId="164" fontId="8" fillId="15" borderId="58" xfId="0" applyNumberFormat="1" applyFont="1" applyFill="1" applyBorder="1" applyAlignment="1">
      <alignment vertical="center" shrinkToFit="1"/>
    </xf>
    <xf numFmtId="164" fontId="11" fillId="0" borderId="58" xfId="0" applyNumberFormat="1" applyFont="1" applyBorder="1" applyAlignment="1">
      <alignment vertical="center" shrinkToFit="1"/>
    </xf>
    <xf numFmtId="165" fontId="8" fillId="15" borderId="58" xfId="0" applyNumberFormat="1" applyFont="1" applyFill="1" applyBorder="1" applyAlignment="1">
      <alignment vertical="center" shrinkToFit="1"/>
    </xf>
    <xf numFmtId="167" fontId="8" fillId="15" borderId="17" xfId="0" applyNumberFormat="1" applyFont="1" applyFill="1" applyBorder="1" applyAlignment="1">
      <alignment vertical="center" shrinkToFit="1"/>
    </xf>
    <xf numFmtId="0" fontId="14" fillId="0" borderId="61" xfId="0" applyFont="1" applyBorder="1" applyAlignment="1">
      <alignment horizontal="center" vertical="center" shrinkToFit="1"/>
    </xf>
    <xf numFmtId="0" fontId="14" fillId="0" borderId="60" xfId="0" applyFont="1" applyBorder="1" applyAlignment="1">
      <alignment horizontal="left" vertical="center" shrinkToFit="1"/>
    </xf>
    <xf numFmtId="164" fontId="8" fillId="8" borderId="59" xfId="0" applyNumberFormat="1" applyFont="1" applyFill="1" applyBorder="1" applyAlignment="1">
      <alignment vertical="center" shrinkToFit="1"/>
    </xf>
    <xf numFmtId="164" fontId="8" fillId="0" borderId="61" xfId="0" applyNumberFormat="1" applyFont="1" applyBorder="1" applyAlignment="1">
      <alignment vertical="center" shrinkToFit="1"/>
    </xf>
    <xf numFmtId="165" fontId="8" fillId="0" borderId="61" xfId="0" applyNumberFormat="1" applyFont="1" applyBorder="1" applyAlignment="1">
      <alignment vertical="center" shrinkToFit="1"/>
    </xf>
    <xf numFmtId="164" fontId="8" fillId="15" borderId="61" xfId="0" applyNumberFormat="1" applyFont="1" applyFill="1" applyBorder="1" applyAlignment="1">
      <alignment vertical="center" shrinkToFit="1"/>
    </xf>
    <xf numFmtId="165" fontId="8" fillId="15" borderId="61" xfId="0" applyNumberFormat="1" applyFont="1" applyFill="1" applyBorder="1" applyAlignment="1">
      <alignment vertical="center" shrinkToFit="1"/>
    </xf>
    <xf numFmtId="0" fontId="14" fillId="0" borderId="64" xfId="0" applyFont="1" applyBorder="1" applyAlignment="1">
      <alignment horizontal="center" vertical="center" shrinkToFit="1"/>
    </xf>
    <xf numFmtId="0" fontId="14" fillId="0" borderId="63" xfId="0" applyFont="1" applyBorder="1" applyAlignment="1">
      <alignment horizontal="left" vertical="center" shrinkToFit="1"/>
    </xf>
    <xf numFmtId="164" fontId="8" fillId="8" borderId="62" xfId="0" applyNumberFormat="1" applyFont="1" applyFill="1" applyBorder="1" applyAlignment="1">
      <alignment vertical="center" shrinkToFit="1"/>
    </xf>
    <xf numFmtId="164" fontId="8" fillId="0" borderId="64" xfId="0" applyNumberFormat="1" applyFont="1" applyBorder="1" applyAlignment="1">
      <alignment vertical="center" shrinkToFit="1"/>
    </xf>
    <xf numFmtId="165" fontId="8" fillId="0" borderId="64" xfId="0" applyNumberFormat="1" applyFont="1" applyBorder="1" applyAlignment="1">
      <alignment vertical="center" shrinkToFit="1"/>
    </xf>
    <xf numFmtId="164" fontId="8" fillId="15" borderId="64" xfId="0" applyNumberFormat="1" applyFont="1" applyFill="1" applyBorder="1" applyAlignment="1">
      <alignment vertical="center" shrinkToFit="1"/>
    </xf>
    <xf numFmtId="165" fontId="8" fillId="15" borderId="64" xfId="0" applyNumberFormat="1" applyFont="1" applyFill="1" applyBorder="1" applyAlignment="1">
      <alignment vertical="center" shrinkToFit="1"/>
    </xf>
    <xf numFmtId="164" fontId="8" fillId="10" borderId="112" xfId="0" applyNumberFormat="1" applyFont="1" applyFill="1" applyBorder="1" applyAlignment="1">
      <alignment vertical="center" shrinkToFit="1"/>
    </xf>
    <xf numFmtId="164" fontId="8" fillId="10" borderId="52" xfId="0" applyNumberFormat="1" applyFont="1" applyFill="1" applyBorder="1" applyAlignment="1">
      <alignment vertical="center" shrinkToFit="1"/>
    </xf>
    <xf numFmtId="165" fontId="8" fillId="10" borderId="52" xfId="0" applyNumberFormat="1" applyFont="1" applyFill="1" applyBorder="1" applyAlignment="1">
      <alignment vertical="center" shrinkToFit="1"/>
    </xf>
    <xf numFmtId="0" fontId="13" fillId="0" borderId="60" xfId="0" applyFont="1" applyBorder="1" applyAlignment="1">
      <alignment horizontal="left" vertical="center" shrinkToFit="1"/>
    </xf>
    <xf numFmtId="0" fontId="13" fillId="0" borderId="63" xfId="0" applyFont="1" applyBorder="1" applyAlignment="1">
      <alignment horizontal="left" vertical="center" shrinkToFit="1"/>
    </xf>
    <xf numFmtId="164" fontId="8" fillId="19" borderId="112" xfId="0" applyNumberFormat="1" applyFont="1" applyFill="1" applyBorder="1" applyAlignment="1">
      <alignment vertical="center" shrinkToFit="1"/>
    </xf>
    <xf numFmtId="164" fontId="8" fillId="19" borderId="52" xfId="0" applyNumberFormat="1" applyFont="1" applyFill="1" applyBorder="1" applyAlignment="1">
      <alignment vertical="center" shrinkToFit="1"/>
    </xf>
    <xf numFmtId="165" fontId="8" fillId="19" borderId="52" xfId="0" applyNumberFormat="1" applyFont="1" applyFill="1" applyBorder="1" applyAlignment="1">
      <alignment vertical="center" shrinkToFit="1"/>
    </xf>
    <xf numFmtId="0" fontId="8" fillId="0" borderId="58" xfId="0" applyFont="1" applyBorder="1" applyAlignment="1">
      <alignment horizontal="center" vertical="center"/>
    </xf>
    <xf numFmtId="0" fontId="8" fillId="0" borderId="57" xfId="0" applyFont="1" applyBorder="1" applyAlignment="1">
      <alignment horizontal="left" vertical="center"/>
    </xf>
    <xf numFmtId="0" fontId="8" fillId="0" borderId="61" xfId="0" applyFont="1" applyBorder="1" applyAlignment="1">
      <alignment horizontal="center" vertical="center"/>
    </xf>
    <xf numFmtId="0" fontId="8" fillId="0" borderId="60" xfId="0" applyFont="1" applyBorder="1" applyAlignment="1">
      <alignment horizontal="left" vertical="center"/>
    </xf>
    <xf numFmtId="0" fontId="8" fillId="0" borderId="64" xfId="0" applyFont="1" applyBorder="1" applyAlignment="1">
      <alignment horizontal="center" vertical="center"/>
    </xf>
    <xf numFmtId="0" fontId="8" fillId="0" borderId="63" xfId="0" applyFont="1" applyBorder="1" applyAlignment="1">
      <alignment horizontal="left" vertical="center"/>
    </xf>
    <xf numFmtId="164" fontId="8" fillId="8" borderId="113" xfId="0" applyNumberFormat="1" applyFont="1" applyFill="1" applyBorder="1" applyAlignment="1">
      <alignment vertical="center" shrinkToFit="1"/>
    </xf>
    <xf numFmtId="164" fontId="8" fillId="0" borderId="114" xfId="0" applyNumberFormat="1" applyFont="1" applyBorder="1" applyAlignment="1">
      <alignment vertical="center" shrinkToFit="1"/>
    </xf>
    <xf numFmtId="165" fontId="8" fillId="0" borderId="114" xfId="0" applyNumberFormat="1" applyFont="1" applyBorder="1" applyAlignment="1">
      <alignment vertical="center" shrinkToFit="1"/>
    </xf>
    <xf numFmtId="164" fontId="8" fillId="15" borderId="114" xfId="0" applyNumberFormat="1" applyFont="1" applyFill="1" applyBorder="1" applyAlignment="1">
      <alignment vertical="center" shrinkToFit="1"/>
    </xf>
    <xf numFmtId="165" fontId="8" fillId="15" borderId="114" xfId="0" applyNumberFormat="1" applyFont="1" applyFill="1" applyBorder="1" applyAlignment="1">
      <alignment vertical="center" shrinkToFit="1"/>
    </xf>
    <xf numFmtId="0" fontId="8" fillId="0" borderId="0" xfId="0" applyFont="1"/>
    <xf numFmtId="165" fontId="8" fillId="0" borderId="0" xfId="0" applyNumberFormat="1" applyFont="1"/>
    <xf numFmtId="164" fontId="8" fillId="0" borderId="0" xfId="0" applyNumberFormat="1" applyFont="1"/>
    <xf numFmtId="0" fontId="14" fillId="0" borderId="0" xfId="0" applyFont="1"/>
    <xf numFmtId="165" fontId="14" fillId="0" borderId="0" xfId="0" applyNumberFormat="1" applyFont="1"/>
    <xf numFmtId="164" fontId="14" fillId="0" borderId="0" xfId="0" applyNumberFormat="1" applyFont="1"/>
    <xf numFmtId="0" fontId="14" fillId="15" borderId="17" xfId="0" applyFont="1" applyFill="1" applyBorder="1"/>
    <xf numFmtId="0" fontId="15" fillId="0" borderId="0" xfId="0" applyFont="1"/>
    <xf numFmtId="0" fontId="14" fillId="0" borderId="0" xfId="0" applyFont="1" applyAlignment="1">
      <alignment wrapText="1"/>
    </xf>
    <xf numFmtId="164" fontId="8" fillId="8" borderId="105" xfId="0" applyNumberFormat="1" applyFont="1" applyFill="1" applyBorder="1" applyAlignment="1">
      <alignment horizontal="center" vertical="center" shrinkToFit="1"/>
    </xf>
    <xf numFmtId="164" fontId="8" fillId="13" borderId="36" xfId="0" applyNumberFormat="1" applyFont="1" applyFill="1" applyBorder="1" applyAlignment="1">
      <alignment horizontal="center" vertical="center" shrinkToFit="1"/>
    </xf>
    <xf numFmtId="164" fontId="11" fillId="16" borderId="41" xfId="0" applyNumberFormat="1" applyFont="1" applyFill="1" applyBorder="1" applyAlignment="1">
      <alignment horizontal="center" vertical="center" shrinkToFit="1"/>
    </xf>
    <xf numFmtId="165" fontId="11" fillId="2" borderId="107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164" fontId="11" fillId="2" borderId="110" xfId="0" applyNumberFormat="1" applyFont="1" applyFill="1" applyBorder="1" applyAlignment="1">
      <alignment horizontal="center" vertical="center" shrinkToFit="1"/>
    </xf>
    <xf numFmtId="0" fontId="11" fillId="0" borderId="0" xfId="0" applyFont="1"/>
    <xf numFmtId="165" fontId="11" fillId="10" borderId="117" xfId="0" applyNumberFormat="1" applyFont="1" applyFill="1" applyBorder="1" applyAlignment="1">
      <alignment vertical="center" shrinkToFit="1"/>
    </xf>
    <xf numFmtId="0" fontId="13" fillId="0" borderId="0" xfId="0" applyFont="1"/>
    <xf numFmtId="165" fontId="11" fillId="19" borderId="118" xfId="0" applyNumberFormat="1" applyFont="1" applyFill="1" applyBorder="1" applyAlignment="1">
      <alignment vertical="center" shrinkToFit="1"/>
    </xf>
    <xf numFmtId="165" fontId="11" fillId="20" borderId="119" xfId="0" applyNumberFormat="1" applyFont="1" applyFill="1" applyBorder="1" applyAlignment="1">
      <alignment vertical="center" shrinkToFit="1"/>
    </xf>
    <xf numFmtId="165" fontId="11" fillId="10" borderId="118" xfId="0" applyNumberFormat="1" applyFont="1" applyFill="1" applyBorder="1" applyAlignment="1">
      <alignment vertical="center" shrinkToFit="1"/>
    </xf>
    <xf numFmtId="0" fontId="14" fillId="0" borderId="57" xfId="0" applyFont="1" applyBorder="1" applyAlignment="1">
      <alignment horizontal="left" vertical="center" shrinkToFit="1"/>
    </xf>
    <xf numFmtId="165" fontId="8" fillId="0" borderId="120" xfId="0" applyNumberFormat="1" applyFont="1" applyBorder="1" applyAlignment="1">
      <alignment vertical="center" shrinkToFit="1"/>
    </xf>
    <xf numFmtId="165" fontId="8" fillId="0" borderId="121" xfId="0" applyNumberFormat="1" applyFont="1" applyBorder="1" applyAlignment="1">
      <alignment vertical="center" shrinkToFit="1"/>
    </xf>
    <xf numFmtId="165" fontId="8" fillId="0" borderId="122" xfId="0" applyNumberFormat="1" applyFont="1" applyBorder="1" applyAlignment="1">
      <alignment vertical="center" shrinkToFit="1"/>
    </xf>
    <xf numFmtId="165" fontId="8" fillId="10" borderId="118" xfId="0" applyNumberFormat="1" applyFont="1" applyFill="1" applyBorder="1" applyAlignment="1">
      <alignment vertical="center" shrinkToFit="1"/>
    </xf>
    <xf numFmtId="165" fontId="8" fillId="19" borderId="118" xfId="0" applyNumberFormat="1" applyFont="1" applyFill="1" applyBorder="1" applyAlignment="1">
      <alignment vertical="center" shrinkToFit="1"/>
    </xf>
    <xf numFmtId="165" fontId="8" fillId="0" borderId="123" xfId="0" applyNumberFormat="1" applyFont="1" applyBorder="1" applyAlignment="1">
      <alignment vertical="center" shrinkToFit="1"/>
    </xf>
    <xf numFmtId="164" fontId="8" fillId="8" borderId="127" xfId="0" applyNumberFormat="1" applyFont="1" applyFill="1" applyBorder="1" applyAlignment="1">
      <alignment horizontal="center" vertical="center" shrinkToFit="1"/>
    </xf>
    <xf numFmtId="166" fontId="10" fillId="2" borderId="128" xfId="0" applyNumberFormat="1" applyFont="1" applyFill="1" applyBorder="1" applyAlignment="1">
      <alignment horizontal="center" vertical="center" wrapText="1"/>
    </xf>
    <xf numFmtId="166" fontId="10" fillId="2" borderId="48" xfId="0" applyNumberFormat="1" applyFont="1" applyFill="1" applyBorder="1" applyAlignment="1">
      <alignment horizontal="center" vertical="center" wrapText="1"/>
    </xf>
    <xf numFmtId="164" fontId="8" fillId="2" borderId="53" xfId="0" applyNumberFormat="1" applyFont="1" applyFill="1" applyBorder="1" applyAlignment="1">
      <alignment horizontal="center" vertical="top" wrapText="1"/>
    </xf>
    <xf numFmtId="164" fontId="8" fillId="2" borderId="36" xfId="0" applyNumberFormat="1" applyFont="1" applyFill="1" applyBorder="1" applyAlignment="1">
      <alignment horizontal="center" vertical="top" wrapText="1"/>
    </xf>
    <xf numFmtId="164" fontId="10" fillId="2" borderId="53" xfId="0" applyNumberFormat="1" applyFont="1" applyFill="1" applyBorder="1" applyAlignment="1">
      <alignment horizontal="center" vertical="top" wrapText="1"/>
    </xf>
    <xf numFmtId="164" fontId="10" fillId="2" borderId="129" xfId="0" applyNumberFormat="1" applyFont="1" applyFill="1" applyBorder="1" applyAlignment="1">
      <alignment horizontal="center" vertical="top" wrapText="1"/>
    </xf>
    <xf numFmtId="164" fontId="8" fillId="16" borderId="36" xfId="0" applyNumberFormat="1" applyFont="1" applyFill="1" applyBorder="1" applyAlignment="1">
      <alignment vertical="center" shrinkToFit="1"/>
    </xf>
    <xf numFmtId="164" fontId="8" fillId="16" borderId="54" xfId="0" applyNumberFormat="1" applyFont="1" applyFill="1" applyBorder="1" applyAlignment="1">
      <alignment vertical="center" shrinkToFit="1"/>
    </xf>
    <xf numFmtId="164" fontId="8" fillId="2" borderId="54" xfId="0" applyNumberFormat="1" applyFont="1" applyFill="1" applyBorder="1" applyAlignment="1">
      <alignment vertical="center" shrinkToFit="1"/>
    </xf>
    <xf numFmtId="164" fontId="8" fillId="2" borderId="130" xfId="0" applyNumberFormat="1" applyFont="1" applyFill="1" applyBorder="1" applyAlignment="1">
      <alignment vertical="center" shrinkToFit="1"/>
    </xf>
    <xf numFmtId="164" fontId="11" fillId="8" borderId="131" xfId="0" applyNumberFormat="1" applyFont="1" applyFill="1" applyBorder="1" applyAlignment="1">
      <alignment horizontal="center" vertical="center" shrinkToFit="1"/>
    </xf>
    <xf numFmtId="164" fontId="11" fillId="2" borderId="42" xfId="0" applyNumberFormat="1" applyFont="1" applyFill="1" applyBorder="1" applyAlignment="1">
      <alignment horizontal="center" vertical="center" shrinkToFit="1"/>
    </xf>
    <xf numFmtId="165" fontId="11" fillId="2" borderId="42" xfId="0" applyNumberFormat="1" applyFont="1" applyFill="1" applyBorder="1" applyAlignment="1">
      <alignment horizontal="center" vertical="center" shrinkToFit="1"/>
    </xf>
    <xf numFmtId="164" fontId="11" fillId="2" borderId="41" xfId="0" applyNumberFormat="1" applyFont="1" applyFill="1" applyBorder="1" applyAlignment="1">
      <alignment horizontal="center" vertical="center" shrinkToFit="1"/>
    </xf>
    <xf numFmtId="164" fontId="11" fillId="2" borderId="132" xfId="0" applyNumberFormat="1" applyFont="1" applyFill="1" applyBorder="1" applyAlignment="1">
      <alignment horizontal="center" vertical="center" shrinkToFit="1"/>
    </xf>
    <xf numFmtId="164" fontId="11" fillId="16" borderId="54" xfId="0" applyNumberFormat="1" applyFont="1" applyFill="1" applyBorder="1" applyAlignment="1">
      <alignment horizontal="center" vertical="center" shrinkToFit="1"/>
    </xf>
    <xf numFmtId="164" fontId="11" fillId="2" borderId="131" xfId="0" applyNumberFormat="1" applyFont="1" applyFill="1" applyBorder="1" applyAlignment="1">
      <alignment horizontal="center" vertical="center" shrinkToFit="1"/>
    </xf>
    <xf numFmtId="164" fontId="11" fillId="2" borderId="107" xfId="0" applyNumberFormat="1" applyFont="1" applyFill="1" applyBorder="1" applyAlignment="1">
      <alignment horizontal="center" vertical="center" shrinkToFit="1"/>
    </xf>
    <xf numFmtId="164" fontId="8" fillId="8" borderId="133" xfId="0" applyNumberFormat="1" applyFont="1" applyFill="1" applyBorder="1" applyAlignment="1">
      <alignment horizontal="center" vertical="center" shrinkToFit="1"/>
    </xf>
    <xf numFmtId="164" fontId="11" fillId="10" borderId="49" xfId="0" applyNumberFormat="1" applyFont="1" applyFill="1" applyBorder="1" applyAlignment="1">
      <alignment vertical="center" shrinkToFit="1"/>
    </xf>
    <xf numFmtId="164" fontId="11" fillId="19" borderId="53" xfId="0" applyNumberFormat="1" applyFont="1" applyFill="1" applyBorder="1" applyAlignment="1">
      <alignment vertical="center" shrinkToFit="1"/>
    </xf>
    <xf numFmtId="164" fontId="11" fillId="20" borderId="127" xfId="0" applyNumberFormat="1" applyFont="1" applyFill="1" applyBorder="1" applyAlignment="1">
      <alignment vertical="center" shrinkToFit="1"/>
    </xf>
    <xf numFmtId="164" fontId="11" fillId="10" borderId="53" xfId="0" applyNumberFormat="1" applyFont="1" applyFill="1" applyBorder="1" applyAlignment="1">
      <alignment vertical="center" shrinkToFit="1"/>
    </xf>
    <xf numFmtId="164" fontId="8" fillId="8" borderId="134" xfId="0" applyNumberFormat="1" applyFont="1" applyFill="1" applyBorder="1" applyAlignment="1">
      <alignment vertical="center" shrinkToFit="1"/>
    </xf>
    <xf numFmtId="164" fontId="8" fillId="15" borderId="58" xfId="0" applyNumberFormat="1" applyFont="1" applyFill="1" applyBorder="1" applyAlignment="1">
      <alignment vertical="center" shrinkToFit="1"/>
    </xf>
    <xf numFmtId="164" fontId="8" fillId="15" borderId="120" xfId="0" applyNumberFormat="1" applyFont="1" applyFill="1" applyBorder="1" applyAlignment="1">
      <alignment vertical="center" shrinkToFit="1"/>
    </xf>
    <xf numFmtId="164" fontId="8" fillId="8" borderId="135" xfId="0" applyNumberFormat="1" applyFont="1" applyFill="1" applyBorder="1" applyAlignment="1">
      <alignment vertical="center" shrinkToFit="1"/>
    </xf>
    <xf numFmtId="164" fontId="8" fillId="15" borderId="61" xfId="0" applyNumberFormat="1" applyFont="1" applyFill="1" applyBorder="1" applyAlignment="1">
      <alignment vertical="center" shrinkToFit="1"/>
    </xf>
    <xf numFmtId="164" fontId="8" fillId="15" borderId="121" xfId="0" applyNumberFormat="1" applyFont="1" applyFill="1" applyBorder="1" applyAlignment="1">
      <alignment vertical="center" shrinkToFit="1"/>
    </xf>
    <xf numFmtId="164" fontId="11" fillId="15" borderId="61" xfId="0" applyNumberFormat="1" applyFont="1" applyFill="1" applyBorder="1" applyAlignment="1">
      <alignment vertical="center" shrinkToFit="1"/>
    </xf>
    <xf numFmtId="164" fontId="8" fillId="8" borderId="136" xfId="0" applyNumberFormat="1" applyFont="1" applyFill="1" applyBorder="1" applyAlignment="1">
      <alignment vertical="center" shrinkToFit="1"/>
    </xf>
    <xf numFmtId="164" fontId="8" fillId="15" borderId="64" xfId="0" applyNumberFormat="1" applyFont="1" applyFill="1" applyBorder="1" applyAlignment="1">
      <alignment vertical="center" shrinkToFit="1"/>
    </xf>
    <xf numFmtId="164" fontId="8" fillId="15" borderId="122" xfId="0" applyNumberFormat="1" applyFont="1" applyFill="1" applyBorder="1" applyAlignment="1">
      <alignment vertical="center" shrinkToFit="1"/>
    </xf>
    <xf numFmtId="164" fontId="8" fillId="10" borderId="53" xfId="0" applyNumberFormat="1" applyFont="1" applyFill="1" applyBorder="1" applyAlignment="1">
      <alignment vertical="center" shrinkToFit="1"/>
    </xf>
    <xf numFmtId="166" fontId="8" fillId="10" borderId="52" xfId="0" applyNumberFormat="1" applyFont="1" applyFill="1" applyBorder="1" applyAlignment="1">
      <alignment vertical="center" shrinkToFit="1"/>
    </xf>
    <xf numFmtId="164" fontId="8" fillId="10" borderId="52" xfId="0" applyNumberFormat="1" applyFont="1" applyFill="1" applyBorder="1" applyAlignment="1">
      <alignment vertical="center" shrinkToFit="1"/>
    </xf>
    <xf numFmtId="164" fontId="11" fillId="15" borderId="64" xfId="0" applyNumberFormat="1" applyFont="1" applyFill="1" applyBorder="1" applyAlignment="1">
      <alignment vertical="center" shrinkToFit="1"/>
    </xf>
    <xf numFmtId="164" fontId="8" fillId="19" borderId="53" xfId="0" applyNumberFormat="1" applyFont="1" applyFill="1" applyBorder="1" applyAlignment="1">
      <alignment vertical="center" shrinkToFit="1"/>
    </xf>
    <xf numFmtId="164" fontId="8" fillId="8" borderId="137" xfId="0" applyNumberFormat="1" applyFont="1" applyFill="1" applyBorder="1" applyAlignment="1">
      <alignment vertical="center" shrinkToFit="1"/>
    </xf>
    <xf numFmtId="164" fontId="8" fillId="15" borderId="123" xfId="0" applyNumberFormat="1" applyFont="1" applyFill="1" applyBorder="1" applyAlignment="1">
      <alignment vertical="center" shrinkToFit="1"/>
    </xf>
    <xf numFmtId="166" fontId="8" fillId="15" borderId="17" xfId="0" applyNumberFormat="1" applyFont="1" applyFill="1" applyBorder="1"/>
    <xf numFmtId="166" fontId="8" fillId="15" borderId="17" xfId="0" applyNumberFormat="1" applyFont="1" applyFill="1" applyBorder="1" applyAlignment="1">
      <alignment horizontal="right"/>
    </xf>
    <xf numFmtId="164" fontId="8" fillId="15" borderId="17" xfId="0" applyNumberFormat="1" applyFont="1" applyFill="1" applyBorder="1" applyAlignment="1">
      <alignment horizontal="right"/>
    </xf>
    <xf numFmtId="0" fontId="8" fillId="15" borderId="17" xfId="0" applyFont="1" applyFill="1" applyBorder="1" applyAlignment="1">
      <alignment horizontal="right"/>
    </xf>
    <xf numFmtId="164" fontId="8" fillId="2" borderId="47" xfId="0" applyNumberFormat="1" applyFont="1" applyFill="1" applyBorder="1" applyAlignment="1">
      <alignment horizontal="center" vertical="center" wrapText="1"/>
    </xf>
    <xf numFmtId="164" fontId="8" fillId="8" borderId="131" xfId="0" applyNumberFormat="1" applyFont="1" applyFill="1" applyBorder="1" applyAlignment="1">
      <alignment horizontal="center" vertical="center" shrinkToFit="1"/>
    </xf>
    <xf numFmtId="164" fontId="8" fillId="13" borderId="42" xfId="0" applyNumberFormat="1" applyFont="1" applyFill="1" applyBorder="1" applyAlignment="1">
      <alignment horizontal="center" vertical="center" shrinkToFit="1"/>
    </xf>
    <xf numFmtId="164" fontId="8" fillId="18" borderId="41" xfId="0" applyNumberFormat="1" applyFont="1" applyFill="1" applyBorder="1" applyAlignment="1">
      <alignment horizontal="center" vertical="center" shrinkToFit="1"/>
    </xf>
    <xf numFmtId="164" fontId="8" fillId="18" borderId="132" xfId="0" applyNumberFormat="1" applyFont="1" applyFill="1" applyBorder="1" applyAlignment="1">
      <alignment horizontal="center" vertical="center" shrinkToFit="1"/>
    </xf>
    <xf numFmtId="164" fontId="8" fillId="16" borderId="42" xfId="0" applyNumberFormat="1" applyFont="1" applyFill="1" applyBorder="1" applyAlignment="1">
      <alignment horizontal="center" vertical="center" shrinkToFit="1"/>
    </xf>
    <xf numFmtId="164" fontId="8" fillId="2" borderId="42" xfId="0" applyNumberFormat="1" applyFont="1" applyFill="1" applyBorder="1" applyAlignment="1">
      <alignment horizontal="center" vertical="center" wrapText="1"/>
    </xf>
    <xf numFmtId="165" fontId="8" fillId="2" borderId="42" xfId="0" applyNumberFormat="1" applyFont="1" applyFill="1" applyBorder="1" applyAlignment="1">
      <alignment horizontal="center" vertical="center" wrapText="1"/>
    </xf>
    <xf numFmtId="164" fontId="8" fillId="2" borderId="79" xfId="0" applyNumberFormat="1" applyFont="1" applyFill="1" applyBorder="1" applyAlignment="1">
      <alignment horizontal="center" vertical="center" shrinkToFit="1"/>
    </xf>
    <xf numFmtId="0" fontId="14" fillId="0" borderId="0" xfId="0" applyFont="1" applyAlignment="1">
      <alignment vertical="center" wrapText="1"/>
    </xf>
    <xf numFmtId="164" fontId="8" fillId="8" borderId="110" xfId="0" applyNumberFormat="1" applyFont="1" applyFill="1" applyBorder="1" applyAlignment="1">
      <alignment horizontal="center" vertical="center" shrinkToFit="1"/>
    </xf>
    <xf numFmtId="164" fontId="8" fillId="18" borderId="48" xfId="0" applyNumberFormat="1" applyFont="1" applyFill="1" applyBorder="1" applyAlignment="1">
      <alignment horizontal="center" vertical="center" shrinkToFit="1"/>
    </xf>
    <xf numFmtId="165" fontId="8" fillId="18" borderId="48" xfId="0" applyNumberFormat="1" applyFont="1" applyFill="1" applyBorder="1" applyAlignment="1">
      <alignment horizontal="center" vertical="center" shrinkToFit="1"/>
    </xf>
    <xf numFmtId="166" fontId="8" fillId="16" borderId="48" xfId="0" applyNumberFormat="1" applyFont="1" applyFill="1" applyBorder="1" applyAlignment="1">
      <alignment horizontal="right" vertical="center" shrinkToFit="1"/>
    </xf>
    <xf numFmtId="164" fontId="8" fillId="2" borderId="48" xfId="0" applyNumberFormat="1" applyFont="1" applyFill="1" applyBorder="1" applyAlignment="1">
      <alignment horizontal="right" vertical="center" shrinkToFit="1"/>
    </xf>
    <xf numFmtId="165" fontId="8" fillId="2" borderId="48" xfId="0" applyNumberFormat="1" applyFont="1" applyFill="1" applyBorder="1" applyAlignment="1">
      <alignment horizontal="right" vertical="center" shrinkToFit="1"/>
    </xf>
    <xf numFmtId="164" fontId="8" fillId="2" borderId="110" xfId="0" applyNumberFormat="1" applyFont="1" applyFill="1" applyBorder="1" applyAlignment="1">
      <alignment horizontal="right" vertical="center" shrinkToFit="1"/>
    </xf>
    <xf numFmtId="165" fontId="8" fillId="2" borderId="110" xfId="0" applyNumberFormat="1" applyFont="1" applyFill="1" applyBorder="1" applyAlignment="1">
      <alignment horizontal="right" vertical="center" shrinkToFit="1"/>
    </xf>
    <xf numFmtId="0" fontId="8" fillId="10" borderId="46" xfId="0" applyFont="1" applyFill="1" applyBorder="1" applyAlignment="1">
      <alignment horizontal="left" vertical="center"/>
    </xf>
    <xf numFmtId="0" fontId="8" fillId="10" borderId="47" xfId="0" applyFont="1" applyFill="1" applyBorder="1" applyAlignment="1">
      <alignment horizontal="left" vertical="center"/>
    </xf>
    <xf numFmtId="165" fontId="8" fillId="10" borderId="49" xfId="0" applyNumberFormat="1" applyFont="1" applyFill="1" applyBorder="1" applyAlignment="1">
      <alignment vertical="center" shrinkToFit="1"/>
    </xf>
    <xf numFmtId="165" fontId="8" fillId="10" borderId="48" xfId="0" applyNumberFormat="1" applyFont="1" applyFill="1" applyBorder="1" applyAlignment="1">
      <alignment vertical="center" shrinkToFit="1"/>
    </xf>
    <xf numFmtId="164" fontId="8" fillId="10" borderId="48" xfId="0" applyNumberFormat="1" applyFont="1" applyFill="1" applyBorder="1" applyAlignment="1">
      <alignment vertical="center" shrinkToFit="1"/>
    </xf>
    <xf numFmtId="0" fontId="8" fillId="19" borderId="50" xfId="0" applyFont="1" applyFill="1" applyBorder="1" applyAlignment="1">
      <alignment horizontal="left" vertical="center"/>
    </xf>
    <xf numFmtId="0" fontId="8" fillId="19" borderId="51" xfId="0" applyFont="1" applyFill="1" applyBorder="1" applyAlignment="1">
      <alignment horizontal="left" vertical="center"/>
    </xf>
    <xf numFmtId="165" fontId="8" fillId="19" borderId="53" xfId="0" applyNumberFormat="1" applyFont="1" applyFill="1" applyBorder="1" applyAlignment="1">
      <alignment vertical="center" shrinkToFit="1"/>
    </xf>
    <xf numFmtId="166" fontId="8" fillId="19" borderId="52" xfId="0" applyNumberFormat="1" applyFont="1" applyFill="1" applyBorder="1" applyAlignment="1">
      <alignment vertical="center" shrinkToFit="1"/>
    </xf>
    <xf numFmtId="0" fontId="8" fillId="20" borderId="50" xfId="0" applyFont="1" applyFill="1" applyBorder="1" applyAlignment="1">
      <alignment horizontal="left" vertical="center"/>
    </xf>
    <xf numFmtId="0" fontId="8" fillId="20" borderId="51" xfId="0" applyFont="1" applyFill="1" applyBorder="1" applyAlignment="1">
      <alignment horizontal="left" vertical="center"/>
    </xf>
    <xf numFmtId="165" fontId="8" fillId="20" borderId="127" xfId="0" applyNumberFormat="1" applyFont="1" applyFill="1" applyBorder="1" applyAlignment="1">
      <alignment vertical="center" shrinkToFit="1"/>
    </xf>
    <xf numFmtId="165" fontId="8" fillId="20" borderId="36" xfId="0" applyNumberFormat="1" applyFont="1" applyFill="1" applyBorder="1" applyAlignment="1">
      <alignment vertical="center" shrinkToFit="1"/>
    </xf>
    <xf numFmtId="164" fontId="8" fillId="20" borderId="36" xfId="0" applyNumberFormat="1" applyFont="1" applyFill="1" applyBorder="1" applyAlignment="1">
      <alignment vertical="center" shrinkToFit="1"/>
    </xf>
    <xf numFmtId="166" fontId="8" fillId="20" borderId="36" xfId="0" applyNumberFormat="1" applyFont="1" applyFill="1" applyBorder="1" applyAlignment="1">
      <alignment vertical="center" shrinkToFit="1"/>
    </xf>
    <xf numFmtId="165" fontId="8" fillId="10" borderId="53" xfId="0" applyNumberFormat="1" applyFont="1" applyFill="1" applyBorder="1" applyAlignment="1">
      <alignment vertical="center" shrinkToFit="1"/>
    </xf>
    <xf numFmtId="166" fontId="8" fillId="10" borderId="52" xfId="0" applyNumberFormat="1" applyFont="1" applyFill="1" applyBorder="1" applyAlignment="1">
      <alignment horizontal="right" vertical="center" shrinkToFit="1"/>
    </xf>
    <xf numFmtId="164" fontId="8" fillId="10" borderId="52" xfId="0" applyNumberFormat="1" applyFont="1" applyFill="1" applyBorder="1" applyAlignment="1">
      <alignment horizontal="right" vertical="center" shrinkToFit="1"/>
    </xf>
    <xf numFmtId="165" fontId="8" fillId="10" borderId="52" xfId="0" applyNumberFormat="1" applyFont="1" applyFill="1" applyBorder="1" applyAlignment="1">
      <alignment horizontal="right" vertical="center" shrinkToFit="1"/>
    </xf>
    <xf numFmtId="165" fontId="8" fillId="8" borderId="134" xfId="0" applyNumberFormat="1" applyFont="1" applyFill="1" applyBorder="1" applyAlignment="1">
      <alignment vertical="center" shrinkToFit="1"/>
    </xf>
    <xf numFmtId="166" fontId="8" fillId="15" borderId="58" xfId="0" applyNumberFormat="1" applyFont="1" applyFill="1" applyBorder="1" applyAlignment="1">
      <alignment vertical="center" shrinkToFit="1"/>
    </xf>
    <xf numFmtId="165" fontId="8" fillId="15" borderId="134" xfId="0" applyNumberFormat="1" applyFont="1" applyFill="1" applyBorder="1" applyAlignment="1">
      <alignment vertical="center" shrinkToFit="1"/>
    </xf>
    <xf numFmtId="166" fontId="8" fillId="15" borderId="134" xfId="0" applyNumberFormat="1" applyFont="1" applyFill="1" applyBorder="1" applyAlignment="1">
      <alignment vertical="center" shrinkToFit="1"/>
    </xf>
    <xf numFmtId="166" fontId="8" fillId="15" borderId="87" xfId="0" applyNumberFormat="1" applyFont="1" applyFill="1" applyBorder="1" applyAlignment="1">
      <alignment horizontal="right" wrapText="1"/>
    </xf>
    <xf numFmtId="165" fontId="8" fillId="8" borderId="135" xfId="0" applyNumberFormat="1" applyFont="1" applyFill="1" applyBorder="1" applyAlignment="1">
      <alignment vertical="center" shrinkToFit="1"/>
    </xf>
    <xf numFmtId="166" fontId="8" fillId="15" borderId="61" xfId="0" applyNumberFormat="1" applyFont="1" applyFill="1" applyBorder="1" applyAlignment="1">
      <alignment vertical="center" shrinkToFit="1"/>
    </xf>
    <xf numFmtId="165" fontId="8" fillId="15" borderId="135" xfId="0" applyNumberFormat="1" applyFont="1" applyFill="1" applyBorder="1" applyAlignment="1">
      <alignment vertical="center" shrinkToFit="1"/>
    </xf>
    <xf numFmtId="166" fontId="8" fillId="15" borderId="135" xfId="0" applyNumberFormat="1" applyFont="1" applyFill="1" applyBorder="1" applyAlignment="1">
      <alignment vertical="center" shrinkToFit="1"/>
    </xf>
    <xf numFmtId="166" fontId="8" fillId="15" borderId="88" xfId="0" applyNumberFormat="1" applyFont="1" applyFill="1" applyBorder="1" applyAlignment="1">
      <alignment horizontal="right" wrapText="1"/>
    </xf>
    <xf numFmtId="166" fontId="8" fillId="15" borderId="61" xfId="0" applyNumberFormat="1" applyFont="1" applyFill="1" applyBorder="1" applyAlignment="1">
      <alignment horizontal="right" wrapText="1"/>
    </xf>
    <xf numFmtId="166" fontId="8" fillId="15" borderId="61" xfId="0" applyNumberFormat="1" applyFont="1" applyFill="1" applyBorder="1" applyAlignment="1">
      <alignment horizontal="right" vertical="center" shrinkToFit="1"/>
    </xf>
    <xf numFmtId="165" fontId="8" fillId="8" borderId="136" xfId="0" applyNumberFormat="1" applyFont="1" applyFill="1" applyBorder="1" applyAlignment="1">
      <alignment vertical="center" shrinkToFit="1"/>
    </xf>
    <xf numFmtId="166" fontId="8" fillId="15" borderId="64" xfId="0" applyNumberFormat="1" applyFont="1" applyFill="1" applyBorder="1" applyAlignment="1">
      <alignment vertical="center" shrinkToFit="1"/>
    </xf>
    <xf numFmtId="165" fontId="8" fillId="15" borderId="136" xfId="0" applyNumberFormat="1" applyFont="1" applyFill="1" applyBorder="1" applyAlignment="1">
      <alignment vertical="center" shrinkToFit="1"/>
    </xf>
    <xf numFmtId="166" fontId="8" fillId="15" borderId="136" xfId="0" applyNumberFormat="1" applyFont="1" applyFill="1" applyBorder="1" applyAlignment="1">
      <alignment vertical="center" shrinkToFit="1"/>
    </xf>
    <xf numFmtId="166" fontId="8" fillId="15" borderId="64" xfId="0" applyNumberFormat="1" applyFont="1" applyFill="1" applyBorder="1" applyAlignment="1">
      <alignment horizontal="right" wrapText="1"/>
    </xf>
    <xf numFmtId="166" fontId="8" fillId="15" borderId="58" xfId="0" applyNumberFormat="1" applyFont="1" applyFill="1" applyBorder="1" applyAlignment="1">
      <alignment horizontal="right" wrapText="1"/>
    </xf>
    <xf numFmtId="166" fontId="14" fillId="15" borderId="58" xfId="0" applyNumberFormat="1" applyFont="1" applyFill="1" applyBorder="1" applyAlignment="1">
      <alignment vertical="center" shrinkToFit="1"/>
    </xf>
    <xf numFmtId="166" fontId="14" fillId="15" borderId="61" xfId="0" applyNumberFormat="1" applyFont="1" applyFill="1" applyBorder="1" applyAlignment="1">
      <alignment vertical="center" shrinkToFit="1"/>
    </xf>
    <xf numFmtId="166" fontId="8" fillId="15" borderId="64" xfId="0" applyNumberFormat="1" applyFont="1" applyFill="1" applyBorder="1" applyAlignment="1">
      <alignment horizontal="right" vertical="center" shrinkToFit="1"/>
    </xf>
    <xf numFmtId="166" fontId="14" fillId="15" borderId="64" xfId="0" applyNumberFormat="1" applyFont="1" applyFill="1" applyBorder="1" applyAlignment="1">
      <alignment vertical="center" shrinkToFit="1"/>
    </xf>
    <xf numFmtId="166" fontId="8" fillId="0" borderId="58" xfId="0" applyNumberFormat="1" applyFont="1" applyBorder="1" applyAlignment="1">
      <alignment vertical="center" shrinkToFit="1"/>
    </xf>
    <xf numFmtId="165" fontId="8" fillId="0" borderId="87" xfId="0" applyNumberFormat="1" applyFont="1" applyBorder="1" applyAlignment="1">
      <alignment vertical="center" shrinkToFit="1"/>
    </xf>
    <xf numFmtId="166" fontId="8" fillId="0" borderId="87" xfId="0" applyNumberFormat="1" applyFont="1" applyBorder="1" applyAlignment="1">
      <alignment vertical="center" shrinkToFit="1"/>
    </xf>
    <xf numFmtId="166" fontId="8" fillId="0" borderId="58" xfId="0" applyNumberFormat="1" applyFont="1" applyBorder="1" applyAlignment="1">
      <alignment horizontal="right" vertical="center" shrinkToFit="1"/>
    </xf>
    <xf numFmtId="166" fontId="8" fillId="0" borderId="61" xfId="0" applyNumberFormat="1" applyFont="1" applyBorder="1" applyAlignment="1">
      <alignment vertical="center" shrinkToFit="1"/>
    </xf>
    <xf numFmtId="165" fontId="8" fillId="0" borderId="88" xfId="0" applyNumberFormat="1" applyFont="1" applyBorder="1" applyAlignment="1">
      <alignment vertical="center" shrinkToFit="1"/>
    </xf>
    <xf numFmtId="166" fontId="8" fillId="0" borderId="88" xfId="0" applyNumberFormat="1" applyFont="1" applyBorder="1" applyAlignment="1">
      <alignment vertical="center" shrinkToFit="1"/>
    </xf>
    <xf numFmtId="166" fontId="8" fillId="0" borderId="61" xfId="0" applyNumberFormat="1" applyFont="1" applyBorder="1" applyAlignment="1">
      <alignment horizontal="right" vertical="center" shrinkToFit="1"/>
    </xf>
    <xf numFmtId="166" fontId="8" fillId="0" borderId="64" xfId="0" applyNumberFormat="1" applyFont="1" applyBorder="1" applyAlignment="1">
      <alignment vertical="center" shrinkToFit="1"/>
    </xf>
    <xf numFmtId="165" fontId="8" fillId="0" borderId="142" xfId="0" applyNumberFormat="1" applyFont="1" applyBorder="1" applyAlignment="1">
      <alignment vertical="center" shrinkToFit="1"/>
    </xf>
    <xf numFmtId="166" fontId="8" fillId="0" borderId="142" xfId="0" applyNumberFormat="1" applyFont="1" applyBorder="1" applyAlignment="1">
      <alignment vertical="center" shrinkToFit="1"/>
    </xf>
    <xf numFmtId="166" fontId="8" fillId="0" borderId="64" xfId="0" applyNumberFormat="1" applyFont="1" applyBorder="1" applyAlignment="1">
      <alignment horizontal="right" vertical="center" shrinkToFit="1"/>
    </xf>
    <xf numFmtId="165" fontId="8" fillId="8" borderId="137" xfId="0" applyNumberFormat="1" applyFont="1" applyFill="1" applyBorder="1" applyAlignment="1">
      <alignment vertical="center" shrinkToFit="1"/>
    </xf>
    <xf numFmtId="166" fontId="8" fillId="0" borderId="114" xfId="0" applyNumberFormat="1" applyFont="1" applyBorder="1" applyAlignment="1">
      <alignment vertical="center" shrinkToFit="1"/>
    </xf>
    <xf numFmtId="165" fontId="8" fillId="0" borderId="143" xfId="0" applyNumberFormat="1" applyFont="1" applyBorder="1" applyAlignment="1">
      <alignment vertical="center" shrinkToFit="1"/>
    </xf>
    <xf numFmtId="166" fontId="8" fillId="0" borderId="143" xfId="0" applyNumberFormat="1" applyFont="1" applyBorder="1" applyAlignment="1">
      <alignment vertical="center" shrinkToFit="1"/>
    </xf>
    <xf numFmtId="166" fontId="8" fillId="0" borderId="114" xfId="0" applyNumberFormat="1" applyFont="1" applyBorder="1" applyAlignment="1">
      <alignment horizontal="right" vertical="center" shrinkToFit="1"/>
    </xf>
    <xf numFmtId="0" fontId="8" fillId="0" borderId="0" xfId="0" applyFont="1" applyAlignment="1">
      <alignment horizontal="right"/>
    </xf>
    <xf numFmtId="164" fontId="8" fillId="0" borderId="0" xfId="0" applyNumberFormat="1" applyFont="1" applyAlignment="1">
      <alignment horizontal="right"/>
    </xf>
    <xf numFmtId="169" fontId="8" fillId="0" borderId="0" xfId="0" applyNumberFormat="1" applyFont="1"/>
    <xf numFmtId="43" fontId="8" fillId="0" borderId="0" xfId="0" applyNumberFormat="1" applyFont="1"/>
    <xf numFmtId="0" fontId="10" fillId="15" borderId="17" xfId="0" applyFont="1" applyFill="1" applyBorder="1"/>
    <xf numFmtId="165" fontId="10" fillId="15" borderId="17" xfId="0" applyNumberFormat="1" applyFont="1" applyFill="1" applyBorder="1"/>
    <xf numFmtId="164" fontId="10" fillId="8" borderId="127" xfId="0" applyNumberFormat="1" applyFont="1" applyFill="1" applyBorder="1" applyAlignment="1">
      <alignment horizontal="center" vertical="center" shrinkToFit="1"/>
    </xf>
    <xf numFmtId="164" fontId="10" fillId="13" borderId="36" xfId="0" applyNumberFormat="1" applyFont="1" applyFill="1" applyBorder="1" applyAlignment="1">
      <alignment horizontal="center" vertical="center" shrinkToFit="1"/>
    </xf>
    <xf numFmtId="164" fontId="10" fillId="8" borderId="131" xfId="0" applyNumberFormat="1" applyFont="1" applyFill="1" applyBorder="1" applyAlignment="1">
      <alignment horizontal="center" vertical="center" shrinkToFit="1"/>
    </xf>
    <xf numFmtId="164" fontId="10" fillId="13" borderId="42" xfId="0" applyNumberFormat="1" applyFont="1" applyFill="1" applyBorder="1" applyAlignment="1">
      <alignment horizontal="center" vertical="center" shrinkToFit="1"/>
    </xf>
    <xf numFmtId="164" fontId="10" fillId="18" borderId="41" xfId="0" applyNumberFormat="1" applyFont="1" applyFill="1" applyBorder="1" applyAlignment="1">
      <alignment horizontal="center" vertical="center" shrinkToFit="1"/>
    </xf>
    <xf numFmtId="164" fontId="10" fillId="16" borderId="41" xfId="0" applyNumberFormat="1" applyFont="1" applyFill="1" applyBorder="1" applyAlignment="1">
      <alignment horizontal="center" vertical="center" shrinkToFit="1"/>
    </xf>
    <xf numFmtId="164" fontId="10" fillId="7" borderId="41" xfId="0" applyNumberFormat="1" applyFont="1" applyFill="1" applyBorder="1" applyAlignment="1">
      <alignment horizontal="center" vertical="center" shrinkToFit="1"/>
    </xf>
    <xf numFmtId="165" fontId="10" fillId="7" borderId="41" xfId="0" applyNumberFormat="1" applyFont="1" applyFill="1" applyBorder="1" applyAlignment="1">
      <alignment horizontal="center" vertical="center" shrinkToFit="1"/>
    </xf>
    <xf numFmtId="164" fontId="10" fillId="2" borderId="41" xfId="0" applyNumberFormat="1" applyFont="1" applyFill="1" applyBorder="1" applyAlignment="1">
      <alignment horizontal="center" vertical="center" shrinkToFit="1"/>
    </xf>
    <xf numFmtId="165" fontId="10" fillId="2" borderId="41" xfId="0" applyNumberFormat="1" applyFont="1" applyFill="1" applyBorder="1" applyAlignment="1">
      <alignment horizontal="center" vertical="center" shrinkToFit="1"/>
    </xf>
    <xf numFmtId="164" fontId="10" fillId="2" borderId="132" xfId="0" applyNumberFormat="1" applyFont="1" applyFill="1" applyBorder="1" applyAlignment="1">
      <alignment horizontal="center" vertical="center" shrinkToFit="1"/>
    </xf>
    <xf numFmtId="164" fontId="10" fillId="8" borderId="110" xfId="0" applyNumberFormat="1" applyFont="1" applyFill="1" applyBorder="1" applyAlignment="1">
      <alignment horizontal="center" vertical="center" shrinkToFit="1"/>
    </xf>
    <xf numFmtId="164" fontId="10" fillId="12" borderId="110" xfId="0" applyNumberFormat="1" applyFont="1" applyFill="1" applyBorder="1" applyAlignment="1">
      <alignment horizontal="center" vertical="center" shrinkToFit="1"/>
    </xf>
    <xf numFmtId="164" fontId="10" fillId="13" borderId="110" xfId="0" applyNumberFormat="1" applyFont="1" applyFill="1" applyBorder="1" applyAlignment="1">
      <alignment horizontal="center" vertical="center" shrinkToFit="1"/>
    </xf>
    <xf numFmtId="164" fontId="10" fillId="18" borderId="110" xfId="0" applyNumberFormat="1" applyFont="1" applyFill="1" applyBorder="1" applyAlignment="1">
      <alignment horizontal="center" vertical="center" shrinkToFit="1"/>
    </xf>
    <xf numFmtId="165" fontId="10" fillId="18" borderId="110" xfId="0" applyNumberFormat="1" applyFont="1" applyFill="1" applyBorder="1" applyAlignment="1">
      <alignment horizontal="center" vertical="center" shrinkToFit="1"/>
    </xf>
    <xf numFmtId="164" fontId="10" fillId="16" borderId="48" xfId="0" applyNumberFormat="1" applyFont="1" applyFill="1" applyBorder="1" applyAlignment="1">
      <alignment horizontal="center" vertical="center" shrinkToFit="1"/>
    </xf>
    <xf numFmtId="164" fontId="10" fillId="7" borderId="48" xfId="0" applyNumberFormat="1" applyFont="1" applyFill="1" applyBorder="1" applyAlignment="1">
      <alignment horizontal="center" vertical="center" shrinkToFit="1"/>
    </xf>
    <xf numFmtId="165" fontId="10" fillId="7" borderId="48" xfId="0" applyNumberFormat="1" applyFont="1" applyFill="1" applyBorder="1" applyAlignment="1">
      <alignment horizontal="center" vertical="center" shrinkToFit="1"/>
    </xf>
    <xf numFmtId="164" fontId="10" fillId="2" borderId="48" xfId="0" applyNumberFormat="1" applyFont="1" applyFill="1" applyBorder="1" applyAlignment="1">
      <alignment horizontal="center" vertical="center" shrinkToFit="1"/>
    </xf>
    <xf numFmtId="164" fontId="10" fillId="25" borderId="48" xfId="0" applyNumberFormat="1" applyFont="1" applyFill="1" applyBorder="1" applyAlignment="1">
      <alignment horizontal="center" vertical="center" shrinkToFit="1"/>
    </xf>
    <xf numFmtId="165" fontId="10" fillId="2" borderId="48" xfId="0" applyNumberFormat="1" applyFont="1" applyFill="1" applyBorder="1" applyAlignment="1">
      <alignment horizontal="center" vertical="center" shrinkToFit="1"/>
    </xf>
    <xf numFmtId="164" fontId="10" fillId="2" borderId="110" xfId="0" applyNumberFormat="1" applyFont="1" applyFill="1" applyBorder="1" applyAlignment="1">
      <alignment horizontal="center" vertical="center" shrinkToFit="1"/>
    </xf>
    <xf numFmtId="164" fontId="10" fillId="2" borderId="147" xfId="0" applyNumberFormat="1" applyFont="1" applyFill="1" applyBorder="1" applyAlignment="1">
      <alignment horizontal="center" vertical="center" shrinkToFit="1"/>
    </xf>
    <xf numFmtId="0" fontId="10" fillId="10" borderId="46" xfId="0" applyFont="1" applyFill="1" applyBorder="1" applyAlignment="1">
      <alignment horizontal="left" vertical="center"/>
    </xf>
    <xf numFmtId="0" fontId="10" fillId="10" borderId="47" xfId="0" applyFont="1" applyFill="1" applyBorder="1" applyAlignment="1">
      <alignment horizontal="left" vertical="center"/>
    </xf>
    <xf numFmtId="164" fontId="10" fillId="10" borderId="49" xfId="0" applyNumberFormat="1" applyFont="1" applyFill="1" applyBorder="1" applyAlignment="1">
      <alignment vertical="center" shrinkToFit="1"/>
    </xf>
    <xf numFmtId="164" fontId="10" fillId="10" borderId="48" xfId="0" applyNumberFormat="1" applyFont="1" applyFill="1" applyBorder="1" applyAlignment="1">
      <alignment vertical="center" shrinkToFit="1"/>
    </xf>
    <xf numFmtId="165" fontId="10" fillId="10" borderId="48" xfId="0" applyNumberFormat="1" applyFont="1" applyFill="1" applyBorder="1" applyAlignment="1">
      <alignment vertical="center" shrinkToFit="1"/>
    </xf>
    <xf numFmtId="164" fontId="10" fillId="10" borderId="52" xfId="0" applyNumberFormat="1" applyFont="1" applyFill="1" applyBorder="1" applyAlignment="1">
      <alignment vertical="center" shrinkToFit="1"/>
    </xf>
    <xf numFmtId="165" fontId="10" fillId="10" borderId="52" xfId="0" applyNumberFormat="1" applyFont="1" applyFill="1" applyBorder="1" applyAlignment="1">
      <alignment vertical="center" shrinkToFit="1"/>
    </xf>
    <xf numFmtId="164" fontId="16" fillId="10" borderId="52" xfId="0" applyNumberFormat="1" applyFont="1" applyFill="1" applyBorder="1" applyAlignment="1">
      <alignment vertical="center" shrinkToFit="1"/>
    </xf>
    <xf numFmtId="164" fontId="10" fillId="10" borderId="128" xfId="0" applyNumberFormat="1" applyFont="1" applyFill="1" applyBorder="1" applyAlignment="1">
      <alignment vertical="center" shrinkToFit="1"/>
    </xf>
    <xf numFmtId="0" fontId="10" fillId="19" borderId="50" xfId="0" applyFont="1" applyFill="1" applyBorder="1" applyAlignment="1">
      <alignment horizontal="left" vertical="center"/>
    </xf>
    <xf numFmtId="0" fontId="10" fillId="19" borderId="51" xfId="0" applyFont="1" applyFill="1" applyBorder="1" applyAlignment="1">
      <alignment horizontal="left" vertical="center"/>
    </xf>
    <xf numFmtId="164" fontId="10" fillId="19" borderId="53" xfId="0" applyNumberFormat="1" applyFont="1" applyFill="1" applyBorder="1" applyAlignment="1">
      <alignment vertical="center" shrinkToFit="1"/>
    </xf>
    <xf numFmtId="164" fontId="10" fillId="19" borderId="52" xfId="0" applyNumberFormat="1" applyFont="1" applyFill="1" applyBorder="1" applyAlignment="1">
      <alignment vertical="center" shrinkToFit="1"/>
    </xf>
    <xf numFmtId="165" fontId="10" fillId="19" borderId="52" xfId="0" applyNumberFormat="1" applyFont="1" applyFill="1" applyBorder="1" applyAlignment="1">
      <alignment vertical="center" shrinkToFit="1"/>
    </xf>
    <xf numFmtId="164" fontId="10" fillId="19" borderId="129" xfId="0" applyNumberFormat="1" applyFont="1" applyFill="1" applyBorder="1" applyAlignment="1">
      <alignment vertical="center" shrinkToFit="1"/>
    </xf>
    <xf numFmtId="0" fontId="10" fillId="20" borderId="50" xfId="0" applyFont="1" applyFill="1" applyBorder="1" applyAlignment="1">
      <alignment horizontal="left" vertical="center"/>
    </xf>
    <xf numFmtId="0" fontId="10" fillId="20" borderId="51" xfId="0" applyFont="1" applyFill="1" applyBorder="1" applyAlignment="1">
      <alignment horizontal="left" vertical="center"/>
    </xf>
    <xf numFmtId="164" fontId="10" fillId="20" borderId="127" xfId="0" applyNumberFormat="1" applyFont="1" applyFill="1" applyBorder="1" applyAlignment="1">
      <alignment vertical="center" shrinkToFit="1"/>
    </xf>
    <xf numFmtId="164" fontId="10" fillId="20" borderId="36" xfId="0" applyNumberFormat="1" applyFont="1" applyFill="1" applyBorder="1" applyAlignment="1">
      <alignment vertical="center" shrinkToFit="1"/>
    </xf>
    <xf numFmtId="165" fontId="10" fillId="20" borderId="36" xfId="0" applyNumberFormat="1" applyFont="1" applyFill="1" applyBorder="1" applyAlignment="1">
      <alignment vertical="center" shrinkToFit="1"/>
    </xf>
    <xf numFmtId="164" fontId="10" fillId="20" borderId="72" xfId="0" applyNumberFormat="1" applyFont="1" applyFill="1" applyBorder="1" applyAlignment="1">
      <alignment vertical="center" shrinkToFit="1"/>
    </xf>
    <xf numFmtId="164" fontId="10" fillId="10" borderId="53" xfId="0" applyNumberFormat="1" applyFont="1" applyFill="1" applyBorder="1" applyAlignment="1">
      <alignment vertical="center" shrinkToFit="1"/>
    </xf>
    <xf numFmtId="167" fontId="10" fillId="10" borderId="52" xfId="0" applyNumberFormat="1" applyFont="1" applyFill="1" applyBorder="1" applyAlignment="1">
      <alignment vertical="center" shrinkToFit="1"/>
    </xf>
    <xf numFmtId="164" fontId="10" fillId="10" borderId="129" xfId="0" applyNumberFormat="1" applyFont="1" applyFill="1" applyBorder="1" applyAlignment="1">
      <alignment vertical="center" shrinkToFit="1"/>
    </xf>
    <xf numFmtId="0" fontId="16" fillId="0" borderId="58" xfId="0" applyFont="1" applyBorder="1" applyAlignment="1">
      <alignment horizontal="center" vertical="center" shrinkToFit="1"/>
    </xf>
    <xf numFmtId="0" fontId="16" fillId="0" borderId="57" xfId="0" applyFont="1" applyBorder="1" applyAlignment="1">
      <alignment horizontal="left" vertical="center" shrinkToFit="1"/>
    </xf>
    <xf numFmtId="164" fontId="10" fillId="8" borderId="134" xfId="0" applyNumberFormat="1" applyFont="1" applyFill="1" applyBorder="1" applyAlignment="1">
      <alignment vertical="center" shrinkToFit="1"/>
    </xf>
    <xf numFmtId="164" fontId="10" fillId="0" borderId="58" xfId="0" applyNumberFormat="1" applyFont="1" applyBorder="1" applyAlignment="1">
      <alignment vertical="center" shrinkToFit="1"/>
    </xf>
    <xf numFmtId="167" fontId="10" fillId="0" borderId="58" xfId="0" applyNumberFormat="1" applyFont="1" applyBorder="1" applyAlignment="1">
      <alignment vertical="center" shrinkToFit="1"/>
    </xf>
    <xf numFmtId="165" fontId="10" fillId="0" borderId="58" xfId="0" applyNumberFormat="1" applyFont="1" applyBorder="1" applyAlignment="1">
      <alignment vertical="center" shrinkToFit="1"/>
    </xf>
    <xf numFmtId="164" fontId="10" fillId="15" borderId="58" xfId="0" applyNumberFormat="1" applyFont="1" applyFill="1" applyBorder="1" applyAlignment="1">
      <alignment vertical="center" shrinkToFit="1"/>
    </xf>
    <xf numFmtId="164" fontId="10" fillId="31" borderId="58" xfId="0" applyNumberFormat="1" applyFont="1" applyFill="1" applyBorder="1" applyAlignment="1">
      <alignment vertical="center" shrinkToFit="1"/>
    </xf>
    <xf numFmtId="165" fontId="10" fillId="31" borderId="58" xfId="0" applyNumberFormat="1" applyFont="1" applyFill="1" applyBorder="1" applyAlignment="1">
      <alignment vertical="center" shrinkToFit="1"/>
    </xf>
    <xf numFmtId="164" fontId="10" fillId="0" borderId="57" xfId="0" applyNumberFormat="1" applyFont="1" applyBorder="1" applyAlignment="1">
      <alignment vertical="center" shrinkToFit="1"/>
    </xf>
    <xf numFmtId="0" fontId="16" fillId="0" borderId="61" xfId="0" applyFont="1" applyBorder="1" applyAlignment="1">
      <alignment horizontal="center" vertical="center" shrinkToFit="1"/>
    </xf>
    <xf numFmtId="0" fontId="16" fillId="0" borderId="60" xfId="0" applyFont="1" applyBorder="1" applyAlignment="1">
      <alignment horizontal="left" vertical="center" shrinkToFit="1"/>
    </xf>
    <xf numFmtId="164" fontId="10" fillId="8" borderId="135" xfId="0" applyNumberFormat="1" applyFont="1" applyFill="1" applyBorder="1" applyAlignment="1">
      <alignment vertical="center" shrinkToFit="1"/>
    </xf>
    <xf numFmtId="164" fontId="10" fillId="0" borderId="61" xfId="0" applyNumberFormat="1" applyFont="1" applyBorder="1" applyAlignment="1">
      <alignment vertical="center" shrinkToFit="1"/>
    </xf>
    <xf numFmtId="167" fontId="10" fillId="0" borderId="61" xfId="0" applyNumberFormat="1" applyFont="1" applyBorder="1" applyAlignment="1">
      <alignment vertical="center" shrinkToFit="1"/>
    </xf>
    <xf numFmtId="165" fontId="10" fillId="0" borderId="61" xfId="0" applyNumberFormat="1" applyFont="1" applyBorder="1" applyAlignment="1">
      <alignment vertical="center" shrinkToFit="1"/>
    </xf>
    <xf numFmtId="164" fontId="10" fillId="15" borderId="61" xfId="0" applyNumberFormat="1" applyFont="1" applyFill="1" applyBorder="1" applyAlignment="1">
      <alignment vertical="center" shrinkToFit="1"/>
    </xf>
    <xf numFmtId="164" fontId="10" fillId="31" borderId="61" xfId="0" applyNumberFormat="1" applyFont="1" applyFill="1" applyBorder="1" applyAlignment="1">
      <alignment vertical="center" shrinkToFit="1"/>
    </xf>
    <xf numFmtId="165" fontId="10" fillId="31" borderId="61" xfId="0" applyNumberFormat="1" applyFont="1" applyFill="1" applyBorder="1" applyAlignment="1">
      <alignment vertical="center" shrinkToFit="1"/>
    </xf>
    <xf numFmtId="164" fontId="10" fillId="0" borderId="60" xfId="0" applyNumberFormat="1" applyFont="1" applyBorder="1" applyAlignment="1">
      <alignment vertical="center" shrinkToFit="1"/>
    </xf>
    <xf numFmtId="0" fontId="16" fillId="0" borderId="64" xfId="0" applyFont="1" applyBorder="1" applyAlignment="1">
      <alignment horizontal="center" vertical="center" shrinkToFit="1"/>
    </xf>
    <xf numFmtId="0" fontId="16" fillId="0" borderId="63" xfId="0" applyFont="1" applyBorder="1" applyAlignment="1">
      <alignment horizontal="left" vertical="center" shrinkToFit="1"/>
    </xf>
    <xf numFmtId="164" fontId="10" fillId="8" borderId="136" xfId="0" applyNumberFormat="1" applyFont="1" applyFill="1" applyBorder="1" applyAlignment="1">
      <alignment vertical="center" shrinkToFit="1"/>
    </xf>
    <xf numFmtId="164" fontId="10" fillId="0" borderId="64" xfId="0" applyNumberFormat="1" applyFont="1" applyBorder="1" applyAlignment="1">
      <alignment vertical="center" shrinkToFit="1"/>
    </xf>
    <xf numFmtId="167" fontId="10" fillId="0" borderId="64" xfId="0" applyNumberFormat="1" applyFont="1" applyBorder="1" applyAlignment="1">
      <alignment vertical="center" shrinkToFit="1"/>
    </xf>
    <xf numFmtId="165" fontId="10" fillId="0" borderId="64" xfId="0" applyNumberFormat="1" applyFont="1" applyBorder="1" applyAlignment="1">
      <alignment vertical="center" shrinkToFit="1"/>
    </xf>
    <xf numFmtId="164" fontId="10" fillId="15" borderId="64" xfId="0" applyNumberFormat="1" applyFont="1" applyFill="1" applyBorder="1" applyAlignment="1">
      <alignment vertical="center" shrinkToFit="1"/>
    </xf>
    <xf numFmtId="164" fontId="10" fillId="31" borderId="64" xfId="0" applyNumberFormat="1" applyFont="1" applyFill="1" applyBorder="1" applyAlignment="1">
      <alignment vertical="center" shrinkToFit="1"/>
    </xf>
    <xf numFmtId="165" fontId="10" fillId="31" borderId="64" xfId="0" applyNumberFormat="1" applyFont="1" applyFill="1" applyBorder="1" applyAlignment="1">
      <alignment vertical="center" shrinkToFit="1"/>
    </xf>
    <xf numFmtId="164" fontId="10" fillId="0" borderId="63" xfId="0" applyNumberFormat="1" applyFont="1" applyBorder="1" applyAlignment="1">
      <alignment vertical="center" shrinkToFit="1"/>
    </xf>
    <xf numFmtId="0" fontId="10" fillId="0" borderId="58" xfId="0" applyFont="1" applyBorder="1" applyAlignment="1">
      <alignment horizontal="center" vertical="center"/>
    </xf>
    <xf numFmtId="0" fontId="10" fillId="0" borderId="57" xfId="0" applyFont="1" applyBorder="1" applyAlignment="1">
      <alignment horizontal="left" vertical="center"/>
    </xf>
    <xf numFmtId="0" fontId="10" fillId="0" borderId="61" xfId="0" applyFont="1" applyBorder="1" applyAlignment="1">
      <alignment horizontal="center" vertical="center"/>
    </xf>
    <xf numFmtId="0" fontId="10" fillId="0" borderId="60" xfId="0" applyFont="1" applyBorder="1" applyAlignment="1">
      <alignment horizontal="left" vertical="center"/>
    </xf>
    <xf numFmtId="164" fontId="10" fillId="0" borderId="61" xfId="0" applyNumberFormat="1" applyFont="1" applyBorder="1" applyAlignment="1">
      <alignment vertical="center" shrinkToFit="1"/>
    </xf>
    <xf numFmtId="0" fontId="10" fillId="0" borderId="64" xfId="0" applyFont="1" applyBorder="1" applyAlignment="1">
      <alignment horizontal="center" vertical="center"/>
    </xf>
    <xf numFmtId="0" fontId="10" fillId="0" borderId="63" xfId="0" applyFont="1" applyBorder="1" applyAlignment="1">
      <alignment horizontal="left" vertical="center"/>
    </xf>
    <xf numFmtId="164" fontId="10" fillId="8" borderId="137" xfId="0" applyNumberFormat="1" applyFont="1" applyFill="1" applyBorder="1" applyAlignment="1">
      <alignment vertical="center" shrinkToFit="1"/>
    </xf>
    <xf numFmtId="164" fontId="10" fillId="0" borderId="114" xfId="0" applyNumberFormat="1" applyFont="1" applyBorder="1" applyAlignment="1">
      <alignment vertical="center" shrinkToFit="1"/>
    </xf>
    <xf numFmtId="165" fontId="10" fillId="0" borderId="114" xfId="0" applyNumberFormat="1" applyFont="1" applyBorder="1" applyAlignment="1">
      <alignment vertical="center" shrinkToFit="1"/>
    </xf>
    <xf numFmtId="164" fontId="10" fillId="0" borderId="148" xfId="0" applyNumberFormat="1" applyFont="1" applyBorder="1" applyAlignment="1">
      <alignment vertical="center" shrinkToFit="1"/>
    </xf>
    <xf numFmtId="0" fontId="10" fillId="0" borderId="0" xfId="0" applyFont="1"/>
    <xf numFmtId="165" fontId="10" fillId="0" borderId="0" xfId="0" applyNumberFormat="1" applyFont="1"/>
    <xf numFmtId="164" fontId="17" fillId="15" borderId="17" xfId="0" applyNumberFormat="1" applyFont="1" applyFill="1" applyBorder="1"/>
    <xf numFmtId="164" fontId="9" fillId="8" borderId="14" xfId="0" applyNumberFormat="1" applyFont="1" applyFill="1" applyBorder="1" applyAlignment="1">
      <alignment horizontal="center" vertical="center" shrinkToFit="1"/>
    </xf>
    <xf numFmtId="164" fontId="9" fillId="13" borderId="15" xfId="0" applyNumberFormat="1" applyFont="1" applyFill="1" applyBorder="1" applyAlignment="1">
      <alignment horizontal="center" vertical="center" shrinkToFit="1"/>
    </xf>
    <xf numFmtId="164" fontId="11" fillId="8" borderId="152" xfId="0" applyNumberFormat="1" applyFont="1" applyFill="1" applyBorder="1" applyAlignment="1">
      <alignment horizontal="center" vertical="center" shrinkToFit="1"/>
    </xf>
    <xf numFmtId="164" fontId="11" fillId="13" borderId="153" xfId="0" applyNumberFormat="1" applyFont="1" applyFill="1" applyBorder="1" applyAlignment="1">
      <alignment horizontal="center" vertical="center" shrinkToFit="1"/>
    </xf>
    <xf numFmtId="164" fontId="11" fillId="2" borderId="40" xfId="0" applyNumberFormat="1" applyFont="1" applyFill="1" applyBorder="1" applyAlignment="1">
      <alignment horizontal="center" vertical="center" shrinkToFit="1"/>
    </xf>
    <xf numFmtId="165" fontId="11" fillId="2" borderId="40" xfId="0" applyNumberFormat="1" applyFont="1" applyFill="1" applyBorder="1" applyAlignment="1">
      <alignment horizontal="center" vertical="center" shrinkToFit="1"/>
    </xf>
    <xf numFmtId="164" fontId="8" fillId="12" borderId="94" xfId="0" applyNumberFormat="1" applyFont="1" applyFill="1" applyBorder="1" applyAlignment="1">
      <alignment horizontal="center" vertical="center" shrinkToFit="1"/>
    </xf>
    <xf numFmtId="164" fontId="17" fillId="0" borderId="0" xfId="0" applyNumberFormat="1" applyFont="1"/>
    <xf numFmtId="164" fontId="18" fillId="0" borderId="0" xfId="0" applyNumberFormat="1" applyFont="1"/>
    <xf numFmtId="164" fontId="11" fillId="2" borderId="92" xfId="0" applyNumberFormat="1" applyFont="1" applyFill="1" applyBorder="1" applyAlignment="1">
      <alignment horizontal="center" vertical="center" wrapText="1"/>
    </xf>
    <xf numFmtId="165" fontId="11" fillId="2" borderId="92" xfId="0" applyNumberFormat="1" applyFont="1" applyFill="1" applyBorder="1" applyAlignment="1">
      <alignment horizontal="center" vertical="center" wrapText="1"/>
    </xf>
    <xf numFmtId="0" fontId="11" fillId="2" borderId="92" xfId="0" applyFont="1" applyFill="1" applyBorder="1" applyAlignment="1">
      <alignment horizontal="center" vertical="center" wrapText="1"/>
    </xf>
    <xf numFmtId="165" fontId="11" fillId="2" borderId="117" xfId="0" applyNumberFormat="1" applyFont="1" applyFill="1" applyBorder="1" applyAlignment="1">
      <alignment horizontal="center" vertical="center" shrinkToFit="1"/>
    </xf>
    <xf numFmtId="164" fontId="8" fillId="2" borderId="52" xfId="0" applyNumberFormat="1" applyFont="1" applyFill="1" applyBorder="1" applyAlignment="1">
      <alignment horizontal="center" vertical="top" wrapText="1"/>
    </xf>
    <xf numFmtId="164" fontId="8" fillId="2" borderId="154" xfId="0" applyNumberFormat="1" applyFont="1" applyFill="1" applyBorder="1" applyAlignment="1">
      <alignment horizontal="center" vertical="top" wrapText="1"/>
    </xf>
    <xf numFmtId="164" fontId="11" fillId="7" borderId="41" xfId="0" applyNumberFormat="1" applyFont="1" applyFill="1" applyBorder="1" applyAlignment="1">
      <alignment horizontal="center" vertical="center" wrapText="1"/>
    </xf>
    <xf numFmtId="0" fontId="11" fillId="7" borderId="41" xfId="0" applyFont="1" applyFill="1" applyBorder="1" applyAlignment="1">
      <alignment horizontal="center" vertical="center" wrapText="1"/>
    </xf>
    <xf numFmtId="164" fontId="11" fillId="25" borderId="48" xfId="0" applyNumberFormat="1" applyFont="1" applyFill="1" applyBorder="1" applyAlignment="1">
      <alignment horizontal="center" vertical="center" shrinkToFit="1"/>
    </xf>
    <xf numFmtId="164" fontId="11" fillId="2" borderId="49" xfId="0" applyNumberFormat="1" applyFont="1" applyFill="1" applyBorder="1" applyAlignment="1">
      <alignment horizontal="center" vertical="center" shrinkToFit="1"/>
    </xf>
    <xf numFmtId="164" fontId="11" fillId="2" borderId="117" xfId="0" applyNumberFormat="1" applyFont="1" applyFill="1" applyBorder="1" applyAlignment="1">
      <alignment horizontal="center" vertical="center" shrinkToFit="1"/>
    </xf>
    <xf numFmtId="164" fontId="11" fillId="10" borderId="118" xfId="0" applyNumberFormat="1" applyFont="1" applyFill="1" applyBorder="1" applyAlignment="1">
      <alignment vertical="center" shrinkToFit="1"/>
    </xf>
    <xf numFmtId="164" fontId="11" fillId="19" borderId="118" xfId="0" applyNumberFormat="1" applyFont="1" applyFill="1" applyBorder="1" applyAlignment="1">
      <alignment vertical="center" shrinkToFit="1"/>
    </xf>
    <xf numFmtId="164" fontId="11" fillId="20" borderId="119" xfId="0" applyNumberFormat="1" applyFont="1" applyFill="1" applyBorder="1" applyAlignment="1">
      <alignment vertical="center" shrinkToFit="1"/>
    </xf>
    <xf numFmtId="164" fontId="8" fillId="0" borderId="87" xfId="0" applyNumberFormat="1" applyFont="1" applyBorder="1" applyAlignment="1">
      <alignment vertical="center" shrinkToFit="1"/>
    </xf>
    <xf numFmtId="164" fontId="8" fillId="0" borderId="120" xfId="0" applyNumberFormat="1" applyFont="1" applyBorder="1" applyAlignment="1">
      <alignment vertical="center" shrinkToFit="1"/>
    </xf>
    <xf numFmtId="164" fontId="8" fillId="0" borderId="88" xfId="0" applyNumberFormat="1" applyFont="1" applyBorder="1" applyAlignment="1">
      <alignment vertical="center" shrinkToFit="1"/>
    </xf>
    <xf numFmtId="164" fontId="8" fillId="0" borderId="121" xfId="0" applyNumberFormat="1" applyFont="1" applyBorder="1" applyAlignment="1">
      <alignment vertical="center" shrinkToFit="1"/>
    </xf>
    <xf numFmtId="164" fontId="8" fillId="0" borderId="142" xfId="0" applyNumberFormat="1" applyFont="1" applyBorder="1" applyAlignment="1">
      <alignment vertical="center" shrinkToFit="1"/>
    </xf>
    <xf numFmtId="164" fontId="8" fillId="0" borderId="122" xfId="0" applyNumberFormat="1" applyFont="1" applyBorder="1" applyAlignment="1">
      <alignment vertical="center" shrinkToFit="1"/>
    </xf>
    <xf numFmtId="164" fontId="8" fillId="10" borderId="118" xfId="0" applyNumberFormat="1" applyFont="1" applyFill="1" applyBorder="1" applyAlignment="1">
      <alignment vertical="center" shrinkToFit="1"/>
    </xf>
    <xf numFmtId="164" fontId="8" fillId="19" borderId="118" xfId="0" applyNumberFormat="1" applyFont="1" applyFill="1" applyBorder="1" applyAlignment="1">
      <alignment vertical="center" shrinkToFit="1"/>
    </xf>
    <xf numFmtId="164" fontId="8" fillId="0" borderId="143" xfId="0" applyNumberFormat="1" applyFont="1" applyBorder="1" applyAlignment="1">
      <alignment vertical="center" shrinkToFit="1"/>
    </xf>
    <xf numFmtId="164" fontId="8" fillId="0" borderId="123" xfId="0" applyNumberFormat="1" applyFont="1" applyBorder="1" applyAlignment="1">
      <alignment vertical="center" shrinkToFit="1"/>
    </xf>
    <xf numFmtId="164" fontId="8" fillId="8" borderId="36" xfId="0" applyNumberFormat="1" applyFont="1" applyFill="1" applyBorder="1" applyAlignment="1">
      <alignment horizontal="center" vertical="center" shrinkToFit="1"/>
    </xf>
    <xf numFmtId="164" fontId="8" fillId="16" borderId="17" xfId="0" applyNumberFormat="1" applyFont="1" applyFill="1" applyBorder="1" applyAlignment="1">
      <alignment horizontal="center" vertical="center" shrinkToFit="1"/>
    </xf>
    <xf numFmtId="164" fontId="8" fillId="16" borderId="54" xfId="0" applyNumberFormat="1" applyFont="1" applyFill="1" applyBorder="1" applyAlignment="1">
      <alignment horizontal="center" vertical="center" wrapText="1"/>
    </xf>
    <xf numFmtId="164" fontId="11" fillId="8" borderId="42" xfId="0" applyNumberFormat="1" applyFont="1" applyFill="1" applyBorder="1" applyAlignment="1">
      <alignment horizontal="center" vertical="center" shrinkToFit="1"/>
    </xf>
    <xf numFmtId="164" fontId="11" fillId="16" borderId="92" xfId="0" applyNumberFormat="1" applyFont="1" applyFill="1" applyBorder="1" applyAlignment="1">
      <alignment horizontal="center" vertical="center" shrinkToFit="1"/>
    </xf>
    <xf numFmtId="0" fontId="11" fillId="2" borderId="107" xfId="0" applyFont="1" applyFill="1" applyBorder="1" applyAlignment="1">
      <alignment horizontal="center" vertical="center" wrapText="1"/>
    </xf>
    <xf numFmtId="166" fontId="8" fillId="2" borderId="72" xfId="0" applyNumberFormat="1" applyFont="1" applyFill="1" applyBorder="1" applyAlignment="1">
      <alignment horizontal="center" vertical="top" wrapText="1"/>
    </xf>
    <xf numFmtId="166" fontId="8" fillId="2" borderId="36" xfId="0" applyNumberFormat="1" applyFont="1" applyFill="1" applyBorder="1" applyAlignment="1">
      <alignment horizontal="center" vertical="top" wrapText="1"/>
    </xf>
    <xf numFmtId="166" fontId="8" fillId="2" borderId="119" xfId="0" applyNumberFormat="1" applyFont="1" applyFill="1" applyBorder="1" applyAlignment="1">
      <alignment horizontal="center" vertical="top" wrapText="1"/>
    </xf>
    <xf numFmtId="164" fontId="11" fillId="18" borderId="132" xfId="0" applyNumberFormat="1" applyFont="1" applyFill="1" applyBorder="1" applyAlignment="1">
      <alignment horizontal="center" vertical="center" shrinkToFit="1"/>
    </xf>
    <xf numFmtId="164" fontId="11" fillId="16" borderId="131" xfId="0" applyNumberFormat="1" applyFont="1" applyFill="1" applyBorder="1" applyAlignment="1">
      <alignment horizontal="center" vertical="center" shrinkToFit="1"/>
    </xf>
    <xf numFmtId="166" fontId="11" fillId="2" borderId="131" xfId="0" applyNumberFormat="1" applyFont="1" applyFill="1" applyBorder="1" applyAlignment="1">
      <alignment horizontal="center" vertical="center" shrinkToFit="1"/>
    </xf>
    <xf numFmtId="165" fontId="11" fillId="2" borderId="131" xfId="0" applyNumberFormat="1" applyFont="1" applyFill="1" applyBorder="1" applyAlignment="1">
      <alignment horizontal="center" vertical="center" shrinkToFit="1"/>
    </xf>
    <xf numFmtId="166" fontId="11" fillId="2" borderId="107" xfId="0" applyNumberFormat="1" applyFont="1" applyFill="1" applyBorder="1" applyAlignment="1">
      <alignment horizontal="center" vertical="center" shrinkToFit="1"/>
    </xf>
    <xf numFmtId="164" fontId="13" fillId="10" borderId="52" xfId="0" applyNumberFormat="1" applyFont="1" applyFill="1" applyBorder="1" applyAlignment="1">
      <alignment vertical="center" shrinkToFit="1"/>
    </xf>
    <xf numFmtId="164" fontId="13" fillId="10" borderId="52" xfId="0" applyNumberFormat="1" applyFont="1" applyFill="1" applyBorder="1" applyAlignment="1">
      <alignment horizontal="center" vertical="center" shrinkToFit="1"/>
    </xf>
    <xf numFmtId="164" fontId="13" fillId="10" borderId="118" xfId="0" applyNumberFormat="1" applyFont="1" applyFill="1" applyBorder="1" applyAlignment="1">
      <alignment vertical="center" shrinkToFit="1"/>
    </xf>
    <xf numFmtId="164" fontId="11" fillId="19" borderId="52" xfId="0" applyNumberFormat="1" applyFont="1" applyFill="1" applyBorder="1" applyAlignment="1">
      <alignment horizontal="center" vertical="center" shrinkToFit="1"/>
    </xf>
    <xf numFmtId="164" fontId="11" fillId="20" borderId="36" xfId="0" applyNumberFormat="1" applyFont="1" applyFill="1" applyBorder="1" applyAlignment="1">
      <alignment horizontal="center" vertical="center" shrinkToFit="1"/>
    </xf>
    <xf numFmtId="164" fontId="11" fillId="10" borderId="52" xfId="0" applyNumberFormat="1" applyFont="1" applyFill="1" applyBorder="1" applyAlignment="1">
      <alignment horizontal="center" vertical="center" shrinkToFit="1"/>
    </xf>
    <xf numFmtId="164" fontId="8" fillId="31" borderId="58" xfId="0" applyNumberFormat="1" applyFont="1" applyFill="1" applyBorder="1" applyAlignment="1">
      <alignment vertical="center" shrinkToFit="1"/>
    </xf>
    <xf numFmtId="164" fontId="8" fillId="0" borderId="58" xfId="0" applyNumberFormat="1" applyFont="1" applyBorder="1" applyAlignment="1">
      <alignment horizontal="center" vertical="center" shrinkToFit="1"/>
    </xf>
    <xf numFmtId="164" fontId="8" fillId="31" borderId="61" xfId="0" applyNumberFormat="1" applyFont="1" applyFill="1" applyBorder="1" applyAlignment="1">
      <alignment vertical="center" shrinkToFit="1"/>
    </xf>
    <xf numFmtId="164" fontId="8" fillId="0" borderId="61" xfId="0" applyNumberFormat="1" applyFont="1" applyBorder="1" applyAlignment="1">
      <alignment horizontal="center" vertical="center" shrinkToFit="1"/>
    </xf>
    <xf numFmtId="164" fontId="8" fillId="31" borderId="64" xfId="0" applyNumberFormat="1" applyFont="1" applyFill="1" applyBorder="1" applyAlignment="1">
      <alignment vertical="center" shrinkToFit="1"/>
    </xf>
    <xf numFmtId="164" fontId="8" fillId="0" borderId="64" xfId="0" applyNumberFormat="1" applyFont="1" applyBorder="1" applyAlignment="1">
      <alignment horizontal="center" vertical="center" shrinkToFit="1"/>
    </xf>
    <xf numFmtId="164" fontId="8" fillId="31" borderId="114" xfId="0" applyNumberFormat="1" applyFont="1" applyFill="1" applyBorder="1" applyAlignment="1">
      <alignment vertical="center" shrinkToFit="1"/>
    </xf>
    <xf numFmtId="164" fontId="8" fillId="0" borderId="114" xfId="0" applyNumberFormat="1" applyFont="1" applyBorder="1" applyAlignment="1">
      <alignment horizontal="center" vertical="center" shrinkToFit="1"/>
    </xf>
    <xf numFmtId="0" fontId="8" fillId="0" borderId="0" xfId="0" applyFont="1" applyAlignment="1">
      <alignment horizontal="center"/>
    </xf>
    <xf numFmtId="164" fontId="23" fillId="19" borderId="52" xfId="0" applyNumberFormat="1" applyFont="1" applyFill="1" applyBorder="1" applyAlignment="1">
      <alignment vertical="center" shrinkToFit="1"/>
    </xf>
    <xf numFmtId="167" fontId="23" fillId="19" borderId="52" xfId="0" applyNumberFormat="1" applyFont="1" applyFill="1" applyBorder="1" applyAlignment="1">
      <alignment vertical="center" shrinkToFit="1"/>
    </xf>
    <xf numFmtId="3" fontId="23" fillId="32" borderId="156" xfId="0" applyNumberFormat="1" applyFont="1" applyFill="1" applyBorder="1" applyAlignment="1">
      <alignment horizontal="right" vertical="center" wrapText="1"/>
    </xf>
    <xf numFmtId="0" fontId="23" fillId="32" borderId="157" xfId="0" applyFont="1" applyFill="1" applyBorder="1" applyAlignment="1">
      <alignment horizontal="right" vertical="center" wrapText="1"/>
    </xf>
    <xf numFmtId="3" fontId="23" fillId="32" borderId="157" xfId="0" applyNumberFormat="1" applyFont="1" applyFill="1" applyBorder="1" applyAlignment="1">
      <alignment horizontal="right" vertical="center" wrapText="1"/>
    </xf>
    <xf numFmtId="166" fontId="1" fillId="6" borderId="8" xfId="0" applyNumberFormat="1" applyFont="1" applyFill="1" applyBorder="1" applyAlignment="1">
      <alignment horizontal="center" vertical="top" shrinkToFit="1"/>
    </xf>
    <xf numFmtId="0" fontId="2" fillId="0" borderId="9" xfId="0" applyFont="1" applyBorder="1"/>
    <xf numFmtId="0" fontId="2" fillId="0" borderId="18" xfId="0" applyFont="1" applyBorder="1"/>
    <xf numFmtId="164" fontId="1" fillId="8" borderId="8" xfId="0" applyNumberFormat="1" applyFont="1" applyFill="1" applyBorder="1" applyAlignment="1">
      <alignment horizontal="center" vertical="center" shrinkToFit="1"/>
    </xf>
    <xf numFmtId="0" fontId="2" fillId="0" borderId="10" xfId="0" applyFont="1" applyBorder="1"/>
    <xf numFmtId="164" fontId="1" fillId="10" borderId="8" xfId="0" applyNumberFormat="1" applyFont="1" applyFill="1" applyBorder="1" applyAlignment="1">
      <alignment horizontal="center" vertical="center" shrinkToFit="1"/>
    </xf>
    <xf numFmtId="164" fontId="1" fillId="16" borderId="8" xfId="0" applyNumberFormat="1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/>
    </xf>
    <xf numFmtId="164" fontId="1" fillId="2" borderId="22" xfId="0" applyNumberFormat="1" applyFont="1" applyFill="1" applyBorder="1" applyAlignment="1">
      <alignment horizontal="left" vertical="center" shrinkToFit="1"/>
    </xf>
    <xf numFmtId="0" fontId="2" fillId="0" borderId="23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37" xfId="0" applyFont="1" applyBorder="1"/>
    <xf numFmtId="0" fontId="2" fillId="0" borderId="38" xfId="0" applyFont="1" applyBorder="1"/>
    <xf numFmtId="164" fontId="1" fillId="13" borderId="24" xfId="0" applyNumberFormat="1" applyFont="1" applyFill="1" applyBorder="1" applyAlignment="1">
      <alignment horizontal="center" vertical="top" shrinkToFit="1"/>
    </xf>
    <xf numFmtId="0" fontId="2" fillId="0" borderId="40" xfId="0" applyFont="1" applyBorder="1"/>
    <xf numFmtId="164" fontId="1" fillId="14" borderId="24" xfId="0" applyNumberFormat="1" applyFont="1" applyFill="1" applyBorder="1" applyAlignment="1">
      <alignment horizontal="center" vertical="top" shrinkToFit="1"/>
    </xf>
    <xf numFmtId="164" fontId="1" fillId="15" borderId="32" xfId="0" applyNumberFormat="1" applyFont="1" applyFill="1" applyBorder="1" applyAlignment="1">
      <alignment horizontal="center" vertical="center" shrinkToFit="1"/>
    </xf>
    <xf numFmtId="0" fontId="2" fillId="0" borderId="33" xfId="0" applyFont="1" applyBorder="1"/>
    <xf numFmtId="164" fontId="1" fillId="15" borderId="34" xfId="0" applyNumberFormat="1" applyFont="1" applyFill="1" applyBorder="1" applyAlignment="1">
      <alignment horizontal="center" vertical="center" shrinkToFit="1"/>
    </xf>
    <xf numFmtId="0" fontId="2" fillId="0" borderId="29" xfId="0" applyFont="1" applyBorder="1"/>
    <xf numFmtId="0" fontId="2" fillId="0" borderId="30" xfId="0" applyFont="1" applyBorder="1"/>
    <xf numFmtId="166" fontId="1" fillId="15" borderId="34" xfId="0" applyNumberFormat="1" applyFont="1" applyFill="1" applyBorder="1" applyAlignment="1">
      <alignment horizontal="center" vertical="center" shrinkToFit="1"/>
    </xf>
    <xf numFmtId="0" fontId="1" fillId="2" borderId="35" xfId="0" applyFont="1" applyFill="1" applyBorder="1" applyAlignment="1">
      <alignment horizontal="center"/>
    </xf>
    <xf numFmtId="0" fontId="1" fillId="8" borderId="43" xfId="0" applyFont="1" applyFill="1" applyBorder="1" applyAlignment="1">
      <alignment horizontal="center" vertical="center"/>
    </xf>
    <xf numFmtId="0" fontId="2" fillId="0" borderId="44" xfId="0" applyFont="1" applyBorder="1"/>
    <xf numFmtId="0" fontId="1" fillId="10" borderId="55" xfId="0" applyFont="1" applyFill="1" applyBorder="1" applyAlignment="1">
      <alignment horizontal="left" vertical="center"/>
    </xf>
    <xf numFmtId="0" fontId="1" fillId="10" borderId="65" xfId="0" applyFont="1" applyFill="1" applyBorder="1" applyAlignment="1">
      <alignment horizontal="left" vertical="center"/>
    </xf>
    <xf numFmtId="0" fontId="2" fillId="0" borderId="66" xfId="0" applyFont="1" applyBorder="1"/>
    <xf numFmtId="49" fontId="1" fillId="10" borderId="65" xfId="0" applyNumberFormat="1" applyFont="1" applyFill="1" applyBorder="1" applyAlignment="1">
      <alignment horizontal="left" vertical="center"/>
    </xf>
    <xf numFmtId="164" fontId="1" fillId="19" borderId="55" xfId="0" applyNumberFormat="1" applyFont="1" applyFill="1" applyBorder="1" applyAlignment="1">
      <alignment horizontal="left" vertical="center"/>
    </xf>
    <xf numFmtId="164" fontId="1" fillId="2" borderId="1" xfId="0" applyNumberFormat="1" applyFont="1" applyFill="1" applyBorder="1" applyAlignment="1">
      <alignment horizontal="center" vertical="center" shrinkToFit="1"/>
    </xf>
    <xf numFmtId="0" fontId="2" fillId="0" borderId="2" xfId="0" applyFont="1" applyBorder="1"/>
    <xf numFmtId="0" fontId="2" fillId="0" borderId="11" xfId="0" applyFont="1" applyBorder="1"/>
    <xf numFmtId="0" fontId="2" fillId="0" borderId="12" xfId="0" applyFont="1" applyBorder="1"/>
    <xf numFmtId="166" fontId="1" fillId="3" borderId="3" xfId="0" applyNumberFormat="1" applyFont="1" applyFill="1" applyBorder="1" applyAlignment="1">
      <alignment horizontal="center" vertical="top"/>
    </xf>
    <xf numFmtId="0" fontId="2" fillId="0" borderId="4" xfId="0" applyFont="1" applyBorder="1"/>
    <xf numFmtId="0" fontId="2" fillId="0" borderId="5" xfId="0" applyFont="1" applyBorder="1"/>
    <xf numFmtId="166" fontId="1" fillId="4" borderId="8" xfId="0" applyNumberFormat="1" applyFont="1" applyFill="1" applyBorder="1" applyAlignment="1">
      <alignment horizontal="center" vertical="top" shrinkToFit="1"/>
    </xf>
    <xf numFmtId="166" fontId="1" fillId="5" borderId="13" xfId="0" applyNumberFormat="1" applyFont="1" applyFill="1" applyBorder="1" applyAlignment="1">
      <alignment horizontal="center" vertical="top" shrinkToFit="1"/>
    </xf>
    <xf numFmtId="0" fontId="2" fillId="0" borderId="14" xfId="0" applyFont="1" applyBorder="1"/>
    <xf numFmtId="0" fontId="2" fillId="0" borderId="15" xfId="0" applyFont="1" applyBorder="1"/>
    <xf numFmtId="166" fontId="1" fillId="7" borderId="8" xfId="0" applyNumberFormat="1" applyFont="1" applyFill="1" applyBorder="1" applyAlignment="1">
      <alignment horizontal="center" vertical="top" wrapText="1"/>
    </xf>
    <xf numFmtId="164" fontId="3" fillId="7" borderId="19" xfId="0" applyNumberFormat="1" applyFont="1" applyFill="1" applyBorder="1" applyAlignment="1">
      <alignment horizontal="center" vertical="top" shrinkToFit="1"/>
    </xf>
    <xf numFmtId="0" fontId="2" fillId="0" borderId="20" xfId="0" applyFont="1" applyBorder="1"/>
    <xf numFmtId="0" fontId="2" fillId="0" borderId="21" xfId="0" applyFont="1" applyBorder="1"/>
    <xf numFmtId="0" fontId="2" fillId="0" borderId="28" xfId="0" applyFont="1" applyBorder="1"/>
    <xf numFmtId="166" fontId="1" fillId="7" borderId="25" xfId="0" applyNumberFormat="1" applyFont="1" applyFill="1" applyBorder="1" applyAlignment="1">
      <alignment horizontal="center" vertical="top" wrapText="1"/>
    </xf>
    <xf numFmtId="0" fontId="2" fillId="0" borderId="26" xfId="0" applyFont="1" applyBorder="1"/>
    <xf numFmtId="0" fontId="2" fillId="0" borderId="27" xfId="0" applyFont="1" applyBorder="1"/>
    <xf numFmtId="166" fontId="4" fillId="7" borderId="25" xfId="0" applyNumberFormat="1" applyFont="1" applyFill="1" applyBorder="1" applyAlignment="1">
      <alignment horizontal="center" vertical="top" wrapText="1"/>
    </xf>
    <xf numFmtId="166" fontId="4" fillId="7" borderId="13" xfId="0" applyNumberFormat="1" applyFont="1" applyFill="1" applyBorder="1" applyAlignment="1">
      <alignment horizontal="center" vertical="top" wrapText="1"/>
    </xf>
    <xf numFmtId="164" fontId="1" fillId="11" borderId="0" xfId="0" applyNumberFormat="1" applyFont="1" applyFill="1" applyAlignment="1">
      <alignment horizontal="center" vertical="top" shrinkToFit="1"/>
    </xf>
    <xf numFmtId="0" fontId="2" fillId="0" borderId="39" xfId="0" applyFont="1" applyBorder="1"/>
    <xf numFmtId="164" fontId="1" fillId="8" borderId="24" xfId="0" applyNumberFormat="1" applyFont="1" applyFill="1" applyBorder="1" applyAlignment="1">
      <alignment horizontal="center" vertical="top" shrinkToFit="1"/>
    </xf>
    <xf numFmtId="164" fontId="1" fillId="12" borderId="24" xfId="0" applyNumberFormat="1" applyFont="1" applyFill="1" applyBorder="1" applyAlignment="1">
      <alignment horizontal="center" vertical="top" shrinkToFit="1"/>
    </xf>
    <xf numFmtId="164" fontId="1" fillId="2" borderId="8" xfId="0" applyNumberFormat="1" applyFont="1" applyFill="1" applyBorder="1" applyAlignment="1">
      <alignment horizontal="center" vertical="center" wrapText="1"/>
    </xf>
    <xf numFmtId="164" fontId="1" fillId="7" borderId="8" xfId="0" applyNumberFormat="1" applyFont="1" applyFill="1" applyBorder="1" applyAlignment="1">
      <alignment horizontal="center" vertical="top" shrinkToFit="1"/>
    </xf>
    <xf numFmtId="164" fontId="1" fillId="7" borderId="8" xfId="0" applyNumberFormat="1" applyFont="1" applyFill="1" applyBorder="1" applyAlignment="1">
      <alignment horizontal="center" shrinkToFit="1"/>
    </xf>
    <xf numFmtId="164" fontId="1" fillId="7" borderId="19" xfId="0" applyNumberFormat="1" applyFont="1" applyFill="1" applyBorder="1" applyAlignment="1">
      <alignment horizontal="center" vertical="top" shrinkToFit="1"/>
    </xf>
    <xf numFmtId="166" fontId="1" fillId="3" borderId="3" xfId="0" applyNumberFormat="1" applyFont="1" applyFill="1" applyBorder="1" applyAlignment="1">
      <alignment horizontal="center" vertical="top" shrinkToFit="1"/>
    </xf>
    <xf numFmtId="166" fontId="1" fillId="5" borderId="8" xfId="0" applyNumberFormat="1" applyFont="1" applyFill="1" applyBorder="1" applyAlignment="1">
      <alignment horizontal="center" vertical="top" shrinkToFit="1"/>
    </xf>
    <xf numFmtId="164" fontId="1" fillId="7" borderId="68" xfId="0" applyNumberFormat="1" applyFont="1" applyFill="1" applyBorder="1" applyAlignment="1">
      <alignment horizontal="center" vertical="center" wrapText="1"/>
    </xf>
    <xf numFmtId="0" fontId="2" fillId="0" borderId="69" xfId="0" applyFont="1" applyBorder="1"/>
    <xf numFmtId="0" fontId="2" fillId="0" borderId="70" xfId="0" applyFont="1" applyBorder="1"/>
    <xf numFmtId="0" fontId="2" fillId="0" borderId="71" xfId="0" applyFont="1" applyBorder="1"/>
    <xf numFmtId="164" fontId="1" fillId="7" borderId="13" xfId="0" applyNumberFormat="1" applyFont="1" applyFill="1" applyBorder="1" applyAlignment="1">
      <alignment horizontal="center" vertical="top" wrapText="1"/>
    </xf>
    <xf numFmtId="166" fontId="1" fillId="7" borderId="68" xfId="0" applyNumberFormat="1" applyFont="1" applyFill="1" applyBorder="1" applyAlignment="1">
      <alignment horizontal="center" vertical="top" shrinkToFit="1"/>
    </xf>
    <xf numFmtId="166" fontId="1" fillId="7" borderId="68" xfId="0" applyNumberFormat="1" applyFont="1" applyFill="1" applyBorder="1" applyAlignment="1">
      <alignment horizontal="center" vertical="top" wrapText="1"/>
    </xf>
    <xf numFmtId="0" fontId="2" fillId="0" borderId="34" xfId="0" applyFont="1" applyBorder="1"/>
    <xf numFmtId="166" fontId="1" fillId="6" borderId="35" xfId="0" applyNumberFormat="1" applyFont="1" applyFill="1" applyBorder="1" applyAlignment="1">
      <alignment horizontal="center" vertical="top" shrinkToFit="1"/>
    </xf>
    <xf numFmtId="166" fontId="1" fillId="7" borderId="68" xfId="0" applyNumberFormat="1" applyFont="1" applyFill="1" applyBorder="1" applyAlignment="1">
      <alignment horizontal="center" vertical="center" wrapText="1"/>
    </xf>
    <xf numFmtId="166" fontId="1" fillId="7" borderId="8" xfId="0" applyNumberFormat="1" applyFont="1" applyFill="1" applyBorder="1" applyAlignment="1">
      <alignment horizontal="center" vertical="center" wrapText="1"/>
    </xf>
    <xf numFmtId="166" fontId="1" fillId="21" borderId="3" xfId="0" applyNumberFormat="1" applyFont="1" applyFill="1" applyBorder="1" applyAlignment="1">
      <alignment horizontal="center" vertical="top"/>
    </xf>
    <xf numFmtId="166" fontId="1" fillId="22" borderId="8" xfId="0" applyNumberFormat="1" applyFont="1" applyFill="1" applyBorder="1" applyAlignment="1">
      <alignment horizontal="center" vertical="top"/>
    </xf>
    <xf numFmtId="168" fontId="1" fillId="23" borderId="8" xfId="0" applyNumberFormat="1" applyFont="1" applyFill="1" applyBorder="1" applyAlignment="1">
      <alignment horizontal="center" vertical="top"/>
    </xf>
    <xf numFmtId="164" fontId="1" fillId="2" borderId="25" xfId="0" applyNumberFormat="1" applyFont="1" applyFill="1" applyBorder="1" applyAlignment="1">
      <alignment horizontal="center" vertical="center" wrapText="1"/>
    </xf>
    <xf numFmtId="166" fontId="1" fillId="16" borderId="77" xfId="0" applyNumberFormat="1" applyFont="1" applyFill="1" applyBorder="1" applyAlignment="1">
      <alignment horizontal="center" vertical="center" wrapText="1"/>
    </xf>
    <xf numFmtId="0" fontId="2" fillId="0" borderId="78" xfId="0" applyFont="1" applyBorder="1"/>
    <xf numFmtId="164" fontId="1" fillId="25" borderId="77" xfId="0" applyNumberFormat="1" applyFont="1" applyFill="1" applyBorder="1" applyAlignment="1">
      <alignment horizontal="center" vertical="center" shrinkToFit="1"/>
    </xf>
    <xf numFmtId="166" fontId="1" fillId="10" borderId="3" xfId="0" applyNumberFormat="1" applyFont="1" applyFill="1" applyBorder="1" applyAlignment="1">
      <alignment horizontal="center" vertical="top" shrinkToFit="1"/>
    </xf>
    <xf numFmtId="0" fontId="2" fillId="0" borderId="80" xfId="0" applyFont="1" applyBorder="1"/>
    <xf numFmtId="166" fontId="1" fillId="10" borderId="81" xfId="0" applyNumberFormat="1" applyFont="1" applyFill="1" applyBorder="1" applyAlignment="1">
      <alignment horizontal="center" vertical="top" shrinkToFit="1"/>
    </xf>
    <xf numFmtId="166" fontId="1" fillId="18" borderId="8" xfId="0" applyNumberFormat="1" applyFont="1" applyFill="1" applyBorder="1" applyAlignment="1">
      <alignment horizontal="center" vertical="top" shrinkToFit="1"/>
    </xf>
    <xf numFmtId="166" fontId="1" fillId="18" borderId="35" xfId="0" applyNumberFormat="1" applyFont="1" applyFill="1" applyBorder="1" applyAlignment="1">
      <alignment horizontal="center" vertical="top" shrinkToFit="1"/>
    </xf>
    <xf numFmtId="166" fontId="1" fillId="24" borderId="8" xfId="0" applyNumberFormat="1" applyFont="1" applyFill="1" applyBorder="1" applyAlignment="1">
      <alignment horizontal="center" vertical="top" wrapText="1"/>
    </xf>
    <xf numFmtId="166" fontId="1" fillId="24" borderId="82" xfId="0" applyNumberFormat="1" applyFont="1" applyFill="1" applyBorder="1" applyAlignment="1">
      <alignment horizontal="center" vertical="top" wrapText="1"/>
    </xf>
    <xf numFmtId="166" fontId="1" fillId="7" borderId="13" xfId="0" applyNumberFormat="1" applyFont="1" applyFill="1" applyBorder="1" applyAlignment="1">
      <alignment horizontal="center" vertical="top" wrapText="1"/>
    </xf>
    <xf numFmtId="166" fontId="1" fillId="2" borderId="8" xfId="0" applyNumberFormat="1" applyFont="1" applyFill="1" applyBorder="1" applyAlignment="1">
      <alignment horizontal="center" vertical="top" wrapText="1"/>
    </xf>
    <xf numFmtId="164" fontId="1" fillId="2" borderId="21" xfId="0" applyNumberFormat="1" applyFont="1" applyFill="1" applyBorder="1" applyAlignment="1">
      <alignment horizontal="center" vertical="center" wrapText="1"/>
    </xf>
    <xf numFmtId="0" fontId="2" fillId="0" borderId="86" xfId="0" applyFont="1" applyBorder="1"/>
    <xf numFmtId="166" fontId="1" fillId="7" borderId="83" xfId="0" applyNumberFormat="1" applyFont="1" applyFill="1" applyBorder="1" applyAlignment="1">
      <alignment horizontal="center" vertical="top"/>
    </xf>
    <xf numFmtId="0" fontId="2" fillId="0" borderId="84" xfId="0" applyFont="1" applyBorder="1"/>
    <xf numFmtId="0" fontId="2" fillId="0" borderId="85" xfId="0" applyFont="1" applyBorder="1"/>
    <xf numFmtId="164" fontId="1" fillId="7" borderId="20" xfId="0" applyNumberFormat="1" applyFont="1" applyFill="1" applyBorder="1" applyAlignment="1">
      <alignment horizontal="center" vertical="center" shrinkToFit="1"/>
    </xf>
    <xf numFmtId="165" fontId="1" fillId="7" borderId="8" xfId="0" applyNumberFormat="1" applyFont="1" applyFill="1" applyBorder="1" applyAlignment="1">
      <alignment horizontal="center" vertical="center" shrinkToFit="1"/>
    </xf>
    <xf numFmtId="165" fontId="1" fillId="7" borderId="8" xfId="0" applyNumberFormat="1" applyFont="1" applyFill="1" applyBorder="1" applyAlignment="1">
      <alignment horizontal="center" vertical="center" wrapText="1"/>
    </xf>
    <xf numFmtId="164" fontId="1" fillId="18" borderId="8" xfId="0" applyNumberFormat="1" applyFont="1" applyFill="1" applyBorder="1" applyAlignment="1">
      <alignment horizontal="center" vertical="center" shrinkToFit="1"/>
    </xf>
    <xf numFmtId="166" fontId="1" fillId="24" borderId="8" xfId="0" applyNumberFormat="1" applyFont="1" applyFill="1" applyBorder="1" applyAlignment="1">
      <alignment horizontal="center" vertical="top" shrinkToFit="1"/>
    </xf>
    <xf numFmtId="0" fontId="1" fillId="7" borderId="8" xfId="0" quotePrefix="1" applyFont="1" applyFill="1" applyBorder="1" applyAlignment="1">
      <alignment horizontal="center" vertical="center" shrinkToFit="1"/>
    </xf>
    <xf numFmtId="164" fontId="1" fillId="7" borderId="68" xfId="0" applyNumberFormat="1" applyFont="1" applyFill="1" applyBorder="1" applyAlignment="1">
      <alignment horizontal="center" vertical="top" wrapText="1"/>
    </xf>
    <xf numFmtId="166" fontId="1" fillId="22" borderId="8" xfId="0" applyNumberFormat="1" applyFont="1" applyFill="1" applyBorder="1" applyAlignment="1">
      <alignment horizontal="center" vertical="center"/>
    </xf>
    <xf numFmtId="166" fontId="1" fillId="23" borderId="8" xfId="0" applyNumberFormat="1" applyFont="1" applyFill="1" applyBorder="1" applyAlignment="1">
      <alignment horizontal="center" vertical="top"/>
    </xf>
    <xf numFmtId="166" fontId="1" fillId="23" borderId="8" xfId="0" applyNumberFormat="1" applyFont="1" applyFill="1" applyBorder="1" applyAlignment="1">
      <alignment horizontal="center" vertical="center"/>
    </xf>
    <xf numFmtId="0" fontId="2" fillId="0" borderId="89" xfId="0" applyFont="1" applyBorder="1"/>
    <xf numFmtId="166" fontId="1" fillId="21" borderId="8" xfId="0" applyNumberFormat="1" applyFont="1" applyFill="1" applyBorder="1" applyAlignment="1">
      <alignment horizontal="center" vertical="top"/>
    </xf>
    <xf numFmtId="0" fontId="2" fillId="0" borderId="90" xfId="0" applyFont="1" applyBorder="1"/>
    <xf numFmtId="164" fontId="1" fillId="16" borderId="8" xfId="0" applyNumberFormat="1" applyFont="1" applyFill="1" applyBorder="1" applyAlignment="1">
      <alignment horizontal="center" vertical="center" shrinkToFit="1"/>
    </xf>
    <xf numFmtId="164" fontId="1" fillId="3" borderId="24" xfId="0" applyNumberFormat="1" applyFont="1" applyFill="1" applyBorder="1" applyAlignment="1">
      <alignment horizontal="center" vertical="top" wrapText="1"/>
    </xf>
    <xf numFmtId="0" fontId="2" fillId="0" borderId="31" xfId="0" applyFont="1" applyBorder="1"/>
    <xf numFmtId="164" fontId="1" fillId="7" borderId="8" xfId="0" applyNumberFormat="1" applyFont="1" applyFill="1" applyBorder="1" applyAlignment="1">
      <alignment horizontal="center" vertical="top" wrapText="1"/>
    </xf>
    <xf numFmtId="164" fontId="6" fillId="27" borderId="34" xfId="0" applyNumberFormat="1" applyFont="1" applyFill="1" applyBorder="1" applyAlignment="1">
      <alignment horizontal="center" vertical="top" wrapText="1"/>
    </xf>
    <xf numFmtId="166" fontId="6" fillId="27" borderId="68" xfId="0" applyNumberFormat="1" applyFont="1" applyFill="1" applyBorder="1" applyAlignment="1">
      <alignment horizontal="center" vertical="top" wrapText="1"/>
    </xf>
    <xf numFmtId="164" fontId="1" fillId="24" borderId="32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164" fontId="6" fillId="28" borderId="68" xfId="0" applyNumberFormat="1" applyFont="1" applyFill="1" applyBorder="1" applyAlignment="1">
      <alignment horizontal="center" vertical="top" wrapText="1"/>
    </xf>
    <xf numFmtId="164" fontId="6" fillId="28" borderId="34" xfId="0" applyNumberFormat="1" applyFont="1" applyFill="1" applyBorder="1" applyAlignment="1">
      <alignment horizontal="center" vertical="top" wrapText="1"/>
    </xf>
    <xf numFmtId="164" fontId="1" fillId="24" borderId="34" xfId="0" applyNumberFormat="1" applyFont="1" applyFill="1" applyBorder="1" applyAlignment="1">
      <alignment horizontal="center" vertical="center" wrapText="1"/>
    </xf>
    <xf numFmtId="0" fontId="2" fillId="0" borderId="91" xfId="0" applyFont="1" applyBorder="1"/>
    <xf numFmtId="164" fontId="1" fillId="29" borderId="32" xfId="0" applyNumberFormat="1" applyFont="1" applyFill="1" applyBorder="1" applyAlignment="1">
      <alignment horizontal="center" vertical="center" wrapText="1"/>
    </xf>
    <xf numFmtId="164" fontId="1" fillId="29" borderId="34" xfId="0" applyNumberFormat="1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/>
    </xf>
    <xf numFmtId="164" fontId="8" fillId="7" borderId="13" xfId="0" applyNumberFormat="1" applyFont="1" applyFill="1" applyBorder="1" applyAlignment="1">
      <alignment horizontal="center" vertical="top" shrinkToFit="1"/>
    </xf>
    <xf numFmtId="0" fontId="2" fillId="0" borderId="104" xfId="0" applyFont="1" applyBorder="1"/>
    <xf numFmtId="164" fontId="9" fillId="8" borderId="1" xfId="0" applyNumberFormat="1" applyFont="1" applyFill="1" applyBorder="1" applyAlignment="1">
      <alignment horizontal="center" vertical="center" shrinkToFit="1"/>
    </xf>
    <xf numFmtId="0" fontId="9" fillId="24" borderId="1" xfId="0" applyFont="1" applyFill="1" applyBorder="1" applyAlignment="1">
      <alignment horizontal="center" vertical="center"/>
    </xf>
    <xf numFmtId="0" fontId="2" fillId="0" borderId="98" xfId="0" applyFont="1" applyBorder="1"/>
    <xf numFmtId="0" fontId="2" fillId="0" borderId="99" xfId="0" applyFont="1" applyBorder="1"/>
    <xf numFmtId="0" fontId="2" fillId="0" borderId="100" xfId="0" applyFont="1" applyBorder="1"/>
    <xf numFmtId="164" fontId="9" fillId="7" borderId="8" xfId="0" applyNumberFormat="1" applyFont="1" applyFill="1" applyBorder="1" applyAlignment="1">
      <alignment horizontal="center" vertical="center" shrinkToFit="1"/>
    </xf>
    <xf numFmtId="164" fontId="9" fillId="7" borderId="68" xfId="0" applyNumberFormat="1" applyFont="1" applyFill="1" applyBorder="1" applyAlignment="1">
      <alignment horizontal="center" vertical="center" shrinkToFit="1"/>
    </xf>
    <xf numFmtId="0" fontId="2" fillId="0" borderId="102" xfId="0" applyFont="1" applyBorder="1"/>
    <xf numFmtId="164" fontId="10" fillId="7" borderId="68" xfId="0" applyNumberFormat="1" applyFont="1" applyFill="1" applyBorder="1" applyAlignment="1">
      <alignment horizontal="center" vertical="center" wrapText="1"/>
    </xf>
    <xf numFmtId="166" fontId="9" fillId="7" borderId="8" xfId="0" applyNumberFormat="1" applyFont="1" applyFill="1" applyBorder="1" applyAlignment="1">
      <alignment horizontal="center" vertical="center" shrinkToFit="1"/>
    </xf>
    <xf numFmtId="166" fontId="11" fillId="7" borderId="8" xfId="0" applyNumberFormat="1" applyFont="1" applyFill="1" applyBorder="1" applyAlignment="1">
      <alignment horizontal="center" vertical="center" shrinkToFit="1"/>
    </xf>
    <xf numFmtId="164" fontId="9" fillId="8" borderId="22" xfId="0" applyNumberFormat="1" applyFont="1" applyFill="1" applyBorder="1" applyAlignment="1">
      <alignment horizontal="center" vertical="center" shrinkToFit="1"/>
    </xf>
    <xf numFmtId="0" fontId="8" fillId="2" borderId="8" xfId="0" applyFont="1" applyFill="1" applyBorder="1" applyAlignment="1">
      <alignment horizontal="center"/>
    </xf>
    <xf numFmtId="166" fontId="8" fillId="2" borderId="34" xfId="0" applyNumberFormat="1" applyFont="1" applyFill="1" applyBorder="1" applyAlignment="1">
      <alignment horizontal="center" vertical="center" shrinkToFit="1"/>
    </xf>
    <xf numFmtId="166" fontId="11" fillId="7" borderId="68" xfId="0" applyNumberFormat="1" applyFont="1" applyFill="1" applyBorder="1" applyAlignment="1">
      <alignment horizontal="center" vertical="center" wrapText="1"/>
    </xf>
    <xf numFmtId="164" fontId="8" fillId="7" borderId="8" xfId="0" applyNumberFormat="1" applyFont="1" applyFill="1" applyBorder="1" applyAlignment="1">
      <alignment horizontal="center" vertical="top" shrinkToFit="1"/>
    </xf>
    <xf numFmtId="166" fontId="8" fillId="2" borderId="8" xfId="0" applyNumberFormat="1" applyFont="1" applyFill="1" applyBorder="1" applyAlignment="1">
      <alignment horizontal="center" vertical="center" shrinkToFit="1"/>
    </xf>
    <xf numFmtId="164" fontId="8" fillId="19" borderId="8" xfId="0" applyNumberFormat="1" applyFont="1" applyFill="1" applyBorder="1" applyAlignment="1">
      <alignment horizontal="left" vertical="center"/>
    </xf>
    <xf numFmtId="166" fontId="9" fillId="30" borderId="101" xfId="0" applyNumberFormat="1" applyFont="1" applyFill="1" applyBorder="1" applyAlignment="1">
      <alignment horizontal="center" vertical="center" shrinkToFit="1"/>
    </xf>
    <xf numFmtId="0" fontId="2" fillId="0" borderId="103" xfId="0" applyFont="1" applyBorder="1"/>
    <xf numFmtId="164" fontId="11" fillId="8" borderId="55" xfId="0" applyNumberFormat="1" applyFont="1" applyFill="1" applyBorder="1" applyAlignment="1">
      <alignment horizontal="center" vertical="center" shrinkToFit="1"/>
    </xf>
    <xf numFmtId="164" fontId="11" fillId="10" borderId="13" xfId="0" applyNumberFormat="1" applyFont="1" applyFill="1" applyBorder="1" applyAlignment="1">
      <alignment horizontal="center" vertical="center" shrinkToFit="1"/>
    </xf>
    <xf numFmtId="164" fontId="11" fillId="12" borderId="24" xfId="0" applyNumberFormat="1" applyFont="1" applyFill="1" applyBorder="1" applyAlignment="1">
      <alignment horizontal="center" vertical="top" shrinkToFit="1"/>
    </xf>
    <xf numFmtId="164" fontId="11" fillId="10" borderId="25" xfId="0" applyNumberFormat="1" applyFont="1" applyFill="1" applyBorder="1" applyAlignment="1">
      <alignment horizontal="center" vertical="center" shrinkToFit="1"/>
    </xf>
    <xf numFmtId="164" fontId="11" fillId="8" borderId="108" xfId="0" applyNumberFormat="1" applyFont="1" applyFill="1" applyBorder="1" applyAlignment="1">
      <alignment horizontal="center" vertical="center" shrinkToFit="1"/>
    </xf>
    <xf numFmtId="0" fontId="11" fillId="10" borderId="8" xfId="0" applyFont="1" applyFill="1" applyBorder="1" applyAlignment="1">
      <alignment horizontal="left" vertical="center"/>
    </xf>
    <xf numFmtId="0" fontId="8" fillId="10" borderId="25" xfId="0" applyFont="1" applyFill="1" applyBorder="1" applyAlignment="1">
      <alignment horizontal="left" vertical="center"/>
    </xf>
    <xf numFmtId="49" fontId="8" fillId="10" borderId="25" xfId="0" applyNumberFormat="1" applyFont="1" applyFill="1" applyBorder="1" applyAlignment="1">
      <alignment horizontal="left" vertical="center"/>
    </xf>
    <xf numFmtId="0" fontId="8" fillId="10" borderId="8" xfId="0" applyFont="1" applyFill="1" applyBorder="1" applyAlignment="1">
      <alignment horizontal="left" vertical="center"/>
    </xf>
    <xf numFmtId="0" fontId="9" fillId="10" borderId="1" xfId="0" applyFont="1" applyFill="1" applyBorder="1" applyAlignment="1">
      <alignment horizontal="center" vertical="center"/>
    </xf>
    <xf numFmtId="164" fontId="9" fillId="7" borderId="19" xfId="0" applyNumberFormat="1" applyFont="1" applyFill="1" applyBorder="1" applyAlignment="1">
      <alignment horizontal="center" vertical="center" shrinkToFit="1"/>
    </xf>
    <xf numFmtId="0" fontId="2" fillId="0" borderId="115" xfId="0" applyFont="1" applyBorder="1"/>
    <xf numFmtId="0" fontId="2" fillId="0" borderId="32" xfId="0" applyFont="1" applyBorder="1"/>
    <xf numFmtId="0" fontId="2" fillId="0" borderId="116" xfId="0" applyFont="1" applyBorder="1"/>
    <xf numFmtId="164" fontId="8" fillId="8" borderId="55" xfId="0" applyNumberFormat="1" applyFont="1" applyFill="1" applyBorder="1" applyAlignment="1">
      <alignment horizontal="center" vertical="center" shrinkToFit="1"/>
    </xf>
    <xf numFmtId="164" fontId="8" fillId="10" borderId="13" xfId="0" applyNumberFormat="1" applyFont="1" applyFill="1" applyBorder="1" applyAlignment="1">
      <alignment horizontal="center" vertical="center" shrinkToFit="1"/>
    </xf>
    <xf numFmtId="166" fontId="8" fillId="16" borderId="8" xfId="0" applyNumberFormat="1" applyFont="1" applyFill="1" applyBorder="1" applyAlignment="1">
      <alignment horizontal="center" vertical="center" shrinkToFit="1"/>
    </xf>
    <xf numFmtId="164" fontId="8" fillId="12" borderId="24" xfId="0" applyNumberFormat="1" applyFont="1" applyFill="1" applyBorder="1" applyAlignment="1">
      <alignment horizontal="center" vertical="top" shrinkToFit="1"/>
    </xf>
    <xf numFmtId="164" fontId="8" fillId="10" borderId="25" xfId="0" applyNumberFormat="1" applyFont="1" applyFill="1" applyBorder="1" applyAlignment="1">
      <alignment horizontal="center" vertical="center" shrinkToFit="1"/>
    </xf>
    <xf numFmtId="166" fontId="9" fillId="16" borderId="8" xfId="0" applyNumberFormat="1" applyFont="1" applyFill="1" applyBorder="1" applyAlignment="1">
      <alignment horizontal="center" vertical="top" shrinkToFit="1"/>
    </xf>
    <xf numFmtId="166" fontId="9" fillId="7" borderId="25" xfId="0" applyNumberFormat="1" applyFont="1" applyFill="1" applyBorder="1" applyAlignment="1">
      <alignment horizontal="center" vertical="top" shrinkToFit="1"/>
    </xf>
    <xf numFmtId="166" fontId="9" fillId="30" borderId="124" xfId="0" applyNumberFormat="1" applyFont="1" applyFill="1" applyBorder="1" applyAlignment="1">
      <alignment horizontal="center" vertical="center" shrinkToFit="1"/>
    </xf>
    <xf numFmtId="0" fontId="2" fillId="0" borderId="125" xfId="0" applyFont="1" applyBorder="1"/>
    <xf numFmtId="0" fontId="2" fillId="0" borderId="126" xfId="0" applyFont="1" applyBorder="1"/>
    <xf numFmtId="0" fontId="9" fillId="7" borderId="25" xfId="0" applyFont="1" applyFill="1" applyBorder="1" applyAlignment="1">
      <alignment horizontal="center" vertical="center"/>
    </xf>
    <xf numFmtId="166" fontId="9" fillId="7" borderId="68" xfId="0" applyNumberFormat="1" applyFont="1" applyFill="1" applyBorder="1" applyAlignment="1">
      <alignment horizontal="center" vertical="center" shrinkToFit="1"/>
    </xf>
    <xf numFmtId="166" fontId="9" fillId="7" borderId="19" xfId="0" applyNumberFormat="1" applyFont="1" applyFill="1" applyBorder="1" applyAlignment="1">
      <alignment horizontal="center" vertical="center" shrinkToFit="1"/>
    </xf>
    <xf numFmtId="166" fontId="9" fillId="7" borderId="25" xfId="0" applyNumberFormat="1" applyFont="1" applyFill="1" applyBorder="1" applyAlignment="1">
      <alignment horizontal="center" vertical="center" shrinkToFit="1"/>
    </xf>
    <xf numFmtId="166" fontId="8" fillId="16" borderId="68" xfId="0" applyNumberFormat="1" applyFont="1" applyFill="1" applyBorder="1" applyAlignment="1">
      <alignment horizontal="center" vertical="center" shrinkToFit="1"/>
    </xf>
    <xf numFmtId="166" fontId="8" fillId="2" borderId="8" xfId="0" applyNumberFormat="1" applyFont="1" applyFill="1" applyBorder="1" applyAlignment="1">
      <alignment horizontal="center" vertical="top" shrinkToFit="1"/>
    </xf>
    <xf numFmtId="164" fontId="9" fillId="2" borderId="8" xfId="0" applyNumberFormat="1" applyFont="1" applyFill="1" applyBorder="1" applyAlignment="1">
      <alignment horizontal="center" vertical="center" shrinkToFit="1"/>
    </xf>
    <xf numFmtId="164" fontId="8" fillId="2" borderId="35" xfId="0" applyNumberFormat="1" applyFont="1" applyFill="1" applyBorder="1" applyAlignment="1">
      <alignment horizontal="center" vertical="center" shrinkToFit="1"/>
    </xf>
    <xf numFmtId="166" fontId="9" fillId="2" borderId="8" xfId="0" applyNumberFormat="1" applyFont="1" applyFill="1" applyBorder="1" applyAlignment="1">
      <alignment horizontal="center" vertical="top" shrinkToFit="1"/>
    </xf>
    <xf numFmtId="164" fontId="8" fillId="8" borderId="35" xfId="0" applyNumberFormat="1" applyFont="1" applyFill="1" applyBorder="1" applyAlignment="1">
      <alignment horizontal="center" vertical="center" shrinkToFit="1"/>
    </xf>
    <xf numFmtId="0" fontId="8" fillId="2" borderId="25" xfId="0" applyFont="1" applyFill="1" applyBorder="1" applyAlignment="1">
      <alignment horizontal="center" vertical="center"/>
    </xf>
    <xf numFmtId="164" fontId="8" fillId="8" borderId="1" xfId="0" applyNumberFormat="1" applyFont="1" applyFill="1" applyBorder="1" applyAlignment="1">
      <alignment horizontal="center" vertical="center" shrinkToFit="1"/>
    </xf>
    <xf numFmtId="0" fontId="8" fillId="10" borderId="138" xfId="0" applyFont="1" applyFill="1" applyBorder="1" applyAlignment="1">
      <alignment horizontal="center" vertical="center"/>
    </xf>
    <xf numFmtId="166" fontId="8" fillId="30" borderId="19" xfId="0" applyNumberFormat="1" applyFont="1" applyFill="1" applyBorder="1" applyAlignment="1">
      <alignment horizontal="center" vertical="center" shrinkToFit="1"/>
    </xf>
    <xf numFmtId="0" fontId="2" fillId="0" borderId="139" xfId="0" applyFont="1" applyBorder="1"/>
    <xf numFmtId="0" fontId="2" fillId="0" borderId="140" xfId="0" applyFont="1" applyBorder="1"/>
    <xf numFmtId="166" fontId="8" fillId="7" borderId="8" xfId="0" applyNumberFormat="1" applyFont="1" applyFill="1" applyBorder="1" applyAlignment="1">
      <alignment horizontal="center" vertical="center" shrinkToFit="1"/>
    </xf>
    <xf numFmtId="164" fontId="8" fillId="7" borderId="68" xfId="0" applyNumberFormat="1" applyFont="1" applyFill="1" applyBorder="1" applyAlignment="1">
      <alignment horizontal="center" vertical="center" wrapText="1"/>
    </xf>
    <xf numFmtId="164" fontId="8" fillId="7" borderId="25" xfId="0" applyNumberFormat="1" applyFont="1" applyFill="1" applyBorder="1" applyAlignment="1">
      <alignment horizontal="center" vertical="top" wrapText="1"/>
    </xf>
    <xf numFmtId="164" fontId="8" fillId="7" borderId="68" xfId="0" applyNumberFormat="1" applyFont="1" applyFill="1" applyBorder="1" applyAlignment="1">
      <alignment horizontal="center" vertical="top" wrapText="1"/>
    </xf>
    <xf numFmtId="164" fontId="10" fillId="7" borderId="8" xfId="0" applyNumberFormat="1" applyFont="1" applyFill="1" applyBorder="1" applyAlignment="1">
      <alignment horizontal="center" vertical="top" wrapText="1"/>
    </xf>
    <xf numFmtId="0" fontId="2" fillId="0" borderId="141" xfId="0" applyFont="1" applyBorder="1"/>
    <xf numFmtId="0" fontId="8" fillId="7" borderId="8" xfId="0" applyFont="1" applyFill="1" applyBorder="1" applyAlignment="1">
      <alignment horizontal="center" vertical="top" wrapText="1"/>
    </xf>
    <xf numFmtId="164" fontId="8" fillId="8" borderId="22" xfId="0" applyNumberFormat="1" applyFont="1" applyFill="1" applyBorder="1" applyAlignment="1">
      <alignment horizontal="center" vertical="center" shrinkToFit="1"/>
    </xf>
    <xf numFmtId="164" fontId="8" fillId="8" borderId="108" xfId="0" applyNumberFormat="1" applyFont="1" applyFill="1" applyBorder="1" applyAlignment="1">
      <alignment horizontal="center" vertical="center" shrinkToFit="1"/>
    </xf>
    <xf numFmtId="166" fontId="10" fillId="16" borderId="19" xfId="0" applyNumberFormat="1" applyFont="1" applyFill="1" applyBorder="1" applyAlignment="1">
      <alignment horizontal="center" vertical="center" shrinkToFit="1"/>
    </xf>
    <xf numFmtId="49" fontId="10" fillId="10" borderId="25" xfId="0" applyNumberFormat="1" applyFont="1" applyFill="1" applyBorder="1" applyAlignment="1">
      <alignment horizontal="left" vertical="center"/>
    </xf>
    <xf numFmtId="0" fontId="10" fillId="10" borderId="8" xfId="0" applyFont="1" applyFill="1" applyBorder="1" applyAlignment="1">
      <alignment horizontal="left" vertical="center"/>
    </xf>
    <xf numFmtId="164" fontId="10" fillId="19" borderId="8" xfId="0" applyNumberFormat="1" applyFont="1" applyFill="1" applyBorder="1" applyAlignment="1">
      <alignment horizontal="left" vertical="center"/>
    </xf>
    <xf numFmtId="166" fontId="10" fillId="30" borderId="124" xfId="0" applyNumberFormat="1" applyFont="1" applyFill="1" applyBorder="1" applyAlignment="1">
      <alignment horizontal="center" vertical="center" shrinkToFit="1"/>
    </xf>
    <xf numFmtId="164" fontId="10" fillId="8" borderId="35" xfId="0" applyNumberFormat="1" applyFont="1" applyFill="1" applyBorder="1" applyAlignment="1">
      <alignment horizontal="center" vertical="center" shrinkToFit="1"/>
    </xf>
    <xf numFmtId="164" fontId="10" fillId="10" borderId="13" xfId="0" applyNumberFormat="1" applyFont="1" applyFill="1" applyBorder="1" applyAlignment="1">
      <alignment horizontal="center" vertical="center" shrinkToFit="1"/>
    </xf>
    <xf numFmtId="164" fontId="10" fillId="8" borderId="22" xfId="0" applyNumberFormat="1" applyFont="1" applyFill="1" applyBorder="1" applyAlignment="1">
      <alignment horizontal="center" vertical="center" shrinkToFit="1"/>
    </xf>
    <xf numFmtId="164" fontId="10" fillId="12" borderId="24" xfId="0" applyNumberFormat="1" applyFont="1" applyFill="1" applyBorder="1" applyAlignment="1">
      <alignment horizontal="center" vertical="top" shrinkToFit="1"/>
    </xf>
    <xf numFmtId="164" fontId="10" fillId="10" borderId="25" xfId="0" applyNumberFormat="1" applyFont="1" applyFill="1" applyBorder="1" applyAlignment="1">
      <alignment horizontal="center" vertical="center" shrinkToFit="1"/>
    </xf>
    <xf numFmtId="164" fontId="10" fillId="8" borderId="108" xfId="0" applyNumberFormat="1" applyFont="1" applyFill="1" applyBorder="1" applyAlignment="1">
      <alignment horizontal="center" vertical="center" shrinkToFit="1"/>
    </xf>
    <xf numFmtId="0" fontId="10" fillId="10" borderId="25" xfId="0" applyFont="1" applyFill="1" applyBorder="1" applyAlignment="1">
      <alignment horizontal="left" vertical="center"/>
    </xf>
    <xf numFmtId="166" fontId="10" fillId="7" borderId="25" xfId="0" applyNumberFormat="1" applyFont="1" applyFill="1" applyBorder="1" applyAlignment="1">
      <alignment horizontal="center" vertical="center" shrinkToFit="1"/>
    </xf>
    <xf numFmtId="166" fontId="10" fillId="2" borderId="8" xfId="0" applyNumberFormat="1" applyFont="1" applyFill="1" applyBorder="1" applyAlignment="1">
      <alignment horizontal="center" vertical="center" shrinkToFit="1"/>
    </xf>
    <xf numFmtId="166" fontId="10" fillId="2" borderId="8" xfId="0" applyNumberFormat="1" applyFont="1" applyFill="1" applyBorder="1" applyAlignment="1">
      <alignment horizontal="center" vertical="top" wrapText="1"/>
    </xf>
    <xf numFmtId="166" fontId="10" fillId="2" borderId="8" xfId="0" applyNumberFormat="1" applyFont="1" applyFill="1" applyBorder="1" applyAlignment="1">
      <alignment horizontal="center" vertical="top" shrinkToFit="1"/>
    </xf>
    <xf numFmtId="166" fontId="10" fillId="7" borderId="8" xfId="0" applyNumberFormat="1" applyFont="1" applyFill="1" applyBorder="1" applyAlignment="1">
      <alignment horizontal="center" vertical="top" shrinkToFit="1"/>
    </xf>
    <xf numFmtId="166" fontId="10" fillId="2" borderId="9" xfId="0" applyNumberFormat="1" applyFont="1" applyFill="1" applyBorder="1" applyAlignment="1">
      <alignment horizontal="center" vertical="top" wrapText="1"/>
    </xf>
    <xf numFmtId="166" fontId="10" fillId="7" borderId="8" xfId="0" applyNumberFormat="1" applyFont="1" applyFill="1" applyBorder="1" applyAlignment="1">
      <alignment horizontal="center" vertical="center" shrinkToFit="1"/>
    </xf>
    <xf numFmtId="166" fontId="10" fillId="2" borderId="13" xfId="0" applyNumberFormat="1" applyFont="1" applyFill="1" applyBorder="1" applyAlignment="1">
      <alignment horizontal="center" vertical="top" wrapText="1"/>
    </xf>
    <xf numFmtId="166" fontId="10" fillId="7" borderId="35" xfId="0" applyNumberFormat="1" applyFont="1" applyFill="1" applyBorder="1" applyAlignment="1">
      <alignment horizontal="center" vertical="center" shrinkToFit="1"/>
    </xf>
    <xf numFmtId="164" fontId="10" fillId="8" borderId="1" xfId="0" applyNumberFormat="1" applyFont="1" applyFill="1" applyBorder="1" applyAlignment="1">
      <alignment horizontal="center" vertical="center" shrinkToFit="1"/>
    </xf>
    <xf numFmtId="0" fontId="10" fillId="24" borderId="1" xfId="0" applyFont="1" applyFill="1" applyBorder="1" applyAlignment="1">
      <alignment horizontal="center" vertical="center"/>
    </xf>
    <xf numFmtId="0" fontId="10" fillId="24" borderId="144" xfId="0" applyFont="1" applyFill="1" applyBorder="1" applyAlignment="1">
      <alignment horizontal="center" vertical="center"/>
    </xf>
    <xf numFmtId="0" fontId="2" fillId="0" borderId="145" xfId="0" applyFont="1" applyBorder="1"/>
    <xf numFmtId="0" fontId="10" fillId="7" borderId="13" xfId="0" applyFont="1" applyFill="1" applyBorder="1" applyAlignment="1">
      <alignment horizontal="center" vertical="center"/>
    </xf>
    <xf numFmtId="166" fontId="10" fillId="7" borderId="68" xfId="0" applyNumberFormat="1" applyFont="1" applyFill="1" applyBorder="1" applyAlignment="1">
      <alignment horizontal="center" vertical="center" shrinkToFit="1"/>
    </xf>
    <xf numFmtId="166" fontId="10" fillId="2" borderId="13" xfId="0" applyNumberFormat="1" applyFont="1" applyFill="1" applyBorder="1" applyAlignment="1">
      <alignment horizontal="center" vertical="top" shrinkToFit="1"/>
    </xf>
    <xf numFmtId="166" fontId="10" fillId="2" borderId="13" xfId="0" applyNumberFormat="1" applyFont="1" applyFill="1" applyBorder="1" applyAlignment="1">
      <alignment horizontal="center" vertical="center" wrapText="1"/>
    </xf>
    <xf numFmtId="0" fontId="10" fillId="2" borderId="13" xfId="0" quotePrefix="1" applyFont="1" applyFill="1" applyBorder="1" applyAlignment="1">
      <alignment horizontal="center" vertical="center" wrapText="1"/>
    </xf>
    <xf numFmtId="166" fontId="10" fillId="2" borderId="68" xfId="0" applyNumberFormat="1" applyFont="1" applyFill="1" applyBorder="1" applyAlignment="1">
      <alignment horizontal="center" vertical="top" wrapText="1" shrinkToFit="1"/>
    </xf>
    <xf numFmtId="0" fontId="2" fillId="0" borderId="21" xfId="0" applyFont="1" applyBorder="1" applyAlignment="1">
      <alignment wrapText="1"/>
    </xf>
    <xf numFmtId="0" fontId="2" fillId="0" borderId="34" xfId="0" applyFont="1" applyBorder="1" applyAlignment="1">
      <alignment wrapText="1"/>
    </xf>
    <xf numFmtId="0" fontId="2" fillId="0" borderId="30" xfId="0" applyFont="1" applyBorder="1" applyAlignment="1">
      <alignment wrapText="1"/>
    </xf>
    <xf numFmtId="0" fontId="10" fillId="2" borderId="19" xfId="0" quotePrefix="1" applyFont="1" applyFill="1" applyBorder="1" applyAlignment="1">
      <alignment horizontal="center" vertical="center" wrapText="1"/>
    </xf>
    <xf numFmtId="166" fontId="10" fillId="2" borderId="83" xfId="0" applyNumberFormat="1" applyFont="1" applyFill="1" applyBorder="1" applyAlignment="1">
      <alignment horizontal="center" vertical="center" wrapText="1"/>
    </xf>
    <xf numFmtId="0" fontId="2" fillId="0" borderId="146" xfId="0" applyFont="1" applyBorder="1"/>
    <xf numFmtId="164" fontId="9" fillId="8" borderId="55" xfId="0" applyNumberFormat="1" applyFont="1" applyFill="1" applyBorder="1" applyAlignment="1">
      <alignment horizontal="center" vertical="center" shrinkToFit="1"/>
    </xf>
    <xf numFmtId="164" fontId="9" fillId="10" borderId="13" xfId="0" applyNumberFormat="1" applyFont="1" applyFill="1" applyBorder="1" applyAlignment="1">
      <alignment horizontal="center" vertical="center" shrinkToFit="1"/>
    </xf>
    <xf numFmtId="164" fontId="9" fillId="10" borderId="25" xfId="0" applyNumberFormat="1" applyFont="1" applyFill="1" applyBorder="1" applyAlignment="1">
      <alignment horizontal="center" vertical="center" shrinkToFit="1"/>
    </xf>
    <xf numFmtId="166" fontId="9" fillId="7" borderId="8" xfId="0" applyNumberFormat="1" applyFont="1" applyFill="1" applyBorder="1" applyAlignment="1">
      <alignment horizontal="center" vertical="top" shrinkToFit="1"/>
    </xf>
    <xf numFmtId="166" fontId="8" fillId="16" borderId="24" xfId="0" applyNumberFormat="1" applyFont="1" applyFill="1" applyBorder="1" applyAlignment="1">
      <alignment horizontal="center" vertical="center" shrinkToFit="1"/>
    </xf>
    <xf numFmtId="0" fontId="2" fillId="0" borderId="75" xfId="0" applyFont="1" applyBorder="1"/>
    <xf numFmtId="164" fontId="8" fillId="7" borderId="149" xfId="0" applyNumberFormat="1" applyFont="1" applyFill="1" applyBorder="1" applyAlignment="1">
      <alignment horizontal="center" vertical="top" wrapText="1"/>
    </xf>
    <xf numFmtId="164" fontId="8" fillId="7" borderId="150" xfId="0" applyNumberFormat="1" applyFont="1" applyFill="1" applyBorder="1" applyAlignment="1">
      <alignment horizontal="center" vertical="top" wrapText="1"/>
    </xf>
    <xf numFmtId="0" fontId="2" fillId="0" borderId="94" xfId="0" applyFont="1" applyBorder="1"/>
    <xf numFmtId="164" fontId="9" fillId="8" borderId="0" xfId="0" applyNumberFormat="1" applyFont="1" applyFill="1" applyAlignment="1">
      <alignment horizontal="center" vertical="center" shrinkToFit="1"/>
    </xf>
    <xf numFmtId="0" fontId="2" fillId="0" borderId="151" xfId="0" applyFont="1" applyBorder="1"/>
    <xf numFmtId="164" fontId="9" fillId="12" borderId="31" xfId="0" applyNumberFormat="1" applyFont="1" applyFill="1" applyBorder="1" applyAlignment="1">
      <alignment horizontal="center" vertical="top" shrinkToFit="1"/>
    </xf>
    <xf numFmtId="164" fontId="11" fillId="8" borderId="103" xfId="0" applyNumberFormat="1" applyFont="1" applyFill="1" applyBorder="1" applyAlignment="1">
      <alignment horizontal="center" vertical="center" shrinkToFit="1"/>
    </xf>
    <xf numFmtId="164" fontId="9" fillId="7" borderId="8" xfId="0" applyNumberFormat="1" applyFont="1" applyFill="1" applyBorder="1" applyAlignment="1">
      <alignment horizontal="center" vertical="top" shrinkToFit="1"/>
    </xf>
    <xf numFmtId="0" fontId="8" fillId="2" borderId="8" xfId="0" applyFont="1" applyFill="1" applyBorder="1" applyAlignment="1">
      <alignment horizontal="center" vertical="center" wrapText="1"/>
    </xf>
    <xf numFmtId="0" fontId="9" fillId="7" borderId="8" xfId="0" applyFont="1" applyFill="1" applyBorder="1" applyAlignment="1">
      <alignment horizontal="center" vertical="center" wrapText="1"/>
    </xf>
    <xf numFmtId="164" fontId="8" fillId="2" borderId="8" xfId="0" applyNumberFormat="1" applyFont="1" applyFill="1" applyBorder="1" applyAlignment="1">
      <alignment horizontal="center" vertical="top" wrapText="1"/>
    </xf>
    <xf numFmtId="0" fontId="9" fillId="10" borderId="138" xfId="0" applyFont="1" applyFill="1" applyBorder="1" applyAlignment="1">
      <alignment horizontal="center" vertical="center" wrapText="1"/>
    </xf>
    <xf numFmtId="166" fontId="9" fillId="30" borderId="19" xfId="0" applyNumberFormat="1" applyFont="1" applyFill="1" applyBorder="1" applyAlignment="1">
      <alignment horizontal="center" vertical="center" shrinkToFit="1"/>
    </xf>
    <xf numFmtId="166" fontId="9" fillId="2" borderId="8" xfId="0" applyNumberFormat="1" applyFont="1" applyFill="1" applyBorder="1" applyAlignment="1">
      <alignment horizontal="center" vertical="top" wrapText="1"/>
    </xf>
    <xf numFmtId="164" fontId="8" fillId="2" borderId="8" xfId="0" applyNumberFormat="1" applyFont="1" applyFill="1" applyBorder="1" applyAlignment="1">
      <alignment horizontal="center" vertical="center" wrapText="1"/>
    </xf>
    <xf numFmtId="166" fontId="9" fillId="30" borderId="68" xfId="0" applyNumberFormat="1" applyFont="1" applyFill="1" applyBorder="1" applyAlignment="1">
      <alignment horizontal="center" vertical="center" shrinkToFit="1"/>
    </xf>
    <xf numFmtId="0" fontId="9" fillId="7" borderId="68" xfId="0" applyFont="1" applyFill="1" applyBorder="1" applyAlignment="1">
      <alignment horizontal="center" vertical="center" wrapText="1"/>
    </xf>
    <xf numFmtId="164" fontId="9" fillId="2" borderId="8" xfId="0" applyNumberFormat="1" applyFont="1" applyFill="1" applyBorder="1" applyAlignment="1">
      <alignment horizontal="center" vertical="center" wrapText="1"/>
    </xf>
    <xf numFmtId="166" fontId="8" fillId="2" borderId="149" xfId="0" applyNumberFormat="1" applyFont="1" applyFill="1" applyBorder="1" applyAlignment="1">
      <alignment horizontal="center" vertical="center" wrapText="1"/>
    </xf>
    <xf numFmtId="166" fontId="8" fillId="2" borderId="149" xfId="0" applyNumberFormat="1" applyFont="1" applyFill="1" applyBorder="1" applyAlignment="1">
      <alignment horizontal="center" vertical="center" shrinkToFit="1"/>
    </xf>
    <xf numFmtId="166" fontId="8" fillId="2" borderId="25" xfId="0" applyNumberFormat="1" applyFont="1" applyFill="1" applyBorder="1" applyAlignment="1">
      <alignment horizontal="center" vertical="top" shrinkToFit="1"/>
    </xf>
    <xf numFmtId="166" fontId="9" fillId="16" borderId="68" xfId="0" applyNumberFormat="1" applyFont="1" applyFill="1" applyBorder="1" applyAlignment="1">
      <alignment horizontal="center" vertical="center" shrinkToFit="1"/>
    </xf>
    <xf numFmtId="166" fontId="9" fillId="2" borderId="8" xfId="0" applyNumberFormat="1" applyFont="1" applyFill="1" applyBorder="1" applyAlignment="1">
      <alignment horizontal="center" vertical="center" shrinkToFit="1"/>
    </xf>
    <xf numFmtId="164" fontId="8" fillId="8" borderId="8" xfId="0" applyNumberFormat="1" applyFont="1" applyFill="1" applyBorder="1" applyAlignment="1">
      <alignment horizontal="center" vertical="center" shrinkToFit="1"/>
    </xf>
    <xf numFmtId="166" fontId="9" fillId="16" borderId="24" xfId="0" applyNumberFormat="1" applyFont="1" applyFill="1" applyBorder="1" applyAlignment="1">
      <alignment horizontal="center" vertical="top" shrinkToFit="1"/>
    </xf>
    <xf numFmtId="166" fontId="9" fillId="16" borderId="24" xfId="0" applyNumberFormat="1" applyFont="1" applyFill="1" applyBorder="1" applyAlignment="1">
      <alignment horizontal="center" vertical="top" wrapText="1"/>
    </xf>
    <xf numFmtId="166" fontId="9" fillId="16" borderId="77" xfId="0" applyNumberFormat="1" applyFont="1" applyFill="1" applyBorder="1" applyAlignment="1">
      <alignment horizontal="center" vertical="top" wrapText="1"/>
    </xf>
    <xf numFmtId="0" fontId="2" fillId="0" borderId="155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EAADB"/>
    <pageSetUpPr fitToPage="1"/>
  </sheetPr>
  <dimension ref="A1:AJ1003"/>
  <sheetViews>
    <sheetView tabSelected="1" view="pageBreakPreview" zoomScale="60" zoomScaleNormal="100" workbookViewId="0">
      <pane xSplit="2" ySplit="9" topLeftCell="C10" activePane="bottomRight" state="frozen"/>
      <selection activeCell="A15" sqref="A15:B15"/>
      <selection pane="topRight" activeCell="A15" sqref="A15:B15"/>
      <selection pane="bottomLeft" activeCell="A15" sqref="A15:B15"/>
      <selection pane="bottomRight" activeCell="C9" sqref="C9"/>
    </sheetView>
  </sheetViews>
  <sheetFormatPr defaultColWidth="14.44140625" defaultRowHeight="15" customHeight="1"/>
  <cols>
    <col min="1" max="1" width="7.21875" customWidth="1"/>
    <col min="2" max="2" width="42.5546875" customWidth="1"/>
    <col min="3" max="6" width="13" customWidth="1"/>
    <col min="7" max="8" width="15.109375" customWidth="1"/>
    <col min="9" max="11" width="12.44140625" customWidth="1"/>
    <col min="12" max="12" width="15.21875" customWidth="1"/>
    <col min="13" max="13" width="16.77734375" customWidth="1"/>
    <col min="14" max="14" width="11.77734375" customWidth="1"/>
    <col min="15" max="15" width="9" customWidth="1"/>
    <col min="16" max="18" width="7.21875" customWidth="1"/>
    <col min="19" max="19" width="8.21875" customWidth="1"/>
    <col min="20" max="20" width="7.21875" customWidth="1"/>
    <col min="21" max="21" width="8.21875" customWidth="1"/>
    <col min="22" max="33" width="7.21875" customWidth="1"/>
    <col min="34" max="34" width="8" customWidth="1"/>
    <col min="35" max="35" width="7.21875" customWidth="1"/>
    <col min="36" max="36" width="8.21875" customWidth="1"/>
  </cols>
  <sheetData>
    <row r="1" spans="1:36" ht="24" customHeight="1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5"/>
      <c r="O1" s="5"/>
      <c r="P1" s="2"/>
      <c r="Q1" s="2"/>
      <c r="R1" s="2"/>
      <c r="S1" s="4"/>
      <c r="T1" s="2"/>
      <c r="U1" s="4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4"/>
    </row>
    <row r="2" spans="1:36" ht="24" customHeight="1">
      <c r="A2" s="681" t="s">
        <v>1</v>
      </c>
      <c r="B2" s="682"/>
      <c r="C2" s="685" t="s">
        <v>2</v>
      </c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C2" s="686"/>
      <c r="AD2" s="686"/>
      <c r="AE2" s="686"/>
      <c r="AF2" s="686"/>
      <c r="AG2" s="686"/>
      <c r="AH2" s="686"/>
      <c r="AI2" s="686"/>
      <c r="AJ2" s="687"/>
    </row>
    <row r="3" spans="1:36" ht="24" customHeight="1">
      <c r="A3" s="660"/>
      <c r="B3" s="661"/>
      <c r="C3" s="688" t="s">
        <v>3</v>
      </c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  <c r="Y3" s="651"/>
      <c r="Z3" s="651"/>
      <c r="AA3" s="651"/>
      <c r="AB3" s="651"/>
      <c r="AC3" s="651"/>
      <c r="AD3" s="651"/>
      <c r="AE3" s="651"/>
      <c r="AF3" s="651"/>
      <c r="AG3" s="651"/>
      <c r="AH3" s="651"/>
      <c r="AI3" s="651"/>
      <c r="AJ3" s="654"/>
    </row>
    <row r="4" spans="1:36" ht="24" customHeight="1">
      <c r="A4" s="683"/>
      <c r="B4" s="684"/>
      <c r="C4" s="689" t="s">
        <v>4</v>
      </c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690"/>
      <c r="P4" s="690"/>
      <c r="Q4" s="690"/>
      <c r="R4" s="690"/>
      <c r="S4" s="690"/>
      <c r="T4" s="690"/>
      <c r="U4" s="690"/>
      <c r="V4" s="690"/>
      <c r="W4" s="690"/>
      <c r="X4" s="690"/>
      <c r="Y4" s="690"/>
      <c r="Z4" s="690"/>
      <c r="AA4" s="690"/>
      <c r="AB4" s="690"/>
      <c r="AC4" s="690"/>
      <c r="AD4" s="690"/>
      <c r="AE4" s="690"/>
      <c r="AF4" s="690"/>
      <c r="AG4" s="690"/>
      <c r="AH4" s="690"/>
      <c r="AI4" s="690"/>
      <c r="AJ4" s="691"/>
    </row>
    <row r="5" spans="1:36" ht="30" customHeight="1">
      <c r="A5" s="6"/>
      <c r="B5" s="7"/>
      <c r="C5" s="650" t="s">
        <v>5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2"/>
      <c r="P5" s="692" t="s">
        <v>6</v>
      </c>
      <c r="Q5" s="651"/>
      <c r="R5" s="651"/>
      <c r="S5" s="651"/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651"/>
      <c r="AE5" s="651"/>
      <c r="AF5" s="651"/>
      <c r="AG5" s="654"/>
      <c r="AH5" s="693" t="s">
        <v>7</v>
      </c>
      <c r="AI5" s="694"/>
      <c r="AJ5" s="695"/>
    </row>
    <row r="6" spans="1:36" ht="30" customHeight="1">
      <c r="A6" s="658" t="s">
        <v>8</v>
      </c>
      <c r="B6" s="659"/>
      <c r="C6" s="653" t="s">
        <v>9</v>
      </c>
      <c r="D6" s="651"/>
      <c r="E6" s="651"/>
      <c r="F6" s="651"/>
      <c r="G6" s="654"/>
      <c r="H6" s="8" t="s">
        <v>10</v>
      </c>
      <c r="I6" s="655" t="s">
        <v>11</v>
      </c>
      <c r="J6" s="651"/>
      <c r="K6" s="651"/>
      <c r="L6" s="651"/>
      <c r="M6" s="651"/>
      <c r="N6" s="651"/>
      <c r="O6" s="654"/>
      <c r="P6" s="697" t="s">
        <v>12</v>
      </c>
      <c r="Q6" s="698"/>
      <c r="R6" s="698"/>
      <c r="S6" s="698"/>
      <c r="T6" s="698"/>
      <c r="U6" s="699"/>
      <c r="V6" s="700" t="s">
        <v>13</v>
      </c>
      <c r="W6" s="698"/>
      <c r="X6" s="698"/>
      <c r="Y6" s="699"/>
      <c r="Z6" s="700" t="s">
        <v>14</v>
      </c>
      <c r="AA6" s="698"/>
      <c r="AB6" s="698"/>
      <c r="AC6" s="699"/>
      <c r="AD6" s="701" t="s">
        <v>15</v>
      </c>
      <c r="AE6" s="690"/>
      <c r="AF6" s="690"/>
      <c r="AG6" s="691"/>
      <c r="AH6" s="696"/>
      <c r="AI6" s="670"/>
      <c r="AJ6" s="671"/>
    </row>
    <row r="7" spans="1:36" ht="24" customHeight="1">
      <c r="A7" s="660"/>
      <c r="B7" s="661"/>
      <c r="C7" s="702" t="s">
        <v>16</v>
      </c>
      <c r="D7" s="704" t="s">
        <v>17</v>
      </c>
      <c r="E7" s="705" t="s">
        <v>18</v>
      </c>
      <c r="F7" s="664" t="s">
        <v>19</v>
      </c>
      <c r="G7" s="666" t="s">
        <v>20</v>
      </c>
      <c r="H7" s="9" t="s">
        <v>21</v>
      </c>
      <c r="I7" s="667" t="s">
        <v>22</v>
      </c>
      <c r="J7" s="668"/>
      <c r="K7" s="669" t="s">
        <v>21</v>
      </c>
      <c r="L7" s="670"/>
      <c r="M7" s="671"/>
      <c r="N7" s="672" t="s">
        <v>23</v>
      </c>
      <c r="O7" s="671"/>
      <c r="P7" s="656" t="s">
        <v>24</v>
      </c>
      <c r="Q7" s="654"/>
      <c r="R7" s="673" t="s">
        <v>25</v>
      </c>
      <c r="S7" s="651"/>
      <c r="T7" s="651"/>
      <c r="U7" s="654"/>
      <c r="V7" s="656" t="s">
        <v>24</v>
      </c>
      <c r="W7" s="654"/>
      <c r="X7" s="657" t="s">
        <v>25</v>
      </c>
      <c r="Y7" s="654"/>
      <c r="Z7" s="656" t="s">
        <v>24</v>
      </c>
      <c r="AA7" s="654"/>
      <c r="AB7" s="657" t="s">
        <v>25</v>
      </c>
      <c r="AC7" s="654"/>
      <c r="AD7" s="656" t="s">
        <v>24</v>
      </c>
      <c r="AE7" s="654"/>
      <c r="AF7" s="657" t="s">
        <v>25</v>
      </c>
      <c r="AG7" s="654"/>
      <c r="AH7" s="10" t="s">
        <v>24</v>
      </c>
      <c r="AI7" s="657" t="s">
        <v>25</v>
      </c>
      <c r="AJ7" s="654"/>
    </row>
    <row r="8" spans="1:36" ht="30" customHeight="1">
      <c r="A8" s="662"/>
      <c r="B8" s="663"/>
      <c r="C8" s="703"/>
      <c r="D8" s="665"/>
      <c r="E8" s="665"/>
      <c r="F8" s="665"/>
      <c r="G8" s="665"/>
      <c r="H8" s="9"/>
      <c r="I8" s="11" t="s">
        <v>26</v>
      </c>
      <c r="J8" s="12" t="s">
        <v>27</v>
      </c>
      <c r="K8" s="11" t="s">
        <v>26</v>
      </c>
      <c r="L8" s="13" t="s">
        <v>28</v>
      </c>
      <c r="M8" s="14" t="s">
        <v>29</v>
      </c>
      <c r="N8" s="15" t="s">
        <v>26</v>
      </c>
      <c r="O8" s="15" t="s">
        <v>27</v>
      </c>
      <c r="P8" s="16" t="s">
        <v>30</v>
      </c>
      <c r="Q8" s="16" t="s">
        <v>31</v>
      </c>
      <c r="R8" s="17" t="s">
        <v>30</v>
      </c>
      <c r="S8" s="18" t="s">
        <v>27</v>
      </c>
      <c r="T8" s="19" t="s">
        <v>31</v>
      </c>
      <c r="U8" s="18" t="s">
        <v>27</v>
      </c>
      <c r="V8" s="16" t="s">
        <v>30</v>
      </c>
      <c r="W8" s="16" t="s">
        <v>31</v>
      </c>
      <c r="X8" s="19" t="s">
        <v>30</v>
      </c>
      <c r="Y8" s="19" t="s">
        <v>31</v>
      </c>
      <c r="Z8" s="16" t="s">
        <v>30</v>
      </c>
      <c r="AA8" s="16" t="s">
        <v>31</v>
      </c>
      <c r="AB8" s="19" t="s">
        <v>30</v>
      </c>
      <c r="AC8" s="19" t="s">
        <v>31</v>
      </c>
      <c r="AD8" s="16" t="s">
        <v>30</v>
      </c>
      <c r="AE8" s="16" t="s">
        <v>31</v>
      </c>
      <c r="AF8" s="19" t="s">
        <v>30</v>
      </c>
      <c r="AG8" s="19" t="s">
        <v>31</v>
      </c>
      <c r="AH8" s="16" t="s">
        <v>32</v>
      </c>
      <c r="AI8" s="19" t="s">
        <v>31</v>
      </c>
      <c r="AJ8" s="18" t="s">
        <v>33</v>
      </c>
    </row>
    <row r="9" spans="1:36" ht="24" customHeight="1">
      <c r="A9" s="674" t="s">
        <v>34</v>
      </c>
      <c r="B9" s="675"/>
      <c r="C9" s="20">
        <f t="shared" ref="C9:C119" ca="1" si="0">D9+G9</f>
        <v>45794400</v>
      </c>
      <c r="D9" s="21">
        <f t="shared" ref="D9:E9" ca="1" si="1">D10+D11+D14</f>
        <v>35572700</v>
      </c>
      <c r="E9" s="22">
        <f t="shared" ca="1" si="1"/>
        <v>12875500</v>
      </c>
      <c r="F9" s="23">
        <f ca="1">F10+F11</f>
        <v>22697200</v>
      </c>
      <c r="G9" s="24">
        <f t="shared" ref="G9:H9" ca="1" si="2">G10+G11+G14</f>
        <v>10221700</v>
      </c>
      <c r="H9" s="25">
        <f t="shared" ca="1" si="2"/>
        <v>26679500</v>
      </c>
      <c r="I9" s="26">
        <f t="shared" ref="I9:I105" ca="1" si="3">K9+N9</f>
        <v>22880296.120000005</v>
      </c>
      <c r="J9" s="27">
        <f t="shared" ref="J9:J105" ca="1" si="4">IF(C9&gt;0,I9*100/C9,0)</f>
        <v>49.963087451740833</v>
      </c>
      <c r="K9" s="26">
        <f ca="1">K10+K11+K14</f>
        <v>13624721.880000003</v>
      </c>
      <c r="L9" s="28">
        <f t="shared" ref="L9:L105" ca="1" si="5">IF(D9&gt;0,K9*100/D9,0)</f>
        <v>38.301061994169693</v>
      </c>
      <c r="M9" s="28">
        <f t="shared" ref="M9:M105" ca="1" si="6">IF(H9&gt;0,K9*100/H9,0)</f>
        <v>51.068130512191019</v>
      </c>
      <c r="N9" s="29">
        <f ca="1">N10+N11+N14</f>
        <v>9255574.2400000002</v>
      </c>
      <c r="O9" s="28">
        <f t="shared" ref="O9:O105" ca="1" si="7">IF(G9&gt;0,N9*100/G9,0)</f>
        <v>90.548286879873217</v>
      </c>
      <c r="P9" s="30">
        <f ca="1">P10</f>
        <v>40</v>
      </c>
      <c r="Q9" s="30">
        <f t="shared" ref="Q9:Q90" ca="1" si="8">+W9+AA9+AE9</f>
        <v>1909</v>
      </c>
      <c r="R9" s="31">
        <f ca="1">R10+R11+R14</f>
        <v>40</v>
      </c>
      <c r="S9" s="32">
        <f t="shared" ref="S9:S119" ca="1" si="9">IF(P9&gt;0,R9*100/P9,0)</f>
        <v>100</v>
      </c>
      <c r="T9" s="31">
        <f ca="1">T10+T11+T14</f>
        <v>1909</v>
      </c>
      <c r="U9" s="32">
        <f t="shared" ref="U9:U119" ca="1" si="10">IF(Q9&gt;0,T9*100/Q9,0)</f>
        <v>100</v>
      </c>
      <c r="V9" s="30">
        <f t="shared" ref="V9:W9" ca="1" si="11">V10</f>
        <v>13</v>
      </c>
      <c r="W9" s="30">
        <f t="shared" ca="1" si="11"/>
        <v>605</v>
      </c>
      <c r="X9" s="31">
        <f t="shared" ref="X9:Y9" ca="1" si="12">X10+X11+X14</f>
        <v>13</v>
      </c>
      <c r="Y9" s="31">
        <f t="shared" ca="1" si="12"/>
        <v>605</v>
      </c>
      <c r="Z9" s="30">
        <f t="shared" ref="Z9:AA9" ca="1" si="13">Z10</f>
        <v>14</v>
      </c>
      <c r="AA9" s="30">
        <f t="shared" ca="1" si="13"/>
        <v>683</v>
      </c>
      <c r="AB9" s="31">
        <f t="shared" ref="AB9:AC9" ca="1" si="14">AB10+AB11+AB14</f>
        <v>14</v>
      </c>
      <c r="AC9" s="31">
        <f t="shared" ca="1" si="14"/>
        <v>683</v>
      </c>
      <c r="AD9" s="30">
        <f t="shared" ref="AD9:AE9" ca="1" si="15">AD10</f>
        <v>13</v>
      </c>
      <c r="AE9" s="30">
        <f t="shared" ca="1" si="15"/>
        <v>621</v>
      </c>
      <c r="AF9" s="31">
        <f t="shared" ref="AF9:AG9" ca="1" si="16">AF10+AF11+AF14</f>
        <v>13</v>
      </c>
      <c r="AG9" s="31">
        <f t="shared" ca="1" si="16"/>
        <v>621</v>
      </c>
      <c r="AH9" s="30">
        <f ca="1">AH10</f>
        <v>605</v>
      </c>
      <c r="AI9" s="31">
        <f ca="1">AI10+AI11+AI14</f>
        <v>195</v>
      </c>
      <c r="AJ9" s="32">
        <f t="shared" ref="AJ9:AJ119" ca="1" si="17">IF(AH9&gt;0,AI9*100/AH9,0)</f>
        <v>32.231404958677686</v>
      </c>
    </row>
    <row r="10" spans="1:36" ht="28.5" customHeight="1">
      <c r="A10" s="33" t="s">
        <v>35</v>
      </c>
      <c r="B10" s="34"/>
      <c r="C10" s="35">
        <f t="shared" ca="1" si="0"/>
        <v>35354800</v>
      </c>
      <c r="D10" s="36">
        <f t="shared" ref="D10:H10" ca="1" si="18">+D15+D33+D54+D76</f>
        <v>25184100</v>
      </c>
      <c r="E10" s="36">
        <f t="shared" ca="1" si="18"/>
        <v>7328300</v>
      </c>
      <c r="F10" s="36">
        <f t="shared" ca="1" si="18"/>
        <v>17855800</v>
      </c>
      <c r="G10" s="36">
        <f t="shared" ca="1" si="18"/>
        <v>10170700</v>
      </c>
      <c r="H10" s="36">
        <f t="shared" ca="1" si="18"/>
        <v>21137780</v>
      </c>
      <c r="I10" s="36">
        <f t="shared" ca="1" si="3"/>
        <v>20995914.410000004</v>
      </c>
      <c r="J10" s="37">
        <f t="shared" ca="1" si="4"/>
        <v>59.386319283378789</v>
      </c>
      <c r="K10" s="36">
        <f ca="1">+K15+K33+K54+K76</f>
        <v>11740340.170000002</v>
      </c>
      <c r="L10" s="38">
        <f t="shared" ca="1" si="5"/>
        <v>46.618065247517293</v>
      </c>
      <c r="M10" s="38">
        <f t="shared" ca="1" si="6"/>
        <v>55.541973518505742</v>
      </c>
      <c r="N10" s="39">
        <f ca="1">+N15+N33+N54+N76</f>
        <v>9255574.2400000002</v>
      </c>
      <c r="O10" s="38">
        <f t="shared" ca="1" si="7"/>
        <v>91.002332582811405</v>
      </c>
      <c r="P10" s="36">
        <f ca="1">+P15+P33+P54+P76</f>
        <v>40</v>
      </c>
      <c r="Q10" s="36">
        <f t="shared" ca="1" si="8"/>
        <v>1909</v>
      </c>
      <c r="R10" s="36">
        <f ca="1">+R15+R33+R54+R76</f>
        <v>40</v>
      </c>
      <c r="S10" s="38">
        <f t="shared" ca="1" si="9"/>
        <v>100</v>
      </c>
      <c r="T10" s="36">
        <f ca="1">+T15+T33+T54+T76</f>
        <v>1909</v>
      </c>
      <c r="U10" s="38">
        <f t="shared" ca="1" si="10"/>
        <v>100</v>
      </c>
      <c r="V10" s="36">
        <f t="shared" ref="V10:AI10" ca="1" si="19">+V15+V33+V54+V76</f>
        <v>13</v>
      </c>
      <c r="W10" s="36">
        <f t="shared" ca="1" si="19"/>
        <v>605</v>
      </c>
      <c r="X10" s="36">
        <f t="shared" ca="1" si="19"/>
        <v>13</v>
      </c>
      <c r="Y10" s="36">
        <f t="shared" ca="1" si="19"/>
        <v>605</v>
      </c>
      <c r="Z10" s="36">
        <f t="shared" ca="1" si="19"/>
        <v>14</v>
      </c>
      <c r="AA10" s="36">
        <f t="shared" ca="1" si="19"/>
        <v>683</v>
      </c>
      <c r="AB10" s="36">
        <f t="shared" ca="1" si="19"/>
        <v>14</v>
      </c>
      <c r="AC10" s="36">
        <f t="shared" ca="1" si="19"/>
        <v>683</v>
      </c>
      <c r="AD10" s="36">
        <f t="shared" ca="1" si="19"/>
        <v>13</v>
      </c>
      <c r="AE10" s="36">
        <f t="shared" ca="1" si="19"/>
        <v>621</v>
      </c>
      <c r="AF10" s="36">
        <f t="shared" ca="1" si="19"/>
        <v>13</v>
      </c>
      <c r="AG10" s="36">
        <f t="shared" ca="1" si="19"/>
        <v>621</v>
      </c>
      <c r="AH10" s="36">
        <f t="shared" ca="1" si="19"/>
        <v>605</v>
      </c>
      <c r="AI10" s="40">
        <f t="shared" ca="1" si="19"/>
        <v>195</v>
      </c>
      <c r="AJ10" s="41">
        <f t="shared" ca="1" si="17"/>
        <v>32.231404958677686</v>
      </c>
    </row>
    <row r="11" spans="1:36" ht="28.5" customHeight="1">
      <c r="A11" s="42" t="s">
        <v>373</v>
      </c>
      <c r="B11" s="43"/>
      <c r="C11" s="44">
        <f t="shared" ca="1" si="0"/>
        <v>10439600</v>
      </c>
      <c r="D11" s="45">
        <f t="shared" ref="D11:H11" ca="1" si="20">+D12+D13</f>
        <v>10388600</v>
      </c>
      <c r="E11" s="45">
        <f t="shared" ca="1" si="20"/>
        <v>5547200</v>
      </c>
      <c r="F11" s="45">
        <f t="shared" ca="1" si="20"/>
        <v>4841400</v>
      </c>
      <c r="G11" s="45">
        <f t="shared" ca="1" si="20"/>
        <v>51000</v>
      </c>
      <c r="H11" s="45">
        <f t="shared" ca="1" si="20"/>
        <v>5541720</v>
      </c>
      <c r="I11" s="45">
        <f t="shared" ca="1" si="3"/>
        <v>1884381.71</v>
      </c>
      <c r="J11" s="46">
        <f t="shared" ca="1" si="4"/>
        <v>18.050324820874362</v>
      </c>
      <c r="K11" s="45">
        <f ca="1">+K12+K13</f>
        <v>1884381.71</v>
      </c>
      <c r="L11" s="47">
        <f t="shared" ca="1" si="5"/>
        <v>18.138937970467627</v>
      </c>
      <c r="M11" s="47">
        <f t="shared" ca="1" si="6"/>
        <v>34.003553228961408</v>
      </c>
      <c r="N11" s="48">
        <f ca="1">+N12+N13</f>
        <v>0</v>
      </c>
      <c r="O11" s="47">
        <f t="shared" ca="1" si="7"/>
        <v>0</v>
      </c>
      <c r="P11" s="45">
        <v>0</v>
      </c>
      <c r="Q11" s="45">
        <f t="shared" si="8"/>
        <v>0</v>
      </c>
      <c r="R11" s="45">
        <f>+R12+R13</f>
        <v>0</v>
      </c>
      <c r="S11" s="47">
        <f t="shared" si="9"/>
        <v>0</v>
      </c>
      <c r="T11" s="45">
        <f>+T12+T13</f>
        <v>0</v>
      </c>
      <c r="U11" s="47">
        <f t="shared" si="10"/>
        <v>0</v>
      </c>
      <c r="V11" s="45">
        <v>0</v>
      </c>
      <c r="W11" s="45">
        <v>0</v>
      </c>
      <c r="X11" s="45">
        <f t="shared" ref="X11:Y11" si="21">+X12+X13</f>
        <v>0</v>
      </c>
      <c r="Y11" s="45">
        <f t="shared" si="21"/>
        <v>0</v>
      </c>
      <c r="Z11" s="45">
        <v>0</v>
      </c>
      <c r="AA11" s="45">
        <v>0</v>
      </c>
      <c r="AB11" s="45">
        <f t="shared" ref="AB11:AC11" si="22">+AB12+AB13</f>
        <v>0</v>
      </c>
      <c r="AC11" s="45">
        <f t="shared" si="22"/>
        <v>0</v>
      </c>
      <c r="AD11" s="45">
        <v>0</v>
      </c>
      <c r="AE11" s="45">
        <v>0</v>
      </c>
      <c r="AF11" s="45">
        <f t="shared" ref="AF11:AG11" si="23">+AF12+AF13</f>
        <v>0</v>
      </c>
      <c r="AG11" s="45">
        <f t="shared" si="23"/>
        <v>0</v>
      </c>
      <c r="AH11" s="45">
        <v>0</v>
      </c>
      <c r="AI11" s="49">
        <f>+AI12+AI13</f>
        <v>0</v>
      </c>
      <c r="AJ11" s="50">
        <f t="shared" si="17"/>
        <v>0</v>
      </c>
    </row>
    <row r="12" spans="1:36" ht="28.5" hidden="1" customHeight="1">
      <c r="A12" s="42" t="s">
        <v>36</v>
      </c>
      <c r="B12" s="43"/>
      <c r="C12" s="44">
        <f t="shared" ca="1" si="0"/>
        <v>8851600</v>
      </c>
      <c r="D12" s="45">
        <f t="shared" ref="D12:H12" ca="1" si="24">+D91</f>
        <v>8851600</v>
      </c>
      <c r="E12" s="45">
        <f t="shared" ca="1" si="24"/>
        <v>4010200</v>
      </c>
      <c r="F12" s="45">
        <f t="shared" ca="1" si="24"/>
        <v>4841400</v>
      </c>
      <c r="G12" s="45">
        <f t="shared" ca="1" si="24"/>
        <v>0</v>
      </c>
      <c r="H12" s="45">
        <f t="shared" ca="1" si="24"/>
        <v>4988820</v>
      </c>
      <c r="I12" s="45">
        <f t="shared" ca="1" si="3"/>
        <v>1748547.71</v>
      </c>
      <c r="J12" s="46">
        <f t="shared" ca="1" si="4"/>
        <v>19.754029892900718</v>
      </c>
      <c r="K12" s="45">
        <f ca="1">+K91</f>
        <v>1748547.71</v>
      </c>
      <c r="L12" s="47">
        <f t="shared" ca="1" si="5"/>
        <v>19.754029892900718</v>
      </c>
      <c r="M12" s="47">
        <f t="shared" ca="1" si="6"/>
        <v>35.04932448955865</v>
      </c>
      <c r="N12" s="48">
        <f ca="1">+N91</f>
        <v>0</v>
      </c>
      <c r="O12" s="47">
        <f t="shared" ca="1" si="7"/>
        <v>0</v>
      </c>
      <c r="P12" s="45">
        <v>0</v>
      </c>
      <c r="Q12" s="45">
        <f t="shared" si="8"/>
        <v>0</v>
      </c>
      <c r="R12" s="45">
        <f>+R91</f>
        <v>0</v>
      </c>
      <c r="S12" s="47">
        <f t="shared" si="9"/>
        <v>0</v>
      </c>
      <c r="T12" s="45">
        <f>+T91</f>
        <v>0</v>
      </c>
      <c r="U12" s="47">
        <f t="shared" si="10"/>
        <v>0</v>
      </c>
      <c r="V12" s="45">
        <v>0</v>
      </c>
      <c r="W12" s="45">
        <v>0</v>
      </c>
      <c r="X12" s="45">
        <f t="shared" ref="X12:Y12" si="25">+X91</f>
        <v>0</v>
      </c>
      <c r="Y12" s="45">
        <f t="shared" si="25"/>
        <v>0</v>
      </c>
      <c r="Z12" s="45">
        <v>0</v>
      </c>
      <c r="AA12" s="45">
        <v>0</v>
      </c>
      <c r="AB12" s="45">
        <f t="shared" ref="AB12:AC12" si="26">+AB91</f>
        <v>0</v>
      </c>
      <c r="AC12" s="45">
        <f t="shared" si="26"/>
        <v>0</v>
      </c>
      <c r="AD12" s="45">
        <v>0</v>
      </c>
      <c r="AE12" s="45">
        <v>0</v>
      </c>
      <c r="AF12" s="45">
        <f t="shared" ref="AF12:AG12" si="27">+AF91</f>
        <v>0</v>
      </c>
      <c r="AG12" s="45">
        <f t="shared" si="27"/>
        <v>0</v>
      </c>
      <c r="AH12" s="45">
        <v>0</v>
      </c>
      <c r="AI12" s="49">
        <f>+AI91</f>
        <v>0</v>
      </c>
      <c r="AJ12" s="50">
        <f t="shared" si="17"/>
        <v>0</v>
      </c>
    </row>
    <row r="13" spans="1:36" ht="28.5" hidden="1" customHeight="1">
      <c r="A13" s="42" t="s">
        <v>37</v>
      </c>
      <c r="B13" s="43"/>
      <c r="C13" s="44">
        <f t="shared" ca="1" si="0"/>
        <v>1588000</v>
      </c>
      <c r="D13" s="45">
        <f t="shared" ref="D13:H13" ca="1" si="28">+D106</f>
        <v>1537000</v>
      </c>
      <c r="E13" s="45">
        <f t="shared" ca="1" si="28"/>
        <v>1537000</v>
      </c>
      <c r="F13" s="45">
        <f t="shared" ca="1" si="28"/>
        <v>0</v>
      </c>
      <c r="G13" s="45">
        <f t="shared" si="28"/>
        <v>51000</v>
      </c>
      <c r="H13" s="45">
        <f t="shared" ca="1" si="28"/>
        <v>552900</v>
      </c>
      <c r="I13" s="45">
        <f t="shared" ca="1" si="3"/>
        <v>135834</v>
      </c>
      <c r="J13" s="46">
        <f t="shared" ca="1" si="4"/>
        <v>8.5537783375314866</v>
      </c>
      <c r="K13" s="45">
        <f>+K106</f>
        <v>135834</v>
      </c>
      <c r="L13" s="47">
        <f t="shared" ca="1" si="5"/>
        <v>8.8376057254391664</v>
      </c>
      <c r="M13" s="47">
        <f t="shared" ca="1" si="6"/>
        <v>24.567552902875747</v>
      </c>
      <c r="N13" s="48">
        <f ca="1">+N106</f>
        <v>0</v>
      </c>
      <c r="O13" s="47">
        <f t="shared" ca="1" si="7"/>
        <v>0</v>
      </c>
      <c r="P13" s="45">
        <v>0</v>
      </c>
      <c r="Q13" s="45">
        <f t="shared" si="8"/>
        <v>0</v>
      </c>
      <c r="R13" s="45">
        <f>+R106</f>
        <v>0</v>
      </c>
      <c r="S13" s="47">
        <f t="shared" si="9"/>
        <v>0</v>
      </c>
      <c r="T13" s="45">
        <f>+T106</f>
        <v>0</v>
      </c>
      <c r="U13" s="47">
        <f t="shared" si="10"/>
        <v>0</v>
      </c>
      <c r="V13" s="45">
        <v>0</v>
      </c>
      <c r="W13" s="45">
        <v>0</v>
      </c>
      <c r="X13" s="45">
        <f t="shared" ref="X13:Y13" si="29">+X106</f>
        <v>0</v>
      </c>
      <c r="Y13" s="45">
        <f t="shared" si="29"/>
        <v>0</v>
      </c>
      <c r="Z13" s="45">
        <v>0</v>
      </c>
      <c r="AA13" s="45">
        <v>0</v>
      </c>
      <c r="AB13" s="45">
        <f t="shared" ref="AB13:AC13" si="30">+AB106</f>
        <v>0</v>
      </c>
      <c r="AC13" s="45">
        <f t="shared" si="30"/>
        <v>0</v>
      </c>
      <c r="AD13" s="45">
        <v>0</v>
      </c>
      <c r="AE13" s="45">
        <v>0</v>
      </c>
      <c r="AF13" s="45">
        <f t="shared" ref="AF13:AG13" si="31">+AF106</f>
        <v>0</v>
      </c>
      <c r="AG13" s="45">
        <f t="shared" si="31"/>
        <v>0</v>
      </c>
      <c r="AH13" s="45">
        <v>0</v>
      </c>
      <c r="AI13" s="49">
        <f>+AI106</f>
        <v>0</v>
      </c>
      <c r="AJ13" s="50">
        <f t="shared" si="17"/>
        <v>0</v>
      </c>
    </row>
    <row r="14" spans="1:36" ht="28.5" hidden="1" customHeight="1">
      <c r="A14" s="51" t="s">
        <v>38</v>
      </c>
      <c r="B14" s="52"/>
      <c r="C14" s="53">
        <f t="shared" si="0"/>
        <v>0</v>
      </c>
      <c r="D14" s="54">
        <v>0</v>
      </c>
      <c r="E14" s="54">
        <v>0</v>
      </c>
      <c r="F14" s="54">
        <v>0</v>
      </c>
      <c r="G14" s="54">
        <v>0</v>
      </c>
      <c r="H14" s="54">
        <v>0</v>
      </c>
      <c r="I14" s="54">
        <f t="shared" si="3"/>
        <v>0</v>
      </c>
      <c r="J14" s="55">
        <f t="shared" si="4"/>
        <v>0</v>
      </c>
      <c r="K14" s="54">
        <v>0</v>
      </c>
      <c r="L14" s="56">
        <f t="shared" si="5"/>
        <v>0</v>
      </c>
      <c r="M14" s="56">
        <f t="shared" si="6"/>
        <v>0</v>
      </c>
      <c r="N14" s="57">
        <v>0</v>
      </c>
      <c r="O14" s="56">
        <f t="shared" si="7"/>
        <v>0</v>
      </c>
      <c r="P14" s="54">
        <v>0</v>
      </c>
      <c r="Q14" s="54">
        <f t="shared" si="8"/>
        <v>0</v>
      </c>
      <c r="R14" s="54">
        <v>0</v>
      </c>
      <c r="S14" s="56">
        <f t="shared" si="9"/>
        <v>0</v>
      </c>
      <c r="T14" s="54">
        <v>0</v>
      </c>
      <c r="U14" s="56">
        <f t="shared" si="10"/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6">
        <f t="shared" si="17"/>
        <v>0</v>
      </c>
    </row>
    <row r="15" spans="1:36" ht="28.5" customHeight="1">
      <c r="A15" s="676" t="s">
        <v>39</v>
      </c>
      <c r="B15" s="654"/>
      <c r="C15" s="58">
        <f t="shared" ca="1" si="0"/>
        <v>10891500</v>
      </c>
      <c r="D15" s="59">
        <f t="shared" ref="D15:H15" ca="1" si="32">SUM(D16:D32)</f>
        <v>7166900</v>
      </c>
      <c r="E15" s="59">
        <f t="shared" ca="1" si="32"/>
        <v>1246700</v>
      </c>
      <c r="F15" s="59">
        <f t="shared" ca="1" si="32"/>
        <v>5920200</v>
      </c>
      <c r="G15" s="59">
        <f t="shared" ca="1" si="32"/>
        <v>3724600</v>
      </c>
      <c r="H15" s="59">
        <f t="shared" ca="1" si="32"/>
        <v>6164240</v>
      </c>
      <c r="I15" s="59">
        <f t="shared" ca="1" si="3"/>
        <v>6771250.8900000006</v>
      </c>
      <c r="J15" s="60">
        <f t="shared" ca="1" si="4"/>
        <v>62.170049029059356</v>
      </c>
      <c r="K15" s="59">
        <f ca="1">SUM(K16:K32)</f>
        <v>3161776.65</v>
      </c>
      <c r="L15" s="61">
        <f t="shared" ca="1" si="5"/>
        <v>44.116377373759924</v>
      </c>
      <c r="M15" s="61">
        <f t="shared" ca="1" si="6"/>
        <v>51.292237972564337</v>
      </c>
      <c r="N15" s="62">
        <f ca="1">SUM(N16:N32)</f>
        <v>3609474.24</v>
      </c>
      <c r="O15" s="61">
        <f t="shared" ca="1" si="7"/>
        <v>96.909043655694575</v>
      </c>
      <c r="P15" s="59">
        <f t="shared" ref="P15:P90" ca="1" si="33">SUM(V15+Z15+AD15)</f>
        <v>13</v>
      </c>
      <c r="Q15" s="59">
        <f t="shared" ca="1" si="8"/>
        <v>646</v>
      </c>
      <c r="R15" s="59">
        <f ca="1">SUM(R16:R32)</f>
        <v>13</v>
      </c>
      <c r="S15" s="61">
        <f t="shared" ca="1" si="9"/>
        <v>100</v>
      </c>
      <c r="T15" s="59">
        <f ca="1">SUM(T16:T32)</f>
        <v>646</v>
      </c>
      <c r="U15" s="61">
        <f t="shared" ca="1" si="10"/>
        <v>100</v>
      </c>
      <c r="V15" s="59">
        <f t="shared" ref="V15:AI15" ca="1" si="34">SUM(V16:V32)</f>
        <v>4</v>
      </c>
      <c r="W15" s="59">
        <f t="shared" ca="1" si="34"/>
        <v>155</v>
      </c>
      <c r="X15" s="59">
        <f t="shared" ca="1" si="34"/>
        <v>4</v>
      </c>
      <c r="Y15" s="59">
        <f t="shared" ca="1" si="34"/>
        <v>155</v>
      </c>
      <c r="Z15" s="59">
        <f t="shared" ca="1" si="34"/>
        <v>3</v>
      </c>
      <c r="AA15" s="59">
        <f t="shared" ca="1" si="34"/>
        <v>150</v>
      </c>
      <c r="AB15" s="59">
        <f t="shared" ca="1" si="34"/>
        <v>3</v>
      </c>
      <c r="AC15" s="59">
        <f t="shared" ca="1" si="34"/>
        <v>150</v>
      </c>
      <c r="AD15" s="59">
        <f t="shared" ca="1" si="34"/>
        <v>6</v>
      </c>
      <c r="AE15" s="59">
        <f t="shared" ca="1" si="34"/>
        <v>341</v>
      </c>
      <c r="AF15" s="59">
        <f t="shared" ca="1" si="34"/>
        <v>6</v>
      </c>
      <c r="AG15" s="59">
        <f t="shared" ca="1" si="34"/>
        <v>341</v>
      </c>
      <c r="AH15" s="59">
        <f t="shared" ca="1" si="34"/>
        <v>155</v>
      </c>
      <c r="AI15" s="59">
        <f t="shared" ca="1" si="34"/>
        <v>0</v>
      </c>
      <c r="AJ15" s="61">
        <f t="shared" ca="1" si="17"/>
        <v>0</v>
      </c>
    </row>
    <row r="16" spans="1:36" ht="24" customHeight="1">
      <c r="A16" s="63">
        <v>1</v>
      </c>
      <c r="B16" s="64" t="s">
        <v>40</v>
      </c>
      <c r="C16" s="65">
        <f t="shared" ca="1" si="0"/>
        <v>0</v>
      </c>
      <c r="D16" s="66">
        <f t="shared" ref="D16:D32" ca="1" si="35">+E16+F16</f>
        <v>0</v>
      </c>
      <c r="E16" s="67">
        <f ca="1">IFERROR(__xludf.DUMMYFUNCTION("IMPORTRANGE(""https://docs.google.com/spreadsheets/d/1C3CXT74ZlgGe6_JY_1olB1XN4rF0dxEuIIF-xsYjHgg/edit?usp=sharing"",""พรบ!D20"")"),0)</f>
        <v>0</v>
      </c>
      <c r="F16" s="67">
        <f ca="1">IFERROR(__xludf.DUMMYFUNCTION("IMPORTRANGE(""https://docs.google.com/spreadsheets/d/1C3CXT74ZlgGe6_JY_1olB1XN4rF0dxEuIIF-xsYjHgg/edit?usp=sharing"",""พรบ!E20"")"),0)</f>
        <v>0</v>
      </c>
      <c r="G16" s="68">
        <f ca="1">IFERROR(__xludf.DUMMYFUNCTION("IMPORTRANGE(""https://docs.google.com/spreadsheets/d/1Yj_ptqi66GCucihVvJfMjLAmec39IyEx_6qawtMGysU/edit?usp=sharing"",""สบก!AG20"")"),0)</f>
        <v>0</v>
      </c>
      <c r="H16" s="68">
        <f ca="1">IFERROR(__xludf.DUMMYFUNCTION("IMPORTRANGE(""https://docs.google.com/spreadsheets/d/1Yj_ptqi66GCucihVvJfMjLAmec39IyEx_6qawtMGysU/edit?usp=sharing"",""สบก!AI20"")"),0)</f>
        <v>0</v>
      </c>
      <c r="I16" s="68">
        <f t="shared" ca="1" si="3"/>
        <v>0</v>
      </c>
      <c r="J16" s="69">
        <f t="shared" ca="1" si="4"/>
        <v>0</v>
      </c>
      <c r="K16" s="68">
        <f ca="1">IFERROR(__xludf.DUMMYFUNCTION("IMPORTRANGE(""https://docs.google.com/spreadsheets/d/1Yj_ptqi66GCucihVvJfMjLAmec39IyEx_6qawtMGysU/edit?usp=sharing"",""สบก!AJ20"")"),0)</f>
        <v>0</v>
      </c>
      <c r="L16" s="70">
        <f t="shared" ca="1" si="5"/>
        <v>0</v>
      </c>
      <c r="M16" s="70">
        <f t="shared" ca="1" si="6"/>
        <v>0</v>
      </c>
      <c r="N16" s="71">
        <f ca="1">IFERROR(__xludf.DUMMYFUNCTION("IMPORTRANGE(""https://docs.google.com/spreadsheets/d/1Yj_ptqi66GCucihVvJfMjLAmec39IyEx_6qawtMGysU/edit?usp=sharing"",""สบก!AK20"")"),0)</f>
        <v>0</v>
      </c>
      <c r="O16" s="70">
        <f t="shared" ca="1" si="7"/>
        <v>0</v>
      </c>
      <c r="P16" s="68">
        <f t="shared" ca="1" si="33"/>
        <v>0</v>
      </c>
      <c r="Q16" s="68">
        <f t="shared" ca="1" si="8"/>
        <v>0</v>
      </c>
      <c r="R16" s="68">
        <f t="shared" ref="R16:R32" ca="1" si="36">X16+AB16+AF16</f>
        <v>0</v>
      </c>
      <c r="S16" s="72">
        <f t="shared" ca="1" si="9"/>
        <v>0</v>
      </c>
      <c r="T16" s="68">
        <f t="shared" ref="T16:T32" ca="1" si="37">Y16+AC16+AG16</f>
        <v>0</v>
      </c>
      <c r="U16" s="72">
        <f t="shared" ca="1" si="10"/>
        <v>0</v>
      </c>
      <c r="V16" s="67">
        <f ca="1">IFERROR(__xludf.DUMMYFUNCTION("IMPORTRANGE(""https://docs.google.com/spreadsheets/d/1C3CXT74ZlgGe6_JY_1olB1XN4rF0dxEuIIF-xsYjHgg/edit?usp=sharing"",""พรบ!H20"")"),0)</f>
        <v>0</v>
      </c>
      <c r="W16" s="67">
        <f ca="1">IFERROR(__xludf.DUMMYFUNCTION("IMPORTRANGE(""https://docs.google.com/spreadsheets/d/1C3CXT74ZlgGe6_JY_1olB1XN4rF0dxEuIIF-xsYjHgg/edit?usp=sharing"",""พรบ!I20"")"),0)</f>
        <v>0</v>
      </c>
      <c r="X16" s="68">
        <f ca="1">IFERROR(__xludf.DUMMYFUNCTION("IMPORTRANGE(""https://docs.google.com/spreadsheets/d/11923uPwbBZFjjGgGUA6NLw09EwE0CqkOc4q9oUmW1yo/edit?usp=sharing"",""กำแพงเพชร!J22"")"),0)</f>
        <v>0</v>
      </c>
      <c r="Y16" s="68">
        <f ca="1">IFERROR(__xludf.DUMMYFUNCTION("IMPORTRANGE(""https://docs.google.com/spreadsheets/d/11923uPwbBZFjjGgGUA6NLw09EwE0CqkOc4q9oUmW1yo/edit?usp=sharing"",""กำแพงเพชร!J23"")"),0)</f>
        <v>0</v>
      </c>
      <c r="Z16" s="67">
        <f ca="1">IFERROR(__xludf.DUMMYFUNCTION("IMPORTRANGE(""https://docs.google.com/spreadsheets/d/1C3CXT74ZlgGe6_JY_1olB1XN4rF0dxEuIIF-xsYjHgg/edit?usp=sharing"",""พรบ!J20"")"),0)</f>
        <v>0</v>
      </c>
      <c r="AA16" s="67">
        <f ca="1">IFERROR(__xludf.DUMMYFUNCTION("IMPORTRANGE(""https://docs.google.com/spreadsheets/d/1C3CXT74ZlgGe6_JY_1olB1XN4rF0dxEuIIF-xsYjHgg/edit?usp=sharing"",""พรบ!K20"")"),0)</f>
        <v>0</v>
      </c>
      <c r="AB16" s="68">
        <f ca="1">IFERROR(__xludf.DUMMYFUNCTION("IMPORTRANGE(""https://docs.google.com/spreadsheets/d/11923uPwbBZFjjGgGUA6NLw09EwE0CqkOc4q9oUmW1yo/edit?usp=sharing"",""กำแพงเพชร!J24"")"),0)</f>
        <v>0</v>
      </c>
      <c r="AC16" s="68">
        <f ca="1">IFERROR(__xludf.DUMMYFUNCTION("IMPORTRANGE(""https://docs.google.com/spreadsheets/d/11923uPwbBZFjjGgGUA6NLw09EwE0CqkOc4q9oUmW1yo/edit?usp=sharing"",""กำแพงเพชร!J25"")"),0)</f>
        <v>0</v>
      </c>
      <c r="AD16" s="67">
        <f ca="1">IFERROR(__xludf.DUMMYFUNCTION("IMPORTRANGE(""https://docs.google.com/spreadsheets/d/1C3CXT74ZlgGe6_JY_1olB1XN4rF0dxEuIIF-xsYjHgg/edit?usp=sharing"",""พรบ!L20"")"),0)</f>
        <v>0</v>
      </c>
      <c r="AE16" s="67">
        <f ca="1">IFERROR(__xludf.DUMMYFUNCTION("IMPORTRANGE(""https://docs.google.com/spreadsheets/d/1C3CXT74ZlgGe6_JY_1olB1XN4rF0dxEuIIF-xsYjHgg/edit?usp=sharing"",""พรบ!M20"")"),0)</f>
        <v>0</v>
      </c>
      <c r="AF16" s="68">
        <f ca="1">IFERROR(__xludf.DUMMYFUNCTION("IMPORTRANGE(""https://docs.google.com/spreadsheets/d/11923uPwbBZFjjGgGUA6NLw09EwE0CqkOc4q9oUmW1yo/edit?usp=sharing"",""กำแพงเพชร!J26"")"),0)</f>
        <v>0</v>
      </c>
      <c r="AG16" s="68">
        <f ca="1">IFERROR(__xludf.DUMMYFUNCTION("IMPORTRANGE(""https://docs.google.com/spreadsheets/d/11923uPwbBZFjjGgGUA6NLw09EwE0CqkOc4q9oUmW1yo/edit?usp=sharing"",""กำแพงเพชร!J27"")"),0)</f>
        <v>0</v>
      </c>
      <c r="AH16" s="67">
        <f ca="1">IFERROR(__xludf.DUMMYFUNCTION("IMPORTRANGE(""https://docs.google.com/spreadsheets/d/1C3CXT74ZlgGe6_JY_1olB1XN4rF0dxEuIIF-xsYjHgg/edit?usp=sharing"",""พรบ!N20"")"),0)</f>
        <v>0</v>
      </c>
      <c r="AI16" s="68">
        <f ca="1">IFERROR(__xludf.DUMMYFUNCTION("IMPORTRANGE(""https://docs.google.com/spreadsheets/d/11923uPwbBZFjjGgGUA6NLw09EwE0CqkOc4q9oUmW1yo/edit?usp=sharing"",""กำแพงเพชร!J28"")"),0)</f>
        <v>0</v>
      </c>
      <c r="AJ16" s="70">
        <f t="shared" ca="1" si="17"/>
        <v>0</v>
      </c>
    </row>
    <row r="17" spans="1:36" ht="24" customHeight="1">
      <c r="A17" s="73">
        <v>2</v>
      </c>
      <c r="B17" s="74" t="s">
        <v>41</v>
      </c>
      <c r="C17" s="75">
        <f t="shared" ca="1" si="0"/>
        <v>548000</v>
      </c>
      <c r="D17" s="76">
        <f t="shared" ca="1" si="35"/>
        <v>548000</v>
      </c>
      <c r="E17" s="77">
        <f ca="1">IFERROR(__xludf.DUMMYFUNCTION("IMPORTRANGE(""https://docs.google.com/spreadsheets/d/1C3CXT74ZlgGe6_JY_1olB1XN4rF0dxEuIIF-xsYjHgg/edit?usp=sharing"",""พรบ!D21"")"),0)</f>
        <v>0</v>
      </c>
      <c r="F17" s="77">
        <f ca="1">IFERROR(__xludf.DUMMYFUNCTION("IMPORTRANGE(""https://docs.google.com/spreadsheets/d/1C3CXT74ZlgGe6_JY_1olB1XN4rF0dxEuIIF-xsYjHgg/edit?usp=sharing"",""พรบ!E21"")"),548000)</f>
        <v>548000</v>
      </c>
      <c r="G17" s="77">
        <f ca="1">IFERROR(__xludf.DUMMYFUNCTION("IMPORTRANGE(""https://docs.google.com/spreadsheets/d/1Yj_ptqi66GCucihVvJfMjLAmec39IyEx_6qawtMGysU/edit?usp=sharing"",""สบก!AG21"")"),0)</f>
        <v>0</v>
      </c>
      <c r="H17" s="77">
        <f ca="1">IFERROR(__xludf.DUMMYFUNCTION("IMPORTRANGE(""https://docs.google.com/spreadsheets/d/1Yj_ptqi66GCucihVvJfMjLAmec39IyEx_6qawtMGysU/edit?usp=sharing"",""สบก!AI21"")"),475620)</f>
        <v>475620</v>
      </c>
      <c r="I17" s="77">
        <f t="shared" ca="1" si="3"/>
        <v>223195</v>
      </c>
      <c r="J17" s="78">
        <f t="shared" ca="1" si="4"/>
        <v>40.729014598540147</v>
      </c>
      <c r="K17" s="77">
        <f ca="1">IFERROR(__xludf.DUMMYFUNCTION("IMPORTRANGE(""https://docs.google.com/spreadsheets/d/1Yj_ptqi66GCucihVvJfMjLAmec39IyEx_6qawtMGysU/edit?usp=sharing"",""สบก!AJ21"")"),223195)</f>
        <v>223195</v>
      </c>
      <c r="L17" s="79">
        <f t="shared" ca="1" si="5"/>
        <v>40.729014598540147</v>
      </c>
      <c r="M17" s="79">
        <f t="shared" ca="1" si="6"/>
        <v>46.927168748160298</v>
      </c>
      <c r="N17" s="80">
        <f ca="1">IFERROR(__xludf.DUMMYFUNCTION("IMPORTRANGE(""https://docs.google.com/spreadsheets/d/1Yj_ptqi66GCucihVvJfMjLAmec39IyEx_6qawtMGysU/edit?usp=sharing"",""สบก!AK21"")"),0)</f>
        <v>0</v>
      </c>
      <c r="O17" s="79">
        <f t="shared" ca="1" si="7"/>
        <v>0</v>
      </c>
      <c r="P17" s="81">
        <f t="shared" ca="1" si="33"/>
        <v>1</v>
      </c>
      <c r="Q17" s="81">
        <f t="shared" ca="1" si="8"/>
        <v>60</v>
      </c>
      <c r="R17" s="81">
        <f t="shared" ca="1" si="36"/>
        <v>1</v>
      </c>
      <c r="S17" s="82">
        <f t="shared" ca="1" si="9"/>
        <v>100</v>
      </c>
      <c r="T17" s="81">
        <f t="shared" ca="1" si="37"/>
        <v>60</v>
      </c>
      <c r="U17" s="82">
        <f t="shared" ca="1" si="10"/>
        <v>100</v>
      </c>
      <c r="V17" s="83">
        <f ca="1">IFERROR(__xludf.DUMMYFUNCTION("IMPORTRANGE(""https://docs.google.com/spreadsheets/d/1C3CXT74ZlgGe6_JY_1olB1XN4rF0dxEuIIF-xsYjHgg/edit?usp=sharing"",""พรบ!H21"")"),1)</f>
        <v>1</v>
      </c>
      <c r="W17" s="83">
        <f ca="1">IFERROR(__xludf.DUMMYFUNCTION("IMPORTRANGE(""https://docs.google.com/spreadsheets/d/1C3CXT74ZlgGe6_JY_1olB1XN4rF0dxEuIIF-xsYjHgg/edit?usp=sharing"",""พรบ!I21"")"),60)</f>
        <v>60</v>
      </c>
      <c r="X17" s="81">
        <f ca="1">IFERROR(__xludf.DUMMYFUNCTION("IMPORTRANGE(""https://docs.google.com/spreadsheets/d/11923uPwbBZFjjGgGUA6NLw09EwE0CqkOc4q9oUmW1yo/edit?usp=sharing"",""เชียงราย!J22"")"),1)</f>
        <v>1</v>
      </c>
      <c r="Y17" s="81">
        <f ca="1">IFERROR(__xludf.DUMMYFUNCTION("IMPORTRANGE(""https://docs.google.com/spreadsheets/d/11923uPwbBZFjjGgGUA6NLw09EwE0CqkOc4q9oUmW1yo/edit?usp=sharing"",""เชียงราย!J23"")"),60)</f>
        <v>60</v>
      </c>
      <c r="Z17" s="83">
        <f ca="1">IFERROR(__xludf.DUMMYFUNCTION("IMPORTRANGE(""https://docs.google.com/spreadsheets/d/1C3CXT74ZlgGe6_JY_1olB1XN4rF0dxEuIIF-xsYjHgg/edit?usp=sharing"",""พรบ!J21"")"),0)</f>
        <v>0</v>
      </c>
      <c r="AA17" s="83">
        <f ca="1">IFERROR(__xludf.DUMMYFUNCTION("IMPORTRANGE(""https://docs.google.com/spreadsheets/d/1C3CXT74ZlgGe6_JY_1olB1XN4rF0dxEuIIF-xsYjHgg/edit?usp=sharing"",""พรบ!K21"")"),0)</f>
        <v>0</v>
      </c>
      <c r="AB17" s="81">
        <f ca="1">IFERROR(__xludf.DUMMYFUNCTION("IMPORTRANGE(""https://docs.google.com/spreadsheets/d/11923uPwbBZFjjGgGUA6NLw09EwE0CqkOc4q9oUmW1yo/edit?usp=sharing"",""เชียงราย!J24"")"),0)</f>
        <v>0</v>
      </c>
      <c r="AC17" s="81">
        <f ca="1">IFERROR(__xludf.DUMMYFUNCTION("IMPORTRANGE(""https://docs.google.com/spreadsheets/d/11923uPwbBZFjjGgGUA6NLw09EwE0CqkOc4q9oUmW1yo/edit?usp=sharing"",""เชียงราย!J25"")"),0)</f>
        <v>0</v>
      </c>
      <c r="AD17" s="83">
        <f ca="1">IFERROR(__xludf.DUMMYFUNCTION("IMPORTRANGE(""https://docs.google.com/spreadsheets/d/1C3CXT74ZlgGe6_JY_1olB1XN4rF0dxEuIIF-xsYjHgg/edit?usp=sharing"",""พรบ!L21"")"),0)</f>
        <v>0</v>
      </c>
      <c r="AE17" s="83">
        <f ca="1">IFERROR(__xludf.DUMMYFUNCTION("IMPORTRANGE(""https://docs.google.com/spreadsheets/d/1C3CXT74ZlgGe6_JY_1olB1XN4rF0dxEuIIF-xsYjHgg/edit?usp=sharing"",""พรบ!M21"")"),0)</f>
        <v>0</v>
      </c>
      <c r="AF17" s="81">
        <f ca="1">IFERROR(__xludf.DUMMYFUNCTION("IMPORTRANGE(""https://docs.google.com/spreadsheets/d/11923uPwbBZFjjGgGUA6NLw09EwE0CqkOc4q9oUmW1yo/edit?usp=sharing"",""เชียงราย!J26"")"),0)</f>
        <v>0</v>
      </c>
      <c r="AG17" s="81">
        <f ca="1">IFERROR(__xludf.DUMMYFUNCTION("IMPORTRANGE(""https://docs.google.com/spreadsheets/d/11923uPwbBZFjjGgGUA6NLw09EwE0CqkOc4q9oUmW1yo/edit?usp=sharing"",""เชียงราย!J27"")"),0)</f>
        <v>0</v>
      </c>
      <c r="AH17" s="83">
        <f ca="1">IFERROR(__xludf.DUMMYFUNCTION("IMPORTRANGE(""https://docs.google.com/spreadsheets/d/1C3CXT74ZlgGe6_JY_1olB1XN4rF0dxEuIIF-xsYjHgg/edit?usp=sharing"",""พรบ!N21"")"),60)</f>
        <v>60</v>
      </c>
      <c r="AI17" s="81">
        <f ca="1">IFERROR(__xludf.DUMMYFUNCTION("IMPORTRANGE(""https://docs.google.com/spreadsheets/d/11923uPwbBZFjjGgGUA6NLw09EwE0CqkOc4q9oUmW1yo/edit?usp=sharing"",""เชียงราย!J28"")"),0)</f>
        <v>0</v>
      </c>
      <c r="AJ17" s="82">
        <f t="shared" ca="1" si="17"/>
        <v>0</v>
      </c>
    </row>
    <row r="18" spans="1:36" ht="24" customHeight="1">
      <c r="A18" s="73">
        <v>3</v>
      </c>
      <c r="B18" s="74" t="s">
        <v>42</v>
      </c>
      <c r="C18" s="75">
        <f t="shared" ca="1" si="0"/>
        <v>486000</v>
      </c>
      <c r="D18" s="76">
        <f t="shared" ca="1" si="35"/>
        <v>486000</v>
      </c>
      <c r="E18" s="77">
        <f ca="1">IFERROR(__xludf.DUMMYFUNCTION("IMPORTRANGE(""https://docs.google.com/spreadsheets/d/1C3CXT74ZlgGe6_JY_1olB1XN4rF0dxEuIIF-xsYjHgg/edit?usp=sharing"",""พรบ!D22"")"),0)</f>
        <v>0</v>
      </c>
      <c r="F18" s="77">
        <f ca="1">IFERROR(__xludf.DUMMYFUNCTION("IMPORTRANGE(""https://docs.google.com/spreadsheets/d/1C3CXT74ZlgGe6_JY_1olB1XN4rF0dxEuIIF-xsYjHgg/edit?usp=sharing"",""พรบ!E22"")"),486000)</f>
        <v>486000</v>
      </c>
      <c r="G18" s="77">
        <f ca="1">IFERROR(__xludf.DUMMYFUNCTION("IMPORTRANGE(""https://docs.google.com/spreadsheets/d/1Yj_ptqi66GCucihVvJfMjLAmec39IyEx_6qawtMGysU/edit?usp=sharing"",""สบก!AG22"")"),0)</f>
        <v>0</v>
      </c>
      <c r="H18" s="77">
        <f ca="1">IFERROR(__xludf.DUMMYFUNCTION("IMPORTRANGE(""https://docs.google.com/spreadsheets/d/1Yj_ptqi66GCucihVvJfMjLAmec39IyEx_6qawtMGysU/edit?usp=sharing"",""สบก!AI22"")"),413620)</f>
        <v>413620</v>
      </c>
      <c r="I18" s="77">
        <f t="shared" ca="1" si="3"/>
        <v>252120.27</v>
      </c>
      <c r="J18" s="78">
        <f t="shared" ca="1" si="4"/>
        <v>51.876598765432099</v>
      </c>
      <c r="K18" s="77">
        <f ca="1">IFERROR(__xludf.DUMMYFUNCTION("IMPORTRANGE(""https://docs.google.com/spreadsheets/d/1Yj_ptqi66GCucihVvJfMjLAmec39IyEx_6qawtMGysU/edit?usp=sharing"",""สบก!AJ22"")"),252120.27)</f>
        <v>252120.27</v>
      </c>
      <c r="L18" s="79">
        <f t="shared" ca="1" si="5"/>
        <v>51.876598765432099</v>
      </c>
      <c r="M18" s="79">
        <f t="shared" ca="1" si="6"/>
        <v>60.954564576181035</v>
      </c>
      <c r="N18" s="80">
        <f ca="1">IFERROR(__xludf.DUMMYFUNCTION("IMPORTRANGE(""https://docs.google.com/spreadsheets/d/1Yj_ptqi66GCucihVvJfMjLAmec39IyEx_6qawtMGysU/edit?usp=sharing"",""สบก!AK22"")"),0)</f>
        <v>0</v>
      </c>
      <c r="O18" s="79">
        <f t="shared" ca="1" si="7"/>
        <v>0</v>
      </c>
      <c r="P18" s="81">
        <f t="shared" ca="1" si="33"/>
        <v>1</v>
      </c>
      <c r="Q18" s="81">
        <f t="shared" ca="1" si="8"/>
        <v>50</v>
      </c>
      <c r="R18" s="81">
        <f t="shared" ca="1" si="36"/>
        <v>1</v>
      </c>
      <c r="S18" s="82">
        <f t="shared" ca="1" si="9"/>
        <v>100</v>
      </c>
      <c r="T18" s="81">
        <f t="shared" ca="1" si="37"/>
        <v>50</v>
      </c>
      <c r="U18" s="82">
        <f t="shared" ca="1" si="10"/>
        <v>100</v>
      </c>
      <c r="V18" s="77">
        <f ca="1">IFERROR(__xludf.DUMMYFUNCTION("IMPORTRANGE(""https://docs.google.com/spreadsheets/d/1C3CXT74ZlgGe6_JY_1olB1XN4rF0dxEuIIF-xsYjHgg/edit?usp=sharing"",""พรบ!H22"")"),0)</f>
        <v>0</v>
      </c>
      <c r="W18" s="77">
        <f ca="1">IFERROR(__xludf.DUMMYFUNCTION("IMPORTRANGE(""https://docs.google.com/spreadsheets/d/1C3CXT74ZlgGe6_JY_1olB1XN4rF0dxEuIIF-xsYjHgg/edit?usp=sharing"",""พรบ!I22"")"),0)</f>
        <v>0</v>
      </c>
      <c r="X18" s="81">
        <f ca="1">IFERROR(__xludf.DUMMYFUNCTION("IMPORTRANGE(""https://docs.google.com/spreadsheets/d/11923uPwbBZFjjGgGUA6NLw09EwE0CqkOc4q9oUmW1yo/edit?usp=sharing"",""เชียงใหม่!J22"")"),0)</f>
        <v>0</v>
      </c>
      <c r="Y18" s="81">
        <f ca="1">IFERROR(__xludf.DUMMYFUNCTION("IMPORTRANGE(""https://docs.google.com/spreadsheets/d/11923uPwbBZFjjGgGUA6NLw09EwE0CqkOc4q9oUmW1yo/edit?usp=sharing"",""เชียงใหม่!J23"")"),0)</f>
        <v>0</v>
      </c>
      <c r="Z18" s="77">
        <f ca="1">IFERROR(__xludf.DUMMYFUNCTION("IMPORTRANGE(""https://docs.google.com/spreadsheets/d/1C3CXT74ZlgGe6_JY_1olB1XN4rF0dxEuIIF-xsYjHgg/edit?usp=sharing"",""พรบ!J22"")"),0)</f>
        <v>0</v>
      </c>
      <c r="AA18" s="77">
        <f ca="1">IFERROR(__xludf.DUMMYFUNCTION("IMPORTRANGE(""https://docs.google.com/spreadsheets/d/1C3CXT74ZlgGe6_JY_1olB1XN4rF0dxEuIIF-xsYjHgg/edit?usp=sharing"",""พรบ!K22"")"),0)</f>
        <v>0</v>
      </c>
      <c r="AB18" s="81">
        <f ca="1">IFERROR(__xludf.DUMMYFUNCTION("IMPORTRANGE(""https://docs.google.com/spreadsheets/d/11923uPwbBZFjjGgGUA6NLw09EwE0CqkOc4q9oUmW1yo/edit?usp=sharing"",""เชียงใหม่!J24"")"),0)</f>
        <v>0</v>
      </c>
      <c r="AC18" s="81">
        <f ca="1">IFERROR(__xludf.DUMMYFUNCTION("IMPORTRANGE(""https://docs.google.com/spreadsheets/d/11923uPwbBZFjjGgGUA6NLw09EwE0CqkOc4q9oUmW1yo/edit?usp=sharing"",""เชียงใหม่!J25"")"),0)</f>
        <v>0</v>
      </c>
      <c r="AD18" s="77">
        <f ca="1">IFERROR(__xludf.DUMMYFUNCTION("IMPORTRANGE(""https://docs.google.com/spreadsheets/d/1C3CXT74ZlgGe6_JY_1olB1XN4rF0dxEuIIF-xsYjHgg/edit?usp=sharing"",""พรบ!L22"")"),1)</f>
        <v>1</v>
      </c>
      <c r="AE18" s="77">
        <f ca="1">IFERROR(__xludf.DUMMYFUNCTION("IMPORTRANGE(""https://docs.google.com/spreadsheets/d/1C3CXT74ZlgGe6_JY_1olB1XN4rF0dxEuIIF-xsYjHgg/edit?usp=sharing"",""พรบ!M22"")"),50)</f>
        <v>50</v>
      </c>
      <c r="AF18" s="81">
        <f ca="1">IFERROR(__xludf.DUMMYFUNCTION("IMPORTRANGE(""https://docs.google.com/spreadsheets/d/11923uPwbBZFjjGgGUA6NLw09EwE0CqkOc4q9oUmW1yo/edit?usp=sharing"",""เชียงใหม่!J26"")"),1)</f>
        <v>1</v>
      </c>
      <c r="AG18" s="81">
        <f ca="1">IFERROR(__xludf.DUMMYFUNCTION("IMPORTRANGE(""https://docs.google.com/spreadsheets/d/11923uPwbBZFjjGgGUA6NLw09EwE0CqkOc4q9oUmW1yo/edit?usp=sharing"",""เชียงใหม่!J27"")"),50)</f>
        <v>50</v>
      </c>
      <c r="AH18" s="77">
        <f ca="1">IFERROR(__xludf.DUMMYFUNCTION("IMPORTRANGE(""https://docs.google.com/spreadsheets/d/1C3CXT74ZlgGe6_JY_1olB1XN4rF0dxEuIIF-xsYjHgg/edit?usp=sharing"",""พรบ!N22"")"),0)</f>
        <v>0</v>
      </c>
      <c r="AI18" s="81">
        <f ca="1">IFERROR(__xludf.DUMMYFUNCTION("IMPORTRANGE(""https://docs.google.com/spreadsheets/d/11923uPwbBZFjjGgGUA6NLw09EwE0CqkOc4q9oUmW1yo/edit?usp=sharing"",""เชียงใหม่!J28"")"),0)</f>
        <v>0</v>
      </c>
      <c r="AJ18" s="79">
        <f t="shared" ca="1" si="17"/>
        <v>0</v>
      </c>
    </row>
    <row r="19" spans="1:36" ht="24" customHeight="1">
      <c r="A19" s="73">
        <v>4</v>
      </c>
      <c r="B19" s="74" t="s">
        <v>43</v>
      </c>
      <c r="C19" s="75">
        <f t="shared" ca="1" si="0"/>
        <v>0</v>
      </c>
      <c r="D19" s="76">
        <f t="shared" ca="1" si="35"/>
        <v>0</v>
      </c>
      <c r="E19" s="77">
        <f ca="1">IFERROR(__xludf.DUMMYFUNCTION("IMPORTRANGE(""https://docs.google.com/spreadsheets/d/1C3CXT74ZlgGe6_JY_1olB1XN4rF0dxEuIIF-xsYjHgg/edit?usp=sharing"",""พรบ!D23"")"),0)</f>
        <v>0</v>
      </c>
      <c r="F19" s="77">
        <f ca="1">IFERROR(__xludf.DUMMYFUNCTION("IMPORTRANGE(""https://docs.google.com/spreadsheets/d/1C3CXT74ZlgGe6_JY_1olB1XN4rF0dxEuIIF-xsYjHgg/edit?usp=sharing"",""พรบ!E23"")"),0)</f>
        <v>0</v>
      </c>
      <c r="G19" s="77">
        <f ca="1">IFERROR(__xludf.DUMMYFUNCTION("IMPORTRANGE(""https://docs.google.com/spreadsheets/d/1Yj_ptqi66GCucihVvJfMjLAmec39IyEx_6qawtMGysU/edit?usp=sharing"",""สบก!AG23"")"),0)</f>
        <v>0</v>
      </c>
      <c r="H19" s="77">
        <f ca="1">IFERROR(__xludf.DUMMYFUNCTION("IMPORTRANGE(""https://docs.google.com/spreadsheets/d/1Yj_ptqi66GCucihVvJfMjLAmec39IyEx_6qawtMGysU/edit?usp=sharing"",""สบก!AI23"")"),0)</f>
        <v>0</v>
      </c>
      <c r="I19" s="77">
        <f t="shared" ca="1" si="3"/>
        <v>0</v>
      </c>
      <c r="J19" s="78">
        <f t="shared" ca="1" si="4"/>
        <v>0</v>
      </c>
      <c r="K19" s="77">
        <f ca="1">IFERROR(__xludf.DUMMYFUNCTION("IMPORTRANGE(""https://docs.google.com/spreadsheets/d/1Yj_ptqi66GCucihVvJfMjLAmec39IyEx_6qawtMGysU/edit?usp=sharing"",""สบก!AJ23"")"),0)</f>
        <v>0</v>
      </c>
      <c r="L19" s="79">
        <f t="shared" ca="1" si="5"/>
        <v>0</v>
      </c>
      <c r="M19" s="79">
        <f t="shared" ca="1" si="6"/>
        <v>0</v>
      </c>
      <c r="N19" s="80">
        <f ca="1">IFERROR(__xludf.DUMMYFUNCTION("IMPORTRANGE(""https://docs.google.com/spreadsheets/d/1Yj_ptqi66GCucihVvJfMjLAmec39IyEx_6qawtMGysU/edit?usp=sharing"",""สบก!AK23"")"),0)</f>
        <v>0</v>
      </c>
      <c r="O19" s="79">
        <f t="shared" ca="1" si="7"/>
        <v>0</v>
      </c>
      <c r="P19" s="81">
        <f t="shared" ca="1" si="33"/>
        <v>0</v>
      </c>
      <c r="Q19" s="81">
        <f t="shared" ca="1" si="8"/>
        <v>0</v>
      </c>
      <c r="R19" s="81">
        <f t="shared" ca="1" si="36"/>
        <v>0</v>
      </c>
      <c r="S19" s="82">
        <f t="shared" ca="1" si="9"/>
        <v>0</v>
      </c>
      <c r="T19" s="81">
        <f t="shared" ca="1" si="37"/>
        <v>0</v>
      </c>
      <c r="U19" s="82">
        <f t="shared" ca="1" si="10"/>
        <v>0</v>
      </c>
      <c r="V19" s="77">
        <f ca="1">IFERROR(__xludf.DUMMYFUNCTION("IMPORTRANGE(""https://docs.google.com/spreadsheets/d/1C3CXT74ZlgGe6_JY_1olB1XN4rF0dxEuIIF-xsYjHgg/edit?usp=sharing"",""พรบ!H23"")"),0)</f>
        <v>0</v>
      </c>
      <c r="W19" s="77">
        <f ca="1">IFERROR(__xludf.DUMMYFUNCTION("IMPORTRANGE(""https://docs.google.com/spreadsheets/d/1C3CXT74ZlgGe6_JY_1olB1XN4rF0dxEuIIF-xsYjHgg/edit?usp=sharing"",""พรบ!I23"")"),0)</f>
        <v>0</v>
      </c>
      <c r="X19" s="81">
        <f ca="1">IFERROR(__xludf.DUMMYFUNCTION("IMPORTRANGE(""https://docs.google.com/spreadsheets/d/11923uPwbBZFjjGgGUA6NLw09EwE0CqkOc4q9oUmW1yo/edit?usp=sharing"",""ตาก!J22"")"),0)</f>
        <v>0</v>
      </c>
      <c r="Y19" s="81">
        <f ca="1">IFERROR(__xludf.DUMMYFUNCTION("IMPORTRANGE(""https://docs.google.com/spreadsheets/d/11923uPwbBZFjjGgGUA6NLw09EwE0CqkOc4q9oUmW1yo/edit?usp=sharing"",""ตาก!J23"")"),0)</f>
        <v>0</v>
      </c>
      <c r="Z19" s="77">
        <f ca="1">IFERROR(__xludf.DUMMYFUNCTION("IMPORTRANGE(""https://docs.google.com/spreadsheets/d/1C3CXT74ZlgGe6_JY_1olB1XN4rF0dxEuIIF-xsYjHgg/edit?usp=sharing"",""พรบ!J23"")"),0)</f>
        <v>0</v>
      </c>
      <c r="AA19" s="77">
        <f ca="1">IFERROR(__xludf.DUMMYFUNCTION("IMPORTRANGE(""https://docs.google.com/spreadsheets/d/1C3CXT74ZlgGe6_JY_1olB1XN4rF0dxEuIIF-xsYjHgg/edit?usp=sharing"",""พรบ!K23"")"),0)</f>
        <v>0</v>
      </c>
      <c r="AB19" s="81">
        <f ca="1">IFERROR(__xludf.DUMMYFUNCTION("IMPORTRANGE(""https://docs.google.com/spreadsheets/d/11923uPwbBZFjjGgGUA6NLw09EwE0CqkOc4q9oUmW1yo/edit?usp=sharing"",""ตาก!J24"")"),0)</f>
        <v>0</v>
      </c>
      <c r="AC19" s="81">
        <f ca="1">IFERROR(__xludf.DUMMYFUNCTION("IMPORTRANGE(""https://docs.google.com/spreadsheets/d/11923uPwbBZFjjGgGUA6NLw09EwE0CqkOc4q9oUmW1yo/edit?usp=sharing"",""ตาก!J25"")"),0)</f>
        <v>0</v>
      </c>
      <c r="AD19" s="77">
        <f ca="1">IFERROR(__xludf.DUMMYFUNCTION("IMPORTRANGE(""https://docs.google.com/spreadsheets/d/1C3CXT74ZlgGe6_JY_1olB1XN4rF0dxEuIIF-xsYjHgg/edit?usp=sharing"",""พรบ!L23"")"),0)</f>
        <v>0</v>
      </c>
      <c r="AE19" s="77">
        <f ca="1">IFERROR(__xludf.DUMMYFUNCTION("IMPORTRANGE(""https://docs.google.com/spreadsheets/d/1C3CXT74ZlgGe6_JY_1olB1XN4rF0dxEuIIF-xsYjHgg/edit?usp=sharing"",""พรบ!M23"")"),0)</f>
        <v>0</v>
      </c>
      <c r="AF19" s="81">
        <f ca="1">IFERROR(__xludf.DUMMYFUNCTION("IMPORTRANGE(""https://docs.google.com/spreadsheets/d/11923uPwbBZFjjGgGUA6NLw09EwE0CqkOc4q9oUmW1yo/edit?usp=sharing"",""ตาก!J26"")"),0)</f>
        <v>0</v>
      </c>
      <c r="AG19" s="81">
        <f ca="1">IFERROR(__xludf.DUMMYFUNCTION("IMPORTRANGE(""https://docs.google.com/spreadsheets/d/11923uPwbBZFjjGgGUA6NLw09EwE0CqkOc4q9oUmW1yo/edit?usp=sharing"",""ตาก!J27"")"),0)</f>
        <v>0</v>
      </c>
      <c r="AH19" s="77">
        <f ca="1">IFERROR(__xludf.DUMMYFUNCTION("IMPORTRANGE(""https://docs.google.com/spreadsheets/d/1C3CXT74ZlgGe6_JY_1olB1XN4rF0dxEuIIF-xsYjHgg/edit?usp=sharing"",""พรบ!N23"")"),0)</f>
        <v>0</v>
      </c>
      <c r="AI19" s="81">
        <f ca="1">IFERROR(__xludf.DUMMYFUNCTION("IMPORTRANGE(""https://docs.google.com/spreadsheets/d/11923uPwbBZFjjGgGUA6NLw09EwE0CqkOc4q9oUmW1yo/edit?usp=sharing"",""ตาก!J28"")"),0)</f>
        <v>0</v>
      </c>
      <c r="AJ19" s="79">
        <f t="shared" ca="1" si="17"/>
        <v>0</v>
      </c>
    </row>
    <row r="20" spans="1:36" ht="24" customHeight="1">
      <c r="A20" s="73">
        <v>5</v>
      </c>
      <c r="B20" s="74" t="s">
        <v>44</v>
      </c>
      <c r="C20" s="75">
        <f t="shared" ca="1" si="0"/>
        <v>745500</v>
      </c>
      <c r="D20" s="76">
        <f t="shared" ca="1" si="35"/>
        <v>745500</v>
      </c>
      <c r="E20" s="77">
        <f ca="1">IFERROR(__xludf.DUMMYFUNCTION("IMPORTRANGE(""https://docs.google.com/spreadsheets/d/1C3CXT74ZlgGe6_JY_1olB1XN4rF0dxEuIIF-xsYjHgg/edit?usp=sharing"",""พรบ!D24"")"),311500)</f>
        <v>311500</v>
      </c>
      <c r="F20" s="77">
        <f ca="1">IFERROR(__xludf.DUMMYFUNCTION("IMPORTRANGE(""https://docs.google.com/spreadsheets/d/1C3CXT74ZlgGe6_JY_1olB1XN4rF0dxEuIIF-xsYjHgg/edit?usp=sharing"",""พรบ!E24"")"),434000)</f>
        <v>434000</v>
      </c>
      <c r="G20" s="77">
        <f ca="1">IFERROR(__xludf.DUMMYFUNCTION("IMPORTRANGE(""https://docs.google.com/spreadsheets/d/1Yj_ptqi66GCucihVvJfMjLAmec39IyEx_6qawtMGysU/edit?usp=sharing"",""สบก!AG24"")"),0)</f>
        <v>0</v>
      </c>
      <c r="H20" s="77">
        <f ca="1">IFERROR(__xludf.DUMMYFUNCTION("IMPORTRANGE(""https://docs.google.com/spreadsheets/d/1Yj_ptqi66GCucihVvJfMjLAmec39IyEx_6qawtMGysU/edit?usp=sharing"",""สบก!AI24"")"),605220)</f>
        <v>605220</v>
      </c>
      <c r="I20" s="77">
        <f t="shared" ca="1" si="3"/>
        <v>372630.43</v>
      </c>
      <c r="J20" s="78">
        <f t="shared" ca="1" si="4"/>
        <v>49.983961099932934</v>
      </c>
      <c r="K20" s="77">
        <f ca="1">IFERROR(__xludf.DUMMYFUNCTION("IMPORTRANGE(""https://docs.google.com/spreadsheets/d/1Yj_ptqi66GCucihVvJfMjLAmec39IyEx_6qawtMGysU/edit?usp=sharing"",""สบก!AJ24"")"),372630.43)</f>
        <v>372630.43</v>
      </c>
      <c r="L20" s="79">
        <f t="shared" ca="1" si="5"/>
        <v>49.983961099932934</v>
      </c>
      <c r="M20" s="79">
        <f t="shared" ca="1" si="6"/>
        <v>61.569417732394832</v>
      </c>
      <c r="N20" s="80">
        <f ca="1">IFERROR(__xludf.DUMMYFUNCTION("IMPORTRANGE(""https://docs.google.com/spreadsheets/d/1Yj_ptqi66GCucihVvJfMjLAmec39IyEx_6qawtMGysU/edit?usp=sharing"",""สบก!AK24"")"),0)</f>
        <v>0</v>
      </c>
      <c r="O20" s="79">
        <f t="shared" ca="1" si="7"/>
        <v>0</v>
      </c>
      <c r="P20" s="81">
        <f t="shared" ca="1" si="33"/>
        <v>1</v>
      </c>
      <c r="Q20" s="81">
        <f t="shared" ca="1" si="8"/>
        <v>40</v>
      </c>
      <c r="R20" s="81">
        <f t="shared" ca="1" si="36"/>
        <v>1</v>
      </c>
      <c r="S20" s="82">
        <f t="shared" ca="1" si="9"/>
        <v>100</v>
      </c>
      <c r="T20" s="81">
        <f t="shared" ca="1" si="37"/>
        <v>40</v>
      </c>
      <c r="U20" s="82">
        <f t="shared" ca="1" si="10"/>
        <v>100</v>
      </c>
      <c r="V20" s="77">
        <f ca="1">IFERROR(__xludf.DUMMYFUNCTION("IMPORTRANGE(""https://docs.google.com/spreadsheets/d/1C3CXT74ZlgGe6_JY_1olB1XN4rF0dxEuIIF-xsYjHgg/edit?usp=sharing"",""พรบ!H24"")"),0)</f>
        <v>0</v>
      </c>
      <c r="W20" s="77">
        <f ca="1">IFERROR(__xludf.DUMMYFUNCTION("IMPORTRANGE(""https://docs.google.com/spreadsheets/d/1C3CXT74ZlgGe6_JY_1olB1XN4rF0dxEuIIF-xsYjHgg/edit?usp=sharing"",""พรบ!I24"")"),0)</f>
        <v>0</v>
      </c>
      <c r="X20" s="81">
        <f ca="1">IFERROR(__xludf.DUMMYFUNCTION("IMPORTRANGE(""https://docs.google.com/spreadsheets/d/11923uPwbBZFjjGgGUA6NLw09EwE0CqkOc4q9oUmW1yo/edit?usp=sharing"",""นครสวรรค์!J22"")"),0)</f>
        <v>0</v>
      </c>
      <c r="Y20" s="81">
        <f ca="1">IFERROR(__xludf.DUMMYFUNCTION("IMPORTRANGE(""https://docs.google.com/spreadsheets/d/11923uPwbBZFjjGgGUA6NLw09EwE0CqkOc4q9oUmW1yo/edit?usp=sharing"",""นครสวรรค์!J23"")"),0)</f>
        <v>0</v>
      </c>
      <c r="Z20" s="77">
        <f ca="1">IFERROR(__xludf.DUMMYFUNCTION("IMPORTRANGE(""https://docs.google.com/spreadsheets/d/1C3CXT74ZlgGe6_JY_1olB1XN4rF0dxEuIIF-xsYjHgg/edit?usp=sharing"",""พรบ!J24"")"),1)</f>
        <v>1</v>
      </c>
      <c r="AA20" s="77">
        <f ca="1">IFERROR(__xludf.DUMMYFUNCTION("IMPORTRANGE(""https://docs.google.com/spreadsheets/d/1C3CXT74ZlgGe6_JY_1olB1XN4rF0dxEuIIF-xsYjHgg/edit?usp=sharing"",""พรบ!K24"")"),40)</f>
        <v>40</v>
      </c>
      <c r="AB20" s="81">
        <f ca="1">IFERROR(__xludf.DUMMYFUNCTION("IMPORTRANGE(""https://docs.google.com/spreadsheets/d/11923uPwbBZFjjGgGUA6NLw09EwE0CqkOc4q9oUmW1yo/edit?usp=sharing"",""นครสวรรค์!J24"")"),1)</f>
        <v>1</v>
      </c>
      <c r="AC20" s="81">
        <f ca="1">IFERROR(__xludf.DUMMYFUNCTION("IMPORTRANGE(""https://docs.google.com/spreadsheets/d/11923uPwbBZFjjGgGUA6NLw09EwE0CqkOc4q9oUmW1yo/edit?usp=sharing"",""นครสวรรค์!J25"")"),40)</f>
        <v>40</v>
      </c>
      <c r="AD20" s="77">
        <f ca="1">IFERROR(__xludf.DUMMYFUNCTION("IMPORTRANGE(""https://docs.google.com/spreadsheets/d/1C3CXT74ZlgGe6_JY_1olB1XN4rF0dxEuIIF-xsYjHgg/edit?usp=sharing"",""พรบ!L24"")"),0)</f>
        <v>0</v>
      </c>
      <c r="AE20" s="77">
        <f ca="1">IFERROR(__xludf.DUMMYFUNCTION("IMPORTRANGE(""https://docs.google.com/spreadsheets/d/1C3CXT74ZlgGe6_JY_1olB1XN4rF0dxEuIIF-xsYjHgg/edit?usp=sharing"",""พรบ!M24"")"),0)</f>
        <v>0</v>
      </c>
      <c r="AF20" s="81">
        <f ca="1">IFERROR(__xludf.DUMMYFUNCTION("IMPORTRANGE(""https://docs.google.com/spreadsheets/d/11923uPwbBZFjjGgGUA6NLw09EwE0CqkOc4q9oUmW1yo/edit?usp=sharing"",""นครสวรรค์!J26"")"),0)</f>
        <v>0</v>
      </c>
      <c r="AG20" s="81">
        <f ca="1">IFERROR(__xludf.DUMMYFUNCTION("IMPORTRANGE(""https://docs.google.com/spreadsheets/d/11923uPwbBZFjjGgGUA6NLw09EwE0CqkOc4q9oUmW1yo/edit?usp=sharing"",""นครสวรรค์!J27"")"),0)</f>
        <v>0</v>
      </c>
      <c r="AH20" s="77">
        <f ca="1">IFERROR(__xludf.DUMMYFUNCTION("IMPORTRANGE(""https://docs.google.com/spreadsheets/d/1C3CXT74ZlgGe6_JY_1olB1XN4rF0dxEuIIF-xsYjHgg/edit?usp=sharing"",""พรบ!N24"")"),0)</f>
        <v>0</v>
      </c>
      <c r="AI20" s="81">
        <f ca="1">IFERROR(__xludf.DUMMYFUNCTION("IMPORTRANGE(""https://docs.google.com/spreadsheets/d/11923uPwbBZFjjGgGUA6NLw09EwE0CqkOc4q9oUmW1yo/edit?usp=sharing"",""นครสวรรค์!J28"")"),0)</f>
        <v>0</v>
      </c>
      <c r="AJ20" s="79">
        <f t="shared" ca="1" si="17"/>
        <v>0</v>
      </c>
    </row>
    <row r="21" spans="1:36" ht="24" customHeight="1">
      <c r="A21" s="73">
        <v>6</v>
      </c>
      <c r="B21" s="74" t="s">
        <v>45</v>
      </c>
      <c r="C21" s="75">
        <f t="shared" ca="1" si="0"/>
        <v>937200</v>
      </c>
      <c r="D21" s="76">
        <f t="shared" ca="1" si="35"/>
        <v>553600</v>
      </c>
      <c r="E21" s="77">
        <f ca="1">IFERROR(__xludf.DUMMYFUNCTION("IMPORTRANGE(""https://docs.google.com/spreadsheets/d/1C3CXT74ZlgGe6_JY_1olB1XN4rF0dxEuIIF-xsYjHgg/edit?usp=sharing"",""พรบ!D25"")"),0)</f>
        <v>0</v>
      </c>
      <c r="F21" s="77">
        <f ca="1">IFERROR(__xludf.DUMMYFUNCTION("IMPORTRANGE(""https://docs.google.com/spreadsheets/d/1C3CXT74ZlgGe6_JY_1olB1XN4rF0dxEuIIF-xsYjHgg/edit?usp=sharing"",""พรบ!E25"")"),553600)</f>
        <v>553600</v>
      </c>
      <c r="G21" s="77">
        <f ca="1">IFERROR(__xludf.DUMMYFUNCTION("IMPORTRANGE(""https://docs.google.com/spreadsheets/d/1Yj_ptqi66GCucihVvJfMjLAmec39IyEx_6qawtMGysU/edit?usp=sharing"",""สบก!AG25"")"),383600)</f>
        <v>383600</v>
      </c>
      <c r="H21" s="77">
        <f ca="1">IFERROR(__xludf.DUMMYFUNCTION("IMPORTRANGE(""https://docs.google.com/spreadsheets/d/1Yj_ptqi66GCucihVvJfMjLAmec39IyEx_6qawtMGysU/edit?usp=sharing"",""สบก!AI25"")"),481220)</f>
        <v>481220</v>
      </c>
      <c r="I21" s="77">
        <f t="shared" ca="1" si="3"/>
        <v>621816</v>
      </c>
      <c r="J21" s="78">
        <f t="shared" ca="1" si="4"/>
        <v>66.348271446862995</v>
      </c>
      <c r="K21" s="77">
        <f ca="1">IFERROR(__xludf.DUMMYFUNCTION("IMPORTRANGE(""https://docs.google.com/spreadsheets/d/1Yj_ptqi66GCucihVvJfMjLAmec39IyEx_6qawtMGysU/edit?usp=sharing"",""สบก!AJ25"")"),238216)</f>
        <v>238216</v>
      </c>
      <c r="L21" s="79">
        <f t="shared" ca="1" si="5"/>
        <v>43.03034682080925</v>
      </c>
      <c r="M21" s="79">
        <f t="shared" ca="1" si="6"/>
        <v>49.502514442458754</v>
      </c>
      <c r="N21" s="80">
        <f ca="1">IFERROR(__xludf.DUMMYFUNCTION("IMPORTRANGE(""https://docs.google.com/spreadsheets/d/1Yj_ptqi66GCucihVvJfMjLAmec39IyEx_6qawtMGysU/edit?usp=sharing"",""สบก!AK25"")"),383600)</f>
        <v>383600</v>
      </c>
      <c r="O21" s="79">
        <f t="shared" ca="1" si="7"/>
        <v>100</v>
      </c>
      <c r="P21" s="81">
        <f t="shared" ca="1" si="33"/>
        <v>1</v>
      </c>
      <c r="Q21" s="81">
        <f t="shared" ca="1" si="8"/>
        <v>63</v>
      </c>
      <c r="R21" s="81">
        <f t="shared" ca="1" si="36"/>
        <v>1</v>
      </c>
      <c r="S21" s="82">
        <f t="shared" ca="1" si="9"/>
        <v>100</v>
      </c>
      <c r="T21" s="81">
        <f t="shared" ca="1" si="37"/>
        <v>63</v>
      </c>
      <c r="U21" s="82">
        <f t="shared" ca="1" si="10"/>
        <v>100</v>
      </c>
      <c r="V21" s="77">
        <f ca="1">IFERROR(__xludf.DUMMYFUNCTION("IMPORTRANGE(""https://docs.google.com/spreadsheets/d/1C3CXT74ZlgGe6_JY_1olB1XN4rF0dxEuIIF-xsYjHgg/edit?usp=sharing"",""พรบ!H25"")"),0)</f>
        <v>0</v>
      </c>
      <c r="W21" s="77">
        <f ca="1">IFERROR(__xludf.DUMMYFUNCTION("IMPORTRANGE(""https://docs.google.com/spreadsheets/d/1C3CXT74ZlgGe6_JY_1olB1XN4rF0dxEuIIF-xsYjHgg/edit?usp=sharing"",""พรบ!I25"")"),0)</f>
        <v>0</v>
      </c>
      <c r="X21" s="81">
        <f ca="1">IFERROR(__xludf.DUMMYFUNCTION("IMPORTRANGE(""https://docs.google.com/spreadsheets/d/11923uPwbBZFjjGgGUA6NLw09EwE0CqkOc4q9oUmW1yo/edit?usp=sharing"",""น่าน!J22"")"),0)</f>
        <v>0</v>
      </c>
      <c r="Y21" s="81">
        <f ca="1">IFERROR(__xludf.DUMMYFUNCTION("IMPORTRANGE(""https://docs.google.com/spreadsheets/d/11923uPwbBZFjjGgGUA6NLw09EwE0CqkOc4q9oUmW1yo/edit?usp=sharing"",""น่าน!J23"")"),0)</f>
        <v>0</v>
      </c>
      <c r="Z21" s="77">
        <f ca="1">IFERROR(__xludf.DUMMYFUNCTION("IMPORTRANGE(""https://docs.google.com/spreadsheets/d/1C3CXT74ZlgGe6_JY_1olB1XN4rF0dxEuIIF-xsYjHgg/edit?usp=sharing"",""พรบ!J25"")"),0)</f>
        <v>0</v>
      </c>
      <c r="AA21" s="77">
        <f ca="1">IFERROR(__xludf.DUMMYFUNCTION("IMPORTRANGE(""https://docs.google.com/spreadsheets/d/1C3CXT74ZlgGe6_JY_1olB1XN4rF0dxEuIIF-xsYjHgg/edit?usp=sharing"",""พรบ!K25"")"),0)</f>
        <v>0</v>
      </c>
      <c r="AB21" s="81">
        <f ca="1">IFERROR(__xludf.DUMMYFUNCTION("IMPORTRANGE(""https://docs.google.com/spreadsheets/d/11923uPwbBZFjjGgGUA6NLw09EwE0CqkOc4q9oUmW1yo/edit?usp=sharing"",""น่าน!J24"")"),0)</f>
        <v>0</v>
      </c>
      <c r="AC21" s="81">
        <f ca="1">IFERROR(__xludf.DUMMYFUNCTION("IMPORTRANGE(""https://docs.google.com/spreadsheets/d/11923uPwbBZFjjGgGUA6NLw09EwE0CqkOc4q9oUmW1yo/edit?usp=sharing"",""น่าน!J25"")"),0)</f>
        <v>0</v>
      </c>
      <c r="AD21" s="77">
        <f ca="1">IFERROR(__xludf.DUMMYFUNCTION("IMPORTRANGE(""https://docs.google.com/spreadsheets/d/1C3CXT74ZlgGe6_JY_1olB1XN4rF0dxEuIIF-xsYjHgg/edit?usp=sharing"",""พรบ!L25"")"),1)</f>
        <v>1</v>
      </c>
      <c r="AE21" s="77">
        <f ca="1">IFERROR(__xludf.DUMMYFUNCTION("IMPORTRANGE(""https://docs.google.com/spreadsheets/d/1C3CXT74ZlgGe6_JY_1olB1XN4rF0dxEuIIF-xsYjHgg/edit?usp=sharing"",""พรบ!M25"")"),63)</f>
        <v>63</v>
      </c>
      <c r="AF21" s="81">
        <f ca="1">IFERROR(__xludf.DUMMYFUNCTION("IMPORTRANGE(""https://docs.google.com/spreadsheets/d/11923uPwbBZFjjGgGUA6NLw09EwE0CqkOc4q9oUmW1yo/edit?usp=sharing"",""น่าน!J26"")"),1)</f>
        <v>1</v>
      </c>
      <c r="AG21" s="81">
        <f ca="1">IFERROR(__xludf.DUMMYFUNCTION("IMPORTRANGE(""https://docs.google.com/spreadsheets/d/11923uPwbBZFjjGgGUA6NLw09EwE0CqkOc4q9oUmW1yo/edit?usp=sharing"",""น่าน!J27"")"),63)</f>
        <v>63</v>
      </c>
      <c r="AH21" s="77">
        <f ca="1">IFERROR(__xludf.DUMMYFUNCTION("IMPORTRANGE(""https://docs.google.com/spreadsheets/d/1C3CXT74ZlgGe6_JY_1olB1XN4rF0dxEuIIF-xsYjHgg/edit?usp=sharing"",""พรบ!N25"")"),0)</f>
        <v>0</v>
      </c>
      <c r="AI21" s="81">
        <f ca="1">IFERROR(__xludf.DUMMYFUNCTION("IMPORTRANGE(""https://docs.google.com/spreadsheets/d/11923uPwbBZFjjGgGUA6NLw09EwE0CqkOc4q9oUmW1yo/edit?usp=sharing"",""น่าน!J28"")"),0)</f>
        <v>0</v>
      </c>
      <c r="AJ21" s="79">
        <f t="shared" ca="1" si="17"/>
        <v>0</v>
      </c>
    </row>
    <row r="22" spans="1:36" ht="24" customHeight="1">
      <c r="A22" s="73">
        <v>7</v>
      </c>
      <c r="B22" s="74" t="s">
        <v>46</v>
      </c>
      <c r="C22" s="75">
        <f t="shared" ca="1" si="0"/>
        <v>382000</v>
      </c>
      <c r="D22" s="76">
        <f t="shared" ca="1" si="35"/>
        <v>382000</v>
      </c>
      <c r="E22" s="77">
        <f ca="1">IFERROR(__xludf.DUMMYFUNCTION("IMPORTRANGE(""https://docs.google.com/spreadsheets/d/1C3CXT74ZlgGe6_JY_1olB1XN4rF0dxEuIIF-xsYjHgg/edit?usp=sharing"",""พรบ!D26"")"),0)</f>
        <v>0</v>
      </c>
      <c r="F22" s="77">
        <f ca="1">IFERROR(__xludf.DUMMYFUNCTION("IMPORTRANGE(""https://docs.google.com/spreadsheets/d/1C3CXT74ZlgGe6_JY_1olB1XN4rF0dxEuIIF-xsYjHgg/edit?usp=sharing"",""พรบ!E26"")"),382000)</f>
        <v>382000</v>
      </c>
      <c r="G22" s="77">
        <f ca="1">IFERROR(__xludf.DUMMYFUNCTION("IMPORTRANGE(""https://docs.google.com/spreadsheets/d/1Yj_ptqi66GCucihVvJfMjLAmec39IyEx_6qawtMGysU/edit?usp=sharing"",""สบก!AG26"")"),0)</f>
        <v>0</v>
      </c>
      <c r="H22" s="77">
        <f ca="1">IFERROR(__xludf.DUMMYFUNCTION("IMPORTRANGE(""https://docs.google.com/spreadsheets/d/1Yj_ptqi66GCucihVvJfMjLAmec39IyEx_6qawtMGysU/edit?usp=sharing"",""สบก!AI26"")"),338620)</f>
        <v>338620</v>
      </c>
      <c r="I22" s="77">
        <f t="shared" ca="1" si="3"/>
        <v>100538.74</v>
      </c>
      <c r="J22" s="78">
        <f t="shared" ca="1" si="4"/>
        <v>26.319041884816755</v>
      </c>
      <c r="K22" s="77">
        <f ca="1">IFERROR(__xludf.DUMMYFUNCTION("IMPORTRANGE(""https://docs.google.com/spreadsheets/d/1Yj_ptqi66GCucihVvJfMjLAmec39IyEx_6qawtMGysU/edit?usp=sharing"",""สบก!AJ26"")"),100538.74)</f>
        <v>100538.74</v>
      </c>
      <c r="L22" s="79">
        <f t="shared" ca="1" si="5"/>
        <v>26.319041884816755</v>
      </c>
      <c r="M22" s="79">
        <f t="shared" ca="1" si="6"/>
        <v>29.690727068690567</v>
      </c>
      <c r="N22" s="80">
        <f ca="1">IFERROR(__xludf.DUMMYFUNCTION("IMPORTRANGE(""https://docs.google.com/spreadsheets/d/1Yj_ptqi66GCucihVvJfMjLAmec39IyEx_6qawtMGysU/edit?usp=sharing"",""สบก!AK26"")"),0)</f>
        <v>0</v>
      </c>
      <c r="O22" s="79">
        <f t="shared" ca="1" si="7"/>
        <v>0</v>
      </c>
      <c r="P22" s="81">
        <f t="shared" ca="1" si="33"/>
        <v>1</v>
      </c>
      <c r="Q22" s="81">
        <f t="shared" ca="1" si="8"/>
        <v>30</v>
      </c>
      <c r="R22" s="81">
        <f t="shared" ca="1" si="36"/>
        <v>1</v>
      </c>
      <c r="S22" s="82">
        <f t="shared" ca="1" si="9"/>
        <v>100</v>
      </c>
      <c r="T22" s="81">
        <f t="shared" ca="1" si="37"/>
        <v>30</v>
      </c>
      <c r="U22" s="82">
        <f t="shared" ca="1" si="10"/>
        <v>100</v>
      </c>
      <c r="V22" s="77">
        <f ca="1">IFERROR(__xludf.DUMMYFUNCTION("IMPORTRANGE(""https://docs.google.com/spreadsheets/d/1C3CXT74ZlgGe6_JY_1olB1XN4rF0dxEuIIF-xsYjHgg/edit?usp=sharing"",""พรบ!H26"")"),1)</f>
        <v>1</v>
      </c>
      <c r="W22" s="77">
        <f ca="1">IFERROR(__xludf.DUMMYFUNCTION("IMPORTRANGE(""https://docs.google.com/spreadsheets/d/1C3CXT74ZlgGe6_JY_1olB1XN4rF0dxEuIIF-xsYjHgg/edit?usp=sharing"",""พรบ!I26"")"),30)</f>
        <v>30</v>
      </c>
      <c r="X22" s="81">
        <f ca="1">IFERROR(__xludf.DUMMYFUNCTION("IMPORTRANGE(""https://docs.google.com/spreadsheets/d/11923uPwbBZFjjGgGUA6NLw09EwE0CqkOc4q9oUmW1yo/edit?usp=sharing"",""พะเยา!J22"")"),1)</f>
        <v>1</v>
      </c>
      <c r="Y22" s="81">
        <f ca="1">IFERROR(__xludf.DUMMYFUNCTION("IMPORTRANGE(""https://docs.google.com/spreadsheets/d/11923uPwbBZFjjGgGUA6NLw09EwE0CqkOc4q9oUmW1yo/edit?usp=sharing"",""พะเยา!J23"")"),30)</f>
        <v>30</v>
      </c>
      <c r="Z22" s="77">
        <f ca="1">IFERROR(__xludf.DUMMYFUNCTION("IMPORTRANGE(""https://docs.google.com/spreadsheets/d/1C3CXT74ZlgGe6_JY_1olB1XN4rF0dxEuIIF-xsYjHgg/edit?usp=sharing"",""พรบ!J26"")"),0)</f>
        <v>0</v>
      </c>
      <c r="AA22" s="77">
        <f ca="1">IFERROR(__xludf.DUMMYFUNCTION("IMPORTRANGE(""https://docs.google.com/spreadsheets/d/1C3CXT74ZlgGe6_JY_1olB1XN4rF0dxEuIIF-xsYjHgg/edit?usp=sharing"",""พรบ!K26"")"),0)</f>
        <v>0</v>
      </c>
      <c r="AB22" s="81">
        <f ca="1">IFERROR(__xludf.DUMMYFUNCTION("IMPORTRANGE(""https://docs.google.com/spreadsheets/d/11923uPwbBZFjjGgGUA6NLw09EwE0CqkOc4q9oUmW1yo/edit?usp=sharing"",""พะเยา!J24"")"),0)</f>
        <v>0</v>
      </c>
      <c r="AC22" s="81">
        <f ca="1">IFERROR(__xludf.DUMMYFUNCTION("IMPORTRANGE(""https://docs.google.com/spreadsheets/d/11923uPwbBZFjjGgGUA6NLw09EwE0CqkOc4q9oUmW1yo/edit?usp=sharing"",""พะเยา!J25"")"),0)</f>
        <v>0</v>
      </c>
      <c r="AD22" s="77">
        <f ca="1">IFERROR(__xludf.DUMMYFUNCTION("IMPORTRANGE(""https://docs.google.com/spreadsheets/d/1C3CXT74ZlgGe6_JY_1olB1XN4rF0dxEuIIF-xsYjHgg/edit?usp=sharing"",""พรบ!L26"")"),0)</f>
        <v>0</v>
      </c>
      <c r="AE22" s="77">
        <f ca="1">IFERROR(__xludf.DUMMYFUNCTION("IMPORTRANGE(""https://docs.google.com/spreadsheets/d/1C3CXT74ZlgGe6_JY_1olB1XN4rF0dxEuIIF-xsYjHgg/edit?usp=sharing"",""พรบ!M26"")"),0)</f>
        <v>0</v>
      </c>
      <c r="AF22" s="81">
        <f ca="1">IFERROR(__xludf.DUMMYFUNCTION("IMPORTRANGE(""https://docs.google.com/spreadsheets/d/11923uPwbBZFjjGgGUA6NLw09EwE0CqkOc4q9oUmW1yo/edit?usp=sharing"",""พะเยา!J26"")"),0)</f>
        <v>0</v>
      </c>
      <c r="AG22" s="81">
        <f ca="1">IFERROR(__xludf.DUMMYFUNCTION("IMPORTRANGE(""https://docs.google.com/spreadsheets/d/11923uPwbBZFjjGgGUA6NLw09EwE0CqkOc4q9oUmW1yo/edit?usp=sharing"",""พะเยา!J27"")"),0)</f>
        <v>0</v>
      </c>
      <c r="AH22" s="77">
        <f ca="1">IFERROR(__xludf.DUMMYFUNCTION("IMPORTRANGE(""https://docs.google.com/spreadsheets/d/1C3CXT74ZlgGe6_JY_1olB1XN4rF0dxEuIIF-xsYjHgg/edit?usp=sharing"",""พรบ!N26"")"),30)</f>
        <v>30</v>
      </c>
      <c r="AI22" s="81">
        <f ca="1">IFERROR(__xludf.DUMMYFUNCTION("IMPORTRANGE(""https://docs.google.com/spreadsheets/d/11923uPwbBZFjjGgGUA6NLw09EwE0CqkOc4q9oUmW1yo/edit?usp=sharing"",""พะเยา!J28"")"),0)</f>
        <v>0</v>
      </c>
      <c r="AJ22" s="79">
        <f t="shared" ca="1" si="17"/>
        <v>0</v>
      </c>
    </row>
    <row r="23" spans="1:36" ht="24" customHeight="1">
      <c r="A23" s="73">
        <v>8</v>
      </c>
      <c r="B23" s="74" t="s">
        <v>47</v>
      </c>
      <c r="C23" s="75">
        <f t="shared" ca="1" si="0"/>
        <v>0</v>
      </c>
      <c r="D23" s="76">
        <f t="shared" ca="1" si="35"/>
        <v>0</v>
      </c>
      <c r="E23" s="77">
        <f ca="1">IFERROR(__xludf.DUMMYFUNCTION("IMPORTRANGE(""https://docs.google.com/spreadsheets/d/1C3CXT74ZlgGe6_JY_1olB1XN4rF0dxEuIIF-xsYjHgg/edit?usp=sharing"",""พรบ!D27"")"),0)</f>
        <v>0</v>
      </c>
      <c r="F23" s="77">
        <f ca="1">IFERROR(__xludf.DUMMYFUNCTION("IMPORTRANGE(""https://docs.google.com/spreadsheets/d/1C3CXT74ZlgGe6_JY_1olB1XN4rF0dxEuIIF-xsYjHgg/edit?usp=sharing"",""พรบ!E27"")"),0)</f>
        <v>0</v>
      </c>
      <c r="G23" s="77">
        <f ca="1">IFERROR(__xludf.DUMMYFUNCTION("IMPORTRANGE(""https://docs.google.com/spreadsheets/d/1Yj_ptqi66GCucihVvJfMjLAmec39IyEx_6qawtMGysU/edit?usp=sharing"",""สบก!AG27"")"),0)</f>
        <v>0</v>
      </c>
      <c r="H23" s="77">
        <f ca="1">IFERROR(__xludf.DUMMYFUNCTION("IMPORTRANGE(""https://docs.google.com/spreadsheets/d/1Yj_ptqi66GCucihVvJfMjLAmec39IyEx_6qawtMGysU/edit?usp=sharing"",""สบก!AI27"")"),0)</f>
        <v>0</v>
      </c>
      <c r="I23" s="77">
        <f t="shared" ca="1" si="3"/>
        <v>0</v>
      </c>
      <c r="J23" s="78">
        <f t="shared" ca="1" si="4"/>
        <v>0</v>
      </c>
      <c r="K23" s="77">
        <f ca="1">IFERROR(__xludf.DUMMYFUNCTION("IMPORTRANGE(""https://docs.google.com/spreadsheets/d/1Yj_ptqi66GCucihVvJfMjLAmec39IyEx_6qawtMGysU/edit?usp=sharing"",""สบก!AJ27"")"),0)</f>
        <v>0</v>
      </c>
      <c r="L23" s="79">
        <f t="shared" ca="1" si="5"/>
        <v>0</v>
      </c>
      <c r="M23" s="79">
        <f t="shared" ca="1" si="6"/>
        <v>0</v>
      </c>
      <c r="N23" s="80">
        <f ca="1">IFERROR(__xludf.DUMMYFUNCTION("IMPORTRANGE(""https://docs.google.com/spreadsheets/d/1Yj_ptqi66GCucihVvJfMjLAmec39IyEx_6qawtMGysU/edit?usp=sharing"",""สบก!AK27"")"),0)</f>
        <v>0</v>
      </c>
      <c r="O23" s="79">
        <f t="shared" ca="1" si="7"/>
        <v>0</v>
      </c>
      <c r="P23" s="81">
        <f t="shared" ca="1" si="33"/>
        <v>0</v>
      </c>
      <c r="Q23" s="81">
        <f t="shared" ca="1" si="8"/>
        <v>0</v>
      </c>
      <c r="R23" s="81">
        <f t="shared" ca="1" si="36"/>
        <v>0</v>
      </c>
      <c r="S23" s="82">
        <f t="shared" ca="1" si="9"/>
        <v>0</v>
      </c>
      <c r="T23" s="81">
        <f t="shared" ca="1" si="37"/>
        <v>0</v>
      </c>
      <c r="U23" s="82">
        <f t="shared" ca="1" si="10"/>
        <v>0</v>
      </c>
      <c r="V23" s="77">
        <f ca="1">IFERROR(__xludf.DUMMYFUNCTION("IMPORTRANGE(""https://docs.google.com/spreadsheets/d/1C3CXT74ZlgGe6_JY_1olB1XN4rF0dxEuIIF-xsYjHgg/edit?usp=sharing"",""พรบ!H27"")"),0)</f>
        <v>0</v>
      </c>
      <c r="W23" s="77">
        <f ca="1">IFERROR(__xludf.DUMMYFUNCTION("IMPORTRANGE(""https://docs.google.com/spreadsheets/d/1C3CXT74ZlgGe6_JY_1olB1XN4rF0dxEuIIF-xsYjHgg/edit?usp=sharing"",""พรบ!I27"")"),0)</f>
        <v>0</v>
      </c>
      <c r="X23" s="81">
        <f ca="1">IFERROR(__xludf.DUMMYFUNCTION("IMPORTRANGE(""https://docs.google.com/spreadsheets/d/11923uPwbBZFjjGgGUA6NLw09EwE0CqkOc4q9oUmW1yo/edit?usp=sharing"",""พิจิตร!J22"")"),0)</f>
        <v>0</v>
      </c>
      <c r="Y23" s="81">
        <f ca="1">IFERROR(__xludf.DUMMYFUNCTION("IMPORTRANGE(""https://docs.google.com/spreadsheets/d/11923uPwbBZFjjGgGUA6NLw09EwE0CqkOc4q9oUmW1yo/edit?usp=sharing"",""พิจิตร!J23"")"),0)</f>
        <v>0</v>
      </c>
      <c r="Z23" s="77">
        <f ca="1">IFERROR(__xludf.DUMMYFUNCTION("IMPORTRANGE(""https://docs.google.com/spreadsheets/d/1C3CXT74ZlgGe6_JY_1olB1XN4rF0dxEuIIF-xsYjHgg/edit?usp=sharing"",""พรบ!J27"")"),0)</f>
        <v>0</v>
      </c>
      <c r="AA23" s="77">
        <f ca="1">IFERROR(__xludf.DUMMYFUNCTION("IMPORTRANGE(""https://docs.google.com/spreadsheets/d/1C3CXT74ZlgGe6_JY_1olB1XN4rF0dxEuIIF-xsYjHgg/edit?usp=sharing"",""พรบ!K27"")"),0)</f>
        <v>0</v>
      </c>
      <c r="AB23" s="81">
        <f ca="1">IFERROR(__xludf.DUMMYFUNCTION("IMPORTRANGE(""https://docs.google.com/spreadsheets/d/11923uPwbBZFjjGgGUA6NLw09EwE0CqkOc4q9oUmW1yo/edit?usp=sharing"",""พิจิตร!J24"")"),0)</f>
        <v>0</v>
      </c>
      <c r="AC23" s="81">
        <f ca="1">IFERROR(__xludf.DUMMYFUNCTION("IMPORTRANGE(""https://docs.google.com/spreadsheets/d/11923uPwbBZFjjGgGUA6NLw09EwE0CqkOc4q9oUmW1yo/edit?usp=sharing"",""พิจิตร!J25"")"),0)</f>
        <v>0</v>
      </c>
      <c r="AD23" s="77">
        <f ca="1">IFERROR(__xludf.DUMMYFUNCTION("IMPORTRANGE(""https://docs.google.com/spreadsheets/d/1C3CXT74ZlgGe6_JY_1olB1XN4rF0dxEuIIF-xsYjHgg/edit?usp=sharing"",""พรบ!L27"")"),0)</f>
        <v>0</v>
      </c>
      <c r="AE23" s="77">
        <f ca="1">IFERROR(__xludf.DUMMYFUNCTION("IMPORTRANGE(""https://docs.google.com/spreadsheets/d/1C3CXT74ZlgGe6_JY_1olB1XN4rF0dxEuIIF-xsYjHgg/edit?usp=sharing"",""พรบ!M27"")"),0)</f>
        <v>0</v>
      </c>
      <c r="AF23" s="81">
        <f ca="1">IFERROR(__xludf.DUMMYFUNCTION("IMPORTRANGE(""https://docs.google.com/spreadsheets/d/11923uPwbBZFjjGgGUA6NLw09EwE0CqkOc4q9oUmW1yo/edit?usp=sharing"",""พิจิตร!J26"")"),0)</f>
        <v>0</v>
      </c>
      <c r="AG23" s="81">
        <f ca="1">IFERROR(__xludf.DUMMYFUNCTION("IMPORTRANGE(""https://docs.google.com/spreadsheets/d/11923uPwbBZFjjGgGUA6NLw09EwE0CqkOc4q9oUmW1yo/edit?usp=sharing"",""พิจิตร!J27"")"),0)</f>
        <v>0</v>
      </c>
      <c r="AH23" s="77">
        <f ca="1">IFERROR(__xludf.DUMMYFUNCTION("IMPORTRANGE(""https://docs.google.com/spreadsheets/d/1C3CXT74ZlgGe6_JY_1olB1XN4rF0dxEuIIF-xsYjHgg/edit?usp=sharing"",""พรบ!N27"")"),0)</f>
        <v>0</v>
      </c>
      <c r="AI23" s="81">
        <f ca="1">IFERROR(__xludf.DUMMYFUNCTION("IMPORTRANGE(""https://docs.google.com/spreadsheets/d/11923uPwbBZFjjGgGUA6NLw09EwE0CqkOc4q9oUmW1yo/edit?usp=sharing"",""พิจิตร!J28"")"),0)</f>
        <v>0</v>
      </c>
      <c r="AJ23" s="79">
        <f t="shared" ca="1" si="17"/>
        <v>0</v>
      </c>
    </row>
    <row r="24" spans="1:36" ht="24" customHeight="1">
      <c r="A24" s="73">
        <v>9</v>
      </c>
      <c r="B24" s="74" t="s">
        <v>48</v>
      </c>
      <c r="C24" s="75">
        <f t="shared" ca="1" si="0"/>
        <v>1706600</v>
      </c>
      <c r="D24" s="76">
        <f t="shared" ca="1" si="35"/>
        <v>1646600</v>
      </c>
      <c r="E24" s="77">
        <f ca="1">IFERROR(__xludf.DUMMYFUNCTION("IMPORTRANGE(""https://docs.google.com/spreadsheets/d/1C3CXT74ZlgGe6_JY_1olB1XN4rF0dxEuIIF-xsYjHgg/edit?usp=sharing"",""พรบ!D28"")"),192000)</f>
        <v>192000</v>
      </c>
      <c r="F24" s="77">
        <f ca="1">IFERROR(__xludf.DUMMYFUNCTION("IMPORTRANGE(""https://docs.google.com/spreadsheets/d/1C3CXT74ZlgGe6_JY_1olB1XN4rF0dxEuIIF-xsYjHgg/edit?usp=sharing"",""พรบ!E28"")"),1454600)</f>
        <v>1454600</v>
      </c>
      <c r="G24" s="77">
        <f ca="1">IFERROR(__xludf.DUMMYFUNCTION("IMPORTRANGE(""https://docs.google.com/spreadsheets/d/1Yj_ptqi66GCucihVvJfMjLAmec39IyEx_6qawtMGysU/edit?usp=sharing"",""สบก!AG28"")"),60000)</f>
        <v>60000</v>
      </c>
      <c r="H24" s="77">
        <f ca="1">IFERROR(__xludf.DUMMYFUNCTION("IMPORTRANGE(""https://docs.google.com/spreadsheets/d/1Yj_ptqi66GCucihVvJfMjLAmec39IyEx_6qawtMGysU/edit?usp=sharing"",""สบก!AI28"")"),1463980)</f>
        <v>1463980</v>
      </c>
      <c r="I24" s="77">
        <f t="shared" ca="1" si="3"/>
        <v>676327.28</v>
      </c>
      <c r="J24" s="78">
        <f t="shared" ca="1" si="4"/>
        <v>39.630099613266147</v>
      </c>
      <c r="K24" s="77">
        <f ca="1">IFERROR(__xludf.DUMMYFUNCTION("IMPORTRANGE(""https://docs.google.com/spreadsheets/d/1Yj_ptqi66GCucihVvJfMjLAmec39IyEx_6qawtMGysU/edit?usp=sharing"",""สบก!AJ28"")"),616327.28)</f>
        <v>616327.28</v>
      </c>
      <c r="L24" s="79">
        <f t="shared" ca="1" si="5"/>
        <v>37.430297582898092</v>
      </c>
      <c r="M24" s="79">
        <f t="shared" ca="1" si="6"/>
        <v>42.099433052364105</v>
      </c>
      <c r="N24" s="80">
        <f ca="1">IFERROR(__xludf.DUMMYFUNCTION("IMPORTRANGE(""https://docs.google.com/spreadsheets/d/1Yj_ptqi66GCucihVvJfMjLAmec39IyEx_6qawtMGysU/edit?usp=sharing"",""สบก!AK28"")"),60000)</f>
        <v>60000</v>
      </c>
      <c r="O24" s="79">
        <f t="shared" ca="1" si="7"/>
        <v>100</v>
      </c>
      <c r="P24" s="81">
        <f t="shared" ca="1" si="33"/>
        <v>3</v>
      </c>
      <c r="Q24" s="81">
        <f t="shared" ca="1" si="8"/>
        <v>188</v>
      </c>
      <c r="R24" s="81">
        <f t="shared" ca="1" si="36"/>
        <v>3</v>
      </c>
      <c r="S24" s="82">
        <f t="shared" ca="1" si="9"/>
        <v>100</v>
      </c>
      <c r="T24" s="81">
        <f t="shared" ca="1" si="37"/>
        <v>188</v>
      </c>
      <c r="U24" s="82">
        <f t="shared" ca="1" si="10"/>
        <v>100</v>
      </c>
      <c r="V24" s="77">
        <f ca="1">IFERROR(__xludf.DUMMYFUNCTION("IMPORTRANGE(""https://docs.google.com/spreadsheets/d/1C3CXT74ZlgGe6_JY_1olB1XN4rF0dxEuIIF-xsYjHgg/edit?usp=sharing"",""พรบ!H28"")"),0)</f>
        <v>0</v>
      </c>
      <c r="W24" s="77">
        <f ca="1">IFERROR(__xludf.DUMMYFUNCTION("IMPORTRANGE(""https://docs.google.com/spreadsheets/d/1C3CXT74ZlgGe6_JY_1olB1XN4rF0dxEuIIF-xsYjHgg/edit?usp=sharing"",""พรบ!I28"")"),0)</f>
        <v>0</v>
      </c>
      <c r="X24" s="81">
        <f ca="1">IFERROR(__xludf.DUMMYFUNCTION("IMPORTRANGE(""https://docs.google.com/spreadsheets/d/11923uPwbBZFjjGgGUA6NLw09EwE0CqkOc4q9oUmW1yo/edit?usp=sharing"",""พิษณุโลก!J22"")"),0)</f>
        <v>0</v>
      </c>
      <c r="Y24" s="81">
        <f ca="1">IFERROR(__xludf.DUMMYFUNCTION("IMPORTRANGE(""https://docs.google.com/spreadsheets/d/11923uPwbBZFjjGgGUA6NLw09EwE0CqkOc4q9oUmW1yo/edit?usp=sharing"",""พิษณุโลก!J23"")"),0)</f>
        <v>0</v>
      </c>
      <c r="Z24" s="77">
        <f ca="1">IFERROR(__xludf.DUMMYFUNCTION("IMPORTRANGE(""https://docs.google.com/spreadsheets/d/1C3CXT74ZlgGe6_JY_1olB1XN4rF0dxEuIIF-xsYjHgg/edit?usp=sharing"",""พรบ!J28"")"),0)</f>
        <v>0</v>
      </c>
      <c r="AA24" s="77">
        <f ca="1">IFERROR(__xludf.DUMMYFUNCTION("IMPORTRANGE(""https://docs.google.com/spreadsheets/d/1C3CXT74ZlgGe6_JY_1olB1XN4rF0dxEuIIF-xsYjHgg/edit?usp=sharing"",""พรบ!K28"")"),0)</f>
        <v>0</v>
      </c>
      <c r="AB24" s="81">
        <f ca="1">IFERROR(__xludf.DUMMYFUNCTION("IMPORTRANGE(""https://docs.google.com/spreadsheets/d/11923uPwbBZFjjGgGUA6NLw09EwE0CqkOc4q9oUmW1yo/edit?usp=sharing"",""พิษณุโลก!J24"")"),0)</f>
        <v>0</v>
      </c>
      <c r="AC24" s="81">
        <f ca="1">IFERROR(__xludf.DUMMYFUNCTION("IMPORTRANGE(""https://docs.google.com/spreadsheets/d/11923uPwbBZFjjGgGUA6NLw09EwE0CqkOc4q9oUmW1yo/edit?usp=sharing"",""พิษณุโลก!J25"")"),0)</f>
        <v>0</v>
      </c>
      <c r="AD24" s="77">
        <f ca="1">IFERROR(__xludf.DUMMYFUNCTION("IMPORTRANGE(""https://docs.google.com/spreadsheets/d/1C3CXT74ZlgGe6_JY_1olB1XN4rF0dxEuIIF-xsYjHgg/edit?usp=sharing"",""พรบ!L28"")"),3)</f>
        <v>3</v>
      </c>
      <c r="AE24" s="77">
        <f ca="1">IFERROR(__xludf.DUMMYFUNCTION("IMPORTRANGE(""https://docs.google.com/spreadsheets/d/1C3CXT74ZlgGe6_JY_1olB1XN4rF0dxEuIIF-xsYjHgg/edit?usp=sharing"",""พรบ!M28"")"),188)</f>
        <v>188</v>
      </c>
      <c r="AF24" s="81">
        <f ca="1">IFERROR(__xludf.DUMMYFUNCTION("IMPORTRANGE(""https://docs.google.com/spreadsheets/d/11923uPwbBZFjjGgGUA6NLw09EwE0CqkOc4q9oUmW1yo/edit?usp=sharing"",""พิษณุโลก!J26"")"),3)</f>
        <v>3</v>
      </c>
      <c r="AG24" s="81">
        <f ca="1">IFERROR(__xludf.DUMMYFUNCTION("IMPORTRANGE(""https://docs.google.com/spreadsheets/d/11923uPwbBZFjjGgGUA6NLw09EwE0CqkOc4q9oUmW1yo/edit?usp=sharing"",""พิษณุโลก!J27"")"),188)</f>
        <v>188</v>
      </c>
      <c r="AH24" s="77">
        <f ca="1">IFERROR(__xludf.DUMMYFUNCTION("IMPORTRANGE(""https://docs.google.com/spreadsheets/d/1C3CXT74ZlgGe6_JY_1olB1XN4rF0dxEuIIF-xsYjHgg/edit?usp=sharing"",""พรบ!N28"")"),0)</f>
        <v>0</v>
      </c>
      <c r="AI24" s="81">
        <f ca="1">IFERROR(__xludf.DUMMYFUNCTION("IMPORTRANGE(""https://docs.google.com/spreadsheets/d/11923uPwbBZFjjGgGUA6NLw09EwE0CqkOc4q9oUmW1yo/edit?usp=sharing"",""พิษณุโลก!J28"")"),0)</f>
        <v>0</v>
      </c>
      <c r="AJ24" s="79">
        <f t="shared" ca="1" si="17"/>
        <v>0</v>
      </c>
    </row>
    <row r="25" spans="1:36" ht="24" customHeight="1">
      <c r="A25" s="73">
        <v>10</v>
      </c>
      <c r="B25" s="74" t="s">
        <v>49</v>
      </c>
      <c r="C25" s="75">
        <f t="shared" ca="1" si="0"/>
        <v>577500</v>
      </c>
      <c r="D25" s="76">
        <f t="shared" ca="1" si="35"/>
        <v>577500</v>
      </c>
      <c r="E25" s="77">
        <f ca="1">IFERROR(__xludf.DUMMYFUNCTION("IMPORTRANGE(""https://docs.google.com/spreadsheets/d/1C3CXT74ZlgGe6_JY_1olB1XN4rF0dxEuIIF-xsYjHgg/edit?usp=sharing"",""พรบ!D29"")"),179500)</f>
        <v>179500</v>
      </c>
      <c r="F25" s="77">
        <f ca="1">IFERROR(__xludf.DUMMYFUNCTION("IMPORTRANGE(""https://docs.google.com/spreadsheets/d/1C3CXT74ZlgGe6_JY_1olB1XN4rF0dxEuIIF-xsYjHgg/edit?usp=sharing"",""พรบ!E29"")"),398000)</f>
        <v>398000</v>
      </c>
      <c r="G25" s="77">
        <f ca="1">IFERROR(__xludf.DUMMYFUNCTION("IMPORTRANGE(""https://docs.google.com/spreadsheets/d/1Yj_ptqi66GCucihVvJfMjLAmec39IyEx_6qawtMGysU/edit?usp=sharing"",""สบก!AG29"")"),0)</f>
        <v>0</v>
      </c>
      <c r="H25" s="77">
        <f ca="1">IFERROR(__xludf.DUMMYFUNCTION("IMPORTRANGE(""https://docs.google.com/spreadsheets/d/1Yj_ptqi66GCucihVvJfMjLAmec39IyEx_6qawtMGysU/edit?usp=sharing"",""สบก!AI29"")"),470320)</f>
        <v>470320</v>
      </c>
      <c r="I25" s="77">
        <f t="shared" ca="1" si="3"/>
        <v>279842.77</v>
      </c>
      <c r="J25" s="78">
        <f t="shared" ca="1" si="4"/>
        <v>48.45762251082251</v>
      </c>
      <c r="K25" s="77">
        <f ca="1">IFERROR(__xludf.DUMMYFUNCTION("IMPORTRANGE(""https://docs.google.com/spreadsheets/d/1Yj_ptqi66GCucihVvJfMjLAmec39IyEx_6qawtMGysU/edit?usp=sharing"",""สบก!AJ29"")"),279842.77)</f>
        <v>279842.77</v>
      </c>
      <c r="L25" s="79">
        <f t="shared" ca="1" si="5"/>
        <v>48.45762251082251</v>
      </c>
      <c r="M25" s="79">
        <f t="shared" ca="1" si="6"/>
        <v>59.500503912229973</v>
      </c>
      <c r="N25" s="80">
        <f ca="1">IFERROR(__xludf.DUMMYFUNCTION("IMPORTRANGE(""https://docs.google.com/spreadsheets/d/1Yj_ptqi66GCucihVvJfMjLAmec39IyEx_6qawtMGysU/edit?usp=sharing"",""สบก!AK29"")"),0)</f>
        <v>0</v>
      </c>
      <c r="O25" s="79">
        <f t="shared" ca="1" si="7"/>
        <v>0</v>
      </c>
      <c r="P25" s="81">
        <f t="shared" ca="1" si="33"/>
        <v>1</v>
      </c>
      <c r="Q25" s="81">
        <f t="shared" ca="1" si="8"/>
        <v>35</v>
      </c>
      <c r="R25" s="81">
        <f t="shared" ca="1" si="36"/>
        <v>1</v>
      </c>
      <c r="S25" s="82">
        <f t="shared" ca="1" si="9"/>
        <v>100</v>
      </c>
      <c r="T25" s="81">
        <f t="shared" ca="1" si="37"/>
        <v>35</v>
      </c>
      <c r="U25" s="82">
        <f t="shared" ca="1" si="10"/>
        <v>100</v>
      </c>
      <c r="V25" s="77">
        <f ca="1">IFERROR(__xludf.DUMMYFUNCTION("IMPORTRANGE(""https://docs.google.com/spreadsheets/d/1C3CXT74ZlgGe6_JY_1olB1XN4rF0dxEuIIF-xsYjHgg/edit?usp=sharing"",""พรบ!H29"")"),0)</f>
        <v>0</v>
      </c>
      <c r="W25" s="77">
        <f ca="1">IFERROR(__xludf.DUMMYFUNCTION("IMPORTRANGE(""https://docs.google.com/spreadsheets/d/1C3CXT74ZlgGe6_JY_1olB1XN4rF0dxEuIIF-xsYjHgg/edit?usp=sharing"",""พรบ!I29"")"),0)</f>
        <v>0</v>
      </c>
      <c r="X25" s="81">
        <f ca="1">IFERROR(__xludf.DUMMYFUNCTION("IMPORTRANGE(""https://docs.google.com/spreadsheets/d/11923uPwbBZFjjGgGUA6NLw09EwE0CqkOc4q9oUmW1yo/edit?usp=sharing"",""เพชรบูรณ์!J22"")"),0)</f>
        <v>0</v>
      </c>
      <c r="Y25" s="81">
        <f ca="1">IFERROR(__xludf.DUMMYFUNCTION("IMPORTRANGE(""https://docs.google.com/spreadsheets/d/11923uPwbBZFjjGgGUA6NLw09EwE0CqkOc4q9oUmW1yo/edit?usp=sharing"",""เพชรบูรณ์!J23"")"),0)</f>
        <v>0</v>
      </c>
      <c r="Z25" s="77">
        <f ca="1">IFERROR(__xludf.DUMMYFUNCTION("IMPORTRANGE(""https://docs.google.com/spreadsheets/d/1C3CXT74ZlgGe6_JY_1olB1XN4rF0dxEuIIF-xsYjHgg/edit?usp=sharing"",""พรบ!J29"")"),1)</f>
        <v>1</v>
      </c>
      <c r="AA25" s="77">
        <f ca="1">IFERROR(__xludf.DUMMYFUNCTION("IMPORTRANGE(""https://docs.google.com/spreadsheets/d/1C3CXT74ZlgGe6_JY_1olB1XN4rF0dxEuIIF-xsYjHgg/edit?usp=sharing"",""พรบ!K29"")"),35)</f>
        <v>35</v>
      </c>
      <c r="AB25" s="81">
        <f ca="1">IFERROR(__xludf.DUMMYFUNCTION("IMPORTRANGE(""https://docs.google.com/spreadsheets/d/11923uPwbBZFjjGgGUA6NLw09EwE0CqkOc4q9oUmW1yo/edit?usp=sharing"",""เพชรบูรณ์!J24"")"),1)</f>
        <v>1</v>
      </c>
      <c r="AC25" s="81">
        <f ca="1">IFERROR(__xludf.DUMMYFUNCTION("IMPORTRANGE(""https://docs.google.com/spreadsheets/d/11923uPwbBZFjjGgGUA6NLw09EwE0CqkOc4q9oUmW1yo/edit?usp=sharing"",""เพชรบูรณ์!J25"")"),35)</f>
        <v>35</v>
      </c>
      <c r="AD25" s="77">
        <f ca="1">IFERROR(__xludf.DUMMYFUNCTION("IMPORTRANGE(""https://docs.google.com/spreadsheets/d/1C3CXT74ZlgGe6_JY_1olB1XN4rF0dxEuIIF-xsYjHgg/edit?usp=sharing"",""พรบ!L29"")"),0)</f>
        <v>0</v>
      </c>
      <c r="AE25" s="77">
        <f ca="1">IFERROR(__xludf.DUMMYFUNCTION("IMPORTRANGE(""https://docs.google.com/spreadsheets/d/1C3CXT74ZlgGe6_JY_1olB1XN4rF0dxEuIIF-xsYjHgg/edit?usp=sharing"",""พรบ!M29"")"),0)</f>
        <v>0</v>
      </c>
      <c r="AF25" s="81">
        <f ca="1">IFERROR(__xludf.DUMMYFUNCTION("IMPORTRANGE(""https://docs.google.com/spreadsheets/d/11923uPwbBZFjjGgGUA6NLw09EwE0CqkOc4q9oUmW1yo/edit?usp=sharing"",""เพชรบูรณ์!J26"")"),0)</f>
        <v>0</v>
      </c>
      <c r="AG25" s="81">
        <f ca="1">IFERROR(__xludf.DUMMYFUNCTION("IMPORTRANGE(""https://docs.google.com/spreadsheets/d/11923uPwbBZFjjGgGUA6NLw09EwE0CqkOc4q9oUmW1yo/edit?usp=sharing"",""เพชรบูรณ์!J27"")"),0)</f>
        <v>0</v>
      </c>
      <c r="AH25" s="77">
        <f ca="1">IFERROR(__xludf.DUMMYFUNCTION("IMPORTRANGE(""https://docs.google.com/spreadsheets/d/1C3CXT74ZlgGe6_JY_1olB1XN4rF0dxEuIIF-xsYjHgg/edit?usp=sharing"",""พรบ!N29"")"),0)</f>
        <v>0</v>
      </c>
      <c r="AI25" s="81">
        <f ca="1">IFERROR(__xludf.DUMMYFUNCTION("IMPORTRANGE(""https://docs.google.com/spreadsheets/d/11923uPwbBZFjjGgGUA6NLw09EwE0CqkOc4q9oUmW1yo/edit?usp=sharing"",""เพชรบูรณ์!J28"")"),0)</f>
        <v>0</v>
      </c>
      <c r="AJ25" s="79">
        <f t="shared" ca="1" si="17"/>
        <v>0</v>
      </c>
    </row>
    <row r="26" spans="1:36" ht="24" customHeight="1">
      <c r="A26" s="73">
        <v>11</v>
      </c>
      <c r="B26" s="74" t="s">
        <v>50</v>
      </c>
      <c r="C26" s="75">
        <f t="shared" ca="1" si="0"/>
        <v>3131000</v>
      </c>
      <c r="D26" s="76">
        <f t="shared" ca="1" si="35"/>
        <v>0</v>
      </c>
      <c r="E26" s="77">
        <f ca="1">IFERROR(__xludf.DUMMYFUNCTION("IMPORTRANGE(""https://docs.google.com/spreadsheets/d/1C3CXT74ZlgGe6_JY_1olB1XN4rF0dxEuIIF-xsYjHgg/edit?usp=sharing"",""พรบ!D30"")"),0)</f>
        <v>0</v>
      </c>
      <c r="F26" s="77">
        <f ca="1">IFERROR(__xludf.DUMMYFUNCTION("IMPORTRANGE(""https://docs.google.com/spreadsheets/d/1C3CXT74ZlgGe6_JY_1olB1XN4rF0dxEuIIF-xsYjHgg/edit?usp=sharing"",""พรบ!E30"")"),0)</f>
        <v>0</v>
      </c>
      <c r="G26" s="77">
        <f ca="1">IFERROR(__xludf.DUMMYFUNCTION("IMPORTRANGE(""https://docs.google.com/spreadsheets/d/1Yj_ptqi66GCucihVvJfMjLAmec39IyEx_6qawtMGysU/edit?usp=sharing"",""สบก!AG30"")"),3131000)</f>
        <v>3131000</v>
      </c>
      <c r="H26" s="77">
        <f ca="1">IFERROR(__xludf.DUMMYFUNCTION("IMPORTRANGE(""https://docs.google.com/spreadsheets/d/1Yj_ptqi66GCucihVvJfMjLAmec39IyEx_6qawtMGysU/edit?usp=sharing"",""สบก!AI30"")"),0)</f>
        <v>0</v>
      </c>
      <c r="I26" s="77">
        <f t="shared" ca="1" si="3"/>
        <v>3015874.24</v>
      </c>
      <c r="J26" s="78">
        <f t="shared" ca="1" si="4"/>
        <v>96.323035451932284</v>
      </c>
      <c r="K26" s="77">
        <f ca="1">IFERROR(__xludf.DUMMYFUNCTION("IMPORTRANGE(""https://docs.google.com/spreadsheets/d/1Yj_ptqi66GCucihVvJfMjLAmec39IyEx_6qawtMGysU/edit?usp=sharing"",""สบก!AJ30"")"),0)</f>
        <v>0</v>
      </c>
      <c r="L26" s="79">
        <f t="shared" ca="1" si="5"/>
        <v>0</v>
      </c>
      <c r="M26" s="79">
        <f t="shared" ca="1" si="6"/>
        <v>0</v>
      </c>
      <c r="N26" s="80">
        <f ca="1">IFERROR(__xludf.DUMMYFUNCTION("IMPORTRANGE(""https://docs.google.com/spreadsheets/d/1Yj_ptqi66GCucihVvJfMjLAmec39IyEx_6qawtMGysU/edit?usp=sharing"",""สบก!AK30"")"),3015874.24)</f>
        <v>3015874.24</v>
      </c>
      <c r="O26" s="79">
        <f t="shared" ca="1" si="7"/>
        <v>96.323035451932284</v>
      </c>
      <c r="P26" s="81">
        <f t="shared" ca="1" si="33"/>
        <v>0</v>
      </c>
      <c r="Q26" s="81">
        <f t="shared" ca="1" si="8"/>
        <v>0</v>
      </c>
      <c r="R26" s="81">
        <f t="shared" ca="1" si="36"/>
        <v>0</v>
      </c>
      <c r="S26" s="82">
        <f t="shared" ca="1" si="9"/>
        <v>0</v>
      </c>
      <c r="T26" s="81">
        <f t="shared" ca="1" si="37"/>
        <v>0</v>
      </c>
      <c r="U26" s="82">
        <f t="shared" ca="1" si="10"/>
        <v>0</v>
      </c>
      <c r="V26" s="77">
        <f ca="1">IFERROR(__xludf.DUMMYFUNCTION("IMPORTRANGE(""https://docs.google.com/spreadsheets/d/1C3CXT74ZlgGe6_JY_1olB1XN4rF0dxEuIIF-xsYjHgg/edit?usp=sharing"",""พรบ!H30"")"),0)</f>
        <v>0</v>
      </c>
      <c r="W26" s="77">
        <f ca="1">IFERROR(__xludf.DUMMYFUNCTION("IMPORTRANGE(""https://docs.google.com/spreadsheets/d/1C3CXT74ZlgGe6_JY_1olB1XN4rF0dxEuIIF-xsYjHgg/edit?usp=sharing"",""พรบ!I30"")"),0)</f>
        <v>0</v>
      </c>
      <c r="X26" s="81">
        <f ca="1">IFERROR(__xludf.DUMMYFUNCTION("IMPORTRANGE(""https://docs.google.com/spreadsheets/d/11923uPwbBZFjjGgGUA6NLw09EwE0CqkOc4q9oUmW1yo/edit?usp=sharing"",""แพร่!J22"")"),0)</f>
        <v>0</v>
      </c>
      <c r="Y26" s="81">
        <f ca="1">IFERROR(__xludf.DUMMYFUNCTION("IMPORTRANGE(""https://docs.google.com/spreadsheets/d/11923uPwbBZFjjGgGUA6NLw09EwE0CqkOc4q9oUmW1yo/edit?usp=sharing"",""แพร่!J23"")"),0)</f>
        <v>0</v>
      </c>
      <c r="Z26" s="77">
        <f ca="1">IFERROR(__xludf.DUMMYFUNCTION("IMPORTRANGE(""https://docs.google.com/spreadsheets/d/1C3CXT74ZlgGe6_JY_1olB1XN4rF0dxEuIIF-xsYjHgg/edit?usp=sharing"",""พรบ!J30"")"),0)</f>
        <v>0</v>
      </c>
      <c r="AA26" s="77">
        <f ca="1">IFERROR(__xludf.DUMMYFUNCTION("IMPORTRANGE(""https://docs.google.com/spreadsheets/d/1C3CXT74ZlgGe6_JY_1olB1XN4rF0dxEuIIF-xsYjHgg/edit?usp=sharing"",""พรบ!K30"")"),0)</f>
        <v>0</v>
      </c>
      <c r="AB26" s="81">
        <f ca="1">IFERROR(__xludf.DUMMYFUNCTION("IMPORTRANGE(""https://docs.google.com/spreadsheets/d/11923uPwbBZFjjGgGUA6NLw09EwE0CqkOc4q9oUmW1yo/edit?usp=sharing"",""แพร่!J24"")"),0)</f>
        <v>0</v>
      </c>
      <c r="AC26" s="81">
        <f ca="1">IFERROR(__xludf.DUMMYFUNCTION("IMPORTRANGE(""https://docs.google.com/spreadsheets/d/11923uPwbBZFjjGgGUA6NLw09EwE0CqkOc4q9oUmW1yo/edit?usp=sharing"",""แพร่!J25"")"),0)</f>
        <v>0</v>
      </c>
      <c r="AD26" s="77">
        <f ca="1">IFERROR(__xludf.DUMMYFUNCTION("IMPORTRANGE(""https://docs.google.com/spreadsheets/d/1C3CXT74ZlgGe6_JY_1olB1XN4rF0dxEuIIF-xsYjHgg/edit?usp=sharing"",""พรบ!L30"")"),0)</f>
        <v>0</v>
      </c>
      <c r="AE26" s="77">
        <f ca="1">IFERROR(__xludf.DUMMYFUNCTION("IMPORTRANGE(""https://docs.google.com/spreadsheets/d/1C3CXT74ZlgGe6_JY_1olB1XN4rF0dxEuIIF-xsYjHgg/edit?usp=sharing"",""พรบ!M30"")"),0)</f>
        <v>0</v>
      </c>
      <c r="AF26" s="81">
        <f ca="1">IFERROR(__xludf.DUMMYFUNCTION("IMPORTRANGE(""https://docs.google.com/spreadsheets/d/11923uPwbBZFjjGgGUA6NLw09EwE0CqkOc4q9oUmW1yo/edit?usp=sharing"",""แพร่!J26"")"),0)</f>
        <v>0</v>
      </c>
      <c r="AG26" s="81">
        <f ca="1">IFERROR(__xludf.DUMMYFUNCTION("IMPORTRANGE(""https://docs.google.com/spreadsheets/d/11923uPwbBZFjjGgGUA6NLw09EwE0CqkOc4q9oUmW1yo/edit?usp=sharing"",""แพร่!J27"")"),0)</f>
        <v>0</v>
      </c>
      <c r="AH26" s="77">
        <f ca="1">IFERROR(__xludf.DUMMYFUNCTION("IMPORTRANGE(""https://docs.google.com/spreadsheets/d/1C3CXT74ZlgGe6_JY_1olB1XN4rF0dxEuIIF-xsYjHgg/edit?usp=sharing"",""พรบ!N30"")"),0)</f>
        <v>0</v>
      </c>
      <c r="AI26" s="81">
        <f ca="1">IFERROR(__xludf.DUMMYFUNCTION("IMPORTRANGE(""https://docs.google.com/spreadsheets/d/11923uPwbBZFjjGgGUA6NLw09EwE0CqkOc4q9oUmW1yo/edit?usp=sharing"",""แพร่!J28"")"),0)</f>
        <v>0</v>
      </c>
      <c r="AJ26" s="79">
        <f t="shared" ca="1" si="17"/>
        <v>0</v>
      </c>
    </row>
    <row r="27" spans="1:36" ht="24" customHeight="1">
      <c r="A27" s="73">
        <v>12</v>
      </c>
      <c r="B27" s="74" t="s">
        <v>51</v>
      </c>
      <c r="C27" s="75">
        <f t="shared" ca="1" si="0"/>
        <v>0</v>
      </c>
      <c r="D27" s="76">
        <f t="shared" ca="1" si="35"/>
        <v>0</v>
      </c>
      <c r="E27" s="77">
        <f ca="1">IFERROR(__xludf.DUMMYFUNCTION("IMPORTRANGE(""https://docs.google.com/spreadsheets/d/1C3CXT74ZlgGe6_JY_1olB1XN4rF0dxEuIIF-xsYjHgg/edit?usp=sharing"",""พรบ!D31"")"),0)</f>
        <v>0</v>
      </c>
      <c r="F27" s="77">
        <f ca="1">IFERROR(__xludf.DUMMYFUNCTION("IMPORTRANGE(""https://docs.google.com/spreadsheets/d/1C3CXT74ZlgGe6_JY_1olB1XN4rF0dxEuIIF-xsYjHgg/edit?usp=sharing"",""พรบ!E31"")"),0)</f>
        <v>0</v>
      </c>
      <c r="G27" s="77">
        <f ca="1">IFERROR(__xludf.DUMMYFUNCTION("IMPORTRANGE(""https://docs.google.com/spreadsheets/d/1Yj_ptqi66GCucihVvJfMjLAmec39IyEx_6qawtMGysU/edit?usp=sharing"",""สบก!AG31"")"),0)</f>
        <v>0</v>
      </c>
      <c r="H27" s="77">
        <f ca="1">IFERROR(__xludf.DUMMYFUNCTION("IMPORTRANGE(""https://docs.google.com/spreadsheets/d/1Yj_ptqi66GCucihVvJfMjLAmec39IyEx_6qawtMGysU/edit?usp=sharing"",""สบก!AI31"")"),0)</f>
        <v>0</v>
      </c>
      <c r="I27" s="77">
        <f t="shared" ca="1" si="3"/>
        <v>0</v>
      </c>
      <c r="J27" s="78">
        <f t="shared" ca="1" si="4"/>
        <v>0</v>
      </c>
      <c r="K27" s="77">
        <f ca="1">IFERROR(__xludf.DUMMYFUNCTION("IMPORTRANGE(""https://docs.google.com/spreadsheets/d/1Yj_ptqi66GCucihVvJfMjLAmec39IyEx_6qawtMGysU/edit?usp=sharing"",""สบก!AJ31"")"),0)</f>
        <v>0</v>
      </c>
      <c r="L27" s="79">
        <f t="shared" ca="1" si="5"/>
        <v>0</v>
      </c>
      <c r="M27" s="79">
        <f t="shared" ca="1" si="6"/>
        <v>0</v>
      </c>
      <c r="N27" s="80">
        <f ca="1">IFERROR(__xludf.DUMMYFUNCTION("IMPORTRANGE(""https://docs.google.com/spreadsheets/d/1Yj_ptqi66GCucihVvJfMjLAmec39IyEx_6qawtMGysU/edit?usp=sharing"",""สบก!AK31"")"),0)</f>
        <v>0</v>
      </c>
      <c r="O27" s="79">
        <f t="shared" ca="1" si="7"/>
        <v>0</v>
      </c>
      <c r="P27" s="81">
        <f t="shared" ca="1" si="33"/>
        <v>0</v>
      </c>
      <c r="Q27" s="81">
        <f t="shared" ca="1" si="8"/>
        <v>0</v>
      </c>
      <c r="R27" s="81">
        <f t="shared" ca="1" si="36"/>
        <v>0</v>
      </c>
      <c r="S27" s="82">
        <f t="shared" ca="1" si="9"/>
        <v>0</v>
      </c>
      <c r="T27" s="81">
        <f t="shared" ca="1" si="37"/>
        <v>0</v>
      </c>
      <c r="U27" s="82">
        <f t="shared" ca="1" si="10"/>
        <v>0</v>
      </c>
      <c r="V27" s="77">
        <f ca="1">IFERROR(__xludf.DUMMYFUNCTION("IMPORTRANGE(""https://docs.google.com/spreadsheets/d/1C3CXT74ZlgGe6_JY_1olB1XN4rF0dxEuIIF-xsYjHgg/edit?usp=sharing"",""พรบ!H31"")"),0)</f>
        <v>0</v>
      </c>
      <c r="W27" s="77">
        <f ca="1">IFERROR(__xludf.DUMMYFUNCTION("IMPORTRANGE(""https://docs.google.com/spreadsheets/d/1C3CXT74ZlgGe6_JY_1olB1XN4rF0dxEuIIF-xsYjHgg/edit?usp=sharing"",""พรบ!I31"")"),0)</f>
        <v>0</v>
      </c>
      <c r="X27" s="81">
        <f ca="1">IFERROR(__xludf.DUMMYFUNCTION("IMPORTRANGE(""https://docs.google.com/spreadsheets/d/11923uPwbBZFjjGgGUA6NLw09EwE0CqkOc4q9oUmW1yo/edit?usp=sharing"",""แม่ฮ่องสอน!J22"")"),0)</f>
        <v>0</v>
      </c>
      <c r="Y27" s="81">
        <f ca="1">IFERROR(__xludf.DUMMYFUNCTION("IMPORTRANGE(""https://docs.google.com/spreadsheets/d/11923uPwbBZFjjGgGUA6NLw09EwE0CqkOc4q9oUmW1yo/edit?usp=sharing"",""แม่ฮ่องสอน!J23"")"),0)</f>
        <v>0</v>
      </c>
      <c r="Z27" s="77">
        <f ca="1">IFERROR(__xludf.DUMMYFUNCTION("IMPORTRANGE(""https://docs.google.com/spreadsheets/d/1C3CXT74ZlgGe6_JY_1olB1XN4rF0dxEuIIF-xsYjHgg/edit?usp=sharing"",""พรบ!J31"")"),0)</f>
        <v>0</v>
      </c>
      <c r="AA27" s="77">
        <f ca="1">IFERROR(__xludf.DUMMYFUNCTION("IMPORTRANGE(""https://docs.google.com/spreadsheets/d/1C3CXT74ZlgGe6_JY_1olB1XN4rF0dxEuIIF-xsYjHgg/edit?usp=sharing"",""พรบ!K31"")"),0)</f>
        <v>0</v>
      </c>
      <c r="AB27" s="81">
        <f ca="1">IFERROR(__xludf.DUMMYFUNCTION("IMPORTRANGE(""https://docs.google.com/spreadsheets/d/11923uPwbBZFjjGgGUA6NLw09EwE0CqkOc4q9oUmW1yo/edit?usp=sharing"",""แม่ฮ่องสอน!J24"")"),0)</f>
        <v>0</v>
      </c>
      <c r="AC27" s="81">
        <f ca="1">IFERROR(__xludf.DUMMYFUNCTION("IMPORTRANGE(""https://docs.google.com/spreadsheets/d/11923uPwbBZFjjGgGUA6NLw09EwE0CqkOc4q9oUmW1yo/edit?usp=sharing"",""แม่ฮ่องสอน!J25"")"),0)</f>
        <v>0</v>
      </c>
      <c r="AD27" s="77">
        <f ca="1">IFERROR(__xludf.DUMMYFUNCTION("IMPORTRANGE(""https://docs.google.com/spreadsheets/d/1C3CXT74ZlgGe6_JY_1olB1XN4rF0dxEuIIF-xsYjHgg/edit?usp=sharing"",""พรบ!L31"")"),0)</f>
        <v>0</v>
      </c>
      <c r="AE27" s="77">
        <f ca="1">IFERROR(__xludf.DUMMYFUNCTION("IMPORTRANGE(""https://docs.google.com/spreadsheets/d/1C3CXT74ZlgGe6_JY_1olB1XN4rF0dxEuIIF-xsYjHgg/edit?usp=sharing"",""พรบ!M31"")"),0)</f>
        <v>0</v>
      </c>
      <c r="AF27" s="81">
        <f ca="1">IFERROR(__xludf.DUMMYFUNCTION("IMPORTRANGE(""https://docs.google.com/spreadsheets/d/11923uPwbBZFjjGgGUA6NLw09EwE0CqkOc4q9oUmW1yo/edit?usp=sharing"",""แม่ฮ่องสอน!J26"")"),0)</f>
        <v>0</v>
      </c>
      <c r="AG27" s="81">
        <f ca="1">IFERROR(__xludf.DUMMYFUNCTION("IMPORTRANGE(""https://docs.google.com/spreadsheets/d/11923uPwbBZFjjGgGUA6NLw09EwE0CqkOc4q9oUmW1yo/edit?usp=sharing"",""แม่ฮ่องสอน!J27"")"),0)</f>
        <v>0</v>
      </c>
      <c r="AH27" s="77">
        <f ca="1">IFERROR(__xludf.DUMMYFUNCTION("IMPORTRANGE(""https://docs.google.com/spreadsheets/d/1C3CXT74ZlgGe6_JY_1olB1XN4rF0dxEuIIF-xsYjHgg/edit?usp=sharing"",""พรบ!N31"")"),0)</f>
        <v>0</v>
      </c>
      <c r="AI27" s="81">
        <f ca="1">IFERROR(__xludf.DUMMYFUNCTION("IMPORTRANGE(""https://docs.google.com/spreadsheets/d/11923uPwbBZFjjGgGUA6NLw09EwE0CqkOc4q9oUmW1yo/edit?usp=sharing"",""แม่ฮ่องสอน!J28"")"),0)</f>
        <v>0</v>
      </c>
      <c r="AJ27" s="79">
        <f t="shared" ca="1" si="17"/>
        <v>0</v>
      </c>
    </row>
    <row r="28" spans="1:36" ht="24" customHeight="1">
      <c r="A28" s="73">
        <v>13</v>
      </c>
      <c r="B28" s="74" t="s">
        <v>52</v>
      </c>
      <c r="C28" s="75">
        <f t="shared" ca="1" si="0"/>
        <v>0</v>
      </c>
      <c r="D28" s="76">
        <f t="shared" ca="1" si="35"/>
        <v>0</v>
      </c>
      <c r="E28" s="77">
        <f ca="1">IFERROR(__xludf.DUMMYFUNCTION("IMPORTRANGE(""https://docs.google.com/spreadsheets/d/1C3CXT74ZlgGe6_JY_1olB1XN4rF0dxEuIIF-xsYjHgg/edit?usp=sharing"",""พรบ!D32"")"),0)</f>
        <v>0</v>
      </c>
      <c r="F28" s="77">
        <f ca="1">IFERROR(__xludf.DUMMYFUNCTION("IMPORTRANGE(""https://docs.google.com/spreadsheets/d/1C3CXT74ZlgGe6_JY_1olB1XN4rF0dxEuIIF-xsYjHgg/edit?usp=sharing"",""พรบ!E32"")"),0)</f>
        <v>0</v>
      </c>
      <c r="G28" s="77">
        <f ca="1">IFERROR(__xludf.DUMMYFUNCTION("IMPORTRANGE(""https://docs.google.com/spreadsheets/d/1Yj_ptqi66GCucihVvJfMjLAmec39IyEx_6qawtMGysU/edit?usp=sharing"",""สบก!AG32"")"),0)</f>
        <v>0</v>
      </c>
      <c r="H28" s="77">
        <f ca="1">IFERROR(__xludf.DUMMYFUNCTION("IMPORTRANGE(""https://docs.google.com/spreadsheets/d/1Yj_ptqi66GCucihVvJfMjLAmec39IyEx_6qawtMGysU/edit?usp=sharing"",""สบก!AI32"")"),0)</f>
        <v>0</v>
      </c>
      <c r="I28" s="77">
        <f t="shared" ca="1" si="3"/>
        <v>0</v>
      </c>
      <c r="J28" s="78">
        <f t="shared" ca="1" si="4"/>
        <v>0</v>
      </c>
      <c r="K28" s="77">
        <f ca="1">IFERROR(__xludf.DUMMYFUNCTION("IMPORTRANGE(""https://docs.google.com/spreadsheets/d/1Yj_ptqi66GCucihVvJfMjLAmec39IyEx_6qawtMGysU/edit?usp=sharing"",""สบก!AJ32"")"),0)</f>
        <v>0</v>
      </c>
      <c r="L28" s="79">
        <f t="shared" ca="1" si="5"/>
        <v>0</v>
      </c>
      <c r="M28" s="79">
        <f t="shared" ca="1" si="6"/>
        <v>0</v>
      </c>
      <c r="N28" s="80">
        <f ca="1">IFERROR(__xludf.DUMMYFUNCTION("IMPORTRANGE(""https://docs.google.com/spreadsheets/d/1Yj_ptqi66GCucihVvJfMjLAmec39IyEx_6qawtMGysU/edit?usp=sharing"",""สบก!AK32"")"),0)</f>
        <v>0</v>
      </c>
      <c r="O28" s="79">
        <f t="shared" ca="1" si="7"/>
        <v>0</v>
      </c>
      <c r="P28" s="81">
        <f t="shared" ca="1" si="33"/>
        <v>0</v>
      </c>
      <c r="Q28" s="81">
        <f t="shared" ca="1" si="8"/>
        <v>0</v>
      </c>
      <c r="R28" s="81">
        <f t="shared" ca="1" si="36"/>
        <v>0</v>
      </c>
      <c r="S28" s="82">
        <f t="shared" ca="1" si="9"/>
        <v>0</v>
      </c>
      <c r="T28" s="81">
        <f t="shared" ca="1" si="37"/>
        <v>0</v>
      </c>
      <c r="U28" s="82">
        <f t="shared" ca="1" si="10"/>
        <v>0</v>
      </c>
      <c r="V28" s="77">
        <f ca="1">IFERROR(__xludf.DUMMYFUNCTION("IMPORTRANGE(""https://docs.google.com/spreadsheets/d/1C3CXT74ZlgGe6_JY_1olB1XN4rF0dxEuIIF-xsYjHgg/edit?usp=sharing"",""พรบ!H32"")"),0)</f>
        <v>0</v>
      </c>
      <c r="W28" s="77">
        <f ca="1">IFERROR(__xludf.DUMMYFUNCTION("IMPORTRANGE(""https://docs.google.com/spreadsheets/d/1C3CXT74ZlgGe6_JY_1olB1XN4rF0dxEuIIF-xsYjHgg/edit?usp=sharing"",""พรบ!I32"")"),0)</f>
        <v>0</v>
      </c>
      <c r="X28" s="81">
        <f ca="1">IFERROR(__xludf.DUMMYFUNCTION("IMPORTRANGE(""https://docs.google.com/spreadsheets/d/11923uPwbBZFjjGgGUA6NLw09EwE0CqkOc4q9oUmW1yo/edit?usp=sharing"",""ลำปาง!J22"")"),0)</f>
        <v>0</v>
      </c>
      <c r="Y28" s="81">
        <f ca="1">IFERROR(__xludf.DUMMYFUNCTION("IMPORTRANGE(""https://docs.google.com/spreadsheets/d/11923uPwbBZFjjGgGUA6NLw09EwE0CqkOc4q9oUmW1yo/edit?usp=sharing"",""ลำปาง!J23"")"),0)</f>
        <v>0</v>
      </c>
      <c r="Z28" s="77">
        <f ca="1">IFERROR(__xludf.DUMMYFUNCTION("IMPORTRANGE(""https://docs.google.com/spreadsheets/d/1C3CXT74ZlgGe6_JY_1olB1XN4rF0dxEuIIF-xsYjHgg/edit?usp=sharing"",""พรบ!J32"")"),0)</f>
        <v>0</v>
      </c>
      <c r="AA28" s="77">
        <f ca="1">IFERROR(__xludf.DUMMYFUNCTION("IMPORTRANGE(""https://docs.google.com/spreadsheets/d/1C3CXT74ZlgGe6_JY_1olB1XN4rF0dxEuIIF-xsYjHgg/edit?usp=sharing"",""พรบ!K32"")"),0)</f>
        <v>0</v>
      </c>
      <c r="AB28" s="81">
        <f ca="1">IFERROR(__xludf.DUMMYFUNCTION("IMPORTRANGE(""https://docs.google.com/spreadsheets/d/11923uPwbBZFjjGgGUA6NLw09EwE0CqkOc4q9oUmW1yo/edit?usp=sharing"",""ลำปาง!J24"")"),0)</f>
        <v>0</v>
      </c>
      <c r="AC28" s="81">
        <f ca="1">IFERROR(__xludf.DUMMYFUNCTION("IMPORTRANGE(""https://docs.google.com/spreadsheets/d/11923uPwbBZFjjGgGUA6NLw09EwE0CqkOc4q9oUmW1yo/edit?usp=sharing"",""ลำปาง!J25"")"),0)</f>
        <v>0</v>
      </c>
      <c r="AD28" s="77">
        <f ca="1">IFERROR(__xludf.DUMMYFUNCTION("IMPORTRANGE(""https://docs.google.com/spreadsheets/d/1C3CXT74ZlgGe6_JY_1olB1XN4rF0dxEuIIF-xsYjHgg/edit?usp=sharing"",""พรบ!L32"")"),0)</f>
        <v>0</v>
      </c>
      <c r="AE28" s="77">
        <f ca="1">IFERROR(__xludf.DUMMYFUNCTION("IMPORTRANGE(""https://docs.google.com/spreadsheets/d/1C3CXT74ZlgGe6_JY_1olB1XN4rF0dxEuIIF-xsYjHgg/edit?usp=sharing"",""พรบ!M32"")"),0)</f>
        <v>0</v>
      </c>
      <c r="AF28" s="81">
        <f ca="1">IFERROR(__xludf.DUMMYFUNCTION("IMPORTRANGE(""https://docs.google.com/spreadsheets/d/11923uPwbBZFjjGgGUA6NLw09EwE0CqkOc4q9oUmW1yo/edit?usp=sharing"",""ลำปาง!J26"")"),0)</f>
        <v>0</v>
      </c>
      <c r="AG28" s="81">
        <f ca="1">IFERROR(__xludf.DUMMYFUNCTION("IMPORTRANGE(""https://docs.google.com/spreadsheets/d/11923uPwbBZFjjGgGUA6NLw09EwE0CqkOc4q9oUmW1yo/edit?usp=sharing"",""ลำปาง!J27"")"),0)</f>
        <v>0</v>
      </c>
      <c r="AH28" s="77">
        <f ca="1">IFERROR(__xludf.DUMMYFUNCTION("IMPORTRANGE(""https://docs.google.com/spreadsheets/d/1C3CXT74ZlgGe6_JY_1olB1XN4rF0dxEuIIF-xsYjHgg/edit?usp=sharing"",""พรบ!N32"")"),0)</f>
        <v>0</v>
      </c>
      <c r="AI28" s="81">
        <f ca="1">IFERROR(__xludf.DUMMYFUNCTION("IMPORTRANGE(""https://docs.google.com/spreadsheets/d/11923uPwbBZFjjGgGUA6NLw09EwE0CqkOc4q9oUmW1yo/edit?usp=sharing"",""ลำปาง!J28"")"),0)</f>
        <v>0</v>
      </c>
      <c r="AJ28" s="79">
        <f t="shared" ca="1" si="17"/>
        <v>0</v>
      </c>
    </row>
    <row r="29" spans="1:36" ht="24" customHeight="1">
      <c r="A29" s="73">
        <v>14</v>
      </c>
      <c r="B29" s="74" t="s">
        <v>53</v>
      </c>
      <c r="C29" s="75">
        <f t="shared" ca="1" si="0"/>
        <v>591400</v>
      </c>
      <c r="D29" s="76">
        <f t="shared" ca="1" si="35"/>
        <v>591400</v>
      </c>
      <c r="E29" s="77">
        <f ca="1">IFERROR(__xludf.DUMMYFUNCTION("IMPORTRANGE(""https://docs.google.com/spreadsheets/d/1C3CXT74ZlgGe6_JY_1olB1XN4rF0dxEuIIF-xsYjHgg/edit?usp=sharing"",""พรบ!D33"")"),193400)</f>
        <v>193400</v>
      </c>
      <c r="F29" s="77">
        <f ca="1">IFERROR(__xludf.DUMMYFUNCTION("IMPORTRANGE(""https://docs.google.com/spreadsheets/d/1C3CXT74ZlgGe6_JY_1olB1XN4rF0dxEuIIF-xsYjHgg/edit?usp=sharing"",""พรบ!E33"")"),398000)</f>
        <v>398000</v>
      </c>
      <c r="G29" s="77">
        <f ca="1">IFERROR(__xludf.DUMMYFUNCTION("IMPORTRANGE(""https://docs.google.com/spreadsheets/d/1Yj_ptqi66GCucihVvJfMjLAmec39IyEx_6qawtMGysU/edit?usp=sharing"",""สบก!AG33"")"),0)</f>
        <v>0</v>
      </c>
      <c r="H29" s="77">
        <f ca="1">IFERROR(__xludf.DUMMYFUNCTION("IMPORTRANGE(""https://docs.google.com/spreadsheets/d/1Yj_ptqi66GCucihVvJfMjLAmec39IyEx_6qawtMGysU/edit?usp=sharing"",""สบก!AI33"")"),480720)</f>
        <v>480720</v>
      </c>
      <c r="I29" s="77">
        <f t="shared" ca="1" si="3"/>
        <v>345094.89</v>
      </c>
      <c r="J29" s="78">
        <f t="shared" ca="1" si="4"/>
        <v>58.352196482921883</v>
      </c>
      <c r="K29" s="77">
        <f ca="1">IFERROR(__xludf.DUMMYFUNCTION("IMPORTRANGE(""https://docs.google.com/spreadsheets/d/1Yj_ptqi66GCucihVvJfMjLAmec39IyEx_6qawtMGysU/edit?usp=sharing"",""สบก!AJ33"")"),345094.89)</f>
        <v>345094.89</v>
      </c>
      <c r="L29" s="79">
        <f t="shared" ca="1" si="5"/>
        <v>58.352196482921883</v>
      </c>
      <c r="M29" s="79">
        <f t="shared" ca="1" si="6"/>
        <v>71.787088117823259</v>
      </c>
      <c r="N29" s="80">
        <f ca="1">IFERROR(__xludf.DUMMYFUNCTION("IMPORTRANGE(""https://docs.google.com/spreadsheets/d/1Yj_ptqi66GCucihVvJfMjLAmec39IyEx_6qawtMGysU/edit?usp=sharing"",""สบก!AK33"")"),0)</f>
        <v>0</v>
      </c>
      <c r="O29" s="79">
        <f t="shared" ca="1" si="7"/>
        <v>0</v>
      </c>
      <c r="P29" s="81">
        <f t="shared" ca="1" si="33"/>
        <v>1</v>
      </c>
      <c r="Q29" s="81">
        <f t="shared" ca="1" si="8"/>
        <v>35</v>
      </c>
      <c r="R29" s="81">
        <f t="shared" ca="1" si="36"/>
        <v>1</v>
      </c>
      <c r="S29" s="82">
        <f t="shared" ca="1" si="9"/>
        <v>100</v>
      </c>
      <c r="T29" s="81">
        <f t="shared" ca="1" si="37"/>
        <v>35</v>
      </c>
      <c r="U29" s="82">
        <f t="shared" ca="1" si="10"/>
        <v>100</v>
      </c>
      <c r="V29" s="77">
        <f ca="1">IFERROR(__xludf.DUMMYFUNCTION("IMPORTRANGE(""https://docs.google.com/spreadsheets/d/1C3CXT74ZlgGe6_JY_1olB1XN4rF0dxEuIIF-xsYjHgg/edit?usp=sharing"",""พรบ!H33"")"),1)</f>
        <v>1</v>
      </c>
      <c r="W29" s="77">
        <f ca="1">IFERROR(__xludf.DUMMYFUNCTION("IMPORTRANGE(""https://docs.google.com/spreadsheets/d/1C3CXT74ZlgGe6_JY_1olB1XN4rF0dxEuIIF-xsYjHgg/edit?usp=sharing"",""พรบ!I33"")"),35)</f>
        <v>35</v>
      </c>
      <c r="X29" s="81">
        <f ca="1">IFERROR(__xludf.DUMMYFUNCTION("IMPORTRANGE(""https://docs.google.com/spreadsheets/d/11923uPwbBZFjjGgGUA6NLw09EwE0CqkOc4q9oUmW1yo/edit?usp=sharing"",""ลำพูน!J22"")"),1)</f>
        <v>1</v>
      </c>
      <c r="Y29" s="81">
        <f ca="1">IFERROR(__xludf.DUMMYFUNCTION("IMPORTRANGE(""https://docs.google.com/spreadsheets/d/11923uPwbBZFjjGgGUA6NLw09EwE0CqkOc4q9oUmW1yo/edit?usp=sharing"",""ลำพูน!J23"")"),35)</f>
        <v>35</v>
      </c>
      <c r="Z29" s="77">
        <f ca="1">IFERROR(__xludf.DUMMYFUNCTION("IMPORTRANGE(""https://docs.google.com/spreadsheets/d/1C3CXT74ZlgGe6_JY_1olB1XN4rF0dxEuIIF-xsYjHgg/edit?usp=sharing"",""พรบ!J33"")"),0)</f>
        <v>0</v>
      </c>
      <c r="AA29" s="77">
        <f ca="1">IFERROR(__xludf.DUMMYFUNCTION("IMPORTRANGE(""https://docs.google.com/spreadsheets/d/1C3CXT74ZlgGe6_JY_1olB1XN4rF0dxEuIIF-xsYjHgg/edit?usp=sharing"",""พรบ!K33"")"),0)</f>
        <v>0</v>
      </c>
      <c r="AB29" s="81">
        <f ca="1">IFERROR(__xludf.DUMMYFUNCTION("IMPORTRANGE(""https://docs.google.com/spreadsheets/d/11923uPwbBZFjjGgGUA6NLw09EwE0CqkOc4q9oUmW1yo/edit?usp=sharing"",""ลำพูน!J24"")"),0)</f>
        <v>0</v>
      </c>
      <c r="AC29" s="81">
        <f ca="1">IFERROR(__xludf.DUMMYFUNCTION("IMPORTRANGE(""https://docs.google.com/spreadsheets/d/11923uPwbBZFjjGgGUA6NLw09EwE0CqkOc4q9oUmW1yo/edit?usp=sharing"",""ลำพูน!J25"")"),0)</f>
        <v>0</v>
      </c>
      <c r="AD29" s="77">
        <f ca="1">IFERROR(__xludf.DUMMYFUNCTION("IMPORTRANGE(""https://docs.google.com/spreadsheets/d/1C3CXT74ZlgGe6_JY_1olB1XN4rF0dxEuIIF-xsYjHgg/edit?usp=sharing"",""พรบ!L33"")"),0)</f>
        <v>0</v>
      </c>
      <c r="AE29" s="77">
        <f ca="1">IFERROR(__xludf.DUMMYFUNCTION("IMPORTRANGE(""https://docs.google.com/spreadsheets/d/1C3CXT74ZlgGe6_JY_1olB1XN4rF0dxEuIIF-xsYjHgg/edit?usp=sharing"",""พรบ!M33"")"),0)</f>
        <v>0</v>
      </c>
      <c r="AF29" s="81">
        <f ca="1">IFERROR(__xludf.DUMMYFUNCTION("IMPORTRANGE(""https://docs.google.com/spreadsheets/d/11923uPwbBZFjjGgGUA6NLw09EwE0CqkOc4q9oUmW1yo/edit?usp=sharing"",""ลำพูน!J26"")"),0)</f>
        <v>0</v>
      </c>
      <c r="AG29" s="81">
        <f ca="1">IFERROR(__xludf.DUMMYFUNCTION("IMPORTRANGE(""https://docs.google.com/spreadsheets/d/11923uPwbBZFjjGgGUA6NLw09EwE0CqkOc4q9oUmW1yo/edit?usp=sharing"",""ลำพูน!J27"")"),0)</f>
        <v>0</v>
      </c>
      <c r="AH29" s="77">
        <f ca="1">IFERROR(__xludf.DUMMYFUNCTION("IMPORTRANGE(""https://docs.google.com/spreadsheets/d/1C3CXT74ZlgGe6_JY_1olB1XN4rF0dxEuIIF-xsYjHgg/edit?usp=sharing"",""พรบ!N33"")"),35)</f>
        <v>35</v>
      </c>
      <c r="AI29" s="81">
        <f ca="1">IFERROR(__xludf.DUMMYFUNCTION("IMPORTRANGE(""https://docs.google.com/spreadsheets/d/11923uPwbBZFjjGgGUA6NLw09EwE0CqkOc4q9oUmW1yo/edit?usp=sharing"",""ลำพูน!J28"")"),0)</f>
        <v>0</v>
      </c>
      <c r="AJ29" s="79">
        <f t="shared" ca="1" si="17"/>
        <v>0</v>
      </c>
    </row>
    <row r="30" spans="1:36" ht="24" customHeight="1">
      <c r="A30" s="73">
        <v>15</v>
      </c>
      <c r="B30" s="74" t="s">
        <v>54</v>
      </c>
      <c r="C30" s="75">
        <f t="shared" ca="1" si="0"/>
        <v>956800</v>
      </c>
      <c r="D30" s="76">
        <f t="shared" ca="1" si="35"/>
        <v>806800</v>
      </c>
      <c r="E30" s="77">
        <f ca="1">IFERROR(__xludf.DUMMYFUNCTION("IMPORTRANGE(""https://docs.google.com/spreadsheets/d/1C3CXT74ZlgGe6_JY_1olB1XN4rF0dxEuIIF-xsYjHgg/edit?usp=sharing"",""พรบ!D34"")"),190800)</f>
        <v>190800</v>
      </c>
      <c r="F30" s="77">
        <f ca="1">IFERROR(__xludf.DUMMYFUNCTION("IMPORTRANGE(""https://docs.google.com/spreadsheets/d/1C3CXT74ZlgGe6_JY_1olB1XN4rF0dxEuIIF-xsYjHgg/edit?usp=sharing"",""พรบ!E34"")"),616000)</f>
        <v>616000</v>
      </c>
      <c r="G30" s="77">
        <f ca="1">IFERROR(__xludf.DUMMYFUNCTION("IMPORTRANGE(""https://docs.google.com/spreadsheets/d/1Yj_ptqi66GCucihVvJfMjLAmec39IyEx_6qawtMGysU/edit?usp=sharing"",""สบก!AG34"")"),150000)</f>
        <v>150000</v>
      </c>
      <c r="H30" s="77">
        <f ca="1">IFERROR(__xludf.DUMMYFUNCTION("IMPORTRANGE(""https://docs.google.com/spreadsheets/d/1Yj_ptqi66GCucihVvJfMjLAmec39IyEx_6qawtMGysU/edit?usp=sharing"",""สบก!AI34"")"),726720)</f>
        <v>726720</v>
      </c>
      <c r="I30" s="77">
        <f t="shared" ca="1" si="3"/>
        <v>597332.41999999993</v>
      </c>
      <c r="J30" s="78">
        <f t="shared" ca="1" si="4"/>
        <v>62.430227842809359</v>
      </c>
      <c r="K30" s="77">
        <f ca="1">IFERROR(__xludf.DUMMYFUNCTION("IMPORTRANGE(""https://docs.google.com/spreadsheets/d/1Yj_ptqi66GCucihVvJfMjLAmec39IyEx_6qawtMGysU/edit?usp=sharing"",""สบก!AJ34"")"),447332.42)</f>
        <v>447332.42</v>
      </c>
      <c r="L30" s="79">
        <f t="shared" ca="1" si="5"/>
        <v>55.445267724343083</v>
      </c>
      <c r="M30" s="79">
        <f t="shared" ca="1" si="6"/>
        <v>61.554989542051956</v>
      </c>
      <c r="N30" s="80">
        <f ca="1">IFERROR(__xludf.DUMMYFUNCTION("IMPORTRANGE(""https://docs.google.com/spreadsheets/d/1Yj_ptqi66GCucihVvJfMjLAmec39IyEx_6qawtMGysU/edit?usp=sharing"",""สบก!AK34"")"),150000)</f>
        <v>150000</v>
      </c>
      <c r="O30" s="79">
        <f t="shared" ca="1" si="7"/>
        <v>100</v>
      </c>
      <c r="P30" s="81">
        <f t="shared" ca="1" si="33"/>
        <v>1</v>
      </c>
      <c r="Q30" s="81">
        <f t="shared" ca="1" si="8"/>
        <v>75</v>
      </c>
      <c r="R30" s="81">
        <f t="shared" ca="1" si="36"/>
        <v>1</v>
      </c>
      <c r="S30" s="82">
        <f t="shared" ca="1" si="9"/>
        <v>100</v>
      </c>
      <c r="T30" s="81">
        <f t="shared" ca="1" si="37"/>
        <v>75</v>
      </c>
      <c r="U30" s="82">
        <f t="shared" ca="1" si="10"/>
        <v>100</v>
      </c>
      <c r="V30" s="77">
        <f ca="1">IFERROR(__xludf.DUMMYFUNCTION("IMPORTRANGE(""https://docs.google.com/spreadsheets/d/1C3CXT74ZlgGe6_JY_1olB1XN4rF0dxEuIIF-xsYjHgg/edit?usp=sharing"",""พรบ!H34"")"),0)</f>
        <v>0</v>
      </c>
      <c r="W30" s="77">
        <f ca="1">IFERROR(__xludf.DUMMYFUNCTION("IMPORTRANGE(""https://docs.google.com/spreadsheets/d/1C3CXT74ZlgGe6_JY_1olB1XN4rF0dxEuIIF-xsYjHgg/edit?usp=sharing"",""พรบ!I34"")"),0)</f>
        <v>0</v>
      </c>
      <c r="X30" s="81">
        <f ca="1">IFERROR(__xludf.DUMMYFUNCTION("IMPORTRANGE(""https://docs.google.com/spreadsheets/d/11923uPwbBZFjjGgGUA6NLw09EwE0CqkOc4q9oUmW1yo/edit?usp=sharing"",""สุโขทัย!J22"")"),0)</f>
        <v>0</v>
      </c>
      <c r="Y30" s="81">
        <f ca="1">IFERROR(__xludf.DUMMYFUNCTION("IMPORTRANGE(""https://docs.google.com/spreadsheets/d/11923uPwbBZFjjGgGUA6NLw09EwE0CqkOc4q9oUmW1yo/edit?usp=sharing"",""สุโขทัย!J23"")"),0)</f>
        <v>0</v>
      </c>
      <c r="Z30" s="77">
        <f ca="1">IFERROR(__xludf.DUMMYFUNCTION("IMPORTRANGE(""https://docs.google.com/spreadsheets/d/1C3CXT74ZlgGe6_JY_1olB1XN4rF0dxEuIIF-xsYjHgg/edit?usp=sharing"",""พรบ!J34"")"),1)</f>
        <v>1</v>
      </c>
      <c r="AA30" s="77">
        <f ca="1">IFERROR(__xludf.DUMMYFUNCTION("IMPORTRANGE(""https://docs.google.com/spreadsheets/d/1C3CXT74ZlgGe6_JY_1olB1XN4rF0dxEuIIF-xsYjHgg/edit?usp=sharing"",""พรบ!K34"")"),75)</f>
        <v>75</v>
      </c>
      <c r="AB30" s="81">
        <f ca="1">IFERROR(__xludf.DUMMYFUNCTION("IMPORTRANGE(""https://docs.google.com/spreadsheets/d/11923uPwbBZFjjGgGUA6NLw09EwE0CqkOc4q9oUmW1yo/edit?usp=sharing"",""สุโขทัย!J24"")"),1)</f>
        <v>1</v>
      </c>
      <c r="AC30" s="81">
        <f ca="1">IFERROR(__xludf.DUMMYFUNCTION("IMPORTRANGE(""https://docs.google.com/spreadsheets/d/11923uPwbBZFjjGgGUA6NLw09EwE0CqkOc4q9oUmW1yo/edit?usp=sharing"",""สุโขทัย!J25"")"),75)</f>
        <v>75</v>
      </c>
      <c r="AD30" s="77">
        <f ca="1">IFERROR(__xludf.DUMMYFUNCTION("IMPORTRANGE(""https://docs.google.com/spreadsheets/d/1C3CXT74ZlgGe6_JY_1olB1XN4rF0dxEuIIF-xsYjHgg/edit?usp=sharing"",""พรบ!L34"")"),0)</f>
        <v>0</v>
      </c>
      <c r="AE30" s="77">
        <f ca="1">IFERROR(__xludf.DUMMYFUNCTION("IMPORTRANGE(""https://docs.google.com/spreadsheets/d/1C3CXT74ZlgGe6_JY_1olB1XN4rF0dxEuIIF-xsYjHgg/edit?usp=sharing"",""พรบ!M34"")"),0)</f>
        <v>0</v>
      </c>
      <c r="AF30" s="81">
        <f ca="1">IFERROR(__xludf.DUMMYFUNCTION("IMPORTRANGE(""https://docs.google.com/spreadsheets/d/11923uPwbBZFjjGgGUA6NLw09EwE0CqkOc4q9oUmW1yo/edit?usp=sharing"",""สุโขทัย!J26"")"),0)</f>
        <v>0</v>
      </c>
      <c r="AG30" s="81">
        <f ca="1">IFERROR(__xludf.DUMMYFUNCTION("IMPORTRANGE(""https://docs.google.com/spreadsheets/d/11923uPwbBZFjjGgGUA6NLw09EwE0CqkOc4q9oUmW1yo/edit?usp=sharing"",""สุโขทัย!J27"")"),0)</f>
        <v>0</v>
      </c>
      <c r="AH30" s="77">
        <f ca="1">IFERROR(__xludf.DUMMYFUNCTION("IMPORTRANGE(""https://docs.google.com/spreadsheets/d/1C3CXT74ZlgGe6_JY_1olB1XN4rF0dxEuIIF-xsYjHgg/edit?usp=sharing"",""พรบ!N34"")"),0)</f>
        <v>0</v>
      </c>
      <c r="AI30" s="81">
        <f ca="1">IFERROR(__xludf.DUMMYFUNCTION("IMPORTRANGE(""https://docs.google.com/spreadsheets/d/11923uPwbBZFjjGgGUA6NLw09EwE0CqkOc4q9oUmW1yo/edit?usp=sharing"",""สุโขทัย!J28"")"),0)</f>
        <v>0</v>
      </c>
      <c r="AJ30" s="79">
        <f t="shared" ca="1" si="17"/>
        <v>0</v>
      </c>
    </row>
    <row r="31" spans="1:36" ht="24" customHeight="1">
      <c r="A31" s="73">
        <v>16</v>
      </c>
      <c r="B31" s="74" t="s">
        <v>55</v>
      </c>
      <c r="C31" s="75">
        <f t="shared" ca="1" si="0"/>
        <v>0</v>
      </c>
      <c r="D31" s="76">
        <f t="shared" ca="1" si="35"/>
        <v>0</v>
      </c>
      <c r="E31" s="77">
        <f ca="1">IFERROR(__xludf.DUMMYFUNCTION("IMPORTRANGE(""https://docs.google.com/spreadsheets/d/1C3CXT74ZlgGe6_JY_1olB1XN4rF0dxEuIIF-xsYjHgg/edit?usp=sharing"",""พรบ!D35"")"),0)</f>
        <v>0</v>
      </c>
      <c r="F31" s="77">
        <f ca="1">IFERROR(__xludf.DUMMYFUNCTION("IMPORTRANGE(""https://docs.google.com/spreadsheets/d/1C3CXT74ZlgGe6_JY_1olB1XN4rF0dxEuIIF-xsYjHgg/edit?usp=sharing"",""พรบ!E35"")"),0)</f>
        <v>0</v>
      </c>
      <c r="G31" s="77">
        <f ca="1">IFERROR(__xludf.DUMMYFUNCTION("IMPORTRANGE(""https://docs.google.com/spreadsheets/d/1Yj_ptqi66GCucihVvJfMjLAmec39IyEx_6qawtMGysU/edit?usp=sharing"",""สบก!AG35"")"),0)</f>
        <v>0</v>
      </c>
      <c r="H31" s="77">
        <f ca="1">IFERROR(__xludf.DUMMYFUNCTION("IMPORTRANGE(""https://docs.google.com/spreadsheets/d/1Yj_ptqi66GCucihVvJfMjLAmec39IyEx_6qawtMGysU/edit?usp=sharing"",""สบก!AI35"")"),0)</f>
        <v>0</v>
      </c>
      <c r="I31" s="77">
        <f t="shared" ca="1" si="3"/>
        <v>0</v>
      </c>
      <c r="J31" s="78">
        <f t="shared" ca="1" si="4"/>
        <v>0</v>
      </c>
      <c r="K31" s="77">
        <f ca="1">IFERROR(__xludf.DUMMYFUNCTION("IMPORTRANGE(""https://docs.google.com/spreadsheets/d/1Yj_ptqi66GCucihVvJfMjLAmec39IyEx_6qawtMGysU/edit?usp=sharing"",""สบก!AJ35"")"),0)</f>
        <v>0</v>
      </c>
      <c r="L31" s="79">
        <f t="shared" ca="1" si="5"/>
        <v>0</v>
      </c>
      <c r="M31" s="79">
        <f t="shared" ca="1" si="6"/>
        <v>0</v>
      </c>
      <c r="N31" s="80">
        <f ca="1">IFERROR(__xludf.DUMMYFUNCTION("IMPORTRANGE(""https://docs.google.com/spreadsheets/d/1Yj_ptqi66GCucihVvJfMjLAmec39IyEx_6qawtMGysU/edit?usp=sharing"",""สบก!AK35"")"),0)</f>
        <v>0</v>
      </c>
      <c r="O31" s="79">
        <f t="shared" ca="1" si="7"/>
        <v>0</v>
      </c>
      <c r="P31" s="81">
        <f t="shared" ca="1" si="33"/>
        <v>0</v>
      </c>
      <c r="Q31" s="81">
        <f t="shared" ca="1" si="8"/>
        <v>0</v>
      </c>
      <c r="R31" s="81">
        <f t="shared" ca="1" si="36"/>
        <v>0</v>
      </c>
      <c r="S31" s="82">
        <f t="shared" ca="1" si="9"/>
        <v>0</v>
      </c>
      <c r="T31" s="81">
        <f t="shared" ca="1" si="37"/>
        <v>0</v>
      </c>
      <c r="U31" s="82">
        <f t="shared" ca="1" si="10"/>
        <v>0</v>
      </c>
      <c r="V31" s="77">
        <f ca="1">IFERROR(__xludf.DUMMYFUNCTION("IMPORTRANGE(""https://docs.google.com/spreadsheets/d/1C3CXT74ZlgGe6_JY_1olB1XN4rF0dxEuIIF-xsYjHgg/edit?usp=sharing"",""พรบ!H35"")"),0)</f>
        <v>0</v>
      </c>
      <c r="W31" s="77">
        <f ca="1">IFERROR(__xludf.DUMMYFUNCTION("IMPORTRANGE(""https://docs.google.com/spreadsheets/d/1C3CXT74ZlgGe6_JY_1olB1XN4rF0dxEuIIF-xsYjHgg/edit?usp=sharing"",""พรบ!I35"")"),0)</f>
        <v>0</v>
      </c>
      <c r="X31" s="81">
        <f ca="1">IFERROR(__xludf.DUMMYFUNCTION("IMPORTRANGE(""https://docs.google.com/spreadsheets/d/11923uPwbBZFjjGgGUA6NLw09EwE0CqkOc4q9oUmW1yo/edit?usp=sharing"",""อุตรดิตถ์!J22"")"),0)</f>
        <v>0</v>
      </c>
      <c r="Y31" s="81">
        <f ca="1">IFERROR(__xludf.DUMMYFUNCTION("IMPORTRANGE(""https://docs.google.com/spreadsheets/d/11923uPwbBZFjjGgGUA6NLw09EwE0CqkOc4q9oUmW1yo/edit?usp=sharing"",""อุตรดิตถ์!J23"")"),0)</f>
        <v>0</v>
      </c>
      <c r="Z31" s="77">
        <f ca="1">IFERROR(__xludf.DUMMYFUNCTION("IMPORTRANGE(""https://docs.google.com/spreadsheets/d/1C3CXT74ZlgGe6_JY_1olB1XN4rF0dxEuIIF-xsYjHgg/edit?usp=sharing"",""พรบ!J35"")"),0)</f>
        <v>0</v>
      </c>
      <c r="AA31" s="77">
        <f ca="1">IFERROR(__xludf.DUMMYFUNCTION("IMPORTRANGE(""https://docs.google.com/spreadsheets/d/1C3CXT74ZlgGe6_JY_1olB1XN4rF0dxEuIIF-xsYjHgg/edit?usp=sharing"",""พรบ!K35"")"),0)</f>
        <v>0</v>
      </c>
      <c r="AB31" s="81">
        <f ca="1">IFERROR(__xludf.DUMMYFUNCTION("IMPORTRANGE(""https://docs.google.com/spreadsheets/d/11923uPwbBZFjjGgGUA6NLw09EwE0CqkOc4q9oUmW1yo/edit?usp=sharing"",""อุตรดิตถ์!J24"")"),0)</f>
        <v>0</v>
      </c>
      <c r="AC31" s="81">
        <f ca="1">IFERROR(__xludf.DUMMYFUNCTION("IMPORTRANGE(""https://docs.google.com/spreadsheets/d/11923uPwbBZFjjGgGUA6NLw09EwE0CqkOc4q9oUmW1yo/edit?usp=sharing"",""อุตรดิตถ์!J25"")"),0)</f>
        <v>0</v>
      </c>
      <c r="AD31" s="77">
        <f ca="1">IFERROR(__xludf.DUMMYFUNCTION("IMPORTRANGE(""https://docs.google.com/spreadsheets/d/1C3CXT74ZlgGe6_JY_1olB1XN4rF0dxEuIIF-xsYjHgg/edit?usp=sharing"",""พรบ!L35"")"),0)</f>
        <v>0</v>
      </c>
      <c r="AE31" s="77">
        <f ca="1">IFERROR(__xludf.DUMMYFUNCTION("IMPORTRANGE(""https://docs.google.com/spreadsheets/d/1C3CXT74ZlgGe6_JY_1olB1XN4rF0dxEuIIF-xsYjHgg/edit?usp=sharing"",""พรบ!M35"")"),0)</f>
        <v>0</v>
      </c>
      <c r="AF31" s="81">
        <f ca="1">IFERROR(__xludf.DUMMYFUNCTION("IMPORTRANGE(""https://docs.google.com/spreadsheets/d/11923uPwbBZFjjGgGUA6NLw09EwE0CqkOc4q9oUmW1yo/edit?usp=sharing"",""อุตรดิตถ์!J26"")"),0)</f>
        <v>0</v>
      </c>
      <c r="AG31" s="81">
        <f ca="1">IFERROR(__xludf.DUMMYFUNCTION("IMPORTRANGE(""https://docs.google.com/spreadsheets/d/11923uPwbBZFjjGgGUA6NLw09EwE0CqkOc4q9oUmW1yo/edit?usp=sharing"",""อุตรดิตถ์!J27"")"),0)</f>
        <v>0</v>
      </c>
      <c r="AH31" s="77">
        <f ca="1">IFERROR(__xludf.DUMMYFUNCTION("IMPORTRANGE(""https://docs.google.com/spreadsheets/d/1C3CXT74ZlgGe6_JY_1olB1XN4rF0dxEuIIF-xsYjHgg/edit?usp=sharing"",""พรบ!N35"")"),0)</f>
        <v>0</v>
      </c>
      <c r="AI31" s="81">
        <f ca="1">IFERROR(__xludf.DUMMYFUNCTION("IMPORTRANGE(""https://docs.google.com/spreadsheets/d/11923uPwbBZFjjGgGUA6NLw09EwE0CqkOc4q9oUmW1yo/edit?usp=sharing"",""อุตรดิตถ์!J28"")"),0)</f>
        <v>0</v>
      </c>
      <c r="AJ31" s="79">
        <f t="shared" ca="1" si="17"/>
        <v>0</v>
      </c>
    </row>
    <row r="32" spans="1:36" ht="24" customHeight="1">
      <c r="A32" s="84">
        <v>17</v>
      </c>
      <c r="B32" s="85" t="s">
        <v>56</v>
      </c>
      <c r="C32" s="86">
        <f t="shared" ca="1" si="0"/>
        <v>829500</v>
      </c>
      <c r="D32" s="87">
        <f t="shared" ca="1" si="35"/>
        <v>829500</v>
      </c>
      <c r="E32" s="88">
        <f ca="1">IFERROR(__xludf.DUMMYFUNCTION("IMPORTRANGE(""https://docs.google.com/spreadsheets/d/1C3CXT74ZlgGe6_JY_1olB1XN4rF0dxEuIIF-xsYjHgg/edit?usp=sharing"",""พรบ!D36"")"),179500)</f>
        <v>179500</v>
      </c>
      <c r="F32" s="88">
        <f ca="1">IFERROR(__xludf.DUMMYFUNCTION("IMPORTRANGE(""https://docs.google.com/spreadsheets/d/1C3CXT74ZlgGe6_JY_1olB1XN4rF0dxEuIIF-xsYjHgg/edit?usp=sharing"",""พรบ!E36"")"),650000)</f>
        <v>650000</v>
      </c>
      <c r="G32" s="88">
        <f ca="1">IFERROR(__xludf.DUMMYFUNCTION("IMPORTRANGE(""https://docs.google.com/spreadsheets/d/1Yj_ptqi66GCucihVvJfMjLAmec39IyEx_6qawtMGysU/edit?usp=sharing"",""สบก!AG36"")"),0)</f>
        <v>0</v>
      </c>
      <c r="H32" s="88">
        <f ca="1">IFERROR(__xludf.DUMMYFUNCTION("IMPORTRANGE(""https://docs.google.com/spreadsheets/d/1Yj_ptqi66GCucihVvJfMjLAmec39IyEx_6qawtMGysU/edit?usp=sharing"",""สบก!AI36"")"),708200)</f>
        <v>708200</v>
      </c>
      <c r="I32" s="88">
        <f t="shared" ca="1" si="3"/>
        <v>286478.84999999998</v>
      </c>
      <c r="J32" s="89">
        <f t="shared" ca="1" si="4"/>
        <v>34.536329113924047</v>
      </c>
      <c r="K32" s="88">
        <f ca="1">IFERROR(__xludf.DUMMYFUNCTION("IMPORTRANGE(""https://docs.google.com/spreadsheets/d/1Yj_ptqi66GCucihVvJfMjLAmec39IyEx_6qawtMGysU/edit?usp=sharing"",""สบก!AJ36"")"),286478.85)</f>
        <v>286478.84999999998</v>
      </c>
      <c r="L32" s="90">
        <f t="shared" ca="1" si="5"/>
        <v>34.536329113924047</v>
      </c>
      <c r="M32" s="90">
        <f t="shared" ca="1" si="6"/>
        <v>40.451687376447325</v>
      </c>
      <c r="N32" s="91">
        <f ca="1">IFERROR(__xludf.DUMMYFUNCTION("IMPORTRANGE(""https://docs.google.com/spreadsheets/d/1Yj_ptqi66GCucihVvJfMjLAmec39IyEx_6qawtMGysU/edit?usp=sharing"",""สบก!AK36"")"),0)</f>
        <v>0</v>
      </c>
      <c r="O32" s="90">
        <f t="shared" ca="1" si="7"/>
        <v>0</v>
      </c>
      <c r="P32" s="92">
        <f t="shared" ca="1" si="33"/>
        <v>2</v>
      </c>
      <c r="Q32" s="92">
        <f t="shared" ca="1" si="8"/>
        <v>70</v>
      </c>
      <c r="R32" s="92">
        <f t="shared" ca="1" si="36"/>
        <v>2</v>
      </c>
      <c r="S32" s="93">
        <f t="shared" ca="1" si="9"/>
        <v>100</v>
      </c>
      <c r="T32" s="92">
        <f t="shared" ca="1" si="37"/>
        <v>70</v>
      </c>
      <c r="U32" s="93">
        <f t="shared" ca="1" si="10"/>
        <v>100</v>
      </c>
      <c r="V32" s="88">
        <f ca="1">IFERROR(__xludf.DUMMYFUNCTION("IMPORTRANGE(""https://docs.google.com/spreadsheets/d/1C3CXT74ZlgGe6_JY_1olB1XN4rF0dxEuIIF-xsYjHgg/edit?usp=sharing"",""พรบ!H36"")"),1)</f>
        <v>1</v>
      </c>
      <c r="W32" s="88">
        <f ca="1">IFERROR(__xludf.DUMMYFUNCTION("IMPORTRANGE(""https://docs.google.com/spreadsheets/d/1C3CXT74ZlgGe6_JY_1olB1XN4rF0dxEuIIF-xsYjHgg/edit?usp=sharing"",""พรบ!I36"")"),30)</f>
        <v>30</v>
      </c>
      <c r="X32" s="92">
        <f ca="1">IFERROR(__xludf.DUMMYFUNCTION("IMPORTRANGE(""https://docs.google.com/spreadsheets/d/11923uPwbBZFjjGgGUA6NLw09EwE0CqkOc4q9oUmW1yo/edit?usp=sharing"",""อุทัยธานี!J22"")"),1)</f>
        <v>1</v>
      </c>
      <c r="Y32" s="92">
        <f ca="1">IFERROR(__xludf.DUMMYFUNCTION("IMPORTRANGE(""https://docs.google.com/spreadsheets/d/11923uPwbBZFjjGgGUA6NLw09EwE0CqkOc4q9oUmW1yo/edit?usp=sharing"",""อุทัยธานี!J23"")"),30)</f>
        <v>30</v>
      </c>
      <c r="Z32" s="88">
        <f ca="1">IFERROR(__xludf.DUMMYFUNCTION("IMPORTRANGE(""https://docs.google.com/spreadsheets/d/1C3CXT74ZlgGe6_JY_1olB1XN4rF0dxEuIIF-xsYjHgg/edit?usp=sharing"",""พรบ!J36"")"),0)</f>
        <v>0</v>
      </c>
      <c r="AA32" s="88">
        <f ca="1">IFERROR(__xludf.DUMMYFUNCTION("IMPORTRANGE(""https://docs.google.com/spreadsheets/d/1C3CXT74ZlgGe6_JY_1olB1XN4rF0dxEuIIF-xsYjHgg/edit?usp=sharing"",""พรบ!K36"")"),0)</f>
        <v>0</v>
      </c>
      <c r="AB32" s="92">
        <f ca="1">IFERROR(__xludf.DUMMYFUNCTION("IMPORTRANGE(""https://docs.google.com/spreadsheets/d/11923uPwbBZFjjGgGUA6NLw09EwE0CqkOc4q9oUmW1yo/edit?usp=sharing"",""อุทัยธานี!J24"")"),0)</f>
        <v>0</v>
      </c>
      <c r="AC32" s="92">
        <f ca="1">IFERROR(__xludf.DUMMYFUNCTION("IMPORTRANGE(""https://docs.google.com/spreadsheets/d/11923uPwbBZFjjGgGUA6NLw09EwE0CqkOc4q9oUmW1yo/edit?usp=sharing"",""อุทัยธานี!J25"")"),0)</f>
        <v>0</v>
      </c>
      <c r="AD32" s="88">
        <f ca="1">IFERROR(__xludf.DUMMYFUNCTION("IMPORTRANGE(""https://docs.google.com/spreadsheets/d/1C3CXT74ZlgGe6_JY_1olB1XN4rF0dxEuIIF-xsYjHgg/edit?usp=sharing"",""พรบ!L36"")"),1)</f>
        <v>1</v>
      </c>
      <c r="AE32" s="88">
        <f ca="1">IFERROR(__xludf.DUMMYFUNCTION("IMPORTRANGE(""https://docs.google.com/spreadsheets/d/1C3CXT74ZlgGe6_JY_1olB1XN4rF0dxEuIIF-xsYjHgg/edit?usp=sharing"",""พรบ!M36"")"),40)</f>
        <v>40</v>
      </c>
      <c r="AF32" s="92">
        <f ca="1">IFERROR(__xludf.DUMMYFUNCTION("IMPORTRANGE(""https://docs.google.com/spreadsheets/d/11923uPwbBZFjjGgGUA6NLw09EwE0CqkOc4q9oUmW1yo/edit?usp=sharing"",""อุทัยธานี!J26"")"),1)</f>
        <v>1</v>
      </c>
      <c r="AG32" s="92">
        <f ca="1">IFERROR(__xludf.DUMMYFUNCTION("IMPORTRANGE(""https://docs.google.com/spreadsheets/d/11923uPwbBZFjjGgGUA6NLw09EwE0CqkOc4q9oUmW1yo/edit?usp=sharing"",""อุทัยธานี!J27"")"),40)</f>
        <v>40</v>
      </c>
      <c r="AH32" s="88">
        <f ca="1">IFERROR(__xludf.DUMMYFUNCTION("IMPORTRANGE(""https://docs.google.com/spreadsheets/d/1C3CXT74ZlgGe6_JY_1olB1XN4rF0dxEuIIF-xsYjHgg/edit?usp=sharing"",""พรบ!N36"")"),30)</f>
        <v>30</v>
      </c>
      <c r="AI32" s="92">
        <f ca="1">IFERROR(__xludf.DUMMYFUNCTION("IMPORTRANGE(""https://docs.google.com/spreadsheets/d/11923uPwbBZFjjGgGUA6NLw09EwE0CqkOc4q9oUmW1yo/edit?usp=sharing"",""อุทัยธานี!J28"")"),0)</f>
        <v>0</v>
      </c>
      <c r="AJ32" s="90">
        <f t="shared" ca="1" si="17"/>
        <v>0</v>
      </c>
    </row>
    <row r="33" spans="1:36" ht="21" customHeight="1">
      <c r="A33" s="677" t="s">
        <v>57</v>
      </c>
      <c r="B33" s="678"/>
      <c r="C33" s="94">
        <f t="shared" ca="1" si="0"/>
        <v>10880900</v>
      </c>
      <c r="D33" s="95">
        <f t="shared" ref="D33:H33" ca="1" si="38">SUM(D34:D53)</f>
        <v>10695900</v>
      </c>
      <c r="E33" s="95">
        <f t="shared" ca="1" si="38"/>
        <v>4014300</v>
      </c>
      <c r="F33" s="95">
        <f t="shared" ca="1" si="38"/>
        <v>6681600</v>
      </c>
      <c r="G33" s="95">
        <f t="shared" ca="1" si="38"/>
        <v>185000</v>
      </c>
      <c r="H33" s="95">
        <f t="shared" ca="1" si="38"/>
        <v>8831720</v>
      </c>
      <c r="I33" s="95">
        <f t="shared" ca="1" si="3"/>
        <v>5281265.3100000005</v>
      </c>
      <c r="J33" s="96">
        <f t="shared" ca="1" si="4"/>
        <v>48.53702644082751</v>
      </c>
      <c r="K33" s="95">
        <f ca="1">SUM(K34:K53)</f>
        <v>5096265.3100000005</v>
      </c>
      <c r="L33" s="97">
        <f t="shared" ca="1" si="5"/>
        <v>47.646904982282933</v>
      </c>
      <c r="M33" s="97">
        <f t="shared" ca="1" si="6"/>
        <v>57.704108712685645</v>
      </c>
      <c r="N33" s="98">
        <f ca="1">SUM(N34:N53)</f>
        <v>185000</v>
      </c>
      <c r="O33" s="97">
        <f t="shared" ca="1" si="7"/>
        <v>100</v>
      </c>
      <c r="P33" s="95">
        <f t="shared" ca="1" si="33"/>
        <v>15</v>
      </c>
      <c r="Q33" s="95">
        <f t="shared" ca="1" si="8"/>
        <v>693</v>
      </c>
      <c r="R33" s="95">
        <f ca="1">SUM(R34:R53)</f>
        <v>15</v>
      </c>
      <c r="S33" s="97">
        <f t="shared" ca="1" si="9"/>
        <v>100</v>
      </c>
      <c r="T33" s="95">
        <f ca="1">SUM(T34:T53)</f>
        <v>693</v>
      </c>
      <c r="U33" s="97">
        <f t="shared" ca="1" si="10"/>
        <v>100</v>
      </c>
      <c r="V33" s="95">
        <f t="shared" ref="V33:AI33" ca="1" si="39">SUM(V34:V53)</f>
        <v>6</v>
      </c>
      <c r="W33" s="95">
        <f t="shared" ca="1" si="39"/>
        <v>270</v>
      </c>
      <c r="X33" s="95">
        <f t="shared" ca="1" si="39"/>
        <v>6</v>
      </c>
      <c r="Y33" s="95">
        <f t="shared" ca="1" si="39"/>
        <v>270</v>
      </c>
      <c r="Z33" s="95">
        <f t="shared" ca="1" si="39"/>
        <v>8</v>
      </c>
      <c r="AA33" s="95">
        <f t="shared" ca="1" si="39"/>
        <v>373</v>
      </c>
      <c r="AB33" s="95">
        <f t="shared" ca="1" si="39"/>
        <v>8</v>
      </c>
      <c r="AC33" s="95">
        <f t="shared" ca="1" si="39"/>
        <v>373</v>
      </c>
      <c r="AD33" s="95">
        <f t="shared" ca="1" si="39"/>
        <v>1</v>
      </c>
      <c r="AE33" s="95">
        <f t="shared" ca="1" si="39"/>
        <v>50</v>
      </c>
      <c r="AF33" s="95">
        <f t="shared" ca="1" si="39"/>
        <v>1</v>
      </c>
      <c r="AG33" s="95">
        <f t="shared" ca="1" si="39"/>
        <v>50</v>
      </c>
      <c r="AH33" s="95">
        <f t="shared" ca="1" si="39"/>
        <v>270</v>
      </c>
      <c r="AI33" s="95">
        <f t="shared" ca="1" si="39"/>
        <v>195</v>
      </c>
      <c r="AJ33" s="97">
        <f t="shared" ca="1" si="17"/>
        <v>72.222222222222229</v>
      </c>
    </row>
    <row r="34" spans="1:36" ht="21" customHeight="1">
      <c r="A34" s="63">
        <v>1</v>
      </c>
      <c r="B34" s="64" t="s">
        <v>58</v>
      </c>
      <c r="C34" s="65">
        <f t="shared" ca="1" si="0"/>
        <v>0</v>
      </c>
      <c r="D34" s="66">
        <f t="shared" ref="D34:D53" ca="1" si="40">+E34+F34</f>
        <v>0</v>
      </c>
      <c r="E34" s="67">
        <f ca="1">IFERROR(__xludf.DUMMYFUNCTION("IMPORTRANGE(""https://docs.google.com/spreadsheets/d/1C3CXT74ZlgGe6_JY_1olB1XN4rF0dxEuIIF-xsYjHgg/edit?usp=sharing"",""พรบ!D38"")"),0)</f>
        <v>0</v>
      </c>
      <c r="F34" s="67">
        <f ca="1">IFERROR(__xludf.DUMMYFUNCTION("IMPORTRANGE(""https://docs.google.com/spreadsheets/d/1C3CXT74ZlgGe6_JY_1olB1XN4rF0dxEuIIF-xsYjHgg/edit?usp=sharing"",""พรบ!E38"")"),0)</f>
        <v>0</v>
      </c>
      <c r="G34" s="68">
        <f ca="1">IFERROR(__xludf.DUMMYFUNCTION("IMPORTRANGE(""https://docs.google.com/spreadsheets/d/1Yj_ptqi66GCucihVvJfMjLAmec39IyEx_6qawtMGysU/edit?usp=sharing"",""สบก!AG38"")"),0)</f>
        <v>0</v>
      </c>
      <c r="H34" s="68">
        <f ca="1">IFERROR(__xludf.DUMMYFUNCTION("IMPORTRANGE(""https://docs.google.com/spreadsheets/d/1Yj_ptqi66GCucihVvJfMjLAmec39IyEx_6qawtMGysU/edit?usp=sharing"",""สบก!AI38"")"),0)</f>
        <v>0</v>
      </c>
      <c r="I34" s="68">
        <f t="shared" ca="1" si="3"/>
        <v>0</v>
      </c>
      <c r="J34" s="69">
        <f t="shared" ca="1" si="4"/>
        <v>0</v>
      </c>
      <c r="K34" s="68">
        <f ca="1">IFERROR(__xludf.DUMMYFUNCTION("IMPORTRANGE(""https://docs.google.com/spreadsheets/d/1Yj_ptqi66GCucihVvJfMjLAmec39IyEx_6qawtMGysU/edit?usp=sharing"",""สบก!AJ38"")"),0)</f>
        <v>0</v>
      </c>
      <c r="L34" s="70">
        <f t="shared" ca="1" si="5"/>
        <v>0</v>
      </c>
      <c r="M34" s="70">
        <f t="shared" ca="1" si="6"/>
        <v>0</v>
      </c>
      <c r="N34" s="71">
        <f ca="1">IFERROR(__xludf.DUMMYFUNCTION("IMPORTRANGE(""https://docs.google.com/spreadsheets/d/1Yj_ptqi66GCucihVvJfMjLAmec39IyEx_6qawtMGysU/edit?usp=sharing"",""สบก!AK38"")"),0)</f>
        <v>0</v>
      </c>
      <c r="O34" s="70">
        <f t="shared" ca="1" si="7"/>
        <v>0</v>
      </c>
      <c r="P34" s="68">
        <f t="shared" ca="1" si="33"/>
        <v>0</v>
      </c>
      <c r="Q34" s="68">
        <f t="shared" ca="1" si="8"/>
        <v>0</v>
      </c>
      <c r="R34" s="68">
        <f t="shared" ref="R34:R53" ca="1" si="41">X34+AB34+AF34</f>
        <v>0</v>
      </c>
      <c r="S34" s="72">
        <f t="shared" ca="1" si="9"/>
        <v>0</v>
      </c>
      <c r="T34" s="68">
        <f t="shared" ref="T34:T53" ca="1" si="42">Y34+AC34+AG34</f>
        <v>0</v>
      </c>
      <c r="U34" s="72">
        <f t="shared" ca="1" si="10"/>
        <v>0</v>
      </c>
      <c r="V34" s="67">
        <f ca="1">IFERROR(__xludf.DUMMYFUNCTION("IMPORTRANGE(""https://docs.google.com/spreadsheets/d/1C3CXT74ZlgGe6_JY_1olB1XN4rF0dxEuIIF-xsYjHgg/edit?usp=sharing"",""พรบ!H38"")"),0)</f>
        <v>0</v>
      </c>
      <c r="W34" s="67">
        <f ca="1">IFERROR(__xludf.DUMMYFUNCTION("IMPORTRANGE(""https://docs.google.com/spreadsheets/d/1C3CXT74ZlgGe6_JY_1olB1XN4rF0dxEuIIF-xsYjHgg/edit?usp=sharing"",""พรบ!I38"")"),0)</f>
        <v>0</v>
      </c>
      <c r="X34" s="68">
        <f ca="1">IFERROR(__xludf.DUMMYFUNCTION("IMPORTRANGE(""https://docs.google.com/spreadsheets/d/1XL5vhW3sbDhbH9Cz0tuDiY8C3ctxq1tqvaCgkFb8cCA/edit?usp=sharing"",""กาฬสินธุ์!J22"")"),0)</f>
        <v>0</v>
      </c>
      <c r="Y34" s="68">
        <f ca="1">IFERROR(__xludf.DUMMYFUNCTION("IMPORTRANGE(""https://docs.google.com/spreadsheets/d/1XL5vhW3sbDhbH9Cz0tuDiY8C3ctxq1tqvaCgkFb8cCA/edit?usp=sharing"",""กาฬสินธุ์!J23"")"),0)</f>
        <v>0</v>
      </c>
      <c r="Z34" s="67">
        <f ca="1">IFERROR(__xludf.DUMMYFUNCTION("IMPORTRANGE(""https://docs.google.com/spreadsheets/d/1C3CXT74ZlgGe6_JY_1olB1XN4rF0dxEuIIF-xsYjHgg/edit?usp=sharing"",""พรบ!J38"")"),0)</f>
        <v>0</v>
      </c>
      <c r="AA34" s="67">
        <f ca="1">IFERROR(__xludf.DUMMYFUNCTION("IMPORTRANGE(""https://docs.google.com/spreadsheets/d/1C3CXT74ZlgGe6_JY_1olB1XN4rF0dxEuIIF-xsYjHgg/edit?usp=sharing"",""พรบ!K38"")"),0)</f>
        <v>0</v>
      </c>
      <c r="AB34" s="68">
        <f ca="1">IFERROR(__xludf.DUMMYFUNCTION("IMPORTRANGE(""https://docs.google.com/spreadsheets/d/1XL5vhW3sbDhbH9Cz0tuDiY8C3ctxq1tqvaCgkFb8cCA/edit?usp=sharing"",""กาฬสินธุ์!J24"")"),0)</f>
        <v>0</v>
      </c>
      <c r="AC34" s="68">
        <f ca="1">IFERROR(__xludf.DUMMYFUNCTION("IMPORTRANGE(""https://docs.google.com/spreadsheets/d/1XL5vhW3sbDhbH9Cz0tuDiY8C3ctxq1tqvaCgkFb8cCA/edit?usp=sharing"",""กาฬสินธุ์!J25"")"),0)</f>
        <v>0</v>
      </c>
      <c r="AD34" s="67">
        <f ca="1">IFERROR(__xludf.DUMMYFUNCTION("IMPORTRANGE(""https://docs.google.com/spreadsheets/d/1C3CXT74ZlgGe6_JY_1olB1XN4rF0dxEuIIF-xsYjHgg/edit?usp=sharing"",""พรบ!L38"")"),0)</f>
        <v>0</v>
      </c>
      <c r="AE34" s="67">
        <f ca="1">IFERROR(__xludf.DUMMYFUNCTION("IMPORTRANGE(""https://docs.google.com/spreadsheets/d/1C3CXT74ZlgGe6_JY_1olB1XN4rF0dxEuIIF-xsYjHgg/edit?usp=sharing"",""พรบ!M38"")"),0)</f>
        <v>0</v>
      </c>
      <c r="AF34" s="68">
        <f ca="1">IFERROR(__xludf.DUMMYFUNCTION("IMPORTRANGE(""https://docs.google.com/spreadsheets/d/1XL5vhW3sbDhbH9Cz0tuDiY8C3ctxq1tqvaCgkFb8cCA/edit?usp=sharing"",""กาฬสินธุ์!J26"")"),0)</f>
        <v>0</v>
      </c>
      <c r="AG34" s="68">
        <f ca="1">IFERROR(__xludf.DUMMYFUNCTION("IMPORTRANGE(""https://docs.google.com/spreadsheets/d/1XL5vhW3sbDhbH9Cz0tuDiY8C3ctxq1tqvaCgkFb8cCA/edit?usp=sharing"",""กาฬสินธุ์!J27"")"),0)</f>
        <v>0</v>
      </c>
      <c r="AH34" s="67">
        <f ca="1">IFERROR(__xludf.DUMMYFUNCTION("IMPORTRANGE(""https://docs.google.com/spreadsheets/d/1C3CXT74ZlgGe6_JY_1olB1XN4rF0dxEuIIF-xsYjHgg/edit?usp=sharing"",""พรบ!N38"")"),0)</f>
        <v>0</v>
      </c>
      <c r="AI34" s="68">
        <f ca="1">IFERROR(__xludf.DUMMYFUNCTION("IMPORTRANGE(""https://docs.google.com/spreadsheets/d/1XL5vhW3sbDhbH9Cz0tuDiY8C3ctxq1tqvaCgkFb8cCA/edit?usp=sharing"",""กาฬสินธุ์!J28"")"),0)</f>
        <v>0</v>
      </c>
      <c r="AJ34" s="70">
        <f t="shared" ca="1" si="17"/>
        <v>0</v>
      </c>
    </row>
    <row r="35" spans="1:36" ht="21" customHeight="1">
      <c r="A35" s="73">
        <v>2</v>
      </c>
      <c r="B35" s="74" t="s">
        <v>59</v>
      </c>
      <c r="C35" s="75">
        <f t="shared" ca="1" si="0"/>
        <v>1052300</v>
      </c>
      <c r="D35" s="76">
        <f t="shared" ca="1" si="40"/>
        <v>912300</v>
      </c>
      <c r="E35" s="77">
        <f ca="1">IFERROR(__xludf.DUMMYFUNCTION("IMPORTRANGE(""https://docs.google.com/spreadsheets/d/1C3CXT74ZlgGe6_JY_1olB1XN4rF0dxEuIIF-xsYjHgg/edit?usp=sharing"",""พรบ!D39"")"),470300)</f>
        <v>470300</v>
      </c>
      <c r="F35" s="77">
        <f ca="1">IFERROR(__xludf.DUMMYFUNCTION("IMPORTRANGE(""https://docs.google.com/spreadsheets/d/1C3CXT74ZlgGe6_JY_1olB1XN4rF0dxEuIIF-xsYjHgg/edit?usp=sharing"",""พรบ!E39"")"),442000)</f>
        <v>442000</v>
      </c>
      <c r="G35" s="77">
        <f ca="1">IFERROR(__xludf.DUMMYFUNCTION("IMPORTRANGE(""https://docs.google.com/spreadsheets/d/1Yj_ptqi66GCucihVvJfMjLAmec39IyEx_6qawtMGysU/edit?usp=sharing"",""สบก!AG39"")"),140000)</f>
        <v>140000</v>
      </c>
      <c r="H35" s="77">
        <f ca="1">IFERROR(__xludf.DUMMYFUNCTION("IMPORTRANGE(""https://docs.google.com/spreadsheets/d/1Yj_ptqi66GCucihVvJfMjLAmec39IyEx_6qawtMGysU/edit?usp=sharing"",""สบก!AI39"")"),732320)</f>
        <v>732320</v>
      </c>
      <c r="I35" s="77">
        <f t="shared" ca="1" si="3"/>
        <v>672386.97</v>
      </c>
      <c r="J35" s="78">
        <f t="shared" ca="1" si="4"/>
        <v>63.896889670246125</v>
      </c>
      <c r="K35" s="77">
        <f ca="1">IFERROR(__xludf.DUMMYFUNCTION("IMPORTRANGE(""https://docs.google.com/spreadsheets/d/1Yj_ptqi66GCucihVvJfMjLAmec39IyEx_6qawtMGysU/edit?usp=sharing"",""สบก!AJ39"")"),532386.97)</f>
        <v>532386.97</v>
      </c>
      <c r="L35" s="79">
        <f t="shared" ca="1" si="5"/>
        <v>58.356568014907374</v>
      </c>
      <c r="M35" s="79">
        <f t="shared" ca="1" si="6"/>
        <v>72.698679538999343</v>
      </c>
      <c r="N35" s="80">
        <f ca="1">IFERROR(__xludf.DUMMYFUNCTION("IMPORTRANGE(""https://docs.google.com/spreadsheets/d/1Yj_ptqi66GCucihVvJfMjLAmec39IyEx_6qawtMGysU/edit?usp=sharing"",""สบก!AK39"")"),140000)</f>
        <v>140000</v>
      </c>
      <c r="O35" s="79">
        <f t="shared" ca="1" si="7"/>
        <v>100</v>
      </c>
      <c r="P35" s="81">
        <f t="shared" ca="1" si="33"/>
        <v>1</v>
      </c>
      <c r="Q35" s="81">
        <f t="shared" ca="1" si="8"/>
        <v>30</v>
      </c>
      <c r="R35" s="81">
        <f t="shared" ca="1" si="41"/>
        <v>1</v>
      </c>
      <c r="S35" s="82">
        <f t="shared" ca="1" si="9"/>
        <v>100</v>
      </c>
      <c r="T35" s="81">
        <f t="shared" ca="1" si="42"/>
        <v>30</v>
      </c>
      <c r="U35" s="82">
        <f t="shared" ca="1" si="10"/>
        <v>100</v>
      </c>
      <c r="V35" s="77">
        <f ca="1">IFERROR(__xludf.DUMMYFUNCTION("IMPORTRANGE(""https://docs.google.com/spreadsheets/d/1C3CXT74ZlgGe6_JY_1olB1XN4rF0dxEuIIF-xsYjHgg/edit?usp=sharing"",""พรบ!H39"")"),1)</f>
        <v>1</v>
      </c>
      <c r="W35" s="77">
        <f ca="1">IFERROR(__xludf.DUMMYFUNCTION("IMPORTRANGE(""https://docs.google.com/spreadsheets/d/1C3CXT74ZlgGe6_JY_1olB1XN4rF0dxEuIIF-xsYjHgg/edit?usp=sharing"",""พรบ!I39"")"),30)</f>
        <v>30</v>
      </c>
      <c r="X35" s="81">
        <f ca="1">IFERROR(__xludf.DUMMYFUNCTION("IMPORTRANGE(""https://docs.google.com/spreadsheets/d/1XL5vhW3sbDhbH9Cz0tuDiY8C3ctxq1tqvaCgkFb8cCA/edit?usp=sharing"",""ขอนแก่น!J22"")"),1)</f>
        <v>1</v>
      </c>
      <c r="Y35" s="81">
        <f ca="1">IFERROR(__xludf.DUMMYFUNCTION("IMPORTRANGE(""https://docs.google.com/spreadsheets/d/1XL5vhW3sbDhbH9Cz0tuDiY8C3ctxq1tqvaCgkFb8cCA/edit?usp=sharing"",""ขอนแก่น!J23"")"),30)</f>
        <v>30</v>
      </c>
      <c r="Z35" s="77">
        <f ca="1">IFERROR(__xludf.DUMMYFUNCTION("IMPORTRANGE(""https://docs.google.com/spreadsheets/d/1C3CXT74ZlgGe6_JY_1olB1XN4rF0dxEuIIF-xsYjHgg/edit?usp=sharing"",""พรบ!J39"")"),0)</f>
        <v>0</v>
      </c>
      <c r="AA35" s="77">
        <f ca="1">IFERROR(__xludf.DUMMYFUNCTION("IMPORTRANGE(""https://docs.google.com/spreadsheets/d/1C3CXT74ZlgGe6_JY_1olB1XN4rF0dxEuIIF-xsYjHgg/edit?usp=sharing"",""พรบ!K39"")"),0)</f>
        <v>0</v>
      </c>
      <c r="AB35" s="81">
        <f ca="1">IFERROR(__xludf.DUMMYFUNCTION("IMPORTRANGE(""https://docs.google.com/spreadsheets/d/1XL5vhW3sbDhbH9Cz0tuDiY8C3ctxq1tqvaCgkFb8cCA/edit?usp=sharing"",""ขอนแก่น!J24"")"),0)</f>
        <v>0</v>
      </c>
      <c r="AC35" s="81">
        <f ca="1">IFERROR(__xludf.DUMMYFUNCTION("IMPORTRANGE(""https://docs.google.com/spreadsheets/d/1XL5vhW3sbDhbH9Cz0tuDiY8C3ctxq1tqvaCgkFb8cCA/edit?usp=sharing"",""ขอนแก่น!J25"")"),0)</f>
        <v>0</v>
      </c>
      <c r="AD35" s="77">
        <f ca="1">IFERROR(__xludf.DUMMYFUNCTION("IMPORTRANGE(""https://docs.google.com/spreadsheets/d/1C3CXT74ZlgGe6_JY_1olB1XN4rF0dxEuIIF-xsYjHgg/edit?usp=sharing"",""พรบ!L39"")"),0)</f>
        <v>0</v>
      </c>
      <c r="AE35" s="77">
        <f ca="1">IFERROR(__xludf.DUMMYFUNCTION("IMPORTRANGE(""https://docs.google.com/spreadsheets/d/1C3CXT74ZlgGe6_JY_1olB1XN4rF0dxEuIIF-xsYjHgg/edit?usp=sharing"",""พรบ!M39"")"),0)</f>
        <v>0</v>
      </c>
      <c r="AF35" s="81">
        <f ca="1">IFERROR(__xludf.DUMMYFUNCTION("IMPORTRANGE(""https://docs.google.com/spreadsheets/d/1XL5vhW3sbDhbH9Cz0tuDiY8C3ctxq1tqvaCgkFb8cCA/edit?usp=sharing"",""ขอนแก่น!J26"")"),0)</f>
        <v>0</v>
      </c>
      <c r="AG35" s="81">
        <f ca="1">IFERROR(__xludf.DUMMYFUNCTION("IMPORTRANGE(""https://docs.google.com/spreadsheets/d/1XL5vhW3sbDhbH9Cz0tuDiY8C3ctxq1tqvaCgkFb8cCA/edit?usp=sharing"",""ขอนแก่น!J27"")"),0)</f>
        <v>0</v>
      </c>
      <c r="AH35" s="77">
        <f ca="1">IFERROR(__xludf.DUMMYFUNCTION("IMPORTRANGE(""https://docs.google.com/spreadsheets/d/1C3CXT74ZlgGe6_JY_1olB1XN4rF0dxEuIIF-xsYjHgg/edit?usp=sharing"",""พรบ!N39"")"),30)</f>
        <v>30</v>
      </c>
      <c r="AI35" s="81">
        <f ca="1">IFERROR(__xludf.DUMMYFUNCTION("IMPORTRANGE(""https://docs.google.com/spreadsheets/d/1XL5vhW3sbDhbH9Cz0tuDiY8C3ctxq1tqvaCgkFb8cCA/edit?usp=sharing"",""ขอนแก่น!J28"")"),30)</f>
        <v>30</v>
      </c>
      <c r="AJ35" s="79">
        <f t="shared" ca="1" si="17"/>
        <v>100</v>
      </c>
    </row>
    <row r="36" spans="1:36" ht="21" customHeight="1">
      <c r="A36" s="73">
        <v>3</v>
      </c>
      <c r="B36" s="74" t="s">
        <v>60</v>
      </c>
      <c r="C36" s="75">
        <f t="shared" ca="1" si="0"/>
        <v>0</v>
      </c>
      <c r="D36" s="76">
        <f t="shared" ca="1" si="40"/>
        <v>0</v>
      </c>
      <c r="E36" s="77">
        <f ca="1">IFERROR(__xludf.DUMMYFUNCTION("IMPORTRANGE(""https://docs.google.com/spreadsheets/d/1C3CXT74ZlgGe6_JY_1olB1XN4rF0dxEuIIF-xsYjHgg/edit?usp=sharing"",""พรบ!D40"")"),0)</f>
        <v>0</v>
      </c>
      <c r="F36" s="77">
        <f ca="1">IFERROR(__xludf.DUMMYFUNCTION("IMPORTRANGE(""https://docs.google.com/spreadsheets/d/1C3CXT74ZlgGe6_JY_1olB1XN4rF0dxEuIIF-xsYjHgg/edit?usp=sharing"",""พรบ!E40"")"),0)</f>
        <v>0</v>
      </c>
      <c r="G36" s="77">
        <f ca="1">IFERROR(__xludf.DUMMYFUNCTION("IMPORTRANGE(""https://docs.google.com/spreadsheets/d/1Yj_ptqi66GCucihVvJfMjLAmec39IyEx_6qawtMGysU/edit?usp=sharing"",""สบก!AG40"")"),0)</f>
        <v>0</v>
      </c>
      <c r="H36" s="77">
        <f ca="1">IFERROR(__xludf.DUMMYFUNCTION("IMPORTRANGE(""https://docs.google.com/spreadsheets/d/1Yj_ptqi66GCucihVvJfMjLAmec39IyEx_6qawtMGysU/edit?usp=sharing"",""สบก!AI40"")"),0)</f>
        <v>0</v>
      </c>
      <c r="I36" s="77">
        <f t="shared" ca="1" si="3"/>
        <v>0</v>
      </c>
      <c r="J36" s="78">
        <f t="shared" ca="1" si="4"/>
        <v>0</v>
      </c>
      <c r="K36" s="77">
        <f ca="1">IFERROR(__xludf.DUMMYFUNCTION("IMPORTRANGE(""https://docs.google.com/spreadsheets/d/1Yj_ptqi66GCucihVvJfMjLAmec39IyEx_6qawtMGysU/edit?usp=sharing"",""สบก!AJ40"")"),0)</f>
        <v>0</v>
      </c>
      <c r="L36" s="79">
        <f t="shared" ca="1" si="5"/>
        <v>0</v>
      </c>
      <c r="M36" s="79">
        <f t="shared" ca="1" si="6"/>
        <v>0</v>
      </c>
      <c r="N36" s="80">
        <f ca="1">IFERROR(__xludf.DUMMYFUNCTION("IMPORTRANGE(""https://docs.google.com/spreadsheets/d/1Yj_ptqi66GCucihVvJfMjLAmec39IyEx_6qawtMGysU/edit?usp=sharing"",""สบก!AK40"")"),0)</f>
        <v>0</v>
      </c>
      <c r="O36" s="79">
        <f t="shared" ca="1" si="7"/>
        <v>0</v>
      </c>
      <c r="P36" s="81">
        <f t="shared" ca="1" si="33"/>
        <v>0</v>
      </c>
      <c r="Q36" s="81">
        <f t="shared" ca="1" si="8"/>
        <v>0</v>
      </c>
      <c r="R36" s="81">
        <f t="shared" ca="1" si="41"/>
        <v>0</v>
      </c>
      <c r="S36" s="82">
        <f t="shared" ca="1" si="9"/>
        <v>0</v>
      </c>
      <c r="T36" s="81">
        <f t="shared" ca="1" si="42"/>
        <v>0</v>
      </c>
      <c r="U36" s="82">
        <f t="shared" ca="1" si="10"/>
        <v>0</v>
      </c>
      <c r="V36" s="77">
        <f ca="1">IFERROR(__xludf.DUMMYFUNCTION("IMPORTRANGE(""https://docs.google.com/spreadsheets/d/1C3CXT74ZlgGe6_JY_1olB1XN4rF0dxEuIIF-xsYjHgg/edit?usp=sharing"",""พรบ!H40"")"),0)</f>
        <v>0</v>
      </c>
      <c r="W36" s="77">
        <f ca="1">IFERROR(__xludf.DUMMYFUNCTION("IMPORTRANGE(""https://docs.google.com/spreadsheets/d/1C3CXT74ZlgGe6_JY_1olB1XN4rF0dxEuIIF-xsYjHgg/edit?usp=sharing"",""พรบ!I40"")"),0)</f>
        <v>0</v>
      </c>
      <c r="X36" s="81">
        <f ca="1">IFERROR(__xludf.DUMMYFUNCTION("IMPORTRANGE(""https://docs.google.com/spreadsheets/d/1XL5vhW3sbDhbH9Cz0tuDiY8C3ctxq1tqvaCgkFb8cCA/edit?usp=sharing"",""ชัยภูมิ!J22"")"),0)</f>
        <v>0</v>
      </c>
      <c r="Y36" s="81">
        <f ca="1">IFERROR(__xludf.DUMMYFUNCTION("IMPORTRANGE(""https://docs.google.com/spreadsheets/d/1XL5vhW3sbDhbH9Cz0tuDiY8C3ctxq1tqvaCgkFb8cCA/edit?usp=sharing"",""ชัยภูมิ!J23"")"),0)</f>
        <v>0</v>
      </c>
      <c r="Z36" s="77">
        <f ca="1">IFERROR(__xludf.DUMMYFUNCTION("IMPORTRANGE(""https://docs.google.com/spreadsheets/d/1C3CXT74ZlgGe6_JY_1olB1XN4rF0dxEuIIF-xsYjHgg/edit?usp=sharing"",""พรบ!J40"")"),0)</f>
        <v>0</v>
      </c>
      <c r="AA36" s="77">
        <f ca="1">IFERROR(__xludf.DUMMYFUNCTION("IMPORTRANGE(""https://docs.google.com/spreadsheets/d/1C3CXT74ZlgGe6_JY_1olB1XN4rF0dxEuIIF-xsYjHgg/edit?usp=sharing"",""พรบ!K40"")"),0)</f>
        <v>0</v>
      </c>
      <c r="AB36" s="81">
        <f ca="1">IFERROR(__xludf.DUMMYFUNCTION("IMPORTRANGE(""https://docs.google.com/spreadsheets/d/1XL5vhW3sbDhbH9Cz0tuDiY8C3ctxq1tqvaCgkFb8cCA/edit?usp=sharing"",""ชัยภูมิ!J24"")"),0)</f>
        <v>0</v>
      </c>
      <c r="AC36" s="81">
        <f ca="1">IFERROR(__xludf.DUMMYFUNCTION("IMPORTRANGE(""https://docs.google.com/spreadsheets/d/1XL5vhW3sbDhbH9Cz0tuDiY8C3ctxq1tqvaCgkFb8cCA/edit?usp=sharing"",""ชัยภูมิ!J25"")"),0)</f>
        <v>0</v>
      </c>
      <c r="AD36" s="77">
        <f ca="1">IFERROR(__xludf.DUMMYFUNCTION("IMPORTRANGE(""https://docs.google.com/spreadsheets/d/1C3CXT74ZlgGe6_JY_1olB1XN4rF0dxEuIIF-xsYjHgg/edit?usp=sharing"",""พรบ!L40"")"),0)</f>
        <v>0</v>
      </c>
      <c r="AE36" s="77">
        <f ca="1">IFERROR(__xludf.DUMMYFUNCTION("IMPORTRANGE(""https://docs.google.com/spreadsheets/d/1C3CXT74ZlgGe6_JY_1olB1XN4rF0dxEuIIF-xsYjHgg/edit?usp=sharing"",""พรบ!M40"")"),0)</f>
        <v>0</v>
      </c>
      <c r="AF36" s="81">
        <f ca="1">IFERROR(__xludf.DUMMYFUNCTION("IMPORTRANGE(""https://docs.google.com/spreadsheets/d/1XL5vhW3sbDhbH9Cz0tuDiY8C3ctxq1tqvaCgkFb8cCA/edit?usp=sharing"",""ชัยภูมิ!J26"")"),0)</f>
        <v>0</v>
      </c>
      <c r="AG36" s="81">
        <f ca="1">IFERROR(__xludf.DUMMYFUNCTION("IMPORTRANGE(""https://docs.google.com/spreadsheets/d/1XL5vhW3sbDhbH9Cz0tuDiY8C3ctxq1tqvaCgkFb8cCA/edit?usp=sharing"",""ชัยภูมิ!J27"")"),0)</f>
        <v>0</v>
      </c>
      <c r="AH36" s="77">
        <f ca="1">IFERROR(__xludf.DUMMYFUNCTION("IMPORTRANGE(""https://docs.google.com/spreadsheets/d/1C3CXT74ZlgGe6_JY_1olB1XN4rF0dxEuIIF-xsYjHgg/edit?usp=sharing"",""พรบ!N40"")"),0)</f>
        <v>0</v>
      </c>
      <c r="AI36" s="81">
        <f ca="1">IFERROR(__xludf.DUMMYFUNCTION("IMPORTRANGE(""https://docs.google.com/spreadsheets/d/1XL5vhW3sbDhbH9Cz0tuDiY8C3ctxq1tqvaCgkFb8cCA/edit?usp=sharing"",""ชัยภูมิ!J28"")"),0)</f>
        <v>0</v>
      </c>
      <c r="AJ36" s="79">
        <f t="shared" ca="1" si="17"/>
        <v>0</v>
      </c>
    </row>
    <row r="37" spans="1:36" ht="21" customHeight="1">
      <c r="A37" s="73">
        <v>4</v>
      </c>
      <c r="B37" s="74" t="s">
        <v>61</v>
      </c>
      <c r="C37" s="75">
        <f t="shared" ca="1" si="0"/>
        <v>674200</v>
      </c>
      <c r="D37" s="76">
        <f t="shared" ca="1" si="40"/>
        <v>674200</v>
      </c>
      <c r="E37" s="77">
        <f ca="1">IFERROR(__xludf.DUMMYFUNCTION("IMPORTRANGE(""https://docs.google.com/spreadsheets/d/1C3CXT74ZlgGe6_JY_1olB1XN4rF0dxEuIIF-xsYjHgg/edit?usp=sharing"",""พรบ!D41"")"),188200)</f>
        <v>188200</v>
      </c>
      <c r="F37" s="77">
        <f ca="1">IFERROR(__xludf.DUMMYFUNCTION("IMPORTRANGE(""https://docs.google.com/spreadsheets/d/1C3CXT74ZlgGe6_JY_1olB1XN4rF0dxEuIIF-xsYjHgg/edit?usp=sharing"",""พรบ!E41"")"),486000)</f>
        <v>486000</v>
      </c>
      <c r="G37" s="77">
        <f ca="1">IFERROR(__xludf.DUMMYFUNCTION("IMPORTRANGE(""https://docs.google.com/spreadsheets/d/1Yj_ptqi66GCucihVvJfMjLAmec39IyEx_6qawtMGysU/edit?usp=sharing"",""สบก!AG41"")"),0)</f>
        <v>0</v>
      </c>
      <c r="H37" s="77">
        <f ca="1">IFERROR(__xludf.DUMMYFUNCTION("IMPORTRANGE(""https://docs.google.com/spreadsheets/d/1Yj_ptqi66GCucihVvJfMjLAmec39IyEx_6qawtMGysU/edit?usp=sharing"",""สบก!AI41"")"),554720)</f>
        <v>554720</v>
      </c>
      <c r="I37" s="77">
        <f t="shared" ca="1" si="3"/>
        <v>225842.31</v>
      </c>
      <c r="J37" s="78">
        <f t="shared" ca="1" si="4"/>
        <v>33.497821121328982</v>
      </c>
      <c r="K37" s="77">
        <f ca="1">IFERROR(__xludf.DUMMYFUNCTION("IMPORTRANGE(""https://docs.google.com/spreadsheets/d/1Yj_ptqi66GCucihVvJfMjLAmec39IyEx_6qawtMGysU/edit?usp=sharing"",""สบก!AJ41"")"),225842.31)</f>
        <v>225842.31</v>
      </c>
      <c r="L37" s="79">
        <f t="shared" ca="1" si="5"/>
        <v>33.497821121328982</v>
      </c>
      <c r="M37" s="79">
        <f t="shared" ca="1" si="6"/>
        <v>40.712847923276605</v>
      </c>
      <c r="N37" s="80">
        <f ca="1">IFERROR(__xludf.DUMMYFUNCTION("IMPORTRANGE(""https://docs.google.com/spreadsheets/d/1Yj_ptqi66GCucihVvJfMjLAmec39IyEx_6qawtMGysU/edit?usp=sharing"",""สบก!AK41"")"),0)</f>
        <v>0</v>
      </c>
      <c r="O37" s="79">
        <f t="shared" ca="1" si="7"/>
        <v>0</v>
      </c>
      <c r="P37" s="81">
        <f t="shared" ca="1" si="33"/>
        <v>1</v>
      </c>
      <c r="Q37" s="81">
        <f t="shared" ca="1" si="8"/>
        <v>50</v>
      </c>
      <c r="R37" s="81">
        <f t="shared" ca="1" si="41"/>
        <v>1</v>
      </c>
      <c r="S37" s="82">
        <f t="shared" ca="1" si="9"/>
        <v>100</v>
      </c>
      <c r="T37" s="81">
        <f t="shared" ca="1" si="42"/>
        <v>50</v>
      </c>
      <c r="U37" s="82">
        <f t="shared" ca="1" si="10"/>
        <v>100</v>
      </c>
      <c r="V37" s="77">
        <f ca="1">IFERROR(__xludf.DUMMYFUNCTION("IMPORTRANGE(""https://docs.google.com/spreadsheets/d/1C3CXT74ZlgGe6_JY_1olB1XN4rF0dxEuIIF-xsYjHgg/edit?usp=sharing"",""พรบ!H41"")"),0)</f>
        <v>0</v>
      </c>
      <c r="W37" s="77">
        <f ca="1">IFERROR(__xludf.DUMMYFUNCTION("IMPORTRANGE(""https://docs.google.com/spreadsheets/d/1C3CXT74ZlgGe6_JY_1olB1XN4rF0dxEuIIF-xsYjHgg/edit?usp=sharing"",""พรบ!I41"")"),0)</f>
        <v>0</v>
      </c>
      <c r="X37" s="81">
        <f ca="1">IFERROR(__xludf.DUMMYFUNCTION("IMPORTRANGE(""https://docs.google.com/spreadsheets/d/1XL5vhW3sbDhbH9Cz0tuDiY8C3ctxq1tqvaCgkFb8cCA/edit?usp=sharing"",""นครพนม!J22"")"),0)</f>
        <v>0</v>
      </c>
      <c r="Y37" s="81">
        <f ca="1">IFERROR(__xludf.DUMMYFUNCTION("IMPORTRANGE(""https://docs.google.com/spreadsheets/d/1XL5vhW3sbDhbH9Cz0tuDiY8C3ctxq1tqvaCgkFb8cCA/edit?usp=sharing"",""นครพนม!J23"")"),0)</f>
        <v>0</v>
      </c>
      <c r="Z37" s="77">
        <f ca="1">IFERROR(__xludf.DUMMYFUNCTION("IMPORTRANGE(""https://docs.google.com/spreadsheets/d/1C3CXT74ZlgGe6_JY_1olB1XN4rF0dxEuIIF-xsYjHgg/edit?usp=sharing"",""พรบ!J41"")"),1)</f>
        <v>1</v>
      </c>
      <c r="AA37" s="77">
        <f ca="1">IFERROR(__xludf.DUMMYFUNCTION("IMPORTRANGE(""https://docs.google.com/spreadsheets/d/1C3CXT74ZlgGe6_JY_1olB1XN4rF0dxEuIIF-xsYjHgg/edit?usp=sharing"",""พรบ!K41"")"),50)</f>
        <v>50</v>
      </c>
      <c r="AB37" s="81">
        <f ca="1">IFERROR(__xludf.DUMMYFUNCTION("IMPORTRANGE(""https://docs.google.com/spreadsheets/d/1XL5vhW3sbDhbH9Cz0tuDiY8C3ctxq1tqvaCgkFb8cCA/edit?usp=sharing"",""นครพนม!J24"")"),1)</f>
        <v>1</v>
      </c>
      <c r="AC37" s="81">
        <f ca="1">IFERROR(__xludf.DUMMYFUNCTION("IMPORTRANGE(""https://docs.google.com/spreadsheets/d/1XL5vhW3sbDhbH9Cz0tuDiY8C3ctxq1tqvaCgkFb8cCA/edit?usp=sharing"",""นครพนม!J25"")"),50)</f>
        <v>50</v>
      </c>
      <c r="AD37" s="77">
        <f ca="1">IFERROR(__xludf.DUMMYFUNCTION("IMPORTRANGE(""https://docs.google.com/spreadsheets/d/1C3CXT74ZlgGe6_JY_1olB1XN4rF0dxEuIIF-xsYjHgg/edit?usp=sharing"",""พรบ!L41"")"),0)</f>
        <v>0</v>
      </c>
      <c r="AE37" s="77">
        <f ca="1">IFERROR(__xludf.DUMMYFUNCTION("IMPORTRANGE(""https://docs.google.com/spreadsheets/d/1C3CXT74ZlgGe6_JY_1olB1XN4rF0dxEuIIF-xsYjHgg/edit?usp=sharing"",""พรบ!M41"")"),0)</f>
        <v>0</v>
      </c>
      <c r="AF37" s="81">
        <f ca="1">IFERROR(__xludf.DUMMYFUNCTION("IMPORTRANGE(""https://docs.google.com/spreadsheets/d/1XL5vhW3sbDhbH9Cz0tuDiY8C3ctxq1tqvaCgkFb8cCA/edit?usp=sharing"",""นครพนม!J26"")"),0)</f>
        <v>0</v>
      </c>
      <c r="AG37" s="81">
        <f ca="1">IFERROR(__xludf.DUMMYFUNCTION("IMPORTRANGE(""https://docs.google.com/spreadsheets/d/1XL5vhW3sbDhbH9Cz0tuDiY8C3ctxq1tqvaCgkFb8cCA/edit?usp=sharing"",""นครพนม!J27"")"),0)</f>
        <v>0</v>
      </c>
      <c r="AH37" s="77">
        <f ca="1">IFERROR(__xludf.DUMMYFUNCTION("IMPORTRANGE(""https://docs.google.com/spreadsheets/d/1C3CXT74ZlgGe6_JY_1olB1XN4rF0dxEuIIF-xsYjHgg/edit?usp=sharing"",""พรบ!N41"")"),0)</f>
        <v>0</v>
      </c>
      <c r="AI37" s="81">
        <f ca="1">IFERROR(__xludf.DUMMYFUNCTION("IMPORTRANGE(""https://docs.google.com/spreadsheets/d/1XL5vhW3sbDhbH9Cz0tuDiY8C3ctxq1tqvaCgkFb8cCA/edit?usp=sharing"",""นครพนม!J28"")"),0)</f>
        <v>0</v>
      </c>
      <c r="AJ37" s="79">
        <f t="shared" ca="1" si="17"/>
        <v>0</v>
      </c>
    </row>
    <row r="38" spans="1:36" ht="21" customHeight="1">
      <c r="A38" s="73">
        <v>5</v>
      </c>
      <c r="B38" s="74" t="s">
        <v>62</v>
      </c>
      <c r="C38" s="75">
        <f t="shared" ca="1" si="0"/>
        <v>0</v>
      </c>
      <c r="D38" s="76">
        <f t="shared" ca="1" si="40"/>
        <v>0</v>
      </c>
      <c r="E38" s="77">
        <f ca="1">IFERROR(__xludf.DUMMYFUNCTION("IMPORTRANGE(""https://docs.google.com/spreadsheets/d/1C3CXT74ZlgGe6_JY_1olB1XN4rF0dxEuIIF-xsYjHgg/edit?usp=sharing"",""พรบ!D42"")"),0)</f>
        <v>0</v>
      </c>
      <c r="F38" s="77">
        <f ca="1">IFERROR(__xludf.DUMMYFUNCTION("IMPORTRANGE(""https://docs.google.com/spreadsheets/d/1C3CXT74ZlgGe6_JY_1olB1XN4rF0dxEuIIF-xsYjHgg/edit?usp=sharing"",""พรบ!E42"")"),0)</f>
        <v>0</v>
      </c>
      <c r="G38" s="77">
        <f ca="1">IFERROR(__xludf.DUMMYFUNCTION("IMPORTRANGE(""https://docs.google.com/spreadsheets/d/1Yj_ptqi66GCucihVvJfMjLAmec39IyEx_6qawtMGysU/edit?usp=sharing"",""สบก!AG42"")"),0)</f>
        <v>0</v>
      </c>
      <c r="H38" s="77">
        <f ca="1">IFERROR(__xludf.DUMMYFUNCTION("IMPORTRANGE(""https://docs.google.com/spreadsheets/d/1Yj_ptqi66GCucihVvJfMjLAmec39IyEx_6qawtMGysU/edit?usp=sharing"",""สบก!AI42"")"),0)</f>
        <v>0</v>
      </c>
      <c r="I38" s="77">
        <f t="shared" ca="1" si="3"/>
        <v>0</v>
      </c>
      <c r="J38" s="78">
        <f t="shared" ca="1" si="4"/>
        <v>0</v>
      </c>
      <c r="K38" s="77">
        <f ca="1">IFERROR(__xludf.DUMMYFUNCTION("IMPORTRANGE(""https://docs.google.com/spreadsheets/d/1Yj_ptqi66GCucihVvJfMjLAmec39IyEx_6qawtMGysU/edit?usp=sharing"",""สบก!AJ42"")"),0)</f>
        <v>0</v>
      </c>
      <c r="L38" s="79">
        <f t="shared" ca="1" si="5"/>
        <v>0</v>
      </c>
      <c r="M38" s="79">
        <f t="shared" ca="1" si="6"/>
        <v>0</v>
      </c>
      <c r="N38" s="80">
        <f ca="1">IFERROR(__xludf.DUMMYFUNCTION("IMPORTRANGE(""https://docs.google.com/spreadsheets/d/1Yj_ptqi66GCucihVvJfMjLAmec39IyEx_6qawtMGysU/edit?usp=sharing"",""สบก!AK42"")"),0)</f>
        <v>0</v>
      </c>
      <c r="O38" s="79">
        <f t="shared" ca="1" si="7"/>
        <v>0</v>
      </c>
      <c r="P38" s="81">
        <f t="shared" ca="1" si="33"/>
        <v>0</v>
      </c>
      <c r="Q38" s="81">
        <f t="shared" ca="1" si="8"/>
        <v>0</v>
      </c>
      <c r="R38" s="81">
        <f t="shared" ca="1" si="41"/>
        <v>0</v>
      </c>
      <c r="S38" s="82">
        <f t="shared" ca="1" si="9"/>
        <v>0</v>
      </c>
      <c r="T38" s="81">
        <f t="shared" ca="1" si="42"/>
        <v>0</v>
      </c>
      <c r="U38" s="82">
        <f t="shared" ca="1" si="10"/>
        <v>0</v>
      </c>
      <c r="V38" s="77">
        <f ca="1">IFERROR(__xludf.DUMMYFUNCTION("IMPORTRANGE(""https://docs.google.com/spreadsheets/d/1C3CXT74ZlgGe6_JY_1olB1XN4rF0dxEuIIF-xsYjHgg/edit?usp=sharing"",""พรบ!H42"")"),0)</f>
        <v>0</v>
      </c>
      <c r="W38" s="77">
        <f ca="1">IFERROR(__xludf.DUMMYFUNCTION("IMPORTRANGE(""https://docs.google.com/spreadsheets/d/1C3CXT74ZlgGe6_JY_1olB1XN4rF0dxEuIIF-xsYjHgg/edit?usp=sharing"",""พรบ!I42"")"),0)</f>
        <v>0</v>
      </c>
      <c r="X38" s="81">
        <f ca="1">IFERROR(__xludf.DUMMYFUNCTION("IMPORTRANGE(""https://docs.google.com/spreadsheets/d/1XL5vhW3sbDhbH9Cz0tuDiY8C3ctxq1tqvaCgkFb8cCA/edit?usp=sharing"",""นครราชสีมา!J22"")"),0)</f>
        <v>0</v>
      </c>
      <c r="Y38" s="81">
        <f ca="1">IFERROR(__xludf.DUMMYFUNCTION("IMPORTRANGE(""https://docs.google.com/spreadsheets/d/1XL5vhW3sbDhbH9Cz0tuDiY8C3ctxq1tqvaCgkFb8cCA/edit?usp=sharing"",""นครราชสีมา!J23"")"),0)</f>
        <v>0</v>
      </c>
      <c r="Z38" s="77">
        <f ca="1">IFERROR(__xludf.DUMMYFUNCTION("IMPORTRANGE(""https://docs.google.com/spreadsheets/d/1C3CXT74ZlgGe6_JY_1olB1XN4rF0dxEuIIF-xsYjHgg/edit?usp=sharing"",""พรบ!J42"")"),0)</f>
        <v>0</v>
      </c>
      <c r="AA38" s="77">
        <f ca="1">IFERROR(__xludf.DUMMYFUNCTION("IMPORTRANGE(""https://docs.google.com/spreadsheets/d/1C3CXT74ZlgGe6_JY_1olB1XN4rF0dxEuIIF-xsYjHgg/edit?usp=sharing"",""พรบ!K42"")"),0)</f>
        <v>0</v>
      </c>
      <c r="AB38" s="81">
        <f ca="1">IFERROR(__xludf.DUMMYFUNCTION("IMPORTRANGE(""https://docs.google.com/spreadsheets/d/1XL5vhW3sbDhbH9Cz0tuDiY8C3ctxq1tqvaCgkFb8cCA/edit?usp=sharing"",""นครราชสีมา!J24"")"),0)</f>
        <v>0</v>
      </c>
      <c r="AC38" s="81">
        <f ca="1">IFERROR(__xludf.DUMMYFUNCTION("IMPORTRANGE(""https://docs.google.com/spreadsheets/d/1XL5vhW3sbDhbH9Cz0tuDiY8C3ctxq1tqvaCgkFb8cCA/edit?usp=sharing"",""นครราชสีมา!J25"")"),0)</f>
        <v>0</v>
      </c>
      <c r="AD38" s="77">
        <f ca="1">IFERROR(__xludf.DUMMYFUNCTION("IMPORTRANGE(""https://docs.google.com/spreadsheets/d/1C3CXT74ZlgGe6_JY_1olB1XN4rF0dxEuIIF-xsYjHgg/edit?usp=sharing"",""พรบ!L42"")"),0)</f>
        <v>0</v>
      </c>
      <c r="AE38" s="77">
        <f ca="1">IFERROR(__xludf.DUMMYFUNCTION("IMPORTRANGE(""https://docs.google.com/spreadsheets/d/1C3CXT74ZlgGe6_JY_1olB1XN4rF0dxEuIIF-xsYjHgg/edit?usp=sharing"",""พรบ!M42"")"),0)</f>
        <v>0</v>
      </c>
      <c r="AF38" s="81">
        <f ca="1">IFERROR(__xludf.DUMMYFUNCTION("IMPORTRANGE(""https://docs.google.com/spreadsheets/d/1XL5vhW3sbDhbH9Cz0tuDiY8C3ctxq1tqvaCgkFb8cCA/edit?usp=sharing"",""นครราชสีมา!J26"")"),0)</f>
        <v>0</v>
      </c>
      <c r="AG38" s="81">
        <f ca="1">IFERROR(__xludf.DUMMYFUNCTION("IMPORTRANGE(""https://docs.google.com/spreadsheets/d/1XL5vhW3sbDhbH9Cz0tuDiY8C3ctxq1tqvaCgkFb8cCA/edit?usp=sharing"",""นครราชสีมา!J27"")"),0)</f>
        <v>0</v>
      </c>
      <c r="AH38" s="77">
        <f ca="1">IFERROR(__xludf.DUMMYFUNCTION("IMPORTRANGE(""https://docs.google.com/spreadsheets/d/1C3CXT74ZlgGe6_JY_1olB1XN4rF0dxEuIIF-xsYjHgg/edit?usp=sharing"",""พรบ!N42"")"),0)</f>
        <v>0</v>
      </c>
      <c r="AI38" s="81">
        <f ca="1">IFERROR(__xludf.DUMMYFUNCTION("IMPORTRANGE(""https://docs.google.com/spreadsheets/d/1XL5vhW3sbDhbH9Cz0tuDiY8C3ctxq1tqvaCgkFb8cCA/edit?usp=sharing"",""นครราชสีมา!J28"")"),0)</f>
        <v>0</v>
      </c>
      <c r="AJ38" s="79">
        <f t="shared" ca="1" si="17"/>
        <v>0</v>
      </c>
    </row>
    <row r="39" spans="1:36" ht="21" customHeight="1">
      <c r="A39" s="73">
        <v>6</v>
      </c>
      <c r="B39" s="74" t="s">
        <v>63</v>
      </c>
      <c r="C39" s="75">
        <f t="shared" ca="1" si="0"/>
        <v>0</v>
      </c>
      <c r="D39" s="76">
        <f t="shared" ca="1" si="40"/>
        <v>0</v>
      </c>
      <c r="E39" s="77">
        <f ca="1">IFERROR(__xludf.DUMMYFUNCTION("IMPORTRANGE(""https://docs.google.com/spreadsheets/d/1C3CXT74ZlgGe6_JY_1olB1XN4rF0dxEuIIF-xsYjHgg/edit?usp=sharing"",""พรบ!D43"")"),0)</f>
        <v>0</v>
      </c>
      <c r="F39" s="77">
        <f ca="1">IFERROR(__xludf.DUMMYFUNCTION("IMPORTRANGE(""https://docs.google.com/spreadsheets/d/1C3CXT74ZlgGe6_JY_1olB1XN4rF0dxEuIIF-xsYjHgg/edit?usp=sharing"",""พรบ!E43"")"),0)</f>
        <v>0</v>
      </c>
      <c r="G39" s="77">
        <f ca="1">IFERROR(__xludf.DUMMYFUNCTION("IMPORTRANGE(""https://docs.google.com/spreadsheets/d/1Yj_ptqi66GCucihVvJfMjLAmec39IyEx_6qawtMGysU/edit?usp=sharing"",""สบก!AG43"")"),0)</f>
        <v>0</v>
      </c>
      <c r="H39" s="77">
        <f ca="1">IFERROR(__xludf.DUMMYFUNCTION("IMPORTRANGE(""https://docs.google.com/spreadsheets/d/1Yj_ptqi66GCucihVvJfMjLAmec39IyEx_6qawtMGysU/edit?usp=sharing"",""สบก!AI43"")"),0)</f>
        <v>0</v>
      </c>
      <c r="I39" s="77">
        <f t="shared" ca="1" si="3"/>
        <v>0</v>
      </c>
      <c r="J39" s="78">
        <f t="shared" ca="1" si="4"/>
        <v>0</v>
      </c>
      <c r="K39" s="77">
        <f ca="1">IFERROR(__xludf.DUMMYFUNCTION("IMPORTRANGE(""https://docs.google.com/spreadsheets/d/1Yj_ptqi66GCucihVvJfMjLAmec39IyEx_6qawtMGysU/edit?usp=sharing"",""สบก!AJ43"")"),0)</f>
        <v>0</v>
      </c>
      <c r="L39" s="79">
        <f t="shared" ca="1" si="5"/>
        <v>0</v>
      </c>
      <c r="M39" s="79">
        <f t="shared" ca="1" si="6"/>
        <v>0</v>
      </c>
      <c r="N39" s="80">
        <f ca="1">IFERROR(__xludf.DUMMYFUNCTION("IMPORTRANGE(""https://docs.google.com/spreadsheets/d/1Yj_ptqi66GCucihVvJfMjLAmec39IyEx_6qawtMGysU/edit?usp=sharing"",""สบก!AK43"")"),0)</f>
        <v>0</v>
      </c>
      <c r="O39" s="79">
        <f t="shared" ca="1" si="7"/>
        <v>0</v>
      </c>
      <c r="P39" s="81">
        <f t="shared" ca="1" si="33"/>
        <v>0</v>
      </c>
      <c r="Q39" s="81">
        <f t="shared" ca="1" si="8"/>
        <v>0</v>
      </c>
      <c r="R39" s="81">
        <f t="shared" ca="1" si="41"/>
        <v>0</v>
      </c>
      <c r="S39" s="82">
        <f t="shared" ca="1" si="9"/>
        <v>0</v>
      </c>
      <c r="T39" s="81">
        <f t="shared" ca="1" si="42"/>
        <v>0</v>
      </c>
      <c r="U39" s="82">
        <f t="shared" ca="1" si="10"/>
        <v>0</v>
      </c>
      <c r="V39" s="77">
        <f ca="1">IFERROR(__xludf.DUMMYFUNCTION("IMPORTRANGE(""https://docs.google.com/spreadsheets/d/1C3CXT74ZlgGe6_JY_1olB1XN4rF0dxEuIIF-xsYjHgg/edit?usp=sharing"",""พรบ!H43"")"),0)</f>
        <v>0</v>
      </c>
      <c r="W39" s="77">
        <f ca="1">IFERROR(__xludf.DUMMYFUNCTION("IMPORTRANGE(""https://docs.google.com/spreadsheets/d/1C3CXT74ZlgGe6_JY_1olB1XN4rF0dxEuIIF-xsYjHgg/edit?usp=sharing"",""พรบ!I43"")"),0)</f>
        <v>0</v>
      </c>
      <c r="X39" s="81">
        <f ca="1">IFERROR(__xludf.DUMMYFUNCTION("IMPORTRANGE(""https://docs.google.com/spreadsheets/d/1XL5vhW3sbDhbH9Cz0tuDiY8C3ctxq1tqvaCgkFb8cCA/edit?usp=sharing"",""บึงกาฬ!J22"")"),0)</f>
        <v>0</v>
      </c>
      <c r="Y39" s="81">
        <f ca="1">IFERROR(__xludf.DUMMYFUNCTION("IMPORTRANGE(""https://docs.google.com/spreadsheets/d/1XL5vhW3sbDhbH9Cz0tuDiY8C3ctxq1tqvaCgkFb8cCA/edit?usp=sharing"",""บึงกาฬ!J23"")"),0)</f>
        <v>0</v>
      </c>
      <c r="Z39" s="77">
        <f ca="1">IFERROR(__xludf.DUMMYFUNCTION("IMPORTRANGE(""https://docs.google.com/spreadsheets/d/1C3CXT74ZlgGe6_JY_1olB1XN4rF0dxEuIIF-xsYjHgg/edit?usp=sharing"",""พรบ!J43"")"),0)</f>
        <v>0</v>
      </c>
      <c r="AA39" s="77">
        <f ca="1">IFERROR(__xludf.DUMMYFUNCTION("IMPORTRANGE(""https://docs.google.com/spreadsheets/d/1C3CXT74ZlgGe6_JY_1olB1XN4rF0dxEuIIF-xsYjHgg/edit?usp=sharing"",""พรบ!K43"")"),0)</f>
        <v>0</v>
      </c>
      <c r="AB39" s="81">
        <f ca="1">IFERROR(__xludf.DUMMYFUNCTION("IMPORTRANGE(""https://docs.google.com/spreadsheets/d/1XL5vhW3sbDhbH9Cz0tuDiY8C3ctxq1tqvaCgkFb8cCA/edit?usp=sharing"",""บึงกาฬ!J24"")"),0)</f>
        <v>0</v>
      </c>
      <c r="AC39" s="81">
        <f ca="1">IFERROR(__xludf.DUMMYFUNCTION("IMPORTRANGE(""https://docs.google.com/spreadsheets/d/1XL5vhW3sbDhbH9Cz0tuDiY8C3ctxq1tqvaCgkFb8cCA/edit?usp=sharing"",""บึงกาฬ!J25"")"),0)</f>
        <v>0</v>
      </c>
      <c r="AD39" s="77">
        <f ca="1">IFERROR(__xludf.DUMMYFUNCTION("IMPORTRANGE(""https://docs.google.com/spreadsheets/d/1C3CXT74ZlgGe6_JY_1olB1XN4rF0dxEuIIF-xsYjHgg/edit?usp=sharing"",""พรบ!L43"")"),0)</f>
        <v>0</v>
      </c>
      <c r="AE39" s="77">
        <f ca="1">IFERROR(__xludf.DUMMYFUNCTION("IMPORTRANGE(""https://docs.google.com/spreadsheets/d/1C3CXT74ZlgGe6_JY_1olB1XN4rF0dxEuIIF-xsYjHgg/edit?usp=sharing"",""พรบ!M43"")"),0)</f>
        <v>0</v>
      </c>
      <c r="AF39" s="81">
        <f ca="1">IFERROR(__xludf.DUMMYFUNCTION("IMPORTRANGE(""https://docs.google.com/spreadsheets/d/1XL5vhW3sbDhbH9Cz0tuDiY8C3ctxq1tqvaCgkFb8cCA/edit?usp=sharing"",""บึงกาฬ!J26"")"),0)</f>
        <v>0</v>
      </c>
      <c r="AG39" s="81">
        <f ca="1">IFERROR(__xludf.DUMMYFUNCTION("IMPORTRANGE(""https://docs.google.com/spreadsheets/d/1XL5vhW3sbDhbH9Cz0tuDiY8C3ctxq1tqvaCgkFb8cCA/edit?usp=sharing"",""บึงกาฬ!J27"")"),0)</f>
        <v>0</v>
      </c>
      <c r="AH39" s="77">
        <f ca="1">IFERROR(__xludf.DUMMYFUNCTION("IMPORTRANGE(""https://docs.google.com/spreadsheets/d/1C3CXT74ZlgGe6_JY_1olB1XN4rF0dxEuIIF-xsYjHgg/edit?usp=sharing"",""พรบ!N43"")"),0)</f>
        <v>0</v>
      </c>
      <c r="AI39" s="81">
        <f ca="1">IFERROR(__xludf.DUMMYFUNCTION("IMPORTRANGE(""https://docs.google.com/spreadsheets/d/1XL5vhW3sbDhbH9Cz0tuDiY8C3ctxq1tqvaCgkFb8cCA/edit?usp=sharing"",""บึงกาฬ!J28"")"),0)</f>
        <v>0</v>
      </c>
      <c r="AJ39" s="79">
        <f t="shared" ca="1" si="17"/>
        <v>0</v>
      </c>
    </row>
    <row r="40" spans="1:36" ht="21" customHeight="1">
      <c r="A40" s="73">
        <v>7</v>
      </c>
      <c r="B40" s="74" t="s">
        <v>64</v>
      </c>
      <c r="C40" s="75">
        <f t="shared" ca="1" si="0"/>
        <v>753100</v>
      </c>
      <c r="D40" s="76">
        <f t="shared" ca="1" si="40"/>
        <v>753100</v>
      </c>
      <c r="E40" s="77">
        <f ca="1">IFERROR(__xludf.DUMMYFUNCTION("IMPORTRANGE(""https://docs.google.com/spreadsheets/d/1C3CXT74ZlgGe6_JY_1olB1XN4rF0dxEuIIF-xsYjHgg/edit?usp=sharing"",""พรบ!D44"")"),189500)</f>
        <v>189500</v>
      </c>
      <c r="F40" s="77">
        <f ca="1">IFERROR(__xludf.DUMMYFUNCTION("IMPORTRANGE(""https://docs.google.com/spreadsheets/d/1C3CXT74ZlgGe6_JY_1olB1XN4rF0dxEuIIF-xsYjHgg/edit?usp=sharing"",""พรบ!E44"")"),563600)</f>
        <v>563600</v>
      </c>
      <c r="G40" s="77">
        <f ca="1">IFERROR(__xludf.DUMMYFUNCTION("IMPORTRANGE(""https://docs.google.com/spreadsheets/d/1Yj_ptqi66GCucihVvJfMjLAmec39IyEx_6qawtMGysU/edit?usp=sharing"",""สบก!AG44"")"),0)</f>
        <v>0</v>
      </c>
      <c r="H40" s="77">
        <f ca="1">IFERROR(__xludf.DUMMYFUNCTION("IMPORTRANGE(""https://docs.google.com/spreadsheets/d/1Yj_ptqi66GCucihVvJfMjLAmec39IyEx_6qawtMGysU/edit?usp=sharing"",""สบก!AI44"")"),633320)</f>
        <v>633320</v>
      </c>
      <c r="I40" s="77">
        <f t="shared" ca="1" si="3"/>
        <v>325223.19</v>
      </c>
      <c r="J40" s="78">
        <f t="shared" ca="1" si="4"/>
        <v>43.184595671225601</v>
      </c>
      <c r="K40" s="77">
        <f ca="1">IFERROR(__xludf.DUMMYFUNCTION("IMPORTRANGE(""https://docs.google.com/spreadsheets/d/1Yj_ptqi66GCucihVvJfMjLAmec39IyEx_6qawtMGysU/edit?usp=sharing"",""สบก!AJ44"")"),325223.19)</f>
        <v>325223.19</v>
      </c>
      <c r="L40" s="79">
        <f t="shared" ca="1" si="5"/>
        <v>43.184595671225601</v>
      </c>
      <c r="M40" s="79">
        <f t="shared" ca="1" si="6"/>
        <v>51.352111097075728</v>
      </c>
      <c r="N40" s="80">
        <f ca="1">IFERROR(__xludf.DUMMYFUNCTION("IMPORTRANGE(""https://docs.google.com/spreadsheets/d/1Yj_ptqi66GCucihVvJfMjLAmec39IyEx_6qawtMGysU/edit?usp=sharing"",""สบก!AK44"")"),0)</f>
        <v>0</v>
      </c>
      <c r="O40" s="79">
        <f t="shared" ca="1" si="7"/>
        <v>0</v>
      </c>
      <c r="P40" s="81">
        <f t="shared" ca="1" si="33"/>
        <v>1</v>
      </c>
      <c r="Q40" s="81">
        <f t="shared" ca="1" si="8"/>
        <v>63</v>
      </c>
      <c r="R40" s="81">
        <f t="shared" ca="1" si="41"/>
        <v>1</v>
      </c>
      <c r="S40" s="82">
        <f t="shared" ca="1" si="9"/>
        <v>100</v>
      </c>
      <c r="T40" s="81">
        <f t="shared" ca="1" si="42"/>
        <v>63</v>
      </c>
      <c r="U40" s="82">
        <f t="shared" ca="1" si="10"/>
        <v>100</v>
      </c>
      <c r="V40" s="81">
        <f ca="1">IFERROR(__xludf.DUMMYFUNCTION("IMPORTRANGE(""https://docs.google.com/spreadsheets/d/1C3CXT74ZlgGe6_JY_1olB1XN4rF0dxEuIIF-xsYjHgg/edit?usp=sharing"",""พรบ!H44"")"),1)</f>
        <v>1</v>
      </c>
      <c r="W40" s="81">
        <f ca="1">IFERROR(__xludf.DUMMYFUNCTION("IMPORTRANGE(""https://docs.google.com/spreadsheets/d/1C3CXT74ZlgGe6_JY_1olB1XN4rF0dxEuIIF-xsYjHgg/edit?usp=sharing"",""พรบ!I44"")"),63)</f>
        <v>63</v>
      </c>
      <c r="X40" s="81">
        <f ca="1">IFERROR(__xludf.DUMMYFUNCTION("IMPORTRANGE(""https://docs.google.com/spreadsheets/d/1XL5vhW3sbDhbH9Cz0tuDiY8C3ctxq1tqvaCgkFb8cCA/edit?usp=sharing"",""บุรีรัมย์!J22"")"),1)</f>
        <v>1</v>
      </c>
      <c r="Y40" s="81">
        <f ca="1">IFERROR(__xludf.DUMMYFUNCTION("IMPORTRANGE(""https://docs.google.com/spreadsheets/d/1XL5vhW3sbDhbH9Cz0tuDiY8C3ctxq1tqvaCgkFb8cCA/edit?usp=sharing"",""บุรีรัมย์!J23"")"),63)</f>
        <v>63</v>
      </c>
      <c r="Z40" s="81">
        <f ca="1">IFERROR(__xludf.DUMMYFUNCTION("IMPORTRANGE(""https://docs.google.com/spreadsheets/d/1C3CXT74ZlgGe6_JY_1olB1XN4rF0dxEuIIF-xsYjHgg/edit?usp=sharing"",""พรบ!J44"")"),0)</f>
        <v>0</v>
      </c>
      <c r="AA40" s="81">
        <f ca="1">IFERROR(__xludf.DUMMYFUNCTION("IMPORTRANGE(""https://docs.google.com/spreadsheets/d/1C3CXT74ZlgGe6_JY_1olB1XN4rF0dxEuIIF-xsYjHgg/edit?usp=sharing"",""พรบ!K44"")"),0)</f>
        <v>0</v>
      </c>
      <c r="AB40" s="81">
        <f ca="1">IFERROR(__xludf.DUMMYFUNCTION("IMPORTRANGE(""https://docs.google.com/spreadsheets/d/1XL5vhW3sbDhbH9Cz0tuDiY8C3ctxq1tqvaCgkFb8cCA/edit?usp=sharing"",""บุรีรัมย์!J24"")"),0)</f>
        <v>0</v>
      </c>
      <c r="AC40" s="81">
        <f ca="1">IFERROR(__xludf.DUMMYFUNCTION("IMPORTRANGE(""https://docs.google.com/spreadsheets/d/1XL5vhW3sbDhbH9Cz0tuDiY8C3ctxq1tqvaCgkFb8cCA/edit?usp=sharing"",""บุรีรัมย์!J25"")"),0)</f>
        <v>0</v>
      </c>
      <c r="AD40" s="81">
        <f ca="1">IFERROR(__xludf.DUMMYFUNCTION("IMPORTRANGE(""https://docs.google.com/spreadsheets/d/1C3CXT74ZlgGe6_JY_1olB1XN4rF0dxEuIIF-xsYjHgg/edit?usp=sharing"",""พรบ!L44"")"),0)</f>
        <v>0</v>
      </c>
      <c r="AE40" s="77">
        <f ca="1">IFERROR(__xludf.DUMMYFUNCTION("IMPORTRANGE(""https://docs.google.com/spreadsheets/d/1C3CXT74ZlgGe6_JY_1olB1XN4rF0dxEuIIF-xsYjHgg/edit?usp=sharing"",""พรบ!M44"")"),0)</f>
        <v>0</v>
      </c>
      <c r="AF40" s="81">
        <f ca="1">IFERROR(__xludf.DUMMYFUNCTION("IMPORTRANGE(""https://docs.google.com/spreadsheets/d/1XL5vhW3sbDhbH9Cz0tuDiY8C3ctxq1tqvaCgkFb8cCA/edit?usp=sharing"",""บุรีรัมย์!J26"")"),0)</f>
        <v>0</v>
      </c>
      <c r="AG40" s="81">
        <f ca="1">IFERROR(__xludf.DUMMYFUNCTION("IMPORTRANGE(""https://docs.google.com/spreadsheets/d/1XL5vhW3sbDhbH9Cz0tuDiY8C3ctxq1tqvaCgkFb8cCA/edit?usp=sharing"",""บุรีรัมย์!J27"")"),0)</f>
        <v>0</v>
      </c>
      <c r="AH40" s="81">
        <f ca="1">IFERROR(__xludf.DUMMYFUNCTION("IMPORTRANGE(""https://docs.google.com/spreadsheets/d/1C3CXT74ZlgGe6_JY_1olB1XN4rF0dxEuIIF-xsYjHgg/edit?usp=sharing"",""พรบ!N44"")"),63)</f>
        <v>63</v>
      </c>
      <c r="AI40" s="81">
        <f ca="1">IFERROR(__xludf.DUMMYFUNCTION("IMPORTRANGE(""https://docs.google.com/spreadsheets/d/1XL5vhW3sbDhbH9Cz0tuDiY8C3ctxq1tqvaCgkFb8cCA/edit?usp=sharing"",""บุรีรัมย์!J28"")"),0)</f>
        <v>0</v>
      </c>
      <c r="AJ40" s="82">
        <f t="shared" ca="1" si="17"/>
        <v>0</v>
      </c>
    </row>
    <row r="41" spans="1:36" ht="21" customHeight="1">
      <c r="A41" s="73">
        <v>8</v>
      </c>
      <c r="B41" s="74" t="s">
        <v>65</v>
      </c>
      <c r="C41" s="75">
        <f t="shared" ca="1" si="0"/>
        <v>1064200</v>
      </c>
      <c r="D41" s="76">
        <f t="shared" ca="1" si="40"/>
        <v>1019200</v>
      </c>
      <c r="E41" s="77">
        <f ca="1">IFERROR(__xludf.DUMMYFUNCTION("IMPORTRANGE(""https://docs.google.com/spreadsheets/d/1C3CXT74ZlgGe6_JY_1olB1XN4rF0dxEuIIF-xsYjHgg/edit?usp=sharing"",""พรบ!D45"")"),322800)</f>
        <v>322800</v>
      </c>
      <c r="F41" s="77">
        <f ca="1">IFERROR(__xludf.DUMMYFUNCTION("IMPORTRANGE(""https://docs.google.com/spreadsheets/d/1C3CXT74ZlgGe6_JY_1olB1XN4rF0dxEuIIF-xsYjHgg/edit?usp=sharing"",""พรบ!E45"")"),696400)</f>
        <v>696400</v>
      </c>
      <c r="G41" s="77">
        <f ca="1">IFERROR(__xludf.DUMMYFUNCTION("IMPORTRANGE(""https://docs.google.com/spreadsheets/d/1Yj_ptqi66GCucihVvJfMjLAmec39IyEx_6qawtMGysU/edit?usp=sharing"",""สบก!AG45"")"),45000)</f>
        <v>45000</v>
      </c>
      <c r="H41" s="77">
        <f ca="1">IFERROR(__xludf.DUMMYFUNCTION("IMPORTRANGE(""https://docs.google.com/spreadsheets/d/1Yj_ptqi66GCucihVvJfMjLAmec39IyEx_6qawtMGysU/edit?usp=sharing"",""สบก!AI45"")"),852000)</f>
        <v>852000</v>
      </c>
      <c r="I41" s="77">
        <f t="shared" ca="1" si="3"/>
        <v>572406.51</v>
      </c>
      <c r="J41" s="78">
        <f t="shared" ca="1" si="4"/>
        <v>53.787493892125539</v>
      </c>
      <c r="K41" s="77">
        <f ca="1">IFERROR(__xludf.DUMMYFUNCTION("IMPORTRANGE(""https://docs.google.com/spreadsheets/d/1Yj_ptqi66GCucihVvJfMjLAmec39IyEx_6qawtMGysU/edit?usp=sharing"",""สบก!AJ45"")"),527406.51)</f>
        <v>527406.51</v>
      </c>
      <c r="L41" s="79">
        <f t="shared" ca="1" si="5"/>
        <v>51.747106554160126</v>
      </c>
      <c r="M41" s="79">
        <f t="shared" ca="1" si="6"/>
        <v>61.902172535211271</v>
      </c>
      <c r="N41" s="80">
        <f ca="1">IFERROR(__xludf.DUMMYFUNCTION("IMPORTRANGE(""https://docs.google.com/spreadsheets/d/1Yj_ptqi66GCucihVvJfMjLAmec39IyEx_6qawtMGysU/edit?usp=sharing"",""สบก!AK45"")"),45000)</f>
        <v>45000</v>
      </c>
      <c r="O41" s="79">
        <f t="shared" ca="1" si="7"/>
        <v>100</v>
      </c>
      <c r="P41" s="81">
        <f t="shared" ca="1" si="33"/>
        <v>2</v>
      </c>
      <c r="Q41" s="81">
        <f t="shared" ca="1" si="8"/>
        <v>77</v>
      </c>
      <c r="R41" s="81">
        <f t="shared" ca="1" si="41"/>
        <v>2</v>
      </c>
      <c r="S41" s="82">
        <f t="shared" ca="1" si="9"/>
        <v>100</v>
      </c>
      <c r="T41" s="81">
        <f t="shared" ca="1" si="42"/>
        <v>77</v>
      </c>
      <c r="U41" s="82">
        <f t="shared" ca="1" si="10"/>
        <v>100</v>
      </c>
      <c r="V41" s="81">
        <f ca="1">IFERROR(__xludf.DUMMYFUNCTION("IMPORTRANGE(""https://docs.google.com/spreadsheets/d/1C3CXT74ZlgGe6_JY_1olB1XN4rF0dxEuIIF-xsYjHgg/edit?usp=sharing"",""พรบ!H45"")"),1)</f>
        <v>1</v>
      </c>
      <c r="W41" s="81">
        <f ca="1">IFERROR(__xludf.DUMMYFUNCTION("IMPORTRANGE(""https://docs.google.com/spreadsheets/d/1C3CXT74ZlgGe6_JY_1olB1XN4rF0dxEuIIF-xsYjHgg/edit?usp=sharing"",""พรบ!I45"")"),37)</f>
        <v>37</v>
      </c>
      <c r="X41" s="81">
        <f ca="1">IFERROR(__xludf.DUMMYFUNCTION("IMPORTRANGE(""https://docs.google.com/spreadsheets/d/1XL5vhW3sbDhbH9Cz0tuDiY8C3ctxq1tqvaCgkFb8cCA/edit?usp=sharing"",""มหาสารคาม!J22"")"),1)</f>
        <v>1</v>
      </c>
      <c r="Y41" s="81">
        <f ca="1">IFERROR(__xludf.DUMMYFUNCTION("IMPORTRANGE(""https://docs.google.com/spreadsheets/d/1XL5vhW3sbDhbH9Cz0tuDiY8C3ctxq1tqvaCgkFb8cCA/edit?usp=sharing"",""มหาสารคาม!J23"")"),37)</f>
        <v>37</v>
      </c>
      <c r="Z41" s="81">
        <f ca="1">IFERROR(__xludf.DUMMYFUNCTION("IMPORTRANGE(""https://docs.google.com/spreadsheets/d/1C3CXT74ZlgGe6_JY_1olB1XN4rF0dxEuIIF-xsYjHgg/edit?usp=sharing"",""พรบ!J45"")"),1)</f>
        <v>1</v>
      </c>
      <c r="AA41" s="81">
        <f ca="1">IFERROR(__xludf.DUMMYFUNCTION("IMPORTRANGE(""https://docs.google.com/spreadsheets/d/1C3CXT74ZlgGe6_JY_1olB1XN4rF0dxEuIIF-xsYjHgg/edit?usp=sharing"",""พรบ!K45"")"),40)</f>
        <v>40</v>
      </c>
      <c r="AB41" s="81">
        <f ca="1">IFERROR(__xludf.DUMMYFUNCTION("IMPORTRANGE(""https://docs.google.com/spreadsheets/d/1XL5vhW3sbDhbH9Cz0tuDiY8C3ctxq1tqvaCgkFb8cCA/edit?usp=sharing"",""มหาสารคาม!J24"")"),1)</f>
        <v>1</v>
      </c>
      <c r="AC41" s="81">
        <f ca="1">IFERROR(__xludf.DUMMYFUNCTION("IMPORTRANGE(""https://docs.google.com/spreadsheets/d/1XL5vhW3sbDhbH9Cz0tuDiY8C3ctxq1tqvaCgkFb8cCA/edit?usp=sharing"",""มหาสารคาม!J25"")"),40)</f>
        <v>40</v>
      </c>
      <c r="AD41" s="81">
        <f ca="1">IFERROR(__xludf.DUMMYFUNCTION("IMPORTRANGE(""https://docs.google.com/spreadsheets/d/1C3CXT74ZlgGe6_JY_1olB1XN4rF0dxEuIIF-xsYjHgg/edit?usp=sharing"",""พรบ!L45"")"),0)</f>
        <v>0</v>
      </c>
      <c r="AE41" s="77">
        <f ca="1">IFERROR(__xludf.DUMMYFUNCTION("IMPORTRANGE(""https://docs.google.com/spreadsheets/d/1C3CXT74ZlgGe6_JY_1olB1XN4rF0dxEuIIF-xsYjHgg/edit?usp=sharing"",""พรบ!M45"")"),0)</f>
        <v>0</v>
      </c>
      <c r="AF41" s="81">
        <f ca="1">IFERROR(__xludf.DUMMYFUNCTION("IMPORTRANGE(""https://docs.google.com/spreadsheets/d/1XL5vhW3sbDhbH9Cz0tuDiY8C3ctxq1tqvaCgkFb8cCA/edit?usp=sharing"",""มหาสารคาม!J26"")"),0)</f>
        <v>0</v>
      </c>
      <c r="AG41" s="81">
        <f ca="1">IFERROR(__xludf.DUMMYFUNCTION("IMPORTRANGE(""https://docs.google.com/spreadsheets/d/1XL5vhW3sbDhbH9Cz0tuDiY8C3ctxq1tqvaCgkFb8cCA/edit?usp=sharing"",""มหาสารคาม!J27"")"),0)</f>
        <v>0</v>
      </c>
      <c r="AH41" s="81">
        <f ca="1">IFERROR(__xludf.DUMMYFUNCTION("IMPORTRANGE(""https://docs.google.com/spreadsheets/d/1C3CXT74ZlgGe6_JY_1olB1XN4rF0dxEuIIF-xsYjHgg/edit?usp=sharing"",""พรบ!N45"")"),37)</f>
        <v>37</v>
      </c>
      <c r="AI41" s="81">
        <f ca="1">IFERROR(__xludf.DUMMYFUNCTION("IMPORTRANGE(""https://docs.google.com/spreadsheets/d/1XL5vhW3sbDhbH9Cz0tuDiY8C3ctxq1tqvaCgkFb8cCA/edit?usp=sharing"",""มหาสารคาม!J28"")"),0)</f>
        <v>0</v>
      </c>
      <c r="AJ41" s="82">
        <f t="shared" ca="1" si="17"/>
        <v>0</v>
      </c>
    </row>
    <row r="42" spans="1:36" ht="21" customHeight="1">
      <c r="A42" s="73">
        <v>9</v>
      </c>
      <c r="B42" s="74" t="s">
        <v>66</v>
      </c>
      <c r="C42" s="75">
        <f t="shared" ca="1" si="0"/>
        <v>875800</v>
      </c>
      <c r="D42" s="76">
        <f t="shared" ca="1" si="40"/>
        <v>875800</v>
      </c>
      <c r="E42" s="77">
        <f ca="1">IFERROR(__xludf.DUMMYFUNCTION("IMPORTRANGE(""https://docs.google.com/spreadsheets/d/1C3CXT74ZlgGe6_JY_1olB1XN4rF0dxEuIIF-xsYjHgg/edit?usp=sharing"",""พรบ!D46"")"),193800)</f>
        <v>193800</v>
      </c>
      <c r="F42" s="77">
        <f ca="1">IFERROR(__xludf.DUMMYFUNCTION("IMPORTRANGE(""https://docs.google.com/spreadsheets/d/1C3CXT74ZlgGe6_JY_1olB1XN4rF0dxEuIIF-xsYjHgg/edit?usp=sharing"",""พรบ!E46"")"),682000)</f>
        <v>682000</v>
      </c>
      <c r="G42" s="77">
        <f ca="1">IFERROR(__xludf.DUMMYFUNCTION("IMPORTRANGE(""https://docs.google.com/spreadsheets/d/1Yj_ptqi66GCucihVvJfMjLAmec39IyEx_6qawtMGysU/edit?usp=sharing"",""สบก!AG46"")"),0)</f>
        <v>0</v>
      </c>
      <c r="H42" s="77">
        <f ca="1">IFERROR(__xludf.DUMMYFUNCTION("IMPORTRANGE(""https://docs.google.com/spreadsheets/d/1Yj_ptqi66GCucihVvJfMjLAmec39IyEx_6qawtMGysU/edit?usp=sharing"",""สบก!AI46"")"),750800)</f>
        <v>750800</v>
      </c>
      <c r="I42" s="77">
        <f t="shared" ca="1" si="3"/>
        <v>533012.65</v>
      </c>
      <c r="J42" s="78">
        <f t="shared" ca="1" si="4"/>
        <v>60.860087919616348</v>
      </c>
      <c r="K42" s="77">
        <f ca="1">IFERROR(__xludf.DUMMYFUNCTION("IMPORTRANGE(""https://docs.google.com/spreadsheets/d/1Yj_ptqi66GCucihVvJfMjLAmec39IyEx_6qawtMGysU/edit?usp=sharing"",""สบก!AJ46"")"),533012.65)</f>
        <v>533012.65</v>
      </c>
      <c r="L42" s="79">
        <f t="shared" ca="1" si="5"/>
        <v>60.860087919616348</v>
      </c>
      <c r="M42" s="79">
        <f t="shared" ca="1" si="6"/>
        <v>70.992627863612142</v>
      </c>
      <c r="N42" s="80">
        <f ca="1">IFERROR(__xludf.DUMMYFUNCTION("IMPORTRANGE(""https://docs.google.com/spreadsheets/d/1Yj_ptqi66GCucihVvJfMjLAmec39IyEx_6qawtMGysU/edit?usp=sharing"",""สบก!AK46"")"),0)</f>
        <v>0</v>
      </c>
      <c r="O42" s="79">
        <f t="shared" ca="1" si="7"/>
        <v>0</v>
      </c>
      <c r="P42" s="81">
        <f t="shared" ca="1" si="33"/>
        <v>2</v>
      </c>
      <c r="Q42" s="81">
        <f t="shared" ca="1" si="8"/>
        <v>80</v>
      </c>
      <c r="R42" s="81">
        <f t="shared" ca="1" si="41"/>
        <v>2</v>
      </c>
      <c r="S42" s="82">
        <f t="shared" ca="1" si="9"/>
        <v>100</v>
      </c>
      <c r="T42" s="81">
        <f t="shared" ca="1" si="42"/>
        <v>80</v>
      </c>
      <c r="U42" s="82">
        <f t="shared" ca="1" si="10"/>
        <v>100</v>
      </c>
      <c r="V42" s="81">
        <f ca="1">IFERROR(__xludf.DUMMYFUNCTION("IMPORTRANGE(""https://docs.google.com/spreadsheets/d/1C3CXT74ZlgGe6_JY_1olB1XN4rF0dxEuIIF-xsYjHgg/edit?usp=sharing"",""พรบ!H46"")"),0)</f>
        <v>0</v>
      </c>
      <c r="W42" s="81">
        <f ca="1">IFERROR(__xludf.DUMMYFUNCTION("IMPORTRANGE(""https://docs.google.com/spreadsheets/d/1C3CXT74ZlgGe6_JY_1olB1XN4rF0dxEuIIF-xsYjHgg/edit?usp=sharing"",""พรบ!I46"")"),0)</f>
        <v>0</v>
      </c>
      <c r="X42" s="81">
        <f ca="1">IFERROR(__xludf.DUMMYFUNCTION("IMPORTRANGE(""https://docs.google.com/spreadsheets/d/1XL5vhW3sbDhbH9Cz0tuDiY8C3ctxq1tqvaCgkFb8cCA/edit?usp=sharing"",""มุกดาหาร!J22"")"),0)</f>
        <v>0</v>
      </c>
      <c r="Y42" s="81">
        <f ca="1">IFERROR(__xludf.DUMMYFUNCTION("IMPORTRANGE(""https://docs.google.com/spreadsheets/d/1XL5vhW3sbDhbH9Cz0tuDiY8C3ctxq1tqvaCgkFb8cCA/edit?usp=sharing"",""มุกดาหาร!J23"")"),0)</f>
        <v>0</v>
      </c>
      <c r="Z42" s="81">
        <f ca="1">IFERROR(__xludf.DUMMYFUNCTION("IMPORTRANGE(""https://docs.google.com/spreadsheets/d/1C3CXT74ZlgGe6_JY_1olB1XN4rF0dxEuIIF-xsYjHgg/edit?usp=sharing"",""พรบ!J46"")"),1)</f>
        <v>1</v>
      </c>
      <c r="AA42" s="81">
        <f ca="1">IFERROR(__xludf.DUMMYFUNCTION("IMPORTRANGE(""https://docs.google.com/spreadsheets/d/1C3CXT74ZlgGe6_JY_1olB1XN4rF0dxEuIIF-xsYjHgg/edit?usp=sharing"",""พรบ!K46"")"),30)</f>
        <v>30</v>
      </c>
      <c r="AB42" s="81">
        <f ca="1">IFERROR(__xludf.DUMMYFUNCTION("IMPORTRANGE(""https://docs.google.com/spreadsheets/d/1XL5vhW3sbDhbH9Cz0tuDiY8C3ctxq1tqvaCgkFb8cCA/edit?usp=sharing"",""มุกดาหาร!J24"")"),1)</f>
        <v>1</v>
      </c>
      <c r="AC42" s="81">
        <f ca="1">IFERROR(__xludf.DUMMYFUNCTION("IMPORTRANGE(""https://docs.google.com/spreadsheets/d/1XL5vhW3sbDhbH9Cz0tuDiY8C3ctxq1tqvaCgkFb8cCA/edit?usp=sharing"",""มุกดาหาร!J25"")"),30)</f>
        <v>30</v>
      </c>
      <c r="AD42" s="81">
        <f ca="1">IFERROR(__xludf.DUMMYFUNCTION("IMPORTRANGE(""https://docs.google.com/spreadsheets/d/1C3CXT74ZlgGe6_JY_1olB1XN4rF0dxEuIIF-xsYjHgg/edit?usp=sharing"",""พรบ!L46"")"),1)</f>
        <v>1</v>
      </c>
      <c r="AE42" s="77">
        <f ca="1">IFERROR(__xludf.DUMMYFUNCTION("IMPORTRANGE(""https://docs.google.com/spreadsheets/d/1C3CXT74ZlgGe6_JY_1olB1XN4rF0dxEuIIF-xsYjHgg/edit?usp=sharing"",""พรบ!M46"")"),50)</f>
        <v>50</v>
      </c>
      <c r="AF42" s="81">
        <f ca="1">IFERROR(__xludf.DUMMYFUNCTION("IMPORTRANGE(""https://docs.google.com/spreadsheets/d/1XL5vhW3sbDhbH9Cz0tuDiY8C3ctxq1tqvaCgkFb8cCA/edit?usp=sharing"",""มุกดาหาร!J26"")"),1)</f>
        <v>1</v>
      </c>
      <c r="AG42" s="81">
        <f ca="1">IFERROR(__xludf.DUMMYFUNCTION("IMPORTRANGE(""https://docs.google.com/spreadsheets/d/1XL5vhW3sbDhbH9Cz0tuDiY8C3ctxq1tqvaCgkFb8cCA/edit?usp=sharing"",""มุกดาหาร!J27"")"),50)</f>
        <v>50</v>
      </c>
      <c r="AH42" s="81">
        <f ca="1">IFERROR(__xludf.DUMMYFUNCTION("IMPORTRANGE(""https://docs.google.com/spreadsheets/d/1C3CXT74ZlgGe6_JY_1olB1XN4rF0dxEuIIF-xsYjHgg/edit?usp=sharing"",""พรบ!N46"")"),0)</f>
        <v>0</v>
      </c>
      <c r="AI42" s="81">
        <f ca="1">IFERROR(__xludf.DUMMYFUNCTION("IMPORTRANGE(""https://docs.google.com/spreadsheets/d/1XL5vhW3sbDhbH9Cz0tuDiY8C3ctxq1tqvaCgkFb8cCA/edit?usp=sharing"",""มุกดาหาร!J28"")"),0)</f>
        <v>0</v>
      </c>
      <c r="AJ42" s="82">
        <f t="shared" ca="1" si="17"/>
        <v>0</v>
      </c>
    </row>
    <row r="43" spans="1:36" ht="21" customHeight="1">
      <c r="A43" s="73">
        <v>10</v>
      </c>
      <c r="B43" s="74" t="s">
        <v>67</v>
      </c>
      <c r="C43" s="75">
        <f t="shared" ca="1" si="0"/>
        <v>745500</v>
      </c>
      <c r="D43" s="76">
        <f t="shared" ca="1" si="40"/>
        <v>745500</v>
      </c>
      <c r="E43" s="77">
        <f ca="1">IFERROR(__xludf.DUMMYFUNCTION("IMPORTRANGE(""https://docs.google.com/spreadsheets/d/1C3CXT74ZlgGe6_JY_1olB1XN4rF0dxEuIIF-xsYjHgg/edit?usp=sharing"",""พรบ!D47"")"),321500)</f>
        <v>321500</v>
      </c>
      <c r="F43" s="77">
        <f ca="1">IFERROR(__xludf.DUMMYFUNCTION("IMPORTRANGE(""https://docs.google.com/spreadsheets/d/1C3CXT74ZlgGe6_JY_1olB1XN4rF0dxEuIIF-xsYjHgg/edit?usp=sharing"",""พรบ!E47"")"),424000)</f>
        <v>424000</v>
      </c>
      <c r="G43" s="77">
        <f ca="1">IFERROR(__xludf.DUMMYFUNCTION("IMPORTRANGE(""https://docs.google.com/spreadsheets/d/1Yj_ptqi66GCucihVvJfMjLAmec39IyEx_6qawtMGysU/edit?usp=sharing"",""สบก!AG47"")"),0)</f>
        <v>0</v>
      </c>
      <c r="H43" s="77">
        <f ca="1">IFERROR(__xludf.DUMMYFUNCTION("IMPORTRANGE(""https://docs.google.com/spreadsheets/d/1Yj_ptqi66GCucihVvJfMjLAmec39IyEx_6qawtMGysU/edit?usp=sharing"",""สบก!AI47"")"),602720)</f>
        <v>602720</v>
      </c>
      <c r="I43" s="77">
        <f t="shared" ca="1" si="3"/>
        <v>311943</v>
      </c>
      <c r="J43" s="78">
        <f t="shared" ca="1" si="4"/>
        <v>41.843460764587526</v>
      </c>
      <c r="K43" s="77">
        <f ca="1">IFERROR(__xludf.DUMMYFUNCTION("IMPORTRANGE(""https://docs.google.com/spreadsheets/d/1Yj_ptqi66GCucihVvJfMjLAmec39IyEx_6qawtMGysU/edit?usp=sharing"",""สบก!AJ47"")"),311943)</f>
        <v>311943</v>
      </c>
      <c r="L43" s="79">
        <f t="shared" ca="1" si="5"/>
        <v>41.843460764587526</v>
      </c>
      <c r="M43" s="79">
        <f t="shared" ca="1" si="6"/>
        <v>51.755873374037698</v>
      </c>
      <c r="N43" s="80">
        <f ca="1">IFERROR(__xludf.DUMMYFUNCTION("IMPORTRANGE(""https://docs.google.com/spreadsheets/d/1Yj_ptqi66GCucihVvJfMjLAmec39IyEx_6qawtMGysU/edit?usp=sharing"",""สบก!AK47"")"),0)</f>
        <v>0</v>
      </c>
      <c r="O43" s="79">
        <f t="shared" ca="1" si="7"/>
        <v>0</v>
      </c>
      <c r="P43" s="81">
        <f t="shared" ca="1" si="33"/>
        <v>1</v>
      </c>
      <c r="Q43" s="81">
        <f t="shared" ca="1" si="8"/>
        <v>40</v>
      </c>
      <c r="R43" s="81">
        <f t="shared" ca="1" si="41"/>
        <v>1</v>
      </c>
      <c r="S43" s="82">
        <f t="shared" ca="1" si="9"/>
        <v>100</v>
      </c>
      <c r="T43" s="81">
        <f t="shared" ca="1" si="42"/>
        <v>40</v>
      </c>
      <c r="U43" s="82">
        <f t="shared" ca="1" si="10"/>
        <v>100</v>
      </c>
      <c r="V43" s="81">
        <f ca="1">IFERROR(__xludf.DUMMYFUNCTION("IMPORTRANGE(""https://docs.google.com/spreadsheets/d/1C3CXT74ZlgGe6_JY_1olB1XN4rF0dxEuIIF-xsYjHgg/edit?usp=sharing"",""พรบ!H47"")"),1)</f>
        <v>1</v>
      </c>
      <c r="W43" s="81">
        <f ca="1">IFERROR(__xludf.DUMMYFUNCTION("IMPORTRANGE(""https://docs.google.com/spreadsheets/d/1C3CXT74ZlgGe6_JY_1olB1XN4rF0dxEuIIF-xsYjHgg/edit?usp=sharing"",""พรบ!I47"")"),40)</f>
        <v>40</v>
      </c>
      <c r="X43" s="81">
        <f ca="1">IFERROR(__xludf.DUMMYFUNCTION("IMPORTRANGE(""https://docs.google.com/spreadsheets/d/1XL5vhW3sbDhbH9Cz0tuDiY8C3ctxq1tqvaCgkFb8cCA/edit?usp=sharing"",""ยโสธร!J22"")"),1)</f>
        <v>1</v>
      </c>
      <c r="Y43" s="81">
        <f ca="1">IFERROR(__xludf.DUMMYFUNCTION("IMPORTRANGE(""https://docs.google.com/spreadsheets/d/1XL5vhW3sbDhbH9Cz0tuDiY8C3ctxq1tqvaCgkFb8cCA/edit?usp=sharing"",""ยโสธร!J23"")"),40)</f>
        <v>40</v>
      </c>
      <c r="Z43" s="81">
        <f ca="1">IFERROR(__xludf.DUMMYFUNCTION("IMPORTRANGE(""https://docs.google.com/spreadsheets/d/1C3CXT74ZlgGe6_JY_1olB1XN4rF0dxEuIIF-xsYjHgg/edit?usp=sharing"",""พรบ!J47"")"),0)</f>
        <v>0</v>
      </c>
      <c r="AA43" s="81">
        <f ca="1">IFERROR(__xludf.DUMMYFUNCTION("IMPORTRANGE(""https://docs.google.com/spreadsheets/d/1C3CXT74ZlgGe6_JY_1olB1XN4rF0dxEuIIF-xsYjHgg/edit?usp=sharing"",""พรบ!K47"")"),0)</f>
        <v>0</v>
      </c>
      <c r="AB43" s="81">
        <f ca="1">IFERROR(__xludf.DUMMYFUNCTION("IMPORTRANGE(""https://docs.google.com/spreadsheets/d/1XL5vhW3sbDhbH9Cz0tuDiY8C3ctxq1tqvaCgkFb8cCA/edit?usp=sharing"",""ยโสธร!J24"")"),0)</f>
        <v>0</v>
      </c>
      <c r="AC43" s="81">
        <f ca="1">IFERROR(__xludf.DUMMYFUNCTION("IMPORTRANGE(""https://docs.google.com/spreadsheets/d/1XL5vhW3sbDhbH9Cz0tuDiY8C3ctxq1tqvaCgkFb8cCA/edit?usp=sharing"",""ยโสธร!J25"")"),0)</f>
        <v>0</v>
      </c>
      <c r="AD43" s="81">
        <f ca="1">IFERROR(__xludf.DUMMYFUNCTION("IMPORTRANGE(""https://docs.google.com/spreadsheets/d/1C3CXT74ZlgGe6_JY_1olB1XN4rF0dxEuIIF-xsYjHgg/edit?usp=sharing"",""พรบ!L47"")"),0)</f>
        <v>0</v>
      </c>
      <c r="AE43" s="77">
        <f ca="1">IFERROR(__xludf.DUMMYFUNCTION("IMPORTRANGE(""https://docs.google.com/spreadsheets/d/1C3CXT74ZlgGe6_JY_1olB1XN4rF0dxEuIIF-xsYjHgg/edit?usp=sharing"",""พรบ!M47"")"),0)</f>
        <v>0</v>
      </c>
      <c r="AF43" s="81">
        <f ca="1">IFERROR(__xludf.DUMMYFUNCTION("IMPORTRANGE(""https://docs.google.com/spreadsheets/d/1XL5vhW3sbDhbH9Cz0tuDiY8C3ctxq1tqvaCgkFb8cCA/edit?usp=sharing"",""ยโสธร!J26"")"),0)</f>
        <v>0</v>
      </c>
      <c r="AG43" s="81">
        <f ca="1">IFERROR(__xludf.DUMMYFUNCTION("IMPORTRANGE(""https://docs.google.com/spreadsheets/d/1XL5vhW3sbDhbH9Cz0tuDiY8C3ctxq1tqvaCgkFb8cCA/edit?usp=sharing"",""ยโสธร!J27"")"),0)</f>
        <v>0</v>
      </c>
      <c r="AH43" s="81">
        <f ca="1">IFERROR(__xludf.DUMMYFUNCTION("IMPORTRANGE(""https://docs.google.com/spreadsheets/d/1C3CXT74ZlgGe6_JY_1olB1XN4rF0dxEuIIF-xsYjHgg/edit?usp=sharing"",""พรบ!N47"")"),40)</f>
        <v>40</v>
      </c>
      <c r="AI43" s="81">
        <f ca="1">IFERROR(__xludf.DUMMYFUNCTION("IMPORTRANGE(""https://docs.google.com/spreadsheets/d/1XL5vhW3sbDhbH9Cz0tuDiY8C3ctxq1tqvaCgkFb8cCA/edit?usp=sharing"",""ยโสธร!J28"")"),0)</f>
        <v>0</v>
      </c>
      <c r="AJ43" s="82">
        <f t="shared" ca="1" si="17"/>
        <v>0</v>
      </c>
    </row>
    <row r="44" spans="1:36" ht="21" customHeight="1">
      <c r="A44" s="73">
        <v>11</v>
      </c>
      <c r="B44" s="74" t="s">
        <v>68</v>
      </c>
      <c r="C44" s="75">
        <f t="shared" ca="1" si="0"/>
        <v>887400</v>
      </c>
      <c r="D44" s="76">
        <f t="shared" ca="1" si="40"/>
        <v>887400</v>
      </c>
      <c r="E44" s="77">
        <f ca="1">IFERROR(__xludf.DUMMYFUNCTION("IMPORTRANGE(""https://docs.google.com/spreadsheets/d/1C3CXT74ZlgGe6_JY_1olB1XN4rF0dxEuIIF-xsYjHgg/edit?usp=sharing"",""พรบ!D48"")"),463400)</f>
        <v>463400</v>
      </c>
      <c r="F44" s="77">
        <f ca="1">IFERROR(__xludf.DUMMYFUNCTION("IMPORTRANGE(""https://docs.google.com/spreadsheets/d/1C3CXT74ZlgGe6_JY_1olB1XN4rF0dxEuIIF-xsYjHgg/edit?usp=sharing"",""พรบ!E48"")"),424000)</f>
        <v>424000</v>
      </c>
      <c r="G44" s="77">
        <f ca="1">IFERROR(__xludf.DUMMYFUNCTION("IMPORTRANGE(""https://docs.google.com/spreadsheets/d/1Yj_ptqi66GCucihVvJfMjLAmec39IyEx_6qawtMGysU/edit?usp=sharing"",""สบก!AG48"")"),0)</f>
        <v>0</v>
      </c>
      <c r="H44" s="77">
        <f ca="1">IFERROR(__xludf.DUMMYFUNCTION("IMPORTRANGE(""https://docs.google.com/spreadsheets/d/1Yj_ptqi66GCucihVvJfMjLAmec39IyEx_6qawtMGysU/edit?usp=sharing"",""สบก!AI48"")"),709120)</f>
        <v>709120</v>
      </c>
      <c r="I44" s="77">
        <f t="shared" ca="1" si="3"/>
        <v>504189.53</v>
      </c>
      <c r="J44" s="78">
        <f t="shared" ca="1" si="4"/>
        <v>56.816489745323416</v>
      </c>
      <c r="K44" s="77">
        <f ca="1">IFERROR(__xludf.DUMMYFUNCTION("IMPORTRANGE(""https://docs.google.com/spreadsheets/d/1Yj_ptqi66GCucihVvJfMjLAmec39IyEx_6qawtMGysU/edit?usp=sharing"",""สบก!AJ48"")"),504189.53)</f>
        <v>504189.53</v>
      </c>
      <c r="L44" s="79">
        <f t="shared" ca="1" si="5"/>
        <v>56.816489745323416</v>
      </c>
      <c r="M44" s="79">
        <f t="shared" ca="1" si="6"/>
        <v>71.10073471344765</v>
      </c>
      <c r="N44" s="80">
        <f ca="1">IFERROR(__xludf.DUMMYFUNCTION("IMPORTRANGE(""https://docs.google.com/spreadsheets/d/1Yj_ptqi66GCucihVvJfMjLAmec39IyEx_6qawtMGysU/edit?usp=sharing"",""สบก!AK48"")"),0)</f>
        <v>0</v>
      </c>
      <c r="O44" s="79">
        <f t="shared" ca="1" si="7"/>
        <v>0</v>
      </c>
      <c r="P44" s="81">
        <f t="shared" ca="1" si="33"/>
        <v>1</v>
      </c>
      <c r="Q44" s="81">
        <f t="shared" ca="1" si="8"/>
        <v>40</v>
      </c>
      <c r="R44" s="81">
        <f t="shared" ca="1" si="41"/>
        <v>1</v>
      </c>
      <c r="S44" s="82">
        <f t="shared" ca="1" si="9"/>
        <v>100</v>
      </c>
      <c r="T44" s="81">
        <f t="shared" ca="1" si="42"/>
        <v>40</v>
      </c>
      <c r="U44" s="82">
        <f t="shared" ca="1" si="10"/>
        <v>100</v>
      </c>
      <c r="V44" s="77">
        <f ca="1">IFERROR(__xludf.DUMMYFUNCTION("IMPORTRANGE(""https://docs.google.com/spreadsheets/d/1C3CXT74ZlgGe6_JY_1olB1XN4rF0dxEuIIF-xsYjHgg/edit?usp=sharing"",""พรบ!H48"")"),0)</f>
        <v>0</v>
      </c>
      <c r="W44" s="77">
        <f ca="1">IFERROR(__xludf.DUMMYFUNCTION("IMPORTRANGE(""https://docs.google.com/spreadsheets/d/1C3CXT74ZlgGe6_JY_1olB1XN4rF0dxEuIIF-xsYjHgg/edit?usp=sharing"",""พรบ!I48"")"),0)</f>
        <v>0</v>
      </c>
      <c r="X44" s="81">
        <f ca="1">IFERROR(__xludf.DUMMYFUNCTION("IMPORTRANGE(""https://docs.google.com/spreadsheets/d/1XL5vhW3sbDhbH9Cz0tuDiY8C3ctxq1tqvaCgkFb8cCA/edit?usp=sharing"",""ร้อยเอ็ด!J22"")"),0)</f>
        <v>0</v>
      </c>
      <c r="Y44" s="81">
        <f ca="1">IFERROR(__xludf.DUMMYFUNCTION("IMPORTRANGE(""https://docs.google.com/spreadsheets/d/1XL5vhW3sbDhbH9Cz0tuDiY8C3ctxq1tqvaCgkFb8cCA/edit?usp=sharing"",""ร้อยเอ็ด!J23"")"),0)</f>
        <v>0</v>
      </c>
      <c r="Z44" s="77">
        <f ca="1">IFERROR(__xludf.DUMMYFUNCTION("IMPORTRANGE(""https://docs.google.com/spreadsheets/d/1C3CXT74ZlgGe6_JY_1olB1XN4rF0dxEuIIF-xsYjHgg/edit?usp=sharing"",""พรบ!J48"")"),1)</f>
        <v>1</v>
      </c>
      <c r="AA44" s="77">
        <f ca="1">IFERROR(__xludf.DUMMYFUNCTION("IMPORTRANGE(""https://docs.google.com/spreadsheets/d/1C3CXT74ZlgGe6_JY_1olB1XN4rF0dxEuIIF-xsYjHgg/edit?usp=sharing"",""พรบ!K48"")"),40)</f>
        <v>40</v>
      </c>
      <c r="AB44" s="81">
        <f ca="1">IFERROR(__xludf.DUMMYFUNCTION("IMPORTRANGE(""https://docs.google.com/spreadsheets/d/1XL5vhW3sbDhbH9Cz0tuDiY8C3ctxq1tqvaCgkFb8cCA/edit?usp=sharing"",""ร้อยเอ็ด!J24"")"),1)</f>
        <v>1</v>
      </c>
      <c r="AC44" s="81">
        <f ca="1">IFERROR(__xludf.DUMMYFUNCTION("IMPORTRANGE(""https://docs.google.com/spreadsheets/d/1XL5vhW3sbDhbH9Cz0tuDiY8C3ctxq1tqvaCgkFb8cCA/edit?usp=sharing"",""ร้อยเอ็ด!J25"")"),40)</f>
        <v>40</v>
      </c>
      <c r="AD44" s="77">
        <f ca="1">IFERROR(__xludf.DUMMYFUNCTION("IMPORTRANGE(""https://docs.google.com/spreadsheets/d/1C3CXT74ZlgGe6_JY_1olB1XN4rF0dxEuIIF-xsYjHgg/edit?usp=sharing"",""พรบ!L48"")"),0)</f>
        <v>0</v>
      </c>
      <c r="AE44" s="77">
        <f ca="1">IFERROR(__xludf.DUMMYFUNCTION("IMPORTRANGE(""https://docs.google.com/spreadsheets/d/1C3CXT74ZlgGe6_JY_1olB1XN4rF0dxEuIIF-xsYjHgg/edit?usp=sharing"",""พรบ!M48"")"),0)</f>
        <v>0</v>
      </c>
      <c r="AF44" s="81">
        <f ca="1">IFERROR(__xludf.DUMMYFUNCTION("IMPORTRANGE(""https://docs.google.com/spreadsheets/d/1XL5vhW3sbDhbH9Cz0tuDiY8C3ctxq1tqvaCgkFb8cCA/edit?usp=sharing"",""ร้อยเอ็ด!J26"")"),0)</f>
        <v>0</v>
      </c>
      <c r="AG44" s="81">
        <f ca="1">IFERROR(__xludf.DUMMYFUNCTION("IMPORTRANGE(""https://docs.google.com/spreadsheets/d/1XL5vhW3sbDhbH9Cz0tuDiY8C3ctxq1tqvaCgkFb8cCA/edit?usp=sharing"",""ร้อยเอ็ด!J27"")"),0)</f>
        <v>0</v>
      </c>
      <c r="AH44" s="77">
        <f ca="1">IFERROR(__xludf.DUMMYFUNCTION("IMPORTRANGE(""https://docs.google.com/spreadsheets/d/1C3CXT74ZlgGe6_JY_1olB1XN4rF0dxEuIIF-xsYjHgg/edit?usp=sharing"",""พรบ!N48"")"),0)</f>
        <v>0</v>
      </c>
      <c r="AI44" s="81">
        <f ca="1">IFERROR(__xludf.DUMMYFUNCTION("IMPORTRANGE(""https://docs.google.com/spreadsheets/d/1XL5vhW3sbDhbH9Cz0tuDiY8C3ctxq1tqvaCgkFb8cCA/edit?usp=sharing"",""ร้อยเอ็ด!J28"")"),0)</f>
        <v>0</v>
      </c>
      <c r="AJ44" s="79">
        <f t="shared" ca="1" si="17"/>
        <v>0</v>
      </c>
    </row>
    <row r="45" spans="1:36" ht="21" customHeight="1">
      <c r="A45" s="73">
        <v>12</v>
      </c>
      <c r="B45" s="74" t="s">
        <v>69</v>
      </c>
      <c r="C45" s="75">
        <f t="shared" ca="1" si="0"/>
        <v>0</v>
      </c>
      <c r="D45" s="76">
        <f t="shared" ca="1" si="40"/>
        <v>0</v>
      </c>
      <c r="E45" s="77">
        <f ca="1">IFERROR(__xludf.DUMMYFUNCTION("IMPORTRANGE(""https://docs.google.com/spreadsheets/d/1C3CXT74ZlgGe6_JY_1olB1XN4rF0dxEuIIF-xsYjHgg/edit?usp=sharing"",""พรบ!D49"")"),0)</f>
        <v>0</v>
      </c>
      <c r="F45" s="77">
        <f ca="1">IFERROR(__xludf.DUMMYFUNCTION("IMPORTRANGE(""https://docs.google.com/spreadsheets/d/1C3CXT74ZlgGe6_JY_1olB1XN4rF0dxEuIIF-xsYjHgg/edit?usp=sharing"",""พรบ!E49"")"),0)</f>
        <v>0</v>
      </c>
      <c r="G45" s="77">
        <f ca="1">IFERROR(__xludf.DUMMYFUNCTION("IMPORTRANGE(""https://docs.google.com/spreadsheets/d/1Yj_ptqi66GCucihVvJfMjLAmec39IyEx_6qawtMGysU/edit?usp=sharing"",""สบก!AG49"")"),0)</f>
        <v>0</v>
      </c>
      <c r="H45" s="77">
        <f ca="1">IFERROR(__xludf.DUMMYFUNCTION("IMPORTRANGE(""https://docs.google.com/spreadsheets/d/1Yj_ptqi66GCucihVvJfMjLAmec39IyEx_6qawtMGysU/edit?usp=sharing"",""สบก!AI49"")"),0)</f>
        <v>0</v>
      </c>
      <c r="I45" s="77">
        <f t="shared" ca="1" si="3"/>
        <v>0</v>
      </c>
      <c r="J45" s="78">
        <f t="shared" ca="1" si="4"/>
        <v>0</v>
      </c>
      <c r="K45" s="77">
        <f ca="1">IFERROR(__xludf.DUMMYFUNCTION("IMPORTRANGE(""https://docs.google.com/spreadsheets/d/1Yj_ptqi66GCucihVvJfMjLAmec39IyEx_6qawtMGysU/edit?usp=sharing"",""สบก!AJ49"")"),0)</f>
        <v>0</v>
      </c>
      <c r="L45" s="79">
        <f t="shared" ca="1" si="5"/>
        <v>0</v>
      </c>
      <c r="M45" s="79">
        <f t="shared" ca="1" si="6"/>
        <v>0</v>
      </c>
      <c r="N45" s="80">
        <f ca="1">IFERROR(__xludf.DUMMYFUNCTION("IMPORTRANGE(""https://docs.google.com/spreadsheets/d/1Yj_ptqi66GCucihVvJfMjLAmec39IyEx_6qawtMGysU/edit?usp=sharing"",""สบก!AK49"")"),0)</f>
        <v>0</v>
      </c>
      <c r="O45" s="79">
        <f t="shared" ca="1" si="7"/>
        <v>0</v>
      </c>
      <c r="P45" s="81">
        <f t="shared" ca="1" si="33"/>
        <v>0</v>
      </c>
      <c r="Q45" s="81">
        <f t="shared" ca="1" si="8"/>
        <v>0</v>
      </c>
      <c r="R45" s="81">
        <f t="shared" ca="1" si="41"/>
        <v>0</v>
      </c>
      <c r="S45" s="82">
        <f t="shared" ca="1" si="9"/>
        <v>0</v>
      </c>
      <c r="T45" s="81">
        <f t="shared" ca="1" si="42"/>
        <v>0</v>
      </c>
      <c r="U45" s="82">
        <f t="shared" ca="1" si="10"/>
        <v>0</v>
      </c>
      <c r="V45" s="77">
        <f ca="1">IFERROR(__xludf.DUMMYFUNCTION("IMPORTRANGE(""https://docs.google.com/spreadsheets/d/1C3CXT74ZlgGe6_JY_1olB1XN4rF0dxEuIIF-xsYjHgg/edit?usp=sharing"",""พรบ!H49"")"),0)</f>
        <v>0</v>
      </c>
      <c r="W45" s="77">
        <f ca="1">IFERROR(__xludf.DUMMYFUNCTION("IMPORTRANGE(""https://docs.google.com/spreadsheets/d/1C3CXT74ZlgGe6_JY_1olB1XN4rF0dxEuIIF-xsYjHgg/edit?usp=sharing"",""พรบ!I49"")"),0)</f>
        <v>0</v>
      </c>
      <c r="X45" s="81">
        <f ca="1">IFERROR(__xludf.DUMMYFUNCTION("IMPORTRANGE(""https://docs.google.com/spreadsheets/d/1XL5vhW3sbDhbH9Cz0tuDiY8C3ctxq1tqvaCgkFb8cCA/edit?usp=sharing"",""เลย!J22"")"),0)</f>
        <v>0</v>
      </c>
      <c r="Y45" s="81">
        <f ca="1">IFERROR(__xludf.DUMMYFUNCTION("IMPORTRANGE(""https://docs.google.com/spreadsheets/d/1XL5vhW3sbDhbH9Cz0tuDiY8C3ctxq1tqvaCgkFb8cCA/edit?usp=sharing"",""เลย!J23"")"),0)</f>
        <v>0</v>
      </c>
      <c r="Z45" s="77">
        <f ca="1">IFERROR(__xludf.DUMMYFUNCTION("IMPORTRANGE(""https://docs.google.com/spreadsheets/d/1C3CXT74ZlgGe6_JY_1olB1XN4rF0dxEuIIF-xsYjHgg/edit?usp=sharing"",""พรบ!J49"")"),0)</f>
        <v>0</v>
      </c>
      <c r="AA45" s="77">
        <f ca="1">IFERROR(__xludf.DUMMYFUNCTION("IMPORTRANGE(""https://docs.google.com/spreadsheets/d/1C3CXT74ZlgGe6_JY_1olB1XN4rF0dxEuIIF-xsYjHgg/edit?usp=sharing"",""พรบ!K49"")"),0)</f>
        <v>0</v>
      </c>
      <c r="AB45" s="81">
        <f ca="1">IFERROR(__xludf.DUMMYFUNCTION("IMPORTRANGE(""https://docs.google.com/spreadsheets/d/1XL5vhW3sbDhbH9Cz0tuDiY8C3ctxq1tqvaCgkFb8cCA/edit?usp=sharing"",""เลย!J24"")"),0)</f>
        <v>0</v>
      </c>
      <c r="AC45" s="81">
        <f ca="1">IFERROR(__xludf.DUMMYFUNCTION("IMPORTRANGE(""https://docs.google.com/spreadsheets/d/1XL5vhW3sbDhbH9Cz0tuDiY8C3ctxq1tqvaCgkFb8cCA/edit?usp=sharing"",""เลย!J25"")"),0)</f>
        <v>0</v>
      </c>
      <c r="AD45" s="77">
        <f ca="1">IFERROR(__xludf.DUMMYFUNCTION("IMPORTRANGE(""https://docs.google.com/spreadsheets/d/1C3CXT74ZlgGe6_JY_1olB1XN4rF0dxEuIIF-xsYjHgg/edit?usp=sharing"",""พรบ!L49"")"),0)</f>
        <v>0</v>
      </c>
      <c r="AE45" s="77">
        <f ca="1">IFERROR(__xludf.DUMMYFUNCTION("IMPORTRANGE(""https://docs.google.com/spreadsheets/d/1C3CXT74ZlgGe6_JY_1olB1XN4rF0dxEuIIF-xsYjHgg/edit?usp=sharing"",""พรบ!M49"")"),0)</f>
        <v>0</v>
      </c>
      <c r="AF45" s="81">
        <f ca="1">IFERROR(__xludf.DUMMYFUNCTION("IMPORTRANGE(""https://docs.google.com/spreadsheets/d/1XL5vhW3sbDhbH9Cz0tuDiY8C3ctxq1tqvaCgkFb8cCA/edit?usp=sharing"",""เลย!J26"")"),0)</f>
        <v>0</v>
      </c>
      <c r="AG45" s="81">
        <f ca="1">IFERROR(__xludf.DUMMYFUNCTION("IMPORTRANGE(""https://docs.google.com/spreadsheets/d/1XL5vhW3sbDhbH9Cz0tuDiY8C3ctxq1tqvaCgkFb8cCA/edit?usp=sharing"",""เลย!J27"")"),0)</f>
        <v>0</v>
      </c>
      <c r="AH45" s="77">
        <f ca="1">IFERROR(__xludf.DUMMYFUNCTION("IMPORTRANGE(""https://docs.google.com/spreadsheets/d/1C3CXT74ZlgGe6_JY_1olB1XN4rF0dxEuIIF-xsYjHgg/edit?usp=sharing"",""พรบ!N49"")"),0)</f>
        <v>0</v>
      </c>
      <c r="AI45" s="81">
        <f ca="1">IFERROR(__xludf.DUMMYFUNCTION("IMPORTRANGE(""https://docs.google.com/spreadsheets/d/1XL5vhW3sbDhbH9Cz0tuDiY8C3ctxq1tqvaCgkFb8cCA/edit?usp=sharing"",""เลย!J28"")"),0)</f>
        <v>0</v>
      </c>
      <c r="AJ45" s="79">
        <f t="shared" ca="1" si="17"/>
        <v>0</v>
      </c>
    </row>
    <row r="46" spans="1:36" ht="21" customHeight="1">
      <c r="A46" s="73">
        <v>13</v>
      </c>
      <c r="B46" s="74" t="s">
        <v>70</v>
      </c>
      <c r="C46" s="75">
        <f t="shared" ca="1" si="0"/>
        <v>926600</v>
      </c>
      <c r="D46" s="76">
        <f t="shared" ca="1" si="40"/>
        <v>926600</v>
      </c>
      <c r="E46" s="77">
        <f ca="1">IFERROR(__xludf.DUMMYFUNCTION("IMPORTRANGE(""https://docs.google.com/spreadsheets/d/1C3CXT74ZlgGe6_JY_1olB1XN4rF0dxEuIIF-xsYjHgg/edit?usp=sharing"",""พรบ!D50"")"),331400)</f>
        <v>331400</v>
      </c>
      <c r="F46" s="77">
        <f ca="1">IFERROR(__xludf.DUMMYFUNCTION("IMPORTRANGE(""https://docs.google.com/spreadsheets/d/1C3CXT74ZlgGe6_JY_1olB1XN4rF0dxEuIIF-xsYjHgg/edit?usp=sharing"",""พรบ!E50"")"),595200)</f>
        <v>595200</v>
      </c>
      <c r="G46" s="77">
        <f ca="1">IFERROR(__xludf.DUMMYFUNCTION("IMPORTRANGE(""https://docs.google.com/spreadsheets/d/1Yj_ptqi66GCucihVvJfMjLAmec39IyEx_6qawtMGysU/edit?usp=sharing"",""สบก!AG50"")"),0)</f>
        <v>0</v>
      </c>
      <c r="H46" s="77">
        <f ca="1">IFERROR(__xludf.DUMMYFUNCTION("IMPORTRANGE(""https://docs.google.com/spreadsheets/d/1Yj_ptqi66GCucihVvJfMjLAmec39IyEx_6qawtMGysU/edit?usp=sharing"",""สบก!AI50"")"),771320)</f>
        <v>771320</v>
      </c>
      <c r="I46" s="77">
        <f t="shared" ca="1" si="3"/>
        <v>456527.61</v>
      </c>
      <c r="J46" s="78">
        <f t="shared" ca="1" si="4"/>
        <v>49.269113965033455</v>
      </c>
      <c r="K46" s="77">
        <f ca="1">IFERROR(__xludf.DUMMYFUNCTION("IMPORTRANGE(""https://docs.google.com/spreadsheets/d/1Yj_ptqi66GCucihVvJfMjLAmec39IyEx_6qawtMGysU/edit?usp=sharing"",""สบก!AJ50"")"),456527.61)</f>
        <v>456527.61</v>
      </c>
      <c r="L46" s="79">
        <f t="shared" ca="1" si="5"/>
        <v>49.269113965033455</v>
      </c>
      <c r="M46" s="79">
        <f t="shared" ca="1" si="6"/>
        <v>59.187835139760409</v>
      </c>
      <c r="N46" s="80">
        <f ca="1">IFERROR(__xludf.DUMMYFUNCTION("IMPORTRANGE(""https://docs.google.com/spreadsheets/d/1Yj_ptqi66GCucihVvJfMjLAmec39IyEx_6qawtMGysU/edit?usp=sharing"",""สบก!AK50"")"),0)</f>
        <v>0</v>
      </c>
      <c r="O46" s="79">
        <f t="shared" ca="1" si="7"/>
        <v>0</v>
      </c>
      <c r="P46" s="81">
        <f t="shared" ca="1" si="33"/>
        <v>1</v>
      </c>
      <c r="Q46" s="81">
        <f t="shared" ca="1" si="8"/>
        <v>71</v>
      </c>
      <c r="R46" s="81">
        <f t="shared" ca="1" si="41"/>
        <v>1</v>
      </c>
      <c r="S46" s="82">
        <f t="shared" ca="1" si="9"/>
        <v>100</v>
      </c>
      <c r="T46" s="81">
        <f t="shared" ca="1" si="42"/>
        <v>71</v>
      </c>
      <c r="U46" s="82">
        <f t="shared" ca="1" si="10"/>
        <v>100</v>
      </c>
      <c r="V46" s="77">
        <f ca="1">IFERROR(__xludf.DUMMYFUNCTION("IMPORTRANGE(""https://docs.google.com/spreadsheets/d/1C3CXT74ZlgGe6_JY_1olB1XN4rF0dxEuIIF-xsYjHgg/edit?usp=sharing"",""พรบ!H50"")"),0)</f>
        <v>0</v>
      </c>
      <c r="W46" s="77">
        <f ca="1">IFERROR(__xludf.DUMMYFUNCTION("IMPORTRANGE(""https://docs.google.com/spreadsheets/d/1C3CXT74ZlgGe6_JY_1olB1XN4rF0dxEuIIF-xsYjHgg/edit?usp=sharing"",""พรบ!I50"")"),0)</f>
        <v>0</v>
      </c>
      <c r="X46" s="81">
        <f ca="1">IFERROR(__xludf.DUMMYFUNCTION("IMPORTRANGE(""https://docs.google.com/spreadsheets/d/1XL5vhW3sbDhbH9Cz0tuDiY8C3ctxq1tqvaCgkFb8cCA/edit?usp=sharing"",""ศรีสะเกษ!J22"")"),0)</f>
        <v>0</v>
      </c>
      <c r="Y46" s="81">
        <f ca="1">IFERROR(__xludf.DUMMYFUNCTION("IMPORTRANGE(""https://docs.google.com/spreadsheets/d/1XL5vhW3sbDhbH9Cz0tuDiY8C3ctxq1tqvaCgkFb8cCA/edit?usp=sharing"",""ศรีสะเกษ!J23"")"),0)</f>
        <v>0</v>
      </c>
      <c r="Z46" s="77">
        <f ca="1">IFERROR(__xludf.DUMMYFUNCTION("IMPORTRANGE(""https://docs.google.com/spreadsheets/d/1C3CXT74ZlgGe6_JY_1olB1XN4rF0dxEuIIF-xsYjHgg/edit?usp=sharing"",""พรบ!J50"")"),1)</f>
        <v>1</v>
      </c>
      <c r="AA46" s="77">
        <f ca="1">IFERROR(__xludf.DUMMYFUNCTION("IMPORTRANGE(""https://docs.google.com/spreadsheets/d/1C3CXT74ZlgGe6_JY_1olB1XN4rF0dxEuIIF-xsYjHgg/edit?usp=sharing"",""พรบ!K50"")"),71)</f>
        <v>71</v>
      </c>
      <c r="AB46" s="81">
        <f ca="1">IFERROR(__xludf.DUMMYFUNCTION("IMPORTRANGE(""https://docs.google.com/spreadsheets/d/1XL5vhW3sbDhbH9Cz0tuDiY8C3ctxq1tqvaCgkFb8cCA/edit?usp=sharing"",""ศรีสะเกษ!J24"")"),1)</f>
        <v>1</v>
      </c>
      <c r="AC46" s="81">
        <f ca="1">IFERROR(__xludf.DUMMYFUNCTION("IMPORTRANGE(""https://docs.google.com/spreadsheets/d/1XL5vhW3sbDhbH9Cz0tuDiY8C3ctxq1tqvaCgkFb8cCA/edit?usp=sharing"",""ศรีสะเกษ!J25"")"),71)</f>
        <v>71</v>
      </c>
      <c r="AD46" s="77">
        <f ca="1">IFERROR(__xludf.DUMMYFUNCTION("IMPORTRANGE(""https://docs.google.com/spreadsheets/d/1C3CXT74ZlgGe6_JY_1olB1XN4rF0dxEuIIF-xsYjHgg/edit?usp=sharing"",""พรบ!L50"")"),0)</f>
        <v>0</v>
      </c>
      <c r="AE46" s="77">
        <f ca="1">IFERROR(__xludf.DUMMYFUNCTION("IMPORTRANGE(""https://docs.google.com/spreadsheets/d/1C3CXT74ZlgGe6_JY_1olB1XN4rF0dxEuIIF-xsYjHgg/edit?usp=sharing"",""พรบ!M50"")"),0)</f>
        <v>0</v>
      </c>
      <c r="AF46" s="81">
        <f ca="1">IFERROR(__xludf.DUMMYFUNCTION("IMPORTRANGE(""https://docs.google.com/spreadsheets/d/1XL5vhW3sbDhbH9Cz0tuDiY8C3ctxq1tqvaCgkFb8cCA/edit?usp=sharing"",""ศรีสะเกษ!J26"")"),0)</f>
        <v>0</v>
      </c>
      <c r="AG46" s="81">
        <f ca="1">IFERROR(__xludf.DUMMYFUNCTION("IMPORTRANGE(""https://docs.google.com/spreadsheets/d/1XL5vhW3sbDhbH9Cz0tuDiY8C3ctxq1tqvaCgkFb8cCA/edit?usp=sharing"",""ศรีสะเกษ!J27"")"),0)</f>
        <v>0</v>
      </c>
      <c r="AH46" s="77">
        <f ca="1">IFERROR(__xludf.DUMMYFUNCTION("IMPORTRANGE(""https://docs.google.com/spreadsheets/d/1C3CXT74ZlgGe6_JY_1olB1XN4rF0dxEuIIF-xsYjHgg/edit?usp=sharing"",""พรบ!N50"")"),0)</f>
        <v>0</v>
      </c>
      <c r="AI46" s="81">
        <f ca="1">IFERROR(__xludf.DUMMYFUNCTION("IMPORTRANGE(""https://docs.google.com/spreadsheets/d/1XL5vhW3sbDhbH9Cz0tuDiY8C3ctxq1tqvaCgkFb8cCA/edit?usp=sharing"",""ศรีสะเกษ!J28"")"),71)</f>
        <v>71</v>
      </c>
      <c r="AJ46" s="79">
        <f t="shared" ca="1" si="17"/>
        <v>0</v>
      </c>
    </row>
    <row r="47" spans="1:36" ht="21" customHeight="1">
      <c r="A47" s="73">
        <v>14</v>
      </c>
      <c r="B47" s="74" t="s">
        <v>71</v>
      </c>
      <c r="C47" s="75">
        <f t="shared" ca="1" si="0"/>
        <v>577000</v>
      </c>
      <c r="D47" s="76">
        <f t="shared" ca="1" si="40"/>
        <v>577000</v>
      </c>
      <c r="E47" s="77">
        <f ca="1">IFERROR(__xludf.DUMMYFUNCTION("IMPORTRANGE(""https://docs.google.com/spreadsheets/d/1C3CXT74ZlgGe6_JY_1olB1XN4rF0dxEuIIF-xsYjHgg/edit?usp=sharing"",""พรบ!D51"")"),205000)</f>
        <v>205000</v>
      </c>
      <c r="F47" s="77">
        <f ca="1">IFERROR(__xludf.DUMMYFUNCTION("IMPORTRANGE(""https://docs.google.com/spreadsheets/d/1C3CXT74ZlgGe6_JY_1olB1XN4rF0dxEuIIF-xsYjHgg/edit?usp=sharing"",""พรบ!E51"")"),372000)</f>
        <v>372000</v>
      </c>
      <c r="G47" s="77">
        <f ca="1">IFERROR(__xludf.DUMMYFUNCTION("IMPORTRANGE(""https://docs.google.com/spreadsheets/d/1Yj_ptqi66GCucihVvJfMjLAmec39IyEx_6qawtMGysU/edit?usp=sharing"",""สบก!AG51"")"),0)</f>
        <v>0</v>
      </c>
      <c r="H47" s="77">
        <f ca="1">IFERROR(__xludf.DUMMYFUNCTION("IMPORTRANGE(""https://docs.google.com/spreadsheets/d/1Yj_ptqi66GCucihVvJfMjLAmec39IyEx_6qawtMGysU/edit?usp=sharing"",""สบก!AI51"")"),502320)</f>
        <v>502320</v>
      </c>
      <c r="I47" s="77">
        <f t="shared" ca="1" si="3"/>
        <v>145697.60000000001</v>
      </c>
      <c r="J47" s="78">
        <f t="shared" ca="1" si="4"/>
        <v>25.250883882149047</v>
      </c>
      <c r="K47" s="77">
        <f ca="1">IFERROR(__xludf.DUMMYFUNCTION("IMPORTRANGE(""https://docs.google.com/spreadsheets/d/1Yj_ptqi66GCucihVvJfMjLAmec39IyEx_6qawtMGysU/edit?usp=sharing"",""สบก!AJ51"")"),145697.6)</f>
        <v>145697.60000000001</v>
      </c>
      <c r="L47" s="79">
        <f t="shared" ca="1" si="5"/>
        <v>25.250883882149047</v>
      </c>
      <c r="M47" s="79">
        <f t="shared" ca="1" si="6"/>
        <v>29.004937091893613</v>
      </c>
      <c r="N47" s="80">
        <f ca="1">IFERROR(__xludf.DUMMYFUNCTION("IMPORTRANGE(""https://docs.google.com/spreadsheets/d/1Yj_ptqi66GCucihVvJfMjLAmec39IyEx_6qawtMGysU/edit?usp=sharing"",""สบก!AK51"")"),0)</f>
        <v>0</v>
      </c>
      <c r="O47" s="79">
        <f t="shared" ca="1" si="7"/>
        <v>0</v>
      </c>
      <c r="P47" s="81">
        <f t="shared" ca="1" si="33"/>
        <v>1</v>
      </c>
      <c r="Q47" s="81">
        <f t="shared" ca="1" si="8"/>
        <v>30</v>
      </c>
      <c r="R47" s="81">
        <f t="shared" ca="1" si="41"/>
        <v>1</v>
      </c>
      <c r="S47" s="82">
        <f t="shared" ca="1" si="9"/>
        <v>100</v>
      </c>
      <c r="T47" s="81">
        <f t="shared" ca="1" si="42"/>
        <v>30</v>
      </c>
      <c r="U47" s="82">
        <f t="shared" ca="1" si="10"/>
        <v>100</v>
      </c>
      <c r="V47" s="77">
        <f ca="1">IFERROR(__xludf.DUMMYFUNCTION("IMPORTRANGE(""https://docs.google.com/spreadsheets/d/1C3CXT74ZlgGe6_JY_1olB1XN4rF0dxEuIIF-xsYjHgg/edit?usp=sharing"",""พรบ!H51"")"),0)</f>
        <v>0</v>
      </c>
      <c r="W47" s="77">
        <f ca="1">IFERROR(__xludf.DUMMYFUNCTION("IMPORTRANGE(""https://docs.google.com/spreadsheets/d/1C3CXT74ZlgGe6_JY_1olB1XN4rF0dxEuIIF-xsYjHgg/edit?usp=sharing"",""พรบ!I51"")"),0)</f>
        <v>0</v>
      </c>
      <c r="X47" s="81">
        <f ca="1">IFERROR(__xludf.DUMMYFUNCTION("IMPORTRANGE(""https://docs.google.com/spreadsheets/d/1XL5vhW3sbDhbH9Cz0tuDiY8C3ctxq1tqvaCgkFb8cCA/edit?usp=sharing"",""สกลนคร!J22"")"),0)</f>
        <v>0</v>
      </c>
      <c r="Y47" s="81">
        <f ca="1">IFERROR(__xludf.DUMMYFUNCTION("IMPORTRANGE(""https://docs.google.com/spreadsheets/d/1XL5vhW3sbDhbH9Cz0tuDiY8C3ctxq1tqvaCgkFb8cCA/edit?usp=sharing"",""สกลนคร!J23"")"),0)</f>
        <v>0</v>
      </c>
      <c r="Z47" s="77">
        <f ca="1">IFERROR(__xludf.DUMMYFUNCTION("IMPORTRANGE(""https://docs.google.com/spreadsheets/d/1C3CXT74ZlgGe6_JY_1olB1XN4rF0dxEuIIF-xsYjHgg/edit?usp=sharing"",""พรบ!J51"")"),1)</f>
        <v>1</v>
      </c>
      <c r="AA47" s="77">
        <f ca="1">IFERROR(__xludf.DUMMYFUNCTION("IMPORTRANGE(""https://docs.google.com/spreadsheets/d/1C3CXT74ZlgGe6_JY_1olB1XN4rF0dxEuIIF-xsYjHgg/edit?usp=sharing"",""พรบ!K51"")"),30)</f>
        <v>30</v>
      </c>
      <c r="AB47" s="81">
        <f ca="1">IFERROR(__xludf.DUMMYFUNCTION("IMPORTRANGE(""https://docs.google.com/spreadsheets/d/1XL5vhW3sbDhbH9Cz0tuDiY8C3ctxq1tqvaCgkFb8cCA/edit?usp=sharing"",""สกลนคร!J24"")"),1)</f>
        <v>1</v>
      </c>
      <c r="AC47" s="81">
        <f ca="1">IFERROR(__xludf.DUMMYFUNCTION("IMPORTRANGE(""https://docs.google.com/spreadsheets/d/1XL5vhW3sbDhbH9Cz0tuDiY8C3ctxq1tqvaCgkFb8cCA/edit?usp=sharing"",""สกลนคร!J25"")"),30)</f>
        <v>30</v>
      </c>
      <c r="AD47" s="77">
        <f ca="1">IFERROR(__xludf.DUMMYFUNCTION("IMPORTRANGE(""https://docs.google.com/spreadsheets/d/1C3CXT74ZlgGe6_JY_1olB1XN4rF0dxEuIIF-xsYjHgg/edit?usp=sharing"",""พรบ!L51"")"),0)</f>
        <v>0</v>
      </c>
      <c r="AE47" s="77">
        <f ca="1">IFERROR(__xludf.DUMMYFUNCTION("IMPORTRANGE(""https://docs.google.com/spreadsheets/d/1C3CXT74ZlgGe6_JY_1olB1XN4rF0dxEuIIF-xsYjHgg/edit?usp=sharing"",""พรบ!M51"")"),0)</f>
        <v>0</v>
      </c>
      <c r="AF47" s="81">
        <f ca="1">IFERROR(__xludf.DUMMYFUNCTION("IMPORTRANGE(""https://docs.google.com/spreadsheets/d/1XL5vhW3sbDhbH9Cz0tuDiY8C3ctxq1tqvaCgkFb8cCA/edit?usp=sharing"",""สกลนคร!J26"")"),0)</f>
        <v>0</v>
      </c>
      <c r="AG47" s="81">
        <f ca="1">IFERROR(__xludf.DUMMYFUNCTION("IMPORTRANGE(""https://docs.google.com/spreadsheets/d/1XL5vhW3sbDhbH9Cz0tuDiY8C3ctxq1tqvaCgkFb8cCA/edit?usp=sharing"",""สกลนคร!J27"")"),0)</f>
        <v>0</v>
      </c>
      <c r="AH47" s="77">
        <f ca="1">IFERROR(__xludf.DUMMYFUNCTION("IMPORTRANGE(""https://docs.google.com/spreadsheets/d/1C3CXT74ZlgGe6_JY_1olB1XN4rF0dxEuIIF-xsYjHgg/edit?usp=sharing"",""พรบ!N51"")"),0)</f>
        <v>0</v>
      </c>
      <c r="AI47" s="81">
        <f ca="1">IFERROR(__xludf.DUMMYFUNCTION("IMPORTRANGE(""https://docs.google.com/spreadsheets/d/1XL5vhW3sbDhbH9Cz0tuDiY8C3ctxq1tqvaCgkFb8cCA/edit?usp=sharing"",""สกลนคร!J28"")"),0)</f>
        <v>0</v>
      </c>
      <c r="AJ47" s="79">
        <f t="shared" ca="1" si="17"/>
        <v>0</v>
      </c>
    </row>
    <row r="48" spans="1:36" ht="21" customHeight="1">
      <c r="A48" s="73">
        <v>15</v>
      </c>
      <c r="B48" s="74" t="s">
        <v>72</v>
      </c>
      <c r="C48" s="75">
        <f t="shared" ca="1" si="0"/>
        <v>0</v>
      </c>
      <c r="D48" s="76">
        <f t="shared" ca="1" si="40"/>
        <v>0</v>
      </c>
      <c r="E48" s="77">
        <f ca="1">IFERROR(__xludf.DUMMYFUNCTION("IMPORTRANGE(""https://docs.google.com/spreadsheets/d/1C3CXT74ZlgGe6_JY_1olB1XN4rF0dxEuIIF-xsYjHgg/edit?usp=sharing"",""พรบ!D52"")"),0)</f>
        <v>0</v>
      </c>
      <c r="F48" s="77">
        <f ca="1">IFERROR(__xludf.DUMMYFUNCTION("IMPORTRANGE(""https://docs.google.com/spreadsheets/d/1C3CXT74ZlgGe6_JY_1olB1XN4rF0dxEuIIF-xsYjHgg/edit?usp=sharing"",""พรบ!E52"")"),0)</f>
        <v>0</v>
      </c>
      <c r="G48" s="77">
        <f ca="1">IFERROR(__xludf.DUMMYFUNCTION("IMPORTRANGE(""https://docs.google.com/spreadsheets/d/1Yj_ptqi66GCucihVvJfMjLAmec39IyEx_6qawtMGysU/edit?usp=sharing"",""สบก!AG52"")"),0)</f>
        <v>0</v>
      </c>
      <c r="H48" s="77">
        <f ca="1">IFERROR(__xludf.DUMMYFUNCTION("IMPORTRANGE(""https://docs.google.com/spreadsheets/d/1Yj_ptqi66GCucihVvJfMjLAmec39IyEx_6qawtMGysU/edit?usp=sharing"",""สบก!AI52"")"),0)</f>
        <v>0</v>
      </c>
      <c r="I48" s="77">
        <f t="shared" ca="1" si="3"/>
        <v>0</v>
      </c>
      <c r="J48" s="78">
        <f t="shared" ca="1" si="4"/>
        <v>0</v>
      </c>
      <c r="K48" s="77">
        <f ca="1">IFERROR(__xludf.DUMMYFUNCTION("IMPORTRANGE(""https://docs.google.com/spreadsheets/d/1Yj_ptqi66GCucihVvJfMjLAmec39IyEx_6qawtMGysU/edit?usp=sharing"",""สบก!AJ52"")"),0)</f>
        <v>0</v>
      </c>
      <c r="L48" s="79">
        <f t="shared" ca="1" si="5"/>
        <v>0</v>
      </c>
      <c r="M48" s="79">
        <f t="shared" ca="1" si="6"/>
        <v>0</v>
      </c>
      <c r="N48" s="80">
        <f ca="1">IFERROR(__xludf.DUMMYFUNCTION("IMPORTRANGE(""https://docs.google.com/spreadsheets/d/1Yj_ptqi66GCucihVvJfMjLAmec39IyEx_6qawtMGysU/edit?usp=sharing"",""สบก!AK52"")"),0)</f>
        <v>0</v>
      </c>
      <c r="O48" s="79">
        <f t="shared" ca="1" si="7"/>
        <v>0</v>
      </c>
      <c r="P48" s="81">
        <f t="shared" ca="1" si="33"/>
        <v>0</v>
      </c>
      <c r="Q48" s="81">
        <f t="shared" ca="1" si="8"/>
        <v>0</v>
      </c>
      <c r="R48" s="81">
        <f t="shared" ca="1" si="41"/>
        <v>0</v>
      </c>
      <c r="S48" s="82">
        <f t="shared" ca="1" si="9"/>
        <v>0</v>
      </c>
      <c r="T48" s="81">
        <f t="shared" ca="1" si="42"/>
        <v>0</v>
      </c>
      <c r="U48" s="82">
        <f t="shared" ca="1" si="10"/>
        <v>0</v>
      </c>
      <c r="V48" s="77">
        <f ca="1">IFERROR(__xludf.DUMMYFUNCTION("IMPORTRANGE(""https://docs.google.com/spreadsheets/d/1C3CXT74ZlgGe6_JY_1olB1XN4rF0dxEuIIF-xsYjHgg/edit?usp=sharing"",""พรบ!H52"")"),0)</f>
        <v>0</v>
      </c>
      <c r="W48" s="77">
        <f ca="1">IFERROR(__xludf.DUMMYFUNCTION("IMPORTRANGE(""https://docs.google.com/spreadsheets/d/1C3CXT74ZlgGe6_JY_1olB1XN4rF0dxEuIIF-xsYjHgg/edit?usp=sharing"",""พรบ!I52"")"),0)</f>
        <v>0</v>
      </c>
      <c r="X48" s="81">
        <f ca="1">IFERROR(__xludf.DUMMYFUNCTION("IMPORTRANGE(""https://docs.google.com/spreadsheets/d/1XL5vhW3sbDhbH9Cz0tuDiY8C3ctxq1tqvaCgkFb8cCA/edit?usp=sharing"",""สุรินทร์!J22"")"),0)</f>
        <v>0</v>
      </c>
      <c r="Y48" s="81">
        <f ca="1">IFERROR(__xludf.DUMMYFUNCTION("IMPORTRANGE(""https://docs.google.com/spreadsheets/d/1XL5vhW3sbDhbH9Cz0tuDiY8C3ctxq1tqvaCgkFb8cCA/edit?usp=sharing"",""สุรินทร์!J23"")"),0)</f>
        <v>0</v>
      </c>
      <c r="Z48" s="77">
        <f ca="1">IFERROR(__xludf.DUMMYFUNCTION("IMPORTRANGE(""https://docs.google.com/spreadsheets/d/1C3CXT74ZlgGe6_JY_1olB1XN4rF0dxEuIIF-xsYjHgg/edit?usp=sharing"",""พรบ!J52"")"),0)</f>
        <v>0</v>
      </c>
      <c r="AA48" s="77">
        <f ca="1">IFERROR(__xludf.DUMMYFUNCTION("IMPORTRANGE(""https://docs.google.com/spreadsheets/d/1C3CXT74ZlgGe6_JY_1olB1XN4rF0dxEuIIF-xsYjHgg/edit?usp=sharing"",""พรบ!K52"")"),0)</f>
        <v>0</v>
      </c>
      <c r="AB48" s="81">
        <f ca="1">IFERROR(__xludf.DUMMYFUNCTION("IMPORTRANGE(""https://docs.google.com/spreadsheets/d/1XL5vhW3sbDhbH9Cz0tuDiY8C3ctxq1tqvaCgkFb8cCA/edit?usp=sharing"",""สุรินทร์!J24"")"),0)</f>
        <v>0</v>
      </c>
      <c r="AC48" s="81">
        <f ca="1">IFERROR(__xludf.DUMMYFUNCTION("IMPORTRANGE(""https://docs.google.com/spreadsheets/d/1XL5vhW3sbDhbH9Cz0tuDiY8C3ctxq1tqvaCgkFb8cCA/edit?usp=sharing"",""สุรินทร์!J25"")"),0)</f>
        <v>0</v>
      </c>
      <c r="AD48" s="77">
        <f ca="1">IFERROR(__xludf.DUMMYFUNCTION("IMPORTRANGE(""https://docs.google.com/spreadsheets/d/1C3CXT74ZlgGe6_JY_1olB1XN4rF0dxEuIIF-xsYjHgg/edit?usp=sharing"",""พรบ!L52"")"),0)</f>
        <v>0</v>
      </c>
      <c r="AE48" s="77">
        <f ca="1">IFERROR(__xludf.DUMMYFUNCTION("IMPORTRANGE(""https://docs.google.com/spreadsheets/d/1C3CXT74ZlgGe6_JY_1olB1XN4rF0dxEuIIF-xsYjHgg/edit?usp=sharing"",""พรบ!M52"")"),0)</f>
        <v>0</v>
      </c>
      <c r="AF48" s="81">
        <f ca="1">IFERROR(__xludf.DUMMYFUNCTION("IMPORTRANGE(""https://docs.google.com/spreadsheets/d/1XL5vhW3sbDhbH9Cz0tuDiY8C3ctxq1tqvaCgkFb8cCA/edit?usp=sharing"",""สุรินทร์!J26"")"),0)</f>
        <v>0</v>
      </c>
      <c r="AG48" s="81">
        <f ca="1">IFERROR(__xludf.DUMMYFUNCTION("IMPORTRANGE(""https://docs.google.com/spreadsheets/d/1XL5vhW3sbDhbH9Cz0tuDiY8C3ctxq1tqvaCgkFb8cCA/edit?usp=sharing"",""สุรินทร์!J27"")"),0)</f>
        <v>0</v>
      </c>
      <c r="AH48" s="77">
        <f ca="1">IFERROR(__xludf.DUMMYFUNCTION("IMPORTRANGE(""https://docs.google.com/spreadsheets/d/1C3CXT74ZlgGe6_JY_1olB1XN4rF0dxEuIIF-xsYjHgg/edit?usp=sharing"",""พรบ!N52"")"),0)</f>
        <v>0</v>
      </c>
      <c r="AI48" s="81">
        <f ca="1">IFERROR(__xludf.DUMMYFUNCTION("IMPORTRANGE(""https://docs.google.com/spreadsheets/d/1XL5vhW3sbDhbH9Cz0tuDiY8C3ctxq1tqvaCgkFb8cCA/edit?usp=sharing"",""สุรินทร์!J28"")"),0)</f>
        <v>0</v>
      </c>
      <c r="AJ48" s="79">
        <f t="shared" ca="1" si="17"/>
        <v>0</v>
      </c>
    </row>
    <row r="49" spans="1:36" ht="21" customHeight="1">
      <c r="A49" s="73">
        <v>16</v>
      </c>
      <c r="B49" s="74" t="s">
        <v>73</v>
      </c>
      <c r="C49" s="75">
        <f t="shared" ca="1" si="0"/>
        <v>874700</v>
      </c>
      <c r="D49" s="76">
        <f t="shared" ca="1" si="40"/>
        <v>874700</v>
      </c>
      <c r="E49" s="77">
        <f ca="1">IFERROR(__xludf.DUMMYFUNCTION("IMPORTRANGE(""https://docs.google.com/spreadsheets/d/1C3CXT74ZlgGe6_JY_1olB1XN4rF0dxEuIIF-xsYjHgg/edit?usp=sharing"",""พรบ!D53"")"),315900)</f>
        <v>315900</v>
      </c>
      <c r="F49" s="77">
        <f ca="1">IFERROR(__xludf.DUMMYFUNCTION("IMPORTRANGE(""https://docs.google.com/spreadsheets/d/1C3CXT74ZlgGe6_JY_1olB1XN4rF0dxEuIIF-xsYjHgg/edit?usp=sharing"",""พรบ!E53"")"),558800)</f>
        <v>558800</v>
      </c>
      <c r="G49" s="77">
        <f ca="1">IFERROR(__xludf.DUMMYFUNCTION("IMPORTRANGE(""https://docs.google.com/spreadsheets/d/1Yj_ptqi66GCucihVvJfMjLAmec39IyEx_6qawtMGysU/edit?usp=sharing"",""สบก!AG53"")"),0)</f>
        <v>0</v>
      </c>
      <c r="H49" s="77">
        <f ca="1">IFERROR(__xludf.DUMMYFUNCTION("IMPORTRANGE(""https://docs.google.com/spreadsheets/d/1Yj_ptqi66GCucihVvJfMjLAmec39IyEx_6qawtMGysU/edit?usp=sharing"",""สบก!AI53"")"),723320)</f>
        <v>723320</v>
      </c>
      <c r="I49" s="77">
        <f t="shared" ca="1" si="3"/>
        <v>422097.07</v>
      </c>
      <c r="J49" s="78">
        <f t="shared" ca="1" si="4"/>
        <v>48.256210129187153</v>
      </c>
      <c r="K49" s="77">
        <f ca="1">IFERROR(__xludf.DUMMYFUNCTION("IMPORTRANGE(""https://docs.google.com/spreadsheets/d/1Yj_ptqi66GCucihVvJfMjLAmec39IyEx_6qawtMGysU/edit?usp=sharing"",""สบก!AJ53"")"),422097.07)</f>
        <v>422097.07</v>
      </c>
      <c r="L49" s="79">
        <f t="shared" ca="1" si="5"/>
        <v>48.256210129187153</v>
      </c>
      <c r="M49" s="79">
        <f t="shared" ca="1" si="6"/>
        <v>58.355509318144115</v>
      </c>
      <c r="N49" s="80">
        <f ca="1">IFERROR(__xludf.DUMMYFUNCTION("IMPORTRANGE(""https://docs.google.com/spreadsheets/d/1Yj_ptqi66GCucihVvJfMjLAmec39IyEx_6qawtMGysU/edit?usp=sharing"",""สบก!AK53"")"),0)</f>
        <v>0</v>
      </c>
      <c r="O49" s="79">
        <f t="shared" ca="1" si="7"/>
        <v>0</v>
      </c>
      <c r="P49" s="81">
        <f t="shared" ca="1" si="33"/>
        <v>1</v>
      </c>
      <c r="Q49" s="81">
        <f t="shared" ca="1" si="8"/>
        <v>64</v>
      </c>
      <c r="R49" s="81">
        <f t="shared" ca="1" si="41"/>
        <v>1</v>
      </c>
      <c r="S49" s="82">
        <f t="shared" ca="1" si="9"/>
        <v>100</v>
      </c>
      <c r="T49" s="81">
        <f t="shared" ca="1" si="42"/>
        <v>64</v>
      </c>
      <c r="U49" s="82">
        <f t="shared" ca="1" si="10"/>
        <v>100</v>
      </c>
      <c r="V49" s="77">
        <f ca="1">IFERROR(__xludf.DUMMYFUNCTION("IMPORTRANGE(""https://docs.google.com/spreadsheets/d/1C3CXT74ZlgGe6_JY_1olB1XN4rF0dxEuIIF-xsYjHgg/edit?usp=sharing"",""พรบ!H53"")"),0)</f>
        <v>0</v>
      </c>
      <c r="W49" s="77">
        <f ca="1">IFERROR(__xludf.DUMMYFUNCTION("IMPORTRANGE(""https://docs.google.com/spreadsheets/d/1C3CXT74ZlgGe6_JY_1olB1XN4rF0dxEuIIF-xsYjHgg/edit?usp=sharing"",""พรบ!I53"")"),0)</f>
        <v>0</v>
      </c>
      <c r="X49" s="81">
        <f ca="1">IFERROR(__xludf.DUMMYFUNCTION("IMPORTRANGE(""https://docs.google.com/spreadsheets/d/1XL5vhW3sbDhbH9Cz0tuDiY8C3ctxq1tqvaCgkFb8cCA/edit?usp=sharing"",""หนองคาย!J22"")"),0)</f>
        <v>0</v>
      </c>
      <c r="Y49" s="81">
        <f ca="1">IFERROR(__xludf.DUMMYFUNCTION("IMPORTRANGE(""https://docs.google.com/spreadsheets/d/1XL5vhW3sbDhbH9Cz0tuDiY8C3ctxq1tqvaCgkFb8cCA/edit?usp=sharing"",""หนองคาย!J23"")"),0)</f>
        <v>0</v>
      </c>
      <c r="Z49" s="77">
        <f ca="1">IFERROR(__xludf.DUMMYFUNCTION("IMPORTRANGE(""https://docs.google.com/spreadsheets/d/1C3CXT74ZlgGe6_JY_1olB1XN4rF0dxEuIIF-xsYjHgg/edit?usp=sharing"",""พรบ!J53"")"),1)</f>
        <v>1</v>
      </c>
      <c r="AA49" s="77">
        <f ca="1">IFERROR(__xludf.DUMMYFUNCTION("IMPORTRANGE(""https://docs.google.com/spreadsheets/d/1C3CXT74ZlgGe6_JY_1olB1XN4rF0dxEuIIF-xsYjHgg/edit?usp=sharing"",""พรบ!K53"")"),64)</f>
        <v>64</v>
      </c>
      <c r="AB49" s="81">
        <f ca="1">IFERROR(__xludf.DUMMYFUNCTION("IMPORTRANGE(""https://docs.google.com/spreadsheets/d/1XL5vhW3sbDhbH9Cz0tuDiY8C3ctxq1tqvaCgkFb8cCA/edit?usp=sharing"",""หนองคาย!J24"")"),1)</f>
        <v>1</v>
      </c>
      <c r="AC49" s="81">
        <f ca="1">IFERROR(__xludf.DUMMYFUNCTION("IMPORTRANGE(""https://docs.google.com/spreadsheets/d/1XL5vhW3sbDhbH9Cz0tuDiY8C3ctxq1tqvaCgkFb8cCA/edit?usp=sharing"",""หนองคาย!J25"")"),64)</f>
        <v>64</v>
      </c>
      <c r="AD49" s="77">
        <f ca="1">IFERROR(__xludf.DUMMYFUNCTION("IMPORTRANGE(""https://docs.google.com/spreadsheets/d/1C3CXT74ZlgGe6_JY_1olB1XN4rF0dxEuIIF-xsYjHgg/edit?usp=sharing"",""พรบ!L53"")"),0)</f>
        <v>0</v>
      </c>
      <c r="AE49" s="77">
        <f ca="1">IFERROR(__xludf.DUMMYFUNCTION("IMPORTRANGE(""https://docs.google.com/spreadsheets/d/1C3CXT74ZlgGe6_JY_1olB1XN4rF0dxEuIIF-xsYjHgg/edit?usp=sharing"",""พรบ!M53"")"),0)</f>
        <v>0</v>
      </c>
      <c r="AF49" s="81">
        <f ca="1">IFERROR(__xludf.DUMMYFUNCTION("IMPORTRANGE(""https://docs.google.com/spreadsheets/d/1XL5vhW3sbDhbH9Cz0tuDiY8C3ctxq1tqvaCgkFb8cCA/edit?usp=sharing"",""หนองคาย!J26"")"),0)</f>
        <v>0</v>
      </c>
      <c r="AG49" s="81">
        <f ca="1">IFERROR(__xludf.DUMMYFUNCTION("IMPORTRANGE(""https://docs.google.com/spreadsheets/d/1XL5vhW3sbDhbH9Cz0tuDiY8C3ctxq1tqvaCgkFb8cCA/edit?usp=sharing"",""หนองคาย!J27"")"),0)</f>
        <v>0</v>
      </c>
      <c r="AH49" s="77">
        <f ca="1">IFERROR(__xludf.DUMMYFUNCTION("IMPORTRANGE(""https://docs.google.com/spreadsheets/d/1C3CXT74ZlgGe6_JY_1olB1XN4rF0dxEuIIF-xsYjHgg/edit?usp=sharing"",""พรบ!N53"")"),0)</f>
        <v>0</v>
      </c>
      <c r="AI49" s="81">
        <f ca="1">IFERROR(__xludf.DUMMYFUNCTION("IMPORTRANGE(""https://docs.google.com/spreadsheets/d/1XL5vhW3sbDhbH9Cz0tuDiY8C3ctxq1tqvaCgkFb8cCA/edit?usp=sharing"",""หนองคาย!J28"")"),64)</f>
        <v>64</v>
      </c>
      <c r="AJ49" s="79">
        <f t="shared" ca="1" si="17"/>
        <v>0</v>
      </c>
    </row>
    <row r="50" spans="1:36" ht="21" customHeight="1">
      <c r="A50" s="73">
        <v>17</v>
      </c>
      <c r="B50" s="74" t="s">
        <v>74</v>
      </c>
      <c r="C50" s="75">
        <f t="shared" ca="1" si="0"/>
        <v>614000</v>
      </c>
      <c r="D50" s="76">
        <f t="shared" ca="1" si="40"/>
        <v>614000</v>
      </c>
      <c r="E50" s="77">
        <f ca="1">IFERROR(__xludf.DUMMYFUNCTION("IMPORTRANGE(""https://docs.google.com/spreadsheets/d/1C3CXT74ZlgGe6_JY_1olB1XN4rF0dxEuIIF-xsYjHgg/edit?usp=sharing"",""พรบ!D54"")"),232000)</f>
        <v>232000</v>
      </c>
      <c r="F50" s="77">
        <f ca="1">IFERROR(__xludf.DUMMYFUNCTION("IMPORTRANGE(""https://docs.google.com/spreadsheets/d/1C3CXT74ZlgGe6_JY_1olB1XN4rF0dxEuIIF-xsYjHgg/edit?usp=sharing"",""พรบ!E54"")"),382000)</f>
        <v>382000</v>
      </c>
      <c r="G50" s="77">
        <f ca="1">IFERROR(__xludf.DUMMYFUNCTION("IMPORTRANGE(""https://docs.google.com/spreadsheets/d/1Yj_ptqi66GCucihVvJfMjLAmec39IyEx_6qawtMGysU/edit?usp=sharing"",""สบก!AG54"")"),0)</f>
        <v>0</v>
      </c>
      <c r="H50" s="77">
        <f ca="1">IFERROR(__xludf.DUMMYFUNCTION("IMPORTRANGE(""https://docs.google.com/spreadsheets/d/1Yj_ptqi66GCucihVvJfMjLAmec39IyEx_6qawtMGysU/edit?usp=sharing"",""สบก!AI54"")"),493620)</f>
        <v>493620</v>
      </c>
      <c r="I50" s="77">
        <f t="shared" ca="1" si="3"/>
        <v>334668.96999999997</v>
      </c>
      <c r="J50" s="78">
        <f t="shared" ca="1" si="4"/>
        <v>54.506346905537455</v>
      </c>
      <c r="K50" s="77">
        <f ca="1">IFERROR(__xludf.DUMMYFUNCTION("IMPORTRANGE(""https://docs.google.com/spreadsheets/d/1Yj_ptqi66GCucihVvJfMjLAmec39IyEx_6qawtMGysU/edit?usp=sharing"",""สบก!AJ54"")"),334668.97)</f>
        <v>334668.96999999997</v>
      </c>
      <c r="L50" s="79">
        <f t="shared" ca="1" si="5"/>
        <v>54.506346905537455</v>
      </c>
      <c r="M50" s="79">
        <f t="shared" ca="1" si="6"/>
        <v>67.798908066934075</v>
      </c>
      <c r="N50" s="80">
        <f ca="1">IFERROR(__xludf.DUMMYFUNCTION("IMPORTRANGE(""https://docs.google.com/spreadsheets/d/1Yj_ptqi66GCucihVvJfMjLAmec39IyEx_6qawtMGysU/edit?usp=sharing"",""สบก!AK54"")"),0)</f>
        <v>0</v>
      </c>
      <c r="O50" s="79">
        <f t="shared" ca="1" si="7"/>
        <v>0</v>
      </c>
      <c r="P50" s="81">
        <f t="shared" ca="1" si="33"/>
        <v>1</v>
      </c>
      <c r="Q50" s="81">
        <f t="shared" ca="1" si="8"/>
        <v>30</v>
      </c>
      <c r="R50" s="81">
        <f t="shared" ca="1" si="41"/>
        <v>1</v>
      </c>
      <c r="S50" s="82">
        <f t="shared" ca="1" si="9"/>
        <v>100</v>
      </c>
      <c r="T50" s="81">
        <f t="shared" ca="1" si="42"/>
        <v>30</v>
      </c>
      <c r="U50" s="82">
        <f t="shared" ca="1" si="10"/>
        <v>100</v>
      </c>
      <c r="V50" s="77">
        <f ca="1">IFERROR(__xludf.DUMMYFUNCTION("IMPORTRANGE(""https://docs.google.com/spreadsheets/d/1C3CXT74ZlgGe6_JY_1olB1XN4rF0dxEuIIF-xsYjHgg/edit?usp=sharing"",""พรบ!H54"")"),1)</f>
        <v>1</v>
      </c>
      <c r="W50" s="77">
        <f ca="1">IFERROR(__xludf.DUMMYFUNCTION("IMPORTRANGE(""https://docs.google.com/spreadsheets/d/1C3CXT74ZlgGe6_JY_1olB1XN4rF0dxEuIIF-xsYjHgg/edit?usp=sharing"",""พรบ!I54"")"),30)</f>
        <v>30</v>
      </c>
      <c r="X50" s="81">
        <f ca="1">IFERROR(__xludf.DUMMYFUNCTION("IMPORTRANGE(""https://docs.google.com/spreadsheets/d/1XL5vhW3sbDhbH9Cz0tuDiY8C3ctxq1tqvaCgkFb8cCA/edit?usp=sharing"",""หนองบัวลำภู!J22"")"),1)</f>
        <v>1</v>
      </c>
      <c r="Y50" s="81">
        <f ca="1">IFERROR(__xludf.DUMMYFUNCTION("IMPORTRANGE(""https://docs.google.com/spreadsheets/d/1XL5vhW3sbDhbH9Cz0tuDiY8C3ctxq1tqvaCgkFb8cCA/edit?usp=sharing"",""หนองบัวลำภู!J23"")"),30)</f>
        <v>30</v>
      </c>
      <c r="Z50" s="77">
        <f ca="1">IFERROR(__xludf.DUMMYFUNCTION("IMPORTRANGE(""https://docs.google.com/spreadsheets/d/1C3CXT74ZlgGe6_JY_1olB1XN4rF0dxEuIIF-xsYjHgg/edit?usp=sharing"",""พรบ!J54"")"),0)</f>
        <v>0</v>
      </c>
      <c r="AA50" s="77">
        <f ca="1">IFERROR(__xludf.DUMMYFUNCTION("IMPORTRANGE(""https://docs.google.com/spreadsheets/d/1C3CXT74ZlgGe6_JY_1olB1XN4rF0dxEuIIF-xsYjHgg/edit?usp=sharing"",""พรบ!K54"")"),0)</f>
        <v>0</v>
      </c>
      <c r="AB50" s="81">
        <f ca="1">IFERROR(__xludf.DUMMYFUNCTION("IMPORTRANGE(""https://docs.google.com/spreadsheets/d/1XL5vhW3sbDhbH9Cz0tuDiY8C3ctxq1tqvaCgkFb8cCA/edit?usp=sharing"",""หนองบัวลำภู!J24"")"),0)</f>
        <v>0</v>
      </c>
      <c r="AC50" s="81">
        <f ca="1">IFERROR(__xludf.DUMMYFUNCTION("IMPORTRANGE(""https://docs.google.com/spreadsheets/d/1XL5vhW3sbDhbH9Cz0tuDiY8C3ctxq1tqvaCgkFb8cCA/edit?usp=sharing"",""หนองบัวลำภู!J25"")"),0)</f>
        <v>0</v>
      </c>
      <c r="AD50" s="77">
        <f ca="1">IFERROR(__xludf.DUMMYFUNCTION("IMPORTRANGE(""https://docs.google.com/spreadsheets/d/1C3CXT74ZlgGe6_JY_1olB1XN4rF0dxEuIIF-xsYjHgg/edit?usp=sharing"",""พรบ!L54"")"),0)</f>
        <v>0</v>
      </c>
      <c r="AE50" s="77">
        <f ca="1">IFERROR(__xludf.DUMMYFUNCTION("IMPORTRANGE(""https://docs.google.com/spreadsheets/d/1C3CXT74ZlgGe6_JY_1olB1XN4rF0dxEuIIF-xsYjHgg/edit?usp=sharing"",""พรบ!M54"")"),0)</f>
        <v>0</v>
      </c>
      <c r="AF50" s="81">
        <f ca="1">IFERROR(__xludf.DUMMYFUNCTION("IMPORTRANGE(""https://docs.google.com/spreadsheets/d/1XL5vhW3sbDhbH9Cz0tuDiY8C3ctxq1tqvaCgkFb8cCA/edit?usp=sharing"",""หนองบัวลำภู!J26"")"),0)</f>
        <v>0</v>
      </c>
      <c r="AG50" s="81">
        <f ca="1">IFERROR(__xludf.DUMMYFUNCTION("IMPORTRANGE(""https://docs.google.com/spreadsheets/d/1XL5vhW3sbDhbH9Cz0tuDiY8C3ctxq1tqvaCgkFb8cCA/edit?usp=sharing"",""หนองบัวลำภู!J27"")"),0)</f>
        <v>0</v>
      </c>
      <c r="AH50" s="77">
        <f ca="1">IFERROR(__xludf.DUMMYFUNCTION("IMPORTRANGE(""https://docs.google.com/spreadsheets/d/1C3CXT74ZlgGe6_JY_1olB1XN4rF0dxEuIIF-xsYjHgg/edit?usp=sharing"",""พรบ!N54"")"),30)</f>
        <v>30</v>
      </c>
      <c r="AI50" s="81">
        <f ca="1">IFERROR(__xludf.DUMMYFUNCTION("IMPORTRANGE(""https://docs.google.com/spreadsheets/d/1XL5vhW3sbDhbH9Cz0tuDiY8C3ctxq1tqvaCgkFb8cCA/edit?usp=sharing"",""หนองบัวลำภู!J28"")"),30)</f>
        <v>30</v>
      </c>
      <c r="AJ50" s="79">
        <f t="shared" ca="1" si="17"/>
        <v>100</v>
      </c>
    </row>
    <row r="51" spans="1:36" ht="21" customHeight="1">
      <c r="A51" s="73">
        <v>18</v>
      </c>
      <c r="B51" s="74" t="s">
        <v>75</v>
      </c>
      <c r="C51" s="75">
        <f t="shared" ca="1" si="0"/>
        <v>777100</v>
      </c>
      <c r="D51" s="76">
        <f t="shared" ca="1" si="40"/>
        <v>777100</v>
      </c>
      <c r="E51" s="77">
        <f ca="1">IFERROR(__xludf.DUMMYFUNCTION("IMPORTRANGE(""https://docs.google.com/spreadsheets/d/1C3CXT74ZlgGe6_JY_1olB1XN4rF0dxEuIIF-xsYjHgg/edit?usp=sharing"",""พรบ!D55"")"),311500)</f>
        <v>311500</v>
      </c>
      <c r="F51" s="77">
        <f ca="1">IFERROR(__xludf.DUMMYFUNCTION("IMPORTRANGE(""https://docs.google.com/spreadsheets/d/1C3CXT74ZlgGe6_JY_1olB1XN4rF0dxEuIIF-xsYjHgg/edit?usp=sharing"",""พรบ!E55"")"),465600)</f>
        <v>465600</v>
      </c>
      <c r="G51" s="77">
        <f ca="1">IFERROR(__xludf.DUMMYFUNCTION("IMPORTRANGE(""https://docs.google.com/spreadsheets/d/1Yj_ptqi66GCucihVvJfMjLAmec39IyEx_6qawtMGysU/edit?usp=sharing"",""สบก!AG55"")"),0)</f>
        <v>0</v>
      </c>
      <c r="H51" s="77">
        <f ca="1">IFERROR(__xludf.DUMMYFUNCTION("IMPORTRANGE(""https://docs.google.com/spreadsheets/d/1Yj_ptqi66GCucihVvJfMjLAmec39IyEx_6qawtMGysU/edit?usp=sharing"",""สบก!AI55"")"),636820)</f>
        <v>636820</v>
      </c>
      <c r="I51" s="77">
        <f t="shared" ca="1" si="3"/>
        <v>220373.28</v>
      </c>
      <c r="J51" s="78">
        <f t="shared" ca="1" si="4"/>
        <v>28.358419765795908</v>
      </c>
      <c r="K51" s="77">
        <f ca="1">IFERROR(__xludf.DUMMYFUNCTION("IMPORTRANGE(""https://docs.google.com/spreadsheets/d/1Yj_ptqi66GCucihVvJfMjLAmec39IyEx_6qawtMGysU/edit?usp=sharing"",""สบก!AJ55"")"),220373.28)</f>
        <v>220373.28</v>
      </c>
      <c r="L51" s="79">
        <f t="shared" ca="1" si="5"/>
        <v>28.358419765795908</v>
      </c>
      <c r="M51" s="79">
        <f t="shared" ca="1" si="6"/>
        <v>34.605269934989479</v>
      </c>
      <c r="N51" s="80">
        <f ca="1">IFERROR(__xludf.DUMMYFUNCTION("IMPORTRANGE(""https://docs.google.com/spreadsheets/d/1Yj_ptqi66GCucihVvJfMjLAmec39IyEx_6qawtMGysU/edit?usp=sharing"",""สบก!AK55"")"),0)</f>
        <v>0</v>
      </c>
      <c r="O51" s="79">
        <f t="shared" ca="1" si="7"/>
        <v>0</v>
      </c>
      <c r="P51" s="81">
        <f t="shared" ca="1" si="33"/>
        <v>1</v>
      </c>
      <c r="Q51" s="81">
        <f t="shared" ca="1" si="8"/>
        <v>48</v>
      </c>
      <c r="R51" s="81">
        <f t="shared" ca="1" si="41"/>
        <v>1</v>
      </c>
      <c r="S51" s="82">
        <f t="shared" ca="1" si="9"/>
        <v>100</v>
      </c>
      <c r="T51" s="81">
        <f t="shared" ca="1" si="42"/>
        <v>48</v>
      </c>
      <c r="U51" s="82">
        <f t="shared" ca="1" si="10"/>
        <v>100</v>
      </c>
      <c r="V51" s="77">
        <f ca="1">IFERROR(__xludf.DUMMYFUNCTION("IMPORTRANGE(""https://docs.google.com/spreadsheets/d/1C3CXT74ZlgGe6_JY_1olB1XN4rF0dxEuIIF-xsYjHgg/edit?usp=sharing"",""พรบ!H55"")"),0)</f>
        <v>0</v>
      </c>
      <c r="W51" s="77">
        <f ca="1">IFERROR(__xludf.DUMMYFUNCTION("IMPORTRANGE(""https://docs.google.com/spreadsheets/d/1C3CXT74ZlgGe6_JY_1olB1XN4rF0dxEuIIF-xsYjHgg/edit?usp=sharing"",""พรบ!I55"")"),0)</f>
        <v>0</v>
      </c>
      <c r="X51" s="81">
        <f ca="1">IFERROR(__xludf.DUMMYFUNCTION("IMPORTRANGE(""https://docs.google.com/spreadsheets/d/1XL5vhW3sbDhbH9Cz0tuDiY8C3ctxq1tqvaCgkFb8cCA/edit?usp=sharing"",""อำนาจเจริญ!J22"")"),0)</f>
        <v>0</v>
      </c>
      <c r="Y51" s="81">
        <f ca="1">IFERROR(__xludf.DUMMYFUNCTION("IMPORTRANGE(""https://docs.google.com/spreadsheets/d/1XL5vhW3sbDhbH9Cz0tuDiY8C3ctxq1tqvaCgkFb8cCA/edit?usp=sharing"",""อำนาจเจริญ!J23"")"),0)</f>
        <v>0</v>
      </c>
      <c r="Z51" s="77">
        <f ca="1">IFERROR(__xludf.DUMMYFUNCTION("IMPORTRANGE(""https://docs.google.com/spreadsheets/d/1C3CXT74ZlgGe6_JY_1olB1XN4rF0dxEuIIF-xsYjHgg/edit?usp=sharing"",""พรบ!J55"")"),1)</f>
        <v>1</v>
      </c>
      <c r="AA51" s="77">
        <f ca="1">IFERROR(__xludf.DUMMYFUNCTION("IMPORTRANGE(""https://docs.google.com/spreadsheets/d/1C3CXT74ZlgGe6_JY_1olB1XN4rF0dxEuIIF-xsYjHgg/edit?usp=sharing"",""พรบ!K55"")"),48)</f>
        <v>48</v>
      </c>
      <c r="AB51" s="81">
        <f ca="1">IFERROR(__xludf.DUMMYFUNCTION("IMPORTRANGE(""https://docs.google.com/spreadsheets/d/1XL5vhW3sbDhbH9Cz0tuDiY8C3ctxq1tqvaCgkFb8cCA/edit?usp=sharing"",""อำนาจเจริญ!J24"")"),1)</f>
        <v>1</v>
      </c>
      <c r="AC51" s="81">
        <f ca="1">IFERROR(__xludf.DUMMYFUNCTION("IMPORTRANGE(""https://docs.google.com/spreadsheets/d/1XL5vhW3sbDhbH9Cz0tuDiY8C3ctxq1tqvaCgkFb8cCA/edit?usp=sharing"",""อำนาจเจริญ!J25"")"),48)</f>
        <v>48</v>
      </c>
      <c r="AD51" s="77">
        <f ca="1">IFERROR(__xludf.DUMMYFUNCTION("IMPORTRANGE(""https://docs.google.com/spreadsheets/d/1C3CXT74ZlgGe6_JY_1olB1XN4rF0dxEuIIF-xsYjHgg/edit?usp=sharing"",""พรบ!L55"")"),0)</f>
        <v>0</v>
      </c>
      <c r="AE51" s="77">
        <f ca="1">IFERROR(__xludf.DUMMYFUNCTION("IMPORTRANGE(""https://docs.google.com/spreadsheets/d/1C3CXT74ZlgGe6_JY_1olB1XN4rF0dxEuIIF-xsYjHgg/edit?usp=sharing"",""พรบ!M55"")"),0)</f>
        <v>0</v>
      </c>
      <c r="AF51" s="81">
        <f ca="1">IFERROR(__xludf.DUMMYFUNCTION("IMPORTRANGE(""https://docs.google.com/spreadsheets/d/1XL5vhW3sbDhbH9Cz0tuDiY8C3ctxq1tqvaCgkFb8cCA/edit?usp=sharing"",""อำนาจเจริญ!J26"")"),0)</f>
        <v>0</v>
      </c>
      <c r="AG51" s="81">
        <f ca="1">IFERROR(__xludf.DUMMYFUNCTION("IMPORTRANGE(""https://docs.google.com/spreadsheets/d/1XL5vhW3sbDhbH9Cz0tuDiY8C3ctxq1tqvaCgkFb8cCA/edit?usp=sharing"",""อำนาจเจริญ!J27"")"),0)</f>
        <v>0</v>
      </c>
      <c r="AH51" s="77">
        <f ca="1">IFERROR(__xludf.DUMMYFUNCTION("IMPORTRANGE(""https://docs.google.com/spreadsheets/d/1C3CXT74ZlgGe6_JY_1olB1XN4rF0dxEuIIF-xsYjHgg/edit?usp=sharing"",""พรบ!N55"")"),0)</f>
        <v>0</v>
      </c>
      <c r="AI51" s="81">
        <f ca="1">IFERROR(__xludf.DUMMYFUNCTION("IMPORTRANGE(""https://docs.google.com/spreadsheets/d/1XL5vhW3sbDhbH9Cz0tuDiY8C3ctxq1tqvaCgkFb8cCA/edit?usp=sharing"",""อำนาจเจริญ!J28"")"),0)</f>
        <v>0</v>
      </c>
      <c r="AJ51" s="79">
        <f t="shared" ca="1" si="17"/>
        <v>0</v>
      </c>
    </row>
    <row r="52" spans="1:36" ht="21" customHeight="1">
      <c r="A52" s="73">
        <v>19</v>
      </c>
      <c r="B52" s="74" t="s">
        <v>76</v>
      </c>
      <c r="C52" s="75">
        <f t="shared" ca="1" si="0"/>
        <v>1059000</v>
      </c>
      <c r="D52" s="76">
        <f t="shared" ca="1" si="40"/>
        <v>1059000</v>
      </c>
      <c r="E52" s="77">
        <f ca="1">IFERROR(__xludf.DUMMYFUNCTION("IMPORTRANGE(""https://docs.google.com/spreadsheets/d/1C3CXT74ZlgGe6_JY_1olB1XN4rF0dxEuIIF-xsYjHgg/edit?usp=sharing"",""พรบ!D56"")"),469000)</f>
        <v>469000</v>
      </c>
      <c r="F52" s="77">
        <f ca="1">IFERROR(__xludf.DUMMYFUNCTION("IMPORTRANGE(""https://docs.google.com/spreadsheets/d/1C3CXT74ZlgGe6_JY_1olB1XN4rF0dxEuIIF-xsYjHgg/edit?usp=sharing"",""พรบ!E56"")"),590000)</f>
        <v>590000</v>
      </c>
      <c r="G52" s="77">
        <f ca="1">IFERROR(__xludf.DUMMYFUNCTION("IMPORTRANGE(""https://docs.google.com/spreadsheets/d/1Yj_ptqi66GCucihVvJfMjLAmec39IyEx_6qawtMGysU/edit?usp=sharing"",""สบก!AG56"")"),0)</f>
        <v>0</v>
      </c>
      <c r="H52" s="77">
        <f ca="1">IFERROR(__xludf.DUMMYFUNCTION("IMPORTRANGE(""https://docs.google.com/spreadsheets/d/1Yj_ptqi66GCucihVvJfMjLAmec39IyEx_6qawtMGysU/edit?usp=sharing"",""สบก!AI56"")"),869320)</f>
        <v>869320</v>
      </c>
      <c r="I52" s="77">
        <f t="shared" ca="1" si="3"/>
        <v>556896.62</v>
      </c>
      <c r="J52" s="78">
        <f t="shared" ca="1" si="4"/>
        <v>52.587027384324834</v>
      </c>
      <c r="K52" s="77">
        <f ca="1">IFERROR(__xludf.DUMMYFUNCTION("IMPORTRANGE(""https://docs.google.com/spreadsheets/d/1Yj_ptqi66GCucihVvJfMjLAmec39IyEx_6qawtMGysU/edit?usp=sharing"",""สบก!AJ56"")"),556896.62)</f>
        <v>556896.62</v>
      </c>
      <c r="L52" s="79">
        <f t="shared" ca="1" si="5"/>
        <v>52.587027384324834</v>
      </c>
      <c r="M52" s="79">
        <f t="shared" ca="1" si="6"/>
        <v>64.061176551787611</v>
      </c>
      <c r="N52" s="80">
        <f ca="1">IFERROR(__xludf.DUMMYFUNCTION("IMPORTRANGE(""https://docs.google.com/spreadsheets/d/1Yj_ptqi66GCucihVvJfMjLAmec39IyEx_6qawtMGysU/edit?usp=sharing"",""สบก!AK56"")"),0)</f>
        <v>0</v>
      </c>
      <c r="O52" s="79">
        <f t="shared" ca="1" si="7"/>
        <v>0</v>
      </c>
      <c r="P52" s="81">
        <f t="shared" ca="1" si="33"/>
        <v>1</v>
      </c>
      <c r="Q52" s="81">
        <f t="shared" ca="1" si="8"/>
        <v>70</v>
      </c>
      <c r="R52" s="81">
        <f t="shared" ca="1" si="41"/>
        <v>1</v>
      </c>
      <c r="S52" s="82">
        <f t="shared" ca="1" si="9"/>
        <v>100</v>
      </c>
      <c r="T52" s="81">
        <f t="shared" ca="1" si="42"/>
        <v>70</v>
      </c>
      <c r="U52" s="82">
        <f t="shared" ca="1" si="10"/>
        <v>100</v>
      </c>
      <c r="V52" s="77">
        <f ca="1">IFERROR(__xludf.DUMMYFUNCTION("IMPORTRANGE(""https://docs.google.com/spreadsheets/d/1C3CXT74ZlgGe6_JY_1olB1XN4rF0dxEuIIF-xsYjHgg/edit?usp=sharing"",""พรบ!H56"")"),1)</f>
        <v>1</v>
      </c>
      <c r="W52" s="77">
        <f ca="1">IFERROR(__xludf.DUMMYFUNCTION("IMPORTRANGE(""https://docs.google.com/spreadsheets/d/1C3CXT74ZlgGe6_JY_1olB1XN4rF0dxEuIIF-xsYjHgg/edit?usp=sharing"",""พรบ!I56"")"),70)</f>
        <v>70</v>
      </c>
      <c r="X52" s="81">
        <f ca="1">IFERROR(__xludf.DUMMYFUNCTION("IMPORTRANGE(""https://docs.google.com/spreadsheets/d/1XL5vhW3sbDhbH9Cz0tuDiY8C3ctxq1tqvaCgkFb8cCA/edit?usp=sharing"",""อุดรธานี!J22"")"),1)</f>
        <v>1</v>
      </c>
      <c r="Y52" s="81">
        <f ca="1">IFERROR(__xludf.DUMMYFUNCTION("IMPORTRANGE(""https://docs.google.com/spreadsheets/d/1XL5vhW3sbDhbH9Cz0tuDiY8C3ctxq1tqvaCgkFb8cCA/edit?usp=sharing"",""อุดรธานี!J23"")"),70)</f>
        <v>70</v>
      </c>
      <c r="Z52" s="77">
        <f ca="1">IFERROR(__xludf.DUMMYFUNCTION("IMPORTRANGE(""https://docs.google.com/spreadsheets/d/1C3CXT74ZlgGe6_JY_1olB1XN4rF0dxEuIIF-xsYjHgg/edit?usp=sharing"",""พรบ!J56"")"),0)</f>
        <v>0</v>
      </c>
      <c r="AA52" s="77">
        <f ca="1">IFERROR(__xludf.DUMMYFUNCTION("IMPORTRANGE(""https://docs.google.com/spreadsheets/d/1C3CXT74ZlgGe6_JY_1olB1XN4rF0dxEuIIF-xsYjHgg/edit?usp=sharing"",""พรบ!K56"")"),0)</f>
        <v>0</v>
      </c>
      <c r="AB52" s="81">
        <f ca="1">IFERROR(__xludf.DUMMYFUNCTION("IMPORTRANGE(""https://docs.google.com/spreadsheets/d/1XL5vhW3sbDhbH9Cz0tuDiY8C3ctxq1tqvaCgkFb8cCA/edit?usp=sharing"",""อุดรธานี!J24"")"),0)</f>
        <v>0</v>
      </c>
      <c r="AC52" s="81">
        <f ca="1">IFERROR(__xludf.DUMMYFUNCTION("IMPORTRANGE(""https://docs.google.com/spreadsheets/d/1XL5vhW3sbDhbH9Cz0tuDiY8C3ctxq1tqvaCgkFb8cCA/edit?usp=sharing"",""อุดรธานี!J25"")"),0)</f>
        <v>0</v>
      </c>
      <c r="AD52" s="77">
        <f ca="1">IFERROR(__xludf.DUMMYFUNCTION("IMPORTRANGE(""https://docs.google.com/spreadsheets/d/1C3CXT74ZlgGe6_JY_1olB1XN4rF0dxEuIIF-xsYjHgg/edit?usp=sharing"",""พรบ!L56"")"),0)</f>
        <v>0</v>
      </c>
      <c r="AE52" s="77">
        <f ca="1">IFERROR(__xludf.DUMMYFUNCTION("IMPORTRANGE(""https://docs.google.com/spreadsheets/d/1C3CXT74ZlgGe6_JY_1olB1XN4rF0dxEuIIF-xsYjHgg/edit?usp=sharing"",""พรบ!M56"")"),0)</f>
        <v>0</v>
      </c>
      <c r="AF52" s="81">
        <f ca="1">IFERROR(__xludf.DUMMYFUNCTION("IMPORTRANGE(""https://docs.google.com/spreadsheets/d/1XL5vhW3sbDhbH9Cz0tuDiY8C3ctxq1tqvaCgkFb8cCA/edit?usp=sharing"",""อุดรธานี!J26"")"),0)</f>
        <v>0</v>
      </c>
      <c r="AG52" s="81">
        <f ca="1">IFERROR(__xludf.DUMMYFUNCTION("IMPORTRANGE(""https://docs.google.com/spreadsheets/d/1XL5vhW3sbDhbH9Cz0tuDiY8C3ctxq1tqvaCgkFb8cCA/edit?usp=sharing"",""อุดรธานี!J27"")"),0)</f>
        <v>0</v>
      </c>
      <c r="AH52" s="77">
        <f ca="1">IFERROR(__xludf.DUMMYFUNCTION("IMPORTRANGE(""https://docs.google.com/spreadsheets/d/1C3CXT74ZlgGe6_JY_1olB1XN4rF0dxEuIIF-xsYjHgg/edit?usp=sharing"",""พรบ!N56"")"),70)</f>
        <v>70</v>
      </c>
      <c r="AI52" s="81">
        <f ca="1">IFERROR(__xludf.DUMMYFUNCTION("IMPORTRANGE(""https://docs.google.com/spreadsheets/d/1XL5vhW3sbDhbH9Cz0tuDiY8C3ctxq1tqvaCgkFb8cCA/edit?usp=sharing"",""อุดรธานี!J28"")"),0)</f>
        <v>0</v>
      </c>
      <c r="AJ52" s="79">
        <f t="shared" ca="1" si="17"/>
        <v>0</v>
      </c>
    </row>
    <row r="53" spans="1:36" ht="21" customHeight="1">
      <c r="A53" s="84">
        <v>20</v>
      </c>
      <c r="B53" s="85" t="s">
        <v>77</v>
      </c>
      <c r="C53" s="86">
        <f t="shared" ca="1" si="0"/>
        <v>0</v>
      </c>
      <c r="D53" s="87">
        <f t="shared" ca="1" si="40"/>
        <v>0</v>
      </c>
      <c r="E53" s="88">
        <f ca="1">IFERROR(__xludf.DUMMYFUNCTION("IMPORTRANGE(""https://docs.google.com/spreadsheets/d/1C3CXT74ZlgGe6_JY_1olB1XN4rF0dxEuIIF-xsYjHgg/edit?usp=sharing"",""พรบ!D57"")"),0)</f>
        <v>0</v>
      </c>
      <c r="F53" s="88">
        <f ca="1">IFERROR(__xludf.DUMMYFUNCTION("IMPORTRANGE(""https://docs.google.com/spreadsheets/d/1C3CXT74ZlgGe6_JY_1olB1XN4rF0dxEuIIF-xsYjHgg/edit?usp=sharing"",""พรบ!E57"")"),0)</f>
        <v>0</v>
      </c>
      <c r="G53" s="88">
        <f ca="1">IFERROR(__xludf.DUMMYFUNCTION("IMPORTRANGE(""https://docs.google.com/spreadsheets/d/1Yj_ptqi66GCucihVvJfMjLAmec39IyEx_6qawtMGysU/edit?usp=sharing"",""สบก!AG57"")"),0)</f>
        <v>0</v>
      </c>
      <c r="H53" s="88">
        <f ca="1">IFERROR(__xludf.DUMMYFUNCTION("IMPORTRANGE(""https://docs.google.com/spreadsheets/d/1Yj_ptqi66GCucihVvJfMjLAmec39IyEx_6qawtMGysU/edit?usp=sharing"",""สบก!AI57"")"),0)</f>
        <v>0</v>
      </c>
      <c r="I53" s="88">
        <f t="shared" ca="1" si="3"/>
        <v>0</v>
      </c>
      <c r="J53" s="89">
        <f t="shared" ca="1" si="4"/>
        <v>0</v>
      </c>
      <c r="K53" s="88">
        <f ca="1">IFERROR(__xludf.DUMMYFUNCTION("IMPORTRANGE(""https://docs.google.com/spreadsheets/d/1Yj_ptqi66GCucihVvJfMjLAmec39IyEx_6qawtMGysU/edit?usp=sharing"",""สบก!AJ57"")"),0)</f>
        <v>0</v>
      </c>
      <c r="L53" s="90">
        <f t="shared" ca="1" si="5"/>
        <v>0</v>
      </c>
      <c r="M53" s="90">
        <f t="shared" ca="1" si="6"/>
        <v>0</v>
      </c>
      <c r="N53" s="91">
        <f ca="1">IFERROR(__xludf.DUMMYFUNCTION("IMPORTRANGE(""https://docs.google.com/spreadsheets/d/1Yj_ptqi66GCucihVvJfMjLAmec39IyEx_6qawtMGysU/edit?usp=sharing"",""สบก!AK57"")"),0)</f>
        <v>0</v>
      </c>
      <c r="O53" s="90">
        <f t="shared" ca="1" si="7"/>
        <v>0</v>
      </c>
      <c r="P53" s="92">
        <f t="shared" ca="1" si="33"/>
        <v>0</v>
      </c>
      <c r="Q53" s="92">
        <f t="shared" ca="1" si="8"/>
        <v>0</v>
      </c>
      <c r="R53" s="92">
        <f t="shared" ca="1" si="41"/>
        <v>0</v>
      </c>
      <c r="S53" s="93">
        <f t="shared" ca="1" si="9"/>
        <v>0</v>
      </c>
      <c r="T53" s="92">
        <f t="shared" ca="1" si="42"/>
        <v>0</v>
      </c>
      <c r="U53" s="93">
        <f t="shared" ca="1" si="10"/>
        <v>0</v>
      </c>
      <c r="V53" s="88">
        <f ca="1">IFERROR(__xludf.DUMMYFUNCTION("IMPORTRANGE(""https://docs.google.com/spreadsheets/d/1C3CXT74ZlgGe6_JY_1olB1XN4rF0dxEuIIF-xsYjHgg/edit?usp=sharing"",""พรบ!H57"")"),0)</f>
        <v>0</v>
      </c>
      <c r="W53" s="88">
        <f ca="1">IFERROR(__xludf.DUMMYFUNCTION("IMPORTRANGE(""https://docs.google.com/spreadsheets/d/1C3CXT74ZlgGe6_JY_1olB1XN4rF0dxEuIIF-xsYjHgg/edit?usp=sharing"",""พรบ!I57"")"),0)</f>
        <v>0</v>
      </c>
      <c r="X53" s="92">
        <f ca="1">IFERROR(__xludf.DUMMYFUNCTION("IMPORTRANGE(""https://docs.google.com/spreadsheets/d/1XL5vhW3sbDhbH9Cz0tuDiY8C3ctxq1tqvaCgkFb8cCA/edit?usp=sharing"",""อุบลราชธานี!J22"")"),0)</f>
        <v>0</v>
      </c>
      <c r="Y53" s="92">
        <f ca="1">IFERROR(__xludf.DUMMYFUNCTION("IMPORTRANGE(""https://docs.google.com/spreadsheets/d/1XL5vhW3sbDhbH9Cz0tuDiY8C3ctxq1tqvaCgkFb8cCA/edit?usp=sharing"",""อุบลราชธานี!J23"")"),0)</f>
        <v>0</v>
      </c>
      <c r="Z53" s="88">
        <f ca="1">IFERROR(__xludf.DUMMYFUNCTION("IMPORTRANGE(""https://docs.google.com/spreadsheets/d/1C3CXT74ZlgGe6_JY_1olB1XN4rF0dxEuIIF-xsYjHgg/edit?usp=sharing"",""พรบ!J57"")"),0)</f>
        <v>0</v>
      </c>
      <c r="AA53" s="88">
        <f ca="1">IFERROR(__xludf.DUMMYFUNCTION("IMPORTRANGE(""https://docs.google.com/spreadsheets/d/1C3CXT74ZlgGe6_JY_1olB1XN4rF0dxEuIIF-xsYjHgg/edit?usp=sharing"",""พรบ!K57"")"),0)</f>
        <v>0</v>
      </c>
      <c r="AB53" s="92">
        <f ca="1">IFERROR(__xludf.DUMMYFUNCTION("IMPORTRANGE(""https://docs.google.com/spreadsheets/d/1XL5vhW3sbDhbH9Cz0tuDiY8C3ctxq1tqvaCgkFb8cCA/edit?usp=sharing"",""อุบลราชธานี!J24"")"),0)</f>
        <v>0</v>
      </c>
      <c r="AC53" s="92">
        <f ca="1">IFERROR(__xludf.DUMMYFUNCTION("IMPORTRANGE(""https://docs.google.com/spreadsheets/d/1XL5vhW3sbDhbH9Cz0tuDiY8C3ctxq1tqvaCgkFb8cCA/edit?usp=sharing"",""อุบลราชธานี!J25"")"),0)</f>
        <v>0</v>
      </c>
      <c r="AD53" s="88">
        <f ca="1">IFERROR(__xludf.DUMMYFUNCTION("IMPORTRANGE(""https://docs.google.com/spreadsheets/d/1C3CXT74ZlgGe6_JY_1olB1XN4rF0dxEuIIF-xsYjHgg/edit?usp=sharing"",""พรบ!L57"")"),0)</f>
        <v>0</v>
      </c>
      <c r="AE53" s="88">
        <f ca="1">IFERROR(__xludf.DUMMYFUNCTION("IMPORTRANGE(""https://docs.google.com/spreadsheets/d/1C3CXT74ZlgGe6_JY_1olB1XN4rF0dxEuIIF-xsYjHgg/edit?usp=sharing"",""พรบ!M57"")"),0)</f>
        <v>0</v>
      </c>
      <c r="AF53" s="92">
        <f ca="1">IFERROR(__xludf.DUMMYFUNCTION("IMPORTRANGE(""https://docs.google.com/spreadsheets/d/1XL5vhW3sbDhbH9Cz0tuDiY8C3ctxq1tqvaCgkFb8cCA/edit?usp=sharing"",""อุบลราชธานี!J26"")"),0)</f>
        <v>0</v>
      </c>
      <c r="AG53" s="92">
        <f ca="1">IFERROR(__xludf.DUMMYFUNCTION("IMPORTRANGE(""https://docs.google.com/spreadsheets/d/1XL5vhW3sbDhbH9Cz0tuDiY8C3ctxq1tqvaCgkFb8cCA/edit?usp=sharing"",""อุบลราชธานี!J27"")"),0)</f>
        <v>0</v>
      </c>
      <c r="AH53" s="88">
        <f ca="1">IFERROR(__xludf.DUMMYFUNCTION("IMPORTRANGE(""https://docs.google.com/spreadsheets/d/1C3CXT74ZlgGe6_JY_1olB1XN4rF0dxEuIIF-xsYjHgg/edit?usp=sharing"",""พรบ!N57"")"),0)</f>
        <v>0</v>
      </c>
      <c r="AI53" s="92">
        <f ca="1">IFERROR(__xludf.DUMMYFUNCTION("IMPORTRANGE(""https://docs.google.com/spreadsheets/d/1XL5vhW3sbDhbH9Cz0tuDiY8C3ctxq1tqvaCgkFb8cCA/edit?usp=sharing"",""อุบลราชธานี!J28"")"),0)</f>
        <v>0</v>
      </c>
      <c r="AJ53" s="90">
        <f t="shared" ca="1" si="17"/>
        <v>0</v>
      </c>
    </row>
    <row r="54" spans="1:36" ht="21" customHeight="1">
      <c r="A54" s="679" t="s">
        <v>78</v>
      </c>
      <c r="B54" s="678"/>
      <c r="C54" s="94">
        <f t="shared" ca="1" si="0"/>
        <v>11529200</v>
      </c>
      <c r="D54" s="95">
        <f t="shared" ref="D54:H54" ca="1" si="43">SUM(D55:D75)</f>
        <v>5268100</v>
      </c>
      <c r="E54" s="95">
        <f t="shared" ca="1" si="43"/>
        <v>1378100</v>
      </c>
      <c r="F54" s="95">
        <f t="shared" ca="1" si="43"/>
        <v>3890000</v>
      </c>
      <c r="G54" s="95">
        <f t="shared" ca="1" si="43"/>
        <v>6261100</v>
      </c>
      <c r="H54" s="95">
        <f t="shared" ca="1" si="43"/>
        <v>4462080</v>
      </c>
      <c r="I54" s="95">
        <f t="shared" ca="1" si="3"/>
        <v>8153060.4700000007</v>
      </c>
      <c r="J54" s="96">
        <f t="shared" ca="1" si="4"/>
        <v>70.716619279741877</v>
      </c>
      <c r="K54" s="95">
        <f ca="1">SUM(K55:K75)</f>
        <v>2691960.47</v>
      </c>
      <c r="L54" s="97">
        <f t="shared" ca="1" si="5"/>
        <v>51.099266718551277</v>
      </c>
      <c r="M54" s="97">
        <f t="shared" ca="1" si="6"/>
        <v>60.32972223716294</v>
      </c>
      <c r="N54" s="98">
        <f ca="1">SUM(N55:N75)</f>
        <v>5461100</v>
      </c>
      <c r="O54" s="97">
        <f t="shared" ca="1" si="7"/>
        <v>87.222692498123337</v>
      </c>
      <c r="P54" s="95">
        <f t="shared" ca="1" si="33"/>
        <v>8</v>
      </c>
      <c r="Q54" s="95">
        <f t="shared" ca="1" si="8"/>
        <v>440</v>
      </c>
      <c r="R54" s="95">
        <f ca="1">SUM(R55:R75)</f>
        <v>8</v>
      </c>
      <c r="S54" s="97">
        <f t="shared" ca="1" si="9"/>
        <v>100</v>
      </c>
      <c r="T54" s="95">
        <f ca="1">SUM(T55:T75)</f>
        <v>440</v>
      </c>
      <c r="U54" s="97">
        <f t="shared" ca="1" si="10"/>
        <v>100</v>
      </c>
      <c r="V54" s="95">
        <f t="shared" ref="V54:AI54" ca="1" si="44">SUM(V55:V75)</f>
        <v>2</v>
      </c>
      <c r="W54" s="95">
        <f t="shared" ca="1" si="44"/>
        <v>150</v>
      </c>
      <c r="X54" s="95">
        <f t="shared" ca="1" si="44"/>
        <v>2</v>
      </c>
      <c r="Y54" s="95">
        <f t="shared" ca="1" si="44"/>
        <v>150</v>
      </c>
      <c r="Z54" s="95">
        <f t="shared" ca="1" si="44"/>
        <v>2</v>
      </c>
      <c r="AA54" s="95">
        <f t="shared" ca="1" si="44"/>
        <v>130</v>
      </c>
      <c r="AB54" s="95">
        <f t="shared" ca="1" si="44"/>
        <v>2</v>
      </c>
      <c r="AC54" s="95">
        <f t="shared" ca="1" si="44"/>
        <v>130</v>
      </c>
      <c r="AD54" s="95">
        <f t="shared" ca="1" si="44"/>
        <v>4</v>
      </c>
      <c r="AE54" s="95">
        <f t="shared" ca="1" si="44"/>
        <v>160</v>
      </c>
      <c r="AF54" s="95">
        <f t="shared" ca="1" si="44"/>
        <v>4</v>
      </c>
      <c r="AG54" s="95">
        <f t="shared" ca="1" si="44"/>
        <v>160</v>
      </c>
      <c r="AH54" s="95">
        <f t="shared" ca="1" si="44"/>
        <v>150</v>
      </c>
      <c r="AI54" s="95">
        <f t="shared" ca="1" si="44"/>
        <v>0</v>
      </c>
      <c r="AJ54" s="97">
        <f t="shared" ca="1" si="17"/>
        <v>0</v>
      </c>
    </row>
    <row r="55" spans="1:36" ht="21" customHeight="1">
      <c r="A55" s="63">
        <v>1</v>
      </c>
      <c r="B55" s="64" t="s">
        <v>79</v>
      </c>
      <c r="C55" s="65">
        <f t="shared" ca="1" si="0"/>
        <v>0</v>
      </c>
      <c r="D55" s="66">
        <f t="shared" ref="D55:D75" ca="1" si="45">+E55+F55</f>
        <v>0</v>
      </c>
      <c r="E55" s="67">
        <f ca="1">IFERROR(__xludf.DUMMYFUNCTION("IMPORTRANGE(""https://docs.google.com/spreadsheets/d/1C3CXT74ZlgGe6_JY_1olB1XN4rF0dxEuIIF-xsYjHgg/edit?usp=sharing"",""พรบ!D59"")"),0)</f>
        <v>0</v>
      </c>
      <c r="F55" s="67">
        <f ca="1">IFERROR(__xludf.DUMMYFUNCTION("IMPORTRANGE(""https://docs.google.com/spreadsheets/d/1C3CXT74ZlgGe6_JY_1olB1XN4rF0dxEuIIF-xsYjHgg/edit?usp=sharing"",""พรบ!E59"")"),0)</f>
        <v>0</v>
      </c>
      <c r="G55" s="68">
        <f ca="1">IFERROR(__xludf.DUMMYFUNCTION("IMPORTRANGE(""https://docs.google.com/spreadsheets/d/1Yj_ptqi66GCucihVvJfMjLAmec39IyEx_6qawtMGysU/edit?usp=sharing"",""สบก!AG59"")"),0)</f>
        <v>0</v>
      </c>
      <c r="H55" s="68">
        <f ca="1">IFERROR(__xludf.DUMMYFUNCTION("IMPORTRANGE(""https://docs.google.com/spreadsheets/d/1Yj_ptqi66GCucihVvJfMjLAmec39IyEx_6qawtMGysU/edit?usp=sharing"",""สบก!AI59"")"),0)</f>
        <v>0</v>
      </c>
      <c r="I55" s="68">
        <f t="shared" ca="1" si="3"/>
        <v>0</v>
      </c>
      <c r="J55" s="69">
        <f t="shared" ca="1" si="4"/>
        <v>0</v>
      </c>
      <c r="K55" s="68">
        <f ca="1">IFERROR(__xludf.DUMMYFUNCTION("IMPORTRANGE(""https://docs.google.com/spreadsheets/d/1Yj_ptqi66GCucihVvJfMjLAmec39IyEx_6qawtMGysU/edit?usp=sharing"",""สบก!AJ59"")"),0)</f>
        <v>0</v>
      </c>
      <c r="L55" s="70">
        <f t="shared" ca="1" si="5"/>
        <v>0</v>
      </c>
      <c r="M55" s="70">
        <f t="shared" ca="1" si="6"/>
        <v>0</v>
      </c>
      <c r="N55" s="71">
        <f ca="1">IFERROR(__xludf.DUMMYFUNCTION("IMPORTRANGE(""https://docs.google.com/spreadsheets/d/1Yj_ptqi66GCucihVvJfMjLAmec39IyEx_6qawtMGysU/edit?usp=sharing"",""สบก!AK59"")"),0)</f>
        <v>0</v>
      </c>
      <c r="O55" s="70">
        <f t="shared" ca="1" si="7"/>
        <v>0</v>
      </c>
      <c r="P55" s="68">
        <f t="shared" ca="1" si="33"/>
        <v>0</v>
      </c>
      <c r="Q55" s="68">
        <f t="shared" ca="1" si="8"/>
        <v>0</v>
      </c>
      <c r="R55" s="68">
        <f t="shared" ref="R55:R75" ca="1" si="46">X55+AB55+AF55</f>
        <v>0</v>
      </c>
      <c r="S55" s="72">
        <f t="shared" ca="1" si="9"/>
        <v>0</v>
      </c>
      <c r="T55" s="68">
        <f t="shared" ref="T55:T75" ca="1" si="47">Y55+AC55+AG55</f>
        <v>0</v>
      </c>
      <c r="U55" s="72">
        <f t="shared" ca="1" si="10"/>
        <v>0</v>
      </c>
      <c r="V55" s="67">
        <f ca="1">IFERROR(__xludf.DUMMYFUNCTION("IMPORTRANGE(""https://docs.google.com/spreadsheets/d/1C3CXT74ZlgGe6_JY_1olB1XN4rF0dxEuIIF-xsYjHgg/edit?usp=sharing"",""พรบ!H59"")"),0)</f>
        <v>0</v>
      </c>
      <c r="W55" s="67">
        <f ca="1">IFERROR(__xludf.DUMMYFUNCTION("IMPORTRANGE(""https://docs.google.com/spreadsheets/d/1C3CXT74ZlgGe6_JY_1olB1XN4rF0dxEuIIF-xsYjHgg/edit?usp=sharing"",""พรบ!I59"")"),0)</f>
        <v>0</v>
      </c>
      <c r="X55" s="68">
        <f ca="1">IFERROR(__xludf.DUMMYFUNCTION("IMPORTRANGE(""https://docs.google.com/spreadsheets/d/1SX6NBoVAgQJ6U1MVXOaj8PK2l7WJ3RER9xtqwdhxkhw/edit?usp=sharing"",""กาญจนบุรี!J22"")"),0)</f>
        <v>0</v>
      </c>
      <c r="Y55" s="68">
        <f ca="1">IFERROR(__xludf.DUMMYFUNCTION("IMPORTRANGE(""https://docs.google.com/spreadsheets/d/1SX6NBoVAgQJ6U1MVXOaj8PK2l7WJ3RER9xtqwdhxkhw/edit?usp=sharing"",""กาญจนบุรี!J23"")"),0)</f>
        <v>0</v>
      </c>
      <c r="Z55" s="67">
        <f ca="1">IFERROR(__xludf.DUMMYFUNCTION("IMPORTRANGE(""https://docs.google.com/spreadsheets/d/1C3CXT74ZlgGe6_JY_1olB1XN4rF0dxEuIIF-xsYjHgg/edit?usp=sharing"",""พรบ!J59"")"),0)</f>
        <v>0</v>
      </c>
      <c r="AA55" s="67">
        <f ca="1">IFERROR(__xludf.DUMMYFUNCTION("IMPORTRANGE(""https://docs.google.com/spreadsheets/d/1C3CXT74ZlgGe6_JY_1olB1XN4rF0dxEuIIF-xsYjHgg/edit?usp=sharing"",""พรบ!K59"")"),0)</f>
        <v>0</v>
      </c>
      <c r="AB55" s="68">
        <f ca="1">IFERROR(__xludf.DUMMYFUNCTION("IMPORTRANGE(""https://docs.google.com/spreadsheets/d/1SX6NBoVAgQJ6U1MVXOaj8PK2l7WJ3RER9xtqwdhxkhw/edit?usp=sharing"",""กาญจนบุรี!J24"")"),0)</f>
        <v>0</v>
      </c>
      <c r="AC55" s="68">
        <f ca="1">IFERROR(__xludf.DUMMYFUNCTION("IMPORTRANGE(""https://docs.google.com/spreadsheets/d/1SX6NBoVAgQJ6U1MVXOaj8PK2l7WJ3RER9xtqwdhxkhw/edit?usp=sharing"",""กาญจนบุรี!J25"")"),0)</f>
        <v>0</v>
      </c>
      <c r="AD55" s="67">
        <f ca="1">IFERROR(__xludf.DUMMYFUNCTION("IMPORTRANGE(""https://docs.google.com/spreadsheets/d/1C3CXT74ZlgGe6_JY_1olB1XN4rF0dxEuIIF-xsYjHgg/edit?usp=sharing"",""พรบ!L59"")"),0)</f>
        <v>0</v>
      </c>
      <c r="AE55" s="67">
        <f ca="1">IFERROR(__xludf.DUMMYFUNCTION("IMPORTRANGE(""https://docs.google.com/spreadsheets/d/1C3CXT74ZlgGe6_JY_1olB1XN4rF0dxEuIIF-xsYjHgg/edit?usp=sharing"",""พรบ!M59"")"),0)</f>
        <v>0</v>
      </c>
      <c r="AF55" s="68">
        <f ca="1">IFERROR(__xludf.DUMMYFUNCTION("IMPORTRANGE(""https://docs.google.com/spreadsheets/d/1SX6NBoVAgQJ6U1MVXOaj8PK2l7WJ3RER9xtqwdhxkhw/edit?usp=sharing"",""กาญจนบุรี!J26"")"),0)</f>
        <v>0</v>
      </c>
      <c r="AG55" s="68">
        <f ca="1">IFERROR(__xludf.DUMMYFUNCTION("IMPORTRANGE(""https://docs.google.com/spreadsheets/d/1SX6NBoVAgQJ6U1MVXOaj8PK2l7WJ3RER9xtqwdhxkhw/edit?usp=sharing"",""กาญจนบุรี!J27"")"),0)</f>
        <v>0</v>
      </c>
      <c r="AH55" s="67">
        <f ca="1">IFERROR(__xludf.DUMMYFUNCTION("IMPORTRANGE(""https://docs.google.com/spreadsheets/d/1C3CXT74ZlgGe6_JY_1olB1XN4rF0dxEuIIF-xsYjHgg/edit?usp=sharing"",""พรบ!N59"")"),0)</f>
        <v>0</v>
      </c>
      <c r="AI55" s="68">
        <f ca="1">IFERROR(__xludf.DUMMYFUNCTION("IMPORTRANGE(""https://docs.google.com/spreadsheets/d/1SX6NBoVAgQJ6U1MVXOaj8PK2l7WJ3RER9xtqwdhxkhw/edit?usp=sharing"",""กาญจนบุรี!J28"")"),0)</f>
        <v>0</v>
      </c>
      <c r="AJ55" s="70">
        <f t="shared" ca="1" si="17"/>
        <v>0</v>
      </c>
    </row>
    <row r="56" spans="1:36" ht="21" customHeight="1">
      <c r="A56" s="73">
        <v>2</v>
      </c>
      <c r="B56" s="74" t="s">
        <v>80</v>
      </c>
      <c r="C56" s="75">
        <f t="shared" ca="1" si="0"/>
        <v>1003300</v>
      </c>
      <c r="D56" s="76">
        <f t="shared" ca="1" si="45"/>
        <v>713200</v>
      </c>
      <c r="E56" s="77">
        <f ca="1">IFERROR(__xludf.DUMMYFUNCTION("IMPORTRANGE(""https://docs.google.com/spreadsheets/d/1C3CXT74ZlgGe6_JY_1olB1XN4rF0dxEuIIF-xsYjHgg/edit?usp=sharing"",""พรบ!D60"")"),175200)</f>
        <v>175200</v>
      </c>
      <c r="F56" s="77">
        <f ca="1">IFERROR(__xludf.DUMMYFUNCTION("IMPORTRANGE(""https://docs.google.com/spreadsheets/d/1C3CXT74ZlgGe6_JY_1olB1XN4rF0dxEuIIF-xsYjHgg/edit?usp=sharing"",""พรบ!E60"")"),538000)</f>
        <v>538000</v>
      </c>
      <c r="G56" s="77">
        <f ca="1">IFERROR(__xludf.DUMMYFUNCTION("IMPORTRANGE(""https://docs.google.com/spreadsheets/d/1Yj_ptqi66GCucihVvJfMjLAmec39IyEx_6qawtMGysU/edit?usp=sharing"",""สบก!AG60"")"),290100)</f>
        <v>290100</v>
      </c>
      <c r="H56" s="77">
        <f ca="1">IFERROR(__xludf.DUMMYFUNCTION("IMPORTRANGE(""https://docs.google.com/spreadsheets/d/1Yj_ptqi66GCucihVvJfMjLAmec39IyEx_6qawtMGysU/edit?usp=sharing"",""สบก!AI60"")"),597020)</f>
        <v>597020</v>
      </c>
      <c r="I56" s="77">
        <f t="shared" ca="1" si="3"/>
        <v>509081.01</v>
      </c>
      <c r="J56" s="78">
        <f t="shared" ca="1" si="4"/>
        <v>50.740656832452906</v>
      </c>
      <c r="K56" s="77">
        <f ca="1">IFERROR(__xludf.DUMMYFUNCTION("IMPORTRANGE(""https://docs.google.com/spreadsheets/d/1Yj_ptqi66GCucihVvJfMjLAmec39IyEx_6qawtMGysU/edit?usp=sharing"",""สบก!AJ60"")"),218981.01)</f>
        <v>218981.01</v>
      </c>
      <c r="L56" s="79">
        <f t="shared" ca="1" si="5"/>
        <v>30.704011497476163</v>
      </c>
      <c r="M56" s="79">
        <f t="shared" ca="1" si="6"/>
        <v>36.679007403437069</v>
      </c>
      <c r="N56" s="80">
        <f ca="1">IFERROR(__xludf.DUMMYFUNCTION("IMPORTRANGE(""https://docs.google.com/spreadsheets/d/1Yj_ptqi66GCucihVvJfMjLAmec39IyEx_6qawtMGysU/edit?usp=sharing"",""สบก!AK60"")"),290100)</f>
        <v>290100</v>
      </c>
      <c r="O56" s="79">
        <f t="shared" ca="1" si="7"/>
        <v>100</v>
      </c>
      <c r="P56" s="81">
        <f t="shared" ca="1" si="33"/>
        <v>1</v>
      </c>
      <c r="Q56" s="81">
        <f t="shared" ca="1" si="8"/>
        <v>60</v>
      </c>
      <c r="R56" s="81">
        <f t="shared" ca="1" si="46"/>
        <v>1</v>
      </c>
      <c r="S56" s="82">
        <f t="shared" ca="1" si="9"/>
        <v>100</v>
      </c>
      <c r="T56" s="81">
        <f t="shared" ca="1" si="47"/>
        <v>60</v>
      </c>
      <c r="U56" s="82">
        <f t="shared" ca="1" si="10"/>
        <v>100</v>
      </c>
      <c r="V56" s="77">
        <f ca="1">IFERROR(__xludf.DUMMYFUNCTION("IMPORTRANGE(""https://docs.google.com/spreadsheets/d/1C3CXT74ZlgGe6_JY_1olB1XN4rF0dxEuIIF-xsYjHgg/edit?usp=sharing"",""พรบ!H60"")"),0)</f>
        <v>0</v>
      </c>
      <c r="W56" s="77">
        <f ca="1">IFERROR(__xludf.DUMMYFUNCTION("IMPORTRANGE(""https://docs.google.com/spreadsheets/d/1C3CXT74ZlgGe6_JY_1olB1XN4rF0dxEuIIF-xsYjHgg/edit?usp=sharing"",""พรบ!I60"")"),0)</f>
        <v>0</v>
      </c>
      <c r="X56" s="81">
        <f ca="1">IFERROR(__xludf.DUMMYFUNCTION("IMPORTRANGE(""https://docs.google.com/spreadsheets/d/1SX6NBoVAgQJ6U1MVXOaj8PK2l7WJ3RER9xtqwdhxkhw/edit?usp=sharing"",""จันทบุรี!J22"")"),0)</f>
        <v>0</v>
      </c>
      <c r="Y56" s="81">
        <f ca="1">IFERROR(__xludf.DUMMYFUNCTION("IMPORTRANGE(""https://docs.google.com/spreadsheets/d/1SX6NBoVAgQJ6U1MVXOaj8PK2l7WJ3RER9xtqwdhxkhw/edit?usp=sharing"",""จันทบุรี!J23"")"),0)</f>
        <v>0</v>
      </c>
      <c r="Z56" s="77">
        <f ca="1">IFERROR(__xludf.DUMMYFUNCTION("IMPORTRANGE(""https://docs.google.com/spreadsheets/d/1C3CXT74ZlgGe6_JY_1olB1XN4rF0dxEuIIF-xsYjHgg/edit?usp=sharing"",""พรบ!J60"")"),0)</f>
        <v>0</v>
      </c>
      <c r="AA56" s="77">
        <f ca="1">IFERROR(__xludf.DUMMYFUNCTION("IMPORTRANGE(""https://docs.google.com/spreadsheets/d/1C3CXT74ZlgGe6_JY_1olB1XN4rF0dxEuIIF-xsYjHgg/edit?usp=sharing"",""พรบ!K60"")"),0)</f>
        <v>0</v>
      </c>
      <c r="AB56" s="81">
        <f ca="1">IFERROR(__xludf.DUMMYFUNCTION("IMPORTRANGE(""https://docs.google.com/spreadsheets/d/1SX6NBoVAgQJ6U1MVXOaj8PK2l7WJ3RER9xtqwdhxkhw/edit?usp=sharing"",""จันทบุรี!J24"")"),0)</f>
        <v>0</v>
      </c>
      <c r="AC56" s="81">
        <f ca="1">IFERROR(__xludf.DUMMYFUNCTION("IMPORTRANGE(""https://docs.google.com/spreadsheets/d/1SX6NBoVAgQJ6U1MVXOaj8PK2l7WJ3RER9xtqwdhxkhw/edit?usp=sharing"",""จันทบุรี!J25"")"),0)</f>
        <v>0</v>
      </c>
      <c r="AD56" s="77">
        <f ca="1">IFERROR(__xludf.DUMMYFUNCTION("IMPORTRANGE(""https://docs.google.com/spreadsheets/d/1C3CXT74ZlgGe6_JY_1olB1XN4rF0dxEuIIF-xsYjHgg/edit?usp=sharing"",""พรบ!L60"")"),1)</f>
        <v>1</v>
      </c>
      <c r="AE56" s="77">
        <f ca="1">IFERROR(__xludf.DUMMYFUNCTION("IMPORTRANGE(""https://docs.google.com/spreadsheets/d/1C3CXT74ZlgGe6_JY_1olB1XN4rF0dxEuIIF-xsYjHgg/edit?usp=sharing"",""พรบ!M60"")"),60)</f>
        <v>60</v>
      </c>
      <c r="AF56" s="81">
        <f ca="1">IFERROR(__xludf.DUMMYFUNCTION("IMPORTRANGE(""https://docs.google.com/spreadsheets/d/1SX6NBoVAgQJ6U1MVXOaj8PK2l7WJ3RER9xtqwdhxkhw/edit?usp=sharing"",""จันทบุรี!J26"")"),1)</f>
        <v>1</v>
      </c>
      <c r="AG56" s="81">
        <f ca="1">IFERROR(__xludf.DUMMYFUNCTION("IMPORTRANGE(""https://docs.google.com/spreadsheets/d/1SX6NBoVAgQJ6U1MVXOaj8PK2l7WJ3RER9xtqwdhxkhw/edit?usp=sharing"",""จันทบุรี!J27"")"),60)</f>
        <v>60</v>
      </c>
      <c r="AH56" s="77">
        <f ca="1">IFERROR(__xludf.DUMMYFUNCTION("IMPORTRANGE(""https://docs.google.com/spreadsheets/d/1C3CXT74ZlgGe6_JY_1olB1XN4rF0dxEuIIF-xsYjHgg/edit?usp=sharing"",""พรบ!N60"")"),0)</f>
        <v>0</v>
      </c>
      <c r="AI56" s="81">
        <f ca="1">IFERROR(__xludf.DUMMYFUNCTION("IMPORTRANGE(""https://docs.google.com/spreadsheets/d/1SX6NBoVAgQJ6U1MVXOaj8PK2l7WJ3RER9xtqwdhxkhw/edit?usp=sharing"",""จันทบุรี!J28"")"),0)</f>
        <v>0</v>
      </c>
      <c r="AJ56" s="79">
        <f t="shared" ca="1" si="17"/>
        <v>0</v>
      </c>
    </row>
    <row r="57" spans="1:36" ht="21" customHeight="1">
      <c r="A57" s="73">
        <v>3</v>
      </c>
      <c r="B57" s="74" t="s">
        <v>81</v>
      </c>
      <c r="C57" s="75">
        <f t="shared" ca="1" si="0"/>
        <v>0</v>
      </c>
      <c r="D57" s="76">
        <f t="shared" ca="1" si="45"/>
        <v>0</v>
      </c>
      <c r="E57" s="77">
        <f ca="1">IFERROR(__xludf.DUMMYFUNCTION("IMPORTRANGE(""https://docs.google.com/spreadsheets/d/1C3CXT74ZlgGe6_JY_1olB1XN4rF0dxEuIIF-xsYjHgg/edit?usp=sharing"",""พรบ!D61"")"),0)</f>
        <v>0</v>
      </c>
      <c r="F57" s="77">
        <f ca="1">IFERROR(__xludf.DUMMYFUNCTION("IMPORTRANGE(""https://docs.google.com/spreadsheets/d/1C3CXT74ZlgGe6_JY_1olB1XN4rF0dxEuIIF-xsYjHgg/edit?usp=sharing"",""พรบ!E61"")"),0)</f>
        <v>0</v>
      </c>
      <c r="G57" s="77">
        <f ca="1">IFERROR(__xludf.DUMMYFUNCTION("IMPORTRANGE(""https://docs.google.com/spreadsheets/d/1Yj_ptqi66GCucihVvJfMjLAmec39IyEx_6qawtMGysU/edit?usp=sharing"",""สบก!AG61"")"),0)</f>
        <v>0</v>
      </c>
      <c r="H57" s="77">
        <f ca="1">IFERROR(__xludf.DUMMYFUNCTION("IMPORTRANGE(""https://docs.google.com/spreadsheets/d/1Yj_ptqi66GCucihVvJfMjLAmec39IyEx_6qawtMGysU/edit?usp=sharing"",""สบก!AI61"")"),0)</f>
        <v>0</v>
      </c>
      <c r="I57" s="77">
        <f t="shared" ca="1" si="3"/>
        <v>0</v>
      </c>
      <c r="J57" s="78">
        <f t="shared" ca="1" si="4"/>
        <v>0</v>
      </c>
      <c r="K57" s="77">
        <f ca="1">IFERROR(__xludf.DUMMYFUNCTION("IMPORTRANGE(""https://docs.google.com/spreadsheets/d/1Yj_ptqi66GCucihVvJfMjLAmec39IyEx_6qawtMGysU/edit?usp=sharing"",""สบก!AJ61"")"),0)</f>
        <v>0</v>
      </c>
      <c r="L57" s="79">
        <f t="shared" ca="1" si="5"/>
        <v>0</v>
      </c>
      <c r="M57" s="79">
        <f t="shared" ca="1" si="6"/>
        <v>0</v>
      </c>
      <c r="N57" s="80">
        <f ca="1">IFERROR(__xludf.DUMMYFUNCTION("IMPORTRANGE(""https://docs.google.com/spreadsheets/d/1Yj_ptqi66GCucihVvJfMjLAmec39IyEx_6qawtMGysU/edit?usp=sharing"",""สบก!AK61"")"),0)</f>
        <v>0</v>
      </c>
      <c r="O57" s="79">
        <f t="shared" ca="1" si="7"/>
        <v>0</v>
      </c>
      <c r="P57" s="81">
        <f t="shared" ca="1" si="33"/>
        <v>0</v>
      </c>
      <c r="Q57" s="81">
        <f t="shared" ca="1" si="8"/>
        <v>0</v>
      </c>
      <c r="R57" s="81">
        <f t="shared" ca="1" si="46"/>
        <v>0</v>
      </c>
      <c r="S57" s="82">
        <f t="shared" ca="1" si="9"/>
        <v>0</v>
      </c>
      <c r="T57" s="81">
        <f t="shared" ca="1" si="47"/>
        <v>0</v>
      </c>
      <c r="U57" s="82">
        <f t="shared" ca="1" si="10"/>
        <v>0</v>
      </c>
      <c r="V57" s="77">
        <f ca="1">IFERROR(__xludf.DUMMYFUNCTION("IMPORTRANGE(""https://docs.google.com/spreadsheets/d/1C3CXT74ZlgGe6_JY_1olB1XN4rF0dxEuIIF-xsYjHgg/edit?usp=sharing"",""พรบ!H61"")"),0)</f>
        <v>0</v>
      </c>
      <c r="W57" s="77">
        <f ca="1">IFERROR(__xludf.DUMMYFUNCTION("IMPORTRANGE(""https://docs.google.com/spreadsheets/d/1C3CXT74ZlgGe6_JY_1olB1XN4rF0dxEuIIF-xsYjHgg/edit?usp=sharing"",""พรบ!I61"")"),0)</f>
        <v>0</v>
      </c>
      <c r="X57" s="81">
        <f ca="1">IFERROR(__xludf.DUMMYFUNCTION("IMPORTRANGE(""https://docs.google.com/spreadsheets/d/1SX6NBoVAgQJ6U1MVXOaj8PK2l7WJ3RER9xtqwdhxkhw/edit?usp=sharing"",""ฉะเชิงเทรา!J22"")"),0)</f>
        <v>0</v>
      </c>
      <c r="Y57" s="81">
        <f ca="1">IFERROR(__xludf.DUMMYFUNCTION("IMPORTRANGE(""https://docs.google.com/spreadsheets/d/1SX6NBoVAgQJ6U1MVXOaj8PK2l7WJ3RER9xtqwdhxkhw/edit?usp=sharing"",""ฉะเชิงเทรา!J23"")"),0)</f>
        <v>0</v>
      </c>
      <c r="Z57" s="77">
        <f ca="1">IFERROR(__xludf.DUMMYFUNCTION("IMPORTRANGE(""https://docs.google.com/spreadsheets/d/1C3CXT74ZlgGe6_JY_1olB1XN4rF0dxEuIIF-xsYjHgg/edit?usp=sharing"",""พรบ!J61"")"),0)</f>
        <v>0</v>
      </c>
      <c r="AA57" s="77">
        <f ca="1">IFERROR(__xludf.DUMMYFUNCTION("IMPORTRANGE(""https://docs.google.com/spreadsheets/d/1C3CXT74ZlgGe6_JY_1olB1XN4rF0dxEuIIF-xsYjHgg/edit?usp=sharing"",""พรบ!K61"")"),0)</f>
        <v>0</v>
      </c>
      <c r="AB57" s="81">
        <f ca="1">IFERROR(__xludf.DUMMYFUNCTION("IMPORTRANGE(""https://docs.google.com/spreadsheets/d/1SX6NBoVAgQJ6U1MVXOaj8PK2l7WJ3RER9xtqwdhxkhw/edit?usp=sharing"",""ฉะเชิงเทรา!J24"")"),0)</f>
        <v>0</v>
      </c>
      <c r="AC57" s="81">
        <f ca="1">IFERROR(__xludf.DUMMYFUNCTION("IMPORTRANGE(""https://docs.google.com/spreadsheets/d/1SX6NBoVAgQJ6U1MVXOaj8PK2l7WJ3RER9xtqwdhxkhw/edit?usp=sharing"",""ฉะเชิงเทรา!J25"")"),0)</f>
        <v>0</v>
      </c>
      <c r="AD57" s="77">
        <f ca="1">IFERROR(__xludf.DUMMYFUNCTION("IMPORTRANGE(""https://docs.google.com/spreadsheets/d/1C3CXT74ZlgGe6_JY_1olB1XN4rF0dxEuIIF-xsYjHgg/edit?usp=sharing"",""พรบ!L61"")"),0)</f>
        <v>0</v>
      </c>
      <c r="AE57" s="77">
        <f ca="1">IFERROR(__xludf.DUMMYFUNCTION("IMPORTRANGE(""https://docs.google.com/spreadsheets/d/1C3CXT74ZlgGe6_JY_1olB1XN4rF0dxEuIIF-xsYjHgg/edit?usp=sharing"",""พรบ!M61"")"),0)</f>
        <v>0</v>
      </c>
      <c r="AF57" s="81">
        <f ca="1">IFERROR(__xludf.DUMMYFUNCTION("IMPORTRANGE(""https://docs.google.com/spreadsheets/d/1SX6NBoVAgQJ6U1MVXOaj8PK2l7WJ3RER9xtqwdhxkhw/edit?usp=sharing"",""ฉะเชิงเทรา!J26"")"),0)</f>
        <v>0</v>
      </c>
      <c r="AG57" s="81">
        <f ca="1">IFERROR(__xludf.DUMMYFUNCTION("IMPORTRANGE(""https://docs.google.com/spreadsheets/d/1SX6NBoVAgQJ6U1MVXOaj8PK2l7WJ3RER9xtqwdhxkhw/edit?usp=sharing"",""ฉะเชิงเทรา!J27"")"),0)</f>
        <v>0</v>
      </c>
      <c r="AH57" s="77">
        <f ca="1">IFERROR(__xludf.DUMMYFUNCTION("IMPORTRANGE(""https://docs.google.com/spreadsheets/d/1C3CXT74ZlgGe6_JY_1olB1XN4rF0dxEuIIF-xsYjHgg/edit?usp=sharing"",""พรบ!N61"")"),0)</f>
        <v>0</v>
      </c>
      <c r="AI57" s="81">
        <f ca="1">IFERROR(__xludf.DUMMYFUNCTION("IMPORTRANGE(""https://docs.google.com/spreadsheets/d/1SX6NBoVAgQJ6U1MVXOaj8PK2l7WJ3RER9xtqwdhxkhw/edit?usp=sharing"",""ฉะเชิงเทรา!J28"")"),0)</f>
        <v>0</v>
      </c>
      <c r="AJ57" s="79">
        <f t="shared" ca="1" si="17"/>
        <v>0</v>
      </c>
    </row>
    <row r="58" spans="1:36" ht="21" customHeight="1">
      <c r="A58" s="73">
        <v>4</v>
      </c>
      <c r="B58" s="74" t="s">
        <v>82</v>
      </c>
      <c r="C58" s="75">
        <f t="shared" ca="1" si="0"/>
        <v>0</v>
      </c>
      <c r="D58" s="76">
        <f t="shared" ca="1" si="45"/>
        <v>0</v>
      </c>
      <c r="E58" s="77">
        <f ca="1">IFERROR(__xludf.DUMMYFUNCTION("IMPORTRANGE(""https://docs.google.com/spreadsheets/d/1C3CXT74ZlgGe6_JY_1olB1XN4rF0dxEuIIF-xsYjHgg/edit?usp=sharing"",""พรบ!D62"")"),0)</f>
        <v>0</v>
      </c>
      <c r="F58" s="77">
        <f ca="1">IFERROR(__xludf.DUMMYFUNCTION("IMPORTRANGE(""https://docs.google.com/spreadsheets/d/1C3CXT74ZlgGe6_JY_1olB1XN4rF0dxEuIIF-xsYjHgg/edit?usp=sharing"",""พรบ!E62"")"),0)</f>
        <v>0</v>
      </c>
      <c r="G58" s="77">
        <f ca="1">IFERROR(__xludf.DUMMYFUNCTION("IMPORTRANGE(""https://docs.google.com/spreadsheets/d/1Yj_ptqi66GCucihVvJfMjLAmec39IyEx_6qawtMGysU/edit?usp=sharing"",""สบก!AG62"")"),0)</f>
        <v>0</v>
      </c>
      <c r="H58" s="77">
        <f ca="1">IFERROR(__xludf.DUMMYFUNCTION("IMPORTRANGE(""https://docs.google.com/spreadsheets/d/1Yj_ptqi66GCucihVvJfMjLAmec39IyEx_6qawtMGysU/edit?usp=sharing"",""สบก!AI62"")"),0)</f>
        <v>0</v>
      </c>
      <c r="I58" s="77">
        <f t="shared" ca="1" si="3"/>
        <v>0</v>
      </c>
      <c r="J58" s="78">
        <f t="shared" ca="1" si="4"/>
        <v>0</v>
      </c>
      <c r="K58" s="77">
        <f ca="1">IFERROR(__xludf.DUMMYFUNCTION("IMPORTRANGE(""https://docs.google.com/spreadsheets/d/1Yj_ptqi66GCucihVvJfMjLAmec39IyEx_6qawtMGysU/edit?usp=sharing"",""สบก!AJ62"")"),0)</f>
        <v>0</v>
      </c>
      <c r="L58" s="79">
        <f t="shared" ca="1" si="5"/>
        <v>0</v>
      </c>
      <c r="M58" s="79">
        <f t="shared" ca="1" si="6"/>
        <v>0</v>
      </c>
      <c r="N58" s="80">
        <f ca="1">IFERROR(__xludf.DUMMYFUNCTION("IMPORTRANGE(""https://docs.google.com/spreadsheets/d/1Yj_ptqi66GCucihVvJfMjLAmec39IyEx_6qawtMGysU/edit?usp=sharing"",""สบก!AK62"")"),0)</f>
        <v>0</v>
      </c>
      <c r="O58" s="79">
        <f t="shared" ca="1" si="7"/>
        <v>0</v>
      </c>
      <c r="P58" s="81">
        <f t="shared" ca="1" si="33"/>
        <v>0</v>
      </c>
      <c r="Q58" s="81">
        <f t="shared" ca="1" si="8"/>
        <v>0</v>
      </c>
      <c r="R58" s="81">
        <f t="shared" ca="1" si="46"/>
        <v>0</v>
      </c>
      <c r="S58" s="82">
        <f t="shared" ca="1" si="9"/>
        <v>0</v>
      </c>
      <c r="T58" s="81">
        <f t="shared" ca="1" si="47"/>
        <v>0</v>
      </c>
      <c r="U58" s="82">
        <f t="shared" ca="1" si="10"/>
        <v>0</v>
      </c>
      <c r="V58" s="77">
        <f ca="1">IFERROR(__xludf.DUMMYFUNCTION("IMPORTRANGE(""https://docs.google.com/spreadsheets/d/1C3CXT74ZlgGe6_JY_1olB1XN4rF0dxEuIIF-xsYjHgg/edit?usp=sharing"",""พรบ!H62"")"),0)</f>
        <v>0</v>
      </c>
      <c r="W58" s="77">
        <f ca="1">IFERROR(__xludf.DUMMYFUNCTION("IMPORTRANGE(""https://docs.google.com/spreadsheets/d/1C3CXT74ZlgGe6_JY_1olB1XN4rF0dxEuIIF-xsYjHgg/edit?usp=sharing"",""พรบ!I62"")"),0)</f>
        <v>0</v>
      </c>
      <c r="X58" s="81">
        <f ca="1">IFERROR(__xludf.DUMMYFUNCTION("IMPORTRANGE(""https://docs.google.com/spreadsheets/d/1SX6NBoVAgQJ6U1MVXOaj8PK2l7WJ3RER9xtqwdhxkhw/edit?usp=sharing"",""ชลบุรี!J22"")"),0)</f>
        <v>0</v>
      </c>
      <c r="Y58" s="81">
        <f ca="1">IFERROR(__xludf.DUMMYFUNCTION("IMPORTRANGE(""https://docs.google.com/spreadsheets/d/1SX6NBoVAgQJ6U1MVXOaj8PK2l7WJ3RER9xtqwdhxkhw/edit?usp=sharing"",""ชลบุรี!J23"")"),0)</f>
        <v>0</v>
      </c>
      <c r="Z58" s="77">
        <f ca="1">IFERROR(__xludf.DUMMYFUNCTION("IMPORTRANGE(""https://docs.google.com/spreadsheets/d/1C3CXT74ZlgGe6_JY_1olB1XN4rF0dxEuIIF-xsYjHgg/edit?usp=sharing"",""พรบ!J62"")"),0)</f>
        <v>0</v>
      </c>
      <c r="AA58" s="77">
        <f ca="1">IFERROR(__xludf.DUMMYFUNCTION("IMPORTRANGE(""https://docs.google.com/spreadsheets/d/1C3CXT74ZlgGe6_JY_1olB1XN4rF0dxEuIIF-xsYjHgg/edit?usp=sharing"",""พรบ!K62"")"),0)</f>
        <v>0</v>
      </c>
      <c r="AB58" s="81">
        <f ca="1">IFERROR(__xludf.DUMMYFUNCTION("IMPORTRANGE(""https://docs.google.com/spreadsheets/d/1SX6NBoVAgQJ6U1MVXOaj8PK2l7WJ3RER9xtqwdhxkhw/edit?usp=sharing"",""ชลบุรี!J24"")"),0)</f>
        <v>0</v>
      </c>
      <c r="AC58" s="81">
        <f ca="1">IFERROR(__xludf.DUMMYFUNCTION("IMPORTRANGE(""https://docs.google.com/spreadsheets/d/1SX6NBoVAgQJ6U1MVXOaj8PK2l7WJ3RER9xtqwdhxkhw/edit?usp=sharing"",""ชลบุรี!J25"")"),0)</f>
        <v>0</v>
      </c>
      <c r="AD58" s="77">
        <f ca="1">IFERROR(__xludf.DUMMYFUNCTION("IMPORTRANGE(""https://docs.google.com/spreadsheets/d/1C3CXT74ZlgGe6_JY_1olB1XN4rF0dxEuIIF-xsYjHgg/edit?usp=sharing"",""พรบ!L62"")"),0)</f>
        <v>0</v>
      </c>
      <c r="AE58" s="77">
        <f ca="1">IFERROR(__xludf.DUMMYFUNCTION("IMPORTRANGE(""https://docs.google.com/spreadsheets/d/1C3CXT74ZlgGe6_JY_1olB1XN4rF0dxEuIIF-xsYjHgg/edit?usp=sharing"",""พรบ!M62"")"),0)</f>
        <v>0</v>
      </c>
      <c r="AF58" s="81">
        <f ca="1">IFERROR(__xludf.DUMMYFUNCTION("IMPORTRANGE(""https://docs.google.com/spreadsheets/d/1SX6NBoVAgQJ6U1MVXOaj8PK2l7WJ3RER9xtqwdhxkhw/edit?usp=sharing"",""ชลบุรี!J26"")"),0)</f>
        <v>0</v>
      </c>
      <c r="AG58" s="81">
        <f ca="1">IFERROR(__xludf.DUMMYFUNCTION("IMPORTRANGE(""https://docs.google.com/spreadsheets/d/1SX6NBoVAgQJ6U1MVXOaj8PK2l7WJ3RER9xtqwdhxkhw/edit?usp=sharing"",""ชลบุรี!J27"")"),0)</f>
        <v>0</v>
      </c>
      <c r="AH58" s="77">
        <f ca="1">IFERROR(__xludf.DUMMYFUNCTION("IMPORTRANGE(""https://docs.google.com/spreadsheets/d/1C3CXT74ZlgGe6_JY_1olB1XN4rF0dxEuIIF-xsYjHgg/edit?usp=sharing"",""พรบ!N62"")"),0)</f>
        <v>0</v>
      </c>
      <c r="AI58" s="81">
        <f ca="1">IFERROR(__xludf.DUMMYFUNCTION("IMPORTRANGE(""https://docs.google.com/spreadsheets/d/1SX6NBoVAgQJ6U1MVXOaj8PK2l7WJ3RER9xtqwdhxkhw/edit?usp=sharing"",""ชลบุรี!J28"")"),0)</f>
        <v>0</v>
      </c>
      <c r="AJ58" s="79">
        <f t="shared" ca="1" si="17"/>
        <v>0</v>
      </c>
    </row>
    <row r="59" spans="1:36" ht="21" customHeight="1">
      <c r="A59" s="73">
        <v>5</v>
      </c>
      <c r="B59" s="74" t="s">
        <v>83</v>
      </c>
      <c r="C59" s="75">
        <f t="shared" ca="1" si="0"/>
        <v>453800</v>
      </c>
      <c r="D59" s="76">
        <f t="shared" ca="1" si="45"/>
        <v>453800</v>
      </c>
      <c r="E59" s="77">
        <f ca="1">IFERROR(__xludf.DUMMYFUNCTION("IMPORTRANGE(""https://docs.google.com/spreadsheets/d/1C3CXT74ZlgGe6_JY_1olB1XN4rF0dxEuIIF-xsYjHgg/edit?usp=sharing"",""พรบ!D63"")"),81800)</f>
        <v>81800</v>
      </c>
      <c r="F59" s="77">
        <f ca="1">IFERROR(__xludf.DUMMYFUNCTION("IMPORTRANGE(""https://docs.google.com/spreadsheets/d/1C3CXT74ZlgGe6_JY_1olB1XN4rF0dxEuIIF-xsYjHgg/edit?usp=sharing"",""พรบ!E63"")"),372000)</f>
        <v>372000</v>
      </c>
      <c r="G59" s="77">
        <f ca="1">IFERROR(__xludf.DUMMYFUNCTION("IMPORTRANGE(""https://docs.google.com/spreadsheets/d/1Yj_ptqi66GCucihVvJfMjLAmec39IyEx_6qawtMGysU/edit?usp=sharing"",""สบก!AG63"")"),0)</f>
        <v>0</v>
      </c>
      <c r="H59" s="77">
        <f ca="1">IFERROR(__xludf.DUMMYFUNCTION("IMPORTRANGE(""https://docs.google.com/spreadsheets/d/1Yj_ptqi66GCucihVvJfMjLAmec39IyEx_6qawtMGysU/edit?usp=sharing"",""สบก!AI63"")"),371020)</f>
        <v>371020</v>
      </c>
      <c r="I59" s="77">
        <f t="shared" ca="1" si="3"/>
        <v>262785</v>
      </c>
      <c r="J59" s="78">
        <f t="shared" ca="1" si="4"/>
        <v>57.907668576465404</v>
      </c>
      <c r="K59" s="77">
        <f ca="1">IFERROR(__xludf.DUMMYFUNCTION("IMPORTRANGE(""https://docs.google.com/spreadsheets/d/1Yj_ptqi66GCucihVvJfMjLAmec39IyEx_6qawtMGysU/edit?usp=sharing"",""สบก!AJ63"")"),262785)</f>
        <v>262785</v>
      </c>
      <c r="L59" s="79">
        <f t="shared" ca="1" si="5"/>
        <v>57.907668576465404</v>
      </c>
      <c r="M59" s="79">
        <f t="shared" ca="1" si="6"/>
        <v>70.827718182308232</v>
      </c>
      <c r="N59" s="80">
        <f ca="1">IFERROR(__xludf.DUMMYFUNCTION("IMPORTRANGE(""https://docs.google.com/spreadsheets/d/1Yj_ptqi66GCucihVvJfMjLAmec39IyEx_6qawtMGysU/edit?usp=sharing"",""สบก!AK63"")"),0)</f>
        <v>0</v>
      </c>
      <c r="O59" s="79">
        <f t="shared" ca="1" si="7"/>
        <v>0</v>
      </c>
      <c r="P59" s="81">
        <f t="shared" ca="1" si="33"/>
        <v>1</v>
      </c>
      <c r="Q59" s="81">
        <f t="shared" ca="1" si="8"/>
        <v>30</v>
      </c>
      <c r="R59" s="81">
        <f t="shared" ca="1" si="46"/>
        <v>1</v>
      </c>
      <c r="S59" s="82">
        <f t="shared" ca="1" si="9"/>
        <v>100</v>
      </c>
      <c r="T59" s="81">
        <f t="shared" ca="1" si="47"/>
        <v>30</v>
      </c>
      <c r="U59" s="82">
        <f t="shared" ca="1" si="10"/>
        <v>100</v>
      </c>
      <c r="V59" s="77">
        <f ca="1">IFERROR(__xludf.DUMMYFUNCTION("IMPORTRANGE(""https://docs.google.com/spreadsheets/d/1C3CXT74ZlgGe6_JY_1olB1XN4rF0dxEuIIF-xsYjHgg/edit?usp=sharing"",""พรบ!H63"")"),0)</f>
        <v>0</v>
      </c>
      <c r="W59" s="77">
        <f ca="1">IFERROR(__xludf.DUMMYFUNCTION("IMPORTRANGE(""https://docs.google.com/spreadsheets/d/1C3CXT74ZlgGe6_JY_1olB1XN4rF0dxEuIIF-xsYjHgg/edit?usp=sharing"",""พรบ!I63"")"),0)</f>
        <v>0</v>
      </c>
      <c r="X59" s="81">
        <f ca="1">IFERROR(__xludf.DUMMYFUNCTION("IMPORTRANGE(""https://docs.google.com/spreadsheets/d/1SX6NBoVAgQJ6U1MVXOaj8PK2l7WJ3RER9xtqwdhxkhw/edit?usp=sharing"",""ชัยนาท!J22"")"),0)</f>
        <v>0</v>
      </c>
      <c r="Y59" s="81">
        <f ca="1">IFERROR(__xludf.DUMMYFUNCTION("IMPORTRANGE(""https://docs.google.com/spreadsheets/d/1SX6NBoVAgQJ6U1MVXOaj8PK2l7WJ3RER9xtqwdhxkhw/edit?usp=sharing"",""ชัยนาท!J23"")"),0)</f>
        <v>0</v>
      </c>
      <c r="Z59" s="77">
        <f ca="1">IFERROR(__xludf.DUMMYFUNCTION("IMPORTRANGE(""https://docs.google.com/spreadsheets/d/1C3CXT74ZlgGe6_JY_1olB1XN4rF0dxEuIIF-xsYjHgg/edit?usp=sharing"",""พรบ!J63"")"),1)</f>
        <v>1</v>
      </c>
      <c r="AA59" s="77">
        <f ca="1">IFERROR(__xludf.DUMMYFUNCTION("IMPORTRANGE(""https://docs.google.com/spreadsheets/d/1C3CXT74ZlgGe6_JY_1olB1XN4rF0dxEuIIF-xsYjHgg/edit?usp=sharing"",""พรบ!K63"")"),30)</f>
        <v>30</v>
      </c>
      <c r="AB59" s="81">
        <f ca="1">IFERROR(__xludf.DUMMYFUNCTION("IMPORTRANGE(""https://docs.google.com/spreadsheets/d/1SX6NBoVAgQJ6U1MVXOaj8PK2l7WJ3RER9xtqwdhxkhw/edit?usp=sharing"",""ชัยนาท!J24"")"),1)</f>
        <v>1</v>
      </c>
      <c r="AC59" s="81">
        <f ca="1">IFERROR(__xludf.DUMMYFUNCTION("IMPORTRANGE(""https://docs.google.com/spreadsheets/d/1SX6NBoVAgQJ6U1MVXOaj8PK2l7WJ3RER9xtqwdhxkhw/edit?usp=sharing"",""ชัยนาท!J25"")"),30)</f>
        <v>30</v>
      </c>
      <c r="AD59" s="77">
        <f ca="1">IFERROR(__xludf.DUMMYFUNCTION("IMPORTRANGE(""https://docs.google.com/spreadsheets/d/1C3CXT74ZlgGe6_JY_1olB1XN4rF0dxEuIIF-xsYjHgg/edit?usp=sharing"",""พรบ!L63"")"),0)</f>
        <v>0</v>
      </c>
      <c r="AE59" s="77">
        <f ca="1">IFERROR(__xludf.DUMMYFUNCTION("IMPORTRANGE(""https://docs.google.com/spreadsheets/d/1C3CXT74ZlgGe6_JY_1olB1XN4rF0dxEuIIF-xsYjHgg/edit?usp=sharing"",""พรบ!M63"")"),0)</f>
        <v>0</v>
      </c>
      <c r="AF59" s="81">
        <f ca="1">IFERROR(__xludf.DUMMYFUNCTION("IMPORTRANGE(""https://docs.google.com/spreadsheets/d/1SX6NBoVAgQJ6U1MVXOaj8PK2l7WJ3RER9xtqwdhxkhw/edit?usp=sharing"",""ชัยนาท!J26"")"),0)</f>
        <v>0</v>
      </c>
      <c r="AG59" s="81">
        <f ca="1">IFERROR(__xludf.DUMMYFUNCTION("IMPORTRANGE(""https://docs.google.com/spreadsheets/d/1SX6NBoVAgQJ6U1MVXOaj8PK2l7WJ3RER9xtqwdhxkhw/edit?usp=sharing"",""ชัยนาท!J27"")"),0)</f>
        <v>0</v>
      </c>
      <c r="AH59" s="77">
        <f ca="1">IFERROR(__xludf.DUMMYFUNCTION("IMPORTRANGE(""https://docs.google.com/spreadsheets/d/1C3CXT74ZlgGe6_JY_1olB1XN4rF0dxEuIIF-xsYjHgg/edit?usp=sharing"",""พรบ!N63"")"),0)</f>
        <v>0</v>
      </c>
      <c r="AI59" s="81">
        <f ca="1">IFERROR(__xludf.DUMMYFUNCTION("IMPORTRANGE(""https://docs.google.com/spreadsheets/d/1SX6NBoVAgQJ6U1MVXOaj8PK2l7WJ3RER9xtqwdhxkhw/edit?usp=sharing"",""ชัยนาท!J28"")"),0)</f>
        <v>0</v>
      </c>
      <c r="AJ59" s="79">
        <f t="shared" ca="1" si="17"/>
        <v>0</v>
      </c>
    </row>
    <row r="60" spans="1:36" ht="21" customHeight="1">
      <c r="A60" s="73">
        <v>6</v>
      </c>
      <c r="B60" s="74" t="s">
        <v>84</v>
      </c>
      <c r="C60" s="75">
        <f t="shared" ca="1" si="0"/>
        <v>0</v>
      </c>
      <c r="D60" s="76">
        <f t="shared" ca="1" si="45"/>
        <v>0</v>
      </c>
      <c r="E60" s="77">
        <f ca="1">IFERROR(__xludf.DUMMYFUNCTION("IMPORTRANGE(""https://docs.google.com/spreadsheets/d/1C3CXT74ZlgGe6_JY_1olB1XN4rF0dxEuIIF-xsYjHgg/edit?usp=sharing"",""พรบ!D64"")"),0)</f>
        <v>0</v>
      </c>
      <c r="F60" s="77">
        <f ca="1">IFERROR(__xludf.DUMMYFUNCTION("IMPORTRANGE(""https://docs.google.com/spreadsheets/d/1C3CXT74ZlgGe6_JY_1olB1XN4rF0dxEuIIF-xsYjHgg/edit?usp=sharing"",""พรบ!E64"")"),0)</f>
        <v>0</v>
      </c>
      <c r="G60" s="77">
        <f ca="1">IFERROR(__xludf.DUMMYFUNCTION("IMPORTRANGE(""https://docs.google.com/spreadsheets/d/1Yj_ptqi66GCucihVvJfMjLAmec39IyEx_6qawtMGysU/edit?usp=sharing"",""สบก!AG64"")"),0)</f>
        <v>0</v>
      </c>
      <c r="H60" s="77">
        <f ca="1">IFERROR(__xludf.DUMMYFUNCTION("IMPORTRANGE(""https://docs.google.com/spreadsheets/d/1Yj_ptqi66GCucihVvJfMjLAmec39IyEx_6qawtMGysU/edit?usp=sharing"",""สบก!AI64"")"),0)</f>
        <v>0</v>
      </c>
      <c r="I60" s="77">
        <f t="shared" ca="1" si="3"/>
        <v>0</v>
      </c>
      <c r="J60" s="78">
        <f t="shared" ca="1" si="4"/>
        <v>0</v>
      </c>
      <c r="K60" s="77">
        <f ca="1">IFERROR(__xludf.DUMMYFUNCTION("IMPORTRANGE(""https://docs.google.com/spreadsheets/d/1Yj_ptqi66GCucihVvJfMjLAmec39IyEx_6qawtMGysU/edit?usp=sharing"",""สบก!AJ64"")"),0)</f>
        <v>0</v>
      </c>
      <c r="L60" s="79">
        <f t="shared" ca="1" si="5"/>
        <v>0</v>
      </c>
      <c r="M60" s="79">
        <f t="shared" ca="1" si="6"/>
        <v>0</v>
      </c>
      <c r="N60" s="80">
        <f ca="1">IFERROR(__xludf.DUMMYFUNCTION("IMPORTRANGE(""https://docs.google.com/spreadsheets/d/1Yj_ptqi66GCucihVvJfMjLAmec39IyEx_6qawtMGysU/edit?usp=sharing"",""สบก!AK64"")"),0)</f>
        <v>0</v>
      </c>
      <c r="O60" s="79">
        <f t="shared" ca="1" si="7"/>
        <v>0</v>
      </c>
      <c r="P60" s="81">
        <f t="shared" ca="1" si="33"/>
        <v>0</v>
      </c>
      <c r="Q60" s="81">
        <f t="shared" ca="1" si="8"/>
        <v>0</v>
      </c>
      <c r="R60" s="81">
        <f t="shared" ca="1" si="46"/>
        <v>0</v>
      </c>
      <c r="S60" s="82">
        <f t="shared" ca="1" si="9"/>
        <v>0</v>
      </c>
      <c r="T60" s="81">
        <f t="shared" ca="1" si="47"/>
        <v>0</v>
      </c>
      <c r="U60" s="82">
        <f t="shared" ca="1" si="10"/>
        <v>0</v>
      </c>
      <c r="V60" s="77">
        <f ca="1">IFERROR(__xludf.DUMMYFUNCTION("IMPORTRANGE(""https://docs.google.com/spreadsheets/d/1C3CXT74ZlgGe6_JY_1olB1XN4rF0dxEuIIF-xsYjHgg/edit?usp=sharing"",""พรบ!H64"")"),0)</f>
        <v>0</v>
      </c>
      <c r="W60" s="77">
        <f ca="1">IFERROR(__xludf.DUMMYFUNCTION("IMPORTRANGE(""https://docs.google.com/spreadsheets/d/1C3CXT74ZlgGe6_JY_1olB1XN4rF0dxEuIIF-xsYjHgg/edit?usp=sharing"",""พรบ!I64"")"),0)</f>
        <v>0</v>
      </c>
      <c r="X60" s="81">
        <f ca="1">IFERROR(__xludf.DUMMYFUNCTION("IMPORTRANGE(""https://docs.google.com/spreadsheets/d/1SX6NBoVAgQJ6U1MVXOaj8PK2l7WJ3RER9xtqwdhxkhw/edit?usp=sharing"",""ตราด!J22"")"),0)</f>
        <v>0</v>
      </c>
      <c r="Y60" s="81">
        <f ca="1">IFERROR(__xludf.DUMMYFUNCTION("IMPORTRANGE(""https://docs.google.com/spreadsheets/d/1SX6NBoVAgQJ6U1MVXOaj8PK2l7WJ3RER9xtqwdhxkhw/edit?usp=sharing"",""ตราด!J23"")"),0)</f>
        <v>0</v>
      </c>
      <c r="Z60" s="77">
        <f ca="1">IFERROR(__xludf.DUMMYFUNCTION("IMPORTRANGE(""https://docs.google.com/spreadsheets/d/1C3CXT74ZlgGe6_JY_1olB1XN4rF0dxEuIIF-xsYjHgg/edit?usp=sharing"",""พรบ!J64"")"),0)</f>
        <v>0</v>
      </c>
      <c r="AA60" s="77">
        <f ca="1">IFERROR(__xludf.DUMMYFUNCTION("IMPORTRANGE(""https://docs.google.com/spreadsheets/d/1C3CXT74ZlgGe6_JY_1olB1XN4rF0dxEuIIF-xsYjHgg/edit?usp=sharing"",""พรบ!K64"")"),0)</f>
        <v>0</v>
      </c>
      <c r="AB60" s="81">
        <f ca="1">IFERROR(__xludf.DUMMYFUNCTION("IMPORTRANGE(""https://docs.google.com/spreadsheets/d/1SX6NBoVAgQJ6U1MVXOaj8PK2l7WJ3RER9xtqwdhxkhw/edit?usp=sharing"",""ตราด!J24"")"),0)</f>
        <v>0</v>
      </c>
      <c r="AC60" s="81">
        <f ca="1">IFERROR(__xludf.DUMMYFUNCTION("IMPORTRANGE(""https://docs.google.com/spreadsheets/d/1SX6NBoVAgQJ6U1MVXOaj8PK2l7WJ3RER9xtqwdhxkhw/edit?usp=sharing"",""ตราด!J25"")"),0)</f>
        <v>0</v>
      </c>
      <c r="AD60" s="77">
        <f ca="1">IFERROR(__xludf.DUMMYFUNCTION("IMPORTRANGE(""https://docs.google.com/spreadsheets/d/1C3CXT74ZlgGe6_JY_1olB1XN4rF0dxEuIIF-xsYjHgg/edit?usp=sharing"",""พรบ!L64"")"),0)</f>
        <v>0</v>
      </c>
      <c r="AE60" s="77">
        <f ca="1">IFERROR(__xludf.DUMMYFUNCTION("IMPORTRANGE(""https://docs.google.com/spreadsheets/d/1C3CXT74ZlgGe6_JY_1olB1XN4rF0dxEuIIF-xsYjHgg/edit?usp=sharing"",""พรบ!M64"")"),0)</f>
        <v>0</v>
      </c>
      <c r="AF60" s="81">
        <f ca="1">IFERROR(__xludf.DUMMYFUNCTION("IMPORTRANGE(""https://docs.google.com/spreadsheets/d/1SX6NBoVAgQJ6U1MVXOaj8PK2l7WJ3RER9xtqwdhxkhw/edit?usp=sharing"",""ตราด!J26"")"),0)</f>
        <v>0</v>
      </c>
      <c r="AG60" s="81">
        <f ca="1">IFERROR(__xludf.DUMMYFUNCTION("IMPORTRANGE(""https://docs.google.com/spreadsheets/d/1SX6NBoVAgQJ6U1MVXOaj8PK2l7WJ3RER9xtqwdhxkhw/edit?usp=sharing"",""ตราด!J27"")"),0)</f>
        <v>0</v>
      </c>
      <c r="AH60" s="77">
        <f ca="1">IFERROR(__xludf.DUMMYFUNCTION("IMPORTRANGE(""https://docs.google.com/spreadsheets/d/1C3CXT74ZlgGe6_JY_1olB1XN4rF0dxEuIIF-xsYjHgg/edit?usp=sharing"",""พรบ!N64"")"),0)</f>
        <v>0</v>
      </c>
      <c r="AI60" s="81">
        <f ca="1">IFERROR(__xludf.DUMMYFUNCTION("IMPORTRANGE(""https://docs.google.com/spreadsheets/d/1SX6NBoVAgQJ6U1MVXOaj8PK2l7WJ3RER9xtqwdhxkhw/edit?usp=sharing"",""ตราด!J28"")"),0)</f>
        <v>0</v>
      </c>
      <c r="AJ60" s="79">
        <f t="shared" ca="1" si="17"/>
        <v>0</v>
      </c>
    </row>
    <row r="61" spans="1:36" ht="21" customHeight="1">
      <c r="A61" s="73">
        <v>7</v>
      </c>
      <c r="B61" s="74" t="s">
        <v>85</v>
      </c>
      <c r="C61" s="75">
        <f t="shared" ca="1" si="0"/>
        <v>0</v>
      </c>
      <c r="D61" s="76">
        <f t="shared" ca="1" si="45"/>
        <v>0</v>
      </c>
      <c r="E61" s="77">
        <f ca="1">IFERROR(__xludf.DUMMYFUNCTION("IMPORTRANGE(""https://docs.google.com/spreadsheets/d/1C3CXT74ZlgGe6_JY_1olB1XN4rF0dxEuIIF-xsYjHgg/edit?usp=sharing"",""พรบ!D65"")"),0)</f>
        <v>0</v>
      </c>
      <c r="F61" s="77">
        <f ca="1">IFERROR(__xludf.DUMMYFUNCTION("IMPORTRANGE(""https://docs.google.com/spreadsheets/d/1C3CXT74ZlgGe6_JY_1olB1XN4rF0dxEuIIF-xsYjHgg/edit?usp=sharing"",""พรบ!E65"")"),0)</f>
        <v>0</v>
      </c>
      <c r="G61" s="77">
        <f ca="1">IFERROR(__xludf.DUMMYFUNCTION("IMPORTRANGE(""https://docs.google.com/spreadsheets/d/1Yj_ptqi66GCucihVvJfMjLAmec39IyEx_6qawtMGysU/edit?usp=sharing"",""สบก!AG65"")"),0)</f>
        <v>0</v>
      </c>
      <c r="H61" s="77">
        <f ca="1">IFERROR(__xludf.DUMMYFUNCTION("IMPORTRANGE(""https://docs.google.com/spreadsheets/d/1Yj_ptqi66GCucihVvJfMjLAmec39IyEx_6qawtMGysU/edit?usp=sharing"",""สบก!AI65"")"),0)</f>
        <v>0</v>
      </c>
      <c r="I61" s="77">
        <f t="shared" ca="1" si="3"/>
        <v>0</v>
      </c>
      <c r="J61" s="78">
        <f t="shared" ca="1" si="4"/>
        <v>0</v>
      </c>
      <c r="K61" s="77">
        <f ca="1">IFERROR(__xludf.DUMMYFUNCTION("IMPORTRANGE(""https://docs.google.com/spreadsheets/d/1Yj_ptqi66GCucihVvJfMjLAmec39IyEx_6qawtMGysU/edit?usp=sharing"",""สบก!AJ65"")"),0)</f>
        <v>0</v>
      </c>
      <c r="L61" s="79">
        <f t="shared" ca="1" si="5"/>
        <v>0</v>
      </c>
      <c r="M61" s="79">
        <f t="shared" ca="1" si="6"/>
        <v>0</v>
      </c>
      <c r="N61" s="80">
        <f ca="1">IFERROR(__xludf.DUMMYFUNCTION("IMPORTRANGE(""https://docs.google.com/spreadsheets/d/1Yj_ptqi66GCucihVvJfMjLAmec39IyEx_6qawtMGysU/edit?usp=sharing"",""สบก!AK65"")"),0)</f>
        <v>0</v>
      </c>
      <c r="O61" s="79">
        <f t="shared" ca="1" si="7"/>
        <v>0</v>
      </c>
      <c r="P61" s="81">
        <f t="shared" ca="1" si="33"/>
        <v>0</v>
      </c>
      <c r="Q61" s="81">
        <f t="shared" ca="1" si="8"/>
        <v>0</v>
      </c>
      <c r="R61" s="81">
        <f t="shared" ca="1" si="46"/>
        <v>0</v>
      </c>
      <c r="S61" s="82">
        <f t="shared" ca="1" si="9"/>
        <v>0</v>
      </c>
      <c r="T61" s="81">
        <f t="shared" ca="1" si="47"/>
        <v>0</v>
      </c>
      <c r="U61" s="82">
        <f t="shared" ca="1" si="10"/>
        <v>0</v>
      </c>
      <c r="V61" s="77">
        <f ca="1">IFERROR(__xludf.DUMMYFUNCTION("IMPORTRANGE(""https://docs.google.com/spreadsheets/d/1C3CXT74ZlgGe6_JY_1olB1XN4rF0dxEuIIF-xsYjHgg/edit?usp=sharing"",""พรบ!H65"")"),0)</f>
        <v>0</v>
      </c>
      <c r="W61" s="77">
        <f ca="1">IFERROR(__xludf.DUMMYFUNCTION("IMPORTRANGE(""https://docs.google.com/spreadsheets/d/1C3CXT74ZlgGe6_JY_1olB1XN4rF0dxEuIIF-xsYjHgg/edit?usp=sharing"",""พรบ!I65"")"),0)</f>
        <v>0</v>
      </c>
      <c r="X61" s="81">
        <f ca="1">IFERROR(__xludf.DUMMYFUNCTION("IMPORTRANGE(""https://docs.google.com/spreadsheets/d/1SX6NBoVAgQJ6U1MVXOaj8PK2l7WJ3RER9xtqwdhxkhw/edit?usp=sharing"",""นครนายก!J22"")"),0)</f>
        <v>0</v>
      </c>
      <c r="Y61" s="81">
        <f ca="1">IFERROR(__xludf.DUMMYFUNCTION("IMPORTRANGE(""https://docs.google.com/spreadsheets/d/1SX6NBoVAgQJ6U1MVXOaj8PK2l7WJ3RER9xtqwdhxkhw/edit?usp=sharing"",""นครนายก!J23"")"),0)</f>
        <v>0</v>
      </c>
      <c r="Z61" s="77">
        <f ca="1">IFERROR(__xludf.DUMMYFUNCTION("IMPORTRANGE(""https://docs.google.com/spreadsheets/d/1C3CXT74ZlgGe6_JY_1olB1XN4rF0dxEuIIF-xsYjHgg/edit?usp=sharing"",""พรบ!J65"")"),0)</f>
        <v>0</v>
      </c>
      <c r="AA61" s="77">
        <f ca="1">IFERROR(__xludf.DUMMYFUNCTION("IMPORTRANGE(""https://docs.google.com/spreadsheets/d/1C3CXT74ZlgGe6_JY_1olB1XN4rF0dxEuIIF-xsYjHgg/edit?usp=sharing"",""พรบ!K65"")"),0)</f>
        <v>0</v>
      </c>
      <c r="AB61" s="81">
        <f ca="1">IFERROR(__xludf.DUMMYFUNCTION("IMPORTRANGE(""https://docs.google.com/spreadsheets/d/1SX6NBoVAgQJ6U1MVXOaj8PK2l7WJ3RER9xtqwdhxkhw/edit?usp=sharing"",""นครนายก!J24"")"),0)</f>
        <v>0</v>
      </c>
      <c r="AC61" s="81">
        <f ca="1">IFERROR(__xludf.DUMMYFUNCTION("IMPORTRANGE(""https://docs.google.com/spreadsheets/d/1SX6NBoVAgQJ6U1MVXOaj8PK2l7WJ3RER9xtqwdhxkhw/edit?usp=sharing"",""นครนายก!J25"")"),0)</f>
        <v>0</v>
      </c>
      <c r="AD61" s="77">
        <f ca="1">IFERROR(__xludf.DUMMYFUNCTION("IMPORTRANGE(""https://docs.google.com/spreadsheets/d/1C3CXT74ZlgGe6_JY_1olB1XN4rF0dxEuIIF-xsYjHgg/edit?usp=sharing"",""พรบ!L65"")"),0)</f>
        <v>0</v>
      </c>
      <c r="AE61" s="77">
        <f ca="1">IFERROR(__xludf.DUMMYFUNCTION("IMPORTRANGE(""https://docs.google.com/spreadsheets/d/1C3CXT74ZlgGe6_JY_1olB1XN4rF0dxEuIIF-xsYjHgg/edit?usp=sharing"",""พรบ!M65"")"),0)</f>
        <v>0</v>
      </c>
      <c r="AF61" s="81">
        <f ca="1">IFERROR(__xludf.DUMMYFUNCTION("IMPORTRANGE(""https://docs.google.com/spreadsheets/d/1SX6NBoVAgQJ6U1MVXOaj8PK2l7WJ3RER9xtqwdhxkhw/edit?usp=sharing"",""นครนายก!J26"")"),0)</f>
        <v>0</v>
      </c>
      <c r="AG61" s="81">
        <f ca="1">IFERROR(__xludf.DUMMYFUNCTION("IMPORTRANGE(""https://docs.google.com/spreadsheets/d/1SX6NBoVAgQJ6U1MVXOaj8PK2l7WJ3RER9xtqwdhxkhw/edit?usp=sharing"",""นครนายก!J27"")"),0)</f>
        <v>0</v>
      </c>
      <c r="AH61" s="77">
        <f ca="1">IFERROR(__xludf.DUMMYFUNCTION("IMPORTRANGE(""https://docs.google.com/spreadsheets/d/1C3CXT74ZlgGe6_JY_1olB1XN4rF0dxEuIIF-xsYjHgg/edit?usp=sharing"",""พรบ!N65"")"),0)</f>
        <v>0</v>
      </c>
      <c r="AI61" s="81">
        <f ca="1">IFERROR(__xludf.DUMMYFUNCTION("IMPORTRANGE(""https://docs.google.com/spreadsheets/d/1SX6NBoVAgQJ6U1MVXOaj8PK2l7WJ3RER9xtqwdhxkhw/edit?usp=sharing"",""นครนายก!J28"")"),0)</f>
        <v>0</v>
      </c>
      <c r="AJ61" s="79">
        <f t="shared" ca="1" si="17"/>
        <v>0</v>
      </c>
    </row>
    <row r="62" spans="1:36" ht="21" customHeight="1">
      <c r="A62" s="73">
        <v>8</v>
      </c>
      <c r="B62" s="74" t="s">
        <v>86</v>
      </c>
      <c r="C62" s="75">
        <f t="shared" ca="1" si="0"/>
        <v>0</v>
      </c>
      <c r="D62" s="76">
        <f t="shared" ca="1" si="45"/>
        <v>0</v>
      </c>
      <c r="E62" s="77">
        <f ca="1">IFERROR(__xludf.DUMMYFUNCTION("IMPORTRANGE(""https://docs.google.com/spreadsheets/d/1C3CXT74ZlgGe6_JY_1olB1XN4rF0dxEuIIF-xsYjHgg/edit?usp=sharing"",""พรบ!D66"")"),0)</f>
        <v>0</v>
      </c>
      <c r="F62" s="77">
        <f ca="1">IFERROR(__xludf.DUMMYFUNCTION("IMPORTRANGE(""https://docs.google.com/spreadsheets/d/1C3CXT74ZlgGe6_JY_1olB1XN4rF0dxEuIIF-xsYjHgg/edit?usp=sharing"",""พรบ!E66"")"),0)</f>
        <v>0</v>
      </c>
      <c r="G62" s="77">
        <f ca="1">IFERROR(__xludf.DUMMYFUNCTION("IMPORTRANGE(""https://docs.google.com/spreadsheets/d/1Yj_ptqi66GCucihVvJfMjLAmec39IyEx_6qawtMGysU/edit?usp=sharing"",""สบก!AG66"")"),0)</f>
        <v>0</v>
      </c>
      <c r="H62" s="77">
        <f ca="1">IFERROR(__xludf.DUMMYFUNCTION("IMPORTRANGE(""https://docs.google.com/spreadsheets/d/1Yj_ptqi66GCucihVvJfMjLAmec39IyEx_6qawtMGysU/edit?usp=sharing"",""สบก!AI66"")"),0)</f>
        <v>0</v>
      </c>
      <c r="I62" s="77">
        <f t="shared" ca="1" si="3"/>
        <v>0</v>
      </c>
      <c r="J62" s="78">
        <f t="shared" ca="1" si="4"/>
        <v>0</v>
      </c>
      <c r="K62" s="77">
        <f ca="1">IFERROR(__xludf.DUMMYFUNCTION("IMPORTRANGE(""https://docs.google.com/spreadsheets/d/1Yj_ptqi66GCucihVvJfMjLAmec39IyEx_6qawtMGysU/edit?usp=sharing"",""สบก!AJ66"")"),0)</f>
        <v>0</v>
      </c>
      <c r="L62" s="79">
        <f t="shared" ca="1" si="5"/>
        <v>0</v>
      </c>
      <c r="M62" s="79">
        <f t="shared" ca="1" si="6"/>
        <v>0</v>
      </c>
      <c r="N62" s="80">
        <f ca="1">IFERROR(__xludf.DUMMYFUNCTION("IMPORTRANGE(""https://docs.google.com/spreadsheets/d/1Yj_ptqi66GCucihVvJfMjLAmec39IyEx_6qawtMGysU/edit?usp=sharing"",""สบก!AK66"")"),0)</f>
        <v>0</v>
      </c>
      <c r="O62" s="79">
        <f t="shared" ca="1" si="7"/>
        <v>0</v>
      </c>
      <c r="P62" s="81">
        <f t="shared" ca="1" si="33"/>
        <v>0</v>
      </c>
      <c r="Q62" s="81">
        <f t="shared" ca="1" si="8"/>
        <v>0</v>
      </c>
      <c r="R62" s="81">
        <f t="shared" ca="1" si="46"/>
        <v>0</v>
      </c>
      <c r="S62" s="82">
        <f t="shared" ca="1" si="9"/>
        <v>0</v>
      </c>
      <c r="T62" s="81">
        <f t="shared" ca="1" si="47"/>
        <v>0</v>
      </c>
      <c r="U62" s="82">
        <f t="shared" ca="1" si="10"/>
        <v>0</v>
      </c>
      <c r="V62" s="77">
        <f ca="1">IFERROR(__xludf.DUMMYFUNCTION("IMPORTRANGE(""https://docs.google.com/spreadsheets/d/1C3CXT74ZlgGe6_JY_1olB1XN4rF0dxEuIIF-xsYjHgg/edit?usp=sharing"",""พรบ!H66"")"),0)</f>
        <v>0</v>
      </c>
      <c r="W62" s="77">
        <f ca="1">IFERROR(__xludf.DUMMYFUNCTION("IMPORTRANGE(""https://docs.google.com/spreadsheets/d/1C3CXT74ZlgGe6_JY_1olB1XN4rF0dxEuIIF-xsYjHgg/edit?usp=sharing"",""พรบ!I66"")"),0)</f>
        <v>0</v>
      </c>
      <c r="X62" s="81">
        <f ca="1">IFERROR(__xludf.DUMMYFUNCTION("IMPORTRANGE(""https://docs.google.com/spreadsheets/d/1SX6NBoVAgQJ6U1MVXOaj8PK2l7WJ3RER9xtqwdhxkhw/edit?usp=sharing"",""นครปฐม!J22"")"),0)</f>
        <v>0</v>
      </c>
      <c r="Y62" s="81">
        <f ca="1">IFERROR(__xludf.DUMMYFUNCTION("IMPORTRANGE(""https://docs.google.com/spreadsheets/d/1SX6NBoVAgQJ6U1MVXOaj8PK2l7WJ3RER9xtqwdhxkhw/edit?usp=sharing"",""นครปฐม!J23"")"),0)</f>
        <v>0</v>
      </c>
      <c r="Z62" s="77">
        <f ca="1">IFERROR(__xludf.DUMMYFUNCTION("IMPORTRANGE(""https://docs.google.com/spreadsheets/d/1C3CXT74ZlgGe6_JY_1olB1XN4rF0dxEuIIF-xsYjHgg/edit?usp=sharing"",""พรบ!J66"")"),0)</f>
        <v>0</v>
      </c>
      <c r="AA62" s="77">
        <f ca="1">IFERROR(__xludf.DUMMYFUNCTION("IMPORTRANGE(""https://docs.google.com/spreadsheets/d/1C3CXT74ZlgGe6_JY_1olB1XN4rF0dxEuIIF-xsYjHgg/edit?usp=sharing"",""พรบ!K66"")"),0)</f>
        <v>0</v>
      </c>
      <c r="AB62" s="81">
        <f ca="1">IFERROR(__xludf.DUMMYFUNCTION("IMPORTRANGE(""https://docs.google.com/spreadsheets/d/1SX6NBoVAgQJ6U1MVXOaj8PK2l7WJ3RER9xtqwdhxkhw/edit?usp=sharing"",""นครปฐม!J24"")"),0)</f>
        <v>0</v>
      </c>
      <c r="AC62" s="81">
        <f ca="1">IFERROR(__xludf.DUMMYFUNCTION("IMPORTRANGE(""https://docs.google.com/spreadsheets/d/1SX6NBoVAgQJ6U1MVXOaj8PK2l7WJ3RER9xtqwdhxkhw/edit?usp=sharing"",""นครปฐม!J25"")"),0)</f>
        <v>0</v>
      </c>
      <c r="AD62" s="77">
        <f ca="1">IFERROR(__xludf.DUMMYFUNCTION("IMPORTRANGE(""https://docs.google.com/spreadsheets/d/1C3CXT74ZlgGe6_JY_1olB1XN4rF0dxEuIIF-xsYjHgg/edit?usp=sharing"",""พรบ!L66"")"),0)</f>
        <v>0</v>
      </c>
      <c r="AE62" s="77">
        <f ca="1">IFERROR(__xludf.DUMMYFUNCTION("IMPORTRANGE(""https://docs.google.com/spreadsheets/d/1C3CXT74ZlgGe6_JY_1olB1XN4rF0dxEuIIF-xsYjHgg/edit?usp=sharing"",""พรบ!M66"")"),0)</f>
        <v>0</v>
      </c>
      <c r="AF62" s="81">
        <f ca="1">IFERROR(__xludf.DUMMYFUNCTION("IMPORTRANGE(""https://docs.google.com/spreadsheets/d/1SX6NBoVAgQJ6U1MVXOaj8PK2l7WJ3RER9xtqwdhxkhw/edit?usp=sharing"",""นครปฐม!J26"")"),0)</f>
        <v>0</v>
      </c>
      <c r="AG62" s="81">
        <f ca="1">IFERROR(__xludf.DUMMYFUNCTION("IMPORTRANGE(""https://docs.google.com/spreadsheets/d/1SX6NBoVAgQJ6U1MVXOaj8PK2l7WJ3RER9xtqwdhxkhw/edit?usp=sharing"",""นครปฐม!J27"")"),0)</f>
        <v>0</v>
      </c>
      <c r="AH62" s="77">
        <f ca="1">IFERROR(__xludf.DUMMYFUNCTION("IMPORTRANGE(""https://docs.google.com/spreadsheets/d/1C3CXT74ZlgGe6_JY_1olB1XN4rF0dxEuIIF-xsYjHgg/edit?usp=sharing"",""พรบ!N66"")"),0)</f>
        <v>0</v>
      </c>
      <c r="AI62" s="81">
        <f ca="1">IFERROR(__xludf.DUMMYFUNCTION("IMPORTRANGE(""https://docs.google.com/spreadsheets/d/1SX6NBoVAgQJ6U1MVXOaj8PK2l7WJ3RER9xtqwdhxkhw/edit?usp=sharing"",""นครปฐม!J28"")"),0)</f>
        <v>0</v>
      </c>
      <c r="AJ62" s="79">
        <f t="shared" ca="1" si="17"/>
        <v>0</v>
      </c>
    </row>
    <row r="63" spans="1:36" ht="21" customHeight="1">
      <c r="A63" s="73">
        <v>9</v>
      </c>
      <c r="B63" s="74" t="s">
        <v>87</v>
      </c>
      <c r="C63" s="75">
        <f t="shared" ca="1" si="0"/>
        <v>0</v>
      </c>
      <c r="D63" s="76">
        <f t="shared" ca="1" si="45"/>
        <v>0</v>
      </c>
      <c r="E63" s="77">
        <f ca="1">IFERROR(__xludf.DUMMYFUNCTION("IMPORTRANGE(""https://docs.google.com/spreadsheets/d/1C3CXT74ZlgGe6_JY_1olB1XN4rF0dxEuIIF-xsYjHgg/edit?usp=sharing"",""พรบ!D67"")"),0)</f>
        <v>0</v>
      </c>
      <c r="F63" s="77">
        <f ca="1">IFERROR(__xludf.DUMMYFUNCTION("IMPORTRANGE(""https://docs.google.com/spreadsheets/d/1C3CXT74ZlgGe6_JY_1olB1XN4rF0dxEuIIF-xsYjHgg/edit?usp=sharing"",""พรบ!E67"")"),0)</f>
        <v>0</v>
      </c>
      <c r="G63" s="77">
        <f ca="1">IFERROR(__xludf.DUMMYFUNCTION("IMPORTRANGE(""https://docs.google.com/spreadsheets/d/1Yj_ptqi66GCucihVvJfMjLAmec39IyEx_6qawtMGysU/edit?usp=sharing"",""สบก!AG67"")"),0)</f>
        <v>0</v>
      </c>
      <c r="H63" s="77">
        <f ca="1">IFERROR(__xludf.DUMMYFUNCTION("IMPORTRANGE(""https://docs.google.com/spreadsheets/d/1Yj_ptqi66GCucihVvJfMjLAmec39IyEx_6qawtMGysU/edit?usp=sharing"",""สบก!AI67"")"),0)</f>
        <v>0</v>
      </c>
      <c r="I63" s="77">
        <f t="shared" ca="1" si="3"/>
        <v>0</v>
      </c>
      <c r="J63" s="78">
        <f t="shared" ca="1" si="4"/>
        <v>0</v>
      </c>
      <c r="K63" s="77">
        <f ca="1">IFERROR(__xludf.DUMMYFUNCTION("IMPORTRANGE(""https://docs.google.com/spreadsheets/d/1Yj_ptqi66GCucihVvJfMjLAmec39IyEx_6qawtMGysU/edit?usp=sharing"",""สบก!AJ67"")"),0)</f>
        <v>0</v>
      </c>
      <c r="L63" s="79">
        <f t="shared" ca="1" si="5"/>
        <v>0</v>
      </c>
      <c r="M63" s="79">
        <f t="shared" ca="1" si="6"/>
        <v>0</v>
      </c>
      <c r="N63" s="80">
        <f ca="1">IFERROR(__xludf.DUMMYFUNCTION("IMPORTRANGE(""https://docs.google.com/spreadsheets/d/1Yj_ptqi66GCucihVvJfMjLAmec39IyEx_6qawtMGysU/edit?usp=sharing"",""สบก!AK67"")"),0)</f>
        <v>0</v>
      </c>
      <c r="O63" s="79">
        <f t="shared" ca="1" si="7"/>
        <v>0</v>
      </c>
      <c r="P63" s="81">
        <f t="shared" ca="1" si="33"/>
        <v>0</v>
      </c>
      <c r="Q63" s="81">
        <f t="shared" ca="1" si="8"/>
        <v>0</v>
      </c>
      <c r="R63" s="81">
        <f t="shared" ca="1" si="46"/>
        <v>0</v>
      </c>
      <c r="S63" s="82">
        <f t="shared" ca="1" si="9"/>
        <v>0</v>
      </c>
      <c r="T63" s="81">
        <f t="shared" ca="1" si="47"/>
        <v>0</v>
      </c>
      <c r="U63" s="82">
        <f t="shared" ca="1" si="10"/>
        <v>0</v>
      </c>
      <c r="V63" s="77">
        <f ca="1">IFERROR(__xludf.DUMMYFUNCTION("IMPORTRANGE(""https://docs.google.com/spreadsheets/d/1C3CXT74ZlgGe6_JY_1olB1XN4rF0dxEuIIF-xsYjHgg/edit?usp=sharing"",""พรบ!H67"")"),0)</f>
        <v>0</v>
      </c>
      <c r="W63" s="77">
        <f ca="1">IFERROR(__xludf.DUMMYFUNCTION("IMPORTRANGE(""https://docs.google.com/spreadsheets/d/1C3CXT74ZlgGe6_JY_1olB1XN4rF0dxEuIIF-xsYjHgg/edit?usp=sharing"",""พรบ!I67"")"),0)</f>
        <v>0</v>
      </c>
      <c r="X63" s="81">
        <f ca="1">IFERROR(__xludf.DUMMYFUNCTION("IMPORTRANGE(""https://docs.google.com/spreadsheets/d/1SX6NBoVAgQJ6U1MVXOaj8PK2l7WJ3RER9xtqwdhxkhw/edit?usp=sharing"",""ปทุมธานี!J22"")"),0)</f>
        <v>0</v>
      </c>
      <c r="Y63" s="81">
        <f ca="1">IFERROR(__xludf.DUMMYFUNCTION("IMPORTRANGE(""https://docs.google.com/spreadsheets/d/1SX6NBoVAgQJ6U1MVXOaj8PK2l7WJ3RER9xtqwdhxkhw/edit?usp=sharing"",""ปทุมธานี!J23"")"),0)</f>
        <v>0</v>
      </c>
      <c r="Z63" s="77">
        <f ca="1">IFERROR(__xludf.DUMMYFUNCTION("IMPORTRANGE(""https://docs.google.com/spreadsheets/d/1C3CXT74ZlgGe6_JY_1olB1XN4rF0dxEuIIF-xsYjHgg/edit?usp=sharing"",""พรบ!J67"")"),0)</f>
        <v>0</v>
      </c>
      <c r="AA63" s="77">
        <f ca="1">IFERROR(__xludf.DUMMYFUNCTION("IMPORTRANGE(""https://docs.google.com/spreadsheets/d/1C3CXT74ZlgGe6_JY_1olB1XN4rF0dxEuIIF-xsYjHgg/edit?usp=sharing"",""พรบ!K67"")"),0)</f>
        <v>0</v>
      </c>
      <c r="AB63" s="81">
        <f ca="1">IFERROR(__xludf.DUMMYFUNCTION("IMPORTRANGE(""https://docs.google.com/spreadsheets/d/1SX6NBoVAgQJ6U1MVXOaj8PK2l7WJ3RER9xtqwdhxkhw/edit?usp=sharing"",""ปทุมธานี!J24"")"),0)</f>
        <v>0</v>
      </c>
      <c r="AC63" s="81">
        <f ca="1">IFERROR(__xludf.DUMMYFUNCTION("IMPORTRANGE(""https://docs.google.com/spreadsheets/d/1SX6NBoVAgQJ6U1MVXOaj8PK2l7WJ3RER9xtqwdhxkhw/edit?usp=sharing"",""ปทุมธานี!J25"")"),0)</f>
        <v>0</v>
      </c>
      <c r="AD63" s="77">
        <f ca="1">IFERROR(__xludf.DUMMYFUNCTION("IMPORTRANGE(""https://docs.google.com/spreadsheets/d/1C3CXT74ZlgGe6_JY_1olB1XN4rF0dxEuIIF-xsYjHgg/edit?usp=sharing"",""พรบ!L67"")"),0)</f>
        <v>0</v>
      </c>
      <c r="AE63" s="77">
        <f ca="1">IFERROR(__xludf.DUMMYFUNCTION("IMPORTRANGE(""https://docs.google.com/spreadsheets/d/1C3CXT74ZlgGe6_JY_1olB1XN4rF0dxEuIIF-xsYjHgg/edit?usp=sharing"",""พรบ!M67"")"),0)</f>
        <v>0</v>
      </c>
      <c r="AF63" s="81">
        <f ca="1">IFERROR(__xludf.DUMMYFUNCTION("IMPORTRANGE(""https://docs.google.com/spreadsheets/d/1SX6NBoVAgQJ6U1MVXOaj8PK2l7WJ3RER9xtqwdhxkhw/edit?usp=sharing"",""ปทุมธานี!J26"")"),0)</f>
        <v>0</v>
      </c>
      <c r="AG63" s="81">
        <f ca="1">IFERROR(__xludf.DUMMYFUNCTION("IMPORTRANGE(""https://docs.google.com/spreadsheets/d/1SX6NBoVAgQJ6U1MVXOaj8PK2l7WJ3RER9xtqwdhxkhw/edit?usp=sharing"",""ปทุมธานี!J27"")"),0)</f>
        <v>0</v>
      </c>
      <c r="AH63" s="77">
        <f ca="1">IFERROR(__xludf.DUMMYFUNCTION("IMPORTRANGE(""https://docs.google.com/spreadsheets/d/1C3CXT74ZlgGe6_JY_1olB1XN4rF0dxEuIIF-xsYjHgg/edit?usp=sharing"",""พรบ!N67"")"),0)</f>
        <v>0</v>
      </c>
      <c r="AI63" s="81">
        <f ca="1">IFERROR(__xludf.DUMMYFUNCTION("IMPORTRANGE(""https://docs.google.com/spreadsheets/d/1SX6NBoVAgQJ6U1MVXOaj8PK2l7WJ3RER9xtqwdhxkhw/edit?usp=sharing"",""ปทุมธานี!J28"")"),0)</f>
        <v>0</v>
      </c>
      <c r="AJ63" s="79">
        <f t="shared" ca="1" si="17"/>
        <v>0</v>
      </c>
    </row>
    <row r="64" spans="1:36" ht="21" customHeight="1">
      <c r="A64" s="73">
        <v>10</v>
      </c>
      <c r="B64" s="74" t="s">
        <v>88</v>
      </c>
      <c r="C64" s="75">
        <f t="shared" ca="1" si="0"/>
        <v>0</v>
      </c>
      <c r="D64" s="76">
        <f t="shared" ca="1" si="45"/>
        <v>0</v>
      </c>
      <c r="E64" s="77">
        <f ca="1">IFERROR(__xludf.DUMMYFUNCTION("IMPORTRANGE(""https://docs.google.com/spreadsheets/d/1C3CXT74ZlgGe6_JY_1olB1XN4rF0dxEuIIF-xsYjHgg/edit?usp=sharing"",""พรบ!D68"")"),0)</f>
        <v>0</v>
      </c>
      <c r="F64" s="77">
        <f ca="1">IFERROR(__xludf.DUMMYFUNCTION("IMPORTRANGE(""https://docs.google.com/spreadsheets/d/1C3CXT74ZlgGe6_JY_1olB1XN4rF0dxEuIIF-xsYjHgg/edit?usp=sharing"",""พรบ!E68"")"),0)</f>
        <v>0</v>
      </c>
      <c r="G64" s="77">
        <f ca="1">IFERROR(__xludf.DUMMYFUNCTION("IMPORTRANGE(""https://docs.google.com/spreadsheets/d/1Yj_ptqi66GCucihVvJfMjLAmec39IyEx_6qawtMGysU/edit?usp=sharing"",""สบก!AG68"")"),0)</f>
        <v>0</v>
      </c>
      <c r="H64" s="77">
        <f ca="1">IFERROR(__xludf.DUMMYFUNCTION("IMPORTRANGE(""https://docs.google.com/spreadsheets/d/1Yj_ptqi66GCucihVvJfMjLAmec39IyEx_6qawtMGysU/edit?usp=sharing"",""สบก!AI68"")"),0)</f>
        <v>0</v>
      </c>
      <c r="I64" s="77">
        <f t="shared" ca="1" si="3"/>
        <v>0</v>
      </c>
      <c r="J64" s="78">
        <f t="shared" ca="1" si="4"/>
        <v>0</v>
      </c>
      <c r="K64" s="77">
        <f ca="1">IFERROR(__xludf.DUMMYFUNCTION("IMPORTRANGE(""https://docs.google.com/spreadsheets/d/1Yj_ptqi66GCucihVvJfMjLAmec39IyEx_6qawtMGysU/edit?usp=sharing"",""สบก!AJ68"")"),0)</f>
        <v>0</v>
      </c>
      <c r="L64" s="79">
        <f t="shared" ca="1" si="5"/>
        <v>0</v>
      </c>
      <c r="M64" s="79">
        <f t="shared" ca="1" si="6"/>
        <v>0</v>
      </c>
      <c r="N64" s="80">
        <f ca="1">IFERROR(__xludf.DUMMYFUNCTION("IMPORTRANGE(""https://docs.google.com/spreadsheets/d/1Yj_ptqi66GCucihVvJfMjLAmec39IyEx_6qawtMGysU/edit?usp=sharing"",""สบก!AK68"")"),0)</f>
        <v>0</v>
      </c>
      <c r="O64" s="79">
        <f t="shared" ca="1" si="7"/>
        <v>0</v>
      </c>
      <c r="P64" s="81">
        <f t="shared" ca="1" si="33"/>
        <v>0</v>
      </c>
      <c r="Q64" s="81">
        <f t="shared" ca="1" si="8"/>
        <v>0</v>
      </c>
      <c r="R64" s="81">
        <f t="shared" ca="1" si="46"/>
        <v>0</v>
      </c>
      <c r="S64" s="82">
        <f t="shared" ca="1" si="9"/>
        <v>0</v>
      </c>
      <c r="T64" s="81">
        <f t="shared" ca="1" si="47"/>
        <v>0</v>
      </c>
      <c r="U64" s="82">
        <f t="shared" ca="1" si="10"/>
        <v>0</v>
      </c>
      <c r="V64" s="77">
        <f ca="1">IFERROR(__xludf.DUMMYFUNCTION("IMPORTRANGE(""https://docs.google.com/spreadsheets/d/1C3CXT74ZlgGe6_JY_1olB1XN4rF0dxEuIIF-xsYjHgg/edit?usp=sharing"",""พรบ!H68"")"),0)</f>
        <v>0</v>
      </c>
      <c r="W64" s="77">
        <f ca="1">IFERROR(__xludf.DUMMYFUNCTION("IMPORTRANGE(""https://docs.google.com/spreadsheets/d/1C3CXT74ZlgGe6_JY_1olB1XN4rF0dxEuIIF-xsYjHgg/edit?usp=sharing"",""พรบ!I68"")"),0)</f>
        <v>0</v>
      </c>
      <c r="X64" s="81">
        <f ca="1">IFERROR(__xludf.DUMMYFUNCTION("IMPORTRANGE(""https://docs.google.com/spreadsheets/d/1SX6NBoVAgQJ6U1MVXOaj8PK2l7WJ3RER9xtqwdhxkhw/edit?usp=sharing"",""ประจวบคีรีขันธ์!J22"")"),0)</f>
        <v>0</v>
      </c>
      <c r="Y64" s="81">
        <f ca="1">IFERROR(__xludf.DUMMYFUNCTION("IMPORTRANGE(""https://docs.google.com/spreadsheets/d/1SX6NBoVAgQJ6U1MVXOaj8PK2l7WJ3RER9xtqwdhxkhw/edit?usp=sharing"",""ประจวบคีรีขันธ์!J23"")"),0)</f>
        <v>0</v>
      </c>
      <c r="Z64" s="77">
        <f ca="1">IFERROR(__xludf.DUMMYFUNCTION("IMPORTRANGE(""https://docs.google.com/spreadsheets/d/1C3CXT74ZlgGe6_JY_1olB1XN4rF0dxEuIIF-xsYjHgg/edit?usp=sharing"",""พรบ!J68"")"),0)</f>
        <v>0</v>
      </c>
      <c r="AA64" s="77">
        <f ca="1">IFERROR(__xludf.DUMMYFUNCTION("IMPORTRANGE(""https://docs.google.com/spreadsheets/d/1C3CXT74ZlgGe6_JY_1olB1XN4rF0dxEuIIF-xsYjHgg/edit?usp=sharing"",""พรบ!K68"")"),0)</f>
        <v>0</v>
      </c>
      <c r="AB64" s="81">
        <f ca="1">IFERROR(__xludf.DUMMYFUNCTION("IMPORTRANGE(""https://docs.google.com/spreadsheets/d/1SX6NBoVAgQJ6U1MVXOaj8PK2l7WJ3RER9xtqwdhxkhw/edit?usp=sharing"",""ประจวบคีรีขันธ์!J24"")"),0)</f>
        <v>0</v>
      </c>
      <c r="AC64" s="81">
        <f ca="1">IFERROR(__xludf.DUMMYFUNCTION("IMPORTRANGE(""https://docs.google.com/spreadsheets/d/1SX6NBoVAgQJ6U1MVXOaj8PK2l7WJ3RER9xtqwdhxkhw/edit?usp=sharing"",""ประจวบคีรีขันธ์!J25"")"),0)</f>
        <v>0</v>
      </c>
      <c r="AD64" s="77">
        <f ca="1">IFERROR(__xludf.DUMMYFUNCTION("IMPORTRANGE(""https://docs.google.com/spreadsheets/d/1C3CXT74ZlgGe6_JY_1olB1XN4rF0dxEuIIF-xsYjHgg/edit?usp=sharing"",""พรบ!L68"")"),0)</f>
        <v>0</v>
      </c>
      <c r="AE64" s="77">
        <f ca="1">IFERROR(__xludf.DUMMYFUNCTION("IMPORTRANGE(""https://docs.google.com/spreadsheets/d/1C3CXT74ZlgGe6_JY_1olB1XN4rF0dxEuIIF-xsYjHgg/edit?usp=sharing"",""พรบ!M68"")"),0)</f>
        <v>0</v>
      </c>
      <c r="AF64" s="81">
        <f ca="1">IFERROR(__xludf.DUMMYFUNCTION("IMPORTRANGE(""https://docs.google.com/spreadsheets/d/1SX6NBoVAgQJ6U1MVXOaj8PK2l7WJ3RER9xtqwdhxkhw/edit?usp=sharing"",""ประจวบคีรีขันธ์!J26"")"),0)</f>
        <v>0</v>
      </c>
      <c r="AG64" s="81">
        <f ca="1">IFERROR(__xludf.DUMMYFUNCTION("IMPORTRANGE(""https://docs.google.com/spreadsheets/d/1SX6NBoVAgQJ6U1MVXOaj8PK2l7WJ3RER9xtqwdhxkhw/edit?usp=sharing"",""ประจวบคีรีขันธ์!J27"")"),0)</f>
        <v>0</v>
      </c>
      <c r="AH64" s="77">
        <f ca="1">IFERROR(__xludf.DUMMYFUNCTION("IMPORTRANGE(""https://docs.google.com/spreadsheets/d/1C3CXT74ZlgGe6_JY_1olB1XN4rF0dxEuIIF-xsYjHgg/edit?usp=sharing"",""พรบ!N68"")"),0)</f>
        <v>0</v>
      </c>
      <c r="AI64" s="81">
        <f ca="1">IFERROR(__xludf.DUMMYFUNCTION("IMPORTRANGE(""https://docs.google.com/spreadsheets/d/1SX6NBoVAgQJ6U1MVXOaj8PK2l7WJ3RER9xtqwdhxkhw/edit?usp=sharing"",""ประจวบคีรีขันธ์!J28"")"),0)</f>
        <v>0</v>
      </c>
      <c r="AJ64" s="79">
        <f t="shared" ca="1" si="17"/>
        <v>0</v>
      </c>
    </row>
    <row r="65" spans="1:36" ht="21" customHeight="1">
      <c r="A65" s="73">
        <v>11</v>
      </c>
      <c r="B65" s="74" t="s">
        <v>89</v>
      </c>
      <c r="C65" s="75">
        <f t="shared" ca="1" si="0"/>
        <v>0</v>
      </c>
      <c r="D65" s="76">
        <f t="shared" ca="1" si="45"/>
        <v>0</v>
      </c>
      <c r="E65" s="77">
        <f ca="1">IFERROR(__xludf.DUMMYFUNCTION("IMPORTRANGE(""https://docs.google.com/spreadsheets/d/1C3CXT74ZlgGe6_JY_1olB1XN4rF0dxEuIIF-xsYjHgg/edit?usp=sharing"",""พรบ!D69"")"),0)</f>
        <v>0</v>
      </c>
      <c r="F65" s="77">
        <f ca="1">IFERROR(__xludf.DUMMYFUNCTION("IMPORTRANGE(""https://docs.google.com/spreadsheets/d/1C3CXT74ZlgGe6_JY_1olB1XN4rF0dxEuIIF-xsYjHgg/edit?usp=sharing"",""พรบ!E69"")"),0)</f>
        <v>0</v>
      </c>
      <c r="G65" s="77">
        <f ca="1">IFERROR(__xludf.DUMMYFUNCTION("IMPORTRANGE(""https://docs.google.com/spreadsheets/d/1Yj_ptqi66GCucihVvJfMjLAmec39IyEx_6qawtMGysU/edit?usp=sharing"",""สบก!AG69"")"),0)</f>
        <v>0</v>
      </c>
      <c r="H65" s="77">
        <f ca="1">IFERROR(__xludf.DUMMYFUNCTION("IMPORTRANGE(""https://docs.google.com/spreadsheets/d/1Yj_ptqi66GCucihVvJfMjLAmec39IyEx_6qawtMGysU/edit?usp=sharing"",""สบก!AI69"")"),0)</f>
        <v>0</v>
      </c>
      <c r="I65" s="77">
        <f t="shared" ca="1" si="3"/>
        <v>0</v>
      </c>
      <c r="J65" s="78">
        <f t="shared" ca="1" si="4"/>
        <v>0</v>
      </c>
      <c r="K65" s="77">
        <f ca="1">IFERROR(__xludf.DUMMYFUNCTION("IMPORTRANGE(""https://docs.google.com/spreadsheets/d/1Yj_ptqi66GCucihVvJfMjLAmec39IyEx_6qawtMGysU/edit?usp=sharing"",""สบก!AJ69"")"),0)</f>
        <v>0</v>
      </c>
      <c r="L65" s="79">
        <f t="shared" ca="1" si="5"/>
        <v>0</v>
      </c>
      <c r="M65" s="79">
        <f t="shared" ca="1" si="6"/>
        <v>0</v>
      </c>
      <c r="N65" s="80">
        <f ca="1">IFERROR(__xludf.DUMMYFUNCTION("IMPORTRANGE(""https://docs.google.com/spreadsheets/d/1Yj_ptqi66GCucihVvJfMjLAmec39IyEx_6qawtMGysU/edit?usp=sharing"",""สบก!AK69"")"),0)</f>
        <v>0</v>
      </c>
      <c r="O65" s="79">
        <f t="shared" ca="1" si="7"/>
        <v>0</v>
      </c>
      <c r="P65" s="81">
        <f t="shared" ca="1" si="33"/>
        <v>0</v>
      </c>
      <c r="Q65" s="81">
        <f t="shared" ca="1" si="8"/>
        <v>0</v>
      </c>
      <c r="R65" s="81">
        <f t="shared" ca="1" si="46"/>
        <v>0</v>
      </c>
      <c r="S65" s="82">
        <f t="shared" ca="1" si="9"/>
        <v>0</v>
      </c>
      <c r="T65" s="81">
        <f t="shared" ca="1" si="47"/>
        <v>0</v>
      </c>
      <c r="U65" s="82">
        <f t="shared" ca="1" si="10"/>
        <v>0</v>
      </c>
      <c r="V65" s="77">
        <f ca="1">IFERROR(__xludf.DUMMYFUNCTION("IMPORTRANGE(""https://docs.google.com/spreadsheets/d/1C3CXT74ZlgGe6_JY_1olB1XN4rF0dxEuIIF-xsYjHgg/edit?usp=sharing"",""พรบ!H69"")"),0)</f>
        <v>0</v>
      </c>
      <c r="W65" s="77">
        <f ca="1">IFERROR(__xludf.DUMMYFUNCTION("IMPORTRANGE(""https://docs.google.com/spreadsheets/d/1C3CXT74ZlgGe6_JY_1olB1XN4rF0dxEuIIF-xsYjHgg/edit?usp=sharing"",""พรบ!I69"")"),0)</f>
        <v>0</v>
      </c>
      <c r="X65" s="81">
        <f ca="1">IFERROR(__xludf.DUMMYFUNCTION("IMPORTRANGE(""https://docs.google.com/spreadsheets/d/1SX6NBoVAgQJ6U1MVXOaj8PK2l7WJ3RER9xtqwdhxkhw/edit?usp=sharing"",""ปราจีนบุรี!J22"")"),0)</f>
        <v>0</v>
      </c>
      <c r="Y65" s="81">
        <f ca="1">IFERROR(__xludf.DUMMYFUNCTION("IMPORTRANGE(""https://docs.google.com/spreadsheets/d/1SX6NBoVAgQJ6U1MVXOaj8PK2l7WJ3RER9xtqwdhxkhw/edit?usp=sharing"",""ปราจีนบุรี!J23"")"),0)</f>
        <v>0</v>
      </c>
      <c r="Z65" s="77">
        <f ca="1">IFERROR(__xludf.DUMMYFUNCTION("IMPORTRANGE(""https://docs.google.com/spreadsheets/d/1C3CXT74ZlgGe6_JY_1olB1XN4rF0dxEuIIF-xsYjHgg/edit?usp=sharing"",""พรบ!J69"")"),0)</f>
        <v>0</v>
      </c>
      <c r="AA65" s="77">
        <f ca="1">IFERROR(__xludf.DUMMYFUNCTION("IMPORTRANGE(""https://docs.google.com/spreadsheets/d/1C3CXT74ZlgGe6_JY_1olB1XN4rF0dxEuIIF-xsYjHgg/edit?usp=sharing"",""พรบ!K69"")"),0)</f>
        <v>0</v>
      </c>
      <c r="AB65" s="81">
        <f ca="1">IFERROR(__xludf.DUMMYFUNCTION("IMPORTRANGE(""https://docs.google.com/spreadsheets/d/1SX6NBoVAgQJ6U1MVXOaj8PK2l7WJ3RER9xtqwdhxkhw/edit?usp=sharing"",""ปราจีนบุรี!J24"")"),0)</f>
        <v>0</v>
      </c>
      <c r="AC65" s="81">
        <f ca="1">IFERROR(__xludf.DUMMYFUNCTION("IMPORTRANGE(""https://docs.google.com/spreadsheets/d/1SX6NBoVAgQJ6U1MVXOaj8PK2l7WJ3RER9xtqwdhxkhw/edit?usp=sharing"",""ปราจีนบุรี!J25"")"),0)</f>
        <v>0</v>
      </c>
      <c r="AD65" s="77">
        <f ca="1">IFERROR(__xludf.DUMMYFUNCTION("IMPORTRANGE(""https://docs.google.com/spreadsheets/d/1C3CXT74ZlgGe6_JY_1olB1XN4rF0dxEuIIF-xsYjHgg/edit?usp=sharing"",""พรบ!L69"")"),0)</f>
        <v>0</v>
      </c>
      <c r="AE65" s="77">
        <f ca="1">IFERROR(__xludf.DUMMYFUNCTION("IMPORTRANGE(""https://docs.google.com/spreadsheets/d/1C3CXT74ZlgGe6_JY_1olB1XN4rF0dxEuIIF-xsYjHgg/edit?usp=sharing"",""พรบ!M69"")"),0)</f>
        <v>0</v>
      </c>
      <c r="AF65" s="81">
        <f ca="1">IFERROR(__xludf.DUMMYFUNCTION("IMPORTRANGE(""https://docs.google.com/spreadsheets/d/1SX6NBoVAgQJ6U1MVXOaj8PK2l7WJ3RER9xtqwdhxkhw/edit?usp=sharing"",""ปราจีนบุรี!J26"")"),0)</f>
        <v>0</v>
      </c>
      <c r="AG65" s="81">
        <f ca="1">IFERROR(__xludf.DUMMYFUNCTION("IMPORTRANGE(""https://docs.google.com/spreadsheets/d/1SX6NBoVAgQJ6U1MVXOaj8PK2l7WJ3RER9xtqwdhxkhw/edit?usp=sharing"",""ปราจีนบุรี!J27"")"),0)</f>
        <v>0</v>
      </c>
      <c r="AH65" s="77">
        <f ca="1">IFERROR(__xludf.DUMMYFUNCTION("IMPORTRANGE(""https://docs.google.com/spreadsheets/d/1C3CXT74ZlgGe6_JY_1olB1XN4rF0dxEuIIF-xsYjHgg/edit?usp=sharing"",""พรบ!N69"")"),0)</f>
        <v>0</v>
      </c>
      <c r="AI65" s="81">
        <f ca="1">IFERROR(__xludf.DUMMYFUNCTION("IMPORTRANGE(""https://docs.google.com/spreadsheets/d/1SX6NBoVAgQJ6U1MVXOaj8PK2l7WJ3RER9xtqwdhxkhw/edit?usp=sharing"",""ปราจีนบุรี!J28"")"),0)</f>
        <v>0</v>
      </c>
      <c r="AJ65" s="79">
        <f t="shared" ca="1" si="17"/>
        <v>0</v>
      </c>
    </row>
    <row r="66" spans="1:36" ht="21" customHeight="1">
      <c r="A66" s="73">
        <v>12</v>
      </c>
      <c r="B66" s="74" t="s">
        <v>90</v>
      </c>
      <c r="C66" s="75">
        <f t="shared" ca="1" si="0"/>
        <v>557200</v>
      </c>
      <c r="D66" s="76">
        <f t="shared" ca="1" si="45"/>
        <v>557200</v>
      </c>
      <c r="E66" s="77">
        <f ca="1">IFERROR(__xludf.DUMMYFUNCTION("IMPORTRANGE(""https://docs.google.com/spreadsheets/d/1C3CXT74ZlgGe6_JY_1olB1XN4rF0dxEuIIF-xsYjHgg/edit?usp=sharing"",""พรบ!D70"")"),185200)</f>
        <v>185200</v>
      </c>
      <c r="F66" s="77">
        <f ca="1">IFERROR(__xludf.DUMMYFUNCTION("IMPORTRANGE(""https://docs.google.com/spreadsheets/d/1C3CXT74ZlgGe6_JY_1olB1XN4rF0dxEuIIF-xsYjHgg/edit?usp=sharing"",""พรบ!E70"")"),372000)</f>
        <v>372000</v>
      </c>
      <c r="G66" s="77">
        <f ca="1">IFERROR(__xludf.DUMMYFUNCTION("IMPORTRANGE(""https://docs.google.com/spreadsheets/d/1Yj_ptqi66GCucihVvJfMjLAmec39IyEx_6qawtMGysU/edit?usp=sharing"",""สบก!AG70"")"),0)</f>
        <v>0</v>
      </c>
      <c r="H66" s="77">
        <f ca="1">IFERROR(__xludf.DUMMYFUNCTION("IMPORTRANGE(""https://docs.google.com/spreadsheets/d/1Yj_ptqi66GCucihVvJfMjLAmec39IyEx_6qawtMGysU/edit?usp=sharing"",""สบก!AI70"")"),448520)</f>
        <v>448520</v>
      </c>
      <c r="I66" s="77">
        <f t="shared" ca="1" si="3"/>
        <v>302595.3</v>
      </c>
      <c r="J66" s="78">
        <f t="shared" ca="1" si="4"/>
        <v>54.30640703517588</v>
      </c>
      <c r="K66" s="77">
        <f ca="1">IFERROR(__xludf.DUMMYFUNCTION("IMPORTRANGE(""https://docs.google.com/spreadsheets/d/1Yj_ptqi66GCucihVvJfMjLAmec39IyEx_6qawtMGysU/edit?usp=sharing"",""สบก!AJ70"")"),302595.3)</f>
        <v>302595.3</v>
      </c>
      <c r="L66" s="79">
        <f t="shared" ca="1" si="5"/>
        <v>54.30640703517588</v>
      </c>
      <c r="M66" s="79">
        <f t="shared" ca="1" si="6"/>
        <v>67.465285828948538</v>
      </c>
      <c r="N66" s="80">
        <f ca="1">IFERROR(__xludf.DUMMYFUNCTION("IMPORTRANGE(""https://docs.google.com/spreadsheets/d/1Yj_ptqi66GCucihVvJfMjLAmec39IyEx_6qawtMGysU/edit?usp=sharing"",""สบก!AK70"")"),0)</f>
        <v>0</v>
      </c>
      <c r="O66" s="79">
        <f t="shared" ca="1" si="7"/>
        <v>0</v>
      </c>
      <c r="P66" s="81">
        <f t="shared" ca="1" si="33"/>
        <v>1</v>
      </c>
      <c r="Q66" s="81">
        <f t="shared" ca="1" si="8"/>
        <v>30</v>
      </c>
      <c r="R66" s="81">
        <f t="shared" ca="1" si="46"/>
        <v>1</v>
      </c>
      <c r="S66" s="82">
        <f t="shared" ca="1" si="9"/>
        <v>100</v>
      </c>
      <c r="T66" s="81">
        <f t="shared" ca="1" si="47"/>
        <v>30</v>
      </c>
      <c r="U66" s="82">
        <f t="shared" ca="1" si="10"/>
        <v>100</v>
      </c>
      <c r="V66" s="77">
        <f ca="1">IFERROR(__xludf.DUMMYFUNCTION("IMPORTRANGE(""https://docs.google.com/spreadsheets/d/1C3CXT74ZlgGe6_JY_1olB1XN4rF0dxEuIIF-xsYjHgg/edit?usp=sharing"",""พรบ!H70"")"),0)</f>
        <v>0</v>
      </c>
      <c r="W66" s="77">
        <f ca="1">IFERROR(__xludf.DUMMYFUNCTION("IMPORTRANGE(""https://docs.google.com/spreadsheets/d/1C3CXT74ZlgGe6_JY_1olB1XN4rF0dxEuIIF-xsYjHgg/edit?usp=sharing"",""พรบ!I70"")"),0)</f>
        <v>0</v>
      </c>
      <c r="X66" s="81">
        <f ca="1">IFERROR(__xludf.DUMMYFUNCTION("IMPORTRANGE(""https://docs.google.com/spreadsheets/d/1SX6NBoVAgQJ6U1MVXOaj8PK2l7WJ3RER9xtqwdhxkhw/edit?usp=sharing"",""พระนครศรีอยุธยา!J22"")"),0)</f>
        <v>0</v>
      </c>
      <c r="Y66" s="81">
        <f ca="1">IFERROR(__xludf.DUMMYFUNCTION("IMPORTRANGE(""https://docs.google.com/spreadsheets/d/1SX6NBoVAgQJ6U1MVXOaj8PK2l7WJ3RER9xtqwdhxkhw/edit?usp=sharing"",""พระนครศรีอยุธยา!J23"")"),0)</f>
        <v>0</v>
      </c>
      <c r="Z66" s="77">
        <f ca="1">IFERROR(__xludf.DUMMYFUNCTION("IMPORTRANGE(""https://docs.google.com/spreadsheets/d/1C3CXT74ZlgGe6_JY_1olB1XN4rF0dxEuIIF-xsYjHgg/edit?usp=sharing"",""พรบ!J70"")"),0)</f>
        <v>0</v>
      </c>
      <c r="AA66" s="77">
        <f ca="1">IFERROR(__xludf.DUMMYFUNCTION("IMPORTRANGE(""https://docs.google.com/spreadsheets/d/1C3CXT74ZlgGe6_JY_1olB1XN4rF0dxEuIIF-xsYjHgg/edit?usp=sharing"",""พรบ!K70"")"),0)</f>
        <v>0</v>
      </c>
      <c r="AB66" s="81">
        <f ca="1">IFERROR(__xludf.DUMMYFUNCTION("IMPORTRANGE(""https://docs.google.com/spreadsheets/d/1SX6NBoVAgQJ6U1MVXOaj8PK2l7WJ3RER9xtqwdhxkhw/edit?usp=sharing"",""พระนครศรีอยุธยา!J24"")"),0)</f>
        <v>0</v>
      </c>
      <c r="AC66" s="81">
        <f ca="1">IFERROR(__xludf.DUMMYFUNCTION("IMPORTRANGE(""https://docs.google.com/spreadsheets/d/1SX6NBoVAgQJ6U1MVXOaj8PK2l7WJ3RER9xtqwdhxkhw/edit?usp=sharing"",""พระนครศรีอยุธยา!J25"")"),0)</f>
        <v>0</v>
      </c>
      <c r="AD66" s="77">
        <f ca="1">IFERROR(__xludf.DUMMYFUNCTION("IMPORTRANGE(""https://docs.google.com/spreadsheets/d/1C3CXT74ZlgGe6_JY_1olB1XN4rF0dxEuIIF-xsYjHgg/edit?usp=sharing"",""พรบ!L70"")"),1)</f>
        <v>1</v>
      </c>
      <c r="AE66" s="77">
        <f ca="1">IFERROR(__xludf.DUMMYFUNCTION("IMPORTRANGE(""https://docs.google.com/spreadsheets/d/1C3CXT74ZlgGe6_JY_1olB1XN4rF0dxEuIIF-xsYjHgg/edit?usp=sharing"",""พรบ!M70"")"),30)</f>
        <v>30</v>
      </c>
      <c r="AF66" s="81">
        <f ca="1">IFERROR(__xludf.DUMMYFUNCTION("IMPORTRANGE(""https://docs.google.com/spreadsheets/d/1SX6NBoVAgQJ6U1MVXOaj8PK2l7WJ3RER9xtqwdhxkhw/edit?usp=sharing"",""พระนครศรีอยุธยา!J26"")"),1)</f>
        <v>1</v>
      </c>
      <c r="AG66" s="81">
        <f ca="1">IFERROR(__xludf.DUMMYFUNCTION("IMPORTRANGE(""https://docs.google.com/spreadsheets/d/1SX6NBoVAgQJ6U1MVXOaj8PK2l7WJ3RER9xtqwdhxkhw/edit?usp=sharing"",""พระนครศรีอยุธยา!J27"")"),30)</f>
        <v>30</v>
      </c>
      <c r="AH66" s="77">
        <f ca="1">IFERROR(__xludf.DUMMYFUNCTION("IMPORTRANGE(""https://docs.google.com/spreadsheets/d/1C3CXT74ZlgGe6_JY_1olB1XN4rF0dxEuIIF-xsYjHgg/edit?usp=sharing"",""พรบ!N70"")"),0)</f>
        <v>0</v>
      </c>
      <c r="AI66" s="81">
        <f ca="1">IFERROR(__xludf.DUMMYFUNCTION("IMPORTRANGE(""https://docs.google.com/spreadsheets/d/1SX6NBoVAgQJ6U1MVXOaj8PK2l7WJ3RER9xtqwdhxkhw/edit?usp=sharing"",""พระนครศรีอยุธยา!J28"")"),0)</f>
        <v>0</v>
      </c>
      <c r="AJ66" s="79">
        <f t="shared" ca="1" si="17"/>
        <v>0</v>
      </c>
    </row>
    <row r="67" spans="1:36" ht="21" customHeight="1">
      <c r="A67" s="73">
        <v>13</v>
      </c>
      <c r="B67" s="74" t="s">
        <v>91</v>
      </c>
      <c r="C67" s="75">
        <f t="shared" ca="1" si="0"/>
        <v>0</v>
      </c>
      <c r="D67" s="76">
        <f t="shared" ca="1" si="45"/>
        <v>0</v>
      </c>
      <c r="E67" s="77">
        <f ca="1">IFERROR(__xludf.DUMMYFUNCTION("IMPORTRANGE(""https://docs.google.com/spreadsheets/d/1C3CXT74ZlgGe6_JY_1olB1XN4rF0dxEuIIF-xsYjHgg/edit?usp=sharing"",""พรบ!D71"")"),0)</f>
        <v>0</v>
      </c>
      <c r="F67" s="77">
        <f ca="1">IFERROR(__xludf.DUMMYFUNCTION("IMPORTRANGE(""https://docs.google.com/spreadsheets/d/1C3CXT74ZlgGe6_JY_1olB1XN4rF0dxEuIIF-xsYjHgg/edit?usp=sharing"",""พรบ!E71"")"),0)</f>
        <v>0</v>
      </c>
      <c r="G67" s="77">
        <f ca="1">IFERROR(__xludf.DUMMYFUNCTION("IMPORTRANGE(""https://docs.google.com/spreadsheets/d/1Yj_ptqi66GCucihVvJfMjLAmec39IyEx_6qawtMGysU/edit?usp=sharing"",""สบก!AG71"")"),0)</f>
        <v>0</v>
      </c>
      <c r="H67" s="77">
        <f ca="1">IFERROR(__xludf.DUMMYFUNCTION("IMPORTRANGE(""https://docs.google.com/spreadsheets/d/1Yj_ptqi66GCucihVvJfMjLAmec39IyEx_6qawtMGysU/edit?usp=sharing"",""สบก!AI71"")"),0)</f>
        <v>0</v>
      </c>
      <c r="I67" s="77">
        <f t="shared" ca="1" si="3"/>
        <v>0</v>
      </c>
      <c r="J67" s="78">
        <f t="shared" ca="1" si="4"/>
        <v>0</v>
      </c>
      <c r="K67" s="77">
        <f ca="1">IFERROR(__xludf.DUMMYFUNCTION("IMPORTRANGE(""https://docs.google.com/spreadsheets/d/1Yj_ptqi66GCucihVvJfMjLAmec39IyEx_6qawtMGysU/edit?usp=sharing"",""สบก!AJ71"")"),0)</f>
        <v>0</v>
      </c>
      <c r="L67" s="79">
        <f t="shared" ca="1" si="5"/>
        <v>0</v>
      </c>
      <c r="M67" s="79">
        <f t="shared" ca="1" si="6"/>
        <v>0</v>
      </c>
      <c r="N67" s="80">
        <f ca="1">IFERROR(__xludf.DUMMYFUNCTION("IMPORTRANGE(""https://docs.google.com/spreadsheets/d/1Yj_ptqi66GCucihVvJfMjLAmec39IyEx_6qawtMGysU/edit?usp=sharing"",""สบก!AK71"")"),0)</f>
        <v>0</v>
      </c>
      <c r="O67" s="79">
        <f t="shared" ca="1" si="7"/>
        <v>0</v>
      </c>
      <c r="P67" s="81">
        <f t="shared" ca="1" si="33"/>
        <v>0</v>
      </c>
      <c r="Q67" s="81">
        <f t="shared" ca="1" si="8"/>
        <v>0</v>
      </c>
      <c r="R67" s="81">
        <f t="shared" ca="1" si="46"/>
        <v>0</v>
      </c>
      <c r="S67" s="82">
        <f t="shared" ca="1" si="9"/>
        <v>0</v>
      </c>
      <c r="T67" s="81">
        <f t="shared" ca="1" si="47"/>
        <v>0</v>
      </c>
      <c r="U67" s="82">
        <f t="shared" ca="1" si="10"/>
        <v>0</v>
      </c>
      <c r="V67" s="77">
        <f ca="1">IFERROR(__xludf.DUMMYFUNCTION("IMPORTRANGE(""https://docs.google.com/spreadsheets/d/1C3CXT74ZlgGe6_JY_1olB1XN4rF0dxEuIIF-xsYjHgg/edit?usp=sharing"",""พรบ!H71"")"),0)</f>
        <v>0</v>
      </c>
      <c r="W67" s="77">
        <f ca="1">IFERROR(__xludf.DUMMYFUNCTION("IMPORTRANGE(""https://docs.google.com/spreadsheets/d/1C3CXT74ZlgGe6_JY_1olB1XN4rF0dxEuIIF-xsYjHgg/edit?usp=sharing"",""พรบ!I71"")"),0)</f>
        <v>0</v>
      </c>
      <c r="X67" s="81">
        <f ca="1">IFERROR(__xludf.DUMMYFUNCTION("IMPORTRANGE(""https://docs.google.com/spreadsheets/d/1SX6NBoVAgQJ6U1MVXOaj8PK2l7WJ3RER9xtqwdhxkhw/edit?usp=sharing"",""เพชรบุรี!J22"")"),0)</f>
        <v>0</v>
      </c>
      <c r="Y67" s="81">
        <f ca="1">IFERROR(__xludf.DUMMYFUNCTION("IMPORTRANGE(""https://docs.google.com/spreadsheets/d/1SX6NBoVAgQJ6U1MVXOaj8PK2l7WJ3RER9xtqwdhxkhw/edit?usp=sharing"",""เพชรบุรี!J23"")"),0)</f>
        <v>0</v>
      </c>
      <c r="Z67" s="77">
        <f ca="1">IFERROR(__xludf.DUMMYFUNCTION("IMPORTRANGE(""https://docs.google.com/spreadsheets/d/1C3CXT74ZlgGe6_JY_1olB1XN4rF0dxEuIIF-xsYjHgg/edit?usp=sharing"",""พรบ!J71"")"),0)</f>
        <v>0</v>
      </c>
      <c r="AA67" s="77">
        <f ca="1">IFERROR(__xludf.DUMMYFUNCTION("IMPORTRANGE(""https://docs.google.com/spreadsheets/d/1C3CXT74ZlgGe6_JY_1olB1XN4rF0dxEuIIF-xsYjHgg/edit?usp=sharing"",""พรบ!K71"")"),0)</f>
        <v>0</v>
      </c>
      <c r="AB67" s="81">
        <f ca="1">IFERROR(__xludf.DUMMYFUNCTION("IMPORTRANGE(""https://docs.google.com/spreadsheets/d/1SX6NBoVAgQJ6U1MVXOaj8PK2l7WJ3RER9xtqwdhxkhw/edit?usp=sharing"",""เพชรบุรี!J24"")"),0)</f>
        <v>0</v>
      </c>
      <c r="AC67" s="81">
        <f ca="1">IFERROR(__xludf.DUMMYFUNCTION("IMPORTRANGE(""https://docs.google.com/spreadsheets/d/1SX6NBoVAgQJ6U1MVXOaj8PK2l7WJ3RER9xtqwdhxkhw/edit?usp=sharing"",""เพชรบุรี!J25"")"),0)</f>
        <v>0</v>
      </c>
      <c r="AD67" s="77">
        <f ca="1">IFERROR(__xludf.DUMMYFUNCTION("IMPORTRANGE(""https://docs.google.com/spreadsheets/d/1C3CXT74ZlgGe6_JY_1olB1XN4rF0dxEuIIF-xsYjHgg/edit?usp=sharing"",""พรบ!L71"")"),0)</f>
        <v>0</v>
      </c>
      <c r="AE67" s="77">
        <f ca="1">IFERROR(__xludf.DUMMYFUNCTION("IMPORTRANGE(""https://docs.google.com/spreadsheets/d/1C3CXT74ZlgGe6_JY_1olB1XN4rF0dxEuIIF-xsYjHgg/edit?usp=sharing"",""พรบ!M71"")"),0)</f>
        <v>0</v>
      </c>
      <c r="AF67" s="81">
        <f ca="1">IFERROR(__xludf.DUMMYFUNCTION("IMPORTRANGE(""https://docs.google.com/spreadsheets/d/1SX6NBoVAgQJ6U1MVXOaj8PK2l7WJ3RER9xtqwdhxkhw/edit?usp=sharing"",""เพชรบุรี!J26"")"),0)</f>
        <v>0</v>
      </c>
      <c r="AG67" s="81">
        <f ca="1">IFERROR(__xludf.DUMMYFUNCTION("IMPORTRANGE(""https://docs.google.com/spreadsheets/d/1SX6NBoVAgQJ6U1MVXOaj8PK2l7WJ3RER9xtqwdhxkhw/edit?usp=sharing"",""เพชรบุรี!J27"")"),0)</f>
        <v>0</v>
      </c>
      <c r="AH67" s="77">
        <f ca="1">IFERROR(__xludf.DUMMYFUNCTION("IMPORTRANGE(""https://docs.google.com/spreadsheets/d/1C3CXT74ZlgGe6_JY_1olB1XN4rF0dxEuIIF-xsYjHgg/edit?usp=sharing"",""พรบ!N71"")"),0)</f>
        <v>0</v>
      </c>
      <c r="AI67" s="81">
        <f ca="1">IFERROR(__xludf.DUMMYFUNCTION("IMPORTRANGE(""https://docs.google.com/spreadsheets/d/1SX6NBoVAgQJ6U1MVXOaj8PK2l7WJ3RER9xtqwdhxkhw/edit?usp=sharing"",""เพชรบุรี!J28"")"),0)</f>
        <v>0</v>
      </c>
      <c r="AJ67" s="79">
        <f t="shared" ca="1" si="17"/>
        <v>0</v>
      </c>
    </row>
    <row r="68" spans="1:36" ht="21" customHeight="1">
      <c r="A68" s="73">
        <v>14</v>
      </c>
      <c r="B68" s="74" t="s">
        <v>92</v>
      </c>
      <c r="C68" s="75">
        <f t="shared" ca="1" si="0"/>
        <v>0</v>
      </c>
      <c r="D68" s="76">
        <f t="shared" ca="1" si="45"/>
        <v>0</v>
      </c>
      <c r="E68" s="77">
        <f ca="1">IFERROR(__xludf.DUMMYFUNCTION("IMPORTRANGE(""https://docs.google.com/spreadsheets/d/1C3CXT74ZlgGe6_JY_1olB1XN4rF0dxEuIIF-xsYjHgg/edit?usp=sharing"",""พรบ!D72"")"),0)</f>
        <v>0</v>
      </c>
      <c r="F68" s="77">
        <f ca="1">IFERROR(__xludf.DUMMYFUNCTION("IMPORTRANGE(""https://docs.google.com/spreadsheets/d/1C3CXT74ZlgGe6_JY_1olB1XN4rF0dxEuIIF-xsYjHgg/edit?usp=sharing"",""พรบ!E72"")"),0)</f>
        <v>0</v>
      </c>
      <c r="G68" s="77">
        <f ca="1">IFERROR(__xludf.DUMMYFUNCTION("IMPORTRANGE(""https://docs.google.com/spreadsheets/d/1Yj_ptqi66GCucihVvJfMjLAmec39IyEx_6qawtMGysU/edit?usp=sharing"",""สบก!AG72"")"),0)</f>
        <v>0</v>
      </c>
      <c r="H68" s="77">
        <f ca="1">IFERROR(__xludf.DUMMYFUNCTION("IMPORTRANGE(""https://docs.google.com/spreadsheets/d/1Yj_ptqi66GCucihVvJfMjLAmec39IyEx_6qawtMGysU/edit?usp=sharing"",""สบก!AI72"")"),0)</f>
        <v>0</v>
      </c>
      <c r="I68" s="77">
        <f t="shared" ca="1" si="3"/>
        <v>0</v>
      </c>
      <c r="J68" s="78">
        <f t="shared" ca="1" si="4"/>
        <v>0</v>
      </c>
      <c r="K68" s="77">
        <f ca="1">IFERROR(__xludf.DUMMYFUNCTION("IMPORTRANGE(""https://docs.google.com/spreadsheets/d/1Yj_ptqi66GCucihVvJfMjLAmec39IyEx_6qawtMGysU/edit?usp=sharing"",""สบก!AJ72"")"),0)</f>
        <v>0</v>
      </c>
      <c r="L68" s="79">
        <f t="shared" ca="1" si="5"/>
        <v>0</v>
      </c>
      <c r="M68" s="79">
        <f t="shared" ca="1" si="6"/>
        <v>0</v>
      </c>
      <c r="N68" s="80">
        <f ca="1">IFERROR(__xludf.DUMMYFUNCTION("IMPORTRANGE(""https://docs.google.com/spreadsheets/d/1Yj_ptqi66GCucihVvJfMjLAmec39IyEx_6qawtMGysU/edit?usp=sharing"",""สบก!AK72"")"),0)</f>
        <v>0</v>
      </c>
      <c r="O68" s="79">
        <f t="shared" ca="1" si="7"/>
        <v>0</v>
      </c>
      <c r="P68" s="81">
        <f t="shared" ca="1" si="33"/>
        <v>0</v>
      </c>
      <c r="Q68" s="81">
        <f t="shared" ca="1" si="8"/>
        <v>0</v>
      </c>
      <c r="R68" s="81">
        <f t="shared" ca="1" si="46"/>
        <v>0</v>
      </c>
      <c r="S68" s="82">
        <f t="shared" ca="1" si="9"/>
        <v>0</v>
      </c>
      <c r="T68" s="81">
        <f t="shared" ca="1" si="47"/>
        <v>0</v>
      </c>
      <c r="U68" s="82">
        <f t="shared" ca="1" si="10"/>
        <v>0</v>
      </c>
      <c r="V68" s="77">
        <f ca="1">IFERROR(__xludf.DUMMYFUNCTION("IMPORTRANGE(""https://docs.google.com/spreadsheets/d/1C3CXT74ZlgGe6_JY_1olB1XN4rF0dxEuIIF-xsYjHgg/edit?usp=sharing"",""พรบ!H72"")"),0)</f>
        <v>0</v>
      </c>
      <c r="W68" s="77">
        <f ca="1">IFERROR(__xludf.DUMMYFUNCTION("IMPORTRANGE(""https://docs.google.com/spreadsheets/d/1C3CXT74ZlgGe6_JY_1olB1XN4rF0dxEuIIF-xsYjHgg/edit?usp=sharing"",""พรบ!I72"")"),0)</f>
        <v>0</v>
      </c>
      <c r="X68" s="81">
        <f ca="1">IFERROR(__xludf.DUMMYFUNCTION("IMPORTRANGE(""https://docs.google.com/spreadsheets/d/1SX6NBoVAgQJ6U1MVXOaj8PK2l7WJ3RER9xtqwdhxkhw/edit?usp=sharing"",""ระยอง!J22"")"),0)</f>
        <v>0</v>
      </c>
      <c r="Y68" s="81">
        <f ca="1">IFERROR(__xludf.DUMMYFUNCTION("IMPORTRANGE(""https://docs.google.com/spreadsheets/d/1SX6NBoVAgQJ6U1MVXOaj8PK2l7WJ3RER9xtqwdhxkhw/edit?usp=sharing"",""ระยอง!J23"")"),0)</f>
        <v>0</v>
      </c>
      <c r="Z68" s="77">
        <f ca="1">IFERROR(__xludf.DUMMYFUNCTION("IMPORTRANGE(""https://docs.google.com/spreadsheets/d/1C3CXT74ZlgGe6_JY_1olB1XN4rF0dxEuIIF-xsYjHgg/edit?usp=sharing"",""พรบ!J72"")"),0)</f>
        <v>0</v>
      </c>
      <c r="AA68" s="77">
        <f ca="1">IFERROR(__xludf.DUMMYFUNCTION("IMPORTRANGE(""https://docs.google.com/spreadsheets/d/1C3CXT74ZlgGe6_JY_1olB1XN4rF0dxEuIIF-xsYjHgg/edit?usp=sharing"",""พรบ!K72"")"),0)</f>
        <v>0</v>
      </c>
      <c r="AB68" s="81">
        <f ca="1">IFERROR(__xludf.DUMMYFUNCTION("IMPORTRANGE(""https://docs.google.com/spreadsheets/d/1SX6NBoVAgQJ6U1MVXOaj8PK2l7WJ3RER9xtqwdhxkhw/edit?usp=sharing"",""ระยอง!J24"")"),0)</f>
        <v>0</v>
      </c>
      <c r="AC68" s="81">
        <f ca="1">IFERROR(__xludf.DUMMYFUNCTION("IMPORTRANGE(""https://docs.google.com/spreadsheets/d/1SX6NBoVAgQJ6U1MVXOaj8PK2l7WJ3RER9xtqwdhxkhw/edit?usp=sharing"",""ระยอง!J25"")"),0)</f>
        <v>0</v>
      </c>
      <c r="AD68" s="77">
        <f ca="1">IFERROR(__xludf.DUMMYFUNCTION("IMPORTRANGE(""https://docs.google.com/spreadsheets/d/1C3CXT74ZlgGe6_JY_1olB1XN4rF0dxEuIIF-xsYjHgg/edit?usp=sharing"",""พรบ!L72"")"),0)</f>
        <v>0</v>
      </c>
      <c r="AE68" s="77">
        <f ca="1">IFERROR(__xludf.DUMMYFUNCTION("IMPORTRANGE(""https://docs.google.com/spreadsheets/d/1C3CXT74ZlgGe6_JY_1olB1XN4rF0dxEuIIF-xsYjHgg/edit?usp=sharing"",""พรบ!M72"")"),0)</f>
        <v>0</v>
      </c>
      <c r="AF68" s="81">
        <f ca="1">IFERROR(__xludf.DUMMYFUNCTION("IMPORTRANGE(""https://docs.google.com/spreadsheets/d/1SX6NBoVAgQJ6U1MVXOaj8PK2l7WJ3RER9xtqwdhxkhw/edit?usp=sharing"",""ระยอง!J26"")"),0)</f>
        <v>0</v>
      </c>
      <c r="AG68" s="81">
        <f ca="1">IFERROR(__xludf.DUMMYFUNCTION("IMPORTRANGE(""https://docs.google.com/spreadsheets/d/1SX6NBoVAgQJ6U1MVXOaj8PK2l7WJ3RER9xtqwdhxkhw/edit?usp=sharing"",""ระยอง!J27"")"),0)</f>
        <v>0</v>
      </c>
      <c r="AH68" s="77">
        <f ca="1">IFERROR(__xludf.DUMMYFUNCTION("IMPORTRANGE(""https://docs.google.com/spreadsheets/d/1C3CXT74ZlgGe6_JY_1olB1XN4rF0dxEuIIF-xsYjHgg/edit?usp=sharing"",""พรบ!N72"")"),0)</f>
        <v>0</v>
      </c>
      <c r="AI68" s="81">
        <f ca="1">IFERROR(__xludf.DUMMYFUNCTION("IMPORTRANGE(""https://docs.google.com/spreadsheets/d/1SX6NBoVAgQJ6U1MVXOaj8PK2l7WJ3RER9xtqwdhxkhw/edit?usp=sharing"",""ระยอง!J28"")"),0)</f>
        <v>0</v>
      </c>
      <c r="AJ68" s="79">
        <f t="shared" ca="1" si="17"/>
        <v>0</v>
      </c>
    </row>
    <row r="69" spans="1:36" ht="21" customHeight="1">
      <c r="A69" s="73">
        <v>15</v>
      </c>
      <c r="B69" s="74" t="s">
        <v>93</v>
      </c>
      <c r="C69" s="75">
        <f t="shared" ca="1" si="0"/>
        <v>0</v>
      </c>
      <c r="D69" s="76">
        <f t="shared" ca="1" si="45"/>
        <v>0</v>
      </c>
      <c r="E69" s="77">
        <f ca="1">IFERROR(__xludf.DUMMYFUNCTION("IMPORTRANGE(""https://docs.google.com/spreadsheets/d/1C3CXT74ZlgGe6_JY_1olB1XN4rF0dxEuIIF-xsYjHgg/edit?usp=sharing"",""พรบ!D73"")"),0)</f>
        <v>0</v>
      </c>
      <c r="F69" s="77">
        <f ca="1">IFERROR(__xludf.DUMMYFUNCTION("IMPORTRANGE(""https://docs.google.com/spreadsheets/d/1C3CXT74ZlgGe6_JY_1olB1XN4rF0dxEuIIF-xsYjHgg/edit?usp=sharing"",""พรบ!E73"")"),0)</f>
        <v>0</v>
      </c>
      <c r="G69" s="77">
        <f ca="1">IFERROR(__xludf.DUMMYFUNCTION("IMPORTRANGE(""https://docs.google.com/spreadsheets/d/1Yj_ptqi66GCucihVvJfMjLAmec39IyEx_6qawtMGysU/edit?usp=sharing"",""สบก!AG73"")"),0)</f>
        <v>0</v>
      </c>
      <c r="H69" s="77">
        <f ca="1">IFERROR(__xludf.DUMMYFUNCTION("IMPORTRANGE(""https://docs.google.com/spreadsheets/d/1Yj_ptqi66GCucihVvJfMjLAmec39IyEx_6qawtMGysU/edit?usp=sharing"",""สบก!AI73"")"),0)</f>
        <v>0</v>
      </c>
      <c r="I69" s="77">
        <f t="shared" ca="1" si="3"/>
        <v>0</v>
      </c>
      <c r="J69" s="78">
        <f t="shared" ca="1" si="4"/>
        <v>0</v>
      </c>
      <c r="K69" s="77">
        <f ca="1">IFERROR(__xludf.DUMMYFUNCTION("IMPORTRANGE(""https://docs.google.com/spreadsheets/d/1Yj_ptqi66GCucihVvJfMjLAmec39IyEx_6qawtMGysU/edit?usp=sharing"",""สบก!AJ73"")"),0)</f>
        <v>0</v>
      </c>
      <c r="L69" s="79">
        <f t="shared" ca="1" si="5"/>
        <v>0</v>
      </c>
      <c r="M69" s="79">
        <f t="shared" ca="1" si="6"/>
        <v>0</v>
      </c>
      <c r="N69" s="80">
        <f ca="1">IFERROR(__xludf.DUMMYFUNCTION("IMPORTRANGE(""https://docs.google.com/spreadsheets/d/1Yj_ptqi66GCucihVvJfMjLAmec39IyEx_6qawtMGysU/edit?usp=sharing"",""สบก!AK73"")"),0)</f>
        <v>0</v>
      </c>
      <c r="O69" s="79">
        <f t="shared" ca="1" si="7"/>
        <v>0</v>
      </c>
      <c r="P69" s="81">
        <f t="shared" ca="1" si="33"/>
        <v>0</v>
      </c>
      <c r="Q69" s="81">
        <f t="shared" ca="1" si="8"/>
        <v>0</v>
      </c>
      <c r="R69" s="81">
        <f t="shared" ca="1" si="46"/>
        <v>0</v>
      </c>
      <c r="S69" s="82">
        <f t="shared" ca="1" si="9"/>
        <v>0</v>
      </c>
      <c r="T69" s="81">
        <f t="shared" ca="1" si="47"/>
        <v>0</v>
      </c>
      <c r="U69" s="82">
        <f t="shared" ca="1" si="10"/>
        <v>0</v>
      </c>
      <c r="V69" s="77">
        <f ca="1">IFERROR(__xludf.DUMMYFUNCTION("IMPORTRANGE(""https://docs.google.com/spreadsheets/d/1C3CXT74ZlgGe6_JY_1olB1XN4rF0dxEuIIF-xsYjHgg/edit?usp=sharing"",""พรบ!H73"")"),0)</f>
        <v>0</v>
      </c>
      <c r="W69" s="77">
        <f ca="1">IFERROR(__xludf.DUMMYFUNCTION("IMPORTRANGE(""https://docs.google.com/spreadsheets/d/1C3CXT74ZlgGe6_JY_1olB1XN4rF0dxEuIIF-xsYjHgg/edit?usp=sharing"",""พรบ!I73"")"),0)</f>
        <v>0</v>
      </c>
      <c r="X69" s="81">
        <f ca="1">IFERROR(__xludf.DUMMYFUNCTION("IMPORTRANGE(""https://docs.google.com/spreadsheets/d/1SX6NBoVAgQJ6U1MVXOaj8PK2l7WJ3RER9xtqwdhxkhw/edit?usp=sharing"",""ราชบุรี!J22"")"),0)</f>
        <v>0</v>
      </c>
      <c r="Y69" s="81">
        <f ca="1">IFERROR(__xludf.DUMMYFUNCTION("IMPORTRANGE(""https://docs.google.com/spreadsheets/d/1SX6NBoVAgQJ6U1MVXOaj8PK2l7WJ3RER9xtqwdhxkhw/edit?usp=sharing"",""ราชบุรี!J23"")"),0)</f>
        <v>0</v>
      </c>
      <c r="Z69" s="77">
        <f ca="1">IFERROR(__xludf.DUMMYFUNCTION("IMPORTRANGE(""https://docs.google.com/spreadsheets/d/1C3CXT74ZlgGe6_JY_1olB1XN4rF0dxEuIIF-xsYjHgg/edit?usp=sharing"",""พรบ!J73"")"),0)</f>
        <v>0</v>
      </c>
      <c r="AA69" s="77">
        <f ca="1">IFERROR(__xludf.DUMMYFUNCTION("IMPORTRANGE(""https://docs.google.com/spreadsheets/d/1C3CXT74ZlgGe6_JY_1olB1XN4rF0dxEuIIF-xsYjHgg/edit?usp=sharing"",""พรบ!K73"")"),0)</f>
        <v>0</v>
      </c>
      <c r="AB69" s="81">
        <f ca="1">IFERROR(__xludf.DUMMYFUNCTION("IMPORTRANGE(""https://docs.google.com/spreadsheets/d/1SX6NBoVAgQJ6U1MVXOaj8PK2l7WJ3RER9xtqwdhxkhw/edit?usp=sharing"",""ราชบุรี!J24"")"),0)</f>
        <v>0</v>
      </c>
      <c r="AC69" s="81">
        <f ca="1">IFERROR(__xludf.DUMMYFUNCTION("IMPORTRANGE(""https://docs.google.com/spreadsheets/d/1SX6NBoVAgQJ6U1MVXOaj8PK2l7WJ3RER9xtqwdhxkhw/edit?usp=sharing"",""ราชบุรี!J25"")"),0)</f>
        <v>0</v>
      </c>
      <c r="AD69" s="77">
        <f ca="1">IFERROR(__xludf.DUMMYFUNCTION("IMPORTRANGE(""https://docs.google.com/spreadsheets/d/1C3CXT74ZlgGe6_JY_1olB1XN4rF0dxEuIIF-xsYjHgg/edit?usp=sharing"",""พรบ!L73"")"),0)</f>
        <v>0</v>
      </c>
      <c r="AE69" s="77">
        <f ca="1">IFERROR(__xludf.DUMMYFUNCTION("IMPORTRANGE(""https://docs.google.com/spreadsheets/d/1C3CXT74ZlgGe6_JY_1olB1XN4rF0dxEuIIF-xsYjHgg/edit?usp=sharing"",""พรบ!M73"")"),0)</f>
        <v>0</v>
      </c>
      <c r="AF69" s="81">
        <f ca="1">IFERROR(__xludf.DUMMYFUNCTION("IMPORTRANGE(""https://docs.google.com/spreadsheets/d/1SX6NBoVAgQJ6U1MVXOaj8PK2l7WJ3RER9xtqwdhxkhw/edit?usp=sharing"",""ราชบุรี!J26"")"),0)</f>
        <v>0</v>
      </c>
      <c r="AG69" s="81">
        <f ca="1">IFERROR(__xludf.DUMMYFUNCTION("IMPORTRANGE(""https://docs.google.com/spreadsheets/d/1SX6NBoVAgQJ6U1MVXOaj8PK2l7WJ3RER9xtqwdhxkhw/edit?usp=sharing"",""ราชบุรี!J27"")"),0)</f>
        <v>0</v>
      </c>
      <c r="AH69" s="77">
        <f ca="1">IFERROR(__xludf.DUMMYFUNCTION("IMPORTRANGE(""https://docs.google.com/spreadsheets/d/1C3CXT74ZlgGe6_JY_1olB1XN4rF0dxEuIIF-xsYjHgg/edit?usp=sharing"",""พรบ!N73"")"),0)</f>
        <v>0</v>
      </c>
      <c r="AI69" s="81">
        <f ca="1">IFERROR(__xludf.DUMMYFUNCTION("IMPORTRANGE(""https://docs.google.com/spreadsheets/d/1SX6NBoVAgQJ6U1MVXOaj8PK2l7WJ3RER9xtqwdhxkhw/edit?usp=sharing"",""ราชบุรี!J28"")"),0)</f>
        <v>0</v>
      </c>
      <c r="AJ69" s="79">
        <f t="shared" ca="1" si="17"/>
        <v>0</v>
      </c>
    </row>
    <row r="70" spans="1:36" ht="24" customHeight="1">
      <c r="A70" s="73">
        <v>16</v>
      </c>
      <c r="B70" s="74" t="s">
        <v>94</v>
      </c>
      <c r="C70" s="75">
        <f t="shared" ca="1" si="0"/>
        <v>6817200</v>
      </c>
      <c r="D70" s="76">
        <f t="shared" ca="1" si="45"/>
        <v>1817200</v>
      </c>
      <c r="E70" s="77">
        <f ca="1">IFERROR(__xludf.DUMMYFUNCTION("IMPORTRANGE(""https://docs.google.com/spreadsheets/d/1C3CXT74ZlgGe6_JY_1olB1XN4rF0dxEuIIF-xsYjHgg/edit?usp=sharing"",""พรบ!D74"")"),439200)</f>
        <v>439200</v>
      </c>
      <c r="F70" s="77">
        <f ca="1">IFERROR(__xludf.DUMMYFUNCTION("IMPORTRANGE(""https://docs.google.com/spreadsheets/d/1C3CXT74ZlgGe6_JY_1olB1XN4rF0dxEuIIF-xsYjHgg/edit?usp=sharing"",""พรบ!E74"")"),1378000)</f>
        <v>1378000</v>
      </c>
      <c r="G70" s="77">
        <f ca="1">IFERROR(__xludf.DUMMYFUNCTION("IMPORTRANGE(""https://docs.google.com/spreadsheets/d/1Yj_ptqi66GCucihVvJfMjLAmec39IyEx_6qawtMGysU/edit?usp=sharing"",""สบก!AG74"")"),5000000)</f>
        <v>5000000</v>
      </c>
      <c r="H70" s="77">
        <f ca="1">IFERROR(__xludf.DUMMYFUNCTION("IMPORTRANGE(""https://docs.google.com/spreadsheets/d/1Yj_ptqi66GCucihVvJfMjLAmec39IyEx_6qawtMGysU/edit?usp=sharing"",""สบก!AI74"")"),1591900)</f>
        <v>1591900</v>
      </c>
      <c r="I70" s="77">
        <f t="shared" ca="1" si="3"/>
        <v>5384264</v>
      </c>
      <c r="J70" s="78">
        <f t="shared" ca="1" si="4"/>
        <v>78.980578536642611</v>
      </c>
      <c r="K70" s="77">
        <f ca="1">IFERROR(__xludf.DUMMYFUNCTION("IMPORTRANGE(""https://docs.google.com/spreadsheets/d/1Yj_ptqi66GCucihVvJfMjLAmec39IyEx_6qawtMGysU/edit?usp=sharing"",""สบก!AJ74"")"),1184264)</f>
        <v>1184264</v>
      </c>
      <c r="L70" s="79">
        <f t="shared" ca="1" si="5"/>
        <v>65.169711644287915</v>
      </c>
      <c r="M70" s="79">
        <f t="shared" ca="1" si="6"/>
        <v>74.393115145423707</v>
      </c>
      <c r="N70" s="80">
        <f ca="1">IFERROR(__xludf.DUMMYFUNCTION("IMPORTRANGE(""https://docs.google.com/spreadsheets/d/1Yj_ptqi66GCucihVvJfMjLAmec39IyEx_6qawtMGysU/edit?usp=sharing"",""สบก!AK74"")"),4200000)</f>
        <v>4200000</v>
      </c>
      <c r="O70" s="79">
        <f t="shared" ca="1" si="7"/>
        <v>84</v>
      </c>
      <c r="P70" s="81">
        <f t="shared" ca="1" si="33"/>
        <v>2</v>
      </c>
      <c r="Q70" s="81">
        <f t="shared" ca="1" si="8"/>
        <v>180</v>
      </c>
      <c r="R70" s="81">
        <f t="shared" ca="1" si="46"/>
        <v>2</v>
      </c>
      <c r="S70" s="82">
        <f t="shared" ca="1" si="9"/>
        <v>100</v>
      </c>
      <c r="T70" s="81">
        <f t="shared" ca="1" si="47"/>
        <v>180</v>
      </c>
      <c r="U70" s="82">
        <f t="shared" ca="1" si="10"/>
        <v>100</v>
      </c>
      <c r="V70" s="81">
        <f ca="1">IFERROR(__xludf.DUMMYFUNCTION("IMPORTRANGE(""https://docs.google.com/spreadsheets/d/1C3CXT74ZlgGe6_JY_1olB1XN4rF0dxEuIIF-xsYjHgg/edit?usp=sharing"",""พรบ!H74"")"),1)</f>
        <v>1</v>
      </c>
      <c r="W70" s="81">
        <f ca="1">IFERROR(__xludf.DUMMYFUNCTION("IMPORTRANGE(""https://docs.google.com/spreadsheets/d/1C3CXT74ZlgGe6_JY_1olB1XN4rF0dxEuIIF-xsYjHgg/edit?usp=sharing"",""พรบ!I74"")"),80)</f>
        <v>80</v>
      </c>
      <c r="X70" s="81">
        <f ca="1">IFERROR(__xludf.DUMMYFUNCTION("IMPORTRANGE(""https://docs.google.com/spreadsheets/d/1SX6NBoVAgQJ6U1MVXOaj8PK2l7WJ3RER9xtqwdhxkhw/edit?usp=sharing"",""ลพบุรี!J22"")"),1)</f>
        <v>1</v>
      </c>
      <c r="Y70" s="81">
        <f ca="1">IFERROR(__xludf.DUMMYFUNCTION("IMPORTRANGE(""https://docs.google.com/spreadsheets/d/1SX6NBoVAgQJ6U1MVXOaj8PK2l7WJ3RER9xtqwdhxkhw/edit?usp=sharing"",""ลพบุรี!J23"")"),80)</f>
        <v>80</v>
      </c>
      <c r="Z70" s="81">
        <f ca="1">IFERROR(__xludf.DUMMYFUNCTION("IMPORTRANGE(""https://docs.google.com/spreadsheets/d/1C3CXT74ZlgGe6_JY_1olB1XN4rF0dxEuIIF-xsYjHgg/edit?usp=sharing"",""พรบ!J74"")"),1)</f>
        <v>1</v>
      </c>
      <c r="AA70" s="81">
        <f ca="1">IFERROR(__xludf.DUMMYFUNCTION("IMPORTRANGE(""https://docs.google.com/spreadsheets/d/1C3CXT74ZlgGe6_JY_1olB1XN4rF0dxEuIIF-xsYjHgg/edit?usp=sharing"",""พรบ!K74"")"),100)</f>
        <v>100</v>
      </c>
      <c r="AB70" s="81">
        <f ca="1">IFERROR(__xludf.DUMMYFUNCTION("IMPORTRANGE(""https://docs.google.com/spreadsheets/d/1SX6NBoVAgQJ6U1MVXOaj8PK2l7WJ3RER9xtqwdhxkhw/edit?usp=sharing"",""ลพบุรี!J24"")"),1)</f>
        <v>1</v>
      </c>
      <c r="AC70" s="81">
        <f ca="1">IFERROR(__xludf.DUMMYFUNCTION("IMPORTRANGE(""https://docs.google.com/spreadsheets/d/1SX6NBoVAgQJ6U1MVXOaj8PK2l7WJ3RER9xtqwdhxkhw/edit?usp=sharing"",""ลพบุรี!J25"")"),100)</f>
        <v>100</v>
      </c>
      <c r="AD70" s="77">
        <f ca="1">IFERROR(__xludf.DUMMYFUNCTION("IMPORTRANGE(""https://docs.google.com/spreadsheets/d/1C3CXT74ZlgGe6_JY_1olB1XN4rF0dxEuIIF-xsYjHgg/edit?usp=sharing"",""พรบ!L74"")"),0)</f>
        <v>0</v>
      </c>
      <c r="AE70" s="77">
        <f ca="1">IFERROR(__xludf.DUMMYFUNCTION("IMPORTRANGE(""https://docs.google.com/spreadsheets/d/1C3CXT74ZlgGe6_JY_1olB1XN4rF0dxEuIIF-xsYjHgg/edit?usp=sharing"",""พรบ!M74"")"),0)</f>
        <v>0</v>
      </c>
      <c r="AF70" s="81">
        <f ca="1">IFERROR(__xludf.DUMMYFUNCTION("IMPORTRANGE(""https://docs.google.com/spreadsheets/d/1SX6NBoVAgQJ6U1MVXOaj8PK2l7WJ3RER9xtqwdhxkhw/edit?usp=sharing"",""ลพบุรี!J26"")"),0)</f>
        <v>0</v>
      </c>
      <c r="AG70" s="81">
        <f ca="1">IFERROR(__xludf.DUMMYFUNCTION("IMPORTRANGE(""https://docs.google.com/spreadsheets/d/1SX6NBoVAgQJ6U1MVXOaj8PK2l7WJ3RER9xtqwdhxkhw/edit?usp=sharing"",""ลพบุรี!J27"")"),0)</f>
        <v>0</v>
      </c>
      <c r="AH70" s="81">
        <f ca="1">IFERROR(__xludf.DUMMYFUNCTION("IMPORTRANGE(""https://docs.google.com/spreadsheets/d/1C3CXT74ZlgGe6_JY_1olB1XN4rF0dxEuIIF-xsYjHgg/edit?usp=sharing"",""พรบ!N74"")"),80)</f>
        <v>80</v>
      </c>
      <c r="AI70" s="81">
        <f ca="1">IFERROR(__xludf.DUMMYFUNCTION("IMPORTRANGE(""https://docs.google.com/spreadsheets/d/1SX6NBoVAgQJ6U1MVXOaj8PK2l7WJ3RER9xtqwdhxkhw/edit?usp=sharing"",""ลพบุรี!J28"")"),0)</f>
        <v>0</v>
      </c>
      <c r="AJ70" s="82">
        <f t="shared" ca="1" si="17"/>
        <v>0</v>
      </c>
    </row>
    <row r="71" spans="1:36" ht="21" customHeight="1">
      <c r="A71" s="73">
        <v>17</v>
      </c>
      <c r="B71" s="74" t="s">
        <v>95</v>
      </c>
      <c r="C71" s="75">
        <f t="shared" ca="1" si="0"/>
        <v>827500</v>
      </c>
      <c r="D71" s="76">
        <f t="shared" ca="1" si="45"/>
        <v>779500</v>
      </c>
      <c r="E71" s="77">
        <f ca="1">IFERROR(__xludf.DUMMYFUNCTION("IMPORTRANGE(""https://docs.google.com/spreadsheets/d/1C3CXT74ZlgGe6_JY_1olB1XN4rF0dxEuIIF-xsYjHgg/edit?usp=sharing"",""พรบ!D75"")"),179500)</f>
        <v>179500</v>
      </c>
      <c r="F71" s="77">
        <f ca="1">IFERROR(__xludf.DUMMYFUNCTION("IMPORTRANGE(""https://docs.google.com/spreadsheets/d/1C3CXT74ZlgGe6_JY_1olB1XN4rF0dxEuIIF-xsYjHgg/edit?usp=sharing"",""พรบ!E75"")"),600000)</f>
        <v>600000</v>
      </c>
      <c r="G71" s="77">
        <f ca="1">IFERROR(__xludf.DUMMYFUNCTION("IMPORTRANGE(""https://docs.google.com/spreadsheets/d/1Yj_ptqi66GCucihVvJfMjLAmec39IyEx_6qawtMGysU/edit?usp=sharing"",""สบก!AG75"")"),48000)</f>
        <v>48000</v>
      </c>
      <c r="H71" s="77">
        <f ca="1">IFERROR(__xludf.DUMMYFUNCTION("IMPORTRANGE(""https://docs.google.com/spreadsheets/d/1Yj_ptqi66GCucihVvJfMjLAmec39IyEx_6qawtMGysU/edit?usp=sharing"",""สบก!AI75"")"),662220)</f>
        <v>662220</v>
      </c>
      <c r="I71" s="77">
        <f t="shared" ca="1" si="3"/>
        <v>244045.16</v>
      </c>
      <c r="J71" s="78">
        <f t="shared" ca="1" si="4"/>
        <v>29.491862235649545</v>
      </c>
      <c r="K71" s="77">
        <f ca="1">IFERROR(__xludf.DUMMYFUNCTION("IMPORTRANGE(""https://docs.google.com/spreadsheets/d/1Yj_ptqi66GCucihVvJfMjLAmec39IyEx_6qawtMGysU/edit?usp=sharing"",""สบก!AJ75"")"),196045.16)</f>
        <v>196045.16</v>
      </c>
      <c r="L71" s="79">
        <f t="shared" ca="1" si="5"/>
        <v>25.150116741500963</v>
      </c>
      <c r="M71" s="79">
        <f t="shared" ca="1" si="6"/>
        <v>29.604234242396785</v>
      </c>
      <c r="N71" s="80">
        <f ca="1">IFERROR(__xludf.DUMMYFUNCTION("IMPORTRANGE(""https://docs.google.com/spreadsheets/d/1Yj_ptqi66GCucihVvJfMjLAmec39IyEx_6qawtMGysU/edit?usp=sharing"",""สบก!AK75"")"),48000)</f>
        <v>48000</v>
      </c>
      <c r="O71" s="79">
        <f t="shared" ca="1" si="7"/>
        <v>100</v>
      </c>
      <c r="P71" s="81">
        <f t="shared" ca="1" si="33"/>
        <v>1</v>
      </c>
      <c r="Q71" s="81">
        <f t="shared" ca="1" si="8"/>
        <v>70</v>
      </c>
      <c r="R71" s="81">
        <f t="shared" ca="1" si="46"/>
        <v>1</v>
      </c>
      <c r="S71" s="82">
        <f t="shared" ca="1" si="9"/>
        <v>100</v>
      </c>
      <c r="T71" s="81">
        <f t="shared" ca="1" si="47"/>
        <v>70</v>
      </c>
      <c r="U71" s="82">
        <f t="shared" ca="1" si="10"/>
        <v>100</v>
      </c>
      <c r="V71" s="77">
        <f ca="1">IFERROR(__xludf.DUMMYFUNCTION("IMPORTRANGE(""https://docs.google.com/spreadsheets/d/1C3CXT74ZlgGe6_JY_1olB1XN4rF0dxEuIIF-xsYjHgg/edit?usp=sharing"",""พรบ!H75"")"),1)</f>
        <v>1</v>
      </c>
      <c r="W71" s="77">
        <f ca="1">IFERROR(__xludf.DUMMYFUNCTION("IMPORTRANGE(""https://docs.google.com/spreadsheets/d/1C3CXT74ZlgGe6_JY_1olB1XN4rF0dxEuIIF-xsYjHgg/edit?usp=sharing"",""พรบ!I75"")"),70)</f>
        <v>70</v>
      </c>
      <c r="X71" s="81">
        <f ca="1">IFERROR(__xludf.DUMMYFUNCTION("IMPORTRANGE(""https://docs.google.com/spreadsheets/d/1SX6NBoVAgQJ6U1MVXOaj8PK2l7WJ3RER9xtqwdhxkhw/edit?usp=sharing"",""สระแก้ว!J22"")"),1)</f>
        <v>1</v>
      </c>
      <c r="Y71" s="81">
        <f ca="1">IFERROR(__xludf.DUMMYFUNCTION("IMPORTRANGE(""https://docs.google.com/spreadsheets/d/1SX6NBoVAgQJ6U1MVXOaj8PK2l7WJ3RER9xtqwdhxkhw/edit?usp=sharing"",""สระแก้ว!J23"")"),70)</f>
        <v>70</v>
      </c>
      <c r="Z71" s="77">
        <f ca="1">IFERROR(__xludf.DUMMYFUNCTION("IMPORTRANGE(""https://docs.google.com/spreadsheets/d/1C3CXT74ZlgGe6_JY_1olB1XN4rF0dxEuIIF-xsYjHgg/edit?usp=sharing"",""พรบ!J75"")"),0)</f>
        <v>0</v>
      </c>
      <c r="AA71" s="77">
        <f ca="1">IFERROR(__xludf.DUMMYFUNCTION("IMPORTRANGE(""https://docs.google.com/spreadsheets/d/1C3CXT74ZlgGe6_JY_1olB1XN4rF0dxEuIIF-xsYjHgg/edit?usp=sharing"",""พรบ!K75"")"),0)</f>
        <v>0</v>
      </c>
      <c r="AB71" s="81">
        <f ca="1">IFERROR(__xludf.DUMMYFUNCTION("IMPORTRANGE(""https://docs.google.com/spreadsheets/d/1SX6NBoVAgQJ6U1MVXOaj8PK2l7WJ3RER9xtqwdhxkhw/edit?usp=sharing"",""สระแก้ว!J24"")"),0)</f>
        <v>0</v>
      </c>
      <c r="AC71" s="81">
        <f ca="1">IFERROR(__xludf.DUMMYFUNCTION("IMPORTRANGE(""https://docs.google.com/spreadsheets/d/1SX6NBoVAgQJ6U1MVXOaj8PK2l7WJ3RER9xtqwdhxkhw/edit?usp=sharing"",""สระแก้ว!J25"")"),0)</f>
        <v>0</v>
      </c>
      <c r="AD71" s="77">
        <f ca="1">IFERROR(__xludf.DUMMYFUNCTION("IMPORTRANGE(""https://docs.google.com/spreadsheets/d/1C3CXT74ZlgGe6_JY_1olB1XN4rF0dxEuIIF-xsYjHgg/edit?usp=sharing"",""พรบ!L75"")"),0)</f>
        <v>0</v>
      </c>
      <c r="AE71" s="77">
        <f ca="1">IFERROR(__xludf.DUMMYFUNCTION("IMPORTRANGE(""https://docs.google.com/spreadsheets/d/1C3CXT74ZlgGe6_JY_1olB1XN4rF0dxEuIIF-xsYjHgg/edit?usp=sharing"",""พรบ!M75"")"),0)</f>
        <v>0</v>
      </c>
      <c r="AF71" s="81">
        <f ca="1">IFERROR(__xludf.DUMMYFUNCTION("IMPORTRANGE(""https://docs.google.com/spreadsheets/d/1SX6NBoVAgQJ6U1MVXOaj8PK2l7WJ3RER9xtqwdhxkhw/edit?usp=sharing"",""สระแก้ว!J26"")"),0)</f>
        <v>0</v>
      </c>
      <c r="AG71" s="81">
        <f ca="1">IFERROR(__xludf.DUMMYFUNCTION("IMPORTRANGE(""https://docs.google.com/spreadsheets/d/1SX6NBoVAgQJ6U1MVXOaj8PK2l7WJ3RER9xtqwdhxkhw/edit?usp=sharing"",""สระแก้ว!J27"")"),0)</f>
        <v>0</v>
      </c>
      <c r="AH71" s="77">
        <f ca="1">IFERROR(__xludf.DUMMYFUNCTION("IMPORTRANGE(""https://docs.google.com/spreadsheets/d/1C3CXT74ZlgGe6_JY_1olB1XN4rF0dxEuIIF-xsYjHgg/edit?usp=sharing"",""พรบ!N75"")"),70)</f>
        <v>70</v>
      </c>
      <c r="AI71" s="81">
        <f ca="1">IFERROR(__xludf.DUMMYFUNCTION("IMPORTRANGE(""https://docs.google.com/spreadsheets/d/1SX6NBoVAgQJ6U1MVXOaj8PK2l7WJ3RER9xtqwdhxkhw/edit?usp=sharing"",""สระแก้ว!J28"")"),0)</f>
        <v>0</v>
      </c>
      <c r="AJ71" s="79">
        <f t="shared" ca="1" si="17"/>
        <v>0</v>
      </c>
    </row>
    <row r="72" spans="1:36" ht="21" customHeight="1">
      <c r="A72" s="73">
        <v>18</v>
      </c>
      <c r="B72" s="74" t="s">
        <v>96</v>
      </c>
      <c r="C72" s="75">
        <f t="shared" ca="1" si="0"/>
        <v>0</v>
      </c>
      <c r="D72" s="76">
        <f t="shared" ca="1" si="45"/>
        <v>0</v>
      </c>
      <c r="E72" s="77">
        <f ca="1">IFERROR(__xludf.DUMMYFUNCTION("IMPORTRANGE(""https://docs.google.com/spreadsheets/d/1C3CXT74ZlgGe6_JY_1olB1XN4rF0dxEuIIF-xsYjHgg/edit?usp=sharing"",""พรบ!D76"")"),0)</f>
        <v>0</v>
      </c>
      <c r="F72" s="77">
        <f ca="1">IFERROR(__xludf.DUMMYFUNCTION("IMPORTRANGE(""https://docs.google.com/spreadsheets/d/1C3CXT74ZlgGe6_JY_1olB1XN4rF0dxEuIIF-xsYjHgg/edit?usp=sharing"",""พรบ!E76"")"),0)</f>
        <v>0</v>
      </c>
      <c r="G72" s="77">
        <f ca="1">IFERROR(__xludf.DUMMYFUNCTION("IMPORTRANGE(""https://docs.google.com/spreadsheets/d/1Yj_ptqi66GCucihVvJfMjLAmec39IyEx_6qawtMGysU/edit?usp=sharing"",""สบก!AG76"")"),0)</f>
        <v>0</v>
      </c>
      <c r="H72" s="77">
        <f ca="1">IFERROR(__xludf.DUMMYFUNCTION("IMPORTRANGE(""https://docs.google.com/spreadsheets/d/1Yj_ptqi66GCucihVvJfMjLAmec39IyEx_6qawtMGysU/edit?usp=sharing"",""สบก!AI76"")"),0)</f>
        <v>0</v>
      </c>
      <c r="I72" s="77">
        <f t="shared" ca="1" si="3"/>
        <v>0</v>
      </c>
      <c r="J72" s="78">
        <f t="shared" ca="1" si="4"/>
        <v>0</v>
      </c>
      <c r="K72" s="77">
        <f ca="1">IFERROR(__xludf.DUMMYFUNCTION("IMPORTRANGE(""https://docs.google.com/spreadsheets/d/1Yj_ptqi66GCucihVvJfMjLAmec39IyEx_6qawtMGysU/edit?usp=sharing"",""สบก!AJ76"")"),0)</f>
        <v>0</v>
      </c>
      <c r="L72" s="79">
        <f t="shared" ca="1" si="5"/>
        <v>0</v>
      </c>
      <c r="M72" s="79">
        <f t="shared" ca="1" si="6"/>
        <v>0</v>
      </c>
      <c r="N72" s="80">
        <f ca="1">IFERROR(__xludf.DUMMYFUNCTION("IMPORTRANGE(""https://docs.google.com/spreadsheets/d/1Yj_ptqi66GCucihVvJfMjLAmec39IyEx_6qawtMGysU/edit?usp=sharing"",""สบก!AK76"")"),0)</f>
        <v>0</v>
      </c>
      <c r="O72" s="79">
        <f t="shared" ca="1" si="7"/>
        <v>0</v>
      </c>
      <c r="P72" s="81">
        <f t="shared" ca="1" si="33"/>
        <v>0</v>
      </c>
      <c r="Q72" s="81">
        <f t="shared" ca="1" si="8"/>
        <v>0</v>
      </c>
      <c r="R72" s="81">
        <f t="shared" ca="1" si="46"/>
        <v>0</v>
      </c>
      <c r="S72" s="82">
        <f t="shared" ca="1" si="9"/>
        <v>0</v>
      </c>
      <c r="T72" s="81">
        <f t="shared" ca="1" si="47"/>
        <v>0</v>
      </c>
      <c r="U72" s="82">
        <f t="shared" ca="1" si="10"/>
        <v>0</v>
      </c>
      <c r="V72" s="77">
        <f ca="1">IFERROR(__xludf.DUMMYFUNCTION("IMPORTRANGE(""https://docs.google.com/spreadsheets/d/1C3CXT74ZlgGe6_JY_1olB1XN4rF0dxEuIIF-xsYjHgg/edit?usp=sharing"",""พรบ!H76"")"),0)</f>
        <v>0</v>
      </c>
      <c r="W72" s="77">
        <f ca="1">IFERROR(__xludf.DUMMYFUNCTION("IMPORTRANGE(""https://docs.google.com/spreadsheets/d/1C3CXT74ZlgGe6_JY_1olB1XN4rF0dxEuIIF-xsYjHgg/edit?usp=sharing"",""พรบ!I76"")"),0)</f>
        <v>0</v>
      </c>
      <c r="X72" s="81">
        <f ca="1">IFERROR(__xludf.DUMMYFUNCTION("IMPORTRANGE(""https://docs.google.com/spreadsheets/d/1SX6NBoVAgQJ6U1MVXOaj8PK2l7WJ3RER9xtqwdhxkhw/edit?usp=sharing"",""สระบุรี!J22"")"),0)</f>
        <v>0</v>
      </c>
      <c r="Y72" s="81">
        <f ca="1">IFERROR(__xludf.DUMMYFUNCTION("IMPORTRANGE(""https://docs.google.com/spreadsheets/d/1SX6NBoVAgQJ6U1MVXOaj8PK2l7WJ3RER9xtqwdhxkhw/edit?usp=sharing"",""สระบุรี!J23"")"),0)</f>
        <v>0</v>
      </c>
      <c r="Z72" s="77">
        <f ca="1">IFERROR(__xludf.DUMMYFUNCTION("IMPORTRANGE(""https://docs.google.com/spreadsheets/d/1C3CXT74ZlgGe6_JY_1olB1XN4rF0dxEuIIF-xsYjHgg/edit?usp=sharing"",""พรบ!J76"")"),0)</f>
        <v>0</v>
      </c>
      <c r="AA72" s="77">
        <f ca="1">IFERROR(__xludf.DUMMYFUNCTION("IMPORTRANGE(""https://docs.google.com/spreadsheets/d/1C3CXT74ZlgGe6_JY_1olB1XN4rF0dxEuIIF-xsYjHgg/edit?usp=sharing"",""พรบ!K76"")"),0)</f>
        <v>0</v>
      </c>
      <c r="AB72" s="81">
        <f ca="1">IFERROR(__xludf.DUMMYFUNCTION("IMPORTRANGE(""https://docs.google.com/spreadsheets/d/1SX6NBoVAgQJ6U1MVXOaj8PK2l7WJ3RER9xtqwdhxkhw/edit?usp=sharing"",""สระบุรี!J24"")"),0)</f>
        <v>0</v>
      </c>
      <c r="AC72" s="81">
        <f ca="1">IFERROR(__xludf.DUMMYFUNCTION("IMPORTRANGE(""https://docs.google.com/spreadsheets/d/1SX6NBoVAgQJ6U1MVXOaj8PK2l7WJ3RER9xtqwdhxkhw/edit?usp=sharing"",""สระบุรี!J25"")"),0)</f>
        <v>0</v>
      </c>
      <c r="AD72" s="77">
        <f ca="1">IFERROR(__xludf.DUMMYFUNCTION("IMPORTRANGE(""https://docs.google.com/spreadsheets/d/1C3CXT74ZlgGe6_JY_1olB1XN4rF0dxEuIIF-xsYjHgg/edit?usp=sharing"",""พรบ!L76"")"),0)</f>
        <v>0</v>
      </c>
      <c r="AE72" s="77">
        <f ca="1">IFERROR(__xludf.DUMMYFUNCTION("IMPORTRANGE(""https://docs.google.com/spreadsheets/d/1C3CXT74ZlgGe6_JY_1olB1XN4rF0dxEuIIF-xsYjHgg/edit?usp=sharing"",""พรบ!M76"")"),0)</f>
        <v>0</v>
      </c>
      <c r="AF72" s="81">
        <f ca="1">IFERROR(__xludf.DUMMYFUNCTION("IMPORTRANGE(""https://docs.google.com/spreadsheets/d/1SX6NBoVAgQJ6U1MVXOaj8PK2l7WJ3RER9xtqwdhxkhw/edit?usp=sharing"",""สระบุรี!J26"")"),0)</f>
        <v>0</v>
      </c>
      <c r="AG72" s="81">
        <f ca="1">IFERROR(__xludf.DUMMYFUNCTION("IMPORTRANGE(""https://docs.google.com/spreadsheets/d/1SX6NBoVAgQJ6U1MVXOaj8PK2l7WJ3RER9xtqwdhxkhw/edit?usp=sharing"",""สระบุรี!J27"")"),0)</f>
        <v>0</v>
      </c>
      <c r="AH72" s="77">
        <f ca="1">IFERROR(__xludf.DUMMYFUNCTION("IMPORTRANGE(""https://docs.google.com/spreadsheets/d/1C3CXT74ZlgGe6_JY_1olB1XN4rF0dxEuIIF-xsYjHgg/edit?usp=sharing"",""พรบ!N76"")"),0)</f>
        <v>0</v>
      </c>
      <c r="AI72" s="81">
        <f ca="1">IFERROR(__xludf.DUMMYFUNCTION("IMPORTRANGE(""https://docs.google.com/spreadsheets/d/1SX6NBoVAgQJ6U1MVXOaj8PK2l7WJ3RER9xtqwdhxkhw/edit?usp=sharing"",""สระบุรี!J28"")"),0)</f>
        <v>0</v>
      </c>
      <c r="AJ72" s="79">
        <f t="shared" ca="1" si="17"/>
        <v>0</v>
      </c>
    </row>
    <row r="73" spans="1:36" ht="21" customHeight="1">
      <c r="A73" s="73">
        <v>19</v>
      </c>
      <c r="B73" s="74" t="s">
        <v>97</v>
      </c>
      <c r="C73" s="75">
        <f t="shared" ca="1" si="0"/>
        <v>0</v>
      </c>
      <c r="D73" s="76">
        <f t="shared" ca="1" si="45"/>
        <v>0</v>
      </c>
      <c r="E73" s="77">
        <f ca="1">IFERROR(__xludf.DUMMYFUNCTION("IMPORTRANGE(""https://docs.google.com/spreadsheets/d/1C3CXT74ZlgGe6_JY_1olB1XN4rF0dxEuIIF-xsYjHgg/edit?usp=sharing"",""พรบ!D77"")"),0)</f>
        <v>0</v>
      </c>
      <c r="F73" s="77">
        <f ca="1">IFERROR(__xludf.DUMMYFUNCTION("IMPORTRANGE(""https://docs.google.com/spreadsheets/d/1C3CXT74ZlgGe6_JY_1olB1XN4rF0dxEuIIF-xsYjHgg/edit?usp=sharing"",""พรบ!E77"")"),0)</f>
        <v>0</v>
      </c>
      <c r="G73" s="77">
        <f ca="1">IFERROR(__xludf.DUMMYFUNCTION("IMPORTRANGE(""https://docs.google.com/spreadsheets/d/1Yj_ptqi66GCucihVvJfMjLAmec39IyEx_6qawtMGysU/edit?usp=sharing"",""สบก!AG77"")"),0)</f>
        <v>0</v>
      </c>
      <c r="H73" s="77">
        <f ca="1">IFERROR(__xludf.DUMMYFUNCTION("IMPORTRANGE(""https://docs.google.com/spreadsheets/d/1Yj_ptqi66GCucihVvJfMjLAmec39IyEx_6qawtMGysU/edit?usp=sharing"",""สบก!AI77"")"),0)</f>
        <v>0</v>
      </c>
      <c r="I73" s="77">
        <f t="shared" ca="1" si="3"/>
        <v>0</v>
      </c>
      <c r="J73" s="78">
        <f t="shared" ca="1" si="4"/>
        <v>0</v>
      </c>
      <c r="K73" s="77">
        <f ca="1">IFERROR(__xludf.DUMMYFUNCTION("IMPORTRANGE(""https://docs.google.com/spreadsheets/d/1Yj_ptqi66GCucihVvJfMjLAmec39IyEx_6qawtMGysU/edit?usp=sharing"",""สบก!AJ77"")"),0)</f>
        <v>0</v>
      </c>
      <c r="L73" s="79">
        <f t="shared" ca="1" si="5"/>
        <v>0</v>
      </c>
      <c r="M73" s="79">
        <f t="shared" ca="1" si="6"/>
        <v>0</v>
      </c>
      <c r="N73" s="80">
        <f ca="1">IFERROR(__xludf.DUMMYFUNCTION("IMPORTRANGE(""https://docs.google.com/spreadsheets/d/1Yj_ptqi66GCucihVvJfMjLAmec39IyEx_6qawtMGysU/edit?usp=sharing"",""สบก!AK77"")"),0)</f>
        <v>0</v>
      </c>
      <c r="O73" s="79">
        <f t="shared" ca="1" si="7"/>
        <v>0</v>
      </c>
      <c r="P73" s="81">
        <f t="shared" ca="1" si="33"/>
        <v>0</v>
      </c>
      <c r="Q73" s="81">
        <f t="shared" ca="1" si="8"/>
        <v>0</v>
      </c>
      <c r="R73" s="81">
        <f t="shared" ca="1" si="46"/>
        <v>0</v>
      </c>
      <c r="S73" s="82">
        <f t="shared" ca="1" si="9"/>
        <v>0</v>
      </c>
      <c r="T73" s="81">
        <f t="shared" ca="1" si="47"/>
        <v>0</v>
      </c>
      <c r="U73" s="82">
        <f t="shared" ca="1" si="10"/>
        <v>0</v>
      </c>
      <c r="V73" s="77">
        <f ca="1">IFERROR(__xludf.DUMMYFUNCTION("IMPORTRANGE(""https://docs.google.com/spreadsheets/d/1C3CXT74ZlgGe6_JY_1olB1XN4rF0dxEuIIF-xsYjHgg/edit?usp=sharing"",""พรบ!H77"")"),0)</f>
        <v>0</v>
      </c>
      <c r="W73" s="77">
        <f ca="1">IFERROR(__xludf.DUMMYFUNCTION("IMPORTRANGE(""https://docs.google.com/spreadsheets/d/1C3CXT74ZlgGe6_JY_1olB1XN4rF0dxEuIIF-xsYjHgg/edit?usp=sharing"",""พรบ!I77"")"),0)</f>
        <v>0</v>
      </c>
      <c r="X73" s="81">
        <f ca="1">IFERROR(__xludf.DUMMYFUNCTION("IMPORTRANGE(""https://docs.google.com/spreadsheets/d/1SX6NBoVAgQJ6U1MVXOaj8PK2l7WJ3RER9xtqwdhxkhw/edit?usp=sharing"",""สิงห์บุรี!J22"")"),0)</f>
        <v>0</v>
      </c>
      <c r="Y73" s="81">
        <f ca="1">IFERROR(__xludf.DUMMYFUNCTION("IMPORTRANGE(""https://docs.google.com/spreadsheets/d/1SX6NBoVAgQJ6U1MVXOaj8PK2l7WJ3RER9xtqwdhxkhw/edit?usp=sharing"",""สิงห์บุรี!J23"")"),0)</f>
        <v>0</v>
      </c>
      <c r="Z73" s="77">
        <f ca="1">IFERROR(__xludf.DUMMYFUNCTION("IMPORTRANGE(""https://docs.google.com/spreadsheets/d/1C3CXT74ZlgGe6_JY_1olB1XN4rF0dxEuIIF-xsYjHgg/edit?usp=sharing"",""พรบ!J77"")"),0)</f>
        <v>0</v>
      </c>
      <c r="AA73" s="77">
        <f ca="1">IFERROR(__xludf.DUMMYFUNCTION("IMPORTRANGE(""https://docs.google.com/spreadsheets/d/1C3CXT74ZlgGe6_JY_1olB1XN4rF0dxEuIIF-xsYjHgg/edit?usp=sharing"",""พรบ!K77"")"),0)</f>
        <v>0</v>
      </c>
      <c r="AB73" s="81">
        <f ca="1">IFERROR(__xludf.DUMMYFUNCTION("IMPORTRANGE(""https://docs.google.com/spreadsheets/d/1SX6NBoVAgQJ6U1MVXOaj8PK2l7WJ3RER9xtqwdhxkhw/edit?usp=sharing"",""สิงห์บุรี!J24"")"),0)</f>
        <v>0</v>
      </c>
      <c r="AC73" s="81">
        <f ca="1">IFERROR(__xludf.DUMMYFUNCTION("IMPORTRANGE(""https://docs.google.com/spreadsheets/d/1SX6NBoVAgQJ6U1MVXOaj8PK2l7WJ3RER9xtqwdhxkhw/edit?usp=sharing"",""สิงห์บุรี!J25"")"),0)</f>
        <v>0</v>
      </c>
      <c r="AD73" s="77">
        <f ca="1">IFERROR(__xludf.DUMMYFUNCTION("IMPORTRANGE(""https://docs.google.com/spreadsheets/d/1C3CXT74ZlgGe6_JY_1olB1XN4rF0dxEuIIF-xsYjHgg/edit?usp=sharing"",""พรบ!L77"")"),0)</f>
        <v>0</v>
      </c>
      <c r="AE73" s="77">
        <f ca="1">IFERROR(__xludf.DUMMYFUNCTION("IMPORTRANGE(""https://docs.google.com/spreadsheets/d/1C3CXT74ZlgGe6_JY_1olB1XN4rF0dxEuIIF-xsYjHgg/edit?usp=sharing"",""พรบ!M77"")"),0)</f>
        <v>0</v>
      </c>
      <c r="AF73" s="81">
        <f ca="1">IFERROR(__xludf.DUMMYFUNCTION("IMPORTRANGE(""https://docs.google.com/spreadsheets/d/1SX6NBoVAgQJ6U1MVXOaj8PK2l7WJ3RER9xtqwdhxkhw/edit?usp=sharing"",""สิงห์บุรี!J26"")"),0)</f>
        <v>0</v>
      </c>
      <c r="AG73" s="81">
        <f ca="1">IFERROR(__xludf.DUMMYFUNCTION("IMPORTRANGE(""https://docs.google.com/spreadsheets/d/1SX6NBoVAgQJ6U1MVXOaj8PK2l7WJ3RER9xtqwdhxkhw/edit?usp=sharing"",""สิงห์บุรี!J27"")"),0)</f>
        <v>0</v>
      </c>
      <c r="AH73" s="77">
        <f ca="1">IFERROR(__xludf.DUMMYFUNCTION("IMPORTRANGE(""https://docs.google.com/spreadsheets/d/1C3CXT74ZlgGe6_JY_1olB1XN4rF0dxEuIIF-xsYjHgg/edit?usp=sharing"",""พรบ!N77"")"),0)</f>
        <v>0</v>
      </c>
      <c r="AI73" s="81">
        <f ca="1">IFERROR(__xludf.DUMMYFUNCTION("IMPORTRANGE(""https://docs.google.com/spreadsheets/d/1SX6NBoVAgQJ6U1MVXOaj8PK2l7WJ3RER9xtqwdhxkhw/edit?usp=sharing"",""สิงห์บุรี!J28"")"),0)</f>
        <v>0</v>
      </c>
      <c r="AJ73" s="79">
        <f t="shared" ca="1" si="17"/>
        <v>0</v>
      </c>
    </row>
    <row r="74" spans="1:36" ht="21" customHeight="1">
      <c r="A74" s="73">
        <v>20</v>
      </c>
      <c r="B74" s="74" t="s">
        <v>98</v>
      </c>
      <c r="C74" s="75">
        <f t="shared" ca="1" si="0"/>
        <v>1870200</v>
      </c>
      <c r="D74" s="76">
        <f t="shared" ca="1" si="45"/>
        <v>947200</v>
      </c>
      <c r="E74" s="77">
        <f ca="1">IFERROR(__xludf.DUMMYFUNCTION("IMPORTRANGE(""https://docs.google.com/spreadsheets/d/1C3CXT74ZlgGe6_JY_1olB1XN4rF0dxEuIIF-xsYjHgg/edit?usp=sharing"",""พรบ!D78"")"),317200)</f>
        <v>317200</v>
      </c>
      <c r="F74" s="77">
        <f ca="1">IFERROR(__xludf.DUMMYFUNCTION("IMPORTRANGE(""https://docs.google.com/spreadsheets/d/1C3CXT74ZlgGe6_JY_1olB1XN4rF0dxEuIIF-xsYjHgg/edit?usp=sharing"",""พรบ!E78"")"),630000)</f>
        <v>630000</v>
      </c>
      <c r="G74" s="77">
        <f ca="1">IFERROR(__xludf.DUMMYFUNCTION("IMPORTRANGE(""https://docs.google.com/spreadsheets/d/1Yj_ptqi66GCucihVvJfMjLAmec39IyEx_6qawtMGysU/edit?usp=sharing"",""สบก!AG78"")"),923000)</f>
        <v>923000</v>
      </c>
      <c r="H74" s="77">
        <f ca="1">IFERROR(__xludf.DUMMYFUNCTION("IMPORTRANGE(""https://docs.google.com/spreadsheets/d/1Yj_ptqi66GCucihVvJfMjLAmec39IyEx_6qawtMGysU/edit?usp=sharing"",""สบก!AI78"")"),791400)</f>
        <v>791400</v>
      </c>
      <c r="I74" s="77">
        <f t="shared" ca="1" si="3"/>
        <v>1450290</v>
      </c>
      <c r="J74" s="78">
        <f t="shared" ca="1" si="4"/>
        <v>77.547321142123835</v>
      </c>
      <c r="K74" s="77">
        <f ca="1">IFERROR(__xludf.DUMMYFUNCTION("IMPORTRANGE(""https://docs.google.com/spreadsheets/d/1Yj_ptqi66GCucihVvJfMjLAmec39IyEx_6qawtMGysU/edit?usp=sharing"",""สบก!AJ78"")"),527290)</f>
        <v>527290</v>
      </c>
      <c r="L74" s="79">
        <f t="shared" ca="1" si="5"/>
        <v>55.668285472972975</v>
      </c>
      <c r="M74" s="79">
        <f t="shared" ca="1" si="6"/>
        <v>66.627495577457665</v>
      </c>
      <c r="N74" s="80">
        <f ca="1">IFERROR(__xludf.DUMMYFUNCTION("IMPORTRANGE(""https://docs.google.com/spreadsheets/d/1Yj_ptqi66GCucihVvJfMjLAmec39IyEx_6qawtMGysU/edit?usp=sharing"",""สบก!AK78"")"),923000)</f>
        <v>923000</v>
      </c>
      <c r="O74" s="79">
        <f t="shared" ca="1" si="7"/>
        <v>100</v>
      </c>
      <c r="P74" s="81">
        <f t="shared" ca="1" si="33"/>
        <v>2</v>
      </c>
      <c r="Q74" s="81">
        <f t="shared" ca="1" si="8"/>
        <v>70</v>
      </c>
      <c r="R74" s="81">
        <f t="shared" ca="1" si="46"/>
        <v>2</v>
      </c>
      <c r="S74" s="82">
        <f t="shared" ca="1" si="9"/>
        <v>100</v>
      </c>
      <c r="T74" s="81">
        <f t="shared" ca="1" si="47"/>
        <v>70</v>
      </c>
      <c r="U74" s="82">
        <f t="shared" ca="1" si="10"/>
        <v>100</v>
      </c>
      <c r="V74" s="77">
        <f ca="1">IFERROR(__xludf.DUMMYFUNCTION("IMPORTRANGE(""https://docs.google.com/spreadsheets/d/1C3CXT74ZlgGe6_JY_1olB1XN4rF0dxEuIIF-xsYjHgg/edit?usp=sharing"",""พรบ!H78"")"),0)</f>
        <v>0</v>
      </c>
      <c r="W74" s="77">
        <f ca="1">IFERROR(__xludf.DUMMYFUNCTION("IMPORTRANGE(""https://docs.google.com/spreadsheets/d/1C3CXT74ZlgGe6_JY_1olB1XN4rF0dxEuIIF-xsYjHgg/edit?usp=sharing"",""พรบ!I78"")"),0)</f>
        <v>0</v>
      </c>
      <c r="X74" s="81">
        <f ca="1">IFERROR(__xludf.DUMMYFUNCTION("IMPORTRANGE(""https://docs.google.com/spreadsheets/d/1SX6NBoVAgQJ6U1MVXOaj8PK2l7WJ3RER9xtqwdhxkhw/edit?usp=sharing"",""สุพรรณบุรี!J22"")"),0)</f>
        <v>0</v>
      </c>
      <c r="Y74" s="81">
        <f ca="1">IFERROR(__xludf.DUMMYFUNCTION("IMPORTRANGE(""https://docs.google.com/spreadsheets/d/1SX6NBoVAgQJ6U1MVXOaj8PK2l7WJ3RER9xtqwdhxkhw/edit?usp=sharing"",""สุพรรณบุรี!J23"")"),0)</f>
        <v>0</v>
      </c>
      <c r="Z74" s="77">
        <f ca="1">IFERROR(__xludf.DUMMYFUNCTION("IMPORTRANGE(""https://docs.google.com/spreadsheets/d/1C3CXT74ZlgGe6_JY_1olB1XN4rF0dxEuIIF-xsYjHgg/edit?usp=sharing"",""พรบ!J78"")"),0)</f>
        <v>0</v>
      </c>
      <c r="AA74" s="77">
        <f ca="1">IFERROR(__xludf.DUMMYFUNCTION("IMPORTRANGE(""https://docs.google.com/spreadsheets/d/1C3CXT74ZlgGe6_JY_1olB1XN4rF0dxEuIIF-xsYjHgg/edit?usp=sharing"",""พรบ!K78"")"),0)</f>
        <v>0</v>
      </c>
      <c r="AB74" s="81">
        <f ca="1">IFERROR(__xludf.DUMMYFUNCTION("IMPORTRANGE(""https://docs.google.com/spreadsheets/d/1SX6NBoVAgQJ6U1MVXOaj8PK2l7WJ3RER9xtqwdhxkhw/edit?usp=sharing"",""สุพรรณบุรี!J24"")"),0)</f>
        <v>0</v>
      </c>
      <c r="AC74" s="81">
        <f ca="1">IFERROR(__xludf.DUMMYFUNCTION("IMPORTRANGE(""https://docs.google.com/spreadsheets/d/1SX6NBoVAgQJ6U1MVXOaj8PK2l7WJ3RER9xtqwdhxkhw/edit?usp=sharing"",""สุพรรณบุรี!J25"")"),0)</f>
        <v>0</v>
      </c>
      <c r="AD74" s="77">
        <f ca="1">IFERROR(__xludf.DUMMYFUNCTION("IMPORTRANGE(""https://docs.google.com/spreadsheets/d/1C3CXT74ZlgGe6_JY_1olB1XN4rF0dxEuIIF-xsYjHgg/edit?usp=sharing"",""พรบ!L78"")"),2)</f>
        <v>2</v>
      </c>
      <c r="AE74" s="77">
        <f ca="1">IFERROR(__xludf.DUMMYFUNCTION("IMPORTRANGE(""https://docs.google.com/spreadsheets/d/1C3CXT74ZlgGe6_JY_1olB1XN4rF0dxEuIIF-xsYjHgg/edit?usp=sharing"",""พรบ!M78"")"),70)</f>
        <v>70</v>
      </c>
      <c r="AF74" s="81">
        <f ca="1">IFERROR(__xludf.DUMMYFUNCTION("IMPORTRANGE(""https://docs.google.com/spreadsheets/d/1SX6NBoVAgQJ6U1MVXOaj8PK2l7WJ3RER9xtqwdhxkhw/edit?usp=sharing"",""สุพรรณบุรี!J26"")"),2)</f>
        <v>2</v>
      </c>
      <c r="AG74" s="81">
        <f ca="1">IFERROR(__xludf.DUMMYFUNCTION("IMPORTRANGE(""https://docs.google.com/spreadsheets/d/1SX6NBoVAgQJ6U1MVXOaj8PK2l7WJ3RER9xtqwdhxkhw/edit?usp=sharing"",""สุพรรณบุรี!J27"")"),70)</f>
        <v>70</v>
      </c>
      <c r="AH74" s="77">
        <f ca="1">IFERROR(__xludf.DUMMYFUNCTION("IMPORTRANGE(""https://docs.google.com/spreadsheets/d/1C3CXT74ZlgGe6_JY_1olB1XN4rF0dxEuIIF-xsYjHgg/edit?usp=sharing"",""พรบ!N78"")"),0)</f>
        <v>0</v>
      </c>
      <c r="AI74" s="81">
        <f ca="1">IFERROR(__xludf.DUMMYFUNCTION("IMPORTRANGE(""https://docs.google.com/spreadsheets/d/1SX6NBoVAgQJ6U1MVXOaj8PK2l7WJ3RER9xtqwdhxkhw/edit?usp=sharing"",""สุพรรณบุรี!J28"")"),0)</f>
        <v>0</v>
      </c>
      <c r="AJ74" s="79">
        <f t="shared" ca="1" si="17"/>
        <v>0</v>
      </c>
    </row>
    <row r="75" spans="1:36" ht="21" customHeight="1">
      <c r="A75" s="84">
        <v>21</v>
      </c>
      <c r="B75" s="85" t="s">
        <v>99</v>
      </c>
      <c r="C75" s="86">
        <f t="shared" ca="1" si="0"/>
        <v>0</v>
      </c>
      <c r="D75" s="87">
        <f t="shared" ca="1" si="45"/>
        <v>0</v>
      </c>
      <c r="E75" s="88">
        <f ca="1">IFERROR(__xludf.DUMMYFUNCTION("IMPORTRANGE(""https://docs.google.com/spreadsheets/d/1C3CXT74ZlgGe6_JY_1olB1XN4rF0dxEuIIF-xsYjHgg/edit?usp=sharing"",""พรบ!D79"")"),0)</f>
        <v>0</v>
      </c>
      <c r="F75" s="88">
        <f ca="1">IFERROR(__xludf.DUMMYFUNCTION("IMPORTRANGE(""https://docs.google.com/spreadsheets/d/1C3CXT74ZlgGe6_JY_1olB1XN4rF0dxEuIIF-xsYjHgg/edit?usp=sharing"",""พรบ!E79"")"),0)</f>
        <v>0</v>
      </c>
      <c r="G75" s="88">
        <f ca="1">IFERROR(__xludf.DUMMYFUNCTION("IMPORTRANGE(""https://docs.google.com/spreadsheets/d/1Yj_ptqi66GCucihVvJfMjLAmec39IyEx_6qawtMGysU/edit?usp=sharing"",""สบก!AG79"")"),0)</f>
        <v>0</v>
      </c>
      <c r="H75" s="88">
        <f ca="1">IFERROR(__xludf.DUMMYFUNCTION("IMPORTRANGE(""https://docs.google.com/spreadsheets/d/1Yj_ptqi66GCucihVvJfMjLAmec39IyEx_6qawtMGysU/edit?usp=sharing"",""สบก!AI79"")"),0)</f>
        <v>0</v>
      </c>
      <c r="I75" s="88">
        <f t="shared" ca="1" si="3"/>
        <v>0</v>
      </c>
      <c r="J75" s="89">
        <f t="shared" ca="1" si="4"/>
        <v>0</v>
      </c>
      <c r="K75" s="88">
        <f ca="1">IFERROR(__xludf.DUMMYFUNCTION("IMPORTRANGE(""https://docs.google.com/spreadsheets/d/1Yj_ptqi66GCucihVvJfMjLAmec39IyEx_6qawtMGysU/edit?usp=sharing"",""สบก!AJ79"")"),0)</f>
        <v>0</v>
      </c>
      <c r="L75" s="90">
        <f t="shared" ca="1" si="5"/>
        <v>0</v>
      </c>
      <c r="M75" s="90">
        <f t="shared" ca="1" si="6"/>
        <v>0</v>
      </c>
      <c r="N75" s="91">
        <f ca="1">IFERROR(__xludf.DUMMYFUNCTION("IMPORTRANGE(""https://docs.google.com/spreadsheets/d/1Yj_ptqi66GCucihVvJfMjLAmec39IyEx_6qawtMGysU/edit?usp=sharing"",""สบก!AK79"")"),0)</f>
        <v>0</v>
      </c>
      <c r="O75" s="90">
        <f t="shared" ca="1" si="7"/>
        <v>0</v>
      </c>
      <c r="P75" s="92">
        <f t="shared" ca="1" si="33"/>
        <v>0</v>
      </c>
      <c r="Q75" s="92">
        <f t="shared" ca="1" si="8"/>
        <v>0</v>
      </c>
      <c r="R75" s="92">
        <f t="shared" ca="1" si="46"/>
        <v>0</v>
      </c>
      <c r="S75" s="93">
        <f t="shared" ca="1" si="9"/>
        <v>0</v>
      </c>
      <c r="T75" s="92">
        <f t="shared" ca="1" si="47"/>
        <v>0</v>
      </c>
      <c r="U75" s="93">
        <f t="shared" ca="1" si="10"/>
        <v>0</v>
      </c>
      <c r="V75" s="88">
        <f ca="1">IFERROR(__xludf.DUMMYFUNCTION("IMPORTRANGE(""https://docs.google.com/spreadsheets/d/1C3CXT74ZlgGe6_JY_1olB1XN4rF0dxEuIIF-xsYjHgg/edit?usp=sharing"",""พรบ!H79"")"),0)</f>
        <v>0</v>
      </c>
      <c r="W75" s="88">
        <f ca="1">IFERROR(__xludf.DUMMYFUNCTION("IMPORTRANGE(""https://docs.google.com/spreadsheets/d/1C3CXT74ZlgGe6_JY_1olB1XN4rF0dxEuIIF-xsYjHgg/edit?usp=sharing"",""พรบ!I79"")"),0)</f>
        <v>0</v>
      </c>
      <c r="X75" s="92">
        <f ca="1">IFERROR(__xludf.DUMMYFUNCTION("IMPORTRANGE(""https://docs.google.com/spreadsheets/d/1SX6NBoVAgQJ6U1MVXOaj8PK2l7WJ3RER9xtqwdhxkhw/edit?usp=sharing"",""อ่างทอง!J22"")"),0)</f>
        <v>0</v>
      </c>
      <c r="Y75" s="92">
        <f ca="1">IFERROR(__xludf.DUMMYFUNCTION("IMPORTRANGE(""https://docs.google.com/spreadsheets/d/1SX6NBoVAgQJ6U1MVXOaj8PK2l7WJ3RER9xtqwdhxkhw/edit?usp=sharing"",""อ่างทอง!J23"")"),0)</f>
        <v>0</v>
      </c>
      <c r="Z75" s="88">
        <f ca="1">IFERROR(__xludf.DUMMYFUNCTION("IMPORTRANGE(""https://docs.google.com/spreadsheets/d/1C3CXT74ZlgGe6_JY_1olB1XN4rF0dxEuIIF-xsYjHgg/edit?usp=sharing"",""พรบ!J79"")"),0)</f>
        <v>0</v>
      </c>
      <c r="AA75" s="88">
        <f ca="1">IFERROR(__xludf.DUMMYFUNCTION("IMPORTRANGE(""https://docs.google.com/spreadsheets/d/1C3CXT74ZlgGe6_JY_1olB1XN4rF0dxEuIIF-xsYjHgg/edit?usp=sharing"",""พรบ!K79"")"),0)</f>
        <v>0</v>
      </c>
      <c r="AB75" s="92">
        <f ca="1">IFERROR(__xludf.DUMMYFUNCTION("IMPORTRANGE(""https://docs.google.com/spreadsheets/d/1SX6NBoVAgQJ6U1MVXOaj8PK2l7WJ3RER9xtqwdhxkhw/edit?usp=sharing"",""อ่างทอง!J24"")"),0)</f>
        <v>0</v>
      </c>
      <c r="AC75" s="92">
        <f ca="1">IFERROR(__xludf.DUMMYFUNCTION("IMPORTRANGE(""https://docs.google.com/spreadsheets/d/1SX6NBoVAgQJ6U1MVXOaj8PK2l7WJ3RER9xtqwdhxkhw/edit?usp=sharing"",""อ่างทอง!J25"")"),0)</f>
        <v>0</v>
      </c>
      <c r="AD75" s="88">
        <f ca="1">IFERROR(__xludf.DUMMYFUNCTION("IMPORTRANGE(""https://docs.google.com/spreadsheets/d/1C3CXT74ZlgGe6_JY_1olB1XN4rF0dxEuIIF-xsYjHgg/edit?usp=sharing"",""พรบ!L79"")"),0)</f>
        <v>0</v>
      </c>
      <c r="AE75" s="88">
        <f ca="1">IFERROR(__xludf.DUMMYFUNCTION("IMPORTRANGE(""https://docs.google.com/spreadsheets/d/1C3CXT74ZlgGe6_JY_1olB1XN4rF0dxEuIIF-xsYjHgg/edit?usp=sharing"",""พรบ!M79"")"),0)</f>
        <v>0</v>
      </c>
      <c r="AF75" s="92">
        <f ca="1">IFERROR(__xludf.DUMMYFUNCTION("IMPORTRANGE(""https://docs.google.com/spreadsheets/d/1SX6NBoVAgQJ6U1MVXOaj8PK2l7WJ3RER9xtqwdhxkhw/edit?usp=sharing"",""อ่างทอง!J26"")"),0)</f>
        <v>0</v>
      </c>
      <c r="AG75" s="92">
        <f ca="1">IFERROR(__xludf.DUMMYFUNCTION("IMPORTRANGE(""https://docs.google.com/spreadsheets/d/1SX6NBoVAgQJ6U1MVXOaj8PK2l7WJ3RER9xtqwdhxkhw/edit?usp=sharing"",""อ่างทอง!J27"")"),0)</f>
        <v>0</v>
      </c>
      <c r="AH75" s="88">
        <f ca="1">IFERROR(__xludf.DUMMYFUNCTION("IMPORTRANGE(""https://docs.google.com/spreadsheets/d/1C3CXT74ZlgGe6_JY_1olB1XN4rF0dxEuIIF-xsYjHgg/edit?usp=sharing"",""พรบ!N79"")"),0)</f>
        <v>0</v>
      </c>
      <c r="AI75" s="92">
        <f ca="1">IFERROR(__xludf.DUMMYFUNCTION("IMPORTRANGE(""https://docs.google.com/spreadsheets/d/1SX6NBoVAgQJ6U1MVXOaj8PK2l7WJ3RER9xtqwdhxkhw/edit?usp=sharing"",""อ่างทอง!J28"")"),0)</f>
        <v>0</v>
      </c>
      <c r="AJ75" s="90">
        <f t="shared" ca="1" si="17"/>
        <v>0</v>
      </c>
    </row>
    <row r="76" spans="1:36" ht="21" customHeight="1">
      <c r="A76" s="676" t="s">
        <v>100</v>
      </c>
      <c r="B76" s="652"/>
      <c r="C76" s="99">
        <f t="shared" ca="1" si="0"/>
        <v>2053200</v>
      </c>
      <c r="D76" s="95">
        <f t="shared" ref="D76:H76" ca="1" si="48">SUM(D77:D90)</f>
        <v>2053200</v>
      </c>
      <c r="E76" s="95">
        <f t="shared" ca="1" si="48"/>
        <v>689200</v>
      </c>
      <c r="F76" s="95">
        <f t="shared" ca="1" si="48"/>
        <v>1364000</v>
      </c>
      <c r="G76" s="95">
        <f t="shared" ca="1" si="48"/>
        <v>0</v>
      </c>
      <c r="H76" s="95">
        <f t="shared" ca="1" si="48"/>
        <v>1679740</v>
      </c>
      <c r="I76" s="95">
        <f t="shared" ca="1" si="3"/>
        <v>790337.74</v>
      </c>
      <c r="J76" s="96">
        <f t="shared" ca="1" si="4"/>
        <v>38.492973894408728</v>
      </c>
      <c r="K76" s="95">
        <f ca="1">SUM(K77:K90)</f>
        <v>790337.74</v>
      </c>
      <c r="L76" s="97">
        <f t="shared" ca="1" si="5"/>
        <v>38.492973894408728</v>
      </c>
      <c r="M76" s="97">
        <f t="shared" ca="1" si="6"/>
        <v>47.051194827770964</v>
      </c>
      <c r="N76" s="98">
        <f ca="1">SUM(N77:N90)</f>
        <v>0</v>
      </c>
      <c r="O76" s="97">
        <f t="shared" ca="1" si="7"/>
        <v>0</v>
      </c>
      <c r="P76" s="95">
        <f t="shared" ca="1" si="33"/>
        <v>4</v>
      </c>
      <c r="Q76" s="95">
        <f t="shared" ca="1" si="8"/>
        <v>130</v>
      </c>
      <c r="R76" s="95">
        <f ca="1">SUM(R77:R90)</f>
        <v>4</v>
      </c>
      <c r="S76" s="97">
        <f t="shared" ca="1" si="9"/>
        <v>100</v>
      </c>
      <c r="T76" s="95">
        <f ca="1">SUM(T77:T90)</f>
        <v>130</v>
      </c>
      <c r="U76" s="97">
        <f t="shared" ca="1" si="10"/>
        <v>100</v>
      </c>
      <c r="V76" s="95">
        <f t="shared" ref="V76:AI76" ca="1" si="49">SUM(V77:V90)</f>
        <v>1</v>
      </c>
      <c r="W76" s="95">
        <f t="shared" ca="1" si="49"/>
        <v>30</v>
      </c>
      <c r="X76" s="95">
        <f t="shared" ca="1" si="49"/>
        <v>1</v>
      </c>
      <c r="Y76" s="95">
        <f t="shared" ca="1" si="49"/>
        <v>30</v>
      </c>
      <c r="Z76" s="95">
        <f t="shared" ca="1" si="49"/>
        <v>1</v>
      </c>
      <c r="AA76" s="95">
        <f t="shared" ca="1" si="49"/>
        <v>30</v>
      </c>
      <c r="AB76" s="95">
        <f t="shared" ca="1" si="49"/>
        <v>1</v>
      </c>
      <c r="AC76" s="95">
        <f t="shared" ca="1" si="49"/>
        <v>30</v>
      </c>
      <c r="AD76" s="95">
        <f t="shared" ca="1" si="49"/>
        <v>2</v>
      </c>
      <c r="AE76" s="95">
        <f t="shared" ca="1" si="49"/>
        <v>70</v>
      </c>
      <c r="AF76" s="95">
        <f t="shared" ca="1" si="49"/>
        <v>2</v>
      </c>
      <c r="AG76" s="95">
        <f t="shared" ca="1" si="49"/>
        <v>70</v>
      </c>
      <c r="AH76" s="95">
        <f t="shared" ca="1" si="49"/>
        <v>30</v>
      </c>
      <c r="AI76" s="95">
        <f t="shared" ca="1" si="49"/>
        <v>0</v>
      </c>
      <c r="AJ76" s="97">
        <f t="shared" ca="1" si="17"/>
        <v>0</v>
      </c>
    </row>
    <row r="77" spans="1:36" ht="21" customHeight="1">
      <c r="A77" s="63">
        <v>1</v>
      </c>
      <c r="B77" s="64" t="s">
        <v>101</v>
      </c>
      <c r="C77" s="65">
        <f t="shared" ca="1" si="0"/>
        <v>692200</v>
      </c>
      <c r="D77" s="66">
        <f t="shared" ref="D77:D90" ca="1" si="50">+E77+F77</f>
        <v>692200</v>
      </c>
      <c r="E77" s="67">
        <f ca="1">IFERROR(__xludf.DUMMYFUNCTION("IMPORTRANGE(""https://docs.google.com/spreadsheets/d/1C3CXT74ZlgGe6_JY_1olB1XN4rF0dxEuIIF-xsYjHgg/edit?usp=sharing"",""พรบ!D81"")"),320200)</f>
        <v>320200</v>
      </c>
      <c r="F77" s="67">
        <f ca="1">IFERROR(__xludf.DUMMYFUNCTION("IMPORTRANGE(""https://docs.google.com/spreadsheets/d/1C3CXT74ZlgGe6_JY_1olB1XN4rF0dxEuIIF-xsYjHgg/edit?usp=sharing"",""พรบ!E81"")"),372000)</f>
        <v>372000</v>
      </c>
      <c r="G77" s="100">
        <f ca="1">IFERROR(__xludf.DUMMYFUNCTION("IMPORTRANGE(""https://docs.google.com/spreadsheets/d/1Yj_ptqi66GCucihVvJfMjLAmec39IyEx_6qawtMGysU/edit?usp=sharing"",""สบก!AG81"")"),0)</f>
        <v>0</v>
      </c>
      <c r="H77" s="100">
        <f ca="1">IFERROR(__xludf.DUMMYFUNCTION("IMPORTRANGE(""https://docs.google.com/spreadsheets/d/1Yj_ptqi66GCucihVvJfMjLAmec39IyEx_6qawtMGysU/edit?usp=sharing"",""สบก!AI81"")"),549820)</f>
        <v>549820</v>
      </c>
      <c r="I77" s="100">
        <f t="shared" ca="1" si="3"/>
        <v>313560.09999999998</v>
      </c>
      <c r="J77" s="101">
        <f t="shared" ca="1" si="4"/>
        <v>45.299060965039004</v>
      </c>
      <c r="K77" s="77">
        <f ca="1">IFERROR(__xludf.DUMMYFUNCTION("IMPORTRANGE(""https://docs.google.com/spreadsheets/d/1Yj_ptqi66GCucihVvJfMjLAmec39IyEx_6qawtMGysU/edit?usp=sharing"",""สบก!AJ81"")"),313560.1)</f>
        <v>313560.09999999998</v>
      </c>
      <c r="L77" s="70">
        <f t="shared" ca="1" si="5"/>
        <v>45.299060965039004</v>
      </c>
      <c r="M77" s="70">
        <f t="shared" ca="1" si="6"/>
        <v>57.029591502673597</v>
      </c>
      <c r="N77" s="71">
        <f ca="1">IFERROR(__xludf.DUMMYFUNCTION("IMPORTRANGE(""https://docs.google.com/spreadsheets/d/1Yj_ptqi66GCucihVvJfMjLAmec39IyEx_6qawtMGysU/edit?usp=sharing"",""สบก!AK81"")"),0)</f>
        <v>0</v>
      </c>
      <c r="O77" s="70">
        <f t="shared" ca="1" si="7"/>
        <v>0</v>
      </c>
      <c r="P77" s="68">
        <f t="shared" ca="1" si="33"/>
        <v>1</v>
      </c>
      <c r="Q77" s="68">
        <f t="shared" ca="1" si="8"/>
        <v>30</v>
      </c>
      <c r="R77" s="68">
        <f t="shared" ref="R77:R90" ca="1" si="51">X77+AB77+AF77</f>
        <v>1</v>
      </c>
      <c r="S77" s="72">
        <f t="shared" ca="1" si="9"/>
        <v>100</v>
      </c>
      <c r="T77" s="68">
        <f t="shared" ref="T77:T90" ca="1" si="52">Y77+AC77+AG77</f>
        <v>30</v>
      </c>
      <c r="U77" s="72">
        <f t="shared" ca="1" si="10"/>
        <v>100</v>
      </c>
      <c r="V77" s="67">
        <f ca="1">IFERROR(__xludf.DUMMYFUNCTION("IMPORTRANGE(""https://docs.google.com/spreadsheets/d/1C3CXT74ZlgGe6_JY_1olB1XN4rF0dxEuIIF-xsYjHgg/edit?usp=sharing"",""พรบ!H81"")"),0)</f>
        <v>0</v>
      </c>
      <c r="W77" s="67">
        <f ca="1">IFERROR(__xludf.DUMMYFUNCTION("IMPORTRANGE(""https://docs.google.com/spreadsheets/d/1C3CXT74ZlgGe6_JY_1olB1XN4rF0dxEuIIF-xsYjHgg/edit?usp=sharing"",""พรบ!I81"")"),0)</f>
        <v>0</v>
      </c>
      <c r="X77" s="68">
        <f ca="1">IFERROR(__xludf.DUMMYFUNCTION("IMPORTRANGE(""https://docs.google.com/spreadsheets/d/1IYY_tgx_IHuhSq3AJ5eI5OnqOPBNLWSHKh2a30DoXe8/edit?usp=sharing"",""กระบี่!J22"")"),0)</f>
        <v>0</v>
      </c>
      <c r="Y77" s="68">
        <f ca="1">IFERROR(__xludf.DUMMYFUNCTION("IMPORTRANGE(""https://docs.google.com/spreadsheets/d/1IYY_tgx_IHuhSq3AJ5eI5OnqOPBNLWSHKh2a30DoXe8/edit?usp=sharing"",""กระบี่!J23"")"),0)</f>
        <v>0</v>
      </c>
      <c r="Z77" s="67">
        <f ca="1">IFERROR(__xludf.DUMMYFUNCTION("IMPORTRANGE(""https://docs.google.com/spreadsheets/d/1C3CXT74ZlgGe6_JY_1olB1XN4rF0dxEuIIF-xsYjHgg/edit?usp=sharing"",""พรบ!J81"")"),1)</f>
        <v>1</v>
      </c>
      <c r="AA77" s="67">
        <f ca="1">IFERROR(__xludf.DUMMYFUNCTION("IMPORTRANGE(""https://docs.google.com/spreadsheets/d/1C3CXT74ZlgGe6_JY_1olB1XN4rF0dxEuIIF-xsYjHgg/edit?usp=sharing"",""พรบ!K81"")"),30)</f>
        <v>30</v>
      </c>
      <c r="AB77" s="68">
        <f ca="1">IFERROR(__xludf.DUMMYFUNCTION("IMPORTRANGE(""https://docs.google.com/spreadsheets/d/1IYY_tgx_IHuhSq3AJ5eI5OnqOPBNLWSHKh2a30DoXe8/edit?usp=sharing"",""กระบี่!J24"")"),1)</f>
        <v>1</v>
      </c>
      <c r="AC77" s="68">
        <f ca="1">IFERROR(__xludf.DUMMYFUNCTION("IMPORTRANGE(""https://docs.google.com/spreadsheets/d/1IYY_tgx_IHuhSq3AJ5eI5OnqOPBNLWSHKh2a30DoXe8/edit?usp=sharing"",""กระบี่!J25"")"),30)</f>
        <v>30</v>
      </c>
      <c r="AD77" s="67">
        <f ca="1">IFERROR(__xludf.DUMMYFUNCTION("IMPORTRANGE(""https://docs.google.com/spreadsheets/d/1C3CXT74ZlgGe6_JY_1olB1XN4rF0dxEuIIF-xsYjHgg/edit?usp=sharing"",""พรบ!L81"")"),0)</f>
        <v>0</v>
      </c>
      <c r="AE77" s="67">
        <f ca="1">IFERROR(__xludf.DUMMYFUNCTION("IMPORTRANGE(""https://docs.google.com/spreadsheets/d/1C3CXT74ZlgGe6_JY_1olB1XN4rF0dxEuIIF-xsYjHgg/edit?usp=sharing"",""พรบ!M81"")"),0)</f>
        <v>0</v>
      </c>
      <c r="AF77" s="68">
        <f ca="1">IFERROR(__xludf.DUMMYFUNCTION("IMPORTRANGE(""https://docs.google.com/spreadsheets/d/1IYY_tgx_IHuhSq3AJ5eI5OnqOPBNLWSHKh2a30DoXe8/edit?usp=sharing"",""กระบี่!J26"")"),0)</f>
        <v>0</v>
      </c>
      <c r="AG77" s="68">
        <f ca="1">IFERROR(__xludf.DUMMYFUNCTION("IMPORTRANGE(""https://docs.google.com/spreadsheets/d/1IYY_tgx_IHuhSq3AJ5eI5OnqOPBNLWSHKh2a30DoXe8/edit?usp=sharing"",""กระบี่!J27"")"),0)</f>
        <v>0</v>
      </c>
      <c r="AH77" s="67">
        <f ca="1">IFERROR(__xludf.DUMMYFUNCTION("IMPORTRANGE(""https://docs.google.com/spreadsheets/d/1C3CXT74ZlgGe6_JY_1olB1XN4rF0dxEuIIF-xsYjHgg/edit?usp=sharing"",""พรบ!N81"")"),0)</f>
        <v>0</v>
      </c>
      <c r="AI77" s="68">
        <f ca="1">IFERROR(__xludf.DUMMYFUNCTION("IMPORTRANGE(""https://docs.google.com/spreadsheets/d/1IYY_tgx_IHuhSq3AJ5eI5OnqOPBNLWSHKh2a30DoXe8/edit?usp=sharing"",""กระบี่!J28"")"),0)</f>
        <v>0</v>
      </c>
      <c r="AJ77" s="70">
        <f t="shared" ca="1" si="17"/>
        <v>0</v>
      </c>
    </row>
    <row r="78" spans="1:36" ht="21" customHeight="1">
      <c r="A78" s="73">
        <v>2</v>
      </c>
      <c r="B78" s="74" t="s">
        <v>102</v>
      </c>
      <c r="C78" s="75">
        <f t="shared" ca="1" si="0"/>
        <v>780800</v>
      </c>
      <c r="D78" s="76">
        <f t="shared" ca="1" si="50"/>
        <v>780800</v>
      </c>
      <c r="E78" s="77">
        <f ca="1">IFERROR(__xludf.DUMMYFUNCTION("IMPORTRANGE(""https://docs.google.com/spreadsheets/d/1C3CXT74ZlgGe6_JY_1olB1XN4rF0dxEuIIF-xsYjHgg/edit?usp=sharing"",""พรบ!D82"")"),180800)</f>
        <v>180800</v>
      </c>
      <c r="F78" s="77">
        <f ca="1">IFERROR(__xludf.DUMMYFUNCTION("IMPORTRANGE(""https://docs.google.com/spreadsheets/d/1C3CXT74ZlgGe6_JY_1olB1XN4rF0dxEuIIF-xsYjHgg/edit?usp=sharing"",""พรบ!E82"")"),600000)</f>
        <v>600000</v>
      </c>
      <c r="G78" s="77">
        <f ca="1">IFERROR(__xludf.DUMMYFUNCTION("IMPORTRANGE(""https://docs.google.com/spreadsheets/d/1Yj_ptqi66GCucihVvJfMjLAmec39IyEx_6qawtMGysU/edit?usp=sharing"",""สบก!AG82"")"),0)</f>
        <v>0</v>
      </c>
      <c r="H78" s="77">
        <f ca="1">IFERROR(__xludf.DUMMYFUNCTION("IMPORTRANGE(""https://docs.google.com/spreadsheets/d/1Yj_ptqi66GCucihVvJfMjLAmec39IyEx_6qawtMGysU/edit?usp=sharing"",""สบก!AI82"")"),669100)</f>
        <v>669100</v>
      </c>
      <c r="I78" s="77">
        <f t="shared" ca="1" si="3"/>
        <v>235398.36</v>
      </c>
      <c r="J78" s="78">
        <f t="shared" ca="1" si="4"/>
        <v>30.148355532786884</v>
      </c>
      <c r="K78" s="77">
        <f ca="1">IFERROR(__xludf.DUMMYFUNCTION("IMPORTRANGE(""https://docs.google.com/spreadsheets/d/1Yj_ptqi66GCucihVvJfMjLAmec39IyEx_6qawtMGysU/edit?usp=sharing"",""สบก!AJ82"")"),235398.36)</f>
        <v>235398.36</v>
      </c>
      <c r="L78" s="79">
        <f t="shared" ca="1" si="5"/>
        <v>30.148355532786884</v>
      </c>
      <c r="M78" s="79">
        <f t="shared" ca="1" si="6"/>
        <v>35.181342101330145</v>
      </c>
      <c r="N78" s="80">
        <f ca="1">IFERROR(__xludf.DUMMYFUNCTION("IMPORTRANGE(""https://docs.google.com/spreadsheets/d/1Yj_ptqi66GCucihVvJfMjLAmec39IyEx_6qawtMGysU/edit?usp=sharing"",""สบก!AK82"")"),0)</f>
        <v>0</v>
      </c>
      <c r="O78" s="79">
        <f t="shared" ca="1" si="7"/>
        <v>0</v>
      </c>
      <c r="P78" s="81">
        <f t="shared" ca="1" si="33"/>
        <v>2</v>
      </c>
      <c r="Q78" s="81">
        <f t="shared" ca="1" si="8"/>
        <v>70</v>
      </c>
      <c r="R78" s="81">
        <f t="shared" ca="1" si="51"/>
        <v>2</v>
      </c>
      <c r="S78" s="82">
        <f t="shared" ca="1" si="9"/>
        <v>100</v>
      </c>
      <c r="T78" s="81">
        <f t="shared" ca="1" si="52"/>
        <v>70</v>
      </c>
      <c r="U78" s="82">
        <f t="shared" ca="1" si="10"/>
        <v>100</v>
      </c>
      <c r="V78" s="77">
        <f ca="1">IFERROR(__xludf.DUMMYFUNCTION("IMPORTRANGE(""https://docs.google.com/spreadsheets/d/1C3CXT74ZlgGe6_JY_1olB1XN4rF0dxEuIIF-xsYjHgg/edit?usp=sharing"",""พรบ!H82"")"),0)</f>
        <v>0</v>
      </c>
      <c r="W78" s="77">
        <f ca="1">IFERROR(__xludf.DUMMYFUNCTION("IMPORTRANGE(""https://docs.google.com/spreadsheets/d/1C3CXT74ZlgGe6_JY_1olB1XN4rF0dxEuIIF-xsYjHgg/edit?usp=sharing"",""พรบ!I82"")"),0)</f>
        <v>0</v>
      </c>
      <c r="X78" s="81">
        <f ca="1">IFERROR(__xludf.DUMMYFUNCTION("IMPORTRANGE(""https://docs.google.com/spreadsheets/d/1IYY_tgx_IHuhSq3AJ5eI5OnqOPBNLWSHKh2a30DoXe8/edit?usp=sharing"",""ชุมพร!J22"")"),0)</f>
        <v>0</v>
      </c>
      <c r="Y78" s="81">
        <f ca="1">IFERROR(__xludf.DUMMYFUNCTION("IMPORTRANGE(""https://docs.google.com/spreadsheets/d/1IYY_tgx_IHuhSq3AJ5eI5OnqOPBNLWSHKh2a30DoXe8/edit?usp=sharing"",""ชุมพร!J23"")"),0)</f>
        <v>0</v>
      </c>
      <c r="Z78" s="77">
        <f ca="1">IFERROR(__xludf.DUMMYFUNCTION("IMPORTRANGE(""https://docs.google.com/spreadsheets/d/1C3CXT74ZlgGe6_JY_1olB1XN4rF0dxEuIIF-xsYjHgg/edit?usp=sharing"",""พรบ!J82"")"),0)</f>
        <v>0</v>
      </c>
      <c r="AA78" s="77">
        <f ca="1">IFERROR(__xludf.DUMMYFUNCTION("IMPORTRANGE(""https://docs.google.com/spreadsheets/d/1C3CXT74ZlgGe6_JY_1olB1XN4rF0dxEuIIF-xsYjHgg/edit?usp=sharing"",""พรบ!K82"")"),0)</f>
        <v>0</v>
      </c>
      <c r="AB78" s="81">
        <f ca="1">IFERROR(__xludf.DUMMYFUNCTION("IMPORTRANGE(""https://docs.google.com/spreadsheets/d/1IYY_tgx_IHuhSq3AJ5eI5OnqOPBNLWSHKh2a30DoXe8/edit?usp=sharing"",""ชุมพร!J24"")"),0)</f>
        <v>0</v>
      </c>
      <c r="AC78" s="81">
        <f ca="1">IFERROR(__xludf.DUMMYFUNCTION("IMPORTRANGE(""https://docs.google.com/spreadsheets/d/1IYY_tgx_IHuhSq3AJ5eI5OnqOPBNLWSHKh2a30DoXe8/edit?usp=sharing"",""ชุมพร!J25"")"),0)</f>
        <v>0</v>
      </c>
      <c r="AD78" s="77">
        <f ca="1">IFERROR(__xludf.DUMMYFUNCTION("IMPORTRANGE(""https://docs.google.com/spreadsheets/d/1C3CXT74ZlgGe6_JY_1olB1XN4rF0dxEuIIF-xsYjHgg/edit?usp=sharing"",""พรบ!L82"")"),2)</f>
        <v>2</v>
      </c>
      <c r="AE78" s="77">
        <f ca="1">IFERROR(__xludf.DUMMYFUNCTION("IMPORTRANGE(""https://docs.google.com/spreadsheets/d/1C3CXT74ZlgGe6_JY_1olB1XN4rF0dxEuIIF-xsYjHgg/edit?usp=sharing"",""พรบ!M82"")"),70)</f>
        <v>70</v>
      </c>
      <c r="AF78" s="81">
        <f ca="1">IFERROR(__xludf.DUMMYFUNCTION("IMPORTRANGE(""https://docs.google.com/spreadsheets/d/1IYY_tgx_IHuhSq3AJ5eI5OnqOPBNLWSHKh2a30DoXe8/edit?usp=sharing"",""ชุมพร!J26"")"),2)</f>
        <v>2</v>
      </c>
      <c r="AG78" s="81">
        <f ca="1">IFERROR(__xludf.DUMMYFUNCTION("IMPORTRANGE(""https://docs.google.com/spreadsheets/d/1IYY_tgx_IHuhSq3AJ5eI5OnqOPBNLWSHKh2a30DoXe8/edit?usp=sharing"",""ชุมพร!J27"")"),70)</f>
        <v>70</v>
      </c>
      <c r="AH78" s="77">
        <f ca="1">IFERROR(__xludf.DUMMYFUNCTION("IMPORTRANGE(""https://docs.google.com/spreadsheets/d/1C3CXT74ZlgGe6_JY_1olB1XN4rF0dxEuIIF-xsYjHgg/edit?usp=sharing"",""พรบ!N82"")"),0)</f>
        <v>0</v>
      </c>
      <c r="AI78" s="81">
        <f ca="1">IFERROR(__xludf.DUMMYFUNCTION("IMPORTRANGE(""https://docs.google.com/spreadsheets/d/1IYY_tgx_IHuhSq3AJ5eI5OnqOPBNLWSHKh2a30DoXe8/edit?usp=sharing"",""ชุมพร!J28"")"),0)</f>
        <v>0</v>
      </c>
      <c r="AJ78" s="79">
        <f t="shared" ca="1" si="17"/>
        <v>0</v>
      </c>
    </row>
    <row r="79" spans="1:36" ht="21" customHeight="1">
      <c r="A79" s="73">
        <v>3</v>
      </c>
      <c r="B79" s="74" t="s">
        <v>103</v>
      </c>
      <c r="C79" s="75">
        <f t="shared" ca="1" si="0"/>
        <v>0</v>
      </c>
      <c r="D79" s="76">
        <f t="shared" ca="1" si="50"/>
        <v>0</v>
      </c>
      <c r="E79" s="77">
        <f ca="1">IFERROR(__xludf.DUMMYFUNCTION("IMPORTRANGE(""https://docs.google.com/spreadsheets/d/1C3CXT74ZlgGe6_JY_1olB1XN4rF0dxEuIIF-xsYjHgg/edit?usp=sharing"",""พรบ!D83"")"),0)</f>
        <v>0</v>
      </c>
      <c r="F79" s="77">
        <f ca="1">IFERROR(__xludf.DUMMYFUNCTION("IMPORTRANGE(""https://docs.google.com/spreadsheets/d/1C3CXT74ZlgGe6_JY_1olB1XN4rF0dxEuIIF-xsYjHgg/edit?usp=sharing"",""พรบ!E83"")"),0)</f>
        <v>0</v>
      </c>
      <c r="G79" s="77">
        <f ca="1">IFERROR(__xludf.DUMMYFUNCTION("IMPORTRANGE(""https://docs.google.com/spreadsheets/d/1Yj_ptqi66GCucihVvJfMjLAmec39IyEx_6qawtMGysU/edit?usp=sharing"",""สบก!AG83"")"),0)</f>
        <v>0</v>
      </c>
      <c r="H79" s="77">
        <f ca="1">IFERROR(__xludf.DUMMYFUNCTION("IMPORTRANGE(""https://docs.google.com/spreadsheets/d/1Yj_ptqi66GCucihVvJfMjLAmec39IyEx_6qawtMGysU/edit?usp=sharing"",""สบก!AI83"")"),0)</f>
        <v>0</v>
      </c>
      <c r="I79" s="77">
        <f t="shared" ca="1" si="3"/>
        <v>0</v>
      </c>
      <c r="J79" s="78">
        <f t="shared" ca="1" si="4"/>
        <v>0</v>
      </c>
      <c r="K79" s="77">
        <f ca="1">IFERROR(__xludf.DUMMYFUNCTION("IMPORTRANGE(""https://docs.google.com/spreadsheets/d/1Yj_ptqi66GCucihVvJfMjLAmec39IyEx_6qawtMGysU/edit?usp=sharing"",""สบก!AJ83"")"),0)</f>
        <v>0</v>
      </c>
      <c r="L79" s="79">
        <f t="shared" ca="1" si="5"/>
        <v>0</v>
      </c>
      <c r="M79" s="79">
        <f t="shared" ca="1" si="6"/>
        <v>0</v>
      </c>
      <c r="N79" s="80">
        <f ca="1">IFERROR(__xludf.DUMMYFUNCTION("IMPORTRANGE(""https://docs.google.com/spreadsheets/d/1Yj_ptqi66GCucihVvJfMjLAmec39IyEx_6qawtMGysU/edit?usp=sharing"",""สบก!AK83"")"),0)</f>
        <v>0</v>
      </c>
      <c r="O79" s="79">
        <f t="shared" ca="1" si="7"/>
        <v>0</v>
      </c>
      <c r="P79" s="81">
        <f t="shared" ca="1" si="33"/>
        <v>0</v>
      </c>
      <c r="Q79" s="81">
        <f t="shared" ca="1" si="8"/>
        <v>0</v>
      </c>
      <c r="R79" s="81">
        <f t="shared" ca="1" si="51"/>
        <v>0</v>
      </c>
      <c r="S79" s="82">
        <f t="shared" ca="1" si="9"/>
        <v>0</v>
      </c>
      <c r="T79" s="81">
        <f t="shared" ca="1" si="52"/>
        <v>0</v>
      </c>
      <c r="U79" s="82">
        <f t="shared" ca="1" si="10"/>
        <v>0</v>
      </c>
      <c r="V79" s="77">
        <f ca="1">IFERROR(__xludf.DUMMYFUNCTION("IMPORTRANGE(""https://docs.google.com/spreadsheets/d/1C3CXT74ZlgGe6_JY_1olB1XN4rF0dxEuIIF-xsYjHgg/edit?usp=sharing"",""พรบ!H83"")"),0)</f>
        <v>0</v>
      </c>
      <c r="W79" s="77">
        <f ca="1">IFERROR(__xludf.DUMMYFUNCTION("IMPORTRANGE(""https://docs.google.com/spreadsheets/d/1C3CXT74ZlgGe6_JY_1olB1XN4rF0dxEuIIF-xsYjHgg/edit?usp=sharing"",""พรบ!I83"")"),0)</f>
        <v>0</v>
      </c>
      <c r="X79" s="81">
        <f ca="1">IFERROR(__xludf.DUMMYFUNCTION("IMPORTRANGE(""https://docs.google.com/spreadsheets/d/1IYY_tgx_IHuhSq3AJ5eI5OnqOPBNLWSHKh2a30DoXe8/edit?usp=sharing"",""ตรัง!J22"")"),0)</f>
        <v>0</v>
      </c>
      <c r="Y79" s="81">
        <f ca="1">IFERROR(__xludf.DUMMYFUNCTION("IMPORTRANGE(""https://docs.google.com/spreadsheets/d/1IYY_tgx_IHuhSq3AJ5eI5OnqOPBNLWSHKh2a30DoXe8/edit?usp=sharing"",""ตรัง!J23"")"),0)</f>
        <v>0</v>
      </c>
      <c r="Z79" s="77">
        <f ca="1">IFERROR(__xludf.DUMMYFUNCTION("IMPORTRANGE(""https://docs.google.com/spreadsheets/d/1C3CXT74ZlgGe6_JY_1olB1XN4rF0dxEuIIF-xsYjHgg/edit?usp=sharing"",""พรบ!J83"")"),0)</f>
        <v>0</v>
      </c>
      <c r="AA79" s="77">
        <f ca="1">IFERROR(__xludf.DUMMYFUNCTION("IMPORTRANGE(""https://docs.google.com/spreadsheets/d/1C3CXT74ZlgGe6_JY_1olB1XN4rF0dxEuIIF-xsYjHgg/edit?usp=sharing"",""พรบ!K83"")"),0)</f>
        <v>0</v>
      </c>
      <c r="AB79" s="81">
        <f ca="1">IFERROR(__xludf.DUMMYFUNCTION("IMPORTRANGE(""https://docs.google.com/spreadsheets/d/1IYY_tgx_IHuhSq3AJ5eI5OnqOPBNLWSHKh2a30DoXe8/edit?usp=sharing"",""ตรัง!J24"")"),0)</f>
        <v>0</v>
      </c>
      <c r="AC79" s="81">
        <f ca="1">IFERROR(__xludf.DUMMYFUNCTION("IMPORTRANGE(""https://docs.google.com/spreadsheets/d/1IYY_tgx_IHuhSq3AJ5eI5OnqOPBNLWSHKh2a30DoXe8/edit?usp=sharing"",""ตรัง!J25"")"),0)</f>
        <v>0</v>
      </c>
      <c r="AD79" s="77">
        <f ca="1">IFERROR(__xludf.DUMMYFUNCTION("IMPORTRANGE(""https://docs.google.com/spreadsheets/d/1C3CXT74ZlgGe6_JY_1olB1XN4rF0dxEuIIF-xsYjHgg/edit?usp=sharing"",""พรบ!L83"")"),0)</f>
        <v>0</v>
      </c>
      <c r="AE79" s="77">
        <f ca="1">IFERROR(__xludf.DUMMYFUNCTION("IMPORTRANGE(""https://docs.google.com/spreadsheets/d/1C3CXT74ZlgGe6_JY_1olB1XN4rF0dxEuIIF-xsYjHgg/edit?usp=sharing"",""พรบ!M83"")"),0)</f>
        <v>0</v>
      </c>
      <c r="AF79" s="81">
        <f ca="1">IFERROR(__xludf.DUMMYFUNCTION("IMPORTRANGE(""https://docs.google.com/spreadsheets/d/1IYY_tgx_IHuhSq3AJ5eI5OnqOPBNLWSHKh2a30DoXe8/edit?usp=sharing"",""ตรัง!J26"")"),0)</f>
        <v>0</v>
      </c>
      <c r="AG79" s="81">
        <f ca="1">IFERROR(__xludf.DUMMYFUNCTION("IMPORTRANGE(""https://docs.google.com/spreadsheets/d/1IYY_tgx_IHuhSq3AJ5eI5OnqOPBNLWSHKh2a30DoXe8/edit?usp=sharing"",""ตรัง!J27"")"),0)</f>
        <v>0</v>
      </c>
      <c r="AH79" s="77">
        <f ca="1">IFERROR(__xludf.DUMMYFUNCTION("IMPORTRANGE(""https://docs.google.com/spreadsheets/d/1C3CXT74ZlgGe6_JY_1olB1XN4rF0dxEuIIF-xsYjHgg/edit?usp=sharing"",""พรบ!N83"")"),0)</f>
        <v>0</v>
      </c>
      <c r="AI79" s="81">
        <f ca="1">IFERROR(__xludf.DUMMYFUNCTION("IMPORTRANGE(""https://docs.google.com/spreadsheets/d/1IYY_tgx_IHuhSq3AJ5eI5OnqOPBNLWSHKh2a30DoXe8/edit?usp=sharing"",""ตรัง!J28"")"),0)</f>
        <v>0</v>
      </c>
      <c r="AJ79" s="79">
        <f t="shared" ca="1" si="17"/>
        <v>0</v>
      </c>
    </row>
    <row r="80" spans="1:36" ht="21" customHeight="1">
      <c r="A80" s="73">
        <v>4</v>
      </c>
      <c r="B80" s="74" t="s">
        <v>104</v>
      </c>
      <c r="C80" s="75">
        <f t="shared" ca="1" si="0"/>
        <v>0</v>
      </c>
      <c r="D80" s="76">
        <f t="shared" ca="1" si="50"/>
        <v>0</v>
      </c>
      <c r="E80" s="77">
        <f ca="1">IFERROR(__xludf.DUMMYFUNCTION("IMPORTRANGE(""https://docs.google.com/spreadsheets/d/1C3CXT74ZlgGe6_JY_1olB1XN4rF0dxEuIIF-xsYjHgg/edit?usp=sharing"",""พรบ!D84"")"),0)</f>
        <v>0</v>
      </c>
      <c r="F80" s="77">
        <f ca="1">IFERROR(__xludf.DUMMYFUNCTION("IMPORTRANGE(""https://docs.google.com/spreadsheets/d/1C3CXT74ZlgGe6_JY_1olB1XN4rF0dxEuIIF-xsYjHgg/edit?usp=sharing"",""พรบ!E84"")"),0)</f>
        <v>0</v>
      </c>
      <c r="G80" s="77">
        <f ca="1">IFERROR(__xludf.DUMMYFUNCTION("IMPORTRANGE(""https://docs.google.com/spreadsheets/d/1Yj_ptqi66GCucihVvJfMjLAmec39IyEx_6qawtMGysU/edit?usp=sharing"",""สบก!AG84"")"),0)</f>
        <v>0</v>
      </c>
      <c r="H80" s="77">
        <f ca="1">IFERROR(__xludf.DUMMYFUNCTION("IMPORTRANGE(""https://docs.google.com/spreadsheets/d/1Yj_ptqi66GCucihVvJfMjLAmec39IyEx_6qawtMGysU/edit?usp=sharing"",""สบก!AI84"")"),0)</f>
        <v>0</v>
      </c>
      <c r="I80" s="77">
        <f t="shared" ca="1" si="3"/>
        <v>0</v>
      </c>
      <c r="J80" s="78">
        <f t="shared" ca="1" si="4"/>
        <v>0</v>
      </c>
      <c r="K80" s="77">
        <f ca="1">IFERROR(__xludf.DUMMYFUNCTION("IMPORTRANGE(""https://docs.google.com/spreadsheets/d/1Yj_ptqi66GCucihVvJfMjLAmec39IyEx_6qawtMGysU/edit?usp=sharing"",""สบก!AJ84"")"),0)</f>
        <v>0</v>
      </c>
      <c r="L80" s="79">
        <f t="shared" ca="1" si="5"/>
        <v>0</v>
      </c>
      <c r="M80" s="79">
        <f t="shared" ca="1" si="6"/>
        <v>0</v>
      </c>
      <c r="N80" s="80">
        <f ca="1">IFERROR(__xludf.DUMMYFUNCTION("IMPORTRANGE(""https://docs.google.com/spreadsheets/d/1Yj_ptqi66GCucihVvJfMjLAmec39IyEx_6qawtMGysU/edit?usp=sharing"",""สบก!AK84"")"),0)</f>
        <v>0</v>
      </c>
      <c r="O80" s="79">
        <f t="shared" ca="1" si="7"/>
        <v>0</v>
      </c>
      <c r="P80" s="81">
        <f t="shared" ca="1" si="33"/>
        <v>0</v>
      </c>
      <c r="Q80" s="81">
        <f t="shared" ca="1" si="8"/>
        <v>0</v>
      </c>
      <c r="R80" s="81">
        <f t="shared" ca="1" si="51"/>
        <v>0</v>
      </c>
      <c r="S80" s="82">
        <f t="shared" ca="1" si="9"/>
        <v>0</v>
      </c>
      <c r="T80" s="81">
        <f t="shared" ca="1" si="52"/>
        <v>0</v>
      </c>
      <c r="U80" s="82">
        <f t="shared" ca="1" si="10"/>
        <v>0</v>
      </c>
      <c r="V80" s="77">
        <f ca="1">IFERROR(__xludf.DUMMYFUNCTION("IMPORTRANGE(""https://docs.google.com/spreadsheets/d/1C3CXT74ZlgGe6_JY_1olB1XN4rF0dxEuIIF-xsYjHgg/edit?usp=sharing"",""พรบ!H84"")"),0)</f>
        <v>0</v>
      </c>
      <c r="W80" s="77">
        <f ca="1">IFERROR(__xludf.DUMMYFUNCTION("IMPORTRANGE(""https://docs.google.com/spreadsheets/d/1C3CXT74ZlgGe6_JY_1olB1XN4rF0dxEuIIF-xsYjHgg/edit?usp=sharing"",""พรบ!I84"")"),0)</f>
        <v>0</v>
      </c>
      <c r="X80" s="81">
        <f ca="1">IFERROR(__xludf.DUMMYFUNCTION("IMPORTRANGE(""https://docs.google.com/spreadsheets/d/1IYY_tgx_IHuhSq3AJ5eI5OnqOPBNLWSHKh2a30DoXe8/edit?usp=sharing"",""นครศรีธรรมราช!J22"")"),0)</f>
        <v>0</v>
      </c>
      <c r="Y80" s="81">
        <f ca="1">IFERROR(__xludf.DUMMYFUNCTION("IMPORTRANGE(""https://docs.google.com/spreadsheets/d/1IYY_tgx_IHuhSq3AJ5eI5OnqOPBNLWSHKh2a30DoXe8/edit?usp=sharing"",""นครศรีธรรมราช!J23"")"),0)</f>
        <v>0</v>
      </c>
      <c r="Z80" s="77">
        <f ca="1">IFERROR(__xludf.DUMMYFUNCTION("IMPORTRANGE(""https://docs.google.com/spreadsheets/d/1C3CXT74ZlgGe6_JY_1olB1XN4rF0dxEuIIF-xsYjHgg/edit?usp=sharing"",""พรบ!J84"")"),0)</f>
        <v>0</v>
      </c>
      <c r="AA80" s="77">
        <f ca="1">IFERROR(__xludf.DUMMYFUNCTION("IMPORTRANGE(""https://docs.google.com/spreadsheets/d/1C3CXT74ZlgGe6_JY_1olB1XN4rF0dxEuIIF-xsYjHgg/edit?usp=sharing"",""พรบ!K84"")"),0)</f>
        <v>0</v>
      </c>
      <c r="AB80" s="81">
        <f ca="1">IFERROR(__xludf.DUMMYFUNCTION("IMPORTRANGE(""https://docs.google.com/spreadsheets/d/1IYY_tgx_IHuhSq3AJ5eI5OnqOPBNLWSHKh2a30DoXe8/edit?usp=sharing"",""นครศรีธรรมราช!J24"")"),0)</f>
        <v>0</v>
      </c>
      <c r="AC80" s="81">
        <f ca="1">IFERROR(__xludf.DUMMYFUNCTION("IMPORTRANGE(""https://docs.google.com/spreadsheets/d/1IYY_tgx_IHuhSq3AJ5eI5OnqOPBNLWSHKh2a30DoXe8/edit?usp=sharing"",""นครศรีธรรมราช!J25"")"),0)</f>
        <v>0</v>
      </c>
      <c r="AD80" s="77">
        <f ca="1">IFERROR(__xludf.DUMMYFUNCTION("IMPORTRANGE(""https://docs.google.com/spreadsheets/d/1C3CXT74ZlgGe6_JY_1olB1XN4rF0dxEuIIF-xsYjHgg/edit?usp=sharing"",""พรบ!L84"")"),0)</f>
        <v>0</v>
      </c>
      <c r="AE80" s="77">
        <f ca="1">IFERROR(__xludf.DUMMYFUNCTION("IMPORTRANGE(""https://docs.google.com/spreadsheets/d/1C3CXT74ZlgGe6_JY_1olB1XN4rF0dxEuIIF-xsYjHgg/edit?usp=sharing"",""พรบ!M84"")"),0)</f>
        <v>0</v>
      </c>
      <c r="AF80" s="81">
        <f ca="1">IFERROR(__xludf.DUMMYFUNCTION("IMPORTRANGE(""https://docs.google.com/spreadsheets/d/1IYY_tgx_IHuhSq3AJ5eI5OnqOPBNLWSHKh2a30DoXe8/edit?usp=sharing"",""นครศรีธรรมราช!J26"")"),0)</f>
        <v>0</v>
      </c>
      <c r="AG80" s="81">
        <f ca="1">IFERROR(__xludf.DUMMYFUNCTION("IMPORTRANGE(""https://docs.google.com/spreadsheets/d/1IYY_tgx_IHuhSq3AJ5eI5OnqOPBNLWSHKh2a30DoXe8/edit?usp=sharing"",""นครศรีธรรมราช!J27"")"),0)</f>
        <v>0</v>
      </c>
      <c r="AH80" s="77">
        <f ca="1">IFERROR(__xludf.DUMMYFUNCTION("IMPORTRANGE(""https://docs.google.com/spreadsheets/d/1C3CXT74ZlgGe6_JY_1olB1XN4rF0dxEuIIF-xsYjHgg/edit?usp=sharing"",""พรบ!N84"")"),0)</f>
        <v>0</v>
      </c>
      <c r="AI80" s="81">
        <f ca="1">IFERROR(__xludf.DUMMYFUNCTION("IMPORTRANGE(""https://docs.google.com/spreadsheets/d/1IYY_tgx_IHuhSq3AJ5eI5OnqOPBNLWSHKh2a30DoXe8/edit?usp=sharing"",""นครศรีธรรมราช!J28"")"),0)</f>
        <v>0</v>
      </c>
      <c r="AJ80" s="79">
        <f t="shared" ca="1" si="17"/>
        <v>0</v>
      </c>
    </row>
    <row r="81" spans="1:36" ht="21" customHeight="1">
      <c r="A81" s="73">
        <v>5</v>
      </c>
      <c r="B81" s="74" t="s">
        <v>105</v>
      </c>
      <c r="C81" s="75">
        <f t="shared" ca="1" si="0"/>
        <v>0</v>
      </c>
      <c r="D81" s="76">
        <f t="shared" ca="1" si="50"/>
        <v>0</v>
      </c>
      <c r="E81" s="77">
        <f ca="1">IFERROR(__xludf.DUMMYFUNCTION("IMPORTRANGE(""https://docs.google.com/spreadsheets/d/1C3CXT74ZlgGe6_JY_1olB1XN4rF0dxEuIIF-xsYjHgg/edit?usp=sharing"",""พรบ!D85"")"),0)</f>
        <v>0</v>
      </c>
      <c r="F81" s="77">
        <f ca="1">IFERROR(__xludf.DUMMYFUNCTION("IMPORTRANGE(""https://docs.google.com/spreadsheets/d/1C3CXT74ZlgGe6_JY_1olB1XN4rF0dxEuIIF-xsYjHgg/edit?usp=sharing"",""พรบ!E85"")"),0)</f>
        <v>0</v>
      </c>
      <c r="G81" s="77">
        <f ca="1">IFERROR(__xludf.DUMMYFUNCTION("IMPORTRANGE(""https://docs.google.com/spreadsheets/d/1Yj_ptqi66GCucihVvJfMjLAmec39IyEx_6qawtMGysU/edit?usp=sharing"",""สบก!AG85"")"),0)</f>
        <v>0</v>
      </c>
      <c r="H81" s="77">
        <f ca="1">IFERROR(__xludf.DUMMYFUNCTION("IMPORTRANGE(""https://docs.google.com/spreadsheets/d/1Yj_ptqi66GCucihVvJfMjLAmec39IyEx_6qawtMGysU/edit?usp=sharing"",""สบก!AI85"")"),0)</f>
        <v>0</v>
      </c>
      <c r="I81" s="77">
        <f t="shared" ca="1" si="3"/>
        <v>0</v>
      </c>
      <c r="J81" s="78">
        <f t="shared" ca="1" si="4"/>
        <v>0</v>
      </c>
      <c r="K81" s="77">
        <f ca="1">IFERROR(__xludf.DUMMYFUNCTION("IMPORTRANGE(""https://docs.google.com/spreadsheets/d/1Yj_ptqi66GCucihVvJfMjLAmec39IyEx_6qawtMGysU/edit?usp=sharing"",""สบก!AJ85"")"),0)</f>
        <v>0</v>
      </c>
      <c r="L81" s="79">
        <f t="shared" ca="1" si="5"/>
        <v>0</v>
      </c>
      <c r="M81" s="79">
        <f t="shared" ca="1" si="6"/>
        <v>0</v>
      </c>
      <c r="N81" s="80">
        <f ca="1">IFERROR(__xludf.DUMMYFUNCTION("IMPORTRANGE(""https://docs.google.com/spreadsheets/d/1Yj_ptqi66GCucihVvJfMjLAmec39IyEx_6qawtMGysU/edit?usp=sharing"",""สบก!AK85"")"),0)</f>
        <v>0</v>
      </c>
      <c r="O81" s="79">
        <f t="shared" ca="1" si="7"/>
        <v>0</v>
      </c>
      <c r="P81" s="81">
        <f t="shared" ca="1" si="33"/>
        <v>0</v>
      </c>
      <c r="Q81" s="81">
        <f t="shared" ca="1" si="8"/>
        <v>0</v>
      </c>
      <c r="R81" s="81">
        <f t="shared" ca="1" si="51"/>
        <v>0</v>
      </c>
      <c r="S81" s="82">
        <f t="shared" ca="1" si="9"/>
        <v>0</v>
      </c>
      <c r="T81" s="81">
        <f t="shared" ca="1" si="52"/>
        <v>0</v>
      </c>
      <c r="U81" s="82">
        <f t="shared" ca="1" si="10"/>
        <v>0</v>
      </c>
      <c r="V81" s="77">
        <f ca="1">IFERROR(__xludf.DUMMYFUNCTION("IMPORTRANGE(""https://docs.google.com/spreadsheets/d/1C3CXT74ZlgGe6_JY_1olB1XN4rF0dxEuIIF-xsYjHgg/edit?usp=sharing"",""พรบ!H85"")"),0)</f>
        <v>0</v>
      </c>
      <c r="W81" s="77">
        <f ca="1">IFERROR(__xludf.DUMMYFUNCTION("IMPORTRANGE(""https://docs.google.com/spreadsheets/d/1C3CXT74ZlgGe6_JY_1olB1XN4rF0dxEuIIF-xsYjHgg/edit?usp=sharing"",""พรบ!I85"")"),0)</f>
        <v>0</v>
      </c>
      <c r="X81" s="81">
        <f ca="1">IFERROR(__xludf.DUMMYFUNCTION("IMPORTRANGE(""https://docs.google.com/spreadsheets/d/1IYY_tgx_IHuhSq3AJ5eI5OnqOPBNLWSHKh2a30DoXe8/edit?usp=sharing"",""นราธิวาส!J22"")"),0)</f>
        <v>0</v>
      </c>
      <c r="Y81" s="81">
        <f ca="1">IFERROR(__xludf.DUMMYFUNCTION("IMPORTRANGE(""https://docs.google.com/spreadsheets/d/1IYY_tgx_IHuhSq3AJ5eI5OnqOPBNLWSHKh2a30DoXe8/edit?usp=sharing"",""นราธิวาส!J23"")"),0)</f>
        <v>0</v>
      </c>
      <c r="Z81" s="77">
        <f ca="1">IFERROR(__xludf.DUMMYFUNCTION("IMPORTRANGE(""https://docs.google.com/spreadsheets/d/1C3CXT74ZlgGe6_JY_1olB1XN4rF0dxEuIIF-xsYjHgg/edit?usp=sharing"",""พรบ!J85"")"),0)</f>
        <v>0</v>
      </c>
      <c r="AA81" s="77">
        <f ca="1">IFERROR(__xludf.DUMMYFUNCTION("IMPORTRANGE(""https://docs.google.com/spreadsheets/d/1C3CXT74ZlgGe6_JY_1olB1XN4rF0dxEuIIF-xsYjHgg/edit?usp=sharing"",""พรบ!K85"")"),0)</f>
        <v>0</v>
      </c>
      <c r="AB81" s="81">
        <f ca="1">IFERROR(__xludf.DUMMYFUNCTION("IMPORTRANGE(""https://docs.google.com/spreadsheets/d/1IYY_tgx_IHuhSq3AJ5eI5OnqOPBNLWSHKh2a30DoXe8/edit?usp=sharing"",""นราธิวาส!J24"")"),0)</f>
        <v>0</v>
      </c>
      <c r="AC81" s="81">
        <f ca="1">IFERROR(__xludf.DUMMYFUNCTION("IMPORTRANGE(""https://docs.google.com/spreadsheets/d/1IYY_tgx_IHuhSq3AJ5eI5OnqOPBNLWSHKh2a30DoXe8/edit?usp=sharing"",""นราธิวาส!J25"")"),0)</f>
        <v>0</v>
      </c>
      <c r="AD81" s="77">
        <f ca="1">IFERROR(__xludf.DUMMYFUNCTION("IMPORTRANGE(""https://docs.google.com/spreadsheets/d/1C3CXT74ZlgGe6_JY_1olB1XN4rF0dxEuIIF-xsYjHgg/edit?usp=sharing"",""พรบ!L85"")"),0)</f>
        <v>0</v>
      </c>
      <c r="AE81" s="77">
        <f ca="1">IFERROR(__xludf.DUMMYFUNCTION("IMPORTRANGE(""https://docs.google.com/spreadsheets/d/1C3CXT74ZlgGe6_JY_1olB1XN4rF0dxEuIIF-xsYjHgg/edit?usp=sharing"",""พรบ!M85"")"),0)</f>
        <v>0</v>
      </c>
      <c r="AF81" s="81">
        <f ca="1">IFERROR(__xludf.DUMMYFUNCTION("IMPORTRANGE(""https://docs.google.com/spreadsheets/d/1IYY_tgx_IHuhSq3AJ5eI5OnqOPBNLWSHKh2a30DoXe8/edit?usp=sharing"",""นราธิวาส!J26"")"),0)</f>
        <v>0</v>
      </c>
      <c r="AG81" s="81">
        <f ca="1">IFERROR(__xludf.DUMMYFUNCTION("IMPORTRANGE(""https://docs.google.com/spreadsheets/d/1IYY_tgx_IHuhSq3AJ5eI5OnqOPBNLWSHKh2a30DoXe8/edit?usp=sharing"",""นราธิวาส!J27"")"),0)</f>
        <v>0</v>
      </c>
      <c r="AH81" s="77">
        <f ca="1">IFERROR(__xludf.DUMMYFUNCTION("IMPORTRANGE(""https://docs.google.com/spreadsheets/d/1C3CXT74ZlgGe6_JY_1olB1XN4rF0dxEuIIF-xsYjHgg/edit?usp=sharing"",""พรบ!N85"")"),0)</f>
        <v>0</v>
      </c>
      <c r="AI81" s="81">
        <f ca="1">IFERROR(__xludf.DUMMYFUNCTION("IMPORTRANGE(""https://docs.google.com/spreadsheets/d/1IYY_tgx_IHuhSq3AJ5eI5OnqOPBNLWSHKh2a30DoXe8/edit?usp=sharing"",""นราธิวาส!J28"")"),0)</f>
        <v>0</v>
      </c>
      <c r="AJ81" s="79">
        <f t="shared" ca="1" si="17"/>
        <v>0</v>
      </c>
    </row>
    <row r="82" spans="1:36" ht="21" customHeight="1">
      <c r="A82" s="73">
        <v>6</v>
      </c>
      <c r="B82" s="74" t="s">
        <v>106</v>
      </c>
      <c r="C82" s="75">
        <f t="shared" ca="1" si="0"/>
        <v>0</v>
      </c>
      <c r="D82" s="76">
        <f t="shared" ca="1" si="50"/>
        <v>0</v>
      </c>
      <c r="E82" s="77">
        <f ca="1">IFERROR(__xludf.DUMMYFUNCTION("IMPORTRANGE(""https://docs.google.com/spreadsheets/d/1C3CXT74ZlgGe6_JY_1olB1XN4rF0dxEuIIF-xsYjHgg/edit?usp=sharing"",""พรบ!D86"")"),0)</f>
        <v>0</v>
      </c>
      <c r="F82" s="77">
        <f ca="1">IFERROR(__xludf.DUMMYFUNCTION("IMPORTRANGE(""https://docs.google.com/spreadsheets/d/1C3CXT74ZlgGe6_JY_1olB1XN4rF0dxEuIIF-xsYjHgg/edit?usp=sharing"",""พรบ!E86"")"),0)</f>
        <v>0</v>
      </c>
      <c r="G82" s="77">
        <f ca="1">IFERROR(__xludf.DUMMYFUNCTION("IMPORTRANGE(""https://docs.google.com/spreadsheets/d/1Yj_ptqi66GCucihVvJfMjLAmec39IyEx_6qawtMGysU/edit?usp=sharing"",""สบก!AG86"")"),0)</f>
        <v>0</v>
      </c>
      <c r="H82" s="77">
        <f ca="1">IFERROR(__xludf.DUMMYFUNCTION("IMPORTRANGE(""https://docs.google.com/spreadsheets/d/1Yj_ptqi66GCucihVvJfMjLAmec39IyEx_6qawtMGysU/edit?usp=sharing"",""สบก!AI86"")"),0)</f>
        <v>0</v>
      </c>
      <c r="I82" s="77">
        <f t="shared" ca="1" si="3"/>
        <v>0</v>
      </c>
      <c r="J82" s="78">
        <f t="shared" ca="1" si="4"/>
        <v>0</v>
      </c>
      <c r="K82" s="77">
        <f ca="1">IFERROR(__xludf.DUMMYFUNCTION("IMPORTRANGE(""https://docs.google.com/spreadsheets/d/1Yj_ptqi66GCucihVvJfMjLAmec39IyEx_6qawtMGysU/edit?usp=sharing"",""สบก!AJ86"")"),0)</f>
        <v>0</v>
      </c>
      <c r="L82" s="79">
        <f t="shared" ca="1" si="5"/>
        <v>0</v>
      </c>
      <c r="M82" s="79">
        <f t="shared" ca="1" si="6"/>
        <v>0</v>
      </c>
      <c r="N82" s="80">
        <f ca="1">IFERROR(__xludf.DUMMYFUNCTION("IMPORTRANGE(""https://docs.google.com/spreadsheets/d/1Yj_ptqi66GCucihVvJfMjLAmec39IyEx_6qawtMGysU/edit?usp=sharing"",""สบก!AK86"")"),0)</f>
        <v>0</v>
      </c>
      <c r="O82" s="79">
        <f t="shared" ca="1" si="7"/>
        <v>0</v>
      </c>
      <c r="P82" s="81">
        <f t="shared" ca="1" si="33"/>
        <v>0</v>
      </c>
      <c r="Q82" s="81">
        <f t="shared" ca="1" si="8"/>
        <v>0</v>
      </c>
      <c r="R82" s="81">
        <f t="shared" ca="1" si="51"/>
        <v>0</v>
      </c>
      <c r="S82" s="82">
        <f t="shared" ca="1" si="9"/>
        <v>0</v>
      </c>
      <c r="T82" s="81">
        <f t="shared" ca="1" si="52"/>
        <v>0</v>
      </c>
      <c r="U82" s="82">
        <f t="shared" ca="1" si="10"/>
        <v>0</v>
      </c>
      <c r="V82" s="77">
        <f ca="1">IFERROR(__xludf.DUMMYFUNCTION("IMPORTRANGE(""https://docs.google.com/spreadsheets/d/1C3CXT74ZlgGe6_JY_1olB1XN4rF0dxEuIIF-xsYjHgg/edit?usp=sharing"",""พรบ!H86"")"),0)</f>
        <v>0</v>
      </c>
      <c r="W82" s="77">
        <f ca="1">IFERROR(__xludf.DUMMYFUNCTION("IMPORTRANGE(""https://docs.google.com/spreadsheets/d/1C3CXT74ZlgGe6_JY_1olB1XN4rF0dxEuIIF-xsYjHgg/edit?usp=sharing"",""พรบ!I86"")"),0)</f>
        <v>0</v>
      </c>
      <c r="X82" s="81">
        <f ca="1">IFERROR(__xludf.DUMMYFUNCTION("IMPORTRANGE(""https://docs.google.com/spreadsheets/d/1IYY_tgx_IHuhSq3AJ5eI5OnqOPBNLWSHKh2a30DoXe8/edit?usp=sharing"",""ปัตตานี!J22"")"),0)</f>
        <v>0</v>
      </c>
      <c r="Y82" s="81">
        <f ca="1">IFERROR(__xludf.DUMMYFUNCTION("IMPORTRANGE(""https://docs.google.com/spreadsheets/d/1IYY_tgx_IHuhSq3AJ5eI5OnqOPBNLWSHKh2a30DoXe8/edit?usp=sharing"",""ปัตตานี!J23"")"),0)</f>
        <v>0</v>
      </c>
      <c r="Z82" s="77">
        <f ca="1">IFERROR(__xludf.DUMMYFUNCTION("IMPORTRANGE(""https://docs.google.com/spreadsheets/d/1C3CXT74ZlgGe6_JY_1olB1XN4rF0dxEuIIF-xsYjHgg/edit?usp=sharing"",""พรบ!J86"")"),0)</f>
        <v>0</v>
      </c>
      <c r="AA82" s="77">
        <f ca="1">IFERROR(__xludf.DUMMYFUNCTION("IMPORTRANGE(""https://docs.google.com/spreadsheets/d/1C3CXT74ZlgGe6_JY_1olB1XN4rF0dxEuIIF-xsYjHgg/edit?usp=sharing"",""พรบ!K86"")"),0)</f>
        <v>0</v>
      </c>
      <c r="AB82" s="81">
        <f ca="1">IFERROR(__xludf.DUMMYFUNCTION("IMPORTRANGE(""https://docs.google.com/spreadsheets/d/1IYY_tgx_IHuhSq3AJ5eI5OnqOPBNLWSHKh2a30DoXe8/edit?usp=sharing"",""ปัตตานี!J24"")"),0)</f>
        <v>0</v>
      </c>
      <c r="AC82" s="81">
        <f ca="1">IFERROR(__xludf.DUMMYFUNCTION("IMPORTRANGE(""https://docs.google.com/spreadsheets/d/1IYY_tgx_IHuhSq3AJ5eI5OnqOPBNLWSHKh2a30DoXe8/edit?usp=sharing"",""ปัตตานี!J25"")"),0)</f>
        <v>0</v>
      </c>
      <c r="AD82" s="77">
        <f ca="1">IFERROR(__xludf.DUMMYFUNCTION("IMPORTRANGE(""https://docs.google.com/spreadsheets/d/1C3CXT74ZlgGe6_JY_1olB1XN4rF0dxEuIIF-xsYjHgg/edit?usp=sharing"",""พรบ!L86"")"),0)</f>
        <v>0</v>
      </c>
      <c r="AE82" s="77">
        <f ca="1">IFERROR(__xludf.DUMMYFUNCTION("IMPORTRANGE(""https://docs.google.com/spreadsheets/d/1C3CXT74ZlgGe6_JY_1olB1XN4rF0dxEuIIF-xsYjHgg/edit?usp=sharing"",""พรบ!M86"")"),0)</f>
        <v>0</v>
      </c>
      <c r="AF82" s="81">
        <f ca="1">IFERROR(__xludf.DUMMYFUNCTION("IMPORTRANGE(""https://docs.google.com/spreadsheets/d/1IYY_tgx_IHuhSq3AJ5eI5OnqOPBNLWSHKh2a30DoXe8/edit?usp=sharing"",""ปัตตานี!J26"")"),0)</f>
        <v>0</v>
      </c>
      <c r="AG82" s="81">
        <f ca="1">IFERROR(__xludf.DUMMYFUNCTION("IMPORTRANGE(""https://docs.google.com/spreadsheets/d/1IYY_tgx_IHuhSq3AJ5eI5OnqOPBNLWSHKh2a30DoXe8/edit?usp=sharing"",""ปัตตานี!J27"")"),0)</f>
        <v>0</v>
      </c>
      <c r="AH82" s="77">
        <f ca="1">IFERROR(__xludf.DUMMYFUNCTION("IMPORTRANGE(""https://docs.google.com/spreadsheets/d/1C3CXT74ZlgGe6_JY_1olB1XN4rF0dxEuIIF-xsYjHgg/edit?usp=sharing"",""พรบ!N86"")"),0)</f>
        <v>0</v>
      </c>
      <c r="AI82" s="81">
        <f ca="1">IFERROR(__xludf.DUMMYFUNCTION("IMPORTRANGE(""https://docs.google.com/spreadsheets/d/1IYY_tgx_IHuhSq3AJ5eI5OnqOPBNLWSHKh2a30DoXe8/edit?usp=sharing"",""ปัตตานี!J28"")"),0)</f>
        <v>0</v>
      </c>
      <c r="AJ82" s="79">
        <f t="shared" ca="1" si="17"/>
        <v>0</v>
      </c>
    </row>
    <row r="83" spans="1:36" ht="21" customHeight="1">
      <c r="A83" s="73">
        <v>7</v>
      </c>
      <c r="B83" s="74" t="s">
        <v>107</v>
      </c>
      <c r="C83" s="75">
        <f t="shared" ca="1" si="0"/>
        <v>0</v>
      </c>
      <c r="D83" s="76">
        <f t="shared" ca="1" si="50"/>
        <v>0</v>
      </c>
      <c r="E83" s="77">
        <f ca="1">IFERROR(__xludf.DUMMYFUNCTION("IMPORTRANGE(""https://docs.google.com/spreadsheets/d/1C3CXT74ZlgGe6_JY_1olB1XN4rF0dxEuIIF-xsYjHgg/edit?usp=sharing"",""พรบ!D87"")"),0)</f>
        <v>0</v>
      </c>
      <c r="F83" s="77">
        <f ca="1">IFERROR(__xludf.DUMMYFUNCTION("IMPORTRANGE(""https://docs.google.com/spreadsheets/d/1C3CXT74ZlgGe6_JY_1olB1XN4rF0dxEuIIF-xsYjHgg/edit?usp=sharing"",""พรบ!E87"")"),0)</f>
        <v>0</v>
      </c>
      <c r="G83" s="77">
        <f ca="1">IFERROR(__xludf.DUMMYFUNCTION("IMPORTRANGE(""https://docs.google.com/spreadsheets/d/1Yj_ptqi66GCucihVvJfMjLAmec39IyEx_6qawtMGysU/edit?usp=sharing"",""สบก!AG87"")"),0)</f>
        <v>0</v>
      </c>
      <c r="H83" s="77">
        <f ca="1">IFERROR(__xludf.DUMMYFUNCTION("IMPORTRANGE(""https://docs.google.com/spreadsheets/d/1Yj_ptqi66GCucihVvJfMjLAmec39IyEx_6qawtMGysU/edit?usp=sharing"",""สบก!AI87"")"),0)</f>
        <v>0</v>
      </c>
      <c r="I83" s="77">
        <f t="shared" ca="1" si="3"/>
        <v>0</v>
      </c>
      <c r="J83" s="78">
        <f t="shared" ca="1" si="4"/>
        <v>0</v>
      </c>
      <c r="K83" s="77">
        <f ca="1">IFERROR(__xludf.DUMMYFUNCTION("IMPORTRANGE(""https://docs.google.com/spreadsheets/d/1Yj_ptqi66GCucihVvJfMjLAmec39IyEx_6qawtMGysU/edit?usp=sharing"",""สบก!AJ87"")"),0)</f>
        <v>0</v>
      </c>
      <c r="L83" s="79">
        <f t="shared" ca="1" si="5"/>
        <v>0</v>
      </c>
      <c r="M83" s="79">
        <f t="shared" ca="1" si="6"/>
        <v>0</v>
      </c>
      <c r="N83" s="80">
        <f ca="1">IFERROR(__xludf.DUMMYFUNCTION("IMPORTRANGE(""https://docs.google.com/spreadsheets/d/1Yj_ptqi66GCucihVvJfMjLAmec39IyEx_6qawtMGysU/edit?usp=sharing"",""สบก!AK87"")"),0)</f>
        <v>0</v>
      </c>
      <c r="O83" s="79">
        <f t="shared" ca="1" si="7"/>
        <v>0</v>
      </c>
      <c r="P83" s="81">
        <f t="shared" ca="1" si="33"/>
        <v>0</v>
      </c>
      <c r="Q83" s="81">
        <f t="shared" ca="1" si="8"/>
        <v>0</v>
      </c>
      <c r="R83" s="81">
        <f t="shared" ca="1" si="51"/>
        <v>0</v>
      </c>
      <c r="S83" s="82">
        <f t="shared" ca="1" si="9"/>
        <v>0</v>
      </c>
      <c r="T83" s="81">
        <f t="shared" ca="1" si="52"/>
        <v>0</v>
      </c>
      <c r="U83" s="82">
        <f t="shared" ca="1" si="10"/>
        <v>0</v>
      </c>
      <c r="V83" s="77">
        <f ca="1">IFERROR(__xludf.DUMMYFUNCTION("IMPORTRANGE(""https://docs.google.com/spreadsheets/d/1C3CXT74ZlgGe6_JY_1olB1XN4rF0dxEuIIF-xsYjHgg/edit?usp=sharing"",""พรบ!H87"")"),0)</f>
        <v>0</v>
      </c>
      <c r="W83" s="77">
        <f ca="1">IFERROR(__xludf.DUMMYFUNCTION("IMPORTRANGE(""https://docs.google.com/spreadsheets/d/1C3CXT74ZlgGe6_JY_1olB1XN4rF0dxEuIIF-xsYjHgg/edit?usp=sharing"",""พรบ!I87"")"),0)</f>
        <v>0</v>
      </c>
      <c r="X83" s="81">
        <f ca="1">IFERROR(__xludf.DUMMYFUNCTION("IMPORTRANGE(""https://docs.google.com/spreadsheets/d/1IYY_tgx_IHuhSq3AJ5eI5OnqOPBNLWSHKh2a30DoXe8/edit?usp=sharing"",""พังงา!J22"")"),0)</f>
        <v>0</v>
      </c>
      <c r="Y83" s="81">
        <f ca="1">IFERROR(__xludf.DUMMYFUNCTION("IMPORTRANGE(""https://docs.google.com/spreadsheets/d/1IYY_tgx_IHuhSq3AJ5eI5OnqOPBNLWSHKh2a30DoXe8/edit?usp=sharing"",""พังงา!J23"")"),0)</f>
        <v>0</v>
      </c>
      <c r="Z83" s="77">
        <f ca="1">IFERROR(__xludf.DUMMYFUNCTION("IMPORTRANGE(""https://docs.google.com/spreadsheets/d/1C3CXT74ZlgGe6_JY_1olB1XN4rF0dxEuIIF-xsYjHgg/edit?usp=sharing"",""พรบ!J87"")"),0)</f>
        <v>0</v>
      </c>
      <c r="AA83" s="77">
        <f ca="1">IFERROR(__xludf.DUMMYFUNCTION("IMPORTRANGE(""https://docs.google.com/spreadsheets/d/1C3CXT74ZlgGe6_JY_1olB1XN4rF0dxEuIIF-xsYjHgg/edit?usp=sharing"",""พรบ!K87"")"),0)</f>
        <v>0</v>
      </c>
      <c r="AB83" s="81">
        <f ca="1">IFERROR(__xludf.DUMMYFUNCTION("IMPORTRANGE(""https://docs.google.com/spreadsheets/d/1IYY_tgx_IHuhSq3AJ5eI5OnqOPBNLWSHKh2a30DoXe8/edit?usp=sharing"",""พังงา!J24"")"),0)</f>
        <v>0</v>
      </c>
      <c r="AC83" s="81">
        <f ca="1">IFERROR(__xludf.DUMMYFUNCTION("IMPORTRANGE(""https://docs.google.com/spreadsheets/d/1IYY_tgx_IHuhSq3AJ5eI5OnqOPBNLWSHKh2a30DoXe8/edit?usp=sharing"",""พังงา!J25"")"),0)</f>
        <v>0</v>
      </c>
      <c r="AD83" s="77">
        <f ca="1">IFERROR(__xludf.DUMMYFUNCTION("IMPORTRANGE(""https://docs.google.com/spreadsheets/d/1C3CXT74ZlgGe6_JY_1olB1XN4rF0dxEuIIF-xsYjHgg/edit?usp=sharing"",""พรบ!L87"")"),0)</f>
        <v>0</v>
      </c>
      <c r="AE83" s="77">
        <f ca="1">IFERROR(__xludf.DUMMYFUNCTION("IMPORTRANGE(""https://docs.google.com/spreadsheets/d/1C3CXT74ZlgGe6_JY_1olB1XN4rF0dxEuIIF-xsYjHgg/edit?usp=sharing"",""พรบ!M87"")"),0)</f>
        <v>0</v>
      </c>
      <c r="AF83" s="81">
        <f ca="1">IFERROR(__xludf.DUMMYFUNCTION("IMPORTRANGE(""https://docs.google.com/spreadsheets/d/1IYY_tgx_IHuhSq3AJ5eI5OnqOPBNLWSHKh2a30DoXe8/edit?usp=sharing"",""พังงา!J26"")"),0)</f>
        <v>0</v>
      </c>
      <c r="AG83" s="81">
        <f ca="1">IFERROR(__xludf.DUMMYFUNCTION("IMPORTRANGE(""https://docs.google.com/spreadsheets/d/1IYY_tgx_IHuhSq3AJ5eI5OnqOPBNLWSHKh2a30DoXe8/edit?usp=sharing"",""พังงา!J27"")"),0)</f>
        <v>0</v>
      </c>
      <c r="AH83" s="77">
        <f ca="1">IFERROR(__xludf.DUMMYFUNCTION("IMPORTRANGE(""https://docs.google.com/spreadsheets/d/1C3CXT74ZlgGe6_JY_1olB1XN4rF0dxEuIIF-xsYjHgg/edit?usp=sharing"",""พรบ!N87"")"),0)</f>
        <v>0</v>
      </c>
      <c r="AI83" s="81">
        <f ca="1">IFERROR(__xludf.DUMMYFUNCTION("IMPORTRANGE(""https://docs.google.com/spreadsheets/d/1IYY_tgx_IHuhSq3AJ5eI5OnqOPBNLWSHKh2a30DoXe8/edit?usp=sharing"",""พังงา!J28"")"),0)</f>
        <v>0</v>
      </c>
      <c r="AJ83" s="79">
        <f t="shared" ca="1" si="17"/>
        <v>0</v>
      </c>
    </row>
    <row r="84" spans="1:36" ht="21" customHeight="1">
      <c r="A84" s="73">
        <v>8</v>
      </c>
      <c r="B84" s="74" t="s">
        <v>108</v>
      </c>
      <c r="C84" s="75">
        <f t="shared" ca="1" si="0"/>
        <v>580200</v>
      </c>
      <c r="D84" s="76">
        <f t="shared" ca="1" si="50"/>
        <v>580200</v>
      </c>
      <c r="E84" s="77">
        <f ca="1">IFERROR(__xludf.DUMMYFUNCTION("IMPORTRANGE(""https://docs.google.com/spreadsheets/d/1C3CXT74ZlgGe6_JY_1olB1XN4rF0dxEuIIF-xsYjHgg/edit?usp=sharing"",""พรบ!D88"")"),188200)</f>
        <v>188200</v>
      </c>
      <c r="F84" s="77">
        <f ca="1">IFERROR(__xludf.DUMMYFUNCTION("IMPORTRANGE(""https://docs.google.com/spreadsheets/d/1C3CXT74ZlgGe6_JY_1olB1XN4rF0dxEuIIF-xsYjHgg/edit?usp=sharing"",""พรบ!E88"")"),392000)</f>
        <v>392000</v>
      </c>
      <c r="G84" s="77">
        <f ca="1">IFERROR(__xludf.DUMMYFUNCTION("IMPORTRANGE(""https://docs.google.com/spreadsheets/d/1Yj_ptqi66GCucihVvJfMjLAmec39IyEx_6qawtMGysU/edit?usp=sharing"",""สบก!AG88"")"),0)</f>
        <v>0</v>
      </c>
      <c r="H84" s="77">
        <f ca="1">IFERROR(__xludf.DUMMYFUNCTION("IMPORTRANGE(""https://docs.google.com/spreadsheets/d/1Yj_ptqi66GCucihVvJfMjLAmec39IyEx_6qawtMGysU/edit?usp=sharing"",""สบก!AI88"")"),460820)</f>
        <v>460820</v>
      </c>
      <c r="I84" s="77">
        <f t="shared" ca="1" si="3"/>
        <v>241379.28</v>
      </c>
      <c r="J84" s="78">
        <f t="shared" ca="1" si="4"/>
        <v>41.602771458117893</v>
      </c>
      <c r="K84" s="77">
        <f ca="1">IFERROR(__xludf.DUMMYFUNCTION("IMPORTRANGE(""https://docs.google.com/spreadsheets/d/1Yj_ptqi66GCucihVvJfMjLAmec39IyEx_6qawtMGysU/edit?usp=sharing"",""สบก!AJ88"")"),241379.28)</f>
        <v>241379.28</v>
      </c>
      <c r="L84" s="79">
        <f t="shared" ca="1" si="5"/>
        <v>41.602771458117893</v>
      </c>
      <c r="M84" s="79">
        <f t="shared" ca="1" si="6"/>
        <v>52.380382795885595</v>
      </c>
      <c r="N84" s="80">
        <f ca="1">IFERROR(__xludf.DUMMYFUNCTION("IMPORTRANGE(""https://docs.google.com/spreadsheets/d/1Yj_ptqi66GCucihVvJfMjLAmec39IyEx_6qawtMGysU/edit?usp=sharing"",""สบก!AK88"")"),0)</f>
        <v>0</v>
      </c>
      <c r="O84" s="79">
        <f t="shared" ca="1" si="7"/>
        <v>0</v>
      </c>
      <c r="P84" s="81">
        <f t="shared" ca="1" si="33"/>
        <v>1</v>
      </c>
      <c r="Q84" s="81">
        <f t="shared" ca="1" si="8"/>
        <v>30</v>
      </c>
      <c r="R84" s="81">
        <f t="shared" ca="1" si="51"/>
        <v>1</v>
      </c>
      <c r="S84" s="82">
        <f t="shared" ca="1" si="9"/>
        <v>100</v>
      </c>
      <c r="T84" s="81">
        <f t="shared" ca="1" si="52"/>
        <v>30</v>
      </c>
      <c r="U84" s="82">
        <f t="shared" ca="1" si="10"/>
        <v>100</v>
      </c>
      <c r="V84" s="77">
        <f ca="1">IFERROR(__xludf.DUMMYFUNCTION("IMPORTRANGE(""https://docs.google.com/spreadsheets/d/1C3CXT74ZlgGe6_JY_1olB1XN4rF0dxEuIIF-xsYjHgg/edit?usp=sharing"",""พรบ!H88"")"),1)</f>
        <v>1</v>
      </c>
      <c r="W84" s="77">
        <f ca="1">IFERROR(__xludf.DUMMYFUNCTION("IMPORTRANGE(""https://docs.google.com/spreadsheets/d/1C3CXT74ZlgGe6_JY_1olB1XN4rF0dxEuIIF-xsYjHgg/edit?usp=sharing"",""พรบ!I88"")"),30)</f>
        <v>30</v>
      </c>
      <c r="X84" s="81">
        <f ca="1">IFERROR(__xludf.DUMMYFUNCTION("IMPORTRANGE(""https://docs.google.com/spreadsheets/d/1IYY_tgx_IHuhSq3AJ5eI5OnqOPBNLWSHKh2a30DoXe8/edit?usp=sharing"",""พัทลุง!J22"")"),1)</f>
        <v>1</v>
      </c>
      <c r="Y84" s="81">
        <f ca="1">IFERROR(__xludf.DUMMYFUNCTION("IMPORTRANGE(""https://docs.google.com/spreadsheets/d/1IYY_tgx_IHuhSq3AJ5eI5OnqOPBNLWSHKh2a30DoXe8/edit?usp=sharing"",""พัทลุง!J23"")"),30)</f>
        <v>30</v>
      </c>
      <c r="Z84" s="77">
        <f ca="1">IFERROR(__xludf.DUMMYFUNCTION("IMPORTRANGE(""https://docs.google.com/spreadsheets/d/1C3CXT74ZlgGe6_JY_1olB1XN4rF0dxEuIIF-xsYjHgg/edit?usp=sharing"",""พรบ!J88"")"),0)</f>
        <v>0</v>
      </c>
      <c r="AA84" s="77">
        <f ca="1">IFERROR(__xludf.DUMMYFUNCTION("IMPORTRANGE(""https://docs.google.com/spreadsheets/d/1C3CXT74ZlgGe6_JY_1olB1XN4rF0dxEuIIF-xsYjHgg/edit?usp=sharing"",""พรบ!K88"")"),0)</f>
        <v>0</v>
      </c>
      <c r="AB84" s="81">
        <f ca="1">IFERROR(__xludf.DUMMYFUNCTION("IMPORTRANGE(""https://docs.google.com/spreadsheets/d/1IYY_tgx_IHuhSq3AJ5eI5OnqOPBNLWSHKh2a30DoXe8/edit?usp=sharing"",""พัทลุง!J24"")"),0)</f>
        <v>0</v>
      </c>
      <c r="AC84" s="81">
        <f ca="1">IFERROR(__xludf.DUMMYFUNCTION("IMPORTRANGE(""https://docs.google.com/spreadsheets/d/1IYY_tgx_IHuhSq3AJ5eI5OnqOPBNLWSHKh2a30DoXe8/edit?usp=sharing"",""พัทลุง!J25"")"),0)</f>
        <v>0</v>
      </c>
      <c r="AD84" s="77">
        <f ca="1">IFERROR(__xludf.DUMMYFUNCTION("IMPORTRANGE(""https://docs.google.com/spreadsheets/d/1C3CXT74ZlgGe6_JY_1olB1XN4rF0dxEuIIF-xsYjHgg/edit?usp=sharing"",""พรบ!L88"")"),0)</f>
        <v>0</v>
      </c>
      <c r="AE84" s="77">
        <f ca="1">IFERROR(__xludf.DUMMYFUNCTION("IMPORTRANGE(""https://docs.google.com/spreadsheets/d/1C3CXT74ZlgGe6_JY_1olB1XN4rF0dxEuIIF-xsYjHgg/edit?usp=sharing"",""พรบ!M88"")"),0)</f>
        <v>0</v>
      </c>
      <c r="AF84" s="81">
        <f ca="1">IFERROR(__xludf.DUMMYFUNCTION("IMPORTRANGE(""https://docs.google.com/spreadsheets/d/1IYY_tgx_IHuhSq3AJ5eI5OnqOPBNLWSHKh2a30DoXe8/edit?usp=sharing"",""พัทลุง!J26"")"),0)</f>
        <v>0</v>
      </c>
      <c r="AG84" s="81">
        <f ca="1">IFERROR(__xludf.DUMMYFUNCTION("IMPORTRANGE(""https://docs.google.com/spreadsheets/d/1IYY_tgx_IHuhSq3AJ5eI5OnqOPBNLWSHKh2a30DoXe8/edit?usp=sharing"",""พัทลุง!J27"")"),0)</f>
        <v>0</v>
      </c>
      <c r="AH84" s="77">
        <f ca="1">IFERROR(__xludf.DUMMYFUNCTION("IMPORTRANGE(""https://docs.google.com/spreadsheets/d/1C3CXT74ZlgGe6_JY_1olB1XN4rF0dxEuIIF-xsYjHgg/edit?usp=sharing"",""พรบ!N88"")"),30)</f>
        <v>30</v>
      </c>
      <c r="AI84" s="81">
        <f ca="1">IFERROR(__xludf.DUMMYFUNCTION("IMPORTRANGE(""https://docs.google.com/spreadsheets/d/1IYY_tgx_IHuhSq3AJ5eI5OnqOPBNLWSHKh2a30DoXe8/edit?usp=sharing"",""พัทลุง!J28"")"),0)</f>
        <v>0</v>
      </c>
      <c r="AJ84" s="79">
        <f t="shared" ca="1" si="17"/>
        <v>0</v>
      </c>
    </row>
    <row r="85" spans="1:36" ht="21" customHeight="1">
      <c r="A85" s="73">
        <v>9</v>
      </c>
      <c r="B85" s="74" t="s">
        <v>109</v>
      </c>
      <c r="C85" s="75">
        <f t="shared" ca="1" si="0"/>
        <v>0</v>
      </c>
      <c r="D85" s="76">
        <f t="shared" ca="1" si="50"/>
        <v>0</v>
      </c>
      <c r="E85" s="77">
        <f ca="1">IFERROR(__xludf.DUMMYFUNCTION("IMPORTRANGE(""https://docs.google.com/spreadsheets/d/1C3CXT74ZlgGe6_JY_1olB1XN4rF0dxEuIIF-xsYjHgg/edit?usp=sharing"",""พรบ!D89"")"),0)</f>
        <v>0</v>
      </c>
      <c r="F85" s="77">
        <f ca="1">IFERROR(__xludf.DUMMYFUNCTION("IMPORTRANGE(""https://docs.google.com/spreadsheets/d/1C3CXT74ZlgGe6_JY_1olB1XN4rF0dxEuIIF-xsYjHgg/edit?usp=sharing"",""พรบ!E89"")"),0)</f>
        <v>0</v>
      </c>
      <c r="G85" s="77">
        <f ca="1">IFERROR(__xludf.DUMMYFUNCTION("IMPORTRANGE(""https://docs.google.com/spreadsheets/d/1Yj_ptqi66GCucihVvJfMjLAmec39IyEx_6qawtMGysU/edit?usp=sharing"",""สบก!AG89"")"),0)</f>
        <v>0</v>
      </c>
      <c r="H85" s="77">
        <f ca="1">IFERROR(__xludf.DUMMYFUNCTION("IMPORTRANGE(""https://docs.google.com/spreadsheets/d/1Yj_ptqi66GCucihVvJfMjLAmec39IyEx_6qawtMGysU/edit?usp=sharing"",""สบก!AI89"")"),0)</f>
        <v>0</v>
      </c>
      <c r="I85" s="77">
        <f t="shared" ca="1" si="3"/>
        <v>0</v>
      </c>
      <c r="J85" s="78">
        <f t="shared" ca="1" si="4"/>
        <v>0</v>
      </c>
      <c r="K85" s="77">
        <f ca="1">IFERROR(__xludf.DUMMYFUNCTION("IMPORTRANGE(""https://docs.google.com/spreadsheets/d/1Yj_ptqi66GCucihVvJfMjLAmec39IyEx_6qawtMGysU/edit?usp=sharing"",""สบก!AJ89"")"),0)</f>
        <v>0</v>
      </c>
      <c r="L85" s="79">
        <f t="shared" ca="1" si="5"/>
        <v>0</v>
      </c>
      <c r="M85" s="79">
        <f t="shared" ca="1" si="6"/>
        <v>0</v>
      </c>
      <c r="N85" s="80">
        <f ca="1">IFERROR(__xludf.DUMMYFUNCTION("IMPORTRANGE(""https://docs.google.com/spreadsheets/d/1Yj_ptqi66GCucihVvJfMjLAmec39IyEx_6qawtMGysU/edit?usp=sharing"",""สบก!AK89"")"),0)</f>
        <v>0</v>
      </c>
      <c r="O85" s="79">
        <f t="shared" ca="1" si="7"/>
        <v>0</v>
      </c>
      <c r="P85" s="81">
        <f t="shared" ca="1" si="33"/>
        <v>0</v>
      </c>
      <c r="Q85" s="81">
        <f t="shared" ca="1" si="8"/>
        <v>0</v>
      </c>
      <c r="R85" s="81">
        <f t="shared" ca="1" si="51"/>
        <v>0</v>
      </c>
      <c r="S85" s="82">
        <f t="shared" ca="1" si="9"/>
        <v>0</v>
      </c>
      <c r="T85" s="81">
        <f t="shared" ca="1" si="52"/>
        <v>0</v>
      </c>
      <c r="U85" s="82">
        <f t="shared" ca="1" si="10"/>
        <v>0</v>
      </c>
      <c r="V85" s="77">
        <f ca="1">IFERROR(__xludf.DUMMYFUNCTION("IMPORTRANGE(""https://docs.google.com/spreadsheets/d/1C3CXT74ZlgGe6_JY_1olB1XN4rF0dxEuIIF-xsYjHgg/edit?usp=sharing"",""พรบ!H89"")"),0)</f>
        <v>0</v>
      </c>
      <c r="W85" s="77">
        <f ca="1">IFERROR(__xludf.DUMMYFUNCTION("IMPORTRANGE(""https://docs.google.com/spreadsheets/d/1C3CXT74ZlgGe6_JY_1olB1XN4rF0dxEuIIF-xsYjHgg/edit?usp=sharing"",""พรบ!I89"")"),0)</f>
        <v>0</v>
      </c>
      <c r="X85" s="81">
        <f ca="1">IFERROR(__xludf.DUMMYFUNCTION("IMPORTRANGE(""https://docs.google.com/spreadsheets/d/1IYY_tgx_IHuhSq3AJ5eI5OnqOPBNLWSHKh2a30DoXe8/edit?usp=sharing"",""ภูเก็ต!J22"")"),0)</f>
        <v>0</v>
      </c>
      <c r="Y85" s="81">
        <f ca="1">IFERROR(__xludf.DUMMYFUNCTION("IMPORTRANGE(""https://docs.google.com/spreadsheets/d/1IYY_tgx_IHuhSq3AJ5eI5OnqOPBNLWSHKh2a30DoXe8/edit?usp=sharing"",""ภูเก็ต!J23"")"),0)</f>
        <v>0</v>
      </c>
      <c r="Z85" s="77">
        <f ca="1">IFERROR(__xludf.DUMMYFUNCTION("IMPORTRANGE(""https://docs.google.com/spreadsheets/d/1C3CXT74ZlgGe6_JY_1olB1XN4rF0dxEuIIF-xsYjHgg/edit?usp=sharing"",""พรบ!J89"")"),0)</f>
        <v>0</v>
      </c>
      <c r="AA85" s="77">
        <f ca="1">IFERROR(__xludf.DUMMYFUNCTION("IMPORTRANGE(""https://docs.google.com/spreadsheets/d/1C3CXT74ZlgGe6_JY_1olB1XN4rF0dxEuIIF-xsYjHgg/edit?usp=sharing"",""พรบ!K89"")"),0)</f>
        <v>0</v>
      </c>
      <c r="AB85" s="81">
        <f ca="1">IFERROR(__xludf.DUMMYFUNCTION("IMPORTRANGE(""https://docs.google.com/spreadsheets/d/1IYY_tgx_IHuhSq3AJ5eI5OnqOPBNLWSHKh2a30DoXe8/edit?usp=sharing"",""ภูเก็ต!J24"")"),0)</f>
        <v>0</v>
      </c>
      <c r="AC85" s="81">
        <f ca="1">IFERROR(__xludf.DUMMYFUNCTION("IMPORTRANGE(""https://docs.google.com/spreadsheets/d/1IYY_tgx_IHuhSq3AJ5eI5OnqOPBNLWSHKh2a30DoXe8/edit?usp=sharing"",""ภูเก็ต!J25"")"),0)</f>
        <v>0</v>
      </c>
      <c r="AD85" s="77">
        <f ca="1">IFERROR(__xludf.DUMMYFUNCTION("IMPORTRANGE(""https://docs.google.com/spreadsheets/d/1C3CXT74ZlgGe6_JY_1olB1XN4rF0dxEuIIF-xsYjHgg/edit?usp=sharing"",""พรบ!L89"")"),0)</f>
        <v>0</v>
      </c>
      <c r="AE85" s="77">
        <f ca="1">IFERROR(__xludf.DUMMYFUNCTION("IMPORTRANGE(""https://docs.google.com/spreadsheets/d/1C3CXT74ZlgGe6_JY_1olB1XN4rF0dxEuIIF-xsYjHgg/edit?usp=sharing"",""พรบ!M89"")"),0)</f>
        <v>0</v>
      </c>
      <c r="AF85" s="81">
        <f ca="1">IFERROR(__xludf.DUMMYFUNCTION("IMPORTRANGE(""https://docs.google.com/spreadsheets/d/1IYY_tgx_IHuhSq3AJ5eI5OnqOPBNLWSHKh2a30DoXe8/edit?usp=sharing"",""ภูเก็ต!J26"")"),0)</f>
        <v>0</v>
      </c>
      <c r="AG85" s="81">
        <f ca="1">IFERROR(__xludf.DUMMYFUNCTION("IMPORTRANGE(""https://docs.google.com/spreadsheets/d/1IYY_tgx_IHuhSq3AJ5eI5OnqOPBNLWSHKh2a30DoXe8/edit?usp=sharing"",""ภูเก็ต!J27"")"),0)</f>
        <v>0</v>
      </c>
      <c r="AH85" s="77">
        <f ca="1">IFERROR(__xludf.DUMMYFUNCTION("IMPORTRANGE(""https://docs.google.com/spreadsheets/d/1C3CXT74ZlgGe6_JY_1olB1XN4rF0dxEuIIF-xsYjHgg/edit?usp=sharing"",""พรบ!N89"")"),0)</f>
        <v>0</v>
      </c>
      <c r="AI85" s="81">
        <f ca="1">IFERROR(__xludf.DUMMYFUNCTION("IMPORTRANGE(""https://docs.google.com/spreadsheets/d/1IYY_tgx_IHuhSq3AJ5eI5OnqOPBNLWSHKh2a30DoXe8/edit?usp=sharing"",""ภูเก็ต!J28"")"),0)</f>
        <v>0</v>
      </c>
      <c r="AJ85" s="79">
        <f t="shared" ca="1" si="17"/>
        <v>0</v>
      </c>
    </row>
    <row r="86" spans="1:36" ht="21" customHeight="1">
      <c r="A86" s="73">
        <v>10</v>
      </c>
      <c r="B86" s="74" t="s">
        <v>110</v>
      </c>
      <c r="C86" s="75">
        <f t="shared" ca="1" si="0"/>
        <v>0</v>
      </c>
      <c r="D86" s="76">
        <f t="shared" ca="1" si="50"/>
        <v>0</v>
      </c>
      <c r="E86" s="77">
        <f ca="1">IFERROR(__xludf.DUMMYFUNCTION("IMPORTRANGE(""https://docs.google.com/spreadsheets/d/1C3CXT74ZlgGe6_JY_1olB1XN4rF0dxEuIIF-xsYjHgg/edit?usp=sharing"",""พรบ!D90"")"),0)</f>
        <v>0</v>
      </c>
      <c r="F86" s="77">
        <f ca="1">IFERROR(__xludf.DUMMYFUNCTION("IMPORTRANGE(""https://docs.google.com/spreadsheets/d/1C3CXT74ZlgGe6_JY_1olB1XN4rF0dxEuIIF-xsYjHgg/edit?usp=sharing"",""พรบ!E90"")"),0)</f>
        <v>0</v>
      </c>
      <c r="G86" s="77">
        <f ca="1">IFERROR(__xludf.DUMMYFUNCTION("IMPORTRANGE(""https://docs.google.com/spreadsheets/d/1Yj_ptqi66GCucihVvJfMjLAmec39IyEx_6qawtMGysU/edit?usp=sharing"",""สบก!AG90"")"),0)</f>
        <v>0</v>
      </c>
      <c r="H86" s="77">
        <f ca="1">IFERROR(__xludf.DUMMYFUNCTION("IMPORTRANGE(""https://docs.google.com/spreadsheets/d/1Yj_ptqi66GCucihVvJfMjLAmec39IyEx_6qawtMGysU/edit?usp=sharing"",""สบก!AI90"")"),0)</f>
        <v>0</v>
      </c>
      <c r="I86" s="77">
        <f t="shared" ca="1" si="3"/>
        <v>0</v>
      </c>
      <c r="J86" s="78">
        <f t="shared" ca="1" si="4"/>
        <v>0</v>
      </c>
      <c r="K86" s="77">
        <f ca="1">IFERROR(__xludf.DUMMYFUNCTION("IMPORTRANGE(""https://docs.google.com/spreadsheets/d/1Yj_ptqi66GCucihVvJfMjLAmec39IyEx_6qawtMGysU/edit?usp=sharing"",""สบก!AJ90"")"),0)</f>
        <v>0</v>
      </c>
      <c r="L86" s="79">
        <f t="shared" ca="1" si="5"/>
        <v>0</v>
      </c>
      <c r="M86" s="79">
        <f t="shared" ca="1" si="6"/>
        <v>0</v>
      </c>
      <c r="N86" s="80">
        <f ca="1">IFERROR(__xludf.DUMMYFUNCTION("IMPORTRANGE(""https://docs.google.com/spreadsheets/d/1Yj_ptqi66GCucihVvJfMjLAmec39IyEx_6qawtMGysU/edit?usp=sharing"",""สบก!AK90"")"),0)</f>
        <v>0</v>
      </c>
      <c r="O86" s="79">
        <f t="shared" ca="1" si="7"/>
        <v>0</v>
      </c>
      <c r="P86" s="81">
        <f t="shared" ca="1" si="33"/>
        <v>0</v>
      </c>
      <c r="Q86" s="81">
        <f t="shared" ca="1" si="8"/>
        <v>0</v>
      </c>
      <c r="R86" s="81">
        <f t="shared" ca="1" si="51"/>
        <v>0</v>
      </c>
      <c r="S86" s="82">
        <f t="shared" ca="1" si="9"/>
        <v>0</v>
      </c>
      <c r="T86" s="81">
        <f t="shared" ca="1" si="52"/>
        <v>0</v>
      </c>
      <c r="U86" s="82">
        <f t="shared" ca="1" si="10"/>
        <v>0</v>
      </c>
      <c r="V86" s="77">
        <f ca="1">IFERROR(__xludf.DUMMYFUNCTION("IMPORTRANGE(""https://docs.google.com/spreadsheets/d/1C3CXT74ZlgGe6_JY_1olB1XN4rF0dxEuIIF-xsYjHgg/edit?usp=sharing"",""พรบ!H90"")"),0)</f>
        <v>0</v>
      </c>
      <c r="W86" s="77">
        <f ca="1">IFERROR(__xludf.DUMMYFUNCTION("IMPORTRANGE(""https://docs.google.com/spreadsheets/d/1C3CXT74ZlgGe6_JY_1olB1XN4rF0dxEuIIF-xsYjHgg/edit?usp=sharing"",""พรบ!I90"")"),0)</f>
        <v>0</v>
      </c>
      <c r="X86" s="81">
        <f ca="1">IFERROR(__xludf.DUMMYFUNCTION("IMPORTRANGE(""https://docs.google.com/spreadsheets/d/1IYY_tgx_IHuhSq3AJ5eI5OnqOPBNLWSHKh2a30DoXe8/edit?usp=sharing"",""ยะลา!J22"")"),0)</f>
        <v>0</v>
      </c>
      <c r="Y86" s="81">
        <f ca="1">IFERROR(__xludf.DUMMYFUNCTION("IMPORTRANGE(""https://docs.google.com/spreadsheets/d/1IYY_tgx_IHuhSq3AJ5eI5OnqOPBNLWSHKh2a30DoXe8/edit?usp=sharing"",""ยะลา!J23"")"),0)</f>
        <v>0</v>
      </c>
      <c r="Z86" s="77">
        <f ca="1">IFERROR(__xludf.DUMMYFUNCTION("IMPORTRANGE(""https://docs.google.com/spreadsheets/d/1C3CXT74ZlgGe6_JY_1olB1XN4rF0dxEuIIF-xsYjHgg/edit?usp=sharing"",""พรบ!J90"")"),0)</f>
        <v>0</v>
      </c>
      <c r="AA86" s="77">
        <f ca="1">IFERROR(__xludf.DUMMYFUNCTION("IMPORTRANGE(""https://docs.google.com/spreadsheets/d/1C3CXT74ZlgGe6_JY_1olB1XN4rF0dxEuIIF-xsYjHgg/edit?usp=sharing"",""พรบ!K90"")"),0)</f>
        <v>0</v>
      </c>
      <c r="AB86" s="81">
        <f ca="1">IFERROR(__xludf.DUMMYFUNCTION("IMPORTRANGE(""https://docs.google.com/spreadsheets/d/1IYY_tgx_IHuhSq3AJ5eI5OnqOPBNLWSHKh2a30DoXe8/edit?usp=sharing"",""ยะลา!J24"")"),0)</f>
        <v>0</v>
      </c>
      <c r="AC86" s="81">
        <f ca="1">IFERROR(__xludf.DUMMYFUNCTION("IMPORTRANGE(""https://docs.google.com/spreadsheets/d/1IYY_tgx_IHuhSq3AJ5eI5OnqOPBNLWSHKh2a30DoXe8/edit?usp=sharing"",""ยะลา!J25"")"),0)</f>
        <v>0</v>
      </c>
      <c r="AD86" s="77">
        <f ca="1">IFERROR(__xludf.DUMMYFUNCTION("IMPORTRANGE(""https://docs.google.com/spreadsheets/d/1C3CXT74ZlgGe6_JY_1olB1XN4rF0dxEuIIF-xsYjHgg/edit?usp=sharing"",""พรบ!L90"")"),0)</f>
        <v>0</v>
      </c>
      <c r="AE86" s="77">
        <f ca="1">IFERROR(__xludf.DUMMYFUNCTION("IMPORTRANGE(""https://docs.google.com/spreadsheets/d/1C3CXT74ZlgGe6_JY_1olB1XN4rF0dxEuIIF-xsYjHgg/edit?usp=sharing"",""พรบ!M90"")"),0)</f>
        <v>0</v>
      </c>
      <c r="AF86" s="81">
        <f ca="1">IFERROR(__xludf.DUMMYFUNCTION("IMPORTRANGE(""https://docs.google.com/spreadsheets/d/1IYY_tgx_IHuhSq3AJ5eI5OnqOPBNLWSHKh2a30DoXe8/edit?usp=sharing"",""ยะลา!J26"")"),0)</f>
        <v>0</v>
      </c>
      <c r="AG86" s="81">
        <f ca="1">IFERROR(__xludf.DUMMYFUNCTION("IMPORTRANGE(""https://docs.google.com/spreadsheets/d/1IYY_tgx_IHuhSq3AJ5eI5OnqOPBNLWSHKh2a30DoXe8/edit?usp=sharing"",""ยะลา!J27"")"),0)</f>
        <v>0</v>
      </c>
      <c r="AH86" s="77">
        <f ca="1">IFERROR(__xludf.DUMMYFUNCTION("IMPORTRANGE(""https://docs.google.com/spreadsheets/d/1C3CXT74ZlgGe6_JY_1olB1XN4rF0dxEuIIF-xsYjHgg/edit?usp=sharing"",""พรบ!N90"")"),0)</f>
        <v>0</v>
      </c>
      <c r="AI86" s="81">
        <f ca="1">IFERROR(__xludf.DUMMYFUNCTION("IMPORTRANGE(""https://docs.google.com/spreadsheets/d/1IYY_tgx_IHuhSq3AJ5eI5OnqOPBNLWSHKh2a30DoXe8/edit?usp=sharing"",""ยะลา!J28"")"),0)</f>
        <v>0</v>
      </c>
      <c r="AJ86" s="79">
        <f t="shared" ca="1" si="17"/>
        <v>0</v>
      </c>
    </row>
    <row r="87" spans="1:36" ht="21" customHeight="1">
      <c r="A87" s="73">
        <v>11</v>
      </c>
      <c r="B87" s="74" t="s">
        <v>111</v>
      </c>
      <c r="C87" s="75">
        <f t="shared" ca="1" si="0"/>
        <v>0</v>
      </c>
      <c r="D87" s="76">
        <f t="shared" ca="1" si="50"/>
        <v>0</v>
      </c>
      <c r="E87" s="77">
        <f ca="1">IFERROR(__xludf.DUMMYFUNCTION("IMPORTRANGE(""https://docs.google.com/spreadsheets/d/1C3CXT74ZlgGe6_JY_1olB1XN4rF0dxEuIIF-xsYjHgg/edit?usp=sharing"",""พรบ!D91"")"),0)</f>
        <v>0</v>
      </c>
      <c r="F87" s="77">
        <f ca="1">IFERROR(__xludf.DUMMYFUNCTION("IMPORTRANGE(""https://docs.google.com/spreadsheets/d/1C3CXT74ZlgGe6_JY_1olB1XN4rF0dxEuIIF-xsYjHgg/edit?usp=sharing"",""พรบ!E91"")"),0)</f>
        <v>0</v>
      </c>
      <c r="G87" s="77">
        <f ca="1">IFERROR(__xludf.DUMMYFUNCTION("IMPORTRANGE(""https://docs.google.com/spreadsheets/d/1Yj_ptqi66GCucihVvJfMjLAmec39IyEx_6qawtMGysU/edit?usp=sharing"",""สบก!AG91"")"),0)</f>
        <v>0</v>
      </c>
      <c r="H87" s="77">
        <f ca="1">IFERROR(__xludf.DUMMYFUNCTION("IMPORTRANGE(""https://docs.google.com/spreadsheets/d/1Yj_ptqi66GCucihVvJfMjLAmec39IyEx_6qawtMGysU/edit?usp=sharing"",""สบก!AI91"")"),0)</f>
        <v>0</v>
      </c>
      <c r="I87" s="77">
        <f t="shared" ca="1" si="3"/>
        <v>0</v>
      </c>
      <c r="J87" s="78">
        <f t="shared" ca="1" si="4"/>
        <v>0</v>
      </c>
      <c r="K87" s="77">
        <f ca="1">IFERROR(__xludf.DUMMYFUNCTION("IMPORTRANGE(""https://docs.google.com/spreadsheets/d/1Yj_ptqi66GCucihVvJfMjLAmec39IyEx_6qawtMGysU/edit?usp=sharing"",""สบก!AJ91"")"),0)</f>
        <v>0</v>
      </c>
      <c r="L87" s="79">
        <f t="shared" ca="1" si="5"/>
        <v>0</v>
      </c>
      <c r="M87" s="79">
        <f t="shared" ca="1" si="6"/>
        <v>0</v>
      </c>
      <c r="N87" s="80">
        <f ca="1">IFERROR(__xludf.DUMMYFUNCTION("IMPORTRANGE(""https://docs.google.com/spreadsheets/d/1Yj_ptqi66GCucihVvJfMjLAmec39IyEx_6qawtMGysU/edit?usp=sharing"",""สบก!AK91"")"),0)</f>
        <v>0</v>
      </c>
      <c r="O87" s="79">
        <f t="shared" ca="1" si="7"/>
        <v>0</v>
      </c>
      <c r="P87" s="81">
        <f t="shared" ca="1" si="33"/>
        <v>0</v>
      </c>
      <c r="Q87" s="81">
        <f t="shared" ca="1" si="8"/>
        <v>0</v>
      </c>
      <c r="R87" s="81">
        <f t="shared" ca="1" si="51"/>
        <v>0</v>
      </c>
      <c r="S87" s="82">
        <f t="shared" ca="1" si="9"/>
        <v>0</v>
      </c>
      <c r="T87" s="81">
        <f t="shared" ca="1" si="52"/>
        <v>0</v>
      </c>
      <c r="U87" s="82">
        <f t="shared" ca="1" si="10"/>
        <v>0</v>
      </c>
      <c r="V87" s="77">
        <f ca="1">IFERROR(__xludf.DUMMYFUNCTION("IMPORTRANGE(""https://docs.google.com/spreadsheets/d/1C3CXT74ZlgGe6_JY_1olB1XN4rF0dxEuIIF-xsYjHgg/edit?usp=sharing"",""พรบ!H91"")"),0)</f>
        <v>0</v>
      </c>
      <c r="W87" s="77">
        <f ca="1">IFERROR(__xludf.DUMMYFUNCTION("IMPORTRANGE(""https://docs.google.com/spreadsheets/d/1C3CXT74ZlgGe6_JY_1olB1XN4rF0dxEuIIF-xsYjHgg/edit?usp=sharing"",""พรบ!I91"")"),0)</f>
        <v>0</v>
      </c>
      <c r="X87" s="81">
        <f ca="1">IFERROR(__xludf.DUMMYFUNCTION("IMPORTRANGE(""https://docs.google.com/spreadsheets/d/1IYY_tgx_IHuhSq3AJ5eI5OnqOPBNLWSHKh2a30DoXe8/edit?usp=sharing"",""ระนอง!J22"")"),0)</f>
        <v>0</v>
      </c>
      <c r="Y87" s="81">
        <f ca="1">IFERROR(__xludf.DUMMYFUNCTION("IMPORTRANGE(""https://docs.google.com/spreadsheets/d/1IYY_tgx_IHuhSq3AJ5eI5OnqOPBNLWSHKh2a30DoXe8/edit?usp=sharing"",""ระนอง!J23"")"),0)</f>
        <v>0</v>
      </c>
      <c r="Z87" s="77">
        <f ca="1">IFERROR(__xludf.DUMMYFUNCTION("IMPORTRANGE(""https://docs.google.com/spreadsheets/d/1C3CXT74ZlgGe6_JY_1olB1XN4rF0dxEuIIF-xsYjHgg/edit?usp=sharing"",""พรบ!J91"")"),0)</f>
        <v>0</v>
      </c>
      <c r="AA87" s="77">
        <f ca="1">IFERROR(__xludf.DUMMYFUNCTION("IMPORTRANGE(""https://docs.google.com/spreadsheets/d/1C3CXT74ZlgGe6_JY_1olB1XN4rF0dxEuIIF-xsYjHgg/edit?usp=sharing"",""พรบ!K91"")"),0)</f>
        <v>0</v>
      </c>
      <c r="AB87" s="81">
        <f ca="1">IFERROR(__xludf.DUMMYFUNCTION("IMPORTRANGE(""https://docs.google.com/spreadsheets/d/1IYY_tgx_IHuhSq3AJ5eI5OnqOPBNLWSHKh2a30DoXe8/edit?usp=sharing"",""ระนอง!J24"")"),0)</f>
        <v>0</v>
      </c>
      <c r="AC87" s="81">
        <f ca="1">IFERROR(__xludf.DUMMYFUNCTION("IMPORTRANGE(""https://docs.google.com/spreadsheets/d/1IYY_tgx_IHuhSq3AJ5eI5OnqOPBNLWSHKh2a30DoXe8/edit?usp=sharing"",""ระนอง!J25"")"),0)</f>
        <v>0</v>
      </c>
      <c r="AD87" s="77">
        <f ca="1">IFERROR(__xludf.DUMMYFUNCTION("IMPORTRANGE(""https://docs.google.com/spreadsheets/d/1C3CXT74ZlgGe6_JY_1olB1XN4rF0dxEuIIF-xsYjHgg/edit?usp=sharing"",""พรบ!L91"")"),0)</f>
        <v>0</v>
      </c>
      <c r="AE87" s="77">
        <f ca="1">IFERROR(__xludf.DUMMYFUNCTION("IMPORTRANGE(""https://docs.google.com/spreadsheets/d/1C3CXT74ZlgGe6_JY_1olB1XN4rF0dxEuIIF-xsYjHgg/edit?usp=sharing"",""พรบ!M91"")"),0)</f>
        <v>0</v>
      </c>
      <c r="AF87" s="81">
        <f ca="1">IFERROR(__xludf.DUMMYFUNCTION("IMPORTRANGE(""https://docs.google.com/spreadsheets/d/1IYY_tgx_IHuhSq3AJ5eI5OnqOPBNLWSHKh2a30DoXe8/edit?usp=sharing"",""ระนอง!J26"")"),0)</f>
        <v>0</v>
      </c>
      <c r="AG87" s="81">
        <f ca="1">IFERROR(__xludf.DUMMYFUNCTION("IMPORTRANGE(""https://docs.google.com/spreadsheets/d/1IYY_tgx_IHuhSq3AJ5eI5OnqOPBNLWSHKh2a30DoXe8/edit?usp=sharing"",""ระนอง!J27"")"),0)</f>
        <v>0</v>
      </c>
      <c r="AH87" s="77">
        <f ca="1">IFERROR(__xludf.DUMMYFUNCTION("IMPORTRANGE(""https://docs.google.com/spreadsheets/d/1C3CXT74ZlgGe6_JY_1olB1XN4rF0dxEuIIF-xsYjHgg/edit?usp=sharing"",""พรบ!N91"")"),0)</f>
        <v>0</v>
      </c>
      <c r="AI87" s="81">
        <f ca="1">IFERROR(__xludf.DUMMYFUNCTION("IMPORTRANGE(""https://docs.google.com/spreadsheets/d/1IYY_tgx_IHuhSq3AJ5eI5OnqOPBNLWSHKh2a30DoXe8/edit?usp=sharing"",""ระนอง!J28"")"),0)</f>
        <v>0</v>
      </c>
      <c r="AJ87" s="79">
        <f t="shared" ca="1" si="17"/>
        <v>0</v>
      </c>
    </row>
    <row r="88" spans="1:36" ht="24" customHeight="1">
      <c r="A88" s="73">
        <v>12</v>
      </c>
      <c r="B88" s="74" t="s">
        <v>112</v>
      </c>
      <c r="C88" s="75">
        <f t="shared" ca="1" si="0"/>
        <v>0</v>
      </c>
      <c r="D88" s="76">
        <f t="shared" ca="1" si="50"/>
        <v>0</v>
      </c>
      <c r="E88" s="77">
        <f ca="1">IFERROR(__xludf.DUMMYFUNCTION("IMPORTRANGE(""https://docs.google.com/spreadsheets/d/1C3CXT74ZlgGe6_JY_1olB1XN4rF0dxEuIIF-xsYjHgg/edit?usp=sharing"",""พรบ!D92"")"),0)</f>
        <v>0</v>
      </c>
      <c r="F88" s="77">
        <f ca="1">IFERROR(__xludf.DUMMYFUNCTION("IMPORTRANGE(""https://docs.google.com/spreadsheets/d/1C3CXT74ZlgGe6_JY_1olB1XN4rF0dxEuIIF-xsYjHgg/edit?usp=sharing"",""พรบ!E92"")"),0)</f>
        <v>0</v>
      </c>
      <c r="G88" s="77">
        <f ca="1">IFERROR(__xludf.DUMMYFUNCTION("IMPORTRANGE(""https://docs.google.com/spreadsheets/d/1Yj_ptqi66GCucihVvJfMjLAmec39IyEx_6qawtMGysU/edit?usp=sharing"",""สบก!AG92"")"),0)</f>
        <v>0</v>
      </c>
      <c r="H88" s="77">
        <f ca="1">IFERROR(__xludf.DUMMYFUNCTION("IMPORTRANGE(""https://docs.google.com/spreadsheets/d/1Yj_ptqi66GCucihVvJfMjLAmec39IyEx_6qawtMGysU/edit?usp=sharing"",""สบก!AI92"")"),0)</f>
        <v>0</v>
      </c>
      <c r="I88" s="77">
        <f t="shared" ca="1" si="3"/>
        <v>0</v>
      </c>
      <c r="J88" s="78">
        <f t="shared" ca="1" si="4"/>
        <v>0</v>
      </c>
      <c r="K88" s="77">
        <f ca="1">IFERROR(__xludf.DUMMYFUNCTION("IMPORTRANGE(""https://docs.google.com/spreadsheets/d/1Yj_ptqi66GCucihVvJfMjLAmec39IyEx_6qawtMGysU/edit?usp=sharing"",""สบก!AJ92"")"),0)</f>
        <v>0</v>
      </c>
      <c r="L88" s="79">
        <f t="shared" ca="1" si="5"/>
        <v>0</v>
      </c>
      <c r="M88" s="79">
        <f t="shared" ca="1" si="6"/>
        <v>0</v>
      </c>
      <c r="N88" s="80">
        <f ca="1">IFERROR(__xludf.DUMMYFUNCTION("IMPORTRANGE(""https://docs.google.com/spreadsheets/d/1Yj_ptqi66GCucihVvJfMjLAmec39IyEx_6qawtMGysU/edit?usp=sharing"",""สบก!AK92"")"),0)</f>
        <v>0</v>
      </c>
      <c r="O88" s="79">
        <f t="shared" ca="1" si="7"/>
        <v>0</v>
      </c>
      <c r="P88" s="81">
        <f t="shared" ca="1" si="33"/>
        <v>0</v>
      </c>
      <c r="Q88" s="81">
        <f t="shared" ca="1" si="8"/>
        <v>0</v>
      </c>
      <c r="R88" s="81">
        <f t="shared" ca="1" si="51"/>
        <v>0</v>
      </c>
      <c r="S88" s="82">
        <f t="shared" ca="1" si="9"/>
        <v>0</v>
      </c>
      <c r="T88" s="81">
        <f t="shared" ca="1" si="52"/>
        <v>0</v>
      </c>
      <c r="U88" s="82">
        <f t="shared" ca="1" si="10"/>
        <v>0</v>
      </c>
      <c r="V88" s="77">
        <f ca="1">IFERROR(__xludf.DUMMYFUNCTION("IMPORTRANGE(""https://docs.google.com/spreadsheets/d/1C3CXT74ZlgGe6_JY_1olB1XN4rF0dxEuIIF-xsYjHgg/edit?usp=sharing"",""พรบ!H92"")"),0)</f>
        <v>0</v>
      </c>
      <c r="W88" s="77">
        <f ca="1">IFERROR(__xludf.DUMMYFUNCTION("IMPORTRANGE(""https://docs.google.com/spreadsheets/d/1C3CXT74ZlgGe6_JY_1olB1XN4rF0dxEuIIF-xsYjHgg/edit?usp=sharing"",""พรบ!I92"")"),0)</f>
        <v>0</v>
      </c>
      <c r="X88" s="81">
        <f ca="1">IFERROR(__xludf.DUMMYFUNCTION("IMPORTRANGE(""https://docs.google.com/spreadsheets/d/1IYY_tgx_IHuhSq3AJ5eI5OnqOPBNLWSHKh2a30DoXe8/edit?usp=sharing"",""สงขลา!J22"")"),0)</f>
        <v>0</v>
      </c>
      <c r="Y88" s="81">
        <f ca="1">IFERROR(__xludf.DUMMYFUNCTION("IMPORTRANGE(""https://docs.google.com/spreadsheets/d/1IYY_tgx_IHuhSq3AJ5eI5OnqOPBNLWSHKh2a30DoXe8/edit?usp=sharing"",""สงขลา!J23"")"),0)</f>
        <v>0</v>
      </c>
      <c r="Z88" s="77">
        <f ca="1">IFERROR(__xludf.DUMMYFUNCTION("IMPORTRANGE(""https://docs.google.com/spreadsheets/d/1C3CXT74ZlgGe6_JY_1olB1XN4rF0dxEuIIF-xsYjHgg/edit?usp=sharing"",""พรบ!J92"")"),0)</f>
        <v>0</v>
      </c>
      <c r="AA88" s="77">
        <f ca="1">IFERROR(__xludf.DUMMYFUNCTION("IMPORTRANGE(""https://docs.google.com/spreadsheets/d/1C3CXT74ZlgGe6_JY_1olB1XN4rF0dxEuIIF-xsYjHgg/edit?usp=sharing"",""พรบ!K92"")"),0)</f>
        <v>0</v>
      </c>
      <c r="AB88" s="81">
        <f ca="1">IFERROR(__xludf.DUMMYFUNCTION("IMPORTRANGE(""https://docs.google.com/spreadsheets/d/1IYY_tgx_IHuhSq3AJ5eI5OnqOPBNLWSHKh2a30DoXe8/edit?usp=sharing"",""สงขลา!J24"")"),0)</f>
        <v>0</v>
      </c>
      <c r="AC88" s="81">
        <f ca="1">IFERROR(__xludf.DUMMYFUNCTION("IMPORTRANGE(""https://docs.google.com/spreadsheets/d/1IYY_tgx_IHuhSq3AJ5eI5OnqOPBNLWSHKh2a30DoXe8/edit?usp=sharing"",""สงขลา!J25"")"),0)</f>
        <v>0</v>
      </c>
      <c r="AD88" s="77">
        <f ca="1">IFERROR(__xludf.DUMMYFUNCTION("IMPORTRANGE(""https://docs.google.com/spreadsheets/d/1C3CXT74ZlgGe6_JY_1olB1XN4rF0dxEuIIF-xsYjHgg/edit?usp=sharing"",""พรบ!L92"")"),0)</f>
        <v>0</v>
      </c>
      <c r="AE88" s="77">
        <f ca="1">IFERROR(__xludf.DUMMYFUNCTION("IMPORTRANGE(""https://docs.google.com/spreadsheets/d/1C3CXT74ZlgGe6_JY_1olB1XN4rF0dxEuIIF-xsYjHgg/edit?usp=sharing"",""พรบ!M92"")"),0)</f>
        <v>0</v>
      </c>
      <c r="AF88" s="81">
        <f ca="1">IFERROR(__xludf.DUMMYFUNCTION("IMPORTRANGE(""https://docs.google.com/spreadsheets/d/1IYY_tgx_IHuhSq3AJ5eI5OnqOPBNLWSHKh2a30DoXe8/edit?usp=sharing"",""สงขลา!J26"")"),0)</f>
        <v>0</v>
      </c>
      <c r="AG88" s="81">
        <f ca="1">IFERROR(__xludf.DUMMYFUNCTION("IMPORTRANGE(""https://docs.google.com/spreadsheets/d/1IYY_tgx_IHuhSq3AJ5eI5OnqOPBNLWSHKh2a30DoXe8/edit?usp=sharing"",""สงขลา!J27"")"),0)</f>
        <v>0</v>
      </c>
      <c r="AH88" s="77">
        <f ca="1">IFERROR(__xludf.DUMMYFUNCTION("IMPORTRANGE(""https://docs.google.com/spreadsheets/d/1C3CXT74ZlgGe6_JY_1olB1XN4rF0dxEuIIF-xsYjHgg/edit?usp=sharing"",""พรบ!N92"")"),0)</f>
        <v>0</v>
      </c>
      <c r="AI88" s="81">
        <f ca="1">IFERROR(__xludf.DUMMYFUNCTION("IMPORTRANGE(""https://docs.google.com/spreadsheets/d/1IYY_tgx_IHuhSq3AJ5eI5OnqOPBNLWSHKh2a30DoXe8/edit?usp=sharing"",""สงขลา!J28"")"),0)</f>
        <v>0</v>
      </c>
      <c r="AJ88" s="79">
        <f t="shared" ca="1" si="17"/>
        <v>0</v>
      </c>
    </row>
    <row r="89" spans="1:36" ht="24" customHeight="1">
      <c r="A89" s="73">
        <v>13</v>
      </c>
      <c r="B89" s="74" t="s">
        <v>113</v>
      </c>
      <c r="C89" s="75">
        <f t="shared" ca="1" si="0"/>
        <v>0</v>
      </c>
      <c r="D89" s="76">
        <f t="shared" ca="1" si="50"/>
        <v>0</v>
      </c>
      <c r="E89" s="77">
        <f ca="1">IFERROR(__xludf.DUMMYFUNCTION("IMPORTRANGE(""https://docs.google.com/spreadsheets/d/1C3CXT74ZlgGe6_JY_1olB1XN4rF0dxEuIIF-xsYjHgg/edit?usp=sharing"",""พรบ!D93"")"),0)</f>
        <v>0</v>
      </c>
      <c r="F89" s="77">
        <f ca="1">IFERROR(__xludf.DUMMYFUNCTION("IMPORTRANGE(""https://docs.google.com/spreadsheets/d/1C3CXT74ZlgGe6_JY_1olB1XN4rF0dxEuIIF-xsYjHgg/edit?usp=sharing"",""พรบ!E93"")"),0)</f>
        <v>0</v>
      </c>
      <c r="G89" s="77">
        <f ca="1">IFERROR(__xludf.DUMMYFUNCTION("IMPORTRANGE(""https://docs.google.com/spreadsheets/d/1Yj_ptqi66GCucihVvJfMjLAmec39IyEx_6qawtMGysU/edit?usp=sharing"",""สบก!AG93"")"),0)</f>
        <v>0</v>
      </c>
      <c r="H89" s="77">
        <f ca="1">IFERROR(__xludf.DUMMYFUNCTION("IMPORTRANGE(""https://docs.google.com/spreadsheets/d/1Yj_ptqi66GCucihVvJfMjLAmec39IyEx_6qawtMGysU/edit?usp=sharing"",""สบก!AI93"")"),0)</f>
        <v>0</v>
      </c>
      <c r="I89" s="77">
        <f t="shared" ca="1" si="3"/>
        <v>0</v>
      </c>
      <c r="J89" s="78">
        <f t="shared" ca="1" si="4"/>
        <v>0</v>
      </c>
      <c r="K89" s="77">
        <f ca="1">IFERROR(__xludf.DUMMYFUNCTION("IMPORTRANGE(""https://docs.google.com/spreadsheets/d/1Yj_ptqi66GCucihVvJfMjLAmec39IyEx_6qawtMGysU/edit?usp=sharing"",""สบก!AJ93"")"),0)</f>
        <v>0</v>
      </c>
      <c r="L89" s="79">
        <f t="shared" ca="1" si="5"/>
        <v>0</v>
      </c>
      <c r="M89" s="79">
        <f t="shared" ca="1" si="6"/>
        <v>0</v>
      </c>
      <c r="N89" s="80">
        <f ca="1">IFERROR(__xludf.DUMMYFUNCTION("IMPORTRANGE(""https://docs.google.com/spreadsheets/d/1Yj_ptqi66GCucihVvJfMjLAmec39IyEx_6qawtMGysU/edit?usp=sharing"",""สบก!AK93"")"),0)</f>
        <v>0</v>
      </c>
      <c r="O89" s="79">
        <f t="shared" ca="1" si="7"/>
        <v>0</v>
      </c>
      <c r="P89" s="81">
        <f t="shared" ca="1" si="33"/>
        <v>0</v>
      </c>
      <c r="Q89" s="81">
        <f t="shared" ca="1" si="8"/>
        <v>0</v>
      </c>
      <c r="R89" s="81">
        <f t="shared" ca="1" si="51"/>
        <v>0</v>
      </c>
      <c r="S89" s="82">
        <f t="shared" ca="1" si="9"/>
        <v>0</v>
      </c>
      <c r="T89" s="81">
        <f t="shared" ca="1" si="52"/>
        <v>0</v>
      </c>
      <c r="U89" s="82">
        <f t="shared" ca="1" si="10"/>
        <v>0</v>
      </c>
      <c r="V89" s="77">
        <f ca="1">IFERROR(__xludf.DUMMYFUNCTION("IMPORTRANGE(""https://docs.google.com/spreadsheets/d/1C3CXT74ZlgGe6_JY_1olB1XN4rF0dxEuIIF-xsYjHgg/edit?usp=sharing"",""พรบ!H93"")"),0)</f>
        <v>0</v>
      </c>
      <c r="W89" s="77">
        <f ca="1">IFERROR(__xludf.DUMMYFUNCTION("IMPORTRANGE(""https://docs.google.com/spreadsheets/d/1C3CXT74ZlgGe6_JY_1olB1XN4rF0dxEuIIF-xsYjHgg/edit?usp=sharing"",""พรบ!I93"")"),0)</f>
        <v>0</v>
      </c>
      <c r="X89" s="81">
        <f ca="1">IFERROR(__xludf.DUMMYFUNCTION("IMPORTRANGE(""https://docs.google.com/spreadsheets/d/1IYY_tgx_IHuhSq3AJ5eI5OnqOPBNLWSHKh2a30DoXe8/edit?usp=sharing"",""สตูล!J22"")"),0)</f>
        <v>0</v>
      </c>
      <c r="Y89" s="81">
        <f ca="1">IFERROR(__xludf.DUMMYFUNCTION("IMPORTRANGE(""https://docs.google.com/spreadsheets/d/1IYY_tgx_IHuhSq3AJ5eI5OnqOPBNLWSHKh2a30DoXe8/edit?usp=sharing"",""สตูล!J23"")"),0)</f>
        <v>0</v>
      </c>
      <c r="Z89" s="77">
        <f ca="1">IFERROR(__xludf.DUMMYFUNCTION("IMPORTRANGE(""https://docs.google.com/spreadsheets/d/1C3CXT74ZlgGe6_JY_1olB1XN4rF0dxEuIIF-xsYjHgg/edit?usp=sharing"",""พรบ!J93"")"),0)</f>
        <v>0</v>
      </c>
      <c r="AA89" s="77">
        <f ca="1">IFERROR(__xludf.DUMMYFUNCTION("IMPORTRANGE(""https://docs.google.com/spreadsheets/d/1C3CXT74ZlgGe6_JY_1olB1XN4rF0dxEuIIF-xsYjHgg/edit?usp=sharing"",""พรบ!K93"")"),0)</f>
        <v>0</v>
      </c>
      <c r="AB89" s="81">
        <f ca="1">IFERROR(__xludf.DUMMYFUNCTION("IMPORTRANGE(""https://docs.google.com/spreadsheets/d/1IYY_tgx_IHuhSq3AJ5eI5OnqOPBNLWSHKh2a30DoXe8/edit?usp=sharing"",""สตูล!J24"")"),0)</f>
        <v>0</v>
      </c>
      <c r="AC89" s="81">
        <f ca="1">IFERROR(__xludf.DUMMYFUNCTION("IMPORTRANGE(""https://docs.google.com/spreadsheets/d/1IYY_tgx_IHuhSq3AJ5eI5OnqOPBNLWSHKh2a30DoXe8/edit?usp=sharing"",""สตูล!J25"")"),0)</f>
        <v>0</v>
      </c>
      <c r="AD89" s="77">
        <f ca="1">IFERROR(__xludf.DUMMYFUNCTION("IMPORTRANGE(""https://docs.google.com/spreadsheets/d/1C3CXT74ZlgGe6_JY_1olB1XN4rF0dxEuIIF-xsYjHgg/edit?usp=sharing"",""พรบ!L93"")"),0)</f>
        <v>0</v>
      </c>
      <c r="AE89" s="77">
        <f ca="1">IFERROR(__xludf.DUMMYFUNCTION("IMPORTRANGE(""https://docs.google.com/spreadsheets/d/1C3CXT74ZlgGe6_JY_1olB1XN4rF0dxEuIIF-xsYjHgg/edit?usp=sharing"",""พรบ!M93"")"),0)</f>
        <v>0</v>
      </c>
      <c r="AF89" s="81">
        <f ca="1">IFERROR(__xludf.DUMMYFUNCTION("IMPORTRANGE(""https://docs.google.com/spreadsheets/d/1IYY_tgx_IHuhSq3AJ5eI5OnqOPBNLWSHKh2a30DoXe8/edit?usp=sharing"",""สตูล!J26"")"),0)</f>
        <v>0</v>
      </c>
      <c r="AG89" s="81">
        <f ca="1">IFERROR(__xludf.DUMMYFUNCTION("IMPORTRANGE(""https://docs.google.com/spreadsheets/d/1IYY_tgx_IHuhSq3AJ5eI5OnqOPBNLWSHKh2a30DoXe8/edit?usp=sharing"",""สตูล!J27"")"),0)</f>
        <v>0</v>
      </c>
      <c r="AH89" s="77">
        <f ca="1">IFERROR(__xludf.DUMMYFUNCTION("IMPORTRANGE(""https://docs.google.com/spreadsheets/d/1C3CXT74ZlgGe6_JY_1olB1XN4rF0dxEuIIF-xsYjHgg/edit?usp=sharing"",""พรบ!N93"")"),0)</f>
        <v>0</v>
      </c>
      <c r="AI89" s="81">
        <f ca="1">IFERROR(__xludf.DUMMYFUNCTION("IMPORTRANGE(""https://docs.google.com/spreadsheets/d/1IYY_tgx_IHuhSq3AJ5eI5OnqOPBNLWSHKh2a30DoXe8/edit?usp=sharing"",""สตูล!J28"")"),0)</f>
        <v>0</v>
      </c>
      <c r="AJ89" s="79">
        <f t="shared" ca="1" si="17"/>
        <v>0</v>
      </c>
    </row>
    <row r="90" spans="1:36" ht="24" customHeight="1">
      <c r="A90" s="84">
        <v>14</v>
      </c>
      <c r="B90" s="85" t="s">
        <v>114</v>
      </c>
      <c r="C90" s="86">
        <f t="shared" ca="1" si="0"/>
        <v>0</v>
      </c>
      <c r="D90" s="87">
        <f t="shared" ca="1" si="50"/>
        <v>0</v>
      </c>
      <c r="E90" s="88">
        <f ca="1">IFERROR(__xludf.DUMMYFUNCTION("IMPORTRANGE(""https://docs.google.com/spreadsheets/d/1C3CXT74ZlgGe6_JY_1olB1XN4rF0dxEuIIF-xsYjHgg/edit?usp=sharing"",""พรบ!D94"")"),0)</f>
        <v>0</v>
      </c>
      <c r="F90" s="88">
        <f ca="1">IFERROR(__xludf.DUMMYFUNCTION("IMPORTRANGE(""https://docs.google.com/spreadsheets/d/1C3CXT74ZlgGe6_JY_1olB1XN4rF0dxEuIIF-xsYjHgg/edit?usp=sharing"",""พรบ!E94"")"),0)</f>
        <v>0</v>
      </c>
      <c r="G90" s="88">
        <f ca="1">IFERROR(__xludf.DUMMYFUNCTION("IMPORTRANGE(""https://docs.google.com/spreadsheets/d/1Yj_ptqi66GCucihVvJfMjLAmec39IyEx_6qawtMGysU/edit?usp=sharing"",""สบก!AG94"")"),0)</f>
        <v>0</v>
      </c>
      <c r="H90" s="88">
        <f ca="1">IFERROR(__xludf.DUMMYFUNCTION("IMPORTRANGE(""https://docs.google.com/spreadsheets/d/1Yj_ptqi66GCucihVvJfMjLAmec39IyEx_6qawtMGysU/edit?usp=sharing"",""สบก!AI94"")"),0)</f>
        <v>0</v>
      </c>
      <c r="I90" s="88">
        <f t="shared" ca="1" si="3"/>
        <v>0</v>
      </c>
      <c r="J90" s="89">
        <f t="shared" ca="1" si="4"/>
        <v>0</v>
      </c>
      <c r="K90" s="88">
        <f ca="1">IFERROR(__xludf.DUMMYFUNCTION("IMPORTRANGE(""https://docs.google.com/spreadsheets/d/1Yj_ptqi66GCucihVvJfMjLAmec39IyEx_6qawtMGysU/edit?usp=sharing"",""สบก!AJ94"")"),0)</f>
        <v>0</v>
      </c>
      <c r="L90" s="90">
        <f t="shared" ca="1" si="5"/>
        <v>0</v>
      </c>
      <c r="M90" s="90">
        <f t="shared" ca="1" si="6"/>
        <v>0</v>
      </c>
      <c r="N90" s="91">
        <f ca="1">IFERROR(__xludf.DUMMYFUNCTION("IMPORTRANGE(""https://docs.google.com/spreadsheets/d/1Yj_ptqi66GCucihVvJfMjLAmec39IyEx_6qawtMGysU/edit?usp=sharing"",""สบก!AK94"")"),0)</f>
        <v>0</v>
      </c>
      <c r="O90" s="90">
        <f t="shared" ca="1" si="7"/>
        <v>0</v>
      </c>
      <c r="P90" s="92">
        <f t="shared" ca="1" si="33"/>
        <v>0</v>
      </c>
      <c r="Q90" s="92">
        <f t="shared" ca="1" si="8"/>
        <v>0</v>
      </c>
      <c r="R90" s="92">
        <f t="shared" ca="1" si="51"/>
        <v>0</v>
      </c>
      <c r="S90" s="93">
        <f t="shared" ca="1" si="9"/>
        <v>0</v>
      </c>
      <c r="T90" s="92">
        <f t="shared" ca="1" si="52"/>
        <v>0</v>
      </c>
      <c r="U90" s="93">
        <f t="shared" ca="1" si="10"/>
        <v>0</v>
      </c>
      <c r="V90" s="88">
        <f ca="1">IFERROR(__xludf.DUMMYFUNCTION("IMPORTRANGE(""https://docs.google.com/spreadsheets/d/1C3CXT74ZlgGe6_JY_1olB1XN4rF0dxEuIIF-xsYjHgg/edit?usp=sharing"",""พรบ!H94"")"),0)</f>
        <v>0</v>
      </c>
      <c r="W90" s="88">
        <f ca="1">IFERROR(__xludf.DUMMYFUNCTION("IMPORTRANGE(""https://docs.google.com/spreadsheets/d/1C3CXT74ZlgGe6_JY_1olB1XN4rF0dxEuIIF-xsYjHgg/edit?usp=sharing"",""พรบ!I94"")"),0)</f>
        <v>0</v>
      </c>
      <c r="X90" s="92">
        <f ca="1">IFERROR(__xludf.DUMMYFUNCTION("IMPORTRANGE(""https://docs.google.com/spreadsheets/d/1IYY_tgx_IHuhSq3AJ5eI5OnqOPBNLWSHKh2a30DoXe8/edit?usp=sharing"",""สุราษฎร์ธานี!J22"")"),0)</f>
        <v>0</v>
      </c>
      <c r="Y90" s="92">
        <f ca="1">IFERROR(__xludf.DUMMYFUNCTION("IMPORTRANGE(""https://docs.google.com/spreadsheets/d/1IYY_tgx_IHuhSq3AJ5eI5OnqOPBNLWSHKh2a30DoXe8/edit?usp=sharing"",""สุราษฎร์ธานี!J23"")"),0)</f>
        <v>0</v>
      </c>
      <c r="Z90" s="88">
        <f ca="1">IFERROR(__xludf.DUMMYFUNCTION("IMPORTRANGE(""https://docs.google.com/spreadsheets/d/1C3CXT74ZlgGe6_JY_1olB1XN4rF0dxEuIIF-xsYjHgg/edit?usp=sharing"",""พรบ!J94"")"),0)</f>
        <v>0</v>
      </c>
      <c r="AA90" s="88">
        <f ca="1">IFERROR(__xludf.DUMMYFUNCTION("IMPORTRANGE(""https://docs.google.com/spreadsheets/d/1C3CXT74ZlgGe6_JY_1olB1XN4rF0dxEuIIF-xsYjHgg/edit?usp=sharing"",""พรบ!K94"")"),0)</f>
        <v>0</v>
      </c>
      <c r="AB90" s="92">
        <f ca="1">IFERROR(__xludf.DUMMYFUNCTION("IMPORTRANGE(""https://docs.google.com/spreadsheets/d/1IYY_tgx_IHuhSq3AJ5eI5OnqOPBNLWSHKh2a30DoXe8/edit?usp=sharing"",""สุราษฎร์ธานี!J24"")"),0)</f>
        <v>0</v>
      </c>
      <c r="AC90" s="92">
        <f ca="1">IFERROR(__xludf.DUMMYFUNCTION("IMPORTRANGE(""https://docs.google.com/spreadsheets/d/1IYY_tgx_IHuhSq3AJ5eI5OnqOPBNLWSHKh2a30DoXe8/edit?usp=sharing"",""สุราษฎร์ธานี!J25"")"),0)</f>
        <v>0</v>
      </c>
      <c r="AD90" s="88">
        <f ca="1">IFERROR(__xludf.DUMMYFUNCTION("IMPORTRANGE(""https://docs.google.com/spreadsheets/d/1C3CXT74ZlgGe6_JY_1olB1XN4rF0dxEuIIF-xsYjHgg/edit?usp=sharing"",""พรบ!L94"")"),0)</f>
        <v>0</v>
      </c>
      <c r="AE90" s="88">
        <f ca="1">IFERROR(__xludf.DUMMYFUNCTION("IMPORTRANGE(""https://docs.google.com/spreadsheets/d/1C3CXT74ZlgGe6_JY_1olB1XN4rF0dxEuIIF-xsYjHgg/edit?usp=sharing"",""พรบ!M94"")"),0)</f>
        <v>0</v>
      </c>
      <c r="AF90" s="92">
        <f ca="1">IFERROR(__xludf.DUMMYFUNCTION("IMPORTRANGE(""https://docs.google.com/spreadsheets/d/1IYY_tgx_IHuhSq3AJ5eI5OnqOPBNLWSHKh2a30DoXe8/edit?usp=sharing"",""สุราษฎร์ธานี!J26"")"),0)</f>
        <v>0</v>
      </c>
      <c r="AG90" s="92">
        <f ca="1">IFERROR(__xludf.DUMMYFUNCTION("IMPORTRANGE(""https://docs.google.com/spreadsheets/d/1IYY_tgx_IHuhSq3AJ5eI5OnqOPBNLWSHKh2a30DoXe8/edit?usp=sharing"",""สุราษฎร์ธานี!J27"")"),0)</f>
        <v>0</v>
      </c>
      <c r="AH90" s="88">
        <f ca="1">IFERROR(__xludf.DUMMYFUNCTION("IMPORTRANGE(""https://docs.google.com/spreadsheets/d/1C3CXT74ZlgGe6_JY_1olB1XN4rF0dxEuIIF-xsYjHgg/edit?usp=sharing"",""พรบ!N94"")"),0)</f>
        <v>0</v>
      </c>
      <c r="AI90" s="92">
        <f ca="1">IFERROR(__xludf.DUMMYFUNCTION("IMPORTRANGE(""https://docs.google.com/spreadsheets/d/1IYY_tgx_IHuhSq3AJ5eI5OnqOPBNLWSHKh2a30DoXe8/edit?usp=sharing"",""สุราษฎร์ธานี!J28"")"),0)</f>
        <v>0</v>
      </c>
      <c r="AJ90" s="90">
        <f t="shared" ca="1" si="17"/>
        <v>0</v>
      </c>
    </row>
    <row r="91" spans="1:36" ht="21" hidden="1" customHeight="1">
      <c r="A91" s="680" t="s">
        <v>115</v>
      </c>
      <c r="B91" s="652"/>
      <c r="C91" s="44">
        <f t="shared" ca="1" si="0"/>
        <v>8851600</v>
      </c>
      <c r="D91" s="45">
        <f t="shared" ref="D91:H91" ca="1" si="53">+D92+D93+D94+D95+D96+D97+D98+D99+D100+D101+D102+D103+D104+D105</f>
        <v>8851600</v>
      </c>
      <c r="E91" s="45">
        <f t="shared" ca="1" si="53"/>
        <v>4010200</v>
      </c>
      <c r="F91" s="45">
        <f t="shared" ca="1" si="53"/>
        <v>4841400</v>
      </c>
      <c r="G91" s="45">
        <f t="shared" ca="1" si="53"/>
        <v>0</v>
      </c>
      <c r="H91" s="45">
        <f t="shared" ca="1" si="53"/>
        <v>4988820</v>
      </c>
      <c r="I91" s="45">
        <f t="shared" ca="1" si="3"/>
        <v>1748547.71</v>
      </c>
      <c r="J91" s="46">
        <f t="shared" ca="1" si="4"/>
        <v>19.754029892900718</v>
      </c>
      <c r="K91" s="45">
        <f ca="1">+K92+K93+K94+K95+K96+K97+K98+K99+K100+K101+K102+K103+K104+K105</f>
        <v>1748547.71</v>
      </c>
      <c r="L91" s="47">
        <f t="shared" ca="1" si="5"/>
        <v>19.754029892900718</v>
      </c>
      <c r="M91" s="47">
        <f t="shared" ca="1" si="6"/>
        <v>35.04932448955865</v>
      </c>
      <c r="N91" s="48">
        <f ca="1">+N92+N93+N94+N95+N96+N97+N98+N99+N100+N101+N102+N103+N104+N105</f>
        <v>0</v>
      </c>
      <c r="O91" s="47">
        <f t="shared" ca="1" si="7"/>
        <v>0</v>
      </c>
      <c r="P91" s="45">
        <f t="shared" ref="P91:R91" si="54">+P92+P93+P94+P95+P96+P97+P98+P99+P100+P101+P102+P103+P104+P105</f>
        <v>0</v>
      </c>
      <c r="Q91" s="45">
        <f t="shared" si="54"/>
        <v>0</v>
      </c>
      <c r="R91" s="45">
        <f t="shared" si="54"/>
        <v>0</v>
      </c>
      <c r="S91" s="47">
        <f t="shared" si="9"/>
        <v>0</v>
      </c>
      <c r="T91" s="45">
        <f>+T92+T93+T94+T95+T96+T97+T98+T99+T100+T101+T102+T103+T104+T105</f>
        <v>0</v>
      </c>
      <c r="U91" s="47">
        <f t="shared" si="10"/>
        <v>0</v>
      </c>
      <c r="V91" s="45">
        <f t="shared" ref="V91:AI91" ca="1" si="55">+V92+V93+V94+V95+V96+V97+V98+V99+V100+V101+V102+V103+V104+V105</f>
        <v>0</v>
      </c>
      <c r="W91" s="45">
        <f t="shared" ca="1" si="55"/>
        <v>0</v>
      </c>
      <c r="X91" s="45">
        <f t="shared" si="55"/>
        <v>0</v>
      </c>
      <c r="Y91" s="45">
        <f t="shared" si="55"/>
        <v>0</v>
      </c>
      <c r="Z91" s="45">
        <f t="shared" ca="1" si="55"/>
        <v>0</v>
      </c>
      <c r="AA91" s="45">
        <f t="shared" ca="1" si="55"/>
        <v>0</v>
      </c>
      <c r="AB91" s="45">
        <f t="shared" si="55"/>
        <v>0</v>
      </c>
      <c r="AC91" s="45">
        <f t="shared" si="55"/>
        <v>0</v>
      </c>
      <c r="AD91" s="45">
        <f t="shared" ca="1" si="55"/>
        <v>0</v>
      </c>
      <c r="AE91" s="45">
        <f t="shared" ca="1" si="55"/>
        <v>0</v>
      </c>
      <c r="AF91" s="45">
        <f t="shared" si="55"/>
        <v>0</v>
      </c>
      <c r="AG91" s="45">
        <f t="shared" si="55"/>
        <v>0</v>
      </c>
      <c r="AH91" s="45">
        <f t="shared" ca="1" si="55"/>
        <v>0</v>
      </c>
      <c r="AI91" s="45">
        <f t="shared" si="55"/>
        <v>0</v>
      </c>
      <c r="AJ91" s="47">
        <f t="shared" ca="1" si="17"/>
        <v>0</v>
      </c>
    </row>
    <row r="92" spans="1:36" ht="24" hidden="1" customHeight="1">
      <c r="A92" s="102">
        <v>1</v>
      </c>
      <c r="B92" s="103" t="s">
        <v>116</v>
      </c>
      <c r="C92" s="65">
        <f t="shared" ca="1" si="0"/>
        <v>0</v>
      </c>
      <c r="D92" s="66">
        <f t="shared" ref="D92:D105" ca="1" si="56">+E92+F92</f>
        <v>0</v>
      </c>
      <c r="E92" s="67">
        <f ca="1">IFERROR(__xludf.DUMMYFUNCTION("IMPORTRANGE(""https://docs.google.com/spreadsheets/d/1C3CXT74ZlgGe6_JY_1olB1XN4rF0dxEuIIF-xsYjHgg/edit?usp=sharing"",""พรบ!D96"")"),0)</f>
        <v>0</v>
      </c>
      <c r="F92" s="67">
        <f ca="1">IFERROR(__xludf.DUMMYFUNCTION("IMPORTRANGE(""https://docs.google.com/spreadsheets/d/1C3CXT74ZlgGe6_JY_1olB1XN4rF0dxEuIIF-xsYjHgg/edit?usp=sharing"",""พรบ!E96"")"),0)</f>
        <v>0</v>
      </c>
      <c r="G92" s="67">
        <f ca="1">IFERROR(__xludf.DUMMYFUNCTION("IMPORTRANGE(""https://docs.google.com/spreadsheets/d/1Yj_ptqi66GCucihVvJfMjLAmec39IyEx_6qawtMGysU/edit?usp=sharing"",""สบก!AG96"")"),0)</f>
        <v>0</v>
      </c>
      <c r="H92" s="67">
        <f ca="1">IFERROR(__xludf.DUMMYFUNCTION("IMPORTRANGE(""https://docs.google.com/spreadsheets/d/1Yj_ptqi66GCucihVvJfMjLAmec39IyEx_6qawtMGysU/edit?usp=sharing"",""สบก!AI96"")"),0)</f>
        <v>0</v>
      </c>
      <c r="I92" s="67">
        <f t="shared" ca="1" si="3"/>
        <v>0</v>
      </c>
      <c r="J92" s="104">
        <f t="shared" ca="1" si="4"/>
        <v>0</v>
      </c>
      <c r="K92" s="67">
        <f ca="1">IFERROR(__xludf.DUMMYFUNCTION("IMPORTRANGE(""https://docs.google.com/spreadsheets/d/1Yj_ptqi66GCucihVvJfMjLAmec39IyEx_6qawtMGysU/edit?usp=sharing"",""สบก!AJ96"")"),0)</f>
        <v>0</v>
      </c>
      <c r="L92" s="70">
        <f t="shared" ca="1" si="5"/>
        <v>0</v>
      </c>
      <c r="M92" s="70">
        <f t="shared" ca="1" si="6"/>
        <v>0</v>
      </c>
      <c r="N92" s="71">
        <f ca="1">IFERROR(__xludf.DUMMYFUNCTION("IMPORTRANGE(""https://docs.google.com/spreadsheets/d/1Yj_ptqi66GCucihVvJfMjLAmec39IyEx_6qawtMGysU/edit?usp=sharing"",""สบก!AK96"")"),0)</f>
        <v>0</v>
      </c>
      <c r="O92" s="70">
        <f t="shared" ca="1" si="7"/>
        <v>0</v>
      </c>
      <c r="P92" s="67">
        <v>0</v>
      </c>
      <c r="Q92" s="67">
        <v>0</v>
      </c>
      <c r="R92" s="67">
        <v>0</v>
      </c>
      <c r="S92" s="70">
        <f t="shared" si="9"/>
        <v>0</v>
      </c>
      <c r="T92" s="67">
        <v>0</v>
      </c>
      <c r="U92" s="70">
        <f t="shared" si="10"/>
        <v>0</v>
      </c>
      <c r="V92" s="67">
        <f ca="1">IFERROR(__xludf.DUMMYFUNCTION("IMPORTRANGE(""https://docs.google.com/spreadsheets/d/1C3CXT74ZlgGe6_JY_1olB1XN4rF0dxEuIIF-xsYjHgg/edit?usp=sharing"",""พรบ!H96"")"),0)</f>
        <v>0</v>
      </c>
      <c r="W92" s="67">
        <f ca="1">IFERROR(__xludf.DUMMYFUNCTION("IMPORTRANGE(""https://docs.google.com/spreadsheets/d/1C3CXT74ZlgGe6_JY_1olB1XN4rF0dxEuIIF-xsYjHgg/edit?usp=sharing"",""พรบ!I96"")"),0)</f>
        <v>0</v>
      </c>
      <c r="X92" s="67">
        <v>0</v>
      </c>
      <c r="Y92" s="67">
        <v>0</v>
      </c>
      <c r="Z92" s="67">
        <f ca="1">IFERROR(__xludf.DUMMYFUNCTION("IMPORTRANGE(""https://docs.google.com/spreadsheets/d/1C3CXT74ZlgGe6_JY_1olB1XN4rF0dxEuIIF-xsYjHgg/edit?usp=sharing"",""พรบ!J96"")"),0)</f>
        <v>0</v>
      </c>
      <c r="AA92" s="67">
        <f ca="1">IFERROR(__xludf.DUMMYFUNCTION("IMPORTRANGE(""https://docs.google.com/spreadsheets/d/1C3CXT74ZlgGe6_JY_1olB1XN4rF0dxEuIIF-xsYjHgg/edit?usp=sharing"",""พรบ!K96"")"),0)</f>
        <v>0</v>
      </c>
      <c r="AB92" s="67">
        <v>0</v>
      </c>
      <c r="AC92" s="67">
        <v>0</v>
      </c>
      <c r="AD92" s="67">
        <f ca="1">IFERROR(__xludf.DUMMYFUNCTION("IMPORTRANGE(""https://docs.google.com/spreadsheets/d/1C3CXT74ZlgGe6_JY_1olB1XN4rF0dxEuIIF-xsYjHgg/edit?usp=sharing"",""พรบ!L96"")"),0)</f>
        <v>0</v>
      </c>
      <c r="AE92" s="67">
        <f ca="1">IFERROR(__xludf.DUMMYFUNCTION("IMPORTRANGE(""https://docs.google.com/spreadsheets/d/1C3CXT74ZlgGe6_JY_1olB1XN4rF0dxEuIIF-xsYjHgg/edit?usp=sharing"",""พรบ!M96"")"),0)</f>
        <v>0</v>
      </c>
      <c r="AF92" s="67">
        <v>0</v>
      </c>
      <c r="AG92" s="67">
        <v>0</v>
      </c>
      <c r="AH92" s="67">
        <f ca="1">IFERROR(__xludf.DUMMYFUNCTION("IMPORTRANGE(""https://docs.google.com/spreadsheets/d/1C3CXT74ZlgGe6_JY_1olB1XN4rF0dxEuIIF-xsYjHgg/edit?usp=sharing"",""พรบ!N96"")"),0)</f>
        <v>0</v>
      </c>
      <c r="AI92" s="67">
        <v>0</v>
      </c>
      <c r="AJ92" s="70">
        <f t="shared" ca="1" si="17"/>
        <v>0</v>
      </c>
    </row>
    <row r="93" spans="1:36" ht="24" hidden="1" customHeight="1">
      <c r="A93" s="105">
        <v>2</v>
      </c>
      <c r="B93" s="106" t="s">
        <v>117</v>
      </c>
      <c r="C93" s="75">
        <f t="shared" ca="1" si="0"/>
        <v>0</v>
      </c>
      <c r="D93" s="76">
        <f t="shared" ca="1" si="56"/>
        <v>0</v>
      </c>
      <c r="E93" s="77">
        <f ca="1">IFERROR(__xludf.DUMMYFUNCTION("IMPORTRANGE(""https://docs.google.com/spreadsheets/d/1C3CXT74ZlgGe6_JY_1olB1XN4rF0dxEuIIF-xsYjHgg/edit?usp=sharing"",""พรบ!D97"")"),0)</f>
        <v>0</v>
      </c>
      <c r="F93" s="77">
        <f ca="1">IFERROR(__xludf.DUMMYFUNCTION("IMPORTRANGE(""https://docs.google.com/spreadsheets/d/1C3CXT74ZlgGe6_JY_1olB1XN4rF0dxEuIIF-xsYjHgg/edit?usp=sharing"",""พรบ!E97"")"),0)</f>
        <v>0</v>
      </c>
      <c r="G93" s="77">
        <f ca="1">IFERROR(__xludf.DUMMYFUNCTION("IMPORTRANGE(""https://docs.google.com/spreadsheets/d/1Yj_ptqi66GCucihVvJfMjLAmec39IyEx_6qawtMGysU/edit?usp=sharing"",""สบก!AG97"")"),0)</f>
        <v>0</v>
      </c>
      <c r="H93" s="77">
        <f ca="1">IFERROR(__xludf.DUMMYFUNCTION("IMPORTRANGE(""https://docs.google.com/spreadsheets/d/1Yj_ptqi66GCucihVvJfMjLAmec39IyEx_6qawtMGysU/edit?usp=sharing"",""สบก!AI97"")"),0)</f>
        <v>0</v>
      </c>
      <c r="I93" s="77">
        <f t="shared" ca="1" si="3"/>
        <v>0</v>
      </c>
      <c r="J93" s="78">
        <f t="shared" ca="1" si="4"/>
        <v>0</v>
      </c>
      <c r="K93" s="77">
        <f ca="1">IFERROR(__xludf.DUMMYFUNCTION("IMPORTRANGE(""https://docs.google.com/spreadsheets/d/1Yj_ptqi66GCucihVvJfMjLAmec39IyEx_6qawtMGysU/edit?usp=sharing"",""สบก!AJ97"")"),0)</f>
        <v>0</v>
      </c>
      <c r="L93" s="79">
        <f t="shared" ca="1" si="5"/>
        <v>0</v>
      </c>
      <c r="M93" s="79">
        <f t="shared" ca="1" si="6"/>
        <v>0</v>
      </c>
      <c r="N93" s="80">
        <f ca="1">IFERROR(__xludf.DUMMYFUNCTION("IMPORTRANGE(""https://docs.google.com/spreadsheets/d/1Yj_ptqi66GCucihVvJfMjLAmec39IyEx_6qawtMGysU/edit?usp=sharing"",""สบก!AK97"")"),0)</f>
        <v>0</v>
      </c>
      <c r="O93" s="79">
        <f t="shared" ca="1" si="7"/>
        <v>0</v>
      </c>
      <c r="P93" s="77">
        <v>0</v>
      </c>
      <c r="Q93" s="77">
        <v>0</v>
      </c>
      <c r="R93" s="77">
        <v>0</v>
      </c>
      <c r="S93" s="79">
        <f t="shared" si="9"/>
        <v>0</v>
      </c>
      <c r="T93" s="77">
        <v>0</v>
      </c>
      <c r="U93" s="79">
        <f t="shared" si="10"/>
        <v>0</v>
      </c>
      <c r="V93" s="77">
        <f ca="1">IFERROR(__xludf.DUMMYFUNCTION("IMPORTRANGE(""https://docs.google.com/spreadsheets/d/1C3CXT74ZlgGe6_JY_1olB1XN4rF0dxEuIIF-xsYjHgg/edit?usp=sharing"",""พรบ!H97"")"),0)</f>
        <v>0</v>
      </c>
      <c r="W93" s="77">
        <f ca="1">IFERROR(__xludf.DUMMYFUNCTION("IMPORTRANGE(""https://docs.google.com/spreadsheets/d/1C3CXT74ZlgGe6_JY_1olB1XN4rF0dxEuIIF-xsYjHgg/edit?usp=sharing"",""พรบ!I97"")"),0)</f>
        <v>0</v>
      </c>
      <c r="X93" s="77">
        <v>0</v>
      </c>
      <c r="Y93" s="77">
        <v>0</v>
      </c>
      <c r="Z93" s="77">
        <f ca="1">IFERROR(__xludf.DUMMYFUNCTION("IMPORTRANGE(""https://docs.google.com/spreadsheets/d/1C3CXT74ZlgGe6_JY_1olB1XN4rF0dxEuIIF-xsYjHgg/edit?usp=sharing"",""พรบ!J97"")"),0)</f>
        <v>0</v>
      </c>
      <c r="AA93" s="77">
        <f ca="1">IFERROR(__xludf.DUMMYFUNCTION("IMPORTRANGE(""https://docs.google.com/spreadsheets/d/1C3CXT74ZlgGe6_JY_1olB1XN4rF0dxEuIIF-xsYjHgg/edit?usp=sharing"",""พรบ!K97"")"),0)</f>
        <v>0</v>
      </c>
      <c r="AB93" s="77">
        <v>0</v>
      </c>
      <c r="AC93" s="77">
        <v>0</v>
      </c>
      <c r="AD93" s="77">
        <f ca="1">IFERROR(__xludf.DUMMYFUNCTION("IMPORTRANGE(""https://docs.google.com/spreadsheets/d/1C3CXT74ZlgGe6_JY_1olB1XN4rF0dxEuIIF-xsYjHgg/edit?usp=sharing"",""พรบ!L97"")"),0)</f>
        <v>0</v>
      </c>
      <c r="AE93" s="77">
        <f ca="1">IFERROR(__xludf.DUMMYFUNCTION("IMPORTRANGE(""https://docs.google.com/spreadsheets/d/1C3CXT74ZlgGe6_JY_1olB1XN4rF0dxEuIIF-xsYjHgg/edit?usp=sharing"",""พรบ!M97"")"),0)</f>
        <v>0</v>
      </c>
      <c r="AF93" s="77">
        <v>0</v>
      </c>
      <c r="AG93" s="77">
        <v>0</v>
      </c>
      <c r="AH93" s="77">
        <f ca="1">IFERROR(__xludf.DUMMYFUNCTION("IMPORTRANGE(""https://docs.google.com/spreadsheets/d/1C3CXT74ZlgGe6_JY_1olB1XN4rF0dxEuIIF-xsYjHgg/edit?usp=sharing"",""พรบ!N97"")"),0)</f>
        <v>0</v>
      </c>
      <c r="AI93" s="77">
        <v>0</v>
      </c>
      <c r="AJ93" s="79">
        <f t="shared" ca="1" si="17"/>
        <v>0</v>
      </c>
    </row>
    <row r="94" spans="1:36" ht="24" hidden="1" customHeight="1">
      <c r="A94" s="105">
        <v>3</v>
      </c>
      <c r="B94" s="106" t="s">
        <v>118</v>
      </c>
      <c r="C94" s="75">
        <f t="shared" ca="1" si="0"/>
        <v>0</v>
      </c>
      <c r="D94" s="76">
        <f t="shared" ca="1" si="56"/>
        <v>0</v>
      </c>
      <c r="E94" s="77">
        <f ca="1">IFERROR(__xludf.DUMMYFUNCTION("IMPORTRANGE(""https://docs.google.com/spreadsheets/d/1C3CXT74ZlgGe6_JY_1olB1XN4rF0dxEuIIF-xsYjHgg/edit?usp=sharing"",""พรบ!D98"")"),0)</f>
        <v>0</v>
      </c>
      <c r="F94" s="77">
        <f ca="1">IFERROR(__xludf.DUMMYFUNCTION("IMPORTRANGE(""https://docs.google.com/spreadsheets/d/1C3CXT74ZlgGe6_JY_1olB1XN4rF0dxEuIIF-xsYjHgg/edit?usp=sharing"",""พรบ!E98"")"),0)</f>
        <v>0</v>
      </c>
      <c r="G94" s="77">
        <f ca="1">IFERROR(__xludf.DUMMYFUNCTION("IMPORTRANGE(""https://docs.google.com/spreadsheets/d/1Yj_ptqi66GCucihVvJfMjLAmec39IyEx_6qawtMGysU/edit?usp=sharing"",""สบก!AG98"")"),0)</f>
        <v>0</v>
      </c>
      <c r="H94" s="77">
        <f ca="1">IFERROR(__xludf.DUMMYFUNCTION("IMPORTRANGE(""https://docs.google.com/spreadsheets/d/1Yj_ptqi66GCucihVvJfMjLAmec39IyEx_6qawtMGysU/edit?usp=sharing"",""สบก!AI98"")"),600000)</f>
        <v>600000</v>
      </c>
      <c r="I94" s="77">
        <f t="shared" ca="1" si="3"/>
        <v>119232</v>
      </c>
      <c r="J94" s="78">
        <f t="shared" ca="1" si="4"/>
        <v>0</v>
      </c>
      <c r="K94" s="77">
        <f ca="1">IFERROR(__xludf.DUMMYFUNCTION("IMPORTRANGE(""https://docs.google.com/spreadsheets/d/1Yj_ptqi66GCucihVvJfMjLAmec39IyEx_6qawtMGysU/edit?usp=sharing"",""สบก!AJ98"")"),119232)</f>
        <v>119232</v>
      </c>
      <c r="L94" s="79">
        <f t="shared" ca="1" si="5"/>
        <v>0</v>
      </c>
      <c r="M94" s="79">
        <f t="shared" ca="1" si="6"/>
        <v>19.872</v>
      </c>
      <c r="N94" s="80">
        <f ca="1">IFERROR(__xludf.DUMMYFUNCTION("IMPORTRANGE(""https://docs.google.com/spreadsheets/d/1Yj_ptqi66GCucihVvJfMjLAmec39IyEx_6qawtMGysU/edit?usp=sharing"",""สบก!AK98"")"),0)</f>
        <v>0</v>
      </c>
      <c r="O94" s="79">
        <f t="shared" ca="1" si="7"/>
        <v>0</v>
      </c>
      <c r="P94" s="77">
        <v>0</v>
      </c>
      <c r="Q94" s="77">
        <v>0</v>
      </c>
      <c r="R94" s="77">
        <v>0</v>
      </c>
      <c r="S94" s="79">
        <f t="shared" si="9"/>
        <v>0</v>
      </c>
      <c r="T94" s="77">
        <v>0</v>
      </c>
      <c r="U94" s="79">
        <f t="shared" si="10"/>
        <v>0</v>
      </c>
      <c r="V94" s="77">
        <f ca="1">IFERROR(__xludf.DUMMYFUNCTION("IMPORTRANGE(""https://docs.google.com/spreadsheets/d/1C3CXT74ZlgGe6_JY_1olB1XN4rF0dxEuIIF-xsYjHgg/edit?usp=sharing"",""พรบ!H98"")"),0)</f>
        <v>0</v>
      </c>
      <c r="W94" s="77">
        <f ca="1">IFERROR(__xludf.DUMMYFUNCTION("IMPORTRANGE(""https://docs.google.com/spreadsheets/d/1C3CXT74ZlgGe6_JY_1olB1XN4rF0dxEuIIF-xsYjHgg/edit?usp=sharing"",""พรบ!I98"")"),0)</f>
        <v>0</v>
      </c>
      <c r="X94" s="77">
        <v>0</v>
      </c>
      <c r="Y94" s="77">
        <v>0</v>
      </c>
      <c r="Z94" s="77">
        <f ca="1">IFERROR(__xludf.DUMMYFUNCTION("IMPORTRANGE(""https://docs.google.com/spreadsheets/d/1C3CXT74ZlgGe6_JY_1olB1XN4rF0dxEuIIF-xsYjHgg/edit?usp=sharing"",""พรบ!J98"")"),0)</f>
        <v>0</v>
      </c>
      <c r="AA94" s="77">
        <f ca="1">IFERROR(__xludf.DUMMYFUNCTION("IMPORTRANGE(""https://docs.google.com/spreadsheets/d/1C3CXT74ZlgGe6_JY_1olB1XN4rF0dxEuIIF-xsYjHgg/edit?usp=sharing"",""พรบ!K98"")"),0)</f>
        <v>0</v>
      </c>
      <c r="AB94" s="77">
        <v>0</v>
      </c>
      <c r="AC94" s="77">
        <v>0</v>
      </c>
      <c r="AD94" s="77">
        <f ca="1">IFERROR(__xludf.DUMMYFUNCTION("IMPORTRANGE(""https://docs.google.com/spreadsheets/d/1C3CXT74ZlgGe6_JY_1olB1XN4rF0dxEuIIF-xsYjHgg/edit?usp=sharing"",""พรบ!L98"")"),0)</f>
        <v>0</v>
      </c>
      <c r="AE94" s="77">
        <f ca="1">IFERROR(__xludf.DUMMYFUNCTION("IMPORTRANGE(""https://docs.google.com/spreadsheets/d/1C3CXT74ZlgGe6_JY_1olB1XN4rF0dxEuIIF-xsYjHgg/edit?usp=sharing"",""พรบ!M98"")"),0)</f>
        <v>0</v>
      </c>
      <c r="AF94" s="77">
        <v>0</v>
      </c>
      <c r="AG94" s="77">
        <v>0</v>
      </c>
      <c r="AH94" s="77">
        <f ca="1">IFERROR(__xludf.DUMMYFUNCTION("IMPORTRANGE(""https://docs.google.com/spreadsheets/d/1C3CXT74ZlgGe6_JY_1olB1XN4rF0dxEuIIF-xsYjHgg/edit?usp=sharing"",""พรบ!N98"")"),0)</f>
        <v>0</v>
      </c>
      <c r="AI94" s="77">
        <v>0</v>
      </c>
      <c r="AJ94" s="79">
        <f t="shared" ca="1" si="17"/>
        <v>0</v>
      </c>
    </row>
    <row r="95" spans="1:36" ht="24" hidden="1" customHeight="1">
      <c r="A95" s="105">
        <f t="shared" ref="A95:A105" si="57">+A94+1</f>
        <v>4</v>
      </c>
      <c r="B95" s="106" t="s">
        <v>119</v>
      </c>
      <c r="C95" s="75">
        <f t="shared" ca="1" si="0"/>
        <v>194000</v>
      </c>
      <c r="D95" s="76">
        <f t="shared" ca="1" si="56"/>
        <v>194000</v>
      </c>
      <c r="E95" s="77">
        <f ca="1">IFERROR(__xludf.DUMMYFUNCTION("IMPORTRANGE(""https://docs.google.com/spreadsheets/d/1C3CXT74ZlgGe6_JY_1olB1XN4rF0dxEuIIF-xsYjHgg/edit?usp=sharing"",""พรบ!D99"")"),194000)</f>
        <v>194000</v>
      </c>
      <c r="F95" s="77">
        <f ca="1">IFERROR(__xludf.DUMMYFUNCTION("IMPORTRANGE(""https://docs.google.com/spreadsheets/d/1C3CXT74ZlgGe6_JY_1olB1XN4rF0dxEuIIF-xsYjHgg/edit?usp=sharing"",""พรบ!E99"")"),0)</f>
        <v>0</v>
      </c>
      <c r="G95" s="77">
        <f ca="1">IFERROR(__xludf.DUMMYFUNCTION("IMPORTRANGE(""https://docs.google.com/spreadsheets/d/1Yj_ptqi66GCucihVvJfMjLAmec39IyEx_6qawtMGysU/edit?usp=sharing"",""สบก!AG99"")"),0)</f>
        <v>0</v>
      </c>
      <c r="H95" s="77">
        <f ca="1">IFERROR(__xludf.DUMMYFUNCTION("IMPORTRANGE(""https://docs.google.com/spreadsheets/d/1Yj_ptqi66GCucihVvJfMjLAmec39IyEx_6qawtMGysU/edit?usp=sharing"",""สบก!AI99"")"),145500)</f>
        <v>145500</v>
      </c>
      <c r="I95" s="77">
        <f t="shared" ca="1" si="3"/>
        <v>111392</v>
      </c>
      <c r="J95" s="78">
        <f t="shared" ca="1" si="4"/>
        <v>57.41855670103093</v>
      </c>
      <c r="K95" s="77">
        <f ca="1">IFERROR(__xludf.DUMMYFUNCTION("IMPORTRANGE(""https://docs.google.com/spreadsheets/d/1Yj_ptqi66GCucihVvJfMjLAmec39IyEx_6qawtMGysU/edit?usp=sharing"",""สบก!AJ99"")"),111392)</f>
        <v>111392</v>
      </c>
      <c r="L95" s="79">
        <f t="shared" ca="1" si="5"/>
        <v>57.41855670103093</v>
      </c>
      <c r="M95" s="79">
        <f t="shared" ca="1" si="6"/>
        <v>76.558075601374568</v>
      </c>
      <c r="N95" s="80">
        <f ca="1">IFERROR(__xludf.DUMMYFUNCTION("IMPORTRANGE(""https://docs.google.com/spreadsheets/d/1Yj_ptqi66GCucihVvJfMjLAmec39IyEx_6qawtMGysU/edit?usp=sharing"",""สบก!AK99"")"),0)</f>
        <v>0</v>
      </c>
      <c r="O95" s="79">
        <f t="shared" ca="1" si="7"/>
        <v>0</v>
      </c>
      <c r="P95" s="77">
        <v>0</v>
      </c>
      <c r="Q95" s="77">
        <v>0</v>
      </c>
      <c r="R95" s="77">
        <v>0</v>
      </c>
      <c r="S95" s="79">
        <f t="shared" si="9"/>
        <v>0</v>
      </c>
      <c r="T95" s="77">
        <v>0</v>
      </c>
      <c r="U95" s="79">
        <f t="shared" si="10"/>
        <v>0</v>
      </c>
      <c r="V95" s="77">
        <f ca="1">IFERROR(__xludf.DUMMYFUNCTION("IMPORTRANGE(""https://docs.google.com/spreadsheets/d/1C3CXT74ZlgGe6_JY_1olB1XN4rF0dxEuIIF-xsYjHgg/edit?usp=sharing"",""พรบ!H99"")"),0)</f>
        <v>0</v>
      </c>
      <c r="W95" s="77">
        <f ca="1">IFERROR(__xludf.DUMMYFUNCTION("IMPORTRANGE(""https://docs.google.com/spreadsheets/d/1C3CXT74ZlgGe6_JY_1olB1XN4rF0dxEuIIF-xsYjHgg/edit?usp=sharing"",""พรบ!I99"")"),0)</f>
        <v>0</v>
      </c>
      <c r="X95" s="77">
        <v>0</v>
      </c>
      <c r="Y95" s="77">
        <v>0</v>
      </c>
      <c r="Z95" s="77">
        <f ca="1">IFERROR(__xludf.DUMMYFUNCTION("IMPORTRANGE(""https://docs.google.com/spreadsheets/d/1C3CXT74ZlgGe6_JY_1olB1XN4rF0dxEuIIF-xsYjHgg/edit?usp=sharing"",""พรบ!J99"")"),0)</f>
        <v>0</v>
      </c>
      <c r="AA95" s="77">
        <f ca="1">IFERROR(__xludf.DUMMYFUNCTION("IMPORTRANGE(""https://docs.google.com/spreadsheets/d/1C3CXT74ZlgGe6_JY_1olB1XN4rF0dxEuIIF-xsYjHgg/edit?usp=sharing"",""พรบ!K99"")"),0)</f>
        <v>0</v>
      </c>
      <c r="AB95" s="77">
        <v>0</v>
      </c>
      <c r="AC95" s="77">
        <v>0</v>
      </c>
      <c r="AD95" s="77">
        <f ca="1">IFERROR(__xludf.DUMMYFUNCTION("IMPORTRANGE(""https://docs.google.com/spreadsheets/d/1C3CXT74ZlgGe6_JY_1olB1XN4rF0dxEuIIF-xsYjHgg/edit?usp=sharing"",""พรบ!L99"")"),0)</f>
        <v>0</v>
      </c>
      <c r="AE95" s="77">
        <f ca="1">IFERROR(__xludf.DUMMYFUNCTION("IMPORTRANGE(""https://docs.google.com/spreadsheets/d/1C3CXT74ZlgGe6_JY_1olB1XN4rF0dxEuIIF-xsYjHgg/edit?usp=sharing"",""พรบ!M99"")"),0)</f>
        <v>0</v>
      </c>
      <c r="AF95" s="77">
        <v>0</v>
      </c>
      <c r="AG95" s="77">
        <v>0</v>
      </c>
      <c r="AH95" s="77">
        <f ca="1">IFERROR(__xludf.DUMMYFUNCTION("IMPORTRANGE(""https://docs.google.com/spreadsheets/d/1C3CXT74ZlgGe6_JY_1olB1XN4rF0dxEuIIF-xsYjHgg/edit?usp=sharing"",""พรบ!N99"")"),0)</f>
        <v>0</v>
      </c>
      <c r="AI95" s="77">
        <v>0</v>
      </c>
      <c r="AJ95" s="79">
        <f t="shared" ca="1" si="17"/>
        <v>0</v>
      </c>
    </row>
    <row r="96" spans="1:36" ht="24" hidden="1" customHeight="1">
      <c r="A96" s="105">
        <f t="shared" si="57"/>
        <v>5</v>
      </c>
      <c r="B96" s="106" t="s">
        <v>120</v>
      </c>
      <c r="C96" s="75">
        <f t="shared" ca="1" si="0"/>
        <v>0</v>
      </c>
      <c r="D96" s="76">
        <f t="shared" ca="1" si="56"/>
        <v>0</v>
      </c>
      <c r="E96" s="77">
        <f ca="1">IFERROR(__xludf.DUMMYFUNCTION("IMPORTRANGE(""https://docs.google.com/spreadsheets/d/1C3CXT74ZlgGe6_JY_1olB1XN4rF0dxEuIIF-xsYjHgg/edit?usp=sharing"",""พรบ!D100"")"),0)</f>
        <v>0</v>
      </c>
      <c r="F96" s="77">
        <f ca="1">IFERROR(__xludf.DUMMYFUNCTION("IMPORTRANGE(""https://docs.google.com/spreadsheets/d/1C3CXT74ZlgGe6_JY_1olB1XN4rF0dxEuIIF-xsYjHgg/edit?usp=sharing"",""พรบ!E100"")"),0)</f>
        <v>0</v>
      </c>
      <c r="G96" s="77">
        <f ca="1">IFERROR(__xludf.DUMMYFUNCTION("IMPORTRANGE(""https://docs.google.com/spreadsheets/d/1Yj_ptqi66GCucihVvJfMjLAmec39IyEx_6qawtMGysU/edit?usp=sharing"",""สบก!AG100"")"),0)</f>
        <v>0</v>
      </c>
      <c r="H96" s="77">
        <f ca="1">IFERROR(__xludf.DUMMYFUNCTION("IMPORTRANGE(""https://docs.google.com/spreadsheets/d/1Yj_ptqi66GCucihVvJfMjLAmec39IyEx_6qawtMGysU/edit?usp=sharing"",""สบก!AI100"")"),0)</f>
        <v>0</v>
      </c>
      <c r="I96" s="77">
        <f t="shared" ca="1" si="3"/>
        <v>0</v>
      </c>
      <c r="J96" s="78">
        <f t="shared" ca="1" si="4"/>
        <v>0</v>
      </c>
      <c r="K96" s="77">
        <f ca="1">IFERROR(__xludf.DUMMYFUNCTION("IMPORTRANGE(""https://docs.google.com/spreadsheets/d/1Yj_ptqi66GCucihVvJfMjLAmec39IyEx_6qawtMGysU/edit?usp=sharing"",""สบก!AJ100"")"),0)</f>
        <v>0</v>
      </c>
      <c r="L96" s="79">
        <f t="shared" ca="1" si="5"/>
        <v>0</v>
      </c>
      <c r="M96" s="79">
        <f t="shared" ca="1" si="6"/>
        <v>0</v>
      </c>
      <c r="N96" s="80">
        <f ca="1">IFERROR(__xludf.DUMMYFUNCTION("IMPORTRANGE(""https://docs.google.com/spreadsheets/d/1Yj_ptqi66GCucihVvJfMjLAmec39IyEx_6qawtMGysU/edit?usp=sharing"",""สบก!AK100"")"),0)</f>
        <v>0</v>
      </c>
      <c r="O96" s="79">
        <f t="shared" ca="1" si="7"/>
        <v>0</v>
      </c>
      <c r="P96" s="77">
        <v>0</v>
      </c>
      <c r="Q96" s="77">
        <v>0</v>
      </c>
      <c r="R96" s="77">
        <v>0</v>
      </c>
      <c r="S96" s="79">
        <f t="shared" si="9"/>
        <v>0</v>
      </c>
      <c r="T96" s="77">
        <v>0</v>
      </c>
      <c r="U96" s="79">
        <f t="shared" si="10"/>
        <v>0</v>
      </c>
      <c r="V96" s="77">
        <f ca="1">IFERROR(__xludf.DUMMYFUNCTION("IMPORTRANGE(""https://docs.google.com/spreadsheets/d/1C3CXT74ZlgGe6_JY_1olB1XN4rF0dxEuIIF-xsYjHgg/edit?usp=sharing"",""พรบ!H100"")"),0)</f>
        <v>0</v>
      </c>
      <c r="W96" s="77">
        <f ca="1">IFERROR(__xludf.DUMMYFUNCTION("IMPORTRANGE(""https://docs.google.com/spreadsheets/d/1C3CXT74ZlgGe6_JY_1olB1XN4rF0dxEuIIF-xsYjHgg/edit?usp=sharing"",""พรบ!I100"")"),0)</f>
        <v>0</v>
      </c>
      <c r="X96" s="77">
        <v>0</v>
      </c>
      <c r="Y96" s="77">
        <v>0</v>
      </c>
      <c r="Z96" s="77">
        <f ca="1">IFERROR(__xludf.DUMMYFUNCTION("IMPORTRANGE(""https://docs.google.com/spreadsheets/d/1C3CXT74ZlgGe6_JY_1olB1XN4rF0dxEuIIF-xsYjHgg/edit?usp=sharing"",""พรบ!J100"")"),0)</f>
        <v>0</v>
      </c>
      <c r="AA96" s="77">
        <f ca="1">IFERROR(__xludf.DUMMYFUNCTION("IMPORTRANGE(""https://docs.google.com/spreadsheets/d/1C3CXT74ZlgGe6_JY_1olB1XN4rF0dxEuIIF-xsYjHgg/edit?usp=sharing"",""พรบ!K100"")"),0)</f>
        <v>0</v>
      </c>
      <c r="AB96" s="77">
        <v>0</v>
      </c>
      <c r="AC96" s="77">
        <v>0</v>
      </c>
      <c r="AD96" s="77">
        <f ca="1">IFERROR(__xludf.DUMMYFUNCTION("IMPORTRANGE(""https://docs.google.com/spreadsheets/d/1C3CXT74ZlgGe6_JY_1olB1XN4rF0dxEuIIF-xsYjHgg/edit?usp=sharing"",""พรบ!L100"")"),0)</f>
        <v>0</v>
      </c>
      <c r="AE96" s="77">
        <f ca="1">IFERROR(__xludf.DUMMYFUNCTION("IMPORTRANGE(""https://docs.google.com/spreadsheets/d/1C3CXT74ZlgGe6_JY_1olB1XN4rF0dxEuIIF-xsYjHgg/edit?usp=sharing"",""พรบ!M100"")"),0)</f>
        <v>0</v>
      </c>
      <c r="AF96" s="77">
        <v>0</v>
      </c>
      <c r="AG96" s="77">
        <v>0</v>
      </c>
      <c r="AH96" s="77">
        <f ca="1">IFERROR(__xludf.DUMMYFUNCTION("IMPORTRANGE(""https://docs.google.com/spreadsheets/d/1C3CXT74ZlgGe6_JY_1olB1XN4rF0dxEuIIF-xsYjHgg/edit?usp=sharing"",""พรบ!N100"")"),0)</f>
        <v>0</v>
      </c>
      <c r="AI96" s="77">
        <v>0</v>
      </c>
      <c r="AJ96" s="79">
        <f t="shared" ca="1" si="17"/>
        <v>0</v>
      </c>
    </row>
    <row r="97" spans="1:36" ht="24" hidden="1" customHeight="1">
      <c r="A97" s="105">
        <f t="shared" si="57"/>
        <v>6</v>
      </c>
      <c r="B97" s="106" t="s">
        <v>121</v>
      </c>
      <c r="C97" s="75">
        <f t="shared" ca="1" si="0"/>
        <v>0</v>
      </c>
      <c r="D97" s="76">
        <f t="shared" ca="1" si="56"/>
        <v>0</v>
      </c>
      <c r="E97" s="77">
        <f ca="1">IFERROR(__xludf.DUMMYFUNCTION("IMPORTRANGE(""https://docs.google.com/spreadsheets/d/1C3CXT74ZlgGe6_JY_1olB1XN4rF0dxEuIIF-xsYjHgg/edit?usp=sharing"",""พรบ!D101"")"),0)</f>
        <v>0</v>
      </c>
      <c r="F97" s="77">
        <f ca="1">IFERROR(__xludf.DUMMYFUNCTION("IMPORTRANGE(""https://docs.google.com/spreadsheets/d/1C3CXT74ZlgGe6_JY_1olB1XN4rF0dxEuIIF-xsYjHgg/edit?usp=sharing"",""พรบ!E101"")"),0)</f>
        <v>0</v>
      </c>
      <c r="G97" s="77">
        <f ca="1">IFERROR(__xludf.DUMMYFUNCTION("IMPORTRANGE(""https://docs.google.com/spreadsheets/d/1Yj_ptqi66GCucihVvJfMjLAmec39IyEx_6qawtMGysU/edit?usp=sharing"",""สบก!AG101"")"),0)</f>
        <v>0</v>
      </c>
      <c r="H97" s="77">
        <f ca="1">IFERROR(__xludf.DUMMYFUNCTION("IMPORTRANGE(""https://docs.google.com/spreadsheets/d/1Yj_ptqi66GCucihVvJfMjLAmec39IyEx_6qawtMGysU/edit?usp=sharing"",""สบก!AI101"")"),0)</f>
        <v>0</v>
      </c>
      <c r="I97" s="77">
        <f t="shared" ca="1" si="3"/>
        <v>0</v>
      </c>
      <c r="J97" s="78">
        <f t="shared" ca="1" si="4"/>
        <v>0</v>
      </c>
      <c r="K97" s="77">
        <f ca="1">IFERROR(__xludf.DUMMYFUNCTION("IMPORTRANGE(""https://docs.google.com/spreadsheets/d/1Yj_ptqi66GCucihVvJfMjLAmec39IyEx_6qawtMGysU/edit?usp=sharing"",""สบก!AJ101"")"),0)</f>
        <v>0</v>
      </c>
      <c r="L97" s="79">
        <f t="shared" ca="1" si="5"/>
        <v>0</v>
      </c>
      <c r="M97" s="79">
        <f t="shared" ca="1" si="6"/>
        <v>0</v>
      </c>
      <c r="N97" s="80">
        <f ca="1">IFERROR(__xludf.DUMMYFUNCTION("IMPORTRANGE(""https://docs.google.com/spreadsheets/d/1Yj_ptqi66GCucihVvJfMjLAmec39IyEx_6qawtMGysU/edit?usp=sharing"",""สบก!AK101"")"),0)</f>
        <v>0</v>
      </c>
      <c r="O97" s="79">
        <f t="shared" ca="1" si="7"/>
        <v>0</v>
      </c>
      <c r="P97" s="77">
        <v>0</v>
      </c>
      <c r="Q97" s="77">
        <v>0</v>
      </c>
      <c r="R97" s="77">
        <v>0</v>
      </c>
      <c r="S97" s="79">
        <f t="shared" si="9"/>
        <v>0</v>
      </c>
      <c r="T97" s="77">
        <v>0</v>
      </c>
      <c r="U97" s="79">
        <f t="shared" si="10"/>
        <v>0</v>
      </c>
      <c r="V97" s="77">
        <f ca="1">IFERROR(__xludf.DUMMYFUNCTION("IMPORTRANGE(""https://docs.google.com/spreadsheets/d/1C3CXT74ZlgGe6_JY_1olB1XN4rF0dxEuIIF-xsYjHgg/edit?usp=sharing"",""พรบ!H101"")"),0)</f>
        <v>0</v>
      </c>
      <c r="W97" s="77">
        <f ca="1">IFERROR(__xludf.DUMMYFUNCTION("IMPORTRANGE(""https://docs.google.com/spreadsheets/d/1C3CXT74ZlgGe6_JY_1olB1XN4rF0dxEuIIF-xsYjHgg/edit?usp=sharing"",""พรบ!I101"")"),0)</f>
        <v>0</v>
      </c>
      <c r="X97" s="77">
        <v>0</v>
      </c>
      <c r="Y97" s="77">
        <v>0</v>
      </c>
      <c r="Z97" s="77">
        <f ca="1">IFERROR(__xludf.DUMMYFUNCTION("IMPORTRANGE(""https://docs.google.com/spreadsheets/d/1C3CXT74ZlgGe6_JY_1olB1XN4rF0dxEuIIF-xsYjHgg/edit?usp=sharing"",""พรบ!J101"")"),0)</f>
        <v>0</v>
      </c>
      <c r="AA97" s="77">
        <f ca="1">IFERROR(__xludf.DUMMYFUNCTION("IMPORTRANGE(""https://docs.google.com/spreadsheets/d/1C3CXT74ZlgGe6_JY_1olB1XN4rF0dxEuIIF-xsYjHgg/edit?usp=sharing"",""พรบ!K101"")"),0)</f>
        <v>0</v>
      </c>
      <c r="AB97" s="77">
        <v>0</v>
      </c>
      <c r="AC97" s="77">
        <v>0</v>
      </c>
      <c r="AD97" s="77">
        <f ca="1">IFERROR(__xludf.DUMMYFUNCTION("IMPORTRANGE(""https://docs.google.com/spreadsheets/d/1C3CXT74ZlgGe6_JY_1olB1XN4rF0dxEuIIF-xsYjHgg/edit?usp=sharing"",""พรบ!L101"")"),0)</f>
        <v>0</v>
      </c>
      <c r="AE97" s="77">
        <f ca="1">IFERROR(__xludf.DUMMYFUNCTION("IMPORTRANGE(""https://docs.google.com/spreadsheets/d/1C3CXT74ZlgGe6_JY_1olB1XN4rF0dxEuIIF-xsYjHgg/edit?usp=sharing"",""พรบ!M101"")"),0)</f>
        <v>0</v>
      </c>
      <c r="AF97" s="77">
        <v>0</v>
      </c>
      <c r="AG97" s="77">
        <v>0</v>
      </c>
      <c r="AH97" s="77">
        <f ca="1">IFERROR(__xludf.DUMMYFUNCTION("IMPORTRANGE(""https://docs.google.com/spreadsheets/d/1C3CXT74ZlgGe6_JY_1olB1XN4rF0dxEuIIF-xsYjHgg/edit?usp=sharing"",""พรบ!N101"")"),0)</f>
        <v>0</v>
      </c>
      <c r="AI97" s="77">
        <v>0</v>
      </c>
      <c r="AJ97" s="79">
        <f t="shared" ca="1" si="17"/>
        <v>0</v>
      </c>
    </row>
    <row r="98" spans="1:36" ht="24" hidden="1" customHeight="1">
      <c r="A98" s="105">
        <f t="shared" si="57"/>
        <v>7</v>
      </c>
      <c r="B98" s="106" t="s">
        <v>122</v>
      </c>
      <c r="C98" s="75">
        <f t="shared" ca="1" si="0"/>
        <v>8657600</v>
      </c>
      <c r="D98" s="76">
        <f t="shared" ca="1" si="56"/>
        <v>8657600</v>
      </c>
      <c r="E98" s="77">
        <f ca="1">IFERROR(__xludf.DUMMYFUNCTION("IMPORTRANGE(""https://docs.google.com/spreadsheets/d/1C3CXT74ZlgGe6_JY_1olB1XN4rF0dxEuIIF-xsYjHgg/edit?usp=sharing"",""พรบ!D102"")"),3816200)</f>
        <v>3816200</v>
      </c>
      <c r="F98" s="77">
        <f ca="1">IFERROR(__xludf.DUMMYFUNCTION("IMPORTRANGE(""https://docs.google.com/spreadsheets/d/1C3CXT74ZlgGe6_JY_1olB1XN4rF0dxEuIIF-xsYjHgg/edit?usp=sharing"",""พรบ!E102"")"),4841400)</f>
        <v>4841400</v>
      </c>
      <c r="G98" s="77">
        <f ca="1">IFERROR(__xludf.DUMMYFUNCTION("IMPORTRANGE(""https://docs.google.com/spreadsheets/d/1Yj_ptqi66GCucihVvJfMjLAmec39IyEx_6qawtMGysU/edit?usp=sharing"",""สบก!AG102"")"),0)</f>
        <v>0</v>
      </c>
      <c r="H98" s="77">
        <f ca="1">IFERROR(__xludf.DUMMYFUNCTION("IMPORTRANGE(""https://docs.google.com/spreadsheets/d/1Yj_ptqi66GCucihVvJfMjLAmec39IyEx_6qawtMGysU/edit?usp=sharing"",""สบก!AI102"")"),4243320)</f>
        <v>4243320</v>
      </c>
      <c r="I98" s="77">
        <f t="shared" ca="1" si="3"/>
        <v>1517923.71</v>
      </c>
      <c r="J98" s="78">
        <f t="shared" ca="1" si="4"/>
        <v>17.532846400850119</v>
      </c>
      <c r="K98" s="77">
        <f ca="1">IFERROR(__xludf.DUMMYFUNCTION("IMPORTRANGE(""https://docs.google.com/spreadsheets/d/1Yj_ptqi66GCucihVvJfMjLAmec39IyEx_6qawtMGysU/edit?usp=sharing"",""สบก!AJ102"")"),1517923.71)</f>
        <v>1517923.71</v>
      </c>
      <c r="L98" s="79">
        <f t="shared" ca="1" si="5"/>
        <v>17.532846400850119</v>
      </c>
      <c r="M98" s="79">
        <f t="shared" ca="1" si="6"/>
        <v>35.77207728853822</v>
      </c>
      <c r="N98" s="80">
        <f ca="1">IFERROR(__xludf.DUMMYFUNCTION("IMPORTRANGE(""https://docs.google.com/spreadsheets/d/1Yj_ptqi66GCucihVvJfMjLAmec39IyEx_6qawtMGysU/edit?usp=sharing"",""สบก!AK102"")"),0)</f>
        <v>0</v>
      </c>
      <c r="O98" s="79">
        <f t="shared" ca="1" si="7"/>
        <v>0</v>
      </c>
      <c r="P98" s="77">
        <v>0</v>
      </c>
      <c r="Q98" s="77">
        <v>0</v>
      </c>
      <c r="R98" s="77">
        <v>0</v>
      </c>
      <c r="S98" s="79">
        <f t="shared" si="9"/>
        <v>0</v>
      </c>
      <c r="T98" s="77">
        <v>0</v>
      </c>
      <c r="U98" s="79">
        <f t="shared" si="10"/>
        <v>0</v>
      </c>
      <c r="V98" s="77">
        <f ca="1">IFERROR(__xludf.DUMMYFUNCTION("IMPORTRANGE(""https://docs.google.com/spreadsheets/d/1C3CXT74ZlgGe6_JY_1olB1XN4rF0dxEuIIF-xsYjHgg/edit?usp=sharing"",""พรบ!H102"")"),0)</f>
        <v>0</v>
      </c>
      <c r="W98" s="77">
        <f ca="1">IFERROR(__xludf.DUMMYFUNCTION("IMPORTRANGE(""https://docs.google.com/spreadsheets/d/1C3CXT74ZlgGe6_JY_1olB1XN4rF0dxEuIIF-xsYjHgg/edit?usp=sharing"",""พรบ!I102"")"),0)</f>
        <v>0</v>
      </c>
      <c r="X98" s="77">
        <v>0</v>
      </c>
      <c r="Y98" s="77">
        <v>0</v>
      </c>
      <c r="Z98" s="77">
        <f ca="1">IFERROR(__xludf.DUMMYFUNCTION("IMPORTRANGE(""https://docs.google.com/spreadsheets/d/1C3CXT74ZlgGe6_JY_1olB1XN4rF0dxEuIIF-xsYjHgg/edit?usp=sharing"",""พรบ!J102"")"),0)</f>
        <v>0</v>
      </c>
      <c r="AA98" s="77">
        <f ca="1">IFERROR(__xludf.DUMMYFUNCTION("IMPORTRANGE(""https://docs.google.com/spreadsheets/d/1C3CXT74ZlgGe6_JY_1olB1XN4rF0dxEuIIF-xsYjHgg/edit?usp=sharing"",""พรบ!K102"")"),0)</f>
        <v>0</v>
      </c>
      <c r="AB98" s="77">
        <v>0</v>
      </c>
      <c r="AC98" s="77">
        <v>0</v>
      </c>
      <c r="AD98" s="77">
        <f ca="1">IFERROR(__xludf.DUMMYFUNCTION("IMPORTRANGE(""https://docs.google.com/spreadsheets/d/1C3CXT74ZlgGe6_JY_1olB1XN4rF0dxEuIIF-xsYjHgg/edit?usp=sharing"",""พรบ!L102"")"),0)</f>
        <v>0</v>
      </c>
      <c r="AE98" s="77">
        <f ca="1">IFERROR(__xludf.DUMMYFUNCTION("IMPORTRANGE(""https://docs.google.com/spreadsheets/d/1C3CXT74ZlgGe6_JY_1olB1XN4rF0dxEuIIF-xsYjHgg/edit?usp=sharing"",""พรบ!M102"")"),0)</f>
        <v>0</v>
      </c>
      <c r="AF98" s="77">
        <v>0</v>
      </c>
      <c r="AG98" s="77">
        <v>0</v>
      </c>
      <c r="AH98" s="77">
        <f ca="1">IFERROR(__xludf.DUMMYFUNCTION("IMPORTRANGE(""https://docs.google.com/spreadsheets/d/1C3CXT74ZlgGe6_JY_1olB1XN4rF0dxEuIIF-xsYjHgg/edit?usp=sharing"",""พรบ!N102"")"),0)</f>
        <v>0</v>
      </c>
      <c r="AI98" s="77">
        <v>0</v>
      </c>
      <c r="AJ98" s="79">
        <f t="shared" ca="1" si="17"/>
        <v>0</v>
      </c>
    </row>
    <row r="99" spans="1:36" ht="24" hidden="1" customHeight="1">
      <c r="A99" s="105">
        <f t="shared" si="57"/>
        <v>8</v>
      </c>
      <c r="B99" s="106" t="s">
        <v>123</v>
      </c>
      <c r="C99" s="75">
        <f t="shared" ca="1" si="0"/>
        <v>0</v>
      </c>
      <c r="D99" s="76">
        <f t="shared" ca="1" si="56"/>
        <v>0</v>
      </c>
      <c r="E99" s="77">
        <f ca="1">IFERROR(__xludf.DUMMYFUNCTION("IMPORTRANGE(""https://docs.google.com/spreadsheets/d/1C3CXT74ZlgGe6_JY_1olB1XN4rF0dxEuIIF-xsYjHgg/edit?usp=sharing"",""พรบ!D103"")"),0)</f>
        <v>0</v>
      </c>
      <c r="F99" s="77">
        <f ca="1">IFERROR(__xludf.DUMMYFUNCTION("IMPORTRANGE(""https://docs.google.com/spreadsheets/d/1C3CXT74ZlgGe6_JY_1olB1XN4rF0dxEuIIF-xsYjHgg/edit?usp=sharing"",""พรบ!E103"")"),0)</f>
        <v>0</v>
      </c>
      <c r="G99" s="77">
        <f ca="1">IFERROR(__xludf.DUMMYFUNCTION("IMPORTRANGE(""https://docs.google.com/spreadsheets/d/1Yj_ptqi66GCucihVvJfMjLAmec39IyEx_6qawtMGysU/edit?usp=sharing"",""สบก!AG103"")"),0)</f>
        <v>0</v>
      </c>
      <c r="H99" s="77">
        <f ca="1">IFERROR(__xludf.DUMMYFUNCTION("IMPORTRANGE(""https://docs.google.com/spreadsheets/d/1Yj_ptqi66GCucihVvJfMjLAmec39IyEx_6qawtMGysU/edit?usp=sharing"",""สบก!AI103"")"),0)</f>
        <v>0</v>
      </c>
      <c r="I99" s="77">
        <f t="shared" ca="1" si="3"/>
        <v>0</v>
      </c>
      <c r="J99" s="78">
        <f t="shared" ca="1" si="4"/>
        <v>0</v>
      </c>
      <c r="K99" s="77">
        <f ca="1">IFERROR(__xludf.DUMMYFUNCTION("IMPORTRANGE(""https://docs.google.com/spreadsheets/d/1Yj_ptqi66GCucihVvJfMjLAmec39IyEx_6qawtMGysU/edit?usp=sharing"",""สบก!AJ103"")"),0)</f>
        <v>0</v>
      </c>
      <c r="L99" s="79">
        <f t="shared" ca="1" si="5"/>
        <v>0</v>
      </c>
      <c r="M99" s="79">
        <f t="shared" ca="1" si="6"/>
        <v>0</v>
      </c>
      <c r="N99" s="80">
        <f ca="1">IFERROR(__xludf.DUMMYFUNCTION("IMPORTRANGE(""https://docs.google.com/spreadsheets/d/1Yj_ptqi66GCucihVvJfMjLAmec39IyEx_6qawtMGysU/edit?usp=sharing"",""สบก!AK103"")"),0)</f>
        <v>0</v>
      </c>
      <c r="O99" s="79">
        <f t="shared" ca="1" si="7"/>
        <v>0</v>
      </c>
      <c r="P99" s="77">
        <v>0</v>
      </c>
      <c r="Q99" s="77">
        <v>0</v>
      </c>
      <c r="R99" s="77">
        <v>0</v>
      </c>
      <c r="S99" s="79">
        <f t="shared" si="9"/>
        <v>0</v>
      </c>
      <c r="T99" s="77">
        <v>0</v>
      </c>
      <c r="U99" s="79">
        <f t="shared" si="10"/>
        <v>0</v>
      </c>
      <c r="V99" s="77">
        <f ca="1">IFERROR(__xludf.DUMMYFUNCTION("IMPORTRANGE(""https://docs.google.com/spreadsheets/d/1C3CXT74ZlgGe6_JY_1olB1XN4rF0dxEuIIF-xsYjHgg/edit?usp=sharing"",""พรบ!H103"")"),0)</f>
        <v>0</v>
      </c>
      <c r="W99" s="77">
        <f ca="1">IFERROR(__xludf.DUMMYFUNCTION("IMPORTRANGE(""https://docs.google.com/spreadsheets/d/1C3CXT74ZlgGe6_JY_1olB1XN4rF0dxEuIIF-xsYjHgg/edit?usp=sharing"",""พรบ!I103"")"),0)</f>
        <v>0</v>
      </c>
      <c r="X99" s="77">
        <v>0</v>
      </c>
      <c r="Y99" s="77">
        <v>0</v>
      </c>
      <c r="Z99" s="77">
        <f ca="1">IFERROR(__xludf.DUMMYFUNCTION("IMPORTRANGE(""https://docs.google.com/spreadsheets/d/1C3CXT74ZlgGe6_JY_1olB1XN4rF0dxEuIIF-xsYjHgg/edit?usp=sharing"",""พรบ!J103"")"),0)</f>
        <v>0</v>
      </c>
      <c r="AA99" s="77">
        <f ca="1">IFERROR(__xludf.DUMMYFUNCTION("IMPORTRANGE(""https://docs.google.com/spreadsheets/d/1C3CXT74ZlgGe6_JY_1olB1XN4rF0dxEuIIF-xsYjHgg/edit?usp=sharing"",""พรบ!K103"")"),0)</f>
        <v>0</v>
      </c>
      <c r="AB99" s="77">
        <v>0</v>
      </c>
      <c r="AC99" s="77">
        <v>0</v>
      </c>
      <c r="AD99" s="77">
        <f ca="1">IFERROR(__xludf.DUMMYFUNCTION("IMPORTRANGE(""https://docs.google.com/spreadsheets/d/1C3CXT74ZlgGe6_JY_1olB1XN4rF0dxEuIIF-xsYjHgg/edit?usp=sharing"",""พรบ!L103"")"),0)</f>
        <v>0</v>
      </c>
      <c r="AE99" s="77">
        <f ca="1">IFERROR(__xludf.DUMMYFUNCTION("IMPORTRANGE(""https://docs.google.com/spreadsheets/d/1C3CXT74ZlgGe6_JY_1olB1XN4rF0dxEuIIF-xsYjHgg/edit?usp=sharing"",""พรบ!M103"")"),0)</f>
        <v>0</v>
      </c>
      <c r="AF99" s="77">
        <v>0</v>
      </c>
      <c r="AG99" s="77">
        <v>0</v>
      </c>
      <c r="AH99" s="77">
        <f ca="1">IFERROR(__xludf.DUMMYFUNCTION("IMPORTRANGE(""https://docs.google.com/spreadsheets/d/1C3CXT74ZlgGe6_JY_1olB1XN4rF0dxEuIIF-xsYjHgg/edit?usp=sharing"",""พรบ!N103"")"),0)</f>
        <v>0</v>
      </c>
      <c r="AI99" s="77">
        <v>0</v>
      </c>
      <c r="AJ99" s="79">
        <f t="shared" ca="1" si="17"/>
        <v>0</v>
      </c>
    </row>
    <row r="100" spans="1:36" ht="24" hidden="1" customHeight="1">
      <c r="A100" s="105">
        <f t="shared" si="57"/>
        <v>9</v>
      </c>
      <c r="B100" s="106" t="s">
        <v>124</v>
      </c>
      <c r="C100" s="75">
        <f t="shared" ca="1" si="0"/>
        <v>0</v>
      </c>
      <c r="D100" s="76">
        <f t="shared" ca="1" si="56"/>
        <v>0</v>
      </c>
      <c r="E100" s="77">
        <f ca="1">IFERROR(__xludf.DUMMYFUNCTION("IMPORTRANGE(""https://docs.google.com/spreadsheets/d/1C3CXT74ZlgGe6_JY_1olB1XN4rF0dxEuIIF-xsYjHgg/edit?usp=sharing"",""พรบ!D104"")"),0)</f>
        <v>0</v>
      </c>
      <c r="F100" s="77">
        <f ca="1">IFERROR(__xludf.DUMMYFUNCTION("IMPORTRANGE(""https://docs.google.com/spreadsheets/d/1C3CXT74ZlgGe6_JY_1olB1XN4rF0dxEuIIF-xsYjHgg/edit?usp=sharing"",""พรบ!E104"")"),0)</f>
        <v>0</v>
      </c>
      <c r="G100" s="77">
        <f ca="1">IFERROR(__xludf.DUMMYFUNCTION("IMPORTRANGE(""https://docs.google.com/spreadsheets/d/1Yj_ptqi66GCucihVvJfMjLAmec39IyEx_6qawtMGysU/edit?usp=sharing"",""สบก!AG104"")"),0)</f>
        <v>0</v>
      </c>
      <c r="H100" s="77">
        <f ca="1">IFERROR(__xludf.DUMMYFUNCTION("IMPORTRANGE(""https://docs.google.com/spreadsheets/d/1Yj_ptqi66GCucihVvJfMjLAmec39IyEx_6qawtMGysU/edit?usp=sharing"",""สบก!AI104"")"),0)</f>
        <v>0</v>
      </c>
      <c r="I100" s="77">
        <f t="shared" ca="1" si="3"/>
        <v>0</v>
      </c>
      <c r="J100" s="78">
        <f t="shared" ca="1" si="4"/>
        <v>0</v>
      </c>
      <c r="K100" s="77">
        <f ca="1">IFERROR(__xludf.DUMMYFUNCTION("IMPORTRANGE(""https://docs.google.com/spreadsheets/d/1Yj_ptqi66GCucihVvJfMjLAmec39IyEx_6qawtMGysU/edit?usp=sharing"",""สบก!AJ104"")"),0)</f>
        <v>0</v>
      </c>
      <c r="L100" s="79">
        <f t="shared" ca="1" si="5"/>
        <v>0</v>
      </c>
      <c r="M100" s="79">
        <f t="shared" ca="1" si="6"/>
        <v>0</v>
      </c>
      <c r="N100" s="80">
        <f ca="1">IFERROR(__xludf.DUMMYFUNCTION("IMPORTRANGE(""https://docs.google.com/spreadsheets/d/1Yj_ptqi66GCucihVvJfMjLAmec39IyEx_6qawtMGysU/edit?usp=sharing"",""สบก!AK104"")"),0)</f>
        <v>0</v>
      </c>
      <c r="O100" s="79">
        <f t="shared" ca="1" si="7"/>
        <v>0</v>
      </c>
      <c r="P100" s="77">
        <v>0</v>
      </c>
      <c r="Q100" s="77">
        <v>0</v>
      </c>
      <c r="R100" s="77">
        <v>0</v>
      </c>
      <c r="S100" s="79">
        <f t="shared" si="9"/>
        <v>0</v>
      </c>
      <c r="T100" s="77">
        <v>0</v>
      </c>
      <c r="U100" s="79">
        <f t="shared" si="10"/>
        <v>0</v>
      </c>
      <c r="V100" s="77">
        <f ca="1">IFERROR(__xludf.DUMMYFUNCTION("IMPORTRANGE(""https://docs.google.com/spreadsheets/d/1C3CXT74ZlgGe6_JY_1olB1XN4rF0dxEuIIF-xsYjHgg/edit?usp=sharing"",""พรบ!H104"")"),0)</f>
        <v>0</v>
      </c>
      <c r="W100" s="77">
        <f ca="1">IFERROR(__xludf.DUMMYFUNCTION("IMPORTRANGE(""https://docs.google.com/spreadsheets/d/1C3CXT74ZlgGe6_JY_1olB1XN4rF0dxEuIIF-xsYjHgg/edit?usp=sharing"",""พรบ!I104"")"),0)</f>
        <v>0</v>
      </c>
      <c r="X100" s="77">
        <v>0</v>
      </c>
      <c r="Y100" s="77">
        <v>0</v>
      </c>
      <c r="Z100" s="77">
        <f ca="1">IFERROR(__xludf.DUMMYFUNCTION("IMPORTRANGE(""https://docs.google.com/spreadsheets/d/1C3CXT74ZlgGe6_JY_1olB1XN4rF0dxEuIIF-xsYjHgg/edit?usp=sharing"",""พรบ!J104"")"),0)</f>
        <v>0</v>
      </c>
      <c r="AA100" s="77">
        <f ca="1">IFERROR(__xludf.DUMMYFUNCTION("IMPORTRANGE(""https://docs.google.com/spreadsheets/d/1C3CXT74ZlgGe6_JY_1olB1XN4rF0dxEuIIF-xsYjHgg/edit?usp=sharing"",""พรบ!K104"")"),0)</f>
        <v>0</v>
      </c>
      <c r="AB100" s="77">
        <v>0</v>
      </c>
      <c r="AC100" s="77">
        <v>0</v>
      </c>
      <c r="AD100" s="77">
        <f ca="1">IFERROR(__xludf.DUMMYFUNCTION("IMPORTRANGE(""https://docs.google.com/spreadsheets/d/1C3CXT74ZlgGe6_JY_1olB1XN4rF0dxEuIIF-xsYjHgg/edit?usp=sharing"",""พรบ!L104"")"),0)</f>
        <v>0</v>
      </c>
      <c r="AE100" s="77">
        <f ca="1">IFERROR(__xludf.DUMMYFUNCTION("IMPORTRANGE(""https://docs.google.com/spreadsheets/d/1C3CXT74ZlgGe6_JY_1olB1XN4rF0dxEuIIF-xsYjHgg/edit?usp=sharing"",""พรบ!M104"")"),0)</f>
        <v>0</v>
      </c>
      <c r="AF100" s="77">
        <v>0</v>
      </c>
      <c r="AG100" s="77">
        <v>0</v>
      </c>
      <c r="AH100" s="77">
        <f ca="1">IFERROR(__xludf.DUMMYFUNCTION("IMPORTRANGE(""https://docs.google.com/spreadsheets/d/1C3CXT74ZlgGe6_JY_1olB1XN4rF0dxEuIIF-xsYjHgg/edit?usp=sharing"",""พรบ!N104"")"),0)</f>
        <v>0</v>
      </c>
      <c r="AI100" s="77">
        <v>0</v>
      </c>
      <c r="AJ100" s="79">
        <f t="shared" ca="1" si="17"/>
        <v>0</v>
      </c>
    </row>
    <row r="101" spans="1:36" ht="24" hidden="1" customHeight="1">
      <c r="A101" s="105">
        <f t="shared" si="57"/>
        <v>10</v>
      </c>
      <c r="B101" s="106" t="s">
        <v>125</v>
      </c>
      <c r="C101" s="75">
        <f t="shared" ca="1" si="0"/>
        <v>0</v>
      </c>
      <c r="D101" s="76">
        <f t="shared" ca="1" si="56"/>
        <v>0</v>
      </c>
      <c r="E101" s="77">
        <f ca="1">IFERROR(__xludf.DUMMYFUNCTION("IMPORTRANGE(""https://docs.google.com/spreadsheets/d/1C3CXT74ZlgGe6_JY_1olB1XN4rF0dxEuIIF-xsYjHgg/edit?usp=sharing"",""พรบ!D105"")"),0)</f>
        <v>0</v>
      </c>
      <c r="F101" s="77">
        <f ca="1">IFERROR(__xludf.DUMMYFUNCTION("IMPORTRANGE(""https://docs.google.com/spreadsheets/d/1C3CXT74ZlgGe6_JY_1olB1XN4rF0dxEuIIF-xsYjHgg/edit?usp=sharing"",""พรบ!E105"")"),0)</f>
        <v>0</v>
      </c>
      <c r="G101" s="77">
        <f ca="1">IFERROR(__xludf.DUMMYFUNCTION("IMPORTRANGE(""https://docs.google.com/spreadsheets/d/1Yj_ptqi66GCucihVvJfMjLAmec39IyEx_6qawtMGysU/edit?usp=sharing"",""สบก!AG105"")"),0)</f>
        <v>0</v>
      </c>
      <c r="H101" s="77">
        <f ca="1">IFERROR(__xludf.DUMMYFUNCTION("IMPORTRANGE(""https://docs.google.com/spreadsheets/d/1Yj_ptqi66GCucihVvJfMjLAmec39IyEx_6qawtMGysU/edit?usp=sharing"",""สบก!AI105"")"),0)</f>
        <v>0</v>
      </c>
      <c r="I101" s="77">
        <f t="shared" ca="1" si="3"/>
        <v>0</v>
      </c>
      <c r="J101" s="78">
        <f t="shared" ca="1" si="4"/>
        <v>0</v>
      </c>
      <c r="K101" s="77">
        <f ca="1">IFERROR(__xludf.DUMMYFUNCTION("IMPORTRANGE(""https://docs.google.com/spreadsheets/d/1Yj_ptqi66GCucihVvJfMjLAmec39IyEx_6qawtMGysU/edit?usp=sharing"",""สบก!AJ105"")"),0)</f>
        <v>0</v>
      </c>
      <c r="L101" s="79">
        <f t="shared" ca="1" si="5"/>
        <v>0</v>
      </c>
      <c r="M101" s="79">
        <f t="shared" ca="1" si="6"/>
        <v>0</v>
      </c>
      <c r="N101" s="80">
        <f ca="1">IFERROR(__xludf.DUMMYFUNCTION("IMPORTRANGE(""https://docs.google.com/spreadsheets/d/1Yj_ptqi66GCucihVvJfMjLAmec39IyEx_6qawtMGysU/edit?usp=sharing"",""สบก!AK105"")"),0)</f>
        <v>0</v>
      </c>
      <c r="O101" s="79">
        <f t="shared" ca="1" si="7"/>
        <v>0</v>
      </c>
      <c r="P101" s="77">
        <v>0</v>
      </c>
      <c r="Q101" s="77">
        <v>0</v>
      </c>
      <c r="R101" s="77">
        <v>0</v>
      </c>
      <c r="S101" s="79">
        <f t="shared" si="9"/>
        <v>0</v>
      </c>
      <c r="T101" s="77">
        <v>0</v>
      </c>
      <c r="U101" s="79">
        <f t="shared" si="10"/>
        <v>0</v>
      </c>
      <c r="V101" s="77">
        <f ca="1">IFERROR(__xludf.DUMMYFUNCTION("IMPORTRANGE(""https://docs.google.com/spreadsheets/d/1C3CXT74ZlgGe6_JY_1olB1XN4rF0dxEuIIF-xsYjHgg/edit?usp=sharing"",""พรบ!H105"")"),0)</f>
        <v>0</v>
      </c>
      <c r="W101" s="77">
        <f ca="1">IFERROR(__xludf.DUMMYFUNCTION("IMPORTRANGE(""https://docs.google.com/spreadsheets/d/1C3CXT74ZlgGe6_JY_1olB1XN4rF0dxEuIIF-xsYjHgg/edit?usp=sharing"",""พรบ!I105"")"),0)</f>
        <v>0</v>
      </c>
      <c r="X101" s="77">
        <v>0</v>
      </c>
      <c r="Y101" s="77">
        <v>0</v>
      </c>
      <c r="Z101" s="77">
        <f ca="1">IFERROR(__xludf.DUMMYFUNCTION("IMPORTRANGE(""https://docs.google.com/spreadsheets/d/1C3CXT74ZlgGe6_JY_1olB1XN4rF0dxEuIIF-xsYjHgg/edit?usp=sharing"",""พรบ!J105"")"),0)</f>
        <v>0</v>
      </c>
      <c r="AA101" s="77">
        <f ca="1">IFERROR(__xludf.DUMMYFUNCTION("IMPORTRANGE(""https://docs.google.com/spreadsheets/d/1C3CXT74ZlgGe6_JY_1olB1XN4rF0dxEuIIF-xsYjHgg/edit?usp=sharing"",""พรบ!K105"")"),0)</f>
        <v>0</v>
      </c>
      <c r="AB101" s="77">
        <v>0</v>
      </c>
      <c r="AC101" s="77">
        <v>0</v>
      </c>
      <c r="AD101" s="77">
        <f ca="1">IFERROR(__xludf.DUMMYFUNCTION("IMPORTRANGE(""https://docs.google.com/spreadsheets/d/1C3CXT74ZlgGe6_JY_1olB1XN4rF0dxEuIIF-xsYjHgg/edit?usp=sharing"",""พรบ!L105"")"),0)</f>
        <v>0</v>
      </c>
      <c r="AE101" s="77">
        <f ca="1">IFERROR(__xludf.DUMMYFUNCTION("IMPORTRANGE(""https://docs.google.com/spreadsheets/d/1C3CXT74ZlgGe6_JY_1olB1XN4rF0dxEuIIF-xsYjHgg/edit?usp=sharing"",""พรบ!M105"")"),0)</f>
        <v>0</v>
      </c>
      <c r="AF101" s="77">
        <v>0</v>
      </c>
      <c r="AG101" s="77">
        <v>0</v>
      </c>
      <c r="AH101" s="77">
        <f ca="1">IFERROR(__xludf.DUMMYFUNCTION("IMPORTRANGE(""https://docs.google.com/spreadsheets/d/1C3CXT74ZlgGe6_JY_1olB1XN4rF0dxEuIIF-xsYjHgg/edit?usp=sharing"",""พรบ!N105"")"),0)</f>
        <v>0</v>
      </c>
      <c r="AI101" s="77">
        <v>0</v>
      </c>
      <c r="AJ101" s="79">
        <f t="shared" ca="1" si="17"/>
        <v>0</v>
      </c>
    </row>
    <row r="102" spans="1:36" ht="24" hidden="1" customHeight="1">
      <c r="A102" s="105">
        <f t="shared" si="57"/>
        <v>11</v>
      </c>
      <c r="B102" s="106" t="s">
        <v>126</v>
      </c>
      <c r="C102" s="75">
        <f t="shared" ca="1" si="0"/>
        <v>0</v>
      </c>
      <c r="D102" s="76">
        <f t="shared" ca="1" si="56"/>
        <v>0</v>
      </c>
      <c r="E102" s="77">
        <f ca="1">IFERROR(__xludf.DUMMYFUNCTION("IMPORTRANGE(""https://docs.google.com/spreadsheets/d/1C3CXT74ZlgGe6_JY_1olB1XN4rF0dxEuIIF-xsYjHgg/edit?usp=sharing"",""พรบ!D106"")"),0)</f>
        <v>0</v>
      </c>
      <c r="F102" s="77">
        <f ca="1">IFERROR(__xludf.DUMMYFUNCTION("IMPORTRANGE(""https://docs.google.com/spreadsheets/d/1C3CXT74ZlgGe6_JY_1olB1XN4rF0dxEuIIF-xsYjHgg/edit?usp=sharing"",""พรบ!E106"")"),0)</f>
        <v>0</v>
      </c>
      <c r="G102" s="77">
        <f ca="1">IFERROR(__xludf.DUMMYFUNCTION("IMPORTRANGE(""https://docs.google.com/spreadsheets/d/1Yj_ptqi66GCucihVvJfMjLAmec39IyEx_6qawtMGysU/edit?usp=sharing"",""สบก!AG106"")"),0)</f>
        <v>0</v>
      </c>
      <c r="H102" s="77">
        <f ca="1">IFERROR(__xludf.DUMMYFUNCTION("IMPORTRANGE(""https://docs.google.com/spreadsheets/d/1Yj_ptqi66GCucihVvJfMjLAmec39IyEx_6qawtMGysU/edit?usp=sharing"",""สบก!AI106"")"),0)</f>
        <v>0</v>
      </c>
      <c r="I102" s="77">
        <f t="shared" ca="1" si="3"/>
        <v>0</v>
      </c>
      <c r="J102" s="78">
        <f t="shared" ca="1" si="4"/>
        <v>0</v>
      </c>
      <c r="K102" s="77">
        <f ca="1">IFERROR(__xludf.DUMMYFUNCTION("IMPORTRANGE(""https://docs.google.com/spreadsheets/d/1Yj_ptqi66GCucihVvJfMjLAmec39IyEx_6qawtMGysU/edit?usp=sharing"",""สบก!AJ106"")"),0)</f>
        <v>0</v>
      </c>
      <c r="L102" s="79">
        <f t="shared" ca="1" si="5"/>
        <v>0</v>
      </c>
      <c r="M102" s="79">
        <f t="shared" ca="1" si="6"/>
        <v>0</v>
      </c>
      <c r="N102" s="80">
        <f ca="1">IFERROR(__xludf.DUMMYFUNCTION("IMPORTRANGE(""https://docs.google.com/spreadsheets/d/1Yj_ptqi66GCucihVvJfMjLAmec39IyEx_6qawtMGysU/edit?usp=sharing"",""สบก!AK106"")"),0)</f>
        <v>0</v>
      </c>
      <c r="O102" s="79">
        <f t="shared" ca="1" si="7"/>
        <v>0</v>
      </c>
      <c r="P102" s="77">
        <v>0</v>
      </c>
      <c r="Q102" s="77">
        <v>0</v>
      </c>
      <c r="R102" s="77">
        <v>0</v>
      </c>
      <c r="S102" s="79">
        <f t="shared" si="9"/>
        <v>0</v>
      </c>
      <c r="T102" s="77">
        <v>0</v>
      </c>
      <c r="U102" s="79">
        <f t="shared" si="10"/>
        <v>0</v>
      </c>
      <c r="V102" s="77">
        <f ca="1">IFERROR(__xludf.DUMMYFUNCTION("IMPORTRANGE(""https://docs.google.com/spreadsheets/d/1C3CXT74ZlgGe6_JY_1olB1XN4rF0dxEuIIF-xsYjHgg/edit?usp=sharing"",""พรบ!H106"")"),0)</f>
        <v>0</v>
      </c>
      <c r="W102" s="77">
        <f ca="1">IFERROR(__xludf.DUMMYFUNCTION("IMPORTRANGE(""https://docs.google.com/spreadsheets/d/1C3CXT74ZlgGe6_JY_1olB1XN4rF0dxEuIIF-xsYjHgg/edit?usp=sharing"",""พรบ!I106"")"),0)</f>
        <v>0</v>
      </c>
      <c r="X102" s="77">
        <v>0</v>
      </c>
      <c r="Y102" s="77">
        <v>0</v>
      </c>
      <c r="Z102" s="77">
        <f ca="1">IFERROR(__xludf.DUMMYFUNCTION("IMPORTRANGE(""https://docs.google.com/spreadsheets/d/1C3CXT74ZlgGe6_JY_1olB1XN4rF0dxEuIIF-xsYjHgg/edit?usp=sharing"",""พรบ!J106"")"),0)</f>
        <v>0</v>
      </c>
      <c r="AA102" s="77">
        <f ca="1">IFERROR(__xludf.DUMMYFUNCTION("IMPORTRANGE(""https://docs.google.com/spreadsheets/d/1C3CXT74ZlgGe6_JY_1olB1XN4rF0dxEuIIF-xsYjHgg/edit?usp=sharing"",""พรบ!K106"")"),0)</f>
        <v>0</v>
      </c>
      <c r="AB102" s="77">
        <v>0</v>
      </c>
      <c r="AC102" s="77">
        <v>0</v>
      </c>
      <c r="AD102" s="77">
        <f ca="1">IFERROR(__xludf.DUMMYFUNCTION("IMPORTRANGE(""https://docs.google.com/spreadsheets/d/1C3CXT74ZlgGe6_JY_1olB1XN4rF0dxEuIIF-xsYjHgg/edit?usp=sharing"",""พรบ!L106"")"),0)</f>
        <v>0</v>
      </c>
      <c r="AE102" s="77">
        <f ca="1">IFERROR(__xludf.DUMMYFUNCTION("IMPORTRANGE(""https://docs.google.com/spreadsheets/d/1C3CXT74ZlgGe6_JY_1olB1XN4rF0dxEuIIF-xsYjHgg/edit?usp=sharing"",""พรบ!M106"")"),0)</f>
        <v>0</v>
      </c>
      <c r="AF102" s="77">
        <v>0</v>
      </c>
      <c r="AG102" s="77">
        <v>0</v>
      </c>
      <c r="AH102" s="77">
        <f ca="1">IFERROR(__xludf.DUMMYFUNCTION("IMPORTRANGE(""https://docs.google.com/spreadsheets/d/1C3CXT74ZlgGe6_JY_1olB1XN4rF0dxEuIIF-xsYjHgg/edit?usp=sharing"",""พรบ!N106"")"),0)</f>
        <v>0</v>
      </c>
      <c r="AI102" s="77">
        <v>0</v>
      </c>
      <c r="AJ102" s="79">
        <f t="shared" ca="1" si="17"/>
        <v>0</v>
      </c>
    </row>
    <row r="103" spans="1:36" ht="24" hidden="1" customHeight="1">
      <c r="A103" s="105">
        <f t="shared" si="57"/>
        <v>12</v>
      </c>
      <c r="B103" s="106" t="s">
        <v>127</v>
      </c>
      <c r="C103" s="75">
        <f t="shared" ca="1" si="0"/>
        <v>0</v>
      </c>
      <c r="D103" s="76">
        <f t="shared" ca="1" si="56"/>
        <v>0</v>
      </c>
      <c r="E103" s="77">
        <f ca="1">IFERROR(__xludf.DUMMYFUNCTION("IMPORTRANGE(""https://docs.google.com/spreadsheets/d/1C3CXT74ZlgGe6_JY_1olB1XN4rF0dxEuIIF-xsYjHgg/edit?usp=sharing"",""พรบ!D107"")"),0)</f>
        <v>0</v>
      </c>
      <c r="F103" s="77">
        <f ca="1">IFERROR(__xludf.DUMMYFUNCTION("IMPORTRANGE(""https://docs.google.com/spreadsheets/d/1C3CXT74ZlgGe6_JY_1olB1XN4rF0dxEuIIF-xsYjHgg/edit?usp=sharing"",""พรบ!E107"")"),0)</f>
        <v>0</v>
      </c>
      <c r="G103" s="77">
        <f ca="1">IFERROR(__xludf.DUMMYFUNCTION("IMPORTRANGE(""https://docs.google.com/spreadsheets/d/1Yj_ptqi66GCucihVvJfMjLAmec39IyEx_6qawtMGysU/edit?usp=sharing"",""สบก!AG107"")"),0)</f>
        <v>0</v>
      </c>
      <c r="H103" s="77">
        <f ca="1">IFERROR(__xludf.DUMMYFUNCTION("IMPORTRANGE(""https://docs.google.com/spreadsheets/d/1Yj_ptqi66GCucihVvJfMjLAmec39IyEx_6qawtMGysU/edit?usp=sharing"",""สบก!AI107"")"),0)</f>
        <v>0</v>
      </c>
      <c r="I103" s="77">
        <f t="shared" ca="1" si="3"/>
        <v>0</v>
      </c>
      <c r="J103" s="78">
        <f t="shared" ca="1" si="4"/>
        <v>0</v>
      </c>
      <c r="K103" s="77">
        <f ca="1">IFERROR(__xludf.DUMMYFUNCTION("IMPORTRANGE(""https://docs.google.com/spreadsheets/d/1Yj_ptqi66GCucihVvJfMjLAmec39IyEx_6qawtMGysU/edit?usp=sharing"",""สบก!AJ107"")"),0)</f>
        <v>0</v>
      </c>
      <c r="L103" s="79">
        <f t="shared" ca="1" si="5"/>
        <v>0</v>
      </c>
      <c r="M103" s="79">
        <f t="shared" ca="1" si="6"/>
        <v>0</v>
      </c>
      <c r="N103" s="80">
        <f ca="1">IFERROR(__xludf.DUMMYFUNCTION("IMPORTRANGE(""https://docs.google.com/spreadsheets/d/1Yj_ptqi66GCucihVvJfMjLAmec39IyEx_6qawtMGysU/edit?usp=sharing"",""สบก!AK107"")"),0)</f>
        <v>0</v>
      </c>
      <c r="O103" s="79">
        <f t="shared" ca="1" si="7"/>
        <v>0</v>
      </c>
      <c r="P103" s="77">
        <v>0</v>
      </c>
      <c r="Q103" s="77">
        <v>0</v>
      </c>
      <c r="R103" s="77">
        <v>0</v>
      </c>
      <c r="S103" s="79">
        <f t="shared" si="9"/>
        <v>0</v>
      </c>
      <c r="T103" s="77">
        <v>0</v>
      </c>
      <c r="U103" s="79">
        <f t="shared" si="10"/>
        <v>0</v>
      </c>
      <c r="V103" s="77">
        <f ca="1">IFERROR(__xludf.DUMMYFUNCTION("IMPORTRANGE(""https://docs.google.com/spreadsheets/d/1C3CXT74ZlgGe6_JY_1olB1XN4rF0dxEuIIF-xsYjHgg/edit?usp=sharing"",""พรบ!H107"")"),0)</f>
        <v>0</v>
      </c>
      <c r="W103" s="77">
        <f ca="1">IFERROR(__xludf.DUMMYFUNCTION("IMPORTRANGE(""https://docs.google.com/spreadsheets/d/1C3CXT74ZlgGe6_JY_1olB1XN4rF0dxEuIIF-xsYjHgg/edit?usp=sharing"",""พรบ!I107"")"),0)</f>
        <v>0</v>
      </c>
      <c r="X103" s="77">
        <v>0</v>
      </c>
      <c r="Y103" s="77">
        <v>0</v>
      </c>
      <c r="Z103" s="77">
        <f ca="1">IFERROR(__xludf.DUMMYFUNCTION("IMPORTRANGE(""https://docs.google.com/spreadsheets/d/1C3CXT74ZlgGe6_JY_1olB1XN4rF0dxEuIIF-xsYjHgg/edit?usp=sharing"",""พรบ!J107"")"),0)</f>
        <v>0</v>
      </c>
      <c r="AA103" s="77">
        <f ca="1">IFERROR(__xludf.DUMMYFUNCTION("IMPORTRANGE(""https://docs.google.com/spreadsheets/d/1C3CXT74ZlgGe6_JY_1olB1XN4rF0dxEuIIF-xsYjHgg/edit?usp=sharing"",""พรบ!K107"")"),0)</f>
        <v>0</v>
      </c>
      <c r="AB103" s="77">
        <v>0</v>
      </c>
      <c r="AC103" s="77">
        <v>0</v>
      </c>
      <c r="AD103" s="77">
        <f ca="1">IFERROR(__xludf.DUMMYFUNCTION("IMPORTRANGE(""https://docs.google.com/spreadsheets/d/1C3CXT74ZlgGe6_JY_1olB1XN4rF0dxEuIIF-xsYjHgg/edit?usp=sharing"",""พรบ!L107"")"),0)</f>
        <v>0</v>
      </c>
      <c r="AE103" s="77">
        <f ca="1">IFERROR(__xludf.DUMMYFUNCTION("IMPORTRANGE(""https://docs.google.com/spreadsheets/d/1C3CXT74ZlgGe6_JY_1olB1XN4rF0dxEuIIF-xsYjHgg/edit?usp=sharing"",""พรบ!M107"")"),0)</f>
        <v>0</v>
      </c>
      <c r="AF103" s="77">
        <v>0</v>
      </c>
      <c r="AG103" s="77">
        <v>0</v>
      </c>
      <c r="AH103" s="77">
        <f ca="1">IFERROR(__xludf.DUMMYFUNCTION("IMPORTRANGE(""https://docs.google.com/spreadsheets/d/1C3CXT74ZlgGe6_JY_1olB1XN4rF0dxEuIIF-xsYjHgg/edit?usp=sharing"",""พรบ!N107"")"),0)</f>
        <v>0</v>
      </c>
      <c r="AI103" s="77">
        <v>0</v>
      </c>
      <c r="AJ103" s="79">
        <f t="shared" ca="1" si="17"/>
        <v>0</v>
      </c>
    </row>
    <row r="104" spans="1:36" ht="24" hidden="1" customHeight="1">
      <c r="A104" s="105">
        <f t="shared" si="57"/>
        <v>13</v>
      </c>
      <c r="B104" s="106" t="s">
        <v>128</v>
      </c>
      <c r="C104" s="75">
        <f t="shared" ca="1" si="0"/>
        <v>0</v>
      </c>
      <c r="D104" s="76">
        <f t="shared" ca="1" si="56"/>
        <v>0</v>
      </c>
      <c r="E104" s="77">
        <f ca="1">IFERROR(__xludf.DUMMYFUNCTION("IMPORTRANGE(""https://docs.google.com/spreadsheets/d/1C3CXT74ZlgGe6_JY_1olB1XN4rF0dxEuIIF-xsYjHgg/edit?usp=sharing"",""พรบ!D108"")"),0)</f>
        <v>0</v>
      </c>
      <c r="F104" s="77">
        <f ca="1">IFERROR(__xludf.DUMMYFUNCTION("IMPORTRANGE(""https://docs.google.com/spreadsheets/d/1C3CXT74ZlgGe6_JY_1olB1XN4rF0dxEuIIF-xsYjHgg/edit?usp=sharing"",""พรบ!E108"")"),0)</f>
        <v>0</v>
      </c>
      <c r="G104" s="77">
        <f ca="1">IFERROR(__xludf.DUMMYFUNCTION("IMPORTRANGE(""https://docs.google.com/spreadsheets/d/1Yj_ptqi66GCucihVvJfMjLAmec39IyEx_6qawtMGysU/edit?usp=sharing"",""สบก!AG108"")"),0)</f>
        <v>0</v>
      </c>
      <c r="H104" s="77">
        <f ca="1">IFERROR(__xludf.DUMMYFUNCTION("IMPORTRANGE(""https://docs.google.com/spreadsheets/d/1Yj_ptqi66GCucihVvJfMjLAmec39IyEx_6qawtMGysU/edit?usp=sharing"",""สบก!AI108"")"),0)</f>
        <v>0</v>
      </c>
      <c r="I104" s="77">
        <f t="shared" ca="1" si="3"/>
        <v>0</v>
      </c>
      <c r="J104" s="78">
        <f t="shared" ca="1" si="4"/>
        <v>0</v>
      </c>
      <c r="K104" s="77">
        <f ca="1">IFERROR(__xludf.DUMMYFUNCTION("IMPORTRANGE(""https://docs.google.com/spreadsheets/d/1Yj_ptqi66GCucihVvJfMjLAmec39IyEx_6qawtMGysU/edit?usp=sharing"",""สบก!AJ108"")"),0)</f>
        <v>0</v>
      </c>
      <c r="L104" s="79">
        <f t="shared" ca="1" si="5"/>
        <v>0</v>
      </c>
      <c r="M104" s="79">
        <f t="shared" ca="1" si="6"/>
        <v>0</v>
      </c>
      <c r="N104" s="80">
        <f ca="1">IFERROR(__xludf.DUMMYFUNCTION("IMPORTRANGE(""https://docs.google.com/spreadsheets/d/1Yj_ptqi66GCucihVvJfMjLAmec39IyEx_6qawtMGysU/edit?usp=sharing"",""สบก!AK108"")"),0)</f>
        <v>0</v>
      </c>
      <c r="O104" s="79">
        <f t="shared" ca="1" si="7"/>
        <v>0</v>
      </c>
      <c r="P104" s="77">
        <v>0</v>
      </c>
      <c r="Q104" s="77">
        <v>0</v>
      </c>
      <c r="R104" s="77">
        <v>0</v>
      </c>
      <c r="S104" s="79">
        <f t="shared" si="9"/>
        <v>0</v>
      </c>
      <c r="T104" s="77">
        <v>0</v>
      </c>
      <c r="U104" s="79">
        <f t="shared" si="10"/>
        <v>0</v>
      </c>
      <c r="V104" s="77">
        <f ca="1">IFERROR(__xludf.DUMMYFUNCTION("IMPORTRANGE(""https://docs.google.com/spreadsheets/d/1C3CXT74ZlgGe6_JY_1olB1XN4rF0dxEuIIF-xsYjHgg/edit?usp=sharing"",""พรบ!H108"")"),0)</f>
        <v>0</v>
      </c>
      <c r="W104" s="77">
        <f ca="1">IFERROR(__xludf.DUMMYFUNCTION("IMPORTRANGE(""https://docs.google.com/spreadsheets/d/1C3CXT74ZlgGe6_JY_1olB1XN4rF0dxEuIIF-xsYjHgg/edit?usp=sharing"",""พรบ!I108"")"),0)</f>
        <v>0</v>
      </c>
      <c r="X104" s="77">
        <v>0</v>
      </c>
      <c r="Y104" s="77">
        <v>0</v>
      </c>
      <c r="Z104" s="77">
        <f ca="1">IFERROR(__xludf.DUMMYFUNCTION("IMPORTRANGE(""https://docs.google.com/spreadsheets/d/1C3CXT74ZlgGe6_JY_1olB1XN4rF0dxEuIIF-xsYjHgg/edit?usp=sharing"",""พรบ!J108"")"),0)</f>
        <v>0</v>
      </c>
      <c r="AA104" s="77">
        <f ca="1">IFERROR(__xludf.DUMMYFUNCTION("IMPORTRANGE(""https://docs.google.com/spreadsheets/d/1C3CXT74ZlgGe6_JY_1olB1XN4rF0dxEuIIF-xsYjHgg/edit?usp=sharing"",""พรบ!K108"")"),0)</f>
        <v>0</v>
      </c>
      <c r="AB104" s="77">
        <v>0</v>
      </c>
      <c r="AC104" s="77">
        <v>0</v>
      </c>
      <c r="AD104" s="77">
        <f ca="1">IFERROR(__xludf.DUMMYFUNCTION("IMPORTRANGE(""https://docs.google.com/spreadsheets/d/1C3CXT74ZlgGe6_JY_1olB1XN4rF0dxEuIIF-xsYjHgg/edit?usp=sharing"",""พรบ!L108"")"),0)</f>
        <v>0</v>
      </c>
      <c r="AE104" s="77">
        <f ca="1">IFERROR(__xludf.DUMMYFUNCTION("IMPORTRANGE(""https://docs.google.com/spreadsheets/d/1C3CXT74ZlgGe6_JY_1olB1XN4rF0dxEuIIF-xsYjHgg/edit?usp=sharing"",""พรบ!M108"")"),0)</f>
        <v>0</v>
      </c>
      <c r="AF104" s="77">
        <v>0</v>
      </c>
      <c r="AG104" s="77">
        <v>0</v>
      </c>
      <c r="AH104" s="77">
        <f ca="1">IFERROR(__xludf.DUMMYFUNCTION("IMPORTRANGE(""https://docs.google.com/spreadsheets/d/1C3CXT74ZlgGe6_JY_1olB1XN4rF0dxEuIIF-xsYjHgg/edit?usp=sharing"",""พรบ!N108"")"),0)</f>
        <v>0</v>
      </c>
      <c r="AI104" s="77">
        <v>0</v>
      </c>
      <c r="AJ104" s="79">
        <f t="shared" ca="1" si="17"/>
        <v>0</v>
      </c>
    </row>
    <row r="105" spans="1:36" ht="24" hidden="1" customHeight="1">
      <c r="A105" s="107">
        <f t="shared" si="57"/>
        <v>14</v>
      </c>
      <c r="B105" s="108" t="s">
        <v>129</v>
      </c>
      <c r="C105" s="86">
        <f t="shared" ca="1" si="0"/>
        <v>0</v>
      </c>
      <c r="D105" s="87">
        <f t="shared" ca="1" si="56"/>
        <v>0</v>
      </c>
      <c r="E105" s="88">
        <f ca="1">IFERROR(__xludf.DUMMYFUNCTION("IMPORTRANGE(""https://docs.google.com/spreadsheets/d/1C3CXT74ZlgGe6_JY_1olB1XN4rF0dxEuIIF-xsYjHgg/edit?usp=sharing"",""พรบ!D109"")"),0)</f>
        <v>0</v>
      </c>
      <c r="F105" s="88">
        <f ca="1">IFERROR(__xludf.DUMMYFUNCTION("IMPORTRANGE(""https://docs.google.com/spreadsheets/d/1C3CXT74ZlgGe6_JY_1olB1XN4rF0dxEuIIF-xsYjHgg/edit?usp=sharing"",""พรบ!E109"")"),0)</f>
        <v>0</v>
      </c>
      <c r="G105" s="88">
        <f ca="1">IFERROR(__xludf.DUMMYFUNCTION("IMPORTRANGE(""https://docs.google.com/spreadsheets/d/1Yj_ptqi66GCucihVvJfMjLAmec39IyEx_6qawtMGysU/edit?usp=sharing"",""สบก!AG109"")"),0)</f>
        <v>0</v>
      </c>
      <c r="H105" s="88">
        <f ca="1">IFERROR(__xludf.DUMMYFUNCTION("IMPORTRANGE(""https://docs.google.com/spreadsheets/d/1Yj_ptqi66GCucihVvJfMjLAmec39IyEx_6qawtMGysU/edit?usp=sharing"",""สบก!AI109"")"),0)</f>
        <v>0</v>
      </c>
      <c r="I105" s="88">
        <f t="shared" ca="1" si="3"/>
        <v>0</v>
      </c>
      <c r="J105" s="89">
        <f t="shared" ca="1" si="4"/>
        <v>0</v>
      </c>
      <c r="K105" s="88">
        <f ca="1">IFERROR(__xludf.DUMMYFUNCTION("IMPORTRANGE(""https://docs.google.com/spreadsheets/d/1Yj_ptqi66GCucihVvJfMjLAmec39IyEx_6qawtMGysU/edit?usp=sharing"",""สบก!AJ109"")"),0)</f>
        <v>0</v>
      </c>
      <c r="L105" s="90">
        <f t="shared" ca="1" si="5"/>
        <v>0</v>
      </c>
      <c r="M105" s="90">
        <f t="shared" ca="1" si="6"/>
        <v>0</v>
      </c>
      <c r="N105" s="91">
        <f ca="1">IFERROR(__xludf.DUMMYFUNCTION("IMPORTRANGE(""https://docs.google.com/spreadsheets/d/1Yj_ptqi66GCucihVvJfMjLAmec39IyEx_6qawtMGysU/edit?usp=sharing"",""สบก!AK109"")"),0)</f>
        <v>0</v>
      </c>
      <c r="O105" s="90">
        <f t="shared" ca="1" si="7"/>
        <v>0</v>
      </c>
      <c r="P105" s="88">
        <v>0</v>
      </c>
      <c r="Q105" s="88">
        <v>0</v>
      </c>
      <c r="R105" s="88">
        <v>0</v>
      </c>
      <c r="S105" s="90">
        <f t="shared" si="9"/>
        <v>0</v>
      </c>
      <c r="T105" s="88">
        <v>0</v>
      </c>
      <c r="U105" s="90">
        <f t="shared" si="10"/>
        <v>0</v>
      </c>
      <c r="V105" s="88">
        <f ca="1">IFERROR(__xludf.DUMMYFUNCTION("IMPORTRANGE(""https://docs.google.com/spreadsheets/d/1C3CXT74ZlgGe6_JY_1olB1XN4rF0dxEuIIF-xsYjHgg/edit?usp=sharing"",""พรบ!H109"")"),0)</f>
        <v>0</v>
      </c>
      <c r="W105" s="88">
        <f ca="1">IFERROR(__xludf.DUMMYFUNCTION("IMPORTRANGE(""https://docs.google.com/spreadsheets/d/1C3CXT74ZlgGe6_JY_1olB1XN4rF0dxEuIIF-xsYjHgg/edit?usp=sharing"",""พรบ!I109"")"),0)</f>
        <v>0</v>
      </c>
      <c r="X105" s="88">
        <v>0</v>
      </c>
      <c r="Y105" s="88">
        <v>0</v>
      </c>
      <c r="Z105" s="88">
        <f ca="1">IFERROR(__xludf.DUMMYFUNCTION("IMPORTRANGE(""https://docs.google.com/spreadsheets/d/1C3CXT74ZlgGe6_JY_1olB1XN4rF0dxEuIIF-xsYjHgg/edit?usp=sharing"",""พรบ!J109"")"),0)</f>
        <v>0</v>
      </c>
      <c r="AA105" s="88">
        <f ca="1">IFERROR(__xludf.DUMMYFUNCTION("IMPORTRANGE(""https://docs.google.com/spreadsheets/d/1C3CXT74ZlgGe6_JY_1olB1XN4rF0dxEuIIF-xsYjHgg/edit?usp=sharing"",""พรบ!K109"")"),0)</f>
        <v>0</v>
      </c>
      <c r="AB105" s="88">
        <v>0</v>
      </c>
      <c r="AC105" s="88">
        <v>0</v>
      </c>
      <c r="AD105" s="88">
        <f ca="1">IFERROR(__xludf.DUMMYFUNCTION("IMPORTRANGE(""https://docs.google.com/spreadsheets/d/1C3CXT74ZlgGe6_JY_1olB1XN4rF0dxEuIIF-xsYjHgg/edit?usp=sharing"",""พรบ!L109"")"),0)</f>
        <v>0</v>
      </c>
      <c r="AE105" s="88">
        <f ca="1">IFERROR(__xludf.DUMMYFUNCTION("IMPORTRANGE(""https://docs.google.com/spreadsheets/d/1C3CXT74ZlgGe6_JY_1olB1XN4rF0dxEuIIF-xsYjHgg/edit?usp=sharing"",""พรบ!M109"")"),0)</f>
        <v>0</v>
      </c>
      <c r="AF105" s="88">
        <v>0</v>
      </c>
      <c r="AG105" s="88">
        <v>0</v>
      </c>
      <c r="AH105" s="88">
        <f ca="1">IFERROR(__xludf.DUMMYFUNCTION("IMPORTRANGE(""https://docs.google.com/spreadsheets/d/1C3CXT74ZlgGe6_JY_1olB1XN4rF0dxEuIIF-xsYjHgg/edit?usp=sharing"",""พรบ!N109"")"),0)</f>
        <v>0</v>
      </c>
      <c r="AI105" s="88">
        <v>0</v>
      </c>
      <c r="AJ105" s="90">
        <f t="shared" ca="1" si="17"/>
        <v>0</v>
      </c>
    </row>
    <row r="106" spans="1:36" ht="21" hidden="1" customHeight="1">
      <c r="A106" s="680" t="s">
        <v>130</v>
      </c>
      <c r="B106" s="652"/>
      <c r="C106" s="44">
        <f t="shared" ca="1" si="0"/>
        <v>1588000</v>
      </c>
      <c r="D106" s="45">
        <f t="shared" ref="D106:O106" ca="1" si="58">+D107+D108+D109+D110+D111+D112+D113+D114+D115+D116+D117+D118+D119</f>
        <v>1537000</v>
      </c>
      <c r="E106" s="45">
        <f t="shared" ca="1" si="58"/>
        <v>1537000</v>
      </c>
      <c r="F106" s="45">
        <f t="shared" ca="1" si="58"/>
        <v>0</v>
      </c>
      <c r="G106" s="645">
        <v>51000</v>
      </c>
      <c r="H106" s="45">
        <f t="shared" ca="1" si="58"/>
        <v>552900</v>
      </c>
      <c r="I106" s="645">
        <v>135834</v>
      </c>
      <c r="J106" s="646">
        <f ca="1">IF(C106&gt;0,I106*100/C106,0)</f>
        <v>8.5537783375314866</v>
      </c>
      <c r="K106" s="645">
        <v>135834</v>
      </c>
      <c r="L106" s="646">
        <f ca="1">IF(D106&gt;0,K106*100/D106,0)</f>
        <v>8.8376057254391664</v>
      </c>
      <c r="M106" s="646">
        <f ca="1">IF(H106&gt;0,K106*100/H106,0)</f>
        <v>24.567552902875747</v>
      </c>
      <c r="N106" s="45">
        <f t="shared" ca="1" si="58"/>
        <v>0</v>
      </c>
      <c r="O106" s="45">
        <f t="shared" ca="1" si="58"/>
        <v>0</v>
      </c>
      <c r="P106" s="45">
        <f t="shared" ref="P106:R106" si="59">+P107+P108+P109+P110+P111+P112+P116+P117</f>
        <v>0</v>
      </c>
      <c r="Q106" s="45">
        <f t="shared" si="59"/>
        <v>0</v>
      </c>
      <c r="R106" s="45">
        <f t="shared" si="59"/>
        <v>0</v>
      </c>
      <c r="S106" s="47">
        <f t="shared" si="9"/>
        <v>0</v>
      </c>
      <c r="T106" s="45">
        <f>+T107+T108+T109+T110+T111+T112+T116+T117</f>
        <v>0</v>
      </c>
      <c r="U106" s="47">
        <f t="shared" si="10"/>
        <v>0</v>
      </c>
      <c r="V106" s="45">
        <f t="shared" ref="V106:AI106" ca="1" si="60">+V107+V108+V109+V110+V111+V112+V116+V117</f>
        <v>0</v>
      </c>
      <c r="W106" s="45">
        <f t="shared" ca="1" si="60"/>
        <v>0</v>
      </c>
      <c r="X106" s="45">
        <f t="shared" si="60"/>
        <v>0</v>
      </c>
      <c r="Y106" s="45">
        <f t="shared" si="60"/>
        <v>0</v>
      </c>
      <c r="Z106" s="45">
        <f t="shared" ca="1" si="60"/>
        <v>0</v>
      </c>
      <c r="AA106" s="45">
        <f t="shared" ca="1" si="60"/>
        <v>0</v>
      </c>
      <c r="AB106" s="45">
        <f t="shared" si="60"/>
        <v>0</v>
      </c>
      <c r="AC106" s="45">
        <f t="shared" si="60"/>
        <v>0</v>
      </c>
      <c r="AD106" s="45">
        <f t="shared" ca="1" si="60"/>
        <v>0</v>
      </c>
      <c r="AE106" s="45">
        <f t="shared" ca="1" si="60"/>
        <v>0</v>
      </c>
      <c r="AF106" s="45">
        <f t="shared" si="60"/>
        <v>0</v>
      </c>
      <c r="AG106" s="45">
        <f t="shared" si="60"/>
        <v>0</v>
      </c>
      <c r="AH106" s="45">
        <f t="shared" ca="1" si="60"/>
        <v>0</v>
      </c>
      <c r="AI106" s="45">
        <f t="shared" si="60"/>
        <v>0</v>
      </c>
      <c r="AJ106" s="47">
        <f t="shared" ca="1" si="17"/>
        <v>0</v>
      </c>
    </row>
    <row r="107" spans="1:36" ht="24" hidden="1" customHeight="1">
      <c r="A107" s="102">
        <v>1</v>
      </c>
      <c r="B107" s="109" t="s">
        <v>131</v>
      </c>
      <c r="C107" s="110">
        <f t="shared" ca="1" si="0"/>
        <v>537000</v>
      </c>
      <c r="D107" s="66">
        <f t="shared" ref="D107:D119" ca="1" si="61">+E107+F107</f>
        <v>537000</v>
      </c>
      <c r="E107" s="67">
        <f ca="1">IFERROR(__xludf.DUMMYFUNCTION("IMPORTRANGE(""https://docs.google.com/spreadsheets/d/1C3CXT74ZlgGe6_JY_1olB1XN4rF0dxEuIIF-xsYjHgg/edit?usp=sharing"",""พรบ!D111"")"),537000)</f>
        <v>537000</v>
      </c>
      <c r="F107" s="67">
        <f ca="1">IFERROR(__xludf.DUMMYFUNCTION("IMPORTRANGE(""https://docs.google.com/spreadsheets/d/1C3CXT74ZlgGe6_JY_1olB1XN4rF0dxEuIIF-xsYjHgg/edit?usp=sharing"",""พรบ!E111"")"),0)</f>
        <v>0</v>
      </c>
      <c r="G107" s="67">
        <f ca="1">IFERROR(__xludf.DUMMYFUNCTION("IMPORTRANGE(""https://docs.google.com/spreadsheets/d/1Yj_ptqi66GCucihVvJfMjLAmec39IyEx_6qawtMGysU/edit?usp=sharing"",""สบก!AG111"")"),0)</f>
        <v>0</v>
      </c>
      <c r="H107" s="67">
        <f ca="1">IFERROR(__xludf.DUMMYFUNCTION("IMPORTRANGE(""https://docs.google.com/spreadsheets/d/1Yj_ptqi66GCucihVvJfMjLAmec39IyEx_6qawtMGysU/edit?usp=sharing"",""สบก!AI111"")"),52900)</f>
        <v>52900</v>
      </c>
      <c r="I107" s="67">
        <f t="shared" ref="I107:I119" ca="1" si="62">K107+N107</f>
        <v>0</v>
      </c>
      <c r="J107" s="104">
        <f t="shared" ref="J107:J119" ca="1" si="63">IF(C107&gt;0,I107*100/C107,0)</f>
        <v>0</v>
      </c>
      <c r="K107" s="67">
        <f ca="1">IFERROR(__xludf.DUMMYFUNCTION("IMPORTRANGE(""https://docs.google.com/spreadsheets/d/1Yj_ptqi66GCucihVvJfMjLAmec39IyEx_6qawtMGysU/edit?usp=sharing"",""สบก!AJ111"")"),0)</f>
        <v>0</v>
      </c>
      <c r="L107" s="70">
        <f t="shared" ref="L107:L119" ca="1" si="64">IF(D107&gt;0,K107*100/D107,0)</f>
        <v>0</v>
      </c>
      <c r="M107" s="70">
        <f t="shared" ref="M107:M119" ca="1" si="65">IF(H107&gt;0,K107*100/H107,0)</f>
        <v>0</v>
      </c>
      <c r="N107" s="71">
        <f ca="1">IFERROR(__xludf.DUMMYFUNCTION("IMPORTRANGE(""https://docs.google.com/spreadsheets/d/1Yj_ptqi66GCucihVvJfMjLAmec39IyEx_6qawtMGysU/edit?usp=sharing"",""สบก!AK111"")"),0)</f>
        <v>0</v>
      </c>
      <c r="O107" s="70">
        <f t="shared" ref="O107:O119" ca="1" si="66">IF(G107&gt;0,N107*100/G107,0)</f>
        <v>0</v>
      </c>
      <c r="P107" s="67">
        <v>0</v>
      </c>
      <c r="Q107" s="67">
        <v>0</v>
      </c>
      <c r="R107" s="67">
        <v>0</v>
      </c>
      <c r="S107" s="70">
        <f t="shared" si="9"/>
        <v>0</v>
      </c>
      <c r="T107" s="67">
        <v>0</v>
      </c>
      <c r="U107" s="70">
        <f t="shared" si="10"/>
        <v>0</v>
      </c>
      <c r="V107" s="67">
        <f ca="1">IFERROR(__xludf.DUMMYFUNCTION("IMPORTRANGE(""https://docs.google.com/spreadsheets/d/1C3CXT74ZlgGe6_JY_1olB1XN4rF0dxEuIIF-xsYjHgg/edit?usp=sharing"",""พรบ!H111"")"),0)</f>
        <v>0</v>
      </c>
      <c r="W107" s="67">
        <f ca="1">IFERROR(__xludf.DUMMYFUNCTION("IMPORTRANGE(""https://docs.google.com/spreadsheets/d/1C3CXT74ZlgGe6_JY_1olB1XN4rF0dxEuIIF-xsYjHgg/edit?usp=sharing"",""พรบ!I111"")"),0)</f>
        <v>0</v>
      </c>
      <c r="X107" s="67">
        <v>0</v>
      </c>
      <c r="Y107" s="67">
        <v>0</v>
      </c>
      <c r="Z107" s="67">
        <f ca="1">IFERROR(__xludf.DUMMYFUNCTION("IMPORTRANGE(""https://docs.google.com/spreadsheets/d/1C3CXT74ZlgGe6_JY_1olB1XN4rF0dxEuIIF-xsYjHgg/edit?usp=sharing"",""พรบ!J111"")"),0)</f>
        <v>0</v>
      </c>
      <c r="AA107" s="67">
        <f ca="1">IFERROR(__xludf.DUMMYFUNCTION("IMPORTRANGE(""https://docs.google.com/spreadsheets/d/1C3CXT74ZlgGe6_JY_1olB1XN4rF0dxEuIIF-xsYjHgg/edit?usp=sharing"",""พรบ!K111"")"),0)</f>
        <v>0</v>
      </c>
      <c r="AB107" s="67">
        <v>0</v>
      </c>
      <c r="AC107" s="67">
        <v>0</v>
      </c>
      <c r="AD107" s="67">
        <f ca="1">IFERROR(__xludf.DUMMYFUNCTION("IMPORTRANGE(""https://docs.google.com/spreadsheets/d/1C3CXT74ZlgGe6_JY_1olB1XN4rF0dxEuIIF-xsYjHgg/edit?usp=sharing"",""พรบ!L111"")"),0)</f>
        <v>0</v>
      </c>
      <c r="AE107" s="67">
        <f ca="1">IFERROR(__xludf.DUMMYFUNCTION("IMPORTRANGE(""https://docs.google.com/spreadsheets/d/1C3CXT74ZlgGe6_JY_1olB1XN4rF0dxEuIIF-xsYjHgg/edit?usp=sharing"",""พรบ!M111"")"),0)</f>
        <v>0</v>
      </c>
      <c r="AF107" s="67">
        <v>0</v>
      </c>
      <c r="AG107" s="67">
        <v>0</v>
      </c>
      <c r="AH107" s="67">
        <f ca="1">IFERROR(__xludf.DUMMYFUNCTION("IMPORTRANGE(""https://docs.google.com/spreadsheets/d/1C3CXT74ZlgGe6_JY_1olB1XN4rF0dxEuIIF-xsYjHgg/edit?usp=sharing"",""พรบ!N111"")"),0)</f>
        <v>0</v>
      </c>
      <c r="AI107" s="67">
        <v>0</v>
      </c>
      <c r="AJ107" s="70">
        <f t="shared" ca="1" si="17"/>
        <v>0</v>
      </c>
    </row>
    <row r="108" spans="1:36" ht="24" hidden="1" customHeight="1">
      <c r="A108" s="105">
        <v>2</v>
      </c>
      <c r="B108" s="111" t="s">
        <v>132</v>
      </c>
      <c r="C108" s="112">
        <f t="shared" ca="1" si="0"/>
        <v>0</v>
      </c>
      <c r="D108" s="76">
        <f t="shared" ca="1" si="61"/>
        <v>0</v>
      </c>
      <c r="E108" s="77">
        <f ca="1">IFERROR(__xludf.DUMMYFUNCTION("IMPORTRANGE(""https://docs.google.com/spreadsheets/d/1C3CXT74ZlgGe6_JY_1olB1XN4rF0dxEuIIF-xsYjHgg/edit?usp=sharing"",""พรบ!D112"")"),0)</f>
        <v>0</v>
      </c>
      <c r="F108" s="77">
        <f ca="1">IFERROR(__xludf.DUMMYFUNCTION("IMPORTRANGE(""https://docs.google.com/spreadsheets/d/1C3CXT74ZlgGe6_JY_1olB1XN4rF0dxEuIIF-xsYjHgg/edit?usp=sharing"",""พรบ!E112"")"),0)</f>
        <v>0</v>
      </c>
      <c r="G108" s="77">
        <f ca="1">IFERROR(__xludf.DUMMYFUNCTION("IMPORTRANGE(""https://docs.google.com/spreadsheets/d/1Yj_ptqi66GCucihVvJfMjLAmec39IyEx_6qawtMGysU/edit?usp=sharing"",""สบก!AG112"")"),0)</f>
        <v>0</v>
      </c>
      <c r="H108" s="77">
        <f ca="1">IFERROR(__xludf.DUMMYFUNCTION("IMPORTRANGE(""https://docs.google.com/spreadsheets/d/1Yj_ptqi66GCucihVvJfMjLAmec39IyEx_6qawtMGysU/edit?usp=sharing"",""สบก!AI112"")"),0)</f>
        <v>0</v>
      </c>
      <c r="I108" s="77">
        <f t="shared" ca="1" si="62"/>
        <v>0</v>
      </c>
      <c r="J108" s="78">
        <f t="shared" ca="1" si="63"/>
        <v>0</v>
      </c>
      <c r="K108" s="77">
        <f ca="1">IFERROR(__xludf.DUMMYFUNCTION("IMPORTRANGE(""https://docs.google.com/spreadsheets/d/1Yj_ptqi66GCucihVvJfMjLAmec39IyEx_6qawtMGysU/edit?usp=sharing"",""สบก!AJ112"")"),0)</f>
        <v>0</v>
      </c>
      <c r="L108" s="79">
        <f t="shared" ca="1" si="64"/>
        <v>0</v>
      </c>
      <c r="M108" s="79">
        <f t="shared" ca="1" si="65"/>
        <v>0</v>
      </c>
      <c r="N108" s="80">
        <f ca="1">IFERROR(__xludf.DUMMYFUNCTION("IMPORTRANGE(""https://docs.google.com/spreadsheets/d/1Yj_ptqi66GCucihVvJfMjLAmec39IyEx_6qawtMGysU/edit?usp=sharing"",""สบก!AK112"")"),0)</f>
        <v>0</v>
      </c>
      <c r="O108" s="79">
        <f t="shared" ca="1" si="66"/>
        <v>0</v>
      </c>
      <c r="P108" s="77">
        <v>0</v>
      </c>
      <c r="Q108" s="77">
        <v>0</v>
      </c>
      <c r="R108" s="77">
        <v>0</v>
      </c>
      <c r="S108" s="79">
        <f t="shared" si="9"/>
        <v>0</v>
      </c>
      <c r="T108" s="77">
        <v>0</v>
      </c>
      <c r="U108" s="79">
        <f t="shared" si="10"/>
        <v>0</v>
      </c>
      <c r="V108" s="77">
        <f ca="1">IFERROR(__xludf.DUMMYFUNCTION("IMPORTRANGE(""https://docs.google.com/spreadsheets/d/1C3CXT74ZlgGe6_JY_1olB1XN4rF0dxEuIIF-xsYjHgg/edit?usp=sharing"",""พรบ!H112"")"),0)</f>
        <v>0</v>
      </c>
      <c r="W108" s="77">
        <f ca="1">IFERROR(__xludf.DUMMYFUNCTION("IMPORTRANGE(""https://docs.google.com/spreadsheets/d/1C3CXT74ZlgGe6_JY_1olB1XN4rF0dxEuIIF-xsYjHgg/edit?usp=sharing"",""พรบ!I112"")"),0)</f>
        <v>0</v>
      </c>
      <c r="X108" s="77">
        <v>0</v>
      </c>
      <c r="Y108" s="77">
        <v>0</v>
      </c>
      <c r="Z108" s="77">
        <f ca="1">IFERROR(__xludf.DUMMYFUNCTION("IMPORTRANGE(""https://docs.google.com/spreadsheets/d/1C3CXT74ZlgGe6_JY_1olB1XN4rF0dxEuIIF-xsYjHgg/edit?usp=sharing"",""พรบ!J112"")"),0)</f>
        <v>0</v>
      </c>
      <c r="AA108" s="77">
        <f ca="1">IFERROR(__xludf.DUMMYFUNCTION("IMPORTRANGE(""https://docs.google.com/spreadsheets/d/1C3CXT74ZlgGe6_JY_1olB1XN4rF0dxEuIIF-xsYjHgg/edit?usp=sharing"",""พรบ!K112"")"),0)</f>
        <v>0</v>
      </c>
      <c r="AB108" s="77">
        <v>0</v>
      </c>
      <c r="AC108" s="77">
        <v>0</v>
      </c>
      <c r="AD108" s="77">
        <f ca="1">IFERROR(__xludf.DUMMYFUNCTION("IMPORTRANGE(""https://docs.google.com/spreadsheets/d/1C3CXT74ZlgGe6_JY_1olB1XN4rF0dxEuIIF-xsYjHgg/edit?usp=sharing"",""พรบ!L112"")"),0)</f>
        <v>0</v>
      </c>
      <c r="AE108" s="77">
        <f ca="1">IFERROR(__xludf.DUMMYFUNCTION("IMPORTRANGE(""https://docs.google.com/spreadsheets/d/1C3CXT74ZlgGe6_JY_1olB1XN4rF0dxEuIIF-xsYjHgg/edit?usp=sharing"",""พรบ!M112"")"),0)</f>
        <v>0</v>
      </c>
      <c r="AF108" s="77">
        <v>0</v>
      </c>
      <c r="AG108" s="77">
        <v>0</v>
      </c>
      <c r="AH108" s="77">
        <f ca="1">IFERROR(__xludf.DUMMYFUNCTION("IMPORTRANGE(""https://docs.google.com/spreadsheets/d/1C3CXT74ZlgGe6_JY_1olB1XN4rF0dxEuIIF-xsYjHgg/edit?usp=sharing"",""พรบ!N112"")"),0)</f>
        <v>0</v>
      </c>
      <c r="AI108" s="77">
        <v>0</v>
      </c>
      <c r="AJ108" s="79">
        <f t="shared" ca="1" si="17"/>
        <v>0</v>
      </c>
    </row>
    <row r="109" spans="1:36" ht="24" hidden="1" customHeight="1">
      <c r="A109" s="105">
        <v>3</v>
      </c>
      <c r="B109" s="111" t="s">
        <v>133</v>
      </c>
      <c r="C109" s="112">
        <f t="shared" ca="1" si="0"/>
        <v>0</v>
      </c>
      <c r="D109" s="76">
        <f t="shared" ca="1" si="61"/>
        <v>0</v>
      </c>
      <c r="E109" s="77">
        <f ca="1">IFERROR(__xludf.DUMMYFUNCTION("IMPORTRANGE(""https://docs.google.com/spreadsheets/d/1C3CXT74ZlgGe6_JY_1olB1XN4rF0dxEuIIF-xsYjHgg/edit?usp=sharing"",""พรบ!D113"")"),0)</f>
        <v>0</v>
      </c>
      <c r="F109" s="77">
        <f ca="1">IFERROR(__xludf.DUMMYFUNCTION("IMPORTRANGE(""https://docs.google.com/spreadsheets/d/1C3CXT74ZlgGe6_JY_1olB1XN4rF0dxEuIIF-xsYjHgg/edit?usp=sharing"",""พรบ!E113"")"),0)</f>
        <v>0</v>
      </c>
      <c r="G109" s="77">
        <f ca="1">IFERROR(__xludf.DUMMYFUNCTION("IMPORTRANGE(""https://docs.google.com/spreadsheets/d/1Yj_ptqi66GCucihVvJfMjLAmec39IyEx_6qawtMGysU/edit?usp=sharing"",""สบก!AG113"")"),0)</f>
        <v>0</v>
      </c>
      <c r="H109" s="77">
        <f ca="1">IFERROR(__xludf.DUMMYFUNCTION("IMPORTRANGE(""https://docs.google.com/spreadsheets/d/1Yj_ptqi66GCucihVvJfMjLAmec39IyEx_6qawtMGysU/edit?usp=sharing"",""สบก!AI113"")"),0)</f>
        <v>0</v>
      </c>
      <c r="I109" s="77">
        <f t="shared" ca="1" si="62"/>
        <v>0</v>
      </c>
      <c r="J109" s="78">
        <f t="shared" ca="1" si="63"/>
        <v>0</v>
      </c>
      <c r="K109" s="77">
        <f ca="1">IFERROR(__xludf.DUMMYFUNCTION("IMPORTRANGE(""https://docs.google.com/spreadsheets/d/1Yj_ptqi66GCucihVvJfMjLAmec39IyEx_6qawtMGysU/edit?usp=sharing"",""สบก!AJ113"")"),0)</f>
        <v>0</v>
      </c>
      <c r="L109" s="79">
        <f t="shared" ca="1" si="64"/>
        <v>0</v>
      </c>
      <c r="M109" s="79">
        <f t="shared" ca="1" si="65"/>
        <v>0</v>
      </c>
      <c r="N109" s="80">
        <f ca="1">IFERROR(__xludf.DUMMYFUNCTION("IMPORTRANGE(""https://docs.google.com/spreadsheets/d/1Yj_ptqi66GCucihVvJfMjLAmec39IyEx_6qawtMGysU/edit?usp=sharing"",""สบก!AK113"")"),0)</f>
        <v>0</v>
      </c>
      <c r="O109" s="79">
        <f t="shared" ca="1" si="66"/>
        <v>0</v>
      </c>
      <c r="P109" s="77">
        <v>0</v>
      </c>
      <c r="Q109" s="77">
        <v>0</v>
      </c>
      <c r="R109" s="77">
        <v>0</v>
      </c>
      <c r="S109" s="79">
        <f t="shared" si="9"/>
        <v>0</v>
      </c>
      <c r="T109" s="77">
        <v>0</v>
      </c>
      <c r="U109" s="79">
        <f t="shared" si="10"/>
        <v>0</v>
      </c>
      <c r="V109" s="77">
        <f ca="1">IFERROR(__xludf.DUMMYFUNCTION("IMPORTRANGE(""https://docs.google.com/spreadsheets/d/1C3CXT74ZlgGe6_JY_1olB1XN4rF0dxEuIIF-xsYjHgg/edit?usp=sharing"",""พรบ!H113"")"),0)</f>
        <v>0</v>
      </c>
      <c r="W109" s="77">
        <f ca="1">IFERROR(__xludf.DUMMYFUNCTION("IMPORTRANGE(""https://docs.google.com/spreadsheets/d/1C3CXT74ZlgGe6_JY_1olB1XN4rF0dxEuIIF-xsYjHgg/edit?usp=sharing"",""พรบ!I113"")"),0)</f>
        <v>0</v>
      </c>
      <c r="X109" s="77">
        <v>0</v>
      </c>
      <c r="Y109" s="77">
        <v>0</v>
      </c>
      <c r="Z109" s="77">
        <f ca="1">IFERROR(__xludf.DUMMYFUNCTION("IMPORTRANGE(""https://docs.google.com/spreadsheets/d/1C3CXT74ZlgGe6_JY_1olB1XN4rF0dxEuIIF-xsYjHgg/edit?usp=sharing"",""พรบ!J113"")"),0)</f>
        <v>0</v>
      </c>
      <c r="AA109" s="77">
        <f ca="1">IFERROR(__xludf.DUMMYFUNCTION("IMPORTRANGE(""https://docs.google.com/spreadsheets/d/1C3CXT74ZlgGe6_JY_1olB1XN4rF0dxEuIIF-xsYjHgg/edit?usp=sharing"",""พรบ!K113"")"),0)</f>
        <v>0</v>
      </c>
      <c r="AB109" s="77">
        <v>0</v>
      </c>
      <c r="AC109" s="77">
        <v>0</v>
      </c>
      <c r="AD109" s="77">
        <f ca="1">IFERROR(__xludf.DUMMYFUNCTION("IMPORTRANGE(""https://docs.google.com/spreadsheets/d/1C3CXT74ZlgGe6_JY_1olB1XN4rF0dxEuIIF-xsYjHgg/edit?usp=sharing"",""พรบ!L113"")"),0)</f>
        <v>0</v>
      </c>
      <c r="AE109" s="77">
        <f ca="1">IFERROR(__xludf.DUMMYFUNCTION("IMPORTRANGE(""https://docs.google.com/spreadsheets/d/1C3CXT74ZlgGe6_JY_1olB1XN4rF0dxEuIIF-xsYjHgg/edit?usp=sharing"",""พรบ!M113"")"),0)</f>
        <v>0</v>
      </c>
      <c r="AF109" s="77">
        <v>0</v>
      </c>
      <c r="AG109" s="77">
        <v>0</v>
      </c>
      <c r="AH109" s="77">
        <f ca="1">IFERROR(__xludf.DUMMYFUNCTION("IMPORTRANGE(""https://docs.google.com/spreadsheets/d/1C3CXT74ZlgGe6_JY_1olB1XN4rF0dxEuIIF-xsYjHgg/edit?usp=sharing"",""พรบ!N113"")"),0)</f>
        <v>0</v>
      </c>
      <c r="AI109" s="77">
        <v>0</v>
      </c>
      <c r="AJ109" s="79">
        <f t="shared" ca="1" si="17"/>
        <v>0</v>
      </c>
    </row>
    <row r="110" spans="1:36" ht="24" hidden="1" customHeight="1">
      <c r="A110" s="113">
        <v>4</v>
      </c>
      <c r="B110" s="111" t="s">
        <v>134</v>
      </c>
      <c r="C110" s="112">
        <f t="shared" ca="1" si="0"/>
        <v>0</v>
      </c>
      <c r="D110" s="76">
        <f t="shared" ca="1" si="61"/>
        <v>0</v>
      </c>
      <c r="E110" s="77">
        <f ca="1">IFERROR(__xludf.DUMMYFUNCTION("IMPORTRANGE(""https://docs.google.com/spreadsheets/d/1C3CXT74ZlgGe6_JY_1olB1XN4rF0dxEuIIF-xsYjHgg/edit?usp=sharing"",""พรบ!D114"")"),0)</f>
        <v>0</v>
      </c>
      <c r="F110" s="77">
        <f ca="1">IFERROR(__xludf.DUMMYFUNCTION("IMPORTRANGE(""https://docs.google.com/spreadsheets/d/1C3CXT74ZlgGe6_JY_1olB1XN4rF0dxEuIIF-xsYjHgg/edit?usp=sharing"",""พรบ!E114"")"),0)</f>
        <v>0</v>
      </c>
      <c r="G110" s="77">
        <f ca="1">IFERROR(__xludf.DUMMYFUNCTION("IMPORTRANGE(""https://docs.google.com/spreadsheets/d/1Yj_ptqi66GCucihVvJfMjLAmec39IyEx_6qawtMGysU/edit?usp=sharing"",""สบก!AG114"")"),0)</f>
        <v>0</v>
      </c>
      <c r="H110" s="77">
        <f ca="1">IFERROR(__xludf.DUMMYFUNCTION("IMPORTRANGE(""https://docs.google.com/spreadsheets/d/1Yj_ptqi66GCucihVvJfMjLAmec39IyEx_6qawtMGysU/edit?usp=sharing"",""สบก!AI114"")"),0)</f>
        <v>0</v>
      </c>
      <c r="I110" s="77">
        <f t="shared" ca="1" si="62"/>
        <v>0</v>
      </c>
      <c r="J110" s="78">
        <f t="shared" ca="1" si="63"/>
        <v>0</v>
      </c>
      <c r="K110" s="77">
        <f ca="1">IFERROR(__xludf.DUMMYFUNCTION("IMPORTRANGE(""https://docs.google.com/spreadsheets/d/1Yj_ptqi66GCucihVvJfMjLAmec39IyEx_6qawtMGysU/edit?usp=sharing"",""สบก!AJ114"")"),0)</f>
        <v>0</v>
      </c>
      <c r="L110" s="79">
        <f t="shared" ca="1" si="64"/>
        <v>0</v>
      </c>
      <c r="M110" s="79">
        <f t="shared" ca="1" si="65"/>
        <v>0</v>
      </c>
      <c r="N110" s="80">
        <f ca="1">IFERROR(__xludf.DUMMYFUNCTION("IMPORTRANGE(""https://docs.google.com/spreadsheets/d/1Yj_ptqi66GCucihVvJfMjLAmec39IyEx_6qawtMGysU/edit?usp=sharing"",""สบก!AK114"")"),0)</f>
        <v>0</v>
      </c>
      <c r="O110" s="79">
        <f t="shared" ca="1" si="66"/>
        <v>0</v>
      </c>
      <c r="P110" s="77">
        <v>0</v>
      </c>
      <c r="Q110" s="77">
        <v>0</v>
      </c>
      <c r="R110" s="77">
        <v>0</v>
      </c>
      <c r="S110" s="79">
        <f t="shared" si="9"/>
        <v>0</v>
      </c>
      <c r="T110" s="77">
        <v>0</v>
      </c>
      <c r="U110" s="79">
        <f t="shared" si="10"/>
        <v>0</v>
      </c>
      <c r="V110" s="77">
        <f ca="1">IFERROR(__xludf.DUMMYFUNCTION("IMPORTRANGE(""https://docs.google.com/spreadsheets/d/1C3CXT74ZlgGe6_JY_1olB1XN4rF0dxEuIIF-xsYjHgg/edit?usp=sharing"",""พรบ!H114"")"),0)</f>
        <v>0</v>
      </c>
      <c r="W110" s="77">
        <f ca="1">IFERROR(__xludf.DUMMYFUNCTION("IMPORTRANGE(""https://docs.google.com/spreadsheets/d/1C3CXT74ZlgGe6_JY_1olB1XN4rF0dxEuIIF-xsYjHgg/edit?usp=sharing"",""พรบ!I114"")"),0)</f>
        <v>0</v>
      </c>
      <c r="X110" s="77">
        <v>0</v>
      </c>
      <c r="Y110" s="77">
        <v>0</v>
      </c>
      <c r="Z110" s="77">
        <f ca="1">IFERROR(__xludf.DUMMYFUNCTION("IMPORTRANGE(""https://docs.google.com/spreadsheets/d/1C3CXT74ZlgGe6_JY_1olB1XN4rF0dxEuIIF-xsYjHgg/edit?usp=sharing"",""พรบ!J114"")"),0)</f>
        <v>0</v>
      </c>
      <c r="AA110" s="77">
        <f ca="1">IFERROR(__xludf.DUMMYFUNCTION("IMPORTRANGE(""https://docs.google.com/spreadsheets/d/1C3CXT74ZlgGe6_JY_1olB1XN4rF0dxEuIIF-xsYjHgg/edit?usp=sharing"",""พรบ!K114"")"),0)</f>
        <v>0</v>
      </c>
      <c r="AB110" s="77">
        <v>0</v>
      </c>
      <c r="AC110" s="77">
        <v>0</v>
      </c>
      <c r="AD110" s="77">
        <f ca="1">IFERROR(__xludf.DUMMYFUNCTION("IMPORTRANGE(""https://docs.google.com/spreadsheets/d/1C3CXT74ZlgGe6_JY_1olB1XN4rF0dxEuIIF-xsYjHgg/edit?usp=sharing"",""พรบ!L114"")"),0)</f>
        <v>0</v>
      </c>
      <c r="AE110" s="77">
        <f ca="1">IFERROR(__xludf.DUMMYFUNCTION("IMPORTRANGE(""https://docs.google.com/spreadsheets/d/1C3CXT74ZlgGe6_JY_1olB1XN4rF0dxEuIIF-xsYjHgg/edit?usp=sharing"",""พรบ!M114"")"),0)</f>
        <v>0</v>
      </c>
      <c r="AF110" s="77">
        <v>0</v>
      </c>
      <c r="AG110" s="77">
        <v>0</v>
      </c>
      <c r="AH110" s="77">
        <f ca="1">IFERROR(__xludf.DUMMYFUNCTION("IMPORTRANGE(""https://docs.google.com/spreadsheets/d/1C3CXT74ZlgGe6_JY_1olB1XN4rF0dxEuIIF-xsYjHgg/edit?usp=sharing"",""พรบ!N114"")"),0)</f>
        <v>0</v>
      </c>
      <c r="AI110" s="77">
        <v>0</v>
      </c>
      <c r="AJ110" s="79">
        <f t="shared" ca="1" si="17"/>
        <v>0</v>
      </c>
    </row>
    <row r="111" spans="1:36" ht="24" hidden="1" customHeight="1">
      <c r="A111" s="113">
        <v>5</v>
      </c>
      <c r="B111" s="111" t="s">
        <v>135</v>
      </c>
      <c r="C111" s="112">
        <f t="shared" ca="1" si="0"/>
        <v>500000</v>
      </c>
      <c r="D111" s="76">
        <f t="shared" ca="1" si="61"/>
        <v>500000</v>
      </c>
      <c r="E111" s="77">
        <f ca="1">IFERROR(__xludf.DUMMYFUNCTION("IMPORTRANGE(""https://docs.google.com/spreadsheets/d/1C3CXT74ZlgGe6_JY_1olB1XN4rF0dxEuIIF-xsYjHgg/edit?usp=sharing"",""พรบ!D115"")"),500000)</f>
        <v>500000</v>
      </c>
      <c r="F111" s="77">
        <f ca="1">IFERROR(__xludf.DUMMYFUNCTION("IMPORTRANGE(""https://docs.google.com/spreadsheets/d/1C3CXT74ZlgGe6_JY_1olB1XN4rF0dxEuIIF-xsYjHgg/edit?usp=sharing"",""พรบ!E115"")"),0)</f>
        <v>0</v>
      </c>
      <c r="G111" s="77">
        <f ca="1">IFERROR(__xludf.DUMMYFUNCTION("IMPORTRANGE(""https://docs.google.com/spreadsheets/d/1Yj_ptqi66GCucihVvJfMjLAmec39IyEx_6qawtMGysU/edit?usp=sharing"",""สบก!AG115"")"),0)</f>
        <v>0</v>
      </c>
      <c r="H111" s="77">
        <f ca="1">IFERROR(__xludf.DUMMYFUNCTION("IMPORTRANGE(""https://docs.google.com/spreadsheets/d/1Yj_ptqi66GCucihVvJfMjLAmec39IyEx_6qawtMGysU/edit?usp=sharing"",""สบก!AI115"")"),500000)</f>
        <v>500000</v>
      </c>
      <c r="I111" s="77">
        <f t="shared" ca="1" si="62"/>
        <v>0</v>
      </c>
      <c r="J111" s="78">
        <f t="shared" ca="1" si="63"/>
        <v>0</v>
      </c>
      <c r="K111" s="77">
        <f ca="1">IFERROR(__xludf.DUMMYFUNCTION("IMPORTRANGE(""https://docs.google.com/spreadsheets/d/1Yj_ptqi66GCucihVvJfMjLAmec39IyEx_6qawtMGysU/edit?usp=sharing"",""สบก!AJ115"")"),0)</f>
        <v>0</v>
      </c>
      <c r="L111" s="79">
        <f t="shared" ca="1" si="64"/>
        <v>0</v>
      </c>
      <c r="M111" s="79">
        <f t="shared" ca="1" si="65"/>
        <v>0</v>
      </c>
      <c r="N111" s="80">
        <f ca="1">IFERROR(__xludf.DUMMYFUNCTION("IMPORTRANGE(""https://docs.google.com/spreadsheets/d/1Yj_ptqi66GCucihVvJfMjLAmec39IyEx_6qawtMGysU/edit?usp=sharing"",""สบก!AK115"")"),0)</f>
        <v>0</v>
      </c>
      <c r="O111" s="79">
        <f t="shared" ca="1" si="66"/>
        <v>0</v>
      </c>
      <c r="P111" s="77">
        <v>0</v>
      </c>
      <c r="Q111" s="77">
        <v>0</v>
      </c>
      <c r="R111" s="77">
        <v>0</v>
      </c>
      <c r="S111" s="79">
        <f t="shared" si="9"/>
        <v>0</v>
      </c>
      <c r="T111" s="77">
        <v>0</v>
      </c>
      <c r="U111" s="79">
        <f t="shared" si="10"/>
        <v>0</v>
      </c>
      <c r="V111" s="77">
        <f ca="1">IFERROR(__xludf.DUMMYFUNCTION("IMPORTRANGE(""https://docs.google.com/spreadsheets/d/1C3CXT74ZlgGe6_JY_1olB1XN4rF0dxEuIIF-xsYjHgg/edit?usp=sharing"",""พรบ!H115"")"),0)</f>
        <v>0</v>
      </c>
      <c r="W111" s="77">
        <f ca="1">IFERROR(__xludf.DUMMYFUNCTION("IMPORTRANGE(""https://docs.google.com/spreadsheets/d/1C3CXT74ZlgGe6_JY_1olB1XN4rF0dxEuIIF-xsYjHgg/edit?usp=sharing"",""พรบ!I115"")"),0)</f>
        <v>0</v>
      </c>
      <c r="X111" s="77">
        <v>0</v>
      </c>
      <c r="Y111" s="77">
        <v>0</v>
      </c>
      <c r="Z111" s="77">
        <f ca="1">IFERROR(__xludf.DUMMYFUNCTION("IMPORTRANGE(""https://docs.google.com/spreadsheets/d/1C3CXT74ZlgGe6_JY_1olB1XN4rF0dxEuIIF-xsYjHgg/edit?usp=sharing"",""พรบ!J115"")"),0)</f>
        <v>0</v>
      </c>
      <c r="AA111" s="77">
        <f ca="1">IFERROR(__xludf.DUMMYFUNCTION("IMPORTRANGE(""https://docs.google.com/spreadsheets/d/1C3CXT74ZlgGe6_JY_1olB1XN4rF0dxEuIIF-xsYjHgg/edit?usp=sharing"",""พรบ!K115"")"),0)</f>
        <v>0</v>
      </c>
      <c r="AB111" s="77">
        <v>0</v>
      </c>
      <c r="AC111" s="77">
        <v>0</v>
      </c>
      <c r="AD111" s="77">
        <f ca="1">IFERROR(__xludf.DUMMYFUNCTION("IMPORTRANGE(""https://docs.google.com/spreadsheets/d/1C3CXT74ZlgGe6_JY_1olB1XN4rF0dxEuIIF-xsYjHgg/edit?usp=sharing"",""พรบ!L115"")"),0)</f>
        <v>0</v>
      </c>
      <c r="AE111" s="77">
        <f ca="1">IFERROR(__xludf.DUMMYFUNCTION("IMPORTRANGE(""https://docs.google.com/spreadsheets/d/1C3CXT74ZlgGe6_JY_1olB1XN4rF0dxEuIIF-xsYjHgg/edit?usp=sharing"",""พรบ!M115"")"),0)</f>
        <v>0</v>
      </c>
      <c r="AF111" s="77">
        <v>0</v>
      </c>
      <c r="AG111" s="77">
        <v>0</v>
      </c>
      <c r="AH111" s="77">
        <f ca="1">IFERROR(__xludf.DUMMYFUNCTION("IMPORTRANGE(""https://docs.google.com/spreadsheets/d/1C3CXT74ZlgGe6_JY_1olB1XN4rF0dxEuIIF-xsYjHgg/edit?usp=sharing"",""พรบ!N115"")"),0)</f>
        <v>0</v>
      </c>
      <c r="AI111" s="77">
        <v>0</v>
      </c>
      <c r="AJ111" s="79">
        <f t="shared" ca="1" si="17"/>
        <v>0</v>
      </c>
    </row>
    <row r="112" spans="1:36" ht="24" hidden="1" customHeight="1">
      <c r="A112" s="113">
        <v>6</v>
      </c>
      <c r="B112" s="111" t="s">
        <v>136</v>
      </c>
      <c r="C112" s="112">
        <f t="shared" ca="1" si="0"/>
        <v>500000</v>
      </c>
      <c r="D112" s="76">
        <f t="shared" ca="1" si="61"/>
        <v>500000</v>
      </c>
      <c r="E112" s="77">
        <f ca="1">IFERROR(__xludf.DUMMYFUNCTION("IMPORTRANGE(""https://docs.google.com/spreadsheets/d/1C3CXT74ZlgGe6_JY_1olB1XN4rF0dxEuIIF-xsYjHgg/edit?usp=sharing"",""พรบ!D116"")"),500000)</f>
        <v>500000</v>
      </c>
      <c r="F112" s="77">
        <f ca="1">IFERROR(__xludf.DUMMYFUNCTION("IMPORTRANGE(""https://docs.google.com/spreadsheets/d/1C3CXT74ZlgGe6_JY_1olB1XN4rF0dxEuIIF-xsYjHgg/edit?usp=sharing"",""พรบ!E116"")"),0)</f>
        <v>0</v>
      </c>
      <c r="G112" s="77">
        <f ca="1">IFERROR(__xludf.DUMMYFUNCTION("IMPORTRANGE(""https://docs.google.com/spreadsheets/d/1Yj_ptqi66GCucihVvJfMjLAmec39IyEx_6qawtMGysU/edit?usp=sharing"",""สบก!AG116"")"),0)</f>
        <v>0</v>
      </c>
      <c r="H112" s="77">
        <f ca="1">IFERROR(__xludf.DUMMYFUNCTION("IMPORTRANGE(""https://docs.google.com/spreadsheets/d/1Yj_ptqi66GCucihVvJfMjLAmec39IyEx_6qawtMGysU/edit?usp=sharing"",""สบก!AI116"")"),0)</f>
        <v>0</v>
      </c>
      <c r="I112" s="77">
        <f t="shared" ca="1" si="62"/>
        <v>0</v>
      </c>
      <c r="J112" s="78">
        <f t="shared" ca="1" si="63"/>
        <v>0</v>
      </c>
      <c r="K112" s="77">
        <f ca="1">IFERROR(__xludf.DUMMYFUNCTION("IMPORTRANGE(""https://docs.google.com/spreadsheets/d/1Yj_ptqi66GCucihVvJfMjLAmec39IyEx_6qawtMGysU/edit?usp=sharing"",""สบก!AJ116"")"),0)</f>
        <v>0</v>
      </c>
      <c r="L112" s="79">
        <f t="shared" ca="1" si="64"/>
        <v>0</v>
      </c>
      <c r="M112" s="79">
        <f t="shared" ca="1" si="65"/>
        <v>0</v>
      </c>
      <c r="N112" s="80">
        <f ca="1">IFERROR(__xludf.DUMMYFUNCTION("IMPORTRANGE(""https://docs.google.com/spreadsheets/d/1Yj_ptqi66GCucihVvJfMjLAmec39IyEx_6qawtMGysU/edit?usp=sharing"",""สบก!AK116"")"),0)</f>
        <v>0</v>
      </c>
      <c r="O112" s="79">
        <f t="shared" ca="1" si="66"/>
        <v>0</v>
      </c>
      <c r="P112" s="77">
        <v>0</v>
      </c>
      <c r="Q112" s="77">
        <v>0</v>
      </c>
      <c r="R112" s="77">
        <v>0</v>
      </c>
      <c r="S112" s="79">
        <f t="shared" si="9"/>
        <v>0</v>
      </c>
      <c r="T112" s="77">
        <v>0</v>
      </c>
      <c r="U112" s="79">
        <f t="shared" si="10"/>
        <v>0</v>
      </c>
      <c r="V112" s="77">
        <f ca="1">IFERROR(__xludf.DUMMYFUNCTION("IMPORTRANGE(""https://docs.google.com/spreadsheets/d/1C3CXT74ZlgGe6_JY_1olB1XN4rF0dxEuIIF-xsYjHgg/edit?usp=sharing"",""พรบ!H116"")"),0)</f>
        <v>0</v>
      </c>
      <c r="W112" s="77">
        <f ca="1">IFERROR(__xludf.DUMMYFUNCTION("IMPORTRANGE(""https://docs.google.com/spreadsheets/d/1C3CXT74ZlgGe6_JY_1olB1XN4rF0dxEuIIF-xsYjHgg/edit?usp=sharing"",""พรบ!I116"")"),0)</f>
        <v>0</v>
      </c>
      <c r="X112" s="77">
        <v>0</v>
      </c>
      <c r="Y112" s="77">
        <v>0</v>
      </c>
      <c r="Z112" s="77">
        <f ca="1">IFERROR(__xludf.DUMMYFUNCTION("IMPORTRANGE(""https://docs.google.com/spreadsheets/d/1C3CXT74ZlgGe6_JY_1olB1XN4rF0dxEuIIF-xsYjHgg/edit?usp=sharing"",""พรบ!J116"")"),0)</f>
        <v>0</v>
      </c>
      <c r="AA112" s="77">
        <f ca="1">IFERROR(__xludf.DUMMYFUNCTION("IMPORTRANGE(""https://docs.google.com/spreadsheets/d/1C3CXT74ZlgGe6_JY_1olB1XN4rF0dxEuIIF-xsYjHgg/edit?usp=sharing"",""พรบ!K116"")"),0)</f>
        <v>0</v>
      </c>
      <c r="AB112" s="77">
        <v>0</v>
      </c>
      <c r="AC112" s="77">
        <v>0</v>
      </c>
      <c r="AD112" s="77">
        <f ca="1">IFERROR(__xludf.DUMMYFUNCTION("IMPORTRANGE(""https://docs.google.com/spreadsheets/d/1C3CXT74ZlgGe6_JY_1olB1XN4rF0dxEuIIF-xsYjHgg/edit?usp=sharing"",""พรบ!L116"")"),0)</f>
        <v>0</v>
      </c>
      <c r="AE112" s="77">
        <f ca="1">IFERROR(__xludf.DUMMYFUNCTION("IMPORTRANGE(""https://docs.google.com/spreadsheets/d/1C3CXT74ZlgGe6_JY_1olB1XN4rF0dxEuIIF-xsYjHgg/edit?usp=sharing"",""พรบ!M116"")"),0)</f>
        <v>0</v>
      </c>
      <c r="AF112" s="77">
        <v>0</v>
      </c>
      <c r="AG112" s="77">
        <v>0</v>
      </c>
      <c r="AH112" s="77">
        <f ca="1">IFERROR(__xludf.DUMMYFUNCTION("IMPORTRANGE(""https://docs.google.com/spreadsheets/d/1C3CXT74ZlgGe6_JY_1olB1XN4rF0dxEuIIF-xsYjHgg/edit?usp=sharing"",""พรบ!N116"")"),0)</f>
        <v>0</v>
      </c>
      <c r="AI112" s="77">
        <v>0</v>
      </c>
      <c r="AJ112" s="79">
        <f t="shared" ca="1" si="17"/>
        <v>0</v>
      </c>
    </row>
    <row r="113" spans="1:36" ht="24" hidden="1" customHeight="1">
      <c r="A113" s="113">
        <v>7</v>
      </c>
      <c r="B113" s="111" t="s">
        <v>137</v>
      </c>
      <c r="C113" s="112">
        <f t="shared" ca="1" si="0"/>
        <v>0</v>
      </c>
      <c r="D113" s="76">
        <f t="shared" ca="1" si="61"/>
        <v>0</v>
      </c>
      <c r="E113" s="77">
        <f ca="1">IFERROR(__xludf.DUMMYFUNCTION("IMPORTRANGE(""https://docs.google.com/spreadsheets/d/1C3CXT74ZlgGe6_JY_1olB1XN4rF0dxEuIIF-xsYjHgg/edit?usp=sharing"",""พรบ!D117"")"),0)</f>
        <v>0</v>
      </c>
      <c r="F113" s="77">
        <f ca="1">IFERROR(__xludf.DUMMYFUNCTION("IMPORTRANGE(""https://docs.google.com/spreadsheets/d/1C3CXT74ZlgGe6_JY_1olB1XN4rF0dxEuIIF-xsYjHgg/edit?usp=sharing"",""พรบ!E117"")"),0)</f>
        <v>0</v>
      </c>
      <c r="G113" s="77">
        <f ca="1">IFERROR(__xludf.DUMMYFUNCTION("IMPORTRANGE(""https://docs.google.com/spreadsheets/d/1Yj_ptqi66GCucihVvJfMjLAmec39IyEx_6qawtMGysU/edit?usp=sharing"",""สบก!AG117"")"),0)</f>
        <v>0</v>
      </c>
      <c r="H113" s="77">
        <f ca="1">IFERROR(__xludf.DUMMYFUNCTION("IMPORTRANGE(""https://docs.google.com/spreadsheets/d/1Yj_ptqi66GCucihVvJfMjLAmec39IyEx_6qawtMGysU/edit?usp=sharing"",""สบก!AI117"")"),0)</f>
        <v>0</v>
      </c>
      <c r="I113" s="77">
        <f t="shared" ca="1" si="62"/>
        <v>0</v>
      </c>
      <c r="J113" s="78">
        <f t="shared" ca="1" si="63"/>
        <v>0</v>
      </c>
      <c r="K113" s="77">
        <f ca="1">IFERROR(__xludf.DUMMYFUNCTION("IMPORTRANGE(""https://docs.google.com/spreadsheets/d/1Yj_ptqi66GCucihVvJfMjLAmec39IyEx_6qawtMGysU/edit?usp=sharing"",""สบก!AJ117"")"),0)</f>
        <v>0</v>
      </c>
      <c r="L113" s="79">
        <f t="shared" ca="1" si="64"/>
        <v>0</v>
      </c>
      <c r="M113" s="79">
        <f t="shared" ca="1" si="65"/>
        <v>0</v>
      </c>
      <c r="N113" s="80">
        <f ca="1">IFERROR(__xludf.DUMMYFUNCTION("IMPORTRANGE(""https://docs.google.com/spreadsheets/d/1Yj_ptqi66GCucihVvJfMjLAmec39IyEx_6qawtMGysU/edit?usp=sharing"",""สบก!AK117"")"),0)</f>
        <v>0</v>
      </c>
      <c r="O113" s="79">
        <f t="shared" ca="1" si="66"/>
        <v>0</v>
      </c>
      <c r="P113" s="77">
        <v>0</v>
      </c>
      <c r="Q113" s="77">
        <v>0</v>
      </c>
      <c r="R113" s="77">
        <v>0</v>
      </c>
      <c r="S113" s="79">
        <f t="shared" si="9"/>
        <v>0</v>
      </c>
      <c r="T113" s="77">
        <v>0</v>
      </c>
      <c r="U113" s="79">
        <f t="shared" si="10"/>
        <v>0</v>
      </c>
      <c r="V113" s="77">
        <f ca="1">IFERROR(__xludf.DUMMYFUNCTION("IMPORTRANGE(""https://docs.google.com/spreadsheets/d/1C3CXT74ZlgGe6_JY_1olB1XN4rF0dxEuIIF-xsYjHgg/edit?usp=sharing"",""พรบ!H116"")"),0)</f>
        <v>0</v>
      </c>
      <c r="W113" s="77">
        <f ca="1">IFERROR(__xludf.DUMMYFUNCTION("IMPORTRANGE(""https://docs.google.com/spreadsheets/d/1C3CXT74ZlgGe6_JY_1olB1XN4rF0dxEuIIF-xsYjHgg/edit?usp=sharing"",""พรบ!I116"")"),0)</f>
        <v>0</v>
      </c>
      <c r="X113" s="77">
        <v>0</v>
      </c>
      <c r="Y113" s="77">
        <v>0</v>
      </c>
      <c r="Z113" s="77">
        <f ca="1">IFERROR(__xludf.DUMMYFUNCTION("IMPORTRANGE(""https://docs.google.com/spreadsheets/d/1C3CXT74ZlgGe6_JY_1olB1XN4rF0dxEuIIF-xsYjHgg/edit?usp=sharing"",""พรบ!J116"")"),0)</f>
        <v>0</v>
      </c>
      <c r="AA113" s="77">
        <f ca="1">IFERROR(__xludf.DUMMYFUNCTION("IMPORTRANGE(""https://docs.google.com/spreadsheets/d/1C3CXT74ZlgGe6_JY_1olB1XN4rF0dxEuIIF-xsYjHgg/edit?usp=sharing"",""พรบ!K116"")"),0)</f>
        <v>0</v>
      </c>
      <c r="AB113" s="77">
        <v>0</v>
      </c>
      <c r="AC113" s="77">
        <v>0</v>
      </c>
      <c r="AD113" s="77">
        <f ca="1">IFERROR(__xludf.DUMMYFUNCTION("IMPORTRANGE(""https://docs.google.com/spreadsheets/d/1C3CXT74ZlgGe6_JY_1olB1XN4rF0dxEuIIF-xsYjHgg/edit?usp=sharing"",""พรบ!L116"")"),0)</f>
        <v>0</v>
      </c>
      <c r="AE113" s="77">
        <f ca="1">IFERROR(__xludf.DUMMYFUNCTION("IMPORTRANGE(""https://docs.google.com/spreadsheets/d/1C3CXT74ZlgGe6_JY_1olB1XN4rF0dxEuIIF-xsYjHgg/edit?usp=sharing"",""พรบ!M116"")"),0)</f>
        <v>0</v>
      </c>
      <c r="AF113" s="77">
        <v>0</v>
      </c>
      <c r="AG113" s="77">
        <v>0</v>
      </c>
      <c r="AH113" s="77">
        <f ca="1">IFERROR(__xludf.DUMMYFUNCTION("IMPORTRANGE(""https://docs.google.com/spreadsheets/d/1C3CXT74ZlgGe6_JY_1olB1XN4rF0dxEuIIF-xsYjHgg/edit?usp=sharing"",""พรบ!N116"")"),0)</f>
        <v>0</v>
      </c>
      <c r="AI113" s="77">
        <v>0</v>
      </c>
      <c r="AJ113" s="79">
        <f t="shared" ca="1" si="17"/>
        <v>0</v>
      </c>
    </row>
    <row r="114" spans="1:36" ht="24" hidden="1" customHeight="1">
      <c r="A114" s="113">
        <v>8</v>
      </c>
      <c r="B114" s="111" t="s">
        <v>138</v>
      </c>
      <c r="C114" s="112">
        <f t="shared" ca="1" si="0"/>
        <v>0</v>
      </c>
      <c r="D114" s="76">
        <f t="shared" ca="1" si="61"/>
        <v>0</v>
      </c>
      <c r="E114" s="77">
        <f ca="1">IFERROR(__xludf.DUMMYFUNCTION("IMPORTRANGE(""https://docs.google.com/spreadsheets/d/1C3CXT74ZlgGe6_JY_1olB1XN4rF0dxEuIIF-xsYjHgg/edit?usp=sharing"",""พรบ!D118"")"),0)</f>
        <v>0</v>
      </c>
      <c r="F114" s="77">
        <f ca="1">IFERROR(__xludf.DUMMYFUNCTION("IMPORTRANGE(""https://docs.google.com/spreadsheets/d/1C3CXT74ZlgGe6_JY_1olB1XN4rF0dxEuIIF-xsYjHgg/edit?usp=sharing"",""พรบ!E118"")"),0)</f>
        <v>0</v>
      </c>
      <c r="G114" s="77">
        <f ca="1">IFERROR(__xludf.DUMMYFUNCTION("IMPORTRANGE(""https://docs.google.com/spreadsheets/d/1Yj_ptqi66GCucihVvJfMjLAmec39IyEx_6qawtMGysU/edit?usp=sharing"",""สบก!AG118"")"),0)</f>
        <v>0</v>
      </c>
      <c r="H114" s="77">
        <f ca="1">IFERROR(__xludf.DUMMYFUNCTION("IMPORTRANGE(""https://docs.google.com/spreadsheets/d/1Yj_ptqi66GCucihVvJfMjLAmec39IyEx_6qawtMGysU/edit?usp=sharing"",""สบก!AI118"")"),0)</f>
        <v>0</v>
      </c>
      <c r="I114" s="77">
        <f t="shared" ca="1" si="62"/>
        <v>0</v>
      </c>
      <c r="J114" s="78">
        <f t="shared" ca="1" si="63"/>
        <v>0</v>
      </c>
      <c r="K114" s="77">
        <f ca="1">IFERROR(__xludf.DUMMYFUNCTION("IMPORTRANGE(""https://docs.google.com/spreadsheets/d/1Yj_ptqi66GCucihVvJfMjLAmec39IyEx_6qawtMGysU/edit?usp=sharing"",""สบก!AJ118"")"),0)</f>
        <v>0</v>
      </c>
      <c r="L114" s="79">
        <f t="shared" ca="1" si="64"/>
        <v>0</v>
      </c>
      <c r="M114" s="79">
        <f t="shared" ca="1" si="65"/>
        <v>0</v>
      </c>
      <c r="N114" s="80">
        <f ca="1">IFERROR(__xludf.DUMMYFUNCTION("IMPORTRANGE(""https://docs.google.com/spreadsheets/d/1Yj_ptqi66GCucihVvJfMjLAmec39IyEx_6qawtMGysU/edit?usp=sharing"",""สบก!AK118"")"),0)</f>
        <v>0</v>
      </c>
      <c r="O114" s="79">
        <f t="shared" ca="1" si="66"/>
        <v>0</v>
      </c>
      <c r="P114" s="77">
        <v>0</v>
      </c>
      <c r="Q114" s="77">
        <v>0</v>
      </c>
      <c r="R114" s="77">
        <v>0</v>
      </c>
      <c r="S114" s="79">
        <f t="shared" si="9"/>
        <v>0</v>
      </c>
      <c r="T114" s="77">
        <v>0</v>
      </c>
      <c r="U114" s="79">
        <f t="shared" si="10"/>
        <v>0</v>
      </c>
      <c r="V114" s="77">
        <f ca="1">IFERROR(__xludf.DUMMYFUNCTION("IMPORTRANGE(""https://docs.google.com/spreadsheets/d/1C3CXT74ZlgGe6_JY_1olB1XN4rF0dxEuIIF-xsYjHgg/edit?usp=sharing"",""พรบ!H116"")"),0)</f>
        <v>0</v>
      </c>
      <c r="W114" s="77">
        <f ca="1">IFERROR(__xludf.DUMMYFUNCTION("IMPORTRANGE(""https://docs.google.com/spreadsheets/d/1C3CXT74ZlgGe6_JY_1olB1XN4rF0dxEuIIF-xsYjHgg/edit?usp=sharing"",""พรบ!I116"")"),0)</f>
        <v>0</v>
      </c>
      <c r="X114" s="77">
        <v>0</v>
      </c>
      <c r="Y114" s="77">
        <v>0</v>
      </c>
      <c r="Z114" s="77">
        <f ca="1">IFERROR(__xludf.DUMMYFUNCTION("IMPORTRANGE(""https://docs.google.com/spreadsheets/d/1C3CXT74ZlgGe6_JY_1olB1XN4rF0dxEuIIF-xsYjHgg/edit?usp=sharing"",""พรบ!J116"")"),0)</f>
        <v>0</v>
      </c>
      <c r="AA114" s="77">
        <f ca="1">IFERROR(__xludf.DUMMYFUNCTION("IMPORTRANGE(""https://docs.google.com/spreadsheets/d/1C3CXT74ZlgGe6_JY_1olB1XN4rF0dxEuIIF-xsYjHgg/edit?usp=sharing"",""พรบ!K116"")"),0)</f>
        <v>0</v>
      </c>
      <c r="AB114" s="77">
        <v>0</v>
      </c>
      <c r="AC114" s="77">
        <v>0</v>
      </c>
      <c r="AD114" s="77">
        <f ca="1">IFERROR(__xludf.DUMMYFUNCTION("IMPORTRANGE(""https://docs.google.com/spreadsheets/d/1C3CXT74ZlgGe6_JY_1olB1XN4rF0dxEuIIF-xsYjHgg/edit?usp=sharing"",""พรบ!L116"")"),0)</f>
        <v>0</v>
      </c>
      <c r="AE114" s="77">
        <f ca="1">IFERROR(__xludf.DUMMYFUNCTION("IMPORTRANGE(""https://docs.google.com/spreadsheets/d/1C3CXT74ZlgGe6_JY_1olB1XN4rF0dxEuIIF-xsYjHgg/edit?usp=sharing"",""พรบ!M116"")"),0)</f>
        <v>0</v>
      </c>
      <c r="AF114" s="77">
        <v>0</v>
      </c>
      <c r="AG114" s="77">
        <v>0</v>
      </c>
      <c r="AH114" s="77">
        <f ca="1">IFERROR(__xludf.DUMMYFUNCTION("IMPORTRANGE(""https://docs.google.com/spreadsheets/d/1C3CXT74ZlgGe6_JY_1olB1XN4rF0dxEuIIF-xsYjHgg/edit?usp=sharing"",""พรบ!N116"")"),0)</f>
        <v>0</v>
      </c>
      <c r="AI114" s="77">
        <v>0</v>
      </c>
      <c r="AJ114" s="79">
        <f t="shared" ca="1" si="17"/>
        <v>0</v>
      </c>
    </row>
    <row r="115" spans="1:36" ht="24" hidden="1" customHeight="1">
      <c r="A115" s="113">
        <v>9</v>
      </c>
      <c r="B115" s="111" t="s">
        <v>139</v>
      </c>
      <c r="C115" s="112">
        <f t="shared" ca="1" si="0"/>
        <v>0</v>
      </c>
      <c r="D115" s="76">
        <f t="shared" ca="1" si="61"/>
        <v>0</v>
      </c>
      <c r="E115" s="77">
        <f ca="1">IFERROR(__xludf.DUMMYFUNCTION("IMPORTRANGE(""https://docs.google.com/spreadsheets/d/1C3CXT74ZlgGe6_JY_1olB1XN4rF0dxEuIIF-xsYjHgg/edit?usp=sharing"",""พรบ!D119"")"),0)</f>
        <v>0</v>
      </c>
      <c r="F115" s="77">
        <f ca="1">IFERROR(__xludf.DUMMYFUNCTION("IMPORTRANGE(""https://docs.google.com/spreadsheets/d/1C3CXT74ZlgGe6_JY_1olB1XN4rF0dxEuIIF-xsYjHgg/edit?usp=sharing"",""พรบ!E119"")"),0)</f>
        <v>0</v>
      </c>
      <c r="G115" s="77">
        <f ca="1">IFERROR(__xludf.DUMMYFUNCTION("IMPORTRANGE(""https://docs.google.com/spreadsheets/d/1Yj_ptqi66GCucihVvJfMjLAmec39IyEx_6qawtMGysU/edit?usp=sharing"",""สบก!AG119"")"),0)</f>
        <v>0</v>
      </c>
      <c r="H115" s="77">
        <f ca="1">IFERROR(__xludf.DUMMYFUNCTION("IMPORTRANGE(""https://docs.google.com/spreadsheets/d/1Yj_ptqi66GCucihVvJfMjLAmec39IyEx_6qawtMGysU/edit?usp=sharing"",""สบก!AI119"")"),0)</f>
        <v>0</v>
      </c>
      <c r="I115" s="77">
        <f t="shared" ca="1" si="62"/>
        <v>0</v>
      </c>
      <c r="J115" s="78">
        <f t="shared" ca="1" si="63"/>
        <v>0</v>
      </c>
      <c r="K115" s="77">
        <f ca="1">IFERROR(__xludf.DUMMYFUNCTION("IMPORTRANGE(""https://docs.google.com/spreadsheets/d/1Yj_ptqi66GCucihVvJfMjLAmec39IyEx_6qawtMGysU/edit?usp=sharing"",""สบก!AJ119"")"),0)</f>
        <v>0</v>
      </c>
      <c r="L115" s="79">
        <f t="shared" ca="1" si="64"/>
        <v>0</v>
      </c>
      <c r="M115" s="79">
        <f t="shared" ca="1" si="65"/>
        <v>0</v>
      </c>
      <c r="N115" s="80">
        <f ca="1">IFERROR(__xludf.DUMMYFUNCTION("IMPORTRANGE(""https://docs.google.com/spreadsheets/d/1Yj_ptqi66GCucihVvJfMjLAmec39IyEx_6qawtMGysU/edit?usp=sharing"",""สบก!AK119"")"),0)</f>
        <v>0</v>
      </c>
      <c r="O115" s="79">
        <f t="shared" ca="1" si="66"/>
        <v>0</v>
      </c>
      <c r="P115" s="77">
        <v>0</v>
      </c>
      <c r="Q115" s="77">
        <v>0</v>
      </c>
      <c r="R115" s="77">
        <v>0</v>
      </c>
      <c r="S115" s="79">
        <f t="shared" si="9"/>
        <v>0</v>
      </c>
      <c r="T115" s="77">
        <v>0</v>
      </c>
      <c r="U115" s="79">
        <f t="shared" si="10"/>
        <v>0</v>
      </c>
      <c r="V115" s="77">
        <f ca="1">IFERROR(__xludf.DUMMYFUNCTION("IMPORTRANGE(""https://docs.google.com/spreadsheets/d/1C3CXT74ZlgGe6_JY_1olB1XN4rF0dxEuIIF-xsYjHgg/edit?usp=sharing"",""พรบ!H116"")"),0)</f>
        <v>0</v>
      </c>
      <c r="W115" s="77">
        <f ca="1">IFERROR(__xludf.DUMMYFUNCTION("IMPORTRANGE(""https://docs.google.com/spreadsheets/d/1C3CXT74ZlgGe6_JY_1olB1XN4rF0dxEuIIF-xsYjHgg/edit?usp=sharing"",""พรบ!I116"")"),0)</f>
        <v>0</v>
      </c>
      <c r="X115" s="77">
        <v>0</v>
      </c>
      <c r="Y115" s="77">
        <v>0</v>
      </c>
      <c r="Z115" s="77">
        <f ca="1">IFERROR(__xludf.DUMMYFUNCTION("IMPORTRANGE(""https://docs.google.com/spreadsheets/d/1C3CXT74ZlgGe6_JY_1olB1XN4rF0dxEuIIF-xsYjHgg/edit?usp=sharing"",""พรบ!J116"")"),0)</f>
        <v>0</v>
      </c>
      <c r="AA115" s="77">
        <f ca="1">IFERROR(__xludf.DUMMYFUNCTION("IMPORTRANGE(""https://docs.google.com/spreadsheets/d/1C3CXT74ZlgGe6_JY_1olB1XN4rF0dxEuIIF-xsYjHgg/edit?usp=sharing"",""พรบ!K116"")"),0)</f>
        <v>0</v>
      </c>
      <c r="AB115" s="77">
        <v>0</v>
      </c>
      <c r="AC115" s="77">
        <v>0</v>
      </c>
      <c r="AD115" s="77">
        <f ca="1">IFERROR(__xludf.DUMMYFUNCTION("IMPORTRANGE(""https://docs.google.com/spreadsheets/d/1C3CXT74ZlgGe6_JY_1olB1XN4rF0dxEuIIF-xsYjHgg/edit?usp=sharing"",""พรบ!L116"")"),0)</f>
        <v>0</v>
      </c>
      <c r="AE115" s="77">
        <f ca="1">IFERROR(__xludf.DUMMYFUNCTION("IMPORTRANGE(""https://docs.google.com/spreadsheets/d/1C3CXT74ZlgGe6_JY_1olB1XN4rF0dxEuIIF-xsYjHgg/edit?usp=sharing"",""พรบ!M116"")"),0)</f>
        <v>0</v>
      </c>
      <c r="AF115" s="77">
        <v>0</v>
      </c>
      <c r="AG115" s="77">
        <v>0</v>
      </c>
      <c r="AH115" s="77">
        <f ca="1">IFERROR(__xludf.DUMMYFUNCTION("IMPORTRANGE(""https://docs.google.com/spreadsheets/d/1C3CXT74ZlgGe6_JY_1olB1XN4rF0dxEuIIF-xsYjHgg/edit?usp=sharing"",""พรบ!N116"")"),0)</f>
        <v>0</v>
      </c>
      <c r="AI115" s="77">
        <v>0</v>
      </c>
      <c r="AJ115" s="79">
        <f t="shared" ca="1" si="17"/>
        <v>0</v>
      </c>
    </row>
    <row r="116" spans="1:36" ht="24" hidden="1" customHeight="1">
      <c r="A116" s="113">
        <v>10</v>
      </c>
      <c r="B116" s="111" t="s">
        <v>140</v>
      </c>
      <c r="C116" s="112">
        <f t="shared" ca="1" si="0"/>
        <v>0</v>
      </c>
      <c r="D116" s="76">
        <f t="shared" ca="1" si="61"/>
        <v>0</v>
      </c>
      <c r="E116" s="77">
        <f ca="1">IFERROR(__xludf.DUMMYFUNCTION("IMPORTRANGE(""https://docs.google.com/spreadsheets/d/1C3CXT74ZlgGe6_JY_1olB1XN4rF0dxEuIIF-xsYjHgg/edit?usp=sharing"",""พรบ!D120"")"),0)</f>
        <v>0</v>
      </c>
      <c r="F116" s="77">
        <f ca="1">IFERROR(__xludf.DUMMYFUNCTION("IMPORTRANGE(""https://docs.google.com/spreadsheets/d/1C3CXT74ZlgGe6_JY_1olB1XN4rF0dxEuIIF-xsYjHgg/edit?usp=sharing"",""พรบ!E120"")"),0)</f>
        <v>0</v>
      </c>
      <c r="G116" s="77">
        <f ca="1">IFERROR(__xludf.DUMMYFUNCTION("IMPORTRANGE(""https://docs.google.com/spreadsheets/d/1Yj_ptqi66GCucihVvJfMjLAmec39IyEx_6qawtMGysU/edit?usp=sharing"",""สบก!AG120"")"),0)</f>
        <v>0</v>
      </c>
      <c r="H116" s="77">
        <f ca="1">IFERROR(__xludf.DUMMYFUNCTION("IMPORTRANGE(""https://docs.google.com/spreadsheets/d/1Yj_ptqi66GCucihVvJfMjLAmec39IyEx_6qawtMGysU/edit?usp=sharing"",""สบก!AI120"")"),0)</f>
        <v>0</v>
      </c>
      <c r="I116" s="77">
        <f t="shared" ca="1" si="62"/>
        <v>0</v>
      </c>
      <c r="J116" s="78">
        <f t="shared" ca="1" si="63"/>
        <v>0</v>
      </c>
      <c r="K116" s="77">
        <f ca="1">IFERROR(__xludf.DUMMYFUNCTION("IMPORTRANGE(""https://docs.google.com/spreadsheets/d/1Yj_ptqi66GCucihVvJfMjLAmec39IyEx_6qawtMGysU/edit?usp=sharing"",""สบก!AJ120"")"),0)</f>
        <v>0</v>
      </c>
      <c r="L116" s="79">
        <f t="shared" ca="1" si="64"/>
        <v>0</v>
      </c>
      <c r="M116" s="79">
        <f t="shared" ca="1" si="65"/>
        <v>0</v>
      </c>
      <c r="N116" s="80">
        <f ca="1">IFERROR(__xludf.DUMMYFUNCTION("IMPORTRANGE(""https://docs.google.com/spreadsheets/d/1Yj_ptqi66GCucihVvJfMjLAmec39IyEx_6qawtMGysU/edit?usp=sharing"",""สบก!AK120"")"),0)</f>
        <v>0</v>
      </c>
      <c r="O116" s="79">
        <f t="shared" ca="1" si="66"/>
        <v>0</v>
      </c>
      <c r="P116" s="77">
        <v>0</v>
      </c>
      <c r="Q116" s="77">
        <v>0</v>
      </c>
      <c r="R116" s="77">
        <v>0</v>
      </c>
      <c r="S116" s="79">
        <f t="shared" si="9"/>
        <v>0</v>
      </c>
      <c r="T116" s="77">
        <v>0</v>
      </c>
      <c r="U116" s="79">
        <f t="shared" si="10"/>
        <v>0</v>
      </c>
      <c r="V116" s="77">
        <f ca="1">IFERROR(__xludf.DUMMYFUNCTION("IMPORTRANGE(""https://docs.google.com/spreadsheets/d/1C3CXT74ZlgGe6_JY_1olB1XN4rF0dxEuIIF-xsYjHgg/edit?usp=sharing"",""พรบ!H116"")"),0)</f>
        <v>0</v>
      </c>
      <c r="W116" s="77">
        <f ca="1">IFERROR(__xludf.DUMMYFUNCTION("IMPORTRANGE(""https://docs.google.com/spreadsheets/d/1C3CXT74ZlgGe6_JY_1olB1XN4rF0dxEuIIF-xsYjHgg/edit?usp=sharing"",""พรบ!I116"")"),0)</f>
        <v>0</v>
      </c>
      <c r="X116" s="77">
        <v>0</v>
      </c>
      <c r="Y116" s="77">
        <v>0</v>
      </c>
      <c r="Z116" s="77">
        <f ca="1">IFERROR(__xludf.DUMMYFUNCTION("IMPORTRANGE(""https://docs.google.com/spreadsheets/d/1C3CXT74ZlgGe6_JY_1olB1XN4rF0dxEuIIF-xsYjHgg/edit?usp=sharing"",""พรบ!J116"")"),0)</f>
        <v>0</v>
      </c>
      <c r="AA116" s="77">
        <f ca="1">IFERROR(__xludf.DUMMYFUNCTION("IMPORTRANGE(""https://docs.google.com/spreadsheets/d/1C3CXT74ZlgGe6_JY_1olB1XN4rF0dxEuIIF-xsYjHgg/edit?usp=sharing"",""พรบ!K116"")"),0)</f>
        <v>0</v>
      </c>
      <c r="AB116" s="77">
        <v>0</v>
      </c>
      <c r="AC116" s="77">
        <v>0</v>
      </c>
      <c r="AD116" s="77">
        <f ca="1">IFERROR(__xludf.DUMMYFUNCTION("IMPORTRANGE(""https://docs.google.com/spreadsheets/d/1C3CXT74ZlgGe6_JY_1olB1XN4rF0dxEuIIF-xsYjHgg/edit?usp=sharing"",""พรบ!L116"")"),0)</f>
        <v>0</v>
      </c>
      <c r="AE116" s="77">
        <f ca="1">IFERROR(__xludf.DUMMYFUNCTION("IMPORTRANGE(""https://docs.google.com/spreadsheets/d/1C3CXT74ZlgGe6_JY_1olB1XN4rF0dxEuIIF-xsYjHgg/edit?usp=sharing"",""พรบ!M116"")"),0)</f>
        <v>0</v>
      </c>
      <c r="AF116" s="77">
        <v>0</v>
      </c>
      <c r="AG116" s="77">
        <v>0</v>
      </c>
      <c r="AH116" s="77">
        <f ca="1">IFERROR(__xludf.DUMMYFUNCTION("IMPORTRANGE(""https://docs.google.com/spreadsheets/d/1C3CXT74ZlgGe6_JY_1olB1XN4rF0dxEuIIF-xsYjHgg/edit?usp=sharing"",""พรบ!N116"")"),0)</f>
        <v>0</v>
      </c>
      <c r="AI116" s="77">
        <v>0</v>
      </c>
      <c r="AJ116" s="79">
        <f t="shared" ca="1" si="17"/>
        <v>0</v>
      </c>
    </row>
    <row r="117" spans="1:36" ht="24" hidden="1" customHeight="1">
      <c r="A117" s="113">
        <v>11</v>
      </c>
      <c r="B117" s="111" t="s">
        <v>141</v>
      </c>
      <c r="C117" s="112">
        <f t="shared" ca="1" si="0"/>
        <v>0</v>
      </c>
      <c r="D117" s="76">
        <f t="shared" ca="1" si="61"/>
        <v>0</v>
      </c>
      <c r="E117" s="77">
        <f ca="1">IFERROR(__xludf.DUMMYFUNCTION("IMPORTRANGE(""https://docs.google.com/spreadsheets/d/1C3CXT74ZlgGe6_JY_1olB1XN4rF0dxEuIIF-xsYjHgg/edit?usp=sharing"",""พรบ!D121"")"),0)</f>
        <v>0</v>
      </c>
      <c r="F117" s="77">
        <f ca="1">IFERROR(__xludf.DUMMYFUNCTION("IMPORTRANGE(""https://docs.google.com/spreadsheets/d/1C3CXT74ZlgGe6_JY_1olB1XN4rF0dxEuIIF-xsYjHgg/edit?usp=sharing"",""พรบ!E121"")"),0)</f>
        <v>0</v>
      </c>
      <c r="G117" s="77">
        <f ca="1">IFERROR(__xludf.DUMMYFUNCTION("IMPORTRANGE(""https://docs.google.com/spreadsheets/d/1Yj_ptqi66GCucihVvJfMjLAmec39IyEx_6qawtMGysU/edit?usp=sharing"",""สบก!AG121"")"),0)</f>
        <v>0</v>
      </c>
      <c r="H117" s="77">
        <f ca="1">IFERROR(__xludf.DUMMYFUNCTION("IMPORTRANGE(""https://docs.google.com/spreadsheets/d/1Yj_ptqi66GCucihVvJfMjLAmec39IyEx_6qawtMGysU/edit?usp=sharing"",""สบก!AI121"")"),0)</f>
        <v>0</v>
      </c>
      <c r="I117" s="77">
        <f t="shared" ca="1" si="62"/>
        <v>0</v>
      </c>
      <c r="J117" s="78">
        <f t="shared" ca="1" si="63"/>
        <v>0</v>
      </c>
      <c r="K117" s="77">
        <f ca="1">IFERROR(__xludf.DUMMYFUNCTION("IMPORTRANGE(""https://docs.google.com/spreadsheets/d/1Yj_ptqi66GCucihVvJfMjLAmec39IyEx_6qawtMGysU/edit?usp=sharing"",""สบก!AJ121"")"),0)</f>
        <v>0</v>
      </c>
      <c r="L117" s="79">
        <f t="shared" ca="1" si="64"/>
        <v>0</v>
      </c>
      <c r="M117" s="79">
        <f t="shared" ca="1" si="65"/>
        <v>0</v>
      </c>
      <c r="N117" s="80">
        <f ca="1">IFERROR(__xludf.DUMMYFUNCTION("IMPORTRANGE(""https://docs.google.com/spreadsheets/d/1Yj_ptqi66GCucihVvJfMjLAmec39IyEx_6qawtMGysU/edit?usp=sharing"",""สบก!AK121"")"),0)</f>
        <v>0</v>
      </c>
      <c r="O117" s="79">
        <f t="shared" ca="1" si="66"/>
        <v>0</v>
      </c>
      <c r="P117" s="77">
        <v>0</v>
      </c>
      <c r="Q117" s="77">
        <v>0</v>
      </c>
      <c r="R117" s="77">
        <v>0</v>
      </c>
      <c r="S117" s="79">
        <f t="shared" si="9"/>
        <v>0</v>
      </c>
      <c r="T117" s="77">
        <v>0</v>
      </c>
      <c r="U117" s="79">
        <f t="shared" si="10"/>
        <v>0</v>
      </c>
      <c r="V117" s="77">
        <f ca="1">IFERROR(__xludf.DUMMYFUNCTION("IMPORTRANGE(""https://docs.google.com/spreadsheets/d/1C3CXT74ZlgGe6_JY_1olB1XN4rF0dxEuIIF-xsYjHgg/edit?usp=sharing"",""พรบ!H116"")"),0)</f>
        <v>0</v>
      </c>
      <c r="W117" s="77">
        <f ca="1">IFERROR(__xludf.DUMMYFUNCTION("IMPORTRANGE(""https://docs.google.com/spreadsheets/d/1C3CXT74ZlgGe6_JY_1olB1XN4rF0dxEuIIF-xsYjHgg/edit?usp=sharing"",""พรบ!I116"")"),0)</f>
        <v>0</v>
      </c>
      <c r="X117" s="77">
        <v>0</v>
      </c>
      <c r="Y117" s="77">
        <v>0</v>
      </c>
      <c r="Z117" s="77">
        <f ca="1">IFERROR(__xludf.DUMMYFUNCTION("IMPORTRANGE(""https://docs.google.com/spreadsheets/d/1C3CXT74ZlgGe6_JY_1olB1XN4rF0dxEuIIF-xsYjHgg/edit?usp=sharing"",""พรบ!J116"")"),0)</f>
        <v>0</v>
      </c>
      <c r="AA117" s="77">
        <f ca="1">IFERROR(__xludf.DUMMYFUNCTION("IMPORTRANGE(""https://docs.google.com/spreadsheets/d/1C3CXT74ZlgGe6_JY_1olB1XN4rF0dxEuIIF-xsYjHgg/edit?usp=sharing"",""พรบ!K116"")"),0)</f>
        <v>0</v>
      </c>
      <c r="AB117" s="77">
        <v>0</v>
      </c>
      <c r="AC117" s="77">
        <v>0</v>
      </c>
      <c r="AD117" s="77">
        <f ca="1">IFERROR(__xludf.DUMMYFUNCTION("IMPORTRANGE(""https://docs.google.com/spreadsheets/d/1C3CXT74ZlgGe6_JY_1olB1XN4rF0dxEuIIF-xsYjHgg/edit?usp=sharing"",""พรบ!L116"")"),0)</f>
        <v>0</v>
      </c>
      <c r="AE117" s="77">
        <f ca="1">IFERROR(__xludf.DUMMYFUNCTION("IMPORTRANGE(""https://docs.google.com/spreadsheets/d/1C3CXT74ZlgGe6_JY_1olB1XN4rF0dxEuIIF-xsYjHgg/edit?usp=sharing"",""พรบ!M116"")"),0)</f>
        <v>0</v>
      </c>
      <c r="AF117" s="77">
        <v>0</v>
      </c>
      <c r="AG117" s="77">
        <v>0</v>
      </c>
      <c r="AH117" s="77">
        <f ca="1">IFERROR(__xludf.DUMMYFUNCTION("IMPORTRANGE(""https://docs.google.com/spreadsheets/d/1C3CXT74ZlgGe6_JY_1olB1XN4rF0dxEuIIF-xsYjHgg/edit?usp=sharing"",""พรบ!N116"")"),0)</f>
        <v>0</v>
      </c>
      <c r="AI117" s="77">
        <v>0</v>
      </c>
      <c r="AJ117" s="79">
        <f t="shared" ca="1" si="17"/>
        <v>0</v>
      </c>
    </row>
    <row r="118" spans="1:36" ht="24" hidden="1" customHeight="1">
      <c r="A118" s="113">
        <v>12</v>
      </c>
      <c r="B118" s="111" t="s">
        <v>142</v>
      </c>
      <c r="C118" s="112">
        <f t="shared" ca="1" si="0"/>
        <v>0</v>
      </c>
      <c r="D118" s="76">
        <f t="shared" ca="1" si="61"/>
        <v>0</v>
      </c>
      <c r="E118" s="77">
        <f ca="1">IFERROR(__xludf.DUMMYFUNCTION("IMPORTRANGE(""https://docs.google.com/spreadsheets/d/1C3CXT74ZlgGe6_JY_1olB1XN4rF0dxEuIIF-xsYjHgg/edit?usp=sharing"",""พรบ!D122"")"),0)</f>
        <v>0</v>
      </c>
      <c r="F118" s="77">
        <f ca="1">IFERROR(__xludf.DUMMYFUNCTION("IMPORTRANGE(""https://docs.google.com/spreadsheets/d/1C3CXT74ZlgGe6_JY_1olB1XN4rF0dxEuIIF-xsYjHgg/edit?usp=sharing"",""พรบ!E122"")"),0)</f>
        <v>0</v>
      </c>
      <c r="G118" s="77">
        <f ca="1">IFERROR(__xludf.DUMMYFUNCTION("IMPORTRANGE(""https://docs.google.com/spreadsheets/d/1Yj_ptqi66GCucihVvJfMjLAmec39IyEx_6qawtMGysU/edit?usp=sharing"",""สบก!AG122"")"),0)</f>
        <v>0</v>
      </c>
      <c r="H118" s="77">
        <f ca="1">IFERROR(__xludf.DUMMYFUNCTION("IMPORTRANGE(""https://docs.google.com/spreadsheets/d/1Yj_ptqi66GCucihVvJfMjLAmec39IyEx_6qawtMGysU/edit?usp=sharing"",""สบก!AI122"")"),0)</f>
        <v>0</v>
      </c>
      <c r="I118" s="77">
        <f t="shared" ca="1" si="62"/>
        <v>0</v>
      </c>
      <c r="J118" s="78">
        <f t="shared" ca="1" si="63"/>
        <v>0</v>
      </c>
      <c r="K118" s="77">
        <f ca="1">IFERROR(__xludf.DUMMYFUNCTION("IMPORTRANGE(""https://docs.google.com/spreadsheets/d/1Yj_ptqi66GCucihVvJfMjLAmec39IyEx_6qawtMGysU/edit?usp=sharing"",""สบก!AJ122"")"),0)</f>
        <v>0</v>
      </c>
      <c r="L118" s="79">
        <f t="shared" ca="1" si="64"/>
        <v>0</v>
      </c>
      <c r="M118" s="79">
        <f t="shared" ca="1" si="65"/>
        <v>0</v>
      </c>
      <c r="N118" s="80">
        <f ca="1">IFERROR(__xludf.DUMMYFUNCTION("IMPORTRANGE(""https://docs.google.com/spreadsheets/d/1Yj_ptqi66GCucihVvJfMjLAmec39IyEx_6qawtMGysU/edit?usp=sharing"",""สบก!AK122"")"),0)</f>
        <v>0</v>
      </c>
      <c r="O118" s="79">
        <f t="shared" ca="1" si="66"/>
        <v>0</v>
      </c>
      <c r="P118" s="77">
        <v>0</v>
      </c>
      <c r="Q118" s="77">
        <v>0</v>
      </c>
      <c r="R118" s="77">
        <v>0</v>
      </c>
      <c r="S118" s="79">
        <f t="shared" si="9"/>
        <v>0</v>
      </c>
      <c r="T118" s="77">
        <v>0</v>
      </c>
      <c r="U118" s="79">
        <f t="shared" si="10"/>
        <v>0</v>
      </c>
      <c r="V118" s="77">
        <f ca="1">IFERROR(__xludf.DUMMYFUNCTION("IMPORTRANGE(""https://docs.google.com/spreadsheets/d/1C3CXT74ZlgGe6_JY_1olB1XN4rF0dxEuIIF-xsYjHgg/edit?usp=sharing"",""พรบ!H116"")"),0)</f>
        <v>0</v>
      </c>
      <c r="W118" s="77">
        <f ca="1">IFERROR(__xludf.DUMMYFUNCTION("IMPORTRANGE(""https://docs.google.com/spreadsheets/d/1C3CXT74ZlgGe6_JY_1olB1XN4rF0dxEuIIF-xsYjHgg/edit?usp=sharing"",""พรบ!I116"")"),0)</f>
        <v>0</v>
      </c>
      <c r="X118" s="77">
        <v>0</v>
      </c>
      <c r="Y118" s="77">
        <v>0</v>
      </c>
      <c r="Z118" s="77">
        <f ca="1">IFERROR(__xludf.DUMMYFUNCTION("IMPORTRANGE(""https://docs.google.com/spreadsheets/d/1C3CXT74ZlgGe6_JY_1olB1XN4rF0dxEuIIF-xsYjHgg/edit?usp=sharing"",""พรบ!J116"")"),0)</f>
        <v>0</v>
      </c>
      <c r="AA118" s="77">
        <f ca="1">IFERROR(__xludf.DUMMYFUNCTION("IMPORTRANGE(""https://docs.google.com/spreadsheets/d/1C3CXT74ZlgGe6_JY_1olB1XN4rF0dxEuIIF-xsYjHgg/edit?usp=sharing"",""พรบ!K116"")"),0)</f>
        <v>0</v>
      </c>
      <c r="AB118" s="77">
        <v>0</v>
      </c>
      <c r="AC118" s="77">
        <v>0</v>
      </c>
      <c r="AD118" s="77">
        <f ca="1">IFERROR(__xludf.DUMMYFUNCTION("IMPORTRANGE(""https://docs.google.com/spreadsheets/d/1C3CXT74ZlgGe6_JY_1olB1XN4rF0dxEuIIF-xsYjHgg/edit?usp=sharing"",""พรบ!L116"")"),0)</f>
        <v>0</v>
      </c>
      <c r="AE118" s="77">
        <f ca="1">IFERROR(__xludf.DUMMYFUNCTION("IMPORTRANGE(""https://docs.google.com/spreadsheets/d/1C3CXT74ZlgGe6_JY_1olB1XN4rF0dxEuIIF-xsYjHgg/edit?usp=sharing"",""พรบ!M116"")"),0)</f>
        <v>0</v>
      </c>
      <c r="AF118" s="77">
        <v>0</v>
      </c>
      <c r="AG118" s="77">
        <v>0</v>
      </c>
      <c r="AH118" s="77">
        <f ca="1">IFERROR(__xludf.DUMMYFUNCTION("IMPORTRANGE(""https://docs.google.com/spreadsheets/d/1C3CXT74ZlgGe6_JY_1olB1XN4rF0dxEuIIF-xsYjHgg/edit?usp=sharing"",""พรบ!N116"")"),0)</f>
        <v>0</v>
      </c>
      <c r="AI118" s="77">
        <v>0</v>
      </c>
      <c r="AJ118" s="79">
        <f t="shared" ca="1" si="17"/>
        <v>0</v>
      </c>
    </row>
    <row r="119" spans="1:36" ht="24" hidden="1" customHeight="1">
      <c r="A119" s="113">
        <v>13</v>
      </c>
      <c r="B119" s="111" t="s">
        <v>143</v>
      </c>
      <c r="C119" s="112">
        <f t="shared" ca="1" si="0"/>
        <v>0</v>
      </c>
      <c r="D119" s="76">
        <f t="shared" ca="1" si="61"/>
        <v>0</v>
      </c>
      <c r="E119" s="77">
        <f ca="1">IFERROR(__xludf.DUMMYFUNCTION("IMPORTRANGE(""https://docs.google.com/spreadsheets/d/1C3CXT74ZlgGe6_JY_1olB1XN4rF0dxEuIIF-xsYjHgg/edit?usp=sharing"",""พรบ!D123"")"),0)</f>
        <v>0</v>
      </c>
      <c r="F119" s="77">
        <f ca="1">IFERROR(__xludf.DUMMYFUNCTION("IMPORTRANGE(""https://docs.google.com/spreadsheets/d/1C3CXT74ZlgGe6_JY_1olB1XN4rF0dxEuIIF-xsYjHgg/edit?usp=sharing"",""พรบ!E123"")"),0)</f>
        <v>0</v>
      </c>
      <c r="G119" s="77">
        <f ca="1">IFERROR(__xludf.DUMMYFUNCTION("IMPORTRANGE(""https://docs.google.com/spreadsheets/d/1Yj_ptqi66GCucihVvJfMjLAmec39IyEx_6qawtMGysU/edit?usp=sharing"",""สบก!AG123"")"),0)</f>
        <v>0</v>
      </c>
      <c r="H119" s="77">
        <f ca="1">IFERROR(__xludf.DUMMYFUNCTION("IMPORTRANGE(""https://docs.google.com/spreadsheets/d/1Yj_ptqi66GCucihVvJfMjLAmec39IyEx_6qawtMGysU/edit?usp=sharing"",""สบก!AI123"")"),0)</f>
        <v>0</v>
      </c>
      <c r="I119" s="77">
        <f t="shared" ca="1" si="62"/>
        <v>0</v>
      </c>
      <c r="J119" s="78">
        <f t="shared" ca="1" si="63"/>
        <v>0</v>
      </c>
      <c r="K119" s="77">
        <f ca="1">IFERROR(__xludf.DUMMYFUNCTION("IMPORTRANGE(""https://docs.google.com/spreadsheets/d/1Yj_ptqi66GCucihVvJfMjLAmec39IyEx_6qawtMGysU/edit?usp=sharing"",""สบก!AJ123"")"),0)</f>
        <v>0</v>
      </c>
      <c r="L119" s="79">
        <f t="shared" ca="1" si="64"/>
        <v>0</v>
      </c>
      <c r="M119" s="79">
        <f t="shared" ca="1" si="65"/>
        <v>0</v>
      </c>
      <c r="N119" s="80">
        <f ca="1">IFERROR(__xludf.DUMMYFUNCTION("IMPORTRANGE(""https://docs.google.com/spreadsheets/d/1Yj_ptqi66GCucihVvJfMjLAmec39IyEx_6qawtMGysU/edit?usp=sharing"",""สบก!AK123"")"),0)</f>
        <v>0</v>
      </c>
      <c r="O119" s="79">
        <f t="shared" ca="1" si="66"/>
        <v>0</v>
      </c>
      <c r="P119" s="77">
        <v>0</v>
      </c>
      <c r="Q119" s="77">
        <v>0</v>
      </c>
      <c r="R119" s="77">
        <v>0</v>
      </c>
      <c r="S119" s="79">
        <f t="shared" si="9"/>
        <v>0</v>
      </c>
      <c r="T119" s="77">
        <v>0</v>
      </c>
      <c r="U119" s="79">
        <f t="shared" si="10"/>
        <v>0</v>
      </c>
      <c r="V119" s="77">
        <f ca="1">IFERROR(__xludf.DUMMYFUNCTION("IMPORTRANGE(""https://docs.google.com/spreadsheets/d/1C3CXT74ZlgGe6_JY_1olB1XN4rF0dxEuIIF-xsYjHgg/edit?usp=sharing"",""พรบ!H116"")"),0)</f>
        <v>0</v>
      </c>
      <c r="W119" s="77">
        <f ca="1">IFERROR(__xludf.DUMMYFUNCTION("IMPORTRANGE(""https://docs.google.com/spreadsheets/d/1C3CXT74ZlgGe6_JY_1olB1XN4rF0dxEuIIF-xsYjHgg/edit?usp=sharing"",""พรบ!I116"")"),0)</f>
        <v>0</v>
      </c>
      <c r="X119" s="77">
        <v>0</v>
      </c>
      <c r="Y119" s="77">
        <v>0</v>
      </c>
      <c r="Z119" s="77">
        <f ca="1">IFERROR(__xludf.DUMMYFUNCTION("IMPORTRANGE(""https://docs.google.com/spreadsheets/d/1C3CXT74ZlgGe6_JY_1olB1XN4rF0dxEuIIF-xsYjHgg/edit?usp=sharing"",""พรบ!J116"")"),0)</f>
        <v>0</v>
      </c>
      <c r="AA119" s="77">
        <f ca="1">IFERROR(__xludf.DUMMYFUNCTION("IMPORTRANGE(""https://docs.google.com/spreadsheets/d/1C3CXT74ZlgGe6_JY_1olB1XN4rF0dxEuIIF-xsYjHgg/edit?usp=sharing"",""พรบ!K116"")"),0)</f>
        <v>0</v>
      </c>
      <c r="AB119" s="77">
        <v>0</v>
      </c>
      <c r="AC119" s="77">
        <v>0</v>
      </c>
      <c r="AD119" s="77">
        <f ca="1">IFERROR(__xludf.DUMMYFUNCTION("IMPORTRANGE(""https://docs.google.com/spreadsheets/d/1C3CXT74ZlgGe6_JY_1olB1XN4rF0dxEuIIF-xsYjHgg/edit?usp=sharing"",""พรบ!L116"")"),0)</f>
        <v>0</v>
      </c>
      <c r="AE119" s="77">
        <f ca="1">IFERROR(__xludf.DUMMYFUNCTION("IMPORTRANGE(""https://docs.google.com/spreadsheets/d/1C3CXT74ZlgGe6_JY_1olB1XN4rF0dxEuIIF-xsYjHgg/edit?usp=sharing"",""พรบ!M116"")"),0)</f>
        <v>0</v>
      </c>
      <c r="AF119" s="77">
        <v>0</v>
      </c>
      <c r="AG119" s="77">
        <v>0</v>
      </c>
      <c r="AH119" s="77">
        <f ca="1">IFERROR(__xludf.DUMMYFUNCTION("IMPORTRANGE(""https://docs.google.com/spreadsheets/d/1C3CXT74ZlgGe6_JY_1olB1XN4rF0dxEuIIF-xsYjHgg/edit?usp=sharing"",""พรบ!N116"")"),0)</f>
        <v>0</v>
      </c>
      <c r="AI119" s="77">
        <v>0</v>
      </c>
      <c r="AJ119" s="79">
        <f t="shared" ca="1" si="17"/>
        <v>0</v>
      </c>
    </row>
    <row r="120" spans="1:36" ht="24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4"/>
      <c r="M120" s="4"/>
      <c r="N120" s="5"/>
      <c r="O120" s="5"/>
      <c r="P120" s="2"/>
      <c r="Q120" s="2"/>
      <c r="R120" s="2"/>
      <c r="S120" s="4"/>
      <c r="T120" s="2"/>
      <c r="U120" s="4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4"/>
    </row>
    <row r="121" spans="1:36" ht="24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4"/>
      <c r="M121" s="4"/>
      <c r="N121" s="5"/>
      <c r="O121" s="5"/>
      <c r="P121" s="2"/>
      <c r="Q121" s="2"/>
      <c r="R121" s="2"/>
      <c r="S121" s="4"/>
      <c r="T121" s="2"/>
      <c r="U121" s="4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4"/>
    </row>
    <row r="122" spans="1:36" ht="24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4"/>
      <c r="M122" s="4"/>
      <c r="N122" s="5"/>
      <c r="O122" s="5"/>
      <c r="P122" s="2"/>
      <c r="Q122" s="2"/>
      <c r="R122" s="2"/>
      <c r="S122" s="4"/>
      <c r="T122" s="2"/>
      <c r="U122" s="4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4"/>
    </row>
    <row r="123" spans="1:36" ht="24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4"/>
      <c r="M123" s="4"/>
      <c r="N123" s="5"/>
      <c r="O123" s="5"/>
      <c r="P123" s="2"/>
      <c r="Q123" s="2"/>
      <c r="R123" s="2"/>
      <c r="S123" s="4"/>
      <c r="T123" s="2"/>
      <c r="U123" s="4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4"/>
    </row>
    <row r="124" spans="1:36" ht="24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4"/>
      <c r="M124" s="4"/>
      <c r="N124" s="5"/>
      <c r="O124" s="5"/>
      <c r="P124" s="2"/>
      <c r="Q124" s="2"/>
      <c r="R124" s="2"/>
      <c r="S124" s="4"/>
      <c r="T124" s="2"/>
      <c r="U124" s="4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4"/>
    </row>
    <row r="125" spans="1:36" ht="24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4"/>
      <c r="M125" s="4"/>
      <c r="N125" s="5"/>
      <c r="O125" s="5"/>
      <c r="P125" s="2"/>
      <c r="Q125" s="2"/>
      <c r="R125" s="2"/>
      <c r="S125" s="4"/>
      <c r="T125" s="2"/>
      <c r="U125" s="4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4"/>
    </row>
    <row r="126" spans="1:36" ht="24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4"/>
      <c r="M126" s="4"/>
      <c r="N126" s="5"/>
      <c r="O126" s="5"/>
      <c r="P126" s="2"/>
      <c r="Q126" s="2"/>
      <c r="R126" s="2"/>
      <c r="S126" s="4"/>
      <c r="T126" s="2"/>
      <c r="U126" s="4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4"/>
    </row>
    <row r="127" spans="1:36" ht="24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4"/>
      <c r="M127" s="4"/>
      <c r="N127" s="5"/>
      <c r="O127" s="5"/>
      <c r="P127" s="2"/>
      <c r="Q127" s="2"/>
      <c r="R127" s="2"/>
      <c r="S127" s="4"/>
      <c r="T127" s="2"/>
      <c r="U127" s="4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4"/>
    </row>
    <row r="128" spans="1:36" ht="24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4"/>
      <c r="M128" s="4"/>
      <c r="N128" s="5"/>
      <c r="O128" s="5"/>
      <c r="P128" s="2"/>
      <c r="Q128" s="2"/>
      <c r="R128" s="2"/>
      <c r="S128" s="4"/>
      <c r="T128" s="2"/>
      <c r="U128" s="4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4"/>
    </row>
    <row r="129" spans="1:36" ht="24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4"/>
      <c r="M129" s="4"/>
      <c r="N129" s="5"/>
      <c r="O129" s="5"/>
      <c r="P129" s="2"/>
      <c r="Q129" s="2"/>
      <c r="R129" s="2"/>
      <c r="S129" s="4"/>
      <c r="T129" s="2"/>
      <c r="U129" s="4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4"/>
    </row>
    <row r="130" spans="1:36" ht="24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4"/>
      <c r="M130" s="4"/>
      <c r="N130" s="5"/>
      <c r="O130" s="5"/>
      <c r="P130" s="2"/>
      <c r="Q130" s="2"/>
      <c r="R130" s="2"/>
      <c r="S130" s="4"/>
      <c r="T130" s="2"/>
      <c r="U130" s="4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4"/>
    </row>
    <row r="131" spans="1:36" ht="24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4"/>
      <c r="M131" s="4"/>
      <c r="N131" s="5"/>
      <c r="O131" s="5"/>
      <c r="P131" s="2"/>
      <c r="Q131" s="2"/>
      <c r="R131" s="2"/>
      <c r="S131" s="4"/>
      <c r="T131" s="2"/>
      <c r="U131" s="4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4"/>
    </row>
    <row r="132" spans="1:36" ht="24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4"/>
      <c r="M132" s="4"/>
      <c r="N132" s="5"/>
      <c r="O132" s="5"/>
      <c r="P132" s="2"/>
      <c r="Q132" s="2"/>
      <c r="R132" s="2"/>
      <c r="S132" s="4"/>
      <c r="T132" s="2"/>
      <c r="U132" s="4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4"/>
    </row>
    <row r="133" spans="1:36" ht="24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4"/>
      <c r="M133" s="4"/>
      <c r="N133" s="5"/>
      <c r="O133" s="5"/>
      <c r="P133" s="2"/>
      <c r="Q133" s="2"/>
      <c r="R133" s="2"/>
      <c r="S133" s="4"/>
      <c r="T133" s="2"/>
      <c r="U133" s="4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4"/>
    </row>
    <row r="134" spans="1:36" ht="24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4"/>
      <c r="M134" s="4"/>
      <c r="N134" s="5"/>
      <c r="O134" s="5"/>
      <c r="P134" s="2"/>
      <c r="Q134" s="2"/>
      <c r="R134" s="2"/>
      <c r="S134" s="4"/>
      <c r="T134" s="2"/>
      <c r="U134" s="4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4"/>
    </row>
    <row r="135" spans="1:36" ht="24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4"/>
      <c r="M135" s="4"/>
      <c r="N135" s="5"/>
      <c r="O135" s="5"/>
      <c r="P135" s="2"/>
      <c r="Q135" s="2"/>
      <c r="R135" s="2"/>
      <c r="S135" s="4"/>
      <c r="T135" s="2"/>
      <c r="U135" s="4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4"/>
    </row>
    <row r="136" spans="1:36" ht="24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4"/>
      <c r="M136" s="4"/>
      <c r="N136" s="5"/>
      <c r="O136" s="5"/>
      <c r="P136" s="2"/>
      <c r="Q136" s="2"/>
      <c r="R136" s="2"/>
      <c r="S136" s="4"/>
      <c r="T136" s="2"/>
      <c r="U136" s="4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4"/>
    </row>
    <row r="137" spans="1:36" ht="24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4"/>
      <c r="M137" s="4"/>
      <c r="N137" s="5"/>
      <c r="O137" s="5"/>
      <c r="P137" s="2"/>
      <c r="Q137" s="2"/>
      <c r="R137" s="2"/>
      <c r="S137" s="4"/>
      <c r="T137" s="2"/>
      <c r="U137" s="4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4"/>
    </row>
    <row r="138" spans="1:36" ht="24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4"/>
      <c r="M138" s="4"/>
      <c r="N138" s="5"/>
      <c r="O138" s="5"/>
      <c r="P138" s="2"/>
      <c r="Q138" s="2"/>
      <c r="R138" s="2"/>
      <c r="S138" s="4"/>
      <c r="T138" s="2"/>
      <c r="U138" s="4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4"/>
    </row>
    <row r="139" spans="1:36" ht="24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4"/>
      <c r="M139" s="4"/>
      <c r="N139" s="5"/>
      <c r="O139" s="5"/>
      <c r="P139" s="2"/>
      <c r="Q139" s="2"/>
      <c r="R139" s="2"/>
      <c r="S139" s="4"/>
      <c r="T139" s="2"/>
      <c r="U139" s="4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4"/>
    </row>
    <row r="140" spans="1:36" ht="24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4"/>
      <c r="M140" s="4"/>
      <c r="N140" s="5"/>
      <c r="O140" s="5"/>
      <c r="P140" s="2"/>
      <c r="Q140" s="2"/>
      <c r="R140" s="2"/>
      <c r="S140" s="4"/>
      <c r="T140" s="2"/>
      <c r="U140" s="4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4"/>
    </row>
    <row r="141" spans="1:36" ht="24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4"/>
      <c r="M141" s="4"/>
      <c r="N141" s="5"/>
      <c r="O141" s="5"/>
      <c r="P141" s="2"/>
      <c r="Q141" s="2"/>
      <c r="R141" s="2"/>
      <c r="S141" s="4"/>
      <c r="T141" s="2"/>
      <c r="U141" s="4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4"/>
    </row>
    <row r="142" spans="1:36" ht="24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4"/>
      <c r="M142" s="4"/>
      <c r="N142" s="5"/>
      <c r="O142" s="5"/>
      <c r="P142" s="2"/>
      <c r="Q142" s="2"/>
      <c r="R142" s="2"/>
      <c r="S142" s="4"/>
      <c r="T142" s="2"/>
      <c r="U142" s="4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4"/>
    </row>
    <row r="143" spans="1:36" ht="24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4"/>
      <c r="M143" s="4"/>
      <c r="N143" s="5"/>
      <c r="O143" s="5"/>
      <c r="P143" s="2"/>
      <c r="Q143" s="2"/>
      <c r="R143" s="2"/>
      <c r="S143" s="4"/>
      <c r="T143" s="2"/>
      <c r="U143" s="4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4"/>
    </row>
    <row r="144" spans="1:36" ht="24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4"/>
      <c r="M144" s="4"/>
      <c r="N144" s="5"/>
      <c r="O144" s="5"/>
      <c r="P144" s="2"/>
      <c r="Q144" s="2"/>
      <c r="R144" s="2"/>
      <c r="S144" s="4"/>
      <c r="T144" s="2"/>
      <c r="U144" s="4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4"/>
    </row>
    <row r="145" spans="1:36" ht="24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4"/>
      <c r="M145" s="4"/>
      <c r="N145" s="5"/>
      <c r="O145" s="5"/>
      <c r="P145" s="2"/>
      <c r="Q145" s="2"/>
      <c r="R145" s="2"/>
      <c r="S145" s="4"/>
      <c r="T145" s="2"/>
      <c r="U145" s="4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4"/>
    </row>
    <row r="146" spans="1:36" ht="24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4"/>
      <c r="M146" s="4"/>
      <c r="N146" s="5"/>
      <c r="O146" s="5"/>
      <c r="P146" s="2"/>
      <c r="Q146" s="2"/>
      <c r="R146" s="2"/>
      <c r="S146" s="4"/>
      <c r="T146" s="2"/>
      <c r="U146" s="4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4"/>
    </row>
    <row r="147" spans="1:36" ht="24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4"/>
      <c r="M147" s="4"/>
      <c r="N147" s="5"/>
      <c r="O147" s="5"/>
      <c r="P147" s="2"/>
      <c r="Q147" s="2"/>
      <c r="R147" s="2"/>
      <c r="S147" s="4"/>
      <c r="T147" s="2"/>
      <c r="U147" s="4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4"/>
    </row>
    <row r="148" spans="1:36" ht="24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4"/>
      <c r="M148" s="4"/>
      <c r="N148" s="5"/>
      <c r="O148" s="5"/>
      <c r="P148" s="2"/>
      <c r="Q148" s="2"/>
      <c r="R148" s="2"/>
      <c r="S148" s="4"/>
      <c r="T148" s="2"/>
      <c r="U148" s="4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4"/>
    </row>
    <row r="149" spans="1:36" ht="24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4"/>
      <c r="M149" s="4"/>
      <c r="N149" s="5"/>
      <c r="O149" s="5"/>
      <c r="P149" s="2"/>
      <c r="Q149" s="2"/>
      <c r="R149" s="2"/>
      <c r="S149" s="4"/>
      <c r="T149" s="2"/>
      <c r="U149" s="4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4"/>
    </row>
    <row r="150" spans="1:36" ht="24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4"/>
      <c r="M150" s="4"/>
      <c r="N150" s="5"/>
      <c r="O150" s="5"/>
      <c r="P150" s="2"/>
      <c r="Q150" s="2"/>
      <c r="R150" s="2"/>
      <c r="S150" s="4"/>
      <c r="T150" s="2"/>
      <c r="U150" s="4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4"/>
    </row>
    <row r="151" spans="1:36" ht="24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4"/>
      <c r="M151" s="4"/>
      <c r="N151" s="5"/>
      <c r="O151" s="5"/>
      <c r="P151" s="2"/>
      <c r="Q151" s="2"/>
      <c r="R151" s="2"/>
      <c r="S151" s="4"/>
      <c r="T151" s="2"/>
      <c r="U151" s="4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4"/>
    </row>
    <row r="152" spans="1:36" ht="24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4"/>
      <c r="M152" s="4"/>
      <c r="N152" s="5"/>
      <c r="O152" s="5"/>
      <c r="P152" s="2"/>
      <c r="Q152" s="2"/>
      <c r="R152" s="2"/>
      <c r="S152" s="4"/>
      <c r="T152" s="2"/>
      <c r="U152" s="4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4"/>
    </row>
    <row r="153" spans="1:36" ht="24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4"/>
      <c r="M153" s="4"/>
      <c r="N153" s="5"/>
      <c r="O153" s="5"/>
      <c r="P153" s="2"/>
      <c r="Q153" s="2"/>
      <c r="R153" s="2"/>
      <c r="S153" s="4"/>
      <c r="T153" s="2"/>
      <c r="U153" s="4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4"/>
    </row>
    <row r="154" spans="1:36" ht="24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4"/>
      <c r="M154" s="4"/>
      <c r="N154" s="5"/>
      <c r="O154" s="5"/>
      <c r="P154" s="2"/>
      <c r="Q154" s="2"/>
      <c r="R154" s="2"/>
      <c r="S154" s="4"/>
      <c r="T154" s="2"/>
      <c r="U154" s="4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4"/>
    </row>
    <row r="155" spans="1:36" ht="24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4"/>
      <c r="M155" s="4"/>
      <c r="N155" s="5"/>
      <c r="O155" s="5"/>
      <c r="P155" s="2"/>
      <c r="Q155" s="2"/>
      <c r="R155" s="2"/>
      <c r="S155" s="4"/>
      <c r="T155" s="2"/>
      <c r="U155" s="4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4"/>
    </row>
    <row r="156" spans="1:36" ht="24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4"/>
      <c r="M156" s="4"/>
      <c r="N156" s="5"/>
      <c r="O156" s="5"/>
      <c r="P156" s="2"/>
      <c r="Q156" s="2"/>
      <c r="R156" s="2"/>
      <c r="S156" s="4"/>
      <c r="T156" s="2"/>
      <c r="U156" s="4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4"/>
    </row>
    <row r="157" spans="1:36" ht="24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4"/>
      <c r="M157" s="4"/>
      <c r="N157" s="5"/>
      <c r="O157" s="5"/>
      <c r="P157" s="2"/>
      <c r="Q157" s="2"/>
      <c r="R157" s="2"/>
      <c r="S157" s="4"/>
      <c r="T157" s="2"/>
      <c r="U157" s="4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4"/>
    </row>
    <row r="158" spans="1:36" ht="24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4"/>
      <c r="M158" s="4"/>
      <c r="N158" s="5"/>
      <c r="O158" s="5"/>
      <c r="P158" s="2"/>
      <c r="Q158" s="2"/>
      <c r="R158" s="2"/>
      <c r="S158" s="4"/>
      <c r="T158" s="2"/>
      <c r="U158" s="4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4"/>
    </row>
    <row r="159" spans="1:36" ht="24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4"/>
      <c r="M159" s="4"/>
      <c r="N159" s="5"/>
      <c r="O159" s="5"/>
      <c r="P159" s="2"/>
      <c r="Q159" s="2"/>
      <c r="R159" s="2"/>
      <c r="S159" s="4"/>
      <c r="T159" s="2"/>
      <c r="U159" s="4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4"/>
    </row>
    <row r="160" spans="1:36" ht="24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4"/>
      <c r="M160" s="4"/>
      <c r="N160" s="5"/>
      <c r="O160" s="5"/>
      <c r="P160" s="2"/>
      <c r="Q160" s="2"/>
      <c r="R160" s="2"/>
      <c r="S160" s="4"/>
      <c r="T160" s="2"/>
      <c r="U160" s="4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4"/>
    </row>
    <row r="161" spans="1:36" ht="24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4"/>
      <c r="M161" s="4"/>
      <c r="N161" s="5"/>
      <c r="O161" s="5"/>
      <c r="P161" s="2"/>
      <c r="Q161" s="2"/>
      <c r="R161" s="2"/>
      <c r="S161" s="4"/>
      <c r="T161" s="2"/>
      <c r="U161" s="4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4"/>
    </row>
    <row r="162" spans="1:36" ht="24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4"/>
      <c r="M162" s="4"/>
      <c r="N162" s="5"/>
      <c r="O162" s="5"/>
      <c r="P162" s="2"/>
      <c r="Q162" s="2"/>
      <c r="R162" s="2"/>
      <c r="S162" s="4"/>
      <c r="T162" s="2"/>
      <c r="U162" s="4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4"/>
    </row>
    <row r="163" spans="1:36" ht="24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4"/>
      <c r="M163" s="4"/>
      <c r="N163" s="5"/>
      <c r="O163" s="5"/>
      <c r="P163" s="2"/>
      <c r="Q163" s="2"/>
      <c r="R163" s="2"/>
      <c r="S163" s="4"/>
      <c r="T163" s="2"/>
      <c r="U163" s="4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4"/>
    </row>
    <row r="164" spans="1:36" ht="24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4"/>
      <c r="M164" s="4"/>
      <c r="N164" s="5"/>
      <c r="O164" s="5"/>
      <c r="P164" s="2"/>
      <c r="Q164" s="2"/>
      <c r="R164" s="2"/>
      <c r="S164" s="4"/>
      <c r="T164" s="2"/>
      <c r="U164" s="4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4"/>
    </row>
    <row r="165" spans="1:36" ht="24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4"/>
      <c r="M165" s="4"/>
      <c r="N165" s="5"/>
      <c r="O165" s="5"/>
      <c r="P165" s="2"/>
      <c r="Q165" s="2"/>
      <c r="R165" s="2"/>
      <c r="S165" s="4"/>
      <c r="T165" s="2"/>
      <c r="U165" s="4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4"/>
    </row>
    <row r="166" spans="1:36" ht="24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4"/>
      <c r="M166" s="4"/>
      <c r="N166" s="5"/>
      <c r="O166" s="5"/>
      <c r="P166" s="2"/>
      <c r="Q166" s="2"/>
      <c r="R166" s="2"/>
      <c r="S166" s="4"/>
      <c r="T166" s="2"/>
      <c r="U166" s="4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4"/>
    </row>
    <row r="167" spans="1:36" ht="24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4"/>
      <c r="M167" s="4"/>
      <c r="N167" s="5"/>
      <c r="O167" s="5"/>
      <c r="P167" s="2"/>
      <c r="Q167" s="2"/>
      <c r="R167" s="2"/>
      <c r="S167" s="4"/>
      <c r="T167" s="2"/>
      <c r="U167" s="4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4"/>
    </row>
    <row r="168" spans="1:36" ht="24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4"/>
      <c r="M168" s="4"/>
      <c r="N168" s="5"/>
      <c r="O168" s="5"/>
      <c r="P168" s="2"/>
      <c r="Q168" s="2"/>
      <c r="R168" s="2"/>
      <c r="S168" s="4"/>
      <c r="T168" s="2"/>
      <c r="U168" s="4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4"/>
    </row>
    <row r="169" spans="1:36" ht="24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4"/>
      <c r="M169" s="4"/>
      <c r="N169" s="5"/>
      <c r="O169" s="5"/>
      <c r="P169" s="2"/>
      <c r="Q169" s="2"/>
      <c r="R169" s="2"/>
      <c r="S169" s="4"/>
      <c r="T169" s="2"/>
      <c r="U169" s="4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4"/>
    </row>
    <row r="170" spans="1:36" ht="24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4"/>
      <c r="M170" s="4"/>
      <c r="N170" s="5"/>
      <c r="O170" s="5"/>
      <c r="P170" s="2"/>
      <c r="Q170" s="2"/>
      <c r="R170" s="2"/>
      <c r="S170" s="4"/>
      <c r="T170" s="2"/>
      <c r="U170" s="4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4"/>
    </row>
    <row r="171" spans="1:36" ht="24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4"/>
      <c r="M171" s="4"/>
      <c r="N171" s="5"/>
      <c r="O171" s="5"/>
      <c r="P171" s="2"/>
      <c r="Q171" s="2"/>
      <c r="R171" s="2"/>
      <c r="S171" s="4"/>
      <c r="T171" s="2"/>
      <c r="U171" s="4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4"/>
    </row>
    <row r="172" spans="1:36" ht="24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4"/>
      <c r="M172" s="4"/>
      <c r="N172" s="5"/>
      <c r="O172" s="5"/>
      <c r="P172" s="2"/>
      <c r="Q172" s="2"/>
      <c r="R172" s="2"/>
      <c r="S172" s="4"/>
      <c r="T172" s="2"/>
      <c r="U172" s="4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4"/>
    </row>
    <row r="173" spans="1:36" ht="24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4"/>
      <c r="M173" s="4"/>
      <c r="N173" s="5"/>
      <c r="O173" s="5"/>
      <c r="P173" s="2"/>
      <c r="Q173" s="2"/>
      <c r="R173" s="2"/>
      <c r="S173" s="4"/>
      <c r="T173" s="2"/>
      <c r="U173" s="4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4"/>
    </row>
    <row r="174" spans="1:36" ht="24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4"/>
      <c r="M174" s="4"/>
      <c r="N174" s="5"/>
      <c r="O174" s="5"/>
      <c r="P174" s="2"/>
      <c r="Q174" s="2"/>
      <c r="R174" s="2"/>
      <c r="S174" s="4"/>
      <c r="T174" s="2"/>
      <c r="U174" s="4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4"/>
    </row>
    <row r="175" spans="1:36" ht="24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4"/>
      <c r="M175" s="4"/>
      <c r="N175" s="5"/>
      <c r="O175" s="5"/>
      <c r="P175" s="2"/>
      <c r="Q175" s="2"/>
      <c r="R175" s="2"/>
      <c r="S175" s="4"/>
      <c r="T175" s="2"/>
      <c r="U175" s="4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4"/>
    </row>
    <row r="176" spans="1:36" ht="24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4"/>
      <c r="M176" s="4"/>
      <c r="N176" s="5"/>
      <c r="O176" s="5"/>
      <c r="P176" s="2"/>
      <c r="Q176" s="2"/>
      <c r="R176" s="2"/>
      <c r="S176" s="4"/>
      <c r="T176" s="2"/>
      <c r="U176" s="4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4"/>
    </row>
    <row r="177" spans="1:36" ht="24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4"/>
      <c r="M177" s="4"/>
      <c r="N177" s="5"/>
      <c r="O177" s="5"/>
      <c r="P177" s="2"/>
      <c r="Q177" s="2"/>
      <c r="R177" s="2"/>
      <c r="S177" s="4"/>
      <c r="T177" s="2"/>
      <c r="U177" s="4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4"/>
    </row>
    <row r="178" spans="1:36" ht="24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4"/>
      <c r="M178" s="4"/>
      <c r="N178" s="5"/>
      <c r="O178" s="5"/>
      <c r="P178" s="2"/>
      <c r="Q178" s="2"/>
      <c r="R178" s="2"/>
      <c r="S178" s="4"/>
      <c r="T178" s="2"/>
      <c r="U178" s="4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4"/>
    </row>
    <row r="179" spans="1:36" ht="24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4"/>
      <c r="M179" s="4"/>
      <c r="N179" s="5"/>
      <c r="O179" s="5"/>
      <c r="P179" s="2"/>
      <c r="Q179" s="2"/>
      <c r="R179" s="2"/>
      <c r="S179" s="4"/>
      <c r="T179" s="2"/>
      <c r="U179" s="4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4"/>
    </row>
    <row r="180" spans="1:36" ht="24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4"/>
      <c r="M180" s="4"/>
      <c r="N180" s="5"/>
      <c r="O180" s="5"/>
      <c r="P180" s="2"/>
      <c r="Q180" s="2"/>
      <c r="R180" s="2"/>
      <c r="S180" s="4"/>
      <c r="T180" s="2"/>
      <c r="U180" s="4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4"/>
    </row>
    <row r="181" spans="1:36" ht="24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4"/>
      <c r="M181" s="4"/>
      <c r="N181" s="5"/>
      <c r="O181" s="5"/>
      <c r="P181" s="2"/>
      <c r="Q181" s="2"/>
      <c r="R181" s="2"/>
      <c r="S181" s="4"/>
      <c r="T181" s="2"/>
      <c r="U181" s="4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4"/>
    </row>
    <row r="182" spans="1:36" ht="24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4"/>
      <c r="M182" s="4"/>
      <c r="N182" s="5"/>
      <c r="O182" s="5"/>
      <c r="P182" s="2"/>
      <c r="Q182" s="2"/>
      <c r="R182" s="2"/>
      <c r="S182" s="4"/>
      <c r="T182" s="2"/>
      <c r="U182" s="4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4"/>
    </row>
    <row r="183" spans="1:36" ht="24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4"/>
      <c r="M183" s="4"/>
      <c r="N183" s="5"/>
      <c r="O183" s="5"/>
      <c r="P183" s="2"/>
      <c r="Q183" s="2"/>
      <c r="R183" s="2"/>
      <c r="S183" s="4"/>
      <c r="T183" s="2"/>
      <c r="U183" s="4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4"/>
    </row>
    <row r="184" spans="1:36" ht="24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4"/>
      <c r="M184" s="4"/>
      <c r="N184" s="5"/>
      <c r="O184" s="5"/>
      <c r="P184" s="2"/>
      <c r="Q184" s="2"/>
      <c r="R184" s="2"/>
      <c r="S184" s="4"/>
      <c r="T184" s="2"/>
      <c r="U184" s="4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4"/>
    </row>
    <row r="185" spans="1:36" ht="24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4"/>
      <c r="M185" s="4"/>
      <c r="N185" s="5"/>
      <c r="O185" s="5"/>
      <c r="P185" s="2"/>
      <c r="Q185" s="2"/>
      <c r="R185" s="2"/>
      <c r="S185" s="4"/>
      <c r="T185" s="2"/>
      <c r="U185" s="4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4"/>
    </row>
    <row r="186" spans="1:36" ht="24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4"/>
      <c r="M186" s="4"/>
      <c r="N186" s="5"/>
      <c r="O186" s="5"/>
      <c r="P186" s="2"/>
      <c r="Q186" s="2"/>
      <c r="R186" s="2"/>
      <c r="S186" s="4"/>
      <c r="T186" s="2"/>
      <c r="U186" s="4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4"/>
    </row>
    <row r="187" spans="1:36" ht="24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4"/>
      <c r="M187" s="4"/>
      <c r="N187" s="5"/>
      <c r="O187" s="5"/>
      <c r="P187" s="2"/>
      <c r="Q187" s="2"/>
      <c r="R187" s="2"/>
      <c r="S187" s="4"/>
      <c r="T187" s="2"/>
      <c r="U187" s="4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4"/>
    </row>
    <row r="188" spans="1:36" ht="24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4"/>
      <c r="M188" s="4"/>
      <c r="N188" s="5"/>
      <c r="O188" s="5"/>
      <c r="P188" s="2"/>
      <c r="Q188" s="2"/>
      <c r="R188" s="2"/>
      <c r="S188" s="4"/>
      <c r="T188" s="2"/>
      <c r="U188" s="4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4"/>
    </row>
    <row r="189" spans="1:36" ht="24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4"/>
      <c r="M189" s="4"/>
      <c r="N189" s="5"/>
      <c r="O189" s="5"/>
      <c r="P189" s="2"/>
      <c r="Q189" s="2"/>
      <c r="R189" s="2"/>
      <c r="S189" s="4"/>
      <c r="T189" s="2"/>
      <c r="U189" s="4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4"/>
    </row>
    <row r="190" spans="1:36" ht="24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4"/>
      <c r="M190" s="4"/>
      <c r="N190" s="5"/>
      <c r="O190" s="5"/>
      <c r="P190" s="2"/>
      <c r="Q190" s="2"/>
      <c r="R190" s="2"/>
      <c r="S190" s="4"/>
      <c r="T190" s="2"/>
      <c r="U190" s="4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4"/>
    </row>
    <row r="191" spans="1:36" ht="24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4"/>
      <c r="M191" s="4"/>
      <c r="N191" s="5"/>
      <c r="O191" s="5"/>
      <c r="P191" s="2"/>
      <c r="Q191" s="2"/>
      <c r="R191" s="2"/>
      <c r="S191" s="4"/>
      <c r="T191" s="2"/>
      <c r="U191" s="4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4"/>
    </row>
    <row r="192" spans="1:36" ht="24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4"/>
      <c r="M192" s="4"/>
      <c r="N192" s="5"/>
      <c r="O192" s="5"/>
      <c r="P192" s="2"/>
      <c r="Q192" s="2"/>
      <c r="R192" s="2"/>
      <c r="S192" s="4"/>
      <c r="T192" s="2"/>
      <c r="U192" s="4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4"/>
    </row>
    <row r="193" spans="1:36" ht="24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4"/>
      <c r="M193" s="4"/>
      <c r="N193" s="5"/>
      <c r="O193" s="5"/>
      <c r="P193" s="2"/>
      <c r="Q193" s="2"/>
      <c r="R193" s="2"/>
      <c r="S193" s="4"/>
      <c r="T193" s="2"/>
      <c r="U193" s="4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4"/>
    </row>
    <row r="194" spans="1:36" ht="24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4"/>
      <c r="M194" s="4"/>
      <c r="N194" s="5"/>
      <c r="O194" s="5"/>
      <c r="P194" s="2"/>
      <c r="Q194" s="2"/>
      <c r="R194" s="2"/>
      <c r="S194" s="4"/>
      <c r="T194" s="2"/>
      <c r="U194" s="4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4"/>
    </row>
    <row r="195" spans="1:36" ht="24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4"/>
      <c r="M195" s="4"/>
      <c r="N195" s="5"/>
      <c r="O195" s="5"/>
      <c r="P195" s="2"/>
      <c r="Q195" s="2"/>
      <c r="R195" s="2"/>
      <c r="S195" s="4"/>
      <c r="T195" s="2"/>
      <c r="U195" s="4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4"/>
    </row>
    <row r="196" spans="1:36" ht="24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4"/>
      <c r="M196" s="4"/>
      <c r="N196" s="5"/>
      <c r="O196" s="5"/>
      <c r="P196" s="2"/>
      <c r="Q196" s="2"/>
      <c r="R196" s="2"/>
      <c r="S196" s="4"/>
      <c r="T196" s="2"/>
      <c r="U196" s="4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4"/>
    </row>
    <row r="197" spans="1:36" ht="24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4"/>
      <c r="M197" s="4"/>
      <c r="N197" s="5"/>
      <c r="O197" s="5"/>
      <c r="P197" s="2"/>
      <c r="Q197" s="2"/>
      <c r="R197" s="2"/>
      <c r="S197" s="4"/>
      <c r="T197" s="2"/>
      <c r="U197" s="4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4"/>
    </row>
    <row r="198" spans="1:36" ht="24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4"/>
      <c r="M198" s="4"/>
      <c r="N198" s="5"/>
      <c r="O198" s="5"/>
      <c r="P198" s="2"/>
      <c r="Q198" s="2"/>
      <c r="R198" s="2"/>
      <c r="S198" s="4"/>
      <c r="T198" s="2"/>
      <c r="U198" s="4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4"/>
    </row>
    <row r="199" spans="1:36" ht="24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4"/>
      <c r="M199" s="4"/>
      <c r="N199" s="5"/>
      <c r="O199" s="5"/>
      <c r="P199" s="2"/>
      <c r="Q199" s="2"/>
      <c r="R199" s="2"/>
      <c r="S199" s="4"/>
      <c r="T199" s="2"/>
      <c r="U199" s="4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4"/>
    </row>
    <row r="200" spans="1:36" ht="24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4"/>
      <c r="M200" s="4"/>
      <c r="N200" s="5"/>
      <c r="O200" s="5"/>
      <c r="P200" s="2"/>
      <c r="Q200" s="2"/>
      <c r="R200" s="2"/>
      <c r="S200" s="4"/>
      <c r="T200" s="2"/>
      <c r="U200" s="4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4"/>
    </row>
    <row r="201" spans="1:36" ht="24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4"/>
      <c r="M201" s="4"/>
      <c r="N201" s="5"/>
      <c r="O201" s="5"/>
      <c r="P201" s="2"/>
      <c r="Q201" s="2"/>
      <c r="R201" s="2"/>
      <c r="S201" s="4"/>
      <c r="T201" s="2"/>
      <c r="U201" s="4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4"/>
    </row>
    <row r="202" spans="1:36" ht="24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4"/>
      <c r="M202" s="4"/>
      <c r="N202" s="5"/>
      <c r="O202" s="5"/>
      <c r="P202" s="2"/>
      <c r="Q202" s="2"/>
      <c r="R202" s="2"/>
      <c r="S202" s="4"/>
      <c r="T202" s="2"/>
      <c r="U202" s="4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4"/>
    </row>
    <row r="203" spans="1:36" ht="24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4"/>
      <c r="M203" s="4"/>
      <c r="N203" s="5"/>
      <c r="O203" s="5"/>
      <c r="P203" s="2"/>
      <c r="Q203" s="2"/>
      <c r="R203" s="2"/>
      <c r="S203" s="4"/>
      <c r="T203" s="2"/>
      <c r="U203" s="4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4"/>
    </row>
    <row r="204" spans="1:36" ht="24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4"/>
      <c r="M204" s="4"/>
      <c r="N204" s="5"/>
      <c r="O204" s="5"/>
      <c r="P204" s="2"/>
      <c r="Q204" s="2"/>
      <c r="R204" s="2"/>
      <c r="S204" s="4"/>
      <c r="T204" s="2"/>
      <c r="U204" s="4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4"/>
    </row>
    <row r="205" spans="1:36" ht="24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4"/>
      <c r="M205" s="4"/>
      <c r="N205" s="5"/>
      <c r="O205" s="5"/>
      <c r="P205" s="2"/>
      <c r="Q205" s="2"/>
      <c r="R205" s="2"/>
      <c r="S205" s="4"/>
      <c r="T205" s="2"/>
      <c r="U205" s="4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4"/>
    </row>
    <row r="206" spans="1:36" ht="24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4"/>
      <c r="M206" s="4"/>
      <c r="N206" s="5"/>
      <c r="O206" s="5"/>
      <c r="P206" s="2"/>
      <c r="Q206" s="2"/>
      <c r="R206" s="2"/>
      <c r="S206" s="4"/>
      <c r="T206" s="2"/>
      <c r="U206" s="4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4"/>
    </row>
    <row r="207" spans="1:36" ht="24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4"/>
      <c r="M207" s="4"/>
      <c r="N207" s="5"/>
      <c r="O207" s="5"/>
      <c r="P207" s="2"/>
      <c r="Q207" s="2"/>
      <c r="R207" s="2"/>
      <c r="S207" s="4"/>
      <c r="T207" s="2"/>
      <c r="U207" s="4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4"/>
    </row>
    <row r="208" spans="1:36" ht="24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4"/>
      <c r="M208" s="4"/>
      <c r="N208" s="5"/>
      <c r="O208" s="5"/>
      <c r="P208" s="2"/>
      <c r="Q208" s="2"/>
      <c r="R208" s="2"/>
      <c r="S208" s="4"/>
      <c r="T208" s="2"/>
      <c r="U208" s="4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4"/>
    </row>
    <row r="209" spans="1:36" ht="24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4"/>
      <c r="M209" s="4"/>
      <c r="N209" s="5"/>
      <c r="O209" s="5"/>
      <c r="P209" s="2"/>
      <c r="Q209" s="2"/>
      <c r="R209" s="2"/>
      <c r="S209" s="4"/>
      <c r="T209" s="2"/>
      <c r="U209" s="4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4"/>
    </row>
    <row r="210" spans="1:36" ht="24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4"/>
      <c r="M210" s="4"/>
      <c r="N210" s="5"/>
      <c r="O210" s="5"/>
      <c r="P210" s="2"/>
      <c r="Q210" s="2"/>
      <c r="R210" s="2"/>
      <c r="S210" s="4"/>
      <c r="T210" s="2"/>
      <c r="U210" s="4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4"/>
    </row>
    <row r="211" spans="1:36" ht="24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4"/>
      <c r="M211" s="4"/>
      <c r="N211" s="5"/>
      <c r="O211" s="5"/>
      <c r="P211" s="2"/>
      <c r="Q211" s="2"/>
      <c r="R211" s="2"/>
      <c r="S211" s="4"/>
      <c r="T211" s="2"/>
      <c r="U211" s="4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4"/>
    </row>
    <row r="212" spans="1:36" ht="24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4"/>
      <c r="M212" s="4"/>
      <c r="N212" s="5"/>
      <c r="O212" s="5"/>
      <c r="P212" s="2"/>
      <c r="Q212" s="2"/>
      <c r="R212" s="2"/>
      <c r="S212" s="4"/>
      <c r="T212" s="2"/>
      <c r="U212" s="4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4"/>
    </row>
    <row r="213" spans="1:36" ht="24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4"/>
      <c r="M213" s="4"/>
      <c r="N213" s="5"/>
      <c r="O213" s="5"/>
      <c r="P213" s="2"/>
      <c r="Q213" s="2"/>
      <c r="R213" s="2"/>
      <c r="S213" s="4"/>
      <c r="T213" s="2"/>
      <c r="U213" s="4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4"/>
    </row>
    <row r="214" spans="1:36" ht="24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4"/>
      <c r="M214" s="4"/>
      <c r="N214" s="5"/>
      <c r="O214" s="5"/>
      <c r="P214" s="2"/>
      <c r="Q214" s="2"/>
      <c r="R214" s="2"/>
      <c r="S214" s="4"/>
      <c r="T214" s="2"/>
      <c r="U214" s="4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4"/>
    </row>
    <row r="215" spans="1:36" ht="24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4"/>
      <c r="M215" s="4"/>
      <c r="N215" s="5"/>
      <c r="O215" s="5"/>
      <c r="P215" s="2"/>
      <c r="Q215" s="2"/>
      <c r="R215" s="2"/>
      <c r="S215" s="4"/>
      <c r="T215" s="2"/>
      <c r="U215" s="4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4"/>
    </row>
    <row r="216" spans="1:36" ht="24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4"/>
      <c r="M216" s="4"/>
      <c r="N216" s="5"/>
      <c r="O216" s="5"/>
      <c r="P216" s="2"/>
      <c r="Q216" s="2"/>
      <c r="R216" s="2"/>
      <c r="S216" s="4"/>
      <c r="T216" s="2"/>
      <c r="U216" s="4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4"/>
    </row>
    <row r="217" spans="1:36" ht="24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4"/>
      <c r="M217" s="4"/>
      <c r="N217" s="5"/>
      <c r="O217" s="5"/>
      <c r="P217" s="2"/>
      <c r="Q217" s="2"/>
      <c r="R217" s="2"/>
      <c r="S217" s="4"/>
      <c r="T217" s="2"/>
      <c r="U217" s="4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4"/>
    </row>
    <row r="218" spans="1:36" ht="24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4"/>
      <c r="M218" s="4"/>
      <c r="N218" s="5"/>
      <c r="O218" s="5"/>
      <c r="P218" s="2"/>
      <c r="Q218" s="2"/>
      <c r="R218" s="2"/>
      <c r="S218" s="4"/>
      <c r="T218" s="2"/>
      <c r="U218" s="4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4"/>
    </row>
    <row r="219" spans="1:36" ht="24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4"/>
      <c r="M219" s="4"/>
      <c r="N219" s="5"/>
      <c r="O219" s="5"/>
      <c r="P219" s="2"/>
      <c r="Q219" s="2"/>
      <c r="R219" s="2"/>
      <c r="S219" s="4"/>
      <c r="T219" s="2"/>
      <c r="U219" s="4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4"/>
    </row>
    <row r="220" spans="1:36" ht="24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4"/>
      <c r="M220" s="4"/>
      <c r="N220" s="5"/>
      <c r="O220" s="5"/>
      <c r="P220" s="2"/>
      <c r="Q220" s="2"/>
      <c r="R220" s="2"/>
      <c r="S220" s="4"/>
      <c r="T220" s="2"/>
      <c r="U220" s="4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4"/>
    </row>
    <row r="221" spans="1:36" ht="24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4"/>
      <c r="M221" s="4"/>
      <c r="N221" s="5"/>
      <c r="O221" s="5"/>
      <c r="P221" s="2"/>
      <c r="Q221" s="2"/>
      <c r="R221" s="2"/>
      <c r="S221" s="4"/>
      <c r="T221" s="2"/>
      <c r="U221" s="4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4"/>
    </row>
    <row r="222" spans="1:36" ht="24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4"/>
      <c r="M222" s="4"/>
      <c r="N222" s="5"/>
      <c r="O222" s="5"/>
      <c r="P222" s="2"/>
      <c r="Q222" s="2"/>
      <c r="R222" s="2"/>
      <c r="S222" s="4"/>
      <c r="T222" s="2"/>
      <c r="U222" s="4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4"/>
    </row>
    <row r="223" spans="1:36" ht="24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4"/>
      <c r="M223" s="4"/>
      <c r="N223" s="5"/>
      <c r="O223" s="5"/>
      <c r="P223" s="2"/>
      <c r="Q223" s="2"/>
      <c r="R223" s="2"/>
      <c r="S223" s="4"/>
      <c r="T223" s="2"/>
      <c r="U223" s="4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4"/>
    </row>
    <row r="224" spans="1:36" ht="24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4"/>
      <c r="M224" s="4"/>
      <c r="N224" s="5"/>
      <c r="O224" s="5"/>
      <c r="P224" s="2"/>
      <c r="Q224" s="2"/>
      <c r="R224" s="2"/>
      <c r="S224" s="4"/>
      <c r="T224" s="2"/>
      <c r="U224" s="4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4"/>
    </row>
    <row r="225" spans="1:36" ht="24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4"/>
      <c r="M225" s="4"/>
      <c r="N225" s="5"/>
      <c r="O225" s="5"/>
      <c r="P225" s="2"/>
      <c r="Q225" s="2"/>
      <c r="R225" s="2"/>
      <c r="S225" s="4"/>
      <c r="T225" s="2"/>
      <c r="U225" s="4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4"/>
    </row>
    <row r="226" spans="1:36" ht="24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4"/>
      <c r="M226" s="4"/>
      <c r="N226" s="5"/>
      <c r="O226" s="5"/>
      <c r="P226" s="2"/>
      <c r="Q226" s="2"/>
      <c r="R226" s="2"/>
      <c r="S226" s="4"/>
      <c r="T226" s="2"/>
      <c r="U226" s="4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4"/>
    </row>
    <row r="227" spans="1:36" ht="24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4"/>
      <c r="M227" s="4"/>
      <c r="N227" s="5"/>
      <c r="O227" s="5"/>
      <c r="P227" s="2"/>
      <c r="Q227" s="2"/>
      <c r="R227" s="2"/>
      <c r="S227" s="4"/>
      <c r="T227" s="2"/>
      <c r="U227" s="4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4"/>
    </row>
    <row r="228" spans="1:36" ht="24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4"/>
      <c r="M228" s="4"/>
      <c r="N228" s="5"/>
      <c r="O228" s="5"/>
      <c r="P228" s="2"/>
      <c r="Q228" s="2"/>
      <c r="R228" s="2"/>
      <c r="S228" s="4"/>
      <c r="T228" s="2"/>
      <c r="U228" s="4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4"/>
    </row>
    <row r="229" spans="1:36" ht="24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4"/>
      <c r="M229" s="4"/>
      <c r="N229" s="5"/>
      <c r="O229" s="5"/>
      <c r="P229" s="2"/>
      <c r="Q229" s="2"/>
      <c r="R229" s="2"/>
      <c r="S229" s="4"/>
      <c r="T229" s="2"/>
      <c r="U229" s="4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4"/>
    </row>
    <row r="230" spans="1:36" ht="24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4"/>
      <c r="M230" s="4"/>
      <c r="N230" s="5"/>
      <c r="O230" s="5"/>
      <c r="P230" s="2"/>
      <c r="Q230" s="2"/>
      <c r="R230" s="2"/>
      <c r="S230" s="4"/>
      <c r="T230" s="2"/>
      <c r="U230" s="4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4"/>
    </row>
    <row r="231" spans="1:36" ht="24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4"/>
      <c r="M231" s="4"/>
      <c r="N231" s="5"/>
      <c r="O231" s="5"/>
      <c r="P231" s="2"/>
      <c r="Q231" s="2"/>
      <c r="R231" s="2"/>
      <c r="S231" s="4"/>
      <c r="T231" s="2"/>
      <c r="U231" s="4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4"/>
    </row>
    <row r="232" spans="1:36" ht="24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4"/>
      <c r="M232" s="4"/>
      <c r="N232" s="5"/>
      <c r="O232" s="5"/>
      <c r="P232" s="2"/>
      <c r="Q232" s="2"/>
      <c r="R232" s="2"/>
      <c r="S232" s="4"/>
      <c r="T232" s="2"/>
      <c r="U232" s="4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4"/>
    </row>
    <row r="233" spans="1:36" ht="24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4"/>
      <c r="M233" s="4"/>
      <c r="N233" s="5"/>
      <c r="O233" s="5"/>
      <c r="P233" s="2"/>
      <c r="Q233" s="2"/>
      <c r="R233" s="2"/>
      <c r="S233" s="4"/>
      <c r="T233" s="2"/>
      <c r="U233" s="4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4"/>
    </row>
    <row r="234" spans="1:36" ht="24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4"/>
      <c r="M234" s="4"/>
      <c r="N234" s="5"/>
      <c r="O234" s="5"/>
      <c r="P234" s="2"/>
      <c r="Q234" s="2"/>
      <c r="R234" s="2"/>
      <c r="S234" s="4"/>
      <c r="T234" s="2"/>
      <c r="U234" s="4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4"/>
    </row>
    <row r="235" spans="1:36" ht="24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4"/>
      <c r="M235" s="4"/>
      <c r="N235" s="5"/>
      <c r="O235" s="5"/>
      <c r="P235" s="2"/>
      <c r="Q235" s="2"/>
      <c r="R235" s="2"/>
      <c r="S235" s="4"/>
      <c r="T235" s="2"/>
      <c r="U235" s="4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4"/>
    </row>
    <row r="236" spans="1:36" ht="24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4"/>
      <c r="M236" s="4"/>
      <c r="N236" s="5"/>
      <c r="O236" s="5"/>
      <c r="P236" s="2"/>
      <c r="Q236" s="2"/>
      <c r="R236" s="2"/>
      <c r="S236" s="4"/>
      <c r="T236" s="2"/>
      <c r="U236" s="4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4"/>
    </row>
    <row r="237" spans="1:36" ht="24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4"/>
      <c r="M237" s="4"/>
      <c r="N237" s="5"/>
      <c r="O237" s="5"/>
      <c r="P237" s="2"/>
      <c r="Q237" s="2"/>
      <c r="R237" s="2"/>
      <c r="S237" s="4"/>
      <c r="T237" s="2"/>
      <c r="U237" s="4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4"/>
    </row>
    <row r="238" spans="1:36" ht="24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4"/>
      <c r="M238" s="4"/>
      <c r="N238" s="5"/>
      <c r="O238" s="5"/>
      <c r="P238" s="2"/>
      <c r="Q238" s="2"/>
      <c r="R238" s="2"/>
      <c r="S238" s="4"/>
      <c r="T238" s="2"/>
      <c r="U238" s="4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4"/>
    </row>
    <row r="239" spans="1:36" ht="24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4"/>
      <c r="M239" s="4"/>
      <c r="N239" s="5"/>
      <c r="O239" s="5"/>
      <c r="P239" s="2"/>
      <c r="Q239" s="2"/>
      <c r="R239" s="2"/>
      <c r="S239" s="4"/>
      <c r="T239" s="2"/>
      <c r="U239" s="4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4"/>
    </row>
    <row r="240" spans="1:36" ht="24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4"/>
      <c r="M240" s="4"/>
      <c r="N240" s="5"/>
      <c r="O240" s="5"/>
      <c r="P240" s="2"/>
      <c r="Q240" s="2"/>
      <c r="R240" s="2"/>
      <c r="S240" s="4"/>
      <c r="T240" s="2"/>
      <c r="U240" s="4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4"/>
    </row>
    <row r="241" spans="1:36" ht="24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4"/>
      <c r="M241" s="4"/>
      <c r="N241" s="5"/>
      <c r="O241" s="5"/>
      <c r="P241" s="2"/>
      <c r="Q241" s="2"/>
      <c r="R241" s="2"/>
      <c r="S241" s="4"/>
      <c r="T241" s="2"/>
      <c r="U241" s="4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4"/>
    </row>
    <row r="242" spans="1:36" ht="24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4"/>
      <c r="M242" s="4"/>
      <c r="N242" s="5"/>
      <c r="O242" s="5"/>
      <c r="P242" s="2"/>
      <c r="Q242" s="2"/>
      <c r="R242" s="2"/>
      <c r="S242" s="4"/>
      <c r="T242" s="2"/>
      <c r="U242" s="4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4"/>
    </row>
    <row r="243" spans="1:36" ht="24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4"/>
      <c r="M243" s="4"/>
      <c r="N243" s="5"/>
      <c r="O243" s="5"/>
      <c r="P243" s="2"/>
      <c r="Q243" s="2"/>
      <c r="R243" s="2"/>
      <c r="S243" s="4"/>
      <c r="T243" s="2"/>
      <c r="U243" s="4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4"/>
    </row>
    <row r="244" spans="1:36" ht="24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4"/>
      <c r="M244" s="4"/>
      <c r="N244" s="5"/>
      <c r="O244" s="5"/>
      <c r="P244" s="2"/>
      <c r="Q244" s="2"/>
      <c r="R244" s="2"/>
      <c r="S244" s="4"/>
      <c r="T244" s="2"/>
      <c r="U244" s="4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4"/>
    </row>
    <row r="245" spans="1:36" ht="24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4"/>
      <c r="M245" s="4"/>
      <c r="N245" s="5"/>
      <c r="O245" s="5"/>
      <c r="P245" s="2"/>
      <c r="Q245" s="2"/>
      <c r="R245" s="2"/>
      <c r="S245" s="4"/>
      <c r="T245" s="2"/>
      <c r="U245" s="4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4"/>
    </row>
    <row r="246" spans="1:36" ht="24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4"/>
      <c r="M246" s="4"/>
      <c r="N246" s="5"/>
      <c r="O246" s="5"/>
      <c r="P246" s="2"/>
      <c r="Q246" s="2"/>
      <c r="R246" s="2"/>
      <c r="S246" s="4"/>
      <c r="T246" s="2"/>
      <c r="U246" s="4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4"/>
    </row>
    <row r="247" spans="1:36" ht="24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4"/>
      <c r="M247" s="4"/>
      <c r="N247" s="5"/>
      <c r="O247" s="5"/>
      <c r="P247" s="2"/>
      <c r="Q247" s="2"/>
      <c r="R247" s="2"/>
      <c r="S247" s="4"/>
      <c r="T247" s="2"/>
      <c r="U247" s="4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4"/>
    </row>
    <row r="248" spans="1:36" ht="24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4"/>
      <c r="M248" s="4"/>
      <c r="N248" s="5"/>
      <c r="O248" s="5"/>
      <c r="P248" s="2"/>
      <c r="Q248" s="2"/>
      <c r="R248" s="2"/>
      <c r="S248" s="4"/>
      <c r="T248" s="2"/>
      <c r="U248" s="4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4"/>
    </row>
    <row r="249" spans="1:36" ht="24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4"/>
      <c r="M249" s="4"/>
      <c r="N249" s="5"/>
      <c r="O249" s="5"/>
      <c r="P249" s="2"/>
      <c r="Q249" s="2"/>
      <c r="R249" s="2"/>
      <c r="S249" s="4"/>
      <c r="T249" s="2"/>
      <c r="U249" s="4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4"/>
    </row>
    <row r="250" spans="1:36" ht="24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4"/>
      <c r="M250" s="4"/>
      <c r="N250" s="5"/>
      <c r="O250" s="5"/>
      <c r="P250" s="2"/>
      <c r="Q250" s="2"/>
      <c r="R250" s="2"/>
      <c r="S250" s="4"/>
      <c r="T250" s="2"/>
      <c r="U250" s="4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4"/>
    </row>
    <row r="251" spans="1:36" ht="24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4"/>
      <c r="M251" s="4"/>
      <c r="N251" s="5"/>
      <c r="O251" s="5"/>
      <c r="P251" s="2"/>
      <c r="Q251" s="2"/>
      <c r="R251" s="2"/>
      <c r="S251" s="4"/>
      <c r="T251" s="2"/>
      <c r="U251" s="4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4"/>
    </row>
    <row r="252" spans="1:36" ht="24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4"/>
      <c r="M252" s="4"/>
      <c r="N252" s="5"/>
      <c r="O252" s="5"/>
      <c r="P252" s="2"/>
      <c r="Q252" s="2"/>
      <c r="R252" s="2"/>
      <c r="S252" s="4"/>
      <c r="T252" s="2"/>
      <c r="U252" s="4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4"/>
    </row>
    <row r="253" spans="1:36" ht="24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4"/>
      <c r="M253" s="4"/>
      <c r="N253" s="5"/>
      <c r="O253" s="5"/>
      <c r="P253" s="2"/>
      <c r="Q253" s="2"/>
      <c r="R253" s="2"/>
      <c r="S253" s="4"/>
      <c r="T253" s="2"/>
      <c r="U253" s="4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4"/>
    </row>
    <row r="254" spans="1:36" ht="24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4"/>
      <c r="M254" s="4"/>
      <c r="N254" s="5"/>
      <c r="O254" s="5"/>
      <c r="P254" s="2"/>
      <c r="Q254" s="2"/>
      <c r="R254" s="2"/>
      <c r="S254" s="4"/>
      <c r="T254" s="2"/>
      <c r="U254" s="4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4"/>
    </row>
    <row r="255" spans="1:36" ht="24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4"/>
      <c r="M255" s="4"/>
      <c r="N255" s="5"/>
      <c r="O255" s="5"/>
      <c r="P255" s="2"/>
      <c r="Q255" s="2"/>
      <c r="R255" s="2"/>
      <c r="S255" s="4"/>
      <c r="T255" s="2"/>
      <c r="U255" s="4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4"/>
    </row>
    <row r="256" spans="1:36" ht="24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4"/>
      <c r="M256" s="4"/>
      <c r="N256" s="5"/>
      <c r="O256" s="5"/>
      <c r="P256" s="2"/>
      <c r="Q256" s="2"/>
      <c r="R256" s="2"/>
      <c r="S256" s="4"/>
      <c r="T256" s="2"/>
      <c r="U256" s="4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4"/>
    </row>
    <row r="257" spans="1:36" ht="24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4"/>
      <c r="M257" s="4"/>
      <c r="N257" s="5"/>
      <c r="O257" s="5"/>
      <c r="P257" s="2"/>
      <c r="Q257" s="2"/>
      <c r="R257" s="2"/>
      <c r="S257" s="4"/>
      <c r="T257" s="2"/>
      <c r="U257" s="4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4"/>
    </row>
    <row r="258" spans="1:36" ht="24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4"/>
      <c r="M258" s="4"/>
      <c r="N258" s="5"/>
      <c r="O258" s="5"/>
      <c r="P258" s="2"/>
      <c r="Q258" s="2"/>
      <c r="R258" s="2"/>
      <c r="S258" s="4"/>
      <c r="T258" s="2"/>
      <c r="U258" s="4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4"/>
    </row>
    <row r="259" spans="1:36" ht="24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4"/>
      <c r="M259" s="4"/>
      <c r="N259" s="5"/>
      <c r="O259" s="5"/>
      <c r="P259" s="2"/>
      <c r="Q259" s="2"/>
      <c r="R259" s="2"/>
      <c r="S259" s="4"/>
      <c r="T259" s="2"/>
      <c r="U259" s="4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4"/>
    </row>
    <row r="260" spans="1:36" ht="24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4"/>
      <c r="M260" s="4"/>
      <c r="N260" s="5"/>
      <c r="O260" s="5"/>
      <c r="P260" s="2"/>
      <c r="Q260" s="2"/>
      <c r="R260" s="2"/>
      <c r="S260" s="4"/>
      <c r="T260" s="2"/>
      <c r="U260" s="4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4"/>
    </row>
    <row r="261" spans="1:36" ht="24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4"/>
      <c r="M261" s="4"/>
      <c r="N261" s="5"/>
      <c r="O261" s="5"/>
      <c r="P261" s="2"/>
      <c r="Q261" s="2"/>
      <c r="R261" s="2"/>
      <c r="S261" s="4"/>
      <c r="T261" s="2"/>
      <c r="U261" s="4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4"/>
    </row>
    <row r="262" spans="1:36" ht="24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4"/>
      <c r="M262" s="4"/>
      <c r="N262" s="5"/>
      <c r="O262" s="5"/>
      <c r="P262" s="2"/>
      <c r="Q262" s="2"/>
      <c r="R262" s="2"/>
      <c r="S262" s="4"/>
      <c r="T262" s="2"/>
      <c r="U262" s="4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4"/>
    </row>
    <row r="263" spans="1:36" ht="24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4"/>
      <c r="M263" s="4"/>
      <c r="N263" s="5"/>
      <c r="O263" s="5"/>
      <c r="P263" s="2"/>
      <c r="Q263" s="2"/>
      <c r="R263" s="2"/>
      <c r="S263" s="4"/>
      <c r="T263" s="2"/>
      <c r="U263" s="4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4"/>
    </row>
    <row r="264" spans="1:36" ht="24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4"/>
      <c r="M264" s="4"/>
      <c r="N264" s="5"/>
      <c r="O264" s="5"/>
      <c r="P264" s="2"/>
      <c r="Q264" s="2"/>
      <c r="R264" s="2"/>
      <c r="S264" s="4"/>
      <c r="T264" s="2"/>
      <c r="U264" s="4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4"/>
    </row>
    <row r="265" spans="1:36" ht="24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4"/>
      <c r="M265" s="4"/>
      <c r="N265" s="5"/>
      <c r="O265" s="5"/>
      <c r="P265" s="2"/>
      <c r="Q265" s="2"/>
      <c r="R265" s="2"/>
      <c r="S265" s="4"/>
      <c r="T265" s="2"/>
      <c r="U265" s="4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4"/>
    </row>
    <row r="266" spans="1:36" ht="24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4"/>
      <c r="M266" s="4"/>
      <c r="N266" s="5"/>
      <c r="O266" s="5"/>
      <c r="P266" s="2"/>
      <c r="Q266" s="2"/>
      <c r="R266" s="2"/>
      <c r="S266" s="4"/>
      <c r="T266" s="2"/>
      <c r="U266" s="4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4"/>
    </row>
    <row r="267" spans="1:36" ht="24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4"/>
      <c r="M267" s="4"/>
      <c r="N267" s="5"/>
      <c r="O267" s="5"/>
      <c r="P267" s="2"/>
      <c r="Q267" s="2"/>
      <c r="R267" s="2"/>
      <c r="S267" s="4"/>
      <c r="T267" s="2"/>
      <c r="U267" s="4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4"/>
    </row>
    <row r="268" spans="1:36" ht="24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4"/>
      <c r="M268" s="4"/>
      <c r="N268" s="5"/>
      <c r="O268" s="5"/>
      <c r="P268" s="2"/>
      <c r="Q268" s="2"/>
      <c r="R268" s="2"/>
      <c r="S268" s="4"/>
      <c r="T268" s="2"/>
      <c r="U268" s="4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4"/>
    </row>
    <row r="269" spans="1:36" ht="24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4"/>
      <c r="M269" s="4"/>
      <c r="N269" s="5"/>
      <c r="O269" s="5"/>
      <c r="P269" s="2"/>
      <c r="Q269" s="2"/>
      <c r="R269" s="2"/>
      <c r="S269" s="4"/>
      <c r="T269" s="2"/>
      <c r="U269" s="4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4"/>
    </row>
    <row r="270" spans="1:36" ht="24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4"/>
      <c r="M270" s="4"/>
      <c r="N270" s="5"/>
      <c r="O270" s="5"/>
      <c r="P270" s="2"/>
      <c r="Q270" s="2"/>
      <c r="R270" s="2"/>
      <c r="S270" s="4"/>
      <c r="T270" s="2"/>
      <c r="U270" s="4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4"/>
    </row>
    <row r="271" spans="1:36" ht="24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4"/>
      <c r="M271" s="4"/>
      <c r="N271" s="5"/>
      <c r="O271" s="5"/>
      <c r="P271" s="2"/>
      <c r="Q271" s="2"/>
      <c r="R271" s="2"/>
      <c r="S271" s="4"/>
      <c r="T271" s="2"/>
      <c r="U271" s="4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4"/>
    </row>
    <row r="272" spans="1:36" ht="24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4"/>
      <c r="M272" s="4"/>
      <c r="N272" s="5"/>
      <c r="O272" s="5"/>
      <c r="P272" s="2"/>
      <c r="Q272" s="2"/>
      <c r="R272" s="2"/>
      <c r="S272" s="4"/>
      <c r="T272" s="2"/>
      <c r="U272" s="4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4"/>
    </row>
    <row r="273" spans="1:36" ht="24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4"/>
      <c r="M273" s="4"/>
      <c r="N273" s="5"/>
      <c r="O273" s="5"/>
      <c r="P273" s="2"/>
      <c r="Q273" s="2"/>
      <c r="R273" s="2"/>
      <c r="S273" s="4"/>
      <c r="T273" s="2"/>
      <c r="U273" s="4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4"/>
    </row>
    <row r="274" spans="1:36" ht="24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4"/>
      <c r="M274" s="4"/>
      <c r="N274" s="5"/>
      <c r="O274" s="5"/>
      <c r="P274" s="2"/>
      <c r="Q274" s="2"/>
      <c r="R274" s="2"/>
      <c r="S274" s="4"/>
      <c r="T274" s="2"/>
      <c r="U274" s="4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4"/>
    </row>
    <row r="275" spans="1:36" ht="24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4"/>
      <c r="M275" s="4"/>
      <c r="N275" s="5"/>
      <c r="O275" s="5"/>
      <c r="P275" s="2"/>
      <c r="Q275" s="2"/>
      <c r="R275" s="2"/>
      <c r="S275" s="4"/>
      <c r="T275" s="2"/>
      <c r="U275" s="4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4"/>
    </row>
    <row r="276" spans="1:36" ht="24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4"/>
      <c r="M276" s="4"/>
      <c r="N276" s="5"/>
      <c r="O276" s="5"/>
      <c r="P276" s="2"/>
      <c r="Q276" s="2"/>
      <c r="R276" s="2"/>
      <c r="S276" s="4"/>
      <c r="T276" s="2"/>
      <c r="U276" s="4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4"/>
    </row>
    <row r="277" spans="1:36" ht="24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4"/>
      <c r="M277" s="4"/>
      <c r="N277" s="5"/>
      <c r="O277" s="5"/>
      <c r="P277" s="2"/>
      <c r="Q277" s="2"/>
      <c r="R277" s="2"/>
      <c r="S277" s="4"/>
      <c r="T277" s="2"/>
      <c r="U277" s="4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4"/>
    </row>
    <row r="278" spans="1:36" ht="24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4"/>
      <c r="M278" s="4"/>
      <c r="N278" s="5"/>
      <c r="O278" s="5"/>
      <c r="P278" s="2"/>
      <c r="Q278" s="2"/>
      <c r="R278" s="2"/>
      <c r="S278" s="4"/>
      <c r="T278" s="2"/>
      <c r="U278" s="4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4"/>
    </row>
    <row r="279" spans="1:36" ht="24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4"/>
      <c r="M279" s="4"/>
      <c r="N279" s="5"/>
      <c r="O279" s="5"/>
      <c r="P279" s="2"/>
      <c r="Q279" s="2"/>
      <c r="R279" s="2"/>
      <c r="S279" s="4"/>
      <c r="T279" s="2"/>
      <c r="U279" s="4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4"/>
    </row>
    <row r="280" spans="1:36" ht="24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4"/>
      <c r="M280" s="4"/>
      <c r="N280" s="5"/>
      <c r="O280" s="5"/>
      <c r="P280" s="2"/>
      <c r="Q280" s="2"/>
      <c r="R280" s="2"/>
      <c r="S280" s="4"/>
      <c r="T280" s="2"/>
      <c r="U280" s="4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4"/>
    </row>
    <row r="281" spans="1:36" ht="24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4"/>
      <c r="M281" s="4"/>
      <c r="N281" s="5"/>
      <c r="O281" s="5"/>
      <c r="P281" s="2"/>
      <c r="Q281" s="2"/>
      <c r="R281" s="2"/>
      <c r="S281" s="4"/>
      <c r="T281" s="2"/>
      <c r="U281" s="4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4"/>
    </row>
    <row r="282" spans="1:36" ht="24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4"/>
      <c r="M282" s="4"/>
      <c r="N282" s="5"/>
      <c r="O282" s="5"/>
      <c r="P282" s="2"/>
      <c r="Q282" s="2"/>
      <c r="R282" s="2"/>
      <c r="S282" s="4"/>
      <c r="T282" s="2"/>
      <c r="U282" s="4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4"/>
    </row>
    <row r="283" spans="1:36" ht="24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4"/>
      <c r="M283" s="4"/>
      <c r="N283" s="5"/>
      <c r="O283" s="5"/>
      <c r="P283" s="2"/>
      <c r="Q283" s="2"/>
      <c r="R283" s="2"/>
      <c r="S283" s="4"/>
      <c r="T283" s="2"/>
      <c r="U283" s="4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4"/>
    </row>
    <row r="284" spans="1:36" ht="24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4"/>
      <c r="M284" s="4"/>
      <c r="N284" s="5"/>
      <c r="O284" s="5"/>
      <c r="P284" s="2"/>
      <c r="Q284" s="2"/>
      <c r="R284" s="2"/>
      <c r="S284" s="4"/>
      <c r="T284" s="2"/>
      <c r="U284" s="4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4"/>
    </row>
    <row r="285" spans="1:36" ht="24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4"/>
      <c r="M285" s="4"/>
      <c r="N285" s="5"/>
      <c r="O285" s="5"/>
      <c r="P285" s="2"/>
      <c r="Q285" s="2"/>
      <c r="R285" s="2"/>
      <c r="S285" s="4"/>
      <c r="T285" s="2"/>
      <c r="U285" s="4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4"/>
    </row>
    <row r="286" spans="1:36" ht="24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4"/>
      <c r="M286" s="4"/>
      <c r="N286" s="5"/>
      <c r="O286" s="5"/>
      <c r="P286" s="2"/>
      <c r="Q286" s="2"/>
      <c r="R286" s="2"/>
      <c r="S286" s="4"/>
      <c r="T286" s="2"/>
      <c r="U286" s="4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4"/>
    </row>
    <row r="287" spans="1:36" ht="24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4"/>
      <c r="M287" s="4"/>
      <c r="N287" s="5"/>
      <c r="O287" s="5"/>
      <c r="P287" s="2"/>
      <c r="Q287" s="2"/>
      <c r="R287" s="2"/>
      <c r="S287" s="4"/>
      <c r="T287" s="2"/>
      <c r="U287" s="4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4"/>
    </row>
    <row r="288" spans="1:36" ht="24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4"/>
      <c r="M288" s="4"/>
      <c r="N288" s="5"/>
      <c r="O288" s="5"/>
      <c r="P288" s="2"/>
      <c r="Q288" s="2"/>
      <c r="R288" s="2"/>
      <c r="S288" s="4"/>
      <c r="T288" s="2"/>
      <c r="U288" s="4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4"/>
    </row>
    <row r="289" spans="1:36" ht="24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4"/>
      <c r="M289" s="4"/>
      <c r="N289" s="5"/>
      <c r="O289" s="5"/>
      <c r="P289" s="2"/>
      <c r="Q289" s="2"/>
      <c r="R289" s="2"/>
      <c r="S289" s="4"/>
      <c r="T289" s="2"/>
      <c r="U289" s="4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4"/>
    </row>
    <row r="290" spans="1:36" ht="24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4"/>
      <c r="M290" s="4"/>
      <c r="N290" s="5"/>
      <c r="O290" s="5"/>
      <c r="P290" s="2"/>
      <c r="Q290" s="2"/>
      <c r="R290" s="2"/>
      <c r="S290" s="4"/>
      <c r="T290" s="2"/>
      <c r="U290" s="4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4"/>
    </row>
    <row r="291" spans="1:36" ht="24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4"/>
      <c r="M291" s="4"/>
      <c r="N291" s="5"/>
      <c r="O291" s="5"/>
      <c r="P291" s="2"/>
      <c r="Q291" s="2"/>
      <c r="R291" s="2"/>
      <c r="S291" s="4"/>
      <c r="T291" s="2"/>
      <c r="U291" s="4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4"/>
    </row>
    <row r="292" spans="1:36" ht="24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4"/>
      <c r="M292" s="4"/>
      <c r="N292" s="5"/>
      <c r="O292" s="5"/>
      <c r="P292" s="2"/>
      <c r="Q292" s="2"/>
      <c r="R292" s="2"/>
      <c r="S292" s="4"/>
      <c r="T292" s="2"/>
      <c r="U292" s="4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4"/>
    </row>
    <row r="293" spans="1:36" ht="24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4"/>
      <c r="M293" s="4"/>
      <c r="N293" s="5"/>
      <c r="O293" s="5"/>
      <c r="P293" s="2"/>
      <c r="Q293" s="2"/>
      <c r="R293" s="2"/>
      <c r="S293" s="4"/>
      <c r="T293" s="2"/>
      <c r="U293" s="4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4"/>
    </row>
    <row r="294" spans="1:36" ht="24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4"/>
      <c r="M294" s="4"/>
      <c r="N294" s="5"/>
      <c r="O294" s="5"/>
      <c r="P294" s="2"/>
      <c r="Q294" s="2"/>
      <c r="R294" s="2"/>
      <c r="S294" s="4"/>
      <c r="T294" s="2"/>
      <c r="U294" s="4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4"/>
    </row>
    <row r="295" spans="1:36" ht="24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4"/>
      <c r="M295" s="4"/>
      <c r="N295" s="5"/>
      <c r="O295" s="5"/>
      <c r="P295" s="2"/>
      <c r="Q295" s="2"/>
      <c r="R295" s="2"/>
      <c r="S295" s="4"/>
      <c r="T295" s="2"/>
      <c r="U295" s="4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4"/>
    </row>
    <row r="296" spans="1:36" ht="24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4"/>
      <c r="M296" s="4"/>
      <c r="N296" s="5"/>
      <c r="O296" s="5"/>
      <c r="P296" s="2"/>
      <c r="Q296" s="2"/>
      <c r="R296" s="2"/>
      <c r="S296" s="4"/>
      <c r="T296" s="2"/>
      <c r="U296" s="4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4"/>
    </row>
    <row r="297" spans="1:36" ht="24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4"/>
      <c r="M297" s="4"/>
      <c r="N297" s="5"/>
      <c r="O297" s="5"/>
      <c r="P297" s="2"/>
      <c r="Q297" s="2"/>
      <c r="R297" s="2"/>
      <c r="S297" s="4"/>
      <c r="T297" s="2"/>
      <c r="U297" s="4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4"/>
    </row>
    <row r="298" spans="1:36" ht="24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4"/>
      <c r="M298" s="4"/>
      <c r="N298" s="5"/>
      <c r="O298" s="5"/>
      <c r="P298" s="2"/>
      <c r="Q298" s="2"/>
      <c r="R298" s="2"/>
      <c r="S298" s="4"/>
      <c r="T298" s="2"/>
      <c r="U298" s="4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4"/>
    </row>
    <row r="299" spans="1:36" ht="24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4"/>
      <c r="M299" s="4"/>
      <c r="N299" s="5"/>
      <c r="O299" s="5"/>
      <c r="P299" s="2"/>
      <c r="Q299" s="2"/>
      <c r="R299" s="2"/>
      <c r="S299" s="4"/>
      <c r="T299" s="2"/>
      <c r="U299" s="4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4"/>
    </row>
    <row r="300" spans="1:36" ht="24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4"/>
      <c r="M300" s="4"/>
      <c r="N300" s="5"/>
      <c r="O300" s="5"/>
      <c r="P300" s="2"/>
      <c r="Q300" s="2"/>
      <c r="R300" s="2"/>
      <c r="S300" s="4"/>
      <c r="T300" s="2"/>
      <c r="U300" s="4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4"/>
    </row>
    <row r="301" spans="1:36" ht="24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4"/>
      <c r="M301" s="4"/>
      <c r="N301" s="5"/>
      <c r="O301" s="5"/>
      <c r="P301" s="2"/>
      <c r="Q301" s="2"/>
      <c r="R301" s="2"/>
      <c r="S301" s="4"/>
      <c r="T301" s="2"/>
      <c r="U301" s="4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4"/>
    </row>
    <row r="302" spans="1:36" ht="24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4"/>
      <c r="M302" s="4"/>
      <c r="N302" s="5"/>
      <c r="O302" s="5"/>
      <c r="P302" s="2"/>
      <c r="Q302" s="2"/>
      <c r="R302" s="2"/>
      <c r="S302" s="4"/>
      <c r="T302" s="2"/>
      <c r="U302" s="4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4"/>
    </row>
    <row r="303" spans="1:36" ht="24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4"/>
      <c r="M303" s="4"/>
      <c r="N303" s="5"/>
      <c r="O303" s="5"/>
      <c r="P303" s="2"/>
      <c r="Q303" s="2"/>
      <c r="R303" s="2"/>
      <c r="S303" s="4"/>
      <c r="T303" s="2"/>
      <c r="U303" s="4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4"/>
    </row>
    <row r="304" spans="1:36" ht="24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4"/>
      <c r="M304" s="4"/>
      <c r="N304" s="5"/>
      <c r="O304" s="5"/>
      <c r="P304" s="2"/>
      <c r="Q304" s="2"/>
      <c r="R304" s="2"/>
      <c r="S304" s="4"/>
      <c r="T304" s="2"/>
      <c r="U304" s="4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4"/>
    </row>
    <row r="305" spans="1:36" ht="24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4"/>
      <c r="M305" s="4"/>
      <c r="N305" s="5"/>
      <c r="O305" s="5"/>
      <c r="P305" s="2"/>
      <c r="Q305" s="2"/>
      <c r="R305" s="2"/>
      <c r="S305" s="4"/>
      <c r="T305" s="2"/>
      <c r="U305" s="4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4"/>
    </row>
    <row r="306" spans="1:36" ht="24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4"/>
      <c r="M306" s="4"/>
      <c r="N306" s="5"/>
      <c r="O306" s="5"/>
      <c r="P306" s="2"/>
      <c r="Q306" s="2"/>
      <c r="R306" s="2"/>
      <c r="S306" s="4"/>
      <c r="T306" s="2"/>
      <c r="U306" s="4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4"/>
    </row>
    <row r="307" spans="1:36" ht="24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4"/>
      <c r="M307" s="4"/>
      <c r="N307" s="5"/>
      <c r="O307" s="5"/>
      <c r="P307" s="2"/>
      <c r="Q307" s="2"/>
      <c r="R307" s="2"/>
      <c r="S307" s="4"/>
      <c r="T307" s="2"/>
      <c r="U307" s="4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4"/>
    </row>
    <row r="308" spans="1:36" ht="24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4"/>
      <c r="M308" s="4"/>
      <c r="N308" s="5"/>
      <c r="O308" s="5"/>
      <c r="P308" s="2"/>
      <c r="Q308" s="2"/>
      <c r="R308" s="2"/>
      <c r="S308" s="4"/>
      <c r="T308" s="2"/>
      <c r="U308" s="4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4"/>
    </row>
    <row r="309" spans="1:36" ht="24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4"/>
      <c r="M309" s="4"/>
      <c r="N309" s="5"/>
      <c r="O309" s="5"/>
      <c r="P309" s="2"/>
      <c r="Q309" s="2"/>
      <c r="R309" s="2"/>
      <c r="S309" s="4"/>
      <c r="T309" s="2"/>
      <c r="U309" s="4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4"/>
    </row>
    <row r="310" spans="1:36" ht="24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4"/>
      <c r="M310" s="4"/>
      <c r="N310" s="5"/>
      <c r="O310" s="5"/>
      <c r="P310" s="2"/>
      <c r="Q310" s="2"/>
      <c r="R310" s="2"/>
      <c r="S310" s="4"/>
      <c r="T310" s="2"/>
      <c r="U310" s="4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4"/>
    </row>
    <row r="311" spans="1:36" ht="24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4"/>
      <c r="M311" s="4"/>
      <c r="N311" s="5"/>
      <c r="O311" s="5"/>
      <c r="P311" s="2"/>
      <c r="Q311" s="2"/>
      <c r="R311" s="2"/>
      <c r="S311" s="4"/>
      <c r="T311" s="2"/>
      <c r="U311" s="4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4"/>
    </row>
    <row r="312" spans="1:36" ht="24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4"/>
      <c r="M312" s="4"/>
      <c r="N312" s="5"/>
      <c r="O312" s="5"/>
      <c r="P312" s="2"/>
      <c r="Q312" s="2"/>
      <c r="R312" s="2"/>
      <c r="S312" s="4"/>
      <c r="T312" s="2"/>
      <c r="U312" s="4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4"/>
    </row>
    <row r="313" spans="1:36" ht="24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4"/>
      <c r="M313" s="4"/>
      <c r="N313" s="5"/>
      <c r="O313" s="5"/>
      <c r="P313" s="2"/>
      <c r="Q313" s="2"/>
      <c r="R313" s="2"/>
      <c r="S313" s="4"/>
      <c r="T313" s="2"/>
      <c r="U313" s="4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4"/>
    </row>
    <row r="314" spans="1:36" ht="24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4"/>
      <c r="M314" s="4"/>
      <c r="N314" s="5"/>
      <c r="O314" s="5"/>
      <c r="P314" s="2"/>
      <c r="Q314" s="2"/>
      <c r="R314" s="2"/>
      <c r="S314" s="4"/>
      <c r="T314" s="2"/>
      <c r="U314" s="4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4"/>
    </row>
    <row r="315" spans="1:36" ht="24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4"/>
      <c r="M315" s="4"/>
      <c r="N315" s="5"/>
      <c r="O315" s="5"/>
      <c r="P315" s="2"/>
      <c r="Q315" s="2"/>
      <c r="R315" s="2"/>
      <c r="S315" s="4"/>
      <c r="T315" s="2"/>
      <c r="U315" s="4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4"/>
    </row>
    <row r="316" spans="1:36" ht="24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4"/>
      <c r="M316" s="4"/>
      <c r="N316" s="5"/>
      <c r="O316" s="5"/>
      <c r="P316" s="2"/>
      <c r="Q316" s="2"/>
      <c r="R316" s="2"/>
      <c r="S316" s="4"/>
      <c r="T316" s="2"/>
      <c r="U316" s="4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4"/>
    </row>
    <row r="317" spans="1:36" ht="24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4"/>
      <c r="M317" s="4"/>
      <c r="N317" s="5"/>
      <c r="O317" s="5"/>
      <c r="P317" s="2"/>
      <c r="Q317" s="2"/>
      <c r="R317" s="2"/>
      <c r="S317" s="4"/>
      <c r="T317" s="2"/>
      <c r="U317" s="4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4"/>
    </row>
    <row r="318" spans="1:36" ht="15.75" customHeight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5"/>
      <c r="M318" s="115"/>
      <c r="N318" s="116"/>
      <c r="O318" s="116"/>
      <c r="P318" s="114"/>
      <c r="Q318" s="114"/>
      <c r="R318" s="114"/>
      <c r="S318" s="115"/>
      <c r="T318" s="114"/>
      <c r="U318" s="115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5"/>
    </row>
    <row r="319" spans="1:36" ht="15.75" customHeight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5"/>
      <c r="M319" s="115"/>
      <c r="N319" s="116"/>
      <c r="O319" s="116"/>
      <c r="P319" s="114"/>
      <c r="Q319" s="114"/>
      <c r="R319" s="114"/>
      <c r="S319" s="115"/>
      <c r="T319" s="114"/>
      <c r="U319" s="115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5"/>
    </row>
    <row r="320" spans="1:36" ht="15.75" customHeight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5"/>
      <c r="M320" s="115"/>
      <c r="N320" s="116"/>
      <c r="O320" s="116"/>
      <c r="P320" s="114"/>
      <c r="Q320" s="114"/>
      <c r="R320" s="114"/>
      <c r="S320" s="115"/>
      <c r="T320" s="114"/>
      <c r="U320" s="115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5"/>
    </row>
    <row r="321" spans="1:36" ht="15.75" customHeight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5"/>
      <c r="M321" s="115"/>
      <c r="N321" s="116"/>
      <c r="O321" s="116"/>
      <c r="P321" s="114"/>
      <c r="Q321" s="114"/>
      <c r="R321" s="114"/>
      <c r="S321" s="115"/>
      <c r="T321" s="114"/>
      <c r="U321" s="115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5"/>
    </row>
    <row r="322" spans="1:36" ht="15.75" customHeight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5"/>
      <c r="M322" s="115"/>
      <c r="N322" s="116"/>
      <c r="O322" s="116"/>
      <c r="P322" s="114"/>
      <c r="Q322" s="114"/>
      <c r="R322" s="114"/>
      <c r="S322" s="115"/>
      <c r="T322" s="114"/>
      <c r="U322" s="115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5"/>
    </row>
    <row r="323" spans="1:36" ht="15.75" customHeight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5"/>
      <c r="M323" s="115"/>
      <c r="N323" s="116"/>
      <c r="O323" s="116"/>
      <c r="P323" s="114"/>
      <c r="Q323" s="114"/>
      <c r="R323" s="114"/>
      <c r="S323" s="115"/>
      <c r="T323" s="114"/>
      <c r="U323" s="115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5"/>
    </row>
    <row r="324" spans="1:36" ht="15.75" customHeight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5"/>
      <c r="M324" s="115"/>
      <c r="N324" s="116"/>
      <c r="O324" s="116"/>
      <c r="P324" s="114"/>
      <c r="Q324" s="114"/>
      <c r="R324" s="114"/>
      <c r="S324" s="115"/>
      <c r="T324" s="114"/>
      <c r="U324" s="115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5"/>
    </row>
    <row r="325" spans="1:36" ht="15.75" customHeight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5"/>
      <c r="M325" s="115"/>
      <c r="N325" s="116"/>
      <c r="O325" s="116"/>
      <c r="P325" s="114"/>
      <c r="Q325" s="114"/>
      <c r="R325" s="114"/>
      <c r="S325" s="115"/>
      <c r="T325" s="114"/>
      <c r="U325" s="115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5"/>
    </row>
    <row r="326" spans="1:36" ht="15.75" customHeight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5"/>
      <c r="M326" s="115"/>
      <c r="N326" s="116"/>
      <c r="O326" s="116"/>
      <c r="P326" s="114"/>
      <c r="Q326" s="114"/>
      <c r="R326" s="114"/>
      <c r="S326" s="115"/>
      <c r="T326" s="114"/>
      <c r="U326" s="115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5"/>
    </row>
    <row r="327" spans="1:36" ht="15.75" customHeight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5"/>
      <c r="M327" s="115"/>
      <c r="N327" s="116"/>
      <c r="O327" s="116"/>
      <c r="P327" s="114"/>
      <c r="Q327" s="114"/>
      <c r="R327" s="114"/>
      <c r="S327" s="115"/>
      <c r="T327" s="114"/>
      <c r="U327" s="115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5"/>
    </row>
    <row r="328" spans="1:36" ht="15.75" customHeight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5"/>
      <c r="M328" s="115"/>
      <c r="N328" s="116"/>
      <c r="O328" s="116"/>
      <c r="P328" s="114"/>
      <c r="Q328" s="114"/>
      <c r="R328" s="114"/>
      <c r="S328" s="115"/>
      <c r="T328" s="114"/>
      <c r="U328" s="115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5"/>
    </row>
    <row r="329" spans="1:36" ht="15.75" customHeight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5"/>
      <c r="M329" s="115"/>
      <c r="N329" s="116"/>
      <c r="O329" s="116"/>
      <c r="P329" s="114"/>
      <c r="Q329" s="114"/>
      <c r="R329" s="114"/>
      <c r="S329" s="115"/>
      <c r="T329" s="114"/>
      <c r="U329" s="115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5"/>
    </row>
    <row r="330" spans="1:36" ht="15.75" customHeight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5"/>
      <c r="M330" s="115"/>
      <c r="N330" s="116"/>
      <c r="O330" s="116"/>
      <c r="P330" s="114"/>
      <c r="Q330" s="114"/>
      <c r="R330" s="114"/>
      <c r="S330" s="115"/>
      <c r="T330" s="114"/>
      <c r="U330" s="115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5"/>
    </row>
    <row r="331" spans="1:36" ht="15.75" customHeight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5"/>
      <c r="M331" s="115"/>
      <c r="N331" s="116"/>
      <c r="O331" s="116"/>
      <c r="P331" s="114"/>
      <c r="Q331" s="114"/>
      <c r="R331" s="114"/>
      <c r="S331" s="115"/>
      <c r="T331" s="114"/>
      <c r="U331" s="115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5"/>
    </row>
    <row r="332" spans="1:36" ht="15.75" customHeight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5"/>
      <c r="M332" s="115"/>
      <c r="N332" s="116"/>
      <c r="O332" s="116"/>
      <c r="P332" s="114"/>
      <c r="Q332" s="114"/>
      <c r="R332" s="114"/>
      <c r="S332" s="115"/>
      <c r="T332" s="114"/>
      <c r="U332" s="115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5"/>
    </row>
    <row r="333" spans="1:36" ht="15.75" customHeight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5"/>
      <c r="M333" s="115"/>
      <c r="N333" s="116"/>
      <c r="O333" s="116"/>
      <c r="P333" s="114"/>
      <c r="Q333" s="114"/>
      <c r="R333" s="114"/>
      <c r="S333" s="115"/>
      <c r="T333" s="114"/>
      <c r="U333" s="115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5"/>
    </row>
    <row r="334" spans="1:36" ht="15.75" customHeight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5"/>
      <c r="M334" s="115"/>
      <c r="N334" s="116"/>
      <c r="O334" s="116"/>
      <c r="P334" s="114"/>
      <c r="Q334" s="114"/>
      <c r="R334" s="114"/>
      <c r="S334" s="115"/>
      <c r="T334" s="114"/>
      <c r="U334" s="115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5"/>
    </row>
    <row r="335" spans="1:36" ht="15.75" customHeight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5"/>
      <c r="M335" s="115"/>
      <c r="N335" s="116"/>
      <c r="O335" s="116"/>
      <c r="P335" s="114"/>
      <c r="Q335" s="114"/>
      <c r="R335" s="114"/>
      <c r="S335" s="115"/>
      <c r="T335" s="114"/>
      <c r="U335" s="115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5"/>
    </row>
    <row r="336" spans="1:36" ht="15.75" customHeight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5"/>
      <c r="M336" s="115"/>
      <c r="N336" s="116"/>
      <c r="O336" s="116"/>
      <c r="P336" s="114"/>
      <c r="Q336" s="114"/>
      <c r="R336" s="114"/>
      <c r="S336" s="115"/>
      <c r="T336" s="114"/>
      <c r="U336" s="115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5"/>
    </row>
    <row r="337" spans="1:36" ht="15.75" customHeight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5"/>
      <c r="M337" s="115"/>
      <c r="N337" s="116"/>
      <c r="O337" s="116"/>
      <c r="P337" s="114"/>
      <c r="Q337" s="114"/>
      <c r="R337" s="114"/>
      <c r="S337" s="115"/>
      <c r="T337" s="114"/>
      <c r="U337" s="115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5"/>
    </row>
    <row r="338" spans="1:36" ht="15.75" customHeight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5"/>
      <c r="M338" s="115"/>
      <c r="N338" s="116"/>
      <c r="O338" s="116"/>
      <c r="P338" s="114"/>
      <c r="Q338" s="114"/>
      <c r="R338" s="114"/>
      <c r="S338" s="115"/>
      <c r="T338" s="114"/>
      <c r="U338" s="115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5"/>
    </row>
    <row r="339" spans="1:36" ht="15.75" customHeight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5"/>
      <c r="M339" s="115"/>
      <c r="N339" s="116"/>
      <c r="O339" s="116"/>
      <c r="P339" s="114"/>
      <c r="Q339" s="114"/>
      <c r="R339" s="114"/>
      <c r="S339" s="115"/>
      <c r="T339" s="114"/>
      <c r="U339" s="115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5"/>
    </row>
    <row r="340" spans="1:36" ht="15.75" customHeight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5"/>
      <c r="M340" s="115"/>
      <c r="N340" s="116"/>
      <c r="O340" s="116"/>
      <c r="P340" s="114"/>
      <c r="Q340" s="114"/>
      <c r="R340" s="114"/>
      <c r="S340" s="115"/>
      <c r="T340" s="114"/>
      <c r="U340" s="115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5"/>
    </row>
    <row r="341" spans="1:36" ht="15.75" customHeight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5"/>
      <c r="M341" s="115"/>
      <c r="N341" s="116"/>
      <c r="O341" s="116"/>
      <c r="P341" s="114"/>
      <c r="Q341" s="114"/>
      <c r="R341" s="114"/>
      <c r="S341" s="115"/>
      <c r="T341" s="114"/>
      <c r="U341" s="115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5"/>
    </row>
    <row r="342" spans="1:36" ht="15.75" customHeight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5"/>
      <c r="M342" s="115"/>
      <c r="N342" s="116"/>
      <c r="O342" s="116"/>
      <c r="P342" s="114"/>
      <c r="Q342" s="114"/>
      <c r="R342" s="114"/>
      <c r="S342" s="115"/>
      <c r="T342" s="114"/>
      <c r="U342" s="115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5"/>
    </row>
    <row r="343" spans="1:36" ht="15.75" customHeight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5"/>
      <c r="M343" s="115"/>
      <c r="N343" s="116"/>
      <c r="O343" s="116"/>
      <c r="P343" s="114"/>
      <c r="Q343" s="114"/>
      <c r="R343" s="114"/>
      <c r="S343" s="115"/>
      <c r="T343" s="114"/>
      <c r="U343" s="115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5"/>
    </row>
    <row r="344" spans="1:36" ht="15.75" customHeight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5"/>
      <c r="M344" s="115"/>
      <c r="N344" s="116"/>
      <c r="O344" s="116"/>
      <c r="P344" s="114"/>
      <c r="Q344" s="114"/>
      <c r="R344" s="114"/>
      <c r="S344" s="115"/>
      <c r="T344" s="114"/>
      <c r="U344" s="115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5"/>
    </row>
    <row r="345" spans="1:36" ht="15.75" customHeight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5"/>
      <c r="M345" s="115"/>
      <c r="N345" s="116"/>
      <c r="O345" s="116"/>
      <c r="P345" s="114"/>
      <c r="Q345" s="114"/>
      <c r="R345" s="114"/>
      <c r="S345" s="115"/>
      <c r="T345" s="114"/>
      <c r="U345" s="115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5"/>
    </row>
    <row r="346" spans="1:36" ht="15.75" customHeight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5"/>
      <c r="M346" s="115"/>
      <c r="N346" s="116"/>
      <c r="O346" s="116"/>
      <c r="P346" s="114"/>
      <c r="Q346" s="114"/>
      <c r="R346" s="114"/>
      <c r="S346" s="115"/>
      <c r="T346" s="114"/>
      <c r="U346" s="115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5"/>
    </row>
    <row r="347" spans="1:36" ht="15.75" customHeight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5"/>
      <c r="M347" s="115"/>
      <c r="N347" s="116"/>
      <c r="O347" s="116"/>
      <c r="P347" s="114"/>
      <c r="Q347" s="114"/>
      <c r="R347" s="114"/>
      <c r="S347" s="115"/>
      <c r="T347" s="114"/>
      <c r="U347" s="115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5"/>
    </row>
    <row r="348" spans="1:36" ht="15.75" customHeight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5"/>
      <c r="M348" s="115"/>
      <c r="N348" s="116"/>
      <c r="O348" s="116"/>
      <c r="P348" s="114"/>
      <c r="Q348" s="114"/>
      <c r="R348" s="114"/>
      <c r="S348" s="115"/>
      <c r="T348" s="114"/>
      <c r="U348" s="115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5"/>
    </row>
    <row r="349" spans="1:36" ht="15.75" customHeight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5"/>
      <c r="M349" s="115"/>
      <c r="N349" s="116"/>
      <c r="O349" s="116"/>
      <c r="P349" s="114"/>
      <c r="Q349" s="114"/>
      <c r="R349" s="114"/>
      <c r="S349" s="115"/>
      <c r="T349" s="114"/>
      <c r="U349" s="115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5"/>
    </row>
    <row r="350" spans="1:36" ht="15.75" customHeight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5"/>
      <c r="M350" s="115"/>
      <c r="N350" s="116"/>
      <c r="O350" s="116"/>
      <c r="P350" s="114"/>
      <c r="Q350" s="114"/>
      <c r="R350" s="114"/>
      <c r="S350" s="115"/>
      <c r="T350" s="114"/>
      <c r="U350" s="115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5"/>
    </row>
    <row r="351" spans="1:36" ht="15.75" customHeight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5"/>
      <c r="M351" s="115"/>
      <c r="N351" s="116"/>
      <c r="O351" s="116"/>
      <c r="P351" s="114"/>
      <c r="Q351" s="114"/>
      <c r="R351" s="114"/>
      <c r="S351" s="115"/>
      <c r="T351" s="114"/>
      <c r="U351" s="115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114"/>
      <c r="AJ351" s="115"/>
    </row>
    <row r="352" spans="1:36" ht="15.75" customHeight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5"/>
      <c r="M352" s="115"/>
      <c r="N352" s="116"/>
      <c r="O352" s="116"/>
      <c r="P352" s="114"/>
      <c r="Q352" s="114"/>
      <c r="R352" s="114"/>
      <c r="S352" s="115"/>
      <c r="T352" s="114"/>
      <c r="U352" s="115"/>
      <c r="V352" s="114"/>
      <c r="W352" s="114"/>
      <c r="X352" s="114"/>
      <c r="Y352" s="114"/>
      <c r="Z352" s="114"/>
      <c r="AA352" s="114"/>
      <c r="AB352" s="114"/>
      <c r="AC352" s="114"/>
      <c r="AD352" s="114"/>
      <c r="AE352" s="114"/>
      <c r="AF352" s="114"/>
      <c r="AG352" s="114"/>
      <c r="AH352" s="114"/>
      <c r="AI352" s="114"/>
      <c r="AJ352" s="115"/>
    </row>
    <row r="353" spans="1:36" ht="15.75" customHeight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5"/>
      <c r="M353" s="115"/>
      <c r="N353" s="116"/>
      <c r="O353" s="116"/>
      <c r="P353" s="114"/>
      <c r="Q353" s="114"/>
      <c r="R353" s="114"/>
      <c r="S353" s="115"/>
      <c r="T353" s="114"/>
      <c r="U353" s="115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5"/>
    </row>
    <row r="354" spans="1:36" ht="15.75" customHeight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5"/>
      <c r="M354" s="115"/>
      <c r="N354" s="116"/>
      <c r="O354" s="116"/>
      <c r="P354" s="114"/>
      <c r="Q354" s="114"/>
      <c r="R354" s="114"/>
      <c r="S354" s="115"/>
      <c r="T354" s="114"/>
      <c r="U354" s="115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5"/>
    </row>
    <row r="355" spans="1:36" ht="15.75" customHeight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5"/>
      <c r="M355" s="115"/>
      <c r="N355" s="116"/>
      <c r="O355" s="116"/>
      <c r="P355" s="114"/>
      <c r="Q355" s="114"/>
      <c r="R355" s="114"/>
      <c r="S355" s="115"/>
      <c r="T355" s="114"/>
      <c r="U355" s="115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5"/>
    </row>
    <row r="356" spans="1:36" ht="15.75" customHeight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5"/>
      <c r="M356" s="115"/>
      <c r="N356" s="116"/>
      <c r="O356" s="116"/>
      <c r="P356" s="114"/>
      <c r="Q356" s="114"/>
      <c r="R356" s="114"/>
      <c r="S356" s="115"/>
      <c r="T356" s="114"/>
      <c r="U356" s="115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114"/>
      <c r="AJ356" s="115"/>
    </row>
    <row r="357" spans="1:36" ht="15.75" customHeight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5"/>
      <c r="M357" s="115"/>
      <c r="N357" s="116"/>
      <c r="O357" s="116"/>
      <c r="P357" s="114"/>
      <c r="Q357" s="114"/>
      <c r="R357" s="114"/>
      <c r="S357" s="115"/>
      <c r="T357" s="114"/>
      <c r="U357" s="115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5"/>
    </row>
    <row r="358" spans="1:36" ht="15.75" customHeight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5"/>
      <c r="M358" s="115"/>
      <c r="N358" s="116"/>
      <c r="O358" s="116"/>
      <c r="P358" s="114"/>
      <c r="Q358" s="114"/>
      <c r="R358" s="114"/>
      <c r="S358" s="115"/>
      <c r="T358" s="114"/>
      <c r="U358" s="115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5"/>
    </row>
    <row r="359" spans="1:36" ht="15.75" customHeight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5"/>
      <c r="M359" s="115"/>
      <c r="N359" s="116"/>
      <c r="O359" s="116"/>
      <c r="P359" s="114"/>
      <c r="Q359" s="114"/>
      <c r="R359" s="114"/>
      <c r="S359" s="115"/>
      <c r="T359" s="114"/>
      <c r="U359" s="115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5"/>
    </row>
    <row r="360" spans="1:36" ht="15.75" customHeight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5"/>
      <c r="M360" s="115"/>
      <c r="N360" s="116"/>
      <c r="O360" s="116"/>
      <c r="P360" s="114"/>
      <c r="Q360" s="114"/>
      <c r="R360" s="114"/>
      <c r="S360" s="115"/>
      <c r="T360" s="114"/>
      <c r="U360" s="115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5"/>
    </row>
    <row r="361" spans="1:36" ht="15.75" customHeight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5"/>
      <c r="M361" s="115"/>
      <c r="N361" s="116"/>
      <c r="O361" s="116"/>
      <c r="P361" s="114"/>
      <c r="Q361" s="114"/>
      <c r="R361" s="114"/>
      <c r="S361" s="115"/>
      <c r="T361" s="114"/>
      <c r="U361" s="115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5"/>
    </row>
    <row r="362" spans="1:36" ht="15.75" customHeight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5"/>
      <c r="M362" s="115"/>
      <c r="N362" s="116"/>
      <c r="O362" s="116"/>
      <c r="P362" s="114"/>
      <c r="Q362" s="114"/>
      <c r="R362" s="114"/>
      <c r="S362" s="115"/>
      <c r="T362" s="114"/>
      <c r="U362" s="115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5"/>
    </row>
    <row r="363" spans="1:36" ht="15.75" customHeight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5"/>
      <c r="M363" s="115"/>
      <c r="N363" s="116"/>
      <c r="O363" s="116"/>
      <c r="P363" s="114"/>
      <c r="Q363" s="114"/>
      <c r="R363" s="114"/>
      <c r="S363" s="115"/>
      <c r="T363" s="114"/>
      <c r="U363" s="115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5"/>
    </row>
    <row r="364" spans="1:36" ht="15.75" customHeight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5"/>
      <c r="M364" s="115"/>
      <c r="N364" s="116"/>
      <c r="O364" s="116"/>
      <c r="P364" s="114"/>
      <c r="Q364" s="114"/>
      <c r="R364" s="114"/>
      <c r="S364" s="115"/>
      <c r="T364" s="114"/>
      <c r="U364" s="115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114"/>
      <c r="AJ364" s="115"/>
    </row>
    <row r="365" spans="1:36" ht="15.75" customHeight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5"/>
      <c r="M365" s="115"/>
      <c r="N365" s="116"/>
      <c r="O365" s="116"/>
      <c r="P365" s="114"/>
      <c r="Q365" s="114"/>
      <c r="R365" s="114"/>
      <c r="S365" s="115"/>
      <c r="T365" s="114"/>
      <c r="U365" s="115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5"/>
    </row>
    <row r="366" spans="1:36" ht="15.75" customHeight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5"/>
      <c r="M366" s="115"/>
      <c r="N366" s="116"/>
      <c r="O366" s="116"/>
      <c r="P366" s="114"/>
      <c r="Q366" s="114"/>
      <c r="R366" s="114"/>
      <c r="S366" s="115"/>
      <c r="T366" s="114"/>
      <c r="U366" s="115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5"/>
    </row>
    <row r="367" spans="1:36" ht="15.75" customHeight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5"/>
      <c r="M367" s="115"/>
      <c r="N367" s="116"/>
      <c r="O367" s="116"/>
      <c r="P367" s="114"/>
      <c r="Q367" s="114"/>
      <c r="R367" s="114"/>
      <c r="S367" s="115"/>
      <c r="T367" s="114"/>
      <c r="U367" s="115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5"/>
    </row>
    <row r="368" spans="1:36" ht="15.75" customHeight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5"/>
      <c r="M368" s="115"/>
      <c r="N368" s="116"/>
      <c r="O368" s="116"/>
      <c r="P368" s="114"/>
      <c r="Q368" s="114"/>
      <c r="R368" s="114"/>
      <c r="S368" s="115"/>
      <c r="T368" s="114"/>
      <c r="U368" s="115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5"/>
    </row>
    <row r="369" spans="1:36" ht="15.75" customHeight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5"/>
      <c r="M369" s="115"/>
      <c r="N369" s="116"/>
      <c r="O369" s="116"/>
      <c r="P369" s="114"/>
      <c r="Q369" s="114"/>
      <c r="R369" s="114"/>
      <c r="S369" s="115"/>
      <c r="T369" s="114"/>
      <c r="U369" s="115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5"/>
    </row>
    <row r="370" spans="1:36" ht="15.75" customHeight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5"/>
      <c r="M370" s="115"/>
      <c r="N370" s="116"/>
      <c r="O370" s="116"/>
      <c r="P370" s="114"/>
      <c r="Q370" s="114"/>
      <c r="R370" s="114"/>
      <c r="S370" s="115"/>
      <c r="T370" s="114"/>
      <c r="U370" s="115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5"/>
    </row>
    <row r="371" spans="1:36" ht="15.75" customHeight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5"/>
      <c r="M371" s="115"/>
      <c r="N371" s="116"/>
      <c r="O371" s="116"/>
      <c r="P371" s="114"/>
      <c r="Q371" s="114"/>
      <c r="R371" s="114"/>
      <c r="S371" s="115"/>
      <c r="T371" s="114"/>
      <c r="U371" s="115"/>
      <c r="V371" s="114"/>
      <c r="W371" s="114"/>
      <c r="X371" s="114"/>
      <c r="Y371" s="114"/>
      <c r="Z371" s="114"/>
      <c r="AA371" s="114"/>
      <c r="AB371" s="114"/>
      <c r="AC371" s="114"/>
      <c r="AD371" s="114"/>
      <c r="AE371" s="114"/>
      <c r="AF371" s="114"/>
      <c r="AG371" s="114"/>
      <c r="AH371" s="114"/>
      <c r="AI371" s="114"/>
      <c r="AJ371" s="115"/>
    </row>
    <row r="372" spans="1:36" ht="15.75" customHeight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5"/>
      <c r="M372" s="115"/>
      <c r="N372" s="116"/>
      <c r="O372" s="116"/>
      <c r="P372" s="114"/>
      <c r="Q372" s="114"/>
      <c r="R372" s="114"/>
      <c r="S372" s="115"/>
      <c r="T372" s="114"/>
      <c r="U372" s="115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5"/>
    </row>
    <row r="373" spans="1:36" ht="15.75" customHeight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5"/>
      <c r="M373" s="115"/>
      <c r="N373" s="116"/>
      <c r="O373" s="116"/>
      <c r="P373" s="114"/>
      <c r="Q373" s="114"/>
      <c r="R373" s="114"/>
      <c r="S373" s="115"/>
      <c r="T373" s="114"/>
      <c r="U373" s="115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5"/>
    </row>
    <row r="374" spans="1:36" ht="15.75" customHeight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5"/>
      <c r="M374" s="115"/>
      <c r="N374" s="116"/>
      <c r="O374" s="116"/>
      <c r="P374" s="114"/>
      <c r="Q374" s="114"/>
      <c r="R374" s="114"/>
      <c r="S374" s="115"/>
      <c r="T374" s="114"/>
      <c r="U374" s="115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5"/>
    </row>
    <row r="375" spans="1:36" ht="15.75" customHeight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5"/>
      <c r="M375" s="115"/>
      <c r="N375" s="116"/>
      <c r="O375" s="116"/>
      <c r="P375" s="114"/>
      <c r="Q375" s="114"/>
      <c r="R375" s="114"/>
      <c r="S375" s="115"/>
      <c r="T375" s="114"/>
      <c r="U375" s="115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5"/>
    </row>
    <row r="376" spans="1:36" ht="15.75" customHeight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5"/>
      <c r="M376" s="115"/>
      <c r="N376" s="116"/>
      <c r="O376" s="116"/>
      <c r="P376" s="114"/>
      <c r="Q376" s="114"/>
      <c r="R376" s="114"/>
      <c r="S376" s="115"/>
      <c r="T376" s="114"/>
      <c r="U376" s="115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/>
      <c r="AI376" s="114"/>
      <c r="AJ376" s="115"/>
    </row>
    <row r="377" spans="1:36" ht="15.75" customHeight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5"/>
      <c r="M377" s="115"/>
      <c r="N377" s="116"/>
      <c r="O377" s="116"/>
      <c r="P377" s="114"/>
      <c r="Q377" s="114"/>
      <c r="R377" s="114"/>
      <c r="S377" s="115"/>
      <c r="T377" s="114"/>
      <c r="U377" s="115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5"/>
    </row>
    <row r="378" spans="1:36" ht="15.75" customHeight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5"/>
      <c r="M378" s="115"/>
      <c r="N378" s="116"/>
      <c r="O378" s="116"/>
      <c r="P378" s="114"/>
      <c r="Q378" s="114"/>
      <c r="R378" s="114"/>
      <c r="S378" s="115"/>
      <c r="T378" s="114"/>
      <c r="U378" s="115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5"/>
    </row>
    <row r="379" spans="1:36" ht="15.75" customHeight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5"/>
      <c r="M379" s="115"/>
      <c r="N379" s="116"/>
      <c r="O379" s="116"/>
      <c r="P379" s="114"/>
      <c r="Q379" s="114"/>
      <c r="R379" s="114"/>
      <c r="S379" s="115"/>
      <c r="T379" s="114"/>
      <c r="U379" s="115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5"/>
    </row>
    <row r="380" spans="1:36" ht="15.75" customHeight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5"/>
      <c r="M380" s="115"/>
      <c r="N380" s="116"/>
      <c r="O380" s="116"/>
      <c r="P380" s="114"/>
      <c r="Q380" s="114"/>
      <c r="R380" s="114"/>
      <c r="S380" s="115"/>
      <c r="T380" s="114"/>
      <c r="U380" s="115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5"/>
    </row>
    <row r="381" spans="1:36" ht="15.75" customHeight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5"/>
      <c r="M381" s="115"/>
      <c r="N381" s="116"/>
      <c r="O381" s="116"/>
      <c r="P381" s="114"/>
      <c r="Q381" s="114"/>
      <c r="R381" s="114"/>
      <c r="S381" s="115"/>
      <c r="T381" s="114"/>
      <c r="U381" s="115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5"/>
    </row>
    <row r="382" spans="1:36" ht="15.75" customHeight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5"/>
      <c r="M382" s="115"/>
      <c r="N382" s="116"/>
      <c r="O382" s="116"/>
      <c r="P382" s="114"/>
      <c r="Q382" s="114"/>
      <c r="R382" s="114"/>
      <c r="S382" s="115"/>
      <c r="T382" s="114"/>
      <c r="U382" s="115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5"/>
    </row>
    <row r="383" spans="1:36" ht="15.75" customHeight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5"/>
      <c r="M383" s="115"/>
      <c r="N383" s="116"/>
      <c r="O383" s="116"/>
      <c r="P383" s="114"/>
      <c r="Q383" s="114"/>
      <c r="R383" s="114"/>
      <c r="S383" s="115"/>
      <c r="T383" s="114"/>
      <c r="U383" s="115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5"/>
    </row>
    <row r="384" spans="1:36" ht="15.75" customHeight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5"/>
      <c r="M384" s="115"/>
      <c r="N384" s="116"/>
      <c r="O384" s="116"/>
      <c r="P384" s="114"/>
      <c r="Q384" s="114"/>
      <c r="R384" s="114"/>
      <c r="S384" s="115"/>
      <c r="T384" s="114"/>
      <c r="U384" s="115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114"/>
      <c r="AJ384" s="115"/>
    </row>
    <row r="385" spans="1:36" ht="15.75" customHeight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5"/>
      <c r="M385" s="115"/>
      <c r="N385" s="116"/>
      <c r="O385" s="116"/>
      <c r="P385" s="114"/>
      <c r="Q385" s="114"/>
      <c r="R385" s="114"/>
      <c r="S385" s="115"/>
      <c r="T385" s="114"/>
      <c r="U385" s="115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5"/>
    </row>
    <row r="386" spans="1:36" ht="15.75" customHeight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5"/>
      <c r="M386" s="115"/>
      <c r="N386" s="116"/>
      <c r="O386" s="116"/>
      <c r="P386" s="114"/>
      <c r="Q386" s="114"/>
      <c r="R386" s="114"/>
      <c r="S386" s="115"/>
      <c r="T386" s="114"/>
      <c r="U386" s="115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5"/>
    </row>
    <row r="387" spans="1:36" ht="15.75" customHeight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5"/>
      <c r="M387" s="115"/>
      <c r="N387" s="116"/>
      <c r="O387" s="116"/>
      <c r="P387" s="114"/>
      <c r="Q387" s="114"/>
      <c r="R387" s="114"/>
      <c r="S387" s="115"/>
      <c r="T387" s="114"/>
      <c r="U387" s="115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5"/>
    </row>
    <row r="388" spans="1:36" ht="15.75" customHeight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5"/>
      <c r="M388" s="115"/>
      <c r="N388" s="116"/>
      <c r="O388" s="116"/>
      <c r="P388" s="114"/>
      <c r="Q388" s="114"/>
      <c r="R388" s="114"/>
      <c r="S388" s="115"/>
      <c r="T388" s="114"/>
      <c r="U388" s="115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5"/>
    </row>
    <row r="389" spans="1:36" ht="15.75" customHeight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5"/>
      <c r="M389" s="115"/>
      <c r="N389" s="116"/>
      <c r="O389" s="116"/>
      <c r="P389" s="114"/>
      <c r="Q389" s="114"/>
      <c r="R389" s="114"/>
      <c r="S389" s="115"/>
      <c r="T389" s="114"/>
      <c r="U389" s="115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5"/>
    </row>
    <row r="390" spans="1:36" ht="15.75" customHeight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5"/>
      <c r="M390" s="115"/>
      <c r="N390" s="116"/>
      <c r="O390" s="116"/>
      <c r="P390" s="114"/>
      <c r="Q390" s="114"/>
      <c r="R390" s="114"/>
      <c r="S390" s="115"/>
      <c r="T390" s="114"/>
      <c r="U390" s="115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5"/>
    </row>
    <row r="391" spans="1:36" ht="15.75" customHeight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5"/>
      <c r="M391" s="115"/>
      <c r="N391" s="116"/>
      <c r="O391" s="116"/>
      <c r="P391" s="114"/>
      <c r="Q391" s="114"/>
      <c r="R391" s="114"/>
      <c r="S391" s="115"/>
      <c r="T391" s="114"/>
      <c r="U391" s="115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5"/>
    </row>
    <row r="392" spans="1:36" ht="15.75" customHeight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5"/>
      <c r="M392" s="115"/>
      <c r="N392" s="116"/>
      <c r="O392" s="116"/>
      <c r="P392" s="114"/>
      <c r="Q392" s="114"/>
      <c r="R392" s="114"/>
      <c r="S392" s="115"/>
      <c r="T392" s="114"/>
      <c r="U392" s="115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5"/>
    </row>
    <row r="393" spans="1:36" ht="15.75" customHeight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5"/>
      <c r="M393" s="115"/>
      <c r="N393" s="116"/>
      <c r="O393" s="116"/>
      <c r="P393" s="114"/>
      <c r="Q393" s="114"/>
      <c r="R393" s="114"/>
      <c r="S393" s="115"/>
      <c r="T393" s="114"/>
      <c r="U393" s="115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5"/>
    </row>
    <row r="394" spans="1:36" ht="15.75" customHeight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5"/>
      <c r="M394" s="115"/>
      <c r="N394" s="116"/>
      <c r="O394" s="116"/>
      <c r="P394" s="114"/>
      <c r="Q394" s="114"/>
      <c r="R394" s="114"/>
      <c r="S394" s="115"/>
      <c r="T394" s="114"/>
      <c r="U394" s="115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/>
      <c r="AJ394" s="115"/>
    </row>
    <row r="395" spans="1:36" ht="15.75" customHeight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5"/>
      <c r="M395" s="115"/>
      <c r="N395" s="116"/>
      <c r="O395" s="116"/>
      <c r="P395" s="114"/>
      <c r="Q395" s="114"/>
      <c r="R395" s="114"/>
      <c r="S395" s="115"/>
      <c r="T395" s="114"/>
      <c r="U395" s="115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5"/>
    </row>
    <row r="396" spans="1:36" ht="15.75" customHeight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5"/>
      <c r="M396" s="115"/>
      <c r="N396" s="116"/>
      <c r="O396" s="116"/>
      <c r="P396" s="114"/>
      <c r="Q396" s="114"/>
      <c r="R396" s="114"/>
      <c r="S396" s="115"/>
      <c r="T396" s="114"/>
      <c r="U396" s="115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5"/>
    </row>
    <row r="397" spans="1:36" ht="15.75" customHeight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5"/>
      <c r="M397" s="115"/>
      <c r="N397" s="116"/>
      <c r="O397" s="116"/>
      <c r="P397" s="114"/>
      <c r="Q397" s="114"/>
      <c r="R397" s="114"/>
      <c r="S397" s="115"/>
      <c r="T397" s="114"/>
      <c r="U397" s="115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5"/>
    </row>
    <row r="398" spans="1:36" ht="15.75" customHeight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5"/>
      <c r="M398" s="115"/>
      <c r="N398" s="116"/>
      <c r="O398" s="116"/>
      <c r="P398" s="114"/>
      <c r="Q398" s="114"/>
      <c r="R398" s="114"/>
      <c r="S398" s="115"/>
      <c r="T398" s="114"/>
      <c r="U398" s="115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5"/>
    </row>
    <row r="399" spans="1:36" ht="15.75" customHeight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5"/>
      <c r="M399" s="115"/>
      <c r="N399" s="116"/>
      <c r="O399" s="116"/>
      <c r="P399" s="114"/>
      <c r="Q399" s="114"/>
      <c r="R399" s="114"/>
      <c r="S399" s="115"/>
      <c r="T399" s="114"/>
      <c r="U399" s="115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5"/>
    </row>
    <row r="400" spans="1:36" ht="15.75" customHeight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5"/>
      <c r="M400" s="115"/>
      <c r="N400" s="116"/>
      <c r="O400" s="116"/>
      <c r="P400" s="114"/>
      <c r="Q400" s="114"/>
      <c r="R400" s="114"/>
      <c r="S400" s="115"/>
      <c r="T400" s="114"/>
      <c r="U400" s="115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5"/>
    </row>
    <row r="401" spans="1:36" ht="15.75" customHeight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5"/>
      <c r="M401" s="115"/>
      <c r="N401" s="116"/>
      <c r="O401" s="116"/>
      <c r="P401" s="114"/>
      <c r="Q401" s="114"/>
      <c r="R401" s="114"/>
      <c r="S401" s="115"/>
      <c r="T401" s="114"/>
      <c r="U401" s="115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114"/>
      <c r="AJ401" s="115"/>
    </row>
    <row r="402" spans="1:36" ht="15.75" customHeight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5"/>
      <c r="M402" s="115"/>
      <c r="N402" s="116"/>
      <c r="O402" s="116"/>
      <c r="P402" s="114"/>
      <c r="Q402" s="114"/>
      <c r="R402" s="114"/>
      <c r="S402" s="115"/>
      <c r="T402" s="114"/>
      <c r="U402" s="115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114"/>
      <c r="AJ402" s="115"/>
    </row>
    <row r="403" spans="1:36" ht="15.75" customHeight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5"/>
      <c r="M403" s="115"/>
      <c r="N403" s="116"/>
      <c r="O403" s="116"/>
      <c r="P403" s="114"/>
      <c r="Q403" s="114"/>
      <c r="R403" s="114"/>
      <c r="S403" s="115"/>
      <c r="T403" s="114"/>
      <c r="U403" s="115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5"/>
    </row>
    <row r="404" spans="1:36" ht="15.75" customHeight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5"/>
      <c r="M404" s="115"/>
      <c r="N404" s="116"/>
      <c r="O404" s="116"/>
      <c r="P404" s="114"/>
      <c r="Q404" s="114"/>
      <c r="R404" s="114"/>
      <c r="S404" s="115"/>
      <c r="T404" s="114"/>
      <c r="U404" s="115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5"/>
    </row>
    <row r="405" spans="1:36" ht="15.75" customHeight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5"/>
      <c r="M405" s="115"/>
      <c r="N405" s="116"/>
      <c r="O405" s="116"/>
      <c r="P405" s="114"/>
      <c r="Q405" s="114"/>
      <c r="R405" s="114"/>
      <c r="S405" s="115"/>
      <c r="T405" s="114"/>
      <c r="U405" s="115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5"/>
    </row>
    <row r="406" spans="1:36" ht="15.75" customHeight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5"/>
      <c r="M406" s="115"/>
      <c r="N406" s="116"/>
      <c r="O406" s="116"/>
      <c r="P406" s="114"/>
      <c r="Q406" s="114"/>
      <c r="R406" s="114"/>
      <c r="S406" s="115"/>
      <c r="T406" s="114"/>
      <c r="U406" s="115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5"/>
    </row>
    <row r="407" spans="1:36" ht="15.75" customHeight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5"/>
      <c r="M407" s="115"/>
      <c r="N407" s="116"/>
      <c r="O407" s="116"/>
      <c r="P407" s="114"/>
      <c r="Q407" s="114"/>
      <c r="R407" s="114"/>
      <c r="S407" s="115"/>
      <c r="T407" s="114"/>
      <c r="U407" s="115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5"/>
    </row>
    <row r="408" spans="1:36" ht="15.75" customHeight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5"/>
      <c r="M408" s="115"/>
      <c r="N408" s="116"/>
      <c r="O408" s="116"/>
      <c r="P408" s="114"/>
      <c r="Q408" s="114"/>
      <c r="R408" s="114"/>
      <c r="S408" s="115"/>
      <c r="T408" s="114"/>
      <c r="U408" s="115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5"/>
    </row>
    <row r="409" spans="1:36" ht="15.75" customHeight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5"/>
      <c r="M409" s="115"/>
      <c r="N409" s="116"/>
      <c r="O409" s="116"/>
      <c r="P409" s="114"/>
      <c r="Q409" s="114"/>
      <c r="R409" s="114"/>
      <c r="S409" s="115"/>
      <c r="T409" s="114"/>
      <c r="U409" s="115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5"/>
    </row>
    <row r="410" spans="1:36" ht="15.75" customHeight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5"/>
      <c r="M410" s="115"/>
      <c r="N410" s="116"/>
      <c r="O410" s="116"/>
      <c r="P410" s="114"/>
      <c r="Q410" s="114"/>
      <c r="R410" s="114"/>
      <c r="S410" s="115"/>
      <c r="T410" s="114"/>
      <c r="U410" s="115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5"/>
    </row>
    <row r="411" spans="1:36" ht="15.75" customHeight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5"/>
      <c r="M411" s="115"/>
      <c r="N411" s="116"/>
      <c r="O411" s="116"/>
      <c r="P411" s="114"/>
      <c r="Q411" s="114"/>
      <c r="R411" s="114"/>
      <c r="S411" s="115"/>
      <c r="T411" s="114"/>
      <c r="U411" s="115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5"/>
    </row>
    <row r="412" spans="1:36" ht="15.75" customHeight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5"/>
      <c r="M412" s="115"/>
      <c r="N412" s="116"/>
      <c r="O412" s="116"/>
      <c r="P412" s="114"/>
      <c r="Q412" s="114"/>
      <c r="R412" s="114"/>
      <c r="S412" s="115"/>
      <c r="T412" s="114"/>
      <c r="U412" s="115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5"/>
    </row>
    <row r="413" spans="1:36" ht="15.75" customHeight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5"/>
      <c r="M413" s="115"/>
      <c r="N413" s="116"/>
      <c r="O413" s="116"/>
      <c r="P413" s="114"/>
      <c r="Q413" s="114"/>
      <c r="R413" s="114"/>
      <c r="S413" s="115"/>
      <c r="T413" s="114"/>
      <c r="U413" s="115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5"/>
    </row>
    <row r="414" spans="1:36" ht="15.75" customHeight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5"/>
      <c r="M414" s="115"/>
      <c r="N414" s="116"/>
      <c r="O414" s="116"/>
      <c r="P414" s="114"/>
      <c r="Q414" s="114"/>
      <c r="R414" s="114"/>
      <c r="S414" s="115"/>
      <c r="T414" s="114"/>
      <c r="U414" s="115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5"/>
    </row>
    <row r="415" spans="1:36" ht="15.75" customHeight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5"/>
      <c r="M415" s="115"/>
      <c r="N415" s="116"/>
      <c r="O415" s="116"/>
      <c r="P415" s="114"/>
      <c r="Q415" s="114"/>
      <c r="R415" s="114"/>
      <c r="S415" s="115"/>
      <c r="T415" s="114"/>
      <c r="U415" s="115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5"/>
    </row>
    <row r="416" spans="1:36" ht="15.75" customHeight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5"/>
      <c r="M416" s="115"/>
      <c r="N416" s="116"/>
      <c r="O416" s="116"/>
      <c r="P416" s="114"/>
      <c r="Q416" s="114"/>
      <c r="R416" s="114"/>
      <c r="S416" s="115"/>
      <c r="T416" s="114"/>
      <c r="U416" s="115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5"/>
    </row>
    <row r="417" spans="1:36" ht="15.75" customHeight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5"/>
      <c r="M417" s="115"/>
      <c r="N417" s="116"/>
      <c r="O417" s="116"/>
      <c r="P417" s="114"/>
      <c r="Q417" s="114"/>
      <c r="R417" s="114"/>
      <c r="S417" s="115"/>
      <c r="T417" s="114"/>
      <c r="U417" s="115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5"/>
    </row>
    <row r="418" spans="1:36" ht="15.75" customHeight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5"/>
      <c r="M418" s="115"/>
      <c r="N418" s="116"/>
      <c r="O418" s="116"/>
      <c r="P418" s="114"/>
      <c r="Q418" s="114"/>
      <c r="R418" s="114"/>
      <c r="S418" s="115"/>
      <c r="T418" s="114"/>
      <c r="U418" s="115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5"/>
    </row>
    <row r="419" spans="1:36" ht="15.75" customHeight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5"/>
      <c r="M419" s="115"/>
      <c r="N419" s="116"/>
      <c r="O419" s="116"/>
      <c r="P419" s="114"/>
      <c r="Q419" s="114"/>
      <c r="R419" s="114"/>
      <c r="S419" s="115"/>
      <c r="T419" s="114"/>
      <c r="U419" s="115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5"/>
    </row>
    <row r="420" spans="1:36" ht="15.75" customHeight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5"/>
      <c r="M420" s="115"/>
      <c r="N420" s="116"/>
      <c r="O420" s="116"/>
      <c r="P420" s="114"/>
      <c r="Q420" s="114"/>
      <c r="R420" s="114"/>
      <c r="S420" s="115"/>
      <c r="T420" s="114"/>
      <c r="U420" s="115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5"/>
    </row>
    <row r="421" spans="1:36" ht="15.75" customHeight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5"/>
      <c r="M421" s="115"/>
      <c r="N421" s="116"/>
      <c r="O421" s="116"/>
      <c r="P421" s="114"/>
      <c r="Q421" s="114"/>
      <c r="R421" s="114"/>
      <c r="S421" s="115"/>
      <c r="T421" s="114"/>
      <c r="U421" s="115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5"/>
    </row>
    <row r="422" spans="1:36" ht="15.75" customHeight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5"/>
      <c r="M422" s="115"/>
      <c r="N422" s="116"/>
      <c r="O422" s="116"/>
      <c r="P422" s="114"/>
      <c r="Q422" s="114"/>
      <c r="R422" s="114"/>
      <c r="S422" s="115"/>
      <c r="T422" s="114"/>
      <c r="U422" s="115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5"/>
    </row>
    <row r="423" spans="1:36" ht="15.75" customHeight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5"/>
      <c r="M423" s="115"/>
      <c r="N423" s="116"/>
      <c r="O423" s="116"/>
      <c r="P423" s="114"/>
      <c r="Q423" s="114"/>
      <c r="R423" s="114"/>
      <c r="S423" s="115"/>
      <c r="T423" s="114"/>
      <c r="U423" s="115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5"/>
    </row>
    <row r="424" spans="1:36" ht="15.75" customHeight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5"/>
      <c r="M424" s="115"/>
      <c r="N424" s="116"/>
      <c r="O424" s="116"/>
      <c r="P424" s="114"/>
      <c r="Q424" s="114"/>
      <c r="R424" s="114"/>
      <c r="S424" s="115"/>
      <c r="T424" s="114"/>
      <c r="U424" s="115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5"/>
    </row>
    <row r="425" spans="1:36" ht="15.75" customHeight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5"/>
      <c r="M425" s="115"/>
      <c r="N425" s="116"/>
      <c r="O425" s="116"/>
      <c r="P425" s="114"/>
      <c r="Q425" s="114"/>
      <c r="R425" s="114"/>
      <c r="S425" s="115"/>
      <c r="T425" s="114"/>
      <c r="U425" s="115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5"/>
    </row>
    <row r="426" spans="1:36" ht="15.75" customHeight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5"/>
      <c r="M426" s="115"/>
      <c r="N426" s="116"/>
      <c r="O426" s="116"/>
      <c r="P426" s="114"/>
      <c r="Q426" s="114"/>
      <c r="R426" s="114"/>
      <c r="S426" s="115"/>
      <c r="T426" s="114"/>
      <c r="U426" s="115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5"/>
    </row>
    <row r="427" spans="1:36" ht="15.75" customHeight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5"/>
      <c r="M427" s="115"/>
      <c r="N427" s="116"/>
      <c r="O427" s="116"/>
      <c r="P427" s="114"/>
      <c r="Q427" s="114"/>
      <c r="R427" s="114"/>
      <c r="S427" s="115"/>
      <c r="T427" s="114"/>
      <c r="U427" s="115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5"/>
    </row>
    <row r="428" spans="1:36" ht="15.75" customHeight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5"/>
      <c r="M428" s="115"/>
      <c r="N428" s="116"/>
      <c r="O428" s="116"/>
      <c r="P428" s="114"/>
      <c r="Q428" s="114"/>
      <c r="R428" s="114"/>
      <c r="S428" s="115"/>
      <c r="T428" s="114"/>
      <c r="U428" s="115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5"/>
    </row>
    <row r="429" spans="1:36" ht="15.75" customHeight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5"/>
      <c r="M429" s="115"/>
      <c r="N429" s="116"/>
      <c r="O429" s="116"/>
      <c r="P429" s="114"/>
      <c r="Q429" s="114"/>
      <c r="R429" s="114"/>
      <c r="S429" s="115"/>
      <c r="T429" s="114"/>
      <c r="U429" s="115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5"/>
    </row>
    <row r="430" spans="1:36" ht="15.75" customHeight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5"/>
      <c r="M430" s="115"/>
      <c r="N430" s="116"/>
      <c r="O430" s="116"/>
      <c r="P430" s="114"/>
      <c r="Q430" s="114"/>
      <c r="R430" s="114"/>
      <c r="S430" s="115"/>
      <c r="T430" s="114"/>
      <c r="U430" s="115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5"/>
    </row>
    <row r="431" spans="1:36" ht="15.75" customHeight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5"/>
      <c r="M431" s="115"/>
      <c r="N431" s="116"/>
      <c r="O431" s="116"/>
      <c r="P431" s="114"/>
      <c r="Q431" s="114"/>
      <c r="R431" s="114"/>
      <c r="S431" s="115"/>
      <c r="T431" s="114"/>
      <c r="U431" s="115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5"/>
    </row>
    <row r="432" spans="1:36" ht="15.75" customHeight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5"/>
      <c r="M432" s="115"/>
      <c r="N432" s="116"/>
      <c r="O432" s="116"/>
      <c r="P432" s="114"/>
      <c r="Q432" s="114"/>
      <c r="R432" s="114"/>
      <c r="S432" s="115"/>
      <c r="T432" s="114"/>
      <c r="U432" s="115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5"/>
    </row>
    <row r="433" spans="1:36" ht="15.75" customHeight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5"/>
      <c r="M433" s="115"/>
      <c r="N433" s="116"/>
      <c r="O433" s="116"/>
      <c r="P433" s="114"/>
      <c r="Q433" s="114"/>
      <c r="R433" s="114"/>
      <c r="S433" s="115"/>
      <c r="T433" s="114"/>
      <c r="U433" s="115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5"/>
    </row>
    <row r="434" spans="1:36" ht="15.75" customHeight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5"/>
      <c r="M434" s="115"/>
      <c r="N434" s="116"/>
      <c r="O434" s="116"/>
      <c r="P434" s="114"/>
      <c r="Q434" s="114"/>
      <c r="R434" s="114"/>
      <c r="S434" s="115"/>
      <c r="T434" s="114"/>
      <c r="U434" s="115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114"/>
      <c r="AJ434" s="115"/>
    </row>
    <row r="435" spans="1:36" ht="15.75" customHeight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5"/>
      <c r="M435" s="115"/>
      <c r="N435" s="116"/>
      <c r="O435" s="116"/>
      <c r="P435" s="114"/>
      <c r="Q435" s="114"/>
      <c r="R435" s="114"/>
      <c r="S435" s="115"/>
      <c r="T435" s="114"/>
      <c r="U435" s="115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5"/>
    </row>
    <row r="436" spans="1:36" ht="15.75" customHeight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5"/>
      <c r="M436" s="115"/>
      <c r="N436" s="116"/>
      <c r="O436" s="116"/>
      <c r="P436" s="114"/>
      <c r="Q436" s="114"/>
      <c r="R436" s="114"/>
      <c r="S436" s="115"/>
      <c r="T436" s="114"/>
      <c r="U436" s="115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5"/>
    </row>
    <row r="437" spans="1:36" ht="15.75" customHeight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5"/>
      <c r="M437" s="115"/>
      <c r="N437" s="116"/>
      <c r="O437" s="116"/>
      <c r="P437" s="114"/>
      <c r="Q437" s="114"/>
      <c r="R437" s="114"/>
      <c r="S437" s="115"/>
      <c r="T437" s="114"/>
      <c r="U437" s="115"/>
      <c r="V437" s="114"/>
      <c r="W437" s="114"/>
      <c r="X437" s="114"/>
      <c r="Y437" s="114"/>
      <c r="Z437" s="114"/>
      <c r="AA437" s="114"/>
      <c r="AB437" s="114"/>
      <c r="AC437" s="114"/>
      <c r="AD437" s="114"/>
      <c r="AE437" s="114"/>
      <c r="AF437" s="114"/>
      <c r="AG437" s="114"/>
      <c r="AH437" s="114"/>
      <c r="AI437" s="114"/>
      <c r="AJ437" s="115"/>
    </row>
    <row r="438" spans="1:36" ht="15.75" customHeight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5"/>
      <c r="M438" s="115"/>
      <c r="N438" s="116"/>
      <c r="O438" s="116"/>
      <c r="P438" s="114"/>
      <c r="Q438" s="114"/>
      <c r="R438" s="114"/>
      <c r="S438" s="115"/>
      <c r="T438" s="114"/>
      <c r="U438" s="115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5"/>
    </row>
    <row r="439" spans="1:36" ht="15.75" customHeight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5"/>
      <c r="M439" s="115"/>
      <c r="N439" s="116"/>
      <c r="O439" s="116"/>
      <c r="P439" s="114"/>
      <c r="Q439" s="114"/>
      <c r="R439" s="114"/>
      <c r="S439" s="115"/>
      <c r="T439" s="114"/>
      <c r="U439" s="115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5"/>
    </row>
    <row r="440" spans="1:36" ht="15.75" customHeight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5"/>
      <c r="M440" s="115"/>
      <c r="N440" s="116"/>
      <c r="O440" s="116"/>
      <c r="P440" s="114"/>
      <c r="Q440" s="114"/>
      <c r="R440" s="114"/>
      <c r="S440" s="115"/>
      <c r="T440" s="114"/>
      <c r="U440" s="115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5"/>
    </row>
    <row r="441" spans="1:36" ht="15.75" customHeight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5"/>
      <c r="M441" s="115"/>
      <c r="N441" s="116"/>
      <c r="O441" s="116"/>
      <c r="P441" s="114"/>
      <c r="Q441" s="114"/>
      <c r="R441" s="114"/>
      <c r="S441" s="115"/>
      <c r="T441" s="114"/>
      <c r="U441" s="115"/>
      <c r="V441" s="114"/>
      <c r="W441" s="114"/>
      <c r="X441" s="114"/>
      <c r="Y441" s="114"/>
      <c r="Z441" s="114"/>
      <c r="AA441" s="114"/>
      <c r="AB441" s="114"/>
      <c r="AC441" s="114"/>
      <c r="AD441" s="114"/>
      <c r="AE441" s="114"/>
      <c r="AF441" s="114"/>
      <c r="AG441" s="114"/>
      <c r="AH441" s="114"/>
      <c r="AI441" s="114"/>
      <c r="AJ441" s="115"/>
    </row>
    <row r="442" spans="1:36" ht="15.75" customHeight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5"/>
      <c r="M442" s="115"/>
      <c r="N442" s="116"/>
      <c r="O442" s="116"/>
      <c r="P442" s="114"/>
      <c r="Q442" s="114"/>
      <c r="R442" s="114"/>
      <c r="S442" s="115"/>
      <c r="T442" s="114"/>
      <c r="U442" s="115"/>
      <c r="V442" s="114"/>
      <c r="W442" s="114"/>
      <c r="X442" s="114"/>
      <c r="Y442" s="114"/>
      <c r="Z442" s="114"/>
      <c r="AA442" s="114"/>
      <c r="AB442" s="114"/>
      <c r="AC442" s="114"/>
      <c r="AD442" s="114"/>
      <c r="AE442" s="114"/>
      <c r="AF442" s="114"/>
      <c r="AG442" s="114"/>
      <c r="AH442" s="114"/>
      <c r="AI442" s="114"/>
      <c r="AJ442" s="115"/>
    </row>
    <row r="443" spans="1:36" ht="15.75" customHeight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5"/>
      <c r="M443" s="115"/>
      <c r="N443" s="116"/>
      <c r="O443" s="116"/>
      <c r="P443" s="114"/>
      <c r="Q443" s="114"/>
      <c r="R443" s="114"/>
      <c r="S443" s="115"/>
      <c r="T443" s="114"/>
      <c r="U443" s="115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5"/>
    </row>
    <row r="444" spans="1:36" ht="15.75" customHeight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5"/>
      <c r="M444" s="115"/>
      <c r="N444" s="116"/>
      <c r="O444" s="116"/>
      <c r="P444" s="114"/>
      <c r="Q444" s="114"/>
      <c r="R444" s="114"/>
      <c r="S444" s="115"/>
      <c r="T444" s="114"/>
      <c r="U444" s="115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5"/>
    </row>
    <row r="445" spans="1:36" ht="15.75" customHeight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5"/>
      <c r="M445" s="115"/>
      <c r="N445" s="116"/>
      <c r="O445" s="116"/>
      <c r="P445" s="114"/>
      <c r="Q445" s="114"/>
      <c r="R445" s="114"/>
      <c r="S445" s="115"/>
      <c r="T445" s="114"/>
      <c r="U445" s="115"/>
      <c r="V445" s="114"/>
      <c r="W445" s="114"/>
      <c r="X445" s="114"/>
      <c r="Y445" s="114"/>
      <c r="Z445" s="114"/>
      <c r="AA445" s="114"/>
      <c r="AB445" s="114"/>
      <c r="AC445" s="114"/>
      <c r="AD445" s="114"/>
      <c r="AE445" s="114"/>
      <c r="AF445" s="114"/>
      <c r="AG445" s="114"/>
      <c r="AH445" s="114"/>
      <c r="AI445" s="114"/>
      <c r="AJ445" s="115"/>
    </row>
    <row r="446" spans="1:36" ht="15.75" customHeight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5"/>
      <c r="M446" s="115"/>
      <c r="N446" s="116"/>
      <c r="O446" s="116"/>
      <c r="P446" s="114"/>
      <c r="Q446" s="114"/>
      <c r="R446" s="114"/>
      <c r="S446" s="115"/>
      <c r="T446" s="114"/>
      <c r="U446" s="115"/>
      <c r="V446" s="114"/>
      <c r="W446" s="114"/>
      <c r="X446" s="114"/>
      <c r="Y446" s="114"/>
      <c r="Z446" s="114"/>
      <c r="AA446" s="114"/>
      <c r="AB446" s="114"/>
      <c r="AC446" s="114"/>
      <c r="AD446" s="114"/>
      <c r="AE446" s="114"/>
      <c r="AF446" s="114"/>
      <c r="AG446" s="114"/>
      <c r="AH446" s="114"/>
      <c r="AI446" s="114"/>
      <c r="AJ446" s="115"/>
    </row>
    <row r="447" spans="1:36" ht="15.75" customHeight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5"/>
      <c r="M447" s="115"/>
      <c r="N447" s="116"/>
      <c r="O447" s="116"/>
      <c r="P447" s="114"/>
      <c r="Q447" s="114"/>
      <c r="R447" s="114"/>
      <c r="S447" s="115"/>
      <c r="T447" s="114"/>
      <c r="U447" s="115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5"/>
    </row>
    <row r="448" spans="1:36" ht="15.75" customHeight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5"/>
      <c r="M448" s="115"/>
      <c r="N448" s="116"/>
      <c r="O448" s="116"/>
      <c r="P448" s="114"/>
      <c r="Q448" s="114"/>
      <c r="R448" s="114"/>
      <c r="S448" s="115"/>
      <c r="T448" s="114"/>
      <c r="U448" s="115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5"/>
    </row>
    <row r="449" spans="1:36" ht="15.75" customHeight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5"/>
      <c r="M449" s="115"/>
      <c r="N449" s="116"/>
      <c r="O449" s="116"/>
      <c r="P449" s="114"/>
      <c r="Q449" s="114"/>
      <c r="R449" s="114"/>
      <c r="S449" s="115"/>
      <c r="T449" s="114"/>
      <c r="U449" s="115"/>
      <c r="V449" s="114"/>
      <c r="W449" s="114"/>
      <c r="X449" s="114"/>
      <c r="Y449" s="114"/>
      <c r="Z449" s="114"/>
      <c r="AA449" s="114"/>
      <c r="AB449" s="114"/>
      <c r="AC449" s="114"/>
      <c r="AD449" s="114"/>
      <c r="AE449" s="114"/>
      <c r="AF449" s="114"/>
      <c r="AG449" s="114"/>
      <c r="AH449" s="114"/>
      <c r="AI449" s="114"/>
      <c r="AJ449" s="115"/>
    </row>
    <row r="450" spans="1:36" ht="15.75" customHeight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5"/>
      <c r="M450" s="115"/>
      <c r="N450" s="116"/>
      <c r="O450" s="116"/>
      <c r="P450" s="114"/>
      <c r="Q450" s="114"/>
      <c r="R450" s="114"/>
      <c r="S450" s="115"/>
      <c r="T450" s="114"/>
      <c r="U450" s="115"/>
      <c r="V450" s="114"/>
      <c r="W450" s="114"/>
      <c r="X450" s="114"/>
      <c r="Y450" s="114"/>
      <c r="Z450" s="114"/>
      <c r="AA450" s="114"/>
      <c r="AB450" s="114"/>
      <c r="AC450" s="114"/>
      <c r="AD450" s="114"/>
      <c r="AE450" s="114"/>
      <c r="AF450" s="114"/>
      <c r="AG450" s="114"/>
      <c r="AH450" s="114"/>
      <c r="AI450" s="114"/>
      <c r="AJ450" s="115"/>
    </row>
    <row r="451" spans="1:36" ht="15.75" customHeight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5"/>
      <c r="M451" s="115"/>
      <c r="N451" s="116"/>
      <c r="O451" s="116"/>
      <c r="P451" s="114"/>
      <c r="Q451" s="114"/>
      <c r="R451" s="114"/>
      <c r="S451" s="115"/>
      <c r="T451" s="114"/>
      <c r="U451" s="115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5"/>
    </row>
    <row r="452" spans="1:36" ht="15.75" customHeight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5"/>
      <c r="M452" s="115"/>
      <c r="N452" s="116"/>
      <c r="O452" s="116"/>
      <c r="P452" s="114"/>
      <c r="Q452" s="114"/>
      <c r="R452" s="114"/>
      <c r="S452" s="115"/>
      <c r="T452" s="114"/>
      <c r="U452" s="115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5"/>
    </row>
    <row r="453" spans="1:36" ht="15.75" customHeight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5"/>
      <c r="M453" s="115"/>
      <c r="N453" s="116"/>
      <c r="O453" s="116"/>
      <c r="P453" s="114"/>
      <c r="Q453" s="114"/>
      <c r="R453" s="114"/>
      <c r="S453" s="115"/>
      <c r="T453" s="114"/>
      <c r="U453" s="115"/>
      <c r="V453" s="114"/>
      <c r="W453" s="114"/>
      <c r="X453" s="114"/>
      <c r="Y453" s="114"/>
      <c r="Z453" s="114"/>
      <c r="AA453" s="114"/>
      <c r="AB453" s="114"/>
      <c r="AC453" s="114"/>
      <c r="AD453" s="114"/>
      <c r="AE453" s="114"/>
      <c r="AF453" s="114"/>
      <c r="AG453" s="114"/>
      <c r="AH453" s="114"/>
      <c r="AI453" s="114"/>
      <c r="AJ453" s="115"/>
    </row>
    <row r="454" spans="1:36" ht="15.75" customHeight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5"/>
      <c r="M454" s="115"/>
      <c r="N454" s="116"/>
      <c r="O454" s="116"/>
      <c r="P454" s="114"/>
      <c r="Q454" s="114"/>
      <c r="R454" s="114"/>
      <c r="S454" s="115"/>
      <c r="T454" s="114"/>
      <c r="U454" s="115"/>
      <c r="V454" s="114"/>
      <c r="W454" s="114"/>
      <c r="X454" s="114"/>
      <c r="Y454" s="114"/>
      <c r="Z454" s="114"/>
      <c r="AA454" s="114"/>
      <c r="AB454" s="114"/>
      <c r="AC454" s="114"/>
      <c r="AD454" s="114"/>
      <c r="AE454" s="114"/>
      <c r="AF454" s="114"/>
      <c r="AG454" s="114"/>
      <c r="AH454" s="114"/>
      <c r="AI454" s="114"/>
      <c r="AJ454" s="115"/>
    </row>
    <row r="455" spans="1:36" ht="15.75" customHeight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5"/>
      <c r="M455" s="115"/>
      <c r="N455" s="116"/>
      <c r="O455" s="116"/>
      <c r="P455" s="114"/>
      <c r="Q455" s="114"/>
      <c r="R455" s="114"/>
      <c r="S455" s="115"/>
      <c r="T455" s="114"/>
      <c r="U455" s="115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5"/>
    </row>
    <row r="456" spans="1:36" ht="15.75" customHeight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5"/>
      <c r="M456" s="115"/>
      <c r="N456" s="116"/>
      <c r="O456" s="116"/>
      <c r="P456" s="114"/>
      <c r="Q456" s="114"/>
      <c r="R456" s="114"/>
      <c r="S456" s="115"/>
      <c r="T456" s="114"/>
      <c r="U456" s="115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5"/>
    </row>
    <row r="457" spans="1:36" ht="15.75" customHeight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5"/>
      <c r="M457" s="115"/>
      <c r="N457" s="116"/>
      <c r="O457" s="116"/>
      <c r="P457" s="114"/>
      <c r="Q457" s="114"/>
      <c r="R457" s="114"/>
      <c r="S457" s="115"/>
      <c r="T457" s="114"/>
      <c r="U457" s="115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114"/>
      <c r="AJ457" s="115"/>
    </row>
    <row r="458" spans="1:36" ht="15.75" customHeight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5"/>
      <c r="M458" s="115"/>
      <c r="N458" s="116"/>
      <c r="O458" s="116"/>
      <c r="P458" s="114"/>
      <c r="Q458" s="114"/>
      <c r="R458" s="114"/>
      <c r="S458" s="115"/>
      <c r="T458" s="114"/>
      <c r="U458" s="115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5"/>
    </row>
    <row r="459" spans="1:36" ht="15.75" customHeight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5"/>
      <c r="M459" s="115"/>
      <c r="N459" s="116"/>
      <c r="O459" s="116"/>
      <c r="P459" s="114"/>
      <c r="Q459" s="114"/>
      <c r="R459" s="114"/>
      <c r="S459" s="115"/>
      <c r="T459" s="114"/>
      <c r="U459" s="115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5"/>
    </row>
    <row r="460" spans="1:36" ht="15.75" customHeight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5"/>
      <c r="M460" s="115"/>
      <c r="N460" s="116"/>
      <c r="O460" s="116"/>
      <c r="P460" s="114"/>
      <c r="Q460" s="114"/>
      <c r="R460" s="114"/>
      <c r="S460" s="115"/>
      <c r="T460" s="114"/>
      <c r="U460" s="115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5"/>
    </row>
    <row r="461" spans="1:36" ht="15.75" customHeight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5"/>
      <c r="M461" s="115"/>
      <c r="N461" s="116"/>
      <c r="O461" s="116"/>
      <c r="P461" s="114"/>
      <c r="Q461" s="114"/>
      <c r="R461" s="114"/>
      <c r="S461" s="115"/>
      <c r="T461" s="114"/>
      <c r="U461" s="115"/>
      <c r="V461" s="114"/>
      <c r="W461" s="114"/>
      <c r="X461" s="114"/>
      <c r="Y461" s="114"/>
      <c r="Z461" s="114"/>
      <c r="AA461" s="114"/>
      <c r="AB461" s="114"/>
      <c r="AC461" s="114"/>
      <c r="AD461" s="114"/>
      <c r="AE461" s="114"/>
      <c r="AF461" s="114"/>
      <c r="AG461" s="114"/>
      <c r="AH461" s="114"/>
      <c r="AI461" s="114"/>
      <c r="AJ461" s="115"/>
    </row>
    <row r="462" spans="1:36" ht="15.75" customHeight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5"/>
      <c r="M462" s="115"/>
      <c r="N462" s="116"/>
      <c r="O462" s="116"/>
      <c r="P462" s="114"/>
      <c r="Q462" s="114"/>
      <c r="R462" s="114"/>
      <c r="S462" s="115"/>
      <c r="T462" s="114"/>
      <c r="U462" s="115"/>
      <c r="V462" s="114"/>
      <c r="W462" s="114"/>
      <c r="X462" s="114"/>
      <c r="Y462" s="114"/>
      <c r="Z462" s="114"/>
      <c r="AA462" s="114"/>
      <c r="AB462" s="114"/>
      <c r="AC462" s="114"/>
      <c r="AD462" s="114"/>
      <c r="AE462" s="114"/>
      <c r="AF462" s="114"/>
      <c r="AG462" s="114"/>
      <c r="AH462" s="114"/>
      <c r="AI462" s="114"/>
      <c r="AJ462" s="115"/>
    </row>
    <row r="463" spans="1:36" ht="15.75" customHeight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5"/>
      <c r="M463" s="115"/>
      <c r="N463" s="116"/>
      <c r="O463" s="116"/>
      <c r="P463" s="114"/>
      <c r="Q463" s="114"/>
      <c r="R463" s="114"/>
      <c r="S463" s="115"/>
      <c r="T463" s="114"/>
      <c r="U463" s="115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5"/>
    </row>
    <row r="464" spans="1:36" ht="15.75" customHeight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5"/>
      <c r="M464" s="115"/>
      <c r="N464" s="116"/>
      <c r="O464" s="116"/>
      <c r="P464" s="114"/>
      <c r="Q464" s="114"/>
      <c r="R464" s="114"/>
      <c r="S464" s="115"/>
      <c r="T464" s="114"/>
      <c r="U464" s="115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5"/>
    </row>
    <row r="465" spans="1:36" ht="15.75" customHeight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5"/>
      <c r="M465" s="115"/>
      <c r="N465" s="116"/>
      <c r="O465" s="116"/>
      <c r="P465" s="114"/>
      <c r="Q465" s="114"/>
      <c r="R465" s="114"/>
      <c r="S465" s="115"/>
      <c r="T465" s="114"/>
      <c r="U465" s="115"/>
      <c r="V465" s="114"/>
      <c r="W465" s="114"/>
      <c r="X465" s="114"/>
      <c r="Y465" s="114"/>
      <c r="Z465" s="114"/>
      <c r="AA465" s="114"/>
      <c r="AB465" s="114"/>
      <c r="AC465" s="114"/>
      <c r="AD465" s="114"/>
      <c r="AE465" s="114"/>
      <c r="AF465" s="114"/>
      <c r="AG465" s="114"/>
      <c r="AH465" s="114"/>
      <c r="AI465" s="114"/>
      <c r="AJ465" s="115"/>
    </row>
    <row r="466" spans="1:36" ht="15.75" customHeight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5"/>
      <c r="M466" s="115"/>
      <c r="N466" s="116"/>
      <c r="O466" s="116"/>
      <c r="P466" s="114"/>
      <c r="Q466" s="114"/>
      <c r="R466" s="114"/>
      <c r="S466" s="115"/>
      <c r="T466" s="114"/>
      <c r="U466" s="115"/>
      <c r="V466" s="114"/>
      <c r="W466" s="114"/>
      <c r="X466" s="114"/>
      <c r="Y466" s="114"/>
      <c r="Z466" s="114"/>
      <c r="AA466" s="114"/>
      <c r="AB466" s="114"/>
      <c r="AC466" s="114"/>
      <c r="AD466" s="114"/>
      <c r="AE466" s="114"/>
      <c r="AF466" s="114"/>
      <c r="AG466" s="114"/>
      <c r="AH466" s="114"/>
      <c r="AI466" s="114"/>
      <c r="AJ466" s="115"/>
    </row>
    <row r="467" spans="1:36" ht="15.75" customHeight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5"/>
      <c r="M467" s="115"/>
      <c r="N467" s="116"/>
      <c r="O467" s="116"/>
      <c r="P467" s="114"/>
      <c r="Q467" s="114"/>
      <c r="R467" s="114"/>
      <c r="S467" s="115"/>
      <c r="T467" s="114"/>
      <c r="U467" s="115"/>
      <c r="V467" s="114"/>
      <c r="W467" s="114"/>
      <c r="X467" s="114"/>
      <c r="Y467" s="114"/>
      <c r="Z467" s="114"/>
      <c r="AA467" s="114"/>
      <c r="AB467" s="114"/>
      <c r="AC467" s="114"/>
      <c r="AD467" s="114"/>
      <c r="AE467" s="114"/>
      <c r="AF467" s="114"/>
      <c r="AG467" s="114"/>
      <c r="AH467" s="114"/>
      <c r="AI467" s="114"/>
      <c r="AJ467" s="115"/>
    </row>
    <row r="468" spans="1:36" ht="15.75" customHeight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5"/>
      <c r="M468" s="115"/>
      <c r="N468" s="116"/>
      <c r="O468" s="116"/>
      <c r="P468" s="114"/>
      <c r="Q468" s="114"/>
      <c r="R468" s="114"/>
      <c r="S468" s="115"/>
      <c r="T468" s="114"/>
      <c r="U468" s="115"/>
      <c r="V468" s="114"/>
      <c r="W468" s="114"/>
      <c r="X468" s="114"/>
      <c r="Y468" s="114"/>
      <c r="Z468" s="114"/>
      <c r="AA468" s="114"/>
      <c r="AB468" s="114"/>
      <c r="AC468" s="114"/>
      <c r="AD468" s="114"/>
      <c r="AE468" s="114"/>
      <c r="AF468" s="114"/>
      <c r="AG468" s="114"/>
      <c r="AH468" s="114"/>
      <c r="AI468" s="114"/>
      <c r="AJ468" s="115"/>
    </row>
    <row r="469" spans="1:36" ht="15.75" customHeight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5"/>
      <c r="M469" s="115"/>
      <c r="N469" s="116"/>
      <c r="O469" s="116"/>
      <c r="P469" s="114"/>
      <c r="Q469" s="114"/>
      <c r="R469" s="114"/>
      <c r="S469" s="115"/>
      <c r="T469" s="114"/>
      <c r="U469" s="115"/>
      <c r="V469" s="114"/>
      <c r="W469" s="114"/>
      <c r="X469" s="114"/>
      <c r="Y469" s="114"/>
      <c r="Z469" s="114"/>
      <c r="AA469" s="114"/>
      <c r="AB469" s="114"/>
      <c r="AC469" s="114"/>
      <c r="AD469" s="114"/>
      <c r="AE469" s="114"/>
      <c r="AF469" s="114"/>
      <c r="AG469" s="114"/>
      <c r="AH469" s="114"/>
      <c r="AI469" s="114"/>
      <c r="AJ469" s="115"/>
    </row>
    <row r="470" spans="1:36" ht="15.75" customHeight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5"/>
      <c r="M470" s="115"/>
      <c r="N470" s="116"/>
      <c r="O470" s="116"/>
      <c r="P470" s="114"/>
      <c r="Q470" s="114"/>
      <c r="R470" s="114"/>
      <c r="S470" s="115"/>
      <c r="T470" s="114"/>
      <c r="U470" s="115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114"/>
      <c r="AJ470" s="115"/>
    </row>
    <row r="471" spans="1:36" ht="15.75" customHeight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5"/>
      <c r="M471" s="115"/>
      <c r="N471" s="116"/>
      <c r="O471" s="116"/>
      <c r="P471" s="114"/>
      <c r="Q471" s="114"/>
      <c r="R471" s="114"/>
      <c r="S471" s="115"/>
      <c r="T471" s="114"/>
      <c r="U471" s="115"/>
      <c r="V471" s="114"/>
      <c r="W471" s="114"/>
      <c r="X471" s="114"/>
      <c r="Y471" s="114"/>
      <c r="Z471" s="114"/>
      <c r="AA471" s="114"/>
      <c r="AB471" s="114"/>
      <c r="AC471" s="114"/>
      <c r="AD471" s="114"/>
      <c r="AE471" s="114"/>
      <c r="AF471" s="114"/>
      <c r="AG471" s="114"/>
      <c r="AH471" s="114"/>
      <c r="AI471" s="114"/>
      <c r="AJ471" s="115"/>
    </row>
    <row r="472" spans="1:36" ht="15.75" customHeight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5"/>
      <c r="M472" s="115"/>
      <c r="N472" s="116"/>
      <c r="O472" s="116"/>
      <c r="P472" s="114"/>
      <c r="Q472" s="114"/>
      <c r="R472" s="114"/>
      <c r="S472" s="115"/>
      <c r="T472" s="114"/>
      <c r="U472" s="115"/>
      <c r="V472" s="114"/>
      <c r="W472" s="114"/>
      <c r="X472" s="114"/>
      <c r="Y472" s="114"/>
      <c r="Z472" s="114"/>
      <c r="AA472" s="114"/>
      <c r="AB472" s="114"/>
      <c r="AC472" s="114"/>
      <c r="AD472" s="114"/>
      <c r="AE472" s="114"/>
      <c r="AF472" s="114"/>
      <c r="AG472" s="114"/>
      <c r="AH472" s="114"/>
      <c r="AI472" s="114"/>
      <c r="AJ472" s="115"/>
    </row>
    <row r="473" spans="1:36" ht="15.75" customHeight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5"/>
      <c r="M473" s="115"/>
      <c r="N473" s="116"/>
      <c r="O473" s="116"/>
      <c r="P473" s="114"/>
      <c r="Q473" s="114"/>
      <c r="R473" s="114"/>
      <c r="S473" s="115"/>
      <c r="T473" s="114"/>
      <c r="U473" s="115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5"/>
    </row>
    <row r="474" spans="1:36" ht="15.75" customHeight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5"/>
      <c r="M474" s="115"/>
      <c r="N474" s="116"/>
      <c r="O474" s="116"/>
      <c r="P474" s="114"/>
      <c r="Q474" s="114"/>
      <c r="R474" s="114"/>
      <c r="S474" s="115"/>
      <c r="T474" s="114"/>
      <c r="U474" s="115"/>
      <c r="V474" s="114"/>
      <c r="W474" s="114"/>
      <c r="X474" s="114"/>
      <c r="Y474" s="114"/>
      <c r="Z474" s="114"/>
      <c r="AA474" s="114"/>
      <c r="AB474" s="114"/>
      <c r="AC474" s="114"/>
      <c r="AD474" s="114"/>
      <c r="AE474" s="114"/>
      <c r="AF474" s="114"/>
      <c r="AG474" s="114"/>
      <c r="AH474" s="114"/>
      <c r="AI474" s="114"/>
      <c r="AJ474" s="115"/>
    </row>
    <row r="475" spans="1:36" ht="15.75" customHeight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5"/>
      <c r="M475" s="115"/>
      <c r="N475" s="116"/>
      <c r="O475" s="116"/>
      <c r="P475" s="114"/>
      <c r="Q475" s="114"/>
      <c r="R475" s="114"/>
      <c r="S475" s="115"/>
      <c r="T475" s="114"/>
      <c r="U475" s="115"/>
      <c r="V475" s="114"/>
      <c r="W475" s="114"/>
      <c r="X475" s="114"/>
      <c r="Y475" s="114"/>
      <c r="Z475" s="114"/>
      <c r="AA475" s="114"/>
      <c r="AB475" s="114"/>
      <c r="AC475" s="114"/>
      <c r="AD475" s="114"/>
      <c r="AE475" s="114"/>
      <c r="AF475" s="114"/>
      <c r="AG475" s="114"/>
      <c r="AH475" s="114"/>
      <c r="AI475" s="114"/>
      <c r="AJ475" s="115"/>
    </row>
    <row r="476" spans="1:36" ht="15.75" customHeight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5"/>
      <c r="M476" s="115"/>
      <c r="N476" s="116"/>
      <c r="O476" s="116"/>
      <c r="P476" s="114"/>
      <c r="Q476" s="114"/>
      <c r="R476" s="114"/>
      <c r="S476" s="115"/>
      <c r="T476" s="114"/>
      <c r="U476" s="115"/>
      <c r="V476" s="114"/>
      <c r="W476" s="114"/>
      <c r="X476" s="114"/>
      <c r="Y476" s="114"/>
      <c r="Z476" s="114"/>
      <c r="AA476" s="114"/>
      <c r="AB476" s="114"/>
      <c r="AC476" s="114"/>
      <c r="AD476" s="114"/>
      <c r="AE476" s="114"/>
      <c r="AF476" s="114"/>
      <c r="AG476" s="114"/>
      <c r="AH476" s="114"/>
      <c r="AI476" s="114"/>
      <c r="AJ476" s="115"/>
    </row>
    <row r="477" spans="1:36" ht="15.75" customHeight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5"/>
      <c r="M477" s="115"/>
      <c r="N477" s="116"/>
      <c r="O477" s="116"/>
      <c r="P477" s="114"/>
      <c r="Q477" s="114"/>
      <c r="R477" s="114"/>
      <c r="S477" s="115"/>
      <c r="T477" s="114"/>
      <c r="U477" s="115"/>
      <c r="V477" s="114"/>
      <c r="W477" s="114"/>
      <c r="X477" s="114"/>
      <c r="Y477" s="114"/>
      <c r="Z477" s="114"/>
      <c r="AA477" s="114"/>
      <c r="AB477" s="114"/>
      <c r="AC477" s="114"/>
      <c r="AD477" s="114"/>
      <c r="AE477" s="114"/>
      <c r="AF477" s="114"/>
      <c r="AG477" s="114"/>
      <c r="AH477" s="114"/>
      <c r="AI477" s="114"/>
      <c r="AJ477" s="115"/>
    </row>
    <row r="478" spans="1:36" ht="15.75" customHeight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5"/>
      <c r="M478" s="115"/>
      <c r="N478" s="116"/>
      <c r="O478" s="116"/>
      <c r="P478" s="114"/>
      <c r="Q478" s="114"/>
      <c r="R478" s="114"/>
      <c r="S478" s="115"/>
      <c r="T478" s="114"/>
      <c r="U478" s="115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114"/>
      <c r="AJ478" s="115"/>
    </row>
    <row r="479" spans="1:36" ht="15.75" customHeight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5"/>
      <c r="M479" s="115"/>
      <c r="N479" s="116"/>
      <c r="O479" s="116"/>
      <c r="P479" s="114"/>
      <c r="Q479" s="114"/>
      <c r="R479" s="114"/>
      <c r="S479" s="115"/>
      <c r="T479" s="114"/>
      <c r="U479" s="115"/>
      <c r="V479" s="114"/>
      <c r="W479" s="114"/>
      <c r="X479" s="114"/>
      <c r="Y479" s="114"/>
      <c r="Z479" s="114"/>
      <c r="AA479" s="114"/>
      <c r="AB479" s="114"/>
      <c r="AC479" s="114"/>
      <c r="AD479" s="114"/>
      <c r="AE479" s="114"/>
      <c r="AF479" s="114"/>
      <c r="AG479" s="114"/>
      <c r="AH479" s="114"/>
      <c r="AI479" s="114"/>
      <c r="AJ479" s="115"/>
    </row>
    <row r="480" spans="1:36" ht="15.75" customHeight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5"/>
      <c r="M480" s="115"/>
      <c r="N480" s="116"/>
      <c r="O480" s="116"/>
      <c r="P480" s="114"/>
      <c r="Q480" s="114"/>
      <c r="R480" s="114"/>
      <c r="S480" s="115"/>
      <c r="T480" s="114"/>
      <c r="U480" s="115"/>
      <c r="V480" s="114"/>
      <c r="W480" s="114"/>
      <c r="X480" s="114"/>
      <c r="Y480" s="114"/>
      <c r="Z480" s="114"/>
      <c r="AA480" s="114"/>
      <c r="AB480" s="114"/>
      <c r="AC480" s="114"/>
      <c r="AD480" s="114"/>
      <c r="AE480" s="114"/>
      <c r="AF480" s="114"/>
      <c r="AG480" s="114"/>
      <c r="AH480" s="114"/>
      <c r="AI480" s="114"/>
      <c r="AJ480" s="115"/>
    </row>
    <row r="481" spans="1:36" ht="15.75" customHeight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5"/>
      <c r="M481" s="115"/>
      <c r="N481" s="116"/>
      <c r="O481" s="116"/>
      <c r="P481" s="114"/>
      <c r="Q481" s="114"/>
      <c r="R481" s="114"/>
      <c r="S481" s="115"/>
      <c r="T481" s="114"/>
      <c r="U481" s="115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5"/>
    </row>
    <row r="482" spans="1:36" ht="15.75" customHeight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5"/>
      <c r="M482" s="115"/>
      <c r="N482" s="116"/>
      <c r="O482" s="116"/>
      <c r="P482" s="114"/>
      <c r="Q482" s="114"/>
      <c r="R482" s="114"/>
      <c r="S482" s="115"/>
      <c r="T482" s="114"/>
      <c r="U482" s="115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5"/>
    </row>
    <row r="483" spans="1:36" ht="15.75" customHeight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5"/>
      <c r="M483" s="115"/>
      <c r="N483" s="116"/>
      <c r="O483" s="116"/>
      <c r="P483" s="114"/>
      <c r="Q483" s="114"/>
      <c r="R483" s="114"/>
      <c r="S483" s="115"/>
      <c r="T483" s="114"/>
      <c r="U483" s="115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5"/>
    </row>
    <row r="484" spans="1:36" ht="15.75" customHeight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5"/>
      <c r="M484" s="115"/>
      <c r="N484" s="116"/>
      <c r="O484" s="116"/>
      <c r="P484" s="114"/>
      <c r="Q484" s="114"/>
      <c r="R484" s="114"/>
      <c r="S484" s="115"/>
      <c r="T484" s="114"/>
      <c r="U484" s="115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114"/>
      <c r="AJ484" s="115"/>
    </row>
    <row r="485" spans="1:36" ht="15.75" customHeight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5"/>
      <c r="M485" s="115"/>
      <c r="N485" s="116"/>
      <c r="O485" s="116"/>
      <c r="P485" s="114"/>
      <c r="Q485" s="114"/>
      <c r="R485" s="114"/>
      <c r="S485" s="115"/>
      <c r="T485" s="114"/>
      <c r="U485" s="115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5"/>
    </row>
    <row r="486" spans="1:36" ht="15.75" customHeight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5"/>
      <c r="M486" s="115"/>
      <c r="N486" s="116"/>
      <c r="O486" s="116"/>
      <c r="P486" s="114"/>
      <c r="Q486" s="114"/>
      <c r="R486" s="114"/>
      <c r="S486" s="115"/>
      <c r="T486" s="114"/>
      <c r="U486" s="115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5"/>
    </row>
    <row r="487" spans="1:36" ht="15.75" customHeight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5"/>
      <c r="M487" s="115"/>
      <c r="N487" s="116"/>
      <c r="O487" s="116"/>
      <c r="P487" s="114"/>
      <c r="Q487" s="114"/>
      <c r="R487" s="114"/>
      <c r="S487" s="115"/>
      <c r="T487" s="114"/>
      <c r="U487" s="115"/>
      <c r="V487" s="114"/>
      <c r="W487" s="114"/>
      <c r="X487" s="114"/>
      <c r="Y487" s="114"/>
      <c r="Z487" s="114"/>
      <c r="AA487" s="114"/>
      <c r="AB487" s="114"/>
      <c r="AC487" s="114"/>
      <c r="AD487" s="114"/>
      <c r="AE487" s="114"/>
      <c r="AF487" s="114"/>
      <c r="AG487" s="114"/>
      <c r="AH487" s="114"/>
      <c r="AI487" s="114"/>
      <c r="AJ487" s="115"/>
    </row>
    <row r="488" spans="1:36" ht="15.75" customHeight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5"/>
      <c r="M488" s="115"/>
      <c r="N488" s="116"/>
      <c r="O488" s="116"/>
      <c r="P488" s="114"/>
      <c r="Q488" s="114"/>
      <c r="R488" s="114"/>
      <c r="S488" s="115"/>
      <c r="T488" s="114"/>
      <c r="U488" s="115"/>
      <c r="V488" s="114"/>
      <c r="W488" s="114"/>
      <c r="X488" s="114"/>
      <c r="Y488" s="114"/>
      <c r="Z488" s="114"/>
      <c r="AA488" s="114"/>
      <c r="AB488" s="114"/>
      <c r="AC488" s="114"/>
      <c r="AD488" s="114"/>
      <c r="AE488" s="114"/>
      <c r="AF488" s="114"/>
      <c r="AG488" s="114"/>
      <c r="AH488" s="114"/>
      <c r="AI488" s="114"/>
      <c r="AJ488" s="115"/>
    </row>
    <row r="489" spans="1:36" ht="15.75" customHeight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5"/>
      <c r="M489" s="115"/>
      <c r="N489" s="116"/>
      <c r="O489" s="116"/>
      <c r="P489" s="114"/>
      <c r="Q489" s="114"/>
      <c r="R489" s="114"/>
      <c r="S489" s="115"/>
      <c r="T489" s="114"/>
      <c r="U489" s="115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5"/>
    </row>
    <row r="490" spans="1:36" ht="15.75" customHeight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5"/>
      <c r="M490" s="115"/>
      <c r="N490" s="116"/>
      <c r="O490" s="116"/>
      <c r="P490" s="114"/>
      <c r="Q490" s="114"/>
      <c r="R490" s="114"/>
      <c r="S490" s="115"/>
      <c r="T490" s="114"/>
      <c r="U490" s="115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5"/>
    </row>
    <row r="491" spans="1:36" ht="15.75" customHeight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5"/>
      <c r="M491" s="115"/>
      <c r="N491" s="116"/>
      <c r="O491" s="116"/>
      <c r="P491" s="114"/>
      <c r="Q491" s="114"/>
      <c r="R491" s="114"/>
      <c r="S491" s="115"/>
      <c r="T491" s="114"/>
      <c r="U491" s="115"/>
      <c r="V491" s="114"/>
      <c r="W491" s="114"/>
      <c r="X491" s="114"/>
      <c r="Y491" s="114"/>
      <c r="Z491" s="114"/>
      <c r="AA491" s="114"/>
      <c r="AB491" s="114"/>
      <c r="AC491" s="114"/>
      <c r="AD491" s="114"/>
      <c r="AE491" s="114"/>
      <c r="AF491" s="114"/>
      <c r="AG491" s="114"/>
      <c r="AH491" s="114"/>
      <c r="AI491" s="114"/>
      <c r="AJ491" s="115"/>
    </row>
    <row r="492" spans="1:36" ht="15.75" customHeight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5"/>
      <c r="M492" s="115"/>
      <c r="N492" s="116"/>
      <c r="O492" s="116"/>
      <c r="P492" s="114"/>
      <c r="Q492" s="114"/>
      <c r="R492" s="114"/>
      <c r="S492" s="115"/>
      <c r="T492" s="114"/>
      <c r="U492" s="115"/>
      <c r="V492" s="114"/>
      <c r="W492" s="114"/>
      <c r="X492" s="114"/>
      <c r="Y492" s="114"/>
      <c r="Z492" s="114"/>
      <c r="AA492" s="114"/>
      <c r="AB492" s="114"/>
      <c r="AC492" s="114"/>
      <c r="AD492" s="114"/>
      <c r="AE492" s="114"/>
      <c r="AF492" s="114"/>
      <c r="AG492" s="114"/>
      <c r="AH492" s="114"/>
      <c r="AI492" s="114"/>
      <c r="AJ492" s="115"/>
    </row>
    <row r="493" spans="1:36" ht="15.75" customHeight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5"/>
      <c r="M493" s="115"/>
      <c r="N493" s="116"/>
      <c r="O493" s="116"/>
      <c r="P493" s="114"/>
      <c r="Q493" s="114"/>
      <c r="R493" s="114"/>
      <c r="S493" s="115"/>
      <c r="T493" s="114"/>
      <c r="U493" s="115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5"/>
    </row>
    <row r="494" spans="1:36" ht="15.75" customHeight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5"/>
      <c r="M494" s="115"/>
      <c r="N494" s="116"/>
      <c r="O494" s="116"/>
      <c r="P494" s="114"/>
      <c r="Q494" s="114"/>
      <c r="R494" s="114"/>
      <c r="S494" s="115"/>
      <c r="T494" s="114"/>
      <c r="U494" s="115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5"/>
    </row>
    <row r="495" spans="1:36" ht="15.75" customHeight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5"/>
      <c r="M495" s="115"/>
      <c r="N495" s="116"/>
      <c r="O495" s="116"/>
      <c r="P495" s="114"/>
      <c r="Q495" s="114"/>
      <c r="R495" s="114"/>
      <c r="S495" s="115"/>
      <c r="T495" s="114"/>
      <c r="U495" s="115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114"/>
      <c r="AJ495" s="115"/>
    </row>
    <row r="496" spans="1:36" ht="15.75" customHeight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5"/>
      <c r="M496" s="115"/>
      <c r="N496" s="116"/>
      <c r="O496" s="116"/>
      <c r="P496" s="114"/>
      <c r="Q496" s="114"/>
      <c r="R496" s="114"/>
      <c r="S496" s="115"/>
      <c r="T496" s="114"/>
      <c r="U496" s="115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114"/>
      <c r="AJ496" s="115"/>
    </row>
    <row r="497" spans="1:36" ht="15.75" customHeight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5"/>
      <c r="M497" s="115"/>
      <c r="N497" s="116"/>
      <c r="O497" s="116"/>
      <c r="P497" s="114"/>
      <c r="Q497" s="114"/>
      <c r="R497" s="114"/>
      <c r="S497" s="115"/>
      <c r="T497" s="114"/>
      <c r="U497" s="115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5"/>
    </row>
    <row r="498" spans="1:36" ht="15.75" customHeight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5"/>
      <c r="M498" s="115"/>
      <c r="N498" s="116"/>
      <c r="O498" s="116"/>
      <c r="P498" s="114"/>
      <c r="Q498" s="114"/>
      <c r="R498" s="114"/>
      <c r="S498" s="115"/>
      <c r="T498" s="114"/>
      <c r="U498" s="115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5"/>
    </row>
    <row r="499" spans="1:36" ht="15.75" customHeight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5"/>
      <c r="M499" s="115"/>
      <c r="N499" s="116"/>
      <c r="O499" s="116"/>
      <c r="P499" s="114"/>
      <c r="Q499" s="114"/>
      <c r="R499" s="114"/>
      <c r="S499" s="115"/>
      <c r="T499" s="114"/>
      <c r="U499" s="115"/>
      <c r="V499" s="114"/>
      <c r="W499" s="114"/>
      <c r="X499" s="114"/>
      <c r="Y499" s="114"/>
      <c r="Z499" s="114"/>
      <c r="AA499" s="114"/>
      <c r="AB499" s="114"/>
      <c r="AC499" s="114"/>
      <c r="AD499" s="114"/>
      <c r="AE499" s="114"/>
      <c r="AF499" s="114"/>
      <c r="AG499" s="114"/>
      <c r="AH499" s="114"/>
      <c r="AI499" s="114"/>
      <c r="AJ499" s="115"/>
    </row>
    <row r="500" spans="1:36" ht="15.75" customHeight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5"/>
      <c r="M500" s="115"/>
      <c r="N500" s="116"/>
      <c r="O500" s="116"/>
      <c r="P500" s="114"/>
      <c r="Q500" s="114"/>
      <c r="R500" s="114"/>
      <c r="S500" s="115"/>
      <c r="T500" s="114"/>
      <c r="U500" s="115"/>
      <c r="V500" s="114"/>
      <c r="W500" s="114"/>
      <c r="X500" s="114"/>
      <c r="Y500" s="114"/>
      <c r="Z500" s="114"/>
      <c r="AA500" s="114"/>
      <c r="AB500" s="114"/>
      <c r="AC500" s="114"/>
      <c r="AD500" s="114"/>
      <c r="AE500" s="114"/>
      <c r="AF500" s="114"/>
      <c r="AG500" s="114"/>
      <c r="AH500" s="114"/>
      <c r="AI500" s="114"/>
      <c r="AJ500" s="115"/>
    </row>
    <row r="501" spans="1:36" ht="15.75" customHeight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5"/>
      <c r="M501" s="115"/>
      <c r="N501" s="116"/>
      <c r="O501" s="116"/>
      <c r="P501" s="114"/>
      <c r="Q501" s="114"/>
      <c r="R501" s="114"/>
      <c r="S501" s="115"/>
      <c r="T501" s="114"/>
      <c r="U501" s="115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5"/>
    </row>
    <row r="502" spans="1:36" ht="15.75" customHeight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5"/>
      <c r="M502" s="115"/>
      <c r="N502" s="116"/>
      <c r="O502" s="116"/>
      <c r="P502" s="114"/>
      <c r="Q502" s="114"/>
      <c r="R502" s="114"/>
      <c r="S502" s="115"/>
      <c r="T502" s="114"/>
      <c r="U502" s="115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5"/>
    </row>
    <row r="503" spans="1:36" ht="15.75" customHeight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5"/>
      <c r="M503" s="115"/>
      <c r="N503" s="116"/>
      <c r="O503" s="116"/>
      <c r="P503" s="114"/>
      <c r="Q503" s="114"/>
      <c r="R503" s="114"/>
      <c r="S503" s="115"/>
      <c r="T503" s="114"/>
      <c r="U503" s="115"/>
      <c r="V503" s="114"/>
      <c r="W503" s="114"/>
      <c r="X503" s="114"/>
      <c r="Y503" s="114"/>
      <c r="Z503" s="114"/>
      <c r="AA503" s="114"/>
      <c r="AB503" s="114"/>
      <c r="AC503" s="114"/>
      <c r="AD503" s="114"/>
      <c r="AE503" s="114"/>
      <c r="AF503" s="114"/>
      <c r="AG503" s="114"/>
      <c r="AH503" s="114"/>
      <c r="AI503" s="114"/>
      <c r="AJ503" s="115"/>
    </row>
    <row r="504" spans="1:36" ht="15.75" customHeight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5"/>
      <c r="M504" s="115"/>
      <c r="N504" s="116"/>
      <c r="O504" s="116"/>
      <c r="P504" s="114"/>
      <c r="Q504" s="114"/>
      <c r="R504" s="114"/>
      <c r="S504" s="115"/>
      <c r="T504" s="114"/>
      <c r="U504" s="115"/>
      <c r="V504" s="114"/>
      <c r="W504" s="114"/>
      <c r="X504" s="114"/>
      <c r="Y504" s="114"/>
      <c r="Z504" s="114"/>
      <c r="AA504" s="114"/>
      <c r="AB504" s="114"/>
      <c r="AC504" s="114"/>
      <c r="AD504" s="114"/>
      <c r="AE504" s="114"/>
      <c r="AF504" s="114"/>
      <c r="AG504" s="114"/>
      <c r="AH504" s="114"/>
      <c r="AI504" s="114"/>
      <c r="AJ504" s="115"/>
    </row>
    <row r="505" spans="1:36" ht="15.75" customHeight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5"/>
      <c r="M505" s="115"/>
      <c r="N505" s="116"/>
      <c r="O505" s="116"/>
      <c r="P505" s="114"/>
      <c r="Q505" s="114"/>
      <c r="R505" s="114"/>
      <c r="S505" s="115"/>
      <c r="T505" s="114"/>
      <c r="U505" s="115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5"/>
    </row>
    <row r="506" spans="1:36" ht="15.75" customHeight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5"/>
      <c r="M506" s="115"/>
      <c r="N506" s="116"/>
      <c r="O506" s="116"/>
      <c r="P506" s="114"/>
      <c r="Q506" s="114"/>
      <c r="R506" s="114"/>
      <c r="S506" s="115"/>
      <c r="T506" s="114"/>
      <c r="U506" s="115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5"/>
    </row>
    <row r="507" spans="1:36" ht="15.75" customHeight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5"/>
      <c r="M507" s="115"/>
      <c r="N507" s="116"/>
      <c r="O507" s="116"/>
      <c r="P507" s="114"/>
      <c r="Q507" s="114"/>
      <c r="R507" s="114"/>
      <c r="S507" s="115"/>
      <c r="T507" s="114"/>
      <c r="U507" s="115"/>
      <c r="V507" s="114"/>
      <c r="W507" s="114"/>
      <c r="X507" s="114"/>
      <c r="Y507" s="114"/>
      <c r="Z507" s="114"/>
      <c r="AA507" s="114"/>
      <c r="AB507" s="114"/>
      <c r="AC507" s="114"/>
      <c r="AD507" s="114"/>
      <c r="AE507" s="114"/>
      <c r="AF507" s="114"/>
      <c r="AG507" s="114"/>
      <c r="AH507" s="114"/>
      <c r="AI507" s="114"/>
      <c r="AJ507" s="115"/>
    </row>
    <row r="508" spans="1:36" ht="15.75" customHeight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5"/>
      <c r="M508" s="115"/>
      <c r="N508" s="116"/>
      <c r="O508" s="116"/>
      <c r="P508" s="114"/>
      <c r="Q508" s="114"/>
      <c r="R508" s="114"/>
      <c r="S508" s="115"/>
      <c r="T508" s="114"/>
      <c r="U508" s="115"/>
      <c r="V508" s="114"/>
      <c r="W508" s="114"/>
      <c r="X508" s="114"/>
      <c r="Y508" s="114"/>
      <c r="Z508" s="114"/>
      <c r="AA508" s="114"/>
      <c r="AB508" s="114"/>
      <c r="AC508" s="114"/>
      <c r="AD508" s="114"/>
      <c r="AE508" s="114"/>
      <c r="AF508" s="114"/>
      <c r="AG508" s="114"/>
      <c r="AH508" s="114"/>
      <c r="AI508" s="114"/>
      <c r="AJ508" s="115"/>
    </row>
    <row r="509" spans="1:36" ht="15.75" customHeight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5"/>
      <c r="M509" s="115"/>
      <c r="N509" s="116"/>
      <c r="O509" s="116"/>
      <c r="P509" s="114"/>
      <c r="Q509" s="114"/>
      <c r="R509" s="114"/>
      <c r="S509" s="115"/>
      <c r="T509" s="114"/>
      <c r="U509" s="115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5"/>
    </row>
    <row r="510" spans="1:36" ht="15.75" customHeight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5"/>
      <c r="M510" s="115"/>
      <c r="N510" s="116"/>
      <c r="O510" s="116"/>
      <c r="P510" s="114"/>
      <c r="Q510" s="114"/>
      <c r="R510" s="114"/>
      <c r="S510" s="115"/>
      <c r="T510" s="114"/>
      <c r="U510" s="115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5"/>
    </row>
    <row r="511" spans="1:36" ht="15.75" customHeight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5"/>
      <c r="M511" s="115"/>
      <c r="N511" s="116"/>
      <c r="O511" s="116"/>
      <c r="P511" s="114"/>
      <c r="Q511" s="114"/>
      <c r="R511" s="114"/>
      <c r="S511" s="115"/>
      <c r="T511" s="114"/>
      <c r="U511" s="115"/>
      <c r="V511" s="114"/>
      <c r="W511" s="114"/>
      <c r="X511" s="114"/>
      <c r="Y511" s="114"/>
      <c r="Z511" s="114"/>
      <c r="AA511" s="114"/>
      <c r="AB511" s="114"/>
      <c r="AC511" s="114"/>
      <c r="AD511" s="114"/>
      <c r="AE511" s="114"/>
      <c r="AF511" s="114"/>
      <c r="AG511" s="114"/>
      <c r="AH511" s="114"/>
      <c r="AI511" s="114"/>
      <c r="AJ511" s="115"/>
    </row>
    <row r="512" spans="1:36" ht="15.75" customHeight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5"/>
      <c r="M512" s="115"/>
      <c r="N512" s="116"/>
      <c r="O512" s="116"/>
      <c r="P512" s="114"/>
      <c r="Q512" s="114"/>
      <c r="R512" s="114"/>
      <c r="S512" s="115"/>
      <c r="T512" s="114"/>
      <c r="U512" s="115"/>
      <c r="V512" s="114"/>
      <c r="W512" s="114"/>
      <c r="X512" s="114"/>
      <c r="Y512" s="114"/>
      <c r="Z512" s="114"/>
      <c r="AA512" s="114"/>
      <c r="AB512" s="114"/>
      <c r="AC512" s="114"/>
      <c r="AD512" s="114"/>
      <c r="AE512" s="114"/>
      <c r="AF512" s="114"/>
      <c r="AG512" s="114"/>
      <c r="AH512" s="114"/>
      <c r="AI512" s="114"/>
      <c r="AJ512" s="115"/>
    </row>
    <row r="513" spans="1:36" ht="15.75" customHeight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5"/>
      <c r="M513" s="115"/>
      <c r="N513" s="116"/>
      <c r="O513" s="116"/>
      <c r="P513" s="114"/>
      <c r="Q513" s="114"/>
      <c r="R513" s="114"/>
      <c r="S513" s="115"/>
      <c r="T513" s="114"/>
      <c r="U513" s="115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5"/>
    </row>
    <row r="514" spans="1:36" ht="15.75" customHeight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5"/>
      <c r="M514" s="115"/>
      <c r="N514" s="116"/>
      <c r="O514" s="116"/>
      <c r="P514" s="114"/>
      <c r="Q514" s="114"/>
      <c r="R514" s="114"/>
      <c r="S514" s="115"/>
      <c r="T514" s="114"/>
      <c r="U514" s="115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5"/>
    </row>
    <row r="515" spans="1:36" ht="15.75" customHeight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5"/>
      <c r="M515" s="115"/>
      <c r="N515" s="116"/>
      <c r="O515" s="116"/>
      <c r="P515" s="114"/>
      <c r="Q515" s="114"/>
      <c r="R515" s="114"/>
      <c r="S515" s="115"/>
      <c r="T515" s="114"/>
      <c r="U515" s="115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114"/>
      <c r="AF515" s="114"/>
      <c r="AG515" s="114"/>
      <c r="AH515" s="114"/>
      <c r="AI515" s="114"/>
      <c r="AJ515" s="115"/>
    </row>
    <row r="516" spans="1:36" ht="15.75" customHeight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5"/>
      <c r="M516" s="115"/>
      <c r="N516" s="116"/>
      <c r="O516" s="116"/>
      <c r="P516" s="114"/>
      <c r="Q516" s="114"/>
      <c r="R516" s="114"/>
      <c r="S516" s="115"/>
      <c r="T516" s="114"/>
      <c r="U516" s="115"/>
      <c r="V516" s="114"/>
      <c r="W516" s="114"/>
      <c r="X516" s="114"/>
      <c r="Y516" s="114"/>
      <c r="Z516" s="114"/>
      <c r="AA516" s="114"/>
      <c r="AB516" s="114"/>
      <c r="AC516" s="114"/>
      <c r="AD516" s="114"/>
      <c r="AE516" s="114"/>
      <c r="AF516" s="114"/>
      <c r="AG516" s="114"/>
      <c r="AH516" s="114"/>
      <c r="AI516" s="114"/>
      <c r="AJ516" s="115"/>
    </row>
    <row r="517" spans="1:36" ht="15.75" customHeight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5"/>
      <c r="M517" s="115"/>
      <c r="N517" s="116"/>
      <c r="O517" s="116"/>
      <c r="P517" s="114"/>
      <c r="Q517" s="114"/>
      <c r="R517" s="114"/>
      <c r="S517" s="115"/>
      <c r="T517" s="114"/>
      <c r="U517" s="115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5"/>
    </row>
    <row r="518" spans="1:36" ht="15.75" customHeight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5"/>
      <c r="M518" s="115"/>
      <c r="N518" s="116"/>
      <c r="O518" s="116"/>
      <c r="P518" s="114"/>
      <c r="Q518" s="114"/>
      <c r="R518" s="114"/>
      <c r="S518" s="115"/>
      <c r="T518" s="114"/>
      <c r="U518" s="115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5"/>
    </row>
    <row r="519" spans="1:36" ht="15.75" customHeight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5"/>
      <c r="M519" s="115"/>
      <c r="N519" s="116"/>
      <c r="O519" s="116"/>
      <c r="P519" s="114"/>
      <c r="Q519" s="114"/>
      <c r="R519" s="114"/>
      <c r="S519" s="115"/>
      <c r="T519" s="114"/>
      <c r="U519" s="115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5"/>
    </row>
    <row r="520" spans="1:36" ht="15.75" customHeight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5"/>
      <c r="M520" s="115"/>
      <c r="N520" s="116"/>
      <c r="O520" s="116"/>
      <c r="P520" s="114"/>
      <c r="Q520" s="114"/>
      <c r="R520" s="114"/>
      <c r="S520" s="115"/>
      <c r="T520" s="114"/>
      <c r="U520" s="115"/>
      <c r="V520" s="114"/>
      <c r="W520" s="114"/>
      <c r="X520" s="114"/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114"/>
      <c r="AJ520" s="115"/>
    </row>
    <row r="521" spans="1:36" ht="15.75" customHeight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5"/>
      <c r="M521" s="115"/>
      <c r="N521" s="116"/>
      <c r="O521" s="116"/>
      <c r="P521" s="114"/>
      <c r="Q521" s="114"/>
      <c r="R521" s="114"/>
      <c r="S521" s="115"/>
      <c r="T521" s="114"/>
      <c r="U521" s="115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5"/>
    </row>
    <row r="522" spans="1:36" ht="15.75" customHeight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5"/>
      <c r="M522" s="115"/>
      <c r="N522" s="116"/>
      <c r="O522" s="116"/>
      <c r="P522" s="114"/>
      <c r="Q522" s="114"/>
      <c r="R522" s="114"/>
      <c r="S522" s="115"/>
      <c r="T522" s="114"/>
      <c r="U522" s="115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5"/>
    </row>
    <row r="523" spans="1:36" ht="15.75" customHeight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5"/>
      <c r="M523" s="115"/>
      <c r="N523" s="116"/>
      <c r="O523" s="116"/>
      <c r="P523" s="114"/>
      <c r="Q523" s="114"/>
      <c r="R523" s="114"/>
      <c r="S523" s="115"/>
      <c r="T523" s="114"/>
      <c r="U523" s="115"/>
      <c r="V523" s="114"/>
      <c r="W523" s="114"/>
      <c r="X523" s="114"/>
      <c r="Y523" s="114"/>
      <c r="Z523" s="114"/>
      <c r="AA523" s="114"/>
      <c r="AB523" s="114"/>
      <c r="AC523" s="114"/>
      <c r="AD523" s="114"/>
      <c r="AE523" s="114"/>
      <c r="AF523" s="114"/>
      <c r="AG523" s="114"/>
      <c r="AH523" s="114"/>
      <c r="AI523" s="114"/>
      <c r="AJ523" s="115"/>
    </row>
    <row r="524" spans="1:36" ht="15.75" customHeight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5"/>
      <c r="M524" s="115"/>
      <c r="N524" s="116"/>
      <c r="O524" s="116"/>
      <c r="P524" s="114"/>
      <c r="Q524" s="114"/>
      <c r="R524" s="114"/>
      <c r="S524" s="115"/>
      <c r="T524" s="114"/>
      <c r="U524" s="115"/>
      <c r="V524" s="114"/>
      <c r="W524" s="114"/>
      <c r="X524" s="114"/>
      <c r="Y524" s="114"/>
      <c r="Z524" s="114"/>
      <c r="AA524" s="114"/>
      <c r="AB524" s="114"/>
      <c r="AC524" s="114"/>
      <c r="AD524" s="114"/>
      <c r="AE524" s="114"/>
      <c r="AF524" s="114"/>
      <c r="AG524" s="114"/>
      <c r="AH524" s="114"/>
      <c r="AI524" s="114"/>
      <c r="AJ524" s="115"/>
    </row>
    <row r="525" spans="1:36" ht="15.75" customHeight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5"/>
      <c r="M525" s="115"/>
      <c r="N525" s="116"/>
      <c r="O525" s="116"/>
      <c r="P525" s="114"/>
      <c r="Q525" s="114"/>
      <c r="R525" s="114"/>
      <c r="S525" s="115"/>
      <c r="T525" s="114"/>
      <c r="U525" s="115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5"/>
    </row>
    <row r="526" spans="1:36" ht="15.75" customHeight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5"/>
      <c r="M526" s="115"/>
      <c r="N526" s="116"/>
      <c r="O526" s="116"/>
      <c r="P526" s="114"/>
      <c r="Q526" s="114"/>
      <c r="R526" s="114"/>
      <c r="S526" s="115"/>
      <c r="T526" s="114"/>
      <c r="U526" s="115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5"/>
    </row>
    <row r="527" spans="1:36" ht="15.75" customHeight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5"/>
      <c r="M527" s="115"/>
      <c r="N527" s="116"/>
      <c r="O527" s="116"/>
      <c r="P527" s="114"/>
      <c r="Q527" s="114"/>
      <c r="R527" s="114"/>
      <c r="S527" s="115"/>
      <c r="T527" s="114"/>
      <c r="U527" s="115"/>
      <c r="V527" s="114"/>
      <c r="W527" s="114"/>
      <c r="X527" s="114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/>
      <c r="AI527" s="114"/>
      <c r="AJ527" s="115"/>
    </row>
    <row r="528" spans="1:36" ht="15.75" customHeight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5"/>
      <c r="M528" s="115"/>
      <c r="N528" s="116"/>
      <c r="O528" s="116"/>
      <c r="P528" s="114"/>
      <c r="Q528" s="114"/>
      <c r="R528" s="114"/>
      <c r="S528" s="115"/>
      <c r="T528" s="114"/>
      <c r="U528" s="115"/>
      <c r="V528" s="114"/>
      <c r="W528" s="114"/>
      <c r="X528" s="114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/>
      <c r="AI528" s="114"/>
      <c r="AJ528" s="115"/>
    </row>
    <row r="529" spans="1:36" ht="15.75" customHeight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5"/>
      <c r="M529" s="115"/>
      <c r="N529" s="116"/>
      <c r="O529" s="116"/>
      <c r="P529" s="114"/>
      <c r="Q529" s="114"/>
      <c r="R529" s="114"/>
      <c r="S529" s="115"/>
      <c r="T529" s="114"/>
      <c r="U529" s="115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5"/>
    </row>
    <row r="530" spans="1:36" ht="15.75" customHeight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5"/>
      <c r="M530" s="115"/>
      <c r="N530" s="116"/>
      <c r="O530" s="116"/>
      <c r="P530" s="114"/>
      <c r="Q530" s="114"/>
      <c r="R530" s="114"/>
      <c r="S530" s="115"/>
      <c r="T530" s="114"/>
      <c r="U530" s="115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5"/>
    </row>
    <row r="531" spans="1:36" ht="15.75" customHeight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5"/>
      <c r="M531" s="115"/>
      <c r="N531" s="116"/>
      <c r="O531" s="116"/>
      <c r="P531" s="114"/>
      <c r="Q531" s="114"/>
      <c r="R531" s="114"/>
      <c r="S531" s="115"/>
      <c r="T531" s="114"/>
      <c r="U531" s="115"/>
      <c r="V531" s="114"/>
      <c r="W531" s="114"/>
      <c r="X531" s="114"/>
      <c r="Y531" s="114"/>
      <c r="Z531" s="114"/>
      <c r="AA531" s="114"/>
      <c r="AB531" s="114"/>
      <c r="AC531" s="114"/>
      <c r="AD531" s="114"/>
      <c r="AE531" s="114"/>
      <c r="AF531" s="114"/>
      <c r="AG531" s="114"/>
      <c r="AH531" s="114"/>
      <c r="AI531" s="114"/>
      <c r="AJ531" s="115"/>
    </row>
    <row r="532" spans="1:36" ht="15.75" customHeight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5"/>
      <c r="M532" s="115"/>
      <c r="N532" s="116"/>
      <c r="O532" s="116"/>
      <c r="P532" s="114"/>
      <c r="Q532" s="114"/>
      <c r="R532" s="114"/>
      <c r="S532" s="115"/>
      <c r="T532" s="114"/>
      <c r="U532" s="115"/>
      <c r="V532" s="114"/>
      <c r="W532" s="114"/>
      <c r="X532" s="114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114"/>
      <c r="AJ532" s="115"/>
    </row>
    <row r="533" spans="1:36" ht="15.75" customHeight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5"/>
      <c r="M533" s="115"/>
      <c r="N533" s="116"/>
      <c r="O533" s="116"/>
      <c r="P533" s="114"/>
      <c r="Q533" s="114"/>
      <c r="R533" s="114"/>
      <c r="S533" s="115"/>
      <c r="T533" s="114"/>
      <c r="U533" s="115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5"/>
    </row>
    <row r="534" spans="1:36" ht="15.75" customHeight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5"/>
      <c r="M534" s="115"/>
      <c r="N534" s="116"/>
      <c r="O534" s="116"/>
      <c r="P534" s="114"/>
      <c r="Q534" s="114"/>
      <c r="R534" s="114"/>
      <c r="S534" s="115"/>
      <c r="T534" s="114"/>
      <c r="U534" s="115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5"/>
    </row>
    <row r="535" spans="1:36" ht="15.75" customHeight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5"/>
      <c r="M535" s="115"/>
      <c r="N535" s="116"/>
      <c r="O535" s="116"/>
      <c r="P535" s="114"/>
      <c r="Q535" s="114"/>
      <c r="R535" s="114"/>
      <c r="S535" s="115"/>
      <c r="T535" s="114"/>
      <c r="U535" s="115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5"/>
    </row>
    <row r="536" spans="1:36" ht="15.75" customHeight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5"/>
      <c r="M536" s="115"/>
      <c r="N536" s="116"/>
      <c r="O536" s="116"/>
      <c r="P536" s="114"/>
      <c r="Q536" s="114"/>
      <c r="R536" s="114"/>
      <c r="S536" s="115"/>
      <c r="T536" s="114"/>
      <c r="U536" s="115"/>
      <c r="V536" s="114"/>
      <c r="W536" s="114"/>
      <c r="X536" s="114"/>
      <c r="Y536" s="114"/>
      <c r="Z536" s="114"/>
      <c r="AA536" s="114"/>
      <c r="AB536" s="114"/>
      <c r="AC536" s="114"/>
      <c r="AD536" s="114"/>
      <c r="AE536" s="114"/>
      <c r="AF536" s="114"/>
      <c r="AG536" s="114"/>
      <c r="AH536" s="114"/>
      <c r="AI536" s="114"/>
      <c r="AJ536" s="115"/>
    </row>
    <row r="537" spans="1:36" ht="15.75" customHeight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5"/>
      <c r="M537" s="115"/>
      <c r="N537" s="116"/>
      <c r="O537" s="116"/>
      <c r="P537" s="114"/>
      <c r="Q537" s="114"/>
      <c r="R537" s="114"/>
      <c r="S537" s="115"/>
      <c r="T537" s="114"/>
      <c r="U537" s="115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5"/>
    </row>
    <row r="538" spans="1:36" ht="15.75" customHeight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5"/>
      <c r="M538" s="115"/>
      <c r="N538" s="116"/>
      <c r="O538" s="116"/>
      <c r="P538" s="114"/>
      <c r="Q538" s="114"/>
      <c r="R538" s="114"/>
      <c r="S538" s="115"/>
      <c r="T538" s="114"/>
      <c r="U538" s="115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5"/>
    </row>
    <row r="539" spans="1:36" ht="15.75" customHeight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5"/>
      <c r="M539" s="115"/>
      <c r="N539" s="116"/>
      <c r="O539" s="116"/>
      <c r="P539" s="114"/>
      <c r="Q539" s="114"/>
      <c r="R539" s="114"/>
      <c r="S539" s="115"/>
      <c r="T539" s="114"/>
      <c r="U539" s="115"/>
      <c r="V539" s="114"/>
      <c r="W539" s="114"/>
      <c r="X539" s="114"/>
      <c r="Y539" s="114"/>
      <c r="Z539" s="114"/>
      <c r="AA539" s="114"/>
      <c r="AB539" s="114"/>
      <c r="AC539" s="114"/>
      <c r="AD539" s="114"/>
      <c r="AE539" s="114"/>
      <c r="AF539" s="114"/>
      <c r="AG539" s="114"/>
      <c r="AH539" s="114"/>
      <c r="AI539" s="114"/>
      <c r="AJ539" s="115"/>
    </row>
    <row r="540" spans="1:36" ht="15.75" customHeight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5"/>
      <c r="M540" s="115"/>
      <c r="N540" s="116"/>
      <c r="O540" s="116"/>
      <c r="P540" s="114"/>
      <c r="Q540" s="114"/>
      <c r="R540" s="114"/>
      <c r="S540" s="115"/>
      <c r="T540" s="114"/>
      <c r="U540" s="115"/>
      <c r="V540" s="114"/>
      <c r="W540" s="114"/>
      <c r="X540" s="114"/>
      <c r="Y540" s="114"/>
      <c r="Z540" s="114"/>
      <c r="AA540" s="114"/>
      <c r="AB540" s="114"/>
      <c r="AC540" s="114"/>
      <c r="AD540" s="114"/>
      <c r="AE540" s="114"/>
      <c r="AF540" s="114"/>
      <c r="AG540" s="114"/>
      <c r="AH540" s="114"/>
      <c r="AI540" s="114"/>
      <c r="AJ540" s="115"/>
    </row>
    <row r="541" spans="1:36" ht="15.75" customHeight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5"/>
      <c r="M541" s="115"/>
      <c r="N541" s="116"/>
      <c r="O541" s="116"/>
      <c r="P541" s="114"/>
      <c r="Q541" s="114"/>
      <c r="R541" s="114"/>
      <c r="S541" s="115"/>
      <c r="T541" s="114"/>
      <c r="U541" s="115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5"/>
    </row>
    <row r="542" spans="1:36" ht="15.75" customHeight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5"/>
      <c r="M542" s="115"/>
      <c r="N542" s="116"/>
      <c r="O542" s="116"/>
      <c r="P542" s="114"/>
      <c r="Q542" s="114"/>
      <c r="R542" s="114"/>
      <c r="S542" s="115"/>
      <c r="T542" s="114"/>
      <c r="U542" s="115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5"/>
    </row>
    <row r="543" spans="1:36" ht="15.75" customHeight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5"/>
      <c r="M543" s="115"/>
      <c r="N543" s="116"/>
      <c r="O543" s="116"/>
      <c r="P543" s="114"/>
      <c r="Q543" s="114"/>
      <c r="R543" s="114"/>
      <c r="S543" s="115"/>
      <c r="T543" s="114"/>
      <c r="U543" s="115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114"/>
      <c r="AF543" s="114"/>
      <c r="AG543" s="114"/>
      <c r="AH543" s="114"/>
      <c r="AI543" s="114"/>
      <c r="AJ543" s="115"/>
    </row>
    <row r="544" spans="1:36" ht="15.75" customHeight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5"/>
      <c r="M544" s="115"/>
      <c r="N544" s="116"/>
      <c r="O544" s="116"/>
      <c r="P544" s="114"/>
      <c r="Q544" s="114"/>
      <c r="R544" s="114"/>
      <c r="S544" s="115"/>
      <c r="T544" s="114"/>
      <c r="U544" s="115"/>
      <c r="V544" s="114"/>
      <c r="W544" s="114"/>
      <c r="X544" s="114"/>
      <c r="Y544" s="114"/>
      <c r="Z544" s="114"/>
      <c r="AA544" s="114"/>
      <c r="AB544" s="114"/>
      <c r="AC544" s="114"/>
      <c r="AD544" s="114"/>
      <c r="AE544" s="114"/>
      <c r="AF544" s="114"/>
      <c r="AG544" s="114"/>
      <c r="AH544" s="114"/>
      <c r="AI544" s="114"/>
      <c r="AJ544" s="115"/>
    </row>
    <row r="545" spans="1:36" ht="15.75" customHeight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5"/>
      <c r="M545" s="115"/>
      <c r="N545" s="116"/>
      <c r="O545" s="116"/>
      <c r="P545" s="114"/>
      <c r="Q545" s="114"/>
      <c r="R545" s="114"/>
      <c r="S545" s="115"/>
      <c r="T545" s="114"/>
      <c r="U545" s="115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5"/>
    </row>
    <row r="546" spans="1:36" ht="15.75" customHeight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5"/>
      <c r="M546" s="115"/>
      <c r="N546" s="116"/>
      <c r="O546" s="116"/>
      <c r="P546" s="114"/>
      <c r="Q546" s="114"/>
      <c r="R546" s="114"/>
      <c r="S546" s="115"/>
      <c r="T546" s="114"/>
      <c r="U546" s="115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5"/>
    </row>
    <row r="547" spans="1:36" ht="15.75" customHeight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5"/>
      <c r="M547" s="115"/>
      <c r="N547" s="116"/>
      <c r="O547" s="116"/>
      <c r="P547" s="114"/>
      <c r="Q547" s="114"/>
      <c r="R547" s="114"/>
      <c r="S547" s="115"/>
      <c r="T547" s="114"/>
      <c r="U547" s="115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114"/>
      <c r="AF547" s="114"/>
      <c r="AG547" s="114"/>
      <c r="AH547" s="114"/>
      <c r="AI547" s="114"/>
      <c r="AJ547" s="115"/>
    </row>
    <row r="548" spans="1:36" ht="15.75" customHeight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5"/>
      <c r="M548" s="115"/>
      <c r="N548" s="116"/>
      <c r="O548" s="116"/>
      <c r="P548" s="114"/>
      <c r="Q548" s="114"/>
      <c r="R548" s="114"/>
      <c r="S548" s="115"/>
      <c r="T548" s="114"/>
      <c r="U548" s="115"/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114"/>
      <c r="AF548" s="114"/>
      <c r="AG548" s="114"/>
      <c r="AH548" s="114"/>
      <c r="AI548" s="114"/>
      <c r="AJ548" s="115"/>
    </row>
    <row r="549" spans="1:36" ht="15.75" customHeight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5"/>
      <c r="M549" s="115"/>
      <c r="N549" s="116"/>
      <c r="O549" s="116"/>
      <c r="P549" s="114"/>
      <c r="Q549" s="114"/>
      <c r="R549" s="114"/>
      <c r="S549" s="115"/>
      <c r="T549" s="114"/>
      <c r="U549" s="115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5"/>
    </row>
    <row r="550" spans="1:36" ht="15.75" customHeight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5"/>
      <c r="M550" s="115"/>
      <c r="N550" s="116"/>
      <c r="O550" s="116"/>
      <c r="P550" s="114"/>
      <c r="Q550" s="114"/>
      <c r="R550" s="114"/>
      <c r="S550" s="115"/>
      <c r="T550" s="114"/>
      <c r="U550" s="115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5"/>
    </row>
    <row r="551" spans="1:36" ht="15.75" customHeight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5"/>
      <c r="M551" s="115"/>
      <c r="N551" s="116"/>
      <c r="O551" s="116"/>
      <c r="P551" s="114"/>
      <c r="Q551" s="114"/>
      <c r="R551" s="114"/>
      <c r="S551" s="115"/>
      <c r="T551" s="114"/>
      <c r="U551" s="115"/>
      <c r="V551" s="114"/>
      <c r="W551" s="114"/>
      <c r="X551" s="114"/>
      <c r="Y551" s="114"/>
      <c r="Z551" s="114"/>
      <c r="AA551" s="114"/>
      <c r="AB551" s="114"/>
      <c r="AC551" s="114"/>
      <c r="AD551" s="114"/>
      <c r="AE551" s="114"/>
      <c r="AF551" s="114"/>
      <c r="AG551" s="114"/>
      <c r="AH551" s="114"/>
      <c r="AI551" s="114"/>
      <c r="AJ551" s="115"/>
    </row>
    <row r="552" spans="1:36" ht="15.75" customHeight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5"/>
      <c r="M552" s="115"/>
      <c r="N552" s="116"/>
      <c r="O552" s="116"/>
      <c r="P552" s="114"/>
      <c r="Q552" s="114"/>
      <c r="R552" s="114"/>
      <c r="S552" s="115"/>
      <c r="T552" s="114"/>
      <c r="U552" s="115"/>
      <c r="V552" s="114"/>
      <c r="W552" s="114"/>
      <c r="X552" s="114"/>
      <c r="Y552" s="114"/>
      <c r="Z552" s="114"/>
      <c r="AA552" s="114"/>
      <c r="AB552" s="114"/>
      <c r="AC552" s="114"/>
      <c r="AD552" s="114"/>
      <c r="AE552" s="114"/>
      <c r="AF552" s="114"/>
      <c r="AG552" s="114"/>
      <c r="AH552" s="114"/>
      <c r="AI552" s="114"/>
      <c r="AJ552" s="115"/>
    </row>
    <row r="553" spans="1:36" ht="15.75" customHeight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5"/>
      <c r="M553" s="115"/>
      <c r="N553" s="116"/>
      <c r="O553" s="116"/>
      <c r="P553" s="114"/>
      <c r="Q553" s="114"/>
      <c r="R553" s="114"/>
      <c r="S553" s="115"/>
      <c r="T553" s="114"/>
      <c r="U553" s="115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5"/>
    </row>
    <row r="554" spans="1:36" ht="15.75" customHeight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5"/>
      <c r="M554" s="115"/>
      <c r="N554" s="116"/>
      <c r="O554" s="116"/>
      <c r="P554" s="114"/>
      <c r="Q554" s="114"/>
      <c r="R554" s="114"/>
      <c r="S554" s="115"/>
      <c r="T554" s="114"/>
      <c r="U554" s="115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5"/>
    </row>
    <row r="555" spans="1:36" ht="15.75" customHeight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5"/>
      <c r="M555" s="115"/>
      <c r="N555" s="116"/>
      <c r="O555" s="116"/>
      <c r="P555" s="114"/>
      <c r="Q555" s="114"/>
      <c r="R555" s="114"/>
      <c r="S555" s="115"/>
      <c r="T555" s="114"/>
      <c r="U555" s="115"/>
      <c r="V555" s="114"/>
      <c r="W555" s="114"/>
      <c r="X555" s="114"/>
      <c r="Y555" s="114"/>
      <c r="Z555" s="114"/>
      <c r="AA555" s="114"/>
      <c r="AB555" s="114"/>
      <c r="AC555" s="114"/>
      <c r="AD555" s="114"/>
      <c r="AE555" s="114"/>
      <c r="AF555" s="114"/>
      <c r="AG555" s="114"/>
      <c r="AH555" s="114"/>
      <c r="AI555" s="114"/>
      <c r="AJ555" s="115"/>
    </row>
    <row r="556" spans="1:36" ht="15.75" customHeight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5"/>
      <c r="M556" s="115"/>
      <c r="N556" s="116"/>
      <c r="O556" s="116"/>
      <c r="P556" s="114"/>
      <c r="Q556" s="114"/>
      <c r="R556" s="114"/>
      <c r="S556" s="115"/>
      <c r="T556" s="114"/>
      <c r="U556" s="115"/>
      <c r="V556" s="114"/>
      <c r="W556" s="114"/>
      <c r="X556" s="114"/>
      <c r="Y556" s="114"/>
      <c r="Z556" s="114"/>
      <c r="AA556" s="114"/>
      <c r="AB556" s="114"/>
      <c r="AC556" s="114"/>
      <c r="AD556" s="114"/>
      <c r="AE556" s="114"/>
      <c r="AF556" s="114"/>
      <c r="AG556" s="114"/>
      <c r="AH556" s="114"/>
      <c r="AI556" s="114"/>
      <c r="AJ556" s="115"/>
    </row>
    <row r="557" spans="1:36" ht="15.75" customHeight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5"/>
      <c r="M557" s="115"/>
      <c r="N557" s="116"/>
      <c r="O557" s="116"/>
      <c r="P557" s="114"/>
      <c r="Q557" s="114"/>
      <c r="R557" s="114"/>
      <c r="S557" s="115"/>
      <c r="T557" s="114"/>
      <c r="U557" s="115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5"/>
    </row>
    <row r="558" spans="1:36" ht="15.75" customHeight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5"/>
      <c r="M558" s="115"/>
      <c r="N558" s="116"/>
      <c r="O558" s="116"/>
      <c r="P558" s="114"/>
      <c r="Q558" s="114"/>
      <c r="R558" s="114"/>
      <c r="S558" s="115"/>
      <c r="T558" s="114"/>
      <c r="U558" s="115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5"/>
    </row>
    <row r="559" spans="1:36" ht="15.75" customHeight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5"/>
      <c r="M559" s="115"/>
      <c r="N559" s="116"/>
      <c r="O559" s="116"/>
      <c r="P559" s="114"/>
      <c r="Q559" s="114"/>
      <c r="R559" s="114"/>
      <c r="S559" s="115"/>
      <c r="T559" s="114"/>
      <c r="U559" s="115"/>
      <c r="V559" s="114"/>
      <c r="W559" s="114"/>
      <c r="X559" s="114"/>
      <c r="Y559" s="114"/>
      <c r="Z559" s="114"/>
      <c r="AA559" s="114"/>
      <c r="AB559" s="114"/>
      <c r="AC559" s="114"/>
      <c r="AD559" s="114"/>
      <c r="AE559" s="114"/>
      <c r="AF559" s="114"/>
      <c r="AG559" s="114"/>
      <c r="AH559" s="114"/>
      <c r="AI559" s="114"/>
      <c r="AJ559" s="115"/>
    </row>
    <row r="560" spans="1:36" ht="15.75" customHeight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5"/>
      <c r="M560" s="115"/>
      <c r="N560" s="116"/>
      <c r="O560" s="116"/>
      <c r="P560" s="114"/>
      <c r="Q560" s="114"/>
      <c r="R560" s="114"/>
      <c r="S560" s="115"/>
      <c r="T560" s="114"/>
      <c r="U560" s="115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5"/>
    </row>
    <row r="561" spans="1:36" ht="15.75" customHeight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5"/>
      <c r="M561" s="115"/>
      <c r="N561" s="116"/>
      <c r="O561" s="116"/>
      <c r="P561" s="114"/>
      <c r="Q561" s="114"/>
      <c r="R561" s="114"/>
      <c r="S561" s="115"/>
      <c r="T561" s="114"/>
      <c r="U561" s="115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114"/>
      <c r="AF561" s="114"/>
      <c r="AG561" s="114"/>
      <c r="AH561" s="114"/>
      <c r="AI561" s="114"/>
      <c r="AJ561" s="115"/>
    </row>
    <row r="562" spans="1:36" ht="15.75" customHeight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5"/>
      <c r="M562" s="115"/>
      <c r="N562" s="116"/>
      <c r="O562" s="116"/>
      <c r="P562" s="114"/>
      <c r="Q562" s="114"/>
      <c r="R562" s="114"/>
      <c r="S562" s="115"/>
      <c r="T562" s="114"/>
      <c r="U562" s="115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4"/>
      <c r="AJ562" s="115"/>
    </row>
    <row r="563" spans="1:36" ht="15.75" customHeight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5"/>
      <c r="M563" s="115"/>
      <c r="N563" s="116"/>
      <c r="O563" s="116"/>
      <c r="P563" s="114"/>
      <c r="Q563" s="114"/>
      <c r="R563" s="114"/>
      <c r="S563" s="115"/>
      <c r="T563" s="114"/>
      <c r="U563" s="115"/>
      <c r="V563" s="114"/>
      <c r="W563" s="114"/>
      <c r="X563" s="114"/>
      <c r="Y563" s="114"/>
      <c r="Z563" s="114"/>
      <c r="AA563" s="114"/>
      <c r="AB563" s="114"/>
      <c r="AC563" s="114"/>
      <c r="AD563" s="114"/>
      <c r="AE563" s="114"/>
      <c r="AF563" s="114"/>
      <c r="AG563" s="114"/>
      <c r="AH563" s="114"/>
      <c r="AI563" s="114"/>
      <c r="AJ563" s="115"/>
    </row>
    <row r="564" spans="1:36" ht="15.75" customHeight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5"/>
      <c r="M564" s="115"/>
      <c r="N564" s="116"/>
      <c r="O564" s="116"/>
      <c r="P564" s="114"/>
      <c r="Q564" s="114"/>
      <c r="R564" s="114"/>
      <c r="S564" s="115"/>
      <c r="T564" s="114"/>
      <c r="U564" s="115"/>
      <c r="V564" s="114"/>
      <c r="W564" s="114"/>
      <c r="X564" s="114"/>
      <c r="Y564" s="114"/>
      <c r="Z564" s="114"/>
      <c r="AA564" s="114"/>
      <c r="AB564" s="114"/>
      <c r="AC564" s="114"/>
      <c r="AD564" s="114"/>
      <c r="AE564" s="114"/>
      <c r="AF564" s="114"/>
      <c r="AG564" s="114"/>
      <c r="AH564" s="114"/>
      <c r="AI564" s="114"/>
      <c r="AJ564" s="115"/>
    </row>
    <row r="565" spans="1:36" ht="15.75" customHeight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5"/>
      <c r="M565" s="115"/>
      <c r="N565" s="116"/>
      <c r="O565" s="116"/>
      <c r="P565" s="114"/>
      <c r="Q565" s="114"/>
      <c r="R565" s="114"/>
      <c r="S565" s="115"/>
      <c r="T565" s="114"/>
      <c r="U565" s="115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114"/>
      <c r="AJ565" s="115"/>
    </row>
    <row r="566" spans="1:36" ht="15.75" customHeight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5"/>
      <c r="M566" s="115"/>
      <c r="N566" s="116"/>
      <c r="O566" s="116"/>
      <c r="P566" s="114"/>
      <c r="Q566" s="114"/>
      <c r="R566" s="114"/>
      <c r="S566" s="115"/>
      <c r="T566" s="114"/>
      <c r="U566" s="115"/>
      <c r="V566" s="114"/>
      <c r="W566" s="114"/>
      <c r="X566" s="114"/>
      <c r="Y566" s="114"/>
      <c r="Z566" s="114"/>
      <c r="AA566" s="114"/>
      <c r="AB566" s="114"/>
      <c r="AC566" s="114"/>
      <c r="AD566" s="114"/>
      <c r="AE566" s="114"/>
      <c r="AF566" s="114"/>
      <c r="AG566" s="114"/>
      <c r="AH566" s="114"/>
      <c r="AI566" s="114"/>
      <c r="AJ566" s="115"/>
    </row>
    <row r="567" spans="1:36" ht="15.75" customHeight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5"/>
      <c r="M567" s="115"/>
      <c r="N567" s="116"/>
      <c r="O567" s="116"/>
      <c r="P567" s="114"/>
      <c r="Q567" s="114"/>
      <c r="R567" s="114"/>
      <c r="S567" s="115"/>
      <c r="T567" s="114"/>
      <c r="U567" s="115"/>
      <c r="V567" s="114"/>
      <c r="W567" s="114"/>
      <c r="X567" s="114"/>
      <c r="Y567" s="114"/>
      <c r="Z567" s="114"/>
      <c r="AA567" s="114"/>
      <c r="AB567" s="114"/>
      <c r="AC567" s="114"/>
      <c r="AD567" s="114"/>
      <c r="AE567" s="114"/>
      <c r="AF567" s="114"/>
      <c r="AG567" s="114"/>
      <c r="AH567" s="114"/>
      <c r="AI567" s="114"/>
      <c r="AJ567" s="115"/>
    </row>
    <row r="568" spans="1:36" ht="15.75" customHeight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5"/>
      <c r="M568" s="115"/>
      <c r="N568" s="116"/>
      <c r="O568" s="116"/>
      <c r="P568" s="114"/>
      <c r="Q568" s="114"/>
      <c r="R568" s="114"/>
      <c r="S568" s="115"/>
      <c r="T568" s="114"/>
      <c r="U568" s="115"/>
      <c r="V568" s="114"/>
      <c r="W568" s="114"/>
      <c r="X568" s="114"/>
      <c r="Y568" s="114"/>
      <c r="Z568" s="114"/>
      <c r="AA568" s="114"/>
      <c r="AB568" s="114"/>
      <c r="AC568" s="114"/>
      <c r="AD568" s="114"/>
      <c r="AE568" s="114"/>
      <c r="AF568" s="114"/>
      <c r="AG568" s="114"/>
      <c r="AH568" s="114"/>
      <c r="AI568" s="114"/>
      <c r="AJ568" s="115"/>
    </row>
    <row r="569" spans="1:36" ht="15.75" customHeight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5"/>
      <c r="M569" s="115"/>
      <c r="N569" s="116"/>
      <c r="O569" s="116"/>
      <c r="P569" s="114"/>
      <c r="Q569" s="114"/>
      <c r="R569" s="114"/>
      <c r="S569" s="115"/>
      <c r="T569" s="114"/>
      <c r="U569" s="115"/>
      <c r="V569" s="114"/>
      <c r="W569" s="114"/>
      <c r="X569" s="114"/>
      <c r="Y569" s="114"/>
      <c r="Z569" s="114"/>
      <c r="AA569" s="114"/>
      <c r="AB569" s="114"/>
      <c r="AC569" s="114"/>
      <c r="AD569" s="114"/>
      <c r="AE569" s="114"/>
      <c r="AF569" s="114"/>
      <c r="AG569" s="114"/>
      <c r="AH569" s="114"/>
      <c r="AI569" s="114"/>
      <c r="AJ569" s="115"/>
    </row>
    <row r="570" spans="1:36" ht="15.75" customHeight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5"/>
      <c r="M570" s="115"/>
      <c r="N570" s="116"/>
      <c r="O570" s="116"/>
      <c r="P570" s="114"/>
      <c r="Q570" s="114"/>
      <c r="R570" s="114"/>
      <c r="S570" s="115"/>
      <c r="T570" s="114"/>
      <c r="U570" s="115"/>
      <c r="V570" s="114"/>
      <c r="W570" s="114"/>
      <c r="X570" s="114"/>
      <c r="Y570" s="114"/>
      <c r="Z570" s="114"/>
      <c r="AA570" s="114"/>
      <c r="AB570" s="114"/>
      <c r="AC570" s="114"/>
      <c r="AD570" s="114"/>
      <c r="AE570" s="114"/>
      <c r="AF570" s="114"/>
      <c r="AG570" s="114"/>
      <c r="AH570" s="114"/>
      <c r="AI570" s="114"/>
      <c r="AJ570" s="115"/>
    </row>
    <row r="571" spans="1:36" ht="15.75" customHeight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5"/>
      <c r="M571" s="115"/>
      <c r="N571" s="116"/>
      <c r="O571" s="116"/>
      <c r="P571" s="114"/>
      <c r="Q571" s="114"/>
      <c r="R571" s="114"/>
      <c r="S571" s="115"/>
      <c r="T571" s="114"/>
      <c r="U571" s="115"/>
      <c r="V571" s="114"/>
      <c r="W571" s="114"/>
      <c r="X571" s="114"/>
      <c r="Y571" s="114"/>
      <c r="Z571" s="114"/>
      <c r="AA571" s="114"/>
      <c r="AB571" s="114"/>
      <c r="AC571" s="114"/>
      <c r="AD571" s="114"/>
      <c r="AE571" s="114"/>
      <c r="AF571" s="114"/>
      <c r="AG571" s="114"/>
      <c r="AH571" s="114"/>
      <c r="AI571" s="114"/>
      <c r="AJ571" s="115"/>
    </row>
    <row r="572" spans="1:36" ht="15.75" customHeight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5"/>
      <c r="M572" s="115"/>
      <c r="N572" s="116"/>
      <c r="O572" s="116"/>
      <c r="P572" s="114"/>
      <c r="Q572" s="114"/>
      <c r="R572" s="114"/>
      <c r="S572" s="115"/>
      <c r="T572" s="114"/>
      <c r="U572" s="115"/>
      <c r="V572" s="114"/>
      <c r="W572" s="114"/>
      <c r="X572" s="114"/>
      <c r="Y572" s="114"/>
      <c r="Z572" s="114"/>
      <c r="AA572" s="114"/>
      <c r="AB572" s="114"/>
      <c r="AC572" s="114"/>
      <c r="AD572" s="114"/>
      <c r="AE572" s="114"/>
      <c r="AF572" s="114"/>
      <c r="AG572" s="114"/>
      <c r="AH572" s="114"/>
      <c r="AI572" s="114"/>
      <c r="AJ572" s="115"/>
    </row>
    <row r="573" spans="1:36" ht="15.75" customHeight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5"/>
      <c r="M573" s="115"/>
      <c r="N573" s="116"/>
      <c r="O573" s="116"/>
      <c r="P573" s="114"/>
      <c r="Q573" s="114"/>
      <c r="R573" s="114"/>
      <c r="S573" s="115"/>
      <c r="T573" s="114"/>
      <c r="U573" s="115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/>
      <c r="AJ573" s="115"/>
    </row>
    <row r="574" spans="1:36" ht="15.75" customHeight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5"/>
      <c r="M574" s="115"/>
      <c r="N574" s="116"/>
      <c r="O574" s="116"/>
      <c r="P574" s="114"/>
      <c r="Q574" s="114"/>
      <c r="R574" s="114"/>
      <c r="S574" s="115"/>
      <c r="T574" s="114"/>
      <c r="U574" s="115"/>
      <c r="V574" s="114"/>
      <c r="W574" s="114"/>
      <c r="X574" s="114"/>
      <c r="Y574" s="114"/>
      <c r="Z574" s="114"/>
      <c r="AA574" s="114"/>
      <c r="AB574" s="114"/>
      <c r="AC574" s="114"/>
      <c r="AD574" s="114"/>
      <c r="AE574" s="114"/>
      <c r="AF574" s="114"/>
      <c r="AG574" s="114"/>
      <c r="AH574" s="114"/>
      <c r="AI574" s="114"/>
      <c r="AJ574" s="115"/>
    </row>
    <row r="575" spans="1:36" ht="15.75" customHeight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5"/>
      <c r="M575" s="115"/>
      <c r="N575" s="116"/>
      <c r="O575" s="116"/>
      <c r="P575" s="114"/>
      <c r="Q575" s="114"/>
      <c r="R575" s="114"/>
      <c r="S575" s="115"/>
      <c r="T575" s="114"/>
      <c r="U575" s="115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5"/>
    </row>
    <row r="576" spans="1:36" ht="15.75" customHeight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5"/>
      <c r="M576" s="115"/>
      <c r="N576" s="116"/>
      <c r="O576" s="116"/>
      <c r="P576" s="114"/>
      <c r="Q576" s="114"/>
      <c r="R576" s="114"/>
      <c r="S576" s="115"/>
      <c r="T576" s="114"/>
      <c r="U576" s="115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5"/>
    </row>
    <row r="577" spans="1:36" ht="15.75" customHeight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5"/>
      <c r="M577" s="115"/>
      <c r="N577" s="116"/>
      <c r="O577" s="116"/>
      <c r="P577" s="114"/>
      <c r="Q577" s="114"/>
      <c r="R577" s="114"/>
      <c r="S577" s="115"/>
      <c r="T577" s="114"/>
      <c r="U577" s="115"/>
      <c r="V577" s="114"/>
      <c r="W577" s="114"/>
      <c r="X577" s="114"/>
      <c r="Y577" s="114"/>
      <c r="Z577" s="114"/>
      <c r="AA577" s="114"/>
      <c r="AB577" s="114"/>
      <c r="AC577" s="114"/>
      <c r="AD577" s="114"/>
      <c r="AE577" s="114"/>
      <c r="AF577" s="114"/>
      <c r="AG577" s="114"/>
      <c r="AH577" s="114"/>
      <c r="AI577" s="114"/>
      <c r="AJ577" s="115"/>
    </row>
    <row r="578" spans="1:36" ht="15.75" customHeight="1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5"/>
      <c r="M578" s="115"/>
      <c r="N578" s="116"/>
      <c r="O578" s="116"/>
      <c r="P578" s="114"/>
      <c r="Q578" s="114"/>
      <c r="R578" s="114"/>
      <c r="S578" s="115"/>
      <c r="T578" s="114"/>
      <c r="U578" s="115"/>
      <c r="V578" s="114"/>
      <c r="W578" s="114"/>
      <c r="X578" s="114"/>
      <c r="Y578" s="114"/>
      <c r="Z578" s="114"/>
      <c r="AA578" s="114"/>
      <c r="AB578" s="114"/>
      <c r="AC578" s="114"/>
      <c r="AD578" s="114"/>
      <c r="AE578" s="114"/>
      <c r="AF578" s="114"/>
      <c r="AG578" s="114"/>
      <c r="AH578" s="114"/>
      <c r="AI578" s="114"/>
      <c r="AJ578" s="115"/>
    </row>
    <row r="579" spans="1:36" ht="15.75" customHeight="1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5"/>
      <c r="M579" s="115"/>
      <c r="N579" s="116"/>
      <c r="O579" s="116"/>
      <c r="P579" s="114"/>
      <c r="Q579" s="114"/>
      <c r="R579" s="114"/>
      <c r="S579" s="115"/>
      <c r="T579" s="114"/>
      <c r="U579" s="115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5"/>
    </row>
    <row r="580" spans="1:36" ht="15.75" customHeight="1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5"/>
      <c r="M580" s="115"/>
      <c r="N580" s="116"/>
      <c r="O580" s="116"/>
      <c r="P580" s="114"/>
      <c r="Q580" s="114"/>
      <c r="R580" s="114"/>
      <c r="S580" s="115"/>
      <c r="T580" s="114"/>
      <c r="U580" s="115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5"/>
    </row>
    <row r="581" spans="1:36" ht="15.75" customHeight="1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5"/>
      <c r="M581" s="115"/>
      <c r="N581" s="116"/>
      <c r="O581" s="116"/>
      <c r="P581" s="114"/>
      <c r="Q581" s="114"/>
      <c r="R581" s="114"/>
      <c r="S581" s="115"/>
      <c r="T581" s="114"/>
      <c r="U581" s="115"/>
      <c r="V581" s="114"/>
      <c r="W581" s="114"/>
      <c r="X581" s="114"/>
      <c r="Y581" s="114"/>
      <c r="Z581" s="114"/>
      <c r="AA581" s="114"/>
      <c r="AB581" s="114"/>
      <c r="AC581" s="114"/>
      <c r="AD581" s="114"/>
      <c r="AE581" s="114"/>
      <c r="AF581" s="114"/>
      <c r="AG581" s="114"/>
      <c r="AH581" s="114"/>
      <c r="AI581" s="114"/>
      <c r="AJ581" s="115"/>
    </row>
    <row r="582" spans="1:36" ht="15.75" customHeight="1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5"/>
      <c r="M582" s="115"/>
      <c r="N582" s="116"/>
      <c r="O582" s="116"/>
      <c r="P582" s="114"/>
      <c r="Q582" s="114"/>
      <c r="R582" s="114"/>
      <c r="S582" s="115"/>
      <c r="T582" s="114"/>
      <c r="U582" s="115"/>
      <c r="V582" s="114"/>
      <c r="W582" s="114"/>
      <c r="X582" s="114"/>
      <c r="Y582" s="114"/>
      <c r="Z582" s="114"/>
      <c r="AA582" s="114"/>
      <c r="AB582" s="114"/>
      <c r="AC582" s="114"/>
      <c r="AD582" s="114"/>
      <c r="AE582" s="114"/>
      <c r="AF582" s="114"/>
      <c r="AG582" s="114"/>
      <c r="AH582" s="114"/>
      <c r="AI582" s="114"/>
      <c r="AJ582" s="115"/>
    </row>
    <row r="583" spans="1:36" ht="15.75" customHeight="1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5"/>
      <c r="M583" s="115"/>
      <c r="N583" s="116"/>
      <c r="O583" s="116"/>
      <c r="P583" s="114"/>
      <c r="Q583" s="114"/>
      <c r="R583" s="114"/>
      <c r="S583" s="115"/>
      <c r="T583" s="114"/>
      <c r="U583" s="115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5"/>
    </row>
    <row r="584" spans="1:36" ht="15.75" customHeight="1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5"/>
      <c r="M584" s="115"/>
      <c r="N584" s="116"/>
      <c r="O584" s="116"/>
      <c r="P584" s="114"/>
      <c r="Q584" s="114"/>
      <c r="R584" s="114"/>
      <c r="S584" s="115"/>
      <c r="T584" s="114"/>
      <c r="U584" s="115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5"/>
    </row>
    <row r="585" spans="1:36" ht="15.75" customHeight="1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5"/>
      <c r="M585" s="115"/>
      <c r="N585" s="116"/>
      <c r="O585" s="116"/>
      <c r="P585" s="114"/>
      <c r="Q585" s="114"/>
      <c r="R585" s="114"/>
      <c r="S585" s="115"/>
      <c r="T585" s="114"/>
      <c r="U585" s="115"/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114"/>
      <c r="AF585" s="114"/>
      <c r="AG585" s="114"/>
      <c r="AH585" s="114"/>
      <c r="AI585" s="114"/>
      <c r="AJ585" s="115"/>
    </row>
    <row r="586" spans="1:36" ht="15.75" customHeight="1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5"/>
      <c r="M586" s="115"/>
      <c r="N586" s="116"/>
      <c r="O586" s="116"/>
      <c r="P586" s="114"/>
      <c r="Q586" s="114"/>
      <c r="R586" s="114"/>
      <c r="S586" s="115"/>
      <c r="T586" s="114"/>
      <c r="U586" s="115"/>
      <c r="V586" s="114"/>
      <c r="W586" s="114"/>
      <c r="X586" s="114"/>
      <c r="Y586" s="114"/>
      <c r="Z586" s="114"/>
      <c r="AA586" s="114"/>
      <c r="AB586" s="114"/>
      <c r="AC586" s="114"/>
      <c r="AD586" s="114"/>
      <c r="AE586" s="114"/>
      <c r="AF586" s="114"/>
      <c r="AG586" s="114"/>
      <c r="AH586" s="114"/>
      <c r="AI586" s="114"/>
      <c r="AJ586" s="115"/>
    </row>
    <row r="587" spans="1:36" ht="15.75" customHeight="1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5"/>
      <c r="M587" s="115"/>
      <c r="N587" s="116"/>
      <c r="O587" s="116"/>
      <c r="P587" s="114"/>
      <c r="Q587" s="114"/>
      <c r="R587" s="114"/>
      <c r="S587" s="115"/>
      <c r="T587" s="114"/>
      <c r="U587" s="115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5"/>
    </row>
    <row r="588" spans="1:36" ht="15.75" customHeight="1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5"/>
      <c r="M588" s="115"/>
      <c r="N588" s="116"/>
      <c r="O588" s="116"/>
      <c r="P588" s="114"/>
      <c r="Q588" s="114"/>
      <c r="R588" s="114"/>
      <c r="S588" s="115"/>
      <c r="T588" s="114"/>
      <c r="U588" s="115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5"/>
    </row>
    <row r="589" spans="1:36" ht="15.75" customHeight="1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5"/>
      <c r="M589" s="115"/>
      <c r="N589" s="116"/>
      <c r="O589" s="116"/>
      <c r="P589" s="114"/>
      <c r="Q589" s="114"/>
      <c r="R589" s="114"/>
      <c r="S589" s="115"/>
      <c r="T589" s="114"/>
      <c r="U589" s="115"/>
      <c r="V589" s="114"/>
      <c r="W589" s="114"/>
      <c r="X589" s="114"/>
      <c r="Y589" s="114"/>
      <c r="Z589" s="114"/>
      <c r="AA589" s="114"/>
      <c r="AB589" s="114"/>
      <c r="AC589" s="114"/>
      <c r="AD589" s="114"/>
      <c r="AE589" s="114"/>
      <c r="AF589" s="114"/>
      <c r="AG589" s="114"/>
      <c r="AH589" s="114"/>
      <c r="AI589" s="114"/>
      <c r="AJ589" s="115"/>
    </row>
    <row r="590" spans="1:36" ht="15.75" customHeight="1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5"/>
      <c r="M590" s="115"/>
      <c r="N590" s="116"/>
      <c r="O590" s="116"/>
      <c r="P590" s="114"/>
      <c r="Q590" s="114"/>
      <c r="R590" s="114"/>
      <c r="S590" s="115"/>
      <c r="T590" s="114"/>
      <c r="U590" s="115"/>
      <c r="V590" s="114"/>
      <c r="W590" s="114"/>
      <c r="X590" s="114"/>
      <c r="Y590" s="114"/>
      <c r="Z590" s="114"/>
      <c r="AA590" s="114"/>
      <c r="AB590" s="114"/>
      <c r="AC590" s="114"/>
      <c r="AD590" s="114"/>
      <c r="AE590" s="114"/>
      <c r="AF590" s="114"/>
      <c r="AG590" s="114"/>
      <c r="AH590" s="114"/>
      <c r="AI590" s="114"/>
      <c r="AJ590" s="115"/>
    </row>
    <row r="591" spans="1:36" ht="15.75" customHeight="1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5"/>
      <c r="M591" s="115"/>
      <c r="N591" s="116"/>
      <c r="O591" s="116"/>
      <c r="P591" s="114"/>
      <c r="Q591" s="114"/>
      <c r="R591" s="114"/>
      <c r="S591" s="115"/>
      <c r="T591" s="114"/>
      <c r="U591" s="115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5"/>
    </row>
    <row r="592" spans="1:36" ht="15.75" customHeight="1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5"/>
      <c r="M592" s="115"/>
      <c r="N592" s="116"/>
      <c r="O592" s="116"/>
      <c r="P592" s="114"/>
      <c r="Q592" s="114"/>
      <c r="R592" s="114"/>
      <c r="S592" s="115"/>
      <c r="T592" s="114"/>
      <c r="U592" s="115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5"/>
    </row>
    <row r="593" spans="1:36" ht="15.75" customHeight="1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5"/>
      <c r="M593" s="115"/>
      <c r="N593" s="116"/>
      <c r="O593" s="116"/>
      <c r="P593" s="114"/>
      <c r="Q593" s="114"/>
      <c r="R593" s="114"/>
      <c r="S593" s="115"/>
      <c r="T593" s="114"/>
      <c r="U593" s="115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114"/>
      <c r="AF593" s="114"/>
      <c r="AG593" s="114"/>
      <c r="AH593" s="114"/>
      <c r="AI593" s="114"/>
      <c r="AJ593" s="115"/>
    </row>
    <row r="594" spans="1:36" ht="15.75" customHeight="1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5"/>
      <c r="M594" s="115"/>
      <c r="N594" s="116"/>
      <c r="O594" s="116"/>
      <c r="P594" s="114"/>
      <c r="Q594" s="114"/>
      <c r="R594" s="114"/>
      <c r="S594" s="115"/>
      <c r="T594" s="114"/>
      <c r="U594" s="115"/>
      <c r="V594" s="114"/>
      <c r="W594" s="114"/>
      <c r="X594" s="114"/>
      <c r="Y594" s="114"/>
      <c r="Z594" s="114"/>
      <c r="AA594" s="114"/>
      <c r="AB594" s="114"/>
      <c r="AC594" s="114"/>
      <c r="AD594" s="114"/>
      <c r="AE594" s="114"/>
      <c r="AF594" s="114"/>
      <c r="AG594" s="114"/>
      <c r="AH594" s="114"/>
      <c r="AI594" s="114"/>
      <c r="AJ594" s="115"/>
    </row>
    <row r="595" spans="1:36" ht="15.75" customHeight="1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5"/>
      <c r="M595" s="115"/>
      <c r="N595" s="116"/>
      <c r="O595" s="116"/>
      <c r="P595" s="114"/>
      <c r="Q595" s="114"/>
      <c r="R595" s="114"/>
      <c r="S595" s="115"/>
      <c r="T595" s="114"/>
      <c r="U595" s="115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5"/>
    </row>
    <row r="596" spans="1:36" ht="15.75" customHeight="1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5"/>
      <c r="M596" s="115"/>
      <c r="N596" s="116"/>
      <c r="O596" s="116"/>
      <c r="P596" s="114"/>
      <c r="Q596" s="114"/>
      <c r="R596" s="114"/>
      <c r="S596" s="115"/>
      <c r="T596" s="114"/>
      <c r="U596" s="115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5"/>
    </row>
    <row r="597" spans="1:36" ht="15.75" customHeight="1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5"/>
      <c r="M597" s="115"/>
      <c r="N597" s="116"/>
      <c r="O597" s="116"/>
      <c r="P597" s="114"/>
      <c r="Q597" s="114"/>
      <c r="R597" s="114"/>
      <c r="S597" s="115"/>
      <c r="T597" s="114"/>
      <c r="U597" s="115"/>
      <c r="V597" s="114"/>
      <c r="W597" s="114"/>
      <c r="X597" s="114"/>
      <c r="Y597" s="114"/>
      <c r="Z597" s="114"/>
      <c r="AA597" s="114"/>
      <c r="AB597" s="114"/>
      <c r="AC597" s="114"/>
      <c r="AD597" s="114"/>
      <c r="AE597" s="114"/>
      <c r="AF597" s="114"/>
      <c r="AG597" s="114"/>
      <c r="AH597" s="114"/>
      <c r="AI597" s="114"/>
      <c r="AJ597" s="115"/>
    </row>
    <row r="598" spans="1:36" ht="15.75" customHeight="1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5"/>
      <c r="M598" s="115"/>
      <c r="N598" s="116"/>
      <c r="O598" s="116"/>
      <c r="P598" s="114"/>
      <c r="Q598" s="114"/>
      <c r="R598" s="114"/>
      <c r="S598" s="115"/>
      <c r="T598" s="114"/>
      <c r="U598" s="115"/>
      <c r="V598" s="114"/>
      <c r="W598" s="114"/>
      <c r="X598" s="114"/>
      <c r="Y598" s="114"/>
      <c r="Z598" s="114"/>
      <c r="AA598" s="114"/>
      <c r="AB598" s="114"/>
      <c r="AC598" s="114"/>
      <c r="AD598" s="114"/>
      <c r="AE598" s="114"/>
      <c r="AF598" s="114"/>
      <c r="AG598" s="114"/>
      <c r="AH598" s="114"/>
      <c r="AI598" s="114"/>
      <c r="AJ598" s="115"/>
    </row>
    <row r="599" spans="1:36" ht="15.75" customHeight="1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5"/>
      <c r="M599" s="115"/>
      <c r="N599" s="116"/>
      <c r="O599" s="116"/>
      <c r="P599" s="114"/>
      <c r="Q599" s="114"/>
      <c r="R599" s="114"/>
      <c r="S599" s="115"/>
      <c r="T599" s="114"/>
      <c r="U599" s="115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5"/>
    </row>
    <row r="600" spans="1:36" ht="15.75" customHeight="1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5"/>
      <c r="M600" s="115"/>
      <c r="N600" s="116"/>
      <c r="O600" s="116"/>
      <c r="P600" s="114"/>
      <c r="Q600" s="114"/>
      <c r="R600" s="114"/>
      <c r="S600" s="115"/>
      <c r="T600" s="114"/>
      <c r="U600" s="115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5"/>
    </row>
    <row r="601" spans="1:36" ht="15.75" customHeight="1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5"/>
      <c r="M601" s="115"/>
      <c r="N601" s="116"/>
      <c r="O601" s="116"/>
      <c r="P601" s="114"/>
      <c r="Q601" s="114"/>
      <c r="R601" s="114"/>
      <c r="S601" s="115"/>
      <c r="T601" s="114"/>
      <c r="U601" s="115"/>
      <c r="V601" s="114"/>
      <c r="W601" s="114"/>
      <c r="X601" s="114"/>
      <c r="Y601" s="114"/>
      <c r="Z601" s="114"/>
      <c r="AA601" s="114"/>
      <c r="AB601" s="114"/>
      <c r="AC601" s="114"/>
      <c r="AD601" s="114"/>
      <c r="AE601" s="114"/>
      <c r="AF601" s="114"/>
      <c r="AG601" s="114"/>
      <c r="AH601" s="114"/>
      <c r="AI601" s="114"/>
      <c r="AJ601" s="115"/>
    </row>
    <row r="602" spans="1:36" ht="15.75" customHeight="1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5"/>
      <c r="M602" s="115"/>
      <c r="N602" s="116"/>
      <c r="O602" s="116"/>
      <c r="P602" s="114"/>
      <c r="Q602" s="114"/>
      <c r="R602" s="114"/>
      <c r="S602" s="115"/>
      <c r="T602" s="114"/>
      <c r="U602" s="115"/>
      <c r="V602" s="114"/>
      <c r="W602" s="114"/>
      <c r="X602" s="114"/>
      <c r="Y602" s="114"/>
      <c r="Z602" s="114"/>
      <c r="AA602" s="114"/>
      <c r="AB602" s="114"/>
      <c r="AC602" s="114"/>
      <c r="AD602" s="114"/>
      <c r="AE602" s="114"/>
      <c r="AF602" s="114"/>
      <c r="AG602" s="114"/>
      <c r="AH602" s="114"/>
      <c r="AI602" s="114"/>
      <c r="AJ602" s="115"/>
    </row>
    <row r="603" spans="1:36" ht="15.75" customHeight="1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5"/>
      <c r="M603" s="115"/>
      <c r="N603" s="116"/>
      <c r="O603" s="116"/>
      <c r="P603" s="114"/>
      <c r="Q603" s="114"/>
      <c r="R603" s="114"/>
      <c r="S603" s="115"/>
      <c r="T603" s="114"/>
      <c r="U603" s="115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5"/>
    </row>
    <row r="604" spans="1:36" ht="15.75" customHeight="1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5"/>
      <c r="M604" s="115"/>
      <c r="N604" s="116"/>
      <c r="O604" s="116"/>
      <c r="P604" s="114"/>
      <c r="Q604" s="114"/>
      <c r="R604" s="114"/>
      <c r="S604" s="115"/>
      <c r="T604" s="114"/>
      <c r="U604" s="115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5"/>
    </row>
    <row r="605" spans="1:36" ht="15.75" customHeight="1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5"/>
      <c r="M605" s="115"/>
      <c r="N605" s="116"/>
      <c r="O605" s="116"/>
      <c r="P605" s="114"/>
      <c r="Q605" s="114"/>
      <c r="R605" s="114"/>
      <c r="S605" s="115"/>
      <c r="T605" s="114"/>
      <c r="U605" s="115"/>
      <c r="V605" s="114"/>
      <c r="W605" s="114"/>
      <c r="X605" s="114"/>
      <c r="Y605" s="114"/>
      <c r="Z605" s="114"/>
      <c r="AA605" s="114"/>
      <c r="AB605" s="114"/>
      <c r="AC605" s="114"/>
      <c r="AD605" s="114"/>
      <c r="AE605" s="114"/>
      <c r="AF605" s="114"/>
      <c r="AG605" s="114"/>
      <c r="AH605" s="114"/>
      <c r="AI605" s="114"/>
      <c r="AJ605" s="115"/>
    </row>
    <row r="606" spans="1:36" ht="15.75" customHeight="1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5"/>
      <c r="M606" s="115"/>
      <c r="N606" s="116"/>
      <c r="O606" s="116"/>
      <c r="P606" s="114"/>
      <c r="Q606" s="114"/>
      <c r="R606" s="114"/>
      <c r="S606" s="115"/>
      <c r="T606" s="114"/>
      <c r="U606" s="115"/>
      <c r="V606" s="114"/>
      <c r="W606" s="114"/>
      <c r="X606" s="114"/>
      <c r="Y606" s="114"/>
      <c r="Z606" s="114"/>
      <c r="AA606" s="114"/>
      <c r="AB606" s="114"/>
      <c r="AC606" s="114"/>
      <c r="AD606" s="114"/>
      <c r="AE606" s="114"/>
      <c r="AF606" s="114"/>
      <c r="AG606" s="114"/>
      <c r="AH606" s="114"/>
      <c r="AI606" s="114"/>
      <c r="AJ606" s="115"/>
    </row>
    <row r="607" spans="1:36" ht="15.75" customHeight="1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5"/>
      <c r="M607" s="115"/>
      <c r="N607" s="116"/>
      <c r="O607" s="116"/>
      <c r="P607" s="114"/>
      <c r="Q607" s="114"/>
      <c r="R607" s="114"/>
      <c r="S607" s="115"/>
      <c r="T607" s="114"/>
      <c r="U607" s="115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5"/>
    </row>
    <row r="608" spans="1:36" ht="15.75" customHeight="1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5"/>
      <c r="M608" s="115"/>
      <c r="N608" s="116"/>
      <c r="O608" s="116"/>
      <c r="P608" s="114"/>
      <c r="Q608" s="114"/>
      <c r="R608" s="114"/>
      <c r="S608" s="115"/>
      <c r="T608" s="114"/>
      <c r="U608" s="115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5"/>
    </row>
    <row r="609" spans="1:36" ht="15.75" customHeight="1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5"/>
      <c r="M609" s="115"/>
      <c r="N609" s="116"/>
      <c r="O609" s="116"/>
      <c r="P609" s="114"/>
      <c r="Q609" s="114"/>
      <c r="R609" s="114"/>
      <c r="S609" s="115"/>
      <c r="T609" s="114"/>
      <c r="U609" s="115"/>
      <c r="V609" s="114"/>
      <c r="W609" s="114"/>
      <c r="X609" s="114"/>
      <c r="Y609" s="114"/>
      <c r="Z609" s="114"/>
      <c r="AA609" s="114"/>
      <c r="AB609" s="114"/>
      <c r="AC609" s="114"/>
      <c r="AD609" s="114"/>
      <c r="AE609" s="114"/>
      <c r="AF609" s="114"/>
      <c r="AG609" s="114"/>
      <c r="AH609" s="114"/>
      <c r="AI609" s="114"/>
      <c r="AJ609" s="115"/>
    </row>
    <row r="610" spans="1:36" ht="15.75" customHeight="1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5"/>
      <c r="M610" s="115"/>
      <c r="N610" s="116"/>
      <c r="O610" s="116"/>
      <c r="P610" s="114"/>
      <c r="Q610" s="114"/>
      <c r="R610" s="114"/>
      <c r="S610" s="115"/>
      <c r="T610" s="114"/>
      <c r="U610" s="115"/>
      <c r="V610" s="114"/>
      <c r="W610" s="114"/>
      <c r="X610" s="114"/>
      <c r="Y610" s="114"/>
      <c r="Z610" s="114"/>
      <c r="AA610" s="114"/>
      <c r="AB610" s="114"/>
      <c r="AC610" s="114"/>
      <c r="AD610" s="114"/>
      <c r="AE610" s="114"/>
      <c r="AF610" s="114"/>
      <c r="AG610" s="114"/>
      <c r="AH610" s="114"/>
      <c r="AI610" s="114"/>
      <c r="AJ610" s="115"/>
    </row>
    <row r="611" spans="1:36" ht="15.75" customHeight="1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5"/>
      <c r="M611" s="115"/>
      <c r="N611" s="116"/>
      <c r="O611" s="116"/>
      <c r="P611" s="114"/>
      <c r="Q611" s="114"/>
      <c r="R611" s="114"/>
      <c r="S611" s="115"/>
      <c r="T611" s="114"/>
      <c r="U611" s="115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5"/>
    </row>
    <row r="612" spans="1:36" ht="15.75" customHeight="1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5"/>
      <c r="M612" s="115"/>
      <c r="N612" s="116"/>
      <c r="O612" s="116"/>
      <c r="P612" s="114"/>
      <c r="Q612" s="114"/>
      <c r="R612" s="114"/>
      <c r="S612" s="115"/>
      <c r="T612" s="114"/>
      <c r="U612" s="115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5"/>
    </row>
    <row r="613" spans="1:36" ht="15.75" customHeight="1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5"/>
      <c r="M613" s="115"/>
      <c r="N613" s="116"/>
      <c r="O613" s="116"/>
      <c r="P613" s="114"/>
      <c r="Q613" s="114"/>
      <c r="R613" s="114"/>
      <c r="S613" s="115"/>
      <c r="T613" s="114"/>
      <c r="U613" s="115"/>
      <c r="V613" s="114"/>
      <c r="W613" s="114"/>
      <c r="X613" s="114"/>
      <c r="Y613" s="114"/>
      <c r="Z613" s="114"/>
      <c r="AA613" s="114"/>
      <c r="AB613" s="114"/>
      <c r="AC613" s="114"/>
      <c r="AD613" s="114"/>
      <c r="AE613" s="114"/>
      <c r="AF613" s="114"/>
      <c r="AG613" s="114"/>
      <c r="AH613" s="114"/>
      <c r="AI613" s="114"/>
      <c r="AJ613" s="115"/>
    </row>
    <row r="614" spans="1:36" ht="15.75" customHeight="1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5"/>
      <c r="M614" s="115"/>
      <c r="N614" s="116"/>
      <c r="O614" s="116"/>
      <c r="P614" s="114"/>
      <c r="Q614" s="114"/>
      <c r="R614" s="114"/>
      <c r="S614" s="115"/>
      <c r="T614" s="114"/>
      <c r="U614" s="115"/>
      <c r="V614" s="114"/>
      <c r="W614" s="114"/>
      <c r="X614" s="114"/>
      <c r="Y614" s="114"/>
      <c r="Z614" s="114"/>
      <c r="AA614" s="114"/>
      <c r="AB614" s="114"/>
      <c r="AC614" s="114"/>
      <c r="AD614" s="114"/>
      <c r="AE614" s="114"/>
      <c r="AF614" s="114"/>
      <c r="AG614" s="114"/>
      <c r="AH614" s="114"/>
      <c r="AI614" s="114"/>
      <c r="AJ614" s="115"/>
    </row>
    <row r="615" spans="1:36" ht="15.75" customHeight="1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5"/>
      <c r="M615" s="115"/>
      <c r="N615" s="116"/>
      <c r="O615" s="116"/>
      <c r="P615" s="114"/>
      <c r="Q615" s="114"/>
      <c r="R615" s="114"/>
      <c r="S615" s="115"/>
      <c r="T615" s="114"/>
      <c r="U615" s="115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5"/>
    </row>
    <row r="616" spans="1:36" ht="15.75" customHeight="1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5"/>
      <c r="M616" s="115"/>
      <c r="N616" s="116"/>
      <c r="O616" s="116"/>
      <c r="P616" s="114"/>
      <c r="Q616" s="114"/>
      <c r="R616" s="114"/>
      <c r="S616" s="115"/>
      <c r="T616" s="114"/>
      <c r="U616" s="115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5"/>
    </row>
    <row r="617" spans="1:36" ht="15.75" customHeight="1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5"/>
      <c r="M617" s="115"/>
      <c r="N617" s="116"/>
      <c r="O617" s="116"/>
      <c r="P617" s="114"/>
      <c r="Q617" s="114"/>
      <c r="R617" s="114"/>
      <c r="S617" s="115"/>
      <c r="T617" s="114"/>
      <c r="U617" s="115"/>
      <c r="V617" s="114"/>
      <c r="W617" s="114"/>
      <c r="X617" s="114"/>
      <c r="Y617" s="114"/>
      <c r="Z617" s="114"/>
      <c r="AA617" s="114"/>
      <c r="AB617" s="114"/>
      <c r="AC617" s="114"/>
      <c r="AD617" s="114"/>
      <c r="AE617" s="114"/>
      <c r="AF617" s="114"/>
      <c r="AG617" s="114"/>
      <c r="AH617" s="114"/>
      <c r="AI617" s="114"/>
      <c r="AJ617" s="115"/>
    </row>
    <row r="618" spans="1:36" ht="15.75" customHeight="1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5"/>
      <c r="M618" s="115"/>
      <c r="N618" s="116"/>
      <c r="O618" s="116"/>
      <c r="P618" s="114"/>
      <c r="Q618" s="114"/>
      <c r="R618" s="114"/>
      <c r="S618" s="115"/>
      <c r="T618" s="114"/>
      <c r="U618" s="115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5"/>
    </row>
    <row r="619" spans="1:36" ht="15.75" customHeight="1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5"/>
      <c r="M619" s="115"/>
      <c r="N619" s="116"/>
      <c r="O619" s="116"/>
      <c r="P619" s="114"/>
      <c r="Q619" s="114"/>
      <c r="R619" s="114"/>
      <c r="S619" s="115"/>
      <c r="T619" s="114"/>
      <c r="U619" s="115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5"/>
    </row>
    <row r="620" spans="1:36" ht="15.75" customHeight="1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5"/>
      <c r="M620" s="115"/>
      <c r="N620" s="116"/>
      <c r="O620" s="116"/>
      <c r="P620" s="114"/>
      <c r="Q620" s="114"/>
      <c r="R620" s="114"/>
      <c r="S620" s="115"/>
      <c r="T620" s="114"/>
      <c r="U620" s="115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5"/>
    </row>
    <row r="621" spans="1:36" ht="15.75" customHeight="1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5"/>
      <c r="M621" s="115"/>
      <c r="N621" s="116"/>
      <c r="O621" s="116"/>
      <c r="P621" s="114"/>
      <c r="Q621" s="114"/>
      <c r="R621" s="114"/>
      <c r="S621" s="115"/>
      <c r="T621" s="114"/>
      <c r="U621" s="115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114"/>
      <c r="AF621" s="114"/>
      <c r="AG621" s="114"/>
      <c r="AH621" s="114"/>
      <c r="AI621" s="114"/>
      <c r="AJ621" s="115"/>
    </row>
    <row r="622" spans="1:36" ht="15.75" customHeight="1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5"/>
      <c r="M622" s="115"/>
      <c r="N622" s="116"/>
      <c r="O622" s="116"/>
      <c r="P622" s="114"/>
      <c r="Q622" s="114"/>
      <c r="R622" s="114"/>
      <c r="S622" s="115"/>
      <c r="T622" s="114"/>
      <c r="U622" s="115"/>
      <c r="V622" s="114"/>
      <c r="W622" s="114"/>
      <c r="X622" s="114"/>
      <c r="Y622" s="114"/>
      <c r="Z622" s="114"/>
      <c r="AA622" s="114"/>
      <c r="AB622" s="114"/>
      <c r="AC622" s="114"/>
      <c r="AD622" s="114"/>
      <c r="AE622" s="114"/>
      <c r="AF622" s="114"/>
      <c r="AG622" s="114"/>
      <c r="AH622" s="114"/>
      <c r="AI622" s="114"/>
      <c r="AJ622" s="115"/>
    </row>
    <row r="623" spans="1:36" ht="15.75" customHeight="1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5"/>
      <c r="M623" s="115"/>
      <c r="N623" s="116"/>
      <c r="O623" s="116"/>
      <c r="P623" s="114"/>
      <c r="Q623" s="114"/>
      <c r="R623" s="114"/>
      <c r="S623" s="115"/>
      <c r="T623" s="114"/>
      <c r="U623" s="115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5"/>
    </row>
    <row r="624" spans="1:36" ht="15.75" customHeight="1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5"/>
      <c r="M624" s="115"/>
      <c r="N624" s="116"/>
      <c r="O624" s="116"/>
      <c r="P624" s="114"/>
      <c r="Q624" s="114"/>
      <c r="R624" s="114"/>
      <c r="S624" s="115"/>
      <c r="T624" s="114"/>
      <c r="U624" s="115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5"/>
    </row>
    <row r="625" spans="1:36" ht="15.75" customHeight="1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5"/>
      <c r="M625" s="115"/>
      <c r="N625" s="116"/>
      <c r="O625" s="116"/>
      <c r="P625" s="114"/>
      <c r="Q625" s="114"/>
      <c r="R625" s="114"/>
      <c r="S625" s="115"/>
      <c r="T625" s="114"/>
      <c r="U625" s="115"/>
      <c r="V625" s="114"/>
      <c r="W625" s="114"/>
      <c r="X625" s="114"/>
      <c r="Y625" s="114"/>
      <c r="Z625" s="114"/>
      <c r="AA625" s="114"/>
      <c r="AB625" s="114"/>
      <c r="AC625" s="114"/>
      <c r="AD625" s="114"/>
      <c r="AE625" s="114"/>
      <c r="AF625" s="114"/>
      <c r="AG625" s="114"/>
      <c r="AH625" s="114"/>
      <c r="AI625" s="114"/>
      <c r="AJ625" s="115"/>
    </row>
    <row r="626" spans="1:36" ht="15.75" customHeight="1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5"/>
      <c r="M626" s="115"/>
      <c r="N626" s="116"/>
      <c r="O626" s="116"/>
      <c r="P626" s="114"/>
      <c r="Q626" s="114"/>
      <c r="R626" s="114"/>
      <c r="S626" s="115"/>
      <c r="T626" s="114"/>
      <c r="U626" s="115"/>
      <c r="V626" s="114"/>
      <c r="W626" s="114"/>
      <c r="X626" s="114"/>
      <c r="Y626" s="114"/>
      <c r="Z626" s="114"/>
      <c r="AA626" s="114"/>
      <c r="AB626" s="114"/>
      <c r="AC626" s="114"/>
      <c r="AD626" s="114"/>
      <c r="AE626" s="114"/>
      <c r="AF626" s="114"/>
      <c r="AG626" s="114"/>
      <c r="AH626" s="114"/>
      <c r="AI626" s="114"/>
      <c r="AJ626" s="115"/>
    </row>
    <row r="627" spans="1:36" ht="15.75" customHeight="1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5"/>
      <c r="M627" s="115"/>
      <c r="N627" s="116"/>
      <c r="O627" s="116"/>
      <c r="P627" s="114"/>
      <c r="Q627" s="114"/>
      <c r="R627" s="114"/>
      <c r="S627" s="115"/>
      <c r="T627" s="114"/>
      <c r="U627" s="115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5"/>
    </row>
    <row r="628" spans="1:36" ht="15.75" customHeight="1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5"/>
      <c r="M628" s="115"/>
      <c r="N628" s="116"/>
      <c r="O628" s="116"/>
      <c r="P628" s="114"/>
      <c r="Q628" s="114"/>
      <c r="R628" s="114"/>
      <c r="S628" s="115"/>
      <c r="T628" s="114"/>
      <c r="U628" s="115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5"/>
    </row>
    <row r="629" spans="1:36" ht="15.75" customHeight="1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5"/>
      <c r="M629" s="115"/>
      <c r="N629" s="116"/>
      <c r="O629" s="116"/>
      <c r="P629" s="114"/>
      <c r="Q629" s="114"/>
      <c r="R629" s="114"/>
      <c r="S629" s="115"/>
      <c r="T629" s="114"/>
      <c r="U629" s="115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114"/>
      <c r="AF629" s="114"/>
      <c r="AG629" s="114"/>
      <c r="AH629" s="114"/>
      <c r="AI629" s="114"/>
      <c r="AJ629" s="115"/>
    </row>
    <row r="630" spans="1:36" ht="15.75" customHeight="1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5"/>
      <c r="M630" s="115"/>
      <c r="N630" s="116"/>
      <c r="O630" s="116"/>
      <c r="P630" s="114"/>
      <c r="Q630" s="114"/>
      <c r="R630" s="114"/>
      <c r="S630" s="115"/>
      <c r="T630" s="114"/>
      <c r="U630" s="115"/>
      <c r="V630" s="114"/>
      <c r="W630" s="114"/>
      <c r="X630" s="114"/>
      <c r="Y630" s="114"/>
      <c r="Z630" s="114"/>
      <c r="AA630" s="114"/>
      <c r="AB630" s="114"/>
      <c r="AC630" s="114"/>
      <c r="AD630" s="114"/>
      <c r="AE630" s="114"/>
      <c r="AF630" s="114"/>
      <c r="AG630" s="114"/>
      <c r="AH630" s="114"/>
      <c r="AI630" s="114"/>
      <c r="AJ630" s="115"/>
    </row>
    <row r="631" spans="1:36" ht="15.75" customHeight="1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5"/>
      <c r="M631" s="115"/>
      <c r="N631" s="116"/>
      <c r="O631" s="116"/>
      <c r="P631" s="114"/>
      <c r="Q631" s="114"/>
      <c r="R631" s="114"/>
      <c r="S631" s="115"/>
      <c r="T631" s="114"/>
      <c r="U631" s="115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5"/>
    </row>
    <row r="632" spans="1:36" ht="15.75" customHeight="1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5"/>
      <c r="M632" s="115"/>
      <c r="N632" s="116"/>
      <c r="O632" s="116"/>
      <c r="P632" s="114"/>
      <c r="Q632" s="114"/>
      <c r="R632" s="114"/>
      <c r="S632" s="115"/>
      <c r="T632" s="114"/>
      <c r="U632" s="115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5"/>
    </row>
    <row r="633" spans="1:36" ht="15.75" customHeight="1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5"/>
      <c r="M633" s="115"/>
      <c r="N633" s="116"/>
      <c r="O633" s="116"/>
      <c r="P633" s="114"/>
      <c r="Q633" s="114"/>
      <c r="R633" s="114"/>
      <c r="S633" s="115"/>
      <c r="T633" s="114"/>
      <c r="U633" s="115"/>
      <c r="V633" s="114"/>
      <c r="W633" s="114"/>
      <c r="X633" s="114"/>
      <c r="Y633" s="114"/>
      <c r="Z633" s="114"/>
      <c r="AA633" s="114"/>
      <c r="AB633" s="114"/>
      <c r="AC633" s="114"/>
      <c r="AD633" s="114"/>
      <c r="AE633" s="114"/>
      <c r="AF633" s="114"/>
      <c r="AG633" s="114"/>
      <c r="AH633" s="114"/>
      <c r="AI633" s="114"/>
      <c r="AJ633" s="115"/>
    </row>
    <row r="634" spans="1:36" ht="15.75" customHeight="1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5"/>
      <c r="M634" s="115"/>
      <c r="N634" s="116"/>
      <c r="O634" s="116"/>
      <c r="P634" s="114"/>
      <c r="Q634" s="114"/>
      <c r="R634" s="114"/>
      <c r="S634" s="115"/>
      <c r="T634" s="114"/>
      <c r="U634" s="115"/>
      <c r="V634" s="114"/>
      <c r="W634" s="114"/>
      <c r="X634" s="114"/>
      <c r="Y634" s="114"/>
      <c r="Z634" s="114"/>
      <c r="AA634" s="114"/>
      <c r="AB634" s="114"/>
      <c r="AC634" s="114"/>
      <c r="AD634" s="114"/>
      <c r="AE634" s="114"/>
      <c r="AF634" s="114"/>
      <c r="AG634" s="114"/>
      <c r="AH634" s="114"/>
      <c r="AI634" s="114"/>
      <c r="AJ634" s="115"/>
    </row>
    <row r="635" spans="1:36" ht="15.75" customHeight="1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5"/>
      <c r="M635" s="115"/>
      <c r="N635" s="116"/>
      <c r="O635" s="116"/>
      <c r="P635" s="114"/>
      <c r="Q635" s="114"/>
      <c r="R635" s="114"/>
      <c r="S635" s="115"/>
      <c r="T635" s="114"/>
      <c r="U635" s="115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5"/>
    </row>
    <row r="636" spans="1:36" ht="15.75" customHeight="1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5"/>
      <c r="M636" s="115"/>
      <c r="N636" s="116"/>
      <c r="O636" s="116"/>
      <c r="P636" s="114"/>
      <c r="Q636" s="114"/>
      <c r="R636" s="114"/>
      <c r="S636" s="115"/>
      <c r="T636" s="114"/>
      <c r="U636" s="115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5"/>
    </row>
    <row r="637" spans="1:36" ht="15.75" customHeight="1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5"/>
      <c r="M637" s="115"/>
      <c r="N637" s="116"/>
      <c r="O637" s="116"/>
      <c r="P637" s="114"/>
      <c r="Q637" s="114"/>
      <c r="R637" s="114"/>
      <c r="S637" s="115"/>
      <c r="T637" s="114"/>
      <c r="U637" s="115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114"/>
      <c r="AJ637" s="115"/>
    </row>
    <row r="638" spans="1:36" ht="15.75" customHeight="1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5"/>
      <c r="M638" s="115"/>
      <c r="N638" s="116"/>
      <c r="O638" s="116"/>
      <c r="P638" s="114"/>
      <c r="Q638" s="114"/>
      <c r="R638" s="114"/>
      <c r="S638" s="115"/>
      <c r="T638" s="114"/>
      <c r="U638" s="115"/>
      <c r="V638" s="114"/>
      <c r="W638" s="114"/>
      <c r="X638" s="114"/>
      <c r="Y638" s="114"/>
      <c r="Z638" s="114"/>
      <c r="AA638" s="114"/>
      <c r="AB638" s="114"/>
      <c r="AC638" s="114"/>
      <c r="AD638" s="114"/>
      <c r="AE638" s="114"/>
      <c r="AF638" s="114"/>
      <c r="AG638" s="114"/>
      <c r="AH638" s="114"/>
      <c r="AI638" s="114"/>
      <c r="AJ638" s="115"/>
    </row>
    <row r="639" spans="1:36" ht="15.75" customHeight="1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5"/>
      <c r="M639" s="115"/>
      <c r="N639" s="116"/>
      <c r="O639" s="116"/>
      <c r="P639" s="114"/>
      <c r="Q639" s="114"/>
      <c r="R639" s="114"/>
      <c r="S639" s="115"/>
      <c r="T639" s="114"/>
      <c r="U639" s="115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5"/>
    </row>
    <row r="640" spans="1:36" ht="15.75" customHeight="1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5"/>
      <c r="M640" s="115"/>
      <c r="N640" s="116"/>
      <c r="O640" s="116"/>
      <c r="P640" s="114"/>
      <c r="Q640" s="114"/>
      <c r="R640" s="114"/>
      <c r="S640" s="115"/>
      <c r="T640" s="114"/>
      <c r="U640" s="115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5"/>
    </row>
    <row r="641" spans="1:36" ht="15.75" customHeight="1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5"/>
      <c r="M641" s="115"/>
      <c r="N641" s="116"/>
      <c r="O641" s="116"/>
      <c r="P641" s="114"/>
      <c r="Q641" s="114"/>
      <c r="R641" s="114"/>
      <c r="S641" s="115"/>
      <c r="T641" s="114"/>
      <c r="U641" s="115"/>
      <c r="V641" s="114"/>
      <c r="W641" s="114"/>
      <c r="X641" s="114"/>
      <c r="Y641" s="114"/>
      <c r="Z641" s="114"/>
      <c r="AA641" s="114"/>
      <c r="AB641" s="114"/>
      <c r="AC641" s="114"/>
      <c r="AD641" s="114"/>
      <c r="AE641" s="114"/>
      <c r="AF641" s="114"/>
      <c r="AG641" s="114"/>
      <c r="AH641" s="114"/>
      <c r="AI641" s="114"/>
      <c r="AJ641" s="115"/>
    </row>
    <row r="642" spans="1:36" ht="15.75" customHeight="1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5"/>
      <c r="M642" s="115"/>
      <c r="N642" s="116"/>
      <c r="O642" s="116"/>
      <c r="P642" s="114"/>
      <c r="Q642" s="114"/>
      <c r="R642" s="114"/>
      <c r="S642" s="115"/>
      <c r="T642" s="114"/>
      <c r="U642" s="115"/>
      <c r="V642" s="114"/>
      <c r="W642" s="114"/>
      <c r="X642" s="114"/>
      <c r="Y642" s="114"/>
      <c r="Z642" s="114"/>
      <c r="AA642" s="114"/>
      <c r="AB642" s="114"/>
      <c r="AC642" s="114"/>
      <c r="AD642" s="114"/>
      <c r="AE642" s="114"/>
      <c r="AF642" s="114"/>
      <c r="AG642" s="114"/>
      <c r="AH642" s="114"/>
      <c r="AI642" s="114"/>
      <c r="AJ642" s="115"/>
    </row>
    <row r="643" spans="1:36" ht="15.75" customHeight="1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5"/>
      <c r="M643" s="115"/>
      <c r="N643" s="116"/>
      <c r="O643" s="116"/>
      <c r="P643" s="114"/>
      <c r="Q643" s="114"/>
      <c r="R643" s="114"/>
      <c r="S643" s="115"/>
      <c r="T643" s="114"/>
      <c r="U643" s="115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5"/>
    </row>
    <row r="644" spans="1:36" ht="15.75" customHeight="1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5"/>
      <c r="M644" s="115"/>
      <c r="N644" s="116"/>
      <c r="O644" s="116"/>
      <c r="P644" s="114"/>
      <c r="Q644" s="114"/>
      <c r="R644" s="114"/>
      <c r="S644" s="115"/>
      <c r="T644" s="114"/>
      <c r="U644" s="115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5"/>
    </row>
    <row r="645" spans="1:36" ht="15.75" customHeight="1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5"/>
      <c r="M645" s="115"/>
      <c r="N645" s="116"/>
      <c r="O645" s="116"/>
      <c r="P645" s="114"/>
      <c r="Q645" s="114"/>
      <c r="R645" s="114"/>
      <c r="S645" s="115"/>
      <c r="T645" s="114"/>
      <c r="U645" s="115"/>
      <c r="V645" s="114"/>
      <c r="W645" s="114"/>
      <c r="X645" s="114"/>
      <c r="Y645" s="114"/>
      <c r="Z645" s="114"/>
      <c r="AA645" s="114"/>
      <c r="AB645" s="114"/>
      <c r="AC645" s="114"/>
      <c r="AD645" s="114"/>
      <c r="AE645" s="114"/>
      <c r="AF645" s="114"/>
      <c r="AG645" s="114"/>
      <c r="AH645" s="114"/>
      <c r="AI645" s="114"/>
      <c r="AJ645" s="115"/>
    </row>
    <row r="646" spans="1:36" ht="15.75" customHeight="1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5"/>
      <c r="M646" s="115"/>
      <c r="N646" s="116"/>
      <c r="O646" s="116"/>
      <c r="P646" s="114"/>
      <c r="Q646" s="114"/>
      <c r="R646" s="114"/>
      <c r="S646" s="115"/>
      <c r="T646" s="114"/>
      <c r="U646" s="115"/>
      <c r="V646" s="114"/>
      <c r="W646" s="114"/>
      <c r="X646" s="114"/>
      <c r="Y646" s="114"/>
      <c r="Z646" s="114"/>
      <c r="AA646" s="114"/>
      <c r="AB646" s="114"/>
      <c r="AC646" s="114"/>
      <c r="AD646" s="114"/>
      <c r="AE646" s="114"/>
      <c r="AF646" s="114"/>
      <c r="AG646" s="114"/>
      <c r="AH646" s="114"/>
      <c r="AI646" s="114"/>
      <c r="AJ646" s="115"/>
    </row>
    <row r="647" spans="1:36" ht="15.75" customHeight="1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5"/>
      <c r="M647" s="115"/>
      <c r="N647" s="116"/>
      <c r="O647" s="116"/>
      <c r="P647" s="114"/>
      <c r="Q647" s="114"/>
      <c r="R647" s="114"/>
      <c r="S647" s="115"/>
      <c r="T647" s="114"/>
      <c r="U647" s="115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5"/>
    </row>
    <row r="648" spans="1:36" ht="15.75" customHeight="1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5"/>
      <c r="M648" s="115"/>
      <c r="N648" s="116"/>
      <c r="O648" s="116"/>
      <c r="P648" s="114"/>
      <c r="Q648" s="114"/>
      <c r="R648" s="114"/>
      <c r="S648" s="115"/>
      <c r="T648" s="114"/>
      <c r="U648" s="115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5"/>
    </row>
    <row r="649" spans="1:36" ht="15.75" customHeight="1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5"/>
      <c r="M649" s="115"/>
      <c r="N649" s="116"/>
      <c r="O649" s="116"/>
      <c r="P649" s="114"/>
      <c r="Q649" s="114"/>
      <c r="R649" s="114"/>
      <c r="S649" s="115"/>
      <c r="T649" s="114"/>
      <c r="U649" s="115"/>
      <c r="V649" s="114"/>
      <c r="W649" s="114"/>
      <c r="X649" s="114"/>
      <c r="Y649" s="114"/>
      <c r="Z649" s="114"/>
      <c r="AA649" s="114"/>
      <c r="AB649" s="114"/>
      <c r="AC649" s="114"/>
      <c r="AD649" s="114"/>
      <c r="AE649" s="114"/>
      <c r="AF649" s="114"/>
      <c r="AG649" s="114"/>
      <c r="AH649" s="114"/>
      <c r="AI649" s="114"/>
      <c r="AJ649" s="115"/>
    </row>
    <row r="650" spans="1:36" ht="15.75" customHeight="1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5"/>
      <c r="M650" s="115"/>
      <c r="N650" s="116"/>
      <c r="O650" s="116"/>
      <c r="P650" s="114"/>
      <c r="Q650" s="114"/>
      <c r="R650" s="114"/>
      <c r="S650" s="115"/>
      <c r="T650" s="114"/>
      <c r="U650" s="115"/>
      <c r="V650" s="114"/>
      <c r="W650" s="114"/>
      <c r="X650" s="114"/>
      <c r="Y650" s="114"/>
      <c r="Z650" s="114"/>
      <c r="AA650" s="114"/>
      <c r="AB650" s="114"/>
      <c r="AC650" s="114"/>
      <c r="AD650" s="114"/>
      <c r="AE650" s="114"/>
      <c r="AF650" s="114"/>
      <c r="AG650" s="114"/>
      <c r="AH650" s="114"/>
      <c r="AI650" s="114"/>
      <c r="AJ650" s="115"/>
    </row>
    <row r="651" spans="1:36" ht="15.75" customHeight="1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5"/>
      <c r="M651" s="115"/>
      <c r="N651" s="116"/>
      <c r="O651" s="116"/>
      <c r="P651" s="114"/>
      <c r="Q651" s="114"/>
      <c r="R651" s="114"/>
      <c r="S651" s="115"/>
      <c r="T651" s="114"/>
      <c r="U651" s="115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5"/>
    </row>
    <row r="652" spans="1:36" ht="15.75" customHeight="1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5"/>
      <c r="M652" s="115"/>
      <c r="N652" s="116"/>
      <c r="O652" s="116"/>
      <c r="P652" s="114"/>
      <c r="Q652" s="114"/>
      <c r="R652" s="114"/>
      <c r="S652" s="115"/>
      <c r="T652" s="114"/>
      <c r="U652" s="115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5"/>
    </row>
    <row r="653" spans="1:36" ht="15.75" customHeight="1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5"/>
      <c r="M653" s="115"/>
      <c r="N653" s="116"/>
      <c r="O653" s="116"/>
      <c r="P653" s="114"/>
      <c r="Q653" s="114"/>
      <c r="R653" s="114"/>
      <c r="S653" s="115"/>
      <c r="T653" s="114"/>
      <c r="U653" s="115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114"/>
      <c r="AJ653" s="115"/>
    </row>
    <row r="654" spans="1:36" ht="15.75" customHeight="1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5"/>
      <c r="M654" s="115"/>
      <c r="N654" s="116"/>
      <c r="O654" s="116"/>
      <c r="P654" s="114"/>
      <c r="Q654" s="114"/>
      <c r="R654" s="114"/>
      <c r="S654" s="115"/>
      <c r="T654" s="114"/>
      <c r="U654" s="115"/>
      <c r="V654" s="114"/>
      <c r="W654" s="114"/>
      <c r="X654" s="114"/>
      <c r="Y654" s="114"/>
      <c r="Z654" s="114"/>
      <c r="AA654" s="114"/>
      <c r="AB654" s="114"/>
      <c r="AC654" s="114"/>
      <c r="AD654" s="114"/>
      <c r="AE654" s="114"/>
      <c r="AF654" s="114"/>
      <c r="AG654" s="114"/>
      <c r="AH654" s="114"/>
      <c r="AI654" s="114"/>
      <c r="AJ654" s="115"/>
    </row>
    <row r="655" spans="1:36" ht="15.75" customHeight="1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5"/>
      <c r="M655" s="115"/>
      <c r="N655" s="116"/>
      <c r="O655" s="116"/>
      <c r="P655" s="114"/>
      <c r="Q655" s="114"/>
      <c r="R655" s="114"/>
      <c r="S655" s="115"/>
      <c r="T655" s="114"/>
      <c r="U655" s="115"/>
      <c r="V655" s="114"/>
      <c r="W655" s="114"/>
      <c r="X655" s="114"/>
      <c r="Y655" s="114"/>
      <c r="Z655" s="114"/>
      <c r="AA655" s="114"/>
      <c r="AB655" s="114"/>
      <c r="AC655" s="114"/>
      <c r="AD655" s="114"/>
      <c r="AE655" s="114"/>
      <c r="AF655" s="114"/>
      <c r="AG655" s="114"/>
      <c r="AH655" s="114"/>
      <c r="AI655" s="114"/>
      <c r="AJ655" s="115"/>
    </row>
    <row r="656" spans="1:36" ht="15.75" customHeight="1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5"/>
      <c r="M656" s="115"/>
      <c r="N656" s="116"/>
      <c r="O656" s="116"/>
      <c r="P656" s="114"/>
      <c r="Q656" s="114"/>
      <c r="R656" s="114"/>
      <c r="S656" s="115"/>
      <c r="T656" s="114"/>
      <c r="U656" s="115"/>
      <c r="V656" s="114"/>
      <c r="W656" s="114"/>
      <c r="X656" s="114"/>
      <c r="Y656" s="114"/>
      <c r="Z656" s="114"/>
      <c r="AA656" s="114"/>
      <c r="AB656" s="114"/>
      <c r="AC656" s="114"/>
      <c r="AD656" s="114"/>
      <c r="AE656" s="114"/>
      <c r="AF656" s="114"/>
      <c r="AG656" s="114"/>
      <c r="AH656" s="114"/>
      <c r="AI656" s="114"/>
      <c r="AJ656" s="115"/>
    </row>
    <row r="657" spans="1:36" ht="15.75" customHeight="1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5"/>
      <c r="M657" s="115"/>
      <c r="N657" s="116"/>
      <c r="O657" s="116"/>
      <c r="P657" s="114"/>
      <c r="Q657" s="114"/>
      <c r="R657" s="114"/>
      <c r="S657" s="115"/>
      <c r="T657" s="114"/>
      <c r="U657" s="115"/>
      <c r="V657" s="114"/>
      <c r="W657" s="114"/>
      <c r="X657" s="114"/>
      <c r="Y657" s="114"/>
      <c r="Z657" s="114"/>
      <c r="AA657" s="114"/>
      <c r="AB657" s="114"/>
      <c r="AC657" s="114"/>
      <c r="AD657" s="114"/>
      <c r="AE657" s="114"/>
      <c r="AF657" s="114"/>
      <c r="AG657" s="114"/>
      <c r="AH657" s="114"/>
      <c r="AI657" s="114"/>
      <c r="AJ657" s="115"/>
    </row>
    <row r="658" spans="1:36" ht="15.75" customHeight="1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5"/>
      <c r="M658" s="115"/>
      <c r="N658" s="116"/>
      <c r="O658" s="116"/>
      <c r="P658" s="114"/>
      <c r="Q658" s="114"/>
      <c r="R658" s="114"/>
      <c r="S658" s="115"/>
      <c r="T658" s="114"/>
      <c r="U658" s="115"/>
      <c r="V658" s="114"/>
      <c r="W658" s="114"/>
      <c r="X658" s="114"/>
      <c r="Y658" s="114"/>
      <c r="Z658" s="114"/>
      <c r="AA658" s="114"/>
      <c r="AB658" s="114"/>
      <c r="AC658" s="114"/>
      <c r="AD658" s="114"/>
      <c r="AE658" s="114"/>
      <c r="AF658" s="114"/>
      <c r="AG658" s="114"/>
      <c r="AH658" s="114"/>
      <c r="AI658" s="114"/>
      <c r="AJ658" s="115"/>
    </row>
    <row r="659" spans="1:36" ht="15.75" customHeight="1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5"/>
      <c r="M659" s="115"/>
      <c r="N659" s="116"/>
      <c r="O659" s="116"/>
      <c r="P659" s="114"/>
      <c r="Q659" s="114"/>
      <c r="R659" s="114"/>
      <c r="S659" s="115"/>
      <c r="T659" s="114"/>
      <c r="U659" s="115"/>
      <c r="V659" s="114"/>
      <c r="W659" s="114"/>
      <c r="X659" s="114"/>
      <c r="Y659" s="114"/>
      <c r="Z659" s="114"/>
      <c r="AA659" s="114"/>
      <c r="AB659" s="114"/>
      <c r="AC659" s="114"/>
      <c r="AD659" s="114"/>
      <c r="AE659" s="114"/>
      <c r="AF659" s="114"/>
      <c r="AG659" s="114"/>
      <c r="AH659" s="114"/>
      <c r="AI659" s="114"/>
      <c r="AJ659" s="115"/>
    </row>
    <row r="660" spans="1:36" ht="15.75" customHeight="1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5"/>
      <c r="M660" s="115"/>
      <c r="N660" s="116"/>
      <c r="O660" s="116"/>
      <c r="P660" s="114"/>
      <c r="Q660" s="114"/>
      <c r="R660" s="114"/>
      <c r="S660" s="115"/>
      <c r="T660" s="114"/>
      <c r="U660" s="115"/>
      <c r="V660" s="114"/>
      <c r="W660" s="114"/>
      <c r="X660" s="114"/>
      <c r="Y660" s="114"/>
      <c r="Z660" s="114"/>
      <c r="AA660" s="114"/>
      <c r="AB660" s="114"/>
      <c r="AC660" s="114"/>
      <c r="AD660" s="114"/>
      <c r="AE660" s="114"/>
      <c r="AF660" s="114"/>
      <c r="AG660" s="114"/>
      <c r="AH660" s="114"/>
      <c r="AI660" s="114"/>
      <c r="AJ660" s="115"/>
    </row>
    <row r="661" spans="1:36" ht="15.75" customHeight="1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5"/>
      <c r="M661" s="115"/>
      <c r="N661" s="116"/>
      <c r="O661" s="116"/>
      <c r="P661" s="114"/>
      <c r="Q661" s="114"/>
      <c r="R661" s="114"/>
      <c r="S661" s="115"/>
      <c r="T661" s="114"/>
      <c r="U661" s="115"/>
      <c r="V661" s="114"/>
      <c r="W661" s="114"/>
      <c r="X661" s="114"/>
      <c r="Y661" s="114"/>
      <c r="Z661" s="114"/>
      <c r="AA661" s="114"/>
      <c r="AB661" s="114"/>
      <c r="AC661" s="114"/>
      <c r="AD661" s="114"/>
      <c r="AE661" s="114"/>
      <c r="AF661" s="114"/>
      <c r="AG661" s="114"/>
      <c r="AH661" s="114"/>
      <c r="AI661" s="114"/>
      <c r="AJ661" s="115"/>
    </row>
    <row r="662" spans="1:36" ht="15.75" customHeight="1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5"/>
      <c r="M662" s="115"/>
      <c r="N662" s="116"/>
      <c r="O662" s="116"/>
      <c r="P662" s="114"/>
      <c r="Q662" s="114"/>
      <c r="R662" s="114"/>
      <c r="S662" s="115"/>
      <c r="T662" s="114"/>
      <c r="U662" s="115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114"/>
      <c r="AJ662" s="115"/>
    </row>
    <row r="663" spans="1:36" ht="15.75" customHeight="1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5"/>
      <c r="M663" s="115"/>
      <c r="N663" s="116"/>
      <c r="O663" s="116"/>
      <c r="P663" s="114"/>
      <c r="Q663" s="114"/>
      <c r="R663" s="114"/>
      <c r="S663" s="115"/>
      <c r="T663" s="114"/>
      <c r="U663" s="115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5"/>
    </row>
    <row r="664" spans="1:36" ht="15.75" customHeight="1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5"/>
      <c r="M664" s="115"/>
      <c r="N664" s="116"/>
      <c r="O664" s="116"/>
      <c r="P664" s="114"/>
      <c r="Q664" s="114"/>
      <c r="R664" s="114"/>
      <c r="S664" s="115"/>
      <c r="T664" s="114"/>
      <c r="U664" s="115"/>
      <c r="V664" s="114"/>
      <c r="W664" s="114"/>
      <c r="X664" s="114"/>
      <c r="Y664" s="114"/>
      <c r="Z664" s="114"/>
      <c r="AA664" s="114"/>
      <c r="AB664" s="114"/>
      <c r="AC664" s="114"/>
      <c r="AD664" s="114"/>
      <c r="AE664" s="114"/>
      <c r="AF664" s="114"/>
      <c r="AG664" s="114"/>
      <c r="AH664" s="114"/>
      <c r="AI664" s="114"/>
      <c r="AJ664" s="115"/>
    </row>
    <row r="665" spans="1:36" ht="15.75" customHeight="1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5"/>
      <c r="M665" s="115"/>
      <c r="N665" s="116"/>
      <c r="O665" s="116"/>
      <c r="P665" s="114"/>
      <c r="Q665" s="114"/>
      <c r="R665" s="114"/>
      <c r="S665" s="115"/>
      <c r="T665" s="114"/>
      <c r="U665" s="115"/>
      <c r="V665" s="114"/>
      <c r="W665" s="114"/>
      <c r="X665" s="114"/>
      <c r="Y665" s="114"/>
      <c r="Z665" s="114"/>
      <c r="AA665" s="114"/>
      <c r="AB665" s="114"/>
      <c r="AC665" s="114"/>
      <c r="AD665" s="114"/>
      <c r="AE665" s="114"/>
      <c r="AF665" s="114"/>
      <c r="AG665" s="114"/>
      <c r="AH665" s="114"/>
      <c r="AI665" s="114"/>
      <c r="AJ665" s="115"/>
    </row>
    <row r="666" spans="1:36" ht="15.75" customHeight="1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5"/>
      <c r="M666" s="115"/>
      <c r="N666" s="116"/>
      <c r="O666" s="116"/>
      <c r="P666" s="114"/>
      <c r="Q666" s="114"/>
      <c r="R666" s="114"/>
      <c r="S666" s="115"/>
      <c r="T666" s="114"/>
      <c r="U666" s="115"/>
      <c r="V666" s="114"/>
      <c r="W666" s="114"/>
      <c r="X666" s="114"/>
      <c r="Y666" s="114"/>
      <c r="Z666" s="114"/>
      <c r="AA666" s="114"/>
      <c r="AB666" s="114"/>
      <c r="AC666" s="114"/>
      <c r="AD666" s="114"/>
      <c r="AE666" s="114"/>
      <c r="AF666" s="114"/>
      <c r="AG666" s="114"/>
      <c r="AH666" s="114"/>
      <c r="AI666" s="114"/>
      <c r="AJ666" s="115"/>
    </row>
    <row r="667" spans="1:36" ht="15.75" customHeight="1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5"/>
      <c r="M667" s="115"/>
      <c r="N667" s="116"/>
      <c r="O667" s="116"/>
      <c r="P667" s="114"/>
      <c r="Q667" s="114"/>
      <c r="R667" s="114"/>
      <c r="S667" s="115"/>
      <c r="T667" s="114"/>
      <c r="U667" s="115"/>
      <c r="V667" s="114"/>
      <c r="W667" s="114"/>
      <c r="X667" s="114"/>
      <c r="Y667" s="114"/>
      <c r="Z667" s="114"/>
      <c r="AA667" s="114"/>
      <c r="AB667" s="114"/>
      <c r="AC667" s="114"/>
      <c r="AD667" s="114"/>
      <c r="AE667" s="114"/>
      <c r="AF667" s="114"/>
      <c r="AG667" s="114"/>
      <c r="AH667" s="114"/>
      <c r="AI667" s="114"/>
      <c r="AJ667" s="115"/>
    </row>
    <row r="668" spans="1:36" ht="15.75" customHeight="1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5"/>
      <c r="M668" s="115"/>
      <c r="N668" s="116"/>
      <c r="O668" s="116"/>
      <c r="P668" s="114"/>
      <c r="Q668" s="114"/>
      <c r="R668" s="114"/>
      <c r="S668" s="115"/>
      <c r="T668" s="114"/>
      <c r="U668" s="115"/>
      <c r="V668" s="114"/>
      <c r="W668" s="114"/>
      <c r="X668" s="114"/>
      <c r="Y668" s="114"/>
      <c r="Z668" s="114"/>
      <c r="AA668" s="114"/>
      <c r="AB668" s="114"/>
      <c r="AC668" s="114"/>
      <c r="AD668" s="114"/>
      <c r="AE668" s="114"/>
      <c r="AF668" s="114"/>
      <c r="AG668" s="114"/>
      <c r="AH668" s="114"/>
      <c r="AI668" s="114"/>
      <c r="AJ668" s="115"/>
    </row>
    <row r="669" spans="1:36" ht="15.75" customHeight="1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5"/>
      <c r="M669" s="115"/>
      <c r="N669" s="116"/>
      <c r="O669" s="116"/>
      <c r="P669" s="114"/>
      <c r="Q669" s="114"/>
      <c r="R669" s="114"/>
      <c r="S669" s="115"/>
      <c r="T669" s="114"/>
      <c r="U669" s="115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5"/>
    </row>
    <row r="670" spans="1:36" ht="15.75" customHeight="1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5"/>
      <c r="M670" s="115"/>
      <c r="N670" s="116"/>
      <c r="O670" s="116"/>
      <c r="P670" s="114"/>
      <c r="Q670" s="114"/>
      <c r="R670" s="114"/>
      <c r="S670" s="115"/>
      <c r="T670" s="114"/>
      <c r="U670" s="115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5"/>
    </row>
    <row r="671" spans="1:36" ht="15.75" customHeight="1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5"/>
      <c r="M671" s="115"/>
      <c r="N671" s="116"/>
      <c r="O671" s="116"/>
      <c r="P671" s="114"/>
      <c r="Q671" s="114"/>
      <c r="R671" s="114"/>
      <c r="S671" s="115"/>
      <c r="T671" s="114"/>
      <c r="U671" s="115"/>
      <c r="V671" s="114"/>
      <c r="W671" s="114"/>
      <c r="X671" s="114"/>
      <c r="Y671" s="114"/>
      <c r="Z671" s="114"/>
      <c r="AA671" s="114"/>
      <c r="AB671" s="114"/>
      <c r="AC671" s="114"/>
      <c r="AD671" s="114"/>
      <c r="AE671" s="114"/>
      <c r="AF671" s="114"/>
      <c r="AG671" s="114"/>
      <c r="AH671" s="114"/>
      <c r="AI671" s="114"/>
      <c r="AJ671" s="115"/>
    </row>
    <row r="672" spans="1:36" ht="15.75" customHeight="1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5"/>
      <c r="M672" s="115"/>
      <c r="N672" s="116"/>
      <c r="O672" s="116"/>
      <c r="P672" s="114"/>
      <c r="Q672" s="114"/>
      <c r="R672" s="114"/>
      <c r="S672" s="115"/>
      <c r="T672" s="114"/>
      <c r="U672" s="115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  <c r="AI672" s="114"/>
      <c r="AJ672" s="115"/>
    </row>
    <row r="673" spans="1:36" ht="15.75" customHeight="1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5"/>
      <c r="M673" s="115"/>
      <c r="N673" s="116"/>
      <c r="O673" s="116"/>
      <c r="P673" s="114"/>
      <c r="Q673" s="114"/>
      <c r="R673" s="114"/>
      <c r="S673" s="115"/>
      <c r="T673" s="114"/>
      <c r="U673" s="115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5"/>
    </row>
    <row r="674" spans="1:36" ht="15.75" customHeight="1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5"/>
      <c r="M674" s="115"/>
      <c r="N674" s="116"/>
      <c r="O674" s="116"/>
      <c r="P674" s="114"/>
      <c r="Q674" s="114"/>
      <c r="R674" s="114"/>
      <c r="S674" s="115"/>
      <c r="T674" s="114"/>
      <c r="U674" s="115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5"/>
    </row>
    <row r="675" spans="1:36" ht="15.75" customHeight="1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5"/>
      <c r="M675" s="115"/>
      <c r="N675" s="116"/>
      <c r="O675" s="116"/>
      <c r="P675" s="114"/>
      <c r="Q675" s="114"/>
      <c r="R675" s="114"/>
      <c r="S675" s="115"/>
      <c r="T675" s="114"/>
      <c r="U675" s="115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4"/>
      <c r="AJ675" s="115"/>
    </row>
    <row r="676" spans="1:36" ht="15.75" customHeight="1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5"/>
      <c r="M676" s="115"/>
      <c r="N676" s="116"/>
      <c r="O676" s="116"/>
      <c r="P676" s="114"/>
      <c r="Q676" s="114"/>
      <c r="R676" s="114"/>
      <c r="S676" s="115"/>
      <c r="T676" s="114"/>
      <c r="U676" s="115"/>
      <c r="V676" s="114"/>
      <c r="W676" s="114"/>
      <c r="X676" s="114"/>
      <c r="Y676" s="114"/>
      <c r="Z676" s="114"/>
      <c r="AA676" s="114"/>
      <c r="AB676" s="114"/>
      <c r="AC676" s="114"/>
      <c r="AD676" s="114"/>
      <c r="AE676" s="114"/>
      <c r="AF676" s="114"/>
      <c r="AG676" s="114"/>
      <c r="AH676" s="114"/>
      <c r="AI676" s="114"/>
      <c r="AJ676" s="115"/>
    </row>
    <row r="677" spans="1:36" ht="15.75" customHeight="1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5"/>
      <c r="M677" s="115"/>
      <c r="N677" s="116"/>
      <c r="O677" s="116"/>
      <c r="P677" s="114"/>
      <c r="Q677" s="114"/>
      <c r="R677" s="114"/>
      <c r="S677" s="115"/>
      <c r="T677" s="114"/>
      <c r="U677" s="115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5"/>
    </row>
    <row r="678" spans="1:36" ht="15.75" customHeight="1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5"/>
      <c r="M678" s="115"/>
      <c r="N678" s="116"/>
      <c r="O678" s="116"/>
      <c r="P678" s="114"/>
      <c r="Q678" s="114"/>
      <c r="R678" s="114"/>
      <c r="S678" s="115"/>
      <c r="T678" s="114"/>
      <c r="U678" s="115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5"/>
    </row>
    <row r="679" spans="1:36" ht="15.75" customHeight="1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5"/>
      <c r="M679" s="115"/>
      <c r="N679" s="116"/>
      <c r="O679" s="116"/>
      <c r="P679" s="114"/>
      <c r="Q679" s="114"/>
      <c r="R679" s="114"/>
      <c r="S679" s="115"/>
      <c r="T679" s="114"/>
      <c r="U679" s="115"/>
      <c r="V679" s="114"/>
      <c r="W679" s="114"/>
      <c r="X679" s="114"/>
      <c r="Y679" s="114"/>
      <c r="Z679" s="114"/>
      <c r="AA679" s="114"/>
      <c r="AB679" s="114"/>
      <c r="AC679" s="114"/>
      <c r="AD679" s="114"/>
      <c r="AE679" s="114"/>
      <c r="AF679" s="114"/>
      <c r="AG679" s="114"/>
      <c r="AH679" s="114"/>
      <c r="AI679" s="114"/>
      <c r="AJ679" s="115"/>
    </row>
    <row r="680" spans="1:36" ht="15.75" customHeight="1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5"/>
      <c r="M680" s="115"/>
      <c r="N680" s="116"/>
      <c r="O680" s="116"/>
      <c r="P680" s="114"/>
      <c r="Q680" s="114"/>
      <c r="R680" s="114"/>
      <c r="S680" s="115"/>
      <c r="T680" s="114"/>
      <c r="U680" s="115"/>
      <c r="V680" s="114"/>
      <c r="W680" s="114"/>
      <c r="X680" s="114"/>
      <c r="Y680" s="114"/>
      <c r="Z680" s="114"/>
      <c r="AA680" s="114"/>
      <c r="AB680" s="114"/>
      <c r="AC680" s="114"/>
      <c r="AD680" s="114"/>
      <c r="AE680" s="114"/>
      <c r="AF680" s="114"/>
      <c r="AG680" s="114"/>
      <c r="AH680" s="114"/>
      <c r="AI680" s="114"/>
      <c r="AJ680" s="115"/>
    </row>
    <row r="681" spans="1:36" ht="15.75" customHeight="1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5"/>
      <c r="M681" s="115"/>
      <c r="N681" s="116"/>
      <c r="O681" s="116"/>
      <c r="P681" s="114"/>
      <c r="Q681" s="114"/>
      <c r="R681" s="114"/>
      <c r="S681" s="115"/>
      <c r="T681" s="114"/>
      <c r="U681" s="115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5"/>
    </row>
    <row r="682" spans="1:36" ht="15.75" customHeight="1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5"/>
      <c r="M682" s="115"/>
      <c r="N682" s="116"/>
      <c r="O682" s="116"/>
      <c r="P682" s="114"/>
      <c r="Q682" s="114"/>
      <c r="R682" s="114"/>
      <c r="S682" s="115"/>
      <c r="T682" s="114"/>
      <c r="U682" s="115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5"/>
    </row>
    <row r="683" spans="1:36" ht="15.75" customHeight="1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5"/>
      <c r="M683" s="115"/>
      <c r="N683" s="116"/>
      <c r="O683" s="116"/>
      <c r="P683" s="114"/>
      <c r="Q683" s="114"/>
      <c r="R683" s="114"/>
      <c r="S683" s="115"/>
      <c r="T683" s="114"/>
      <c r="U683" s="115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114"/>
      <c r="AJ683" s="115"/>
    </row>
    <row r="684" spans="1:36" ht="15.75" customHeight="1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5"/>
      <c r="M684" s="115"/>
      <c r="N684" s="116"/>
      <c r="O684" s="116"/>
      <c r="P684" s="114"/>
      <c r="Q684" s="114"/>
      <c r="R684" s="114"/>
      <c r="S684" s="115"/>
      <c r="T684" s="114"/>
      <c r="U684" s="115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5"/>
    </row>
    <row r="685" spans="1:36" ht="15.75" customHeight="1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5"/>
      <c r="M685" s="115"/>
      <c r="N685" s="116"/>
      <c r="O685" s="116"/>
      <c r="P685" s="114"/>
      <c r="Q685" s="114"/>
      <c r="R685" s="114"/>
      <c r="S685" s="115"/>
      <c r="T685" s="114"/>
      <c r="U685" s="115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5"/>
    </row>
    <row r="686" spans="1:36" ht="15.75" customHeight="1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5"/>
      <c r="M686" s="115"/>
      <c r="N686" s="116"/>
      <c r="O686" s="116"/>
      <c r="P686" s="114"/>
      <c r="Q686" s="114"/>
      <c r="R686" s="114"/>
      <c r="S686" s="115"/>
      <c r="T686" s="114"/>
      <c r="U686" s="115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5"/>
    </row>
    <row r="687" spans="1:36" ht="15.75" customHeight="1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5"/>
      <c r="M687" s="115"/>
      <c r="N687" s="116"/>
      <c r="O687" s="116"/>
      <c r="P687" s="114"/>
      <c r="Q687" s="114"/>
      <c r="R687" s="114"/>
      <c r="S687" s="115"/>
      <c r="T687" s="114"/>
      <c r="U687" s="115"/>
      <c r="V687" s="114"/>
      <c r="W687" s="114"/>
      <c r="X687" s="114"/>
      <c r="Y687" s="114"/>
      <c r="Z687" s="114"/>
      <c r="AA687" s="114"/>
      <c r="AB687" s="114"/>
      <c r="AC687" s="114"/>
      <c r="AD687" s="114"/>
      <c r="AE687" s="114"/>
      <c r="AF687" s="114"/>
      <c r="AG687" s="114"/>
      <c r="AH687" s="114"/>
      <c r="AI687" s="114"/>
      <c r="AJ687" s="115"/>
    </row>
    <row r="688" spans="1:36" ht="15.75" customHeight="1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5"/>
      <c r="M688" s="115"/>
      <c r="N688" s="116"/>
      <c r="O688" s="116"/>
      <c r="P688" s="114"/>
      <c r="Q688" s="114"/>
      <c r="R688" s="114"/>
      <c r="S688" s="115"/>
      <c r="T688" s="114"/>
      <c r="U688" s="115"/>
      <c r="V688" s="114"/>
      <c r="W688" s="114"/>
      <c r="X688" s="114"/>
      <c r="Y688" s="114"/>
      <c r="Z688" s="114"/>
      <c r="AA688" s="114"/>
      <c r="AB688" s="114"/>
      <c r="AC688" s="114"/>
      <c r="AD688" s="114"/>
      <c r="AE688" s="114"/>
      <c r="AF688" s="114"/>
      <c r="AG688" s="114"/>
      <c r="AH688" s="114"/>
      <c r="AI688" s="114"/>
      <c r="AJ688" s="115"/>
    </row>
    <row r="689" spans="1:36" ht="15.75" customHeight="1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5"/>
      <c r="M689" s="115"/>
      <c r="N689" s="116"/>
      <c r="O689" s="116"/>
      <c r="P689" s="114"/>
      <c r="Q689" s="114"/>
      <c r="R689" s="114"/>
      <c r="S689" s="115"/>
      <c r="T689" s="114"/>
      <c r="U689" s="115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5"/>
    </row>
    <row r="690" spans="1:36" ht="15.75" customHeight="1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5"/>
      <c r="M690" s="115"/>
      <c r="N690" s="116"/>
      <c r="O690" s="116"/>
      <c r="P690" s="114"/>
      <c r="Q690" s="114"/>
      <c r="R690" s="114"/>
      <c r="S690" s="115"/>
      <c r="T690" s="114"/>
      <c r="U690" s="115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5"/>
    </row>
    <row r="691" spans="1:36" ht="15.75" customHeight="1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5"/>
      <c r="M691" s="115"/>
      <c r="N691" s="116"/>
      <c r="O691" s="116"/>
      <c r="P691" s="114"/>
      <c r="Q691" s="114"/>
      <c r="R691" s="114"/>
      <c r="S691" s="115"/>
      <c r="T691" s="114"/>
      <c r="U691" s="115"/>
      <c r="V691" s="114"/>
      <c r="W691" s="114"/>
      <c r="X691" s="114"/>
      <c r="Y691" s="114"/>
      <c r="Z691" s="114"/>
      <c r="AA691" s="114"/>
      <c r="AB691" s="114"/>
      <c r="AC691" s="114"/>
      <c r="AD691" s="114"/>
      <c r="AE691" s="114"/>
      <c r="AF691" s="114"/>
      <c r="AG691" s="114"/>
      <c r="AH691" s="114"/>
      <c r="AI691" s="114"/>
      <c r="AJ691" s="115"/>
    </row>
    <row r="692" spans="1:36" ht="15.75" customHeight="1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5"/>
      <c r="M692" s="115"/>
      <c r="N692" s="116"/>
      <c r="O692" s="116"/>
      <c r="P692" s="114"/>
      <c r="Q692" s="114"/>
      <c r="R692" s="114"/>
      <c r="S692" s="115"/>
      <c r="T692" s="114"/>
      <c r="U692" s="115"/>
      <c r="V692" s="114"/>
      <c r="W692" s="114"/>
      <c r="X692" s="114"/>
      <c r="Y692" s="114"/>
      <c r="Z692" s="114"/>
      <c r="AA692" s="114"/>
      <c r="AB692" s="114"/>
      <c r="AC692" s="114"/>
      <c r="AD692" s="114"/>
      <c r="AE692" s="114"/>
      <c r="AF692" s="114"/>
      <c r="AG692" s="114"/>
      <c r="AH692" s="114"/>
      <c r="AI692" s="114"/>
      <c r="AJ692" s="115"/>
    </row>
    <row r="693" spans="1:36" ht="15.75" customHeight="1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5"/>
      <c r="M693" s="115"/>
      <c r="N693" s="116"/>
      <c r="O693" s="116"/>
      <c r="P693" s="114"/>
      <c r="Q693" s="114"/>
      <c r="R693" s="114"/>
      <c r="S693" s="115"/>
      <c r="T693" s="114"/>
      <c r="U693" s="115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5"/>
    </row>
    <row r="694" spans="1:36" ht="15.75" customHeight="1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5"/>
      <c r="M694" s="115"/>
      <c r="N694" s="116"/>
      <c r="O694" s="116"/>
      <c r="P694" s="114"/>
      <c r="Q694" s="114"/>
      <c r="R694" s="114"/>
      <c r="S694" s="115"/>
      <c r="T694" s="114"/>
      <c r="U694" s="115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5"/>
    </row>
    <row r="695" spans="1:36" ht="15.75" customHeight="1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5"/>
      <c r="M695" s="115"/>
      <c r="N695" s="116"/>
      <c r="O695" s="116"/>
      <c r="P695" s="114"/>
      <c r="Q695" s="114"/>
      <c r="R695" s="114"/>
      <c r="S695" s="115"/>
      <c r="T695" s="114"/>
      <c r="U695" s="115"/>
      <c r="V695" s="114"/>
      <c r="W695" s="114"/>
      <c r="X695" s="114"/>
      <c r="Y695" s="114"/>
      <c r="Z695" s="114"/>
      <c r="AA695" s="114"/>
      <c r="AB695" s="114"/>
      <c r="AC695" s="114"/>
      <c r="AD695" s="114"/>
      <c r="AE695" s="114"/>
      <c r="AF695" s="114"/>
      <c r="AG695" s="114"/>
      <c r="AH695" s="114"/>
      <c r="AI695" s="114"/>
      <c r="AJ695" s="115"/>
    </row>
    <row r="696" spans="1:36" ht="15.75" customHeight="1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5"/>
      <c r="M696" s="115"/>
      <c r="N696" s="116"/>
      <c r="O696" s="116"/>
      <c r="P696" s="114"/>
      <c r="Q696" s="114"/>
      <c r="R696" s="114"/>
      <c r="S696" s="115"/>
      <c r="T696" s="114"/>
      <c r="U696" s="115"/>
      <c r="V696" s="114"/>
      <c r="W696" s="114"/>
      <c r="X696" s="114"/>
      <c r="Y696" s="114"/>
      <c r="Z696" s="114"/>
      <c r="AA696" s="114"/>
      <c r="AB696" s="114"/>
      <c r="AC696" s="114"/>
      <c r="AD696" s="114"/>
      <c r="AE696" s="114"/>
      <c r="AF696" s="114"/>
      <c r="AG696" s="114"/>
      <c r="AH696" s="114"/>
      <c r="AI696" s="114"/>
      <c r="AJ696" s="115"/>
    </row>
    <row r="697" spans="1:36" ht="15.75" customHeight="1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5"/>
      <c r="M697" s="115"/>
      <c r="N697" s="116"/>
      <c r="O697" s="116"/>
      <c r="P697" s="114"/>
      <c r="Q697" s="114"/>
      <c r="R697" s="114"/>
      <c r="S697" s="115"/>
      <c r="T697" s="114"/>
      <c r="U697" s="115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5"/>
    </row>
    <row r="698" spans="1:36" ht="15.75" customHeight="1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5"/>
      <c r="M698" s="115"/>
      <c r="N698" s="116"/>
      <c r="O698" s="116"/>
      <c r="P698" s="114"/>
      <c r="Q698" s="114"/>
      <c r="R698" s="114"/>
      <c r="S698" s="115"/>
      <c r="T698" s="114"/>
      <c r="U698" s="115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5"/>
    </row>
    <row r="699" spans="1:36" ht="15.75" customHeight="1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5"/>
      <c r="M699" s="115"/>
      <c r="N699" s="116"/>
      <c r="O699" s="116"/>
      <c r="P699" s="114"/>
      <c r="Q699" s="114"/>
      <c r="R699" s="114"/>
      <c r="S699" s="115"/>
      <c r="T699" s="114"/>
      <c r="U699" s="115"/>
      <c r="V699" s="114"/>
      <c r="W699" s="114"/>
      <c r="X699" s="114"/>
      <c r="Y699" s="114"/>
      <c r="Z699" s="114"/>
      <c r="AA699" s="114"/>
      <c r="AB699" s="114"/>
      <c r="AC699" s="114"/>
      <c r="AD699" s="114"/>
      <c r="AE699" s="114"/>
      <c r="AF699" s="114"/>
      <c r="AG699" s="114"/>
      <c r="AH699" s="114"/>
      <c r="AI699" s="114"/>
      <c r="AJ699" s="115"/>
    </row>
    <row r="700" spans="1:36" ht="15.75" customHeight="1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5"/>
      <c r="M700" s="115"/>
      <c r="N700" s="116"/>
      <c r="O700" s="116"/>
      <c r="P700" s="114"/>
      <c r="Q700" s="114"/>
      <c r="R700" s="114"/>
      <c r="S700" s="115"/>
      <c r="T700" s="114"/>
      <c r="U700" s="115"/>
      <c r="V700" s="114"/>
      <c r="W700" s="114"/>
      <c r="X700" s="114"/>
      <c r="Y700" s="114"/>
      <c r="Z700" s="114"/>
      <c r="AA700" s="114"/>
      <c r="AB700" s="114"/>
      <c r="AC700" s="114"/>
      <c r="AD700" s="114"/>
      <c r="AE700" s="114"/>
      <c r="AF700" s="114"/>
      <c r="AG700" s="114"/>
      <c r="AH700" s="114"/>
      <c r="AI700" s="114"/>
      <c r="AJ700" s="115"/>
    </row>
    <row r="701" spans="1:36" ht="15.75" customHeight="1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5"/>
      <c r="M701" s="115"/>
      <c r="N701" s="116"/>
      <c r="O701" s="116"/>
      <c r="P701" s="114"/>
      <c r="Q701" s="114"/>
      <c r="R701" s="114"/>
      <c r="S701" s="115"/>
      <c r="T701" s="114"/>
      <c r="U701" s="115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5"/>
    </row>
    <row r="702" spans="1:36" ht="15.75" customHeight="1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5"/>
      <c r="M702" s="115"/>
      <c r="N702" s="116"/>
      <c r="O702" s="116"/>
      <c r="P702" s="114"/>
      <c r="Q702" s="114"/>
      <c r="R702" s="114"/>
      <c r="S702" s="115"/>
      <c r="T702" s="114"/>
      <c r="U702" s="115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5"/>
    </row>
    <row r="703" spans="1:36" ht="15.75" customHeight="1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5"/>
      <c r="M703" s="115"/>
      <c r="N703" s="116"/>
      <c r="O703" s="116"/>
      <c r="P703" s="114"/>
      <c r="Q703" s="114"/>
      <c r="R703" s="114"/>
      <c r="S703" s="115"/>
      <c r="T703" s="114"/>
      <c r="U703" s="115"/>
      <c r="V703" s="114"/>
      <c r="W703" s="114"/>
      <c r="X703" s="114"/>
      <c r="Y703" s="114"/>
      <c r="Z703" s="114"/>
      <c r="AA703" s="114"/>
      <c r="AB703" s="114"/>
      <c r="AC703" s="114"/>
      <c r="AD703" s="114"/>
      <c r="AE703" s="114"/>
      <c r="AF703" s="114"/>
      <c r="AG703" s="114"/>
      <c r="AH703" s="114"/>
      <c r="AI703" s="114"/>
      <c r="AJ703" s="115"/>
    </row>
    <row r="704" spans="1:36" ht="15.75" customHeight="1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5"/>
      <c r="M704" s="115"/>
      <c r="N704" s="116"/>
      <c r="O704" s="116"/>
      <c r="P704" s="114"/>
      <c r="Q704" s="114"/>
      <c r="R704" s="114"/>
      <c r="S704" s="115"/>
      <c r="T704" s="114"/>
      <c r="U704" s="115"/>
      <c r="V704" s="114"/>
      <c r="W704" s="114"/>
      <c r="X704" s="114"/>
      <c r="Y704" s="114"/>
      <c r="Z704" s="114"/>
      <c r="AA704" s="114"/>
      <c r="AB704" s="114"/>
      <c r="AC704" s="114"/>
      <c r="AD704" s="114"/>
      <c r="AE704" s="114"/>
      <c r="AF704" s="114"/>
      <c r="AG704" s="114"/>
      <c r="AH704" s="114"/>
      <c r="AI704" s="114"/>
      <c r="AJ704" s="115"/>
    </row>
    <row r="705" spans="1:36" ht="15.75" customHeight="1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5"/>
      <c r="M705" s="115"/>
      <c r="N705" s="116"/>
      <c r="O705" s="116"/>
      <c r="P705" s="114"/>
      <c r="Q705" s="114"/>
      <c r="R705" s="114"/>
      <c r="S705" s="115"/>
      <c r="T705" s="114"/>
      <c r="U705" s="115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5"/>
    </row>
    <row r="706" spans="1:36" ht="15.75" customHeight="1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5"/>
      <c r="M706" s="115"/>
      <c r="N706" s="116"/>
      <c r="O706" s="116"/>
      <c r="P706" s="114"/>
      <c r="Q706" s="114"/>
      <c r="R706" s="114"/>
      <c r="S706" s="115"/>
      <c r="T706" s="114"/>
      <c r="U706" s="115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5"/>
    </row>
    <row r="707" spans="1:36" ht="15.75" customHeight="1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5"/>
      <c r="M707" s="115"/>
      <c r="N707" s="116"/>
      <c r="O707" s="116"/>
      <c r="P707" s="114"/>
      <c r="Q707" s="114"/>
      <c r="R707" s="114"/>
      <c r="S707" s="115"/>
      <c r="T707" s="114"/>
      <c r="U707" s="115"/>
      <c r="V707" s="114"/>
      <c r="W707" s="114"/>
      <c r="X707" s="114"/>
      <c r="Y707" s="114"/>
      <c r="Z707" s="114"/>
      <c r="AA707" s="114"/>
      <c r="AB707" s="114"/>
      <c r="AC707" s="114"/>
      <c r="AD707" s="114"/>
      <c r="AE707" s="114"/>
      <c r="AF707" s="114"/>
      <c r="AG707" s="114"/>
      <c r="AH707" s="114"/>
      <c r="AI707" s="114"/>
      <c r="AJ707" s="115"/>
    </row>
    <row r="708" spans="1:36" ht="15.75" customHeight="1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5"/>
      <c r="M708" s="115"/>
      <c r="N708" s="116"/>
      <c r="O708" s="116"/>
      <c r="P708" s="114"/>
      <c r="Q708" s="114"/>
      <c r="R708" s="114"/>
      <c r="S708" s="115"/>
      <c r="T708" s="114"/>
      <c r="U708" s="115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114"/>
      <c r="AJ708" s="115"/>
    </row>
    <row r="709" spans="1:36" ht="15.75" customHeight="1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5"/>
      <c r="M709" s="115"/>
      <c r="N709" s="116"/>
      <c r="O709" s="116"/>
      <c r="P709" s="114"/>
      <c r="Q709" s="114"/>
      <c r="R709" s="114"/>
      <c r="S709" s="115"/>
      <c r="T709" s="114"/>
      <c r="U709" s="115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5"/>
    </row>
    <row r="710" spans="1:36" ht="15.75" customHeight="1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5"/>
      <c r="M710" s="115"/>
      <c r="N710" s="116"/>
      <c r="O710" s="116"/>
      <c r="P710" s="114"/>
      <c r="Q710" s="114"/>
      <c r="R710" s="114"/>
      <c r="S710" s="115"/>
      <c r="T710" s="114"/>
      <c r="U710" s="115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5"/>
    </row>
    <row r="711" spans="1:36" ht="15.75" customHeight="1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5"/>
      <c r="M711" s="115"/>
      <c r="N711" s="116"/>
      <c r="O711" s="116"/>
      <c r="P711" s="114"/>
      <c r="Q711" s="114"/>
      <c r="R711" s="114"/>
      <c r="S711" s="115"/>
      <c r="T711" s="114"/>
      <c r="U711" s="115"/>
      <c r="V711" s="114"/>
      <c r="W711" s="114"/>
      <c r="X711" s="114"/>
      <c r="Y711" s="114"/>
      <c r="Z711" s="114"/>
      <c r="AA711" s="114"/>
      <c r="AB711" s="114"/>
      <c r="AC711" s="114"/>
      <c r="AD711" s="114"/>
      <c r="AE711" s="114"/>
      <c r="AF711" s="114"/>
      <c r="AG711" s="114"/>
      <c r="AH711" s="114"/>
      <c r="AI711" s="114"/>
      <c r="AJ711" s="115"/>
    </row>
    <row r="712" spans="1:36" ht="15.75" customHeight="1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5"/>
      <c r="M712" s="115"/>
      <c r="N712" s="116"/>
      <c r="O712" s="116"/>
      <c r="P712" s="114"/>
      <c r="Q712" s="114"/>
      <c r="R712" s="114"/>
      <c r="S712" s="115"/>
      <c r="T712" s="114"/>
      <c r="U712" s="115"/>
      <c r="V712" s="114"/>
      <c r="W712" s="114"/>
      <c r="X712" s="114"/>
      <c r="Y712" s="114"/>
      <c r="Z712" s="114"/>
      <c r="AA712" s="114"/>
      <c r="AB712" s="114"/>
      <c r="AC712" s="114"/>
      <c r="AD712" s="114"/>
      <c r="AE712" s="114"/>
      <c r="AF712" s="114"/>
      <c r="AG712" s="114"/>
      <c r="AH712" s="114"/>
      <c r="AI712" s="114"/>
      <c r="AJ712" s="115"/>
    </row>
    <row r="713" spans="1:36" ht="15.75" customHeight="1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5"/>
      <c r="M713" s="115"/>
      <c r="N713" s="116"/>
      <c r="O713" s="116"/>
      <c r="P713" s="114"/>
      <c r="Q713" s="114"/>
      <c r="R713" s="114"/>
      <c r="S713" s="115"/>
      <c r="T713" s="114"/>
      <c r="U713" s="115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5"/>
    </row>
    <row r="714" spans="1:36" ht="15.75" customHeight="1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5"/>
      <c r="M714" s="115"/>
      <c r="N714" s="116"/>
      <c r="O714" s="116"/>
      <c r="P714" s="114"/>
      <c r="Q714" s="114"/>
      <c r="R714" s="114"/>
      <c r="S714" s="115"/>
      <c r="T714" s="114"/>
      <c r="U714" s="115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5"/>
    </row>
    <row r="715" spans="1:36" ht="15.75" customHeight="1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5"/>
      <c r="M715" s="115"/>
      <c r="N715" s="116"/>
      <c r="O715" s="116"/>
      <c r="P715" s="114"/>
      <c r="Q715" s="114"/>
      <c r="R715" s="114"/>
      <c r="S715" s="115"/>
      <c r="T715" s="114"/>
      <c r="U715" s="115"/>
      <c r="V715" s="114"/>
      <c r="W715" s="114"/>
      <c r="X715" s="114"/>
      <c r="Y715" s="114"/>
      <c r="Z715" s="114"/>
      <c r="AA715" s="114"/>
      <c r="AB715" s="114"/>
      <c r="AC715" s="114"/>
      <c r="AD715" s="114"/>
      <c r="AE715" s="114"/>
      <c r="AF715" s="114"/>
      <c r="AG715" s="114"/>
      <c r="AH715" s="114"/>
      <c r="AI715" s="114"/>
      <c r="AJ715" s="115"/>
    </row>
    <row r="716" spans="1:36" ht="15.75" customHeight="1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5"/>
      <c r="M716" s="115"/>
      <c r="N716" s="116"/>
      <c r="O716" s="116"/>
      <c r="P716" s="114"/>
      <c r="Q716" s="114"/>
      <c r="R716" s="114"/>
      <c r="S716" s="115"/>
      <c r="T716" s="114"/>
      <c r="U716" s="115"/>
      <c r="V716" s="114"/>
      <c r="W716" s="114"/>
      <c r="X716" s="114"/>
      <c r="Y716" s="114"/>
      <c r="Z716" s="114"/>
      <c r="AA716" s="114"/>
      <c r="AB716" s="114"/>
      <c r="AC716" s="114"/>
      <c r="AD716" s="114"/>
      <c r="AE716" s="114"/>
      <c r="AF716" s="114"/>
      <c r="AG716" s="114"/>
      <c r="AH716" s="114"/>
      <c r="AI716" s="114"/>
      <c r="AJ716" s="115"/>
    </row>
    <row r="717" spans="1:36" ht="15.75" customHeight="1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5"/>
      <c r="M717" s="115"/>
      <c r="N717" s="116"/>
      <c r="O717" s="116"/>
      <c r="P717" s="114"/>
      <c r="Q717" s="114"/>
      <c r="R717" s="114"/>
      <c r="S717" s="115"/>
      <c r="T717" s="114"/>
      <c r="U717" s="115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5"/>
    </row>
    <row r="718" spans="1:36" ht="15.75" customHeight="1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5"/>
      <c r="M718" s="115"/>
      <c r="N718" s="116"/>
      <c r="O718" s="116"/>
      <c r="P718" s="114"/>
      <c r="Q718" s="114"/>
      <c r="R718" s="114"/>
      <c r="S718" s="115"/>
      <c r="T718" s="114"/>
      <c r="U718" s="115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5"/>
    </row>
    <row r="719" spans="1:36" ht="15.75" customHeight="1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5"/>
      <c r="M719" s="115"/>
      <c r="N719" s="116"/>
      <c r="O719" s="116"/>
      <c r="P719" s="114"/>
      <c r="Q719" s="114"/>
      <c r="R719" s="114"/>
      <c r="S719" s="115"/>
      <c r="T719" s="114"/>
      <c r="U719" s="115"/>
      <c r="V719" s="114"/>
      <c r="W719" s="114"/>
      <c r="X719" s="114"/>
      <c r="Y719" s="114"/>
      <c r="Z719" s="114"/>
      <c r="AA719" s="114"/>
      <c r="AB719" s="114"/>
      <c r="AC719" s="114"/>
      <c r="AD719" s="114"/>
      <c r="AE719" s="114"/>
      <c r="AF719" s="114"/>
      <c r="AG719" s="114"/>
      <c r="AH719" s="114"/>
      <c r="AI719" s="114"/>
      <c r="AJ719" s="115"/>
    </row>
    <row r="720" spans="1:36" ht="15.75" customHeight="1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5"/>
      <c r="M720" s="115"/>
      <c r="N720" s="116"/>
      <c r="O720" s="116"/>
      <c r="P720" s="114"/>
      <c r="Q720" s="114"/>
      <c r="R720" s="114"/>
      <c r="S720" s="115"/>
      <c r="T720" s="114"/>
      <c r="U720" s="115"/>
      <c r="V720" s="114"/>
      <c r="W720" s="114"/>
      <c r="X720" s="114"/>
      <c r="Y720" s="114"/>
      <c r="Z720" s="114"/>
      <c r="AA720" s="114"/>
      <c r="AB720" s="114"/>
      <c r="AC720" s="114"/>
      <c r="AD720" s="114"/>
      <c r="AE720" s="114"/>
      <c r="AF720" s="114"/>
      <c r="AG720" s="114"/>
      <c r="AH720" s="114"/>
      <c r="AI720" s="114"/>
      <c r="AJ720" s="115"/>
    </row>
    <row r="721" spans="1:36" ht="15.75" customHeight="1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5"/>
      <c r="M721" s="115"/>
      <c r="N721" s="116"/>
      <c r="O721" s="116"/>
      <c r="P721" s="114"/>
      <c r="Q721" s="114"/>
      <c r="R721" s="114"/>
      <c r="S721" s="115"/>
      <c r="T721" s="114"/>
      <c r="U721" s="115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5"/>
    </row>
    <row r="722" spans="1:36" ht="15.75" customHeight="1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5"/>
      <c r="M722" s="115"/>
      <c r="N722" s="116"/>
      <c r="O722" s="116"/>
      <c r="P722" s="114"/>
      <c r="Q722" s="114"/>
      <c r="R722" s="114"/>
      <c r="S722" s="115"/>
      <c r="T722" s="114"/>
      <c r="U722" s="115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5"/>
    </row>
    <row r="723" spans="1:36" ht="15.75" customHeight="1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5"/>
      <c r="M723" s="115"/>
      <c r="N723" s="116"/>
      <c r="O723" s="116"/>
      <c r="P723" s="114"/>
      <c r="Q723" s="114"/>
      <c r="R723" s="114"/>
      <c r="S723" s="115"/>
      <c r="T723" s="114"/>
      <c r="U723" s="115"/>
      <c r="V723" s="114"/>
      <c r="W723" s="114"/>
      <c r="X723" s="114"/>
      <c r="Y723" s="114"/>
      <c r="Z723" s="114"/>
      <c r="AA723" s="114"/>
      <c r="AB723" s="114"/>
      <c r="AC723" s="114"/>
      <c r="AD723" s="114"/>
      <c r="AE723" s="114"/>
      <c r="AF723" s="114"/>
      <c r="AG723" s="114"/>
      <c r="AH723" s="114"/>
      <c r="AI723" s="114"/>
      <c r="AJ723" s="115"/>
    </row>
    <row r="724" spans="1:36" ht="15.75" customHeight="1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5"/>
      <c r="M724" s="115"/>
      <c r="N724" s="116"/>
      <c r="O724" s="116"/>
      <c r="P724" s="114"/>
      <c r="Q724" s="114"/>
      <c r="R724" s="114"/>
      <c r="S724" s="115"/>
      <c r="T724" s="114"/>
      <c r="U724" s="115"/>
      <c r="V724" s="114"/>
      <c r="W724" s="114"/>
      <c r="X724" s="114"/>
      <c r="Y724" s="114"/>
      <c r="Z724" s="114"/>
      <c r="AA724" s="114"/>
      <c r="AB724" s="114"/>
      <c r="AC724" s="114"/>
      <c r="AD724" s="114"/>
      <c r="AE724" s="114"/>
      <c r="AF724" s="114"/>
      <c r="AG724" s="114"/>
      <c r="AH724" s="114"/>
      <c r="AI724" s="114"/>
      <c r="AJ724" s="115"/>
    </row>
    <row r="725" spans="1:36" ht="15.75" customHeight="1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5"/>
      <c r="M725" s="115"/>
      <c r="N725" s="116"/>
      <c r="O725" s="116"/>
      <c r="P725" s="114"/>
      <c r="Q725" s="114"/>
      <c r="R725" s="114"/>
      <c r="S725" s="115"/>
      <c r="T725" s="114"/>
      <c r="U725" s="115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5"/>
    </row>
    <row r="726" spans="1:36" ht="15.75" customHeight="1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5"/>
      <c r="M726" s="115"/>
      <c r="N726" s="116"/>
      <c r="O726" s="116"/>
      <c r="P726" s="114"/>
      <c r="Q726" s="114"/>
      <c r="R726" s="114"/>
      <c r="S726" s="115"/>
      <c r="T726" s="114"/>
      <c r="U726" s="115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5"/>
    </row>
    <row r="727" spans="1:36" ht="15.75" customHeight="1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5"/>
      <c r="M727" s="115"/>
      <c r="N727" s="116"/>
      <c r="O727" s="116"/>
      <c r="P727" s="114"/>
      <c r="Q727" s="114"/>
      <c r="R727" s="114"/>
      <c r="S727" s="115"/>
      <c r="T727" s="114"/>
      <c r="U727" s="115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114"/>
      <c r="AJ727" s="115"/>
    </row>
    <row r="728" spans="1:36" ht="15.75" customHeight="1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5"/>
      <c r="M728" s="115"/>
      <c r="N728" s="116"/>
      <c r="O728" s="116"/>
      <c r="P728" s="114"/>
      <c r="Q728" s="114"/>
      <c r="R728" s="114"/>
      <c r="S728" s="115"/>
      <c r="T728" s="114"/>
      <c r="U728" s="115"/>
      <c r="V728" s="114"/>
      <c r="W728" s="114"/>
      <c r="X728" s="114"/>
      <c r="Y728" s="114"/>
      <c r="Z728" s="114"/>
      <c r="AA728" s="114"/>
      <c r="AB728" s="114"/>
      <c r="AC728" s="114"/>
      <c r="AD728" s="114"/>
      <c r="AE728" s="114"/>
      <c r="AF728" s="114"/>
      <c r="AG728" s="114"/>
      <c r="AH728" s="114"/>
      <c r="AI728" s="114"/>
      <c r="AJ728" s="115"/>
    </row>
    <row r="729" spans="1:36" ht="15.75" customHeight="1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5"/>
      <c r="M729" s="115"/>
      <c r="N729" s="116"/>
      <c r="O729" s="116"/>
      <c r="P729" s="114"/>
      <c r="Q729" s="114"/>
      <c r="R729" s="114"/>
      <c r="S729" s="115"/>
      <c r="T729" s="114"/>
      <c r="U729" s="115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5"/>
    </row>
    <row r="730" spans="1:36" ht="15.75" customHeight="1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5"/>
      <c r="M730" s="115"/>
      <c r="N730" s="116"/>
      <c r="O730" s="116"/>
      <c r="P730" s="114"/>
      <c r="Q730" s="114"/>
      <c r="R730" s="114"/>
      <c r="S730" s="115"/>
      <c r="T730" s="114"/>
      <c r="U730" s="115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5"/>
    </row>
    <row r="731" spans="1:36" ht="15.75" customHeight="1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5"/>
      <c r="M731" s="115"/>
      <c r="N731" s="116"/>
      <c r="O731" s="116"/>
      <c r="P731" s="114"/>
      <c r="Q731" s="114"/>
      <c r="R731" s="114"/>
      <c r="S731" s="115"/>
      <c r="T731" s="114"/>
      <c r="U731" s="115"/>
      <c r="V731" s="114"/>
      <c r="W731" s="114"/>
      <c r="X731" s="114"/>
      <c r="Y731" s="114"/>
      <c r="Z731" s="114"/>
      <c r="AA731" s="114"/>
      <c r="AB731" s="114"/>
      <c r="AC731" s="114"/>
      <c r="AD731" s="114"/>
      <c r="AE731" s="114"/>
      <c r="AF731" s="114"/>
      <c r="AG731" s="114"/>
      <c r="AH731" s="114"/>
      <c r="AI731" s="114"/>
      <c r="AJ731" s="115"/>
    </row>
    <row r="732" spans="1:36" ht="15.75" customHeight="1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5"/>
      <c r="M732" s="115"/>
      <c r="N732" s="116"/>
      <c r="O732" s="116"/>
      <c r="P732" s="114"/>
      <c r="Q732" s="114"/>
      <c r="R732" s="114"/>
      <c r="S732" s="115"/>
      <c r="T732" s="114"/>
      <c r="U732" s="115"/>
      <c r="V732" s="114"/>
      <c r="W732" s="114"/>
      <c r="X732" s="114"/>
      <c r="Y732" s="114"/>
      <c r="Z732" s="114"/>
      <c r="AA732" s="114"/>
      <c r="AB732" s="114"/>
      <c r="AC732" s="114"/>
      <c r="AD732" s="114"/>
      <c r="AE732" s="114"/>
      <c r="AF732" s="114"/>
      <c r="AG732" s="114"/>
      <c r="AH732" s="114"/>
      <c r="AI732" s="114"/>
      <c r="AJ732" s="115"/>
    </row>
    <row r="733" spans="1:36" ht="15.75" customHeight="1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5"/>
      <c r="M733" s="115"/>
      <c r="N733" s="116"/>
      <c r="O733" s="116"/>
      <c r="P733" s="114"/>
      <c r="Q733" s="114"/>
      <c r="R733" s="114"/>
      <c r="S733" s="115"/>
      <c r="T733" s="114"/>
      <c r="U733" s="115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5"/>
    </row>
    <row r="734" spans="1:36" ht="15.75" customHeight="1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5"/>
      <c r="M734" s="115"/>
      <c r="N734" s="116"/>
      <c r="O734" s="116"/>
      <c r="P734" s="114"/>
      <c r="Q734" s="114"/>
      <c r="R734" s="114"/>
      <c r="S734" s="115"/>
      <c r="T734" s="114"/>
      <c r="U734" s="115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5"/>
    </row>
    <row r="735" spans="1:36" ht="15.75" customHeight="1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5"/>
      <c r="M735" s="115"/>
      <c r="N735" s="116"/>
      <c r="O735" s="116"/>
      <c r="P735" s="114"/>
      <c r="Q735" s="114"/>
      <c r="R735" s="114"/>
      <c r="S735" s="115"/>
      <c r="T735" s="114"/>
      <c r="U735" s="115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114"/>
      <c r="AF735" s="114"/>
      <c r="AG735" s="114"/>
      <c r="AH735" s="114"/>
      <c r="AI735" s="114"/>
      <c r="AJ735" s="115"/>
    </row>
    <row r="736" spans="1:36" ht="15.75" customHeight="1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5"/>
      <c r="M736" s="115"/>
      <c r="N736" s="116"/>
      <c r="O736" s="116"/>
      <c r="P736" s="114"/>
      <c r="Q736" s="114"/>
      <c r="R736" s="114"/>
      <c r="S736" s="115"/>
      <c r="T736" s="114"/>
      <c r="U736" s="115"/>
      <c r="V736" s="114"/>
      <c r="W736" s="114"/>
      <c r="X736" s="114"/>
      <c r="Y736" s="114"/>
      <c r="Z736" s="114"/>
      <c r="AA736" s="114"/>
      <c r="AB736" s="114"/>
      <c r="AC736" s="114"/>
      <c r="AD736" s="114"/>
      <c r="AE736" s="114"/>
      <c r="AF736" s="114"/>
      <c r="AG736" s="114"/>
      <c r="AH736" s="114"/>
      <c r="AI736" s="114"/>
      <c r="AJ736" s="115"/>
    </row>
    <row r="737" spans="1:36" ht="15.75" customHeight="1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5"/>
      <c r="M737" s="115"/>
      <c r="N737" s="116"/>
      <c r="O737" s="116"/>
      <c r="P737" s="114"/>
      <c r="Q737" s="114"/>
      <c r="R737" s="114"/>
      <c r="S737" s="115"/>
      <c r="T737" s="114"/>
      <c r="U737" s="115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5"/>
    </row>
    <row r="738" spans="1:36" ht="15.75" customHeight="1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5"/>
      <c r="M738" s="115"/>
      <c r="N738" s="116"/>
      <c r="O738" s="116"/>
      <c r="P738" s="114"/>
      <c r="Q738" s="114"/>
      <c r="R738" s="114"/>
      <c r="S738" s="115"/>
      <c r="T738" s="114"/>
      <c r="U738" s="115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5"/>
    </row>
    <row r="739" spans="1:36" ht="15.75" customHeight="1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5"/>
      <c r="M739" s="115"/>
      <c r="N739" s="116"/>
      <c r="O739" s="116"/>
      <c r="P739" s="114"/>
      <c r="Q739" s="114"/>
      <c r="R739" s="114"/>
      <c r="S739" s="115"/>
      <c r="T739" s="114"/>
      <c r="U739" s="115"/>
      <c r="V739" s="114"/>
      <c r="W739" s="114"/>
      <c r="X739" s="114"/>
      <c r="Y739" s="114"/>
      <c r="Z739" s="114"/>
      <c r="AA739" s="114"/>
      <c r="AB739" s="114"/>
      <c r="AC739" s="114"/>
      <c r="AD739" s="114"/>
      <c r="AE739" s="114"/>
      <c r="AF739" s="114"/>
      <c r="AG739" s="114"/>
      <c r="AH739" s="114"/>
      <c r="AI739" s="114"/>
      <c r="AJ739" s="115"/>
    </row>
    <row r="740" spans="1:36" ht="15.75" customHeight="1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5"/>
      <c r="M740" s="115"/>
      <c r="N740" s="116"/>
      <c r="O740" s="116"/>
      <c r="P740" s="114"/>
      <c r="Q740" s="114"/>
      <c r="R740" s="114"/>
      <c r="S740" s="115"/>
      <c r="T740" s="114"/>
      <c r="U740" s="115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  <c r="AI740" s="114"/>
      <c r="AJ740" s="115"/>
    </row>
    <row r="741" spans="1:36" ht="15.75" customHeight="1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5"/>
      <c r="M741" s="115"/>
      <c r="N741" s="116"/>
      <c r="O741" s="116"/>
      <c r="P741" s="114"/>
      <c r="Q741" s="114"/>
      <c r="R741" s="114"/>
      <c r="S741" s="115"/>
      <c r="T741" s="114"/>
      <c r="U741" s="115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5"/>
    </row>
    <row r="742" spans="1:36" ht="15.75" customHeight="1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5"/>
      <c r="M742" s="115"/>
      <c r="N742" s="116"/>
      <c r="O742" s="116"/>
      <c r="P742" s="114"/>
      <c r="Q742" s="114"/>
      <c r="R742" s="114"/>
      <c r="S742" s="115"/>
      <c r="T742" s="114"/>
      <c r="U742" s="115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5"/>
    </row>
    <row r="743" spans="1:36" ht="15.75" customHeight="1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5"/>
      <c r="M743" s="115"/>
      <c r="N743" s="116"/>
      <c r="O743" s="116"/>
      <c r="P743" s="114"/>
      <c r="Q743" s="114"/>
      <c r="R743" s="114"/>
      <c r="S743" s="115"/>
      <c r="T743" s="114"/>
      <c r="U743" s="115"/>
      <c r="V743" s="114"/>
      <c r="W743" s="114"/>
      <c r="X743" s="114"/>
      <c r="Y743" s="114"/>
      <c r="Z743" s="114"/>
      <c r="AA743" s="114"/>
      <c r="AB743" s="114"/>
      <c r="AC743" s="114"/>
      <c r="AD743" s="114"/>
      <c r="AE743" s="114"/>
      <c r="AF743" s="114"/>
      <c r="AG743" s="114"/>
      <c r="AH743" s="114"/>
      <c r="AI743" s="114"/>
      <c r="AJ743" s="115"/>
    </row>
    <row r="744" spans="1:36" ht="15.75" customHeight="1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5"/>
      <c r="M744" s="115"/>
      <c r="N744" s="116"/>
      <c r="O744" s="116"/>
      <c r="P744" s="114"/>
      <c r="Q744" s="114"/>
      <c r="R744" s="114"/>
      <c r="S744" s="115"/>
      <c r="T744" s="114"/>
      <c r="U744" s="115"/>
      <c r="V744" s="114"/>
      <c r="W744" s="114"/>
      <c r="X744" s="114"/>
      <c r="Y744" s="114"/>
      <c r="Z744" s="114"/>
      <c r="AA744" s="114"/>
      <c r="AB744" s="114"/>
      <c r="AC744" s="114"/>
      <c r="AD744" s="114"/>
      <c r="AE744" s="114"/>
      <c r="AF744" s="114"/>
      <c r="AG744" s="114"/>
      <c r="AH744" s="114"/>
      <c r="AI744" s="114"/>
      <c r="AJ744" s="115"/>
    </row>
    <row r="745" spans="1:36" ht="15.75" customHeight="1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5"/>
      <c r="M745" s="115"/>
      <c r="N745" s="116"/>
      <c r="O745" s="116"/>
      <c r="P745" s="114"/>
      <c r="Q745" s="114"/>
      <c r="R745" s="114"/>
      <c r="S745" s="115"/>
      <c r="T745" s="114"/>
      <c r="U745" s="115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5"/>
    </row>
    <row r="746" spans="1:36" ht="15.75" customHeight="1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5"/>
      <c r="M746" s="115"/>
      <c r="N746" s="116"/>
      <c r="O746" s="116"/>
      <c r="P746" s="114"/>
      <c r="Q746" s="114"/>
      <c r="R746" s="114"/>
      <c r="S746" s="115"/>
      <c r="T746" s="114"/>
      <c r="U746" s="115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5"/>
    </row>
    <row r="747" spans="1:36" ht="15.75" customHeight="1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5"/>
      <c r="M747" s="115"/>
      <c r="N747" s="116"/>
      <c r="O747" s="116"/>
      <c r="P747" s="114"/>
      <c r="Q747" s="114"/>
      <c r="R747" s="114"/>
      <c r="S747" s="115"/>
      <c r="T747" s="114"/>
      <c r="U747" s="115"/>
      <c r="V747" s="114"/>
      <c r="W747" s="114"/>
      <c r="X747" s="114"/>
      <c r="Y747" s="114"/>
      <c r="Z747" s="114"/>
      <c r="AA747" s="114"/>
      <c r="AB747" s="114"/>
      <c r="AC747" s="114"/>
      <c r="AD747" s="114"/>
      <c r="AE747" s="114"/>
      <c r="AF747" s="114"/>
      <c r="AG747" s="114"/>
      <c r="AH747" s="114"/>
      <c r="AI747" s="114"/>
      <c r="AJ747" s="115"/>
    </row>
    <row r="748" spans="1:36" ht="15.75" customHeight="1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5"/>
      <c r="M748" s="115"/>
      <c r="N748" s="116"/>
      <c r="O748" s="116"/>
      <c r="P748" s="114"/>
      <c r="Q748" s="114"/>
      <c r="R748" s="114"/>
      <c r="S748" s="115"/>
      <c r="T748" s="114"/>
      <c r="U748" s="115"/>
      <c r="V748" s="114"/>
      <c r="W748" s="114"/>
      <c r="X748" s="114"/>
      <c r="Y748" s="114"/>
      <c r="Z748" s="114"/>
      <c r="AA748" s="114"/>
      <c r="AB748" s="114"/>
      <c r="AC748" s="114"/>
      <c r="AD748" s="114"/>
      <c r="AE748" s="114"/>
      <c r="AF748" s="114"/>
      <c r="AG748" s="114"/>
      <c r="AH748" s="114"/>
      <c r="AI748" s="114"/>
      <c r="AJ748" s="115"/>
    </row>
    <row r="749" spans="1:36" ht="15.75" customHeight="1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5"/>
      <c r="M749" s="115"/>
      <c r="N749" s="116"/>
      <c r="O749" s="116"/>
      <c r="P749" s="114"/>
      <c r="Q749" s="114"/>
      <c r="R749" s="114"/>
      <c r="S749" s="115"/>
      <c r="T749" s="114"/>
      <c r="U749" s="115"/>
      <c r="V749" s="114"/>
      <c r="W749" s="114"/>
      <c r="X749" s="114"/>
      <c r="Y749" s="114"/>
      <c r="Z749" s="114"/>
      <c r="AA749" s="114"/>
      <c r="AB749" s="114"/>
      <c r="AC749" s="114"/>
      <c r="AD749" s="114"/>
      <c r="AE749" s="114"/>
      <c r="AF749" s="114"/>
      <c r="AG749" s="114"/>
      <c r="AH749" s="114"/>
      <c r="AI749" s="114"/>
      <c r="AJ749" s="115"/>
    </row>
    <row r="750" spans="1:36" ht="15.75" customHeight="1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5"/>
      <c r="M750" s="115"/>
      <c r="N750" s="116"/>
      <c r="O750" s="116"/>
      <c r="P750" s="114"/>
      <c r="Q750" s="114"/>
      <c r="R750" s="114"/>
      <c r="S750" s="115"/>
      <c r="T750" s="114"/>
      <c r="U750" s="115"/>
      <c r="V750" s="114"/>
      <c r="W750" s="114"/>
      <c r="X750" s="114"/>
      <c r="Y750" s="114"/>
      <c r="Z750" s="114"/>
      <c r="AA750" s="114"/>
      <c r="AB750" s="114"/>
      <c r="AC750" s="114"/>
      <c r="AD750" s="114"/>
      <c r="AE750" s="114"/>
      <c r="AF750" s="114"/>
      <c r="AG750" s="114"/>
      <c r="AH750" s="114"/>
      <c r="AI750" s="114"/>
      <c r="AJ750" s="115"/>
    </row>
    <row r="751" spans="1:36" ht="15.75" customHeight="1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5"/>
      <c r="M751" s="115"/>
      <c r="N751" s="116"/>
      <c r="O751" s="116"/>
      <c r="P751" s="114"/>
      <c r="Q751" s="114"/>
      <c r="R751" s="114"/>
      <c r="S751" s="115"/>
      <c r="T751" s="114"/>
      <c r="U751" s="115"/>
      <c r="V751" s="114"/>
      <c r="W751" s="114"/>
      <c r="X751" s="114"/>
      <c r="Y751" s="114"/>
      <c r="Z751" s="114"/>
      <c r="AA751" s="114"/>
      <c r="AB751" s="114"/>
      <c r="AC751" s="114"/>
      <c r="AD751" s="114"/>
      <c r="AE751" s="114"/>
      <c r="AF751" s="114"/>
      <c r="AG751" s="114"/>
      <c r="AH751" s="114"/>
      <c r="AI751" s="114"/>
      <c r="AJ751" s="115"/>
    </row>
    <row r="752" spans="1:36" ht="15.75" customHeight="1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5"/>
      <c r="M752" s="115"/>
      <c r="N752" s="116"/>
      <c r="O752" s="116"/>
      <c r="P752" s="114"/>
      <c r="Q752" s="114"/>
      <c r="R752" s="114"/>
      <c r="S752" s="115"/>
      <c r="T752" s="114"/>
      <c r="U752" s="115"/>
      <c r="V752" s="114"/>
      <c r="W752" s="114"/>
      <c r="X752" s="114"/>
      <c r="Y752" s="114"/>
      <c r="Z752" s="114"/>
      <c r="AA752" s="114"/>
      <c r="AB752" s="114"/>
      <c r="AC752" s="114"/>
      <c r="AD752" s="114"/>
      <c r="AE752" s="114"/>
      <c r="AF752" s="114"/>
      <c r="AG752" s="114"/>
      <c r="AH752" s="114"/>
      <c r="AI752" s="114"/>
      <c r="AJ752" s="115"/>
    </row>
    <row r="753" spans="1:36" ht="15.75" customHeight="1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5"/>
      <c r="M753" s="115"/>
      <c r="N753" s="116"/>
      <c r="O753" s="116"/>
      <c r="P753" s="114"/>
      <c r="Q753" s="114"/>
      <c r="R753" s="114"/>
      <c r="S753" s="115"/>
      <c r="T753" s="114"/>
      <c r="U753" s="115"/>
      <c r="V753" s="114"/>
      <c r="W753" s="114"/>
      <c r="X753" s="114"/>
      <c r="Y753" s="114"/>
      <c r="Z753" s="114"/>
      <c r="AA753" s="114"/>
      <c r="AB753" s="114"/>
      <c r="AC753" s="114"/>
      <c r="AD753" s="114"/>
      <c r="AE753" s="114"/>
      <c r="AF753" s="114"/>
      <c r="AG753" s="114"/>
      <c r="AH753" s="114"/>
      <c r="AI753" s="114"/>
      <c r="AJ753" s="115"/>
    </row>
    <row r="754" spans="1:36" ht="15.75" customHeight="1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5"/>
      <c r="M754" s="115"/>
      <c r="N754" s="116"/>
      <c r="O754" s="116"/>
      <c r="P754" s="114"/>
      <c r="Q754" s="114"/>
      <c r="R754" s="114"/>
      <c r="S754" s="115"/>
      <c r="T754" s="114"/>
      <c r="U754" s="115"/>
      <c r="V754" s="114"/>
      <c r="W754" s="114"/>
      <c r="X754" s="114"/>
      <c r="Y754" s="114"/>
      <c r="Z754" s="114"/>
      <c r="AA754" s="114"/>
      <c r="AB754" s="114"/>
      <c r="AC754" s="114"/>
      <c r="AD754" s="114"/>
      <c r="AE754" s="114"/>
      <c r="AF754" s="114"/>
      <c r="AG754" s="114"/>
      <c r="AH754" s="114"/>
      <c r="AI754" s="114"/>
      <c r="AJ754" s="115"/>
    </row>
    <row r="755" spans="1:36" ht="15.75" customHeight="1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5"/>
      <c r="M755" s="115"/>
      <c r="N755" s="116"/>
      <c r="O755" s="116"/>
      <c r="P755" s="114"/>
      <c r="Q755" s="114"/>
      <c r="R755" s="114"/>
      <c r="S755" s="115"/>
      <c r="T755" s="114"/>
      <c r="U755" s="115"/>
      <c r="V755" s="114"/>
      <c r="W755" s="114"/>
      <c r="X755" s="114"/>
      <c r="Y755" s="114"/>
      <c r="Z755" s="114"/>
      <c r="AA755" s="114"/>
      <c r="AB755" s="114"/>
      <c r="AC755" s="114"/>
      <c r="AD755" s="114"/>
      <c r="AE755" s="114"/>
      <c r="AF755" s="114"/>
      <c r="AG755" s="114"/>
      <c r="AH755" s="114"/>
      <c r="AI755" s="114"/>
      <c r="AJ755" s="115"/>
    </row>
    <row r="756" spans="1:36" ht="15.75" customHeight="1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5"/>
      <c r="M756" s="115"/>
      <c r="N756" s="116"/>
      <c r="O756" s="116"/>
      <c r="P756" s="114"/>
      <c r="Q756" s="114"/>
      <c r="R756" s="114"/>
      <c r="S756" s="115"/>
      <c r="T756" s="114"/>
      <c r="U756" s="115"/>
      <c r="V756" s="114"/>
      <c r="W756" s="114"/>
      <c r="X756" s="114"/>
      <c r="Y756" s="114"/>
      <c r="Z756" s="114"/>
      <c r="AA756" s="114"/>
      <c r="AB756" s="114"/>
      <c r="AC756" s="114"/>
      <c r="AD756" s="114"/>
      <c r="AE756" s="114"/>
      <c r="AF756" s="114"/>
      <c r="AG756" s="114"/>
      <c r="AH756" s="114"/>
      <c r="AI756" s="114"/>
      <c r="AJ756" s="115"/>
    </row>
    <row r="757" spans="1:36" ht="15.75" customHeight="1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5"/>
      <c r="M757" s="115"/>
      <c r="N757" s="116"/>
      <c r="O757" s="116"/>
      <c r="P757" s="114"/>
      <c r="Q757" s="114"/>
      <c r="R757" s="114"/>
      <c r="S757" s="115"/>
      <c r="T757" s="114"/>
      <c r="U757" s="115"/>
      <c r="V757" s="114"/>
      <c r="W757" s="114"/>
      <c r="X757" s="114"/>
      <c r="Y757" s="114"/>
      <c r="Z757" s="114"/>
      <c r="AA757" s="114"/>
      <c r="AB757" s="114"/>
      <c r="AC757" s="114"/>
      <c r="AD757" s="114"/>
      <c r="AE757" s="114"/>
      <c r="AF757" s="114"/>
      <c r="AG757" s="114"/>
      <c r="AH757" s="114"/>
      <c r="AI757" s="114"/>
      <c r="AJ757" s="115"/>
    </row>
    <row r="758" spans="1:36" ht="15.75" customHeight="1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5"/>
      <c r="M758" s="115"/>
      <c r="N758" s="116"/>
      <c r="O758" s="116"/>
      <c r="P758" s="114"/>
      <c r="Q758" s="114"/>
      <c r="R758" s="114"/>
      <c r="S758" s="115"/>
      <c r="T758" s="114"/>
      <c r="U758" s="115"/>
      <c r="V758" s="114"/>
      <c r="W758" s="114"/>
      <c r="X758" s="114"/>
      <c r="Y758" s="114"/>
      <c r="Z758" s="114"/>
      <c r="AA758" s="114"/>
      <c r="AB758" s="114"/>
      <c r="AC758" s="114"/>
      <c r="AD758" s="114"/>
      <c r="AE758" s="114"/>
      <c r="AF758" s="114"/>
      <c r="AG758" s="114"/>
      <c r="AH758" s="114"/>
      <c r="AI758" s="114"/>
      <c r="AJ758" s="115"/>
    </row>
    <row r="759" spans="1:36" ht="15.75" customHeight="1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5"/>
      <c r="M759" s="115"/>
      <c r="N759" s="116"/>
      <c r="O759" s="116"/>
      <c r="P759" s="114"/>
      <c r="Q759" s="114"/>
      <c r="R759" s="114"/>
      <c r="S759" s="115"/>
      <c r="T759" s="114"/>
      <c r="U759" s="115"/>
      <c r="V759" s="114"/>
      <c r="W759" s="114"/>
      <c r="X759" s="114"/>
      <c r="Y759" s="114"/>
      <c r="Z759" s="114"/>
      <c r="AA759" s="114"/>
      <c r="AB759" s="114"/>
      <c r="AC759" s="114"/>
      <c r="AD759" s="114"/>
      <c r="AE759" s="114"/>
      <c r="AF759" s="114"/>
      <c r="AG759" s="114"/>
      <c r="AH759" s="114"/>
      <c r="AI759" s="114"/>
      <c r="AJ759" s="115"/>
    </row>
    <row r="760" spans="1:36" ht="15.75" customHeight="1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5"/>
      <c r="M760" s="115"/>
      <c r="N760" s="116"/>
      <c r="O760" s="116"/>
      <c r="P760" s="114"/>
      <c r="Q760" s="114"/>
      <c r="R760" s="114"/>
      <c r="S760" s="115"/>
      <c r="T760" s="114"/>
      <c r="U760" s="115"/>
      <c r="V760" s="114"/>
      <c r="W760" s="114"/>
      <c r="X760" s="114"/>
      <c r="Y760" s="114"/>
      <c r="Z760" s="114"/>
      <c r="AA760" s="114"/>
      <c r="AB760" s="114"/>
      <c r="AC760" s="114"/>
      <c r="AD760" s="114"/>
      <c r="AE760" s="114"/>
      <c r="AF760" s="114"/>
      <c r="AG760" s="114"/>
      <c r="AH760" s="114"/>
      <c r="AI760" s="114"/>
      <c r="AJ760" s="115"/>
    </row>
    <row r="761" spans="1:36" ht="15.75" customHeight="1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5"/>
      <c r="M761" s="115"/>
      <c r="N761" s="116"/>
      <c r="O761" s="116"/>
      <c r="P761" s="114"/>
      <c r="Q761" s="114"/>
      <c r="R761" s="114"/>
      <c r="S761" s="115"/>
      <c r="T761" s="114"/>
      <c r="U761" s="115"/>
      <c r="V761" s="114"/>
      <c r="W761" s="114"/>
      <c r="X761" s="114"/>
      <c r="Y761" s="114"/>
      <c r="Z761" s="114"/>
      <c r="AA761" s="114"/>
      <c r="AB761" s="114"/>
      <c r="AC761" s="114"/>
      <c r="AD761" s="114"/>
      <c r="AE761" s="114"/>
      <c r="AF761" s="114"/>
      <c r="AG761" s="114"/>
      <c r="AH761" s="114"/>
      <c r="AI761" s="114"/>
      <c r="AJ761" s="115"/>
    </row>
    <row r="762" spans="1:36" ht="15.75" customHeight="1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5"/>
      <c r="M762" s="115"/>
      <c r="N762" s="116"/>
      <c r="O762" s="116"/>
      <c r="P762" s="114"/>
      <c r="Q762" s="114"/>
      <c r="R762" s="114"/>
      <c r="S762" s="115"/>
      <c r="T762" s="114"/>
      <c r="U762" s="115"/>
      <c r="V762" s="114"/>
      <c r="W762" s="114"/>
      <c r="X762" s="114"/>
      <c r="Y762" s="114"/>
      <c r="Z762" s="114"/>
      <c r="AA762" s="114"/>
      <c r="AB762" s="114"/>
      <c r="AC762" s="114"/>
      <c r="AD762" s="114"/>
      <c r="AE762" s="114"/>
      <c r="AF762" s="114"/>
      <c r="AG762" s="114"/>
      <c r="AH762" s="114"/>
      <c r="AI762" s="114"/>
      <c r="AJ762" s="115"/>
    </row>
    <row r="763" spans="1:36" ht="15.75" customHeight="1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5"/>
      <c r="M763" s="115"/>
      <c r="N763" s="116"/>
      <c r="O763" s="116"/>
      <c r="P763" s="114"/>
      <c r="Q763" s="114"/>
      <c r="R763" s="114"/>
      <c r="S763" s="115"/>
      <c r="T763" s="114"/>
      <c r="U763" s="115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5"/>
    </row>
    <row r="764" spans="1:36" ht="15.75" customHeight="1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5"/>
      <c r="M764" s="115"/>
      <c r="N764" s="116"/>
      <c r="O764" s="116"/>
      <c r="P764" s="114"/>
      <c r="Q764" s="114"/>
      <c r="R764" s="114"/>
      <c r="S764" s="115"/>
      <c r="T764" s="114"/>
      <c r="U764" s="115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5"/>
    </row>
    <row r="765" spans="1:36" ht="15.75" customHeight="1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5"/>
      <c r="M765" s="115"/>
      <c r="N765" s="116"/>
      <c r="O765" s="116"/>
      <c r="P765" s="114"/>
      <c r="Q765" s="114"/>
      <c r="R765" s="114"/>
      <c r="S765" s="115"/>
      <c r="T765" s="114"/>
      <c r="U765" s="115"/>
      <c r="V765" s="114"/>
      <c r="W765" s="114"/>
      <c r="X765" s="114"/>
      <c r="Y765" s="114"/>
      <c r="Z765" s="114"/>
      <c r="AA765" s="114"/>
      <c r="AB765" s="114"/>
      <c r="AC765" s="114"/>
      <c r="AD765" s="114"/>
      <c r="AE765" s="114"/>
      <c r="AF765" s="114"/>
      <c r="AG765" s="114"/>
      <c r="AH765" s="114"/>
      <c r="AI765" s="114"/>
      <c r="AJ765" s="115"/>
    </row>
    <row r="766" spans="1:36" ht="15.75" customHeight="1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5"/>
      <c r="M766" s="115"/>
      <c r="N766" s="116"/>
      <c r="O766" s="116"/>
      <c r="P766" s="114"/>
      <c r="Q766" s="114"/>
      <c r="R766" s="114"/>
      <c r="S766" s="115"/>
      <c r="T766" s="114"/>
      <c r="U766" s="115"/>
      <c r="V766" s="114"/>
      <c r="W766" s="114"/>
      <c r="X766" s="114"/>
      <c r="Y766" s="114"/>
      <c r="Z766" s="114"/>
      <c r="AA766" s="114"/>
      <c r="AB766" s="114"/>
      <c r="AC766" s="114"/>
      <c r="AD766" s="114"/>
      <c r="AE766" s="114"/>
      <c r="AF766" s="114"/>
      <c r="AG766" s="114"/>
      <c r="AH766" s="114"/>
      <c r="AI766" s="114"/>
      <c r="AJ766" s="115"/>
    </row>
    <row r="767" spans="1:36" ht="15.75" customHeight="1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5"/>
      <c r="M767" s="115"/>
      <c r="N767" s="116"/>
      <c r="O767" s="116"/>
      <c r="P767" s="114"/>
      <c r="Q767" s="114"/>
      <c r="R767" s="114"/>
      <c r="S767" s="115"/>
      <c r="T767" s="114"/>
      <c r="U767" s="115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5"/>
    </row>
    <row r="768" spans="1:36" ht="15.75" customHeight="1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5"/>
      <c r="M768" s="115"/>
      <c r="N768" s="116"/>
      <c r="O768" s="116"/>
      <c r="P768" s="114"/>
      <c r="Q768" s="114"/>
      <c r="R768" s="114"/>
      <c r="S768" s="115"/>
      <c r="T768" s="114"/>
      <c r="U768" s="115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5"/>
    </row>
    <row r="769" spans="1:36" ht="15.75" customHeight="1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5"/>
      <c r="M769" s="115"/>
      <c r="N769" s="116"/>
      <c r="O769" s="116"/>
      <c r="P769" s="114"/>
      <c r="Q769" s="114"/>
      <c r="R769" s="114"/>
      <c r="S769" s="115"/>
      <c r="T769" s="114"/>
      <c r="U769" s="115"/>
      <c r="V769" s="114"/>
      <c r="W769" s="114"/>
      <c r="X769" s="114"/>
      <c r="Y769" s="114"/>
      <c r="Z769" s="114"/>
      <c r="AA769" s="114"/>
      <c r="AB769" s="114"/>
      <c r="AC769" s="114"/>
      <c r="AD769" s="114"/>
      <c r="AE769" s="114"/>
      <c r="AF769" s="114"/>
      <c r="AG769" s="114"/>
      <c r="AH769" s="114"/>
      <c r="AI769" s="114"/>
      <c r="AJ769" s="115"/>
    </row>
    <row r="770" spans="1:36" ht="15.75" customHeight="1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5"/>
      <c r="M770" s="115"/>
      <c r="N770" s="116"/>
      <c r="O770" s="116"/>
      <c r="P770" s="114"/>
      <c r="Q770" s="114"/>
      <c r="R770" s="114"/>
      <c r="S770" s="115"/>
      <c r="T770" s="114"/>
      <c r="U770" s="115"/>
      <c r="V770" s="114"/>
      <c r="W770" s="114"/>
      <c r="X770" s="114"/>
      <c r="Y770" s="114"/>
      <c r="Z770" s="114"/>
      <c r="AA770" s="114"/>
      <c r="AB770" s="114"/>
      <c r="AC770" s="114"/>
      <c r="AD770" s="114"/>
      <c r="AE770" s="114"/>
      <c r="AF770" s="114"/>
      <c r="AG770" s="114"/>
      <c r="AH770" s="114"/>
      <c r="AI770" s="114"/>
      <c r="AJ770" s="115"/>
    </row>
    <row r="771" spans="1:36" ht="15.75" customHeight="1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5"/>
      <c r="M771" s="115"/>
      <c r="N771" s="116"/>
      <c r="O771" s="116"/>
      <c r="P771" s="114"/>
      <c r="Q771" s="114"/>
      <c r="R771" s="114"/>
      <c r="S771" s="115"/>
      <c r="T771" s="114"/>
      <c r="U771" s="115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5"/>
    </row>
    <row r="772" spans="1:36" ht="15.75" customHeight="1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5"/>
      <c r="M772" s="115"/>
      <c r="N772" s="116"/>
      <c r="O772" s="116"/>
      <c r="P772" s="114"/>
      <c r="Q772" s="114"/>
      <c r="R772" s="114"/>
      <c r="S772" s="115"/>
      <c r="T772" s="114"/>
      <c r="U772" s="115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5"/>
    </row>
    <row r="773" spans="1:36" ht="15.75" customHeight="1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5"/>
      <c r="M773" s="115"/>
      <c r="N773" s="116"/>
      <c r="O773" s="116"/>
      <c r="P773" s="114"/>
      <c r="Q773" s="114"/>
      <c r="R773" s="114"/>
      <c r="S773" s="115"/>
      <c r="T773" s="114"/>
      <c r="U773" s="115"/>
      <c r="V773" s="114"/>
      <c r="W773" s="114"/>
      <c r="X773" s="114"/>
      <c r="Y773" s="114"/>
      <c r="Z773" s="114"/>
      <c r="AA773" s="114"/>
      <c r="AB773" s="114"/>
      <c r="AC773" s="114"/>
      <c r="AD773" s="114"/>
      <c r="AE773" s="114"/>
      <c r="AF773" s="114"/>
      <c r="AG773" s="114"/>
      <c r="AH773" s="114"/>
      <c r="AI773" s="114"/>
      <c r="AJ773" s="115"/>
    </row>
    <row r="774" spans="1:36" ht="15.75" customHeight="1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5"/>
      <c r="M774" s="115"/>
      <c r="N774" s="116"/>
      <c r="O774" s="116"/>
      <c r="P774" s="114"/>
      <c r="Q774" s="114"/>
      <c r="R774" s="114"/>
      <c r="S774" s="115"/>
      <c r="T774" s="114"/>
      <c r="U774" s="115"/>
      <c r="V774" s="114"/>
      <c r="W774" s="114"/>
      <c r="X774" s="114"/>
      <c r="Y774" s="114"/>
      <c r="Z774" s="114"/>
      <c r="AA774" s="114"/>
      <c r="AB774" s="114"/>
      <c r="AC774" s="114"/>
      <c r="AD774" s="114"/>
      <c r="AE774" s="114"/>
      <c r="AF774" s="114"/>
      <c r="AG774" s="114"/>
      <c r="AH774" s="114"/>
      <c r="AI774" s="114"/>
      <c r="AJ774" s="115"/>
    </row>
    <row r="775" spans="1:36" ht="15.75" customHeight="1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5"/>
      <c r="M775" s="115"/>
      <c r="N775" s="116"/>
      <c r="O775" s="116"/>
      <c r="P775" s="114"/>
      <c r="Q775" s="114"/>
      <c r="R775" s="114"/>
      <c r="S775" s="115"/>
      <c r="T775" s="114"/>
      <c r="U775" s="115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5"/>
    </row>
    <row r="776" spans="1:36" ht="15.75" customHeight="1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5"/>
      <c r="M776" s="115"/>
      <c r="N776" s="116"/>
      <c r="O776" s="116"/>
      <c r="P776" s="114"/>
      <c r="Q776" s="114"/>
      <c r="R776" s="114"/>
      <c r="S776" s="115"/>
      <c r="T776" s="114"/>
      <c r="U776" s="115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5"/>
    </row>
    <row r="777" spans="1:36" ht="15.75" customHeight="1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5"/>
      <c r="M777" s="115"/>
      <c r="N777" s="116"/>
      <c r="O777" s="116"/>
      <c r="P777" s="114"/>
      <c r="Q777" s="114"/>
      <c r="R777" s="114"/>
      <c r="S777" s="115"/>
      <c r="T777" s="114"/>
      <c r="U777" s="115"/>
      <c r="V777" s="114"/>
      <c r="W777" s="114"/>
      <c r="X777" s="114"/>
      <c r="Y777" s="114"/>
      <c r="Z777" s="114"/>
      <c r="AA777" s="114"/>
      <c r="AB777" s="114"/>
      <c r="AC777" s="114"/>
      <c r="AD777" s="114"/>
      <c r="AE777" s="114"/>
      <c r="AF777" s="114"/>
      <c r="AG777" s="114"/>
      <c r="AH777" s="114"/>
      <c r="AI777" s="114"/>
      <c r="AJ777" s="115"/>
    </row>
    <row r="778" spans="1:36" ht="15.75" customHeight="1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5"/>
      <c r="M778" s="115"/>
      <c r="N778" s="116"/>
      <c r="O778" s="116"/>
      <c r="P778" s="114"/>
      <c r="Q778" s="114"/>
      <c r="R778" s="114"/>
      <c r="S778" s="115"/>
      <c r="T778" s="114"/>
      <c r="U778" s="115"/>
      <c r="V778" s="114"/>
      <c r="W778" s="114"/>
      <c r="X778" s="114"/>
      <c r="Y778" s="114"/>
      <c r="Z778" s="114"/>
      <c r="AA778" s="114"/>
      <c r="AB778" s="114"/>
      <c r="AC778" s="114"/>
      <c r="AD778" s="114"/>
      <c r="AE778" s="114"/>
      <c r="AF778" s="114"/>
      <c r="AG778" s="114"/>
      <c r="AH778" s="114"/>
      <c r="AI778" s="114"/>
      <c r="AJ778" s="115"/>
    </row>
    <row r="779" spans="1:36" ht="15.75" customHeight="1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5"/>
      <c r="M779" s="115"/>
      <c r="N779" s="116"/>
      <c r="O779" s="116"/>
      <c r="P779" s="114"/>
      <c r="Q779" s="114"/>
      <c r="R779" s="114"/>
      <c r="S779" s="115"/>
      <c r="T779" s="114"/>
      <c r="U779" s="115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5"/>
    </row>
    <row r="780" spans="1:36" ht="15.75" customHeight="1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5"/>
      <c r="M780" s="115"/>
      <c r="N780" s="116"/>
      <c r="O780" s="116"/>
      <c r="P780" s="114"/>
      <c r="Q780" s="114"/>
      <c r="R780" s="114"/>
      <c r="S780" s="115"/>
      <c r="T780" s="114"/>
      <c r="U780" s="115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5"/>
    </row>
    <row r="781" spans="1:36" ht="15.75" customHeight="1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5"/>
      <c r="M781" s="115"/>
      <c r="N781" s="116"/>
      <c r="O781" s="116"/>
      <c r="P781" s="114"/>
      <c r="Q781" s="114"/>
      <c r="R781" s="114"/>
      <c r="S781" s="115"/>
      <c r="T781" s="114"/>
      <c r="U781" s="115"/>
      <c r="V781" s="114"/>
      <c r="W781" s="114"/>
      <c r="X781" s="114"/>
      <c r="Y781" s="114"/>
      <c r="Z781" s="114"/>
      <c r="AA781" s="114"/>
      <c r="AB781" s="114"/>
      <c r="AC781" s="114"/>
      <c r="AD781" s="114"/>
      <c r="AE781" s="114"/>
      <c r="AF781" s="114"/>
      <c r="AG781" s="114"/>
      <c r="AH781" s="114"/>
      <c r="AI781" s="114"/>
      <c r="AJ781" s="115"/>
    </row>
    <row r="782" spans="1:36" ht="15.75" customHeight="1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5"/>
      <c r="M782" s="115"/>
      <c r="N782" s="116"/>
      <c r="O782" s="116"/>
      <c r="P782" s="114"/>
      <c r="Q782" s="114"/>
      <c r="R782" s="114"/>
      <c r="S782" s="115"/>
      <c r="T782" s="114"/>
      <c r="U782" s="115"/>
      <c r="V782" s="114"/>
      <c r="W782" s="114"/>
      <c r="X782" s="114"/>
      <c r="Y782" s="114"/>
      <c r="Z782" s="114"/>
      <c r="AA782" s="114"/>
      <c r="AB782" s="114"/>
      <c r="AC782" s="114"/>
      <c r="AD782" s="114"/>
      <c r="AE782" s="114"/>
      <c r="AF782" s="114"/>
      <c r="AG782" s="114"/>
      <c r="AH782" s="114"/>
      <c r="AI782" s="114"/>
      <c r="AJ782" s="115"/>
    </row>
    <row r="783" spans="1:36" ht="15.75" customHeight="1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5"/>
      <c r="M783" s="115"/>
      <c r="N783" s="116"/>
      <c r="O783" s="116"/>
      <c r="P783" s="114"/>
      <c r="Q783" s="114"/>
      <c r="R783" s="114"/>
      <c r="S783" s="115"/>
      <c r="T783" s="114"/>
      <c r="U783" s="115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5"/>
    </row>
    <row r="784" spans="1:36" ht="15.75" customHeight="1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5"/>
      <c r="M784" s="115"/>
      <c r="N784" s="116"/>
      <c r="O784" s="116"/>
      <c r="P784" s="114"/>
      <c r="Q784" s="114"/>
      <c r="R784" s="114"/>
      <c r="S784" s="115"/>
      <c r="T784" s="114"/>
      <c r="U784" s="115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5"/>
    </row>
    <row r="785" spans="1:36" ht="15.75" customHeight="1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5"/>
      <c r="M785" s="115"/>
      <c r="N785" s="116"/>
      <c r="O785" s="116"/>
      <c r="P785" s="114"/>
      <c r="Q785" s="114"/>
      <c r="R785" s="114"/>
      <c r="S785" s="115"/>
      <c r="T785" s="114"/>
      <c r="U785" s="115"/>
      <c r="V785" s="114"/>
      <c r="W785" s="114"/>
      <c r="X785" s="114"/>
      <c r="Y785" s="114"/>
      <c r="Z785" s="114"/>
      <c r="AA785" s="114"/>
      <c r="AB785" s="114"/>
      <c r="AC785" s="114"/>
      <c r="AD785" s="114"/>
      <c r="AE785" s="114"/>
      <c r="AF785" s="114"/>
      <c r="AG785" s="114"/>
      <c r="AH785" s="114"/>
      <c r="AI785" s="114"/>
      <c r="AJ785" s="115"/>
    </row>
    <row r="786" spans="1:36" ht="15.75" customHeight="1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5"/>
      <c r="M786" s="115"/>
      <c r="N786" s="116"/>
      <c r="O786" s="116"/>
      <c r="P786" s="114"/>
      <c r="Q786" s="114"/>
      <c r="R786" s="114"/>
      <c r="S786" s="115"/>
      <c r="T786" s="114"/>
      <c r="U786" s="115"/>
      <c r="V786" s="114"/>
      <c r="W786" s="114"/>
      <c r="X786" s="114"/>
      <c r="Y786" s="114"/>
      <c r="Z786" s="114"/>
      <c r="AA786" s="114"/>
      <c r="AB786" s="114"/>
      <c r="AC786" s="114"/>
      <c r="AD786" s="114"/>
      <c r="AE786" s="114"/>
      <c r="AF786" s="114"/>
      <c r="AG786" s="114"/>
      <c r="AH786" s="114"/>
      <c r="AI786" s="114"/>
      <c r="AJ786" s="115"/>
    </row>
    <row r="787" spans="1:36" ht="15.75" customHeight="1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5"/>
      <c r="M787" s="115"/>
      <c r="N787" s="116"/>
      <c r="O787" s="116"/>
      <c r="P787" s="114"/>
      <c r="Q787" s="114"/>
      <c r="R787" s="114"/>
      <c r="S787" s="115"/>
      <c r="T787" s="114"/>
      <c r="U787" s="115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5"/>
    </row>
    <row r="788" spans="1:36" ht="15.75" customHeight="1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5"/>
      <c r="M788" s="115"/>
      <c r="N788" s="116"/>
      <c r="O788" s="116"/>
      <c r="P788" s="114"/>
      <c r="Q788" s="114"/>
      <c r="R788" s="114"/>
      <c r="S788" s="115"/>
      <c r="T788" s="114"/>
      <c r="U788" s="115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5"/>
    </row>
    <row r="789" spans="1:36" ht="15.75" customHeight="1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5"/>
      <c r="M789" s="115"/>
      <c r="N789" s="116"/>
      <c r="O789" s="116"/>
      <c r="P789" s="114"/>
      <c r="Q789" s="114"/>
      <c r="R789" s="114"/>
      <c r="S789" s="115"/>
      <c r="T789" s="114"/>
      <c r="U789" s="115"/>
      <c r="V789" s="114"/>
      <c r="W789" s="114"/>
      <c r="X789" s="114"/>
      <c r="Y789" s="114"/>
      <c r="Z789" s="114"/>
      <c r="AA789" s="114"/>
      <c r="AB789" s="114"/>
      <c r="AC789" s="114"/>
      <c r="AD789" s="114"/>
      <c r="AE789" s="114"/>
      <c r="AF789" s="114"/>
      <c r="AG789" s="114"/>
      <c r="AH789" s="114"/>
      <c r="AI789" s="114"/>
      <c r="AJ789" s="115"/>
    </row>
    <row r="790" spans="1:36" ht="15.75" customHeight="1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5"/>
      <c r="M790" s="115"/>
      <c r="N790" s="116"/>
      <c r="O790" s="116"/>
      <c r="P790" s="114"/>
      <c r="Q790" s="114"/>
      <c r="R790" s="114"/>
      <c r="S790" s="115"/>
      <c r="T790" s="114"/>
      <c r="U790" s="115"/>
      <c r="V790" s="114"/>
      <c r="W790" s="114"/>
      <c r="X790" s="114"/>
      <c r="Y790" s="114"/>
      <c r="Z790" s="114"/>
      <c r="AA790" s="114"/>
      <c r="AB790" s="114"/>
      <c r="AC790" s="114"/>
      <c r="AD790" s="114"/>
      <c r="AE790" s="114"/>
      <c r="AF790" s="114"/>
      <c r="AG790" s="114"/>
      <c r="AH790" s="114"/>
      <c r="AI790" s="114"/>
      <c r="AJ790" s="115"/>
    </row>
    <row r="791" spans="1:36" ht="15.75" customHeight="1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5"/>
      <c r="M791" s="115"/>
      <c r="N791" s="116"/>
      <c r="O791" s="116"/>
      <c r="P791" s="114"/>
      <c r="Q791" s="114"/>
      <c r="R791" s="114"/>
      <c r="S791" s="115"/>
      <c r="T791" s="114"/>
      <c r="U791" s="115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5"/>
    </row>
    <row r="792" spans="1:36" ht="15.75" customHeight="1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5"/>
      <c r="M792" s="115"/>
      <c r="N792" s="116"/>
      <c r="O792" s="116"/>
      <c r="P792" s="114"/>
      <c r="Q792" s="114"/>
      <c r="R792" s="114"/>
      <c r="S792" s="115"/>
      <c r="T792" s="114"/>
      <c r="U792" s="115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5"/>
    </row>
    <row r="793" spans="1:36" ht="15.75" customHeight="1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5"/>
      <c r="M793" s="115"/>
      <c r="N793" s="116"/>
      <c r="O793" s="116"/>
      <c r="P793" s="114"/>
      <c r="Q793" s="114"/>
      <c r="R793" s="114"/>
      <c r="S793" s="115"/>
      <c r="T793" s="114"/>
      <c r="U793" s="115"/>
      <c r="V793" s="114"/>
      <c r="W793" s="114"/>
      <c r="X793" s="114"/>
      <c r="Y793" s="114"/>
      <c r="Z793" s="114"/>
      <c r="AA793" s="114"/>
      <c r="AB793" s="114"/>
      <c r="AC793" s="114"/>
      <c r="AD793" s="114"/>
      <c r="AE793" s="114"/>
      <c r="AF793" s="114"/>
      <c r="AG793" s="114"/>
      <c r="AH793" s="114"/>
      <c r="AI793" s="114"/>
      <c r="AJ793" s="115"/>
    </row>
    <row r="794" spans="1:36" ht="15.75" customHeight="1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5"/>
      <c r="M794" s="115"/>
      <c r="N794" s="116"/>
      <c r="O794" s="116"/>
      <c r="P794" s="114"/>
      <c r="Q794" s="114"/>
      <c r="R794" s="114"/>
      <c r="S794" s="115"/>
      <c r="T794" s="114"/>
      <c r="U794" s="115"/>
      <c r="V794" s="114"/>
      <c r="W794" s="114"/>
      <c r="X794" s="114"/>
      <c r="Y794" s="114"/>
      <c r="Z794" s="114"/>
      <c r="AA794" s="114"/>
      <c r="AB794" s="114"/>
      <c r="AC794" s="114"/>
      <c r="AD794" s="114"/>
      <c r="AE794" s="114"/>
      <c r="AF794" s="114"/>
      <c r="AG794" s="114"/>
      <c r="AH794" s="114"/>
      <c r="AI794" s="114"/>
      <c r="AJ794" s="115"/>
    </row>
    <row r="795" spans="1:36" ht="15.75" customHeight="1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5"/>
      <c r="M795" s="115"/>
      <c r="N795" s="116"/>
      <c r="O795" s="116"/>
      <c r="P795" s="114"/>
      <c r="Q795" s="114"/>
      <c r="R795" s="114"/>
      <c r="S795" s="115"/>
      <c r="T795" s="114"/>
      <c r="U795" s="115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5"/>
    </row>
    <row r="796" spans="1:36" ht="15.75" customHeight="1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5"/>
      <c r="M796" s="115"/>
      <c r="N796" s="116"/>
      <c r="O796" s="116"/>
      <c r="P796" s="114"/>
      <c r="Q796" s="114"/>
      <c r="R796" s="114"/>
      <c r="S796" s="115"/>
      <c r="T796" s="114"/>
      <c r="U796" s="115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5"/>
    </row>
    <row r="797" spans="1:36" ht="15.75" customHeight="1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5"/>
      <c r="M797" s="115"/>
      <c r="N797" s="116"/>
      <c r="O797" s="116"/>
      <c r="P797" s="114"/>
      <c r="Q797" s="114"/>
      <c r="R797" s="114"/>
      <c r="S797" s="115"/>
      <c r="T797" s="114"/>
      <c r="U797" s="115"/>
      <c r="V797" s="114"/>
      <c r="W797" s="114"/>
      <c r="X797" s="114"/>
      <c r="Y797" s="114"/>
      <c r="Z797" s="114"/>
      <c r="AA797" s="114"/>
      <c r="AB797" s="114"/>
      <c r="AC797" s="114"/>
      <c r="AD797" s="114"/>
      <c r="AE797" s="114"/>
      <c r="AF797" s="114"/>
      <c r="AG797" s="114"/>
      <c r="AH797" s="114"/>
      <c r="AI797" s="114"/>
      <c r="AJ797" s="115"/>
    </row>
    <row r="798" spans="1:36" ht="15.75" customHeight="1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5"/>
      <c r="M798" s="115"/>
      <c r="N798" s="116"/>
      <c r="O798" s="116"/>
      <c r="P798" s="114"/>
      <c r="Q798" s="114"/>
      <c r="R798" s="114"/>
      <c r="S798" s="115"/>
      <c r="T798" s="114"/>
      <c r="U798" s="115"/>
      <c r="V798" s="114"/>
      <c r="W798" s="114"/>
      <c r="X798" s="114"/>
      <c r="Y798" s="114"/>
      <c r="Z798" s="114"/>
      <c r="AA798" s="114"/>
      <c r="AB798" s="114"/>
      <c r="AC798" s="114"/>
      <c r="AD798" s="114"/>
      <c r="AE798" s="114"/>
      <c r="AF798" s="114"/>
      <c r="AG798" s="114"/>
      <c r="AH798" s="114"/>
      <c r="AI798" s="114"/>
      <c r="AJ798" s="115"/>
    </row>
    <row r="799" spans="1:36" ht="15.75" customHeight="1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5"/>
      <c r="M799" s="115"/>
      <c r="N799" s="116"/>
      <c r="O799" s="116"/>
      <c r="P799" s="114"/>
      <c r="Q799" s="114"/>
      <c r="R799" s="114"/>
      <c r="S799" s="115"/>
      <c r="T799" s="114"/>
      <c r="U799" s="115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5"/>
    </row>
    <row r="800" spans="1:36" ht="15.75" customHeight="1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5"/>
      <c r="M800" s="115"/>
      <c r="N800" s="116"/>
      <c r="O800" s="116"/>
      <c r="P800" s="114"/>
      <c r="Q800" s="114"/>
      <c r="R800" s="114"/>
      <c r="S800" s="115"/>
      <c r="T800" s="114"/>
      <c r="U800" s="115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5"/>
    </row>
    <row r="801" spans="1:36" ht="15.75" customHeight="1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5"/>
      <c r="M801" s="115"/>
      <c r="N801" s="116"/>
      <c r="O801" s="116"/>
      <c r="P801" s="114"/>
      <c r="Q801" s="114"/>
      <c r="R801" s="114"/>
      <c r="S801" s="115"/>
      <c r="T801" s="114"/>
      <c r="U801" s="115"/>
      <c r="V801" s="114"/>
      <c r="W801" s="114"/>
      <c r="X801" s="114"/>
      <c r="Y801" s="114"/>
      <c r="Z801" s="114"/>
      <c r="AA801" s="114"/>
      <c r="AB801" s="114"/>
      <c r="AC801" s="114"/>
      <c r="AD801" s="114"/>
      <c r="AE801" s="114"/>
      <c r="AF801" s="114"/>
      <c r="AG801" s="114"/>
      <c r="AH801" s="114"/>
      <c r="AI801" s="114"/>
      <c r="AJ801" s="115"/>
    </row>
    <row r="802" spans="1:36" ht="15.75" customHeight="1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5"/>
      <c r="M802" s="115"/>
      <c r="N802" s="116"/>
      <c r="O802" s="116"/>
      <c r="P802" s="114"/>
      <c r="Q802" s="114"/>
      <c r="R802" s="114"/>
      <c r="S802" s="115"/>
      <c r="T802" s="114"/>
      <c r="U802" s="115"/>
      <c r="V802" s="114"/>
      <c r="W802" s="114"/>
      <c r="X802" s="114"/>
      <c r="Y802" s="114"/>
      <c r="Z802" s="114"/>
      <c r="AA802" s="114"/>
      <c r="AB802" s="114"/>
      <c r="AC802" s="114"/>
      <c r="AD802" s="114"/>
      <c r="AE802" s="114"/>
      <c r="AF802" s="114"/>
      <c r="AG802" s="114"/>
      <c r="AH802" s="114"/>
      <c r="AI802" s="114"/>
      <c r="AJ802" s="115"/>
    </row>
    <row r="803" spans="1:36" ht="15.75" customHeight="1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5"/>
      <c r="M803" s="115"/>
      <c r="N803" s="116"/>
      <c r="O803" s="116"/>
      <c r="P803" s="114"/>
      <c r="Q803" s="114"/>
      <c r="R803" s="114"/>
      <c r="S803" s="115"/>
      <c r="T803" s="114"/>
      <c r="U803" s="115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5"/>
    </row>
    <row r="804" spans="1:36" ht="15.75" customHeight="1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5"/>
      <c r="M804" s="115"/>
      <c r="N804" s="116"/>
      <c r="O804" s="116"/>
      <c r="P804" s="114"/>
      <c r="Q804" s="114"/>
      <c r="R804" s="114"/>
      <c r="S804" s="115"/>
      <c r="T804" s="114"/>
      <c r="U804" s="115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5"/>
    </row>
    <row r="805" spans="1:36" ht="15.75" customHeight="1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5"/>
      <c r="M805" s="115"/>
      <c r="N805" s="116"/>
      <c r="O805" s="116"/>
      <c r="P805" s="114"/>
      <c r="Q805" s="114"/>
      <c r="R805" s="114"/>
      <c r="S805" s="115"/>
      <c r="T805" s="114"/>
      <c r="U805" s="115"/>
      <c r="V805" s="114"/>
      <c r="W805" s="114"/>
      <c r="X805" s="114"/>
      <c r="Y805" s="114"/>
      <c r="Z805" s="114"/>
      <c r="AA805" s="114"/>
      <c r="AB805" s="114"/>
      <c r="AC805" s="114"/>
      <c r="AD805" s="114"/>
      <c r="AE805" s="114"/>
      <c r="AF805" s="114"/>
      <c r="AG805" s="114"/>
      <c r="AH805" s="114"/>
      <c r="AI805" s="114"/>
      <c r="AJ805" s="115"/>
    </row>
    <row r="806" spans="1:36" ht="15.75" customHeight="1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5"/>
      <c r="M806" s="115"/>
      <c r="N806" s="116"/>
      <c r="O806" s="116"/>
      <c r="P806" s="114"/>
      <c r="Q806" s="114"/>
      <c r="R806" s="114"/>
      <c r="S806" s="115"/>
      <c r="T806" s="114"/>
      <c r="U806" s="115"/>
      <c r="V806" s="114"/>
      <c r="W806" s="114"/>
      <c r="X806" s="114"/>
      <c r="Y806" s="114"/>
      <c r="Z806" s="114"/>
      <c r="AA806" s="114"/>
      <c r="AB806" s="114"/>
      <c r="AC806" s="114"/>
      <c r="AD806" s="114"/>
      <c r="AE806" s="114"/>
      <c r="AF806" s="114"/>
      <c r="AG806" s="114"/>
      <c r="AH806" s="114"/>
      <c r="AI806" s="114"/>
      <c r="AJ806" s="115"/>
    </row>
    <row r="807" spans="1:36" ht="15.75" customHeight="1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5"/>
      <c r="M807" s="115"/>
      <c r="N807" s="116"/>
      <c r="O807" s="116"/>
      <c r="P807" s="114"/>
      <c r="Q807" s="114"/>
      <c r="R807" s="114"/>
      <c r="S807" s="115"/>
      <c r="T807" s="114"/>
      <c r="U807" s="115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5"/>
    </row>
    <row r="808" spans="1:36" ht="15.75" customHeight="1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5"/>
      <c r="M808" s="115"/>
      <c r="N808" s="116"/>
      <c r="O808" s="116"/>
      <c r="P808" s="114"/>
      <c r="Q808" s="114"/>
      <c r="R808" s="114"/>
      <c r="S808" s="115"/>
      <c r="T808" s="114"/>
      <c r="U808" s="115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5"/>
    </row>
    <row r="809" spans="1:36" ht="15.75" customHeight="1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5"/>
      <c r="M809" s="115"/>
      <c r="N809" s="116"/>
      <c r="O809" s="116"/>
      <c r="P809" s="114"/>
      <c r="Q809" s="114"/>
      <c r="R809" s="114"/>
      <c r="S809" s="115"/>
      <c r="T809" s="114"/>
      <c r="U809" s="115"/>
      <c r="V809" s="114"/>
      <c r="W809" s="114"/>
      <c r="X809" s="114"/>
      <c r="Y809" s="114"/>
      <c r="Z809" s="114"/>
      <c r="AA809" s="114"/>
      <c r="AB809" s="114"/>
      <c r="AC809" s="114"/>
      <c r="AD809" s="114"/>
      <c r="AE809" s="114"/>
      <c r="AF809" s="114"/>
      <c r="AG809" s="114"/>
      <c r="AH809" s="114"/>
      <c r="AI809" s="114"/>
      <c r="AJ809" s="115"/>
    </row>
    <row r="810" spans="1:36" ht="15.75" customHeight="1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5"/>
      <c r="M810" s="115"/>
      <c r="N810" s="116"/>
      <c r="O810" s="116"/>
      <c r="P810" s="114"/>
      <c r="Q810" s="114"/>
      <c r="R810" s="114"/>
      <c r="S810" s="115"/>
      <c r="T810" s="114"/>
      <c r="U810" s="115"/>
      <c r="V810" s="114"/>
      <c r="W810" s="114"/>
      <c r="X810" s="114"/>
      <c r="Y810" s="114"/>
      <c r="Z810" s="114"/>
      <c r="AA810" s="114"/>
      <c r="AB810" s="114"/>
      <c r="AC810" s="114"/>
      <c r="AD810" s="114"/>
      <c r="AE810" s="114"/>
      <c r="AF810" s="114"/>
      <c r="AG810" s="114"/>
      <c r="AH810" s="114"/>
      <c r="AI810" s="114"/>
      <c r="AJ810" s="115"/>
    </row>
    <row r="811" spans="1:36" ht="15.75" customHeight="1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5"/>
      <c r="M811" s="115"/>
      <c r="N811" s="116"/>
      <c r="O811" s="116"/>
      <c r="P811" s="114"/>
      <c r="Q811" s="114"/>
      <c r="R811" s="114"/>
      <c r="S811" s="115"/>
      <c r="T811" s="114"/>
      <c r="U811" s="115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5"/>
    </row>
    <row r="812" spans="1:36" ht="15.75" customHeight="1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5"/>
      <c r="M812" s="115"/>
      <c r="N812" s="116"/>
      <c r="O812" s="116"/>
      <c r="P812" s="114"/>
      <c r="Q812" s="114"/>
      <c r="R812" s="114"/>
      <c r="S812" s="115"/>
      <c r="T812" s="114"/>
      <c r="U812" s="115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5"/>
    </row>
    <row r="813" spans="1:36" ht="15.75" customHeight="1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5"/>
      <c r="M813" s="115"/>
      <c r="N813" s="116"/>
      <c r="O813" s="116"/>
      <c r="P813" s="114"/>
      <c r="Q813" s="114"/>
      <c r="R813" s="114"/>
      <c r="S813" s="115"/>
      <c r="T813" s="114"/>
      <c r="U813" s="115"/>
      <c r="V813" s="114"/>
      <c r="W813" s="114"/>
      <c r="X813" s="114"/>
      <c r="Y813" s="114"/>
      <c r="Z813" s="114"/>
      <c r="AA813" s="114"/>
      <c r="AB813" s="114"/>
      <c r="AC813" s="114"/>
      <c r="AD813" s="114"/>
      <c r="AE813" s="114"/>
      <c r="AF813" s="114"/>
      <c r="AG813" s="114"/>
      <c r="AH813" s="114"/>
      <c r="AI813" s="114"/>
      <c r="AJ813" s="115"/>
    </row>
    <row r="814" spans="1:36" ht="15.75" customHeight="1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5"/>
      <c r="M814" s="115"/>
      <c r="N814" s="116"/>
      <c r="O814" s="116"/>
      <c r="P814" s="114"/>
      <c r="Q814" s="114"/>
      <c r="R814" s="114"/>
      <c r="S814" s="115"/>
      <c r="T814" s="114"/>
      <c r="U814" s="115"/>
      <c r="V814" s="114"/>
      <c r="W814" s="114"/>
      <c r="X814" s="114"/>
      <c r="Y814" s="114"/>
      <c r="Z814" s="114"/>
      <c r="AA814" s="114"/>
      <c r="AB814" s="114"/>
      <c r="AC814" s="114"/>
      <c r="AD814" s="114"/>
      <c r="AE814" s="114"/>
      <c r="AF814" s="114"/>
      <c r="AG814" s="114"/>
      <c r="AH814" s="114"/>
      <c r="AI814" s="114"/>
      <c r="AJ814" s="115"/>
    </row>
    <row r="815" spans="1:36" ht="15.75" customHeight="1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5"/>
      <c r="M815" s="115"/>
      <c r="N815" s="116"/>
      <c r="O815" s="116"/>
      <c r="P815" s="114"/>
      <c r="Q815" s="114"/>
      <c r="R815" s="114"/>
      <c r="S815" s="115"/>
      <c r="T815" s="114"/>
      <c r="U815" s="115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5"/>
    </row>
    <row r="816" spans="1:36" ht="15.75" customHeight="1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5"/>
      <c r="M816" s="115"/>
      <c r="N816" s="116"/>
      <c r="O816" s="116"/>
      <c r="P816" s="114"/>
      <c r="Q816" s="114"/>
      <c r="R816" s="114"/>
      <c r="S816" s="115"/>
      <c r="T816" s="114"/>
      <c r="U816" s="115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5"/>
    </row>
    <row r="817" spans="1:36" ht="15.75" customHeight="1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5"/>
      <c r="M817" s="115"/>
      <c r="N817" s="116"/>
      <c r="O817" s="116"/>
      <c r="P817" s="114"/>
      <c r="Q817" s="114"/>
      <c r="R817" s="114"/>
      <c r="S817" s="115"/>
      <c r="T817" s="114"/>
      <c r="U817" s="115"/>
      <c r="V817" s="114"/>
      <c r="W817" s="114"/>
      <c r="X817" s="114"/>
      <c r="Y817" s="114"/>
      <c r="Z817" s="114"/>
      <c r="AA817" s="114"/>
      <c r="AB817" s="114"/>
      <c r="AC817" s="114"/>
      <c r="AD817" s="114"/>
      <c r="AE817" s="114"/>
      <c r="AF817" s="114"/>
      <c r="AG817" s="114"/>
      <c r="AH817" s="114"/>
      <c r="AI817" s="114"/>
      <c r="AJ817" s="115"/>
    </row>
    <row r="818" spans="1:36" ht="15.75" customHeight="1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5"/>
      <c r="M818" s="115"/>
      <c r="N818" s="116"/>
      <c r="O818" s="116"/>
      <c r="P818" s="114"/>
      <c r="Q818" s="114"/>
      <c r="R818" s="114"/>
      <c r="S818" s="115"/>
      <c r="T818" s="114"/>
      <c r="U818" s="115"/>
      <c r="V818" s="114"/>
      <c r="W818" s="114"/>
      <c r="X818" s="114"/>
      <c r="Y818" s="114"/>
      <c r="Z818" s="114"/>
      <c r="AA818" s="114"/>
      <c r="AB818" s="114"/>
      <c r="AC818" s="114"/>
      <c r="AD818" s="114"/>
      <c r="AE818" s="114"/>
      <c r="AF818" s="114"/>
      <c r="AG818" s="114"/>
      <c r="AH818" s="114"/>
      <c r="AI818" s="114"/>
      <c r="AJ818" s="115"/>
    </row>
    <row r="819" spans="1:36" ht="15.75" customHeight="1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5"/>
      <c r="M819" s="115"/>
      <c r="N819" s="116"/>
      <c r="O819" s="116"/>
      <c r="P819" s="114"/>
      <c r="Q819" s="114"/>
      <c r="R819" s="114"/>
      <c r="S819" s="115"/>
      <c r="T819" s="114"/>
      <c r="U819" s="115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5"/>
    </row>
    <row r="820" spans="1:36" ht="15.75" customHeight="1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5"/>
      <c r="M820" s="115"/>
      <c r="N820" s="116"/>
      <c r="O820" s="116"/>
      <c r="P820" s="114"/>
      <c r="Q820" s="114"/>
      <c r="R820" s="114"/>
      <c r="S820" s="115"/>
      <c r="T820" s="114"/>
      <c r="U820" s="115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5"/>
    </row>
    <row r="821" spans="1:36" ht="15.75" customHeight="1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5"/>
      <c r="M821" s="115"/>
      <c r="N821" s="116"/>
      <c r="O821" s="116"/>
      <c r="P821" s="114"/>
      <c r="Q821" s="114"/>
      <c r="R821" s="114"/>
      <c r="S821" s="115"/>
      <c r="T821" s="114"/>
      <c r="U821" s="115"/>
      <c r="V821" s="114"/>
      <c r="W821" s="114"/>
      <c r="X821" s="114"/>
      <c r="Y821" s="114"/>
      <c r="Z821" s="114"/>
      <c r="AA821" s="114"/>
      <c r="AB821" s="114"/>
      <c r="AC821" s="114"/>
      <c r="AD821" s="114"/>
      <c r="AE821" s="114"/>
      <c r="AF821" s="114"/>
      <c r="AG821" s="114"/>
      <c r="AH821" s="114"/>
      <c r="AI821" s="114"/>
      <c r="AJ821" s="115"/>
    </row>
    <row r="822" spans="1:36" ht="15.75" customHeight="1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5"/>
      <c r="M822" s="115"/>
      <c r="N822" s="116"/>
      <c r="O822" s="116"/>
      <c r="P822" s="114"/>
      <c r="Q822" s="114"/>
      <c r="R822" s="114"/>
      <c r="S822" s="115"/>
      <c r="T822" s="114"/>
      <c r="U822" s="115"/>
      <c r="V822" s="114"/>
      <c r="W822" s="114"/>
      <c r="X822" s="114"/>
      <c r="Y822" s="114"/>
      <c r="Z822" s="114"/>
      <c r="AA822" s="114"/>
      <c r="AB822" s="114"/>
      <c r="AC822" s="114"/>
      <c r="AD822" s="114"/>
      <c r="AE822" s="114"/>
      <c r="AF822" s="114"/>
      <c r="AG822" s="114"/>
      <c r="AH822" s="114"/>
      <c r="AI822" s="114"/>
      <c r="AJ822" s="115"/>
    </row>
    <row r="823" spans="1:36" ht="15.75" customHeight="1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5"/>
      <c r="M823" s="115"/>
      <c r="N823" s="116"/>
      <c r="O823" s="116"/>
      <c r="P823" s="114"/>
      <c r="Q823" s="114"/>
      <c r="R823" s="114"/>
      <c r="S823" s="115"/>
      <c r="T823" s="114"/>
      <c r="U823" s="115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5"/>
    </row>
    <row r="824" spans="1:36" ht="15.75" customHeight="1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5"/>
      <c r="M824" s="115"/>
      <c r="N824" s="116"/>
      <c r="O824" s="116"/>
      <c r="P824" s="114"/>
      <c r="Q824" s="114"/>
      <c r="R824" s="114"/>
      <c r="S824" s="115"/>
      <c r="T824" s="114"/>
      <c r="U824" s="115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5"/>
    </row>
    <row r="825" spans="1:36" ht="15.75" customHeight="1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5"/>
      <c r="M825" s="115"/>
      <c r="N825" s="116"/>
      <c r="O825" s="116"/>
      <c r="P825" s="114"/>
      <c r="Q825" s="114"/>
      <c r="R825" s="114"/>
      <c r="S825" s="115"/>
      <c r="T825" s="114"/>
      <c r="U825" s="115"/>
      <c r="V825" s="114"/>
      <c r="W825" s="114"/>
      <c r="X825" s="114"/>
      <c r="Y825" s="114"/>
      <c r="Z825" s="114"/>
      <c r="AA825" s="114"/>
      <c r="AB825" s="114"/>
      <c r="AC825" s="114"/>
      <c r="AD825" s="114"/>
      <c r="AE825" s="114"/>
      <c r="AF825" s="114"/>
      <c r="AG825" s="114"/>
      <c r="AH825" s="114"/>
      <c r="AI825" s="114"/>
      <c r="AJ825" s="115"/>
    </row>
    <row r="826" spans="1:36" ht="15.75" customHeight="1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5"/>
      <c r="M826" s="115"/>
      <c r="N826" s="116"/>
      <c r="O826" s="116"/>
      <c r="P826" s="114"/>
      <c r="Q826" s="114"/>
      <c r="R826" s="114"/>
      <c r="S826" s="115"/>
      <c r="T826" s="114"/>
      <c r="U826" s="115"/>
      <c r="V826" s="114"/>
      <c r="W826" s="114"/>
      <c r="X826" s="114"/>
      <c r="Y826" s="114"/>
      <c r="Z826" s="114"/>
      <c r="AA826" s="114"/>
      <c r="AB826" s="114"/>
      <c r="AC826" s="114"/>
      <c r="AD826" s="114"/>
      <c r="AE826" s="114"/>
      <c r="AF826" s="114"/>
      <c r="AG826" s="114"/>
      <c r="AH826" s="114"/>
      <c r="AI826" s="114"/>
      <c r="AJ826" s="115"/>
    </row>
    <row r="827" spans="1:36" ht="15.75" customHeight="1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5"/>
      <c r="M827" s="115"/>
      <c r="N827" s="116"/>
      <c r="O827" s="116"/>
      <c r="P827" s="114"/>
      <c r="Q827" s="114"/>
      <c r="R827" s="114"/>
      <c r="S827" s="115"/>
      <c r="T827" s="114"/>
      <c r="U827" s="115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5"/>
    </row>
    <row r="828" spans="1:36" ht="15.75" customHeight="1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5"/>
      <c r="M828" s="115"/>
      <c r="N828" s="116"/>
      <c r="O828" s="116"/>
      <c r="P828" s="114"/>
      <c r="Q828" s="114"/>
      <c r="R828" s="114"/>
      <c r="S828" s="115"/>
      <c r="T828" s="114"/>
      <c r="U828" s="115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5"/>
    </row>
    <row r="829" spans="1:36" ht="15.75" customHeight="1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5"/>
      <c r="M829" s="115"/>
      <c r="N829" s="116"/>
      <c r="O829" s="116"/>
      <c r="P829" s="114"/>
      <c r="Q829" s="114"/>
      <c r="R829" s="114"/>
      <c r="S829" s="115"/>
      <c r="T829" s="114"/>
      <c r="U829" s="115"/>
      <c r="V829" s="114"/>
      <c r="W829" s="114"/>
      <c r="X829" s="114"/>
      <c r="Y829" s="114"/>
      <c r="Z829" s="114"/>
      <c r="AA829" s="114"/>
      <c r="AB829" s="114"/>
      <c r="AC829" s="114"/>
      <c r="AD829" s="114"/>
      <c r="AE829" s="114"/>
      <c r="AF829" s="114"/>
      <c r="AG829" s="114"/>
      <c r="AH829" s="114"/>
      <c r="AI829" s="114"/>
      <c r="AJ829" s="115"/>
    </row>
    <row r="830" spans="1:36" ht="15.75" customHeight="1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5"/>
      <c r="M830" s="115"/>
      <c r="N830" s="116"/>
      <c r="O830" s="116"/>
      <c r="P830" s="114"/>
      <c r="Q830" s="114"/>
      <c r="R830" s="114"/>
      <c r="S830" s="115"/>
      <c r="T830" s="114"/>
      <c r="U830" s="115"/>
      <c r="V830" s="114"/>
      <c r="W830" s="114"/>
      <c r="X830" s="114"/>
      <c r="Y830" s="114"/>
      <c r="Z830" s="114"/>
      <c r="AA830" s="114"/>
      <c r="AB830" s="114"/>
      <c r="AC830" s="114"/>
      <c r="AD830" s="114"/>
      <c r="AE830" s="114"/>
      <c r="AF830" s="114"/>
      <c r="AG830" s="114"/>
      <c r="AH830" s="114"/>
      <c r="AI830" s="114"/>
      <c r="AJ830" s="115"/>
    </row>
    <row r="831" spans="1:36" ht="15.75" customHeight="1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5"/>
      <c r="M831" s="115"/>
      <c r="N831" s="116"/>
      <c r="O831" s="116"/>
      <c r="P831" s="114"/>
      <c r="Q831" s="114"/>
      <c r="R831" s="114"/>
      <c r="S831" s="115"/>
      <c r="T831" s="114"/>
      <c r="U831" s="115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5"/>
    </row>
    <row r="832" spans="1:36" ht="15.75" customHeight="1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5"/>
      <c r="M832" s="115"/>
      <c r="N832" s="116"/>
      <c r="O832" s="116"/>
      <c r="P832" s="114"/>
      <c r="Q832" s="114"/>
      <c r="R832" s="114"/>
      <c r="S832" s="115"/>
      <c r="T832" s="114"/>
      <c r="U832" s="115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5"/>
    </row>
    <row r="833" spans="1:36" ht="15.75" customHeight="1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5"/>
      <c r="M833" s="115"/>
      <c r="N833" s="116"/>
      <c r="O833" s="116"/>
      <c r="P833" s="114"/>
      <c r="Q833" s="114"/>
      <c r="R833" s="114"/>
      <c r="S833" s="115"/>
      <c r="T833" s="114"/>
      <c r="U833" s="115"/>
      <c r="V833" s="114"/>
      <c r="W833" s="114"/>
      <c r="X833" s="114"/>
      <c r="Y833" s="114"/>
      <c r="Z833" s="114"/>
      <c r="AA833" s="114"/>
      <c r="AB833" s="114"/>
      <c r="AC833" s="114"/>
      <c r="AD833" s="114"/>
      <c r="AE833" s="114"/>
      <c r="AF833" s="114"/>
      <c r="AG833" s="114"/>
      <c r="AH833" s="114"/>
      <c r="AI833" s="114"/>
      <c r="AJ833" s="115"/>
    </row>
    <row r="834" spans="1:36" ht="15.75" customHeight="1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5"/>
      <c r="M834" s="115"/>
      <c r="N834" s="116"/>
      <c r="O834" s="116"/>
      <c r="P834" s="114"/>
      <c r="Q834" s="114"/>
      <c r="R834" s="114"/>
      <c r="S834" s="115"/>
      <c r="T834" s="114"/>
      <c r="U834" s="115"/>
      <c r="V834" s="114"/>
      <c r="W834" s="114"/>
      <c r="X834" s="114"/>
      <c r="Y834" s="114"/>
      <c r="Z834" s="114"/>
      <c r="AA834" s="114"/>
      <c r="AB834" s="114"/>
      <c r="AC834" s="114"/>
      <c r="AD834" s="114"/>
      <c r="AE834" s="114"/>
      <c r="AF834" s="114"/>
      <c r="AG834" s="114"/>
      <c r="AH834" s="114"/>
      <c r="AI834" s="114"/>
      <c r="AJ834" s="115"/>
    </row>
    <row r="835" spans="1:36" ht="15.75" customHeight="1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5"/>
      <c r="M835" s="115"/>
      <c r="N835" s="116"/>
      <c r="O835" s="116"/>
      <c r="P835" s="114"/>
      <c r="Q835" s="114"/>
      <c r="R835" s="114"/>
      <c r="S835" s="115"/>
      <c r="T835" s="114"/>
      <c r="U835" s="115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5"/>
    </row>
    <row r="836" spans="1:36" ht="15.75" customHeight="1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5"/>
      <c r="M836" s="115"/>
      <c r="N836" s="116"/>
      <c r="O836" s="116"/>
      <c r="P836" s="114"/>
      <c r="Q836" s="114"/>
      <c r="R836" s="114"/>
      <c r="S836" s="115"/>
      <c r="T836" s="114"/>
      <c r="U836" s="115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5"/>
    </row>
    <row r="837" spans="1:36" ht="15.75" customHeight="1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5"/>
      <c r="M837" s="115"/>
      <c r="N837" s="116"/>
      <c r="O837" s="116"/>
      <c r="P837" s="114"/>
      <c r="Q837" s="114"/>
      <c r="R837" s="114"/>
      <c r="S837" s="115"/>
      <c r="T837" s="114"/>
      <c r="U837" s="115"/>
      <c r="V837" s="114"/>
      <c r="W837" s="114"/>
      <c r="X837" s="114"/>
      <c r="Y837" s="114"/>
      <c r="Z837" s="114"/>
      <c r="AA837" s="114"/>
      <c r="AB837" s="114"/>
      <c r="AC837" s="114"/>
      <c r="AD837" s="114"/>
      <c r="AE837" s="114"/>
      <c r="AF837" s="114"/>
      <c r="AG837" s="114"/>
      <c r="AH837" s="114"/>
      <c r="AI837" s="114"/>
      <c r="AJ837" s="115"/>
    </row>
    <row r="838" spans="1:36" ht="15.75" customHeight="1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5"/>
      <c r="M838" s="115"/>
      <c r="N838" s="116"/>
      <c r="O838" s="116"/>
      <c r="P838" s="114"/>
      <c r="Q838" s="114"/>
      <c r="R838" s="114"/>
      <c r="S838" s="115"/>
      <c r="T838" s="114"/>
      <c r="U838" s="115"/>
      <c r="V838" s="114"/>
      <c r="W838" s="114"/>
      <c r="X838" s="114"/>
      <c r="Y838" s="114"/>
      <c r="Z838" s="114"/>
      <c r="AA838" s="114"/>
      <c r="AB838" s="114"/>
      <c r="AC838" s="114"/>
      <c r="AD838" s="114"/>
      <c r="AE838" s="114"/>
      <c r="AF838" s="114"/>
      <c r="AG838" s="114"/>
      <c r="AH838" s="114"/>
      <c r="AI838" s="114"/>
      <c r="AJ838" s="115"/>
    </row>
    <row r="839" spans="1:36" ht="15.75" customHeight="1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5"/>
      <c r="M839" s="115"/>
      <c r="N839" s="116"/>
      <c r="O839" s="116"/>
      <c r="P839" s="114"/>
      <c r="Q839" s="114"/>
      <c r="R839" s="114"/>
      <c r="S839" s="115"/>
      <c r="T839" s="114"/>
      <c r="U839" s="115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5"/>
    </row>
    <row r="840" spans="1:36" ht="15.75" customHeight="1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5"/>
      <c r="M840" s="115"/>
      <c r="N840" s="116"/>
      <c r="O840" s="116"/>
      <c r="P840" s="114"/>
      <c r="Q840" s="114"/>
      <c r="R840" s="114"/>
      <c r="S840" s="115"/>
      <c r="T840" s="114"/>
      <c r="U840" s="115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5"/>
    </row>
    <row r="841" spans="1:36" ht="15.75" customHeight="1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5"/>
      <c r="M841" s="115"/>
      <c r="N841" s="116"/>
      <c r="O841" s="116"/>
      <c r="P841" s="114"/>
      <c r="Q841" s="114"/>
      <c r="R841" s="114"/>
      <c r="S841" s="115"/>
      <c r="T841" s="114"/>
      <c r="U841" s="115"/>
      <c r="V841" s="114"/>
      <c r="W841" s="114"/>
      <c r="X841" s="114"/>
      <c r="Y841" s="114"/>
      <c r="Z841" s="114"/>
      <c r="AA841" s="114"/>
      <c r="AB841" s="114"/>
      <c r="AC841" s="114"/>
      <c r="AD841" s="114"/>
      <c r="AE841" s="114"/>
      <c r="AF841" s="114"/>
      <c r="AG841" s="114"/>
      <c r="AH841" s="114"/>
      <c r="AI841" s="114"/>
      <c r="AJ841" s="115"/>
    </row>
    <row r="842" spans="1:36" ht="15.75" customHeight="1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5"/>
      <c r="M842" s="115"/>
      <c r="N842" s="116"/>
      <c r="O842" s="116"/>
      <c r="P842" s="114"/>
      <c r="Q842" s="114"/>
      <c r="R842" s="114"/>
      <c r="S842" s="115"/>
      <c r="T842" s="114"/>
      <c r="U842" s="115"/>
      <c r="V842" s="114"/>
      <c r="W842" s="114"/>
      <c r="X842" s="114"/>
      <c r="Y842" s="114"/>
      <c r="Z842" s="114"/>
      <c r="AA842" s="114"/>
      <c r="AB842" s="114"/>
      <c r="AC842" s="114"/>
      <c r="AD842" s="114"/>
      <c r="AE842" s="114"/>
      <c r="AF842" s="114"/>
      <c r="AG842" s="114"/>
      <c r="AH842" s="114"/>
      <c r="AI842" s="114"/>
      <c r="AJ842" s="115"/>
    </row>
    <row r="843" spans="1:36" ht="15.75" customHeight="1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5"/>
      <c r="M843" s="115"/>
      <c r="N843" s="116"/>
      <c r="O843" s="116"/>
      <c r="P843" s="114"/>
      <c r="Q843" s="114"/>
      <c r="R843" s="114"/>
      <c r="S843" s="115"/>
      <c r="T843" s="114"/>
      <c r="U843" s="115"/>
      <c r="V843" s="114"/>
      <c r="W843" s="114"/>
      <c r="X843" s="114"/>
      <c r="Y843" s="114"/>
      <c r="Z843" s="114"/>
      <c r="AA843" s="114"/>
      <c r="AB843" s="114"/>
      <c r="AC843" s="114"/>
      <c r="AD843" s="114"/>
      <c r="AE843" s="114"/>
      <c r="AF843" s="114"/>
      <c r="AG843" s="114"/>
      <c r="AH843" s="114"/>
      <c r="AI843" s="114"/>
      <c r="AJ843" s="115"/>
    </row>
    <row r="844" spans="1:36" ht="15.75" customHeight="1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5"/>
      <c r="M844" s="115"/>
      <c r="N844" s="116"/>
      <c r="O844" s="116"/>
      <c r="P844" s="114"/>
      <c r="Q844" s="114"/>
      <c r="R844" s="114"/>
      <c r="S844" s="115"/>
      <c r="T844" s="114"/>
      <c r="U844" s="115"/>
      <c r="V844" s="114"/>
      <c r="W844" s="114"/>
      <c r="X844" s="114"/>
      <c r="Y844" s="114"/>
      <c r="Z844" s="114"/>
      <c r="AA844" s="114"/>
      <c r="AB844" s="114"/>
      <c r="AC844" s="114"/>
      <c r="AD844" s="114"/>
      <c r="AE844" s="114"/>
      <c r="AF844" s="114"/>
      <c r="AG844" s="114"/>
      <c r="AH844" s="114"/>
      <c r="AI844" s="114"/>
      <c r="AJ844" s="115"/>
    </row>
    <row r="845" spans="1:36" ht="15.75" customHeight="1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5"/>
      <c r="M845" s="115"/>
      <c r="N845" s="116"/>
      <c r="O845" s="116"/>
      <c r="P845" s="114"/>
      <c r="Q845" s="114"/>
      <c r="R845" s="114"/>
      <c r="S845" s="115"/>
      <c r="T845" s="114"/>
      <c r="U845" s="115"/>
      <c r="V845" s="114"/>
      <c r="W845" s="114"/>
      <c r="X845" s="114"/>
      <c r="Y845" s="114"/>
      <c r="Z845" s="114"/>
      <c r="AA845" s="114"/>
      <c r="AB845" s="114"/>
      <c r="AC845" s="114"/>
      <c r="AD845" s="114"/>
      <c r="AE845" s="114"/>
      <c r="AF845" s="114"/>
      <c r="AG845" s="114"/>
      <c r="AH845" s="114"/>
      <c r="AI845" s="114"/>
      <c r="AJ845" s="115"/>
    </row>
    <row r="846" spans="1:36" ht="15.75" customHeight="1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5"/>
      <c r="M846" s="115"/>
      <c r="N846" s="116"/>
      <c r="O846" s="116"/>
      <c r="P846" s="114"/>
      <c r="Q846" s="114"/>
      <c r="R846" s="114"/>
      <c r="S846" s="115"/>
      <c r="T846" s="114"/>
      <c r="U846" s="115"/>
      <c r="V846" s="114"/>
      <c r="W846" s="114"/>
      <c r="X846" s="114"/>
      <c r="Y846" s="114"/>
      <c r="Z846" s="114"/>
      <c r="AA846" s="114"/>
      <c r="AB846" s="114"/>
      <c r="AC846" s="114"/>
      <c r="AD846" s="114"/>
      <c r="AE846" s="114"/>
      <c r="AF846" s="114"/>
      <c r="AG846" s="114"/>
      <c r="AH846" s="114"/>
      <c r="AI846" s="114"/>
      <c r="AJ846" s="115"/>
    </row>
    <row r="847" spans="1:36" ht="15.75" customHeight="1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5"/>
      <c r="M847" s="115"/>
      <c r="N847" s="116"/>
      <c r="O847" s="116"/>
      <c r="P847" s="114"/>
      <c r="Q847" s="114"/>
      <c r="R847" s="114"/>
      <c r="S847" s="115"/>
      <c r="T847" s="114"/>
      <c r="U847" s="115"/>
      <c r="V847" s="114"/>
      <c r="W847" s="114"/>
      <c r="X847" s="114"/>
      <c r="Y847" s="114"/>
      <c r="Z847" s="114"/>
      <c r="AA847" s="114"/>
      <c r="AB847" s="114"/>
      <c r="AC847" s="114"/>
      <c r="AD847" s="114"/>
      <c r="AE847" s="114"/>
      <c r="AF847" s="114"/>
      <c r="AG847" s="114"/>
      <c r="AH847" s="114"/>
      <c r="AI847" s="114"/>
      <c r="AJ847" s="115"/>
    </row>
    <row r="848" spans="1:36" ht="15.75" customHeight="1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5"/>
      <c r="M848" s="115"/>
      <c r="N848" s="116"/>
      <c r="O848" s="116"/>
      <c r="P848" s="114"/>
      <c r="Q848" s="114"/>
      <c r="R848" s="114"/>
      <c r="S848" s="115"/>
      <c r="T848" s="114"/>
      <c r="U848" s="115"/>
      <c r="V848" s="114"/>
      <c r="W848" s="114"/>
      <c r="X848" s="114"/>
      <c r="Y848" s="114"/>
      <c r="Z848" s="114"/>
      <c r="AA848" s="114"/>
      <c r="AB848" s="114"/>
      <c r="AC848" s="114"/>
      <c r="AD848" s="114"/>
      <c r="AE848" s="114"/>
      <c r="AF848" s="114"/>
      <c r="AG848" s="114"/>
      <c r="AH848" s="114"/>
      <c r="AI848" s="114"/>
      <c r="AJ848" s="115"/>
    </row>
    <row r="849" spans="1:36" ht="15.75" customHeight="1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5"/>
      <c r="M849" s="115"/>
      <c r="N849" s="116"/>
      <c r="O849" s="116"/>
      <c r="P849" s="114"/>
      <c r="Q849" s="114"/>
      <c r="R849" s="114"/>
      <c r="S849" s="115"/>
      <c r="T849" s="114"/>
      <c r="U849" s="115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114"/>
      <c r="AF849" s="114"/>
      <c r="AG849" s="114"/>
      <c r="AH849" s="114"/>
      <c r="AI849" s="114"/>
      <c r="AJ849" s="115"/>
    </row>
    <row r="850" spans="1:36" ht="15.75" customHeight="1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5"/>
      <c r="M850" s="115"/>
      <c r="N850" s="116"/>
      <c r="O850" s="116"/>
      <c r="P850" s="114"/>
      <c r="Q850" s="114"/>
      <c r="R850" s="114"/>
      <c r="S850" s="115"/>
      <c r="T850" s="114"/>
      <c r="U850" s="115"/>
      <c r="V850" s="114"/>
      <c r="W850" s="114"/>
      <c r="X850" s="114"/>
      <c r="Y850" s="114"/>
      <c r="Z850" s="114"/>
      <c r="AA850" s="114"/>
      <c r="AB850" s="114"/>
      <c r="AC850" s="114"/>
      <c r="AD850" s="114"/>
      <c r="AE850" s="114"/>
      <c r="AF850" s="114"/>
      <c r="AG850" s="114"/>
      <c r="AH850" s="114"/>
      <c r="AI850" s="114"/>
      <c r="AJ850" s="115"/>
    </row>
    <row r="851" spans="1:36" ht="15.75" customHeight="1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5"/>
      <c r="M851" s="115"/>
      <c r="N851" s="116"/>
      <c r="O851" s="116"/>
      <c r="P851" s="114"/>
      <c r="Q851" s="114"/>
      <c r="R851" s="114"/>
      <c r="S851" s="115"/>
      <c r="T851" s="114"/>
      <c r="U851" s="115"/>
      <c r="V851" s="114"/>
      <c r="W851" s="114"/>
      <c r="X851" s="114"/>
      <c r="Y851" s="114"/>
      <c r="Z851" s="114"/>
      <c r="AA851" s="114"/>
      <c r="AB851" s="114"/>
      <c r="AC851" s="114"/>
      <c r="AD851" s="114"/>
      <c r="AE851" s="114"/>
      <c r="AF851" s="114"/>
      <c r="AG851" s="114"/>
      <c r="AH851" s="114"/>
      <c r="AI851" s="114"/>
      <c r="AJ851" s="115"/>
    </row>
    <row r="852" spans="1:36" ht="15.75" customHeight="1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5"/>
      <c r="M852" s="115"/>
      <c r="N852" s="116"/>
      <c r="O852" s="116"/>
      <c r="P852" s="114"/>
      <c r="Q852" s="114"/>
      <c r="R852" s="114"/>
      <c r="S852" s="115"/>
      <c r="T852" s="114"/>
      <c r="U852" s="115"/>
      <c r="V852" s="114"/>
      <c r="W852" s="114"/>
      <c r="X852" s="114"/>
      <c r="Y852" s="114"/>
      <c r="Z852" s="114"/>
      <c r="AA852" s="114"/>
      <c r="AB852" s="114"/>
      <c r="AC852" s="114"/>
      <c r="AD852" s="114"/>
      <c r="AE852" s="114"/>
      <c r="AF852" s="114"/>
      <c r="AG852" s="114"/>
      <c r="AH852" s="114"/>
      <c r="AI852" s="114"/>
      <c r="AJ852" s="115"/>
    </row>
    <row r="853" spans="1:36" ht="15.75" customHeight="1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5"/>
      <c r="M853" s="115"/>
      <c r="N853" s="116"/>
      <c r="O853" s="116"/>
      <c r="P853" s="114"/>
      <c r="Q853" s="114"/>
      <c r="R853" s="114"/>
      <c r="S853" s="115"/>
      <c r="T853" s="114"/>
      <c r="U853" s="115"/>
      <c r="V853" s="114"/>
      <c r="W853" s="114"/>
      <c r="X853" s="114"/>
      <c r="Y853" s="114"/>
      <c r="Z853" s="114"/>
      <c r="AA853" s="114"/>
      <c r="AB853" s="114"/>
      <c r="AC853" s="114"/>
      <c r="AD853" s="114"/>
      <c r="AE853" s="114"/>
      <c r="AF853" s="114"/>
      <c r="AG853" s="114"/>
      <c r="AH853" s="114"/>
      <c r="AI853" s="114"/>
      <c r="AJ853" s="115"/>
    </row>
    <row r="854" spans="1:36" ht="15.75" customHeight="1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5"/>
      <c r="M854" s="115"/>
      <c r="N854" s="116"/>
      <c r="O854" s="116"/>
      <c r="P854" s="114"/>
      <c r="Q854" s="114"/>
      <c r="R854" s="114"/>
      <c r="S854" s="115"/>
      <c r="T854" s="114"/>
      <c r="U854" s="115"/>
      <c r="V854" s="114"/>
      <c r="W854" s="114"/>
      <c r="X854" s="114"/>
      <c r="Y854" s="114"/>
      <c r="Z854" s="114"/>
      <c r="AA854" s="114"/>
      <c r="AB854" s="114"/>
      <c r="AC854" s="114"/>
      <c r="AD854" s="114"/>
      <c r="AE854" s="114"/>
      <c r="AF854" s="114"/>
      <c r="AG854" s="114"/>
      <c r="AH854" s="114"/>
      <c r="AI854" s="114"/>
      <c r="AJ854" s="115"/>
    </row>
    <row r="855" spans="1:36" ht="15.75" customHeight="1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5"/>
      <c r="M855" s="115"/>
      <c r="N855" s="116"/>
      <c r="O855" s="116"/>
      <c r="P855" s="114"/>
      <c r="Q855" s="114"/>
      <c r="R855" s="114"/>
      <c r="S855" s="115"/>
      <c r="T855" s="114"/>
      <c r="U855" s="115"/>
      <c r="V855" s="114"/>
      <c r="W855" s="114"/>
      <c r="X855" s="114"/>
      <c r="Y855" s="114"/>
      <c r="Z855" s="114"/>
      <c r="AA855" s="114"/>
      <c r="AB855" s="114"/>
      <c r="AC855" s="114"/>
      <c r="AD855" s="114"/>
      <c r="AE855" s="114"/>
      <c r="AF855" s="114"/>
      <c r="AG855" s="114"/>
      <c r="AH855" s="114"/>
      <c r="AI855" s="114"/>
      <c r="AJ855" s="115"/>
    </row>
    <row r="856" spans="1:36" ht="15.75" customHeight="1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5"/>
      <c r="M856" s="115"/>
      <c r="N856" s="116"/>
      <c r="O856" s="116"/>
      <c r="P856" s="114"/>
      <c r="Q856" s="114"/>
      <c r="R856" s="114"/>
      <c r="S856" s="115"/>
      <c r="T856" s="114"/>
      <c r="U856" s="115"/>
      <c r="V856" s="114"/>
      <c r="W856" s="114"/>
      <c r="X856" s="114"/>
      <c r="Y856" s="114"/>
      <c r="Z856" s="114"/>
      <c r="AA856" s="114"/>
      <c r="AB856" s="114"/>
      <c r="AC856" s="114"/>
      <c r="AD856" s="114"/>
      <c r="AE856" s="114"/>
      <c r="AF856" s="114"/>
      <c r="AG856" s="114"/>
      <c r="AH856" s="114"/>
      <c r="AI856" s="114"/>
      <c r="AJ856" s="115"/>
    </row>
    <row r="857" spans="1:36" ht="15.75" customHeight="1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5"/>
      <c r="M857" s="115"/>
      <c r="N857" s="116"/>
      <c r="O857" s="116"/>
      <c r="P857" s="114"/>
      <c r="Q857" s="114"/>
      <c r="R857" s="114"/>
      <c r="S857" s="115"/>
      <c r="T857" s="114"/>
      <c r="U857" s="115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5"/>
    </row>
    <row r="858" spans="1:36" ht="15.75" customHeight="1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5"/>
      <c r="M858" s="115"/>
      <c r="N858" s="116"/>
      <c r="O858" s="116"/>
      <c r="P858" s="114"/>
      <c r="Q858" s="114"/>
      <c r="R858" s="114"/>
      <c r="S858" s="115"/>
      <c r="T858" s="114"/>
      <c r="U858" s="115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5"/>
    </row>
    <row r="859" spans="1:36" ht="15.75" customHeight="1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5"/>
      <c r="M859" s="115"/>
      <c r="N859" s="116"/>
      <c r="O859" s="116"/>
      <c r="P859" s="114"/>
      <c r="Q859" s="114"/>
      <c r="R859" s="114"/>
      <c r="S859" s="115"/>
      <c r="T859" s="114"/>
      <c r="U859" s="115"/>
      <c r="V859" s="114"/>
      <c r="W859" s="114"/>
      <c r="X859" s="114"/>
      <c r="Y859" s="114"/>
      <c r="Z859" s="114"/>
      <c r="AA859" s="114"/>
      <c r="AB859" s="114"/>
      <c r="AC859" s="114"/>
      <c r="AD859" s="114"/>
      <c r="AE859" s="114"/>
      <c r="AF859" s="114"/>
      <c r="AG859" s="114"/>
      <c r="AH859" s="114"/>
      <c r="AI859" s="114"/>
      <c r="AJ859" s="115"/>
    </row>
    <row r="860" spans="1:36" ht="15.75" customHeight="1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5"/>
      <c r="M860" s="115"/>
      <c r="N860" s="116"/>
      <c r="O860" s="116"/>
      <c r="P860" s="114"/>
      <c r="Q860" s="114"/>
      <c r="R860" s="114"/>
      <c r="S860" s="115"/>
      <c r="T860" s="114"/>
      <c r="U860" s="115"/>
      <c r="V860" s="114"/>
      <c r="W860" s="114"/>
      <c r="X860" s="114"/>
      <c r="Y860" s="114"/>
      <c r="Z860" s="114"/>
      <c r="AA860" s="114"/>
      <c r="AB860" s="114"/>
      <c r="AC860" s="114"/>
      <c r="AD860" s="114"/>
      <c r="AE860" s="114"/>
      <c r="AF860" s="114"/>
      <c r="AG860" s="114"/>
      <c r="AH860" s="114"/>
      <c r="AI860" s="114"/>
      <c r="AJ860" s="115"/>
    </row>
    <row r="861" spans="1:36" ht="15.75" customHeight="1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5"/>
      <c r="M861" s="115"/>
      <c r="N861" s="116"/>
      <c r="O861" s="116"/>
      <c r="P861" s="114"/>
      <c r="Q861" s="114"/>
      <c r="R861" s="114"/>
      <c r="S861" s="115"/>
      <c r="T861" s="114"/>
      <c r="U861" s="115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5"/>
    </row>
    <row r="862" spans="1:36" ht="15.75" customHeight="1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5"/>
      <c r="M862" s="115"/>
      <c r="N862" s="116"/>
      <c r="O862" s="116"/>
      <c r="P862" s="114"/>
      <c r="Q862" s="114"/>
      <c r="R862" s="114"/>
      <c r="S862" s="115"/>
      <c r="T862" s="114"/>
      <c r="U862" s="115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5"/>
    </row>
    <row r="863" spans="1:36" ht="15.75" customHeight="1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5"/>
      <c r="M863" s="115"/>
      <c r="N863" s="116"/>
      <c r="O863" s="116"/>
      <c r="P863" s="114"/>
      <c r="Q863" s="114"/>
      <c r="R863" s="114"/>
      <c r="S863" s="115"/>
      <c r="T863" s="114"/>
      <c r="U863" s="115"/>
      <c r="V863" s="114"/>
      <c r="W863" s="114"/>
      <c r="X863" s="114"/>
      <c r="Y863" s="114"/>
      <c r="Z863" s="114"/>
      <c r="AA863" s="114"/>
      <c r="AB863" s="114"/>
      <c r="AC863" s="114"/>
      <c r="AD863" s="114"/>
      <c r="AE863" s="114"/>
      <c r="AF863" s="114"/>
      <c r="AG863" s="114"/>
      <c r="AH863" s="114"/>
      <c r="AI863" s="114"/>
      <c r="AJ863" s="115"/>
    </row>
    <row r="864" spans="1:36" ht="15.75" customHeight="1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5"/>
      <c r="M864" s="115"/>
      <c r="N864" s="116"/>
      <c r="O864" s="116"/>
      <c r="P864" s="114"/>
      <c r="Q864" s="114"/>
      <c r="R864" s="114"/>
      <c r="S864" s="115"/>
      <c r="T864" s="114"/>
      <c r="U864" s="115"/>
      <c r="V864" s="114"/>
      <c r="W864" s="114"/>
      <c r="X864" s="114"/>
      <c r="Y864" s="114"/>
      <c r="Z864" s="114"/>
      <c r="AA864" s="114"/>
      <c r="AB864" s="114"/>
      <c r="AC864" s="114"/>
      <c r="AD864" s="114"/>
      <c r="AE864" s="114"/>
      <c r="AF864" s="114"/>
      <c r="AG864" s="114"/>
      <c r="AH864" s="114"/>
      <c r="AI864" s="114"/>
      <c r="AJ864" s="115"/>
    </row>
    <row r="865" spans="1:36" ht="15.75" customHeight="1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5"/>
      <c r="M865" s="115"/>
      <c r="N865" s="116"/>
      <c r="O865" s="116"/>
      <c r="P865" s="114"/>
      <c r="Q865" s="114"/>
      <c r="R865" s="114"/>
      <c r="S865" s="115"/>
      <c r="T865" s="114"/>
      <c r="U865" s="115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5"/>
    </row>
    <row r="866" spans="1:36" ht="15.75" customHeight="1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5"/>
      <c r="M866" s="115"/>
      <c r="N866" s="116"/>
      <c r="O866" s="116"/>
      <c r="P866" s="114"/>
      <c r="Q866" s="114"/>
      <c r="R866" s="114"/>
      <c r="S866" s="115"/>
      <c r="T866" s="114"/>
      <c r="U866" s="115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5"/>
    </row>
    <row r="867" spans="1:36" ht="15.75" customHeight="1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5"/>
      <c r="M867" s="115"/>
      <c r="N867" s="116"/>
      <c r="O867" s="116"/>
      <c r="P867" s="114"/>
      <c r="Q867" s="114"/>
      <c r="R867" s="114"/>
      <c r="S867" s="115"/>
      <c r="T867" s="114"/>
      <c r="U867" s="115"/>
      <c r="V867" s="114"/>
      <c r="W867" s="114"/>
      <c r="X867" s="114"/>
      <c r="Y867" s="114"/>
      <c r="Z867" s="114"/>
      <c r="AA867" s="114"/>
      <c r="AB867" s="114"/>
      <c r="AC867" s="114"/>
      <c r="AD867" s="114"/>
      <c r="AE867" s="114"/>
      <c r="AF867" s="114"/>
      <c r="AG867" s="114"/>
      <c r="AH867" s="114"/>
      <c r="AI867" s="114"/>
      <c r="AJ867" s="115"/>
    </row>
    <row r="868" spans="1:36" ht="15.75" customHeight="1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5"/>
      <c r="M868" s="115"/>
      <c r="N868" s="116"/>
      <c r="O868" s="116"/>
      <c r="P868" s="114"/>
      <c r="Q868" s="114"/>
      <c r="R868" s="114"/>
      <c r="S868" s="115"/>
      <c r="T868" s="114"/>
      <c r="U868" s="115"/>
      <c r="V868" s="114"/>
      <c r="W868" s="114"/>
      <c r="X868" s="114"/>
      <c r="Y868" s="114"/>
      <c r="Z868" s="114"/>
      <c r="AA868" s="114"/>
      <c r="AB868" s="114"/>
      <c r="AC868" s="114"/>
      <c r="AD868" s="114"/>
      <c r="AE868" s="114"/>
      <c r="AF868" s="114"/>
      <c r="AG868" s="114"/>
      <c r="AH868" s="114"/>
      <c r="AI868" s="114"/>
      <c r="AJ868" s="115"/>
    </row>
    <row r="869" spans="1:36" ht="15.75" customHeight="1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5"/>
      <c r="M869" s="115"/>
      <c r="N869" s="116"/>
      <c r="O869" s="116"/>
      <c r="P869" s="114"/>
      <c r="Q869" s="114"/>
      <c r="R869" s="114"/>
      <c r="S869" s="115"/>
      <c r="T869" s="114"/>
      <c r="U869" s="115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5"/>
    </row>
    <row r="870" spans="1:36" ht="15.75" customHeight="1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5"/>
      <c r="M870" s="115"/>
      <c r="N870" s="116"/>
      <c r="O870" s="116"/>
      <c r="P870" s="114"/>
      <c r="Q870" s="114"/>
      <c r="R870" s="114"/>
      <c r="S870" s="115"/>
      <c r="T870" s="114"/>
      <c r="U870" s="115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5"/>
    </row>
    <row r="871" spans="1:36" ht="15.75" customHeight="1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5"/>
      <c r="M871" s="115"/>
      <c r="N871" s="116"/>
      <c r="O871" s="116"/>
      <c r="P871" s="114"/>
      <c r="Q871" s="114"/>
      <c r="R871" s="114"/>
      <c r="S871" s="115"/>
      <c r="T871" s="114"/>
      <c r="U871" s="115"/>
      <c r="V871" s="114"/>
      <c r="W871" s="114"/>
      <c r="X871" s="114"/>
      <c r="Y871" s="114"/>
      <c r="Z871" s="114"/>
      <c r="AA871" s="114"/>
      <c r="AB871" s="114"/>
      <c r="AC871" s="114"/>
      <c r="AD871" s="114"/>
      <c r="AE871" s="114"/>
      <c r="AF871" s="114"/>
      <c r="AG871" s="114"/>
      <c r="AH871" s="114"/>
      <c r="AI871" s="114"/>
      <c r="AJ871" s="115"/>
    </row>
    <row r="872" spans="1:36" ht="15.75" customHeight="1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5"/>
      <c r="M872" s="115"/>
      <c r="N872" s="116"/>
      <c r="O872" s="116"/>
      <c r="P872" s="114"/>
      <c r="Q872" s="114"/>
      <c r="R872" s="114"/>
      <c r="S872" s="115"/>
      <c r="T872" s="114"/>
      <c r="U872" s="115"/>
      <c r="V872" s="114"/>
      <c r="W872" s="114"/>
      <c r="X872" s="114"/>
      <c r="Y872" s="114"/>
      <c r="Z872" s="114"/>
      <c r="AA872" s="114"/>
      <c r="AB872" s="114"/>
      <c r="AC872" s="114"/>
      <c r="AD872" s="114"/>
      <c r="AE872" s="114"/>
      <c r="AF872" s="114"/>
      <c r="AG872" s="114"/>
      <c r="AH872" s="114"/>
      <c r="AI872" s="114"/>
      <c r="AJ872" s="115"/>
    </row>
    <row r="873" spans="1:36" ht="15.75" customHeight="1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5"/>
      <c r="M873" s="115"/>
      <c r="N873" s="116"/>
      <c r="O873" s="116"/>
      <c r="P873" s="114"/>
      <c r="Q873" s="114"/>
      <c r="R873" s="114"/>
      <c r="S873" s="115"/>
      <c r="T873" s="114"/>
      <c r="U873" s="115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5"/>
    </row>
    <row r="874" spans="1:36" ht="15.75" customHeight="1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5"/>
      <c r="M874" s="115"/>
      <c r="N874" s="116"/>
      <c r="O874" s="116"/>
      <c r="P874" s="114"/>
      <c r="Q874" s="114"/>
      <c r="R874" s="114"/>
      <c r="S874" s="115"/>
      <c r="T874" s="114"/>
      <c r="U874" s="115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5"/>
    </row>
    <row r="875" spans="1:36" ht="15.75" customHeight="1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5"/>
      <c r="M875" s="115"/>
      <c r="N875" s="116"/>
      <c r="O875" s="116"/>
      <c r="P875" s="114"/>
      <c r="Q875" s="114"/>
      <c r="R875" s="114"/>
      <c r="S875" s="115"/>
      <c r="T875" s="114"/>
      <c r="U875" s="115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114"/>
      <c r="AF875" s="114"/>
      <c r="AG875" s="114"/>
      <c r="AH875" s="114"/>
      <c r="AI875" s="114"/>
      <c r="AJ875" s="115"/>
    </row>
    <row r="876" spans="1:36" ht="15.75" customHeight="1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5"/>
      <c r="M876" s="115"/>
      <c r="N876" s="116"/>
      <c r="O876" s="116"/>
      <c r="P876" s="114"/>
      <c r="Q876" s="114"/>
      <c r="R876" s="114"/>
      <c r="S876" s="115"/>
      <c r="T876" s="114"/>
      <c r="U876" s="115"/>
      <c r="V876" s="114"/>
      <c r="W876" s="114"/>
      <c r="X876" s="114"/>
      <c r="Y876" s="114"/>
      <c r="Z876" s="114"/>
      <c r="AA876" s="114"/>
      <c r="AB876" s="114"/>
      <c r="AC876" s="114"/>
      <c r="AD876" s="114"/>
      <c r="AE876" s="114"/>
      <c r="AF876" s="114"/>
      <c r="AG876" s="114"/>
      <c r="AH876" s="114"/>
      <c r="AI876" s="114"/>
      <c r="AJ876" s="115"/>
    </row>
    <row r="877" spans="1:36" ht="15.75" customHeight="1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5"/>
      <c r="M877" s="115"/>
      <c r="N877" s="116"/>
      <c r="O877" s="116"/>
      <c r="P877" s="114"/>
      <c r="Q877" s="114"/>
      <c r="R877" s="114"/>
      <c r="S877" s="115"/>
      <c r="T877" s="114"/>
      <c r="U877" s="115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5"/>
    </row>
    <row r="878" spans="1:36" ht="15.75" customHeight="1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5"/>
      <c r="M878" s="115"/>
      <c r="N878" s="116"/>
      <c r="O878" s="116"/>
      <c r="P878" s="114"/>
      <c r="Q878" s="114"/>
      <c r="R878" s="114"/>
      <c r="S878" s="115"/>
      <c r="T878" s="114"/>
      <c r="U878" s="115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5"/>
    </row>
    <row r="879" spans="1:36" ht="15.75" customHeight="1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5"/>
      <c r="M879" s="115"/>
      <c r="N879" s="116"/>
      <c r="O879" s="116"/>
      <c r="P879" s="114"/>
      <c r="Q879" s="114"/>
      <c r="R879" s="114"/>
      <c r="S879" s="115"/>
      <c r="T879" s="114"/>
      <c r="U879" s="115"/>
      <c r="V879" s="114"/>
      <c r="W879" s="114"/>
      <c r="X879" s="114"/>
      <c r="Y879" s="114"/>
      <c r="Z879" s="114"/>
      <c r="AA879" s="114"/>
      <c r="AB879" s="114"/>
      <c r="AC879" s="114"/>
      <c r="AD879" s="114"/>
      <c r="AE879" s="114"/>
      <c r="AF879" s="114"/>
      <c r="AG879" s="114"/>
      <c r="AH879" s="114"/>
      <c r="AI879" s="114"/>
      <c r="AJ879" s="115"/>
    </row>
    <row r="880" spans="1:36" ht="15.75" customHeight="1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5"/>
      <c r="M880" s="115"/>
      <c r="N880" s="116"/>
      <c r="O880" s="116"/>
      <c r="P880" s="114"/>
      <c r="Q880" s="114"/>
      <c r="R880" s="114"/>
      <c r="S880" s="115"/>
      <c r="T880" s="114"/>
      <c r="U880" s="115"/>
      <c r="V880" s="114"/>
      <c r="W880" s="114"/>
      <c r="X880" s="114"/>
      <c r="Y880" s="114"/>
      <c r="Z880" s="114"/>
      <c r="AA880" s="114"/>
      <c r="AB880" s="114"/>
      <c r="AC880" s="114"/>
      <c r="AD880" s="114"/>
      <c r="AE880" s="114"/>
      <c r="AF880" s="114"/>
      <c r="AG880" s="114"/>
      <c r="AH880" s="114"/>
      <c r="AI880" s="114"/>
      <c r="AJ880" s="115"/>
    </row>
    <row r="881" spans="1:36" ht="15.75" customHeight="1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5"/>
      <c r="M881" s="115"/>
      <c r="N881" s="116"/>
      <c r="O881" s="116"/>
      <c r="P881" s="114"/>
      <c r="Q881" s="114"/>
      <c r="R881" s="114"/>
      <c r="S881" s="115"/>
      <c r="T881" s="114"/>
      <c r="U881" s="115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5"/>
    </row>
    <row r="882" spans="1:36" ht="15.75" customHeight="1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5"/>
      <c r="M882" s="115"/>
      <c r="N882" s="116"/>
      <c r="O882" s="116"/>
      <c r="P882" s="114"/>
      <c r="Q882" s="114"/>
      <c r="R882" s="114"/>
      <c r="S882" s="115"/>
      <c r="T882" s="114"/>
      <c r="U882" s="115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5"/>
    </row>
    <row r="883" spans="1:36" ht="15.75" customHeight="1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5"/>
      <c r="M883" s="115"/>
      <c r="N883" s="116"/>
      <c r="O883" s="116"/>
      <c r="P883" s="114"/>
      <c r="Q883" s="114"/>
      <c r="R883" s="114"/>
      <c r="S883" s="115"/>
      <c r="T883" s="114"/>
      <c r="U883" s="115"/>
      <c r="V883" s="114"/>
      <c r="W883" s="114"/>
      <c r="X883" s="114"/>
      <c r="Y883" s="114"/>
      <c r="Z883" s="114"/>
      <c r="AA883" s="114"/>
      <c r="AB883" s="114"/>
      <c r="AC883" s="114"/>
      <c r="AD883" s="114"/>
      <c r="AE883" s="114"/>
      <c r="AF883" s="114"/>
      <c r="AG883" s="114"/>
      <c r="AH883" s="114"/>
      <c r="AI883" s="114"/>
      <c r="AJ883" s="115"/>
    </row>
    <row r="884" spans="1:36" ht="15.75" customHeight="1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5"/>
      <c r="M884" s="115"/>
      <c r="N884" s="116"/>
      <c r="O884" s="116"/>
      <c r="P884" s="114"/>
      <c r="Q884" s="114"/>
      <c r="R884" s="114"/>
      <c r="S884" s="115"/>
      <c r="T884" s="114"/>
      <c r="U884" s="115"/>
      <c r="V884" s="114"/>
      <c r="W884" s="114"/>
      <c r="X884" s="114"/>
      <c r="Y884" s="114"/>
      <c r="Z884" s="114"/>
      <c r="AA884" s="114"/>
      <c r="AB884" s="114"/>
      <c r="AC884" s="114"/>
      <c r="AD884" s="114"/>
      <c r="AE884" s="114"/>
      <c r="AF884" s="114"/>
      <c r="AG884" s="114"/>
      <c r="AH884" s="114"/>
      <c r="AI884" s="114"/>
      <c r="AJ884" s="115"/>
    </row>
    <row r="885" spans="1:36" ht="15.75" customHeight="1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5"/>
      <c r="M885" s="115"/>
      <c r="N885" s="116"/>
      <c r="O885" s="116"/>
      <c r="P885" s="114"/>
      <c r="Q885" s="114"/>
      <c r="R885" s="114"/>
      <c r="S885" s="115"/>
      <c r="T885" s="114"/>
      <c r="U885" s="115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5"/>
    </row>
    <row r="886" spans="1:36" ht="15.75" customHeight="1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5"/>
      <c r="M886" s="115"/>
      <c r="N886" s="116"/>
      <c r="O886" s="116"/>
      <c r="P886" s="114"/>
      <c r="Q886" s="114"/>
      <c r="R886" s="114"/>
      <c r="S886" s="115"/>
      <c r="T886" s="114"/>
      <c r="U886" s="115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5"/>
    </row>
    <row r="887" spans="1:36" ht="15.75" customHeight="1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5"/>
      <c r="M887" s="115"/>
      <c r="N887" s="116"/>
      <c r="O887" s="116"/>
      <c r="P887" s="114"/>
      <c r="Q887" s="114"/>
      <c r="R887" s="114"/>
      <c r="S887" s="115"/>
      <c r="T887" s="114"/>
      <c r="U887" s="115"/>
      <c r="V887" s="114"/>
      <c r="W887" s="114"/>
      <c r="X887" s="114"/>
      <c r="Y887" s="114"/>
      <c r="Z887" s="114"/>
      <c r="AA887" s="114"/>
      <c r="AB887" s="114"/>
      <c r="AC887" s="114"/>
      <c r="AD887" s="114"/>
      <c r="AE887" s="114"/>
      <c r="AF887" s="114"/>
      <c r="AG887" s="114"/>
      <c r="AH887" s="114"/>
      <c r="AI887" s="114"/>
      <c r="AJ887" s="115"/>
    </row>
    <row r="888" spans="1:36" ht="15.75" customHeight="1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5"/>
      <c r="M888" s="115"/>
      <c r="N888" s="116"/>
      <c r="O888" s="116"/>
      <c r="P888" s="114"/>
      <c r="Q888" s="114"/>
      <c r="R888" s="114"/>
      <c r="S888" s="115"/>
      <c r="T888" s="114"/>
      <c r="U888" s="115"/>
      <c r="V888" s="114"/>
      <c r="W888" s="114"/>
      <c r="X888" s="114"/>
      <c r="Y888" s="114"/>
      <c r="Z888" s="114"/>
      <c r="AA888" s="114"/>
      <c r="AB888" s="114"/>
      <c r="AC888" s="114"/>
      <c r="AD888" s="114"/>
      <c r="AE888" s="114"/>
      <c r="AF888" s="114"/>
      <c r="AG888" s="114"/>
      <c r="AH888" s="114"/>
      <c r="AI888" s="114"/>
      <c r="AJ888" s="115"/>
    </row>
    <row r="889" spans="1:36" ht="15.75" customHeight="1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5"/>
      <c r="M889" s="115"/>
      <c r="N889" s="116"/>
      <c r="O889" s="116"/>
      <c r="P889" s="114"/>
      <c r="Q889" s="114"/>
      <c r="R889" s="114"/>
      <c r="S889" s="115"/>
      <c r="T889" s="114"/>
      <c r="U889" s="115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5"/>
    </row>
    <row r="890" spans="1:36" ht="15.75" customHeight="1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5"/>
      <c r="M890" s="115"/>
      <c r="N890" s="116"/>
      <c r="O890" s="116"/>
      <c r="P890" s="114"/>
      <c r="Q890" s="114"/>
      <c r="R890" s="114"/>
      <c r="S890" s="115"/>
      <c r="T890" s="114"/>
      <c r="U890" s="115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5"/>
    </row>
    <row r="891" spans="1:36" ht="15.75" customHeight="1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5"/>
      <c r="M891" s="115"/>
      <c r="N891" s="116"/>
      <c r="O891" s="116"/>
      <c r="P891" s="114"/>
      <c r="Q891" s="114"/>
      <c r="R891" s="114"/>
      <c r="S891" s="115"/>
      <c r="T891" s="114"/>
      <c r="U891" s="115"/>
      <c r="V891" s="114"/>
      <c r="W891" s="114"/>
      <c r="X891" s="114"/>
      <c r="Y891" s="114"/>
      <c r="Z891" s="114"/>
      <c r="AA891" s="114"/>
      <c r="AB891" s="114"/>
      <c r="AC891" s="114"/>
      <c r="AD891" s="114"/>
      <c r="AE891" s="114"/>
      <c r="AF891" s="114"/>
      <c r="AG891" s="114"/>
      <c r="AH891" s="114"/>
      <c r="AI891" s="114"/>
      <c r="AJ891" s="115"/>
    </row>
    <row r="892" spans="1:36" ht="15.75" customHeight="1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5"/>
      <c r="M892" s="115"/>
      <c r="N892" s="116"/>
      <c r="O892" s="116"/>
      <c r="P892" s="114"/>
      <c r="Q892" s="114"/>
      <c r="R892" s="114"/>
      <c r="S892" s="115"/>
      <c r="T892" s="114"/>
      <c r="U892" s="115"/>
      <c r="V892" s="114"/>
      <c r="W892" s="114"/>
      <c r="X892" s="114"/>
      <c r="Y892" s="114"/>
      <c r="Z892" s="114"/>
      <c r="AA892" s="114"/>
      <c r="AB892" s="114"/>
      <c r="AC892" s="114"/>
      <c r="AD892" s="114"/>
      <c r="AE892" s="114"/>
      <c r="AF892" s="114"/>
      <c r="AG892" s="114"/>
      <c r="AH892" s="114"/>
      <c r="AI892" s="114"/>
      <c r="AJ892" s="115"/>
    </row>
    <row r="893" spans="1:36" ht="15.75" customHeight="1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5"/>
      <c r="M893" s="115"/>
      <c r="N893" s="116"/>
      <c r="O893" s="116"/>
      <c r="P893" s="114"/>
      <c r="Q893" s="114"/>
      <c r="R893" s="114"/>
      <c r="S893" s="115"/>
      <c r="T893" s="114"/>
      <c r="U893" s="115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5"/>
    </row>
    <row r="894" spans="1:36" ht="15.75" customHeight="1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5"/>
      <c r="M894" s="115"/>
      <c r="N894" s="116"/>
      <c r="O894" s="116"/>
      <c r="P894" s="114"/>
      <c r="Q894" s="114"/>
      <c r="R894" s="114"/>
      <c r="S894" s="115"/>
      <c r="T894" s="114"/>
      <c r="U894" s="115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5"/>
    </row>
    <row r="895" spans="1:36" ht="15.75" customHeight="1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5"/>
      <c r="M895" s="115"/>
      <c r="N895" s="116"/>
      <c r="O895" s="116"/>
      <c r="P895" s="114"/>
      <c r="Q895" s="114"/>
      <c r="R895" s="114"/>
      <c r="S895" s="115"/>
      <c r="T895" s="114"/>
      <c r="U895" s="115"/>
      <c r="V895" s="114"/>
      <c r="W895" s="114"/>
      <c r="X895" s="114"/>
      <c r="Y895" s="114"/>
      <c r="Z895" s="114"/>
      <c r="AA895" s="114"/>
      <c r="AB895" s="114"/>
      <c r="AC895" s="114"/>
      <c r="AD895" s="114"/>
      <c r="AE895" s="114"/>
      <c r="AF895" s="114"/>
      <c r="AG895" s="114"/>
      <c r="AH895" s="114"/>
      <c r="AI895" s="114"/>
      <c r="AJ895" s="115"/>
    </row>
    <row r="896" spans="1:36" ht="15.75" customHeight="1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5"/>
      <c r="M896" s="115"/>
      <c r="N896" s="116"/>
      <c r="O896" s="116"/>
      <c r="P896" s="114"/>
      <c r="Q896" s="114"/>
      <c r="R896" s="114"/>
      <c r="S896" s="115"/>
      <c r="T896" s="114"/>
      <c r="U896" s="115"/>
      <c r="V896" s="114"/>
      <c r="W896" s="114"/>
      <c r="X896" s="114"/>
      <c r="Y896" s="114"/>
      <c r="Z896" s="114"/>
      <c r="AA896" s="114"/>
      <c r="AB896" s="114"/>
      <c r="AC896" s="114"/>
      <c r="AD896" s="114"/>
      <c r="AE896" s="114"/>
      <c r="AF896" s="114"/>
      <c r="AG896" s="114"/>
      <c r="AH896" s="114"/>
      <c r="AI896" s="114"/>
      <c r="AJ896" s="115"/>
    </row>
    <row r="897" spans="1:36" ht="15.75" customHeight="1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5"/>
      <c r="M897" s="115"/>
      <c r="N897" s="116"/>
      <c r="O897" s="116"/>
      <c r="P897" s="114"/>
      <c r="Q897" s="114"/>
      <c r="R897" s="114"/>
      <c r="S897" s="115"/>
      <c r="T897" s="114"/>
      <c r="U897" s="115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5"/>
    </row>
    <row r="898" spans="1:36" ht="15.75" customHeight="1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5"/>
      <c r="M898" s="115"/>
      <c r="N898" s="116"/>
      <c r="O898" s="116"/>
      <c r="P898" s="114"/>
      <c r="Q898" s="114"/>
      <c r="R898" s="114"/>
      <c r="S898" s="115"/>
      <c r="T898" s="114"/>
      <c r="U898" s="115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5"/>
    </row>
    <row r="899" spans="1:36" ht="15.75" customHeight="1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5"/>
      <c r="M899" s="115"/>
      <c r="N899" s="116"/>
      <c r="O899" s="116"/>
      <c r="P899" s="114"/>
      <c r="Q899" s="114"/>
      <c r="R899" s="114"/>
      <c r="S899" s="115"/>
      <c r="T899" s="114"/>
      <c r="U899" s="115"/>
      <c r="V899" s="114"/>
      <c r="W899" s="114"/>
      <c r="X899" s="114"/>
      <c r="Y899" s="114"/>
      <c r="Z899" s="114"/>
      <c r="AA899" s="114"/>
      <c r="AB899" s="114"/>
      <c r="AC899" s="114"/>
      <c r="AD899" s="114"/>
      <c r="AE899" s="114"/>
      <c r="AF899" s="114"/>
      <c r="AG899" s="114"/>
      <c r="AH899" s="114"/>
      <c r="AI899" s="114"/>
      <c r="AJ899" s="115"/>
    </row>
    <row r="900" spans="1:36" ht="15.75" customHeight="1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5"/>
      <c r="M900" s="115"/>
      <c r="N900" s="116"/>
      <c r="O900" s="116"/>
      <c r="P900" s="114"/>
      <c r="Q900" s="114"/>
      <c r="R900" s="114"/>
      <c r="S900" s="115"/>
      <c r="T900" s="114"/>
      <c r="U900" s="115"/>
      <c r="V900" s="114"/>
      <c r="W900" s="114"/>
      <c r="X900" s="114"/>
      <c r="Y900" s="114"/>
      <c r="Z900" s="114"/>
      <c r="AA900" s="114"/>
      <c r="AB900" s="114"/>
      <c r="AC900" s="114"/>
      <c r="AD900" s="114"/>
      <c r="AE900" s="114"/>
      <c r="AF900" s="114"/>
      <c r="AG900" s="114"/>
      <c r="AH900" s="114"/>
      <c r="AI900" s="114"/>
      <c r="AJ900" s="115"/>
    </row>
    <row r="901" spans="1:36" ht="15.75" customHeight="1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5"/>
      <c r="M901" s="115"/>
      <c r="N901" s="116"/>
      <c r="O901" s="116"/>
      <c r="P901" s="114"/>
      <c r="Q901" s="114"/>
      <c r="R901" s="114"/>
      <c r="S901" s="115"/>
      <c r="T901" s="114"/>
      <c r="U901" s="115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5"/>
    </row>
    <row r="902" spans="1:36" ht="15.75" customHeight="1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5"/>
      <c r="M902" s="115"/>
      <c r="N902" s="116"/>
      <c r="O902" s="116"/>
      <c r="P902" s="114"/>
      <c r="Q902" s="114"/>
      <c r="R902" s="114"/>
      <c r="S902" s="115"/>
      <c r="T902" s="114"/>
      <c r="U902" s="115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5"/>
    </row>
    <row r="903" spans="1:36" ht="15.75" customHeight="1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5"/>
      <c r="M903" s="115"/>
      <c r="N903" s="116"/>
      <c r="O903" s="116"/>
      <c r="P903" s="114"/>
      <c r="Q903" s="114"/>
      <c r="R903" s="114"/>
      <c r="S903" s="115"/>
      <c r="T903" s="114"/>
      <c r="U903" s="115"/>
      <c r="V903" s="114"/>
      <c r="W903" s="114"/>
      <c r="X903" s="114"/>
      <c r="Y903" s="114"/>
      <c r="Z903" s="114"/>
      <c r="AA903" s="114"/>
      <c r="AB903" s="114"/>
      <c r="AC903" s="114"/>
      <c r="AD903" s="114"/>
      <c r="AE903" s="114"/>
      <c r="AF903" s="114"/>
      <c r="AG903" s="114"/>
      <c r="AH903" s="114"/>
      <c r="AI903" s="114"/>
      <c r="AJ903" s="115"/>
    </row>
    <row r="904" spans="1:36" ht="15.75" customHeight="1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5"/>
      <c r="M904" s="115"/>
      <c r="N904" s="116"/>
      <c r="O904" s="116"/>
      <c r="P904" s="114"/>
      <c r="Q904" s="114"/>
      <c r="R904" s="114"/>
      <c r="S904" s="115"/>
      <c r="T904" s="114"/>
      <c r="U904" s="115"/>
      <c r="V904" s="114"/>
      <c r="W904" s="114"/>
      <c r="X904" s="114"/>
      <c r="Y904" s="114"/>
      <c r="Z904" s="114"/>
      <c r="AA904" s="114"/>
      <c r="AB904" s="114"/>
      <c r="AC904" s="114"/>
      <c r="AD904" s="114"/>
      <c r="AE904" s="114"/>
      <c r="AF904" s="114"/>
      <c r="AG904" s="114"/>
      <c r="AH904" s="114"/>
      <c r="AI904" s="114"/>
      <c r="AJ904" s="115"/>
    </row>
    <row r="905" spans="1:36" ht="15.75" customHeight="1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5"/>
      <c r="M905" s="115"/>
      <c r="N905" s="116"/>
      <c r="O905" s="116"/>
      <c r="P905" s="114"/>
      <c r="Q905" s="114"/>
      <c r="R905" s="114"/>
      <c r="S905" s="115"/>
      <c r="T905" s="114"/>
      <c r="U905" s="115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5"/>
    </row>
    <row r="906" spans="1:36" ht="15.75" customHeight="1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5"/>
      <c r="M906" s="115"/>
      <c r="N906" s="116"/>
      <c r="O906" s="116"/>
      <c r="P906" s="114"/>
      <c r="Q906" s="114"/>
      <c r="R906" s="114"/>
      <c r="S906" s="115"/>
      <c r="T906" s="114"/>
      <c r="U906" s="115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5"/>
    </row>
    <row r="907" spans="1:36" ht="15.75" customHeight="1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5"/>
      <c r="M907" s="115"/>
      <c r="N907" s="116"/>
      <c r="O907" s="116"/>
      <c r="P907" s="114"/>
      <c r="Q907" s="114"/>
      <c r="R907" s="114"/>
      <c r="S907" s="115"/>
      <c r="T907" s="114"/>
      <c r="U907" s="115"/>
      <c r="V907" s="114"/>
      <c r="W907" s="114"/>
      <c r="X907" s="114"/>
      <c r="Y907" s="114"/>
      <c r="Z907" s="114"/>
      <c r="AA907" s="114"/>
      <c r="AB907" s="114"/>
      <c r="AC907" s="114"/>
      <c r="AD907" s="114"/>
      <c r="AE907" s="114"/>
      <c r="AF907" s="114"/>
      <c r="AG907" s="114"/>
      <c r="AH907" s="114"/>
      <c r="AI907" s="114"/>
      <c r="AJ907" s="115"/>
    </row>
    <row r="908" spans="1:36" ht="15.75" customHeight="1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5"/>
      <c r="M908" s="115"/>
      <c r="N908" s="116"/>
      <c r="O908" s="116"/>
      <c r="P908" s="114"/>
      <c r="Q908" s="114"/>
      <c r="R908" s="114"/>
      <c r="S908" s="115"/>
      <c r="T908" s="114"/>
      <c r="U908" s="115"/>
      <c r="V908" s="114"/>
      <c r="W908" s="114"/>
      <c r="X908" s="114"/>
      <c r="Y908" s="114"/>
      <c r="Z908" s="114"/>
      <c r="AA908" s="114"/>
      <c r="AB908" s="114"/>
      <c r="AC908" s="114"/>
      <c r="AD908" s="114"/>
      <c r="AE908" s="114"/>
      <c r="AF908" s="114"/>
      <c r="AG908" s="114"/>
      <c r="AH908" s="114"/>
      <c r="AI908" s="114"/>
      <c r="AJ908" s="115"/>
    </row>
    <row r="909" spans="1:36" ht="15.75" customHeight="1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5"/>
      <c r="M909" s="115"/>
      <c r="N909" s="116"/>
      <c r="O909" s="116"/>
      <c r="P909" s="114"/>
      <c r="Q909" s="114"/>
      <c r="R909" s="114"/>
      <c r="S909" s="115"/>
      <c r="T909" s="114"/>
      <c r="U909" s="115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5"/>
    </row>
    <row r="910" spans="1:36" ht="15.75" customHeight="1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5"/>
      <c r="M910" s="115"/>
      <c r="N910" s="116"/>
      <c r="O910" s="116"/>
      <c r="P910" s="114"/>
      <c r="Q910" s="114"/>
      <c r="R910" s="114"/>
      <c r="S910" s="115"/>
      <c r="T910" s="114"/>
      <c r="U910" s="115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5"/>
    </row>
    <row r="911" spans="1:36" ht="15.75" customHeight="1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5"/>
      <c r="M911" s="115"/>
      <c r="N911" s="116"/>
      <c r="O911" s="116"/>
      <c r="P911" s="114"/>
      <c r="Q911" s="114"/>
      <c r="R911" s="114"/>
      <c r="S911" s="115"/>
      <c r="T911" s="114"/>
      <c r="U911" s="115"/>
      <c r="V911" s="114"/>
      <c r="W911" s="114"/>
      <c r="X911" s="114"/>
      <c r="Y911" s="114"/>
      <c r="Z911" s="114"/>
      <c r="AA911" s="114"/>
      <c r="AB911" s="114"/>
      <c r="AC911" s="114"/>
      <c r="AD911" s="114"/>
      <c r="AE911" s="114"/>
      <c r="AF911" s="114"/>
      <c r="AG911" s="114"/>
      <c r="AH911" s="114"/>
      <c r="AI911" s="114"/>
      <c r="AJ911" s="115"/>
    </row>
    <row r="912" spans="1:36" ht="15.75" customHeight="1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5"/>
      <c r="M912" s="115"/>
      <c r="N912" s="116"/>
      <c r="O912" s="116"/>
      <c r="P912" s="114"/>
      <c r="Q912" s="114"/>
      <c r="R912" s="114"/>
      <c r="S912" s="115"/>
      <c r="T912" s="114"/>
      <c r="U912" s="115"/>
      <c r="V912" s="114"/>
      <c r="W912" s="114"/>
      <c r="X912" s="114"/>
      <c r="Y912" s="114"/>
      <c r="Z912" s="114"/>
      <c r="AA912" s="114"/>
      <c r="AB912" s="114"/>
      <c r="AC912" s="114"/>
      <c r="AD912" s="114"/>
      <c r="AE912" s="114"/>
      <c r="AF912" s="114"/>
      <c r="AG912" s="114"/>
      <c r="AH912" s="114"/>
      <c r="AI912" s="114"/>
      <c r="AJ912" s="115"/>
    </row>
    <row r="913" spans="1:36" ht="15.75" customHeight="1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5"/>
      <c r="M913" s="115"/>
      <c r="N913" s="116"/>
      <c r="O913" s="116"/>
      <c r="P913" s="114"/>
      <c r="Q913" s="114"/>
      <c r="R913" s="114"/>
      <c r="S913" s="115"/>
      <c r="T913" s="114"/>
      <c r="U913" s="115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5"/>
    </row>
    <row r="914" spans="1:36" ht="15.75" customHeight="1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5"/>
      <c r="M914" s="115"/>
      <c r="N914" s="116"/>
      <c r="O914" s="116"/>
      <c r="P914" s="114"/>
      <c r="Q914" s="114"/>
      <c r="R914" s="114"/>
      <c r="S914" s="115"/>
      <c r="T914" s="114"/>
      <c r="U914" s="115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5"/>
    </row>
    <row r="915" spans="1:36" ht="15.75" customHeight="1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5"/>
      <c r="M915" s="115"/>
      <c r="N915" s="116"/>
      <c r="O915" s="116"/>
      <c r="P915" s="114"/>
      <c r="Q915" s="114"/>
      <c r="R915" s="114"/>
      <c r="S915" s="115"/>
      <c r="T915" s="114"/>
      <c r="U915" s="115"/>
      <c r="V915" s="114"/>
      <c r="W915" s="114"/>
      <c r="X915" s="114"/>
      <c r="Y915" s="114"/>
      <c r="Z915" s="114"/>
      <c r="AA915" s="114"/>
      <c r="AB915" s="114"/>
      <c r="AC915" s="114"/>
      <c r="AD915" s="114"/>
      <c r="AE915" s="114"/>
      <c r="AF915" s="114"/>
      <c r="AG915" s="114"/>
      <c r="AH915" s="114"/>
      <c r="AI915" s="114"/>
      <c r="AJ915" s="115"/>
    </row>
    <row r="916" spans="1:36" ht="15.75" customHeight="1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5"/>
      <c r="M916" s="115"/>
      <c r="N916" s="116"/>
      <c r="O916" s="116"/>
      <c r="P916" s="114"/>
      <c r="Q916" s="114"/>
      <c r="R916" s="114"/>
      <c r="S916" s="115"/>
      <c r="T916" s="114"/>
      <c r="U916" s="115"/>
      <c r="V916" s="114"/>
      <c r="W916" s="114"/>
      <c r="X916" s="114"/>
      <c r="Y916" s="114"/>
      <c r="Z916" s="114"/>
      <c r="AA916" s="114"/>
      <c r="AB916" s="114"/>
      <c r="AC916" s="114"/>
      <c r="AD916" s="114"/>
      <c r="AE916" s="114"/>
      <c r="AF916" s="114"/>
      <c r="AG916" s="114"/>
      <c r="AH916" s="114"/>
      <c r="AI916" s="114"/>
      <c r="AJ916" s="115"/>
    </row>
    <row r="917" spans="1:36" ht="15.75" customHeight="1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5"/>
      <c r="M917" s="115"/>
      <c r="N917" s="116"/>
      <c r="O917" s="116"/>
      <c r="P917" s="114"/>
      <c r="Q917" s="114"/>
      <c r="R917" s="114"/>
      <c r="S917" s="115"/>
      <c r="T917" s="114"/>
      <c r="U917" s="115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5"/>
    </row>
    <row r="918" spans="1:36" ht="15.75" customHeight="1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5"/>
      <c r="M918" s="115"/>
      <c r="N918" s="116"/>
      <c r="O918" s="116"/>
      <c r="P918" s="114"/>
      <c r="Q918" s="114"/>
      <c r="R918" s="114"/>
      <c r="S918" s="115"/>
      <c r="T918" s="114"/>
      <c r="U918" s="115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5"/>
    </row>
    <row r="919" spans="1:36" ht="15.75" customHeight="1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5"/>
      <c r="M919" s="115"/>
      <c r="N919" s="116"/>
      <c r="O919" s="116"/>
      <c r="P919" s="114"/>
      <c r="Q919" s="114"/>
      <c r="R919" s="114"/>
      <c r="S919" s="115"/>
      <c r="T919" s="114"/>
      <c r="U919" s="115"/>
      <c r="V919" s="114"/>
      <c r="W919" s="114"/>
      <c r="X919" s="114"/>
      <c r="Y919" s="114"/>
      <c r="Z919" s="114"/>
      <c r="AA919" s="114"/>
      <c r="AB919" s="114"/>
      <c r="AC919" s="114"/>
      <c r="AD919" s="114"/>
      <c r="AE919" s="114"/>
      <c r="AF919" s="114"/>
      <c r="AG919" s="114"/>
      <c r="AH919" s="114"/>
      <c r="AI919" s="114"/>
      <c r="AJ919" s="115"/>
    </row>
    <row r="920" spans="1:36" ht="15.75" customHeight="1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5"/>
      <c r="M920" s="115"/>
      <c r="N920" s="116"/>
      <c r="O920" s="116"/>
      <c r="P920" s="114"/>
      <c r="Q920" s="114"/>
      <c r="R920" s="114"/>
      <c r="S920" s="115"/>
      <c r="T920" s="114"/>
      <c r="U920" s="115"/>
      <c r="V920" s="114"/>
      <c r="W920" s="114"/>
      <c r="X920" s="114"/>
      <c r="Y920" s="114"/>
      <c r="Z920" s="114"/>
      <c r="AA920" s="114"/>
      <c r="AB920" s="114"/>
      <c r="AC920" s="114"/>
      <c r="AD920" s="114"/>
      <c r="AE920" s="114"/>
      <c r="AF920" s="114"/>
      <c r="AG920" s="114"/>
      <c r="AH920" s="114"/>
      <c r="AI920" s="114"/>
      <c r="AJ920" s="115"/>
    </row>
    <row r="921" spans="1:36" ht="15.75" customHeight="1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5"/>
      <c r="M921" s="115"/>
      <c r="N921" s="116"/>
      <c r="O921" s="116"/>
      <c r="P921" s="114"/>
      <c r="Q921" s="114"/>
      <c r="R921" s="114"/>
      <c r="S921" s="115"/>
      <c r="T921" s="114"/>
      <c r="U921" s="115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5"/>
    </row>
    <row r="922" spans="1:36" ht="15.75" customHeight="1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5"/>
      <c r="M922" s="115"/>
      <c r="N922" s="116"/>
      <c r="O922" s="116"/>
      <c r="P922" s="114"/>
      <c r="Q922" s="114"/>
      <c r="R922" s="114"/>
      <c r="S922" s="115"/>
      <c r="T922" s="114"/>
      <c r="U922" s="115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5"/>
    </row>
    <row r="923" spans="1:36" ht="15.75" customHeight="1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5"/>
      <c r="M923" s="115"/>
      <c r="N923" s="116"/>
      <c r="O923" s="116"/>
      <c r="P923" s="114"/>
      <c r="Q923" s="114"/>
      <c r="R923" s="114"/>
      <c r="S923" s="115"/>
      <c r="T923" s="114"/>
      <c r="U923" s="115"/>
      <c r="V923" s="114"/>
      <c r="W923" s="114"/>
      <c r="X923" s="114"/>
      <c r="Y923" s="114"/>
      <c r="Z923" s="114"/>
      <c r="AA923" s="114"/>
      <c r="AB923" s="114"/>
      <c r="AC923" s="114"/>
      <c r="AD923" s="114"/>
      <c r="AE923" s="114"/>
      <c r="AF923" s="114"/>
      <c r="AG923" s="114"/>
      <c r="AH923" s="114"/>
      <c r="AI923" s="114"/>
      <c r="AJ923" s="115"/>
    </row>
    <row r="924" spans="1:36" ht="15.75" customHeight="1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5"/>
      <c r="M924" s="115"/>
      <c r="N924" s="116"/>
      <c r="O924" s="116"/>
      <c r="P924" s="114"/>
      <c r="Q924" s="114"/>
      <c r="R924" s="114"/>
      <c r="S924" s="115"/>
      <c r="T924" s="114"/>
      <c r="U924" s="115"/>
      <c r="V924" s="114"/>
      <c r="W924" s="114"/>
      <c r="X924" s="114"/>
      <c r="Y924" s="114"/>
      <c r="Z924" s="114"/>
      <c r="AA924" s="114"/>
      <c r="AB924" s="114"/>
      <c r="AC924" s="114"/>
      <c r="AD924" s="114"/>
      <c r="AE924" s="114"/>
      <c r="AF924" s="114"/>
      <c r="AG924" s="114"/>
      <c r="AH924" s="114"/>
      <c r="AI924" s="114"/>
      <c r="AJ924" s="115"/>
    </row>
    <row r="925" spans="1:36" ht="15.75" customHeight="1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5"/>
      <c r="M925" s="115"/>
      <c r="N925" s="116"/>
      <c r="O925" s="116"/>
      <c r="P925" s="114"/>
      <c r="Q925" s="114"/>
      <c r="R925" s="114"/>
      <c r="S925" s="115"/>
      <c r="T925" s="114"/>
      <c r="U925" s="115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5"/>
    </row>
    <row r="926" spans="1:36" ht="15.75" customHeight="1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5"/>
      <c r="M926" s="115"/>
      <c r="N926" s="116"/>
      <c r="O926" s="116"/>
      <c r="P926" s="114"/>
      <c r="Q926" s="114"/>
      <c r="R926" s="114"/>
      <c r="S926" s="115"/>
      <c r="T926" s="114"/>
      <c r="U926" s="115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5"/>
    </row>
    <row r="927" spans="1:36" ht="15.75" customHeight="1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5"/>
      <c r="M927" s="115"/>
      <c r="N927" s="116"/>
      <c r="O927" s="116"/>
      <c r="P927" s="114"/>
      <c r="Q927" s="114"/>
      <c r="R927" s="114"/>
      <c r="S927" s="115"/>
      <c r="T927" s="114"/>
      <c r="U927" s="115"/>
      <c r="V927" s="114"/>
      <c r="W927" s="114"/>
      <c r="X927" s="114"/>
      <c r="Y927" s="114"/>
      <c r="Z927" s="114"/>
      <c r="AA927" s="114"/>
      <c r="AB927" s="114"/>
      <c r="AC927" s="114"/>
      <c r="AD927" s="114"/>
      <c r="AE927" s="114"/>
      <c r="AF927" s="114"/>
      <c r="AG927" s="114"/>
      <c r="AH927" s="114"/>
      <c r="AI927" s="114"/>
      <c r="AJ927" s="115"/>
    </row>
    <row r="928" spans="1:36" ht="15.75" customHeight="1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5"/>
      <c r="M928" s="115"/>
      <c r="N928" s="116"/>
      <c r="O928" s="116"/>
      <c r="P928" s="114"/>
      <c r="Q928" s="114"/>
      <c r="R928" s="114"/>
      <c r="S928" s="115"/>
      <c r="T928" s="114"/>
      <c r="U928" s="115"/>
      <c r="V928" s="114"/>
      <c r="W928" s="114"/>
      <c r="X928" s="114"/>
      <c r="Y928" s="114"/>
      <c r="Z928" s="114"/>
      <c r="AA928" s="114"/>
      <c r="AB928" s="114"/>
      <c r="AC928" s="114"/>
      <c r="AD928" s="114"/>
      <c r="AE928" s="114"/>
      <c r="AF928" s="114"/>
      <c r="AG928" s="114"/>
      <c r="AH928" s="114"/>
      <c r="AI928" s="114"/>
      <c r="AJ928" s="115"/>
    </row>
    <row r="929" spans="1:36" ht="15.75" customHeight="1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5"/>
      <c r="M929" s="115"/>
      <c r="N929" s="116"/>
      <c r="O929" s="116"/>
      <c r="P929" s="114"/>
      <c r="Q929" s="114"/>
      <c r="R929" s="114"/>
      <c r="S929" s="115"/>
      <c r="T929" s="114"/>
      <c r="U929" s="115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5"/>
    </row>
    <row r="930" spans="1:36" ht="15.75" customHeight="1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5"/>
      <c r="M930" s="115"/>
      <c r="N930" s="116"/>
      <c r="O930" s="116"/>
      <c r="P930" s="114"/>
      <c r="Q930" s="114"/>
      <c r="R930" s="114"/>
      <c r="S930" s="115"/>
      <c r="T930" s="114"/>
      <c r="U930" s="115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5"/>
    </row>
    <row r="931" spans="1:36" ht="15.75" customHeight="1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5"/>
      <c r="M931" s="115"/>
      <c r="N931" s="116"/>
      <c r="O931" s="116"/>
      <c r="P931" s="114"/>
      <c r="Q931" s="114"/>
      <c r="R931" s="114"/>
      <c r="S931" s="115"/>
      <c r="T931" s="114"/>
      <c r="U931" s="115"/>
      <c r="V931" s="114"/>
      <c r="W931" s="114"/>
      <c r="X931" s="114"/>
      <c r="Y931" s="114"/>
      <c r="Z931" s="114"/>
      <c r="AA931" s="114"/>
      <c r="AB931" s="114"/>
      <c r="AC931" s="114"/>
      <c r="AD931" s="114"/>
      <c r="AE931" s="114"/>
      <c r="AF931" s="114"/>
      <c r="AG931" s="114"/>
      <c r="AH931" s="114"/>
      <c r="AI931" s="114"/>
      <c r="AJ931" s="115"/>
    </row>
    <row r="932" spans="1:36" ht="15.75" customHeight="1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5"/>
      <c r="M932" s="115"/>
      <c r="N932" s="116"/>
      <c r="O932" s="116"/>
      <c r="P932" s="114"/>
      <c r="Q932" s="114"/>
      <c r="R932" s="114"/>
      <c r="S932" s="115"/>
      <c r="T932" s="114"/>
      <c r="U932" s="115"/>
      <c r="V932" s="114"/>
      <c r="W932" s="114"/>
      <c r="X932" s="114"/>
      <c r="Y932" s="114"/>
      <c r="Z932" s="114"/>
      <c r="AA932" s="114"/>
      <c r="AB932" s="114"/>
      <c r="AC932" s="114"/>
      <c r="AD932" s="114"/>
      <c r="AE932" s="114"/>
      <c r="AF932" s="114"/>
      <c r="AG932" s="114"/>
      <c r="AH932" s="114"/>
      <c r="AI932" s="114"/>
      <c r="AJ932" s="115"/>
    </row>
    <row r="933" spans="1:36" ht="15.75" customHeight="1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5"/>
      <c r="M933" s="115"/>
      <c r="N933" s="116"/>
      <c r="O933" s="116"/>
      <c r="P933" s="114"/>
      <c r="Q933" s="114"/>
      <c r="R933" s="114"/>
      <c r="S933" s="115"/>
      <c r="T933" s="114"/>
      <c r="U933" s="115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5"/>
    </row>
    <row r="934" spans="1:36" ht="15.75" customHeight="1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5"/>
      <c r="M934" s="115"/>
      <c r="N934" s="116"/>
      <c r="O934" s="116"/>
      <c r="P934" s="114"/>
      <c r="Q934" s="114"/>
      <c r="R934" s="114"/>
      <c r="S934" s="115"/>
      <c r="T934" s="114"/>
      <c r="U934" s="115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5"/>
    </row>
    <row r="935" spans="1:36" ht="15.75" customHeight="1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5"/>
      <c r="M935" s="115"/>
      <c r="N935" s="116"/>
      <c r="O935" s="116"/>
      <c r="P935" s="114"/>
      <c r="Q935" s="114"/>
      <c r="R935" s="114"/>
      <c r="S935" s="115"/>
      <c r="T935" s="114"/>
      <c r="U935" s="115"/>
      <c r="V935" s="114"/>
      <c r="W935" s="114"/>
      <c r="X935" s="114"/>
      <c r="Y935" s="114"/>
      <c r="Z935" s="114"/>
      <c r="AA935" s="114"/>
      <c r="AB935" s="114"/>
      <c r="AC935" s="114"/>
      <c r="AD935" s="114"/>
      <c r="AE935" s="114"/>
      <c r="AF935" s="114"/>
      <c r="AG935" s="114"/>
      <c r="AH935" s="114"/>
      <c r="AI935" s="114"/>
      <c r="AJ935" s="115"/>
    </row>
    <row r="936" spans="1:36" ht="15.75" customHeight="1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5"/>
      <c r="M936" s="115"/>
      <c r="N936" s="116"/>
      <c r="O936" s="116"/>
      <c r="P936" s="114"/>
      <c r="Q936" s="114"/>
      <c r="R936" s="114"/>
      <c r="S936" s="115"/>
      <c r="T936" s="114"/>
      <c r="U936" s="115"/>
      <c r="V936" s="114"/>
      <c r="W936" s="114"/>
      <c r="X936" s="114"/>
      <c r="Y936" s="114"/>
      <c r="Z936" s="114"/>
      <c r="AA936" s="114"/>
      <c r="AB936" s="114"/>
      <c r="AC936" s="114"/>
      <c r="AD936" s="114"/>
      <c r="AE936" s="114"/>
      <c r="AF936" s="114"/>
      <c r="AG936" s="114"/>
      <c r="AH936" s="114"/>
      <c r="AI936" s="114"/>
      <c r="AJ936" s="115"/>
    </row>
    <row r="937" spans="1:36" ht="15.75" customHeight="1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5"/>
      <c r="M937" s="115"/>
      <c r="N937" s="116"/>
      <c r="O937" s="116"/>
      <c r="P937" s="114"/>
      <c r="Q937" s="114"/>
      <c r="R937" s="114"/>
      <c r="S937" s="115"/>
      <c r="T937" s="114"/>
      <c r="U937" s="115"/>
      <c r="V937" s="114"/>
      <c r="W937" s="114"/>
      <c r="X937" s="114"/>
      <c r="Y937" s="114"/>
      <c r="Z937" s="114"/>
      <c r="AA937" s="114"/>
      <c r="AB937" s="114"/>
      <c r="AC937" s="114"/>
      <c r="AD937" s="114"/>
      <c r="AE937" s="114"/>
      <c r="AF937" s="114"/>
      <c r="AG937" s="114"/>
      <c r="AH937" s="114"/>
      <c r="AI937" s="114"/>
      <c r="AJ937" s="115"/>
    </row>
    <row r="938" spans="1:36" ht="15.75" customHeight="1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5"/>
      <c r="M938" s="115"/>
      <c r="N938" s="116"/>
      <c r="O938" s="116"/>
      <c r="P938" s="114"/>
      <c r="Q938" s="114"/>
      <c r="R938" s="114"/>
      <c r="S938" s="115"/>
      <c r="T938" s="114"/>
      <c r="U938" s="115"/>
      <c r="V938" s="114"/>
      <c r="W938" s="114"/>
      <c r="X938" s="114"/>
      <c r="Y938" s="114"/>
      <c r="Z938" s="114"/>
      <c r="AA938" s="114"/>
      <c r="AB938" s="114"/>
      <c r="AC938" s="114"/>
      <c r="AD938" s="114"/>
      <c r="AE938" s="114"/>
      <c r="AF938" s="114"/>
      <c r="AG938" s="114"/>
      <c r="AH938" s="114"/>
      <c r="AI938" s="114"/>
      <c r="AJ938" s="115"/>
    </row>
    <row r="939" spans="1:36" ht="15.75" customHeight="1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5"/>
      <c r="M939" s="115"/>
      <c r="N939" s="116"/>
      <c r="O939" s="116"/>
      <c r="P939" s="114"/>
      <c r="Q939" s="114"/>
      <c r="R939" s="114"/>
      <c r="S939" s="115"/>
      <c r="T939" s="114"/>
      <c r="U939" s="115"/>
      <c r="V939" s="114"/>
      <c r="W939" s="114"/>
      <c r="X939" s="114"/>
      <c r="Y939" s="114"/>
      <c r="Z939" s="114"/>
      <c r="AA939" s="114"/>
      <c r="AB939" s="114"/>
      <c r="AC939" s="114"/>
      <c r="AD939" s="114"/>
      <c r="AE939" s="114"/>
      <c r="AF939" s="114"/>
      <c r="AG939" s="114"/>
      <c r="AH939" s="114"/>
      <c r="AI939" s="114"/>
      <c r="AJ939" s="115"/>
    </row>
    <row r="940" spans="1:36" ht="15.75" customHeight="1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5"/>
      <c r="M940" s="115"/>
      <c r="N940" s="116"/>
      <c r="O940" s="116"/>
      <c r="P940" s="114"/>
      <c r="Q940" s="114"/>
      <c r="R940" s="114"/>
      <c r="S940" s="115"/>
      <c r="T940" s="114"/>
      <c r="U940" s="115"/>
      <c r="V940" s="114"/>
      <c r="W940" s="114"/>
      <c r="X940" s="114"/>
      <c r="Y940" s="114"/>
      <c r="Z940" s="114"/>
      <c r="AA940" s="114"/>
      <c r="AB940" s="114"/>
      <c r="AC940" s="114"/>
      <c r="AD940" s="114"/>
      <c r="AE940" s="114"/>
      <c r="AF940" s="114"/>
      <c r="AG940" s="114"/>
      <c r="AH940" s="114"/>
      <c r="AI940" s="114"/>
      <c r="AJ940" s="115"/>
    </row>
    <row r="941" spans="1:36" ht="15.75" customHeight="1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5"/>
      <c r="M941" s="115"/>
      <c r="N941" s="116"/>
      <c r="O941" s="116"/>
      <c r="P941" s="114"/>
      <c r="Q941" s="114"/>
      <c r="R941" s="114"/>
      <c r="S941" s="115"/>
      <c r="T941" s="114"/>
      <c r="U941" s="115"/>
      <c r="V941" s="114"/>
      <c r="W941" s="114"/>
      <c r="X941" s="114"/>
      <c r="Y941" s="114"/>
      <c r="Z941" s="114"/>
      <c r="AA941" s="114"/>
      <c r="AB941" s="114"/>
      <c r="AC941" s="114"/>
      <c r="AD941" s="114"/>
      <c r="AE941" s="114"/>
      <c r="AF941" s="114"/>
      <c r="AG941" s="114"/>
      <c r="AH941" s="114"/>
      <c r="AI941" s="114"/>
      <c r="AJ941" s="115"/>
    </row>
    <row r="942" spans="1:36" ht="15.75" customHeight="1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5"/>
      <c r="M942" s="115"/>
      <c r="N942" s="116"/>
      <c r="O942" s="116"/>
      <c r="P942" s="114"/>
      <c r="Q942" s="114"/>
      <c r="R942" s="114"/>
      <c r="S942" s="115"/>
      <c r="T942" s="114"/>
      <c r="U942" s="115"/>
      <c r="V942" s="114"/>
      <c r="W942" s="114"/>
      <c r="X942" s="114"/>
      <c r="Y942" s="114"/>
      <c r="Z942" s="114"/>
      <c r="AA942" s="114"/>
      <c r="AB942" s="114"/>
      <c r="AC942" s="114"/>
      <c r="AD942" s="114"/>
      <c r="AE942" s="114"/>
      <c r="AF942" s="114"/>
      <c r="AG942" s="114"/>
      <c r="AH942" s="114"/>
      <c r="AI942" s="114"/>
      <c r="AJ942" s="115"/>
    </row>
    <row r="943" spans="1:36" ht="15.75" customHeight="1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5"/>
      <c r="M943" s="115"/>
      <c r="N943" s="116"/>
      <c r="O943" s="116"/>
      <c r="P943" s="114"/>
      <c r="Q943" s="114"/>
      <c r="R943" s="114"/>
      <c r="S943" s="115"/>
      <c r="T943" s="114"/>
      <c r="U943" s="115"/>
      <c r="V943" s="114"/>
      <c r="W943" s="114"/>
      <c r="X943" s="114"/>
      <c r="Y943" s="114"/>
      <c r="Z943" s="114"/>
      <c r="AA943" s="114"/>
      <c r="AB943" s="114"/>
      <c r="AC943" s="114"/>
      <c r="AD943" s="114"/>
      <c r="AE943" s="114"/>
      <c r="AF943" s="114"/>
      <c r="AG943" s="114"/>
      <c r="AH943" s="114"/>
      <c r="AI943" s="114"/>
      <c r="AJ943" s="115"/>
    </row>
    <row r="944" spans="1:36" ht="15.75" customHeight="1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5"/>
      <c r="M944" s="115"/>
      <c r="N944" s="116"/>
      <c r="O944" s="116"/>
      <c r="P944" s="114"/>
      <c r="Q944" s="114"/>
      <c r="R944" s="114"/>
      <c r="S944" s="115"/>
      <c r="T944" s="114"/>
      <c r="U944" s="115"/>
      <c r="V944" s="114"/>
      <c r="W944" s="114"/>
      <c r="X944" s="114"/>
      <c r="Y944" s="114"/>
      <c r="Z944" s="114"/>
      <c r="AA944" s="114"/>
      <c r="AB944" s="114"/>
      <c r="AC944" s="114"/>
      <c r="AD944" s="114"/>
      <c r="AE944" s="114"/>
      <c r="AF944" s="114"/>
      <c r="AG944" s="114"/>
      <c r="AH944" s="114"/>
      <c r="AI944" s="114"/>
      <c r="AJ944" s="115"/>
    </row>
    <row r="945" spans="1:36" ht="15.75" customHeight="1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5"/>
      <c r="M945" s="115"/>
      <c r="N945" s="116"/>
      <c r="O945" s="116"/>
      <c r="P945" s="114"/>
      <c r="Q945" s="114"/>
      <c r="R945" s="114"/>
      <c r="S945" s="115"/>
      <c r="T945" s="114"/>
      <c r="U945" s="115"/>
      <c r="V945" s="114"/>
      <c r="W945" s="114"/>
      <c r="X945" s="114"/>
      <c r="Y945" s="114"/>
      <c r="Z945" s="114"/>
      <c r="AA945" s="114"/>
      <c r="AB945" s="114"/>
      <c r="AC945" s="114"/>
      <c r="AD945" s="114"/>
      <c r="AE945" s="114"/>
      <c r="AF945" s="114"/>
      <c r="AG945" s="114"/>
      <c r="AH945" s="114"/>
      <c r="AI945" s="114"/>
      <c r="AJ945" s="115"/>
    </row>
    <row r="946" spans="1:36" ht="15.75" customHeight="1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5"/>
      <c r="M946" s="115"/>
      <c r="N946" s="116"/>
      <c r="O946" s="116"/>
      <c r="P946" s="114"/>
      <c r="Q946" s="114"/>
      <c r="R946" s="114"/>
      <c r="S946" s="115"/>
      <c r="T946" s="114"/>
      <c r="U946" s="115"/>
      <c r="V946" s="114"/>
      <c r="W946" s="114"/>
      <c r="X946" s="114"/>
      <c r="Y946" s="114"/>
      <c r="Z946" s="114"/>
      <c r="AA946" s="114"/>
      <c r="AB946" s="114"/>
      <c r="AC946" s="114"/>
      <c r="AD946" s="114"/>
      <c r="AE946" s="114"/>
      <c r="AF946" s="114"/>
      <c r="AG946" s="114"/>
      <c r="AH946" s="114"/>
      <c r="AI946" s="114"/>
      <c r="AJ946" s="115"/>
    </row>
    <row r="947" spans="1:36" ht="15.75" customHeight="1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5"/>
      <c r="M947" s="115"/>
      <c r="N947" s="116"/>
      <c r="O947" s="116"/>
      <c r="P947" s="114"/>
      <c r="Q947" s="114"/>
      <c r="R947" s="114"/>
      <c r="S947" s="115"/>
      <c r="T947" s="114"/>
      <c r="U947" s="115"/>
      <c r="V947" s="114"/>
      <c r="W947" s="114"/>
      <c r="X947" s="114"/>
      <c r="Y947" s="114"/>
      <c r="Z947" s="114"/>
      <c r="AA947" s="114"/>
      <c r="AB947" s="114"/>
      <c r="AC947" s="114"/>
      <c r="AD947" s="114"/>
      <c r="AE947" s="114"/>
      <c r="AF947" s="114"/>
      <c r="AG947" s="114"/>
      <c r="AH947" s="114"/>
      <c r="AI947" s="114"/>
      <c r="AJ947" s="115"/>
    </row>
    <row r="948" spans="1:36" ht="15.75" customHeight="1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5"/>
      <c r="M948" s="115"/>
      <c r="N948" s="116"/>
      <c r="O948" s="116"/>
      <c r="P948" s="114"/>
      <c r="Q948" s="114"/>
      <c r="R948" s="114"/>
      <c r="S948" s="115"/>
      <c r="T948" s="114"/>
      <c r="U948" s="115"/>
      <c r="V948" s="114"/>
      <c r="W948" s="114"/>
      <c r="X948" s="114"/>
      <c r="Y948" s="114"/>
      <c r="Z948" s="114"/>
      <c r="AA948" s="114"/>
      <c r="AB948" s="114"/>
      <c r="AC948" s="114"/>
      <c r="AD948" s="114"/>
      <c r="AE948" s="114"/>
      <c r="AF948" s="114"/>
      <c r="AG948" s="114"/>
      <c r="AH948" s="114"/>
      <c r="AI948" s="114"/>
      <c r="AJ948" s="115"/>
    </row>
    <row r="949" spans="1:36" ht="15.75" customHeight="1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5"/>
      <c r="M949" s="115"/>
      <c r="N949" s="116"/>
      <c r="O949" s="116"/>
      <c r="P949" s="114"/>
      <c r="Q949" s="114"/>
      <c r="R949" s="114"/>
      <c r="S949" s="115"/>
      <c r="T949" s="114"/>
      <c r="U949" s="115"/>
      <c r="V949" s="114"/>
      <c r="W949" s="114"/>
      <c r="X949" s="114"/>
      <c r="Y949" s="114"/>
      <c r="Z949" s="114"/>
      <c r="AA949" s="114"/>
      <c r="AB949" s="114"/>
      <c r="AC949" s="114"/>
      <c r="AD949" s="114"/>
      <c r="AE949" s="114"/>
      <c r="AF949" s="114"/>
      <c r="AG949" s="114"/>
      <c r="AH949" s="114"/>
      <c r="AI949" s="114"/>
      <c r="AJ949" s="115"/>
    </row>
    <row r="950" spans="1:36" ht="15.75" customHeight="1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5"/>
      <c r="M950" s="115"/>
      <c r="N950" s="116"/>
      <c r="O950" s="116"/>
      <c r="P950" s="114"/>
      <c r="Q950" s="114"/>
      <c r="R950" s="114"/>
      <c r="S950" s="115"/>
      <c r="T950" s="114"/>
      <c r="U950" s="115"/>
      <c r="V950" s="114"/>
      <c r="W950" s="114"/>
      <c r="X950" s="114"/>
      <c r="Y950" s="114"/>
      <c r="Z950" s="114"/>
      <c r="AA950" s="114"/>
      <c r="AB950" s="114"/>
      <c r="AC950" s="114"/>
      <c r="AD950" s="114"/>
      <c r="AE950" s="114"/>
      <c r="AF950" s="114"/>
      <c r="AG950" s="114"/>
      <c r="AH950" s="114"/>
      <c r="AI950" s="114"/>
      <c r="AJ950" s="115"/>
    </row>
    <row r="951" spans="1:36" ht="15.75" customHeight="1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5"/>
      <c r="M951" s="115"/>
      <c r="N951" s="116"/>
      <c r="O951" s="116"/>
      <c r="P951" s="114"/>
      <c r="Q951" s="114"/>
      <c r="R951" s="114"/>
      <c r="S951" s="115"/>
      <c r="T951" s="114"/>
      <c r="U951" s="115"/>
      <c r="V951" s="114"/>
      <c r="W951" s="114"/>
      <c r="X951" s="114"/>
      <c r="Y951" s="114"/>
      <c r="Z951" s="114"/>
      <c r="AA951" s="114"/>
      <c r="AB951" s="114"/>
      <c r="AC951" s="114"/>
      <c r="AD951" s="114"/>
      <c r="AE951" s="114"/>
      <c r="AF951" s="114"/>
      <c r="AG951" s="114"/>
      <c r="AH951" s="114"/>
      <c r="AI951" s="114"/>
      <c r="AJ951" s="115"/>
    </row>
    <row r="952" spans="1:36" ht="15.75" customHeight="1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5"/>
      <c r="M952" s="115"/>
      <c r="N952" s="116"/>
      <c r="O952" s="116"/>
      <c r="P952" s="114"/>
      <c r="Q952" s="114"/>
      <c r="R952" s="114"/>
      <c r="S952" s="115"/>
      <c r="T952" s="114"/>
      <c r="U952" s="115"/>
      <c r="V952" s="114"/>
      <c r="W952" s="114"/>
      <c r="X952" s="114"/>
      <c r="Y952" s="114"/>
      <c r="Z952" s="114"/>
      <c r="AA952" s="114"/>
      <c r="AB952" s="114"/>
      <c r="AC952" s="114"/>
      <c r="AD952" s="114"/>
      <c r="AE952" s="114"/>
      <c r="AF952" s="114"/>
      <c r="AG952" s="114"/>
      <c r="AH952" s="114"/>
      <c r="AI952" s="114"/>
      <c r="AJ952" s="115"/>
    </row>
    <row r="953" spans="1:36" ht="15.75" customHeight="1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5"/>
      <c r="M953" s="115"/>
      <c r="N953" s="116"/>
      <c r="O953" s="116"/>
      <c r="P953" s="114"/>
      <c r="Q953" s="114"/>
      <c r="R953" s="114"/>
      <c r="S953" s="115"/>
      <c r="T953" s="114"/>
      <c r="U953" s="115"/>
      <c r="V953" s="114"/>
      <c r="W953" s="114"/>
      <c r="X953" s="114"/>
      <c r="Y953" s="114"/>
      <c r="Z953" s="114"/>
      <c r="AA953" s="114"/>
      <c r="AB953" s="114"/>
      <c r="AC953" s="114"/>
      <c r="AD953" s="114"/>
      <c r="AE953" s="114"/>
      <c r="AF953" s="114"/>
      <c r="AG953" s="114"/>
      <c r="AH953" s="114"/>
      <c r="AI953" s="114"/>
      <c r="AJ953" s="115"/>
    </row>
    <row r="954" spans="1:36" ht="15.75" customHeight="1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5"/>
      <c r="M954" s="115"/>
      <c r="N954" s="116"/>
      <c r="O954" s="116"/>
      <c r="P954" s="114"/>
      <c r="Q954" s="114"/>
      <c r="R954" s="114"/>
      <c r="S954" s="115"/>
      <c r="T954" s="114"/>
      <c r="U954" s="115"/>
      <c r="V954" s="114"/>
      <c r="W954" s="114"/>
      <c r="X954" s="114"/>
      <c r="Y954" s="114"/>
      <c r="Z954" s="114"/>
      <c r="AA954" s="114"/>
      <c r="AB954" s="114"/>
      <c r="AC954" s="114"/>
      <c r="AD954" s="114"/>
      <c r="AE954" s="114"/>
      <c r="AF954" s="114"/>
      <c r="AG954" s="114"/>
      <c r="AH954" s="114"/>
      <c r="AI954" s="114"/>
      <c r="AJ954" s="115"/>
    </row>
    <row r="955" spans="1:36" ht="15.75" customHeight="1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5"/>
      <c r="M955" s="115"/>
      <c r="N955" s="116"/>
      <c r="O955" s="116"/>
      <c r="P955" s="114"/>
      <c r="Q955" s="114"/>
      <c r="R955" s="114"/>
      <c r="S955" s="115"/>
      <c r="T955" s="114"/>
      <c r="U955" s="115"/>
      <c r="V955" s="114"/>
      <c r="W955" s="114"/>
      <c r="X955" s="114"/>
      <c r="Y955" s="114"/>
      <c r="Z955" s="114"/>
      <c r="AA955" s="114"/>
      <c r="AB955" s="114"/>
      <c r="AC955" s="114"/>
      <c r="AD955" s="114"/>
      <c r="AE955" s="114"/>
      <c r="AF955" s="114"/>
      <c r="AG955" s="114"/>
      <c r="AH955" s="114"/>
      <c r="AI955" s="114"/>
      <c r="AJ955" s="115"/>
    </row>
    <row r="956" spans="1:36" ht="15.75" customHeight="1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5"/>
      <c r="M956" s="115"/>
      <c r="N956" s="116"/>
      <c r="O956" s="116"/>
      <c r="P956" s="114"/>
      <c r="Q956" s="114"/>
      <c r="R956" s="114"/>
      <c r="S956" s="115"/>
      <c r="T956" s="114"/>
      <c r="U956" s="115"/>
      <c r="V956" s="114"/>
      <c r="W956" s="114"/>
      <c r="X956" s="114"/>
      <c r="Y956" s="114"/>
      <c r="Z956" s="114"/>
      <c r="AA956" s="114"/>
      <c r="AB956" s="114"/>
      <c r="AC956" s="114"/>
      <c r="AD956" s="114"/>
      <c r="AE956" s="114"/>
      <c r="AF956" s="114"/>
      <c r="AG956" s="114"/>
      <c r="AH956" s="114"/>
      <c r="AI956" s="114"/>
      <c r="AJ956" s="115"/>
    </row>
    <row r="957" spans="1:36" ht="15.75" customHeight="1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5"/>
      <c r="M957" s="115"/>
      <c r="N957" s="116"/>
      <c r="O957" s="116"/>
      <c r="P957" s="114"/>
      <c r="Q957" s="114"/>
      <c r="R957" s="114"/>
      <c r="S957" s="115"/>
      <c r="T957" s="114"/>
      <c r="U957" s="115"/>
      <c r="V957" s="114"/>
      <c r="W957" s="114"/>
      <c r="X957" s="114"/>
      <c r="Y957" s="114"/>
      <c r="Z957" s="114"/>
      <c r="AA957" s="114"/>
      <c r="AB957" s="114"/>
      <c r="AC957" s="114"/>
      <c r="AD957" s="114"/>
      <c r="AE957" s="114"/>
      <c r="AF957" s="114"/>
      <c r="AG957" s="114"/>
      <c r="AH957" s="114"/>
      <c r="AI957" s="114"/>
      <c r="AJ957" s="115"/>
    </row>
    <row r="958" spans="1:36" ht="15.75" customHeight="1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5"/>
      <c r="M958" s="115"/>
      <c r="N958" s="116"/>
      <c r="O958" s="116"/>
      <c r="P958" s="114"/>
      <c r="Q958" s="114"/>
      <c r="R958" s="114"/>
      <c r="S958" s="115"/>
      <c r="T958" s="114"/>
      <c r="U958" s="115"/>
      <c r="V958" s="114"/>
      <c r="W958" s="114"/>
      <c r="X958" s="114"/>
      <c r="Y958" s="114"/>
      <c r="Z958" s="114"/>
      <c r="AA958" s="114"/>
      <c r="AB958" s="114"/>
      <c r="AC958" s="114"/>
      <c r="AD958" s="114"/>
      <c r="AE958" s="114"/>
      <c r="AF958" s="114"/>
      <c r="AG958" s="114"/>
      <c r="AH958" s="114"/>
      <c r="AI958" s="114"/>
      <c r="AJ958" s="115"/>
    </row>
    <row r="959" spans="1:36" ht="15.75" customHeight="1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5"/>
      <c r="M959" s="115"/>
      <c r="N959" s="116"/>
      <c r="O959" s="116"/>
      <c r="P959" s="114"/>
      <c r="Q959" s="114"/>
      <c r="R959" s="114"/>
      <c r="S959" s="115"/>
      <c r="T959" s="114"/>
      <c r="U959" s="115"/>
      <c r="V959" s="114"/>
      <c r="W959" s="114"/>
      <c r="X959" s="114"/>
      <c r="Y959" s="114"/>
      <c r="Z959" s="114"/>
      <c r="AA959" s="114"/>
      <c r="AB959" s="114"/>
      <c r="AC959" s="114"/>
      <c r="AD959" s="114"/>
      <c r="AE959" s="114"/>
      <c r="AF959" s="114"/>
      <c r="AG959" s="114"/>
      <c r="AH959" s="114"/>
      <c r="AI959" s="114"/>
      <c r="AJ959" s="115"/>
    </row>
    <row r="960" spans="1:36" ht="15.75" customHeight="1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5"/>
      <c r="M960" s="115"/>
      <c r="N960" s="116"/>
      <c r="O960" s="116"/>
      <c r="P960" s="114"/>
      <c r="Q960" s="114"/>
      <c r="R960" s="114"/>
      <c r="S960" s="115"/>
      <c r="T960" s="114"/>
      <c r="U960" s="115"/>
      <c r="V960" s="114"/>
      <c r="W960" s="114"/>
      <c r="X960" s="114"/>
      <c r="Y960" s="114"/>
      <c r="Z960" s="114"/>
      <c r="AA960" s="114"/>
      <c r="AB960" s="114"/>
      <c r="AC960" s="114"/>
      <c r="AD960" s="114"/>
      <c r="AE960" s="114"/>
      <c r="AF960" s="114"/>
      <c r="AG960" s="114"/>
      <c r="AH960" s="114"/>
      <c r="AI960" s="114"/>
      <c r="AJ960" s="115"/>
    </row>
    <row r="961" spans="1:36" ht="15.75" customHeight="1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5"/>
      <c r="M961" s="115"/>
      <c r="N961" s="116"/>
      <c r="O961" s="116"/>
      <c r="P961" s="114"/>
      <c r="Q961" s="114"/>
      <c r="R961" s="114"/>
      <c r="S961" s="115"/>
      <c r="T961" s="114"/>
      <c r="U961" s="115"/>
      <c r="V961" s="114"/>
      <c r="W961" s="114"/>
      <c r="X961" s="114"/>
      <c r="Y961" s="114"/>
      <c r="Z961" s="114"/>
      <c r="AA961" s="114"/>
      <c r="AB961" s="114"/>
      <c r="AC961" s="114"/>
      <c r="AD961" s="114"/>
      <c r="AE961" s="114"/>
      <c r="AF961" s="114"/>
      <c r="AG961" s="114"/>
      <c r="AH961" s="114"/>
      <c r="AI961" s="114"/>
      <c r="AJ961" s="115"/>
    </row>
    <row r="962" spans="1:36" ht="15.75" customHeight="1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5"/>
      <c r="M962" s="115"/>
      <c r="N962" s="116"/>
      <c r="O962" s="116"/>
      <c r="P962" s="114"/>
      <c r="Q962" s="114"/>
      <c r="R962" s="114"/>
      <c r="S962" s="115"/>
      <c r="T962" s="114"/>
      <c r="U962" s="115"/>
      <c r="V962" s="114"/>
      <c r="W962" s="114"/>
      <c r="X962" s="114"/>
      <c r="Y962" s="114"/>
      <c r="Z962" s="114"/>
      <c r="AA962" s="114"/>
      <c r="AB962" s="114"/>
      <c r="AC962" s="114"/>
      <c r="AD962" s="114"/>
      <c r="AE962" s="114"/>
      <c r="AF962" s="114"/>
      <c r="AG962" s="114"/>
      <c r="AH962" s="114"/>
      <c r="AI962" s="114"/>
      <c r="AJ962" s="115"/>
    </row>
    <row r="963" spans="1:36" ht="15.75" customHeight="1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5"/>
      <c r="M963" s="115"/>
      <c r="N963" s="116"/>
      <c r="O963" s="116"/>
      <c r="P963" s="114"/>
      <c r="Q963" s="114"/>
      <c r="R963" s="114"/>
      <c r="S963" s="115"/>
      <c r="T963" s="114"/>
      <c r="U963" s="115"/>
      <c r="V963" s="114"/>
      <c r="W963" s="114"/>
      <c r="X963" s="114"/>
      <c r="Y963" s="114"/>
      <c r="Z963" s="114"/>
      <c r="AA963" s="114"/>
      <c r="AB963" s="114"/>
      <c r="AC963" s="114"/>
      <c r="AD963" s="114"/>
      <c r="AE963" s="114"/>
      <c r="AF963" s="114"/>
      <c r="AG963" s="114"/>
      <c r="AH963" s="114"/>
      <c r="AI963" s="114"/>
      <c r="AJ963" s="115"/>
    </row>
    <row r="964" spans="1:36" ht="15.75" customHeight="1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5"/>
      <c r="M964" s="115"/>
      <c r="N964" s="116"/>
      <c r="O964" s="116"/>
      <c r="P964" s="114"/>
      <c r="Q964" s="114"/>
      <c r="R964" s="114"/>
      <c r="S964" s="115"/>
      <c r="T964" s="114"/>
      <c r="U964" s="115"/>
      <c r="V964" s="114"/>
      <c r="W964" s="114"/>
      <c r="X964" s="114"/>
      <c r="Y964" s="114"/>
      <c r="Z964" s="114"/>
      <c r="AA964" s="114"/>
      <c r="AB964" s="114"/>
      <c r="AC964" s="114"/>
      <c r="AD964" s="114"/>
      <c r="AE964" s="114"/>
      <c r="AF964" s="114"/>
      <c r="AG964" s="114"/>
      <c r="AH964" s="114"/>
      <c r="AI964" s="114"/>
      <c r="AJ964" s="115"/>
    </row>
    <row r="965" spans="1:36" ht="15.75" customHeight="1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5"/>
      <c r="M965" s="115"/>
      <c r="N965" s="116"/>
      <c r="O965" s="116"/>
      <c r="P965" s="114"/>
      <c r="Q965" s="114"/>
      <c r="R965" s="114"/>
      <c r="S965" s="115"/>
      <c r="T965" s="114"/>
      <c r="U965" s="115"/>
      <c r="V965" s="114"/>
      <c r="W965" s="114"/>
      <c r="X965" s="114"/>
      <c r="Y965" s="114"/>
      <c r="Z965" s="114"/>
      <c r="AA965" s="114"/>
      <c r="AB965" s="114"/>
      <c r="AC965" s="114"/>
      <c r="AD965" s="114"/>
      <c r="AE965" s="114"/>
      <c r="AF965" s="114"/>
      <c r="AG965" s="114"/>
      <c r="AH965" s="114"/>
      <c r="AI965" s="114"/>
      <c r="AJ965" s="115"/>
    </row>
    <row r="966" spans="1:36" ht="15.75" customHeight="1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5"/>
      <c r="M966" s="115"/>
      <c r="N966" s="116"/>
      <c r="O966" s="116"/>
      <c r="P966" s="114"/>
      <c r="Q966" s="114"/>
      <c r="R966" s="114"/>
      <c r="S966" s="115"/>
      <c r="T966" s="114"/>
      <c r="U966" s="115"/>
      <c r="V966" s="114"/>
      <c r="W966" s="114"/>
      <c r="X966" s="114"/>
      <c r="Y966" s="114"/>
      <c r="Z966" s="114"/>
      <c r="AA966" s="114"/>
      <c r="AB966" s="114"/>
      <c r="AC966" s="114"/>
      <c r="AD966" s="114"/>
      <c r="AE966" s="114"/>
      <c r="AF966" s="114"/>
      <c r="AG966" s="114"/>
      <c r="AH966" s="114"/>
      <c r="AI966" s="114"/>
      <c r="AJ966" s="115"/>
    </row>
    <row r="967" spans="1:36" ht="15.75" customHeight="1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5"/>
      <c r="M967" s="115"/>
      <c r="N967" s="116"/>
      <c r="O967" s="116"/>
      <c r="P967" s="114"/>
      <c r="Q967" s="114"/>
      <c r="R967" s="114"/>
      <c r="S967" s="115"/>
      <c r="T967" s="114"/>
      <c r="U967" s="115"/>
      <c r="V967" s="114"/>
      <c r="W967" s="114"/>
      <c r="X967" s="114"/>
      <c r="Y967" s="114"/>
      <c r="Z967" s="114"/>
      <c r="AA967" s="114"/>
      <c r="AB967" s="114"/>
      <c r="AC967" s="114"/>
      <c r="AD967" s="114"/>
      <c r="AE967" s="114"/>
      <c r="AF967" s="114"/>
      <c r="AG967" s="114"/>
      <c r="AH967" s="114"/>
      <c r="AI967" s="114"/>
      <c r="AJ967" s="115"/>
    </row>
    <row r="968" spans="1:36" ht="15.75" customHeight="1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5"/>
      <c r="M968" s="115"/>
      <c r="N968" s="116"/>
      <c r="O968" s="116"/>
      <c r="P968" s="114"/>
      <c r="Q968" s="114"/>
      <c r="R968" s="114"/>
      <c r="S968" s="115"/>
      <c r="T968" s="114"/>
      <c r="U968" s="115"/>
      <c r="V968" s="114"/>
      <c r="W968" s="114"/>
      <c r="X968" s="114"/>
      <c r="Y968" s="114"/>
      <c r="Z968" s="114"/>
      <c r="AA968" s="114"/>
      <c r="AB968" s="114"/>
      <c r="AC968" s="114"/>
      <c r="AD968" s="114"/>
      <c r="AE968" s="114"/>
      <c r="AF968" s="114"/>
      <c r="AG968" s="114"/>
      <c r="AH968" s="114"/>
      <c r="AI968" s="114"/>
      <c r="AJ968" s="115"/>
    </row>
    <row r="969" spans="1:36" ht="15.75" customHeight="1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5"/>
      <c r="M969" s="115"/>
      <c r="N969" s="116"/>
      <c r="O969" s="116"/>
      <c r="P969" s="114"/>
      <c r="Q969" s="114"/>
      <c r="R969" s="114"/>
      <c r="S969" s="115"/>
      <c r="T969" s="114"/>
      <c r="U969" s="115"/>
      <c r="V969" s="114"/>
      <c r="W969" s="114"/>
      <c r="X969" s="114"/>
      <c r="Y969" s="114"/>
      <c r="Z969" s="114"/>
      <c r="AA969" s="114"/>
      <c r="AB969" s="114"/>
      <c r="AC969" s="114"/>
      <c r="AD969" s="114"/>
      <c r="AE969" s="114"/>
      <c r="AF969" s="114"/>
      <c r="AG969" s="114"/>
      <c r="AH969" s="114"/>
      <c r="AI969" s="114"/>
      <c r="AJ969" s="115"/>
    </row>
    <row r="970" spans="1:36" ht="15.75" customHeight="1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5"/>
      <c r="M970" s="115"/>
      <c r="N970" s="116"/>
      <c r="O970" s="116"/>
      <c r="P970" s="114"/>
      <c r="Q970" s="114"/>
      <c r="R970" s="114"/>
      <c r="S970" s="115"/>
      <c r="T970" s="114"/>
      <c r="U970" s="115"/>
      <c r="V970" s="114"/>
      <c r="W970" s="114"/>
      <c r="X970" s="114"/>
      <c r="Y970" s="114"/>
      <c r="Z970" s="114"/>
      <c r="AA970" s="114"/>
      <c r="AB970" s="114"/>
      <c r="AC970" s="114"/>
      <c r="AD970" s="114"/>
      <c r="AE970" s="114"/>
      <c r="AF970" s="114"/>
      <c r="AG970" s="114"/>
      <c r="AH970" s="114"/>
      <c r="AI970" s="114"/>
      <c r="AJ970" s="115"/>
    </row>
    <row r="971" spans="1:36" ht="15.75" customHeight="1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5"/>
      <c r="M971" s="115"/>
      <c r="N971" s="116"/>
      <c r="O971" s="116"/>
      <c r="P971" s="114"/>
      <c r="Q971" s="114"/>
      <c r="R971" s="114"/>
      <c r="S971" s="115"/>
      <c r="T971" s="114"/>
      <c r="U971" s="115"/>
      <c r="V971" s="114"/>
      <c r="W971" s="114"/>
      <c r="X971" s="114"/>
      <c r="Y971" s="114"/>
      <c r="Z971" s="114"/>
      <c r="AA971" s="114"/>
      <c r="AB971" s="114"/>
      <c r="AC971" s="114"/>
      <c r="AD971" s="114"/>
      <c r="AE971" s="114"/>
      <c r="AF971" s="114"/>
      <c r="AG971" s="114"/>
      <c r="AH971" s="114"/>
      <c r="AI971" s="114"/>
      <c r="AJ971" s="115"/>
    </row>
    <row r="972" spans="1:36" ht="15.75" customHeight="1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5"/>
      <c r="M972" s="115"/>
      <c r="N972" s="116"/>
      <c r="O972" s="116"/>
      <c r="P972" s="114"/>
      <c r="Q972" s="114"/>
      <c r="R972" s="114"/>
      <c r="S972" s="115"/>
      <c r="T972" s="114"/>
      <c r="U972" s="115"/>
      <c r="V972" s="114"/>
      <c r="W972" s="114"/>
      <c r="X972" s="114"/>
      <c r="Y972" s="114"/>
      <c r="Z972" s="114"/>
      <c r="AA972" s="114"/>
      <c r="AB972" s="114"/>
      <c r="AC972" s="114"/>
      <c r="AD972" s="114"/>
      <c r="AE972" s="114"/>
      <c r="AF972" s="114"/>
      <c r="AG972" s="114"/>
      <c r="AH972" s="114"/>
      <c r="AI972" s="114"/>
      <c r="AJ972" s="115"/>
    </row>
    <row r="973" spans="1:36" ht="15.75" customHeight="1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5"/>
      <c r="M973" s="115"/>
      <c r="N973" s="116"/>
      <c r="O973" s="116"/>
      <c r="P973" s="114"/>
      <c r="Q973" s="114"/>
      <c r="R973" s="114"/>
      <c r="S973" s="115"/>
      <c r="T973" s="114"/>
      <c r="U973" s="115"/>
      <c r="V973" s="114"/>
      <c r="W973" s="114"/>
      <c r="X973" s="114"/>
      <c r="Y973" s="114"/>
      <c r="Z973" s="114"/>
      <c r="AA973" s="114"/>
      <c r="AB973" s="114"/>
      <c r="AC973" s="114"/>
      <c r="AD973" s="114"/>
      <c r="AE973" s="114"/>
      <c r="AF973" s="114"/>
      <c r="AG973" s="114"/>
      <c r="AH973" s="114"/>
      <c r="AI973" s="114"/>
      <c r="AJ973" s="115"/>
    </row>
    <row r="974" spans="1:36" ht="15.75" customHeight="1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5"/>
      <c r="M974" s="115"/>
      <c r="N974" s="116"/>
      <c r="O974" s="116"/>
      <c r="P974" s="114"/>
      <c r="Q974" s="114"/>
      <c r="R974" s="114"/>
      <c r="S974" s="115"/>
      <c r="T974" s="114"/>
      <c r="U974" s="115"/>
      <c r="V974" s="114"/>
      <c r="W974" s="114"/>
      <c r="X974" s="114"/>
      <c r="Y974" s="114"/>
      <c r="Z974" s="114"/>
      <c r="AA974" s="114"/>
      <c r="AB974" s="114"/>
      <c r="AC974" s="114"/>
      <c r="AD974" s="114"/>
      <c r="AE974" s="114"/>
      <c r="AF974" s="114"/>
      <c r="AG974" s="114"/>
      <c r="AH974" s="114"/>
      <c r="AI974" s="114"/>
      <c r="AJ974" s="115"/>
    </row>
    <row r="975" spans="1:36" ht="15.75" customHeight="1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5"/>
      <c r="M975" s="115"/>
      <c r="N975" s="116"/>
      <c r="O975" s="116"/>
      <c r="P975" s="114"/>
      <c r="Q975" s="114"/>
      <c r="R975" s="114"/>
      <c r="S975" s="115"/>
      <c r="T975" s="114"/>
      <c r="U975" s="115"/>
      <c r="V975" s="114"/>
      <c r="W975" s="114"/>
      <c r="X975" s="114"/>
      <c r="Y975" s="114"/>
      <c r="Z975" s="114"/>
      <c r="AA975" s="114"/>
      <c r="AB975" s="114"/>
      <c r="AC975" s="114"/>
      <c r="AD975" s="114"/>
      <c r="AE975" s="114"/>
      <c r="AF975" s="114"/>
      <c r="AG975" s="114"/>
      <c r="AH975" s="114"/>
      <c r="AI975" s="114"/>
      <c r="AJ975" s="115"/>
    </row>
    <row r="976" spans="1:36" ht="15.75" customHeight="1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5"/>
      <c r="M976" s="115"/>
      <c r="N976" s="116"/>
      <c r="O976" s="116"/>
      <c r="P976" s="114"/>
      <c r="Q976" s="114"/>
      <c r="R976" s="114"/>
      <c r="S976" s="115"/>
      <c r="T976" s="114"/>
      <c r="U976" s="115"/>
      <c r="V976" s="114"/>
      <c r="W976" s="114"/>
      <c r="X976" s="114"/>
      <c r="Y976" s="114"/>
      <c r="Z976" s="114"/>
      <c r="AA976" s="114"/>
      <c r="AB976" s="114"/>
      <c r="AC976" s="114"/>
      <c r="AD976" s="114"/>
      <c r="AE976" s="114"/>
      <c r="AF976" s="114"/>
      <c r="AG976" s="114"/>
      <c r="AH976" s="114"/>
      <c r="AI976" s="114"/>
      <c r="AJ976" s="115"/>
    </row>
    <row r="977" spans="1:36" ht="15.75" customHeight="1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5"/>
      <c r="M977" s="115"/>
      <c r="N977" s="116"/>
      <c r="O977" s="116"/>
      <c r="P977" s="114"/>
      <c r="Q977" s="114"/>
      <c r="R977" s="114"/>
      <c r="S977" s="115"/>
      <c r="T977" s="114"/>
      <c r="U977" s="115"/>
      <c r="V977" s="114"/>
      <c r="W977" s="114"/>
      <c r="X977" s="114"/>
      <c r="Y977" s="114"/>
      <c r="Z977" s="114"/>
      <c r="AA977" s="114"/>
      <c r="AB977" s="114"/>
      <c r="AC977" s="114"/>
      <c r="AD977" s="114"/>
      <c r="AE977" s="114"/>
      <c r="AF977" s="114"/>
      <c r="AG977" s="114"/>
      <c r="AH977" s="114"/>
      <c r="AI977" s="114"/>
      <c r="AJ977" s="115"/>
    </row>
    <row r="978" spans="1:36" ht="15.75" customHeight="1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5"/>
      <c r="M978" s="115"/>
      <c r="N978" s="116"/>
      <c r="O978" s="116"/>
      <c r="P978" s="114"/>
      <c r="Q978" s="114"/>
      <c r="R978" s="114"/>
      <c r="S978" s="115"/>
      <c r="T978" s="114"/>
      <c r="U978" s="115"/>
      <c r="V978" s="114"/>
      <c r="W978" s="114"/>
      <c r="X978" s="114"/>
      <c r="Y978" s="114"/>
      <c r="Z978" s="114"/>
      <c r="AA978" s="114"/>
      <c r="AB978" s="114"/>
      <c r="AC978" s="114"/>
      <c r="AD978" s="114"/>
      <c r="AE978" s="114"/>
      <c r="AF978" s="114"/>
      <c r="AG978" s="114"/>
      <c r="AH978" s="114"/>
      <c r="AI978" s="114"/>
      <c r="AJ978" s="115"/>
    </row>
    <row r="979" spans="1:36" ht="15.75" customHeight="1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5"/>
      <c r="M979" s="115"/>
      <c r="N979" s="116"/>
      <c r="O979" s="116"/>
      <c r="P979" s="114"/>
      <c r="Q979" s="114"/>
      <c r="R979" s="114"/>
      <c r="S979" s="115"/>
      <c r="T979" s="114"/>
      <c r="U979" s="115"/>
      <c r="V979" s="114"/>
      <c r="W979" s="114"/>
      <c r="X979" s="114"/>
      <c r="Y979" s="114"/>
      <c r="Z979" s="114"/>
      <c r="AA979" s="114"/>
      <c r="AB979" s="114"/>
      <c r="AC979" s="114"/>
      <c r="AD979" s="114"/>
      <c r="AE979" s="114"/>
      <c r="AF979" s="114"/>
      <c r="AG979" s="114"/>
      <c r="AH979" s="114"/>
      <c r="AI979" s="114"/>
      <c r="AJ979" s="115"/>
    </row>
    <row r="980" spans="1:36" ht="15.75" customHeight="1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5"/>
      <c r="M980" s="115"/>
      <c r="N980" s="116"/>
      <c r="O980" s="116"/>
      <c r="P980" s="114"/>
      <c r="Q980" s="114"/>
      <c r="R980" s="114"/>
      <c r="S980" s="115"/>
      <c r="T980" s="114"/>
      <c r="U980" s="115"/>
      <c r="V980" s="114"/>
      <c r="W980" s="114"/>
      <c r="X980" s="114"/>
      <c r="Y980" s="114"/>
      <c r="Z980" s="114"/>
      <c r="AA980" s="114"/>
      <c r="AB980" s="114"/>
      <c r="AC980" s="114"/>
      <c r="AD980" s="114"/>
      <c r="AE980" s="114"/>
      <c r="AF980" s="114"/>
      <c r="AG980" s="114"/>
      <c r="AH980" s="114"/>
      <c r="AI980" s="114"/>
      <c r="AJ980" s="115"/>
    </row>
    <row r="981" spans="1:36" ht="15.75" customHeight="1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5"/>
      <c r="M981" s="115"/>
      <c r="N981" s="116"/>
      <c r="O981" s="116"/>
      <c r="P981" s="114"/>
      <c r="Q981" s="114"/>
      <c r="R981" s="114"/>
      <c r="S981" s="115"/>
      <c r="T981" s="114"/>
      <c r="U981" s="115"/>
      <c r="V981" s="114"/>
      <c r="W981" s="114"/>
      <c r="X981" s="114"/>
      <c r="Y981" s="114"/>
      <c r="Z981" s="114"/>
      <c r="AA981" s="114"/>
      <c r="AB981" s="114"/>
      <c r="AC981" s="114"/>
      <c r="AD981" s="114"/>
      <c r="AE981" s="114"/>
      <c r="AF981" s="114"/>
      <c r="AG981" s="114"/>
      <c r="AH981" s="114"/>
      <c r="AI981" s="114"/>
      <c r="AJ981" s="115"/>
    </row>
    <row r="982" spans="1:36" ht="15.75" customHeight="1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5"/>
      <c r="M982" s="115"/>
      <c r="N982" s="116"/>
      <c r="O982" s="116"/>
      <c r="P982" s="114"/>
      <c r="Q982" s="114"/>
      <c r="R982" s="114"/>
      <c r="S982" s="115"/>
      <c r="T982" s="114"/>
      <c r="U982" s="115"/>
      <c r="V982" s="114"/>
      <c r="W982" s="114"/>
      <c r="X982" s="114"/>
      <c r="Y982" s="114"/>
      <c r="Z982" s="114"/>
      <c r="AA982" s="114"/>
      <c r="AB982" s="114"/>
      <c r="AC982" s="114"/>
      <c r="AD982" s="114"/>
      <c r="AE982" s="114"/>
      <c r="AF982" s="114"/>
      <c r="AG982" s="114"/>
      <c r="AH982" s="114"/>
      <c r="AI982" s="114"/>
      <c r="AJ982" s="115"/>
    </row>
    <row r="983" spans="1:36" ht="15.75" customHeight="1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5"/>
      <c r="M983" s="115"/>
      <c r="N983" s="116"/>
      <c r="O983" s="116"/>
      <c r="P983" s="114"/>
      <c r="Q983" s="114"/>
      <c r="R983" s="114"/>
      <c r="S983" s="115"/>
      <c r="T983" s="114"/>
      <c r="U983" s="115"/>
      <c r="V983" s="114"/>
      <c r="W983" s="114"/>
      <c r="X983" s="114"/>
      <c r="Y983" s="114"/>
      <c r="Z983" s="114"/>
      <c r="AA983" s="114"/>
      <c r="AB983" s="114"/>
      <c r="AC983" s="114"/>
      <c r="AD983" s="114"/>
      <c r="AE983" s="114"/>
      <c r="AF983" s="114"/>
      <c r="AG983" s="114"/>
      <c r="AH983" s="114"/>
      <c r="AI983" s="114"/>
      <c r="AJ983" s="115"/>
    </row>
    <row r="984" spans="1:36" ht="15.75" customHeight="1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5"/>
      <c r="M984" s="115"/>
      <c r="N984" s="116"/>
      <c r="O984" s="116"/>
      <c r="P984" s="114"/>
      <c r="Q984" s="114"/>
      <c r="R984" s="114"/>
      <c r="S984" s="115"/>
      <c r="T984" s="114"/>
      <c r="U984" s="115"/>
      <c r="V984" s="114"/>
      <c r="W984" s="114"/>
      <c r="X984" s="114"/>
      <c r="Y984" s="114"/>
      <c r="Z984" s="114"/>
      <c r="AA984" s="114"/>
      <c r="AB984" s="114"/>
      <c r="AC984" s="114"/>
      <c r="AD984" s="114"/>
      <c r="AE984" s="114"/>
      <c r="AF984" s="114"/>
      <c r="AG984" s="114"/>
      <c r="AH984" s="114"/>
      <c r="AI984" s="114"/>
      <c r="AJ984" s="115"/>
    </row>
    <row r="985" spans="1:36" ht="15.75" customHeight="1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5"/>
      <c r="M985" s="115"/>
      <c r="N985" s="116"/>
      <c r="O985" s="116"/>
      <c r="P985" s="114"/>
      <c r="Q985" s="114"/>
      <c r="R985" s="114"/>
      <c r="S985" s="115"/>
      <c r="T985" s="114"/>
      <c r="U985" s="115"/>
      <c r="V985" s="114"/>
      <c r="W985" s="114"/>
      <c r="X985" s="114"/>
      <c r="Y985" s="114"/>
      <c r="Z985" s="114"/>
      <c r="AA985" s="114"/>
      <c r="AB985" s="114"/>
      <c r="AC985" s="114"/>
      <c r="AD985" s="114"/>
      <c r="AE985" s="114"/>
      <c r="AF985" s="114"/>
      <c r="AG985" s="114"/>
      <c r="AH985" s="114"/>
      <c r="AI985" s="114"/>
      <c r="AJ985" s="115"/>
    </row>
    <row r="986" spans="1:36" ht="15.75" customHeight="1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5"/>
      <c r="M986" s="115"/>
      <c r="N986" s="116"/>
      <c r="O986" s="116"/>
      <c r="P986" s="114"/>
      <c r="Q986" s="114"/>
      <c r="R986" s="114"/>
      <c r="S986" s="115"/>
      <c r="T986" s="114"/>
      <c r="U986" s="115"/>
      <c r="V986" s="114"/>
      <c r="W986" s="114"/>
      <c r="X986" s="114"/>
      <c r="Y986" s="114"/>
      <c r="Z986" s="114"/>
      <c r="AA986" s="114"/>
      <c r="AB986" s="114"/>
      <c r="AC986" s="114"/>
      <c r="AD986" s="114"/>
      <c r="AE986" s="114"/>
      <c r="AF986" s="114"/>
      <c r="AG986" s="114"/>
      <c r="AH986" s="114"/>
      <c r="AI986" s="114"/>
      <c r="AJ986" s="115"/>
    </row>
    <row r="987" spans="1:36" ht="15.75" customHeight="1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5"/>
      <c r="M987" s="115"/>
      <c r="N987" s="116"/>
      <c r="O987" s="116"/>
      <c r="P987" s="114"/>
      <c r="Q987" s="114"/>
      <c r="R987" s="114"/>
      <c r="S987" s="115"/>
      <c r="T987" s="114"/>
      <c r="U987" s="115"/>
      <c r="V987" s="114"/>
      <c r="W987" s="114"/>
      <c r="X987" s="114"/>
      <c r="Y987" s="114"/>
      <c r="Z987" s="114"/>
      <c r="AA987" s="114"/>
      <c r="AB987" s="114"/>
      <c r="AC987" s="114"/>
      <c r="AD987" s="114"/>
      <c r="AE987" s="114"/>
      <c r="AF987" s="114"/>
      <c r="AG987" s="114"/>
      <c r="AH987" s="114"/>
      <c r="AI987" s="114"/>
      <c r="AJ987" s="115"/>
    </row>
    <row r="988" spans="1:36" ht="15.75" customHeight="1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5"/>
      <c r="M988" s="115"/>
      <c r="N988" s="116"/>
      <c r="O988" s="116"/>
      <c r="P988" s="114"/>
      <c r="Q988" s="114"/>
      <c r="R988" s="114"/>
      <c r="S988" s="115"/>
      <c r="T988" s="114"/>
      <c r="U988" s="115"/>
      <c r="V988" s="114"/>
      <c r="W988" s="114"/>
      <c r="X988" s="114"/>
      <c r="Y988" s="114"/>
      <c r="Z988" s="114"/>
      <c r="AA988" s="114"/>
      <c r="AB988" s="114"/>
      <c r="AC988" s="114"/>
      <c r="AD988" s="114"/>
      <c r="AE988" s="114"/>
      <c r="AF988" s="114"/>
      <c r="AG988" s="114"/>
      <c r="AH988" s="114"/>
      <c r="AI988" s="114"/>
      <c r="AJ988" s="115"/>
    </row>
    <row r="989" spans="1:36" ht="15.75" customHeight="1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5"/>
      <c r="M989" s="115"/>
      <c r="N989" s="116"/>
      <c r="O989" s="116"/>
      <c r="P989" s="114"/>
      <c r="Q989" s="114"/>
      <c r="R989" s="114"/>
      <c r="S989" s="115"/>
      <c r="T989" s="114"/>
      <c r="U989" s="115"/>
      <c r="V989" s="114"/>
      <c r="W989" s="114"/>
      <c r="X989" s="114"/>
      <c r="Y989" s="114"/>
      <c r="Z989" s="114"/>
      <c r="AA989" s="114"/>
      <c r="AB989" s="114"/>
      <c r="AC989" s="114"/>
      <c r="AD989" s="114"/>
      <c r="AE989" s="114"/>
      <c r="AF989" s="114"/>
      <c r="AG989" s="114"/>
      <c r="AH989" s="114"/>
      <c r="AI989" s="114"/>
      <c r="AJ989" s="115"/>
    </row>
    <row r="990" spans="1:36" ht="15.75" customHeight="1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5"/>
      <c r="M990" s="115"/>
      <c r="N990" s="116"/>
      <c r="O990" s="116"/>
      <c r="P990" s="114"/>
      <c r="Q990" s="114"/>
      <c r="R990" s="114"/>
      <c r="S990" s="115"/>
      <c r="T990" s="114"/>
      <c r="U990" s="115"/>
      <c r="V990" s="114"/>
      <c r="W990" s="114"/>
      <c r="X990" s="114"/>
      <c r="Y990" s="114"/>
      <c r="Z990" s="114"/>
      <c r="AA990" s="114"/>
      <c r="AB990" s="114"/>
      <c r="AC990" s="114"/>
      <c r="AD990" s="114"/>
      <c r="AE990" s="114"/>
      <c r="AF990" s="114"/>
      <c r="AG990" s="114"/>
      <c r="AH990" s="114"/>
      <c r="AI990" s="114"/>
      <c r="AJ990" s="115"/>
    </row>
    <row r="991" spans="1:36" ht="15.75" customHeight="1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5"/>
      <c r="M991" s="115"/>
      <c r="N991" s="116"/>
      <c r="O991" s="116"/>
      <c r="P991" s="114"/>
      <c r="Q991" s="114"/>
      <c r="R991" s="114"/>
      <c r="S991" s="115"/>
      <c r="T991" s="114"/>
      <c r="U991" s="115"/>
      <c r="V991" s="114"/>
      <c r="W991" s="114"/>
      <c r="X991" s="114"/>
      <c r="Y991" s="114"/>
      <c r="Z991" s="114"/>
      <c r="AA991" s="114"/>
      <c r="AB991" s="114"/>
      <c r="AC991" s="114"/>
      <c r="AD991" s="114"/>
      <c r="AE991" s="114"/>
      <c r="AF991" s="114"/>
      <c r="AG991" s="114"/>
      <c r="AH991" s="114"/>
      <c r="AI991" s="114"/>
      <c r="AJ991" s="115"/>
    </row>
    <row r="992" spans="1:36" ht="15.75" customHeight="1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5"/>
      <c r="M992" s="115"/>
      <c r="N992" s="116"/>
      <c r="O992" s="116"/>
      <c r="P992" s="114"/>
      <c r="Q992" s="114"/>
      <c r="R992" s="114"/>
      <c r="S992" s="115"/>
      <c r="T992" s="114"/>
      <c r="U992" s="115"/>
      <c r="V992" s="114"/>
      <c r="W992" s="114"/>
      <c r="X992" s="114"/>
      <c r="Y992" s="114"/>
      <c r="Z992" s="114"/>
      <c r="AA992" s="114"/>
      <c r="AB992" s="114"/>
      <c r="AC992" s="114"/>
      <c r="AD992" s="114"/>
      <c r="AE992" s="114"/>
      <c r="AF992" s="114"/>
      <c r="AG992" s="114"/>
      <c r="AH992" s="114"/>
      <c r="AI992" s="114"/>
      <c r="AJ992" s="115"/>
    </row>
    <row r="993" spans="1:36" ht="15.75" customHeight="1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5"/>
      <c r="M993" s="115"/>
      <c r="N993" s="116"/>
      <c r="O993" s="116"/>
      <c r="P993" s="114"/>
      <c r="Q993" s="114"/>
      <c r="R993" s="114"/>
      <c r="S993" s="115"/>
      <c r="T993" s="114"/>
      <c r="U993" s="115"/>
      <c r="V993" s="114"/>
      <c r="W993" s="114"/>
      <c r="X993" s="114"/>
      <c r="Y993" s="114"/>
      <c r="Z993" s="114"/>
      <c r="AA993" s="114"/>
      <c r="AB993" s="114"/>
      <c r="AC993" s="114"/>
      <c r="AD993" s="114"/>
      <c r="AE993" s="114"/>
      <c r="AF993" s="114"/>
      <c r="AG993" s="114"/>
      <c r="AH993" s="114"/>
      <c r="AI993" s="114"/>
      <c r="AJ993" s="115"/>
    </row>
    <row r="994" spans="1:36" ht="15.75" customHeight="1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5"/>
      <c r="M994" s="115"/>
      <c r="N994" s="116"/>
      <c r="O994" s="116"/>
      <c r="P994" s="114"/>
      <c r="Q994" s="114"/>
      <c r="R994" s="114"/>
      <c r="S994" s="115"/>
      <c r="T994" s="114"/>
      <c r="U994" s="115"/>
      <c r="V994" s="114"/>
      <c r="W994" s="114"/>
      <c r="X994" s="114"/>
      <c r="Y994" s="114"/>
      <c r="Z994" s="114"/>
      <c r="AA994" s="114"/>
      <c r="AB994" s="114"/>
      <c r="AC994" s="114"/>
      <c r="AD994" s="114"/>
      <c r="AE994" s="114"/>
      <c r="AF994" s="114"/>
      <c r="AG994" s="114"/>
      <c r="AH994" s="114"/>
      <c r="AI994" s="114"/>
      <c r="AJ994" s="115"/>
    </row>
    <row r="995" spans="1:36" ht="15.75" customHeight="1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5"/>
      <c r="M995" s="115"/>
      <c r="N995" s="116"/>
      <c r="O995" s="116"/>
      <c r="P995" s="114"/>
      <c r="Q995" s="114"/>
      <c r="R995" s="114"/>
      <c r="S995" s="115"/>
      <c r="T995" s="114"/>
      <c r="U995" s="115"/>
      <c r="V995" s="114"/>
      <c r="W995" s="114"/>
      <c r="X995" s="114"/>
      <c r="Y995" s="114"/>
      <c r="Z995" s="114"/>
      <c r="AA995" s="114"/>
      <c r="AB995" s="114"/>
      <c r="AC995" s="114"/>
      <c r="AD995" s="114"/>
      <c r="AE995" s="114"/>
      <c r="AF995" s="114"/>
      <c r="AG995" s="114"/>
      <c r="AH995" s="114"/>
      <c r="AI995" s="114"/>
      <c r="AJ995" s="115"/>
    </row>
    <row r="996" spans="1:36" ht="15.75" customHeight="1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5"/>
      <c r="M996" s="115"/>
      <c r="N996" s="116"/>
      <c r="O996" s="116"/>
      <c r="P996" s="114"/>
      <c r="Q996" s="114"/>
      <c r="R996" s="114"/>
      <c r="S996" s="115"/>
      <c r="T996" s="114"/>
      <c r="U996" s="115"/>
      <c r="V996" s="114"/>
      <c r="W996" s="114"/>
      <c r="X996" s="114"/>
      <c r="Y996" s="114"/>
      <c r="Z996" s="114"/>
      <c r="AA996" s="114"/>
      <c r="AB996" s="114"/>
      <c r="AC996" s="114"/>
      <c r="AD996" s="114"/>
      <c r="AE996" s="114"/>
      <c r="AF996" s="114"/>
      <c r="AG996" s="114"/>
      <c r="AH996" s="114"/>
      <c r="AI996" s="114"/>
      <c r="AJ996" s="115"/>
    </row>
    <row r="997" spans="1:36" ht="15.75" customHeight="1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5"/>
      <c r="M997" s="115"/>
      <c r="N997" s="116"/>
      <c r="O997" s="116"/>
      <c r="P997" s="114"/>
      <c r="Q997" s="114"/>
      <c r="R997" s="114"/>
      <c r="S997" s="115"/>
      <c r="T997" s="114"/>
      <c r="U997" s="115"/>
      <c r="V997" s="114"/>
      <c r="W997" s="114"/>
      <c r="X997" s="114"/>
      <c r="Y997" s="114"/>
      <c r="Z997" s="114"/>
      <c r="AA997" s="114"/>
      <c r="AB997" s="114"/>
      <c r="AC997" s="114"/>
      <c r="AD997" s="114"/>
      <c r="AE997" s="114"/>
      <c r="AF997" s="114"/>
      <c r="AG997" s="114"/>
      <c r="AH997" s="114"/>
      <c r="AI997" s="114"/>
      <c r="AJ997" s="115"/>
    </row>
    <row r="998" spans="1:36" ht="15.75" customHeight="1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15"/>
      <c r="M998" s="115"/>
      <c r="N998" s="116"/>
      <c r="O998" s="116"/>
      <c r="P998" s="114"/>
      <c r="Q998" s="114"/>
      <c r="R998" s="114"/>
      <c r="S998" s="115"/>
      <c r="T998" s="114"/>
      <c r="U998" s="115"/>
      <c r="V998" s="114"/>
      <c r="W998" s="114"/>
      <c r="X998" s="114"/>
      <c r="Y998" s="114"/>
      <c r="Z998" s="114"/>
      <c r="AA998" s="114"/>
      <c r="AB998" s="114"/>
      <c r="AC998" s="114"/>
      <c r="AD998" s="114"/>
      <c r="AE998" s="114"/>
      <c r="AF998" s="114"/>
      <c r="AG998" s="114"/>
      <c r="AH998" s="114"/>
      <c r="AI998" s="114"/>
      <c r="AJ998" s="115"/>
    </row>
    <row r="999" spans="1:36" ht="15.75" customHeight="1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15"/>
      <c r="M999" s="115"/>
      <c r="N999" s="116"/>
      <c r="O999" s="116"/>
      <c r="P999" s="114"/>
      <c r="Q999" s="114"/>
      <c r="R999" s="114"/>
      <c r="S999" s="115"/>
      <c r="T999" s="114"/>
      <c r="U999" s="115"/>
      <c r="V999" s="114"/>
      <c r="W999" s="114"/>
      <c r="X999" s="114"/>
      <c r="Y999" s="114"/>
      <c r="Z999" s="114"/>
      <c r="AA999" s="114"/>
      <c r="AB999" s="114"/>
      <c r="AC999" s="114"/>
      <c r="AD999" s="114"/>
      <c r="AE999" s="114"/>
      <c r="AF999" s="114"/>
      <c r="AG999" s="114"/>
      <c r="AH999" s="114"/>
      <c r="AI999" s="114"/>
      <c r="AJ999" s="115"/>
    </row>
    <row r="1000" spans="1:36" ht="15.75" customHeight="1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15"/>
      <c r="M1000" s="115"/>
      <c r="N1000" s="116"/>
      <c r="O1000" s="116"/>
      <c r="P1000" s="114"/>
      <c r="Q1000" s="114"/>
      <c r="R1000" s="114"/>
      <c r="S1000" s="115"/>
      <c r="T1000" s="114"/>
      <c r="U1000" s="115"/>
      <c r="V1000" s="114"/>
      <c r="W1000" s="114"/>
      <c r="X1000" s="114"/>
      <c r="Y1000" s="114"/>
      <c r="Z1000" s="114"/>
      <c r="AA1000" s="114"/>
      <c r="AB1000" s="114"/>
      <c r="AC1000" s="114"/>
      <c r="AD1000" s="114"/>
      <c r="AE1000" s="114"/>
      <c r="AF1000" s="114"/>
      <c r="AG1000" s="114"/>
      <c r="AH1000" s="114"/>
      <c r="AI1000" s="114"/>
      <c r="AJ1000" s="115"/>
    </row>
    <row r="1001" spans="1:36" ht="15.75" customHeight="1">
      <c r="A1001" s="114"/>
      <c r="B1001" s="114"/>
      <c r="C1001" s="114"/>
      <c r="D1001" s="114"/>
      <c r="E1001" s="114"/>
      <c r="F1001" s="114"/>
      <c r="G1001" s="114"/>
      <c r="H1001" s="114"/>
      <c r="I1001" s="114"/>
      <c r="J1001" s="114"/>
      <c r="K1001" s="114"/>
      <c r="L1001" s="115"/>
      <c r="M1001" s="115"/>
      <c r="N1001" s="116"/>
      <c r="O1001" s="116"/>
      <c r="P1001" s="114"/>
      <c r="Q1001" s="114"/>
      <c r="R1001" s="114"/>
      <c r="S1001" s="115"/>
      <c r="T1001" s="114"/>
      <c r="U1001" s="115"/>
      <c r="V1001" s="114"/>
      <c r="W1001" s="114"/>
      <c r="X1001" s="114"/>
      <c r="Y1001" s="114"/>
      <c r="Z1001" s="114"/>
      <c r="AA1001" s="114"/>
      <c r="AB1001" s="114"/>
      <c r="AC1001" s="114"/>
      <c r="AD1001" s="114"/>
      <c r="AE1001" s="114"/>
      <c r="AF1001" s="114"/>
      <c r="AG1001" s="114"/>
      <c r="AH1001" s="114"/>
      <c r="AI1001" s="114"/>
      <c r="AJ1001" s="115"/>
    </row>
    <row r="1002" spans="1:36" ht="15.75" customHeight="1">
      <c r="A1002" s="114"/>
      <c r="B1002" s="114"/>
      <c r="C1002" s="114"/>
      <c r="D1002" s="114"/>
      <c r="E1002" s="114"/>
      <c r="F1002" s="114"/>
      <c r="G1002" s="114"/>
      <c r="H1002" s="114"/>
      <c r="I1002" s="114"/>
      <c r="J1002" s="114"/>
      <c r="K1002" s="114"/>
      <c r="L1002" s="115"/>
      <c r="M1002" s="115"/>
      <c r="N1002" s="116"/>
      <c r="O1002" s="116"/>
      <c r="P1002" s="114"/>
      <c r="Q1002" s="114"/>
      <c r="R1002" s="114"/>
      <c r="S1002" s="115"/>
      <c r="T1002" s="114"/>
      <c r="U1002" s="115"/>
      <c r="V1002" s="114"/>
      <c r="W1002" s="114"/>
      <c r="X1002" s="114"/>
      <c r="Y1002" s="114"/>
      <c r="Z1002" s="114"/>
      <c r="AA1002" s="114"/>
      <c r="AB1002" s="114"/>
      <c r="AC1002" s="114"/>
      <c r="AD1002" s="114"/>
      <c r="AE1002" s="114"/>
      <c r="AF1002" s="114"/>
      <c r="AG1002" s="114"/>
      <c r="AH1002" s="114"/>
      <c r="AI1002" s="114"/>
      <c r="AJ1002" s="115"/>
    </row>
    <row r="1003" spans="1:36" ht="15.75" customHeight="1">
      <c r="A1003" s="114"/>
      <c r="B1003" s="114"/>
      <c r="C1003" s="114"/>
      <c r="D1003" s="114"/>
      <c r="E1003" s="114"/>
      <c r="F1003" s="114"/>
      <c r="G1003" s="114"/>
      <c r="H1003" s="114"/>
      <c r="I1003" s="114"/>
      <c r="J1003" s="114"/>
      <c r="K1003" s="114"/>
      <c r="L1003" s="115"/>
      <c r="M1003" s="115"/>
      <c r="N1003" s="116"/>
      <c r="O1003" s="116"/>
      <c r="P1003" s="114"/>
      <c r="Q1003" s="114"/>
      <c r="R1003" s="114"/>
      <c r="S1003" s="115"/>
      <c r="T1003" s="114"/>
      <c r="U1003" s="115"/>
      <c r="V1003" s="114"/>
      <c r="W1003" s="114"/>
      <c r="X1003" s="114"/>
      <c r="Y1003" s="114"/>
      <c r="Z1003" s="114"/>
      <c r="AA1003" s="114"/>
      <c r="AB1003" s="114"/>
      <c r="AC1003" s="114"/>
      <c r="AD1003" s="114"/>
      <c r="AE1003" s="114"/>
      <c r="AF1003" s="114"/>
      <c r="AG1003" s="114"/>
      <c r="AH1003" s="114"/>
      <c r="AI1003" s="114"/>
      <c r="AJ1003" s="115"/>
    </row>
  </sheetData>
  <mergeCells count="38">
    <mergeCell ref="A91:B91"/>
    <mergeCell ref="A106:B106"/>
    <mergeCell ref="A2:B4"/>
    <mergeCell ref="C2:AJ2"/>
    <mergeCell ref="C3:AJ3"/>
    <mergeCell ref="C4:AJ4"/>
    <mergeCell ref="P5:AG5"/>
    <mergeCell ref="AH5:AJ6"/>
    <mergeCell ref="AI7:AJ7"/>
    <mergeCell ref="P6:U6"/>
    <mergeCell ref="V6:Y6"/>
    <mergeCell ref="Z6:AC6"/>
    <mergeCell ref="AD6:AG6"/>
    <mergeCell ref="C7:C8"/>
    <mergeCell ref="D7:D8"/>
    <mergeCell ref="E7:E8"/>
    <mergeCell ref="A9:B9"/>
    <mergeCell ref="A15:B15"/>
    <mergeCell ref="A33:B33"/>
    <mergeCell ref="A54:B54"/>
    <mergeCell ref="A76:B76"/>
    <mergeCell ref="Z7:AA7"/>
    <mergeCell ref="AB7:AC7"/>
    <mergeCell ref="AD7:AE7"/>
    <mergeCell ref="AF7:AG7"/>
    <mergeCell ref="A6:B8"/>
    <mergeCell ref="F7:F8"/>
    <mergeCell ref="G7:G8"/>
    <mergeCell ref="I7:J7"/>
    <mergeCell ref="K7:M7"/>
    <mergeCell ref="N7:O7"/>
    <mergeCell ref="P7:Q7"/>
    <mergeCell ref="R7:U7"/>
    <mergeCell ref="C5:O5"/>
    <mergeCell ref="C6:G6"/>
    <mergeCell ref="I6:O6"/>
    <mergeCell ref="V7:W7"/>
    <mergeCell ref="X7:Y7"/>
  </mergeCells>
  <printOptions horizontalCentered="1"/>
  <pageMargins left="0.31496062992125984" right="0.31496062992125984" top="0.74803149606299213" bottom="0.74803149606299213" header="0" footer="0"/>
  <pageSetup paperSize="9" scale="35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D965"/>
    <pageSetUpPr fitToPage="1"/>
  </sheetPr>
  <dimension ref="A1:Z1000"/>
  <sheetViews>
    <sheetView view="pageBreakPreview" zoomScale="60" zoomScaleNormal="100" workbookViewId="0">
      <pane xSplit="2" ySplit="9" topLeftCell="C10" activePane="bottomRight" state="frozen"/>
      <selection activeCell="A91" sqref="A91:XFD114"/>
      <selection pane="topRight" activeCell="A91" sqref="A91:XFD114"/>
      <selection pane="bottomLeft" activeCell="A91" sqref="A91:XFD114"/>
      <selection pane="bottomRight" activeCell="A91" sqref="A91:XFD114"/>
    </sheetView>
  </sheetViews>
  <sheetFormatPr defaultColWidth="14.44140625" defaultRowHeight="15" customHeight="1"/>
  <cols>
    <col min="1" max="1" width="7.21875" customWidth="1"/>
    <col min="2" max="2" width="32.109375" customWidth="1"/>
    <col min="3" max="5" width="18.44140625" customWidth="1"/>
    <col min="6" max="7" width="15.77734375" customWidth="1"/>
    <col min="8" max="16" width="15" customWidth="1"/>
  </cols>
  <sheetData>
    <row r="1" spans="1:26" ht="24" customHeight="1">
      <c r="A1" s="1" t="s">
        <v>261</v>
      </c>
      <c r="B1" s="236"/>
      <c r="C1" s="237"/>
      <c r="D1" s="237"/>
      <c r="E1" s="237"/>
      <c r="F1" s="237"/>
      <c r="G1" s="237"/>
      <c r="H1" s="236"/>
      <c r="I1" s="237"/>
      <c r="J1" s="236"/>
      <c r="K1" s="236"/>
      <c r="L1" s="236"/>
      <c r="M1" s="236"/>
      <c r="N1" s="236"/>
      <c r="O1" s="237"/>
      <c r="P1" s="238"/>
      <c r="Q1" s="342"/>
      <c r="R1" s="342"/>
      <c r="S1" s="342"/>
      <c r="T1" s="342"/>
      <c r="U1" s="342"/>
      <c r="V1" s="342"/>
      <c r="W1" s="342"/>
      <c r="X1" s="342"/>
      <c r="Y1" s="342"/>
      <c r="Z1" s="342"/>
    </row>
    <row r="2" spans="1:26" ht="24" customHeight="1">
      <c r="A2" s="774" t="s">
        <v>1</v>
      </c>
      <c r="B2" s="682"/>
      <c r="C2" s="803" t="s">
        <v>262</v>
      </c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7"/>
      <c r="Q2" s="339"/>
      <c r="R2" s="339"/>
      <c r="S2" s="339"/>
      <c r="T2" s="339"/>
      <c r="U2" s="339"/>
      <c r="V2" s="339"/>
      <c r="W2" s="339"/>
      <c r="X2" s="339"/>
      <c r="Y2" s="339"/>
      <c r="Z2" s="339"/>
    </row>
    <row r="3" spans="1:26" ht="24" customHeight="1">
      <c r="A3" s="660"/>
      <c r="B3" s="661"/>
      <c r="C3" s="793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768"/>
      <c r="Q3" s="339"/>
      <c r="R3" s="339"/>
      <c r="S3" s="339"/>
      <c r="T3" s="339"/>
      <c r="U3" s="339"/>
      <c r="V3" s="339"/>
      <c r="W3" s="339"/>
      <c r="X3" s="339"/>
      <c r="Y3" s="339"/>
      <c r="Z3" s="339"/>
    </row>
    <row r="4" spans="1:26" ht="24" customHeight="1">
      <c r="A4" s="660"/>
      <c r="B4" s="661"/>
      <c r="C4" s="792" t="s">
        <v>246</v>
      </c>
      <c r="D4" s="694"/>
      <c r="E4" s="694"/>
      <c r="F4" s="694"/>
      <c r="G4" s="695"/>
      <c r="H4" s="804" t="s">
        <v>263</v>
      </c>
      <c r="I4" s="694"/>
      <c r="J4" s="695"/>
      <c r="K4" s="780" t="s">
        <v>264</v>
      </c>
      <c r="L4" s="694"/>
      <c r="M4" s="694"/>
      <c r="N4" s="694"/>
      <c r="O4" s="694"/>
      <c r="P4" s="781"/>
      <c r="Q4" s="343"/>
      <c r="R4" s="343"/>
      <c r="S4" s="343"/>
      <c r="T4" s="343"/>
      <c r="U4" s="343"/>
      <c r="V4" s="343"/>
      <c r="W4" s="343"/>
      <c r="X4" s="343"/>
      <c r="Y4" s="343"/>
      <c r="Z4" s="343"/>
    </row>
    <row r="5" spans="1:26" ht="24" customHeight="1">
      <c r="A5" s="660"/>
      <c r="B5" s="661"/>
      <c r="C5" s="793"/>
      <c r="D5" s="670"/>
      <c r="E5" s="670"/>
      <c r="F5" s="670"/>
      <c r="G5" s="671"/>
      <c r="H5" s="805"/>
      <c r="I5" s="764"/>
      <c r="J5" s="668"/>
      <c r="K5" s="806"/>
      <c r="L5" s="764"/>
      <c r="M5" s="764"/>
      <c r="N5" s="764"/>
      <c r="O5" s="764"/>
      <c r="P5" s="807"/>
      <c r="Q5" s="343"/>
      <c r="R5" s="343"/>
      <c r="S5" s="343"/>
      <c r="T5" s="343"/>
      <c r="U5" s="343"/>
      <c r="V5" s="343"/>
      <c r="W5" s="343"/>
      <c r="X5" s="343"/>
      <c r="Y5" s="343"/>
      <c r="Z5" s="343"/>
    </row>
    <row r="6" spans="1:26" ht="24" customHeight="1">
      <c r="A6" s="683"/>
      <c r="B6" s="684"/>
      <c r="C6" s="808" t="s">
        <v>9</v>
      </c>
      <c r="D6" s="651"/>
      <c r="E6" s="654"/>
      <c r="F6" s="809" t="s">
        <v>11</v>
      </c>
      <c r="G6" s="691"/>
      <c r="H6" s="696"/>
      <c r="I6" s="670"/>
      <c r="J6" s="671"/>
      <c r="K6" s="719"/>
      <c r="L6" s="670"/>
      <c r="M6" s="670"/>
      <c r="N6" s="670"/>
      <c r="O6" s="670"/>
      <c r="P6" s="768"/>
      <c r="Q6" s="344"/>
      <c r="R6" s="344"/>
      <c r="S6" s="344"/>
      <c r="T6" s="344"/>
      <c r="U6" s="344"/>
      <c r="V6" s="344"/>
      <c r="W6" s="344"/>
      <c r="X6" s="344"/>
      <c r="Y6" s="344"/>
      <c r="Z6" s="344"/>
    </row>
    <row r="7" spans="1:26" ht="24" customHeight="1">
      <c r="A7" s="785" t="s">
        <v>256</v>
      </c>
      <c r="B7" s="659"/>
      <c r="C7" s="345" t="s">
        <v>150</v>
      </c>
      <c r="D7" s="811" t="s">
        <v>257</v>
      </c>
      <c r="E7" s="346" t="s">
        <v>258</v>
      </c>
      <c r="F7" s="812" t="s">
        <v>259</v>
      </c>
      <c r="G7" s="699"/>
      <c r="H7" s="248" t="s">
        <v>24</v>
      </c>
      <c r="I7" s="771" t="s">
        <v>25</v>
      </c>
      <c r="J7" s="654"/>
      <c r="K7" s="810" t="s">
        <v>24</v>
      </c>
      <c r="L7" s="654"/>
      <c r="M7" s="771" t="s">
        <v>25</v>
      </c>
      <c r="N7" s="651"/>
      <c r="O7" s="651"/>
      <c r="P7" s="756"/>
      <c r="Q7" s="344"/>
      <c r="R7" s="344"/>
      <c r="S7" s="344"/>
      <c r="T7" s="344"/>
      <c r="U7" s="344"/>
      <c r="V7" s="344"/>
      <c r="W7" s="344"/>
      <c r="X7" s="344"/>
      <c r="Y7" s="344"/>
      <c r="Z7" s="344"/>
    </row>
    <row r="8" spans="1:26" ht="24" customHeight="1">
      <c r="A8" s="662"/>
      <c r="B8" s="663"/>
      <c r="C8" s="251"/>
      <c r="D8" s="665"/>
      <c r="E8" s="252"/>
      <c r="F8" s="253" t="s">
        <v>26</v>
      </c>
      <c r="G8" s="253" t="s">
        <v>27</v>
      </c>
      <c r="H8" s="258" t="s">
        <v>32</v>
      </c>
      <c r="I8" s="259" t="s">
        <v>31</v>
      </c>
      <c r="J8" s="259" t="s">
        <v>27</v>
      </c>
      <c r="K8" s="347" t="s">
        <v>240</v>
      </c>
      <c r="L8" s="347" t="s">
        <v>31</v>
      </c>
      <c r="M8" s="259" t="s">
        <v>240</v>
      </c>
      <c r="N8" s="259" t="s">
        <v>27</v>
      </c>
      <c r="O8" s="259" t="s">
        <v>31</v>
      </c>
      <c r="P8" s="348" t="s">
        <v>27</v>
      </c>
      <c r="Q8" s="349"/>
      <c r="R8" s="349"/>
      <c r="S8" s="349"/>
      <c r="T8" s="349"/>
      <c r="U8" s="349"/>
      <c r="V8" s="349"/>
      <c r="W8" s="349"/>
      <c r="X8" s="349"/>
      <c r="Y8" s="349"/>
      <c r="Z8" s="349"/>
    </row>
    <row r="9" spans="1:26" ht="24" customHeight="1">
      <c r="A9" s="798" t="s">
        <v>34</v>
      </c>
      <c r="B9" s="731"/>
      <c r="C9" s="263">
        <f ca="1">C10+C11</f>
        <v>46981000</v>
      </c>
      <c r="D9" s="264">
        <f ca="1">D10+D11+D14</f>
        <v>0</v>
      </c>
      <c r="E9" s="265">
        <f t="shared" ref="E9:F9" ca="1" si="0">E10+E11</f>
        <v>46981000</v>
      </c>
      <c r="F9" s="266">
        <f t="shared" ca="1" si="0"/>
        <v>11292936.949999997</v>
      </c>
      <c r="G9" s="267">
        <f t="shared" ref="G9:G114" ca="1" si="1">IF(C9&gt;0,F9*100/C9,0)</f>
        <v>24.037242608714156</v>
      </c>
      <c r="H9" s="270">
        <f t="shared" ref="H9:I9" ca="1" si="2">H10+H11</f>
        <v>4500</v>
      </c>
      <c r="I9" s="271">
        <f t="shared" ca="1" si="2"/>
        <v>4441</v>
      </c>
      <c r="J9" s="272">
        <f t="shared" ref="J9:J114" ca="1" si="3">IF(H9&gt;0,I9*100/H9,0)</f>
        <v>98.688888888888883</v>
      </c>
      <c r="K9" s="270">
        <f t="shared" ref="K9:M9" ca="1" si="4">K10+K11</f>
        <v>45000</v>
      </c>
      <c r="L9" s="270">
        <f t="shared" ca="1" si="4"/>
        <v>4500</v>
      </c>
      <c r="M9" s="271">
        <f t="shared" ca="1" si="4"/>
        <v>4753.25</v>
      </c>
      <c r="N9" s="272">
        <f t="shared" ref="N9:N114" ca="1" si="5">IF(K9&gt;0,M9*100/K9,0)</f>
        <v>10.562777777777777</v>
      </c>
      <c r="O9" s="350">
        <f ca="1">O10+O11</f>
        <v>492</v>
      </c>
      <c r="P9" s="272">
        <f t="shared" ref="P9:P114" ca="1" si="6">IF(L9&gt;0,O9*100/L9,0)</f>
        <v>10.933333333333334</v>
      </c>
      <c r="Q9" s="351"/>
      <c r="R9" s="351"/>
      <c r="S9" s="351"/>
      <c r="T9" s="351"/>
      <c r="U9" s="351"/>
      <c r="V9" s="351"/>
      <c r="W9" s="351"/>
      <c r="X9" s="351"/>
      <c r="Y9" s="351"/>
      <c r="Z9" s="351"/>
    </row>
    <row r="10" spans="1:26" ht="24" customHeight="1">
      <c r="A10" s="273" t="s">
        <v>35</v>
      </c>
      <c r="B10" s="274"/>
      <c r="C10" s="275">
        <f t="shared" ref="C10:F10" ca="1" si="7">+C15+C33+C54+C76</f>
        <v>45907040</v>
      </c>
      <c r="D10" s="276">
        <f t="shared" ca="1" si="7"/>
        <v>0</v>
      </c>
      <c r="E10" s="276">
        <f t="shared" ca="1" si="7"/>
        <v>45907040</v>
      </c>
      <c r="F10" s="276">
        <f t="shared" ca="1" si="7"/>
        <v>11035201.079999998</v>
      </c>
      <c r="G10" s="277">
        <f t="shared" ca="1" si="1"/>
        <v>24.038145521906873</v>
      </c>
      <c r="H10" s="279">
        <f t="shared" ref="H10:I10" ca="1" si="8">+H15+H33+H54+H76</f>
        <v>4500</v>
      </c>
      <c r="I10" s="279">
        <f t="shared" ca="1" si="8"/>
        <v>4441</v>
      </c>
      <c r="J10" s="277">
        <f t="shared" ca="1" si="3"/>
        <v>98.688888888888883</v>
      </c>
      <c r="K10" s="279">
        <f t="shared" ref="K10:M10" ca="1" si="9">+K15+K33+K54+K76</f>
        <v>45000</v>
      </c>
      <c r="L10" s="279">
        <f t="shared" ca="1" si="9"/>
        <v>4500</v>
      </c>
      <c r="M10" s="279">
        <f t="shared" ca="1" si="9"/>
        <v>4753.25</v>
      </c>
      <c r="N10" s="277">
        <f t="shared" ca="1" si="5"/>
        <v>10.562777777777777</v>
      </c>
      <c r="O10" s="276">
        <f ca="1">+O15+O33+O54+O76</f>
        <v>492</v>
      </c>
      <c r="P10" s="352">
        <f t="shared" ca="1" si="6"/>
        <v>10.933333333333334</v>
      </c>
      <c r="Q10" s="353"/>
      <c r="R10" s="353"/>
      <c r="S10" s="353"/>
      <c r="T10" s="353"/>
      <c r="U10" s="353"/>
      <c r="V10" s="353"/>
      <c r="W10" s="353"/>
      <c r="X10" s="353"/>
      <c r="Y10" s="353"/>
      <c r="Z10" s="353"/>
    </row>
    <row r="11" spans="1:26" ht="24" customHeight="1">
      <c r="A11" s="281" t="s">
        <v>373</v>
      </c>
      <c r="B11" s="282"/>
      <c r="C11" s="283">
        <f t="shared" ref="C11:F11" ca="1" si="10">+C12+C13</f>
        <v>1073960</v>
      </c>
      <c r="D11" s="284">
        <f t="shared" ca="1" si="10"/>
        <v>0</v>
      </c>
      <c r="E11" s="284">
        <f t="shared" ca="1" si="10"/>
        <v>1073960</v>
      </c>
      <c r="F11" s="284">
        <f t="shared" ca="1" si="10"/>
        <v>257735.87</v>
      </c>
      <c r="G11" s="285">
        <f t="shared" ca="1" si="1"/>
        <v>23.998647063205333</v>
      </c>
      <c r="H11" s="284">
        <f t="shared" ref="H11:I11" ca="1" si="11">+H12+H13</f>
        <v>0</v>
      </c>
      <c r="I11" s="284">
        <f t="shared" si="11"/>
        <v>0</v>
      </c>
      <c r="J11" s="285">
        <f t="shared" ca="1" si="3"/>
        <v>0</v>
      </c>
      <c r="K11" s="284">
        <f t="shared" ref="K11:M11" ca="1" si="12">+K12+K13</f>
        <v>0</v>
      </c>
      <c r="L11" s="284">
        <f t="shared" ca="1" si="12"/>
        <v>0</v>
      </c>
      <c r="M11" s="284">
        <f t="shared" si="12"/>
        <v>0</v>
      </c>
      <c r="N11" s="285">
        <f t="shared" ca="1" si="5"/>
        <v>0</v>
      </c>
      <c r="O11" s="284">
        <f>+O12+O13</f>
        <v>0</v>
      </c>
      <c r="P11" s="354">
        <f t="shared" ca="1" si="6"/>
        <v>0</v>
      </c>
      <c r="Q11" s="353"/>
      <c r="R11" s="353"/>
      <c r="S11" s="353"/>
      <c r="T11" s="353"/>
      <c r="U11" s="353"/>
      <c r="V11" s="353"/>
      <c r="W11" s="353"/>
      <c r="X11" s="353"/>
      <c r="Y11" s="353"/>
      <c r="Z11" s="353"/>
    </row>
    <row r="12" spans="1:26" ht="24" hidden="1" customHeight="1">
      <c r="A12" s="281" t="s">
        <v>36</v>
      </c>
      <c r="B12" s="282"/>
      <c r="C12" s="283">
        <f t="shared" ref="C12:F12" ca="1" si="13">+C91</f>
        <v>1073960</v>
      </c>
      <c r="D12" s="284">
        <f t="shared" ca="1" si="13"/>
        <v>0</v>
      </c>
      <c r="E12" s="284">
        <f t="shared" ca="1" si="13"/>
        <v>1073960</v>
      </c>
      <c r="F12" s="284">
        <f t="shared" ca="1" si="13"/>
        <v>257735.87</v>
      </c>
      <c r="G12" s="285">
        <f t="shared" ca="1" si="1"/>
        <v>23.998647063205333</v>
      </c>
      <c r="H12" s="284">
        <f t="shared" ref="H12:I12" ca="1" si="14">+H91</f>
        <v>0</v>
      </c>
      <c r="I12" s="284">
        <f t="shared" si="14"/>
        <v>0</v>
      </c>
      <c r="J12" s="285">
        <f t="shared" ca="1" si="3"/>
        <v>0</v>
      </c>
      <c r="K12" s="284">
        <f t="shared" ref="K12:M12" ca="1" si="15">+K91</f>
        <v>0</v>
      </c>
      <c r="L12" s="284">
        <f t="shared" ca="1" si="15"/>
        <v>0</v>
      </c>
      <c r="M12" s="284">
        <f t="shared" si="15"/>
        <v>0</v>
      </c>
      <c r="N12" s="285">
        <f t="shared" ca="1" si="5"/>
        <v>0</v>
      </c>
      <c r="O12" s="284">
        <f>+O91</f>
        <v>0</v>
      </c>
      <c r="P12" s="354">
        <f t="shared" ca="1" si="6"/>
        <v>0</v>
      </c>
      <c r="Q12" s="353"/>
      <c r="R12" s="353"/>
      <c r="S12" s="353"/>
      <c r="T12" s="353"/>
      <c r="U12" s="353"/>
      <c r="V12" s="353"/>
      <c r="W12" s="353"/>
      <c r="X12" s="353"/>
      <c r="Y12" s="353"/>
      <c r="Z12" s="353"/>
    </row>
    <row r="13" spans="1:26" ht="24" hidden="1" customHeight="1">
      <c r="A13" s="281" t="s">
        <v>37</v>
      </c>
      <c r="B13" s="282"/>
      <c r="C13" s="283">
        <f t="shared" ref="C13:F13" ca="1" si="16">+C106</f>
        <v>0</v>
      </c>
      <c r="D13" s="284">
        <f t="shared" ca="1" si="16"/>
        <v>0</v>
      </c>
      <c r="E13" s="284">
        <f t="shared" ca="1" si="16"/>
        <v>0</v>
      </c>
      <c r="F13" s="284">
        <f t="shared" si="16"/>
        <v>0</v>
      </c>
      <c r="G13" s="285">
        <f t="shared" ca="1" si="1"/>
        <v>0</v>
      </c>
      <c r="H13" s="284">
        <f t="shared" ref="H13:I13" ca="1" si="17">+H106</f>
        <v>0</v>
      </c>
      <c r="I13" s="284">
        <f t="shared" si="17"/>
        <v>0</v>
      </c>
      <c r="J13" s="285">
        <f t="shared" ca="1" si="3"/>
        <v>0</v>
      </c>
      <c r="K13" s="284">
        <f t="shared" ref="K13:M13" ca="1" si="18">+K106</f>
        <v>0</v>
      </c>
      <c r="L13" s="284">
        <f t="shared" ca="1" si="18"/>
        <v>0</v>
      </c>
      <c r="M13" s="284">
        <f t="shared" si="18"/>
        <v>0</v>
      </c>
      <c r="N13" s="285">
        <f t="shared" ca="1" si="5"/>
        <v>0</v>
      </c>
      <c r="O13" s="284">
        <f>+O106</f>
        <v>0</v>
      </c>
      <c r="P13" s="354">
        <f t="shared" ca="1" si="6"/>
        <v>0</v>
      </c>
      <c r="Q13" s="353"/>
      <c r="R13" s="353"/>
      <c r="S13" s="353"/>
      <c r="T13" s="353"/>
      <c r="U13" s="353"/>
      <c r="V13" s="353"/>
      <c r="W13" s="353"/>
      <c r="X13" s="353"/>
      <c r="Y13" s="353"/>
      <c r="Z13" s="353"/>
    </row>
    <row r="14" spans="1:26" ht="24" hidden="1" customHeight="1">
      <c r="A14" s="287" t="s">
        <v>260</v>
      </c>
      <c r="B14" s="288"/>
      <c r="C14" s="289">
        <v>0</v>
      </c>
      <c r="D14" s="290">
        <v>0</v>
      </c>
      <c r="E14" s="290">
        <v>0</v>
      </c>
      <c r="F14" s="290">
        <v>0</v>
      </c>
      <c r="G14" s="291">
        <f t="shared" si="1"/>
        <v>0</v>
      </c>
      <c r="H14" s="290">
        <v>0</v>
      </c>
      <c r="I14" s="290">
        <v>0</v>
      </c>
      <c r="J14" s="291">
        <f t="shared" si="3"/>
        <v>0</v>
      </c>
      <c r="K14" s="290">
        <v>0</v>
      </c>
      <c r="L14" s="290">
        <v>0</v>
      </c>
      <c r="M14" s="290">
        <v>0</v>
      </c>
      <c r="N14" s="291">
        <f t="shared" si="5"/>
        <v>0</v>
      </c>
      <c r="O14" s="290">
        <v>0</v>
      </c>
      <c r="P14" s="355">
        <f t="shared" si="6"/>
        <v>0</v>
      </c>
      <c r="Q14" s="353"/>
      <c r="R14" s="353"/>
      <c r="S14" s="353"/>
      <c r="T14" s="353"/>
      <c r="U14" s="353"/>
      <c r="V14" s="353"/>
      <c r="W14" s="353"/>
      <c r="X14" s="353"/>
      <c r="Y14" s="353"/>
      <c r="Z14" s="353"/>
    </row>
    <row r="15" spans="1:26" ht="21" customHeight="1">
      <c r="A15" s="799" t="s">
        <v>39</v>
      </c>
      <c r="B15" s="652"/>
      <c r="C15" s="292">
        <f t="shared" ref="C15:F15" ca="1" si="19">SUM(C16:C32)</f>
        <v>13805300</v>
      </c>
      <c r="D15" s="279">
        <f t="shared" ca="1" si="19"/>
        <v>0</v>
      </c>
      <c r="E15" s="279">
        <f t="shared" ca="1" si="19"/>
        <v>13805300</v>
      </c>
      <c r="F15" s="279">
        <f t="shared" ca="1" si="19"/>
        <v>3085280.05</v>
      </c>
      <c r="G15" s="278">
        <f t="shared" ca="1" si="1"/>
        <v>22.34851868485292</v>
      </c>
      <c r="H15" s="279">
        <f t="shared" ref="H15:I15" ca="1" si="20">SUM(H16:H32)</f>
        <v>1350</v>
      </c>
      <c r="I15" s="279">
        <f t="shared" ca="1" si="20"/>
        <v>1320</v>
      </c>
      <c r="J15" s="278">
        <f t="shared" ca="1" si="3"/>
        <v>97.777777777777771</v>
      </c>
      <c r="K15" s="279">
        <f t="shared" ref="K15:M15" ca="1" si="21">SUM(K16:K32)</f>
        <v>13500</v>
      </c>
      <c r="L15" s="279">
        <f t="shared" ca="1" si="21"/>
        <v>1350</v>
      </c>
      <c r="M15" s="279">
        <f t="shared" ca="1" si="21"/>
        <v>500</v>
      </c>
      <c r="N15" s="278">
        <f t="shared" ca="1" si="5"/>
        <v>3.7037037037037037</v>
      </c>
      <c r="O15" s="279">
        <f ca="1">SUM(O16:O32)</f>
        <v>50</v>
      </c>
      <c r="P15" s="356">
        <f t="shared" ca="1" si="6"/>
        <v>3.7037037037037037</v>
      </c>
      <c r="Q15" s="353"/>
      <c r="R15" s="353"/>
      <c r="S15" s="353"/>
      <c r="T15" s="353"/>
      <c r="U15" s="353"/>
      <c r="V15" s="353"/>
      <c r="W15" s="353"/>
      <c r="X15" s="353"/>
      <c r="Y15" s="353"/>
      <c r="Z15" s="353"/>
    </row>
    <row r="16" spans="1:26" ht="21" customHeight="1">
      <c r="A16" s="293">
        <v>1</v>
      </c>
      <c r="B16" s="357" t="s">
        <v>40</v>
      </c>
      <c r="C16" s="295">
        <f t="shared" ref="C16:C32" ca="1" si="22">+D16+E16</f>
        <v>1028520</v>
      </c>
      <c r="D16" s="296">
        <f ca="1">IFERROR(__xludf.DUMMYFUNCTION("IMPORTRANGE(""https://docs.google.com/spreadsheets/d/1C3CXT74ZlgGe6_JY_1olB1XN4rF0dxEuIIF-xsYjHgg/edit?usp=sharing"",""งบกองทุน!R20"")"),0)</f>
        <v>0</v>
      </c>
      <c r="E16" s="296">
        <f ca="1">IFERROR(__xludf.DUMMYFUNCTION("IMPORTRANGE(""https://docs.google.com/spreadsheets/d/1C3CXT74ZlgGe6_JY_1olB1XN4rF0dxEuIIF-xsYjHgg/edit?usp=sharing"",""งบกองทุน!S20"")"),1028520)</f>
        <v>1028520</v>
      </c>
      <c r="F16" s="297">
        <f ca="1">IFERROR(__xludf.DUMMYFUNCTION("IMPORTRANGE(""https://docs.google.com/spreadsheets/d/11923uPwbBZFjjGgGUA6NLw09EwE0CqkOc4q9oUmW1yo/edit?usp=sharing"",""กำแพงเพชร!M278"")"),185689)</f>
        <v>185689</v>
      </c>
      <c r="G16" s="297">
        <f t="shared" ca="1" si="1"/>
        <v>18.053999922218335</v>
      </c>
      <c r="H16" s="296">
        <f ca="1">IFERROR(__xludf.DUMMYFUNCTION("IMPORTRANGE(""https://docs.google.com/spreadsheets/d/1C3CXT74ZlgGe6_JY_1olB1XN4rF0dxEuIIF-xsYjHgg/edit?usp=sharing"",""งบกองทุน!V20"")"),100)</f>
        <v>100</v>
      </c>
      <c r="I16" s="296">
        <f ca="1">IFERROR(__xludf.DUMMYFUNCTION("IMPORTRANGE(""https://docs.google.com/spreadsheets/d/11923uPwbBZFjjGgGUA6NLw09EwE0CqkOc4q9oUmW1yo/edit?usp=sharing"",""กำแพงเพชร!J291"")"),100)</f>
        <v>100</v>
      </c>
      <c r="J16" s="301">
        <f t="shared" ca="1" si="3"/>
        <v>100</v>
      </c>
      <c r="K16" s="296">
        <f ca="1">IFERROR(__xludf.DUMMYFUNCTION("IMPORTRANGE(""https://docs.google.com/spreadsheets/d/1C3CXT74ZlgGe6_JY_1olB1XN4rF0dxEuIIF-xsYjHgg/edit?usp=sharing"",""งบกองทุน!W20"")"),1000)</f>
        <v>1000</v>
      </c>
      <c r="L16" s="296">
        <f ca="1">IFERROR(__xludf.DUMMYFUNCTION("IMPORTRANGE(""https://docs.google.com/spreadsheets/d/1C3CXT74ZlgGe6_JY_1olB1XN4rF0dxEuIIF-xsYjHgg/edit?usp=sharing"",""งบกองทุน!X20"")"),100)</f>
        <v>100</v>
      </c>
      <c r="M16" s="296">
        <f ca="1">IFERROR(__xludf.DUMMYFUNCTION("IMPORTRANGE(""https://docs.google.com/spreadsheets/d/11923uPwbBZFjjGgGUA6NLw09EwE0CqkOc4q9oUmW1yo/edit?usp=sharing"",""กำแพงเพชร!J292"")"),0)</f>
        <v>0</v>
      </c>
      <c r="N16" s="301">
        <f t="shared" ca="1" si="5"/>
        <v>0</v>
      </c>
      <c r="O16" s="296">
        <f ca="1">IFERROR(__xludf.DUMMYFUNCTION("IMPORTRANGE(""https://docs.google.com/spreadsheets/d/11923uPwbBZFjjGgGUA6NLw09EwE0CqkOc4q9oUmW1yo/edit?usp=sharing"",""กำแพงเพชร!J293"")"),0)</f>
        <v>0</v>
      </c>
      <c r="P16" s="358">
        <f t="shared" ca="1" si="6"/>
        <v>0</v>
      </c>
      <c r="Q16" s="339"/>
      <c r="R16" s="339"/>
      <c r="S16" s="339"/>
      <c r="T16" s="339"/>
      <c r="U16" s="339"/>
      <c r="V16" s="339"/>
      <c r="W16" s="339"/>
      <c r="X16" s="339"/>
      <c r="Y16" s="339"/>
      <c r="Z16" s="339"/>
    </row>
    <row r="17" spans="1:26" ht="24" customHeight="1">
      <c r="A17" s="303">
        <v>2</v>
      </c>
      <c r="B17" s="304" t="s">
        <v>41</v>
      </c>
      <c r="C17" s="305">
        <f t="shared" ca="1" si="22"/>
        <v>460140</v>
      </c>
      <c r="D17" s="306">
        <f ca="1">IFERROR(__xludf.DUMMYFUNCTION("IMPORTRANGE(""https://docs.google.com/spreadsheets/d/1C3CXT74ZlgGe6_JY_1olB1XN4rF0dxEuIIF-xsYjHgg/edit?usp=sharing"",""งบกองทุน!R21"")"),0)</f>
        <v>0</v>
      </c>
      <c r="E17" s="306">
        <f ca="1">IFERROR(__xludf.DUMMYFUNCTION("IMPORTRANGE(""https://docs.google.com/spreadsheets/d/1C3CXT74ZlgGe6_JY_1olB1XN4rF0dxEuIIF-xsYjHgg/edit?usp=sharing"",""งบกองทุน!S21"")"),460140)</f>
        <v>460140</v>
      </c>
      <c r="F17" s="307">
        <f ca="1">IFERROR(__xludf.DUMMYFUNCTION("IMPORTRANGE(""https://docs.google.com/spreadsheets/d/11923uPwbBZFjjGgGUA6NLw09EwE0CqkOc4q9oUmW1yo/edit?usp=sharing"",""เชียงราย!M278"")"),128280)</f>
        <v>128280</v>
      </c>
      <c r="G17" s="307">
        <f t="shared" ca="1" si="1"/>
        <v>27.87847176946147</v>
      </c>
      <c r="H17" s="306">
        <f ca="1">IFERROR(__xludf.DUMMYFUNCTION("IMPORTRANGE(""https://docs.google.com/spreadsheets/d/1C3CXT74ZlgGe6_JY_1olB1XN4rF0dxEuIIF-xsYjHgg/edit?usp=sharing"",""งบกองทุน!V21"")"),50)</f>
        <v>50</v>
      </c>
      <c r="I17" s="306">
        <f ca="1">IFERROR(__xludf.DUMMYFUNCTION("IMPORTRANGE(""https://docs.google.com/spreadsheets/d/11923uPwbBZFjjGgGUA6NLw09EwE0CqkOc4q9oUmW1yo/edit?usp=sharing"",""เชียงราย!J291"")"),70)</f>
        <v>70</v>
      </c>
      <c r="J17" s="309">
        <f t="shared" ca="1" si="3"/>
        <v>140</v>
      </c>
      <c r="K17" s="306">
        <f ca="1">IFERROR(__xludf.DUMMYFUNCTION("IMPORTRANGE(""https://docs.google.com/spreadsheets/d/1C3CXT74ZlgGe6_JY_1olB1XN4rF0dxEuIIF-xsYjHgg/edit?usp=sharing"",""งบกองทุน!W21"")"),500)</f>
        <v>500</v>
      </c>
      <c r="L17" s="306">
        <f ca="1">IFERROR(__xludf.DUMMYFUNCTION("IMPORTRANGE(""https://docs.google.com/spreadsheets/d/1C3CXT74ZlgGe6_JY_1olB1XN4rF0dxEuIIF-xsYjHgg/edit?usp=sharing"",""งบกองทุน!X21"")"),50)</f>
        <v>50</v>
      </c>
      <c r="M17" s="306">
        <f ca="1">IFERROR(__xludf.DUMMYFUNCTION("IMPORTRANGE(""https://docs.google.com/spreadsheets/d/11923uPwbBZFjjGgGUA6NLw09EwE0CqkOc4q9oUmW1yo/edit?usp=sharing"",""เชียงราย!J292"")"),0)</f>
        <v>0</v>
      </c>
      <c r="N17" s="309">
        <f t="shared" ca="1" si="5"/>
        <v>0</v>
      </c>
      <c r="O17" s="306">
        <f ca="1">IFERROR(__xludf.DUMMYFUNCTION("IMPORTRANGE(""https://docs.google.com/spreadsheets/d/11923uPwbBZFjjGgGUA6NLw09EwE0CqkOc4q9oUmW1yo/edit?usp=sharing"",""เชียงราย!J293"")"),0)</f>
        <v>0</v>
      </c>
      <c r="P17" s="359">
        <f t="shared" ca="1" si="6"/>
        <v>0</v>
      </c>
      <c r="Q17" s="339"/>
      <c r="R17" s="339"/>
      <c r="S17" s="339"/>
      <c r="T17" s="339"/>
      <c r="U17" s="339"/>
      <c r="V17" s="339"/>
      <c r="W17" s="339"/>
      <c r="X17" s="339"/>
      <c r="Y17" s="339"/>
      <c r="Z17" s="339"/>
    </row>
    <row r="18" spans="1:26" ht="21" customHeight="1">
      <c r="A18" s="303">
        <v>3</v>
      </c>
      <c r="B18" s="304" t="s">
        <v>42</v>
      </c>
      <c r="C18" s="305">
        <f t="shared" ca="1" si="22"/>
        <v>1028520</v>
      </c>
      <c r="D18" s="306">
        <f ca="1">IFERROR(__xludf.DUMMYFUNCTION("IMPORTRANGE(""https://docs.google.com/spreadsheets/d/1C3CXT74ZlgGe6_JY_1olB1XN4rF0dxEuIIF-xsYjHgg/edit?usp=sharing"",""งบกองทุน!R22"")"),0)</f>
        <v>0</v>
      </c>
      <c r="E18" s="306">
        <f ca="1">IFERROR(__xludf.DUMMYFUNCTION("IMPORTRANGE(""https://docs.google.com/spreadsheets/d/1C3CXT74ZlgGe6_JY_1olB1XN4rF0dxEuIIF-xsYjHgg/edit?usp=sharing"",""งบกองทุน!S22"")"),1028520)</f>
        <v>1028520</v>
      </c>
      <c r="F18" s="307">
        <f ca="1">IFERROR(__xludf.DUMMYFUNCTION("IMPORTRANGE(""https://docs.google.com/spreadsheets/d/11923uPwbBZFjjGgGUA6NLw09EwE0CqkOc4q9oUmW1yo/edit?usp=sharing"",""เชียงใหม่!M278"")"),139242.58)</f>
        <v>139242.57999999999</v>
      </c>
      <c r="G18" s="307">
        <f t="shared" ca="1" si="1"/>
        <v>13.538149963053707</v>
      </c>
      <c r="H18" s="306">
        <f ca="1">IFERROR(__xludf.DUMMYFUNCTION("IMPORTRANGE(""https://docs.google.com/spreadsheets/d/1C3CXT74ZlgGe6_JY_1olB1XN4rF0dxEuIIF-xsYjHgg/edit?usp=sharing"",""งบกองทุน!V22"")"),100)</f>
        <v>100</v>
      </c>
      <c r="I18" s="306">
        <f ca="1">IFERROR(__xludf.DUMMYFUNCTION("IMPORTRANGE(""https://docs.google.com/spreadsheets/d/11923uPwbBZFjjGgGUA6NLw09EwE0CqkOc4q9oUmW1yo/edit?usp=sharing"",""เชียงใหม่!J291"")"),100)</f>
        <v>100</v>
      </c>
      <c r="J18" s="309">
        <f t="shared" ca="1" si="3"/>
        <v>100</v>
      </c>
      <c r="K18" s="306">
        <f ca="1">IFERROR(__xludf.DUMMYFUNCTION("IMPORTRANGE(""https://docs.google.com/spreadsheets/d/1C3CXT74ZlgGe6_JY_1olB1XN4rF0dxEuIIF-xsYjHgg/edit?usp=sharing"",""งบกองทุน!W22"")"),1000)</f>
        <v>1000</v>
      </c>
      <c r="L18" s="306">
        <f ca="1">IFERROR(__xludf.DUMMYFUNCTION("IMPORTRANGE(""https://docs.google.com/spreadsheets/d/1C3CXT74ZlgGe6_JY_1olB1XN4rF0dxEuIIF-xsYjHgg/edit?usp=sharing"",""งบกองทุน!X22"")"),100)</f>
        <v>100</v>
      </c>
      <c r="M18" s="306">
        <f ca="1">IFERROR(__xludf.DUMMYFUNCTION("IMPORTRANGE(""https://docs.google.com/spreadsheets/d/11923uPwbBZFjjGgGUA6NLw09EwE0CqkOc4q9oUmW1yo/edit?usp=sharing"",""เชียงใหม่!J292"")"),0)</f>
        <v>0</v>
      </c>
      <c r="N18" s="309">
        <f t="shared" ca="1" si="5"/>
        <v>0</v>
      </c>
      <c r="O18" s="306">
        <f ca="1">IFERROR(__xludf.DUMMYFUNCTION("IMPORTRANGE(""https://docs.google.com/spreadsheets/d/11923uPwbBZFjjGgGUA6NLw09EwE0CqkOc4q9oUmW1yo/edit?usp=sharing"",""เชียงใหม่!J293"")"),0)</f>
        <v>0</v>
      </c>
      <c r="P18" s="359">
        <f t="shared" ca="1" si="6"/>
        <v>0</v>
      </c>
      <c r="Q18" s="339"/>
      <c r="R18" s="339"/>
      <c r="S18" s="339"/>
      <c r="T18" s="339"/>
      <c r="U18" s="339"/>
      <c r="V18" s="339"/>
      <c r="W18" s="339"/>
      <c r="X18" s="339"/>
      <c r="Y18" s="339"/>
      <c r="Z18" s="339"/>
    </row>
    <row r="19" spans="1:26" ht="24" customHeight="1">
      <c r="A19" s="303">
        <v>4</v>
      </c>
      <c r="B19" s="304" t="s">
        <v>43</v>
      </c>
      <c r="C19" s="305">
        <f t="shared" ca="1" si="22"/>
        <v>460140</v>
      </c>
      <c r="D19" s="306">
        <f ca="1">IFERROR(__xludf.DUMMYFUNCTION("IMPORTRANGE(""https://docs.google.com/spreadsheets/d/1C3CXT74ZlgGe6_JY_1olB1XN4rF0dxEuIIF-xsYjHgg/edit?usp=sharing"",""งบกองทุน!R23"")"),0)</f>
        <v>0</v>
      </c>
      <c r="E19" s="306">
        <f ca="1">IFERROR(__xludf.DUMMYFUNCTION("IMPORTRANGE(""https://docs.google.com/spreadsheets/d/1C3CXT74ZlgGe6_JY_1olB1XN4rF0dxEuIIF-xsYjHgg/edit?usp=sharing"",""งบกองทุน!S23"")"),460140)</f>
        <v>460140</v>
      </c>
      <c r="F19" s="307">
        <f ca="1">IFERROR(__xludf.DUMMYFUNCTION("IMPORTRANGE(""https://docs.google.com/spreadsheets/d/11923uPwbBZFjjGgGUA6NLw09EwE0CqkOc4q9oUmW1yo/edit?usp=sharing"",""ตาก!M278"")"),409065)</f>
        <v>409065</v>
      </c>
      <c r="G19" s="307">
        <f t="shared" ca="1" si="1"/>
        <v>88.900117355587426</v>
      </c>
      <c r="H19" s="306">
        <f ca="1">IFERROR(__xludf.DUMMYFUNCTION("IMPORTRANGE(""https://docs.google.com/spreadsheets/d/1C3CXT74ZlgGe6_JY_1olB1XN4rF0dxEuIIF-xsYjHgg/edit?usp=sharing"",""งบกองทุน!V23"")"),50)</f>
        <v>50</v>
      </c>
      <c r="I19" s="306">
        <f ca="1">IFERROR(__xludf.DUMMYFUNCTION("IMPORTRANGE(""https://docs.google.com/spreadsheets/d/11923uPwbBZFjjGgGUA6NLw09EwE0CqkOc4q9oUmW1yo/edit?usp=sharing"",""ตาก!J291"")"),50)</f>
        <v>50</v>
      </c>
      <c r="J19" s="309">
        <f t="shared" ca="1" si="3"/>
        <v>100</v>
      </c>
      <c r="K19" s="306">
        <f ca="1">IFERROR(__xludf.DUMMYFUNCTION("IMPORTRANGE(""https://docs.google.com/spreadsheets/d/1C3CXT74ZlgGe6_JY_1olB1XN4rF0dxEuIIF-xsYjHgg/edit?usp=sharing"",""งบกองทุน!W23"")"),500)</f>
        <v>500</v>
      </c>
      <c r="L19" s="306">
        <f ca="1">IFERROR(__xludf.DUMMYFUNCTION("IMPORTRANGE(""https://docs.google.com/spreadsheets/d/1C3CXT74ZlgGe6_JY_1olB1XN4rF0dxEuIIF-xsYjHgg/edit?usp=sharing"",""งบกองทุน!X23"")"),50)</f>
        <v>50</v>
      </c>
      <c r="M19" s="306">
        <f ca="1">IFERROR(__xludf.DUMMYFUNCTION("IMPORTRANGE(""https://docs.google.com/spreadsheets/d/11923uPwbBZFjjGgGUA6NLw09EwE0CqkOc4q9oUmW1yo/edit?usp=sharing"",""ตาก!J292"")"),500)</f>
        <v>500</v>
      </c>
      <c r="N19" s="309">
        <f t="shared" ca="1" si="5"/>
        <v>100</v>
      </c>
      <c r="O19" s="306">
        <f ca="1">IFERROR(__xludf.DUMMYFUNCTION("IMPORTRANGE(""https://docs.google.com/spreadsheets/d/11923uPwbBZFjjGgGUA6NLw09EwE0CqkOc4q9oUmW1yo/edit?usp=sharing"",""ตาก!J293"")"),50)</f>
        <v>50</v>
      </c>
      <c r="P19" s="359">
        <f t="shared" ca="1" si="6"/>
        <v>100</v>
      </c>
      <c r="Q19" s="339"/>
      <c r="R19" s="339"/>
      <c r="S19" s="339"/>
      <c r="T19" s="339"/>
      <c r="U19" s="339"/>
      <c r="V19" s="339"/>
      <c r="W19" s="339"/>
      <c r="X19" s="339"/>
      <c r="Y19" s="339"/>
      <c r="Z19" s="339"/>
    </row>
    <row r="20" spans="1:26" ht="21" customHeight="1">
      <c r="A20" s="303">
        <v>5</v>
      </c>
      <c r="B20" s="304" t="s">
        <v>44</v>
      </c>
      <c r="C20" s="305">
        <f t="shared" ca="1" si="22"/>
        <v>1028520</v>
      </c>
      <c r="D20" s="306">
        <f ca="1">IFERROR(__xludf.DUMMYFUNCTION("IMPORTRANGE(""https://docs.google.com/spreadsheets/d/1C3CXT74ZlgGe6_JY_1olB1XN4rF0dxEuIIF-xsYjHgg/edit?usp=sharing"",""งบกองทุน!R24"")"),0)</f>
        <v>0</v>
      </c>
      <c r="E20" s="306">
        <f ca="1">IFERROR(__xludf.DUMMYFUNCTION("IMPORTRANGE(""https://docs.google.com/spreadsheets/d/1C3CXT74ZlgGe6_JY_1olB1XN4rF0dxEuIIF-xsYjHgg/edit?usp=sharing"",""งบกองทุน!S24"")"),1028520)</f>
        <v>1028520</v>
      </c>
      <c r="F20" s="307">
        <f ca="1">IFERROR(__xludf.DUMMYFUNCTION("IMPORTRANGE(""https://docs.google.com/spreadsheets/d/11923uPwbBZFjjGgGUA6NLw09EwE0CqkOc4q9oUmW1yo/edit?usp=sharing"",""นครสวรรค์!M278"")"),117339)</f>
        <v>117339</v>
      </c>
      <c r="G20" s="307">
        <f t="shared" ca="1" si="1"/>
        <v>11.408528759771322</v>
      </c>
      <c r="H20" s="306">
        <f ca="1">IFERROR(__xludf.DUMMYFUNCTION("IMPORTRANGE(""https://docs.google.com/spreadsheets/d/1C3CXT74ZlgGe6_JY_1olB1XN4rF0dxEuIIF-xsYjHgg/edit?usp=sharing"",""งบกองทุน!V24"")"),100)</f>
        <v>100</v>
      </c>
      <c r="I20" s="306">
        <f ca="1">IFERROR(__xludf.DUMMYFUNCTION("IMPORTRANGE(""https://docs.google.com/spreadsheets/d/11923uPwbBZFjjGgGUA6NLw09EwE0CqkOc4q9oUmW1yo/edit?usp=sharing"",""นครสวรรค์!J291"")"),100)</f>
        <v>100</v>
      </c>
      <c r="J20" s="309">
        <f t="shared" ca="1" si="3"/>
        <v>100</v>
      </c>
      <c r="K20" s="306">
        <f ca="1">IFERROR(__xludf.DUMMYFUNCTION("IMPORTRANGE(""https://docs.google.com/spreadsheets/d/1C3CXT74ZlgGe6_JY_1olB1XN4rF0dxEuIIF-xsYjHgg/edit?usp=sharing"",""งบกองทุน!W24"")"),1000)</f>
        <v>1000</v>
      </c>
      <c r="L20" s="306">
        <f ca="1">IFERROR(__xludf.DUMMYFUNCTION("IMPORTRANGE(""https://docs.google.com/spreadsheets/d/1C3CXT74ZlgGe6_JY_1olB1XN4rF0dxEuIIF-xsYjHgg/edit?usp=sharing"",""งบกองทุน!X24"")"),100)</f>
        <v>100</v>
      </c>
      <c r="M20" s="306">
        <f ca="1">IFERROR(__xludf.DUMMYFUNCTION("IMPORTRANGE(""https://docs.google.com/spreadsheets/d/11923uPwbBZFjjGgGUA6NLw09EwE0CqkOc4q9oUmW1yo/edit?usp=sharing"",""นครสวรรค์!J292"")"),0)</f>
        <v>0</v>
      </c>
      <c r="N20" s="309">
        <f t="shared" ca="1" si="5"/>
        <v>0</v>
      </c>
      <c r="O20" s="306">
        <f ca="1">IFERROR(__xludf.DUMMYFUNCTION("IMPORTRANGE(""https://docs.google.com/spreadsheets/d/11923uPwbBZFjjGgGUA6NLw09EwE0CqkOc4q9oUmW1yo/edit?usp=sharing"",""นครสวรรค์!J293"")"),0)</f>
        <v>0</v>
      </c>
      <c r="P20" s="359">
        <f t="shared" ca="1" si="6"/>
        <v>0</v>
      </c>
      <c r="Q20" s="339"/>
      <c r="R20" s="339"/>
      <c r="S20" s="339"/>
      <c r="T20" s="339"/>
      <c r="U20" s="339"/>
      <c r="V20" s="339"/>
      <c r="W20" s="339"/>
      <c r="X20" s="339"/>
      <c r="Y20" s="339"/>
      <c r="Z20" s="339"/>
    </row>
    <row r="21" spans="1:26" ht="21" customHeight="1">
      <c r="A21" s="303">
        <v>6</v>
      </c>
      <c r="B21" s="304" t="s">
        <v>45</v>
      </c>
      <c r="C21" s="305">
        <f t="shared" ca="1" si="22"/>
        <v>1028520</v>
      </c>
      <c r="D21" s="306">
        <f ca="1">IFERROR(__xludf.DUMMYFUNCTION("IMPORTRANGE(""https://docs.google.com/spreadsheets/d/1C3CXT74ZlgGe6_JY_1olB1XN4rF0dxEuIIF-xsYjHgg/edit?usp=sharing"",""งบกองทุน!R25"")"),0)</f>
        <v>0</v>
      </c>
      <c r="E21" s="306">
        <f ca="1">IFERROR(__xludf.DUMMYFUNCTION("IMPORTRANGE(""https://docs.google.com/spreadsheets/d/1C3CXT74ZlgGe6_JY_1olB1XN4rF0dxEuIIF-xsYjHgg/edit?usp=sharing"",""งบกองทุน!S25"")"),1028520)</f>
        <v>1028520</v>
      </c>
      <c r="F21" s="307">
        <f ca="1">IFERROR(__xludf.DUMMYFUNCTION("IMPORTRANGE(""https://docs.google.com/spreadsheets/d/11923uPwbBZFjjGgGUA6NLw09EwE0CqkOc4q9oUmW1yo/edit?usp=sharing"",""น่าน!M278"")"),164088)</f>
        <v>164088</v>
      </c>
      <c r="G21" s="307">
        <f t="shared" ca="1" si="1"/>
        <v>15.953797689884494</v>
      </c>
      <c r="H21" s="306">
        <f ca="1">IFERROR(__xludf.DUMMYFUNCTION("IMPORTRANGE(""https://docs.google.com/spreadsheets/d/1C3CXT74ZlgGe6_JY_1olB1XN4rF0dxEuIIF-xsYjHgg/edit?usp=sharing"",""งบกองทุน!V25"")"),100)</f>
        <v>100</v>
      </c>
      <c r="I21" s="306">
        <f ca="1">IFERROR(__xludf.DUMMYFUNCTION("IMPORTRANGE(""https://docs.google.com/spreadsheets/d/11923uPwbBZFjjGgGUA6NLw09EwE0CqkOc4q9oUmW1yo/edit?usp=sharing"",""น่าน!J291"")"),100)</f>
        <v>100</v>
      </c>
      <c r="J21" s="309">
        <f t="shared" ca="1" si="3"/>
        <v>100</v>
      </c>
      <c r="K21" s="306">
        <f ca="1">IFERROR(__xludf.DUMMYFUNCTION("IMPORTRANGE(""https://docs.google.com/spreadsheets/d/1C3CXT74ZlgGe6_JY_1olB1XN4rF0dxEuIIF-xsYjHgg/edit?usp=sharing"",""งบกองทุน!W25"")"),1000)</f>
        <v>1000</v>
      </c>
      <c r="L21" s="306">
        <f ca="1">IFERROR(__xludf.DUMMYFUNCTION("IMPORTRANGE(""https://docs.google.com/spreadsheets/d/1C3CXT74ZlgGe6_JY_1olB1XN4rF0dxEuIIF-xsYjHgg/edit?usp=sharing"",""งบกองทุน!X25"")"),100)</f>
        <v>100</v>
      </c>
      <c r="M21" s="306">
        <f ca="1">IFERROR(__xludf.DUMMYFUNCTION("IMPORTRANGE(""https://docs.google.com/spreadsheets/d/11923uPwbBZFjjGgGUA6NLw09EwE0CqkOc4q9oUmW1yo/edit?usp=sharing"",""น่าน!J292"")"),0)</f>
        <v>0</v>
      </c>
      <c r="N21" s="309">
        <f t="shared" ca="1" si="5"/>
        <v>0</v>
      </c>
      <c r="O21" s="306">
        <f ca="1">IFERROR(__xludf.DUMMYFUNCTION("IMPORTRANGE(""https://docs.google.com/spreadsheets/d/11923uPwbBZFjjGgGUA6NLw09EwE0CqkOc4q9oUmW1yo/edit?usp=sharing"",""น่าน!J293"")"),0)</f>
        <v>0</v>
      </c>
      <c r="P21" s="359">
        <f t="shared" ca="1" si="6"/>
        <v>0</v>
      </c>
      <c r="Q21" s="339"/>
      <c r="R21" s="339"/>
      <c r="S21" s="339"/>
      <c r="T21" s="339"/>
      <c r="U21" s="339"/>
      <c r="V21" s="339"/>
      <c r="W21" s="339"/>
      <c r="X21" s="339"/>
      <c r="Y21" s="339"/>
      <c r="Z21" s="339"/>
    </row>
    <row r="22" spans="1:26" ht="21" customHeight="1">
      <c r="A22" s="303">
        <v>7</v>
      </c>
      <c r="B22" s="304" t="s">
        <v>46</v>
      </c>
      <c r="C22" s="305">
        <f t="shared" ca="1" si="22"/>
        <v>1028520</v>
      </c>
      <c r="D22" s="306">
        <f ca="1">IFERROR(__xludf.DUMMYFUNCTION("IMPORTRANGE(""https://docs.google.com/spreadsheets/d/1C3CXT74ZlgGe6_JY_1olB1XN4rF0dxEuIIF-xsYjHgg/edit?usp=sharing"",""งบกองทุน!R26"")"),0)</f>
        <v>0</v>
      </c>
      <c r="E22" s="306">
        <f ca="1">IFERROR(__xludf.DUMMYFUNCTION("IMPORTRANGE(""https://docs.google.com/spreadsheets/d/1C3CXT74ZlgGe6_JY_1olB1XN4rF0dxEuIIF-xsYjHgg/edit?usp=sharing"",""งบกองทุน!S26"")"),1028520)</f>
        <v>1028520</v>
      </c>
      <c r="F22" s="307">
        <f ca="1">IFERROR(__xludf.DUMMYFUNCTION("IMPORTRANGE(""https://docs.google.com/spreadsheets/d/11923uPwbBZFjjGgGUA6NLw09EwE0CqkOc4q9oUmW1yo/edit?usp=sharing"",""พะเยา!M278"")"),177500.2)</f>
        <v>177500.2</v>
      </c>
      <c r="G22" s="307">
        <f t="shared" ca="1" si="1"/>
        <v>17.257826780227902</v>
      </c>
      <c r="H22" s="306">
        <f ca="1">IFERROR(__xludf.DUMMYFUNCTION("IMPORTRANGE(""https://docs.google.com/spreadsheets/d/1C3CXT74ZlgGe6_JY_1olB1XN4rF0dxEuIIF-xsYjHgg/edit?usp=sharing"",""งบกองทุน!V26"")"),100)</f>
        <v>100</v>
      </c>
      <c r="I22" s="306">
        <f ca="1">IFERROR(__xludf.DUMMYFUNCTION("IMPORTRANGE(""https://docs.google.com/spreadsheets/d/11923uPwbBZFjjGgGUA6NLw09EwE0CqkOc4q9oUmW1yo/edit?usp=sharing"",""พะเยา!J291"")"),100)</f>
        <v>100</v>
      </c>
      <c r="J22" s="309">
        <f t="shared" ca="1" si="3"/>
        <v>100</v>
      </c>
      <c r="K22" s="306">
        <f ca="1">IFERROR(__xludf.DUMMYFUNCTION("IMPORTRANGE(""https://docs.google.com/spreadsheets/d/1C3CXT74ZlgGe6_JY_1olB1XN4rF0dxEuIIF-xsYjHgg/edit?usp=sharing"",""งบกองทุน!W26"")"),1000)</f>
        <v>1000</v>
      </c>
      <c r="L22" s="306">
        <f ca="1">IFERROR(__xludf.DUMMYFUNCTION("IMPORTRANGE(""https://docs.google.com/spreadsheets/d/1C3CXT74ZlgGe6_JY_1olB1XN4rF0dxEuIIF-xsYjHgg/edit?usp=sharing"",""งบกองทุน!X26"")"),100)</f>
        <v>100</v>
      </c>
      <c r="M22" s="306">
        <f ca="1">IFERROR(__xludf.DUMMYFUNCTION("IMPORTRANGE(""https://docs.google.com/spreadsheets/d/11923uPwbBZFjjGgGUA6NLw09EwE0CqkOc4q9oUmW1yo/edit?usp=sharing"",""พะเยา!J292"")"),0)</f>
        <v>0</v>
      </c>
      <c r="N22" s="309">
        <f t="shared" ca="1" si="5"/>
        <v>0</v>
      </c>
      <c r="O22" s="306">
        <f ca="1">IFERROR(__xludf.DUMMYFUNCTION("IMPORTRANGE(""https://docs.google.com/spreadsheets/d/11923uPwbBZFjjGgGUA6NLw09EwE0CqkOc4q9oUmW1yo/edit?usp=sharing"",""พะเยา!J293"")"),0)</f>
        <v>0</v>
      </c>
      <c r="P22" s="359">
        <f t="shared" ca="1" si="6"/>
        <v>0</v>
      </c>
      <c r="Q22" s="339"/>
      <c r="R22" s="339"/>
      <c r="S22" s="339"/>
      <c r="T22" s="339"/>
      <c r="U22" s="339"/>
      <c r="V22" s="339"/>
      <c r="W22" s="339"/>
      <c r="X22" s="339"/>
      <c r="Y22" s="339"/>
      <c r="Z22" s="339"/>
    </row>
    <row r="23" spans="1:26" ht="21" customHeight="1">
      <c r="A23" s="303">
        <v>8</v>
      </c>
      <c r="B23" s="304" t="s">
        <v>47</v>
      </c>
      <c r="C23" s="305">
        <f t="shared" ca="1" si="22"/>
        <v>207560</v>
      </c>
      <c r="D23" s="306">
        <f ca="1">IFERROR(__xludf.DUMMYFUNCTION("IMPORTRANGE(""https://docs.google.com/spreadsheets/d/1C3CXT74ZlgGe6_JY_1olB1XN4rF0dxEuIIF-xsYjHgg/edit?usp=sharing"",""งบกองทุน!R27"")"),0)</f>
        <v>0</v>
      </c>
      <c r="E23" s="306">
        <f ca="1">IFERROR(__xludf.DUMMYFUNCTION("IMPORTRANGE(""https://docs.google.com/spreadsheets/d/1C3CXT74ZlgGe6_JY_1olB1XN4rF0dxEuIIF-xsYjHgg/edit?usp=sharing"",""งบกองทุน!S27"")"),207560)</f>
        <v>207560</v>
      </c>
      <c r="F23" s="307">
        <f ca="1">IFERROR(__xludf.DUMMYFUNCTION("IMPORTRANGE(""https://docs.google.com/spreadsheets/d/11923uPwbBZFjjGgGUA6NLw09EwE0CqkOc4q9oUmW1yo/edit?usp=sharing"",""พิจิตร!M278"")"),32611)</f>
        <v>32611</v>
      </c>
      <c r="G23" s="307">
        <f t="shared" ca="1" si="1"/>
        <v>15.711601464636731</v>
      </c>
      <c r="H23" s="306">
        <f ca="1">IFERROR(__xludf.DUMMYFUNCTION("IMPORTRANGE(""https://docs.google.com/spreadsheets/d/1C3CXT74ZlgGe6_JY_1olB1XN4rF0dxEuIIF-xsYjHgg/edit?usp=sharing"",""งบกองทุน!V27"")"),20)</f>
        <v>20</v>
      </c>
      <c r="I23" s="306">
        <f ca="1">IFERROR(__xludf.DUMMYFUNCTION("IMPORTRANGE(""https://docs.google.com/spreadsheets/d/11923uPwbBZFjjGgGUA6NLw09EwE0CqkOc4q9oUmW1yo/edit?usp=sharing"",""พิจิตร!J291"")"),20)</f>
        <v>20</v>
      </c>
      <c r="J23" s="309">
        <f t="shared" ca="1" si="3"/>
        <v>100</v>
      </c>
      <c r="K23" s="306">
        <f ca="1">IFERROR(__xludf.DUMMYFUNCTION("IMPORTRANGE(""https://docs.google.com/spreadsheets/d/1C3CXT74ZlgGe6_JY_1olB1XN4rF0dxEuIIF-xsYjHgg/edit?usp=sharing"",""งบกองทุน!W27"")"),200)</f>
        <v>200</v>
      </c>
      <c r="L23" s="306">
        <f ca="1">IFERROR(__xludf.DUMMYFUNCTION("IMPORTRANGE(""https://docs.google.com/spreadsheets/d/1C3CXT74ZlgGe6_JY_1olB1XN4rF0dxEuIIF-xsYjHgg/edit?usp=sharing"",""งบกองทุน!X27"")"),20)</f>
        <v>20</v>
      </c>
      <c r="M23" s="306">
        <f ca="1">IFERROR(__xludf.DUMMYFUNCTION("IMPORTRANGE(""https://docs.google.com/spreadsheets/d/11923uPwbBZFjjGgGUA6NLw09EwE0CqkOc4q9oUmW1yo/edit?usp=sharing"",""พิจิตร!J292"")"),0)</f>
        <v>0</v>
      </c>
      <c r="N23" s="309">
        <f t="shared" ca="1" si="5"/>
        <v>0</v>
      </c>
      <c r="O23" s="306">
        <f ca="1">IFERROR(__xludf.DUMMYFUNCTION("IMPORTRANGE(""https://docs.google.com/spreadsheets/d/11923uPwbBZFjjGgGUA6NLw09EwE0CqkOc4q9oUmW1yo/edit?usp=sharing"",""พิจิตร!J293"")"),0)</f>
        <v>0</v>
      </c>
      <c r="P23" s="359">
        <f t="shared" ca="1" si="6"/>
        <v>0</v>
      </c>
      <c r="Q23" s="339"/>
      <c r="R23" s="339"/>
      <c r="S23" s="339"/>
      <c r="T23" s="339"/>
      <c r="U23" s="339"/>
      <c r="V23" s="339"/>
      <c r="W23" s="339"/>
      <c r="X23" s="339"/>
      <c r="Y23" s="339"/>
      <c r="Z23" s="339"/>
    </row>
    <row r="24" spans="1:26" ht="21" customHeight="1">
      <c r="A24" s="303">
        <v>9</v>
      </c>
      <c r="B24" s="304" t="s">
        <v>48</v>
      </c>
      <c r="C24" s="305">
        <f t="shared" ca="1" si="22"/>
        <v>1028520</v>
      </c>
      <c r="D24" s="306">
        <f ca="1">IFERROR(__xludf.DUMMYFUNCTION("IMPORTRANGE(""https://docs.google.com/spreadsheets/d/1C3CXT74ZlgGe6_JY_1olB1XN4rF0dxEuIIF-xsYjHgg/edit?usp=sharing"",""งบกองทุน!R28"")"),0)</f>
        <v>0</v>
      </c>
      <c r="E24" s="306">
        <f ca="1">IFERROR(__xludf.DUMMYFUNCTION("IMPORTRANGE(""https://docs.google.com/spreadsheets/d/1C3CXT74ZlgGe6_JY_1olB1XN4rF0dxEuIIF-xsYjHgg/edit?usp=sharing"",""งบกองทุน!S28"")"),1028520)</f>
        <v>1028520</v>
      </c>
      <c r="F24" s="307">
        <f ca="1">IFERROR(__xludf.DUMMYFUNCTION("IMPORTRANGE(""https://docs.google.com/spreadsheets/d/11923uPwbBZFjjGgGUA6NLw09EwE0CqkOc4q9oUmW1yo/edit?usp=sharing"",""พิษณุโลก!M278"")"),214320.09)</f>
        <v>214320.09</v>
      </c>
      <c r="G24" s="307">
        <f t="shared" ca="1" si="1"/>
        <v>20.837717302531793</v>
      </c>
      <c r="H24" s="306">
        <f ca="1">IFERROR(__xludf.DUMMYFUNCTION("IMPORTRANGE(""https://docs.google.com/spreadsheets/d/1C3CXT74ZlgGe6_JY_1olB1XN4rF0dxEuIIF-xsYjHgg/edit?usp=sharing"",""งบกองทุน!V28"")"),100)</f>
        <v>100</v>
      </c>
      <c r="I24" s="306">
        <f ca="1">IFERROR(__xludf.DUMMYFUNCTION("IMPORTRANGE(""https://docs.google.com/spreadsheets/d/11923uPwbBZFjjGgGUA6NLw09EwE0CqkOc4q9oUmW1yo/edit?usp=sharing"",""พิษณุโลก!J291"")"),100)</f>
        <v>100</v>
      </c>
      <c r="J24" s="309">
        <f t="shared" ca="1" si="3"/>
        <v>100</v>
      </c>
      <c r="K24" s="306">
        <f ca="1">IFERROR(__xludf.DUMMYFUNCTION("IMPORTRANGE(""https://docs.google.com/spreadsheets/d/1C3CXT74ZlgGe6_JY_1olB1XN4rF0dxEuIIF-xsYjHgg/edit?usp=sharing"",""งบกองทุน!W28"")"),1000)</f>
        <v>1000</v>
      </c>
      <c r="L24" s="306">
        <f ca="1">IFERROR(__xludf.DUMMYFUNCTION("IMPORTRANGE(""https://docs.google.com/spreadsheets/d/1C3CXT74ZlgGe6_JY_1olB1XN4rF0dxEuIIF-xsYjHgg/edit?usp=sharing"",""งบกองทุน!X28"")"),100)</f>
        <v>100</v>
      </c>
      <c r="M24" s="306">
        <f ca="1">IFERROR(__xludf.DUMMYFUNCTION("IMPORTRANGE(""https://docs.google.com/spreadsheets/d/11923uPwbBZFjjGgGUA6NLw09EwE0CqkOc4q9oUmW1yo/edit?usp=sharing"",""พิษณุโลก!J292"")"),0)</f>
        <v>0</v>
      </c>
      <c r="N24" s="309">
        <f t="shared" ca="1" si="5"/>
        <v>0</v>
      </c>
      <c r="O24" s="306">
        <f ca="1">IFERROR(__xludf.DUMMYFUNCTION("IMPORTRANGE(""https://docs.google.com/spreadsheets/d/11923uPwbBZFjjGgGUA6NLw09EwE0CqkOc4q9oUmW1yo/edit?usp=sharing"",""พิษณุโลก!J293"")"),0)</f>
        <v>0</v>
      </c>
      <c r="P24" s="359">
        <f t="shared" ca="1" si="6"/>
        <v>0</v>
      </c>
      <c r="Q24" s="339"/>
      <c r="R24" s="339"/>
      <c r="S24" s="339"/>
      <c r="T24" s="339"/>
      <c r="U24" s="339"/>
      <c r="V24" s="339"/>
      <c r="W24" s="339"/>
      <c r="X24" s="339"/>
      <c r="Y24" s="339"/>
      <c r="Z24" s="339"/>
    </row>
    <row r="25" spans="1:26" ht="21" customHeight="1">
      <c r="A25" s="303">
        <v>10</v>
      </c>
      <c r="B25" s="304" t="s">
        <v>49</v>
      </c>
      <c r="C25" s="305">
        <f t="shared" ca="1" si="22"/>
        <v>1028520</v>
      </c>
      <c r="D25" s="306">
        <f ca="1">IFERROR(__xludf.DUMMYFUNCTION("IMPORTRANGE(""https://docs.google.com/spreadsheets/d/1C3CXT74ZlgGe6_JY_1olB1XN4rF0dxEuIIF-xsYjHgg/edit?usp=sharing"",""งบกองทุน!R29"")"),0)</f>
        <v>0</v>
      </c>
      <c r="E25" s="306">
        <f ca="1">IFERROR(__xludf.DUMMYFUNCTION("IMPORTRANGE(""https://docs.google.com/spreadsheets/d/1C3CXT74ZlgGe6_JY_1olB1XN4rF0dxEuIIF-xsYjHgg/edit?usp=sharing"",""งบกองทุน!S29"")"),1028520)</f>
        <v>1028520</v>
      </c>
      <c r="F25" s="307">
        <f ca="1">IFERROR(__xludf.DUMMYFUNCTION("IMPORTRANGE(""https://docs.google.com/spreadsheets/d/11923uPwbBZFjjGgGUA6NLw09EwE0CqkOc4q9oUmW1yo/edit?usp=sharing"",""เพชรบูรณ์!M278"")"),247921)</f>
        <v>247921</v>
      </c>
      <c r="G25" s="307">
        <f t="shared" ca="1" si="1"/>
        <v>24.104635787344922</v>
      </c>
      <c r="H25" s="306">
        <f ca="1">IFERROR(__xludf.DUMMYFUNCTION("IMPORTRANGE(""https://docs.google.com/spreadsheets/d/1C3CXT74ZlgGe6_JY_1olB1XN4rF0dxEuIIF-xsYjHgg/edit?usp=sharing"",""งบกองทุน!V29"")"),100)</f>
        <v>100</v>
      </c>
      <c r="I25" s="306">
        <f ca="1">IFERROR(__xludf.DUMMYFUNCTION("IMPORTRANGE(""https://docs.google.com/spreadsheets/d/11923uPwbBZFjjGgGUA6NLw09EwE0CqkOc4q9oUmW1yo/edit?usp=sharing"",""เพชรบูรณ์!J291"")"),100)</f>
        <v>100</v>
      </c>
      <c r="J25" s="309">
        <f t="shared" ca="1" si="3"/>
        <v>100</v>
      </c>
      <c r="K25" s="306">
        <f ca="1">IFERROR(__xludf.DUMMYFUNCTION("IMPORTRANGE(""https://docs.google.com/spreadsheets/d/1C3CXT74ZlgGe6_JY_1olB1XN4rF0dxEuIIF-xsYjHgg/edit?usp=sharing"",""งบกองทุน!W29"")"),1000)</f>
        <v>1000</v>
      </c>
      <c r="L25" s="306">
        <f ca="1">IFERROR(__xludf.DUMMYFUNCTION("IMPORTRANGE(""https://docs.google.com/spreadsheets/d/1C3CXT74ZlgGe6_JY_1olB1XN4rF0dxEuIIF-xsYjHgg/edit?usp=sharing"",""งบกองทุน!X29"")"),100)</f>
        <v>100</v>
      </c>
      <c r="M25" s="306">
        <f ca="1">IFERROR(__xludf.DUMMYFUNCTION("IMPORTRANGE(""https://docs.google.com/spreadsheets/d/11923uPwbBZFjjGgGUA6NLw09EwE0CqkOc4q9oUmW1yo/edit?usp=sharing"",""เพชรบูรณ์!J292"")"),0)</f>
        <v>0</v>
      </c>
      <c r="N25" s="309">
        <f t="shared" ca="1" si="5"/>
        <v>0</v>
      </c>
      <c r="O25" s="306">
        <f ca="1">IFERROR(__xludf.DUMMYFUNCTION("IMPORTRANGE(""https://docs.google.com/spreadsheets/d/11923uPwbBZFjjGgGUA6NLw09EwE0CqkOc4q9oUmW1yo/edit?usp=sharing"",""เพชรบูรณ์!J293"")"),0)</f>
        <v>0</v>
      </c>
      <c r="P25" s="359">
        <f t="shared" ca="1" si="6"/>
        <v>0</v>
      </c>
      <c r="Q25" s="339"/>
      <c r="R25" s="339"/>
      <c r="S25" s="339"/>
      <c r="T25" s="339"/>
      <c r="U25" s="339"/>
      <c r="V25" s="339"/>
      <c r="W25" s="339"/>
      <c r="X25" s="339"/>
      <c r="Y25" s="339"/>
      <c r="Z25" s="339"/>
    </row>
    <row r="26" spans="1:26" ht="21" customHeight="1">
      <c r="A26" s="303">
        <v>11</v>
      </c>
      <c r="B26" s="304" t="s">
        <v>50</v>
      </c>
      <c r="C26" s="305">
        <f t="shared" ca="1" si="22"/>
        <v>1028520</v>
      </c>
      <c r="D26" s="306">
        <f ca="1">IFERROR(__xludf.DUMMYFUNCTION("IMPORTRANGE(""https://docs.google.com/spreadsheets/d/1C3CXT74ZlgGe6_JY_1olB1XN4rF0dxEuIIF-xsYjHgg/edit?usp=sharing"",""งบกองทุน!R30"")"),0)</f>
        <v>0</v>
      </c>
      <c r="E26" s="306">
        <f ca="1">IFERROR(__xludf.DUMMYFUNCTION("IMPORTRANGE(""https://docs.google.com/spreadsheets/d/1C3CXT74ZlgGe6_JY_1olB1XN4rF0dxEuIIF-xsYjHgg/edit?usp=sharing"",""งบกองทุน!S30"")"),1028520)</f>
        <v>1028520</v>
      </c>
      <c r="F26" s="307">
        <f ca="1">IFERROR(__xludf.DUMMYFUNCTION("IMPORTRANGE(""https://docs.google.com/spreadsheets/d/11923uPwbBZFjjGgGUA6NLw09EwE0CqkOc4q9oUmW1yo/edit?usp=sharing"",""แพร่!M278"")"),236880)</f>
        <v>236880</v>
      </c>
      <c r="G26" s="307">
        <f t="shared" ca="1" si="1"/>
        <v>23.031151557577878</v>
      </c>
      <c r="H26" s="306">
        <f ca="1">IFERROR(__xludf.DUMMYFUNCTION("IMPORTRANGE(""https://docs.google.com/spreadsheets/d/1C3CXT74ZlgGe6_JY_1olB1XN4rF0dxEuIIF-xsYjHgg/edit?usp=sharing"",""งบกองทุน!V30"")"),100)</f>
        <v>100</v>
      </c>
      <c r="I26" s="306">
        <f ca="1">IFERROR(__xludf.DUMMYFUNCTION("IMPORTRANGE(""https://docs.google.com/spreadsheets/d/11923uPwbBZFjjGgGUA6NLw09EwE0CqkOc4q9oUmW1yo/edit?usp=sharing"",""แพร่!J291"")"),50)</f>
        <v>50</v>
      </c>
      <c r="J26" s="309">
        <f t="shared" ca="1" si="3"/>
        <v>50</v>
      </c>
      <c r="K26" s="306">
        <f ca="1">IFERROR(__xludf.DUMMYFUNCTION("IMPORTRANGE(""https://docs.google.com/spreadsheets/d/1C3CXT74ZlgGe6_JY_1olB1XN4rF0dxEuIIF-xsYjHgg/edit?usp=sharing"",""งบกองทุน!W30"")"),1000)</f>
        <v>1000</v>
      </c>
      <c r="L26" s="306">
        <f ca="1">IFERROR(__xludf.DUMMYFUNCTION("IMPORTRANGE(""https://docs.google.com/spreadsheets/d/1C3CXT74ZlgGe6_JY_1olB1XN4rF0dxEuIIF-xsYjHgg/edit?usp=sharing"",""งบกองทุน!X30"")"),100)</f>
        <v>100</v>
      </c>
      <c r="M26" s="306">
        <f ca="1">IFERROR(__xludf.DUMMYFUNCTION("IMPORTRANGE(""https://docs.google.com/spreadsheets/d/11923uPwbBZFjjGgGUA6NLw09EwE0CqkOc4q9oUmW1yo/edit?usp=sharing"",""แพร่!J292"")"),0)</f>
        <v>0</v>
      </c>
      <c r="N26" s="309">
        <f t="shared" ca="1" si="5"/>
        <v>0</v>
      </c>
      <c r="O26" s="306">
        <f ca="1">IFERROR(__xludf.DUMMYFUNCTION("IMPORTRANGE(""https://docs.google.com/spreadsheets/d/11923uPwbBZFjjGgGUA6NLw09EwE0CqkOc4q9oUmW1yo/edit?usp=sharing"",""แพร่!J293"")"),0)</f>
        <v>0</v>
      </c>
      <c r="P26" s="359">
        <f t="shared" ca="1" si="6"/>
        <v>0</v>
      </c>
      <c r="Q26" s="339"/>
      <c r="R26" s="339"/>
      <c r="S26" s="339"/>
      <c r="T26" s="339"/>
      <c r="U26" s="339"/>
      <c r="V26" s="339"/>
      <c r="W26" s="339"/>
      <c r="X26" s="339"/>
      <c r="Y26" s="339"/>
      <c r="Z26" s="339"/>
    </row>
    <row r="27" spans="1:26" ht="21" customHeight="1">
      <c r="A27" s="303">
        <v>12</v>
      </c>
      <c r="B27" s="304" t="s">
        <v>51</v>
      </c>
      <c r="C27" s="305">
        <f t="shared" ca="1" si="22"/>
        <v>127660</v>
      </c>
      <c r="D27" s="306">
        <f ca="1">IFERROR(__xludf.DUMMYFUNCTION("IMPORTRANGE(""https://docs.google.com/spreadsheets/d/1C3CXT74ZlgGe6_JY_1olB1XN4rF0dxEuIIF-xsYjHgg/edit?usp=sharing"",""งบกองทุน!R31"")"),0)</f>
        <v>0</v>
      </c>
      <c r="E27" s="306">
        <f ca="1">IFERROR(__xludf.DUMMYFUNCTION("IMPORTRANGE(""https://docs.google.com/spreadsheets/d/1C3CXT74ZlgGe6_JY_1olB1XN4rF0dxEuIIF-xsYjHgg/edit?usp=sharing"",""งบกองทุน!S31"")"),127660)</f>
        <v>127660</v>
      </c>
      <c r="F27" s="307">
        <f ca="1">IFERROR(__xludf.DUMMYFUNCTION("IMPORTRANGE(""https://docs.google.com/spreadsheets/d/11923uPwbBZFjjGgGUA6NLw09EwE0CqkOc4q9oUmW1yo/edit?usp=sharing"",""แม่ฮ่องสอน!M278"")"),52870)</f>
        <v>52870</v>
      </c>
      <c r="G27" s="307">
        <f t="shared" ca="1" si="1"/>
        <v>41.414695284349051</v>
      </c>
      <c r="H27" s="306">
        <f ca="1">IFERROR(__xludf.DUMMYFUNCTION("IMPORTRANGE(""https://docs.google.com/spreadsheets/d/1C3CXT74ZlgGe6_JY_1olB1XN4rF0dxEuIIF-xsYjHgg/edit?usp=sharing"",""งบกองทุน!V31"")"),10)</f>
        <v>10</v>
      </c>
      <c r="I27" s="306">
        <f ca="1">IFERROR(__xludf.DUMMYFUNCTION("IMPORTRANGE(""https://docs.google.com/spreadsheets/d/11923uPwbBZFjjGgGUA6NLw09EwE0CqkOc4q9oUmW1yo/edit?usp=sharing"",""แม่ฮ่องสอน!J291"")"),10)</f>
        <v>10</v>
      </c>
      <c r="J27" s="309">
        <f t="shared" ca="1" si="3"/>
        <v>100</v>
      </c>
      <c r="K27" s="306">
        <f ca="1">IFERROR(__xludf.DUMMYFUNCTION("IMPORTRANGE(""https://docs.google.com/spreadsheets/d/1C3CXT74ZlgGe6_JY_1olB1XN4rF0dxEuIIF-xsYjHgg/edit?usp=sharing"",""งบกองทุน!W31"")"),100)</f>
        <v>100</v>
      </c>
      <c r="L27" s="306">
        <f ca="1">IFERROR(__xludf.DUMMYFUNCTION("IMPORTRANGE(""https://docs.google.com/spreadsheets/d/1C3CXT74ZlgGe6_JY_1olB1XN4rF0dxEuIIF-xsYjHgg/edit?usp=sharing"",""งบกองทุน!X31"")"),10)</f>
        <v>10</v>
      </c>
      <c r="M27" s="306">
        <f ca="1">IFERROR(__xludf.DUMMYFUNCTION("IMPORTRANGE(""https://docs.google.com/spreadsheets/d/11923uPwbBZFjjGgGUA6NLw09EwE0CqkOc4q9oUmW1yo/edit?usp=sharing"",""แม่ฮ่องสอน!J292"")"),0)</f>
        <v>0</v>
      </c>
      <c r="N27" s="309">
        <f t="shared" ca="1" si="5"/>
        <v>0</v>
      </c>
      <c r="O27" s="306">
        <f ca="1">IFERROR(__xludf.DUMMYFUNCTION("IMPORTRANGE(""https://docs.google.com/spreadsheets/d/11923uPwbBZFjjGgGUA6NLw09EwE0CqkOc4q9oUmW1yo/edit?usp=sharing"",""แม่ฮ่องสอน!J293"")"),0)</f>
        <v>0</v>
      </c>
      <c r="P27" s="359">
        <f t="shared" ca="1" si="6"/>
        <v>0</v>
      </c>
      <c r="Q27" s="339"/>
      <c r="R27" s="339"/>
      <c r="S27" s="339"/>
      <c r="T27" s="339"/>
      <c r="U27" s="339"/>
      <c r="V27" s="339"/>
      <c r="W27" s="339"/>
      <c r="X27" s="339"/>
      <c r="Y27" s="339"/>
      <c r="Z27" s="339"/>
    </row>
    <row r="28" spans="1:26" ht="21" customHeight="1">
      <c r="A28" s="303">
        <v>13</v>
      </c>
      <c r="B28" s="304" t="s">
        <v>52</v>
      </c>
      <c r="C28" s="305">
        <f t="shared" ca="1" si="22"/>
        <v>1028520</v>
      </c>
      <c r="D28" s="306">
        <f ca="1">IFERROR(__xludf.DUMMYFUNCTION("IMPORTRANGE(""https://docs.google.com/spreadsheets/d/1C3CXT74ZlgGe6_JY_1olB1XN4rF0dxEuIIF-xsYjHgg/edit?usp=sharing"",""งบกองทุน!R32"")"),0)</f>
        <v>0</v>
      </c>
      <c r="E28" s="306">
        <f ca="1">IFERROR(__xludf.DUMMYFUNCTION("IMPORTRANGE(""https://docs.google.com/spreadsheets/d/1C3CXT74ZlgGe6_JY_1olB1XN4rF0dxEuIIF-xsYjHgg/edit?usp=sharing"",""งบกองทุน!S32"")"),1028520)</f>
        <v>1028520</v>
      </c>
      <c r="F28" s="307">
        <f ca="1">IFERROR(__xludf.DUMMYFUNCTION("IMPORTRANGE(""https://docs.google.com/spreadsheets/d/11923uPwbBZFjjGgGUA6NLw09EwE0CqkOc4q9oUmW1yo/edit?usp=sharing"",""ลำปาง!M278"")"),241663.38)</f>
        <v>241663.38</v>
      </c>
      <c r="G28" s="307">
        <f t="shared" ca="1" si="1"/>
        <v>23.496225644615564</v>
      </c>
      <c r="H28" s="306">
        <f ca="1">IFERROR(__xludf.DUMMYFUNCTION("IMPORTRANGE(""https://docs.google.com/spreadsheets/d/1C3CXT74ZlgGe6_JY_1olB1XN4rF0dxEuIIF-xsYjHgg/edit?usp=sharing"",""งบกองทุน!V32"")"),100)</f>
        <v>100</v>
      </c>
      <c r="I28" s="306">
        <f ca="1">IFERROR(__xludf.DUMMYFUNCTION("IMPORTRANGE(""https://docs.google.com/spreadsheets/d/11923uPwbBZFjjGgGUA6NLw09EwE0CqkOc4q9oUmW1yo/edit?usp=sharing"",""ลำปาง!J291"")"),100)</f>
        <v>100</v>
      </c>
      <c r="J28" s="309">
        <f t="shared" ca="1" si="3"/>
        <v>100</v>
      </c>
      <c r="K28" s="306">
        <f ca="1">IFERROR(__xludf.DUMMYFUNCTION("IMPORTRANGE(""https://docs.google.com/spreadsheets/d/1C3CXT74ZlgGe6_JY_1olB1XN4rF0dxEuIIF-xsYjHgg/edit?usp=sharing"",""งบกองทุน!W32"")"),1000)</f>
        <v>1000</v>
      </c>
      <c r="L28" s="306">
        <f ca="1">IFERROR(__xludf.DUMMYFUNCTION("IMPORTRANGE(""https://docs.google.com/spreadsheets/d/1C3CXT74ZlgGe6_JY_1olB1XN4rF0dxEuIIF-xsYjHgg/edit?usp=sharing"",""งบกองทุน!X32"")"),100)</f>
        <v>100</v>
      </c>
      <c r="M28" s="306">
        <f ca="1">IFERROR(__xludf.DUMMYFUNCTION("IMPORTRANGE(""https://docs.google.com/spreadsheets/d/11923uPwbBZFjjGgGUA6NLw09EwE0CqkOc4q9oUmW1yo/edit?usp=sharing"",""ลำปาง!J292"")"),0)</f>
        <v>0</v>
      </c>
      <c r="N28" s="309">
        <f t="shared" ca="1" si="5"/>
        <v>0</v>
      </c>
      <c r="O28" s="306">
        <f ca="1">IFERROR(__xludf.DUMMYFUNCTION("IMPORTRANGE(""https://docs.google.com/spreadsheets/d/11923uPwbBZFjjGgGUA6NLw09EwE0CqkOc4q9oUmW1yo/edit?usp=sharing"",""ลำปาง!J293"")"),0)</f>
        <v>0</v>
      </c>
      <c r="P28" s="359">
        <f t="shared" ca="1" si="6"/>
        <v>0</v>
      </c>
      <c r="Q28" s="339"/>
      <c r="R28" s="339"/>
      <c r="S28" s="339"/>
      <c r="T28" s="339"/>
      <c r="U28" s="339"/>
      <c r="V28" s="339"/>
      <c r="W28" s="339"/>
      <c r="X28" s="339"/>
      <c r="Y28" s="339"/>
      <c r="Z28" s="339"/>
    </row>
    <row r="29" spans="1:26" ht="21" customHeight="1">
      <c r="A29" s="303">
        <v>14</v>
      </c>
      <c r="B29" s="304" t="s">
        <v>53</v>
      </c>
      <c r="C29" s="305">
        <f t="shared" ca="1" si="22"/>
        <v>1028520</v>
      </c>
      <c r="D29" s="306">
        <f ca="1">IFERROR(__xludf.DUMMYFUNCTION("IMPORTRANGE(""https://docs.google.com/spreadsheets/d/1C3CXT74ZlgGe6_JY_1olB1XN4rF0dxEuIIF-xsYjHgg/edit?usp=sharing"",""งบกองทุน!R33"")"),0)</f>
        <v>0</v>
      </c>
      <c r="E29" s="306">
        <f ca="1">IFERROR(__xludf.DUMMYFUNCTION("IMPORTRANGE(""https://docs.google.com/spreadsheets/d/1C3CXT74ZlgGe6_JY_1olB1XN4rF0dxEuIIF-xsYjHgg/edit?usp=sharing"",""งบกองทุน!S33"")"),1028520)</f>
        <v>1028520</v>
      </c>
      <c r="F29" s="307">
        <f ca="1">IFERROR(__xludf.DUMMYFUNCTION("IMPORTRANGE(""https://docs.google.com/spreadsheets/d/11923uPwbBZFjjGgGUA6NLw09EwE0CqkOc4q9oUmW1yo/edit?usp=sharing"",""ลำพูน!M278"")"),233785)</f>
        <v>233785</v>
      </c>
      <c r="G29" s="307">
        <f t="shared" ca="1" si="1"/>
        <v>22.730233733908918</v>
      </c>
      <c r="H29" s="306">
        <f ca="1">IFERROR(__xludf.DUMMYFUNCTION("IMPORTRANGE(""https://docs.google.com/spreadsheets/d/1C3CXT74ZlgGe6_JY_1olB1XN4rF0dxEuIIF-xsYjHgg/edit?usp=sharing"",""งบกองทุน!V33"")"),100)</f>
        <v>100</v>
      </c>
      <c r="I29" s="306">
        <f ca="1">IFERROR(__xludf.DUMMYFUNCTION("IMPORTRANGE(""https://docs.google.com/spreadsheets/d/11923uPwbBZFjjGgGUA6NLw09EwE0CqkOc4q9oUmW1yo/edit?usp=sharing"",""ลำพูน!J291"")"),100)</f>
        <v>100</v>
      </c>
      <c r="J29" s="309">
        <f t="shared" ca="1" si="3"/>
        <v>100</v>
      </c>
      <c r="K29" s="306">
        <f ca="1">IFERROR(__xludf.DUMMYFUNCTION("IMPORTRANGE(""https://docs.google.com/spreadsheets/d/1C3CXT74ZlgGe6_JY_1olB1XN4rF0dxEuIIF-xsYjHgg/edit?usp=sharing"",""งบกองทุน!W33"")"),1000)</f>
        <v>1000</v>
      </c>
      <c r="L29" s="306">
        <f ca="1">IFERROR(__xludf.DUMMYFUNCTION("IMPORTRANGE(""https://docs.google.com/spreadsheets/d/1C3CXT74ZlgGe6_JY_1olB1XN4rF0dxEuIIF-xsYjHgg/edit?usp=sharing"",""งบกองทุน!X33"")"),100)</f>
        <v>100</v>
      </c>
      <c r="M29" s="306">
        <f ca="1">IFERROR(__xludf.DUMMYFUNCTION("IMPORTRANGE(""https://docs.google.com/spreadsheets/d/11923uPwbBZFjjGgGUA6NLw09EwE0CqkOc4q9oUmW1yo/edit?usp=sharing"",""ลำพูน!J292"")"),0)</f>
        <v>0</v>
      </c>
      <c r="N29" s="309">
        <f t="shared" ca="1" si="5"/>
        <v>0</v>
      </c>
      <c r="O29" s="306">
        <f ca="1">IFERROR(__xludf.DUMMYFUNCTION("IMPORTRANGE(""https://docs.google.com/spreadsheets/d/11923uPwbBZFjjGgGUA6NLw09EwE0CqkOc4q9oUmW1yo/edit?usp=sharing"",""ลำพูน!J293"")"),0)</f>
        <v>0</v>
      </c>
      <c r="P29" s="359">
        <f t="shared" ca="1" si="6"/>
        <v>0</v>
      </c>
      <c r="Q29" s="339"/>
      <c r="R29" s="339"/>
      <c r="S29" s="339"/>
      <c r="T29" s="339"/>
      <c r="U29" s="339"/>
      <c r="V29" s="339"/>
      <c r="W29" s="339"/>
      <c r="X29" s="339"/>
      <c r="Y29" s="339"/>
      <c r="Z29" s="339"/>
    </row>
    <row r="30" spans="1:26" ht="21" customHeight="1">
      <c r="A30" s="303">
        <v>15</v>
      </c>
      <c r="B30" s="304" t="s">
        <v>54</v>
      </c>
      <c r="C30" s="305">
        <f t="shared" ca="1" si="22"/>
        <v>207560</v>
      </c>
      <c r="D30" s="306">
        <f ca="1">IFERROR(__xludf.DUMMYFUNCTION("IMPORTRANGE(""https://docs.google.com/spreadsheets/d/1C3CXT74ZlgGe6_JY_1olB1XN4rF0dxEuIIF-xsYjHgg/edit?usp=sharing"",""งบกองทุน!R34"")"),0)</f>
        <v>0</v>
      </c>
      <c r="E30" s="306">
        <f ca="1">IFERROR(__xludf.DUMMYFUNCTION("IMPORTRANGE(""https://docs.google.com/spreadsheets/d/1C3CXT74ZlgGe6_JY_1olB1XN4rF0dxEuIIF-xsYjHgg/edit?usp=sharing"",""งบกองทุน!S34"")"),207560)</f>
        <v>207560</v>
      </c>
      <c r="F30" s="307">
        <f ca="1">IFERROR(__xludf.DUMMYFUNCTION("IMPORTRANGE(""https://docs.google.com/spreadsheets/d/11923uPwbBZFjjGgGUA6NLw09EwE0CqkOc4q9oUmW1yo/edit?usp=sharing"",""สุโขทัย!M278"")"),48320)</f>
        <v>48320</v>
      </c>
      <c r="G30" s="307">
        <f t="shared" ca="1" si="1"/>
        <v>23.280015417228753</v>
      </c>
      <c r="H30" s="306">
        <f ca="1">IFERROR(__xludf.DUMMYFUNCTION("IMPORTRANGE(""https://docs.google.com/spreadsheets/d/1C3CXT74ZlgGe6_JY_1olB1XN4rF0dxEuIIF-xsYjHgg/edit?usp=sharing"",""งบกองทุน!V34"")"),20)</f>
        <v>20</v>
      </c>
      <c r="I30" s="306">
        <f ca="1">IFERROR(__xludf.DUMMYFUNCTION("IMPORTRANGE(""https://docs.google.com/spreadsheets/d/11923uPwbBZFjjGgGUA6NLw09EwE0CqkOc4q9oUmW1yo/edit?usp=sharing"",""สุโขทัย!J291"")"),20)</f>
        <v>20</v>
      </c>
      <c r="J30" s="309">
        <f t="shared" ca="1" si="3"/>
        <v>100</v>
      </c>
      <c r="K30" s="306">
        <f ca="1">IFERROR(__xludf.DUMMYFUNCTION("IMPORTRANGE(""https://docs.google.com/spreadsheets/d/1C3CXT74ZlgGe6_JY_1olB1XN4rF0dxEuIIF-xsYjHgg/edit?usp=sharing"",""งบกองทุน!W34"")"),200)</f>
        <v>200</v>
      </c>
      <c r="L30" s="306">
        <f ca="1">IFERROR(__xludf.DUMMYFUNCTION("IMPORTRANGE(""https://docs.google.com/spreadsheets/d/1C3CXT74ZlgGe6_JY_1olB1XN4rF0dxEuIIF-xsYjHgg/edit?usp=sharing"",""งบกองทุน!X34"")"),20)</f>
        <v>20</v>
      </c>
      <c r="M30" s="306">
        <f ca="1">IFERROR(__xludf.DUMMYFUNCTION("IMPORTRANGE(""https://docs.google.com/spreadsheets/d/11923uPwbBZFjjGgGUA6NLw09EwE0CqkOc4q9oUmW1yo/edit?usp=sharing"",""สุโขทัย!J292"")"),0)</f>
        <v>0</v>
      </c>
      <c r="N30" s="309">
        <f t="shared" ca="1" si="5"/>
        <v>0</v>
      </c>
      <c r="O30" s="306">
        <f ca="1">IFERROR(__xludf.DUMMYFUNCTION("IMPORTRANGE(""https://docs.google.com/spreadsheets/d/11923uPwbBZFjjGgGUA6NLw09EwE0CqkOc4q9oUmW1yo/edit?usp=sharing"",""สุโขทัย!J293"")"),0)</f>
        <v>0</v>
      </c>
      <c r="P30" s="359">
        <f t="shared" ca="1" si="6"/>
        <v>0</v>
      </c>
      <c r="Q30" s="339"/>
      <c r="R30" s="339"/>
      <c r="S30" s="339"/>
      <c r="T30" s="339"/>
      <c r="U30" s="339"/>
      <c r="V30" s="339"/>
      <c r="W30" s="339"/>
      <c r="X30" s="339"/>
      <c r="Y30" s="339"/>
      <c r="Z30" s="339"/>
    </row>
    <row r="31" spans="1:26" ht="21" customHeight="1">
      <c r="A31" s="303">
        <v>16</v>
      </c>
      <c r="B31" s="304" t="s">
        <v>55</v>
      </c>
      <c r="C31" s="305">
        <f t="shared" ca="1" si="22"/>
        <v>1028520</v>
      </c>
      <c r="D31" s="306">
        <f ca="1">IFERROR(__xludf.DUMMYFUNCTION("IMPORTRANGE(""https://docs.google.com/spreadsheets/d/1C3CXT74ZlgGe6_JY_1olB1XN4rF0dxEuIIF-xsYjHgg/edit?usp=sharing"",""งบกองทุน!R35"")"),0)</f>
        <v>0</v>
      </c>
      <c r="E31" s="306">
        <f ca="1">IFERROR(__xludf.DUMMYFUNCTION("IMPORTRANGE(""https://docs.google.com/spreadsheets/d/1C3CXT74ZlgGe6_JY_1olB1XN4rF0dxEuIIF-xsYjHgg/edit?usp=sharing"",""งบกองทุน!S35"")"),1028520)</f>
        <v>1028520</v>
      </c>
      <c r="F31" s="307">
        <f ca="1">IFERROR(__xludf.DUMMYFUNCTION("IMPORTRANGE(""https://docs.google.com/spreadsheets/d/11923uPwbBZFjjGgGUA6NLw09EwE0CqkOc4q9oUmW1yo/edit?usp=sharing"",""อุตรดิตถ์!M278"")"),261454.8)</f>
        <v>261454.8</v>
      </c>
      <c r="G31" s="307">
        <f t="shared" ca="1" si="1"/>
        <v>25.420487691051218</v>
      </c>
      <c r="H31" s="306">
        <f ca="1">IFERROR(__xludf.DUMMYFUNCTION("IMPORTRANGE(""https://docs.google.com/spreadsheets/d/1C3CXT74ZlgGe6_JY_1olB1XN4rF0dxEuIIF-xsYjHgg/edit?usp=sharing"",""งบกองทุน!V35"")"),100)</f>
        <v>100</v>
      </c>
      <c r="I31" s="306">
        <f ca="1">IFERROR(__xludf.DUMMYFUNCTION("IMPORTRANGE(""https://docs.google.com/spreadsheets/d/11923uPwbBZFjjGgGUA6NLw09EwE0CqkOc4q9oUmW1yo/edit?usp=sharing"",""อุตรดิตถ์!J291"")"),100)</f>
        <v>100</v>
      </c>
      <c r="J31" s="309">
        <f t="shared" ca="1" si="3"/>
        <v>100</v>
      </c>
      <c r="K31" s="306">
        <f ca="1">IFERROR(__xludf.DUMMYFUNCTION("IMPORTRANGE(""https://docs.google.com/spreadsheets/d/1C3CXT74ZlgGe6_JY_1olB1XN4rF0dxEuIIF-xsYjHgg/edit?usp=sharing"",""งบกองทุน!W35"")"),1000)</f>
        <v>1000</v>
      </c>
      <c r="L31" s="306">
        <f ca="1">IFERROR(__xludf.DUMMYFUNCTION("IMPORTRANGE(""https://docs.google.com/spreadsheets/d/1C3CXT74ZlgGe6_JY_1olB1XN4rF0dxEuIIF-xsYjHgg/edit?usp=sharing"",""งบกองทุน!X35"")"),100)</f>
        <v>100</v>
      </c>
      <c r="M31" s="306">
        <f ca="1">IFERROR(__xludf.DUMMYFUNCTION("IMPORTRANGE(""https://docs.google.com/spreadsheets/d/11923uPwbBZFjjGgGUA6NLw09EwE0CqkOc4q9oUmW1yo/edit?usp=sharing"",""อุตรดิตถ์!J292"")"),0)</f>
        <v>0</v>
      </c>
      <c r="N31" s="309">
        <f t="shared" ca="1" si="5"/>
        <v>0</v>
      </c>
      <c r="O31" s="306">
        <f ca="1">IFERROR(__xludf.DUMMYFUNCTION("IMPORTRANGE(""https://docs.google.com/spreadsheets/d/11923uPwbBZFjjGgGUA6NLw09EwE0CqkOc4q9oUmW1yo/edit?usp=sharing"",""อุตรดิตถ์!J293"")"),0)</f>
        <v>0</v>
      </c>
      <c r="P31" s="359">
        <f t="shared" ca="1" si="6"/>
        <v>0</v>
      </c>
      <c r="Q31" s="339"/>
      <c r="R31" s="339"/>
      <c r="S31" s="339"/>
      <c r="T31" s="339"/>
      <c r="U31" s="339"/>
      <c r="V31" s="339"/>
      <c r="W31" s="339"/>
      <c r="X31" s="339"/>
      <c r="Y31" s="339"/>
      <c r="Z31" s="339"/>
    </row>
    <row r="32" spans="1:26" ht="21" customHeight="1">
      <c r="A32" s="310">
        <v>17</v>
      </c>
      <c r="B32" s="311" t="s">
        <v>56</v>
      </c>
      <c r="C32" s="312">
        <f t="shared" ca="1" si="22"/>
        <v>1028520</v>
      </c>
      <c r="D32" s="313">
        <f ca="1">IFERROR(__xludf.DUMMYFUNCTION("IMPORTRANGE(""https://docs.google.com/spreadsheets/d/1C3CXT74ZlgGe6_JY_1olB1XN4rF0dxEuIIF-xsYjHgg/edit?usp=sharing"",""งบกองทุน!R36"")"),0)</f>
        <v>0</v>
      </c>
      <c r="E32" s="313">
        <f ca="1">IFERROR(__xludf.DUMMYFUNCTION("IMPORTRANGE(""https://docs.google.com/spreadsheets/d/1C3CXT74ZlgGe6_JY_1olB1XN4rF0dxEuIIF-xsYjHgg/edit?usp=sharing"",""งบกองทุน!S36"")"),1028520)</f>
        <v>1028520</v>
      </c>
      <c r="F32" s="314">
        <f ca="1">IFERROR(__xludf.DUMMYFUNCTION("IMPORTRANGE(""https://docs.google.com/spreadsheets/d/11923uPwbBZFjjGgGUA6NLw09EwE0CqkOc4q9oUmW1yo/edit?usp=sharing"",""อุทัยธานี!M278"")"),194251)</f>
        <v>194251</v>
      </c>
      <c r="G32" s="314">
        <f t="shared" ca="1" si="1"/>
        <v>18.886458211799479</v>
      </c>
      <c r="H32" s="313">
        <f ca="1">IFERROR(__xludf.DUMMYFUNCTION("IMPORTRANGE(""https://docs.google.com/spreadsheets/d/1C3CXT74ZlgGe6_JY_1olB1XN4rF0dxEuIIF-xsYjHgg/edit?usp=sharing"",""งบกองทุน!V36"")"),100)</f>
        <v>100</v>
      </c>
      <c r="I32" s="313">
        <f ca="1">IFERROR(__xludf.DUMMYFUNCTION("IMPORTRANGE(""https://docs.google.com/spreadsheets/d/11923uPwbBZFjjGgGUA6NLw09EwE0CqkOc4q9oUmW1yo/edit?usp=sharing"",""อุทัยธานี!J291"")"),100)</f>
        <v>100</v>
      </c>
      <c r="J32" s="316">
        <f t="shared" ca="1" si="3"/>
        <v>100</v>
      </c>
      <c r="K32" s="313">
        <f ca="1">IFERROR(__xludf.DUMMYFUNCTION("IMPORTRANGE(""https://docs.google.com/spreadsheets/d/1C3CXT74ZlgGe6_JY_1olB1XN4rF0dxEuIIF-xsYjHgg/edit?usp=sharing"",""งบกองทุน!W36"")"),1000)</f>
        <v>1000</v>
      </c>
      <c r="L32" s="313">
        <f ca="1">IFERROR(__xludf.DUMMYFUNCTION("IMPORTRANGE(""https://docs.google.com/spreadsheets/d/1C3CXT74ZlgGe6_JY_1olB1XN4rF0dxEuIIF-xsYjHgg/edit?usp=sharing"",""งบกองทุน!X36"")"),100)</f>
        <v>100</v>
      </c>
      <c r="M32" s="313">
        <f ca="1">IFERROR(__xludf.DUMMYFUNCTION("IMPORTRANGE(""https://docs.google.com/spreadsheets/d/11923uPwbBZFjjGgGUA6NLw09EwE0CqkOc4q9oUmW1yo/edit?usp=sharing"",""อุทัยธานี!J292"")"),0)</f>
        <v>0</v>
      </c>
      <c r="N32" s="316">
        <f t="shared" ca="1" si="5"/>
        <v>0</v>
      </c>
      <c r="O32" s="313">
        <f ca="1">IFERROR(__xludf.DUMMYFUNCTION("IMPORTRANGE(""https://docs.google.com/spreadsheets/d/11923uPwbBZFjjGgGUA6NLw09EwE0CqkOc4q9oUmW1yo/edit?usp=sharing"",""อุทัยธานี!J293"")"),0)</f>
        <v>0</v>
      </c>
      <c r="P32" s="360">
        <f t="shared" ca="1" si="6"/>
        <v>0</v>
      </c>
      <c r="Q32" s="339"/>
      <c r="R32" s="339"/>
      <c r="S32" s="339"/>
      <c r="T32" s="339"/>
      <c r="U32" s="339"/>
      <c r="V32" s="339"/>
      <c r="W32" s="339"/>
      <c r="X32" s="339"/>
      <c r="Y32" s="339"/>
      <c r="Z32" s="339"/>
    </row>
    <row r="33" spans="1:26" ht="21" customHeight="1">
      <c r="A33" s="800" t="s">
        <v>57</v>
      </c>
      <c r="B33" s="678"/>
      <c r="C33" s="317">
        <f t="shared" ref="C33:F33" ca="1" si="23">SUM(C34:C53)</f>
        <v>18296880</v>
      </c>
      <c r="D33" s="318">
        <f t="shared" ca="1" si="23"/>
        <v>0</v>
      </c>
      <c r="E33" s="318">
        <f t="shared" ca="1" si="23"/>
        <v>18296880</v>
      </c>
      <c r="F33" s="319">
        <f t="shared" ca="1" si="23"/>
        <v>3853946.669999999</v>
      </c>
      <c r="G33" s="319">
        <f t="shared" ca="1" si="1"/>
        <v>21.063409007437325</v>
      </c>
      <c r="H33" s="318">
        <f t="shared" ref="H33:I33" ca="1" si="24">SUM(H34:H53)</f>
        <v>1800</v>
      </c>
      <c r="I33" s="318">
        <f t="shared" ca="1" si="24"/>
        <v>1760</v>
      </c>
      <c r="J33" s="319">
        <f t="shared" ca="1" si="3"/>
        <v>97.777777777777771</v>
      </c>
      <c r="K33" s="318">
        <f t="shared" ref="K33:M33" ca="1" si="25">SUM(K34:K53)</f>
        <v>18000</v>
      </c>
      <c r="L33" s="318">
        <f t="shared" ca="1" si="25"/>
        <v>1800</v>
      </c>
      <c r="M33" s="318">
        <f t="shared" ca="1" si="25"/>
        <v>1500</v>
      </c>
      <c r="N33" s="319">
        <f t="shared" ca="1" si="5"/>
        <v>8.3333333333333339</v>
      </c>
      <c r="O33" s="318">
        <f ca="1">SUM(O34:O53)</f>
        <v>150</v>
      </c>
      <c r="P33" s="361">
        <f t="shared" ca="1" si="6"/>
        <v>8.3333333333333339</v>
      </c>
      <c r="Q33" s="339"/>
      <c r="R33" s="339"/>
      <c r="S33" s="339"/>
      <c r="T33" s="339"/>
      <c r="U33" s="339"/>
      <c r="V33" s="339"/>
      <c r="W33" s="339"/>
      <c r="X33" s="339"/>
      <c r="Y33" s="339"/>
      <c r="Z33" s="339"/>
    </row>
    <row r="34" spans="1:26" ht="21" customHeight="1">
      <c r="A34" s="293">
        <v>1</v>
      </c>
      <c r="B34" s="357" t="s">
        <v>58</v>
      </c>
      <c r="C34" s="295">
        <f t="shared" ref="C34:C53" ca="1" si="26">+D34+E34</f>
        <v>1028520</v>
      </c>
      <c r="D34" s="296">
        <f ca="1">IFERROR(__xludf.DUMMYFUNCTION("IMPORTRANGE(""https://docs.google.com/spreadsheets/d/1C3CXT74ZlgGe6_JY_1olB1XN4rF0dxEuIIF-xsYjHgg/edit?usp=sharing"",""งบกองทุน!R38"")"),0)</f>
        <v>0</v>
      </c>
      <c r="E34" s="296">
        <f ca="1">IFERROR(__xludf.DUMMYFUNCTION("IMPORTRANGE(""https://docs.google.com/spreadsheets/d/1C3CXT74ZlgGe6_JY_1olB1XN4rF0dxEuIIF-xsYjHgg/edit?usp=sharing"",""งบกองทุน!S38"")"),1028520)</f>
        <v>1028520</v>
      </c>
      <c r="F34" s="297">
        <f ca="1">IFERROR(__xludf.DUMMYFUNCTION("IMPORTRANGE(""https://docs.google.com/spreadsheets/d/1XL5vhW3sbDhbH9Cz0tuDiY8C3ctxq1tqvaCgkFb8cCA/edit?usp=sharing"",""กาฬสินธุ์!M278"")"),219712)</f>
        <v>219712</v>
      </c>
      <c r="G34" s="297">
        <f t="shared" ca="1" si="1"/>
        <v>21.361956986738225</v>
      </c>
      <c r="H34" s="296">
        <f ca="1">IFERROR(__xludf.DUMMYFUNCTION("IMPORTRANGE(""https://docs.google.com/spreadsheets/d/1C3CXT74ZlgGe6_JY_1olB1XN4rF0dxEuIIF-xsYjHgg/edit?usp=sharing"",""งบกองทุน!V38"")"),100)</f>
        <v>100</v>
      </c>
      <c r="I34" s="296">
        <f ca="1">IFERROR(__xludf.DUMMYFUNCTION("IMPORTRANGE(""https://docs.google.com/spreadsheets/d/1XL5vhW3sbDhbH9Cz0tuDiY8C3ctxq1tqvaCgkFb8cCA/edit?usp=sharing"",""กาฬสินธุ์!J291"")"),100)</f>
        <v>100</v>
      </c>
      <c r="J34" s="301">
        <f t="shared" ca="1" si="3"/>
        <v>100</v>
      </c>
      <c r="K34" s="296">
        <f ca="1">IFERROR(__xludf.DUMMYFUNCTION("IMPORTRANGE(""https://docs.google.com/spreadsheets/d/1C3CXT74ZlgGe6_JY_1olB1XN4rF0dxEuIIF-xsYjHgg/edit?usp=sharing"",""งบกองทุน!W38"")"),1000)</f>
        <v>1000</v>
      </c>
      <c r="L34" s="296">
        <f ca="1">IFERROR(__xludf.DUMMYFUNCTION("IMPORTRANGE(""https://docs.google.com/spreadsheets/d/1C3CXT74ZlgGe6_JY_1olB1XN4rF0dxEuIIF-xsYjHgg/edit?usp=sharing"",""งบกองทุน!X38"")"),100)</f>
        <v>100</v>
      </c>
      <c r="M34" s="296">
        <f ca="1">IFERROR(__xludf.DUMMYFUNCTION("IMPORTRANGE(""https://docs.google.com/spreadsheets/d/1XL5vhW3sbDhbH9Cz0tuDiY8C3ctxq1tqvaCgkFb8cCA/edit?usp=sharing"",""กาฬสินธุ์!J292"")"),0)</f>
        <v>0</v>
      </c>
      <c r="N34" s="301">
        <f t="shared" ca="1" si="5"/>
        <v>0</v>
      </c>
      <c r="O34" s="296">
        <f ca="1">IFERROR(__xludf.DUMMYFUNCTION("IMPORTRANGE(""https://docs.google.com/spreadsheets/d/1XL5vhW3sbDhbH9Cz0tuDiY8C3ctxq1tqvaCgkFb8cCA/edit?usp=sharing"",""กาฬสินธุ์!J293"")"),0)</f>
        <v>0</v>
      </c>
      <c r="P34" s="358">
        <f t="shared" ca="1" si="6"/>
        <v>0</v>
      </c>
      <c r="Q34" s="339"/>
      <c r="R34" s="339"/>
      <c r="S34" s="339"/>
      <c r="T34" s="339"/>
      <c r="U34" s="339"/>
      <c r="V34" s="339"/>
      <c r="W34" s="339"/>
      <c r="X34" s="339"/>
      <c r="Y34" s="339"/>
      <c r="Z34" s="339"/>
    </row>
    <row r="35" spans="1:26" ht="21" customHeight="1">
      <c r="A35" s="303">
        <v>2</v>
      </c>
      <c r="B35" s="304" t="s">
        <v>59</v>
      </c>
      <c r="C35" s="305">
        <f t="shared" ca="1" si="26"/>
        <v>1028520</v>
      </c>
      <c r="D35" s="306">
        <f ca="1">IFERROR(__xludf.DUMMYFUNCTION("IMPORTRANGE(""https://docs.google.com/spreadsheets/d/1C3CXT74ZlgGe6_JY_1olB1XN4rF0dxEuIIF-xsYjHgg/edit?usp=sharing"",""งบกองทุน!R39"")"),0)</f>
        <v>0</v>
      </c>
      <c r="E35" s="306">
        <f ca="1">IFERROR(__xludf.DUMMYFUNCTION("IMPORTRANGE(""https://docs.google.com/spreadsheets/d/1C3CXT74ZlgGe6_JY_1olB1XN4rF0dxEuIIF-xsYjHgg/edit?usp=sharing"",""งบกองทุน!S39"")"),1028520)</f>
        <v>1028520</v>
      </c>
      <c r="F35" s="307">
        <f ca="1">IFERROR(__xludf.DUMMYFUNCTION("IMPORTRANGE(""https://docs.google.com/spreadsheets/d/1XL5vhW3sbDhbH9Cz0tuDiY8C3ctxq1tqvaCgkFb8cCA/edit?usp=sharing"",""ขอนแก่น!M278"")"),172305.48)</f>
        <v>172305.48</v>
      </c>
      <c r="G35" s="307">
        <f t="shared" ca="1" si="1"/>
        <v>16.752759304631898</v>
      </c>
      <c r="H35" s="306">
        <f ca="1">IFERROR(__xludf.DUMMYFUNCTION("IMPORTRANGE(""https://docs.google.com/spreadsheets/d/1C3CXT74ZlgGe6_JY_1olB1XN4rF0dxEuIIF-xsYjHgg/edit?usp=sharing"",""งบกองทุน!V39"")"),100)</f>
        <v>100</v>
      </c>
      <c r="I35" s="306">
        <f ca="1">IFERROR(__xludf.DUMMYFUNCTION("IMPORTRANGE(""https://docs.google.com/spreadsheets/d/1XL5vhW3sbDhbH9Cz0tuDiY8C3ctxq1tqvaCgkFb8cCA/edit?usp=sharing"",""ขอนแก่น!J291"")"),100)</f>
        <v>100</v>
      </c>
      <c r="J35" s="309">
        <f t="shared" ca="1" si="3"/>
        <v>100</v>
      </c>
      <c r="K35" s="306">
        <f ca="1">IFERROR(__xludf.DUMMYFUNCTION("IMPORTRANGE(""https://docs.google.com/spreadsheets/d/1C3CXT74ZlgGe6_JY_1olB1XN4rF0dxEuIIF-xsYjHgg/edit?usp=sharing"",""งบกองทุน!W39"")"),1000)</f>
        <v>1000</v>
      </c>
      <c r="L35" s="306">
        <f ca="1">IFERROR(__xludf.DUMMYFUNCTION("IMPORTRANGE(""https://docs.google.com/spreadsheets/d/1C3CXT74ZlgGe6_JY_1olB1XN4rF0dxEuIIF-xsYjHgg/edit?usp=sharing"",""งบกองทุน!X39"")"),100)</f>
        <v>100</v>
      </c>
      <c r="M35" s="306">
        <f ca="1">IFERROR(__xludf.DUMMYFUNCTION("IMPORTRANGE(""https://docs.google.com/spreadsheets/d/1XL5vhW3sbDhbH9Cz0tuDiY8C3ctxq1tqvaCgkFb8cCA/edit?usp=sharing"",""ขอนแก่น!J292"")"),0)</f>
        <v>0</v>
      </c>
      <c r="N35" s="309">
        <f t="shared" ca="1" si="5"/>
        <v>0</v>
      </c>
      <c r="O35" s="306">
        <f ca="1">IFERROR(__xludf.DUMMYFUNCTION("IMPORTRANGE(""https://docs.google.com/spreadsheets/d/1XL5vhW3sbDhbH9Cz0tuDiY8C3ctxq1tqvaCgkFb8cCA/edit?usp=sharing"",""ขอนแก่น!J293"")"),0)</f>
        <v>0</v>
      </c>
      <c r="P35" s="359">
        <f t="shared" ca="1" si="6"/>
        <v>0</v>
      </c>
      <c r="Q35" s="339"/>
      <c r="R35" s="339"/>
      <c r="S35" s="339"/>
      <c r="T35" s="339"/>
      <c r="U35" s="339"/>
      <c r="V35" s="339"/>
      <c r="W35" s="339"/>
      <c r="X35" s="339"/>
      <c r="Y35" s="339"/>
      <c r="Z35" s="339"/>
    </row>
    <row r="36" spans="1:26" ht="21" customHeight="1">
      <c r="A36" s="303">
        <v>3</v>
      </c>
      <c r="B36" s="304" t="s">
        <v>60</v>
      </c>
      <c r="C36" s="305">
        <f t="shared" ca="1" si="26"/>
        <v>1028520</v>
      </c>
      <c r="D36" s="306">
        <f ca="1">IFERROR(__xludf.DUMMYFUNCTION("IMPORTRANGE(""https://docs.google.com/spreadsheets/d/1C3CXT74ZlgGe6_JY_1olB1XN4rF0dxEuIIF-xsYjHgg/edit?usp=sharing"",""งบกองทุน!R40"")"),0)</f>
        <v>0</v>
      </c>
      <c r="E36" s="306">
        <f ca="1">IFERROR(__xludf.DUMMYFUNCTION("IMPORTRANGE(""https://docs.google.com/spreadsheets/d/1C3CXT74ZlgGe6_JY_1olB1XN4rF0dxEuIIF-xsYjHgg/edit?usp=sharing"",""งบกองทุน!S40"")"),1028520)</f>
        <v>1028520</v>
      </c>
      <c r="F36" s="307">
        <f ca="1">IFERROR(__xludf.DUMMYFUNCTION("IMPORTRANGE(""https://docs.google.com/spreadsheets/d/1XL5vhW3sbDhbH9Cz0tuDiY8C3ctxq1tqvaCgkFb8cCA/edit?usp=sharing"",""ชัยภูมิ!M278"")"),96967)</f>
        <v>96967</v>
      </c>
      <c r="G36" s="307">
        <f t="shared" ca="1" si="1"/>
        <v>9.4278186131528798</v>
      </c>
      <c r="H36" s="306">
        <f ca="1">IFERROR(__xludf.DUMMYFUNCTION("IMPORTRANGE(""https://docs.google.com/spreadsheets/d/1C3CXT74ZlgGe6_JY_1olB1XN4rF0dxEuIIF-xsYjHgg/edit?usp=sharing"",""งบกองทุน!V40"")"),100)</f>
        <v>100</v>
      </c>
      <c r="I36" s="306">
        <f ca="1">IFERROR(__xludf.DUMMYFUNCTION("IMPORTRANGE(""https://docs.google.com/spreadsheets/d/1XL5vhW3sbDhbH9Cz0tuDiY8C3ctxq1tqvaCgkFb8cCA/edit?usp=sharing"",""ชัยภูมิ!J291"")"),60)</f>
        <v>60</v>
      </c>
      <c r="J36" s="309">
        <f t="shared" ca="1" si="3"/>
        <v>60</v>
      </c>
      <c r="K36" s="306">
        <f ca="1">IFERROR(__xludf.DUMMYFUNCTION("IMPORTRANGE(""https://docs.google.com/spreadsheets/d/1C3CXT74ZlgGe6_JY_1olB1XN4rF0dxEuIIF-xsYjHgg/edit?usp=sharing"",""งบกองทุน!W40"")"),1000)</f>
        <v>1000</v>
      </c>
      <c r="L36" s="306">
        <f ca="1">IFERROR(__xludf.DUMMYFUNCTION("IMPORTRANGE(""https://docs.google.com/spreadsheets/d/1C3CXT74ZlgGe6_JY_1olB1XN4rF0dxEuIIF-xsYjHgg/edit?usp=sharing"",""งบกองทุน!X40"")"),100)</f>
        <v>100</v>
      </c>
      <c r="M36" s="306">
        <f ca="1">IFERROR(__xludf.DUMMYFUNCTION("IMPORTRANGE(""https://docs.google.com/spreadsheets/d/1XL5vhW3sbDhbH9Cz0tuDiY8C3ctxq1tqvaCgkFb8cCA/edit?usp=sharing"",""ชัยภูมิ!J292"")"),0)</f>
        <v>0</v>
      </c>
      <c r="N36" s="309">
        <f t="shared" ca="1" si="5"/>
        <v>0</v>
      </c>
      <c r="O36" s="306">
        <f ca="1">IFERROR(__xludf.DUMMYFUNCTION("IMPORTRANGE(""https://docs.google.com/spreadsheets/d/1XL5vhW3sbDhbH9Cz0tuDiY8C3ctxq1tqvaCgkFb8cCA/edit?usp=sharing"",""ชัยภูมิ!J293"")"),0)</f>
        <v>0</v>
      </c>
      <c r="P36" s="359">
        <f t="shared" ca="1" si="6"/>
        <v>0</v>
      </c>
      <c r="Q36" s="339"/>
      <c r="R36" s="339"/>
      <c r="S36" s="339"/>
      <c r="T36" s="339"/>
      <c r="U36" s="339"/>
      <c r="V36" s="339"/>
      <c r="W36" s="339"/>
      <c r="X36" s="339"/>
      <c r="Y36" s="339"/>
      <c r="Z36" s="339"/>
    </row>
    <row r="37" spans="1:26" ht="21" customHeight="1">
      <c r="A37" s="303">
        <v>4</v>
      </c>
      <c r="B37" s="304" t="s">
        <v>61</v>
      </c>
      <c r="C37" s="305">
        <f t="shared" ca="1" si="26"/>
        <v>1028520</v>
      </c>
      <c r="D37" s="306">
        <f ca="1">IFERROR(__xludf.DUMMYFUNCTION("IMPORTRANGE(""https://docs.google.com/spreadsheets/d/1C3CXT74ZlgGe6_JY_1olB1XN4rF0dxEuIIF-xsYjHgg/edit?usp=sharing"",""งบกองทุน!R41"")"),0)</f>
        <v>0</v>
      </c>
      <c r="E37" s="306">
        <f ca="1">IFERROR(__xludf.DUMMYFUNCTION("IMPORTRANGE(""https://docs.google.com/spreadsheets/d/1C3CXT74ZlgGe6_JY_1olB1XN4rF0dxEuIIF-xsYjHgg/edit?usp=sharing"",""งบกองทุน!S41"")"),1028520)</f>
        <v>1028520</v>
      </c>
      <c r="F37" s="307">
        <f ca="1">IFERROR(__xludf.DUMMYFUNCTION("IMPORTRANGE(""https://docs.google.com/spreadsheets/d/1XL5vhW3sbDhbH9Cz0tuDiY8C3ctxq1tqvaCgkFb8cCA/edit?usp=sharing"",""นครพนม!M278"")"),149188.65)</f>
        <v>149188.65</v>
      </c>
      <c r="G37" s="307">
        <f t="shared" ca="1" si="1"/>
        <v>14.505177342200444</v>
      </c>
      <c r="H37" s="306">
        <f ca="1">IFERROR(__xludf.DUMMYFUNCTION("IMPORTRANGE(""https://docs.google.com/spreadsheets/d/1C3CXT74ZlgGe6_JY_1olB1XN4rF0dxEuIIF-xsYjHgg/edit?usp=sharing"",""งบกองทุน!V41"")"),100)</f>
        <v>100</v>
      </c>
      <c r="I37" s="306">
        <f ca="1">IFERROR(__xludf.DUMMYFUNCTION("IMPORTRANGE(""https://docs.google.com/spreadsheets/d/1XL5vhW3sbDhbH9Cz0tuDiY8C3ctxq1tqvaCgkFb8cCA/edit?usp=sharing"",""นครพนม!J291"")"),100)</f>
        <v>100</v>
      </c>
      <c r="J37" s="309">
        <f t="shared" ca="1" si="3"/>
        <v>100</v>
      </c>
      <c r="K37" s="306">
        <f ca="1">IFERROR(__xludf.DUMMYFUNCTION("IMPORTRANGE(""https://docs.google.com/spreadsheets/d/1C3CXT74ZlgGe6_JY_1olB1XN4rF0dxEuIIF-xsYjHgg/edit?usp=sharing"",""งบกองทุน!W41"")"),1000)</f>
        <v>1000</v>
      </c>
      <c r="L37" s="306">
        <f ca="1">IFERROR(__xludf.DUMMYFUNCTION("IMPORTRANGE(""https://docs.google.com/spreadsheets/d/1C3CXT74ZlgGe6_JY_1olB1XN4rF0dxEuIIF-xsYjHgg/edit?usp=sharing"",""งบกองทุน!X41"")"),100)</f>
        <v>100</v>
      </c>
      <c r="M37" s="306">
        <f ca="1">IFERROR(__xludf.DUMMYFUNCTION("IMPORTRANGE(""https://docs.google.com/spreadsheets/d/1XL5vhW3sbDhbH9Cz0tuDiY8C3ctxq1tqvaCgkFb8cCA/edit?usp=sharing"",""นครพนม!J292"")"),0)</f>
        <v>0</v>
      </c>
      <c r="N37" s="309">
        <f t="shared" ca="1" si="5"/>
        <v>0</v>
      </c>
      <c r="O37" s="306">
        <f ca="1">IFERROR(__xludf.DUMMYFUNCTION("IMPORTRANGE(""https://docs.google.com/spreadsheets/d/1XL5vhW3sbDhbH9Cz0tuDiY8C3ctxq1tqvaCgkFb8cCA/edit?usp=sharing"",""นครพนม!J293"")"),0)</f>
        <v>0</v>
      </c>
      <c r="P37" s="359">
        <f t="shared" ca="1" si="6"/>
        <v>0</v>
      </c>
      <c r="Q37" s="339"/>
      <c r="R37" s="339"/>
      <c r="S37" s="339"/>
      <c r="T37" s="339"/>
      <c r="U37" s="339"/>
      <c r="V37" s="339"/>
      <c r="W37" s="339"/>
      <c r="X37" s="339"/>
      <c r="Y37" s="339"/>
      <c r="Z37" s="339"/>
    </row>
    <row r="38" spans="1:26" ht="21" customHeight="1">
      <c r="A38" s="303">
        <v>5</v>
      </c>
      <c r="B38" s="304" t="s">
        <v>62</v>
      </c>
      <c r="C38" s="305">
        <f t="shared" ca="1" si="26"/>
        <v>1028520</v>
      </c>
      <c r="D38" s="306">
        <f ca="1">IFERROR(__xludf.DUMMYFUNCTION("IMPORTRANGE(""https://docs.google.com/spreadsheets/d/1C3CXT74ZlgGe6_JY_1olB1XN4rF0dxEuIIF-xsYjHgg/edit?usp=sharing"",""งบกองทุน!R42"")"),0)</f>
        <v>0</v>
      </c>
      <c r="E38" s="306">
        <f ca="1">IFERROR(__xludf.DUMMYFUNCTION("IMPORTRANGE(""https://docs.google.com/spreadsheets/d/1C3CXT74ZlgGe6_JY_1olB1XN4rF0dxEuIIF-xsYjHgg/edit?usp=sharing"",""งบกองทุน!S42"")"),1028520)</f>
        <v>1028520</v>
      </c>
      <c r="F38" s="307">
        <f ca="1">IFERROR(__xludf.DUMMYFUNCTION("IMPORTRANGE(""https://docs.google.com/spreadsheets/d/1XL5vhW3sbDhbH9Cz0tuDiY8C3ctxq1tqvaCgkFb8cCA/edit?usp=sharing"",""นครราชสีมา!M278"")"),123560)</f>
        <v>123560</v>
      </c>
      <c r="G38" s="307">
        <f t="shared" ca="1" si="1"/>
        <v>12.013378446700113</v>
      </c>
      <c r="H38" s="306">
        <f ca="1">IFERROR(__xludf.DUMMYFUNCTION("IMPORTRANGE(""https://docs.google.com/spreadsheets/d/1C3CXT74ZlgGe6_JY_1olB1XN4rF0dxEuIIF-xsYjHgg/edit?usp=sharing"",""งบกองทุน!V42"")"),100)</f>
        <v>100</v>
      </c>
      <c r="I38" s="306">
        <f ca="1">IFERROR(__xludf.DUMMYFUNCTION("IMPORTRANGE(""https://docs.google.com/spreadsheets/d/1XL5vhW3sbDhbH9Cz0tuDiY8C3ctxq1tqvaCgkFb8cCA/edit?usp=sharing"",""นครราชสีมา!J291"")"),100)</f>
        <v>100</v>
      </c>
      <c r="J38" s="309">
        <f t="shared" ca="1" si="3"/>
        <v>100</v>
      </c>
      <c r="K38" s="306">
        <f ca="1">IFERROR(__xludf.DUMMYFUNCTION("IMPORTRANGE(""https://docs.google.com/spreadsheets/d/1C3CXT74ZlgGe6_JY_1olB1XN4rF0dxEuIIF-xsYjHgg/edit?usp=sharing"",""งบกองทุน!W42"")"),1000)</f>
        <v>1000</v>
      </c>
      <c r="L38" s="306">
        <f ca="1">IFERROR(__xludf.DUMMYFUNCTION("IMPORTRANGE(""https://docs.google.com/spreadsheets/d/1C3CXT74ZlgGe6_JY_1olB1XN4rF0dxEuIIF-xsYjHgg/edit?usp=sharing"",""งบกองทุน!X42"")"),100)</f>
        <v>100</v>
      </c>
      <c r="M38" s="306">
        <f ca="1">IFERROR(__xludf.DUMMYFUNCTION("IMPORTRANGE(""https://docs.google.com/spreadsheets/d/1XL5vhW3sbDhbH9Cz0tuDiY8C3ctxq1tqvaCgkFb8cCA/edit?usp=sharing"",""นครราชสีมา!J292"")"),0)</f>
        <v>0</v>
      </c>
      <c r="N38" s="309">
        <f t="shared" ca="1" si="5"/>
        <v>0</v>
      </c>
      <c r="O38" s="306">
        <f ca="1">IFERROR(__xludf.DUMMYFUNCTION("IMPORTRANGE(""https://docs.google.com/spreadsheets/d/1XL5vhW3sbDhbH9Cz0tuDiY8C3ctxq1tqvaCgkFb8cCA/edit?usp=sharing"",""นครราชสีมา!J293"")"),0)</f>
        <v>0</v>
      </c>
      <c r="P38" s="359">
        <f t="shared" ca="1" si="6"/>
        <v>0</v>
      </c>
      <c r="Q38" s="339"/>
      <c r="R38" s="339"/>
      <c r="S38" s="339"/>
      <c r="T38" s="339"/>
      <c r="U38" s="339"/>
      <c r="V38" s="339"/>
      <c r="W38" s="339"/>
      <c r="X38" s="339"/>
      <c r="Y38" s="339"/>
      <c r="Z38" s="339"/>
    </row>
    <row r="39" spans="1:26" ht="21" customHeight="1">
      <c r="A39" s="303">
        <v>6</v>
      </c>
      <c r="B39" s="304" t="s">
        <v>63</v>
      </c>
      <c r="C39" s="305">
        <f t="shared" ca="1" si="26"/>
        <v>1028520</v>
      </c>
      <c r="D39" s="306">
        <f ca="1">IFERROR(__xludf.DUMMYFUNCTION("IMPORTRANGE(""https://docs.google.com/spreadsheets/d/1C3CXT74ZlgGe6_JY_1olB1XN4rF0dxEuIIF-xsYjHgg/edit?usp=sharing"",""งบกองทุน!R43"")"),0)</f>
        <v>0</v>
      </c>
      <c r="E39" s="306">
        <f ca="1">IFERROR(__xludf.DUMMYFUNCTION("IMPORTRANGE(""https://docs.google.com/spreadsheets/d/1C3CXT74ZlgGe6_JY_1olB1XN4rF0dxEuIIF-xsYjHgg/edit?usp=sharing"",""งบกองทุน!S43"")"),1028520)</f>
        <v>1028520</v>
      </c>
      <c r="F39" s="307">
        <f ca="1">IFERROR(__xludf.DUMMYFUNCTION("IMPORTRANGE(""https://docs.google.com/spreadsheets/d/1XL5vhW3sbDhbH9Cz0tuDiY8C3ctxq1tqvaCgkFb8cCA/edit?usp=sharing"",""บึงกาฬ!M278"")"),182805)</f>
        <v>182805</v>
      </c>
      <c r="G39" s="307">
        <f t="shared" ca="1" si="1"/>
        <v>17.773597013183991</v>
      </c>
      <c r="H39" s="306">
        <f ca="1">IFERROR(__xludf.DUMMYFUNCTION("IMPORTRANGE(""https://docs.google.com/spreadsheets/d/1C3CXT74ZlgGe6_JY_1olB1XN4rF0dxEuIIF-xsYjHgg/edit?usp=sharing"",""งบกองทุน!V43"")"),100)</f>
        <v>100</v>
      </c>
      <c r="I39" s="306">
        <f ca="1">IFERROR(__xludf.DUMMYFUNCTION("IMPORTRANGE(""https://docs.google.com/spreadsheets/d/1XL5vhW3sbDhbH9Cz0tuDiY8C3ctxq1tqvaCgkFb8cCA/edit?usp=sharing"",""บึงกาฬ!J291"")"),100)</f>
        <v>100</v>
      </c>
      <c r="J39" s="309">
        <f t="shared" ca="1" si="3"/>
        <v>100</v>
      </c>
      <c r="K39" s="306">
        <f ca="1">IFERROR(__xludf.DUMMYFUNCTION("IMPORTRANGE(""https://docs.google.com/spreadsheets/d/1C3CXT74ZlgGe6_JY_1olB1XN4rF0dxEuIIF-xsYjHgg/edit?usp=sharing"",""งบกองทุน!W43"")"),1000)</f>
        <v>1000</v>
      </c>
      <c r="L39" s="306">
        <f ca="1">IFERROR(__xludf.DUMMYFUNCTION("IMPORTRANGE(""https://docs.google.com/spreadsheets/d/1C3CXT74ZlgGe6_JY_1olB1XN4rF0dxEuIIF-xsYjHgg/edit?usp=sharing"",""งบกองทุน!X43"")"),100)</f>
        <v>100</v>
      </c>
      <c r="M39" s="306">
        <f ca="1">IFERROR(__xludf.DUMMYFUNCTION("IMPORTRANGE(""https://docs.google.com/spreadsheets/d/1XL5vhW3sbDhbH9Cz0tuDiY8C3ctxq1tqvaCgkFb8cCA/edit?usp=sharing"",""บึงกาฬ!J292"")"),0)</f>
        <v>0</v>
      </c>
      <c r="N39" s="309">
        <f t="shared" ca="1" si="5"/>
        <v>0</v>
      </c>
      <c r="O39" s="306">
        <f ca="1">IFERROR(__xludf.DUMMYFUNCTION("IMPORTRANGE(""https://docs.google.com/spreadsheets/d/1XL5vhW3sbDhbH9Cz0tuDiY8C3ctxq1tqvaCgkFb8cCA/edit?usp=sharing"",""บึงกาฬ!J293"")"),0)</f>
        <v>0</v>
      </c>
      <c r="P39" s="359">
        <f t="shared" ca="1" si="6"/>
        <v>0</v>
      </c>
      <c r="Q39" s="339"/>
      <c r="R39" s="339"/>
      <c r="S39" s="339"/>
      <c r="T39" s="339"/>
      <c r="U39" s="339"/>
      <c r="V39" s="339"/>
      <c r="W39" s="339"/>
      <c r="X39" s="339"/>
      <c r="Y39" s="339"/>
      <c r="Z39" s="339"/>
    </row>
    <row r="40" spans="1:26" ht="21" customHeight="1">
      <c r="A40" s="303">
        <v>7</v>
      </c>
      <c r="B40" s="304" t="s">
        <v>64</v>
      </c>
      <c r="C40" s="305">
        <f t="shared" ca="1" si="26"/>
        <v>1028520</v>
      </c>
      <c r="D40" s="306">
        <f ca="1">IFERROR(__xludf.DUMMYFUNCTION("IMPORTRANGE(""https://docs.google.com/spreadsheets/d/1C3CXT74ZlgGe6_JY_1olB1XN4rF0dxEuIIF-xsYjHgg/edit?usp=sharing"",""งบกองทุน!R44"")"),0)</f>
        <v>0</v>
      </c>
      <c r="E40" s="306">
        <f ca="1">IFERROR(__xludf.DUMMYFUNCTION("IMPORTRANGE(""https://docs.google.com/spreadsheets/d/1C3CXT74ZlgGe6_JY_1olB1XN4rF0dxEuIIF-xsYjHgg/edit?usp=sharing"",""งบกองทุน!S44"")"),1028520)</f>
        <v>1028520</v>
      </c>
      <c r="F40" s="307">
        <f ca="1">IFERROR(__xludf.DUMMYFUNCTION("IMPORTRANGE(""https://docs.google.com/spreadsheets/d/1XL5vhW3sbDhbH9Cz0tuDiY8C3ctxq1tqvaCgkFb8cCA/edit?usp=sharing"",""บุรีรัมย์!M278"")"),131048.31)</f>
        <v>131048.31</v>
      </c>
      <c r="G40" s="307">
        <f t="shared" ca="1" si="1"/>
        <v>12.741444988916113</v>
      </c>
      <c r="H40" s="306">
        <f ca="1">IFERROR(__xludf.DUMMYFUNCTION("IMPORTRANGE(""https://docs.google.com/spreadsheets/d/1C3CXT74ZlgGe6_JY_1olB1XN4rF0dxEuIIF-xsYjHgg/edit?usp=sharing"",""งบกองทุน!V44"")"),100)</f>
        <v>100</v>
      </c>
      <c r="I40" s="306">
        <f ca="1">IFERROR(__xludf.DUMMYFUNCTION("IMPORTRANGE(""https://docs.google.com/spreadsheets/d/1XL5vhW3sbDhbH9Cz0tuDiY8C3ctxq1tqvaCgkFb8cCA/edit?usp=sharing"",""บุรีรัมย์!J291"")"),100)</f>
        <v>100</v>
      </c>
      <c r="J40" s="309">
        <f t="shared" ca="1" si="3"/>
        <v>100</v>
      </c>
      <c r="K40" s="306">
        <f ca="1">IFERROR(__xludf.DUMMYFUNCTION("IMPORTRANGE(""https://docs.google.com/spreadsheets/d/1C3CXT74ZlgGe6_JY_1olB1XN4rF0dxEuIIF-xsYjHgg/edit?usp=sharing"",""งบกองทุน!W44"")"),1000)</f>
        <v>1000</v>
      </c>
      <c r="L40" s="306">
        <f ca="1">IFERROR(__xludf.DUMMYFUNCTION("IMPORTRANGE(""https://docs.google.com/spreadsheets/d/1C3CXT74ZlgGe6_JY_1olB1XN4rF0dxEuIIF-xsYjHgg/edit?usp=sharing"",""งบกองทุน!X44"")"),100)</f>
        <v>100</v>
      </c>
      <c r="M40" s="306">
        <f ca="1">IFERROR(__xludf.DUMMYFUNCTION("IMPORTRANGE(""https://docs.google.com/spreadsheets/d/1XL5vhW3sbDhbH9Cz0tuDiY8C3ctxq1tqvaCgkFb8cCA/edit?usp=sharing"",""บุรีรัมย์!J292"")"),0)</f>
        <v>0</v>
      </c>
      <c r="N40" s="309">
        <f t="shared" ca="1" si="5"/>
        <v>0</v>
      </c>
      <c r="O40" s="306">
        <f ca="1">IFERROR(__xludf.DUMMYFUNCTION("IMPORTRANGE(""https://docs.google.com/spreadsheets/d/1XL5vhW3sbDhbH9Cz0tuDiY8C3ctxq1tqvaCgkFb8cCA/edit?usp=sharing"",""บุรีรัมย์!J293"")"),0)</f>
        <v>0</v>
      </c>
      <c r="P40" s="359">
        <f t="shared" ca="1" si="6"/>
        <v>0</v>
      </c>
      <c r="Q40" s="339"/>
      <c r="R40" s="339"/>
      <c r="S40" s="339"/>
      <c r="T40" s="339"/>
      <c r="U40" s="339"/>
      <c r="V40" s="339"/>
      <c r="W40" s="339"/>
      <c r="X40" s="339"/>
      <c r="Y40" s="339"/>
      <c r="Z40" s="339"/>
    </row>
    <row r="41" spans="1:26" ht="21" customHeight="1">
      <c r="A41" s="303">
        <v>8</v>
      </c>
      <c r="B41" s="304" t="s">
        <v>65</v>
      </c>
      <c r="C41" s="305">
        <f t="shared" ca="1" si="26"/>
        <v>1028520</v>
      </c>
      <c r="D41" s="306">
        <f ca="1">IFERROR(__xludf.DUMMYFUNCTION("IMPORTRANGE(""https://docs.google.com/spreadsheets/d/1C3CXT74ZlgGe6_JY_1olB1XN4rF0dxEuIIF-xsYjHgg/edit?usp=sharing"",""งบกองทุน!R45"")"),0)</f>
        <v>0</v>
      </c>
      <c r="E41" s="306">
        <f ca="1">IFERROR(__xludf.DUMMYFUNCTION("IMPORTRANGE(""https://docs.google.com/spreadsheets/d/1C3CXT74ZlgGe6_JY_1olB1XN4rF0dxEuIIF-xsYjHgg/edit?usp=sharing"",""งบกองทุน!S45"")"),1028520)</f>
        <v>1028520</v>
      </c>
      <c r="F41" s="307">
        <f ca="1">IFERROR(__xludf.DUMMYFUNCTION("IMPORTRANGE(""https://docs.google.com/spreadsheets/d/1XL5vhW3sbDhbH9Cz0tuDiY8C3ctxq1tqvaCgkFb8cCA/edit?usp=sharing"",""มหาสารคาม!M278"")"),151730.65)</f>
        <v>151730.65</v>
      </c>
      <c r="G41" s="307">
        <f t="shared" ca="1" si="1"/>
        <v>14.752328588651654</v>
      </c>
      <c r="H41" s="306">
        <f ca="1">IFERROR(__xludf.DUMMYFUNCTION("IMPORTRANGE(""https://docs.google.com/spreadsheets/d/1C3CXT74ZlgGe6_JY_1olB1XN4rF0dxEuIIF-xsYjHgg/edit?usp=sharing"",""งบกองทุน!V45"")"),100)</f>
        <v>100</v>
      </c>
      <c r="I41" s="306">
        <f ca="1">IFERROR(__xludf.DUMMYFUNCTION("IMPORTRANGE(""https://docs.google.com/spreadsheets/d/1XL5vhW3sbDhbH9Cz0tuDiY8C3ctxq1tqvaCgkFb8cCA/edit?usp=sharing"",""มหาสารคาม!J291"")"),100)</f>
        <v>100</v>
      </c>
      <c r="J41" s="309">
        <f t="shared" ca="1" si="3"/>
        <v>100</v>
      </c>
      <c r="K41" s="306">
        <f ca="1">IFERROR(__xludf.DUMMYFUNCTION("IMPORTRANGE(""https://docs.google.com/spreadsheets/d/1C3CXT74ZlgGe6_JY_1olB1XN4rF0dxEuIIF-xsYjHgg/edit?usp=sharing"",""งบกองทุน!W45"")"),1000)</f>
        <v>1000</v>
      </c>
      <c r="L41" s="306">
        <f ca="1">IFERROR(__xludf.DUMMYFUNCTION("IMPORTRANGE(""https://docs.google.com/spreadsheets/d/1C3CXT74ZlgGe6_JY_1olB1XN4rF0dxEuIIF-xsYjHgg/edit?usp=sharing"",""งบกองทุน!X45"")"),100)</f>
        <v>100</v>
      </c>
      <c r="M41" s="306">
        <f ca="1">IFERROR(__xludf.DUMMYFUNCTION("IMPORTRANGE(""https://docs.google.com/spreadsheets/d/1XL5vhW3sbDhbH9Cz0tuDiY8C3ctxq1tqvaCgkFb8cCA/edit?usp=sharing"",""มหาสารคาม!J292"")"),0)</f>
        <v>0</v>
      </c>
      <c r="N41" s="309">
        <f t="shared" ca="1" si="5"/>
        <v>0</v>
      </c>
      <c r="O41" s="306">
        <f ca="1">IFERROR(__xludf.DUMMYFUNCTION("IMPORTRANGE(""https://docs.google.com/spreadsheets/d/1XL5vhW3sbDhbH9Cz0tuDiY8C3ctxq1tqvaCgkFb8cCA/edit?usp=sharing"",""มหาสารคาม!J293"")"),0)</f>
        <v>0</v>
      </c>
      <c r="P41" s="359">
        <f t="shared" ca="1" si="6"/>
        <v>0</v>
      </c>
      <c r="Q41" s="339"/>
      <c r="R41" s="339"/>
      <c r="S41" s="339"/>
      <c r="T41" s="339"/>
      <c r="U41" s="339"/>
      <c r="V41" s="339"/>
      <c r="W41" s="339"/>
      <c r="X41" s="339"/>
      <c r="Y41" s="339"/>
      <c r="Z41" s="339"/>
    </row>
    <row r="42" spans="1:26" ht="21" customHeight="1">
      <c r="A42" s="303">
        <v>9</v>
      </c>
      <c r="B42" s="304" t="s">
        <v>66</v>
      </c>
      <c r="C42" s="305">
        <f t="shared" ca="1" si="26"/>
        <v>1028520</v>
      </c>
      <c r="D42" s="306">
        <f ca="1">IFERROR(__xludf.DUMMYFUNCTION("IMPORTRANGE(""https://docs.google.com/spreadsheets/d/1C3CXT74ZlgGe6_JY_1olB1XN4rF0dxEuIIF-xsYjHgg/edit?usp=sharing"",""งบกองทุน!R46"")"),0)</f>
        <v>0</v>
      </c>
      <c r="E42" s="306">
        <f ca="1">IFERROR(__xludf.DUMMYFUNCTION("IMPORTRANGE(""https://docs.google.com/spreadsheets/d/1C3CXT74ZlgGe6_JY_1olB1XN4rF0dxEuIIF-xsYjHgg/edit?usp=sharing"",""งบกองทุน!S46"")"),1028520)</f>
        <v>1028520</v>
      </c>
      <c r="F42" s="307">
        <f ca="1">IFERROR(__xludf.DUMMYFUNCTION("IMPORTRANGE(""https://docs.google.com/spreadsheets/d/1XL5vhW3sbDhbH9Cz0tuDiY8C3ctxq1tqvaCgkFb8cCA/edit?usp=sharing"",""มุกดาหาร!M278"")"),252183)</f>
        <v>252183</v>
      </c>
      <c r="G42" s="307">
        <f t="shared" ca="1" si="1"/>
        <v>24.519017617547544</v>
      </c>
      <c r="H42" s="306">
        <f ca="1">IFERROR(__xludf.DUMMYFUNCTION("IMPORTRANGE(""https://docs.google.com/spreadsheets/d/1C3CXT74ZlgGe6_JY_1olB1XN4rF0dxEuIIF-xsYjHgg/edit?usp=sharing"",""งบกองทุน!V46"")"),100)</f>
        <v>100</v>
      </c>
      <c r="I42" s="306">
        <f ca="1">IFERROR(__xludf.DUMMYFUNCTION("IMPORTRANGE(""https://docs.google.com/spreadsheets/d/1XL5vhW3sbDhbH9Cz0tuDiY8C3ctxq1tqvaCgkFb8cCA/edit?usp=sharing"",""มุกดาหาร!J291"")"),100)</f>
        <v>100</v>
      </c>
      <c r="J42" s="309">
        <f t="shared" ca="1" si="3"/>
        <v>100</v>
      </c>
      <c r="K42" s="306">
        <f ca="1">IFERROR(__xludf.DUMMYFUNCTION("IMPORTRANGE(""https://docs.google.com/spreadsheets/d/1C3CXT74ZlgGe6_JY_1olB1XN4rF0dxEuIIF-xsYjHgg/edit?usp=sharing"",""งบกองทุน!W46"")"),1000)</f>
        <v>1000</v>
      </c>
      <c r="L42" s="306">
        <f ca="1">IFERROR(__xludf.DUMMYFUNCTION("IMPORTRANGE(""https://docs.google.com/spreadsheets/d/1C3CXT74ZlgGe6_JY_1olB1XN4rF0dxEuIIF-xsYjHgg/edit?usp=sharing"",""งบกองทุน!X46"")"),100)</f>
        <v>100</v>
      </c>
      <c r="M42" s="306">
        <f ca="1">IFERROR(__xludf.DUMMYFUNCTION("IMPORTRANGE(""https://docs.google.com/spreadsheets/d/1XL5vhW3sbDhbH9Cz0tuDiY8C3ctxq1tqvaCgkFb8cCA/edit?usp=sharing"",""มุกดาหาร!J292"")"),0)</f>
        <v>0</v>
      </c>
      <c r="N42" s="309">
        <f t="shared" ca="1" si="5"/>
        <v>0</v>
      </c>
      <c r="O42" s="306">
        <f ca="1">IFERROR(__xludf.DUMMYFUNCTION("IMPORTRANGE(""https://docs.google.com/spreadsheets/d/1XL5vhW3sbDhbH9Cz0tuDiY8C3ctxq1tqvaCgkFb8cCA/edit?usp=sharing"",""มุกดาหาร!J293"")"),0)</f>
        <v>0</v>
      </c>
      <c r="P42" s="359">
        <f t="shared" ca="1" si="6"/>
        <v>0</v>
      </c>
      <c r="Q42" s="339"/>
      <c r="R42" s="339"/>
      <c r="S42" s="339"/>
      <c r="T42" s="339"/>
      <c r="U42" s="339"/>
      <c r="V42" s="339"/>
      <c r="W42" s="339"/>
      <c r="X42" s="339"/>
      <c r="Y42" s="339"/>
      <c r="Z42" s="339"/>
    </row>
    <row r="43" spans="1:26" ht="21" customHeight="1">
      <c r="A43" s="303">
        <v>10</v>
      </c>
      <c r="B43" s="304" t="s">
        <v>67</v>
      </c>
      <c r="C43" s="305">
        <f t="shared" ca="1" si="26"/>
        <v>460140</v>
      </c>
      <c r="D43" s="306">
        <f ca="1">IFERROR(__xludf.DUMMYFUNCTION("IMPORTRANGE(""https://docs.google.com/spreadsheets/d/1C3CXT74ZlgGe6_JY_1olB1XN4rF0dxEuIIF-xsYjHgg/edit?usp=sharing"",""งบกองทุน!R47"")"),0)</f>
        <v>0</v>
      </c>
      <c r="E43" s="306">
        <f ca="1">IFERROR(__xludf.DUMMYFUNCTION("IMPORTRANGE(""https://docs.google.com/spreadsheets/d/1C3CXT74ZlgGe6_JY_1olB1XN4rF0dxEuIIF-xsYjHgg/edit?usp=sharing"",""งบกองทุน!S47"")"),460140)</f>
        <v>460140</v>
      </c>
      <c r="F43" s="307">
        <f ca="1">IFERROR(__xludf.DUMMYFUNCTION("IMPORTRANGE(""https://docs.google.com/spreadsheets/d/1XL5vhW3sbDhbH9Cz0tuDiY8C3ctxq1tqvaCgkFb8cCA/edit?usp=sharing"",""ยโสธร!M278"")"),31820)</f>
        <v>31820</v>
      </c>
      <c r="G43" s="307">
        <f t="shared" ca="1" si="1"/>
        <v>6.9152866518885556</v>
      </c>
      <c r="H43" s="306">
        <f ca="1">IFERROR(__xludf.DUMMYFUNCTION("IMPORTRANGE(""https://docs.google.com/spreadsheets/d/1C3CXT74ZlgGe6_JY_1olB1XN4rF0dxEuIIF-xsYjHgg/edit?usp=sharing"",""งบกองทุน!V47"")"),50)</f>
        <v>50</v>
      </c>
      <c r="I43" s="306">
        <f ca="1">IFERROR(__xludf.DUMMYFUNCTION("IMPORTRANGE(""https://docs.google.com/spreadsheets/d/1XL5vhW3sbDhbH9Cz0tuDiY8C3ctxq1tqvaCgkFb8cCA/edit?usp=sharing"",""ยโสธร!J291"")"),50)</f>
        <v>50</v>
      </c>
      <c r="J43" s="309">
        <f t="shared" ca="1" si="3"/>
        <v>100</v>
      </c>
      <c r="K43" s="306">
        <f ca="1">IFERROR(__xludf.DUMMYFUNCTION("IMPORTRANGE(""https://docs.google.com/spreadsheets/d/1C3CXT74ZlgGe6_JY_1olB1XN4rF0dxEuIIF-xsYjHgg/edit?usp=sharing"",""งบกองทุน!W47"")"),500)</f>
        <v>500</v>
      </c>
      <c r="L43" s="306">
        <f ca="1">IFERROR(__xludf.DUMMYFUNCTION("IMPORTRANGE(""https://docs.google.com/spreadsheets/d/1C3CXT74ZlgGe6_JY_1olB1XN4rF0dxEuIIF-xsYjHgg/edit?usp=sharing"",""งบกองทุน!X47"")"),50)</f>
        <v>50</v>
      </c>
      <c r="M43" s="306">
        <f ca="1">IFERROR(__xludf.DUMMYFUNCTION("IMPORTRANGE(""https://docs.google.com/spreadsheets/d/1XL5vhW3sbDhbH9Cz0tuDiY8C3ctxq1tqvaCgkFb8cCA/edit?usp=sharing"",""ยโสธร!J292"")"),0)</f>
        <v>0</v>
      </c>
      <c r="N43" s="309">
        <f t="shared" ca="1" si="5"/>
        <v>0</v>
      </c>
      <c r="O43" s="306">
        <f ca="1">IFERROR(__xludf.DUMMYFUNCTION("IMPORTRANGE(""https://docs.google.com/spreadsheets/d/1XL5vhW3sbDhbH9Cz0tuDiY8C3ctxq1tqvaCgkFb8cCA/edit?usp=sharing"",""ยโสธร!J293"")"),0)</f>
        <v>0</v>
      </c>
      <c r="P43" s="359">
        <f t="shared" ca="1" si="6"/>
        <v>0</v>
      </c>
      <c r="Q43" s="339"/>
      <c r="R43" s="339"/>
      <c r="S43" s="339"/>
      <c r="T43" s="339"/>
      <c r="U43" s="339"/>
      <c r="V43" s="339"/>
      <c r="W43" s="339"/>
      <c r="X43" s="339"/>
      <c r="Y43" s="339"/>
      <c r="Z43" s="339"/>
    </row>
    <row r="44" spans="1:26" ht="21" customHeight="1">
      <c r="A44" s="303">
        <v>11</v>
      </c>
      <c r="B44" s="304" t="s">
        <v>68</v>
      </c>
      <c r="C44" s="305">
        <f t="shared" ca="1" si="26"/>
        <v>1028520</v>
      </c>
      <c r="D44" s="306">
        <f ca="1">IFERROR(__xludf.DUMMYFUNCTION("IMPORTRANGE(""https://docs.google.com/spreadsheets/d/1C3CXT74ZlgGe6_JY_1olB1XN4rF0dxEuIIF-xsYjHgg/edit?usp=sharing"",""งบกองทุน!R48"")"),0)</f>
        <v>0</v>
      </c>
      <c r="E44" s="306">
        <f ca="1">IFERROR(__xludf.DUMMYFUNCTION("IMPORTRANGE(""https://docs.google.com/spreadsheets/d/1C3CXT74ZlgGe6_JY_1olB1XN4rF0dxEuIIF-xsYjHgg/edit?usp=sharing"",""งบกองทุน!S48"")"),1028520)</f>
        <v>1028520</v>
      </c>
      <c r="F44" s="307">
        <f ca="1">IFERROR(__xludf.DUMMYFUNCTION("IMPORTRANGE(""https://docs.google.com/spreadsheets/d/1XL5vhW3sbDhbH9Cz0tuDiY8C3ctxq1tqvaCgkFb8cCA/edit?usp=sharing"",""ร้อยเอ็ด!M278"")"),297339.339999999)</f>
        <v>297339.33999999898</v>
      </c>
      <c r="G44" s="307">
        <f t="shared" ca="1" si="1"/>
        <v>28.909436860731827</v>
      </c>
      <c r="H44" s="306">
        <f ca="1">IFERROR(__xludf.DUMMYFUNCTION("IMPORTRANGE(""https://docs.google.com/spreadsheets/d/1C3CXT74ZlgGe6_JY_1olB1XN4rF0dxEuIIF-xsYjHgg/edit?usp=sharing"",""งบกองทุน!V48"")"),100)</f>
        <v>100</v>
      </c>
      <c r="I44" s="306">
        <f ca="1">IFERROR(__xludf.DUMMYFUNCTION("IMPORTRANGE(""https://docs.google.com/spreadsheets/d/1XL5vhW3sbDhbH9Cz0tuDiY8C3ctxq1tqvaCgkFb8cCA/edit?usp=sharing"",""ร้อยเอ็ด!J291"")"),100)</f>
        <v>100</v>
      </c>
      <c r="J44" s="309">
        <f t="shared" ca="1" si="3"/>
        <v>100</v>
      </c>
      <c r="K44" s="306">
        <f ca="1">IFERROR(__xludf.DUMMYFUNCTION("IMPORTRANGE(""https://docs.google.com/spreadsheets/d/1C3CXT74ZlgGe6_JY_1olB1XN4rF0dxEuIIF-xsYjHgg/edit?usp=sharing"",""งบกองทุน!W48"")"),1000)</f>
        <v>1000</v>
      </c>
      <c r="L44" s="306">
        <f ca="1">IFERROR(__xludf.DUMMYFUNCTION("IMPORTRANGE(""https://docs.google.com/spreadsheets/d/1C3CXT74ZlgGe6_JY_1olB1XN4rF0dxEuIIF-xsYjHgg/edit?usp=sharing"",""งบกองทุน!X48"")"),100)</f>
        <v>100</v>
      </c>
      <c r="M44" s="306">
        <f ca="1">IFERROR(__xludf.DUMMYFUNCTION("IMPORTRANGE(""https://docs.google.com/spreadsheets/d/1XL5vhW3sbDhbH9Cz0tuDiY8C3ctxq1tqvaCgkFb8cCA/edit?usp=sharing"",""ร้อยเอ็ด!J292"")"),0)</f>
        <v>0</v>
      </c>
      <c r="N44" s="309">
        <f t="shared" ca="1" si="5"/>
        <v>0</v>
      </c>
      <c r="O44" s="306">
        <f ca="1">IFERROR(__xludf.DUMMYFUNCTION("IMPORTRANGE(""https://docs.google.com/spreadsheets/d/1XL5vhW3sbDhbH9Cz0tuDiY8C3ctxq1tqvaCgkFb8cCA/edit?usp=sharing"",""ร้อยเอ็ด!J293"")"),0)</f>
        <v>0</v>
      </c>
      <c r="P44" s="359">
        <f t="shared" ca="1" si="6"/>
        <v>0</v>
      </c>
      <c r="Q44" s="339"/>
      <c r="R44" s="339"/>
      <c r="S44" s="339"/>
      <c r="T44" s="339"/>
      <c r="U44" s="339"/>
      <c r="V44" s="339"/>
      <c r="W44" s="339"/>
      <c r="X44" s="339"/>
      <c r="Y44" s="339"/>
      <c r="Z44" s="339"/>
    </row>
    <row r="45" spans="1:26" ht="21" customHeight="1">
      <c r="A45" s="303">
        <v>12</v>
      </c>
      <c r="B45" s="304" t="s">
        <v>69</v>
      </c>
      <c r="C45" s="305">
        <f t="shared" ca="1" si="26"/>
        <v>1028520</v>
      </c>
      <c r="D45" s="306">
        <f ca="1">IFERROR(__xludf.DUMMYFUNCTION("IMPORTRANGE(""https://docs.google.com/spreadsheets/d/1C3CXT74ZlgGe6_JY_1olB1XN4rF0dxEuIIF-xsYjHgg/edit?usp=sharing"",""งบกองทุน!R49"")"),0)</f>
        <v>0</v>
      </c>
      <c r="E45" s="306">
        <f ca="1">IFERROR(__xludf.DUMMYFUNCTION("IMPORTRANGE(""https://docs.google.com/spreadsheets/d/1C3CXT74ZlgGe6_JY_1olB1XN4rF0dxEuIIF-xsYjHgg/edit?usp=sharing"",""งบกองทุน!S49"")"),1028520)</f>
        <v>1028520</v>
      </c>
      <c r="F45" s="307">
        <f ca="1">IFERROR(__xludf.DUMMYFUNCTION("IMPORTRANGE(""https://docs.google.com/spreadsheets/d/1XL5vhW3sbDhbH9Cz0tuDiY8C3ctxq1tqvaCgkFb8cCA/edit?usp=sharing"",""เลย!M278"")"),118293)</f>
        <v>118293</v>
      </c>
      <c r="G45" s="307">
        <f t="shared" ca="1" si="1"/>
        <v>11.501283397503208</v>
      </c>
      <c r="H45" s="306">
        <f ca="1">IFERROR(__xludf.DUMMYFUNCTION("IMPORTRANGE(""https://docs.google.com/spreadsheets/d/1C3CXT74ZlgGe6_JY_1olB1XN4rF0dxEuIIF-xsYjHgg/edit?usp=sharing"",""งบกองทุน!V49"")"),100)</f>
        <v>100</v>
      </c>
      <c r="I45" s="306">
        <f ca="1">IFERROR(__xludf.DUMMYFUNCTION("IMPORTRANGE(""https://docs.google.com/spreadsheets/d/1XL5vhW3sbDhbH9Cz0tuDiY8C3ctxq1tqvaCgkFb8cCA/edit?usp=sharing"",""เลย!J291"")"),100)</f>
        <v>100</v>
      </c>
      <c r="J45" s="309">
        <f t="shared" ca="1" si="3"/>
        <v>100</v>
      </c>
      <c r="K45" s="306">
        <f ca="1">IFERROR(__xludf.DUMMYFUNCTION("IMPORTRANGE(""https://docs.google.com/spreadsheets/d/1C3CXT74ZlgGe6_JY_1olB1XN4rF0dxEuIIF-xsYjHgg/edit?usp=sharing"",""งบกองทุน!W49"")"),1000)</f>
        <v>1000</v>
      </c>
      <c r="L45" s="306">
        <f ca="1">IFERROR(__xludf.DUMMYFUNCTION("IMPORTRANGE(""https://docs.google.com/spreadsheets/d/1C3CXT74ZlgGe6_JY_1olB1XN4rF0dxEuIIF-xsYjHgg/edit?usp=sharing"",""งบกองทุน!X49"")"),100)</f>
        <v>100</v>
      </c>
      <c r="M45" s="306">
        <f ca="1">IFERROR(__xludf.DUMMYFUNCTION("IMPORTRANGE(""https://docs.google.com/spreadsheets/d/1XL5vhW3sbDhbH9Cz0tuDiY8C3ctxq1tqvaCgkFb8cCA/edit?usp=sharing"",""เลย!J292"")"),0)</f>
        <v>0</v>
      </c>
      <c r="N45" s="309">
        <f t="shared" ca="1" si="5"/>
        <v>0</v>
      </c>
      <c r="O45" s="306">
        <f ca="1">IFERROR(__xludf.DUMMYFUNCTION("IMPORTRANGE(""https://docs.google.com/spreadsheets/d/1XL5vhW3sbDhbH9Cz0tuDiY8C3ctxq1tqvaCgkFb8cCA/edit?usp=sharing"",""เลย!J293"")"),0)</f>
        <v>0</v>
      </c>
      <c r="P45" s="359">
        <f t="shared" ca="1" si="6"/>
        <v>0</v>
      </c>
      <c r="Q45" s="339"/>
      <c r="R45" s="339"/>
      <c r="S45" s="339"/>
      <c r="T45" s="339"/>
      <c r="U45" s="339"/>
      <c r="V45" s="339"/>
      <c r="W45" s="339"/>
      <c r="X45" s="339"/>
      <c r="Y45" s="339"/>
      <c r="Z45" s="339"/>
    </row>
    <row r="46" spans="1:26" ht="21" customHeight="1">
      <c r="A46" s="303">
        <v>13</v>
      </c>
      <c r="B46" s="304" t="s">
        <v>70</v>
      </c>
      <c r="C46" s="305">
        <f t="shared" ca="1" si="26"/>
        <v>1028520</v>
      </c>
      <c r="D46" s="306">
        <f ca="1">IFERROR(__xludf.DUMMYFUNCTION("IMPORTRANGE(""https://docs.google.com/spreadsheets/d/1C3CXT74ZlgGe6_JY_1olB1XN4rF0dxEuIIF-xsYjHgg/edit?usp=sharing"",""งบกองทุน!R50"")"),0)</f>
        <v>0</v>
      </c>
      <c r="E46" s="306">
        <f ca="1">IFERROR(__xludf.DUMMYFUNCTION("IMPORTRANGE(""https://docs.google.com/spreadsheets/d/1C3CXT74ZlgGe6_JY_1olB1XN4rF0dxEuIIF-xsYjHgg/edit?usp=sharing"",""งบกองทุน!S50"")"),1028520)</f>
        <v>1028520</v>
      </c>
      <c r="F46" s="307">
        <f ca="1">IFERROR(__xludf.DUMMYFUNCTION("IMPORTRANGE(""https://docs.google.com/spreadsheets/d/1XL5vhW3sbDhbH9Cz0tuDiY8C3ctxq1tqvaCgkFb8cCA/edit?usp=sharing"",""ศรีสะเกษ!M278"")"),150086.64)</f>
        <v>150086.64000000001</v>
      </c>
      <c r="G46" s="307">
        <f t="shared" ca="1" si="1"/>
        <v>14.592486290981217</v>
      </c>
      <c r="H46" s="306">
        <f ca="1">IFERROR(__xludf.DUMMYFUNCTION("IMPORTRANGE(""https://docs.google.com/spreadsheets/d/1C3CXT74ZlgGe6_JY_1olB1XN4rF0dxEuIIF-xsYjHgg/edit?usp=sharing"",""งบกองทุน!V50"")"),100)</f>
        <v>100</v>
      </c>
      <c r="I46" s="306">
        <f ca="1">IFERROR(__xludf.DUMMYFUNCTION("IMPORTRANGE(""https://docs.google.com/spreadsheets/d/1XL5vhW3sbDhbH9Cz0tuDiY8C3ctxq1tqvaCgkFb8cCA/edit?usp=sharing"",""ศรีสะเกษ!J291"")"),100)</f>
        <v>100</v>
      </c>
      <c r="J46" s="309">
        <f t="shared" ca="1" si="3"/>
        <v>100</v>
      </c>
      <c r="K46" s="306">
        <f ca="1">IFERROR(__xludf.DUMMYFUNCTION("IMPORTRANGE(""https://docs.google.com/spreadsheets/d/1C3CXT74ZlgGe6_JY_1olB1XN4rF0dxEuIIF-xsYjHgg/edit?usp=sharing"",""งบกองทุน!W50"")"),1000)</f>
        <v>1000</v>
      </c>
      <c r="L46" s="306">
        <f ca="1">IFERROR(__xludf.DUMMYFUNCTION("IMPORTRANGE(""https://docs.google.com/spreadsheets/d/1C3CXT74ZlgGe6_JY_1olB1XN4rF0dxEuIIF-xsYjHgg/edit?usp=sharing"",""งบกองทุน!X50"")"),100)</f>
        <v>100</v>
      </c>
      <c r="M46" s="306">
        <f ca="1">IFERROR(__xludf.DUMMYFUNCTION("IMPORTRANGE(""https://docs.google.com/spreadsheets/d/1XL5vhW3sbDhbH9Cz0tuDiY8C3ctxq1tqvaCgkFb8cCA/edit?usp=sharing"",""ศรีสะเกษ!J292"")"),0)</f>
        <v>0</v>
      </c>
      <c r="N46" s="309">
        <f t="shared" ca="1" si="5"/>
        <v>0</v>
      </c>
      <c r="O46" s="306">
        <f ca="1">IFERROR(__xludf.DUMMYFUNCTION("IMPORTRANGE(""https://docs.google.com/spreadsheets/d/1XL5vhW3sbDhbH9Cz0tuDiY8C3ctxq1tqvaCgkFb8cCA/edit?usp=sharing"",""ศรีสะเกษ!J293"")"),0)</f>
        <v>0</v>
      </c>
      <c r="P46" s="359">
        <f t="shared" ca="1" si="6"/>
        <v>0</v>
      </c>
      <c r="Q46" s="339"/>
      <c r="R46" s="339"/>
      <c r="S46" s="339"/>
      <c r="T46" s="339"/>
      <c r="U46" s="339"/>
      <c r="V46" s="339"/>
      <c r="W46" s="339"/>
      <c r="X46" s="339"/>
      <c r="Y46" s="339"/>
      <c r="Z46" s="339"/>
    </row>
    <row r="47" spans="1:26" ht="21" customHeight="1">
      <c r="A47" s="303">
        <v>14</v>
      </c>
      <c r="B47" s="304" t="s">
        <v>71</v>
      </c>
      <c r="C47" s="305">
        <f t="shared" ca="1" si="26"/>
        <v>460140</v>
      </c>
      <c r="D47" s="306">
        <f ca="1">IFERROR(__xludf.DUMMYFUNCTION("IMPORTRANGE(""https://docs.google.com/spreadsheets/d/1C3CXT74ZlgGe6_JY_1olB1XN4rF0dxEuIIF-xsYjHgg/edit?usp=sharing"",""งบกองทุน!R51"")"),0)</f>
        <v>0</v>
      </c>
      <c r="E47" s="306">
        <f ca="1">IFERROR(__xludf.DUMMYFUNCTION("IMPORTRANGE(""https://docs.google.com/spreadsheets/d/1C3CXT74ZlgGe6_JY_1olB1XN4rF0dxEuIIF-xsYjHgg/edit?usp=sharing"",""งบกองทุน!S51"")"),460140)</f>
        <v>460140</v>
      </c>
      <c r="F47" s="307">
        <f ca="1">IFERROR(__xludf.DUMMYFUNCTION("IMPORTRANGE(""https://docs.google.com/spreadsheets/d/1XL5vhW3sbDhbH9Cz0tuDiY8C3ctxq1tqvaCgkFb8cCA/edit?usp=sharing"",""สกลนคร!M278"")"),36250)</f>
        <v>36250</v>
      </c>
      <c r="G47" s="307">
        <f t="shared" ca="1" si="1"/>
        <v>7.8780371191376535</v>
      </c>
      <c r="H47" s="306">
        <f ca="1">IFERROR(__xludf.DUMMYFUNCTION("IMPORTRANGE(""https://docs.google.com/spreadsheets/d/1C3CXT74ZlgGe6_JY_1olB1XN4rF0dxEuIIF-xsYjHgg/edit?usp=sharing"",""งบกองทุน!V51"")"),50)</f>
        <v>50</v>
      </c>
      <c r="I47" s="306">
        <f ca="1">IFERROR(__xludf.DUMMYFUNCTION("IMPORTRANGE(""https://docs.google.com/spreadsheets/d/1XL5vhW3sbDhbH9Cz0tuDiY8C3ctxq1tqvaCgkFb8cCA/edit?usp=sharing"",""สกลนคร!J291"")"),50)</f>
        <v>50</v>
      </c>
      <c r="J47" s="309">
        <f t="shared" ca="1" si="3"/>
        <v>100</v>
      </c>
      <c r="K47" s="306">
        <f ca="1">IFERROR(__xludf.DUMMYFUNCTION("IMPORTRANGE(""https://docs.google.com/spreadsheets/d/1C3CXT74ZlgGe6_JY_1olB1XN4rF0dxEuIIF-xsYjHgg/edit?usp=sharing"",""งบกองทุน!W51"")"),500)</f>
        <v>500</v>
      </c>
      <c r="L47" s="306">
        <f ca="1">IFERROR(__xludf.DUMMYFUNCTION("IMPORTRANGE(""https://docs.google.com/spreadsheets/d/1C3CXT74ZlgGe6_JY_1olB1XN4rF0dxEuIIF-xsYjHgg/edit?usp=sharing"",""งบกองทุน!X51"")"),50)</f>
        <v>50</v>
      </c>
      <c r="M47" s="306">
        <f ca="1">IFERROR(__xludf.DUMMYFUNCTION("IMPORTRANGE(""https://docs.google.com/spreadsheets/d/1XL5vhW3sbDhbH9Cz0tuDiY8C3ctxq1tqvaCgkFb8cCA/edit?usp=sharing"",""สกลนคร!J292"")"),500)</f>
        <v>500</v>
      </c>
      <c r="N47" s="309">
        <f t="shared" ca="1" si="5"/>
        <v>100</v>
      </c>
      <c r="O47" s="306">
        <f ca="1">IFERROR(__xludf.DUMMYFUNCTION("IMPORTRANGE(""https://docs.google.com/spreadsheets/d/1XL5vhW3sbDhbH9Cz0tuDiY8C3ctxq1tqvaCgkFb8cCA/edit?usp=sharing"",""สกลนคร!J293"")"),50)</f>
        <v>50</v>
      </c>
      <c r="P47" s="359">
        <f t="shared" ca="1" si="6"/>
        <v>100</v>
      </c>
      <c r="Q47" s="339"/>
      <c r="R47" s="339"/>
      <c r="S47" s="339"/>
      <c r="T47" s="339"/>
      <c r="U47" s="339"/>
      <c r="V47" s="339"/>
      <c r="W47" s="339"/>
      <c r="X47" s="339"/>
      <c r="Y47" s="339"/>
      <c r="Z47" s="339"/>
    </row>
    <row r="48" spans="1:26" ht="21" customHeight="1">
      <c r="A48" s="303">
        <v>15</v>
      </c>
      <c r="B48" s="304" t="s">
        <v>72</v>
      </c>
      <c r="C48" s="305">
        <f t="shared" ca="1" si="26"/>
        <v>1028520</v>
      </c>
      <c r="D48" s="306">
        <f ca="1">IFERROR(__xludf.DUMMYFUNCTION("IMPORTRANGE(""https://docs.google.com/spreadsheets/d/1C3CXT74ZlgGe6_JY_1olB1XN4rF0dxEuIIF-xsYjHgg/edit?usp=sharing"",""งบกองทุน!R52"")"),0)</f>
        <v>0</v>
      </c>
      <c r="E48" s="306">
        <f ca="1">IFERROR(__xludf.DUMMYFUNCTION("IMPORTRANGE(""https://docs.google.com/spreadsheets/d/1C3CXT74ZlgGe6_JY_1olB1XN4rF0dxEuIIF-xsYjHgg/edit?usp=sharing"",""งบกองทุน!S52"")"),1028520)</f>
        <v>1028520</v>
      </c>
      <c r="F48" s="307">
        <f ca="1">IFERROR(__xludf.DUMMYFUNCTION("IMPORTRANGE(""https://docs.google.com/spreadsheets/d/1XL5vhW3sbDhbH9Cz0tuDiY8C3ctxq1tqvaCgkFb8cCA/edit?usp=sharing"",""สุรินทร์!M278"")"),245625)</f>
        <v>245625</v>
      </c>
      <c r="G48" s="307">
        <f t="shared" ca="1" si="1"/>
        <v>23.881402403453507</v>
      </c>
      <c r="H48" s="306">
        <f ca="1">IFERROR(__xludf.DUMMYFUNCTION("IMPORTRANGE(""https://docs.google.com/spreadsheets/d/1C3CXT74ZlgGe6_JY_1olB1XN4rF0dxEuIIF-xsYjHgg/edit?usp=sharing"",""งบกองทุน!V52"")"),100)</f>
        <v>100</v>
      </c>
      <c r="I48" s="306">
        <f ca="1">IFERROR(__xludf.DUMMYFUNCTION("IMPORTRANGE(""https://docs.google.com/spreadsheets/d/1XL5vhW3sbDhbH9Cz0tuDiY8C3ctxq1tqvaCgkFb8cCA/edit?usp=sharing"",""สุรินทร์!J291"")"),100)</f>
        <v>100</v>
      </c>
      <c r="J48" s="309">
        <f t="shared" ca="1" si="3"/>
        <v>100</v>
      </c>
      <c r="K48" s="306">
        <f ca="1">IFERROR(__xludf.DUMMYFUNCTION("IMPORTRANGE(""https://docs.google.com/spreadsheets/d/1C3CXT74ZlgGe6_JY_1olB1XN4rF0dxEuIIF-xsYjHgg/edit?usp=sharing"",""งบกองทุน!W52"")"),1000)</f>
        <v>1000</v>
      </c>
      <c r="L48" s="306">
        <f ca="1">IFERROR(__xludf.DUMMYFUNCTION("IMPORTRANGE(""https://docs.google.com/spreadsheets/d/1C3CXT74ZlgGe6_JY_1olB1XN4rF0dxEuIIF-xsYjHgg/edit?usp=sharing"",""งบกองทุน!X52"")"),100)</f>
        <v>100</v>
      </c>
      <c r="M48" s="306">
        <f ca="1">IFERROR(__xludf.DUMMYFUNCTION("IMPORTRANGE(""https://docs.google.com/spreadsheets/d/1XL5vhW3sbDhbH9Cz0tuDiY8C3ctxq1tqvaCgkFb8cCA/edit?usp=sharing"",""สุรินทร์!J292"")"),0)</f>
        <v>0</v>
      </c>
      <c r="N48" s="309">
        <f t="shared" ca="1" si="5"/>
        <v>0</v>
      </c>
      <c r="O48" s="306">
        <f ca="1">IFERROR(__xludf.DUMMYFUNCTION("IMPORTRANGE(""https://docs.google.com/spreadsheets/d/1XL5vhW3sbDhbH9Cz0tuDiY8C3ctxq1tqvaCgkFb8cCA/edit?usp=sharing"",""สุรินทร์!J293"")"),0)</f>
        <v>0</v>
      </c>
      <c r="P48" s="359">
        <f t="shared" ca="1" si="6"/>
        <v>0</v>
      </c>
      <c r="Q48" s="339"/>
      <c r="R48" s="339"/>
      <c r="S48" s="339"/>
      <c r="T48" s="339"/>
      <c r="U48" s="339"/>
      <c r="V48" s="339"/>
      <c r="W48" s="339"/>
      <c r="X48" s="339"/>
      <c r="Y48" s="339"/>
      <c r="Z48" s="339"/>
    </row>
    <row r="49" spans="1:26" ht="21" customHeight="1">
      <c r="A49" s="303">
        <v>16</v>
      </c>
      <c r="B49" s="304" t="s">
        <v>73</v>
      </c>
      <c r="C49" s="305">
        <f t="shared" ca="1" si="26"/>
        <v>460140</v>
      </c>
      <c r="D49" s="306">
        <f ca="1">IFERROR(__xludf.DUMMYFUNCTION("IMPORTRANGE(""https://docs.google.com/spreadsheets/d/1C3CXT74ZlgGe6_JY_1olB1XN4rF0dxEuIIF-xsYjHgg/edit?usp=sharing"",""งบกองทุน!R53"")"),0)</f>
        <v>0</v>
      </c>
      <c r="E49" s="306">
        <f ca="1">IFERROR(__xludf.DUMMYFUNCTION("IMPORTRANGE(""https://docs.google.com/spreadsheets/d/1C3CXT74ZlgGe6_JY_1olB1XN4rF0dxEuIIF-xsYjHgg/edit?usp=sharing"",""งบกองทุน!S53"")"),460140)</f>
        <v>460140</v>
      </c>
      <c r="F49" s="307">
        <f ca="1">IFERROR(__xludf.DUMMYFUNCTION("IMPORTRANGE(""https://docs.google.com/spreadsheets/d/1XL5vhW3sbDhbH9Cz0tuDiY8C3ctxq1tqvaCgkFb8cCA/edit?usp=sharing"",""หนองคาย!M278"")"),122261)</f>
        <v>122261</v>
      </c>
      <c r="G49" s="307">
        <f t="shared" ca="1" si="1"/>
        <v>26.570391619941756</v>
      </c>
      <c r="H49" s="306">
        <f ca="1">IFERROR(__xludf.DUMMYFUNCTION("IMPORTRANGE(""https://docs.google.com/spreadsheets/d/1C3CXT74ZlgGe6_JY_1olB1XN4rF0dxEuIIF-xsYjHgg/edit?usp=sharing"",""งบกองทุน!V53"")"),50)</f>
        <v>50</v>
      </c>
      <c r="I49" s="306">
        <f ca="1">IFERROR(__xludf.DUMMYFUNCTION("IMPORTRANGE(""https://docs.google.com/spreadsheets/d/1XL5vhW3sbDhbH9Cz0tuDiY8C3ctxq1tqvaCgkFb8cCA/edit?usp=sharing"",""หนองคาย!J291"")"),50)</f>
        <v>50</v>
      </c>
      <c r="J49" s="309">
        <f t="shared" ca="1" si="3"/>
        <v>100</v>
      </c>
      <c r="K49" s="306">
        <f ca="1">IFERROR(__xludf.DUMMYFUNCTION("IMPORTRANGE(""https://docs.google.com/spreadsheets/d/1C3CXT74ZlgGe6_JY_1olB1XN4rF0dxEuIIF-xsYjHgg/edit?usp=sharing"",""งบกองทุน!W53"")"),500)</f>
        <v>500</v>
      </c>
      <c r="L49" s="306">
        <f ca="1">IFERROR(__xludf.DUMMYFUNCTION("IMPORTRANGE(""https://docs.google.com/spreadsheets/d/1C3CXT74ZlgGe6_JY_1olB1XN4rF0dxEuIIF-xsYjHgg/edit?usp=sharing"",""งบกองทุน!X53"")"),50)</f>
        <v>50</v>
      </c>
      <c r="M49" s="306">
        <f ca="1">IFERROR(__xludf.DUMMYFUNCTION("IMPORTRANGE(""https://docs.google.com/spreadsheets/d/1XL5vhW3sbDhbH9Cz0tuDiY8C3ctxq1tqvaCgkFb8cCA/edit?usp=sharing"",""หนองคาย!J292"")"),0)</f>
        <v>0</v>
      </c>
      <c r="N49" s="309">
        <f t="shared" ca="1" si="5"/>
        <v>0</v>
      </c>
      <c r="O49" s="306">
        <f ca="1">IFERROR(__xludf.DUMMYFUNCTION("IMPORTRANGE(""https://docs.google.com/spreadsheets/d/1XL5vhW3sbDhbH9Cz0tuDiY8C3ctxq1tqvaCgkFb8cCA/edit?usp=sharing"",""หนองคาย!J293"")"),0)</f>
        <v>0</v>
      </c>
      <c r="P49" s="359">
        <f t="shared" ca="1" si="6"/>
        <v>0</v>
      </c>
      <c r="Q49" s="339"/>
      <c r="R49" s="339"/>
      <c r="S49" s="339"/>
      <c r="T49" s="339"/>
      <c r="U49" s="339"/>
      <c r="V49" s="339"/>
      <c r="W49" s="339"/>
      <c r="X49" s="339"/>
      <c r="Y49" s="339"/>
      <c r="Z49" s="339"/>
    </row>
    <row r="50" spans="1:26" ht="21" customHeight="1">
      <c r="A50" s="303">
        <v>17</v>
      </c>
      <c r="B50" s="304" t="s">
        <v>74</v>
      </c>
      <c r="C50" s="305">
        <f t="shared" ca="1" si="26"/>
        <v>1028520</v>
      </c>
      <c r="D50" s="306">
        <f ca="1">IFERROR(__xludf.DUMMYFUNCTION("IMPORTRANGE(""https://docs.google.com/spreadsheets/d/1C3CXT74ZlgGe6_JY_1olB1XN4rF0dxEuIIF-xsYjHgg/edit?usp=sharing"",""งบกองทุน!R54"")"),0)</f>
        <v>0</v>
      </c>
      <c r="E50" s="306">
        <f ca="1">IFERROR(__xludf.DUMMYFUNCTION("IMPORTRANGE(""https://docs.google.com/spreadsheets/d/1C3CXT74ZlgGe6_JY_1olB1XN4rF0dxEuIIF-xsYjHgg/edit?usp=sharing"",""งบกองทุน!S54"")"),1028520)</f>
        <v>1028520</v>
      </c>
      <c r="F50" s="307">
        <f ca="1">IFERROR(__xludf.DUMMYFUNCTION("IMPORTRANGE(""https://docs.google.com/spreadsheets/d/1XL5vhW3sbDhbH9Cz0tuDiY8C3ctxq1tqvaCgkFb8cCA/edit?usp=sharing"",""หนองบัวลำภู!M278"")"),273750.7)</f>
        <v>273750.7</v>
      </c>
      <c r="G50" s="307">
        <f t="shared" ca="1" si="1"/>
        <v>26.615982187998288</v>
      </c>
      <c r="H50" s="306">
        <f ca="1">IFERROR(__xludf.DUMMYFUNCTION("IMPORTRANGE(""https://docs.google.com/spreadsheets/d/1C3CXT74ZlgGe6_JY_1olB1XN4rF0dxEuIIF-xsYjHgg/edit?usp=sharing"",""งบกองทุน!V54"")"),100)</f>
        <v>100</v>
      </c>
      <c r="I50" s="306">
        <f ca="1">IFERROR(__xludf.DUMMYFUNCTION("IMPORTRANGE(""https://docs.google.com/spreadsheets/d/1XL5vhW3sbDhbH9Cz0tuDiY8C3ctxq1tqvaCgkFb8cCA/edit?usp=sharing"",""หนองบัวลำภู!J291"")"),100)</f>
        <v>100</v>
      </c>
      <c r="J50" s="309">
        <f t="shared" ca="1" si="3"/>
        <v>100</v>
      </c>
      <c r="K50" s="306">
        <f ca="1">IFERROR(__xludf.DUMMYFUNCTION("IMPORTRANGE(""https://docs.google.com/spreadsheets/d/1C3CXT74ZlgGe6_JY_1olB1XN4rF0dxEuIIF-xsYjHgg/edit?usp=sharing"",""งบกองทุน!W54"")"),1000)</f>
        <v>1000</v>
      </c>
      <c r="L50" s="306">
        <f ca="1">IFERROR(__xludf.DUMMYFUNCTION("IMPORTRANGE(""https://docs.google.com/spreadsheets/d/1C3CXT74ZlgGe6_JY_1olB1XN4rF0dxEuIIF-xsYjHgg/edit?usp=sharing"",""งบกองทุน!X54"")"),100)</f>
        <v>100</v>
      </c>
      <c r="M50" s="306">
        <f ca="1">IFERROR(__xludf.DUMMYFUNCTION("IMPORTRANGE(""https://docs.google.com/spreadsheets/d/1XL5vhW3sbDhbH9Cz0tuDiY8C3ctxq1tqvaCgkFb8cCA/edit?usp=sharing"",""หนองบัวลำภู!J292"")"),0)</f>
        <v>0</v>
      </c>
      <c r="N50" s="309">
        <f t="shared" ca="1" si="5"/>
        <v>0</v>
      </c>
      <c r="O50" s="306">
        <f ca="1">IFERROR(__xludf.DUMMYFUNCTION("IMPORTRANGE(""https://docs.google.com/spreadsheets/d/1XL5vhW3sbDhbH9Cz0tuDiY8C3ctxq1tqvaCgkFb8cCA/edit?usp=sharing"",""หนองบัวลำภู!J293"")"),0)</f>
        <v>0</v>
      </c>
      <c r="P50" s="359">
        <f t="shared" ca="1" si="6"/>
        <v>0</v>
      </c>
      <c r="Q50" s="339"/>
      <c r="R50" s="339"/>
      <c r="S50" s="339"/>
      <c r="T50" s="339"/>
      <c r="U50" s="339"/>
      <c r="V50" s="339"/>
      <c r="W50" s="339"/>
      <c r="X50" s="339"/>
      <c r="Y50" s="339"/>
      <c r="Z50" s="339"/>
    </row>
    <row r="51" spans="1:26" ht="21" customHeight="1">
      <c r="A51" s="303">
        <v>18</v>
      </c>
      <c r="B51" s="304" t="s">
        <v>75</v>
      </c>
      <c r="C51" s="305">
        <f t="shared" ca="1" si="26"/>
        <v>460140</v>
      </c>
      <c r="D51" s="306">
        <f ca="1">IFERROR(__xludf.DUMMYFUNCTION("IMPORTRANGE(""https://docs.google.com/spreadsheets/d/1C3CXT74ZlgGe6_JY_1olB1XN4rF0dxEuIIF-xsYjHgg/edit?usp=sharing"",""งบกองทุน!R55"")"),0)</f>
        <v>0</v>
      </c>
      <c r="E51" s="306">
        <f ca="1">IFERROR(__xludf.DUMMYFUNCTION("IMPORTRANGE(""https://docs.google.com/spreadsheets/d/1C3CXT74ZlgGe6_JY_1olB1XN4rF0dxEuIIF-xsYjHgg/edit?usp=sharing"",""งบกองทุน!S55"")"),460140)</f>
        <v>460140</v>
      </c>
      <c r="F51" s="307">
        <f ca="1">IFERROR(__xludf.DUMMYFUNCTION("IMPORTRANGE(""https://docs.google.com/spreadsheets/d/1XL5vhW3sbDhbH9Cz0tuDiY8C3ctxq1tqvaCgkFb8cCA/edit?usp=sharing"",""อำนาจเจริญ!M278"")"),37875)</f>
        <v>37875</v>
      </c>
      <c r="G51" s="307">
        <f t="shared" ca="1" si="1"/>
        <v>8.2311905072369278</v>
      </c>
      <c r="H51" s="306">
        <f ca="1">IFERROR(__xludf.DUMMYFUNCTION("IMPORTRANGE(""https://docs.google.com/spreadsheets/d/1C3CXT74ZlgGe6_JY_1olB1XN4rF0dxEuIIF-xsYjHgg/edit?usp=sharing"",""งบกองทุน!V55"")"),50)</f>
        <v>50</v>
      </c>
      <c r="I51" s="306">
        <f ca="1">IFERROR(__xludf.DUMMYFUNCTION("IMPORTRANGE(""https://docs.google.com/spreadsheets/d/1XL5vhW3sbDhbH9Cz0tuDiY8C3ctxq1tqvaCgkFb8cCA/edit?usp=sharing"",""อำนาจเจริญ!J291"")"),50)</f>
        <v>50</v>
      </c>
      <c r="J51" s="309">
        <f t="shared" ca="1" si="3"/>
        <v>100</v>
      </c>
      <c r="K51" s="306">
        <f ca="1">IFERROR(__xludf.DUMMYFUNCTION("IMPORTRANGE(""https://docs.google.com/spreadsheets/d/1C3CXT74ZlgGe6_JY_1olB1XN4rF0dxEuIIF-xsYjHgg/edit?usp=sharing"",""งบกองทุน!W55"")"),500)</f>
        <v>500</v>
      </c>
      <c r="L51" s="306">
        <f ca="1">IFERROR(__xludf.DUMMYFUNCTION("IMPORTRANGE(""https://docs.google.com/spreadsheets/d/1C3CXT74ZlgGe6_JY_1olB1XN4rF0dxEuIIF-xsYjHgg/edit?usp=sharing"",""งบกองทุน!X55"")"),50)</f>
        <v>50</v>
      </c>
      <c r="M51" s="306">
        <f ca="1">IFERROR(__xludf.DUMMYFUNCTION("IMPORTRANGE(""https://docs.google.com/spreadsheets/d/1XL5vhW3sbDhbH9Cz0tuDiY8C3ctxq1tqvaCgkFb8cCA/edit?usp=sharing"",""อำนาจเจริญ!J292"")"),0)</f>
        <v>0</v>
      </c>
      <c r="N51" s="309">
        <f t="shared" ca="1" si="5"/>
        <v>0</v>
      </c>
      <c r="O51" s="306">
        <f ca="1">IFERROR(__xludf.DUMMYFUNCTION("IMPORTRANGE(""https://docs.google.com/spreadsheets/d/1XL5vhW3sbDhbH9Cz0tuDiY8C3ctxq1tqvaCgkFb8cCA/edit?usp=sharing"",""อำนาจเจริญ!J293"")"),0)</f>
        <v>0</v>
      </c>
      <c r="P51" s="359">
        <f t="shared" ca="1" si="6"/>
        <v>0</v>
      </c>
      <c r="Q51" s="339"/>
      <c r="R51" s="339"/>
      <c r="S51" s="339"/>
      <c r="T51" s="339"/>
      <c r="U51" s="339"/>
      <c r="V51" s="339"/>
      <c r="W51" s="339"/>
      <c r="X51" s="339"/>
      <c r="Y51" s="339"/>
      <c r="Z51" s="339"/>
    </row>
    <row r="52" spans="1:26" ht="21" customHeight="1">
      <c r="A52" s="303">
        <v>19</v>
      </c>
      <c r="B52" s="304" t="s">
        <v>76</v>
      </c>
      <c r="C52" s="305">
        <f t="shared" ca="1" si="26"/>
        <v>1028520</v>
      </c>
      <c r="D52" s="306">
        <f ca="1">IFERROR(__xludf.DUMMYFUNCTION("IMPORTRANGE(""https://docs.google.com/spreadsheets/d/1C3CXT74ZlgGe6_JY_1olB1XN4rF0dxEuIIF-xsYjHgg/edit?usp=sharing"",""งบกองทุน!R56"")"),0)</f>
        <v>0</v>
      </c>
      <c r="E52" s="306">
        <f ca="1">IFERROR(__xludf.DUMMYFUNCTION("IMPORTRANGE(""https://docs.google.com/spreadsheets/d/1C3CXT74ZlgGe6_JY_1olB1XN4rF0dxEuIIF-xsYjHgg/edit?usp=sharing"",""งบกองทุน!S56"")"),1028520)</f>
        <v>1028520</v>
      </c>
      <c r="F52" s="307">
        <f ca="1">IFERROR(__xludf.DUMMYFUNCTION("IMPORTRANGE(""https://docs.google.com/spreadsheets/d/1XL5vhW3sbDhbH9Cz0tuDiY8C3ctxq1tqvaCgkFb8cCA/edit?usp=sharing"",""อุดรธานี!M278"")"),158531.9)</f>
        <v>158531.9</v>
      </c>
      <c r="G52" s="307">
        <f t="shared" ca="1" si="1"/>
        <v>15.413594290825653</v>
      </c>
      <c r="H52" s="306">
        <f ca="1">IFERROR(__xludf.DUMMYFUNCTION("IMPORTRANGE(""https://docs.google.com/spreadsheets/d/1C3CXT74ZlgGe6_JY_1olB1XN4rF0dxEuIIF-xsYjHgg/edit?usp=sharing"",""งบกองทุน!V56"")"),100)</f>
        <v>100</v>
      </c>
      <c r="I52" s="306">
        <f ca="1">IFERROR(__xludf.DUMMYFUNCTION("IMPORTRANGE(""https://docs.google.com/spreadsheets/d/1XL5vhW3sbDhbH9Cz0tuDiY8C3ctxq1tqvaCgkFb8cCA/edit?usp=sharing"",""อุดรธานี!J291"")"),100)</f>
        <v>100</v>
      </c>
      <c r="J52" s="309">
        <f t="shared" ca="1" si="3"/>
        <v>100</v>
      </c>
      <c r="K52" s="306">
        <f ca="1">IFERROR(__xludf.DUMMYFUNCTION("IMPORTRANGE(""https://docs.google.com/spreadsheets/d/1C3CXT74ZlgGe6_JY_1olB1XN4rF0dxEuIIF-xsYjHgg/edit?usp=sharing"",""งบกองทุน!W56"")"),1000)</f>
        <v>1000</v>
      </c>
      <c r="L52" s="306">
        <f ca="1">IFERROR(__xludf.DUMMYFUNCTION("IMPORTRANGE(""https://docs.google.com/spreadsheets/d/1C3CXT74ZlgGe6_JY_1olB1XN4rF0dxEuIIF-xsYjHgg/edit?usp=sharing"",""งบกองทุน!X56"")"),100)</f>
        <v>100</v>
      </c>
      <c r="M52" s="306">
        <f ca="1">IFERROR(__xludf.DUMMYFUNCTION("IMPORTRANGE(""https://docs.google.com/spreadsheets/d/1XL5vhW3sbDhbH9Cz0tuDiY8C3ctxq1tqvaCgkFb8cCA/edit?usp=sharing"",""อุดรธานี!J292"")"),0)</f>
        <v>0</v>
      </c>
      <c r="N52" s="309">
        <f t="shared" ca="1" si="5"/>
        <v>0</v>
      </c>
      <c r="O52" s="306">
        <f ca="1">IFERROR(__xludf.DUMMYFUNCTION("IMPORTRANGE(""https://docs.google.com/spreadsheets/d/1XL5vhW3sbDhbH9Cz0tuDiY8C3ctxq1tqvaCgkFb8cCA/edit?usp=sharing"",""อุดรธานี!J293"")"),0)</f>
        <v>0</v>
      </c>
      <c r="P52" s="359">
        <f t="shared" ca="1" si="6"/>
        <v>0</v>
      </c>
      <c r="Q52" s="339"/>
      <c r="R52" s="339"/>
      <c r="S52" s="339"/>
      <c r="T52" s="339"/>
      <c r="U52" s="339"/>
      <c r="V52" s="339"/>
      <c r="W52" s="339"/>
      <c r="X52" s="339"/>
      <c r="Y52" s="339"/>
      <c r="Z52" s="339"/>
    </row>
    <row r="53" spans="1:26" ht="21" customHeight="1">
      <c r="A53" s="310">
        <v>20</v>
      </c>
      <c r="B53" s="311" t="s">
        <v>77</v>
      </c>
      <c r="C53" s="312">
        <f t="shared" ca="1" si="26"/>
        <v>1028520</v>
      </c>
      <c r="D53" s="313">
        <f ca="1">IFERROR(__xludf.DUMMYFUNCTION("IMPORTRANGE(""https://docs.google.com/spreadsheets/d/1C3CXT74ZlgGe6_JY_1olB1XN4rF0dxEuIIF-xsYjHgg/edit?usp=sharing"",""งบกองทุน!R57"")"),0)</f>
        <v>0</v>
      </c>
      <c r="E53" s="313">
        <f ca="1">IFERROR(__xludf.DUMMYFUNCTION("IMPORTRANGE(""https://docs.google.com/spreadsheets/d/1C3CXT74ZlgGe6_JY_1olB1XN4rF0dxEuIIF-xsYjHgg/edit?usp=sharing"",""งบกองทุน!S57"")"),1028520)</f>
        <v>1028520</v>
      </c>
      <c r="F53" s="314">
        <f ca="1">IFERROR(__xludf.DUMMYFUNCTION("IMPORTRANGE(""https://docs.google.com/spreadsheets/d/1XL5vhW3sbDhbH9Cz0tuDiY8C3ctxq1tqvaCgkFb8cCA/edit?usp=sharing"",""อุบลราชธานี!M278"")"),902614)</f>
        <v>902614</v>
      </c>
      <c r="G53" s="314">
        <f t="shared" ca="1" si="1"/>
        <v>87.758526815229644</v>
      </c>
      <c r="H53" s="313">
        <f ca="1">IFERROR(__xludf.DUMMYFUNCTION("IMPORTRANGE(""https://docs.google.com/spreadsheets/d/1C3CXT74ZlgGe6_JY_1olB1XN4rF0dxEuIIF-xsYjHgg/edit?usp=sharing"",""งบกองทุน!V57"")"),100)</f>
        <v>100</v>
      </c>
      <c r="I53" s="313">
        <f ca="1">IFERROR(__xludf.DUMMYFUNCTION("IMPORTRANGE(""https://docs.google.com/spreadsheets/d/1XL5vhW3sbDhbH9Cz0tuDiY8C3ctxq1tqvaCgkFb8cCA/edit?usp=sharing"",""อุบลราชธานี!J291"")"),100)</f>
        <v>100</v>
      </c>
      <c r="J53" s="316">
        <f t="shared" ca="1" si="3"/>
        <v>100</v>
      </c>
      <c r="K53" s="313">
        <f ca="1">IFERROR(__xludf.DUMMYFUNCTION("IMPORTRANGE(""https://docs.google.com/spreadsheets/d/1C3CXT74ZlgGe6_JY_1olB1XN4rF0dxEuIIF-xsYjHgg/edit?usp=sharing"",""งบกองทุน!W57"")"),1000)</f>
        <v>1000</v>
      </c>
      <c r="L53" s="313">
        <f ca="1">IFERROR(__xludf.DUMMYFUNCTION("IMPORTRANGE(""https://docs.google.com/spreadsheets/d/1C3CXT74ZlgGe6_JY_1olB1XN4rF0dxEuIIF-xsYjHgg/edit?usp=sharing"",""งบกองทุน!X57"")"),100)</f>
        <v>100</v>
      </c>
      <c r="M53" s="313">
        <f ca="1">IFERROR(__xludf.DUMMYFUNCTION("IMPORTRANGE(""https://docs.google.com/spreadsheets/d/1XL5vhW3sbDhbH9Cz0tuDiY8C3ctxq1tqvaCgkFb8cCA/edit?usp=sharing"",""อุบลราชธานี!J292"")"),1000)</f>
        <v>1000</v>
      </c>
      <c r="N53" s="316">
        <f t="shared" ca="1" si="5"/>
        <v>100</v>
      </c>
      <c r="O53" s="313">
        <f ca="1">IFERROR(__xludf.DUMMYFUNCTION("IMPORTRANGE(""https://docs.google.com/spreadsheets/d/1XL5vhW3sbDhbH9Cz0tuDiY8C3ctxq1tqvaCgkFb8cCA/edit?usp=sharing"",""อุบลราชธานี!J293"")"),100)</f>
        <v>100</v>
      </c>
      <c r="P53" s="360">
        <f t="shared" ca="1" si="6"/>
        <v>100</v>
      </c>
      <c r="Q53" s="339"/>
      <c r="R53" s="339"/>
      <c r="S53" s="339"/>
      <c r="T53" s="339"/>
      <c r="U53" s="339"/>
      <c r="V53" s="339"/>
      <c r="W53" s="339"/>
      <c r="X53" s="339"/>
      <c r="Y53" s="339"/>
      <c r="Z53" s="339"/>
    </row>
    <row r="54" spans="1:26" ht="21" customHeight="1">
      <c r="A54" s="801" t="s">
        <v>78</v>
      </c>
      <c r="B54" s="678"/>
      <c r="C54" s="317">
        <f t="shared" ref="C54:F54" ca="1" si="27">SUM(C55:C75)</f>
        <v>8972320</v>
      </c>
      <c r="D54" s="318">
        <f t="shared" ca="1" si="27"/>
        <v>0</v>
      </c>
      <c r="E54" s="318">
        <f t="shared" ca="1" si="27"/>
        <v>8972320</v>
      </c>
      <c r="F54" s="319">
        <f t="shared" ca="1" si="27"/>
        <v>2862444.77</v>
      </c>
      <c r="G54" s="319">
        <f t="shared" ca="1" si="1"/>
        <v>31.903061527007509</v>
      </c>
      <c r="H54" s="318">
        <f t="shared" ref="H54:I54" ca="1" si="28">SUM(H55:H75)</f>
        <v>880</v>
      </c>
      <c r="I54" s="318">
        <f t="shared" ca="1" si="28"/>
        <v>886</v>
      </c>
      <c r="J54" s="319">
        <f t="shared" ca="1" si="3"/>
        <v>100.68181818181819</v>
      </c>
      <c r="K54" s="318">
        <f t="shared" ref="K54:M54" ca="1" si="29">SUM(K55:K75)</f>
        <v>8800</v>
      </c>
      <c r="L54" s="318">
        <f t="shared" ca="1" si="29"/>
        <v>880</v>
      </c>
      <c r="M54" s="318">
        <f t="shared" ca="1" si="29"/>
        <v>1603.25</v>
      </c>
      <c r="N54" s="319">
        <f t="shared" ca="1" si="5"/>
        <v>18.21875</v>
      </c>
      <c r="O54" s="318">
        <f ca="1">SUM(O55:O75)</f>
        <v>177</v>
      </c>
      <c r="P54" s="361">
        <f t="shared" ca="1" si="6"/>
        <v>20.113636363636363</v>
      </c>
      <c r="Q54" s="339"/>
      <c r="R54" s="339"/>
      <c r="S54" s="339"/>
      <c r="T54" s="339"/>
      <c r="U54" s="339"/>
      <c r="V54" s="339"/>
      <c r="W54" s="339"/>
      <c r="X54" s="339"/>
      <c r="Y54" s="339"/>
      <c r="Z54" s="339"/>
    </row>
    <row r="55" spans="1:26" ht="21" customHeight="1">
      <c r="A55" s="293">
        <v>1</v>
      </c>
      <c r="B55" s="357" t="s">
        <v>79</v>
      </c>
      <c r="C55" s="295">
        <f t="shared" ref="C55:C75" ca="1" si="30">+D55+E55</f>
        <v>1028520</v>
      </c>
      <c r="D55" s="296">
        <f ca="1">IFERROR(__xludf.DUMMYFUNCTION("IMPORTRANGE(""https://docs.google.com/spreadsheets/d/1C3CXT74ZlgGe6_JY_1olB1XN4rF0dxEuIIF-xsYjHgg/edit?usp=sharing"",""งบกองทุน!R59"")"),0)</f>
        <v>0</v>
      </c>
      <c r="E55" s="296">
        <f ca="1">IFERROR(__xludf.DUMMYFUNCTION("IMPORTRANGE(""https://docs.google.com/spreadsheets/d/1C3CXT74ZlgGe6_JY_1olB1XN4rF0dxEuIIF-xsYjHgg/edit?usp=sharing"",""งบกองทุน!S59"")"),1028520)</f>
        <v>1028520</v>
      </c>
      <c r="F55" s="297">
        <f ca="1">IFERROR(__xludf.DUMMYFUNCTION("IMPORTRANGE(""https://docs.google.com/spreadsheets/d/1SX6NBoVAgQJ6U1MVXOaj8PK2l7WJ3RER9xtqwdhxkhw/edit?usp=sharing"",""กาญจนบุรี!M278"")"),285345.5)</f>
        <v>285345.5</v>
      </c>
      <c r="G55" s="297">
        <f t="shared" ca="1" si="1"/>
        <v>27.743310776649945</v>
      </c>
      <c r="H55" s="296">
        <f ca="1">IFERROR(__xludf.DUMMYFUNCTION("IMPORTRANGE(""https://docs.google.com/spreadsheets/d/1C3CXT74ZlgGe6_JY_1olB1XN4rF0dxEuIIF-xsYjHgg/edit?usp=sharing"",""งบกองทุน!V59"")"),100)</f>
        <v>100</v>
      </c>
      <c r="I55" s="296">
        <f ca="1">IFERROR(__xludf.DUMMYFUNCTION("IMPORTRANGE(""https://docs.google.com/spreadsheets/d/1SX6NBoVAgQJ6U1MVXOaj8PK2l7WJ3RER9xtqwdhxkhw/edit?usp=sharing"",""กาญจนบุรี!J291"")"),100)</f>
        <v>100</v>
      </c>
      <c r="J55" s="301">
        <f t="shared" ca="1" si="3"/>
        <v>100</v>
      </c>
      <c r="K55" s="296">
        <f ca="1">IFERROR(__xludf.DUMMYFUNCTION("IMPORTRANGE(""https://docs.google.com/spreadsheets/d/1C3CXT74ZlgGe6_JY_1olB1XN4rF0dxEuIIF-xsYjHgg/edit?usp=sharing"",""งบกองทุน!W59"")"),1000)</f>
        <v>1000</v>
      </c>
      <c r="L55" s="296">
        <f ca="1">IFERROR(__xludf.DUMMYFUNCTION("IMPORTRANGE(""https://docs.google.com/spreadsheets/d/1C3CXT74ZlgGe6_JY_1olB1XN4rF0dxEuIIF-xsYjHgg/edit?usp=sharing"",""งบกองทุน!X59"")"),100)</f>
        <v>100</v>
      </c>
      <c r="M55" s="296">
        <f ca="1">IFERROR(__xludf.DUMMYFUNCTION("IMPORTRANGE(""https://docs.google.com/spreadsheets/d/1SX6NBoVAgQJ6U1MVXOaj8PK2l7WJ3RER9xtqwdhxkhw/edit?usp=sharing"",""กาญจนบุรี!J292"")"),0)</f>
        <v>0</v>
      </c>
      <c r="N55" s="301">
        <f t="shared" ca="1" si="5"/>
        <v>0</v>
      </c>
      <c r="O55" s="296">
        <f ca="1">IFERROR(__xludf.DUMMYFUNCTION("IMPORTRANGE(""https://docs.google.com/spreadsheets/d/1SX6NBoVAgQJ6U1MVXOaj8PK2l7WJ3RER9xtqwdhxkhw/edit?usp=sharing"",""กาญจนบุรี!J293"")"),0)</f>
        <v>0</v>
      </c>
      <c r="P55" s="358">
        <f t="shared" ca="1" si="6"/>
        <v>0</v>
      </c>
      <c r="Q55" s="339"/>
      <c r="R55" s="339"/>
      <c r="S55" s="339"/>
      <c r="T55" s="339"/>
      <c r="U55" s="339"/>
      <c r="V55" s="339"/>
      <c r="W55" s="339"/>
      <c r="X55" s="339"/>
      <c r="Y55" s="339"/>
      <c r="Z55" s="339"/>
    </row>
    <row r="56" spans="1:26" ht="21" customHeight="1">
      <c r="A56" s="303">
        <v>2</v>
      </c>
      <c r="B56" s="304" t="s">
        <v>80</v>
      </c>
      <c r="C56" s="305">
        <f t="shared" ca="1" si="30"/>
        <v>460140</v>
      </c>
      <c r="D56" s="306">
        <f ca="1">IFERROR(__xludf.DUMMYFUNCTION("IMPORTRANGE(""https://docs.google.com/spreadsheets/d/1C3CXT74ZlgGe6_JY_1olB1XN4rF0dxEuIIF-xsYjHgg/edit?usp=sharing"",""งบกองทุน!R60"")"),0)</f>
        <v>0</v>
      </c>
      <c r="E56" s="306">
        <f ca="1">IFERROR(__xludf.DUMMYFUNCTION("IMPORTRANGE(""https://docs.google.com/spreadsheets/d/1C3CXT74ZlgGe6_JY_1olB1XN4rF0dxEuIIF-xsYjHgg/edit?usp=sharing"",""งบกองทุน!S60"")"),460140)</f>
        <v>460140</v>
      </c>
      <c r="F56" s="307">
        <f ca="1">IFERROR(__xludf.DUMMYFUNCTION("IMPORTRANGE(""https://docs.google.com/spreadsheets/d/1SX6NBoVAgQJ6U1MVXOaj8PK2l7WJ3RER9xtqwdhxkhw/edit?usp=sharing"",""จันทบุรี!M278"")"),76810)</f>
        <v>76810</v>
      </c>
      <c r="G56" s="307">
        <f t="shared" ca="1" si="1"/>
        <v>16.692745686095535</v>
      </c>
      <c r="H56" s="306">
        <f ca="1">IFERROR(__xludf.DUMMYFUNCTION("IMPORTRANGE(""https://docs.google.com/spreadsheets/d/1C3CXT74ZlgGe6_JY_1olB1XN4rF0dxEuIIF-xsYjHgg/edit?usp=sharing"",""งบกองทุน!V60"")"),50)</f>
        <v>50</v>
      </c>
      <c r="I56" s="306">
        <f ca="1">IFERROR(__xludf.DUMMYFUNCTION("IMPORTRANGE(""https://docs.google.com/spreadsheets/d/1SX6NBoVAgQJ6U1MVXOaj8PK2l7WJ3RER9xtqwdhxkhw/edit?usp=sharing"",""จันทบุรี!J291"")"),50)</f>
        <v>50</v>
      </c>
      <c r="J56" s="309">
        <f t="shared" ca="1" si="3"/>
        <v>100</v>
      </c>
      <c r="K56" s="306">
        <f ca="1">IFERROR(__xludf.DUMMYFUNCTION("IMPORTRANGE(""https://docs.google.com/spreadsheets/d/1C3CXT74ZlgGe6_JY_1olB1XN4rF0dxEuIIF-xsYjHgg/edit?usp=sharing"",""งบกองทุน!W60"")"),500)</f>
        <v>500</v>
      </c>
      <c r="L56" s="306">
        <f ca="1">IFERROR(__xludf.DUMMYFUNCTION("IMPORTRANGE(""https://docs.google.com/spreadsheets/d/1C3CXT74ZlgGe6_JY_1olB1XN4rF0dxEuIIF-xsYjHgg/edit?usp=sharing"",""งบกองทุน!X60"")"),50)</f>
        <v>50</v>
      </c>
      <c r="M56" s="306">
        <f ca="1">IFERROR(__xludf.DUMMYFUNCTION("IMPORTRANGE(""https://docs.google.com/spreadsheets/d/1SX6NBoVAgQJ6U1MVXOaj8PK2l7WJ3RER9xtqwdhxkhw/edit?usp=sharing"",""จันทบุรี!J292"")"),0)</f>
        <v>0</v>
      </c>
      <c r="N56" s="309">
        <f t="shared" ca="1" si="5"/>
        <v>0</v>
      </c>
      <c r="O56" s="306">
        <f ca="1">IFERROR(__xludf.DUMMYFUNCTION("IMPORTRANGE(""https://docs.google.com/spreadsheets/d/1SX6NBoVAgQJ6U1MVXOaj8PK2l7WJ3RER9xtqwdhxkhw/edit?usp=sharing"",""จันทบุรี!J293"")"),0)</f>
        <v>0</v>
      </c>
      <c r="P56" s="359">
        <f t="shared" ca="1" si="6"/>
        <v>0</v>
      </c>
      <c r="Q56" s="339"/>
      <c r="R56" s="339"/>
      <c r="S56" s="339"/>
      <c r="T56" s="339"/>
      <c r="U56" s="339"/>
      <c r="V56" s="339"/>
      <c r="W56" s="339"/>
      <c r="X56" s="339"/>
      <c r="Y56" s="339"/>
      <c r="Z56" s="339"/>
    </row>
    <row r="57" spans="1:26" ht="21" customHeight="1">
      <c r="A57" s="303">
        <v>3</v>
      </c>
      <c r="B57" s="304" t="s">
        <v>81</v>
      </c>
      <c r="C57" s="305">
        <f t="shared" ca="1" si="30"/>
        <v>1028520</v>
      </c>
      <c r="D57" s="306">
        <f ca="1">IFERROR(__xludf.DUMMYFUNCTION("IMPORTRANGE(""https://docs.google.com/spreadsheets/d/1C3CXT74ZlgGe6_JY_1olB1XN4rF0dxEuIIF-xsYjHgg/edit?usp=sharing"",""งบกองทุน!R61"")"),0)</f>
        <v>0</v>
      </c>
      <c r="E57" s="306">
        <f ca="1">IFERROR(__xludf.DUMMYFUNCTION("IMPORTRANGE(""https://docs.google.com/spreadsheets/d/1C3CXT74ZlgGe6_JY_1olB1XN4rF0dxEuIIF-xsYjHgg/edit?usp=sharing"",""งบกองทุน!S61"")"),1028520)</f>
        <v>1028520</v>
      </c>
      <c r="F57" s="307">
        <f ca="1">IFERROR(__xludf.DUMMYFUNCTION("IMPORTRANGE(""https://docs.google.com/spreadsheets/d/1SX6NBoVAgQJ6U1MVXOaj8PK2l7WJ3RER9xtqwdhxkhw/edit?usp=sharing"",""ฉะเชิงเทรา!M278"")"),265153.42)</f>
        <v>265153.42</v>
      </c>
      <c r="G57" s="307">
        <f t="shared" ca="1" si="1"/>
        <v>25.780093726908568</v>
      </c>
      <c r="H57" s="306">
        <f ca="1">IFERROR(__xludf.DUMMYFUNCTION("IMPORTRANGE(""https://docs.google.com/spreadsheets/d/1C3CXT74ZlgGe6_JY_1olB1XN4rF0dxEuIIF-xsYjHgg/edit?usp=sharing"",""งบกองทุน!V61"")"),100)</f>
        <v>100</v>
      </c>
      <c r="I57" s="306">
        <f ca="1">IFERROR(__xludf.DUMMYFUNCTION("IMPORTRANGE(""https://docs.google.com/spreadsheets/d/1SX6NBoVAgQJ6U1MVXOaj8PK2l7WJ3RER9xtqwdhxkhw/edit?usp=sharing"",""ฉะเชิงเทรา!J291"")"),100)</f>
        <v>100</v>
      </c>
      <c r="J57" s="309">
        <f t="shared" ca="1" si="3"/>
        <v>100</v>
      </c>
      <c r="K57" s="306">
        <f ca="1">IFERROR(__xludf.DUMMYFUNCTION("IMPORTRANGE(""https://docs.google.com/spreadsheets/d/1C3CXT74ZlgGe6_JY_1olB1XN4rF0dxEuIIF-xsYjHgg/edit?usp=sharing"",""งบกองทุน!W61"")"),1000)</f>
        <v>1000</v>
      </c>
      <c r="L57" s="306">
        <f ca="1">IFERROR(__xludf.DUMMYFUNCTION("IMPORTRANGE(""https://docs.google.com/spreadsheets/d/1C3CXT74ZlgGe6_JY_1olB1XN4rF0dxEuIIF-xsYjHgg/edit?usp=sharing"",""งบกองทุน!X61"")"),100)</f>
        <v>100</v>
      </c>
      <c r="M57" s="306">
        <f ca="1">IFERROR(__xludf.DUMMYFUNCTION("IMPORTRANGE(""https://docs.google.com/spreadsheets/d/1SX6NBoVAgQJ6U1MVXOaj8PK2l7WJ3RER9xtqwdhxkhw/edit?usp=sharing"",""ฉะเชิงเทรา!J292"")"),1000)</f>
        <v>1000</v>
      </c>
      <c r="N57" s="309">
        <f t="shared" ca="1" si="5"/>
        <v>100</v>
      </c>
      <c r="O57" s="306">
        <f ca="1">IFERROR(__xludf.DUMMYFUNCTION("IMPORTRANGE(""https://docs.google.com/spreadsheets/d/1SX6NBoVAgQJ6U1MVXOaj8PK2l7WJ3RER9xtqwdhxkhw/edit?usp=sharing"",""ฉะเชิงเทรา!J293"")"),100)</f>
        <v>100</v>
      </c>
      <c r="P57" s="359">
        <f t="shared" ca="1" si="6"/>
        <v>100</v>
      </c>
      <c r="Q57" s="339"/>
      <c r="R57" s="339"/>
      <c r="S57" s="339"/>
      <c r="T57" s="339"/>
      <c r="U57" s="339"/>
      <c r="V57" s="339"/>
      <c r="W57" s="339"/>
      <c r="X57" s="339"/>
      <c r="Y57" s="339"/>
      <c r="Z57" s="339"/>
    </row>
    <row r="58" spans="1:26" ht="21" customHeight="1">
      <c r="A58" s="303">
        <v>4</v>
      </c>
      <c r="B58" s="304" t="s">
        <v>82</v>
      </c>
      <c r="C58" s="305">
        <f t="shared" ca="1" si="30"/>
        <v>460140</v>
      </c>
      <c r="D58" s="306">
        <f ca="1">IFERROR(__xludf.DUMMYFUNCTION("IMPORTRANGE(""https://docs.google.com/spreadsheets/d/1C3CXT74ZlgGe6_JY_1olB1XN4rF0dxEuIIF-xsYjHgg/edit?usp=sharing"",""งบกองทุน!R62"")"),0)</f>
        <v>0</v>
      </c>
      <c r="E58" s="306">
        <f ca="1">IFERROR(__xludf.DUMMYFUNCTION("IMPORTRANGE(""https://docs.google.com/spreadsheets/d/1C3CXT74ZlgGe6_JY_1olB1XN4rF0dxEuIIF-xsYjHgg/edit?usp=sharing"",""งบกองทุน!S62"")"),460140)</f>
        <v>460140</v>
      </c>
      <c r="F58" s="307">
        <f ca="1">IFERROR(__xludf.DUMMYFUNCTION("IMPORTRANGE(""https://docs.google.com/spreadsheets/d/1SX6NBoVAgQJ6U1MVXOaj8PK2l7WJ3RER9xtqwdhxkhw/edit?usp=sharing"",""ชลบุรี!M278"")"),48823)</f>
        <v>48823</v>
      </c>
      <c r="G58" s="307">
        <f t="shared" ca="1" si="1"/>
        <v>10.610466379797453</v>
      </c>
      <c r="H58" s="306">
        <f ca="1">IFERROR(__xludf.DUMMYFUNCTION("IMPORTRANGE(""https://docs.google.com/spreadsheets/d/1C3CXT74ZlgGe6_JY_1olB1XN4rF0dxEuIIF-xsYjHgg/edit?usp=sharing"",""งบกองทุน!V62"")"),50)</f>
        <v>50</v>
      </c>
      <c r="I58" s="306">
        <f ca="1">IFERROR(__xludf.DUMMYFUNCTION("IMPORTRANGE(""https://docs.google.com/spreadsheets/d/1SX6NBoVAgQJ6U1MVXOaj8PK2l7WJ3RER9xtqwdhxkhw/edit?usp=sharing"",""ชลบุรี!J291"")"),50)</f>
        <v>50</v>
      </c>
      <c r="J58" s="309">
        <f t="shared" ca="1" si="3"/>
        <v>100</v>
      </c>
      <c r="K58" s="306">
        <f ca="1">IFERROR(__xludf.DUMMYFUNCTION("IMPORTRANGE(""https://docs.google.com/spreadsheets/d/1C3CXT74ZlgGe6_JY_1olB1XN4rF0dxEuIIF-xsYjHgg/edit?usp=sharing"",""งบกองทุน!W62"")"),500)</f>
        <v>500</v>
      </c>
      <c r="L58" s="306">
        <f ca="1">IFERROR(__xludf.DUMMYFUNCTION("IMPORTRANGE(""https://docs.google.com/spreadsheets/d/1C3CXT74ZlgGe6_JY_1olB1XN4rF0dxEuIIF-xsYjHgg/edit?usp=sharing"",""งบกองทุน!X62"")"),50)</f>
        <v>50</v>
      </c>
      <c r="M58" s="306">
        <f ca="1">IFERROR(__xludf.DUMMYFUNCTION("IMPORTRANGE(""https://docs.google.com/spreadsheets/d/1SX6NBoVAgQJ6U1MVXOaj8PK2l7WJ3RER9xtqwdhxkhw/edit?usp=sharing"",""ชลบุรี!J292"")"),0)</f>
        <v>0</v>
      </c>
      <c r="N58" s="309">
        <f t="shared" ca="1" si="5"/>
        <v>0</v>
      </c>
      <c r="O58" s="306">
        <f ca="1">IFERROR(__xludf.DUMMYFUNCTION("IMPORTRANGE(""https://docs.google.com/spreadsheets/d/1SX6NBoVAgQJ6U1MVXOaj8PK2l7WJ3RER9xtqwdhxkhw/edit?usp=sharing"",""ชลบุรี!J293"")"),0)</f>
        <v>0</v>
      </c>
      <c r="P58" s="359">
        <f t="shared" ca="1" si="6"/>
        <v>0</v>
      </c>
      <c r="Q58" s="339"/>
      <c r="R58" s="339"/>
      <c r="S58" s="339"/>
      <c r="T58" s="339"/>
      <c r="U58" s="339"/>
      <c r="V58" s="339"/>
      <c r="W58" s="339"/>
      <c r="X58" s="339"/>
      <c r="Y58" s="339"/>
      <c r="Z58" s="339"/>
    </row>
    <row r="59" spans="1:26" ht="21" customHeight="1">
      <c r="A59" s="303">
        <v>5</v>
      </c>
      <c r="B59" s="304" t="s">
        <v>83</v>
      </c>
      <c r="C59" s="305">
        <f t="shared" ca="1" si="30"/>
        <v>207560</v>
      </c>
      <c r="D59" s="306">
        <f ca="1">IFERROR(__xludf.DUMMYFUNCTION("IMPORTRANGE(""https://docs.google.com/spreadsheets/d/1C3CXT74ZlgGe6_JY_1olB1XN4rF0dxEuIIF-xsYjHgg/edit?usp=sharing"",""งบกองทุน!R63"")"),0)</f>
        <v>0</v>
      </c>
      <c r="E59" s="306">
        <f ca="1">IFERROR(__xludf.DUMMYFUNCTION("IMPORTRANGE(""https://docs.google.com/spreadsheets/d/1C3CXT74ZlgGe6_JY_1olB1XN4rF0dxEuIIF-xsYjHgg/edit?usp=sharing"",""งบกองทุน!S63"")"),207560)</f>
        <v>207560</v>
      </c>
      <c r="F59" s="307">
        <f ca="1">IFERROR(__xludf.DUMMYFUNCTION("IMPORTRANGE(""https://docs.google.com/spreadsheets/d/1SX6NBoVAgQJ6U1MVXOaj8PK2l7WJ3RER9xtqwdhxkhw/edit?usp=sharing"",""ชัยนาท!M278"")"),72090)</f>
        <v>72090</v>
      </c>
      <c r="G59" s="307">
        <f t="shared" ca="1" si="1"/>
        <v>34.732125650414339</v>
      </c>
      <c r="H59" s="306">
        <f ca="1">IFERROR(__xludf.DUMMYFUNCTION("IMPORTRANGE(""https://docs.google.com/spreadsheets/d/1C3CXT74ZlgGe6_JY_1olB1XN4rF0dxEuIIF-xsYjHgg/edit?usp=sharing"",""งบกองทุน!V63"")"),20)</f>
        <v>20</v>
      </c>
      <c r="I59" s="306">
        <f ca="1">IFERROR(__xludf.DUMMYFUNCTION("IMPORTRANGE(""https://docs.google.com/spreadsheets/d/1SX6NBoVAgQJ6U1MVXOaj8PK2l7WJ3RER9xtqwdhxkhw/edit?usp=sharing"",""ชัยนาท!J291"")"),20)</f>
        <v>20</v>
      </c>
      <c r="J59" s="309">
        <f t="shared" ca="1" si="3"/>
        <v>100</v>
      </c>
      <c r="K59" s="306">
        <f ca="1">IFERROR(__xludf.DUMMYFUNCTION("IMPORTRANGE(""https://docs.google.com/spreadsheets/d/1C3CXT74ZlgGe6_JY_1olB1XN4rF0dxEuIIF-xsYjHgg/edit?usp=sharing"",""งบกองทุน!W63"")"),200)</f>
        <v>200</v>
      </c>
      <c r="L59" s="306">
        <f ca="1">IFERROR(__xludf.DUMMYFUNCTION("IMPORTRANGE(""https://docs.google.com/spreadsheets/d/1C3CXT74ZlgGe6_JY_1olB1XN4rF0dxEuIIF-xsYjHgg/edit?usp=sharing"",""งบกองทุน!X63"")"),20)</f>
        <v>20</v>
      </c>
      <c r="M59" s="306">
        <f ca="1">IFERROR(__xludf.DUMMYFUNCTION("IMPORTRANGE(""https://docs.google.com/spreadsheets/d/1SX6NBoVAgQJ6U1MVXOaj8PK2l7WJ3RER9xtqwdhxkhw/edit?usp=sharing"",""ชัยนาท!J292"")"),0)</f>
        <v>0</v>
      </c>
      <c r="N59" s="309">
        <f t="shared" ca="1" si="5"/>
        <v>0</v>
      </c>
      <c r="O59" s="306">
        <f ca="1">IFERROR(__xludf.DUMMYFUNCTION("IMPORTRANGE(""https://docs.google.com/spreadsheets/d/1SX6NBoVAgQJ6U1MVXOaj8PK2l7WJ3RER9xtqwdhxkhw/edit?usp=sharing"",""ชัยนาท!J293"")"),0)</f>
        <v>0</v>
      </c>
      <c r="P59" s="359">
        <f t="shared" ca="1" si="6"/>
        <v>0</v>
      </c>
      <c r="Q59" s="339"/>
      <c r="R59" s="339"/>
      <c r="S59" s="339"/>
      <c r="T59" s="339"/>
      <c r="U59" s="339"/>
      <c r="V59" s="339"/>
      <c r="W59" s="339"/>
      <c r="X59" s="339"/>
      <c r="Y59" s="339"/>
      <c r="Z59" s="339"/>
    </row>
    <row r="60" spans="1:26" ht="21" customHeight="1">
      <c r="A60" s="303">
        <v>6</v>
      </c>
      <c r="B60" s="304" t="s">
        <v>84</v>
      </c>
      <c r="C60" s="305">
        <f t="shared" ca="1" si="30"/>
        <v>207560</v>
      </c>
      <c r="D60" s="306">
        <f ca="1">IFERROR(__xludf.DUMMYFUNCTION("IMPORTRANGE(""https://docs.google.com/spreadsheets/d/1C3CXT74ZlgGe6_JY_1olB1XN4rF0dxEuIIF-xsYjHgg/edit?usp=sharing"",""งบกองทุน!R64"")"),0)</f>
        <v>0</v>
      </c>
      <c r="E60" s="306">
        <f ca="1">IFERROR(__xludf.DUMMYFUNCTION("IMPORTRANGE(""https://docs.google.com/spreadsheets/d/1C3CXT74ZlgGe6_JY_1olB1XN4rF0dxEuIIF-xsYjHgg/edit?usp=sharing"",""งบกองทุน!S64"")"),207560)</f>
        <v>207560</v>
      </c>
      <c r="F60" s="307">
        <f ca="1">IFERROR(__xludf.DUMMYFUNCTION("IMPORTRANGE(""https://docs.google.com/spreadsheets/d/1SX6NBoVAgQJ6U1MVXOaj8PK2l7WJ3RER9xtqwdhxkhw/edit?usp=sharing"",""ตราด!M278"")"),69229)</f>
        <v>69229</v>
      </c>
      <c r="G60" s="307">
        <f t="shared" ca="1" si="1"/>
        <v>33.353729042204662</v>
      </c>
      <c r="H60" s="306">
        <f ca="1">IFERROR(__xludf.DUMMYFUNCTION("IMPORTRANGE(""https://docs.google.com/spreadsheets/d/1C3CXT74ZlgGe6_JY_1olB1XN4rF0dxEuIIF-xsYjHgg/edit?usp=sharing"",""งบกองทุน!V64"")"),20)</f>
        <v>20</v>
      </c>
      <c r="I60" s="306">
        <f ca="1">IFERROR(__xludf.DUMMYFUNCTION("IMPORTRANGE(""https://docs.google.com/spreadsheets/d/1SX6NBoVAgQJ6U1MVXOaj8PK2l7WJ3RER9xtqwdhxkhw/edit?usp=sharing"",""ตราด!J291"")"),20)</f>
        <v>20</v>
      </c>
      <c r="J60" s="309">
        <f t="shared" ca="1" si="3"/>
        <v>100</v>
      </c>
      <c r="K60" s="306">
        <f ca="1">IFERROR(__xludf.DUMMYFUNCTION("IMPORTRANGE(""https://docs.google.com/spreadsheets/d/1C3CXT74ZlgGe6_JY_1olB1XN4rF0dxEuIIF-xsYjHgg/edit?usp=sharing"",""งบกองทุน!W64"")"),200)</f>
        <v>200</v>
      </c>
      <c r="L60" s="306">
        <f ca="1">IFERROR(__xludf.DUMMYFUNCTION("IMPORTRANGE(""https://docs.google.com/spreadsheets/d/1C3CXT74ZlgGe6_JY_1olB1XN4rF0dxEuIIF-xsYjHgg/edit?usp=sharing"",""งบกองทุน!X64"")"),20)</f>
        <v>20</v>
      </c>
      <c r="M60" s="306">
        <f ca="1">IFERROR(__xludf.DUMMYFUNCTION("IMPORTRANGE(""https://docs.google.com/spreadsheets/d/1SX6NBoVAgQJ6U1MVXOaj8PK2l7WJ3RER9xtqwdhxkhw/edit?usp=sharing"",""ตราด!J292"")"),0)</f>
        <v>0</v>
      </c>
      <c r="N60" s="309">
        <f t="shared" ca="1" si="5"/>
        <v>0</v>
      </c>
      <c r="O60" s="306">
        <f ca="1">IFERROR(__xludf.DUMMYFUNCTION("IMPORTRANGE(""https://docs.google.com/spreadsheets/d/1SX6NBoVAgQJ6U1MVXOaj8PK2l7WJ3RER9xtqwdhxkhw/edit?usp=sharing"",""ตราด!J293"")"),0)</f>
        <v>0</v>
      </c>
      <c r="P60" s="359">
        <f t="shared" ca="1" si="6"/>
        <v>0</v>
      </c>
      <c r="Q60" s="339"/>
      <c r="R60" s="339"/>
      <c r="S60" s="339"/>
      <c r="T60" s="339"/>
      <c r="U60" s="339"/>
      <c r="V60" s="339"/>
      <c r="W60" s="339"/>
      <c r="X60" s="339"/>
      <c r="Y60" s="339"/>
      <c r="Z60" s="339"/>
    </row>
    <row r="61" spans="1:26" ht="21" customHeight="1">
      <c r="A61" s="303">
        <v>7</v>
      </c>
      <c r="B61" s="304" t="s">
        <v>85</v>
      </c>
      <c r="C61" s="305">
        <f t="shared" ca="1" si="30"/>
        <v>87710</v>
      </c>
      <c r="D61" s="306">
        <f ca="1">IFERROR(__xludf.DUMMYFUNCTION("IMPORTRANGE(""https://docs.google.com/spreadsheets/d/1C3CXT74ZlgGe6_JY_1olB1XN4rF0dxEuIIF-xsYjHgg/edit?usp=sharing"",""งบกองทุน!R65"")"),0)</f>
        <v>0</v>
      </c>
      <c r="E61" s="306">
        <f ca="1">IFERROR(__xludf.DUMMYFUNCTION("IMPORTRANGE(""https://docs.google.com/spreadsheets/d/1C3CXT74ZlgGe6_JY_1olB1XN4rF0dxEuIIF-xsYjHgg/edit?usp=sharing"",""งบกองทุน!S65"")"),87710)</f>
        <v>87710</v>
      </c>
      <c r="F61" s="307">
        <f ca="1">IFERROR(__xludf.DUMMYFUNCTION("IMPORTRANGE(""https://docs.google.com/spreadsheets/d/1SX6NBoVAgQJ6U1MVXOaj8PK2l7WJ3RER9xtqwdhxkhw/edit?usp=sharing"",""นครนายก!M278"")"),37700)</f>
        <v>37700</v>
      </c>
      <c r="G61" s="307">
        <f t="shared" ca="1" si="1"/>
        <v>42.982556150952</v>
      </c>
      <c r="H61" s="306">
        <f ca="1">IFERROR(__xludf.DUMMYFUNCTION("IMPORTRANGE(""https://docs.google.com/spreadsheets/d/1C3CXT74ZlgGe6_JY_1olB1XN4rF0dxEuIIF-xsYjHgg/edit?usp=sharing"",""งบกองทุน!V65"")"),5)</f>
        <v>5</v>
      </c>
      <c r="I61" s="306">
        <f ca="1">IFERROR(__xludf.DUMMYFUNCTION("IMPORTRANGE(""https://docs.google.com/spreadsheets/d/1SX6NBoVAgQJ6U1MVXOaj8PK2l7WJ3RER9xtqwdhxkhw/edit?usp=sharing"",""นครนายก!J291"")"),6)</f>
        <v>6</v>
      </c>
      <c r="J61" s="309">
        <f t="shared" ca="1" si="3"/>
        <v>120</v>
      </c>
      <c r="K61" s="306">
        <f ca="1">IFERROR(__xludf.DUMMYFUNCTION("IMPORTRANGE(""https://docs.google.com/spreadsheets/d/1C3CXT74ZlgGe6_JY_1olB1XN4rF0dxEuIIF-xsYjHgg/edit?usp=sharing"",""งบกองทุน!W65"")"),50)</f>
        <v>50</v>
      </c>
      <c r="L61" s="306">
        <f ca="1">IFERROR(__xludf.DUMMYFUNCTION("IMPORTRANGE(""https://docs.google.com/spreadsheets/d/1C3CXT74ZlgGe6_JY_1olB1XN4rF0dxEuIIF-xsYjHgg/edit?usp=sharing"",""งบกองทุน!X65"")"),5)</f>
        <v>5</v>
      </c>
      <c r="M61" s="306">
        <f ca="1">IFERROR(__xludf.DUMMYFUNCTION("IMPORTRANGE(""https://docs.google.com/spreadsheets/d/1SX6NBoVAgQJ6U1MVXOaj8PK2l7WJ3RER9xtqwdhxkhw/edit?usp=sharing"",""นครนายก!J292"")"),50)</f>
        <v>50</v>
      </c>
      <c r="N61" s="309">
        <f t="shared" ca="1" si="5"/>
        <v>100</v>
      </c>
      <c r="O61" s="306">
        <f ca="1">IFERROR(__xludf.DUMMYFUNCTION("IMPORTRANGE(""https://docs.google.com/spreadsheets/d/1SX6NBoVAgQJ6U1MVXOaj8PK2l7WJ3RER9xtqwdhxkhw/edit?usp=sharing"",""นครนายก!J293"")"),5)</f>
        <v>5</v>
      </c>
      <c r="P61" s="359">
        <f t="shared" ca="1" si="6"/>
        <v>100</v>
      </c>
      <c r="Q61" s="339"/>
      <c r="R61" s="339"/>
      <c r="S61" s="339"/>
      <c r="T61" s="339"/>
      <c r="U61" s="339"/>
      <c r="V61" s="339"/>
      <c r="W61" s="339"/>
      <c r="X61" s="339"/>
      <c r="Y61" s="339"/>
      <c r="Z61" s="339"/>
    </row>
    <row r="62" spans="1:26" ht="21" customHeight="1">
      <c r="A62" s="303">
        <v>8</v>
      </c>
      <c r="B62" s="304" t="s">
        <v>86</v>
      </c>
      <c r="C62" s="305">
        <f t="shared" ca="1" si="30"/>
        <v>0</v>
      </c>
      <c r="D62" s="306">
        <f ca="1">IFERROR(__xludf.DUMMYFUNCTION("IMPORTRANGE(""https://docs.google.com/spreadsheets/d/1C3CXT74ZlgGe6_JY_1olB1XN4rF0dxEuIIF-xsYjHgg/edit?usp=sharing"",""งบกองทุน!R66"")"),0)</f>
        <v>0</v>
      </c>
      <c r="E62" s="306">
        <f ca="1">IFERROR(__xludf.DUMMYFUNCTION("IMPORTRANGE(""https://docs.google.com/spreadsheets/d/1C3CXT74ZlgGe6_JY_1olB1XN4rF0dxEuIIF-xsYjHgg/edit?usp=sharing"",""งบกองทุน!S66"")"),0)</f>
        <v>0</v>
      </c>
      <c r="F62" s="307">
        <f ca="1">IFERROR(__xludf.DUMMYFUNCTION("IMPORTRANGE(""https://docs.google.com/spreadsheets/d/1SX6NBoVAgQJ6U1MVXOaj8PK2l7WJ3RER9xtqwdhxkhw/edit?usp=sharing"",""นครปฐม!M278"")"),0)</f>
        <v>0</v>
      </c>
      <c r="G62" s="307">
        <f t="shared" ca="1" si="1"/>
        <v>0</v>
      </c>
      <c r="H62" s="306">
        <f ca="1">IFERROR(__xludf.DUMMYFUNCTION("IMPORTRANGE(""https://docs.google.com/spreadsheets/d/1C3CXT74ZlgGe6_JY_1olB1XN4rF0dxEuIIF-xsYjHgg/edit?usp=sharing"",""งบกองทุน!V66"")"),0)</f>
        <v>0</v>
      </c>
      <c r="I62" s="306">
        <f ca="1">IFERROR(__xludf.DUMMYFUNCTION("IMPORTRANGE(""https://docs.google.com/spreadsheets/d/1SX6NBoVAgQJ6U1MVXOaj8PK2l7WJ3RER9xtqwdhxkhw/edit?usp=sharing"",""นครปฐม!J291"")"),0)</f>
        <v>0</v>
      </c>
      <c r="J62" s="309">
        <f t="shared" ca="1" si="3"/>
        <v>0</v>
      </c>
      <c r="K62" s="306">
        <f ca="1">IFERROR(__xludf.DUMMYFUNCTION("IMPORTRANGE(""https://docs.google.com/spreadsheets/d/1C3CXT74ZlgGe6_JY_1olB1XN4rF0dxEuIIF-xsYjHgg/edit?usp=sharing"",""งบกองทุน!W66"")"),0)</f>
        <v>0</v>
      </c>
      <c r="L62" s="306">
        <f ca="1">IFERROR(__xludf.DUMMYFUNCTION("IMPORTRANGE(""https://docs.google.com/spreadsheets/d/1C3CXT74ZlgGe6_JY_1olB1XN4rF0dxEuIIF-xsYjHgg/edit?usp=sharing"",""งบกองทุน!X66"")"),0)</f>
        <v>0</v>
      </c>
      <c r="M62" s="306">
        <f ca="1">IFERROR(__xludf.DUMMYFUNCTION("IMPORTRANGE(""https://docs.google.com/spreadsheets/d/1SX6NBoVAgQJ6U1MVXOaj8PK2l7WJ3RER9xtqwdhxkhw/edit?usp=sharing"",""นครปฐม!J292"")"),0)</f>
        <v>0</v>
      </c>
      <c r="N62" s="309">
        <f t="shared" ca="1" si="5"/>
        <v>0</v>
      </c>
      <c r="O62" s="306">
        <f ca="1">IFERROR(__xludf.DUMMYFUNCTION("IMPORTRANGE(""https://docs.google.com/spreadsheets/d/1SX6NBoVAgQJ6U1MVXOaj8PK2l7WJ3RER9xtqwdhxkhw/edit?usp=sharing"",""นครปฐม!J293"")"),0)</f>
        <v>0</v>
      </c>
      <c r="P62" s="359">
        <f t="shared" ca="1" si="6"/>
        <v>0</v>
      </c>
      <c r="Q62" s="339"/>
      <c r="R62" s="339"/>
      <c r="S62" s="339"/>
      <c r="T62" s="339"/>
      <c r="U62" s="339"/>
      <c r="V62" s="339"/>
      <c r="W62" s="339"/>
      <c r="X62" s="339"/>
      <c r="Y62" s="339"/>
      <c r="Z62" s="339"/>
    </row>
    <row r="63" spans="1:26" ht="21" customHeight="1">
      <c r="A63" s="303">
        <v>9</v>
      </c>
      <c r="B63" s="304" t="s">
        <v>87</v>
      </c>
      <c r="C63" s="305">
        <f t="shared" ca="1" si="30"/>
        <v>87710</v>
      </c>
      <c r="D63" s="306">
        <f ca="1">IFERROR(__xludf.DUMMYFUNCTION("IMPORTRANGE(""https://docs.google.com/spreadsheets/d/1C3CXT74ZlgGe6_JY_1olB1XN4rF0dxEuIIF-xsYjHgg/edit?usp=sharing"",""งบกองทุน!R67"")"),0)</f>
        <v>0</v>
      </c>
      <c r="E63" s="306">
        <f ca="1">IFERROR(__xludf.DUMMYFUNCTION("IMPORTRANGE(""https://docs.google.com/spreadsheets/d/1C3CXT74ZlgGe6_JY_1olB1XN4rF0dxEuIIF-xsYjHgg/edit?usp=sharing"",""งบกองทุน!S67"")"),87710)</f>
        <v>87710</v>
      </c>
      <c r="F63" s="307">
        <f ca="1">IFERROR(__xludf.DUMMYFUNCTION("IMPORTRANGE(""https://docs.google.com/spreadsheets/d/1SX6NBoVAgQJ6U1MVXOaj8PK2l7WJ3RER9xtqwdhxkhw/edit?usp=sharing"",""ปทุมธานี!M278"")"),46559)</f>
        <v>46559</v>
      </c>
      <c r="G63" s="307">
        <f t="shared" ca="1" si="1"/>
        <v>53.082886785999314</v>
      </c>
      <c r="H63" s="306">
        <f ca="1">IFERROR(__xludf.DUMMYFUNCTION("IMPORTRANGE(""https://docs.google.com/spreadsheets/d/1C3CXT74ZlgGe6_JY_1olB1XN4rF0dxEuIIF-xsYjHgg/edit?usp=sharing"",""งบกองทุน!V67"")"),5)</f>
        <v>5</v>
      </c>
      <c r="I63" s="306">
        <f ca="1">IFERROR(__xludf.DUMMYFUNCTION("IMPORTRANGE(""https://docs.google.com/spreadsheets/d/1SX6NBoVAgQJ6U1MVXOaj8PK2l7WJ3RER9xtqwdhxkhw/edit?usp=sharing"",""ปทุมธานี!J291"")"),10)</f>
        <v>10</v>
      </c>
      <c r="J63" s="309">
        <f t="shared" ca="1" si="3"/>
        <v>200</v>
      </c>
      <c r="K63" s="306">
        <f ca="1">IFERROR(__xludf.DUMMYFUNCTION("IMPORTRANGE(""https://docs.google.com/spreadsheets/d/1C3CXT74ZlgGe6_JY_1olB1XN4rF0dxEuIIF-xsYjHgg/edit?usp=sharing"",""งบกองทุน!W67"")"),50)</f>
        <v>50</v>
      </c>
      <c r="L63" s="306">
        <f ca="1">IFERROR(__xludf.DUMMYFUNCTION("IMPORTRANGE(""https://docs.google.com/spreadsheets/d/1C3CXT74ZlgGe6_JY_1olB1XN4rF0dxEuIIF-xsYjHgg/edit?usp=sharing"",""งบกองทุน!X67"")"),5)</f>
        <v>5</v>
      </c>
      <c r="M63" s="306">
        <f ca="1">IFERROR(__xludf.DUMMYFUNCTION("IMPORTRANGE(""https://docs.google.com/spreadsheets/d/1SX6NBoVAgQJ6U1MVXOaj8PK2l7WJ3RER9xtqwdhxkhw/edit?usp=sharing"",""ปทุมธานี!J292"")"),0)</f>
        <v>0</v>
      </c>
      <c r="N63" s="309">
        <f t="shared" ca="1" si="5"/>
        <v>0</v>
      </c>
      <c r="O63" s="306">
        <f ca="1">IFERROR(__xludf.DUMMYFUNCTION("IMPORTRANGE(""https://docs.google.com/spreadsheets/d/1SX6NBoVAgQJ6U1MVXOaj8PK2l7WJ3RER9xtqwdhxkhw/edit?usp=sharing"",""ปทุมธานี!J293"")"),0)</f>
        <v>0</v>
      </c>
      <c r="P63" s="359">
        <f t="shared" ca="1" si="6"/>
        <v>0</v>
      </c>
      <c r="Q63" s="339"/>
      <c r="R63" s="339"/>
      <c r="S63" s="339"/>
      <c r="T63" s="339"/>
      <c r="U63" s="339"/>
      <c r="V63" s="339"/>
      <c r="W63" s="339"/>
      <c r="X63" s="339"/>
      <c r="Y63" s="339"/>
      <c r="Z63" s="339"/>
    </row>
    <row r="64" spans="1:26" ht="21" customHeight="1">
      <c r="A64" s="303">
        <v>10</v>
      </c>
      <c r="B64" s="304" t="s">
        <v>88</v>
      </c>
      <c r="C64" s="305">
        <f t="shared" ca="1" si="30"/>
        <v>460140</v>
      </c>
      <c r="D64" s="306">
        <f ca="1">IFERROR(__xludf.DUMMYFUNCTION("IMPORTRANGE(""https://docs.google.com/spreadsheets/d/1C3CXT74ZlgGe6_JY_1olB1XN4rF0dxEuIIF-xsYjHgg/edit?usp=sharing"",""งบกองทุน!R68"")"),0)</f>
        <v>0</v>
      </c>
      <c r="E64" s="306">
        <f ca="1">IFERROR(__xludf.DUMMYFUNCTION("IMPORTRANGE(""https://docs.google.com/spreadsheets/d/1C3CXT74ZlgGe6_JY_1olB1XN4rF0dxEuIIF-xsYjHgg/edit?usp=sharing"",""งบกองทุน!S68"")"),460140)</f>
        <v>460140</v>
      </c>
      <c r="F64" s="307">
        <f ca="1">IFERROR(__xludf.DUMMYFUNCTION("IMPORTRANGE(""https://docs.google.com/spreadsheets/d/1SX6NBoVAgQJ6U1MVXOaj8PK2l7WJ3RER9xtqwdhxkhw/edit?usp=sharing"",""ประจวบคีรีขันธ์!M278"")"),451125)</f>
        <v>451125</v>
      </c>
      <c r="G64" s="307">
        <f t="shared" ca="1" si="1"/>
        <v>98.040813665406176</v>
      </c>
      <c r="H64" s="306">
        <f ca="1">IFERROR(__xludf.DUMMYFUNCTION("IMPORTRANGE(""https://docs.google.com/spreadsheets/d/1C3CXT74ZlgGe6_JY_1olB1XN4rF0dxEuIIF-xsYjHgg/edit?usp=sharing"",""งบกองทุน!V68"")"),50)</f>
        <v>50</v>
      </c>
      <c r="I64" s="306">
        <f ca="1">IFERROR(__xludf.DUMMYFUNCTION("IMPORTRANGE(""https://docs.google.com/spreadsheets/d/1SX6NBoVAgQJ6U1MVXOaj8PK2l7WJ3RER9xtqwdhxkhw/edit?usp=sharing"",""ประจวบคีรีขันธ์!J291"")"),50)</f>
        <v>50</v>
      </c>
      <c r="J64" s="309">
        <f t="shared" ca="1" si="3"/>
        <v>100</v>
      </c>
      <c r="K64" s="306">
        <f ca="1">IFERROR(__xludf.DUMMYFUNCTION("IMPORTRANGE(""https://docs.google.com/spreadsheets/d/1C3CXT74ZlgGe6_JY_1olB1XN4rF0dxEuIIF-xsYjHgg/edit?usp=sharing"",""งบกองทุน!W68"")"),500)</f>
        <v>500</v>
      </c>
      <c r="L64" s="306">
        <f ca="1">IFERROR(__xludf.DUMMYFUNCTION("IMPORTRANGE(""https://docs.google.com/spreadsheets/d/1C3CXT74ZlgGe6_JY_1olB1XN4rF0dxEuIIF-xsYjHgg/edit?usp=sharing"",""งบกองทุน!X68"")"),50)</f>
        <v>50</v>
      </c>
      <c r="M64" s="306">
        <f ca="1">IFERROR(__xludf.DUMMYFUNCTION("IMPORTRANGE(""https://docs.google.com/spreadsheets/d/1SX6NBoVAgQJ6U1MVXOaj8PK2l7WJ3RER9xtqwdhxkhw/edit?usp=sharing"",""ประจวบคีรีขันธ์!J292"")"),500)</f>
        <v>500</v>
      </c>
      <c r="N64" s="309">
        <f t="shared" ca="1" si="5"/>
        <v>100</v>
      </c>
      <c r="O64" s="306">
        <f ca="1">IFERROR(__xludf.DUMMYFUNCTION("IMPORTRANGE(""https://docs.google.com/spreadsheets/d/1SX6NBoVAgQJ6U1MVXOaj8PK2l7WJ3RER9xtqwdhxkhw/edit?usp=sharing"",""ประจวบคีรีขันธ์!J293"")"),50)</f>
        <v>50</v>
      </c>
      <c r="P64" s="359">
        <f t="shared" ca="1" si="6"/>
        <v>100</v>
      </c>
      <c r="Q64" s="339"/>
      <c r="R64" s="339"/>
      <c r="S64" s="339"/>
      <c r="T64" s="339"/>
      <c r="U64" s="339"/>
      <c r="V64" s="339"/>
      <c r="W64" s="339"/>
      <c r="X64" s="339"/>
      <c r="Y64" s="339"/>
      <c r="Z64" s="339"/>
    </row>
    <row r="65" spans="1:26" ht="21" customHeight="1">
      <c r="A65" s="303">
        <v>11</v>
      </c>
      <c r="B65" s="304" t="s">
        <v>89</v>
      </c>
      <c r="C65" s="305">
        <f t="shared" ca="1" si="30"/>
        <v>207560</v>
      </c>
      <c r="D65" s="306">
        <f ca="1">IFERROR(__xludf.DUMMYFUNCTION("IMPORTRANGE(""https://docs.google.com/spreadsheets/d/1C3CXT74ZlgGe6_JY_1olB1XN4rF0dxEuIIF-xsYjHgg/edit?usp=sharing"",""งบกองทุน!R69"")"),0)</f>
        <v>0</v>
      </c>
      <c r="E65" s="306">
        <f ca="1">IFERROR(__xludf.DUMMYFUNCTION("IMPORTRANGE(""https://docs.google.com/spreadsheets/d/1C3CXT74ZlgGe6_JY_1olB1XN4rF0dxEuIIF-xsYjHgg/edit?usp=sharing"",""งบกองทุน!S69"")"),207560)</f>
        <v>207560</v>
      </c>
      <c r="F65" s="307">
        <f ca="1">IFERROR(__xludf.DUMMYFUNCTION("IMPORTRANGE(""https://docs.google.com/spreadsheets/d/1SX6NBoVAgQJ6U1MVXOaj8PK2l7WJ3RER9xtqwdhxkhw/edit?usp=sharing"",""ปราจีนบุรี!M278"")"),74520)</f>
        <v>74520</v>
      </c>
      <c r="G65" s="307">
        <f t="shared" ca="1" si="1"/>
        <v>35.902871458855273</v>
      </c>
      <c r="H65" s="306">
        <f ca="1">IFERROR(__xludf.DUMMYFUNCTION("IMPORTRANGE(""https://docs.google.com/spreadsheets/d/1C3CXT74ZlgGe6_JY_1olB1XN4rF0dxEuIIF-xsYjHgg/edit?usp=sharing"",""งบกองทุน!V69"")"),20)</f>
        <v>20</v>
      </c>
      <c r="I65" s="306">
        <f ca="1">IFERROR(__xludf.DUMMYFUNCTION("IMPORTRANGE(""https://docs.google.com/spreadsheets/d/1SX6NBoVAgQJ6U1MVXOaj8PK2l7WJ3RER9xtqwdhxkhw/edit?usp=sharing"",""ปราจีนบุรี!J291"")"),20)</f>
        <v>20</v>
      </c>
      <c r="J65" s="309">
        <f t="shared" ca="1" si="3"/>
        <v>100</v>
      </c>
      <c r="K65" s="306">
        <f ca="1">IFERROR(__xludf.DUMMYFUNCTION("IMPORTRANGE(""https://docs.google.com/spreadsheets/d/1C3CXT74ZlgGe6_JY_1olB1XN4rF0dxEuIIF-xsYjHgg/edit?usp=sharing"",""งบกองทุน!W69"")"),200)</f>
        <v>200</v>
      </c>
      <c r="L65" s="306">
        <f ca="1">IFERROR(__xludf.DUMMYFUNCTION("IMPORTRANGE(""https://docs.google.com/spreadsheets/d/1C3CXT74ZlgGe6_JY_1olB1XN4rF0dxEuIIF-xsYjHgg/edit?usp=sharing"",""งบกองทุน!X69"")"),20)</f>
        <v>20</v>
      </c>
      <c r="M65" s="306">
        <f ca="1">IFERROR(__xludf.DUMMYFUNCTION("IMPORTRANGE(""https://docs.google.com/spreadsheets/d/1SX6NBoVAgQJ6U1MVXOaj8PK2l7WJ3RER9xtqwdhxkhw/edit?usp=sharing"",""ปราจีนบุรี!J292"")"),0)</f>
        <v>0</v>
      </c>
      <c r="N65" s="309">
        <f t="shared" ca="1" si="5"/>
        <v>0</v>
      </c>
      <c r="O65" s="306">
        <f ca="1">IFERROR(__xludf.DUMMYFUNCTION("IMPORTRANGE(""https://docs.google.com/spreadsheets/d/1SX6NBoVAgQJ6U1MVXOaj8PK2l7WJ3RER9xtqwdhxkhw/edit?usp=sharing"",""ปราจีนบุรี!J293"")"),0)</f>
        <v>0</v>
      </c>
      <c r="P65" s="359">
        <f t="shared" ca="1" si="6"/>
        <v>0</v>
      </c>
      <c r="Q65" s="339"/>
      <c r="R65" s="339"/>
      <c r="S65" s="339"/>
      <c r="T65" s="339"/>
      <c r="U65" s="339"/>
      <c r="V65" s="339"/>
      <c r="W65" s="339"/>
      <c r="X65" s="339"/>
      <c r="Y65" s="339"/>
      <c r="Z65" s="339"/>
    </row>
    <row r="66" spans="1:26" ht="21" customHeight="1">
      <c r="A66" s="303">
        <v>12</v>
      </c>
      <c r="B66" s="304" t="s">
        <v>90</v>
      </c>
      <c r="C66" s="305">
        <f t="shared" ca="1" si="30"/>
        <v>0</v>
      </c>
      <c r="D66" s="306">
        <f ca="1">IFERROR(__xludf.DUMMYFUNCTION("IMPORTRANGE(""https://docs.google.com/spreadsheets/d/1C3CXT74ZlgGe6_JY_1olB1XN4rF0dxEuIIF-xsYjHgg/edit?usp=sharing"",""งบกองทุน!R70"")"),0)</f>
        <v>0</v>
      </c>
      <c r="E66" s="306">
        <f ca="1">IFERROR(__xludf.DUMMYFUNCTION("IMPORTRANGE(""https://docs.google.com/spreadsheets/d/1C3CXT74ZlgGe6_JY_1olB1XN4rF0dxEuIIF-xsYjHgg/edit?usp=sharing"",""งบกองทุน!S70"")"),0)</f>
        <v>0</v>
      </c>
      <c r="F66" s="307">
        <f ca="1">IFERROR(__xludf.DUMMYFUNCTION("IMPORTRANGE(""https://docs.google.com/spreadsheets/d/1SX6NBoVAgQJ6U1MVXOaj8PK2l7WJ3RER9xtqwdhxkhw/edit?usp=sharing"",""พระนครศรีอยุธยา!M278"")"),0)</f>
        <v>0</v>
      </c>
      <c r="G66" s="307">
        <f t="shared" ca="1" si="1"/>
        <v>0</v>
      </c>
      <c r="H66" s="306">
        <f ca="1">IFERROR(__xludf.DUMMYFUNCTION("IMPORTRANGE(""https://docs.google.com/spreadsheets/d/1C3CXT74ZlgGe6_JY_1olB1XN4rF0dxEuIIF-xsYjHgg/edit?usp=sharing"",""งบกองทุน!V70"")"),0)</f>
        <v>0</v>
      </c>
      <c r="I66" s="306">
        <f ca="1">IFERROR(__xludf.DUMMYFUNCTION("IMPORTRANGE(""https://docs.google.com/spreadsheets/d/1SX6NBoVAgQJ6U1MVXOaj8PK2l7WJ3RER9xtqwdhxkhw/edit?usp=sharing"",""พระนครศรีอยุธยา!J291"")"),0)</f>
        <v>0</v>
      </c>
      <c r="J66" s="309">
        <f t="shared" ca="1" si="3"/>
        <v>0</v>
      </c>
      <c r="K66" s="306">
        <f ca="1">IFERROR(__xludf.DUMMYFUNCTION("IMPORTRANGE(""https://docs.google.com/spreadsheets/d/1C3CXT74ZlgGe6_JY_1olB1XN4rF0dxEuIIF-xsYjHgg/edit?usp=sharing"",""งบกองทุน!W70"")"),0)</f>
        <v>0</v>
      </c>
      <c r="L66" s="306">
        <f ca="1">IFERROR(__xludf.DUMMYFUNCTION("IMPORTRANGE(""https://docs.google.com/spreadsheets/d/1C3CXT74ZlgGe6_JY_1olB1XN4rF0dxEuIIF-xsYjHgg/edit?usp=sharing"",""งบกองทุน!X70"")"),0)</f>
        <v>0</v>
      </c>
      <c r="M66" s="306">
        <f ca="1">IFERROR(__xludf.DUMMYFUNCTION("IMPORTRANGE(""https://docs.google.com/spreadsheets/d/1SX6NBoVAgQJ6U1MVXOaj8PK2l7WJ3RER9xtqwdhxkhw/edit?usp=sharing"",""พระนครศรีอยุธยา!J292"")"),0)</f>
        <v>0</v>
      </c>
      <c r="N66" s="309">
        <f t="shared" ca="1" si="5"/>
        <v>0</v>
      </c>
      <c r="O66" s="306">
        <f ca="1">IFERROR(__xludf.DUMMYFUNCTION("IMPORTRANGE(""https://docs.google.com/spreadsheets/d/1SX6NBoVAgQJ6U1MVXOaj8PK2l7WJ3RER9xtqwdhxkhw/edit?usp=sharing"",""พระนครศรีอยุธยา!J293"")"),0)</f>
        <v>0</v>
      </c>
      <c r="P66" s="359">
        <f t="shared" ca="1" si="6"/>
        <v>0</v>
      </c>
      <c r="Q66" s="339"/>
      <c r="R66" s="339"/>
      <c r="S66" s="339"/>
      <c r="T66" s="339"/>
      <c r="U66" s="339"/>
      <c r="V66" s="339"/>
      <c r="W66" s="339"/>
      <c r="X66" s="339"/>
      <c r="Y66" s="339"/>
      <c r="Z66" s="339"/>
    </row>
    <row r="67" spans="1:26" ht="21" customHeight="1">
      <c r="A67" s="303">
        <v>13</v>
      </c>
      <c r="B67" s="304" t="s">
        <v>91</v>
      </c>
      <c r="C67" s="305">
        <f t="shared" ca="1" si="30"/>
        <v>207560</v>
      </c>
      <c r="D67" s="306">
        <f ca="1">IFERROR(__xludf.DUMMYFUNCTION("IMPORTRANGE(""https://docs.google.com/spreadsheets/d/1C3CXT74ZlgGe6_JY_1olB1XN4rF0dxEuIIF-xsYjHgg/edit?usp=sharing"",""งบกองทุน!R71"")"),0)</f>
        <v>0</v>
      </c>
      <c r="E67" s="306">
        <f ca="1">IFERROR(__xludf.DUMMYFUNCTION("IMPORTRANGE(""https://docs.google.com/spreadsheets/d/1C3CXT74ZlgGe6_JY_1olB1XN4rF0dxEuIIF-xsYjHgg/edit?usp=sharing"",""งบกองทุน!S71"")"),207560)</f>
        <v>207560</v>
      </c>
      <c r="F67" s="307">
        <f ca="1">IFERROR(__xludf.DUMMYFUNCTION("IMPORTRANGE(""https://docs.google.com/spreadsheets/d/1SX6NBoVAgQJ6U1MVXOaj8PK2l7WJ3RER9xtqwdhxkhw/edit?usp=sharing"",""เพชรบุรี!M278"")"),96910)</f>
        <v>96910</v>
      </c>
      <c r="G67" s="307">
        <f t="shared" ca="1" si="1"/>
        <v>46.690113702062057</v>
      </c>
      <c r="H67" s="306">
        <f ca="1">IFERROR(__xludf.DUMMYFUNCTION("IMPORTRANGE(""https://docs.google.com/spreadsheets/d/1C3CXT74ZlgGe6_JY_1olB1XN4rF0dxEuIIF-xsYjHgg/edit?usp=sharing"",""งบกองทุน!V71"")"),20)</f>
        <v>20</v>
      </c>
      <c r="I67" s="306">
        <f ca="1">IFERROR(__xludf.DUMMYFUNCTION("IMPORTRANGE(""https://docs.google.com/spreadsheets/d/1SX6NBoVAgQJ6U1MVXOaj8PK2l7WJ3RER9xtqwdhxkhw/edit?usp=sharing"",""เพชรบุรี!J291"")"),20)</f>
        <v>20</v>
      </c>
      <c r="J67" s="309">
        <f t="shared" ca="1" si="3"/>
        <v>100</v>
      </c>
      <c r="K67" s="306">
        <f ca="1">IFERROR(__xludf.DUMMYFUNCTION("IMPORTRANGE(""https://docs.google.com/spreadsheets/d/1C3CXT74ZlgGe6_JY_1olB1XN4rF0dxEuIIF-xsYjHgg/edit?usp=sharing"",""งบกองทุน!W71"")"),200)</f>
        <v>200</v>
      </c>
      <c r="L67" s="306">
        <f ca="1">IFERROR(__xludf.DUMMYFUNCTION("IMPORTRANGE(""https://docs.google.com/spreadsheets/d/1C3CXT74ZlgGe6_JY_1olB1XN4rF0dxEuIIF-xsYjHgg/edit?usp=sharing"",""งบกองทุน!X71"")"),20)</f>
        <v>20</v>
      </c>
      <c r="M67" s="306">
        <f ca="1">IFERROR(__xludf.DUMMYFUNCTION("IMPORTRANGE(""https://docs.google.com/spreadsheets/d/1SX6NBoVAgQJ6U1MVXOaj8PK2l7WJ3RER9xtqwdhxkhw/edit?usp=sharing"",""เพชรบุรี!J292"")"),53.25)</f>
        <v>53.25</v>
      </c>
      <c r="N67" s="309">
        <f t="shared" ca="1" si="5"/>
        <v>26.625</v>
      </c>
      <c r="O67" s="306">
        <f ca="1">IFERROR(__xludf.DUMMYFUNCTION("IMPORTRANGE(""https://docs.google.com/spreadsheets/d/1SX6NBoVAgQJ6U1MVXOaj8PK2l7WJ3RER9xtqwdhxkhw/edit?usp=sharing"",""เพชรบุรี!J293"")"),22)</f>
        <v>22</v>
      </c>
      <c r="P67" s="359">
        <f t="shared" ca="1" si="6"/>
        <v>110</v>
      </c>
      <c r="Q67" s="339"/>
      <c r="R67" s="339"/>
      <c r="S67" s="339"/>
      <c r="T67" s="339"/>
      <c r="U67" s="339"/>
      <c r="V67" s="339"/>
      <c r="W67" s="339"/>
      <c r="X67" s="339"/>
      <c r="Y67" s="339"/>
      <c r="Z67" s="339"/>
    </row>
    <row r="68" spans="1:26" ht="21" customHeight="1">
      <c r="A68" s="303">
        <v>14</v>
      </c>
      <c r="B68" s="304" t="s">
        <v>92</v>
      </c>
      <c r="C68" s="305">
        <f t="shared" ca="1" si="30"/>
        <v>207560</v>
      </c>
      <c r="D68" s="306">
        <f ca="1">IFERROR(__xludf.DUMMYFUNCTION("IMPORTRANGE(""https://docs.google.com/spreadsheets/d/1C3CXT74ZlgGe6_JY_1olB1XN4rF0dxEuIIF-xsYjHgg/edit?usp=sharing"",""งบกองทุน!R72"")"),0)</f>
        <v>0</v>
      </c>
      <c r="E68" s="306">
        <f ca="1">IFERROR(__xludf.DUMMYFUNCTION("IMPORTRANGE(""https://docs.google.com/spreadsheets/d/1C3CXT74ZlgGe6_JY_1olB1XN4rF0dxEuIIF-xsYjHgg/edit?usp=sharing"",""งบกองทุน!S72"")"),207560)</f>
        <v>207560</v>
      </c>
      <c r="F68" s="307">
        <f ca="1">IFERROR(__xludf.DUMMYFUNCTION("IMPORTRANGE(""https://docs.google.com/spreadsheets/d/1SX6NBoVAgQJ6U1MVXOaj8PK2l7WJ3RER9xtqwdhxkhw/edit?usp=sharing"",""ระยอง!M278"")"),68610)</f>
        <v>68610</v>
      </c>
      <c r="G68" s="307">
        <f t="shared" ca="1" si="1"/>
        <v>33.055502023511274</v>
      </c>
      <c r="H68" s="306">
        <f ca="1">IFERROR(__xludf.DUMMYFUNCTION("IMPORTRANGE(""https://docs.google.com/spreadsheets/d/1C3CXT74ZlgGe6_JY_1olB1XN4rF0dxEuIIF-xsYjHgg/edit?usp=sharing"",""งบกองทุน!V72"")"),20)</f>
        <v>20</v>
      </c>
      <c r="I68" s="306">
        <f ca="1">IFERROR(__xludf.DUMMYFUNCTION("IMPORTRANGE(""https://docs.google.com/spreadsheets/d/1SX6NBoVAgQJ6U1MVXOaj8PK2l7WJ3RER9xtqwdhxkhw/edit?usp=sharing"",""ระยอง!J291"")"),20)</f>
        <v>20</v>
      </c>
      <c r="J68" s="309">
        <f t="shared" ca="1" si="3"/>
        <v>100</v>
      </c>
      <c r="K68" s="306">
        <f ca="1">IFERROR(__xludf.DUMMYFUNCTION("IMPORTRANGE(""https://docs.google.com/spreadsheets/d/1C3CXT74ZlgGe6_JY_1olB1XN4rF0dxEuIIF-xsYjHgg/edit?usp=sharing"",""งบกองทุน!W72"")"),200)</f>
        <v>200</v>
      </c>
      <c r="L68" s="306">
        <f ca="1">IFERROR(__xludf.DUMMYFUNCTION("IMPORTRANGE(""https://docs.google.com/spreadsheets/d/1C3CXT74ZlgGe6_JY_1olB1XN4rF0dxEuIIF-xsYjHgg/edit?usp=sharing"",""งบกองทุน!X72"")"),20)</f>
        <v>20</v>
      </c>
      <c r="M68" s="306">
        <f ca="1">IFERROR(__xludf.DUMMYFUNCTION("IMPORTRANGE(""https://docs.google.com/spreadsheets/d/1SX6NBoVAgQJ6U1MVXOaj8PK2l7WJ3RER9xtqwdhxkhw/edit?usp=sharing"",""ระยอง!J292"")"),0)</f>
        <v>0</v>
      </c>
      <c r="N68" s="309">
        <f t="shared" ca="1" si="5"/>
        <v>0</v>
      </c>
      <c r="O68" s="306">
        <f ca="1">IFERROR(__xludf.DUMMYFUNCTION("IMPORTRANGE(""https://docs.google.com/spreadsheets/d/1SX6NBoVAgQJ6U1MVXOaj8PK2l7WJ3RER9xtqwdhxkhw/edit?usp=sharing"",""ระยอง!J293"")"),0)</f>
        <v>0</v>
      </c>
      <c r="P68" s="359">
        <f t="shared" ca="1" si="6"/>
        <v>0</v>
      </c>
      <c r="Q68" s="339"/>
      <c r="R68" s="339"/>
      <c r="S68" s="339"/>
      <c r="T68" s="339"/>
      <c r="U68" s="339"/>
      <c r="V68" s="339"/>
      <c r="W68" s="339"/>
      <c r="X68" s="339"/>
      <c r="Y68" s="339"/>
      <c r="Z68" s="339"/>
    </row>
    <row r="69" spans="1:26" ht="21" customHeight="1">
      <c r="A69" s="303">
        <v>15</v>
      </c>
      <c r="B69" s="304" t="s">
        <v>93</v>
      </c>
      <c r="C69" s="305">
        <f t="shared" ca="1" si="30"/>
        <v>1028520</v>
      </c>
      <c r="D69" s="306">
        <f ca="1">IFERROR(__xludf.DUMMYFUNCTION("IMPORTRANGE(""https://docs.google.com/spreadsheets/d/1C3CXT74ZlgGe6_JY_1olB1XN4rF0dxEuIIF-xsYjHgg/edit?usp=sharing"",""งบกองทุน!R73"")"),0)</f>
        <v>0</v>
      </c>
      <c r="E69" s="306">
        <f ca="1">IFERROR(__xludf.DUMMYFUNCTION("IMPORTRANGE(""https://docs.google.com/spreadsheets/d/1C3CXT74ZlgGe6_JY_1olB1XN4rF0dxEuIIF-xsYjHgg/edit?usp=sharing"",""งบกองทุน!S73"")"),1028520)</f>
        <v>1028520</v>
      </c>
      <c r="F69" s="307">
        <f ca="1">IFERROR(__xludf.DUMMYFUNCTION("IMPORTRANGE(""https://docs.google.com/spreadsheets/d/1SX6NBoVAgQJ6U1MVXOaj8PK2l7WJ3RER9xtqwdhxkhw/edit?usp=sharing"",""ราชบุรี!M278"")"),251770.18)</f>
        <v>251770.18</v>
      </c>
      <c r="G69" s="307">
        <f t="shared" ca="1" si="1"/>
        <v>24.478880332905533</v>
      </c>
      <c r="H69" s="306">
        <f ca="1">IFERROR(__xludf.DUMMYFUNCTION("IMPORTRANGE(""https://docs.google.com/spreadsheets/d/1C3CXT74ZlgGe6_JY_1olB1XN4rF0dxEuIIF-xsYjHgg/edit?usp=sharing"",""งบกองทุน!V73"")"),100)</f>
        <v>100</v>
      </c>
      <c r="I69" s="306">
        <f ca="1">IFERROR(__xludf.DUMMYFUNCTION("IMPORTRANGE(""https://docs.google.com/spreadsheets/d/1SX6NBoVAgQJ6U1MVXOaj8PK2l7WJ3RER9xtqwdhxkhw/edit?usp=sharing"",""ราชบุรี!J291"")"),100)</f>
        <v>100</v>
      </c>
      <c r="J69" s="309">
        <f t="shared" ca="1" si="3"/>
        <v>100</v>
      </c>
      <c r="K69" s="306">
        <f ca="1">IFERROR(__xludf.DUMMYFUNCTION("IMPORTRANGE(""https://docs.google.com/spreadsheets/d/1C3CXT74ZlgGe6_JY_1olB1XN4rF0dxEuIIF-xsYjHgg/edit?usp=sharing"",""งบกองทุน!W73"")"),1000)</f>
        <v>1000</v>
      </c>
      <c r="L69" s="306">
        <f ca="1">IFERROR(__xludf.DUMMYFUNCTION("IMPORTRANGE(""https://docs.google.com/spreadsheets/d/1C3CXT74ZlgGe6_JY_1olB1XN4rF0dxEuIIF-xsYjHgg/edit?usp=sharing"",""งบกองทุน!X73"")"),100)</f>
        <v>100</v>
      </c>
      <c r="M69" s="306">
        <f ca="1">IFERROR(__xludf.DUMMYFUNCTION("IMPORTRANGE(""https://docs.google.com/spreadsheets/d/1SX6NBoVAgQJ6U1MVXOaj8PK2l7WJ3RER9xtqwdhxkhw/edit?usp=sharing"",""ราชบุรี!J292"")"),0)</f>
        <v>0</v>
      </c>
      <c r="N69" s="309">
        <f t="shared" ca="1" si="5"/>
        <v>0</v>
      </c>
      <c r="O69" s="306">
        <f ca="1">IFERROR(__xludf.DUMMYFUNCTION("IMPORTRANGE(""https://docs.google.com/spreadsheets/d/1SX6NBoVAgQJ6U1MVXOaj8PK2l7WJ3RER9xtqwdhxkhw/edit?usp=sharing"",""ราชบุรี!J293"")"),0)</f>
        <v>0</v>
      </c>
      <c r="P69" s="359">
        <f t="shared" ca="1" si="6"/>
        <v>0</v>
      </c>
      <c r="Q69" s="339"/>
      <c r="R69" s="339"/>
      <c r="S69" s="339"/>
      <c r="T69" s="339"/>
      <c r="U69" s="339"/>
      <c r="V69" s="339"/>
      <c r="W69" s="339"/>
      <c r="X69" s="339"/>
      <c r="Y69" s="339"/>
      <c r="Z69" s="339"/>
    </row>
    <row r="70" spans="1:26" ht="24" customHeight="1">
      <c r="A70" s="303">
        <v>16</v>
      </c>
      <c r="B70" s="304" t="s">
        <v>94</v>
      </c>
      <c r="C70" s="305">
        <f t="shared" ca="1" si="30"/>
        <v>1028520</v>
      </c>
      <c r="D70" s="306">
        <f ca="1">IFERROR(__xludf.DUMMYFUNCTION("IMPORTRANGE(""https://docs.google.com/spreadsheets/d/1C3CXT74ZlgGe6_JY_1olB1XN4rF0dxEuIIF-xsYjHgg/edit?usp=sharing"",""งบกองทุน!R74"")"),0)</f>
        <v>0</v>
      </c>
      <c r="E70" s="306">
        <f ca="1">IFERROR(__xludf.DUMMYFUNCTION("IMPORTRANGE(""https://docs.google.com/spreadsheets/d/1C3CXT74ZlgGe6_JY_1olB1XN4rF0dxEuIIF-xsYjHgg/edit?usp=sharing"",""งบกองทุน!S74"")"),1028520)</f>
        <v>1028520</v>
      </c>
      <c r="F70" s="307">
        <f ca="1">IFERROR(__xludf.DUMMYFUNCTION("IMPORTRANGE(""https://docs.google.com/spreadsheets/d/1SX6NBoVAgQJ6U1MVXOaj8PK2l7WJ3RER9xtqwdhxkhw/edit?usp=sharing"",""ลพบุรี!M278"")"),243805)</f>
        <v>243805</v>
      </c>
      <c r="G70" s="307">
        <f t="shared" ca="1" si="1"/>
        <v>23.704449111344456</v>
      </c>
      <c r="H70" s="306">
        <f ca="1">IFERROR(__xludf.DUMMYFUNCTION("IMPORTRANGE(""https://docs.google.com/spreadsheets/d/1C3CXT74ZlgGe6_JY_1olB1XN4rF0dxEuIIF-xsYjHgg/edit?usp=sharing"",""งบกองทุน!V74"")"),100)</f>
        <v>100</v>
      </c>
      <c r="I70" s="306">
        <f ca="1">IFERROR(__xludf.DUMMYFUNCTION("IMPORTRANGE(""https://docs.google.com/spreadsheets/d/1SX6NBoVAgQJ6U1MVXOaj8PK2l7WJ3RER9xtqwdhxkhw/edit?usp=sharing"",""ลพบุรี!J291"")"),100)</f>
        <v>100</v>
      </c>
      <c r="J70" s="309">
        <f t="shared" ca="1" si="3"/>
        <v>100</v>
      </c>
      <c r="K70" s="306">
        <f ca="1">IFERROR(__xludf.DUMMYFUNCTION("IMPORTRANGE(""https://docs.google.com/spreadsheets/d/1C3CXT74ZlgGe6_JY_1olB1XN4rF0dxEuIIF-xsYjHgg/edit?usp=sharing"",""งบกองทุน!W74"")"),1000)</f>
        <v>1000</v>
      </c>
      <c r="L70" s="306">
        <f ca="1">IFERROR(__xludf.DUMMYFUNCTION("IMPORTRANGE(""https://docs.google.com/spreadsheets/d/1C3CXT74ZlgGe6_JY_1olB1XN4rF0dxEuIIF-xsYjHgg/edit?usp=sharing"",""งบกองทุน!X74"")"),100)</f>
        <v>100</v>
      </c>
      <c r="M70" s="306">
        <f ca="1">IFERROR(__xludf.DUMMYFUNCTION("IMPORTRANGE(""https://docs.google.com/spreadsheets/d/1SX6NBoVAgQJ6U1MVXOaj8PK2l7WJ3RER9xtqwdhxkhw/edit?usp=sharing"",""ลพบุรี!J292"")"),0)</f>
        <v>0</v>
      </c>
      <c r="N70" s="309">
        <f t="shared" ca="1" si="5"/>
        <v>0</v>
      </c>
      <c r="O70" s="306">
        <f ca="1">IFERROR(__xludf.DUMMYFUNCTION("IMPORTRANGE(""https://docs.google.com/spreadsheets/d/1SX6NBoVAgQJ6U1MVXOaj8PK2l7WJ3RER9xtqwdhxkhw/edit?usp=sharing"",""ลพบุรี!J293"")"),0)</f>
        <v>0</v>
      </c>
      <c r="P70" s="359">
        <f t="shared" ca="1" si="6"/>
        <v>0</v>
      </c>
      <c r="Q70" s="339"/>
      <c r="R70" s="339"/>
      <c r="S70" s="339"/>
      <c r="T70" s="339"/>
      <c r="U70" s="339"/>
      <c r="V70" s="339"/>
      <c r="W70" s="339"/>
      <c r="X70" s="339"/>
      <c r="Y70" s="339"/>
      <c r="Z70" s="339"/>
    </row>
    <row r="71" spans="1:26" ht="21" customHeight="1">
      <c r="A71" s="303">
        <v>17</v>
      </c>
      <c r="B71" s="304" t="s">
        <v>95</v>
      </c>
      <c r="C71" s="305">
        <f t="shared" ca="1" si="30"/>
        <v>1028520</v>
      </c>
      <c r="D71" s="306">
        <f ca="1">IFERROR(__xludf.DUMMYFUNCTION("IMPORTRANGE(""https://docs.google.com/spreadsheets/d/1C3CXT74ZlgGe6_JY_1olB1XN4rF0dxEuIIF-xsYjHgg/edit?usp=sharing"",""งบกองทุน!R75"")"),0)</f>
        <v>0</v>
      </c>
      <c r="E71" s="306">
        <f ca="1">IFERROR(__xludf.DUMMYFUNCTION("IMPORTRANGE(""https://docs.google.com/spreadsheets/d/1C3CXT74ZlgGe6_JY_1olB1XN4rF0dxEuIIF-xsYjHgg/edit?usp=sharing"",""งบกองทุน!S75"")"),1028520)</f>
        <v>1028520</v>
      </c>
      <c r="F71" s="307">
        <f ca="1">IFERROR(__xludf.DUMMYFUNCTION("IMPORTRANGE(""https://docs.google.com/spreadsheets/d/1SX6NBoVAgQJ6U1MVXOaj8PK2l7WJ3RER9xtqwdhxkhw/edit?usp=sharing"",""สระแก้ว!M278"")"),271712.72)</f>
        <v>271712.71999999997</v>
      </c>
      <c r="G71" s="307">
        <f t="shared" ca="1" si="1"/>
        <v>26.417835336211251</v>
      </c>
      <c r="H71" s="306">
        <f ca="1">IFERROR(__xludf.DUMMYFUNCTION("IMPORTRANGE(""https://docs.google.com/spreadsheets/d/1C3CXT74ZlgGe6_JY_1olB1XN4rF0dxEuIIF-xsYjHgg/edit?usp=sharing"",""งบกองทุน!V75"")"),100)</f>
        <v>100</v>
      </c>
      <c r="I71" s="306">
        <f ca="1">IFERROR(__xludf.DUMMYFUNCTION("IMPORTRANGE(""https://docs.google.com/spreadsheets/d/1SX6NBoVAgQJ6U1MVXOaj8PK2l7WJ3RER9xtqwdhxkhw/edit?usp=sharing"",""สระแก้ว!J291"")"),100)</f>
        <v>100</v>
      </c>
      <c r="J71" s="309">
        <f t="shared" ca="1" si="3"/>
        <v>100</v>
      </c>
      <c r="K71" s="306">
        <f ca="1">IFERROR(__xludf.DUMMYFUNCTION("IMPORTRANGE(""https://docs.google.com/spreadsheets/d/1C3CXT74ZlgGe6_JY_1olB1XN4rF0dxEuIIF-xsYjHgg/edit?usp=sharing"",""งบกองทุน!W75"")"),1000)</f>
        <v>1000</v>
      </c>
      <c r="L71" s="306">
        <f ca="1">IFERROR(__xludf.DUMMYFUNCTION("IMPORTRANGE(""https://docs.google.com/spreadsheets/d/1C3CXT74ZlgGe6_JY_1olB1XN4rF0dxEuIIF-xsYjHgg/edit?usp=sharing"",""งบกองทุน!X75"")"),100)</f>
        <v>100</v>
      </c>
      <c r="M71" s="306">
        <f ca="1">IFERROR(__xludf.DUMMYFUNCTION("IMPORTRANGE(""https://docs.google.com/spreadsheets/d/1SX6NBoVAgQJ6U1MVXOaj8PK2l7WJ3RER9xtqwdhxkhw/edit?usp=sharing"",""สระแก้ว!J292"")"),0)</f>
        <v>0</v>
      </c>
      <c r="N71" s="309">
        <f t="shared" ca="1" si="5"/>
        <v>0</v>
      </c>
      <c r="O71" s="306">
        <f ca="1">IFERROR(__xludf.DUMMYFUNCTION("IMPORTRANGE(""https://docs.google.com/spreadsheets/d/1SX6NBoVAgQJ6U1MVXOaj8PK2l7WJ3RER9xtqwdhxkhw/edit?usp=sharing"",""สระแก้ว!J293"")"),0)</f>
        <v>0</v>
      </c>
      <c r="P71" s="359">
        <f t="shared" ca="1" si="6"/>
        <v>0</v>
      </c>
      <c r="Q71" s="339"/>
      <c r="R71" s="339"/>
      <c r="S71" s="339"/>
      <c r="T71" s="339"/>
      <c r="U71" s="339"/>
      <c r="V71" s="339"/>
      <c r="W71" s="339"/>
      <c r="X71" s="339"/>
      <c r="Y71" s="339"/>
      <c r="Z71" s="339"/>
    </row>
    <row r="72" spans="1:26" ht="21" customHeight="1">
      <c r="A72" s="303">
        <v>18</v>
      </c>
      <c r="B72" s="304" t="s">
        <v>96</v>
      </c>
      <c r="C72" s="305">
        <f t="shared" ca="1" si="30"/>
        <v>207560</v>
      </c>
      <c r="D72" s="306">
        <f ca="1">IFERROR(__xludf.DUMMYFUNCTION("IMPORTRANGE(""https://docs.google.com/spreadsheets/d/1C3CXT74ZlgGe6_JY_1olB1XN4rF0dxEuIIF-xsYjHgg/edit?usp=sharing"",""งบกองทุน!R76"")"),0)</f>
        <v>0</v>
      </c>
      <c r="E72" s="306">
        <f ca="1">IFERROR(__xludf.DUMMYFUNCTION("IMPORTRANGE(""https://docs.google.com/spreadsheets/d/1C3CXT74ZlgGe6_JY_1olB1XN4rF0dxEuIIF-xsYjHgg/edit?usp=sharing"",""งบกองทุน!S76"")"),207560)</f>
        <v>207560</v>
      </c>
      <c r="F72" s="307">
        <f ca="1">IFERROR(__xludf.DUMMYFUNCTION("IMPORTRANGE(""https://docs.google.com/spreadsheets/d/1SX6NBoVAgQJ6U1MVXOaj8PK2l7WJ3RER9xtqwdhxkhw/edit?usp=sharing"",""สระบุรี!M278"")"),200620)</f>
        <v>200620</v>
      </c>
      <c r="G72" s="307">
        <f t="shared" ca="1" si="1"/>
        <v>96.656388514164576</v>
      </c>
      <c r="H72" s="306">
        <f ca="1">IFERROR(__xludf.DUMMYFUNCTION("IMPORTRANGE(""https://docs.google.com/spreadsheets/d/1C3CXT74ZlgGe6_JY_1olB1XN4rF0dxEuIIF-xsYjHgg/edit?usp=sharing"",""งบกองทุน!V76"")"),20)</f>
        <v>20</v>
      </c>
      <c r="I72" s="306">
        <f ca="1">IFERROR(__xludf.DUMMYFUNCTION("IMPORTRANGE(""https://docs.google.com/spreadsheets/d/1SX6NBoVAgQJ6U1MVXOaj8PK2l7WJ3RER9xtqwdhxkhw/edit?usp=sharing"",""สระบุรี!J291"")"),20)</f>
        <v>20</v>
      </c>
      <c r="J72" s="309">
        <f t="shared" ca="1" si="3"/>
        <v>100</v>
      </c>
      <c r="K72" s="306">
        <f ca="1">IFERROR(__xludf.DUMMYFUNCTION("IMPORTRANGE(""https://docs.google.com/spreadsheets/d/1C3CXT74ZlgGe6_JY_1olB1XN4rF0dxEuIIF-xsYjHgg/edit?usp=sharing"",""งบกองทุน!W76"")"),200)</f>
        <v>200</v>
      </c>
      <c r="L72" s="306">
        <f ca="1">IFERROR(__xludf.DUMMYFUNCTION("IMPORTRANGE(""https://docs.google.com/spreadsheets/d/1C3CXT74ZlgGe6_JY_1olB1XN4rF0dxEuIIF-xsYjHgg/edit?usp=sharing"",""งบกองทุน!X76"")"),20)</f>
        <v>20</v>
      </c>
      <c r="M72" s="306">
        <f ca="1">IFERROR(__xludf.DUMMYFUNCTION("IMPORTRANGE(""https://docs.google.com/spreadsheets/d/1SX6NBoVAgQJ6U1MVXOaj8PK2l7WJ3RER9xtqwdhxkhw/edit?usp=sharing"",""สระบุรี!J292"")"),0)</f>
        <v>0</v>
      </c>
      <c r="N72" s="309">
        <f t="shared" ca="1" si="5"/>
        <v>0</v>
      </c>
      <c r="O72" s="306">
        <f ca="1">IFERROR(__xludf.DUMMYFUNCTION("IMPORTRANGE(""https://docs.google.com/spreadsheets/d/1SX6NBoVAgQJ6U1MVXOaj8PK2l7WJ3RER9xtqwdhxkhw/edit?usp=sharing"",""สระบุรี!J293"")"),0)</f>
        <v>0</v>
      </c>
      <c r="P72" s="359">
        <f t="shared" ca="1" si="6"/>
        <v>0</v>
      </c>
      <c r="Q72" s="339"/>
      <c r="R72" s="339"/>
      <c r="S72" s="339"/>
      <c r="T72" s="339"/>
      <c r="U72" s="339"/>
      <c r="V72" s="339"/>
      <c r="W72" s="339"/>
      <c r="X72" s="339"/>
      <c r="Y72" s="339"/>
      <c r="Z72" s="339"/>
    </row>
    <row r="73" spans="1:26" ht="21" customHeight="1">
      <c r="A73" s="303">
        <v>19</v>
      </c>
      <c r="B73" s="304" t="s">
        <v>97</v>
      </c>
      <c r="C73" s="305">
        <f t="shared" ca="1" si="30"/>
        <v>0</v>
      </c>
      <c r="D73" s="306">
        <f ca="1">IFERROR(__xludf.DUMMYFUNCTION("IMPORTRANGE(""https://docs.google.com/spreadsheets/d/1C3CXT74ZlgGe6_JY_1olB1XN4rF0dxEuIIF-xsYjHgg/edit?usp=sharing"",""งบกองทุน!R77"")"),0)</f>
        <v>0</v>
      </c>
      <c r="E73" s="306">
        <f ca="1">IFERROR(__xludf.DUMMYFUNCTION("IMPORTRANGE(""https://docs.google.com/spreadsheets/d/1C3CXT74ZlgGe6_JY_1olB1XN4rF0dxEuIIF-xsYjHgg/edit?usp=sharing"",""งบกองทุน!S77"")"),0)</f>
        <v>0</v>
      </c>
      <c r="F73" s="307">
        <f ca="1">IFERROR(__xludf.DUMMYFUNCTION("IMPORTRANGE(""https://docs.google.com/spreadsheets/d/1SX6NBoVAgQJ6U1MVXOaj8PK2l7WJ3RER9xtqwdhxkhw/edit?usp=sharing"",""สิงห์บุรี!M278"")"),0)</f>
        <v>0</v>
      </c>
      <c r="G73" s="307">
        <f t="shared" ca="1" si="1"/>
        <v>0</v>
      </c>
      <c r="H73" s="306">
        <f ca="1">IFERROR(__xludf.DUMMYFUNCTION("IMPORTRANGE(""https://docs.google.com/spreadsheets/d/1C3CXT74ZlgGe6_JY_1olB1XN4rF0dxEuIIF-xsYjHgg/edit?usp=sharing"",""งบกองทุน!V77"")"),0)</f>
        <v>0</v>
      </c>
      <c r="I73" s="306">
        <f ca="1">IFERROR(__xludf.DUMMYFUNCTION("IMPORTRANGE(""https://docs.google.com/spreadsheets/d/1SX6NBoVAgQJ6U1MVXOaj8PK2l7WJ3RER9xtqwdhxkhw/edit?usp=sharing"",""สิงห์บุรี!J291"")"),0)</f>
        <v>0</v>
      </c>
      <c r="J73" s="309">
        <f t="shared" ca="1" si="3"/>
        <v>0</v>
      </c>
      <c r="K73" s="306">
        <f ca="1">IFERROR(__xludf.DUMMYFUNCTION("IMPORTRANGE(""https://docs.google.com/spreadsheets/d/1C3CXT74ZlgGe6_JY_1olB1XN4rF0dxEuIIF-xsYjHgg/edit?usp=sharing"",""งบกองทุน!W77"")"),0)</f>
        <v>0</v>
      </c>
      <c r="L73" s="306">
        <f ca="1">IFERROR(__xludf.DUMMYFUNCTION("IMPORTRANGE(""https://docs.google.com/spreadsheets/d/1C3CXT74ZlgGe6_JY_1olB1XN4rF0dxEuIIF-xsYjHgg/edit?usp=sharing"",""งบกองทุน!X77"")"),0)</f>
        <v>0</v>
      </c>
      <c r="M73" s="306">
        <f ca="1">IFERROR(__xludf.DUMMYFUNCTION("IMPORTRANGE(""https://docs.google.com/spreadsheets/d/1SX6NBoVAgQJ6U1MVXOaj8PK2l7WJ3RER9xtqwdhxkhw/edit?usp=sharing"",""สิงห์บุรี!J292"")"),0)</f>
        <v>0</v>
      </c>
      <c r="N73" s="309">
        <f t="shared" ca="1" si="5"/>
        <v>0</v>
      </c>
      <c r="O73" s="306">
        <f ca="1">IFERROR(__xludf.DUMMYFUNCTION("IMPORTRANGE(""https://docs.google.com/spreadsheets/d/1SX6NBoVAgQJ6U1MVXOaj8PK2l7WJ3RER9xtqwdhxkhw/edit?usp=sharing"",""สิงห์บุรี!J293"")"),0)</f>
        <v>0</v>
      </c>
      <c r="P73" s="359">
        <f t="shared" ca="1" si="6"/>
        <v>0</v>
      </c>
      <c r="Q73" s="339"/>
      <c r="R73" s="339"/>
      <c r="S73" s="339"/>
      <c r="T73" s="339"/>
      <c r="U73" s="339"/>
      <c r="V73" s="339"/>
      <c r="W73" s="339"/>
      <c r="X73" s="339"/>
      <c r="Y73" s="339"/>
      <c r="Z73" s="339"/>
    </row>
    <row r="74" spans="1:26" ht="21" customHeight="1">
      <c r="A74" s="303">
        <v>20</v>
      </c>
      <c r="B74" s="304" t="s">
        <v>98</v>
      </c>
      <c r="C74" s="305">
        <f t="shared" ca="1" si="30"/>
        <v>1028520</v>
      </c>
      <c r="D74" s="306">
        <f ca="1">IFERROR(__xludf.DUMMYFUNCTION("IMPORTRANGE(""https://docs.google.com/spreadsheets/d/1C3CXT74ZlgGe6_JY_1olB1XN4rF0dxEuIIF-xsYjHgg/edit?usp=sharing"",""งบกองทุน!R78"")"),0)</f>
        <v>0</v>
      </c>
      <c r="E74" s="306">
        <f ca="1">IFERROR(__xludf.DUMMYFUNCTION("IMPORTRANGE(""https://docs.google.com/spreadsheets/d/1C3CXT74ZlgGe6_JY_1olB1XN4rF0dxEuIIF-xsYjHgg/edit?usp=sharing"",""งบกองทุน!S78"")"),1028520)</f>
        <v>1028520</v>
      </c>
      <c r="F74" s="307">
        <f ca="1">IFERROR(__xludf.DUMMYFUNCTION("IMPORTRANGE(""https://docs.google.com/spreadsheets/d/1SX6NBoVAgQJ6U1MVXOaj8PK2l7WJ3RER9xtqwdhxkhw/edit?usp=sharing"",""สุพรรณบุรี!M278"")"),301661.95)</f>
        <v>301661.95</v>
      </c>
      <c r="G74" s="307">
        <f t="shared" ca="1" si="1"/>
        <v>29.329711624470111</v>
      </c>
      <c r="H74" s="306">
        <f ca="1">IFERROR(__xludf.DUMMYFUNCTION("IMPORTRANGE(""https://docs.google.com/spreadsheets/d/1C3CXT74ZlgGe6_JY_1olB1XN4rF0dxEuIIF-xsYjHgg/edit?usp=sharing"",""งบกองทุน!V78"")"),100)</f>
        <v>100</v>
      </c>
      <c r="I74" s="306">
        <f ca="1">IFERROR(__xludf.DUMMYFUNCTION("IMPORTRANGE(""https://docs.google.com/spreadsheets/d/1SX6NBoVAgQJ6U1MVXOaj8PK2l7WJ3RER9xtqwdhxkhw/edit?usp=sharing"",""สุพรรณบุรี!J291"")"),100)</f>
        <v>100</v>
      </c>
      <c r="J74" s="309">
        <f t="shared" ca="1" si="3"/>
        <v>100</v>
      </c>
      <c r="K74" s="306">
        <f ca="1">IFERROR(__xludf.DUMMYFUNCTION("IMPORTRANGE(""https://docs.google.com/spreadsheets/d/1C3CXT74ZlgGe6_JY_1olB1XN4rF0dxEuIIF-xsYjHgg/edit?usp=sharing"",""งบกองทุน!W78"")"),1000)</f>
        <v>1000</v>
      </c>
      <c r="L74" s="306">
        <f ca="1">IFERROR(__xludf.DUMMYFUNCTION("IMPORTRANGE(""https://docs.google.com/spreadsheets/d/1C3CXT74ZlgGe6_JY_1olB1XN4rF0dxEuIIF-xsYjHgg/edit?usp=sharing"",""งบกองทุน!X78"")"),100)</f>
        <v>100</v>
      </c>
      <c r="M74" s="306">
        <f ca="1">IFERROR(__xludf.DUMMYFUNCTION("IMPORTRANGE(""https://docs.google.com/spreadsheets/d/1SX6NBoVAgQJ6U1MVXOaj8PK2l7WJ3RER9xtqwdhxkhw/edit?usp=sharing"",""สุพรรณบุรี!J292"")"),0)</f>
        <v>0</v>
      </c>
      <c r="N74" s="309">
        <f t="shared" ca="1" si="5"/>
        <v>0</v>
      </c>
      <c r="O74" s="306">
        <f ca="1">IFERROR(__xludf.DUMMYFUNCTION("IMPORTRANGE(""https://docs.google.com/spreadsheets/d/1SX6NBoVAgQJ6U1MVXOaj8PK2l7WJ3RER9xtqwdhxkhw/edit?usp=sharing"",""สุพรรณบุรี!J293"")"),0)</f>
        <v>0</v>
      </c>
      <c r="P74" s="359">
        <f t="shared" ca="1" si="6"/>
        <v>0</v>
      </c>
      <c r="Q74" s="339"/>
      <c r="R74" s="339"/>
      <c r="S74" s="339"/>
      <c r="T74" s="339"/>
      <c r="U74" s="339"/>
      <c r="V74" s="339"/>
      <c r="W74" s="339"/>
      <c r="X74" s="339"/>
      <c r="Y74" s="339"/>
      <c r="Z74" s="339"/>
    </row>
    <row r="75" spans="1:26" ht="21" customHeight="1">
      <c r="A75" s="310">
        <v>21</v>
      </c>
      <c r="B75" s="311" t="s">
        <v>99</v>
      </c>
      <c r="C75" s="312">
        <f t="shared" ca="1" si="30"/>
        <v>0</v>
      </c>
      <c r="D75" s="313">
        <f ca="1">IFERROR(__xludf.DUMMYFUNCTION("IMPORTRANGE(""https://docs.google.com/spreadsheets/d/1C3CXT74ZlgGe6_JY_1olB1XN4rF0dxEuIIF-xsYjHgg/edit?usp=sharing"",""งบกองทุน!R79"")"),0)</f>
        <v>0</v>
      </c>
      <c r="E75" s="313">
        <f ca="1">IFERROR(__xludf.DUMMYFUNCTION("IMPORTRANGE(""https://docs.google.com/spreadsheets/d/1C3CXT74ZlgGe6_JY_1olB1XN4rF0dxEuIIF-xsYjHgg/edit?usp=sharing"",""งบกองทุน!S79"")"),0)</f>
        <v>0</v>
      </c>
      <c r="F75" s="314">
        <f ca="1">IFERROR(__xludf.DUMMYFUNCTION("IMPORTRANGE(""https://docs.google.com/spreadsheets/d/1SX6NBoVAgQJ6U1MVXOaj8PK2l7WJ3RER9xtqwdhxkhw/edit?usp=sharing"",""อ่างทอง!M278"")"),0)</f>
        <v>0</v>
      </c>
      <c r="G75" s="314">
        <f t="shared" ca="1" si="1"/>
        <v>0</v>
      </c>
      <c r="H75" s="313">
        <f ca="1">IFERROR(__xludf.DUMMYFUNCTION("IMPORTRANGE(""https://docs.google.com/spreadsheets/d/1C3CXT74ZlgGe6_JY_1olB1XN4rF0dxEuIIF-xsYjHgg/edit?usp=sharing"",""งบกองทุน!V79"")"),0)</f>
        <v>0</v>
      </c>
      <c r="I75" s="313">
        <f ca="1">IFERROR(__xludf.DUMMYFUNCTION("IMPORTRANGE(""https://docs.google.com/spreadsheets/d/1SX6NBoVAgQJ6U1MVXOaj8PK2l7WJ3RER9xtqwdhxkhw/edit?usp=sharing"",""อ่างทอง!J291"")"),0)</f>
        <v>0</v>
      </c>
      <c r="J75" s="316">
        <f t="shared" ca="1" si="3"/>
        <v>0</v>
      </c>
      <c r="K75" s="313">
        <f ca="1">IFERROR(__xludf.DUMMYFUNCTION("IMPORTRANGE(""https://docs.google.com/spreadsheets/d/1C3CXT74ZlgGe6_JY_1olB1XN4rF0dxEuIIF-xsYjHgg/edit?usp=sharing"",""งบกองทุน!W79"")"),0)</f>
        <v>0</v>
      </c>
      <c r="L75" s="313">
        <f ca="1">IFERROR(__xludf.DUMMYFUNCTION("IMPORTRANGE(""https://docs.google.com/spreadsheets/d/1C3CXT74ZlgGe6_JY_1olB1XN4rF0dxEuIIF-xsYjHgg/edit?usp=sharing"",""งบกองทุน!X79"")"),0)</f>
        <v>0</v>
      </c>
      <c r="M75" s="313">
        <f ca="1">IFERROR(__xludf.DUMMYFUNCTION("IMPORTRANGE(""https://docs.google.com/spreadsheets/d/1SX6NBoVAgQJ6U1MVXOaj8PK2l7WJ3RER9xtqwdhxkhw/edit?usp=sharing"",""อ่างทอง!J292"")"),0)</f>
        <v>0</v>
      </c>
      <c r="N75" s="316">
        <f t="shared" ca="1" si="5"/>
        <v>0</v>
      </c>
      <c r="O75" s="313">
        <f ca="1">IFERROR(__xludf.DUMMYFUNCTION("IMPORTRANGE(""https://docs.google.com/spreadsheets/d/1SX6NBoVAgQJ6U1MVXOaj8PK2l7WJ3RER9xtqwdhxkhw/edit?usp=sharing"",""อ่างทอง!J293"")"),0)</f>
        <v>0</v>
      </c>
      <c r="P75" s="360">
        <f t="shared" ca="1" si="6"/>
        <v>0</v>
      </c>
      <c r="Q75" s="339"/>
      <c r="R75" s="339"/>
      <c r="S75" s="339"/>
      <c r="T75" s="339"/>
      <c r="U75" s="339"/>
      <c r="V75" s="339"/>
      <c r="W75" s="339"/>
      <c r="X75" s="339"/>
      <c r="Y75" s="339"/>
      <c r="Z75" s="339"/>
    </row>
    <row r="76" spans="1:26" ht="21" customHeight="1">
      <c r="A76" s="802" t="s">
        <v>100</v>
      </c>
      <c r="B76" s="652"/>
      <c r="C76" s="317">
        <f t="shared" ref="C76:F76" ca="1" si="31">SUM(C77:C90)</f>
        <v>4832540</v>
      </c>
      <c r="D76" s="318">
        <f t="shared" ca="1" si="31"/>
        <v>0</v>
      </c>
      <c r="E76" s="318">
        <f t="shared" ca="1" si="31"/>
        <v>4832540</v>
      </c>
      <c r="F76" s="319">
        <f t="shared" ca="1" si="31"/>
        <v>1233529.5899999999</v>
      </c>
      <c r="G76" s="319">
        <f t="shared" ca="1" si="1"/>
        <v>25.525491563442824</v>
      </c>
      <c r="H76" s="318">
        <f t="shared" ref="H76:I76" ca="1" si="32">SUM(H77:H90)</f>
        <v>470</v>
      </c>
      <c r="I76" s="318">
        <f t="shared" ca="1" si="32"/>
        <v>475</v>
      </c>
      <c r="J76" s="319">
        <f t="shared" ca="1" si="3"/>
        <v>101.06382978723404</v>
      </c>
      <c r="K76" s="318">
        <f t="shared" ref="K76:M76" ca="1" si="33">SUM(K77:K90)</f>
        <v>4700</v>
      </c>
      <c r="L76" s="318">
        <f t="shared" ca="1" si="33"/>
        <v>470</v>
      </c>
      <c r="M76" s="318">
        <f t="shared" ca="1" si="33"/>
        <v>1150</v>
      </c>
      <c r="N76" s="319">
        <f t="shared" ca="1" si="5"/>
        <v>24.468085106382979</v>
      </c>
      <c r="O76" s="318">
        <f ca="1">SUM(O77:O90)</f>
        <v>115</v>
      </c>
      <c r="P76" s="361">
        <f t="shared" ca="1" si="6"/>
        <v>24.468085106382979</v>
      </c>
      <c r="Q76" s="339"/>
      <c r="R76" s="339"/>
      <c r="S76" s="339"/>
      <c r="T76" s="339"/>
      <c r="U76" s="339"/>
      <c r="V76" s="339"/>
      <c r="W76" s="339"/>
      <c r="X76" s="339"/>
      <c r="Y76" s="339"/>
      <c r="Z76" s="339"/>
    </row>
    <row r="77" spans="1:26" ht="21" customHeight="1">
      <c r="A77" s="293">
        <v>1</v>
      </c>
      <c r="B77" s="357" t="s">
        <v>101</v>
      </c>
      <c r="C77" s="295">
        <f t="shared" ref="C77:C90" ca="1" si="34">+D77+E77</f>
        <v>293900</v>
      </c>
      <c r="D77" s="296">
        <f ca="1">IFERROR(__xludf.DUMMYFUNCTION("IMPORTRANGE(""https://docs.google.com/spreadsheets/d/1C3CXT74ZlgGe6_JY_1olB1XN4rF0dxEuIIF-xsYjHgg/edit?usp=sharing"",""งบกองทุน!R81"")"),0)</f>
        <v>0</v>
      </c>
      <c r="E77" s="296">
        <f ca="1">IFERROR(__xludf.DUMMYFUNCTION("IMPORTRANGE(""https://docs.google.com/spreadsheets/d/1C3CXT74ZlgGe6_JY_1olB1XN4rF0dxEuIIF-xsYjHgg/edit?usp=sharing"",""งบกองทุน!S81"")"),293900)</f>
        <v>293900</v>
      </c>
      <c r="F77" s="297">
        <f ca="1">IFERROR(__xludf.DUMMYFUNCTION("IMPORTRANGE(""https://docs.google.com/spreadsheets/d/1IYY_tgx_IHuhSq3AJ5eI5OnqOPBNLWSHKh2a30DoXe8/edit?usp=sharing"",""กระบี่!M278"")"),82580)</f>
        <v>82580</v>
      </c>
      <c r="G77" s="297">
        <f t="shared" ca="1" si="1"/>
        <v>28.097992514460699</v>
      </c>
      <c r="H77" s="296">
        <f ca="1">IFERROR(__xludf.DUMMYFUNCTION("IMPORTRANGE(""https://docs.google.com/spreadsheets/d/1C3CXT74ZlgGe6_JY_1olB1XN4rF0dxEuIIF-xsYjHgg/edit?usp=sharing"",""งบกองทุน!V81"")"),30)</f>
        <v>30</v>
      </c>
      <c r="I77" s="296">
        <f ca="1">IFERROR(__xludf.DUMMYFUNCTION("IMPORTRANGE(""https://docs.google.com/spreadsheets/d/1IYY_tgx_IHuhSq3AJ5eI5OnqOPBNLWSHKh2a30DoXe8/edit?usp=sharing"",""กระบี่!J291"")"),30)</f>
        <v>30</v>
      </c>
      <c r="J77" s="301">
        <f t="shared" ca="1" si="3"/>
        <v>100</v>
      </c>
      <c r="K77" s="296">
        <f ca="1">IFERROR(__xludf.DUMMYFUNCTION("IMPORTRANGE(""https://docs.google.com/spreadsheets/d/1C3CXT74ZlgGe6_JY_1olB1XN4rF0dxEuIIF-xsYjHgg/edit?usp=sharing"",""งบกองทุน!W81"")"),300)</f>
        <v>300</v>
      </c>
      <c r="L77" s="296">
        <f ca="1">IFERROR(__xludf.DUMMYFUNCTION("IMPORTRANGE(""https://docs.google.com/spreadsheets/d/1C3CXT74ZlgGe6_JY_1olB1XN4rF0dxEuIIF-xsYjHgg/edit?usp=sharing"",""งบกองทุน!X81"")"),30)</f>
        <v>30</v>
      </c>
      <c r="M77" s="296">
        <f ca="1">IFERROR(__xludf.DUMMYFUNCTION("IMPORTRANGE(""https://docs.google.com/spreadsheets/d/1IYY_tgx_IHuhSq3AJ5eI5OnqOPBNLWSHKh2a30DoXe8/edit?usp=sharing"",""กระบี่!J292"")"),0)</f>
        <v>0</v>
      </c>
      <c r="N77" s="301">
        <f t="shared" ca="1" si="5"/>
        <v>0</v>
      </c>
      <c r="O77" s="296">
        <f ca="1">IFERROR(__xludf.DUMMYFUNCTION("IMPORTRANGE(""https://docs.google.com/spreadsheets/d/1IYY_tgx_IHuhSq3AJ5eI5OnqOPBNLWSHKh2a30DoXe8/edit?usp=sharing"",""กระบี่!J293"")"),0)</f>
        <v>0</v>
      </c>
      <c r="P77" s="358">
        <f t="shared" ca="1" si="6"/>
        <v>0</v>
      </c>
      <c r="Q77" s="339"/>
      <c r="R77" s="339"/>
      <c r="S77" s="339"/>
      <c r="T77" s="339"/>
      <c r="U77" s="339"/>
      <c r="V77" s="339"/>
      <c r="W77" s="339"/>
      <c r="X77" s="339"/>
      <c r="Y77" s="339"/>
      <c r="Z77" s="339"/>
    </row>
    <row r="78" spans="1:26" ht="21" customHeight="1">
      <c r="A78" s="303">
        <v>2</v>
      </c>
      <c r="B78" s="304" t="s">
        <v>102</v>
      </c>
      <c r="C78" s="305">
        <f t="shared" ca="1" si="34"/>
        <v>460140</v>
      </c>
      <c r="D78" s="306">
        <f ca="1">IFERROR(__xludf.DUMMYFUNCTION("IMPORTRANGE(""https://docs.google.com/spreadsheets/d/1C3CXT74ZlgGe6_JY_1olB1XN4rF0dxEuIIF-xsYjHgg/edit?usp=sharing"",""งบกองทุน!R82"")"),0)</f>
        <v>0</v>
      </c>
      <c r="E78" s="306">
        <f ca="1">IFERROR(__xludf.DUMMYFUNCTION("IMPORTRANGE(""https://docs.google.com/spreadsheets/d/1C3CXT74ZlgGe6_JY_1olB1XN4rF0dxEuIIF-xsYjHgg/edit?usp=sharing"",""งบกองทุน!S82"")"),460140)</f>
        <v>460140</v>
      </c>
      <c r="F78" s="307">
        <f ca="1">IFERROR(__xludf.DUMMYFUNCTION("IMPORTRANGE(""https://docs.google.com/spreadsheets/d/1IYY_tgx_IHuhSq3AJ5eI5OnqOPBNLWSHKh2a30DoXe8/edit?usp=sharing"",""ชุมพร!M278"")"),51720)</f>
        <v>51720</v>
      </c>
      <c r="G78" s="307">
        <f t="shared" ca="1" si="1"/>
        <v>11.240057373842744</v>
      </c>
      <c r="H78" s="306">
        <f ca="1">IFERROR(__xludf.DUMMYFUNCTION("IMPORTRANGE(""https://docs.google.com/spreadsheets/d/1C3CXT74ZlgGe6_JY_1olB1XN4rF0dxEuIIF-xsYjHgg/edit?usp=sharing"",""งบกองทุน!V82"")"),50)</f>
        <v>50</v>
      </c>
      <c r="I78" s="306">
        <f ca="1">IFERROR(__xludf.DUMMYFUNCTION("IMPORTRANGE(""https://docs.google.com/spreadsheets/d/1IYY_tgx_IHuhSq3AJ5eI5OnqOPBNLWSHKh2a30DoXe8/edit?usp=sharing"",""ชุมพร!J291"")"),50)</f>
        <v>50</v>
      </c>
      <c r="J78" s="309">
        <f t="shared" ca="1" si="3"/>
        <v>100</v>
      </c>
      <c r="K78" s="306">
        <f ca="1">IFERROR(__xludf.DUMMYFUNCTION("IMPORTRANGE(""https://docs.google.com/spreadsheets/d/1C3CXT74ZlgGe6_JY_1olB1XN4rF0dxEuIIF-xsYjHgg/edit?usp=sharing"",""งบกองทุน!W82"")"),500)</f>
        <v>500</v>
      </c>
      <c r="L78" s="306">
        <f ca="1">IFERROR(__xludf.DUMMYFUNCTION("IMPORTRANGE(""https://docs.google.com/spreadsheets/d/1C3CXT74ZlgGe6_JY_1olB1XN4rF0dxEuIIF-xsYjHgg/edit?usp=sharing"",""งบกองทุน!X82"")"),50)</f>
        <v>50</v>
      </c>
      <c r="M78" s="306">
        <f ca="1">IFERROR(__xludf.DUMMYFUNCTION("IMPORTRANGE(""https://docs.google.com/spreadsheets/d/1IYY_tgx_IHuhSq3AJ5eI5OnqOPBNLWSHKh2a30DoXe8/edit?usp=sharing"",""ชุมพร!J292"")"),0)</f>
        <v>0</v>
      </c>
      <c r="N78" s="309">
        <f t="shared" ca="1" si="5"/>
        <v>0</v>
      </c>
      <c r="O78" s="306">
        <f ca="1">IFERROR(__xludf.DUMMYFUNCTION("IMPORTRANGE(""https://docs.google.com/spreadsheets/d/1IYY_tgx_IHuhSq3AJ5eI5OnqOPBNLWSHKh2a30DoXe8/edit?usp=sharing"",""ชุมพร!J293"")"),0)</f>
        <v>0</v>
      </c>
      <c r="P78" s="359">
        <f t="shared" ca="1" si="6"/>
        <v>0</v>
      </c>
      <c r="Q78" s="339"/>
      <c r="R78" s="339"/>
      <c r="S78" s="339"/>
      <c r="T78" s="339"/>
      <c r="U78" s="339"/>
      <c r="V78" s="339"/>
      <c r="W78" s="339"/>
      <c r="X78" s="339"/>
      <c r="Y78" s="339"/>
      <c r="Z78" s="339"/>
    </row>
    <row r="79" spans="1:26" ht="21" customHeight="1">
      <c r="A79" s="303">
        <v>3</v>
      </c>
      <c r="B79" s="304" t="s">
        <v>103</v>
      </c>
      <c r="C79" s="305">
        <f t="shared" ca="1" si="34"/>
        <v>293900</v>
      </c>
      <c r="D79" s="306">
        <f ca="1">IFERROR(__xludf.DUMMYFUNCTION("IMPORTRANGE(""https://docs.google.com/spreadsheets/d/1C3CXT74ZlgGe6_JY_1olB1XN4rF0dxEuIIF-xsYjHgg/edit?usp=sharing"",""งบกองทุน!R83"")"),0)</f>
        <v>0</v>
      </c>
      <c r="E79" s="306">
        <f ca="1">IFERROR(__xludf.DUMMYFUNCTION("IMPORTRANGE(""https://docs.google.com/spreadsheets/d/1C3CXT74ZlgGe6_JY_1olB1XN4rF0dxEuIIF-xsYjHgg/edit?usp=sharing"",""งบกองทุน!S83"")"),293900)</f>
        <v>293900</v>
      </c>
      <c r="F79" s="307">
        <f ca="1">IFERROR(__xludf.DUMMYFUNCTION("IMPORTRANGE(""https://docs.google.com/spreadsheets/d/1IYY_tgx_IHuhSq3AJ5eI5OnqOPBNLWSHKh2a30DoXe8/edit?usp=sharing"",""ตรัง!M278"")"),58108.3)</f>
        <v>58108.3</v>
      </c>
      <c r="G79" s="307">
        <f t="shared" ca="1" si="1"/>
        <v>19.771452875127594</v>
      </c>
      <c r="H79" s="306">
        <f ca="1">IFERROR(__xludf.DUMMYFUNCTION("IMPORTRANGE(""https://docs.google.com/spreadsheets/d/1C3CXT74ZlgGe6_JY_1olB1XN4rF0dxEuIIF-xsYjHgg/edit?usp=sharing"",""งบกองทุน!V83"")"),30)</f>
        <v>30</v>
      </c>
      <c r="I79" s="306">
        <f ca="1">IFERROR(__xludf.DUMMYFUNCTION("IMPORTRANGE(""https://docs.google.com/spreadsheets/d/1IYY_tgx_IHuhSq3AJ5eI5OnqOPBNLWSHKh2a30DoXe8/edit?usp=sharing"",""ตรัง!J291"")"),30)</f>
        <v>30</v>
      </c>
      <c r="J79" s="309">
        <f t="shared" ca="1" si="3"/>
        <v>100</v>
      </c>
      <c r="K79" s="306">
        <f ca="1">IFERROR(__xludf.DUMMYFUNCTION("IMPORTRANGE(""https://docs.google.com/spreadsheets/d/1C3CXT74ZlgGe6_JY_1olB1XN4rF0dxEuIIF-xsYjHgg/edit?usp=sharing"",""งบกองทุน!W83"")"),300)</f>
        <v>300</v>
      </c>
      <c r="L79" s="306">
        <f ca="1">IFERROR(__xludf.DUMMYFUNCTION("IMPORTRANGE(""https://docs.google.com/spreadsheets/d/1C3CXT74ZlgGe6_JY_1olB1XN4rF0dxEuIIF-xsYjHgg/edit?usp=sharing"",""งบกองทุน!X83"")"),30)</f>
        <v>30</v>
      </c>
      <c r="M79" s="306">
        <f ca="1">IFERROR(__xludf.DUMMYFUNCTION("IMPORTRANGE(""https://docs.google.com/spreadsheets/d/1IYY_tgx_IHuhSq3AJ5eI5OnqOPBNLWSHKh2a30DoXe8/edit?usp=sharing"",""ตรัง!J292"")"),0)</f>
        <v>0</v>
      </c>
      <c r="N79" s="309">
        <f t="shared" ca="1" si="5"/>
        <v>0</v>
      </c>
      <c r="O79" s="306">
        <f ca="1">IFERROR(__xludf.DUMMYFUNCTION("IMPORTRANGE(""https://docs.google.com/spreadsheets/d/1IYY_tgx_IHuhSq3AJ5eI5OnqOPBNLWSHKh2a30DoXe8/edit?usp=sharing"",""ตรัง!J293"")"),0)</f>
        <v>0</v>
      </c>
      <c r="P79" s="359">
        <f t="shared" ca="1" si="6"/>
        <v>0</v>
      </c>
      <c r="Q79" s="339"/>
      <c r="R79" s="339"/>
      <c r="S79" s="339"/>
      <c r="T79" s="339"/>
      <c r="U79" s="339"/>
      <c r="V79" s="339"/>
      <c r="W79" s="339"/>
      <c r="X79" s="339"/>
      <c r="Y79" s="339"/>
      <c r="Z79" s="339"/>
    </row>
    <row r="80" spans="1:26" ht="21" customHeight="1">
      <c r="A80" s="303">
        <v>4</v>
      </c>
      <c r="B80" s="304" t="s">
        <v>104</v>
      </c>
      <c r="C80" s="305">
        <f t="shared" ca="1" si="34"/>
        <v>207560</v>
      </c>
      <c r="D80" s="306">
        <f ca="1">IFERROR(__xludf.DUMMYFUNCTION("IMPORTRANGE(""https://docs.google.com/spreadsheets/d/1C3CXT74ZlgGe6_JY_1olB1XN4rF0dxEuIIF-xsYjHgg/edit?usp=sharing"",""งบกองทุน!R84"")"),0)</f>
        <v>0</v>
      </c>
      <c r="E80" s="306">
        <f ca="1">IFERROR(__xludf.DUMMYFUNCTION("IMPORTRANGE(""https://docs.google.com/spreadsheets/d/1C3CXT74ZlgGe6_JY_1olB1XN4rF0dxEuIIF-xsYjHgg/edit?usp=sharing"",""งบกองทุน!S84"")"),207560)</f>
        <v>207560</v>
      </c>
      <c r="F80" s="307">
        <f ca="1">IFERROR(__xludf.DUMMYFUNCTION("IMPORTRANGE(""https://docs.google.com/spreadsheets/d/1IYY_tgx_IHuhSq3AJ5eI5OnqOPBNLWSHKh2a30DoXe8/edit?usp=sharing"",""นครศรีธรรมราช!M278"")"),28251)</f>
        <v>28251</v>
      </c>
      <c r="G80" s="307">
        <f t="shared" ca="1" si="1"/>
        <v>13.611004047022547</v>
      </c>
      <c r="H80" s="306">
        <f ca="1">IFERROR(__xludf.DUMMYFUNCTION("IMPORTRANGE(""https://docs.google.com/spreadsheets/d/1C3CXT74ZlgGe6_JY_1olB1XN4rF0dxEuIIF-xsYjHgg/edit?usp=sharing"",""งบกองทุน!V84"")"),20)</f>
        <v>20</v>
      </c>
      <c r="I80" s="306">
        <f ca="1">IFERROR(__xludf.DUMMYFUNCTION("IMPORTRANGE(""https://docs.google.com/spreadsheets/d/1IYY_tgx_IHuhSq3AJ5eI5OnqOPBNLWSHKh2a30DoXe8/edit?usp=sharing"",""นครศรีธรรมราช!J291"")"),20)</f>
        <v>20</v>
      </c>
      <c r="J80" s="309">
        <f t="shared" ca="1" si="3"/>
        <v>100</v>
      </c>
      <c r="K80" s="306">
        <f ca="1">IFERROR(__xludf.DUMMYFUNCTION("IMPORTRANGE(""https://docs.google.com/spreadsheets/d/1C3CXT74ZlgGe6_JY_1olB1XN4rF0dxEuIIF-xsYjHgg/edit?usp=sharing"",""งบกองทุน!W84"")"),200)</f>
        <v>200</v>
      </c>
      <c r="L80" s="306">
        <f ca="1">IFERROR(__xludf.DUMMYFUNCTION("IMPORTRANGE(""https://docs.google.com/spreadsheets/d/1C3CXT74ZlgGe6_JY_1olB1XN4rF0dxEuIIF-xsYjHgg/edit?usp=sharing"",""งบกองทุน!X84"")"),20)</f>
        <v>20</v>
      </c>
      <c r="M80" s="306">
        <f ca="1">IFERROR(__xludf.DUMMYFUNCTION("IMPORTRANGE(""https://docs.google.com/spreadsheets/d/1IYY_tgx_IHuhSq3AJ5eI5OnqOPBNLWSHKh2a30DoXe8/edit?usp=sharing"",""นครศรีธรรมราช!J292"")"),0)</f>
        <v>0</v>
      </c>
      <c r="N80" s="309">
        <f t="shared" ca="1" si="5"/>
        <v>0</v>
      </c>
      <c r="O80" s="306">
        <f ca="1">IFERROR(__xludf.DUMMYFUNCTION("IMPORTRANGE(""https://docs.google.com/spreadsheets/d/1IYY_tgx_IHuhSq3AJ5eI5OnqOPBNLWSHKh2a30DoXe8/edit?usp=sharing"",""นครศรีธรรมราช!J293"")"),0)</f>
        <v>0</v>
      </c>
      <c r="P80" s="359">
        <f t="shared" ca="1" si="6"/>
        <v>0</v>
      </c>
      <c r="Q80" s="339"/>
      <c r="R80" s="339"/>
      <c r="S80" s="339"/>
      <c r="T80" s="339"/>
      <c r="U80" s="339"/>
      <c r="V80" s="339"/>
      <c r="W80" s="339"/>
      <c r="X80" s="339"/>
      <c r="Y80" s="339"/>
      <c r="Z80" s="339"/>
    </row>
    <row r="81" spans="1:26" ht="21" customHeight="1">
      <c r="A81" s="303">
        <v>5</v>
      </c>
      <c r="B81" s="304" t="s">
        <v>105</v>
      </c>
      <c r="C81" s="305">
        <f t="shared" ca="1" si="34"/>
        <v>127660</v>
      </c>
      <c r="D81" s="306">
        <f ca="1">IFERROR(__xludf.DUMMYFUNCTION("IMPORTRANGE(""https://docs.google.com/spreadsheets/d/1C3CXT74ZlgGe6_JY_1olB1XN4rF0dxEuIIF-xsYjHgg/edit?usp=sharing"",""งบกองทุน!R85"")"),0)</f>
        <v>0</v>
      </c>
      <c r="E81" s="306">
        <f ca="1">IFERROR(__xludf.DUMMYFUNCTION("IMPORTRANGE(""https://docs.google.com/spreadsheets/d/1C3CXT74ZlgGe6_JY_1olB1XN4rF0dxEuIIF-xsYjHgg/edit?usp=sharing"",""งบกองทุน!S85"")"),127660)</f>
        <v>127660</v>
      </c>
      <c r="F81" s="307">
        <f ca="1">IFERROR(__xludf.DUMMYFUNCTION("IMPORTRANGE(""https://docs.google.com/spreadsheets/d/1IYY_tgx_IHuhSq3AJ5eI5OnqOPBNLWSHKh2a30DoXe8/edit?usp=sharing"",""นราธิวาส!M278"")"),63840)</f>
        <v>63840</v>
      </c>
      <c r="G81" s="307">
        <f t="shared" ca="1" si="1"/>
        <v>50.007833307222306</v>
      </c>
      <c r="H81" s="306">
        <f ca="1">IFERROR(__xludf.DUMMYFUNCTION("IMPORTRANGE(""https://docs.google.com/spreadsheets/d/1C3CXT74ZlgGe6_JY_1olB1XN4rF0dxEuIIF-xsYjHgg/edit?usp=sharing"",""งบกองทุน!V85"")"),10)</f>
        <v>10</v>
      </c>
      <c r="I81" s="306">
        <f ca="1">IFERROR(__xludf.DUMMYFUNCTION("IMPORTRANGE(""https://docs.google.com/spreadsheets/d/1IYY_tgx_IHuhSq3AJ5eI5OnqOPBNLWSHKh2a30DoXe8/edit?usp=sharing"",""นราธิวาส!J291"")"),10)</f>
        <v>10</v>
      </c>
      <c r="J81" s="309">
        <f t="shared" ca="1" si="3"/>
        <v>100</v>
      </c>
      <c r="K81" s="306">
        <f ca="1">IFERROR(__xludf.DUMMYFUNCTION("IMPORTRANGE(""https://docs.google.com/spreadsheets/d/1C3CXT74ZlgGe6_JY_1olB1XN4rF0dxEuIIF-xsYjHgg/edit?usp=sharing"",""งบกองทุน!W85"")"),100)</f>
        <v>100</v>
      </c>
      <c r="L81" s="306">
        <f ca="1">IFERROR(__xludf.DUMMYFUNCTION("IMPORTRANGE(""https://docs.google.com/spreadsheets/d/1C3CXT74ZlgGe6_JY_1olB1XN4rF0dxEuIIF-xsYjHgg/edit?usp=sharing"",""งบกองทุน!X85"")"),10)</f>
        <v>10</v>
      </c>
      <c r="M81" s="306">
        <f ca="1">IFERROR(__xludf.DUMMYFUNCTION("IMPORTRANGE(""https://docs.google.com/spreadsheets/d/1IYY_tgx_IHuhSq3AJ5eI5OnqOPBNLWSHKh2a30DoXe8/edit?usp=sharing"",""นราธิวาส!J292"")"),0)</f>
        <v>0</v>
      </c>
      <c r="N81" s="309">
        <f t="shared" ca="1" si="5"/>
        <v>0</v>
      </c>
      <c r="O81" s="306">
        <f ca="1">IFERROR(__xludf.DUMMYFUNCTION("IMPORTRANGE(""https://docs.google.com/spreadsheets/d/1IYY_tgx_IHuhSq3AJ5eI5OnqOPBNLWSHKh2a30DoXe8/edit?usp=sharing"",""นราธิวาส!J293"")"),0)</f>
        <v>0</v>
      </c>
      <c r="P81" s="359">
        <f t="shared" ca="1" si="6"/>
        <v>0</v>
      </c>
      <c r="Q81" s="339"/>
      <c r="R81" s="339"/>
      <c r="S81" s="339"/>
      <c r="T81" s="339"/>
      <c r="U81" s="339"/>
      <c r="V81" s="339"/>
      <c r="W81" s="339"/>
      <c r="X81" s="339"/>
      <c r="Y81" s="339"/>
      <c r="Z81" s="339"/>
    </row>
    <row r="82" spans="1:26" ht="21" customHeight="1">
      <c r="A82" s="303">
        <v>6</v>
      </c>
      <c r="B82" s="304" t="s">
        <v>106</v>
      </c>
      <c r="C82" s="305">
        <f t="shared" ca="1" si="34"/>
        <v>87710</v>
      </c>
      <c r="D82" s="306">
        <f ca="1">IFERROR(__xludf.DUMMYFUNCTION("IMPORTRANGE(""https://docs.google.com/spreadsheets/d/1C3CXT74ZlgGe6_JY_1olB1XN4rF0dxEuIIF-xsYjHgg/edit?usp=sharing"",""งบกองทุน!R86"")"),0)</f>
        <v>0</v>
      </c>
      <c r="E82" s="306">
        <f ca="1">IFERROR(__xludf.DUMMYFUNCTION("IMPORTRANGE(""https://docs.google.com/spreadsheets/d/1C3CXT74ZlgGe6_JY_1olB1XN4rF0dxEuIIF-xsYjHgg/edit?usp=sharing"",""งบกองทุน!S86"")"),87710)</f>
        <v>87710</v>
      </c>
      <c r="F82" s="307">
        <f ca="1">IFERROR(__xludf.DUMMYFUNCTION("IMPORTRANGE(""https://docs.google.com/spreadsheets/d/1IYY_tgx_IHuhSq3AJ5eI5OnqOPBNLWSHKh2a30DoXe8/edit?usp=sharing"",""ปัตตานี!M278"")"),24844.12)</f>
        <v>24844.12</v>
      </c>
      <c r="G82" s="307">
        <f t="shared" ca="1" si="1"/>
        <v>28.325299281723861</v>
      </c>
      <c r="H82" s="306">
        <f ca="1">IFERROR(__xludf.DUMMYFUNCTION("IMPORTRANGE(""https://docs.google.com/spreadsheets/d/1C3CXT74ZlgGe6_JY_1olB1XN4rF0dxEuIIF-xsYjHgg/edit?usp=sharing"",""งบกองทุน!V86"")"),5)</f>
        <v>5</v>
      </c>
      <c r="I82" s="306">
        <f ca="1">IFERROR(__xludf.DUMMYFUNCTION("IMPORTRANGE(""https://docs.google.com/spreadsheets/d/1IYY_tgx_IHuhSq3AJ5eI5OnqOPBNLWSHKh2a30DoXe8/edit?usp=sharing"",""ปัตตานี!J291"")"),5)</f>
        <v>5</v>
      </c>
      <c r="J82" s="309">
        <f t="shared" ca="1" si="3"/>
        <v>100</v>
      </c>
      <c r="K82" s="306">
        <f ca="1">IFERROR(__xludf.DUMMYFUNCTION("IMPORTRANGE(""https://docs.google.com/spreadsheets/d/1C3CXT74ZlgGe6_JY_1olB1XN4rF0dxEuIIF-xsYjHgg/edit?usp=sharing"",""งบกองทุน!W86"")"),50)</f>
        <v>50</v>
      </c>
      <c r="L82" s="306">
        <f ca="1">IFERROR(__xludf.DUMMYFUNCTION("IMPORTRANGE(""https://docs.google.com/spreadsheets/d/1C3CXT74ZlgGe6_JY_1olB1XN4rF0dxEuIIF-xsYjHgg/edit?usp=sharing"",""งบกองทุน!X86"")"),5)</f>
        <v>5</v>
      </c>
      <c r="M82" s="306">
        <f ca="1">IFERROR(__xludf.DUMMYFUNCTION("IMPORTRANGE(""https://docs.google.com/spreadsheets/d/1IYY_tgx_IHuhSq3AJ5eI5OnqOPBNLWSHKh2a30DoXe8/edit?usp=sharing"",""ปัตตานี!J292"")"),0)</f>
        <v>0</v>
      </c>
      <c r="N82" s="309">
        <f t="shared" ca="1" si="5"/>
        <v>0</v>
      </c>
      <c r="O82" s="306">
        <f ca="1">IFERROR(__xludf.DUMMYFUNCTION("IMPORTRANGE(""https://docs.google.com/spreadsheets/d/1IYY_tgx_IHuhSq3AJ5eI5OnqOPBNLWSHKh2a30DoXe8/edit?usp=sharing"",""ปัตตานี!J293"")"),0)</f>
        <v>0</v>
      </c>
      <c r="P82" s="359">
        <f t="shared" ca="1" si="6"/>
        <v>0</v>
      </c>
      <c r="Q82" s="339"/>
      <c r="R82" s="339"/>
      <c r="S82" s="339"/>
      <c r="T82" s="339"/>
      <c r="U82" s="339"/>
      <c r="V82" s="339"/>
      <c r="W82" s="339"/>
      <c r="X82" s="339"/>
      <c r="Y82" s="339"/>
      <c r="Z82" s="339"/>
    </row>
    <row r="83" spans="1:26" ht="21" customHeight="1">
      <c r="A83" s="303">
        <v>7</v>
      </c>
      <c r="B83" s="304" t="s">
        <v>107</v>
      </c>
      <c r="C83" s="305">
        <f t="shared" ca="1" si="34"/>
        <v>460140</v>
      </c>
      <c r="D83" s="306">
        <f ca="1">IFERROR(__xludf.DUMMYFUNCTION("IMPORTRANGE(""https://docs.google.com/spreadsheets/d/1C3CXT74ZlgGe6_JY_1olB1XN4rF0dxEuIIF-xsYjHgg/edit?usp=sharing"",""งบกองทุน!R87"")"),0)</f>
        <v>0</v>
      </c>
      <c r="E83" s="306">
        <f ca="1">IFERROR(__xludf.DUMMYFUNCTION("IMPORTRANGE(""https://docs.google.com/spreadsheets/d/1C3CXT74ZlgGe6_JY_1olB1XN4rF0dxEuIIF-xsYjHgg/edit?usp=sharing"",""งบกองทุน!S87"")"),460140)</f>
        <v>460140</v>
      </c>
      <c r="F83" s="307">
        <f ca="1">IFERROR(__xludf.DUMMYFUNCTION("IMPORTRANGE(""https://docs.google.com/spreadsheets/d/1IYY_tgx_IHuhSq3AJ5eI5OnqOPBNLWSHKh2a30DoXe8/edit?usp=sharing"",""พังงา!M278"")"),39560)</f>
        <v>39560</v>
      </c>
      <c r="G83" s="307">
        <f t="shared" ca="1" si="1"/>
        <v>8.5973834050506373</v>
      </c>
      <c r="H83" s="306">
        <f ca="1">IFERROR(__xludf.DUMMYFUNCTION("IMPORTRANGE(""https://docs.google.com/spreadsheets/d/1C3CXT74ZlgGe6_JY_1olB1XN4rF0dxEuIIF-xsYjHgg/edit?usp=sharing"",""งบกองทุน!V87"")"),50)</f>
        <v>50</v>
      </c>
      <c r="I83" s="306">
        <f ca="1">IFERROR(__xludf.DUMMYFUNCTION("IMPORTRANGE(""https://docs.google.com/spreadsheets/d/1IYY_tgx_IHuhSq3AJ5eI5OnqOPBNLWSHKh2a30DoXe8/edit?usp=sharing"",""พังงา!J291"")"),50)</f>
        <v>50</v>
      </c>
      <c r="J83" s="309">
        <f t="shared" ca="1" si="3"/>
        <v>100</v>
      </c>
      <c r="K83" s="306">
        <f ca="1">IFERROR(__xludf.DUMMYFUNCTION("IMPORTRANGE(""https://docs.google.com/spreadsheets/d/1C3CXT74ZlgGe6_JY_1olB1XN4rF0dxEuIIF-xsYjHgg/edit?usp=sharing"",""งบกองทุน!W87"")"),500)</f>
        <v>500</v>
      </c>
      <c r="L83" s="306">
        <f ca="1">IFERROR(__xludf.DUMMYFUNCTION("IMPORTRANGE(""https://docs.google.com/spreadsheets/d/1C3CXT74ZlgGe6_JY_1olB1XN4rF0dxEuIIF-xsYjHgg/edit?usp=sharing"",""งบกองทุน!X87"")"),50)</f>
        <v>50</v>
      </c>
      <c r="M83" s="306">
        <f ca="1">IFERROR(__xludf.DUMMYFUNCTION("IMPORTRANGE(""https://docs.google.com/spreadsheets/d/1IYY_tgx_IHuhSq3AJ5eI5OnqOPBNLWSHKh2a30DoXe8/edit?usp=sharing"",""พังงา!J292"")"),0)</f>
        <v>0</v>
      </c>
      <c r="N83" s="309">
        <f t="shared" ca="1" si="5"/>
        <v>0</v>
      </c>
      <c r="O83" s="306">
        <f ca="1">IFERROR(__xludf.DUMMYFUNCTION("IMPORTRANGE(""https://docs.google.com/spreadsheets/d/1IYY_tgx_IHuhSq3AJ5eI5OnqOPBNLWSHKh2a30DoXe8/edit?usp=sharing"",""พังงา!J293"")"),0)</f>
        <v>0</v>
      </c>
      <c r="P83" s="359">
        <f t="shared" ca="1" si="6"/>
        <v>0</v>
      </c>
      <c r="Q83" s="339"/>
      <c r="R83" s="339"/>
      <c r="S83" s="339"/>
      <c r="T83" s="339"/>
      <c r="U83" s="339"/>
      <c r="V83" s="339"/>
      <c r="W83" s="339"/>
      <c r="X83" s="339"/>
      <c r="Y83" s="339"/>
      <c r="Z83" s="339"/>
    </row>
    <row r="84" spans="1:26" ht="21" customHeight="1">
      <c r="A84" s="303">
        <v>8</v>
      </c>
      <c r="B84" s="304" t="s">
        <v>108</v>
      </c>
      <c r="C84" s="305">
        <f t="shared" ca="1" si="34"/>
        <v>293900</v>
      </c>
      <c r="D84" s="306">
        <f ca="1">IFERROR(__xludf.DUMMYFUNCTION("IMPORTRANGE(""https://docs.google.com/spreadsheets/d/1C3CXT74ZlgGe6_JY_1olB1XN4rF0dxEuIIF-xsYjHgg/edit?usp=sharing"",""งบกองทุน!R88"")"),0)</f>
        <v>0</v>
      </c>
      <c r="E84" s="306">
        <f ca="1">IFERROR(__xludf.DUMMYFUNCTION("IMPORTRANGE(""https://docs.google.com/spreadsheets/d/1C3CXT74ZlgGe6_JY_1olB1XN4rF0dxEuIIF-xsYjHgg/edit?usp=sharing"",""งบกองทุน!S88"")"),293900)</f>
        <v>293900</v>
      </c>
      <c r="F84" s="307">
        <f ca="1">IFERROR(__xludf.DUMMYFUNCTION("IMPORTRANGE(""https://docs.google.com/spreadsheets/d/1IYY_tgx_IHuhSq3AJ5eI5OnqOPBNLWSHKh2a30DoXe8/edit?usp=sharing"",""พัทลุง!M278"")"),59590)</f>
        <v>59590</v>
      </c>
      <c r="G84" s="307">
        <f t="shared" ca="1" si="1"/>
        <v>20.275603946920722</v>
      </c>
      <c r="H84" s="306">
        <f ca="1">IFERROR(__xludf.DUMMYFUNCTION("IMPORTRANGE(""https://docs.google.com/spreadsheets/d/1C3CXT74ZlgGe6_JY_1olB1XN4rF0dxEuIIF-xsYjHgg/edit?usp=sharing"",""งบกองทุน!V88"")"),30)</f>
        <v>30</v>
      </c>
      <c r="I84" s="306">
        <f ca="1">IFERROR(__xludf.DUMMYFUNCTION("IMPORTRANGE(""https://docs.google.com/spreadsheets/d/1IYY_tgx_IHuhSq3AJ5eI5OnqOPBNLWSHKh2a30DoXe8/edit?usp=sharing"",""พัทลุง!J291"")"),30)</f>
        <v>30</v>
      </c>
      <c r="J84" s="309">
        <f t="shared" ca="1" si="3"/>
        <v>100</v>
      </c>
      <c r="K84" s="306">
        <f ca="1">IFERROR(__xludf.DUMMYFUNCTION("IMPORTRANGE(""https://docs.google.com/spreadsheets/d/1C3CXT74ZlgGe6_JY_1olB1XN4rF0dxEuIIF-xsYjHgg/edit?usp=sharing"",""งบกองทุน!W88"")"),300)</f>
        <v>300</v>
      </c>
      <c r="L84" s="306">
        <f ca="1">IFERROR(__xludf.DUMMYFUNCTION("IMPORTRANGE(""https://docs.google.com/spreadsheets/d/1C3CXT74ZlgGe6_JY_1olB1XN4rF0dxEuIIF-xsYjHgg/edit?usp=sharing"",""งบกองทุน!X88"")"),30)</f>
        <v>30</v>
      </c>
      <c r="M84" s="306">
        <f ca="1">IFERROR(__xludf.DUMMYFUNCTION("IMPORTRANGE(""https://docs.google.com/spreadsheets/d/1IYY_tgx_IHuhSq3AJ5eI5OnqOPBNLWSHKh2a30DoXe8/edit?usp=sharing"",""พัทลุง!J292"")"),0)</f>
        <v>0</v>
      </c>
      <c r="N84" s="309">
        <f t="shared" ca="1" si="5"/>
        <v>0</v>
      </c>
      <c r="O84" s="306">
        <f ca="1">IFERROR(__xludf.DUMMYFUNCTION("IMPORTRANGE(""https://docs.google.com/spreadsheets/d/1IYY_tgx_IHuhSq3AJ5eI5OnqOPBNLWSHKh2a30DoXe8/edit?usp=sharing"",""พัทลุง!J293"")"),0)</f>
        <v>0</v>
      </c>
      <c r="P84" s="359">
        <f t="shared" ca="1" si="6"/>
        <v>0</v>
      </c>
      <c r="Q84" s="339"/>
      <c r="R84" s="339"/>
      <c r="S84" s="339"/>
      <c r="T84" s="339"/>
      <c r="U84" s="339"/>
      <c r="V84" s="339"/>
      <c r="W84" s="339"/>
      <c r="X84" s="339"/>
      <c r="Y84" s="339"/>
      <c r="Z84" s="339"/>
    </row>
    <row r="85" spans="1:26" ht="21" customHeight="1">
      <c r="A85" s="303">
        <v>9</v>
      </c>
      <c r="B85" s="304" t="s">
        <v>109</v>
      </c>
      <c r="C85" s="305">
        <f t="shared" ca="1" si="34"/>
        <v>87710</v>
      </c>
      <c r="D85" s="306">
        <f ca="1">IFERROR(__xludf.DUMMYFUNCTION("IMPORTRANGE(""https://docs.google.com/spreadsheets/d/1C3CXT74ZlgGe6_JY_1olB1XN4rF0dxEuIIF-xsYjHgg/edit?usp=sharing"",""งบกองทุน!R89"")"),0)</f>
        <v>0</v>
      </c>
      <c r="E85" s="306">
        <f ca="1">IFERROR(__xludf.DUMMYFUNCTION("IMPORTRANGE(""https://docs.google.com/spreadsheets/d/1C3CXT74ZlgGe6_JY_1olB1XN4rF0dxEuIIF-xsYjHgg/edit?usp=sharing"",""งบกองทุน!S89"")"),87710)</f>
        <v>87710</v>
      </c>
      <c r="F85" s="307">
        <f ca="1">IFERROR(__xludf.DUMMYFUNCTION("IMPORTRANGE(""https://docs.google.com/spreadsheets/d/1IYY_tgx_IHuhSq3AJ5eI5OnqOPBNLWSHKh2a30DoXe8/edit?usp=sharing"",""ภูเก็ต!M278"")"),32700)</f>
        <v>32700</v>
      </c>
      <c r="G85" s="307">
        <f t="shared" ca="1" si="1"/>
        <v>37.281951886900011</v>
      </c>
      <c r="H85" s="306">
        <f ca="1">IFERROR(__xludf.DUMMYFUNCTION("IMPORTRANGE(""https://docs.google.com/spreadsheets/d/1C3CXT74ZlgGe6_JY_1olB1XN4rF0dxEuIIF-xsYjHgg/edit?usp=sharing"",""งบกองทุน!V89"")"),5)</f>
        <v>5</v>
      </c>
      <c r="I85" s="306">
        <f ca="1">IFERROR(__xludf.DUMMYFUNCTION("IMPORTRANGE(""https://docs.google.com/spreadsheets/d/1IYY_tgx_IHuhSq3AJ5eI5OnqOPBNLWSHKh2a30DoXe8/edit?usp=sharing"",""ภูเก็ต!J291"")"),5)</f>
        <v>5</v>
      </c>
      <c r="J85" s="309">
        <f t="shared" ca="1" si="3"/>
        <v>100</v>
      </c>
      <c r="K85" s="306">
        <f ca="1">IFERROR(__xludf.DUMMYFUNCTION("IMPORTRANGE(""https://docs.google.com/spreadsheets/d/1C3CXT74ZlgGe6_JY_1olB1XN4rF0dxEuIIF-xsYjHgg/edit?usp=sharing"",""งบกองทุน!W89"")"),50)</f>
        <v>50</v>
      </c>
      <c r="L85" s="306">
        <f ca="1">IFERROR(__xludf.DUMMYFUNCTION("IMPORTRANGE(""https://docs.google.com/spreadsheets/d/1C3CXT74ZlgGe6_JY_1olB1XN4rF0dxEuIIF-xsYjHgg/edit?usp=sharing"",""งบกองทุน!X89"")"),5)</f>
        <v>5</v>
      </c>
      <c r="M85" s="306">
        <f ca="1">IFERROR(__xludf.DUMMYFUNCTION("IMPORTRANGE(""https://docs.google.com/spreadsheets/d/1IYY_tgx_IHuhSq3AJ5eI5OnqOPBNLWSHKh2a30DoXe8/edit?usp=sharing"",""ภูเก็ต!J292"")"),0)</f>
        <v>0</v>
      </c>
      <c r="N85" s="309">
        <f t="shared" ca="1" si="5"/>
        <v>0</v>
      </c>
      <c r="O85" s="306">
        <f ca="1">IFERROR(__xludf.DUMMYFUNCTION("IMPORTRANGE(""https://docs.google.com/spreadsheets/d/1IYY_tgx_IHuhSq3AJ5eI5OnqOPBNLWSHKh2a30DoXe8/edit?usp=sharing"",""ภูเก็ต!J293"")"),0)</f>
        <v>0</v>
      </c>
      <c r="P85" s="359">
        <f t="shared" ca="1" si="6"/>
        <v>0</v>
      </c>
      <c r="Q85" s="339"/>
      <c r="R85" s="339"/>
      <c r="S85" s="339"/>
      <c r="T85" s="339"/>
      <c r="U85" s="339"/>
      <c r="V85" s="339"/>
      <c r="W85" s="339"/>
      <c r="X85" s="339"/>
      <c r="Y85" s="339"/>
      <c r="Z85" s="339"/>
    </row>
    <row r="86" spans="1:26" ht="21" customHeight="1">
      <c r="A86" s="303">
        <v>10</v>
      </c>
      <c r="B86" s="304" t="s">
        <v>110</v>
      </c>
      <c r="C86" s="305">
        <f t="shared" ca="1" si="34"/>
        <v>167610</v>
      </c>
      <c r="D86" s="306">
        <f ca="1">IFERROR(__xludf.DUMMYFUNCTION("IMPORTRANGE(""https://docs.google.com/spreadsheets/d/1C3CXT74ZlgGe6_JY_1olB1XN4rF0dxEuIIF-xsYjHgg/edit?usp=sharing"",""งบกองทุน!R90"")"),0)</f>
        <v>0</v>
      </c>
      <c r="E86" s="306">
        <f ca="1">IFERROR(__xludf.DUMMYFUNCTION("IMPORTRANGE(""https://docs.google.com/spreadsheets/d/1C3CXT74ZlgGe6_JY_1olB1XN4rF0dxEuIIF-xsYjHgg/edit?usp=sharing"",""งบกองทุน!S90"")"),167610)</f>
        <v>167610</v>
      </c>
      <c r="F86" s="307">
        <f ca="1">IFERROR(__xludf.DUMMYFUNCTION("IMPORTRANGE(""https://docs.google.com/spreadsheets/d/1IYY_tgx_IHuhSq3AJ5eI5OnqOPBNLWSHKh2a30DoXe8/edit?usp=sharing"",""ยะลา!M278"")"),146920)</f>
        <v>146920</v>
      </c>
      <c r="G86" s="307">
        <f t="shared" ca="1" si="1"/>
        <v>87.655867788318119</v>
      </c>
      <c r="H86" s="306">
        <f ca="1">IFERROR(__xludf.DUMMYFUNCTION("IMPORTRANGE(""https://docs.google.com/spreadsheets/d/1C3CXT74ZlgGe6_JY_1olB1XN4rF0dxEuIIF-xsYjHgg/edit?usp=sharing"",""งบกองทุน!V90"")"),15)</f>
        <v>15</v>
      </c>
      <c r="I86" s="306">
        <f ca="1">IFERROR(__xludf.DUMMYFUNCTION("IMPORTRANGE(""https://docs.google.com/spreadsheets/d/1IYY_tgx_IHuhSq3AJ5eI5OnqOPBNLWSHKh2a30DoXe8/edit?usp=sharing"",""ยะลา!J291"")"),15)</f>
        <v>15</v>
      </c>
      <c r="J86" s="309">
        <f t="shared" ca="1" si="3"/>
        <v>100</v>
      </c>
      <c r="K86" s="306">
        <f ca="1">IFERROR(__xludf.DUMMYFUNCTION("IMPORTRANGE(""https://docs.google.com/spreadsheets/d/1C3CXT74ZlgGe6_JY_1olB1XN4rF0dxEuIIF-xsYjHgg/edit?usp=sharing"",""งบกองทุน!W90"")"),150)</f>
        <v>150</v>
      </c>
      <c r="L86" s="306">
        <f ca="1">IFERROR(__xludf.DUMMYFUNCTION("IMPORTRANGE(""https://docs.google.com/spreadsheets/d/1C3CXT74ZlgGe6_JY_1olB1XN4rF0dxEuIIF-xsYjHgg/edit?usp=sharing"",""งบกองทุน!X90"")"),15)</f>
        <v>15</v>
      </c>
      <c r="M86" s="306">
        <f ca="1">IFERROR(__xludf.DUMMYFUNCTION("IMPORTRANGE(""https://docs.google.com/spreadsheets/d/1IYY_tgx_IHuhSq3AJ5eI5OnqOPBNLWSHKh2a30DoXe8/edit?usp=sharing"",""ยะลา!J292"")"),150)</f>
        <v>150</v>
      </c>
      <c r="N86" s="309">
        <f t="shared" ca="1" si="5"/>
        <v>100</v>
      </c>
      <c r="O86" s="306">
        <f ca="1">IFERROR(__xludf.DUMMYFUNCTION("IMPORTRANGE(""https://docs.google.com/spreadsheets/d/1IYY_tgx_IHuhSq3AJ5eI5OnqOPBNLWSHKh2a30DoXe8/edit?usp=sharing"",""ยะลา!J293"")"),15)</f>
        <v>15</v>
      </c>
      <c r="P86" s="359">
        <f t="shared" ca="1" si="6"/>
        <v>100</v>
      </c>
      <c r="Q86" s="339"/>
      <c r="R86" s="339"/>
      <c r="S86" s="339"/>
      <c r="T86" s="339"/>
      <c r="U86" s="339"/>
      <c r="V86" s="339"/>
      <c r="W86" s="339"/>
      <c r="X86" s="339"/>
      <c r="Y86" s="339"/>
      <c r="Z86" s="339"/>
    </row>
    <row r="87" spans="1:26" ht="21" customHeight="1">
      <c r="A87" s="303">
        <v>11</v>
      </c>
      <c r="B87" s="304" t="s">
        <v>111</v>
      </c>
      <c r="C87" s="305">
        <f t="shared" ca="1" si="34"/>
        <v>1028520</v>
      </c>
      <c r="D87" s="306">
        <f ca="1">IFERROR(__xludf.DUMMYFUNCTION("IMPORTRANGE(""https://docs.google.com/spreadsheets/d/1C3CXT74ZlgGe6_JY_1olB1XN4rF0dxEuIIF-xsYjHgg/edit?usp=sharing"",""งบกองทุน!R91"")"),0)</f>
        <v>0</v>
      </c>
      <c r="E87" s="306">
        <f ca="1">IFERROR(__xludf.DUMMYFUNCTION("IMPORTRANGE(""https://docs.google.com/spreadsheets/d/1C3CXT74ZlgGe6_JY_1olB1XN4rF0dxEuIIF-xsYjHgg/edit?usp=sharing"",""งบกองทุน!S91"")"),1028520)</f>
        <v>1028520</v>
      </c>
      <c r="F87" s="307">
        <f ca="1">IFERROR(__xludf.DUMMYFUNCTION("IMPORTRANGE(""https://docs.google.com/spreadsheets/d/1IYY_tgx_IHuhSq3AJ5eI5OnqOPBNLWSHKh2a30DoXe8/edit?usp=sharing"",""ระนอง!M278"")"),236785)</f>
        <v>236785</v>
      </c>
      <c r="G87" s="307">
        <f t="shared" ca="1" si="1"/>
        <v>23.021914984638119</v>
      </c>
      <c r="H87" s="306">
        <f ca="1">IFERROR(__xludf.DUMMYFUNCTION("IMPORTRANGE(""https://docs.google.com/spreadsheets/d/1C3CXT74ZlgGe6_JY_1olB1XN4rF0dxEuIIF-xsYjHgg/edit?usp=sharing"",""งบกองทุน!V91"")"),100)</f>
        <v>100</v>
      </c>
      <c r="I87" s="306">
        <f ca="1">IFERROR(__xludf.DUMMYFUNCTION("IMPORTRANGE(""https://docs.google.com/spreadsheets/d/1IYY_tgx_IHuhSq3AJ5eI5OnqOPBNLWSHKh2a30DoXe8/edit?usp=sharing"",""ระนอง!J291"")"),100)</f>
        <v>100</v>
      </c>
      <c r="J87" s="309">
        <f t="shared" ca="1" si="3"/>
        <v>100</v>
      </c>
      <c r="K87" s="306">
        <f ca="1">IFERROR(__xludf.DUMMYFUNCTION("IMPORTRANGE(""https://docs.google.com/spreadsheets/d/1C3CXT74ZlgGe6_JY_1olB1XN4rF0dxEuIIF-xsYjHgg/edit?usp=sharing"",""งบกองทุน!W91"")"),1000)</f>
        <v>1000</v>
      </c>
      <c r="L87" s="306">
        <f ca="1">IFERROR(__xludf.DUMMYFUNCTION("IMPORTRANGE(""https://docs.google.com/spreadsheets/d/1C3CXT74ZlgGe6_JY_1olB1XN4rF0dxEuIIF-xsYjHgg/edit?usp=sharing"",""งบกองทุน!X91"")"),100)</f>
        <v>100</v>
      </c>
      <c r="M87" s="306">
        <f ca="1">IFERROR(__xludf.DUMMYFUNCTION("IMPORTRANGE(""https://docs.google.com/spreadsheets/d/1IYY_tgx_IHuhSq3AJ5eI5OnqOPBNLWSHKh2a30DoXe8/edit?usp=sharing"",""ระนอง!J292"")"),1000)</f>
        <v>1000</v>
      </c>
      <c r="N87" s="309">
        <f t="shared" ca="1" si="5"/>
        <v>100</v>
      </c>
      <c r="O87" s="306">
        <f ca="1">IFERROR(__xludf.DUMMYFUNCTION("IMPORTRANGE(""https://docs.google.com/spreadsheets/d/1IYY_tgx_IHuhSq3AJ5eI5OnqOPBNLWSHKh2a30DoXe8/edit?usp=sharing"",""ระนอง!J293"")"),100)</f>
        <v>100</v>
      </c>
      <c r="P87" s="359">
        <f t="shared" ca="1" si="6"/>
        <v>100</v>
      </c>
      <c r="Q87" s="339"/>
      <c r="R87" s="339"/>
      <c r="S87" s="339"/>
      <c r="T87" s="339"/>
      <c r="U87" s="339"/>
      <c r="V87" s="339"/>
      <c r="W87" s="339"/>
      <c r="X87" s="339"/>
      <c r="Y87" s="339"/>
      <c r="Z87" s="339"/>
    </row>
    <row r="88" spans="1:26" ht="24" customHeight="1">
      <c r="A88" s="303">
        <v>12</v>
      </c>
      <c r="B88" s="304" t="s">
        <v>112</v>
      </c>
      <c r="C88" s="305">
        <f t="shared" ca="1" si="34"/>
        <v>207560</v>
      </c>
      <c r="D88" s="306">
        <f ca="1">IFERROR(__xludf.DUMMYFUNCTION("IMPORTRANGE(""https://docs.google.com/spreadsheets/d/1C3CXT74ZlgGe6_JY_1olB1XN4rF0dxEuIIF-xsYjHgg/edit?usp=sharing"",""งบกองทุน!R92"")"),0)</f>
        <v>0</v>
      </c>
      <c r="E88" s="306">
        <f ca="1">IFERROR(__xludf.DUMMYFUNCTION("IMPORTRANGE(""https://docs.google.com/spreadsheets/d/1C3CXT74ZlgGe6_JY_1olB1XN4rF0dxEuIIF-xsYjHgg/edit?usp=sharing"",""งบกองทุน!S92"")"),207560)</f>
        <v>207560</v>
      </c>
      <c r="F88" s="307">
        <f ca="1">IFERROR(__xludf.DUMMYFUNCTION("IMPORTRANGE(""https://docs.google.com/spreadsheets/d/1IYY_tgx_IHuhSq3AJ5eI5OnqOPBNLWSHKh2a30DoXe8/edit?usp=sharing"",""สงขลา!M278"")"),89970)</f>
        <v>89970</v>
      </c>
      <c r="G88" s="307">
        <f t="shared" ca="1" si="1"/>
        <v>43.346502216226632</v>
      </c>
      <c r="H88" s="306">
        <f ca="1">IFERROR(__xludf.DUMMYFUNCTION("IMPORTRANGE(""https://docs.google.com/spreadsheets/d/1C3CXT74ZlgGe6_JY_1olB1XN4rF0dxEuIIF-xsYjHgg/edit?usp=sharing"",""งบกองทุน!V92"")"),20)</f>
        <v>20</v>
      </c>
      <c r="I88" s="306">
        <f ca="1">IFERROR(__xludf.DUMMYFUNCTION("IMPORTRANGE(""https://docs.google.com/spreadsheets/d/1IYY_tgx_IHuhSq3AJ5eI5OnqOPBNLWSHKh2a30DoXe8/edit?usp=sharing"",""สงขลา!J291"")"),20)</f>
        <v>20</v>
      </c>
      <c r="J88" s="309">
        <f t="shared" ca="1" si="3"/>
        <v>100</v>
      </c>
      <c r="K88" s="306">
        <f ca="1">IFERROR(__xludf.DUMMYFUNCTION("IMPORTRANGE(""https://docs.google.com/spreadsheets/d/1C3CXT74ZlgGe6_JY_1olB1XN4rF0dxEuIIF-xsYjHgg/edit?usp=sharing"",""งบกองทุน!W92"")"),200)</f>
        <v>200</v>
      </c>
      <c r="L88" s="306">
        <f ca="1">IFERROR(__xludf.DUMMYFUNCTION("IMPORTRANGE(""https://docs.google.com/spreadsheets/d/1C3CXT74ZlgGe6_JY_1olB1XN4rF0dxEuIIF-xsYjHgg/edit?usp=sharing"",""งบกองทุน!X92"")"),20)</f>
        <v>20</v>
      </c>
      <c r="M88" s="306">
        <f ca="1">IFERROR(__xludf.DUMMYFUNCTION("IMPORTRANGE(""https://docs.google.com/spreadsheets/d/1IYY_tgx_IHuhSq3AJ5eI5OnqOPBNLWSHKh2a30DoXe8/edit?usp=sharing"",""สงขลา!J292"")"),0)</f>
        <v>0</v>
      </c>
      <c r="N88" s="309">
        <f t="shared" ca="1" si="5"/>
        <v>0</v>
      </c>
      <c r="O88" s="306">
        <f ca="1">IFERROR(__xludf.DUMMYFUNCTION("IMPORTRANGE(""https://docs.google.com/spreadsheets/d/1IYY_tgx_IHuhSq3AJ5eI5OnqOPBNLWSHKh2a30DoXe8/edit?usp=sharing"",""สงขลา!J293"")"),0)</f>
        <v>0</v>
      </c>
      <c r="P88" s="359">
        <f t="shared" ca="1" si="6"/>
        <v>0</v>
      </c>
      <c r="Q88" s="339"/>
      <c r="R88" s="339"/>
      <c r="S88" s="339"/>
      <c r="T88" s="339"/>
      <c r="U88" s="339"/>
      <c r="V88" s="339"/>
      <c r="W88" s="339"/>
      <c r="X88" s="339"/>
      <c r="Y88" s="339"/>
      <c r="Z88" s="339"/>
    </row>
    <row r="89" spans="1:26" ht="24" customHeight="1">
      <c r="A89" s="303">
        <v>13</v>
      </c>
      <c r="B89" s="304" t="s">
        <v>113</v>
      </c>
      <c r="C89" s="305">
        <f t="shared" ca="1" si="34"/>
        <v>87710</v>
      </c>
      <c r="D89" s="306">
        <f ca="1">IFERROR(__xludf.DUMMYFUNCTION("IMPORTRANGE(""https://docs.google.com/spreadsheets/d/1C3CXT74ZlgGe6_JY_1olB1XN4rF0dxEuIIF-xsYjHgg/edit?usp=sharing"",""งบกองทุน!R93"")"),0)</f>
        <v>0</v>
      </c>
      <c r="E89" s="306">
        <f ca="1">IFERROR(__xludf.DUMMYFUNCTION("IMPORTRANGE(""https://docs.google.com/spreadsheets/d/1C3CXT74ZlgGe6_JY_1olB1XN4rF0dxEuIIF-xsYjHgg/edit?usp=sharing"",""งบกองทุน!S93"")"),87710)</f>
        <v>87710</v>
      </c>
      <c r="F89" s="307">
        <f ca="1">IFERROR(__xludf.DUMMYFUNCTION("IMPORTRANGE(""https://docs.google.com/spreadsheets/d/1IYY_tgx_IHuhSq3AJ5eI5OnqOPBNLWSHKh2a30DoXe8/edit?usp=sharing"",""สตูล!M278"")"),40270)</f>
        <v>40270</v>
      </c>
      <c r="G89" s="307">
        <f t="shared" ca="1" si="1"/>
        <v>45.912666742674723</v>
      </c>
      <c r="H89" s="306">
        <f ca="1">IFERROR(__xludf.DUMMYFUNCTION("IMPORTRANGE(""https://docs.google.com/spreadsheets/d/1C3CXT74ZlgGe6_JY_1olB1XN4rF0dxEuIIF-xsYjHgg/edit?usp=sharing"",""งบกองทุน!V93"")"),5)</f>
        <v>5</v>
      </c>
      <c r="I89" s="306">
        <f ca="1">IFERROR(__xludf.DUMMYFUNCTION("IMPORTRANGE(""https://docs.google.com/spreadsheets/d/1IYY_tgx_IHuhSq3AJ5eI5OnqOPBNLWSHKh2a30DoXe8/edit?usp=sharing"",""สตูล!J291"")"),10)</f>
        <v>10</v>
      </c>
      <c r="J89" s="309">
        <f t="shared" ca="1" si="3"/>
        <v>200</v>
      </c>
      <c r="K89" s="306">
        <f ca="1">IFERROR(__xludf.DUMMYFUNCTION("IMPORTRANGE(""https://docs.google.com/spreadsheets/d/1C3CXT74ZlgGe6_JY_1olB1XN4rF0dxEuIIF-xsYjHgg/edit?usp=sharing"",""งบกองทุน!W93"")"),50)</f>
        <v>50</v>
      </c>
      <c r="L89" s="306">
        <f ca="1">IFERROR(__xludf.DUMMYFUNCTION("IMPORTRANGE(""https://docs.google.com/spreadsheets/d/1C3CXT74ZlgGe6_JY_1olB1XN4rF0dxEuIIF-xsYjHgg/edit?usp=sharing"",""งบกองทุน!X93"")"),5)</f>
        <v>5</v>
      </c>
      <c r="M89" s="306">
        <f ca="1">IFERROR(__xludf.DUMMYFUNCTION("IMPORTRANGE(""https://docs.google.com/spreadsheets/d/1IYY_tgx_IHuhSq3AJ5eI5OnqOPBNLWSHKh2a30DoXe8/edit?usp=sharing"",""สตูล!J292"")"),0)</f>
        <v>0</v>
      </c>
      <c r="N89" s="309">
        <f t="shared" ca="1" si="5"/>
        <v>0</v>
      </c>
      <c r="O89" s="306">
        <f ca="1">IFERROR(__xludf.DUMMYFUNCTION("IMPORTRANGE(""https://docs.google.com/spreadsheets/d/1IYY_tgx_IHuhSq3AJ5eI5OnqOPBNLWSHKh2a30DoXe8/edit?usp=sharing"",""สตูล!J293"")"),0)</f>
        <v>0</v>
      </c>
      <c r="P89" s="359">
        <f t="shared" ca="1" si="6"/>
        <v>0</v>
      </c>
      <c r="Q89" s="339"/>
      <c r="R89" s="339"/>
      <c r="S89" s="339"/>
      <c r="T89" s="339"/>
      <c r="U89" s="339"/>
      <c r="V89" s="339"/>
      <c r="W89" s="339"/>
      <c r="X89" s="339"/>
      <c r="Y89" s="339"/>
      <c r="Z89" s="339"/>
    </row>
    <row r="90" spans="1:26" ht="24" customHeight="1">
      <c r="A90" s="310">
        <v>14</v>
      </c>
      <c r="B90" s="311" t="s">
        <v>114</v>
      </c>
      <c r="C90" s="312">
        <f t="shared" ca="1" si="34"/>
        <v>1028520</v>
      </c>
      <c r="D90" s="313">
        <f ca="1">IFERROR(__xludf.DUMMYFUNCTION("IMPORTRANGE(""https://docs.google.com/spreadsheets/d/1C3CXT74ZlgGe6_JY_1olB1XN4rF0dxEuIIF-xsYjHgg/edit?usp=sharing"",""งบกองทุน!R94"")"),0)</f>
        <v>0</v>
      </c>
      <c r="E90" s="313">
        <f ca="1">IFERROR(__xludf.DUMMYFUNCTION("IMPORTRANGE(""https://docs.google.com/spreadsheets/d/1C3CXT74ZlgGe6_JY_1olB1XN4rF0dxEuIIF-xsYjHgg/edit?usp=sharing"",""งบกองทุน!S94"")"),1028520)</f>
        <v>1028520</v>
      </c>
      <c r="F90" s="314">
        <f ca="1">IFERROR(__xludf.DUMMYFUNCTION("IMPORTRANGE(""https://docs.google.com/spreadsheets/d/1IYY_tgx_IHuhSq3AJ5eI5OnqOPBNLWSHKh2a30DoXe8/edit?usp=sharing"",""สุราษฎร์ธานี!M278"")"),278391.17)</f>
        <v>278391.17</v>
      </c>
      <c r="G90" s="314">
        <f t="shared" ca="1" si="1"/>
        <v>27.067161552522069</v>
      </c>
      <c r="H90" s="313">
        <f ca="1">IFERROR(__xludf.DUMMYFUNCTION("IMPORTRANGE(""https://docs.google.com/spreadsheets/d/1C3CXT74ZlgGe6_JY_1olB1XN4rF0dxEuIIF-xsYjHgg/edit?usp=sharing"",""งบกองทุน!V94"")"),100)</f>
        <v>100</v>
      </c>
      <c r="I90" s="313">
        <f ca="1">IFERROR(__xludf.DUMMYFUNCTION("IMPORTRANGE(""https://docs.google.com/spreadsheets/d/1IYY_tgx_IHuhSq3AJ5eI5OnqOPBNLWSHKh2a30DoXe8/edit?usp=sharing"",""สุราษฎร์ธานี!J291"")"),100)</f>
        <v>100</v>
      </c>
      <c r="J90" s="316">
        <f t="shared" ca="1" si="3"/>
        <v>100</v>
      </c>
      <c r="K90" s="313">
        <f ca="1">IFERROR(__xludf.DUMMYFUNCTION("IMPORTRANGE(""https://docs.google.com/spreadsheets/d/1C3CXT74ZlgGe6_JY_1olB1XN4rF0dxEuIIF-xsYjHgg/edit?usp=sharing"",""งบกองทุน!W94"")"),1000)</f>
        <v>1000</v>
      </c>
      <c r="L90" s="313">
        <f ca="1">IFERROR(__xludf.DUMMYFUNCTION("IMPORTRANGE(""https://docs.google.com/spreadsheets/d/1C3CXT74ZlgGe6_JY_1olB1XN4rF0dxEuIIF-xsYjHgg/edit?usp=sharing"",""งบกองทุน!X94"")"),100)</f>
        <v>100</v>
      </c>
      <c r="M90" s="313">
        <f ca="1">IFERROR(__xludf.DUMMYFUNCTION("IMPORTRANGE(""https://docs.google.com/spreadsheets/d/1IYY_tgx_IHuhSq3AJ5eI5OnqOPBNLWSHKh2a30DoXe8/edit?usp=sharing"",""สุราษฎร์ธานี!J292"")"),0)</f>
        <v>0</v>
      </c>
      <c r="N90" s="316">
        <f t="shared" ca="1" si="5"/>
        <v>0</v>
      </c>
      <c r="O90" s="313">
        <f ca="1">IFERROR(__xludf.DUMMYFUNCTION("IMPORTRANGE(""https://docs.google.com/spreadsheets/d/1IYY_tgx_IHuhSq3AJ5eI5OnqOPBNLWSHKh2a30DoXe8/edit?usp=sharing"",""สุราษฎร์ธานี!J293"")"),0)</f>
        <v>0</v>
      </c>
      <c r="P90" s="360">
        <f t="shared" ca="1" si="6"/>
        <v>0</v>
      </c>
      <c r="Q90" s="339"/>
      <c r="R90" s="339"/>
      <c r="S90" s="339"/>
      <c r="T90" s="339"/>
      <c r="U90" s="339"/>
      <c r="V90" s="339"/>
      <c r="W90" s="339"/>
      <c r="X90" s="339"/>
      <c r="Y90" s="339"/>
      <c r="Z90" s="339"/>
    </row>
    <row r="91" spans="1:26" ht="21" hidden="1" customHeight="1">
      <c r="A91" s="791" t="s">
        <v>115</v>
      </c>
      <c r="B91" s="652"/>
      <c r="C91" s="322">
        <f t="shared" ref="C91:F91" ca="1" si="35">+C92+C93+C94+C95+C96+C97+C98+C99+C100+C101+C102+C103+C104+C105</f>
        <v>1073960</v>
      </c>
      <c r="D91" s="323">
        <f t="shared" ca="1" si="35"/>
        <v>0</v>
      </c>
      <c r="E91" s="323">
        <f t="shared" ca="1" si="35"/>
        <v>1073960</v>
      </c>
      <c r="F91" s="323">
        <f t="shared" ca="1" si="35"/>
        <v>257735.87</v>
      </c>
      <c r="G91" s="324">
        <f t="shared" ca="1" si="1"/>
        <v>23.998647063205333</v>
      </c>
      <c r="H91" s="323">
        <f t="shared" ref="H91:I91" ca="1" si="36">+H92+H93+H94+H95+H96+H97+H98+H99+H100+H101+H102+H103+H104+H105</f>
        <v>0</v>
      </c>
      <c r="I91" s="323">
        <f t="shared" si="36"/>
        <v>0</v>
      </c>
      <c r="J91" s="324">
        <f t="shared" ca="1" si="3"/>
        <v>0</v>
      </c>
      <c r="K91" s="323">
        <f t="shared" ref="K91:M91" ca="1" si="37">+K92+K93+K94+K95+K96+K97+K98+K99+K100+K101+K102+K103+K104+K105</f>
        <v>0</v>
      </c>
      <c r="L91" s="323">
        <f t="shared" ca="1" si="37"/>
        <v>0</v>
      </c>
      <c r="M91" s="323">
        <f t="shared" si="37"/>
        <v>0</v>
      </c>
      <c r="N91" s="324">
        <f t="shared" ca="1" si="5"/>
        <v>0</v>
      </c>
      <c r="O91" s="323">
        <f>+O92+O93+O94+O95+O96+O97+O98+O99+O100+O101+O102+O103+O104+O105</f>
        <v>0</v>
      </c>
      <c r="P91" s="362">
        <f t="shared" ca="1" si="6"/>
        <v>0</v>
      </c>
      <c r="Q91" s="339"/>
      <c r="R91" s="339"/>
      <c r="S91" s="339"/>
      <c r="T91" s="339"/>
      <c r="U91" s="339"/>
      <c r="V91" s="339"/>
      <c r="W91" s="339"/>
      <c r="X91" s="339"/>
      <c r="Y91" s="339"/>
      <c r="Z91" s="339"/>
    </row>
    <row r="92" spans="1:26" ht="24" hidden="1" customHeight="1">
      <c r="A92" s="325">
        <v>1</v>
      </c>
      <c r="B92" s="326" t="s">
        <v>116</v>
      </c>
      <c r="C92" s="295">
        <f t="shared" ref="C92:C105" ca="1" si="38">+D92+E92</f>
        <v>0</v>
      </c>
      <c r="D92" s="296">
        <f ca="1">IFERROR(__xludf.DUMMYFUNCTION("IMPORTRANGE(""https://docs.google.com/spreadsheets/d/1C3CXT74ZlgGe6_JY_1olB1XN4rF0dxEuIIF-xsYjHgg/edit?usp=sharing"",""งบกองทุน!R96"")"),0)</f>
        <v>0</v>
      </c>
      <c r="E92" s="296">
        <f ca="1">IFERROR(__xludf.DUMMYFUNCTION("IMPORTRANGE(""https://docs.google.com/spreadsheets/d/1C3CXT74ZlgGe6_JY_1olB1XN4rF0dxEuIIF-xsYjHgg/edit?usp=sharing"",""งบกองทุน!S96"")"),0)</f>
        <v>0</v>
      </c>
      <c r="F92" s="297">
        <v>0</v>
      </c>
      <c r="G92" s="297">
        <f t="shared" ca="1" si="1"/>
        <v>0</v>
      </c>
      <c r="H92" s="296">
        <f ca="1">IFERROR(__xludf.DUMMYFUNCTION("IMPORTRANGE(""https://docs.google.com/spreadsheets/d/1C3CXT74ZlgGe6_JY_1olB1XN4rF0dxEuIIF-xsYjHgg/edit?usp=sharing"",""งบกองทุน!V96"")"),0)</f>
        <v>0</v>
      </c>
      <c r="I92" s="296">
        <v>0</v>
      </c>
      <c r="J92" s="301">
        <f t="shared" ca="1" si="3"/>
        <v>0</v>
      </c>
      <c r="K92" s="296">
        <f ca="1">IFERROR(__xludf.DUMMYFUNCTION("IMPORTRANGE(""https://docs.google.com/spreadsheets/d/1C3CXT74ZlgGe6_JY_1olB1XN4rF0dxEuIIF-xsYjHgg/edit?usp=sharing"",""งบกองทุน!W96"")"),0)</f>
        <v>0</v>
      </c>
      <c r="L92" s="296">
        <f ca="1">IFERROR(__xludf.DUMMYFUNCTION("IMPORTRANGE(""https://docs.google.com/spreadsheets/d/1C3CXT74ZlgGe6_JY_1olB1XN4rF0dxEuIIF-xsYjHgg/edit?usp=sharing"",""งบกองทุน!X96"")"),0)</f>
        <v>0</v>
      </c>
      <c r="M92" s="296">
        <v>0</v>
      </c>
      <c r="N92" s="301">
        <f t="shared" ca="1" si="5"/>
        <v>0</v>
      </c>
      <c r="O92" s="296">
        <v>0</v>
      </c>
      <c r="P92" s="358">
        <f t="shared" ca="1" si="6"/>
        <v>0</v>
      </c>
      <c r="Q92" s="339"/>
      <c r="R92" s="339"/>
      <c r="S92" s="339"/>
      <c r="T92" s="339"/>
      <c r="U92" s="339"/>
      <c r="V92" s="339"/>
      <c r="W92" s="339"/>
      <c r="X92" s="339"/>
      <c r="Y92" s="339"/>
      <c r="Z92" s="339"/>
    </row>
    <row r="93" spans="1:26" ht="24" hidden="1" customHeight="1">
      <c r="A93" s="327">
        <v>2</v>
      </c>
      <c r="B93" s="328" t="s">
        <v>117</v>
      </c>
      <c r="C93" s="305">
        <f t="shared" ca="1" si="38"/>
        <v>0</v>
      </c>
      <c r="D93" s="306">
        <f ca="1">IFERROR(__xludf.DUMMYFUNCTION("IMPORTRANGE(""https://docs.google.com/spreadsheets/d/1C3CXT74ZlgGe6_JY_1olB1XN4rF0dxEuIIF-xsYjHgg/edit?usp=sharing"",""งบกองทุน!R97"")"),0)</f>
        <v>0</v>
      </c>
      <c r="E93" s="306">
        <f ca="1">IFERROR(__xludf.DUMMYFUNCTION("IMPORTRANGE(""https://docs.google.com/spreadsheets/d/1C3CXT74ZlgGe6_JY_1olB1XN4rF0dxEuIIF-xsYjHgg/edit?usp=sharing"",""งบกองทุน!S97"")"),0)</f>
        <v>0</v>
      </c>
      <c r="F93" s="307">
        <v>0</v>
      </c>
      <c r="G93" s="307">
        <f t="shared" ca="1" si="1"/>
        <v>0</v>
      </c>
      <c r="H93" s="306">
        <f ca="1">IFERROR(__xludf.DUMMYFUNCTION("IMPORTRANGE(""https://docs.google.com/spreadsheets/d/1C3CXT74ZlgGe6_JY_1olB1XN4rF0dxEuIIF-xsYjHgg/edit?usp=sharing"",""งบกองทุน!V97"")"),0)</f>
        <v>0</v>
      </c>
      <c r="I93" s="306">
        <v>0</v>
      </c>
      <c r="J93" s="309">
        <f t="shared" ca="1" si="3"/>
        <v>0</v>
      </c>
      <c r="K93" s="306">
        <f ca="1">IFERROR(__xludf.DUMMYFUNCTION("IMPORTRANGE(""https://docs.google.com/spreadsheets/d/1C3CXT74ZlgGe6_JY_1olB1XN4rF0dxEuIIF-xsYjHgg/edit?usp=sharing"",""งบกองทุน!W97"")"),0)</f>
        <v>0</v>
      </c>
      <c r="L93" s="306">
        <f ca="1">IFERROR(__xludf.DUMMYFUNCTION("IMPORTRANGE(""https://docs.google.com/spreadsheets/d/1C3CXT74ZlgGe6_JY_1olB1XN4rF0dxEuIIF-xsYjHgg/edit?usp=sharing"",""งบกองทุน!X97"")"),0)</f>
        <v>0</v>
      </c>
      <c r="M93" s="306">
        <v>0</v>
      </c>
      <c r="N93" s="309">
        <f t="shared" ca="1" si="5"/>
        <v>0</v>
      </c>
      <c r="O93" s="306">
        <v>0</v>
      </c>
      <c r="P93" s="359">
        <f t="shared" ca="1" si="6"/>
        <v>0</v>
      </c>
      <c r="Q93" s="339"/>
      <c r="R93" s="339"/>
      <c r="S93" s="339"/>
      <c r="T93" s="339"/>
      <c r="U93" s="339"/>
      <c r="V93" s="339"/>
      <c r="W93" s="339"/>
      <c r="X93" s="339"/>
      <c r="Y93" s="339"/>
      <c r="Z93" s="339"/>
    </row>
    <row r="94" spans="1:26" ht="24" hidden="1" customHeight="1">
      <c r="A94" s="327">
        <v>3</v>
      </c>
      <c r="B94" s="328" t="s">
        <v>118</v>
      </c>
      <c r="C94" s="305">
        <f t="shared" ca="1" si="38"/>
        <v>0</v>
      </c>
      <c r="D94" s="306">
        <f ca="1">IFERROR(__xludf.DUMMYFUNCTION("IMPORTRANGE(""https://docs.google.com/spreadsheets/d/1C3CXT74ZlgGe6_JY_1olB1XN4rF0dxEuIIF-xsYjHgg/edit?usp=sharing"",""งบกองทุน!R98"")"),0)</f>
        <v>0</v>
      </c>
      <c r="E94" s="306">
        <f ca="1">IFERROR(__xludf.DUMMYFUNCTION("IMPORTRANGE(""https://docs.google.com/spreadsheets/d/1C3CXT74ZlgGe6_JY_1olB1XN4rF0dxEuIIF-xsYjHgg/edit?usp=sharing"",""งบกองทุน!S98"")"),0)</f>
        <v>0</v>
      </c>
      <c r="F94" s="307">
        <v>0</v>
      </c>
      <c r="G94" s="307">
        <f t="shared" ca="1" si="1"/>
        <v>0</v>
      </c>
      <c r="H94" s="306">
        <f ca="1">IFERROR(__xludf.DUMMYFUNCTION("IMPORTRANGE(""https://docs.google.com/spreadsheets/d/1C3CXT74ZlgGe6_JY_1olB1XN4rF0dxEuIIF-xsYjHgg/edit?usp=sharing"",""งบกองทุน!V98"")"),0)</f>
        <v>0</v>
      </c>
      <c r="I94" s="306">
        <v>0</v>
      </c>
      <c r="J94" s="309">
        <f t="shared" ca="1" si="3"/>
        <v>0</v>
      </c>
      <c r="K94" s="306">
        <f ca="1">IFERROR(__xludf.DUMMYFUNCTION("IMPORTRANGE(""https://docs.google.com/spreadsheets/d/1C3CXT74ZlgGe6_JY_1olB1XN4rF0dxEuIIF-xsYjHgg/edit?usp=sharing"",""งบกองทุน!W98"")"),0)</f>
        <v>0</v>
      </c>
      <c r="L94" s="306">
        <f ca="1">IFERROR(__xludf.DUMMYFUNCTION("IMPORTRANGE(""https://docs.google.com/spreadsheets/d/1C3CXT74ZlgGe6_JY_1olB1XN4rF0dxEuIIF-xsYjHgg/edit?usp=sharing"",""งบกองทุน!X98"")"),0)</f>
        <v>0</v>
      </c>
      <c r="M94" s="306">
        <v>0</v>
      </c>
      <c r="N94" s="309">
        <f t="shared" ca="1" si="5"/>
        <v>0</v>
      </c>
      <c r="O94" s="306">
        <v>0</v>
      </c>
      <c r="P94" s="359">
        <f t="shared" ca="1" si="6"/>
        <v>0</v>
      </c>
      <c r="Q94" s="339"/>
      <c r="R94" s="339"/>
      <c r="S94" s="339"/>
      <c r="T94" s="339"/>
      <c r="U94" s="339"/>
      <c r="V94" s="339"/>
      <c r="W94" s="339"/>
      <c r="X94" s="339"/>
      <c r="Y94" s="339"/>
      <c r="Z94" s="339"/>
    </row>
    <row r="95" spans="1:26" ht="24" hidden="1" customHeight="1">
      <c r="A95" s="327">
        <f t="shared" ref="A95:A105" si="39">+A94+1</f>
        <v>4</v>
      </c>
      <c r="B95" s="328" t="s">
        <v>119</v>
      </c>
      <c r="C95" s="305">
        <f t="shared" ca="1" si="38"/>
        <v>0</v>
      </c>
      <c r="D95" s="306">
        <f ca="1">IFERROR(__xludf.DUMMYFUNCTION("IMPORTRANGE(""https://docs.google.com/spreadsheets/d/1C3CXT74ZlgGe6_JY_1olB1XN4rF0dxEuIIF-xsYjHgg/edit?usp=sharing"",""งบกองทุน!R99"")"),0)</f>
        <v>0</v>
      </c>
      <c r="E95" s="306">
        <f ca="1">IFERROR(__xludf.DUMMYFUNCTION("IMPORTRANGE(""https://docs.google.com/spreadsheets/d/1C3CXT74ZlgGe6_JY_1olB1XN4rF0dxEuIIF-xsYjHgg/edit?usp=sharing"",""งบกองทุน!S99"")"),0)</f>
        <v>0</v>
      </c>
      <c r="F95" s="307">
        <v>0</v>
      </c>
      <c r="G95" s="307">
        <f t="shared" ca="1" si="1"/>
        <v>0</v>
      </c>
      <c r="H95" s="306">
        <f ca="1">IFERROR(__xludf.DUMMYFUNCTION("IMPORTRANGE(""https://docs.google.com/spreadsheets/d/1C3CXT74ZlgGe6_JY_1olB1XN4rF0dxEuIIF-xsYjHgg/edit?usp=sharing"",""งบกองทุน!V99"")"),0)</f>
        <v>0</v>
      </c>
      <c r="I95" s="306">
        <v>0</v>
      </c>
      <c r="J95" s="309">
        <f t="shared" ca="1" si="3"/>
        <v>0</v>
      </c>
      <c r="K95" s="306">
        <f ca="1">IFERROR(__xludf.DUMMYFUNCTION("IMPORTRANGE(""https://docs.google.com/spreadsheets/d/1C3CXT74ZlgGe6_JY_1olB1XN4rF0dxEuIIF-xsYjHgg/edit?usp=sharing"",""งบกองทุน!W99"")"),0)</f>
        <v>0</v>
      </c>
      <c r="L95" s="306">
        <f ca="1">IFERROR(__xludf.DUMMYFUNCTION("IMPORTRANGE(""https://docs.google.com/spreadsheets/d/1C3CXT74ZlgGe6_JY_1olB1XN4rF0dxEuIIF-xsYjHgg/edit?usp=sharing"",""งบกองทุน!X99"")"),0)</f>
        <v>0</v>
      </c>
      <c r="M95" s="306">
        <v>0</v>
      </c>
      <c r="N95" s="309">
        <f t="shared" ca="1" si="5"/>
        <v>0</v>
      </c>
      <c r="O95" s="306">
        <v>0</v>
      </c>
      <c r="P95" s="359">
        <f t="shared" ca="1" si="6"/>
        <v>0</v>
      </c>
      <c r="Q95" s="339"/>
      <c r="R95" s="339"/>
      <c r="S95" s="339"/>
      <c r="T95" s="339"/>
      <c r="U95" s="339"/>
      <c r="V95" s="339"/>
      <c r="W95" s="339"/>
      <c r="X95" s="339"/>
      <c r="Y95" s="339"/>
      <c r="Z95" s="339"/>
    </row>
    <row r="96" spans="1:26" ht="24" hidden="1" customHeight="1">
      <c r="A96" s="327">
        <f t="shared" si="39"/>
        <v>5</v>
      </c>
      <c r="B96" s="328" t="s">
        <v>120</v>
      </c>
      <c r="C96" s="305">
        <f t="shared" ca="1" si="38"/>
        <v>0</v>
      </c>
      <c r="D96" s="306">
        <f ca="1">IFERROR(__xludf.DUMMYFUNCTION("IMPORTRANGE(""https://docs.google.com/spreadsheets/d/1C3CXT74ZlgGe6_JY_1olB1XN4rF0dxEuIIF-xsYjHgg/edit?usp=sharing"",""งบกองทุน!R100"")"),0)</f>
        <v>0</v>
      </c>
      <c r="E96" s="306">
        <f ca="1">IFERROR(__xludf.DUMMYFUNCTION("IMPORTRANGE(""https://docs.google.com/spreadsheets/d/1C3CXT74ZlgGe6_JY_1olB1XN4rF0dxEuIIF-xsYjHgg/edit?usp=sharing"",""งบกองทุน!S100"")"),0)</f>
        <v>0</v>
      </c>
      <c r="F96" s="307">
        <v>0</v>
      </c>
      <c r="G96" s="307">
        <f t="shared" ca="1" si="1"/>
        <v>0</v>
      </c>
      <c r="H96" s="306">
        <f ca="1">IFERROR(__xludf.DUMMYFUNCTION("IMPORTRANGE(""https://docs.google.com/spreadsheets/d/1C3CXT74ZlgGe6_JY_1olB1XN4rF0dxEuIIF-xsYjHgg/edit?usp=sharing"",""งบกองทุน!V100"")"),0)</f>
        <v>0</v>
      </c>
      <c r="I96" s="306">
        <v>0</v>
      </c>
      <c r="J96" s="309">
        <f t="shared" ca="1" si="3"/>
        <v>0</v>
      </c>
      <c r="K96" s="306">
        <f ca="1">IFERROR(__xludf.DUMMYFUNCTION("IMPORTRANGE(""https://docs.google.com/spreadsheets/d/1C3CXT74ZlgGe6_JY_1olB1XN4rF0dxEuIIF-xsYjHgg/edit?usp=sharing"",""งบกองทุน!W100"")"),0)</f>
        <v>0</v>
      </c>
      <c r="L96" s="306">
        <f ca="1">IFERROR(__xludf.DUMMYFUNCTION("IMPORTRANGE(""https://docs.google.com/spreadsheets/d/1C3CXT74ZlgGe6_JY_1olB1XN4rF0dxEuIIF-xsYjHgg/edit?usp=sharing"",""งบกองทุน!X100"")"),0)</f>
        <v>0</v>
      </c>
      <c r="M96" s="306">
        <v>0</v>
      </c>
      <c r="N96" s="309">
        <f t="shared" ca="1" si="5"/>
        <v>0</v>
      </c>
      <c r="O96" s="306">
        <v>0</v>
      </c>
      <c r="P96" s="359">
        <f t="shared" ca="1" si="6"/>
        <v>0</v>
      </c>
      <c r="Q96" s="339"/>
      <c r="R96" s="339"/>
      <c r="S96" s="339"/>
      <c r="T96" s="339"/>
      <c r="U96" s="339"/>
      <c r="V96" s="339"/>
      <c r="W96" s="339"/>
      <c r="X96" s="339"/>
      <c r="Y96" s="339"/>
      <c r="Z96" s="339"/>
    </row>
    <row r="97" spans="1:26" ht="24" hidden="1" customHeight="1">
      <c r="A97" s="327">
        <f t="shared" si="39"/>
        <v>6</v>
      </c>
      <c r="B97" s="328" t="s">
        <v>121</v>
      </c>
      <c r="C97" s="305">
        <f t="shared" ca="1" si="38"/>
        <v>0</v>
      </c>
      <c r="D97" s="306">
        <f ca="1">IFERROR(__xludf.DUMMYFUNCTION("IMPORTRANGE(""https://docs.google.com/spreadsheets/d/1C3CXT74ZlgGe6_JY_1olB1XN4rF0dxEuIIF-xsYjHgg/edit?usp=sharing"",""งบกองทุน!R101"")"),0)</f>
        <v>0</v>
      </c>
      <c r="E97" s="306">
        <f ca="1">IFERROR(__xludf.DUMMYFUNCTION("IMPORTRANGE(""https://docs.google.com/spreadsheets/d/1C3CXT74ZlgGe6_JY_1olB1XN4rF0dxEuIIF-xsYjHgg/edit?usp=sharing"",""งบกองทุน!S101"")"),0)</f>
        <v>0</v>
      </c>
      <c r="F97" s="307">
        <v>0</v>
      </c>
      <c r="G97" s="307">
        <f t="shared" ca="1" si="1"/>
        <v>0</v>
      </c>
      <c r="H97" s="306">
        <f ca="1">IFERROR(__xludf.DUMMYFUNCTION("IMPORTRANGE(""https://docs.google.com/spreadsheets/d/1C3CXT74ZlgGe6_JY_1olB1XN4rF0dxEuIIF-xsYjHgg/edit?usp=sharing"",""งบกองทุน!V101"")"),0)</f>
        <v>0</v>
      </c>
      <c r="I97" s="306">
        <v>0</v>
      </c>
      <c r="J97" s="309">
        <f t="shared" ca="1" si="3"/>
        <v>0</v>
      </c>
      <c r="K97" s="306">
        <f ca="1">IFERROR(__xludf.DUMMYFUNCTION("IMPORTRANGE(""https://docs.google.com/spreadsheets/d/1C3CXT74ZlgGe6_JY_1olB1XN4rF0dxEuIIF-xsYjHgg/edit?usp=sharing"",""งบกองทุน!W101"")"),0)</f>
        <v>0</v>
      </c>
      <c r="L97" s="306">
        <f ca="1">IFERROR(__xludf.DUMMYFUNCTION("IMPORTRANGE(""https://docs.google.com/spreadsheets/d/1C3CXT74ZlgGe6_JY_1olB1XN4rF0dxEuIIF-xsYjHgg/edit?usp=sharing"",""งบกองทุน!X101"")"),0)</f>
        <v>0</v>
      </c>
      <c r="M97" s="306">
        <v>0</v>
      </c>
      <c r="N97" s="309">
        <f t="shared" ca="1" si="5"/>
        <v>0</v>
      </c>
      <c r="O97" s="306">
        <v>0</v>
      </c>
      <c r="P97" s="359">
        <f t="shared" ca="1" si="6"/>
        <v>0</v>
      </c>
      <c r="Q97" s="339"/>
      <c r="R97" s="339"/>
      <c r="S97" s="339"/>
      <c r="T97" s="339"/>
      <c r="U97" s="339"/>
      <c r="V97" s="339"/>
      <c r="W97" s="339"/>
      <c r="X97" s="339"/>
      <c r="Y97" s="339"/>
      <c r="Z97" s="339"/>
    </row>
    <row r="98" spans="1:26" ht="24" hidden="1" customHeight="1">
      <c r="A98" s="327">
        <f t="shared" si="39"/>
        <v>7</v>
      </c>
      <c r="B98" s="328" t="s">
        <v>122</v>
      </c>
      <c r="C98" s="305">
        <f t="shared" ca="1" si="38"/>
        <v>1073960</v>
      </c>
      <c r="D98" s="306">
        <f ca="1">IFERROR(__xludf.DUMMYFUNCTION("IMPORTRANGE(""https://docs.google.com/spreadsheets/d/1C3CXT74ZlgGe6_JY_1olB1XN4rF0dxEuIIF-xsYjHgg/edit?usp=sharing"",""งบกองทุน!R102"")"),0)</f>
        <v>0</v>
      </c>
      <c r="E98" s="306">
        <f ca="1">IFERROR(__xludf.DUMMYFUNCTION("IMPORTRANGE(""https://docs.google.com/spreadsheets/d/1C3CXT74ZlgGe6_JY_1olB1XN4rF0dxEuIIF-xsYjHgg/edit?usp=sharing"",""งบกองทุน!S102"")"),1073960)</f>
        <v>1073960</v>
      </c>
      <c r="F98" s="307">
        <f ca="1">IFERROR(__xludf.DUMMYFUNCTION("IMPORTRANGE(""https://docs.google.com/spreadsheets/d/1muirlRDkqiswvy_NRZ3Yh955hx-PF6_HhssUYiSJj8o/edit?usp=sharing"",""กองทุนส่วนกลาง!L10"")"),257735.87)</f>
        <v>257735.87</v>
      </c>
      <c r="G98" s="307">
        <f t="shared" ca="1" si="1"/>
        <v>23.998647063205333</v>
      </c>
      <c r="H98" s="306">
        <f ca="1">IFERROR(__xludf.DUMMYFUNCTION("IMPORTRANGE(""https://docs.google.com/spreadsheets/d/1C3CXT74ZlgGe6_JY_1olB1XN4rF0dxEuIIF-xsYjHgg/edit?usp=sharing"",""งบกองทุน!V102"")"),0)</f>
        <v>0</v>
      </c>
      <c r="I98" s="306">
        <v>0</v>
      </c>
      <c r="J98" s="309">
        <f t="shared" ca="1" si="3"/>
        <v>0</v>
      </c>
      <c r="K98" s="306">
        <f ca="1">IFERROR(__xludf.DUMMYFUNCTION("IMPORTRANGE(""https://docs.google.com/spreadsheets/d/1C3CXT74ZlgGe6_JY_1olB1XN4rF0dxEuIIF-xsYjHgg/edit?usp=sharing"",""งบกองทุน!W102"")"),0)</f>
        <v>0</v>
      </c>
      <c r="L98" s="306">
        <f ca="1">IFERROR(__xludf.DUMMYFUNCTION("IMPORTRANGE(""https://docs.google.com/spreadsheets/d/1C3CXT74ZlgGe6_JY_1olB1XN4rF0dxEuIIF-xsYjHgg/edit?usp=sharing"",""งบกองทุน!X102"")"),0)</f>
        <v>0</v>
      </c>
      <c r="M98" s="306">
        <v>0</v>
      </c>
      <c r="N98" s="309">
        <f t="shared" ca="1" si="5"/>
        <v>0</v>
      </c>
      <c r="O98" s="306">
        <v>0</v>
      </c>
      <c r="P98" s="359">
        <f t="shared" ca="1" si="6"/>
        <v>0</v>
      </c>
      <c r="Q98" s="339"/>
      <c r="R98" s="339"/>
      <c r="S98" s="339"/>
      <c r="T98" s="339"/>
      <c r="U98" s="339"/>
      <c r="V98" s="339"/>
      <c r="W98" s="339"/>
      <c r="X98" s="339"/>
      <c r="Y98" s="339"/>
      <c r="Z98" s="339"/>
    </row>
    <row r="99" spans="1:26" ht="24" hidden="1" customHeight="1">
      <c r="A99" s="327">
        <f t="shared" si="39"/>
        <v>8</v>
      </c>
      <c r="B99" s="328" t="s">
        <v>123</v>
      </c>
      <c r="C99" s="305">
        <f t="shared" ca="1" si="38"/>
        <v>0</v>
      </c>
      <c r="D99" s="306">
        <f ca="1">IFERROR(__xludf.DUMMYFUNCTION("IMPORTRANGE(""https://docs.google.com/spreadsheets/d/1C3CXT74ZlgGe6_JY_1olB1XN4rF0dxEuIIF-xsYjHgg/edit?usp=sharing"",""งบกองทุน!R103"")"),0)</f>
        <v>0</v>
      </c>
      <c r="E99" s="306">
        <f ca="1">IFERROR(__xludf.DUMMYFUNCTION("IMPORTRANGE(""https://docs.google.com/spreadsheets/d/1C3CXT74ZlgGe6_JY_1olB1XN4rF0dxEuIIF-xsYjHgg/edit?usp=sharing"",""งบกองทุน!S103"")"),0)</f>
        <v>0</v>
      </c>
      <c r="F99" s="307">
        <v>0</v>
      </c>
      <c r="G99" s="307">
        <f t="shared" ca="1" si="1"/>
        <v>0</v>
      </c>
      <c r="H99" s="306">
        <f ca="1">IFERROR(__xludf.DUMMYFUNCTION("IMPORTRANGE(""https://docs.google.com/spreadsheets/d/1C3CXT74ZlgGe6_JY_1olB1XN4rF0dxEuIIF-xsYjHgg/edit?usp=sharing"",""งบกองทุน!V103"")"),0)</f>
        <v>0</v>
      </c>
      <c r="I99" s="306">
        <v>0</v>
      </c>
      <c r="J99" s="309">
        <f t="shared" ca="1" si="3"/>
        <v>0</v>
      </c>
      <c r="K99" s="306">
        <f ca="1">IFERROR(__xludf.DUMMYFUNCTION("IMPORTRANGE(""https://docs.google.com/spreadsheets/d/1C3CXT74ZlgGe6_JY_1olB1XN4rF0dxEuIIF-xsYjHgg/edit?usp=sharing"",""งบกองทุน!W103"")"),0)</f>
        <v>0</v>
      </c>
      <c r="L99" s="306">
        <f ca="1">IFERROR(__xludf.DUMMYFUNCTION("IMPORTRANGE(""https://docs.google.com/spreadsheets/d/1C3CXT74ZlgGe6_JY_1olB1XN4rF0dxEuIIF-xsYjHgg/edit?usp=sharing"",""งบกองทุน!X103"")"),0)</f>
        <v>0</v>
      </c>
      <c r="M99" s="306">
        <v>0</v>
      </c>
      <c r="N99" s="309">
        <f t="shared" ca="1" si="5"/>
        <v>0</v>
      </c>
      <c r="O99" s="306">
        <v>0</v>
      </c>
      <c r="P99" s="359">
        <f t="shared" ca="1" si="6"/>
        <v>0</v>
      </c>
      <c r="Q99" s="339"/>
      <c r="R99" s="339"/>
      <c r="S99" s="339"/>
      <c r="T99" s="339"/>
      <c r="U99" s="339"/>
      <c r="V99" s="339"/>
      <c r="W99" s="339"/>
      <c r="X99" s="339"/>
      <c r="Y99" s="339"/>
      <c r="Z99" s="339"/>
    </row>
    <row r="100" spans="1:26" ht="24" hidden="1" customHeight="1">
      <c r="A100" s="327">
        <f t="shared" si="39"/>
        <v>9</v>
      </c>
      <c r="B100" s="328" t="s">
        <v>124</v>
      </c>
      <c r="C100" s="305">
        <f t="shared" ca="1" si="38"/>
        <v>0</v>
      </c>
      <c r="D100" s="306">
        <f ca="1">IFERROR(__xludf.DUMMYFUNCTION("IMPORTRANGE(""https://docs.google.com/spreadsheets/d/1C3CXT74ZlgGe6_JY_1olB1XN4rF0dxEuIIF-xsYjHgg/edit?usp=sharing"",""งบกองทุน!R104"")"),0)</f>
        <v>0</v>
      </c>
      <c r="E100" s="306">
        <f ca="1">IFERROR(__xludf.DUMMYFUNCTION("IMPORTRANGE(""https://docs.google.com/spreadsheets/d/1C3CXT74ZlgGe6_JY_1olB1XN4rF0dxEuIIF-xsYjHgg/edit?usp=sharing"",""งบกองทุน!S104"")"),0)</f>
        <v>0</v>
      </c>
      <c r="F100" s="307">
        <v>0</v>
      </c>
      <c r="G100" s="307">
        <f t="shared" ca="1" si="1"/>
        <v>0</v>
      </c>
      <c r="H100" s="306">
        <f ca="1">IFERROR(__xludf.DUMMYFUNCTION("IMPORTRANGE(""https://docs.google.com/spreadsheets/d/1C3CXT74ZlgGe6_JY_1olB1XN4rF0dxEuIIF-xsYjHgg/edit?usp=sharing"",""งบกองทุน!V104"")"),0)</f>
        <v>0</v>
      </c>
      <c r="I100" s="306">
        <v>0</v>
      </c>
      <c r="J100" s="309">
        <f t="shared" ca="1" si="3"/>
        <v>0</v>
      </c>
      <c r="K100" s="306">
        <f ca="1">IFERROR(__xludf.DUMMYFUNCTION("IMPORTRANGE(""https://docs.google.com/spreadsheets/d/1C3CXT74ZlgGe6_JY_1olB1XN4rF0dxEuIIF-xsYjHgg/edit?usp=sharing"",""งบกองทุน!W104"")"),0)</f>
        <v>0</v>
      </c>
      <c r="L100" s="306">
        <f ca="1">IFERROR(__xludf.DUMMYFUNCTION("IMPORTRANGE(""https://docs.google.com/spreadsheets/d/1C3CXT74ZlgGe6_JY_1olB1XN4rF0dxEuIIF-xsYjHgg/edit?usp=sharing"",""งบกองทุน!X104"")"),0)</f>
        <v>0</v>
      </c>
      <c r="M100" s="306">
        <v>0</v>
      </c>
      <c r="N100" s="309">
        <f t="shared" ca="1" si="5"/>
        <v>0</v>
      </c>
      <c r="O100" s="306">
        <v>0</v>
      </c>
      <c r="P100" s="359">
        <f t="shared" ca="1" si="6"/>
        <v>0</v>
      </c>
      <c r="Q100" s="339"/>
      <c r="R100" s="339"/>
      <c r="S100" s="339"/>
      <c r="T100" s="339"/>
      <c r="U100" s="339"/>
      <c r="V100" s="339"/>
      <c r="W100" s="339"/>
      <c r="X100" s="339"/>
      <c r="Y100" s="339"/>
      <c r="Z100" s="339"/>
    </row>
    <row r="101" spans="1:26" ht="24" hidden="1" customHeight="1">
      <c r="A101" s="327">
        <f t="shared" si="39"/>
        <v>10</v>
      </c>
      <c r="B101" s="328" t="s">
        <v>125</v>
      </c>
      <c r="C101" s="305">
        <f t="shared" ca="1" si="38"/>
        <v>0</v>
      </c>
      <c r="D101" s="306">
        <f ca="1">IFERROR(__xludf.DUMMYFUNCTION("IMPORTRANGE(""https://docs.google.com/spreadsheets/d/1C3CXT74ZlgGe6_JY_1olB1XN4rF0dxEuIIF-xsYjHgg/edit?usp=sharing"",""งบกองทุน!R105"")"),0)</f>
        <v>0</v>
      </c>
      <c r="E101" s="306">
        <f ca="1">IFERROR(__xludf.DUMMYFUNCTION("IMPORTRANGE(""https://docs.google.com/spreadsheets/d/1C3CXT74ZlgGe6_JY_1olB1XN4rF0dxEuIIF-xsYjHgg/edit?usp=sharing"",""งบกองทุน!S105"")"),0)</f>
        <v>0</v>
      </c>
      <c r="F101" s="307">
        <v>0</v>
      </c>
      <c r="G101" s="307">
        <f t="shared" ca="1" si="1"/>
        <v>0</v>
      </c>
      <c r="H101" s="306">
        <f ca="1">IFERROR(__xludf.DUMMYFUNCTION("IMPORTRANGE(""https://docs.google.com/spreadsheets/d/1C3CXT74ZlgGe6_JY_1olB1XN4rF0dxEuIIF-xsYjHgg/edit?usp=sharing"",""งบกองทุน!V105"")"),0)</f>
        <v>0</v>
      </c>
      <c r="I101" s="306">
        <v>0</v>
      </c>
      <c r="J101" s="309">
        <f t="shared" ca="1" si="3"/>
        <v>0</v>
      </c>
      <c r="K101" s="306">
        <f ca="1">IFERROR(__xludf.DUMMYFUNCTION("IMPORTRANGE(""https://docs.google.com/spreadsheets/d/1C3CXT74ZlgGe6_JY_1olB1XN4rF0dxEuIIF-xsYjHgg/edit?usp=sharing"",""งบกองทุน!W105"")"),0)</f>
        <v>0</v>
      </c>
      <c r="L101" s="306">
        <f ca="1">IFERROR(__xludf.DUMMYFUNCTION("IMPORTRANGE(""https://docs.google.com/spreadsheets/d/1C3CXT74ZlgGe6_JY_1olB1XN4rF0dxEuIIF-xsYjHgg/edit?usp=sharing"",""งบกองทุน!X105"")"),0)</f>
        <v>0</v>
      </c>
      <c r="M101" s="306">
        <v>0</v>
      </c>
      <c r="N101" s="309">
        <f t="shared" ca="1" si="5"/>
        <v>0</v>
      </c>
      <c r="O101" s="306">
        <v>0</v>
      </c>
      <c r="P101" s="359">
        <f t="shared" ca="1" si="6"/>
        <v>0</v>
      </c>
      <c r="Q101" s="339"/>
      <c r="R101" s="339"/>
      <c r="S101" s="339"/>
      <c r="T101" s="339"/>
      <c r="U101" s="339"/>
      <c r="V101" s="339"/>
      <c r="W101" s="339"/>
      <c r="X101" s="339"/>
      <c r="Y101" s="339"/>
      <c r="Z101" s="339"/>
    </row>
    <row r="102" spans="1:26" ht="24" hidden="1" customHeight="1">
      <c r="A102" s="327">
        <f t="shared" si="39"/>
        <v>11</v>
      </c>
      <c r="B102" s="328" t="s">
        <v>126</v>
      </c>
      <c r="C102" s="305">
        <f t="shared" ca="1" si="38"/>
        <v>0</v>
      </c>
      <c r="D102" s="306">
        <f ca="1">IFERROR(__xludf.DUMMYFUNCTION("IMPORTRANGE(""https://docs.google.com/spreadsheets/d/1C3CXT74ZlgGe6_JY_1olB1XN4rF0dxEuIIF-xsYjHgg/edit?usp=sharing"",""งบกองทุน!R106"")"),0)</f>
        <v>0</v>
      </c>
      <c r="E102" s="306">
        <f ca="1">IFERROR(__xludf.DUMMYFUNCTION("IMPORTRANGE(""https://docs.google.com/spreadsheets/d/1C3CXT74ZlgGe6_JY_1olB1XN4rF0dxEuIIF-xsYjHgg/edit?usp=sharing"",""งบกองทุน!S106"")"),0)</f>
        <v>0</v>
      </c>
      <c r="F102" s="307">
        <v>0</v>
      </c>
      <c r="G102" s="307">
        <f t="shared" ca="1" si="1"/>
        <v>0</v>
      </c>
      <c r="H102" s="306">
        <f ca="1">IFERROR(__xludf.DUMMYFUNCTION("IMPORTRANGE(""https://docs.google.com/spreadsheets/d/1C3CXT74ZlgGe6_JY_1olB1XN4rF0dxEuIIF-xsYjHgg/edit?usp=sharing"",""งบกองทุน!V106"")"),0)</f>
        <v>0</v>
      </c>
      <c r="I102" s="306">
        <v>0</v>
      </c>
      <c r="J102" s="309">
        <f t="shared" ca="1" si="3"/>
        <v>0</v>
      </c>
      <c r="K102" s="306">
        <f ca="1">IFERROR(__xludf.DUMMYFUNCTION("IMPORTRANGE(""https://docs.google.com/spreadsheets/d/1C3CXT74ZlgGe6_JY_1olB1XN4rF0dxEuIIF-xsYjHgg/edit?usp=sharing"",""งบกองทุน!W106"")"),0)</f>
        <v>0</v>
      </c>
      <c r="L102" s="306">
        <f ca="1">IFERROR(__xludf.DUMMYFUNCTION("IMPORTRANGE(""https://docs.google.com/spreadsheets/d/1C3CXT74ZlgGe6_JY_1olB1XN4rF0dxEuIIF-xsYjHgg/edit?usp=sharing"",""งบกองทุน!X106"")"),0)</f>
        <v>0</v>
      </c>
      <c r="M102" s="306">
        <v>0</v>
      </c>
      <c r="N102" s="309">
        <f t="shared" ca="1" si="5"/>
        <v>0</v>
      </c>
      <c r="O102" s="306">
        <v>0</v>
      </c>
      <c r="P102" s="359">
        <f t="shared" ca="1" si="6"/>
        <v>0</v>
      </c>
      <c r="Q102" s="339"/>
      <c r="R102" s="339"/>
      <c r="S102" s="339"/>
      <c r="T102" s="339"/>
      <c r="U102" s="339"/>
      <c r="V102" s="339"/>
      <c r="W102" s="339"/>
      <c r="X102" s="339"/>
      <c r="Y102" s="339"/>
      <c r="Z102" s="339"/>
    </row>
    <row r="103" spans="1:26" ht="24" hidden="1" customHeight="1">
      <c r="A103" s="327">
        <f t="shared" si="39"/>
        <v>12</v>
      </c>
      <c r="B103" s="328" t="s">
        <v>127</v>
      </c>
      <c r="C103" s="305">
        <f t="shared" ca="1" si="38"/>
        <v>0</v>
      </c>
      <c r="D103" s="306">
        <f ca="1">IFERROR(__xludf.DUMMYFUNCTION("IMPORTRANGE(""https://docs.google.com/spreadsheets/d/1C3CXT74ZlgGe6_JY_1olB1XN4rF0dxEuIIF-xsYjHgg/edit?usp=sharing"",""งบกองทุน!R107"")"),0)</f>
        <v>0</v>
      </c>
      <c r="E103" s="306">
        <f ca="1">IFERROR(__xludf.DUMMYFUNCTION("IMPORTRANGE(""https://docs.google.com/spreadsheets/d/1C3CXT74ZlgGe6_JY_1olB1XN4rF0dxEuIIF-xsYjHgg/edit?usp=sharing"",""งบกองทุน!S107"")"),0)</f>
        <v>0</v>
      </c>
      <c r="F103" s="307">
        <v>0</v>
      </c>
      <c r="G103" s="307">
        <f t="shared" ca="1" si="1"/>
        <v>0</v>
      </c>
      <c r="H103" s="306">
        <f ca="1">IFERROR(__xludf.DUMMYFUNCTION("IMPORTRANGE(""https://docs.google.com/spreadsheets/d/1C3CXT74ZlgGe6_JY_1olB1XN4rF0dxEuIIF-xsYjHgg/edit?usp=sharing"",""งบกองทุน!V107"")"),0)</f>
        <v>0</v>
      </c>
      <c r="I103" s="306">
        <v>0</v>
      </c>
      <c r="J103" s="309">
        <f t="shared" ca="1" si="3"/>
        <v>0</v>
      </c>
      <c r="K103" s="306">
        <f ca="1">IFERROR(__xludf.DUMMYFUNCTION("IMPORTRANGE(""https://docs.google.com/spreadsheets/d/1C3CXT74ZlgGe6_JY_1olB1XN4rF0dxEuIIF-xsYjHgg/edit?usp=sharing"",""งบกองทุน!W107"")"),0)</f>
        <v>0</v>
      </c>
      <c r="L103" s="306">
        <f ca="1">IFERROR(__xludf.DUMMYFUNCTION("IMPORTRANGE(""https://docs.google.com/spreadsheets/d/1C3CXT74ZlgGe6_JY_1olB1XN4rF0dxEuIIF-xsYjHgg/edit?usp=sharing"",""งบกองทุน!X107"")"),0)</f>
        <v>0</v>
      </c>
      <c r="M103" s="306">
        <v>0</v>
      </c>
      <c r="N103" s="309">
        <f t="shared" ca="1" si="5"/>
        <v>0</v>
      </c>
      <c r="O103" s="306">
        <v>0</v>
      </c>
      <c r="P103" s="359">
        <f t="shared" ca="1" si="6"/>
        <v>0</v>
      </c>
      <c r="Q103" s="339"/>
      <c r="R103" s="339"/>
      <c r="S103" s="339"/>
      <c r="T103" s="339"/>
      <c r="U103" s="339"/>
      <c r="V103" s="339"/>
      <c r="W103" s="339"/>
      <c r="X103" s="339"/>
      <c r="Y103" s="339"/>
      <c r="Z103" s="339"/>
    </row>
    <row r="104" spans="1:26" ht="24" hidden="1" customHeight="1">
      <c r="A104" s="327">
        <f t="shared" si="39"/>
        <v>13</v>
      </c>
      <c r="B104" s="328" t="s">
        <v>128</v>
      </c>
      <c r="C104" s="305">
        <f t="shared" ca="1" si="38"/>
        <v>0</v>
      </c>
      <c r="D104" s="306">
        <f ca="1">IFERROR(__xludf.DUMMYFUNCTION("IMPORTRANGE(""https://docs.google.com/spreadsheets/d/1C3CXT74ZlgGe6_JY_1olB1XN4rF0dxEuIIF-xsYjHgg/edit?usp=sharing"",""งบกองทุน!R108"")"),0)</f>
        <v>0</v>
      </c>
      <c r="E104" s="306">
        <f ca="1">IFERROR(__xludf.DUMMYFUNCTION("IMPORTRANGE(""https://docs.google.com/spreadsheets/d/1C3CXT74ZlgGe6_JY_1olB1XN4rF0dxEuIIF-xsYjHgg/edit?usp=sharing"",""งบกองทุน!S108"")"),0)</f>
        <v>0</v>
      </c>
      <c r="F104" s="307">
        <v>0</v>
      </c>
      <c r="G104" s="307">
        <f t="shared" ca="1" si="1"/>
        <v>0</v>
      </c>
      <c r="H104" s="306">
        <f ca="1">IFERROR(__xludf.DUMMYFUNCTION("IMPORTRANGE(""https://docs.google.com/spreadsheets/d/1C3CXT74ZlgGe6_JY_1olB1XN4rF0dxEuIIF-xsYjHgg/edit?usp=sharing"",""งบกองทุน!V108"")"),0)</f>
        <v>0</v>
      </c>
      <c r="I104" s="306">
        <v>0</v>
      </c>
      <c r="J104" s="309">
        <f t="shared" ca="1" si="3"/>
        <v>0</v>
      </c>
      <c r="K104" s="306">
        <f ca="1">IFERROR(__xludf.DUMMYFUNCTION("IMPORTRANGE(""https://docs.google.com/spreadsheets/d/1C3CXT74ZlgGe6_JY_1olB1XN4rF0dxEuIIF-xsYjHgg/edit?usp=sharing"",""งบกองทุน!W108"")"),0)</f>
        <v>0</v>
      </c>
      <c r="L104" s="306">
        <f ca="1">IFERROR(__xludf.DUMMYFUNCTION("IMPORTRANGE(""https://docs.google.com/spreadsheets/d/1C3CXT74ZlgGe6_JY_1olB1XN4rF0dxEuIIF-xsYjHgg/edit?usp=sharing"",""งบกองทุน!X108"")"),0)</f>
        <v>0</v>
      </c>
      <c r="M104" s="306">
        <v>0</v>
      </c>
      <c r="N104" s="309">
        <f t="shared" ca="1" si="5"/>
        <v>0</v>
      </c>
      <c r="O104" s="306">
        <v>0</v>
      </c>
      <c r="P104" s="359">
        <f t="shared" ca="1" si="6"/>
        <v>0</v>
      </c>
      <c r="Q104" s="339"/>
      <c r="R104" s="339"/>
      <c r="S104" s="339"/>
      <c r="T104" s="339"/>
      <c r="U104" s="339"/>
      <c r="V104" s="339"/>
      <c r="W104" s="339"/>
      <c r="X104" s="339"/>
      <c r="Y104" s="339"/>
      <c r="Z104" s="339"/>
    </row>
    <row r="105" spans="1:26" ht="24" hidden="1" customHeight="1">
      <c r="A105" s="329">
        <f t="shared" si="39"/>
        <v>14</v>
      </c>
      <c r="B105" s="330" t="s">
        <v>129</v>
      </c>
      <c r="C105" s="312">
        <f t="shared" ca="1" si="38"/>
        <v>0</v>
      </c>
      <c r="D105" s="313">
        <f ca="1">IFERROR(__xludf.DUMMYFUNCTION("IMPORTRANGE(""https://docs.google.com/spreadsheets/d/1C3CXT74ZlgGe6_JY_1olB1XN4rF0dxEuIIF-xsYjHgg/edit?usp=sharing"",""งบกองทุน!R109"")"),0)</f>
        <v>0</v>
      </c>
      <c r="E105" s="313">
        <f ca="1">IFERROR(__xludf.DUMMYFUNCTION("IMPORTRANGE(""https://docs.google.com/spreadsheets/d/1C3CXT74ZlgGe6_JY_1olB1XN4rF0dxEuIIF-xsYjHgg/edit?usp=sharing"",""งบกองทุน!S109"")"),0)</f>
        <v>0</v>
      </c>
      <c r="F105" s="314">
        <v>0</v>
      </c>
      <c r="G105" s="314">
        <f t="shared" ca="1" si="1"/>
        <v>0</v>
      </c>
      <c r="H105" s="313">
        <f ca="1">IFERROR(__xludf.DUMMYFUNCTION("IMPORTRANGE(""https://docs.google.com/spreadsheets/d/1C3CXT74ZlgGe6_JY_1olB1XN4rF0dxEuIIF-xsYjHgg/edit?usp=sharing"",""งบกองทุน!V109"")"),0)</f>
        <v>0</v>
      </c>
      <c r="I105" s="313">
        <v>0</v>
      </c>
      <c r="J105" s="316">
        <f t="shared" ca="1" si="3"/>
        <v>0</v>
      </c>
      <c r="K105" s="313">
        <f ca="1">IFERROR(__xludf.DUMMYFUNCTION("IMPORTRANGE(""https://docs.google.com/spreadsheets/d/1C3CXT74ZlgGe6_JY_1olB1XN4rF0dxEuIIF-xsYjHgg/edit?usp=sharing"",""งบกองทุน!W109"")"),0)</f>
        <v>0</v>
      </c>
      <c r="L105" s="313">
        <f ca="1">IFERROR(__xludf.DUMMYFUNCTION("IMPORTRANGE(""https://docs.google.com/spreadsheets/d/1C3CXT74ZlgGe6_JY_1olB1XN4rF0dxEuIIF-xsYjHgg/edit?usp=sharing"",""งบกองทุน!X109"")"),0)</f>
        <v>0</v>
      </c>
      <c r="M105" s="313">
        <v>0</v>
      </c>
      <c r="N105" s="316">
        <f t="shared" ca="1" si="5"/>
        <v>0</v>
      </c>
      <c r="O105" s="313">
        <v>0</v>
      </c>
      <c r="P105" s="360">
        <f t="shared" ca="1" si="6"/>
        <v>0</v>
      </c>
      <c r="Q105" s="339"/>
      <c r="R105" s="339"/>
      <c r="S105" s="339"/>
      <c r="T105" s="339"/>
      <c r="U105" s="339"/>
      <c r="V105" s="339"/>
      <c r="W105" s="339"/>
      <c r="X105" s="339"/>
      <c r="Y105" s="339"/>
      <c r="Z105" s="339"/>
    </row>
    <row r="106" spans="1:26" ht="27.75" hidden="1" customHeight="1">
      <c r="A106" s="791" t="s">
        <v>130</v>
      </c>
      <c r="B106" s="652"/>
      <c r="C106" s="322">
        <f t="shared" ref="C106:F106" ca="1" si="40">+C107+C108+C109+C110+C111+C112+C113+C114</f>
        <v>0</v>
      </c>
      <c r="D106" s="323">
        <f t="shared" ca="1" si="40"/>
        <v>0</v>
      </c>
      <c r="E106" s="323">
        <f t="shared" ca="1" si="40"/>
        <v>0</v>
      </c>
      <c r="F106" s="323">
        <f t="shared" si="40"/>
        <v>0</v>
      </c>
      <c r="G106" s="324">
        <f t="shared" ca="1" si="1"/>
        <v>0</v>
      </c>
      <c r="H106" s="323">
        <f t="shared" ref="H106:I106" ca="1" si="41">+H107+H108+H109+H110+H111+H112+H113+H114</f>
        <v>0</v>
      </c>
      <c r="I106" s="323">
        <f t="shared" si="41"/>
        <v>0</v>
      </c>
      <c r="J106" s="324">
        <f t="shared" ca="1" si="3"/>
        <v>0</v>
      </c>
      <c r="K106" s="323">
        <f t="shared" ref="K106:M106" ca="1" si="42">+K107+K108+K109+K110+K111+K112+K113+K114</f>
        <v>0</v>
      </c>
      <c r="L106" s="323">
        <f t="shared" ca="1" si="42"/>
        <v>0</v>
      </c>
      <c r="M106" s="323">
        <f t="shared" si="42"/>
        <v>0</v>
      </c>
      <c r="N106" s="324">
        <f t="shared" ca="1" si="5"/>
        <v>0</v>
      </c>
      <c r="O106" s="323">
        <f>+O107+O108+O109+O110+O111+O112+O113+O114</f>
        <v>0</v>
      </c>
      <c r="P106" s="362">
        <f t="shared" ca="1" si="6"/>
        <v>0</v>
      </c>
      <c r="Q106" s="339"/>
      <c r="R106" s="339"/>
      <c r="S106" s="339"/>
      <c r="T106" s="339"/>
      <c r="U106" s="339"/>
      <c r="V106" s="339"/>
      <c r="W106" s="339"/>
      <c r="X106" s="339"/>
      <c r="Y106" s="339"/>
      <c r="Z106" s="339"/>
    </row>
    <row r="107" spans="1:26" ht="24" hidden="1" customHeight="1">
      <c r="A107" s="325">
        <v>1</v>
      </c>
      <c r="B107" s="326" t="s">
        <v>131</v>
      </c>
      <c r="C107" s="295">
        <f t="shared" ref="C107:C114" ca="1" si="43">+D107+E107</f>
        <v>0</v>
      </c>
      <c r="D107" s="296">
        <f ca="1">IFERROR(__xludf.DUMMYFUNCTION("IMPORTRANGE(""https://docs.google.com/spreadsheets/d/1C3CXT74ZlgGe6_JY_1olB1XN4rF0dxEuIIF-xsYjHgg/edit?usp=sharing"",""งบกองทุน!R111"")"),0)</f>
        <v>0</v>
      </c>
      <c r="E107" s="296">
        <f ca="1">IFERROR(__xludf.DUMMYFUNCTION("IMPORTRANGE(""https://docs.google.com/spreadsheets/d/1C3CXT74ZlgGe6_JY_1olB1XN4rF0dxEuIIF-xsYjHgg/edit?usp=sharing"",""งบกองทุน!S111"")"),0)</f>
        <v>0</v>
      </c>
      <c r="F107" s="297">
        <v>0</v>
      </c>
      <c r="G107" s="297">
        <f t="shared" ca="1" si="1"/>
        <v>0</v>
      </c>
      <c r="H107" s="296">
        <f ca="1">IFERROR(__xludf.DUMMYFUNCTION("IMPORTRANGE(""https://docs.google.com/spreadsheets/d/1C3CXT74ZlgGe6_JY_1olB1XN4rF0dxEuIIF-xsYjHgg/edit?usp=sharing"",""งบกองทุน!V111"")"),0)</f>
        <v>0</v>
      </c>
      <c r="I107" s="296">
        <v>0</v>
      </c>
      <c r="J107" s="301">
        <f t="shared" ca="1" si="3"/>
        <v>0</v>
      </c>
      <c r="K107" s="296">
        <f ca="1">IFERROR(__xludf.DUMMYFUNCTION("IMPORTRANGE(""https://docs.google.com/spreadsheets/d/1C3CXT74ZlgGe6_JY_1olB1XN4rF0dxEuIIF-xsYjHgg/edit?usp=sharing"",""งบกองทุน!W111"")"),0)</f>
        <v>0</v>
      </c>
      <c r="L107" s="296">
        <f ca="1">IFERROR(__xludf.DUMMYFUNCTION("IMPORTRANGE(""https://docs.google.com/spreadsheets/d/1C3CXT74ZlgGe6_JY_1olB1XN4rF0dxEuIIF-xsYjHgg/edit?usp=sharing"",""งบกองทุน!X111"")"),0)</f>
        <v>0</v>
      </c>
      <c r="M107" s="296">
        <v>0</v>
      </c>
      <c r="N107" s="301">
        <f t="shared" ca="1" si="5"/>
        <v>0</v>
      </c>
      <c r="O107" s="296">
        <v>0</v>
      </c>
      <c r="P107" s="358">
        <f t="shared" ca="1" si="6"/>
        <v>0</v>
      </c>
      <c r="Q107" s="339"/>
      <c r="R107" s="339"/>
      <c r="S107" s="339"/>
      <c r="T107" s="339"/>
      <c r="U107" s="339"/>
      <c r="V107" s="339"/>
      <c r="W107" s="339"/>
      <c r="X107" s="339"/>
      <c r="Y107" s="339"/>
      <c r="Z107" s="339"/>
    </row>
    <row r="108" spans="1:26" ht="24" hidden="1" customHeight="1">
      <c r="A108" s="327">
        <v>2</v>
      </c>
      <c r="B108" s="328" t="s">
        <v>132</v>
      </c>
      <c r="C108" s="305">
        <f t="shared" ca="1" si="43"/>
        <v>0</v>
      </c>
      <c r="D108" s="306">
        <f ca="1">IFERROR(__xludf.DUMMYFUNCTION("IMPORTRANGE(""https://docs.google.com/spreadsheets/d/1C3CXT74ZlgGe6_JY_1olB1XN4rF0dxEuIIF-xsYjHgg/edit?usp=sharing"",""งบกองทุน!R112"")"),0)</f>
        <v>0</v>
      </c>
      <c r="E108" s="306">
        <f ca="1">IFERROR(__xludf.DUMMYFUNCTION("IMPORTRANGE(""https://docs.google.com/spreadsheets/d/1C3CXT74ZlgGe6_JY_1olB1XN4rF0dxEuIIF-xsYjHgg/edit?usp=sharing"",""งบกองทุน!S112"")"),0)</f>
        <v>0</v>
      </c>
      <c r="F108" s="307">
        <v>0</v>
      </c>
      <c r="G108" s="307">
        <f t="shared" ca="1" si="1"/>
        <v>0</v>
      </c>
      <c r="H108" s="306">
        <f ca="1">IFERROR(__xludf.DUMMYFUNCTION("IMPORTRANGE(""https://docs.google.com/spreadsheets/d/1C3CXT74ZlgGe6_JY_1olB1XN4rF0dxEuIIF-xsYjHgg/edit?usp=sharing"",""งบกองทุน!V112"")"),0)</f>
        <v>0</v>
      </c>
      <c r="I108" s="306">
        <v>0</v>
      </c>
      <c r="J108" s="309">
        <f t="shared" ca="1" si="3"/>
        <v>0</v>
      </c>
      <c r="K108" s="306">
        <f ca="1">IFERROR(__xludf.DUMMYFUNCTION("IMPORTRANGE(""https://docs.google.com/spreadsheets/d/1C3CXT74ZlgGe6_JY_1olB1XN4rF0dxEuIIF-xsYjHgg/edit?usp=sharing"",""งบกองทุน!W112"")"),0)</f>
        <v>0</v>
      </c>
      <c r="L108" s="306">
        <f ca="1">IFERROR(__xludf.DUMMYFUNCTION("IMPORTRANGE(""https://docs.google.com/spreadsheets/d/1C3CXT74ZlgGe6_JY_1olB1XN4rF0dxEuIIF-xsYjHgg/edit?usp=sharing"",""งบกองทุน!X112"")"),0)</f>
        <v>0</v>
      </c>
      <c r="M108" s="306">
        <v>0</v>
      </c>
      <c r="N108" s="309">
        <f t="shared" ca="1" si="5"/>
        <v>0</v>
      </c>
      <c r="O108" s="306">
        <v>0</v>
      </c>
      <c r="P108" s="359">
        <f t="shared" ca="1" si="6"/>
        <v>0</v>
      </c>
      <c r="Q108" s="339"/>
      <c r="R108" s="339"/>
      <c r="S108" s="339"/>
      <c r="T108" s="339"/>
      <c r="U108" s="339"/>
      <c r="V108" s="339"/>
      <c r="W108" s="339"/>
      <c r="X108" s="339"/>
      <c r="Y108" s="339"/>
      <c r="Z108" s="339"/>
    </row>
    <row r="109" spans="1:26" ht="24" hidden="1" customHeight="1">
      <c r="A109" s="327">
        <v>3</v>
      </c>
      <c r="B109" s="328" t="s">
        <v>133</v>
      </c>
      <c r="C109" s="305">
        <f t="shared" ca="1" si="43"/>
        <v>0</v>
      </c>
      <c r="D109" s="306">
        <f ca="1">IFERROR(__xludf.DUMMYFUNCTION("IMPORTRANGE(""https://docs.google.com/spreadsheets/d/1C3CXT74ZlgGe6_JY_1olB1XN4rF0dxEuIIF-xsYjHgg/edit?usp=sharing"",""งบกองทุน!R113"")"),0)</f>
        <v>0</v>
      </c>
      <c r="E109" s="306">
        <f ca="1">IFERROR(__xludf.DUMMYFUNCTION("IMPORTRANGE(""https://docs.google.com/spreadsheets/d/1C3CXT74ZlgGe6_JY_1olB1XN4rF0dxEuIIF-xsYjHgg/edit?usp=sharing"",""งบกองทุน!S113"")"),0)</f>
        <v>0</v>
      </c>
      <c r="F109" s="307">
        <v>0</v>
      </c>
      <c r="G109" s="307">
        <f t="shared" ca="1" si="1"/>
        <v>0</v>
      </c>
      <c r="H109" s="306">
        <f ca="1">IFERROR(__xludf.DUMMYFUNCTION("IMPORTRANGE(""https://docs.google.com/spreadsheets/d/1C3CXT74ZlgGe6_JY_1olB1XN4rF0dxEuIIF-xsYjHgg/edit?usp=sharing"",""งบกองทุน!V113"")"),0)</f>
        <v>0</v>
      </c>
      <c r="I109" s="306">
        <v>0</v>
      </c>
      <c r="J109" s="309">
        <f t="shared" ca="1" si="3"/>
        <v>0</v>
      </c>
      <c r="K109" s="306">
        <f ca="1">IFERROR(__xludf.DUMMYFUNCTION("IMPORTRANGE(""https://docs.google.com/spreadsheets/d/1C3CXT74ZlgGe6_JY_1olB1XN4rF0dxEuIIF-xsYjHgg/edit?usp=sharing"",""งบกองทุน!W113"")"),0)</f>
        <v>0</v>
      </c>
      <c r="L109" s="306">
        <f ca="1">IFERROR(__xludf.DUMMYFUNCTION("IMPORTRANGE(""https://docs.google.com/spreadsheets/d/1C3CXT74ZlgGe6_JY_1olB1XN4rF0dxEuIIF-xsYjHgg/edit?usp=sharing"",""งบกองทุน!X113"")"),0)</f>
        <v>0</v>
      </c>
      <c r="M109" s="306">
        <v>0</v>
      </c>
      <c r="N109" s="309">
        <f t="shared" ca="1" si="5"/>
        <v>0</v>
      </c>
      <c r="O109" s="306">
        <v>0</v>
      </c>
      <c r="P109" s="359">
        <f t="shared" ca="1" si="6"/>
        <v>0</v>
      </c>
      <c r="Q109" s="339"/>
      <c r="R109" s="339"/>
      <c r="S109" s="339"/>
      <c r="T109" s="339"/>
      <c r="U109" s="339"/>
      <c r="V109" s="339"/>
      <c r="W109" s="339"/>
      <c r="X109" s="339"/>
      <c r="Y109" s="339"/>
      <c r="Z109" s="339"/>
    </row>
    <row r="110" spans="1:26" ht="24" hidden="1" customHeight="1">
      <c r="A110" s="327">
        <f t="shared" ref="A110:A112" si="44">+A109+1</f>
        <v>4</v>
      </c>
      <c r="B110" s="328" t="s">
        <v>134</v>
      </c>
      <c r="C110" s="305">
        <f t="shared" ca="1" si="43"/>
        <v>0</v>
      </c>
      <c r="D110" s="306">
        <f ca="1">IFERROR(__xludf.DUMMYFUNCTION("IMPORTRANGE(""https://docs.google.com/spreadsheets/d/1C3CXT74ZlgGe6_JY_1olB1XN4rF0dxEuIIF-xsYjHgg/edit?usp=sharing"",""งบกองทุน!R114"")"),0)</f>
        <v>0</v>
      </c>
      <c r="E110" s="306">
        <f ca="1">IFERROR(__xludf.DUMMYFUNCTION("IMPORTRANGE(""https://docs.google.com/spreadsheets/d/1C3CXT74ZlgGe6_JY_1olB1XN4rF0dxEuIIF-xsYjHgg/edit?usp=sharing"",""งบกองทุน!S114"")"),0)</f>
        <v>0</v>
      </c>
      <c r="F110" s="307">
        <v>0</v>
      </c>
      <c r="G110" s="307">
        <f t="shared" ca="1" si="1"/>
        <v>0</v>
      </c>
      <c r="H110" s="306">
        <f ca="1">IFERROR(__xludf.DUMMYFUNCTION("IMPORTRANGE(""https://docs.google.com/spreadsheets/d/1C3CXT74ZlgGe6_JY_1olB1XN4rF0dxEuIIF-xsYjHgg/edit?usp=sharing"",""งบกองทุน!V114"")"),0)</f>
        <v>0</v>
      </c>
      <c r="I110" s="306">
        <v>0</v>
      </c>
      <c r="J110" s="309">
        <f t="shared" ca="1" si="3"/>
        <v>0</v>
      </c>
      <c r="K110" s="306">
        <f ca="1">IFERROR(__xludf.DUMMYFUNCTION("IMPORTRANGE(""https://docs.google.com/spreadsheets/d/1C3CXT74ZlgGe6_JY_1olB1XN4rF0dxEuIIF-xsYjHgg/edit?usp=sharing"",""งบกองทุน!W114"")"),0)</f>
        <v>0</v>
      </c>
      <c r="L110" s="306">
        <f ca="1">IFERROR(__xludf.DUMMYFUNCTION("IMPORTRANGE(""https://docs.google.com/spreadsheets/d/1C3CXT74ZlgGe6_JY_1olB1XN4rF0dxEuIIF-xsYjHgg/edit?usp=sharing"",""งบกองทุน!X114"")"),0)</f>
        <v>0</v>
      </c>
      <c r="M110" s="306">
        <v>0</v>
      </c>
      <c r="N110" s="309">
        <f t="shared" ca="1" si="5"/>
        <v>0</v>
      </c>
      <c r="O110" s="306">
        <v>0</v>
      </c>
      <c r="P110" s="359">
        <f t="shared" ca="1" si="6"/>
        <v>0</v>
      </c>
      <c r="Q110" s="339"/>
      <c r="R110" s="339"/>
      <c r="S110" s="339"/>
      <c r="T110" s="339"/>
      <c r="U110" s="339"/>
      <c r="V110" s="339"/>
      <c r="W110" s="339"/>
      <c r="X110" s="339"/>
      <c r="Y110" s="339"/>
      <c r="Z110" s="339"/>
    </row>
    <row r="111" spans="1:26" ht="24" hidden="1" customHeight="1">
      <c r="A111" s="327">
        <f t="shared" si="44"/>
        <v>5</v>
      </c>
      <c r="B111" s="328" t="s">
        <v>135</v>
      </c>
      <c r="C111" s="305">
        <f t="shared" ca="1" si="43"/>
        <v>0</v>
      </c>
      <c r="D111" s="306">
        <f ca="1">IFERROR(__xludf.DUMMYFUNCTION("IMPORTRANGE(""https://docs.google.com/spreadsheets/d/1C3CXT74ZlgGe6_JY_1olB1XN4rF0dxEuIIF-xsYjHgg/edit?usp=sharing"",""งบกองทุน!R115"")"),0)</f>
        <v>0</v>
      </c>
      <c r="E111" s="306">
        <f ca="1">IFERROR(__xludf.DUMMYFUNCTION("IMPORTRANGE(""https://docs.google.com/spreadsheets/d/1C3CXT74ZlgGe6_JY_1olB1XN4rF0dxEuIIF-xsYjHgg/edit?usp=sharing"",""งบกองทุน!S115"")"),0)</f>
        <v>0</v>
      </c>
      <c r="F111" s="307">
        <v>0</v>
      </c>
      <c r="G111" s="307">
        <f t="shared" ca="1" si="1"/>
        <v>0</v>
      </c>
      <c r="H111" s="306">
        <f ca="1">IFERROR(__xludf.DUMMYFUNCTION("IMPORTRANGE(""https://docs.google.com/spreadsheets/d/1C3CXT74ZlgGe6_JY_1olB1XN4rF0dxEuIIF-xsYjHgg/edit?usp=sharing"",""งบกองทุน!V115"")"),0)</f>
        <v>0</v>
      </c>
      <c r="I111" s="306">
        <v>0</v>
      </c>
      <c r="J111" s="309">
        <f t="shared" ca="1" si="3"/>
        <v>0</v>
      </c>
      <c r="K111" s="306">
        <f ca="1">IFERROR(__xludf.DUMMYFUNCTION("IMPORTRANGE(""https://docs.google.com/spreadsheets/d/1C3CXT74ZlgGe6_JY_1olB1XN4rF0dxEuIIF-xsYjHgg/edit?usp=sharing"",""งบกองทุน!W115"")"),0)</f>
        <v>0</v>
      </c>
      <c r="L111" s="306">
        <f ca="1">IFERROR(__xludf.DUMMYFUNCTION("IMPORTRANGE(""https://docs.google.com/spreadsheets/d/1C3CXT74ZlgGe6_JY_1olB1XN4rF0dxEuIIF-xsYjHgg/edit?usp=sharing"",""งบกองทุน!X115"")"),0)</f>
        <v>0</v>
      </c>
      <c r="M111" s="306">
        <v>0</v>
      </c>
      <c r="N111" s="309">
        <f t="shared" ca="1" si="5"/>
        <v>0</v>
      </c>
      <c r="O111" s="306">
        <v>0</v>
      </c>
      <c r="P111" s="359">
        <f t="shared" ca="1" si="6"/>
        <v>0</v>
      </c>
      <c r="Q111" s="339"/>
      <c r="R111" s="339"/>
      <c r="S111" s="339"/>
      <c r="T111" s="339"/>
      <c r="U111" s="339"/>
      <c r="V111" s="339"/>
      <c r="W111" s="339"/>
      <c r="X111" s="339"/>
      <c r="Y111" s="339"/>
      <c r="Z111" s="339"/>
    </row>
    <row r="112" spans="1:26" ht="24" hidden="1" customHeight="1">
      <c r="A112" s="327">
        <f t="shared" si="44"/>
        <v>6</v>
      </c>
      <c r="B112" s="328" t="s">
        <v>136</v>
      </c>
      <c r="C112" s="305">
        <f t="shared" ca="1" si="43"/>
        <v>0</v>
      </c>
      <c r="D112" s="306">
        <f ca="1">IFERROR(__xludf.DUMMYFUNCTION("IMPORTRANGE(""https://docs.google.com/spreadsheets/d/1C3CXT74ZlgGe6_JY_1olB1XN4rF0dxEuIIF-xsYjHgg/edit?usp=sharing"",""งบกองทุน!R116"")"),0)</f>
        <v>0</v>
      </c>
      <c r="E112" s="306">
        <f ca="1">IFERROR(__xludf.DUMMYFUNCTION("IMPORTRANGE(""https://docs.google.com/spreadsheets/d/1C3CXT74ZlgGe6_JY_1olB1XN4rF0dxEuIIF-xsYjHgg/edit?usp=sharing"",""งบกองทุน!S116"")"),0)</f>
        <v>0</v>
      </c>
      <c r="F112" s="307">
        <v>0</v>
      </c>
      <c r="G112" s="307">
        <f t="shared" ca="1" si="1"/>
        <v>0</v>
      </c>
      <c r="H112" s="306">
        <f ca="1">IFERROR(__xludf.DUMMYFUNCTION("IMPORTRANGE(""https://docs.google.com/spreadsheets/d/1C3CXT74ZlgGe6_JY_1olB1XN4rF0dxEuIIF-xsYjHgg/edit?usp=sharing"",""งบกองทุน!V116"")"),0)</f>
        <v>0</v>
      </c>
      <c r="I112" s="306">
        <v>0</v>
      </c>
      <c r="J112" s="309">
        <f t="shared" ca="1" si="3"/>
        <v>0</v>
      </c>
      <c r="K112" s="306">
        <f ca="1">IFERROR(__xludf.DUMMYFUNCTION("IMPORTRANGE(""https://docs.google.com/spreadsheets/d/1C3CXT74ZlgGe6_JY_1olB1XN4rF0dxEuIIF-xsYjHgg/edit?usp=sharing"",""งบกองทุน!W116"")"),0)</f>
        <v>0</v>
      </c>
      <c r="L112" s="306">
        <f ca="1">IFERROR(__xludf.DUMMYFUNCTION("IMPORTRANGE(""https://docs.google.com/spreadsheets/d/1C3CXT74ZlgGe6_JY_1olB1XN4rF0dxEuIIF-xsYjHgg/edit?usp=sharing"",""งบกองทุน!X116"")"),0)</f>
        <v>0</v>
      </c>
      <c r="M112" s="306">
        <v>0</v>
      </c>
      <c r="N112" s="309">
        <f t="shared" ca="1" si="5"/>
        <v>0</v>
      </c>
      <c r="O112" s="306">
        <v>0</v>
      </c>
      <c r="P112" s="359">
        <f t="shared" ca="1" si="6"/>
        <v>0</v>
      </c>
      <c r="Q112" s="339"/>
      <c r="R112" s="339"/>
      <c r="S112" s="339"/>
      <c r="T112" s="339"/>
      <c r="U112" s="339"/>
      <c r="V112" s="339"/>
      <c r="W112" s="339"/>
      <c r="X112" s="339"/>
      <c r="Y112" s="339"/>
      <c r="Z112" s="339"/>
    </row>
    <row r="113" spans="1:26" ht="24" hidden="1" customHeight="1">
      <c r="A113" s="327">
        <v>7</v>
      </c>
      <c r="B113" s="328" t="s">
        <v>140</v>
      </c>
      <c r="C113" s="305">
        <f t="shared" ca="1" si="43"/>
        <v>0</v>
      </c>
      <c r="D113" s="306">
        <f ca="1">IFERROR(__xludf.DUMMYFUNCTION("IMPORTRANGE(""https://docs.google.com/spreadsheets/d/1C3CXT74ZlgGe6_JY_1olB1XN4rF0dxEuIIF-xsYjHgg/edit?usp=sharing"",""งบกองทุน!R117"")"),0)</f>
        <v>0</v>
      </c>
      <c r="E113" s="306">
        <f ca="1">IFERROR(__xludf.DUMMYFUNCTION("IMPORTRANGE(""https://docs.google.com/spreadsheets/d/1C3CXT74ZlgGe6_JY_1olB1XN4rF0dxEuIIF-xsYjHgg/edit?usp=sharing"",""งบกองทุน!S117"")"),0)</f>
        <v>0</v>
      </c>
      <c r="F113" s="307">
        <v>0</v>
      </c>
      <c r="G113" s="307">
        <f t="shared" ca="1" si="1"/>
        <v>0</v>
      </c>
      <c r="H113" s="306">
        <f ca="1">IFERROR(__xludf.DUMMYFUNCTION("IMPORTRANGE(""https://docs.google.com/spreadsheets/d/1C3CXT74ZlgGe6_JY_1olB1XN4rF0dxEuIIF-xsYjHgg/edit?usp=sharing"",""งบกองทุน!V117"")"),0)</f>
        <v>0</v>
      </c>
      <c r="I113" s="306">
        <v>0</v>
      </c>
      <c r="J113" s="309">
        <f t="shared" ca="1" si="3"/>
        <v>0</v>
      </c>
      <c r="K113" s="306">
        <f ca="1">IFERROR(__xludf.DUMMYFUNCTION("IMPORTRANGE(""https://docs.google.com/spreadsheets/d/1C3CXT74ZlgGe6_JY_1olB1XN4rF0dxEuIIF-xsYjHgg/edit?usp=sharing"",""งบกองทุน!W117"")"),0)</f>
        <v>0</v>
      </c>
      <c r="L113" s="306">
        <f ca="1">IFERROR(__xludf.DUMMYFUNCTION("IMPORTRANGE(""https://docs.google.com/spreadsheets/d/1C3CXT74ZlgGe6_JY_1olB1XN4rF0dxEuIIF-xsYjHgg/edit?usp=sharing"",""งบกองทุน!X117"")"),0)</f>
        <v>0</v>
      </c>
      <c r="M113" s="306">
        <v>0</v>
      </c>
      <c r="N113" s="309">
        <f t="shared" ca="1" si="5"/>
        <v>0</v>
      </c>
      <c r="O113" s="306">
        <v>0</v>
      </c>
      <c r="P113" s="359">
        <f t="shared" ca="1" si="6"/>
        <v>0</v>
      </c>
      <c r="Q113" s="339"/>
      <c r="R113" s="339"/>
      <c r="S113" s="339"/>
      <c r="T113" s="339"/>
      <c r="U113" s="339"/>
      <c r="V113" s="339"/>
      <c r="W113" s="339"/>
      <c r="X113" s="339"/>
      <c r="Y113" s="339"/>
      <c r="Z113" s="339"/>
    </row>
    <row r="114" spans="1:26" ht="24" hidden="1" customHeight="1">
      <c r="A114" s="329">
        <v>8</v>
      </c>
      <c r="B114" s="330" t="s">
        <v>141</v>
      </c>
      <c r="C114" s="331">
        <f t="shared" ca="1" si="43"/>
        <v>0</v>
      </c>
      <c r="D114" s="332">
        <f ca="1">IFERROR(__xludf.DUMMYFUNCTION("IMPORTRANGE(""https://docs.google.com/spreadsheets/d/1C3CXT74ZlgGe6_JY_1olB1XN4rF0dxEuIIF-xsYjHgg/edit?usp=sharing"",""งบกองทุน!R118"")"),0)</f>
        <v>0</v>
      </c>
      <c r="E114" s="332">
        <f ca="1">IFERROR(__xludf.DUMMYFUNCTION("IMPORTRANGE(""https://docs.google.com/spreadsheets/d/1C3CXT74ZlgGe6_JY_1olB1XN4rF0dxEuIIF-xsYjHgg/edit?usp=sharing"",""งบกองทุน!S118"")"),0)</f>
        <v>0</v>
      </c>
      <c r="F114" s="333">
        <v>0</v>
      </c>
      <c r="G114" s="333">
        <f t="shared" ca="1" si="1"/>
        <v>0</v>
      </c>
      <c r="H114" s="332">
        <f ca="1">IFERROR(__xludf.DUMMYFUNCTION("IMPORTRANGE(""https://docs.google.com/spreadsheets/d/1C3CXT74ZlgGe6_JY_1olB1XN4rF0dxEuIIF-xsYjHgg/edit?usp=sharing"",""งบกองทุน!V118"")"),0)</f>
        <v>0</v>
      </c>
      <c r="I114" s="332">
        <v>0</v>
      </c>
      <c r="J114" s="335">
        <f t="shared" ca="1" si="3"/>
        <v>0</v>
      </c>
      <c r="K114" s="332">
        <f ca="1">IFERROR(__xludf.DUMMYFUNCTION("IMPORTRANGE(""https://docs.google.com/spreadsheets/d/1C3CXT74ZlgGe6_JY_1olB1XN4rF0dxEuIIF-xsYjHgg/edit?usp=sharing"",""งบกองทุน!W118"")"),0)</f>
        <v>0</v>
      </c>
      <c r="L114" s="332">
        <f ca="1">IFERROR(__xludf.DUMMYFUNCTION("IMPORTRANGE(""https://docs.google.com/spreadsheets/d/1C3CXT74ZlgGe6_JY_1olB1XN4rF0dxEuIIF-xsYjHgg/edit?usp=sharing"",""งบกองทุน!X118"")"),0)</f>
        <v>0</v>
      </c>
      <c r="M114" s="332">
        <v>0</v>
      </c>
      <c r="N114" s="335">
        <f t="shared" ca="1" si="5"/>
        <v>0</v>
      </c>
      <c r="O114" s="332">
        <v>0</v>
      </c>
      <c r="P114" s="363">
        <f t="shared" ca="1" si="6"/>
        <v>0</v>
      </c>
      <c r="Q114" s="339"/>
      <c r="R114" s="339"/>
      <c r="S114" s="339"/>
      <c r="T114" s="339"/>
      <c r="U114" s="339"/>
      <c r="V114" s="339"/>
      <c r="W114" s="339"/>
      <c r="X114" s="339"/>
      <c r="Y114" s="339"/>
      <c r="Z114" s="339"/>
    </row>
    <row r="115" spans="1:26" ht="24" customHeight="1">
      <c r="A115" s="336"/>
      <c r="B115" s="336"/>
      <c r="C115" s="336"/>
      <c r="D115" s="336"/>
      <c r="E115" s="336"/>
      <c r="F115" s="336"/>
      <c r="G115" s="336"/>
      <c r="H115" s="336"/>
      <c r="I115" s="338"/>
      <c r="J115" s="336"/>
      <c r="K115" s="336"/>
      <c r="L115" s="336"/>
      <c r="M115" s="336"/>
      <c r="N115" s="336"/>
      <c r="O115" s="338"/>
      <c r="P115" s="337"/>
      <c r="Q115" s="339"/>
      <c r="R115" s="339"/>
      <c r="S115" s="339"/>
      <c r="T115" s="339"/>
      <c r="U115" s="339"/>
      <c r="V115" s="339"/>
      <c r="W115" s="339"/>
      <c r="X115" s="339"/>
      <c r="Y115" s="339"/>
      <c r="Z115" s="339"/>
    </row>
    <row r="116" spans="1:26" ht="24" customHeight="1">
      <c r="A116" s="336"/>
      <c r="B116" s="336"/>
      <c r="C116" s="336"/>
      <c r="D116" s="336"/>
      <c r="E116" s="336"/>
      <c r="F116" s="336"/>
      <c r="G116" s="336"/>
      <c r="H116" s="336"/>
      <c r="I116" s="338"/>
      <c r="J116" s="336"/>
      <c r="K116" s="336"/>
      <c r="L116" s="336"/>
      <c r="M116" s="336"/>
      <c r="N116" s="336"/>
      <c r="O116" s="338"/>
      <c r="P116" s="337"/>
      <c r="Q116" s="339"/>
      <c r="R116" s="339"/>
      <c r="S116" s="339"/>
      <c r="T116" s="339"/>
      <c r="U116" s="339"/>
      <c r="V116" s="339"/>
      <c r="W116" s="339"/>
      <c r="X116" s="339"/>
      <c r="Y116" s="339"/>
      <c r="Z116" s="339"/>
    </row>
    <row r="117" spans="1:26" ht="24" customHeight="1">
      <c r="A117" s="336"/>
      <c r="B117" s="336"/>
      <c r="C117" s="336"/>
      <c r="D117" s="336"/>
      <c r="E117" s="336"/>
      <c r="F117" s="336"/>
      <c r="G117" s="336"/>
      <c r="H117" s="336"/>
      <c r="I117" s="338"/>
      <c r="J117" s="336"/>
      <c r="K117" s="336"/>
      <c r="L117" s="336"/>
      <c r="M117" s="336"/>
      <c r="N117" s="336"/>
      <c r="O117" s="338"/>
      <c r="P117" s="337"/>
      <c r="Q117" s="339"/>
      <c r="R117" s="339"/>
      <c r="S117" s="339"/>
      <c r="T117" s="339"/>
      <c r="U117" s="339"/>
      <c r="V117" s="339"/>
      <c r="W117" s="339"/>
      <c r="X117" s="339"/>
      <c r="Y117" s="339"/>
      <c r="Z117" s="339"/>
    </row>
    <row r="118" spans="1:26" ht="24" customHeight="1">
      <c r="A118" s="336"/>
      <c r="B118" s="336"/>
      <c r="C118" s="336"/>
      <c r="D118" s="336"/>
      <c r="E118" s="336"/>
      <c r="F118" s="336"/>
      <c r="G118" s="336"/>
      <c r="H118" s="336"/>
      <c r="I118" s="338"/>
      <c r="J118" s="336"/>
      <c r="K118" s="336"/>
      <c r="L118" s="336"/>
      <c r="M118" s="336"/>
      <c r="N118" s="336"/>
      <c r="O118" s="338"/>
      <c r="P118" s="337"/>
      <c r="Q118" s="339"/>
      <c r="R118" s="339"/>
      <c r="S118" s="339"/>
      <c r="T118" s="339"/>
      <c r="U118" s="339"/>
      <c r="V118" s="339"/>
      <c r="W118" s="339"/>
      <c r="X118" s="339"/>
      <c r="Y118" s="339"/>
      <c r="Z118" s="339"/>
    </row>
    <row r="119" spans="1:26" ht="24" customHeight="1">
      <c r="A119" s="336"/>
      <c r="B119" s="336"/>
      <c r="C119" s="336"/>
      <c r="D119" s="336"/>
      <c r="E119" s="336"/>
      <c r="F119" s="336"/>
      <c r="G119" s="336"/>
      <c r="H119" s="336"/>
      <c r="I119" s="338"/>
      <c r="J119" s="336"/>
      <c r="K119" s="336"/>
      <c r="L119" s="336"/>
      <c r="M119" s="336"/>
      <c r="N119" s="336"/>
      <c r="O119" s="338"/>
      <c r="P119" s="337"/>
      <c r="Q119" s="339"/>
      <c r="R119" s="339"/>
      <c r="S119" s="339"/>
      <c r="T119" s="339"/>
      <c r="U119" s="339"/>
      <c r="V119" s="339"/>
      <c r="W119" s="339"/>
      <c r="X119" s="339"/>
      <c r="Y119" s="339"/>
      <c r="Z119" s="339"/>
    </row>
    <row r="120" spans="1:26" ht="24" customHeight="1">
      <c r="A120" s="336"/>
      <c r="B120" s="336"/>
      <c r="C120" s="336"/>
      <c r="D120" s="336"/>
      <c r="E120" s="336"/>
      <c r="F120" s="336"/>
      <c r="G120" s="336"/>
      <c r="H120" s="336"/>
      <c r="I120" s="338"/>
      <c r="J120" s="336"/>
      <c r="K120" s="336"/>
      <c r="L120" s="336"/>
      <c r="M120" s="336"/>
      <c r="N120" s="336"/>
      <c r="O120" s="338"/>
      <c r="P120" s="337"/>
      <c r="Q120" s="339"/>
      <c r="R120" s="339"/>
      <c r="S120" s="339"/>
      <c r="T120" s="339"/>
      <c r="U120" s="339"/>
      <c r="V120" s="339"/>
      <c r="W120" s="339"/>
      <c r="X120" s="339"/>
      <c r="Y120" s="339"/>
      <c r="Z120" s="339"/>
    </row>
    <row r="121" spans="1:26" ht="24" customHeight="1">
      <c r="A121" s="336"/>
      <c r="B121" s="336"/>
      <c r="C121" s="336"/>
      <c r="D121" s="336"/>
      <c r="E121" s="336"/>
      <c r="F121" s="336"/>
      <c r="G121" s="336"/>
      <c r="H121" s="336"/>
      <c r="I121" s="338"/>
      <c r="J121" s="336"/>
      <c r="K121" s="336"/>
      <c r="L121" s="336"/>
      <c r="M121" s="336"/>
      <c r="N121" s="336"/>
      <c r="O121" s="338"/>
      <c r="P121" s="337"/>
      <c r="Q121" s="339"/>
      <c r="R121" s="339"/>
      <c r="S121" s="339"/>
      <c r="T121" s="339"/>
      <c r="U121" s="339"/>
      <c r="V121" s="339"/>
      <c r="W121" s="339"/>
      <c r="X121" s="339"/>
      <c r="Y121" s="339"/>
      <c r="Z121" s="339"/>
    </row>
    <row r="122" spans="1:26" ht="24" customHeight="1">
      <c r="A122" s="336"/>
      <c r="B122" s="336"/>
      <c r="C122" s="336"/>
      <c r="D122" s="336"/>
      <c r="E122" s="336"/>
      <c r="F122" s="336"/>
      <c r="G122" s="336"/>
      <c r="H122" s="336"/>
      <c r="I122" s="338"/>
      <c r="J122" s="336"/>
      <c r="K122" s="336"/>
      <c r="L122" s="336"/>
      <c r="M122" s="336"/>
      <c r="N122" s="336"/>
      <c r="O122" s="338"/>
      <c r="P122" s="337"/>
      <c r="Q122" s="339"/>
      <c r="R122" s="339"/>
      <c r="S122" s="339"/>
      <c r="T122" s="339"/>
      <c r="U122" s="339"/>
      <c r="V122" s="339"/>
      <c r="W122" s="339"/>
      <c r="X122" s="339"/>
      <c r="Y122" s="339"/>
      <c r="Z122" s="339"/>
    </row>
    <row r="123" spans="1:26" ht="24" customHeight="1">
      <c r="A123" s="336"/>
      <c r="B123" s="336"/>
      <c r="C123" s="336"/>
      <c r="D123" s="336"/>
      <c r="E123" s="336"/>
      <c r="F123" s="336"/>
      <c r="G123" s="336"/>
      <c r="H123" s="336"/>
      <c r="I123" s="338"/>
      <c r="J123" s="336"/>
      <c r="K123" s="336"/>
      <c r="L123" s="336"/>
      <c r="M123" s="336"/>
      <c r="N123" s="336"/>
      <c r="O123" s="338"/>
      <c r="P123" s="337"/>
      <c r="Q123" s="339"/>
      <c r="R123" s="339"/>
      <c r="S123" s="339"/>
      <c r="T123" s="339"/>
      <c r="U123" s="339"/>
      <c r="V123" s="339"/>
      <c r="W123" s="339"/>
      <c r="X123" s="339"/>
      <c r="Y123" s="339"/>
      <c r="Z123" s="339"/>
    </row>
    <row r="124" spans="1:26" ht="24" customHeight="1">
      <c r="A124" s="336"/>
      <c r="B124" s="336"/>
      <c r="C124" s="336"/>
      <c r="D124" s="336"/>
      <c r="E124" s="336"/>
      <c r="F124" s="336"/>
      <c r="G124" s="336"/>
      <c r="H124" s="336"/>
      <c r="I124" s="338"/>
      <c r="J124" s="336"/>
      <c r="K124" s="336"/>
      <c r="L124" s="336"/>
      <c r="M124" s="336"/>
      <c r="N124" s="336"/>
      <c r="O124" s="338"/>
      <c r="P124" s="337"/>
      <c r="Q124" s="339"/>
      <c r="R124" s="339"/>
      <c r="S124" s="339"/>
      <c r="T124" s="339"/>
      <c r="U124" s="339"/>
      <c r="V124" s="339"/>
      <c r="W124" s="339"/>
      <c r="X124" s="339"/>
      <c r="Y124" s="339"/>
      <c r="Z124" s="339"/>
    </row>
    <row r="125" spans="1:26" ht="24" customHeight="1">
      <c r="A125" s="336"/>
      <c r="B125" s="336"/>
      <c r="C125" s="336"/>
      <c r="D125" s="336"/>
      <c r="E125" s="336"/>
      <c r="F125" s="336"/>
      <c r="G125" s="336"/>
      <c r="H125" s="336"/>
      <c r="I125" s="338"/>
      <c r="J125" s="336"/>
      <c r="K125" s="336"/>
      <c r="L125" s="336"/>
      <c r="M125" s="336"/>
      <c r="N125" s="336"/>
      <c r="O125" s="338"/>
      <c r="P125" s="337"/>
      <c r="Q125" s="339"/>
      <c r="R125" s="339"/>
      <c r="S125" s="339"/>
      <c r="T125" s="339"/>
      <c r="U125" s="339"/>
      <c r="V125" s="339"/>
      <c r="W125" s="339"/>
      <c r="X125" s="339"/>
      <c r="Y125" s="339"/>
      <c r="Z125" s="339"/>
    </row>
    <row r="126" spans="1:26" ht="24" customHeight="1">
      <c r="A126" s="336"/>
      <c r="B126" s="336"/>
      <c r="C126" s="336"/>
      <c r="D126" s="336"/>
      <c r="E126" s="336"/>
      <c r="F126" s="336"/>
      <c r="G126" s="336"/>
      <c r="H126" s="336"/>
      <c r="I126" s="338"/>
      <c r="J126" s="336"/>
      <c r="K126" s="336"/>
      <c r="L126" s="336"/>
      <c r="M126" s="336"/>
      <c r="N126" s="336"/>
      <c r="O126" s="338"/>
      <c r="P126" s="337"/>
      <c r="Q126" s="339"/>
      <c r="R126" s="339"/>
      <c r="S126" s="339"/>
      <c r="T126" s="339"/>
      <c r="U126" s="339"/>
      <c r="V126" s="339"/>
      <c r="W126" s="339"/>
      <c r="X126" s="339"/>
      <c r="Y126" s="339"/>
      <c r="Z126" s="339"/>
    </row>
    <row r="127" spans="1:26" ht="24" customHeight="1">
      <c r="A127" s="336"/>
      <c r="B127" s="336"/>
      <c r="C127" s="336"/>
      <c r="D127" s="336"/>
      <c r="E127" s="336"/>
      <c r="F127" s="336"/>
      <c r="G127" s="336"/>
      <c r="H127" s="336"/>
      <c r="I127" s="338"/>
      <c r="J127" s="336"/>
      <c r="K127" s="336"/>
      <c r="L127" s="336"/>
      <c r="M127" s="336"/>
      <c r="N127" s="336"/>
      <c r="O127" s="338"/>
      <c r="P127" s="337"/>
      <c r="Q127" s="339"/>
      <c r="R127" s="339"/>
      <c r="S127" s="339"/>
      <c r="T127" s="339"/>
      <c r="U127" s="339"/>
      <c r="V127" s="339"/>
      <c r="W127" s="339"/>
      <c r="X127" s="339"/>
      <c r="Y127" s="339"/>
      <c r="Z127" s="339"/>
    </row>
    <row r="128" spans="1:26" ht="24" customHeight="1">
      <c r="A128" s="336"/>
      <c r="B128" s="336"/>
      <c r="C128" s="336"/>
      <c r="D128" s="336"/>
      <c r="E128" s="336"/>
      <c r="F128" s="336"/>
      <c r="G128" s="336"/>
      <c r="H128" s="336"/>
      <c r="I128" s="338"/>
      <c r="J128" s="336"/>
      <c r="K128" s="336"/>
      <c r="L128" s="336"/>
      <c r="M128" s="336"/>
      <c r="N128" s="336"/>
      <c r="O128" s="338"/>
      <c r="P128" s="337"/>
      <c r="Q128" s="339"/>
      <c r="R128" s="339"/>
      <c r="S128" s="339"/>
      <c r="T128" s="339"/>
      <c r="U128" s="339"/>
      <c r="V128" s="339"/>
      <c r="W128" s="339"/>
      <c r="X128" s="339"/>
      <c r="Y128" s="339"/>
      <c r="Z128" s="339"/>
    </row>
    <row r="129" spans="1:26" ht="24" customHeight="1">
      <c r="A129" s="336"/>
      <c r="B129" s="336"/>
      <c r="C129" s="336"/>
      <c r="D129" s="336"/>
      <c r="E129" s="336"/>
      <c r="F129" s="336"/>
      <c r="G129" s="336"/>
      <c r="H129" s="336"/>
      <c r="I129" s="338"/>
      <c r="J129" s="336"/>
      <c r="K129" s="336"/>
      <c r="L129" s="336"/>
      <c r="M129" s="336"/>
      <c r="N129" s="336"/>
      <c r="O129" s="338"/>
      <c r="P129" s="337"/>
      <c r="Q129" s="339"/>
      <c r="R129" s="339"/>
      <c r="S129" s="339"/>
      <c r="T129" s="339"/>
      <c r="U129" s="339"/>
      <c r="V129" s="339"/>
      <c r="W129" s="339"/>
      <c r="X129" s="339"/>
      <c r="Y129" s="339"/>
      <c r="Z129" s="339"/>
    </row>
    <row r="130" spans="1:26" ht="24" customHeight="1">
      <c r="A130" s="336"/>
      <c r="B130" s="336"/>
      <c r="C130" s="336"/>
      <c r="D130" s="336"/>
      <c r="E130" s="336"/>
      <c r="F130" s="336"/>
      <c r="G130" s="336"/>
      <c r="H130" s="336"/>
      <c r="I130" s="338"/>
      <c r="J130" s="336"/>
      <c r="K130" s="336"/>
      <c r="L130" s="336"/>
      <c r="M130" s="336"/>
      <c r="N130" s="336"/>
      <c r="O130" s="338"/>
      <c r="P130" s="337"/>
      <c r="Q130" s="339"/>
      <c r="R130" s="339"/>
      <c r="S130" s="339"/>
      <c r="T130" s="339"/>
      <c r="U130" s="339"/>
      <c r="V130" s="339"/>
      <c r="W130" s="339"/>
      <c r="X130" s="339"/>
      <c r="Y130" s="339"/>
      <c r="Z130" s="339"/>
    </row>
    <row r="131" spans="1:26" ht="24" customHeight="1">
      <c r="A131" s="336"/>
      <c r="B131" s="336"/>
      <c r="C131" s="336"/>
      <c r="D131" s="336"/>
      <c r="E131" s="336"/>
      <c r="F131" s="336"/>
      <c r="G131" s="336"/>
      <c r="H131" s="336"/>
      <c r="I131" s="338"/>
      <c r="J131" s="336"/>
      <c r="K131" s="336"/>
      <c r="L131" s="336"/>
      <c r="M131" s="336"/>
      <c r="N131" s="336"/>
      <c r="O131" s="338"/>
      <c r="P131" s="337"/>
      <c r="Q131" s="339"/>
      <c r="R131" s="339"/>
      <c r="S131" s="339"/>
      <c r="T131" s="339"/>
      <c r="U131" s="339"/>
      <c r="V131" s="339"/>
      <c r="W131" s="339"/>
      <c r="X131" s="339"/>
      <c r="Y131" s="339"/>
      <c r="Z131" s="339"/>
    </row>
    <row r="132" spans="1:26" ht="24" customHeight="1">
      <c r="A132" s="336"/>
      <c r="B132" s="336"/>
      <c r="C132" s="336"/>
      <c r="D132" s="336"/>
      <c r="E132" s="336"/>
      <c r="F132" s="336"/>
      <c r="G132" s="336"/>
      <c r="H132" s="336"/>
      <c r="I132" s="338"/>
      <c r="J132" s="336"/>
      <c r="K132" s="336"/>
      <c r="L132" s="336"/>
      <c r="M132" s="336"/>
      <c r="N132" s="336"/>
      <c r="O132" s="338"/>
      <c r="P132" s="337"/>
      <c r="Q132" s="339"/>
      <c r="R132" s="339"/>
      <c r="S132" s="339"/>
      <c r="T132" s="339"/>
      <c r="U132" s="339"/>
      <c r="V132" s="339"/>
      <c r="W132" s="339"/>
      <c r="X132" s="339"/>
      <c r="Y132" s="339"/>
      <c r="Z132" s="339"/>
    </row>
    <row r="133" spans="1:26" ht="24" customHeight="1">
      <c r="A133" s="336"/>
      <c r="B133" s="336"/>
      <c r="C133" s="336"/>
      <c r="D133" s="336"/>
      <c r="E133" s="336"/>
      <c r="F133" s="336"/>
      <c r="G133" s="336"/>
      <c r="H133" s="336"/>
      <c r="I133" s="338"/>
      <c r="J133" s="336"/>
      <c r="K133" s="336"/>
      <c r="L133" s="336"/>
      <c r="M133" s="336"/>
      <c r="N133" s="336"/>
      <c r="O133" s="338"/>
      <c r="P133" s="337"/>
      <c r="Q133" s="339"/>
      <c r="R133" s="339"/>
      <c r="S133" s="339"/>
      <c r="T133" s="339"/>
      <c r="U133" s="339"/>
      <c r="V133" s="339"/>
      <c r="W133" s="339"/>
      <c r="X133" s="339"/>
      <c r="Y133" s="339"/>
      <c r="Z133" s="339"/>
    </row>
    <row r="134" spans="1:26" ht="24" customHeight="1">
      <c r="A134" s="336"/>
      <c r="B134" s="336"/>
      <c r="C134" s="336"/>
      <c r="D134" s="336"/>
      <c r="E134" s="336"/>
      <c r="F134" s="336"/>
      <c r="G134" s="336"/>
      <c r="H134" s="336"/>
      <c r="I134" s="338"/>
      <c r="J134" s="336"/>
      <c r="K134" s="336"/>
      <c r="L134" s="336"/>
      <c r="M134" s="336"/>
      <c r="N134" s="336"/>
      <c r="O134" s="338"/>
      <c r="P134" s="337"/>
      <c r="Q134" s="339"/>
      <c r="R134" s="339"/>
      <c r="S134" s="339"/>
      <c r="T134" s="339"/>
      <c r="U134" s="339"/>
      <c r="V134" s="339"/>
      <c r="W134" s="339"/>
      <c r="X134" s="339"/>
      <c r="Y134" s="339"/>
      <c r="Z134" s="339"/>
    </row>
    <row r="135" spans="1:26" ht="24" customHeight="1">
      <c r="A135" s="336"/>
      <c r="B135" s="336"/>
      <c r="C135" s="336"/>
      <c r="D135" s="336"/>
      <c r="E135" s="336"/>
      <c r="F135" s="336"/>
      <c r="G135" s="336"/>
      <c r="H135" s="336"/>
      <c r="I135" s="338"/>
      <c r="J135" s="336"/>
      <c r="K135" s="336"/>
      <c r="L135" s="336"/>
      <c r="M135" s="336"/>
      <c r="N135" s="336"/>
      <c r="O135" s="338"/>
      <c r="P135" s="337"/>
      <c r="Q135" s="339"/>
      <c r="R135" s="339"/>
      <c r="S135" s="339"/>
      <c r="T135" s="339"/>
      <c r="U135" s="339"/>
      <c r="V135" s="339"/>
      <c r="W135" s="339"/>
      <c r="X135" s="339"/>
      <c r="Y135" s="339"/>
      <c r="Z135" s="339"/>
    </row>
    <row r="136" spans="1:26" ht="24" customHeight="1">
      <c r="A136" s="336"/>
      <c r="B136" s="336"/>
      <c r="C136" s="336"/>
      <c r="D136" s="336"/>
      <c r="E136" s="336"/>
      <c r="F136" s="336"/>
      <c r="G136" s="336"/>
      <c r="H136" s="336"/>
      <c r="I136" s="338"/>
      <c r="J136" s="336"/>
      <c r="K136" s="336"/>
      <c r="L136" s="336"/>
      <c r="M136" s="336"/>
      <c r="N136" s="336"/>
      <c r="O136" s="338"/>
      <c r="P136" s="337"/>
      <c r="Q136" s="339"/>
      <c r="R136" s="339"/>
      <c r="S136" s="339"/>
      <c r="T136" s="339"/>
      <c r="U136" s="339"/>
      <c r="V136" s="339"/>
      <c r="W136" s="339"/>
      <c r="X136" s="339"/>
      <c r="Y136" s="339"/>
      <c r="Z136" s="339"/>
    </row>
    <row r="137" spans="1:26" ht="24" customHeight="1">
      <c r="A137" s="336"/>
      <c r="B137" s="336"/>
      <c r="C137" s="336"/>
      <c r="D137" s="336"/>
      <c r="E137" s="336"/>
      <c r="F137" s="336"/>
      <c r="G137" s="336"/>
      <c r="H137" s="336"/>
      <c r="I137" s="338"/>
      <c r="J137" s="336"/>
      <c r="K137" s="336"/>
      <c r="L137" s="336"/>
      <c r="M137" s="336"/>
      <c r="N137" s="336"/>
      <c r="O137" s="338"/>
      <c r="P137" s="337"/>
      <c r="Q137" s="339"/>
      <c r="R137" s="339"/>
      <c r="S137" s="339"/>
      <c r="T137" s="339"/>
      <c r="U137" s="339"/>
      <c r="V137" s="339"/>
      <c r="W137" s="339"/>
      <c r="X137" s="339"/>
      <c r="Y137" s="339"/>
      <c r="Z137" s="339"/>
    </row>
    <row r="138" spans="1:26" ht="24" customHeight="1">
      <c r="A138" s="336"/>
      <c r="B138" s="336"/>
      <c r="C138" s="336"/>
      <c r="D138" s="336"/>
      <c r="E138" s="336"/>
      <c r="F138" s="336"/>
      <c r="G138" s="336"/>
      <c r="H138" s="336"/>
      <c r="I138" s="338"/>
      <c r="J138" s="336"/>
      <c r="K138" s="336"/>
      <c r="L138" s="336"/>
      <c r="M138" s="336"/>
      <c r="N138" s="336"/>
      <c r="O138" s="338"/>
      <c r="P138" s="337"/>
      <c r="Q138" s="339"/>
      <c r="R138" s="339"/>
      <c r="S138" s="339"/>
      <c r="T138" s="339"/>
      <c r="U138" s="339"/>
      <c r="V138" s="339"/>
      <c r="W138" s="339"/>
      <c r="X138" s="339"/>
      <c r="Y138" s="339"/>
      <c r="Z138" s="339"/>
    </row>
    <row r="139" spans="1:26" ht="24" customHeight="1">
      <c r="A139" s="336"/>
      <c r="B139" s="336"/>
      <c r="C139" s="336"/>
      <c r="D139" s="336"/>
      <c r="E139" s="336"/>
      <c r="F139" s="336"/>
      <c r="G139" s="336"/>
      <c r="H139" s="336"/>
      <c r="I139" s="338"/>
      <c r="J139" s="336"/>
      <c r="K139" s="336"/>
      <c r="L139" s="336"/>
      <c r="M139" s="336"/>
      <c r="N139" s="336"/>
      <c r="O139" s="338"/>
      <c r="P139" s="337"/>
      <c r="Q139" s="339"/>
      <c r="R139" s="339"/>
      <c r="S139" s="339"/>
      <c r="T139" s="339"/>
      <c r="U139" s="339"/>
      <c r="V139" s="339"/>
      <c r="W139" s="339"/>
      <c r="X139" s="339"/>
      <c r="Y139" s="339"/>
      <c r="Z139" s="339"/>
    </row>
    <row r="140" spans="1:26" ht="24" customHeight="1">
      <c r="A140" s="336"/>
      <c r="B140" s="336"/>
      <c r="C140" s="336"/>
      <c r="D140" s="336"/>
      <c r="E140" s="336"/>
      <c r="F140" s="336"/>
      <c r="G140" s="336"/>
      <c r="H140" s="336"/>
      <c r="I140" s="338"/>
      <c r="J140" s="336"/>
      <c r="K140" s="336"/>
      <c r="L140" s="336"/>
      <c r="M140" s="336"/>
      <c r="N140" s="336"/>
      <c r="O140" s="338"/>
      <c r="P140" s="337"/>
      <c r="Q140" s="339"/>
      <c r="R140" s="339"/>
      <c r="S140" s="339"/>
      <c r="T140" s="339"/>
      <c r="U140" s="339"/>
      <c r="V140" s="339"/>
      <c r="W140" s="339"/>
      <c r="X140" s="339"/>
      <c r="Y140" s="339"/>
      <c r="Z140" s="339"/>
    </row>
    <row r="141" spans="1:26" ht="24" customHeight="1">
      <c r="A141" s="336"/>
      <c r="B141" s="336"/>
      <c r="C141" s="336"/>
      <c r="D141" s="336"/>
      <c r="E141" s="336"/>
      <c r="F141" s="336"/>
      <c r="G141" s="336"/>
      <c r="H141" s="336"/>
      <c r="I141" s="338"/>
      <c r="J141" s="336"/>
      <c r="K141" s="336"/>
      <c r="L141" s="336"/>
      <c r="M141" s="336"/>
      <c r="N141" s="336"/>
      <c r="O141" s="338"/>
      <c r="P141" s="337"/>
      <c r="Q141" s="339"/>
      <c r="R141" s="339"/>
      <c r="S141" s="339"/>
      <c r="T141" s="339"/>
      <c r="U141" s="339"/>
      <c r="V141" s="339"/>
      <c r="W141" s="339"/>
      <c r="X141" s="339"/>
      <c r="Y141" s="339"/>
      <c r="Z141" s="339"/>
    </row>
    <row r="142" spans="1:26" ht="24" customHeight="1">
      <c r="A142" s="336"/>
      <c r="B142" s="336"/>
      <c r="C142" s="336"/>
      <c r="D142" s="336"/>
      <c r="E142" s="336"/>
      <c r="F142" s="336"/>
      <c r="G142" s="336"/>
      <c r="H142" s="336"/>
      <c r="I142" s="338"/>
      <c r="J142" s="336"/>
      <c r="K142" s="336"/>
      <c r="L142" s="336"/>
      <c r="M142" s="336"/>
      <c r="N142" s="336"/>
      <c r="O142" s="338"/>
      <c r="P142" s="337"/>
      <c r="Q142" s="339"/>
      <c r="R142" s="339"/>
      <c r="S142" s="339"/>
      <c r="T142" s="339"/>
      <c r="U142" s="339"/>
      <c r="V142" s="339"/>
      <c r="W142" s="339"/>
      <c r="X142" s="339"/>
      <c r="Y142" s="339"/>
      <c r="Z142" s="339"/>
    </row>
    <row r="143" spans="1:26" ht="24" customHeight="1">
      <c r="A143" s="336"/>
      <c r="B143" s="336"/>
      <c r="C143" s="336"/>
      <c r="D143" s="336"/>
      <c r="E143" s="336"/>
      <c r="F143" s="336"/>
      <c r="G143" s="336"/>
      <c r="H143" s="336"/>
      <c r="I143" s="338"/>
      <c r="J143" s="336"/>
      <c r="K143" s="336"/>
      <c r="L143" s="336"/>
      <c r="M143" s="336"/>
      <c r="N143" s="336"/>
      <c r="O143" s="338"/>
      <c r="P143" s="337"/>
      <c r="Q143" s="339"/>
      <c r="R143" s="339"/>
      <c r="S143" s="339"/>
      <c r="T143" s="339"/>
      <c r="U143" s="339"/>
      <c r="V143" s="339"/>
      <c r="W143" s="339"/>
      <c r="X143" s="339"/>
      <c r="Y143" s="339"/>
      <c r="Z143" s="339"/>
    </row>
    <row r="144" spans="1:26" ht="24" customHeight="1">
      <c r="A144" s="336"/>
      <c r="B144" s="336"/>
      <c r="C144" s="336"/>
      <c r="D144" s="336"/>
      <c r="E144" s="336"/>
      <c r="F144" s="336"/>
      <c r="G144" s="336"/>
      <c r="H144" s="336"/>
      <c r="I144" s="338"/>
      <c r="J144" s="336"/>
      <c r="K144" s="336"/>
      <c r="L144" s="336"/>
      <c r="M144" s="336"/>
      <c r="N144" s="336"/>
      <c r="O144" s="338"/>
      <c r="P144" s="337"/>
      <c r="Q144" s="339"/>
      <c r="R144" s="339"/>
      <c r="S144" s="339"/>
      <c r="T144" s="339"/>
      <c r="U144" s="339"/>
      <c r="V144" s="339"/>
      <c r="W144" s="339"/>
      <c r="X144" s="339"/>
      <c r="Y144" s="339"/>
      <c r="Z144" s="339"/>
    </row>
    <row r="145" spans="1:26" ht="24" customHeight="1">
      <c r="A145" s="336"/>
      <c r="B145" s="336"/>
      <c r="C145" s="336"/>
      <c r="D145" s="336"/>
      <c r="E145" s="336"/>
      <c r="F145" s="336"/>
      <c r="G145" s="336"/>
      <c r="H145" s="336"/>
      <c r="I145" s="338"/>
      <c r="J145" s="336"/>
      <c r="K145" s="336"/>
      <c r="L145" s="336"/>
      <c r="M145" s="336"/>
      <c r="N145" s="336"/>
      <c r="O145" s="338"/>
      <c r="P145" s="337"/>
      <c r="Q145" s="339"/>
      <c r="R145" s="339"/>
      <c r="S145" s="339"/>
      <c r="T145" s="339"/>
      <c r="U145" s="339"/>
      <c r="V145" s="339"/>
      <c r="W145" s="339"/>
      <c r="X145" s="339"/>
      <c r="Y145" s="339"/>
      <c r="Z145" s="339"/>
    </row>
    <row r="146" spans="1:26" ht="24" customHeight="1">
      <c r="A146" s="336"/>
      <c r="B146" s="336"/>
      <c r="C146" s="336"/>
      <c r="D146" s="336"/>
      <c r="E146" s="336"/>
      <c r="F146" s="336"/>
      <c r="G146" s="336"/>
      <c r="H146" s="336"/>
      <c r="I146" s="338"/>
      <c r="J146" s="336"/>
      <c r="K146" s="336"/>
      <c r="L146" s="336"/>
      <c r="M146" s="336"/>
      <c r="N146" s="336"/>
      <c r="O146" s="338"/>
      <c r="P146" s="337"/>
      <c r="Q146" s="339"/>
      <c r="R146" s="339"/>
      <c r="S146" s="339"/>
      <c r="T146" s="339"/>
      <c r="U146" s="339"/>
      <c r="V146" s="339"/>
      <c r="W146" s="339"/>
      <c r="X146" s="339"/>
      <c r="Y146" s="339"/>
      <c r="Z146" s="339"/>
    </row>
    <row r="147" spans="1:26" ht="24" customHeight="1">
      <c r="A147" s="336"/>
      <c r="B147" s="336"/>
      <c r="C147" s="336"/>
      <c r="D147" s="336"/>
      <c r="E147" s="336"/>
      <c r="F147" s="336"/>
      <c r="G147" s="336"/>
      <c r="H147" s="336"/>
      <c r="I147" s="338"/>
      <c r="J147" s="336"/>
      <c r="K147" s="336"/>
      <c r="L147" s="336"/>
      <c r="M147" s="336"/>
      <c r="N147" s="336"/>
      <c r="O147" s="338"/>
      <c r="P147" s="337"/>
      <c r="Q147" s="339"/>
      <c r="R147" s="339"/>
      <c r="S147" s="339"/>
      <c r="T147" s="339"/>
      <c r="U147" s="339"/>
      <c r="V147" s="339"/>
      <c r="W147" s="339"/>
      <c r="X147" s="339"/>
      <c r="Y147" s="339"/>
      <c r="Z147" s="339"/>
    </row>
    <row r="148" spans="1:26" ht="24" customHeight="1">
      <c r="A148" s="336"/>
      <c r="B148" s="336"/>
      <c r="C148" s="336"/>
      <c r="D148" s="336"/>
      <c r="E148" s="336"/>
      <c r="F148" s="336"/>
      <c r="G148" s="336"/>
      <c r="H148" s="336"/>
      <c r="I148" s="338"/>
      <c r="J148" s="336"/>
      <c r="K148" s="336"/>
      <c r="L148" s="336"/>
      <c r="M148" s="336"/>
      <c r="N148" s="336"/>
      <c r="O148" s="338"/>
      <c r="P148" s="337"/>
      <c r="Q148" s="339"/>
      <c r="R148" s="339"/>
      <c r="S148" s="339"/>
      <c r="T148" s="339"/>
      <c r="U148" s="339"/>
      <c r="V148" s="339"/>
      <c r="W148" s="339"/>
      <c r="X148" s="339"/>
      <c r="Y148" s="339"/>
      <c r="Z148" s="339"/>
    </row>
    <row r="149" spans="1:26" ht="24" customHeight="1">
      <c r="A149" s="336"/>
      <c r="B149" s="336"/>
      <c r="C149" s="336"/>
      <c r="D149" s="336"/>
      <c r="E149" s="336"/>
      <c r="F149" s="336"/>
      <c r="G149" s="336"/>
      <c r="H149" s="336"/>
      <c r="I149" s="338"/>
      <c r="J149" s="336"/>
      <c r="K149" s="336"/>
      <c r="L149" s="336"/>
      <c r="M149" s="336"/>
      <c r="N149" s="336"/>
      <c r="O149" s="338"/>
      <c r="P149" s="337"/>
      <c r="Q149" s="339"/>
      <c r="R149" s="339"/>
      <c r="S149" s="339"/>
      <c r="T149" s="339"/>
      <c r="U149" s="339"/>
      <c r="V149" s="339"/>
      <c r="W149" s="339"/>
      <c r="X149" s="339"/>
      <c r="Y149" s="339"/>
      <c r="Z149" s="339"/>
    </row>
    <row r="150" spans="1:26" ht="24" customHeight="1">
      <c r="A150" s="336"/>
      <c r="B150" s="336"/>
      <c r="C150" s="336"/>
      <c r="D150" s="336"/>
      <c r="E150" s="336"/>
      <c r="F150" s="336"/>
      <c r="G150" s="336"/>
      <c r="H150" s="336"/>
      <c r="I150" s="338"/>
      <c r="J150" s="336"/>
      <c r="K150" s="336"/>
      <c r="L150" s="336"/>
      <c r="M150" s="336"/>
      <c r="N150" s="336"/>
      <c r="O150" s="338"/>
      <c r="P150" s="337"/>
      <c r="Q150" s="339"/>
      <c r="R150" s="339"/>
      <c r="S150" s="339"/>
      <c r="T150" s="339"/>
      <c r="U150" s="339"/>
      <c r="V150" s="339"/>
      <c r="W150" s="339"/>
      <c r="X150" s="339"/>
      <c r="Y150" s="339"/>
      <c r="Z150" s="339"/>
    </row>
    <row r="151" spans="1:26" ht="24" customHeight="1">
      <c r="A151" s="336"/>
      <c r="B151" s="336"/>
      <c r="C151" s="336"/>
      <c r="D151" s="336"/>
      <c r="E151" s="336"/>
      <c r="F151" s="336"/>
      <c r="G151" s="336"/>
      <c r="H151" s="336"/>
      <c r="I151" s="338"/>
      <c r="J151" s="336"/>
      <c r="K151" s="336"/>
      <c r="L151" s="336"/>
      <c r="M151" s="336"/>
      <c r="N151" s="336"/>
      <c r="O151" s="338"/>
      <c r="P151" s="337"/>
      <c r="Q151" s="339"/>
      <c r="R151" s="339"/>
      <c r="S151" s="339"/>
      <c r="T151" s="339"/>
      <c r="U151" s="339"/>
      <c r="V151" s="339"/>
      <c r="W151" s="339"/>
      <c r="X151" s="339"/>
      <c r="Y151" s="339"/>
      <c r="Z151" s="339"/>
    </row>
    <row r="152" spans="1:26" ht="24" customHeight="1">
      <c r="A152" s="336"/>
      <c r="B152" s="336"/>
      <c r="C152" s="336"/>
      <c r="D152" s="336"/>
      <c r="E152" s="336"/>
      <c r="F152" s="336"/>
      <c r="G152" s="336"/>
      <c r="H152" s="336"/>
      <c r="I152" s="338"/>
      <c r="J152" s="336"/>
      <c r="K152" s="336"/>
      <c r="L152" s="336"/>
      <c r="M152" s="336"/>
      <c r="N152" s="336"/>
      <c r="O152" s="338"/>
      <c r="P152" s="337"/>
      <c r="Q152" s="339"/>
      <c r="R152" s="339"/>
      <c r="S152" s="339"/>
      <c r="T152" s="339"/>
      <c r="U152" s="339"/>
      <c r="V152" s="339"/>
      <c r="W152" s="339"/>
      <c r="X152" s="339"/>
      <c r="Y152" s="339"/>
      <c r="Z152" s="339"/>
    </row>
    <row r="153" spans="1:26" ht="24" customHeight="1">
      <c r="A153" s="336"/>
      <c r="B153" s="336"/>
      <c r="C153" s="336"/>
      <c r="D153" s="336"/>
      <c r="E153" s="336"/>
      <c r="F153" s="336"/>
      <c r="G153" s="336"/>
      <c r="H153" s="336"/>
      <c r="I153" s="338"/>
      <c r="J153" s="336"/>
      <c r="K153" s="336"/>
      <c r="L153" s="336"/>
      <c r="M153" s="336"/>
      <c r="N153" s="336"/>
      <c r="O153" s="338"/>
      <c r="P153" s="337"/>
      <c r="Q153" s="339"/>
      <c r="R153" s="339"/>
      <c r="S153" s="339"/>
      <c r="T153" s="339"/>
      <c r="U153" s="339"/>
      <c r="V153" s="339"/>
      <c r="W153" s="339"/>
      <c r="X153" s="339"/>
      <c r="Y153" s="339"/>
      <c r="Z153" s="339"/>
    </row>
    <row r="154" spans="1:26" ht="24" customHeight="1">
      <c r="A154" s="336"/>
      <c r="B154" s="336"/>
      <c r="C154" s="336"/>
      <c r="D154" s="336"/>
      <c r="E154" s="336"/>
      <c r="F154" s="336"/>
      <c r="G154" s="336"/>
      <c r="H154" s="336"/>
      <c r="I154" s="338"/>
      <c r="J154" s="336"/>
      <c r="K154" s="336"/>
      <c r="L154" s="336"/>
      <c r="M154" s="336"/>
      <c r="N154" s="336"/>
      <c r="O154" s="338"/>
      <c r="P154" s="337"/>
      <c r="Q154" s="339"/>
      <c r="R154" s="339"/>
      <c r="S154" s="339"/>
      <c r="T154" s="339"/>
      <c r="U154" s="339"/>
      <c r="V154" s="339"/>
      <c r="W154" s="339"/>
      <c r="X154" s="339"/>
      <c r="Y154" s="339"/>
      <c r="Z154" s="339"/>
    </row>
    <row r="155" spans="1:26" ht="24" customHeight="1">
      <c r="A155" s="336"/>
      <c r="B155" s="336"/>
      <c r="C155" s="336"/>
      <c r="D155" s="336"/>
      <c r="E155" s="336"/>
      <c r="F155" s="336"/>
      <c r="G155" s="336"/>
      <c r="H155" s="336"/>
      <c r="I155" s="338"/>
      <c r="J155" s="336"/>
      <c r="K155" s="336"/>
      <c r="L155" s="336"/>
      <c r="M155" s="336"/>
      <c r="N155" s="336"/>
      <c r="O155" s="338"/>
      <c r="P155" s="337"/>
      <c r="Q155" s="339"/>
      <c r="R155" s="339"/>
      <c r="S155" s="339"/>
      <c r="T155" s="339"/>
      <c r="U155" s="339"/>
      <c r="V155" s="339"/>
      <c r="W155" s="339"/>
      <c r="X155" s="339"/>
      <c r="Y155" s="339"/>
      <c r="Z155" s="339"/>
    </row>
    <row r="156" spans="1:26" ht="24" customHeight="1">
      <c r="A156" s="336"/>
      <c r="B156" s="336"/>
      <c r="C156" s="336"/>
      <c r="D156" s="336"/>
      <c r="E156" s="336"/>
      <c r="F156" s="336"/>
      <c r="G156" s="336"/>
      <c r="H156" s="336"/>
      <c r="I156" s="338"/>
      <c r="J156" s="336"/>
      <c r="K156" s="336"/>
      <c r="L156" s="336"/>
      <c r="M156" s="336"/>
      <c r="N156" s="336"/>
      <c r="O156" s="338"/>
      <c r="P156" s="337"/>
      <c r="Q156" s="339"/>
      <c r="R156" s="339"/>
      <c r="S156" s="339"/>
      <c r="T156" s="339"/>
      <c r="U156" s="339"/>
      <c r="V156" s="339"/>
      <c r="W156" s="339"/>
      <c r="X156" s="339"/>
      <c r="Y156" s="339"/>
      <c r="Z156" s="339"/>
    </row>
    <row r="157" spans="1:26" ht="24" customHeight="1">
      <c r="A157" s="336"/>
      <c r="B157" s="336"/>
      <c r="C157" s="336"/>
      <c r="D157" s="336"/>
      <c r="E157" s="336"/>
      <c r="F157" s="336"/>
      <c r="G157" s="336"/>
      <c r="H157" s="336"/>
      <c r="I157" s="338"/>
      <c r="J157" s="336"/>
      <c r="K157" s="336"/>
      <c r="L157" s="336"/>
      <c r="M157" s="336"/>
      <c r="N157" s="336"/>
      <c r="O157" s="338"/>
      <c r="P157" s="337"/>
      <c r="Q157" s="339"/>
      <c r="R157" s="339"/>
      <c r="S157" s="339"/>
      <c r="T157" s="339"/>
      <c r="U157" s="339"/>
      <c r="V157" s="339"/>
      <c r="W157" s="339"/>
      <c r="X157" s="339"/>
      <c r="Y157" s="339"/>
      <c r="Z157" s="339"/>
    </row>
    <row r="158" spans="1:26" ht="24" customHeight="1">
      <c r="A158" s="336"/>
      <c r="B158" s="336"/>
      <c r="C158" s="336"/>
      <c r="D158" s="336"/>
      <c r="E158" s="336"/>
      <c r="F158" s="336"/>
      <c r="G158" s="336"/>
      <c r="H158" s="336"/>
      <c r="I158" s="338"/>
      <c r="J158" s="336"/>
      <c r="K158" s="336"/>
      <c r="L158" s="336"/>
      <c r="M158" s="336"/>
      <c r="N158" s="336"/>
      <c r="O158" s="338"/>
      <c r="P158" s="337"/>
      <c r="Q158" s="339"/>
      <c r="R158" s="339"/>
      <c r="S158" s="339"/>
      <c r="T158" s="339"/>
      <c r="U158" s="339"/>
      <c r="V158" s="339"/>
      <c r="W158" s="339"/>
      <c r="X158" s="339"/>
      <c r="Y158" s="339"/>
      <c r="Z158" s="339"/>
    </row>
    <row r="159" spans="1:26" ht="24" customHeight="1">
      <c r="A159" s="336"/>
      <c r="B159" s="336"/>
      <c r="C159" s="336"/>
      <c r="D159" s="336"/>
      <c r="E159" s="336"/>
      <c r="F159" s="336"/>
      <c r="G159" s="336"/>
      <c r="H159" s="336"/>
      <c r="I159" s="338"/>
      <c r="J159" s="336"/>
      <c r="K159" s="336"/>
      <c r="L159" s="336"/>
      <c r="M159" s="336"/>
      <c r="N159" s="336"/>
      <c r="O159" s="338"/>
      <c r="P159" s="337"/>
      <c r="Q159" s="339"/>
      <c r="R159" s="339"/>
      <c r="S159" s="339"/>
      <c r="T159" s="339"/>
      <c r="U159" s="339"/>
      <c r="V159" s="339"/>
      <c r="W159" s="339"/>
      <c r="X159" s="339"/>
      <c r="Y159" s="339"/>
      <c r="Z159" s="339"/>
    </row>
    <row r="160" spans="1:26" ht="24" customHeight="1">
      <c r="A160" s="336"/>
      <c r="B160" s="336"/>
      <c r="C160" s="336"/>
      <c r="D160" s="336"/>
      <c r="E160" s="336"/>
      <c r="F160" s="336"/>
      <c r="G160" s="336"/>
      <c r="H160" s="336"/>
      <c r="I160" s="338"/>
      <c r="J160" s="336"/>
      <c r="K160" s="336"/>
      <c r="L160" s="336"/>
      <c r="M160" s="336"/>
      <c r="N160" s="336"/>
      <c r="O160" s="338"/>
      <c r="P160" s="337"/>
      <c r="Q160" s="339"/>
      <c r="R160" s="339"/>
      <c r="S160" s="339"/>
      <c r="T160" s="339"/>
      <c r="U160" s="339"/>
      <c r="V160" s="339"/>
      <c r="W160" s="339"/>
      <c r="X160" s="339"/>
      <c r="Y160" s="339"/>
      <c r="Z160" s="339"/>
    </row>
    <row r="161" spans="1:26" ht="24" customHeight="1">
      <c r="A161" s="336"/>
      <c r="B161" s="336"/>
      <c r="C161" s="336"/>
      <c r="D161" s="336"/>
      <c r="E161" s="336"/>
      <c r="F161" s="336"/>
      <c r="G161" s="336"/>
      <c r="H161" s="336"/>
      <c r="I161" s="338"/>
      <c r="J161" s="336"/>
      <c r="K161" s="336"/>
      <c r="L161" s="336"/>
      <c r="M161" s="336"/>
      <c r="N161" s="336"/>
      <c r="O161" s="338"/>
      <c r="P161" s="337"/>
      <c r="Q161" s="339"/>
      <c r="R161" s="339"/>
      <c r="S161" s="339"/>
      <c r="T161" s="339"/>
      <c r="U161" s="339"/>
      <c r="V161" s="339"/>
      <c r="W161" s="339"/>
      <c r="X161" s="339"/>
      <c r="Y161" s="339"/>
      <c r="Z161" s="339"/>
    </row>
    <row r="162" spans="1:26" ht="24" customHeight="1">
      <c r="A162" s="336"/>
      <c r="B162" s="336"/>
      <c r="C162" s="336"/>
      <c r="D162" s="336"/>
      <c r="E162" s="336"/>
      <c r="F162" s="336"/>
      <c r="G162" s="336"/>
      <c r="H162" s="336"/>
      <c r="I162" s="338"/>
      <c r="J162" s="336"/>
      <c r="K162" s="336"/>
      <c r="L162" s="336"/>
      <c r="M162" s="336"/>
      <c r="N162" s="336"/>
      <c r="O162" s="338"/>
      <c r="P162" s="337"/>
      <c r="Q162" s="339"/>
      <c r="R162" s="339"/>
      <c r="S162" s="339"/>
      <c r="T162" s="339"/>
      <c r="U162" s="339"/>
      <c r="V162" s="339"/>
      <c r="W162" s="339"/>
      <c r="X162" s="339"/>
      <c r="Y162" s="339"/>
      <c r="Z162" s="339"/>
    </row>
    <row r="163" spans="1:26" ht="24" customHeight="1">
      <c r="A163" s="336"/>
      <c r="B163" s="336"/>
      <c r="C163" s="336"/>
      <c r="D163" s="336"/>
      <c r="E163" s="336"/>
      <c r="F163" s="336"/>
      <c r="G163" s="336"/>
      <c r="H163" s="336"/>
      <c r="I163" s="338"/>
      <c r="J163" s="336"/>
      <c r="K163" s="336"/>
      <c r="L163" s="336"/>
      <c r="M163" s="336"/>
      <c r="N163" s="336"/>
      <c r="O163" s="338"/>
      <c r="P163" s="337"/>
      <c r="Q163" s="339"/>
      <c r="R163" s="339"/>
      <c r="S163" s="339"/>
      <c r="T163" s="339"/>
      <c r="U163" s="339"/>
      <c r="V163" s="339"/>
      <c r="W163" s="339"/>
      <c r="X163" s="339"/>
      <c r="Y163" s="339"/>
      <c r="Z163" s="339"/>
    </row>
    <row r="164" spans="1:26" ht="24" customHeight="1">
      <c r="A164" s="336"/>
      <c r="B164" s="336"/>
      <c r="C164" s="336"/>
      <c r="D164" s="336"/>
      <c r="E164" s="336"/>
      <c r="F164" s="336"/>
      <c r="G164" s="336"/>
      <c r="H164" s="336"/>
      <c r="I164" s="338"/>
      <c r="J164" s="336"/>
      <c r="K164" s="336"/>
      <c r="L164" s="336"/>
      <c r="M164" s="336"/>
      <c r="N164" s="336"/>
      <c r="O164" s="338"/>
      <c r="P164" s="337"/>
      <c r="Q164" s="339"/>
      <c r="R164" s="339"/>
      <c r="S164" s="339"/>
      <c r="T164" s="339"/>
      <c r="U164" s="339"/>
      <c r="V164" s="339"/>
      <c r="W164" s="339"/>
      <c r="X164" s="339"/>
      <c r="Y164" s="339"/>
      <c r="Z164" s="339"/>
    </row>
    <row r="165" spans="1:26" ht="24" customHeight="1">
      <c r="A165" s="336"/>
      <c r="B165" s="336"/>
      <c r="C165" s="336"/>
      <c r="D165" s="336"/>
      <c r="E165" s="336"/>
      <c r="F165" s="336"/>
      <c r="G165" s="336"/>
      <c r="H165" s="336"/>
      <c r="I165" s="338"/>
      <c r="J165" s="336"/>
      <c r="K165" s="336"/>
      <c r="L165" s="336"/>
      <c r="M165" s="336"/>
      <c r="N165" s="336"/>
      <c r="O165" s="338"/>
      <c r="P165" s="337"/>
      <c r="Q165" s="339"/>
      <c r="R165" s="339"/>
      <c r="S165" s="339"/>
      <c r="T165" s="339"/>
      <c r="U165" s="339"/>
      <c r="V165" s="339"/>
      <c r="W165" s="339"/>
      <c r="X165" s="339"/>
      <c r="Y165" s="339"/>
      <c r="Z165" s="339"/>
    </row>
    <row r="166" spans="1:26" ht="24" customHeight="1">
      <c r="A166" s="336"/>
      <c r="B166" s="336"/>
      <c r="C166" s="336"/>
      <c r="D166" s="336"/>
      <c r="E166" s="336"/>
      <c r="F166" s="336"/>
      <c r="G166" s="336"/>
      <c r="H166" s="336"/>
      <c r="I166" s="338"/>
      <c r="J166" s="336"/>
      <c r="K166" s="336"/>
      <c r="L166" s="336"/>
      <c r="M166" s="336"/>
      <c r="N166" s="336"/>
      <c r="O166" s="338"/>
      <c r="P166" s="337"/>
      <c r="Q166" s="339"/>
      <c r="R166" s="339"/>
      <c r="S166" s="339"/>
      <c r="T166" s="339"/>
      <c r="U166" s="339"/>
      <c r="V166" s="339"/>
      <c r="W166" s="339"/>
      <c r="X166" s="339"/>
      <c r="Y166" s="339"/>
      <c r="Z166" s="339"/>
    </row>
    <row r="167" spans="1:26" ht="24" customHeight="1">
      <c r="A167" s="336"/>
      <c r="B167" s="336"/>
      <c r="C167" s="336"/>
      <c r="D167" s="336"/>
      <c r="E167" s="336"/>
      <c r="F167" s="336"/>
      <c r="G167" s="336"/>
      <c r="H167" s="336"/>
      <c r="I167" s="338"/>
      <c r="J167" s="336"/>
      <c r="K167" s="336"/>
      <c r="L167" s="336"/>
      <c r="M167" s="336"/>
      <c r="N167" s="336"/>
      <c r="O167" s="338"/>
      <c r="P167" s="337"/>
      <c r="Q167" s="339"/>
      <c r="R167" s="339"/>
      <c r="S167" s="339"/>
      <c r="T167" s="339"/>
      <c r="U167" s="339"/>
      <c r="V167" s="339"/>
      <c r="W167" s="339"/>
      <c r="X167" s="339"/>
      <c r="Y167" s="339"/>
      <c r="Z167" s="339"/>
    </row>
    <row r="168" spans="1:26" ht="24" customHeight="1">
      <c r="A168" s="336"/>
      <c r="B168" s="336"/>
      <c r="C168" s="336"/>
      <c r="D168" s="336"/>
      <c r="E168" s="336"/>
      <c r="F168" s="336"/>
      <c r="G168" s="336"/>
      <c r="H168" s="336"/>
      <c r="I168" s="338"/>
      <c r="J168" s="336"/>
      <c r="K168" s="336"/>
      <c r="L168" s="336"/>
      <c r="M168" s="336"/>
      <c r="N168" s="336"/>
      <c r="O168" s="338"/>
      <c r="P168" s="337"/>
      <c r="Q168" s="339"/>
      <c r="R168" s="339"/>
      <c r="S168" s="339"/>
      <c r="T168" s="339"/>
      <c r="U168" s="339"/>
      <c r="V168" s="339"/>
      <c r="W168" s="339"/>
      <c r="X168" s="339"/>
      <c r="Y168" s="339"/>
      <c r="Z168" s="339"/>
    </row>
    <row r="169" spans="1:26" ht="24" customHeight="1">
      <c r="A169" s="336"/>
      <c r="B169" s="336"/>
      <c r="C169" s="336"/>
      <c r="D169" s="336"/>
      <c r="E169" s="336"/>
      <c r="F169" s="336"/>
      <c r="G169" s="336"/>
      <c r="H169" s="336"/>
      <c r="I169" s="338"/>
      <c r="J169" s="336"/>
      <c r="K169" s="336"/>
      <c r="L169" s="336"/>
      <c r="M169" s="336"/>
      <c r="N169" s="336"/>
      <c r="O169" s="338"/>
      <c r="P169" s="337"/>
      <c r="Q169" s="339"/>
      <c r="R169" s="339"/>
      <c r="S169" s="339"/>
      <c r="T169" s="339"/>
      <c r="U169" s="339"/>
      <c r="V169" s="339"/>
      <c r="W169" s="339"/>
      <c r="X169" s="339"/>
      <c r="Y169" s="339"/>
      <c r="Z169" s="339"/>
    </row>
    <row r="170" spans="1:26" ht="24" customHeight="1">
      <c r="A170" s="336"/>
      <c r="B170" s="336"/>
      <c r="C170" s="336"/>
      <c r="D170" s="336"/>
      <c r="E170" s="336"/>
      <c r="F170" s="336"/>
      <c r="G170" s="336"/>
      <c r="H170" s="336"/>
      <c r="I170" s="338"/>
      <c r="J170" s="336"/>
      <c r="K170" s="336"/>
      <c r="L170" s="336"/>
      <c r="M170" s="336"/>
      <c r="N170" s="336"/>
      <c r="O170" s="338"/>
      <c r="P170" s="337"/>
      <c r="Q170" s="339"/>
      <c r="R170" s="339"/>
      <c r="S170" s="339"/>
      <c r="T170" s="339"/>
      <c r="U170" s="339"/>
      <c r="V170" s="339"/>
      <c r="W170" s="339"/>
      <c r="X170" s="339"/>
      <c r="Y170" s="339"/>
      <c r="Z170" s="339"/>
    </row>
    <row r="171" spans="1:26" ht="24" customHeight="1">
      <c r="A171" s="336"/>
      <c r="B171" s="336"/>
      <c r="C171" s="336"/>
      <c r="D171" s="336"/>
      <c r="E171" s="336"/>
      <c r="F171" s="336"/>
      <c r="G171" s="336"/>
      <c r="H171" s="336"/>
      <c r="I171" s="338"/>
      <c r="J171" s="336"/>
      <c r="K171" s="336"/>
      <c r="L171" s="336"/>
      <c r="M171" s="336"/>
      <c r="N171" s="336"/>
      <c r="O171" s="338"/>
      <c r="P171" s="337"/>
      <c r="Q171" s="339"/>
      <c r="R171" s="339"/>
      <c r="S171" s="339"/>
      <c r="T171" s="339"/>
      <c r="U171" s="339"/>
      <c r="V171" s="339"/>
      <c r="W171" s="339"/>
      <c r="X171" s="339"/>
      <c r="Y171" s="339"/>
      <c r="Z171" s="339"/>
    </row>
    <row r="172" spans="1:26" ht="24" customHeight="1">
      <c r="A172" s="336"/>
      <c r="B172" s="336"/>
      <c r="C172" s="336"/>
      <c r="D172" s="336"/>
      <c r="E172" s="336"/>
      <c r="F172" s="336"/>
      <c r="G172" s="336"/>
      <c r="H172" s="336"/>
      <c r="I172" s="338"/>
      <c r="J172" s="336"/>
      <c r="K172" s="336"/>
      <c r="L172" s="336"/>
      <c r="M172" s="336"/>
      <c r="N172" s="336"/>
      <c r="O172" s="338"/>
      <c r="P172" s="337"/>
      <c r="Q172" s="339"/>
      <c r="R172" s="339"/>
      <c r="S172" s="339"/>
      <c r="T172" s="339"/>
      <c r="U172" s="339"/>
      <c r="V172" s="339"/>
      <c r="W172" s="339"/>
      <c r="X172" s="339"/>
      <c r="Y172" s="339"/>
      <c r="Z172" s="339"/>
    </row>
    <row r="173" spans="1:26" ht="24" customHeight="1">
      <c r="A173" s="336"/>
      <c r="B173" s="336"/>
      <c r="C173" s="336"/>
      <c r="D173" s="336"/>
      <c r="E173" s="336"/>
      <c r="F173" s="336"/>
      <c r="G173" s="336"/>
      <c r="H173" s="336"/>
      <c r="I173" s="338"/>
      <c r="J173" s="336"/>
      <c r="K173" s="336"/>
      <c r="L173" s="336"/>
      <c r="M173" s="336"/>
      <c r="N173" s="336"/>
      <c r="O173" s="338"/>
      <c r="P173" s="337"/>
      <c r="Q173" s="339"/>
      <c r="R173" s="339"/>
      <c r="S173" s="339"/>
      <c r="T173" s="339"/>
      <c r="U173" s="339"/>
      <c r="V173" s="339"/>
      <c r="W173" s="339"/>
      <c r="X173" s="339"/>
      <c r="Y173" s="339"/>
      <c r="Z173" s="339"/>
    </row>
    <row r="174" spans="1:26" ht="24" customHeight="1">
      <c r="A174" s="336"/>
      <c r="B174" s="336"/>
      <c r="C174" s="336"/>
      <c r="D174" s="336"/>
      <c r="E174" s="336"/>
      <c r="F174" s="336"/>
      <c r="G174" s="336"/>
      <c r="H174" s="336"/>
      <c r="I174" s="338"/>
      <c r="J174" s="336"/>
      <c r="K174" s="336"/>
      <c r="L174" s="336"/>
      <c r="M174" s="336"/>
      <c r="N174" s="336"/>
      <c r="O174" s="338"/>
      <c r="P174" s="337"/>
      <c r="Q174" s="339"/>
      <c r="R174" s="339"/>
      <c r="S174" s="339"/>
      <c r="T174" s="339"/>
      <c r="U174" s="339"/>
      <c r="V174" s="339"/>
      <c r="W174" s="339"/>
      <c r="X174" s="339"/>
      <c r="Y174" s="339"/>
      <c r="Z174" s="339"/>
    </row>
    <row r="175" spans="1:26" ht="24" customHeight="1">
      <c r="A175" s="336"/>
      <c r="B175" s="336"/>
      <c r="C175" s="336"/>
      <c r="D175" s="336"/>
      <c r="E175" s="336"/>
      <c r="F175" s="336"/>
      <c r="G175" s="336"/>
      <c r="H175" s="336"/>
      <c r="I175" s="338"/>
      <c r="J175" s="336"/>
      <c r="K175" s="336"/>
      <c r="L175" s="336"/>
      <c r="M175" s="336"/>
      <c r="N175" s="336"/>
      <c r="O175" s="338"/>
      <c r="P175" s="337"/>
      <c r="Q175" s="339"/>
      <c r="R175" s="339"/>
      <c r="S175" s="339"/>
      <c r="T175" s="339"/>
      <c r="U175" s="339"/>
      <c r="V175" s="339"/>
      <c r="W175" s="339"/>
      <c r="X175" s="339"/>
      <c r="Y175" s="339"/>
      <c r="Z175" s="339"/>
    </row>
    <row r="176" spans="1:26" ht="24" customHeight="1">
      <c r="A176" s="336"/>
      <c r="B176" s="336"/>
      <c r="C176" s="336"/>
      <c r="D176" s="336"/>
      <c r="E176" s="336"/>
      <c r="F176" s="336"/>
      <c r="G176" s="336"/>
      <c r="H176" s="336"/>
      <c r="I176" s="338"/>
      <c r="J176" s="336"/>
      <c r="K176" s="336"/>
      <c r="L176" s="336"/>
      <c r="M176" s="336"/>
      <c r="N176" s="336"/>
      <c r="O176" s="338"/>
      <c r="P176" s="337"/>
      <c r="Q176" s="339"/>
      <c r="R176" s="339"/>
      <c r="S176" s="339"/>
      <c r="T176" s="339"/>
      <c r="U176" s="339"/>
      <c r="V176" s="339"/>
      <c r="W176" s="339"/>
      <c r="X176" s="339"/>
      <c r="Y176" s="339"/>
      <c r="Z176" s="339"/>
    </row>
    <row r="177" spans="1:26" ht="24" customHeight="1">
      <c r="A177" s="336"/>
      <c r="B177" s="336"/>
      <c r="C177" s="336"/>
      <c r="D177" s="336"/>
      <c r="E177" s="336"/>
      <c r="F177" s="336"/>
      <c r="G177" s="336"/>
      <c r="H177" s="336"/>
      <c r="I177" s="338"/>
      <c r="J177" s="336"/>
      <c r="K177" s="336"/>
      <c r="L177" s="336"/>
      <c r="M177" s="336"/>
      <c r="N177" s="336"/>
      <c r="O177" s="338"/>
      <c r="P177" s="337"/>
      <c r="Q177" s="339"/>
      <c r="R177" s="339"/>
      <c r="S177" s="339"/>
      <c r="T177" s="339"/>
      <c r="U177" s="339"/>
      <c r="V177" s="339"/>
      <c r="W177" s="339"/>
      <c r="X177" s="339"/>
      <c r="Y177" s="339"/>
      <c r="Z177" s="339"/>
    </row>
    <row r="178" spans="1:26" ht="24" customHeight="1">
      <c r="A178" s="336"/>
      <c r="B178" s="336"/>
      <c r="C178" s="336"/>
      <c r="D178" s="336"/>
      <c r="E178" s="336"/>
      <c r="F178" s="336"/>
      <c r="G178" s="336"/>
      <c r="H178" s="336"/>
      <c r="I178" s="338"/>
      <c r="J178" s="336"/>
      <c r="K178" s="336"/>
      <c r="L178" s="336"/>
      <c r="M178" s="336"/>
      <c r="N178" s="336"/>
      <c r="O178" s="338"/>
      <c r="P178" s="337"/>
      <c r="Q178" s="339"/>
      <c r="R178" s="339"/>
      <c r="S178" s="339"/>
      <c r="T178" s="339"/>
      <c r="U178" s="339"/>
      <c r="V178" s="339"/>
      <c r="W178" s="339"/>
      <c r="X178" s="339"/>
      <c r="Y178" s="339"/>
      <c r="Z178" s="339"/>
    </row>
    <row r="179" spans="1:26" ht="24" customHeight="1">
      <c r="A179" s="336"/>
      <c r="B179" s="336"/>
      <c r="C179" s="336"/>
      <c r="D179" s="336"/>
      <c r="E179" s="336"/>
      <c r="F179" s="336"/>
      <c r="G179" s="336"/>
      <c r="H179" s="336"/>
      <c r="I179" s="338"/>
      <c r="J179" s="336"/>
      <c r="K179" s="336"/>
      <c r="L179" s="336"/>
      <c r="M179" s="336"/>
      <c r="N179" s="336"/>
      <c r="O179" s="338"/>
      <c r="P179" s="337"/>
      <c r="Q179" s="339"/>
      <c r="R179" s="339"/>
      <c r="S179" s="339"/>
      <c r="T179" s="339"/>
      <c r="U179" s="339"/>
      <c r="V179" s="339"/>
      <c r="W179" s="339"/>
      <c r="X179" s="339"/>
      <c r="Y179" s="339"/>
      <c r="Z179" s="339"/>
    </row>
    <row r="180" spans="1:26" ht="24" customHeight="1">
      <c r="A180" s="336"/>
      <c r="B180" s="336"/>
      <c r="C180" s="336"/>
      <c r="D180" s="336"/>
      <c r="E180" s="336"/>
      <c r="F180" s="336"/>
      <c r="G180" s="336"/>
      <c r="H180" s="336"/>
      <c r="I180" s="338"/>
      <c r="J180" s="336"/>
      <c r="K180" s="336"/>
      <c r="L180" s="336"/>
      <c r="M180" s="336"/>
      <c r="N180" s="336"/>
      <c r="O180" s="338"/>
      <c r="P180" s="337"/>
      <c r="Q180" s="339"/>
      <c r="R180" s="339"/>
      <c r="S180" s="339"/>
      <c r="T180" s="339"/>
      <c r="U180" s="339"/>
      <c r="V180" s="339"/>
      <c r="W180" s="339"/>
      <c r="X180" s="339"/>
      <c r="Y180" s="339"/>
      <c r="Z180" s="339"/>
    </row>
    <row r="181" spans="1:26" ht="24" customHeight="1">
      <c r="A181" s="336"/>
      <c r="B181" s="336"/>
      <c r="C181" s="336"/>
      <c r="D181" s="336"/>
      <c r="E181" s="336"/>
      <c r="F181" s="336"/>
      <c r="G181" s="336"/>
      <c r="H181" s="336"/>
      <c r="I181" s="338"/>
      <c r="J181" s="336"/>
      <c r="K181" s="336"/>
      <c r="L181" s="336"/>
      <c r="M181" s="336"/>
      <c r="N181" s="336"/>
      <c r="O181" s="338"/>
      <c r="P181" s="337"/>
      <c r="Q181" s="339"/>
      <c r="R181" s="339"/>
      <c r="S181" s="339"/>
      <c r="T181" s="339"/>
      <c r="U181" s="339"/>
      <c r="V181" s="339"/>
      <c r="W181" s="339"/>
      <c r="X181" s="339"/>
      <c r="Y181" s="339"/>
      <c r="Z181" s="339"/>
    </row>
    <row r="182" spans="1:26" ht="24" customHeight="1">
      <c r="A182" s="336"/>
      <c r="B182" s="336"/>
      <c r="C182" s="336"/>
      <c r="D182" s="336"/>
      <c r="E182" s="336"/>
      <c r="F182" s="336"/>
      <c r="G182" s="336"/>
      <c r="H182" s="336"/>
      <c r="I182" s="338"/>
      <c r="J182" s="336"/>
      <c r="K182" s="336"/>
      <c r="L182" s="336"/>
      <c r="M182" s="336"/>
      <c r="N182" s="336"/>
      <c r="O182" s="338"/>
      <c r="P182" s="337"/>
      <c r="Q182" s="339"/>
      <c r="R182" s="339"/>
      <c r="S182" s="339"/>
      <c r="T182" s="339"/>
      <c r="U182" s="339"/>
      <c r="V182" s="339"/>
      <c r="W182" s="339"/>
      <c r="X182" s="339"/>
      <c r="Y182" s="339"/>
      <c r="Z182" s="339"/>
    </row>
    <row r="183" spans="1:26" ht="24" customHeight="1">
      <c r="A183" s="336"/>
      <c r="B183" s="336"/>
      <c r="C183" s="336"/>
      <c r="D183" s="336"/>
      <c r="E183" s="336"/>
      <c r="F183" s="336"/>
      <c r="G183" s="336"/>
      <c r="H183" s="336"/>
      <c r="I183" s="338"/>
      <c r="J183" s="336"/>
      <c r="K183" s="336"/>
      <c r="L183" s="336"/>
      <c r="M183" s="336"/>
      <c r="N183" s="336"/>
      <c r="O183" s="338"/>
      <c r="P183" s="337"/>
      <c r="Q183" s="339"/>
      <c r="R183" s="339"/>
      <c r="S183" s="339"/>
      <c r="T183" s="339"/>
      <c r="U183" s="339"/>
      <c r="V183" s="339"/>
      <c r="W183" s="339"/>
      <c r="X183" s="339"/>
      <c r="Y183" s="339"/>
      <c r="Z183" s="339"/>
    </row>
    <row r="184" spans="1:26" ht="24" customHeight="1">
      <c r="A184" s="336"/>
      <c r="B184" s="336"/>
      <c r="C184" s="336"/>
      <c r="D184" s="336"/>
      <c r="E184" s="336"/>
      <c r="F184" s="336"/>
      <c r="G184" s="336"/>
      <c r="H184" s="336"/>
      <c r="I184" s="338"/>
      <c r="J184" s="336"/>
      <c r="K184" s="336"/>
      <c r="L184" s="336"/>
      <c r="M184" s="336"/>
      <c r="N184" s="336"/>
      <c r="O184" s="338"/>
      <c r="P184" s="337"/>
      <c r="Q184" s="339"/>
      <c r="R184" s="339"/>
      <c r="S184" s="339"/>
      <c r="T184" s="339"/>
      <c r="U184" s="339"/>
      <c r="V184" s="339"/>
      <c r="W184" s="339"/>
      <c r="X184" s="339"/>
      <c r="Y184" s="339"/>
      <c r="Z184" s="339"/>
    </row>
    <row r="185" spans="1:26" ht="24" customHeight="1">
      <c r="A185" s="336"/>
      <c r="B185" s="336"/>
      <c r="C185" s="336"/>
      <c r="D185" s="336"/>
      <c r="E185" s="336"/>
      <c r="F185" s="336"/>
      <c r="G185" s="336"/>
      <c r="H185" s="336"/>
      <c r="I185" s="338"/>
      <c r="J185" s="336"/>
      <c r="K185" s="336"/>
      <c r="L185" s="336"/>
      <c r="M185" s="336"/>
      <c r="N185" s="336"/>
      <c r="O185" s="338"/>
      <c r="P185" s="337"/>
      <c r="Q185" s="339"/>
      <c r="R185" s="339"/>
      <c r="S185" s="339"/>
      <c r="T185" s="339"/>
      <c r="U185" s="339"/>
      <c r="V185" s="339"/>
      <c r="W185" s="339"/>
      <c r="X185" s="339"/>
      <c r="Y185" s="339"/>
      <c r="Z185" s="339"/>
    </row>
    <row r="186" spans="1:26" ht="24" customHeight="1">
      <c r="A186" s="336"/>
      <c r="B186" s="336"/>
      <c r="C186" s="336"/>
      <c r="D186" s="336"/>
      <c r="E186" s="336"/>
      <c r="F186" s="336"/>
      <c r="G186" s="336"/>
      <c r="H186" s="336"/>
      <c r="I186" s="338"/>
      <c r="J186" s="336"/>
      <c r="K186" s="336"/>
      <c r="L186" s="336"/>
      <c r="M186" s="336"/>
      <c r="N186" s="336"/>
      <c r="O186" s="338"/>
      <c r="P186" s="337"/>
      <c r="Q186" s="339"/>
      <c r="R186" s="339"/>
      <c r="S186" s="339"/>
      <c r="T186" s="339"/>
      <c r="U186" s="339"/>
      <c r="V186" s="339"/>
      <c r="W186" s="339"/>
      <c r="X186" s="339"/>
      <c r="Y186" s="339"/>
      <c r="Z186" s="339"/>
    </row>
    <row r="187" spans="1:26" ht="24" customHeight="1">
      <c r="A187" s="336"/>
      <c r="B187" s="336"/>
      <c r="C187" s="336"/>
      <c r="D187" s="336"/>
      <c r="E187" s="336"/>
      <c r="F187" s="336"/>
      <c r="G187" s="336"/>
      <c r="H187" s="336"/>
      <c r="I187" s="338"/>
      <c r="J187" s="336"/>
      <c r="K187" s="336"/>
      <c r="L187" s="336"/>
      <c r="M187" s="336"/>
      <c r="N187" s="336"/>
      <c r="O187" s="338"/>
      <c r="P187" s="337"/>
      <c r="Q187" s="339"/>
      <c r="R187" s="339"/>
      <c r="S187" s="339"/>
      <c r="T187" s="339"/>
      <c r="U187" s="339"/>
      <c r="V187" s="339"/>
      <c r="W187" s="339"/>
      <c r="X187" s="339"/>
      <c r="Y187" s="339"/>
      <c r="Z187" s="339"/>
    </row>
    <row r="188" spans="1:26" ht="24" customHeight="1">
      <c r="A188" s="336"/>
      <c r="B188" s="336"/>
      <c r="C188" s="336"/>
      <c r="D188" s="336"/>
      <c r="E188" s="336"/>
      <c r="F188" s="336"/>
      <c r="G188" s="336"/>
      <c r="H188" s="336"/>
      <c r="I188" s="338"/>
      <c r="J188" s="336"/>
      <c r="K188" s="336"/>
      <c r="L188" s="336"/>
      <c r="M188" s="336"/>
      <c r="N188" s="336"/>
      <c r="O188" s="338"/>
      <c r="P188" s="337"/>
      <c r="Q188" s="339"/>
      <c r="R188" s="339"/>
      <c r="S188" s="339"/>
      <c r="T188" s="339"/>
      <c r="U188" s="339"/>
      <c r="V188" s="339"/>
      <c r="W188" s="339"/>
      <c r="X188" s="339"/>
      <c r="Y188" s="339"/>
      <c r="Z188" s="339"/>
    </row>
    <row r="189" spans="1:26" ht="24" customHeight="1">
      <c r="A189" s="336"/>
      <c r="B189" s="336"/>
      <c r="C189" s="336"/>
      <c r="D189" s="336"/>
      <c r="E189" s="336"/>
      <c r="F189" s="336"/>
      <c r="G189" s="336"/>
      <c r="H189" s="336"/>
      <c r="I189" s="338"/>
      <c r="J189" s="336"/>
      <c r="K189" s="336"/>
      <c r="L189" s="336"/>
      <c r="M189" s="336"/>
      <c r="N189" s="336"/>
      <c r="O189" s="338"/>
      <c r="P189" s="337"/>
      <c r="Q189" s="339"/>
      <c r="R189" s="339"/>
      <c r="S189" s="339"/>
      <c r="T189" s="339"/>
      <c r="U189" s="339"/>
      <c r="V189" s="339"/>
      <c r="W189" s="339"/>
      <c r="X189" s="339"/>
      <c r="Y189" s="339"/>
      <c r="Z189" s="339"/>
    </row>
    <row r="190" spans="1:26" ht="24" customHeight="1">
      <c r="A190" s="336"/>
      <c r="B190" s="336"/>
      <c r="C190" s="336"/>
      <c r="D190" s="336"/>
      <c r="E190" s="336"/>
      <c r="F190" s="336"/>
      <c r="G190" s="336"/>
      <c r="H190" s="336"/>
      <c r="I190" s="338"/>
      <c r="J190" s="336"/>
      <c r="K190" s="336"/>
      <c r="L190" s="336"/>
      <c r="M190" s="336"/>
      <c r="N190" s="336"/>
      <c r="O190" s="338"/>
      <c r="P190" s="337"/>
      <c r="Q190" s="339"/>
      <c r="R190" s="339"/>
      <c r="S190" s="339"/>
      <c r="T190" s="339"/>
      <c r="U190" s="339"/>
      <c r="V190" s="339"/>
      <c r="W190" s="339"/>
      <c r="X190" s="339"/>
      <c r="Y190" s="339"/>
      <c r="Z190" s="339"/>
    </row>
    <row r="191" spans="1:26" ht="24" customHeight="1">
      <c r="A191" s="336"/>
      <c r="B191" s="336"/>
      <c r="C191" s="336"/>
      <c r="D191" s="336"/>
      <c r="E191" s="336"/>
      <c r="F191" s="336"/>
      <c r="G191" s="336"/>
      <c r="H191" s="336"/>
      <c r="I191" s="338"/>
      <c r="J191" s="336"/>
      <c r="K191" s="336"/>
      <c r="L191" s="336"/>
      <c r="M191" s="336"/>
      <c r="N191" s="336"/>
      <c r="O191" s="338"/>
      <c r="P191" s="337"/>
      <c r="Q191" s="339"/>
      <c r="R191" s="339"/>
      <c r="S191" s="339"/>
      <c r="T191" s="339"/>
      <c r="U191" s="339"/>
      <c r="V191" s="339"/>
      <c r="W191" s="339"/>
      <c r="X191" s="339"/>
      <c r="Y191" s="339"/>
      <c r="Z191" s="339"/>
    </row>
    <row r="192" spans="1:26" ht="24" customHeight="1">
      <c r="A192" s="336"/>
      <c r="B192" s="336"/>
      <c r="C192" s="336"/>
      <c r="D192" s="336"/>
      <c r="E192" s="336"/>
      <c r="F192" s="336"/>
      <c r="G192" s="336"/>
      <c r="H192" s="336"/>
      <c r="I192" s="338"/>
      <c r="J192" s="336"/>
      <c r="K192" s="336"/>
      <c r="L192" s="336"/>
      <c r="M192" s="336"/>
      <c r="N192" s="336"/>
      <c r="O192" s="338"/>
      <c r="P192" s="337"/>
      <c r="Q192" s="339"/>
      <c r="R192" s="339"/>
      <c r="S192" s="339"/>
      <c r="T192" s="339"/>
      <c r="U192" s="339"/>
      <c r="V192" s="339"/>
      <c r="W192" s="339"/>
      <c r="X192" s="339"/>
      <c r="Y192" s="339"/>
      <c r="Z192" s="339"/>
    </row>
    <row r="193" spans="1:26" ht="24" customHeight="1">
      <c r="A193" s="336"/>
      <c r="B193" s="336"/>
      <c r="C193" s="336"/>
      <c r="D193" s="336"/>
      <c r="E193" s="336"/>
      <c r="F193" s="336"/>
      <c r="G193" s="336"/>
      <c r="H193" s="336"/>
      <c r="I193" s="338"/>
      <c r="J193" s="336"/>
      <c r="K193" s="336"/>
      <c r="L193" s="336"/>
      <c r="M193" s="336"/>
      <c r="N193" s="336"/>
      <c r="O193" s="338"/>
      <c r="P193" s="337"/>
      <c r="Q193" s="339"/>
      <c r="R193" s="339"/>
      <c r="S193" s="339"/>
      <c r="T193" s="339"/>
      <c r="U193" s="339"/>
      <c r="V193" s="339"/>
      <c r="W193" s="339"/>
      <c r="X193" s="339"/>
      <c r="Y193" s="339"/>
      <c r="Z193" s="339"/>
    </row>
    <row r="194" spans="1:26" ht="24" customHeight="1">
      <c r="A194" s="336"/>
      <c r="B194" s="336"/>
      <c r="C194" s="336"/>
      <c r="D194" s="336"/>
      <c r="E194" s="336"/>
      <c r="F194" s="336"/>
      <c r="G194" s="336"/>
      <c r="H194" s="336"/>
      <c r="I194" s="338"/>
      <c r="J194" s="336"/>
      <c r="K194" s="336"/>
      <c r="L194" s="336"/>
      <c r="M194" s="336"/>
      <c r="N194" s="336"/>
      <c r="O194" s="338"/>
      <c r="P194" s="337"/>
      <c r="Q194" s="339"/>
      <c r="R194" s="339"/>
      <c r="S194" s="339"/>
      <c r="T194" s="339"/>
      <c r="U194" s="339"/>
      <c r="V194" s="339"/>
      <c r="W194" s="339"/>
      <c r="X194" s="339"/>
      <c r="Y194" s="339"/>
      <c r="Z194" s="339"/>
    </row>
    <row r="195" spans="1:26" ht="24" customHeight="1">
      <c r="A195" s="336"/>
      <c r="B195" s="336"/>
      <c r="C195" s="336"/>
      <c r="D195" s="336"/>
      <c r="E195" s="336"/>
      <c r="F195" s="336"/>
      <c r="G195" s="336"/>
      <c r="H195" s="336"/>
      <c r="I195" s="338"/>
      <c r="J195" s="336"/>
      <c r="K195" s="336"/>
      <c r="L195" s="336"/>
      <c r="M195" s="336"/>
      <c r="N195" s="336"/>
      <c r="O195" s="338"/>
      <c r="P195" s="337"/>
      <c r="Q195" s="339"/>
      <c r="R195" s="339"/>
      <c r="S195" s="339"/>
      <c r="T195" s="339"/>
      <c r="U195" s="339"/>
      <c r="V195" s="339"/>
      <c r="W195" s="339"/>
      <c r="X195" s="339"/>
      <c r="Y195" s="339"/>
      <c r="Z195" s="339"/>
    </row>
    <row r="196" spans="1:26" ht="24" customHeight="1">
      <c r="A196" s="336"/>
      <c r="B196" s="336"/>
      <c r="C196" s="336"/>
      <c r="D196" s="336"/>
      <c r="E196" s="336"/>
      <c r="F196" s="336"/>
      <c r="G196" s="336"/>
      <c r="H196" s="336"/>
      <c r="I196" s="338"/>
      <c r="J196" s="336"/>
      <c r="K196" s="336"/>
      <c r="L196" s="336"/>
      <c r="M196" s="336"/>
      <c r="N196" s="336"/>
      <c r="O196" s="338"/>
      <c r="P196" s="337"/>
      <c r="Q196" s="339"/>
      <c r="R196" s="339"/>
      <c r="S196" s="339"/>
      <c r="T196" s="339"/>
      <c r="U196" s="339"/>
      <c r="V196" s="339"/>
      <c r="W196" s="339"/>
      <c r="X196" s="339"/>
      <c r="Y196" s="339"/>
      <c r="Z196" s="339"/>
    </row>
    <row r="197" spans="1:26" ht="24" customHeight="1">
      <c r="A197" s="336"/>
      <c r="B197" s="336"/>
      <c r="C197" s="336"/>
      <c r="D197" s="336"/>
      <c r="E197" s="336"/>
      <c r="F197" s="336"/>
      <c r="G197" s="336"/>
      <c r="H197" s="336"/>
      <c r="I197" s="338"/>
      <c r="J197" s="336"/>
      <c r="K197" s="336"/>
      <c r="L197" s="336"/>
      <c r="M197" s="336"/>
      <c r="N197" s="336"/>
      <c r="O197" s="338"/>
      <c r="P197" s="337"/>
      <c r="Q197" s="339"/>
      <c r="R197" s="339"/>
      <c r="S197" s="339"/>
      <c r="T197" s="339"/>
      <c r="U197" s="339"/>
      <c r="V197" s="339"/>
      <c r="W197" s="339"/>
      <c r="X197" s="339"/>
      <c r="Y197" s="339"/>
      <c r="Z197" s="339"/>
    </row>
    <row r="198" spans="1:26" ht="24" customHeight="1">
      <c r="A198" s="336"/>
      <c r="B198" s="336"/>
      <c r="C198" s="336"/>
      <c r="D198" s="336"/>
      <c r="E198" s="336"/>
      <c r="F198" s="336"/>
      <c r="G198" s="336"/>
      <c r="H198" s="336"/>
      <c r="I198" s="338"/>
      <c r="J198" s="336"/>
      <c r="K198" s="336"/>
      <c r="L198" s="336"/>
      <c r="M198" s="336"/>
      <c r="N198" s="336"/>
      <c r="O198" s="338"/>
      <c r="P198" s="337"/>
      <c r="Q198" s="339"/>
      <c r="R198" s="339"/>
      <c r="S198" s="339"/>
      <c r="T198" s="339"/>
      <c r="U198" s="339"/>
      <c r="V198" s="339"/>
      <c r="W198" s="339"/>
      <c r="X198" s="339"/>
      <c r="Y198" s="339"/>
      <c r="Z198" s="339"/>
    </row>
    <row r="199" spans="1:26" ht="24" customHeight="1">
      <c r="A199" s="336"/>
      <c r="B199" s="336"/>
      <c r="C199" s="336"/>
      <c r="D199" s="336"/>
      <c r="E199" s="336"/>
      <c r="F199" s="336"/>
      <c r="G199" s="336"/>
      <c r="H199" s="336"/>
      <c r="I199" s="338"/>
      <c r="J199" s="336"/>
      <c r="K199" s="336"/>
      <c r="L199" s="336"/>
      <c r="M199" s="336"/>
      <c r="N199" s="336"/>
      <c r="O199" s="338"/>
      <c r="P199" s="337"/>
      <c r="Q199" s="339"/>
      <c r="R199" s="339"/>
      <c r="S199" s="339"/>
      <c r="T199" s="339"/>
      <c r="U199" s="339"/>
      <c r="V199" s="339"/>
      <c r="W199" s="339"/>
      <c r="X199" s="339"/>
      <c r="Y199" s="339"/>
      <c r="Z199" s="339"/>
    </row>
    <row r="200" spans="1:26" ht="24" customHeight="1">
      <c r="A200" s="336"/>
      <c r="B200" s="336"/>
      <c r="C200" s="336"/>
      <c r="D200" s="336"/>
      <c r="E200" s="336"/>
      <c r="F200" s="336"/>
      <c r="G200" s="336"/>
      <c r="H200" s="336"/>
      <c r="I200" s="338"/>
      <c r="J200" s="336"/>
      <c r="K200" s="336"/>
      <c r="L200" s="336"/>
      <c r="M200" s="336"/>
      <c r="N200" s="336"/>
      <c r="O200" s="338"/>
      <c r="P200" s="337"/>
      <c r="Q200" s="339"/>
      <c r="R200" s="339"/>
      <c r="S200" s="339"/>
      <c r="T200" s="339"/>
      <c r="U200" s="339"/>
      <c r="V200" s="339"/>
      <c r="W200" s="339"/>
      <c r="X200" s="339"/>
      <c r="Y200" s="339"/>
      <c r="Z200" s="339"/>
    </row>
    <row r="201" spans="1:26" ht="24" customHeight="1">
      <c r="A201" s="336"/>
      <c r="B201" s="336"/>
      <c r="C201" s="336"/>
      <c r="D201" s="336"/>
      <c r="E201" s="336"/>
      <c r="F201" s="336"/>
      <c r="G201" s="336"/>
      <c r="H201" s="336"/>
      <c r="I201" s="338"/>
      <c r="J201" s="336"/>
      <c r="K201" s="336"/>
      <c r="L201" s="336"/>
      <c r="M201" s="336"/>
      <c r="N201" s="336"/>
      <c r="O201" s="338"/>
      <c r="P201" s="337"/>
      <c r="Q201" s="339"/>
      <c r="R201" s="339"/>
      <c r="S201" s="339"/>
      <c r="T201" s="339"/>
      <c r="U201" s="339"/>
      <c r="V201" s="339"/>
      <c r="W201" s="339"/>
      <c r="X201" s="339"/>
      <c r="Y201" s="339"/>
      <c r="Z201" s="339"/>
    </row>
    <row r="202" spans="1:26" ht="24" customHeight="1">
      <c r="A202" s="336"/>
      <c r="B202" s="336"/>
      <c r="C202" s="336"/>
      <c r="D202" s="336"/>
      <c r="E202" s="336"/>
      <c r="F202" s="336"/>
      <c r="G202" s="336"/>
      <c r="H202" s="336"/>
      <c r="I202" s="338"/>
      <c r="J202" s="336"/>
      <c r="K202" s="336"/>
      <c r="L202" s="336"/>
      <c r="M202" s="336"/>
      <c r="N202" s="336"/>
      <c r="O202" s="338"/>
      <c r="P202" s="337"/>
      <c r="Q202" s="339"/>
      <c r="R202" s="339"/>
      <c r="S202" s="339"/>
      <c r="T202" s="339"/>
      <c r="U202" s="339"/>
      <c r="V202" s="339"/>
      <c r="W202" s="339"/>
      <c r="X202" s="339"/>
      <c r="Y202" s="339"/>
      <c r="Z202" s="339"/>
    </row>
    <row r="203" spans="1:26" ht="24" customHeight="1">
      <c r="A203" s="336"/>
      <c r="B203" s="336"/>
      <c r="C203" s="336"/>
      <c r="D203" s="336"/>
      <c r="E203" s="336"/>
      <c r="F203" s="336"/>
      <c r="G203" s="336"/>
      <c r="H203" s="336"/>
      <c r="I203" s="338"/>
      <c r="J203" s="336"/>
      <c r="K203" s="336"/>
      <c r="L203" s="336"/>
      <c r="M203" s="336"/>
      <c r="N203" s="336"/>
      <c r="O203" s="338"/>
      <c r="P203" s="337"/>
      <c r="Q203" s="339"/>
      <c r="R203" s="339"/>
      <c r="S203" s="339"/>
      <c r="T203" s="339"/>
      <c r="U203" s="339"/>
      <c r="V203" s="339"/>
      <c r="W203" s="339"/>
      <c r="X203" s="339"/>
      <c r="Y203" s="339"/>
      <c r="Z203" s="339"/>
    </row>
    <row r="204" spans="1:26" ht="24" customHeight="1">
      <c r="A204" s="336"/>
      <c r="B204" s="336"/>
      <c r="C204" s="336"/>
      <c r="D204" s="336"/>
      <c r="E204" s="336"/>
      <c r="F204" s="336"/>
      <c r="G204" s="336"/>
      <c r="H204" s="336"/>
      <c r="I204" s="338"/>
      <c r="J204" s="336"/>
      <c r="K204" s="336"/>
      <c r="L204" s="336"/>
      <c r="M204" s="336"/>
      <c r="N204" s="336"/>
      <c r="O204" s="338"/>
      <c r="P204" s="337"/>
      <c r="Q204" s="339"/>
      <c r="R204" s="339"/>
      <c r="S204" s="339"/>
      <c r="T204" s="339"/>
      <c r="U204" s="339"/>
      <c r="V204" s="339"/>
      <c r="W204" s="339"/>
      <c r="X204" s="339"/>
      <c r="Y204" s="339"/>
      <c r="Z204" s="339"/>
    </row>
    <row r="205" spans="1:26" ht="24" customHeight="1">
      <c r="A205" s="336"/>
      <c r="B205" s="336"/>
      <c r="C205" s="336"/>
      <c r="D205" s="336"/>
      <c r="E205" s="336"/>
      <c r="F205" s="336"/>
      <c r="G205" s="336"/>
      <c r="H205" s="336"/>
      <c r="I205" s="338"/>
      <c r="J205" s="336"/>
      <c r="K205" s="336"/>
      <c r="L205" s="336"/>
      <c r="M205" s="336"/>
      <c r="N205" s="336"/>
      <c r="O205" s="338"/>
      <c r="P205" s="337"/>
      <c r="Q205" s="339"/>
      <c r="R205" s="339"/>
      <c r="S205" s="339"/>
      <c r="T205" s="339"/>
      <c r="U205" s="339"/>
      <c r="V205" s="339"/>
      <c r="W205" s="339"/>
      <c r="X205" s="339"/>
      <c r="Y205" s="339"/>
      <c r="Z205" s="339"/>
    </row>
    <row r="206" spans="1:26" ht="24" customHeight="1">
      <c r="A206" s="336"/>
      <c r="B206" s="336"/>
      <c r="C206" s="336"/>
      <c r="D206" s="336"/>
      <c r="E206" s="336"/>
      <c r="F206" s="336"/>
      <c r="G206" s="336"/>
      <c r="H206" s="336"/>
      <c r="I206" s="338"/>
      <c r="J206" s="336"/>
      <c r="K206" s="336"/>
      <c r="L206" s="336"/>
      <c r="M206" s="336"/>
      <c r="N206" s="336"/>
      <c r="O206" s="338"/>
      <c r="P206" s="337"/>
      <c r="Q206" s="339"/>
      <c r="R206" s="339"/>
      <c r="S206" s="339"/>
      <c r="T206" s="339"/>
      <c r="U206" s="339"/>
      <c r="V206" s="339"/>
      <c r="W206" s="339"/>
      <c r="X206" s="339"/>
      <c r="Y206" s="339"/>
      <c r="Z206" s="339"/>
    </row>
    <row r="207" spans="1:26" ht="24" customHeight="1">
      <c r="A207" s="336"/>
      <c r="B207" s="336"/>
      <c r="C207" s="336"/>
      <c r="D207" s="336"/>
      <c r="E207" s="336"/>
      <c r="F207" s="336"/>
      <c r="G207" s="336"/>
      <c r="H207" s="336"/>
      <c r="I207" s="338"/>
      <c r="J207" s="336"/>
      <c r="K207" s="336"/>
      <c r="L207" s="336"/>
      <c r="M207" s="336"/>
      <c r="N207" s="336"/>
      <c r="O207" s="338"/>
      <c r="P207" s="337"/>
      <c r="Q207" s="339"/>
      <c r="R207" s="339"/>
      <c r="S207" s="339"/>
      <c r="T207" s="339"/>
      <c r="U207" s="339"/>
      <c r="V207" s="339"/>
      <c r="W207" s="339"/>
      <c r="X207" s="339"/>
      <c r="Y207" s="339"/>
      <c r="Z207" s="339"/>
    </row>
    <row r="208" spans="1:26" ht="24" customHeight="1">
      <c r="A208" s="336"/>
      <c r="B208" s="336"/>
      <c r="C208" s="336"/>
      <c r="D208" s="336"/>
      <c r="E208" s="336"/>
      <c r="F208" s="336"/>
      <c r="G208" s="336"/>
      <c r="H208" s="336"/>
      <c r="I208" s="338"/>
      <c r="J208" s="336"/>
      <c r="K208" s="336"/>
      <c r="L208" s="336"/>
      <c r="M208" s="336"/>
      <c r="N208" s="336"/>
      <c r="O208" s="338"/>
      <c r="P208" s="337"/>
      <c r="Q208" s="339"/>
      <c r="R208" s="339"/>
      <c r="S208" s="339"/>
      <c r="T208" s="339"/>
      <c r="U208" s="339"/>
      <c r="V208" s="339"/>
      <c r="W208" s="339"/>
      <c r="X208" s="339"/>
      <c r="Y208" s="339"/>
      <c r="Z208" s="339"/>
    </row>
    <row r="209" spans="1:26" ht="24" customHeight="1">
      <c r="A209" s="336"/>
      <c r="B209" s="336"/>
      <c r="C209" s="336"/>
      <c r="D209" s="336"/>
      <c r="E209" s="336"/>
      <c r="F209" s="336"/>
      <c r="G209" s="336"/>
      <c r="H209" s="336"/>
      <c r="I209" s="338"/>
      <c r="J209" s="336"/>
      <c r="K209" s="336"/>
      <c r="L209" s="336"/>
      <c r="M209" s="336"/>
      <c r="N209" s="336"/>
      <c r="O209" s="338"/>
      <c r="P209" s="337"/>
      <c r="Q209" s="339"/>
      <c r="R209" s="339"/>
      <c r="S209" s="339"/>
      <c r="T209" s="339"/>
      <c r="U209" s="339"/>
      <c r="V209" s="339"/>
      <c r="W209" s="339"/>
      <c r="X209" s="339"/>
      <c r="Y209" s="339"/>
      <c r="Z209" s="339"/>
    </row>
    <row r="210" spans="1:26" ht="24" customHeight="1">
      <c r="A210" s="336"/>
      <c r="B210" s="336"/>
      <c r="C210" s="336"/>
      <c r="D210" s="336"/>
      <c r="E210" s="336"/>
      <c r="F210" s="336"/>
      <c r="G210" s="336"/>
      <c r="H210" s="336"/>
      <c r="I210" s="338"/>
      <c r="J210" s="336"/>
      <c r="K210" s="336"/>
      <c r="L210" s="336"/>
      <c r="M210" s="336"/>
      <c r="N210" s="336"/>
      <c r="O210" s="338"/>
      <c r="P210" s="337"/>
      <c r="Q210" s="339"/>
      <c r="R210" s="339"/>
      <c r="S210" s="339"/>
      <c r="T210" s="339"/>
      <c r="U210" s="339"/>
      <c r="V210" s="339"/>
      <c r="W210" s="339"/>
      <c r="X210" s="339"/>
      <c r="Y210" s="339"/>
      <c r="Z210" s="339"/>
    </row>
    <row r="211" spans="1:26" ht="24" customHeight="1">
      <c r="A211" s="336"/>
      <c r="B211" s="336"/>
      <c r="C211" s="336"/>
      <c r="D211" s="336"/>
      <c r="E211" s="336"/>
      <c r="F211" s="336"/>
      <c r="G211" s="336"/>
      <c r="H211" s="336"/>
      <c r="I211" s="338"/>
      <c r="J211" s="336"/>
      <c r="K211" s="336"/>
      <c r="L211" s="336"/>
      <c r="M211" s="336"/>
      <c r="N211" s="336"/>
      <c r="O211" s="338"/>
      <c r="P211" s="337"/>
      <c r="Q211" s="339"/>
      <c r="R211" s="339"/>
      <c r="S211" s="339"/>
      <c r="T211" s="339"/>
      <c r="U211" s="339"/>
      <c r="V211" s="339"/>
      <c r="W211" s="339"/>
      <c r="X211" s="339"/>
      <c r="Y211" s="339"/>
      <c r="Z211" s="339"/>
    </row>
    <row r="212" spans="1:26" ht="24" customHeight="1">
      <c r="A212" s="336"/>
      <c r="B212" s="336"/>
      <c r="C212" s="336"/>
      <c r="D212" s="336"/>
      <c r="E212" s="336"/>
      <c r="F212" s="336"/>
      <c r="G212" s="336"/>
      <c r="H212" s="336"/>
      <c r="I212" s="338"/>
      <c r="J212" s="336"/>
      <c r="K212" s="336"/>
      <c r="L212" s="336"/>
      <c r="M212" s="336"/>
      <c r="N212" s="336"/>
      <c r="O212" s="338"/>
      <c r="P212" s="337"/>
      <c r="Q212" s="339"/>
      <c r="R212" s="339"/>
      <c r="S212" s="339"/>
      <c r="T212" s="339"/>
      <c r="U212" s="339"/>
      <c r="V212" s="339"/>
      <c r="W212" s="339"/>
      <c r="X212" s="339"/>
      <c r="Y212" s="339"/>
      <c r="Z212" s="339"/>
    </row>
    <row r="213" spans="1:26" ht="24" customHeight="1">
      <c r="A213" s="336"/>
      <c r="B213" s="336"/>
      <c r="C213" s="336"/>
      <c r="D213" s="336"/>
      <c r="E213" s="336"/>
      <c r="F213" s="336"/>
      <c r="G213" s="336"/>
      <c r="H213" s="336"/>
      <c r="I213" s="338"/>
      <c r="J213" s="336"/>
      <c r="K213" s="336"/>
      <c r="L213" s="336"/>
      <c r="M213" s="336"/>
      <c r="N213" s="336"/>
      <c r="O213" s="338"/>
      <c r="P213" s="337"/>
      <c r="Q213" s="339"/>
      <c r="R213" s="339"/>
      <c r="S213" s="339"/>
      <c r="T213" s="339"/>
      <c r="U213" s="339"/>
      <c r="V213" s="339"/>
      <c r="W213" s="339"/>
      <c r="X213" s="339"/>
      <c r="Y213" s="339"/>
      <c r="Z213" s="339"/>
    </row>
    <row r="214" spans="1:26" ht="24" customHeight="1">
      <c r="A214" s="336"/>
      <c r="B214" s="336"/>
      <c r="C214" s="336"/>
      <c r="D214" s="336"/>
      <c r="E214" s="336"/>
      <c r="F214" s="336"/>
      <c r="G214" s="336"/>
      <c r="H214" s="336"/>
      <c r="I214" s="338"/>
      <c r="J214" s="336"/>
      <c r="K214" s="336"/>
      <c r="L214" s="336"/>
      <c r="M214" s="336"/>
      <c r="N214" s="336"/>
      <c r="O214" s="338"/>
      <c r="P214" s="337"/>
      <c r="Q214" s="339"/>
      <c r="R214" s="339"/>
      <c r="S214" s="339"/>
      <c r="T214" s="339"/>
      <c r="U214" s="339"/>
      <c r="V214" s="339"/>
      <c r="W214" s="339"/>
      <c r="X214" s="339"/>
      <c r="Y214" s="339"/>
      <c r="Z214" s="339"/>
    </row>
    <row r="215" spans="1:26" ht="24" customHeight="1">
      <c r="A215" s="336"/>
      <c r="B215" s="336"/>
      <c r="C215" s="336"/>
      <c r="D215" s="336"/>
      <c r="E215" s="336"/>
      <c r="F215" s="336"/>
      <c r="G215" s="336"/>
      <c r="H215" s="336"/>
      <c r="I215" s="338"/>
      <c r="J215" s="336"/>
      <c r="K215" s="336"/>
      <c r="L215" s="336"/>
      <c r="M215" s="336"/>
      <c r="N215" s="336"/>
      <c r="O215" s="338"/>
      <c r="P215" s="337"/>
      <c r="Q215" s="339"/>
      <c r="R215" s="339"/>
      <c r="S215" s="339"/>
      <c r="T215" s="339"/>
      <c r="U215" s="339"/>
      <c r="V215" s="339"/>
      <c r="W215" s="339"/>
      <c r="X215" s="339"/>
      <c r="Y215" s="339"/>
      <c r="Z215" s="339"/>
    </row>
    <row r="216" spans="1:26" ht="24" customHeight="1">
      <c r="A216" s="336"/>
      <c r="B216" s="336"/>
      <c r="C216" s="336"/>
      <c r="D216" s="336"/>
      <c r="E216" s="336"/>
      <c r="F216" s="336"/>
      <c r="G216" s="336"/>
      <c r="H216" s="336"/>
      <c r="I216" s="338"/>
      <c r="J216" s="336"/>
      <c r="K216" s="336"/>
      <c r="L216" s="336"/>
      <c r="M216" s="336"/>
      <c r="N216" s="336"/>
      <c r="O216" s="338"/>
      <c r="P216" s="337"/>
      <c r="Q216" s="339"/>
      <c r="R216" s="339"/>
      <c r="S216" s="339"/>
      <c r="T216" s="339"/>
      <c r="U216" s="339"/>
      <c r="V216" s="339"/>
      <c r="W216" s="339"/>
      <c r="X216" s="339"/>
      <c r="Y216" s="339"/>
      <c r="Z216" s="339"/>
    </row>
    <row r="217" spans="1:26" ht="24" customHeight="1">
      <c r="A217" s="336"/>
      <c r="B217" s="336"/>
      <c r="C217" s="336"/>
      <c r="D217" s="336"/>
      <c r="E217" s="336"/>
      <c r="F217" s="336"/>
      <c r="G217" s="336"/>
      <c r="H217" s="336"/>
      <c r="I217" s="338"/>
      <c r="J217" s="336"/>
      <c r="K217" s="336"/>
      <c r="L217" s="336"/>
      <c r="M217" s="336"/>
      <c r="N217" s="336"/>
      <c r="O217" s="338"/>
      <c r="P217" s="337"/>
      <c r="Q217" s="339"/>
      <c r="R217" s="339"/>
      <c r="S217" s="339"/>
      <c r="T217" s="339"/>
      <c r="U217" s="339"/>
      <c r="V217" s="339"/>
      <c r="W217" s="339"/>
      <c r="X217" s="339"/>
      <c r="Y217" s="339"/>
      <c r="Z217" s="339"/>
    </row>
    <row r="218" spans="1:26" ht="24" customHeight="1">
      <c r="A218" s="336"/>
      <c r="B218" s="336"/>
      <c r="C218" s="336"/>
      <c r="D218" s="336"/>
      <c r="E218" s="336"/>
      <c r="F218" s="336"/>
      <c r="G218" s="336"/>
      <c r="H218" s="336"/>
      <c r="I218" s="338"/>
      <c r="J218" s="336"/>
      <c r="K218" s="336"/>
      <c r="L218" s="336"/>
      <c r="M218" s="336"/>
      <c r="N218" s="336"/>
      <c r="O218" s="338"/>
      <c r="P218" s="337"/>
      <c r="Q218" s="339"/>
      <c r="R218" s="339"/>
      <c r="S218" s="339"/>
      <c r="T218" s="339"/>
      <c r="U218" s="339"/>
      <c r="V218" s="339"/>
      <c r="W218" s="339"/>
      <c r="X218" s="339"/>
      <c r="Y218" s="339"/>
      <c r="Z218" s="339"/>
    </row>
    <row r="219" spans="1:26" ht="24" customHeight="1">
      <c r="A219" s="336"/>
      <c r="B219" s="336"/>
      <c r="C219" s="336"/>
      <c r="D219" s="336"/>
      <c r="E219" s="336"/>
      <c r="F219" s="336"/>
      <c r="G219" s="336"/>
      <c r="H219" s="336"/>
      <c r="I219" s="338"/>
      <c r="J219" s="336"/>
      <c r="K219" s="336"/>
      <c r="L219" s="336"/>
      <c r="M219" s="336"/>
      <c r="N219" s="336"/>
      <c r="O219" s="338"/>
      <c r="P219" s="337"/>
      <c r="Q219" s="339"/>
      <c r="R219" s="339"/>
      <c r="S219" s="339"/>
      <c r="T219" s="339"/>
      <c r="U219" s="339"/>
      <c r="V219" s="339"/>
      <c r="W219" s="339"/>
      <c r="X219" s="339"/>
      <c r="Y219" s="339"/>
      <c r="Z219" s="339"/>
    </row>
    <row r="220" spans="1:26" ht="24" customHeight="1">
      <c r="A220" s="336"/>
      <c r="B220" s="336"/>
      <c r="C220" s="336"/>
      <c r="D220" s="336"/>
      <c r="E220" s="336"/>
      <c r="F220" s="336"/>
      <c r="G220" s="336"/>
      <c r="H220" s="336"/>
      <c r="I220" s="338"/>
      <c r="J220" s="336"/>
      <c r="K220" s="336"/>
      <c r="L220" s="336"/>
      <c r="M220" s="336"/>
      <c r="N220" s="336"/>
      <c r="O220" s="338"/>
      <c r="P220" s="337"/>
      <c r="Q220" s="339"/>
      <c r="R220" s="339"/>
      <c r="S220" s="339"/>
      <c r="T220" s="339"/>
      <c r="U220" s="339"/>
      <c r="V220" s="339"/>
      <c r="W220" s="339"/>
      <c r="X220" s="339"/>
      <c r="Y220" s="339"/>
      <c r="Z220" s="339"/>
    </row>
    <row r="221" spans="1:26" ht="24" customHeight="1">
      <c r="A221" s="336"/>
      <c r="B221" s="336"/>
      <c r="C221" s="336"/>
      <c r="D221" s="336"/>
      <c r="E221" s="336"/>
      <c r="F221" s="336"/>
      <c r="G221" s="336"/>
      <c r="H221" s="336"/>
      <c r="I221" s="338"/>
      <c r="J221" s="336"/>
      <c r="K221" s="336"/>
      <c r="L221" s="336"/>
      <c r="M221" s="336"/>
      <c r="N221" s="336"/>
      <c r="O221" s="338"/>
      <c r="P221" s="337"/>
      <c r="Q221" s="339"/>
      <c r="R221" s="339"/>
      <c r="S221" s="339"/>
      <c r="T221" s="339"/>
      <c r="U221" s="339"/>
      <c r="V221" s="339"/>
      <c r="W221" s="339"/>
      <c r="X221" s="339"/>
      <c r="Y221" s="339"/>
      <c r="Z221" s="339"/>
    </row>
    <row r="222" spans="1:26" ht="24" customHeight="1">
      <c r="A222" s="336"/>
      <c r="B222" s="336"/>
      <c r="C222" s="336"/>
      <c r="D222" s="336"/>
      <c r="E222" s="336"/>
      <c r="F222" s="336"/>
      <c r="G222" s="336"/>
      <c r="H222" s="336"/>
      <c r="I222" s="338"/>
      <c r="J222" s="336"/>
      <c r="K222" s="336"/>
      <c r="L222" s="336"/>
      <c r="M222" s="336"/>
      <c r="N222" s="336"/>
      <c r="O222" s="338"/>
      <c r="P222" s="337"/>
      <c r="Q222" s="339"/>
      <c r="R222" s="339"/>
      <c r="S222" s="339"/>
      <c r="T222" s="339"/>
      <c r="U222" s="339"/>
      <c r="V222" s="339"/>
      <c r="W222" s="339"/>
      <c r="X222" s="339"/>
      <c r="Y222" s="339"/>
      <c r="Z222" s="339"/>
    </row>
    <row r="223" spans="1:26" ht="24" customHeight="1">
      <c r="A223" s="336"/>
      <c r="B223" s="336"/>
      <c r="C223" s="336"/>
      <c r="D223" s="336"/>
      <c r="E223" s="336"/>
      <c r="F223" s="336"/>
      <c r="G223" s="336"/>
      <c r="H223" s="336"/>
      <c r="I223" s="338"/>
      <c r="J223" s="336"/>
      <c r="K223" s="336"/>
      <c r="L223" s="336"/>
      <c r="M223" s="336"/>
      <c r="N223" s="336"/>
      <c r="O223" s="338"/>
      <c r="P223" s="337"/>
      <c r="Q223" s="339"/>
      <c r="R223" s="339"/>
      <c r="S223" s="339"/>
      <c r="T223" s="339"/>
      <c r="U223" s="339"/>
      <c r="V223" s="339"/>
      <c r="W223" s="339"/>
      <c r="X223" s="339"/>
      <c r="Y223" s="339"/>
      <c r="Z223" s="339"/>
    </row>
    <row r="224" spans="1:26" ht="24" customHeight="1">
      <c r="A224" s="336"/>
      <c r="B224" s="336"/>
      <c r="C224" s="336"/>
      <c r="D224" s="336"/>
      <c r="E224" s="336"/>
      <c r="F224" s="336"/>
      <c r="G224" s="336"/>
      <c r="H224" s="336"/>
      <c r="I224" s="338"/>
      <c r="J224" s="336"/>
      <c r="K224" s="336"/>
      <c r="L224" s="336"/>
      <c r="M224" s="336"/>
      <c r="N224" s="336"/>
      <c r="O224" s="338"/>
      <c r="P224" s="337"/>
      <c r="Q224" s="339"/>
      <c r="R224" s="339"/>
      <c r="S224" s="339"/>
      <c r="T224" s="339"/>
      <c r="U224" s="339"/>
      <c r="V224" s="339"/>
      <c r="W224" s="339"/>
      <c r="X224" s="339"/>
      <c r="Y224" s="339"/>
      <c r="Z224" s="339"/>
    </row>
    <row r="225" spans="1:26" ht="24" customHeight="1">
      <c r="A225" s="336"/>
      <c r="B225" s="336"/>
      <c r="C225" s="336"/>
      <c r="D225" s="336"/>
      <c r="E225" s="336"/>
      <c r="F225" s="336"/>
      <c r="G225" s="336"/>
      <c r="H225" s="336"/>
      <c r="I225" s="338"/>
      <c r="J225" s="336"/>
      <c r="K225" s="336"/>
      <c r="L225" s="336"/>
      <c r="M225" s="336"/>
      <c r="N225" s="336"/>
      <c r="O225" s="338"/>
      <c r="P225" s="337"/>
      <c r="Q225" s="339"/>
      <c r="R225" s="339"/>
      <c r="S225" s="339"/>
      <c r="T225" s="339"/>
      <c r="U225" s="339"/>
      <c r="V225" s="339"/>
      <c r="W225" s="339"/>
      <c r="X225" s="339"/>
      <c r="Y225" s="339"/>
      <c r="Z225" s="339"/>
    </row>
    <row r="226" spans="1:26" ht="24" customHeight="1">
      <c r="A226" s="336"/>
      <c r="B226" s="336"/>
      <c r="C226" s="336"/>
      <c r="D226" s="336"/>
      <c r="E226" s="336"/>
      <c r="F226" s="336"/>
      <c r="G226" s="336"/>
      <c r="H226" s="336"/>
      <c r="I226" s="338"/>
      <c r="J226" s="336"/>
      <c r="K226" s="336"/>
      <c r="L226" s="336"/>
      <c r="M226" s="336"/>
      <c r="N226" s="336"/>
      <c r="O226" s="338"/>
      <c r="P226" s="337"/>
      <c r="Q226" s="339"/>
      <c r="R226" s="339"/>
      <c r="S226" s="339"/>
      <c r="T226" s="339"/>
      <c r="U226" s="339"/>
      <c r="V226" s="339"/>
      <c r="W226" s="339"/>
      <c r="X226" s="339"/>
      <c r="Y226" s="339"/>
      <c r="Z226" s="339"/>
    </row>
    <row r="227" spans="1:26" ht="24" customHeight="1">
      <c r="A227" s="336"/>
      <c r="B227" s="336"/>
      <c r="C227" s="336"/>
      <c r="D227" s="336"/>
      <c r="E227" s="336"/>
      <c r="F227" s="336"/>
      <c r="G227" s="336"/>
      <c r="H227" s="336"/>
      <c r="I227" s="338"/>
      <c r="J227" s="336"/>
      <c r="K227" s="336"/>
      <c r="L227" s="336"/>
      <c r="M227" s="336"/>
      <c r="N227" s="336"/>
      <c r="O227" s="338"/>
      <c r="P227" s="337"/>
      <c r="Q227" s="339"/>
      <c r="R227" s="339"/>
      <c r="S227" s="339"/>
      <c r="T227" s="339"/>
      <c r="U227" s="339"/>
      <c r="V227" s="339"/>
      <c r="W227" s="339"/>
      <c r="X227" s="339"/>
      <c r="Y227" s="339"/>
      <c r="Z227" s="339"/>
    </row>
    <row r="228" spans="1:26" ht="24" customHeight="1">
      <c r="A228" s="336"/>
      <c r="B228" s="336"/>
      <c r="C228" s="336"/>
      <c r="D228" s="336"/>
      <c r="E228" s="336"/>
      <c r="F228" s="336"/>
      <c r="G228" s="336"/>
      <c r="H228" s="336"/>
      <c r="I228" s="338"/>
      <c r="J228" s="336"/>
      <c r="K228" s="336"/>
      <c r="L228" s="336"/>
      <c r="M228" s="336"/>
      <c r="N228" s="336"/>
      <c r="O228" s="338"/>
      <c r="P228" s="337"/>
      <c r="Q228" s="339"/>
      <c r="R228" s="339"/>
      <c r="S228" s="339"/>
      <c r="T228" s="339"/>
      <c r="U228" s="339"/>
      <c r="V228" s="339"/>
      <c r="W228" s="339"/>
      <c r="X228" s="339"/>
      <c r="Y228" s="339"/>
      <c r="Z228" s="339"/>
    </row>
    <row r="229" spans="1:26" ht="24" customHeight="1">
      <c r="A229" s="336"/>
      <c r="B229" s="336"/>
      <c r="C229" s="336"/>
      <c r="D229" s="336"/>
      <c r="E229" s="336"/>
      <c r="F229" s="336"/>
      <c r="G229" s="336"/>
      <c r="H229" s="336"/>
      <c r="I229" s="338"/>
      <c r="J229" s="336"/>
      <c r="K229" s="336"/>
      <c r="L229" s="336"/>
      <c r="M229" s="336"/>
      <c r="N229" s="336"/>
      <c r="O229" s="338"/>
      <c r="P229" s="337"/>
      <c r="Q229" s="339"/>
      <c r="R229" s="339"/>
      <c r="S229" s="339"/>
      <c r="T229" s="339"/>
      <c r="U229" s="339"/>
      <c r="V229" s="339"/>
      <c r="W229" s="339"/>
      <c r="X229" s="339"/>
      <c r="Y229" s="339"/>
      <c r="Z229" s="339"/>
    </row>
    <row r="230" spans="1:26" ht="24" customHeight="1">
      <c r="A230" s="336"/>
      <c r="B230" s="336"/>
      <c r="C230" s="336"/>
      <c r="D230" s="336"/>
      <c r="E230" s="336"/>
      <c r="F230" s="336"/>
      <c r="G230" s="336"/>
      <c r="H230" s="336"/>
      <c r="I230" s="338"/>
      <c r="J230" s="336"/>
      <c r="K230" s="336"/>
      <c r="L230" s="336"/>
      <c r="M230" s="336"/>
      <c r="N230" s="336"/>
      <c r="O230" s="338"/>
      <c r="P230" s="337"/>
      <c r="Q230" s="339"/>
      <c r="R230" s="339"/>
      <c r="S230" s="339"/>
      <c r="T230" s="339"/>
      <c r="U230" s="339"/>
      <c r="V230" s="339"/>
      <c r="W230" s="339"/>
      <c r="X230" s="339"/>
      <c r="Y230" s="339"/>
      <c r="Z230" s="339"/>
    </row>
    <row r="231" spans="1:26" ht="24" customHeight="1">
      <c r="A231" s="336"/>
      <c r="B231" s="336"/>
      <c r="C231" s="336"/>
      <c r="D231" s="336"/>
      <c r="E231" s="336"/>
      <c r="F231" s="336"/>
      <c r="G231" s="336"/>
      <c r="H231" s="336"/>
      <c r="I231" s="338"/>
      <c r="J231" s="336"/>
      <c r="K231" s="336"/>
      <c r="L231" s="336"/>
      <c r="M231" s="336"/>
      <c r="N231" s="336"/>
      <c r="O231" s="338"/>
      <c r="P231" s="337"/>
      <c r="Q231" s="339"/>
      <c r="R231" s="339"/>
      <c r="S231" s="339"/>
      <c r="T231" s="339"/>
      <c r="U231" s="339"/>
      <c r="V231" s="339"/>
      <c r="W231" s="339"/>
      <c r="X231" s="339"/>
      <c r="Y231" s="339"/>
      <c r="Z231" s="339"/>
    </row>
    <row r="232" spans="1:26" ht="24" customHeight="1">
      <c r="A232" s="336"/>
      <c r="B232" s="336"/>
      <c r="C232" s="336"/>
      <c r="D232" s="336"/>
      <c r="E232" s="336"/>
      <c r="F232" s="336"/>
      <c r="G232" s="336"/>
      <c r="H232" s="336"/>
      <c r="I232" s="338"/>
      <c r="J232" s="336"/>
      <c r="K232" s="336"/>
      <c r="L232" s="336"/>
      <c r="M232" s="336"/>
      <c r="N232" s="336"/>
      <c r="O232" s="338"/>
      <c r="P232" s="337"/>
      <c r="Q232" s="339"/>
      <c r="R232" s="339"/>
      <c r="S232" s="339"/>
      <c r="T232" s="339"/>
      <c r="U232" s="339"/>
      <c r="V232" s="339"/>
      <c r="W232" s="339"/>
      <c r="X232" s="339"/>
      <c r="Y232" s="339"/>
      <c r="Z232" s="339"/>
    </row>
    <row r="233" spans="1:26" ht="24" customHeight="1">
      <c r="A233" s="336"/>
      <c r="B233" s="336"/>
      <c r="C233" s="336"/>
      <c r="D233" s="336"/>
      <c r="E233" s="336"/>
      <c r="F233" s="336"/>
      <c r="G233" s="336"/>
      <c r="H233" s="336"/>
      <c r="I233" s="338"/>
      <c r="J233" s="336"/>
      <c r="K233" s="336"/>
      <c r="L233" s="336"/>
      <c r="M233" s="336"/>
      <c r="N233" s="336"/>
      <c r="O233" s="338"/>
      <c r="P233" s="337"/>
      <c r="Q233" s="339"/>
      <c r="R233" s="339"/>
      <c r="S233" s="339"/>
      <c r="T233" s="339"/>
      <c r="U233" s="339"/>
      <c r="V233" s="339"/>
      <c r="W233" s="339"/>
      <c r="X233" s="339"/>
      <c r="Y233" s="339"/>
      <c r="Z233" s="339"/>
    </row>
    <row r="234" spans="1:26" ht="24" customHeight="1">
      <c r="A234" s="336"/>
      <c r="B234" s="336"/>
      <c r="C234" s="336"/>
      <c r="D234" s="336"/>
      <c r="E234" s="336"/>
      <c r="F234" s="336"/>
      <c r="G234" s="336"/>
      <c r="H234" s="336"/>
      <c r="I234" s="338"/>
      <c r="J234" s="336"/>
      <c r="K234" s="336"/>
      <c r="L234" s="336"/>
      <c r="M234" s="336"/>
      <c r="N234" s="336"/>
      <c r="O234" s="338"/>
      <c r="P234" s="337"/>
      <c r="Q234" s="339"/>
      <c r="R234" s="339"/>
      <c r="S234" s="339"/>
      <c r="T234" s="339"/>
      <c r="U234" s="339"/>
      <c r="V234" s="339"/>
      <c r="W234" s="339"/>
      <c r="X234" s="339"/>
      <c r="Y234" s="339"/>
      <c r="Z234" s="339"/>
    </row>
    <row r="235" spans="1:26" ht="24" customHeight="1">
      <c r="A235" s="336"/>
      <c r="B235" s="336"/>
      <c r="C235" s="336"/>
      <c r="D235" s="336"/>
      <c r="E235" s="336"/>
      <c r="F235" s="336"/>
      <c r="G235" s="336"/>
      <c r="H235" s="336"/>
      <c r="I235" s="338"/>
      <c r="J235" s="336"/>
      <c r="K235" s="336"/>
      <c r="L235" s="336"/>
      <c r="M235" s="336"/>
      <c r="N235" s="336"/>
      <c r="O235" s="338"/>
      <c r="P235" s="337"/>
      <c r="Q235" s="339"/>
      <c r="R235" s="339"/>
      <c r="S235" s="339"/>
      <c r="T235" s="339"/>
      <c r="U235" s="339"/>
      <c r="V235" s="339"/>
      <c r="W235" s="339"/>
      <c r="X235" s="339"/>
      <c r="Y235" s="339"/>
      <c r="Z235" s="339"/>
    </row>
    <row r="236" spans="1:26" ht="24" customHeight="1">
      <c r="A236" s="336"/>
      <c r="B236" s="336"/>
      <c r="C236" s="336"/>
      <c r="D236" s="336"/>
      <c r="E236" s="336"/>
      <c r="F236" s="336"/>
      <c r="G236" s="336"/>
      <c r="H236" s="336"/>
      <c r="I236" s="338"/>
      <c r="J236" s="336"/>
      <c r="K236" s="336"/>
      <c r="L236" s="336"/>
      <c r="M236" s="336"/>
      <c r="N236" s="336"/>
      <c r="O236" s="338"/>
      <c r="P236" s="337"/>
      <c r="Q236" s="339"/>
      <c r="R236" s="339"/>
      <c r="S236" s="339"/>
      <c r="T236" s="339"/>
      <c r="U236" s="339"/>
      <c r="V236" s="339"/>
      <c r="W236" s="339"/>
      <c r="X236" s="339"/>
      <c r="Y236" s="339"/>
      <c r="Z236" s="339"/>
    </row>
    <row r="237" spans="1:26" ht="24" customHeight="1">
      <c r="A237" s="336"/>
      <c r="B237" s="336"/>
      <c r="C237" s="336"/>
      <c r="D237" s="336"/>
      <c r="E237" s="336"/>
      <c r="F237" s="336"/>
      <c r="G237" s="336"/>
      <c r="H237" s="336"/>
      <c r="I237" s="338"/>
      <c r="J237" s="336"/>
      <c r="K237" s="336"/>
      <c r="L237" s="336"/>
      <c r="M237" s="336"/>
      <c r="N237" s="336"/>
      <c r="O237" s="338"/>
      <c r="P237" s="337"/>
      <c r="Q237" s="339"/>
      <c r="R237" s="339"/>
      <c r="S237" s="339"/>
      <c r="T237" s="339"/>
      <c r="U237" s="339"/>
      <c r="V237" s="339"/>
      <c r="W237" s="339"/>
      <c r="X237" s="339"/>
      <c r="Y237" s="339"/>
      <c r="Z237" s="339"/>
    </row>
    <row r="238" spans="1:26" ht="24" customHeight="1">
      <c r="A238" s="336"/>
      <c r="B238" s="336"/>
      <c r="C238" s="336"/>
      <c r="D238" s="336"/>
      <c r="E238" s="336"/>
      <c r="F238" s="336"/>
      <c r="G238" s="336"/>
      <c r="H238" s="336"/>
      <c r="I238" s="338"/>
      <c r="J238" s="336"/>
      <c r="K238" s="336"/>
      <c r="L238" s="336"/>
      <c r="M238" s="336"/>
      <c r="N238" s="336"/>
      <c r="O238" s="338"/>
      <c r="P238" s="337"/>
      <c r="Q238" s="339"/>
      <c r="R238" s="339"/>
      <c r="S238" s="339"/>
      <c r="T238" s="339"/>
      <c r="U238" s="339"/>
      <c r="V238" s="339"/>
      <c r="W238" s="339"/>
      <c r="X238" s="339"/>
      <c r="Y238" s="339"/>
      <c r="Z238" s="339"/>
    </row>
    <row r="239" spans="1:26" ht="24" customHeight="1">
      <c r="A239" s="336"/>
      <c r="B239" s="336"/>
      <c r="C239" s="336"/>
      <c r="D239" s="336"/>
      <c r="E239" s="336"/>
      <c r="F239" s="336"/>
      <c r="G239" s="336"/>
      <c r="H239" s="336"/>
      <c r="I239" s="338"/>
      <c r="J239" s="336"/>
      <c r="K239" s="336"/>
      <c r="L239" s="336"/>
      <c r="M239" s="336"/>
      <c r="N239" s="336"/>
      <c r="O239" s="338"/>
      <c r="P239" s="337"/>
      <c r="Q239" s="339"/>
      <c r="R239" s="339"/>
      <c r="S239" s="339"/>
      <c r="T239" s="339"/>
      <c r="U239" s="339"/>
      <c r="V239" s="339"/>
      <c r="W239" s="339"/>
      <c r="X239" s="339"/>
      <c r="Y239" s="339"/>
      <c r="Z239" s="339"/>
    </row>
    <row r="240" spans="1:26" ht="24" customHeight="1">
      <c r="A240" s="336"/>
      <c r="B240" s="336"/>
      <c r="C240" s="336"/>
      <c r="D240" s="336"/>
      <c r="E240" s="336"/>
      <c r="F240" s="336"/>
      <c r="G240" s="336"/>
      <c r="H240" s="336"/>
      <c r="I240" s="338"/>
      <c r="J240" s="336"/>
      <c r="K240" s="336"/>
      <c r="L240" s="336"/>
      <c r="M240" s="336"/>
      <c r="N240" s="336"/>
      <c r="O240" s="338"/>
      <c r="P240" s="337"/>
      <c r="Q240" s="339"/>
      <c r="R240" s="339"/>
      <c r="S240" s="339"/>
      <c r="T240" s="339"/>
      <c r="U240" s="339"/>
      <c r="V240" s="339"/>
      <c r="W240" s="339"/>
      <c r="X240" s="339"/>
      <c r="Y240" s="339"/>
      <c r="Z240" s="339"/>
    </row>
    <row r="241" spans="1:26" ht="24" customHeight="1">
      <c r="A241" s="336"/>
      <c r="B241" s="336"/>
      <c r="C241" s="336"/>
      <c r="D241" s="336"/>
      <c r="E241" s="336"/>
      <c r="F241" s="336"/>
      <c r="G241" s="336"/>
      <c r="H241" s="336"/>
      <c r="I241" s="338"/>
      <c r="J241" s="336"/>
      <c r="K241" s="336"/>
      <c r="L241" s="336"/>
      <c r="M241" s="336"/>
      <c r="N241" s="336"/>
      <c r="O241" s="338"/>
      <c r="P241" s="337"/>
      <c r="Q241" s="339"/>
      <c r="R241" s="339"/>
      <c r="S241" s="339"/>
      <c r="T241" s="339"/>
      <c r="U241" s="339"/>
      <c r="V241" s="339"/>
      <c r="W241" s="339"/>
      <c r="X241" s="339"/>
      <c r="Y241" s="339"/>
      <c r="Z241" s="339"/>
    </row>
    <row r="242" spans="1:26" ht="24" customHeight="1">
      <c r="A242" s="336"/>
      <c r="B242" s="336"/>
      <c r="C242" s="336"/>
      <c r="D242" s="336"/>
      <c r="E242" s="336"/>
      <c r="F242" s="336"/>
      <c r="G242" s="336"/>
      <c r="H242" s="336"/>
      <c r="I242" s="338"/>
      <c r="J242" s="336"/>
      <c r="K242" s="336"/>
      <c r="L242" s="336"/>
      <c r="M242" s="336"/>
      <c r="N242" s="336"/>
      <c r="O242" s="338"/>
      <c r="P242" s="337"/>
      <c r="Q242" s="339"/>
      <c r="R242" s="339"/>
      <c r="S242" s="339"/>
      <c r="T242" s="339"/>
      <c r="U242" s="339"/>
      <c r="V242" s="339"/>
      <c r="W242" s="339"/>
      <c r="X242" s="339"/>
      <c r="Y242" s="339"/>
      <c r="Z242" s="339"/>
    </row>
    <row r="243" spans="1:26" ht="24" customHeight="1">
      <c r="A243" s="336"/>
      <c r="B243" s="336"/>
      <c r="C243" s="336"/>
      <c r="D243" s="336"/>
      <c r="E243" s="336"/>
      <c r="F243" s="336"/>
      <c r="G243" s="336"/>
      <c r="H243" s="336"/>
      <c r="I243" s="338"/>
      <c r="J243" s="336"/>
      <c r="K243" s="336"/>
      <c r="L243" s="336"/>
      <c r="M243" s="336"/>
      <c r="N243" s="336"/>
      <c r="O243" s="338"/>
      <c r="P243" s="337"/>
      <c r="Q243" s="339"/>
      <c r="R243" s="339"/>
      <c r="S243" s="339"/>
      <c r="T243" s="339"/>
      <c r="U243" s="339"/>
      <c r="V243" s="339"/>
      <c r="W243" s="339"/>
      <c r="X243" s="339"/>
      <c r="Y243" s="339"/>
      <c r="Z243" s="339"/>
    </row>
    <row r="244" spans="1:26" ht="24" customHeight="1">
      <c r="A244" s="336"/>
      <c r="B244" s="336"/>
      <c r="C244" s="336"/>
      <c r="D244" s="336"/>
      <c r="E244" s="336"/>
      <c r="F244" s="336"/>
      <c r="G244" s="336"/>
      <c r="H244" s="336"/>
      <c r="I244" s="338"/>
      <c r="J244" s="336"/>
      <c r="K244" s="336"/>
      <c r="L244" s="336"/>
      <c r="M244" s="336"/>
      <c r="N244" s="336"/>
      <c r="O244" s="338"/>
      <c r="P244" s="337"/>
      <c r="Q244" s="339"/>
      <c r="R244" s="339"/>
      <c r="S244" s="339"/>
      <c r="T244" s="339"/>
      <c r="U244" s="339"/>
      <c r="V244" s="339"/>
      <c r="W244" s="339"/>
      <c r="X244" s="339"/>
      <c r="Y244" s="339"/>
      <c r="Z244" s="339"/>
    </row>
    <row r="245" spans="1:26" ht="24" customHeight="1">
      <c r="A245" s="336"/>
      <c r="B245" s="336"/>
      <c r="C245" s="336"/>
      <c r="D245" s="336"/>
      <c r="E245" s="336"/>
      <c r="F245" s="336"/>
      <c r="G245" s="336"/>
      <c r="H245" s="336"/>
      <c r="I245" s="338"/>
      <c r="J245" s="336"/>
      <c r="K245" s="336"/>
      <c r="L245" s="336"/>
      <c r="M245" s="336"/>
      <c r="N245" s="336"/>
      <c r="O245" s="338"/>
      <c r="P245" s="337"/>
      <c r="Q245" s="339"/>
      <c r="R245" s="339"/>
      <c r="S245" s="339"/>
      <c r="T245" s="339"/>
      <c r="U245" s="339"/>
      <c r="V245" s="339"/>
      <c r="W245" s="339"/>
      <c r="X245" s="339"/>
      <c r="Y245" s="339"/>
      <c r="Z245" s="339"/>
    </row>
    <row r="246" spans="1:26" ht="24" customHeight="1">
      <c r="A246" s="336"/>
      <c r="B246" s="336"/>
      <c r="C246" s="336"/>
      <c r="D246" s="336"/>
      <c r="E246" s="336"/>
      <c r="F246" s="336"/>
      <c r="G246" s="336"/>
      <c r="H246" s="336"/>
      <c r="I246" s="338"/>
      <c r="J246" s="336"/>
      <c r="K246" s="336"/>
      <c r="L246" s="336"/>
      <c r="M246" s="336"/>
      <c r="N246" s="336"/>
      <c r="O246" s="338"/>
      <c r="P246" s="337"/>
      <c r="Q246" s="339"/>
      <c r="R246" s="339"/>
      <c r="S246" s="339"/>
      <c r="T246" s="339"/>
      <c r="U246" s="339"/>
      <c r="V246" s="339"/>
      <c r="W246" s="339"/>
      <c r="X246" s="339"/>
      <c r="Y246" s="339"/>
      <c r="Z246" s="339"/>
    </row>
    <row r="247" spans="1:26" ht="24" customHeight="1">
      <c r="A247" s="336"/>
      <c r="B247" s="336"/>
      <c r="C247" s="336"/>
      <c r="D247" s="336"/>
      <c r="E247" s="336"/>
      <c r="F247" s="336"/>
      <c r="G247" s="336"/>
      <c r="H247" s="336"/>
      <c r="I247" s="338"/>
      <c r="J247" s="336"/>
      <c r="K247" s="336"/>
      <c r="L247" s="336"/>
      <c r="M247" s="336"/>
      <c r="N247" s="336"/>
      <c r="O247" s="338"/>
      <c r="P247" s="337"/>
      <c r="Q247" s="339"/>
      <c r="R247" s="339"/>
      <c r="S247" s="339"/>
      <c r="T247" s="339"/>
      <c r="U247" s="339"/>
      <c r="V247" s="339"/>
      <c r="W247" s="339"/>
      <c r="X247" s="339"/>
      <c r="Y247" s="339"/>
      <c r="Z247" s="339"/>
    </row>
    <row r="248" spans="1:26" ht="24" customHeight="1">
      <c r="A248" s="336"/>
      <c r="B248" s="336"/>
      <c r="C248" s="336"/>
      <c r="D248" s="336"/>
      <c r="E248" s="336"/>
      <c r="F248" s="336"/>
      <c r="G248" s="336"/>
      <c r="H248" s="336"/>
      <c r="I248" s="338"/>
      <c r="J248" s="336"/>
      <c r="K248" s="336"/>
      <c r="L248" s="336"/>
      <c r="M248" s="336"/>
      <c r="N248" s="336"/>
      <c r="O248" s="338"/>
      <c r="P248" s="337"/>
      <c r="Q248" s="339"/>
      <c r="R248" s="339"/>
      <c r="S248" s="339"/>
      <c r="T248" s="339"/>
      <c r="U248" s="339"/>
      <c r="V248" s="339"/>
      <c r="W248" s="339"/>
      <c r="X248" s="339"/>
      <c r="Y248" s="339"/>
      <c r="Z248" s="339"/>
    </row>
    <row r="249" spans="1:26" ht="24" customHeight="1">
      <c r="A249" s="336"/>
      <c r="B249" s="336"/>
      <c r="C249" s="336"/>
      <c r="D249" s="336"/>
      <c r="E249" s="336"/>
      <c r="F249" s="336"/>
      <c r="G249" s="336"/>
      <c r="H249" s="336"/>
      <c r="I249" s="338"/>
      <c r="J249" s="336"/>
      <c r="K249" s="336"/>
      <c r="L249" s="336"/>
      <c r="M249" s="336"/>
      <c r="N249" s="336"/>
      <c r="O249" s="338"/>
      <c r="P249" s="337"/>
      <c r="Q249" s="339"/>
      <c r="R249" s="339"/>
      <c r="S249" s="339"/>
      <c r="T249" s="339"/>
      <c r="U249" s="339"/>
      <c r="V249" s="339"/>
      <c r="W249" s="339"/>
      <c r="X249" s="339"/>
      <c r="Y249" s="339"/>
      <c r="Z249" s="339"/>
    </row>
    <row r="250" spans="1:26" ht="24" customHeight="1">
      <c r="A250" s="336"/>
      <c r="B250" s="336"/>
      <c r="C250" s="336"/>
      <c r="D250" s="336"/>
      <c r="E250" s="336"/>
      <c r="F250" s="336"/>
      <c r="G250" s="336"/>
      <c r="H250" s="336"/>
      <c r="I250" s="338"/>
      <c r="J250" s="336"/>
      <c r="K250" s="336"/>
      <c r="L250" s="336"/>
      <c r="M250" s="336"/>
      <c r="N250" s="336"/>
      <c r="O250" s="338"/>
      <c r="P250" s="337"/>
      <c r="Q250" s="339"/>
      <c r="R250" s="339"/>
      <c r="S250" s="339"/>
      <c r="T250" s="339"/>
      <c r="U250" s="339"/>
      <c r="V250" s="339"/>
      <c r="W250" s="339"/>
      <c r="X250" s="339"/>
      <c r="Y250" s="339"/>
      <c r="Z250" s="339"/>
    </row>
    <row r="251" spans="1:26" ht="24" customHeight="1">
      <c r="A251" s="336"/>
      <c r="B251" s="336"/>
      <c r="C251" s="336"/>
      <c r="D251" s="336"/>
      <c r="E251" s="336"/>
      <c r="F251" s="336"/>
      <c r="G251" s="336"/>
      <c r="H251" s="336"/>
      <c r="I251" s="338"/>
      <c r="J251" s="336"/>
      <c r="K251" s="336"/>
      <c r="L251" s="336"/>
      <c r="M251" s="336"/>
      <c r="N251" s="336"/>
      <c r="O251" s="338"/>
      <c r="P251" s="337"/>
      <c r="Q251" s="339"/>
      <c r="R251" s="339"/>
      <c r="S251" s="339"/>
      <c r="T251" s="339"/>
      <c r="U251" s="339"/>
      <c r="V251" s="339"/>
      <c r="W251" s="339"/>
      <c r="X251" s="339"/>
      <c r="Y251" s="339"/>
      <c r="Z251" s="339"/>
    </row>
    <row r="252" spans="1:26" ht="24" customHeight="1">
      <c r="A252" s="336"/>
      <c r="B252" s="336"/>
      <c r="C252" s="336"/>
      <c r="D252" s="336"/>
      <c r="E252" s="336"/>
      <c r="F252" s="336"/>
      <c r="G252" s="336"/>
      <c r="H252" s="336"/>
      <c r="I252" s="338"/>
      <c r="J252" s="336"/>
      <c r="K252" s="336"/>
      <c r="L252" s="336"/>
      <c r="M252" s="336"/>
      <c r="N252" s="336"/>
      <c r="O252" s="338"/>
      <c r="P252" s="337"/>
      <c r="Q252" s="339"/>
      <c r="R252" s="339"/>
      <c r="S252" s="339"/>
      <c r="T252" s="339"/>
      <c r="U252" s="339"/>
      <c r="V252" s="339"/>
      <c r="W252" s="339"/>
      <c r="X252" s="339"/>
      <c r="Y252" s="339"/>
      <c r="Z252" s="339"/>
    </row>
    <row r="253" spans="1:26" ht="24" customHeight="1">
      <c r="A253" s="336"/>
      <c r="B253" s="336"/>
      <c r="C253" s="336"/>
      <c r="D253" s="336"/>
      <c r="E253" s="336"/>
      <c r="F253" s="336"/>
      <c r="G253" s="336"/>
      <c r="H253" s="336"/>
      <c r="I253" s="338"/>
      <c r="J253" s="336"/>
      <c r="K253" s="336"/>
      <c r="L253" s="336"/>
      <c r="M253" s="336"/>
      <c r="N253" s="336"/>
      <c r="O253" s="338"/>
      <c r="P253" s="337"/>
      <c r="Q253" s="339"/>
      <c r="R253" s="339"/>
      <c r="S253" s="339"/>
      <c r="T253" s="339"/>
      <c r="U253" s="339"/>
      <c r="V253" s="339"/>
      <c r="W253" s="339"/>
      <c r="X253" s="339"/>
      <c r="Y253" s="339"/>
      <c r="Z253" s="339"/>
    </row>
    <row r="254" spans="1:26" ht="24" customHeight="1">
      <c r="A254" s="336"/>
      <c r="B254" s="336"/>
      <c r="C254" s="336"/>
      <c r="D254" s="336"/>
      <c r="E254" s="336"/>
      <c r="F254" s="336"/>
      <c r="G254" s="336"/>
      <c r="H254" s="336"/>
      <c r="I254" s="338"/>
      <c r="J254" s="336"/>
      <c r="K254" s="336"/>
      <c r="L254" s="336"/>
      <c r="M254" s="336"/>
      <c r="N254" s="336"/>
      <c r="O254" s="338"/>
      <c r="P254" s="337"/>
      <c r="Q254" s="339"/>
      <c r="R254" s="339"/>
      <c r="S254" s="339"/>
      <c r="T254" s="339"/>
      <c r="U254" s="339"/>
      <c r="V254" s="339"/>
      <c r="W254" s="339"/>
      <c r="X254" s="339"/>
      <c r="Y254" s="339"/>
      <c r="Z254" s="339"/>
    </row>
    <row r="255" spans="1:26" ht="24" customHeight="1">
      <c r="A255" s="336"/>
      <c r="B255" s="336"/>
      <c r="C255" s="336"/>
      <c r="D255" s="336"/>
      <c r="E255" s="336"/>
      <c r="F255" s="336"/>
      <c r="G255" s="336"/>
      <c r="H255" s="336"/>
      <c r="I255" s="338"/>
      <c r="J255" s="336"/>
      <c r="K255" s="336"/>
      <c r="L255" s="336"/>
      <c r="M255" s="336"/>
      <c r="N255" s="336"/>
      <c r="O255" s="338"/>
      <c r="P255" s="337"/>
      <c r="Q255" s="339"/>
      <c r="R255" s="339"/>
      <c r="S255" s="339"/>
      <c r="T255" s="339"/>
      <c r="U255" s="339"/>
      <c r="V255" s="339"/>
      <c r="W255" s="339"/>
      <c r="X255" s="339"/>
      <c r="Y255" s="339"/>
      <c r="Z255" s="339"/>
    </row>
    <row r="256" spans="1:26" ht="24" customHeight="1">
      <c r="A256" s="336"/>
      <c r="B256" s="336"/>
      <c r="C256" s="336"/>
      <c r="D256" s="336"/>
      <c r="E256" s="336"/>
      <c r="F256" s="336"/>
      <c r="G256" s="336"/>
      <c r="H256" s="336"/>
      <c r="I256" s="338"/>
      <c r="J256" s="336"/>
      <c r="K256" s="336"/>
      <c r="L256" s="336"/>
      <c r="M256" s="336"/>
      <c r="N256" s="336"/>
      <c r="O256" s="338"/>
      <c r="P256" s="337"/>
      <c r="Q256" s="339"/>
      <c r="R256" s="339"/>
      <c r="S256" s="339"/>
      <c r="T256" s="339"/>
      <c r="U256" s="339"/>
      <c r="V256" s="339"/>
      <c r="W256" s="339"/>
      <c r="X256" s="339"/>
      <c r="Y256" s="339"/>
      <c r="Z256" s="339"/>
    </row>
    <row r="257" spans="1:26" ht="24" customHeight="1">
      <c r="A257" s="336"/>
      <c r="B257" s="336"/>
      <c r="C257" s="336"/>
      <c r="D257" s="336"/>
      <c r="E257" s="336"/>
      <c r="F257" s="336"/>
      <c r="G257" s="336"/>
      <c r="H257" s="336"/>
      <c r="I257" s="338"/>
      <c r="J257" s="336"/>
      <c r="K257" s="336"/>
      <c r="L257" s="336"/>
      <c r="M257" s="336"/>
      <c r="N257" s="336"/>
      <c r="O257" s="338"/>
      <c r="P257" s="337"/>
      <c r="Q257" s="339"/>
      <c r="R257" s="339"/>
      <c r="S257" s="339"/>
      <c r="T257" s="339"/>
      <c r="U257" s="339"/>
      <c r="V257" s="339"/>
      <c r="W257" s="339"/>
      <c r="X257" s="339"/>
      <c r="Y257" s="339"/>
      <c r="Z257" s="339"/>
    </row>
    <row r="258" spans="1:26" ht="24" customHeight="1">
      <c r="A258" s="336"/>
      <c r="B258" s="336"/>
      <c r="C258" s="336"/>
      <c r="D258" s="336"/>
      <c r="E258" s="336"/>
      <c r="F258" s="336"/>
      <c r="G258" s="336"/>
      <c r="H258" s="336"/>
      <c r="I258" s="338"/>
      <c r="J258" s="336"/>
      <c r="K258" s="336"/>
      <c r="L258" s="336"/>
      <c r="M258" s="336"/>
      <c r="N258" s="336"/>
      <c r="O258" s="338"/>
      <c r="P258" s="337"/>
      <c r="Q258" s="339"/>
      <c r="R258" s="339"/>
      <c r="S258" s="339"/>
      <c r="T258" s="339"/>
      <c r="U258" s="339"/>
      <c r="V258" s="339"/>
      <c r="W258" s="339"/>
      <c r="X258" s="339"/>
      <c r="Y258" s="339"/>
      <c r="Z258" s="339"/>
    </row>
    <row r="259" spans="1:26" ht="24" customHeight="1">
      <c r="A259" s="336"/>
      <c r="B259" s="336"/>
      <c r="C259" s="336"/>
      <c r="D259" s="336"/>
      <c r="E259" s="336"/>
      <c r="F259" s="336"/>
      <c r="G259" s="336"/>
      <c r="H259" s="336"/>
      <c r="I259" s="338"/>
      <c r="J259" s="336"/>
      <c r="K259" s="336"/>
      <c r="L259" s="336"/>
      <c r="M259" s="336"/>
      <c r="N259" s="336"/>
      <c r="O259" s="338"/>
      <c r="P259" s="337"/>
      <c r="Q259" s="339"/>
      <c r="R259" s="339"/>
      <c r="S259" s="339"/>
      <c r="T259" s="339"/>
      <c r="U259" s="339"/>
      <c r="V259" s="339"/>
      <c r="W259" s="339"/>
      <c r="X259" s="339"/>
      <c r="Y259" s="339"/>
      <c r="Z259" s="339"/>
    </row>
    <row r="260" spans="1:26" ht="24" customHeight="1">
      <c r="A260" s="336"/>
      <c r="B260" s="336"/>
      <c r="C260" s="336"/>
      <c r="D260" s="336"/>
      <c r="E260" s="336"/>
      <c r="F260" s="336"/>
      <c r="G260" s="336"/>
      <c r="H260" s="336"/>
      <c r="I260" s="338"/>
      <c r="J260" s="336"/>
      <c r="K260" s="336"/>
      <c r="L260" s="336"/>
      <c r="M260" s="336"/>
      <c r="N260" s="336"/>
      <c r="O260" s="338"/>
      <c r="P260" s="337"/>
      <c r="Q260" s="339"/>
      <c r="R260" s="339"/>
      <c r="S260" s="339"/>
      <c r="T260" s="339"/>
      <c r="U260" s="339"/>
      <c r="V260" s="339"/>
      <c r="W260" s="339"/>
      <c r="X260" s="339"/>
      <c r="Y260" s="339"/>
      <c r="Z260" s="339"/>
    </row>
    <row r="261" spans="1:26" ht="24" customHeight="1">
      <c r="A261" s="336"/>
      <c r="B261" s="336"/>
      <c r="C261" s="336"/>
      <c r="D261" s="336"/>
      <c r="E261" s="336"/>
      <c r="F261" s="336"/>
      <c r="G261" s="336"/>
      <c r="H261" s="336"/>
      <c r="I261" s="338"/>
      <c r="J261" s="336"/>
      <c r="K261" s="336"/>
      <c r="L261" s="336"/>
      <c r="M261" s="336"/>
      <c r="N261" s="336"/>
      <c r="O261" s="338"/>
      <c r="P261" s="337"/>
      <c r="Q261" s="339"/>
      <c r="R261" s="339"/>
      <c r="S261" s="339"/>
      <c r="T261" s="339"/>
      <c r="U261" s="339"/>
      <c r="V261" s="339"/>
      <c r="W261" s="339"/>
      <c r="X261" s="339"/>
      <c r="Y261" s="339"/>
      <c r="Z261" s="339"/>
    </row>
    <row r="262" spans="1:26" ht="24" customHeight="1">
      <c r="A262" s="336"/>
      <c r="B262" s="336"/>
      <c r="C262" s="336"/>
      <c r="D262" s="336"/>
      <c r="E262" s="336"/>
      <c r="F262" s="336"/>
      <c r="G262" s="336"/>
      <c r="H262" s="336"/>
      <c r="I262" s="338"/>
      <c r="J262" s="336"/>
      <c r="K262" s="336"/>
      <c r="L262" s="336"/>
      <c r="M262" s="336"/>
      <c r="N262" s="336"/>
      <c r="O262" s="338"/>
      <c r="P262" s="337"/>
      <c r="Q262" s="339"/>
      <c r="R262" s="339"/>
      <c r="S262" s="339"/>
      <c r="T262" s="339"/>
      <c r="U262" s="339"/>
      <c r="V262" s="339"/>
      <c r="W262" s="339"/>
      <c r="X262" s="339"/>
      <c r="Y262" s="339"/>
      <c r="Z262" s="339"/>
    </row>
    <row r="263" spans="1:26" ht="24" customHeight="1">
      <c r="A263" s="336"/>
      <c r="B263" s="336"/>
      <c r="C263" s="336"/>
      <c r="D263" s="336"/>
      <c r="E263" s="336"/>
      <c r="F263" s="336"/>
      <c r="G263" s="336"/>
      <c r="H263" s="336"/>
      <c r="I263" s="338"/>
      <c r="J263" s="336"/>
      <c r="K263" s="336"/>
      <c r="L263" s="336"/>
      <c r="M263" s="336"/>
      <c r="N263" s="336"/>
      <c r="O263" s="338"/>
      <c r="P263" s="337"/>
      <c r="Q263" s="339"/>
      <c r="R263" s="339"/>
      <c r="S263" s="339"/>
      <c r="T263" s="339"/>
      <c r="U263" s="339"/>
      <c r="V263" s="339"/>
      <c r="W263" s="339"/>
      <c r="X263" s="339"/>
      <c r="Y263" s="339"/>
      <c r="Z263" s="339"/>
    </row>
    <row r="264" spans="1:26" ht="24" customHeight="1">
      <c r="A264" s="336"/>
      <c r="B264" s="336"/>
      <c r="C264" s="336"/>
      <c r="D264" s="336"/>
      <c r="E264" s="336"/>
      <c r="F264" s="336"/>
      <c r="G264" s="336"/>
      <c r="H264" s="336"/>
      <c r="I264" s="338"/>
      <c r="J264" s="336"/>
      <c r="K264" s="336"/>
      <c r="L264" s="336"/>
      <c r="M264" s="336"/>
      <c r="N264" s="336"/>
      <c r="O264" s="338"/>
      <c r="P264" s="337"/>
      <c r="Q264" s="339"/>
      <c r="R264" s="339"/>
      <c r="S264" s="339"/>
      <c r="T264" s="339"/>
      <c r="U264" s="339"/>
      <c r="V264" s="339"/>
      <c r="W264" s="339"/>
      <c r="X264" s="339"/>
      <c r="Y264" s="339"/>
      <c r="Z264" s="339"/>
    </row>
    <row r="265" spans="1:26" ht="24" customHeight="1">
      <c r="A265" s="336"/>
      <c r="B265" s="336"/>
      <c r="C265" s="336"/>
      <c r="D265" s="336"/>
      <c r="E265" s="336"/>
      <c r="F265" s="336"/>
      <c r="G265" s="336"/>
      <c r="H265" s="336"/>
      <c r="I265" s="338"/>
      <c r="J265" s="336"/>
      <c r="K265" s="336"/>
      <c r="L265" s="336"/>
      <c r="M265" s="336"/>
      <c r="N265" s="336"/>
      <c r="O265" s="338"/>
      <c r="P265" s="337"/>
      <c r="Q265" s="339"/>
      <c r="R265" s="339"/>
      <c r="S265" s="339"/>
      <c r="T265" s="339"/>
      <c r="U265" s="339"/>
      <c r="V265" s="339"/>
      <c r="W265" s="339"/>
      <c r="X265" s="339"/>
      <c r="Y265" s="339"/>
      <c r="Z265" s="339"/>
    </row>
    <row r="266" spans="1:26" ht="24" customHeight="1">
      <c r="A266" s="336"/>
      <c r="B266" s="336"/>
      <c r="C266" s="336"/>
      <c r="D266" s="336"/>
      <c r="E266" s="336"/>
      <c r="F266" s="336"/>
      <c r="G266" s="336"/>
      <c r="H266" s="336"/>
      <c r="I266" s="338"/>
      <c r="J266" s="336"/>
      <c r="K266" s="336"/>
      <c r="L266" s="336"/>
      <c r="M266" s="336"/>
      <c r="N266" s="336"/>
      <c r="O266" s="338"/>
      <c r="P266" s="337"/>
      <c r="Q266" s="339"/>
      <c r="R266" s="339"/>
      <c r="S266" s="339"/>
      <c r="T266" s="339"/>
      <c r="U266" s="339"/>
      <c r="V266" s="339"/>
      <c r="W266" s="339"/>
      <c r="X266" s="339"/>
      <c r="Y266" s="339"/>
      <c r="Z266" s="339"/>
    </row>
    <row r="267" spans="1:26" ht="24" customHeight="1">
      <c r="A267" s="336"/>
      <c r="B267" s="336"/>
      <c r="C267" s="336"/>
      <c r="D267" s="336"/>
      <c r="E267" s="336"/>
      <c r="F267" s="336"/>
      <c r="G267" s="336"/>
      <c r="H267" s="336"/>
      <c r="I267" s="338"/>
      <c r="J267" s="336"/>
      <c r="K267" s="336"/>
      <c r="L267" s="336"/>
      <c r="M267" s="336"/>
      <c r="N267" s="336"/>
      <c r="O267" s="338"/>
      <c r="P267" s="337"/>
      <c r="Q267" s="339"/>
      <c r="R267" s="339"/>
      <c r="S267" s="339"/>
      <c r="T267" s="339"/>
      <c r="U267" s="339"/>
      <c r="V267" s="339"/>
      <c r="W267" s="339"/>
      <c r="X267" s="339"/>
      <c r="Y267" s="339"/>
      <c r="Z267" s="339"/>
    </row>
    <row r="268" spans="1:26" ht="24" customHeight="1">
      <c r="A268" s="336"/>
      <c r="B268" s="336"/>
      <c r="C268" s="336"/>
      <c r="D268" s="336"/>
      <c r="E268" s="336"/>
      <c r="F268" s="336"/>
      <c r="G268" s="336"/>
      <c r="H268" s="336"/>
      <c r="I268" s="338"/>
      <c r="J268" s="336"/>
      <c r="K268" s="336"/>
      <c r="L268" s="336"/>
      <c r="M268" s="336"/>
      <c r="N268" s="336"/>
      <c r="O268" s="338"/>
      <c r="P268" s="337"/>
      <c r="Q268" s="339"/>
      <c r="R268" s="339"/>
      <c r="S268" s="339"/>
      <c r="T268" s="339"/>
      <c r="U268" s="339"/>
      <c r="V268" s="339"/>
      <c r="W268" s="339"/>
      <c r="X268" s="339"/>
      <c r="Y268" s="339"/>
      <c r="Z268" s="339"/>
    </row>
    <row r="269" spans="1:26" ht="24" customHeight="1">
      <c r="A269" s="336"/>
      <c r="B269" s="336"/>
      <c r="C269" s="336"/>
      <c r="D269" s="336"/>
      <c r="E269" s="336"/>
      <c r="F269" s="336"/>
      <c r="G269" s="336"/>
      <c r="H269" s="336"/>
      <c r="I269" s="338"/>
      <c r="J269" s="336"/>
      <c r="K269" s="336"/>
      <c r="L269" s="336"/>
      <c r="M269" s="336"/>
      <c r="N269" s="336"/>
      <c r="O269" s="338"/>
      <c r="P269" s="337"/>
      <c r="Q269" s="339"/>
      <c r="R269" s="339"/>
      <c r="S269" s="339"/>
      <c r="T269" s="339"/>
      <c r="U269" s="339"/>
      <c r="V269" s="339"/>
      <c r="W269" s="339"/>
      <c r="X269" s="339"/>
      <c r="Y269" s="339"/>
      <c r="Z269" s="339"/>
    </row>
    <row r="270" spans="1:26" ht="24" customHeight="1">
      <c r="A270" s="336"/>
      <c r="B270" s="336"/>
      <c r="C270" s="336"/>
      <c r="D270" s="336"/>
      <c r="E270" s="336"/>
      <c r="F270" s="336"/>
      <c r="G270" s="336"/>
      <c r="H270" s="336"/>
      <c r="I270" s="338"/>
      <c r="J270" s="336"/>
      <c r="K270" s="336"/>
      <c r="L270" s="336"/>
      <c r="M270" s="336"/>
      <c r="N270" s="336"/>
      <c r="O270" s="338"/>
      <c r="P270" s="337"/>
      <c r="Q270" s="339"/>
      <c r="R270" s="339"/>
      <c r="S270" s="339"/>
      <c r="T270" s="339"/>
      <c r="U270" s="339"/>
      <c r="V270" s="339"/>
      <c r="W270" s="339"/>
      <c r="X270" s="339"/>
      <c r="Y270" s="339"/>
      <c r="Z270" s="339"/>
    </row>
    <row r="271" spans="1:26" ht="24" customHeight="1">
      <c r="A271" s="336"/>
      <c r="B271" s="336"/>
      <c r="C271" s="336"/>
      <c r="D271" s="336"/>
      <c r="E271" s="336"/>
      <c r="F271" s="336"/>
      <c r="G271" s="336"/>
      <c r="H271" s="336"/>
      <c r="I271" s="338"/>
      <c r="J271" s="336"/>
      <c r="K271" s="336"/>
      <c r="L271" s="336"/>
      <c r="M271" s="336"/>
      <c r="N271" s="336"/>
      <c r="O271" s="338"/>
      <c r="P271" s="337"/>
      <c r="Q271" s="339"/>
      <c r="R271" s="339"/>
      <c r="S271" s="339"/>
      <c r="T271" s="339"/>
      <c r="U271" s="339"/>
      <c r="V271" s="339"/>
      <c r="W271" s="339"/>
      <c r="X271" s="339"/>
      <c r="Y271" s="339"/>
      <c r="Z271" s="339"/>
    </row>
    <row r="272" spans="1:26" ht="24" customHeight="1">
      <c r="A272" s="336"/>
      <c r="B272" s="336"/>
      <c r="C272" s="336"/>
      <c r="D272" s="336"/>
      <c r="E272" s="336"/>
      <c r="F272" s="336"/>
      <c r="G272" s="336"/>
      <c r="H272" s="336"/>
      <c r="I272" s="338"/>
      <c r="J272" s="336"/>
      <c r="K272" s="336"/>
      <c r="L272" s="336"/>
      <c r="M272" s="336"/>
      <c r="N272" s="336"/>
      <c r="O272" s="338"/>
      <c r="P272" s="337"/>
      <c r="Q272" s="339"/>
      <c r="R272" s="339"/>
      <c r="S272" s="339"/>
      <c r="T272" s="339"/>
      <c r="U272" s="339"/>
      <c r="V272" s="339"/>
      <c r="W272" s="339"/>
      <c r="X272" s="339"/>
      <c r="Y272" s="339"/>
      <c r="Z272" s="339"/>
    </row>
    <row r="273" spans="1:26" ht="24" customHeight="1">
      <c r="A273" s="336"/>
      <c r="B273" s="336"/>
      <c r="C273" s="336"/>
      <c r="D273" s="336"/>
      <c r="E273" s="336"/>
      <c r="F273" s="336"/>
      <c r="G273" s="336"/>
      <c r="H273" s="336"/>
      <c r="I273" s="338"/>
      <c r="J273" s="336"/>
      <c r="K273" s="336"/>
      <c r="L273" s="336"/>
      <c r="M273" s="336"/>
      <c r="N273" s="336"/>
      <c r="O273" s="338"/>
      <c r="P273" s="337"/>
      <c r="Q273" s="339"/>
      <c r="R273" s="339"/>
      <c r="S273" s="339"/>
      <c r="T273" s="339"/>
      <c r="U273" s="339"/>
      <c r="V273" s="339"/>
      <c r="W273" s="339"/>
      <c r="X273" s="339"/>
      <c r="Y273" s="339"/>
      <c r="Z273" s="339"/>
    </row>
    <row r="274" spans="1:26" ht="24" customHeight="1">
      <c r="A274" s="336"/>
      <c r="B274" s="336"/>
      <c r="C274" s="336"/>
      <c r="D274" s="336"/>
      <c r="E274" s="336"/>
      <c r="F274" s="336"/>
      <c r="G274" s="336"/>
      <c r="H274" s="336"/>
      <c r="I274" s="338"/>
      <c r="J274" s="336"/>
      <c r="K274" s="336"/>
      <c r="L274" s="336"/>
      <c r="M274" s="336"/>
      <c r="N274" s="336"/>
      <c r="O274" s="338"/>
      <c r="P274" s="337"/>
      <c r="Q274" s="339"/>
      <c r="R274" s="339"/>
      <c r="S274" s="339"/>
      <c r="T274" s="339"/>
      <c r="U274" s="339"/>
      <c r="V274" s="339"/>
      <c r="W274" s="339"/>
      <c r="X274" s="339"/>
      <c r="Y274" s="339"/>
      <c r="Z274" s="339"/>
    </row>
    <row r="275" spans="1:26" ht="24" customHeight="1">
      <c r="A275" s="336"/>
      <c r="B275" s="336"/>
      <c r="C275" s="336"/>
      <c r="D275" s="336"/>
      <c r="E275" s="336"/>
      <c r="F275" s="336"/>
      <c r="G275" s="336"/>
      <c r="H275" s="336"/>
      <c r="I275" s="338"/>
      <c r="J275" s="336"/>
      <c r="K275" s="336"/>
      <c r="L275" s="336"/>
      <c r="M275" s="336"/>
      <c r="N275" s="336"/>
      <c r="O275" s="338"/>
      <c r="P275" s="337"/>
      <c r="Q275" s="339"/>
      <c r="R275" s="339"/>
      <c r="S275" s="339"/>
      <c r="T275" s="339"/>
      <c r="U275" s="339"/>
      <c r="V275" s="339"/>
      <c r="W275" s="339"/>
      <c r="X275" s="339"/>
      <c r="Y275" s="339"/>
      <c r="Z275" s="339"/>
    </row>
    <row r="276" spans="1:26" ht="24" customHeight="1">
      <c r="A276" s="336"/>
      <c r="B276" s="336"/>
      <c r="C276" s="336"/>
      <c r="D276" s="336"/>
      <c r="E276" s="336"/>
      <c r="F276" s="336"/>
      <c r="G276" s="336"/>
      <c r="H276" s="336"/>
      <c r="I276" s="338"/>
      <c r="J276" s="336"/>
      <c r="K276" s="336"/>
      <c r="L276" s="336"/>
      <c r="M276" s="336"/>
      <c r="N276" s="336"/>
      <c r="O276" s="338"/>
      <c r="P276" s="337"/>
      <c r="Q276" s="339"/>
      <c r="R276" s="339"/>
      <c r="S276" s="339"/>
      <c r="T276" s="339"/>
      <c r="U276" s="339"/>
      <c r="V276" s="339"/>
      <c r="W276" s="339"/>
      <c r="X276" s="339"/>
      <c r="Y276" s="339"/>
      <c r="Z276" s="339"/>
    </row>
    <row r="277" spans="1:26" ht="24" customHeight="1">
      <c r="A277" s="336"/>
      <c r="B277" s="336"/>
      <c r="C277" s="336"/>
      <c r="D277" s="336"/>
      <c r="E277" s="336"/>
      <c r="F277" s="336"/>
      <c r="G277" s="336"/>
      <c r="H277" s="336"/>
      <c r="I277" s="338"/>
      <c r="J277" s="336"/>
      <c r="K277" s="336"/>
      <c r="L277" s="336"/>
      <c r="M277" s="336"/>
      <c r="N277" s="336"/>
      <c r="O277" s="338"/>
      <c r="P277" s="337"/>
      <c r="Q277" s="339"/>
      <c r="R277" s="339"/>
      <c r="S277" s="339"/>
      <c r="T277" s="339"/>
      <c r="U277" s="339"/>
      <c r="V277" s="339"/>
      <c r="W277" s="339"/>
      <c r="X277" s="339"/>
      <c r="Y277" s="339"/>
      <c r="Z277" s="339"/>
    </row>
    <row r="278" spans="1:26" ht="24" customHeight="1">
      <c r="A278" s="336"/>
      <c r="B278" s="336"/>
      <c r="C278" s="336"/>
      <c r="D278" s="336"/>
      <c r="E278" s="336"/>
      <c r="F278" s="336"/>
      <c r="G278" s="336"/>
      <c r="H278" s="336"/>
      <c r="I278" s="338"/>
      <c r="J278" s="336"/>
      <c r="K278" s="336"/>
      <c r="L278" s="336"/>
      <c r="M278" s="336"/>
      <c r="N278" s="336"/>
      <c r="O278" s="338"/>
      <c r="P278" s="337"/>
      <c r="Q278" s="339"/>
      <c r="R278" s="339"/>
      <c r="S278" s="339"/>
      <c r="T278" s="339"/>
      <c r="U278" s="339"/>
      <c r="V278" s="339"/>
      <c r="W278" s="339"/>
      <c r="X278" s="339"/>
      <c r="Y278" s="339"/>
      <c r="Z278" s="339"/>
    </row>
    <row r="279" spans="1:26" ht="24" customHeight="1">
      <c r="A279" s="336"/>
      <c r="B279" s="336"/>
      <c r="C279" s="336"/>
      <c r="D279" s="336"/>
      <c r="E279" s="336"/>
      <c r="F279" s="336"/>
      <c r="G279" s="336"/>
      <c r="H279" s="336"/>
      <c r="I279" s="338"/>
      <c r="J279" s="336"/>
      <c r="K279" s="336"/>
      <c r="L279" s="336"/>
      <c r="M279" s="336"/>
      <c r="N279" s="336"/>
      <c r="O279" s="338"/>
      <c r="P279" s="337"/>
      <c r="Q279" s="339"/>
      <c r="R279" s="339"/>
      <c r="S279" s="339"/>
      <c r="T279" s="339"/>
      <c r="U279" s="339"/>
      <c r="V279" s="339"/>
      <c r="W279" s="339"/>
      <c r="X279" s="339"/>
      <c r="Y279" s="339"/>
      <c r="Z279" s="339"/>
    </row>
    <row r="280" spans="1:26" ht="24" customHeight="1">
      <c r="A280" s="336"/>
      <c r="B280" s="336"/>
      <c r="C280" s="336"/>
      <c r="D280" s="336"/>
      <c r="E280" s="336"/>
      <c r="F280" s="336"/>
      <c r="G280" s="336"/>
      <c r="H280" s="336"/>
      <c r="I280" s="338"/>
      <c r="J280" s="336"/>
      <c r="K280" s="336"/>
      <c r="L280" s="336"/>
      <c r="M280" s="336"/>
      <c r="N280" s="336"/>
      <c r="O280" s="338"/>
      <c r="P280" s="337"/>
      <c r="Q280" s="339"/>
      <c r="R280" s="339"/>
      <c r="S280" s="339"/>
      <c r="T280" s="339"/>
      <c r="U280" s="339"/>
      <c r="V280" s="339"/>
      <c r="W280" s="339"/>
      <c r="X280" s="339"/>
      <c r="Y280" s="339"/>
      <c r="Z280" s="339"/>
    </row>
    <row r="281" spans="1:26" ht="24" customHeight="1">
      <c r="A281" s="336"/>
      <c r="B281" s="336"/>
      <c r="C281" s="336"/>
      <c r="D281" s="336"/>
      <c r="E281" s="336"/>
      <c r="F281" s="336"/>
      <c r="G281" s="336"/>
      <c r="H281" s="336"/>
      <c r="I281" s="338"/>
      <c r="J281" s="336"/>
      <c r="K281" s="336"/>
      <c r="L281" s="336"/>
      <c r="M281" s="336"/>
      <c r="N281" s="336"/>
      <c r="O281" s="338"/>
      <c r="P281" s="337"/>
      <c r="Q281" s="339"/>
      <c r="R281" s="339"/>
      <c r="S281" s="339"/>
      <c r="T281" s="339"/>
      <c r="U281" s="339"/>
      <c r="V281" s="339"/>
      <c r="W281" s="339"/>
      <c r="X281" s="339"/>
      <c r="Y281" s="339"/>
      <c r="Z281" s="339"/>
    </row>
    <row r="282" spans="1:26" ht="24" customHeight="1">
      <c r="A282" s="336"/>
      <c r="B282" s="336"/>
      <c r="C282" s="336"/>
      <c r="D282" s="336"/>
      <c r="E282" s="336"/>
      <c r="F282" s="336"/>
      <c r="G282" s="336"/>
      <c r="H282" s="336"/>
      <c r="I282" s="338"/>
      <c r="J282" s="336"/>
      <c r="K282" s="336"/>
      <c r="L282" s="336"/>
      <c r="M282" s="336"/>
      <c r="N282" s="336"/>
      <c r="O282" s="338"/>
      <c r="P282" s="337"/>
      <c r="Q282" s="339"/>
      <c r="R282" s="339"/>
      <c r="S282" s="339"/>
      <c r="T282" s="339"/>
      <c r="U282" s="339"/>
      <c r="V282" s="339"/>
      <c r="W282" s="339"/>
      <c r="X282" s="339"/>
      <c r="Y282" s="339"/>
      <c r="Z282" s="339"/>
    </row>
    <row r="283" spans="1:26" ht="24" customHeight="1">
      <c r="A283" s="336"/>
      <c r="B283" s="336"/>
      <c r="C283" s="336"/>
      <c r="D283" s="336"/>
      <c r="E283" s="336"/>
      <c r="F283" s="336"/>
      <c r="G283" s="336"/>
      <c r="H283" s="336"/>
      <c r="I283" s="338"/>
      <c r="J283" s="336"/>
      <c r="K283" s="336"/>
      <c r="L283" s="336"/>
      <c r="M283" s="336"/>
      <c r="N283" s="336"/>
      <c r="O283" s="338"/>
      <c r="P283" s="337"/>
      <c r="Q283" s="339"/>
      <c r="R283" s="339"/>
      <c r="S283" s="339"/>
      <c r="T283" s="339"/>
      <c r="U283" s="339"/>
      <c r="V283" s="339"/>
      <c r="W283" s="339"/>
      <c r="X283" s="339"/>
      <c r="Y283" s="339"/>
      <c r="Z283" s="339"/>
    </row>
    <row r="284" spans="1:26" ht="24" customHeight="1">
      <c r="A284" s="336"/>
      <c r="B284" s="336"/>
      <c r="C284" s="336"/>
      <c r="D284" s="336"/>
      <c r="E284" s="336"/>
      <c r="F284" s="336"/>
      <c r="G284" s="336"/>
      <c r="H284" s="336"/>
      <c r="I284" s="338"/>
      <c r="J284" s="336"/>
      <c r="K284" s="336"/>
      <c r="L284" s="336"/>
      <c r="M284" s="336"/>
      <c r="N284" s="336"/>
      <c r="O284" s="338"/>
      <c r="P284" s="337"/>
      <c r="Q284" s="339"/>
      <c r="R284" s="339"/>
      <c r="S284" s="339"/>
      <c r="T284" s="339"/>
      <c r="U284" s="339"/>
      <c r="V284" s="339"/>
      <c r="W284" s="339"/>
      <c r="X284" s="339"/>
      <c r="Y284" s="339"/>
      <c r="Z284" s="339"/>
    </row>
    <row r="285" spans="1:26" ht="24" customHeight="1">
      <c r="A285" s="336"/>
      <c r="B285" s="336"/>
      <c r="C285" s="336"/>
      <c r="D285" s="336"/>
      <c r="E285" s="336"/>
      <c r="F285" s="336"/>
      <c r="G285" s="336"/>
      <c r="H285" s="336"/>
      <c r="I285" s="338"/>
      <c r="J285" s="336"/>
      <c r="K285" s="336"/>
      <c r="L285" s="336"/>
      <c r="M285" s="336"/>
      <c r="N285" s="336"/>
      <c r="O285" s="338"/>
      <c r="P285" s="337"/>
      <c r="Q285" s="339"/>
      <c r="R285" s="339"/>
      <c r="S285" s="339"/>
      <c r="T285" s="339"/>
      <c r="U285" s="339"/>
      <c r="V285" s="339"/>
      <c r="W285" s="339"/>
      <c r="X285" s="339"/>
      <c r="Y285" s="339"/>
      <c r="Z285" s="339"/>
    </row>
    <row r="286" spans="1:26" ht="24" customHeight="1">
      <c r="A286" s="336"/>
      <c r="B286" s="336"/>
      <c r="C286" s="336"/>
      <c r="D286" s="336"/>
      <c r="E286" s="336"/>
      <c r="F286" s="336"/>
      <c r="G286" s="336"/>
      <c r="H286" s="336"/>
      <c r="I286" s="338"/>
      <c r="J286" s="336"/>
      <c r="K286" s="336"/>
      <c r="L286" s="336"/>
      <c r="M286" s="336"/>
      <c r="N286" s="336"/>
      <c r="O286" s="338"/>
      <c r="P286" s="337"/>
      <c r="Q286" s="339"/>
      <c r="R286" s="339"/>
      <c r="S286" s="339"/>
      <c r="T286" s="339"/>
      <c r="U286" s="339"/>
      <c r="V286" s="339"/>
      <c r="W286" s="339"/>
      <c r="X286" s="339"/>
      <c r="Y286" s="339"/>
      <c r="Z286" s="339"/>
    </row>
    <row r="287" spans="1:26" ht="24" customHeight="1">
      <c r="A287" s="336"/>
      <c r="B287" s="336"/>
      <c r="C287" s="336"/>
      <c r="D287" s="336"/>
      <c r="E287" s="336"/>
      <c r="F287" s="336"/>
      <c r="G287" s="336"/>
      <c r="H287" s="336"/>
      <c r="I287" s="338"/>
      <c r="J287" s="336"/>
      <c r="K287" s="336"/>
      <c r="L287" s="336"/>
      <c r="M287" s="336"/>
      <c r="N287" s="336"/>
      <c r="O287" s="338"/>
      <c r="P287" s="337"/>
      <c r="Q287" s="339"/>
      <c r="R287" s="339"/>
      <c r="S287" s="339"/>
      <c r="T287" s="339"/>
      <c r="U287" s="339"/>
      <c r="V287" s="339"/>
      <c r="W287" s="339"/>
      <c r="X287" s="339"/>
      <c r="Y287" s="339"/>
      <c r="Z287" s="339"/>
    </row>
    <row r="288" spans="1:26" ht="24" customHeight="1">
      <c r="A288" s="336"/>
      <c r="B288" s="336"/>
      <c r="C288" s="336"/>
      <c r="D288" s="336"/>
      <c r="E288" s="336"/>
      <c r="F288" s="336"/>
      <c r="G288" s="336"/>
      <c r="H288" s="336"/>
      <c r="I288" s="338"/>
      <c r="J288" s="336"/>
      <c r="K288" s="336"/>
      <c r="L288" s="336"/>
      <c r="M288" s="336"/>
      <c r="N288" s="336"/>
      <c r="O288" s="338"/>
      <c r="P288" s="337"/>
      <c r="Q288" s="339"/>
      <c r="R288" s="339"/>
      <c r="S288" s="339"/>
      <c r="T288" s="339"/>
      <c r="U288" s="339"/>
      <c r="V288" s="339"/>
      <c r="W288" s="339"/>
      <c r="X288" s="339"/>
      <c r="Y288" s="339"/>
      <c r="Z288" s="339"/>
    </row>
    <row r="289" spans="1:26" ht="24" customHeight="1">
      <c r="A289" s="336"/>
      <c r="B289" s="336"/>
      <c r="C289" s="336"/>
      <c r="D289" s="336"/>
      <c r="E289" s="336"/>
      <c r="F289" s="336"/>
      <c r="G289" s="336"/>
      <c r="H289" s="336"/>
      <c r="I289" s="338"/>
      <c r="J289" s="336"/>
      <c r="K289" s="336"/>
      <c r="L289" s="336"/>
      <c r="M289" s="336"/>
      <c r="N289" s="336"/>
      <c r="O289" s="338"/>
      <c r="P289" s="337"/>
      <c r="Q289" s="339"/>
      <c r="R289" s="339"/>
      <c r="S289" s="339"/>
      <c r="T289" s="339"/>
      <c r="U289" s="339"/>
      <c r="V289" s="339"/>
      <c r="W289" s="339"/>
      <c r="X289" s="339"/>
      <c r="Y289" s="339"/>
      <c r="Z289" s="339"/>
    </row>
    <row r="290" spans="1:26" ht="24" customHeight="1">
      <c r="A290" s="336"/>
      <c r="B290" s="336"/>
      <c r="C290" s="336"/>
      <c r="D290" s="336"/>
      <c r="E290" s="336"/>
      <c r="F290" s="336"/>
      <c r="G290" s="336"/>
      <c r="H290" s="336"/>
      <c r="I290" s="338"/>
      <c r="J290" s="336"/>
      <c r="K290" s="336"/>
      <c r="L290" s="336"/>
      <c r="M290" s="336"/>
      <c r="N290" s="336"/>
      <c r="O290" s="338"/>
      <c r="P290" s="337"/>
      <c r="Q290" s="339"/>
      <c r="R290" s="339"/>
      <c r="S290" s="339"/>
      <c r="T290" s="339"/>
      <c r="U290" s="339"/>
      <c r="V290" s="339"/>
      <c r="W290" s="339"/>
      <c r="X290" s="339"/>
      <c r="Y290" s="339"/>
      <c r="Z290" s="339"/>
    </row>
    <row r="291" spans="1:26" ht="24" customHeight="1">
      <c r="A291" s="336"/>
      <c r="B291" s="336"/>
      <c r="C291" s="336"/>
      <c r="D291" s="336"/>
      <c r="E291" s="336"/>
      <c r="F291" s="336"/>
      <c r="G291" s="336"/>
      <c r="H291" s="336"/>
      <c r="I291" s="338"/>
      <c r="J291" s="336"/>
      <c r="K291" s="336"/>
      <c r="L291" s="336"/>
      <c r="M291" s="336"/>
      <c r="N291" s="336"/>
      <c r="O291" s="338"/>
      <c r="P291" s="337"/>
      <c r="Q291" s="339"/>
      <c r="R291" s="339"/>
      <c r="S291" s="339"/>
      <c r="T291" s="339"/>
      <c r="U291" s="339"/>
      <c r="V291" s="339"/>
      <c r="W291" s="339"/>
      <c r="X291" s="339"/>
      <c r="Y291" s="339"/>
      <c r="Z291" s="339"/>
    </row>
    <row r="292" spans="1:26" ht="24" customHeight="1">
      <c r="A292" s="336"/>
      <c r="B292" s="336"/>
      <c r="C292" s="336"/>
      <c r="D292" s="336"/>
      <c r="E292" s="336"/>
      <c r="F292" s="336"/>
      <c r="G292" s="336"/>
      <c r="H292" s="336"/>
      <c r="I292" s="338"/>
      <c r="J292" s="336"/>
      <c r="K292" s="336"/>
      <c r="L292" s="336"/>
      <c r="M292" s="336"/>
      <c r="N292" s="336"/>
      <c r="O292" s="338"/>
      <c r="P292" s="337"/>
      <c r="Q292" s="339"/>
      <c r="R292" s="339"/>
      <c r="S292" s="339"/>
      <c r="T292" s="339"/>
      <c r="U292" s="339"/>
      <c r="V292" s="339"/>
      <c r="W292" s="339"/>
      <c r="X292" s="339"/>
      <c r="Y292" s="339"/>
      <c r="Z292" s="339"/>
    </row>
    <row r="293" spans="1:26" ht="24" customHeight="1">
      <c r="A293" s="336"/>
      <c r="B293" s="336"/>
      <c r="C293" s="336"/>
      <c r="D293" s="336"/>
      <c r="E293" s="336"/>
      <c r="F293" s="336"/>
      <c r="G293" s="336"/>
      <c r="H293" s="336"/>
      <c r="I293" s="338"/>
      <c r="J293" s="336"/>
      <c r="K293" s="336"/>
      <c r="L293" s="336"/>
      <c r="M293" s="336"/>
      <c r="N293" s="336"/>
      <c r="O293" s="338"/>
      <c r="P293" s="337"/>
      <c r="Q293" s="339"/>
      <c r="R293" s="339"/>
      <c r="S293" s="339"/>
      <c r="T293" s="339"/>
      <c r="U293" s="339"/>
      <c r="V293" s="339"/>
      <c r="W293" s="339"/>
      <c r="X293" s="339"/>
      <c r="Y293" s="339"/>
      <c r="Z293" s="339"/>
    </row>
    <row r="294" spans="1:26" ht="24" customHeight="1">
      <c r="A294" s="336"/>
      <c r="B294" s="336"/>
      <c r="C294" s="336"/>
      <c r="D294" s="336"/>
      <c r="E294" s="336"/>
      <c r="F294" s="336"/>
      <c r="G294" s="336"/>
      <c r="H294" s="336"/>
      <c r="I294" s="338"/>
      <c r="J294" s="336"/>
      <c r="K294" s="336"/>
      <c r="L294" s="336"/>
      <c r="M294" s="336"/>
      <c r="N294" s="336"/>
      <c r="O294" s="338"/>
      <c r="P294" s="337"/>
      <c r="Q294" s="339"/>
      <c r="R294" s="339"/>
      <c r="S294" s="339"/>
      <c r="T294" s="339"/>
      <c r="U294" s="339"/>
      <c r="V294" s="339"/>
      <c r="W294" s="339"/>
      <c r="X294" s="339"/>
      <c r="Y294" s="339"/>
      <c r="Z294" s="339"/>
    </row>
    <row r="295" spans="1:26" ht="24" customHeight="1">
      <c r="A295" s="336"/>
      <c r="B295" s="336"/>
      <c r="C295" s="336"/>
      <c r="D295" s="336"/>
      <c r="E295" s="336"/>
      <c r="F295" s="336"/>
      <c r="G295" s="336"/>
      <c r="H295" s="336"/>
      <c r="I295" s="338"/>
      <c r="J295" s="336"/>
      <c r="K295" s="336"/>
      <c r="L295" s="336"/>
      <c r="M295" s="336"/>
      <c r="N295" s="336"/>
      <c r="O295" s="338"/>
      <c r="P295" s="337"/>
      <c r="Q295" s="339"/>
      <c r="R295" s="339"/>
      <c r="S295" s="339"/>
      <c r="T295" s="339"/>
      <c r="U295" s="339"/>
      <c r="V295" s="339"/>
      <c r="W295" s="339"/>
      <c r="X295" s="339"/>
      <c r="Y295" s="339"/>
      <c r="Z295" s="339"/>
    </row>
    <row r="296" spans="1:26" ht="24" customHeight="1">
      <c r="A296" s="336"/>
      <c r="B296" s="336"/>
      <c r="C296" s="336"/>
      <c r="D296" s="336"/>
      <c r="E296" s="336"/>
      <c r="F296" s="336"/>
      <c r="G296" s="336"/>
      <c r="H296" s="336"/>
      <c r="I296" s="338"/>
      <c r="J296" s="336"/>
      <c r="K296" s="336"/>
      <c r="L296" s="336"/>
      <c r="M296" s="336"/>
      <c r="N296" s="336"/>
      <c r="O296" s="338"/>
      <c r="P296" s="337"/>
      <c r="Q296" s="339"/>
      <c r="R296" s="339"/>
      <c r="S296" s="339"/>
      <c r="T296" s="339"/>
      <c r="U296" s="339"/>
      <c r="V296" s="339"/>
      <c r="W296" s="339"/>
      <c r="X296" s="339"/>
      <c r="Y296" s="339"/>
      <c r="Z296" s="339"/>
    </row>
    <row r="297" spans="1:26" ht="24" customHeight="1">
      <c r="A297" s="336"/>
      <c r="B297" s="336"/>
      <c r="C297" s="336"/>
      <c r="D297" s="336"/>
      <c r="E297" s="336"/>
      <c r="F297" s="336"/>
      <c r="G297" s="336"/>
      <c r="H297" s="336"/>
      <c r="I297" s="338"/>
      <c r="J297" s="336"/>
      <c r="K297" s="336"/>
      <c r="L297" s="336"/>
      <c r="M297" s="336"/>
      <c r="N297" s="336"/>
      <c r="O297" s="338"/>
      <c r="P297" s="337"/>
      <c r="Q297" s="339"/>
      <c r="R297" s="339"/>
      <c r="S297" s="339"/>
      <c r="T297" s="339"/>
      <c r="U297" s="339"/>
      <c r="V297" s="339"/>
      <c r="W297" s="339"/>
      <c r="X297" s="339"/>
      <c r="Y297" s="339"/>
      <c r="Z297" s="339"/>
    </row>
    <row r="298" spans="1:26" ht="24" customHeight="1">
      <c r="A298" s="336"/>
      <c r="B298" s="336"/>
      <c r="C298" s="336"/>
      <c r="D298" s="336"/>
      <c r="E298" s="336"/>
      <c r="F298" s="336"/>
      <c r="G298" s="336"/>
      <c r="H298" s="336"/>
      <c r="I298" s="338"/>
      <c r="J298" s="336"/>
      <c r="K298" s="336"/>
      <c r="L298" s="336"/>
      <c r="M298" s="336"/>
      <c r="N298" s="336"/>
      <c r="O298" s="338"/>
      <c r="P298" s="337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</row>
    <row r="299" spans="1:26" ht="24" customHeight="1">
      <c r="A299" s="336"/>
      <c r="B299" s="336"/>
      <c r="C299" s="336"/>
      <c r="D299" s="336"/>
      <c r="E299" s="336"/>
      <c r="F299" s="336"/>
      <c r="G299" s="336"/>
      <c r="H299" s="336"/>
      <c r="I299" s="338"/>
      <c r="J299" s="336"/>
      <c r="K299" s="336"/>
      <c r="L299" s="336"/>
      <c r="M299" s="336"/>
      <c r="N299" s="336"/>
      <c r="O299" s="338"/>
      <c r="P299" s="337"/>
      <c r="Q299" s="339"/>
      <c r="R299" s="339"/>
      <c r="S299" s="339"/>
      <c r="T299" s="339"/>
      <c r="U299" s="339"/>
      <c r="V299" s="339"/>
      <c r="W299" s="339"/>
      <c r="X299" s="339"/>
      <c r="Y299" s="339"/>
      <c r="Z299" s="339"/>
    </row>
    <row r="300" spans="1:26" ht="24" customHeight="1">
      <c r="A300" s="336"/>
      <c r="B300" s="336"/>
      <c r="C300" s="336"/>
      <c r="D300" s="336"/>
      <c r="E300" s="336"/>
      <c r="F300" s="336"/>
      <c r="G300" s="336"/>
      <c r="H300" s="336"/>
      <c r="I300" s="338"/>
      <c r="J300" s="336"/>
      <c r="K300" s="336"/>
      <c r="L300" s="336"/>
      <c r="M300" s="336"/>
      <c r="N300" s="336"/>
      <c r="O300" s="338"/>
      <c r="P300" s="337"/>
      <c r="Q300" s="339"/>
      <c r="R300" s="339"/>
      <c r="S300" s="339"/>
      <c r="T300" s="339"/>
      <c r="U300" s="339"/>
      <c r="V300" s="339"/>
      <c r="W300" s="339"/>
      <c r="X300" s="339"/>
      <c r="Y300" s="339"/>
      <c r="Z300" s="339"/>
    </row>
    <row r="301" spans="1:26" ht="24" customHeight="1">
      <c r="A301" s="336"/>
      <c r="B301" s="336"/>
      <c r="C301" s="336"/>
      <c r="D301" s="336"/>
      <c r="E301" s="336"/>
      <c r="F301" s="336"/>
      <c r="G301" s="336"/>
      <c r="H301" s="336"/>
      <c r="I301" s="338"/>
      <c r="J301" s="336"/>
      <c r="K301" s="336"/>
      <c r="L301" s="336"/>
      <c r="M301" s="336"/>
      <c r="N301" s="336"/>
      <c r="O301" s="338"/>
      <c r="P301" s="337"/>
      <c r="Q301" s="339"/>
      <c r="R301" s="339"/>
      <c r="S301" s="339"/>
      <c r="T301" s="339"/>
      <c r="U301" s="339"/>
      <c r="V301" s="339"/>
      <c r="W301" s="339"/>
      <c r="X301" s="339"/>
      <c r="Y301" s="339"/>
      <c r="Z301" s="339"/>
    </row>
    <row r="302" spans="1:26" ht="24" customHeight="1">
      <c r="A302" s="336"/>
      <c r="B302" s="336"/>
      <c r="C302" s="336"/>
      <c r="D302" s="336"/>
      <c r="E302" s="336"/>
      <c r="F302" s="336"/>
      <c r="G302" s="336"/>
      <c r="H302" s="336"/>
      <c r="I302" s="338"/>
      <c r="J302" s="336"/>
      <c r="K302" s="336"/>
      <c r="L302" s="336"/>
      <c r="M302" s="336"/>
      <c r="N302" s="336"/>
      <c r="O302" s="338"/>
      <c r="P302" s="337"/>
      <c r="Q302" s="339"/>
      <c r="R302" s="339"/>
      <c r="S302" s="339"/>
      <c r="T302" s="339"/>
      <c r="U302" s="339"/>
      <c r="V302" s="339"/>
      <c r="W302" s="339"/>
      <c r="X302" s="339"/>
      <c r="Y302" s="339"/>
      <c r="Z302" s="339"/>
    </row>
    <row r="303" spans="1:26" ht="24" customHeight="1">
      <c r="A303" s="336"/>
      <c r="B303" s="336"/>
      <c r="C303" s="336"/>
      <c r="D303" s="336"/>
      <c r="E303" s="336"/>
      <c r="F303" s="336"/>
      <c r="G303" s="336"/>
      <c r="H303" s="336"/>
      <c r="I303" s="338"/>
      <c r="J303" s="336"/>
      <c r="K303" s="336"/>
      <c r="L303" s="336"/>
      <c r="M303" s="336"/>
      <c r="N303" s="336"/>
      <c r="O303" s="338"/>
      <c r="P303" s="337"/>
      <c r="Q303" s="339"/>
      <c r="R303" s="339"/>
      <c r="S303" s="339"/>
      <c r="T303" s="339"/>
      <c r="U303" s="339"/>
      <c r="V303" s="339"/>
      <c r="W303" s="339"/>
      <c r="X303" s="339"/>
      <c r="Y303" s="339"/>
      <c r="Z303" s="339"/>
    </row>
    <row r="304" spans="1:26" ht="24" customHeight="1">
      <c r="A304" s="336"/>
      <c r="B304" s="336"/>
      <c r="C304" s="336"/>
      <c r="D304" s="336"/>
      <c r="E304" s="336"/>
      <c r="F304" s="336"/>
      <c r="G304" s="336"/>
      <c r="H304" s="336"/>
      <c r="I304" s="338"/>
      <c r="J304" s="336"/>
      <c r="K304" s="336"/>
      <c r="L304" s="336"/>
      <c r="M304" s="336"/>
      <c r="N304" s="336"/>
      <c r="O304" s="338"/>
      <c r="P304" s="337"/>
      <c r="Q304" s="339"/>
      <c r="R304" s="339"/>
      <c r="S304" s="339"/>
      <c r="T304" s="339"/>
      <c r="U304" s="339"/>
      <c r="V304" s="339"/>
      <c r="W304" s="339"/>
      <c r="X304" s="339"/>
      <c r="Y304" s="339"/>
      <c r="Z304" s="339"/>
    </row>
    <row r="305" spans="1:26" ht="24" customHeight="1">
      <c r="A305" s="336"/>
      <c r="B305" s="336"/>
      <c r="C305" s="336"/>
      <c r="D305" s="336"/>
      <c r="E305" s="336"/>
      <c r="F305" s="336"/>
      <c r="G305" s="336"/>
      <c r="H305" s="336"/>
      <c r="I305" s="338"/>
      <c r="J305" s="336"/>
      <c r="K305" s="336"/>
      <c r="L305" s="336"/>
      <c r="M305" s="336"/>
      <c r="N305" s="336"/>
      <c r="O305" s="338"/>
      <c r="P305" s="337"/>
      <c r="Q305" s="339"/>
      <c r="R305" s="339"/>
      <c r="S305" s="339"/>
      <c r="T305" s="339"/>
      <c r="U305" s="339"/>
      <c r="V305" s="339"/>
      <c r="W305" s="339"/>
      <c r="X305" s="339"/>
      <c r="Y305" s="339"/>
      <c r="Z305" s="339"/>
    </row>
    <row r="306" spans="1:26" ht="24" customHeight="1">
      <c r="A306" s="336"/>
      <c r="B306" s="336"/>
      <c r="C306" s="336"/>
      <c r="D306" s="336"/>
      <c r="E306" s="336"/>
      <c r="F306" s="336"/>
      <c r="G306" s="336"/>
      <c r="H306" s="336"/>
      <c r="I306" s="338"/>
      <c r="J306" s="336"/>
      <c r="K306" s="336"/>
      <c r="L306" s="336"/>
      <c r="M306" s="336"/>
      <c r="N306" s="336"/>
      <c r="O306" s="338"/>
      <c r="P306" s="337"/>
      <c r="Q306" s="339"/>
      <c r="R306" s="339"/>
      <c r="S306" s="339"/>
      <c r="T306" s="339"/>
      <c r="U306" s="339"/>
      <c r="V306" s="339"/>
      <c r="W306" s="339"/>
      <c r="X306" s="339"/>
      <c r="Y306" s="339"/>
      <c r="Z306" s="339"/>
    </row>
    <row r="307" spans="1:26" ht="24" customHeight="1">
      <c r="A307" s="336"/>
      <c r="B307" s="336"/>
      <c r="C307" s="336"/>
      <c r="D307" s="336"/>
      <c r="E307" s="336"/>
      <c r="F307" s="336"/>
      <c r="G307" s="336"/>
      <c r="H307" s="336"/>
      <c r="I307" s="338"/>
      <c r="J307" s="336"/>
      <c r="K307" s="336"/>
      <c r="L307" s="336"/>
      <c r="M307" s="336"/>
      <c r="N307" s="336"/>
      <c r="O307" s="338"/>
      <c r="P307" s="337"/>
      <c r="Q307" s="339"/>
      <c r="R307" s="339"/>
      <c r="S307" s="339"/>
      <c r="T307" s="339"/>
      <c r="U307" s="339"/>
      <c r="V307" s="339"/>
      <c r="W307" s="339"/>
      <c r="X307" s="339"/>
      <c r="Y307" s="339"/>
      <c r="Z307" s="339"/>
    </row>
    <row r="308" spans="1:26" ht="24" customHeight="1">
      <c r="A308" s="336"/>
      <c r="B308" s="336"/>
      <c r="C308" s="336"/>
      <c r="D308" s="336"/>
      <c r="E308" s="336"/>
      <c r="F308" s="336"/>
      <c r="G308" s="336"/>
      <c r="H308" s="336"/>
      <c r="I308" s="338"/>
      <c r="J308" s="336"/>
      <c r="K308" s="336"/>
      <c r="L308" s="336"/>
      <c r="M308" s="336"/>
      <c r="N308" s="336"/>
      <c r="O308" s="338"/>
      <c r="P308" s="337"/>
      <c r="Q308" s="339"/>
      <c r="R308" s="339"/>
      <c r="S308" s="339"/>
      <c r="T308" s="339"/>
      <c r="U308" s="339"/>
      <c r="V308" s="339"/>
      <c r="W308" s="339"/>
      <c r="X308" s="339"/>
      <c r="Y308" s="339"/>
      <c r="Z308" s="339"/>
    </row>
    <row r="309" spans="1:26" ht="24" customHeight="1">
      <c r="A309" s="336"/>
      <c r="B309" s="336"/>
      <c r="C309" s="336"/>
      <c r="D309" s="336"/>
      <c r="E309" s="336"/>
      <c r="F309" s="336"/>
      <c r="G309" s="336"/>
      <c r="H309" s="336"/>
      <c r="I309" s="338"/>
      <c r="J309" s="336"/>
      <c r="K309" s="336"/>
      <c r="L309" s="336"/>
      <c r="M309" s="336"/>
      <c r="N309" s="336"/>
      <c r="O309" s="338"/>
      <c r="P309" s="337"/>
      <c r="Q309" s="339"/>
      <c r="R309" s="339"/>
      <c r="S309" s="339"/>
      <c r="T309" s="339"/>
      <c r="U309" s="339"/>
      <c r="V309" s="339"/>
      <c r="W309" s="339"/>
      <c r="X309" s="339"/>
      <c r="Y309" s="339"/>
      <c r="Z309" s="339"/>
    </row>
    <row r="310" spans="1:26" ht="24" customHeight="1">
      <c r="A310" s="336"/>
      <c r="B310" s="336"/>
      <c r="C310" s="336"/>
      <c r="D310" s="336"/>
      <c r="E310" s="336"/>
      <c r="F310" s="336"/>
      <c r="G310" s="336"/>
      <c r="H310" s="336"/>
      <c r="I310" s="338"/>
      <c r="J310" s="336"/>
      <c r="K310" s="336"/>
      <c r="L310" s="336"/>
      <c r="M310" s="336"/>
      <c r="N310" s="336"/>
      <c r="O310" s="338"/>
      <c r="P310" s="337"/>
      <c r="Q310" s="339"/>
      <c r="R310" s="339"/>
      <c r="S310" s="339"/>
      <c r="T310" s="339"/>
      <c r="U310" s="339"/>
      <c r="V310" s="339"/>
      <c r="W310" s="339"/>
      <c r="X310" s="339"/>
      <c r="Y310" s="339"/>
      <c r="Z310" s="339"/>
    </row>
    <row r="311" spans="1:26" ht="24" customHeight="1">
      <c r="A311" s="336"/>
      <c r="B311" s="336"/>
      <c r="C311" s="336"/>
      <c r="D311" s="336"/>
      <c r="E311" s="336"/>
      <c r="F311" s="336"/>
      <c r="G311" s="336"/>
      <c r="H311" s="336"/>
      <c r="I311" s="338"/>
      <c r="J311" s="336"/>
      <c r="K311" s="336"/>
      <c r="L311" s="336"/>
      <c r="M311" s="336"/>
      <c r="N311" s="336"/>
      <c r="O311" s="338"/>
      <c r="P311" s="337"/>
      <c r="Q311" s="339"/>
      <c r="R311" s="339"/>
      <c r="S311" s="339"/>
      <c r="T311" s="339"/>
      <c r="U311" s="339"/>
      <c r="V311" s="339"/>
      <c r="W311" s="339"/>
      <c r="X311" s="339"/>
      <c r="Y311" s="339"/>
      <c r="Z311" s="339"/>
    </row>
    <row r="312" spans="1:26" ht="24" customHeight="1">
      <c r="A312" s="336"/>
      <c r="B312" s="336"/>
      <c r="C312" s="336"/>
      <c r="D312" s="336"/>
      <c r="E312" s="336"/>
      <c r="F312" s="336"/>
      <c r="G312" s="336"/>
      <c r="H312" s="336"/>
      <c r="I312" s="338"/>
      <c r="J312" s="336"/>
      <c r="K312" s="336"/>
      <c r="L312" s="336"/>
      <c r="M312" s="336"/>
      <c r="N312" s="336"/>
      <c r="O312" s="338"/>
      <c r="P312" s="337"/>
      <c r="Q312" s="339"/>
      <c r="R312" s="339"/>
      <c r="S312" s="339"/>
      <c r="T312" s="339"/>
      <c r="U312" s="339"/>
      <c r="V312" s="339"/>
      <c r="W312" s="339"/>
      <c r="X312" s="339"/>
      <c r="Y312" s="339"/>
      <c r="Z312" s="339"/>
    </row>
    <row r="313" spans="1:26" ht="24" customHeight="1">
      <c r="A313" s="336"/>
      <c r="B313" s="336"/>
      <c r="C313" s="336"/>
      <c r="D313" s="336"/>
      <c r="E313" s="336"/>
      <c r="F313" s="336"/>
      <c r="G313" s="336"/>
      <c r="H313" s="336"/>
      <c r="I313" s="338"/>
      <c r="J313" s="336"/>
      <c r="K313" s="336"/>
      <c r="L313" s="336"/>
      <c r="M313" s="336"/>
      <c r="N313" s="336"/>
      <c r="O313" s="338"/>
      <c r="P313" s="337"/>
      <c r="Q313" s="339"/>
      <c r="R313" s="339"/>
      <c r="S313" s="339"/>
      <c r="T313" s="339"/>
      <c r="U313" s="339"/>
      <c r="V313" s="339"/>
      <c r="W313" s="339"/>
      <c r="X313" s="339"/>
      <c r="Y313" s="339"/>
      <c r="Z313" s="339"/>
    </row>
    <row r="314" spans="1:26" ht="24" customHeight="1">
      <c r="A314" s="336"/>
      <c r="B314" s="336"/>
      <c r="C314" s="336"/>
      <c r="D314" s="336"/>
      <c r="E314" s="336"/>
      <c r="F314" s="336"/>
      <c r="G314" s="336"/>
      <c r="H314" s="336"/>
      <c r="I314" s="338"/>
      <c r="J314" s="336"/>
      <c r="K314" s="336"/>
      <c r="L314" s="336"/>
      <c r="M314" s="336"/>
      <c r="N314" s="336"/>
      <c r="O314" s="338"/>
      <c r="P314" s="337"/>
      <c r="Q314" s="339"/>
      <c r="R314" s="339"/>
      <c r="S314" s="339"/>
      <c r="T314" s="339"/>
      <c r="U314" s="339"/>
      <c r="V314" s="339"/>
      <c r="W314" s="339"/>
      <c r="X314" s="339"/>
      <c r="Y314" s="339"/>
      <c r="Z314" s="339"/>
    </row>
    <row r="315" spans="1:26" ht="15.75" customHeight="1">
      <c r="A315" s="339"/>
      <c r="B315" s="339"/>
      <c r="C315" s="339"/>
      <c r="D315" s="339"/>
      <c r="E315" s="339"/>
      <c r="F315" s="339"/>
      <c r="G315" s="339"/>
      <c r="H315" s="339"/>
      <c r="I315" s="341"/>
      <c r="J315" s="339"/>
      <c r="K315" s="339"/>
      <c r="L315" s="339"/>
      <c r="M315" s="339"/>
      <c r="N315" s="339"/>
      <c r="O315" s="341"/>
      <c r="P315" s="340"/>
      <c r="Q315" s="339"/>
      <c r="R315" s="339"/>
      <c r="S315" s="339"/>
      <c r="T315" s="339"/>
      <c r="U315" s="339"/>
      <c r="V315" s="339"/>
      <c r="W315" s="339"/>
      <c r="X315" s="339"/>
      <c r="Y315" s="339"/>
      <c r="Z315" s="339"/>
    </row>
    <row r="316" spans="1:26" ht="15.75" customHeight="1">
      <c r="A316" s="339"/>
      <c r="B316" s="339"/>
      <c r="C316" s="339"/>
      <c r="D316" s="339"/>
      <c r="E316" s="339"/>
      <c r="F316" s="339"/>
      <c r="G316" s="339"/>
      <c r="H316" s="339"/>
      <c r="I316" s="341"/>
      <c r="J316" s="339"/>
      <c r="K316" s="339"/>
      <c r="L316" s="339"/>
      <c r="M316" s="339"/>
      <c r="N316" s="339"/>
      <c r="O316" s="341"/>
      <c r="P316" s="340"/>
      <c r="Q316" s="339"/>
      <c r="R316" s="339"/>
      <c r="S316" s="339"/>
      <c r="T316" s="339"/>
      <c r="U316" s="339"/>
      <c r="V316" s="339"/>
      <c r="W316" s="339"/>
      <c r="X316" s="339"/>
      <c r="Y316" s="339"/>
      <c r="Z316" s="339"/>
    </row>
    <row r="317" spans="1:26" ht="15.75" customHeight="1">
      <c r="A317" s="339"/>
      <c r="B317" s="339"/>
      <c r="C317" s="339"/>
      <c r="D317" s="339"/>
      <c r="E317" s="339"/>
      <c r="F317" s="339"/>
      <c r="G317" s="339"/>
      <c r="H317" s="339"/>
      <c r="I317" s="341"/>
      <c r="J317" s="339"/>
      <c r="K317" s="339"/>
      <c r="L317" s="339"/>
      <c r="M317" s="339"/>
      <c r="N317" s="339"/>
      <c r="O317" s="341"/>
      <c r="P317" s="340"/>
      <c r="Q317" s="339"/>
      <c r="R317" s="339"/>
      <c r="S317" s="339"/>
      <c r="T317" s="339"/>
      <c r="U317" s="339"/>
      <c r="V317" s="339"/>
      <c r="W317" s="339"/>
      <c r="X317" s="339"/>
      <c r="Y317" s="339"/>
      <c r="Z317" s="339"/>
    </row>
    <row r="318" spans="1:26" ht="15.75" customHeight="1">
      <c r="A318" s="339"/>
      <c r="B318" s="339"/>
      <c r="C318" s="339"/>
      <c r="D318" s="339"/>
      <c r="E318" s="339"/>
      <c r="F318" s="339"/>
      <c r="G318" s="339"/>
      <c r="H318" s="339"/>
      <c r="I318" s="341"/>
      <c r="J318" s="339"/>
      <c r="K318" s="339"/>
      <c r="L318" s="339"/>
      <c r="M318" s="339"/>
      <c r="N318" s="339"/>
      <c r="O318" s="341"/>
      <c r="P318" s="340"/>
      <c r="Q318" s="339"/>
      <c r="R318" s="339"/>
      <c r="S318" s="339"/>
      <c r="T318" s="339"/>
      <c r="U318" s="339"/>
      <c r="V318" s="339"/>
      <c r="W318" s="339"/>
      <c r="X318" s="339"/>
      <c r="Y318" s="339"/>
      <c r="Z318" s="339"/>
    </row>
    <row r="319" spans="1:26" ht="15.75" customHeight="1">
      <c r="A319" s="339"/>
      <c r="B319" s="339"/>
      <c r="C319" s="339"/>
      <c r="D319" s="339"/>
      <c r="E319" s="339"/>
      <c r="F319" s="339"/>
      <c r="G319" s="339"/>
      <c r="H319" s="339"/>
      <c r="I319" s="341"/>
      <c r="J319" s="339"/>
      <c r="K319" s="339"/>
      <c r="L319" s="339"/>
      <c r="M319" s="339"/>
      <c r="N319" s="339"/>
      <c r="O319" s="341"/>
      <c r="P319" s="340"/>
      <c r="Q319" s="339"/>
      <c r="R319" s="339"/>
      <c r="S319" s="339"/>
      <c r="T319" s="339"/>
      <c r="U319" s="339"/>
      <c r="V319" s="339"/>
      <c r="W319" s="339"/>
      <c r="X319" s="339"/>
      <c r="Y319" s="339"/>
      <c r="Z319" s="339"/>
    </row>
    <row r="320" spans="1:26" ht="15.75" customHeight="1">
      <c r="A320" s="339"/>
      <c r="B320" s="339"/>
      <c r="C320" s="339"/>
      <c r="D320" s="339"/>
      <c r="E320" s="339"/>
      <c r="F320" s="339"/>
      <c r="G320" s="339"/>
      <c r="H320" s="339"/>
      <c r="I320" s="341"/>
      <c r="J320" s="339"/>
      <c r="K320" s="339"/>
      <c r="L320" s="339"/>
      <c r="M320" s="339"/>
      <c r="N320" s="339"/>
      <c r="O320" s="341"/>
      <c r="P320" s="340"/>
      <c r="Q320" s="339"/>
      <c r="R320" s="339"/>
      <c r="S320" s="339"/>
      <c r="T320" s="339"/>
      <c r="U320" s="339"/>
      <c r="V320" s="339"/>
      <c r="W320" s="339"/>
      <c r="X320" s="339"/>
      <c r="Y320" s="339"/>
      <c r="Z320" s="339"/>
    </row>
    <row r="321" spans="1:26" ht="15.75" customHeight="1">
      <c r="A321" s="339"/>
      <c r="B321" s="339"/>
      <c r="C321" s="339"/>
      <c r="D321" s="339"/>
      <c r="E321" s="339"/>
      <c r="F321" s="339"/>
      <c r="G321" s="339"/>
      <c r="H321" s="339"/>
      <c r="I321" s="341"/>
      <c r="J321" s="339"/>
      <c r="K321" s="339"/>
      <c r="L321" s="339"/>
      <c r="M321" s="339"/>
      <c r="N321" s="339"/>
      <c r="O321" s="341"/>
      <c r="P321" s="340"/>
      <c r="Q321" s="339"/>
      <c r="R321" s="339"/>
      <c r="S321" s="339"/>
      <c r="T321" s="339"/>
      <c r="U321" s="339"/>
      <c r="V321" s="339"/>
      <c r="W321" s="339"/>
      <c r="X321" s="339"/>
      <c r="Y321" s="339"/>
      <c r="Z321" s="339"/>
    </row>
    <row r="322" spans="1:26" ht="15.75" customHeight="1">
      <c r="A322" s="339"/>
      <c r="B322" s="339"/>
      <c r="C322" s="339"/>
      <c r="D322" s="339"/>
      <c r="E322" s="339"/>
      <c r="F322" s="339"/>
      <c r="G322" s="339"/>
      <c r="H322" s="339"/>
      <c r="I322" s="341"/>
      <c r="J322" s="339"/>
      <c r="K322" s="339"/>
      <c r="L322" s="339"/>
      <c r="M322" s="339"/>
      <c r="N322" s="339"/>
      <c r="O322" s="341"/>
      <c r="P322" s="340"/>
      <c r="Q322" s="339"/>
      <c r="R322" s="339"/>
      <c r="S322" s="339"/>
      <c r="T322" s="339"/>
      <c r="U322" s="339"/>
      <c r="V322" s="339"/>
      <c r="W322" s="339"/>
      <c r="X322" s="339"/>
      <c r="Y322" s="339"/>
      <c r="Z322" s="339"/>
    </row>
    <row r="323" spans="1:26" ht="15.75" customHeight="1">
      <c r="A323" s="339"/>
      <c r="B323" s="339"/>
      <c r="C323" s="339"/>
      <c r="D323" s="339"/>
      <c r="E323" s="339"/>
      <c r="F323" s="339"/>
      <c r="G323" s="339"/>
      <c r="H323" s="339"/>
      <c r="I323" s="341"/>
      <c r="J323" s="339"/>
      <c r="K323" s="339"/>
      <c r="L323" s="339"/>
      <c r="M323" s="339"/>
      <c r="N323" s="339"/>
      <c r="O323" s="341"/>
      <c r="P323" s="340"/>
      <c r="Q323" s="339"/>
      <c r="R323" s="339"/>
      <c r="S323" s="339"/>
      <c r="T323" s="339"/>
      <c r="U323" s="339"/>
      <c r="V323" s="339"/>
      <c r="W323" s="339"/>
      <c r="X323" s="339"/>
      <c r="Y323" s="339"/>
      <c r="Z323" s="339"/>
    </row>
    <row r="324" spans="1:26" ht="15.75" customHeight="1">
      <c r="A324" s="339"/>
      <c r="B324" s="339"/>
      <c r="C324" s="339"/>
      <c r="D324" s="339"/>
      <c r="E324" s="339"/>
      <c r="F324" s="339"/>
      <c r="G324" s="339"/>
      <c r="H324" s="339"/>
      <c r="I324" s="341"/>
      <c r="J324" s="339"/>
      <c r="K324" s="339"/>
      <c r="L324" s="339"/>
      <c r="M324" s="339"/>
      <c r="N324" s="339"/>
      <c r="O324" s="341"/>
      <c r="P324" s="340"/>
      <c r="Q324" s="339"/>
      <c r="R324" s="339"/>
      <c r="S324" s="339"/>
      <c r="T324" s="339"/>
      <c r="U324" s="339"/>
      <c r="V324" s="339"/>
      <c r="W324" s="339"/>
      <c r="X324" s="339"/>
      <c r="Y324" s="339"/>
      <c r="Z324" s="339"/>
    </row>
    <row r="325" spans="1:26" ht="15.75" customHeight="1">
      <c r="A325" s="339"/>
      <c r="B325" s="339"/>
      <c r="C325" s="339"/>
      <c r="D325" s="339"/>
      <c r="E325" s="339"/>
      <c r="F325" s="339"/>
      <c r="G325" s="339"/>
      <c r="H325" s="339"/>
      <c r="I325" s="341"/>
      <c r="J325" s="339"/>
      <c r="K325" s="339"/>
      <c r="L325" s="339"/>
      <c r="M325" s="339"/>
      <c r="N325" s="339"/>
      <c r="O325" s="341"/>
      <c r="P325" s="340"/>
      <c r="Q325" s="339"/>
      <c r="R325" s="339"/>
      <c r="S325" s="339"/>
      <c r="T325" s="339"/>
      <c r="U325" s="339"/>
      <c r="V325" s="339"/>
      <c r="W325" s="339"/>
      <c r="X325" s="339"/>
      <c r="Y325" s="339"/>
      <c r="Z325" s="339"/>
    </row>
    <row r="326" spans="1:26" ht="15.75" customHeight="1">
      <c r="A326" s="339"/>
      <c r="B326" s="339"/>
      <c r="C326" s="339"/>
      <c r="D326" s="339"/>
      <c r="E326" s="339"/>
      <c r="F326" s="339"/>
      <c r="G326" s="339"/>
      <c r="H326" s="339"/>
      <c r="I326" s="341"/>
      <c r="J326" s="339"/>
      <c r="K326" s="339"/>
      <c r="L326" s="339"/>
      <c r="M326" s="339"/>
      <c r="N326" s="339"/>
      <c r="O326" s="341"/>
      <c r="P326" s="340"/>
      <c r="Q326" s="339"/>
      <c r="R326" s="339"/>
      <c r="S326" s="339"/>
      <c r="T326" s="339"/>
      <c r="U326" s="339"/>
      <c r="V326" s="339"/>
      <c r="W326" s="339"/>
      <c r="X326" s="339"/>
      <c r="Y326" s="339"/>
      <c r="Z326" s="339"/>
    </row>
    <row r="327" spans="1:26" ht="15.75" customHeight="1">
      <c r="A327" s="339"/>
      <c r="B327" s="339"/>
      <c r="C327" s="339"/>
      <c r="D327" s="339"/>
      <c r="E327" s="339"/>
      <c r="F327" s="339"/>
      <c r="G327" s="339"/>
      <c r="H327" s="339"/>
      <c r="I327" s="341"/>
      <c r="J327" s="339"/>
      <c r="K327" s="339"/>
      <c r="L327" s="339"/>
      <c r="M327" s="339"/>
      <c r="N327" s="339"/>
      <c r="O327" s="341"/>
      <c r="P327" s="340"/>
      <c r="Q327" s="339"/>
      <c r="R327" s="339"/>
      <c r="S327" s="339"/>
      <c r="T327" s="339"/>
      <c r="U327" s="339"/>
      <c r="V327" s="339"/>
      <c r="W327" s="339"/>
      <c r="X327" s="339"/>
      <c r="Y327" s="339"/>
      <c r="Z327" s="339"/>
    </row>
    <row r="328" spans="1:26" ht="15.75" customHeight="1">
      <c r="A328" s="339"/>
      <c r="B328" s="339"/>
      <c r="C328" s="339"/>
      <c r="D328" s="339"/>
      <c r="E328" s="339"/>
      <c r="F328" s="339"/>
      <c r="G328" s="339"/>
      <c r="H328" s="339"/>
      <c r="I328" s="341"/>
      <c r="J328" s="339"/>
      <c r="K328" s="339"/>
      <c r="L328" s="339"/>
      <c r="M328" s="339"/>
      <c r="N328" s="339"/>
      <c r="O328" s="341"/>
      <c r="P328" s="340"/>
      <c r="Q328" s="339"/>
      <c r="R328" s="339"/>
      <c r="S328" s="339"/>
      <c r="T328" s="339"/>
      <c r="U328" s="339"/>
      <c r="V328" s="339"/>
      <c r="W328" s="339"/>
      <c r="X328" s="339"/>
      <c r="Y328" s="339"/>
      <c r="Z328" s="339"/>
    </row>
    <row r="329" spans="1:26" ht="15.75" customHeight="1">
      <c r="A329" s="339"/>
      <c r="B329" s="339"/>
      <c r="C329" s="339"/>
      <c r="D329" s="339"/>
      <c r="E329" s="339"/>
      <c r="F329" s="339"/>
      <c r="G329" s="339"/>
      <c r="H329" s="339"/>
      <c r="I329" s="341"/>
      <c r="J329" s="339"/>
      <c r="K329" s="339"/>
      <c r="L329" s="339"/>
      <c r="M329" s="339"/>
      <c r="N329" s="339"/>
      <c r="O329" s="341"/>
      <c r="P329" s="340"/>
      <c r="Q329" s="339"/>
      <c r="R329" s="339"/>
      <c r="S329" s="339"/>
      <c r="T329" s="339"/>
      <c r="U329" s="339"/>
      <c r="V329" s="339"/>
      <c r="W329" s="339"/>
      <c r="X329" s="339"/>
      <c r="Y329" s="339"/>
      <c r="Z329" s="339"/>
    </row>
    <row r="330" spans="1:26" ht="15.75" customHeight="1">
      <c r="A330" s="339"/>
      <c r="B330" s="339"/>
      <c r="C330" s="339"/>
      <c r="D330" s="339"/>
      <c r="E330" s="339"/>
      <c r="F330" s="339"/>
      <c r="G330" s="339"/>
      <c r="H330" s="339"/>
      <c r="I330" s="341"/>
      <c r="J330" s="339"/>
      <c r="K330" s="339"/>
      <c r="L330" s="339"/>
      <c r="M330" s="339"/>
      <c r="N330" s="339"/>
      <c r="O330" s="341"/>
      <c r="P330" s="340"/>
      <c r="Q330" s="339"/>
      <c r="R330" s="339"/>
      <c r="S330" s="339"/>
      <c r="T330" s="339"/>
      <c r="U330" s="339"/>
      <c r="V330" s="339"/>
      <c r="W330" s="339"/>
      <c r="X330" s="339"/>
      <c r="Y330" s="339"/>
      <c r="Z330" s="339"/>
    </row>
    <row r="331" spans="1:26" ht="15.75" customHeight="1">
      <c r="A331" s="339"/>
      <c r="B331" s="339"/>
      <c r="C331" s="339"/>
      <c r="D331" s="339"/>
      <c r="E331" s="339"/>
      <c r="F331" s="339"/>
      <c r="G331" s="339"/>
      <c r="H331" s="339"/>
      <c r="I331" s="341"/>
      <c r="J331" s="339"/>
      <c r="K331" s="339"/>
      <c r="L331" s="339"/>
      <c r="M331" s="339"/>
      <c r="N331" s="339"/>
      <c r="O331" s="341"/>
      <c r="P331" s="340"/>
      <c r="Q331" s="339"/>
      <c r="R331" s="339"/>
      <c r="S331" s="339"/>
      <c r="T331" s="339"/>
      <c r="U331" s="339"/>
      <c r="V331" s="339"/>
      <c r="W331" s="339"/>
      <c r="X331" s="339"/>
      <c r="Y331" s="339"/>
      <c r="Z331" s="339"/>
    </row>
    <row r="332" spans="1:26" ht="15.75" customHeight="1">
      <c r="A332" s="339"/>
      <c r="B332" s="339"/>
      <c r="C332" s="339"/>
      <c r="D332" s="339"/>
      <c r="E332" s="339"/>
      <c r="F332" s="339"/>
      <c r="G332" s="339"/>
      <c r="H332" s="339"/>
      <c r="I332" s="341"/>
      <c r="J332" s="339"/>
      <c r="K332" s="339"/>
      <c r="L332" s="339"/>
      <c r="M332" s="339"/>
      <c r="N332" s="339"/>
      <c r="O332" s="341"/>
      <c r="P332" s="340"/>
      <c r="Q332" s="339"/>
      <c r="R332" s="339"/>
      <c r="S332" s="339"/>
      <c r="T332" s="339"/>
      <c r="U332" s="339"/>
      <c r="V332" s="339"/>
      <c r="W332" s="339"/>
      <c r="X332" s="339"/>
      <c r="Y332" s="339"/>
      <c r="Z332" s="339"/>
    </row>
    <row r="333" spans="1:26" ht="15.75" customHeight="1">
      <c r="A333" s="339"/>
      <c r="B333" s="339"/>
      <c r="C333" s="339"/>
      <c r="D333" s="339"/>
      <c r="E333" s="339"/>
      <c r="F333" s="339"/>
      <c r="G333" s="339"/>
      <c r="H333" s="339"/>
      <c r="I333" s="341"/>
      <c r="J333" s="339"/>
      <c r="K333" s="339"/>
      <c r="L333" s="339"/>
      <c r="M333" s="339"/>
      <c r="N333" s="339"/>
      <c r="O333" s="341"/>
      <c r="P333" s="340"/>
      <c r="Q333" s="339"/>
      <c r="R333" s="339"/>
      <c r="S333" s="339"/>
      <c r="T333" s="339"/>
      <c r="U333" s="339"/>
      <c r="V333" s="339"/>
      <c r="W333" s="339"/>
      <c r="X333" s="339"/>
      <c r="Y333" s="339"/>
      <c r="Z333" s="339"/>
    </row>
    <row r="334" spans="1:26" ht="15.75" customHeight="1">
      <c r="A334" s="339"/>
      <c r="B334" s="339"/>
      <c r="C334" s="339"/>
      <c r="D334" s="339"/>
      <c r="E334" s="339"/>
      <c r="F334" s="339"/>
      <c r="G334" s="339"/>
      <c r="H334" s="339"/>
      <c r="I334" s="341"/>
      <c r="J334" s="339"/>
      <c r="K334" s="339"/>
      <c r="L334" s="339"/>
      <c r="M334" s="339"/>
      <c r="N334" s="339"/>
      <c r="O334" s="341"/>
      <c r="P334" s="340"/>
      <c r="Q334" s="339"/>
      <c r="R334" s="339"/>
      <c r="S334" s="339"/>
      <c r="T334" s="339"/>
      <c r="U334" s="339"/>
      <c r="V334" s="339"/>
      <c r="W334" s="339"/>
      <c r="X334" s="339"/>
      <c r="Y334" s="339"/>
      <c r="Z334" s="339"/>
    </row>
    <row r="335" spans="1:26" ht="15.75" customHeight="1">
      <c r="A335" s="339"/>
      <c r="B335" s="339"/>
      <c r="C335" s="339"/>
      <c r="D335" s="339"/>
      <c r="E335" s="339"/>
      <c r="F335" s="339"/>
      <c r="G335" s="339"/>
      <c r="H335" s="339"/>
      <c r="I335" s="341"/>
      <c r="J335" s="339"/>
      <c r="K335" s="339"/>
      <c r="L335" s="339"/>
      <c r="M335" s="339"/>
      <c r="N335" s="339"/>
      <c r="O335" s="341"/>
      <c r="P335" s="340"/>
      <c r="Q335" s="339"/>
      <c r="R335" s="339"/>
      <c r="S335" s="339"/>
      <c r="T335" s="339"/>
      <c r="U335" s="339"/>
      <c r="V335" s="339"/>
      <c r="W335" s="339"/>
      <c r="X335" s="339"/>
      <c r="Y335" s="339"/>
      <c r="Z335" s="339"/>
    </row>
    <row r="336" spans="1:26" ht="15.75" customHeight="1">
      <c r="A336" s="339"/>
      <c r="B336" s="339"/>
      <c r="C336" s="339"/>
      <c r="D336" s="339"/>
      <c r="E336" s="339"/>
      <c r="F336" s="339"/>
      <c r="G336" s="339"/>
      <c r="H336" s="339"/>
      <c r="I336" s="341"/>
      <c r="J336" s="339"/>
      <c r="K336" s="339"/>
      <c r="L336" s="339"/>
      <c r="M336" s="339"/>
      <c r="N336" s="339"/>
      <c r="O336" s="341"/>
      <c r="P336" s="340"/>
      <c r="Q336" s="339"/>
      <c r="R336" s="339"/>
      <c r="S336" s="339"/>
      <c r="T336" s="339"/>
      <c r="U336" s="339"/>
      <c r="V336" s="339"/>
      <c r="W336" s="339"/>
      <c r="X336" s="339"/>
      <c r="Y336" s="339"/>
      <c r="Z336" s="339"/>
    </row>
    <row r="337" spans="1:26" ht="15.75" customHeight="1">
      <c r="A337" s="339"/>
      <c r="B337" s="339"/>
      <c r="C337" s="339"/>
      <c r="D337" s="339"/>
      <c r="E337" s="339"/>
      <c r="F337" s="339"/>
      <c r="G337" s="339"/>
      <c r="H337" s="339"/>
      <c r="I337" s="341"/>
      <c r="J337" s="339"/>
      <c r="K337" s="339"/>
      <c r="L337" s="339"/>
      <c r="M337" s="339"/>
      <c r="N337" s="339"/>
      <c r="O337" s="341"/>
      <c r="P337" s="340"/>
      <c r="Q337" s="339"/>
      <c r="R337" s="339"/>
      <c r="S337" s="339"/>
      <c r="T337" s="339"/>
      <c r="U337" s="339"/>
      <c r="V337" s="339"/>
      <c r="W337" s="339"/>
      <c r="X337" s="339"/>
      <c r="Y337" s="339"/>
      <c r="Z337" s="339"/>
    </row>
    <row r="338" spans="1:26" ht="15.75" customHeight="1">
      <c r="A338" s="339"/>
      <c r="B338" s="339"/>
      <c r="C338" s="339"/>
      <c r="D338" s="339"/>
      <c r="E338" s="339"/>
      <c r="F338" s="339"/>
      <c r="G338" s="339"/>
      <c r="H338" s="339"/>
      <c r="I338" s="341"/>
      <c r="J338" s="339"/>
      <c r="K338" s="339"/>
      <c r="L338" s="339"/>
      <c r="M338" s="339"/>
      <c r="N338" s="339"/>
      <c r="O338" s="341"/>
      <c r="P338" s="340"/>
      <c r="Q338" s="339"/>
      <c r="R338" s="339"/>
      <c r="S338" s="339"/>
      <c r="T338" s="339"/>
      <c r="U338" s="339"/>
      <c r="V338" s="339"/>
      <c r="W338" s="339"/>
      <c r="X338" s="339"/>
      <c r="Y338" s="339"/>
      <c r="Z338" s="339"/>
    </row>
    <row r="339" spans="1:26" ht="15.75" customHeight="1">
      <c r="A339" s="339"/>
      <c r="B339" s="339"/>
      <c r="C339" s="339"/>
      <c r="D339" s="339"/>
      <c r="E339" s="339"/>
      <c r="F339" s="339"/>
      <c r="G339" s="339"/>
      <c r="H339" s="339"/>
      <c r="I339" s="341"/>
      <c r="J339" s="339"/>
      <c r="K339" s="339"/>
      <c r="L339" s="339"/>
      <c r="M339" s="339"/>
      <c r="N339" s="339"/>
      <c r="O339" s="341"/>
      <c r="P339" s="340"/>
      <c r="Q339" s="339"/>
      <c r="R339" s="339"/>
      <c r="S339" s="339"/>
      <c r="T339" s="339"/>
      <c r="U339" s="339"/>
      <c r="V339" s="339"/>
      <c r="W339" s="339"/>
      <c r="X339" s="339"/>
      <c r="Y339" s="339"/>
      <c r="Z339" s="339"/>
    </row>
    <row r="340" spans="1:26" ht="15.75" customHeight="1">
      <c r="A340" s="339"/>
      <c r="B340" s="339"/>
      <c r="C340" s="339"/>
      <c r="D340" s="339"/>
      <c r="E340" s="339"/>
      <c r="F340" s="339"/>
      <c r="G340" s="339"/>
      <c r="H340" s="339"/>
      <c r="I340" s="341"/>
      <c r="J340" s="339"/>
      <c r="K340" s="339"/>
      <c r="L340" s="339"/>
      <c r="M340" s="339"/>
      <c r="N340" s="339"/>
      <c r="O340" s="341"/>
      <c r="P340" s="340"/>
      <c r="Q340" s="339"/>
      <c r="R340" s="339"/>
      <c r="S340" s="339"/>
      <c r="T340" s="339"/>
      <c r="U340" s="339"/>
      <c r="V340" s="339"/>
      <c r="W340" s="339"/>
      <c r="X340" s="339"/>
      <c r="Y340" s="339"/>
      <c r="Z340" s="339"/>
    </row>
    <row r="341" spans="1:26" ht="15.75" customHeight="1">
      <c r="A341" s="339"/>
      <c r="B341" s="339"/>
      <c r="C341" s="339"/>
      <c r="D341" s="339"/>
      <c r="E341" s="339"/>
      <c r="F341" s="339"/>
      <c r="G341" s="339"/>
      <c r="H341" s="339"/>
      <c r="I341" s="341"/>
      <c r="J341" s="339"/>
      <c r="K341" s="339"/>
      <c r="L341" s="339"/>
      <c r="M341" s="339"/>
      <c r="N341" s="339"/>
      <c r="O341" s="341"/>
      <c r="P341" s="340"/>
      <c r="Q341" s="339"/>
      <c r="R341" s="339"/>
      <c r="S341" s="339"/>
      <c r="T341" s="339"/>
      <c r="U341" s="339"/>
      <c r="V341" s="339"/>
      <c r="W341" s="339"/>
      <c r="X341" s="339"/>
      <c r="Y341" s="339"/>
      <c r="Z341" s="339"/>
    </row>
    <row r="342" spans="1:26" ht="15.75" customHeight="1">
      <c r="A342" s="339"/>
      <c r="B342" s="339"/>
      <c r="C342" s="339"/>
      <c r="D342" s="339"/>
      <c r="E342" s="339"/>
      <c r="F342" s="339"/>
      <c r="G342" s="339"/>
      <c r="H342" s="339"/>
      <c r="I342" s="341"/>
      <c r="J342" s="339"/>
      <c r="K342" s="339"/>
      <c r="L342" s="339"/>
      <c r="M342" s="339"/>
      <c r="N342" s="339"/>
      <c r="O342" s="341"/>
      <c r="P342" s="340"/>
      <c r="Q342" s="339"/>
      <c r="R342" s="339"/>
      <c r="S342" s="339"/>
      <c r="T342" s="339"/>
      <c r="U342" s="339"/>
      <c r="V342" s="339"/>
      <c r="W342" s="339"/>
      <c r="X342" s="339"/>
      <c r="Y342" s="339"/>
      <c r="Z342" s="339"/>
    </row>
    <row r="343" spans="1:26" ht="15.75" customHeight="1">
      <c r="A343" s="339"/>
      <c r="B343" s="339"/>
      <c r="C343" s="339"/>
      <c r="D343" s="339"/>
      <c r="E343" s="339"/>
      <c r="F343" s="339"/>
      <c r="G343" s="339"/>
      <c r="H343" s="339"/>
      <c r="I343" s="341"/>
      <c r="J343" s="339"/>
      <c r="K343" s="339"/>
      <c r="L343" s="339"/>
      <c r="M343" s="339"/>
      <c r="N343" s="339"/>
      <c r="O343" s="341"/>
      <c r="P343" s="340"/>
      <c r="Q343" s="339"/>
      <c r="R343" s="339"/>
      <c r="S343" s="339"/>
      <c r="T343" s="339"/>
      <c r="U343" s="339"/>
      <c r="V343" s="339"/>
      <c r="W343" s="339"/>
      <c r="X343" s="339"/>
      <c r="Y343" s="339"/>
      <c r="Z343" s="339"/>
    </row>
    <row r="344" spans="1:26" ht="15.75" customHeight="1">
      <c r="A344" s="339"/>
      <c r="B344" s="339"/>
      <c r="C344" s="339"/>
      <c r="D344" s="339"/>
      <c r="E344" s="339"/>
      <c r="F344" s="339"/>
      <c r="G344" s="339"/>
      <c r="H344" s="339"/>
      <c r="I344" s="341"/>
      <c r="J344" s="339"/>
      <c r="K344" s="339"/>
      <c r="L344" s="339"/>
      <c r="M344" s="339"/>
      <c r="N344" s="339"/>
      <c r="O344" s="341"/>
      <c r="P344" s="340"/>
      <c r="Q344" s="339"/>
      <c r="R344" s="339"/>
      <c r="S344" s="339"/>
      <c r="T344" s="339"/>
      <c r="U344" s="339"/>
      <c r="V344" s="339"/>
      <c r="W344" s="339"/>
      <c r="X344" s="339"/>
      <c r="Y344" s="339"/>
      <c r="Z344" s="339"/>
    </row>
    <row r="345" spans="1:26" ht="15.75" customHeight="1">
      <c r="A345" s="339"/>
      <c r="B345" s="339"/>
      <c r="C345" s="339"/>
      <c r="D345" s="339"/>
      <c r="E345" s="339"/>
      <c r="F345" s="339"/>
      <c r="G345" s="339"/>
      <c r="H345" s="339"/>
      <c r="I345" s="341"/>
      <c r="J345" s="339"/>
      <c r="K345" s="339"/>
      <c r="L345" s="339"/>
      <c r="M345" s="339"/>
      <c r="N345" s="339"/>
      <c r="O345" s="341"/>
      <c r="P345" s="340"/>
      <c r="Q345" s="339"/>
      <c r="R345" s="339"/>
      <c r="S345" s="339"/>
      <c r="T345" s="339"/>
      <c r="U345" s="339"/>
      <c r="V345" s="339"/>
      <c r="W345" s="339"/>
      <c r="X345" s="339"/>
      <c r="Y345" s="339"/>
      <c r="Z345" s="339"/>
    </row>
    <row r="346" spans="1:26" ht="15.75" customHeight="1">
      <c r="A346" s="339"/>
      <c r="B346" s="339"/>
      <c r="C346" s="339"/>
      <c r="D346" s="339"/>
      <c r="E346" s="339"/>
      <c r="F346" s="339"/>
      <c r="G346" s="339"/>
      <c r="H346" s="339"/>
      <c r="I346" s="341"/>
      <c r="J346" s="339"/>
      <c r="K346" s="339"/>
      <c r="L346" s="339"/>
      <c r="M346" s="339"/>
      <c r="N346" s="339"/>
      <c r="O346" s="341"/>
      <c r="P346" s="340"/>
      <c r="Q346" s="339"/>
      <c r="R346" s="339"/>
      <c r="S346" s="339"/>
      <c r="T346" s="339"/>
      <c r="U346" s="339"/>
      <c r="V346" s="339"/>
      <c r="W346" s="339"/>
      <c r="X346" s="339"/>
      <c r="Y346" s="339"/>
      <c r="Z346" s="339"/>
    </row>
    <row r="347" spans="1:26" ht="15.75" customHeight="1">
      <c r="A347" s="339"/>
      <c r="B347" s="339"/>
      <c r="C347" s="339"/>
      <c r="D347" s="339"/>
      <c r="E347" s="339"/>
      <c r="F347" s="339"/>
      <c r="G347" s="339"/>
      <c r="H347" s="339"/>
      <c r="I347" s="341"/>
      <c r="J347" s="339"/>
      <c r="K347" s="339"/>
      <c r="L347" s="339"/>
      <c r="M347" s="339"/>
      <c r="N347" s="339"/>
      <c r="O347" s="341"/>
      <c r="P347" s="340"/>
      <c r="Q347" s="339"/>
      <c r="R347" s="339"/>
      <c r="S347" s="339"/>
      <c r="T347" s="339"/>
      <c r="U347" s="339"/>
      <c r="V347" s="339"/>
      <c r="W347" s="339"/>
      <c r="X347" s="339"/>
      <c r="Y347" s="339"/>
      <c r="Z347" s="339"/>
    </row>
    <row r="348" spans="1:26" ht="15.75" customHeight="1">
      <c r="A348" s="339"/>
      <c r="B348" s="339"/>
      <c r="C348" s="339"/>
      <c r="D348" s="339"/>
      <c r="E348" s="339"/>
      <c r="F348" s="339"/>
      <c r="G348" s="339"/>
      <c r="H348" s="339"/>
      <c r="I348" s="341"/>
      <c r="J348" s="339"/>
      <c r="K348" s="339"/>
      <c r="L348" s="339"/>
      <c r="M348" s="339"/>
      <c r="N348" s="339"/>
      <c r="O348" s="341"/>
      <c r="P348" s="340"/>
      <c r="Q348" s="339"/>
      <c r="R348" s="339"/>
      <c r="S348" s="339"/>
      <c r="T348" s="339"/>
      <c r="U348" s="339"/>
      <c r="V348" s="339"/>
      <c r="W348" s="339"/>
      <c r="X348" s="339"/>
      <c r="Y348" s="339"/>
      <c r="Z348" s="339"/>
    </row>
    <row r="349" spans="1:26" ht="15.75" customHeight="1">
      <c r="A349" s="339"/>
      <c r="B349" s="339"/>
      <c r="C349" s="339"/>
      <c r="D349" s="339"/>
      <c r="E349" s="339"/>
      <c r="F349" s="339"/>
      <c r="G349" s="339"/>
      <c r="H349" s="339"/>
      <c r="I349" s="341"/>
      <c r="J349" s="339"/>
      <c r="K349" s="339"/>
      <c r="L349" s="339"/>
      <c r="M349" s="339"/>
      <c r="N349" s="339"/>
      <c r="O349" s="341"/>
      <c r="P349" s="340"/>
      <c r="Q349" s="339"/>
      <c r="R349" s="339"/>
      <c r="S349" s="339"/>
      <c r="T349" s="339"/>
      <c r="U349" s="339"/>
      <c r="V349" s="339"/>
      <c r="W349" s="339"/>
      <c r="X349" s="339"/>
      <c r="Y349" s="339"/>
      <c r="Z349" s="339"/>
    </row>
    <row r="350" spans="1:26" ht="15.75" customHeight="1">
      <c r="A350" s="339"/>
      <c r="B350" s="339"/>
      <c r="C350" s="339"/>
      <c r="D350" s="339"/>
      <c r="E350" s="339"/>
      <c r="F350" s="339"/>
      <c r="G350" s="339"/>
      <c r="H350" s="339"/>
      <c r="I350" s="341"/>
      <c r="J350" s="339"/>
      <c r="K350" s="339"/>
      <c r="L350" s="339"/>
      <c r="M350" s="339"/>
      <c r="N350" s="339"/>
      <c r="O350" s="341"/>
      <c r="P350" s="340"/>
      <c r="Q350" s="339"/>
      <c r="R350" s="339"/>
      <c r="S350" s="339"/>
      <c r="T350" s="339"/>
      <c r="U350" s="339"/>
      <c r="V350" s="339"/>
      <c r="W350" s="339"/>
      <c r="X350" s="339"/>
      <c r="Y350" s="339"/>
      <c r="Z350" s="339"/>
    </row>
    <row r="351" spans="1:26" ht="15.75" customHeight="1">
      <c r="A351" s="339"/>
      <c r="B351" s="339"/>
      <c r="C351" s="339"/>
      <c r="D351" s="339"/>
      <c r="E351" s="339"/>
      <c r="F351" s="339"/>
      <c r="G351" s="339"/>
      <c r="H351" s="339"/>
      <c r="I351" s="341"/>
      <c r="J351" s="339"/>
      <c r="K351" s="339"/>
      <c r="L351" s="339"/>
      <c r="M351" s="339"/>
      <c r="N351" s="339"/>
      <c r="O351" s="341"/>
      <c r="P351" s="340"/>
      <c r="Q351" s="339"/>
      <c r="R351" s="339"/>
      <c r="S351" s="339"/>
      <c r="T351" s="339"/>
      <c r="U351" s="339"/>
      <c r="V351" s="339"/>
      <c r="W351" s="339"/>
      <c r="X351" s="339"/>
      <c r="Y351" s="339"/>
      <c r="Z351" s="339"/>
    </row>
    <row r="352" spans="1:26" ht="15.75" customHeight="1">
      <c r="A352" s="339"/>
      <c r="B352" s="339"/>
      <c r="C352" s="339"/>
      <c r="D352" s="339"/>
      <c r="E352" s="339"/>
      <c r="F352" s="339"/>
      <c r="G352" s="339"/>
      <c r="H352" s="339"/>
      <c r="I352" s="341"/>
      <c r="J352" s="339"/>
      <c r="K352" s="339"/>
      <c r="L352" s="339"/>
      <c r="M352" s="339"/>
      <c r="N352" s="339"/>
      <c r="O352" s="341"/>
      <c r="P352" s="340"/>
      <c r="Q352" s="339"/>
      <c r="R352" s="339"/>
      <c r="S352" s="339"/>
      <c r="T352" s="339"/>
      <c r="U352" s="339"/>
      <c r="V352" s="339"/>
      <c r="W352" s="339"/>
      <c r="X352" s="339"/>
      <c r="Y352" s="339"/>
      <c r="Z352" s="339"/>
    </row>
    <row r="353" spans="1:26" ht="15.75" customHeight="1">
      <c r="A353" s="339"/>
      <c r="B353" s="339"/>
      <c r="C353" s="339"/>
      <c r="D353" s="339"/>
      <c r="E353" s="339"/>
      <c r="F353" s="339"/>
      <c r="G353" s="339"/>
      <c r="H353" s="339"/>
      <c r="I353" s="341"/>
      <c r="J353" s="339"/>
      <c r="K353" s="339"/>
      <c r="L353" s="339"/>
      <c r="M353" s="339"/>
      <c r="N353" s="339"/>
      <c r="O353" s="341"/>
      <c r="P353" s="340"/>
      <c r="Q353" s="339"/>
      <c r="R353" s="339"/>
      <c r="S353" s="339"/>
      <c r="T353" s="339"/>
      <c r="U353" s="339"/>
      <c r="V353" s="339"/>
      <c r="W353" s="339"/>
      <c r="X353" s="339"/>
      <c r="Y353" s="339"/>
      <c r="Z353" s="339"/>
    </row>
    <row r="354" spans="1:26" ht="15.75" customHeight="1">
      <c r="A354" s="339"/>
      <c r="B354" s="339"/>
      <c r="C354" s="339"/>
      <c r="D354" s="339"/>
      <c r="E354" s="339"/>
      <c r="F354" s="339"/>
      <c r="G354" s="339"/>
      <c r="H354" s="339"/>
      <c r="I354" s="341"/>
      <c r="J354" s="339"/>
      <c r="K354" s="339"/>
      <c r="L354" s="339"/>
      <c r="M354" s="339"/>
      <c r="N354" s="339"/>
      <c r="O354" s="341"/>
      <c r="P354" s="340"/>
      <c r="Q354" s="339"/>
      <c r="R354" s="339"/>
      <c r="S354" s="339"/>
      <c r="T354" s="339"/>
      <c r="U354" s="339"/>
      <c r="V354" s="339"/>
      <c r="W354" s="339"/>
      <c r="X354" s="339"/>
      <c r="Y354" s="339"/>
      <c r="Z354" s="339"/>
    </row>
    <row r="355" spans="1:26" ht="15.75" customHeight="1">
      <c r="A355" s="339"/>
      <c r="B355" s="339"/>
      <c r="C355" s="339"/>
      <c r="D355" s="339"/>
      <c r="E355" s="339"/>
      <c r="F355" s="339"/>
      <c r="G355" s="339"/>
      <c r="H355" s="339"/>
      <c r="I355" s="341"/>
      <c r="J355" s="339"/>
      <c r="K355" s="339"/>
      <c r="L355" s="339"/>
      <c r="M355" s="339"/>
      <c r="N355" s="339"/>
      <c r="O355" s="341"/>
      <c r="P355" s="340"/>
      <c r="Q355" s="339"/>
      <c r="R355" s="339"/>
      <c r="S355" s="339"/>
      <c r="T355" s="339"/>
      <c r="U355" s="339"/>
      <c r="V355" s="339"/>
      <c r="W355" s="339"/>
      <c r="X355" s="339"/>
      <c r="Y355" s="339"/>
      <c r="Z355" s="339"/>
    </row>
    <row r="356" spans="1:26" ht="15.75" customHeight="1">
      <c r="A356" s="339"/>
      <c r="B356" s="339"/>
      <c r="C356" s="339"/>
      <c r="D356" s="339"/>
      <c r="E356" s="339"/>
      <c r="F356" s="339"/>
      <c r="G356" s="339"/>
      <c r="H356" s="339"/>
      <c r="I356" s="341"/>
      <c r="J356" s="339"/>
      <c r="K356" s="339"/>
      <c r="L356" s="339"/>
      <c r="M356" s="339"/>
      <c r="N356" s="339"/>
      <c r="O356" s="341"/>
      <c r="P356" s="340"/>
      <c r="Q356" s="339"/>
      <c r="R356" s="339"/>
      <c r="S356" s="339"/>
      <c r="T356" s="339"/>
      <c r="U356" s="339"/>
      <c r="V356" s="339"/>
      <c r="W356" s="339"/>
      <c r="X356" s="339"/>
      <c r="Y356" s="339"/>
      <c r="Z356" s="339"/>
    </row>
    <row r="357" spans="1:26" ht="15.75" customHeight="1">
      <c r="A357" s="339"/>
      <c r="B357" s="339"/>
      <c r="C357" s="339"/>
      <c r="D357" s="339"/>
      <c r="E357" s="339"/>
      <c r="F357" s="339"/>
      <c r="G357" s="339"/>
      <c r="H357" s="339"/>
      <c r="I357" s="341"/>
      <c r="J357" s="339"/>
      <c r="K357" s="339"/>
      <c r="L357" s="339"/>
      <c r="M357" s="339"/>
      <c r="N357" s="339"/>
      <c r="O357" s="341"/>
      <c r="P357" s="340"/>
      <c r="Q357" s="339"/>
      <c r="R357" s="339"/>
      <c r="S357" s="339"/>
      <c r="T357" s="339"/>
      <c r="U357" s="339"/>
      <c r="V357" s="339"/>
      <c r="W357" s="339"/>
      <c r="X357" s="339"/>
      <c r="Y357" s="339"/>
      <c r="Z357" s="339"/>
    </row>
    <row r="358" spans="1:26" ht="15.75" customHeight="1">
      <c r="A358" s="339"/>
      <c r="B358" s="339"/>
      <c r="C358" s="339"/>
      <c r="D358" s="339"/>
      <c r="E358" s="339"/>
      <c r="F358" s="339"/>
      <c r="G358" s="339"/>
      <c r="H358" s="339"/>
      <c r="I358" s="341"/>
      <c r="J358" s="339"/>
      <c r="K358" s="339"/>
      <c r="L358" s="339"/>
      <c r="M358" s="339"/>
      <c r="N358" s="339"/>
      <c r="O358" s="341"/>
      <c r="P358" s="340"/>
      <c r="Q358" s="339"/>
      <c r="R358" s="339"/>
      <c r="S358" s="339"/>
      <c r="T358" s="339"/>
      <c r="U358" s="339"/>
      <c r="V358" s="339"/>
      <c r="W358" s="339"/>
      <c r="X358" s="339"/>
      <c r="Y358" s="339"/>
      <c r="Z358" s="339"/>
    </row>
    <row r="359" spans="1:26" ht="15.75" customHeight="1">
      <c r="A359" s="339"/>
      <c r="B359" s="339"/>
      <c r="C359" s="339"/>
      <c r="D359" s="339"/>
      <c r="E359" s="339"/>
      <c r="F359" s="339"/>
      <c r="G359" s="339"/>
      <c r="H359" s="339"/>
      <c r="I359" s="341"/>
      <c r="J359" s="339"/>
      <c r="K359" s="339"/>
      <c r="L359" s="339"/>
      <c r="M359" s="339"/>
      <c r="N359" s="339"/>
      <c r="O359" s="341"/>
      <c r="P359" s="340"/>
      <c r="Q359" s="339"/>
      <c r="R359" s="339"/>
      <c r="S359" s="339"/>
      <c r="T359" s="339"/>
      <c r="U359" s="339"/>
      <c r="V359" s="339"/>
      <c r="W359" s="339"/>
      <c r="X359" s="339"/>
      <c r="Y359" s="339"/>
      <c r="Z359" s="339"/>
    </row>
    <row r="360" spans="1:26" ht="15.75" customHeight="1">
      <c r="A360" s="339"/>
      <c r="B360" s="339"/>
      <c r="C360" s="339"/>
      <c r="D360" s="339"/>
      <c r="E360" s="339"/>
      <c r="F360" s="339"/>
      <c r="G360" s="339"/>
      <c r="H360" s="339"/>
      <c r="I360" s="341"/>
      <c r="J360" s="339"/>
      <c r="K360" s="339"/>
      <c r="L360" s="339"/>
      <c r="M360" s="339"/>
      <c r="N360" s="339"/>
      <c r="O360" s="341"/>
      <c r="P360" s="340"/>
      <c r="Q360" s="339"/>
      <c r="R360" s="339"/>
      <c r="S360" s="339"/>
      <c r="T360" s="339"/>
      <c r="U360" s="339"/>
      <c r="V360" s="339"/>
      <c r="W360" s="339"/>
      <c r="X360" s="339"/>
      <c r="Y360" s="339"/>
      <c r="Z360" s="339"/>
    </row>
    <row r="361" spans="1:26" ht="15.75" customHeight="1">
      <c r="A361" s="339"/>
      <c r="B361" s="339"/>
      <c r="C361" s="339"/>
      <c r="D361" s="339"/>
      <c r="E361" s="339"/>
      <c r="F361" s="339"/>
      <c r="G361" s="339"/>
      <c r="H361" s="339"/>
      <c r="I361" s="341"/>
      <c r="J361" s="339"/>
      <c r="K361" s="339"/>
      <c r="L361" s="339"/>
      <c r="M361" s="339"/>
      <c r="N361" s="339"/>
      <c r="O361" s="341"/>
      <c r="P361" s="340"/>
      <c r="Q361" s="339"/>
      <c r="R361" s="339"/>
      <c r="S361" s="339"/>
      <c r="T361" s="339"/>
      <c r="U361" s="339"/>
      <c r="V361" s="339"/>
      <c r="W361" s="339"/>
      <c r="X361" s="339"/>
      <c r="Y361" s="339"/>
      <c r="Z361" s="339"/>
    </row>
    <row r="362" spans="1:26" ht="15.75" customHeight="1">
      <c r="A362" s="339"/>
      <c r="B362" s="339"/>
      <c r="C362" s="339"/>
      <c r="D362" s="339"/>
      <c r="E362" s="339"/>
      <c r="F362" s="339"/>
      <c r="G362" s="339"/>
      <c r="H362" s="339"/>
      <c r="I362" s="341"/>
      <c r="J362" s="339"/>
      <c r="K362" s="339"/>
      <c r="L362" s="339"/>
      <c r="M362" s="339"/>
      <c r="N362" s="339"/>
      <c r="O362" s="341"/>
      <c r="P362" s="340"/>
      <c r="Q362" s="339"/>
      <c r="R362" s="339"/>
      <c r="S362" s="339"/>
      <c r="T362" s="339"/>
      <c r="U362" s="339"/>
      <c r="V362" s="339"/>
      <c r="W362" s="339"/>
      <c r="X362" s="339"/>
      <c r="Y362" s="339"/>
      <c r="Z362" s="339"/>
    </row>
    <row r="363" spans="1:26" ht="15.75" customHeight="1">
      <c r="A363" s="339"/>
      <c r="B363" s="339"/>
      <c r="C363" s="339"/>
      <c r="D363" s="339"/>
      <c r="E363" s="339"/>
      <c r="F363" s="339"/>
      <c r="G363" s="339"/>
      <c r="H363" s="339"/>
      <c r="I363" s="341"/>
      <c r="J363" s="339"/>
      <c r="K363" s="339"/>
      <c r="L363" s="339"/>
      <c r="M363" s="339"/>
      <c r="N363" s="339"/>
      <c r="O363" s="341"/>
      <c r="P363" s="340"/>
      <c r="Q363" s="339"/>
      <c r="R363" s="339"/>
      <c r="S363" s="339"/>
      <c r="T363" s="339"/>
      <c r="U363" s="339"/>
      <c r="V363" s="339"/>
      <c r="W363" s="339"/>
      <c r="X363" s="339"/>
      <c r="Y363" s="339"/>
      <c r="Z363" s="339"/>
    </row>
    <row r="364" spans="1:26" ht="15.75" customHeight="1">
      <c r="A364" s="339"/>
      <c r="B364" s="339"/>
      <c r="C364" s="339"/>
      <c r="D364" s="339"/>
      <c r="E364" s="339"/>
      <c r="F364" s="339"/>
      <c r="G364" s="339"/>
      <c r="H364" s="339"/>
      <c r="I364" s="341"/>
      <c r="J364" s="339"/>
      <c r="K364" s="339"/>
      <c r="L364" s="339"/>
      <c r="M364" s="339"/>
      <c r="N364" s="339"/>
      <c r="O364" s="341"/>
      <c r="P364" s="340"/>
      <c r="Q364" s="339"/>
      <c r="R364" s="339"/>
      <c r="S364" s="339"/>
      <c r="T364" s="339"/>
      <c r="U364" s="339"/>
      <c r="V364" s="339"/>
      <c r="W364" s="339"/>
      <c r="X364" s="339"/>
      <c r="Y364" s="339"/>
      <c r="Z364" s="339"/>
    </row>
    <row r="365" spans="1:26" ht="15.75" customHeight="1">
      <c r="A365" s="339"/>
      <c r="B365" s="339"/>
      <c r="C365" s="339"/>
      <c r="D365" s="339"/>
      <c r="E365" s="339"/>
      <c r="F365" s="339"/>
      <c r="G365" s="339"/>
      <c r="H365" s="339"/>
      <c r="I365" s="341"/>
      <c r="J365" s="339"/>
      <c r="K365" s="339"/>
      <c r="L365" s="339"/>
      <c r="M365" s="339"/>
      <c r="N365" s="339"/>
      <c r="O365" s="341"/>
      <c r="P365" s="340"/>
      <c r="Q365" s="339"/>
      <c r="R365" s="339"/>
      <c r="S365" s="339"/>
      <c r="T365" s="339"/>
      <c r="U365" s="339"/>
      <c r="V365" s="339"/>
      <c r="W365" s="339"/>
      <c r="X365" s="339"/>
      <c r="Y365" s="339"/>
      <c r="Z365" s="339"/>
    </row>
    <row r="366" spans="1:26" ht="15.75" customHeight="1">
      <c r="A366" s="339"/>
      <c r="B366" s="339"/>
      <c r="C366" s="339"/>
      <c r="D366" s="339"/>
      <c r="E366" s="339"/>
      <c r="F366" s="339"/>
      <c r="G366" s="339"/>
      <c r="H366" s="339"/>
      <c r="I366" s="341"/>
      <c r="J366" s="339"/>
      <c r="K366" s="339"/>
      <c r="L366" s="339"/>
      <c r="M366" s="339"/>
      <c r="N366" s="339"/>
      <c r="O366" s="341"/>
      <c r="P366" s="340"/>
      <c r="Q366" s="339"/>
      <c r="R366" s="339"/>
      <c r="S366" s="339"/>
      <c r="T366" s="339"/>
      <c r="U366" s="339"/>
      <c r="V366" s="339"/>
      <c r="W366" s="339"/>
      <c r="X366" s="339"/>
      <c r="Y366" s="339"/>
      <c r="Z366" s="339"/>
    </row>
    <row r="367" spans="1:26" ht="15.75" customHeight="1">
      <c r="A367" s="339"/>
      <c r="B367" s="339"/>
      <c r="C367" s="339"/>
      <c r="D367" s="339"/>
      <c r="E367" s="339"/>
      <c r="F367" s="339"/>
      <c r="G367" s="339"/>
      <c r="H367" s="339"/>
      <c r="I367" s="341"/>
      <c r="J367" s="339"/>
      <c r="K367" s="339"/>
      <c r="L367" s="339"/>
      <c r="M367" s="339"/>
      <c r="N367" s="339"/>
      <c r="O367" s="341"/>
      <c r="P367" s="340"/>
      <c r="Q367" s="339"/>
      <c r="R367" s="339"/>
      <c r="S367" s="339"/>
      <c r="T367" s="339"/>
      <c r="U367" s="339"/>
      <c r="V367" s="339"/>
      <c r="W367" s="339"/>
      <c r="X367" s="339"/>
      <c r="Y367" s="339"/>
      <c r="Z367" s="339"/>
    </row>
    <row r="368" spans="1:26" ht="15.75" customHeight="1">
      <c r="A368" s="339"/>
      <c r="B368" s="339"/>
      <c r="C368" s="339"/>
      <c r="D368" s="339"/>
      <c r="E368" s="339"/>
      <c r="F368" s="339"/>
      <c r="G368" s="339"/>
      <c r="H368" s="339"/>
      <c r="I368" s="341"/>
      <c r="J368" s="339"/>
      <c r="K368" s="339"/>
      <c r="L368" s="339"/>
      <c r="M368" s="339"/>
      <c r="N368" s="339"/>
      <c r="O368" s="341"/>
      <c r="P368" s="340"/>
      <c r="Q368" s="339"/>
      <c r="R368" s="339"/>
      <c r="S368" s="339"/>
      <c r="T368" s="339"/>
      <c r="U368" s="339"/>
      <c r="V368" s="339"/>
      <c r="W368" s="339"/>
      <c r="X368" s="339"/>
      <c r="Y368" s="339"/>
      <c r="Z368" s="339"/>
    </row>
    <row r="369" spans="1:26" ht="15.75" customHeight="1">
      <c r="A369" s="339"/>
      <c r="B369" s="339"/>
      <c r="C369" s="339"/>
      <c r="D369" s="339"/>
      <c r="E369" s="339"/>
      <c r="F369" s="339"/>
      <c r="G369" s="339"/>
      <c r="H369" s="339"/>
      <c r="I369" s="341"/>
      <c r="J369" s="339"/>
      <c r="K369" s="339"/>
      <c r="L369" s="339"/>
      <c r="M369" s="339"/>
      <c r="N369" s="339"/>
      <c r="O369" s="341"/>
      <c r="P369" s="340"/>
      <c r="Q369" s="339"/>
      <c r="R369" s="339"/>
      <c r="S369" s="339"/>
      <c r="T369" s="339"/>
      <c r="U369" s="339"/>
      <c r="V369" s="339"/>
      <c r="W369" s="339"/>
      <c r="X369" s="339"/>
      <c r="Y369" s="339"/>
      <c r="Z369" s="339"/>
    </row>
    <row r="370" spans="1:26" ht="15.75" customHeight="1">
      <c r="A370" s="339"/>
      <c r="B370" s="339"/>
      <c r="C370" s="339"/>
      <c r="D370" s="339"/>
      <c r="E370" s="339"/>
      <c r="F370" s="339"/>
      <c r="G370" s="339"/>
      <c r="H370" s="339"/>
      <c r="I370" s="341"/>
      <c r="J370" s="339"/>
      <c r="K370" s="339"/>
      <c r="L370" s="339"/>
      <c r="M370" s="339"/>
      <c r="N370" s="339"/>
      <c r="O370" s="341"/>
      <c r="P370" s="340"/>
      <c r="Q370" s="339"/>
      <c r="R370" s="339"/>
      <c r="S370" s="339"/>
      <c r="T370" s="339"/>
      <c r="U370" s="339"/>
      <c r="V370" s="339"/>
      <c r="W370" s="339"/>
      <c r="X370" s="339"/>
      <c r="Y370" s="339"/>
      <c r="Z370" s="339"/>
    </row>
    <row r="371" spans="1:26" ht="15.75" customHeight="1">
      <c r="A371" s="339"/>
      <c r="B371" s="339"/>
      <c r="C371" s="339"/>
      <c r="D371" s="339"/>
      <c r="E371" s="339"/>
      <c r="F371" s="339"/>
      <c r="G371" s="339"/>
      <c r="H371" s="339"/>
      <c r="I371" s="341"/>
      <c r="J371" s="339"/>
      <c r="K371" s="339"/>
      <c r="L371" s="339"/>
      <c r="M371" s="339"/>
      <c r="N371" s="339"/>
      <c r="O371" s="341"/>
      <c r="P371" s="340"/>
      <c r="Q371" s="339"/>
      <c r="R371" s="339"/>
      <c r="S371" s="339"/>
      <c r="T371" s="339"/>
      <c r="U371" s="339"/>
      <c r="V371" s="339"/>
      <c r="W371" s="339"/>
      <c r="X371" s="339"/>
      <c r="Y371" s="339"/>
      <c r="Z371" s="339"/>
    </row>
    <row r="372" spans="1:26" ht="15.75" customHeight="1">
      <c r="A372" s="339"/>
      <c r="B372" s="339"/>
      <c r="C372" s="339"/>
      <c r="D372" s="339"/>
      <c r="E372" s="339"/>
      <c r="F372" s="339"/>
      <c r="G372" s="339"/>
      <c r="H372" s="339"/>
      <c r="I372" s="341"/>
      <c r="J372" s="339"/>
      <c r="K372" s="339"/>
      <c r="L372" s="339"/>
      <c r="M372" s="339"/>
      <c r="N372" s="339"/>
      <c r="O372" s="341"/>
      <c r="P372" s="340"/>
      <c r="Q372" s="339"/>
      <c r="R372" s="339"/>
      <c r="S372" s="339"/>
      <c r="T372" s="339"/>
      <c r="U372" s="339"/>
      <c r="V372" s="339"/>
      <c r="W372" s="339"/>
      <c r="X372" s="339"/>
      <c r="Y372" s="339"/>
      <c r="Z372" s="339"/>
    </row>
    <row r="373" spans="1:26" ht="15.75" customHeight="1">
      <c r="A373" s="339"/>
      <c r="B373" s="339"/>
      <c r="C373" s="339"/>
      <c r="D373" s="339"/>
      <c r="E373" s="339"/>
      <c r="F373" s="339"/>
      <c r="G373" s="339"/>
      <c r="H373" s="339"/>
      <c r="I373" s="341"/>
      <c r="J373" s="339"/>
      <c r="K373" s="339"/>
      <c r="L373" s="339"/>
      <c r="M373" s="339"/>
      <c r="N373" s="339"/>
      <c r="O373" s="341"/>
      <c r="P373" s="340"/>
      <c r="Q373" s="339"/>
      <c r="R373" s="339"/>
      <c r="S373" s="339"/>
      <c r="T373" s="339"/>
      <c r="U373" s="339"/>
      <c r="V373" s="339"/>
      <c r="W373" s="339"/>
      <c r="X373" s="339"/>
      <c r="Y373" s="339"/>
      <c r="Z373" s="339"/>
    </row>
    <row r="374" spans="1:26" ht="15.75" customHeight="1">
      <c r="A374" s="339"/>
      <c r="B374" s="339"/>
      <c r="C374" s="339"/>
      <c r="D374" s="339"/>
      <c r="E374" s="339"/>
      <c r="F374" s="339"/>
      <c r="G374" s="339"/>
      <c r="H374" s="339"/>
      <c r="I374" s="341"/>
      <c r="J374" s="339"/>
      <c r="K374" s="339"/>
      <c r="L374" s="339"/>
      <c r="M374" s="339"/>
      <c r="N374" s="339"/>
      <c r="O374" s="341"/>
      <c r="P374" s="340"/>
      <c r="Q374" s="339"/>
      <c r="R374" s="339"/>
      <c r="S374" s="339"/>
      <c r="T374" s="339"/>
      <c r="U374" s="339"/>
      <c r="V374" s="339"/>
      <c r="W374" s="339"/>
      <c r="X374" s="339"/>
      <c r="Y374" s="339"/>
      <c r="Z374" s="339"/>
    </row>
    <row r="375" spans="1:26" ht="15.75" customHeight="1">
      <c r="A375" s="339"/>
      <c r="B375" s="339"/>
      <c r="C375" s="339"/>
      <c r="D375" s="339"/>
      <c r="E375" s="339"/>
      <c r="F375" s="339"/>
      <c r="G375" s="339"/>
      <c r="H375" s="339"/>
      <c r="I375" s="341"/>
      <c r="J375" s="339"/>
      <c r="K375" s="339"/>
      <c r="L375" s="339"/>
      <c r="M375" s="339"/>
      <c r="N375" s="339"/>
      <c r="O375" s="341"/>
      <c r="P375" s="340"/>
      <c r="Q375" s="339"/>
      <c r="R375" s="339"/>
      <c r="S375" s="339"/>
      <c r="T375" s="339"/>
      <c r="U375" s="339"/>
      <c r="V375" s="339"/>
      <c r="W375" s="339"/>
      <c r="X375" s="339"/>
      <c r="Y375" s="339"/>
      <c r="Z375" s="339"/>
    </row>
    <row r="376" spans="1:26" ht="15.75" customHeight="1">
      <c r="A376" s="339"/>
      <c r="B376" s="339"/>
      <c r="C376" s="339"/>
      <c r="D376" s="339"/>
      <c r="E376" s="339"/>
      <c r="F376" s="339"/>
      <c r="G376" s="339"/>
      <c r="H376" s="339"/>
      <c r="I376" s="341"/>
      <c r="J376" s="339"/>
      <c r="K376" s="339"/>
      <c r="L376" s="339"/>
      <c r="M376" s="339"/>
      <c r="N376" s="339"/>
      <c r="O376" s="341"/>
      <c r="P376" s="340"/>
      <c r="Q376" s="339"/>
      <c r="R376" s="339"/>
      <c r="S376" s="339"/>
      <c r="T376" s="339"/>
      <c r="U376" s="339"/>
      <c r="V376" s="339"/>
      <c r="W376" s="339"/>
      <c r="X376" s="339"/>
      <c r="Y376" s="339"/>
      <c r="Z376" s="339"/>
    </row>
    <row r="377" spans="1:26" ht="15.75" customHeight="1">
      <c r="A377" s="339"/>
      <c r="B377" s="339"/>
      <c r="C377" s="339"/>
      <c r="D377" s="339"/>
      <c r="E377" s="339"/>
      <c r="F377" s="339"/>
      <c r="G377" s="339"/>
      <c r="H377" s="339"/>
      <c r="I377" s="341"/>
      <c r="J377" s="339"/>
      <c r="K377" s="339"/>
      <c r="L377" s="339"/>
      <c r="M377" s="339"/>
      <c r="N377" s="339"/>
      <c r="O377" s="341"/>
      <c r="P377" s="340"/>
      <c r="Q377" s="339"/>
      <c r="R377" s="339"/>
      <c r="S377" s="339"/>
      <c r="T377" s="339"/>
      <c r="U377" s="339"/>
      <c r="V377" s="339"/>
      <c r="W377" s="339"/>
      <c r="X377" s="339"/>
      <c r="Y377" s="339"/>
      <c r="Z377" s="339"/>
    </row>
    <row r="378" spans="1:26" ht="15.75" customHeight="1">
      <c r="A378" s="339"/>
      <c r="B378" s="339"/>
      <c r="C378" s="339"/>
      <c r="D378" s="339"/>
      <c r="E378" s="339"/>
      <c r="F378" s="339"/>
      <c r="G378" s="339"/>
      <c r="H378" s="339"/>
      <c r="I378" s="341"/>
      <c r="J378" s="339"/>
      <c r="K378" s="339"/>
      <c r="L378" s="339"/>
      <c r="M378" s="339"/>
      <c r="N378" s="339"/>
      <c r="O378" s="341"/>
      <c r="P378" s="340"/>
      <c r="Q378" s="339"/>
      <c r="R378" s="339"/>
      <c r="S378" s="339"/>
      <c r="T378" s="339"/>
      <c r="U378" s="339"/>
      <c r="V378" s="339"/>
      <c r="W378" s="339"/>
      <c r="X378" s="339"/>
      <c r="Y378" s="339"/>
      <c r="Z378" s="339"/>
    </row>
    <row r="379" spans="1:26" ht="15.75" customHeight="1">
      <c r="A379" s="339"/>
      <c r="B379" s="339"/>
      <c r="C379" s="339"/>
      <c r="D379" s="339"/>
      <c r="E379" s="339"/>
      <c r="F379" s="339"/>
      <c r="G379" s="339"/>
      <c r="H379" s="339"/>
      <c r="I379" s="341"/>
      <c r="J379" s="339"/>
      <c r="K379" s="339"/>
      <c r="L379" s="339"/>
      <c r="M379" s="339"/>
      <c r="N379" s="339"/>
      <c r="O379" s="341"/>
      <c r="P379" s="340"/>
      <c r="Q379" s="339"/>
      <c r="R379" s="339"/>
      <c r="S379" s="339"/>
      <c r="T379" s="339"/>
      <c r="U379" s="339"/>
      <c r="V379" s="339"/>
      <c r="W379" s="339"/>
      <c r="X379" s="339"/>
      <c r="Y379" s="339"/>
      <c r="Z379" s="339"/>
    </row>
    <row r="380" spans="1:26" ht="15.75" customHeight="1">
      <c r="A380" s="339"/>
      <c r="B380" s="339"/>
      <c r="C380" s="339"/>
      <c r="D380" s="339"/>
      <c r="E380" s="339"/>
      <c r="F380" s="339"/>
      <c r="G380" s="339"/>
      <c r="H380" s="339"/>
      <c r="I380" s="341"/>
      <c r="J380" s="339"/>
      <c r="K380" s="339"/>
      <c r="L380" s="339"/>
      <c r="M380" s="339"/>
      <c r="N380" s="339"/>
      <c r="O380" s="341"/>
      <c r="P380" s="340"/>
      <c r="Q380" s="339"/>
      <c r="R380" s="339"/>
      <c r="S380" s="339"/>
      <c r="T380" s="339"/>
      <c r="U380" s="339"/>
      <c r="V380" s="339"/>
      <c r="W380" s="339"/>
      <c r="X380" s="339"/>
      <c r="Y380" s="339"/>
      <c r="Z380" s="339"/>
    </row>
    <row r="381" spans="1:26" ht="15.75" customHeight="1">
      <c r="A381" s="339"/>
      <c r="B381" s="339"/>
      <c r="C381" s="339"/>
      <c r="D381" s="339"/>
      <c r="E381" s="339"/>
      <c r="F381" s="339"/>
      <c r="G381" s="339"/>
      <c r="H381" s="339"/>
      <c r="I381" s="341"/>
      <c r="J381" s="339"/>
      <c r="K381" s="339"/>
      <c r="L381" s="339"/>
      <c r="M381" s="339"/>
      <c r="N381" s="339"/>
      <c r="O381" s="341"/>
      <c r="P381" s="340"/>
      <c r="Q381" s="339"/>
      <c r="R381" s="339"/>
      <c r="S381" s="339"/>
      <c r="T381" s="339"/>
      <c r="U381" s="339"/>
      <c r="V381" s="339"/>
      <c r="W381" s="339"/>
      <c r="X381" s="339"/>
      <c r="Y381" s="339"/>
      <c r="Z381" s="339"/>
    </row>
    <row r="382" spans="1:26" ht="15.75" customHeight="1">
      <c r="A382" s="339"/>
      <c r="B382" s="339"/>
      <c r="C382" s="339"/>
      <c r="D382" s="339"/>
      <c r="E382" s="339"/>
      <c r="F382" s="339"/>
      <c r="G382" s="339"/>
      <c r="H382" s="339"/>
      <c r="I382" s="341"/>
      <c r="J382" s="339"/>
      <c r="K382" s="339"/>
      <c r="L382" s="339"/>
      <c r="M382" s="339"/>
      <c r="N382" s="339"/>
      <c r="O382" s="341"/>
      <c r="P382" s="340"/>
      <c r="Q382" s="339"/>
      <c r="R382" s="339"/>
      <c r="S382" s="339"/>
      <c r="T382" s="339"/>
      <c r="U382" s="339"/>
      <c r="V382" s="339"/>
      <c r="W382" s="339"/>
      <c r="X382" s="339"/>
      <c r="Y382" s="339"/>
      <c r="Z382" s="339"/>
    </row>
    <row r="383" spans="1:26" ht="15.75" customHeight="1">
      <c r="A383" s="339"/>
      <c r="B383" s="339"/>
      <c r="C383" s="339"/>
      <c r="D383" s="339"/>
      <c r="E383" s="339"/>
      <c r="F383" s="339"/>
      <c r="G383" s="339"/>
      <c r="H383" s="339"/>
      <c r="I383" s="341"/>
      <c r="J383" s="339"/>
      <c r="K383" s="339"/>
      <c r="L383" s="339"/>
      <c r="M383" s="339"/>
      <c r="N383" s="339"/>
      <c r="O383" s="341"/>
      <c r="P383" s="340"/>
      <c r="Q383" s="339"/>
      <c r="R383" s="339"/>
      <c r="S383" s="339"/>
      <c r="T383" s="339"/>
      <c r="U383" s="339"/>
      <c r="V383" s="339"/>
      <c r="W383" s="339"/>
      <c r="X383" s="339"/>
      <c r="Y383" s="339"/>
      <c r="Z383" s="339"/>
    </row>
    <row r="384" spans="1:26" ht="15.75" customHeight="1">
      <c r="A384" s="339"/>
      <c r="B384" s="339"/>
      <c r="C384" s="339"/>
      <c r="D384" s="339"/>
      <c r="E384" s="339"/>
      <c r="F384" s="339"/>
      <c r="G384" s="339"/>
      <c r="H384" s="339"/>
      <c r="I384" s="341"/>
      <c r="J384" s="339"/>
      <c r="K384" s="339"/>
      <c r="L384" s="339"/>
      <c r="M384" s="339"/>
      <c r="N384" s="339"/>
      <c r="O384" s="341"/>
      <c r="P384" s="340"/>
      <c r="Q384" s="339"/>
      <c r="R384" s="339"/>
      <c r="S384" s="339"/>
      <c r="T384" s="339"/>
      <c r="U384" s="339"/>
      <c r="V384" s="339"/>
      <c r="W384" s="339"/>
      <c r="X384" s="339"/>
      <c r="Y384" s="339"/>
      <c r="Z384" s="339"/>
    </row>
    <row r="385" spans="1:26" ht="15.75" customHeight="1">
      <c r="A385" s="339"/>
      <c r="B385" s="339"/>
      <c r="C385" s="339"/>
      <c r="D385" s="339"/>
      <c r="E385" s="339"/>
      <c r="F385" s="339"/>
      <c r="G385" s="339"/>
      <c r="H385" s="339"/>
      <c r="I385" s="341"/>
      <c r="J385" s="339"/>
      <c r="K385" s="339"/>
      <c r="L385" s="339"/>
      <c r="M385" s="339"/>
      <c r="N385" s="339"/>
      <c r="O385" s="341"/>
      <c r="P385" s="340"/>
      <c r="Q385" s="339"/>
      <c r="R385" s="339"/>
      <c r="S385" s="339"/>
      <c r="T385" s="339"/>
      <c r="U385" s="339"/>
      <c r="V385" s="339"/>
      <c r="W385" s="339"/>
      <c r="X385" s="339"/>
      <c r="Y385" s="339"/>
      <c r="Z385" s="339"/>
    </row>
    <row r="386" spans="1:26" ht="15.75" customHeight="1">
      <c r="A386" s="339"/>
      <c r="B386" s="339"/>
      <c r="C386" s="339"/>
      <c r="D386" s="339"/>
      <c r="E386" s="339"/>
      <c r="F386" s="339"/>
      <c r="G386" s="339"/>
      <c r="H386" s="339"/>
      <c r="I386" s="341"/>
      <c r="J386" s="339"/>
      <c r="K386" s="339"/>
      <c r="L386" s="339"/>
      <c r="M386" s="339"/>
      <c r="N386" s="339"/>
      <c r="O386" s="341"/>
      <c r="P386" s="340"/>
      <c r="Q386" s="339"/>
      <c r="R386" s="339"/>
      <c r="S386" s="339"/>
      <c r="T386" s="339"/>
      <c r="U386" s="339"/>
      <c r="V386" s="339"/>
      <c r="W386" s="339"/>
      <c r="X386" s="339"/>
      <c r="Y386" s="339"/>
      <c r="Z386" s="339"/>
    </row>
    <row r="387" spans="1:26" ht="15.75" customHeight="1">
      <c r="A387" s="339"/>
      <c r="B387" s="339"/>
      <c r="C387" s="339"/>
      <c r="D387" s="339"/>
      <c r="E387" s="339"/>
      <c r="F387" s="339"/>
      <c r="G387" s="339"/>
      <c r="H387" s="339"/>
      <c r="I387" s="341"/>
      <c r="J387" s="339"/>
      <c r="K387" s="339"/>
      <c r="L387" s="339"/>
      <c r="M387" s="339"/>
      <c r="N387" s="339"/>
      <c r="O387" s="341"/>
      <c r="P387" s="340"/>
      <c r="Q387" s="339"/>
      <c r="R387" s="339"/>
      <c r="S387" s="339"/>
      <c r="T387" s="339"/>
      <c r="U387" s="339"/>
      <c r="V387" s="339"/>
      <c r="W387" s="339"/>
      <c r="X387" s="339"/>
      <c r="Y387" s="339"/>
      <c r="Z387" s="339"/>
    </row>
    <row r="388" spans="1:26" ht="15.75" customHeight="1">
      <c r="A388" s="339"/>
      <c r="B388" s="339"/>
      <c r="C388" s="339"/>
      <c r="D388" s="339"/>
      <c r="E388" s="339"/>
      <c r="F388" s="339"/>
      <c r="G388" s="339"/>
      <c r="H388" s="339"/>
      <c r="I388" s="341"/>
      <c r="J388" s="339"/>
      <c r="K388" s="339"/>
      <c r="L388" s="339"/>
      <c r="M388" s="339"/>
      <c r="N388" s="339"/>
      <c r="O388" s="341"/>
      <c r="P388" s="340"/>
      <c r="Q388" s="339"/>
      <c r="R388" s="339"/>
      <c r="S388" s="339"/>
      <c r="T388" s="339"/>
      <c r="U388" s="339"/>
      <c r="V388" s="339"/>
      <c r="W388" s="339"/>
      <c r="X388" s="339"/>
      <c r="Y388" s="339"/>
      <c r="Z388" s="339"/>
    </row>
    <row r="389" spans="1:26" ht="15.75" customHeight="1">
      <c r="A389" s="339"/>
      <c r="B389" s="339"/>
      <c r="C389" s="339"/>
      <c r="D389" s="339"/>
      <c r="E389" s="339"/>
      <c r="F389" s="339"/>
      <c r="G389" s="339"/>
      <c r="H389" s="339"/>
      <c r="I389" s="341"/>
      <c r="J389" s="339"/>
      <c r="K389" s="339"/>
      <c r="L389" s="339"/>
      <c r="M389" s="339"/>
      <c r="N389" s="339"/>
      <c r="O389" s="341"/>
      <c r="P389" s="340"/>
      <c r="Q389" s="339"/>
      <c r="R389" s="339"/>
      <c r="S389" s="339"/>
      <c r="T389" s="339"/>
      <c r="U389" s="339"/>
      <c r="V389" s="339"/>
      <c r="W389" s="339"/>
      <c r="X389" s="339"/>
      <c r="Y389" s="339"/>
      <c r="Z389" s="339"/>
    </row>
    <row r="390" spans="1:26" ht="15.75" customHeight="1">
      <c r="A390" s="339"/>
      <c r="B390" s="339"/>
      <c r="C390" s="339"/>
      <c r="D390" s="339"/>
      <c r="E390" s="339"/>
      <c r="F390" s="339"/>
      <c r="G390" s="339"/>
      <c r="H390" s="339"/>
      <c r="I390" s="341"/>
      <c r="J390" s="339"/>
      <c r="K390" s="339"/>
      <c r="L390" s="339"/>
      <c r="M390" s="339"/>
      <c r="N390" s="339"/>
      <c r="O390" s="341"/>
      <c r="P390" s="340"/>
      <c r="Q390" s="339"/>
      <c r="R390" s="339"/>
      <c r="S390" s="339"/>
      <c r="T390" s="339"/>
      <c r="U390" s="339"/>
      <c r="V390" s="339"/>
      <c r="W390" s="339"/>
      <c r="X390" s="339"/>
      <c r="Y390" s="339"/>
      <c r="Z390" s="339"/>
    </row>
    <row r="391" spans="1:26" ht="15.75" customHeight="1">
      <c r="A391" s="339"/>
      <c r="B391" s="339"/>
      <c r="C391" s="339"/>
      <c r="D391" s="339"/>
      <c r="E391" s="339"/>
      <c r="F391" s="339"/>
      <c r="G391" s="339"/>
      <c r="H391" s="339"/>
      <c r="I391" s="341"/>
      <c r="J391" s="339"/>
      <c r="K391" s="339"/>
      <c r="L391" s="339"/>
      <c r="M391" s="339"/>
      <c r="N391" s="339"/>
      <c r="O391" s="341"/>
      <c r="P391" s="340"/>
      <c r="Q391" s="339"/>
      <c r="R391" s="339"/>
      <c r="S391" s="339"/>
      <c r="T391" s="339"/>
      <c r="U391" s="339"/>
      <c r="V391" s="339"/>
      <c r="W391" s="339"/>
      <c r="X391" s="339"/>
      <c r="Y391" s="339"/>
      <c r="Z391" s="339"/>
    </row>
    <row r="392" spans="1:26" ht="15.75" customHeight="1">
      <c r="A392" s="339"/>
      <c r="B392" s="339"/>
      <c r="C392" s="339"/>
      <c r="D392" s="339"/>
      <c r="E392" s="339"/>
      <c r="F392" s="339"/>
      <c r="G392" s="339"/>
      <c r="H392" s="339"/>
      <c r="I392" s="341"/>
      <c r="J392" s="339"/>
      <c r="K392" s="339"/>
      <c r="L392" s="339"/>
      <c r="M392" s="339"/>
      <c r="N392" s="339"/>
      <c r="O392" s="341"/>
      <c r="P392" s="340"/>
      <c r="Q392" s="339"/>
      <c r="R392" s="339"/>
      <c r="S392" s="339"/>
      <c r="T392" s="339"/>
      <c r="U392" s="339"/>
      <c r="V392" s="339"/>
      <c r="W392" s="339"/>
      <c r="X392" s="339"/>
      <c r="Y392" s="339"/>
      <c r="Z392" s="339"/>
    </row>
    <row r="393" spans="1:26" ht="15.75" customHeight="1">
      <c r="A393" s="339"/>
      <c r="B393" s="339"/>
      <c r="C393" s="339"/>
      <c r="D393" s="339"/>
      <c r="E393" s="339"/>
      <c r="F393" s="339"/>
      <c r="G393" s="339"/>
      <c r="H393" s="339"/>
      <c r="I393" s="341"/>
      <c r="J393" s="339"/>
      <c r="K393" s="339"/>
      <c r="L393" s="339"/>
      <c r="M393" s="339"/>
      <c r="N393" s="339"/>
      <c r="O393" s="341"/>
      <c r="P393" s="340"/>
      <c r="Q393" s="339"/>
      <c r="R393" s="339"/>
      <c r="S393" s="339"/>
      <c r="T393" s="339"/>
      <c r="U393" s="339"/>
      <c r="V393" s="339"/>
      <c r="W393" s="339"/>
      <c r="X393" s="339"/>
      <c r="Y393" s="339"/>
      <c r="Z393" s="339"/>
    </row>
    <row r="394" spans="1:26" ht="15.75" customHeight="1">
      <c r="A394" s="339"/>
      <c r="B394" s="339"/>
      <c r="C394" s="339"/>
      <c r="D394" s="339"/>
      <c r="E394" s="339"/>
      <c r="F394" s="339"/>
      <c r="G394" s="339"/>
      <c r="H394" s="339"/>
      <c r="I394" s="341"/>
      <c r="J394" s="339"/>
      <c r="K394" s="339"/>
      <c r="L394" s="339"/>
      <c r="M394" s="339"/>
      <c r="N394" s="339"/>
      <c r="O394" s="341"/>
      <c r="P394" s="340"/>
      <c r="Q394" s="339"/>
      <c r="R394" s="339"/>
      <c r="S394" s="339"/>
      <c r="T394" s="339"/>
      <c r="U394" s="339"/>
      <c r="V394" s="339"/>
      <c r="W394" s="339"/>
      <c r="X394" s="339"/>
      <c r="Y394" s="339"/>
      <c r="Z394" s="339"/>
    </row>
    <row r="395" spans="1:26" ht="15.75" customHeight="1">
      <c r="A395" s="339"/>
      <c r="B395" s="339"/>
      <c r="C395" s="339"/>
      <c r="D395" s="339"/>
      <c r="E395" s="339"/>
      <c r="F395" s="339"/>
      <c r="G395" s="339"/>
      <c r="H395" s="339"/>
      <c r="I395" s="341"/>
      <c r="J395" s="339"/>
      <c r="K395" s="339"/>
      <c r="L395" s="339"/>
      <c r="M395" s="339"/>
      <c r="N395" s="339"/>
      <c r="O395" s="341"/>
      <c r="P395" s="340"/>
      <c r="Q395" s="339"/>
      <c r="R395" s="339"/>
      <c r="S395" s="339"/>
      <c r="T395" s="339"/>
      <c r="U395" s="339"/>
      <c r="V395" s="339"/>
      <c r="W395" s="339"/>
      <c r="X395" s="339"/>
      <c r="Y395" s="339"/>
      <c r="Z395" s="339"/>
    </row>
    <row r="396" spans="1:26" ht="15.75" customHeight="1">
      <c r="A396" s="339"/>
      <c r="B396" s="339"/>
      <c r="C396" s="339"/>
      <c r="D396" s="339"/>
      <c r="E396" s="339"/>
      <c r="F396" s="339"/>
      <c r="G396" s="339"/>
      <c r="H396" s="339"/>
      <c r="I396" s="341"/>
      <c r="J396" s="339"/>
      <c r="K396" s="339"/>
      <c r="L396" s="339"/>
      <c r="M396" s="339"/>
      <c r="N396" s="339"/>
      <c r="O396" s="341"/>
      <c r="P396" s="340"/>
      <c r="Q396" s="339"/>
      <c r="R396" s="339"/>
      <c r="S396" s="339"/>
      <c r="T396" s="339"/>
      <c r="U396" s="339"/>
      <c r="V396" s="339"/>
      <c r="W396" s="339"/>
      <c r="X396" s="339"/>
      <c r="Y396" s="339"/>
      <c r="Z396" s="339"/>
    </row>
    <row r="397" spans="1:26" ht="15.75" customHeight="1">
      <c r="A397" s="339"/>
      <c r="B397" s="339"/>
      <c r="C397" s="339"/>
      <c r="D397" s="339"/>
      <c r="E397" s="339"/>
      <c r="F397" s="339"/>
      <c r="G397" s="339"/>
      <c r="H397" s="339"/>
      <c r="I397" s="341"/>
      <c r="J397" s="339"/>
      <c r="K397" s="339"/>
      <c r="L397" s="339"/>
      <c r="M397" s="339"/>
      <c r="N397" s="339"/>
      <c r="O397" s="341"/>
      <c r="P397" s="340"/>
      <c r="Q397" s="339"/>
      <c r="R397" s="339"/>
      <c r="S397" s="339"/>
      <c r="T397" s="339"/>
      <c r="U397" s="339"/>
      <c r="V397" s="339"/>
      <c r="W397" s="339"/>
      <c r="X397" s="339"/>
      <c r="Y397" s="339"/>
      <c r="Z397" s="339"/>
    </row>
    <row r="398" spans="1:26" ht="15.75" customHeight="1">
      <c r="A398" s="339"/>
      <c r="B398" s="339"/>
      <c r="C398" s="339"/>
      <c r="D398" s="339"/>
      <c r="E398" s="339"/>
      <c r="F398" s="339"/>
      <c r="G398" s="339"/>
      <c r="H398" s="339"/>
      <c r="I398" s="341"/>
      <c r="J398" s="339"/>
      <c r="K398" s="339"/>
      <c r="L398" s="339"/>
      <c r="M398" s="339"/>
      <c r="N398" s="339"/>
      <c r="O398" s="341"/>
      <c r="P398" s="340"/>
      <c r="Q398" s="339"/>
      <c r="R398" s="339"/>
      <c r="S398" s="339"/>
      <c r="T398" s="339"/>
      <c r="U398" s="339"/>
      <c r="V398" s="339"/>
      <c r="W398" s="339"/>
      <c r="X398" s="339"/>
      <c r="Y398" s="339"/>
      <c r="Z398" s="339"/>
    </row>
    <row r="399" spans="1:26" ht="15.75" customHeight="1">
      <c r="A399" s="339"/>
      <c r="B399" s="339"/>
      <c r="C399" s="339"/>
      <c r="D399" s="339"/>
      <c r="E399" s="339"/>
      <c r="F399" s="339"/>
      <c r="G399" s="339"/>
      <c r="H399" s="339"/>
      <c r="I399" s="341"/>
      <c r="J399" s="339"/>
      <c r="K399" s="339"/>
      <c r="L399" s="339"/>
      <c r="M399" s="339"/>
      <c r="N399" s="339"/>
      <c r="O399" s="341"/>
      <c r="P399" s="340"/>
      <c r="Q399" s="339"/>
      <c r="R399" s="339"/>
      <c r="S399" s="339"/>
      <c r="T399" s="339"/>
      <c r="U399" s="339"/>
      <c r="V399" s="339"/>
      <c r="W399" s="339"/>
      <c r="X399" s="339"/>
      <c r="Y399" s="339"/>
      <c r="Z399" s="339"/>
    </row>
    <row r="400" spans="1:26" ht="15.75" customHeight="1">
      <c r="A400" s="339"/>
      <c r="B400" s="339"/>
      <c r="C400" s="339"/>
      <c r="D400" s="339"/>
      <c r="E400" s="339"/>
      <c r="F400" s="339"/>
      <c r="G400" s="339"/>
      <c r="H400" s="339"/>
      <c r="I400" s="341"/>
      <c r="J400" s="339"/>
      <c r="K400" s="339"/>
      <c r="L400" s="339"/>
      <c r="M400" s="339"/>
      <c r="N400" s="339"/>
      <c r="O400" s="341"/>
      <c r="P400" s="340"/>
      <c r="Q400" s="339"/>
      <c r="R400" s="339"/>
      <c r="S400" s="339"/>
      <c r="T400" s="339"/>
      <c r="U400" s="339"/>
      <c r="V400" s="339"/>
      <c r="W400" s="339"/>
      <c r="X400" s="339"/>
      <c r="Y400" s="339"/>
      <c r="Z400" s="339"/>
    </row>
    <row r="401" spans="1:26" ht="15.75" customHeight="1">
      <c r="A401" s="339"/>
      <c r="B401" s="339"/>
      <c r="C401" s="339"/>
      <c r="D401" s="339"/>
      <c r="E401" s="339"/>
      <c r="F401" s="339"/>
      <c r="G401" s="339"/>
      <c r="H401" s="339"/>
      <c r="I401" s="341"/>
      <c r="J401" s="339"/>
      <c r="K401" s="339"/>
      <c r="L401" s="339"/>
      <c r="M401" s="339"/>
      <c r="N401" s="339"/>
      <c r="O401" s="341"/>
      <c r="P401" s="340"/>
      <c r="Q401" s="339"/>
      <c r="R401" s="339"/>
      <c r="S401" s="339"/>
      <c r="T401" s="339"/>
      <c r="U401" s="339"/>
      <c r="V401" s="339"/>
      <c r="W401" s="339"/>
      <c r="X401" s="339"/>
      <c r="Y401" s="339"/>
      <c r="Z401" s="339"/>
    </row>
    <row r="402" spans="1:26" ht="15.75" customHeight="1">
      <c r="A402" s="339"/>
      <c r="B402" s="339"/>
      <c r="C402" s="339"/>
      <c r="D402" s="339"/>
      <c r="E402" s="339"/>
      <c r="F402" s="339"/>
      <c r="G402" s="339"/>
      <c r="H402" s="339"/>
      <c r="I402" s="341"/>
      <c r="J402" s="339"/>
      <c r="K402" s="339"/>
      <c r="L402" s="339"/>
      <c r="M402" s="339"/>
      <c r="N402" s="339"/>
      <c r="O402" s="341"/>
      <c r="P402" s="340"/>
      <c r="Q402" s="339"/>
      <c r="R402" s="339"/>
      <c r="S402" s="339"/>
      <c r="T402" s="339"/>
      <c r="U402" s="339"/>
      <c r="V402" s="339"/>
      <c r="W402" s="339"/>
      <c r="X402" s="339"/>
      <c r="Y402" s="339"/>
      <c r="Z402" s="339"/>
    </row>
    <row r="403" spans="1:26" ht="15.75" customHeight="1">
      <c r="A403" s="339"/>
      <c r="B403" s="339"/>
      <c r="C403" s="339"/>
      <c r="D403" s="339"/>
      <c r="E403" s="339"/>
      <c r="F403" s="339"/>
      <c r="G403" s="339"/>
      <c r="H403" s="339"/>
      <c r="I403" s="341"/>
      <c r="J403" s="339"/>
      <c r="K403" s="339"/>
      <c r="L403" s="339"/>
      <c r="M403" s="339"/>
      <c r="N403" s="339"/>
      <c r="O403" s="341"/>
      <c r="P403" s="340"/>
      <c r="Q403" s="339"/>
      <c r="R403" s="339"/>
      <c r="S403" s="339"/>
      <c r="T403" s="339"/>
      <c r="U403" s="339"/>
      <c r="V403" s="339"/>
      <c r="W403" s="339"/>
      <c r="X403" s="339"/>
      <c r="Y403" s="339"/>
      <c r="Z403" s="339"/>
    </row>
    <row r="404" spans="1:26" ht="15.75" customHeight="1">
      <c r="A404" s="339"/>
      <c r="B404" s="339"/>
      <c r="C404" s="339"/>
      <c r="D404" s="339"/>
      <c r="E404" s="339"/>
      <c r="F404" s="339"/>
      <c r="G404" s="339"/>
      <c r="H404" s="339"/>
      <c r="I404" s="341"/>
      <c r="J404" s="339"/>
      <c r="K404" s="339"/>
      <c r="L404" s="339"/>
      <c r="M404" s="339"/>
      <c r="N404" s="339"/>
      <c r="O404" s="341"/>
      <c r="P404" s="340"/>
      <c r="Q404" s="339"/>
      <c r="R404" s="339"/>
      <c r="S404" s="339"/>
      <c r="T404" s="339"/>
      <c r="U404" s="339"/>
      <c r="V404" s="339"/>
      <c r="W404" s="339"/>
      <c r="X404" s="339"/>
      <c r="Y404" s="339"/>
      <c r="Z404" s="339"/>
    </row>
    <row r="405" spans="1:26" ht="15.75" customHeight="1">
      <c r="A405" s="339"/>
      <c r="B405" s="339"/>
      <c r="C405" s="339"/>
      <c r="D405" s="339"/>
      <c r="E405" s="339"/>
      <c r="F405" s="339"/>
      <c r="G405" s="339"/>
      <c r="H405" s="339"/>
      <c r="I405" s="341"/>
      <c r="J405" s="339"/>
      <c r="K405" s="339"/>
      <c r="L405" s="339"/>
      <c r="M405" s="339"/>
      <c r="N405" s="339"/>
      <c r="O405" s="341"/>
      <c r="P405" s="340"/>
      <c r="Q405" s="339"/>
      <c r="R405" s="339"/>
      <c r="S405" s="339"/>
      <c r="T405" s="339"/>
      <c r="U405" s="339"/>
      <c r="V405" s="339"/>
      <c r="W405" s="339"/>
      <c r="X405" s="339"/>
      <c r="Y405" s="339"/>
      <c r="Z405" s="339"/>
    </row>
    <row r="406" spans="1:26" ht="15.75" customHeight="1">
      <c r="A406" s="339"/>
      <c r="B406" s="339"/>
      <c r="C406" s="339"/>
      <c r="D406" s="339"/>
      <c r="E406" s="339"/>
      <c r="F406" s="339"/>
      <c r="G406" s="339"/>
      <c r="H406" s="339"/>
      <c r="I406" s="341"/>
      <c r="J406" s="339"/>
      <c r="K406" s="339"/>
      <c r="L406" s="339"/>
      <c r="M406" s="339"/>
      <c r="N406" s="339"/>
      <c r="O406" s="341"/>
      <c r="P406" s="340"/>
      <c r="Q406" s="339"/>
      <c r="R406" s="339"/>
      <c r="S406" s="339"/>
      <c r="T406" s="339"/>
      <c r="U406" s="339"/>
      <c r="V406" s="339"/>
      <c r="W406" s="339"/>
      <c r="X406" s="339"/>
      <c r="Y406" s="339"/>
      <c r="Z406" s="339"/>
    </row>
    <row r="407" spans="1:26" ht="15.75" customHeight="1">
      <c r="A407" s="339"/>
      <c r="B407" s="339"/>
      <c r="C407" s="339"/>
      <c r="D407" s="339"/>
      <c r="E407" s="339"/>
      <c r="F407" s="339"/>
      <c r="G407" s="339"/>
      <c r="H407" s="339"/>
      <c r="I407" s="341"/>
      <c r="J407" s="339"/>
      <c r="K407" s="339"/>
      <c r="L407" s="339"/>
      <c r="M407" s="339"/>
      <c r="N407" s="339"/>
      <c r="O407" s="341"/>
      <c r="P407" s="340"/>
      <c r="Q407" s="339"/>
      <c r="R407" s="339"/>
      <c r="S407" s="339"/>
      <c r="T407" s="339"/>
      <c r="U407" s="339"/>
      <c r="V407" s="339"/>
      <c r="W407" s="339"/>
      <c r="X407" s="339"/>
      <c r="Y407" s="339"/>
      <c r="Z407" s="339"/>
    </row>
    <row r="408" spans="1:26" ht="15.75" customHeight="1">
      <c r="A408" s="339"/>
      <c r="B408" s="339"/>
      <c r="C408" s="339"/>
      <c r="D408" s="339"/>
      <c r="E408" s="339"/>
      <c r="F408" s="339"/>
      <c r="G408" s="339"/>
      <c r="H408" s="339"/>
      <c r="I408" s="341"/>
      <c r="J408" s="339"/>
      <c r="K408" s="339"/>
      <c r="L408" s="339"/>
      <c r="M408" s="339"/>
      <c r="N408" s="339"/>
      <c r="O408" s="341"/>
      <c r="P408" s="340"/>
      <c r="Q408" s="339"/>
      <c r="R408" s="339"/>
      <c r="S408" s="339"/>
      <c r="T408" s="339"/>
      <c r="U408" s="339"/>
      <c r="V408" s="339"/>
      <c r="W408" s="339"/>
      <c r="X408" s="339"/>
      <c r="Y408" s="339"/>
      <c r="Z408" s="339"/>
    </row>
    <row r="409" spans="1:26" ht="15.75" customHeight="1">
      <c r="A409" s="339"/>
      <c r="B409" s="339"/>
      <c r="C409" s="339"/>
      <c r="D409" s="339"/>
      <c r="E409" s="339"/>
      <c r="F409" s="339"/>
      <c r="G409" s="339"/>
      <c r="H409" s="339"/>
      <c r="I409" s="341"/>
      <c r="J409" s="339"/>
      <c r="K409" s="339"/>
      <c r="L409" s="339"/>
      <c r="M409" s="339"/>
      <c r="N409" s="339"/>
      <c r="O409" s="341"/>
      <c r="P409" s="340"/>
      <c r="Q409" s="339"/>
      <c r="R409" s="339"/>
      <c r="S409" s="339"/>
      <c r="T409" s="339"/>
      <c r="U409" s="339"/>
      <c r="V409" s="339"/>
      <c r="W409" s="339"/>
      <c r="X409" s="339"/>
      <c r="Y409" s="339"/>
      <c r="Z409" s="339"/>
    </row>
    <row r="410" spans="1:26" ht="15.75" customHeight="1">
      <c r="A410" s="339"/>
      <c r="B410" s="339"/>
      <c r="C410" s="339"/>
      <c r="D410" s="339"/>
      <c r="E410" s="339"/>
      <c r="F410" s="339"/>
      <c r="G410" s="339"/>
      <c r="H410" s="339"/>
      <c r="I410" s="341"/>
      <c r="J410" s="339"/>
      <c r="K410" s="339"/>
      <c r="L410" s="339"/>
      <c r="M410" s="339"/>
      <c r="N410" s="339"/>
      <c r="O410" s="341"/>
      <c r="P410" s="340"/>
      <c r="Q410" s="339"/>
      <c r="R410" s="339"/>
      <c r="S410" s="339"/>
      <c r="T410" s="339"/>
      <c r="U410" s="339"/>
      <c r="V410" s="339"/>
      <c r="W410" s="339"/>
      <c r="X410" s="339"/>
      <c r="Y410" s="339"/>
      <c r="Z410" s="339"/>
    </row>
    <row r="411" spans="1:26" ht="15.75" customHeight="1">
      <c r="A411" s="339"/>
      <c r="B411" s="339"/>
      <c r="C411" s="339"/>
      <c r="D411" s="339"/>
      <c r="E411" s="339"/>
      <c r="F411" s="339"/>
      <c r="G411" s="339"/>
      <c r="H411" s="339"/>
      <c r="I411" s="341"/>
      <c r="J411" s="339"/>
      <c r="K411" s="339"/>
      <c r="L411" s="339"/>
      <c r="M411" s="339"/>
      <c r="N411" s="339"/>
      <c r="O411" s="341"/>
      <c r="P411" s="340"/>
      <c r="Q411" s="339"/>
      <c r="R411" s="339"/>
      <c r="S411" s="339"/>
      <c r="T411" s="339"/>
      <c r="U411" s="339"/>
      <c r="V411" s="339"/>
      <c r="W411" s="339"/>
      <c r="X411" s="339"/>
      <c r="Y411" s="339"/>
      <c r="Z411" s="339"/>
    </row>
    <row r="412" spans="1:26" ht="15.75" customHeight="1">
      <c r="A412" s="339"/>
      <c r="B412" s="339"/>
      <c r="C412" s="339"/>
      <c r="D412" s="339"/>
      <c r="E412" s="339"/>
      <c r="F412" s="339"/>
      <c r="G412" s="339"/>
      <c r="H412" s="339"/>
      <c r="I412" s="341"/>
      <c r="J412" s="339"/>
      <c r="K412" s="339"/>
      <c r="L412" s="339"/>
      <c r="M412" s="339"/>
      <c r="N412" s="339"/>
      <c r="O412" s="341"/>
      <c r="P412" s="340"/>
      <c r="Q412" s="339"/>
      <c r="R412" s="339"/>
      <c r="S412" s="339"/>
      <c r="T412" s="339"/>
      <c r="U412" s="339"/>
      <c r="V412" s="339"/>
      <c r="W412" s="339"/>
      <c r="X412" s="339"/>
      <c r="Y412" s="339"/>
      <c r="Z412" s="339"/>
    </row>
    <row r="413" spans="1:26" ht="15.75" customHeight="1">
      <c r="A413" s="339"/>
      <c r="B413" s="339"/>
      <c r="C413" s="339"/>
      <c r="D413" s="339"/>
      <c r="E413" s="339"/>
      <c r="F413" s="339"/>
      <c r="G413" s="339"/>
      <c r="H413" s="339"/>
      <c r="I413" s="341"/>
      <c r="J413" s="339"/>
      <c r="K413" s="339"/>
      <c r="L413" s="339"/>
      <c r="M413" s="339"/>
      <c r="N413" s="339"/>
      <c r="O413" s="341"/>
      <c r="P413" s="340"/>
      <c r="Q413" s="339"/>
      <c r="R413" s="339"/>
      <c r="S413" s="339"/>
      <c r="T413" s="339"/>
      <c r="U413" s="339"/>
      <c r="V413" s="339"/>
      <c r="W413" s="339"/>
      <c r="X413" s="339"/>
      <c r="Y413" s="339"/>
      <c r="Z413" s="339"/>
    </row>
    <row r="414" spans="1:26" ht="15.75" customHeight="1">
      <c r="A414" s="339"/>
      <c r="B414" s="339"/>
      <c r="C414" s="339"/>
      <c r="D414" s="339"/>
      <c r="E414" s="339"/>
      <c r="F414" s="339"/>
      <c r="G414" s="339"/>
      <c r="H414" s="339"/>
      <c r="I414" s="341"/>
      <c r="J414" s="339"/>
      <c r="K414" s="339"/>
      <c r="L414" s="339"/>
      <c r="M414" s="339"/>
      <c r="N414" s="339"/>
      <c r="O414" s="341"/>
      <c r="P414" s="340"/>
      <c r="Q414" s="339"/>
      <c r="R414" s="339"/>
      <c r="S414" s="339"/>
      <c r="T414" s="339"/>
      <c r="U414" s="339"/>
      <c r="V414" s="339"/>
      <c r="W414" s="339"/>
      <c r="X414" s="339"/>
      <c r="Y414" s="339"/>
      <c r="Z414" s="339"/>
    </row>
    <row r="415" spans="1:26" ht="15.75" customHeight="1">
      <c r="A415" s="339"/>
      <c r="B415" s="339"/>
      <c r="C415" s="339"/>
      <c r="D415" s="339"/>
      <c r="E415" s="339"/>
      <c r="F415" s="339"/>
      <c r="G415" s="339"/>
      <c r="H415" s="339"/>
      <c r="I415" s="341"/>
      <c r="J415" s="339"/>
      <c r="K415" s="339"/>
      <c r="L415" s="339"/>
      <c r="M415" s="339"/>
      <c r="N415" s="339"/>
      <c r="O415" s="341"/>
      <c r="P415" s="340"/>
      <c r="Q415" s="339"/>
      <c r="R415" s="339"/>
      <c r="S415" s="339"/>
      <c r="T415" s="339"/>
      <c r="U415" s="339"/>
      <c r="V415" s="339"/>
      <c r="W415" s="339"/>
      <c r="X415" s="339"/>
      <c r="Y415" s="339"/>
      <c r="Z415" s="339"/>
    </row>
    <row r="416" spans="1:26" ht="15.75" customHeight="1">
      <c r="A416" s="339"/>
      <c r="B416" s="339"/>
      <c r="C416" s="339"/>
      <c r="D416" s="339"/>
      <c r="E416" s="339"/>
      <c r="F416" s="339"/>
      <c r="G416" s="339"/>
      <c r="H416" s="339"/>
      <c r="I416" s="341"/>
      <c r="J416" s="339"/>
      <c r="K416" s="339"/>
      <c r="L416" s="339"/>
      <c r="M416" s="339"/>
      <c r="N416" s="339"/>
      <c r="O416" s="341"/>
      <c r="P416" s="340"/>
      <c r="Q416" s="339"/>
      <c r="R416" s="339"/>
      <c r="S416" s="339"/>
      <c r="T416" s="339"/>
      <c r="U416" s="339"/>
      <c r="V416" s="339"/>
      <c r="W416" s="339"/>
      <c r="X416" s="339"/>
      <c r="Y416" s="339"/>
      <c r="Z416" s="339"/>
    </row>
    <row r="417" spans="1:26" ht="15.75" customHeight="1">
      <c r="A417" s="339"/>
      <c r="B417" s="339"/>
      <c r="C417" s="339"/>
      <c r="D417" s="339"/>
      <c r="E417" s="339"/>
      <c r="F417" s="339"/>
      <c r="G417" s="339"/>
      <c r="H417" s="339"/>
      <c r="I417" s="341"/>
      <c r="J417" s="339"/>
      <c r="K417" s="339"/>
      <c r="L417" s="339"/>
      <c r="M417" s="339"/>
      <c r="N417" s="339"/>
      <c r="O417" s="341"/>
      <c r="P417" s="340"/>
      <c r="Q417" s="339"/>
      <c r="R417" s="339"/>
      <c r="S417" s="339"/>
      <c r="T417" s="339"/>
      <c r="U417" s="339"/>
      <c r="V417" s="339"/>
      <c r="W417" s="339"/>
      <c r="X417" s="339"/>
      <c r="Y417" s="339"/>
      <c r="Z417" s="339"/>
    </row>
    <row r="418" spans="1:26" ht="15.75" customHeight="1">
      <c r="A418" s="339"/>
      <c r="B418" s="339"/>
      <c r="C418" s="339"/>
      <c r="D418" s="339"/>
      <c r="E418" s="339"/>
      <c r="F418" s="339"/>
      <c r="G418" s="339"/>
      <c r="H418" s="339"/>
      <c r="I418" s="341"/>
      <c r="J418" s="339"/>
      <c r="K418" s="339"/>
      <c r="L418" s="339"/>
      <c r="M418" s="339"/>
      <c r="N418" s="339"/>
      <c r="O418" s="341"/>
      <c r="P418" s="340"/>
      <c r="Q418" s="339"/>
      <c r="R418" s="339"/>
      <c r="S418" s="339"/>
      <c r="T418" s="339"/>
      <c r="U418" s="339"/>
      <c r="V418" s="339"/>
      <c r="W418" s="339"/>
      <c r="X418" s="339"/>
      <c r="Y418" s="339"/>
      <c r="Z418" s="339"/>
    </row>
    <row r="419" spans="1:26" ht="15.75" customHeight="1">
      <c r="A419" s="339"/>
      <c r="B419" s="339"/>
      <c r="C419" s="339"/>
      <c r="D419" s="339"/>
      <c r="E419" s="339"/>
      <c r="F419" s="339"/>
      <c r="G419" s="339"/>
      <c r="H419" s="339"/>
      <c r="I419" s="341"/>
      <c r="J419" s="339"/>
      <c r="K419" s="339"/>
      <c r="L419" s="339"/>
      <c r="M419" s="339"/>
      <c r="N419" s="339"/>
      <c r="O419" s="341"/>
      <c r="P419" s="340"/>
      <c r="Q419" s="339"/>
      <c r="R419" s="339"/>
      <c r="S419" s="339"/>
      <c r="T419" s="339"/>
      <c r="U419" s="339"/>
      <c r="V419" s="339"/>
      <c r="W419" s="339"/>
      <c r="X419" s="339"/>
      <c r="Y419" s="339"/>
      <c r="Z419" s="339"/>
    </row>
    <row r="420" spans="1:26" ht="15.75" customHeight="1">
      <c r="A420" s="339"/>
      <c r="B420" s="339"/>
      <c r="C420" s="339"/>
      <c r="D420" s="339"/>
      <c r="E420" s="339"/>
      <c r="F420" s="339"/>
      <c r="G420" s="339"/>
      <c r="H420" s="339"/>
      <c r="I420" s="341"/>
      <c r="J420" s="339"/>
      <c r="K420" s="339"/>
      <c r="L420" s="339"/>
      <c r="M420" s="339"/>
      <c r="N420" s="339"/>
      <c r="O420" s="341"/>
      <c r="P420" s="340"/>
      <c r="Q420" s="339"/>
      <c r="R420" s="339"/>
      <c r="S420" s="339"/>
      <c r="T420" s="339"/>
      <c r="U420" s="339"/>
      <c r="V420" s="339"/>
      <c r="W420" s="339"/>
      <c r="X420" s="339"/>
      <c r="Y420" s="339"/>
      <c r="Z420" s="339"/>
    </row>
    <row r="421" spans="1:26" ht="15.75" customHeight="1">
      <c r="A421" s="339"/>
      <c r="B421" s="339"/>
      <c r="C421" s="339"/>
      <c r="D421" s="339"/>
      <c r="E421" s="339"/>
      <c r="F421" s="339"/>
      <c r="G421" s="339"/>
      <c r="H421" s="339"/>
      <c r="I421" s="341"/>
      <c r="J421" s="339"/>
      <c r="K421" s="339"/>
      <c r="L421" s="339"/>
      <c r="M421" s="339"/>
      <c r="N421" s="339"/>
      <c r="O421" s="341"/>
      <c r="P421" s="340"/>
      <c r="Q421" s="339"/>
      <c r="R421" s="339"/>
      <c r="S421" s="339"/>
      <c r="T421" s="339"/>
      <c r="U421" s="339"/>
      <c r="V421" s="339"/>
      <c r="W421" s="339"/>
      <c r="X421" s="339"/>
      <c r="Y421" s="339"/>
      <c r="Z421" s="339"/>
    </row>
    <row r="422" spans="1:26" ht="15.75" customHeight="1">
      <c r="A422" s="339"/>
      <c r="B422" s="339"/>
      <c r="C422" s="339"/>
      <c r="D422" s="339"/>
      <c r="E422" s="339"/>
      <c r="F422" s="339"/>
      <c r="G422" s="339"/>
      <c r="H422" s="339"/>
      <c r="I422" s="341"/>
      <c r="J422" s="339"/>
      <c r="K422" s="339"/>
      <c r="L422" s="339"/>
      <c r="M422" s="339"/>
      <c r="N422" s="339"/>
      <c r="O422" s="341"/>
      <c r="P422" s="340"/>
      <c r="Q422" s="339"/>
      <c r="R422" s="339"/>
      <c r="S422" s="339"/>
      <c r="T422" s="339"/>
      <c r="U422" s="339"/>
      <c r="V422" s="339"/>
      <c r="W422" s="339"/>
      <c r="X422" s="339"/>
      <c r="Y422" s="339"/>
      <c r="Z422" s="339"/>
    </row>
    <row r="423" spans="1:26" ht="15.75" customHeight="1">
      <c r="A423" s="339"/>
      <c r="B423" s="339"/>
      <c r="C423" s="339"/>
      <c r="D423" s="339"/>
      <c r="E423" s="339"/>
      <c r="F423" s="339"/>
      <c r="G423" s="339"/>
      <c r="H423" s="339"/>
      <c r="I423" s="341"/>
      <c r="J423" s="339"/>
      <c r="K423" s="339"/>
      <c r="L423" s="339"/>
      <c r="M423" s="339"/>
      <c r="N423" s="339"/>
      <c r="O423" s="341"/>
      <c r="P423" s="340"/>
      <c r="Q423" s="339"/>
      <c r="R423" s="339"/>
      <c r="S423" s="339"/>
      <c r="T423" s="339"/>
      <c r="U423" s="339"/>
      <c r="V423" s="339"/>
      <c r="W423" s="339"/>
      <c r="X423" s="339"/>
      <c r="Y423" s="339"/>
      <c r="Z423" s="339"/>
    </row>
    <row r="424" spans="1:26" ht="15.75" customHeight="1">
      <c r="A424" s="339"/>
      <c r="B424" s="339"/>
      <c r="C424" s="339"/>
      <c r="D424" s="339"/>
      <c r="E424" s="339"/>
      <c r="F424" s="339"/>
      <c r="G424" s="339"/>
      <c r="H424" s="339"/>
      <c r="I424" s="341"/>
      <c r="J424" s="339"/>
      <c r="K424" s="339"/>
      <c r="L424" s="339"/>
      <c r="M424" s="339"/>
      <c r="N424" s="339"/>
      <c r="O424" s="341"/>
      <c r="P424" s="340"/>
      <c r="Q424" s="339"/>
      <c r="R424" s="339"/>
      <c r="S424" s="339"/>
      <c r="T424" s="339"/>
      <c r="U424" s="339"/>
      <c r="V424" s="339"/>
      <c r="W424" s="339"/>
      <c r="X424" s="339"/>
      <c r="Y424" s="339"/>
      <c r="Z424" s="339"/>
    </row>
    <row r="425" spans="1:26" ht="15.75" customHeight="1">
      <c r="A425" s="339"/>
      <c r="B425" s="339"/>
      <c r="C425" s="339"/>
      <c r="D425" s="339"/>
      <c r="E425" s="339"/>
      <c r="F425" s="339"/>
      <c r="G425" s="339"/>
      <c r="H425" s="339"/>
      <c r="I425" s="341"/>
      <c r="J425" s="339"/>
      <c r="K425" s="339"/>
      <c r="L425" s="339"/>
      <c r="M425" s="339"/>
      <c r="N425" s="339"/>
      <c r="O425" s="341"/>
      <c r="P425" s="340"/>
      <c r="Q425" s="339"/>
      <c r="R425" s="339"/>
      <c r="S425" s="339"/>
      <c r="T425" s="339"/>
      <c r="U425" s="339"/>
      <c r="V425" s="339"/>
      <c r="W425" s="339"/>
      <c r="X425" s="339"/>
      <c r="Y425" s="339"/>
      <c r="Z425" s="339"/>
    </row>
    <row r="426" spans="1:26" ht="15.75" customHeight="1">
      <c r="A426" s="339"/>
      <c r="B426" s="339"/>
      <c r="C426" s="339"/>
      <c r="D426" s="339"/>
      <c r="E426" s="339"/>
      <c r="F426" s="339"/>
      <c r="G426" s="339"/>
      <c r="H426" s="339"/>
      <c r="I426" s="341"/>
      <c r="J426" s="339"/>
      <c r="K426" s="339"/>
      <c r="L426" s="339"/>
      <c r="M426" s="339"/>
      <c r="N426" s="339"/>
      <c r="O426" s="341"/>
      <c r="P426" s="340"/>
      <c r="Q426" s="339"/>
      <c r="R426" s="339"/>
      <c r="S426" s="339"/>
      <c r="T426" s="339"/>
      <c r="U426" s="339"/>
      <c r="V426" s="339"/>
      <c r="W426" s="339"/>
      <c r="X426" s="339"/>
      <c r="Y426" s="339"/>
      <c r="Z426" s="339"/>
    </row>
    <row r="427" spans="1:26" ht="15.75" customHeight="1">
      <c r="A427" s="339"/>
      <c r="B427" s="339"/>
      <c r="C427" s="339"/>
      <c r="D427" s="339"/>
      <c r="E427" s="339"/>
      <c r="F427" s="339"/>
      <c r="G427" s="339"/>
      <c r="H427" s="339"/>
      <c r="I427" s="341"/>
      <c r="J427" s="339"/>
      <c r="K427" s="339"/>
      <c r="L427" s="339"/>
      <c r="M427" s="339"/>
      <c r="N427" s="339"/>
      <c r="O427" s="341"/>
      <c r="P427" s="340"/>
      <c r="Q427" s="339"/>
      <c r="R427" s="339"/>
      <c r="S427" s="339"/>
      <c r="T427" s="339"/>
      <c r="U427" s="339"/>
      <c r="V427" s="339"/>
      <c r="W427" s="339"/>
      <c r="X427" s="339"/>
      <c r="Y427" s="339"/>
      <c r="Z427" s="339"/>
    </row>
    <row r="428" spans="1:26" ht="15.75" customHeight="1">
      <c r="A428" s="339"/>
      <c r="B428" s="339"/>
      <c r="C428" s="339"/>
      <c r="D428" s="339"/>
      <c r="E428" s="339"/>
      <c r="F428" s="339"/>
      <c r="G428" s="339"/>
      <c r="H428" s="339"/>
      <c r="I428" s="341"/>
      <c r="J428" s="339"/>
      <c r="K428" s="339"/>
      <c r="L428" s="339"/>
      <c r="M428" s="339"/>
      <c r="N428" s="339"/>
      <c r="O428" s="341"/>
      <c r="P428" s="340"/>
      <c r="Q428" s="339"/>
      <c r="R428" s="339"/>
      <c r="S428" s="339"/>
      <c r="T428" s="339"/>
      <c r="U428" s="339"/>
      <c r="V428" s="339"/>
      <c r="W428" s="339"/>
      <c r="X428" s="339"/>
      <c r="Y428" s="339"/>
      <c r="Z428" s="339"/>
    </row>
    <row r="429" spans="1:26" ht="15.75" customHeight="1">
      <c r="A429" s="339"/>
      <c r="B429" s="339"/>
      <c r="C429" s="339"/>
      <c r="D429" s="339"/>
      <c r="E429" s="339"/>
      <c r="F429" s="339"/>
      <c r="G429" s="339"/>
      <c r="H429" s="339"/>
      <c r="I429" s="341"/>
      <c r="J429" s="339"/>
      <c r="K429" s="339"/>
      <c r="L429" s="339"/>
      <c r="M429" s="339"/>
      <c r="N429" s="339"/>
      <c r="O429" s="341"/>
      <c r="P429" s="340"/>
      <c r="Q429" s="339"/>
      <c r="R429" s="339"/>
      <c r="S429" s="339"/>
      <c r="T429" s="339"/>
      <c r="U429" s="339"/>
      <c r="V429" s="339"/>
      <c r="W429" s="339"/>
      <c r="X429" s="339"/>
      <c r="Y429" s="339"/>
      <c r="Z429" s="339"/>
    </row>
    <row r="430" spans="1:26" ht="15.75" customHeight="1">
      <c r="A430" s="339"/>
      <c r="B430" s="339"/>
      <c r="C430" s="339"/>
      <c r="D430" s="339"/>
      <c r="E430" s="339"/>
      <c r="F430" s="339"/>
      <c r="G430" s="339"/>
      <c r="H430" s="339"/>
      <c r="I430" s="341"/>
      <c r="J430" s="339"/>
      <c r="K430" s="339"/>
      <c r="L430" s="339"/>
      <c r="M430" s="339"/>
      <c r="N430" s="339"/>
      <c r="O430" s="341"/>
      <c r="P430" s="340"/>
      <c r="Q430" s="339"/>
      <c r="R430" s="339"/>
      <c r="S430" s="339"/>
      <c r="T430" s="339"/>
      <c r="U430" s="339"/>
      <c r="V430" s="339"/>
      <c r="W430" s="339"/>
      <c r="X430" s="339"/>
      <c r="Y430" s="339"/>
      <c r="Z430" s="339"/>
    </row>
    <row r="431" spans="1:26" ht="15.75" customHeight="1">
      <c r="A431" s="339"/>
      <c r="B431" s="339"/>
      <c r="C431" s="339"/>
      <c r="D431" s="339"/>
      <c r="E431" s="339"/>
      <c r="F431" s="339"/>
      <c r="G431" s="339"/>
      <c r="H431" s="339"/>
      <c r="I431" s="341"/>
      <c r="J431" s="339"/>
      <c r="K431" s="339"/>
      <c r="L431" s="339"/>
      <c r="M431" s="339"/>
      <c r="N431" s="339"/>
      <c r="O431" s="341"/>
      <c r="P431" s="340"/>
      <c r="Q431" s="339"/>
      <c r="R431" s="339"/>
      <c r="S431" s="339"/>
      <c r="T431" s="339"/>
      <c r="U431" s="339"/>
      <c r="V431" s="339"/>
      <c r="W431" s="339"/>
      <c r="X431" s="339"/>
      <c r="Y431" s="339"/>
      <c r="Z431" s="339"/>
    </row>
    <row r="432" spans="1:26" ht="15.75" customHeight="1">
      <c r="A432" s="339"/>
      <c r="B432" s="339"/>
      <c r="C432" s="339"/>
      <c r="D432" s="339"/>
      <c r="E432" s="339"/>
      <c r="F432" s="339"/>
      <c r="G432" s="339"/>
      <c r="H432" s="339"/>
      <c r="I432" s="341"/>
      <c r="J432" s="339"/>
      <c r="K432" s="339"/>
      <c r="L432" s="339"/>
      <c r="M432" s="339"/>
      <c r="N432" s="339"/>
      <c r="O432" s="341"/>
      <c r="P432" s="340"/>
      <c r="Q432" s="339"/>
      <c r="R432" s="339"/>
      <c r="S432" s="339"/>
      <c r="T432" s="339"/>
      <c r="U432" s="339"/>
      <c r="V432" s="339"/>
      <c r="W432" s="339"/>
      <c r="X432" s="339"/>
      <c r="Y432" s="339"/>
      <c r="Z432" s="339"/>
    </row>
    <row r="433" spans="1:26" ht="15.75" customHeight="1">
      <c r="A433" s="339"/>
      <c r="B433" s="339"/>
      <c r="C433" s="339"/>
      <c r="D433" s="339"/>
      <c r="E433" s="339"/>
      <c r="F433" s="339"/>
      <c r="G433" s="339"/>
      <c r="H433" s="339"/>
      <c r="I433" s="341"/>
      <c r="J433" s="339"/>
      <c r="K433" s="339"/>
      <c r="L433" s="339"/>
      <c r="M433" s="339"/>
      <c r="N433" s="339"/>
      <c r="O433" s="341"/>
      <c r="P433" s="340"/>
      <c r="Q433" s="339"/>
      <c r="R433" s="339"/>
      <c r="S433" s="339"/>
      <c r="T433" s="339"/>
      <c r="U433" s="339"/>
      <c r="V433" s="339"/>
      <c r="W433" s="339"/>
      <c r="X433" s="339"/>
      <c r="Y433" s="339"/>
      <c r="Z433" s="339"/>
    </row>
    <row r="434" spans="1:26" ht="15.75" customHeight="1">
      <c r="A434" s="339"/>
      <c r="B434" s="339"/>
      <c r="C434" s="339"/>
      <c r="D434" s="339"/>
      <c r="E434" s="339"/>
      <c r="F434" s="339"/>
      <c r="G434" s="339"/>
      <c r="H434" s="339"/>
      <c r="I434" s="341"/>
      <c r="J434" s="339"/>
      <c r="K434" s="339"/>
      <c r="L434" s="339"/>
      <c r="M434" s="339"/>
      <c r="N434" s="339"/>
      <c r="O434" s="341"/>
      <c r="P434" s="340"/>
      <c r="Q434" s="339"/>
      <c r="R434" s="339"/>
      <c r="S434" s="339"/>
      <c r="T434" s="339"/>
      <c r="U434" s="339"/>
      <c r="V434" s="339"/>
      <c r="W434" s="339"/>
      <c r="X434" s="339"/>
      <c r="Y434" s="339"/>
      <c r="Z434" s="339"/>
    </row>
    <row r="435" spans="1:26" ht="15.75" customHeight="1">
      <c r="A435" s="339"/>
      <c r="B435" s="339"/>
      <c r="C435" s="339"/>
      <c r="D435" s="339"/>
      <c r="E435" s="339"/>
      <c r="F435" s="339"/>
      <c r="G435" s="339"/>
      <c r="H435" s="339"/>
      <c r="I435" s="341"/>
      <c r="J435" s="339"/>
      <c r="K435" s="339"/>
      <c r="L435" s="339"/>
      <c r="M435" s="339"/>
      <c r="N435" s="339"/>
      <c r="O435" s="341"/>
      <c r="P435" s="340"/>
      <c r="Q435" s="339"/>
      <c r="R435" s="339"/>
      <c r="S435" s="339"/>
      <c r="T435" s="339"/>
      <c r="U435" s="339"/>
      <c r="V435" s="339"/>
      <c r="W435" s="339"/>
      <c r="X435" s="339"/>
      <c r="Y435" s="339"/>
      <c r="Z435" s="339"/>
    </row>
    <row r="436" spans="1:26" ht="15.75" customHeight="1">
      <c r="A436" s="339"/>
      <c r="B436" s="339"/>
      <c r="C436" s="339"/>
      <c r="D436" s="339"/>
      <c r="E436" s="339"/>
      <c r="F436" s="339"/>
      <c r="G436" s="339"/>
      <c r="H436" s="339"/>
      <c r="I436" s="341"/>
      <c r="J436" s="339"/>
      <c r="K436" s="339"/>
      <c r="L436" s="339"/>
      <c r="M436" s="339"/>
      <c r="N436" s="339"/>
      <c r="O436" s="341"/>
      <c r="P436" s="340"/>
      <c r="Q436" s="339"/>
      <c r="R436" s="339"/>
      <c r="S436" s="339"/>
      <c r="T436" s="339"/>
      <c r="U436" s="339"/>
      <c r="V436" s="339"/>
      <c r="W436" s="339"/>
      <c r="X436" s="339"/>
      <c r="Y436" s="339"/>
      <c r="Z436" s="339"/>
    </row>
    <row r="437" spans="1:26" ht="15.75" customHeight="1">
      <c r="A437" s="339"/>
      <c r="B437" s="339"/>
      <c r="C437" s="339"/>
      <c r="D437" s="339"/>
      <c r="E437" s="339"/>
      <c r="F437" s="339"/>
      <c r="G437" s="339"/>
      <c r="H437" s="339"/>
      <c r="I437" s="341"/>
      <c r="J437" s="339"/>
      <c r="K437" s="339"/>
      <c r="L437" s="339"/>
      <c r="M437" s="339"/>
      <c r="N437" s="339"/>
      <c r="O437" s="341"/>
      <c r="P437" s="340"/>
      <c r="Q437" s="339"/>
      <c r="R437" s="339"/>
      <c r="S437" s="339"/>
      <c r="T437" s="339"/>
      <c r="U437" s="339"/>
      <c r="V437" s="339"/>
      <c r="W437" s="339"/>
      <c r="X437" s="339"/>
      <c r="Y437" s="339"/>
      <c r="Z437" s="339"/>
    </row>
    <row r="438" spans="1:26" ht="15.75" customHeight="1">
      <c r="A438" s="339"/>
      <c r="B438" s="339"/>
      <c r="C438" s="339"/>
      <c r="D438" s="339"/>
      <c r="E438" s="339"/>
      <c r="F438" s="339"/>
      <c r="G438" s="339"/>
      <c r="H438" s="339"/>
      <c r="I438" s="341"/>
      <c r="J438" s="339"/>
      <c r="K438" s="339"/>
      <c r="L438" s="339"/>
      <c r="M438" s="339"/>
      <c r="N438" s="339"/>
      <c r="O438" s="341"/>
      <c r="P438" s="340"/>
      <c r="Q438" s="339"/>
      <c r="R438" s="339"/>
      <c r="S438" s="339"/>
      <c r="T438" s="339"/>
      <c r="U438" s="339"/>
      <c r="V438" s="339"/>
      <c r="W438" s="339"/>
      <c r="X438" s="339"/>
      <c r="Y438" s="339"/>
      <c r="Z438" s="339"/>
    </row>
    <row r="439" spans="1:26" ht="15.75" customHeight="1">
      <c r="A439" s="339"/>
      <c r="B439" s="339"/>
      <c r="C439" s="339"/>
      <c r="D439" s="339"/>
      <c r="E439" s="339"/>
      <c r="F439" s="339"/>
      <c r="G439" s="339"/>
      <c r="H439" s="339"/>
      <c r="I439" s="341"/>
      <c r="J439" s="339"/>
      <c r="K439" s="339"/>
      <c r="L439" s="339"/>
      <c r="M439" s="339"/>
      <c r="N439" s="339"/>
      <c r="O439" s="341"/>
      <c r="P439" s="340"/>
      <c r="Q439" s="339"/>
      <c r="R439" s="339"/>
      <c r="S439" s="339"/>
      <c r="T439" s="339"/>
      <c r="U439" s="339"/>
      <c r="V439" s="339"/>
      <c r="W439" s="339"/>
      <c r="X439" s="339"/>
      <c r="Y439" s="339"/>
      <c r="Z439" s="339"/>
    </row>
    <row r="440" spans="1:26" ht="15.75" customHeight="1">
      <c r="A440" s="339"/>
      <c r="B440" s="339"/>
      <c r="C440" s="339"/>
      <c r="D440" s="339"/>
      <c r="E440" s="339"/>
      <c r="F440" s="339"/>
      <c r="G440" s="339"/>
      <c r="H440" s="339"/>
      <c r="I440" s="341"/>
      <c r="J440" s="339"/>
      <c r="K440" s="339"/>
      <c r="L440" s="339"/>
      <c r="M440" s="339"/>
      <c r="N440" s="339"/>
      <c r="O440" s="341"/>
      <c r="P440" s="340"/>
      <c r="Q440" s="339"/>
      <c r="R440" s="339"/>
      <c r="S440" s="339"/>
      <c r="T440" s="339"/>
      <c r="U440" s="339"/>
      <c r="V440" s="339"/>
      <c r="W440" s="339"/>
      <c r="X440" s="339"/>
      <c r="Y440" s="339"/>
      <c r="Z440" s="339"/>
    </row>
    <row r="441" spans="1:26" ht="15.75" customHeight="1">
      <c r="A441" s="339"/>
      <c r="B441" s="339"/>
      <c r="C441" s="339"/>
      <c r="D441" s="339"/>
      <c r="E441" s="339"/>
      <c r="F441" s="339"/>
      <c r="G441" s="339"/>
      <c r="H441" s="339"/>
      <c r="I441" s="341"/>
      <c r="J441" s="339"/>
      <c r="K441" s="339"/>
      <c r="L441" s="339"/>
      <c r="M441" s="339"/>
      <c r="N441" s="339"/>
      <c r="O441" s="341"/>
      <c r="P441" s="340"/>
      <c r="Q441" s="339"/>
      <c r="R441" s="339"/>
      <c r="S441" s="339"/>
      <c r="T441" s="339"/>
      <c r="U441" s="339"/>
      <c r="V441" s="339"/>
      <c r="W441" s="339"/>
      <c r="X441" s="339"/>
      <c r="Y441" s="339"/>
      <c r="Z441" s="339"/>
    </row>
    <row r="442" spans="1:26" ht="15.75" customHeight="1">
      <c r="A442" s="339"/>
      <c r="B442" s="339"/>
      <c r="C442" s="339"/>
      <c r="D442" s="339"/>
      <c r="E442" s="339"/>
      <c r="F442" s="339"/>
      <c r="G442" s="339"/>
      <c r="H442" s="339"/>
      <c r="I442" s="341"/>
      <c r="J442" s="339"/>
      <c r="K442" s="339"/>
      <c r="L442" s="339"/>
      <c r="M442" s="339"/>
      <c r="N442" s="339"/>
      <c r="O442" s="341"/>
      <c r="P442" s="340"/>
      <c r="Q442" s="339"/>
      <c r="R442" s="339"/>
      <c r="S442" s="339"/>
      <c r="T442" s="339"/>
      <c r="U442" s="339"/>
      <c r="V442" s="339"/>
      <c r="W442" s="339"/>
      <c r="X442" s="339"/>
      <c r="Y442" s="339"/>
      <c r="Z442" s="339"/>
    </row>
    <row r="443" spans="1:26" ht="15.75" customHeight="1">
      <c r="A443" s="339"/>
      <c r="B443" s="339"/>
      <c r="C443" s="339"/>
      <c r="D443" s="339"/>
      <c r="E443" s="339"/>
      <c r="F443" s="339"/>
      <c r="G443" s="339"/>
      <c r="H443" s="339"/>
      <c r="I443" s="341"/>
      <c r="J443" s="339"/>
      <c r="K443" s="339"/>
      <c r="L443" s="339"/>
      <c r="M443" s="339"/>
      <c r="N443" s="339"/>
      <c r="O443" s="341"/>
      <c r="P443" s="340"/>
      <c r="Q443" s="339"/>
      <c r="R443" s="339"/>
      <c r="S443" s="339"/>
      <c r="T443" s="339"/>
      <c r="U443" s="339"/>
      <c r="V443" s="339"/>
      <c r="W443" s="339"/>
      <c r="X443" s="339"/>
      <c r="Y443" s="339"/>
      <c r="Z443" s="339"/>
    </row>
    <row r="444" spans="1:26" ht="15.75" customHeight="1">
      <c r="A444" s="339"/>
      <c r="B444" s="339"/>
      <c r="C444" s="339"/>
      <c r="D444" s="339"/>
      <c r="E444" s="339"/>
      <c r="F444" s="339"/>
      <c r="G444" s="339"/>
      <c r="H444" s="339"/>
      <c r="I444" s="341"/>
      <c r="J444" s="339"/>
      <c r="K444" s="339"/>
      <c r="L444" s="339"/>
      <c r="M444" s="339"/>
      <c r="N444" s="339"/>
      <c r="O444" s="341"/>
      <c r="P444" s="340"/>
      <c r="Q444" s="339"/>
      <c r="R444" s="339"/>
      <c r="S444" s="339"/>
      <c r="T444" s="339"/>
      <c r="U444" s="339"/>
      <c r="V444" s="339"/>
      <c r="W444" s="339"/>
      <c r="X444" s="339"/>
      <c r="Y444" s="339"/>
      <c r="Z444" s="339"/>
    </row>
    <row r="445" spans="1:26" ht="15.75" customHeight="1">
      <c r="A445" s="339"/>
      <c r="B445" s="339"/>
      <c r="C445" s="339"/>
      <c r="D445" s="339"/>
      <c r="E445" s="339"/>
      <c r="F445" s="339"/>
      <c r="G445" s="339"/>
      <c r="H445" s="339"/>
      <c r="I445" s="341"/>
      <c r="J445" s="339"/>
      <c r="K445" s="339"/>
      <c r="L445" s="339"/>
      <c r="M445" s="339"/>
      <c r="N445" s="339"/>
      <c r="O445" s="341"/>
      <c r="P445" s="340"/>
      <c r="Q445" s="339"/>
      <c r="R445" s="339"/>
      <c r="S445" s="339"/>
      <c r="T445" s="339"/>
      <c r="U445" s="339"/>
      <c r="V445" s="339"/>
      <c r="W445" s="339"/>
      <c r="X445" s="339"/>
      <c r="Y445" s="339"/>
      <c r="Z445" s="339"/>
    </row>
    <row r="446" spans="1:26" ht="15.75" customHeight="1">
      <c r="A446" s="339"/>
      <c r="B446" s="339"/>
      <c r="C446" s="339"/>
      <c r="D446" s="339"/>
      <c r="E446" s="339"/>
      <c r="F446" s="339"/>
      <c r="G446" s="339"/>
      <c r="H446" s="339"/>
      <c r="I446" s="341"/>
      <c r="J446" s="339"/>
      <c r="K446" s="339"/>
      <c r="L446" s="339"/>
      <c r="M446" s="339"/>
      <c r="N446" s="339"/>
      <c r="O446" s="341"/>
      <c r="P446" s="340"/>
      <c r="Q446" s="339"/>
      <c r="R446" s="339"/>
      <c r="S446" s="339"/>
      <c r="T446" s="339"/>
      <c r="U446" s="339"/>
      <c r="V446" s="339"/>
      <c r="W446" s="339"/>
      <c r="X446" s="339"/>
      <c r="Y446" s="339"/>
      <c r="Z446" s="339"/>
    </row>
    <row r="447" spans="1:26" ht="15.75" customHeight="1">
      <c r="A447" s="339"/>
      <c r="B447" s="339"/>
      <c r="C447" s="339"/>
      <c r="D447" s="339"/>
      <c r="E447" s="339"/>
      <c r="F447" s="339"/>
      <c r="G447" s="339"/>
      <c r="H447" s="339"/>
      <c r="I447" s="341"/>
      <c r="J447" s="339"/>
      <c r="K447" s="339"/>
      <c r="L447" s="339"/>
      <c r="M447" s="339"/>
      <c r="N447" s="339"/>
      <c r="O447" s="341"/>
      <c r="P447" s="340"/>
      <c r="Q447" s="339"/>
      <c r="R447" s="339"/>
      <c r="S447" s="339"/>
      <c r="T447" s="339"/>
      <c r="U447" s="339"/>
      <c r="V447" s="339"/>
      <c r="W447" s="339"/>
      <c r="X447" s="339"/>
      <c r="Y447" s="339"/>
      <c r="Z447" s="339"/>
    </row>
    <row r="448" spans="1:26" ht="15.75" customHeight="1">
      <c r="A448" s="339"/>
      <c r="B448" s="339"/>
      <c r="C448" s="339"/>
      <c r="D448" s="339"/>
      <c r="E448" s="339"/>
      <c r="F448" s="339"/>
      <c r="G448" s="339"/>
      <c r="H448" s="339"/>
      <c r="I448" s="341"/>
      <c r="J448" s="339"/>
      <c r="K448" s="339"/>
      <c r="L448" s="339"/>
      <c r="M448" s="339"/>
      <c r="N448" s="339"/>
      <c r="O448" s="341"/>
      <c r="P448" s="340"/>
      <c r="Q448" s="339"/>
      <c r="R448" s="339"/>
      <c r="S448" s="339"/>
      <c r="T448" s="339"/>
      <c r="U448" s="339"/>
      <c r="V448" s="339"/>
      <c r="W448" s="339"/>
      <c r="X448" s="339"/>
      <c r="Y448" s="339"/>
      <c r="Z448" s="339"/>
    </row>
    <row r="449" spans="1:26" ht="15.75" customHeight="1">
      <c r="A449" s="339"/>
      <c r="B449" s="339"/>
      <c r="C449" s="339"/>
      <c r="D449" s="339"/>
      <c r="E449" s="339"/>
      <c r="F449" s="339"/>
      <c r="G449" s="339"/>
      <c r="H449" s="339"/>
      <c r="I449" s="341"/>
      <c r="J449" s="339"/>
      <c r="K449" s="339"/>
      <c r="L449" s="339"/>
      <c r="M449" s="339"/>
      <c r="N449" s="339"/>
      <c r="O449" s="341"/>
      <c r="P449" s="340"/>
      <c r="Q449" s="339"/>
      <c r="R449" s="339"/>
      <c r="S449" s="339"/>
      <c r="T449" s="339"/>
      <c r="U449" s="339"/>
      <c r="V449" s="339"/>
      <c r="W449" s="339"/>
      <c r="X449" s="339"/>
      <c r="Y449" s="339"/>
      <c r="Z449" s="339"/>
    </row>
    <row r="450" spans="1:26" ht="15.75" customHeight="1">
      <c r="A450" s="339"/>
      <c r="B450" s="339"/>
      <c r="C450" s="339"/>
      <c r="D450" s="339"/>
      <c r="E450" s="339"/>
      <c r="F450" s="339"/>
      <c r="G450" s="339"/>
      <c r="H450" s="339"/>
      <c r="I450" s="341"/>
      <c r="J450" s="339"/>
      <c r="K450" s="339"/>
      <c r="L450" s="339"/>
      <c r="M450" s="339"/>
      <c r="N450" s="339"/>
      <c r="O450" s="341"/>
      <c r="P450" s="340"/>
      <c r="Q450" s="339"/>
      <c r="R450" s="339"/>
      <c r="S450" s="339"/>
      <c r="T450" s="339"/>
      <c r="U450" s="339"/>
      <c r="V450" s="339"/>
      <c r="W450" s="339"/>
      <c r="X450" s="339"/>
      <c r="Y450" s="339"/>
      <c r="Z450" s="339"/>
    </row>
    <row r="451" spans="1:26" ht="15.75" customHeight="1">
      <c r="A451" s="339"/>
      <c r="B451" s="339"/>
      <c r="C451" s="339"/>
      <c r="D451" s="339"/>
      <c r="E451" s="339"/>
      <c r="F451" s="339"/>
      <c r="G451" s="339"/>
      <c r="H451" s="339"/>
      <c r="I451" s="341"/>
      <c r="J451" s="339"/>
      <c r="K451" s="339"/>
      <c r="L451" s="339"/>
      <c r="M451" s="339"/>
      <c r="N451" s="339"/>
      <c r="O451" s="341"/>
      <c r="P451" s="340"/>
      <c r="Q451" s="339"/>
      <c r="R451" s="339"/>
      <c r="S451" s="339"/>
      <c r="T451" s="339"/>
      <c r="U451" s="339"/>
      <c r="V451" s="339"/>
      <c r="W451" s="339"/>
      <c r="X451" s="339"/>
      <c r="Y451" s="339"/>
      <c r="Z451" s="339"/>
    </row>
    <row r="452" spans="1:26" ht="15.75" customHeight="1">
      <c r="A452" s="339"/>
      <c r="B452" s="339"/>
      <c r="C452" s="339"/>
      <c r="D452" s="339"/>
      <c r="E452" s="339"/>
      <c r="F452" s="339"/>
      <c r="G452" s="339"/>
      <c r="H452" s="339"/>
      <c r="I452" s="341"/>
      <c r="J452" s="339"/>
      <c r="K452" s="339"/>
      <c r="L452" s="339"/>
      <c r="M452" s="339"/>
      <c r="N452" s="339"/>
      <c r="O452" s="341"/>
      <c r="P452" s="340"/>
      <c r="Q452" s="339"/>
      <c r="R452" s="339"/>
      <c r="S452" s="339"/>
      <c r="T452" s="339"/>
      <c r="U452" s="339"/>
      <c r="V452" s="339"/>
      <c r="W452" s="339"/>
      <c r="X452" s="339"/>
      <c r="Y452" s="339"/>
      <c r="Z452" s="339"/>
    </row>
    <row r="453" spans="1:26" ht="15.75" customHeight="1">
      <c r="A453" s="339"/>
      <c r="B453" s="339"/>
      <c r="C453" s="339"/>
      <c r="D453" s="339"/>
      <c r="E453" s="339"/>
      <c r="F453" s="339"/>
      <c r="G453" s="339"/>
      <c r="H453" s="339"/>
      <c r="I453" s="341"/>
      <c r="J453" s="339"/>
      <c r="K453" s="339"/>
      <c r="L453" s="339"/>
      <c r="M453" s="339"/>
      <c r="N453" s="339"/>
      <c r="O453" s="341"/>
      <c r="P453" s="340"/>
      <c r="Q453" s="339"/>
      <c r="R453" s="339"/>
      <c r="S453" s="339"/>
      <c r="T453" s="339"/>
      <c r="U453" s="339"/>
      <c r="V453" s="339"/>
      <c r="W453" s="339"/>
      <c r="X453" s="339"/>
      <c r="Y453" s="339"/>
      <c r="Z453" s="339"/>
    </row>
    <row r="454" spans="1:26" ht="15.75" customHeight="1">
      <c r="A454" s="339"/>
      <c r="B454" s="339"/>
      <c r="C454" s="339"/>
      <c r="D454" s="339"/>
      <c r="E454" s="339"/>
      <c r="F454" s="339"/>
      <c r="G454" s="339"/>
      <c r="H454" s="339"/>
      <c r="I454" s="341"/>
      <c r="J454" s="339"/>
      <c r="K454" s="339"/>
      <c r="L454" s="339"/>
      <c r="M454" s="339"/>
      <c r="N454" s="339"/>
      <c r="O454" s="341"/>
      <c r="P454" s="340"/>
      <c r="Q454" s="339"/>
      <c r="R454" s="339"/>
      <c r="S454" s="339"/>
      <c r="T454" s="339"/>
      <c r="U454" s="339"/>
      <c r="V454" s="339"/>
      <c r="W454" s="339"/>
      <c r="X454" s="339"/>
      <c r="Y454" s="339"/>
      <c r="Z454" s="339"/>
    </row>
    <row r="455" spans="1:26" ht="15.75" customHeight="1">
      <c r="A455" s="339"/>
      <c r="B455" s="339"/>
      <c r="C455" s="339"/>
      <c r="D455" s="339"/>
      <c r="E455" s="339"/>
      <c r="F455" s="339"/>
      <c r="G455" s="339"/>
      <c r="H455" s="339"/>
      <c r="I455" s="341"/>
      <c r="J455" s="339"/>
      <c r="K455" s="339"/>
      <c r="L455" s="339"/>
      <c r="M455" s="339"/>
      <c r="N455" s="339"/>
      <c r="O455" s="341"/>
      <c r="P455" s="340"/>
      <c r="Q455" s="339"/>
      <c r="R455" s="339"/>
      <c r="S455" s="339"/>
      <c r="T455" s="339"/>
      <c r="U455" s="339"/>
      <c r="V455" s="339"/>
      <c r="W455" s="339"/>
      <c r="X455" s="339"/>
      <c r="Y455" s="339"/>
      <c r="Z455" s="339"/>
    </row>
    <row r="456" spans="1:26" ht="15.75" customHeight="1">
      <c r="A456" s="339"/>
      <c r="B456" s="339"/>
      <c r="C456" s="339"/>
      <c r="D456" s="339"/>
      <c r="E456" s="339"/>
      <c r="F456" s="339"/>
      <c r="G456" s="339"/>
      <c r="H456" s="339"/>
      <c r="I456" s="341"/>
      <c r="J456" s="339"/>
      <c r="K456" s="339"/>
      <c r="L456" s="339"/>
      <c r="M456" s="339"/>
      <c r="N456" s="339"/>
      <c r="O456" s="341"/>
      <c r="P456" s="340"/>
      <c r="Q456" s="339"/>
      <c r="R456" s="339"/>
      <c r="S456" s="339"/>
      <c r="T456" s="339"/>
      <c r="U456" s="339"/>
      <c r="V456" s="339"/>
      <c r="W456" s="339"/>
      <c r="X456" s="339"/>
      <c r="Y456" s="339"/>
      <c r="Z456" s="339"/>
    </row>
    <row r="457" spans="1:26" ht="15.75" customHeight="1">
      <c r="A457" s="339"/>
      <c r="B457" s="339"/>
      <c r="C457" s="339"/>
      <c r="D457" s="339"/>
      <c r="E457" s="339"/>
      <c r="F457" s="339"/>
      <c r="G457" s="339"/>
      <c r="H457" s="339"/>
      <c r="I457" s="341"/>
      <c r="J457" s="339"/>
      <c r="K457" s="339"/>
      <c r="L457" s="339"/>
      <c r="M457" s="339"/>
      <c r="N457" s="339"/>
      <c r="O457" s="341"/>
      <c r="P457" s="340"/>
      <c r="Q457" s="339"/>
      <c r="R457" s="339"/>
      <c r="S457" s="339"/>
      <c r="T457" s="339"/>
      <c r="U457" s="339"/>
      <c r="V457" s="339"/>
      <c r="W457" s="339"/>
      <c r="X457" s="339"/>
      <c r="Y457" s="339"/>
      <c r="Z457" s="339"/>
    </row>
    <row r="458" spans="1:26" ht="15.75" customHeight="1">
      <c r="A458" s="339"/>
      <c r="B458" s="339"/>
      <c r="C458" s="339"/>
      <c r="D458" s="339"/>
      <c r="E458" s="339"/>
      <c r="F458" s="339"/>
      <c r="G458" s="339"/>
      <c r="H458" s="339"/>
      <c r="I458" s="341"/>
      <c r="J458" s="339"/>
      <c r="K458" s="339"/>
      <c r="L458" s="339"/>
      <c r="M458" s="339"/>
      <c r="N458" s="339"/>
      <c r="O458" s="341"/>
      <c r="P458" s="340"/>
      <c r="Q458" s="339"/>
      <c r="R458" s="339"/>
      <c r="S458" s="339"/>
      <c r="T458" s="339"/>
      <c r="U458" s="339"/>
      <c r="V458" s="339"/>
      <c r="W458" s="339"/>
      <c r="X458" s="339"/>
      <c r="Y458" s="339"/>
      <c r="Z458" s="339"/>
    </row>
    <row r="459" spans="1:26" ht="15.75" customHeight="1">
      <c r="A459" s="339"/>
      <c r="B459" s="339"/>
      <c r="C459" s="339"/>
      <c r="D459" s="339"/>
      <c r="E459" s="339"/>
      <c r="F459" s="339"/>
      <c r="G459" s="339"/>
      <c r="H459" s="339"/>
      <c r="I459" s="341"/>
      <c r="J459" s="339"/>
      <c r="K459" s="339"/>
      <c r="L459" s="339"/>
      <c r="M459" s="339"/>
      <c r="N459" s="339"/>
      <c r="O459" s="341"/>
      <c r="P459" s="340"/>
      <c r="Q459" s="339"/>
      <c r="R459" s="339"/>
      <c r="S459" s="339"/>
      <c r="T459" s="339"/>
      <c r="U459" s="339"/>
      <c r="V459" s="339"/>
      <c r="W459" s="339"/>
      <c r="X459" s="339"/>
      <c r="Y459" s="339"/>
      <c r="Z459" s="339"/>
    </row>
    <row r="460" spans="1:26" ht="15.75" customHeight="1">
      <c r="A460" s="339"/>
      <c r="B460" s="339"/>
      <c r="C460" s="339"/>
      <c r="D460" s="339"/>
      <c r="E460" s="339"/>
      <c r="F460" s="339"/>
      <c r="G460" s="339"/>
      <c r="H460" s="339"/>
      <c r="I460" s="341"/>
      <c r="J460" s="339"/>
      <c r="K460" s="339"/>
      <c r="L460" s="339"/>
      <c r="M460" s="339"/>
      <c r="N460" s="339"/>
      <c r="O460" s="341"/>
      <c r="P460" s="340"/>
      <c r="Q460" s="339"/>
      <c r="R460" s="339"/>
      <c r="S460" s="339"/>
      <c r="T460" s="339"/>
      <c r="U460" s="339"/>
      <c r="V460" s="339"/>
      <c r="W460" s="339"/>
      <c r="X460" s="339"/>
      <c r="Y460" s="339"/>
      <c r="Z460" s="339"/>
    </row>
    <row r="461" spans="1:26" ht="15.75" customHeight="1">
      <c r="A461" s="339"/>
      <c r="B461" s="339"/>
      <c r="C461" s="339"/>
      <c r="D461" s="339"/>
      <c r="E461" s="339"/>
      <c r="F461" s="339"/>
      <c r="G461" s="339"/>
      <c r="H461" s="339"/>
      <c r="I461" s="341"/>
      <c r="J461" s="339"/>
      <c r="K461" s="339"/>
      <c r="L461" s="339"/>
      <c r="M461" s="339"/>
      <c r="N461" s="339"/>
      <c r="O461" s="341"/>
      <c r="P461" s="340"/>
      <c r="Q461" s="339"/>
      <c r="R461" s="339"/>
      <c r="S461" s="339"/>
      <c r="T461" s="339"/>
      <c r="U461" s="339"/>
      <c r="V461" s="339"/>
      <c r="W461" s="339"/>
      <c r="X461" s="339"/>
      <c r="Y461" s="339"/>
      <c r="Z461" s="339"/>
    </row>
    <row r="462" spans="1:26" ht="15.75" customHeight="1">
      <c r="A462" s="339"/>
      <c r="B462" s="339"/>
      <c r="C462" s="339"/>
      <c r="D462" s="339"/>
      <c r="E462" s="339"/>
      <c r="F462" s="339"/>
      <c r="G462" s="339"/>
      <c r="H462" s="339"/>
      <c r="I462" s="341"/>
      <c r="J462" s="339"/>
      <c r="K462" s="339"/>
      <c r="L462" s="339"/>
      <c r="M462" s="339"/>
      <c r="N462" s="339"/>
      <c r="O462" s="341"/>
      <c r="P462" s="340"/>
      <c r="Q462" s="339"/>
      <c r="R462" s="339"/>
      <c r="S462" s="339"/>
      <c r="T462" s="339"/>
      <c r="U462" s="339"/>
      <c r="V462" s="339"/>
      <c r="W462" s="339"/>
      <c r="X462" s="339"/>
      <c r="Y462" s="339"/>
      <c r="Z462" s="339"/>
    </row>
    <row r="463" spans="1:26" ht="15.75" customHeight="1">
      <c r="A463" s="339"/>
      <c r="B463" s="339"/>
      <c r="C463" s="339"/>
      <c r="D463" s="339"/>
      <c r="E463" s="339"/>
      <c r="F463" s="339"/>
      <c r="G463" s="339"/>
      <c r="H463" s="339"/>
      <c r="I463" s="341"/>
      <c r="J463" s="339"/>
      <c r="K463" s="339"/>
      <c r="L463" s="339"/>
      <c r="M463" s="339"/>
      <c r="N463" s="339"/>
      <c r="O463" s="341"/>
      <c r="P463" s="340"/>
      <c r="Q463" s="339"/>
      <c r="R463" s="339"/>
      <c r="S463" s="339"/>
      <c r="T463" s="339"/>
      <c r="U463" s="339"/>
      <c r="V463" s="339"/>
      <c r="W463" s="339"/>
      <c r="X463" s="339"/>
      <c r="Y463" s="339"/>
      <c r="Z463" s="339"/>
    </row>
    <row r="464" spans="1:26" ht="15.75" customHeight="1">
      <c r="A464" s="339"/>
      <c r="B464" s="339"/>
      <c r="C464" s="339"/>
      <c r="D464" s="339"/>
      <c r="E464" s="339"/>
      <c r="F464" s="339"/>
      <c r="G464" s="339"/>
      <c r="H464" s="339"/>
      <c r="I464" s="341"/>
      <c r="J464" s="339"/>
      <c r="K464" s="339"/>
      <c r="L464" s="339"/>
      <c r="M464" s="339"/>
      <c r="N464" s="339"/>
      <c r="O464" s="341"/>
      <c r="P464" s="340"/>
      <c r="Q464" s="339"/>
      <c r="R464" s="339"/>
      <c r="S464" s="339"/>
      <c r="T464" s="339"/>
      <c r="U464" s="339"/>
      <c r="V464" s="339"/>
      <c r="W464" s="339"/>
      <c r="X464" s="339"/>
      <c r="Y464" s="339"/>
      <c r="Z464" s="339"/>
    </row>
    <row r="465" spans="1:26" ht="15.75" customHeight="1">
      <c r="A465" s="339"/>
      <c r="B465" s="339"/>
      <c r="C465" s="339"/>
      <c r="D465" s="339"/>
      <c r="E465" s="339"/>
      <c r="F465" s="339"/>
      <c r="G465" s="339"/>
      <c r="H465" s="339"/>
      <c r="I465" s="341"/>
      <c r="J465" s="339"/>
      <c r="K465" s="339"/>
      <c r="L465" s="339"/>
      <c r="M465" s="339"/>
      <c r="N465" s="339"/>
      <c r="O465" s="341"/>
      <c r="P465" s="340"/>
      <c r="Q465" s="339"/>
      <c r="R465" s="339"/>
      <c r="S465" s="339"/>
      <c r="T465" s="339"/>
      <c r="U465" s="339"/>
      <c r="V465" s="339"/>
      <c r="W465" s="339"/>
      <c r="X465" s="339"/>
      <c r="Y465" s="339"/>
      <c r="Z465" s="339"/>
    </row>
    <row r="466" spans="1:26" ht="15.75" customHeight="1">
      <c r="A466" s="339"/>
      <c r="B466" s="339"/>
      <c r="C466" s="339"/>
      <c r="D466" s="339"/>
      <c r="E466" s="339"/>
      <c r="F466" s="339"/>
      <c r="G466" s="339"/>
      <c r="H466" s="339"/>
      <c r="I466" s="341"/>
      <c r="J466" s="339"/>
      <c r="K466" s="339"/>
      <c r="L466" s="339"/>
      <c r="M466" s="339"/>
      <c r="N466" s="339"/>
      <c r="O466" s="341"/>
      <c r="P466" s="340"/>
      <c r="Q466" s="339"/>
      <c r="R466" s="339"/>
      <c r="S466" s="339"/>
      <c r="T466" s="339"/>
      <c r="U466" s="339"/>
      <c r="V466" s="339"/>
      <c r="W466" s="339"/>
      <c r="X466" s="339"/>
      <c r="Y466" s="339"/>
      <c r="Z466" s="339"/>
    </row>
    <row r="467" spans="1:26" ht="15.75" customHeight="1">
      <c r="A467" s="339"/>
      <c r="B467" s="339"/>
      <c r="C467" s="339"/>
      <c r="D467" s="339"/>
      <c r="E467" s="339"/>
      <c r="F467" s="339"/>
      <c r="G467" s="339"/>
      <c r="H467" s="339"/>
      <c r="I467" s="341"/>
      <c r="J467" s="339"/>
      <c r="K467" s="339"/>
      <c r="L467" s="339"/>
      <c r="M467" s="339"/>
      <c r="N467" s="339"/>
      <c r="O467" s="341"/>
      <c r="P467" s="340"/>
      <c r="Q467" s="339"/>
      <c r="R467" s="339"/>
      <c r="S467" s="339"/>
      <c r="T467" s="339"/>
      <c r="U467" s="339"/>
      <c r="V467" s="339"/>
      <c r="W467" s="339"/>
      <c r="X467" s="339"/>
      <c r="Y467" s="339"/>
      <c r="Z467" s="339"/>
    </row>
    <row r="468" spans="1:26" ht="15.75" customHeight="1">
      <c r="A468" s="339"/>
      <c r="B468" s="339"/>
      <c r="C468" s="339"/>
      <c r="D468" s="339"/>
      <c r="E468" s="339"/>
      <c r="F468" s="339"/>
      <c r="G468" s="339"/>
      <c r="H468" s="339"/>
      <c r="I468" s="341"/>
      <c r="J468" s="339"/>
      <c r="K468" s="339"/>
      <c r="L468" s="339"/>
      <c r="M468" s="339"/>
      <c r="N468" s="339"/>
      <c r="O468" s="341"/>
      <c r="P468" s="340"/>
      <c r="Q468" s="339"/>
      <c r="R468" s="339"/>
      <c r="S468" s="339"/>
      <c r="T468" s="339"/>
      <c r="U468" s="339"/>
      <c r="V468" s="339"/>
      <c r="W468" s="339"/>
      <c r="X468" s="339"/>
      <c r="Y468" s="339"/>
      <c r="Z468" s="339"/>
    </row>
    <row r="469" spans="1:26" ht="15.75" customHeight="1">
      <c r="A469" s="339"/>
      <c r="B469" s="339"/>
      <c r="C469" s="339"/>
      <c r="D469" s="339"/>
      <c r="E469" s="339"/>
      <c r="F469" s="339"/>
      <c r="G469" s="339"/>
      <c r="H469" s="339"/>
      <c r="I469" s="341"/>
      <c r="J469" s="339"/>
      <c r="K469" s="339"/>
      <c r="L469" s="339"/>
      <c r="M469" s="339"/>
      <c r="N469" s="339"/>
      <c r="O469" s="341"/>
      <c r="P469" s="340"/>
      <c r="Q469" s="339"/>
      <c r="R469" s="339"/>
      <c r="S469" s="339"/>
      <c r="T469" s="339"/>
      <c r="U469" s="339"/>
      <c r="V469" s="339"/>
      <c r="W469" s="339"/>
      <c r="X469" s="339"/>
      <c r="Y469" s="339"/>
      <c r="Z469" s="339"/>
    </row>
    <row r="470" spans="1:26" ht="15.75" customHeight="1">
      <c r="A470" s="339"/>
      <c r="B470" s="339"/>
      <c r="C470" s="339"/>
      <c r="D470" s="339"/>
      <c r="E470" s="339"/>
      <c r="F470" s="339"/>
      <c r="G470" s="339"/>
      <c r="H470" s="339"/>
      <c r="I470" s="341"/>
      <c r="J470" s="339"/>
      <c r="K470" s="339"/>
      <c r="L470" s="339"/>
      <c r="M470" s="339"/>
      <c r="N470" s="339"/>
      <c r="O470" s="341"/>
      <c r="P470" s="340"/>
      <c r="Q470" s="339"/>
      <c r="R470" s="339"/>
      <c r="S470" s="339"/>
      <c r="T470" s="339"/>
      <c r="U470" s="339"/>
      <c r="V470" s="339"/>
      <c r="W470" s="339"/>
      <c r="X470" s="339"/>
      <c r="Y470" s="339"/>
      <c r="Z470" s="339"/>
    </row>
    <row r="471" spans="1:26" ht="15.75" customHeight="1">
      <c r="A471" s="339"/>
      <c r="B471" s="339"/>
      <c r="C471" s="339"/>
      <c r="D471" s="339"/>
      <c r="E471" s="339"/>
      <c r="F471" s="339"/>
      <c r="G471" s="339"/>
      <c r="H471" s="339"/>
      <c r="I471" s="341"/>
      <c r="J471" s="339"/>
      <c r="K471" s="339"/>
      <c r="L471" s="339"/>
      <c r="M471" s="339"/>
      <c r="N471" s="339"/>
      <c r="O471" s="341"/>
      <c r="P471" s="340"/>
      <c r="Q471" s="339"/>
      <c r="R471" s="339"/>
      <c r="S471" s="339"/>
      <c r="T471" s="339"/>
      <c r="U471" s="339"/>
      <c r="V471" s="339"/>
      <c r="W471" s="339"/>
      <c r="X471" s="339"/>
      <c r="Y471" s="339"/>
      <c r="Z471" s="339"/>
    </row>
    <row r="472" spans="1:26" ht="15.75" customHeight="1">
      <c r="A472" s="339"/>
      <c r="B472" s="339"/>
      <c r="C472" s="339"/>
      <c r="D472" s="339"/>
      <c r="E472" s="339"/>
      <c r="F472" s="339"/>
      <c r="G472" s="339"/>
      <c r="H472" s="339"/>
      <c r="I472" s="341"/>
      <c r="J472" s="339"/>
      <c r="K472" s="339"/>
      <c r="L472" s="339"/>
      <c r="M472" s="339"/>
      <c r="N472" s="339"/>
      <c r="O472" s="341"/>
      <c r="P472" s="340"/>
      <c r="Q472" s="339"/>
      <c r="R472" s="339"/>
      <c r="S472" s="339"/>
      <c r="T472" s="339"/>
      <c r="U472" s="339"/>
      <c r="V472" s="339"/>
      <c r="W472" s="339"/>
      <c r="X472" s="339"/>
      <c r="Y472" s="339"/>
      <c r="Z472" s="339"/>
    </row>
    <row r="473" spans="1:26" ht="15.75" customHeight="1">
      <c r="A473" s="339"/>
      <c r="B473" s="339"/>
      <c r="C473" s="339"/>
      <c r="D473" s="339"/>
      <c r="E473" s="339"/>
      <c r="F473" s="339"/>
      <c r="G473" s="339"/>
      <c r="H473" s="339"/>
      <c r="I473" s="341"/>
      <c r="J473" s="339"/>
      <c r="K473" s="339"/>
      <c r="L473" s="339"/>
      <c r="M473" s="339"/>
      <c r="N473" s="339"/>
      <c r="O473" s="341"/>
      <c r="P473" s="340"/>
      <c r="Q473" s="339"/>
      <c r="R473" s="339"/>
      <c r="S473" s="339"/>
      <c r="T473" s="339"/>
      <c r="U473" s="339"/>
      <c r="V473" s="339"/>
      <c r="W473" s="339"/>
      <c r="X473" s="339"/>
      <c r="Y473" s="339"/>
      <c r="Z473" s="339"/>
    </row>
    <row r="474" spans="1:26" ht="15.75" customHeight="1">
      <c r="A474" s="339"/>
      <c r="B474" s="339"/>
      <c r="C474" s="339"/>
      <c r="D474" s="339"/>
      <c r="E474" s="339"/>
      <c r="F474" s="339"/>
      <c r="G474" s="339"/>
      <c r="H474" s="339"/>
      <c r="I474" s="341"/>
      <c r="J474" s="339"/>
      <c r="K474" s="339"/>
      <c r="L474" s="339"/>
      <c r="M474" s="339"/>
      <c r="N474" s="339"/>
      <c r="O474" s="341"/>
      <c r="P474" s="340"/>
      <c r="Q474" s="339"/>
      <c r="R474" s="339"/>
      <c r="S474" s="339"/>
      <c r="T474" s="339"/>
      <c r="U474" s="339"/>
      <c r="V474" s="339"/>
      <c r="W474" s="339"/>
      <c r="X474" s="339"/>
      <c r="Y474" s="339"/>
      <c r="Z474" s="339"/>
    </row>
    <row r="475" spans="1:26" ht="15.75" customHeight="1">
      <c r="A475" s="339"/>
      <c r="B475" s="339"/>
      <c r="C475" s="339"/>
      <c r="D475" s="339"/>
      <c r="E475" s="339"/>
      <c r="F475" s="339"/>
      <c r="G475" s="339"/>
      <c r="H475" s="339"/>
      <c r="I475" s="341"/>
      <c r="J475" s="339"/>
      <c r="K475" s="339"/>
      <c r="L475" s="339"/>
      <c r="M475" s="339"/>
      <c r="N475" s="339"/>
      <c r="O475" s="341"/>
      <c r="P475" s="340"/>
      <c r="Q475" s="339"/>
      <c r="R475" s="339"/>
      <c r="S475" s="339"/>
      <c r="T475" s="339"/>
      <c r="U475" s="339"/>
      <c r="V475" s="339"/>
      <c r="W475" s="339"/>
      <c r="X475" s="339"/>
      <c r="Y475" s="339"/>
      <c r="Z475" s="339"/>
    </row>
    <row r="476" spans="1:26" ht="15.75" customHeight="1">
      <c r="A476" s="339"/>
      <c r="B476" s="339"/>
      <c r="C476" s="339"/>
      <c r="D476" s="339"/>
      <c r="E476" s="339"/>
      <c r="F476" s="339"/>
      <c r="G476" s="339"/>
      <c r="H476" s="339"/>
      <c r="I476" s="341"/>
      <c r="J476" s="339"/>
      <c r="K476" s="339"/>
      <c r="L476" s="339"/>
      <c r="M476" s="339"/>
      <c r="N476" s="339"/>
      <c r="O476" s="341"/>
      <c r="P476" s="340"/>
      <c r="Q476" s="339"/>
      <c r="R476" s="339"/>
      <c r="S476" s="339"/>
      <c r="T476" s="339"/>
      <c r="U476" s="339"/>
      <c r="V476" s="339"/>
      <c r="W476" s="339"/>
      <c r="X476" s="339"/>
      <c r="Y476" s="339"/>
      <c r="Z476" s="339"/>
    </row>
    <row r="477" spans="1:26" ht="15.75" customHeight="1">
      <c r="A477" s="339"/>
      <c r="B477" s="339"/>
      <c r="C477" s="339"/>
      <c r="D477" s="339"/>
      <c r="E477" s="339"/>
      <c r="F477" s="339"/>
      <c r="G477" s="339"/>
      <c r="H477" s="339"/>
      <c r="I477" s="341"/>
      <c r="J477" s="339"/>
      <c r="K477" s="339"/>
      <c r="L477" s="339"/>
      <c r="M477" s="339"/>
      <c r="N477" s="339"/>
      <c r="O477" s="341"/>
      <c r="P477" s="340"/>
      <c r="Q477" s="339"/>
      <c r="R477" s="339"/>
      <c r="S477" s="339"/>
      <c r="T477" s="339"/>
      <c r="U477" s="339"/>
      <c r="V477" s="339"/>
      <c r="W477" s="339"/>
      <c r="X477" s="339"/>
      <c r="Y477" s="339"/>
      <c r="Z477" s="339"/>
    </row>
    <row r="478" spans="1:26" ht="15.75" customHeight="1">
      <c r="A478" s="339"/>
      <c r="B478" s="339"/>
      <c r="C478" s="339"/>
      <c r="D478" s="339"/>
      <c r="E478" s="339"/>
      <c r="F478" s="339"/>
      <c r="G478" s="339"/>
      <c r="H478" s="339"/>
      <c r="I478" s="341"/>
      <c r="J478" s="339"/>
      <c r="K478" s="339"/>
      <c r="L478" s="339"/>
      <c r="M478" s="339"/>
      <c r="N478" s="339"/>
      <c r="O478" s="341"/>
      <c r="P478" s="340"/>
      <c r="Q478" s="339"/>
      <c r="R478" s="339"/>
      <c r="S478" s="339"/>
      <c r="T478" s="339"/>
      <c r="U478" s="339"/>
      <c r="V478" s="339"/>
      <c r="W478" s="339"/>
      <c r="X478" s="339"/>
      <c r="Y478" s="339"/>
      <c r="Z478" s="339"/>
    </row>
    <row r="479" spans="1:26" ht="15.75" customHeight="1">
      <c r="A479" s="339"/>
      <c r="B479" s="339"/>
      <c r="C479" s="339"/>
      <c r="D479" s="339"/>
      <c r="E479" s="339"/>
      <c r="F479" s="339"/>
      <c r="G479" s="339"/>
      <c r="H479" s="339"/>
      <c r="I479" s="341"/>
      <c r="J479" s="339"/>
      <c r="K479" s="339"/>
      <c r="L479" s="339"/>
      <c r="M479" s="339"/>
      <c r="N479" s="339"/>
      <c r="O479" s="341"/>
      <c r="P479" s="340"/>
      <c r="Q479" s="339"/>
      <c r="R479" s="339"/>
      <c r="S479" s="339"/>
      <c r="T479" s="339"/>
      <c r="U479" s="339"/>
      <c r="V479" s="339"/>
      <c r="W479" s="339"/>
      <c r="X479" s="339"/>
      <c r="Y479" s="339"/>
      <c r="Z479" s="339"/>
    </row>
    <row r="480" spans="1:26" ht="15.75" customHeight="1">
      <c r="A480" s="339"/>
      <c r="B480" s="339"/>
      <c r="C480" s="339"/>
      <c r="D480" s="339"/>
      <c r="E480" s="339"/>
      <c r="F480" s="339"/>
      <c r="G480" s="339"/>
      <c r="H480" s="339"/>
      <c r="I480" s="341"/>
      <c r="J480" s="339"/>
      <c r="K480" s="339"/>
      <c r="L480" s="339"/>
      <c r="M480" s="339"/>
      <c r="N480" s="339"/>
      <c r="O480" s="341"/>
      <c r="P480" s="340"/>
      <c r="Q480" s="339"/>
      <c r="R480" s="339"/>
      <c r="S480" s="339"/>
      <c r="T480" s="339"/>
      <c r="U480" s="339"/>
      <c r="V480" s="339"/>
      <c r="W480" s="339"/>
      <c r="X480" s="339"/>
      <c r="Y480" s="339"/>
      <c r="Z480" s="339"/>
    </row>
    <row r="481" spans="1:26" ht="15.75" customHeight="1">
      <c r="A481" s="339"/>
      <c r="B481" s="339"/>
      <c r="C481" s="339"/>
      <c r="D481" s="339"/>
      <c r="E481" s="339"/>
      <c r="F481" s="339"/>
      <c r="G481" s="339"/>
      <c r="H481" s="339"/>
      <c r="I481" s="341"/>
      <c r="J481" s="339"/>
      <c r="K481" s="339"/>
      <c r="L481" s="339"/>
      <c r="M481" s="339"/>
      <c r="N481" s="339"/>
      <c r="O481" s="341"/>
      <c r="P481" s="340"/>
      <c r="Q481" s="339"/>
      <c r="R481" s="339"/>
      <c r="S481" s="339"/>
      <c r="T481" s="339"/>
      <c r="U481" s="339"/>
      <c r="V481" s="339"/>
      <c r="W481" s="339"/>
      <c r="X481" s="339"/>
      <c r="Y481" s="339"/>
      <c r="Z481" s="339"/>
    </row>
    <row r="482" spans="1:26" ht="15.75" customHeight="1">
      <c r="A482" s="339"/>
      <c r="B482" s="339"/>
      <c r="C482" s="339"/>
      <c r="D482" s="339"/>
      <c r="E482" s="339"/>
      <c r="F482" s="339"/>
      <c r="G482" s="339"/>
      <c r="H482" s="339"/>
      <c r="I482" s="341"/>
      <c r="J482" s="339"/>
      <c r="K482" s="339"/>
      <c r="L482" s="339"/>
      <c r="M482" s="339"/>
      <c r="N482" s="339"/>
      <c r="O482" s="341"/>
      <c r="P482" s="340"/>
      <c r="Q482" s="339"/>
      <c r="R482" s="339"/>
      <c r="S482" s="339"/>
      <c r="T482" s="339"/>
      <c r="U482" s="339"/>
      <c r="V482" s="339"/>
      <c r="W482" s="339"/>
      <c r="X482" s="339"/>
      <c r="Y482" s="339"/>
      <c r="Z482" s="339"/>
    </row>
    <row r="483" spans="1:26" ht="15.75" customHeight="1">
      <c r="A483" s="339"/>
      <c r="B483" s="339"/>
      <c r="C483" s="339"/>
      <c r="D483" s="339"/>
      <c r="E483" s="339"/>
      <c r="F483" s="339"/>
      <c r="G483" s="339"/>
      <c r="H483" s="339"/>
      <c r="I483" s="341"/>
      <c r="J483" s="339"/>
      <c r="K483" s="339"/>
      <c r="L483" s="339"/>
      <c r="M483" s="339"/>
      <c r="N483" s="339"/>
      <c r="O483" s="341"/>
      <c r="P483" s="340"/>
      <c r="Q483" s="339"/>
      <c r="R483" s="339"/>
      <c r="S483" s="339"/>
      <c r="T483" s="339"/>
      <c r="U483" s="339"/>
      <c r="V483" s="339"/>
      <c r="W483" s="339"/>
      <c r="X483" s="339"/>
      <c r="Y483" s="339"/>
      <c r="Z483" s="339"/>
    </row>
    <row r="484" spans="1:26" ht="15.75" customHeight="1">
      <c r="A484" s="339"/>
      <c r="B484" s="339"/>
      <c r="C484" s="339"/>
      <c r="D484" s="339"/>
      <c r="E484" s="339"/>
      <c r="F484" s="339"/>
      <c r="G484" s="339"/>
      <c r="H484" s="339"/>
      <c r="I484" s="341"/>
      <c r="J484" s="339"/>
      <c r="K484" s="339"/>
      <c r="L484" s="339"/>
      <c r="M484" s="339"/>
      <c r="N484" s="339"/>
      <c r="O484" s="341"/>
      <c r="P484" s="340"/>
      <c r="Q484" s="339"/>
      <c r="R484" s="339"/>
      <c r="S484" s="339"/>
      <c r="T484" s="339"/>
      <c r="U484" s="339"/>
      <c r="V484" s="339"/>
      <c r="W484" s="339"/>
      <c r="X484" s="339"/>
      <c r="Y484" s="339"/>
      <c r="Z484" s="339"/>
    </row>
    <row r="485" spans="1:26" ht="15.75" customHeight="1">
      <c r="A485" s="339"/>
      <c r="B485" s="339"/>
      <c r="C485" s="339"/>
      <c r="D485" s="339"/>
      <c r="E485" s="339"/>
      <c r="F485" s="339"/>
      <c r="G485" s="339"/>
      <c r="H485" s="339"/>
      <c r="I485" s="341"/>
      <c r="J485" s="339"/>
      <c r="K485" s="339"/>
      <c r="L485" s="339"/>
      <c r="M485" s="339"/>
      <c r="N485" s="339"/>
      <c r="O485" s="341"/>
      <c r="P485" s="340"/>
      <c r="Q485" s="339"/>
      <c r="R485" s="339"/>
      <c r="S485" s="339"/>
      <c r="T485" s="339"/>
      <c r="U485" s="339"/>
      <c r="V485" s="339"/>
      <c r="W485" s="339"/>
      <c r="X485" s="339"/>
      <c r="Y485" s="339"/>
      <c r="Z485" s="339"/>
    </row>
    <row r="486" spans="1:26" ht="15.75" customHeight="1">
      <c r="A486" s="339"/>
      <c r="B486" s="339"/>
      <c r="C486" s="339"/>
      <c r="D486" s="339"/>
      <c r="E486" s="339"/>
      <c r="F486" s="339"/>
      <c r="G486" s="339"/>
      <c r="H486" s="339"/>
      <c r="I486" s="341"/>
      <c r="J486" s="339"/>
      <c r="K486" s="339"/>
      <c r="L486" s="339"/>
      <c r="M486" s="339"/>
      <c r="N486" s="339"/>
      <c r="O486" s="341"/>
      <c r="P486" s="340"/>
      <c r="Q486" s="339"/>
      <c r="R486" s="339"/>
      <c r="S486" s="339"/>
      <c r="T486" s="339"/>
      <c r="U486" s="339"/>
      <c r="V486" s="339"/>
      <c r="W486" s="339"/>
      <c r="X486" s="339"/>
      <c r="Y486" s="339"/>
      <c r="Z486" s="339"/>
    </row>
    <row r="487" spans="1:26" ht="15.75" customHeight="1">
      <c r="A487" s="339"/>
      <c r="B487" s="339"/>
      <c r="C487" s="339"/>
      <c r="D487" s="339"/>
      <c r="E487" s="339"/>
      <c r="F487" s="339"/>
      <c r="G487" s="339"/>
      <c r="H487" s="339"/>
      <c r="I487" s="341"/>
      <c r="J487" s="339"/>
      <c r="K487" s="339"/>
      <c r="L487" s="339"/>
      <c r="M487" s="339"/>
      <c r="N487" s="339"/>
      <c r="O487" s="341"/>
      <c r="P487" s="340"/>
      <c r="Q487" s="339"/>
      <c r="R487" s="339"/>
      <c r="S487" s="339"/>
      <c r="T487" s="339"/>
      <c r="U487" s="339"/>
      <c r="V487" s="339"/>
      <c r="W487" s="339"/>
      <c r="X487" s="339"/>
      <c r="Y487" s="339"/>
      <c r="Z487" s="339"/>
    </row>
    <row r="488" spans="1:26" ht="15.75" customHeight="1">
      <c r="A488" s="339"/>
      <c r="B488" s="339"/>
      <c r="C488" s="339"/>
      <c r="D488" s="339"/>
      <c r="E488" s="339"/>
      <c r="F488" s="339"/>
      <c r="G488" s="339"/>
      <c r="H488" s="339"/>
      <c r="I488" s="341"/>
      <c r="J488" s="339"/>
      <c r="K488" s="339"/>
      <c r="L488" s="339"/>
      <c r="M488" s="339"/>
      <c r="N488" s="339"/>
      <c r="O488" s="341"/>
      <c r="P488" s="340"/>
      <c r="Q488" s="339"/>
      <c r="R488" s="339"/>
      <c r="S488" s="339"/>
      <c r="T488" s="339"/>
      <c r="U488" s="339"/>
      <c r="V488" s="339"/>
      <c r="W488" s="339"/>
      <c r="X488" s="339"/>
      <c r="Y488" s="339"/>
      <c r="Z488" s="339"/>
    </row>
    <row r="489" spans="1:26" ht="15.75" customHeight="1">
      <c r="A489" s="339"/>
      <c r="B489" s="339"/>
      <c r="C489" s="339"/>
      <c r="D489" s="339"/>
      <c r="E489" s="339"/>
      <c r="F489" s="339"/>
      <c r="G489" s="339"/>
      <c r="H489" s="339"/>
      <c r="I489" s="341"/>
      <c r="J489" s="339"/>
      <c r="K489" s="339"/>
      <c r="L489" s="339"/>
      <c r="M489" s="339"/>
      <c r="N489" s="339"/>
      <c r="O489" s="341"/>
      <c r="P489" s="340"/>
      <c r="Q489" s="339"/>
      <c r="R489" s="339"/>
      <c r="S489" s="339"/>
      <c r="T489" s="339"/>
      <c r="U489" s="339"/>
      <c r="V489" s="339"/>
      <c r="W489" s="339"/>
      <c r="X489" s="339"/>
      <c r="Y489" s="339"/>
      <c r="Z489" s="339"/>
    </row>
    <row r="490" spans="1:26" ht="15.75" customHeight="1">
      <c r="A490" s="339"/>
      <c r="B490" s="339"/>
      <c r="C490" s="339"/>
      <c r="D490" s="339"/>
      <c r="E490" s="339"/>
      <c r="F490" s="339"/>
      <c r="G490" s="339"/>
      <c r="H490" s="339"/>
      <c r="I490" s="341"/>
      <c r="J490" s="339"/>
      <c r="K490" s="339"/>
      <c r="L490" s="339"/>
      <c r="M490" s="339"/>
      <c r="N490" s="339"/>
      <c r="O490" s="341"/>
      <c r="P490" s="340"/>
      <c r="Q490" s="339"/>
      <c r="R490" s="339"/>
      <c r="S490" s="339"/>
      <c r="T490" s="339"/>
      <c r="U490" s="339"/>
      <c r="V490" s="339"/>
      <c r="W490" s="339"/>
      <c r="X490" s="339"/>
      <c r="Y490" s="339"/>
      <c r="Z490" s="339"/>
    </row>
    <row r="491" spans="1:26" ht="15.75" customHeight="1">
      <c r="A491" s="339"/>
      <c r="B491" s="339"/>
      <c r="C491" s="339"/>
      <c r="D491" s="339"/>
      <c r="E491" s="339"/>
      <c r="F491" s="339"/>
      <c r="G491" s="339"/>
      <c r="H491" s="339"/>
      <c r="I491" s="341"/>
      <c r="J491" s="339"/>
      <c r="K491" s="339"/>
      <c r="L491" s="339"/>
      <c r="M491" s="339"/>
      <c r="N491" s="339"/>
      <c r="O491" s="341"/>
      <c r="P491" s="340"/>
      <c r="Q491" s="339"/>
      <c r="R491" s="339"/>
      <c r="S491" s="339"/>
      <c r="T491" s="339"/>
      <c r="U491" s="339"/>
      <c r="V491" s="339"/>
      <c r="W491" s="339"/>
      <c r="X491" s="339"/>
      <c r="Y491" s="339"/>
      <c r="Z491" s="339"/>
    </row>
    <row r="492" spans="1:26" ht="15.75" customHeight="1">
      <c r="A492" s="339"/>
      <c r="B492" s="339"/>
      <c r="C492" s="339"/>
      <c r="D492" s="339"/>
      <c r="E492" s="339"/>
      <c r="F492" s="339"/>
      <c r="G492" s="339"/>
      <c r="H492" s="339"/>
      <c r="I492" s="341"/>
      <c r="J492" s="339"/>
      <c r="K492" s="339"/>
      <c r="L492" s="339"/>
      <c r="M492" s="339"/>
      <c r="N492" s="339"/>
      <c r="O492" s="341"/>
      <c r="P492" s="340"/>
      <c r="Q492" s="339"/>
      <c r="R492" s="339"/>
      <c r="S492" s="339"/>
      <c r="T492" s="339"/>
      <c r="U492" s="339"/>
      <c r="V492" s="339"/>
      <c r="W492" s="339"/>
      <c r="X492" s="339"/>
      <c r="Y492" s="339"/>
      <c r="Z492" s="339"/>
    </row>
    <row r="493" spans="1:26" ht="15.75" customHeight="1">
      <c r="A493" s="339"/>
      <c r="B493" s="339"/>
      <c r="C493" s="339"/>
      <c r="D493" s="339"/>
      <c r="E493" s="339"/>
      <c r="F493" s="339"/>
      <c r="G493" s="339"/>
      <c r="H493" s="339"/>
      <c r="I493" s="341"/>
      <c r="J493" s="339"/>
      <c r="K493" s="339"/>
      <c r="L493" s="339"/>
      <c r="M493" s="339"/>
      <c r="N493" s="339"/>
      <c r="O493" s="341"/>
      <c r="P493" s="340"/>
      <c r="Q493" s="339"/>
      <c r="R493" s="339"/>
      <c r="S493" s="339"/>
      <c r="T493" s="339"/>
      <c r="U493" s="339"/>
      <c r="V493" s="339"/>
      <c r="W493" s="339"/>
      <c r="X493" s="339"/>
      <c r="Y493" s="339"/>
      <c r="Z493" s="339"/>
    </row>
    <row r="494" spans="1:26" ht="15.75" customHeight="1">
      <c r="A494" s="339"/>
      <c r="B494" s="339"/>
      <c r="C494" s="339"/>
      <c r="D494" s="339"/>
      <c r="E494" s="339"/>
      <c r="F494" s="339"/>
      <c r="G494" s="339"/>
      <c r="H494" s="339"/>
      <c r="I494" s="341"/>
      <c r="J494" s="339"/>
      <c r="K494" s="339"/>
      <c r="L494" s="339"/>
      <c r="M494" s="339"/>
      <c r="N494" s="339"/>
      <c r="O494" s="341"/>
      <c r="P494" s="340"/>
      <c r="Q494" s="339"/>
      <c r="R494" s="339"/>
      <c r="S494" s="339"/>
      <c r="T494" s="339"/>
      <c r="U494" s="339"/>
      <c r="V494" s="339"/>
      <c r="W494" s="339"/>
      <c r="X494" s="339"/>
      <c r="Y494" s="339"/>
      <c r="Z494" s="339"/>
    </row>
    <row r="495" spans="1:26" ht="15.75" customHeight="1">
      <c r="A495" s="339"/>
      <c r="B495" s="339"/>
      <c r="C495" s="339"/>
      <c r="D495" s="339"/>
      <c r="E495" s="339"/>
      <c r="F495" s="339"/>
      <c r="G495" s="339"/>
      <c r="H495" s="339"/>
      <c r="I495" s="341"/>
      <c r="J495" s="339"/>
      <c r="K495" s="339"/>
      <c r="L495" s="339"/>
      <c r="M495" s="339"/>
      <c r="N495" s="339"/>
      <c r="O495" s="341"/>
      <c r="P495" s="340"/>
      <c r="Q495" s="339"/>
      <c r="R495" s="339"/>
      <c r="S495" s="339"/>
      <c r="T495" s="339"/>
      <c r="U495" s="339"/>
      <c r="V495" s="339"/>
      <c r="W495" s="339"/>
      <c r="X495" s="339"/>
      <c r="Y495" s="339"/>
      <c r="Z495" s="339"/>
    </row>
    <row r="496" spans="1:26" ht="15.75" customHeight="1">
      <c r="A496" s="339"/>
      <c r="B496" s="339"/>
      <c r="C496" s="339"/>
      <c r="D496" s="339"/>
      <c r="E496" s="339"/>
      <c r="F496" s="339"/>
      <c r="G496" s="339"/>
      <c r="H496" s="339"/>
      <c r="I496" s="341"/>
      <c r="J496" s="339"/>
      <c r="K496" s="339"/>
      <c r="L496" s="339"/>
      <c r="M496" s="339"/>
      <c r="N496" s="339"/>
      <c r="O496" s="341"/>
      <c r="P496" s="340"/>
      <c r="Q496" s="339"/>
      <c r="R496" s="339"/>
      <c r="S496" s="339"/>
      <c r="T496" s="339"/>
      <c r="U496" s="339"/>
      <c r="V496" s="339"/>
      <c r="W496" s="339"/>
      <c r="X496" s="339"/>
      <c r="Y496" s="339"/>
      <c r="Z496" s="339"/>
    </row>
    <row r="497" spans="1:26" ht="15.75" customHeight="1">
      <c r="A497" s="339"/>
      <c r="B497" s="339"/>
      <c r="C497" s="339"/>
      <c r="D497" s="339"/>
      <c r="E497" s="339"/>
      <c r="F497" s="339"/>
      <c r="G497" s="339"/>
      <c r="H497" s="339"/>
      <c r="I497" s="341"/>
      <c r="J497" s="339"/>
      <c r="K497" s="339"/>
      <c r="L497" s="339"/>
      <c r="M497" s="339"/>
      <c r="N497" s="339"/>
      <c r="O497" s="341"/>
      <c r="P497" s="340"/>
      <c r="Q497" s="339"/>
      <c r="R497" s="339"/>
      <c r="S497" s="339"/>
      <c r="T497" s="339"/>
      <c r="U497" s="339"/>
      <c r="V497" s="339"/>
      <c r="W497" s="339"/>
      <c r="X497" s="339"/>
      <c r="Y497" s="339"/>
      <c r="Z497" s="339"/>
    </row>
    <row r="498" spans="1:26" ht="15.75" customHeight="1">
      <c r="A498" s="339"/>
      <c r="B498" s="339"/>
      <c r="C498" s="339"/>
      <c r="D498" s="339"/>
      <c r="E498" s="339"/>
      <c r="F498" s="339"/>
      <c r="G498" s="339"/>
      <c r="H498" s="339"/>
      <c r="I498" s="341"/>
      <c r="J498" s="339"/>
      <c r="K498" s="339"/>
      <c r="L498" s="339"/>
      <c r="M498" s="339"/>
      <c r="N498" s="339"/>
      <c r="O498" s="341"/>
      <c r="P498" s="340"/>
      <c r="Q498" s="339"/>
      <c r="R498" s="339"/>
      <c r="S498" s="339"/>
      <c r="T498" s="339"/>
      <c r="U498" s="339"/>
      <c r="V498" s="339"/>
      <c r="W498" s="339"/>
      <c r="X498" s="339"/>
      <c r="Y498" s="339"/>
      <c r="Z498" s="339"/>
    </row>
    <row r="499" spans="1:26" ht="15.75" customHeight="1">
      <c r="A499" s="339"/>
      <c r="B499" s="339"/>
      <c r="C499" s="339"/>
      <c r="D499" s="339"/>
      <c r="E499" s="339"/>
      <c r="F499" s="339"/>
      <c r="G499" s="339"/>
      <c r="H499" s="339"/>
      <c r="I499" s="341"/>
      <c r="J499" s="339"/>
      <c r="K499" s="339"/>
      <c r="L499" s="339"/>
      <c r="M499" s="339"/>
      <c r="N499" s="339"/>
      <c r="O499" s="341"/>
      <c r="P499" s="340"/>
      <c r="Q499" s="339"/>
      <c r="R499" s="339"/>
      <c r="S499" s="339"/>
      <c r="T499" s="339"/>
      <c r="U499" s="339"/>
      <c r="V499" s="339"/>
      <c r="W499" s="339"/>
      <c r="X499" s="339"/>
      <c r="Y499" s="339"/>
      <c r="Z499" s="339"/>
    </row>
    <row r="500" spans="1:26" ht="15.75" customHeight="1">
      <c r="A500" s="339"/>
      <c r="B500" s="339"/>
      <c r="C500" s="339"/>
      <c r="D500" s="339"/>
      <c r="E500" s="339"/>
      <c r="F500" s="339"/>
      <c r="G500" s="339"/>
      <c r="H500" s="339"/>
      <c r="I500" s="341"/>
      <c r="J500" s="339"/>
      <c r="K500" s="339"/>
      <c r="L500" s="339"/>
      <c r="M500" s="339"/>
      <c r="N500" s="339"/>
      <c r="O500" s="341"/>
      <c r="P500" s="340"/>
      <c r="Q500" s="339"/>
      <c r="R500" s="339"/>
      <c r="S500" s="339"/>
      <c r="T500" s="339"/>
      <c r="U500" s="339"/>
      <c r="V500" s="339"/>
      <c r="W500" s="339"/>
      <c r="X500" s="339"/>
      <c r="Y500" s="339"/>
      <c r="Z500" s="339"/>
    </row>
    <row r="501" spans="1:26" ht="15.75" customHeight="1">
      <c r="A501" s="339"/>
      <c r="B501" s="339"/>
      <c r="C501" s="339"/>
      <c r="D501" s="339"/>
      <c r="E501" s="339"/>
      <c r="F501" s="339"/>
      <c r="G501" s="339"/>
      <c r="H501" s="339"/>
      <c r="I501" s="341"/>
      <c r="J501" s="339"/>
      <c r="K501" s="339"/>
      <c r="L501" s="339"/>
      <c r="M501" s="339"/>
      <c r="N501" s="339"/>
      <c r="O501" s="341"/>
      <c r="P501" s="340"/>
      <c r="Q501" s="339"/>
      <c r="R501" s="339"/>
      <c r="S501" s="339"/>
      <c r="T501" s="339"/>
      <c r="U501" s="339"/>
      <c r="V501" s="339"/>
      <c r="W501" s="339"/>
      <c r="X501" s="339"/>
      <c r="Y501" s="339"/>
      <c r="Z501" s="339"/>
    </row>
    <row r="502" spans="1:26" ht="15.75" customHeight="1">
      <c r="A502" s="339"/>
      <c r="B502" s="339"/>
      <c r="C502" s="339"/>
      <c r="D502" s="339"/>
      <c r="E502" s="339"/>
      <c r="F502" s="339"/>
      <c r="G502" s="339"/>
      <c r="H502" s="339"/>
      <c r="I502" s="341"/>
      <c r="J502" s="339"/>
      <c r="K502" s="339"/>
      <c r="L502" s="339"/>
      <c r="M502" s="339"/>
      <c r="N502" s="339"/>
      <c r="O502" s="341"/>
      <c r="P502" s="340"/>
      <c r="Q502" s="339"/>
      <c r="R502" s="339"/>
      <c r="S502" s="339"/>
      <c r="T502" s="339"/>
      <c r="U502" s="339"/>
      <c r="V502" s="339"/>
      <c r="W502" s="339"/>
      <c r="X502" s="339"/>
      <c r="Y502" s="339"/>
      <c r="Z502" s="339"/>
    </row>
    <row r="503" spans="1:26" ht="15.75" customHeight="1">
      <c r="A503" s="339"/>
      <c r="B503" s="339"/>
      <c r="C503" s="339"/>
      <c r="D503" s="339"/>
      <c r="E503" s="339"/>
      <c r="F503" s="339"/>
      <c r="G503" s="339"/>
      <c r="H503" s="339"/>
      <c r="I503" s="341"/>
      <c r="J503" s="339"/>
      <c r="K503" s="339"/>
      <c r="L503" s="339"/>
      <c r="M503" s="339"/>
      <c r="N503" s="339"/>
      <c r="O503" s="341"/>
      <c r="P503" s="340"/>
      <c r="Q503" s="339"/>
      <c r="R503" s="339"/>
      <c r="S503" s="339"/>
      <c r="T503" s="339"/>
      <c r="U503" s="339"/>
      <c r="V503" s="339"/>
      <c r="W503" s="339"/>
      <c r="X503" s="339"/>
      <c r="Y503" s="339"/>
      <c r="Z503" s="339"/>
    </row>
    <row r="504" spans="1:26" ht="15.75" customHeight="1">
      <c r="A504" s="339"/>
      <c r="B504" s="339"/>
      <c r="C504" s="339"/>
      <c r="D504" s="339"/>
      <c r="E504" s="339"/>
      <c r="F504" s="339"/>
      <c r="G504" s="339"/>
      <c r="H504" s="339"/>
      <c r="I504" s="341"/>
      <c r="J504" s="339"/>
      <c r="K504" s="339"/>
      <c r="L504" s="339"/>
      <c r="M504" s="339"/>
      <c r="N504" s="339"/>
      <c r="O504" s="341"/>
      <c r="P504" s="340"/>
      <c r="Q504" s="339"/>
      <c r="R504" s="339"/>
      <c r="S504" s="339"/>
      <c r="T504" s="339"/>
      <c r="U504" s="339"/>
      <c r="V504" s="339"/>
      <c r="W504" s="339"/>
      <c r="X504" s="339"/>
      <c r="Y504" s="339"/>
      <c r="Z504" s="339"/>
    </row>
    <row r="505" spans="1:26" ht="15.75" customHeight="1">
      <c r="A505" s="339"/>
      <c r="B505" s="339"/>
      <c r="C505" s="339"/>
      <c r="D505" s="339"/>
      <c r="E505" s="339"/>
      <c r="F505" s="339"/>
      <c r="G505" s="339"/>
      <c r="H505" s="339"/>
      <c r="I505" s="341"/>
      <c r="J505" s="339"/>
      <c r="K505" s="339"/>
      <c r="L505" s="339"/>
      <c r="M505" s="339"/>
      <c r="N505" s="339"/>
      <c r="O505" s="341"/>
      <c r="P505" s="340"/>
      <c r="Q505" s="339"/>
      <c r="R505" s="339"/>
      <c r="S505" s="339"/>
      <c r="T505" s="339"/>
      <c r="U505" s="339"/>
      <c r="V505" s="339"/>
      <c r="W505" s="339"/>
      <c r="X505" s="339"/>
      <c r="Y505" s="339"/>
      <c r="Z505" s="339"/>
    </row>
    <row r="506" spans="1:26" ht="15.75" customHeight="1">
      <c r="A506" s="339"/>
      <c r="B506" s="339"/>
      <c r="C506" s="339"/>
      <c r="D506" s="339"/>
      <c r="E506" s="339"/>
      <c r="F506" s="339"/>
      <c r="G506" s="339"/>
      <c r="H506" s="339"/>
      <c r="I506" s="341"/>
      <c r="J506" s="339"/>
      <c r="K506" s="339"/>
      <c r="L506" s="339"/>
      <c r="M506" s="339"/>
      <c r="N506" s="339"/>
      <c r="O506" s="341"/>
      <c r="P506" s="340"/>
      <c r="Q506" s="339"/>
      <c r="R506" s="339"/>
      <c r="S506" s="339"/>
      <c r="T506" s="339"/>
      <c r="U506" s="339"/>
      <c r="V506" s="339"/>
      <c r="W506" s="339"/>
      <c r="X506" s="339"/>
      <c r="Y506" s="339"/>
      <c r="Z506" s="339"/>
    </row>
    <row r="507" spans="1:26" ht="15.75" customHeight="1">
      <c r="A507" s="339"/>
      <c r="B507" s="339"/>
      <c r="C507" s="339"/>
      <c r="D507" s="339"/>
      <c r="E507" s="339"/>
      <c r="F507" s="339"/>
      <c r="G507" s="339"/>
      <c r="H507" s="339"/>
      <c r="I507" s="341"/>
      <c r="J507" s="339"/>
      <c r="K507" s="339"/>
      <c r="L507" s="339"/>
      <c r="M507" s="339"/>
      <c r="N507" s="339"/>
      <c r="O507" s="341"/>
      <c r="P507" s="340"/>
      <c r="Q507" s="339"/>
      <c r="R507" s="339"/>
      <c r="S507" s="339"/>
      <c r="T507" s="339"/>
      <c r="U507" s="339"/>
      <c r="V507" s="339"/>
      <c r="W507" s="339"/>
      <c r="X507" s="339"/>
      <c r="Y507" s="339"/>
      <c r="Z507" s="339"/>
    </row>
    <row r="508" spans="1:26" ht="15.75" customHeight="1">
      <c r="A508" s="339"/>
      <c r="B508" s="339"/>
      <c r="C508" s="339"/>
      <c r="D508" s="339"/>
      <c r="E508" s="339"/>
      <c r="F508" s="339"/>
      <c r="G508" s="339"/>
      <c r="H508" s="339"/>
      <c r="I508" s="341"/>
      <c r="J508" s="339"/>
      <c r="K508" s="339"/>
      <c r="L508" s="339"/>
      <c r="M508" s="339"/>
      <c r="N508" s="339"/>
      <c r="O508" s="341"/>
      <c r="P508" s="340"/>
      <c r="Q508" s="339"/>
      <c r="R508" s="339"/>
      <c r="S508" s="339"/>
      <c r="T508" s="339"/>
      <c r="U508" s="339"/>
      <c r="V508" s="339"/>
      <c r="W508" s="339"/>
      <c r="X508" s="339"/>
      <c r="Y508" s="339"/>
      <c r="Z508" s="339"/>
    </row>
    <row r="509" spans="1:26" ht="15.75" customHeight="1">
      <c r="A509" s="339"/>
      <c r="B509" s="339"/>
      <c r="C509" s="339"/>
      <c r="D509" s="339"/>
      <c r="E509" s="339"/>
      <c r="F509" s="339"/>
      <c r="G509" s="339"/>
      <c r="H509" s="339"/>
      <c r="I509" s="341"/>
      <c r="J509" s="339"/>
      <c r="K509" s="339"/>
      <c r="L509" s="339"/>
      <c r="M509" s="339"/>
      <c r="N509" s="339"/>
      <c r="O509" s="341"/>
      <c r="P509" s="340"/>
      <c r="Q509" s="339"/>
      <c r="R509" s="339"/>
      <c r="S509" s="339"/>
      <c r="T509" s="339"/>
      <c r="U509" s="339"/>
      <c r="V509" s="339"/>
      <c r="W509" s="339"/>
      <c r="X509" s="339"/>
      <c r="Y509" s="339"/>
      <c r="Z509" s="339"/>
    </row>
    <row r="510" spans="1:26" ht="15.75" customHeight="1">
      <c r="A510" s="339"/>
      <c r="B510" s="339"/>
      <c r="C510" s="339"/>
      <c r="D510" s="339"/>
      <c r="E510" s="339"/>
      <c r="F510" s="339"/>
      <c r="G510" s="339"/>
      <c r="H510" s="339"/>
      <c r="I510" s="341"/>
      <c r="J510" s="339"/>
      <c r="K510" s="339"/>
      <c r="L510" s="339"/>
      <c r="M510" s="339"/>
      <c r="N510" s="339"/>
      <c r="O510" s="341"/>
      <c r="P510" s="340"/>
      <c r="Q510" s="339"/>
      <c r="R510" s="339"/>
      <c r="S510" s="339"/>
      <c r="T510" s="339"/>
      <c r="U510" s="339"/>
      <c r="V510" s="339"/>
      <c r="W510" s="339"/>
      <c r="X510" s="339"/>
      <c r="Y510" s="339"/>
      <c r="Z510" s="339"/>
    </row>
    <row r="511" spans="1:26" ht="15.75" customHeight="1">
      <c r="A511" s="339"/>
      <c r="B511" s="339"/>
      <c r="C511" s="339"/>
      <c r="D511" s="339"/>
      <c r="E511" s="339"/>
      <c r="F511" s="339"/>
      <c r="G511" s="339"/>
      <c r="H511" s="339"/>
      <c r="I511" s="341"/>
      <c r="J511" s="339"/>
      <c r="K511" s="339"/>
      <c r="L511" s="339"/>
      <c r="M511" s="339"/>
      <c r="N511" s="339"/>
      <c r="O511" s="341"/>
      <c r="P511" s="340"/>
      <c r="Q511" s="339"/>
      <c r="R511" s="339"/>
      <c r="S511" s="339"/>
      <c r="T511" s="339"/>
      <c r="U511" s="339"/>
      <c r="V511" s="339"/>
      <c r="W511" s="339"/>
      <c r="X511" s="339"/>
      <c r="Y511" s="339"/>
      <c r="Z511" s="339"/>
    </row>
    <row r="512" spans="1:26" ht="15.75" customHeight="1">
      <c r="A512" s="339"/>
      <c r="B512" s="339"/>
      <c r="C512" s="339"/>
      <c r="D512" s="339"/>
      <c r="E512" s="339"/>
      <c r="F512" s="339"/>
      <c r="G512" s="339"/>
      <c r="H512" s="339"/>
      <c r="I512" s="341"/>
      <c r="J512" s="339"/>
      <c r="K512" s="339"/>
      <c r="L512" s="339"/>
      <c r="M512" s="339"/>
      <c r="N512" s="339"/>
      <c r="O512" s="341"/>
      <c r="P512" s="340"/>
      <c r="Q512" s="339"/>
      <c r="R512" s="339"/>
      <c r="S512" s="339"/>
      <c r="T512" s="339"/>
      <c r="U512" s="339"/>
      <c r="V512" s="339"/>
      <c r="W512" s="339"/>
      <c r="X512" s="339"/>
      <c r="Y512" s="339"/>
      <c r="Z512" s="339"/>
    </row>
    <row r="513" spans="1:26" ht="15.75" customHeight="1">
      <c r="A513" s="339"/>
      <c r="B513" s="339"/>
      <c r="C513" s="339"/>
      <c r="D513" s="339"/>
      <c r="E513" s="339"/>
      <c r="F513" s="339"/>
      <c r="G513" s="339"/>
      <c r="H513" s="339"/>
      <c r="I513" s="341"/>
      <c r="J513" s="339"/>
      <c r="K513" s="339"/>
      <c r="L513" s="339"/>
      <c r="M513" s="339"/>
      <c r="N513" s="339"/>
      <c r="O513" s="341"/>
      <c r="P513" s="340"/>
      <c r="Q513" s="339"/>
      <c r="R513" s="339"/>
      <c r="S513" s="339"/>
      <c r="T513" s="339"/>
      <c r="U513" s="339"/>
      <c r="V513" s="339"/>
      <c r="W513" s="339"/>
      <c r="X513" s="339"/>
      <c r="Y513" s="339"/>
      <c r="Z513" s="339"/>
    </row>
    <row r="514" spans="1:26" ht="15.75" customHeight="1">
      <c r="A514" s="339"/>
      <c r="B514" s="339"/>
      <c r="C514" s="339"/>
      <c r="D514" s="339"/>
      <c r="E514" s="339"/>
      <c r="F514" s="339"/>
      <c r="G514" s="339"/>
      <c r="H514" s="339"/>
      <c r="I514" s="341"/>
      <c r="J514" s="339"/>
      <c r="K514" s="339"/>
      <c r="L514" s="339"/>
      <c r="M514" s="339"/>
      <c r="N514" s="339"/>
      <c r="O514" s="341"/>
      <c r="P514" s="340"/>
      <c r="Q514" s="339"/>
      <c r="R514" s="339"/>
      <c r="S514" s="339"/>
      <c r="T514" s="339"/>
      <c r="U514" s="339"/>
      <c r="V514" s="339"/>
      <c r="W514" s="339"/>
      <c r="X514" s="339"/>
      <c r="Y514" s="339"/>
      <c r="Z514" s="339"/>
    </row>
    <row r="515" spans="1:26" ht="15.75" customHeight="1">
      <c r="A515" s="339"/>
      <c r="B515" s="339"/>
      <c r="C515" s="339"/>
      <c r="D515" s="339"/>
      <c r="E515" s="339"/>
      <c r="F515" s="339"/>
      <c r="G515" s="339"/>
      <c r="H515" s="339"/>
      <c r="I515" s="341"/>
      <c r="J515" s="339"/>
      <c r="K515" s="339"/>
      <c r="L515" s="339"/>
      <c r="M515" s="339"/>
      <c r="N515" s="339"/>
      <c r="O515" s="341"/>
      <c r="P515" s="340"/>
      <c r="Q515" s="339"/>
      <c r="R515" s="339"/>
      <c r="S515" s="339"/>
      <c r="T515" s="339"/>
      <c r="U515" s="339"/>
      <c r="V515" s="339"/>
      <c r="W515" s="339"/>
      <c r="X515" s="339"/>
      <c r="Y515" s="339"/>
      <c r="Z515" s="339"/>
    </row>
    <row r="516" spans="1:26" ht="15.75" customHeight="1">
      <c r="A516" s="339"/>
      <c r="B516" s="339"/>
      <c r="C516" s="339"/>
      <c r="D516" s="339"/>
      <c r="E516" s="339"/>
      <c r="F516" s="339"/>
      <c r="G516" s="339"/>
      <c r="H516" s="339"/>
      <c r="I516" s="341"/>
      <c r="J516" s="339"/>
      <c r="K516" s="339"/>
      <c r="L516" s="339"/>
      <c r="M516" s="339"/>
      <c r="N516" s="339"/>
      <c r="O516" s="341"/>
      <c r="P516" s="340"/>
      <c r="Q516" s="339"/>
      <c r="R516" s="339"/>
      <c r="S516" s="339"/>
      <c r="T516" s="339"/>
      <c r="U516" s="339"/>
      <c r="V516" s="339"/>
      <c r="W516" s="339"/>
      <c r="X516" s="339"/>
      <c r="Y516" s="339"/>
      <c r="Z516" s="339"/>
    </row>
    <row r="517" spans="1:26" ht="15.75" customHeight="1">
      <c r="A517" s="339"/>
      <c r="B517" s="339"/>
      <c r="C517" s="339"/>
      <c r="D517" s="339"/>
      <c r="E517" s="339"/>
      <c r="F517" s="339"/>
      <c r="G517" s="339"/>
      <c r="H517" s="339"/>
      <c r="I517" s="341"/>
      <c r="J517" s="339"/>
      <c r="K517" s="339"/>
      <c r="L517" s="339"/>
      <c r="M517" s="339"/>
      <c r="N517" s="339"/>
      <c r="O517" s="341"/>
      <c r="P517" s="340"/>
      <c r="Q517" s="339"/>
      <c r="R517" s="339"/>
      <c r="S517" s="339"/>
      <c r="T517" s="339"/>
      <c r="U517" s="339"/>
      <c r="V517" s="339"/>
      <c r="W517" s="339"/>
      <c r="X517" s="339"/>
      <c r="Y517" s="339"/>
      <c r="Z517" s="339"/>
    </row>
    <row r="518" spans="1:26" ht="15.75" customHeight="1">
      <c r="A518" s="339"/>
      <c r="B518" s="339"/>
      <c r="C518" s="339"/>
      <c r="D518" s="339"/>
      <c r="E518" s="339"/>
      <c r="F518" s="339"/>
      <c r="G518" s="339"/>
      <c r="H518" s="339"/>
      <c r="I518" s="341"/>
      <c r="J518" s="339"/>
      <c r="K518" s="339"/>
      <c r="L518" s="339"/>
      <c r="M518" s="339"/>
      <c r="N518" s="339"/>
      <c r="O518" s="341"/>
      <c r="P518" s="340"/>
      <c r="Q518" s="339"/>
      <c r="R518" s="339"/>
      <c r="S518" s="339"/>
      <c r="T518" s="339"/>
      <c r="U518" s="339"/>
      <c r="V518" s="339"/>
      <c r="W518" s="339"/>
      <c r="X518" s="339"/>
      <c r="Y518" s="339"/>
      <c r="Z518" s="339"/>
    </row>
    <row r="519" spans="1:26" ht="15.75" customHeight="1">
      <c r="A519" s="339"/>
      <c r="B519" s="339"/>
      <c r="C519" s="339"/>
      <c r="D519" s="339"/>
      <c r="E519" s="339"/>
      <c r="F519" s="339"/>
      <c r="G519" s="339"/>
      <c r="H519" s="339"/>
      <c r="I519" s="341"/>
      <c r="J519" s="339"/>
      <c r="K519" s="339"/>
      <c r="L519" s="339"/>
      <c r="M519" s="339"/>
      <c r="N519" s="339"/>
      <c r="O519" s="341"/>
      <c r="P519" s="340"/>
      <c r="Q519" s="339"/>
      <c r="R519" s="339"/>
      <c r="S519" s="339"/>
      <c r="T519" s="339"/>
      <c r="U519" s="339"/>
      <c r="V519" s="339"/>
      <c r="W519" s="339"/>
      <c r="X519" s="339"/>
      <c r="Y519" s="339"/>
      <c r="Z519" s="339"/>
    </row>
    <row r="520" spans="1:26" ht="15.75" customHeight="1">
      <c r="A520" s="339"/>
      <c r="B520" s="339"/>
      <c r="C520" s="339"/>
      <c r="D520" s="339"/>
      <c r="E520" s="339"/>
      <c r="F520" s="339"/>
      <c r="G520" s="339"/>
      <c r="H520" s="339"/>
      <c r="I520" s="341"/>
      <c r="J520" s="339"/>
      <c r="K520" s="339"/>
      <c r="L520" s="339"/>
      <c r="M520" s="339"/>
      <c r="N520" s="339"/>
      <c r="O520" s="341"/>
      <c r="P520" s="340"/>
      <c r="Q520" s="339"/>
      <c r="R520" s="339"/>
      <c r="S520" s="339"/>
      <c r="T520" s="339"/>
      <c r="U520" s="339"/>
      <c r="V520" s="339"/>
      <c r="W520" s="339"/>
      <c r="X520" s="339"/>
      <c r="Y520" s="339"/>
      <c r="Z520" s="339"/>
    </row>
    <row r="521" spans="1:26" ht="15.75" customHeight="1">
      <c r="A521" s="339"/>
      <c r="B521" s="339"/>
      <c r="C521" s="339"/>
      <c r="D521" s="339"/>
      <c r="E521" s="339"/>
      <c r="F521" s="339"/>
      <c r="G521" s="339"/>
      <c r="H521" s="339"/>
      <c r="I521" s="341"/>
      <c r="J521" s="339"/>
      <c r="K521" s="339"/>
      <c r="L521" s="339"/>
      <c r="M521" s="339"/>
      <c r="N521" s="339"/>
      <c r="O521" s="341"/>
      <c r="P521" s="340"/>
      <c r="Q521" s="339"/>
      <c r="R521" s="339"/>
      <c r="S521" s="339"/>
      <c r="T521" s="339"/>
      <c r="U521" s="339"/>
      <c r="V521" s="339"/>
      <c r="W521" s="339"/>
      <c r="X521" s="339"/>
      <c r="Y521" s="339"/>
      <c r="Z521" s="339"/>
    </row>
    <row r="522" spans="1:26" ht="15.75" customHeight="1">
      <c r="A522" s="339"/>
      <c r="B522" s="339"/>
      <c r="C522" s="339"/>
      <c r="D522" s="339"/>
      <c r="E522" s="339"/>
      <c r="F522" s="339"/>
      <c r="G522" s="339"/>
      <c r="H522" s="339"/>
      <c r="I522" s="341"/>
      <c r="J522" s="339"/>
      <c r="K522" s="339"/>
      <c r="L522" s="339"/>
      <c r="M522" s="339"/>
      <c r="N522" s="339"/>
      <c r="O522" s="341"/>
      <c r="P522" s="340"/>
      <c r="Q522" s="339"/>
      <c r="R522" s="339"/>
      <c r="S522" s="339"/>
      <c r="T522" s="339"/>
      <c r="U522" s="339"/>
      <c r="V522" s="339"/>
      <c r="W522" s="339"/>
      <c r="X522" s="339"/>
      <c r="Y522" s="339"/>
      <c r="Z522" s="339"/>
    </row>
    <row r="523" spans="1:26" ht="15.75" customHeight="1">
      <c r="A523" s="339"/>
      <c r="B523" s="339"/>
      <c r="C523" s="339"/>
      <c r="D523" s="339"/>
      <c r="E523" s="339"/>
      <c r="F523" s="339"/>
      <c r="G523" s="339"/>
      <c r="H523" s="339"/>
      <c r="I523" s="341"/>
      <c r="J523" s="339"/>
      <c r="K523" s="339"/>
      <c r="L523" s="339"/>
      <c r="M523" s="339"/>
      <c r="N523" s="339"/>
      <c r="O523" s="341"/>
      <c r="P523" s="340"/>
      <c r="Q523" s="339"/>
      <c r="R523" s="339"/>
      <c r="S523" s="339"/>
      <c r="T523" s="339"/>
      <c r="U523" s="339"/>
      <c r="V523" s="339"/>
      <c r="W523" s="339"/>
      <c r="X523" s="339"/>
      <c r="Y523" s="339"/>
      <c r="Z523" s="339"/>
    </row>
    <row r="524" spans="1:26" ht="15.75" customHeight="1">
      <c r="A524" s="339"/>
      <c r="B524" s="339"/>
      <c r="C524" s="339"/>
      <c r="D524" s="339"/>
      <c r="E524" s="339"/>
      <c r="F524" s="339"/>
      <c r="G524" s="339"/>
      <c r="H524" s="339"/>
      <c r="I524" s="341"/>
      <c r="J524" s="339"/>
      <c r="K524" s="339"/>
      <c r="L524" s="339"/>
      <c r="M524" s="339"/>
      <c r="N524" s="339"/>
      <c r="O524" s="341"/>
      <c r="P524" s="340"/>
      <c r="Q524" s="339"/>
      <c r="R524" s="339"/>
      <c r="S524" s="339"/>
      <c r="T524" s="339"/>
      <c r="U524" s="339"/>
      <c r="V524" s="339"/>
      <c r="W524" s="339"/>
      <c r="X524" s="339"/>
      <c r="Y524" s="339"/>
      <c r="Z524" s="339"/>
    </row>
    <row r="525" spans="1:26" ht="15.75" customHeight="1">
      <c r="A525" s="339"/>
      <c r="B525" s="339"/>
      <c r="C525" s="339"/>
      <c r="D525" s="339"/>
      <c r="E525" s="339"/>
      <c r="F525" s="339"/>
      <c r="G525" s="339"/>
      <c r="H525" s="339"/>
      <c r="I525" s="341"/>
      <c r="J525" s="339"/>
      <c r="K525" s="339"/>
      <c r="L525" s="339"/>
      <c r="M525" s="339"/>
      <c r="N525" s="339"/>
      <c r="O525" s="341"/>
      <c r="P525" s="340"/>
      <c r="Q525" s="339"/>
      <c r="R525" s="339"/>
      <c r="S525" s="339"/>
      <c r="T525" s="339"/>
      <c r="U525" s="339"/>
      <c r="V525" s="339"/>
      <c r="W525" s="339"/>
      <c r="X525" s="339"/>
      <c r="Y525" s="339"/>
      <c r="Z525" s="339"/>
    </row>
    <row r="526" spans="1:26" ht="15.75" customHeight="1">
      <c r="A526" s="339"/>
      <c r="B526" s="339"/>
      <c r="C526" s="339"/>
      <c r="D526" s="339"/>
      <c r="E526" s="339"/>
      <c r="F526" s="339"/>
      <c r="G526" s="339"/>
      <c r="H526" s="339"/>
      <c r="I526" s="341"/>
      <c r="J526" s="339"/>
      <c r="K526" s="339"/>
      <c r="L526" s="339"/>
      <c r="M526" s="339"/>
      <c r="N526" s="339"/>
      <c r="O526" s="341"/>
      <c r="P526" s="340"/>
      <c r="Q526" s="339"/>
      <c r="R526" s="339"/>
      <c r="S526" s="339"/>
      <c r="T526" s="339"/>
      <c r="U526" s="339"/>
      <c r="V526" s="339"/>
      <c r="W526" s="339"/>
      <c r="X526" s="339"/>
      <c r="Y526" s="339"/>
      <c r="Z526" s="339"/>
    </row>
    <row r="527" spans="1:26" ht="15.75" customHeight="1">
      <c r="A527" s="339"/>
      <c r="B527" s="339"/>
      <c r="C527" s="339"/>
      <c r="D527" s="339"/>
      <c r="E527" s="339"/>
      <c r="F527" s="339"/>
      <c r="G527" s="339"/>
      <c r="H527" s="339"/>
      <c r="I527" s="341"/>
      <c r="J527" s="339"/>
      <c r="K527" s="339"/>
      <c r="L527" s="339"/>
      <c r="M527" s="339"/>
      <c r="N527" s="339"/>
      <c r="O527" s="341"/>
      <c r="P527" s="340"/>
      <c r="Q527" s="339"/>
      <c r="R527" s="339"/>
      <c r="S527" s="339"/>
      <c r="T527" s="339"/>
      <c r="U527" s="339"/>
      <c r="V527" s="339"/>
      <c r="W527" s="339"/>
      <c r="X527" s="339"/>
      <c r="Y527" s="339"/>
      <c r="Z527" s="339"/>
    </row>
    <row r="528" spans="1:26" ht="15.75" customHeight="1">
      <c r="A528" s="339"/>
      <c r="B528" s="339"/>
      <c r="C528" s="339"/>
      <c r="D528" s="339"/>
      <c r="E528" s="339"/>
      <c r="F528" s="339"/>
      <c r="G528" s="339"/>
      <c r="H528" s="339"/>
      <c r="I528" s="341"/>
      <c r="J528" s="339"/>
      <c r="K528" s="339"/>
      <c r="L528" s="339"/>
      <c r="M528" s="339"/>
      <c r="N528" s="339"/>
      <c r="O528" s="341"/>
      <c r="P528" s="340"/>
      <c r="Q528" s="339"/>
      <c r="R528" s="339"/>
      <c r="S528" s="339"/>
      <c r="T528" s="339"/>
      <c r="U528" s="339"/>
      <c r="V528" s="339"/>
      <c r="W528" s="339"/>
      <c r="X528" s="339"/>
      <c r="Y528" s="339"/>
      <c r="Z528" s="339"/>
    </row>
    <row r="529" spans="1:26" ht="15.75" customHeight="1">
      <c r="A529" s="339"/>
      <c r="B529" s="339"/>
      <c r="C529" s="339"/>
      <c r="D529" s="339"/>
      <c r="E529" s="339"/>
      <c r="F529" s="339"/>
      <c r="G529" s="339"/>
      <c r="H529" s="339"/>
      <c r="I529" s="341"/>
      <c r="J529" s="339"/>
      <c r="K529" s="339"/>
      <c r="L529" s="339"/>
      <c r="M529" s="339"/>
      <c r="N529" s="339"/>
      <c r="O529" s="341"/>
      <c r="P529" s="340"/>
      <c r="Q529" s="339"/>
      <c r="R529" s="339"/>
      <c r="S529" s="339"/>
      <c r="T529" s="339"/>
      <c r="U529" s="339"/>
      <c r="V529" s="339"/>
      <c r="W529" s="339"/>
      <c r="X529" s="339"/>
      <c r="Y529" s="339"/>
      <c r="Z529" s="339"/>
    </row>
    <row r="530" spans="1:26" ht="15.75" customHeight="1">
      <c r="A530" s="339"/>
      <c r="B530" s="339"/>
      <c r="C530" s="339"/>
      <c r="D530" s="339"/>
      <c r="E530" s="339"/>
      <c r="F530" s="339"/>
      <c r="G530" s="339"/>
      <c r="H530" s="339"/>
      <c r="I530" s="341"/>
      <c r="J530" s="339"/>
      <c r="K530" s="339"/>
      <c r="L530" s="339"/>
      <c r="M530" s="339"/>
      <c r="N530" s="339"/>
      <c r="O530" s="341"/>
      <c r="P530" s="340"/>
      <c r="Q530" s="339"/>
      <c r="R530" s="339"/>
      <c r="S530" s="339"/>
      <c r="T530" s="339"/>
      <c r="U530" s="339"/>
      <c r="V530" s="339"/>
      <c r="W530" s="339"/>
      <c r="X530" s="339"/>
      <c r="Y530" s="339"/>
      <c r="Z530" s="339"/>
    </row>
    <row r="531" spans="1:26" ht="15.75" customHeight="1">
      <c r="A531" s="339"/>
      <c r="B531" s="339"/>
      <c r="C531" s="339"/>
      <c r="D531" s="339"/>
      <c r="E531" s="339"/>
      <c r="F531" s="339"/>
      <c r="G531" s="339"/>
      <c r="H531" s="339"/>
      <c r="I531" s="341"/>
      <c r="J531" s="339"/>
      <c r="K531" s="339"/>
      <c r="L531" s="339"/>
      <c r="M531" s="339"/>
      <c r="N531" s="339"/>
      <c r="O531" s="341"/>
      <c r="P531" s="340"/>
      <c r="Q531" s="339"/>
      <c r="R531" s="339"/>
      <c r="S531" s="339"/>
      <c r="T531" s="339"/>
      <c r="U531" s="339"/>
      <c r="V531" s="339"/>
      <c r="W531" s="339"/>
      <c r="X531" s="339"/>
      <c r="Y531" s="339"/>
      <c r="Z531" s="339"/>
    </row>
    <row r="532" spans="1:26" ht="15.75" customHeight="1">
      <c r="A532" s="339"/>
      <c r="B532" s="339"/>
      <c r="C532" s="339"/>
      <c r="D532" s="339"/>
      <c r="E532" s="339"/>
      <c r="F532" s="339"/>
      <c r="G532" s="339"/>
      <c r="H532" s="339"/>
      <c r="I532" s="341"/>
      <c r="J532" s="339"/>
      <c r="K532" s="339"/>
      <c r="L532" s="339"/>
      <c r="M532" s="339"/>
      <c r="N532" s="339"/>
      <c r="O532" s="341"/>
      <c r="P532" s="340"/>
      <c r="Q532" s="339"/>
      <c r="R532" s="339"/>
      <c r="S532" s="339"/>
      <c r="T532" s="339"/>
      <c r="U532" s="339"/>
      <c r="V532" s="339"/>
      <c r="W532" s="339"/>
      <c r="X532" s="339"/>
      <c r="Y532" s="339"/>
      <c r="Z532" s="339"/>
    </row>
    <row r="533" spans="1:26" ht="15.75" customHeight="1">
      <c r="A533" s="339"/>
      <c r="B533" s="339"/>
      <c r="C533" s="339"/>
      <c r="D533" s="339"/>
      <c r="E533" s="339"/>
      <c r="F533" s="339"/>
      <c r="G533" s="339"/>
      <c r="H533" s="339"/>
      <c r="I533" s="341"/>
      <c r="J533" s="339"/>
      <c r="K533" s="339"/>
      <c r="L533" s="339"/>
      <c r="M533" s="339"/>
      <c r="N533" s="339"/>
      <c r="O533" s="341"/>
      <c r="P533" s="340"/>
      <c r="Q533" s="339"/>
      <c r="R533" s="339"/>
      <c r="S533" s="339"/>
      <c r="T533" s="339"/>
      <c r="U533" s="339"/>
      <c r="V533" s="339"/>
      <c r="W533" s="339"/>
      <c r="X533" s="339"/>
      <c r="Y533" s="339"/>
      <c r="Z533" s="339"/>
    </row>
    <row r="534" spans="1:26" ht="15.75" customHeight="1">
      <c r="A534" s="339"/>
      <c r="B534" s="339"/>
      <c r="C534" s="339"/>
      <c r="D534" s="339"/>
      <c r="E534" s="339"/>
      <c r="F534" s="339"/>
      <c r="G534" s="339"/>
      <c r="H534" s="339"/>
      <c r="I534" s="341"/>
      <c r="J534" s="339"/>
      <c r="K534" s="339"/>
      <c r="L534" s="339"/>
      <c r="M534" s="339"/>
      <c r="N534" s="339"/>
      <c r="O534" s="341"/>
      <c r="P534" s="340"/>
      <c r="Q534" s="339"/>
      <c r="R534" s="339"/>
      <c r="S534" s="339"/>
      <c r="T534" s="339"/>
      <c r="U534" s="339"/>
      <c r="V534" s="339"/>
      <c r="W534" s="339"/>
      <c r="X534" s="339"/>
      <c r="Y534" s="339"/>
      <c r="Z534" s="339"/>
    </row>
    <row r="535" spans="1:26" ht="15.75" customHeight="1">
      <c r="A535" s="339"/>
      <c r="B535" s="339"/>
      <c r="C535" s="339"/>
      <c r="D535" s="339"/>
      <c r="E535" s="339"/>
      <c r="F535" s="339"/>
      <c r="G535" s="339"/>
      <c r="H535" s="339"/>
      <c r="I535" s="341"/>
      <c r="J535" s="339"/>
      <c r="K535" s="339"/>
      <c r="L535" s="339"/>
      <c r="M535" s="339"/>
      <c r="N535" s="339"/>
      <c r="O535" s="341"/>
      <c r="P535" s="340"/>
      <c r="Q535" s="339"/>
      <c r="R535" s="339"/>
      <c r="S535" s="339"/>
      <c r="T535" s="339"/>
      <c r="U535" s="339"/>
      <c r="V535" s="339"/>
      <c r="W535" s="339"/>
      <c r="X535" s="339"/>
      <c r="Y535" s="339"/>
      <c r="Z535" s="339"/>
    </row>
    <row r="536" spans="1:26" ht="15.75" customHeight="1">
      <c r="A536" s="339"/>
      <c r="B536" s="339"/>
      <c r="C536" s="339"/>
      <c r="D536" s="339"/>
      <c r="E536" s="339"/>
      <c r="F536" s="339"/>
      <c r="G536" s="339"/>
      <c r="H536" s="339"/>
      <c r="I536" s="341"/>
      <c r="J536" s="339"/>
      <c r="K536" s="339"/>
      <c r="L536" s="339"/>
      <c r="M536" s="339"/>
      <c r="N536" s="339"/>
      <c r="O536" s="341"/>
      <c r="P536" s="340"/>
      <c r="Q536" s="339"/>
      <c r="R536" s="339"/>
      <c r="S536" s="339"/>
      <c r="T536" s="339"/>
      <c r="U536" s="339"/>
      <c r="V536" s="339"/>
      <c r="W536" s="339"/>
      <c r="X536" s="339"/>
      <c r="Y536" s="339"/>
      <c r="Z536" s="339"/>
    </row>
    <row r="537" spans="1:26" ht="15.75" customHeight="1">
      <c r="A537" s="339"/>
      <c r="B537" s="339"/>
      <c r="C537" s="339"/>
      <c r="D537" s="339"/>
      <c r="E537" s="339"/>
      <c r="F537" s="339"/>
      <c r="G537" s="339"/>
      <c r="H537" s="339"/>
      <c r="I537" s="341"/>
      <c r="J537" s="339"/>
      <c r="K537" s="339"/>
      <c r="L537" s="339"/>
      <c r="M537" s="339"/>
      <c r="N537" s="339"/>
      <c r="O537" s="341"/>
      <c r="P537" s="340"/>
      <c r="Q537" s="339"/>
      <c r="R537" s="339"/>
      <c r="S537" s="339"/>
      <c r="T537" s="339"/>
      <c r="U537" s="339"/>
      <c r="V537" s="339"/>
      <c r="W537" s="339"/>
      <c r="X537" s="339"/>
      <c r="Y537" s="339"/>
      <c r="Z537" s="339"/>
    </row>
    <row r="538" spans="1:26" ht="15.75" customHeight="1">
      <c r="A538" s="339"/>
      <c r="B538" s="339"/>
      <c r="C538" s="339"/>
      <c r="D538" s="339"/>
      <c r="E538" s="339"/>
      <c r="F538" s="339"/>
      <c r="G538" s="339"/>
      <c r="H538" s="339"/>
      <c r="I538" s="341"/>
      <c r="J538" s="339"/>
      <c r="K538" s="339"/>
      <c r="L538" s="339"/>
      <c r="M538" s="339"/>
      <c r="N538" s="339"/>
      <c r="O538" s="341"/>
      <c r="P538" s="340"/>
      <c r="Q538" s="339"/>
      <c r="R538" s="339"/>
      <c r="S538" s="339"/>
      <c r="T538" s="339"/>
      <c r="U538" s="339"/>
      <c r="V538" s="339"/>
      <c r="W538" s="339"/>
      <c r="X538" s="339"/>
      <c r="Y538" s="339"/>
      <c r="Z538" s="339"/>
    </row>
    <row r="539" spans="1:26" ht="15.75" customHeight="1">
      <c r="A539" s="339"/>
      <c r="B539" s="339"/>
      <c r="C539" s="339"/>
      <c r="D539" s="339"/>
      <c r="E539" s="339"/>
      <c r="F539" s="339"/>
      <c r="G539" s="339"/>
      <c r="H539" s="339"/>
      <c r="I539" s="341"/>
      <c r="J539" s="339"/>
      <c r="K539" s="339"/>
      <c r="L539" s="339"/>
      <c r="M539" s="339"/>
      <c r="N539" s="339"/>
      <c r="O539" s="341"/>
      <c r="P539" s="340"/>
      <c r="Q539" s="339"/>
      <c r="R539" s="339"/>
      <c r="S539" s="339"/>
      <c r="T539" s="339"/>
      <c r="U539" s="339"/>
      <c r="V539" s="339"/>
      <c r="W539" s="339"/>
      <c r="X539" s="339"/>
      <c r="Y539" s="339"/>
      <c r="Z539" s="339"/>
    </row>
    <row r="540" spans="1:26" ht="15.75" customHeight="1">
      <c r="A540" s="339"/>
      <c r="B540" s="339"/>
      <c r="C540" s="339"/>
      <c r="D540" s="339"/>
      <c r="E540" s="339"/>
      <c r="F540" s="339"/>
      <c r="G540" s="339"/>
      <c r="H540" s="339"/>
      <c r="I540" s="341"/>
      <c r="J540" s="339"/>
      <c r="K540" s="339"/>
      <c r="L540" s="339"/>
      <c r="M540" s="339"/>
      <c r="N540" s="339"/>
      <c r="O540" s="341"/>
      <c r="P540" s="340"/>
      <c r="Q540" s="339"/>
      <c r="R540" s="339"/>
      <c r="S540" s="339"/>
      <c r="T540" s="339"/>
      <c r="U540" s="339"/>
      <c r="V540" s="339"/>
      <c r="W540" s="339"/>
      <c r="X540" s="339"/>
      <c r="Y540" s="339"/>
      <c r="Z540" s="339"/>
    </row>
    <row r="541" spans="1:26" ht="15.75" customHeight="1">
      <c r="A541" s="339"/>
      <c r="B541" s="339"/>
      <c r="C541" s="339"/>
      <c r="D541" s="339"/>
      <c r="E541" s="339"/>
      <c r="F541" s="339"/>
      <c r="G541" s="339"/>
      <c r="H541" s="339"/>
      <c r="I541" s="341"/>
      <c r="J541" s="339"/>
      <c r="K541" s="339"/>
      <c r="L541" s="339"/>
      <c r="M541" s="339"/>
      <c r="N541" s="339"/>
      <c r="O541" s="341"/>
      <c r="P541" s="340"/>
      <c r="Q541" s="339"/>
      <c r="R541" s="339"/>
      <c r="S541" s="339"/>
      <c r="T541" s="339"/>
      <c r="U541" s="339"/>
      <c r="V541" s="339"/>
      <c r="W541" s="339"/>
      <c r="X541" s="339"/>
      <c r="Y541" s="339"/>
      <c r="Z541" s="339"/>
    </row>
    <row r="542" spans="1:26" ht="15.75" customHeight="1">
      <c r="A542" s="339"/>
      <c r="B542" s="339"/>
      <c r="C542" s="339"/>
      <c r="D542" s="339"/>
      <c r="E542" s="339"/>
      <c r="F542" s="339"/>
      <c r="G542" s="339"/>
      <c r="H542" s="339"/>
      <c r="I542" s="341"/>
      <c r="J542" s="339"/>
      <c r="K542" s="339"/>
      <c r="L542" s="339"/>
      <c r="M542" s="339"/>
      <c r="N542" s="339"/>
      <c r="O542" s="341"/>
      <c r="P542" s="340"/>
      <c r="Q542" s="339"/>
      <c r="R542" s="339"/>
      <c r="S542" s="339"/>
      <c r="T542" s="339"/>
      <c r="U542" s="339"/>
      <c r="V542" s="339"/>
      <c r="W542" s="339"/>
      <c r="X542" s="339"/>
      <c r="Y542" s="339"/>
      <c r="Z542" s="339"/>
    </row>
    <row r="543" spans="1:26" ht="15.75" customHeight="1">
      <c r="A543" s="339"/>
      <c r="B543" s="339"/>
      <c r="C543" s="339"/>
      <c r="D543" s="339"/>
      <c r="E543" s="339"/>
      <c r="F543" s="339"/>
      <c r="G543" s="339"/>
      <c r="H543" s="339"/>
      <c r="I543" s="341"/>
      <c r="J543" s="339"/>
      <c r="K543" s="339"/>
      <c r="L543" s="339"/>
      <c r="M543" s="339"/>
      <c r="N543" s="339"/>
      <c r="O543" s="341"/>
      <c r="P543" s="340"/>
      <c r="Q543" s="339"/>
      <c r="R543" s="339"/>
      <c r="S543" s="339"/>
      <c r="T543" s="339"/>
      <c r="U543" s="339"/>
      <c r="V543" s="339"/>
      <c r="W543" s="339"/>
      <c r="X543" s="339"/>
      <c r="Y543" s="339"/>
      <c r="Z543" s="339"/>
    </row>
    <row r="544" spans="1:26" ht="15.75" customHeight="1">
      <c r="A544" s="339"/>
      <c r="B544" s="339"/>
      <c r="C544" s="339"/>
      <c r="D544" s="339"/>
      <c r="E544" s="339"/>
      <c r="F544" s="339"/>
      <c r="G544" s="339"/>
      <c r="H544" s="339"/>
      <c r="I544" s="341"/>
      <c r="J544" s="339"/>
      <c r="K544" s="339"/>
      <c r="L544" s="339"/>
      <c r="M544" s="339"/>
      <c r="N544" s="339"/>
      <c r="O544" s="341"/>
      <c r="P544" s="340"/>
      <c r="Q544" s="339"/>
      <c r="R544" s="339"/>
      <c r="S544" s="339"/>
      <c r="T544" s="339"/>
      <c r="U544" s="339"/>
      <c r="V544" s="339"/>
      <c r="W544" s="339"/>
      <c r="X544" s="339"/>
      <c r="Y544" s="339"/>
      <c r="Z544" s="339"/>
    </row>
    <row r="545" spans="1:26" ht="15.75" customHeight="1">
      <c r="A545" s="339"/>
      <c r="B545" s="339"/>
      <c r="C545" s="339"/>
      <c r="D545" s="339"/>
      <c r="E545" s="339"/>
      <c r="F545" s="339"/>
      <c r="G545" s="339"/>
      <c r="H545" s="339"/>
      <c r="I545" s="341"/>
      <c r="J545" s="339"/>
      <c r="K545" s="339"/>
      <c r="L545" s="339"/>
      <c r="M545" s="339"/>
      <c r="N545" s="339"/>
      <c r="O545" s="341"/>
      <c r="P545" s="340"/>
      <c r="Q545" s="339"/>
      <c r="R545" s="339"/>
      <c r="S545" s="339"/>
      <c r="T545" s="339"/>
      <c r="U545" s="339"/>
      <c r="V545" s="339"/>
      <c r="W545" s="339"/>
      <c r="X545" s="339"/>
      <c r="Y545" s="339"/>
      <c r="Z545" s="339"/>
    </row>
    <row r="546" spans="1:26" ht="15.75" customHeight="1">
      <c r="A546" s="339"/>
      <c r="B546" s="339"/>
      <c r="C546" s="339"/>
      <c r="D546" s="339"/>
      <c r="E546" s="339"/>
      <c r="F546" s="339"/>
      <c r="G546" s="339"/>
      <c r="H546" s="339"/>
      <c r="I546" s="341"/>
      <c r="J546" s="339"/>
      <c r="K546" s="339"/>
      <c r="L546" s="339"/>
      <c r="M546" s="339"/>
      <c r="N546" s="339"/>
      <c r="O546" s="341"/>
      <c r="P546" s="340"/>
      <c r="Q546" s="339"/>
      <c r="R546" s="339"/>
      <c r="S546" s="339"/>
      <c r="T546" s="339"/>
      <c r="U546" s="339"/>
      <c r="V546" s="339"/>
      <c r="W546" s="339"/>
      <c r="X546" s="339"/>
      <c r="Y546" s="339"/>
      <c r="Z546" s="339"/>
    </row>
    <row r="547" spans="1:26" ht="15.75" customHeight="1">
      <c r="A547" s="339"/>
      <c r="B547" s="339"/>
      <c r="C547" s="339"/>
      <c r="D547" s="339"/>
      <c r="E547" s="339"/>
      <c r="F547" s="339"/>
      <c r="G547" s="339"/>
      <c r="H547" s="339"/>
      <c r="I547" s="341"/>
      <c r="J547" s="339"/>
      <c r="K547" s="339"/>
      <c r="L547" s="339"/>
      <c r="M547" s="339"/>
      <c r="N547" s="339"/>
      <c r="O547" s="341"/>
      <c r="P547" s="340"/>
      <c r="Q547" s="339"/>
      <c r="R547" s="339"/>
      <c r="S547" s="339"/>
      <c r="T547" s="339"/>
      <c r="U547" s="339"/>
      <c r="V547" s="339"/>
      <c r="W547" s="339"/>
      <c r="X547" s="339"/>
      <c r="Y547" s="339"/>
      <c r="Z547" s="339"/>
    </row>
    <row r="548" spans="1:26" ht="15.75" customHeight="1">
      <c r="A548" s="339"/>
      <c r="B548" s="339"/>
      <c r="C548" s="339"/>
      <c r="D548" s="339"/>
      <c r="E548" s="339"/>
      <c r="F548" s="339"/>
      <c r="G548" s="339"/>
      <c r="H548" s="339"/>
      <c r="I548" s="341"/>
      <c r="J548" s="339"/>
      <c r="K548" s="339"/>
      <c r="L548" s="339"/>
      <c r="M548" s="339"/>
      <c r="N548" s="339"/>
      <c r="O548" s="341"/>
      <c r="P548" s="340"/>
      <c r="Q548" s="339"/>
      <c r="R548" s="339"/>
      <c r="S548" s="339"/>
      <c r="T548" s="339"/>
      <c r="U548" s="339"/>
      <c r="V548" s="339"/>
      <c r="W548" s="339"/>
      <c r="X548" s="339"/>
      <c r="Y548" s="339"/>
      <c r="Z548" s="339"/>
    </row>
    <row r="549" spans="1:26" ht="15.75" customHeight="1">
      <c r="A549" s="339"/>
      <c r="B549" s="339"/>
      <c r="C549" s="339"/>
      <c r="D549" s="339"/>
      <c r="E549" s="339"/>
      <c r="F549" s="339"/>
      <c r="G549" s="339"/>
      <c r="H549" s="339"/>
      <c r="I549" s="341"/>
      <c r="J549" s="339"/>
      <c r="K549" s="339"/>
      <c r="L549" s="339"/>
      <c r="M549" s="339"/>
      <c r="N549" s="339"/>
      <c r="O549" s="341"/>
      <c r="P549" s="340"/>
      <c r="Q549" s="339"/>
      <c r="R549" s="339"/>
      <c r="S549" s="339"/>
      <c r="T549" s="339"/>
      <c r="U549" s="339"/>
      <c r="V549" s="339"/>
      <c r="W549" s="339"/>
      <c r="X549" s="339"/>
      <c r="Y549" s="339"/>
      <c r="Z549" s="339"/>
    </row>
    <row r="550" spans="1:26" ht="15.75" customHeight="1">
      <c r="A550" s="339"/>
      <c r="B550" s="339"/>
      <c r="C550" s="339"/>
      <c r="D550" s="339"/>
      <c r="E550" s="339"/>
      <c r="F550" s="339"/>
      <c r="G550" s="339"/>
      <c r="H550" s="339"/>
      <c r="I550" s="341"/>
      <c r="J550" s="339"/>
      <c r="K550" s="339"/>
      <c r="L550" s="339"/>
      <c r="M550" s="339"/>
      <c r="N550" s="339"/>
      <c r="O550" s="341"/>
      <c r="P550" s="340"/>
      <c r="Q550" s="339"/>
      <c r="R550" s="339"/>
      <c r="S550" s="339"/>
      <c r="T550" s="339"/>
      <c r="U550" s="339"/>
      <c r="V550" s="339"/>
      <c r="W550" s="339"/>
      <c r="X550" s="339"/>
      <c r="Y550" s="339"/>
      <c r="Z550" s="339"/>
    </row>
    <row r="551" spans="1:26" ht="15.75" customHeight="1">
      <c r="A551" s="339"/>
      <c r="B551" s="339"/>
      <c r="C551" s="339"/>
      <c r="D551" s="339"/>
      <c r="E551" s="339"/>
      <c r="F551" s="339"/>
      <c r="G551" s="339"/>
      <c r="H551" s="339"/>
      <c r="I551" s="341"/>
      <c r="J551" s="339"/>
      <c r="K551" s="339"/>
      <c r="L551" s="339"/>
      <c r="M551" s="339"/>
      <c r="N551" s="339"/>
      <c r="O551" s="341"/>
      <c r="P551" s="340"/>
      <c r="Q551" s="339"/>
      <c r="R551" s="339"/>
      <c r="S551" s="339"/>
      <c r="T551" s="339"/>
      <c r="U551" s="339"/>
      <c r="V551" s="339"/>
      <c r="W551" s="339"/>
      <c r="X551" s="339"/>
      <c r="Y551" s="339"/>
      <c r="Z551" s="339"/>
    </row>
    <row r="552" spans="1:26" ht="15.75" customHeight="1">
      <c r="A552" s="339"/>
      <c r="B552" s="339"/>
      <c r="C552" s="339"/>
      <c r="D552" s="339"/>
      <c r="E552" s="339"/>
      <c r="F552" s="339"/>
      <c r="G552" s="339"/>
      <c r="H552" s="339"/>
      <c r="I552" s="341"/>
      <c r="J552" s="339"/>
      <c r="K552" s="339"/>
      <c r="L552" s="339"/>
      <c r="M552" s="339"/>
      <c r="N552" s="339"/>
      <c r="O552" s="341"/>
      <c r="P552" s="340"/>
      <c r="Q552" s="339"/>
      <c r="R552" s="339"/>
      <c r="S552" s="339"/>
      <c r="T552" s="339"/>
      <c r="U552" s="339"/>
      <c r="V552" s="339"/>
      <c r="W552" s="339"/>
      <c r="X552" s="339"/>
      <c r="Y552" s="339"/>
      <c r="Z552" s="339"/>
    </row>
    <row r="553" spans="1:26" ht="15.75" customHeight="1">
      <c r="A553" s="339"/>
      <c r="B553" s="339"/>
      <c r="C553" s="339"/>
      <c r="D553" s="339"/>
      <c r="E553" s="339"/>
      <c r="F553" s="339"/>
      <c r="G553" s="339"/>
      <c r="H553" s="339"/>
      <c r="I553" s="341"/>
      <c r="J553" s="339"/>
      <c r="K553" s="339"/>
      <c r="L553" s="339"/>
      <c r="M553" s="339"/>
      <c r="N553" s="339"/>
      <c r="O553" s="341"/>
      <c r="P553" s="340"/>
      <c r="Q553" s="339"/>
      <c r="R553" s="339"/>
      <c r="S553" s="339"/>
      <c r="T553" s="339"/>
      <c r="U553" s="339"/>
      <c r="V553" s="339"/>
      <c r="W553" s="339"/>
      <c r="X553" s="339"/>
      <c r="Y553" s="339"/>
      <c r="Z553" s="339"/>
    </row>
    <row r="554" spans="1:26" ht="15.75" customHeight="1">
      <c r="A554" s="339"/>
      <c r="B554" s="339"/>
      <c r="C554" s="339"/>
      <c r="D554" s="339"/>
      <c r="E554" s="339"/>
      <c r="F554" s="339"/>
      <c r="G554" s="339"/>
      <c r="H554" s="339"/>
      <c r="I554" s="341"/>
      <c r="J554" s="339"/>
      <c r="K554" s="339"/>
      <c r="L554" s="339"/>
      <c r="M554" s="339"/>
      <c r="N554" s="339"/>
      <c r="O554" s="341"/>
      <c r="P554" s="340"/>
      <c r="Q554" s="339"/>
      <c r="R554" s="339"/>
      <c r="S554" s="339"/>
      <c r="T554" s="339"/>
      <c r="U554" s="339"/>
      <c r="V554" s="339"/>
      <c r="W554" s="339"/>
      <c r="X554" s="339"/>
      <c r="Y554" s="339"/>
      <c r="Z554" s="339"/>
    </row>
    <row r="555" spans="1:26" ht="15.75" customHeight="1">
      <c r="A555" s="339"/>
      <c r="B555" s="339"/>
      <c r="C555" s="339"/>
      <c r="D555" s="339"/>
      <c r="E555" s="339"/>
      <c r="F555" s="339"/>
      <c r="G555" s="339"/>
      <c r="H555" s="339"/>
      <c r="I555" s="341"/>
      <c r="J555" s="339"/>
      <c r="K555" s="339"/>
      <c r="L555" s="339"/>
      <c r="M555" s="339"/>
      <c r="N555" s="339"/>
      <c r="O555" s="341"/>
      <c r="P555" s="340"/>
      <c r="Q555" s="339"/>
      <c r="R555" s="339"/>
      <c r="S555" s="339"/>
      <c r="T555" s="339"/>
      <c r="U555" s="339"/>
      <c r="V555" s="339"/>
      <c r="W555" s="339"/>
      <c r="X555" s="339"/>
      <c r="Y555" s="339"/>
      <c r="Z555" s="339"/>
    </row>
    <row r="556" spans="1:26" ht="15.75" customHeight="1">
      <c r="A556" s="339"/>
      <c r="B556" s="339"/>
      <c r="C556" s="339"/>
      <c r="D556" s="339"/>
      <c r="E556" s="339"/>
      <c r="F556" s="339"/>
      <c r="G556" s="339"/>
      <c r="H556" s="339"/>
      <c r="I556" s="341"/>
      <c r="J556" s="339"/>
      <c r="K556" s="339"/>
      <c r="L556" s="339"/>
      <c r="M556" s="339"/>
      <c r="N556" s="339"/>
      <c r="O556" s="341"/>
      <c r="P556" s="340"/>
      <c r="Q556" s="339"/>
      <c r="R556" s="339"/>
      <c r="S556" s="339"/>
      <c r="T556" s="339"/>
      <c r="U556" s="339"/>
      <c r="V556" s="339"/>
      <c r="W556" s="339"/>
      <c r="X556" s="339"/>
      <c r="Y556" s="339"/>
      <c r="Z556" s="339"/>
    </row>
    <row r="557" spans="1:26" ht="15.75" customHeight="1">
      <c r="A557" s="339"/>
      <c r="B557" s="339"/>
      <c r="C557" s="339"/>
      <c r="D557" s="339"/>
      <c r="E557" s="339"/>
      <c r="F557" s="339"/>
      <c r="G557" s="339"/>
      <c r="H557" s="339"/>
      <c r="I557" s="341"/>
      <c r="J557" s="339"/>
      <c r="K557" s="339"/>
      <c r="L557" s="339"/>
      <c r="M557" s="339"/>
      <c r="N557" s="339"/>
      <c r="O557" s="341"/>
      <c r="P557" s="340"/>
      <c r="Q557" s="339"/>
      <c r="R557" s="339"/>
      <c r="S557" s="339"/>
      <c r="T557" s="339"/>
      <c r="U557" s="339"/>
      <c r="V557" s="339"/>
      <c r="W557" s="339"/>
      <c r="X557" s="339"/>
      <c r="Y557" s="339"/>
      <c r="Z557" s="339"/>
    </row>
    <row r="558" spans="1:26" ht="15.75" customHeight="1">
      <c r="A558" s="339"/>
      <c r="B558" s="339"/>
      <c r="C558" s="339"/>
      <c r="D558" s="339"/>
      <c r="E558" s="339"/>
      <c r="F558" s="339"/>
      <c r="G558" s="339"/>
      <c r="H558" s="339"/>
      <c r="I558" s="341"/>
      <c r="J558" s="339"/>
      <c r="K558" s="339"/>
      <c r="L558" s="339"/>
      <c r="M558" s="339"/>
      <c r="N558" s="339"/>
      <c r="O558" s="341"/>
      <c r="P558" s="340"/>
      <c r="Q558" s="339"/>
      <c r="R558" s="339"/>
      <c r="S558" s="339"/>
      <c r="T558" s="339"/>
      <c r="U558" s="339"/>
      <c r="V558" s="339"/>
      <c r="W558" s="339"/>
      <c r="X558" s="339"/>
      <c r="Y558" s="339"/>
      <c r="Z558" s="339"/>
    </row>
    <row r="559" spans="1:26" ht="15.75" customHeight="1">
      <c r="A559" s="339"/>
      <c r="B559" s="339"/>
      <c r="C559" s="339"/>
      <c r="D559" s="339"/>
      <c r="E559" s="339"/>
      <c r="F559" s="339"/>
      <c r="G559" s="339"/>
      <c r="H559" s="339"/>
      <c r="I559" s="341"/>
      <c r="J559" s="339"/>
      <c r="K559" s="339"/>
      <c r="L559" s="339"/>
      <c r="M559" s="339"/>
      <c r="N559" s="339"/>
      <c r="O559" s="341"/>
      <c r="P559" s="340"/>
      <c r="Q559" s="339"/>
      <c r="R559" s="339"/>
      <c r="S559" s="339"/>
      <c r="T559" s="339"/>
      <c r="U559" s="339"/>
      <c r="V559" s="339"/>
      <c r="W559" s="339"/>
      <c r="X559" s="339"/>
      <c r="Y559" s="339"/>
      <c r="Z559" s="339"/>
    </row>
    <row r="560" spans="1:26" ht="15.75" customHeight="1">
      <c r="A560" s="339"/>
      <c r="B560" s="339"/>
      <c r="C560" s="339"/>
      <c r="D560" s="339"/>
      <c r="E560" s="339"/>
      <c r="F560" s="339"/>
      <c r="G560" s="339"/>
      <c r="H560" s="339"/>
      <c r="I560" s="341"/>
      <c r="J560" s="339"/>
      <c r="K560" s="339"/>
      <c r="L560" s="339"/>
      <c r="M560" s="339"/>
      <c r="N560" s="339"/>
      <c r="O560" s="341"/>
      <c r="P560" s="340"/>
      <c r="Q560" s="339"/>
      <c r="R560" s="339"/>
      <c r="S560" s="339"/>
      <c r="T560" s="339"/>
      <c r="U560" s="339"/>
      <c r="V560" s="339"/>
      <c r="W560" s="339"/>
      <c r="X560" s="339"/>
      <c r="Y560" s="339"/>
      <c r="Z560" s="339"/>
    </row>
    <row r="561" spans="1:26" ht="15.75" customHeight="1">
      <c r="A561" s="339"/>
      <c r="B561" s="339"/>
      <c r="C561" s="339"/>
      <c r="D561" s="339"/>
      <c r="E561" s="339"/>
      <c r="F561" s="339"/>
      <c r="G561" s="339"/>
      <c r="H561" s="339"/>
      <c r="I561" s="341"/>
      <c r="J561" s="339"/>
      <c r="K561" s="339"/>
      <c r="L561" s="339"/>
      <c r="M561" s="339"/>
      <c r="N561" s="339"/>
      <c r="O561" s="341"/>
      <c r="P561" s="340"/>
      <c r="Q561" s="339"/>
      <c r="R561" s="339"/>
      <c r="S561" s="339"/>
      <c r="T561" s="339"/>
      <c r="U561" s="339"/>
      <c r="V561" s="339"/>
      <c r="W561" s="339"/>
      <c r="X561" s="339"/>
      <c r="Y561" s="339"/>
      <c r="Z561" s="339"/>
    </row>
    <row r="562" spans="1:26" ht="15.75" customHeight="1">
      <c r="A562" s="339"/>
      <c r="B562" s="339"/>
      <c r="C562" s="339"/>
      <c r="D562" s="339"/>
      <c r="E562" s="339"/>
      <c r="F562" s="339"/>
      <c r="G562" s="339"/>
      <c r="H562" s="339"/>
      <c r="I562" s="341"/>
      <c r="J562" s="339"/>
      <c r="K562" s="339"/>
      <c r="L562" s="339"/>
      <c r="M562" s="339"/>
      <c r="N562" s="339"/>
      <c r="O562" s="341"/>
      <c r="P562" s="340"/>
      <c r="Q562" s="339"/>
      <c r="R562" s="339"/>
      <c r="S562" s="339"/>
      <c r="T562" s="339"/>
      <c r="U562" s="339"/>
      <c r="V562" s="339"/>
      <c r="W562" s="339"/>
      <c r="X562" s="339"/>
      <c r="Y562" s="339"/>
      <c r="Z562" s="339"/>
    </row>
    <row r="563" spans="1:26" ht="15.75" customHeight="1">
      <c r="A563" s="339"/>
      <c r="B563" s="339"/>
      <c r="C563" s="339"/>
      <c r="D563" s="339"/>
      <c r="E563" s="339"/>
      <c r="F563" s="339"/>
      <c r="G563" s="339"/>
      <c r="H563" s="339"/>
      <c r="I563" s="341"/>
      <c r="J563" s="339"/>
      <c r="K563" s="339"/>
      <c r="L563" s="339"/>
      <c r="M563" s="339"/>
      <c r="N563" s="339"/>
      <c r="O563" s="341"/>
      <c r="P563" s="340"/>
      <c r="Q563" s="339"/>
      <c r="R563" s="339"/>
      <c r="S563" s="339"/>
      <c r="T563" s="339"/>
      <c r="U563" s="339"/>
      <c r="V563" s="339"/>
      <c r="W563" s="339"/>
      <c r="X563" s="339"/>
      <c r="Y563" s="339"/>
      <c r="Z563" s="339"/>
    </row>
    <row r="564" spans="1:26" ht="15.75" customHeight="1">
      <c r="A564" s="339"/>
      <c r="B564" s="339"/>
      <c r="C564" s="339"/>
      <c r="D564" s="339"/>
      <c r="E564" s="339"/>
      <c r="F564" s="339"/>
      <c r="G564" s="339"/>
      <c r="H564" s="339"/>
      <c r="I564" s="341"/>
      <c r="J564" s="339"/>
      <c r="K564" s="339"/>
      <c r="L564" s="339"/>
      <c r="M564" s="339"/>
      <c r="N564" s="339"/>
      <c r="O564" s="341"/>
      <c r="P564" s="340"/>
      <c r="Q564" s="339"/>
      <c r="R564" s="339"/>
      <c r="S564" s="339"/>
      <c r="T564" s="339"/>
      <c r="U564" s="339"/>
      <c r="V564" s="339"/>
      <c r="W564" s="339"/>
      <c r="X564" s="339"/>
      <c r="Y564" s="339"/>
      <c r="Z564" s="339"/>
    </row>
    <row r="565" spans="1:26" ht="15.75" customHeight="1">
      <c r="A565" s="339"/>
      <c r="B565" s="339"/>
      <c r="C565" s="339"/>
      <c r="D565" s="339"/>
      <c r="E565" s="339"/>
      <c r="F565" s="339"/>
      <c r="G565" s="339"/>
      <c r="H565" s="339"/>
      <c r="I565" s="341"/>
      <c r="J565" s="339"/>
      <c r="K565" s="339"/>
      <c r="L565" s="339"/>
      <c r="M565" s="339"/>
      <c r="N565" s="339"/>
      <c r="O565" s="341"/>
      <c r="P565" s="340"/>
      <c r="Q565" s="339"/>
      <c r="R565" s="339"/>
      <c r="S565" s="339"/>
      <c r="T565" s="339"/>
      <c r="U565" s="339"/>
      <c r="V565" s="339"/>
      <c r="W565" s="339"/>
      <c r="X565" s="339"/>
      <c r="Y565" s="339"/>
      <c r="Z565" s="339"/>
    </row>
    <row r="566" spans="1:26" ht="15.75" customHeight="1">
      <c r="A566" s="339"/>
      <c r="B566" s="339"/>
      <c r="C566" s="339"/>
      <c r="D566" s="339"/>
      <c r="E566" s="339"/>
      <c r="F566" s="339"/>
      <c r="G566" s="339"/>
      <c r="H566" s="339"/>
      <c r="I566" s="341"/>
      <c r="J566" s="339"/>
      <c r="K566" s="339"/>
      <c r="L566" s="339"/>
      <c r="M566" s="339"/>
      <c r="N566" s="339"/>
      <c r="O566" s="341"/>
      <c r="P566" s="340"/>
      <c r="Q566" s="339"/>
      <c r="R566" s="339"/>
      <c r="S566" s="339"/>
      <c r="T566" s="339"/>
      <c r="U566" s="339"/>
      <c r="V566" s="339"/>
      <c r="W566" s="339"/>
      <c r="X566" s="339"/>
      <c r="Y566" s="339"/>
      <c r="Z566" s="339"/>
    </row>
    <row r="567" spans="1:26" ht="15.75" customHeight="1">
      <c r="A567" s="339"/>
      <c r="B567" s="339"/>
      <c r="C567" s="339"/>
      <c r="D567" s="339"/>
      <c r="E567" s="339"/>
      <c r="F567" s="339"/>
      <c r="G567" s="339"/>
      <c r="H567" s="339"/>
      <c r="I567" s="341"/>
      <c r="J567" s="339"/>
      <c r="K567" s="339"/>
      <c r="L567" s="339"/>
      <c r="M567" s="339"/>
      <c r="N567" s="339"/>
      <c r="O567" s="341"/>
      <c r="P567" s="340"/>
      <c r="Q567" s="339"/>
      <c r="R567" s="339"/>
      <c r="S567" s="339"/>
      <c r="T567" s="339"/>
      <c r="U567" s="339"/>
      <c r="V567" s="339"/>
      <c r="W567" s="339"/>
      <c r="X567" s="339"/>
      <c r="Y567" s="339"/>
      <c r="Z567" s="339"/>
    </row>
    <row r="568" spans="1:26" ht="15.75" customHeight="1">
      <c r="A568" s="339"/>
      <c r="B568" s="339"/>
      <c r="C568" s="339"/>
      <c r="D568" s="339"/>
      <c r="E568" s="339"/>
      <c r="F568" s="339"/>
      <c r="G568" s="339"/>
      <c r="H568" s="339"/>
      <c r="I568" s="341"/>
      <c r="J568" s="339"/>
      <c r="K568" s="339"/>
      <c r="L568" s="339"/>
      <c r="M568" s="339"/>
      <c r="N568" s="339"/>
      <c r="O568" s="341"/>
      <c r="P568" s="340"/>
      <c r="Q568" s="339"/>
      <c r="R568" s="339"/>
      <c r="S568" s="339"/>
      <c r="T568" s="339"/>
      <c r="U568" s="339"/>
      <c r="V568" s="339"/>
      <c r="W568" s="339"/>
      <c r="X568" s="339"/>
      <c r="Y568" s="339"/>
      <c r="Z568" s="339"/>
    </row>
    <row r="569" spans="1:26" ht="15.75" customHeight="1">
      <c r="A569" s="339"/>
      <c r="B569" s="339"/>
      <c r="C569" s="339"/>
      <c r="D569" s="339"/>
      <c r="E569" s="339"/>
      <c r="F569" s="339"/>
      <c r="G569" s="339"/>
      <c r="H569" s="339"/>
      <c r="I569" s="341"/>
      <c r="J569" s="339"/>
      <c r="K569" s="339"/>
      <c r="L569" s="339"/>
      <c r="M569" s="339"/>
      <c r="N569" s="339"/>
      <c r="O569" s="341"/>
      <c r="P569" s="340"/>
      <c r="Q569" s="339"/>
      <c r="R569" s="339"/>
      <c r="S569" s="339"/>
      <c r="T569" s="339"/>
      <c r="U569" s="339"/>
      <c r="V569" s="339"/>
      <c r="W569" s="339"/>
      <c r="X569" s="339"/>
      <c r="Y569" s="339"/>
      <c r="Z569" s="339"/>
    </row>
    <row r="570" spans="1:26" ht="15.75" customHeight="1">
      <c r="A570" s="339"/>
      <c r="B570" s="339"/>
      <c r="C570" s="339"/>
      <c r="D570" s="339"/>
      <c r="E570" s="339"/>
      <c r="F570" s="339"/>
      <c r="G570" s="339"/>
      <c r="H570" s="339"/>
      <c r="I570" s="341"/>
      <c r="J570" s="339"/>
      <c r="K570" s="339"/>
      <c r="L570" s="339"/>
      <c r="M570" s="339"/>
      <c r="N570" s="339"/>
      <c r="O570" s="341"/>
      <c r="P570" s="340"/>
      <c r="Q570" s="339"/>
      <c r="R570" s="339"/>
      <c r="S570" s="339"/>
      <c r="T570" s="339"/>
      <c r="U570" s="339"/>
      <c r="V570" s="339"/>
      <c r="W570" s="339"/>
      <c r="X570" s="339"/>
      <c r="Y570" s="339"/>
      <c r="Z570" s="339"/>
    </row>
    <row r="571" spans="1:26" ht="15.75" customHeight="1">
      <c r="A571" s="339"/>
      <c r="B571" s="339"/>
      <c r="C571" s="339"/>
      <c r="D571" s="339"/>
      <c r="E571" s="339"/>
      <c r="F571" s="339"/>
      <c r="G571" s="339"/>
      <c r="H571" s="339"/>
      <c r="I571" s="341"/>
      <c r="J571" s="339"/>
      <c r="K571" s="339"/>
      <c r="L571" s="339"/>
      <c r="M571" s="339"/>
      <c r="N571" s="339"/>
      <c r="O571" s="341"/>
      <c r="P571" s="340"/>
      <c r="Q571" s="339"/>
      <c r="R571" s="339"/>
      <c r="S571" s="339"/>
      <c r="T571" s="339"/>
      <c r="U571" s="339"/>
      <c r="V571" s="339"/>
      <c r="W571" s="339"/>
      <c r="X571" s="339"/>
      <c r="Y571" s="339"/>
      <c r="Z571" s="339"/>
    </row>
    <row r="572" spans="1:26" ht="15.75" customHeight="1">
      <c r="A572" s="339"/>
      <c r="B572" s="339"/>
      <c r="C572" s="339"/>
      <c r="D572" s="339"/>
      <c r="E572" s="339"/>
      <c r="F572" s="339"/>
      <c r="G572" s="339"/>
      <c r="H572" s="339"/>
      <c r="I572" s="341"/>
      <c r="J572" s="339"/>
      <c r="K572" s="339"/>
      <c r="L572" s="339"/>
      <c r="M572" s="339"/>
      <c r="N572" s="339"/>
      <c r="O572" s="341"/>
      <c r="P572" s="340"/>
      <c r="Q572" s="339"/>
      <c r="R572" s="339"/>
      <c r="S572" s="339"/>
      <c r="T572" s="339"/>
      <c r="U572" s="339"/>
      <c r="V572" s="339"/>
      <c r="W572" s="339"/>
      <c r="X572" s="339"/>
      <c r="Y572" s="339"/>
      <c r="Z572" s="339"/>
    </row>
    <row r="573" spans="1:26" ht="15.75" customHeight="1">
      <c r="A573" s="339"/>
      <c r="B573" s="339"/>
      <c r="C573" s="339"/>
      <c r="D573" s="339"/>
      <c r="E573" s="339"/>
      <c r="F573" s="339"/>
      <c r="G573" s="339"/>
      <c r="H573" s="339"/>
      <c r="I573" s="341"/>
      <c r="J573" s="339"/>
      <c r="K573" s="339"/>
      <c r="L573" s="339"/>
      <c r="M573" s="339"/>
      <c r="N573" s="339"/>
      <c r="O573" s="341"/>
      <c r="P573" s="340"/>
      <c r="Q573" s="339"/>
      <c r="R573" s="339"/>
      <c r="S573" s="339"/>
      <c r="T573" s="339"/>
      <c r="U573" s="339"/>
      <c r="V573" s="339"/>
      <c r="W573" s="339"/>
      <c r="X573" s="339"/>
      <c r="Y573" s="339"/>
      <c r="Z573" s="339"/>
    </row>
    <row r="574" spans="1:26" ht="15.75" customHeight="1">
      <c r="A574" s="339"/>
      <c r="B574" s="339"/>
      <c r="C574" s="339"/>
      <c r="D574" s="339"/>
      <c r="E574" s="339"/>
      <c r="F574" s="339"/>
      <c r="G574" s="339"/>
      <c r="H574" s="339"/>
      <c r="I574" s="341"/>
      <c r="J574" s="339"/>
      <c r="K574" s="339"/>
      <c r="L574" s="339"/>
      <c r="M574" s="339"/>
      <c r="N574" s="339"/>
      <c r="O574" s="341"/>
      <c r="P574" s="340"/>
      <c r="Q574" s="339"/>
      <c r="R574" s="339"/>
      <c r="S574" s="339"/>
      <c r="T574" s="339"/>
      <c r="U574" s="339"/>
      <c r="V574" s="339"/>
      <c r="W574" s="339"/>
      <c r="X574" s="339"/>
      <c r="Y574" s="339"/>
      <c r="Z574" s="339"/>
    </row>
    <row r="575" spans="1:26" ht="15.75" customHeight="1">
      <c r="A575" s="339"/>
      <c r="B575" s="339"/>
      <c r="C575" s="339"/>
      <c r="D575" s="339"/>
      <c r="E575" s="339"/>
      <c r="F575" s="339"/>
      <c r="G575" s="339"/>
      <c r="H575" s="339"/>
      <c r="I575" s="341"/>
      <c r="J575" s="339"/>
      <c r="K575" s="339"/>
      <c r="L575" s="339"/>
      <c r="M575" s="339"/>
      <c r="N575" s="339"/>
      <c r="O575" s="341"/>
      <c r="P575" s="340"/>
      <c r="Q575" s="339"/>
      <c r="R575" s="339"/>
      <c r="S575" s="339"/>
      <c r="T575" s="339"/>
      <c r="U575" s="339"/>
      <c r="V575" s="339"/>
      <c r="W575" s="339"/>
      <c r="X575" s="339"/>
      <c r="Y575" s="339"/>
      <c r="Z575" s="339"/>
    </row>
    <row r="576" spans="1:26" ht="15.75" customHeight="1">
      <c r="A576" s="339"/>
      <c r="B576" s="339"/>
      <c r="C576" s="339"/>
      <c r="D576" s="339"/>
      <c r="E576" s="339"/>
      <c r="F576" s="339"/>
      <c r="G576" s="339"/>
      <c r="H576" s="339"/>
      <c r="I576" s="341"/>
      <c r="J576" s="339"/>
      <c r="K576" s="339"/>
      <c r="L576" s="339"/>
      <c r="M576" s="339"/>
      <c r="N576" s="339"/>
      <c r="O576" s="341"/>
      <c r="P576" s="340"/>
      <c r="Q576" s="339"/>
      <c r="R576" s="339"/>
      <c r="S576" s="339"/>
      <c r="T576" s="339"/>
      <c r="U576" s="339"/>
      <c r="V576" s="339"/>
      <c r="W576" s="339"/>
      <c r="X576" s="339"/>
      <c r="Y576" s="339"/>
      <c r="Z576" s="339"/>
    </row>
    <row r="577" spans="1:26" ht="15.75" customHeight="1">
      <c r="A577" s="339"/>
      <c r="B577" s="339"/>
      <c r="C577" s="339"/>
      <c r="D577" s="339"/>
      <c r="E577" s="339"/>
      <c r="F577" s="339"/>
      <c r="G577" s="339"/>
      <c r="H577" s="339"/>
      <c r="I577" s="341"/>
      <c r="J577" s="339"/>
      <c r="K577" s="339"/>
      <c r="L577" s="339"/>
      <c r="M577" s="339"/>
      <c r="N577" s="339"/>
      <c r="O577" s="341"/>
      <c r="P577" s="340"/>
      <c r="Q577" s="339"/>
      <c r="R577" s="339"/>
      <c r="S577" s="339"/>
      <c r="T577" s="339"/>
      <c r="U577" s="339"/>
      <c r="V577" s="339"/>
      <c r="W577" s="339"/>
      <c r="X577" s="339"/>
      <c r="Y577" s="339"/>
      <c r="Z577" s="339"/>
    </row>
    <row r="578" spans="1:26" ht="15.75" customHeight="1">
      <c r="A578" s="339"/>
      <c r="B578" s="339"/>
      <c r="C578" s="339"/>
      <c r="D578" s="339"/>
      <c r="E578" s="339"/>
      <c r="F578" s="339"/>
      <c r="G578" s="339"/>
      <c r="H578" s="339"/>
      <c r="I578" s="341"/>
      <c r="J578" s="339"/>
      <c r="K578" s="339"/>
      <c r="L578" s="339"/>
      <c r="M578" s="339"/>
      <c r="N578" s="339"/>
      <c r="O578" s="341"/>
      <c r="P578" s="340"/>
      <c r="Q578" s="339"/>
      <c r="R578" s="339"/>
      <c r="S578" s="339"/>
      <c r="T578" s="339"/>
      <c r="U578" s="339"/>
      <c r="V578" s="339"/>
      <c r="W578" s="339"/>
      <c r="X578" s="339"/>
      <c r="Y578" s="339"/>
      <c r="Z578" s="339"/>
    </row>
    <row r="579" spans="1:26" ht="15.75" customHeight="1">
      <c r="A579" s="339"/>
      <c r="B579" s="339"/>
      <c r="C579" s="339"/>
      <c r="D579" s="339"/>
      <c r="E579" s="339"/>
      <c r="F579" s="339"/>
      <c r="G579" s="339"/>
      <c r="H579" s="339"/>
      <c r="I579" s="341"/>
      <c r="J579" s="339"/>
      <c r="K579" s="339"/>
      <c r="L579" s="339"/>
      <c r="M579" s="339"/>
      <c r="N579" s="339"/>
      <c r="O579" s="341"/>
      <c r="P579" s="340"/>
      <c r="Q579" s="339"/>
      <c r="R579" s="339"/>
      <c r="S579" s="339"/>
      <c r="T579" s="339"/>
      <c r="U579" s="339"/>
      <c r="V579" s="339"/>
      <c r="W579" s="339"/>
      <c r="X579" s="339"/>
      <c r="Y579" s="339"/>
      <c r="Z579" s="339"/>
    </row>
    <row r="580" spans="1:26" ht="15.75" customHeight="1">
      <c r="A580" s="339"/>
      <c r="B580" s="339"/>
      <c r="C580" s="339"/>
      <c r="D580" s="339"/>
      <c r="E580" s="339"/>
      <c r="F580" s="339"/>
      <c r="G580" s="339"/>
      <c r="H580" s="339"/>
      <c r="I580" s="341"/>
      <c r="J580" s="339"/>
      <c r="K580" s="339"/>
      <c r="L580" s="339"/>
      <c r="M580" s="339"/>
      <c r="N580" s="339"/>
      <c r="O580" s="341"/>
      <c r="P580" s="340"/>
      <c r="Q580" s="339"/>
      <c r="R580" s="339"/>
      <c r="S580" s="339"/>
      <c r="T580" s="339"/>
      <c r="U580" s="339"/>
      <c r="V580" s="339"/>
      <c r="W580" s="339"/>
      <c r="X580" s="339"/>
      <c r="Y580" s="339"/>
      <c r="Z580" s="339"/>
    </row>
    <row r="581" spans="1:26" ht="15.75" customHeight="1">
      <c r="A581" s="339"/>
      <c r="B581" s="339"/>
      <c r="C581" s="339"/>
      <c r="D581" s="339"/>
      <c r="E581" s="339"/>
      <c r="F581" s="339"/>
      <c r="G581" s="339"/>
      <c r="H581" s="339"/>
      <c r="I581" s="341"/>
      <c r="J581" s="339"/>
      <c r="K581" s="339"/>
      <c r="L581" s="339"/>
      <c r="M581" s="339"/>
      <c r="N581" s="339"/>
      <c r="O581" s="341"/>
      <c r="P581" s="340"/>
      <c r="Q581" s="339"/>
      <c r="R581" s="339"/>
      <c r="S581" s="339"/>
      <c r="T581" s="339"/>
      <c r="U581" s="339"/>
      <c r="V581" s="339"/>
      <c r="W581" s="339"/>
      <c r="X581" s="339"/>
      <c r="Y581" s="339"/>
      <c r="Z581" s="339"/>
    </row>
    <row r="582" spans="1:26" ht="15.75" customHeight="1">
      <c r="A582" s="339"/>
      <c r="B582" s="339"/>
      <c r="C582" s="339"/>
      <c r="D582" s="339"/>
      <c r="E582" s="339"/>
      <c r="F582" s="339"/>
      <c r="G582" s="339"/>
      <c r="H582" s="339"/>
      <c r="I582" s="341"/>
      <c r="J582" s="339"/>
      <c r="K582" s="339"/>
      <c r="L582" s="339"/>
      <c r="M582" s="339"/>
      <c r="N582" s="339"/>
      <c r="O582" s="341"/>
      <c r="P582" s="340"/>
      <c r="Q582" s="339"/>
      <c r="R582" s="339"/>
      <c r="S582" s="339"/>
      <c r="T582" s="339"/>
      <c r="U582" s="339"/>
      <c r="V582" s="339"/>
      <c r="W582" s="339"/>
      <c r="X582" s="339"/>
      <c r="Y582" s="339"/>
      <c r="Z582" s="339"/>
    </row>
    <row r="583" spans="1:26" ht="15.75" customHeight="1">
      <c r="A583" s="339"/>
      <c r="B583" s="339"/>
      <c r="C583" s="339"/>
      <c r="D583" s="339"/>
      <c r="E583" s="339"/>
      <c r="F583" s="339"/>
      <c r="G583" s="339"/>
      <c r="H583" s="339"/>
      <c r="I583" s="341"/>
      <c r="J583" s="339"/>
      <c r="K583" s="339"/>
      <c r="L583" s="339"/>
      <c r="M583" s="339"/>
      <c r="N583" s="339"/>
      <c r="O583" s="341"/>
      <c r="P583" s="340"/>
      <c r="Q583" s="339"/>
      <c r="R583" s="339"/>
      <c r="S583" s="339"/>
      <c r="T583" s="339"/>
      <c r="U583" s="339"/>
      <c r="V583" s="339"/>
      <c r="W583" s="339"/>
      <c r="X583" s="339"/>
      <c r="Y583" s="339"/>
      <c r="Z583" s="339"/>
    </row>
    <row r="584" spans="1:26" ht="15.75" customHeight="1">
      <c r="A584" s="339"/>
      <c r="B584" s="339"/>
      <c r="C584" s="339"/>
      <c r="D584" s="339"/>
      <c r="E584" s="339"/>
      <c r="F584" s="339"/>
      <c r="G584" s="339"/>
      <c r="H584" s="339"/>
      <c r="I584" s="341"/>
      <c r="J584" s="339"/>
      <c r="K584" s="339"/>
      <c r="L584" s="339"/>
      <c r="M584" s="339"/>
      <c r="N584" s="339"/>
      <c r="O584" s="341"/>
      <c r="P584" s="340"/>
      <c r="Q584" s="339"/>
      <c r="R584" s="339"/>
      <c r="S584" s="339"/>
      <c r="T584" s="339"/>
      <c r="U584" s="339"/>
      <c r="V584" s="339"/>
      <c r="W584" s="339"/>
      <c r="X584" s="339"/>
      <c r="Y584" s="339"/>
      <c r="Z584" s="339"/>
    </row>
    <row r="585" spans="1:26" ht="15.75" customHeight="1">
      <c r="A585" s="339"/>
      <c r="B585" s="339"/>
      <c r="C585" s="339"/>
      <c r="D585" s="339"/>
      <c r="E585" s="339"/>
      <c r="F585" s="339"/>
      <c r="G585" s="339"/>
      <c r="H585" s="339"/>
      <c r="I585" s="341"/>
      <c r="J585" s="339"/>
      <c r="K585" s="339"/>
      <c r="L585" s="339"/>
      <c r="M585" s="339"/>
      <c r="N585" s="339"/>
      <c r="O585" s="341"/>
      <c r="P585" s="340"/>
      <c r="Q585" s="339"/>
      <c r="R585" s="339"/>
      <c r="S585" s="339"/>
      <c r="T585" s="339"/>
      <c r="U585" s="339"/>
      <c r="V585" s="339"/>
      <c r="W585" s="339"/>
      <c r="X585" s="339"/>
      <c r="Y585" s="339"/>
      <c r="Z585" s="339"/>
    </row>
    <row r="586" spans="1:26" ht="15.75" customHeight="1">
      <c r="A586" s="339"/>
      <c r="B586" s="339"/>
      <c r="C586" s="339"/>
      <c r="D586" s="339"/>
      <c r="E586" s="339"/>
      <c r="F586" s="339"/>
      <c r="G586" s="339"/>
      <c r="H586" s="339"/>
      <c r="I586" s="341"/>
      <c r="J586" s="339"/>
      <c r="K586" s="339"/>
      <c r="L586" s="339"/>
      <c r="M586" s="339"/>
      <c r="N586" s="339"/>
      <c r="O586" s="341"/>
      <c r="P586" s="340"/>
      <c r="Q586" s="339"/>
      <c r="R586" s="339"/>
      <c r="S586" s="339"/>
      <c r="T586" s="339"/>
      <c r="U586" s="339"/>
      <c r="V586" s="339"/>
      <c r="W586" s="339"/>
      <c r="X586" s="339"/>
      <c r="Y586" s="339"/>
      <c r="Z586" s="339"/>
    </row>
    <row r="587" spans="1:26" ht="15.75" customHeight="1">
      <c r="A587" s="339"/>
      <c r="B587" s="339"/>
      <c r="C587" s="339"/>
      <c r="D587" s="339"/>
      <c r="E587" s="339"/>
      <c r="F587" s="339"/>
      <c r="G587" s="339"/>
      <c r="H587" s="339"/>
      <c r="I587" s="341"/>
      <c r="J587" s="339"/>
      <c r="K587" s="339"/>
      <c r="L587" s="339"/>
      <c r="M587" s="339"/>
      <c r="N587" s="339"/>
      <c r="O587" s="341"/>
      <c r="P587" s="340"/>
      <c r="Q587" s="339"/>
      <c r="R587" s="339"/>
      <c r="S587" s="339"/>
      <c r="T587" s="339"/>
      <c r="U587" s="339"/>
      <c r="V587" s="339"/>
      <c r="W587" s="339"/>
      <c r="X587" s="339"/>
      <c r="Y587" s="339"/>
      <c r="Z587" s="339"/>
    </row>
    <row r="588" spans="1:26" ht="15.75" customHeight="1">
      <c r="A588" s="339"/>
      <c r="B588" s="339"/>
      <c r="C588" s="339"/>
      <c r="D588" s="339"/>
      <c r="E588" s="339"/>
      <c r="F588" s="339"/>
      <c r="G588" s="339"/>
      <c r="H588" s="339"/>
      <c r="I588" s="341"/>
      <c r="J588" s="339"/>
      <c r="K588" s="339"/>
      <c r="L588" s="339"/>
      <c r="M588" s="339"/>
      <c r="N588" s="339"/>
      <c r="O588" s="341"/>
      <c r="P588" s="340"/>
      <c r="Q588" s="339"/>
      <c r="R588" s="339"/>
      <c r="S588" s="339"/>
      <c r="T588" s="339"/>
      <c r="U588" s="339"/>
      <c r="V588" s="339"/>
      <c r="W588" s="339"/>
      <c r="X588" s="339"/>
      <c r="Y588" s="339"/>
      <c r="Z588" s="339"/>
    </row>
    <row r="589" spans="1:26" ht="15.75" customHeight="1">
      <c r="A589" s="339"/>
      <c r="B589" s="339"/>
      <c r="C589" s="339"/>
      <c r="D589" s="339"/>
      <c r="E589" s="339"/>
      <c r="F589" s="339"/>
      <c r="G589" s="339"/>
      <c r="H589" s="339"/>
      <c r="I589" s="341"/>
      <c r="J589" s="339"/>
      <c r="K589" s="339"/>
      <c r="L589" s="339"/>
      <c r="M589" s="339"/>
      <c r="N589" s="339"/>
      <c r="O589" s="341"/>
      <c r="P589" s="340"/>
      <c r="Q589" s="339"/>
      <c r="R589" s="339"/>
      <c r="S589" s="339"/>
      <c r="T589" s="339"/>
      <c r="U589" s="339"/>
      <c r="V589" s="339"/>
      <c r="W589" s="339"/>
      <c r="X589" s="339"/>
      <c r="Y589" s="339"/>
      <c r="Z589" s="339"/>
    </row>
    <row r="590" spans="1:26" ht="15.75" customHeight="1">
      <c r="A590" s="339"/>
      <c r="B590" s="339"/>
      <c r="C590" s="339"/>
      <c r="D590" s="339"/>
      <c r="E590" s="339"/>
      <c r="F590" s="339"/>
      <c r="G590" s="339"/>
      <c r="H590" s="339"/>
      <c r="I590" s="341"/>
      <c r="J590" s="339"/>
      <c r="K590" s="339"/>
      <c r="L590" s="339"/>
      <c r="M590" s="339"/>
      <c r="N590" s="339"/>
      <c r="O590" s="341"/>
      <c r="P590" s="340"/>
      <c r="Q590" s="339"/>
      <c r="R590" s="339"/>
      <c r="S590" s="339"/>
      <c r="T590" s="339"/>
      <c r="U590" s="339"/>
      <c r="V590" s="339"/>
      <c r="W590" s="339"/>
      <c r="X590" s="339"/>
      <c r="Y590" s="339"/>
      <c r="Z590" s="339"/>
    </row>
    <row r="591" spans="1:26" ht="15.75" customHeight="1">
      <c r="A591" s="339"/>
      <c r="B591" s="339"/>
      <c r="C591" s="339"/>
      <c r="D591" s="339"/>
      <c r="E591" s="339"/>
      <c r="F591" s="339"/>
      <c r="G591" s="339"/>
      <c r="H591" s="339"/>
      <c r="I591" s="341"/>
      <c r="J591" s="339"/>
      <c r="K591" s="339"/>
      <c r="L591" s="339"/>
      <c r="M591" s="339"/>
      <c r="N591" s="339"/>
      <c r="O591" s="341"/>
      <c r="P591" s="340"/>
      <c r="Q591" s="339"/>
      <c r="R591" s="339"/>
      <c r="S591" s="339"/>
      <c r="T591" s="339"/>
      <c r="U591" s="339"/>
      <c r="V591" s="339"/>
      <c r="W591" s="339"/>
      <c r="X591" s="339"/>
      <c r="Y591" s="339"/>
      <c r="Z591" s="339"/>
    </row>
    <row r="592" spans="1:26" ht="15.75" customHeight="1">
      <c r="A592" s="339"/>
      <c r="B592" s="339"/>
      <c r="C592" s="339"/>
      <c r="D592" s="339"/>
      <c r="E592" s="339"/>
      <c r="F592" s="339"/>
      <c r="G592" s="339"/>
      <c r="H592" s="339"/>
      <c r="I592" s="341"/>
      <c r="J592" s="339"/>
      <c r="K592" s="339"/>
      <c r="L592" s="339"/>
      <c r="M592" s="339"/>
      <c r="N592" s="339"/>
      <c r="O592" s="341"/>
      <c r="P592" s="340"/>
      <c r="Q592" s="339"/>
      <c r="R592" s="339"/>
      <c r="S592" s="339"/>
      <c r="T592" s="339"/>
      <c r="U592" s="339"/>
      <c r="V592" s="339"/>
      <c r="W592" s="339"/>
      <c r="X592" s="339"/>
      <c r="Y592" s="339"/>
      <c r="Z592" s="339"/>
    </row>
    <row r="593" spans="1:26" ht="15.75" customHeight="1">
      <c r="A593" s="339"/>
      <c r="B593" s="339"/>
      <c r="C593" s="339"/>
      <c r="D593" s="339"/>
      <c r="E593" s="339"/>
      <c r="F593" s="339"/>
      <c r="G593" s="339"/>
      <c r="H593" s="339"/>
      <c r="I593" s="341"/>
      <c r="J593" s="339"/>
      <c r="K593" s="339"/>
      <c r="L593" s="339"/>
      <c r="M593" s="339"/>
      <c r="N593" s="339"/>
      <c r="O593" s="341"/>
      <c r="P593" s="340"/>
      <c r="Q593" s="339"/>
      <c r="R593" s="339"/>
      <c r="S593" s="339"/>
      <c r="T593" s="339"/>
      <c r="U593" s="339"/>
      <c r="V593" s="339"/>
      <c r="W593" s="339"/>
      <c r="X593" s="339"/>
      <c r="Y593" s="339"/>
      <c r="Z593" s="339"/>
    </row>
    <row r="594" spans="1:26" ht="15.75" customHeight="1">
      <c r="A594" s="339"/>
      <c r="B594" s="339"/>
      <c r="C594" s="339"/>
      <c r="D594" s="339"/>
      <c r="E594" s="339"/>
      <c r="F594" s="339"/>
      <c r="G594" s="339"/>
      <c r="H594" s="339"/>
      <c r="I594" s="341"/>
      <c r="J594" s="339"/>
      <c r="K594" s="339"/>
      <c r="L594" s="339"/>
      <c r="M594" s="339"/>
      <c r="N594" s="339"/>
      <c r="O594" s="341"/>
      <c r="P594" s="340"/>
      <c r="Q594" s="339"/>
      <c r="R594" s="339"/>
      <c r="S594" s="339"/>
      <c r="T594" s="339"/>
      <c r="U594" s="339"/>
      <c r="V594" s="339"/>
      <c r="W594" s="339"/>
      <c r="X594" s="339"/>
      <c r="Y594" s="339"/>
      <c r="Z594" s="339"/>
    </row>
    <row r="595" spans="1:26" ht="15.75" customHeight="1">
      <c r="A595" s="339"/>
      <c r="B595" s="339"/>
      <c r="C595" s="339"/>
      <c r="D595" s="339"/>
      <c r="E595" s="339"/>
      <c r="F595" s="339"/>
      <c r="G595" s="339"/>
      <c r="H595" s="339"/>
      <c r="I595" s="341"/>
      <c r="J595" s="339"/>
      <c r="K595" s="339"/>
      <c r="L595" s="339"/>
      <c r="M595" s="339"/>
      <c r="N595" s="339"/>
      <c r="O595" s="341"/>
      <c r="P595" s="340"/>
      <c r="Q595" s="339"/>
      <c r="R595" s="339"/>
      <c r="S595" s="339"/>
      <c r="T595" s="339"/>
      <c r="U595" s="339"/>
      <c r="V595" s="339"/>
      <c r="W595" s="339"/>
      <c r="X595" s="339"/>
      <c r="Y595" s="339"/>
      <c r="Z595" s="339"/>
    </row>
    <row r="596" spans="1:26" ht="15.75" customHeight="1">
      <c r="A596" s="339"/>
      <c r="B596" s="339"/>
      <c r="C596" s="339"/>
      <c r="D596" s="339"/>
      <c r="E596" s="339"/>
      <c r="F596" s="339"/>
      <c r="G596" s="339"/>
      <c r="H596" s="339"/>
      <c r="I596" s="341"/>
      <c r="J596" s="339"/>
      <c r="K596" s="339"/>
      <c r="L596" s="339"/>
      <c r="M596" s="339"/>
      <c r="N596" s="339"/>
      <c r="O596" s="341"/>
      <c r="P596" s="340"/>
      <c r="Q596" s="339"/>
      <c r="R596" s="339"/>
      <c r="S596" s="339"/>
      <c r="T596" s="339"/>
      <c r="U596" s="339"/>
      <c r="V596" s="339"/>
      <c r="W596" s="339"/>
      <c r="X596" s="339"/>
      <c r="Y596" s="339"/>
      <c r="Z596" s="339"/>
    </row>
    <row r="597" spans="1:26" ht="15.75" customHeight="1">
      <c r="A597" s="339"/>
      <c r="B597" s="339"/>
      <c r="C597" s="339"/>
      <c r="D597" s="339"/>
      <c r="E597" s="339"/>
      <c r="F597" s="339"/>
      <c r="G597" s="339"/>
      <c r="H597" s="339"/>
      <c r="I597" s="341"/>
      <c r="J597" s="339"/>
      <c r="K597" s="339"/>
      <c r="L597" s="339"/>
      <c r="M597" s="339"/>
      <c r="N597" s="339"/>
      <c r="O597" s="341"/>
      <c r="P597" s="340"/>
      <c r="Q597" s="339"/>
      <c r="R597" s="339"/>
      <c r="S597" s="339"/>
      <c r="T597" s="339"/>
      <c r="U597" s="339"/>
      <c r="V597" s="339"/>
      <c r="W597" s="339"/>
      <c r="X597" s="339"/>
      <c r="Y597" s="339"/>
      <c r="Z597" s="339"/>
    </row>
    <row r="598" spans="1:26" ht="15.75" customHeight="1">
      <c r="A598" s="339"/>
      <c r="B598" s="339"/>
      <c r="C598" s="339"/>
      <c r="D598" s="339"/>
      <c r="E598" s="339"/>
      <c r="F598" s="339"/>
      <c r="G598" s="339"/>
      <c r="H598" s="339"/>
      <c r="I598" s="341"/>
      <c r="J598" s="339"/>
      <c r="K598" s="339"/>
      <c r="L598" s="339"/>
      <c r="M598" s="339"/>
      <c r="N598" s="339"/>
      <c r="O598" s="341"/>
      <c r="P598" s="340"/>
      <c r="Q598" s="339"/>
      <c r="R598" s="339"/>
      <c r="S598" s="339"/>
      <c r="T598" s="339"/>
      <c r="U598" s="339"/>
      <c r="V598" s="339"/>
      <c r="W598" s="339"/>
      <c r="X598" s="339"/>
      <c r="Y598" s="339"/>
      <c r="Z598" s="339"/>
    </row>
    <row r="599" spans="1:26" ht="15.75" customHeight="1">
      <c r="A599" s="339"/>
      <c r="B599" s="339"/>
      <c r="C599" s="339"/>
      <c r="D599" s="339"/>
      <c r="E599" s="339"/>
      <c r="F599" s="339"/>
      <c r="G599" s="339"/>
      <c r="H599" s="339"/>
      <c r="I599" s="341"/>
      <c r="J599" s="339"/>
      <c r="K599" s="339"/>
      <c r="L599" s="339"/>
      <c r="M599" s="339"/>
      <c r="N599" s="339"/>
      <c r="O599" s="341"/>
      <c r="P599" s="340"/>
      <c r="Q599" s="339"/>
      <c r="R599" s="339"/>
      <c r="S599" s="339"/>
      <c r="T599" s="339"/>
      <c r="U599" s="339"/>
      <c r="V599" s="339"/>
      <c r="W599" s="339"/>
      <c r="X599" s="339"/>
      <c r="Y599" s="339"/>
      <c r="Z599" s="339"/>
    </row>
    <row r="600" spans="1:26" ht="15.75" customHeight="1">
      <c r="A600" s="339"/>
      <c r="B600" s="339"/>
      <c r="C600" s="339"/>
      <c r="D600" s="339"/>
      <c r="E600" s="339"/>
      <c r="F600" s="339"/>
      <c r="G600" s="339"/>
      <c r="H600" s="339"/>
      <c r="I600" s="341"/>
      <c r="J600" s="339"/>
      <c r="K600" s="339"/>
      <c r="L600" s="339"/>
      <c r="M600" s="339"/>
      <c r="N600" s="339"/>
      <c r="O600" s="341"/>
      <c r="P600" s="340"/>
      <c r="Q600" s="339"/>
      <c r="R600" s="339"/>
      <c r="S600" s="339"/>
      <c r="T600" s="339"/>
      <c r="U600" s="339"/>
      <c r="V600" s="339"/>
      <c r="W600" s="339"/>
      <c r="X600" s="339"/>
      <c r="Y600" s="339"/>
      <c r="Z600" s="339"/>
    </row>
    <row r="601" spans="1:26" ht="15.75" customHeight="1">
      <c r="A601" s="339"/>
      <c r="B601" s="339"/>
      <c r="C601" s="339"/>
      <c r="D601" s="339"/>
      <c r="E601" s="339"/>
      <c r="F601" s="339"/>
      <c r="G601" s="339"/>
      <c r="H601" s="339"/>
      <c r="I601" s="341"/>
      <c r="J601" s="339"/>
      <c r="K601" s="339"/>
      <c r="L601" s="339"/>
      <c r="M601" s="339"/>
      <c r="N601" s="339"/>
      <c r="O601" s="341"/>
      <c r="P601" s="340"/>
      <c r="Q601" s="339"/>
      <c r="R601" s="339"/>
      <c r="S601" s="339"/>
      <c r="T601" s="339"/>
      <c r="U601" s="339"/>
      <c r="V601" s="339"/>
      <c r="W601" s="339"/>
      <c r="X601" s="339"/>
      <c r="Y601" s="339"/>
      <c r="Z601" s="339"/>
    </row>
    <row r="602" spans="1:26" ht="15.75" customHeight="1">
      <c r="A602" s="339"/>
      <c r="B602" s="339"/>
      <c r="C602" s="339"/>
      <c r="D602" s="339"/>
      <c r="E602" s="339"/>
      <c r="F602" s="339"/>
      <c r="G602" s="339"/>
      <c r="H602" s="339"/>
      <c r="I602" s="341"/>
      <c r="J602" s="339"/>
      <c r="K602" s="339"/>
      <c r="L602" s="339"/>
      <c r="M602" s="339"/>
      <c r="N602" s="339"/>
      <c r="O602" s="341"/>
      <c r="P602" s="340"/>
      <c r="Q602" s="339"/>
      <c r="R602" s="339"/>
      <c r="S602" s="339"/>
      <c r="T602" s="339"/>
      <c r="U602" s="339"/>
      <c r="V602" s="339"/>
      <c r="W602" s="339"/>
      <c r="X602" s="339"/>
      <c r="Y602" s="339"/>
      <c r="Z602" s="339"/>
    </row>
    <row r="603" spans="1:26" ht="15.75" customHeight="1">
      <c r="A603" s="339"/>
      <c r="B603" s="339"/>
      <c r="C603" s="339"/>
      <c r="D603" s="339"/>
      <c r="E603" s="339"/>
      <c r="F603" s="339"/>
      <c r="G603" s="339"/>
      <c r="H603" s="339"/>
      <c r="I603" s="341"/>
      <c r="J603" s="339"/>
      <c r="K603" s="339"/>
      <c r="L603" s="339"/>
      <c r="M603" s="339"/>
      <c r="N603" s="339"/>
      <c r="O603" s="341"/>
      <c r="P603" s="340"/>
      <c r="Q603" s="339"/>
      <c r="R603" s="339"/>
      <c r="S603" s="339"/>
      <c r="T603" s="339"/>
      <c r="U603" s="339"/>
      <c r="V603" s="339"/>
      <c r="W603" s="339"/>
      <c r="X603" s="339"/>
      <c r="Y603" s="339"/>
      <c r="Z603" s="339"/>
    </row>
    <row r="604" spans="1:26" ht="15.75" customHeight="1">
      <c r="A604" s="339"/>
      <c r="B604" s="339"/>
      <c r="C604" s="339"/>
      <c r="D604" s="339"/>
      <c r="E604" s="339"/>
      <c r="F604" s="339"/>
      <c r="G604" s="339"/>
      <c r="H604" s="339"/>
      <c r="I604" s="341"/>
      <c r="J604" s="339"/>
      <c r="K604" s="339"/>
      <c r="L604" s="339"/>
      <c r="M604" s="339"/>
      <c r="N604" s="339"/>
      <c r="O604" s="341"/>
      <c r="P604" s="340"/>
      <c r="Q604" s="339"/>
      <c r="R604" s="339"/>
      <c r="S604" s="339"/>
      <c r="T604" s="339"/>
      <c r="U604" s="339"/>
      <c r="V604" s="339"/>
      <c r="W604" s="339"/>
      <c r="X604" s="339"/>
      <c r="Y604" s="339"/>
      <c r="Z604" s="339"/>
    </row>
    <row r="605" spans="1:26" ht="15.75" customHeight="1">
      <c r="A605" s="339"/>
      <c r="B605" s="339"/>
      <c r="C605" s="339"/>
      <c r="D605" s="339"/>
      <c r="E605" s="339"/>
      <c r="F605" s="339"/>
      <c r="G605" s="339"/>
      <c r="H605" s="339"/>
      <c r="I605" s="341"/>
      <c r="J605" s="339"/>
      <c r="K605" s="339"/>
      <c r="L605" s="339"/>
      <c r="M605" s="339"/>
      <c r="N605" s="339"/>
      <c r="O605" s="341"/>
      <c r="P605" s="340"/>
      <c r="Q605" s="339"/>
      <c r="R605" s="339"/>
      <c r="S605" s="339"/>
      <c r="T605" s="339"/>
      <c r="U605" s="339"/>
      <c r="V605" s="339"/>
      <c r="W605" s="339"/>
      <c r="X605" s="339"/>
      <c r="Y605" s="339"/>
      <c r="Z605" s="339"/>
    </row>
    <row r="606" spans="1:26" ht="15.75" customHeight="1">
      <c r="A606" s="339"/>
      <c r="B606" s="339"/>
      <c r="C606" s="339"/>
      <c r="D606" s="339"/>
      <c r="E606" s="339"/>
      <c r="F606" s="339"/>
      <c r="G606" s="339"/>
      <c r="H606" s="339"/>
      <c r="I606" s="341"/>
      <c r="J606" s="339"/>
      <c r="K606" s="339"/>
      <c r="L606" s="339"/>
      <c r="M606" s="339"/>
      <c r="N606" s="339"/>
      <c r="O606" s="341"/>
      <c r="P606" s="340"/>
      <c r="Q606" s="339"/>
      <c r="R606" s="339"/>
      <c r="S606" s="339"/>
      <c r="T606" s="339"/>
      <c r="U606" s="339"/>
      <c r="V606" s="339"/>
      <c r="W606" s="339"/>
      <c r="X606" s="339"/>
      <c r="Y606" s="339"/>
      <c r="Z606" s="339"/>
    </row>
    <row r="607" spans="1:26" ht="15.75" customHeight="1">
      <c r="A607" s="339"/>
      <c r="B607" s="339"/>
      <c r="C607" s="339"/>
      <c r="D607" s="339"/>
      <c r="E607" s="339"/>
      <c r="F607" s="339"/>
      <c r="G607" s="339"/>
      <c r="H607" s="339"/>
      <c r="I607" s="341"/>
      <c r="J607" s="339"/>
      <c r="K607" s="339"/>
      <c r="L607" s="339"/>
      <c r="M607" s="339"/>
      <c r="N607" s="339"/>
      <c r="O607" s="341"/>
      <c r="P607" s="340"/>
      <c r="Q607" s="339"/>
      <c r="R607" s="339"/>
      <c r="S607" s="339"/>
      <c r="T607" s="339"/>
      <c r="U607" s="339"/>
      <c r="V607" s="339"/>
      <c r="W607" s="339"/>
      <c r="X607" s="339"/>
      <c r="Y607" s="339"/>
      <c r="Z607" s="339"/>
    </row>
    <row r="608" spans="1:26" ht="15.75" customHeight="1">
      <c r="A608" s="339"/>
      <c r="B608" s="339"/>
      <c r="C608" s="339"/>
      <c r="D608" s="339"/>
      <c r="E608" s="339"/>
      <c r="F608" s="339"/>
      <c r="G608" s="339"/>
      <c r="H608" s="339"/>
      <c r="I608" s="341"/>
      <c r="J608" s="339"/>
      <c r="K608" s="339"/>
      <c r="L608" s="339"/>
      <c r="M608" s="339"/>
      <c r="N608" s="339"/>
      <c r="O608" s="341"/>
      <c r="P608" s="340"/>
      <c r="Q608" s="339"/>
      <c r="R608" s="339"/>
      <c r="S608" s="339"/>
      <c r="T608" s="339"/>
      <c r="U608" s="339"/>
      <c r="V608" s="339"/>
      <c r="W608" s="339"/>
      <c r="X608" s="339"/>
      <c r="Y608" s="339"/>
      <c r="Z608" s="339"/>
    </row>
    <row r="609" spans="1:26" ht="15.75" customHeight="1">
      <c r="A609" s="339"/>
      <c r="B609" s="339"/>
      <c r="C609" s="339"/>
      <c r="D609" s="339"/>
      <c r="E609" s="339"/>
      <c r="F609" s="339"/>
      <c r="G609" s="339"/>
      <c r="H609" s="339"/>
      <c r="I609" s="341"/>
      <c r="J609" s="339"/>
      <c r="K609" s="339"/>
      <c r="L609" s="339"/>
      <c r="M609" s="339"/>
      <c r="N609" s="339"/>
      <c r="O609" s="341"/>
      <c r="P609" s="340"/>
      <c r="Q609" s="339"/>
      <c r="R609" s="339"/>
      <c r="S609" s="339"/>
      <c r="T609" s="339"/>
      <c r="U609" s="339"/>
      <c r="V609" s="339"/>
      <c r="W609" s="339"/>
      <c r="X609" s="339"/>
      <c r="Y609" s="339"/>
      <c r="Z609" s="339"/>
    </row>
    <row r="610" spans="1:26" ht="15.75" customHeight="1">
      <c r="A610" s="339"/>
      <c r="B610" s="339"/>
      <c r="C610" s="339"/>
      <c r="D610" s="339"/>
      <c r="E610" s="339"/>
      <c r="F610" s="339"/>
      <c r="G610" s="339"/>
      <c r="H610" s="339"/>
      <c r="I610" s="341"/>
      <c r="J610" s="339"/>
      <c r="K610" s="339"/>
      <c r="L610" s="339"/>
      <c r="M610" s="339"/>
      <c r="N610" s="339"/>
      <c r="O610" s="341"/>
      <c r="P610" s="340"/>
      <c r="Q610" s="339"/>
      <c r="R610" s="339"/>
      <c r="S610" s="339"/>
      <c r="T610" s="339"/>
      <c r="U610" s="339"/>
      <c r="V610" s="339"/>
      <c r="W610" s="339"/>
      <c r="X610" s="339"/>
      <c r="Y610" s="339"/>
      <c r="Z610" s="339"/>
    </row>
    <row r="611" spans="1:26" ht="15.75" customHeight="1">
      <c r="A611" s="339"/>
      <c r="B611" s="339"/>
      <c r="C611" s="339"/>
      <c r="D611" s="339"/>
      <c r="E611" s="339"/>
      <c r="F611" s="339"/>
      <c r="G611" s="339"/>
      <c r="H611" s="339"/>
      <c r="I611" s="341"/>
      <c r="J611" s="339"/>
      <c r="K611" s="339"/>
      <c r="L611" s="339"/>
      <c r="M611" s="339"/>
      <c r="N611" s="339"/>
      <c r="O611" s="341"/>
      <c r="P611" s="340"/>
      <c r="Q611" s="339"/>
      <c r="R611" s="339"/>
      <c r="S611" s="339"/>
      <c r="T611" s="339"/>
      <c r="U611" s="339"/>
      <c r="V611" s="339"/>
      <c r="W611" s="339"/>
      <c r="X611" s="339"/>
      <c r="Y611" s="339"/>
      <c r="Z611" s="339"/>
    </row>
    <row r="612" spans="1:26" ht="15.75" customHeight="1">
      <c r="A612" s="339"/>
      <c r="B612" s="339"/>
      <c r="C612" s="339"/>
      <c r="D612" s="339"/>
      <c r="E612" s="339"/>
      <c r="F612" s="339"/>
      <c r="G612" s="339"/>
      <c r="H612" s="339"/>
      <c r="I612" s="341"/>
      <c r="J612" s="339"/>
      <c r="K612" s="339"/>
      <c r="L612" s="339"/>
      <c r="M612" s="339"/>
      <c r="N612" s="339"/>
      <c r="O612" s="341"/>
      <c r="P612" s="340"/>
      <c r="Q612" s="339"/>
      <c r="R612" s="339"/>
      <c r="S612" s="339"/>
      <c r="T612" s="339"/>
      <c r="U612" s="339"/>
      <c r="V612" s="339"/>
      <c r="W612" s="339"/>
      <c r="X612" s="339"/>
      <c r="Y612" s="339"/>
      <c r="Z612" s="339"/>
    </row>
    <row r="613" spans="1:26" ht="15.75" customHeight="1">
      <c r="A613" s="339"/>
      <c r="B613" s="339"/>
      <c r="C613" s="339"/>
      <c r="D613" s="339"/>
      <c r="E613" s="339"/>
      <c r="F613" s="339"/>
      <c r="G613" s="339"/>
      <c r="H613" s="339"/>
      <c r="I613" s="341"/>
      <c r="J613" s="339"/>
      <c r="K613" s="339"/>
      <c r="L613" s="339"/>
      <c r="M613" s="339"/>
      <c r="N613" s="339"/>
      <c r="O613" s="341"/>
      <c r="P613" s="340"/>
      <c r="Q613" s="339"/>
      <c r="R613" s="339"/>
      <c r="S613" s="339"/>
      <c r="T613" s="339"/>
      <c r="U613" s="339"/>
      <c r="V613" s="339"/>
      <c r="W613" s="339"/>
      <c r="X613" s="339"/>
      <c r="Y613" s="339"/>
      <c r="Z613" s="339"/>
    </row>
    <row r="614" spans="1:26" ht="15.75" customHeight="1">
      <c r="A614" s="339"/>
      <c r="B614" s="339"/>
      <c r="C614" s="339"/>
      <c r="D614" s="339"/>
      <c r="E614" s="339"/>
      <c r="F614" s="339"/>
      <c r="G614" s="339"/>
      <c r="H614" s="339"/>
      <c r="I614" s="341"/>
      <c r="J614" s="339"/>
      <c r="K614" s="339"/>
      <c r="L614" s="339"/>
      <c r="M614" s="339"/>
      <c r="N614" s="339"/>
      <c r="O614" s="341"/>
      <c r="P614" s="340"/>
      <c r="Q614" s="339"/>
      <c r="R614" s="339"/>
      <c r="S614" s="339"/>
      <c r="T614" s="339"/>
      <c r="U614" s="339"/>
      <c r="V614" s="339"/>
      <c r="W614" s="339"/>
      <c r="X614" s="339"/>
      <c r="Y614" s="339"/>
      <c r="Z614" s="339"/>
    </row>
    <row r="615" spans="1:26" ht="15.75" customHeight="1">
      <c r="A615" s="339"/>
      <c r="B615" s="339"/>
      <c r="C615" s="339"/>
      <c r="D615" s="339"/>
      <c r="E615" s="339"/>
      <c r="F615" s="339"/>
      <c r="G615" s="339"/>
      <c r="H615" s="339"/>
      <c r="I615" s="341"/>
      <c r="J615" s="339"/>
      <c r="K615" s="339"/>
      <c r="L615" s="339"/>
      <c r="M615" s="339"/>
      <c r="N615" s="339"/>
      <c r="O615" s="341"/>
      <c r="P615" s="340"/>
      <c r="Q615" s="339"/>
      <c r="R615" s="339"/>
      <c r="S615" s="339"/>
      <c r="T615" s="339"/>
      <c r="U615" s="339"/>
      <c r="V615" s="339"/>
      <c r="W615" s="339"/>
      <c r="X615" s="339"/>
      <c r="Y615" s="339"/>
      <c r="Z615" s="339"/>
    </row>
    <row r="616" spans="1:26" ht="15.75" customHeight="1">
      <c r="A616" s="339"/>
      <c r="B616" s="339"/>
      <c r="C616" s="339"/>
      <c r="D616" s="339"/>
      <c r="E616" s="339"/>
      <c r="F616" s="339"/>
      <c r="G616" s="339"/>
      <c r="H616" s="339"/>
      <c r="I616" s="341"/>
      <c r="J616" s="339"/>
      <c r="K616" s="339"/>
      <c r="L616" s="339"/>
      <c r="M616" s="339"/>
      <c r="N616" s="339"/>
      <c r="O616" s="341"/>
      <c r="P616" s="340"/>
      <c r="Q616" s="339"/>
      <c r="R616" s="339"/>
      <c r="S616" s="339"/>
      <c r="T616" s="339"/>
      <c r="U616" s="339"/>
      <c r="V616" s="339"/>
      <c r="W616" s="339"/>
      <c r="X616" s="339"/>
      <c r="Y616" s="339"/>
      <c r="Z616" s="339"/>
    </row>
    <row r="617" spans="1:26" ht="15.75" customHeight="1">
      <c r="A617" s="339"/>
      <c r="B617" s="339"/>
      <c r="C617" s="339"/>
      <c r="D617" s="339"/>
      <c r="E617" s="339"/>
      <c r="F617" s="339"/>
      <c r="G617" s="339"/>
      <c r="H617" s="339"/>
      <c r="I617" s="341"/>
      <c r="J617" s="339"/>
      <c r="K617" s="339"/>
      <c r="L617" s="339"/>
      <c r="M617" s="339"/>
      <c r="N617" s="339"/>
      <c r="O617" s="341"/>
      <c r="P617" s="340"/>
      <c r="Q617" s="339"/>
      <c r="R617" s="339"/>
      <c r="S617" s="339"/>
      <c r="T617" s="339"/>
      <c r="U617" s="339"/>
      <c r="V617" s="339"/>
      <c r="W617" s="339"/>
      <c r="X617" s="339"/>
      <c r="Y617" s="339"/>
      <c r="Z617" s="339"/>
    </row>
    <row r="618" spans="1:26" ht="15.75" customHeight="1">
      <c r="A618" s="339"/>
      <c r="B618" s="339"/>
      <c r="C618" s="339"/>
      <c r="D618" s="339"/>
      <c r="E618" s="339"/>
      <c r="F618" s="339"/>
      <c r="G618" s="339"/>
      <c r="H618" s="339"/>
      <c r="I618" s="341"/>
      <c r="J618" s="339"/>
      <c r="K618" s="339"/>
      <c r="L618" s="339"/>
      <c r="M618" s="339"/>
      <c r="N618" s="339"/>
      <c r="O618" s="341"/>
      <c r="P618" s="340"/>
      <c r="Q618" s="339"/>
      <c r="R618" s="339"/>
      <c r="S618" s="339"/>
      <c r="T618" s="339"/>
      <c r="U618" s="339"/>
      <c r="V618" s="339"/>
      <c r="W618" s="339"/>
      <c r="X618" s="339"/>
      <c r="Y618" s="339"/>
      <c r="Z618" s="339"/>
    </row>
    <row r="619" spans="1:26" ht="15.75" customHeight="1">
      <c r="A619" s="339"/>
      <c r="B619" s="339"/>
      <c r="C619" s="339"/>
      <c r="D619" s="339"/>
      <c r="E619" s="339"/>
      <c r="F619" s="339"/>
      <c r="G619" s="339"/>
      <c r="H619" s="339"/>
      <c r="I619" s="341"/>
      <c r="J619" s="339"/>
      <c r="K619" s="339"/>
      <c r="L619" s="339"/>
      <c r="M619" s="339"/>
      <c r="N619" s="339"/>
      <c r="O619" s="341"/>
      <c r="P619" s="340"/>
      <c r="Q619" s="339"/>
      <c r="R619" s="339"/>
      <c r="S619" s="339"/>
      <c r="T619" s="339"/>
      <c r="U619" s="339"/>
      <c r="V619" s="339"/>
      <c r="W619" s="339"/>
      <c r="X619" s="339"/>
      <c r="Y619" s="339"/>
      <c r="Z619" s="339"/>
    </row>
    <row r="620" spans="1:26" ht="15.75" customHeight="1">
      <c r="A620" s="339"/>
      <c r="B620" s="339"/>
      <c r="C620" s="339"/>
      <c r="D620" s="339"/>
      <c r="E620" s="339"/>
      <c r="F620" s="339"/>
      <c r="G620" s="339"/>
      <c r="H620" s="339"/>
      <c r="I620" s="341"/>
      <c r="J620" s="339"/>
      <c r="K620" s="339"/>
      <c r="L620" s="339"/>
      <c r="M620" s="339"/>
      <c r="N620" s="339"/>
      <c r="O620" s="341"/>
      <c r="P620" s="340"/>
      <c r="Q620" s="339"/>
      <c r="R620" s="339"/>
      <c r="S620" s="339"/>
      <c r="T620" s="339"/>
      <c r="U620" s="339"/>
      <c r="V620" s="339"/>
      <c r="W620" s="339"/>
      <c r="X620" s="339"/>
      <c r="Y620" s="339"/>
      <c r="Z620" s="339"/>
    </row>
    <row r="621" spans="1:26" ht="15.75" customHeight="1">
      <c r="A621" s="339"/>
      <c r="B621" s="339"/>
      <c r="C621" s="339"/>
      <c r="D621" s="339"/>
      <c r="E621" s="339"/>
      <c r="F621" s="339"/>
      <c r="G621" s="339"/>
      <c r="H621" s="339"/>
      <c r="I621" s="341"/>
      <c r="J621" s="339"/>
      <c r="K621" s="339"/>
      <c r="L621" s="339"/>
      <c r="M621" s="339"/>
      <c r="N621" s="339"/>
      <c r="O621" s="341"/>
      <c r="P621" s="340"/>
      <c r="Q621" s="339"/>
      <c r="R621" s="339"/>
      <c r="S621" s="339"/>
      <c r="T621" s="339"/>
      <c r="U621" s="339"/>
      <c r="V621" s="339"/>
      <c r="W621" s="339"/>
      <c r="X621" s="339"/>
      <c r="Y621" s="339"/>
      <c r="Z621" s="339"/>
    </row>
    <row r="622" spans="1:26" ht="15.75" customHeight="1">
      <c r="A622" s="339"/>
      <c r="B622" s="339"/>
      <c r="C622" s="339"/>
      <c r="D622" s="339"/>
      <c r="E622" s="339"/>
      <c r="F622" s="339"/>
      <c r="G622" s="339"/>
      <c r="H622" s="339"/>
      <c r="I622" s="341"/>
      <c r="J622" s="339"/>
      <c r="K622" s="339"/>
      <c r="L622" s="339"/>
      <c r="M622" s="339"/>
      <c r="N622" s="339"/>
      <c r="O622" s="341"/>
      <c r="P622" s="340"/>
      <c r="Q622" s="339"/>
      <c r="R622" s="339"/>
      <c r="S622" s="339"/>
      <c r="T622" s="339"/>
      <c r="U622" s="339"/>
      <c r="V622" s="339"/>
      <c r="W622" s="339"/>
      <c r="X622" s="339"/>
      <c r="Y622" s="339"/>
      <c r="Z622" s="339"/>
    </row>
    <row r="623" spans="1:26" ht="15.75" customHeight="1">
      <c r="A623" s="339"/>
      <c r="B623" s="339"/>
      <c r="C623" s="339"/>
      <c r="D623" s="339"/>
      <c r="E623" s="339"/>
      <c r="F623" s="339"/>
      <c r="G623" s="339"/>
      <c r="H623" s="339"/>
      <c r="I623" s="341"/>
      <c r="J623" s="339"/>
      <c r="K623" s="339"/>
      <c r="L623" s="339"/>
      <c r="M623" s="339"/>
      <c r="N623" s="339"/>
      <c r="O623" s="341"/>
      <c r="P623" s="340"/>
      <c r="Q623" s="339"/>
      <c r="R623" s="339"/>
      <c r="S623" s="339"/>
      <c r="T623" s="339"/>
      <c r="U623" s="339"/>
      <c r="V623" s="339"/>
      <c r="W623" s="339"/>
      <c r="X623" s="339"/>
      <c r="Y623" s="339"/>
      <c r="Z623" s="339"/>
    </row>
    <row r="624" spans="1:26" ht="15.75" customHeight="1">
      <c r="A624" s="339"/>
      <c r="B624" s="339"/>
      <c r="C624" s="339"/>
      <c r="D624" s="339"/>
      <c r="E624" s="339"/>
      <c r="F624" s="339"/>
      <c r="G624" s="339"/>
      <c r="H624" s="339"/>
      <c r="I624" s="341"/>
      <c r="J624" s="339"/>
      <c r="K624" s="339"/>
      <c r="L624" s="339"/>
      <c r="M624" s="339"/>
      <c r="N624" s="339"/>
      <c r="O624" s="341"/>
      <c r="P624" s="340"/>
      <c r="Q624" s="339"/>
      <c r="R624" s="339"/>
      <c r="S624" s="339"/>
      <c r="T624" s="339"/>
      <c r="U624" s="339"/>
      <c r="V624" s="339"/>
      <c r="W624" s="339"/>
      <c r="X624" s="339"/>
      <c r="Y624" s="339"/>
      <c r="Z624" s="339"/>
    </row>
    <row r="625" spans="1:26" ht="15.75" customHeight="1">
      <c r="A625" s="339"/>
      <c r="B625" s="339"/>
      <c r="C625" s="339"/>
      <c r="D625" s="339"/>
      <c r="E625" s="339"/>
      <c r="F625" s="339"/>
      <c r="G625" s="339"/>
      <c r="H625" s="339"/>
      <c r="I625" s="341"/>
      <c r="J625" s="339"/>
      <c r="K625" s="339"/>
      <c r="L625" s="339"/>
      <c r="M625" s="339"/>
      <c r="N625" s="339"/>
      <c r="O625" s="341"/>
      <c r="P625" s="340"/>
      <c r="Q625" s="339"/>
      <c r="R625" s="339"/>
      <c r="S625" s="339"/>
      <c r="T625" s="339"/>
      <c r="U625" s="339"/>
      <c r="V625" s="339"/>
      <c r="W625" s="339"/>
      <c r="X625" s="339"/>
      <c r="Y625" s="339"/>
      <c r="Z625" s="339"/>
    </row>
    <row r="626" spans="1:26" ht="15.75" customHeight="1">
      <c r="A626" s="339"/>
      <c r="B626" s="339"/>
      <c r="C626" s="339"/>
      <c r="D626" s="339"/>
      <c r="E626" s="339"/>
      <c r="F626" s="339"/>
      <c r="G626" s="339"/>
      <c r="H626" s="339"/>
      <c r="I626" s="341"/>
      <c r="J626" s="339"/>
      <c r="K626" s="339"/>
      <c r="L626" s="339"/>
      <c r="M626" s="339"/>
      <c r="N626" s="339"/>
      <c r="O626" s="341"/>
      <c r="P626" s="340"/>
      <c r="Q626" s="339"/>
      <c r="R626" s="339"/>
      <c r="S626" s="339"/>
      <c r="T626" s="339"/>
      <c r="U626" s="339"/>
      <c r="V626" s="339"/>
      <c r="W626" s="339"/>
      <c r="X626" s="339"/>
      <c r="Y626" s="339"/>
      <c r="Z626" s="339"/>
    </row>
    <row r="627" spans="1:26" ht="15.75" customHeight="1">
      <c r="A627" s="339"/>
      <c r="B627" s="339"/>
      <c r="C627" s="339"/>
      <c r="D627" s="339"/>
      <c r="E627" s="339"/>
      <c r="F627" s="339"/>
      <c r="G627" s="339"/>
      <c r="H627" s="339"/>
      <c r="I627" s="341"/>
      <c r="J627" s="339"/>
      <c r="K627" s="339"/>
      <c r="L627" s="339"/>
      <c r="M627" s="339"/>
      <c r="N627" s="339"/>
      <c r="O627" s="341"/>
      <c r="P627" s="340"/>
      <c r="Q627" s="339"/>
      <c r="R627" s="339"/>
      <c r="S627" s="339"/>
      <c r="T627" s="339"/>
      <c r="U627" s="339"/>
      <c r="V627" s="339"/>
      <c r="W627" s="339"/>
      <c r="X627" s="339"/>
      <c r="Y627" s="339"/>
      <c r="Z627" s="339"/>
    </row>
    <row r="628" spans="1:26" ht="15.75" customHeight="1">
      <c r="A628" s="339"/>
      <c r="B628" s="339"/>
      <c r="C628" s="339"/>
      <c r="D628" s="339"/>
      <c r="E628" s="339"/>
      <c r="F628" s="339"/>
      <c r="G628" s="339"/>
      <c r="H628" s="339"/>
      <c r="I628" s="341"/>
      <c r="J628" s="339"/>
      <c r="K628" s="339"/>
      <c r="L628" s="339"/>
      <c r="M628" s="339"/>
      <c r="N628" s="339"/>
      <c r="O628" s="341"/>
      <c r="P628" s="340"/>
      <c r="Q628" s="339"/>
      <c r="R628" s="339"/>
      <c r="S628" s="339"/>
      <c r="T628" s="339"/>
      <c r="U628" s="339"/>
      <c r="V628" s="339"/>
      <c r="W628" s="339"/>
      <c r="X628" s="339"/>
      <c r="Y628" s="339"/>
      <c r="Z628" s="339"/>
    </row>
    <row r="629" spans="1:26" ht="15.75" customHeight="1">
      <c r="A629" s="339"/>
      <c r="B629" s="339"/>
      <c r="C629" s="339"/>
      <c r="D629" s="339"/>
      <c r="E629" s="339"/>
      <c r="F629" s="339"/>
      <c r="G629" s="339"/>
      <c r="H629" s="339"/>
      <c r="I629" s="341"/>
      <c r="J629" s="339"/>
      <c r="K629" s="339"/>
      <c r="L629" s="339"/>
      <c r="M629" s="339"/>
      <c r="N629" s="339"/>
      <c r="O629" s="341"/>
      <c r="P629" s="340"/>
      <c r="Q629" s="339"/>
      <c r="R629" s="339"/>
      <c r="S629" s="339"/>
      <c r="T629" s="339"/>
      <c r="U629" s="339"/>
      <c r="V629" s="339"/>
      <c r="W629" s="339"/>
      <c r="X629" s="339"/>
      <c r="Y629" s="339"/>
      <c r="Z629" s="339"/>
    </row>
    <row r="630" spans="1:26" ht="15.75" customHeight="1">
      <c r="A630" s="339"/>
      <c r="B630" s="339"/>
      <c r="C630" s="339"/>
      <c r="D630" s="339"/>
      <c r="E630" s="339"/>
      <c r="F630" s="339"/>
      <c r="G630" s="339"/>
      <c r="H630" s="339"/>
      <c r="I630" s="341"/>
      <c r="J630" s="339"/>
      <c r="K630" s="339"/>
      <c r="L630" s="339"/>
      <c r="M630" s="339"/>
      <c r="N630" s="339"/>
      <c r="O630" s="341"/>
      <c r="P630" s="340"/>
      <c r="Q630" s="339"/>
      <c r="R630" s="339"/>
      <c r="S630" s="339"/>
      <c r="T630" s="339"/>
      <c r="U630" s="339"/>
      <c r="V630" s="339"/>
      <c r="W630" s="339"/>
      <c r="X630" s="339"/>
      <c r="Y630" s="339"/>
      <c r="Z630" s="339"/>
    </row>
    <row r="631" spans="1:26" ht="15.75" customHeight="1">
      <c r="A631" s="339"/>
      <c r="B631" s="339"/>
      <c r="C631" s="339"/>
      <c r="D631" s="339"/>
      <c r="E631" s="339"/>
      <c r="F631" s="339"/>
      <c r="G631" s="339"/>
      <c r="H631" s="339"/>
      <c r="I631" s="341"/>
      <c r="J631" s="339"/>
      <c r="K631" s="339"/>
      <c r="L631" s="339"/>
      <c r="M631" s="339"/>
      <c r="N631" s="339"/>
      <c r="O631" s="341"/>
      <c r="P631" s="340"/>
      <c r="Q631" s="339"/>
      <c r="R631" s="339"/>
      <c r="S631" s="339"/>
      <c r="T631" s="339"/>
      <c r="U631" s="339"/>
      <c r="V631" s="339"/>
      <c r="W631" s="339"/>
      <c r="X631" s="339"/>
      <c r="Y631" s="339"/>
      <c r="Z631" s="339"/>
    </row>
    <row r="632" spans="1:26" ht="15.75" customHeight="1">
      <c r="A632" s="339"/>
      <c r="B632" s="339"/>
      <c r="C632" s="339"/>
      <c r="D632" s="339"/>
      <c r="E632" s="339"/>
      <c r="F632" s="339"/>
      <c r="G632" s="339"/>
      <c r="H632" s="339"/>
      <c r="I632" s="341"/>
      <c r="J632" s="339"/>
      <c r="K632" s="339"/>
      <c r="L632" s="339"/>
      <c r="M632" s="339"/>
      <c r="N632" s="339"/>
      <c r="O632" s="341"/>
      <c r="P632" s="340"/>
      <c r="Q632" s="339"/>
      <c r="R632" s="339"/>
      <c r="S632" s="339"/>
      <c r="T632" s="339"/>
      <c r="U632" s="339"/>
      <c r="V632" s="339"/>
      <c r="W632" s="339"/>
      <c r="X632" s="339"/>
      <c r="Y632" s="339"/>
      <c r="Z632" s="339"/>
    </row>
    <row r="633" spans="1:26" ht="15.75" customHeight="1">
      <c r="A633" s="339"/>
      <c r="B633" s="339"/>
      <c r="C633" s="339"/>
      <c r="D633" s="339"/>
      <c r="E633" s="339"/>
      <c r="F633" s="339"/>
      <c r="G633" s="339"/>
      <c r="H633" s="339"/>
      <c r="I633" s="341"/>
      <c r="J633" s="339"/>
      <c r="K633" s="339"/>
      <c r="L633" s="339"/>
      <c r="M633" s="339"/>
      <c r="N633" s="339"/>
      <c r="O633" s="341"/>
      <c r="P633" s="340"/>
      <c r="Q633" s="339"/>
      <c r="R633" s="339"/>
      <c r="S633" s="339"/>
      <c r="T633" s="339"/>
      <c r="U633" s="339"/>
      <c r="V633" s="339"/>
      <c r="W633" s="339"/>
      <c r="X633" s="339"/>
      <c r="Y633" s="339"/>
      <c r="Z633" s="339"/>
    </row>
    <row r="634" spans="1:26" ht="15.75" customHeight="1">
      <c r="A634" s="339"/>
      <c r="B634" s="339"/>
      <c r="C634" s="339"/>
      <c r="D634" s="339"/>
      <c r="E634" s="339"/>
      <c r="F634" s="339"/>
      <c r="G634" s="339"/>
      <c r="H634" s="339"/>
      <c r="I634" s="341"/>
      <c r="J634" s="339"/>
      <c r="K634" s="339"/>
      <c r="L634" s="339"/>
      <c r="M634" s="339"/>
      <c r="N634" s="339"/>
      <c r="O634" s="341"/>
      <c r="P634" s="340"/>
      <c r="Q634" s="339"/>
      <c r="R634" s="339"/>
      <c r="S634" s="339"/>
      <c r="T634" s="339"/>
      <c r="U634" s="339"/>
      <c r="V634" s="339"/>
      <c r="W634" s="339"/>
      <c r="X634" s="339"/>
      <c r="Y634" s="339"/>
      <c r="Z634" s="339"/>
    </row>
    <row r="635" spans="1:26" ht="15.75" customHeight="1">
      <c r="A635" s="339"/>
      <c r="B635" s="339"/>
      <c r="C635" s="339"/>
      <c r="D635" s="339"/>
      <c r="E635" s="339"/>
      <c r="F635" s="339"/>
      <c r="G635" s="339"/>
      <c r="H635" s="339"/>
      <c r="I635" s="341"/>
      <c r="J635" s="339"/>
      <c r="K635" s="339"/>
      <c r="L635" s="339"/>
      <c r="M635" s="339"/>
      <c r="N635" s="339"/>
      <c r="O635" s="341"/>
      <c r="P635" s="340"/>
      <c r="Q635" s="339"/>
      <c r="R635" s="339"/>
      <c r="S635" s="339"/>
      <c r="T635" s="339"/>
      <c r="U635" s="339"/>
      <c r="V635" s="339"/>
      <c r="W635" s="339"/>
      <c r="X635" s="339"/>
      <c r="Y635" s="339"/>
      <c r="Z635" s="339"/>
    </row>
    <row r="636" spans="1:26" ht="15.75" customHeight="1">
      <c r="A636" s="339"/>
      <c r="B636" s="339"/>
      <c r="C636" s="339"/>
      <c r="D636" s="339"/>
      <c r="E636" s="339"/>
      <c r="F636" s="339"/>
      <c r="G636" s="339"/>
      <c r="H636" s="339"/>
      <c r="I636" s="341"/>
      <c r="J636" s="339"/>
      <c r="K636" s="339"/>
      <c r="L636" s="339"/>
      <c r="M636" s="339"/>
      <c r="N636" s="339"/>
      <c r="O636" s="341"/>
      <c r="P636" s="340"/>
      <c r="Q636" s="339"/>
      <c r="R636" s="339"/>
      <c r="S636" s="339"/>
      <c r="T636" s="339"/>
      <c r="U636" s="339"/>
      <c r="V636" s="339"/>
      <c r="W636" s="339"/>
      <c r="X636" s="339"/>
      <c r="Y636" s="339"/>
      <c r="Z636" s="339"/>
    </row>
    <row r="637" spans="1:26" ht="15.75" customHeight="1">
      <c r="A637" s="339"/>
      <c r="B637" s="339"/>
      <c r="C637" s="339"/>
      <c r="D637" s="339"/>
      <c r="E637" s="339"/>
      <c r="F637" s="339"/>
      <c r="G637" s="339"/>
      <c r="H637" s="339"/>
      <c r="I637" s="341"/>
      <c r="J637" s="339"/>
      <c r="K637" s="339"/>
      <c r="L637" s="339"/>
      <c r="M637" s="339"/>
      <c r="N637" s="339"/>
      <c r="O637" s="341"/>
      <c r="P637" s="340"/>
      <c r="Q637" s="339"/>
      <c r="R637" s="339"/>
      <c r="S637" s="339"/>
      <c r="T637" s="339"/>
      <c r="U637" s="339"/>
      <c r="V637" s="339"/>
      <c r="W637" s="339"/>
      <c r="X637" s="339"/>
      <c r="Y637" s="339"/>
      <c r="Z637" s="339"/>
    </row>
    <row r="638" spans="1:26" ht="15.75" customHeight="1">
      <c r="A638" s="339"/>
      <c r="B638" s="339"/>
      <c r="C638" s="339"/>
      <c r="D638" s="339"/>
      <c r="E638" s="339"/>
      <c r="F638" s="339"/>
      <c r="G638" s="339"/>
      <c r="H638" s="339"/>
      <c r="I638" s="341"/>
      <c r="J638" s="339"/>
      <c r="K638" s="339"/>
      <c r="L638" s="339"/>
      <c r="M638" s="339"/>
      <c r="N638" s="339"/>
      <c r="O638" s="341"/>
      <c r="P638" s="340"/>
      <c r="Q638" s="339"/>
      <c r="R638" s="339"/>
      <c r="S638" s="339"/>
      <c r="T638" s="339"/>
      <c r="U638" s="339"/>
      <c r="V638" s="339"/>
      <c r="W638" s="339"/>
      <c r="X638" s="339"/>
      <c r="Y638" s="339"/>
      <c r="Z638" s="339"/>
    </row>
    <row r="639" spans="1:26" ht="15.75" customHeight="1">
      <c r="A639" s="339"/>
      <c r="B639" s="339"/>
      <c r="C639" s="339"/>
      <c r="D639" s="339"/>
      <c r="E639" s="339"/>
      <c r="F639" s="339"/>
      <c r="G639" s="339"/>
      <c r="H639" s="339"/>
      <c r="I639" s="341"/>
      <c r="J639" s="339"/>
      <c r="K639" s="339"/>
      <c r="L639" s="339"/>
      <c r="M639" s="339"/>
      <c r="N639" s="339"/>
      <c r="O639" s="341"/>
      <c r="P639" s="340"/>
      <c r="Q639" s="339"/>
      <c r="R639" s="339"/>
      <c r="S639" s="339"/>
      <c r="T639" s="339"/>
      <c r="U639" s="339"/>
      <c r="V639" s="339"/>
      <c r="W639" s="339"/>
      <c r="X639" s="339"/>
      <c r="Y639" s="339"/>
      <c r="Z639" s="339"/>
    </row>
    <row r="640" spans="1:26" ht="15.75" customHeight="1">
      <c r="A640" s="339"/>
      <c r="B640" s="339"/>
      <c r="C640" s="339"/>
      <c r="D640" s="339"/>
      <c r="E640" s="339"/>
      <c r="F640" s="339"/>
      <c r="G640" s="339"/>
      <c r="H640" s="339"/>
      <c r="I640" s="341"/>
      <c r="J640" s="339"/>
      <c r="K640" s="339"/>
      <c r="L640" s="339"/>
      <c r="M640" s="339"/>
      <c r="N640" s="339"/>
      <c r="O640" s="341"/>
      <c r="P640" s="340"/>
      <c r="Q640" s="339"/>
      <c r="R640" s="339"/>
      <c r="S640" s="339"/>
      <c r="T640" s="339"/>
      <c r="U640" s="339"/>
      <c r="V640" s="339"/>
      <c r="W640" s="339"/>
      <c r="X640" s="339"/>
      <c r="Y640" s="339"/>
      <c r="Z640" s="339"/>
    </row>
    <row r="641" spans="1:26" ht="15.75" customHeight="1">
      <c r="A641" s="339"/>
      <c r="B641" s="339"/>
      <c r="C641" s="339"/>
      <c r="D641" s="339"/>
      <c r="E641" s="339"/>
      <c r="F641" s="339"/>
      <c r="G641" s="339"/>
      <c r="H641" s="339"/>
      <c r="I641" s="341"/>
      <c r="J641" s="339"/>
      <c r="K641" s="339"/>
      <c r="L641" s="339"/>
      <c r="M641" s="339"/>
      <c r="N641" s="339"/>
      <c r="O641" s="341"/>
      <c r="P641" s="340"/>
      <c r="Q641" s="339"/>
      <c r="R641" s="339"/>
      <c r="S641" s="339"/>
      <c r="T641" s="339"/>
      <c r="U641" s="339"/>
      <c r="V641" s="339"/>
      <c r="W641" s="339"/>
      <c r="X641" s="339"/>
      <c r="Y641" s="339"/>
      <c r="Z641" s="339"/>
    </row>
    <row r="642" spans="1:26" ht="15.75" customHeight="1">
      <c r="A642" s="339"/>
      <c r="B642" s="339"/>
      <c r="C642" s="339"/>
      <c r="D642" s="339"/>
      <c r="E642" s="339"/>
      <c r="F642" s="339"/>
      <c r="G642" s="339"/>
      <c r="H642" s="339"/>
      <c r="I642" s="341"/>
      <c r="J642" s="339"/>
      <c r="K642" s="339"/>
      <c r="L642" s="339"/>
      <c r="M642" s="339"/>
      <c r="N642" s="339"/>
      <c r="O642" s="341"/>
      <c r="P642" s="340"/>
      <c r="Q642" s="339"/>
      <c r="R642" s="339"/>
      <c r="S642" s="339"/>
      <c r="T642" s="339"/>
      <c r="U642" s="339"/>
      <c r="V642" s="339"/>
      <c r="W642" s="339"/>
      <c r="X642" s="339"/>
      <c r="Y642" s="339"/>
      <c r="Z642" s="339"/>
    </row>
    <row r="643" spans="1:26" ht="15.75" customHeight="1">
      <c r="A643" s="339"/>
      <c r="B643" s="339"/>
      <c r="C643" s="339"/>
      <c r="D643" s="339"/>
      <c r="E643" s="339"/>
      <c r="F643" s="339"/>
      <c r="G643" s="339"/>
      <c r="H643" s="339"/>
      <c r="I643" s="341"/>
      <c r="J643" s="339"/>
      <c r="K643" s="339"/>
      <c r="L643" s="339"/>
      <c r="M643" s="339"/>
      <c r="N643" s="339"/>
      <c r="O643" s="341"/>
      <c r="P643" s="340"/>
      <c r="Q643" s="339"/>
      <c r="R643" s="339"/>
      <c r="S643" s="339"/>
      <c r="T643" s="339"/>
      <c r="U643" s="339"/>
      <c r="V643" s="339"/>
      <c r="W643" s="339"/>
      <c r="X643" s="339"/>
      <c r="Y643" s="339"/>
      <c r="Z643" s="339"/>
    </row>
    <row r="644" spans="1:26" ht="15.75" customHeight="1">
      <c r="A644" s="339"/>
      <c r="B644" s="339"/>
      <c r="C644" s="339"/>
      <c r="D644" s="339"/>
      <c r="E644" s="339"/>
      <c r="F644" s="339"/>
      <c r="G644" s="339"/>
      <c r="H644" s="339"/>
      <c r="I644" s="341"/>
      <c r="J644" s="339"/>
      <c r="K644" s="339"/>
      <c r="L644" s="339"/>
      <c r="M644" s="339"/>
      <c r="N644" s="339"/>
      <c r="O644" s="341"/>
      <c r="P644" s="340"/>
      <c r="Q644" s="339"/>
      <c r="R644" s="339"/>
      <c r="S644" s="339"/>
      <c r="T644" s="339"/>
      <c r="U644" s="339"/>
      <c r="V644" s="339"/>
      <c r="W644" s="339"/>
      <c r="X644" s="339"/>
      <c r="Y644" s="339"/>
      <c r="Z644" s="339"/>
    </row>
    <row r="645" spans="1:26" ht="15.75" customHeight="1">
      <c r="A645" s="339"/>
      <c r="B645" s="339"/>
      <c r="C645" s="339"/>
      <c r="D645" s="339"/>
      <c r="E645" s="339"/>
      <c r="F645" s="339"/>
      <c r="G645" s="339"/>
      <c r="H645" s="339"/>
      <c r="I645" s="341"/>
      <c r="J645" s="339"/>
      <c r="K645" s="339"/>
      <c r="L645" s="339"/>
      <c r="M645" s="339"/>
      <c r="N645" s="339"/>
      <c r="O645" s="341"/>
      <c r="P645" s="340"/>
      <c r="Q645" s="339"/>
      <c r="R645" s="339"/>
      <c r="S645" s="339"/>
      <c r="T645" s="339"/>
      <c r="U645" s="339"/>
      <c r="V645" s="339"/>
      <c r="W645" s="339"/>
      <c r="X645" s="339"/>
      <c r="Y645" s="339"/>
      <c r="Z645" s="339"/>
    </row>
    <row r="646" spans="1:26" ht="15.75" customHeight="1">
      <c r="A646" s="339"/>
      <c r="B646" s="339"/>
      <c r="C646" s="339"/>
      <c r="D646" s="339"/>
      <c r="E646" s="339"/>
      <c r="F646" s="339"/>
      <c r="G646" s="339"/>
      <c r="H646" s="339"/>
      <c r="I646" s="341"/>
      <c r="J646" s="339"/>
      <c r="K646" s="339"/>
      <c r="L646" s="339"/>
      <c r="M646" s="339"/>
      <c r="N646" s="339"/>
      <c r="O646" s="341"/>
      <c r="P646" s="340"/>
      <c r="Q646" s="339"/>
      <c r="R646" s="339"/>
      <c r="S646" s="339"/>
      <c r="T646" s="339"/>
      <c r="U646" s="339"/>
      <c r="V646" s="339"/>
      <c r="W646" s="339"/>
      <c r="X646" s="339"/>
      <c r="Y646" s="339"/>
      <c r="Z646" s="339"/>
    </row>
    <row r="647" spans="1:26" ht="15.75" customHeight="1">
      <c r="A647" s="339"/>
      <c r="B647" s="339"/>
      <c r="C647" s="339"/>
      <c r="D647" s="339"/>
      <c r="E647" s="339"/>
      <c r="F647" s="339"/>
      <c r="G647" s="339"/>
      <c r="H647" s="339"/>
      <c r="I647" s="341"/>
      <c r="J647" s="339"/>
      <c r="K647" s="339"/>
      <c r="L647" s="339"/>
      <c r="M647" s="339"/>
      <c r="N647" s="339"/>
      <c r="O647" s="341"/>
      <c r="P647" s="340"/>
      <c r="Q647" s="339"/>
      <c r="R647" s="339"/>
      <c r="S647" s="339"/>
      <c r="T647" s="339"/>
      <c r="U647" s="339"/>
      <c r="V647" s="339"/>
      <c r="W647" s="339"/>
      <c r="X647" s="339"/>
      <c r="Y647" s="339"/>
      <c r="Z647" s="339"/>
    </row>
    <row r="648" spans="1:26" ht="15.75" customHeight="1">
      <c r="A648" s="339"/>
      <c r="B648" s="339"/>
      <c r="C648" s="339"/>
      <c r="D648" s="339"/>
      <c r="E648" s="339"/>
      <c r="F648" s="339"/>
      <c r="G648" s="339"/>
      <c r="H648" s="339"/>
      <c r="I648" s="341"/>
      <c r="J648" s="339"/>
      <c r="K648" s="339"/>
      <c r="L648" s="339"/>
      <c r="M648" s="339"/>
      <c r="N648" s="339"/>
      <c r="O648" s="341"/>
      <c r="P648" s="340"/>
      <c r="Q648" s="339"/>
      <c r="R648" s="339"/>
      <c r="S648" s="339"/>
      <c r="T648" s="339"/>
      <c r="U648" s="339"/>
      <c r="V648" s="339"/>
      <c r="W648" s="339"/>
      <c r="X648" s="339"/>
      <c r="Y648" s="339"/>
      <c r="Z648" s="339"/>
    </row>
    <row r="649" spans="1:26" ht="15.75" customHeight="1">
      <c r="A649" s="339"/>
      <c r="B649" s="339"/>
      <c r="C649" s="339"/>
      <c r="D649" s="339"/>
      <c r="E649" s="339"/>
      <c r="F649" s="339"/>
      <c r="G649" s="339"/>
      <c r="H649" s="339"/>
      <c r="I649" s="341"/>
      <c r="J649" s="339"/>
      <c r="K649" s="339"/>
      <c r="L649" s="339"/>
      <c r="M649" s="339"/>
      <c r="N649" s="339"/>
      <c r="O649" s="341"/>
      <c r="P649" s="340"/>
      <c r="Q649" s="339"/>
      <c r="R649" s="339"/>
      <c r="S649" s="339"/>
      <c r="T649" s="339"/>
      <c r="U649" s="339"/>
      <c r="V649" s="339"/>
      <c r="W649" s="339"/>
      <c r="X649" s="339"/>
      <c r="Y649" s="339"/>
      <c r="Z649" s="339"/>
    </row>
    <row r="650" spans="1:26" ht="15.75" customHeight="1">
      <c r="A650" s="339"/>
      <c r="B650" s="339"/>
      <c r="C650" s="339"/>
      <c r="D650" s="339"/>
      <c r="E650" s="339"/>
      <c r="F650" s="339"/>
      <c r="G650" s="339"/>
      <c r="H650" s="339"/>
      <c r="I650" s="341"/>
      <c r="J650" s="339"/>
      <c r="K650" s="339"/>
      <c r="L650" s="339"/>
      <c r="M650" s="339"/>
      <c r="N650" s="339"/>
      <c r="O650" s="341"/>
      <c r="P650" s="340"/>
      <c r="Q650" s="339"/>
      <c r="R650" s="339"/>
      <c r="S650" s="339"/>
      <c r="T650" s="339"/>
      <c r="U650" s="339"/>
      <c r="V650" s="339"/>
      <c r="W650" s="339"/>
      <c r="X650" s="339"/>
      <c r="Y650" s="339"/>
      <c r="Z650" s="339"/>
    </row>
    <row r="651" spans="1:26" ht="15.75" customHeight="1">
      <c r="A651" s="339"/>
      <c r="B651" s="339"/>
      <c r="C651" s="339"/>
      <c r="D651" s="339"/>
      <c r="E651" s="339"/>
      <c r="F651" s="339"/>
      <c r="G651" s="339"/>
      <c r="H651" s="339"/>
      <c r="I651" s="341"/>
      <c r="J651" s="339"/>
      <c r="K651" s="339"/>
      <c r="L651" s="339"/>
      <c r="M651" s="339"/>
      <c r="N651" s="339"/>
      <c r="O651" s="341"/>
      <c r="P651" s="340"/>
      <c r="Q651" s="339"/>
      <c r="R651" s="339"/>
      <c r="S651" s="339"/>
      <c r="T651" s="339"/>
      <c r="U651" s="339"/>
      <c r="V651" s="339"/>
      <c r="W651" s="339"/>
      <c r="X651" s="339"/>
      <c r="Y651" s="339"/>
      <c r="Z651" s="339"/>
    </row>
    <row r="652" spans="1:26" ht="15.75" customHeight="1">
      <c r="A652" s="339"/>
      <c r="B652" s="339"/>
      <c r="C652" s="339"/>
      <c r="D652" s="339"/>
      <c r="E652" s="339"/>
      <c r="F652" s="339"/>
      <c r="G652" s="339"/>
      <c r="H652" s="339"/>
      <c r="I652" s="341"/>
      <c r="J652" s="339"/>
      <c r="K652" s="339"/>
      <c r="L652" s="339"/>
      <c r="M652" s="339"/>
      <c r="N652" s="339"/>
      <c r="O652" s="341"/>
      <c r="P652" s="340"/>
      <c r="Q652" s="339"/>
      <c r="R652" s="339"/>
      <c r="S652" s="339"/>
      <c r="T652" s="339"/>
      <c r="U652" s="339"/>
      <c r="V652" s="339"/>
      <c r="W652" s="339"/>
      <c r="X652" s="339"/>
      <c r="Y652" s="339"/>
      <c r="Z652" s="339"/>
    </row>
    <row r="653" spans="1:26" ht="15.75" customHeight="1">
      <c r="A653" s="339"/>
      <c r="B653" s="339"/>
      <c r="C653" s="339"/>
      <c r="D653" s="339"/>
      <c r="E653" s="339"/>
      <c r="F653" s="339"/>
      <c r="G653" s="339"/>
      <c r="H653" s="339"/>
      <c r="I653" s="341"/>
      <c r="J653" s="339"/>
      <c r="K653" s="339"/>
      <c r="L653" s="339"/>
      <c r="M653" s="339"/>
      <c r="N653" s="339"/>
      <c r="O653" s="341"/>
      <c r="P653" s="340"/>
      <c r="Q653" s="339"/>
      <c r="R653" s="339"/>
      <c r="S653" s="339"/>
      <c r="T653" s="339"/>
      <c r="U653" s="339"/>
      <c r="V653" s="339"/>
      <c r="W653" s="339"/>
      <c r="X653" s="339"/>
      <c r="Y653" s="339"/>
      <c r="Z653" s="339"/>
    </row>
    <row r="654" spans="1:26" ht="15.75" customHeight="1">
      <c r="A654" s="339"/>
      <c r="B654" s="339"/>
      <c r="C654" s="339"/>
      <c r="D654" s="339"/>
      <c r="E654" s="339"/>
      <c r="F654" s="339"/>
      <c r="G654" s="339"/>
      <c r="H654" s="339"/>
      <c r="I654" s="341"/>
      <c r="J654" s="339"/>
      <c r="K654" s="339"/>
      <c r="L654" s="339"/>
      <c r="M654" s="339"/>
      <c r="N654" s="339"/>
      <c r="O654" s="341"/>
      <c r="P654" s="340"/>
      <c r="Q654" s="339"/>
      <c r="R654" s="339"/>
      <c r="S654" s="339"/>
      <c r="T654" s="339"/>
      <c r="U654" s="339"/>
      <c r="V654" s="339"/>
      <c r="W654" s="339"/>
      <c r="X654" s="339"/>
      <c r="Y654" s="339"/>
      <c r="Z654" s="339"/>
    </row>
    <row r="655" spans="1:26" ht="15.75" customHeight="1">
      <c r="A655" s="339"/>
      <c r="B655" s="339"/>
      <c r="C655" s="339"/>
      <c r="D655" s="339"/>
      <c r="E655" s="339"/>
      <c r="F655" s="339"/>
      <c r="G655" s="339"/>
      <c r="H655" s="339"/>
      <c r="I655" s="341"/>
      <c r="J655" s="339"/>
      <c r="K655" s="339"/>
      <c r="L655" s="339"/>
      <c r="M655" s="339"/>
      <c r="N655" s="339"/>
      <c r="O655" s="341"/>
      <c r="P655" s="340"/>
      <c r="Q655" s="339"/>
      <c r="R655" s="339"/>
      <c r="S655" s="339"/>
      <c r="T655" s="339"/>
      <c r="U655" s="339"/>
      <c r="V655" s="339"/>
      <c r="W655" s="339"/>
      <c r="X655" s="339"/>
      <c r="Y655" s="339"/>
      <c r="Z655" s="339"/>
    </row>
    <row r="656" spans="1:26" ht="15.75" customHeight="1">
      <c r="A656" s="339"/>
      <c r="B656" s="339"/>
      <c r="C656" s="339"/>
      <c r="D656" s="339"/>
      <c r="E656" s="339"/>
      <c r="F656" s="339"/>
      <c r="G656" s="339"/>
      <c r="H656" s="339"/>
      <c r="I656" s="341"/>
      <c r="J656" s="339"/>
      <c r="K656" s="339"/>
      <c r="L656" s="339"/>
      <c r="M656" s="339"/>
      <c r="N656" s="339"/>
      <c r="O656" s="341"/>
      <c r="P656" s="340"/>
      <c r="Q656" s="339"/>
      <c r="R656" s="339"/>
      <c r="S656" s="339"/>
      <c r="T656" s="339"/>
      <c r="U656" s="339"/>
      <c r="V656" s="339"/>
      <c r="W656" s="339"/>
      <c r="X656" s="339"/>
      <c r="Y656" s="339"/>
      <c r="Z656" s="339"/>
    </row>
    <row r="657" spans="1:26" ht="15.75" customHeight="1">
      <c r="A657" s="339"/>
      <c r="B657" s="339"/>
      <c r="C657" s="339"/>
      <c r="D657" s="339"/>
      <c r="E657" s="339"/>
      <c r="F657" s="339"/>
      <c r="G657" s="339"/>
      <c r="H657" s="339"/>
      <c r="I657" s="341"/>
      <c r="J657" s="339"/>
      <c r="K657" s="339"/>
      <c r="L657" s="339"/>
      <c r="M657" s="339"/>
      <c r="N657" s="339"/>
      <c r="O657" s="341"/>
      <c r="P657" s="340"/>
      <c r="Q657" s="339"/>
      <c r="R657" s="339"/>
      <c r="S657" s="339"/>
      <c r="T657" s="339"/>
      <c r="U657" s="339"/>
      <c r="V657" s="339"/>
      <c r="W657" s="339"/>
      <c r="X657" s="339"/>
      <c r="Y657" s="339"/>
      <c r="Z657" s="339"/>
    </row>
    <row r="658" spans="1:26" ht="15.75" customHeight="1">
      <c r="A658" s="339"/>
      <c r="B658" s="339"/>
      <c r="C658" s="339"/>
      <c r="D658" s="339"/>
      <c r="E658" s="339"/>
      <c r="F658" s="339"/>
      <c r="G658" s="339"/>
      <c r="H658" s="339"/>
      <c r="I658" s="341"/>
      <c r="J658" s="339"/>
      <c r="K658" s="339"/>
      <c r="L658" s="339"/>
      <c r="M658" s="339"/>
      <c r="N658" s="339"/>
      <c r="O658" s="341"/>
      <c r="P658" s="340"/>
      <c r="Q658" s="339"/>
      <c r="R658" s="339"/>
      <c r="S658" s="339"/>
      <c r="T658" s="339"/>
      <c r="U658" s="339"/>
      <c r="V658" s="339"/>
      <c r="W658" s="339"/>
      <c r="X658" s="339"/>
      <c r="Y658" s="339"/>
      <c r="Z658" s="339"/>
    </row>
    <row r="659" spans="1:26" ht="15.75" customHeight="1">
      <c r="A659" s="339"/>
      <c r="B659" s="339"/>
      <c r="C659" s="339"/>
      <c r="D659" s="339"/>
      <c r="E659" s="339"/>
      <c r="F659" s="339"/>
      <c r="G659" s="339"/>
      <c r="H659" s="339"/>
      <c r="I659" s="341"/>
      <c r="J659" s="339"/>
      <c r="K659" s="339"/>
      <c r="L659" s="339"/>
      <c r="M659" s="339"/>
      <c r="N659" s="339"/>
      <c r="O659" s="341"/>
      <c r="P659" s="340"/>
      <c r="Q659" s="339"/>
      <c r="R659" s="339"/>
      <c r="S659" s="339"/>
      <c r="T659" s="339"/>
      <c r="U659" s="339"/>
      <c r="V659" s="339"/>
      <c r="W659" s="339"/>
      <c r="X659" s="339"/>
      <c r="Y659" s="339"/>
      <c r="Z659" s="339"/>
    </row>
    <row r="660" spans="1:26" ht="15.75" customHeight="1">
      <c r="A660" s="339"/>
      <c r="B660" s="339"/>
      <c r="C660" s="339"/>
      <c r="D660" s="339"/>
      <c r="E660" s="339"/>
      <c r="F660" s="339"/>
      <c r="G660" s="339"/>
      <c r="H660" s="339"/>
      <c r="I660" s="341"/>
      <c r="J660" s="339"/>
      <c r="K660" s="339"/>
      <c r="L660" s="339"/>
      <c r="M660" s="339"/>
      <c r="N660" s="339"/>
      <c r="O660" s="341"/>
      <c r="P660" s="340"/>
      <c r="Q660" s="339"/>
      <c r="R660" s="339"/>
      <c r="S660" s="339"/>
      <c r="T660" s="339"/>
      <c r="U660" s="339"/>
      <c r="V660" s="339"/>
      <c r="W660" s="339"/>
      <c r="X660" s="339"/>
      <c r="Y660" s="339"/>
      <c r="Z660" s="339"/>
    </row>
    <row r="661" spans="1:26" ht="15.75" customHeight="1">
      <c r="A661" s="339"/>
      <c r="B661" s="339"/>
      <c r="C661" s="339"/>
      <c r="D661" s="339"/>
      <c r="E661" s="339"/>
      <c r="F661" s="339"/>
      <c r="G661" s="339"/>
      <c r="H661" s="339"/>
      <c r="I661" s="341"/>
      <c r="J661" s="339"/>
      <c r="K661" s="339"/>
      <c r="L661" s="339"/>
      <c r="M661" s="339"/>
      <c r="N661" s="339"/>
      <c r="O661" s="341"/>
      <c r="P661" s="340"/>
      <c r="Q661" s="339"/>
      <c r="R661" s="339"/>
      <c r="S661" s="339"/>
      <c r="T661" s="339"/>
      <c r="U661" s="339"/>
      <c r="V661" s="339"/>
      <c r="W661" s="339"/>
      <c r="X661" s="339"/>
      <c r="Y661" s="339"/>
      <c r="Z661" s="339"/>
    </row>
    <row r="662" spans="1:26" ht="15.75" customHeight="1">
      <c r="A662" s="339"/>
      <c r="B662" s="339"/>
      <c r="C662" s="339"/>
      <c r="D662" s="339"/>
      <c r="E662" s="339"/>
      <c r="F662" s="339"/>
      <c r="G662" s="339"/>
      <c r="H662" s="339"/>
      <c r="I662" s="341"/>
      <c r="J662" s="339"/>
      <c r="K662" s="339"/>
      <c r="L662" s="339"/>
      <c r="M662" s="339"/>
      <c r="N662" s="339"/>
      <c r="O662" s="341"/>
      <c r="P662" s="340"/>
      <c r="Q662" s="339"/>
      <c r="R662" s="339"/>
      <c r="S662" s="339"/>
      <c r="T662" s="339"/>
      <c r="U662" s="339"/>
      <c r="V662" s="339"/>
      <c r="W662" s="339"/>
      <c r="X662" s="339"/>
      <c r="Y662" s="339"/>
      <c r="Z662" s="339"/>
    </row>
    <row r="663" spans="1:26" ht="15.75" customHeight="1">
      <c r="A663" s="339"/>
      <c r="B663" s="339"/>
      <c r="C663" s="339"/>
      <c r="D663" s="339"/>
      <c r="E663" s="339"/>
      <c r="F663" s="339"/>
      <c r="G663" s="339"/>
      <c r="H663" s="339"/>
      <c r="I663" s="341"/>
      <c r="J663" s="339"/>
      <c r="K663" s="339"/>
      <c r="L663" s="339"/>
      <c r="M663" s="339"/>
      <c r="N663" s="339"/>
      <c r="O663" s="341"/>
      <c r="P663" s="340"/>
      <c r="Q663" s="339"/>
      <c r="R663" s="339"/>
      <c r="S663" s="339"/>
      <c r="T663" s="339"/>
      <c r="U663" s="339"/>
      <c r="V663" s="339"/>
      <c r="W663" s="339"/>
      <c r="X663" s="339"/>
      <c r="Y663" s="339"/>
      <c r="Z663" s="339"/>
    </row>
    <row r="664" spans="1:26" ht="15.75" customHeight="1">
      <c r="A664" s="339"/>
      <c r="B664" s="339"/>
      <c r="C664" s="339"/>
      <c r="D664" s="339"/>
      <c r="E664" s="339"/>
      <c r="F664" s="339"/>
      <c r="G664" s="339"/>
      <c r="H664" s="339"/>
      <c r="I664" s="341"/>
      <c r="J664" s="339"/>
      <c r="K664" s="339"/>
      <c r="L664" s="339"/>
      <c r="M664" s="339"/>
      <c r="N664" s="339"/>
      <c r="O664" s="341"/>
      <c r="P664" s="340"/>
      <c r="Q664" s="339"/>
      <c r="R664" s="339"/>
      <c r="S664" s="339"/>
      <c r="T664" s="339"/>
      <c r="U664" s="339"/>
      <c r="V664" s="339"/>
      <c r="W664" s="339"/>
      <c r="X664" s="339"/>
      <c r="Y664" s="339"/>
      <c r="Z664" s="339"/>
    </row>
    <row r="665" spans="1:26" ht="15.75" customHeight="1">
      <c r="A665" s="339"/>
      <c r="B665" s="339"/>
      <c r="C665" s="339"/>
      <c r="D665" s="339"/>
      <c r="E665" s="339"/>
      <c r="F665" s="339"/>
      <c r="G665" s="339"/>
      <c r="H665" s="339"/>
      <c r="I665" s="341"/>
      <c r="J665" s="339"/>
      <c r="K665" s="339"/>
      <c r="L665" s="339"/>
      <c r="M665" s="339"/>
      <c r="N665" s="339"/>
      <c r="O665" s="341"/>
      <c r="P665" s="340"/>
      <c r="Q665" s="339"/>
      <c r="R665" s="339"/>
      <c r="S665" s="339"/>
      <c r="T665" s="339"/>
      <c r="U665" s="339"/>
      <c r="V665" s="339"/>
      <c r="W665" s="339"/>
      <c r="X665" s="339"/>
      <c r="Y665" s="339"/>
      <c r="Z665" s="339"/>
    </row>
    <row r="666" spans="1:26" ht="15.75" customHeight="1">
      <c r="A666" s="339"/>
      <c r="B666" s="339"/>
      <c r="C666" s="339"/>
      <c r="D666" s="339"/>
      <c r="E666" s="339"/>
      <c r="F666" s="339"/>
      <c r="G666" s="339"/>
      <c r="H666" s="339"/>
      <c r="I666" s="341"/>
      <c r="J666" s="339"/>
      <c r="K666" s="339"/>
      <c r="L666" s="339"/>
      <c r="M666" s="339"/>
      <c r="N666" s="339"/>
      <c r="O666" s="341"/>
      <c r="P666" s="340"/>
      <c r="Q666" s="339"/>
      <c r="R666" s="339"/>
      <c r="S666" s="339"/>
      <c r="T666" s="339"/>
      <c r="U666" s="339"/>
      <c r="V666" s="339"/>
      <c r="W666" s="339"/>
      <c r="X666" s="339"/>
      <c r="Y666" s="339"/>
      <c r="Z666" s="339"/>
    </row>
    <row r="667" spans="1:26" ht="15.75" customHeight="1">
      <c r="A667" s="339"/>
      <c r="B667" s="339"/>
      <c r="C667" s="339"/>
      <c r="D667" s="339"/>
      <c r="E667" s="339"/>
      <c r="F667" s="339"/>
      <c r="G667" s="339"/>
      <c r="H667" s="339"/>
      <c r="I667" s="341"/>
      <c r="J667" s="339"/>
      <c r="K667" s="339"/>
      <c r="L667" s="339"/>
      <c r="M667" s="339"/>
      <c r="N667" s="339"/>
      <c r="O667" s="341"/>
      <c r="P667" s="340"/>
      <c r="Q667" s="339"/>
      <c r="R667" s="339"/>
      <c r="S667" s="339"/>
      <c r="T667" s="339"/>
      <c r="U667" s="339"/>
      <c r="V667" s="339"/>
      <c r="W667" s="339"/>
      <c r="X667" s="339"/>
      <c r="Y667" s="339"/>
      <c r="Z667" s="339"/>
    </row>
    <row r="668" spans="1:26" ht="15.75" customHeight="1">
      <c r="A668" s="339"/>
      <c r="B668" s="339"/>
      <c r="C668" s="339"/>
      <c r="D668" s="339"/>
      <c r="E668" s="339"/>
      <c r="F668" s="339"/>
      <c r="G668" s="339"/>
      <c r="H668" s="339"/>
      <c r="I668" s="341"/>
      <c r="J668" s="339"/>
      <c r="K668" s="339"/>
      <c r="L668" s="339"/>
      <c r="M668" s="339"/>
      <c r="N668" s="339"/>
      <c r="O668" s="341"/>
      <c r="P668" s="340"/>
      <c r="Q668" s="339"/>
      <c r="R668" s="339"/>
      <c r="S668" s="339"/>
      <c r="T668" s="339"/>
      <c r="U668" s="339"/>
      <c r="V668" s="339"/>
      <c r="W668" s="339"/>
      <c r="X668" s="339"/>
      <c r="Y668" s="339"/>
      <c r="Z668" s="339"/>
    </row>
    <row r="669" spans="1:26" ht="15.75" customHeight="1">
      <c r="A669" s="339"/>
      <c r="B669" s="339"/>
      <c r="C669" s="339"/>
      <c r="D669" s="339"/>
      <c r="E669" s="339"/>
      <c r="F669" s="339"/>
      <c r="G669" s="339"/>
      <c r="H669" s="339"/>
      <c r="I669" s="341"/>
      <c r="J669" s="339"/>
      <c r="K669" s="339"/>
      <c r="L669" s="339"/>
      <c r="M669" s="339"/>
      <c r="N669" s="339"/>
      <c r="O669" s="341"/>
      <c r="P669" s="340"/>
      <c r="Q669" s="339"/>
      <c r="R669" s="339"/>
      <c r="S669" s="339"/>
      <c r="T669" s="339"/>
      <c r="U669" s="339"/>
      <c r="V669" s="339"/>
      <c r="W669" s="339"/>
      <c r="X669" s="339"/>
      <c r="Y669" s="339"/>
      <c r="Z669" s="339"/>
    </row>
    <row r="670" spans="1:26" ht="15.75" customHeight="1">
      <c r="A670" s="339"/>
      <c r="B670" s="339"/>
      <c r="C670" s="339"/>
      <c r="D670" s="339"/>
      <c r="E670" s="339"/>
      <c r="F670" s="339"/>
      <c r="G670" s="339"/>
      <c r="H670" s="339"/>
      <c r="I670" s="341"/>
      <c r="J670" s="339"/>
      <c r="K670" s="339"/>
      <c r="L670" s="339"/>
      <c r="M670" s="339"/>
      <c r="N670" s="339"/>
      <c r="O670" s="341"/>
      <c r="P670" s="340"/>
      <c r="Q670" s="339"/>
      <c r="R670" s="339"/>
      <c r="S670" s="339"/>
      <c r="T670" s="339"/>
      <c r="U670" s="339"/>
      <c r="V670" s="339"/>
      <c r="W670" s="339"/>
      <c r="X670" s="339"/>
      <c r="Y670" s="339"/>
      <c r="Z670" s="339"/>
    </row>
    <row r="671" spans="1:26" ht="15.75" customHeight="1">
      <c r="A671" s="339"/>
      <c r="B671" s="339"/>
      <c r="C671" s="339"/>
      <c r="D671" s="339"/>
      <c r="E671" s="339"/>
      <c r="F671" s="339"/>
      <c r="G671" s="339"/>
      <c r="H671" s="339"/>
      <c r="I671" s="341"/>
      <c r="J671" s="339"/>
      <c r="K671" s="339"/>
      <c r="L671" s="339"/>
      <c r="M671" s="339"/>
      <c r="N671" s="339"/>
      <c r="O671" s="341"/>
      <c r="P671" s="340"/>
      <c r="Q671" s="339"/>
      <c r="R671" s="339"/>
      <c r="S671" s="339"/>
      <c r="T671" s="339"/>
      <c r="U671" s="339"/>
      <c r="V671" s="339"/>
      <c r="W671" s="339"/>
      <c r="X671" s="339"/>
      <c r="Y671" s="339"/>
      <c r="Z671" s="339"/>
    </row>
    <row r="672" spans="1:26" ht="15.75" customHeight="1">
      <c r="A672" s="339"/>
      <c r="B672" s="339"/>
      <c r="C672" s="339"/>
      <c r="D672" s="339"/>
      <c r="E672" s="339"/>
      <c r="F672" s="339"/>
      <c r="G672" s="339"/>
      <c r="H672" s="339"/>
      <c r="I672" s="341"/>
      <c r="J672" s="339"/>
      <c r="K672" s="339"/>
      <c r="L672" s="339"/>
      <c r="M672" s="339"/>
      <c r="N672" s="339"/>
      <c r="O672" s="341"/>
      <c r="P672" s="340"/>
      <c r="Q672" s="339"/>
      <c r="R672" s="339"/>
      <c r="S672" s="339"/>
      <c r="T672" s="339"/>
      <c r="U672" s="339"/>
      <c r="V672" s="339"/>
      <c r="W672" s="339"/>
      <c r="X672" s="339"/>
      <c r="Y672" s="339"/>
      <c r="Z672" s="339"/>
    </row>
    <row r="673" spans="1:26" ht="15.75" customHeight="1">
      <c r="A673" s="339"/>
      <c r="B673" s="339"/>
      <c r="C673" s="339"/>
      <c r="D673" s="339"/>
      <c r="E673" s="339"/>
      <c r="F673" s="339"/>
      <c r="G673" s="339"/>
      <c r="H673" s="339"/>
      <c r="I673" s="341"/>
      <c r="J673" s="339"/>
      <c r="K673" s="339"/>
      <c r="L673" s="339"/>
      <c r="M673" s="339"/>
      <c r="N673" s="339"/>
      <c r="O673" s="341"/>
      <c r="P673" s="340"/>
      <c r="Q673" s="339"/>
      <c r="R673" s="339"/>
      <c r="S673" s="339"/>
      <c r="T673" s="339"/>
      <c r="U673" s="339"/>
      <c r="V673" s="339"/>
      <c r="W673" s="339"/>
      <c r="X673" s="339"/>
      <c r="Y673" s="339"/>
      <c r="Z673" s="339"/>
    </row>
    <row r="674" spans="1:26" ht="15.75" customHeight="1">
      <c r="A674" s="339"/>
      <c r="B674" s="339"/>
      <c r="C674" s="339"/>
      <c r="D674" s="339"/>
      <c r="E674" s="339"/>
      <c r="F674" s="339"/>
      <c r="G674" s="339"/>
      <c r="H674" s="339"/>
      <c r="I674" s="341"/>
      <c r="J674" s="339"/>
      <c r="K674" s="339"/>
      <c r="L674" s="339"/>
      <c r="M674" s="339"/>
      <c r="N674" s="339"/>
      <c r="O674" s="341"/>
      <c r="P674" s="340"/>
      <c r="Q674" s="339"/>
      <c r="R674" s="339"/>
      <c r="S674" s="339"/>
      <c r="T674" s="339"/>
      <c r="U674" s="339"/>
      <c r="V674" s="339"/>
      <c r="W674" s="339"/>
      <c r="X674" s="339"/>
      <c r="Y674" s="339"/>
      <c r="Z674" s="339"/>
    </row>
    <row r="675" spans="1:26" ht="15.75" customHeight="1">
      <c r="A675" s="339"/>
      <c r="B675" s="339"/>
      <c r="C675" s="339"/>
      <c r="D675" s="339"/>
      <c r="E675" s="339"/>
      <c r="F675" s="339"/>
      <c r="G675" s="339"/>
      <c r="H675" s="339"/>
      <c r="I675" s="341"/>
      <c r="J675" s="339"/>
      <c r="K675" s="339"/>
      <c r="L675" s="339"/>
      <c r="M675" s="339"/>
      <c r="N675" s="339"/>
      <c r="O675" s="341"/>
      <c r="P675" s="340"/>
      <c r="Q675" s="339"/>
      <c r="R675" s="339"/>
      <c r="S675" s="339"/>
      <c r="T675" s="339"/>
      <c r="U675" s="339"/>
      <c r="V675" s="339"/>
      <c r="W675" s="339"/>
      <c r="X675" s="339"/>
      <c r="Y675" s="339"/>
      <c r="Z675" s="339"/>
    </row>
    <row r="676" spans="1:26" ht="15.75" customHeight="1">
      <c r="A676" s="339"/>
      <c r="B676" s="339"/>
      <c r="C676" s="339"/>
      <c r="D676" s="339"/>
      <c r="E676" s="339"/>
      <c r="F676" s="339"/>
      <c r="G676" s="339"/>
      <c r="H676" s="339"/>
      <c r="I676" s="341"/>
      <c r="J676" s="339"/>
      <c r="K676" s="339"/>
      <c r="L676" s="339"/>
      <c r="M676" s="339"/>
      <c r="N676" s="339"/>
      <c r="O676" s="341"/>
      <c r="P676" s="340"/>
      <c r="Q676" s="339"/>
      <c r="R676" s="339"/>
      <c r="S676" s="339"/>
      <c r="T676" s="339"/>
      <c r="U676" s="339"/>
      <c r="V676" s="339"/>
      <c r="W676" s="339"/>
      <c r="X676" s="339"/>
      <c r="Y676" s="339"/>
      <c r="Z676" s="339"/>
    </row>
    <row r="677" spans="1:26" ht="15.75" customHeight="1">
      <c r="A677" s="339"/>
      <c r="B677" s="339"/>
      <c r="C677" s="339"/>
      <c r="D677" s="339"/>
      <c r="E677" s="339"/>
      <c r="F677" s="339"/>
      <c r="G677" s="339"/>
      <c r="H677" s="339"/>
      <c r="I677" s="341"/>
      <c r="J677" s="339"/>
      <c r="K677" s="339"/>
      <c r="L677" s="339"/>
      <c r="M677" s="339"/>
      <c r="N677" s="339"/>
      <c r="O677" s="341"/>
      <c r="P677" s="340"/>
      <c r="Q677" s="339"/>
      <c r="R677" s="339"/>
      <c r="S677" s="339"/>
      <c r="T677" s="339"/>
      <c r="U677" s="339"/>
      <c r="V677" s="339"/>
      <c r="W677" s="339"/>
      <c r="X677" s="339"/>
      <c r="Y677" s="339"/>
      <c r="Z677" s="339"/>
    </row>
    <row r="678" spans="1:26" ht="15.75" customHeight="1">
      <c r="A678" s="339"/>
      <c r="B678" s="339"/>
      <c r="C678" s="339"/>
      <c r="D678" s="339"/>
      <c r="E678" s="339"/>
      <c r="F678" s="339"/>
      <c r="G678" s="339"/>
      <c r="H678" s="339"/>
      <c r="I678" s="341"/>
      <c r="J678" s="339"/>
      <c r="K678" s="339"/>
      <c r="L678" s="339"/>
      <c r="M678" s="339"/>
      <c r="N678" s="339"/>
      <c r="O678" s="341"/>
      <c r="P678" s="340"/>
      <c r="Q678" s="339"/>
      <c r="R678" s="339"/>
      <c r="S678" s="339"/>
      <c r="T678" s="339"/>
      <c r="U678" s="339"/>
      <c r="V678" s="339"/>
      <c r="W678" s="339"/>
      <c r="X678" s="339"/>
      <c r="Y678" s="339"/>
      <c r="Z678" s="339"/>
    </row>
    <row r="679" spans="1:26" ht="15.75" customHeight="1">
      <c r="A679" s="339"/>
      <c r="B679" s="339"/>
      <c r="C679" s="339"/>
      <c r="D679" s="339"/>
      <c r="E679" s="339"/>
      <c r="F679" s="339"/>
      <c r="G679" s="339"/>
      <c r="H679" s="339"/>
      <c r="I679" s="341"/>
      <c r="J679" s="339"/>
      <c r="K679" s="339"/>
      <c r="L679" s="339"/>
      <c r="M679" s="339"/>
      <c r="N679" s="339"/>
      <c r="O679" s="341"/>
      <c r="P679" s="340"/>
      <c r="Q679" s="339"/>
      <c r="R679" s="339"/>
      <c r="S679" s="339"/>
      <c r="T679" s="339"/>
      <c r="U679" s="339"/>
      <c r="V679" s="339"/>
      <c r="W679" s="339"/>
      <c r="X679" s="339"/>
      <c r="Y679" s="339"/>
      <c r="Z679" s="339"/>
    </row>
    <row r="680" spans="1:26" ht="15.75" customHeight="1">
      <c r="A680" s="339"/>
      <c r="B680" s="339"/>
      <c r="C680" s="339"/>
      <c r="D680" s="339"/>
      <c r="E680" s="339"/>
      <c r="F680" s="339"/>
      <c r="G680" s="339"/>
      <c r="H680" s="339"/>
      <c r="I680" s="341"/>
      <c r="J680" s="339"/>
      <c r="K680" s="339"/>
      <c r="L680" s="339"/>
      <c r="M680" s="339"/>
      <c r="N680" s="339"/>
      <c r="O680" s="341"/>
      <c r="P680" s="340"/>
      <c r="Q680" s="339"/>
      <c r="R680" s="339"/>
      <c r="S680" s="339"/>
      <c r="T680" s="339"/>
      <c r="U680" s="339"/>
      <c r="V680" s="339"/>
      <c r="W680" s="339"/>
      <c r="X680" s="339"/>
      <c r="Y680" s="339"/>
      <c r="Z680" s="339"/>
    </row>
    <row r="681" spans="1:26" ht="15.75" customHeight="1">
      <c r="A681" s="339"/>
      <c r="B681" s="339"/>
      <c r="C681" s="339"/>
      <c r="D681" s="339"/>
      <c r="E681" s="339"/>
      <c r="F681" s="339"/>
      <c r="G681" s="339"/>
      <c r="H681" s="339"/>
      <c r="I681" s="341"/>
      <c r="J681" s="339"/>
      <c r="K681" s="339"/>
      <c r="L681" s="339"/>
      <c r="M681" s="339"/>
      <c r="N681" s="339"/>
      <c r="O681" s="341"/>
      <c r="P681" s="340"/>
      <c r="Q681" s="339"/>
      <c r="R681" s="339"/>
      <c r="S681" s="339"/>
      <c r="T681" s="339"/>
      <c r="U681" s="339"/>
      <c r="V681" s="339"/>
      <c r="W681" s="339"/>
      <c r="X681" s="339"/>
      <c r="Y681" s="339"/>
      <c r="Z681" s="339"/>
    </row>
    <row r="682" spans="1:26" ht="15.75" customHeight="1">
      <c r="A682" s="339"/>
      <c r="B682" s="339"/>
      <c r="C682" s="339"/>
      <c r="D682" s="339"/>
      <c r="E682" s="339"/>
      <c r="F682" s="339"/>
      <c r="G682" s="339"/>
      <c r="H682" s="339"/>
      <c r="I682" s="341"/>
      <c r="J682" s="339"/>
      <c r="K682" s="339"/>
      <c r="L682" s="339"/>
      <c r="M682" s="339"/>
      <c r="N682" s="339"/>
      <c r="O682" s="341"/>
      <c r="P682" s="340"/>
      <c r="Q682" s="339"/>
      <c r="R682" s="339"/>
      <c r="S682" s="339"/>
      <c r="T682" s="339"/>
      <c r="U682" s="339"/>
      <c r="V682" s="339"/>
      <c r="W682" s="339"/>
      <c r="X682" s="339"/>
      <c r="Y682" s="339"/>
      <c r="Z682" s="339"/>
    </row>
    <row r="683" spans="1:26" ht="15.75" customHeight="1">
      <c r="A683" s="339"/>
      <c r="B683" s="339"/>
      <c r="C683" s="339"/>
      <c r="D683" s="339"/>
      <c r="E683" s="339"/>
      <c r="F683" s="339"/>
      <c r="G683" s="339"/>
      <c r="H683" s="339"/>
      <c r="I683" s="341"/>
      <c r="J683" s="339"/>
      <c r="K683" s="339"/>
      <c r="L683" s="339"/>
      <c r="M683" s="339"/>
      <c r="N683" s="339"/>
      <c r="O683" s="341"/>
      <c r="P683" s="340"/>
      <c r="Q683" s="339"/>
      <c r="R683" s="339"/>
      <c r="S683" s="339"/>
      <c r="T683" s="339"/>
      <c r="U683" s="339"/>
      <c r="V683" s="339"/>
      <c r="W683" s="339"/>
      <c r="X683" s="339"/>
      <c r="Y683" s="339"/>
      <c r="Z683" s="339"/>
    </row>
    <row r="684" spans="1:26" ht="15.75" customHeight="1">
      <c r="A684" s="339"/>
      <c r="B684" s="339"/>
      <c r="C684" s="339"/>
      <c r="D684" s="339"/>
      <c r="E684" s="339"/>
      <c r="F684" s="339"/>
      <c r="G684" s="339"/>
      <c r="H684" s="339"/>
      <c r="I684" s="341"/>
      <c r="J684" s="339"/>
      <c r="K684" s="339"/>
      <c r="L684" s="339"/>
      <c r="M684" s="339"/>
      <c r="N684" s="339"/>
      <c r="O684" s="341"/>
      <c r="P684" s="340"/>
      <c r="Q684" s="339"/>
      <c r="R684" s="339"/>
      <c r="S684" s="339"/>
      <c r="T684" s="339"/>
      <c r="U684" s="339"/>
      <c r="V684" s="339"/>
      <c r="W684" s="339"/>
      <c r="X684" s="339"/>
      <c r="Y684" s="339"/>
      <c r="Z684" s="339"/>
    </row>
    <row r="685" spans="1:26" ht="15.75" customHeight="1">
      <c r="A685" s="339"/>
      <c r="B685" s="339"/>
      <c r="C685" s="339"/>
      <c r="D685" s="339"/>
      <c r="E685" s="339"/>
      <c r="F685" s="339"/>
      <c r="G685" s="339"/>
      <c r="H685" s="339"/>
      <c r="I685" s="341"/>
      <c r="J685" s="339"/>
      <c r="K685" s="339"/>
      <c r="L685" s="339"/>
      <c r="M685" s="339"/>
      <c r="N685" s="339"/>
      <c r="O685" s="341"/>
      <c r="P685" s="340"/>
      <c r="Q685" s="339"/>
      <c r="R685" s="339"/>
      <c r="S685" s="339"/>
      <c r="T685" s="339"/>
      <c r="U685" s="339"/>
      <c r="V685" s="339"/>
      <c r="W685" s="339"/>
      <c r="X685" s="339"/>
      <c r="Y685" s="339"/>
      <c r="Z685" s="339"/>
    </row>
    <row r="686" spans="1:26" ht="15.75" customHeight="1">
      <c r="A686" s="339"/>
      <c r="B686" s="339"/>
      <c r="C686" s="339"/>
      <c r="D686" s="339"/>
      <c r="E686" s="339"/>
      <c r="F686" s="339"/>
      <c r="G686" s="339"/>
      <c r="H686" s="339"/>
      <c r="I686" s="341"/>
      <c r="J686" s="339"/>
      <c r="K686" s="339"/>
      <c r="L686" s="339"/>
      <c r="M686" s="339"/>
      <c r="N686" s="339"/>
      <c r="O686" s="341"/>
      <c r="P686" s="340"/>
      <c r="Q686" s="339"/>
      <c r="R686" s="339"/>
      <c r="S686" s="339"/>
      <c r="T686" s="339"/>
      <c r="U686" s="339"/>
      <c r="V686" s="339"/>
      <c r="W686" s="339"/>
      <c r="X686" s="339"/>
      <c r="Y686" s="339"/>
      <c r="Z686" s="339"/>
    </row>
    <row r="687" spans="1:26" ht="15.75" customHeight="1">
      <c r="A687" s="339"/>
      <c r="B687" s="339"/>
      <c r="C687" s="339"/>
      <c r="D687" s="339"/>
      <c r="E687" s="339"/>
      <c r="F687" s="339"/>
      <c r="G687" s="339"/>
      <c r="H687" s="339"/>
      <c r="I687" s="341"/>
      <c r="J687" s="339"/>
      <c r="K687" s="339"/>
      <c r="L687" s="339"/>
      <c r="M687" s="339"/>
      <c r="N687" s="339"/>
      <c r="O687" s="341"/>
      <c r="P687" s="340"/>
      <c r="Q687" s="339"/>
      <c r="R687" s="339"/>
      <c r="S687" s="339"/>
      <c r="T687" s="339"/>
      <c r="U687" s="339"/>
      <c r="V687" s="339"/>
      <c r="W687" s="339"/>
      <c r="X687" s="339"/>
      <c r="Y687" s="339"/>
      <c r="Z687" s="339"/>
    </row>
    <row r="688" spans="1:26" ht="15.75" customHeight="1">
      <c r="A688" s="339"/>
      <c r="B688" s="339"/>
      <c r="C688" s="339"/>
      <c r="D688" s="339"/>
      <c r="E688" s="339"/>
      <c r="F688" s="339"/>
      <c r="G688" s="339"/>
      <c r="H688" s="339"/>
      <c r="I688" s="341"/>
      <c r="J688" s="339"/>
      <c r="K688" s="339"/>
      <c r="L688" s="339"/>
      <c r="M688" s="339"/>
      <c r="N688" s="339"/>
      <c r="O688" s="341"/>
      <c r="P688" s="340"/>
      <c r="Q688" s="339"/>
      <c r="R688" s="339"/>
      <c r="S688" s="339"/>
      <c r="T688" s="339"/>
      <c r="U688" s="339"/>
      <c r="V688" s="339"/>
      <c r="W688" s="339"/>
      <c r="X688" s="339"/>
      <c r="Y688" s="339"/>
      <c r="Z688" s="339"/>
    </row>
    <row r="689" spans="1:26" ht="15.75" customHeight="1">
      <c r="A689" s="339"/>
      <c r="B689" s="339"/>
      <c r="C689" s="339"/>
      <c r="D689" s="339"/>
      <c r="E689" s="339"/>
      <c r="F689" s="339"/>
      <c r="G689" s="339"/>
      <c r="H689" s="339"/>
      <c r="I689" s="341"/>
      <c r="J689" s="339"/>
      <c r="K689" s="339"/>
      <c r="L689" s="339"/>
      <c r="M689" s="339"/>
      <c r="N689" s="339"/>
      <c r="O689" s="341"/>
      <c r="P689" s="340"/>
      <c r="Q689" s="339"/>
      <c r="R689" s="339"/>
      <c r="S689" s="339"/>
      <c r="T689" s="339"/>
      <c r="U689" s="339"/>
      <c r="V689" s="339"/>
      <c r="W689" s="339"/>
      <c r="X689" s="339"/>
      <c r="Y689" s="339"/>
      <c r="Z689" s="339"/>
    </row>
    <row r="690" spans="1:26" ht="15.75" customHeight="1">
      <c r="A690" s="339"/>
      <c r="B690" s="339"/>
      <c r="C690" s="339"/>
      <c r="D690" s="339"/>
      <c r="E690" s="339"/>
      <c r="F690" s="339"/>
      <c r="G690" s="339"/>
      <c r="H690" s="339"/>
      <c r="I690" s="341"/>
      <c r="J690" s="339"/>
      <c r="K690" s="339"/>
      <c r="L690" s="339"/>
      <c r="M690" s="339"/>
      <c r="N690" s="339"/>
      <c r="O690" s="341"/>
      <c r="P690" s="340"/>
      <c r="Q690" s="339"/>
      <c r="R690" s="339"/>
      <c r="S690" s="339"/>
      <c r="T690" s="339"/>
      <c r="U690" s="339"/>
      <c r="V690" s="339"/>
      <c r="W690" s="339"/>
      <c r="X690" s="339"/>
      <c r="Y690" s="339"/>
      <c r="Z690" s="339"/>
    </row>
    <row r="691" spans="1:26" ht="15.75" customHeight="1">
      <c r="A691" s="339"/>
      <c r="B691" s="339"/>
      <c r="C691" s="339"/>
      <c r="D691" s="339"/>
      <c r="E691" s="339"/>
      <c r="F691" s="339"/>
      <c r="G691" s="339"/>
      <c r="H691" s="339"/>
      <c r="I691" s="341"/>
      <c r="J691" s="339"/>
      <c r="K691" s="339"/>
      <c r="L691" s="339"/>
      <c r="M691" s="339"/>
      <c r="N691" s="339"/>
      <c r="O691" s="341"/>
      <c r="P691" s="340"/>
      <c r="Q691" s="339"/>
      <c r="R691" s="339"/>
      <c r="S691" s="339"/>
      <c r="T691" s="339"/>
      <c r="U691" s="339"/>
      <c r="V691" s="339"/>
      <c r="W691" s="339"/>
      <c r="X691" s="339"/>
      <c r="Y691" s="339"/>
      <c r="Z691" s="339"/>
    </row>
    <row r="692" spans="1:26" ht="15.75" customHeight="1">
      <c r="A692" s="339"/>
      <c r="B692" s="339"/>
      <c r="C692" s="339"/>
      <c r="D692" s="339"/>
      <c r="E692" s="339"/>
      <c r="F692" s="339"/>
      <c r="G692" s="339"/>
      <c r="H692" s="339"/>
      <c r="I692" s="341"/>
      <c r="J692" s="339"/>
      <c r="K692" s="339"/>
      <c r="L692" s="339"/>
      <c r="M692" s="339"/>
      <c r="N692" s="339"/>
      <c r="O692" s="341"/>
      <c r="P692" s="340"/>
      <c r="Q692" s="339"/>
      <c r="R692" s="339"/>
      <c r="S692" s="339"/>
      <c r="T692" s="339"/>
      <c r="U692" s="339"/>
      <c r="V692" s="339"/>
      <c r="W692" s="339"/>
      <c r="X692" s="339"/>
      <c r="Y692" s="339"/>
      <c r="Z692" s="339"/>
    </row>
    <row r="693" spans="1:26" ht="15.75" customHeight="1">
      <c r="A693" s="339"/>
      <c r="B693" s="339"/>
      <c r="C693" s="339"/>
      <c r="D693" s="339"/>
      <c r="E693" s="339"/>
      <c r="F693" s="339"/>
      <c r="G693" s="339"/>
      <c r="H693" s="339"/>
      <c r="I693" s="341"/>
      <c r="J693" s="339"/>
      <c r="K693" s="339"/>
      <c r="L693" s="339"/>
      <c r="M693" s="339"/>
      <c r="N693" s="339"/>
      <c r="O693" s="341"/>
      <c r="P693" s="340"/>
      <c r="Q693" s="339"/>
      <c r="R693" s="339"/>
      <c r="S693" s="339"/>
      <c r="T693" s="339"/>
      <c r="U693" s="339"/>
      <c r="V693" s="339"/>
      <c r="W693" s="339"/>
      <c r="X693" s="339"/>
      <c r="Y693" s="339"/>
      <c r="Z693" s="339"/>
    </row>
    <row r="694" spans="1:26" ht="15.75" customHeight="1">
      <c r="A694" s="339"/>
      <c r="B694" s="339"/>
      <c r="C694" s="339"/>
      <c r="D694" s="339"/>
      <c r="E694" s="339"/>
      <c r="F694" s="339"/>
      <c r="G694" s="339"/>
      <c r="H694" s="339"/>
      <c r="I694" s="341"/>
      <c r="J694" s="339"/>
      <c r="K694" s="339"/>
      <c r="L694" s="339"/>
      <c r="M694" s="339"/>
      <c r="N694" s="339"/>
      <c r="O694" s="341"/>
      <c r="P694" s="340"/>
      <c r="Q694" s="339"/>
      <c r="R694" s="339"/>
      <c r="S694" s="339"/>
      <c r="T694" s="339"/>
      <c r="U694" s="339"/>
      <c r="V694" s="339"/>
      <c r="W694" s="339"/>
      <c r="X694" s="339"/>
      <c r="Y694" s="339"/>
      <c r="Z694" s="339"/>
    </row>
    <row r="695" spans="1:26" ht="15.75" customHeight="1">
      <c r="A695" s="339"/>
      <c r="B695" s="339"/>
      <c r="C695" s="339"/>
      <c r="D695" s="339"/>
      <c r="E695" s="339"/>
      <c r="F695" s="339"/>
      <c r="G695" s="339"/>
      <c r="H695" s="339"/>
      <c r="I695" s="341"/>
      <c r="J695" s="339"/>
      <c r="K695" s="339"/>
      <c r="L695" s="339"/>
      <c r="M695" s="339"/>
      <c r="N695" s="339"/>
      <c r="O695" s="341"/>
      <c r="P695" s="340"/>
      <c r="Q695" s="339"/>
      <c r="R695" s="339"/>
      <c r="S695" s="339"/>
      <c r="T695" s="339"/>
      <c r="U695" s="339"/>
      <c r="V695" s="339"/>
      <c r="W695" s="339"/>
      <c r="X695" s="339"/>
      <c r="Y695" s="339"/>
      <c r="Z695" s="339"/>
    </row>
    <row r="696" spans="1:26" ht="15.75" customHeight="1">
      <c r="A696" s="339"/>
      <c r="B696" s="339"/>
      <c r="C696" s="339"/>
      <c r="D696" s="339"/>
      <c r="E696" s="339"/>
      <c r="F696" s="339"/>
      <c r="G696" s="339"/>
      <c r="H696" s="339"/>
      <c r="I696" s="341"/>
      <c r="J696" s="339"/>
      <c r="K696" s="339"/>
      <c r="L696" s="339"/>
      <c r="M696" s="339"/>
      <c r="N696" s="339"/>
      <c r="O696" s="341"/>
      <c r="P696" s="340"/>
      <c r="Q696" s="339"/>
      <c r="R696" s="339"/>
      <c r="S696" s="339"/>
      <c r="T696" s="339"/>
      <c r="U696" s="339"/>
      <c r="V696" s="339"/>
      <c r="W696" s="339"/>
      <c r="X696" s="339"/>
      <c r="Y696" s="339"/>
      <c r="Z696" s="339"/>
    </row>
    <row r="697" spans="1:26" ht="15.75" customHeight="1">
      <c r="A697" s="339"/>
      <c r="B697" s="339"/>
      <c r="C697" s="339"/>
      <c r="D697" s="339"/>
      <c r="E697" s="339"/>
      <c r="F697" s="339"/>
      <c r="G697" s="339"/>
      <c r="H697" s="339"/>
      <c r="I697" s="341"/>
      <c r="J697" s="339"/>
      <c r="K697" s="339"/>
      <c r="L697" s="339"/>
      <c r="M697" s="339"/>
      <c r="N697" s="339"/>
      <c r="O697" s="341"/>
      <c r="P697" s="340"/>
      <c r="Q697" s="339"/>
      <c r="R697" s="339"/>
      <c r="S697" s="339"/>
      <c r="T697" s="339"/>
      <c r="U697" s="339"/>
      <c r="V697" s="339"/>
      <c r="W697" s="339"/>
      <c r="X697" s="339"/>
      <c r="Y697" s="339"/>
      <c r="Z697" s="339"/>
    </row>
    <row r="698" spans="1:26" ht="15.75" customHeight="1">
      <c r="A698" s="339"/>
      <c r="B698" s="339"/>
      <c r="C698" s="339"/>
      <c r="D698" s="339"/>
      <c r="E698" s="339"/>
      <c r="F698" s="339"/>
      <c r="G698" s="339"/>
      <c r="H698" s="339"/>
      <c r="I698" s="341"/>
      <c r="J698" s="339"/>
      <c r="K698" s="339"/>
      <c r="L698" s="339"/>
      <c r="M698" s="339"/>
      <c r="N698" s="339"/>
      <c r="O698" s="341"/>
      <c r="P698" s="340"/>
      <c r="Q698" s="339"/>
      <c r="R698" s="339"/>
      <c r="S698" s="339"/>
      <c r="T698" s="339"/>
      <c r="U698" s="339"/>
      <c r="V698" s="339"/>
      <c r="W698" s="339"/>
      <c r="X698" s="339"/>
      <c r="Y698" s="339"/>
      <c r="Z698" s="339"/>
    </row>
    <row r="699" spans="1:26" ht="15.75" customHeight="1">
      <c r="A699" s="339"/>
      <c r="B699" s="339"/>
      <c r="C699" s="339"/>
      <c r="D699" s="339"/>
      <c r="E699" s="339"/>
      <c r="F699" s="339"/>
      <c r="G699" s="339"/>
      <c r="H699" s="339"/>
      <c r="I699" s="341"/>
      <c r="J699" s="339"/>
      <c r="K699" s="339"/>
      <c r="L699" s="339"/>
      <c r="M699" s="339"/>
      <c r="N699" s="339"/>
      <c r="O699" s="341"/>
      <c r="P699" s="340"/>
      <c r="Q699" s="339"/>
      <c r="R699" s="339"/>
      <c r="S699" s="339"/>
      <c r="T699" s="339"/>
      <c r="U699" s="339"/>
      <c r="V699" s="339"/>
      <c r="W699" s="339"/>
      <c r="X699" s="339"/>
      <c r="Y699" s="339"/>
      <c r="Z699" s="339"/>
    </row>
    <row r="700" spans="1:26" ht="15.75" customHeight="1">
      <c r="A700" s="339"/>
      <c r="B700" s="339"/>
      <c r="C700" s="339"/>
      <c r="D700" s="339"/>
      <c r="E700" s="339"/>
      <c r="F700" s="339"/>
      <c r="G700" s="339"/>
      <c r="H700" s="339"/>
      <c r="I700" s="341"/>
      <c r="J700" s="339"/>
      <c r="K700" s="339"/>
      <c r="L700" s="339"/>
      <c r="M700" s="339"/>
      <c r="N700" s="339"/>
      <c r="O700" s="341"/>
      <c r="P700" s="340"/>
      <c r="Q700" s="339"/>
      <c r="R700" s="339"/>
      <c r="S700" s="339"/>
      <c r="T700" s="339"/>
      <c r="U700" s="339"/>
      <c r="V700" s="339"/>
      <c r="W700" s="339"/>
      <c r="X700" s="339"/>
      <c r="Y700" s="339"/>
      <c r="Z700" s="339"/>
    </row>
    <row r="701" spans="1:26" ht="15.75" customHeight="1">
      <c r="A701" s="339"/>
      <c r="B701" s="339"/>
      <c r="C701" s="339"/>
      <c r="D701" s="339"/>
      <c r="E701" s="339"/>
      <c r="F701" s="339"/>
      <c r="G701" s="339"/>
      <c r="H701" s="339"/>
      <c r="I701" s="341"/>
      <c r="J701" s="339"/>
      <c r="K701" s="339"/>
      <c r="L701" s="339"/>
      <c r="M701" s="339"/>
      <c r="N701" s="339"/>
      <c r="O701" s="341"/>
      <c r="P701" s="340"/>
      <c r="Q701" s="339"/>
      <c r="R701" s="339"/>
      <c r="S701" s="339"/>
      <c r="T701" s="339"/>
      <c r="U701" s="339"/>
      <c r="V701" s="339"/>
      <c r="W701" s="339"/>
      <c r="X701" s="339"/>
      <c r="Y701" s="339"/>
      <c r="Z701" s="339"/>
    </row>
    <row r="702" spans="1:26" ht="15.75" customHeight="1">
      <c r="A702" s="339"/>
      <c r="B702" s="339"/>
      <c r="C702" s="339"/>
      <c r="D702" s="339"/>
      <c r="E702" s="339"/>
      <c r="F702" s="339"/>
      <c r="G702" s="339"/>
      <c r="H702" s="339"/>
      <c r="I702" s="341"/>
      <c r="J702" s="339"/>
      <c r="K702" s="339"/>
      <c r="L702" s="339"/>
      <c r="M702" s="339"/>
      <c r="N702" s="339"/>
      <c r="O702" s="341"/>
      <c r="P702" s="340"/>
      <c r="Q702" s="339"/>
      <c r="R702" s="339"/>
      <c r="S702" s="339"/>
      <c r="T702" s="339"/>
      <c r="U702" s="339"/>
      <c r="V702" s="339"/>
      <c r="W702" s="339"/>
      <c r="X702" s="339"/>
      <c r="Y702" s="339"/>
      <c r="Z702" s="339"/>
    </row>
    <row r="703" spans="1:26" ht="15.75" customHeight="1">
      <c r="A703" s="339"/>
      <c r="B703" s="339"/>
      <c r="C703" s="339"/>
      <c r="D703" s="339"/>
      <c r="E703" s="339"/>
      <c r="F703" s="339"/>
      <c r="G703" s="339"/>
      <c r="H703" s="339"/>
      <c r="I703" s="341"/>
      <c r="J703" s="339"/>
      <c r="K703" s="339"/>
      <c r="L703" s="339"/>
      <c r="M703" s="339"/>
      <c r="N703" s="339"/>
      <c r="O703" s="341"/>
      <c r="P703" s="340"/>
      <c r="Q703" s="339"/>
      <c r="R703" s="339"/>
      <c r="S703" s="339"/>
      <c r="T703" s="339"/>
      <c r="U703" s="339"/>
      <c r="V703" s="339"/>
      <c r="W703" s="339"/>
      <c r="X703" s="339"/>
      <c r="Y703" s="339"/>
      <c r="Z703" s="339"/>
    </row>
    <row r="704" spans="1:26" ht="15.75" customHeight="1">
      <c r="A704" s="339"/>
      <c r="B704" s="339"/>
      <c r="C704" s="339"/>
      <c r="D704" s="339"/>
      <c r="E704" s="339"/>
      <c r="F704" s="339"/>
      <c r="G704" s="339"/>
      <c r="H704" s="339"/>
      <c r="I704" s="341"/>
      <c r="J704" s="339"/>
      <c r="K704" s="339"/>
      <c r="L704" s="339"/>
      <c r="M704" s="339"/>
      <c r="N704" s="339"/>
      <c r="O704" s="341"/>
      <c r="P704" s="340"/>
      <c r="Q704" s="339"/>
      <c r="R704" s="339"/>
      <c r="S704" s="339"/>
      <c r="T704" s="339"/>
      <c r="U704" s="339"/>
      <c r="V704" s="339"/>
      <c r="W704" s="339"/>
      <c r="X704" s="339"/>
      <c r="Y704" s="339"/>
      <c r="Z704" s="339"/>
    </row>
    <row r="705" spans="1:26" ht="15.75" customHeight="1">
      <c r="A705" s="339"/>
      <c r="B705" s="339"/>
      <c r="C705" s="339"/>
      <c r="D705" s="339"/>
      <c r="E705" s="339"/>
      <c r="F705" s="339"/>
      <c r="G705" s="339"/>
      <c r="H705" s="339"/>
      <c r="I705" s="341"/>
      <c r="J705" s="339"/>
      <c r="K705" s="339"/>
      <c r="L705" s="339"/>
      <c r="M705" s="339"/>
      <c r="N705" s="339"/>
      <c r="O705" s="341"/>
      <c r="P705" s="340"/>
      <c r="Q705" s="339"/>
      <c r="R705" s="339"/>
      <c r="S705" s="339"/>
      <c r="T705" s="339"/>
      <c r="U705" s="339"/>
      <c r="V705" s="339"/>
      <c r="W705" s="339"/>
      <c r="X705" s="339"/>
      <c r="Y705" s="339"/>
      <c r="Z705" s="339"/>
    </row>
    <row r="706" spans="1:26" ht="15.75" customHeight="1">
      <c r="A706" s="339"/>
      <c r="B706" s="339"/>
      <c r="C706" s="339"/>
      <c r="D706" s="339"/>
      <c r="E706" s="339"/>
      <c r="F706" s="339"/>
      <c r="G706" s="339"/>
      <c r="H706" s="339"/>
      <c r="I706" s="341"/>
      <c r="J706" s="339"/>
      <c r="K706" s="339"/>
      <c r="L706" s="339"/>
      <c r="M706" s="339"/>
      <c r="N706" s="339"/>
      <c r="O706" s="341"/>
      <c r="P706" s="340"/>
      <c r="Q706" s="339"/>
      <c r="R706" s="339"/>
      <c r="S706" s="339"/>
      <c r="T706" s="339"/>
      <c r="U706" s="339"/>
      <c r="V706" s="339"/>
      <c r="W706" s="339"/>
      <c r="X706" s="339"/>
      <c r="Y706" s="339"/>
      <c r="Z706" s="339"/>
    </row>
    <row r="707" spans="1:26" ht="15.75" customHeight="1">
      <c r="A707" s="339"/>
      <c r="B707" s="339"/>
      <c r="C707" s="339"/>
      <c r="D707" s="339"/>
      <c r="E707" s="339"/>
      <c r="F707" s="339"/>
      <c r="G707" s="339"/>
      <c r="H707" s="339"/>
      <c r="I707" s="341"/>
      <c r="J707" s="339"/>
      <c r="K707" s="339"/>
      <c r="L707" s="339"/>
      <c r="M707" s="339"/>
      <c r="N707" s="339"/>
      <c r="O707" s="341"/>
      <c r="P707" s="340"/>
      <c r="Q707" s="339"/>
      <c r="R707" s="339"/>
      <c r="S707" s="339"/>
      <c r="T707" s="339"/>
      <c r="U707" s="339"/>
      <c r="V707" s="339"/>
      <c r="W707" s="339"/>
      <c r="X707" s="339"/>
      <c r="Y707" s="339"/>
      <c r="Z707" s="339"/>
    </row>
    <row r="708" spans="1:26" ht="15.75" customHeight="1">
      <c r="A708" s="339"/>
      <c r="B708" s="339"/>
      <c r="C708" s="339"/>
      <c r="D708" s="339"/>
      <c r="E708" s="339"/>
      <c r="F708" s="339"/>
      <c r="G708" s="339"/>
      <c r="H708" s="339"/>
      <c r="I708" s="341"/>
      <c r="J708" s="339"/>
      <c r="K708" s="339"/>
      <c r="L708" s="339"/>
      <c r="M708" s="339"/>
      <c r="N708" s="339"/>
      <c r="O708" s="341"/>
      <c r="P708" s="340"/>
      <c r="Q708" s="339"/>
      <c r="R708" s="339"/>
      <c r="S708" s="339"/>
      <c r="T708" s="339"/>
      <c r="U708" s="339"/>
      <c r="V708" s="339"/>
      <c r="W708" s="339"/>
      <c r="X708" s="339"/>
      <c r="Y708" s="339"/>
      <c r="Z708" s="339"/>
    </row>
    <row r="709" spans="1:26" ht="15.75" customHeight="1">
      <c r="A709" s="339"/>
      <c r="B709" s="339"/>
      <c r="C709" s="339"/>
      <c r="D709" s="339"/>
      <c r="E709" s="339"/>
      <c r="F709" s="339"/>
      <c r="G709" s="339"/>
      <c r="H709" s="339"/>
      <c r="I709" s="341"/>
      <c r="J709" s="339"/>
      <c r="K709" s="339"/>
      <c r="L709" s="339"/>
      <c r="M709" s="339"/>
      <c r="N709" s="339"/>
      <c r="O709" s="341"/>
      <c r="P709" s="340"/>
      <c r="Q709" s="339"/>
      <c r="R709" s="339"/>
      <c r="S709" s="339"/>
      <c r="T709" s="339"/>
      <c r="U709" s="339"/>
      <c r="V709" s="339"/>
      <c r="W709" s="339"/>
      <c r="X709" s="339"/>
      <c r="Y709" s="339"/>
      <c r="Z709" s="339"/>
    </row>
    <row r="710" spans="1:26" ht="15.75" customHeight="1">
      <c r="A710" s="339"/>
      <c r="B710" s="339"/>
      <c r="C710" s="339"/>
      <c r="D710" s="339"/>
      <c r="E710" s="339"/>
      <c r="F710" s="339"/>
      <c r="G710" s="339"/>
      <c r="H710" s="339"/>
      <c r="I710" s="341"/>
      <c r="J710" s="339"/>
      <c r="K710" s="339"/>
      <c r="L710" s="339"/>
      <c r="M710" s="339"/>
      <c r="N710" s="339"/>
      <c r="O710" s="341"/>
      <c r="P710" s="340"/>
      <c r="Q710" s="339"/>
      <c r="R710" s="339"/>
      <c r="S710" s="339"/>
      <c r="T710" s="339"/>
      <c r="U710" s="339"/>
      <c r="V710" s="339"/>
      <c r="W710" s="339"/>
      <c r="X710" s="339"/>
      <c r="Y710" s="339"/>
      <c r="Z710" s="339"/>
    </row>
    <row r="711" spans="1:26" ht="15.75" customHeight="1">
      <c r="A711" s="339"/>
      <c r="B711" s="339"/>
      <c r="C711" s="339"/>
      <c r="D711" s="339"/>
      <c r="E711" s="339"/>
      <c r="F711" s="339"/>
      <c r="G711" s="339"/>
      <c r="H711" s="339"/>
      <c r="I711" s="341"/>
      <c r="J711" s="339"/>
      <c r="K711" s="339"/>
      <c r="L711" s="339"/>
      <c r="M711" s="339"/>
      <c r="N711" s="339"/>
      <c r="O711" s="341"/>
      <c r="P711" s="340"/>
      <c r="Q711" s="339"/>
      <c r="R711" s="339"/>
      <c r="S711" s="339"/>
      <c r="T711" s="339"/>
      <c r="U711" s="339"/>
      <c r="V711" s="339"/>
      <c r="W711" s="339"/>
      <c r="X711" s="339"/>
      <c r="Y711" s="339"/>
      <c r="Z711" s="339"/>
    </row>
    <row r="712" spans="1:26" ht="15.75" customHeight="1">
      <c r="A712" s="339"/>
      <c r="B712" s="339"/>
      <c r="C712" s="339"/>
      <c r="D712" s="339"/>
      <c r="E712" s="339"/>
      <c r="F712" s="339"/>
      <c r="G712" s="339"/>
      <c r="H712" s="339"/>
      <c r="I712" s="341"/>
      <c r="J712" s="339"/>
      <c r="K712" s="339"/>
      <c r="L712" s="339"/>
      <c r="M712" s="339"/>
      <c r="N712" s="339"/>
      <c r="O712" s="341"/>
      <c r="P712" s="340"/>
      <c r="Q712" s="339"/>
      <c r="R712" s="339"/>
      <c r="S712" s="339"/>
      <c r="T712" s="339"/>
      <c r="U712" s="339"/>
      <c r="V712" s="339"/>
      <c r="W712" s="339"/>
      <c r="X712" s="339"/>
      <c r="Y712" s="339"/>
      <c r="Z712" s="339"/>
    </row>
    <row r="713" spans="1:26" ht="15.75" customHeight="1">
      <c r="A713" s="339"/>
      <c r="B713" s="339"/>
      <c r="C713" s="339"/>
      <c r="D713" s="339"/>
      <c r="E713" s="339"/>
      <c r="F713" s="339"/>
      <c r="G713" s="339"/>
      <c r="H713" s="339"/>
      <c r="I713" s="341"/>
      <c r="J713" s="339"/>
      <c r="K713" s="339"/>
      <c r="L713" s="339"/>
      <c r="M713" s="339"/>
      <c r="N713" s="339"/>
      <c r="O713" s="341"/>
      <c r="P713" s="340"/>
      <c r="Q713" s="339"/>
      <c r="R713" s="339"/>
      <c r="S713" s="339"/>
      <c r="T713" s="339"/>
      <c r="U713" s="339"/>
      <c r="V713" s="339"/>
      <c r="W713" s="339"/>
      <c r="X713" s="339"/>
      <c r="Y713" s="339"/>
      <c r="Z713" s="339"/>
    </row>
    <row r="714" spans="1:26" ht="15.75" customHeight="1">
      <c r="A714" s="339"/>
      <c r="B714" s="339"/>
      <c r="C714" s="339"/>
      <c r="D714" s="339"/>
      <c r="E714" s="339"/>
      <c r="F714" s="339"/>
      <c r="G714" s="339"/>
      <c r="H714" s="339"/>
      <c r="I714" s="341"/>
      <c r="J714" s="339"/>
      <c r="K714" s="339"/>
      <c r="L714" s="339"/>
      <c r="M714" s="339"/>
      <c r="N714" s="339"/>
      <c r="O714" s="341"/>
      <c r="P714" s="340"/>
      <c r="Q714" s="339"/>
      <c r="R714" s="339"/>
      <c r="S714" s="339"/>
      <c r="T714" s="339"/>
      <c r="U714" s="339"/>
      <c r="V714" s="339"/>
      <c r="W714" s="339"/>
      <c r="X714" s="339"/>
      <c r="Y714" s="339"/>
      <c r="Z714" s="339"/>
    </row>
    <row r="715" spans="1:26" ht="15.75" customHeight="1">
      <c r="A715" s="339"/>
      <c r="B715" s="339"/>
      <c r="C715" s="339"/>
      <c r="D715" s="339"/>
      <c r="E715" s="339"/>
      <c r="F715" s="339"/>
      <c r="G715" s="339"/>
      <c r="H715" s="339"/>
      <c r="I715" s="341"/>
      <c r="J715" s="339"/>
      <c r="K715" s="339"/>
      <c r="L715" s="339"/>
      <c r="M715" s="339"/>
      <c r="N715" s="339"/>
      <c r="O715" s="341"/>
      <c r="P715" s="340"/>
      <c r="Q715" s="339"/>
      <c r="R715" s="339"/>
      <c r="S715" s="339"/>
      <c r="T715" s="339"/>
      <c r="U715" s="339"/>
      <c r="V715" s="339"/>
      <c r="W715" s="339"/>
      <c r="X715" s="339"/>
      <c r="Y715" s="339"/>
      <c r="Z715" s="339"/>
    </row>
    <row r="716" spans="1:26" ht="15.75" customHeight="1">
      <c r="A716" s="339"/>
      <c r="B716" s="339"/>
      <c r="C716" s="339"/>
      <c r="D716" s="339"/>
      <c r="E716" s="339"/>
      <c r="F716" s="339"/>
      <c r="G716" s="339"/>
      <c r="H716" s="339"/>
      <c r="I716" s="341"/>
      <c r="J716" s="339"/>
      <c r="K716" s="339"/>
      <c r="L716" s="339"/>
      <c r="M716" s="339"/>
      <c r="N716" s="339"/>
      <c r="O716" s="341"/>
      <c r="P716" s="340"/>
      <c r="Q716" s="339"/>
      <c r="R716" s="339"/>
      <c r="S716" s="339"/>
      <c r="T716" s="339"/>
      <c r="U716" s="339"/>
      <c r="V716" s="339"/>
      <c r="W716" s="339"/>
      <c r="X716" s="339"/>
      <c r="Y716" s="339"/>
      <c r="Z716" s="339"/>
    </row>
    <row r="717" spans="1:26" ht="15.75" customHeight="1">
      <c r="A717" s="339"/>
      <c r="B717" s="339"/>
      <c r="C717" s="339"/>
      <c r="D717" s="339"/>
      <c r="E717" s="339"/>
      <c r="F717" s="339"/>
      <c r="G717" s="339"/>
      <c r="H717" s="339"/>
      <c r="I717" s="341"/>
      <c r="J717" s="339"/>
      <c r="K717" s="339"/>
      <c r="L717" s="339"/>
      <c r="M717" s="339"/>
      <c r="N717" s="339"/>
      <c r="O717" s="341"/>
      <c r="P717" s="340"/>
      <c r="Q717" s="339"/>
      <c r="R717" s="339"/>
      <c r="S717" s="339"/>
      <c r="T717" s="339"/>
      <c r="U717" s="339"/>
      <c r="V717" s="339"/>
      <c r="W717" s="339"/>
      <c r="X717" s="339"/>
      <c r="Y717" s="339"/>
      <c r="Z717" s="339"/>
    </row>
    <row r="718" spans="1:26" ht="15.75" customHeight="1">
      <c r="A718" s="339"/>
      <c r="B718" s="339"/>
      <c r="C718" s="339"/>
      <c r="D718" s="339"/>
      <c r="E718" s="339"/>
      <c r="F718" s="339"/>
      <c r="G718" s="339"/>
      <c r="H718" s="339"/>
      <c r="I718" s="341"/>
      <c r="J718" s="339"/>
      <c r="K718" s="339"/>
      <c r="L718" s="339"/>
      <c r="M718" s="339"/>
      <c r="N718" s="339"/>
      <c r="O718" s="341"/>
      <c r="P718" s="340"/>
      <c r="Q718" s="339"/>
      <c r="R718" s="339"/>
      <c r="S718" s="339"/>
      <c r="T718" s="339"/>
      <c r="U718" s="339"/>
      <c r="V718" s="339"/>
      <c r="W718" s="339"/>
      <c r="X718" s="339"/>
      <c r="Y718" s="339"/>
      <c r="Z718" s="339"/>
    </row>
    <row r="719" spans="1:26" ht="15.75" customHeight="1">
      <c r="A719" s="339"/>
      <c r="B719" s="339"/>
      <c r="C719" s="339"/>
      <c r="D719" s="339"/>
      <c r="E719" s="339"/>
      <c r="F719" s="339"/>
      <c r="G719" s="339"/>
      <c r="H719" s="339"/>
      <c r="I719" s="341"/>
      <c r="J719" s="339"/>
      <c r="K719" s="339"/>
      <c r="L719" s="339"/>
      <c r="M719" s="339"/>
      <c r="N719" s="339"/>
      <c r="O719" s="341"/>
      <c r="P719" s="340"/>
      <c r="Q719" s="339"/>
      <c r="R719" s="339"/>
      <c r="S719" s="339"/>
      <c r="T719" s="339"/>
      <c r="U719" s="339"/>
      <c r="V719" s="339"/>
      <c r="W719" s="339"/>
      <c r="X719" s="339"/>
      <c r="Y719" s="339"/>
      <c r="Z719" s="339"/>
    </row>
    <row r="720" spans="1:26" ht="15.75" customHeight="1">
      <c r="A720" s="339"/>
      <c r="B720" s="339"/>
      <c r="C720" s="339"/>
      <c r="D720" s="339"/>
      <c r="E720" s="339"/>
      <c r="F720" s="339"/>
      <c r="G720" s="339"/>
      <c r="H720" s="339"/>
      <c r="I720" s="341"/>
      <c r="J720" s="339"/>
      <c r="K720" s="339"/>
      <c r="L720" s="339"/>
      <c r="M720" s="339"/>
      <c r="N720" s="339"/>
      <c r="O720" s="341"/>
      <c r="P720" s="340"/>
      <c r="Q720" s="339"/>
      <c r="R720" s="339"/>
      <c r="S720" s="339"/>
      <c r="T720" s="339"/>
      <c r="U720" s="339"/>
      <c r="V720" s="339"/>
      <c r="W720" s="339"/>
      <c r="X720" s="339"/>
      <c r="Y720" s="339"/>
      <c r="Z720" s="339"/>
    </row>
    <row r="721" spans="1:26" ht="15.75" customHeight="1">
      <c r="A721" s="339"/>
      <c r="B721" s="339"/>
      <c r="C721" s="339"/>
      <c r="D721" s="339"/>
      <c r="E721" s="339"/>
      <c r="F721" s="339"/>
      <c r="G721" s="339"/>
      <c r="H721" s="339"/>
      <c r="I721" s="341"/>
      <c r="J721" s="339"/>
      <c r="K721" s="339"/>
      <c r="L721" s="339"/>
      <c r="M721" s="339"/>
      <c r="N721" s="339"/>
      <c r="O721" s="341"/>
      <c r="P721" s="340"/>
      <c r="Q721" s="339"/>
      <c r="R721" s="339"/>
      <c r="S721" s="339"/>
      <c r="T721" s="339"/>
      <c r="U721" s="339"/>
      <c r="V721" s="339"/>
      <c r="W721" s="339"/>
      <c r="X721" s="339"/>
      <c r="Y721" s="339"/>
      <c r="Z721" s="339"/>
    </row>
    <row r="722" spans="1:26" ht="15.75" customHeight="1">
      <c r="A722" s="339"/>
      <c r="B722" s="339"/>
      <c r="C722" s="339"/>
      <c r="D722" s="339"/>
      <c r="E722" s="339"/>
      <c r="F722" s="339"/>
      <c r="G722" s="339"/>
      <c r="H722" s="339"/>
      <c r="I722" s="341"/>
      <c r="J722" s="339"/>
      <c r="K722" s="339"/>
      <c r="L722" s="339"/>
      <c r="M722" s="339"/>
      <c r="N722" s="339"/>
      <c r="O722" s="341"/>
      <c r="P722" s="340"/>
      <c r="Q722" s="339"/>
      <c r="R722" s="339"/>
      <c r="S722" s="339"/>
      <c r="T722" s="339"/>
      <c r="U722" s="339"/>
      <c r="V722" s="339"/>
      <c r="W722" s="339"/>
      <c r="X722" s="339"/>
      <c r="Y722" s="339"/>
      <c r="Z722" s="339"/>
    </row>
    <row r="723" spans="1:26" ht="15.75" customHeight="1">
      <c r="A723" s="339"/>
      <c r="B723" s="339"/>
      <c r="C723" s="339"/>
      <c r="D723" s="339"/>
      <c r="E723" s="339"/>
      <c r="F723" s="339"/>
      <c r="G723" s="339"/>
      <c r="H723" s="339"/>
      <c r="I723" s="341"/>
      <c r="J723" s="339"/>
      <c r="K723" s="339"/>
      <c r="L723" s="339"/>
      <c r="M723" s="339"/>
      <c r="N723" s="339"/>
      <c r="O723" s="341"/>
      <c r="P723" s="340"/>
      <c r="Q723" s="339"/>
      <c r="R723" s="339"/>
      <c r="S723" s="339"/>
      <c r="T723" s="339"/>
      <c r="U723" s="339"/>
      <c r="V723" s="339"/>
      <c r="W723" s="339"/>
      <c r="X723" s="339"/>
      <c r="Y723" s="339"/>
      <c r="Z723" s="339"/>
    </row>
    <row r="724" spans="1:26" ht="15.75" customHeight="1">
      <c r="A724" s="339"/>
      <c r="B724" s="339"/>
      <c r="C724" s="339"/>
      <c r="D724" s="339"/>
      <c r="E724" s="339"/>
      <c r="F724" s="339"/>
      <c r="G724" s="339"/>
      <c r="H724" s="339"/>
      <c r="I724" s="341"/>
      <c r="J724" s="339"/>
      <c r="K724" s="339"/>
      <c r="L724" s="339"/>
      <c r="M724" s="339"/>
      <c r="N724" s="339"/>
      <c r="O724" s="341"/>
      <c r="P724" s="340"/>
      <c r="Q724" s="339"/>
      <c r="R724" s="339"/>
      <c r="S724" s="339"/>
      <c r="T724" s="339"/>
      <c r="U724" s="339"/>
      <c r="V724" s="339"/>
      <c r="W724" s="339"/>
      <c r="X724" s="339"/>
      <c r="Y724" s="339"/>
      <c r="Z724" s="339"/>
    </row>
    <row r="725" spans="1:26" ht="15.75" customHeight="1">
      <c r="A725" s="339"/>
      <c r="B725" s="339"/>
      <c r="C725" s="339"/>
      <c r="D725" s="339"/>
      <c r="E725" s="339"/>
      <c r="F725" s="339"/>
      <c r="G725" s="339"/>
      <c r="H725" s="339"/>
      <c r="I725" s="341"/>
      <c r="J725" s="339"/>
      <c r="K725" s="339"/>
      <c r="L725" s="339"/>
      <c r="M725" s="339"/>
      <c r="N725" s="339"/>
      <c r="O725" s="341"/>
      <c r="P725" s="340"/>
      <c r="Q725" s="339"/>
      <c r="R725" s="339"/>
      <c r="S725" s="339"/>
      <c r="T725" s="339"/>
      <c r="U725" s="339"/>
      <c r="V725" s="339"/>
      <c r="W725" s="339"/>
      <c r="X725" s="339"/>
      <c r="Y725" s="339"/>
      <c r="Z725" s="339"/>
    </row>
    <row r="726" spans="1:26" ht="15.75" customHeight="1">
      <c r="A726" s="339"/>
      <c r="B726" s="339"/>
      <c r="C726" s="339"/>
      <c r="D726" s="339"/>
      <c r="E726" s="339"/>
      <c r="F726" s="339"/>
      <c r="G726" s="339"/>
      <c r="H726" s="339"/>
      <c r="I726" s="341"/>
      <c r="J726" s="339"/>
      <c r="K726" s="339"/>
      <c r="L726" s="339"/>
      <c r="M726" s="339"/>
      <c r="N726" s="339"/>
      <c r="O726" s="341"/>
      <c r="P726" s="340"/>
      <c r="Q726" s="339"/>
      <c r="R726" s="339"/>
      <c r="S726" s="339"/>
      <c r="T726" s="339"/>
      <c r="U726" s="339"/>
      <c r="V726" s="339"/>
      <c r="W726" s="339"/>
      <c r="X726" s="339"/>
      <c r="Y726" s="339"/>
      <c r="Z726" s="339"/>
    </row>
    <row r="727" spans="1:26" ht="15.75" customHeight="1">
      <c r="A727" s="339"/>
      <c r="B727" s="339"/>
      <c r="C727" s="339"/>
      <c r="D727" s="339"/>
      <c r="E727" s="339"/>
      <c r="F727" s="339"/>
      <c r="G727" s="339"/>
      <c r="H727" s="339"/>
      <c r="I727" s="341"/>
      <c r="J727" s="339"/>
      <c r="K727" s="339"/>
      <c r="L727" s="339"/>
      <c r="M727" s="339"/>
      <c r="N727" s="339"/>
      <c r="O727" s="341"/>
      <c r="P727" s="340"/>
      <c r="Q727" s="339"/>
      <c r="R727" s="339"/>
      <c r="S727" s="339"/>
      <c r="T727" s="339"/>
      <c r="U727" s="339"/>
      <c r="V727" s="339"/>
      <c r="W727" s="339"/>
      <c r="X727" s="339"/>
      <c r="Y727" s="339"/>
      <c r="Z727" s="339"/>
    </row>
    <row r="728" spans="1:26" ht="15.75" customHeight="1">
      <c r="A728" s="339"/>
      <c r="B728" s="339"/>
      <c r="C728" s="339"/>
      <c r="D728" s="339"/>
      <c r="E728" s="339"/>
      <c r="F728" s="339"/>
      <c r="G728" s="339"/>
      <c r="H728" s="339"/>
      <c r="I728" s="341"/>
      <c r="J728" s="339"/>
      <c r="K728" s="339"/>
      <c r="L728" s="339"/>
      <c r="M728" s="339"/>
      <c r="N728" s="339"/>
      <c r="O728" s="341"/>
      <c r="P728" s="340"/>
      <c r="Q728" s="339"/>
      <c r="R728" s="339"/>
      <c r="S728" s="339"/>
      <c r="T728" s="339"/>
      <c r="U728" s="339"/>
      <c r="V728" s="339"/>
      <c r="W728" s="339"/>
      <c r="X728" s="339"/>
      <c r="Y728" s="339"/>
      <c r="Z728" s="339"/>
    </row>
    <row r="729" spans="1:26" ht="15.75" customHeight="1">
      <c r="A729" s="339"/>
      <c r="B729" s="339"/>
      <c r="C729" s="339"/>
      <c r="D729" s="339"/>
      <c r="E729" s="339"/>
      <c r="F729" s="339"/>
      <c r="G729" s="339"/>
      <c r="H729" s="339"/>
      <c r="I729" s="341"/>
      <c r="J729" s="339"/>
      <c r="K729" s="339"/>
      <c r="L729" s="339"/>
      <c r="M729" s="339"/>
      <c r="N729" s="339"/>
      <c r="O729" s="341"/>
      <c r="P729" s="340"/>
      <c r="Q729" s="339"/>
      <c r="R729" s="339"/>
      <c r="S729" s="339"/>
      <c r="T729" s="339"/>
      <c r="U729" s="339"/>
      <c r="V729" s="339"/>
      <c r="W729" s="339"/>
      <c r="X729" s="339"/>
      <c r="Y729" s="339"/>
      <c r="Z729" s="339"/>
    </row>
    <row r="730" spans="1:26" ht="15.75" customHeight="1">
      <c r="A730" s="339"/>
      <c r="B730" s="339"/>
      <c r="C730" s="339"/>
      <c r="D730" s="339"/>
      <c r="E730" s="339"/>
      <c r="F730" s="339"/>
      <c r="G730" s="339"/>
      <c r="H730" s="339"/>
      <c r="I730" s="341"/>
      <c r="J730" s="339"/>
      <c r="K730" s="339"/>
      <c r="L730" s="339"/>
      <c r="M730" s="339"/>
      <c r="N730" s="339"/>
      <c r="O730" s="341"/>
      <c r="P730" s="340"/>
      <c r="Q730" s="339"/>
      <c r="R730" s="339"/>
      <c r="S730" s="339"/>
      <c r="T730" s="339"/>
      <c r="U730" s="339"/>
      <c r="V730" s="339"/>
      <c r="W730" s="339"/>
      <c r="X730" s="339"/>
      <c r="Y730" s="339"/>
      <c r="Z730" s="339"/>
    </row>
    <row r="731" spans="1:26" ht="15.75" customHeight="1">
      <c r="A731" s="339"/>
      <c r="B731" s="339"/>
      <c r="C731" s="339"/>
      <c r="D731" s="339"/>
      <c r="E731" s="339"/>
      <c r="F731" s="339"/>
      <c r="G731" s="339"/>
      <c r="H731" s="339"/>
      <c r="I731" s="341"/>
      <c r="J731" s="339"/>
      <c r="K731" s="339"/>
      <c r="L731" s="339"/>
      <c r="M731" s="339"/>
      <c r="N731" s="339"/>
      <c r="O731" s="341"/>
      <c r="P731" s="340"/>
      <c r="Q731" s="339"/>
      <c r="R731" s="339"/>
      <c r="S731" s="339"/>
      <c r="T731" s="339"/>
      <c r="U731" s="339"/>
      <c r="V731" s="339"/>
      <c r="W731" s="339"/>
      <c r="X731" s="339"/>
      <c r="Y731" s="339"/>
      <c r="Z731" s="339"/>
    </row>
    <row r="732" spans="1:26" ht="15.75" customHeight="1">
      <c r="A732" s="339"/>
      <c r="B732" s="339"/>
      <c r="C732" s="339"/>
      <c r="D732" s="339"/>
      <c r="E732" s="339"/>
      <c r="F732" s="339"/>
      <c r="G732" s="339"/>
      <c r="H732" s="339"/>
      <c r="I732" s="341"/>
      <c r="J732" s="339"/>
      <c r="K732" s="339"/>
      <c r="L732" s="339"/>
      <c r="M732" s="339"/>
      <c r="N732" s="339"/>
      <c r="O732" s="341"/>
      <c r="P732" s="340"/>
      <c r="Q732" s="339"/>
      <c r="R732" s="339"/>
      <c r="S732" s="339"/>
      <c r="T732" s="339"/>
      <c r="U732" s="339"/>
      <c r="V732" s="339"/>
      <c r="W732" s="339"/>
      <c r="X732" s="339"/>
      <c r="Y732" s="339"/>
      <c r="Z732" s="339"/>
    </row>
    <row r="733" spans="1:26" ht="15.75" customHeight="1">
      <c r="A733" s="339"/>
      <c r="B733" s="339"/>
      <c r="C733" s="339"/>
      <c r="D733" s="339"/>
      <c r="E733" s="339"/>
      <c r="F733" s="339"/>
      <c r="G733" s="339"/>
      <c r="H733" s="339"/>
      <c r="I733" s="341"/>
      <c r="J733" s="339"/>
      <c r="K733" s="339"/>
      <c r="L733" s="339"/>
      <c r="M733" s="339"/>
      <c r="N733" s="339"/>
      <c r="O733" s="341"/>
      <c r="P733" s="340"/>
      <c r="Q733" s="339"/>
      <c r="R733" s="339"/>
      <c r="S733" s="339"/>
      <c r="T733" s="339"/>
      <c r="U733" s="339"/>
      <c r="V733" s="339"/>
      <c r="W733" s="339"/>
      <c r="X733" s="339"/>
      <c r="Y733" s="339"/>
      <c r="Z733" s="339"/>
    </row>
    <row r="734" spans="1:26" ht="15.75" customHeight="1">
      <c r="A734" s="339"/>
      <c r="B734" s="339"/>
      <c r="C734" s="339"/>
      <c r="D734" s="339"/>
      <c r="E734" s="339"/>
      <c r="F734" s="339"/>
      <c r="G734" s="339"/>
      <c r="H734" s="339"/>
      <c r="I734" s="341"/>
      <c r="J734" s="339"/>
      <c r="K734" s="339"/>
      <c r="L734" s="339"/>
      <c r="M734" s="339"/>
      <c r="N734" s="339"/>
      <c r="O734" s="341"/>
      <c r="P734" s="340"/>
      <c r="Q734" s="339"/>
      <c r="R734" s="339"/>
      <c r="S734" s="339"/>
      <c r="T734" s="339"/>
      <c r="U734" s="339"/>
      <c r="V734" s="339"/>
      <c r="W734" s="339"/>
      <c r="X734" s="339"/>
      <c r="Y734" s="339"/>
      <c r="Z734" s="339"/>
    </row>
    <row r="735" spans="1:26" ht="15.75" customHeight="1">
      <c r="A735" s="339"/>
      <c r="B735" s="339"/>
      <c r="C735" s="339"/>
      <c r="D735" s="339"/>
      <c r="E735" s="339"/>
      <c r="F735" s="339"/>
      <c r="G735" s="339"/>
      <c r="H735" s="339"/>
      <c r="I735" s="341"/>
      <c r="J735" s="339"/>
      <c r="K735" s="339"/>
      <c r="L735" s="339"/>
      <c r="M735" s="339"/>
      <c r="N735" s="339"/>
      <c r="O735" s="341"/>
      <c r="P735" s="340"/>
      <c r="Q735" s="339"/>
      <c r="R735" s="339"/>
      <c r="S735" s="339"/>
      <c r="T735" s="339"/>
      <c r="U735" s="339"/>
      <c r="V735" s="339"/>
      <c r="W735" s="339"/>
      <c r="X735" s="339"/>
      <c r="Y735" s="339"/>
      <c r="Z735" s="339"/>
    </row>
    <row r="736" spans="1:26" ht="15.75" customHeight="1">
      <c r="A736" s="339"/>
      <c r="B736" s="339"/>
      <c r="C736" s="339"/>
      <c r="D736" s="339"/>
      <c r="E736" s="339"/>
      <c r="F736" s="339"/>
      <c r="G736" s="339"/>
      <c r="H736" s="339"/>
      <c r="I736" s="341"/>
      <c r="J736" s="339"/>
      <c r="K736" s="339"/>
      <c r="L736" s="339"/>
      <c r="M736" s="339"/>
      <c r="N736" s="339"/>
      <c r="O736" s="341"/>
      <c r="P736" s="340"/>
      <c r="Q736" s="339"/>
      <c r="R736" s="339"/>
      <c r="S736" s="339"/>
      <c r="T736" s="339"/>
      <c r="U736" s="339"/>
      <c r="V736" s="339"/>
      <c r="W736" s="339"/>
      <c r="X736" s="339"/>
      <c r="Y736" s="339"/>
      <c r="Z736" s="339"/>
    </row>
    <row r="737" spans="1:26" ht="15.75" customHeight="1">
      <c r="A737" s="339"/>
      <c r="B737" s="339"/>
      <c r="C737" s="339"/>
      <c r="D737" s="339"/>
      <c r="E737" s="339"/>
      <c r="F737" s="339"/>
      <c r="G737" s="339"/>
      <c r="H737" s="339"/>
      <c r="I737" s="341"/>
      <c r="J737" s="339"/>
      <c r="K737" s="339"/>
      <c r="L737" s="339"/>
      <c r="M737" s="339"/>
      <c r="N737" s="339"/>
      <c r="O737" s="341"/>
      <c r="P737" s="340"/>
      <c r="Q737" s="339"/>
      <c r="R737" s="339"/>
      <c r="S737" s="339"/>
      <c r="T737" s="339"/>
      <c r="U737" s="339"/>
      <c r="V737" s="339"/>
      <c r="W737" s="339"/>
      <c r="X737" s="339"/>
      <c r="Y737" s="339"/>
      <c r="Z737" s="339"/>
    </row>
    <row r="738" spans="1:26" ht="15.75" customHeight="1">
      <c r="A738" s="339"/>
      <c r="B738" s="339"/>
      <c r="C738" s="339"/>
      <c r="D738" s="339"/>
      <c r="E738" s="339"/>
      <c r="F738" s="339"/>
      <c r="G738" s="339"/>
      <c r="H738" s="339"/>
      <c r="I738" s="341"/>
      <c r="J738" s="339"/>
      <c r="K738" s="339"/>
      <c r="L738" s="339"/>
      <c r="M738" s="339"/>
      <c r="N738" s="339"/>
      <c r="O738" s="341"/>
      <c r="P738" s="340"/>
      <c r="Q738" s="339"/>
      <c r="R738" s="339"/>
      <c r="S738" s="339"/>
      <c r="T738" s="339"/>
      <c r="U738" s="339"/>
      <c r="V738" s="339"/>
      <c r="W738" s="339"/>
      <c r="X738" s="339"/>
      <c r="Y738" s="339"/>
      <c r="Z738" s="339"/>
    </row>
    <row r="739" spans="1:26" ht="15.75" customHeight="1">
      <c r="A739" s="339"/>
      <c r="B739" s="339"/>
      <c r="C739" s="339"/>
      <c r="D739" s="339"/>
      <c r="E739" s="339"/>
      <c r="F739" s="339"/>
      <c r="G739" s="339"/>
      <c r="H739" s="339"/>
      <c r="I739" s="341"/>
      <c r="J739" s="339"/>
      <c r="K739" s="339"/>
      <c r="L739" s="339"/>
      <c r="M739" s="339"/>
      <c r="N739" s="339"/>
      <c r="O739" s="341"/>
      <c r="P739" s="340"/>
      <c r="Q739" s="339"/>
      <c r="R739" s="339"/>
      <c r="S739" s="339"/>
      <c r="T739" s="339"/>
      <c r="U739" s="339"/>
      <c r="V739" s="339"/>
      <c r="W739" s="339"/>
      <c r="X739" s="339"/>
      <c r="Y739" s="339"/>
      <c r="Z739" s="339"/>
    </row>
    <row r="740" spans="1:26" ht="15.75" customHeight="1">
      <c r="A740" s="339"/>
      <c r="B740" s="339"/>
      <c r="C740" s="339"/>
      <c r="D740" s="339"/>
      <c r="E740" s="339"/>
      <c r="F740" s="339"/>
      <c r="G740" s="339"/>
      <c r="H740" s="339"/>
      <c r="I740" s="341"/>
      <c r="J740" s="339"/>
      <c r="K740" s="339"/>
      <c r="L740" s="339"/>
      <c r="M740" s="339"/>
      <c r="N740" s="339"/>
      <c r="O740" s="341"/>
      <c r="P740" s="340"/>
      <c r="Q740" s="339"/>
      <c r="R740" s="339"/>
      <c r="S740" s="339"/>
      <c r="T740" s="339"/>
      <c r="U740" s="339"/>
      <c r="V740" s="339"/>
      <c r="W740" s="339"/>
      <c r="X740" s="339"/>
      <c r="Y740" s="339"/>
      <c r="Z740" s="339"/>
    </row>
    <row r="741" spans="1:26" ht="15.75" customHeight="1">
      <c r="A741" s="339"/>
      <c r="B741" s="339"/>
      <c r="C741" s="339"/>
      <c r="D741" s="339"/>
      <c r="E741" s="339"/>
      <c r="F741" s="339"/>
      <c r="G741" s="339"/>
      <c r="H741" s="339"/>
      <c r="I741" s="341"/>
      <c r="J741" s="339"/>
      <c r="K741" s="339"/>
      <c r="L741" s="339"/>
      <c r="M741" s="339"/>
      <c r="N741" s="339"/>
      <c r="O741" s="341"/>
      <c r="P741" s="340"/>
      <c r="Q741" s="339"/>
      <c r="R741" s="339"/>
      <c r="S741" s="339"/>
      <c r="T741" s="339"/>
      <c r="U741" s="339"/>
      <c r="V741" s="339"/>
      <c r="W741" s="339"/>
      <c r="X741" s="339"/>
      <c r="Y741" s="339"/>
      <c r="Z741" s="339"/>
    </row>
    <row r="742" spans="1:26" ht="15.75" customHeight="1">
      <c r="A742" s="339"/>
      <c r="B742" s="339"/>
      <c r="C742" s="339"/>
      <c r="D742" s="339"/>
      <c r="E742" s="339"/>
      <c r="F742" s="339"/>
      <c r="G742" s="339"/>
      <c r="H742" s="339"/>
      <c r="I742" s="341"/>
      <c r="J742" s="339"/>
      <c r="K742" s="339"/>
      <c r="L742" s="339"/>
      <c r="M742" s="339"/>
      <c r="N742" s="339"/>
      <c r="O742" s="341"/>
      <c r="P742" s="340"/>
      <c r="Q742" s="339"/>
      <c r="R742" s="339"/>
      <c r="S742" s="339"/>
      <c r="T742" s="339"/>
      <c r="U742" s="339"/>
      <c r="V742" s="339"/>
      <c r="W742" s="339"/>
      <c r="X742" s="339"/>
      <c r="Y742" s="339"/>
      <c r="Z742" s="339"/>
    </row>
    <row r="743" spans="1:26" ht="15.75" customHeight="1">
      <c r="A743" s="339"/>
      <c r="B743" s="339"/>
      <c r="C743" s="339"/>
      <c r="D743" s="339"/>
      <c r="E743" s="339"/>
      <c r="F743" s="339"/>
      <c r="G743" s="339"/>
      <c r="H743" s="339"/>
      <c r="I743" s="341"/>
      <c r="J743" s="339"/>
      <c r="K743" s="339"/>
      <c r="L743" s="339"/>
      <c r="M743" s="339"/>
      <c r="N743" s="339"/>
      <c r="O743" s="341"/>
      <c r="P743" s="340"/>
      <c r="Q743" s="339"/>
      <c r="R743" s="339"/>
      <c r="S743" s="339"/>
      <c r="T743" s="339"/>
      <c r="U743" s="339"/>
      <c r="V743" s="339"/>
      <c r="W743" s="339"/>
      <c r="X743" s="339"/>
      <c r="Y743" s="339"/>
      <c r="Z743" s="339"/>
    </row>
    <row r="744" spans="1:26" ht="15.75" customHeight="1">
      <c r="A744" s="339"/>
      <c r="B744" s="339"/>
      <c r="C744" s="339"/>
      <c r="D744" s="339"/>
      <c r="E744" s="339"/>
      <c r="F744" s="339"/>
      <c r="G744" s="339"/>
      <c r="H744" s="339"/>
      <c r="I744" s="341"/>
      <c r="J744" s="339"/>
      <c r="K744" s="339"/>
      <c r="L744" s="339"/>
      <c r="M744" s="339"/>
      <c r="N744" s="339"/>
      <c r="O744" s="341"/>
      <c r="P744" s="340"/>
      <c r="Q744" s="339"/>
      <c r="R744" s="339"/>
      <c r="S744" s="339"/>
      <c r="T744" s="339"/>
      <c r="U744" s="339"/>
      <c r="V744" s="339"/>
      <c r="W744" s="339"/>
      <c r="X744" s="339"/>
      <c r="Y744" s="339"/>
      <c r="Z744" s="339"/>
    </row>
    <row r="745" spans="1:26" ht="15.75" customHeight="1">
      <c r="A745" s="339"/>
      <c r="B745" s="339"/>
      <c r="C745" s="339"/>
      <c r="D745" s="339"/>
      <c r="E745" s="339"/>
      <c r="F745" s="339"/>
      <c r="G745" s="339"/>
      <c r="H745" s="339"/>
      <c r="I745" s="341"/>
      <c r="J745" s="339"/>
      <c r="K745" s="339"/>
      <c r="L745" s="339"/>
      <c r="M745" s="339"/>
      <c r="N745" s="339"/>
      <c r="O745" s="341"/>
      <c r="P745" s="340"/>
      <c r="Q745" s="339"/>
      <c r="R745" s="339"/>
      <c r="S745" s="339"/>
      <c r="T745" s="339"/>
      <c r="U745" s="339"/>
      <c r="V745" s="339"/>
      <c r="W745" s="339"/>
      <c r="X745" s="339"/>
      <c r="Y745" s="339"/>
      <c r="Z745" s="339"/>
    </row>
    <row r="746" spans="1:26" ht="15.75" customHeight="1">
      <c r="A746" s="339"/>
      <c r="B746" s="339"/>
      <c r="C746" s="339"/>
      <c r="D746" s="339"/>
      <c r="E746" s="339"/>
      <c r="F746" s="339"/>
      <c r="G746" s="339"/>
      <c r="H746" s="339"/>
      <c r="I746" s="341"/>
      <c r="J746" s="339"/>
      <c r="K746" s="339"/>
      <c r="L746" s="339"/>
      <c r="M746" s="339"/>
      <c r="N746" s="339"/>
      <c r="O746" s="341"/>
      <c r="P746" s="340"/>
      <c r="Q746" s="339"/>
      <c r="R746" s="339"/>
      <c r="S746" s="339"/>
      <c r="T746" s="339"/>
      <c r="U746" s="339"/>
      <c r="V746" s="339"/>
      <c r="W746" s="339"/>
      <c r="X746" s="339"/>
      <c r="Y746" s="339"/>
      <c r="Z746" s="339"/>
    </row>
    <row r="747" spans="1:26" ht="15.75" customHeight="1">
      <c r="A747" s="339"/>
      <c r="B747" s="339"/>
      <c r="C747" s="339"/>
      <c r="D747" s="339"/>
      <c r="E747" s="339"/>
      <c r="F747" s="339"/>
      <c r="G747" s="339"/>
      <c r="H747" s="339"/>
      <c r="I747" s="341"/>
      <c r="J747" s="339"/>
      <c r="K747" s="339"/>
      <c r="L747" s="339"/>
      <c r="M747" s="339"/>
      <c r="N747" s="339"/>
      <c r="O747" s="341"/>
      <c r="P747" s="340"/>
      <c r="Q747" s="339"/>
      <c r="R747" s="339"/>
      <c r="S747" s="339"/>
      <c r="T747" s="339"/>
      <c r="U747" s="339"/>
      <c r="V747" s="339"/>
      <c r="W747" s="339"/>
      <c r="X747" s="339"/>
      <c r="Y747" s="339"/>
      <c r="Z747" s="339"/>
    </row>
    <row r="748" spans="1:26" ht="15.75" customHeight="1">
      <c r="A748" s="339"/>
      <c r="B748" s="339"/>
      <c r="C748" s="339"/>
      <c r="D748" s="339"/>
      <c r="E748" s="339"/>
      <c r="F748" s="339"/>
      <c r="G748" s="339"/>
      <c r="H748" s="339"/>
      <c r="I748" s="341"/>
      <c r="J748" s="339"/>
      <c r="K748" s="339"/>
      <c r="L748" s="339"/>
      <c r="M748" s="339"/>
      <c r="N748" s="339"/>
      <c r="O748" s="341"/>
      <c r="P748" s="340"/>
      <c r="Q748" s="339"/>
      <c r="R748" s="339"/>
      <c r="S748" s="339"/>
      <c r="T748" s="339"/>
      <c r="U748" s="339"/>
      <c r="V748" s="339"/>
      <c r="W748" s="339"/>
      <c r="X748" s="339"/>
      <c r="Y748" s="339"/>
      <c r="Z748" s="339"/>
    </row>
    <row r="749" spans="1:26" ht="15.75" customHeight="1">
      <c r="A749" s="339"/>
      <c r="B749" s="339"/>
      <c r="C749" s="339"/>
      <c r="D749" s="339"/>
      <c r="E749" s="339"/>
      <c r="F749" s="339"/>
      <c r="G749" s="339"/>
      <c r="H749" s="339"/>
      <c r="I749" s="341"/>
      <c r="J749" s="339"/>
      <c r="K749" s="339"/>
      <c r="L749" s="339"/>
      <c r="M749" s="339"/>
      <c r="N749" s="339"/>
      <c r="O749" s="341"/>
      <c r="P749" s="340"/>
      <c r="Q749" s="339"/>
      <c r="R749" s="339"/>
      <c r="S749" s="339"/>
      <c r="T749" s="339"/>
      <c r="U749" s="339"/>
      <c r="V749" s="339"/>
      <c r="W749" s="339"/>
      <c r="X749" s="339"/>
      <c r="Y749" s="339"/>
      <c r="Z749" s="339"/>
    </row>
    <row r="750" spans="1:26" ht="15.75" customHeight="1">
      <c r="A750" s="339"/>
      <c r="B750" s="339"/>
      <c r="C750" s="339"/>
      <c r="D750" s="339"/>
      <c r="E750" s="339"/>
      <c r="F750" s="339"/>
      <c r="G750" s="339"/>
      <c r="H750" s="339"/>
      <c r="I750" s="341"/>
      <c r="J750" s="339"/>
      <c r="K750" s="339"/>
      <c r="L750" s="339"/>
      <c r="M750" s="339"/>
      <c r="N750" s="339"/>
      <c r="O750" s="341"/>
      <c r="P750" s="340"/>
      <c r="Q750" s="339"/>
      <c r="R750" s="339"/>
      <c r="S750" s="339"/>
      <c r="T750" s="339"/>
      <c r="U750" s="339"/>
      <c r="V750" s="339"/>
      <c r="W750" s="339"/>
      <c r="X750" s="339"/>
      <c r="Y750" s="339"/>
      <c r="Z750" s="339"/>
    </row>
    <row r="751" spans="1:26" ht="15.75" customHeight="1">
      <c r="A751" s="339"/>
      <c r="B751" s="339"/>
      <c r="C751" s="339"/>
      <c r="D751" s="339"/>
      <c r="E751" s="339"/>
      <c r="F751" s="339"/>
      <c r="G751" s="339"/>
      <c r="H751" s="339"/>
      <c r="I751" s="341"/>
      <c r="J751" s="339"/>
      <c r="K751" s="339"/>
      <c r="L751" s="339"/>
      <c r="M751" s="339"/>
      <c r="N751" s="339"/>
      <c r="O751" s="341"/>
      <c r="P751" s="340"/>
      <c r="Q751" s="339"/>
      <c r="R751" s="339"/>
      <c r="S751" s="339"/>
      <c r="T751" s="339"/>
      <c r="U751" s="339"/>
      <c r="V751" s="339"/>
      <c r="W751" s="339"/>
      <c r="X751" s="339"/>
      <c r="Y751" s="339"/>
      <c r="Z751" s="339"/>
    </row>
    <row r="752" spans="1:26" ht="15.75" customHeight="1">
      <c r="A752" s="339"/>
      <c r="B752" s="339"/>
      <c r="C752" s="339"/>
      <c r="D752" s="339"/>
      <c r="E752" s="339"/>
      <c r="F752" s="339"/>
      <c r="G752" s="339"/>
      <c r="H752" s="339"/>
      <c r="I752" s="341"/>
      <c r="J752" s="339"/>
      <c r="K752" s="339"/>
      <c r="L752" s="339"/>
      <c r="M752" s="339"/>
      <c r="N752" s="339"/>
      <c r="O752" s="341"/>
      <c r="P752" s="340"/>
      <c r="Q752" s="339"/>
      <c r="R752" s="339"/>
      <c r="S752" s="339"/>
      <c r="T752" s="339"/>
      <c r="U752" s="339"/>
      <c r="V752" s="339"/>
      <c r="W752" s="339"/>
      <c r="X752" s="339"/>
      <c r="Y752" s="339"/>
      <c r="Z752" s="339"/>
    </row>
    <row r="753" spans="1:26" ht="15.75" customHeight="1">
      <c r="A753" s="339"/>
      <c r="B753" s="339"/>
      <c r="C753" s="339"/>
      <c r="D753" s="339"/>
      <c r="E753" s="339"/>
      <c r="F753" s="339"/>
      <c r="G753" s="339"/>
      <c r="H753" s="339"/>
      <c r="I753" s="341"/>
      <c r="J753" s="339"/>
      <c r="K753" s="339"/>
      <c r="L753" s="339"/>
      <c r="M753" s="339"/>
      <c r="N753" s="339"/>
      <c r="O753" s="341"/>
      <c r="P753" s="340"/>
      <c r="Q753" s="339"/>
      <c r="R753" s="339"/>
      <c r="S753" s="339"/>
      <c r="T753" s="339"/>
      <c r="U753" s="339"/>
      <c r="V753" s="339"/>
      <c r="W753" s="339"/>
      <c r="X753" s="339"/>
      <c r="Y753" s="339"/>
      <c r="Z753" s="339"/>
    </row>
    <row r="754" spans="1:26" ht="15.75" customHeight="1">
      <c r="A754" s="339"/>
      <c r="B754" s="339"/>
      <c r="C754" s="339"/>
      <c r="D754" s="339"/>
      <c r="E754" s="339"/>
      <c r="F754" s="339"/>
      <c r="G754" s="339"/>
      <c r="H754" s="339"/>
      <c r="I754" s="341"/>
      <c r="J754" s="339"/>
      <c r="K754" s="339"/>
      <c r="L754" s="339"/>
      <c r="M754" s="339"/>
      <c r="N754" s="339"/>
      <c r="O754" s="341"/>
      <c r="P754" s="340"/>
      <c r="Q754" s="339"/>
      <c r="R754" s="339"/>
      <c r="S754" s="339"/>
      <c r="T754" s="339"/>
      <c r="U754" s="339"/>
      <c r="V754" s="339"/>
      <c r="W754" s="339"/>
      <c r="X754" s="339"/>
      <c r="Y754" s="339"/>
      <c r="Z754" s="339"/>
    </row>
    <row r="755" spans="1:26" ht="15.75" customHeight="1">
      <c r="A755" s="339"/>
      <c r="B755" s="339"/>
      <c r="C755" s="339"/>
      <c r="D755" s="339"/>
      <c r="E755" s="339"/>
      <c r="F755" s="339"/>
      <c r="G755" s="339"/>
      <c r="H755" s="339"/>
      <c r="I755" s="341"/>
      <c r="J755" s="339"/>
      <c r="K755" s="339"/>
      <c r="L755" s="339"/>
      <c r="M755" s="339"/>
      <c r="N755" s="339"/>
      <c r="O755" s="341"/>
      <c r="P755" s="340"/>
      <c r="Q755" s="339"/>
      <c r="R755" s="339"/>
      <c r="S755" s="339"/>
      <c r="T755" s="339"/>
      <c r="U755" s="339"/>
      <c r="V755" s="339"/>
      <c r="W755" s="339"/>
      <c r="X755" s="339"/>
      <c r="Y755" s="339"/>
      <c r="Z755" s="339"/>
    </row>
    <row r="756" spans="1:26" ht="15.75" customHeight="1">
      <c r="A756" s="339"/>
      <c r="B756" s="339"/>
      <c r="C756" s="339"/>
      <c r="D756" s="339"/>
      <c r="E756" s="339"/>
      <c r="F756" s="339"/>
      <c r="G756" s="339"/>
      <c r="H756" s="339"/>
      <c r="I756" s="341"/>
      <c r="J756" s="339"/>
      <c r="K756" s="339"/>
      <c r="L756" s="339"/>
      <c r="M756" s="339"/>
      <c r="N756" s="339"/>
      <c r="O756" s="341"/>
      <c r="P756" s="340"/>
      <c r="Q756" s="339"/>
      <c r="R756" s="339"/>
      <c r="S756" s="339"/>
      <c r="T756" s="339"/>
      <c r="U756" s="339"/>
      <c r="V756" s="339"/>
      <c r="W756" s="339"/>
      <c r="X756" s="339"/>
      <c r="Y756" s="339"/>
      <c r="Z756" s="339"/>
    </row>
    <row r="757" spans="1:26" ht="15.75" customHeight="1">
      <c r="A757" s="339"/>
      <c r="B757" s="339"/>
      <c r="C757" s="339"/>
      <c r="D757" s="339"/>
      <c r="E757" s="339"/>
      <c r="F757" s="339"/>
      <c r="G757" s="339"/>
      <c r="H757" s="339"/>
      <c r="I757" s="341"/>
      <c r="J757" s="339"/>
      <c r="K757" s="339"/>
      <c r="L757" s="339"/>
      <c r="M757" s="339"/>
      <c r="N757" s="339"/>
      <c r="O757" s="341"/>
      <c r="P757" s="340"/>
      <c r="Q757" s="339"/>
      <c r="R757" s="339"/>
      <c r="S757" s="339"/>
      <c r="T757" s="339"/>
      <c r="U757" s="339"/>
      <c r="V757" s="339"/>
      <c r="W757" s="339"/>
      <c r="X757" s="339"/>
      <c r="Y757" s="339"/>
      <c r="Z757" s="339"/>
    </row>
    <row r="758" spans="1:26" ht="15.75" customHeight="1">
      <c r="A758" s="339"/>
      <c r="B758" s="339"/>
      <c r="C758" s="339"/>
      <c r="D758" s="339"/>
      <c r="E758" s="339"/>
      <c r="F758" s="339"/>
      <c r="G758" s="339"/>
      <c r="H758" s="339"/>
      <c r="I758" s="341"/>
      <c r="J758" s="339"/>
      <c r="K758" s="339"/>
      <c r="L758" s="339"/>
      <c r="M758" s="339"/>
      <c r="N758" s="339"/>
      <c r="O758" s="341"/>
      <c r="P758" s="340"/>
      <c r="Q758" s="339"/>
      <c r="R758" s="339"/>
      <c r="S758" s="339"/>
      <c r="T758" s="339"/>
      <c r="U758" s="339"/>
      <c r="V758" s="339"/>
      <c r="W758" s="339"/>
      <c r="X758" s="339"/>
      <c r="Y758" s="339"/>
      <c r="Z758" s="339"/>
    </row>
    <row r="759" spans="1:26" ht="15.75" customHeight="1">
      <c r="A759" s="339"/>
      <c r="B759" s="339"/>
      <c r="C759" s="339"/>
      <c r="D759" s="339"/>
      <c r="E759" s="339"/>
      <c r="F759" s="339"/>
      <c r="G759" s="339"/>
      <c r="H759" s="339"/>
      <c r="I759" s="341"/>
      <c r="J759" s="339"/>
      <c r="K759" s="339"/>
      <c r="L759" s="339"/>
      <c r="M759" s="339"/>
      <c r="N759" s="339"/>
      <c r="O759" s="341"/>
      <c r="P759" s="340"/>
      <c r="Q759" s="339"/>
      <c r="R759" s="339"/>
      <c r="S759" s="339"/>
      <c r="T759" s="339"/>
      <c r="U759" s="339"/>
      <c r="V759" s="339"/>
      <c r="W759" s="339"/>
      <c r="X759" s="339"/>
      <c r="Y759" s="339"/>
      <c r="Z759" s="339"/>
    </row>
    <row r="760" spans="1:26" ht="15.75" customHeight="1">
      <c r="A760" s="339"/>
      <c r="B760" s="339"/>
      <c r="C760" s="339"/>
      <c r="D760" s="339"/>
      <c r="E760" s="339"/>
      <c r="F760" s="339"/>
      <c r="G760" s="339"/>
      <c r="H760" s="339"/>
      <c r="I760" s="341"/>
      <c r="J760" s="339"/>
      <c r="K760" s="339"/>
      <c r="L760" s="339"/>
      <c r="M760" s="339"/>
      <c r="N760" s="339"/>
      <c r="O760" s="341"/>
      <c r="P760" s="340"/>
      <c r="Q760" s="339"/>
      <c r="R760" s="339"/>
      <c r="S760" s="339"/>
      <c r="T760" s="339"/>
      <c r="U760" s="339"/>
      <c r="V760" s="339"/>
      <c r="W760" s="339"/>
      <c r="X760" s="339"/>
      <c r="Y760" s="339"/>
      <c r="Z760" s="339"/>
    </row>
    <row r="761" spans="1:26" ht="15.75" customHeight="1">
      <c r="A761" s="339"/>
      <c r="B761" s="339"/>
      <c r="C761" s="339"/>
      <c r="D761" s="339"/>
      <c r="E761" s="339"/>
      <c r="F761" s="339"/>
      <c r="G761" s="339"/>
      <c r="H761" s="339"/>
      <c r="I761" s="341"/>
      <c r="J761" s="339"/>
      <c r="K761" s="339"/>
      <c r="L761" s="339"/>
      <c r="M761" s="339"/>
      <c r="N761" s="339"/>
      <c r="O761" s="341"/>
      <c r="P761" s="340"/>
      <c r="Q761" s="339"/>
      <c r="R761" s="339"/>
      <c r="S761" s="339"/>
      <c r="T761" s="339"/>
      <c r="U761" s="339"/>
      <c r="V761" s="339"/>
      <c r="W761" s="339"/>
      <c r="X761" s="339"/>
      <c r="Y761" s="339"/>
      <c r="Z761" s="339"/>
    </row>
    <row r="762" spans="1:26" ht="15.75" customHeight="1">
      <c r="A762" s="339"/>
      <c r="B762" s="339"/>
      <c r="C762" s="339"/>
      <c r="D762" s="339"/>
      <c r="E762" s="339"/>
      <c r="F762" s="339"/>
      <c r="G762" s="339"/>
      <c r="H762" s="339"/>
      <c r="I762" s="341"/>
      <c r="J762" s="339"/>
      <c r="K762" s="339"/>
      <c r="L762" s="339"/>
      <c r="M762" s="339"/>
      <c r="N762" s="339"/>
      <c r="O762" s="341"/>
      <c r="P762" s="340"/>
      <c r="Q762" s="339"/>
      <c r="R762" s="339"/>
      <c r="S762" s="339"/>
      <c r="T762" s="339"/>
      <c r="U762" s="339"/>
      <c r="V762" s="339"/>
      <c r="W762" s="339"/>
      <c r="X762" s="339"/>
      <c r="Y762" s="339"/>
      <c r="Z762" s="339"/>
    </row>
    <row r="763" spans="1:26" ht="15.75" customHeight="1">
      <c r="A763" s="339"/>
      <c r="B763" s="339"/>
      <c r="C763" s="339"/>
      <c r="D763" s="339"/>
      <c r="E763" s="339"/>
      <c r="F763" s="339"/>
      <c r="G763" s="339"/>
      <c r="H763" s="339"/>
      <c r="I763" s="341"/>
      <c r="J763" s="339"/>
      <c r="K763" s="339"/>
      <c r="L763" s="339"/>
      <c r="M763" s="339"/>
      <c r="N763" s="339"/>
      <c r="O763" s="341"/>
      <c r="P763" s="340"/>
      <c r="Q763" s="339"/>
      <c r="R763" s="339"/>
      <c r="S763" s="339"/>
      <c r="T763" s="339"/>
      <c r="U763" s="339"/>
      <c r="V763" s="339"/>
      <c r="W763" s="339"/>
      <c r="X763" s="339"/>
      <c r="Y763" s="339"/>
      <c r="Z763" s="339"/>
    </row>
    <row r="764" spans="1:26" ht="15.75" customHeight="1">
      <c r="A764" s="339"/>
      <c r="B764" s="339"/>
      <c r="C764" s="339"/>
      <c r="D764" s="339"/>
      <c r="E764" s="339"/>
      <c r="F764" s="339"/>
      <c r="G764" s="339"/>
      <c r="H764" s="339"/>
      <c r="I764" s="341"/>
      <c r="J764" s="339"/>
      <c r="K764" s="339"/>
      <c r="L764" s="339"/>
      <c r="M764" s="339"/>
      <c r="N764" s="339"/>
      <c r="O764" s="341"/>
      <c r="P764" s="340"/>
      <c r="Q764" s="339"/>
      <c r="R764" s="339"/>
      <c r="S764" s="339"/>
      <c r="T764" s="339"/>
      <c r="U764" s="339"/>
      <c r="V764" s="339"/>
      <c r="W764" s="339"/>
      <c r="X764" s="339"/>
      <c r="Y764" s="339"/>
      <c r="Z764" s="339"/>
    </row>
    <row r="765" spans="1:26" ht="15.75" customHeight="1">
      <c r="A765" s="339"/>
      <c r="B765" s="339"/>
      <c r="C765" s="339"/>
      <c r="D765" s="339"/>
      <c r="E765" s="339"/>
      <c r="F765" s="339"/>
      <c r="G765" s="339"/>
      <c r="H765" s="339"/>
      <c r="I765" s="341"/>
      <c r="J765" s="339"/>
      <c r="K765" s="339"/>
      <c r="L765" s="339"/>
      <c r="M765" s="339"/>
      <c r="N765" s="339"/>
      <c r="O765" s="341"/>
      <c r="P765" s="340"/>
      <c r="Q765" s="339"/>
      <c r="R765" s="339"/>
      <c r="S765" s="339"/>
      <c r="T765" s="339"/>
      <c r="U765" s="339"/>
      <c r="V765" s="339"/>
      <c r="W765" s="339"/>
      <c r="X765" s="339"/>
      <c r="Y765" s="339"/>
      <c r="Z765" s="339"/>
    </row>
    <row r="766" spans="1:26" ht="15.75" customHeight="1">
      <c r="A766" s="339"/>
      <c r="B766" s="339"/>
      <c r="C766" s="339"/>
      <c r="D766" s="339"/>
      <c r="E766" s="339"/>
      <c r="F766" s="339"/>
      <c r="G766" s="339"/>
      <c r="H766" s="339"/>
      <c r="I766" s="341"/>
      <c r="J766" s="339"/>
      <c r="K766" s="339"/>
      <c r="L766" s="339"/>
      <c r="M766" s="339"/>
      <c r="N766" s="339"/>
      <c r="O766" s="341"/>
      <c r="P766" s="340"/>
      <c r="Q766" s="339"/>
      <c r="R766" s="339"/>
      <c r="S766" s="339"/>
      <c r="T766" s="339"/>
      <c r="U766" s="339"/>
      <c r="V766" s="339"/>
      <c r="W766" s="339"/>
      <c r="X766" s="339"/>
      <c r="Y766" s="339"/>
      <c r="Z766" s="339"/>
    </row>
    <row r="767" spans="1:26" ht="15.75" customHeight="1">
      <c r="A767" s="339"/>
      <c r="B767" s="339"/>
      <c r="C767" s="339"/>
      <c r="D767" s="339"/>
      <c r="E767" s="339"/>
      <c r="F767" s="339"/>
      <c r="G767" s="339"/>
      <c r="H767" s="339"/>
      <c r="I767" s="341"/>
      <c r="J767" s="339"/>
      <c r="K767" s="339"/>
      <c r="L767" s="339"/>
      <c r="M767" s="339"/>
      <c r="N767" s="339"/>
      <c r="O767" s="341"/>
      <c r="P767" s="340"/>
      <c r="Q767" s="339"/>
      <c r="R767" s="339"/>
      <c r="S767" s="339"/>
      <c r="T767" s="339"/>
      <c r="U767" s="339"/>
      <c r="V767" s="339"/>
      <c r="W767" s="339"/>
      <c r="X767" s="339"/>
      <c r="Y767" s="339"/>
      <c r="Z767" s="339"/>
    </row>
    <row r="768" spans="1:26" ht="15.75" customHeight="1">
      <c r="A768" s="339"/>
      <c r="B768" s="339"/>
      <c r="C768" s="339"/>
      <c r="D768" s="339"/>
      <c r="E768" s="339"/>
      <c r="F768" s="339"/>
      <c r="G768" s="339"/>
      <c r="H768" s="339"/>
      <c r="I768" s="341"/>
      <c r="J768" s="339"/>
      <c r="K768" s="339"/>
      <c r="L768" s="339"/>
      <c r="M768" s="339"/>
      <c r="N768" s="339"/>
      <c r="O768" s="341"/>
      <c r="P768" s="340"/>
      <c r="Q768" s="339"/>
      <c r="R768" s="339"/>
      <c r="S768" s="339"/>
      <c r="T768" s="339"/>
      <c r="U768" s="339"/>
      <c r="V768" s="339"/>
      <c r="W768" s="339"/>
      <c r="X768" s="339"/>
      <c r="Y768" s="339"/>
      <c r="Z768" s="339"/>
    </row>
    <row r="769" spans="1:26" ht="15.75" customHeight="1">
      <c r="A769" s="339"/>
      <c r="B769" s="339"/>
      <c r="C769" s="339"/>
      <c r="D769" s="339"/>
      <c r="E769" s="339"/>
      <c r="F769" s="339"/>
      <c r="G769" s="339"/>
      <c r="H769" s="339"/>
      <c r="I769" s="341"/>
      <c r="J769" s="339"/>
      <c r="K769" s="339"/>
      <c r="L769" s="339"/>
      <c r="M769" s="339"/>
      <c r="N769" s="339"/>
      <c r="O769" s="341"/>
      <c r="P769" s="340"/>
      <c r="Q769" s="339"/>
      <c r="R769" s="339"/>
      <c r="S769" s="339"/>
      <c r="T769" s="339"/>
      <c r="U769" s="339"/>
      <c r="V769" s="339"/>
      <c r="W769" s="339"/>
      <c r="X769" s="339"/>
      <c r="Y769" s="339"/>
      <c r="Z769" s="339"/>
    </row>
    <row r="770" spans="1:26" ht="15.75" customHeight="1">
      <c r="A770" s="339"/>
      <c r="B770" s="339"/>
      <c r="C770" s="339"/>
      <c r="D770" s="339"/>
      <c r="E770" s="339"/>
      <c r="F770" s="339"/>
      <c r="G770" s="339"/>
      <c r="H770" s="339"/>
      <c r="I770" s="341"/>
      <c r="J770" s="339"/>
      <c r="K770" s="339"/>
      <c r="L770" s="339"/>
      <c r="M770" s="339"/>
      <c r="N770" s="339"/>
      <c r="O770" s="341"/>
      <c r="P770" s="340"/>
      <c r="Q770" s="339"/>
      <c r="R770" s="339"/>
      <c r="S770" s="339"/>
      <c r="T770" s="339"/>
      <c r="U770" s="339"/>
      <c r="V770" s="339"/>
      <c r="W770" s="339"/>
      <c r="X770" s="339"/>
      <c r="Y770" s="339"/>
      <c r="Z770" s="339"/>
    </row>
    <row r="771" spans="1:26" ht="15.75" customHeight="1">
      <c r="A771" s="339"/>
      <c r="B771" s="339"/>
      <c r="C771" s="339"/>
      <c r="D771" s="339"/>
      <c r="E771" s="339"/>
      <c r="F771" s="339"/>
      <c r="G771" s="339"/>
      <c r="H771" s="339"/>
      <c r="I771" s="341"/>
      <c r="J771" s="339"/>
      <c r="K771" s="339"/>
      <c r="L771" s="339"/>
      <c r="M771" s="339"/>
      <c r="N771" s="339"/>
      <c r="O771" s="341"/>
      <c r="P771" s="340"/>
      <c r="Q771" s="339"/>
      <c r="R771" s="339"/>
      <c r="S771" s="339"/>
      <c r="T771" s="339"/>
      <c r="U771" s="339"/>
      <c r="V771" s="339"/>
      <c r="W771" s="339"/>
      <c r="X771" s="339"/>
      <c r="Y771" s="339"/>
      <c r="Z771" s="339"/>
    </row>
    <row r="772" spans="1:26" ht="15.75" customHeight="1">
      <c r="A772" s="339"/>
      <c r="B772" s="339"/>
      <c r="C772" s="339"/>
      <c r="D772" s="339"/>
      <c r="E772" s="339"/>
      <c r="F772" s="339"/>
      <c r="G772" s="339"/>
      <c r="H772" s="339"/>
      <c r="I772" s="341"/>
      <c r="J772" s="339"/>
      <c r="K772" s="339"/>
      <c r="L772" s="339"/>
      <c r="M772" s="339"/>
      <c r="N772" s="339"/>
      <c r="O772" s="341"/>
      <c r="P772" s="340"/>
      <c r="Q772" s="339"/>
      <c r="R772" s="339"/>
      <c r="S772" s="339"/>
      <c r="T772" s="339"/>
      <c r="U772" s="339"/>
      <c r="V772" s="339"/>
      <c r="W772" s="339"/>
      <c r="X772" s="339"/>
      <c r="Y772" s="339"/>
      <c r="Z772" s="339"/>
    </row>
    <row r="773" spans="1:26" ht="15.75" customHeight="1">
      <c r="A773" s="339"/>
      <c r="B773" s="339"/>
      <c r="C773" s="339"/>
      <c r="D773" s="339"/>
      <c r="E773" s="339"/>
      <c r="F773" s="339"/>
      <c r="G773" s="339"/>
      <c r="H773" s="339"/>
      <c r="I773" s="341"/>
      <c r="J773" s="339"/>
      <c r="K773" s="339"/>
      <c r="L773" s="339"/>
      <c r="M773" s="339"/>
      <c r="N773" s="339"/>
      <c r="O773" s="341"/>
      <c r="P773" s="340"/>
      <c r="Q773" s="339"/>
      <c r="R773" s="339"/>
      <c r="S773" s="339"/>
      <c r="T773" s="339"/>
      <c r="U773" s="339"/>
      <c r="V773" s="339"/>
      <c r="W773" s="339"/>
      <c r="X773" s="339"/>
      <c r="Y773" s="339"/>
      <c r="Z773" s="339"/>
    </row>
    <row r="774" spans="1:26" ht="15.75" customHeight="1">
      <c r="A774" s="339"/>
      <c r="B774" s="339"/>
      <c r="C774" s="339"/>
      <c r="D774" s="339"/>
      <c r="E774" s="339"/>
      <c r="F774" s="339"/>
      <c r="G774" s="339"/>
      <c r="H774" s="339"/>
      <c r="I774" s="341"/>
      <c r="J774" s="339"/>
      <c r="K774" s="339"/>
      <c r="L774" s="339"/>
      <c r="M774" s="339"/>
      <c r="N774" s="339"/>
      <c r="O774" s="341"/>
      <c r="P774" s="340"/>
      <c r="Q774" s="339"/>
      <c r="R774" s="339"/>
      <c r="S774" s="339"/>
      <c r="T774" s="339"/>
      <c r="U774" s="339"/>
      <c r="V774" s="339"/>
      <c r="W774" s="339"/>
      <c r="X774" s="339"/>
      <c r="Y774" s="339"/>
      <c r="Z774" s="339"/>
    </row>
    <row r="775" spans="1:26" ht="15.75" customHeight="1">
      <c r="A775" s="339"/>
      <c r="B775" s="339"/>
      <c r="C775" s="339"/>
      <c r="D775" s="339"/>
      <c r="E775" s="339"/>
      <c r="F775" s="339"/>
      <c r="G775" s="339"/>
      <c r="H775" s="339"/>
      <c r="I775" s="341"/>
      <c r="J775" s="339"/>
      <c r="K775" s="339"/>
      <c r="L775" s="339"/>
      <c r="M775" s="339"/>
      <c r="N775" s="339"/>
      <c r="O775" s="341"/>
      <c r="P775" s="340"/>
      <c r="Q775" s="339"/>
      <c r="R775" s="339"/>
      <c r="S775" s="339"/>
      <c r="T775" s="339"/>
      <c r="U775" s="339"/>
      <c r="V775" s="339"/>
      <c r="W775" s="339"/>
      <c r="X775" s="339"/>
      <c r="Y775" s="339"/>
      <c r="Z775" s="339"/>
    </row>
    <row r="776" spans="1:26" ht="15.75" customHeight="1">
      <c r="A776" s="339"/>
      <c r="B776" s="339"/>
      <c r="C776" s="339"/>
      <c r="D776" s="339"/>
      <c r="E776" s="339"/>
      <c r="F776" s="339"/>
      <c r="G776" s="339"/>
      <c r="H776" s="339"/>
      <c r="I776" s="341"/>
      <c r="J776" s="339"/>
      <c r="K776" s="339"/>
      <c r="L776" s="339"/>
      <c r="M776" s="339"/>
      <c r="N776" s="339"/>
      <c r="O776" s="341"/>
      <c r="P776" s="340"/>
      <c r="Q776" s="339"/>
      <c r="R776" s="339"/>
      <c r="S776" s="339"/>
      <c r="T776" s="339"/>
      <c r="U776" s="339"/>
      <c r="V776" s="339"/>
      <c r="W776" s="339"/>
      <c r="X776" s="339"/>
      <c r="Y776" s="339"/>
      <c r="Z776" s="339"/>
    </row>
    <row r="777" spans="1:26" ht="15.75" customHeight="1">
      <c r="A777" s="339"/>
      <c r="B777" s="339"/>
      <c r="C777" s="339"/>
      <c r="D777" s="339"/>
      <c r="E777" s="339"/>
      <c r="F777" s="339"/>
      <c r="G777" s="339"/>
      <c r="H777" s="339"/>
      <c r="I777" s="341"/>
      <c r="J777" s="339"/>
      <c r="K777" s="339"/>
      <c r="L777" s="339"/>
      <c r="M777" s="339"/>
      <c r="N777" s="339"/>
      <c r="O777" s="341"/>
      <c r="P777" s="340"/>
      <c r="Q777" s="339"/>
      <c r="R777" s="339"/>
      <c r="S777" s="339"/>
      <c r="T777" s="339"/>
      <c r="U777" s="339"/>
      <c r="V777" s="339"/>
      <c r="W777" s="339"/>
      <c r="X777" s="339"/>
      <c r="Y777" s="339"/>
      <c r="Z777" s="339"/>
    </row>
    <row r="778" spans="1:26" ht="15.75" customHeight="1">
      <c r="A778" s="339"/>
      <c r="B778" s="339"/>
      <c r="C778" s="339"/>
      <c r="D778" s="339"/>
      <c r="E778" s="339"/>
      <c r="F778" s="339"/>
      <c r="G778" s="339"/>
      <c r="H778" s="339"/>
      <c r="I778" s="341"/>
      <c r="J778" s="339"/>
      <c r="K778" s="339"/>
      <c r="L778" s="339"/>
      <c r="M778" s="339"/>
      <c r="N778" s="339"/>
      <c r="O778" s="341"/>
      <c r="P778" s="340"/>
      <c r="Q778" s="339"/>
      <c r="R778" s="339"/>
      <c r="S778" s="339"/>
      <c r="T778" s="339"/>
      <c r="U778" s="339"/>
      <c r="V778" s="339"/>
      <c r="W778" s="339"/>
      <c r="X778" s="339"/>
      <c r="Y778" s="339"/>
      <c r="Z778" s="339"/>
    </row>
    <row r="779" spans="1:26" ht="15.75" customHeight="1">
      <c r="A779" s="339"/>
      <c r="B779" s="339"/>
      <c r="C779" s="339"/>
      <c r="D779" s="339"/>
      <c r="E779" s="339"/>
      <c r="F779" s="339"/>
      <c r="G779" s="339"/>
      <c r="H779" s="339"/>
      <c r="I779" s="341"/>
      <c r="J779" s="339"/>
      <c r="K779" s="339"/>
      <c r="L779" s="339"/>
      <c r="M779" s="339"/>
      <c r="N779" s="339"/>
      <c r="O779" s="341"/>
      <c r="P779" s="340"/>
      <c r="Q779" s="339"/>
      <c r="R779" s="339"/>
      <c r="S779" s="339"/>
      <c r="T779" s="339"/>
      <c r="U779" s="339"/>
      <c r="V779" s="339"/>
      <c r="W779" s="339"/>
      <c r="X779" s="339"/>
      <c r="Y779" s="339"/>
      <c r="Z779" s="339"/>
    </row>
    <row r="780" spans="1:26" ht="15.75" customHeight="1">
      <c r="A780" s="339"/>
      <c r="B780" s="339"/>
      <c r="C780" s="339"/>
      <c r="D780" s="339"/>
      <c r="E780" s="339"/>
      <c r="F780" s="339"/>
      <c r="G780" s="339"/>
      <c r="H780" s="339"/>
      <c r="I780" s="341"/>
      <c r="J780" s="339"/>
      <c r="K780" s="339"/>
      <c r="L780" s="339"/>
      <c r="M780" s="339"/>
      <c r="N780" s="339"/>
      <c r="O780" s="341"/>
      <c r="P780" s="340"/>
      <c r="Q780" s="339"/>
      <c r="R780" s="339"/>
      <c r="S780" s="339"/>
      <c r="T780" s="339"/>
      <c r="U780" s="339"/>
      <c r="V780" s="339"/>
      <c r="W780" s="339"/>
      <c r="X780" s="339"/>
      <c r="Y780" s="339"/>
      <c r="Z780" s="339"/>
    </row>
    <row r="781" spans="1:26" ht="15.75" customHeight="1">
      <c r="A781" s="339"/>
      <c r="B781" s="339"/>
      <c r="C781" s="339"/>
      <c r="D781" s="339"/>
      <c r="E781" s="339"/>
      <c r="F781" s="339"/>
      <c r="G781" s="339"/>
      <c r="H781" s="339"/>
      <c r="I781" s="341"/>
      <c r="J781" s="339"/>
      <c r="K781" s="339"/>
      <c r="L781" s="339"/>
      <c r="M781" s="339"/>
      <c r="N781" s="339"/>
      <c r="O781" s="341"/>
      <c r="P781" s="340"/>
      <c r="Q781" s="339"/>
      <c r="R781" s="339"/>
      <c r="S781" s="339"/>
      <c r="T781" s="339"/>
      <c r="U781" s="339"/>
      <c r="V781" s="339"/>
      <c r="W781" s="339"/>
      <c r="X781" s="339"/>
      <c r="Y781" s="339"/>
      <c r="Z781" s="339"/>
    </row>
    <row r="782" spans="1:26" ht="15.75" customHeight="1">
      <c r="A782" s="339"/>
      <c r="B782" s="339"/>
      <c r="C782" s="339"/>
      <c r="D782" s="339"/>
      <c r="E782" s="339"/>
      <c r="F782" s="339"/>
      <c r="G782" s="339"/>
      <c r="H782" s="339"/>
      <c r="I782" s="341"/>
      <c r="J782" s="339"/>
      <c r="K782" s="339"/>
      <c r="L782" s="339"/>
      <c r="M782" s="339"/>
      <c r="N782" s="339"/>
      <c r="O782" s="341"/>
      <c r="P782" s="340"/>
      <c r="Q782" s="339"/>
      <c r="R782" s="339"/>
      <c r="S782" s="339"/>
      <c r="T782" s="339"/>
      <c r="U782" s="339"/>
      <c r="V782" s="339"/>
      <c r="W782" s="339"/>
      <c r="X782" s="339"/>
      <c r="Y782" s="339"/>
      <c r="Z782" s="339"/>
    </row>
    <row r="783" spans="1:26" ht="15.75" customHeight="1">
      <c r="A783" s="339"/>
      <c r="B783" s="339"/>
      <c r="C783" s="339"/>
      <c r="D783" s="339"/>
      <c r="E783" s="339"/>
      <c r="F783" s="339"/>
      <c r="G783" s="339"/>
      <c r="H783" s="339"/>
      <c r="I783" s="341"/>
      <c r="J783" s="339"/>
      <c r="K783" s="339"/>
      <c r="L783" s="339"/>
      <c r="M783" s="339"/>
      <c r="N783" s="339"/>
      <c r="O783" s="341"/>
      <c r="P783" s="340"/>
      <c r="Q783" s="339"/>
      <c r="R783" s="339"/>
      <c r="S783" s="339"/>
      <c r="T783" s="339"/>
      <c r="U783" s="339"/>
      <c r="V783" s="339"/>
      <c r="W783" s="339"/>
      <c r="X783" s="339"/>
      <c r="Y783" s="339"/>
      <c r="Z783" s="339"/>
    </row>
    <row r="784" spans="1:26" ht="15.75" customHeight="1">
      <c r="A784" s="339"/>
      <c r="B784" s="339"/>
      <c r="C784" s="339"/>
      <c r="D784" s="339"/>
      <c r="E784" s="339"/>
      <c r="F784" s="339"/>
      <c r="G784" s="339"/>
      <c r="H784" s="339"/>
      <c r="I784" s="341"/>
      <c r="J784" s="339"/>
      <c r="K784" s="339"/>
      <c r="L784" s="339"/>
      <c r="M784" s="339"/>
      <c r="N784" s="339"/>
      <c r="O784" s="341"/>
      <c r="P784" s="340"/>
      <c r="Q784" s="339"/>
      <c r="R784" s="339"/>
      <c r="S784" s="339"/>
      <c r="T784" s="339"/>
      <c r="U784" s="339"/>
      <c r="V784" s="339"/>
      <c r="W784" s="339"/>
      <c r="X784" s="339"/>
      <c r="Y784" s="339"/>
      <c r="Z784" s="339"/>
    </row>
    <row r="785" spans="1:26" ht="15.75" customHeight="1">
      <c r="A785" s="339"/>
      <c r="B785" s="339"/>
      <c r="C785" s="339"/>
      <c r="D785" s="339"/>
      <c r="E785" s="339"/>
      <c r="F785" s="339"/>
      <c r="G785" s="339"/>
      <c r="H785" s="339"/>
      <c r="I785" s="341"/>
      <c r="J785" s="339"/>
      <c r="K785" s="339"/>
      <c r="L785" s="339"/>
      <c r="M785" s="339"/>
      <c r="N785" s="339"/>
      <c r="O785" s="341"/>
      <c r="P785" s="340"/>
      <c r="Q785" s="339"/>
      <c r="R785" s="339"/>
      <c r="S785" s="339"/>
      <c r="T785" s="339"/>
      <c r="U785" s="339"/>
      <c r="V785" s="339"/>
      <c r="W785" s="339"/>
      <c r="X785" s="339"/>
      <c r="Y785" s="339"/>
      <c r="Z785" s="339"/>
    </row>
    <row r="786" spans="1:26" ht="15.75" customHeight="1">
      <c r="A786" s="339"/>
      <c r="B786" s="339"/>
      <c r="C786" s="339"/>
      <c r="D786" s="339"/>
      <c r="E786" s="339"/>
      <c r="F786" s="339"/>
      <c r="G786" s="339"/>
      <c r="H786" s="339"/>
      <c r="I786" s="341"/>
      <c r="J786" s="339"/>
      <c r="K786" s="339"/>
      <c r="L786" s="339"/>
      <c r="M786" s="339"/>
      <c r="N786" s="339"/>
      <c r="O786" s="341"/>
      <c r="P786" s="340"/>
      <c r="Q786" s="339"/>
      <c r="R786" s="339"/>
      <c r="S786" s="339"/>
      <c r="T786" s="339"/>
      <c r="U786" s="339"/>
      <c r="V786" s="339"/>
      <c r="W786" s="339"/>
      <c r="X786" s="339"/>
      <c r="Y786" s="339"/>
      <c r="Z786" s="339"/>
    </row>
    <row r="787" spans="1:26" ht="15.75" customHeight="1">
      <c r="A787" s="339"/>
      <c r="B787" s="339"/>
      <c r="C787" s="339"/>
      <c r="D787" s="339"/>
      <c r="E787" s="339"/>
      <c r="F787" s="339"/>
      <c r="G787" s="339"/>
      <c r="H787" s="339"/>
      <c r="I787" s="341"/>
      <c r="J787" s="339"/>
      <c r="K787" s="339"/>
      <c r="L787" s="339"/>
      <c r="M787" s="339"/>
      <c r="N787" s="339"/>
      <c r="O787" s="341"/>
      <c r="P787" s="340"/>
      <c r="Q787" s="339"/>
      <c r="R787" s="339"/>
      <c r="S787" s="339"/>
      <c r="T787" s="339"/>
      <c r="U787" s="339"/>
      <c r="V787" s="339"/>
      <c r="W787" s="339"/>
      <c r="X787" s="339"/>
      <c r="Y787" s="339"/>
      <c r="Z787" s="339"/>
    </row>
    <row r="788" spans="1:26" ht="15.75" customHeight="1">
      <c r="A788" s="339"/>
      <c r="B788" s="339"/>
      <c r="C788" s="339"/>
      <c r="D788" s="339"/>
      <c r="E788" s="339"/>
      <c r="F788" s="339"/>
      <c r="G788" s="339"/>
      <c r="H788" s="339"/>
      <c r="I788" s="341"/>
      <c r="J788" s="339"/>
      <c r="K788" s="339"/>
      <c r="L788" s="339"/>
      <c r="M788" s="339"/>
      <c r="N788" s="339"/>
      <c r="O788" s="341"/>
      <c r="P788" s="340"/>
      <c r="Q788" s="339"/>
      <c r="R788" s="339"/>
      <c r="S788" s="339"/>
      <c r="T788" s="339"/>
      <c r="U788" s="339"/>
      <c r="V788" s="339"/>
      <c r="W788" s="339"/>
      <c r="X788" s="339"/>
      <c r="Y788" s="339"/>
      <c r="Z788" s="339"/>
    </row>
    <row r="789" spans="1:26" ht="15.75" customHeight="1">
      <c r="A789" s="339"/>
      <c r="B789" s="339"/>
      <c r="C789" s="339"/>
      <c r="D789" s="339"/>
      <c r="E789" s="339"/>
      <c r="F789" s="339"/>
      <c r="G789" s="339"/>
      <c r="H789" s="339"/>
      <c r="I789" s="341"/>
      <c r="J789" s="339"/>
      <c r="K789" s="339"/>
      <c r="L789" s="339"/>
      <c r="M789" s="339"/>
      <c r="N789" s="339"/>
      <c r="O789" s="341"/>
      <c r="P789" s="340"/>
      <c r="Q789" s="339"/>
      <c r="R789" s="339"/>
      <c r="S789" s="339"/>
      <c r="T789" s="339"/>
      <c r="U789" s="339"/>
      <c r="V789" s="339"/>
      <c r="W789" s="339"/>
      <c r="X789" s="339"/>
      <c r="Y789" s="339"/>
      <c r="Z789" s="339"/>
    </row>
    <row r="790" spans="1:26" ht="15.75" customHeight="1">
      <c r="A790" s="339"/>
      <c r="B790" s="339"/>
      <c r="C790" s="339"/>
      <c r="D790" s="339"/>
      <c r="E790" s="339"/>
      <c r="F790" s="339"/>
      <c r="G790" s="339"/>
      <c r="H790" s="339"/>
      <c r="I790" s="341"/>
      <c r="J790" s="339"/>
      <c r="K790" s="339"/>
      <c r="L790" s="339"/>
      <c r="M790" s="339"/>
      <c r="N790" s="339"/>
      <c r="O790" s="341"/>
      <c r="P790" s="340"/>
      <c r="Q790" s="339"/>
      <c r="R790" s="339"/>
      <c r="S790" s="339"/>
      <c r="T790" s="339"/>
      <c r="U790" s="339"/>
      <c r="V790" s="339"/>
      <c r="W790" s="339"/>
      <c r="X790" s="339"/>
      <c r="Y790" s="339"/>
      <c r="Z790" s="339"/>
    </row>
    <row r="791" spans="1:26" ht="15.75" customHeight="1">
      <c r="A791" s="339"/>
      <c r="B791" s="339"/>
      <c r="C791" s="339"/>
      <c r="D791" s="339"/>
      <c r="E791" s="339"/>
      <c r="F791" s="339"/>
      <c r="G791" s="339"/>
      <c r="H791" s="339"/>
      <c r="I791" s="341"/>
      <c r="J791" s="339"/>
      <c r="K791" s="339"/>
      <c r="L791" s="339"/>
      <c r="M791" s="339"/>
      <c r="N791" s="339"/>
      <c r="O791" s="341"/>
      <c r="P791" s="340"/>
      <c r="Q791" s="339"/>
      <c r="R791" s="339"/>
      <c r="S791" s="339"/>
      <c r="T791" s="339"/>
      <c r="U791" s="339"/>
      <c r="V791" s="339"/>
      <c r="W791" s="339"/>
      <c r="X791" s="339"/>
      <c r="Y791" s="339"/>
      <c r="Z791" s="339"/>
    </row>
    <row r="792" spans="1:26" ht="15.75" customHeight="1">
      <c r="A792" s="339"/>
      <c r="B792" s="339"/>
      <c r="C792" s="339"/>
      <c r="D792" s="339"/>
      <c r="E792" s="339"/>
      <c r="F792" s="339"/>
      <c r="G792" s="339"/>
      <c r="H792" s="339"/>
      <c r="I792" s="341"/>
      <c r="J792" s="339"/>
      <c r="K792" s="339"/>
      <c r="L792" s="339"/>
      <c r="M792" s="339"/>
      <c r="N792" s="339"/>
      <c r="O792" s="341"/>
      <c r="P792" s="340"/>
      <c r="Q792" s="339"/>
      <c r="R792" s="339"/>
      <c r="S792" s="339"/>
      <c r="T792" s="339"/>
      <c r="U792" s="339"/>
      <c r="V792" s="339"/>
      <c r="W792" s="339"/>
      <c r="X792" s="339"/>
      <c r="Y792" s="339"/>
      <c r="Z792" s="339"/>
    </row>
    <row r="793" spans="1:26" ht="15.75" customHeight="1">
      <c r="A793" s="339"/>
      <c r="B793" s="339"/>
      <c r="C793" s="339"/>
      <c r="D793" s="339"/>
      <c r="E793" s="339"/>
      <c r="F793" s="339"/>
      <c r="G793" s="339"/>
      <c r="H793" s="339"/>
      <c r="I793" s="341"/>
      <c r="J793" s="339"/>
      <c r="K793" s="339"/>
      <c r="L793" s="339"/>
      <c r="M793" s="339"/>
      <c r="N793" s="339"/>
      <c r="O793" s="341"/>
      <c r="P793" s="340"/>
      <c r="Q793" s="339"/>
      <c r="R793" s="339"/>
      <c r="S793" s="339"/>
      <c r="T793" s="339"/>
      <c r="U793" s="339"/>
      <c r="V793" s="339"/>
      <c r="W793" s="339"/>
      <c r="X793" s="339"/>
      <c r="Y793" s="339"/>
      <c r="Z793" s="339"/>
    </row>
    <row r="794" spans="1:26" ht="15.75" customHeight="1">
      <c r="A794" s="339"/>
      <c r="B794" s="339"/>
      <c r="C794" s="339"/>
      <c r="D794" s="339"/>
      <c r="E794" s="339"/>
      <c r="F794" s="339"/>
      <c r="G794" s="339"/>
      <c r="H794" s="339"/>
      <c r="I794" s="341"/>
      <c r="J794" s="339"/>
      <c r="K794" s="339"/>
      <c r="L794" s="339"/>
      <c r="M794" s="339"/>
      <c r="N794" s="339"/>
      <c r="O794" s="341"/>
      <c r="P794" s="340"/>
      <c r="Q794" s="339"/>
      <c r="R794" s="339"/>
      <c r="S794" s="339"/>
      <c r="T794" s="339"/>
      <c r="U794" s="339"/>
      <c r="V794" s="339"/>
      <c r="W794" s="339"/>
      <c r="X794" s="339"/>
      <c r="Y794" s="339"/>
      <c r="Z794" s="339"/>
    </row>
    <row r="795" spans="1:26" ht="15.75" customHeight="1">
      <c r="A795" s="339"/>
      <c r="B795" s="339"/>
      <c r="C795" s="339"/>
      <c r="D795" s="339"/>
      <c r="E795" s="339"/>
      <c r="F795" s="339"/>
      <c r="G795" s="339"/>
      <c r="H795" s="339"/>
      <c r="I795" s="341"/>
      <c r="J795" s="339"/>
      <c r="K795" s="339"/>
      <c r="L795" s="339"/>
      <c r="M795" s="339"/>
      <c r="N795" s="339"/>
      <c r="O795" s="341"/>
      <c r="P795" s="340"/>
      <c r="Q795" s="339"/>
      <c r="R795" s="339"/>
      <c r="S795" s="339"/>
      <c r="T795" s="339"/>
      <c r="U795" s="339"/>
      <c r="V795" s="339"/>
      <c r="W795" s="339"/>
      <c r="X795" s="339"/>
      <c r="Y795" s="339"/>
      <c r="Z795" s="339"/>
    </row>
    <row r="796" spans="1:26" ht="15.75" customHeight="1">
      <c r="A796" s="339"/>
      <c r="B796" s="339"/>
      <c r="C796" s="339"/>
      <c r="D796" s="339"/>
      <c r="E796" s="339"/>
      <c r="F796" s="339"/>
      <c r="G796" s="339"/>
      <c r="H796" s="339"/>
      <c r="I796" s="341"/>
      <c r="J796" s="339"/>
      <c r="K796" s="339"/>
      <c r="L796" s="339"/>
      <c r="M796" s="339"/>
      <c r="N796" s="339"/>
      <c r="O796" s="341"/>
      <c r="P796" s="340"/>
      <c r="Q796" s="339"/>
      <c r="R796" s="339"/>
      <c r="S796" s="339"/>
      <c r="T796" s="339"/>
      <c r="U796" s="339"/>
      <c r="V796" s="339"/>
      <c r="W796" s="339"/>
      <c r="X796" s="339"/>
      <c r="Y796" s="339"/>
      <c r="Z796" s="339"/>
    </row>
    <row r="797" spans="1:26" ht="15.75" customHeight="1">
      <c r="A797" s="339"/>
      <c r="B797" s="339"/>
      <c r="C797" s="339"/>
      <c r="D797" s="339"/>
      <c r="E797" s="339"/>
      <c r="F797" s="339"/>
      <c r="G797" s="339"/>
      <c r="H797" s="339"/>
      <c r="I797" s="341"/>
      <c r="J797" s="339"/>
      <c r="K797" s="339"/>
      <c r="L797" s="339"/>
      <c r="M797" s="339"/>
      <c r="N797" s="339"/>
      <c r="O797" s="341"/>
      <c r="P797" s="340"/>
      <c r="Q797" s="339"/>
      <c r="R797" s="339"/>
      <c r="S797" s="339"/>
      <c r="T797" s="339"/>
      <c r="U797" s="339"/>
      <c r="V797" s="339"/>
      <c r="W797" s="339"/>
      <c r="X797" s="339"/>
      <c r="Y797" s="339"/>
      <c r="Z797" s="339"/>
    </row>
    <row r="798" spans="1:26" ht="15.75" customHeight="1">
      <c r="A798" s="339"/>
      <c r="B798" s="339"/>
      <c r="C798" s="339"/>
      <c r="D798" s="339"/>
      <c r="E798" s="339"/>
      <c r="F798" s="339"/>
      <c r="G798" s="339"/>
      <c r="H798" s="339"/>
      <c r="I798" s="341"/>
      <c r="J798" s="339"/>
      <c r="K798" s="339"/>
      <c r="L798" s="339"/>
      <c r="M798" s="339"/>
      <c r="N798" s="339"/>
      <c r="O798" s="341"/>
      <c r="P798" s="340"/>
      <c r="Q798" s="339"/>
      <c r="R798" s="339"/>
      <c r="S798" s="339"/>
      <c r="T798" s="339"/>
      <c r="U798" s="339"/>
      <c r="V798" s="339"/>
      <c r="W798" s="339"/>
      <c r="X798" s="339"/>
      <c r="Y798" s="339"/>
      <c r="Z798" s="339"/>
    </row>
    <row r="799" spans="1:26" ht="15.75" customHeight="1">
      <c r="A799" s="339"/>
      <c r="B799" s="339"/>
      <c r="C799" s="339"/>
      <c r="D799" s="339"/>
      <c r="E799" s="339"/>
      <c r="F799" s="339"/>
      <c r="G799" s="339"/>
      <c r="H799" s="339"/>
      <c r="I799" s="341"/>
      <c r="J799" s="339"/>
      <c r="K799" s="339"/>
      <c r="L799" s="339"/>
      <c r="M799" s="339"/>
      <c r="N799" s="339"/>
      <c r="O799" s="341"/>
      <c r="P799" s="340"/>
      <c r="Q799" s="339"/>
      <c r="R799" s="339"/>
      <c r="S799" s="339"/>
      <c r="T799" s="339"/>
      <c r="U799" s="339"/>
      <c r="V799" s="339"/>
      <c r="W799" s="339"/>
      <c r="X799" s="339"/>
      <c r="Y799" s="339"/>
      <c r="Z799" s="339"/>
    </row>
    <row r="800" spans="1:26" ht="15.75" customHeight="1">
      <c r="A800" s="339"/>
      <c r="B800" s="339"/>
      <c r="C800" s="339"/>
      <c r="D800" s="339"/>
      <c r="E800" s="339"/>
      <c r="F800" s="339"/>
      <c r="G800" s="339"/>
      <c r="H800" s="339"/>
      <c r="I800" s="341"/>
      <c r="J800" s="339"/>
      <c r="K800" s="339"/>
      <c r="L800" s="339"/>
      <c r="M800" s="339"/>
      <c r="N800" s="339"/>
      <c r="O800" s="341"/>
      <c r="P800" s="340"/>
      <c r="Q800" s="339"/>
      <c r="R800" s="339"/>
      <c r="S800" s="339"/>
      <c r="T800" s="339"/>
      <c r="U800" s="339"/>
      <c r="V800" s="339"/>
      <c r="W800" s="339"/>
      <c r="X800" s="339"/>
      <c r="Y800" s="339"/>
      <c r="Z800" s="339"/>
    </row>
    <row r="801" spans="1:26" ht="15.75" customHeight="1">
      <c r="A801" s="339"/>
      <c r="B801" s="339"/>
      <c r="C801" s="339"/>
      <c r="D801" s="339"/>
      <c r="E801" s="339"/>
      <c r="F801" s="339"/>
      <c r="G801" s="339"/>
      <c r="H801" s="339"/>
      <c r="I801" s="341"/>
      <c r="J801" s="339"/>
      <c r="K801" s="339"/>
      <c r="L801" s="339"/>
      <c r="M801" s="339"/>
      <c r="N801" s="339"/>
      <c r="O801" s="341"/>
      <c r="P801" s="340"/>
      <c r="Q801" s="339"/>
      <c r="R801" s="339"/>
      <c r="S801" s="339"/>
      <c r="T801" s="339"/>
      <c r="U801" s="339"/>
      <c r="V801" s="339"/>
      <c r="W801" s="339"/>
      <c r="X801" s="339"/>
      <c r="Y801" s="339"/>
      <c r="Z801" s="339"/>
    </row>
    <row r="802" spans="1:26" ht="15.75" customHeight="1">
      <c r="A802" s="339"/>
      <c r="B802" s="339"/>
      <c r="C802" s="339"/>
      <c r="D802" s="339"/>
      <c r="E802" s="339"/>
      <c r="F802" s="339"/>
      <c r="G802" s="339"/>
      <c r="H802" s="339"/>
      <c r="I802" s="341"/>
      <c r="J802" s="339"/>
      <c r="K802" s="339"/>
      <c r="L802" s="339"/>
      <c r="M802" s="339"/>
      <c r="N802" s="339"/>
      <c r="O802" s="341"/>
      <c r="P802" s="340"/>
      <c r="Q802" s="339"/>
      <c r="R802" s="339"/>
      <c r="S802" s="339"/>
      <c r="T802" s="339"/>
      <c r="U802" s="339"/>
      <c r="V802" s="339"/>
      <c r="W802" s="339"/>
      <c r="X802" s="339"/>
      <c r="Y802" s="339"/>
      <c r="Z802" s="339"/>
    </row>
    <row r="803" spans="1:26" ht="15.75" customHeight="1">
      <c r="A803" s="339"/>
      <c r="B803" s="339"/>
      <c r="C803" s="339"/>
      <c r="D803" s="339"/>
      <c r="E803" s="339"/>
      <c r="F803" s="339"/>
      <c r="G803" s="339"/>
      <c r="H803" s="339"/>
      <c r="I803" s="341"/>
      <c r="J803" s="339"/>
      <c r="K803" s="339"/>
      <c r="L803" s="339"/>
      <c r="M803" s="339"/>
      <c r="N803" s="339"/>
      <c r="O803" s="341"/>
      <c r="P803" s="340"/>
      <c r="Q803" s="339"/>
      <c r="R803" s="339"/>
      <c r="S803" s="339"/>
      <c r="T803" s="339"/>
      <c r="U803" s="339"/>
      <c r="V803" s="339"/>
      <c r="W803" s="339"/>
      <c r="X803" s="339"/>
      <c r="Y803" s="339"/>
      <c r="Z803" s="339"/>
    </row>
    <row r="804" spans="1:26" ht="15.75" customHeight="1">
      <c r="A804" s="339"/>
      <c r="B804" s="339"/>
      <c r="C804" s="339"/>
      <c r="D804" s="339"/>
      <c r="E804" s="339"/>
      <c r="F804" s="339"/>
      <c r="G804" s="339"/>
      <c r="H804" s="339"/>
      <c r="I804" s="341"/>
      <c r="J804" s="339"/>
      <c r="K804" s="339"/>
      <c r="L804" s="339"/>
      <c r="M804" s="339"/>
      <c r="N804" s="339"/>
      <c r="O804" s="341"/>
      <c r="P804" s="340"/>
      <c r="Q804" s="339"/>
      <c r="R804" s="339"/>
      <c r="S804" s="339"/>
      <c r="T804" s="339"/>
      <c r="U804" s="339"/>
      <c r="V804" s="339"/>
      <c r="W804" s="339"/>
      <c r="X804" s="339"/>
      <c r="Y804" s="339"/>
      <c r="Z804" s="339"/>
    </row>
    <row r="805" spans="1:26" ht="15.75" customHeight="1">
      <c r="A805" s="339"/>
      <c r="B805" s="339"/>
      <c r="C805" s="339"/>
      <c r="D805" s="339"/>
      <c r="E805" s="339"/>
      <c r="F805" s="339"/>
      <c r="G805" s="339"/>
      <c r="H805" s="339"/>
      <c r="I805" s="341"/>
      <c r="J805" s="339"/>
      <c r="K805" s="339"/>
      <c r="L805" s="339"/>
      <c r="M805" s="339"/>
      <c r="N805" s="339"/>
      <c r="O805" s="341"/>
      <c r="P805" s="340"/>
      <c r="Q805" s="339"/>
      <c r="R805" s="339"/>
      <c r="S805" s="339"/>
      <c r="T805" s="339"/>
      <c r="U805" s="339"/>
      <c r="V805" s="339"/>
      <c r="W805" s="339"/>
      <c r="X805" s="339"/>
      <c r="Y805" s="339"/>
      <c r="Z805" s="339"/>
    </row>
    <row r="806" spans="1:26" ht="15.75" customHeight="1">
      <c r="A806" s="339"/>
      <c r="B806" s="339"/>
      <c r="C806" s="339"/>
      <c r="D806" s="339"/>
      <c r="E806" s="339"/>
      <c r="F806" s="339"/>
      <c r="G806" s="339"/>
      <c r="H806" s="339"/>
      <c r="I806" s="341"/>
      <c r="J806" s="339"/>
      <c r="K806" s="339"/>
      <c r="L806" s="339"/>
      <c r="M806" s="339"/>
      <c r="N806" s="339"/>
      <c r="O806" s="341"/>
      <c r="P806" s="340"/>
      <c r="Q806" s="339"/>
      <c r="R806" s="339"/>
      <c r="S806" s="339"/>
      <c r="T806" s="339"/>
      <c r="U806" s="339"/>
      <c r="V806" s="339"/>
      <c r="W806" s="339"/>
      <c r="X806" s="339"/>
      <c r="Y806" s="339"/>
      <c r="Z806" s="339"/>
    </row>
    <row r="807" spans="1:26" ht="15.75" customHeight="1">
      <c r="A807" s="339"/>
      <c r="B807" s="339"/>
      <c r="C807" s="339"/>
      <c r="D807" s="339"/>
      <c r="E807" s="339"/>
      <c r="F807" s="339"/>
      <c r="G807" s="339"/>
      <c r="H807" s="339"/>
      <c r="I807" s="341"/>
      <c r="J807" s="339"/>
      <c r="K807" s="339"/>
      <c r="L807" s="339"/>
      <c r="M807" s="339"/>
      <c r="N807" s="339"/>
      <c r="O807" s="341"/>
      <c r="P807" s="340"/>
      <c r="Q807" s="339"/>
      <c r="R807" s="339"/>
      <c r="S807" s="339"/>
      <c r="T807" s="339"/>
      <c r="U807" s="339"/>
      <c r="V807" s="339"/>
      <c r="W807" s="339"/>
      <c r="X807" s="339"/>
      <c r="Y807" s="339"/>
      <c r="Z807" s="339"/>
    </row>
    <row r="808" spans="1:26" ht="15.75" customHeight="1">
      <c r="A808" s="339"/>
      <c r="B808" s="339"/>
      <c r="C808" s="339"/>
      <c r="D808" s="339"/>
      <c r="E808" s="339"/>
      <c r="F808" s="339"/>
      <c r="G808" s="339"/>
      <c r="H808" s="339"/>
      <c r="I808" s="341"/>
      <c r="J808" s="339"/>
      <c r="K808" s="339"/>
      <c r="L808" s="339"/>
      <c r="M808" s="339"/>
      <c r="N808" s="339"/>
      <c r="O808" s="341"/>
      <c r="P808" s="340"/>
      <c r="Q808" s="339"/>
      <c r="R808" s="339"/>
      <c r="S808" s="339"/>
      <c r="T808" s="339"/>
      <c r="U808" s="339"/>
      <c r="V808" s="339"/>
      <c r="W808" s="339"/>
      <c r="X808" s="339"/>
      <c r="Y808" s="339"/>
      <c r="Z808" s="339"/>
    </row>
    <row r="809" spans="1:26" ht="15.75" customHeight="1">
      <c r="A809" s="339"/>
      <c r="B809" s="339"/>
      <c r="C809" s="339"/>
      <c r="D809" s="339"/>
      <c r="E809" s="339"/>
      <c r="F809" s="339"/>
      <c r="G809" s="339"/>
      <c r="H809" s="339"/>
      <c r="I809" s="341"/>
      <c r="J809" s="339"/>
      <c r="K809" s="339"/>
      <c r="L809" s="339"/>
      <c r="M809" s="339"/>
      <c r="N809" s="339"/>
      <c r="O809" s="341"/>
      <c r="P809" s="340"/>
      <c r="Q809" s="339"/>
      <c r="R809" s="339"/>
      <c r="S809" s="339"/>
      <c r="T809" s="339"/>
      <c r="U809" s="339"/>
      <c r="V809" s="339"/>
      <c r="W809" s="339"/>
      <c r="X809" s="339"/>
      <c r="Y809" s="339"/>
      <c r="Z809" s="339"/>
    </row>
    <row r="810" spans="1:26" ht="15.75" customHeight="1">
      <c r="A810" s="339"/>
      <c r="B810" s="339"/>
      <c r="C810" s="339"/>
      <c r="D810" s="339"/>
      <c r="E810" s="339"/>
      <c r="F810" s="339"/>
      <c r="G810" s="339"/>
      <c r="H810" s="339"/>
      <c r="I810" s="341"/>
      <c r="J810" s="339"/>
      <c r="K810" s="339"/>
      <c r="L810" s="339"/>
      <c r="M810" s="339"/>
      <c r="N810" s="339"/>
      <c r="O810" s="341"/>
      <c r="P810" s="340"/>
      <c r="Q810" s="339"/>
      <c r="R810" s="339"/>
      <c r="S810" s="339"/>
      <c r="T810" s="339"/>
      <c r="U810" s="339"/>
      <c r="V810" s="339"/>
      <c r="W810" s="339"/>
      <c r="X810" s="339"/>
      <c r="Y810" s="339"/>
      <c r="Z810" s="339"/>
    </row>
    <row r="811" spans="1:26" ht="15.75" customHeight="1">
      <c r="A811" s="339"/>
      <c r="B811" s="339"/>
      <c r="C811" s="339"/>
      <c r="D811" s="339"/>
      <c r="E811" s="339"/>
      <c r="F811" s="339"/>
      <c r="G811" s="339"/>
      <c r="H811" s="339"/>
      <c r="I811" s="341"/>
      <c r="J811" s="339"/>
      <c r="K811" s="339"/>
      <c r="L811" s="339"/>
      <c r="M811" s="339"/>
      <c r="N811" s="339"/>
      <c r="O811" s="341"/>
      <c r="P811" s="340"/>
      <c r="Q811" s="339"/>
      <c r="R811" s="339"/>
      <c r="S811" s="339"/>
      <c r="T811" s="339"/>
      <c r="U811" s="339"/>
      <c r="V811" s="339"/>
      <c r="W811" s="339"/>
      <c r="X811" s="339"/>
      <c r="Y811" s="339"/>
      <c r="Z811" s="339"/>
    </row>
    <row r="812" spans="1:26" ht="15.75" customHeight="1">
      <c r="A812" s="339"/>
      <c r="B812" s="339"/>
      <c r="C812" s="339"/>
      <c r="D812" s="339"/>
      <c r="E812" s="339"/>
      <c r="F812" s="339"/>
      <c r="G812" s="339"/>
      <c r="H812" s="339"/>
      <c r="I812" s="341"/>
      <c r="J812" s="339"/>
      <c r="K812" s="339"/>
      <c r="L812" s="339"/>
      <c r="M812" s="339"/>
      <c r="N812" s="339"/>
      <c r="O812" s="341"/>
      <c r="P812" s="340"/>
      <c r="Q812" s="339"/>
      <c r="R812" s="339"/>
      <c r="S812" s="339"/>
      <c r="T812" s="339"/>
      <c r="U812" s="339"/>
      <c r="V812" s="339"/>
      <c r="W812" s="339"/>
      <c r="X812" s="339"/>
      <c r="Y812" s="339"/>
      <c r="Z812" s="339"/>
    </row>
    <row r="813" spans="1:26" ht="15.75" customHeight="1">
      <c r="A813" s="339"/>
      <c r="B813" s="339"/>
      <c r="C813" s="339"/>
      <c r="D813" s="339"/>
      <c r="E813" s="339"/>
      <c r="F813" s="339"/>
      <c r="G813" s="339"/>
      <c r="H813" s="339"/>
      <c r="I813" s="341"/>
      <c r="J813" s="339"/>
      <c r="K813" s="339"/>
      <c r="L813" s="339"/>
      <c r="M813" s="339"/>
      <c r="N813" s="339"/>
      <c r="O813" s="341"/>
      <c r="P813" s="340"/>
      <c r="Q813" s="339"/>
      <c r="R813" s="339"/>
      <c r="S813" s="339"/>
      <c r="T813" s="339"/>
      <c r="U813" s="339"/>
      <c r="V813" s="339"/>
      <c r="W813" s="339"/>
      <c r="X813" s="339"/>
      <c r="Y813" s="339"/>
      <c r="Z813" s="339"/>
    </row>
    <row r="814" spans="1:26" ht="15.75" customHeight="1">
      <c r="A814" s="339"/>
      <c r="B814" s="339"/>
      <c r="C814" s="339"/>
      <c r="D814" s="339"/>
      <c r="E814" s="339"/>
      <c r="F814" s="339"/>
      <c r="G814" s="339"/>
      <c r="H814" s="339"/>
      <c r="I814" s="341"/>
      <c r="J814" s="339"/>
      <c r="K814" s="339"/>
      <c r="L814" s="339"/>
      <c r="M814" s="339"/>
      <c r="N814" s="339"/>
      <c r="O814" s="341"/>
      <c r="P814" s="340"/>
      <c r="Q814" s="339"/>
      <c r="R814" s="339"/>
      <c r="S814" s="339"/>
      <c r="T814" s="339"/>
      <c r="U814" s="339"/>
      <c r="V814" s="339"/>
      <c r="W814" s="339"/>
      <c r="X814" s="339"/>
      <c r="Y814" s="339"/>
      <c r="Z814" s="339"/>
    </row>
    <row r="815" spans="1:26" ht="15.75" customHeight="1">
      <c r="A815" s="339"/>
      <c r="B815" s="339"/>
      <c r="C815" s="339"/>
      <c r="D815" s="339"/>
      <c r="E815" s="339"/>
      <c r="F815" s="339"/>
      <c r="G815" s="339"/>
      <c r="H815" s="339"/>
      <c r="I815" s="341"/>
      <c r="J815" s="339"/>
      <c r="K815" s="339"/>
      <c r="L815" s="339"/>
      <c r="M815" s="339"/>
      <c r="N815" s="339"/>
      <c r="O815" s="341"/>
      <c r="P815" s="340"/>
      <c r="Q815" s="339"/>
      <c r="R815" s="339"/>
      <c r="S815" s="339"/>
      <c r="T815" s="339"/>
      <c r="U815" s="339"/>
      <c r="V815" s="339"/>
      <c r="W815" s="339"/>
      <c r="X815" s="339"/>
      <c r="Y815" s="339"/>
      <c r="Z815" s="339"/>
    </row>
    <row r="816" spans="1:26" ht="15.75" customHeight="1">
      <c r="A816" s="339"/>
      <c r="B816" s="339"/>
      <c r="C816" s="339"/>
      <c r="D816" s="339"/>
      <c r="E816" s="339"/>
      <c r="F816" s="339"/>
      <c r="G816" s="339"/>
      <c r="H816" s="339"/>
      <c r="I816" s="341"/>
      <c r="J816" s="339"/>
      <c r="K816" s="339"/>
      <c r="L816" s="339"/>
      <c r="M816" s="339"/>
      <c r="N816" s="339"/>
      <c r="O816" s="341"/>
      <c r="P816" s="340"/>
      <c r="Q816" s="339"/>
      <c r="R816" s="339"/>
      <c r="S816" s="339"/>
      <c r="T816" s="339"/>
      <c r="U816" s="339"/>
      <c r="V816" s="339"/>
      <c r="W816" s="339"/>
      <c r="X816" s="339"/>
      <c r="Y816" s="339"/>
      <c r="Z816" s="339"/>
    </row>
    <row r="817" spans="1:26" ht="15.75" customHeight="1">
      <c r="A817" s="339"/>
      <c r="B817" s="339"/>
      <c r="C817" s="339"/>
      <c r="D817" s="339"/>
      <c r="E817" s="339"/>
      <c r="F817" s="339"/>
      <c r="G817" s="339"/>
      <c r="H817" s="339"/>
      <c r="I817" s="341"/>
      <c r="J817" s="339"/>
      <c r="K817" s="339"/>
      <c r="L817" s="339"/>
      <c r="M817" s="339"/>
      <c r="N817" s="339"/>
      <c r="O817" s="341"/>
      <c r="P817" s="340"/>
      <c r="Q817" s="339"/>
      <c r="R817" s="339"/>
      <c r="S817" s="339"/>
      <c r="T817" s="339"/>
      <c r="U817" s="339"/>
      <c r="V817" s="339"/>
      <c r="W817" s="339"/>
      <c r="X817" s="339"/>
      <c r="Y817" s="339"/>
      <c r="Z817" s="339"/>
    </row>
    <row r="818" spans="1:26" ht="15.75" customHeight="1">
      <c r="A818" s="339"/>
      <c r="B818" s="339"/>
      <c r="C818" s="339"/>
      <c r="D818" s="339"/>
      <c r="E818" s="339"/>
      <c r="F818" s="339"/>
      <c r="G818" s="339"/>
      <c r="H818" s="339"/>
      <c r="I818" s="341"/>
      <c r="J818" s="339"/>
      <c r="K818" s="339"/>
      <c r="L818" s="339"/>
      <c r="M818" s="339"/>
      <c r="N818" s="339"/>
      <c r="O818" s="341"/>
      <c r="P818" s="340"/>
      <c r="Q818" s="339"/>
      <c r="R818" s="339"/>
      <c r="S818" s="339"/>
      <c r="T818" s="339"/>
      <c r="U818" s="339"/>
      <c r="V818" s="339"/>
      <c r="W818" s="339"/>
      <c r="X818" s="339"/>
      <c r="Y818" s="339"/>
      <c r="Z818" s="339"/>
    </row>
    <row r="819" spans="1:26" ht="15.75" customHeight="1">
      <c r="A819" s="339"/>
      <c r="B819" s="339"/>
      <c r="C819" s="339"/>
      <c r="D819" s="339"/>
      <c r="E819" s="339"/>
      <c r="F819" s="339"/>
      <c r="G819" s="339"/>
      <c r="H819" s="339"/>
      <c r="I819" s="341"/>
      <c r="J819" s="339"/>
      <c r="K819" s="339"/>
      <c r="L819" s="339"/>
      <c r="M819" s="339"/>
      <c r="N819" s="339"/>
      <c r="O819" s="341"/>
      <c r="P819" s="340"/>
      <c r="Q819" s="339"/>
      <c r="R819" s="339"/>
      <c r="S819" s="339"/>
      <c r="T819" s="339"/>
      <c r="U819" s="339"/>
      <c r="V819" s="339"/>
      <c r="W819" s="339"/>
      <c r="X819" s="339"/>
      <c r="Y819" s="339"/>
      <c r="Z819" s="339"/>
    </row>
    <row r="820" spans="1:26" ht="15.75" customHeight="1">
      <c r="A820" s="339"/>
      <c r="B820" s="339"/>
      <c r="C820" s="339"/>
      <c r="D820" s="339"/>
      <c r="E820" s="339"/>
      <c r="F820" s="339"/>
      <c r="G820" s="339"/>
      <c r="H820" s="339"/>
      <c r="I820" s="341"/>
      <c r="J820" s="339"/>
      <c r="K820" s="339"/>
      <c r="L820" s="339"/>
      <c r="M820" s="339"/>
      <c r="N820" s="339"/>
      <c r="O820" s="341"/>
      <c r="P820" s="340"/>
      <c r="Q820" s="339"/>
      <c r="R820" s="339"/>
      <c r="S820" s="339"/>
      <c r="T820" s="339"/>
      <c r="U820" s="339"/>
      <c r="V820" s="339"/>
      <c r="W820" s="339"/>
      <c r="X820" s="339"/>
      <c r="Y820" s="339"/>
      <c r="Z820" s="339"/>
    </row>
    <row r="821" spans="1:26" ht="15.75" customHeight="1">
      <c r="A821" s="339"/>
      <c r="B821" s="339"/>
      <c r="C821" s="339"/>
      <c r="D821" s="339"/>
      <c r="E821" s="339"/>
      <c r="F821" s="339"/>
      <c r="G821" s="339"/>
      <c r="H821" s="339"/>
      <c r="I821" s="341"/>
      <c r="J821" s="339"/>
      <c r="K821" s="339"/>
      <c r="L821" s="339"/>
      <c r="M821" s="339"/>
      <c r="N821" s="339"/>
      <c r="O821" s="341"/>
      <c r="P821" s="340"/>
      <c r="Q821" s="339"/>
      <c r="R821" s="339"/>
      <c r="S821" s="339"/>
      <c r="T821" s="339"/>
      <c r="U821" s="339"/>
      <c r="V821" s="339"/>
      <c r="W821" s="339"/>
      <c r="X821" s="339"/>
      <c r="Y821" s="339"/>
      <c r="Z821" s="339"/>
    </row>
    <row r="822" spans="1:26" ht="15.75" customHeight="1">
      <c r="A822" s="339"/>
      <c r="B822" s="339"/>
      <c r="C822" s="339"/>
      <c r="D822" s="339"/>
      <c r="E822" s="339"/>
      <c r="F822" s="339"/>
      <c r="G822" s="339"/>
      <c r="H822" s="339"/>
      <c r="I822" s="341"/>
      <c r="J822" s="339"/>
      <c r="K822" s="339"/>
      <c r="L822" s="339"/>
      <c r="M822" s="339"/>
      <c r="N822" s="339"/>
      <c r="O822" s="341"/>
      <c r="P822" s="340"/>
      <c r="Q822" s="339"/>
      <c r="R822" s="339"/>
      <c r="S822" s="339"/>
      <c r="T822" s="339"/>
      <c r="U822" s="339"/>
      <c r="V822" s="339"/>
      <c r="W822" s="339"/>
      <c r="X822" s="339"/>
      <c r="Y822" s="339"/>
      <c r="Z822" s="339"/>
    </row>
    <row r="823" spans="1:26" ht="15.75" customHeight="1">
      <c r="A823" s="339"/>
      <c r="B823" s="339"/>
      <c r="C823" s="339"/>
      <c r="D823" s="339"/>
      <c r="E823" s="339"/>
      <c r="F823" s="339"/>
      <c r="G823" s="339"/>
      <c r="H823" s="339"/>
      <c r="I823" s="341"/>
      <c r="J823" s="339"/>
      <c r="K823" s="339"/>
      <c r="L823" s="339"/>
      <c r="M823" s="339"/>
      <c r="N823" s="339"/>
      <c r="O823" s="341"/>
      <c r="P823" s="340"/>
      <c r="Q823" s="339"/>
      <c r="R823" s="339"/>
      <c r="S823" s="339"/>
      <c r="T823" s="339"/>
      <c r="U823" s="339"/>
      <c r="V823" s="339"/>
      <c r="W823" s="339"/>
      <c r="X823" s="339"/>
      <c r="Y823" s="339"/>
      <c r="Z823" s="339"/>
    </row>
    <row r="824" spans="1:26" ht="15.75" customHeight="1">
      <c r="A824" s="339"/>
      <c r="B824" s="339"/>
      <c r="C824" s="339"/>
      <c r="D824" s="339"/>
      <c r="E824" s="339"/>
      <c r="F824" s="339"/>
      <c r="G824" s="339"/>
      <c r="H824" s="339"/>
      <c r="I824" s="341"/>
      <c r="J824" s="339"/>
      <c r="K824" s="339"/>
      <c r="L824" s="339"/>
      <c r="M824" s="339"/>
      <c r="N824" s="339"/>
      <c r="O824" s="341"/>
      <c r="P824" s="340"/>
      <c r="Q824" s="339"/>
      <c r="R824" s="339"/>
      <c r="S824" s="339"/>
      <c r="T824" s="339"/>
      <c r="U824" s="339"/>
      <c r="V824" s="339"/>
      <c r="W824" s="339"/>
      <c r="X824" s="339"/>
      <c r="Y824" s="339"/>
      <c r="Z824" s="339"/>
    </row>
    <row r="825" spans="1:26" ht="15.75" customHeight="1">
      <c r="A825" s="339"/>
      <c r="B825" s="339"/>
      <c r="C825" s="339"/>
      <c r="D825" s="339"/>
      <c r="E825" s="339"/>
      <c r="F825" s="339"/>
      <c r="G825" s="339"/>
      <c r="H825" s="339"/>
      <c r="I825" s="341"/>
      <c r="J825" s="339"/>
      <c r="K825" s="339"/>
      <c r="L825" s="339"/>
      <c r="M825" s="339"/>
      <c r="N825" s="339"/>
      <c r="O825" s="341"/>
      <c r="P825" s="340"/>
      <c r="Q825" s="339"/>
      <c r="R825" s="339"/>
      <c r="S825" s="339"/>
      <c r="T825" s="339"/>
      <c r="U825" s="339"/>
      <c r="V825" s="339"/>
      <c r="W825" s="339"/>
      <c r="X825" s="339"/>
      <c r="Y825" s="339"/>
      <c r="Z825" s="339"/>
    </row>
    <row r="826" spans="1:26" ht="15.75" customHeight="1">
      <c r="A826" s="339"/>
      <c r="B826" s="339"/>
      <c r="C826" s="339"/>
      <c r="D826" s="339"/>
      <c r="E826" s="339"/>
      <c r="F826" s="339"/>
      <c r="G826" s="339"/>
      <c r="H826" s="339"/>
      <c r="I826" s="341"/>
      <c r="J826" s="339"/>
      <c r="K826" s="339"/>
      <c r="L826" s="339"/>
      <c r="M826" s="339"/>
      <c r="N826" s="339"/>
      <c r="O826" s="341"/>
      <c r="P826" s="340"/>
      <c r="Q826" s="339"/>
      <c r="R826" s="339"/>
      <c r="S826" s="339"/>
      <c r="T826" s="339"/>
      <c r="U826" s="339"/>
      <c r="V826" s="339"/>
      <c r="W826" s="339"/>
      <c r="X826" s="339"/>
      <c r="Y826" s="339"/>
      <c r="Z826" s="339"/>
    </row>
    <row r="827" spans="1:26" ht="15.75" customHeight="1">
      <c r="A827" s="339"/>
      <c r="B827" s="339"/>
      <c r="C827" s="339"/>
      <c r="D827" s="339"/>
      <c r="E827" s="339"/>
      <c r="F827" s="339"/>
      <c r="G827" s="339"/>
      <c r="H827" s="339"/>
      <c r="I827" s="341"/>
      <c r="J827" s="339"/>
      <c r="K827" s="339"/>
      <c r="L827" s="339"/>
      <c r="M827" s="339"/>
      <c r="N827" s="339"/>
      <c r="O827" s="341"/>
      <c r="P827" s="340"/>
      <c r="Q827" s="339"/>
      <c r="R827" s="339"/>
      <c r="S827" s="339"/>
      <c r="T827" s="339"/>
      <c r="U827" s="339"/>
      <c r="V827" s="339"/>
      <c r="W827" s="339"/>
      <c r="X827" s="339"/>
      <c r="Y827" s="339"/>
      <c r="Z827" s="339"/>
    </row>
    <row r="828" spans="1:26" ht="15.75" customHeight="1">
      <c r="A828" s="339"/>
      <c r="B828" s="339"/>
      <c r="C828" s="339"/>
      <c r="D828" s="339"/>
      <c r="E828" s="339"/>
      <c r="F828" s="339"/>
      <c r="G828" s="339"/>
      <c r="H828" s="339"/>
      <c r="I828" s="341"/>
      <c r="J828" s="339"/>
      <c r="K828" s="339"/>
      <c r="L828" s="339"/>
      <c r="M828" s="339"/>
      <c r="N828" s="339"/>
      <c r="O828" s="341"/>
      <c r="P828" s="340"/>
      <c r="Q828" s="339"/>
      <c r="R828" s="339"/>
      <c r="S828" s="339"/>
      <c r="T828" s="339"/>
      <c r="U828" s="339"/>
      <c r="V828" s="339"/>
      <c r="W828" s="339"/>
      <c r="X828" s="339"/>
      <c r="Y828" s="339"/>
      <c r="Z828" s="339"/>
    </row>
    <row r="829" spans="1:26" ht="15.75" customHeight="1">
      <c r="A829" s="339"/>
      <c r="B829" s="339"/>
      <c r="C829" s="339"/>
      <c r="D829" s="339"/>
      <c r="E829" s="339"/>
      <c r="F829" s="339"/>
      <c r="G829" s="339"/>
      <c r="H829" s="339"/>
      <c r="I829" s="341"/>
      <c r="J829" s="339"/>
      <c r="K829" s="339"/>
      <c r="L829" s="339"/>
      <c r="M829" s="339"/>
      <c r="N829" s="339"/>
      <c r="O829" s="341"/>
      <c r="P829" s="340"/>
      <c r="Q829" s="339"/>
      <c r="R829" s="339"/>
      <c r="S829" s="339"/>
      <c r="T829" s="339"/>
      <c r="U829" s="339"/>
      <c r="V829" s="339"/>
      <c r="W829" s="339"/>
      <c r="X829" s="339"/>
      <c r="Y829" s="339"/>
      <c r="Z829" s="339"/>
    </row>
    <row r="830" spans="1:26" ht="15.75" customHeight="1">
      <c r="A830" s="339"/>
      <c r="B830" s="339"/>
      <c r="C830" s="339"/>
      <c r="D830" s="339"/>
      <c r="E830" s="339"/>
      <c r="F830" s="339"/>
      <c r="G830" s="339"/>
      <c r="H830" s="339"/>
      <c r="I830" s="341"/>
      <c r="J830" s="339"/>
      <c r="K830" s="339"/>
      <c r="L830" s="339"/>
      <c r="M830" s="339"/>
      <c r="N830" s="339"/>
      <c r="O830" s="341"/>
      <c r="P830" s="340"/>
      <c r="Q830" s="339"/>
      <c r="R830" s="339"/>
      <c r="S830" s="339"/>
      <c r="T830" s="339"/>
      <c r="U830" s="339"/>
      <c r="V830" s="339"/>
      <c r="W830" s="339"/>
      <c r="X830" s="339"/>
      <c r="Y830" s="339"/>
      <c r="Z830" s="339"/>
    </row>
    <row r="831" spans="1:26" ht="15.75" customHeight="1">
      <c r="A831" s="339"/>
      <c r="B831" s="339"/>
      <c r="C831" s="339"/>
      <c r="D831" s="339"/>
      <c r="E831" s="339"/>
      <c r="F831" s="339"/>
      <c r="G831" s="339"/>
      <c r="H831" s="339"/>
      <c r="I831" s="341"/>
      <c r="J831" s="339"/>
      <c r="K831" s="339"/>
      <c r="L831" s="339"/>
      <c r="M831" s="339"/>
      <c r="N831" s="339"/>
      <c r="O831" s="341"/>
      <c r="P831" s="340"/>
      <c r="Q831" s="339"/>
      <c r="R831" s="339"/>
      <c r="S831" s="339"/>
      <c r="T831" s="339"/>
      <c r="U831" s="339"/>
      <c r="V831" s="339"/>
      <c r="W831" s="339"/>
      <c r="X831" s="339"/>
      <c r="Y831" s="339"/>
      <c r="Z831" s="339"/>
    </row>
    <row r="832" spans="1:26" ht="15.75" customHeight="1">
      <c r="A832" s="339"/>
      <c r="B832" s="339"/>
      <c r="C832" s="339"/>
      <c r="D832" s="339"/>
      <c r="E832" s="339"/>
      <c r="F832" s="339"/>
      <c r="G832" s="339"/>
      <c r="H832" s="339"/>
      <c r="I832" s="341"/>
      <c r="J832" s="339"/>
      <c r="K832" s="339"/>
      <c r="L832" s="339"/>
      <c r="M832" s="339"/>
      <c r="N832" s="339"/>
      <c r="O832" s="341"/>
      <c r="P832" s="340"/>
      <c r="Q832" s="339"/>
      <c r="R832" s="339"/>
      <c r="S832" s="339"/>
      <c r="T832" s="339"/>
      <c r="U832" s="339"/>
      <c r="V832" s="339"/>
      <c r="W832" s="339"/>
      <c r="X832" s="339"/>
      <c r="Y832" s="339"/>
      <c r="Z832" s="339"/>
    </row>
    <row r="833" spans="1:26" ht="15.75" customHeight="1">
      <c r="A833" s="339"/>
      <c r="B833" s="339"/>
      <c r="C833" s="339"/>
      <c r="D833" s="339"/>
      <c r="E833" s="339"/>
      <c r="F833" s="339"/>
      <c r="G833" s="339"/>
      <c r="H833" s="339"/>
      <c r="I833" s="341"/>
      <c r="J833" s="339"/>
      <c r="K833" s="339"/>
      <c r="L833" s="339"/>
      <c r="M833" s="339"/>
      <c r="N833" s="339"/>
      <c r="O833" s="341"/>
      <c r="P833" s="340"/>
      <c r="Q833" s="339"/>
      <c r="R833" s="339"/>
      <c r="S833" s="339"/>
      <c r="T833" s="339"/>
      <c r="U833" s="339"/>
      <c r="V833" s="339"/>
      <c r="W833" s="339"/>
      <c r="X833" s="339"/>
      <c r="Y833" s="339"/>
      <c r="Z833" s="339"/>
    </row>
    <row r="834" spans="1:26" ht="15.75" customHeight="1">
      <c r="A834" s="339"/>
      <c r="B834" s="339"/>
      <c r="C834" s="339"/>
      <c r="D834" s="339"/>
      <c r="E834" s="339"/>
      <c r="F834" s="339"/>
      <c r="G834" s="339"/>
      <c r="H834" s="339"/>
      <c r="I834" s="341"/>
      <c r="J834" s="339"/>
      <c r="K834" s="339"/>
      <c r="L834" s="339"/>
      <c r="M834" s="339"/>
      <c r="N834" s="339"/>
      <c r="O834" s="341"/>
      <c r="P834" s="340"/>
      <c r="Q834" s="339"/>
      <c r="R834" s="339"/>
      <c r="S834" s="339"/>
      <c r="T834" s="339"/>
      <c r="U834" s="339"/>
      <c r="V834" s="339"/>
      <c r="W834" s="339"/>
      <c r="X834" s="339"/>
      <c r="Y834" s="339"/>
      <c r="Z834" s="339"/>
    </row>
    <row r="835" spans="1:26" ht="15.75" customHeight="1">
      <c r="A835" s="339"/>
      <c r="B835" s="339"/>
      <c r="C835" s="339"/>
      <c r="D835" s="339"/>
      <c r="E835" s="339"/>
      <c r="F835" s="339"/>
      <c r="G835" s="339"/>
      <c r="H835" s="339"/>
      <c r="I835" s="341"/>
      <c r="J835" s="339"/>
      <c r="K835" s="339"/>
      <c r="L835" s="339"/>
      <c r="M835" s="339"/>
      <c r="N835" s="339"/>
      <c r="O835" s="341"/>
      <c r="P835" s="340"/>
      <c r="Q835" s="339"/>
      <c r="R835" s="339"/>
      <c r="S835" s="339"/>
      <c r="T835" s="339"/>
      <c r="U835" s="339"/>
      <c r="V835" s="339"/>
      <c r="W835" s="339"/>
      <c r="X835" s="339"/>
      <c r="Y835" s="339"/>
      <c r="Z835" s="339"/>
    </row>
    <row r="836" spans="1:26" ht="15.75" customHeight="1">
      <c r="A836" s="339"/>
      <c r="B836" s="339"/>
      <c r="C836" s="339"/>
      <c r="D836" s="339"/>
      <c r="E836" s="339"/>
      <c r="F836" s="339"/>
      <c r="G836" s="339"/>
      <c r="H836" s="339"/>
      <c r="I836" s="341"/>
      <c r="J836" s="339"/>
      <c r="K836" s="339"/>
      <c r="L836" s="339"/>
      <c r="M836" s="339"/>
      <c r="N836" s="339"/>
      <c r="O836" s="341"/>
      <c r="P836" s="340"/>
      <c r="Q836" s="339"/>
      <c r="R836" s="339"/>
      <c r="S836" s="339"/>
      <c r="T836" s="339"/>
      <c r="U836" s="339"/>
      <c r="V836" s="339"/>
      <c r="W836" s="339"/>
      <c r="X836" s="339"/>
      <c r="Y836" s="339"/>
      <c r="Z836" s="339"/>
    </row>
    <row r="837" spans="1:26" ht="15.75" customHeight="1">
      <c r="A837" s="339"/>
      <c r="B837" s="339"/>
      <c r="C837" s="339"/>
      <c r="D837" s="339"/>
      <c r="E837" s="339"/>
      <c r="F837" s="339"/>
      <c r="G837" s="339"/>
      <c r="H837" s="339"/>
      <c r="I837" s="341"/>
      <c r="J837" s="339"/>
      <c r="K837" s="339"/>
      <c r="L837" s="339"/>
      <c r="M837" s="339"/>
      <c r="N837" s="339"/>
      <c r="O837" s="341"/>
      <c r="P837" s="340"/>
      <c r="Q837" s="339"/>
      <c r="R837" s="339"/>
      <c r="S837" s="339"/>
      <c r="T837" s="339"/>
      <c r="U837" s="339"/>
      <c r="V837" s="339"/>
      <c r="W837" s="339"/>
      <c r="X837" s="339"/>
      <c r="Y837" s="339"/>
      <c r="Z837" s="339"/>
    </row>
    <row r="838" spans="1:26" ht="15.75" customHeight="1">
      <c r="A838" s="339"/>
      <c r="B838" s="339"/>
      <c r="C838" s="339"/>
      <c r="D838" s="339"/>
      <c r="E838" s="339"/>
      <c r="F838" s="339"/>
      <c r="G838" s="339"/>
      <c r="H838" s="339"/>
      <c r="I838" s="341"/>
      <c r="J838" s="339"/>
      <c r="K838" s="339"/>
      <c r="L838" s="339"/>
      <c r="M838" s="339"/>
      <c r="N838" s="339"/>
      <c r="O838" s="341"/>
      <c r="P838" s="340"/>
      <c r="Q838" s="339"/>
      <c r="R838" s="339"/>
      <c r="S838" s="339"/>
      <c r="T838" s="339"/>
      <c r="U838" s="339"/>
      <c r="V838" s="339"/>
      <c r="W838" s="339"/>
      <c r="X838" s="339"/>
      <c r="Y838" s="339"/>
      <c r="Z838" s="339"/>
    </row>
    <row r="839" spans="1:26" ht="15.75" customHeight="1">
      <c r="A839" s="339"/>
      <c r="B839" s="339"/>
      <c r="C839" s="339"/>
      <c r="D839" s="339"/>
      <c r="E839" s="339"/>
      <c r="F839" s="339"/>
      <c r="G839" s="339"/>
      <c r="H839" s="339"/>
      <c r="I839" s="341"/>
      <c r="J839" s="339"/>
      <c r="K839" s="339"/>
      <c r="L839" s="339"/>
      <c r="M839" s="339"/>
      <c r="N839" s="339"/>
      <c r="O839" s="341"/>
      <c r="P839" s="340"/>
      <c r="Q839" s="339"/>
      <c r="R839" s="339"/>
      <c r="S839" s="339"/>
      <c r="T839" s="339"/>
      <c r="U839" s="339"/>
      <c r="V839" s="339"/>
      <c r="W839" s="339"/>
      <c r="X839" s="339"/>
      <c r="Y839" s="339"/>
      <c r="Z839" s="339"/>
    </row>
    <row r="840" spans="1:26" ht="15.75" customHeight="1">
      <c r="A840" s="339"/>
      <c r="B840" s="339"/>
      <c r="C840" s="339"/>
      <c r="D840" s="339"/>
      <c r="E840" s="339"/>
      <c r="F840" s="339"/>
      <c r="G840" s="339"/>
      <c r="H840" s="339"/>
      <c r="I840" s="341"/>
      <c r="J840" s="339"/>
      <c r="K840" s="339"/>
      <c r="L840" s="339"/>
      <c r="M840" s="339"/>
      <c r="N840" s="339"/>
      <c r="O840" s="341"/>
      <c r="P840" s="340"/>
      <c r="Q840" s="339"/>
      <c r="R840" s="339"/>
      <c r="S840" s="339"/>
      <c r="T840" s="339"/>
      <c r="U840" s="339"/>
      <c r="V840" s="339"/>
      <c r="W840" s="339"/>
      <c r="X840" s="339"/>
      <c r="Y840" s="339"/>
      <c r="Z840" s="339"/>
    </row>
    <row r="841" spans="1:26" ht="15.75" customHeight="1">
      <c r="A841" s="339"/>
      <c r="B841" s="339"/>
      <c r="C841" s="339"/>
      <c r="D841" s="339"/>
      <c r="E841" s="339"/>
      <c r="F841" s="339"/>
      <c r="G841" s="339"/>
      <c r="H841" s="339"/>
      <c r="I841" s="341"/>
      <c r="J841" s="339"/>
      <c r="K841" s="339"/>
      <c r="L841" s="339"/>
      <c r="M841" s="339"/>
      <c r="N841" s="339"/>
      <c r="O841" s="341"/>
      <c r="P841" s="340"/>
      <c r="Q841" s="339"/>
      <c r="R841" s="339"/>
      <c r="S841" s="339"/>
      <c r="T841" s="339"/>
      <c r="U841" s="339"/>
      <c r="V841" s="339"/>
      <c r="W841" s="339"/>
      <c r="X841" s="339"/>
      <c r="Y841" s="339"/>
      <c r="Z841" s="339"/>
    </row>
    <row r="842" spans="1:26" ht="15.75" customHeight="1">
      <c r="A842" s="339"/>
      <c r="B842" s="339"/>
      <c r="C842" s="339"/>
      <c r="D842" s="339"/>
      <c r="E842" s="339"/>
      <c r="F842" s="339"/>
      <c r="G842" s="339"/>
      <c r="H842" s="339"/>
      <c r="I842" s="341"/>
      <c r="J842" s="339"/>
      <c r="K842" s="339"/>
      <c r="L842" s="339"/>
      <c r="M842" s="339"/>
      <c r="N842" s="339"/>
      <c r="O842" s="341"/>
      <c r="P842" s="340"/>
      <c r="Q842" s="339"/>
      <c r="R842" s="339"/>
      <c r="S842" s="339"/>
      <c r="T842" s="339"/>
      <c r="U842" s="339"/>
      <c r="V842" s="339"/>
      <c r="W842" s="339"/>
      <c r="X842" s="339"/>
      <c r="Y842" s="339"/>
      <c r="Z842" s="339"/>
    </row>
    <row r="843" spans="1:26" ht="15.75" customHeight="1">
      <c r="A843" s="339"/>
      <c r="B843" s="339"/>
      <c r="C843" s="339"/>
      <c r="D843" s="339"/>
      <c r="E843" s="339"/>
      <c r="F843" s="339"/>
      <c r="G843" s="339"/>
      <c r="H843" s="339"/>
      <c r="I843" s="341"/>
      <c r="J843" s="339"/>
      <c r="K843" s="339"/>
      <c r="L843" s="339"/>
      <c r="M843" s="339"/>
      <c r="N843" s="339"/>
      <c r="O843" s="341"/>
      <c r="P843" s="340"/>
      <c r="Q843" s="339"/>
      <c r="R843" s="339"/>
      <c r="S843" s="339"/>
      <c r="T843" s="339"/>
      <c r="U843" s="339"/>
      <c r="V843" s="339"/>
      <c r="W843" s="339"/>
      <c r="X843" s="339"/>
      <c r="Y843" s="339"/>
      <c r="Z843" s="339"/>
    </row>
    <row r="844" spans="1:26" ht="15.75" customHeight="1">
      <c r="A844" s="339"/>
      <c r="B844" s="339"/>
      <c r="C844" s="339"/>
      <c r="D844" s="339"/>
      <c r="E844" s="339"/>
      <c r="F844" s="339"/>
      <c r="G844" s="339"/>
      <c r="H844" s="339"/>
      <c r="I844" s="341"/>
      <c r="J844" s="339"/>
      <c r="K844" s="339"/>
      <c r="L844" s="339"/>
      <c r="M844" s="339"/>
      <c r="N844" s="339"/>
      <c r="O844" s="341"/>
      <c r="P844" s="340"/>
      <c r="Q844" s="339"/>
      <c r="R844" s="339"/>
      <c r="S844" s="339"/>
      <c r="T844" s="339"/>
      <c r="U844" s="339"/>
      <c r="V844" s="339"/>
      <c r="W844" s="339"/>
      <c r="X844" s="339"/>
      <c r="Y844" s="339"/>
      <c r="Z844" s="339"/>
    </row>
    <row r="845" spans="1:26" ht="15.75" customHeight="1">
      <c r="A845" s="339"/>
      <c r="B845" s="339"/>
      <c r="C845" s="339"/>
      <c r="D845" s="339"/>
      <c r="E845" s="339"/>
      <c r="F845" s="339"/>
      <c r="G845" s="339"/>
      <c r="H845" s="339"/>
      <c r="I845" s="341"/>
      <c r="J845" s="339"/>
      <c r="K845" s="339"/>
      <c r="L845" s="339"/>
      <c r="M845" s="339"/>
      <c r="N845" s="339"/>
      <c r="O845" s="341"/>
      <c r="P845" s="340"/>
      <c r="Q845" s="339"/>
      <c r="R845" s="339"/>
      <c r="S845" s="339"/>
      <c r="T845" s="339"/>
      <c r="U845" s="339"/>
      <c r="V845" s="339"/>
      <c r="W845" s="339"/>
      <c r="X845" s="339"/>
      <c r="Y845" s="339"/>
      <c r="Z845" s="339"/>
    </row>
    <row r="846" spans="1:26" ht="15.75" customHeight="1">
      <c r="A846" s="339"/>
      <c r="B846" s="339"/>
      <c r="C846" s="339"/>
      <c r="D846" s="339"/>
      <c r="E846" s="339"/>
      <c r="F846" s="339"/>
      <c r="G846" s="339"/>
      <c r="H846" s="339"/>
      <c r="I846" s="341"/>
      <c r="J846" s="339"/>
      <c r="K846" s="339"/>
      <c r="L846" s="339"/>
      <c r="M846" s="339"/>
      <c r="N846" s="339"/>
      <c r="O846" s="341"/>
      <c r="P846" s="340"/>
      <c r="Q846" s="339"/>
      <c r="R846" s="339"/>
      <c r="S846" s="339"/>
      <c r="T846" s="339"/>
      <c r="U846" s="339"/>
      <c r="V846" s="339"/>
      <c r="W846" s="339"/>
      <c r="X846" s="339"/>
      <c r="Y846" s="339"/>
      <c r="Z846" s="339"/>
    </row>
    <row r="847" spans="1:26" ht="15.75" customHeight="1">
      <c r="A847" s="339"/>
      <c r="B847" s="339"/>
      <c r="C847" s="339"/>
      <c r="D847" s="339"/>
      <c r="E847" s="339"/>
      <c r="F847" s="339"/>
      <c r="G847" s="339"/>
      <c r="H847" s="339"/>
      <c r="I847" s="341"/>
      <c r="J847" s="339"/>
      <c r="K847" s="339"/>
      <c r="L847" s="339"/>
      <c r="M847" s="339"/>
      <c r="N847" s="339"/>
      <c r="O847" s="341"/>
      <c r="P847" s="340"/>
      <c r="Q847" s="339"/>
      <c r="R847" s="339"/>
      <c r="S847" s="339"/>
      <c r="T847" s="339"/>
      <c r="U847" s="339"/>
      <c r="V847" s="339"/>
      <c r="W847" s="339"/>
      <c r="X847" s="339"/>
      <c r="Y847" s="339"/>
      <c r="Z847" s="339"/>
    </row>
    <row r="848" spans="1:26" ht="15.75" customHeight="1">
      <c r="A848" s="339"/>
      <c r="B848" s="339"/>
      <c r="C848" s="339"/>
      <c r="D848" s="339"/>
      <c r="E848" s="339"/>
      <c r="F848" s="339"/>
      <c r="G848" s="339"/>
      <c r="H848" s="339"/>
      <c r="I848" s="341"/>
      <c r="J848" s="339"/>
      <c r="K848" s="339"/>
      <c r="L848" s="339"/>
      <c r="M848" s="339"/>
      <c r="N848" s="339"/>
      <c r="O848" s="341"/>
      <c r="P848" s="340"/>
      <c r="Q848" s="339"/>
      <c r="R848" s="339"/>
      <c r="S848" s="339"/>
      <c r="T848" s="339"/>
      <c r="U848" s="339"/>
      <c r="V848" s="339"/>
      <c r="W848" s="339"/>
      <c r="X848" s="339"/>
      <c r="Y848" s="339"/>
      <c r="Z848" s="339"/>
    </row>
    <row r="849" spans="1:26" ht="15.75" customHeight="1">
      <c r="A849" s="339"/>
      <c r="B849" s="339"/>
      <c r="C849" s="339"/>
      <c r="D849" s="339"/>
      <c r="E849" s="339"/>
      <c r="F849" s="339"/>
      <c r="G849" s="339"/>
      <c r="H849" s="339"/>
      <c r="I849" s="341"/>
      <c r="J849" s="339"/>
      <c r="K849" s="339"/>
      <c r="L849" s="339"/>
      <c r="M849" s="339"/>
      <c r="N849" s="339"/>
      <c r="O849" s="341"/>
      <c r="P849" s="340"/>
      <c r="Q849" s="339"/>
      <c r="R849" s="339"/>
      <c r="S849" s="339"/>
      <c r="T849" s="339"/>
      <c r="U849" s="339"/>
      <c r="V849" s="339"/>
      <c r="W849" s="339"/>
      <c r="X849" s="339"/>
      <c r="Y849" s="339"/>
      <c r="Z849" s="339"/>
    </row>
    <row r="850" spans="1:26" ht="15.75" customHeight="1">
      <c r="A850" s="339"/>
      <c r="B850" s="339"/>
      <c r="C850" s="339"/>
      <c r="D850" s="339"/>
      <c r="E850" s="339"/>
      <c r="F850" s="339"/>
      <c r="G850" s="339"/>
      <c r="H850" s="339"/>
      <c r="I850" s="341"/>
      <c r="J850" s="339"/>
      <c r="K850" s="339"/>
      <c r="L850" s="339"/>
      <c r="M850" s="339"/>
      <c r="N850" s="339"/>
      <c r="O850" s="341"/>
      <c r="P850" s="340"/>
      <c r="Q850" s="339"/>
      <c r="R850" s="339"/>
      <c r="S850" s="339"/>
      <c r="T850" s="339"/>
      <c r="U850" s="339"/>
      <c r="V850" s="339"/>
      <c r="W850" s="339"/>
      <c r="X850" s="339"/>
      <c r="Y850" s="339"/>
      <c r="Z850" s="339"/>
    </row>
    <row r="851" spans="1:26" ht="15.75" customHeight="1">
      <c r="A851" s="339"/>
      <c r="B851" s="339"/>
      <c r="C851" s="339"/>
      <c r="D851" s="339"/>
      <c r="E851" s="339"/>
      <c r="F851" s="339"/>
      <c r="G851" s="339"/>
      <c r="H851" s="339"/>
      <c r="I851" s="341"/>
      <c r="J851" s="339"/>
      <c r="K851" s="339"/>
      <c r="L851" s="339"/>
      <c r="M851" s="339"/>
      <c r="N851" s="339"/>
      <c r="O851" s="341"/>
      <c r="P851" s="340"/>
      <c r="Q851" s="339"/>
      <c r="R851" s="339"/>
      <c r="S851" s="339"/>
      <c r="T851" s="339"/>
      <c r="U851" s="339"/>
      <c r="V851" s="339"/>
      <c r="W851" s="339"/>
      <c r="X851" s="339"/>
      <c r="Y851" s="339"/>
      <c r="Z851" s="339"/>
    </row>
    <row r="852" spans="1:26" ht="15.75" customHeight="1">
      <c r="A852" s="339"/>
      <c r="B852" s="339"/>
      <c r="C852" s="339"/>
      <c r="D852" s="339"/>
      <c r="E852" s="339"/>
      <c r="F852" s="339"/>
      <c r="G852" s="339"/>
      <c r="H852" s="339"/>
      <c r="I852" s="341"/>
      <c r="J852" s="339"/>
      <c r="K852" s="339"/>
      <c r="L852" s="339"/>
      <c r="M852" s="339"/>
      <c r="N852" s="339"/>
      <c r="O852" s="341"/>
      <c r="P852" s="340"/>
      <c r="Q852" s="339"/>
      <c r="R852" s="339"/>
      <c r="S852" s="339"/>
      <c r="T852" s="339"/>
      <c r="U852" s="339"/>
      <c r="V852" s="339"/>
      <c r="W852" s="339"/>
      <c r="X852" s="339"/>
      <c r="Y852" s="339"/>
      <c r="Z852" s="339"/>
    </row>
    <row r="853" spans="1:26" ht="15.75" customHeight="1">
      <c r="A853" s="339"/>
      <c r="B853" s="339"/>
      <c r="C853" s="339"/>
      <c r="D853" s="339"/>
      <c r="E853" s="339"/>
      <c r="F853" s="339"/>
      <c r="G853" s="339"/>
      <c r="H853" s="339"/>
      <c r="I853" s="341"/>
      <c r="J853" s="339"/>
      <c r="K853" s="339"/>
      <c r="L853" s="339"/>
      <c r="M853" s="339"/>
      <c r="N853" s="339"/>
      <c r="O853" s="341"/>
      <c r="P853" s="340"/>
      <c r="Q853" s="339"/>
      <c r="R853" s="339"/>
      <c r="S853" s="339"/>
      <c r="T853" s="339"/>
      <c r="U853" s="339"/>
      <c r="V853" s="339"/>
      <c r="W853" s="339"/>
      <c r="X853" s="339"/>
      <c r="Y853" s="339"/>
      <c r="Z853" s="339"/>
    </row>
    <row r="854" spans="1:26" ht="15.75" customHeight="1">
      <c r="A854" s="339"/>
      <c r="B854" s="339"/>
      <c r="C854" s="339"/>
      <c r="D854" s="339"/>
      <c r="E854" s="339"/>
      <c r="F854" s="339"/>
      <c r="G854" s="339"/>
      <c r="H854" s="339"/>
      <c r="I854" s="341"/>
      <c r="J854" s="339"/>
      <c r="K854" s="339"/>
      <c r="L854" s="339"/>
      <c r="M854" s="339"/>
      <c r="N854" s="339"/>
      <c r="O854" s="341"/>
      <c r="P854" s="340"/>
      <c r="Q854" s="339"/>
      <c r="R854" s="339"/>
      <c r="S854" s="339"/>
      <c r="T854" s="339"/>
      <c r="U854" s="339"/>
      <c r="V854" s="339"/>
      <c r="W854" s="339"/>
      <c r="X854" s="339"/>
      <c r="Y854" s="339"/>
      <c r="Z854" s="339"/>
    </row>
    <row r="855" spans="1:26" ht="15.75" customHeight="1">
      <c r="A855" s="339"/>
      <c r="B855" s="339"/>
      <c r="C855" s="339"/>
      <c r="D855" s="339"/>
      <c r="E855" s="339"/>
      <c r="F855" s="339"/>
      <c r="G855" s="339"/>
      <c r="H855" s="339"/>
      <c r="I855" s="341"/>
      <c r="J855" s="339"/>
      <c r="K855" s="339"/>
      <c r="L855" s="339"/>
      <c r="M855" s="339"/>
      <c r="N855" s="339"/>
      <c r="O855" s="341"/>
      <c r="P855" s="340"/>
      <c r="Q855" s="339"/>
      <c r="R855" s="339"/>
      <c r="S855" s="339"/>
      <c r="T855" s="339"/>
      <c r="U855" s="339"/>
      <c r="V855" s="339"/>
      <c r="W855" s="339"/>
      <c r="X855" s="339"/>
      <c r="Y855" s="339"/>
      <c r="Z855" s="339"/>
    </row>
    <row r="856" spans="1:26" ht="15.75" customHeight="1">
      <c r="A856" s="339"/>
      <c r="B856" s="339"/>
      <c r="C856" s="339"/>
      <c r="D856" s="339"/>
      <c r="E856" s="339"/>
      <c r="F856" s="339"/>
      <c r="G856" s="339"/>
      <c r="H856" s="339"/>
      <c r="I856" s="341"/>
      <c r="J856" s="339"/>
      <c r="K856" s="339"/>
      <c r="L856" s="339"/>
      <c r="M856" s="339"/>
      <c r="N856" s="339"/>
      <c r="O856" s="341"/>
      <c r="P856" s="340"/>
      <c r="Q856" s="339"/>
      <c r="R856" s="339"/>
      <c r="S856" s="339"/>
      <c r="T856" s="339"/>
      <c r="U856" s="339"/>
      <c r="V856" s="339"/>
      <c r="W856" s="339"/>
      <c r="X856" s="339"/>
      <c r="Y856" s="339"/>
      <c r="Z856" s="339"/>
    </row>
    <row r="857" spans="1:26" ht="15.75" customHeight="1">
      <c r="A857" s="339"/>
      <c r="B857" s="339"/>
      <c r="C857" s="339"/>
      <c r="D857" s="339"/>
      <c r="E857" s="339"/>
      <c r="F857" s="339"/>
      <c r="G857" s="339"/>
      <c r="H857" s="339"/>
      <c r="I857" s="341"/>
      <c r="J857" s="339"/>
      <c r="K857" s="339"/>
      <c r="L857" s="339"/>
      <c r="M857" s="339"/>
      <c r="N857" s="339"/>
      <c r="O857" s="341"/>
      <c r="P857" s="340"/>
      <c r="Q857" s="339"/>
      <c r="R857" s="339"/>
      <c r="S857" s="339"/>
      <c r="T857" s="339"/>
      <c r="U857" s="339"/>
      <c r="V857" s="339"/>
      <c r="W857" s="339"/>
      <c r="X857" s="339"/>
      <c r="Y857" s="339"/>
      <c r="Z857" s="339"/>
    </row>
    <row r="858" spans="1:26" ht="15.75" customHeight="1">
      <c r="A858" s="339"/>
      <c r="B858" s="339"/>
      <c r="C858" s="339"/>
      <c r="D858" s="339"/>
      <c r="E858" s="339"/>
      <c r="F858" s="339"/>
      <c r="G858" s="339"/>
      <c r="H858" s="339"/>
      <c r="I858" s="341"/>
      <c r="J858" s="339"/>
      <c r="K858" s="339"/>
      <c r="L858" s="339"/>
      <c r="M858" s="339"/>
      <c r="N858" s="339"/>
      <c r="O858" s="341"/>
      <c r="P858" s="340"/>
      <c r="Q858" s="339"/>
      <c r="R858" s="339"/>
      <c r="S858" s="339"/>
      <c r="T858" s="339"/>
      <c r="U858" s="339"/>
      <c r="V858" s="339"/>
      <c r="W858" s="339"/>
      <c r="X858" s="339"/>
      <c r="Y858" s="339"/>
      <c r="Z858" s="339"/>
    </row>
    <row r="859" spans="1:26" ht="15.75" customHeight="1">
      <c r="A859" s="339"/>
      <c r="B859" s="339"/>
      <c r="C859" s="339"/>
      <c r="D859" s="339"/>
      <c r="E859" s="339"/>
      <c r="F859" s="339"/>
      <c r="G859" s="339"/>
      <c r="H859" s="339"/>
      <c r="I859" s="341"/>
      <c r="J859" s="339"/>
      <c r="K859" s="339"/>
      <c r="L859" s="339"/>
      <c r="M859" s="339"/>
      <c r="N859" s="339"/>
      <c r="O859" s="341"/>
      <c r="P859" s="340"/>
      <c r="Q859" s="339"/>
      <c r="R859" s="339"/>
      <c r="S859" s="339"/>
      <c r="T859" s="339"/>
      <c r="U859" s="339"/>
      <c r="V859" s="339"/>
      <c r="W859" s="339"/>
      <c r="X859" s="339"/>
      <c r="Y859" s="339"/>
      <c r="Z859" s="339"/>
    </row>
    <row r="860" spans="1:26" ht="15.75" customHeight="1">
      <c r="A860" s="339"/>
      <c r="B860" s="339"/>
      <c r="C860" s="339"/>
      <c r="D860" s="339"/>
      <c r="E860" s="339"/>
      <c r="F860" s="339"/>
      <c r="G860" s="339"/>
      <c r="H860" s="339"/>
      <c r="I860" s="341"/>
      <c r="J860" s="339"/>
      <c r="K860" s="339"/>
      <c r="L860" s="339"/>
      <c r="M860" s="339"/>
      <c r="N860" s="339"/>
      <c r="O860" s="341"/>
      <c r="P860" s="340"/>
      <c r="Q860" s="339"/>
      <c r="R860" s="339"/>
      <c r="S860" s="339"/>
      <c r="T860" s="339"/>
      <c r="U860" s="339"/>
      <c r="V860" s="339"/>
      <c r="W860" s="339"/>
      <c r="X860" s="339"/>
      <c r="Y860" s="339"/>
      <c r="Z860" s="339"/>
    </row>
    <row r="861" spans="1:26" ht="15.75" customHeight="1">
      <c r="A861" s="339"/>
      <c r="B861" s="339"/>
      <c r="C861" s="339"/>
      <c r="D861" s="339"/>
      <c r="E861" s="339"/>
      <c r="F861" s="339"/>
      <c r="G861" s="339"/>
      <c r="H861" s="339"/>
      <c r="I861" s="341"/>
      <c r="J861" s="339"/>
      <c r="K861" s="339"/>
      <c r="L861" s="339"/>
      <c r="M861" s="339"/>
      <c r="N861" s="339"/>
      <c r="O861" s="341"/>
      <c r="P861" s="340"/>
      <c r="Q861" s="339"/>
      <c r="R861" s="339"/>
      <c r="S861" s="339"/>
      <c r="T861" s="339"/>
      <c r="U861" s="339"/>
      <c r="V861" s="339"/>
      <c r="W861" s="339"/>
      <c r="X861" s="339"/>
      <c r="Y861" s="339"/>
      <c r="Z861" s="339"/>
    </row>
    <row r="862" spans="1:26" ht="15.75" customHeight="1">
      <c r="A862" s="339"/>
      <c r="B862" s="339"/>
      <c r="C862" s="339"/>
      <c r="D862" s="339"/>
      <c r="E862" s="339"/>
      <c r="F862" s="339"/>
      <c r="G862" s="339"/>
      <c r="H862" s="339"/>
      <c r="I862" s="341"/>
      <c r="J862" s="339"/>
      <c r="K862" s="339"/>
      <c r="L862" s="339"/>
      <c r="M862" s="339"/>
      <c r="N862" s="339"/>
      <c r="O862" s="341"/>
      <c r="P862" s="340"/>
      <c r="Q862" s="339"/>
      <c r="R862" s="339"/>
      <c r="S862" s="339"/>
      <c r="T862" s="339"/>
      <c r="U862" s="339"/>
      <c r="V862" s="339"/>
      <c r="W862" s="339"/>
      <c r="X862" s="339"/>
      <c r="Y862" s="339"/>
      <c r="Z862" s="339"/>
    </row>
    <row r="863" spans="1:26" ht="15.75" customHeight="1">
      <c r="A863" s="339"/>
      <c r="B863" s="339"/>
      <c r="C863" s="339"/>
      <c r="D863" s="339"/>
      <c r="E863" s="339"/>
      <c r="F863" s="339"/>
      <c r="G863" s="339"/>
      <c r="H863" s="339"/>
      <c r="I863" s="341"/>
      <c r="J863" s="339"/>
      <c r="K863" s="339"/>
      <c r="L863" s="339"/>
      <c r="M863" s="339"/>
      <c r="N863" s="339"/>
      <c r="O863" s="341"/>
      <c r="P863" s="340"/>
      <c r="Q863" s="339"/>
      <c r="R863" s="339"/>
      <c r="S863" s="339"/>
      <c r="T863" s="339"/>
      <c r="U863" s="339"/>
      <c r="V863" s="339"/>
      <c r="W863" s="339"/>
      <c r="X863" s="339"/>
      <c r="Y863" s="339"/>
      <c r="Z863" s="339"/>
    </row>
    <row r="864" spans="1:26" ht="15.75" customHeight="1">
      <c r="A864" s="339"/>
      <c r="B864" s="339"/>
      <c r="C864" s="339"/>
      <c r="D864" s="339"/>
      <c r="E864" s="339"/>
      <c r="F864" s="339"/>
      <c r="G864" s="339"/>
      <c r="H864" s="339"/>
      <c r="I864" s="341"/>
      <c r="J864" s="339"/>
      <c r="K864" s="339"/>
      <c r="L864" s="339"/>
      <c r="M864" s="339"/>
      <c r="N864" s="339"/>
      <c r="O864" s="341"/>
      <c r="P864" s="340"/>
      <c r="Q864" s="339"/>
      <c r="R864" s="339"/>
      <c r="S864" s="339"/>
      <c r="T864" s="339"/>
      <c r="U864" s="339"/>
      <c r="V864" s="339"/>
      <c r="W864" s="339"/>
      <c r="X864" s="339"/>
      <c r="Y864" s="339"/>
      <c r="Z864" s="339"/>
    </row>
    <row r="865" spans="1:26" ht="15.75" customHeight="1">
      <c r="A865" s="339"/>
      <c r="B865" s="339"/>
      <c r="C865" s="339"/>
      <c r="D865" s="339"/>
      <c r="E865" s="339"/>
      <c r="F865" s="339"/>
      <c r="G865" s="339"/>
      <c r="H865" s="339"/>
      <c r="I865" s="341"/>
      <c r="J865" s="339"/>
      <c r="K865" s="339"/>
      <c r="L865" s="339"/>
      <c r="M865" s="339"/>
      <c r="N865" s="339"/>
      <c r="O865" s="341"/>
      <c r="P865" s="340"/>
      <c r="Q865" s="339"/>
      <c r="R865" s="339"/>
      <c r="S865" s="339"/>
      <c r="T865" s="339"/>
      <c r="U865" s="339"/>
      <c r="V865" s="339"/>
      <c r="W865" s="339"/>
      <c r="X865" s="339"/>
      <c r="Y865" s="339"/>
      <c r="Z865" s="339"/>
    </row>
    <row r="866" spans="1:26" ht="15.75" customHeight="1">
      <c r="A866" s="339"/>
      <c r="B866" s="339"/>
      <c r="C866" s="339"/>
      <c r="D866" s="339"/>
      <c r="E866" s="339"/>
      <c r="F866" s="339"/>
      <c r="G866" s="339"/>
      <c r="H866" s="339"/>
      <c r="I866" s="341"/>
      <c r="J866" s="339"/>
      <c r="K866" s="339"/>
      <c r="L866" s="339"/>
      <c r="M866" s="339"/>
      <c r="N866" s="339"/>
      <c r="O866" s="341"/>
      <c r="P866" s="340"/>
      <c r="Q866" s="339"/>
      <c r="R866" s="339"/>
      <c r="S866" s="339"/>
      <c r="T866" s="339"/>
      <c r="U866" s="339"/>
      <c r="V866" s="339"/>
      <c r="W866" s="339"/>
      <c r="X866" s="339"/>
      <c r="Y866" s="339"/>
      <c r="Z866" s="339"/>
    </row>
    <row r="867" spans="1:26" ht="15.75" customHeight="1">
      <c r="A867" s="339"/>
      <c r="B867" s="339"/>
      <c r="C867" s="339"/>
      <c r="D867" s="339"/>
      <c r="E867" s="339"/>
      <c r="F867" s="339"/>
      <c r="G867" s="339"/>
      <c r="H867" s="339"/>
      <c r="I867" s="341"/>
      <c r="J867" s="339"/>
      <c r="K867" s="339"/>
      <c r="L867" s="339"/>
      <c r="M867" s="339"/>
      <c r="N867" s="339"/>
      <c r="O867" s="341"/>
      <c r="P867" s="340"/>
      <c r="Q867" s="339"/>
      <c r="R867" s="339"/>
      <c r="S867" s="339"/>
      <c r="T867" s="339"/>
      <c r="U867" s="339"/>
      <c r="V867" s="339"/>
      <c r="W867" s="339"/>
      <c r="X867" s="339"/>
      <c r="Y867" s="339"/>
      <c r="Z867" s="339"/>
    </row>
    <row r="868" spans="1:26" ht="15.75" customHeight="1">
      <c r="A868" s="339"/>
      <c r="B868" s="339"/>
      <c r="C868" s="339"/>
      <c r="D868" s="339"/>
      <c r="E868" s="339"/>
      <c r="F868" s="339"/>
      <c r="G868" s="339"/>
      <c r="H868" s="339"/>
      <c r="I868" s="341"/>
      <c r="J868" s="339"/>
      <c r="K868" s="339"/>
      <c r="L868" s="339"/>
      <c r="M868" s="339"/>
      <c r="N868" s="339"/>
      <c r="O868" s="341"/>
      <c r="P868" s="340"/>
      <c r="Q868" s="339"/>
      <c r="R868" s="339"/>
      <c r="S868" s="339"/>
      <c r="T868" s="339"/>
      <c r="U868" s="339"/>
      <c r="V868" s="339"/>
      <c r="W868" s="339"/>
      <c r="X868" s="339"/>
      <c r="Y868" s="339"/>
      <c r="Z868" s="339"/>
    </row>
    <row r="869" spans="1:26" ht="15.75" customHeight="1">
      <c r="A869" s="339"/>
      <c r="B869" s="339"/>
      <c r="C869" s="339"/>
      <c r="D869" s="339"/>
      <c r="E869" s="339"/>
      <c r="F869" s="339"/>
      <c r="G869" s="339"/>
      <c r="H869" s="339"/>
      <c r="I869" s="341"/>
      <c r="J869" s="339"/>
      <c r="K869" s="339"/>
      <c r="L869" s="339"/>
      <c r="M869" s="339"/>
      <c r="N869" s="339"/>
      <c r="O869" s="341"/>
      <c r="P869" s="340"/>
      <c r="Q869" s="339"/>
      <c r="R869" s="339"/>
      <c r="S869" s="339"/>
      <c r="T869" s="339"/>
      <c r="U869" s="339"/>
      <c r="V869" s="339"/>
      <c r="W869" s="339"/>
      <c r="X869" s="339"/>
      <c r="Y869" s="339"/>
      <c r="Z869" s="339"/>
    </row>
    <row r="870" spans="1:26" ht="15.75" customHeight="1">
      <c r="A870" s="339"/>
      <c r="B870" s="339"/>
      <c r="C870" s="339"/>
      <c r="D870" s="339"/>
      <c r="E870" s="339"/>
      <c r="F870" s="339"/>
      <c r="G870" s="339"/>
      <c r="H870" s="339"/>
      <c r="I870" s="341"/>
      <c r="J870" s="339"/>
      <c r="K870" s="339"/>
      <c r="L870" s="339"/>
      <c r="M870" s="339"/>
      <c r="N870" s="339"/>
      <c r="O870" s="341"/>
      <c r="P870" s="340"/>
      <c r="Q870" s="339"/>
      <c r="R870" s="339"/>
      <c r="S870" s="339"/>
      <c r="T870" s="339"/>
      <c r="U870" s="339"/>
      <c r="V870" s="339"/>
      <c r="W870" s="339"/>
      <c r="X870" s="339"/>
      <c r="Y870" s="339"/>
      <c r="Z870" s="339"/>
    </row>
    <row r="871" spans="1:26" ht="15.75" customHeight="1">
      <c r="A871" s="339"/>
      <c r="B871" s="339"/>
      <c r="C871" s="339"/>
      <c r="D871" s="339"/>
      <c r="E871" s="339"/>
      <c r="F871" s="339"/>
      <c r="G871" s="339"/>
      <c r="H871" s="339"/>
      <c r="I871" s="341"/>
      <c r="J871" s="339"/>
      <c r="K871" s="339"/>
      <c r="L871" s="339"/>
      <c r="M871" s="339"/>
      <c r="N871" s="339"/>
      <c r="O871" s="341"/>
      <c r="P871" s="340"/>
      <c r="Q871" s="339"/>
      <c r="R871" s="339"/>
      <c r="S871" s="339"/>
      <c r="T871" s="339"/>
      <c r="U871" s="339"/>
      <c r="V871" s="339"/>
      <c r="W871" s="339"/>
      <c r="X871" s="339"/>
      <c r="Y871" s="339"/>
      <c r="Z871" s="339"/>
    </row>
    <row r="872" spans="1:26" ht="15.75" customHeight="1">
      <c r="A872" s="339"/>
      <c r="B872" s="339"/>
      <c r="C872" s="339"/>
      <c r="D872" s="339"/>
      <c r="E872" s="339"/>
      <c r="F872" s="339"/>
      <c r="G872" s="339"/>
      <c r="H872" s="339"/>
      <c r="I872" s="341"/>
      <c r="J872" s="339"/>
      <c r="K872" s="339"/>
      <c r="L872" s="339"/>
      <c r="M872" s="339"/>
      <c r="N872" s="339"/>
      <c r="O872" s="341"/>
      <c r="P872" s="340"/>
      <c r="Q872" s="339"/>
      <c r="R872" s="339"/>
      <c r="S872" s="339"/>
      <c r="T872" s="339"/>
      <c r="U872" s="339"/>
      <c r="V872" s="339"/>
      <c r="W872" s="339"/>
      <c r="X872" s="339"/>
      <c r="Y872" s="339"/>
      <c r="Z872" s="339"/>
    </row>
    <row r="873" spans="1:26" ht="15.75" customHeight="1">
      <c r="A873" s="339"/>
      <c r="B873" s="339"/>
      <c r="C873" s="339"/>
      <c r="D873" s="339"/>
      <c r="E873" s="339"/>
      <c r="F873" s="339"/>
      <c r="G873" s="339"/>
      <c r="H873" s="339"/>
      <c r="I873" s="341"/>
      <c r="J873" s="339"/>
      <c r="K873" s="339"/>
      <c r="L873" s="339"/>
      <c r="M873" s="339"/>
      <c r="N873" s="339"/>
      <c r="O873" s="341"/>
      <c r="P873" s="340"/>
      <c r="Q873" s="339"/>
      <c r="R873" s="339"/>
      <c r="S873" s="339"/>
      <c r="T873" s="339"/>
      <c r="U873" s="339"/>
      <c r="V873" s="339"/>
      <c r="W873" s="339"/>
      <c r="X873" s="339"/>
      <c r="Y873" s="339"/>
      <c r="Z873" s="339"/>
    </row>
    <row r="874" spans="1:26" ht="15.75" customHeight="1">
      <c r="A874" s="339"/>
      <c r="B874" s="339"/>
      <c r="C874" s="339"/>
      <c r="D874" s="339"/>
      <c r="E874" s="339"/>
      <c r="F874" s="339"/>
      <c r="G874" s="339"/>
      <c r="H874" s="339"/>
      <c r="I874" s="341"/>
      <c r="J874" s="339"/>
      <c r="K874" s="339"/>
      <c r="L874" s="339"/>
      <c r="M874" s="339"/>
      <c r="N874" s="339"/>
      <c r="O874" s="341"/>
      <c r="P874" s="340"/>
      <c r="Q874" s="339"/>
      <c r="R874" s="339"/>
      <c r="S874" s="339"/>
      <c r="T874" s="339"/>
      <c r="U874" s="339"/>
      <c r="V874" s="339"/>
      <c r="W874" s="339"/>
      <c r="X874" s="339"/>
      <c r="Y874" s="339"/>
      <c r="Z874" s="339"/>
    </row>
    <row r="875" spans="1:26" ht="15.75" customHeight="1">
      <c r="A875" s="339"/>
      <c r="B875" s="339"/>
      <c r="C875" s="339"/>
      <c r="D875" s="339"/>
      <c r="E875" s="339"/>
      <c r="F875" s="339"/>
      <c r="G875" s="339"/>
      <c r="H875" s="339"/>
      <c r="I875" s="341"/>
      <c r="J875" s="339"/>
      <c r="K875" s="339"/>
      <c r="L875" s="339"/>
      <c r="M875" s="339"/>
      <c r="N875" s="339"/>
      <c r="O875" s="341"/>
      <c r="P875" s="340"/>
      <c r="Q875" s="339"/>
      <c r="R875" s="339"/>
      <c r="S875" s="339"/>
      <c r="T875" s="339"/>
      <c r="U875" s="339"/>
      <c r="V875" s="339"/>
      <c r="W875" s="339"/>
      <c r="X875" s="339"/>
      <c r="Y875" s="339"/>
      <c r="Z875" s="339"/>
    </row>
    <row r="876" spans="1:26" ht="15.75" customHeight="1">
      <c r="A876" s="339"/>
      <c r="B876" s="339"/>
      <c r="C876" s="339"/>
      <c r="D876" s="339"/>
      <c r="E876" s="339"/>
      <c r="F876" s="339"/>
      <c r="G876" s="339"/>
      <c r="H876" s="339"/>
      <c r="I876" s="341"/>
      <c r="J876" s="339"/>
      <c r="K876" s="339"/>
      <c r="L876" s="339"/>
      <c r="M876" s="339"/>
      <c r="N876" s="339"/>
      <c r="O876" s="341"/>
      <c r="P876" s="340"/>
      <c r="Q876" s="339"/>
      <c r="R876" s="339"/>
      <c r="S876" s="339"/>
      <c r="T876" s="339"/>
      <c r="U876" s="339"/>
      <c r="V876" s="339"/>
      <c r="W876" s="339"/>
      <c r="X876" s="339"/>
      <c r="Y876" s="339"/>
      <c r="Z876" s="339"/>
    </row>
    <row r="877" spans="1:26" ht="15.75" customHeight="1">
      <c r="A877" s="339"/>
      <c r="B877" s="339"/>
      <c r="C877" s="339"/>
      <c r="D877" s="339"/>
      <c r="E877" s="339"/>
      <c r="F877" s="339"/>
      <c r="G877" s="339"/>
      <c r="H877" s="339"/>
      <c r="I877" s="341"/>
      <c r="J877" s="339"/>
      <c r="K877" s="339"/>
      <c r="L877" s="339"/>
      <c r="M877" s="339"/>
      <c r="N877" s="339"/>
      <c r="O877" s="341"/>
      <c r="P877" s="340"/>
      <c r="Q877" s="339"/>
      <c r="R877" s="339"/>
      <c r="S877" s="339"/>
      <c r="T877" s="339"/>
      <c r="U877" s="339"/>
      <c r="V877" s="339"/>
      <c r="W877" s="339"/>
      <c r="X877" s="339"/>
      <c r="Y877" s="339"/>
      <c r="Z877" s="339"/>
    </row>
    <row r="878" spans="1:26" ht="15.75" customHeight="1">
      <c r="A878" s="339"/>
      <c r="B878" s="339"/>
      <c r="C878" s="339"/>
      <c r="D878" s="339"/>
      <c r="E878" s="339"/>
      <c r="F878" s="339"/>
      <c r="G878" s="339"/>
      <c r="H878" s="339"/>
      <c r="I878" s="341"/>
      <c r="J878" s="339"/>
      <c r="K878" s="339"/>
      <c r="L878" s="339"/>
      <c r="M878" s="339"/>
      <c r="N878" s="339"/>
      <c r="O878" s="341"/>
      <c r="P878" s="340"/>
      <c r="Q878" s="339"/>
      <c r="R878" s="339"/>
      <c r="S878" s="339"/>
      <c r="T878" s="339"/>
      <c r="U878" s="339"/>
      <c r="V878" s="339"/>
      <c r="W878" s="339"/>
      <c r="X878" s="339"/>
      <c r="Y878" s="339"/>
      <c r="Z878" s="339"/>
    </row>
    <row r="879" spans="1:26" ht="15.75" customHeight="1">
      <c r="A879" s="339"/>
      <c r="B879" s="339"/>
      <c r="C879" s="339"/>
      <c r="D879" s="339"/>
      <c r="E879" s="339"/>
      <c r="F879" s="339"/>
      <c r="G879" s="339"/>
      <c r="H879" s="339"/>
      <c r="I879" s="341"/>
      <c r="J879" s="339"/>
      <c r="K879" s="339"/>
      <c r="L879" s="339"/>
      <c r="M879" s="339"/>
      <c r="N879" s="339"/>
      <c r="O879" s="341"/>
      <c r="P879" s="340"/>
      <c r="Q879" s="339"/>
      <c r="R879" s="339"/>
      <c r="S879" s="339"/>
      <c r="T879" s="339"/>
      <c r="U879" s="339"/>
      <c r="V879" s="339"/>
      <c r="W879" s="339"/>
      <c r="X879" s="339"/>
      <c r="Y879" s="339"/>
      <c r="Z879" s="339"/>
    </row>
    <row r="880" spans="1:26" ht="15.75" customHeight="1">
      <c r="A880" s="339"/>
      <c r="B880" s="339"/>
      <c r="C880" s="339"/>
      <c r="D880" s="339"/>
      <c r="E880" s="339"/>
      <c r="F880" s="339"/>
      <c r="G880" s="339"/>
      <c r="H880" s="339"/>
      <c r="I880" s="341"/>
      <c r="J880" s="339"/>
      <c r="K880" s="339"/>
      <c r="L880" s="339"/>
      <c r="M880" s="339"/>
      <c r="N880" s="339"/>
      <c r="O880" s="341"/>
      <c r="P880" s="340"/>
      <c r="Q880" s="339"/>
      <c r="R880" s="339"/>
      <c r="S880" s="339"/>
      <c r="T880" s="339"/>
      <c r="U880" s="339"/>
      <c r="V880" s="339"/>
      <c r="W880" s="339"/>
      <c r="X880" s="339"/>
      <c r="Y880" s="339"/>
      <c r="Z880" s="339"/>
    </row>
    <row r="881" spans="1:26" ht="15.75" customHeight="1">
      <c r="A881" s="339"/>
      <c r="B881" s="339"/>
      <c r="C881" s="339"/>
      <c r="D881" s="339"/>
      <c r="E881" s="339"/>
      <c r="F881" s="339"/>
      <c r="G881" s="339"/>
      <c r="H881" s="339"/>
      <c r="I881" s="341"/>
      <c r="J881" s="339"/>
      <c r="K881" s="339"/>
      <c r="L881" s="339"/>
      <c r="M881" s="339"/>
      <c r="N881" s="339"/>
      <c r="O881" s="341"/>
      <c r="P881" s="340"/>
      <c r="Q881" s="339"/>
      <c r="R881" s="339"/>
      <c r="S881" s="339"/>
      <c r="T881" s="339"/>
      <c r="U881" s="339"/>
      <c r="V881" s="339"/>
      <c r="W881" s="339"/>
      <c r="X881" s="339"/>
      <c r="Y881" s="339"/>
      <c r="Z881" s="339"/>
    </row>
    <row r="882" spans="1:26" ht="15.75" customHeight="1">
      <c r="A882" s="339"/>
      <c r="B882" s="339"/>
      <c r="C882" s="339"/>
      <c r="D882" s="339"/>
      <c r="E882" s="339"/>
      <c r="F882" s="339"/>
      <c r="G882" s="339"/>
      <c r="H882" s="339"/>
      <c r="I882" s="341"/>
      <c r="J882" s="339"/>
      <c r="K882" s="339"/>
      <c r="L882" s="339"/>
      <c r="M882" s="339"/>
      <c r="N882" s="339"/>
      <c r="O882" s="341"/>
      <c r="P882" s="340"/>
      <c r="Q882" s="339"/>
      <c r="R882" s="339"/>
      <c r="S882" s="339"/>
      <c r="T882" s="339"/>
      <c r="U882" s="339"/>
      <c r="V882" s="339"/>
      <c r="W882" s="339"/>
      <c r="X882" s="339"/>
      <c r="Y882" s="339"/>
      <c r="Z882" s="339"/>
    </row>
    <row r="883" spans="1:26" ht="15.75" customHeight="1">
      <c r="A883" s="339"/>
      <c r="B883" s="339"/>
      <c r="C883" s="339"/>
      <c r="D883" s="339"/>
      <c r="E883" s="339"/>
      <c r="F883" s="339"/>
      <c r="G883" s="339"/>
      <c r="H883" s="339"/>
      <c r="I883" s="341"/>
      <c r="J883" s="339"/>
      <c r="K883" s="339"/>
      <c r="L883" s="339"/>
      <c r="M883" s="339"/>
      <c r="N883" s="339"/>
      <c r="O883" s="341"/>
      <c r="P883" s="340"/>
      <c r="Q883" s="339"/>
      <c r="R883" s="339"/>
      <c r="S883" s="339"/>
      <c r="T883" s="339"/>
      <c r="U883" s="339"/>
      <c r="V883" s="339"/>
      <c r="W883" s="339"/>
      <c r="X883" s="339"/>
      <c r="Y883" s="339"/>
      <c r="Z883" s="339"/>
    </row>
    <row r="884" spans="1:26" ht="15.75" customHeight="1">
      <c r="A884" s="339"/>
      <c r="B884" s="339"/>
      <c r="C884" s="339"/>
      <c r="D884" s="339"/>
      <c r="E884" s="339"/>
      <c r="F884" s="339"/>
      <c r="G884" s="339"/>
      <c r="H884" s="339"/>
      <c r="I884" s="341"/>
      <c r="J884" s="339"/>
      <c r="K884" s="339"/>
      <c r="L884" s="339"/>
      <c r="M884" s="339"/>
      <c r="N884" s="339"/>
      <c r="O884" s="341"/>
      <c r="P884" s="340"/>
      <c r="Q884" s="339"/>
      <c r="R884" s="339"/>
      <c r="S884" s="339"/>
      <c r="T884" s="339"/>
      <c r="U884" s="339"/>
      <c r="V884" s="339"/>
      <c r="W884" s="339"/>
      <c r="X884" s="339"/>
      <c r="Y884" s="339"/>
      <c r="Z884" s="339"/>
    </row>
    <row r="885" spans="1:26" ht="15.75" customHeight="1">
      <c r="A885" s="339"/>
      <c r="B885" s="339"/>
      <c r="C885" s="339"/>
      <c r="D885" s="339"/>
      <c r="E885" s="339"/>
      <c r="F885" s="339"/>
      <c r="G885" s="339"/>
      <c r="H885" s="339"/>
      <c r="I885" s="341"/>
      <c r="J885" s="339"/>
      <c r="K885" s="339"/>
      <c r="L885" s="339"/>
      <c r="M885" s="339"/>
      <c r="N885" s="339"/>
      <c r="O885" s="341"/>
      <c r="P885" s="340"/>
      <c r="Q885" s="339"/>
      <c r="R885" s="339"/>
      <c r="S885" s="339"/>
      <c r="T885" s="339"/>
      <c r="U885" s="339"/>
      <c r="V885" s="339"/>
      <c r="W885" s="339"/>
      <c r="X885" s="339"/>
      <c r="Y885" s="339"/>
      <c r="Z885" s="339"/>
    </row>
    <row r="886" spans="1:26" ht="15.75" customHeight="1">
      <c r="A886" s="339"/>
      <c r="B886" s="339"/>
      <c r="C886" s="339"/>
      <c r="D886" s="339"/>
      <c r="E886" s="339"/>
      <c r="F886" s="339"/>
      <c r="G886" s="339"/>
      <c r="H886" s="339"/>
      <c r="I886" s="341"/>
      <c r="J886" s="339"/>
      <c r="K886" s="339"/>
      <c r="L886" s="339"/>
      <c r="M886" s="339"/>
      <c r="N886" s="339"/>
      <c r="O886" s="341"/>
      <c r="P886" s="340"/>
      <c r="Q886" s="339"/>
      <c r="R886" s="339"/>
      <c r="S886" s="339"/>
      <c r="T886" s="339"/>
      <c r="U886" s="339"/>
      <c r="V886" s="339"/>
      <c r="W886" s="339"/>
      <c r="X886" s="339"/>
      <c r="Y886" s="339"/>
      <c r="Z886" s="339"/>
    </row>
    <row r="887" spans="1:26" ht="15.75" customHeight="1">
      <c r="A887" s="339"/>
      <c r="B887" s="339"/>
      <c r="C887" s="339"/>
      <c r="D887" s="339"/>
      <c r="E887" s="339"/>
      <c r="F887" s="339"/>
      <c r="G887" s="339"/>
      <c r="H887" s="339"/>
      <c r="I887" s="341"/>
      <c r="J887" s="339"/>
      <c r="K887" s="339"/>
      <c r="L887" s="339"/>
      <c r="M887" s="339"/>
      <c r="N887" s="339"/>
      <c r="O887" s="341"/>
      <c r="P887" s="340"/>
      <c r="Q887" s="339"/>
      <c r="R887" s="339"/>
      <c r="S887" s="339"/>
      <c r="T887" s="339"/>
      <c r="U887" s="339"/>
      <c r="V887" s="339"/>
      <c r="W887" s="339"/>
      <c r="X887" s="339"/>
      <c r="Y887" s="339"/>
      <c r="Z887" s="339"/>
    </row>
    <row r="888" spans="1:26" ht="15.75" customHeight="1">
      <c r="A888" s="339"/>
      <c r="B888" s="339"/>
      <c r="C888" s="339"/>
      <c r="D888" s="339"/>
      <c r="E888" s="339"/>
      <c r="F888" s="339"/>
      <c r="G888" s="339"/>
      <c r="H888" s="339"/>
      <c r="I888" s="341"/>
      <c r="J888" s="339"/>
      <c r="K888" s="339"/>
      <c r="L888" s="339"/>
      <c r="M888" s="339"/>
      <c r="N888" s="339"/>
      <c r="O888" s="341"/>
      <c r="P888" s="340"/>
      <c r="Q888" s="339"/>
      <c r="R888" s="339"/>
      <c r="S888" s="339"/>
      <c r="T888" s="339"/>
      <c r="U888" s="339"/>
      <c r="V888" s="339"/>
      <c r="W888" s="339"/>
      <c r="X888" s="339"/>
      <c r="Y888" s="339"/>
      <c r="Z888" s="339"/>
    </row>
    <row r="889" spans="1:26" ht="15.75" customHeight="1">
      <c r="A889" s="339"/>
      <c r="B889" s="339"/>
      <c r="C889" s="339"/>
      <c r="D889" s="339"/>
      <c r="E889" s="339"/>
      <c r="F889" s="339"/>
      <c r="G889" s="339"/>
      <c r="H889" s="339"/>
      <c r="I889" s="341"/>
      <c r="J889" s="339"/>
      <c r="K889" s="339"/>
      <c r="L889" s="339"/>
      <c r="M889" s="339"/>
      <c r="N889" s="339"/>
      <c r="O889" s="341"/>
      <c r="P889" s="340"/>
      <c r="Q889" s="339"/>
      <c r="R889" s="339"/>
      <c r="S889" s="339"/>
      <c r="T889" s="339"/>
      <c r="U889" s="339"/>
      <c r="V889" s="339"/>
      <c r="W889" s="339"/>
      <c r="X889" s="339"/>
      <c r="Y889" s="339"/>
      <c r="Z889" s="339"/>
    </row>
    <row r="890" spans="1:26" ht="15.75" customHeight="1">
      <c r="A890" s="339"/>
      <c r="B890" s="339"/>
      <c r="C890" s="339"/>
      <c r="D890" s="339"/>
      <c r="E890" s="339"/>
      <c r="F890" s="339"/>
      <c r="G890" s="339"/>
      <c r="H890" s="339"/>
      <c r="I890" s="341"/>
      <c r="J890" s="339"/>
      <c r="K890" s="339"/>
      <c r="L890" s="339"/>
      <c r="M890" s="339"/>
      <c r="N890" s="339"/>
      <c r="O890" s="341"/>
      <c r="P890" s="340"/>
      <c r="Q890" s="339"/>
      <c r="R890" s="339"/>
      <c r="S890" s="339"/>
      <c r="T890" s="339"/>
      <c r="U890" s="339"/>
      <c r="V890" s="339"/>
      <c r="W890" s="339"/>
      <c r="X890" s="339"/>
      <c r="Y890" s="339"/>
      <c r="Z890" s="339"/>
    </row>
    <row r="891" spans="1:26" ht="15.75" customHeight="1">
      <c r="A891" s="339"/>
      <c r="B891" s="339"/>
      <c r="C891" s="339"/>
      <c r="D891" s="339"/>
      <c r="E891" s="339"/>
      <c r="F891" s="339"/>
      <c r="G891" s="339"/>
      <c r="H891" s="339"/>
      <c r="I891" s="341"/>
      <c r="J891" s="339"/>
      <c r="K891" s="339"/>
      <c r="L891" s="339"/>
      <c r="M891" s="339"/>
      <c r="N891" s="339"/>
      <c r="O891" s="341"/>
      <c r="P891" s="340"/>
      <c r="Q891" s="339"/>
      <c r="R891" s="339"/>
      <c r="S891" s="339"/>
      <c r="T891" s="339"/>
      <c r="U891" s="339"/>
      <c r="V891" s="339"/>
      <c r="W891" s="339"/>
      <c r="X891" s="339"/>
      <c r="Y891" s="339"/>
      <c r="Z891" s="339"/>
    </row>
    <row r="892" spans="1:26" ht="15.75" customHeight="1">
      <c r="A892" s="339"/>
      <c r="B892" s="339"/>
      <c r="C892" s="339"/>
      <c r="D892" s="339"/>
      <c r="E892" s="339"/>
      <c r="F892" s="339"/>
      <c r="G892" s="339"/>
      <c r="H892" s="339"/>
      <c r="I892" s="341"/>
      <c r="J892" s="339"/>
      <c r="K892" s="339"/>
      <c r="L892" s="339"/>
      <c r="M892" s="339"/>
      <c r="N892" s="339"/>
      <c r="O892" s="341"/>
      <c r="P892" s="340"/>
      <c r="Q892" s="339"/>
      <c r="R892" s="339"/>
      <c r="S892" s="339"/>
      <c r="T892" s="339"/>
      <c r="U892" s="339"/>
      <c r="V892" s="339"/>
      <c r="W892" s="339"/>
      <c r="X892" s="339"/>
      <c r="Y892" s="339"/>
      <c r="Z892" s="339"/>
    </row>
    <row r="893" spans="1:26" ht="15.75" customHeight="1">
      <c r="A893" s="339"/>
      <c r="B893" s="339"/>
      <c r="C893" s="339"/>
      <c r="D893" s="339"/>
      <c r="E893" s="339"/>
      <c r="F893" s="339"/>
      <c r="G893" s="339"/>
      <c r="H893" s="339"/>
      <c r="I893" s="341"/>
      <c r="J893" s="339"/>
      <c r="K893" s="339"/>
      <c r="L893" s="339"/>
      <c r="M893" s="339"/>
      <c r="N893" s="339"/>
      <c r="O893" s="341"/>
      <c r="P893" s="340"/>
      <c r="Q893" s="339"/>
      <c r="R893" s="339"/>
      <c r="S893" s="339"/>
      <c r="T893" s="339"/>
      <c r="U893" s="339"/>
      <c r="V893" s="339"/>
      <c r="W893" s="339"/>
      <c r="X893" s="339"/>
      <c r="Y893" s="339"/>
      <c r="Z893" s="339"/>
    </row>
    <row r="894" spans="1:26" ht="15.75" customHeight="1">
      <c r="A894" s="339"/>
      <c r="B894" s="339"/>
      <c r="C894" s="339"/>
      <c r="D894" s="339"/>
      <c r="E894" s="339"/>
      <c r="F894" s="339"/>
      <c r="G894" s="339"/>
      <c r="H894" s="339"/>
      <c r="I894" s="341"/>
      <c r="J894" s="339"/>
      <c r="K894" s="339"/>
      <c r="L894" s="339"/>
      <c r="M894" s="339"/>
      <c r="N894" s="339"/>
      <c r="O894" s="341"/>
      <c r="P894" s="340"/>
      <c r="Q894" s="339"/>
      <c r="R894" s="339"/>
      <c r="S894" s="339"/>
      <c r="T894" s="339"/>
      <c r="U894" s="339"/>
      <c r="V894" s="339"/>
      <c r="W894" s="339"/>
      <c r="X894" s="339"/>
      <c r="Y894" s="339"/>
      <c r="Z894" s="339"/>
    </row>
    <row r="895" spans="1:26" ht="15.75" customHeight="1">
      <c r="A895" s="339"/>
      <c r="B895" s="339"/>
      <c r="C895" s="339"/>
      <c r="D895" s="339"/>
      <c r="E895" s="339"/>
      <c r="F895" s="339"/>
      <c r="G895" s="339"/>
      <c r="H895" s="339"/>
      <c r="I895" s="341"/>
      <c r="J895" s="339"/>
      <c r="K895" s="339"/>
      <c r="L895" s="339"/>
      <c r="M895" s="339"/>
      <c r="N895" s="339"/>
      <c r="O895" s="341"/>
      <c r="P895" s="340"/>
      <c r="Q895" s="339"/>
      <c r="R895" s="339"/>
      <c r="S895" s="339"/>
      <c r="T895" s="339"/>
      <c r="U895" s="339"/>
      <c r="V895" s="339"/>
      <c r="W895" s="339"/>
      <c r="X895" s="339"/>
      <c r="Y895" s="339"/>
      <c r="Z895" s="339"/>
    </row>
    <row r="896" spans="1:26" ht="15.75" customHeight="1">
      <c r="A896" s="339"/>
      <c r="B896" s="339"/>
      <c r="C896" s="339"/>
      <c r="D896" s="339"/>
      <c r="E896" s="339"/>
      <c r="F896" s="339"/>
      <c r="G896" s="339"/>
      <c r="H896" s="339"/>
      <c r="I896" s="341"/>
      <c r="J896" s="339"/>
      <c r="K896" s="339"/>
      <c r="L896" s="339"/>
      <c r="M896" s="339"/>
      <c r="N896" s="339"/>
      <c r="O896" s="341"/>
      <c r="P896" s="340"/>
      <c r="Q896" s="339"/>
      <c r="R896" s="339"/>
      <c r="S896" s="339"/>
      <c r="T896" s="339"/>
      <c r="U896" s="339"/>
      <c r="V896" s="339"/>
      <c r="W896" s="339"/>
      <c r="X896" s="339"/>
      <c r="Y896" s="339"/>
      <c r="Z896" s="339"/>
    </row>
    <row r="897" spans="1:26" ht="15.75" customHeight="1">
      <c r="A897" s="339"/>
      <c r="B897" s="339"/>
      <c r="C897" s="339"/>
      <c r="D897" s="339"/>
      <c r="E897" s="339"/>
      <c r="F897" s="339"/>
      <c r="G897" s="339"/>
      <c r="H897" s="339"/>
      <c r="I897" s="341"/>
      <c r="J897" s="339"/>
      <c r="K897" s="339"/>
      <c r="L897" s="339"/>
      <c r="M897" s="339"/>
      <c r="N897" s="339"/>
      <c r="O897" s="341"/>
      <c r="P897" s="340"/>
      <c r="Q897" s="339"/>
      <c r="R897" s="339"/>
      <c r="S897" s="339"/>
      <c r="T897" s="339"/>
      <c r="U897" s="339"/>
      <c r="V897" s="339"/>
      <c r="W897" s="339"/>
      <c r="X897" s="339"/>
      <c r="Y897" s="339"/>
      <c r="Z897" s="339"/>
    </row>
    <row r="898" spans="1:26" ht="15.75" customHeight="1">
      <c r="A898" s="339"/>
      <c r="B898" s="339"/>
      <c r="C898" s="339"/>
      <c r="D898" s="339"/>
      <c r="E898" s="339"/>
      <c r="F898" s="339"/>
      <c r="G898" s="339"/>
      <c r="H898" s="339"/>
      <c r="I898" s="341"/>
      <c r="J898" s="339"/>
      <c r="K898" s="339"/>
      <c r="L898" s="339"/>
      <c r="M898" s="339"/>
      <c r="N898" s="339"/>
      <c r="O898" s="341"/>
      <c r="P898" s="340"/>
      <c r="Q898" s="339"/>
      <c r="R898" s="339"/>
      <c r="S898" s="339"/>
      <c r="T898" s="339"/>
      <c r="U898" s="339"/>
      <c r="V898" s="339"/>
      <c r="W898" s="339"/>
      <c r="X898" s="339"/>
      <c r="Y898" s="339"/>
      <c r="Z898" s="339"/>
    </row>
    <row r="899" spans="1:26" ht="15.75" customHeight="1">
      <c r="A899" s="339"/>
      <c r="B899" s="339"/>
      <c r="C899" s="339"/>
      <c r="D899" s="339"/>
      <c r="E899" s="339"/>
      <c r="F899" s="339"/>
      <c r="G899" s="339"/>
      <c r="H899" s="339"/>
      <c r="I899" s="341"/>
      <c r="J899" s="339"/>
      <c r="K899" s="339"/>
      <c r="L899" s="339"/>
      <c r="M899" s="339"/>
      <c r="N899" s="339"/>
      <c r="O899" s="341"/>
      <c r="P899" s="340"/>
      <c r="Q899" s="339"/>
      <c r="R899" s="339"/>
      <c r="S899" s="339"/>
      <c r="T899" s="339"/>
      <c r="U899" s="339"/>
      <c r="V899" s="339"/>
      <c r="W899" s="339"/>
      <c r="X899" s="339"/>
      <c r="Y899" s="339"/>
      <c r="Z899" s="339"/>
    </row>
    <row r="900" spans="1:26" ht="15.75" customHeight="1">
      <c r="A900" s="339"/>
      <c r="B900" s="339"/>
      <c r="C900" s="339"/>
      <c r="D900" s="339"/>
      <c r="E900" s="339"/>
      <c r="F900" s="339"/>
      <c r="G900" s="339"/>
      <c r="H900" s="339"/>
      <c r="I900" s="341"/>
      <c r="J900" s="339"/>
      <c r="K900" s="339"/>
      <c r="L900" s="339"/>
      <c r="M900" s="339"/>
      <c r="N900" s="339"/>
      <c r="O900" s="341"/>
      <c r="P900" s="340"/>
      <c r="Q900" s="339"/>
      <c r="R900" s="339"/>
      <c r="S900" s="339"/>
      <c r="T900" s="339"/>
      <c r="U900" s="339"/>
      <c r="V900" s="339"/>
      <c r="W900" s="339"/>
      <c r="X900" s="339"/>
      <c r="Y900" s="339"/>
      <c r="Z900" s="339"/>
    </row>
    <row r="901" spans="1:26" ht="15.75" customHeight="1">
      <c r="A901" s="339"/>
      <c r="B901" s="339"/>
      <c r="C901" s="339"/>
      <c r="D901" s="339"/>
      <c r="E901" s="339"/>
      <c r="F901" s="339"/>
      <c r="G901" s="339"/>
      <c r="H901" s="339"/>
      <c r="I901" s="341"/>
      <c r="J901" s="339"/>
      <c r="K901" s="339"/>
      <c r="L901" s="339"/>
      <c r="M901" s="339"/>
      <c r="N901" s="339"/>
      <c r="O901" s="341"/>
      <c r="P901" s="340"/>
      <c r="Q901" s="339"/>
      <c r="R901" s="339"/>
      <c r="S901" s="339"/>
      <c r="T901" s="339"/>
      <c r="U901" s="339"/>
      <c r="V901" s="339"/>
      <c r="W901" s="339"/>
      <c r="X901" s="339"/>
      <c r="Y901" s="339"/>
      <c r="Z901" s="339"/>
    </row>
    <row r="902" spans="1:26" ht="15.75" customHeight="1">
      <c r="A902" s="339"/>
      <c r="B902" s="339"/>
      <c r="C902" s="339"/>
      <c r="D902" s="339"/>
      <c r="E902" s="339"/>
      <c r="F902" s="339"/>
      <c r="G902" s="339"/>
      <c r="H902" s="339"/>
      <c r="I902" s="341"/>
      <c r="J902" s="339"/>
      <c r="K902" s="339"/>
      <c r="L902" s="339"/>
      <c r="M902" s="339"/>
      <c r="N902" s="339"/>
      <c r="O902" s="341"/>
      <c r="P902" s="340"/>
      <c r="Q902" s="339"/>
      <c r="R902" s="339"/>
      <c r="S902" s="339"/>
      <c r="T902" s="339"/>
      <c r="U902" s="339"/>
      <c r="V902" s="339"/>
      <c r="W902" s="339"/>
      <c r="X902" s="339"/>
      <c r="Y902" s="339"/>
      <c r="Z902" s="339"/>
    </row>
    <row r="903" spans="1:26" ht="15.75" customHeight="1">
      <c r="A903" s="339"/>
      <c r="B903" s="339"/>
      <c r="C903" s="339"/>
      <c r="D903" s="339"/>
      <c r="E903" s="339"/>
      <c r="F903" s="339"/>
      <c r="G903" s="339"/>
      <c r="H903" s="339"/>
      <c r="I903" s="341"/>
      <c r="J903" s="339"/>
      <c r="K903" s="339"/>
      <c r="L903" s="339"/>
      <c r="M903" s="339"/>
      <c r="N903" s="339"/>
      <c r="O903" s="341"/>
      <c r="P903" s="340"/>
      <c r="Q903" s="339"/>
      <c r="R903" s="339"/>
      <c r="S903" s="339"/>
      <c r="T903" s="339"/>
      <c r="U903" s="339"/>
      <c r="V903" s="339"/>
      <c r="W903" s="339"/>
      <c r="X903" s="339"/>
      <c r="Y903" s="339"/>
      <c r="Z903" s="339"/>
    </row>
    <row r="904" spans="1:26" ht="15.75" customHeight="1">
      <c r="A904" s="339"/>
      <c r="B904" s="339"/>
      <c r="C904" s="339"/>
      <c r="D904" s="339"/>
      <c r="E904" s="339"/>
      <c r="F904" s="339"/>
      <c r="G904" s="339"/>
      <c r="H904" s="339"/>
      <c r="I904" s="341"/>
      <c r="J904" s="339"/>
      <c r="K904" s="339"/>
      <c r="L904" s="339"/>
      <c r="M904" s="339"/>
      <c r="N904" s="339"/>
      <c r="O904" s="341"/>
      <c r="P904" s="340"/>
      <c r="Q904" s="339"/>
      <c r="R904" s="339"/>
      <c r="S904" s="339"/>
      <c r="T904" s="339"/>
      <c r="U904" s="339"/>
      <c r="V904" s="339"/>
      <c r="W904" s="339"/>
      <c r="X904" s="339"/>
      <c r="Y904" s="339"/>
      <c r="Z904" s="339"/>
    </row>
    <row r="905" spans="1:26" ht="15.75" customHeight="1">
      <c r="A905" s="339"/>
      <c r="B905" s="339"/>
      <c r="C905" s="339"/>
      <c r="D905" s="339"/>
      <c r="E905" s="339"/>
      <c r="F905" s="339"/>
      <c r="G905" s="339"/>
      <c r="H905" s="339"/>
      <c r="I905" s="341"/>
      <c r="J905" s="339"/>
      <c r="K905" s="339"/>
      <c r="L905" s="339"/>
      <c r="M905" s="339"/>
      <c r="N905" s="339"/>
      <c r="O905" s="341"/>
      <c r="P905" s="340"/>
      <c r="Q905" s="339"/>
      <c r="R905" s="339"/>
      <c r="S905" s="339"/>
      <c r="T905" s="339"/>
      <c r="U905" s="339"/>
      <c r="V905" s="339"/>
      <c r="W905" s="339"/>
      <c r="X905" s="339"/>
      <c r="Y905" s="339"/>
      <c r="Z905" s="339"/>
    </row>
    <row r="906" spans="1:26" ht="15.75" customHeight="1">
      <c r="A906" s="339"/>
      <c r="B906" s="339"/>
      <c r="C906" s="339"/>
      <c r="D906" s="339"/>
      <c r="E906" s="339"/>
      <c r="F906" s="339"/>
      <c r="G906" s="339"/>
      <c r="H906" s="339"/>
      <c r="I906" s="341"/>
      <c r="J906" s="339"/>
      <c r="K906" s="339"/>
      <c r="L906" s="339"/>
      <c r="M906" s="339"/>
      <c r="N906" s="339"/>
      <c r="O906" s="341"/>
      <c r="P906" s="340"/>
      <c r="Q906" s="339"/>
      <c r="R906" s="339"/>
      <c r="S906" s="339"/>
      <c r="T906" s="339"/>
      <c r="U906" s="339"/>
      <c r="V906" s="339"/>
      <c r="W906" s="339"/>
      <c r="X906" s="339"/>
      <c r="Y906" s="339"/>
      <c r="Z906" s="339"/>
    </row>
    <row r="907" spans="1:26" ht="15.75" customHeight="1">
      <c r="A907" s="339"/>
      <c r="B907" s="339"/>
      <c r="C907" s="339"/>
      <c r="D907" s="339"/>
      <c r="E907" s="339"/>
      <c r="F907" s="339"/>
      <c r="G907" s="339"/>
      <c r="H907" s="339"/>
      <c r="I907" s="341"/>
      <c r="J907" s="339"/>
      <c r="K907" s="339"/>
      <c r="L907" s="339"/>
      <c r="M907" s="339"/>
      <c r="N907" s="339"/>
      <c r="O907" s="341"/>
      <c r="P907" s="340"/>
      <c r="Q907" s="339"/>
      <c r="R907" s="339"/>
      <c r="S907" s="339"/>
      <c r="T907" s="339"/>
      <c r="U907" s="339"/>
      <c r="V907" s="339"/>
      <c r="W907" s="339"/>
      <c r="X907" s="339"/>
      <c r="Y907" s="339"/>
      <c r="Z907" s="339"/>
    </row>
    <row r="908" spans="1:26" ht="15.75" customHeight="1">
      <c r="A908" s="339"/>
      <c r="B908" s="339"/>
      <c r="C908" s="339"/>
      <c r="D908" s="339"/>
      <c r="E908" s="339"/>
      <c r="F908" s="339"/>
      <c r="G908" s="339"/>
      <c r="H908" s="339"/>
      <c r="I908" s="341"/>
      <c r="J908" s="339"/>
      <c r="K908" s="339"/>
      <c r="L908" s="339"/>
      <c r="M908" s="339"/>
      <c r="N908" s="339"/>
      <c r="O908" s="341"/>
      <c r="P908" s="340"/>
      <c r="Q908" s="339"/>
      <c r="R908" s="339"/>
      <c r="S908" s="339"/>
      <c r="T908" s="339"/>
      <c r="U908" s="339"/>
      <c r="V908" s="339"/>
      <c r="W908" s="339"/>
      <c r="X908" s="339"/>
      <c r="Y908" s="339"/>
      <c r="Z908" s="339"/>
    </row>
    <row r="909" spans="1:26" ht="15.75" customHeight="1">
      <c r="A909" s="339"/>
      <c r="B909" s="339"/>
      <c r="C909" s="339"/>
      <c r="D909" s="339"/>
      <c r="E909" s="339"/>
      <c r="F909" s="339"/>
      <c r="G909" s="339"/>
      <c r="H909" s="339"/>
      <c r="I909" s="341"/>
      <c r="J909" s="339"/>
      <c r="K909" s="339"/>
      <c r="L909" s="339"/>
      <c r="M909" s="339"/>
      <c r="N909" s="339"/>
      <c r="O909" s="341"/>
      <c r="P909" s="340"/>
      <c r="Q909" s="339"/>
      <c r="R909" s="339"/>
      <c r="S909" s="339"/>
      <c r="T909" s="339"/>
      <c r="U909" s="339"/>
      <c r="V909" s="339"/>
      <c r="W909" s="339"/>
      <c r="X909" s="339"/>
      <c r="Y909" s="339"/>
      <c r="Z909" s="339"/>
    </row>
    <row r="910" spans="1:26" ht="15.75" customHeight="1">
      <c r="A910" s="339"/>
      <c r="B910" s="339"/>
      <c r="C910" s="339"/>
      <c r="D910" s="339"/>
      <c r="E910" s="339"/>
      <c r="F910" s="339"/>
      <c r="G910" s="339"/>
      <c r="H910" s="339"/>
      <c r="I910" s="341"/>
      <c r="J910" s="339"/>
      <c r="K910" s="339"/>
      <c r="L910" s="339"/>
      <c r="M910" s="339"/>
      <c r="N910" s="339"/>
      <c r="O910" s="341"/>
      <c r="P910" s="340"/>
      <c r="Q910" s="339"/>
      <c r="R910" s="339"/>
      <c r="S910" s="339"/>
      <c r="T910" s="339"/>
      <c r="U910" s="339"/>
      <c r="V910" s="339"/>
      <c r="W910" s="339"/>
      <c r="X910" s="339"/>
      <c r="Y910" s="339"/>
      <c r="Z910" s="339"/>
    </row>
    <row r="911" spans="1:26" ht="15.75" customHeight="1">
      <c r="A911" s="339"/>
      <c r="B911" s="339"/>
      <c r="C911" s="339"/>
      <c r="D911" s="339"/>
      <c r="E911" s="339"/>
      <c r="F911" s="339"/>
      <c r="G911" s="339"/>
      <c r="H911" s="339"/>
      <c r="I911" s="341"/>
      <c r="J911" s="339"/>
      <c r="K911" s="339"/>
      <c r="L911" s="339"/>
      <c r="M911" s="339"/>
      <c r="N911" s="339"/>
      <c r="O911" s="341"/>
      <c r="P911" s="340"/>
      <c r="Q911" s="339"/>
      <c r="R911" s="339"/>
      <c r="S911" s="339"/>
      <c r="T911" s="339"/>
      <c r="U911" s="339"/>
      <c r="V911" s="339"/>
      <c r="W911" s="339"/>
      <c r="X911" s="339"/>
      <c r="Y911" s="339"/>
      <c r="Z911" s="339"/>
    </row>
    <row r="912" spans="1:26" ht="15.75" customHeight="1">
      <c r="A912" s="339"/>
      <c r="B912" s="339"/>
      <c r="C912" s="339"/>
      <c r="D912" s="339"/>
      <c r="E912" s="339"/>
      <c r="F912" s="339"/>
      <c r="G912" s="339"/>
      <c r="H912" s="339"/>
      <c r="I912" s="341"/>
      <c r="J912" s="339"/>
      <c r="K912" s="339"/>
      <c r="L912" s="339"/>
      <c r="M912" s="339"/>
      <c r="N912" s="339"/>
      <c r="O912" s="341"/>
      <c r="P912" s="340"/>
      <c r="Q912" s="339"/>
      <c r="R912" s="339"/>
      <c r="S912" s="339"/>
      <c r="T912" s="339"/>
      <c r="U912" s="339"/>
      <c r="V912" s="339"/>
      <c r="W912" s="339"/>
      <c r="X912" s="339"/>
      <c r="Y912" s="339"/>
      <c r="Z912" s="339"/>
    </row>
    <row r="913" spans="1:26" ht="15.75" customHeight="1">
      <c r="A913" s="339"/>
      <c r="B913" s="339"/>
      <c r="C913" s="339"/>
      <c r="D913" s="339"/>
      <c r="E913" s="339"/>
      <c r="F913" s="339"/>
      <c r="G913" s="339"/>
      <c r="H913" s="339"/>
      <c r="I913" s="341"/>
      <c r="J913" s="339"/>
      <c r="K913" s="339"/>
      <c r="L913" s="339"/>
      <c r="M913" s="339"/>
      <c r="N913" s="339"/>
      <c r="O913" s="341"/>
      <c r="P913" s="340"/>
      <c r="Q913" s="339"/>
      <c r="R913" s="339"/>
      <c r="S913" s="339"/>
      <c r="T913" s="339"/>
      <c r="U913" s="339"/>
      <c r="V913" s="339"/>
      <c r="W913" s="339"/>
      <c r="X913" s="339"/>
      <c r="Y913" s="339"/>
      <c r="Z913" s="339"/>
    </row>
    <row r="914" spans="1:26" ht="15.75" customHeight="1">
      <c r="A914" s="339"/>
      <c r="B914" s="339"/>
      <c r="C914" s="339"/>
      <c r="D914" s="339"/>
      <c r="E914" s="339"/>
      <c r="F914" s="339"/>
      <c r="G914" s="339"/>
      <c r="H914" s="339"/>
      <c r="I914" s="341"/>
      <c r="J914" s="339"/>
      <c r="K914" s="339"/>
      <c r="L914" s="339"/>
      <c r="M914" s="339"/>
      <c r="N914" s="339"/>
      <c r="O914" s="341"/>
      <c r="P914" s="340"/>
      <c r="Q914" s="339"/>
      <c r="R914" s="339"/>
      <c r="S914" s="339"/>
      <c r="T914" s="339"/>
      <c r="U914" s="339"/>
      <c r="V914" s="339"/>
      <c r="W914" s="339"/>
      <c r="X914" s="339"/>
      <c r="Y914" s="339"/>
      <c r="Z914" s="339"/>
    </row>
    <row r="915" spans="1:26" ht="15.75" customHeight="1">
      <c r="A915" s="339"/>
      <c r="B915" s="339"/>
      <c r="C915" s="339"/>
      <c r="D915" s="339"/>
      <c r="E915" s="339"/>
      <c r="F915" s="339"/>
      <c r="G915" s="339"/>
      <c r="H915" s="339"/>
      <c r="I915" s="341"/>
      <c r="J915" s="339"/>
      <c r="K915" s="339"/>
      <c r="L915" s="339"/>
      <c r="M915" s="339"/>
      <c r="N915" s="339"/>
      <c r="O915" s="341"/>
      <c r="P915" s="340"/>
      <c r="Q915" s="339"/>
      <c r="R915" s="339"/>
      <c r="S915" s="339"/>
      <c r="T915" s="339"/>
      <c r="U915" s="339"/>
      <c r="V915" s="339"/>
      <c r="W915" s="339"/>
      <c r="X915" s="339"/>
      <c r="Y915" s="339"/>
      <c r="Z915" s="339"/>
    </row>
    <row r="916" spans="1:26" ht="15.75" customHeight="1">
      <c r="A916" s="339"/>
      <c r="B916" s="339"/>
      <c r="C916" s="339"/>
      <c r="D916" s="339"/>
      <c r="E916" s="339"/>
      <c r="F916" s="339"/>
      <c r="G916" s="339"/>
      <c r="H916" s="339"/>
      <c r="I916" s="341"/>
      <c r="J916" s="339"/>
      <c r="K916" s="339"/>
      <c r="L916" s="339"/>
      <c r="M916" s="339"/>
      <c r="N916" s="339"/>
      <c r="O916" s="341"/>
      <c r="P916" s="340"/>
      <c r="Q916" s="339"/>
      <c r="R916" s="339"/>
      <c r="S916" s="339"/>
      <c r="T916" s="339"/>
      <c r="U916" s="339"/>
      <c r="V916" s="339"/>
      <c r="W916" s="339"/>
      <c r="X916" s="339"/>
      <c r="Y916" s="339"/>
      <c r="Z916" s="339"/>
    </row>
    <row r="917" spans="1:26" ht="15.75" customHeight="1">
      <c r="A917" s="339"/>
      <c r="B917" s="339"/>
      <c r="C917" s="339"/>
      <c r="D917" s="339"/>
      <c r="E917" s="339"/>
      <c r="F917" s="339"/>
      <c r="G917" s="339"/>
      <c r="H917" s="339"/>
      <c r="I917" s="341"/>
      <c r="J917" s="339"/>
      <c r="K917" s="339"/>
      <c r="L917" s="339"/>
      <c r="M917" s="339"/>
      <c r="N917" s="339"/>
      <c r="O917" s="341"/>
      <c r="P917" s="340"/>
      <c r="Q917" s="339"/>
      <c r="R917" s="339"/>
      <c r="S917" s="339"/>
      <c r="T917" s="339"/>
      <c r="U917" s="339"/>
      <c r="V917" s="339"/>
      <c r="W917" s="339"/>
      <c r="X917" s="339"/>
      <c r="Y917" s="339"/>
      <c r="Z917" s="339"/>
    </row>
    <row r="918" spans="1:26" ht="15.75" customHeight="1">
      <c r="A918" s="339"/>
      <c r="B918" s="339"/>
      <c r="C918" s="339"/>
      <c r="D918" s="339"/>
      <c r="E918" s="339"/>
      <c r="F918" s="339"/>
      <c r="G918" s="339"/>
      <c r="H918" s="339"/>
      <c r="I918" s="341"/>
      <c r="J918" s="339"/>
      <c r="K918" s="339"/>
      <c r="L918" s="339"/>
      <c r="M918" s="339"/>
      <c r="N918" s="339"/>
      <c r="O918" s="341"/>
      <c r="P918" s="340"/>
      <c r="Q918" s="339"/>
      <c r="R918" s="339"/>
      <c r="S918" s="339"/>
      <c r="T918" s="339"/>
      <c r="U918" s="339"/>
      <c r="V918" s="339"/>
      <c r="W918" s="339"/>
      <c r="X918" s="339"/>
      <c r="Y918" s="339"/>
      <c r="Z918" s="339"/>
    </row>
    <row r="919" spans="1:26" ht="15.75" customHeight="1">
      <c r="A919" s="339"/>
      <c r="B919" s="339"/>
      <c r="C919" s="339"/>
      <c r="D919" s="339"/>
      <c r="E919" s="339"/>
      <c r="F919" s="339"/>
      <c r="G919" s="339"/>
      <c r="H919" s="339"/>
      <c r="I919" s="341"/>
      <c r="J919" s="339"/>
      <c r="K919" s="339"/>
      <c r="L919" s="339"/>
      <c r="M919" s="339"/>
      <c r="N919" s="339"/>
      <c r="O919" s="341"/>
      <c r="P919" s="340"/>
      <c r="Q919" s="339"/>
      <c r="R919" s="339"/>
      <c r="S919" s="339"/>
      <c r="T919" s="339"/>
      <c r="U919" s="339"/>
      <c r="V919" s="339"/>
      <c r="W919" s="339"/>
      <c r="X919" s="339"/>
      <c r="Y919" s="339"/>
      <c r="Z919" s="339"/>
    </row>
    <row r="920" spans="1:26" ht="15.75" customHeight="1">
      <c r="A920" s="339"/>
      <c r="B920" s="339"/>
      <c r="C920" s="339"/>
      <c r="D920" s="339"/>
      <c r="E920" s="339"/>
      <c r="F920" s="339"/>
      <c r="G920" s="339"/>
      <c r="H920" s="339"/>
      <c r="I920" s="341"/>
      <c r="J920" s="339"/>
      <c r="K920" s="339"/>
      <c r="L920" s="339"/>
      <c r="M920" s="339"/>
      <c r="N920" s="339"/>
      <c r="O920" s="341"/>
      <c r="P920" s="340"/>
      <c r="Q920" s="339"/>
      <c r="R920" s="339"/>
      <c r="S920" s="339"/>
      <c r="T920" s="339"/>
      <c r="U920" s="339"/>
      <c r="V920" s="339"/>
      <c r="W920" s="339"/>
      <c r="X920" s="339"/>
      <c r="Y920" s="339"/>
      <c r="Z920" s="339"/>
    </row>
    <row r="921" spans="1:26" ht="15.75" customHeight="1">
      <c r="A921" s="339"/>
      <c r="B921" s="339"/>
      <c r="C921" s="339"/>
      <c r="D921" s="339"/>
      <c r="E921" s="339"/>
      <c r="F921" s="339"/>
      <c r="G921" s="339"/>
      <c r="H921" s="339"/>
      <c r="I921" s="341"/>
      <c r="J921" s="339"/>
      <c r="K921" s="339"/>
      <c r="L921" s="339"/>
      <c r="M921" s="339"/>
      <c r="N921" s="339"/>
      <c r="O921" s="341"/>
      <c r="P921" s="340"/>
      <c r="Q921" s="339"/>
      <c r="R921" s="339"/>
      <c r="S921" s="339"/>
      <c r="T921" s="339"/>
      <c r="U921" s="339"/>
      <c r="V921" s="339"/>
      <c r="W921" s="339"/>
      <c r="X921" s="339"/>
      <c r="Y921" s="339"/>
      <c r="Z921" s="339"/>
    </row>
    <row r="922" spans="1:26" ht="15.75" customHeight="1">
      <c r="A922" s="339"/>
      <c r="B922" s="339"/>
      <c r="C922" s="339"/>
      <c r="D922" s="339"/>
      <c r="E922" s="339"/>
      <c r="F922" s="339"/>
      <c r="G922" s="339"/>
      <c r="H922" s="339"/>
      <c r="I922" s="341"/>
      <c r="J922" s="339"/>
      <c r="K922" s="339"/>
      <c r="L922" s="339"/>
      <c r="M922" s="339"/>
      <c r="N922" s="339"/>
      <c r="O922" s="341"/>
      <c r="P922" s="340"/>
      <c r="Q922" s="339"/>
      <c r="R922" s="339"/>
      <c r="S922" s="339"/>
      <c r="T922" s="339"/>
      <c r="U922" s="339"/>
      <c r="V922" s="339"/>
      <c r="W922" s="339"/>
      <c r="X922" s="339"/>
      <c r="Y922" s="339"/>
      <c r="Z922" s="339"/>
    </row>
    <row r="923" spans="1:26" ht="15.75" customHeight="1">
      <c r="A923" s="339"/>
      <c r="B923" s="339"/>
      <c r="C923" s="339"/>
      <c r="D923" s="339"/>
      <c r="E923" s="339"/>
      <c r="F923" s="339"/>
      <c r="G923" s="339"/>
      <c r="H923" s="339"/>
      <c r="I923" s="341"/>
      <c r="J923" s="339"/>
      <c r="K923" s="339"/>
      <c r="L923" s="339"/>
      <c r="M923" s="339"/>
      <c r="N923" s="339"/>
      <c r="O923" s="341"/>
      <c r="P923" s="340"/>
      <c r="Q923" s="339"/>
      <c r="R923" s="339"/>
      <c r="S923" s="339"/>
      <c r="T923" s="339"/>
      <c r="U923" s="339"/>
      <c r="V923" s="339"/>
      <c r="W923" s="339"/>
      <c r="X923" s="339"/>
      <c r="Y923" s="339"/>
      <c r="Z923" s="339"/>
    </row>
    <row r="924" spans="1:26" ht="15.75" customHeight="1">
      <c r="A924" s="339"/>
      <c r="B924" s="339"/>
      <c r="C924" s="339"/>
      <c r="D924" s="339"/>
      <c r="E924" s="339"/>
      <c r="F924" s="339"/>
      <c r="G924" s="339"/>
      <c r="H924" s="339"/>
      <c r="I924" s="341"/>
      <c r="J924" s="339"/>
      <c r="K924" s="339"/>
      <c r="L924" s="339"/>
      <c r="M924" s="339"/>
      <c r="N924" s="339"/>
      <c r="O924" s="341"/>
      <c r="P924" s="340"/>
      <c r="Q924" s="339"/>
      <c r="R924" s="339"/>
      <c r="S924" s="339"/>
      <c r="T924" s="339"/>
      <c r="U924" s="339"/>
      <c r="V924" s="339"/>
      <c r="W924" s="339"/>
      <c r="X924" s="339"/>
      <c r="Y924" s="339"/>
      <c r="Z924" s="339"/>
    </row>
    <row r="925" spans="1:26" ht="15.75" customHeight="1">
      <c r="A925" s="339"/>
      <c r="B925" s="339"/>
      <c r="C925" s="339"/>
      <c r="D925" s="339"/>
      <c r="E925" s="339"/>
      <c r="F925" s="339"/>
      <c r="G925" s="339"/>
      <c r="H925" s="339"/>
      <c r="I925" s="341"/>
      <c r="J925" s="339"/>
      <c r="K925" s="339"/>
      <c r="L925" s="339"/>
      <c r="M925" s="339"/>
      <c r="N925" s="339"/>
      <c r="O925" s="341"/>
      <c r="P925" s="340"/>
      <c r="Q925" s="339"/>
      <c r="R925" s="339"/>
      <c r="S925" s="339"/>
      <c r="T925" s="339"/>
      <c r="U925" s="339"/>
      <c r="V925" s="339"/>
      <c r="W925" s="339"/>
      <c r="X925" s="339"/>
      <c r="Y925" s="339"/>
      <c r="Z925" s="339"/>
    </row>
    <row r="926" spans="1:26" ht="15.75" customHeight="1">
      <c r="A926" s="339"/>
      <c r="B926" s="339"/>
      <c r="C926" s="339"/>
      <c r="D926" s="339"/>
      <c r="E926" s="339"/>
      <c r="F926" s="339"/>
      <c r="G926" s="339"/>
      <c r="H926" s="339"/>
      <c r="I926" s="341"/>
      <c r="J926" s="339"/>
      <c r="K926" s="339"/>
      <c r="L926" s="339"/>
      <c r="M926" s="339"/>
      <c r="N926" s="339"/>
      <c r="O926" s="341"/>
      <c r="P926" s="340"/>
      <c r="Q926" s="339"/>
      <c r="R926" s="339"/>
      <c r="S926" s="339"/>
      <c r="T926" s="339"/>
      <c r="U926" s="339"/>
      <c r="V926" s="339"/>
      <c r="W926" s="339"/>
      <c r="X926" s="339"/>
      <c r="Y926" s="339"/>
      <c r="Z926" s="339"/>
    </row>
    <row r="927" spans="1:26" ht="15.75" customHeight="1">
      <c r="A927" s="339"/>
      <c r="B927" s="339"/>
      <c r="C927" s="339"/>
      <c r="D927" s="339"/>
      <c r="E927" s="339"/>
      <c r="F927" s="339"/>
      <c r="G927" s="339"/>
      <c r="H927" s="339"/>
      <c r="I927" s="341"/>
      <c r="J927" s="339"/>
      <c r="K927" s="339"/>
      <c r="L927" s="339"/>
      <c r="M927" s="339"/>
      <c r="N927" s="339"/>
      <c r="O927" s="341"/>
      <c r="P927" s="340"/>
      <c r="Q927" s="339"/>
      <c r="R927" s="339"/>
      <c r="S927" s="339"/>
      <c r="T927" s="339"/>
      <c r="U927" s="339"/>
      <c r="V927" s="339"/>
      <c r="W927" s="339"/>
      <c r="X927" s="339"/>
      <c r="Y927" s="339"/>
      <c r="Z927" s="339"/>
    </row>
    <row r="928" spans="1:26" ht="15.75" customHeight="1">
      <c r="A928" s="339"/>
      <c r="B928" s="339"/>
      <c r="C928" s="339"/>
      <c r="D928" s="339"/>
      <c r="E928" s="339"/>
      <c r="F928" s="339"/>
      <c r="G928" s="339"/>
      <c r="H928" s="339"/>
      <c r="I928" s="341"/>
      <c r="J928" s="339"/>
      <c r="K928" s="339"/>
      <c r="L928" s="339"/>
      <c r="M928" s="339"/>
      <c r="N928" s="339"/>
      <c r="O928" s="341"/>
      <c r="P928" s="340"/>
      <c r="Q928" s="339"/>
      <c r="R928" s="339"/>
      <c r="S928" s="339"/>
      <c r="T928" s="339"/>
      <c r="U928" s="339"/>
      <c r="V928" s="339"/>
      <c r="W928" s="339"/>
      <c r="X928" s="339"/>
      <c r="Y928" s="339"/>
      <c r="Z928" s="339"/>
    </row>
    <row r="929" spans="1:26" ht="15.75" customHeight="1">
      <c r="A929" s="339"/>
      <c r="B929" s="339"/>
      <c r="C929" s="339"/>
      <c r="D929" s="339"/>
      <c r="E929" s="339"/>
      <c r="F929" s="339"/>
      <c r="G929" s="339"/>
      <c r="H929" s="339"/>
      <c r="I929" s="341"/>
      <c r="J929" s="339"/>
      <c r="K929" s="339"/>
      <c r="L929" s="339"/>
      <c r="M929" s="339"/>
      <c r="N929" s="339"/>
      <c r="O929" s="341"/>
      <c r="P929" s="340"/>
      <c r="Q929" s="339"/>
      <c r="R929" s="339"/>
      <c r="S929" s="339"/>
      <c r="T929" s="339"/>
      <c r="U929" s="339"/>
      <c r="V929" s="339"/>
      <c r="W929" s="339"/>
      <c r="X929" s="339"/>
      <c r="Y929" s="339"/>
      <c r="Z929" s="339"/>
    </row>
    <row r="930" spans="1:26" ht="15.75" customHeight="1">
      <c r="A930" s="339"/>
      <c r="B930" s="339"/>
      <c r="C930" s="339"/>
      <c r="D930" s="339"/>
      <c r="E930" s="339"/>
      <c r="F930" s="339"/>
      <c r="G930" s="339"/>
      <c r="H930" s="339"/>
      <c r="I930" s="341"/>
      <c r="J930" s="339"/>
      <c r="K930" s="339"/>
      <c r="L930" s="339"/>
      <c r="M930" s="339"/>
      <c r="N930" s="339"/>
      <c r="O930" s="341"/>
      <c r="P930" s="340"/>
      <c r="Q930" s="339"/>
      <c r="R930" s="339"/>
      <c r="S930" s="339"/>
      <c r="T930" s="339"/>
      <c r="U930" s="339"/>
      <c r="V930" s="339"/>
      <c r="W930" s="339"/>
      <c r="X930" s="339"/>
      <c r="Y930" s="339"/>
      <c r="Z930" s="339"/>
    </row>
    <row r="931" spans="1:26" ht="15.75" customHeight="1">
      <c r="A931" s="339"/>
      <c r="B931" s="339"/>
      <c r="C931" s="339"/>
      <c r="D931" s="339"/>
      <c r="E931" s="339"/>
      <c r="F931" s="339"/>
      <c r="G931" s="339"/>
      <c r="H931" s="339"/>
      <c r="I931" s="341"/>
      <c r="J931" s="339"/>
      <c r="K931" s="339"/>
      <c r="L931" s="339"/>
      <c r="M931" s="339"/>
      <c r="N931" s="339"/>
      <c r="O931" s="341"/>
      <c r="P931" s="340"/>
      <c r="Q931" s="339"/>
      <c r="R931" s="339"/>
      <c r="S931" s="339"/>
      <c r="T931" s="339"/>
      <c r="U931" s="339"/>
      <c r="V931" s="339"/>
      <c r="W931" s="339"/>
      <c r="X931" s="339"/>
      <c r="Y931" s="339"/>
      <c r="Z931" s="339"/>
    </row>
    <row r="932" spans="1:26" ht="15.75" customHeight="1">
      <c r="A932" s="339"/>
      <c r="B932" s="339"/>
      <c r="C932" s="339"/>
      <c r="D932" s="339"/>
      <c r="E932" s="339"/>
      <c r="F932" s="339"/>
      <c r="G932" s="339"/>
      <c r="H932" s="339"/>
      <c r="I932" s="341"/>
      <c r="J932" s="339"/>
      <c r="K932" s="339"/>
      <c r="L932" s="339"/>
      <c r="M932" s="339"/>
      <c r="N932" s="339"/>
      <c r="O932" s="341"/>
      <c r="P932" s="340"/>
      <c r="Q932" s="339"/>
      <c r="R932" s="339"/>
      <c r="S932" s="339"/>
      <c r="T932" s="339"/>
      <c r="U932" s="339"/>
      <c r="V932" s="339"/>
      <c r="W932" s="339"/>
      <c r="X932" s="339"/>
      <c r="Y932" s="339"/>
      <c r="Z932" s="339"/>
    </row>
    <row r="933" spans="1:26" ht="15.75" customHeight="1">
      <c r="A933" s="339"/>
      <c r="B933" s="339"/>
      <c r="C933" s="339"/>
      <c r="D933" s="339"/>
      <c r="E933" s="339"/>
      <c r="F933" s="339"/>
      <c r="G933" s="339"/>
      <c r="H933" s="339"/>
      <c r="I933" s="341"/>
      <c r="J933" s="339"/>
      <c r="K933" s="339"/>
      <c r="L933" s="339"/>
      <c r="M933" s="339"/>
      <c r="N933" s="339"/>
      <c r="O933" s="341"/>
      <c r="P933" s="340"/>
      <c r="Q933" s="339"/>
      <c r="R933" s="339"/>
      <c r="S933" s="339"/>
      <c r="T933" s="339"/>
      <c r="U933" s="339"/>
      <c r="V933" s="339"/>
      <c r="W933" s="339"/>
      <c r="X933" s="339"/>
      <c r="Y933" s="339"/>
      <c r="Z933" s="339"/>
    </row>
    <row r="934" spans="1:26" ht="15.75" customHeight="1">
      <c r="A934" s="339"/>
      <c r="B934" s="339"/>
      <c r="C934" s="339"/>
      <c r="D934" s="339"/>
      <c r="E934" s="339"/>
      <c r="F934" s="339"/>
      <c r="G934" s="339"/>
      <c r="H934" s="339"/>
      <c r="I934" s="341"/>
      <c r="J934" s="339"/>
      <c r="K934" s="339"/>
      <c r="L934" s="339"/>
      <c r="M934" s="339"/>
      <c r="N934" s="339"/>
      <c r="O934" s="341"/>
      <c r="P934" s="340"/>
      <c r="Q934" s="339"/>
      <c r="R934" s="339"/>
      <c r="S934" s="339"/>
      <c r="T934" s="339"/>
      <c r="U934" s="339"/>
      <c r="V934" s="339"/>
      <c r="W934" s="339"/>
      <c r="X934" s="339"/>
      <c r="Y934" s="339"/>
      <c r="Z934" s="339"/>
    </row>
    <row r="935" spans="1:26" ht="15.75" customHeight="1">
      <c r="A935" s="339"/>
      <c r="B935" s="339"/>
      <c r="C935" s="339"/>
      <c r="D935" s="339"/>
      <c r="E935" s="339"/>
      <c r="F935" s="339"/>
      <c r="G935" s="339"/>
      <c r="H935" s="339"/>
      <c r="I935" s="341"/>
      <c r="J935" s="339"/>
      <c r="K935" s="339"/>
      <c r="L935" s="339"/>
      <c r="M935" s="339"/>
      <c r="N935" s="339"/>
      <c r="O935" s="341"/>
      <c r="P935" s="340"/>
      <c r="Q935" s="339"/>
      <c r="R935" s="339"/>
      <c r="S935" s="339"/>
      <c r="T935" s="339"/>
      <c r="U935" s="339"/>
      <c r="V935" s="339"/>
      <c r="W935" s="339"/>
      <c r="X935" s="339"/>
      <c r="Y935" s="339"/>
      <c r="Z935" s="339"/>
    </row>
    <row r="936" spans="1:26" ht="15.75" customHeight="1">
      <c r="A936" s="339"/>
      <c r="B936" s="339"/>
      <c r="C936" s="339"/>
      <c r="D936" s="339"/>
      <c r="E936" s="339"/>
      <c r="F936" s="339"/>
      <c r="G936" s="339"/>
      <c r="H936" s="339"/>
      <c r="I936" s="341"/>
      <c r="J936" s="339"/>
      <c r="K936" s="339"/>
      <c r="L936" s="339"/>
      <c r="M936" s="339"/>
      <c r="N936" s="339"/>
      <c r="O936" s="341"/>
      <c r="P936" s="340"/>
      <c r="Q936" s="339"/>
      <c r="R936" s="339"/>
      <c r="S936" s="339"/>
      <c r="T936" s="339"/>
      <c r="U936" s="339"/>
      <c r="V936" s="339"/>
      <c r="W936" s="339"/>
      <c r="X936" s="339"/>
      <c r="Y936" s="339"/>
      <c r="Z936" s="339"/>
    </row>
    <row r="937" spans="1:26" ht="15.75" customHeight="1">
      <c r="A937" s="339"/>
      <c r="B937" s="339"/>
      <c r="C937" s="339"/>
      <c r="D937" s="339"/>
      <c r="E937" s="339"/>
      <c r="F937" s="339"/>
      <c r="G937" s="339"/>
      <c r="H937" s="339"/>
      <c r="I937" s="341"/>
      <c r="J937" s="339"/>
      <c r="K937" s="339"/>
      <c r="L937" s="339"/>
      <c r="M937" s="339"/>
      <c r="N937" s="339"/>
      <c r="O937" s="341"/>
      <c r="P937" s="340"/>
      <c r="Q937" s="339"/>
      <c r="R937" s="339"/>
      <c r="S937" s="339"/>
      <c r="T937" s="339"/>
      <c r="U937" s="339"/>
      <c r="V937" s="339"/>
      <c r="W937" s="339"/>
      <c r="X937" s="339"/>
      <c r="Y937" s="339"/>
      <c r="Z937" s="339"/>
    </row>
    <row r="938" spans="1:26" ht="15.75" customHeight="1">
      <c r="A938" s="339"/>
      <c r="B938" s="339"/>
      <c r="C938" s="339"/>
      <c r="D938" s="339"/>
      <c r="E938" s="339"/>
      <c r="F938" s="339"/>
      <c r="G938" s="339"/>
      <c r="H938" s="339"/>
      <c r="I938" s="341"/>
      <c r="J938" s="339"/>
      <c r="K938" s="339"/>
      <c r="L938" s="339"/>
      <c r="M938" s="339"/>
      <c r="N938" s="339"/>
      <c r="O938" s="341"/>
      <c r="P938" s="340"/>
      <c r="Q938" s="339"/>
      <c r="R938" s="339"/>
      <c r="S938" s="339"/>
      <c r="T938" s="339"/>
      <c r="U938" s="339"/>
      <c r="V938" s="339"/>
      <c r="W938" s="339"/>
      <c r="X938" s="339"/>
      <c r="Y938" s="339"/>
      <c r="Z938" s="339"/>
    </row>
    <row r="939" spans="1:26" ht="15.75" customHeight="1">
      <c r="A939" s="339"/>
      <c r="B939" s="339"/>
      <c r="C939" s="339"/>
      <c r="D939" s="339"/>
      <c r="E939" s="339"/>
      <c r="F939" s="339"/>
      <c r="G939" s="339"/>
      <c r="H939" s="339"/>
      <c r="I939" s="341"/>
      <c r="J939" s="339"/>
      <c r="K939" s="339"/>
      <c r="L939" s="339"/>
      <c r="M939" s="339"/>
      <c r="N939" s="339"/>
      <c r="O939" s="341"/>
      <c r="P939" s="340"/>
      <c r="Q939" s="339"/>
      <c r="R939" s="339"/>
      <c r="S939" s="339"/>
      <c r="T939" s="339"/>
      <c r="U939" s="339"/>
      <c r="V939" s="339"/>
      <c r="W939" s="339"/>
      <c r="X939" s="339"/>
      <c r="Y939" s="339"/>
      <c r="Z939" s="339"/>
    </row>
    <row r="940" spans="1:26" ht="15.75" customHeight="1">
      <c r="A940" s="339"/>
      <c r="B940" s="339"/>
      <c r="C940" s="339"/>
      <c r="D940" s="339"/>
      <c r="E940" s="339"/>
      <c r="F940" s="339"/>
      <c r="G940" s="339"/>
      <c r="H940" s="339"/>
      <c r="I940" s="341"/>
      <c r="J940" s="339"/>
      <c r="K940" s="339"/>
      <c r="L940" s="339"/>
      <c r="M940" s="339"/>
      <c r="N940" s="339"/>
      <c r="O940" s="341"/>
      <c r="P940" s="340"/>
      <c r="Q940" s="339"/>
      <c r="R940" s="339"/>
      <c r="S940" s="339"/>
      <c r="T940" s="339"/>
      <c r="U940" s="339"/>
      <c r="V940" s="339"/>
      <c r="W940" s="339"/>
      <c r="X940" s="339"/>
      <c r="Y940" s="339"/>
      <c r="Z940" s="339"/>
    </row>
    <row r="941" spans="1:26" ht="15.75" customHeight="1">
      <c r="A941" s="339"/>
      <c r="B941" s="339"/>
      <c r="C941" s="339"/>
      <c r="D941" s="339"/>
      <c r="E941" s="339"/>
      <c r="F941" s="339"/>
      <c r="G941" s="339"/>
      <c r="H941" s="339"/>
      <c r="I941" s="341"/>
      <c r="J941" s="339"/>
      <c r="K941" s="339"/>
      <c r="L941" s="339"/>
      <c r="M941" s="339"/>
      <c r="N941" s="339"/>
      <c r="O941" s="341"/>
      <c r="P941" s="340"/>
      <c r="Q941" s="339"/>
      <c r="R941" s="339"/>
      <c r="S941" s="339"/>
      <c r="T941" s="339"/>
      <c r="U941" s="339"/>
      <c r="V941" s="339"/>
      <c r="W941" s="339"/>
      <c r="X941" s="339"/>
      <c r="Y941" s="339"/>
      <c r="Z941" s="339"/>
    </row>
    <row r="942" spans="1:26" ht="15.75" customHeight="1">
      <c r="A942" s="339"/>
      <c r="B942" s="339"/>
      <c r="C942" s="339"/>
      <c r="D942" s="339"/>
      <c r="E942" s="339"/>
      <c r="F942" s="339"/>
      <c r="G942" s="339"/>
      <c r="H942" s="339"/>
      <c r="I942" s="341"/>
      <c r="J942" s="339"/>
      <c r="K942" s="339"/>
      <c r="L942" s="339"/>
      <c r="M942" s="339"/>
      <c r="N942" s="339"/>
      <c r="O942" s="341"/>
      <c r="P942" s="340"/>
      <c r="Q942" s="339"/>
      <c r="R942" s="339"/>
      <c r="S942" s="339"/>
      <c r="T942" s="339"/>
      <c r="U942" s="339"/>
      <c r="V942" s="339"/>
      <c r="W942" s="339"/>
      <c r="X942" s="339"/>
      <c r="Y942" s="339"/>
      <c r="Z942" s="339"/>
    </row>
    <row r="943" spans="1:26" ht="15.75" customHeight="1">
      <c r="A943" s="339"/>
      <c r="B943" s="339"/>
      <c r="C943" s="339"/>
      <c r="D943" s="339"/>
      <c r="E943" s="339"/>
      <c r="F943" s="339"/>
      <c r="G943" s="339"/>
      <c r="H943" s="339"/>
      <c r="I943" s="341"/>
      <c r="J943" s="339"/>
      <c r="K943" s="339"/>
      <c r="L943" s="339"/>
      <c r="M943" s="339"/>
      <c r="N943" s="339"/>
      <c r="O943" s="341"/>
      <c r="P943" s="340"/>
      <c r="Q943" s="339"/>
      <c r="R943" s="339"/>
      <c r="S943" s="339"/>
      <c r="T943" s="339"/>
      <c r="U943" s="339"/>
      <c r="V943" s="339"/>
      <c r="W943" s="339"/>
      <c r="X943" s="339"/>
      <c r="Y943" s="339"/>
      <c r="Z943" s="339"/>
    </row>
    <row r="944" spans="1:26" ht="15.75" customHeight="1">
      <c r="A944" s="339"/>
      <c r="B944" s="339"/>
      <c r="C944" s="339"/>
      <c r="D944" s="339"/>
      <c r="E944" s="339"/>
      <c r="F944" s="339"/>
      <c r="G944" s="339"/>
      <c r="H944" s="339"/>
      <c r="I944" s="341"/>
      <c r="J944" s="339"/>
      <c r="K944" s="339"/>
      <c r="L944" s="339"/>
      <c r="M944" s="339"/>
      <c r="N944" s="339"/>
      <c r="O944" s="341"/>
      <c r="P944" s="340"/>
      <c r="Q944" s="339"/>
      <c r="R944" s="339"/>
      <c r="S944" s="339"/>
      <c r="T944" s="339"/>
      <c r="U944" s="339"/>
      <c r="V944" s="339"/>
      <c r="W944" s="339"/>
      <c r="X944" s="339"/>
      <c r="Y944" s="339"/>
      <c r="Z944" s="339"/>
    </row>
    <row r="945" spans="1:26" ht="15.75" customHeight="1">
      <c r="A945" s="339"/>
      <c r="B945" s="339"/>
      <c r="C945" s="339"/>
      <c r="D945" s="339"/>
      <c r="E945" s="339"/>
      <c r="F945" s="339"/>
      <c r="G945" s="339"/>
      <c r="H945" s="339"/>
      <c r="I945" s="341"/>
      <c r="J945" s="339"/>
      <c r="K945" s="339"/>
      <c r="L945" s="339"/>
      <c r="M945" s="339"/>
      <c r="N945" s="339"/>
      <c r="O945" s="341"/>
      <c r="P945" s="340"/>
      <c r="Q945" s="339"/>
      <c r="R945" s="339"/>
      <c r="S945" s="339"/>
      <c r="T945" s="339"/>
      <c r="U945" s="339"/>
      <c r="V945" s="339"/>
      <c r="W945" s="339"/>
      <c r="X945" s="339"/>
      <c r="Y945" s="339"/>
      <c r="Z945" s="339"/>
    </row>
    <row r="946" spans="1:26" ht="15.75" customHeight="1">
      <c r="A946" s="339"/>
      <c r="B946" s="339"/>
      <c r="C946" s="339"/>
      <c r="D946" s="339"/>
      <c r="E946" s="339"/>
      <c r="F946" s="339"/>
      <c r="G946" s="339"/>
      <c r="H946" s="339"/>
      <c r="I946" s="341"/>
      <c r="J946" s="339"/>
      <c r="K946" s="339"/>
      <c r="L946" s="339"/>
      <c r="M946" s="339"/>
      <c r="N946" s="339"/>
      <c r="O946" s="341"/>
      <c r="P946" s="340"/>
      <c r="Q946" s="339"/>
      <c r="R946" s="339"/>
      <c r="S946" s="339"/>
      <c r="T946" s="339"/>
      <c r="U946" s="339"/>
      <c r="V946" s="339"/>
      <c r="W946" s="339"/>
      <c r="X946" s="339"/>
      <c r="Y946" s="339"/>
      <c r="Z946" s="339"/>
    </row>
    <row r="947" spans="1:26" ht="15.75" customHeight="1">
      <c r="A947" s="339"/>
      <c r="B947" s="339"/>
      <c r="C947" s="339"/>
      <c r="D947" s="339"/>
      <c r="E947" s="339"/>
      <c r="F947" s="339"/>
      <c r="G947" s="339"/>
      <c r="H947" s="339"/>
      <c r="I947" s="341"/>
      <c r="J947" s="339"/>
      <c r="K947" s="339"/>
      <c r="L947" s="339"/>
      <c r="M947" s="339"/>
      <c r="N947" s="339"/>
      <c r="O947" s="341"/>
      <c r="P947" s="340"/>
      <c r="Q947" s="339"/>
      <c r="R947" s="339"/>
      <c r="S947" s="339"/>
      <c r="T947" s="339"/>
      <c r="U947" s="339"/>
      <c r="V947" s="339"/>
      <c r="W947" s="339"/>
      <c r="X947" s="339"/>
      <c r="Y947" s="339"/>
      <c r="Z947" s="339"/>
    </row>
    <row r="948" spans="1:26" ht="15.75" customHeight="1">
      <c r="A948" s="339"/>
      <c r="B948" s="339"/>
      <c r="C948" s="339"/>
      <c r="D948" s="339"/>
      <c r="E948" s="339"/>
      <c r="F948" s="339"/>
      <c r="G948" s="339"/>
      <c r="H948" s="339"/>
      <c r="I948" s="341"/>
      <c r="J948" s="339"/>
      <c r="K948" s="339"/>
      <c r="L948" s="339"/>
      <c r="M948" s="339"/>
      <c r="N948" s="339"/>
      <c r="O948" s="341"/>
      <c r="P948" s="340"/>
      <c r="Q948" s="339"/>
      <c r="R948" s="339"/>
      <c r="S948" s="339"/>
      <c r="T948" s="339"/>
      <c r="U948" s="339"/>
      <c r="V948" s="339"/>
      <c r="W948" s="339"/>
      <c r="X948" s="339"/>
      <c r="Y948" s="339"/>
      <c r="Z948" s="339"/>
    </row>
    <row r="949" spans="1:26" ht="15.75" customHeight="1">
      <c r="A949" s="339"/>
      <c r="B949" s="339"/>
      <c r="C949" s="339"/>
      <c r="D949" s="339"/>
      <c r="E949" s="339"/>
      <c r="F949" s="339"/>
      <c r="G949" s="339"/>
      <c r="H949" s="339"/>
      <c r="I949" s="341"/>
      <c r="J949" s="339"/>
      <c r="K949" s="339"/>
      <c r="L949" s="339"/>
      <c r="M949" s="339"/>
      <c r="N949" s="339"/>
      <c r="O949" s="341"/>
      <c r="P949" s="340"/>
      <c r="Q949" s="339"/>
      <c r="R949" s="339"/>
      <c r="S949" s="339"/>
      <c r="T949" s="339"/>
      <c r="U949" s="339"/>
      <c r="V949" s="339"/>
      <c r="W949" s="339"/>
      <c r="X949" s="339"/>
      <c r="Y949" s="339"/>
      <c r="Z949" s="339"/>
    </row>
    <row r="950" spans="1:26" ht="15.75" customHeight="1">
      <c r="A950" s="339"/>
      <c r="B950" s="339"/>
      <c r="C950" s="339"/>
      <c r="D950" s="339"/>
      <c r="E950" s="339"/>
      <c r="F950" s="339"/>
      <c r="G950" s="339"/>
      <c r="H950" s="339"/>
      <c r="I950" s="341"/>
      <c r="J950" s="339"/>
      <c r="K950" s="339"/>
      <c r="L950" s="339"/>
      <c r="M950" s="339"/>
      <c r="N950" s="339"/>
      <c r="O950" s="341"/>
      <c r="P950" s="340"/>
      <c r="Q950" s="339"/>
      <c r="R950" s="339"/>
      <c r="S950" s="339"/>
      <c r="T950" s="339"/>
      <c r="U950" s="339"/>
      <c r="V950" s="339"/>
      <c r="W950" s="339"/>
      <c r="X950" s="339"/>
      <c r="Y950" s="339"/>
      <c r="Z950" s="339"/>
    </row>
    <row r="951" spans="1:26" ht="15.75" customHeight="1">
      <c r="A951" s="339"/>
      <c r="B951" s="339"/>
      <c r="C951" s="339"/>
      <c r="D951" s="339"/>
      <c r="E951" s="339"/>
      <c r="F951" s="339"/>
      <c r="G951" s="339"/>
      <c r="H951" s="339"/>
      <c r="I951" s="341"/>
      <c r="J951" s="339"/>
      <c r="K951" s="339"/>
      <c r="L951" s="339"/>
      <c r="M951" s="339"/>
      <c r="N951" s="339"/>
      <c r="O951" s="341"/>
      <c r="P951" s="340"/>
      <c r="Q951" s="339"/>
      <c r="R951" s="339"/>
      <c r="S951" s="339"/>
      <c r="T951" s="339"/>
      <c r="U951" s="339"/>
      <c r="V951" s="339"/>
      <c r="W951" s="339"/>
      <c r="X951" s="339"/>
      <c r="Y951" s="339"/>
      <c r="Z951" s="339"/>
    </row>
    <row r="952" spans="1:26" ht="15.75" customHeight="1">
      <c r="A952" s="339"/>
      <c r="B952" s="339"/>
      <c r="C952" s="339"/>
      <c r="D952" s="339"/>
      <c r="E952" s="339"/>
      <c r="F952" s="339"/>
      <c r="G952" s="339"/>
      <c r="H952" s="339"/>
      <c r="I952" s="341"/>
      <c r="J952" s="339"/>
      <c r="K952" s="339"/>
      <c r="L952" s="339"/>
      <c r="M952" s="339"/>
      <c r="N952" s="339"/>
      <c r="O952" s="341"/>
      <c r="P952" s="340"/>
      <c r="Q952" s="339"/>
      <c r="R952" s="339"/>
      <c r="S952" s="339"/>
      <c r="T952" s="339"/>
      <c r="U952" s="339"/>
      <c r="V952" s="339"/>
      <c r="W952" s="339"/>
      <c r="X952" s="339"/>
      <c r="Y952" s="339"/>
      <c r="Z952" s="339"/>
    </row>
    <row r="953" spans="1:26" ht="15.75" customHeight="1">
      <c r="A953" s="339"/>
      <c r="B953" s="339"/>
      <c r="C953" s="339"/>
      <c r="D953" s="339"/>
      <c r="E953" s="339"/>
      <c r="F953" s="339"/>
      <c r="G953" s="339"/>
      <c r="H953" s="339"/>
      <c r="I953" s="341"/>
      <c r="J953" s="339"/>
      <c r="K953" s="339"/>
      <c r="L953" s="339"/>
      <c r="M953" s="339"/>
      <c r="N953" s="339"/>
      <c r="O953" s="341"/>
      <c r="P953" s="340"/>
      <c r="Q953" s="339"/>
      <c r="R953" s="339"/>
      <c r="S953" s="339"/>
      <c r="T953" s="339"/>
      <c r="U953" s="339"/>
      <c r="V953" s="339"/>
      <c r="W953" s="339"/>
      <c r="X953" s="339"/>
      <c r="Y953" s="339"/>
      <c r="Z953" s="339"/>
    </row>
    <row r="954" spans="1:26" ht="15.75" customHeight="1">
      <c r="A954" s="339"/>
      <c r="B954" s="339"/>
      <c r="C954" s="339"/>
      <c r="D954" s="339"/>
      <c r="E954" s="339"/>
      <c r="F954" s="339"/>
      <c r="G954" s="339"/>
      <c r="H954" s="339"/>
      <c r="I954" s="341"/>
      <c r="J954" s="339"/>
      <c r="K954" s="339"/>
      <c r="L954" s="339"/>
      <c r="M954" s="339"/>
      <c r="N954" s="339"/>
      <c r="O954" s="341"/>
      <c r="P954" s="340"/>
      <c r="Q954" s="339"/>
      <c r="R954" s="339"/>
      <c r="S954" s="339"/>
      <c r="T954" s="339"/>
      <c r="U954" s="339"/>
      <c r="V954" s="339"/>
      <c r="W954" s="339"/>
      <c r="X954" s="339"/>
      <c r="Y954" s="339"/>
      <c r="Z954" s="339"/>
    </row>
    <row r="955" spans="1:26" ht="15.75" customHeight="1">
      <c r="A955" s="339"/>
      <c r="B955" s="339"/>
      <c r="C955" s="339"/>
      <c r="D955" s="339"/>
      <c r="E955" s="339"/>
      <c r="F955" s="339"/>
      <c r="G955" s="339"/>
      <c r="H955" s="339"/>
      <c r="I955" s="341"/>
      <c r="J955" s="339"/>
      <c r="K955" s="339"/>
      <c r="L955" s="339"/>
      <c r="M955" s="339"/>
      <c r="N955" s="339"/>
      <c r="O955" s="341"/>
      <c r="P955" s="340"/>
      <c r="Q955" s="339"/>
      <c r="R955" s="339"/>
      <c r="S955" s="339"/>
      <c r="T955" s="339"/>
      <c r="U955" s="339"/>
      <c r="V955" s="339"/>
      <c r="W955" s="339"/>
      <c r="X955" s="339"/>
      <c r="Y955" s="339"/>
      <c r="Z955" s="339"/>
    </row>
    <row r="956" spans="1:26" ht="15.75" customHeight="1">
      <c r="A956" s="339"/>
      <c r="B956" s="339"/>
      <c r="C956" s="339"/>
      <c r="D956" s="339"/>
      <c r="E956" s="339"/>
      <c r="F956" s="339"/>
      <c r="G956" s="339"/>
      <c r="H956" s="339"/>
      <c r="I956" s="341"/>
      <c r="J956" s="339"/>
      <c r="K956" s="339"/>
      <c r="L956" s="339"/>
      <c r="M956" s="339"/>
      <c r="N956" s="339"/>
      <c r="O956" s="341"/>
      <c r="P956" s="340"/>
      <c r="Q956" s="339"/>
      <c r="R956" s="339"/>
      <c r="S956" s="339"/>
      <c r="T956" s="339"/>
      <c r="U956" s="339"/>
      <c r="V956" s="339"/>
      <c r="W956" s="339"/>
      <c r="X956" s="339"/>
      <c r="Y956" s="339"/>
      <c r="Z956" s="339"/>
    </row>
    <row r="957" spans="1:26" ht="15.75" customHeight="1">
      <c r="A957" s="339"/>
      <c r="B957" s="339"/>
      <c r="C957" s="339"/>
      <c r="D957" s="339"/>
      <c r="E957" s="339"/>
      <c r="F957" s="339"/>
      <c r="G957" s="339"/>
      <c r="H957" s="339"/>
      <c r="I957" s="341"/>
      <c r="J957" s="339"/>
      <c r="K957" s="339"/>
      <c r="L957" s="339"/>
      <c r="M957" s="339"/>
      <c r="N957" s="339"/>
      <c r="O957" s="341"/>
      <c r="P957" s="340"/>
      <c r="Q957" s="339"/>
      <c r="R957" s="339"/>
      <c r="S957" s="339"/>
      <c r="T957" s="339"/>
      <c r="U957" s="339"/>
      <c r="V957" s="339"/>
      <c r="W957" s="339"/>
      <c r="X957" s="339"/>
      <c r="Y957" s="339"/>
      <c r="Z957" s="339"/>
    </row>
    <row r="958" spans="1:26" ht="15.75" customHeight="1">
      <c r="A958" s="339"/>
      <c r="B958" s="339"/>
      <c r="C958" s="339"/>
      <c r="D958" s="339"/>
      <c r="E958" s="339"/>
      <c r="F958" s="339"/>
      <c r="G958" s="339"/>
      <c r="H958" s="339"/>
      <c r="I958" s="341"/>
      <c r="J958" s="339"/>
      <c r="K958" s="339"/>
      <c r="L958" s="339"/>
      <c r="M958" s="339"/>
      <c r="N958" s="339"/>
      <c r="O958" s="341"/>
      <c r="P958" s="340"/>
      <c r="Q958" s="339"/>
      <c r="R958" s="339"/>
      <c r="S958" s="339"/>
      <c r="T958" s="339"/>
      <c r="U958" s="339"/>
      <c r="V958" s="339"/>
      <c r="W958" s="339"/>
      <c r="X958" s="339"/>
      <c r="Y958" s="339"/>
      <c r="Z958" s="339"/>
    </row>
    <row r="959" spans="1:26" ht="15.75" customHeight="1">
      <c r="A959" s="339"/>
      <c r="B959" s="339"/>
      <c r="C959" s="339"/>
      <c r="D959" s="339"/>
      <c r="E959" s="339"/>
      <c r="F959" s="339"/>
      <c r="G959" s="339"/>
      <c r="H959" s="339"/>
      <c r="I959" s="341"/>
      <c r="J959" s="339"/>
      <c r="K959" s="339"/>
      <c r="L959" s="339"/>
      <c r="M959" s="339"/>
      <c r="N959" s="339"/>
      <c r="O959" s="341"/>
      <c r="P959" s="340"/>
      <c r="Q959" s="339"/>
      <c r="R959" s="339"/>
      <c r="S959" s="339"/>
      <c r="T959" s="339"/>
      <c r="U959" s="339"/>
      <c r="V959" s="339"/>
      <c r="W959" s="339"/>
      <c r="X959" s="339"/>
      <c r="Y959" s="339"/>
      <c r="Z959" s="339"/>
    </row>
    <row r="960" spans="1:26" ht="15.75" customHeight="1">
      <c r="A960" s="339"/>
      <c r="B960" s="339"/>
      <c r="C960" s="339"/>
      <c r="D960" s="339"/>
      <c r="E960" s="339"/>
      <c r="F960" s="339"/>
      <c r="G960" s="339"/>
      <c r="H960" s="339"/>
      <c r="I960" s="341"/>
      <c r="J960" s="339"/>
      <c r="K960" s="339"/>
      <c r="L960" s="339"/>
      <c r="M960" s="339"/>
      <c r="N960" s="339"/>
      <c r="O960" s="341"/>
      <c r="P960" s="340"/>
      <c r="Q960" s="339"/>
      <c r="R960" s="339"/>
      <c r="S960" s="339"/>
      <c r="T960" s="339"/>
      <c r="U960" s="339"/>
      <c r="V960" s="339"/>
      <c r="W960" s="339"/>
      <c r="X960" s="339"/>
      <c r="Y960" s="339"/>
      <c r="Z960" s="339"/>
    </row>
    <row r="961" spans="1:26" ht="15.75" customHeight="1">
      <c r="A961" s="339"/>
      <c r="B961" s="339"/>
      <c r="C961" s="339"/>
      <c r="D961" s="339"/>
      <c r="E961" s="339"/>
      <c r="F961" s="339"/>
      <c r="G961" s="339"/>
      <c r="H961" s="339"/>
      <c r="I961" s="341"/>
      <c r="J961" s="339"/>
      <c r="K961" s="339"/>
      <c r="L961" s="339"/>
      <c r="M961" s="339"/>
      <c r="N961" s="339"/>
      <c r="O961" s="341"/>
      <c r="P961" s="340"/>
      <c r="Q961" s="339"/>
      <c r="R961" s="339"/>
      <c r="S961" s="339"/>
      <c r="T961" s="339"/>
      <c r="U961" s="339"/>
      <c r="V961" s="339"/>
      <c r="W961" s="339"/>
      <c r="X961" s="339"/>
      <c r="Y961" s="339"/>
      <c r="Z961" s="339"/>
    </row>
    <row r="962" spans="1:26" ht="15.75" customHeight="1">
      <c r="A962" s="339"/>
      <c r="B962" s="339"/>
      <c r="C962" s="339"/>
      <c r="D962" s="339"/>
      <c r="E962" s="339"/>
      <c r="F962" s="339"/>
      <c r="G962" s="339"/>
      <c r="H962" s="339"/>
      <c r="I962" s="341"/>
      <c r="J962" s="339"/>
      <c r="K962" s="339"/>
      <c r="L962" s="339"/>
      <c r="M962" s="339"/>
      <c r="N962" s="339"/>
      <c r="O962" s="341"/>
      <c r="P962" s="340"/>
      <c r="Q962" s="339"/>
      <c r="R962" s="339"/>
      <c r="S962" s="339"/>
      <c r="T962" s="339"/>
      <c r="U962" s="339"/>
      <c r="V962" s="339"/>
      <c r="W962" s="339"/>
      <c r="X962" s="339"/>
      <c r="Y962" s="339"/>
      <c r="Z962" s="339"/>
    </row>
    <row r="963" spans="1:26" ht="15.75" customHeight="1">
      <c r="A963" s="339"/>
      <c r="B963" s="339"/>
      <c r="C963" s="339"/>
      <c r="D963" s="339"/>
      <c r="E963" s="339"/>
      <c r="F963" s="339"/>
      <c r="G963" s="339"/>
      <c r="H963" s="339"/>
      <c r="I963" s="341"/>
      <c r="J963" s="339"/>
      <c r="K963" s="339"/>
      <c r="L963" s="339"/>
      <c r="M963" s="339"/>
      <c r="N963" s="339"/>
      <c r="O963" s="341"/>
      <c r="P963" s="340"/>
      <c r="Q963" s="339"/>
      <c r="R963" s="339"/>
      <c r="S963" s="339"/>
      <c r="T963" s="339"/>
      <c r="U963" s="339"/>
      <c r="V963" s="339"/>
      <c r="W963" s="339"/>
      <c r="X963" s="339"/>
      <c r="Y963" s="339"/>
      <c r="Z963" s="339"/>
    </row>
    <row r="964" spans="1:26" ht="15.75" customHeight="1">
      <c r="A964" s="339"/>
      <c r="B964" s="339"/>
      <c r="C964" s="339"/>
      <c r="D964" s="339"/>
      <c r="E964" s="339"/>
      <c r="F964" s="339"/>
      <c r="G964" s="339"/>
      <c r="H964" s="339"/>
      <c r="I964" s="341"/>
      <c r="J964" s="339"/>
      <c r="K964" s="339"/>
      <c r="L964" s="339"/>
      <c r="M964" s="339"/>
      <c r="N964" s="339"/>
      <c r="O964" s="341"/>
      <c r="P964" s="340"/>
      <c r="Q964" s="339"/>
      <c r="R964" s="339"/>
      <c r="S964" s="339"/>
      <c r="T964" s="339"/>
      <c r="U964" s="339"/>
      <c r="V964" s="339"/>
      <c r="W964" s="339"/>
      <c r="X964" s="339"/>
      <c r="Y964" s="339"/>
      <c r="Z964" s="339"/>
    </row>
    <row r="965" spans="1:26" ht="15.75" customHeight="1">
      <c r="A965" s="339"/>
      <c r="B965" s="339"/>
      <c r="C965" s="339"/>
      <c r="D965" s="339"/>
      <c r="E965" s="339"/>
      <c r="F965" s="339"/>
      <c r="G965" s="339"/>
      <c r="H965" s="339"/>
      <c r="I965" s="341"/>
      <c r="J965" s="339"/>
      <c r="K965" s="339"/>
      <c r="L965" s="339"/>
      <c r="M965" s="339"/>
      <c r="N965" s="339"/>
      <c r="O965" s="341"/>
      <c r="P965" s="340"/>
      <c r="Q965" s="339"/>
      <c r="R965" s="339"/>
      <c r="S965" s="339"/>
      <c r="T965" s="339"/>
      <c r="U965" s="339"/>
      <c r="V965" s="339"/>
      <c r="W965" s="339"/>
      <c r="X965" s="339"/>
      <c r="Y965" s="339"/>
      <c r="Z965" s="339"/>
    </row>
    <row r="966" spans="1:26" ht="15.75" customHeight="1">
      <c r="A966" s="339"/>
      <c r="B966" s="339"/>
      <c r="C966" s="339"/>
      <c r="D966" s="339"/>
      <c r="E966" s="339"/>
      <c r="F966" s="339"/>
      <c r="G966" s="339"/>
      <c r="H966" s="339"/>
      <c r="I966" s="341"/>
      <c r="J966" s="339"/>
      <c r="K966" s="339"/>
      <c r="L966" s="339"/>
      <c r="M966" s="339"/>
      <c r="N966" s="339"/>
      <c r="O966" s="341"/>
      <c r="P966" s="340"/>
      <c r="Q966" s="339"/>
      <c r="R966" s="339"/>
      <c r="S966" s="339"/>
      <c r="T966" s="339"/>
      <c r="U966" s="339"/>
      <c r="V966" s="339"/>
      <c r="W966" s="339"/>
      <c r="X966" s="339"/>
      <c r="Y966" s="339"/>
      <c r="Z966" s="339"/>
    </row>
    <row r="967" spans="1:26" ht="15.75" customHeight="1">
      <c r="A967" s="339"/>
      <c r="B967" s="339"/>
      <c r="C967" s="339"/>
      <c r="D967" s="339"/>
      <c r="E967" s="339"/>
      <c r="F967" s="339"/>
      <c r="G967" s="339"/>
      <c r="H967" s="339"/>
      <c r="I967" s="341"/>
      <c r="J967" s="339"/>
      <c r="K967" s="339"/>
      <c r="L967" s="339"/>
      <c r="M967" s="339"/>
      <c r="N967" s="339"/>
      <c r="O967" s="341"/>
      <c r="P967" s="340"/>
      <c r="Q967" s="339"/>
      <c r="R967" s="339"/>
      <c r="S967" s="339"/>
      <c r="T967" s="339"/>
      <c r="U967" s="339"/>
      <c r="V967" s="339"/>
      <c r="W967" s="339"/>
      <c r="X967" s="339"/>
      <c r="Y967" s="339"/>
      <c r="Z967" s="339"/>
    </row>
    <row r="968" spans="1:26" ht="15.75" customHeight="1">
      <c r="A968" s="339"/>
      <c r="B968" s="339"/>
      <c r="C968" s="339"/>
      <c r="D968" s="339"/>
      <c r="E968" s="339"/>
      <c r="F968" s="339"/>
      <c r="G968" s="339"/>
      <c r="H968" s="339"/>
      <c r="I968" s="341"/>
      <c r="J968" s="339"/>
      <c r="K968" s="339"/>
      <c r="L968" s="339"/>
      <c r="M968" s="339"/>
      <c r="N968" s="339"/>
      <c r="O968" s="341"/>
      <c r="P968" s="340"/>
      <c r="Q968" s="339"/>
      <c r="R968" s="339"/>
      <c r="S968" s="339"/>
      <c r="T968" s="339"/>
      <c r="U968" s="339"/>
      <c r="V968" s="339"/>
      <c r="W968" s="339"/>
      <c r="X968" s="339"/>
      <c r="Y968" s="339"/>
      <c r="Z968" s="339"/>
    </row>
    <row r="969" spans="1:26" ht="15.75" customHeight="1">
      <c r="A969" s="339"/>
      <c r="B969" s="339"/>
      <c r="C969" s="339"/>
      <c r="D969" s="339"/>
      <c r="E969" s="339"/>
      <c r="F969" s="339"/>
      <c r="G969" s="339"/>
      <c r="H969" s="339"/>
      <c r="I969" s="341"/>
      <c r="J969" s="339"/>
      <c r="K969" s="339"/>
      <c r="L969" s="339"/>
      <c r="M969" s="339"/>
      <c r="N969" s="339"/>
      <c r="O969" s="341"/>
      <c r="P969" s="340"/>
      <c r="Q969" s="339"/>
      <c r="R969" s="339"/>
      <c r="S969" s="339"/>
      <c r="T969" s="339"/>
      <c r="U969" s="339"/>
      <c r="V969" s="339"/>
      <c r="W969" s="339"/>
      <c r="X969" s="339"/>
      <c r="Y969" s="339"/>
      <c r="Z969" s="339"/>
    </row>
    <row r="970" spans="1:26" ht="15.75" customHeight="1">
      <c r="A970" s="339"/>
      <c r="B970" s="339"/>
      <c r="C970" s="339"/>
      <c r="D970" s="339"/>
      <c r="E970" s="339"/>
      <c r="F970" s="339"/>
      <c r="G970" s="339"/>
      <c r="H970" s="339"/>
      <c r="I970" s="341"/>
      <c r="J970" s="339"/>
      <c r="K970" s="339"/>
      <c r="L970" s="339"/>
      <c r="M970" s="339"/>
      <c r="N970" s="339"/>
      <c r="O970" s="341"/>
      <c r="P970" s="340"/>
      <c r="Q970" s="339"/>
      <c r="R970" s="339"/>
      <c r="S970" s="339"/>
      <c r="T970" s="339"/>
      <c r="U970" s="339"/>
      <c r="V970" s="339"/>
      <c r="W970" s="339"/>
      <c r="X970" s="339"/>
      <c r="Y970" s="339"/>
      <c r="Z970" s="339"/>
    </row>
    <row r="971" spans="1:26" ht="15.75" customHeight="1">
      <c r="A971" s="339"/>
      <c r="B971" s="339"/>
      <c r="C971" s="339"/>
      <c r="D971" s="339"/>
      <c r="E971" s="339"/>
      <c r="F971" s="339"/>
      <c r="G971" s="339"/>
      <c r="H971" s="339"/>
      <c r="I971" s="341"/>
      <c r="J971" s="339"/>
      <c r="K971" s="339"/>
      <c r="L971" s="339"/>
      <c r="M971" s="339"/>
      <c r="N971" s="339"/>
      <c r="O971" s="341"/>
      <c r="P971" s="340"/>
      <c r="Q971" s="339"/>
      <c r="R971" s="339"/>
      <c r="S971" s="339"/>
      <c r="T971" s="339"/>
      <c r="U971" s="339"/>
      <c r="V971" s="339"/>
      <c r="W971" s="339"/>
      <c r="X971" s="339"/>
      <c r="Y971" s="339"/>
      <c r="Z971" s="339"/>
    </row>
    <row r="972" spans="1:26" ht="15.75" customHeight="1">
      <c r="A972" s="339"/>
      <c r="B972" s="339"/>
      <c r="C972" s="339"/>
      <c r="D972" s="339"/>
      <c r="E972" s="339"/>
      <c r="F972" s="339"/>
      <c r="G972" s="339"/>
      <c r="H972" s="339"/>
      <c r="I972" s="341"/>
      <c r="J972" s="339"/>
      <c r="K972" s="339"/>
      <c r="L972" s="339"/>
      <c r="M972" s="339"/>
      <c r="N972" s="339"/>
      <c r="O972" s="341"/>
      <c r="P972" s="340"/>
      <c r="Q972" s="339"/>
      <c r="R972" s="339"/>
      <c r="S972" s="339"/>
      <c r="T972" s="339"/>
      <c r="U972" s="339"/>
      <c r="V972" s="339"/>
      <c r="W972" s="339"/>
      <c r="X972" s="339"/>
      <c r="Y972" s="339"/>
      <c r="Z972" s="339"/>
    </row>
    <row r="973" spans="1:26" ht="15.75" customHeight="1">
      <c r="A973" s="339"/>
      <c r="B973" s="339"/>
      <c r="C973" s="339"/>
      <c r="D973" s="339"/>
      <c r="E973" s="339"/>
      <c r="F973" s="339"/>
      <c r="G973" s="339"/>
      <c r="H973" s="339"/>
      <c r="I973" s="341"/>
      <c r="J973" s="339"/>
      <c r="K973" s="339"/>
      <c r="L973" s="339"/>
      <c r="M973" s="339"/>
      <c r="N973" s="339"/>
      <c r="O973" s="341"/>
      <c r="P973" s="340"/>
      <c r="Q973" s="339"/>
      <c r="R973" s="339"/>
      <c r="S973" s="339"/>
      <c r="T973" s="339"/>
      <c r="U973" s="339"/>
      <c r="V973" s="339"/>
      <c r="W973" s="339"/>
      <c r="X973" s="339"/>
      <c r="Y973" s="339"/>
      <c r="Z973" s="339"/>
    </row>
    <row r="974" spans="1:26" ht="15.75" customHeight="1">
      <c r="A974" s="339"/>
      <c r="B974" s="339"/>
      <c r="C974" s="339"/>
      <c r="D974" s="339"/>
      <c r="E974" s="339"/>
      <c r="F974" s="339"/>
      <c r="G974" s="339"/>
      <c r="H974" s="339"/>
      <c r="I974" s="341"/>
      <c r="J974" s="339"/>
      <c r="K974" s="339"/>
      <c r="L974" s="339"/>
      <c r="M974" s="339"/>
      <c r="N974" s="339"/>
      <c r="O974" s="341"/>
      <c r="P974" s="340"/>
      <c r="Q974" s="339"/>
      <c r="R974" s="339"/>
      <c r="S974" s="339"/>
      <c r="T974" s="339"/>
      <c r="U974" s="339"/>
      <c r="V974" s="339"/>
      <c r="W974" s="339"/>
      <c r="X974" s="339"/>
      <c r="Y974" s="339"/>
      <c r="Z974" s="339"/>
    </row>
    <row r="975" spans="1:26" ht="15.75" customHeight="1">
      <c r="A975" s="339"/>
      <c r="B975" s="339"/>
      <c r="C975" s="339"/>
      <c r="D975" s="339"/>
      <c r="E975" s="339"/>
      <c r="F975" s="339"/>
      <c r="G975" s="339"/>
      <c r="H975" s="339"/>
      <c r="I975" s="341"/>
      <c r="J975" s="339"/>
      <c r="K975" s="339"/>
      <c r="L975" s="339"/>
      <c r="M975" s="339"/>
      <c r="N975" s="339"/>
      <c r="O975" s="341"/>
      <c r="P975" s="340"/>
      <c r="Q975" s="339"/>
      <c r="R975" s="339"/>
      <c r="S975" s="339"/>
      <c r="T975" s="339"/>
      <c r="U975" s="339"/>
      <c r="V975" s="339"/>
      <c r="W975" s="339"/>
      <c r="X975" s="339"/>
      <c r="Y975" s="339"/>
      <c r="Z975" s="339"/>
    </row>
    <row r="976" spans="1:26" ht="15.75" customHeight="1">
      <c r="A976" s="339"/>
      <c r="B976" s="339"/>
      <c r="C976" s="339"/>
      <c r="D976" s="339"/>
      <c r="E976" s="339"/>
      <c r="F976" s="339"/>
      <c r="G976" s="339"/>
      <c r="H976" s="339"/>
      <c r="I976" s="341"/>
      <c r="J976" s="339"/>
      <c r="K976" s="339"/>
      <c r="L976" s="339"/>
      <c r="M976" s="339"/>
      <c r="N976" s="339"/>
      <c r="O976" s="341"/>
      <c r="P976" s="340"/>
      <c r="Q976" s="339"/>
      <c r="R976" s="339"/>
      <c r="S976" s="339"/>
      <c r="T976" s="339"/>
      <c r="U976" s="339"/>
      <c r="V976" s="339"/>
      <c r="W976" s="339"/>
      <c r="X976" s="339"/>
      <c r="Y976" s="339"/>
      <c r="Z976" s="339"/>
    </row>
    <row r="977" spans="1:26" ht="15.75" customHeight="1">
      <c r="A977" s="339"/>
      <c r="B977" s="339"/>
      <c r="C977" s="339"/>
      <c r="D977" s="339"/>
      <c r="E977" s="339"/>
      <c r="F977" s="339"/>
      <c r="G977" s="339"/>
      <c r="H977" s="339"/>
      <c r="I977" s="341"/>
      <c r="J977" s="339"/>
      <c r="K977" s="339"/>
      <c r="L977" s="339"/>
      <c r="M977" s="339"/>
      <c r="N977" s="339"/>
      <c r="O977" s="341"/>
      <c r="P977" s="340"/>
      <c r="Q977" s="339"/>
      <c r="R977" s="339"/>
      <c r="S977" s="339"/>
      <c r="T977" s="339"/>
      <c r="U977" s="339"/>
      <c r="V977" s="339"/>
      <c r="W977" s="339"/>
      <c r="X977" s="339"/>
      <c r="Y977" s="339"/>
      <c r="Z977" s="339"/>
    </row>
    <row r="978" spans="1:26" ht="15.75" customHeight="1">
      <c r="A978" s="339"/>
      <c r="B978" s="339"/>
      <c r="C978" s="339"/>
      <c r="D978" s="339"/>
      <c r="E978" s="339"/>
      <c r="F978" s="339"/>
      <c r="G978" s="339"/>
      <c r="H978" s="339"/>
      <c r="I978" s="341"/>
      <c r="J978" s="339"/>
      <c r="K978" s="339"/>
      <c r="L978" s="339"/>
      <c r="M978" s="339"/>
      <c r="N978" s="339"/>
      <c r="O978" s="341"/>
      <c r="P978" s="340"/>
      <c r="Q978" s="339"/>
      <c r="R978" s="339"/>
      <c r="S978" s="339"/>
      <c r="T978" s="339"/>
      <c r="U978" s="339"/>
      <c r="V978" s="339"/>
      <c r="W978" s="339"/>
      <c r="X978" s="339"/>
      <c r="Y978" s="339"/>
      <c r="Z978" s="339"/>
    </row>
    <row r="979" spans="1:26" ht="15.75" customHeight="1">
      <c r="A979" s="339"/>
      <c r="B979" s="339"/>
      <c r="C979" s="339"/>
      <c r="D979" s="339"/>
      <c r="E979" s="339"/>
      <c r="F979" s="339"/>
      <c r="G979" s="339"/>
      <c r="H979" s="339"/>
      <c r="I979" s="341"/>
      <c r="J979" s="339"/>
      <c r="K979" s="339"/>
      <c r="L979" s="339"/>
      <c r="M979" s="339"/>
      <c r="N979" s="339"/>
      <c r="O979" s="341"/>
      <c r="P979" s="340"/>
      <c r="Q979" s="339"/>
      <c r="R979" s="339"/>
      <c r="S979" s="339"/>
      <c r="T979" s="339"/>
      <c r="U979" s="339"/>
      <c r="V979" s="339"/>
      <c r="W979" s="339"/>
      <c r="X979" s="339"/>
      <c r="Y979" s="339"/>
      <c r="Z979" s="339"/>
    </row>
    <row r="980" spans="1:26" ht="15.75" customHeight="1">
      <c r="A980" s="339"/>
      <c r="B980" s="339"/>
      <c r="C980" s="339"/>
      <c r="D980" s="339"/>
      <c r="E980" s="339"/>
      <c r="F980" s="339"/>
      <c r="G980" s="339"/>
      <c r="H980" s="339"/>
      <c r="I980" s="341"/>
      <c r="J980" s="339"/>
      <c r="K980" s="339"/>
      <c r="L980" s="339"/>
      <c r="M980" s="339"/>
      <c r="N980" s="339"/>
      <c r="O980" s="341"/>
      <c r="P980" s="340"/>
      <c r="Q980" s="339"/>
      <c r="R980" s="339"/>
      <c r="S980" s="339"/>
      <c r="T980" s="339"/>
      <c r="U980" s="339"/>
      <c r="V980" s="339"/>
      <c r="W980" s="339"/>
      <c r="X980" s="339"/>
      <c r="Y980" s="339"/>
      <c r="Z980" s="339"/>
    </row>
    <row r="981" spans="1:26" ht="15.75" customHeight="1">
      <c r="A981" s="339"/>
      <c r="B981" s="339"/>
      <c r="C981" s="339"/>
      <c r="D981" s="339"/>
      <c r="E981" s="339"/>
      <c r="F981" s="339"/>
      <c r="G981" s="339"/>
      <c r="H981" s="339"/>
      <c r="I981" s="341"/>
      <c r="J981" s="339"/>
      <c r="K981" s="339"/>
      <c r="L981" s="339"/>
      <c r="M981" s="339"/>
      <c r="N981" s="339"/>
      <c r="O981" s="341"/>
      <c r="P981" s="340"/>
      <c r="Q981" s="339"/>
      <c r="R981" s="339"/>
      <c r="S981" s="339"/>
      <c r="T981" s="339"/>
      <c r="U981" s="339"/>
      <c r="V981" s="339"/>
      <c r="W981" s="339"/>
      <c r="X981" s="339"/>
      <c r="Y981" s="339"/>
      <c r="Z981" s="339"/>
    </row>
    <row r="982" spans="1:26" ht="15.75" customHeight="1">
      <c r="A982" s="339"/>
      <c r="B982" s="339"/>
      <c r="C982" s="339"/>
      <c r="D982" s="339"/>
      <c r="E982" s="339"/>
      <c r="F982" s="339"/>
      <c r="G982" s="339"/>
      <c r="H982" s="339"/>
      <c r="I982" s="341"/>
      <c r="J982" s="339"/>
      <c r="K982" s="339"/>
      <c r="L982" s="339"/>
      <c r="M982" s="339"/>
      <c r="N982" s="339"/>
      <c r="O982" s="341"/>
      <c r="P982" s="340"/>
      <c r="Q982" s="339"/>
      <c r="R982" s="339"/>
      <c r="S982" s="339"/>
      <c r="T982" s="339"/>
      <c r="U982" s="339"/>
      <c r="V982" s="339"/>
      <c r="W982" s="339"/>
      <c r="X982" s="339"/>
      <c r="Y982" s="339"/>
      <c r="Z982" s="339"/>
    </row>
    <row r="983" spans="1:26" ht="15.75" customHeight="1">
      <c r="A983" s="339"/>
      <c r="B983" s="339"/>
      <c r="C983" s="339"/>
      <c r="D983" s="339"/>
      <c r="E983" s="339"/>
      <c r="F983" s="339"/>
      <c r="G983" s="339"/>
      <c r="H983" s="339"/>
      <c r="I983" s="341"/>
      <c r="J983" s="339"/>
      <c r="K983" s="339"/>
      <c r="L983" s="339"/>
      <c r="M983" s="339"/>
      <c r="N983" s="339"/>
      <c r="O983" s="341"/>
      <c r="P983" s="340"/>
      <c r="Q983" s="339"/>
      <c r="R983" s="339"/>
      <c r="S983" s="339"/>
      <c r="T983" s="339"/>
      <c r="U983" s="339"/>
      <c r="V983" s="339"/>
      <c r="W983" s="339"/>
      <c r="X983" s="339"/>
      <c r="Y983" s="339"/>
      <c r="Z983" s="339"/>
    </row>
    <row r="984" spans="1:26" ht="15.75" customHeight="1">
      <c r="A984" s="339"/>
      <c r="B984" s="339"/>
      <c r="C984" s="339"/>
      <c r="D984" s="339"/>
      <c r="E984" s="339"/>
      <c r="F984" s="339"/>
      <c r="G984" s="339"/>
      <c r="H984" s="339"/>
      <c r="I984" s="341"/>
      <c r="J984" s="339"/>
      <c r="K984" s="339"/>
      <c r="L984" s="339"/>
      <c r="M984" s="339"/>
      <c r="N984" s="339"/>
      <c r="O984" s="341"/>
      <c r="P984" s="340"/>
      <c r="Q984" s="339"/>
      <c r="R984" s="339"/>
      <c r="S984" s="339"/>
      <c r="T984" s="339"/>
      <c r="U984" s="339"/>
      <c r="V984" s="339"/>
      <c r="W984" s="339"/>
      <c r="X984" s="339"/>
      <c r="Y984" s="339"/>
      <c r="Z984" s="339"/>
    </row>
    <row r="985" spans="1:26" ht="15.75" customHeight="1">
      <c r="A985" s="339"/>
      <c r="B985" s="339"/>
      <c r="C985" s="339"/>
      <c r="D985" s="339"/>
      <c r="E985" s="339"/>
      <c r="F985" s="339"/>
      <c r="G985" s="339"/>
      <c r="H985" s="339"/>
      <c r="I985" s="341"/>
      <c r="J985" s="339"/>
      <c r="K985" s="339"/>
      <c r="L985" s="339"/>
      <c r="M985" s="339"/>
      <c r="N985" s="339"/>
      <c r="O985" s="341"/>
      <c r="P985" s="340"/>
      <c r="Q985" s="339"/>
      <c r="R985" s="339"/>
      <c r="S985" s="339"/>
      <c r="T985" s="339"/>
      <c r="U985" s="339"/>
      <c r="V985" s="339"/>
      <c r="W985" s="339"/>
      <c r="X985" s="339"/>
      <c r="Y985" s="339"/>
      <c r="Z985" s="339"/>
    </row>
    <row r="986" spans="1:26" ht="15.75" customHeight="1">
      <c r="A986" s="339"/>
      <c r="B986" s="339"/>
      <c r="C986" s="339"/>
      <c r="D986" s="339"/>
      <c r="E986" s="339"/>
      <c r="F986" s="339"/>
      <c r="G986" s="339"/>
      <c r="H986" s="339"/>
      <c r="I986" s="341"/>
      <c r="J986" s="339"/>
      <c r="K986" s="339"/>
      <c r="L986" s="339"/>
      <c r="M986" s="339"/>
      <c r="N986" s="339"/>
      <c r="O986" s="341"/>
      <c r="P986" s="340"/>
      <c r="Q986" s="339"/>
      <c r="R986" s="339"/>
      <c r="S986" s="339"/>
      <c r="T986" s="339"/>
      <c r="U986" s="339"/>
      <c r="V986" s="339"/>
      <c r="W986" s="339"/>
      <c r="X986" s="339"/>
      <c r="Y986" s="339"/>
      <c r="Z986" s="339"/>
    </row>
    <row r="987" spans="1:26" ht="15.75" customHeight="1">
      <c r="A987" s="339"/>
      <c r="B987" s="339"/>
      <c r="C987" s="339"/>
      <c r="D987" s="339"/>
      <c r="E987" s="339"/>
      <c r="F987" s="339"/>
      <c r="G987" s="339"/>
      <c r="H987" s="339"/>
      <c r="I987" s="341"/>
      <c r="J987" s="339"/>
      <c r="K987" s="339"/>
      <c r="L987" s="339"/>
      <c r="M987" s="339"/>
      <c r="N987" s="339"/>
      <c r="O987" s="341"/>
      <c r="P987" s="340"/>
      <c r="Q987" s="339"/>
      <c r="R987" s="339"/>
      <c r="S987" s="339"/>
      <c r="T987" s="339"/>
      <c r="U987" s="339"/>
      <c r="V987" s="339"/>
      <c r="W987" s="339"/>
      <c r="X987" s="339"/>
      <c r="Y987" s="339"/>
      <c r="Z987" s="339"/>
    </row>
    <row r="988" spans="1:26" ht="15.75" customHeight="1">
      <c r="A988" s="339"/>
      <c r="B988" s="339"/>
      <c r="C988" s="339"/>
      <c r="D988" s="339"/>
      <c r="E988" s="339"/>
      <c r="F988" s="339"/>
      <c r="G988" s="339"/>
      <c r="H988" s="339"/>
      <c r="I988" s="341"/>
      <c r="J988" s="339"/>
      <c r="K988" s="339"/>
      <c r="L988" s="339"/>
      <c r="M988" s="339"/>
      <c r="N988" s="339"/>
      <c r="O988" s="341"/>
      <c r="P988" s="340"/>
      <c r="Q988" s="339"/>
      <c r="R988" s="339"/>
      <c r="S988" s="339"/>
      <c r="T988" s="339"/>
      <c r="U988" s="339"/>
      <c r="V988" s="339"/>
      <c r="W988" s="339"/>
      <c r="X988" s="339"/>
      <c r="Y988" s="339"/>
      <c r="Z988" s="339"/>
    </row>
    <row r="989" spans="1:26" ht="15.75" customHeight="1">
      <c r="A989" s="339"/>
      <c r="B989" s="339"/>
      <c r="C989" s="339"/>
      <c r="D989" s="339"/>
      <c r="E989" s="339"/>
      <c r="F989" s="339"/>
      <c r="G989" s="339"/>
      <c r="H989" s="339"/>
      <c r="I989" s="341"/>
      <c r="J989" s="339"/>
      <c r="K989" s="339"/>
      <c r="L989" s="339"/>
      <c r="M989" s="339"/>
      <c r="N989" s="339"/>
      <c r="O989" s="341"/>
      <c r="P989" s="340"/>
      <c r="Q989" s="339"/>
      <c r="R989" s="339"/>
      <c r="S989" s="339"/>
      <c r="T989" s="339"/>
      <c r="U989" s="339"/>
      <c r="V989" s="339"/>
      <c r="W989" s="339"/>
      <c r="X989" s="339"/>
      <c r="Y989" s="339"/>
      <c r="Z989" s="339"/>
    </row>
    <row r="990" spans="1:26" ht="15.75" customHeight="1">
      <c r="A990" s="339"/>
      <c r="B990" s="339"/>
      <c r="C990" s="339"/>
      <c r="D990" s="339"/>
      <c r="E990" s="339"/>
      <c r="F990" s="339"/>
      <c r="G990" s="339"/>
      <c r="H990" s="339"/>
      <c r="I990" s="341"/>
      <c r="J990" s="339"/>
      <c r="K990" s="339"/>
      <c r="L990" s="339"/>
      <c r="M990" s="339"/>
      <c r="N990" s="339"/>
      <c r="O990" s="341"/>
      <c r="P990" s="340"/>
      <c r="Q990" s="339"/>
      <c r="R990" s="339"/>
      <c r="S990" s="339"/>
      <c r="T990" s="339"/>
      <c r="U990" s="339"/>
      <c r="V990" s="339"/>
      <c r="W990" s="339"/>
      <c r="X990" s="339"/>
      <c r="Y990" s="339"/>
      <c r="Z990" s="339"/>
    </row>
    <row r="991" spans="1:26" ht="15.75" customHeight="1">
      <c r="A991" s="339"/>
      <c r="B991" s="339"/>
      <c r="C991" s="339"/>
      <c r="D991" s="339"/>
      <c r="E991" s="339"/>
      <c r="F991" s="339"/>
      <c r="G991" s="339"/>
      <c r="H991" s="339"/>
      <c r="I991" s="341"/>
      <c r="J991" s="339"/>
      <c r="K991" s="339"/>
      <c r="L991" s="339"/>
      <c r="M991" s="339"/>
      <c r="N991" s="339"/>
      <c r="O991" s="341"/>
      <c r="P991" s="340"/>
      <c r="Q991" s="339"/>
      <c r="R991" s="339"/>
      <c r="S991" s="339"/>
      <c r="T991" s="339"/>
      <c r="U991" s="339"/>
      <c r="V991" s="339"/>
      <c r="W991" s="339"/>
      <c r="X991" s="339"/>
      <c r="Y991" s="339"/>
      <c r="Z991" s="339"/>
    </row>
    <row r="992" spans="1:26" ht="15.75" customHeight="1">
      <c r="A992" s="339"/>
      <c r="B992" s="339"/>
      <c r="C992" s="339"/>
      <c r="D992" s="339"/>
      <c r="E992" s="339"/>
      <c r="F992" s="339"/>
      <c r="G992" s="339"/>
      <c r="H992" s="339"/>
      <c r="I992" s="341"/>
      <c r="J992" s="339"/>
      <c r="K992" s="339"/>
      <c r="L992" s="339"/>
      <c r="M992" s="339"/>
      <c r="N992" s="339"/>
      <c r="O992" s="341"/>
      <c r="P992" s="340"/>
      <c r="Q992" s="339"/>
      <c r="R992" s="339"/>
      <c r="S992" s="339"/>
      <c r="T992" s="339"/>
      <c r="U992" s="339"/>
      <c r="V992" s="339"/>
      <c r="W992" s="339"/>
      <c r="X992" s="339"/>
      <c r="Y992" s="339"/>
      <c r="Z992" s="339"/>
    </row>
    <row r="993" spans="1:26" ht="15.75" customHeight="1">
      <c r="A993" s="339"/>
      <c r="B993" s="339"/>
      <c r="C993" s="339"/>
      <c r="D993" s="339"/>
      <c r="E993" s="339"/>
      <c r="F993" s="339"/>
      <c r="G993" s="339"/>
      <c r="H993" s="339"/>
      <c r="I993" s="341"/>
      <c r="J993" s="339"/>
      <c r="K993" s="339"/>
      <c r="L993" s="339"/>
      <c r="M993" s="339"/>
      <c r="N993" s="339"/>
      <c r="O993" s="341"/>
      <c r="P993" s="340"/>
      <c r="Q993" s="339"/>
      <c r="R993" s="339"/>
      <c r="S993" s="339"/>
      <c r="T993" s="339"/>
      <c r="U993" s="339"/>
      <c r="V993" s="339"/>
      <c r="W993" s="339"/>
      <c r="X993" s="339"/>
      <c r="Y993" s="339"/>
      <c r="Z993" s="339"/>
    </row>
    <row r="994" spans="1:26" ht="15.75" customHeight="1">
      <c r="A994" s="339"/>
      <c r="B994" s="339"/>
      <c r="C994" s="339"/>
      <c r="D994" s="339"/>
      <c r="E994" s="339"/>
      <c r="F994" s="339"/>
      <c r="G994" s="339"/>
      <c r="H994" s="339"/>
      <c r="I994" s="341"/>
      <c r="J994" s="339"/>
      <c r="K994" s="339"/>
      <c r="L994" s="339"/>
      <c r="M994" s="339"/>
      <c r="N994" s="339"/>
      <c r="O994" s="341"/>
      <c r="P994" s="340"/>
      <c r="Q994" s="339"/>
      <c r="R994" s="339"/>
      <c r="S994" s="339"/>
      <c r="T994" s="339"/>
      <c r="U994" s="339"/>
      <c r="V994" s="339"/>
      <c r="W994" s="339"/>
      <c r="X994" s="339"/>
      <c r="Y994" s="339"/>
      <c r="Z994" s="339"/>
    </row>
    <row r="995" spans="1:26" ht="15.75" customHeight="1">
      <c r="A995" s="339"/>
      <c r="B995" s="339"/>
      <c r="C995" s="339"/>
      <c r="D995" s="339"/>
      <c r="E995" s="339"/>
      <c r="F995" s="339"/>
      <c r="G995" s="339"/>
      <c r="H995" s="339"/>
      <c r="I995" s="341"/>
      <c r="J995" s="339"/>
      <c r="K995" s="339"/>
      <c r="L995" s="339"/>
      <c r="M995" s="339"/>
      <c r="N995" s="339"/>
      <c r="O995" s="341"/>
      <c r="P995" s="340"/>
      <c r="Q995" s="339"/>
      <c r="R995" s="339"/>
      <c r="S995" s="339"/>
      <c r="T995" s="339"/>
      <c r="U995" s="339"/>
      <c r="V995" s="339"/>
      <c r="W995" s="339"/>
      <c r="X995" s="339"/>
      <c r="Y995" s="339"/>
      <c r="Z995" s="339"/>
    </row>
    <row r="996" spans="1:26" ht="15.75" customHeight="1">
      <c r="A996" s="339"/>
      <c r="B996" s="339"/>
      <c r="C996" s="339"/>
      <c r="D996" s="339"/>
      <c r="E996" s="339"/>
      <c r="F996" s="339"/>
      <c r="G996" s="339"/>
      <c r="H996" s="339"/>
      <c r="I996" s="341"/>
      <c r="J996" s="339"/>
      <c r="K996" s="339"/>
      <c r="L996" s="339"/>
      <c r="M996" s="339"/>
      <c r="N996" s="339"/>
      <c r="O996" s="341"/>
      <c r="P996" s="340"/>
      <c r="Q996" s="339"/>
      <c r="R996" s="339"/>
      <c r="S996" s="339"/>
      <c r="T996" s="339"/>
      <c r="U996" s="339"/>
      <c r="V996" s="339"/>
      <c r="W996" s="339"/>
      <c r="X996" s="339"/>
      <c r="Y996" s="339"/>
      <c r="Z996" s="339"/>
    </row>
    <row r="997" spans="1:26" ht="15.75" customHeight="1">
      <c r="A997" s="339"/>
      <c r="B997" s="339"/>
      <c r="C997" s="339"/>
      <c r="D997" s="339"/>
      <c r="E997" s="339"/>
      <c r="F997" s="339"/>
      <c r="G997" s="339"/>
      <c r="H997" s="339"/>
      <c r="I997" s="341"/>
      <c r="J997" s="339"/>
      <c r="K997" s="339"/>
      <c r="L997" s="339"/>
      <c r="M997" s="339"/>
      <c r="N997" s="339"/>
      <c r="O997" s="341"/>
      <c r="P997" s="340"/>
      <c r="Q997" s="339"/>
      <c r="R997" s="339"/>
      <c r="S997" s="339"/>
      <c r="T997" s="339"/>
      <c r="U997" s="339"/>
      <c r="V997" s="339"/>
      <c r="W997" s="339"/>
      <c r="X997" s="339"/>
      <c r="Y997" s="339"/>
      <c r="Z997" s="339"/>
    </row>
    <row r="998" spans="1:26" ht="15.75" customHeight="1">
      <c r="A998" s="339"/>
      <c r="B998" s="339"/>
      <c r="C998" s="339"/>
      <c r="D998" s="339"/>
      <c r="E998" s="339"/>
      <c r="F998" s="339"/>
      <c r="G998" s="339"/>
      <c r="H998" s="339"/>
      <c r="I998" s="341"/>
      <c r="J998" s="339"/>
      <c r="K998" s="339"/>
      <c r="L998" s="339"/>
      <c r="M998" s="339"/>
      <c r="N998" s="339"/>
      <c r="O998" s="341"/>
      <c r="P998" s="340"/>
      <c r="Q998" s="339"/>
      <c r="R998" s="339"/>
      <c r="S998" s="339"/>
      <c r="T998" s="339"/>
      <c r="U998" s="339"/>
      <c r="V998" s="339"/>
      <c r="W998" s="339"/>
      <c r="X998" s="339"/>
      <c r="Y998" s="339"/>
      <c r="Z998" s="339"/>
    </row>
    <row r="999" spans="1:26" ht="15.75" customHeight="1">
      <c r="A999" s="339"/>
      <c r="B999" s="339"/>
      <c r="C999" s="339"/>
      <c r="D999" s="339"/>
      <c r="E999" s="339"/>
      <c r="F999" s="339"/>
      <c r="G999" s="339"/>
      <c r="H999" s="339"/>
      <c r="I999" s="341"/>
      <c r="J999" s="339"/>
      <c r="K999" s="339"/>
      <c r="L999" s="339"/>
      <c r="M999" s="339"/>
      <c r="N999" s="339"/>
      <c r="O999" s="341"/>
      <c r="P999" s="340"/>
      <c r="Q999" s="339"/>
      <c r="R999" s="339"/>
      <c r="S999" s="339"/>
      <c r="T999" s="339"/>
      <c r="U999" s="339"/>
      <c r="V999" s="339"/>
      <c r="W999" s="339"/>
      <c r="X999" s="339"/>
      <c r="Y999" s="339"/>
      <c r="Z999" s="339"/>
    </row>
    <row r="1000" spans="1:26" ht="15.75" customHeight="1">
      <c r="A1000" s="339"/>
      <c r="B1000" s="339"/>
      <c r="C1000" s="339"/>
      <c r="D1000" s="339"/>
      <c r="E1000" s="339"/>
      <c r="F1000" s="339"/>
      <c r="G1000" s="339"/>
      <c r="H1000" s="339"/>
      <c r="I1000" s="341"/>
      <c r="J1000" s="339"/>
      <c r="K1000" s="339"/>
      <c r="L1000" s="339"/>
      <c r="M1000" s="339"/>
      <c r="N1000" s="339"/>
      <c r="O1000" s="341"/>
      <c r="P1000" s="340"/>
      <c r="Q1000" s="339"/>
      <c r="R1000" s="339"/>
      <c r="S1000" s="339"/>
      <c r="T1000" s="339"/>
      <c r="U1000" s="339"/>
      <c r="V1000" s="339"/>
      <c r="W1000" s="339"/>
      <c r="X1000" s="339"/>
      <c r="Y1000" s="339"/>
      <c r="Z1000" s="339"/>
    </row>
  </sheetData>
  <mergeCells count="20">
    <mergeCell ref="K7:L7"/>
    <mergeCell ref="M7:P7"/>
    <mergeCell ref="A9:B9"/>
    <mergeCell ref="A106:B106"/>
    <mergeCell ref="A7:B8"/>
    <mergeCell ref="D7:D8"/>
    <mergeCell ref="F7:G7"/>
    <mergeCell ref="I7:J7"/>
    <mergeCell ref="A15:B15"/>
    <mergeCell ref="A33:B33"/>
    <mergeCell ref="A54:B54"/>
    <mergeCell ref="A76:B76"/>
    <mergeCell ref="A91:B91"/>
    <mergeCell ref="A2:B6"/>
    <mergeCell ref="C2:P3"/>
    <mergeCell ref="C4:G5"/>
    <mergeCell ref="H4:J6"/>
    <mergeCell ref="K4:P6"/>
    <mergeCell ref="C6:E6"/>
    <mergeCell ref="F6:G6"/>
  </mergeCells>
  <printOptions horizontalCentered="1"/>
  <pageMargins left="0.31496062992125984" right="0.31496062992125984" top="0.74803149606299213" bottom="0.74803149606299213" header="0" footer="0"/>
  <pageSetup paperSize="9" scale="53" fitToHeight="0" orientation="landscape" r:id="rId1"/>
  <headerFooter>
    <oddFooter>&amp;Cหน้า &amp;P/&amp;N</oddFooter>
  </headerFooter>
  <rowBreaks count="4" manualBreakCount="4">
    <brk id="32" max="15" man="1"/>
    <brk id="53" max="15" man="1"/>
    <brk id="75" max="15" man="1"/>
    <brk id="90" max="15" man="1"/>
  </rowBreaks>
  <colBreaks count="1" manualBreakCount="1">
    <brk id="2" max="11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D965"/>
  </sheetPr>
  <dimension ref="A1:AS1000"/>
  <sheetViews>
    <sheetView view="pageBreakPreview" zoomScale="60" zoomScaleNormal="100" workbookViewId="0">
      <pane xSplit="2" ySplit="9" topLeftCell="Y10" activePane="bottomRight" state="frozen"/>
      <selection activeCell="A91" sqref="A91:XFD114"/>
      <selection pane="topRight" activeCell="A91" sqref="A91:XFD114"/>
      <selection pane="bottomLeft" activeCell="A91" sqref="A91:XFD114"/>
      <selection pane="bottomRight" activeCell="A91" sqref="A91:XFD114"/>
    </sheetView>
  </sheetViews>
  <sheetFormatPr defaultColWidth="14.44140625" defaultRowHeight="15" customHeight="1"/>
  <cols>
    <col min="1" max="1" width="7.21875" customWidth="1"/>
    <col min="2" max="2" width="32.109375" customWidth="1"/>
    <col min="3" max="3" width="15.77734375" customWidth="1"/>
    <col min="4" max="4" width="12.21875" customWidth="1"/>
    <col min="5" max="5" width="15.77734375" customWidth="1"/>
    <col min="6" max="6" width="19" customWidth="1"/>
    <col min="7" max="19" width="10.77734375" customWidth="1"/>
    <col min="20" max="21" width="15.77734375" customWidth="1"/>
    <col min="22" max="27" width="10.77734375" customWidth="1"/>
    <col min="28" max="30" width="15.77734375" customWidth="1"/>
    <col min="31" max="45" width="10.77734375" customWidth="1"/>
  </cols>
  <sheetData>
    <row r="1" spans="1:45" ht="24" customHeight="1">
      <c r="A1" s="1" t="s">
        <v>265</v>
      </c>
      <c r="B1" s="236"/>
      <c r="C1" s="237"/>
      <c r="D1" s="237"/>
      <c r="E1" s="237"/>
      <c r="F1" s="238"/>
      <c r="G1" s="237"/>
      <c r="H1" s="236"/>
      <c r="I1" s="236"/>
      <c r="J1" s="237"/>
      <c r="K1" s="238"/>
      <c r="L1" s="237"/>
      <c r="M1" s="238"/>
      <c r="N1" s="236"/>
      <c r="O1" s="237"/>
      <c r="P1" s="237"/>
      <c r="Q1" s="237"/>
      <c r="R1" s="237"/>
      <c r="S1" s="237"/>
      <c r="T1" s="237"/>
      <c r="U1" s="237"/>
      <c r="V1" s="236"/>
      <c r="W1" s="236"/>
      <c r="X1" s="236"/>
      <c r="Y1" s="236"/>
      <c r="Z1" s="236"/>
      <c r="AA1" s="236"/>
      <c r="AB1" s="237"/>
      <c r="AC1" s="237"/>
      <c r="AD1" s="237"/>
      <c r="AE1" s="236"/>
      <c r="AF1" s="236"/>
      <c r="AG1" s="237"/>
      <c r="AH1" s="236"/>
      <c r="AI1" s="237"/>
      <c r="AJ1" s="236"/>
      <c r="AK1" s="237"/>
      <c r="AL1" s="237"/>
      <c r="AM1" s="236"/>
      <c r="AN1" s="236"/>
      <c r="AO1" s="236"/>
      <c r="AP1" s="236"/>
      <c r="AQ1" s="236"/>
      <c r="AR1" s="236"/>
      <c r="AS1" s="236"/>
    </row>
    <row r="2" spans="1:45" ht="13.5" customHeight="1">
      <c r="A2" s="774" t="s">
        <v>1</v>
      </c>
      <c r="B2" s="682"/>
      <c r="C2" s="775" t="s">
        <v>266</v>
      </c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  <c r="Q2" s="776"/>
      <c r="R2" s="776"/>
      <c r="S2" s="776"/>
      <c r="T2" s="776"/>
      <c r="U2" s="776"/>
      <c r="V2" s="776"/>
      <c r="W2" s="776"/>
      <c r="X2" s="776"/>
      <c r="Y2" s="776"/>
      <c r="Z2" s="776"/>
      <c r="AA2" s="776"/>
      <c r="AB2" s="776"/>
      <c r="AC2" s="776"/>
      <c r="AD2" s="776"/>
      <c r="AE2" s="776"/>
      <c r="AF2" s="776"/>
      <c r="AG2" s="776"/>
      <c r="AH2" s="776"/>
      <c r="AI2" s="776"/>
      <c r="AJ2" s="776"/>
      <c r="AK2" s="776"/>
      <c r="AL2" s="776"/>
      <c r="AM2" s="776"/>
      <c r="AN2" s="776"/>
      <c r="AO2" s="776"/>
      <c r="AP2" s="776"/>
      <c r="AQ2" s="776"/>
      <c r="AR2" s="776"/>
      <c r="AS2" s="777"/>
    </row>
    <row r="3" spans="1:45" ht="13.5" customHeight="1">
      <c r="A3" s="660"/>
      <c r="B3" s="661"/>
      <c r="C3" s="793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  <c r="S3" s="670"/>
      <c r="T3" s="670"/>
      <c r="U3" s="670"/>
      <c r="V3" s="670"/>
      <c r="W3" s="670"/>
      <c r="X3" s="670"/>
      <c r="Y3" s="670"/>
      <c r="Z3" s="670"/>
      <c r="AA3" s="670"/>
      <c r="AB3" s="670"/>
      <c r="AC3" s="670"/>
      <c r="AD3" s="670"/>
      <c r="AE3" s="670"/>
      <c r="AF3" s="670"/>
      <c r="AG3" s="670"/>
      <c r="AH3" s="670"/>
      <c r="AI3" s="670"/>
      <c r="AJ3" s="670"/>
      <c r="AK3" s="670"/>
      <c r="AL3" s="670"/>
      <c r="AM3" s="670"/>
      <c r="AN3" s="670"/>
      <c r="AO3" s="670"/>
      <c r="AP3" s="670"/>
      <c r="AQ3" s="670"/>
      <c r="AR3" s="670"/>
      <c r="AS3" s="768"/>
    </row>
    <row r="4" spans="1:45" ht="27" customHeight="1">
      <c r="A4" s="660"/>
      <c r="B4" s="661"/>
      <c r="C4" s="815" t="s">
        <v>246</v>
      </c>
      <c r="D4" s="816"/>
      <c r="E4" s="816"/>
      <c r="F4" s="816"/>
      <c r="G4" s="817"/>
      <c r="H4" s="818" t="s">
        <v>267</v>
      </c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78"/>
      <c r="AM4" s="819" t="s">
        <v>268</v>
      </c>
      <c r="AN4" s="694"/>
      <c r="AO4" s="694"/>
      <c r="AP4" s="694"/>
      <c r="AQ4" s="694"/>
      <c r="AR4" s="694"/>
      <c r="AS4" s="781"/>
    </row>
    <row r="5" spans="1:45" ht="49.5" customHeight="1">
      <c r="A5" s="660"/>
      <c r="B5" s="661"/>
      <c r="C5" s="696"/>
      <c r="D5" s="670"/>
      <c r="E5" s="670"/>
      <c r="F5" s="670"/>
      <c r="G5" s="671"/>
      <c r="H5" s="820" t="s">
        <v>269</v>
      </c>
      <c r="I5" s="694"/>
      <c r="J5" s="694"/>
      <c r="K5" s="694"/>
      <c r="L5" s="694"/>
      <c r="M5" s="695"/>
      <c r="N5" s="821" t="s">
        <v>270</v>
      </c>
      <c r="O5" s="698"/>
      <c r="P5" s="698"/>
      <c r="Q5" s="698"/>
      <c r="R5" s="698"/>
      <c r="S5" s="698"/>
      <c r="T5" s="698"/>
      <c r="U5" s="699"/>
      <c r="V5" s="814" t="s">
        <v>271</v>
      </c>
      <c r="W5" s="698"/>
      <c r="X5" s="698"/>
      <c r="Y5" s="698"/>
      <c r="Z5" s="698"/>
      <c r="AA5" s="698"/>
      <c r="AB5" s="698"/>
      <c r="AC5" s="698"/>
      <c r="AD5" s="699"/>
      <c r="AE5" s="814" t="s">
        <v>272</v>
      </c>
      <c r="AF5" s="698"/>
      <c r="AG5" s="698"/>
      <c r="AH5" s="698"/>
      <c r="AI5" s="698"/>
      <c r="AJ5" s="698"/>
      <c r="AK5" s="698"/>
      <c r="AL5" s="678"/>
      <c r="AM5" s="719"/>
      <c r="AN5" s="670"/>
      <c r="AO5" s="670"/>
      <c r="AP5" s="670"/>
      <c r="AQ5" s="670"/>
      <c r="AR5" s="670"/>
      <c r="AS5" s="768"/>
    </row>
    <row r="6" spans="1:45" ht="28.5" customHeight="1">
      <c r="A6" s="683"/>
      <c r="B6" s="684"/>
      <c r="C6" s="827" t="s">
        <v>9</v>
      </c>
      <c r="D6" s="651"/>
      <c r="E6" s="654"/>
      <c r="F6" s="809" t="s">
        <v>11</v>
      </c>
      <c r="G6" s="691"/>
      <c r="H6" s="696"/>
      <c r="I6" s="670"/>
      <c r="J6" s="670"/>
      <c r="K6" s="670"/>
      <c r="L6" s="670"/>
      <c r="M6" s="671"/>
      <c r="N6" s="822" t="s">
        <v>24</v>
      </c>
      <c r="O6" s="695"/>
      <c r="P6" s="790" t="s">
        <v>25</v>
      </c>
      <c r="Q6" s="651"/>
      <c r="R6" s="651"/>
      <c r="S6" s="651"/>
      <c r="T6" s="651"/>
      <c r="U6" s="654"/>
      <c r="V6" s="822" t="s">
        <v>24</v>
      </c>
      <c r="W6" s="695"/>
      <c r="X6" s="790" t="s">
        <v>25</v>
      </c>
      <c r="Y6" s="651"/>
      <c r="Z6" s="651"/>
      <c r="AA6" s="651"/>
      <c r="AB6" s="651"/>
      <c r="AC6" s="651"/>
      <c r="AD6" s="654"/>
      <c r="AE6" s="822" t="s">
        <v>24</v>
      </c>
      <c r="AF6" s="695"/>
      <c r="AG6" s="790" t="s">
        <v>25</v>
      </c>
      <c r="AH6" s="651"/>
      <c r="AI6" s="651"/>
      <c r="AJ6" s="651"/>
      <c r="AK6" s="651"/>
      <c r="AL6" s="654"/>
      <c r="AM6" s="824" t="s">
        <v>150</v>
      </c>
      <c r="AN6" s="651"/>
      <c r="AO6" s="654"/>
      <c r="AP6" s="824" t="s">
        <v>273</v>
      </c>
      <c r="AQ6" s="654"/>
      <c r="AR6" s="824" t="s">
        <v>274</v>
      </c>
      <c r="AS6" s="756"/>
    </row>
    <row r="7" spans="1:45" ht="78" customHeight="1">
      <c r="A7" s="785" t="s">
        <v>256</v>
      </c>
      <c r="B7" s="659"/>
      <c r="C7" s="364" t="s">
        <v>150</v>
      </c>
      <c r="D7" s="811" t="s">
        <v>257</v>
      </c>
      <c r="E7" s="346" t="s">
        <v>258</v>
      </c>
      <c r="F7" s="812" t="s">
        <v>259</v>
      </c>
      <c r="G7" s="699"/>
      <c r="H7" s="813" t="s">
        <v>24</v>
      </c>
      <c r="I7" s="654"/>
      <c r="J7" s="826" t="s">
        <v>25</v>
      </c>
      <c r="K7" s="651"/>
      <c r="L7" s="651"/>
      <c r="M7" s="654"/>
      <c r="N7" s="719"/>
      <c r="O7" s="671"/>
      <c r="P7" s="823" t="s">
        <v>275</v>
      </c>
      <c r="Q7" s="651"/>
      <c r="R7" s="651"/>
      <c r="S7" s="654"/>
      <c r="T7" s="365" t="s">
        <v>276</v>
      </c>
      <c r="U7" s="366" t="s">
        <v>277</v>
      </c>
      <c r="V7" s="719"/>
      <c r="W7" s="671"/>
      <c r="X7" s="823" t="s">
        <v>278</v>
      </c>
      <c r="Y7" s="651"/>
      <c r="Z7" s="651"/>
      <c r="AA7" s="654"/>
      <c r="AB7" s="367" t="s">
        <v>279</v>
      </c>
      <c r="AC7" s="368" t="s">
        <v>280</v>
      </c>
      <c r="AD7" s="368" t="s">
        <v>281</v>
      </c>
      <c r="AE7" s="719"/>
      <c r="AF7" s="671"/>
      <c r="AG7" s="823" t="s">
        <v>275</v>
      </c>
      <c r="AH7" s="651"/>
      <c r="AI7" s="651"/>
      <c r="AJ7" s="654"/>
      <c r="AK7" s="369" t="s">
        <v>282</v>
      </c>
      <c r="AL7" s="370" t="s">
        <v>283</v>
      </c>
      <c r="AM7" s="371" t="s">
        <v>24</v>
      </c>
      <c r="AN7" s="825" t="s">
        <v>25</v>
      </c>
      <c r="AO7" s="654"/>
      <c r="AP7" s="372" t="s">
        <v>24</v>
      </c>
      <c r="AQ7" s="373" t="s">
        <v>25</v>
      </c>
      <c r="AR7" s="372" t="s">
        <v>24</v>
      </c>
      <c r="AS7" s="374" t="s">
        <v>25</v>
      </c>
    </row>
    <row r="8" spans="1:45" ht="36.75" customHeight="1">
      <c r="A8" s="662"/>
      <c r="B8" s="663"/>
      <c r="C8" s="375"/>
      <c r="D8" s="665"/>
      <c r="E8" s="252"/>
      <c r="F8" s="254" t="s">
        <v>26</v>
      </c>
      <c r="G8" s="253" t="s">
        <v>27</v>
      </c>
      <c r="H8" s="258" t="s">
        <v>240</v>
      </c>
      <c r="I8" s="258" t="s">
        <v>31</v>
      </c>
      <c r="J8" s="376" t="s">
        <v>240</v>
      </c>
      <c r="K8" s="377" t="s">
        <v>27</v>
      </c>
      <c r="L8" s="376" t="s">
        <v>31</v>
      </c>
      <c r="M8" s="377" t="s">
        <v>27</v>
      </c>
      <c r="N8" s="258" t="s">
        <v>240</v>
      </c>
      <c r="O8" s="258" t="s">
        <v>31</v>
      </c>
      <c r="P8" s="376" t="s">
        <v>240</v>
      </c>
      <c r="Q8" s="376" t="s">
        <v>27</v>
      </c>
      <c r="R8" s="376" t="s">
        <v>31</v>
      </c>
      <c r="S8" s="376" t="s">
        <v>27</v>
      </c>
      <c r="T8" s="378" t="s">
        <v>31</v>
      </c>
      <c r="U8" s="378" t="s">
        <v>31</v>
      </c>
      <c r="V8" s="258" t="s">
        <v>240</v>
      </c>
      <c r="W8" s="258" t="s">
        <v>31</v>
      </c>
      <c r="X8" s="376" t="s">
        <v>240</v>
      </c>
      <c r="Y8" s="376" t="s">
        <v>27</v>
      </c>
      <c r="Z8" s="376" t="s">
        <v>31</v>
      </c>
      <c r="AA8" s="376" t="s">
        <v>27</v>
      </c>
      <c r="AB8" s="378" t="s">
        <v>31</v>
      </c>
      <c r="AC8" s="378" t="s">
        <v>31</v>
      </c>
      <c r="AD8" s="378" t="s">
        <v>31</v>
      </c>
      <c r="AE8" s="258" t="s">
        <v>240</v>
      </c>
      <c r="AF8" s="258" t="s">
        <v>31</v>
      </c>
      <c r="AG8" s="376" t="s">
        <v>240</v>
      </c>
      <c r="AH8" s="376" t="s">
        <v>27</v>
      </c>
      <c r="AI8" s="376" t="s">
        <v>31</v>
      </c>
      <c r="AJ8" s="376" t="s">
        <v>27</v>
      </c>
      <c r="AK8" s="378" t="s">
        <v>31</v>
      </c>
      <c r="AL8" s="379" t="s">
        <v>31</v>
      </c>
      <c r="AM8" s="380" t="s">
        <v>31</v>
      </c>
      <c r="AN8" s="381" t="s">
        <v>31</v>
      </c>
      <c r="AO8" s="376" t="s">
        <v>27</v>
      </c>
      <c r="AP8" s="258" t="s">
        <v>32</v>
      </c>
      <c r="AQ8" s="376" t="s">
        <v>32</v>
      </c>
      <c r="AR8" s="258" t="s">
        <v>32</v>
      </c>
      <c r="AS8" s="382" t="s">
        <v>32</v>
      </c>
    </row>
    <row r="9" spans="1:45" ht="27" customHeight="1">
      <c r="A9" s="798" t="s">
        <v>34</v>
      </c>
      <c r="B9" s="731"/>
      <c r="C9" s="383">
        <f t="shared" ref="C9:E9" ca="1" si="0">C10+C11</f>
        <v>12761700</v>
      </c>
      <c r="D9" s="264">
        <f t="shared" ca="1" si="0"/>
        <v>0</v>
      </c>
      <c r="E9" s="265">
        <f t="shared" ca="1" si="0"/>
        <v>12761700</v>
      </c>
      <c r="F9" s="267">
        <f ca="1">+F10+F11</f>
        <v>7516223.8300000001</v>
      </c>
      <c r="G9" s="267">
        <f t="shared" ref="G9:G114" ca="1" si="1">IF(C9&gt;0,F9*100/C9,0)</f>
        <v>58.896728727363907</v>
      </c>
      <c r="H9" s="270">
        <f t="shared" ref="H9:J9" ca="1" si="2">H10+H11</f>
        <v>10800</v>
      </c>
      <c r="I9" s="270">
        <f t="shared" ca="1" si="2"/>
        <v>3600</v>
      </c>
      <c r="J9" s="271">
        <f t="shared" ca="1" si="2"/>
        <v>8373</v>
      </c>
      <c r="K9" s="269">
        <f t="shared" ref="K9:K114" ca="1" si="3">IF(H9&gt;0,J9*100/H9,0)</f>
        <v>77.527777777777771</v>
      </c>
      <c r="L9" s="271">
        <f ca="1">L10+L11</f>
        <v>3174</v>
      </c>
      <c r="M9" s="269">
        <f t="shared" ref="M9:M114" ca="1" si="4">IF(I9&gt;0,L9*100/I9,0)</f>
        <v>88.166666666666671</v>
      </c>
      <c r="N9" s="270">
        <f t="shared" ref="N9:P9" ca="1" si="5">N10+N11</f>
        <v>2529</v>
      </c>
      <c r="O9" s="270">
        <f t="shared" ca="1" si="5"/>
        <v>843</v>
      </c>
      <c r="P9" s="271">
        <f t="shared" ca="1" si="5"/>
        <v>2046</v>
      </c>
      <c r="Q9" s="269">
        <f t="shared" ref="Q9:Q114" ca="1" si="6">IF(N9&gt;0,P9*100/N9,0)</f>
        <v>80.901542111506529</v>
      </c>
      <c r="R9" s="271">
        <f ca="1">R10+R11</f>
        <v>750</v>
      </c>
      <c r="S9" s="269">
        <f t="shared" ref="S9:S114" ca="1" si="7">IF(O9&gt;0,R9*100/O9,0)</f>
        <v>88.967971530249116</v>
      </c>
      <c r="T9" s="271">
        <f t="shared" ref="T9:X9" ca="1" si="8">T10+T11</f>
        <v>760</v>
      </c>
      <c r="U9" s="271">
        <f t="shared" ca="1" si="8"/>
        <v>833</v>
      </c>
      <c r="V9" s="270">
        <f t="shared" ca="1" si="8"/>
        <v>5847</v>
      </c>
      <c r="W9" s="270">
        <f t="shared" ca="1" si="8"/>
        <v>1949</v>
      </c>
      <c r="X9" s="271">
        <f t="shared" ca="1" si="8"/>
        <v>4590</v>
      </c>
      <c r="Y9" s="269">
        <f t="shared" ref="Y9:Y114" ca="1" si="9">IF(V9&gt;0,X9*100/V9,0)</f>
        <v>78.501795792714219</v>
      </c>
      <c r="Z9" s="271">
        <f ca="1">Z10+Z11</f>
        <v>1740</v>
      </c>
      <c r="AA9" s="269">
        <f t="shared" ref="AA9:AA114" ca="1" si="10">IF(W9&gt;0,Z9*100/W9,0)</f>
        <v>89.276552077988711</v>
      </c>
      <c r="AB9" s="271">
        <f t="shared" ref="AB9:AG9" ca="1" si="11">AB10+AB11</f>
        <v>1904</v>
      </c>
      <c r="AC9" s="271">
        <f t="shared" ca="1" si="11"/>
        <v>1790</v>
      </c>
      <c r="AD9" s="271">
        <f t="shared" ca="1" si="11"/>
        <v>1740</v>
      </c>
      <c r="AE9" s="270">
        <f t="shared" ca="1" si="11"/>
        <v>2424</v>
      </c>
      <c r="AF9" s="270">
        <f t="shared" ca="1" si="11"/>
        <v>808</v>
      </c>
      <c r="AG9" s="271">
        <f t="shared" ca="1" si="11"/>
        <v>1737</v>
      </c>
      <c r="AH9" s="271">
        <f t="shared" ref="AH9:AH114" ca="1" si="12">IF(AE9&gt;0,AG9*100/AE9,0)</f>
        <v>71.658415841584159</v>
      </c>
      <c r="AI9" s="271">
        <f ca="1">AI10+AI11</f>
        <v>684</v>
      </c>
      <c r="AJ9" s="269">
        <f t="shared" ref="AJ9:AJ114" ca="1" si="13">IF(AF9&gt;0,AI9*100/AF9,0)</f>
        <v>84.653465346534659</v>
      </c>
      <c r="AK9" s="271">
        <f t="shared" ref="AK9:AN9" ca="1" si="14">AK10+AK11</f>
        <v>724</v>
      </c>
      <c r="AL9" s="271">
        <f t="shared" ca="1" si="14"/>
        <v>700</v>
      </c>
      <c r="AM9" s="270">
        <f t="shared" ca="1" si="14"/>
        <v>2792</v>
      </c>
      <c r="AN9" s="271">
        <f t="shared" ca="1" si="14"/>
        <v>617</v>
      </c>
      <c r="AO9" s="271">
        <f t="shared" ref="AO9:AO114" ca="1" si="15">IF(AM9&gt;0,AN9*100/AM9,0)</f>
        <v>22.098853868194844</v>
      </c>
      <c r="AP9" s="270">
        <f t="shared" ref="AP9:AS9" ca="1" si="16">AP10+AP11</f>
        <v>843</v>
      </c>
      <c r="AQ9" s="271">
        <f t="shared" ca="1" si="16"/>
        <v>270</v>
      </c>
      <c r="AR9" s="270">
        <f t="shared" ca="1" si="16"/>
        <v>1949</v>
      </c>
      <c r="AS9" s="271">
        <f t="shared" ca="1" si="16"/>
        <v>568</v>
      </c>
    </row>
    <row r="10" spans="1:45" ht="24" customHeight="1">
      <c r="A10" s="273" t="s">
        <v>35</v>
      </c>
      <c r="B10" s="274"/>
      <c r="C10" s="384">
        <f t="shared" ref="C10:F10" ca="1" si="17">+C15+C33+C54+C76</f>
        <v>12235530</v>
      </c>
      <c r="D10" s="276">
        <f t="shared" ca="1" si="17"/>
        <v>0</v>
      </c>
      <c r="E10" s="276">
        <f t="shared" ca="1" si="17"/>
        <v>12235530</v>
      </c>
      <c r="F10" s="277">
        <f t="shared" ca="1" si="17"/>
        <v>7395321.75</v>
      </c>
      <c r="G10" s="277">
        <f t="shared" ca="1" si="1"/>
        <v>60.441368293813184</v>
      </c>
      <c r="H10" s="279">
        <f t="shared" ref="H10:J10" ca="1" si="18">+H15+H33+H54+H76</f>
        <v>10800</v>
      </c>
      <c r="I10" s="279">
        <f t="shared" ca="1" si="18"/>
        <v>3600</v>
      </c>
      <c r="J10" s="279">
        <f t="shared" ca="1" si="18"/>
        <v>8373</v>
      </c>
      <c r="K10" s="278">
        <f t="shared" ca="1" si="3"/>
        <v>77.527777777777771</v>
      </c>
      <c r="L10" s="279">
        <f ca="1">+L15+L33+L54+L76</f>
        <v>3174</v>
      </c>
      <c r="M10" s="278">
        <f t="shared" ca="1" si="4"/>
        <v>88.166666666666671</v>
      </c>
      <c r="N10" s="279">
        <f t="shared" ref="N10:P10" ca="1" si="19">+N15+N33+N54+N76</f>
        <v>2529</v>
      </c>
      <c r="O10" s="279">
        <f t="shared" ca="1" si="19"/>
        <v>843</v>
      </c>
      <c r="P10" s="279">
        <f t="shared" ca="1" si="19"/>
        <v>2046</v>
      </c>
      <c r="Q10" s="278">
        <f t="shared" ca="1" si="6"/>
        <v>80.901542111506529</v>
      </c>
      <c r="R10" s="279">
        <f ca="1">+R15+R33+R54+R76</f>
        <v>750</v>
      </c>
      <c r="S10" s="278">
        <f t="shared" ca="1" si="7"/>
        <v>88.967971530249116</v>
      </c>
      <c r="T10" s="279">
        <f t="shared" ref="T10:X10" ca="1" si="20">+T15+T33+T54+T76</f>
        <v>760</v>
      </c>
      <c r="U10" s="279">
        <f t="shared" ca="1" si="20"/>
        <v>833</v>
      </c>
      <c r="V10" s="279">
        <f t="shared" ca="1" si="20"/>
        <v>5847</v>
      </c>
      <c r="W10" s="279">
        <f t="shared" ca="1" si="20"/>
        <v>1949</v>
      </c>
      <c r="X10" s="279">
        <f t="shared" ca="1" si="20"/>
        <v>4590</v>
      </c>
      <c r="Y10" s="278">
        <f t="shared" ca="1" si="9"/>
        <v>78.501795792714219</v>
      </c>
      <c r="Z10" s="279">
        <f ca="1">+Z15+Z33+Z54+Z76</f>
        <v>1740</v>
      </c>
      <c r="AA10" s="278">
        <f t="shared" ca="1" si="10"/>
        <v>89.276552077988711</v>
      </c>
      <c r="AB10" s="279">
        <f t="shared" ref="AB10:AG10" ca="1" si="21">+AB15+AB33+AB54+AB76</f>
        <v>1904</v>
      </c>
      <c r="AC10" s="279">
        <f t="shared" ca="1" si="21"/>
        <v>1790</v>
      </c>
      <c r="AD10" s="279">
        <f t="shared" ca="1" si="21"/>
        <v>1740</v>
      </c>
      <c r="AE10" s="279">
        <f t="shared" ca="1" si="21"/>
        <v>2424</v>
      </c>
      <c r="AF10" s="279">
        <f t="shared" ca="1" si="21"/>
        <v>808</v>
      </c>
      <c r="AG10" s="279">
        <f t="shared" ca="1" si="21"/>
        <v>1737</v>
      </c>
      <c r="AH10" s="279">
        <f t="shared" ca="1" si="12"/>
        <v>71.658415841584159</v>
      </c>
      <c r="AI10" s="279">
        <f ca="1">+AI15+AI33+AI54+AI76</f>
        <v>684</v>
      </c>
      <c r="AJ10" s="279">
        <f t="shared" ca="1" si="13"/>
        <v>84.653465346534659</v>
      </c>
      <c r="AK10" s="279">
        <f t="shared" ref="AK10:AN10" ca="1" si="22">+AK15+AK33+AK54+AK76</f>
        <v>724</v>
      </c>
      <c r="AL10" s="279">
        <f t="shared" ca="1" si="22"/>
        <v>700</v>
      </c>
      <c r="AM10" s="279">
        <f t="shared" ca="1" si="22"/>
        <v>2792</v>
      </c>
      <c r="AN10" s="279">
        <f t="shared" ca="1" si="22"/>
        <v>617</v>
      </c>
      <c r="AO10" s="279">
        <f t="shared" ca="1" si="15"/>
        <v>22.098853868194844</v>
      </c>
      <c r="AP10" s="279">
        <f t="shared" ref="AP10:AS10" ca="1" si="23">+AP15+AP33+AP54+AP76</f>
        <v>843</v>
      </c>
      <c r="AQ10" s="279">
        <f t="shared" ca="1" si="23"/>
        <v>270</v>
      </c>
      <c r="AR10" s="279">
        <f t="shared" ca="1" si="23"/>
        <v>1949</v>
      </c>
      <c r="AS10" s="279">
        <f t="shared" ca="1" si="23"/>
        <v>568</v>
      </c>
    </row>
    <row r="11" spans="1:45" ht="24" customHeight="1">
      <c r="A11" s="281" t="s">
        <v>373</v>
      </c>
      <c r="B11" s="282"/>
      <c r="C11" s="385">
        <f t="shared" ref="C11:F11" ca="1" si="24">+C12+C13</f>
        <v>526170</v>
      </c>
      <c r="D11" s="284">
        <f t="shared" ca="1" si="24"/>
        <v>0</v>
      </c>
      <c r="E11" s="284">
        <f t="shared" ca="1" si="24"/>
        <v>526170</v>
      </c>
      <c r="F11" s="285">
        <f t="shared" ca="1" si="24"/>
        <v>120902.08</v>
      </c>
      <c r="G11" s="285">
        <f t="shared" ca="1" si="1"/>
        <v>22.977760039530949</v>
      </c>
      <c r="H11" s="284">
        <f t="shared" ref="H11:J11" ca="1" si="25">+H12+H13</f>
        <v>0</v>
      </c>
      <c r="I11" s="284">
        <f t="shared" ca="1" si="25"/>
        <v>0</v>
      </c>
      <c r="J11" s="284">
        <f t="shared" si="25"/>
        <v>0</v>
      </c>
      <c r="K11" s="285">
        <f t="shared" ca="1" si="3"/>
        <v>0</v>
      </c>
      <c r="L11" s="284">
        <f>+L12+L13</f>
        <v>0</v>
      </c>
      <c r="M11" s="285">
        <f t="shared" ca="1" si="4"/>
        <v>0</v>
      </c>
      <c r="N11" s="284">
        <f t="shared" ref="N11:P11" ca="1" si="26">+N12+N13</f>
        <v>0</v>
      </c>
      <c r="O11" s="284">
        <f t="shared" ca="1" si="26"/>
        <v>0</v>
      </c>
      <c r="P11" s="284">
        <f t="shared" si="26"/>
        <v>0</v>
      </c>
      <c r="Q11" s="285">
        <f t="shared" ca="1" si="6"/>
        <v>0</v>
      </c>
      <c r="R11" s="284">
        <f>+R12+R13</f>
        <v>0</v>
      </c>
      <c r="S11" s="285">
        <f t="shared" ca="1" si="7"/>
        <v>0</v>
      </c>
      <c r="T11" s="284">
        <f t="shared" ref="T11:X11" si="27">+T12+T13</f>
        <v>0</v>
      </c>
      <c r="U11" s="284">
        <f t="shared" si="27"/>
        <v>0</v>
      </c>
      <c r="V11" s="284">
        <f t="shared" ca="1" si="27"/>
        <v>0</v>
      </c>
      <c r="W11" s="284">
        <f t="shared" ca="1" si="27"/>
        <v>0</v>
      </c>
      <c r="X11" s="284">
        <f t="shared" si="27"/>
        <v>0</v>
      </c>
      <c r="Y11" s="285">
        <f t="shared" ca="1" si="9"/>
        <v>0</v>
      </c>
      <c r="Z11" s="284">
        <f>+Z12+Z13</f>
        <v>0</v>
      </c>
      <c r="AA11" s="285">
        <f t="shared" ca="1" si="10"/>
        <v>0</v>
      </c>
      <c r="AB11" s="284">
        <f t="shared" ref="AB11:AG11" si="28">+AB12+AB13</f>
        <v>0</v>
      </c>
      <c r="AC11" s="284">
        <f t="shared" si="28"/>
        <v>0</v>
      </c>
      <c r="AD11" s="284">
        <f t="shared" si="28"/>
        <v>0</v>
      </c>
      <c r="AE11" s="284">
        <f t="shared" ca="1" si="28"/>
        <v>0</v>
      </c>
      <c r="AF11" s="284">
        <f t="shared" ca="1" si="28"/>
        <v>0</v>
      </c>
      <c r="AG11" s="284">
        <f t="shared" si="28"/>
        <v>0</v>
      </c>
      <c r="AH11" s="284">
        <f t="shared" ca="1" si="12"/>
        <v>0</v>
      </c>
      <c r="AI11" s="284">
        <f>+AI12+AI13</f>
        <v>0</v>
      </c>
      <c r="AJ11" s="284">
        <f t="shared" ca="1" si="13"/>
        <v>0</v>
      </c>
      <c r="AK11" s="284">
        <f t="shared" ref="AK11:AN11" si="29">+AK12+AK13</f>
        <v>0</v>
      </c>
      <c r="AL11" s="284">
        <f t="shared" si="29"/>
        <v>0</v>
      </c>
      <c r="AM11" s="284">
        <f t="shared" ca="1" si="29"/>
        <v>0</v>
      </c>
      <c r="AN11" s="284">
        <f t="shared" si="29"/>
        <v>0</v>
      </c>
      <c r="AO11" s="284">
        <f t="shared" ca="1" si="15"/>
        <v>0</v>
      </c>
      <c r="AP11" s="284">
        <f t="shared" ref="AP11:AS11" ca="1" si="30">+AP12+AP13</f>
        <v>0</v>
      </c>
      <c r="AQ11" s="284">
        <f t="shared" si="30"/>
        <v>0</v>
      </c>
      <c r="AR11" s="284">
        <f t="shared" ca="1" si="30"/>
        <v>0</v>
      </c>
      <c r="AS11" s="284">
        <f t="shared" si="30"/>
        <v>0</v>
      </c>
    </row>
    <row r="12" spans="1:45" ht="24" hidden="1" customHeight="1">
      <c r="A12" s="281" t="s">
        <v>36</v>
      </c>
      <c r="B12" s="282"/>
      <c r="C12" s="385">
        <f t="shared" ref="C12:F12" ca="1" si="31">+C91</f>
        <v>526170</v>
      </c>
      <c r="D12" s="284">
        <f t="shared" ca="1" si="31"/>
        <v>0</v>
      </c>
      <c r="E12" s="284">
        <f t="shared" ca="1" si="31"/>
        <v>526170</v>
      </c>
      <c r="F12" s="285">
        <f t="shared" ca="1" si="31"/>
        <v>120902.08</v>
      </c>
      <c r="G12" s="285">
        <f t="shared" ca="1" si="1"/>
        <v>22.977760039530949</v>
      </c>
      <c r="H12" s="284">
        <f t="shared" ref="H12:J12" ca="1" si="32">+H91</f>
        <v>0</v>
      </c>
      <c r="I12" s="284">
        <f t="shared" ca="1" si="32"/>
        <v>0</v>
      </c>
      <c r="J12" s="284">
        <f t="shared" si="32"/>
        <v>0</v>
      </c>
      <c r="K12" s="285">
        <f t="shared" ca="1" si="3"/>
        <v>0</v>
      </c>
      <c r="L12" s="284">
        <f>+L91</f>
        <v>0</v>
      </c>
      <c r="M12" s="285">
        <f t="shared" ca="1" si="4"/>
        <v>0</v>
      </c>
      <c r="N12" s="284">
        <f t="shared" ref="N12:P12" ca="1" si="33">+N91</f>
        <v>0</v>
      </c>
      <c r="O12" s="284">
        <f t="shared" ca="1" si="33"/>
        <v>0</v>
      </c>
      <c r="P12" s="284">
        <f t="shared" si="33"/>
        <v>0</v>
      </c>
      <c r="Q12" s="285">
        <f t="shared" ca="1" si="6"/>
        <v>0</v>
      </c>
      <c r="R12" s="284">
        <f>+R91</f>
        <v>0</v>
      </c>
      <c r="S12" s="285">
        <f t="shared" ca="1" si="7"/>
        <v>0</v>
      </c>
      <c r="T12" s="284">
        <f t="shared" ref="T12:X12" si="34">+T91</f>
        <v>0</v>
      </c>
      <c r="U12" s="284">
        <f t="shared" si="34"/>
        <v>0</v>
      </c>
      <c r="V12" s="284">
        <f t="shared" ca="1" si="34"/>
        <v>0</v>
      </c>
      <c r="W12" s="284">
        <f t="shared" ca="1" si="34"/>
        <v>0</v>
      </c>
      <c r="X12" s="284">
        <f t="shared" si="34"/>
        <v>0</v>
      </c>
      <c r="Y12" s="285">
        <f t="shared" ca="1" si="9"/>
        <v>0</v>
      </c>
      <c r="Z12" s="284">
        <f>+Z91</f>
        <v>0</v>
      </c>
      <c r="AA12" s="285">
        <f t="shared" ca="1" si="10"/>
        <v>0</v>
      </c>
      <c r="AB12" s="284">
        <f t="shared" ref="AB12:AG12" si="35">+AB91</f>
        <v>0</v>
      </c>
      <c r="AC12" s="284">
        <f t="shared" si="35"/>
        <v>0</v>
      </c>
      <c r="AD12" s="284">
        <f t="shared" si="35"/>
        <v>0</v>
      </c>
      <c r="AE12" s="284">
        <f t="shared" ca="1" si="35"/>
        <v>0</v>
      </c>
      <c r="AF12" s="284">
        <f t="shared" ca="1" si="35"/>
        <v>0</v>
      </c>
      <c r="AG12" s="284">
        <f t="shared" si="35"/>
        <v>0</v>
      </c>
      <c r="AH12" s="284">
        <f t="shared" ca="1" si="12"/>
        <v>0</v>
      </c>
      <c r="AI12" s="284">
        <f>+AI91</f>
        <v>0</v>
      </c>
      <c r="AJ12" s="284">
        <f t="shared" ca="1" si="13"/>
        <v>0</v>
      </c>
      <c r="AK12" s="284">
        <f t="shared" ref="AK12:AN12" si="36">+AK91</f>
        <v>0</v>
      </c>
      <c r="AL12" s="284">
        <f t="shared" si="36"/>
        <v>0</v>
      </c>
      <c r="AM12" s="284">
        <f t="shared" ca="1" si="36"/>
        <v>0</v>
      </c>
      <c r="AN12" s="284">
        <f t="shared" si="36"/>
        <v>0</v>
      </c>
      <c r="AO12" s="284">
        <f t="shared" ca="1" si="15"/>
        <v>0</v>
      </c>
      <c r="AP12" s="284">
        <f t="shared" ref="AP12:AS12" ca="1" si="37">+AP91</f>
        <v>0</v>
      </c>
      <c r="AQ12" s="284">
        <f t="shared" si="37"/>
        <v>0</v>
      </c>
      <c r="AR12" s="284">
        <f t="shared" ca="1" si="37"/>
        <v>0</v>
      </c>
      <c r="AS12" s="284">
        <f t="shared" si="37"/>
        <v>0</v>
      </c>
    </row>
    <row r="13" spans="1:45" ht="24" hidden="1" customHeight="1">
      <c r="A13" s="281" t="s">
        <v>37</v>
      </c>
      <c r="B13" s="282"/>
      <c r="C13" s="385">
        <f t="shared" ref="C13:E13" ca="1" si="38">+C106</f>
        <v>0</v>
      </c>
      <c r="D13" s="284">
        <f t="shared" ca="1" si="38"/>
        <v>0</v>
      </c>
      <c r="E13" s="284">
        <f t="shared" ca="1" si="38"/>
        <v>0</v>
      </c>
      <c r="F13" s="285"/>
      <c r="G13" s="285">
        <f t="shared" ca="1" si="1"/>
        <v>0</v>
      </c>
      <c r="H13" s="284">
        <f t="shared" ref="H13:J13" ca="1" si="39">+H106</f>
        <v>0</v>
      </c>
      <c r="I13" s="284">
        <f t="shared" ca="1" si="39"/>
        <v>0</v>
      </c>
      <c r="J13" s="284">
        <f t="shared" si="39"/>
        <v>0</v>
      </c>
      <c r="K13" s="285">
        <f t="shared" ca="1" si="3"/>
        <v>0</v>
      </c>
      <c r="L13" s="284">
        <f>+L106</f>
        <v>0</v>
      </c>
      <c r="M13" s="285">
        <f t="shared" ca="1" si="4"/>
        <v>0</v>
      </c>
      <c r="N13" s="284">
        <f t="shared" ref="N13:P13" ca="1" si="40">+N106</f>
        <v>0</v>
      </c>
      <c r="O13" s="284">
        <f t="shared" ca="1" si="40"/>
        <v>0</v>
      </c>
      <c r="P13" s="284">
        <f t="shared" si="40"/>
        <v>0</v>
      </c>
      <c r="Q13" s="285">
        <f t="shared" ca="1" si="6"/>
        <v>0</v>
      </c>
      <c r="R13" s="284">
        <f>+R106</f>
        <v>0</v>
      </c>
      <c r="S13" s="285">
        <f t="shared" ca="1" si="7"/>
        <v>0</v>
      </c>
      <c r="T13" s="284">
        <f t="shared" ref="T13:X13" si="41">+T106</f>
        <v>0</v>
      </c>
      <c r="U13" s="284">
        <f t="shared" si="41"/>
        <v>0</v>
      </c>
      <c r="V13" s="284">
        <f t="shared" ca="1" si="41"/>
        <v>0</v>
      </c>
      <c r="W13" s="284">
        <f t="shared" ca="1" si="41"/>
        <v>0</v>
      </c>
      <c r="X13" s="284">
        <f t="shared" si="41"/>
        <v>0</v>
      </c>
      <c r="Y13" s="285">
        <f t="shared" ca="1" si="9"/>
        <v>0</v>
      </c>
      <c r="Z13" s="284">
        <f>+Z106</f>
        <v>0</v>
      </c>
      <c r="AA13" s="285">
        <f t="shared" ca="1" si="10"/>
        <v>0</v>
      </c>
      <c r="AB13" s="284">
        <f t="shared" ref="AB13:AG13" si="42">+AB106</f>
        <v>0</v>
      </c>
      <c r="AC13" s="284">
        <f t="shared" si="42"/>
        <v>0</v>
      </c>
      <c r="AD13" s="284">
        <f t="shared" si="42"/>
        <v>0</v>
      </c>
      <c r="AE13" s="284">
        <f t="shared" ca="1" si="42"/>
        <v>0</v>
      </c>
      <c r="AF13" s="284">
        <f t="shared" ca="1" si="42"/>
        <v>0</v>
      </c>
      <c r="AG13" s="284">
        <f t="shared" si="42"/>
        <v>0</v>
      </c>
      <c r="AH13" s="284">
        <f t="shared" ca="1" si="12"/>
        <v>0</v>
      </c>
      <c r="AI13" s="284">
        <f>+AI106</f>
        <v>0</v>
      </c>
      <c r="AJ13" s="284">
        <f t="shared" ca="1" si="13"/>
        <v>0</v>
      </c>
      <c r="AK13" s="284">
        <f t="shared" ref="AK13:AN13" si="43">+AK106</f>
        <v>0</v>
      </c>
      <c r="AL13" s="284">
        <f t="shared" si="43"/>
        <v>0</v>
      </c>
      <c r="AM13" s="284">
        <f t="shared" ca="1" si="43"/>
        <v>0</v>
      </c>
      <c r="AN13" s="284">
        <f t="shared" si="43"/>
        <v>0</v>
      </c>
      <c r="AO13" s="284">
        <f t="shared" ca="1" si="15"/>
        <v>0</v>
      </c>
      <c r="AP13" s="284">
        <f t="shared" ref="AP13:AS13" ca="1" si="44">+AP106</f>
        <v>0</v>
      </c>
      <c r="AQ13" s="284">
        <f t="shared" si="44"/>
        <v>0</v>
      </c>
      <c r="AR13" s="284">
        <f t="shared" ca="1" si="44"/>
        <v>0</v>
      </c>
      <c r="AS13" s="284">
        <f t="shared" si="44"/>
        <v>0</v>
      </c>
    </row>
    <row r="14" spans="1:45" ht="24" hidden="1" customHeight="1">
      <c r="A14" s="287" t="s">
        <v>260</v>
      </c>
      <c r="B14" s="288"/>
      <c r="C14" s="386">
        <v>0</v>
      </c>
      <c r="D14" s="290">
        <v>0</v>
      </c>
      <c r="E14" s="290">
        <v>0</v>
      </c>
      <c r="F14" s="291"/>
      <c r="G14" s="291">
        <f t="shared" si="1"/>
        <v>0</v>
      </c>
      <c r="H14" s="290">
        <v>0</v>
      </c>
      <c r="I14" s="290">
        <v>0</v>
      </c>
      <c r="J14" s="290">
        <v>0</v>
      </c>
      <c r="K14" s="291">
        <f t="shared" si="3"/>
        <v>0</v>
      </c>
      <c r="L14" s="290">
        <v>0</v>
      </c>
      <c r="M14" s="291">
        <f t="shared" si="4"/>
        <v>0</v>
      </c>
      <c r="N14" s="290">
        <v>0</v>
      </c>
      <c r="O14" s="290">
        <v>0</v>
      </c>
      <c r="P14" s="290">
        <v>0</v>
      </c>
      <c r="Q14" s="291">
        <f t="shared" si="6"/>
        <v>0</v>
      </c>
      <c r="R14" s="290">
        <v>0</v>
      </c>
      <c r="S14" s="291">
        <f t="shared" si="7"/>
        <v>0</v>
      </c>
      <c r="T14" s="290">
        <v>0</v>
      </c>
      <c r="U14" s="290">
        <v>0</v>
      </c>
      <c r="V14" s="290">
        <v>0</v>
      </c>
      <c r="W14" s="290">
        <v>0</v>
      </c>
      <c r="X14" s="290">
        <v>0</v>
      </c>
      <c r="Y14" s="291">
        <f t="shared" si="9"/>
        <v>0</v>
      </c>
      <c r="Z14" s="290">
        <v>0</v>
      </c>
      <c r="AA14" s="291">
        <f t="shared" si="10"/>
        <v>0</v>
      </c>
      <c r="AB14" s="290">
        <v>0</v>
      </c>
      <c r="AC14" s="290">
        <v>0</v>
      </c>
      <c r="AD14" s="290">
        <v>0</v>
      </c>
      <c r="AE14" s="290">
        <v>0</v>
      </c>
      <c r="AF14" s="290">
        <v>0</v>
      </c>
      <c r="AG14" s="290">
        <v>0</v>
      </c>
      <c r="AH14" s="290">
        <f t="shared" si="12"/>
        <v>0</v>
      </c>
      <c r="AI14" s="290">
        <v>0</v>
      </c>
      <c r="AJ14" s="290">
        <f t="shared" si="13"/>
        <v>0</v>
      </c>
      <c r="AK14" s="290">
        <v>0</v>
      </c>
      <c r="AL14" s="290">
        <v>0</v>
      </c>
      <c r="AM14" s="290">
        <v>0</v>
      </c>
      <c r="AN14" s="290">
        <v>0</v>
      </c>
      <c r="AO14" s="290">
        <f t="shared" si="15"/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ht="21" customHeight="1">
      <c r="A15" s="799" t="s">
        <v>39</v>
      </c>
      <c r="B15" s="652"/>
      <c r="C15" s="387">
        <f t="shared" ref="C15:F15" ca="1" si="45">SUM(C16:C32)</f>
        <v>3226520</v>
      </c>
      <c r="D15" s="279">
        <f t="shared" ca="1" si="45"/>
        <v>0</v>
      </c>
      <c r="E15" s="279">
        <f t="shared" ca="1" si="45"/>
        <v>3226520</v>
      </c>
      <c r="F15" s="278">
        <f t="shared" ca="1" si="45"/>
        <v>1922204</v>
      </c>
      <c r="G15" s="278">
        <f t="shared" ca="1" si="1"/>
        <v>59.575145977709731</v>
      </c>
      <c r="H15" s="279">
        <f t="shared" ref="H15:J15" ca="1" si="46">SUM(H16:H32)</f>
        <v>2871</v>
      </c>
      <c r="I15" s="279">
        <f t="shared" ca="1" si="46"/>
        <v>957</v>
      </c>
      <c r="J15" s="279">
        <f t="shared" ca="1" si="46"/>
        <v>2448</v>
      </c>
      <c r="K15" s="278">
        <f t="shared" ca="1" si="3"/>
        <v>85.266457680250781</v>
      </c>
      <c r="L15" s="279">
        <f ca="1">SUM(L16:L32)</f>
        <v>784</v>
      </c>
      <c r="M15" s="278">
        <f t="shared" ca="1" si="4"/>
        <v>81.922675026123301</v>
      </c>
      <c r="N15" s="279">
        <f t="shared" ref="N15:P15" ca="1" si="47">SUM(N16:N32)</f>
        <v>600</v>
      </c>
      <c r="O15" s="279">
        <f t="shared" ca="1" si="47"/>
        <v>200</v>
      </c>
      <c r="P15" s="279">
        <f t="shared" ca="1" si="47"/>
        <v>465</v>
      </c>
      <c r="Q15" s="278">
        <f t="shared" ca="1" si="6"/>
        <v>77.5</v>
      </c>
      <c r="R15" s="279">
        <f ca="1">SUM(R16:R32)</f>
        <v>170</v>
      </c>
      <c r="S15" s="278">
        <f t="shared" ca="1" si="7"/>
        <v>85</v>
      </c>
      <c r="T15" s="278">
        <f t="shared" ref="T15:X15" ca="1" si="48">SUM(T16:T32)</f>
        <v>180</v>
      </c>
      <c r="U15" s="278">
        <f t="shared" ca="1" si="48"/>
        <v>190</v>
      </c>
      <c r="V15" s="279">
        <f t="shared" ca="1" si="48"/>
        <v>1722</v>
      </c>
      <c r="W15" s="279">
        <f t="shared" ca="1" si="48"/>
        <v>574</v>
      </c>
      <c r="X15" s="279">
        <f t="shared" ca="1" si="48"/>
        <v>1518</v>
      </c>
      <c r="Y15" s="278">
        <f t="shared" ca="1" si="9"/>
        <v>88.153310104529623</v>
      </c>
      <c r="Z15" s="279">
        <f ca="1">SUM(Z16:Z32)</f>
        <v>475</v>
      </c>
      <c r="AA15" s="278">
        <f t="shared" ca="1" si="10"/>
        <v>82.752613240418114</v>
      </c>
      <c r="AB15" s="279">
        <f t="shared" ref="AB15:AG15" ca="1" si="49">SUM(AB16:AB32)</f>
        <v>574</v>
      </c>
      <c r="AC15" s="279">
        <f t="shared" ca="1" si="49"/>
        <v>505</v>
      </c>
      <c r="AD15" s="279">
        <f t="shared" ca="1" si="49"/>
        <v>475</v>
      </c>
      <c r="AE15" s="279">
        <f t="shared" ca="1" si="49"/>
        <v>549</v>
      </c>
      <c r="AF15" s="279">
        <f t="shared" ca="1" si="49"/>
        <v>183</v>
      </c>
      <c r="AG15" s="279">
        <f t="shared" ca="1" si="49"/>
        <v>465</v>
      </c>
      <c r="AH15" s="278">
        <f t="shared" ca="1" si="12"/>
        <v>84.699453551912569</v>
      </c>
      <c r="AI15" s="279">
        <f ca="1">SUM(AI16:AI32)</f>
        <v>139</v>
      </c>
      <c r="AJ15" s="278">
        <f t="shared" ca="1" si="13"/>
        <v>75.95628415300547</v>
      </c>
      <c r="AK15" s="279">
        <f t="shared" ref="AK15:AN15" ca="1" si="50">SUM(AK16:AK32)</f>
        <v>159</v>
      </c>
      <c r="AL15" s="279">
        <f t="shared" ca="1" si="50"/>
        <v>155</v>
      </c>
      <c r="AM15" s="279">
        <f t="shared" ca="1" si="50"/>
        <v>774</v>
      </c>
      <c r="AN15" s="279">
        <f t="shared" ca="1" si="50"/>
        <v>56</v>
      </c>
      <c r="AO15" s="278">
        <f t="shared" ca="1" si="15"/>
        <v>7.2351421188630489</v>
      </c>
      <c r="AP15" s="279">
        <f t="shared" ref="AP15:AS15" ca="1" si="51">SUM(AP16:AP32)</f>
        <v>200</v>
      </c>
      <c r="AQ15" s="279">
        <f t="shared" ca="1" si="51"/>
        <v>45</v>
      </c>
      <c r="AR15" s="279">
        <f t="shared" ca="1" si="51"/>
        <v>574</v>
      </c>
      <c r="AS15" s="279">
        <f t="shared" ca="1" si="51"/>
        <v>157</v>
      </c>
    </row>
    <row r="16" spans="1:45" ht="21" customHeight="1">
      <c r="A16" s="293">
        <v>1</v>
      </c>
      <c r="B16" s="357" t="s">
        <v>40</v>
      </c>
      <c r="C16" s="388">
        <f t="shared" ref="C16:C32" ca="1" si="52">+D16+E16</f>
        <v>159950</v>
      </c>
      <c r="D16" s="296">
        <f ca="1">IFERROR(__xludf.DUMMYFUNCTION("IMPORTRANGE(""https://docs.google.com/spreadsheets/d/1C3CXT74ZlgGe6_JY_1olB1XN4rF0dxEuIIF-xsYjHgg/edit?usp=sharing"",""งบกองทุน!Z20"")"),0)</f>
        <v>0</v>
      </c>
      <c r="E16" s="296">
        <f ca="1">IFERROR(__xludf.DUMMYFUNCTION("IMPORTRANGE(""https://docs.google.com/spreadsheets/d/1C3CXT74ZlgGe6_JY_1olB1XN4rF0dxEuIIF-xsYjHgg/edit?usp=sharing"",""งบกองทุน!AA20"")"),159950)</f>
        <v>159950</v>
      </c>
      <c r="F16" s="297">
        <f ca="1">IFERROR(__xludf.DUMMYFUNCTION("IMPORTRANGE(""https://docs.google.com/spreadsheets/d/11923uPwbBZFjjGgGUA6NLw09EwE0CqkOc4q9oUmW1yo/edit?usp=sharing"",""กำแพงเพชร!M299"")"),91223)</f>
        <v>91223</v>
      </c>
      <c r="G16" s="297">
        <f t="shared" ca="1" si="1"/>
        <v>57.032197561738045</v>
      </c>
      <c r="H16" s="299">
        <f t="shared" ref="H16:I16" ca="1" si="53">+N16+V16+AE16</f>
        <v>135</v>
      </c>
      <c r="I16" s="299">
        <f t="shared" ca="1" si="53"/>
        <v>45</v>
      </c>
      <c r="J16" s="299">
        <f t="shared" ref="J16:J32" ca="1" si="54">P16+X16+AG16</f>
        <v>105</v>
      </c>
      <c r="K16" s="301">
        <f t="shared" ca="1" si="3"/>
        <v>77.777777777777771</v>
      </c>
      <c r="L16" s="299">
        <f t="shared" ref="L16:L32" ca="1" si="55">R16+Z16+AI16</f>
        <v>35</v>
      </c>
      <c r="M16" s="301">
        <f t="shared" ca="1" si="4"/>
        <v>77.777777777777771</v>
      </c>
      <c r="N16" s="389">
        <f ca="1">IFERROR(__xludf.DUMMYFUNCTION("IMPORTRANGE(""https://docs.google.com/spreadsheets/d/1C3CXT74ZlgGe6_JY_1olB1XN4rF0dxEuIIF-xsYjHgg/edit?usp=sharing"",""งบกองทุน!AD20"")"),30)</f>
        <v>30</v>
      </c>
      <c r="O16" s="389">
        <f ca="1">IFERROR(__xludf.DUMMYFUNCTION("IMPORTRANGE(""https://docs.google.com/spreadsheets/d/1C3CXT74ZlgGe6_JY_1olB1XN4rF0dxEuIIF-xsYjHgg/edit?usp=sharing"",""งบกองทุน!AE20"")"),10)</f>
        <v>10</v>
      </c>
      <c r="P16" s="299">
        <f ca="1">IFERROR(__xludf.DUMMYFUNCTION("IMPORTRANGE(""https://docs.google.com/spreadsheets/d/11923uPwbBZFjjGgGUA6NLw09EwE0CqkOc4q9oUmW1yo/edit?usp=sharing"",""กำแพงเพชร!J313"")"),30)</f>
        <v>30</v>
      </c>
      <c r="Q16" s="301">
        <f t="shared" ca="1" si="6"/>
        <v>100</v>
      </c>
      <c r="R16" s="299">
        <f ca="1">IFERROR(__xludf.DUMMYFUNCTION("IMPORTRANGE(""https://docs.google.com/spreadsheets/d/11923uPwbBZFjjGgGUA6NLw09EwE0CqkOc4q9oUmW1yo/edit?usp=sharing"",""กำแพงเพชร!J312"")"),10)</f>
        <v>10</v>
      </c>
      <c r="S16" s="301">
        <f t="shared" ca="1" si="7"/>
        <v>100</v>
      </c>
      <c r="T16" s="301">
        <f ca="1">IFERROR(__xludf.DUMMYFUNCTION("IMPORTRANGE(""https://docs.google.com/spreadsheets/d/11923uPwbBZFjjGgGUA6NLw09EwE0CqkOc4q9oUmW1yo/edit?usp=sharing"",""กำแพงเพชร!J314"")"),10)</f>
        <v>10</v>
      </c>
      <c r="U16" s="301">
        <f ca="1">IFERROR(__xludf.DUMMYFUNCTION("IMPORTRANGE(""https://docs.google.com/spreadsheets/d/11923uPwbBZFjjGgGUA6NLw09EwE0CqkOc4q9oUmW1yo/edit?usp=sharing"",""กำแพงเพชร!J315"")"),10)</f>
        <v>10</v>
      </c>
      <c r="V16" s="389">
        <f ca="1">IFERROR(__xludf.DUMMYFUNCTION("IMPORTRANGE(""https://docs.google.com/spreadsheets/d/1C3CXT74ZlgGe6_JY_1olB1XN4rF0dxEuIIF-xsYjHgg/edit?usp=sharing"",""งบกองทุน!AH20"")"),75)</f>
        <v>75</v>
      </c>
      <c r="W16" s="389">
        <f ca="1">IFERROR(__xludf.DUMMYFUNCTION("IMPORTRANGE(""https://docs.google.com/spreadsheets/d/1C3CXT74ZlgGe6_JY_1olB1XN4rF0dxEuIIF-xsYjHgg/edit?usp=sharing"",""งบกองทุน!AI20"")"),25)</f>
        <v>25</v>
      </c>
      <c r="X16" s="299">
        <f ca="1">IFERROR(__xludf.DUMMYFUNCTION("IMPORTRANGE(""https://docs.google.com/spreadsheets/d/11923uPwbBZFjjGgGUA6NLw09EwE0CqkOc4q9oUmW1yo/edit?usp=sharing"",""กำแพงเพชร!J317"")"),75)</f>
        <v>75</v>
      </c>
      <c r="Y16" s="301">
        <f t="shared" ca="1" si="9"/>
        <v>100</v>
      </c>
      <c r="Z16" s="299">
        <f ca="1">IFERROR(__xludf.DUMMYFUNCTION("IMPORTRANGE(""https://docs.google.com/spreadsheets/d/11923uPwbBZFjjGgGUA6NLw09EwE0CqkOc4q9oUmW1yo/edit?usp=sharing"",""กำแพงเพชร!J316"")"),25)</f>
        <v>25</v>
      </c>
      <c r="AA16" s="301">
        <f t="shared" ca="1" si="10"/>
        <v>100</v>
      </c>
      <c r="AB16" s="299">
        <f ca="1">IFERROR(__xludf.DUMMYFUNCTION("IMPORTRANGE(""https://docs.google.com/spreadsheets/d/11923uPwbBZFjjGgGUA6NLw09EwE0CqkOc4q9oUmW1yo/edit?usp=sharing"",""กำแพงเพชร!J318"")"),25)</f>
        <v>25</v>
      </c>
      <c r="AC16" s="299">
        <f ca="1">IFERROR(__xludf.DUMMYFUNCTION("IMPORTRANGE(""https://docs.google.com/spreadsheets/d/11923uPwbBZFjjGgGUA6NLw09EwE0CqkOc4q9oUmW1yo/edit?usp=sharing"",""กำแพงเพชร!J319"")"),25)</f>
        <v>25</v>
      </c>
      <c r="AD16" s="299">
        <f ca="1">IFERROR(__xludf.DUMMYFUNCTION("IMPORTRANGE(""https://docs.google.com/spreadsheets/d/11923uPwbBZFjjGgGUA6NLw09EwE0CqkOc4q9oUmW1yo/edit?usp=sharing"",""กำแพงเพชร!J320"")"),25)</f>
        <v>25</v>
      </c>
      <c r="AE16" s="389">
        <f ca="1">IFERROR(__xludf.DUMMYFUNCTION("IMPORTRANGE(""https://docs.google.com/spreadsheets/d/1C3CXT74ZlgGe6_JY_1olB1XN4rF0dxEuIIF-xsYjHgg/edit?usp=sharing"",""งบกองทุน!AM20"")"),30)</f>
        <v>30</v>
      </c>
      <c r="AF16" s="389">
        <f ca="1">IFERROR(__xludf.DUMMYFUNCTION("IMPORTRANGE(""https://docs.google.com/spreadsheets/d/1C3CXT74ZlgGe6_JY_1olB1XN4rF0dxEuIIF-xsYjHgg/edit?usp=sharing"",""งบกองทุน!AN20"")"),10)</f>
        <v>10</v>
      </c>
      <c r="AG16" s="299">
        <f ca="1">IFERROR(__xludf.DUMMYFUNCTION("IMPORTRANGE(""https://docs.google.com/spreadsheets/d/11923uPwbBZFjjGgGUA6NLw09EwE0CqkOc4q9oUmW1yo/edit?usp=sharing"",""กำแพงเพชร!J322"")"),0)</f>
        <v>0</v>
      </c>
      <c r="AH16" s="301">
        <f t="shared" ca="1" si="12"/>
        <v>0</v>
      </c>
      <c r="AI16" s="299">
        <f ca="1">IFERROR(__xludf.DUMMYFUNCTION("IMPORTRANGE(""https://docs.google.com/spreadsheets/d/11923uPwbBZFjjGgGUA6NLw09EwE0CqkOc4q9oUmW1yo/edit?usp=sharing"",""กำแพงเพชร!J321"")"),0)</f>
        <v>0</v>
      </c>
      <c r="AJ16" s="301">
        <f t="shared" ca="1" si="13"/>
        <v>0</v>
      </c>
      <c r="AK16" s="299">
        <f ca="1">IFERROR(__xludf.DUMMYFUNCTION("IMPORTRANGE(""https://docs.google.com/spreadsheets/d/11923uPwbBZFjjGgGUA6NLw09EwE0CqkOc4q9oUmW1yo/edit?usp=sharing"",""กำแพงเพชร!J323"")"),0)</f>
        <v>0</v>
      </c>
      <c r="AL16" s="299">
        <f ca="1">IFERROR(__xludf.DUMMYFUNCTION("IMPORTRANGE(""https://docs.google.com/spreadsheets/d/11923uPwbBZFjjGgGUA6NLw09EwE0CqkOc4q9oUmW1yo/edit?usp=sharing"",""กำแพงเพชร!J324"")"),0)</f>
        <v>0</v>
      </c>
      <c r="AM16" s="299">
        <f t="shared" ref="AM16:AM32" ca="1" si="56">+AP16+AR16</f>
        <v>35</v>
      </c>
      <c r="AN16" s="299">
        <f ca="1">IFERROR(__xludf.DUMMYFUNCTION("IMPORTRANGE(""https://docs.google.com/spreadsheets/d/11923uPwbBZFjjGgGUA6NLw09EwE0CqkOc4q9oUmW1yo/edit?usp=sharing"",""กำแพงเพชร!J325"")"),0)</f>
        <v>0</v>
      </c>
      <c r="AO16" s="301">
        <f t="shared" ca="1" si="15"/>
        <v>0</v>
      </c>
      <c r="AP16" s="389">
        <f ca="1">IFERROR(__xludf.DUMMYFUNCTION("IMPORTRANGE(""https://docs.google.com/spreadsheets/d/1C3CXT74ZlgGe6_JY_1olB1XN4rF0dxEuIIF-xsYjHgg/edit?usp=sharing"",""งบกองทุน!AR20"")"),10)</f>
        <v>10</v>
      </c>
      <c r="AQ16" s="299">
        <f ca="1">IFERROR(__xludf.DUMMYFUNCTION("IMPORTRANGE(""https://docs.google.com/spreadsheets/d/11923uPwbBZFjjGgGUA6NLw09EwE0CqkOc4q9oUmW1yo/edit?usp=sharing"",""กำแพงเพชร!J326"")"),0)</f>
        <v>0</v>
      </c>
      <c r="AR16" s="299">
        <f ca="1">IFERROR(__xludf.DUMMYFUNCTION("IMPORTRANGE(""https://docs.google.com/spreadsheets/d/1C3CXT74ZlgGe6_JY_1olB1XN4rF0dxEuIIF-xsYjHgg/edit?usp=sharing"",""งบกองทุน!AS20"")"),25)</f>
        <v>25</v>
      </c>
      <c r="AS16" s="390">
        <f ca="1">IFERROR(__xludf.DUMMYFUNCTION("IMPORTRANGE(""https://docs.google.com/spreadsheets/d/11923uPwbBZFjjGgGUA6NLw09EwE0CqkOc4q9oUmW1yo/edit?usp=sharing"",""กำแพงเพชร!J327"")"),25)</f>
        <v>25</v>
      </c>
    </row>
    <row r="17" spans="1:45" ht="24" customHeight="1">
      <c r="A17" s="303">
        <v>2</v>
      </c>
      <c r="B17" s="304" t="s">
        <v>41</v>
      </c>
      <c r="C17" s="391">
        <f t="shared" ca="1" si="52"/>
        <v>195900</v>
      </c>
      <c r="D17" s="306">
        <f ca="1">IFERROR(__xludf.DUMMYFUNCTION("IMPORTRANGE(""https://docs.google.com/spreadsheets/d/1C3CXT74ZlgGe6_JY_1olB1XN4rF0dxEuIIF-xsYjHgg/edit?usp=sharing"",""งบกองทุน!Z21"")"),0)</f>
        <v>0</v>
      </c>
      <c r="E17" s="306">
        <f ca="1">IFERROR(__xludf.DUMMYFUNCTION("IMPORTRANGE(""https://docs.google.com/spreadsheets/d/1C3CXT74ZlgGe6_JY_1olB1XN4rF0dxEuIIF-xsYjHgg/edit?usp=sharing"",""งบกองทุน!AA21"")"),195900)</f>
        <v>195900</v>
      </c>
      <c r="F17" s="307">
        <f ca="1">IFERROR(__xludf.DUMMYFUNCTION("IMPORTRANGE(""https://docs.google.com/spreadsheets/d/11923uPwbBZFjjGgGUA6NLw09EwE0CqkOc4q9oUmW1yo/edit?usp=sharing"",""เชียงราย!M299"")"),170552)</f>
        <v>170552</v>
      </c>
      <c r="G17" s="307">
        <f t="shared" ca="1" si="1"/>
        <v>87.060745278203171</v>
      </c>
      <c r="H17" s="308">
        <f t="shared" ref="H17:I17" ca="1" si="57">+N17+V17+AE17</f>
        <v>174</v>
      </c>
      <c r="I17" s="308">
        <f t="shared" ca="1" si="57"/>
        <v>58</v>
      </c>
      <c r="J17" s="308">
        <f t="shared" ca="1" si="54"/>
        <v>174</v>
      </c>
      <c r="K17" s="309">
        <f t="shared" ca="1" si="3"/>
        <v>100</v>
      </c>
      <c r="L17" s="308">
        <f t="shared" ca="1" si="55"/>
        <v>58</v>
      </c>
      <c r="M17" s="309">
        <f t="shared" ca="1" si="4"/>
        <v>100</v>
      </c>
      <c r="N17" s="392">
        <f ca="1">IFERROR(__xludf.DUMMYFUNCTION("IMPORTRANGE(""https://docs.google.com/spreadsheets/d/1C3CXT74ZlgGe6_JY_1olB1XN4rF0dxEuIIF-xsYjHgg/edit?usp=sharing"",""งบกองทุน!AD21"")"),30)</f>
        <v>30</v>
      </c>
      <c r="O17" s="392">
        <f ca="1">IFERROR(__xludf.DUMMYFUNCTION("IMPORTRANGE(""https://docs.google.com/spreadsheets/d/1C3CXT74ZlgGe6_JY_1olB1XN4rF0dxEuIIF-xsYjHgg/edit?usp=sharing"",""งบกองทุน!AE21"")"),10)</f>
        <v>10</v>
      </c>
      <c r="P17" s="308">
        <f ca="1">IFERROR(__xludf.DUMMYFUNCTION("IMPORTRANGE(""https://docs.google.com/spreadsheets/d/11923uPwbBZFjjGgGUA6NLw09EwE0CqkOc4q9oUmW1yo/edit?usp=sharing"",""เชียงราย!J313"")"),30)</f>
        <v>30</v>
      </c>
      <c r="Q17" s="309">
        <f t="shared" ca="1" si="6"/>
        <v>100</v>
      </c>
      <c r="R17" s="308">
        <f ca="1">IFERROR(__xludf.DUMMYFUNCTION("IMPORTRANGE(""https://docs.google.com/spreadsheets/d/11923uPwbBZFjjGgGUA6NLw09EwE0CqkOc4q9oUmW1yo/edit?usp=sharing"",""เชียงราย!J312"")"),10)</f>
        <v>10</v>
      </c>
      <c r="S17" s="309">
        <f t="shared" ca="1" si="7"/>
        <v>100</v>
      </c>
      <c r="T17" s="309">
        <f ca="1">IFERROR(__xludf.DUMMYFUNCTION("IMPORTRANGE(""https://docs.google.com/spreadsheets/d/11923uPwbBZFjjGgGUA6NLw09EwE0CqkOc4q9oUmW1yo/edit?usp=sharing"",""เชียงราย!J314"")"),10)</f>
        <v>10</v>
      </c>
      <c r="U17" s="309">
        <f ca="1">IFERROR(__xludf.DUMMYFUNCTION("IMPORTRANGE(""https://docs.google.com/spreadsheets/d/11923uPwbBZFjjGgGUA6NLw09EwE0CqkOc4q9oUmW1yo/edit?usp=sharing"",""เชียงราย!J315"")"),10)</f>
        <v>10</v>
      </c>
      <c r="V17" s="392">
        <f ca="1">IFERROR(__xludf.DUMMYFUNCTION("IMPORTRANGE(""https://docs.google.com/spreadsheets/d/1C3CXT74ZlgGe6_JY_1olB1XN4rF0dxEuIIF-xsYjHgg/edit?usp=sharing"",""งบกองทุน!AH21"")"),114)</f>
        <v>114</v>
      </c>
      <c r="W17" s="392">
        <f ca="1">IFERROR(__xludf.DUMMYFUNCTION("IMPORTRANGE(""https://docs.google.com/spreadsheets/d/1C3CXT74ZlgGe6_JY_1olB1XN4rF0dxEuIIF-xsYjHgg/edit?usp=sharing"",""งบกองทุน!AI21"")"),38)</f>
        <v>38</v>
      </c>
      <c r="X17" s="308">
        <f ca="1">IFERROR(__xludf.DUMMYFUNCTION("IMPORTRANGE(""https://docs.google.com/spreadsheets/d/11923uPwbBZFjjGgGUA6NLw09EwE0CqkOc4q9oUmW1yo/edit?usp=sharing"",""เชียงราย!J317"")"),114)</f>
        <v>114</v>
      </c>
      <c r="Y17" s="309">
        <f t="shared" ca="1" si="9"/>
        <v>100</v>
      </c>
      <c r="Z17" s="308">
        <f ca="1">IFERROR(__xludf.DUMMYFUNCTION("IMPORTRANGE(""https://docs.google.com/spreadsheets/d/11923uPwbBZFjjGgGUA6NLw09EwE0CqkOc4q9oUmW1yo/edit?usp=sharing"",""เชียงราย!J316"")"),38)</f>
        <v>38</v>
      </c>
      <c r="AA17" s="309">
        <f t="shared" ca="1" si="10"/>
        <v>100</v>
      </c>
      <c r="AB17" s="308">
        <f ca="1">IFERROR(__xludf.DUMMYFUNCTION("IMPORTRANGE(""https://docs.google.com/spreadsheets/d/11923uPwbBZFjjGgGUA6NLw09EwE0CqkOc4q9oUmW1yo/edit?usp=sharing"",""เชียงราย!J318"")"),38)</f>
        <v>38</v>
      </c>
      <c r="AC17" s="308">
        <f ca="1">IFERROR(__xludf.DUMMYFUNCTION("IMPORTRANGE(""https://docs.google.com/spreadsheets/d/11923uPwbBZFjjGgGUA6NLw09EwE0CqkOc4q9oUmW1yo/edit?usp=sharing"",""เชียงราย!J319"")"),38)</f>
        <v>38</v>
      </c>
      <c r="AD17" s="308">
        <f ca="1">IFERROR(__xludf.DUMMYFUNCTION("IMPORTRANGE(""https://docs.google.com/spreadsheets/d/11923uPwbBZFjjGgGUA6NLw09EwE0CqkOc4q9oUmW1yo/edit?usp=sharing"",""เชียงราย!J320"")"),38)</f>
        <v>38</v>
      </c>
      <c r="AE17" s="392">
        <f ca="1">IFERROR(__xludf.DUMMYFUNCTION("IMPORTRANGE(""https://docs.google.com/spreadsheets/d/1C3CXT74ZlgGe6_JY_1olB1XN4rF0dxEuIIF-xsYjHgg/edit?usp=sharing"",""งบกองทุน!AM21"")"),30)</f>
        <v>30</v>
      </c>
      <c r="AF17" s="392">
        <f ca="1">IFERROR(__xludf.DUMMYFUNCTION("IMPORTRANGE(""https://docs.google.com/spreadsheets/d/1C3CXT74ZlgGe6_JY_1olB1XN4rF0dxEuIIF-xsYjHgg/edit?usp=sharing"",""งบกองทุน!AN21"")"),10)</f>
        <v>10</v>
      </c>
      <c r="AG17" s="308">
        <f ca="1">IFERROR(__xludf.DUMMYFUNCTION("IMPORTRANGE(""https://docs.google.com/spreadsheets/d/11923uPwbBZFjjGgGUA6NLw09EwE0CqkOc4q9oUmW1yo/edit?usp=sharing"",""เชียงราย!J322"")"),30)</f>
        <v>30</v>
      </c>
      <c r="AH17" s="309">
        <f t="shared" ca="1" si="12"/>
        <v>100</v>
      </c>
      <c r="AI17" s="308">
        <f ca="1">IFERROR(__xludf.DUMMYFUNCTION("IMPORTRANGE(""https://docs.google.com/spreadsheets/d/11923uPwbBZFjjGgGUA6NLw09EwE0CqkOc4q9oUmW1yo/edit?usp=sharing"",""เชียงราย!J321"")"),10)</f>
        <v>10</v>
      </c>
      <c r="AJ17" s="309">
        <f t="shared" ca="1" si="13"/>
        <v>100</v>
      </c>
      <c r="AK17" s="308">
        <f ca="1">IFERROR(__xludf.DUMMYFUNCTION("IMPORTRANGE(""https://docs.google.com/spreadsheets/d/11923uPwbBZFjjGgGUA6NLw09EwE0CqkOc4q9oUmW1yo/edit?usp=sharing"",""เชียงราย!J323"")"),10)</f>
        <v>10</v>
      </c>
      <c r="AL17" s="308">
        <f ca="1">IFERROR(__xludf.DUMMYFUNCTION("IMPORTRANGE(""https://docs.google.com/spreadsheets/d/11923uPwbBZFjjGgGUA6NLw09EwE0CqkOc4q9oUmW1yo/edit?usp=sharing"",""เชียงราย!J324"")"),10)</f>
        <v>10</v>
      </c>
      <c r="AM17" s="308">
        <f t="shared" ca="1" si="56"/>
        <v>48</v>
      </c>
      <c r="AN17" s="308">
        <f ca="1">IFERROR(__xludf.DUMMYFUNCTION("IMPORTRANGE(""https://docs.google.com/spreadsheets/d/11923uPwbBZFjjGgGUA6NLw09EwE0CqkOc4q9oUmW1yo/edit?usp=sharing"",""เชียงราย!J325"")"),0)</f>
        <v>0</v>
      </c>
      <c r="AO17" s="309">
        <f t="shared" ca="1" si="15"/>
        <v>0</v>
      </c>
      <c r="AP17" s="392">
        <f ca="1">IFERROR(__xludf.DUMMYFUNCTION("IMPORTRANGE(""https://docs.google.com/spreadsheets/d/1C3CXT74ZlgGe6_JY_1olB1XN4rF0dxEuIIF-xsYjHgg/edit?usp=sharing"",""งบกองทุน!AR21"")"),10)</f>
        <v>10</v>
      </c>
      <c r="AQ17" s="308">
        <f ca="1">IFERROR(__xludf.DUMMYFUNCTION("IMPORTRANGE(""https://docs.google.com/spreadsheets/d/11923uPwbBZFjjGgGUA6NLw09EwE0CqkOc4q9oUmW1yo/edit?usp=sharing"",""เชียงราย!J326"")"),0)</f>
        <v>0</v>
      </c>
      <c r="AR17" s="308">
        <f ca="1">IFERROR(__xludf.DUMMYFUNCTION("IMPORTRANGE(""https://docs.google.com/spreadsheets/d/1C3CXT74ZlgGe6_JY_1olB1XN4rF0dxEuIIF-xsYjHgg/edit?usp=sharing"",""งบกองทุน!AS21"")"),38)</f>
        <v>38</v>
      </c>
      <c r="AS17" s="393">
        <f ca="1">IFERROR(__xludf.DUMMYFUNCTION("IMPORTRANGE(""https://docs.google.com/spreadsheets/d/11923uPwbBZFjjGgGUA6NLw09EwE0CqkOc4q9oUmW1yo/edit?usp=sharing"",""เชียงราย!J327"")"),0)</f>
        <v>0</v>
      </c>
    </row>
    <row r="18" spans="1:45" ht="21" customHeight="1">
      <c r="A18" s="303">
        <v>3</v>
      </c>
      <c r="B18" s="304" t="s">
        <v>42</v>
      </c>
      <c r="C18" s="391">
        <f t="shared" ca="1" si="52"/>
        <v>131710</v>
      </c>
      <c r="D18" s="306">
        <f ca="1">IFERROR(__xludf.DUMMYFUNCTION("IMPORTRANGE(""https://docs.google.com/spreadsheets/d/1C3CXT74ZlgGe6_JY_1olB1XN4rF0dxEuIIF-xsYjHgg/edit?usp=sharing"",""งบกองทุน!Z22"")"),0)</f>
        <v>0</v>
      </c>
      <c r="E18" s="306">
        <f ca="1">IFERROR(__xludf.DUMMYFUNCTION("IMPORTRANGE(""https://docs.google.com/spreadsheets/d/1C3CXT74ZlgGe6_JY_1olB1XN4rF0dxEuIIF-xsYjHgg/edit?usp=sharing"",""งบกองทุน!AA22"")"),131710)</f>
        <v>131710</v>
      </c>
      <c r="F18" s="307">
        <f ca="1">IFERROR(__xludf.DUMMYFUNCTION("IMPORTRANGE(""https://docs.google.com/spreadsheets/d/11923uPwbBZFjjGgGUA6NLw09EwE0CqkOc4q9oUmW1yo/edit?usp=sharing"",""เชียงใหม่!M299"")"),87215)</f>
        <v>87215</v>
      </c>
      <c r="G18" s="307">
        <f t="shared" ca="1" si="1"/>
        <v>66.217447422367329</v>
      </c>
      <c r="H18" s="308">
        <f t="shared" ref="H18:I18" ca="1" si="58">+N18+V18+AE18</f>
        <v>105</v>
      </c>
      <c r="I18" s="308">
        <f t="shared" ca="1" si="58"/>
        <v>35</v>
      </c>
      <c r="J18" s="308">
        <f t="shared" ca="1" si="54"/>
        <v>105</v>
      </c>
      <c r="K18" s="309">
        <f t="shared" ca="1" si="3"/>
        <v>100</v>
      </c>
      <c r="L18" s="308">
        <f t="shared" ca="1" si="55"/>
        <v>35</v>
      </c>
      <c r="M18" s="309">
        <f t="shared" ca="1" si="4"/>
        <v>100</v>
      </c>
      <c r="N18" s="392">
        <f ca="1">IFERROR(__xludf.DUMMYFUNCTION("IMPORTRANGE(""https://docs.google.com/spreadsheets/d/1C3CXT74ZlgGe6_JY_1olB1XN4rF0dxEuIIF-xsYjHgg/edit?usp=sharing"",""งบกองทุน!AD22"")"),30)</f>
        <v>30</v>
      </c>
      <c r="O18" s="392">
        <f ca="1">IFERROR(__xludf.DUMMYFUNCTION("IMPORTRANGE(""https://docs.google.com/spreadsheets/d/1C3CXT74ZlgGe6_JY_1olB1XN4rF0dxEuIIF-xsYjHgg/edit?usp=sharing"",""งบกองทุน!AE22"")"),10)</f>
        <v>10</v>
      </c>
      <c r="P18" s="308">
        <f ca="1">IFERROR(__xludf.DUMMYFUNCTION("IMPORTRANGE(""https://docs.google.com/spreadsheets/d/11923uPwbBZFjjGgGUA6NLw09EwE0CqkOc4q9oUmW1yo/edit?usp=sharing"",""เชียงใหม่!J313"")"),30)</f>
        <v>30</v>
      </c>
      <c r="Q18" s="309">
        <f t="shared" ca="1" si="6"/>
        <v>100</v>
      </c>
      <c r="R18" s="308">
        <f ca="1">IFERROR(__xludf.DUMMYFUNCTION("IMPORTRANGE(""https://docs.google.com/spreadsheets/d/11923uPwbBZFjjGgGUA6NLw09EwE0CqkOc4q9oUmW1yo/edit?usp=sharing"",""เชียงใหม่!J312"")"),10)</f>
        <v>10</v>
      </c>
      <c r="S18" s="309">
        <f t="shared" ca="1" si="7"/>
        <v>100</v>
      </c>
      <c r="T18" s="309">
        <f ca="1">IFERROR(__xludf.DUMMYFUNCTION("IMPORTRANGE(""https://docs.google.com/spreadsheets/d/11923uPwbBZFjjGgGUA6NLw09EwE0CqkOc4q9oUmW1yo/edit?usp=sharing"",""เชียงใหม่!J314"")"),10)</f>
        <v>10</v>
      </c>
      <c r="U18" s="309">
        <f ca="1">IFERROR(__xludf.DUMMYFUNCTION("IMPORTRANGE(""https://docs.google.com/spreadsheets/d/11923uPwbBZFjjGgGUA6NLw09EwE0CqkOc4q9oUmW1yo/edit?usp=sharing"",""เชียงใหม่!J315"")"),10)</f>
        <v>10</v>
      </c>
      <c r="V18" s="392">
        <f ca="1">IFERROR(__xludf.DUMMYFUNCTION("IMPORTRANGE(""https://docs.google.com/spreadsheets/d/1C3CXT74ZlgGe6_JY_1olB1XN4rF0dxEuIIF-xsYjHgg/edit?usp=sharing"",""งบกองทุน!AH22"")"),45)</f>
        <v>45</v>
      </c>
      <c r="W18" s="392">
        <f ca="1">IFERROR(__xludf.DUMMYFUNCTION("IMPORTRANGE(""https://docs.google.com/spreadsheets/d/1C3CXT74ZlgGe6_JY_1olB1XN4rF0dxEuIIF-xsYjHgg/edit?usp=sharing"",""งบกองทุน!AI22"")"),15)</f>
        <v>15</v>
      </c>
      <c r="X18" s="308">
        <f ca="1">IFERROR(__xludf.DUMMYFUNCTION("IMPORTRANGE(""https://docs.google.com/spreadsheets/d/11923uPwbBZFjjGgGUA6NLw09EwE0CqkOc4q9oUmW1yo/edit?usp=sharing"",""เชียงใหม่!J317"")"),45)</f>
        <v>45</v>
      </c>
      <c r="Y18" s="309">
        <f t="shared" ca="1" si="9"/>
        <v>100</v>
      </c>
      <c r="Z18" s="308">
        <f ca="1">IFERROR(__xludf.DUMMYFUNCTION("IMPORTRANGE(""https://docs.google.com/spreadsheets/d/11923uPwbBZFjjGgGUA6NLw09EwE0CqkOc4q9oUmW1yo/edit?usp=sharing"",""เชียงใหม่!J316"")"),15)</f>
        <v>15</v>
      </c>
      <c r="AA18" s="309">
        <f t="shared" ca="1" si="10"/>
        <v>100</v>
      </c>
      <c r="AB18" s="308">
        <f ca="1">IFERROR(__xludf.DUMMYFUNCTION("IMPORTRANGE(""https://docs.google.com/spreadsheets/d/11923uPwbBZFjjGgGUA6NLw09EwE0CqkOc4q9oUmW1yo/edit?usp=sharing"",""เชียงใหม่!J318"")"),15)</f>
        <v>15</v>
      </c>
      <c r="AC18" s="308">
        <f ca="1">IFERROR(__xludf.DUMMYFUNCTION("IMPORTRANGE(""https://docs.google.com/spreadsheets/d/11923uPwbBZFjjGgGUA6NLw09EwE0CqkOc4q9oUmW1yo/edit?usp=sharing"",""เชียงใหม่!J319"")"),15)</f>
        <v>15</v>
      </c>
      <c r="AD18" s="308">
        <f ca="1">IFERROR(__xludf.DUMMYFUNCTION("IMPORTRANGE(""https://docs.google.com/spreadsheets/d/11923uPwbBZFjjGgGUA6NLw09EwE0CqkOc4q9oUmW1yo/edit?usp=sharing"",""เชียงใหม่!J320"")"),15)</f>
        <v>15</v>
      </c>
      <c r="AE18" s="392">
        <f ca="1">IFERROR(__xludf.DUMMYFUNCTION("IMPORTRANGE(""https://docs.google.com/spreadsheets/d/1C3CXT74ZlgGe6_JY_1olB1XN4rF0dxEuIIF-xsYjHgg/edit?usp=sharing"",""งบกองทุน!AM22"")"),30)</f>
        <v>30</v>
      </c>
      <c r="AF18" s="392">
        <f ca="1">IFERROR(__xludf.DUMMYFUNCTION("IMPORTRANGE(""https://docs.google.com/spreadsheets/d/1C3CXT74ZlgGe6_JY_1olB1XN4rF0dxEuIIF-xsYjHgg/edit?usp=sharing"",""งบกองทุน!AN22"")"),10)</f>
        <v>10</v>
      </c>
      <c r="AG18" s="308">
        <f ca="1">IFERROR(__xludf.DUMMYFUNCTION("IMPORTRANGE(""https://docs.google.com/spreadsheets/d/11923uPwbBZFjjGgGUA6NLw09EwE0CqkOc4q9oUmW1yo/edit?usp=sharing"",""เชียงใหม่!J322"")"),30)</f>
        <v>30</v>
      </c>
      <c r="AH18" s="309">
        <f t="shared" ca="1" si="12"/>
        <v>100</v>
      </c>
      <c r="AI18" s="308">
        <f ca="1">IFERROR(__xludf.DUMMYFUNCTION("IMPORTRANGE(""https://docs.google.com/spreadsheets/d/11923uPwbBZFjjGgGUA6NLw09EwE0CqkOc4q9oUmW1yo/edit?usp=sharing"",""เชียงใหม่!J321"")"),10)</f>
        <v>10</v>
      </c>
      <c r="AJ18" s="309">
        <f t="shared" ca="1" si="13"/>
        <v>100</v>
      </c>
      <c r="AK18" s="308">
        <f ca="1">IFERROR(__xludf.DUMMYFUNCTION("IMPORTRANGE(""https://docs.google.com/spreadsheets/d/11923uPwbBZFjjGgGUA6NLw09EwE0CqkOc4q9oUmW1yo/edit?usp=sharing"",""เชียงใหม่!J323"")"),10)</f>
        <v>10</v>
      </c>
      <c r="AL18" s="308">
        <f ca="1">IFERROR(__xludf.DUMMYFUNCTION("IMPORTRANGE(""https://docs.google.com/spreadsheets/d/11923uPwbBZFjjGgGUA6NLw09EwE0CqkOc4q9oUmW1yo/edit?usp=sharing"",""เชียงใหม่!J324"")"),10)</f>
        <v>10</v>
      </c>
      <c r="AM18" s="308">
        <f t="shared" ca="1" si="56"/>
        <v>25</v>
      </c>
      <c r="AN18" s="308">
        <f ca="1">IFERROR(__xludf.DUMMYFUNCTION("IMPORTRANGE(""https://docs.google.com/spreadsheets/d/11923uPwbBZFjjGgGUA6NLw09EwE0CqkOc4q9oUmW1yo/edit?usp=sharing"",""เชียงใหม่!J325"")"),0)</f>
        <v>0</v>
      </c>
      <c r="AO18" s="309">
        <f t="shared" ca="1" si="15"/>
        <v>0</v>
      </c>
      <c r="AP18" s="392">
        <f ca="1">IFERROR(__xludf.DUMMYFUNCTION("IMPORTRANGE(""https://docs.google.com/spreadsheets/d/1C3CXT74ZlgGe6_JY_1olB1XN4rF0dxEuIIF-xsYjHgg/edit?usp=sharing"",""งบกองทุน!AR22"")"),10)</f>
        <v>10</v>
      </c>
      <c r="AQ18" s="308">
        <f ca="1">IFERROR(__xludf.DUMMYFUNCTION("IMPORTRANGE(""https://docs.google.com/spreadsheets/d/11923uPwbBZFjjGgGUA6NLw09EwE0CqkOc4q9oUmW1yo/edit?usp=sharing"",""เชียงใหม่!J326"")"),0)</f>
        <v>0</v>
      </c>
      <c r="AR18" s="308">
        <f ca="1">IFERROR(__xludf.DUMMYFUNCTION("IMPORTRANGE(""https://docs.google.com/spreadsheets/d/1C3CXT74ZlgGe6_JY_1olB1XN4rF0dxEuIIF-xsYjHgg/edit?usp=sharing"",""งบกองทุน!AS22"")"),15)</f>
        <v>15</v>
      </c>
      <c r="AS18" s="393">
        <f ca="1">IFERROR(__xludf.DUMMYFUNCTION("IMPORTRANGE(""https://docs.google.com/spreadsheets/d/11923uPwbBZFjjGgGUA6NLw09EwE0CqkOc4q9oUmW1yo/edit?usp=sharing"",""เชียงใหม่!J327"")"),0)</f>
        <v>0</v>
      </c>
    </row>
    <row r="19" spans="1:45" ht="24" customHeight="1">
      <c r="A19" s="303">
        <v>4</v>
      </c>
      <c r="B19" s="304" t="s">
        <v>43</v>
      </c>
      <c r="C19" s="391">
        <f t="shared" ca="1" si="52"/>
        <v>230370</v>
      </c>
      <c r="D19" s="306">
        <f ca="1">IFERROR(__xludf.DUMMYFUNCTION("IMPORTRANGE(""https://docs.google.com/spreadsheets/d/1C3CXT74ZlgGe6_JY_1olB1XN4rF0dxEuIIF-xsYjHgg/edit?usp=sharing"",""งบกองทุน!Z23"")"),0)</f>
        <v>0</v>
      </c>
      <c r="E19" s="306">
        <f ca="1">IFERROR(__xludf.DUMMYFUNCTION("IMPORTRANGE(""https://docs.google.com/spreadsheets/d/1C3CXT74ZlgGe6_JY_1olB1XN4rF0dxEuIIF-xsYjHgg/edit?usp=sharing"",""งบกองทุน!AA23"")"),230370)</f>
        <v>230370</v>
      </c>
      <c r="F19" s="307">
        <f ca="1">IFERROR(__xludf.DUMMYFUNCTION("IMPORTRANGE(""https://docs.google.com/spreadsheets/d/11923uPwbBZFjjGgGUA6NLw09EwE0CqkOc4q9oUmW1yo/edit?usp=sharing"",""ตาก!M299"")"),142349)</f>
        <v>142349</v>
      </c>
      <c r="G19" s="307">
        <f t="shared" ca="1" si="1"/>
        <v>61.791465902678297</v>
      </c>
      <c r="H19" s="308">
        <f t="shared" ref="H19:I19" ca="1" si="59">+N19+V19+AE19</f>
        <v>225</v>
      </c>
      <c r="I19" s="308">
        <f t="shared" ca="1" si="59"/>
        <v>75</v>
      </c>
      <c r="J19" s="308">
        <f t="shared" ca="1" si="54"/>
        <v>225</v>
      </c>
      <c r="K19" s="309">
        <f t="shared" ca="1" si="3"/>
        <v>100</v>
      </c>
      <c r="L19" s="308">
        <f t="shared" ca="1" si="55"/>
        <v>75</v>
      </c>
      <c r="M19" s="309">
        <f t="shared" ca="1" si="4"/>
        <v>100</v>
      </c>
      <c r="N19" s="394">
        <f ca="1">IFERROR(__xludf.DUMMYFUNCTION("IMPORTRANGE(""https://docs.google.com/spreadsheets/d/1C3CXT74ZlgGe6_JY_1olB1XN4rF0dxEuIIF-xsYjHgg/edit?usp=sharing"",""งบกองทุน!AD23"")"),0)</f>
        <v>0</v>
      </c>
      <c r="O19" s="394">
        <f ca="1">IFERROR(__xludf.DUMMYFUNCTION("IMPORTRANGE(""https://docs.google.com/spreadsheets/d/1C3CXT74ZlgGe6_JY_1olB1XN4rF0dxEuIIF-xsYjHgg/edit?usp=sharing"",""งบกองทุน!AE23"")"),0)</f>
        <v>0</v>
      </c>
      <c r="P19" s="308">
        <f ca="1">IFERROR(__xludf.DUMMYFUNCTION("IMPORTRANGE(""https://docs.google.com/spreadsheets/d/11923uPwbBZFjjGgGUA6NLw09EwE0CqkOc4q9oUmW1yo/edit?usp=sharing"",""ตาก!J313"")"),0)</f>
        <v>0</v>
      </c>
      <c r="Q19" s="309">
        <f t="shared" ca="1" si="6"/>
        <v>0</v>
      </c>
      <c r="R19" s="308">
        <f ca="1">IFERROR(__xludf.DUMMYFUNCTION("IMPORTRANGE(""https://docs.google.com/spreadsheets/d/11923uPwbBZFjjGgGUA6NLw09EwE0CqkOc4q9oUmW1yo/edit?usp=sharing"",""ตาก!J312"")"),0)</f>
        <v>0</v>
      </c>
      <c r="S19" s="309">
        <f t="shared" ca="1" si="7"/>
        <v>0</v>
      </c>
      <c r="T19" s="309">
        <f ca="1">IFERROR(__xludf.DUMMYFUNCTION("IMPORTRANGE(""https://docs.google.com/spreadsheets/d/11923uPwbBZFjjGgGUA6NLw09EwE0CqkOc4q9oUmW1yo/edit?usp=sharing"",""ตาก!J314"")"),0)</f>
        <v>0</v>
      </c>
      <c r="U19" s="309">
        <f ca="1">IFERROR(__xludf.DUMMYFUNCTION("IMPORTRANGE(""https://docs.google.com/spreadsheets/d/11923uPwbBZFjjGgGUA6NLw09EwE0CqkOc4q9oUmW1yo/edit?usp=sharing"",""ตาก!J315"")"),0)</f>
        <v>0</v>
      </c>
      <c r="V19" s="392">
        <f ca="1">IFERROR(__xludf.DUMMYFUNCTION("IMPORTRANGE(""https://docs.google.com/spreadsheets/d/1C3CXT74ZlgGe6_JY_1olB1XN4rF0dxEuIIF-xsYjHgg/edit?usp=sharing"",""งบกองทุน!AH23"")"),195)</f>
        <v>195</v>
      </c>
      <c r="W19" s="392">
        <f ca="1">IFERROR(__xludf.DUMMYFUNCTION("IMPORTRANGE(""https://docs.google.com/spreadsheets/d/1C3CXT74ZlgGe6_JY_1olB1XN4rF0dxEuIIF-xsYjHgg/edit?usp=sharing"",""งบกองทุน!AI23"")"),65)</f>
        <v>65</v>
      </c>
      <c r="X19" s="308">
        <f ca="1">IFERROR(__xludf.DUMMYFUNCTION("IMPORTRANGE(""https://docs.google.com/spreadsheets/d/11923uPwbBZFjjGgGUA6NLw09EwE0CqkOc4q9oUmW1yo/edit?usp=sharing"",""ตาก!J317"")"),195)</f>
        <v>195</v>
      </c>
      <c r="Y19" s="309">
        <f t="shared" ca="1" si="9"/>
        <v>100</v>
      </c>
      <c r="Z19" s="308">
        <f ca="1">IFERROR(__xludf.DUMMYFUNCTION("IMPORTRANGE(""https://docs.google.com/spreadsheets/d/11923uPwbBZFjjGgGUA6NLw09EwE0CqkOc4q9oUmW1yo/edit?usp=sharing"",""ตาก!J316"")"),65)</f>
        <v>65</v>
      </c>
      <c r="AA19" s="309">
        <f t="shared" ca="1" si="10"/>
        <v>100</v>
      </c>
      <c r="AB19" s="308">
        <f ca="1">IFERROR(__xludf.DUMMYFUNCTION("IMPORTRANGE(""https://docs.google.com/spreadsheets/d/11923uPwbBZFjjGgGUA6NLw09EwE0CqkOc4q9oUmW1yo/edit?usp=sharing"",""ตาก!J318"")"),65)</f>
        <v>65</v>
      </c>
      <c r="AC19" s="308">
        <f ca="1">IFERROR(__xludf.DUMMYFUNCTION("IMPORTRANGE(""https://docs.google.com/spreadsheets/d/11923uPwbBZFjjGgGUA6NLw09EwE0CqkOc4q9oUmW1yo/edit?usp=sharing"",""ตาก!J319"")"),65)</f>
        <v>65</v>
      </c>
      <c r="AD19" s="308">
        <f ca="1">IFERROR(__xludf.DUMMYFUNCTION("IMPORTRANGE(""https://docs.google.com/spreadsheets/d/11923uPwbBZFjjGgGUA6NLw09EwE0CqkOc4q9oUmW1yo/edit?usp=sharing"",""ตาก!J320"")"),65)</f>
        <v>65</v>
      </c>
      <c r="AE19" s="392">
        <f ca="1">IFERROR(__xludf.DUMMYFUNCTION("IMPORTRANGE(""https://docs.google.com/spreadsheets/d/1C3CXT74ZlgGe6_JY_1olB1XN4rF0dxEuIIF-xsYjHgg/edit?usp=sharing"",""งบกองทุน!AM23"")"),30)</f>
        <v>30</v>
      </c>
      <c r="AF19" s="392">
        <f ca="1">IFERROR(__xludf.DUMMYFUNCTION("IMPORTRANGE(""https://docs.google.com/spreadsheets/d/1C3CXT74ZlgGe6_JY_1olB1XN4rF0dxEuIIF-xsYjHgg/edit?usp=sharing"",""งบกองทุน!AN23"")"),10)</f>
        <v>10</v>
      </c>
      <c r="AG19" s="308">
        <f ca="1">IFERROR(__xludf.DUMMYFUNCTION("IMPORTRANGE(""https://docs.google.com/spreadsheets/d/11923uPwbBZFjjGgGUA6NLw09EwE0CqkOc4q9oUmW1yo/edit?usp=sharing"",""ตาก!J322"")"),30)</f>
        <v>30</v>
      </c>
      <c r="AH19" s="309">
        <f t="shared" ca="1" si="12"/>
        <v>100</v>
      </c>
      <c r="AI19" s="308">
        <f ca="1">IFERROR(__xludf.DUMMYFUNCTION("IMPORTRANGE(""https://docs.google.com/spreadsheets/d/11923uPwbBZFjjGgGUA6NLw09EwE0CqkOc4q9oUmW1yo/edit?usp=sharing"",""ตาก!J321"")"),10)</f>
        <v>10</v>
      </c>
      <c r="AJ19" s="309">
        <f t="shared" ca="1" si="13"/>
        <v>100</v>
      </c>
      <c r="AK19" s="308">
        <f ca="1">IFERROR(__xludf.DUMMYFUNCTION("IMPORTRANGE(""https://docs.google.com/spreadsheets/d/11923uPwbBZFjjGgGUA6NLw09EwE0CqkOc4q9oUmW1yo/edit?usp=sharing"",""ตาก!J323"")"),10)</f>
        <v>10</v>
      </c>
      <c r="AL19" s="308">
        <f ca="1">IFERROR(__xludf.DUMMYFUNCTION("IMPORTRANGE(""https://docs.google.com/spreadsheets/d/11923uPwbBZFjjGgGUA6NLw09EwE0CqkOc4q9oUmW1yo/edit?usp=sharing"",""ตาก!J324"")"),10)</f>
        <v>10</v>
      </c>
      <c r="AM19" s="308">
        <f t="shared" ca="1" si="56"/>
        <v>65</v>
      </c>
      <c r="AN19" s="308">
        <f ca="1">IFERROR(__xludf.DUMMYFUNCTION("IMPORTRANGE(""https://docs.google.com/spreadsheets/d/11923uPwbBZFjjGgGUA6NLw09EwE0CqkOc4q9oUmW1yo/edit?usp=sharing"",""ตาก!J325"")"),0)</f>
        <v>0</v>
      </c>
      <c r="AO19" s="309">
        <f t="shared" ca="1" si="15"/>
        <v>0</v>
      </c>
      <c r="AP19" s="394">
        <f ca="1">IFERROR(__xludf.DUMMYFUNCTION("IMPORTRANGE(""https://docs.google.com/spreadsheets/d/1C3CXT74ZlgGe6_JY_1olB1XN4rF0dxEuIIF-xsYjHgg/edit?usp=sharing"",""งบกองทุน!AR23"")"),0)</f>
        <v>0</v>
      </c>
      <c r="AQ19" s="308">
        <f ca="1">IFERROR(__xludf.DUMMYFUNCTION("IMPORTRANGE(""https://docs.google.com/spreadsheets/d/11923uPwbBZFjjGgGUA6NLw09EwE0CqkOc4q9oUmW1yo/edit?usp=sharing"",""ตาก!J326"")"),0)</f>
        <v>0</v>
      </c>
      <c r="AR19" s="308">
        <f ca="1">IFERROR(__xludf.DUMMYFUNCTION("IMPORTRANGE(""https://docs.google.com/spreadsheets/d/1C3CXT74ZlgGe6_JY_1olB1XN4rF0dxEuIIF-xsYjHgg/edit?usp=sharing"",""งบกองทุน!AS23"")"),65)</f>
        <v>65</v>
      </c>
      <c r="AS19" s="393">
        <f ca="1">IFERROR(__xludf.DUMMYFUNCTION("IMPORTRANGE(""https://docs.google.com/spreadsheets/d/11923uPwbBZFjjGgGUA6NLw09EwE0CqkOc4q9oUmW1yo/edit?usp=sharing"",""ตาก!J327"")"),0)</f>
        <v>0</v>
      </c>
    </row>
    <row r="20" spans="1:45" ht="21" customHeight="1">
      <c r="A20" s="303">
        <v>5</v>
      </c>
      <c r="B20" s="304" t="s">
        <v>44</v>
      </c>
      <c r="C20" s="391">
        <f t="shared" ca="1" si="52"/>
        <v>159950</v>
      </c>
      <c r="D20" s="306">
        <f ca="1">IFERROR(__xludf.DUMMYFUNCTION("IMPORTRANGE(""https://docs.google.com/spreadsheets/d/1C3CXT74ZlgGe6_JY_1olB1XN4rF0dxEuIIF-xsYjHgg/edit?usp=sharing"",""งบกองทุน!Z24"")"),0)</f>
        <v>0</v>
      </c>
      <c r="E20" s="306">
        <f ca="1">IFERROR(__xludf.DUMMYFUNCTION("IMPORTRANGE(""https://docs.google.com/spreadsheets/d/1C3CXT74ZlgGe6_JY_1olB1XN4rF0dxEuIIF-xsYjHgg/edit?usp=sharing"",""งบกองทุน!AA24"")"),159950)</f>
        <v>159950</v>
      </c>
      <c r="F20" s="307">
        <f ca="1">IFERROR(__xludf.DUMMYFUNCTION("IMPORTRANGE(""https://docs.google.com/spreadsheets/d/11923uPwbBZFjjGgGUA6NLw09EwE0CqkOc4q9oUmW1yo/edit?usp=sharing"",""นครสวรรค์!M299"")"),132250)</f>
        <v>132250</v>
      </c>
      <c r="G20" s="307">
        <f t="shared" ca="1" si="1"/>
        <v>82.682088152547678</v>
      </c>
      <c r="H20" s="308">
        <f t="shared" ref="H20:I20" ca="1" si="60">+N20+V20+AE20</f>
        <v>135</v>
      </c>
      <c r="I20" s="308">
        <f t="shared" ca="1" si="60"/>
        <v>45</v>
      </c>
      <c r="J20" s="308">
        <f t="shared" ca="1" si="54"/>
        <v>141</v>
      </c>
      <c r="K20" s="309">
        <f t="shared" ca="1" si="3"/>
        <v>104.44444444444444</v>
      </c>
      <c r="L20" s="308">
        <f t="shared" ca="1" si="55"/>
        <v>47</v>
      </c>
      <c r="M20" s="309">
        <f t="shared" ca="1" si="4"/>
        <v>104.44444444444444</v>
      </c>
      <c r="N20" s="392">
        <f ca="1">IFERROR(__xludf.DUMMYFUNCTION("IMPORTRANGE(""https://docs.google.com/spreadsheets/d/1C3CXT74ZlgGe6_JY_1olB1XN4rF0dxEuIIF-xsYjHgg/edit?usp=sharing"",""งบกองทุน!AD24"")"),30)</f>
        <v>30</v>
      </c>
      <c r="O20" s="392">
        <f ca="1">IFERROR(__xludf.DUMMYFUNCTION("IMPORTRANGE(""https://docs.google.com/spreadsheets/d/1C3CXT74ZlgGe6_JY_1olB1XN4rF0dxEuIIF-xsYjHgg/edit?usp=sharing"",""งบกองทุน!AE24"")"),10)</f>
        <v>10</v>
      </c>
      <c r="P20" s="308">
        <f ca="1">IFERROR(__xludf.DUMMYFUNCTION("IMPORTRANGE(""https://docs.google.com/spreadsheets/d/11923uPwbBZFjjGgGUA6NLw09EwE0CqkOc4q9oUmW1yo/edit?usp=sharing"",""นครสวรรค์!J313"")"),30)</f>
        <v>30</v>
      </c>
      <c r="Q20" s="309">
        <f t="shared" ca="1" si="6"/>
        <v>100</v>
      </c>
      <c r="R20" s="308">
        <f ca="1">IFERROR(__xludf.DUMMYFUNCTION("IMPORTRANGE(""https://docs.google.com/spreadsheets/d/11923uPwbBZFjjGgGUA6NLw09EwE0CqkOc4q9oUmW1yo/edit?usp=sharing"",""นครสวรรค์!J312"")"),10)</f>
        <v>10</v>
      </c>
      <c r="S20" s="309">
        <f t="shared" ca="1" si="7"/>
        <v>100</v>
      </c>
      <c r="T20" s="309">
        <f ca="1">IFERROR(__xludf.DUMMYFUNCTION("IMPORTRANGE(""https://docs.google.com/spreadsheets/d/11923uPwbBZFjjGgGUA6NLw09EwE0CqkOc4q9oUmW1yo/edit?usp=sharing"",""นครสวรรค์!J314"")"),10)</f>
        <v>10</v>
      </c>
      <c r="U20" s="309">
        <f ca="1">IFERROR(__xludf.DUMMYFUNCTION("IMPORTRANGE(""https://docs.google.com/spreadsheets/d/11923uPwbBZFjjGgGUA6NLw09EwE0CqkOc4q9oUmW1yo/edit?usp=sharing"",""นครสวรรค์!J315"")"),10)</f>
        <v>10</v>
      </c>
      <c r="V20" s="392">
        <f ca="1">IFERROR(__xludf.DUMMYFUNCTION("IMPORTRANGE(""https://docs.google.com/spreadsheets/d/1C3CXT74ZlgGe6_JY_1olB1XN4rF0dxEuIIF-xsYjHgg/edit?usp=sharing"",""งบกองทุน!AH24"")"),75)</f>
        <v>75</v>
      </c>
      <c r="W20" s="392">
        <f ca="1">IFERROR(__xludf.DUMMYFUNCTION("IMPORTRANGE(""https://docs.google.com/spreadsheets/d/1C3CXT74ZlgGe6_JY_1olB1XN4rF0dxEuIIF-xsYjHgg/edit?usp=sharing"",""งบกองทุน!AI24"")"),25)</f>
        <v>25</v>
      </c>
      <c r="X20" s="308">
        <f ca="1">IFERROR(__xludf.DUMMYFUNCTION("IMPORTRANGE(""https://docs.google.com/spreadsheets/d/11923uPwbBZFjjGgGUA6NLw09EwE0CqkOc4q9oUmW1yo/edit?usp=sharing"",""นครสวรรค์!J317"")"),75)</f>
        <v>75</v>
      </c>
      <c r="Y20" s="309">
        <f t="shared" ca="1" si="9"/>
        <v>100</v>
      </c>
      <c r="Z20" s="308">
        <f ca="1">IFERROR(__xludf.DUMMYFUNCTION("IMPORTRANGE(""https://docs.google.com/spreadsheets/d/11923uPwbBZFjjGgGUA6NLw09EwE0CqkOc4q9oUmW1yo/edit?usp=sharing"",""นครสวรรค์!J316"")"),25)</f>
        <v>25</v>
      </c>
      <c r="AA20" s="309">
        <f t="shared" ca="1" si="10"/>
        <v>100</v>
      </c>
      <c r="AB20" s="308">
        <f ca="1">IFERROR(__xludf.DUMMYFUNCTION("IMPORTRANGE(""https://docs.google.com/spreadsheets/d/11923uPwbBZFjjGgGUA6NLw09EwE0CqkOc4q9oUmW1yo/edit?usp=sharing"",""นครสวรรค์!J318"")"),25)</f>
        <v>25</v>
      </c>
      <c r="AC20" s="308">
        <f ca="1">IFERROR(__xludf.DUMMYFUNCTION("IMPORTRANGE(""https://docs.google.com/spreadsheets/d/11923uPwbBZFjjGgGUA6NLw09EwE0CqkOc4q9oUmW1yo/edit?usp=sharing"",""นครสวรรค์!J319"")"),25)</f>
        <v>25</v>
      </c>
      <c r="AD20" s="308">
        <f ca="1">IFERROR(__xludf.DUMMYFUNCTION("IMPORTRANGE(""https://docs.google.com/spreadsheets/d/11923uPwbBZFjjGgGUA6NLw09EwE0CqkOc4q9oUmW1yo/edit?usp=sharing"",""นครสวรรค์!J320"")"),25)</f>
        <v>25</v>
      </c>
      <c r="AE20" s="392">
        <f ca="1">IFERROR(__xludf.DUMMYFUNCTION("IMPORTRANGE(""https://docs.google.com/spreadsheets/d/1C3CXT74ZlgGe6_JY_1olB1XN4rF0dxEuIIF-xsYjHgg/edit?usp=sharing"",""งบกองทุน!AM24"")"),30)</f>
        <v>30</v>
      </c>
      <c r="AF20" s="392">
        <f ca="1">IFERROR(__xludf.DUMMYFUNCTION("IMPORTRANGE(""https://docs.google.com/spreadsheets/d/1C3CXT74ZlgGe6_JY_1olB1XN4rF0dxEuIIF-xsYjHgg/edit?usp=sharing"",""งบกองทุน!AN24"")"),10)</f>
        <v>10</v>
      </c>
      <c r="AG20" s="308">
        <f ca="1">IFERROR(__xludf.DUMMYFUNCTION("IMPORTRANGE(""https://docs.google.com/spreadsheets/d/11923uPwbBZFjjGgGUA6NLw09EwE0CqkOc4q9oUmW1yo/edit?usp=sharing"",""นครสวรรค์!J322"")"),36)</f>
        <v>36</v>
      </c>
      <c r="AH20" s="309">
        <f t="shared" ca="1" si="12"/>
        <v>120</v>
      </c>
      <c r="AI20" s="308">
        <f ca="1">IFERROR(__xludf.DUMMYFUNCTION("IMPORTRANGE(""https://docs.google.com/spreadsheets/d/11923uPwbBZFjjGgGUA6NLw09EwE0CqkOc4q9oUmW1yo/edit?usp=sharing"",""นครสวรรค์!J321"")"),12)</f>
        <v>12</v>
      </c>
      <c r="AJ20" s="309">
        <f t="shared" ca="1" si="13"/>
        <v>120</v>
      </c>
      <c r="AK20" s="308">
        <f ca="1">IFERROR(__xludf.DUMMYFUNCTION("IMPORTRANGE(""https://docs.google.com/spreadsheets/d/11923uPwbBZFjjGgGUA6NLw09EwE0CqkOc4q9oUmW1yo/edit?usp=sharing"",""นครสวรรค์!J323"")"),12)</f>
        <v>12</v>
      </c>
      <c r="AL20" s="308">
        <f ca="1">IFERROR(__xludf.DUMMYFUNCTION("IMPORTRANGE(""https://docs.google.com/spreadsheets/d/11923uPwbBZFjjGgGUA6NLw09EwE0CqkOc4q9oUmW1yo/edit?usp=sharing"",""นครสวรรค์!J324"")"),12)</f>
        <v>12</v>
      </c>
      <c r="AM20" s="308">
        <f t="shared" ca="1" si="56"/>
        <v>35</v>
      </c>
      <c r="AN20" s="308">
        <f ca="1">IFERROR(__xludf.DUMMYFUNCTION("IMPORTRANGE(""https://docs.google.com/spreadsheets/d/11923uPwbBZFjjGgGUA6NLw09EwE0CqkOc4q9oUmW1yo/edit?usp=sharing"",""นครสวรรค์!J325"")"),35)</f>
        <v>35</v>
      </c>
      <c r="AO20" s="309">
        <f t="shared" ca="1" si="15"/>
        <v>100</v>
      </c>
      <c r="AP20" s="392">
        <f ca="1">IFERROR(__xludf.DUMMYFUNCTION("IMPORTRANGE(""https://docs.google.com/spreadsheets/d/1C3CXT74ZlgGe6_JY_1olB1XN4rF0dxEuIIF-xsYjHgg/edit?usp=sharing"",""งบกองทุน!AR24"")"),10)</f>
        <v>10</v>
      </c>
      <c r="AQ20" s="308">
        <f ca="1">IFERROR(__xludf.DUMMYFUNCTION("IMPORTRANGE(""https://docs.google.com/spreadsheets/d/11923uPwbBZFjjGgGUA6NLw09EwE0CqkOc4q9oUmW1yo/edit?usp=sharing"",""นครสวรรค์!J326"")"),10)</f>
        <v>10</v>
      </c>
      <c r="AR20" s="308">
        <f ca="1">IFERROR(__xludf.DUMMYFUNCTION("IMPORTRANGE(""https://docs.google.com/spreadsheets/d/1C3CXT74ZlgGe6_JY_1olB1XN4rF0dxEuIIF-xsYjHgg/edit?usp=sharing"",""งบกองทุน!AS24"")"),25)</f>
        <v>25</v>
      </c>
      <c r="AS20" s="393">
        <f ca="1">IFERROR(__xludf.DUMMYFUNCTION("IMPORTRANGE(""https://docs.google.com/spreadsheets/d/11923uPwbBZFjjGgGUA6NLw09EwE0CqkOc4q9oUmW1yo/edit?usp=sharing"",""นครสวรรค์!J327"")"),25)</f>
        <v>25</v>
      </c>
    </row>
    <row r="21" spans="1:45" ht="21" customHeight="1">
      <c r="A21" s="303">
        <v>6</v>
      </c>
      <c r="B21" s="304" t="s">
        <v>45</v>
      </c>
      <c r="C21" s="391">
        <f t="shared" ca="1" si="52"/>
        <v>172800</v>
      </c>
      <c r="D21" s="306">
        <f ca="1">IFERROR(__xludf.DUMMYFUNCTION("IMPORTRANGE(""https://docs.google.com/spreadsheets/d/1C3CXT74ZlgGe6_JY_1olB1XN4rF0dxEuIIF-xsYjHgg/edit?usp=sharing"",""งบกองทุน!Z25"")"),0)</f>
        <v>0</v>
      </c>
      <c r="E21" s="306">
        <f ca="1">IFERROR(__xludf.DUMMYFUNCTION("IMPORTRANGE(""https://docs.google.com/spreadsheets/d/1C3CXT74ZlgGe6_JY_1olB1XN4rF0dxEuIIF-xsYjHgg/edit?usp=sharing"",""งบกองทุน!AA25"")"),172800)</f>
        <v>172800</v>
      </c>
      <c r="F21" s="307">
        <f ca="1">IFERROR(__xludf.DUMMYFUNCTION("IMPORTRANGE(""https://docs.google.com/spreadsheets/d/11923uPwbBZFjjGgGUA6NLw09EwE0CqkOc4q9oUmW1yo/edit?usp=sharing"",""น่าน!M299"")"),96503)</f>
        <v>96503</v>
      </c>
      <c r="G21" s="307">
        <f t="shared" ca="1" si="1"/>
        <v>55.846643518518519</v>
      </c>
      <c r="H21" s="308">
        <f t="shared" ref="H21:I21" ca="1" si="61">+N21+V21+AE21</f>
        <v>150</v>
      </c>
      <c r="I21" s="308">
        <f t="shared" ca="1" si="61"/>
        <v>50</v>
      </c>
      <c r="J21" s="308">
        <f t="shared" ca="1" si="54"/>
        <v>120</v>
      </c>
      <c r="K21" s="309">
        <f t="shared" ca="1" si="3"/>
        <v>80</v>
      </c>
      <c r="L21" s="308">
        <f t="shared" ca="1" si="55"/>
        <v>20</v>
      </c>
      <c r="M21" s="309">
        <f t="shared" ca="1" si="4"/>
        <v>40</v>
      </c>
      <c r="N21" s="392">
        <f ca="1">IFERROR(__xludf.DUMMYFUNCTION("IMPORTRANGE(""https://docs.google.com/spreadsheets/d/1C3CXT74ZlgGe6_JY_1olB1XN4rF0dxEuIIF-xsYjHgg/edit?usp=sharing"",""งบกองทุน!AD25"")"),30)</f>
        <v>30</v>
      </c>
      <c r="O21" s="392">
        <f ca="1">IFERROR(__xludf.DUMMYFUNCTION("IMPORTRANGE(""https://docs.google.com/spreadsheets/d/1C3CXT74ZlgGe6_JY_1olB1XN4rF0dxEuIIF-xsYjHgg/edit?usp=sharing"",""งบกองทุน!AE25"")"),10)</f>
        <v>10</v>
      </c>
      <c r="P21" s="308">
        <f ca="1">IFERROR(__xludf.DUMMYFUNCTION("IMPORTRANGE(""https://docs.google.com/spreadsheets/d/11923uPwbBZFjjGgGUA6NLw09EwE0CqkOc4q9oUmW1yo/edit?usp=sharing"",""น่าน!J313"")"),30)</f>
        <v>30</v>
      </c>
      <c r="Q21" s="309">
        <f t="shared" ca="1" si="6"/>
        <v>100</v>
      </c>
      <c r="R21" s="308">
        <f ca="1">IFERROR(__xludf.DUMMYFUNCTION("IMPORTRANGE(""https://docs.google.com/spreadsheets/d/11923uPwbBZFjjGgGUA6NLw09EwE0CqkOc4q9oUmW1yo/edit?usp=sharing"",""น่าน!J312"")"),10)</f>
        <v>10</v>
      </c>
      <c r="S21" s="309">
        <f t="shared" ca="1" si="7"/>
        <v>100</v>
      </c>
      <c r="T21" s="309">
        <f ca="1">IFERROR(__xludf.DUMMYFUNCTION("IMPORTRANGE(""https://docs.google.com/spreadsheets/d/11923uPwbBZFjjGgGUA6NLw09EwE0CqkOc4q9oUmW1yo/edit?usp=sharing"",""น่าน!J314"")"),10)</f>
        <v>10</v>
      </c>
      <c r="U21" s="309">
        <f ca="1">IFERROR(__xludf.DUMMYFUNCTION("IMPORTRANGE(""https://docs.google.com/spreadsheets/d/11923uPwbBZFjjGgGUA6NLw09EwE0CqkOc4q9oUmW1yo/edit?usp=sharing"",""น่าน!J315"")"),10)</f>
        <v>10</v>
      </c>
      <c r="V21" s="392">
        <f ca="1">IFERROR(__xludf.DUMMYFUNCTION("IMPORTRANGE(""https://docs.google.com/spreadsheets/d/1C3CXT74ZlgGe6_JY_1olB1XN4rF0dxEuIIF-xsYjHgg/edit?usp=sharing"",""งบกองทุน!AH25"")"),90)</f>
        <v>90</v>
      </c>
      <c r="W21" s="392">
        <f ca="1">IFERROR(__xludf.DUMMYFUNCTION("IMPORTRANGE(""https://docs.google.com/spreadsheets/d/1C3CXT74ZlgGe6_JY_1olB1XN4rF0dxEuIIF-xsYjHgg/edit?usp=sharing"",""งบกองทุน!AI25"")"),30)</f>
        <v>30</v>
      </c>
      <c r="X21" s="308">
        <f ca="1">IFERROR(__xludf.DUMMYFUNCTION("IMPORTRANGE(""https://docs.google.com/spreadsheets/d/11923uPwbBZFjjGgGUA6NLw09EwE0CqkOc4q9oUmW1yo/edit?usp=sharing"",""น่าน!J317"")"),60)</f>
        <v>60</v>
      </c>
      <c r="Y21" s="309">
        <f t="shared" ca="1" si="9"/>
        <v>66.666666666666671</v>
      </c>
      <c r="Z21" s="308">
        <f ca="1">IFERROR(__xludf.DUMMYFUNCTION("IMPORTRANGE(""https://docs.google.com/spreadsheets/d/11923uPwbBZFjjGgGUA6NLw09EwE0CqkOc4q9oUmW1yo/edit?usp=sharing"",""น่าน!J316"")"),0)</f>
        <v>0</v>
      </c>
      <c r="AA21" s="309">
        <f t="shared" ca="1" si="10"/>
        <v>0</v>
      </c>
      <c r="AB21" s="308">
        <f ca="1">IFERROR(__xludf.DUMMYFUNCTION("IMPORTRANGE(""https://docs.google.com/spreadsheets/d/11923uPwbBZFjjGgGUA6NLw09EwE0CqkOc4q9oUmW1yo/edit?usp=sharing"",""น่าน!J318"")"),30)</f>
        <v>30</v>
      </c>
      <c r="AC21" s="308">
        <f ca="1">IFERROR(__xludf.DUMMYFUNCTION("IMPORTRANGE(""https://docs.google.com/spreadsheets/d/11923uPwbBZFjjGgGUA6NLw09EwE0CqkOc4q9oUmW1yo/edit?usp=sharing"",""น่าน!J319"")"),30)</f>
        <v>30</v>
      </c>
      <c r="AD21" s="308">
        <f ca="1">IFERROR(__xludf.DUMMYFUNCTION("IMPORTRANGE(""https://docs.google.com/spreadsheets/d/11923uPwbBZFjjGgGUA6NLw09EwE0CqkOc4q9oUmW1yo/edit?usp=sharing"",""น่าน!J320"")"),0)</f>
        <v>0</v>
      </c>
      <c r="AE21" s="392">
        <f ca="1">IFERROR(__xludf.DUMMYFUNCTION("IMPORTRANGE(""https://docs.google.com/spreadsheets/d/1C3CXT74ZlgGe6_JY_1olB1XN4rF0dxEuIIF-xsYjHgg/edit?usp=sharing"",""งบกองทุน!AM25"")"),30)</f>
        <v>30</v>
      </c>
      <c r="AF21" s="392">
        <f ca="1">IFERROR(__xludf.DUMMYFUNCTION("IMPORTRANGE(""https://docs.google.com/spreadsheets/d/1C3CXT74ZlgGe6_JY_1olB1XN4rF0dxEuIIF-xsYjHgg/edit?usp=sharing"",""งบกองทุน!AN25"")"),10)</f>
        <v>10</v>
      </c>
      <c r="AG21" s="308">
        <f ca="1">IFERROR(__xludf.DUMMYFUNCTION("IMPORTRANGE(""https://docs.google.com/spreadsheets/d/11923uPwbBZFjjGgGUA6NLw09EwE0CqkOc4q9oUmW1yo/edit?usp=sharing"",""น่าน!J322"")"),30)</f>
        <v>30</v>
      </c>
      <c r="AH21" s="309">
        <f t="shared" ca="1" si="12"/>
        <v>100</v>
      </c>
      <c r="AI21" s="308">
        <f ca="1">IFERROR(__xludf.DUMMYFUNCTION("IMPORTRANGE(""https://docs.google.com/spreadsheets/d/11923uPwbBZFjjGgGUA6NLw09EwE0CqkOc4q9oUmW1yo/edit?usp=sharing"",""น่าน!J321"")"),10)</f>
        <v>10</v>
      </c>
      <c r="AJ21" s="309">
        <f t="shared" ca="1" si="13"/>
        <v>100</v>
      </c>
      <c r="AK21" s="308">
        <f ca="1">IFERROR(__xludf.DUMMYFUNCTION("IMPORTRANGE(""https://docs.google.com/spreadsheets/d/11923uPwbBZFjjGgGUA6NLw09EwE0CqkOc4q9oUmW1yo/edit?usp=sharing"",""น่าน!J323"")"),10)</f>
        <v>10</v>
      </c>
      <c r="AL21" s="308">
        <f ca="1">IFERROR(__xludf.DUMMYFUNCTION("IMPORTRANGE(""https://docs.google.com/spreadsheets/d/11923uPwbBZFjjGgGUA6NLw09EwE0CqkOc4q9oUmW1yo/edit?usp=sharing"",""น่าน!J324"")"),10)</f>
        <v>10</v>
      </c>
      <c r="AM21" s="308">
        <f t="shared" ca="1" si="56"/>
        <v>40</v>
      </c>
      <c r="AN21" s="308">
        <f ca="1">IFERROR(__xludf.DUMMYFUNCTION("IMPORTRANGE(""https://docs.google.com/spreadsheets/d/11923uPwbBZFjjGgGUA6NLw09EwE0CqkOc4q9oUmW1yo/edit?usp=sharing"",""น่าน!J325"")"),0)</f>
        <v>0</v>
      </c>
      <c r="AO21" s="309">
        <f t="shared" ca="1" si="15"/>
        <v>0</v>
      </c>
      <c r="AP21" s="392">
        <f ca="1">IFERROR(__xludf.DUMMYFUNCTION("IMPORTRANGE(""https://docs.google.com/spreadsheets/d/1C3CXT74ZlgGe6_JY_1olB1XN4rF0dxEuIIF-xsYjHgg/edit?usp=sharing"",""งบกองทุน!AR25"")"),10)</f>
        <v>10</v>
      </c>
      <c r="AQ21" s="308">
        <f ca="1">IFERROR(__xludf.DUMMYFUNCTION("IMPORTRANGE(""https://docs.google.com/spreadsheets/d/11923uPwbBZFjjGgGUA6NLw09EwE0CqkOc4q9oUmW1yo/edit?usp=sharing"",""น่าน!J326"")"),0)</f>
        <v>0</v>
      </c>
      <c r="AR21" s="308">
        <f ca="1">IFERROR(__xludf.DUMMYFUNCTION("IMPORTRANGE(""https://docs.google.com/spreadsheets/d/1C3CXT74ZlgGe6_JY_1olB1XN4rF0dxEuIIF-xsYjHgg/edit?usp=sharing"",""งบกองทุน!AS25"")"),30)</f>
        <v>30</v>
      </c>
      <c r="AS21" s="393">
        <f ca="1">IFERROR(__xludf.DUMMYFUNCTION("IMPORTRANGE(""https://docs.google.com/spreadsheets/d/11923uPwbBZFjjGgGUA6NLw09EwE0CqkOc4q9oUmW1yo/edit?usp=sharing"",""น่าน!J327"")"),0)</f>
        <v>0</v>
      </c>
    </row>
    <row r="22" spans="1:45" ht="21" customHeight="1">
      <c r="A22" s="303">
        <v>7</v>
      </c>
      <c r="B22" s="304" t="s">
        <v>46</v>
      </c>
      <c r="C22" s="391">
        <f t="shared" ca="1" si="52"/>
        <v>271920</v>
      </c>
      <c r="D22" s="306">
        <f ca="1">IFERROR(__xludf.DUMMYFUNCTION("IMPORTRANGE(""https://docs.google.com/spreadsheets/d/1C3CXT74ZlgGe6_JY_1olB1XN4rF0dxEuIIF-xsYjHgg/edit?usp=sharing"",""งบกองทุน!Z26"")"),0)</f>
        <v>0</v>
      </c>
      <c r="E22" s="306">
        <f ca="1">IFERROR(__xludf.DUMMYFUNCTION("IMPORTRANGE(""https://docs.google.com/spreadsheets/d/1C3CXT74ZlgGe6_JY_1olB1XN4rF0dxEuIIF-xsYjHgg/edit?usp=sharing"",""งบกองทุน!AA26"")"),271920)</f>
        <v>271920</v>
      </c>
      <c r="F22" s="307">
        <f ca="1">IFERROR(__xludf.DUMMYFUNCTION("IMPORTRANGE(""https://docs.google.com/spreadsheets/d/11923uPwbBZFjjGgGUA6NLw09EwE0CqkOc4q9oUmW1yo/edit?usp=sharing"",""พะเยา!M299"")"),153748)</f>
        <v>153748</v>
      </c>
      <c r="G22" s="307">
        <f t="shared" ca="1" si="1"/>
        <v>56.541629891144453</v>
      </c>
      <c r="H22" s="308">
        <f t="shared" ref="H22:I22" ca="1" si="62">+N22+V22+AE22</f>
        <v>261</v>
      </c>
      <c r="I22" s="308">
        <f t="shared" ca="1" si="62"/>
        <v>87</v>
      </c>
      <c r="J22" s="308">
        <f t="shared" ca="1" si="54"/>
        <v>261</v>
      </c>
      <c r="K22" s="309">
        <f t="shared" ca="1" si="3"/>
        <v>100</v>
      </c>
      <c r="L22" s="308">
        <f t="shared" ca="1" si="55"/>
        <v>87</v>
      </c>
      <c r="M22" s="309">
        <f t="shared" ca="1" si="4"/>
        <v>100</v>
      </c>
      <c r="N22" s="392">
        <f ca="1">IFERROR(__xludf.DUMMYFUNCTION("IMPORTRANGE(""https://docs.google.com/spreadsheets/d/1C3CXT74ZlgGe6_JY_1olB1XN4rF0dxEuIIF-xsYjHgg/edit?usp=sharing"",""งบกองทุน!AD26"")"),60)</f>
        <v>60</v>
      </c>
      <c r="O22" s="392">
        <f ca="1">IFERROR(__xludf.DUMMYFUNCTION("IMPORTRANGE(""https://docs.google.com/spreadsheets/d/1C3CXT74ZlgGe6_JY_1olB1XN4rF0dxEuIIF-xsYjHgg/edit?usp=sharing"",""งบกองทุน!AE26"")"),20)</f>
        <v>20</v>
      </c>
      <c r="P22" s="308">
        <f ca="1">IFERROR(__xludf.DUMMYFUNCTION("IMPORTRANGE(""https://docs.google.com/spreadsheets/d/11923uPwbBZFjjGgGUA6NLw09EwE0CqkOc4q9oUmW1yo/edit?usp=sharing"",""พะเยา!J313"")"),60)</f>
        <v>60</v>
      </c>
      <c r="Q22" s="309">
        <f t="shared" ca="1" si="6"/>
        <v>100</v>
      </c>
      <c r="R22" s="308">
        <f ca="1">IFERROR(__xludf.DUMMYFUNCTION("IMPORTRANGE(""https://docs.google.com/spreadsheets/d/11923uPwbBZFjjGgGUA6NLw09EwE0CqkOc4q9oUmW1yo/edit?usp=sharing"",""พะเยา!J312"")"),20)</f>
        <v>20</v>
      </c>
      <c r="S22" s="309">
        <f t="shared" ca="1" si="7"/>
        <v>100</v>
      </c>
      <c r="T22" s="309">
        <f ca="1">IFERROR(__xludf.DUMMYFUNCTION("IMPORTRANGE(""https://docs.google.com/spreadsheets/d/11923uPwbBZFjjGgGUA6NLw09EwE0CqkOc4q9oUmW1yo/edit?usp=sharing"",""พะเยา!J314"")"),20)</f>
        <v>20</v>
      </c>
      <c r="U22" s="309">
        <f ca="1">IFERROR(__xludf.DUMMYFUNCTION("IMPORTRANGE(""https://docs.google.com/spreadsheets/d/11923uPwbBZFjjGgGUA6NLw09EwE0CqkOc4q9oUmW1yo/edit?usp=sharing"",""พะเยา!J315"")"),20)</f>
        <v>20</v>
      </c>
      <c r="V22" s="392">
        <f ca="1">IFERROR(__xludf.DUMMYFUNCTION("IMPORTRANGE(""https://docs.google.com/spreadsheets/d/1C3CXT74ZlgGe6_JY_1olB1XN4rF0dxEuIIF-xsYjHgg/edit?usp=sharing"",""งบกองทุน!AH26"")"),150)</f>
        <v>150</v>
      </c>
      <c r="W22" s="392">
        <f ca="1">IFERROR(__xludf.DUMMYFUNCTION("IMPORTRANGE(""https://docs.google.com/spreadsheets/d/1C3CXT74ZlgGe6_JY_1olB1XN4rF0dxEuIIF-xsYjHgg/edit?usp=sharing"",""งบกองทุน!AI26"")"),50)</f>
        <v>50</v>
      </c>
      <c r="X22" s="308">
        <f ca="1">IFERROR(__xludf.DUMMYFUNCTION("IMPORTRANGE(""https://docs.google.com/spreadsheets/d/11923uPwbBZFjjGgGUA6NLw09EwE0CqkOc4q9oUmW1yo/edit?usp=sharing"",""พะเยา!J317"")"),150)</f>
        <v>150</v>
      </c>
      <c r="Y22" s="309">
        <f t="shared" ca="1" si="9"/>
        <v>100</v>
      </c>
      <c r="Z22" s="308">
        <f ca="1">IFERROR(__xludf.DUMMYFUNCTION("IMPORTRANGE(""https://docs.google.com/spreadsheets/d/11923uPwbBZFjjGgGUA6NLw09EwE0CqkOc4q9oUmW1yo/edit?usp=sharing"",""พะเยา!J316"")"),50)</f>
        <v>50</v>
      </c>
      <c r="AA22" s="309">
        <f t="shared" ca="1" si="10"/>
        <v>100</v>
      </c>
      <c r="AB22" s="308">
        <f ca="1">IFERROR(__xludf.DUMMYFUNCTION("IMPORTRANGE(""https://docs.google.com/spreadsheets/d/11923uPwbBZFjjGgGUA6NLw09EwE0CqkOc4q9oUmW1yo/edit?usp=sharing"",""พะเยา!J318"")"),50)</f>
        <v>50</v>
      </c>
      <c r="AC22" s="308">
        <f ca="1">IFERROR(__xludf.DUMMYFUNCTION("IMPORTRANGE(""https://docs.google.com/spreadsheets/d/11923uPwbBZFjjGgGUA6NLw09EwE0CqkOc4q9oUmW1yo/edit?usp=sharing"",""พะเยา!J319"")"),50)</f>
        <v>50</v>
      </c>
      <c r="AD22" s="308">
        <f ca="1">IFERROR(__xludf.DUMMYFUNCTION("IMPORTRANGE(""https://docs.google.com/spreadsheets/d/11923uPwbBZFjjGgGUA6NLw09EwE0CqkOc4q9oUmW1yo/edit?usp=sharing"",""พะเยา!J320"")"),50)</f>
        <v>50</v>
      </c>
      <c r="AE22" s="392">
        <f ca="1">IFERROR(__xludf.DUMMYFUNCTION("IMPORTRANGE(""https://docs.google.com/spreadsheets/d/1C3CXT74ZlgGe6_JY_1olB1XN4rF0dxEuIIF-xsYjHgg/edit?usp=sharing"",""งบกองทุน!AM26"")"),51)</f>
        <v>51</v>
      </c>
      <c r="AF22" s="392">
        <f ca="1">IFERROR(__xludf.DUMMYFUNCTION("IMPORTRANGE(""https://docs.google.com/spreadsheets/d/1C3CXT74ZlgGe6_JY_1olB1XN4rF0dxEuIIF-xsYjHgg/edit?usp=sharing"",""งบกองทุน!AN26"")"),17)</f>
        <v>17</v>
      </c>
      <c r="AG22" s="308">
        <f ca="1">IFERROR(__xludf.DUMMYFUNCTION("IMPORTRANGE(""https://docs.google.com/spreadsheets/d/11923uPwbBZFjjGgGUA6NLw09EwE0CqkOc4q9oUmW1yo/edit?usp=sharing"",""พะเยา!J322"")"),51)</f>
        <v>51</v>
      </c>
      <c r="AH22" s="309">
        <f t="shared" ca="1" si="12"/>
        <v>100</v>
      </c>
      <c r="AI22" s="308">
        <f ca="1">IFERROR(__xludf.DUMMYFUNCTION("IMPORTRANGE(""https://docs.google.com/spreadsheets/d/11923uPwbBZFjjGgGUA6NLw09EwE0CqkOc4q9oUmW1yo/edit?usp=sharing"",""พะเยา!J321"")"),17)</f>
        <v>17</v>
      </c>
      <c r="AJ22" s="309">
        <f t="shared" ca="1" si="13"/>
        <v>100</v>
      </c>
      <c r="AK22" s="308">
        <f ca="1">IFERROR(__xludf.DUMMYFUNCTION("IMPORTRANGE(""https://docs.google.com/spreadsheets/d/11923uPwbBZFjjGgGUA6NLw09EwE0CqkOc4q9oUmW1yo/edit?usp=sharing"",""พะเยา!J323"")"),17)</f>
        <v>17</v>
      </c>
      <c r="AL22" s="308">
        <f ca="1">IFERROR(__xludf.DUMMYFUNCTION("IMPORTRANGE(""https://docs.google.com/spreadsheets/d/11923uPwbBZFjjGgGUA6NLw09EwE0CqkOc4q9oUmW1yo/edit?usp=sharing"",""พะเยา!J324"")"),17)</f>
        <v>17</v>
      </c>
      <c r="AM22" s="308">
        <f t="shared" ca="1" si="56"/>
        <v>70</v>
      </c>
      <c r="AN22" s="308">
        <f ca="1">IFERROR(__xludf.DUMMYFUNCTION("IMPORTRANGE(""https://docs.google.com/spreadsheets/d/11923uPwbBZFjjGgGUA6NLw09EwE0CqkOc4q9oUmW1yo/edit?usp=sharing"",""พะเยา!J325"")"),0)</f>
        <v>0</v>
      </c>
      <c r="AO22" s="309">
        <f t="shared" ca="1" si="15"/>
        <v>0</v>
      </c>
      <c r="AP22" s="392">
        <f ca="1">IFERROR(__xludf.DUMMYFUNCTION("IMPORTRANGE(""https://docs.google.com/spreadsheets/d/1C3CXT74ZlgGe6_JY_1olB1XN4rF0dxEuIIF-xsYjHgg/edit?usp=sharing"",""งบกองทุน!AR26"")"),20)</f>
        <v>20</v>
      </c>
      <c r="AQ22" s="308">
        <f ca="1">IFERROR(__xludf.DUMMYFUNCTION("IMPORTRANGE(""https://docs.google.com/spreadsheets/d/11923uPwbBZFjjGgGUA6NLw09EwE0CqkOc4q9oUmW1yo/edit?usp=sharing"",""พะเยา!J326"")"),0)</f>
        <v>0</v>
      </c>
      <c r="AR22" s="308">
        <f ca="1">IFERROR(__xludf.DUMMYFUNCTION("IMPORTRANGE(""https://docs.google.com/spreadsheets/d/1C3CXT74ZlgGe6_JY_1olB1XN4rF0dxEuIIF-xsYjHgg/edit?usp=sharing"",""งบกองทุน!AS26"")"),50)</f>
        <v>50</v>
      </c>
      <c r="AS22" s="393">
        <f ca="1">IFERROR(__xludf.DUMMYFUNCTION("IMPORTRANGE(""https://docs.google.com/spreadsheets/d/11923uPwbBZFjjGgGUA6NLw09EwE0CqkOc4q9oUmW1yo/edit?usp=sharing"",""พะเยา!J327"")"),0)</f>
        <v>0</v>
      </c>
    </row>
    <row r="23" spans="1:45" ht="21" customHeight="1">
      <c r="A23" s="303">
        <v>8</v>
      </c>
      <c r="B23" s="304" t="s">
        <v>47</v>
      </c>
      <c r="C23" s="391">
        <f t="shared" ca="1" si="52"/>
        <v>195900</v>
      </c>
      <c r="D23" s="306">
        <f ca="1">IFERROR(__xludf.DUMMYFUNCTION("IMPORTRANGE(""https://docs.google.com/spreadsheets/d/1C3CXT74ZlgGe6_JY_1olB1XN4rF0dxEuIIF-xsYjHgg/edit?usp=sharing"",""งบกองทุน!Z27"")"),0)</f>
        <v>0</v>
      </c>
      <c r="E23" s="306">
        <f ca="1">IFERROR(__xludf.DUMMYFUNCTION("IMPORTRANGE(""https://docs.google.com/spreadsheets/d/1C3CXT74ZlgGe6_JY_1olB1XN4rF0dxEuIIF-xsYjHgg/edit?usp=sharing"",""งบกองทุน!AA27"")"),195900)</f>
        <v>195900</v>
      </c>
      <c r="F23" s="307">
        <f ca="1">IFERROR(__xludf.DUMMYFUNCTION("IMPORTRANGE(""https://docs.google.com/spreadsheets/d/11923uPwbBZFjjGgGUA6NLw09EwE0CqkOc4q9oUmW1yo/edit?usp=sharing"",""พิจิตร!M299"")"),113749)</f>
        <v>113749</v>
      </c>
      <c r="G23" s="307">
        <f t="shared" ca="1" si="1"/>
        <v>58.064828994384889</v>
      </c>
      <c r="H23" s="308">
        <f t="shared" ref="H23:I23" ca="1" si="63">+N23+V23+AE23</f>
        <v>174</v>
      </c>
      <c r="I23" s="308">
        <f t="shared" ca="1" si="63"/>
        <v>58</v>
      </c>
      <c r="J23" s="308">
        <f t="shared" ca="1" si="54"/>
        <v>174</v>
      </c>
      <c r="K23" s="309">
        <f t="shared" ca="1" si="3"/>
        <v>100</v>
      </c>
      <c r="L23" s="308">
        <f t="shared" ca="1" si="55"/>
        <v>58</v>
      </c>
      <c r="M23" s="309">
        <f t="shared" ca="1" si="4"/>
        <v>100</v>
      </c>
      <c r="N23" s="392">
        <f ca="1">IFERROR(__xludf.DUMMYFUNCTION("IMPORTRANGE(""https://docs.google.com/spreadsheets/d/1C3CXT74ZlgGe6_JY_1olB1XN4rF0dxEuIIF-xsYjHgg/edit?usp=sharing"",""งบกองทุน!AD27"")"),30)</f>
        <v>30</v>
      </c>
      <c r="O23" s="392">
        <f ca="1">IFERROR(__xludf.DUMMYFUNCTION("IMPORTRANGE(""https://docs.google.com/spreadsheets/d/1C3CXT74ZlgGe6_JY_1olB1XN4rF0dxEuIIF-xsYjHgg/edit?usp=sharing"",""งบกองทุน!AE27"")"),10)</f>
        <v>10</v>
      </c>
      <c r="P23" s="308">
        <f ca="1">IFERROR(__xludf.DUMMYFUNCTION("IMPORTRANGE(""https://docs.google.com/spreadsheets/d/11923uPwbBZFjjGgGUA6NLw09EwE0CqkOc4q9oUmW1yo/edit?usp=sharing"",""พิจิตร!J313"")"),30)</f>
        <v>30</v>
      </c>
      <c r="Q23" s="309">
        <f t="shared" ca="1" si="6"/>
        <v>100</v>
      </c>
      <c r="R23" s="308">
        <f ca="1">IFERROR(__xludf.DUMMYFUNCTION("IMPORTRANGE(""https://docs.google.com/spreadsheets/d/11923uPwbBZFjjGgGUA6NLw09EwE0CqkOc4q9oUmW1yo/edit?usp=sharing"",""พิจิตร!J312"")"),10)</f>
        <v>10</v>
      </c>
      <c r="S23" s="309">
        <f t="shared" ca="1" si="7"/>
        <v>100</v>
      </c>
      <c r="T23" s="309">
        <f ca="1">IFERROR(__xludf.DUMMYFUNCTION("IMPORTRANGE(""https://docs.google.com/spreadsheets/d/11923uPwbBZFjjGgGUA6NLw09EwE0CqkOc4q9oUmW1yo/edit?usp=sharing"",""พิจิตร!J314"")"),10)</f>
        <v>10</v>
      </c>
      <c r="U23" s="309">
        <f ca="1">IFERROR(__xludf.DUMMYFUNCTION("IMPORTRANGE(""https://docs.google.com/spreadsheets/d/11923uPwbBZFjjGgGUA6NLw09EwE0CqkOc4q9oUmW1yo/edit?usp=sharing"",""พิจิตร!J315"")"),10)</f>
        <v>10</v>
      </c>
      <c r="V23" s="392">
        <f ca="1">IFERROR(__xludf.DUMMYFUNCTION("IMPORTRANGE(""https://docs.google.com/spreadsheets/d/1C3CXT74ZlgGe6_JY_1olB1XN4rF0dxEuIIF-xsYjHgg/edit?usp=sharing"",""งบกองทุน!AH27"")"),114)</f>
        <v>114</v>
      </c>
      <c r="W23" s="392">
        <f ca="1">IFERROR(__xludf.DUMMYFUNCTION("IMPORTRANGE(""https://docs.google.com/spreadsheets/d/1C3CXT74ZlgGe6_JY_1olB1XN4rF0dxEuIIF-xsYjHgg/edit?usp=sharing"",""งบกองทุน!AI27"")"),38)</f>
        <v>38</v>
      </c>
      <c r="X23" s="308">
        <f ca="1">IFERROR(__xludf.DUMMYFUNCTION("IMPORTRANGE(""https://docs.google.com/spreadsheets/d/11923uPwbBZFjjGgGUA6NLw09EwE0CqkOc4q9oUmW1yo/edit?usp=sharing"",""พิจิตร!J317"")"),114)</f>
        <v>114</v>
      </c>
      <c r="Y23" s="309">
        <f t="shared" ca="1" si="9"/>
        <v>100</v>
      </c>
      <c r="Z23" s="308">
        <f ca="1">IFERROR(__xludf.DUMMYFUNCTION("IMPORTRANGE(""https://docs.google.com/spreadsheets/d/11923uPwbBZFjjGgGUA6NLw09EwE0CqkOc4q9oUmW1yo/edit?usp=sharing"",""พิจิตร!J316"")"),38)</f>
        <v>38</v>
      </c>
      <c r="AA23" s="309">
        <f t="shared" ca="1" si="10"/>
        <v>100</v>
      </c>
      <c r="AB23" s="308">
        <f ca="1">IFERROR(__xludf.DUMMYFUNCTION("IMPORTRANGE(""https://docs.google.com/spreadsheets/d/11923uPwbBZFjjGgGUA6NLw09EwE0CqkOc4q9oUmW1yo/edit?usp=sharing"",""พิจิตร!J318"")"),38)</f>
        <v>38</v>
      </c>
      <c r="AC23" s="308">
        <f ca="1">IFERROR(__xludf.DUMMYFUNCTION("IMPORTRANGE(""https://docs.google.com/spreadsheets/d/11923uPwbBZFjjGgGUA6NLw09EwE0CqkOc4q9oUmW1yo/edit?usp=sharing"",""พิจิตร!J319"")"),38)</f>
        <v>38</v>
      </c>
      <c r="AD23" s="308">
        <f ca="1">IFERROR(__xludf.DUMMYFUNCTION("IMPORTRANGE(""https://docs.google.com/spreadsheets/d/11923uPwbBZFjjGgGUA6NLw09EwE0CqkOc4q9oUmW1yo/edit?usp=sharing"",""พิจิตร!J320"")"),38)</f>
        <v>38</v>
      </c>
      <c r="AE23" s="392">
        <f ca="1">IFERROR(__xludf.DUMMYFUNCTION("IMPORTRANGE(""https://docs.google.com/spreadsheets/d/1C3CXT74ZlgGe6_JY_1olB1XN4rF0dxEuIIF-xsYjHgg/edit?usp=sharing"",""งบกองทุน!AM27"")"),30)</f>
        <v>30</v>
      </c>
      <c r="AF23" s="392">
        <f ca="1">IFERROR(__xludf.DUMMYFUNCTION("IMPORTRANGE(""https://docs.google.com/spreadsheets/d/1C3CXT74ZlgGe6_JY_1olB1XN4rF0dxEuIIF-xsYjHgg/edit?usp=sharing"",""งบกองทุน!AN27"")"),10)</f>
        <v>10</v>
      </c>
      <c r="AG23" s="308">
        <f ca="1">IFERROR(__xludf.DUMMYFUNCTION("IMPORTRANGE(""https://docs.google.com/spreadsheets/d/11923uPwbBZFjjGgGUA6NLw09EwE0CqkOc4q9oUmW1yo/edit?usp=sharing"",""พิจิตร!J322"")"),30)</f>
        <v>30</v>
      </c>
      <c r="AH23" s="309">
        <f t="shared" ca="1" si="12"/>
        <v>100</v>
      </c>
      <c r="AI23" s="308">
        <f ca="1">IFERROR(__xludf.DUMMYFUNCTION("IMPORTRANGE(""https://docs.google.com/spreadsheets/d/11923uPwbBZFjjGgGUA6NLw09EwE0CqkOc4q9oUmW1yo/edit?usp=sharing"",""พิจิตร!J321"")"),10)</f>
        <v>10</v>
      </c>
      <c r="AJ23" s="309">
        <f t="shared" ca="1" si="13"/>
        <v>100</v>
      </c>
      <c r="AK23" s="308">
        <f ca="1">IFERROR(__xludf.DUMMYFUNCTION("IMPORTRANGE(""https://docs.google.com/spreadsheets/d/11923uPwbBZFjjGgGUA6NLw09EwE0CqkOc4q9oUmW1yo/edit?usp=sharing"",""พิจิตร!J323"")"),10)</f>
        <v>10</v>
      </c>
      <c r="AL23" s="308">
        <f ca="1">IFERROR(__xludf.DUMMYFUNCTION("IMPORTRANGE(""https://docs.google.com/spreadsheets/d/11923uPwbBZFjjGgGUA6NLw09EwE0CqkOc4q9oUmW1yo/edit?usp=sharing"",""พิจิตร!J324"")"),10)</f>
        <v>10</v>
      </c>
      <c r="AM23" s="308">
        <f t="shared" ca="1" si="56"/>
        <v>48</v>
      </c>
      <c r="AN23" s="308">
        <f ca="1">IFERROR(__xludf.DUMMYFUNCTION("IMPORTRANGE(""https://docs.google.com/spreadsheets/d/11923uPwbBZFjjGgGUA6NLw09EwE0CqkOc4q9oUmW1yo/edit?usp=sharing"",""พิจิตร!J325"")"),0)</f>
        <v>0</v>
      </c>
      <c r="AO23" s="309">
        <f t="shared" ca="1" si="15"/>
        <v>0</v>
      </c>
      <c r="AP23" s="392">
        <f ca="1">IFERROR(__xludf.DUMMYFUNCTION("IMPORTRANGE(""https://docs.google.com/spreadsheets/d/1C3CXT74ZlgGe6_JY_1olB1XN4rF0dxEuIIF-xsYjHgg/edit?usp=sharing"",""งบกองทุน!AR27"")"),10)</f>
        <v>10</v>
      </c>
      <c r="AQ23" s="308">
        <f ca="1">IFERROR(__xludf.DUMMYFUNCTION("IMPORTRANGE(""https://docs.google.com/spreadsheets/d/11923uPwbBZFjjGgGUA6NLw09EwE0CqkOc4q9oUmW1yo/edit?usp=sharing"",""พิจิตร!J326"")"),0)</f>
        <v>0</v>
      </c>
      <c r="AR23" s="308">
        <f ca="1">IFERROR(__xludf.DUMMYFUNCTION("IMPORTRANGE(""https://docs.google.com/spreadsheets/d/1C3CXT74ZlgGe6_JY_1olB1XN4rF0dxEuIIF-xsYjHgg/edit?usp=sharing"",""งบกองทุน!AS27"")"),38)</f>
        <v>38</v>
      </c>
      <c r="AS23" s="393">
        <f ca="1">IFERROR(__xludf.DUMMYFUNCTION("IMPORTRANGE(""https://docs.google.com/spreadsheets/d/11923uPwbBZFjjGgGUA6NLw09EwE0CqkOc4q9oUmW1yo/edit?usp=sharing"",""พิจิตร!J327"")"),0)</f>
        <v>0</v>
      </c>
    </row>
    <row r="24" spans="1:45" ht="21" customHeight="1">
      <c r="A24" s="303">
        <v>9</v>
      </c>
      <c r="B24" s="304" t="s">
        <v>48</v>
      </c>
      <c r="C24" s="391">
        <f t="shared" ca="1" si="52"/>
        <v>252320</v>
      </c>
      <c r="D24" s="306">
        <f ca="1">IFERROR(__xludf.DUMMYFUNCTION("IMPORTRANGE(""https://docs.google.com/spreadsheets/d/1C3CXT74ZlgGe6_JY_1olB1XN4rF0dxEuIIF-xsYjHgg/edit?usp=sharing"",""งบกองทุน!Z28"")"),0)</f>
        <v>0</v>
      </c>
      <c r="E24" s="306">
        <f ca="1">IFERROR(__xludf.DUMMYFUNCTION("IMPORTRANGE(""https://docs.google.com/spreadsheets/d/1C3CXT74ZlgGe6_JY_1olB1XN4rF0dxEuIIF-xsYjHgg/edit?usp=sharing"",""งบกองทุน!AA28"")"),252320)</f>
        <v>252320</v>
      </c>
      <c r="F24" s="307">
        <f ca="1">IFERROR(__xludf.DUMMYFUNCTION("IMPORTRANGE(""https://docs.google.com/spreadsheets/d/11923uPwbBZFjjGgGUA6NLw09EwE0CqkOc4q9oUmW1yo/edit?usp=sharing"",""พิษณุโลก!M299"")"),88560)</f>
        <v>88560</v>
      </c>
      <c r="G24" s="307">
        <f t="shared" ca="1" si="1"/>
        <v>35.098287888395689</v>
      </c>
      <c r="H24" s="308">
        <f t="shared" ref="H24:I24" ca="1" si="64">+N24+V24+AE24</f>
        <v>225</v>
      </c>
      <c r="I24" s="308">
        <f t="shared" ca="1" si="64"/>
        <v>75</v>
      </c>
      <c r="J24" s="308">
        <f t="shared" ca="1" si="54"/>
        <v>225</v>
      </c>
      <c r="K24" s="309">
        <f t="shared" ca="1" si="3"/>
        <v>100</v>
      </c>
      <c r="L24" s="308">
        <f t="shared" ca="1" si="55"/>
        <v>75</v>
      </c>
      <c r="M24" s="309">
        <f t="shared" ca="1" si="4"/>
        <v>100</v>
      </c>
      <c r="N24" s="392">
        <f ca="1">IFERROR(__xludf.DUMMYFUNCTION("IMPORTRANGE(""https://docs.google.com/spreadsheets/d/1C3CXT74ZlgGe6_JY_1olB1XN4rF0dxEuIIF-xsYjHgg/edit?usp=sharing"",""งบกองทุน!AD28"")"),75)</f>
        <v>75</v>
      </c>
      <c r="O24" s="392">
        <f ca="1">IFERROR(__xludf.DUMMYFUNCTION("IMPORTRANGE(""https://docs.google.com/spreadsheets/d/1C3CXT74ZlgGe6_JY_1olB1XN4rF0dxEuIIF-xsYjHgg/edit?usp=sharing"",""งบกองทุน!AE28"")"),25)</f>
        <v>25</v>
      </c>
      <c r="P24" s="308">
        <f ca="1">IFERROR(__xludf.DUMMYFUNCTION("IMPORTRANGE(""https://docs.google.com/spreadsheets/d/11923uPwbBZFjjGgGUA6NLw09EwE0CqkOc4q9oUmW1yo/edit?usp=sharing"",""พิษณุโลก!J313"")"),75)</f>
        <v>75</v>
      </c>
      <c r="Q24" s="309">
        <f t="shared" ca="1" si="6"/>
        <v>100</v>
      </c>
      <c r="R24" s="308">
        <f ca="1">IFERROR(__xludf.DUMMYFUNCTION("IMPORTRANGE(""https://docs.google.com/spreadsheets/d/11923uPwbBZFjjGgGUA6NLw09EwE0CqkOc4q9oUmW1yo/edit?usp=sharing"",""พิษณุโลก!J312"")"),25)</f>
        <v>25</v>
      </c>
      <c r="S24" s="309">
        <f t="shared" ca="1" si="7"/>
        <v>100</v>
      </c>
      <c r="T24" s="309">
        <f ca="1">IFERROR(__xludf.DUMMYFUNCTION("IMPORTRANGE(""https://docs.google.com/spreadsheets/d/11923uPwbBZFjjGgGUA6NLw09EwE0CqkOc4q9oUmW1yo/edit?usp=sharing"",""พิษณุโลก!J314"")"),25)</f>
        <v>25</v>
      </c>
      <c r="U24" s="309">
        <f ca="1">IFERROR(__xludf.DUMMYFUNCTION("IMPORTRANGE(""https://docs.google.com/spreadsheets/d/11923uPwbBZFjjGgGUA6NLw09EwE0CqkOc4q9oUmW1yo/edit?usp=sharing"",""พิษณุโลก!J315"")"),25)</f>
        <v>25</v>
      </c>
      <c r="V24" s="392">
        <f ca="1">IFERROR(__xludf.DUMMYFUNCTION("IMPORTRANGE(""https://docs.google.com/spreadsheets/d/1C3CXT74ZlgGe6_JY_1olB1XN4rF0dxEuIIF-xsYjHgg/edit?usp=sharing"",""งบกองทุน!AH28"")"),120)</f>
        <v>120</v>
      </c>
      <c r="W24" s="392">
        <f ca="1">IFERROR(__xludf.DUMMYFUNCTION("IMPORTRANGE(""https://docs.google.com/spreadsheets/d/1C3CXT74ZlgGe6_JY_1olB1XN4rF0dxEuIIF-xsYjHgg/edit?usp=sharing"",""งบกองทุน!AI28"")"),40)</f>
        <v>40</v>
      </c>
      <c r="X24" s="308">
        <f ca="1">IFERROR(__xludf.DUMMYFUNCTION("IMPORTRANGE(""https://docs.google.com/spreadsheets/d/11923uPwbBZFjjGgGUA6NLw09EwE0CqkOc4q9oUmW1yo/edit?usp=sharing"",""พิษณุโลก!J317"")"),120)</f>
        <v>120</v>
      </c>
      <c r="Y24" s="309">
        <f t="shared" ca="1" si="9"/>
        <v>100</v>
      </c>
      <c r="Z24" s="308">
        <f ca="1">IFERROR(__xludf.DUMMYFUNCTION("IMPORTRANGE(""https://docs.google.com/spreadsheets/d/11923uPwbBZFjjGgGUA6NLw09EwE0CqkOc4q9oUmW1yo/edit?usp=sharing"",""พิษณุโลก!J316"")"),40)</f>
        <v>40</v>
      </c>
      <c r="AA24" s="309">
        <f t="shared" ca="1" si="10"/>
        <v>100</v>
      </c>
      <c r="AB24" s="308">
        <f ca="1">IFERROR(__xludf.DUMMYFUNCTION("IMPORTRANGE(""https://docs.google.com/spreadsheets/d/11923uPwbBZFjjGgGUA6NLw09EwE0CqkOc4q9oUmW1yo/edit?usp=sharing"",""พิษณุโลก!J318"")"),40)</f>
        <v>40</v>
      </c>
      <c r="AC24" s="308">
        <f ca="1">IFERROR(__xludf.DUMMYFUNCTION("IMPORTRANGE(""https://docs.google.com/spreadsheets/d/11923uPwbBZFjjGgGUA6NLw09EwE0CqkOc4q9oUmW1yo/edit?usp=sharing"",""พิษณุโลก!J319"")"),40)</f>
        <v>40</v>
      </c>
      <c r="AD24" s="308">
        <f ca="1">IFERROR(__xludf.DUMMYFUNCTION("IMPORTRANGE(""https://docs.google.com/spreadsheets/d/11923uPwbBZFjjGgGUA6NLw09EwE0CqkOc4q9oUmW1yo/edit?usp=sharing"",""พิษณุโลก!J320"")"),40)</f>
        <v>40</v>
      </c>
      <c r="AE24" s="392">
        <f ca="1">IFERROR(__xludf.DUMMYFUNCTION("IMPORTRANGE(""https://docs.google.com/spreadsheets/d/1C3CXT74ZlgGe6_JY_1olB1XN4rF0dxEuIIF-xsYjHgg/edit?usp=sharing"",""งบกองทุน!AM28"")"),30)</f>
        <v>30</v>
      </c>
      <c r="AF24" s="392">
        <f ca="1">IFERROR(__xludf.DUMMYFUNCTION("IMPORTRANGE(""https://docs.google.com/spreadsheets/d/1C3CXT74ZlgGe6_JY_1olB1XN4rF0dxEuIIF-xsYjHgg/edit?usp=sharing"",""งบกองทุน!AN28"")"),10)</f>
        <v>10</v>
      </c>
      <c r="AG24" s="308">
        <f ca="1">IFERROR(__xludf.DUMMYFUNCTION("IMPORTRANGE(""https://docs.google.com/spreadsheets/d/11923uPwbBZFjjGgGUA6NLw09EwE0CqkOc4q9oUmW1yo/edit?usp=sharing"",""พิษณุโลก!J322"")"),30)</f>
        <v>30</v>
      </c>
      <c r="AH24" s="309">
        <f t="shared" ca="1" si="12"/>
        <v>100</v>
      </c>
      <c r="AI24" s="308">
        <f ca="1">IFERROR(__xludf.DUMMYFUNCTION("IMPORTRANGE(""https://docs.google.com/spreadsheets/d/11923uPwbBZFjjGgGUA6NLw09EwE0CqkOc4q9oUmW1yo/edit?usp=sharing"",""พิษณุโลก!J321"")"),10)</f>
        <v>10</v>
      </c>
      <c r="AJ24" s="309">
        <f t="shared" ca="1" si="13"/>
        <v>100</v>
      </c>
      <c r="AK24" s="308">
        <f ca="1">IFERROR(__xludf.DUMMYFUNCTION("IMPORTRANGE(""https://docs.google.com/spreadsheets/d/11923uPwbBZFjjGgGUA6NLw09EwE0CqkOc4q9oUmW1yo/edit?usp=sharing"",""พิษณุโลก!J323"")"),10)</f>
        <v>10</v>
      </c>
      <c r="AL24" s="308">
        <f ca="1">IFERROR(__xludf.DUMMYFUNCTION("IMPORTRANGE(""https://docs.google.com/spreadsheets/d/11923uPwbBZFjjGgGUA6NLw09EwE0CqkOc4q9oUmW1yo/edit?usp=sharing"",""พิษณุโลก!J324"")"),10)</f>
        <v>10</v>
      </c>
      <c r="AM24" s="308">
        <f t="shared" ca="1" si="56"/>
        <v>65</v>
      </c>
      <c r="AN24" s="308">
        <f ca="1">IFERROR(__xludf.DUMMYFUNCTION("IMPORTRANGE(""https://docs.google.com/spreadsheets/d/11923uPwbBZFjjGgGUA6NLw09EwE0CqkOc4q9oUmW1yo/edit?usp=sharing"",""พิษณุโลก!J325"")"),0)</f>
        <v>0</v>
      </c>
      <c r="AO24" s="309">
        <f t="shared" ca="1" si="15"/>
        <v>0</v>
      </c>
      <c r="AP24" s="392">
        <f ca="1">IFERROR(__xludf.DUMMYFUNCTION("IMPORTRANGE(""https://docs.google.com/spreadsheets/d/1C3CXT74ZlgGe6_JY_1olB1XN4rF0dxEuIIF-xsYjHgg/edit?usp=sharing"",""งบกองทุน!AR28"")"),25)</f>
        <v>25</v>
      </c>
      <c r="AQ24" s="308">
        <f ca="1">IFERROR(__xludf.DUMMYFUNCTION("IMPORTRANGE(""https://docs.google.com/spreadsheets/d/11923uPwbBZFjjGgGUA6NLw09EwE0CqkOc4q9oUmW1yo/edit?usp=sharing"",""พิษณุโลก!J326"")"),0)</f>
        <v>0</v>
      </c>
      <c r="AR24" s="308">
        <f ca="1">IFERROR(__xludf.DUMMYFUNCTION("IMPORTRANGE(""https://docs.google.com/spreadsheets/d/1C3CXT74ZlgGe6_JY_1olB1XN4rF0dxEuIIF-xsYjHgg/edit?usp=sharing"",""งบกองทุน!AS28"")"),40)</f>
        <v>40</v>
      </c>
      <c r="AS24" s="393">
        <f ca="1">IFERROR(__xludf.DUMMYFUNCTION("IMPORTRANGE(""https://docs.google.com/spreadsheets/d/11923uPwbBZFjjGgGUA6NLw09EwE0CqkOc4q9oUmW1yo/edit?usp=sharing"",""พิษณุโลก!J327"")"),0)</f>
        <v>0</v>
      </c>
    </row>
    <row r="25" spans="1:45" ht="21" customHeight="1">
      <c r="A25" s="303">
        <v>10</v>
      </c>
      <c r="B25" s="304" t="s">
        <v>49</v>
      </c>
      <c r="C25" s="391">
        <f t="shared" ca="1" si="52"/>
        <v>244540</v>
      </c>
      <c r="D25" s="306">
        <f ca="1">IFERROR(__xludf.DUMMYFUNCTION("IMPORTRANGE(""https://docs.google.com/spreadsheets/d/1C3CXT74ZlgGe6_JY_1olB1XN4rF0dxEuIIF-xsYjHgg/edit?usp=sharing"",""งบกองทุน!Z29"")"),0)</f>
        <v>0</v>
      </c>
      <c r="E25" s="306">
        <f ca="1">IFERROR(__xludf.DUMMYFUNCTION("IMPORTRANGE(""https://docs.google.com/spreadsheets/d/1C3CXT74ZlgGe6_JY_1olB1XN4rF0dxEuIIF-xsYjHgg/edit?usp=sharing"",""งบกองทุน!AA29"")"),244540)</f>
        <v>244540</v>
      </c>
      <c r="F25" s="307">
        <f ca="1">IFERROR(__xludf.DUMMYFUNCTION("IMPORTRANGE(""https://docs.google.com/spreadsheets/d/11923uPwbBZFjjGgGUA6NLw09EwE0CqkOc4q9oUmW1yo/edit?usp=sharing"",""เพชรบูรณ์!M299"")"),152125)</f>
        <v>152125</v>
      </c>
      <c r="G25" s="307">
        <f t="shared" ca="1" si="1"/>
        <v>62.208636623865218</v>
      </c>
      <c r="H25" s="308">
        <f t="shared" ref="H25:I25" ca="1" si="65">+N25+V25+AE25</f>
        <v>219</v>
      </c>
      <c r="I25" s="308">
        <f t="shared" ca="1" si="65"/>
        <v>73</v>
      </c>
      <c r="J25" s="308">
        <f t="shared" ca="1" si="54"/>
        <v>0</v>
      </c>
      <c r="K25" s="309">
        <f t="shared" ca="1" si="3"/>
        <v>0</v>
      </c>
      <c r="L25" s="308">
        <f t="shared" ca="1" si="55"/>
        <v>73</v>
      </c>
      <c r="M25" s="309">
        <f t="shared" ca="1" si="4"/>
        <v>100</v>
      </c>
      <c r="N25" s="392">
        <f ca="1">IFERROR(__xludf.DUMMYFUNCTION("IMPORTRANGE(""https://docs.google.com/spreadsheets/d/1C3CXT74ZlgGe6_JY_1olB1XN4rF0dxEuIIF-xsYjHgg/edit?usp=sharing"",""งบกองทุน!AD29"")"),75)</f>
        <v>75</v>
      </c>
      <c r="O25" s="392">
        <f ca="1">IFERROR(__xludf.DUMMYFUNCTION("IMPORTRANGE(""https://docs.google.com/spreadsheets/d/1C3CXT74ZlgGe6_JY_1olB1XN4rF0dxEuIIF-xsYjHgg/edit?usp=sharing"",""งบกองทุน!AE29"")"),25)</f>
        <v>25</v>
      </c>
      <c r="P25" s="308">
        <f ca="1">IFERROR(__xludf.DUMMYFUNCTION("IMPORTRANGE(""https://docs.google.com/spreadsheets/d/11923uPwbBZFjjGgGUA6NLw09EwE0CqkOc4q9oUmW1yo/edit?usp=sharing"",""เพชรบูรณ์!J313"")"),0)</f>
        <v>0</v>
      </c>
      <c r="Q25" s="309">
        <f t="shared" ca="1" si="6"/>
        <v>0</v>
      </c>
      <c r="R25" s="308">
        <f ca="1">IFERROR(__xludf.DUMMYFUNCTION("IMPORTRANGE(""https://docs.google.com/spreadsheets/d/11923uPwbBZFjjGgGUA6NLw09EwE0CqkOc4q9oUmW1yo/edit?usp=sharing"",""เพชรบูรณ์!J312"")"),25)</f>
        <v>25</v>
      </c>
      <c r="S25" s="309">
        <f t="shared" ca="1" si="7"/>
        <v>100</v>
      </c>
      <c r="T25" s="309">
        <f ca="1">IFERROR(__xludf.DUMMYFUNCTION("IMPORTRANGE(""https://docs.google.com/spreadsheets/d/11923uPwbBZFjjGgGUA6NLw09EwE0CqkOc4q9oUmW1yo/edit?usp=sharing"",""เพชรบูรณ์!J314"")"),25)</f>
        <v>25</v>
      </c>
      <c r="U25" s="309">
        <f ca="1">IFERROR(__xludf.DUMMYFUNCTION("IMPORTRANGE(""https://docs.google.com/spreadsheets/d/11923uPwbBZFjjGgGUA6NLw09EwE0CqkOc4q9oUmW1yo/edit?usp=sharing"",""เพชรบูรณ์!J315"")"),25)</f>
        <v>25</v>
      </c>
      <c r="V25" s="392">
        <f ca="1">IFERROR(__xludf.DUMMYFUNCTION("IMPORTRANGE(""https://docs.google.com/spreadsheets/d/1C3CXT74ZlgGe6_JY_1olB1XN4rF0dxEuIIF-xsYjHgg/edit?usp=sharing"",""งบกองทุน!AH29"")"),114)</f>
        <v>114</v>
      </c>
      <c r="W25" s="392">
        <f ca="1">IFERROR(__xludf.DUMMYFUNCTION("IMPORTRANGE(""https://docs.google.com/spreadsheets/d/1C3CXT74ZlgGe6_JY_1olB1XN4rF0dxEuIIF-xsYjHgg/edit?usp=sharing"",""งบกองทุน!AI29"")"),38)</f>
        <v>38</v>
      </c>
      <c r="X25" s="308">
        <f ca="1">IFERROR(__xludf.DUMMYFUNCTION("IMPORTRANGE(""https://docs.google.com/spreadsheets/d/11923uPwbBZFjjGgGUA6NLw09EwE0CqkOc4q9oUmW1yo/edit?usp=sharing"",""เพชรบูรณ์!J317"")"),0)</f>
        <v>0</v>
      </c>
      <c r="Y25" s="309">
        <f t="shared" ca="1" si="9"/>
        <v>0</v>
      </c>
      <c r="Z25" s="308">
        <f ca="1">IFERROR(__xludf.DUMMYFUNCTION("IMPORTRANGE(""https://docs.google.com/spreadsheets/d/11923uPwbBZFjjGgGUA6NLw09EwE0CqkOc4q9oUmW1yo/edit?usp=sharing"",""เพชรบูรณ์!J316"")"),38)</f>
        <v>38</v>
      </c>
      <c r="AA25" s="309">
        <f t="shared" ca="1" si="10"/>
        <v>100</v>
      </c>
      <c r="AB25" s="308">
        <f ca="1">IFERROR(__xludf.DUMMYFUNCTION("IMPORTRANGE(""https://docs.google.com/spreadsheets/d/11923uPwbBZFjjGgGUA6NLw09EwE0CqkOc4q9oUmW1yo/edit?usp=sharing"",""เพชรบูรณ์!J318"")"),38)</f>
        <v>38</v>
      </c>
      <c r="AC25" s="308">
        <f ca="1">IFERROR(__xludf.DUMMYFUNCTION("IMPORTRANGE(""https://docs.google.com/spreadsheets/d/11923uPwbBZFjjGgGUA6NLw09EwE0CqkOc4q9oUmW1yo/edit?usp=sharing"",""เพชรบูรณ์!J319"")"),38)</f>
        <v>38</v>
      </c>
      <c r="AD25" s="308">
        <f ca="1">IFERROR(__xludf.DUMMYFUNCTION("IMPORTRANGE(""https://docs.google.com/spreadsheets/d/11923uPwbBZFjjGgGUA6NLw09EwE0CqkOc4q9oUmW1yo/edit?usp=sharing"",""เพชรบูรณ์!J320"")"),38)</f>
        <v>38</v>
      </c>
      <c r="AE25" s="392">
        <f ca="1">IFERROR(__xludf.DUMMYFUNCTION("IMPORTRANGE(""https://docs.google.com/spreadsheets/d/1C3CXT74ZlgGe6_JY_1olB1XN4rF0dxEuIIF-xsYjHgg/edit?usp=sharing"",""งบกองทุน!AM29"")"),30)</f>
        <v>30</v>
      </c>
      <c r="AF25" s="392">
        <f ca="1">IFERROR(__xludf.DUMMYFUNCTION("IMPORTRANGE(""https://docs.google.com/spreadsheets/d/1C3CXT74ZlgGe6_JY_1olB1XN4rF0dxEuIIF-xsYjHgg/edit?usp=sharing"",""งบกองทุน!AN29"")"),10)</f>
        <v>10</v>
      </c>
      <c r="AG25" s="308">
        <f ca="1">IFERROR(__xludf.DUMMYFUNCTION("IMPORTRANGE(""https://docs.google.com/spreadsheets/d/11923uPwbBZFjjGgGUA6NLw09EwE0CqkOc4q9oUmW1yo/edit?usp=sharing"",""เพชรบูรณ์!J322"")"),0)</f>
        <v>0</v>
      </c>
      <c r="AH25" s="309">
        <f t="shared" ca="1" si="12"/>
        <v>0</v>
      </c>
      <c r="AI25" s="308">
        <f ca="1">IFERROR(__xludf.DUMMYFUNCTION("IMPORTRANGE(""https://docs.google.com/spreadsheets/d/11923uPwbBZFjjGgGUA6NLw09EwE0CqkOc4q9oUmW1yo/edit?usp=sharing"",""เพชรบูรณ์!J321"")"),10)</f>
        <v>10</v>
      </c>
      <c r="AJ25" s="309">
        <f t="shared" ca="1" si="13"/>
        <v>100</v>
      </c>
      <c r="AK25" s="308">
        <f ca="1">IFERROR(__xludf.DUMMYFUNCTION("IMPORTRANGE(""https://docs.google.com/spreadsheets/d/11923uPwbBZFjjGgGUA6NLw09EwE0CqkOc4q9oUmW1yo/edit?usp=sharing"",""เพชรบูรณ์!J323"")"),10)</f>
        <v>10</v>
      </c>
      <c r="AL25" s="308">
        <f ca="1">IFERROR(__xludf.DUMMYFUNCTION("IMPORTRANGE(""https://docs.google.com/spreadsheets/d/11923uPwbBZFjjGgGUA6NLw09EwE0CqkOc4q9oUmW1yo/edit?usp=sharing"",""เพชรบูรณ์!J324"")"),10)</f>
        <v>10</v>
      </c>
      <c r="AM25" s="308">
        <f t="shared" ca="1" si="56"/>
        <v>63</v>
      </c>
      <c r="AN25" s="308">
        <f ca="1">IFERROR(__xludf.DUMMYFUNCTION("IMPORTRANGE(""https://docs.google.com/spreadsheets/d/11923uPwbBZFjjGgGUA6NLw09EwE0CqkOc4q9oUmW1yo/edit?usp=sharing"",""เพชรบูรณ์!J325"")"),0)</f>
        <v>0</v>
      </c>
      <c r="AO25" s="309">
        <f t="shared" ca="1" si="15"/>
        <v>0</v>
      </c>
      <c r="AP25" s="392">
        <f ca="1">IFERROR(__xludf.DUMMYFUNCTION("IMPORTRANGE(""https://docs.google.com/spreadsheets/d/1C3CXT74ZlgGe6_JY_1olB1XN4rF0dxEuIIF-xsYjHgg/edit?usp=sharing"",""งบกองทุน!AR29"")"),25)</f>
        <v>25</v>
      </c>
      <c r="AQ25" s="308">
        <f ca="1">IFERROR(__xludf.DUMMYFUNCTION("IMPORTRANGE(""https://docs.google.com/spreadsheets/d/11923uPwbBZFjjGgGUA6NLw09EwE0CqkOc4q9oUmW1yo/edit?usp=sharing"",""เพชรบูรณ์!J326"")"),25)</f>
        <v>25</v>
      </c>
      <c r="AR25" s="308">
        <f ca="1">IFERROR(__xludf.DUMMYFUNCTION("IMPORTRANGE(""https://docs.google.com/spreadsheets/d/1C3CXT74ZlgGe6_JY_1olB1XN4rF0dxEuIIF-xsYjHgg/edit?usp=sharing"",""งบกองทุน!AS29"")"),38)</f>
        <v>38</v>
      </c>
      <c r="AS25" s="393">
        <f ca="1">IFERROR(__xludf.DUMMYFUNCTION("IMPORTRANGE(""https://docs.google.com/spreadsheets/d/11923uPwbBZFjjGgGUA6NLw09EwE0CqkOc4q9oUmW1yo/edit?usp=sharing"",""เพชรบูรณ์!J327"")"),0)</f>
        <v>0</v>
      </c>
    </row>
    <row r="26" spans="1:45" ht="21" customHeight="1">
      <c r="A26" s="303">
        <v>11</v>
      </c>
      <c r="B26" s="304" t="s">
        <v>50</v>
      </c>
      <c r="C26" s="391">
        <f t="shared" ca="1" si="52"/>
        <v>135020</v>
      </c>
      <c r="D26" s="306">
        <f ca="1">IFERROR(__xludf.DUMMYFUNCTION("IMPORTRANGE(""https://docs.google.com/spreadsheets/d/1C3CXT74ZlgGe6_JY_1olB1XN4rF0dxEuIIF-xsYjHgg/edit?usp=sharing"",""งบกองทุน!Z30"")"),0)</f>
        <v>0</v>
      </c>
      <c r="E26" s="306">
        <f ca="1">IFERROR(__xludf.DUMMYFUNCTION("IMPORTRANGE(""https://docs.google.com/spreadsheets/d/1C3CXT74ZlgGe6_JY_1olB1XN4rF0dxEuIIF-xsYjHgg/edit?usp=sharing"",""งบกองทุน!AA30"")"),135020)</f>
        <v>135020</v>
      </c>
      <c r="F26" s="307">
        <f ca="1">IFERROR(__xludf.DUMMYFUNCTION("IMPORTRANGE(""https://docs.google.com/spreadsheets/d/11923uPwbBZFjjGgGUA6NLw09EwE0CqkOc4q9oUmW1yo/edit?usp=sharing"",""แพร่!M299"")"),38710)</f>
        <v>38710</v>
      </c>
      <c r="G26" s="307">
        <f t="shared" ca="1" si="1"/>
        <v>28.669826692341875</v>
      </c>
      <c r="H26" s="308">
        <f t="shared" ref="H26:I26" ca="1" si="66">+N26+V26+AE26</f>
        <v>120</v>
      </c>
      <c r="I26" s="308">
        <f t="shared" ca="1" si="66"/>
        <v>40</v>
      </c>
      <c r="J26" s="308">
        <f t="shared" ca="1" si="54"/>
        <v>120</v>
      </c>
      <c r="K26" s="309">
        <f t="shared" ca="1" si="3"/>
        <v>100</v>
      </c>
      <c r="L26" s="308">
        <f t="shared" ca="1" si="55"/>
        <v>10</v>
      </c>
      <c r="M26" s="309">
        <f t="shared" ca="1" si="4"/>
        <v>25</v>
      </c>
      <c r="N26" s="392">
        <f ca="1">IFERROR(__xludf.DUMMYFUNCTION("IMPORTRANGE(""https://docs.google.com/spreadsheets/d/1C3CXT74ZlgGe6_JY_1olB1XN4rF0dxEuIIF-xsYjHgg/edit?usp=sharing"",""งบกองทุน!AD30"")"),30)</f>
        <v>30</v>
      </c>
      <c r="O26" s="392">
        <f ca="1">IFERROR(__xludf.DUMMYFUNCTION("IMPORTRANGE(""https://docs.google.com/spreadsheets/d/1C3CXT74ZlgGe6_JY_1olB1XN4rF0dxEuIIF-xsYjHgg/edit?usp=sharing"",""งบกองทุน!AE30"")"),10)</f>
        <v>10</v>
      </c>
      <c r="P26" s="308">
        <f ca="1">IFERROR(__xludf.DUMMYFUNCTION("IMPORTRANGE(""https://docs.google.com/spreadsheets/d/11923uPwbBZFjjGgGUA6NLw09EwE0CqkOc4q9oUmW1yo/edit?usp=sharing"",""แพร่!J313"")"),30)</f>
        <v>30</v>
      </c>
      <c r="Q26" s="309">
        <f t="shared" ca="1" si="6"/>
        <v>100</v>
      </c>
      <c r="R26" s="308">
        <f ca="1">IFERROR(__xludf.DUMMYFUNCTION("IMPORTRANGE(""https://docs.google.com/spreadsheets/d/11923uPwbBZFjjGgGUA6NLw09EwE0CqkOc4q9oUmW1yo/edit?usp=sharing"",""แพร่!J312"")"),10)</f>
        <v>10</v>
      </c>
      <c r="S26" s="309">
        <f t="shared" ca="1" si="7"/>
        <v>100</v>
      </c>
      <c r="T26" s="309">
        <f ca="1">IFERROR(__xludf.DUMMYFUNCTION("IMPORTRANGE(""https://docs.google.com/spreadsheets/d/11923uPwbBZFjjGgGUA6NLw09EwE0CqkOc4q9oUmW1yo/edit?usp=sharing"",""แพร่!J314"")"),10)</f>
        <v>10</v>
      </c>
      <c r="U26" s="309">
        <f ca="1">IFERROR(__xludf.DUMMYFUNCTION("IMPORTRANGE(""https://docs.google.com/spreadsheets/d/11923uPwbBZFjjGgGUA6NLw09EwE0CqkOc4q9oUmW1yo/edit?usp=sharing"",""แพร่!J315"")"),10)</f>
        <v>10</v>
      </c>
      <c r="V26" s="392">
        <f ca="1">IFERROR(__xludf.DUMMYFUNCTION("IMPORTRANGE(""https://docs.google.com/spreadsheets/d/1C3CXT74ZlgGe6_JY_1olB1XN4rF0dxEuIIF-xsYjHgg/edit?usp=sharing"",""งบกองทุน!AH30"")"),42)</f>
        <v>42</v>
      </c>
      <c r="W26" s="392">
        <f ca="1">IFERROR(__xludf.DUMMYFUNCTION("IMPORTRANGE(""https://docs.google.com/spreadsheets/d/1C3CXT74ZlgGe6_JY_1olB1XN4rF0dxEuIIF-xsYjHgg/edit?usp=sharing"",""งบกองทุน!AI30"")"),14)</f>
        <v>14</v>
      </c>
      <c r="X26" s="308">
        <f ca="1">IFERROR(__xludf.DUMMYFUNCTION("IMPORTRANGE(""https://docs.google.com/spreadsheets/d/11923uPwbBZFjjGgGUA6NLw09EwE0CqkOc4q9oUmW1yo/edit?usp=sharing"",""แพร่!J317"")"),42)</f>
        <v>42</v>
      </c>
      <c r="Y26" s="309">
        <f t="shared" ca="1" si="9"/>
        <v>100</v>
      </c>
      <c r="Z26" s="308">
        <f ca="1">IFERROR(__xludf.DUMMYFUNCTION("IMPORTRANGE(""https://docs.google.com/spreadsheets/d/11923uPwbBZFjjGgGUA6NLw09EwE0CqkOc4q9oUmW1yo/edit?usp=sharing"",""แพร่!J316"")"),0)</f>
        <v>0</v>
      </c>
      <c r="AA26" s="309">
        <f t="shared" ca="1" si="10"/>
        <v>0</v>
      </c>
      <c r="AB26" s="308">
        <f ca="1">IFERROR(__xludf.DUMMYFUNCTION("IMPORTRANGE(""https://docs.google.com/spreadsheets/d/11923uPwbBZFjjGgGUA6NLw09EwE0CqkOc4q9oUmW1yo/edit?usp=sharing"",""แพร่!J318"")"),14)</f>
        <v>14</v>
      </c>
      <c r="AC26" s="308">
        <f ca="1">IFERROR(__xludf.DUMMYFUNCTION("IMPORTRANGE(""https://docs.google.com/spreadsheets/d/11923uPwbBZFjjGgGUA6NLw09EwE0CqkOc4q9oUmW1yo/edit?usp=sharing"",""แพร่!J319"")"),0)</f>
        <v>0</v>
      </c>
      <c r="AD26" s="308">
        <f ca="1">IFERROR(__xludf.DUMMYFUNCTION("IMPORTRANGE(""https://docs.google.com/spreadsheets/d/11923uPwbBZFjjGgGUA6NLw09EwE0CqkOc4q9oUmW1yo/edit?usp=sharing"",""แพร่!J320"")"),0)</f>
        <v>0</v>
      </c>
      <c r="AE26" s="392">
        <f ca="1">IFERROR(__xludf.DUMMYFUNCTION("IMPORTRANGE(""https://docs.google.com/spreadsheets/d/1C3CXT74ZlgGe6_JY_1olB1XN4rF0dxEuIIF-xsYjHgg/edit?usp=sharing"",""งบกองทุน!AM30"")"),48)</f>
        <v>48</v>
      </c>
      <c r="AF26" s="392">
        <f ca="1">IFERROR(__xludf.DUMMYFUNCTION("IMPORTRANGE(""https://docs.google.com/spreadsheets/d/1C3CXT74ZlgGe6_JY_1olB1XN4rF0dxEuIIF-xsYjHgg/edit?usp=sharing"",""งบกองทุน!AN30"")"),16)</f>
        <v>16</v>
      </c>
      <c r="AG26" s="308">
        <f ca="1">IFERROR(__xludf.DUMMYFUNCTION("IMPORTRANGE(""https://docs.google.com/spreadsheets/d/11923uPwbBZFjjGgGUA6NLw09EwE0CqkOc4q9oUmW1yo/edit?usp=sharing"",""แพร่!J322"")"),48)</f>
        <v>48</v>
      </c>
      <c r="AH26" s="309">
        <f t="shared" ca="1" si="12"/>
        <v>100</v>
      </c>
      <c r="AI26" s="308">
        <f ca="1">IFERROR(__xludf.DUMMYFUNCTION("IMPORTRANGE(""https://docs.google.com/spreadsheets/d/11923uPwbBZFjjGgGUA6NLw09EwE0CqkOc4q9oUmW1yo/edit?usp=sharing"",""แพร่!J321"")"),0)</f>
        <v>0</v>
      </c>
      <c r="AJ26" s="309">
        <f t="shared" ca="1" si="13"/>
        <v>0</v>
      </c>
      <c r="AK26" s="308">
        <f ca="1">IFERROR(__xludf.DUMMYFUNCTION("IMPORTRANGE(""https://docs.google.com/spreadsheets/d/11923uPwbBZFjjGgGUA6NLw09EwE0CqkOc4q9oUmW1yo/edit?usp=sharing"",""แพร่!J323"")"),0)</f>
        <v>0</v>
      </c>
      <c r="AL26" s="308">
        <f ca="1">IFERROR(__xludf.DUMMYFUNCTION("IMPORTRANGE(""https://docs.google.com/spreadsheets/d/11923uPwbBZFjjGgGUA6NLw09EwE0CqkOc4q9oUmW1yo/edit?usp=sharing"",""แพร่!J324"")"),16)</f>
        <v>16</v>
      </c>
      <c r="AM26" s="308">
        <f t="shared" ca="1" si="56"/>
        <v>24</v>
      </c>
      <c r="AN26" s="308">
        <f ca="1">IFERROR(__xludf.DUMMYFUNCTION("IMPORTRANGE(""https://docs.google.com/spreadsheets/d/11923uPwbBZFjjGgGUA6NLw09EwE0CqkOc4q9oUmW1yo/edit?usp=sharing"",""แพร่!J325"")"),0)</f>
        <v>0</v>
      </c>
      <c r="AO26" s="309">
        <f t="shared" ca="1" si="15"/>
        <v>0</v>
      </c>
      <c r="AP26" s="392">
        <f ca="1">IFERROR(__xludf.DUMMYFUNCTION("IMPORTRANGE(""https://docs.google.com/spreadsheets/d/1C3CXT74ZlgGe6_JY_1olB1XN4rF0dxEuIIF-xsYjHgg/edit?usp=sharing"",""งบกองทุน!AR30"")"),10)</f>
        <v>10</v>
      </c>
      <c r="AQ26" s="308">
        <f ca="1">IFERROR(__xludf.DUMMYFUNCTION("IMPORTRANGE(""https://docs.google.com/spreadsheets/d/11923uPwbBZFjjGgGUA6NLw09EwE0CqkOc4q9oUmW1yo/edit?usp=sharing"",""แพร่!J326"")"),0)</f>
        <v>0</v>
      </c>
      <c r="AR26" s="308">
        <f ca="1">IFERROR(__xludf.DUMMYFUNCTION("IMPORTRANGE(""https://docs.google.com/spreadsheets/d/1C3CXT74ZlgGe6_JY_1olB1XN4rF0dxEuIIF-xsYjHgg/edit?usp=sharing"",""งบกองทุน!AS30"")"),14)</f>
        <v>14</v>
      </c>
      <c r="AS26" s="393">
        <f ca="1">IFERROR(__xludf.DUMMYFUNCTION("IMPORTRANGE(""https://docs.google.com/spreadsheets/d/11923uPwbBZFjjGgGUA6NLw09EwE0CqkOc4q9oUmW1yo/edit?usp=sharing"",""แพร่!J327"")"),0)</f>
        <v>0</v>
      </c>
    </row>
    <row r="27" spans="1:45" ht="21" customHeight="1">
      <c r="A27" s="303">
        <v>12</v>
      </c>
      <c r="B27" s="304" t="s">
        <v>51</v>
      </c>
      <c r="C27" s="391">
        <f t="shared" ca="1" si="52"/>
        <v>104590</v>
      </c>
      <c r="D27" s="306">
        <f ca="1">IFERROR(__xludf.DUMMYFUNCTION("IMPORTRANGE(""https://docs.google.com/spreadsheets/d/1C3CXT74ZlgGe6_JY_1olB1XN4rF0dxEuIIF-xsYjHgg/edit?usp=sharing"",""งบกองทุน!Z31"")"),0)</f>
        <v>0</v>
      </c>
      <c r="E27" s="306">
        <f ca="1">IFERROR(__xludf.DUMMYFUNCTION("IMPORTRANGE(""https://docs.google.com/spreadsheets/d/1C3CXT74ZlgGe6_JY_1olB1XN4rF0dxEuIIF-xsYjHgg/edit?usp=sharing"",""งบกองทุน!AA31"")"),104590)</f>
        <v>104590</v>
      </c>
      <c r="F27" s="307">
        <f ca="1">IFERROR(__xludf.DUMMYFUNCTION("IMPORTRANGE(""https://docs.google.com/spreadsheets/d/11923uPwbBZFjjGgGUA6NLw09EwE0CqkOc4q9oUmW1yo/edit?usp=sharing"",""แม่ฮ่องสอน!M299"")"),90230)</f>
        <v>90230</v>
      </c>
      <c r="G27" s="307">
        <f t="shared" ca="1" si="1"/>
        <v>86.270197915670721</v>
      </c>
      <c r="H27" s="308">
        <f t="shared" ref="H27:I27" ca="1" si="67">+N27+V27+AE27</f>
        <v>93</v>
      </c>
      <c r="I27" s="308">
        <f t="shared" ca="1" si="67"/>
        <v>31</v>
      </c>
      <c r="J27" s="308">
        <f t="shared" ca="1" si="54"/>
        <v>93</v>
      </c>
      <c r="K27" s="309">
        <f t="shared" ca="1" si="3"/>
        <v>100</v>
      </c>
      <c r="L27" s="308">
        <f t="shared" ca="1" si="55"/>
        <v>31</v>
      </c>
      <c r="M27" s="309">
        <f t="shared" ca="1" si="4"/>
        <v>100</v>
      </c>
      <c r="N27" s="394">
        <f ca="1">IFERROR(__xludf.DUMMYFUNCTION("IMPORTRANGE(""https://docs.google.com/spreadsheets/d/1C3CXT74ZlgGe6_JY_1olB1XN4rF0dxEuIIF-xsYjHgg/edit?usp=sharing"",""งบกองทุน!AD31"")"),0)</f>
        <v>0</v>
      </c>
      <c r="O27" s="394">
        <f ca="1">IFERROR(__xludf.DUMMYFUNCTION("IMPORTRANGE(""https://docs.google.com/spreadsheets/d/1C3CXT74ZlgGe6_JY_1olB1XN4rF0dxEuIIF-xsYjHgg/edit?usp=sharing"",""งบกองทุน!AE31"")"),0)</f>
        <v>0</v>
      </c>
      <c r="P27" s="308">
        <f ca="1">IFERROR(__xludf.DUMMYFUNCTION("IMPORTRANGE(""https://docs.google.com/spreadsheets/d/11923uPwbBZFjjGgGUA6NLw09EwE0CqkOc4q9oUmW1yo/edit?usp=sharing"",""แม่ฮ่องสอน!J313"")"),0)</f>
        <v>0</v>
      </c>
      <c r="Q27" s="309">
        <f t="shared" ca="1" si="6"/>
        <v>0</v>
      </c>
      <c r="R27" s="308">
        <f ca="1">IFERROR(__xludf.DUMMYFUNCTION("IMPORTRANGE(""https://docs.google.com/spreadsheets/d/11923uPwbBZFjjGgGUA6NLw09EwE0CqkOc4q9oUmW1yo/edit?usp=sharing"",""แม่ฮ่องสอน!J312"")"),0)</f>
        <v>0</v>
      </c>
      <c r="S27" s="309">
        <f t="shared" ca="1" si="7"/>
        <v>0</v>
      </c>
      <c r="T27" s="309">
        <f ca="1">IFERROR(__xludf.DUMMYFUNCTION("IMPORTRANGE(""https://docs.google.com/spreadsheets/d/11923uPwbBZFjjGgGUA6NLw09EwE0CqkOc4q9oUmW1yo/edit?usp=sharing"",""แม่ฮ่องสอน!J314"")"),0)</f>
        <v>0</v>
      </c>
      <c r="U27" s="309">
        <f ca="1">IFERROR(__xludf.DUMMYFUNCTION("IMPORTRANGE(""https://docs.google.com/spreadsheets/d/11923uPwbBZFjjGgGUA6NLw09EwE0CqkOc4q9oUmW1yo/edit?usp=sharing"",""แม่ฮ่องสอน!J315"")"),0)</f>
        <v>0</v>
      </c>
      <c r="V27" s="392">
        <f ca="1">IFERROR(__xludf.DUMMYFUNCTION("IMPORTRANGE(""https://docs.google.com/spreadsheets/d/1C3CXT74ZlgGe6_JY_1olB1XN4rF0dxEuIIF-xsYjHgg/edit?usp=sharing"",""งบกองทุน!AH31"")"),63)</f>
        <v>63</v>
      </c>
      <c r="W27" s="392">
        <f ca="1">IFERROR(__xludf.DUMMYFUNCTION("IMPORTRANGE(""https://docs.google.com/spreadsheets/d/1C3CXT74ZlgGe6_JY_1olB1XN4rF0dxEuIIF-xsYjHgg/edit?usp=sharing"",""งบกองทุน!AI31"")"),21)</f>
        <v>21</v>
      </c>
      <c r="X27" s="308">
        <f ca="1">IFERROR(__xludf.DUMMYFUNCTION("IMPORTRANGE(""https://docs.google.com/spreadsheets/d/11923uPwbBZFjjGgGUA6NLw09EwE0CqkOc4q9oUmW1yo/edit?usp=sharing"",""แม่ฮ่องสอน!J317"")"),63)</f>
        <v>63</v>
      </c>
      <c r="Y27" s="309">
        <f t="shared" ca="1" si="9"/>
        <v>100</v>
      </c>
      <c r="Z27" s="308">
        <f ca="1">IFERROR(__xludf.DUMMYFUNCTION("IMPORTRANGE(""https://docs.google.com/spreadsheets/d/11923uPwbBZFjjGgGUA6NLw09EwE0CqkOc4q9oUmW1yo/edit?usp=sharing"",""แม่ฮ่องสอน!J316"")"),21)</f>
        <v>21</v>
      </c>
      <c r="AA27" s="309">
        <f t="shared" ca="1" si="10"/>
        <v>100</v>
      </c>
      <c r="AB27" s="308">
        <f ca="1">IFERROR(__xludf.DUMMYFUNCTION("IMPORTRANGE(""https://docs.google.com/spreadsheets/d/11923uPwbBZFjjGgGUA6NLw09EwE0CqkOc4q9oUmW1yo/edit?usp=sharing"",""แม่ฮ่องสอน!J318"")"),21)</f>
        <v>21</v>
      </c>
      <c r="AC27" s="308">
        <f ca="1">IFERROR(__xludf.DUMMYFUNCTION("IMPORTRANGE(""https://docs.google.com/spreadsheets/d/11923uPwbBZFjjGgGUA6NLw09EwE0CqkOc4q9oUmW1yo/edit?usp=sharing"",""แม่ฮ่องสอน!J319"")"),21)</f>
        <v>21</v>
      </c>
      <c r="AD27" s="308">
        <f ca="1">IFERROR(__xludf.DUMMYFUNCTION("IMPORTRANGE(""https://docs.google.com/spreadsheets/d/11923uPwbBZFjjGgGUA6NLw09EwE0CqkOc4q9oUmW1yo/edit?usp=sharing"",""แม่ฮ่องสอน!J320"")"),21)</f>
        <v>21</v>
      </c>
      <c r="AE27" s="392">
        <f ca="1">IFERROR(__xludf.DUMMYFUNCTION("IMPORTRANGE(""https://docs.google.com/spreadsheets/d/1C3CXT74ZlgGe6_JY_1olB1XN4rF0dxEuIIF-xsYjHgg/edit?usp=sharing"",""งบกองทุน!AM31"")"),30)</f>
        <v>30</v>
      </c>
      <c r="AF27" s="392">
        <f ca="1">IFERROR(__xludf.DUMMYFUNCTION("IMPORTRANGE(""https://docs.google.com/spreadsheets/d/1C3CXT74ZlgGe6_JY_1olB1XN4rF0dxEuIIF-xsYjHgg/edit?usp=sharing"",""งบกองทุน!AN31"")"),10)</f>
        <v>10</v>
      </c>
      <c r="AG27" s="308">
        <f ca="1">IFERROR(__xludf.DUMMYFUNCTION("IMPORTRANGE(""https://docs.google.com/spreadsheets/d/11923uPwbBZFjjGgGUA6NLw09EwE0CqkOc4q9oUmW1yo/edit?usp=sharing"",""แม่ฮ่องสอน!J322"")"),30)</f>
        <v>30</v>
      </c>
      <c r="AH27" s="309">
        <f t="shared" ca="1" si="12"/>
        <v>100</v>
      </c>
      <c r="AI27" s="308">
        <f ca="1">IFERROR(__xludf.DUMMYFUNCTION("IMPORTRANGE(""https://docs.google.com/spreadsheets/d/11923uPwbBZFjjGgGUA6NLw09EwE0CqkOc4q9oUmW1yo/edit?usp=sharing"",""แม่ฮ่องสอน!J321"")"),10)</f>
        <v>10</v>
      </c>
      <c r="AJ27" s="309">
        <f t="shared" ca="1" si="13"/>
        <v>100</v>
      </c>
      <c r="AK27" s="308">
        <f ca="1">IFERROR(__xludf.DUMMYFUNCTION("IMPORTRANGE(""https://docs.google.com/spreadsheets/d/11923uPwbBZFjjGgGUA6NLw09EwE0CqkOc4q9oUmW1yo/edit?usp=sharing"",""แม่ฮ่องสอน!J323"")"),10)</f>
        <v>10</v>
      </c>
      <c r="AL27" s="308">
        <f ca="1">IFERROR(__xludf.DUMMYFUNCTION("IMPORTRANGE(""https://docs.google.com/spreadsheets/d/11923uPwbBZFjjGgGUA6NLw09EwE0CqkOc4q9oUmW1yo/edit?usp=sharing"",""แม่ฮ่องสอน!J324"")"),10)</f>
        <v>10</v>
      </c>
      <c r="AM27" s="308">
        <f t="shared" ca="1" si="56"/>
        <v>21</v>
      </c>
      <c r="AN27" s="308">
        <f ca="1">IFERROR(__xludf.DUMMYFUNCTION("IMPORTRANGE(""https://docs.google.com/spreadsheets/d/11923uPwbBZFjjGgGUA6NLw09EwE0CqkOc4q9oUmW1yo/edit?usp=sharing"",""แม่ฮ่องสอน!J325"")"),21)</f>
        <v>21</v>
      </c>
      <c r="AO27" s="309">
        <f t="shared" ca="1" si="15"/>
        <v>100</v>
      </c>
      <c r="AP27" s="394">
        <f ca="1">IFERROR(__xludf.DUMMYFUNCTION("IMPORTRANGE(""https://docs.google.com/spreadsheets/d/1C3CXT74ZlgGe6_JY_1olB1XN4rF0dxEuIIF-xsYjHgg/edit?usp=sharing"",""งบกองทุน!AR31"")"),0)</f>
        <v>0</v>
      </c>
      <c r="AQ27" s="308">
        <f ca="1">IFERROR(__xludf.DUMMYFUNCTION("IMPORTRANGE(""https://docs.google.com/spreadsheets/d/11923uPwbBZFjjGgGUA6NLw09EwE0CqkOc4q9oUmW1yo/edit?usp=sharing"",""แม่ฮ่องสอน!J326"")"),0)</f>
        <v>0</v>
      </c>
      <c r="AR27" s="308">
        <f ca="1">IFERROR(__xludf.DUMMYFUNCTION("IMPORTRANGE(""https://docs.google.com/spreadsheets/d/1C3CXT74ZlgGe6_JY_1olB1XN4rF0dxEuIIF-xsYjHgg/edit?usp=sharing"",""งบกองทุน!AS31"")"),21)</f>
        <v>21</v>
      </c>
      <c r="AS27" s="393">
        <f ca="1">IFERROR(__xludf.DUMMYFUNCTION("IMPORTRANGE(""https://docs.google.com/spreadsheets/d/11923uPwbBZFjjGgGUA6NLw09EwE0CqkOc4q9oUmW1yo/edit?usp=sharing"",""แม่ฮ่องสอน!J327"")"),21)</f>
        <v>21</v>
      </c>
    </row>
    <row r="28" spans="1:45" ht="21" customHeight="1">
      <c r="A28" s="303">
        <v>13</v>
      </c>
      <c r="B28" s="304" t="s">
        <v>52</v>
      </c>
      <c r="C28" s="391">
        <f t="shared" ca="1" si="52"/>
        <v>144560</v>
      </c>
      <c r="D28" s="306">
        <f ca="1">IFERROR(__xludf.DUMMYFUNCTION("IMPORTRANGE(""https://docs.google.com/spreadsheets/d/1C3CXT74ZlgGe6_JY_1olB1XN4rF0dxEuIIF-xsYjHgg/edit?usp=sharing"",""งบกองทุน!Z32"")"),0)</f>
        <v>0</v>
      </c>
      <c r="E28" s="306">
        <f ca="1">IFERROR(__xludf.DUMMYFUNCTION("IMPORTRANGE(""https://docs.google.com/spreadsheets/d/1C3CXT74ZlgGe6_JY_1olB1XN4rF0dxEuIIF-xsYjHgg/edit?usp=sharing"",""งบกองทุน!AA32"")"),144560)</f>
        <v>144560</v>
      </c>
      <c r="F28" s="307">
        <f ca="1">IFERROR(__xludf.DUMMYFUNCTION("IMPORTRANGE(""https://docs.google.com/spreadsheets/d/11923uPwbBZFjjGgGUA6NLw09EwE0CqkOc4q9oUmW1yo/edit?usp=sharing"",""ลำปาง!M299"")"),51155)</f>
        <v>51155</v>
      </c>
      <c r="G28" s="307">
        <f t="shared" ca="1" si="1"/>
        <v>35.386690647482013</v>
      </c>
      <c r="H28" s="308">
        <f t="shared" ref="H28:I28" ca="1" si="68">+N28+V28+AE28</f>
        <v>120</v>
      </c>
      <c r="I28" s="308">
        <f t="shared" ca="1" si="68"/>
        <v>40</v>
      </c>
      <c r="J28" s="308">
        <f t="shared" ca="1" si="54"/>
        <v>120</v>
      </c>
      <c r="K28" s="309">
        <f t="shared" ca="1" si="3"/>
        <v>100</v>
      </c>
      <c r="L28" s="308">
        <f t="shared" ca="1" si="55"/>
        <v>40</v>
      </c>
      <c r="M28" s="309">
        <f t="shared" ca="1" si="4"/>
        <v>100</v>
      </c>
      <c r="N28" s="392">
        <f ca="1">IFERROR(__xludf.DUMMYFUNCTION("IMPORTRANGE(""https://docs.google.com/spreadsheets/d/1C3CXT74ZlgGe6_JY_1olB1XN4rF0dxEuIIF-xsYjHgg/edit?usp=sharing"",""งบกองทุน!AD32"")"),30)</f>
        <v>30</v>
      </c>
      <c r="O28" s="392">
        <f ca="1">IFERROR(__xludf.DUMMYFUNCTION("IMPORTRANGE(""https://docs.google.com/spreadsheets/d/1C3CXT74ZlgGe6_JY_1olB1XN4rF0dxEuIIF-xsYjHgg/edit?usp=sharing"",""งบกองทุน!AE32"")"),10)</f>
        <v>10</v>
      </c>
      <c r="P28" s="308">
        <f ca="1">IFERROR(__xludf.DUMMYFUNCTION("IMPORTRANGE(""https://docs.google.com/spreadsheets/d/11923uPwbBZFjjGgGUA6NLw09EwE0CqkOc4q9oUmW1yo/edit?usp=sharing"",""ลำปาง!J313"")"),30)</f>
        <v>30</v>
      </c>
      <c r="Q28" s="309">
        <f t="shared" ca="1" si="6"/>
        <v>100</v>
      </c>
      <c r="R28" s="308">
        <f ca="1">IFERROR(__xludf.DUMMYFUNCTION("IMPORTRANGE(""https://docs.google.com/spreadsheets/d/11923uPwbBZFjjGgGUA6NLw09EwE0CqkOc4q9oUmW1yo/edit?usp=sharing"",""ลำปาง!J312"")"),10)</f>
        <v>10</v>
      </c>
      <c r="S28" s="309">
        <f t="shared" ca="1" si="7"/>
        <v>100</v>
      </c>
      <c r="T28" s="309">
        <f ca="1">IFERROR(__xludf.DUMMYFUNCTION("IMPORTRANGE(""https://docs.google.com/spreadsheets/d/11923uPwbBZFjjGgGUA6NLw09EwE0CqkOc4q9oUmW1yo/edit?usp=sharing"",""ลำปาง!J314"")"),10)</f>
        <v>10</v>
      </c>
      <c r="U28" s="309">
        <f ca="1">IFERROR(__xludf.DUMMYFUNCTION("IMPORTRANGE(""https://docs.google.com/spreadsheets/d/11923uPwbBZFjjGgGUA6NLw09EwE0CqkOc4q9oUmW1yo/edit?usp=sharing"",""ลำปาง!J315"")"),10)</f>
        <v>10</v>
      </c>
      <c r="V28" s="392">
        <f ca="1">IFERROR(__xludf.DUMMYFUNCTION("IMPORTRANGE(""https://docs.google.com/spreadsheets/d/1C3CXT74ZlgGe6_JY_1olB1XN4rF0dxEuIIF-xsYjHgg/edit?usp=sharing"",""งบกองทุน!AH32"")"),60)</f>
        <v>60</v>
      </c>
      <c r="W28" s="392">
        <f ca="1">IFERROR(__xludf.DUMMYFUNCTION("IMPORTRANGE(""https://docs.google.com/spreadsheets/d/1C3CXT74ZlgGe6_JY_1olB1XN4rF0dxEuIIF-xsYjHgg/edit?usp=sharing"",""งบกองทุน!AI32"")"),20)</f>
        <v>20</v>
      </c>
      <c r="X28" s="308">
        <f ca="1">IFERROR(__xludf.DUMMYFUNCTION("IMPORTRANGE(""https://docs.google.com/spreadsheets/d/11923uPwbBZFjjGgGUA6NLw09EwE0CqkOc4q9oUmW1yo/edit?usp=sharing"",""ลำปาง!J317"")"),60)</f>
        <v>60</v>
      </c>
      <c r="Y28" s="309">
        <f t="shared" ca="1" si="9"/>
        <v>100</v>
      </c>
      <c r="Z28" s="308">
        <f ca="1">IFERROR(__xludf.DUMMYFUNCTION("IMPORTRANGE(""https://docs.google.com/spreadsheets/d/11923uPwbBZFjjGgGUA6NLw09EwE0CqkOc4q9oUmW1yo/edit?usp=sharing"",""ลำปาง!J316"")"),20)</f>
        <v>20</v>
      </c>
      <c r="AA28" s="309">
        <f t="shared" ca="1" si="10"/>
        <v>100</v>
      </c>
      <c r="AB28" s="308">
        <f ca="1">IFERROR(__xludf.DUMMYFUNCTION("IMPORTRANGE(""https://docs.google.com/spreadsheets/d/11923uPwbBZFjjGgGUA6NLw09EwE0CqkOc4q9oUmW1yo/edit?usp=sharing"",""ลำปาง!J318"")"),20)</f>
        <v>20</v>
      </c>
      <c r="AC28" s="308">
        <f ca="1">IFERROR(__xludf.DUMMYFUNCTION("IMPORTRANGE(""https://docs.google.com/spreadsheets/d/11923uPwbBZFjjGgGUA6NLw09EwE0CqkOc4q9oUmW1yo/edit?usp=sharing"",""ลำปาง!J319"")"),20)</f>
        <v>20</v>
      </c>
      <c r="AD28" s="308">
        <f ca="1">IFERROR(__xludf.DUMMYFUNCTION("IMPORTRANGE(""https://docs.google.com/spreadsheets/d/11923uPwbBZFjjGgGUA6NLw09EwE0CqkOc4q9oUmW1yo/edit?usp=sharing"",""ลำปาง!J320"")"),20)</f>
        <v>20</v>
      </c>
      <c r="AE28" s="392">
        <f ca="1">IFERROR(__xludf.DUMMYFUNCTION("IMPORTRANGE(""https://docs.google.com/spreadsheets/d/1C3CXT74ZlgGe6_JY_1olB1XN4rF0dxEuIIF-xsYjHgg/edit?usp=sharing"",""งบกองทุน!AM32"")"),30)</f>
        <v>30</v>
      </c>
      <c r="AF28" s="392">
        <f ca="1">IFERROR(__xludf.DUMMYFUNCTION("IMPORTRANGE(""https://docs.google.com/spreadsheets/d/1C3CXT74ZlgGe6_JY_1olB1XN4rF0dxEuIIF-xsYjHgg/edit?usp=sharing"",""งบกองทุน!AN32"")"),10)</f>
        <v>10</v>
      </c>
      <c r="AG28" s="308">
        <f ca="1">IFERROR(__xludf.DUMMYFUNCTION("IMPORTRANGE(""https://docs.google.com/spreadsheets/d/11923uPwbBZFjjGgGUA6NLw09EwE0CqkOc4q9oUmW1yo/edit?usp=sharing"",""ลำปาง!J322"")"),30)</f>
        <v>30</v>
      </c>
      <c r="AH28" s="309">
        <f t="shared" ca="1" si="12"/>
        <v>100</v>
      </c>
      <c r="AI28" s="308">
        <f ca="1">IFERROR(__xludf.DUMMYFUNCTION("IMPORTRANGE(""https://docs.google.com/spreadsheets/d/11923uPwbBZFjjGgGUA6NLw09EwE0CqkOc4q9oUmW1yo/edit?usp=sharing"",""ลำปาง!J321"")"),10)</f>
        <v>10</v>
      </c>
      <c r="AJ28" s="309">
        <f t="shared" ca="1" si="13"/>
        <v>100</v>
      </c>
      <c r="AK28" s="308">
        <f ca="1">IFERROR(__xludf.DUMMYFUNCTION("IMPORTRANGE(""https://docs.google.com/spreadsheets/d/11923uPwbBZFjjGgGUA6NLw09EwE0CqkOc4q9oUmW1yo/edit?usp=sharing"",""ลำปาง!J323"")"),10)</f>
        <v>10</v>
      </c>
      <c r="AL28" s="308">
        <f ca="1">IFERROR(__xludf.DUMMYFUNCTION("IMPORTRANGE(""https://docs.google.com/spreadsheets/d/11923uPwbBZFjjGgGUA6NLw09EwE0CqkOc4q9oUmW1yo/edit?usp=sharing"",""ลำปาง!J324"")"),10)</f>
        <v>10</v>
      </c>
      <c r="AM28" s="308">
        <f t="shared" ca="1" si="56"/>
        <v>30</v>
      </c>
      <c r="AN28" s="308">
        <f ca="1">IFERROR(__xludf.DUMMYFUNCTION("IMPORTRANGE(""https://docs.google.com/spreadsheets/d/11923uPwbBZFjjGgGUA6NLw09EwE0CqkOc4q9oUmW1yo/edit?usp=sharing"",""ลำปาง!J325"")"),0)</f>
        <v>0</v>
      </c>
      <c r="AO28" s="309">
        <f t="shared" ca="1" si="15"/>
        <v>0</v>
      </c>
      <c r="AP28" s="392">
        <f ca="1">IFERROR(__xludf.DUMMYFUNCTION("IMPORTRANGE(""https://docs.google.com/spreadsheets/d/1C3CXT74ZlgGe6_JY_1olB1XN4rF0dxEuIIF-xsYjHgg/edit?usp=sharing"",""งบกองทุน!AR32"")"),10)</f>
        <v>10</v>
      </c>
      <c r="AQ28" s="308">
        <f ca="1">IFERROR(__xludf.DUMMYFUNCTION("IMPORTRANGE(""https://docs.google.com/spreadsheets/d/11923uPwbBZFjjGgGUA6NLw09EwE0CqkOc4q9oUmW1yo/edit?usp=sharing"",""ลำปาง!J326"")"),0)</f>
        <v>0</v>
      </c>
      <c r="AR28" s="308">
        <f ca="1">IFERROR(__xludf.DUMMYFUNCTION("IMPORTRANGE(""https://docs.google.com/spreadsheets/d/1C3CXT74ZlgGe6_JY_1olB1XN4rF0dxEuIIF-xsYjHgg/edit?usp=sharing"",""งบกองทุน!AS32"")"),20)</f>
        <v>20</v>
      </c>
      <c r="AS28" s="393">
        <f ca="1">IFERROR(__xludf.DUMMYFUNCTION("IMPORTRANGE(""https://docs.google.com/spreadsheets/d/11923uPwbBZFjjGgGUA6NLw09EwE0CqkOc4q9oUmW1yo/edit?usp=sharing"",""ลำปาง!J327"")"),0)</f>
        <v>0</v>
      </c>
    </row>
    <row r="29" spans="1:45" ht="21" customHeight="1">
      <c r="A29" s="303">
        <v>14</v>
      </c>
      <c r="B29" s="304" t="s">
        <v>53</v>
      </c>
      <c r="C29" s="391">
        <f t="shared" ca="1" si="52"/>
        <v>188190</v>
      </c>
      <c r="D29" s="306">
        <f ca="1">IFERROR(__xludf.DUMMYFUNCTION("IMPORTRANGE(""https://docs.google.com/spreadsheets/d/1C3CXT74ZlgGe6_JY_1olB1XN4rF0dxEuIIF-xsYjHgg/edit?usp=sharing"",""งบกองทุน!Z33"")"),0)</f>
        <v>0</v>
      </c>
      <c r="E29" s="306">
        <f ca="1">IFERROR(__xludf.DUMMYFUNCTION("IMPORTRANGE(""https://docs.google.com/spreadsheets/d/1C3CXT74ZlgGe6_JY_1olB1XN4rF0dxEuIIF-xsYjHgg/edit?usp=sharing"",""งบกองทุน!AA33"")"),188190)</f>
        <v>188190</v>
      </c>
      <c r="F29" s="307">
        <f ca="1">IFERROR(__xludf.DUMMYFUNCTION("IMPORTRANGE(""https://docs.google.com/spreadsheets/d/11923uPwbBZFjjGgGUA6NLw09EwE0CqkOc4q9oUmW1yo/edit?usp=sharing"",""ลำพูน!M299"")"),61885)</f>
        <v>61885</v>
      </c>
      <c r="G29" s="307">
        <f t="shared" ca="1" si="1"/>
        <v>32.884319039268824</v>
      </c>
      <c r="H29" s="308">
        <f t="shared" ref="H29:I29" ca="1" si="69">+N29+V29+AE29</f>
        <v>165</v>
      </c>
      <c r="I29" s="308">
        <f t="shared" ca="1" si="69"/>
        <v>55</v>
      </c>
      <c r="J29" s="308">
        <f t="shared" ca="1" si="54"/>
        <v>165</v>
      </c>
      <c r="K29" s="309">
        <f t="shared" ca="1" si="3"/>
        <v>100</v>
      </c>
      <c r="L29" s="308">
        <f t="shared" ca="1" si="55"/>
        <v>10</v>
      </c>
      <c r="M29" s="309">
        <f t="shared" ca="1" si="4"/>
        <v>18.181818181818183</v>
      </c>
      <c r="N29" s="392">
        <f ca="1">IFERROR(__xludf.DUMMYFUNCTION("IMPORTRANGE(""https://docs.google.com/spreadsheets/d/1C3CXT74ZlgGe6_JY_1olB1XN4rF0dxEuIIF-xsYjHgg/edit?usp=sharing"",""งบกองทุน!AD33"")"),30)</f>
        <v>30</v>
      </c>
      <c r="O29" s="392">
        <f ca="1">IFERROR(__xludf.DUMMYFUNCTION("IMPORTRANGE(""https://docs.google.com/spreadsheets/d/1C3CXT74ZlgGe6_JY_1olB1XN4rF0dxEuIIF-xsYjHgg/edit?usp=sharing"",""งบกองทุน!AE33"")"),10)</f>
        <v>10</v>
      </c>
      <c r="P29" s="308">
        <f ca="1">IFERROR(__xludf.DUMMYFUNCTION("IMPORTRANGE(""https://docs.google.com/spreadsheets/d/11923uPwbBZFjjGgGUA6NLw09EwE0CqkOc4q9oUmW1yo/edit?usp=sharing"",""ลำพูน!J313"")"),30)</f>
        <v>30</v>
      </c>
      <c r="Q29" s="309">
        <f t="shared" ca="1" si="6"/>
        <v>100</v>
      </c>
      <c r="R29" s="308">
        <f ca="1">IFERROR(__xludf.DUMMYFUNCTION("IMPORTRANGE(""https://docs.google.com/spreadsheets/d/11923uPwbBZFjjGgGUA6NLw09EwE0CqkOc4q9oUmW1yo/edit?usp=sharing"",""ลำพูน!J312"")"),0)</f>
        <v>0</v>
      </c>
      <c r="S29" s="309">
        <f t="shared" ca="1" si="7"/>
        <v>0</v>
      </c>
      <c r="T29" s="309">
        <f ca="1">IFERROR(__xludf.DUMMYFUNCTION("IMPORTRANGE(""https://docs.google.com/spreadsheets/d/11923uPwbBZFjjGgGUA6NLw09EwE0CqkOc4q9oUmW1yo/edit?usp=sharing"",""ลำพูน!J314"")"),10)</f>
        <v>10</v>
      </c>
      <c r="U29" s="309">
        <f ca="1">IFERROR(__xludf.DUMMYFUNCTION("IMPORTRANGE(""https://docs.google.com/spreadsheets/d/11923uPwbBZFjjGgGUA6NLw09EwE0CqkOc4q9oUmW1yo/edit?usp=sharing"",""ลำพูน!J315"")"),0)</f>
        <v>0</v>
      </c>
      <c r="V29" s="392">
        <f ca="1">IFERROR(__xludf.DUMMYFUNCTION("IMPORTRANGE(""https://docs.google.com/spreadsheets/d/1C3CXT74ZlgGe6_JY_1olB1XN4rF0dxEuIIF-xsYjHgg/edit?usp=sharing"",""งบกองทุน!AH33"")"),105)</f>
        <v>105</v>
      </c>
      <c r="W29" s="392">
        <f ca="1">IFERROR(__xludf.DUMMYFUNCTION("IMPORTRANGE(""https://docs.google.com/spreadsheets/d/1C3CXT74ZlgGe6_JY_1olB1XN4rF0dxEuIIF-xsYjHgg/edit?usp=sharing"",""งบกองทุน!AI33"")"),35)</f>
        <v>35</v>
      </c>
      <c r="X29" s="308">
        <f ca="1">IFERROR(__xludf.DUMMYFUNCTION("IMPORTRANGE(""https://docs.google.com/spreadsheets/d/11923uPwbBZFjjGgGUA6NLw09EwE0CqkOc4q9oUmW1yo/edit?usp=sharing"",""ลำพูน!J317"")"),105)</f>
        <v>105</v>
      </c>
      <c r="Y29" s="309">
        <f t="shared" ca="1" si="9"/>
        <v>100</v>
      </c>
      <c r="Z29" s="308">
        <f ca="1">IFERROR(__xludf.DUMMYFUNCTION("IMPORTRANGE(""https://docs.google.com/spreadsheets/d/11923uPwbBZFjjGgGUA6NLw09EwE0CqkOc4q9oUmW1yo/edit?usp=sharing"",""ลำพูน!J316"")"),0)</f>
        <v>0</v>
      </c>
      <c r="AA29" s="309">
        <f t="shared" ca="1" si="10"/>
        <v>0</v>
      </c>
      <c r="AB29" s="308">
        <f ca="1">IFERROR(__xludf.DUMMYFUNCTION("IMPORTRANGE(""https://docs.google.com/spreadsheets/d/11923uPwbBZFjjGgGUA6NLw09EwE0CqkOc4q9oUmW1yo/edit?usp=sharing"",""ลำพูน!J318"")"),35)</f>
        <v>35</v>
      </c>
      <c r="AC29" s="308">
        <f ca="1">IFERROR(__xludf.DUMMYFUNCTION("IMPORTRANGE(""https://docs.google.com/spreadsheets/d/11923uPwbBZFjjGgGUA6NLw09EwE0CqkOc4q9oUmW1yo/edit?usp=sharing"",""ลำพูน!J319"")"),0)</f>
        <v>0</v>
      </c>
      <c r="AD29" s="308">
        <f ca="1">IFERROR(__xludf.DUMMYFUNCTION("IMPORTRANGE(""https://docs.google.com/spreadsheets/d/11923uPwbBZFjjGgGUA6NLw09EwE0CqkOc4q9oUmW1yo/edit?usp=sharing"",""ลำพูน!J320"")"),0)</f>
        <v>0</v>
      </c>
      <c r="AE29" s="392">
        <f ca="1">IFERROR(__xludf.DUMMYFUNCTION("IMPORTRANGE(""https://docs.google.com/spreadsheets/d/1C3CXT74ZlgGe6_JY_1olB1XN4rF0dxEuIIF-xsYjHgg/edit?usp=sharing"",""งบกองทุน!AM33"")"),30)</f>
        <v>30</v>
      </c>
      <c r="AF29" s="392">
        <f ca="1">IFERROR(__xludf.DUMMYFUNCTION("IMPORTRANGE(""https://docs.google.com/spreadsheets/d/1C3CXT74ZlgGe6_JY_1olB1XN4rF0dxEuIIF-xsYjHgg/edit?usp=sharing"",""งบกองทุน!AN33"")"),10)</f>
        <v>10</v>
      </c>
      <c r="AG29" s="308">
        <f ca="1">IFERROR(__xludf.DUMMYFUNCTION("IMPORTRANGE(""https://docs.google.com/spreadsheets/d/11923uPwbBZFjjGgGUA6NLw09EwE0CqkOc4q9oUmW1yo/edit?usp=sharing"",""ลำพูน!J322"")"),30)</f>
        <v>30</v>
      </c>
      <c r="AH29" s="309">
        <f t="shared" ca="1" si="12"/>
        <v>100</v>
      </c>
      <c r="AI29" s="308">
        <f ca="1">IFERROR(__xludf.DUMMYFUNCTION("IMPORTRANGE(""https://docs.google.com/spreadsheets/d/11923uPwbBZFjjGgGUA6NLw09EwE0CqkOc4q9oUmW1yo/edit?usp=sharing"",""ลำพูน!J321"")"),10)</f>
        <v>10</v>
      </c>
      <c r="AJ29" s="309">
        <f t="shared" ca="1" si="13"/>
        <v>100</v>
      </c>
      <c r="AK29" s="308">
        <f ca="1">IFERROR(__xludf.DUMMYFUNCTION("IMPORTRANGE(""https://docs.google.com/spreadsheets/d/11923uPwbBZFjjGgGUA6NLw09EwE0CqkOc4q9oUmW1yo/edit?usp=sharing"",""ลำพูน!J323"")"),10)</f>
        <v>10</v>
      </c>
      <c r="AL29" s="308">
        <f ca="1">IFERROR(__xludf.DUMMYFUNCTION("IMPORTRANGE(""https://docs.google.com/spreadsheets/d/11923uPwbBZFjjGgGUA6NLw09EwE0CqkOc4q9oUmW1yo/edit?usp=sharing"",""ลำพูน!J324"")"),10)</f>
        <v>10</v>
      </c>
      <c r="AM29" s="308">
        <f t="shared" ca="1" si="56"/>
        <v>45</v>
      </c>
      <c r="AN29" s="308">
        <f ca="1">IFERROR(__xludf.DUMMYFUNCTION("IMPORTRANGE(""https://docs.google.com/spreadsheets/d/11923uPwbBZFjjGgGUA6NLw09EwE0CqkOc4q9oUmW1yo/edit?usp=sharing"",""ลำพูน!J325"")"),0)</f>
        <v>0</v>
      </c>
      <c r="AO29" s="309">
        <f t="shared" ca="1" si="15"/>
        <v>0</v>
      </c>
      <c r="AP29" s="392">
        <f ca="1">IFERROR(__xludf.DUMMYFUNCTION("IMPORTRANGE(""https://docs.google.com/spreadsheets/d/1C3CXT74ZlgGe6_JY_1olB1XN4rF0dxEuIIF-xsYjHgg/edit?usp=sharing"",""งบกองทุน!AR33"")"),10)</f>
        <v>10</v>
      </c>
      <c r="AQ29" s="308">
        <f ca="1">IFERROR(__xludf.DUMMYFUNCTION("IMPORTRANGE(""https://docs.google.com/spreadsheets/d/11923uPwbBZFjjGgGUA6NLw09EwE0CqkOc4q9oUmW1yo/edit?usp=sharing"",""ลำพูน!J326"")"),0)</f>
        <v>0</v>
      </c>
      <c r="AR29" s="308">
        <f ca="1">IFERROR(__xludf.DUMMYFUNCTION("IMPORTRANGE(""https://docs.google.com/spreadsheets/d/1C3CXT74ZlgGe6_JY_1olB1XN4rF0dxEuIIF-xsYjHgg/edit?usp=sharing"",""งบกองทุน!AS33"")"),35)</f>
        <v>35</v>
      </c>
      <c r="AS29" s="393">
        <f ca="1">IFERROR(__xludf.DUMMYFUNCTION("IMPORTRANGE(""https://docs.google.com/spreadsheets/d/11923uPwbBZFjjGgGUA6NLw09EwE0CqkOc4q9oUmW1yo/edit?usp=sharing"",""ลำพูน!J327"")"),0)</f>
        <v>0</v>
      </c>
    </row>
    <row r="30" spans="1:45" ht="21" customHeight="1">
      <c r="A30" s="303">
        <v>15</v>
      </c>
      <c r="B30" s="304" t="s">
        <v>54</v>
      </c>
      <c r="C30" s="391">
        <f t="shared" ca="1" si="52"/>
        <v>300950</v>
      </c>
      <c r="D30" s="306">
        <f ca="1">IFERROR(__xludf.DUMMYFUNCTION("IMPORTRANGE(""https://docs.google.com/spreadsheets/d/1C3CXT74ZlgGe6_JY_1olB1XN4rF0dxEuIIF-xsYjHgg/edit?usp=sharing"",""งบกองทุน!Z34"")"),0)</f>
        <v>0</v>
      </c>
      <c r="E30" s="306">
        <f ca="1">IFERROR(__xludf.DUMMYFUNCTION("IMPORTRANGE(""https://docs.google.com/spreadsheets/d/1C3CXT74ZlgGe6_JY_1olB1XN4rF0dxEuIIF-xsYjHgg/edit?usp=sharing"",""งบกองทุน!AA34"")"),300950)</f>
        <v>300950</v>
      </c>
      <c r="F30" s="307">
        <f ca="1">IFERROR(__xludf.DUMMYFUNCTION("IMPORTRANGE(""https://docs.google.com/spreadsheets/d/11923uPwbBZFjjGgGUA6NLw09EwE0CqkOc4q9oUmW1yo/edit?usp=sharing"",""สุโขทัย!M299"")"),264665)</f>
        <v>264665</v>
      </c>
      <c r="G30" s="307">
        <f t="shared" ca="1" si="1"/>
        <v>87.943179930220964</v>
      </c>
      <c r="H30" s="308">
        <f t="shared" ref="H30:I30" ca="1" si="70">+N30+V30+AE30</f>
        <v>285</v>
      </c>
      <c r="I30" s="308">
        <f t="shared" ca="1" si="70"/>
        <v>95</v>
      </c>
      <c r="J30" s="308">
        <f t="shared" ca="1" si="54"/>
        <v>285</v>
      </c>
      <c r="K30" s="309">
        <f t="shared" ca="1" si="3"/>
        <v>100</v>
      </c>
      <c r="L30" s="308">
        <f t="shared" ca="1" si="55"/>
        <v>95</v>
      </c>
      <c r="M30" s="309">
        <f t="shared" ca="1" si="4"/>
        <v>100</v>
      </c>
      <c r="N30" s="392">
        <f ca="1">IFERROR(__xludf.DUMMYFUNCTION("IMPORTRANGE(""https://docs.google.com/spreadsheets/d/1C3CXT74ZlgGe6_JY_1olB1XN4rF0dxEuIIF-xsYjHgg/edit?usp=sharing"",""งบกองทุน!AD34"")"),30)</f>
        <v>30</v>
      </c>
      <c r="O30" s="392">
        <f ca="1">IFERROR(__xludf.DUMMYFUNCTION("IMPORTRANGE(""https://docs.google.com/spreadsheets/d/1C3CXT74ZlgGe6_JY_1olB1XN4rF0dxEuIIF-xsYjHgg/edit?usp=sharing"",""งบกองทุน!AE34"")"),10)</f>
        <v>10</v>
      </c>
      <c r="P30" s="308">
        <f ca="1">IFERROR(__xludf.DUMMYFUNCTION("IMPORTRANGE(""https://docs.google.com/spreadsheets/d/11923uPwbBZFjjGgGUA6NLw09EwE0CqkOc4q9oUmW1yo/edit?usp=sharing"",""สุโขทัย!J313"")"),30)</f>
        <v>30</v>
      </c>
      <c r="Q30" s="309">
        <f t="shared" ca="1" si="6"/>
        <v>100</v>
      </c>
      <c r="R30" s="308">
        <f ca="1">IFERROR(__xludf.DUMMYFUNCTION("IMPORTRANGE(""https://docs.google.com/spreadsheets/d/11923uPwbBZFjjGgGUA6NLw09EwE0CqkOc4q9oUmW1yo/edit?usp=sharing"",""สุโขทัย!J312"")"),10)</f>
        <v>10</v>
      </c>
      <c r="S30" s="309">
        <f t="shared" ca="1" si="7"/>
        <v>100</v>
      </c>
      <c r="T30" s="309">
        <f ca="1">IFERROR(__xludf.DUMMYFUNCTION("IMPORTRANGE(""https://docs.google.com/spreadsheets/d/11923uPwbBZFjjGgGUA6NLw09EwE0CqkOc4q9oUmW1yo/edit?usp=sharing"",""สุโขทัย!J314"")"),10)</f>
        <v>10</v>
      </c>
      <c r="U30" s="309">
        <f ca="1">IFERROR(__xludf.DUMMYFUNCTION("IMPORTRANGE(""https://docs.google.com/spreadsheets/d/11923uPwbBZFjjGgGUA6NLw09EwE0CqkOc4q9oUmW1yo/edit?usp=sharing"",""สุโขทัย!J315"")"),10)</f>
        <v>10</v>
      </c>
      <c r="V30" s="392">
        <f ca="1">IFERROR(__xludf.DUMMYFUNCTION("IMPORTRANGE(""https://docs.google.com/spreadsheets/d/1C3CXT74ZlgGe6_JY_1olB1XN4rF0dxEuIIF-xsYjHgg/edit?usp=sharing"",""งบกองทุน!AH34"")"),225)</f>
        <v>225</v>
      </c>
      <c r="W30" s="392">
        <f ca="1">IFERROR(__xludf.DUMMYFUNCTION("IMPORTRANGE(""https://docs.google.com/spreadsheets/d/1C3CXT74ZlgGe6_JY_1olB1XN4rF0dxEuIIF-xsYjHgg/edit?usp=sharing"",""งบกองทุน!AI34"")"),75)</f>
        <v>75</v>
      </c>
      <c r="X30" s="308">
        <f ca="1">IFERROR(__xludf.DUMMYFUNCTION("IMPORTRANGE(""https://docs.google.com/spreadsheets/d/11923uPwbBZFjjGgGUA6NLw09EwE0CqkOc4q9oUmW1yo/edit?usp=sharing"",""สุโขทัย!J317"")"),225)</f>
        <v>225</v>
      </c>
      <c r="Y30" s="309">
        <f t="shared" ca="1" si="9"/>
        <v>100</v>
      </c>
      <c r="Z30" s="308">
        <f ca="1">IFERROR(__xludf.DUMMYFUNCTION("IMPORTRANGE(""https://docs.google.com/spreadsheets/d/11923uPwbBZFjjGgGUA6NLw09EwE0CqkOc4q9oUmW1yo/edit?usp=sharing"",""สุโขทัย!J316"")"),75)</f>
        <v>75</v>
      </c>
      <c r="AA30" s="309">
        <f t="shared" ca="1" si="10"/>
        <v>100</v>
      </c>
      <c r="AB30" s="308">
        <f ca="1">IFERROR(__xludf.DUMMYFUNCTION("IMPORTRANGE(""https://docs.google.com/spreadsheets/d/11923uPwbBZFjjGgGUA6NLw09EwE0CqkOc4q9oUmW1yo/edit?usp=sharing"",""สุโขทัย!J318"")"),75)</f>
        <v>75</v>
      </c>
      <c r="AC30" s="308">
        <f ca="1">IFERROR(__xludf.DUMMYFUNCTION("IMPORTRANGE(""https://docs.google.com/spreadsheets/d/11923uPwbBZFjjGgGUA6NLw09EwE0CqkOc4q9oUmW1yo/edit?usp=sharing"",""สุโขทัย!J319"")"),75)</f>
        <v>75</v>
      </c>
      <c r="AD30" s="308">
        <f ca="1">IFERROR(__xludf.DUMMYFUNCTION("IMPORTRANGE(""https://docs.google.com/spreadsheets/d/11923uPwbBZFjjGgGUA6NLw09EwE0CqkOc4q9oUmW1yo/edit?usp=sharing"",""สุโขทัย!J320"")"),75)</f>
        <v>75</v>
      </c>
      <c r="AE30" s="392">
        <f ca="1">IFERROR(__xludf.DUMMYFUNCTION("IMPORTRANGE(""https://docs.google.com/spreadsheets/d/1C3CXT74ZlgGe6_JY_1olB1XN4rF0dxEuIIF-xsYjHgg/edit?usp=sharing"",""งบกองทุน!AM34"")"),30)</f>
        <v>30</v>
      </c>
      <c r="AF30" s="392">
        <f ca="1">IFERROR(__xludf.DUMMYFUNCTION("IMPORTRANGE(""https://docs.google.com/spreadsheets/d/1C3CXT74ZlgGe6_JY_1olB1XN4rF0dxEuIIF-xsYjHgg/edit?usp=sharing"",""งบกองทุน!AN34"")"),10)</f>
        <v>10</v>
      </c>
      <c r="AG30" s="308">
        <f ca="1">IFERROR(__xludf.DUMMYFUNCTION("IMPORTRANGE(""https://docs.google.com/spreadsheets/d/11923uPwbBZFjjGgGUA6NLw09EwE0CqkOc4q9oUmW1yo/edit?usp=sharing"",""สุโขทัย!J322"")"),30)</f>
        <v>30</v>
      </c>
      <c r="AH30" s="309">
        <f t="shared" ca="1" si="12"/>
        <v>100</v>
      </c>
      <c r="AI30" s="308">
        <f ca="1">IFERROR(__xludf.DUMMYFUNCTION("IMPORTRANGE(""https://docs.google.com/spreadsheets/d/11923uPwbBZFjjGgGUA6NLw09EwE0CqkOc4q9oUmW1yo/edit?usp=sharing"",""สุโขทัย!J321"")"),10)</f>
        <v>10</v>
      </c>
      <c r="AJ30" s="309">
        <f t="shared" ca="1" si="13"/>
        <v>100</v>
      </c>
      <c r="AK30" s="308">
        <f ca="1">IFERROR(__xludf.DUMMYFUNCTION("IMPORTRANGE(""https://docs.google.com/spreadsheets/d/11923uPwbBZFjjGgGUA6NLw09EwE0CqkOc4q9oUmW1yo/edit?usp=sharing"",""สุโขทัย!J323"")"),10)</f>
        <v>10</v>
      </c>
      <c r="AL30" s="308">
        <f ca="1">IFERROR(__xludf.DUMMYFUNCTION("IMPORTRANGE(""https://docs.google.com/spreadsheets/d/11923uPwbBZFjjGgGUA6NLw09EwE0CqkOc4q9oUmW1yo/edit?usp=sharing"",""สุโขทัย!J324"")"),10)</f>
        <v>10</v>
      </c>
      <c r="AM30" s="308">
        <f t="shared" ca="1" si="56"/>
        <v>85</v>
      </c>
      <c r="AN30" s="308">
        <f ca="1">IFERROR(__xludf.DUMMYFUNCTION("IMPORTRANGE(""https://docs.google.com/spreadsheets/d/11923uPwbBZFjjGgGUA6NLw09EwE0CqkOc4q9oUmW1yo/edit?usp=sharing"",""สุโขทัย!J325"")"),0)</f>
        <v>0</v>
      </c>
      <c r="AO30" s="309">
        <f t="shared" ca="1" si="15"/>
        <v>0</v>
      </c>
      <c r="AP30" s="392">
        <f ca="1">IFERROR(__xludf.DUMMYFUNCTION("IMPORTRANGE(""https://docs.google.com/spreadsheets/d/1C3CXT74ZlgGe6_JY_1olB1XN4rF0dxEuIIF-xsYjHgg/edit?usp=sharing"",""งบกองทุน!AR34"")"),10)</f>
        <v>10</v>
      </c>
      <c r="AQ30" s="308">
        <f ca="1">IFERROR(__xludf.DUMMYFUNCTION("IMPORTRANGE(""https://docs.google.com/spreadsheets/d/11923uPwbBZFjjGgGUA6NLw09EwE0CqkOc4q9oUmW1yo/edit?usp=sharing"",""สุโขทัย!J326"")"),0)</f>
        <v>0</v>
      </c>
      <c r="AR30" s="308">
        <f ca="1">IFERROR(__xludf.DUMMYFUNCTION("IMPORTRANGE(""https://docs.google.com/spreadsheets/d/1C3CXT74ZlgGe6_JY_1olB1XN4rF0dxEuIIF-xsYjHgg/edit?usp=sharing"",""งบกองทุน!AS34"")"),75)</f>
        <v>75</v>
      </c>
      <c r="AS30" s="393">
        <f ca="1">IFERROR(__xludf.DUMMYFUNCTION("IMPORTRANGE(""https://docs.google.com/spreadsheets/d/11923uPwbBZFjjGgGUA6NLw09EwE0CqkOc4q9oUmW1yo/edit?usp=sharing"",""สุโขทัย!J327"")"),75)</f>
        <v>75</v>
      </c>
    </row>
    <row r="31" spans="1:45" ht="21" customHeight="1">
      <c r="A31" s="303">
        <v>16</v>
      </c>
      <c r="B31" s="304" t="s">
        <v>55</v>
      </c>
      <c r="C31" s="391">
        <f t="shared" ca="1" si="52"/>
        <v>159950</v>
      </c>
      <c r="D31" s="306">
        <f ca="1">IFERROR(__xludf.DUMMYFUNCTION("IMPORTRANGE(""https://docs.google.com/spreadsheets/d/1C3CXT74ZlgGe6_JY_1olB1XN4rF0dxEuIIF-xsYjHgg/edit?usp=sharing"",""งบกองทุน!Z35"")"),0)</f>
        <v>0</v>
      </c>
      <c r="E31" s="306">
        <f ca="1">IFERROR(__xludf.DUMMYFUNCTION("IMPORTRANGE(""https://docs.google.com/spreadsheets/d/1C3CXT74ZlgGe6_JY_1olB1XN4rF0dxEuIIF-xsYjHgg/edit?usp=sharing"",""งบกองทุน!AA35"")"),159950)</f>
        <v>159950</v>
      </c>
      <c r="F31" s="307">
        <f ca="1">IFERROR(__xludf.DUMMYFUNCTION("IMPORTRANGE(""https://docs.google.com/spreadsheets/d/11923uPwbBZFjjGgGUA6NLw09EwE0CqkOc4q9oUmW1yo/edit?usp=sharing"",""อุตรดิตถ์!M299"")"),117175)</f>
        <v>117175</v>
      </c>
      <c r="G31" s="307">
        <f t="shared" ca="1" si="1"/>
        <v>73.25726789621757</v>
      </c>
      <c r="H31" s="308">
        <f t="shared" ref="H31:I31" ca="1" si="71">+N31+V31+AE31</f>
        <v>135</v>
      </c>
      <c r="I31" s="308">
        <f t="shared" ca="1" si="71"/>
        <v>45</v>
      </c>
      <c r="J31" s="308">
        <f t="shared" ca="1" si="54"/>
        <v>135</v>
      </c>
      <c r="K31" s="309">
        <f t="shared" ca="1" si="3"/>
        <v>100</v>
      </c>
      <c r="L31" s="308">
        <f t="shared" ca="1" si="55"/>
        <v>35</v>
      </c>
      <c r="M31" s="309">
        <f t="shared" ca="1" si="4"/>
        <v>77.777777777777771</v>
      </c>
      <c r="N31" s="392">
        <f ca="1">IFERROR(__xludf.DUMMYFUNCTION("IMPORTRANGE(""https://docs.google.com/spreadsheets/d/1C3CXT74ZlgGe6_JY_1olB1XN4rF0dxEuIIF-xsYjHgg/edit?usp=sharing"",""งบกองทุน!AD35"")"),30)</f>
        <v>30</v>
      </c>
      <c r="O31" s="392">
        <f ca="1">IFERROR(__xludf.DUMMYFUNCTION("IMPORTRANGE(""https://docs.google.com/spreadsheets/d/1C3CXT74ZlgGe6_JY_1olB1XN4rF0dxEuIIF-xsYjHgg/edit?usp=sharing"",""งบกองทุน!AE35"")"),10)</f>
        <v>10</v>
      </c>
      <c r="P31" s="308">
        <f ca="1">IFERROR(__xludf.DUMMYFUNCTION("IMPORTRANGE(""https://docs.google.com/spreadsheets/d/11923uPwbBZFjjGgGUA6NLw09EwE0CqkOc4q9oUmW1yo/edit?usp=sharing"",""อุตรดิตถ์!J313"")"),30)</f>
        <v>30</v>
      </c>
      <c r="Q31" s="309">
        <f t="shared" ca="1" si="6"/>
        <v>100</v>
      </c>
      <c r="R31" s="308">
        <f ca="1">IFERROR(__xludf.DUMMYFUNCTION("IMPORTRANGE(""https://docs.google.com/spreadsheets/d/11923uPwbBZFjjGgGUA6NLw09EwE0CqkOc4q9oUmW1yo/edit?usp=sharing"",""อุตรดิตถ์!J312"")"),10)</f>
        <v>10</v>
      </c>
      <c r="S31" s="309">
        <f t="shared" ca="1" si="7"/>
        <v>100</v>
      </c>
      <c r="T31" s="309">
        <f ca="1">IFERROR(__xludf.DUMMYFUNCTION("IMPORTRANGE(""https://docs.google.com/spreadsheets/d/11923uPwbBZFjjGgGUA6NLw09EwE0CqkOc4q9oUmW1yo/edit?usp=sharing"",""อุตรดิตถ์!J314"")"),10)</f>
        <v>10</v>
      </c>
      <c r="U31" s="309">
        <f ca="1">IFERROR(__xludf.DUMMYFUNCTION("IMPORTRANGE(""https://docs.google.com/spreadsheets/d/11923uPwbBZFjjGgGUA6NLw09EwE0CqkOc4q9oUmW1yo/edit?usp=sharing"",""อุตรดิตถ์!J315"")"),10)</f>
        <v>10</v>
      </c>
      <c r="V31" s="392">
        <f ca="1">IFERROR(__xludf.DUMMYFUNCTION("IMPORTRANGE(""https://docs.google.com/spreadsheets/d/1C3CXT74ZlgGe6_JY_1olB1XN4rF0dxEuIIF-xsYjHgg/edit?usp=sharing"",""งบกองทุน!AH35"")"),75)</f>
        <v>75</v>
      </c>
      <c r="W31" s="392">
        <f ca="1">IFERROR(__xludf.DUMMYFUNCTION("IMPORTRANGE(""https://docs.google.com/spreadsheets/d/1C3CXT74ZlgGe6_JY_1olB1XN4rF0dxEuIIF-xsYjHgg/edit?usp=sharing"",""งบกองทุน!AI35"")"),25)</f>
        <v>25</v>
      </c>
      <c r="X31" s="308">
        <f ca="1">IFERROR(__xludf.DUMMYFUNCTION("IMPORTRANGE(""https://docs.google.com/spreadsheets/d/11923uPwbBZFjjGgGUA6NLw09EwE0CqkOc4q9oUmW1yo/edit?usp=sharing"",""อุตรดิตถ์!J317"")"),75)</f>
        <v>75</v>
      </c>
      <c r="Y31" s="309">
        <f t="shared" ca="1" si="9"/>
        <v>100</v>
      </c>
      <c r="Z31" s="308">
        <f ca="1">IFERROR(__xludf.DUMMYFUNCTION("IMPORTRANGE(""https://docs.google.com/spreadsheets/d/11923uPwbBZFjjGgGUA6NLw09EwE0CqkOc4q9oUmW1yo/edit?usp=sharing"",""อุตรดิตถ์!J316"")"),25)</f>
        <v>25</v>
      </c>
      <c r="AA31" s="309">
        <f t="shared" ca="1" si="10"/>
        <v>100</v>
      </c>
      <c r="AB31" s="308">
        <f ca="1">IFERROR(__xludf.DUMMYFUNCTION("IMPORTRANGE(""https://docs.google.com/spreadsheets/d/11923uPwbBZFjjGgGUA6NLw09EwE0CqkOc4q9oUmW1yo/edit?usp=sharing"",""อุตรดิตถ์!J318"")"),25)</f>
        <v>25</v>
      </c>
      <c r="AC31" s="308">
        <f ca="1">IFERROR(__xludf.DUMMYFUNCTION("IMPORTRANGE(""https://docs.google.com/spreadsheets/d/11923uPwbBZFjjGgGUA6NLw09EwE0CqkOc4q9oUmW1yo/edit?usp=sharing"",""อุตรดิตถ์!J319"")"),25)</f>
        <v>25</v>
      </c>
      <c r="AD31" s="308">
        <f ca="1">IFERROR(__xludf.DUMMYFUNCTION("IMPORTRANGE(""https://docs.google.com/spreadsheets/d/11923uPwbBZFjjGgGUA6NLw09EwE0CqkOc4q9oUmW1yo/edit?usp=sharing"",""อุตรดิตถ์!J320"")"),25)</f>
        <v>25</v>
      </c>
      <c r="AE31" s="392">
        <f ca="1">IFERROR(__xludf.DUMMYFUNCTION("IMPORTRANGE(""https://docs.google.com/spreadsheets/d/1C3CXT74ZlgGe6_JY_1olB1XN4rF0dxEuIIF-xsYjHgg/edit?usp=sharing"",""งบกองทุน!AM35"")"),30)</f>
        <v>30</v>
      </c>
      <c r="AF31" s="392">
        <f ca="1">IFERROR(__xludf.DUMMYFUNCTION("IMPORTRANGE(""https://docs.google.com/spreadsheets/d/1C3CXT74ZlgGe6_JY_1olB1XN4rF0dxEuIIF-xsYjHgg/edit?usp=sharing"",""งบกองทุน!AN35"")"),10)</f>
        <v>10</v>
      </c>
      <c r="AG31" s="308">
        <f ca="1">IFERROR(__xludf.DUMMYFUNCTION("IMPORTRANGE(""https://docs.google.com/spreadsheets/d/11923uPwbBZFjjGgGUA6NLw09EwE0CqkOc4q9oUmW1yo/edit?usp=sharing"",""อุตรดิตถ์!J322"")"),30)</f>
        <v>30</v>
      </c>
      <c r="AH31" s="309">
        <f t="shared" ca="1" si="12"/>
        <v>100</v>
      </c>
      <c r="AI31" s="308">
        <f ca="1">IFERROR(__xludf.DUMMYFUNCTION("IMPORTRANGE(""https://docs.google.com/spreadsheets/d/11923uPwbBZFjjGgGUA6NLw09EwE0CqkOc4q9oUmW1yo/edit?usp=sharing"",""อุตรดิตถ์!J321"")"),0)</f>
        <v>0</v>
      </c>
      <c r="AJ31" s="309">
        <f t="shared" ca="1" si="13"/>
        <v>0</v>
      </c>
      <c r="AK31" s="308">
        <f ca="1">IFERROR(__xludf.DUMMYFUNCTION("IMPORTRANGE(""https://docs.google.com/spreadsheets/d/11923uPwbBZFjjGgGUA6NLw09EwE0CqkOc4q9oUmW1yo/edit?usp=sharing"",""อุตรดิตถ์!J323"")"),10)</f>
        <v>10</v>
      </c>
      <c r="AL31" s="308">
        <f ca="1">IFERROR(__xludf.DUMMYFUNCTION("IMPORTRANGE(""https://docs.google.com/spreadsheets/d/11923uPwbBZFjjGgGUA6NLw09EwE0CqkOc4q9oUmW1yo/edit?usp=sharing"",""อุตรดิตถ์!J324"")"),0)</f>
        <v>0</v>
      </c>
      <c r="AM31" s="308">
        <f t="shared" ca="1" si="56"/>
        <v>35</v>
      </c>
      <c r="AN31" s="308">
        <f ca="1">IFERROR(__xludf.DUMMYFUNCTION("IMPORTRANGE(""https://docs.google.com/spreadsheets/d/11923uPwbBZFjjGgGUA6NLw09EwE0CqkOc4q9oUmW1yo/edit?usp=sharing"",""อุตรดิตถ์!J325"")"),0)</f>
        <v>0</v>
      </c>
      <c r="AO31" s="309">
        <f t="shared" ca="1" si="15"/>
        <v>0</v>
      </c>
      <c r="AP31" s="392">
        <f ca="1">IFERROR(__xludf.DUMMYFUNCTION("IMPORTRANGE(""https://docs.google.com/spreadsheets/d/1C3CXT74ZlgGe6_JY_1olB1XN4rF0dxEuIIF-xsYjHgg/edit?usp=sharing"",""งบกองทุน!AR35"")"),10)</f>
        <v>10</v>
      </c>
      <c r="AQ31" s="308">
        <f ca="1">IFERROR(__xludf.DUMMYFUNCTION("IMPORTRANGE(""https://docs.google.com/spreadsheets/d/11923uPwbBZFjjGgGUA6NLw09EwE0CqkOc4q9oUmW1yo/edit?usp=sharing"",""อุตรดิตถ์!J326"")"),10)</f>
        <v>10</v>
      </c>
      <c r="AR31" s="308">
        <f ca="1">IFERROR(__xludf.DUMMYFUNCTION("IMPORTRANGE(""https://docs.google.com/spreadsheets/d/1C3CXT74ZlgGe6_JY_1olB1XN4rF0dxEuIIF-xsYjHgg/edit?usp=sharing"",""งบกองทุน!AS35"")"),25)</f>
        <v>25</v>
      </c>
      <c r="AS31" s="393">
        <f ca="1">IFERROR(__xludf.DUMMYFUNCTION("IMPORTRANGE(""https://docs.google.com/spreadsheets/d/11923uPwbBZFjjGgGUA6NLw09EwE0CqkOc4q9oUmW1yo/edit?usp=sharing"",""อุตรดิตถ์!J327"")"),11)</f>
        <v>11</v>
      </c>
    </row>
    <row r="32" spans="1:45" ht="21" customHeight="1">
      <c r="A32" s="310">
        <v>17</v>
      </c>
      <c r="B32" s="311" t="s">
        <v>56</v>
      </c>
      <c r="C32" s="395">
        <f t="shared" ca="1" si="52"/>
        <v>177900</v>
      </c>
      <c r="D32" s="313">
        <f ca="1">IFERROR(__xludf.DUMMYFUNCTION("IMPORTRANGE(""https://docs.google.com/spreadsheets/d/1C3CXT74ZlgGe6_JY_1olB1XN4rF0dxEuIIF-xsYjHgg/edit?usp=sharing"",""งบกองทุน!Z36"")"),0)</f>
        <v>0</v>
      </c>
      <c r="E32" s="313">
        <f ca="1">IFERROR(__xludf.DUMMYFUNCTION("IMPORTRANGE(""https://docs.google.com/spreadsheets/d/1C3CXT74ZlgGe6_JY_1olB1XN4rF0dxEuIIF-xsYjHgg/edit?usp=sharing"",""งบกองทุน!AA36"")"),177900)</f>
        <v>177900</v>
      </c>
      <c r="F32" s="314">
        <f ca="1">IFERROR(__xludf.DUMMYFUNCTION("IMPORTRANGE(""https://docs.google.com/spreadsheets/d/11923uPwbBZFjjGgGUA6NLw09EwE0CqkOc4q9oUmW1yo/edit?usp=sharing"",""อุทัยธานี!M299"")"),70110)</f>
        <v>70110</v>
      </c>
      <c r="G32" s="314">
        <f t="shared" ca="1" si="1"/>
        <v>39.409780775716698</v>
      </c>
      <c r="H32" s="315">
        <f t="shared" ref="H32:I32" ca="1" si="72">+N32+V32+AE32</f>
        <v>150</v>
      </c>
      <c r="I32" s="315">
        <f t="shared" ca="1" si="72"/>
        <v>50</v>
      </c>
      <c r="J32" s="315">
        <f t="shared" ca="1" si="54"/>
        <v>0</v>
      </c>
      <c r="K32" s="316">
        <f t="shared" ca="1" si="3"/>
        <v>0</v>
      </c>
      <c r="L32" s="315">
        <f t="shared" ca="1" si="55"/>
        <v>0</v>
      </c>
      <c r="M32" s="316">
        <f t="shared" ca="1" si="4"/>
        <v>0</v>
      </c>
      <c r="N32" s="396">
        <f ca="1">IFERROR(__xludf.DUMMYFUNCTION("IMPORTRANGE(""https://docs.google.com/spreadsheets/d/1C3CXT74ZlgGe6_JY_1olB1XN4rF0dxEuIIF-xsYjHgg/edit?usp=sharing"",""งบกองทุน!AD36"")"),60)</f>
        <v>60</v>
      </c>
      <c r="O32" s="396">
        <f ca="1">IFERROR(__xludf.DUMMYFUNCTION("IMPORTRANGE(""https://docs.google.com/spreadsheets/d/1C3CXT74ZlgGe6_JY_1olB1XN4rF0dxEuIIF-xsYjHgg/edit?usp=sharing"",""งบกองทุน!AE36"")"),20)</f>
        <v>20</v>
      </c>
      <c r="P32" s="315">
        <f ca="1">IFERROR(__xludf.DUMMYFUNCTION("IMPORTRANGE(""https://docs.google.com/spreadsheets/d/11923uPwbBZFjjGgGUA6NLw09EwE0CqkOc4q9oUmW1yo/edit?usp=sharing"",""อุทัยธานี!J313"")"),0)</f>
        <v>0</v>
      </c>
      <c r="Q32" s="316">
        <f t="shared" ca="1" si="6"/>
        <v>0</v>
      </c>
      <c r="R32" s="315">
        <f ca="1">IFERROR(__xludf.DUMMYFUNCTION("IMPORTRANGE(""https://docs.google.com/spreadsheets/d/11923uPwbBZFjjGgGUA6NLw09EwE0CqkOc4q9oUmW1yo/edit?usp=sharing"",""อุทัยธานี!J312"")"),0)</f>
        <v>0</v>
      </c>
      <c r="S32" s="316">
        <f t="shared" ca="1" si="7"/>
        <v>0</v>
      </c>
      <c r="T32" s="316">
        <f ca="1">IFERROR(__xludf.DUMMYFUNCTION("IMPORTRANGE(""https://docs.google.com/spreadsheets/d/11923uPwbBZFjjGgGUA6NLw09EwE0CqkOc4q9oUmW1yo/edit?usp=sharing"",""อุทัยธานี!J314"")"),0)</f>
        <v>0</v>
      </c>
      <c r="U32" s="316">
        <f ca="1">IFERROR(__xludf.DUMMYFUNCTION("IMPORTRANGE(""https://docs.google.com/spreadsheets/d/11923uPwbBZFjjGgGUA6NLw09EwE0CqkOc4q9oUmW1yo/edit?usp=sharing"",""อุทัยธานี!J315"")"),20)</f>
        <v>20</v>
      </c>
      <c r="V32" s="396">
        <f ca="1">IFERROR(__xludf.DUMMYFUNCTION("IMPORTRANGE(""https://docs.google.com/spreadsheets/d/1C3CXT74ZlgGe6_JY_1olB1XN4rF0dxEuIIF-xsYjHgg/edit?usp=sharing"",""งบกองทุน!AH36"")"),60)</f>
        <v>60</v>
      </c>
      <c r="W32" s="396">
        <f ca="1">IFERROR(__xludf.DUMMYFUNCTION("IMPORTRANGE(""https://docs.google.com/spreadsheets/d/1C3CXT74ZlgGe6_JY_1olB1XN4rF0dxEuIIF-xsYjHgg/edit?usp=sharing"",""งบกองทุน!AI36"")"),20)</f>
        <v>20</v>
      </c>
      <c r="X32" s="315">
        <f ca="1">IFERROR(__xludf.DUMMYFUNCTION("IMPORTRANGE(""https://docs.google.com/spreadsheets/d/11923uPwbBZFjjGgGUA6NLw09EwE0CqkOc4q9oUmW1yo/edit?usp=sharing"",""อุทัยธานี!J317"")"),0)</f>
        <v>0</v>
      </c>
      <c r="Y32" s="316">
        <f t="shared" ca="1" si="9"/>
        <v>0</v>
      </c>
      <c r="Z32" s="315">
        <f ca="1">IFERROR(__xludf.DUMMYFUNCTION("IMPORTRANGE(""https://docs.google.com/spreadsheets/d/11923uPwbBZFjjGgGUA6NLw09EwE0CqkOc4q9oUmW1yo/edit?usp=sharing"",""อุทัยธานี!J316"")"),0)</f>
        <v>0</v>
      </c>
      <c r="AA32" s="316">
        <f t="shared" ca="1" si="10"/>
        <v>0</v>
      </c>
      <c r="AB32" s="315">
        <f ca="1">IFERROR(__xludf.DUMMYFUNCTION("IMPORTRANGE(""https://docs.google.com/spreadsheets/d/11923uPwbBZFjjGgGUA6NLw09EwE0CqkOc4q9oUmW1yo/edit?usp=sharing"",""อุทัยธานี!J318"")"),20)</f>
        <v>20</v>
      </c>
      <c r="AC32" s="315">
        <f ca="1">IFERROR(__xludf.DUMMYFUNCTION("IMPORTRANGE(""https://docs.google.com/spreadsheets/d/11923uPwbBZFjjGgGUA6NLw09EwE0CqkOc4q9oUmW1yo/edit?usp=sharing"",""อุทัยธานี!J319"")"),0)</f>
        <v>0</v>
      </c>
      <c r="AD32" s="315">
        <f ca="1">IFERROR(__xludf.DUMMYFUNCTION("IMPORTRANGE(""https://docs.google.com/spreadsheets/d/11923uPwbBZFjjGgGUA6NLw09EwE0CqkOc4q9oUmW1yo/edit?usp=sharing"",""อุทัยธานี!J320"")"),0)</f>
        <v>0</v>
      </c>
      <c r="AE32" s="396">
        <f ca="1">IFERROR(__xludf.DUMMYFUNCTION("IMPORTRANGE(""https://docs.google.com/spreadsheets/d/1C3CXT74ZlgGe6_JY_1olB1XN4rF0dxEuIIF-xsYjHgg/edit?usp=sharing"",""งบกองทุน!AM36"")"),30)</f>
        <v>30</v>
      </c>
      <c r="AF32" s="396">
        <f ca="1">IFERROR(__xludf.DUMMYFUNCTION("IMPORTRANGE(""https://docs.google.com/spreadsheets/d/1C3CXT74ZlgGe6_JY_1olB1XN4rF0dxEuIIF-xsYjHgg/edit?usp=sharing"",""งบกองทุน!AN36"")"),10)</f>
        <v>10</v>
      </c>
      <c r="AG32" s="315">
        <f ca="1">IFERROR(__xludf.DUMMYFUNCTION("IMPORTRANGE(""https://docs.google.com/spreadsheets/d/11923uPwbBZFjjGgGUA6NLw09EwE0CqkOc4q9oUmW1yo/edit?usp=sharing"",""อุทัยธานี!J322"")"),0)</f>
        <v>0</v>
      </c>
      <c r="AH32" s="316">
        <f t="shared" ca="1" si="12"/>
        <v>0</v>
      </c>
      <c r="AI32" s="315">
        <f ca="1">IFERROR(__xludf.DUMMYFUNCTION("IMPORTRANGE(""https://docs.google.com/spreadsheets/d/11923uPwbBZFjjGgGUA6NLw09EwE0CqkOc4q9oUmW1yo/edit?usp=sharing"",""อุทัยธานี!J321"")"),0)</f>
        <v>0</v>
      </c>
      <c r="AJ32" s="316">
        <f t="shared" ca="1" si="13"/>
        <v>0</v>
      </c>
      <c r="AK32" s="315">
        <f ca="1">IFERROR(__xludf.DUMMYFUNCTION("IMPORTRANGE(""https://docs.google.com/spreadsheets/d/11923uPwbBZFjjGgGUA6NLw09EwE0CqkOc4q9oUmW1yo/edit?usp=sharing"",""อุทัยธานี!J323"")"),10)</f>
        <v>10</v>
      </c>
      <c r="AL32" s="315">
        <f ca="1">IFERROR(__xludf.DUMMYFUNCTION("IMPORTRANGE(""https://docs.google.com/spreadsheets/d/11923uPwbBZFjjGgGUA6NLw09EwE0CqkOc4q9oUmW1yo/edit?usp=sharing"",""อุทัยธานี!J324"")"),0)</f>
        <v>0</v>
      </c>
      <c r="AM32" s="315">
        <f t="shared" ca="1" si="56"/>
        <v>40</v>
      </c>
      <c r="AN32" s="315">
        <f ca="1">IFERROR(__xludf.DUMMYFUNCTION("IMPORTRANGE(""https://docs.google.com/spreadsheets/d/11923uPwbBZFjjGgGUA6NLw09EwE0CqkOc4q9oUmW1yo/edit?usp=sharing"",""อุทัยธานี!J325"")"),0)</f>
        <v>0</v>
      </c>
      <c r="AO32" s="316">
        <f t="shared" ca="1" si="15"/>
        <v>0</v>
      </c>
      <c r="AP32" s="396">
        <f ca="1">IFERROR(__xludf.DUMMYFUNCTION("IMPORTRANGE(""https://docs.google.com/spreadsheets/d/1C3CXT74ZlgGe6_JY_1olB1XN4rF0dxEuIIF-xsYjHgg/edit?usp=sharing"",""งบกองทุน!AR36"")"),20)</f>
        <v>20</v>
      </c>
      <c r="AQ32" s="315">
        <f ca="1">IFERROR(__xludf.DUMMYFUNCTION("IMPORTRANGE(""https://docs.google.com/spreadsheets/d/11923uPwbBZFjjGgGUA6NLw09EwE0CqkOc4q9oUmW1yo/edit?usp=sharing"",""อุทัยธานี!J326"")"),0)</f>
        <v>0</v>
      </c>
      <c r="AR32" s="315">
        <f ca="1">IFERROR(__xludf.DUMMYFUNCTION("IMPORTRANGE(""https://docs.google.com/spreadsheets/d/1C3CXT74ZlgGe6_JY_1olB1XN4rF0dxEuIIF-xsYjHgg/edit?usp=sharing"",""งบกองทุน!AS36"")"),20)</f>
        <v>20</v>
      </c>
      <c r="AS32" s="397">
        <f ca="1">IFERROR(__xludf.DUMMYFUNCTION("IMPORTRANGE(""https://docs.google.com/spreadsheets/d/11923uPwbBZFjjGgGUA6NLw09EwE0CqkOc4q9oUmW1yo/edit?usp=sharing"",""อุทัยธานี!J327"")"),0)</f>
        <v>0</v>
      </c>
    </row>
    <row r="33" spans="1:45" ht="21" customHeight="1">
      <c r="A33" s="800" t="s">
        <v>57</v>
      </c>
      <c r="B33" s="678"/>
      <c r="C33" s="398">
        <f t="shared" ref="C33:F33" ca="1" si="73">SUM(C34:C53)</f>
        <v>3732450</v>
      </c>
      <c r="D33" s="318">
        <f t="shared" ca="1" si="73"/>
        <v>0</v>
      </c>
      <c r="E33" s="318">
        <f t="shared" ca="1" si="73"/>
        <v>3732450</v>
      </c>
      <c r="F33" s="319">
        <f t="shared" ca="1" si="73"/>
        <v>2266549.9500000002</v>
      </c>
      <c r="G33" s="319">
        <f t="shared" ca="1" si="1"/>
        <v>60.725527468552833</v>
      </c>
      <c r="H33" s="318">
        <f t="shared" ref="H33:J33" ca="1" si="74">SUM(H34:H53)</f>
        <v>3294</v>
      </c>
      <c r="I33" s="318">
        <f t="shared" ca="1" si="74"/>
        <v>1098</v>
      </c>
      <c r="J33" s="318">
        <f t="shared" ca="1" si="74"/>
        <v>2769</v>
      </c>
      <c r="K33" s="319">
        <f t="shared" ca="1" si="3"/>
        <v>84.061930783242261</v>
      </c>
      <c r="L33" s="318">
        <f ca="1">SUM(L34:L53)</f>
        <v>1058</v>
      </c>
      <c r="M33" s="319">
        <f t="shared" ca="1" si="4"/>
        <v>96.357012750455368</v>
      </c>
      <c r="N33" s="318">
        <f t="shared" ref="N33:P33" ca="1" si="75">SUM(N34:N53)</f>
        <v>810</v>
      </c>
      <c r="O33" s="318">
        <f t="shared" ca="1" si="75"/>
        <v>270</v>
      </c>
      <c r="P33" s="318">
        <f t="shared" ca="1" si="75"/>
        <v>696</v>
      </c>
      <c r="Q33" s="319">
        <f t="shared" ca="1" si="6"/>
        <v>85.925925925925924</v>
      </c>
      <c r="R33" s="318">
        <f ca="1">SUM(R34:R53)</f>
        <v>270</v>
      </c>
      <c r="S33" s="319">
        <f t="shared" ca="1" si="7"/>
        <v>100</v>
      </c>
      <c r="T33" s="319">
        <f t="shared" ref="T33:X33" ca="1" si="76">SUM(T34:T53)</f>
        <v>270</v>
      </c>
      <c r="U33" s="319">
        <f t="shared" ca="1" si="76"/>
        <v>270</v>
      </c>
      <c r="V33" s="399">
        <f t="shared" ca="1" si="76"/>
        <v>1827</v>
      </c>
      <c r="W33" s="399">
        <f t="shared" ca="1" si="76"/>
        <v>609</v>
      </c>
      <c r="X33" s="318">
        <f t="shared" ca="1" si="76"/>
        <v>1617</v>
      </c>
      <c r="Y33" s="319">
        <f t="shared" ca="1" si="9"/>
        <v>88.505747126436788</v>
      </c>
      <c r="Z33" s="318">
        <f ca="1">SUM(Z34:Z53)</f>
        <v>589</v>
      </c>
      <c r="AA33" s="319">
        <f t="shared" ca="1" si="10"/>
        <v>96.715927750410515</v>
      </c>
      <c r="AB33" s="318">
        <f t="shared" ref="AB33:AG33" ca="1" si="77">SUM(AB34:AB53)</f>
        <v>589</v>
      </c>
      <c r="AC33" s="318">
        <f t="shared" ca="1" si="77"/>
        <v>589</v>
      </c>
      <c r="AD33" s="318">
        <f t="shared" ca="1" si="77"/>
        <v>589</v>
      </c>
      <c r="AE33" s="318">
        <f t="shared" ca="1" si="77"/>
        <v>657</v>
      </c>
      <c r="AF33" s="318">
        <f t="shared" ca="1" si="77"/>
        <v>219</v>
      </c>
      <c r="AG33" s="318">
        <f t="shared" ca="1" si="77"/>
        <v>456</v>
      </c>
      <c r="AH33" s="319">
        <f t="shared" ca="1" si="12"/>
        <v>69.406392694063925</v>
      </c>
      <c r="AI33" s="318">
        <f ca="1">SUM(AI34:AI53)</f>
        <v>199</v>
      </c>
      <c r="AJ33" s="319">
        <f t="shared" ca="1" si="13"/>
        <v>90.867579908675793</v>
      </c>
      <c r="AK33" s="318">
        <f t="shared" ref="AK33:AN33" ca="1" si="78">SUM(AK34:AK53)</f>
        <v>199</v>
      </c>
      <c r="AL33" s="318">
        <f t="shared" ca="1" si="78"/>
        <v>199</v>
      </c>
      <c r="AM33" s="318">
        <f t="shared" ca="1" si="78"/>
        <v>879</v>
      </c>
      <c r="AN33" s="318">
        <f t="shared" ca="1" si="78"/>
        <v>301</v>
      </c>
      <c r="AO33" s="319">
        <f t="shared" ca="1" si="15"/>
        <v>34.243458475540386</v>
      </c>
      <c r="AP33" s="400">
        <f t="shared" ref="AP33:AS33" ca="1" si="79">SUM(AP34:AP53)</f>
        <v>270</v>
      </c>
      <c r="AQ33" s="318">
        <f t="shared" ca="1" si="79"/>
        <v>100</v>
      </c>
      <c r="AR33" s="400">
        <f t="shared" ca="1" si="79"/>
        <v>609</v>
      </c>
      <c r="AS33" s="318">
        <f t="shared" ca="1" si="79"/>
        <v>211</v>
      </c>
    </row>
    <row r="34" spans="1:45" ht="21" customHeight="1">
      <c r="A34" s="293">
        <v>1</v>
      </c>
      <c r="B34" s="357" t="s">
        <v>58</v>
      </c>
      <c r="C34" s="388">
        <f t="shared" ref="C34:C53" ca="1" si="80">+D34+E34</f>
        <v>131710</v>
      </c>
      <c r="D34" s="296">
        <f ca="1">IFERROR(__xludf.DUMMYFUNCTION("IMPORTRANGE(""https://docs.google.com/spreadsheets/d/1C3CXT74ZlgGe6_JY_1olB1XN4rF0dxEuIIF-xsYjHgg/edit?usp=sharing"",""งบกองทุน!Z38"")"),0)</f>
        <v>0</v>
      </c>
      <c r="E34" s="296">
        <f ca="1">IFERROR(__xludf.DUMMYFUNCTION("IMPORTRANGE(""https://docs.google.com/spreadsheets/d/1C3CXT74ZlgGe6_JY_1olB1XN4rF0dxEuIIF-xsYjHgg/edit?usp=sharing"",""งบกองทุน!AA38"")"),131710)</f>
        <v>131710</v>
      </c>
      <c r="F34" s="297">
        <f ca="1">IFERROR(__xludf.DUMMYFUNCTION("IMPORTRANGE(""https://docs.google.com/spreadsheets/d/1XL5vhW3sbDhbH9Cz0tuDiY8C3ctxq1tqvaCgkFb8cCA/edit?usp=sharing"",""กาฬสินธุ์!M299"")"),85320)</f>
        <v>85320</v>
      </c>
      <c r="G34" s="297">
        <f t="shared" ca="1" si="1"/>
        <v>64.778680434287452</v>
      </c>
      <c r="H34" s="299">
        <f t="shared" ref="H34:I34" ca="1" si="81">+N34+V34+AE34</f>
        <v>105</v>
      </c>
      <c r="I34" s="299">
        <f t="shared" ca="1" si="81"/>
        <v>35</v>
      </c>
      <c r="J34" s="299">
        <f t="shared" ref="J34:J53" ca="1" si="82">P34+X34+AG34</f>
        <v>105</v>
      </c>
      <c r="K34" s="301">
        <f t="shared" ca="1" si="3"/>
        <v>100</v>
      </c>
      <c r="L34" s="299">
        <f t="shared" ref="L34:L53" ca="1" si="83">R34+Z34+AI34</f>
        <v>35</v>
      </c>
      <c r="M34" s="301">
        <f t="shared" ca="1" si="4"/>
        <v>100</v>
      </c>
      <c r="N34" s="389">
        <f ca="1">IFERROR(__xludf.DUMMYFUNCTION("IMPORTRANGE(""https://docs.google.com/spreadsheets/d/1C3CXT74ZlgGe6_JY_1olB1XN4rF0dxEuIIF-xsYjHgg/edit?usp=sharing"",""งบกองทุน!AD38"")"),30)</f>
        <v>30</v>
      </c>
      <c r="O34" s="389">
        <f ca="1">IFERROR(__xludf.DUMMYFUNCTION("IMPORTRANGE(""https://docs.google.com/spreadsheets/d/1C3CXT74ZlgGe6_JY_1olB1XN4rF0dxEuIIF-xsYjHgg/edit?usp=sharing"",""งบกองทุน!AE38"")"),10)</f>
        <v>10</v>
      </c>
      <c r="P34" s="299">
        <f ca="1">IFERROR(__xludf.DUMMYFUNCTION("IMPORTRANGE(""https://docs.google.com/spreadsheets/d/1XL5vhW3sbDhbH9Cz0tuDiY8C3ctxq1tqvaCgkFb8cCA/edit?usp=sharing"",""กาฬสินธุ์!J313"")"),30)</f>
        <v>30</v>
      </c>
      <c r="Q34" s="301">
        <f t="shared" ca="1" si="6"/>
        <v>100</v>
      </c>
      <c r="R34" s="299">
        <f ca="1">IFERROR(__xludf.DUMMYFUNCTION("IMPORTRANGE(""https://docs.google.com/spreadsheets/d/1XL5vhW3sbDhbH9Cz0tuDiY8C3ctxq1tqvaCgkFb8cCA/edit?usp=sharing"",""กาฬสินธุ์!J312"")"),10)</f>
        <v>10</v>
      </c>
      <c r="S34" s="301">
        <f t="shared" ca="1" si="7"/>
        <v>100</v>
      </c>
      <c r="T34" s="301">
        <f ca="1">IFERROR(__xludf.DUMMYFUNCTION("IMPORTRANGE(""https://docs.google.com/spreadsheets/d/1XL5vhW3sbDhbH9Cz0tuDiY8C3ctxq1tqvaCgkFb8cCA/edit?usp=sharing"",""กาฬสินธุ์!J314"")"),10)</f>
        <v>10</v>
      </c>
      <c r="U34" s="301">
        <f ca="1">IFERROR(__xludf.DUMMYFUNCTION("IMPORTRANGE(""https://docs.google.com/spreadsheets/d/1XL5vhW3sbDhbH9Cz0tuDiY8C3ctxq1tqvaCgkFb8cCA/edit?usp=sharing"",""กาฬสินธุ์!J315"")"),10)</f>
        <v>10</v>
      </c>
      <c r="V34" s="389">
        <f ca="1">IFERROR(__xludf.DUMMYFUNCTION("IMPORTRANGE(""https://docs.google.com/spreadsheets/d/1C3CXT74ZlgGe6_JY_1olB1XN4rF0dxEuIIF-xsYjHgg/edit?usp=sharing"",""งบกองทุน!AH38"")"),45)</f>
        <v>45</v>
      </c>
      <c r="W34" s="389">
        <f ca="1">IFERROR(__xludf.DUMMYFUNCTION("IMPORTRANGE(""https://docs.google.com/spreadsheets/d/1C3CXT74ZlgGe6_JY_1olB1XN4rF0dxEuIIF-xsYjHgg/edit?usp=sharing"",""งบกองทุน!AI38"")"),15)</f>
        <v>15</v>
      </c>
      <c r="X34" s="299">
        <f ca="1">IFERROR(__xludf.DUMMYFUNCTION("IMPORTRANGE(""https://docs.google.com/spreadsheets/d/1XL5vhW3sbDhbH9Cz0tuDiY8C3ctxq1tqvaCgkFb8cCA/edit?usp=sharing"",""กาฬสินธุ์!J317"")"),45)</f>
        <v>45</v>
      </c>
      <c r="Y34" s="301">
        <f t="shared" ca="1" si="9"/>
        <v>100</v>
      </c>
      <c r="Z34" s="299">
        <f ca="1">IFERROR(__xludf.DUMMYFUNCTION("IMPORTRANGE(""https://docs.google.com/spreadsheets/d/1XL5vhW3sbDhbH9Cz0tuDiY8C3ctxq1tqvaCgkFb8cCA/edit?usp=sharing"",""กาฬสินธุ์!J316"")"),15)</f>
        <v>15</v>
      </c>
      <c r="AA34" s="301">
        <f t="shared" ca="1" si="10"/>
        <v>100</v>
      </c>
      <c r="AB34" s="299">
        <f ca="1">IFERROR(__xludf.DUMMYFUNCTION("IMPORTRANGE(""https://docs.google.com/spreadsheets/d/1XL5vhW3sbDhbH9Cz0tuDiY8C3ctxq1tqvaCgkFb8cCA/edit?usp=sharing"",""กาฬสินธุ์!J318"")"),15)</f>
        <v>15</v>
      </c>
      <c r="AC34" s="299">
        <f ca="1">IFERROR(__xludf.DUMMYFUNCTION("IMPORTRANGE(""https://docs.google.com/spreadsheets/d/1XL5vhW3sbDhbH9Cz0tuDiY8C3ctxq1tqvaCgkFb8cCA/edit?usp=sharing"",""กาฬสินธุ์!J319"")"),15)</f>
        <v>15</v>
      </c>
      <c r="AD34" s="299">
        <f ca="1">IFERROR(__xludf.DUMMYFUNCTION("IMPORTRANGE(""https://docs.google.com/spreadsheets/d/1XL5vhW3sbDhbH9Cz0tuDiY8C3ctxq1tqvaCgkFb8cCA/edit?usp=sharing"",""กาฬสินธุ์!J320"")"),15)</f>
        <v>15</v>
      </c>
      <c r="AE34" s="389">
        <f ca="1">IFERROR(__xludf.DUMMYFUNCTION("IMPORTRANGE(""https://docs.google.com/spreadsheets/d/1C3CXT74ZlgGe6_JY_1olB1XN4rF0dxEuIIF-xsYjHgg/edit?usp=sharing"",""งบกองทุน!AM38"")"),30)</f>
        <v>30</v>
      </c>
      <c r="AF34" s="389">
        <f ca="1">IFERROR(__xludf.DUMMYFUNCTION("IMPORTRANGE(""https://docs.google.com/spreadsheets/d/1C3CXT74ZlgGe6_JY_1olB1XN4rF0dxEuIIF-xsYjHgg/edit?usp=sharing"",""งบกองทุน!AN38"")"),10)</f>
        <v>10</v>
      </c>
      <c r="AG34" s="299">
        <f ca="1">IFERROR(__xludf.DUMMYFUNCTION("IMPORTRANGE(""https://docs.google.com/spreadsheets/d/1XL5vhW3sbDhbH9Cz0tuDiY8C3ctxq1tqvaCgkFb8cCA/edit?usp=sharing"",""กาฬสินธุ์!J322"")"),30)</f>
        <v>30</v>
      </c>
      <c r="AH34" s="301">
        <f t="shared" ca="1" si="12"/>
        <v>100</v>
      </c>
      <c r="AI34" s="299">
        <f ca="1">IFERROR(__xludf.DUMMYFUNCTION("IMPORTRANGE(""https://docs.google.com/spreadsheets/d/1XL5vhW3sbDhbH9Cz0tuDiY8C3ctxq1tqvaCgkFb8cCA/edit?usp=sharing"",""กาฬสินธุ์!J321"")"),10)</f>
        <v>10</v>
      </c>
      <c r="AJ34" s="301">
        <f t="shared" ca="1" si="13"/>
        <v>100</v>
      </c>
      <c r="AK34" s="299">
        <f ca="1">IFERROR(__xludf.DUMMYFUNCTION("IMPORTRANGE(""https://docs.google.com/spreadsheets/d/1XL5vhW3sbDhbH9Cz0tuDiY8C3ctxq1tqvaCgkFb8cCA/edit?usp=sharing"",""กาฬสินธุ์!J323"")"),10)</f>
        <v>10</v>
      </c>
      <c r="AL34" s="299">
        <f ca="1">IFERROR(__xludf.DUMMYFUNCTION("IMPORTRANGE(""https://docs.google.com/spreadsheets/d/1XL5vhW3sbDhbH9Cz0tuDiY8C3ctxq1tqvaCgkFb8cCA/edit?usp=sharing"",""กาฬสินธุ์!J324"")"),10)</f>
        <v>10</v>
      </c>
      <c r="AM34" s="299">
        <f t="shared" ref="AM34:AM53" ca="1" si="84">+AP34+AR34</f>
        <v>25</v>
      </c>
      <c r="AN34" s="299">
        <f ca="1">IFERROR(__xludf.DUMMYFUNCTION("IMPORTRANGE(""https://docs.google.com/spreadsheets/d/1XL5vhW3sbDhbH9Cz0tuDiY8C3ctxq1tqvaCgkFb8cCA/edit?usp=sharing"",""กาฬสินธุ์!J325"")"),25)</f>
        <v>25</v>
      </c>
      <c r="AO34" s="301">
        <f t="shared" ca="1" si="15"/>
        <v>100</v>
      </c>
      <c r="AP34" s="389">
        <f ca="1">IFERROR(__xludf.DUMMYFUNCTION("IMPORTRANGE(""https://docs.google.com/spreadsheets/d/1C3CXT74ZlgGe6_JY_1olB1XN4rF0dxEuIIF-xsYjHgg/edit?usp=sharing"",""งบกองทุน!AR38"")"),10)</f>
        <v>10</v>
      </c>
      <c r="AQ34" s="299">
        <f ca="1">IFERROR(__xludf.DUMMYFUNCTION("IMPORTRANGE(""https://docs.google.com/spreadsheets/d/1XL5vhW3sbDhbH9Cz0tuDiY8C3ctxq1tqvaCgkFb8cCA/edit?usp=sharing"",""กาฬสินธุ์!J326"")"),10)</f>
        <v>10</v>
      </c>
      <c r="AR34" s="299">
        <f ca="1">IFERROR(__xludf.DUMMYFUNCTION("IMPORTRANGE(""https://docs.google.com/spreadsheets/d/1C3CXT74ZlgGe6_JY_1olB1XN4rF0dxEuIIF-xsYjHgg/edit?usp=sharing"",""งบกองทุน!AS38"")"),15)</f>
        <v>15</v>
      </c>
      <c r="AS34" s="390">
        <f ca="1">IFERROR(__xludf.DUMMYFUNCTION("IMPORTRANGE(""https://docs.google.com/spreadsheets/d/1XL5vhW3sbDhbH9Cz0tuDiY8C3ctxq1tqvaCgkFb8cCA/edit?usp=sharing"",""กาฬสินธุ์!J327"")"),15)</f>
        <v>15</v>
      </c>
    </row>
    <row r="35" spans="1:45" ht="21" customHeight="1">
      <c r="A35" s="303">
        <v>2</v>
      </c>
      <c r="B35" s="304" t="s">
        <v>59</v>
      </c>
      <c r="C35" s="391">
        <f t="shared" ca="1" si="80"/>
        <v>229140</v>
      </c>
      <c r="D35" s="306">
        <f ca="1">IFERROR(__xludf.DUMMYFUNCTION("IMPORTRANGE(""https://docs.google.com/spreadsheets/d/1C3CXT74ZlgGe6_JY_1olB1XN4rF0dxEuIIF-xsYjHgg/edit?usp=sharing"",""งบกองทุน!Z39"")"),0)</f>
        <v>0</v>
      </c>
      <c r="E35" s="306">
        <f ca="1">IFERROR(__xludf.DUMMYFUNCTION("IMPORTRANGE(""https://docs.google.com/spreadsheets/d/1C3CXT74ZlgGe6_JY_1olB1XN4rF0dxEuIIF-xsYjHgg/edit?usp=sharing"",""งบกองทุน!AA39"")"),229140)</f>
        <v>229140</v>
      </c>
      <c r="F35" s="307">
        <f ca="1">IFERROR(__xludf.DUMMYFUNCTION("IMPORTRANGE(""https://docs.google.com/spreadsheets/d/1XL5vhW3sbDhbH9Cz0tuDiY8C3ctxq1tqvaCgkFb8cCA/edit?usp=sharing"",""ขอนแก่น!M299"")"),74490)</f>
        <v>74490</v>
      </c>
      <c r="G35" s="307">
        <f t="shared" ca="1" si="1"/>
        <v>32.508510081173085</v>
      </c>
      <c r="H35" s="308">
        <f t="shared" ref="H35:I35" ca="1" si="85">+N35+V35+AE35</f>
        <v>204</v>
      </c>
      <c r="I35" s="308">
        <f t="shared" ca="1" si="85"/>
        <v>68</v>
      </c>
      <c r="J35" s="308">
        <f t="shared" ca="1" si="82"/>
        <v>204</v>
      </c>
      <c r="K35" s="309">
        <f t="shared" ca="1" si="3"/>
        <v>100</v>
      </c>
      <c r="L35" s="308">
        <f t="shared" ca="1" si="83"/>
        <v>68</v>
      </c>
      <c r="M35" s="309">
        <f t="shared" ca="1" si="4"/>
        <v>100</v>
      </c>
      <c r="N35" s="392">
        <f ca="1">IFERROR(__xludf.DUMMYFUNCTION("IMPORTRANGE(""https://docs.google.com/spreadsheets/d/1C3CXT74ZlgGe6_JY_1olB1XN4rF0dxEuIIF-xsYjHgg/edit?usp=sharing"",""งบกองทุน!AD39"")"),60)</f>
        <v>60</v>
      </c>
      <c r="O35" s="392">
        <f ca="1">IFERROR(__xludf.DUMMYFUNCTION("IMPORTRANGE(""https://docs.google.com/spreadsheets/d/1C3CXT74ZlgGe6_JY_1olB1XN4rF0dxEuIIF-xsYjHgg/edit?usp=sharing"",""งบกองทุน!AE39"")"),20)</f>
        <v>20</v>
      </c>
      <c r="P35" s="308">
        <f ca="1">IFERROR(__xludf.DUMMYFUNCTION("IMPORTRANGE(""https://docs.google.com/spreadsheets/d/1XL5vhW3sbDhbH9Cz0tuDiY8C3ctxq1tqvaCgkFb8cCA/edit?usp=sharing"",""ขอนแก่น!J313"")"),60)</f>
        <v>60</v>
      </c>
      <c r="Q35" s="309">
        <f t="shared" ca="1" si="6"/>
        <v>100</v>
      </c>
      <c r="R35" s="308">
        <f ca="1">IFERROR(__xludf.DUMMYFUNCTION("IMPORTRANGE(""https://docs.google.com/spreadsheets/d/1XL5vhW3sbDhbH9Cz0tuDiY8C3ctxq1tqvaCgkFb8cCA/edit?usp=sharing"",""ขอนแก่น!J312"")"),20)</f>
        <v>20</v>
      </c>
      <c r="S35" s="309">
        <f t="shared" ca="1" si="7"/>
        <v>100</v>
      </c>
      <c r="T35" s="309">
        <f ca="1">IFERROR(__xludf.DUMMYFUNCTION("IMPORTRANGE(""https://docs.google.com/spreadsheets/d/1XL5vhW3sbDhbH9Cz0tuDiY8C3ctxq1tqvaCgkFb8cCA/edit?usp=sharing"",""ขอนแก่น!J314"")"),20)</f>
        <v>20</v>
      </c>
      <c r="U35" s="309">
        <f ca="1">IFERROR(__xludf.DUMMYFUNCTION("IMPORTRANGE(""https://docs.google.com/spreadsheets/d/1XL5vhW3sbDhbH9Cz0tuDiY8C3ctxq1tqvaCgkFb8cCA/edit?usp=sharing"",""ขอนแก่น!J315"")"),20)</f>
        <v>20</v>
      </c>
      <c r="V35" s="392">
        <f ca="1">IFERROR(__xludf.DUMMYFUNCTION("IMPORTRANGE(""https://docs.google.com/spreadsheets/d/1C3CXT74ZlgGe6_JY_1olB1XN4rF0dxEuIIF-xsYjHgg/edit?usp=sharing"",""งบกองทุน!AH39"")"),114)</f>
        <v>114</v>
      </c>
      <c r="W35" s="392">
        <f ca="1">IFERROR(__xludf.DUMMYFUNCTION("IMPORTRANGE(""https://docs.google.com/spreadsheets/d/1C3CXT74ZlgGe6_JY_1olB1XN4rF0dxEuIIF-xsYjHgg/edit?usp=sharing"",""งบกองทุน!AI39"")"),38)</f>
        <v>38</v>
      </c>
      <c r="X35" s="308">
        <f ca="1">IFERROR(__xludf.DUMMYFUNCTION("IMPORTRANGE(""https://docs.google.com/spreadsheets/d/1XL5vhW3sbDhbH9Cz0tuDiY8C3ctxq1tqvaCgkFb8cCA/edit?usp=sharing"",""ขอนแก่น!J317"")"),114)</f>
        <v>114</v>
      </c>
      <c r="Y35" s="309">
        <f t="shared" ca="1" si="9"/>
        <v>100</v>
      </c>
      <c r="Z35" s="308">
        <f ca="1">IFERROR(__xludf.DUMMYFUNCTION("IMPORTRANGE(""https://docs.google.com/spreadsheets/d/1XL5vhW3sbDhbH9Cz0tuDiY8C3ctxq1tqvaCgkFb8cCA/edit?usp=sharing"",""ขอนแก่น!J316"")"),38)</f>
        <v>38</v>
      </c>
      <c r="AA35" s="309">
        <f t="shared" ca="1" si="10"/>
        <v>100</v>
      </c>
      <c r="AB35" s="308">
        <f ca="1">IFERROR(__xludf.DUMMYFUNCTION("IMPORTRANGE(""https://docs.google.com/spreadsheets/d/1XL5vhW3sbDhbH9Cz0tuDiY8C3ctxq1tqvaCgkFb8cCA/edit?usp=sharing"",""ขอนแก่น!J318"")"),38)</f>
        <v>38</v>
      </c>
      <c r="AC35" s="308">
        <f ca="1">IFERROR(__xludf.DUMMYFUNCTION("IMPORTRANGE(""https://docs.google.com/spreadsheets/d/1XL5vhW3sbDhbH9Cz0tuDiY8C3ctxq1tqvaCgkFb8cCA/edit?usp=sharing"",""ขอนแก่น!J319"")"),38)</f>
        <v>38</v>
      </c>
      <c r="AD35" s="308">
        <f ca="1">IFERROR(__xludf.DUMMYFUNCTION("IMPORTRANGE(""https://docs.google.com/spreadsheets/d/1XL5vhW3sbDhbH9Cz0tuDiY8C3ctxq1tqvaCgkFb8cCA/edit?usp=sharing"",""ขอนแก่น!J320"")"),38)</f>
        <v>38</v>
      </c>
      <c r="AE35" s="392">
        <f ca="1">IFERROR(__xludf.DUMMYFUNCTION("IMPORTRANGE(""https://docs.google.com/spreadsheets/d/1C3CXT74ZlgGe6_JY_1olB1XN4rF0dxEuIIF-xsYjHgg/edit?usp=sharing"",""งบกองทุน!AM39"")"),30)</f>
        <v>30</v>
      </c>
      <c r="AF35" s="392">
        <f ca="1">IFERROR(__xludf.DUMMYFUNCTION("IMPORTRANGE(""https://docs.google.com/spreadsheets/d/1C3CXT74ZlgGe6_JY_1olB1XN4rF0dxEuIIF-xsYjHgg/edit?usp=sharing"",""งบกองทุน!AN39"")"),10)</f>
        <v>10</v>
      </c>
      <c r="AG35" s="308">
        <f ca="1">IFERROR(__xludf.DUMMYFUNCTION("IMPORTRANGE(""https://docs.google.com/spreadsheets/d/1XL5vhW3sbDhbH9Cz0tuDiY8C3ctxq1tqvaCgkFb8cCA/edit?usp=sharing"",""ขอนแก่น!J322"")"),30)</f>
        <v>30</v>
      </c>
      <c r="AH35" s="309">
        <f t="shared" ca="1" si="12"/>
        <v>100</v>
      </c>
      <c r="AI35" s="308">
        <f ca="1">IFERROR(__xludf.DUMMYFUNCTION("IMPORTRANGE(""https://docs.google.com/spreadsheets/d/1XL5vhW3sbDhbH9Cz0tuDiY8C3ctxq1tqvaCgkFb8cCA/edit?usp=sharing"",""ขอนแก่น!J321"")"),10)</f>
        <v>10</v>
      </c>
      <c r="AJ35" s="309">
        <f t="shared" ca="1" si="13"/>
        <v>100</v>
      </c>
      <c r="AK35" s="308">
        <f ca="1">IFERROR(__xludf.DUMMYFUNCTION("IMPORTRANGE(""https://docs.google.com/spreadsheets/d/1XL5vhW3sbDhbH9Cz0tuDiY8C3ctxq1tqvaCgkFb8cCA/edit?usp=sharing"",""ขอนแก่น!J323"")"),10)</f>
        <v>10</v>
      </c>
      <c r="AL35" s="308">
        <f ca="1">IFERROR(__xludf.DUMMYFUNCTION("IMPORTRANGE(""https://docs.google.com/spreadsheets/d/1XL5vhW3sbDhbH9Cz0tuDiY8C3ctxq1tqvaCgkFb8cCA/edit?usp=sharing"",""ขอนแก่น!J324"")"),10)</f>
        <v>10</v>
      </c>
      <c r="AM35" s="308">
        <f t="shared" ca="1" si="84"/>
        <v>58</v>
      </c>
      <c r="AN35" s="308">
        <f ca="1">IFERROR(__xludf.DUMMYFUNCTION("IMPORTRANGE(""https://docs.google.com/spreadsheets/d/1XL5vhW3sbDhbH9Cz0tuDiY8C3ctxq1tqvaCgkFb8cCA/edit?usp=sharing"",""ขอนแก่น!J325"")"),0)</f>
        <v>0</v>
      </c>
      <c r="AO35" s="309">
        <f t="shared" ca="1" si="15"/>
        <v>0</v>
      </c>
      <c r="AP35" s="392">
        <f ca="1">IFERROR(__xludf.DUMMYFUNCTION("IMPORTRANGE(""https://docs.google.com/spreadsheets/d/1C3CXT74ZlgGe6_JY_1olB1XN4rF0dxEuIIF-xsYjHgg/edit?usp=sharing"",""งบกองทุน!AR39"")"),20)</f>
        <v>20</v>
      </c>
      <c r="AQ35" s="308">
        <f ca="1">IFERROR(__xludf.DUMMYFUNCTION("IMPORTRANGE(""https://docs.google.com/spreadsheets/d/1XL5vhW3sbDhbH9Cz0tuDiY8C3ctxq1tqvaCgkFb8cCA/edit?usp=sharing"",""ขอนแก่น!J326"")"),0)</f>
        <v>0</v>
      </c>
      <c r="AR35" s="308">
        <f ca="1">IFERROR(__xludf.DUMMYFUNCTION("IMPORTRANGE(""https://docs.google.com/spreadsheets/d/1C3CXT74ZlgGe6_JY_1olB1XN4rF0dxEuIIF-xsYjHgg/edit?usp=sharing"",""งบกองทุน!AS39"")"),38)</f>
        <v>38</v>
      </c>
      <c r="AS35" s="393">
        <f ca="1">IFERROR(__xludf.DUMMYFUNCTION("IMPORTRANGE(""https://docs.google.com/spreadsheets/d/1XL5vhW3sbDhbH9Cz0tuDiY8C3ctxq1tqvaCgkFb8cCA/edit?usp=sharing"",""ขอนแก่น!J327"")"),0)</f>
        <v>0</v>
      </c>
    </row>
    <row r="36" spans="1:45" ht="21" customHeight="1">
      <c r="A36" s="303">
        <v>3</v>
      </c>
      <c r="B36" s="304" t="s">
        <v>60</v>
      </c>
      <c r="C36" s="391">
        <f t="shared" ca="1" si="80"/>
        <v>101920</v>
      </c>
      <c r="D36" s="306">
        <f ca="1">IFERROR(__xludf.DUMMYFUNCTION("IMPORTRANGE(""https://docs.google.com/spreadsheets/d/1C3CXT74ZlgGe6_JY_1olB1XN4rF0dxEuIIF-xsYjHgg/edit?usp=sharing"",""งบกองทุน!Z40"")"),0)</f>
        <v>0</v>
      </c>
      <c r="E36" s="306">
        <f ca="1">IFERROR(__xludf.DUMMYFUNCTION("IMPORTRANGE(""https://docs.google.com/spreadsheets/d/1C3CXT74ZlgGe6_JY_1olB1XN4rF0dxEuIIF-xsYjHgg/edit?usp=sharing"",""งบกองทุน!AA40"")"),101920)</f>
        <v>101920</v>
      </c>
      <c r="F36" s="307">
        <f ca="1">IFERROR(__xludf.DUMMYFUNCTION("IMPORTRANGE(""https://docs.google.com/spreadsheets/d/1XL5vhW3sbDhbH9Cz0tuDiY8C3ctxq1tqvaCgkFb8cCA/edit?usp=sharing"",""ชัยภูมิ!M299"")"),56450)</f>
        <v>56450</v>
      </c>
      <c r="G36" s="307">
        <f t="shared" ca="1" si="1"/>
        <v>55.386577708006278</v>
      </c>
      <c r="H36" s="308">
        <f t="shared" ref="H36:I36" ca="1" si="86">+N36+V36+AE36</f>
        <v>90</v>
      </c>
      <c r="I36" s="308">
        <f t="shared" ca="1" si="86"/>
        <v>30</v>
      </c>
      <c r="J36" s="308">
        <f t="shared" ca="1" si="82"/>
        <v>0</v>
      </c>
      <c r="K36" s="309">
        <f t="shared" ca="1" si="3"/>
        <v>0</v>
      </c>
      <c r="L36" s="308">
        <f t="shared" ca="1" si="83"/>
        <v>0</v>
      </c>
      <c r="M36" s="309">
        <f t="shared" ca="1" si="4"/>
        <v>0</v>
      </c>
      <c r="N36" s="394">
        <f ca="1">IFERROR(__xludf.DUMMYFUNCTION("IMPORTRANGE(""https://docs.google.com/spreadsheets/d/1C3CXT74ZlgGe6_JY_1olB1XN4rF0dxEuIIF-xsYjHgg/edit?usp=sharing"",""งบกองทุน!AD40"")"),0)</f>
        <v>0</v>
      </c>
      <c r="O36" s="394">
        <f ca="1">IFERROR(__xludf.DUMMYFUNCTION("IMPORTRANGE(""https://docs.google.com/spreadsheets/d/1C3CXT74ZlgGe6_JY_1olB1XN4rF0dxEuIIF-xsYjHgg/edit?usp=sharing"",""งบกองทุน!AE40"")"),0)</f>
        <v>0</v>
      </c>
      <c r="P36" s="308">
        <f ca="1">IFERROR(__xludf.DUMMYFUNCTION("IMPORTRANGE(""https://docs.google.com/spreadsheets/d/1XL5vhW3sbDhbH9Cz0tuDiY8C3ctxq1tqvaCgkFb8cCA/edit?usp=sharing"",""ชัยภูมิ!J313"")"),0)</f>
        <v>0</v>
      </c>
      <c r="Q36" s="309">
        <f t="shared" ca="1" si="6"/>
        <v>0</v>
      </c>
      <c r="R36" s="308">
        <f ca="1">IFERROR(__xludf.DUMMYFUNCTION("IMPORTRANGE(""https://docs.google.com/spreadsheets/d/1XL5vhW3sbDhbH9Cz0tuDiY8C3ctxq1tqvaCgkFb8cCA/edit?usp=sharing"",""ชัยภูมิ!J312"")"),0)</f>
        <v>0</v>
      </c>
      <c r="S36" s="309">
        <f t="shared" ca="1" si="7"/>
        <v>0</v>
      </c>
      <c r="T36" s="309">
        <f ca="1">IFERROR(__xludf.DUMMYFUNCTION("IMPORTRANGE(""https://docs.google.com/spreadsheets/d/1XL5vhW3sbDhbH9Cz0tuDiY8C3ctxq1tqvaCgkFb8cCA/edit?usp=sharing"",""ชัยภูมิ!J314"")"),0)</f>
        <v>0</v>
      </c>
      <c r="U36" s="309">
        <f ca="1">IFERROR(__xludf.DUMMYFUNCTION("IMPORTRANGE(""https://docs.google.com/spreadsheets/d/1XL5vhW3sbDhbH9Cz0tuDiY8C3ctxq1tqvaCgkFb8cCA/edit?usp=sharing"",""ชัยภูมิ!J315"")"),0)</f>
        <v>0</v>
      </c>
      <c r="V36" s="392">
        <f ca="1">IFERROR(__xludf.DUMMYFUNCTION("IMPORTRANGE(""https://docs.google.com/spreadsheets/d/1C3CXT74ZlgGe6_JY_1olB1XN4rF0dxEuIIF-xsYjHgg/edit?usp=sharing"",""งบกองทุน!AH40"")"),60)</f>
        <v>60</v>
      </c>
      <c r="W36" s="392">
        <f ca="1">IFERROR(__xludf.DUMMYFUNCTION("IMPORTRANGE(""https://docs.google.com/spreadsheets/d/1C3CXT74ZlgGe6_JY_1olB1XN4rF0dxEuIIF-xsYjHgg/edit?usp=sharing"",""งบกองทุน!AI40"")"),20)</f>
        <v>20</v>
      </c>
      <c r="X36" s="308">
        <f ca="1">IFERROR(__xludf.DUMMYFUNCTION("IMPORTRANGE(""https://docs.google.com/spreadsheets/d/1XL5vhW3sbDhbH9Cz0tuDiY8C3ctxq1tqvaCgkFb8cCA/edit?usp=sharing"",""ชัยภูมิ!J317"")"),0)</f>
        <v>0</v>
      </c>
      <c r="Y36" s="309">
        <f t="shared" ca="1" si="9"/>
        <v>0</v>
      </c>
      <c r="Z36" s="308">
        <f ca="1">IFERROR(__xludf.DUMMYFUNCTION("IMPORTRANGE(""https://docs.google.com/spreadsheets/d/1XL5vhW3sbDhbH9Cz0tuDiY8C3ctxq1tqvaCgkFb8cCA/edit?usp=sharing"",""ชัยภูมิ!J316"")"),0)</f>
        <v>0</v>
      </c>
      <c r="AA36" s="309">
        <f t="shared" ca="1" si="10"/>
        <v>0</v>
      </c>
      <c r="AB36" s="308">
        <f ca="1">IFERROR(__xludf.DUMMYFUNCTION("IMPORTRANGE(""https://docs.google.com/spreadsheets/d/1XL5vhW3sbDhbH9Cz0tuDiY8C3ctxq1tqvaCgkFb8cCA/edit?usp=sharing"",""ชัยภูมิ!J318"")"),0)</f>
        <v>0</v>
      </c>
      <c r="AC36" s="308">
        <f ca="1">IFERROR(__xludf.DUMMYFUNCTION("IMPORTRANGE(""https://docs.google.com/spreadsheets/d/1XL5vhW3sbDhbH9Cz0tuDiY8C3ctxq1tqvaCgkFb8cCA/edit?usp=sharing"",""ชัยภูมิ!J319"")"),0)</f>
        <v>0</v>
      </c>
      <c r="AD36" s="308">
        <f ca="1">IFERROR(__xludf.DUMMYFUNCTION("IMPORTRANGE(""https://docs.google.com/spreadsheets/d/1XL5vhW3sbDhbH9Cz0tuDiY8C3ctxq1tqvaCgkFb8cCA/edit?usp=sharing"",""ชัยภูมิ!J320"")"),0)</f>
        <v>0</v>
      </c>
      <c r="AE36" s="392">
        <f ca="1">IFERROR(__xludf.DUMMYFUNCTION("IMPORTRANGE(""https://docs.google.com/spreadsheets/d/1C3CXT74ZlgGe6_JY_1olB1XN4rF0dxEuIIF-xsYjHgg/edit?usp=sharing"",""งบกองทุน!AM40"")"),30)</f>
        <v>30</v>
      </c>
      <c r="AF36" s="392">
        <f ca="1">IFERROR(__xludf.DUMMYFUNCTION("IMPORTRANGE(""https://docs.google.com/spreadsheets/d/1C3CXT74ZlgGe6_JY_1olB1XN4rF0dxEuIIF-xsYjHgg/edit?usp=sharing"",""งบกองทุน!AN40"")"),10)</f>
        <v>10</v>
      </c>
      <c r="AG36" s="308">
        <f ca="1">IFERROR(__xludf.DUMMYFUNCTION("IMPORTRANGE(""https://docs.google.com/spreadsheets/d/1XL5vhW3sbDhbH9Cz0tuDiY8C3ctxq1tqvaCgkFb8cCA/edit?usp=sharing"",""ชัยภูมิ!J322"")"),0)</f>
        <v>0</v>
      </c>
      <c r="AH36" s="309">
        <f t="shared" ca="1" si="12"/>
        <v>0</v>
      </c>
      <c r="AI36" s="308">
        <f ca="1">IFERROR(__xludf.DUMMYFUNCTION("IMPORTRANGE(""https://docs.google.com/spreadsheets/d/1XL5vhW3sbDhbH9Cz0tuDiY8C3ctxq1tqvaCgkFb8cCA/edit?usp=sharing"",""ชัยภูมิ!J321"")"),0)</f>
        <v>0</v>
      </c>
      <c r="AJ36" s="309">
        <f t="shared" ca="1" si="13"/>
        <v>0</v>
      </c>
      <c r="AK36" s="308">
        <f ca="1">IFERROR(__xludf.DUMMYFUNCTION("IMPORTRANGE(""https://docs.google.com/spreadsheets/d/1XL5vhW3sbDhbH9Cz0tuDiY8C3ctxq1tqvaCgkFb8cCA/edit?usp=sharing"",""ชัยภูมิ!J323"")"),0)</f>
        <v>0</v>
      </c>
      <c r="AL36" s="308">
        <f ca="1">IFERROR(__xludf.DUMMYFUNCTION("IMPORTRANGE(""https://docs.google.com/spreadsheets/d/1XL5vhW3sbDhbH9Cz0tuDiY8C3ctxq1tqvaCgkFb8cCA/edit?usp=sharing"",""ชัยภูมิ!J324"")"),0)</f>
        <v>0</v>
      </c>
      <c r="AM36" s="308">
        <f t="shared" ca="1" si="84"/>
        <v>20</v>
      </c>
      <c r="AN36" s="308">
        <f ca="1">IFERROR(__xludf.DUMMYFUNCTION("IMPORTRANGE(""https://docs.google.com/spreadsheets/d/1XL5vhW3sbDhbH9Cz0tuDiY8C3ctxq1tqvaCgkFb8cCA/edit?usp=sharing"",""ชัยภูมิ!J325"")"),0)</f>
        <v>0</v>
      </c>
      <c r="AO36" s="309">
        <f t="shared" ca="1" si="15"/>
        <v>0</v>
      </c>
      <c r="AP36" s="394">
        <f ca="1">IFERROR(__xludf.DUMMYFUNCTION("IMPORTRANGE(""https://docs.google.com/spreadsheets/d/1C3CXT74ZlgGe6_JY_1olB1XN4rF0dxEuIIF-xsYjHgg/edit?usp=sharing"",""งบกองทุน!AR40"")"),0)</f>
        <v>0</v>
      </c>
      <c r="AQ36" s="308">
        <f ca="1">IFERROR(__xludf.DUMMYFUNCTION("IMPORTRANGE(""https://docs.google.com/spreadsheets/d/1XL5vhW3sbDhbH9Cz0tuDiY8C3ctxq1tqvaCgkFb8cCA/edit?usp=sharing"",""ชัยภูมิ!J326"")"),0)</f>
        <v>0</v>
      </c>
      <c r="AR36" s="308">
        <f ca="1">IFERROR(__xludf.DUMMYFUNCTION("IMPORTRANGE(""https://docs.google.com/spreadsheets/d/1C3CXT74ZlgGe6_JY_1olB1XN4rF0dxEuIIF-xsYjHgg/edit?usp=sharing"",""งบกองทุน!AS40"")"),20)</f>
        <v>20</v>
      </c>
      <c r="AS36" s="393">
        <f ca="1">IFERROR(__xludf.DUMMYFUNCTION("IMPORTRANGE(""https://docs.google.com/spreadsheets/d/1XL5vhW3sbDhbH9Cz0tuDiY8C3ctxq1tqvaCgkFb8cCA/edit?usp=sharing"",""ชัยภูมิ!J327"")"),0)</f>
        <v>0</v>
      </c>
    </row>
    <row r="37" spans="1:45" ht="21" customHeight="1">
      <c r="A37" s="303">
        <v>4</v>
      </c>
      <c r="B37" s="304" t="s">
        <v>61</v>
      </c>
      <c r="C37" s="391">
        <f t="shared" ca="1" si="80"/>
        <v>144560</v>
      </c>
      <c r="D37" s="306">
        <f ca="1">IFERROR(__xludf.DUMMYFUNCTION("IMPORTRANGE(""https://docs.google.com/spreadsheets/d/1C3CXT74ZlgGe6_JY_1olB1XN4rF0dxEuIIF-xsYjHgg/edit?usp=sharing"",""งบกองทุน!Z41"")"),0)</f>
        <v>0</v>
      </c>
      <c r="E37" s="306">
        <f ca="1">IFERROR(__xludf.DUMMYFUNCTION("IMPORTRANGE(""https://docs.google.com/spreadsheets/d/1C3CXT74ZlgGe6_JY_1olB1XN4rF0dxEuIIF-xsYjHgg/edit?usp=sharing"",""งบกองทุน!AA41"")"),144560)</f>
        <v>144560</v>
      </c>
      <c r="F37" s="307">
        <f ca="1">IFERROR(__xludf.DUMMYFUNCTION("IMPORTRANGE(""https://docs.google.com/spreadsheets/d/1XL5vhW3sbDhbH9Cz0tuDiY8C3ctxq1tqvaCgkFb8cCA/edit?usp=sharing"",""นครพนม!M299"")"),71275.8)</f>
        <v>71275.8</v>
      </c>
      <c r="G37" s="307">
        <f t="shared" ca="1" si="1"/>
        <v>49.305340343110124</v>
      </c>
      <c r="H37" s="308">
        <f t="shared" ref="H37:I37" ca="1" si="87">+N37+V37+AE37</f>
        <v>120</v>
      </c>
      <c r="I37" s="308">
        <f t="shared" ca="1" si="87"/>
        <v>40</v>
      </c>
      <c r="J37" s="308">
        <f t="shared" ca="1" si="82"/>
        <v>120</v>
      </c>
      <c r="K37" s="309">
        <f t="shared" ca="1" si="3"/>
        <v>100</v>
      </c>
      <c r="L37" s="308">
        <f t="shared" ca="1" si="83"/>
        <v>40</v>
      </c>
      <c r="M37" s="309">
        <f t="shared" ca="1" si="4"/>
        <v>100</v>
      </c>
      <c r="N37" s="392">
        <f ca="1">IFERROR(__xludf.DUMMYFUNCTION("IMPORTRANGE(""https://docs.google.com/spreadsheets/d/1C3CXT74ZlgGe6_JY_1olB1XN4rF0dxEuIIF-xsYjHgg/edit?usp=sharing"",""งบกองทุน!AD41"")"),30)</f>
        <v>30</v>
      </c>
      <c r="O37" s="392">
        <f ca="1">IFERROR(__xludf.DUMMYFUNCTION("IMPORTRANGE(""https://docs.google.com/spreadsheets/d/1C3CXT74ZlgGe6_JY_1olB1XN4rF0dxEuIIF-xsYjHgg/edit?usp=sharing"",""งบกองทุน!AE41"")"),10)</f>
        <v>10</v>
      </c>
      <c r="P37" s="308">
        <f ca="1">IFERROR(__xludf.DUMMYFUNCTION("IMPORTRANGE(""https://docs.google.com/spreadsheets/d/1XL5vhW3sbDhbH9Cz0tuDiY8C3ctxq1tqvaCgkFb8cCA/edit?usp=sharing"",""นครพนม!J313"")"),30)</f>
        <v>30</v>
      </c>
      <c r="Q37" s="309">
        <f t="shared" ca="1" si="6"/>
        <v>100</v>
      </c>
      <c r="R37" s="308">
        <f ca="1">IFERROR(__xludf.DUMMYFUNCTION("IMPORTRANGE(""https://docs.google.com/spreadsheets/d/1XL5vhW3sbDhbH9Cz0tuDiY8C3ctxq1tqvaCgkFb8cCA/edit?usp=sharing"",""นครพนม!J312"")"),10)</f>
        <v>10</v>
      </c>
      <c r="S37" s="309">
        <f t="shared" ca="1" si="7"/>
        <v>100</v>
      </c>
      <c r="T37" s="309">
        <f ca="1">IFERROR(__xludf.DUMMYFUNCTION("IMPORTRANGE(""https://docs.google.com/spreadsheets/d/1XL5vhW3sbDhbH9Cz0tuDiY8C3ctxq1tqvaCgkFb8cCA/edit?usp=sharing"",""นครพนม!J314"")"),10)</f>
        <v>10</v>
      </c>
      <c r="U37" s="309">
        <f ca="1">IFERROR(__xludf.DUMMYFUNCTION("IMPORTRANGE(""https://docs.google.com/spreadsheets/d/1XL5vhW3sbDhbH9Cz0tuDiY8C3ctxq1tqvaCgkFb8cCA/edit?usp=sharing"",""นครพนม!J315"")"),10)</f>
        <v>10</v>
      </c>
      <c r="V37" s="392">
        <f ca="1">IFERROR(__xludf.DUMMYFUNCTION("IMPORTRANGE(""https://docs.google.com/spreadsheets/d/1C3CXT74ZlgGe6_JY_1olB1XN4rF0dxEuIIF-xsYjHgg/edit?usp=sharing"",""งบกองทุน!AH41"")"),60)</f>
        <v>60</v>
      </c>
      <c r="W37" s="392">
        <f ca="1">IFERROR(__xludf.DUMMYFUNCTION("IMPORTRANGE(""https://docs.google.com/spreadsheets/d/1C3CXT74ZlgGe6_JY_1olB1XN4rF0dxEuIIF-xsYjHgg/edit?usp=sharing"",""งบกองทุน!AI41"")"),20)</f>
        <v>20</v>
      </c>
      <c r="X37" s="308">
        <f ca="1">IFERROR(__xludf.DUMMYFUNCTION("IMPORTRANGE(""https://docs.google.com/spreadsheets/d/1XL5vhW3sbDhbH9Cz0tuDiY8C3ctxq1tqvaCgkFb8cCA/edit?usp=sharing"",""นครพนม!J317"")"),60)</f>
        <v>60</v>
      </c>
      <c r="Y37" s="309">
        <f t="shared" ca="1" si="9"/>
        <v>100</v>
      </c>
      <c r="Z37" s="308">
        <f ca="1">IFERROR(__xludf.DUMMYFUNCTION("IMPORTRANGE(""https://docs.google.com/spreadsheets/d/1XL5vhW3sbDhbH9Cz0tuDiY8C3ctxq1tqvaCgkFb8cCA/edit?usp=sharing"",""นครพนม!J316"")"),20)</f>
        <v>20</v>
      </c>
      <c r="AA37" s="309">
        <f t="shared" ca="1" si="10"/>
        <v>100</v>
      </c>
      <c r="AB37" s="308">
        <f ca="1">IFERROR(__xludf.DUMMYFUNCTION("IMPORTRANGE(""https://docs.google.com/spreadsheets/d/1XL5vhW3sbDhbH9Cz0tuDiY8C3ctxq1tqvaCgkFb8cCA/edit?usp=sharing"",""นครพนม!J318"")"),20)</f>
        <v>20</v>
      </c>
      <c r="AC37" s="308">
        <f ca="1">IFERROR(__xludf.DUMMYFUNCTION("IMPORTRANGE(""https://docs.google.com/spreadsheets/d/1XL5vhW3sbDhbH9Cz0tuDiY8C3ctxq1tqvaCgkFb8cCA/edit?usp=sharing"",""นครพนม!J319"")"),20)</f>
        <v>20</v>
      </c>
      <c r="AD37" s="308">
        <f ca="1">IFERROR(__xludf.DUMMYFUNCTION("IMPORTRANGE(""https://docs.google.com/spreadsheets/d/1XL5vhW3sbDhbH9Cz0tuDiY8C3ctxq1tqvaCgkFb8cCA/edit?usp=sharing"",""นครพนม!J320"")"),20)</f>
        <v>20</v>
      </c>
      <c r="AE37" s="392">
        <f ca="1">IFERROR(__xludf.DUMMYFUNCTION("IMPORTRANGE(""https://docs.google.com/spreadsheets/d/1C3CXT74ZlgGe6_JY_1olB1XN4rF0dxEuIIF-xsYjHgg/edit?usp=sharing"",""งบกองทุน!AM41"")"),30)</f>
        <v>30</v>
      </c>
      <c r="AF37" s="392">
        <f ca="1">IFERROR(__xludf.DUMMYFUNCTION("IMPORTRANGE(""https://docs.google.com/spreadsheets/d/1C3CXT74ZlgGe6_JY_1olB1XN4rF0dxEuIIF-xsYjHgg/edit?usp=sharing"",""งบกองทุน!AN41"")"),10)</f>
        <v>10</v>
      </c>
      <c r="AG37" s="308">
        <f ca="1">IFERROR(__xludf.DUMMYFUNCTION("IMPORTRANGE(""https://docs.google.com/spreadsheets/d/1XL5vhW3sbDhbH9Cz0tuDiY8C3ctxq1tqvaCgkFb8cCA/edit?usp=sharing"",""นครพนม!J322"")"),30)</f>
        <v>30</v>
      </c>
      <c r="AH37" s="309">
        <f t="shared" ca="1" si="12"/>
        <v>100</v>
      </c>
      <c r="AI37" s="308">
        <f ca="1">IFERROR(__xludf.DUMMYFUNCTION("IMPORTRANGE(""https://docs.google.com/spreadsheets/d/1XL5vhW3sbDhbH9Cz0tuDiY8C3ctxq1tqvaCgkFb8cCA/edit?usp=sharing"",""นครพนม!J321"")"),10)</f>
        <v>10</v>
      </c>
      <c r="AJ37" s="309">
        <f t="shared" ca="1" si="13"/>
        <v>100</v>
      </c>
      <c r="AK37" s="308">
        <f ca="1">IFERROR(__xludf.DUMMYFUNCTION("IMPORTRANGE(""https://docs.google.com/spreadsheets/d/1XL5vhW3sbDhbH9Cz0tuDiY8C3ctxq1tqvaCgkFb8cCA/edit?usp=sharing"",""นครพนม!J323"")"),10)</f>
        <v>10</v>
      </c>
      <c r="AL37" s="308">
        <f ca="1">IFERROR(__xludf.DUMMYFUNCTION("IMPORTRANGE(""https://docs.google.com/spreadsheets/d/1XL5vhW3sbDhbH9Cz0tuDiY8C3ctxq1tqvaCgkFb8cCA/edit?usp=sharing"",""นครพนม!J324"")"),10)</f>
        <v>10</v>
      </c>
      <c r="AM37" s="308">
        <f t="shared" ca="1" si="84"/>
        <v>30</v>
      </c>
      <c r="AN37" s="308">
        <f ca="1">IFERROR(__xludf.DUMMYFUNCTION("IMPORTRANGE(""https://docs.google.com/spreadsheets/d/1XL5vhW3sbDhbH9Cz0tuDiY8C3ctxq1tqvaCgkFb8cCA/edit?usp=sharing"",""นครพนม!J325"")"),0)</f>
        <v>0</v>
      </c>
      <c r="AO37" s="309">
        <f t="shared" ca="1" si="15"/>
        <v>0</v>
      </c>
      <c r="AP37" s="392">
        <f ca="1">IFERROR(__xludf.DUMMYFUNCTION("IMPORTRANGE(""https://docs.google.com/spreadsheets/d/1C3CXT74ZlgGe6_JY_1olB1XN4rF0dxEuIIF-xsYjHgg/edit?usp=sharing"",""งบกองทุน!AR41"")"),10)</f>
        <v>10</v>
      </c>
      <c r="AQ37" s="308">
        <f ca="1">IFERROR(__xludf.DUMMYFUNCTION("IMPORTRANGE(""https://docs.google.com/spreadsheets/d/1XL5vhW3sbDhbH9Cz0tuDiY8C3ctxq1tqvaCgkFb8cCA/edit?usp=sharing"",""นครพนม!J326"")"),10)</f>
        <v>10</v>
      </c>
      <c r="AR37" s="308">
        <f ca="1">IFERROR(__xludf.DUMMYFUNCTION("IMPORTRANGE(""https://docs.google.com/spreadsheets/d/1C3CXT74ZlgGe6_JY_1olB1XN4rF0dxEuIIF-xsYjHgg/edit?usp=sharing"",""งบกองทุน!AS41"")"),20)</f>
        <v>20</v>
      </c>
      <c r="AS37" s="393">
        <f ca="1">IFERROR(__xludf.DUMMYFUNCTION("IMPORTRANGE(""https://docs.google.com/spreadsheets/d/1XL5vhW3sbDhbH9Cz0tuDiY8C3ctxq1tqvaCgkFb8cCA/edit?usp=sharing"",""นครพนม!J327"")"),0)</f>
        <v>0</v>
      </c>
    </row>
    <row r="38" spans="1:45" ht="21" customHeight="1">
      <c r="A38" s="303">
        <v>5</v>
      </c>
      <c r="B38" s="304" t="s">
        <v>62</v>
      </c>
      <c r="C38" s="391">
        <f t="shared" ca="1" si="80"/>
        <v>310620</v>
      </c>
      <c r="D38" s="306">
        <f ca="1">IFERROR(__xludf.DUMMYFUNCTION("IMPORTRANGE(""https://docs.google.com/spreadsheets/d/1C3CXT74ZlgGe6_JY_1olB1XN4rF0dxEuIIF-xsYjHgg/edit?usp=sharing"",""งบกองทุน!Z42"")"),0)</f>
        <v>0</v>
      </c>
      <c r="E38" s="306">
        <f ca="1">IFERROR(__xludf.DUMMYFUNCTION("IMPORTRANGE(""https://docs.google.com/spreadsheets/d/1C3CXT74ZlgGe6_JY_1olB1XN4rF0dxEuIIF-xsYjHgg/edit?usp=sharing"",""งบกองทุน!AA42"")"),310620)</f>
        <v>310620</v>
      </c>
      <c r="F38" s="307">
        <f ca="1">IFERROR(__xludf.DUMMYFUNCTION("IMPORTRANGE(""https://docs.google.com/spreadsheets/d/1XL5vhW3sbDhbH9Cz0tuDiY8C3ctxq1tqvaCgkFb8cCA/edit?usp=sharing"",""นครราชสีมา!M299"")"),247335)</f>
        <v>247335</v>
      </c>
      <c r="G38" s="307">
        <f t="shared" ca="1" si="1"/>
        <v>79.62623140815144</v>
      </c>
      <c r="H38" s="308">
        <f t="shared" ref="H38:I38" ca="1" si="88">+N38+V38+AE38</f>
        <v>282</v>
      </c>
      <c r="I38" s="308">
        <f t="shared" ca="1" si="88"/>
        <v>94</v>
      </c>
      <c r="J38" s="308">
        <f t="shared" ca="1" si="82"/>
        <v>282</v>
      </c>
      <c r="K38" s="309">
        <f t="shared" ca="1" si="3"/>
        <v>100</v>
      </c>
      <c r="L38" s="308">
        <f t="shared" ca="1" si="83"/>
        <v>94</v>
      </c>
      <c r="M38" s="309">
        <f t="shared" ca="1" si="4"/>
        <v>100</v>
      </c>
      <c r="N38" s="392">
        <f ca="1">IFERROR(__xludf.DUMMYFUNCTION("IMPORTRANGE(""https://docs.google.com/spreadsheets/d/1C3CXT74ZlgGe6_JY_1olB1XN4rF0dxEuIIF-xsYjHgg/edit?usp=sharing"",""งบกองทุน!AD42"")"),102)</f>
        <v>102</v>
      </c>
      <c r="O38" s="392">
        <f ca="1">IFERROR(__xludf.DUMMYFUNCTION("IMPORTRANGE(""https://docs.google.com/spreadsheets/d/1C3CXT74ZlgGe6_JY_1olB1XN4rF0dxEuIIF-xsYjHgg/edit?usp=sharing"",""งบกองทุน!AE42"")"),34)</f>
        <v>34</v>
      </c>
      <c r="P38" s="308">
        <f ca="1">IFERROR(__xludf.DUMMYFUNCTION("IMPORTRANGE(""https://docs.google.com/spreadsheets/d/1XL5vhW3sbDhbH9Cz0tuDiY8C3ctxq1tqvaCgkFb8cCA/edit?usp=sharing"",""นครราชสีมา!J313"")"),102)</f>
        <v>102</v>
      </c>
      <c r="Q38" s="309">
        <f t="shared" ca="1" si="6"/>
        <v>100</v>
      </c>
      <c r="R38" s="308">
        <f ca="1">IFERROR(__xludf.DUMMYFUNCTION("IMPORTRANGE(""https://docs.google.com/spreadsheets/d/1XL5vhW3sbDhbH9Cz0tuDiY8C3ctxq1tqvaCgkFb8cCA/edit?usp=sharing"",""นครราชสีมา!J312"")"),34)</f>
        <v>34</v>
      </c>
      <c r="S38" s="309">
        <f t="shared" ca="1" si="7"/>
        <v>100</v>
      </c>
      <c r="T38" s="309">
        <f ca="1">IFERROR(__xludf.DUMMYFUNCTION("IMPORTRANGE(""https://docs.google.com/spreadsheets/d/1XL5vhW3sbDhbH9Cz0tuDiY8C3ctxq1tqvaCgkFb8cCA/edit?usp=sharing"",""นครราชสีมา!J314"")"),34)</f>
        <v>34</v>
      </c>
      <c r="U38" s="309">
        <f ca="1">IFERROR(__xludf.DUMMYFUNCTION("IMPORTRANGE(""https://docs.google.com/spreadsheets/d/1XL5vhW3sbDhbH9Cz0tuDiY8C3ctxq1tqvaCgkFb8cCA/edit?usp=sharing"",""นครราชสีมา!J315"")"),34)</f>
        <v>34</v>
      </c>
      <c r="V38" s="392">
        <f ca="1">IFERROR(__xludf.DUMMYFUNCTION("IMPORTRANGE(""https://docs.google.com/spreadsheets/d/1C3CXT74ZlgGe6_JY_1olB1XN4rF0dxEuIIF-xsYjHgg/edit?usp=sharing"",""งบกองทุน!AH42"")"),150)</f>
        <v>150</v>
      </c>
      <c r="W38" s="392">
        <f ca="1">IFERROR(__xludf.DUMMYFUNCTION("IMPORTRANGE(""https://docs.google.com/spreadsheets/d/1C3CXT74ZlgGe6_JY_1olB1XN4rF0dxEuIIF-xsYjHgg/edit?usp=sharing"",""งบกองทุน!AI42"")"),50)</f>
        <v>50</v>
      </c>
      <c r="X38" s="308">
        <f ca="1">IFERROR(__xludf.DUMMYFUNCTION("IMPORTRANGE(""https://docs.google.com/spreadsheets/d/1XL5vhW3sbDhbH9Cz0tuDiY8C3ctxq1tqvaCgkFb8cCA/edit?usp=sharing"",""นครราชสีมา!J317"")"),150)</f>
        <v>150</v>
      </c>
      <c r="Y38" s="309">
        <f t="shared" ca="1" si="9"/>
        <v>100</v>
      </c>
      <c r="Z38" s="308">
        <f ca="1">IFERROR(__xludf.DUMMYFUNCTION("IMPORTRANGE(""https://docs.google.com/spreadsheets/d/1XL5vhW3sbDhbH9Cz0tuDiY8C3ctxq1tqvaCgkFb8cCA/edit?usp=sharing"",""นครราชสีมา!J316"")"),50)</f>
        <v>50</v>
      </c>
      <c r="AA38" s="309">
        <f t="shared" ca="1" si="10"/>
        <v>100</v>
      </c>
      <c r="AB38" s="308">
        <f ca="1">IFERROR(__xludf.DUMMYFUNCTION("IMPORTRANGE(""https://docs.google.com/spreadsheets/d/1XL5vhW3sbDhbH9Cz0tuDiY8C3ctxq1tqvaCgkFb8cCA/edit?usp=sharing"",""นครราชสีมา!J318"")"),50)</f>
        <v>50</v>
      </c>
      <c r="AC38" s="308">
        <f ca="1">IFERROR(__xludf.DUMMYFUNCTION("IMPORTRANGE(""https://docs.google.com/spreadsheets/d/1XL5vhW3sbDhbH9Cz0tuDiY8C3ctxq1tqvaCgkFb8cCA/edit?usp=sharing"",""นครราชสีมา!J319"")"),50)</f>
        <v>50</v>
      </c>
      <c r="AD38" s="308">
        <f ca="1">IFERROR(__xludf.DUMMYFUNCTION("IMPORTRANGE(""https://docs.google.com/spreadsheets/d/1XL5vhW3sbDhbH9Cz0tuDiY8C3ctxq1tqvaCgkFb8cCA/edit?usp=sharing"",""นครราชสีมา!J320"")"),50)</f>
        <v>50</v>
      </c>
      <c r="AE38" s="392">
        <f ca="1">IFERROR(__xludf.DUMMYFUNCTION("IMPORTRANGE(""https://docs.google.com/spreadsheets/d/1C3CXT74ZlgGe6_JY_1olB1XN4rF0dxEuIIF-xsYjHgg/edit?usp=sharing"",""งบกองทุน!AM42"")"),30)</f>
        <v>30</v>
      </c>
      <c r="AF38" s="392">
        <f ca="1">IFERROR(__xludf.DUMMYFUNCTION("IMPORTRANGE(""https://docs.google.com/spreadsheets/d/1C3CXT74ZlgGe6_JY_1olB1XN4rF0dxEuIIF-xsYjHgg/edit?usp=sharing"",""งบกองทุน!AN42"")"),10)</f>
        <v>10</v>
      </c>
      <c r="AG38" s="308">
        <f ca="1">IFERROR(__xludf.DUMMYFUNCTION("IMPORTRANGE(""https://docs.google.com/spreadsheets/d/1XL5vhW3sbDhbH9Cz0tuDiY8C3ctxq1tqvaCgkFb8cCA/edit?usp=sharing"",""นครราชสีมา!J322"")"),30)</f>
        <v>30</v>
      </c>
      <c r="AH38" s="309">
        <f t="shared" ca="1" si="12"/>
        <v>100</v>
      </c>
      <c r="AI38" s="308">
        <f ca="1">IFERROR(__xludf.DUMMYFUNCTION("IMPORTRANGE(""https://docs.google.com/spreadsheets/d/1XL5vhW3sbDhbH9Cz0tuDiY8C3ctxq1tqvaCgkFb8cCA/edit?usp=sharing"",""นครราชสีมา!J321"")"),10)</f>
        <v>10</v>
      </c>
      <c r="AJ38" s="309">
        <f t="shared" ca="1" si="13"/>
        <v>100</v>
      </c>
      <c r="AK38" s="308">
        <f ca="1">IFERROR(__xludf.DUMMYFUNCTION("IMPORTRANGE(""https://docs.google.com/spreadsheets/d/1XL5vhW3sbDhbH9Cz0tuDiY8C3ctxq1tqvaCgkFb8cCA/edit?usp=sharing"",""นครราชสีมา!J323"")"),10)</f>
        <v>10</v>
      </c>
      <c r="AL38" s="308">
        <f ca="1">IFERROR(__xludf.DUMMYFUNCTION("IMPORTRANGE(""https://docs.google.com/spreadsheets/d/1XL5vhW3sbDhbH9Cz0tuDiY8C3ctxq1tqvaCgkFb8cCA/edit?usp=sharing"",""นครราชสีมา!J324"")"),10)</f>
        <v>10</v>
      </c>
      <c r="AM38" s="308">
        <f t="shared" ca="1" si="84"/>
        <v>84</v>
      </c>
      <c r="AN38" s="308">
        <f ca="1">IFERROR(__xludf.DUMMYFUNCTION("IMPORTRANGE(""https://docs.google.com/spreadsheets/d/1XL5vhW3sbDhbH9Cz0tuDiY8C3ctxq1tqvaCgkFb8cCA/edit?usp=sharing"",""นครราชสีมา!J325"")"),84)</f>
        <v>84</v>
      </c>
      <c r="AO38" s="309">
        <f t="shared" ca="1" si="15"/>
        <v>100</v>
      </c>
      <c r="AP38" s="392">
        <f ca="1">IFERROR(__xludf.DUMMYFUNCTION("IMPORTRANGE(""https://docs.google.com/spreadsheets/d/1C3CXT74ZlgGe6_JY_1olB1XN4rF0dxEuIIF-xsYjHgg/edit?usp=sharing"",""งบกองทุน!AR42"")"),34)</f>
        <v>34</v>
      </c>
      <c r="AQ38" s="308">
        <f ca="1">IFERROR(__xludf.DUMMYFUNCTION("IMPORTRANGE(""https://docs.google.com/spreadsheets/d/1XL5vhW3sbDhbH9Cz0tuDiY8C3ctxq1tqvaCgkFb8cCA/edit?usp=sharing"",""นครราชสีมา!J326"")"),34)</f>
        <v>34</v>
      </c>
      <c r="AR38" s="308">
        <f ca="1">IFERROR(__xludf.DUMMYFUNCTION("IMPORTRANGE(""https://docs.google.com/spreadsheets/d/1C3CXT74ZlgGe6_JY_1olB1XN4rF0dxEuIIF-xsYjHgg/edit?usp=sharing"",""งบกองทุน!AS42"")"),50)</f>
        <v>50</v>
      </c>
      <c r="AS38" s="393">
        <f ca="1">IFERROR(__xludf.DUMMYFUNCTION("IMPORTRANGE(""https://docs.google.com/spreadsheets/d/1XL5vhW3sbDhbH9Cz0tuDiY8C3ctxq1tqvaCgkFb8cCA/edit?usp=sharing"",""นครราชสีมา!J327"")"),50)</f>
        <v>50</v>
      </c>
    </row>
    <row r="39" spans="1:45" ht="21" customHeight="1">
      <c r="A39" s="303">
        <v>6</v>
      </c>
      <c r="B39" s="304" t="s">
        <v>63</v>
      </c>
      <c r="C39" s="391">
        <f t="shared" ca="1" si="80"/>
        <v>144560</v>
      </c>
      <c r="D39" s="306">
        <f ca="1">IFERROR(__xludf.DUMMYFUNCTION("IMPORTRANGE(""https://docs.google.com/spreadsheets/d/1C3CXT74ZlgGe6_JY_1olB1XN4rF0dxEuIIF-xsYjHgg/edit?usp=sharing"",""งบกองทุน!Z43"")"),0)</f>
        <v>0</v>
      </c>
      <c r="E39" s="306">
        <f ca="1">IFERROR(__xludf.DUMMYFUNCTION("IMPORTRANGE(""https://docs.google.com/spreadsheets/d/1C3CXT74ZlgGe6_JY_1olB1XN4rF0dxEuIIF-xsYjHgg/edit?usp=sharing"",""งบกองทุน!AA43"")"),144560)</f>
        <v>144560</v>
      </c>
      <c r="F39" s="307">
        <f ca="1">IFERROR(__xludf.DUMMYFUNCTION("IMPORTRANGE(""https://docs.google.com/spreadsheets/d/1XL5vhW3sbDhbH9Cz0tuDiY8C3ctxq1tqvaCgkFb8cCA/edit?usp=sharing"",""บึงกาฬ!M299"")"),85345)</f>
        <v>85345</v>
      </c>
      <c r="G39" s="307">
        <f t="shared" ca="1" si="1"/>
        <v>59.03776978417266</v>
      </c>
      <c r="H39" s="308">
        <f t="shared" ref="H39:I39" ca="1" si="89">+N39+V39+AE39</f>
        <v>120</v>
      </c>
      <c r="I39" s="308">
        <f t="shared" ca="1" si="89"/>
        <v>40</v>
      </c>
      <c r="J39" s="308">
        <f t="shared" ca="1" si="82"/>
        <v>90</v>
      </c>
      <c r="K39" s="309">
        <f t="shared" ca="1" si="3"/>
        <v>75</v>
      </c>
      <c r="L39" s="308">
        <f t="shared" ca="1" si="83"/>
        <v>30</v>
      </c>
      <c r="M39" s="309">
        <f t="shared" ca="1" si="4"/>
        <v>75</v>
      </c>
      <c r="N39" s="392">
        <f ca="1">IFERROR(__xludf.DUMMYFUNCTION("IMPORTRANGE(""https://docs.google.com/spreadsheets/d/1C3CXT74ZlgGe6_JY_1olB1XN4rF0dxEuIIF-xsYjHgg/edit?usp=sharing"",""งบกองทุน!AD43"")"),30)</f>
        <v>30</v>
      </c>
      <c r="O39" s="392">
        <f ca="1">IFERROR(__xludf.DUMMYFUNCTION("IMPORTRANGE(""https://docs.google.com/spreadsheets/d/1C3CXT74ZlgGe6_JY_1olB1XN4rF0dxEuIIF-xsYjHgg/edit?usp=sharing"",""งบกองทุน!AE43"")"),10)</f>
        <v>10</v>
      </c>
      <c r="P39" s="308">
        <f ca="1">IFERROR(__xludf.DUMMYFUNCTION("IMPORTRANGE(""https://docs.google.com/spreadsheets/d/1XL5vhW3sbDhbH9Cz0tuDiY8C3ctxq1tqvaCgkFb8cCA/edit?usp=sharing"",""บึงกาฬ!J313"")"),30)</f>
        <v>30</v>
      </c>
      <c r="Q39" s="309">
        <f t="shared" ca="1" si="6"/>
        <v>100</v>
      </c>
      <c r="R39" s="308">
        <f ca="1">IFERROR(__xludf.DUMMYFUNCTION("IMPORTRANGE(""https://docs.google.com/spreadsheets/d/1XL5vhW3sbDhbH9Cz0tuDiY8C3ctxq1tqvaCgkFb8cCA/edit?usp=sharing"",""บึงกาฬ!J312"")"),10)</f>
        <v>10</v>
      </c>
      <c r="S39" s="309">
        <f t="shared" ca="1" si="7"/>
        <v>100</v>
      </c>
      <c r="T39" s="309">
        <f ca="1">IFERROR(__xludf.DUMMYFUNCTION("IMPORTRANGE(""https://docs.google.com/spreadsheets/d/1XL5vhW3sbDhbH9Cz0tuDiY8C3ctxq1tqvaCgkFb8cCA/edit?usp=sharing"",""บึงกาฬ!J314"")"),10)</f>
        <v>10</v>
      </c>
      <c r="U39" s="309">
        <f ca="1">IFERROR(__xludf.DUMMYFUNCTION("IMPORTRANGE(""https://docs.google.com/spreadsheets/d/1XL5vhW3sbDhbH9Cz0tuDiY8C3ctxq1tqvaCgkFb8cCA/edit?usp=sharing"",""บึงกาฬ!J315"")"),10)</f>
        <v>10</v>
      </c>
      <c r="V39" s="392">
        <f ca="1">IFERROR(__xludf.DUMMYFUNCTION("IMPORTRANGE(""https://docs.google.com/spreadsheets/d/1C3CXT74ZlgGe6_JY_1olB1XN4rF0dxEuIIF-xsYjHgg/edit?usp=sharing"",""งบกองทุน!AH43"")"),60)</f>
        <v>60</v>
      </c>
      <c r="W39" s="392">
        <f ca="1">IFERROR(__xludf.DUMMYFUNCTION("IMPORTRANGE(""https://docs.google.com/spreadsheets/d/1C3CXT74ZlgGe6_JY_1olB1XN4rF0dxEuIIF-xsYjHgg/edit?usp=sharing"",""งบกองทุน!AI43"")"),20)</f>
        <v>20</v>
      </c>
      <c r="X39" s="308">
        <f ca="1">IFERROR(__xludf.DUMMYFUNCTION("IMPORTRANGE(""https://docs.google.com/spreadsheets/d/1XL5vhW3sbDhbH9Cz0tuDiY8C3ctxq1tqvaCgkFb8cCA/edit?usp=sharing"",""บึงกาฬ!J317"")"),60)</f>
        <v>60</v>
      </c>
      <c r="Y39" s="309">
        <f t="shared" ca="1" si="9"/>
        <v>100</v>
      </c>
      <c r="Z39" s="308">
        <f ca="1">IFERROR(__xludf.DUMMYFUNCTION("IMPORTRANGE(""https://docs.google.com/spreadsheets/d/1XL5vhW3sbDhbH9Cz0tuDiY8C3ctxq1tqvaCgkFb8cCA/edit?usp=sharing"",""บึงกาฬ!J316"")"),20)</f>
        <v>20</v>
      </c>
      <c r="AA39" s="309">
        <f t="shared" ca="1" si="10"/>
        <v>100</v>
      </c>
      <c r="AB39" s="308">
        <f ca="1">IFERROR(__xludf.DUMMYFUNCTION("IMPORTRANGE(""https://docs.google.com/spreadsheets/d/1XL5vhW3sbDhbH9Cz0tuDiY8C3ctxq1tqvaCgkFb8cCA/edit?usp=sharing"",""บึงกาฬ!J318"")"),20)</f>
        <v>20</v>
      </c>
      <c r="AC39" s="308">
        <f ca="1">IFERROR(__xludf.DUMMYFUNCTION("IMPORTRANGE(""https://docs.google.com/spreadsheets/d/1XL5vhW3sbDhbH9Cz0tuDiY8C3ctxq1tqvaCgkFb8cCA/edit?usp=sharing"",""บึงกาฬ!J319"")"),20)</f>
        <v>20</v>
      </c>
      <c r="AD39" s="308">
        <f ca="1">IFERROR(__xludf.DUMMYFUNCTION("IMPORTRANGE(""https://docs.google.com/spreadsheets/d/1XL5vhW3sbDhbH9Cz0tuDiY8C3ctxq1tqvaCgkFb8cCA/edit?usp=sharing"",""บึงกาฬ!J320"")"),20)</f>
        <v>20</v>
      </c>
      <c r="AE39" s="392">
        <f ca="1">IFERROR(__xludf.DUMMYFUNCTION("IMPORTRANGE(""https://docs.google.com/spreadsheets/d/1C3CXT74ZlgGe6_JY_1olB1XN4rF0dxEuIIF-xsYjHgg/edit?usp=sharing"",""งบกองทุน!AM43"")"),30)</f>
        <v>30</v>
      </c>
      <c r="AF39" s="392">
        <f ca="1">IFERROR(__xludf.DUMMYFUNCTION("IMPORTRANGE(""https://docs.google.com/spreadsheets/d/1C3CXT74ZlgGe6_JY_1olB1XN4rF0dxEuIIF-xsYjHgg/edit?usp=sharing"",""งบกองทุน!AN43"")"),10)</f>
        <v>10</v>
      </c>
      <c r="AG39" s="308">
        <f ca="1">IFERROR(__xludf.DUMMYFUNCTION("IMPORTRANGE(""https://docs.google.com/spreadsheets/d/1XL5vhW3sbDhbH9Cz0tuDiY8C3ctxq1tqvaCgkFb8cCA/edit?usp=sharing"",""บึงกาฬ!J322"")"),0)</f>
        <v>0</v>
      </c>
      <c r="AH39" s="309">
        <f t="shared" ca="1" si="12"/>
        <v>0</v>
      </c>
      <c r="AI39" s="308">
        <f ca="1">IFERROR(__xludf.DUMMYFUNCTION("IMPORTRANGE(""https://docs.google.com/spreadsheets/d/1XL5vhW3sbDhbH9Cz0tuDiY8C3ctxq1tqvaCgkFb8cCA/edit?usp=sharing"",""บึงกาฬ!J321"")"),0)</f>
        <v>0</v>
      </c>
      <c r="AJ39" s="309">
        <f t="shared" ca="1" si="13"/>
        <v>0</v>
      </c>
      <c r="AK39" s="308">
        <f ca="1">IFERROR(__xludf.DUMMYFUNCTION("IMPORTRANGE(""https://docs.google.com/spreadsheets/d/1XL5vhW3sbDhbH9Cz0tuDiY8C3ctxq1tqvaCgkFb8cCA/edit?usp=sharing"",""บึงกาฬ!J323"")"),0)</f>
        <v>0</v>
      </c>
      <c r="AL39" s="308">
        <f ca="1">IFERROR(__xludf.DUMMYFUNCTION("IMPORTRANGE(""https://docs.google.com/spreadsheets/d/1XL5vhW3sbDhbH9Cz0tuDiY8C3ctxq1tqvaCgkFb8cCA/edit?usp=sharing"",""บึงกาฬ!J324"")"),0)</f>
        <v>0</v>
      </c>
      <c r="AM39" s="308">
        <f t="shared" ca="1" si="84"/>
        <v>30</v>
      </c>
      <c r="AN39" s="308">
        <f ca="1">IFERROR(__xludf.DUMMYFUNCTION("IMPORTRANGE(""https://docs.google.com/spreadsheets/d/1XL5vhW3sbDhbH9Cz0tuDiY8C3ctxq1tqvaCgkFb8cCA/edit?usp=sharing"",""บึงกาฬ!J325"")"),0)</f>
        <v>0</v>
      </c>
      <c r="AO39" s="309">
        <f t="shared" ca="1" si="15"/>
        <v>0</v>
      </c>
      <c r="AP39" s="392">
        <f ca="1">IFERROR(__xludf.DUMMYFUNCTION("IMPORTRANGE(""https://docs.google.com/spreadsheets/d/1C3CXT74ZlgGe6_JY_1olB1XN4rF0dxEuIIF-xsYjHgg/edit?usp=sharing"",""งบกองทุน!AR43"")"),10)</f>
        <v>10</v>
      </c>
      <c r="AQ39" s="308">
        <f ca="1">IFERROR(__xludf.DUMMYFUNCTION("IMPORTRANGE(""https://docs.google.com/spreadsheets/d/1XL5vhW3sbDhbH9Cz0tuDiY8C3ctxq1tqvaCgkFb8cCA/edit?usp=sharing"",""บึงกาฬ!J326"")"),0)</f>
        <v>0</v>
      </c>
      <c r="AR39" s="308">
        <f ca="1">IFERROR(__xludf.DUMMYFUNCTION("IMPORTRANGE(""https://docs.google.com/spreadsheets/d/1C3CXT74ZlgGe6_JY_1olB1XN4rF0dxEuIIF-xsYjHgg/edit?usp=sharing"",""งบกองทุน!AS43"")"),20)</f>
        <v>20</v>
      </c>
      <c r="AS39" s="393">
        <f ca="1">IFERROR(__xludf.DUMMYFUNCTION("IMPORTRANGE(""https://docs.google.com/spreadsheets/d/1XL5vhW3sbDhbH9Cz0tuDiY8C3ctxq1tqvaCgkFb8cCA/edit?usp=sharing"",""บึงกาฬ!J327"")"),0)</f>
        <v>0</v>
      </c>
    </row>
    <row r="40" spans="1:45" ht="21" customHeight="1">
      <c r="A40" s="303">
        <v>7</v>
      </c>
      <c r="B40" s="304" t="s">
        <v>64</v>
      </c>
      <c r="C40" s="391">
        <f t="shared" ca="1" si="80"/>
        <v>230070</v>
      </c>
      <c r="D40" s="306">
        <f ca="1">IFERROR(__xludf.DUMMYFUNCTION("IMPORTRANGE(""https://docs.google.com/spreadsheets/d/1C3CXT74ZlgGe6_JY_1olB1XN4rF0dxEuIIF-xsYjHgg/edit?usp=sharing"",""งบกองทุน!Z44"")"),0)</f>
        <v>0</v>
      </c>
      <c r="E40" s="306">
        <f ca="1">IFERROR(__xludf.DUMMYFUNCTION("IMPORTRANGE(""https://docs.google.com/spreadsheets/d/1C3CXT74ZlgGe6_JY_1olB1XN4rF0dxEuIIF-xsYjHgg/edit?usp=sharing"",""งบกองทุน!AA44"")"),230070)</f>
        <v>230070</v>
      </c>
      <c r="F40" s="307">
        <f ca="1">IFERROR(__xludf.DUMMYFUNCTION("IMPORTRANGE(""https://docs.google.com/spreadsheets/d/1XL5vhW3sbDhbH9Cz0tuDiY8C3ctxq1tqvaCgkFb8cCA/edit?usp=sharing"",""บุรีรัมย์!M299"")"),94305)</f>
        <v>94305</v>
      </c>
      <c r="G40" s="307">
        <f t="shared" ca="1" si="1"/>
        <v>40.989698787325594</v>
      </c>
      <c r="H40" s="308">
        <f t="shared" ref="H40:I40" ca="1" si="90">+N40+V40+AE40</f>
        <v>225</v>
      </c>
      <c r="I40" s="308">
        <f t="shared" ca="1" si="90"/>
        <v>75</v>
      </c>
      <c r="J40" s="308">
        <f t="shared" ca="1" si="82"/>
        <v>225</v>
      </c>
      <c r="K40" s="309">
        <f t="shared" ca="1" si="3"/>
        <v>100</v>
      </c>
      <c r="L40" s="308">
        <f t="shared" ca="1" si="83"/>
        <v>75</v>
      </c>
      <c r="M40" s="309">
        <f t="shared" ca="1" si="4"/>
        <v>100</v>
      </c>
      <c r="N40" s="394">
        <f ca="1">IFERROR(__xludf.DUMMYFUNCTION("IMPORTRANGE(""https://docs.google.com/spreadsheets/d/1C3CXT74ZlgGe6_JY_1olB1XN4rF0dxEuIIF-xsYjHgg/edit?usp=sharing"",""งบกองทุน!AD44"")"),0)</f>
        <v>0</v>
      </c>
      <c r="O40" s="394">
        <f ca="1">IFERROR(__xludf.DUMMYFUNCTION("IMPORTRANGE(""https://docs.google.com/spreadsheets/d/1C3CXT74ZlgGe6_JY_1olB1XN4rF0dxEuIIF-xsYjHgg/edit?usp=sharing"",""งบกองทุน!AE44"")"),0)</f>
        <v>0</v>
      </c>
      <c r="P40" s="308">
        <f ca="1">IFERROR(__xludf.DUMMYFUNCTION("IMPORTRANGE(""https://docs.google.com/spreadsheets/d/1XL5vhW3sbDhbH9Cz0tuDiY8C3ctxq1tqvaCgkFb8cCA/edit?usp=sharing"",""บุรีรัมย์!J313"")"),0)</f>
        <v>0</v>
      </c>
      <c r="Q40" s="309">
        <f t="shared" ca="1" si="6"/>
        <v>0</v>
      </c>
      <c r="R40" s="308">
        <f ca="1">IFERROR(__xludf.DUMMYFUNCTION("IMPORTRANGE(""https://docs.google.com/spreadsheets/d/1XL5vhW3sbDhbH9Cz0tuDiY8C3ctxq1tqvaCgkFb8cCA/edit?usp=sharing"",""บุรีรัมย์!J312"")"),0)</f>
        <v>0</v>
      </c>
      <c r="S40" s="309">
        <f t="shared" ca="1" si="7"/>
        <v>0</v>
      </c>
      <c r="T40" s="309">
        <f ca="1">IFERROR(__xludf.DUMMYFUNCTION("IMPORTRANGE(""https://docs.google.com/spreadsheets/d/1XL5vhW3sbDhbH9Cz0tuDiY8C3ctxq1tqvaCgkFb8cCA/edit?usp=sharing"",""บุรีรัมย์!J314"")"),0)</f>
        <v>0</v>
      </c>
      <c r="U40" s="309">
        <f ca="1">IFERROR(__xludf.DUMMYFUNCTION("IMPORTRANGE(""https://docs.google.com/spreadsheets/d/1XL5vhW3sbDhbH9Cz0tuDiY8C3ctxq1tqvaCgkFb8cCA/edit?usp=sharing"",""บุรีรัมย์!J315"")"),0)</f>
        <v>0</v>
      </c>
      <c r="V40" s="392">
        <f ca="1">IFERROR(__xludf.DUMMYFUNCTION("IMPORTRANGE(""https://docs.google.com/spreadsheets/d/1C3CXT74ZlgGe6_JY_1olB1XN4rF0dxEuIIF-xsYjHgg/edit?usp=sharing"",""งบกองทุน!AH44"")"),195)</f>
        <v>195</v>
      </c>
      <c r="W40" s="392">
        <f ca="1">IFERROR(__xludf.DUMMYFUNCTION("IMPORTRANGE(""https://docs.google.com/spreadsheets/d/1C3CXT74ZlgGe6_JY_1olB1XN4rF0dxEuIIF-xsYjHgg/edit?usp=sharing"",""งบกองทุน!AI44"")"),65)</f>
        <v>65</v>
      </c>
      <c r="X40" s="308">
        <f ca="1">IFERROR(__xludf.DUMMYFUNCTION("IMPORTRANGE(""https://docs.google.com/spreadsheets/d/1XL5vhW3sbDhbH9Cz0tuDiY8C3ctxq1tqvaCgkFb8cCA/edit?usp=sharing"",""บุรีรัมย์!J317"")"),195)</f>
        <v>195</v>
      </c>
      <c r="Y40" s="309">
        <f t="shared" ca="1" si="9"/>
        <v>100</v>
      </c>
      <c r="Z40" s="308">
        <f ca="1">IFERROR(__xludf.DUMMYFUNCTION("IMPORTRANGE(""https://docs.google.com/spreadsheets/d/1XL5vhW3sbDhbH9Cz0tuDiY8C3ctxq1tqvaCgkFb8cCA/edit?usp=sharing"",""บุรีรัมย์!J316"")"),65)</f>
        <v>65</v>
      </c>
      <c r="AA40" s="309">
        <f t="shared" ca="1" si="10"/>
        <v>100</v>
      </c>
      <c r="AB40" s="308">
        <f ca="1">IFERROR(__xludf.DUMMYFUNCTION("IMPORTRANGE(""https://docs.google.com/spreadsheets/d/1XL5vhW3sbDhbH9Cz0tuDiY8C3ctxq1tqvaCgkFb8cCA/edit?usp=sharing"",""บุรีรัมย์!J318"")"),65)</f>
        <v>65</v>
      </c>
      <c r="AC40" s="308">
        <f ca="1">IFERROR(__xludf.DUMMYFUNCTION("IMPORTRANGE(""https://docs.google.com/spreadsheets/d/1XL5vhW3sbDhbH9Cz0tuDiY8C3ctxq1tqvaCgkFb8cCA/edit?usp=sharing"",""บุรีรัมย์!J319"")"),65)</f>
        <v>65</v>
      </c>
      <c r="AD40" s="308">
        <f ca="1">IFERROR(__xludf.DUMMYFUNCTION("IMPORTRANGE(""https://docs.google.com/spreadsheets/d/1XL5vhW3sbDhbH9Cz0tuDiY8C3ctxq1tqvaCgkFb8cCA/edit?usp=sharing"",""บุรีรัมย์!J320"")"),65)</f>
        <v>65</v>
      </c>
      <c r="AE40" s="392">
        <f ca="1">IFERROR(__xludf.DUMMYFUNCTION("IMPORTRANGE(""https://docs.google.com/spreadsheets/d/1C3CXT74ZlgGe6_JY_1olB1XN4rF0dxEuIIF-xsYjHgg/edit?usp=sharing"",""งบกองทุน!AM44"")"),30)</f>
        <v>30</v>
      </c>
      <c r="AF40" s="392">
        <f ca="1">IFERROR(__xludf.DUMMYFUNCTION("IMPORTRANGE(""https://docs.google.com/spreadsheets/d/1C3CXT74ZlgGe6_JY_1olB1XN4rF0dxEuIIF-xsYjHgg/edit?usp=sharing"",""งบกองทุน!AN44"")"),10)</f>
        <v>10</v>
      </c>
      <c r="AG40" s="308">
        <f ca="1">IFERROR(__xludf.DUMMYFUNCTION("IMPORTRANGE(""https://docs.google.com/spreadsheets/d/1XL5vhW3sbDhbH9Cz0tuDiY8C3ctxq1tqvaCgkFb8cCA/edit?usp=sharing"",""บุรีรัมย์!J322"")"),30)</f>
        <v>30</v>
      </c>
      <c r="AH40" s="309">
        <f t="shared" ca="1" si="12"/>
        <v>100</v>
      </c>
      <c r="AI40" s="308">
        <f ca="1">IFERROR(__xludf.DUMMYFUNCTION("IMPORTRANGE(""https://docs.google.com/spreadsheets/d/1XL5vhW3sbDhbH9Cz0tuDiY8C3ctxq1tqvaCgkFb8cCA/edit?usp=sharing"",""บุรีรัมย์!J321"")"),10)</f>
        <v>10</v>
      </c>
      <c r="AJ40" s="309">
        <f t="shared" ca="1" si="13"/>
        <v>100</v>
      </c>
      <c r="AK40" s="308">
        <f ca="1">IFERROR(__xludf.DUMMYFUNCTION("IMPORTRANGE(""https://docs.google.com/spreadsheets/d/1XL5vhW3sbDhbH9Cz0tuDiY8C3ctxq1tqvaCgkFb8cCA/edit?usp=sharing"",""บุรีรัมย์!J323"")"),10)</f>
        <v>10</v>
      </c>
      <c r="AL40" s="308">
        <f ca="1">IFERROR(__xludf.DUMMYFUNCTION("IMPORTRANGE(""https://docs.google.com/spreadsheets/d/1XL5vhW3sbDhbH9Cz0tuDiY8C3ctxq1tqvaCgkFb8cCA/edit?usp=sharing"",""บุรีรัมย์!J324"")"),10)</f>
        <v>10</v>
      </c>
      <c r="AM40" s="308">
        <f t="shared" ca="1" si="84"/>
        <v>65</v>
      </c>
      <c r="AN40" s="308">
        <f ca="1">IFERROR(__xludf.DUMMYFUNCTION("IMPORTRANGE(""https://docs.google.com/spreadsheets/d/1XL5vhW3sbDhbH9Cz0tuDiY8C3ctxq1tqvaCgkFb8cCA/edit?usp=sharing"",""บุรีรัมย์!J325"")"),0)</f>
        <v>0</v>
      </c>
      <c r="AO40" s="309">
        <f t="shared" ca="1" si="15"/>
        <v>0</v>
      </c>
      <c r="AP40" s="394">
        <f ca="1">IFERROR(__xludf.DUMMYFUNCTION("IMPORTRANGE(""https://docs.google.com/spreadsheets/d/1C3CXT74ZlgGe6_JY_1olB1XN4rF0dxEuIIF-xsYjHgg/edit?usp=sharing"",""งบกองทุน!AR44"")"),0)</f>
        <v>0</v>
      </c>
      <c r="AQ40" s="308">
        <f ca="1">IFERROR(__xludf.DUMMYFUNCTION("IMPORTRANGE(""https://docs.google.com/spreadsheets/d/1XL5vhW3sbDhbH9Cz0tuDiY8C3ctxq1tqvaCgkFb8cCA/edit?usp=sharing"",""บุรีรัมย์!J326"")"),0)</f>
        <v>0</v>
      </c>
      <c r="AR40" s="308">
        <f ca="1">IFERROR(__xludf.DUMMYFUNCTION("IMPORTRANGE(""https://docs.google.com/spreadsheets/d/1C3CXT74ZlgGe6_JY_1olB1XN4rF0dxEuIIF-xsYjHgg/edit?usp=sharing"",""งบกองทุน!AS44"")"),65)</f>
        <v>65</v>
      </c>
      <c r="AS40" s="393">
        <f ca="1">IFERROR(__xludf.DUMMYFUNCTION("IMPORTRANGE(""https://docs.google.com/spreadsheets/d/1XL5vhW3sbDhbH9Cz0tuDiY8C3ctxq1tqvaCgkFb8cCA/edit?usp=sharing"",""บุรีรัมย์!J327"")"),0)</f>
        <v>0</v>
      </c>
    </row>
    <row r="41" spans="1:45" ht="21" customHeight="1">
      <c r="A41" s="303">
        <v>8</v>
      </c>
      <c r="B41" s="304" t="s">
        <v>65</v>
      </c>
      <c r="C41" s="391">
        <f t="shared" ca="1" si="80"/>
        <v>234280</v>
      </c>
      <c r="D41" s="306">
        <f ca="1">IFERROR(__xludf.DUMMYFUNCTION("IMPORTRANGE(""https://docs.google.com/spreadsheets/d/1C3CXT74ZlgGe6_JY_1olB1XN4rF0dxEuIIF-xsYjHgg/edit?usp=sharing"",""งบกองทุน!Z45"")"),0)</f>
        <v>0</v>
      </c>
      <c r="E41" s="306">
        <f ca="1">IFERROR(__xludf.DUMMYFUNCTION("IMPORTRANGE(""https://docs.google.com/spreadsheets/d/1C3CXT74ZlgGe6_JY_1olB1XN4rF0dxEuIIF-xsYjHgg/edit?usp=sharing"",""งบกองทุน!AA45"")"),234280)</f>
        <v>234280</v>
      </c>
      <c r="F41" s="307">
        <f ca="1">IFERROR(__xludf.DUMMYFUNCTION("IMPORTRANGE(""https://docs.google.com/spreadsheets/d/1XL5vhW3sbDhbH9Cz0tuDiY8C3ctxq1tqvaCgkFb8cCA/edit?usp=sharing"",""มหาสารคาม!M299"")"),92399)</f>
        <v>92399</v>
      </c>
      <c r="G41" s="307">
        <f t="shared" ca="1" si="1"/>
        <v>39.439559501451257</v>
      </c>
      <c r="H41" s="308">
        <f t="shared" ref="H41:I41" ca="1" si="91">+N41+V41+AE41</f>
        <v>210</v>
      </c>
      <c r="I41" s="308">
        <f t="shared" ca="1" si="91"/>
        <v>70</v>
      </c>
      <c r="J41" s="308">
        <f t="shared" ca="1" si="82"/>
        <v>210</v>
      </c>
      <c r="K41" s="309">
        <f t="shared" ca="1" si="3"/>
        <v>100</v>
      </c>
      <c r="L41" s="308">
        <f t="shared" ca="1" si="83"/>
        <v>70</v>
      </c>
      <c r="M41" s="309">
        <f t="shared" ca="1" si="4"/>
        <v>100</v>
      </c>
      <c r="N41" s="392">
        <f ca="1">IFERROR(__xludf.DUMMYFUNCTION("IMPORTRANGE(""https://docs.google.com/spreadsheets/d/1C3CXT74ZlgGe6_JY_1olB1XN4rF0dxEuIIF-xsYjHgg/edit?usp=sharing"",""งบกองทุน!AD45"")"),60)</f>
        <v>60</v>
      </c>
      <c r="O41" s="392">
        <f ca="1">IFERROR(__xludf.DUMMYFUNCTION("IMPORTRANGE(""https://docs.google.com/spreadsheets/d/1C3CXT74ZlgGe6_JY_1olB1XN4rF0dxEuIIF-xsYjHgg/edit?usp=sharing"",""งบกองทุน!AE45"")"),20)</f>
        <v>20</v>
      </c>
      <c r="P41" s="308">
        <f ca="1">IFERROR(__xludf.DUMMYFUNCTION("IMPORTRANGE(""https://docs.google.com/spreadsheets/d/1XL5vhW3sbDhbH9Cz0tuDiY8C3ctxq1tqvaCgkFb8cCA/edit?usp=sharing"",""มหาสารคาม!J313"")"),60)</f>
        <v>60</v>
      </c>
      <c r="Q41" s="309">
        <f t="shared" ca="1" si="6"/>
        <v>100</v>
      </c>
      <c r="R41" s="308">
        <f ca="1">IFERROR(__xludf.DUMMYFUNCTION("IMPORTRANGE(""https://docs.google.com/spreadsheets/d/1XL5vhW3sbDhbH9Cz0tuDiY8C3ctxq1tqvaCgkFb8cCA/edit?usp=sharing"",""มหาสารคาม!J312"")"),20)</f>
        <v>20</v>
      </c>
      <c r="S41" s="309">
        <f t="shared" ca="1" si="7"/>
        <v>100</v>
      </c>
      <c r="T41" s="309">
        <f ca="1">IFERROR(__xludf.DUMMYFUNCTION("IMPORTRANGE(""https://docs.google.com/spreadsheets/d/1XL5vhW3sbDhbH9Cz0tuDiY8C3ctxq1tqvaCgkFb8cCA/edit?usp=sharing"",""มหาสารคาม!J314"")"),20)</f>
        <v>20</v>
      </c>
      <c r="U41" s="309">
        <f ca="1">IFERROR(__xludf.DUMMYFUNCTION("IMPORTRANGE(""https://docs.google.com/spreadsheets/d/1XL5vhW3sbDhbH9Cz0tuDiY8C3ctxq1tqvaCgkFb8cCA/edit?usp=sharing"",""มหาสารคาม!J315"")"),20)</f>
        <v>20</v>
      </c>
      <c r="V41" s="392">
        <f ca="1">IFERROR(__xludf.DUMMYFUNCTION("IMPORTRANGE(""https://docs.google.com/spreadsheets/d/1C3CXT74ZlgGe6_JY_1olB1XN4rF0dxEuIIF-xsYjHgg/edit?usp=sharing"",""งบกองทุน!AH45"")"),120)</f>
        <v>120</v>
      </c>
      <c r="W41" s="392">
        <f ca="1">IFERROR(__xludf.DUMMYFUNCTION("IMPORTRANGE(""https://docs.google.com/spreadsheets/d/1C3CXT74ZlgGe6_JY_1olB1XN4rF0dxEuIIF-xsYjHgg/edit?usp=sharing"",""งบกองทุน!AI45"")"),40)</f>
        <v>40</v>
      </c>
      <c r="X41" s="308">
        <f ca="1">IFERROR(__xludf.DUMMYFUNCTION("IMPORTRANGE(""https://docs.google.com/spreadsheets/d/1XL5vhW3sbDhbH9Cz0tuDiY8C3ctxq1tqvaCgkFb8cCA/edit?usp=sharing"",""มหาสารคาม!J317"")"),120)</f>
        <v>120</v>
      </c>
      <c r="Y41" s="309">
        <f t="shared" ca="1" si="9"/>
        <v>100</v>
      </c>
      <c r="Z41" s="308">
        <f ca="1">IFERROR(__xludf.DUMMYFUNCTION("IMPORTRANGE(""https://docs.google.com/spreadsheets/d/1XL5vhW3sbDhbH9Cz0tuDiY8C3ctxq1tqvaCgkFb8cCA/edit?usp=sharing"",""มหาสารคาม!J316"")"),40)</f>
        <v>40</v>
      </c>
      <c r="AA41" s="309">
        <f t="shared" ca="1" si="10"/>
        <v>100</v>
      </c>
      <c r="AB41" s="308">
        <f ca="1">IFERROR(__xludf.DUMMYFUNCTION("IMPORTRANGE(""https://docs.google.com/spreadsheets/d/1XL5vhW3sbDhbH9Cz0tuDiY8C3ctxq1tqvaCgkFb8cCA/edit?usp=sharing"",""มหาสารคาม!J318"")"),40)</f>
        <v>40</v>
      </c>
      <c r="AC41" s="308">
        <f ca="1">IFERROR(__xludf.DUMMYFUNCTION("IMPORTRANGE(""https://docs.google.com/spreadsheets/d/1XL5vhW3sbDhbH9Cz0tuDiY8C3ctxq1tqvaCgkFb8cCA/edit?usp=sharing"",""มหาสารคาม!J319"")"),40)</f>
        <v>40</v>
      </c>
      <c r="AD41" s="308">
        <f ca="1">IFERROR(__xludf.DUMMYFUNCTION("IMPORTRANGE(""https://docs.google.com/spreadsheets/d/1XL5vhW3sbDhbH9Cz0tuDiY8C3ctxq1tqvaCgkFb8cCA/edit?usp=sharing"",""มหาสารคาม!J320"")"),40)</f>
        <v>40</v>
      </c>
      <c r="AE41" s="392">
        <f ca="1">IFERROR(__xludf.DUMMYFUNCTION("IMPORTRANGE(""https://docs.google.com/spreadsheets/d/1C3CXT74ZlgGe6_JY_1olB1XN4rF0dxEuIIF-xsYjHgg/edit?usp=sharing"",""งบกองทุน!AM45"")"),30)</f>
        <v>30</v>
      </c>
      <c r="AF41" s="392">
        <f ca="1">IFERROR(__xludf.DUMMYFUNCTION("IMPORTRANGE(""https://docs.google.com/spreadsheets/d/1C3CXT74ZlgGe6_JY_1olB1XN4rF0dxEuIIF-xsYjHgg/edit?usp=sharing"",""งบกองทุน!AN45"")"),10)</f>
        <v>10</v>
      </c>
      <c r="AG41" s="308">
        <f ca="1">IFERROR(__xludf.DUMMYFUNCTION("IMPORTRANGE(""https://docs.google.com/spreadsheets/d/1XL5vhW3sbDhbH9Cz0tuDiY8C3ctxq1tqvaCgkFb8cCA/edit?usp=sharing"",""มหาสารคาม!J322"")"),30)</f>
        <v>30</v>
      </c>
      <c r="AH41" s="309">
        <f t="shared" ca="1" si="12"/>
        <v>100</v>
      </c>
      <c r="AI41" s="308">
        <f ca="1">IFERROR(__xludf.DUMMYFUNCTION("IMPORTRANGE(""https://docs.google.com/spreadsheets/d/1XL5vhW3sbDhbH9Cz0tuDiY8C3ctxq1tqvaCgkFb8cCA/edit?usp=sharing"",""มหาสารคาม!J321"")"),10)</f>
        <v>10</v>
      </c>
      <c r="AJ41" s="309">
        <f t="shared" ca="1" si="13"/>
        <v>100</v>
      </c>
      <c r="AK41" s="308">
        <f ca="1">IFERROR(__xludf.DUMMYFUNCTION("IMPORTRANGE(""https://docs.google.com/spreadsheets/d/1XL5vhW3sbDhbH9Cz0tuDiY8C3ctxq1tqvaCgkFb8cCA/edit?usp=sharing"",""มหาสารคาม!J323"")"),10)</f>
        <v>10</v>
      </c>
      <c r="AL41" s="308">
        <f ca="1">IFERROR(__xludf.DUMMYFUNCTION("IMPORTRANGE(""https://docs.google.com/spreadsheets/d/1XL5vhW3sbDhbH9Cz0tuDiY8C3ctxq1tqvaCgkFb8cCA/edit?usp=sharing"",""มหาสารคาม!J324"")"),10)</f>
        <v>10</v>
      </c>
      <c r="AM41" s="308">
        <f t="shared" ca="1" si="84"/>
        <v>60</v>
      </c>
      <c r="AN41" s="308">
        <f ca="1">IFERROR(__xludf.DUMMYFUNCTION("IMPORTRANGE(""https://docs.google.com/spreadsheets/d/1XL5vhW3sbDhbH9Cz0tuDiY8C3ctxq1tqvaCgkFb8cCA/edit?usp=sharing"",""มหาสารคาม!J325"")"),0)</f>
        <v>0</v>
      </c>
      <c r="AO41" s="309">
        <f t="shared" ca="1" si="15"/>
        <v>0</v>
      </c>
      <c r="AP41" s="392">
        <f ca="1">IFERROR(__xludf.DUMMYFUNCTION("IMPORTRANGE(""https://docs.google.com/spreadsheets/d/1C3CXT74ZlgGe6_JY_1olB1XN4rF0dxEuIIF-xsYjHgg/edit?usp=sharing"",""งบกองทุน!AR45"")"),20)</f>
        <v>20</v>
      </c>
      <c r="AQ41" s="308">
        <f ca="1">IFERROR(__xludf.DUMMYFUNCTION("IMPORTRANGE(""https://docs.google.com/spreadsheets/d/1XL5vhW3sbDhbH9Cz0tuDiY8C3ctxq1tqvaCgkFb8cCA/edit?usp=sharing"",""มหาสารคาม!J326"")"),0)</f>
        <v>0</v>
      </c>
      <c r="AR41" s="308">
        <f ca="1">IFERROR(__xludf.DUMMYFUNCTION("IMPORTRANGE(""https://docs.google.com/spreadsheets/d/1C3CXT74ZlgGe6_JY_1olB1XN4rF0dxEuIIF-xsYjHgg/edit?usp=sharing"",""งบกองทุน!AS45"")"),40)</f>
        <v>40</v>
      </c>
      <c r="AS41" s="393">
        <f ca="1">IFERROR(__xludf.DUMMYFUNCTION("IMPORTRANGE(""https://docs.google.com/spreadsheets/d/1XL5vhW3sbDhbH9Cz0tuDiY8C3ctxq1tqvaCgkFb8cCA/edit?usp=sharing"",""มหาสารคาม!J327"")"),0)</f>
        <v>0</v>
      </c>
    </row>
    <row r="42" spans="1:45" ht="21" customHeight="1">
      <c r="A42" s="303">
        <v>9</v>
      </c>
      <c r="B42" s="304" t="s">
        <v>66</v>
      </c>
      <c r="C42" s="391">
        <f t="shared" ca="1" si="80"/>
        <v>159950</v>
      </c>
      <c r="D42" s="306">
        <f ca="1">IFERROR(__xludf.DUMMYFUNCTION("IMPORTRANGE(""https://docs.google.com/spreadsheets/d/1C3CXT74ZlgGe6_JY_1olB1XN4rF0dxEuIIF-xsYjHgg/edit?usp=sharing"",""งบกองทุน!Z46"")"),0)</f>
        <v>0</v>
      </c>
      <c r="E42" s="306">
        <f ca="1">IFERROR(__xludf.DUMMYFUNCTION("IMPORTRANGE(""https://docs.google.com/spreadsheets/d/1C3CXT74ZlgGe6_JY_1olB1XN4rF0dxEuIIF-xsYjHgg/edit?usp=sharing"",""งบกองทุน!AA46"")"),159950)</f>
        <v>159950</v>
      </c>
      <c r="F42" s="307">
        <f ca="1">IFERROR(__xludf.DUMMYFUNCTION("IMPORTRANGE(""https://docs.google.com/spreadsheets/d/1XL5vhW3sbDhbH9Cz0tuDiY8C3ctxq1tqvaCgkFb8cCA/edit?usp=sharing"",""มุกดาหาร!M299"")"),35833)</f>
        <v>35833</v>
      </c>
      <c r="G42" s="307">
        <f t="shared" ca="1" si="1"/>
        <v>22.402625820568929</v>
      </c>
      <c r="H42" s="308">
        <f t="shared" ref="H42:I42" ca="1" si="92">+N42+V42+AE42</f>
        <v>135</v>
      </c>
      <c r="I42" s="308">
        <f t="shared" ca="1" si="92"/>
        <v>45</v>
      </c>
      <c r="J42" s="308">
        <f t="shared" ca="1" si="82"/>
        <v>135</v>
      </c>
      <c r="K42" s="309">
        <f t="shared" ca="1" si="3"/>
        <v>100</v>
      </c>
      <c r="L42" s="308">
        <f t="shared" ca="1" si="83"/>
        <v>45</v>
      </c>
      <c r="M42" s="309">
        <f t="shared" ca="1" si="4"/>
        <v>100</v>
      </c>
      <c r="N42" s="392">
        <f ca="1">IFERROR(__xludf.DUMMYFUNCTION("IMPORTRANGE(""https://docs.google.com/spreadsheets/d/1C3CXT74ZlgGe6_JY_1olB1XN4rF0dxEuIIF-xsYjHgg/edit?usp=sharing"",""งบกองทุน!AD46"")"),30)</f>
        <v>30</v>
      </c>
      <c r="O42" s="392">
        <f ca="1">IFERROR(__xludf.DUMMYFUNCTION("IMPORTRANGE(""https://docs.google.com/spreadsheets/d/1C3CXT74ZlgGe6_JY_1olB1XN4rF0dxEuIIF-xsYjHgg/edit?usp=sharing"",""งบกองทุน!AE46"")"),10)</f>
        <v>10</v>
      </c>
      <c r="P42" s="308">
        <f ca="1">IFERROR(__xludf.DUMMYFUNCTION("IMPORTRANGE(""https://docs.google.com/spreadsheets/d/1XL5vhW3sbDhbH9Cz0tuDiY8C3ctxq1tqvaCgkFb8cCA/edit?usp=sharing"",""มุกดาหาร!J313"")"),30)</f>
        <v>30</v>
      </c>
      <c r="Q42" s="309">
        <f t="shared" ca="1" si="6"/>
        <v>100</v>
      </c>
      <c r="R42" s="308">
        <f ca="1">IFERROR(__xludf.DUMMYFUNCTION("IMPORTRANGE(""https://docs.google.com/spreadsheets/d/1XL5vhW3sbDhbH9Cz0tuDiY8C3ctxq1tqvaCgkFb8cCA/edit?usp=sharing"",""มุกดาหาร!J312"")"),10)</f>
        <v>10</v>
      </c>
      <c r="S42" s="309">
        <f t="shared" ca="1" si="7"/>
        <v>100</v>
      </c>
      <c r="T42" s="309">
        <f ca="1">IFERROR(__xludf.DUMMYFUNCTION("IMPORTRANGE(""https://docs.google.com/spreadsheets/d/1XL5vhW3sbDhbH9Cz0tuDiY8C3ctxq1tqvaCgkFb8cCA/edit?usp=sharing"",""มุกดาหาร!J314"")"),10)</f>
        <v>10</v>
      </c>
      <c r="U42" s="309">
        <f ca="1">IFERROR(__xludf.DUMMYFUNCTION("IMPORTRANGE(""https://docs.google.com/spreadsheets/d/1XL5vhW3sbDhbH9Cz0tuDiY8C3ctxq1tqvaCgkFb8cCA/edit?usp=sharing"",""มุกดาหาร!J315"")"),10)</f>
        <v>10</v>
      </c>
      <c r="V42" s="392">
        <f ca="1">IFERROR(__xludf.DUMMYFUNCTION("IMPORTRANGE(""https://docs.google.com/spreadsheets/d/1C3CXT74ZlgGe6_JY_1olB1XN4rF0dxEuIIF-xsYjHgg/edit?usp=sharing"",""งบกองทุน!AH46"")"),75)</f>
        <v>75</v>
      </c>
      <c r="W42" s="392">
        <f ca="1">IFERROR(__xludf.DUMMYFUNCTION("IMPORTRANGE(""https://docs.google.com/spreadsheets/d/1C3CXT74ZlgGe6_JY_1olB1XN4rF0dxEuIIF-xsYjHgg/edit?usp=sharing"",""งบกองทุน!AI46"")"),25)</f>
        <v>25</v>
      </c>
      <c r="X42" s="308">
        <f ca="1">IFERROR(__xludf.DUMMYFUNCTION("IMPORTRANGE(""https://docs.google.com/spreadsheets/d/1XL5vhW3sbDhbH9Cz0tuDiY8C3ctxq1tqvaCgkFb8cCA/edit?usp=sharing"",""มุกดาหาร!J317"")"),75)</f>
        <v>75</v>
      </c>
      <c r="Y42" s="309">
        <f t="shared" ca="1" si="9"/>
        <v>100</v>
      </c>
      <c r="Z42" s="308">
        <f ca="1">IFERROR(__xludf.DUMMYFUNCTION("IMPORTRANGE(""https://docs.google.com/spreadsheets/d/1XL5vhW3sbDhbH9Cz0tuDiY8C3ctxq1tqvaCgkFb8cCA/edit?usp=sharing"",""มุกดาหาร!J316"")"),25)</f>
        <v>25</v>
      </c>
      <c r="AA42" s="309">
        <f t="shared" ca="1" si="10"/>
        <v>100</v>
      </c>
      <c r="AB42" s="308">
        <f ca="1">IFERROR(__xludf.DUMMYFUNCTION("IMPORTRANGE(""https://docs.google.com/spreadsheets/d/1XL5vhW3sbDhbH9Cz0tuDiY8C3ctxq1tqvaCgkFb8cCA/edit?usp=sharing"",""มุกดาหาร!J318"")"),25)</f>
        <v>25</v>
      </c>
      <c r="AC42" s="308">
        <f ca="1">IFERROR(__xludf.DUMMYFUNCTION("IMPORTRANGE(""https://docs.google.com/spreadsheets/d/1XL5vhW3sbDhbH9Cz0tuDiY8C3ctxq1tqvaCgkFb8cCA/edit?usp=sharing"",""มุกดาหาร!J319"")"),25)</f>
        <v>25</v>
      </c>
      <c r="AD42" s="308">
        <f ca="1">IFERROR(__xludf.DUMMYFUNCTION("IMPORTRANGE(""https://docs.google.com/spreadsheets/d/1XL5vhW3sbDhbH9Cz0tuDiY8C3ctxq1tqvaCgkFb8cCA/edit?usp=sharing"",""มุกดาหาร!J320"")"),25)</f>
        <v>25</v>
      </c>
      <c r="AE42" s="392">
        <f ca="1">IFERROR(__xludf.DUMMYFUNCTION("IMPORTRANGE(""https://docs.google.com/spreadsheets/d/1C3CXT74ZlgGe6_JY_1olB1XN4rF0dxEuIIF-xsYjHgg/edit?usp=sharing"",""งบกองทุน!AM46"")"),30)</f>
        <v>30</v>
      </c>
      <c r="AF42" s="392">
        <f ca="1">IFERROR(__xludf.DUMMYFUNCTION("IMPORTRANGE(""https://docs.google.com/spreadsheets/d/1C3CXT74ZlgGe6_JY_1olB1XN4rF0dxEuIIF-xsYjHgg/edit?usp=sharing"",""งบกองทุน!AN46"")"),10)</f>
        <v>10</v>
      </c>
      <c r="AG42" s="308">
        <f ca="1">IFERROR(__xludf.DUMMYFUNCTION("IMPORTRANGE(""https://docs.google.com/spreadsheets/d/1XL5vhW3sbDhbH9Cz0tuDiY8C3ctxq1tqvaCgkFb8cCA/edit?usp=sharing"",""มุกดาหาร!J322"")"),30)</f>
        <v>30</v>
      </c>
      <c r="AH42" s="309">
        <f t="shared" ca="1" si="12"/>
        <v>100</v>
      </c>
      <c r="AI42" s="308">
        <f ca="1">IFERROR(__xludf.DUMMYFUNCTION("IMPORTRANGE(""https://docs.google.com/spreadsheets/d/1XL5vhW3sbDhbH9Cz0tuDiY8C3ctxq1tqvaCgkFb8cCA/edit?usp=sharing"",""มุกดาหาร!J321"")"),10)</f>
        <v>10</v>
      </c>
      <c r="AJ42" s="309">
        <f t="shared" ca="1" si="13"/>
        <v>100</v>
      </c>
      <c r="AK42" s="308">
        <f ca="1">IFERROR(__xludf.DUMMYFUNCTION("IMPORTRANGE(""https://docs.google.com/spreadsheets/d/1XL5vhW3sbDhbH9Cz0tuDiY8C3ctxq1tqvaCgkFb8cCA/edit?usp=sharing"",""มุกดาหาร!J323"")"),10)</f>
        <v>10</v>
      </c>
      <c r="AL42" s="308">
        <f ca="1">IFERROR(__xludf.DUMMYFUNCTION("IMPORTRANGE(""https://docs.google.com/spreadsheets/d/1XL5vhW3sbDhbH9Cz0tuDiY8C3ctxq1tqvaCgkFb8cCA/edit?usp=sharing"",""มุกดาหาร!J324"")"),10)</f>
        <v>10</v>
      </c>
      <c r="AM42" s="308">
        <f t="shared" ca="1" si="84"/>
        <v>35</v>
      </c>
      <c r="AN42" s="308">
        <f ca="1">IFERROR(__xludf.DUMMYFUNCTION("IMPORTRANGE(""https://docs.google.com/spreadsheets/d/1XL5vhW3sbDhbH9Cz0tuDiY8C3ctxq1tqvaCgkFb8cCA/edit?usp=sharing"",""มุกดาหาร!J325"")"),0)</f>
        <v>0</v>
      </c>
      <c r="AO42" s="309">
        <f t="shared" ca="1" si="15"/>
        <v>0</v>
      </c>
      <c r="AP42" s="392">
        <f ca="1">IFERROR(__xludf.DUMMYFUNCTION("IMPORTRANGE(""https://docs.google.com/spreadsheets/d/1C3CXT74ZlgGe6_JY_1olB1XN4rF0dxEuIIF-xsYjHgg/edit?usp=sharing"",""งบกองทุน!AR46"")"),10)</f>
        <v>10</v>
      </c>
      <c r="AQ42" s="308">
        <f ca="1">IFERROR(__xludf.DUMMYFUNCTION("IMPORTRANGE(""https://docs.google.com/spreadsheets/d/1XL5vhW3sbDhbH9Cz0tuDiY8C3ctxq1tqvaCgkFb8cCA/edit?usp=sharing"",""มุกดาหาร!J326"")"),0)</f>
        <v>0</v>
      </c>
      <c r="AR42" s="308">
        <f ca="1">IFERROR(__xludf.DUMMYFUNCTION("IMPORTRANGE(""https://docs.google.com/spreadsheets/d/1C3CXT74ZlgGe6_JY_1olB1XN4rF0dxEuIIF-xsYjHgg/edit?usp=sharing"",""งบกองทุน!AS46"")"),25)</f>
        <v>25</v>
      </c>
      <c r="AS42" s="393">
        <f ca="1">IFERROR(__xludf.DUMMYFUNCTION("IMPORTRANGE(""https://docs.google.com/spreadsheets/d/1XL5vhW3sbDhbH9Cz0tuDiY8C3ctxq1tqvaCgkFb8cCA/edit?usp=sharing"",""มุกดาหาร!J327"")"),0)</f>
        <v>0</v>
      </c>
    </row>
    <row r="43" spans="1:45" ht="21" customHeight="1">
      <c r="A43" s="303">
        <v>10</v>
      </c>
      <c r="B43" s="304" t="s">
        <v>67</v>
      </c>
      <c r="C43" s="391">
        <f t="shared" ca="1" si="80"/>
        <v>193190</v>
      </c>
      <c r="D43" s="306">
        <f ca="1">IFERROR(__xludf.DUMMYFUNCTION("IMPORTRANGE(""https://docs.google.com/spreadsheets/d/1C3CXT74ZlgGe6_JY_1olB1XN4rF0dxEuIIF-xsYjHgg/edit?usp=sharing"",""งบกองทุน!Z47"")"),0)</f>
        <v>0</v>
      </c>
      <c r="E43" s="306">
        <f ca="1">IFERROR(__xludf.DUMMYFUNCTION("IMPORTRANGE(""https://docs.google.com/spreadsheets/d/1C3CXT74ZlgGe6_JY_1olB1XN4rF0dxEuIIF-xsYjHgg/edit?usp=sharing"",""งบกองทุน!AA47"")"),193190)</f>
        <v>193190</v>
      </c>
      <c r="F43" s="307">
        <f ca="1">IFERROR(__xludf.DUMMYFUNCTION("IMPORTRANGE(""https://docs.google.com/spreadsheets/d/1XL5vhW3sbDhbH9Cz0tuDiY8C3ctxq1tqvaCgkFb8cCA/edit?usp=sharing"",""ยโสธร!M299"")"),100050)</f>
        <v>100050</v>
      </c>
      <c r="G43" s="307">
        <f t="shared" ca="1" si="1"/>
        <v>51.788394844453649</v>
      </c>
      <c r="H43" s="308">
        <f t="shared" ref="H43:I43" ca="1" si="93">+N43+V43+AE43</f>
        <v>165</v>
      </c>
      <c r="I43" s="308">
        <f t="shared" ca="1" si="93"/>
        <v>55</v>
      </c>
      <c r="J43" s="308">
        <f t="shared" ca="1" si="82"/>
        <v>165</v>
      </c>
      <c r="K43" s="309">
        <f t="shared" ca="1" si="3"/>
        <v>100</v>
      </c>
      <c r="L43" s="308">
        <f t="shared" ca="1" si="83"/>
        <v>55</v>
      </c>
      <c r="M43" s="309">
        <f t="shared" ca="1" si="4"/>
        <v>100</v>
      </c>
      <c r="N43" s="392">
        <f ca="1">IFERROR(__xludf.DUMMYFUNCTION("IMPORTRANGE(""https://docs.google.com/spreadsheets/d/1C3CXT74ZlgGe6_JY_1olB1XN4rF0dxEuIIF-xsYjHgg/edit?usp=sharing"",""งบกองทุน!AD47"")"),60)</f>
        <v>60</v>
      </c>
      <c r="O43" s="392">
        <f ca="1">IFERROR(__xludf.DUMMYFUNCTION("IMPORTRANGE(""https://docs.google.com/spreadsheets/d/1C3CXT74ZlgGe6_JY_1olB1XN4rF0dxEuIIF-xsYjHgg/edit?usp=sharing"",""งบกองทุน!AE47"")"),20)</f>
        <v>20</v>
      </c>
      <c r="P43" s="308">
        <f ca="1">IFERROR(__xludf.DUMMYFUNCTION("IMPORTRANGE(""https://docs.google.com/spreadsheets/d/1XL5vhW3sbDhbH9Cz0tuDiY8C3ctxq1tqvaCgkFb8cCA/edit?usp=sharing"",""ยโสธร!J313"")"),60)</f>
        <v>60</v>
      </c>
      <c r="Q43" s="309">
        <f t="shared" ca="1" si="6"/>
        <v>100</v>
      </c>
      <c r="R43" s="308">
        <f ca="1">IFERROR(__xludf.DUMMYFUNCTION("IMPORTRANGE(""https://docs.google.com/spreadsheets/d/1XL5vhW3sbDhbH9Cz0tuDiY8C3ctxq1tqvaCgkFb8cCA/edit?usp=sharing"",""ยโสธร!J312"")"),20)</f>
        <v>20</v>
      </c>
      <c r="S43" s="309">
        <f t="shared" ca="1" si="7"/>
        <v>100</v>
      </c>
      <c r="T43" s="309">
        <f ca="1">IFERROR(__xludf.DUMMYFUNCTION("IMPORTRANGE(""https://docs.google.com/spreadsheets/d/1XL5vhW3sbDhbH9Cz0tuDiY8C3ctxq1tqvaCgkFb8cCA/edit?usp=sharing"",""ยโสธร!J314"")"),20)</f>
        <v>20</v>
      </c>
      <c r="U43" s="309">
        <f ca="1">IFERROR(__xludf.DUMMYFUNCTION("IMPORTRANGE(""https://docs.google.com/spreadsheets/d/1XL5vhW3sbDhbH9Cz0tuDiY8C3ctxq1tqvaCgkFb8cCA/edit?usp=sharing"",""ยโสธร!J315"")"),20)</f>
        <v>20</v>
      </c>
      <c r="V43" s="392">
        <f ca="1">IFERROR(__xludf.DUMMYFUNCTION("IMPORTRANGE(""https://docs.google.com/spreadsheets/d/1C3CXT74ZlgGe6_JY_1olB1XN4rF0dxEuIIF-xsYjHgg/edit?usp=sharing"",""งบกองทุน!AH47"")"),75)</f>
        <v>75</v>
      </c>
      <c r="W43" s="392">
        <f ca="1">IFERROR(__xludf.DUMMYFUNCTION("IMPORTRANGE(""https://docs.google.com/spreadsheets/d/1C3CXT74ZlgGe6_JY_1olB1XN4rF0dxEuIIF-xsYjHgg/edit?usp=sharing"",""งบกองทุน!AI47"")"),25)</f>
        <v>25</v>
      </c>
      <c r="X43" s="308">
        <f ca="1">IFERROR(__xludf.DUMMYFUNCTION("IMPORTRANGE(""https://docs.google.com/spreadsheets/d/1XL5vhW3sbDhbH9Cz0tuDiY8C3ctxq1tqvaCgkFb8cCA/edit?usp=sharing"",""ยโสธร!J317"")"),75)</f>
        <v>75</v>
      </c>
      <c r="Y43" s="309">
        <f t="shared" ca="1" si="9"/>
        <v>100</v>
      </c>
      <c r="Z43" s="308">
        <f ca="1">IFERROR(__xludf.DUMMYFUNCTION("IMPORTRANGE(""https://docs.google.com/spreadsheets/d/1XL5vhW3sbDhbH9Cz0tuDiY8C3ctxq1tqvaCgkFb8cCA/edit?usp=sharing"",""ยโสธร!J316"")"),25)</f>
        <v>25</v>
      </c>
      <c r="AA43" s="309">
        <f t="shared" ca="1" si="10"/>
        <v>100</v>
      </c>
      <c r="AB43" s="308">
        <f ca="1">IFERROR(__xludf.DUMMYFUNCTION("IMPORTRANGE(""https://docs.google.com/spreadsheets/d/1XL5vhW3sbDhbH9Cz0tuDiY8C3ctxq1tqvaCgkFb8cCA/edit?usp=sharing"",""ยโสธร!J318"")"),25)</f>
        <v>25</v>
      </c>
      <c r="AC43" s="308">
        <f ca="1">IFERROR(__xludf.DUMMYFUNCTION("IMPORTRANGE(""https://docs.google.com/spreadsheets/d/1XL5vhW3sbDhbH9Cz0tuDiY8C3ctxq1tqvaCgkFb8cCA/edit?usp=sharing"",""ยโสธร!J319"")"),25)</f>
        <v>25</v>
      </c>
      <c r="AD43" s="308">
        <f ca="1">IFERROR(__xludf.DUMMYFUNCTION("IMPORTRANGE(""https://docs.google.com/spreadsheets/d/1XL5vhW3sbDhbH9Cz0tuDiY8C3ctxq1tqvaCgkFb8cCA/edit?usp=sharing"",""ยโสธร!J320"")"),25)</f>
        <v>25</v>
      </c>
      <c r="AE43" s="392">
        <f ca="1">IFERROR(__xludf.DUMMYFUNCTION("IMPORTRANGE(""https://docs.google.com/spreadsheets/d/1C3CXT74ZlgGe6_JY_1olB1XN4rF0dxEuIIF-xsYjHgg/edit?usp=sharing"",""งบกองทุน!AM47"")"),30)</f>
        <v>30</v>
      </c>
      <c r="AF43" s="392">
        <f ca="1">IFERROR(__xludf.DUMMYFUNCTION("IMPORTRANGE(""https://docs.google.com/spreadsheets/d/1C3CXT74ZlgGe6_JY_1olB1XN4rF0dxEuIIF-xsYjHgg/edit?usp=sharing"",""งบกองทุน!AN47"")"),10)</f>
        <v>10</v>
      </c>
      <c r="AG43" s="308">
        <f ca="1">IFERROR(__xludf.DUMMYFUNCTION("IMPORTRANGE(""https://docs.google.com/spreadsheets/d/1XL5vhW3sbDhbH9Cz0tuDiY8C3ctxq1tqvaCgkFb8cCA/edit?usp=sharing"",""ยโสธร!J322"")"),30)</f>
        <v>30</v>
      </c>
      <c r="AH43" s="309">
        <f t="shared" ca="1" si="12"/>
        <v>100</v>
      </c>
      <c r="AI43" s="308">
        <f ca="1">IFERROR(__xludf.DUMMYFUNCTION("IMPORTRANGE(""https://docs.google.com/spreadsheets/d/1XL5vhW3sbDhbH9Cz0tuDiY8C3ctxq1tqvaCgkFb8cCA/edit?usp=sharing"",""ยโสธร!J321"")"),10)</f>
        <v>10</v>
      </c>
      <c r="AJ43" s="309">
        <f t="shared" ca="1" si="13"/>
        <v>100</v>
      </c>
      <c r="AK43" s="308">
        <f ca="1">IFERROR(__xludf.DUMMYFUNCTION("IMPORTRANGE(""https://docs.google.com/spreadsheets/d/1XL5vhW3sbDhbH9Cz0tuDiY8C3ctxq1tqvaCgkFb8cCA/edit?usp=sharing"",""ยโสธร!J323"")"),10)</f>
        <v>10</v>
      </c>
      <c r="AL43" s="308">
        <f ca="1">IFERROR(__xludf.DUMMYFUNCTION("IMPORTRANGE(""https://docs.google.com/spreadsheets/d/1XL5vhW3sbDhbH9Cz0tuDiY8C3ctxq1tqvaCgkFb8cCA/edit?usp=sharing"",""ยโสธร!J324"")"),10)</f>
        <v>10</v>
      </c>
      <c r="AM43" s="308">
        <f t="shared" ca="1" si="84"/>
        <v>45</v>
      </c>
      <c r="AN43" s="308">
        <f ca="1">IFERROR(__xludf.DUMMYFUNCTION("IMPORTRANGE(""https://docs.google.com/spreadsheets/d/1XL5vhW3sbDhbH9Cz0tuDiY8C3ctxq1tqvaCgkFb8cCA/edit?usp=sharing"",""ยโสธร!J325"")"),0)</f>
        <v>0</v>
      </c>
      <c r="AO43" s="309">
        <f t="shared" ca="1" si="15"/>
        <v>0</v>
      </c>
      <c r="AP43" s="392">
        <f ca="1">IFERROR(__xludf.DUMMYFUNCTION("IMPORTRANGE(""https://docs.google.com/spreadsheets/d/1C3CXT74ZlgGe6_JY_1olB1XN4rF0dxEuIIF-xsYjHgg/edit?usp=sharing"",""งบกองทุน!AR47"")"),20)</f>
        <v>20</v>
      </c>
      <c r="AQ43" s="308">
        <f ca="1">IFERROR(__xludf.DUMMYFUNCTION("IMPORTRANGE(""https://docs.google.com/spreadsheets/d/1XL5vhW3sbDhbH9Cz0tuDiY8C3ctxq1tqvaCgkFb8cCA/edit?usp=sharing"",""ยโสธร!J326"")"),0)</f>
        <v>0</v>
      </c>
      <c r="AR43" s="308">
        <f ca="1">IFERROR(__xludf.DUMMYFUNCTION("IMPORTRANGE(""https://docs.google.com/spreadsheets/d/1C3CXT74ZlgGe6_JY_1olB1XN4rF0dxEuIIF-xsYjHgg/edit?usp=sharing"",""งบกองทุน!AS47"")"),25)</f>
        <v>25</v>
      </c>
      <c r="AS43" s="393">
        <f ca="1">IFERROR(__xludf.DUMMYFUNCTION("IMPORTRANGE(""https://docs.google.com/spreadsheets/d/1XL5vhW3sbDhbH9Cz0tuDiY8C3ctxq1tqvaCgkFb8cCA/edit?usp=sharing"",""ยโสธร!J327"")"),0)</f>
        <v>0</v>
      </c>
    </row>
    <row r="44" spans="1:45" ht="21" customHeight="1">
      <c r="A44" s="303">
        <v>11</v>
      </c>
      <c r="B44" s="304" t="s">
        <v>68</v>
      </c>
      <c r="C44" s="391">
        <f t="shared" ca="1" si="80"/>
        <v>175650</v>
      </c>
      <c r="D44" s="306">
        <f ca="1">IFERROR(__xludf.DUMMYFUNCTION("IMPORTRANGE(""https://docs.google.com/spreadsheets/d/1C3CXT74ZlgGe6_JY_1olB1XN4rF0dxEuIIF-xsYjHgg/edit?usp=sharing"",""งบกองทุน!Z48"")"),0)</f>
        <v>0</v>
      </c>
      <c r="E44" s="306">
        <f ca="1">IFERROR(__xludf.DUMMYFUNCTION("IMPORTRANGE(""https://docs.google.com/spreadsheets/d/1C3CXT74ZlgGe6_JY_1olB1XN4rF0dxEuIIF-xsYjHgg/edit?usp=sharing"",""งบกองทุน!AA48"")"),175650)</f>
        <v>175650</v>
      </c>
      <c r="F44" s="307">
        <f ca="1">IFERROR(__xludf.DUMMYFUNCTION("IMPORTRANGE(""https://docs.google.com/spreadsheets/d/1XL5vhW3sbDhbH9Cz0tuDiY8C3ctxq1tqvaCgkFb8cCA/edit?usp=sharing"",""ร้อยเอ็ด!M299"")"),132529)</f>
        <v>132529</v>
      </c>
      <c r="G44" s="307">
        <f t="shared" ca="1" si="1"/>
        <v>75.450612012524914</v>
      </c>
      <c r="H44" s="308">
        <f t="shared" ref="H44:I44" ca="1" si="94">+N44+V44+AE44</f>
        <v>150</v>
      </c>
      <c r="I44" s="308">
        <f t="shared" ca="1" si="94"/>
        <v>50</v>
      </c>
      <c r="J44" s="308">
        <f t="shared" ca="1" si="82"/>
        <v>150</v>
      </c>
      <c r="K44" s="309">
        <f t="shared" ca="1" si="3"/>
        <v>100</v>
      </c>
      <c r="L44" s="308">
        <f t="shared" ca="1" si="83"/>
        <v>50</v>
      </c>
      <c r="M44" s="309">
        <f t="shared" ca="1" si="4"/>
        <v>100</v>
      </c>
      <c r="N44" s="392">
        <f ca="1">IFERROR(__xludf.DUMMYFUNCTION("IMPORTRANGE(""https://docs.google.com/spreadsheets/d/1C3CXT74ZlgGe6_JY_1olB1XN4rF0dxEuIIF-xsYjHgg/edit?usp=sharing"",""งบกองทุน!AD48"")"),45)</f>
        <v>45</v>
      </c>
      <c r="O44" s="392">
        <f ca="1">IFERROR(__xludf.DUMMYFUNCTION("IMPORTRANGE(""https://docs.google.com/spreadsheets/d/1C3CXT74ZlgGe6_JY_1olB1XN4rF0dxEuIIF-xsYjHgg/edit?usp=sharing"",""งบกองทุน!AE48"")"),15)</f>
        <v>15</v>
      </c>
      <c r="P44" s="308">
        <f ca="1">IFERROR(__xludf.DUMMYFUNCTION("IMPORTRANGE(""https://docs.google.com/spreadsheets/d/1XL5vhW3sbDhbH9Cz0tuDiY8C3ctxq1tqvaCgkFb8cCA/edit?usp=sharing"",""ร้อยเอ็ด!J313"")"),45)</f>
        <v>45</v>
      </c>
      <c r="Q44" s="309">
        <f t="shared" ca="1" si="6"/>
        <v>100</v>
      </c>
      <c r="R44" s="308">
        <f ca="1">IFERROR(__xludf.DUMMYFUNCTION("IMPORTRANGE(""https://docs.google.com/spreadsheets/d/1XL5vhW3sbDhbH9Cz0tuDiY8C3ctxq1tqvaCgkFb8cCA/edit?usp=sharing"",""ร้อยเอ็ด!J312"")"),15)</f>
        <v>15</v>
      </c>
      <c r="S44" s="309">
        <f t="shared" ca="1" si="7"/>
        <v>100</v>
      </c>
      <c r="T44" s="309">
        <f ca="1">IFERROR(__xludf.DUMMYFUNCTION("IMPORTRANGE(""https://docs.google.com/spreadsheets/d/1XL5vhW3sbDhbH9Cz0tuDiY8C3ctxq1tqvaCgkFb8cCA/edit?usp=sharing"",""ร้อยเอ็ด!J314"")"),15)</f>
        <v>15</v>
      </c>
      <c r="U44" s="309">
        <f ca="1">IFERROR(__xludf.DUMMYFUNCTION("IMPORTRANGE(""https://docs.google.com/spreadsheets/d/1XL5vhW3sbDhbH9Cz0tuDiY8C3ctxq1tqvaCgkFb8cCA/edit?usp=sharing"",""ร้อยเอ็ด!J315"")"),15)</f>
        <v>15</v>
      </c>
      <c r="V44" s="392">
        <f ca="1">IFERROR(__xludf.DUMMYFUNCTION("IMPORTRANGE(""https://docs.google.com/spreadsheets/d/1C3CXT74ZlgGe6_JY_1olB1XN4rF0dxEuIIF-xsYjHgg/edit?usp=sharing"",""งบกองทุน!AH48"")"),75)</f>
        <v>75</v>
      </c>
      <c r="W44" s="392">
        <f ca="1">IFERROR(__xludf.DUMMYFUNCTION("IMPORTRANGE(""https://docs.google.com/spreadsheets/d/1C3CXT74ZlgGe6_JY_1olB1XN4rF0dxEuIIF-xsYjHgg/edit?usp=sharing"",""งบกองทุน!AI48"")"),25)</f>
        <v>25</v>
      </c>
      <c r="X44" s="308">
        <f ca="1">IFERROR(__xludf.DUMMYFUNCTION("IMPORTRANGE(""https://docs.google.com/spreadsheets/d/1XL5vhW3sbDhbH9Cz0tuDiY8C3ctxq1tqvaCgkFb8cCA/edit?usp=sharing"",""ร้อยเอ็ด!J317"")"),75)</f>
        <v>75</v>
      </c>
      <c r="Y44" s="309">
        <f t="shared" ca="1" si="9"/>
        <v>100</v>
      </c>
      <c r="Z44" s="308">
        <f ca="1">IFERROR(__xludf.DUMMYFUNCTION("IMPORTRANGE(""https://docs.google.com/spreadsheets/d/1XL5vhW3sbDhbH9Cz0tuDiY8C3ctxq1tqvaCgkFb8cCA/edit?usp=sharing"",""ร้อยเอ็ด!J316"")"),25)</f>
        <v>25</v>
      </c>
      <c r="AA44" s="309">
        <f t="shared" ca="1" si="10"/>
        <v>100</v>
      </c>
      <c r="AB44" s="308">
        <f ca="1">IFERROR(__xludf.DUMMYFUNCTION("IMPORTRANGE(""https://docs.google.com/spreadsheets/d/1XL5vhW3sbDhbH9Cz0tuDiY8C3ctxq1tqvaCgkFb8cCA/edit?usp=sharing"",""ร้อยเอ็ด!J318"")"),25)</f>
        <v>25</v>
      </c>
      <c r="AC44" s="308">
        <f ca="1">IFERROR(__xludf.DUMMYFUNCTION("IMPORTRANGE(""https://docs.google.com/spreadsheets/d/1XL5vhW3sbDhbH9Cz0tuDiY8C3ctxq1tqvaCgkFb8cCA/edit?usp=sharing"",""ร้อยเอ็ด!J319"")"),25)</f>
        <v>25</v>
      </c>
      <c r="AD44" s="308">
        <f ca="1">IFERROR(__xludf.DUMMYFUNCTION("IMPORTRANGE(""https://docs.google.com/spreadsheets/d/1XL5vhW3sbDhbH9Cz0tuDiY8C3ctxq1tqvaCgkFb8cCA/edit?usp=sharing"",""ร้อยเอ็ด!J320"")"),25)</f>
        <v>25</v>
      </c>
      <c r="AE44" s="392">
        <f ca="1">IFERROR(__xludf.DUMMYFUNCTION("IMPORTRANGE(""https://docs.google.com/spreadsheets/d/1C3CXT74ZlgGe6_JY_1olB1XN4rF0dxEuIIF-xsYjHgg/edit?usp=sharing"",""งบกองทุน!AM48"")"),30)</f>
        <v>30</v>
      </c>
      <c r="AF44" s="392">
        <f ca="1">IFERROR(__xludf.DUMMYFUNCTION("IMPORTRANGE(""https://docs.google.com/spreadsheets/d/1C3CXT74ZlgGe6_JY_1olB1XN4rF0dxEuIIF-xsYjHgg/edit?usp=sharing"",""งบกองทุน!AN48"")"),10)</f>
        <v>10</v>
      </c>
      <c r="AG44" s="308">
        <f ca="1">IFERROR(__xludf.DUMMYFUNCTION("IMPORTRANGE(""https://docs.google.com/spreadsheets/d/1XL5vhW3sbDhbH9Cz0tuDiY8C3ctxq1tqvaCgkFb8cCA/edit?usp=sharing"",""ร้อยเอ็ด!J322"")"),30)</f>
        <v>30</v>
      </c>
      <c r="AH44" s="309">
        <f t="shared" ca="1" si="12"/>
        <v>100</v>
      </c>
      <c r="AI44" s="308">
        <f ca="1">IFERROR(__xludf.DUMMYFUNCTION("IMPORTRANGE(""https://docs.google.com/spreadsheets/d/1XL5vhW3sbDhbH9Cz0tuDiY8C3ctxq1tqvaCgkFb8cCA/edit?usp=sharing"",""ร้อยเอ็ด!J321"")"),10)</f>
        <v>10</v>
      </c>
      <c r="AJ44" s="309">
        <f t="shared" ca="1" si="13"/>
        <v>100</v>
      </c>
      <c r="AK44" s="308">
        <f ca="1">IFERROR(__xludf.DUMMYFUNCTION("IMPORTRANGE(""https://docs.google.com/spreadsheets/d/1XL5vhW3sbDhbH9Cz0tuDiY8C3ctxq1tqvaCgkFb8cCA/edit?usp=sharing"",""ร้อยเอ็ด!J323"")"),10)</f>
        <v>10</v>
      </c>
      <c r="AL44" s="308">
        <f ca="1">IFERROR(__xludf.DUMMYFUNCTION("IMPORTRANGE(""https://docs.google.com/spreadsheets/d/1XL5vhW3sbDhbH9Cz0tuDiY8C3ctxq1tqvaCgkFb8cCA/edit?usp=sharing"",""ร้อยเอ็ด!J324"")"),10)</f>
        <v>10</v>
      </c>
      <c r="AM44" s="308">
        <f t="shared" ca="1" si="84"/>
        <v>40</v>
      </c>
      <c r="AN44" s="308">
        <f ca="1">IFERROR(__xludf.DUMMYFUNCTION("IMPORTRANGE(""https://docs.google.com/spreadsheets/d/1XL5vhW3sbDhbH9Cz0tuDiY8C3ctxq1tqvaCgkFb8cCA/edit?usp=sharing"",""ร้อยเอ็ด!J325"")"),0)</f>
        <v>0</v>
      </c>
      <c r="AO44" s="309">
        <f t="shared" ca="1" si="15"/>
        <v>0</v>
      </c>
      <c r="AP44" s="392">
        <f ca="1">IFERROR(__xludf.DUMMYFUNCTION("IMPORTRANGE(""https://docs.google.com/spreadsheets/d/1C3CXT74ZlgGe6_JY_1olB1XN4rF0dxEuIIF-xsYjHgg/edit?usp=sharing"",""งบกองทุน!AR48"")"),15)</f>
        <v>15</v>
      </c>
      <c r="AQ44" s="308">
        <f ca="1">IFERROR(__xludf.DUMMYFUNCTION("IMPORTRANGE(""https://docs.google.com/spreadsheets/d/1XL5vhW3sbDhbH9Cz0tuDiY8C3ctxq1tqvaCgkFb8cCA/edit?usp=sharing"",""ร้อยเอ็ด!J326"")"),0)</f>
        <v>0</v>
      </c>
      <c r="AR44" s="308">
        <f ca="1">IFERROR(__xludf.DUMMYFUNCTION("IMPORTRANGE(""https://docs.google.com/spreadsheets/d/1C3CXT74ZlgGe6_JY_1olB1XN4rF0dxEuIIF-xsYjHgg/edit?usp=sharing"",""งบกองทุน!AS48"")"),25)</f>
        <v>25</v>
      </c>
      <c r="AS44" s="393">
        <f ca="1">IFERROR(__xludf.DUMMYFUNCTION("IMPORTRANGE(""https://docs.google.com/spreadsheets/d/1XL5vhW3sbDhbH9Cz0tuDiY8C3ctxq1tqvaCgkFb8cCA/edit?usp=sharing"",""ร้อยเอ็ด!J327"")"),0)</f>
        <v>0</v>
      </c>
    </row>
    <row r="45" spans="1:45" ht="21" customHeight="1">
      <c r="A45" s="303">
        <v>12</v>
      </c>
      <c r="B45" s="304" t="s">
        <v>69</v>
      </c>
      <c r="C45" s="391">
        <f t="shared" ca="1" si="80"/>
        <v>147110</v>
      </c>
      <c r="D45" s="306">
        <f ca="1">IFERROR(__xludf.DUMMYFUNCTION("IMPORTRANGE(""https://docs.google.com/spreadsheets/d/1C3CXT74ZlgGe6_JY_1olB1XN4rF0dxEuIIF-xsYjHgg/edit?usp=sharing"",""งบกองทุน!Z49"")"),0)</f>
        <v>0</v>
      </c>
      <c r="E45" s="306">
        <f ca="1">IFERROR(__xludf.DUMMYFUNCTION("IMPORTRANGE(""https://docs.google.com/spreadsheets/d/1C3CXT74ZlgGe6_JY_1olB1XN4rF0dxEuIIF-xsYjHgg/edit?usp=sharing"",""งบกองทุน!AA49"")"),147110)</f>
        <v>147110</v>
      </c>
      <c r="F45" s="307">
        <f ca="1">IFERROR(__xludf.DUMMYFUNCTION("IMPORTRANGE(""https://docs.google.com/spreadsheets/d/1XL5vhW3sbDhbH9Cz0tuDiY8C3ctxq1tqvaCgkFb8cCA/edit?usp=sharing"",""เลย!M299"")"),81810)</f>
        <v>81810</v>
      </c>
      <c r="G45" s="307">
        <f t="shared" ca="1" si="1"/>
        <v>55.611447216368703</v>
      </c>
      <c r="H45" s="308">
        <f t="shared" ref="H45:I45" ca="1" si="95">+N45+V45+AE45</f>
        <v>120</v>
      </c>
      <c r="I45" s="308">
        <f t="shared" ca="1" si="95"/>
        <v>40</v>
      </c>
      <c r="J45" s="308">
        <f t="shared" ca="1" si="82"/>
        <v>0</v>
      </c>
      <c r="K45" s="309">
        <f t="shared" ca="1" si="3"/>
        <v>0</v>
      </c>
      <c r="L45" s="308">
        <f t="shared" ca="1" si="83"/>
        <v>40</v>
      </c>
      <c r="M45" s="309">
        <f t="shared" ca="1" si="4"/>
        <v>100</v>
      </c>
      <c r="N45" s="392">
        <f ca="1">IFERROR(__xludf.DUMMYFUNCTION("IMPORTRANGE(""https://docs.google.com/spreadsheets/d/1C3CXT74ZlgGe6_JY_1olB1XN4rF0dxEuIIF-xsYjHgg/edit?usp=sharing"",""งบกองทุน!AD49"")"),45)</f>
        <v>45</v>
      </c>
      <c r="O45" s="392">
        <f ca="1">IFERROR(__xludf.DUMMYFUNCTION("IMPORTRANGE(""https://docs.google.com/spreadsheets/d/1C3CXT74ZlgGe6_JY_1olB1XN4rF0dxEuIIF-xsYjHgg/edit?usp=sharing"",""งบกองทุน!AE49"")"),15)</f>
        <v>15</v>
      </c>
      <c r="P45" s="308">
        <f ca="1">IFERROR(__xludf.DUMMYFUNCTION("IMPORTRANGE(""https://docs.google.com/spreadsheets/d/1XL5vhW3sbDhbH9Cz0tuDiY8C3ctxq1tqvaCgkFb8cCA/edit?usp=sharing"",""เลย!J313"")"),0)</f>
        <v>0</v>
      </c>
      <c r="Q45" s="309">
        <f t="shared" ca="1" si="6"/>
        <v>0</v>
      </c>
      <c r="R45" s="308">
        <f ca="1">IFERROR(__xludf.DUMMYFUNCTION("IMPORTRANGE(""https://docs.google.com/spreadsheets/d/1XL5vhW3sbDhbH9Cz0tuDiY8C3ctxq1tqvaCgkFb8cCA/edit?usp=sharing"",""เลย!J312"")"),15)</f>
        <v>15</v>
      </c>
      <c r="S45" s="309">
        <f t="shared" ca="1" si="7"/>
        <v>100</v>
      </c>
      <c r="T45" s="309">
        <f ca="1">IFERROR(__xludf.DUMMYFUNCTION("IMPORTRANGE(""https://docs.google.com/spreadsheets/d/1XL5vhW3sbDhbH9Cz0tuDiY8C3ctxq1tqvaCgkFb8cCA/edit?usp=sharing"",""เลย!J314"")"),15)</f>
        <v>15</v>
      </c>
      <c r="U45" s="309">
        <f ca="1">IFERROR(__xludf.DUMMYFUNCTION("IMPORTRANGE(""https://docs.google.com/spreadsheets/d/1XL5vhW3sbDhbH9Cz0tuDiY8C3ctxq1tqvaCgkFb8cCA/edit?usp=sharing"",""เลย!J315"")"),15)</f>
        <v>15</v>
      </c>
      <c r="V45" s="392">
        <f ca="1">IFERROR(__xludf.DUMMYFUNCTION("IMPORTRANGE(""https://docs.google.com/spreadsheets/d/1C3CXT74ZlgGe6_JY_1olB1XN4rF0dxEuIIF-xsYjHgg/edit?usp=sharing"",""งบกองทุน!AH49"")"),45)</f>
        <v>45</v>
      </c>
      <c r="W45" s="392">
        <f ca="1">IFERROR(__xludf.DUMMYFUNCTION("IMPORTRANGE(""https://docs.google.com/spreadsheets/d/1C3CXT74ZlgGe6_JY_1olB1XN4rF0dxEuIIF-xsYjHgg/edit?usp=sharing"",""งบกองทุน!AI49"")"),15)</f>
        <v>15</v>
      </c>
      <c r="X45" s="308">
        <f ca="1">IFERROR(__xludf.DUMMYFUNCTION("IMPORTRANGE(""https://docs.google.com/spreadsheets/d/1XL5vhW3sbDhbH9Cz0tuDiY8C3ctxq1tqvaCgkFb8cCA/edit?usp=sharing"",""เลย!J317"")"),0)</f>
        <v>0</v>
      </c>
      <c r="Y45" s="309">
        <f t="shared" ca="1" si="9"/>
        <v>0</v>
      </c>
      <c r="Z45" s="308">
        <f ca="1">IFERROR(__xludf.DUMMYFUNCTION("IMPORTRANGE(""https://docs.google.com/spreadsheets/d/1XL5vhW3sbDhbH9Cz0tuDiY8C3ctxq1tqvaCgkFb8cCA/edit?usp=sharing"",""เลย!J316"")"),15)</f>
        <v>15</v>
      </c>
      <c r="AA45" s="309">
        <f t="shared" ca="1" si="10"/>
        <v>100</v>
      </c>
      <c r="AB45" s="308">
        <f ca="1">IFERROR(__xludf.DUMMYFUNCTION("IMPORTRANGE(""https://docs.google.com/spreadsheets/d/1XL5vhW3sbDhbH9Cz0tuDiY8C3ctxq1tqvaCgkFb8cCA/edit?usp=sharing"",""เลย!J318"")"),15)</f>
        <v>15</v>
      </c>
      <c r="AC45" s="308">
        <f ca="1">IFERROR(__xludf.DUMMYFUNCTION("IMPORTRANGE(""https://docs.google.com/spreadsheets/d/1XL5vhW3sbDhbH9Cz0tuDiY8C3ctxq1tqvaCgkFb8cCA/edit?usp=sharing"",""เลย!J319"")"),15)</f>
        <v>15</v>
      </c>
      <c r="AD45" s="308">
        <f ca="1">IFERROR(__xludf.DUMMYFUNCTION("IMPORTRANGE(""https://docs.google.com/spreadsheets/d/1XL5vhW3sbDhbH9Cz0tuDiY8C3ctxq1tqvaCgkFb8cCA/edit?usp=sharing"",""เลย!J320"")"),15)</f>
        <v>15</v>
      </c>
      <c r="AE45" s="392">
        <f ca="1">IFERROR(__xludf.DUMMYFUNCTION("IMPORTRANGE(""https://docs.google.com/spreadsheets/d/1C3CXT74ZlgGe6_JY_1olB1XN4rF0dxEuIIF-xsYjHgg/edit?usp=sharing"",""งบกองทุน!AM49"")"),30)</f>
        <v>30</v>
      </c>
      <c r="AF45" s="392">
        <f ca="1">IFERROR(__xludf.DUMMYFUNCTION("IMPORTRANGE(""https://docs.google.com/spreadsheets/d/1C3CXT74ZlgGe6_JY_1olB1XN4rF0dxEuIIF-xsYjHgg/edit?usp=sharing"",""งบกองทุน!AN49"")"),10)</f>
        <v>10</v>
      </c>
      <c r="AG45" s="308">
        <f ca="1">IFERROR(__xludf.DUMMYFUNCTION("IMPORTRANGE(""https://docs.google.com/spreadsheets/d/1XL5vhW3sbDhbH9Cz0tuDiY8C3ctxq1tqvaCgkFb8cCA/edit?usp=sharing"",""เลย!J322"")"),0)</f>
        <v>0</v>
      </c>
      <c r="AH45" s="309">
        <f t="shared" ca="1" si="12"/>
        <v>0</v>
      </c>
      <c r="AI45" s="308">
        <f ca="1">IFERROR(__xludf.DUMMYFUNCTION("IMPORTRANGE(""https://docs.google.com/spreadsheets/d/1XL5vhW3sbDhbH9Cz0tuDiY8C3ctxq1tqvaCgkFb8cCA/edit?usp=sharing"",""เลย!J321"")"),10)</f>
        <v>10</v>
      </c>
      <c r="AJ45" s="309">
        <f t="shared" ca="1" si="13"/>
        <v>100</v>
      </c>
      <c r="AK45" s="308">
        <f ca="1">IFERROR(__xludf.DUMMYFUNCTION("IMPORTRANGE(""https://docs.google.com/spreadsheets/d/1XL5vhW3sbDhbH9Cz0tuDiY8C3ctxq1tqvaCgkFb8cCA/edit?usp=sharing"",""เลย!J323"")"),10)</f>
        <v>10</v>
      </c>
      <c r="AL45" s="308">
        <f ca="1">IFERROR(__xludf.DUMMYFUNCTION("IMPORTRANGE(""https://docs.google.com/spreadsheets/d/1XL5vhW3sbDhbH9Cz0tuDiY8C3ctxq1tqvaCgkFb8cCA/edit?usp=sharing"",""เลย!J324"")"),10)</f>
        <v>10</v>
      </c>
      <c r="AM45" s="308">
        <f t="shared" ca="1" si="84"/>
        <v>30</v>
      </c>
      <c r="AN45" s="308">
        <f ca="1">IFERROR(__xludf.DUMMYFUNCTION("IMPORTRANGE(""https://docs.google.com/spreadsheets/d/1XL5vhW3sbDhbH9Cz0tuDiY8C3ctxq1tqvaCgkFb8cCA/edit?usp=sharing"",""เลย!J325"")"),0)</f>
        <v>0</v>
      </c>
      <c r="AO45" s="309">
        <f t="shared" ca="1" si="15"/>
        <v>0</v>
      </c>
      <c r="AP45" s="392">
        <f ca="1">IFERROR(__xludf.DUMMYFUNCTION("IMPORTRANGE(""https://docs.google.com/spreadsheets/d/1C3CXT74ZlgGe6_JY_1olB1XN4rF0dxEuIIF-xsYjHgg/edit?usp=sharing"",""งบกองทุน!AR49"")"),15)</f>
        <v>15</v>
      </c>
      <c r="AQ45" s="308">
        <f ca="1">IFERROR(__xludf.DUMMYFUNCTION("IMPORTRANGE(""https://docs.google.com/spreadsheets/d/1XL5vhW3sbDhbH9Cz0tuDiY8C3ctxq1tqvaCgkFb8cCA/edit?usp=sharing"",""เลย!J326"")"),0)</f>
        <v>0</v>
      </c>
      <c r="AR45" s="308">
        <f ca="1">IFERROR(__xludf.DUMMYFUNCTION("IMPORTRANGE(""https://docs.google.com/spreadsheets/d/1C3CXT74ZlgGe6_JY_1olB1XN4rF0dxEuIIF-xsYjHgg/edit?usp=sharing"",""งบกองทุน!AS49"")"),15)</f>
        <v>15</v>
      </c>
      <c r="AS45" s="393">
        <f ca="1">IFERROR(__xludf.DUMMYFUNCTION("IMPORTRANGE(""https://docs.google.com/spreadsheets/d/1XL5vhW3sbDhbH9Cz0tuDiY8C3ctxq1tqvaCgkFb8cCA/edit?usp=sharing"",""เลย!J327"")"),0)</f>
        <v>0</v>
      </c>
    </row>
    <row r="46" spans="1:45" ht="21" customHeight="1">
      <c r="A46" s="303">
        <v>13</v>
      </c>
      <c r="B46" s="304" t="s">
        <v>70</v>
      </c>
      <c r="C46" s="391">
        <f t="shared" ca="1" si="80"/>
        <v>206330</v>
      </c>
      <c r="D46" s="306">
        <f ca="1">IFERROR(__xludf.DUMMYFUNCTION("IMPORTRANGE(""https://docs.google.com/spreadsheets/d/1C3CXT74ZlgGe6_JY_1olB1XN4rF0dxEuIIF-xsYjHgg/edit?usp=sharing"",""งบกองทุน!Z50"")"),0)</f>
        <v>0</v>
      </c>
      <c r="E46" s="306">
        <f ca="1">IFERROR(__xludf.DUMMYFUNCTION("IMPORTRANGE(""https://docs.google.com/spreadsheets/d/1C3CXT74ZlgGe6_JY_1olB1XN4rF0dxEuIIF-xsYjHgg/edit?usp=sharing"",""งบกองทุน!AA50"")"),206330)</f>
        <v>206330</v>
      </c>
      <c r="F46" s="307">
        <f ca="1">IFERROR(__xludf.DUMMYFUNCTION("IMPORTRANGE(""https://docs.google.com/spreadsheets/d/1XL5vhW3sbDhbH9Cz0tuDiY8C3ctxq1tqvaCgkFb8cCA/edit?usp=sharing"",""ศรีสะเกษ!M299"")"),193100)</f>
        <v>193100</v>
      </c>
      <c r="G46" s="307">
        <f t="shared" ca="1" si="1"/>
        <v>93.587941646876359</v>
      </c>
      <c r="H46" s="308">
        <f t="shared" ref="H46:I46" ca="1" si="96">+N46+V46+AE46</f>
        <v>195</v>
      </c>
      <c r="I46" s="308">
        <f t="shared" ca="1" si="96"/>
        <v>65</v>
      </c>
      <c r="J46" s="308">
        <f t="shared" ca="1" si="82"/>
        <v>0</v>
      </c>
      <c r="K46" s="309">
        <f t="shared" ca="1" si="3"/>
        <v>0</v>
      </c>
      <c r="L46" s="308">
        <f t="shared" ca="1" si="83"/>
        <v>65</v>
      </c>
      <c r="M46" s="309">
        <f t="shared" ca="1" si="4"/>
        <v>100</v>
      </c>
      <c r="N46" s="392">
        <f ca="1">IFERROR(__xludf.DUMMYFUNCTION("IMPORTRANGE(""https://docs.google.com/spreadsheets/d/1C3CXT74ZlgGe6_JY_1olB1XN4rF0dxEuIIF-xsYjHgg/edit?usp=sharing"",""งบกองทุน!AD50"")"),39)</f>
        <v>39</v>
      </c>
      <c r="O46" s="392">
        <f ca="1">IFERROR(__xludf.DUMMYFUNCTION("IMPORTRANGE(""https://docs.google.com/spreadsheets/d/1C3CXT74ZlgGe6_JY_1olB1XN4rF0dxEuIIF-xsYjHgg/edit?usp=sharing"",""งบกองทุน!AE50"")"),13)</f>
        <v>13</v>
      </c>
      <c r="P46" s="308">
        <f ca="1">IFERROR(__xludf.DUMMYFUNCTION("IMPORTRANGE(""https://docs.google.com/spreadsheets/d/1XL5vhW3sbDhbH9Cz0tuDiY8C3ctxq1tqvaCgkFb8cCA/edit?usp=sharing"",""ศรีสะเกษ!J313"")"),0)</f>
        <v>0</v>
      </c>
      <c r="Q46" s="309">
        <f t="shared" ca="1" si="6"/>
        <v>0</v>
      </c>
      <c r="R46" s="308">
        <f ca="1">IFERROR(__xludf.DUMMYFUNCTION("IMPORTRANGE(""https://docs.google.com/spreadsheets/d/1XL5vhW3sbDhbH9Cz0tuDiY8C3ctxq1tqvaCgkFb8cCA/edit?usp=sharing"",""ศรีสะเกษ!J312"")"),13)</f>
        <v>13</v>
      </c>
      <c r="S46" s="309">
        <f t="shared" ca="1" si="7"/>
        <v>100</v>
      </c>
      <c r="T46" s="309">
        <f ca="1">IFERROR(__xludf.DUMMYFUNCTION("IMPORTRANGE(""https://docs.google.com/spreadsheets/d/1XL5vhW3sbDhbH9Cz0tuDiY8C3ctxq1tqvaCgkFb8cCA/edit?usp=sharing"",""ศรีสะเกษ!J314"")"),13)</f>
        <v>13</v>
      </c>
      <c r="U46" s="309">
        <f ca="1">IFERROR(__xludf.DUMMYFUNCTION("IMPORTRANGE(""https://docs.google.com/spreadsheets/d/1XL5vhW3sbDhbH9Cz0tuDiY8C3ctxq1tqvaCgkFb8cCA/edit?usp=sharing"",""ศรีสะเกษ!J315"")"),13)</f>
        <v>13</v>
      </c>
      <c r="V46" s="392">
        <f ca="1">IFERROR(__xludf.DUMMYFUNCTION("IMPORTRANGE(""https://docs.google.com/spreadsheets/d/1C3CXT74ZlgGe6_JY_1olB1XN4rF0dxEuIIF-xsYjHgg/edit?usp=sharing"",""งบกองทุน!AH50"")"),105)</f>
        <v>105</v>
      </c>
      <c r="W46" s="392">
        <f ca="1">IFERROR(__xludf.DUMMYFUNCTION("IMPORTRANGE(""https://docs.google.com/spreadsheets/d/1C3CXT74ZlgGe6_JY_1olB1XN4rF0dxEuIIF-xsYjHgg/edit?usp=sharing"",""งบกองทุน!AI50"")"),35)</f>
        <v>35</v>
      </c>
      <c r="X46" s="308">
        <f ca="1">IFERROR(__xludf.DUMMYFUNCTION("IMPORTRANGE(""https://docs.google.com/spreadsheets/d/1XL5vhW3sbDhbH9Cz0tuDiY8C3ctxq1tqvaCgkFb8cCA/edit?usp=sharing"",""ศรีสะเกษ!J317"")"),0)</f>
        <v>0</v>
      </c>
      <c r="Y46" s="309">
        <f t="shared" ca="1" si="9"/>
        <v>0</v>
      </c>
      <c r="Z46" s="308">
        <f ca="1">IFERROR(__xludf.DUMMYFUNCTION("IMPORTRANGE(""https://docs.google.com/spreadsheets/d/1XL5vhW3sbDhbH9Cz0tuDiY8C3ctxq1tqvaCgkFb8cCA/edit?usp=sharing"",""ศรีสะเกษ!J316"")"),35)</f>
        <v>35</v>
      </c>
      <c r="AA46" s="309">
        <f t="shared" ca="1" si="10"/>
        <v>100</v>
      </c>
      <c r="AB46" s="308">
        <f ca="1">IFERROR(__xludf.DUMMYFUNCTION("IMPORTRANGE(""https://docs.google.com/spreadsheets/d/1XL5vhW3sbDhbH9Cz0tuDiY8C3ctxq1tqvaCgkFb8cCA/edit?usp=sharing"",""ศรีสะเกษ!J318"")"),35)</f>
        <v>35</v>
      </c>
      <c r="AC46" s="308">
        <f ca="1">IFERROR(__xludf.DUMMYFUNCTION("IMPORTRANGE(""https://docs.google.com/spreadsheets/d/1XL5vhW3sbDhbH9Cz0tuDiY8C3ctxq1tqvaCgkFb8cCA/edit?usp=sharing"",""ศรีสะเกษ!J319"")"),35)</f>
        <v>35</v>
      </c>
      <c r="AD46" s="308">
        <f ca="1">IFERROR(__xludf.DUMMYFUNCTION("IMPORTRANGE(""https://docs.google.com/spreadsheets/d/1XL5vhW3sbDhbH9Cz0tuDiY8C3ctxq1tqvaCgkFb8cCA/edit?usp=sharing"",""ศรีสะเกษ!J320"")"),35)</f>
        <v>35</v>
      </c>
      <c r="AE46" s="392">
        <f ca="1">IFERROR(__xludf.DUMMYFUNCTION("IMPORTRANGE(""https://docs.google.com/spreadsheets/d/1C3CXT74ZlgGe6_JY_1olB1XN4rF0dxEuIIF-xsYjHgg/edit?usp=sharing"",""งบกองทุน!AM50"")"),51)</f>
        <v>51</v>
      </c>
      <c r="AF46" s="392">
        <f ca="1">IFERROR(__xludf.DUMMYFUNCTION("IMPORTRANGE(""https://docs.google.com/spreadsheets/d/1C3CXT74ZlgGe6_JY_1olB1XN4rF0dxEuIIF-xsYjHgg/edit?usp=sharing"",""งบกองทุน!AN50"")"),17)</f>
        <v>17</v>
      </c>
      <c r="AG46" s="308">
        <f ca="1">IFERROR(__xludf.DUMMYFUNCTION("IMPORTRANGE(""https://docs.google.com/spreadsheets/d/1XL5vhW3sbDhbH9Cz0tuDiY8C3ctxq1tqvaCgkFb8cCA/edit?usp=sharing"",""ศรีสะเกษ!J322"")"),0)</f>
        <v>0</v>
      </c>
      <c r="AH46" s="309">
        <f t="shared" ca="1" si="12"/>
        <v>0</v>
      </c>
      <c r="AI46" s="308">
        <f ca="1">IFERROR(__xludf.DUMMYFUNCTION("IMPORTRANGE(""https://docs.google.com/spreadsheets/d/1XL5vhW3sbDhbH9Cz0tuDiY8C3ctxq1tqvaCgkFb8cCA/edit?usp=sharing"",""ศรีสะเกษ!J321"")"),17)</f>
        <v>17</v>
      </c>
      <c r="AJ46" s="309">
        <f t="shared" ca="1" si="13"/>
        <v>100</v>
      </c>
      <c r="AK46" s="308">
        <f ca="1">IFERROR(__xludf.DUMMYFUNCTION("IMPORTRANGE(""https://docs.google.com/spreadsheets/d/1XL5vhW3sbDhbH9Cz0tuDiY8C3ctxq1tqvaCgkFb8cCA/edit?usp=sharing"",""ศรีสะเกษ!J323"")"),17)</f>
        <v>17</v>
      </c>
      <c r="AL46" s="308">
        <f ca="1">IFERROR(__xludf.DUMMYFUNCTION("IMPORTRANGE(""https://docs.google.com/spreadsheets/d/1XL5vhW3sbDhbH9Cz0tuDiY8C3ctxq1tqvaCgkFb8cCA/edit?usp=sharing"",""ศรีสะเกษ!J324"")"),17)</f>
        <v>17</v>
      </c>
      <c r="AM46" s="308">
        <f t="shared" ca="1" si="84"/>
        <v>48</v>
      </c>
      <c r="AN46" s="308">
        <f ca="1">IFERROR(__xludf.DUMMYFUNCTION("IMPORTRANGE(""https://docs.google.com/spreadsheets/d/1XL5vhW3sbDhbH9Cz0tuDiY8C3ctxq1tqvaCgkFb8cCA/edit?usp=sharing"",""ศรีสะเกษ!J325"")"),48)</f>
        <v>48</v>
      </c>
      <c r="AO46" s="309">
        <f t="shared" ca="1" si="15"/>
        <v>100</v>
      </c>
      <c r="AP46" s="392">
        <f ca="1">IFERROR(__xludf.DUMMYFUNCTION("IMPORTRANGE(""https://docs.google.com/spreadsheets/d/1C3CXT74ZlgGe6_JY_1olB1XN4rF0dxEuIIF-xsYjHgg/edit?usp=sharing"",""งบกองทุน!AR50"")"),13)</f>
        <v>13</v>
      </c>
      <c r="AQ46" s="308">
        <f ca="1">IFERROR(__xludf.DUMMYFUNCTION("IMPORTRANGE(""https://docs.google.com/spreadsheets/d/1XL5vhW3sbDhbH9Cz0tuDiY8C3ctxq1tqvaCgkFb8cCA/edit?usp=sharing"",""ศรีสะเกษ!J326"")"),13)</f>
        <v>13</v>
      </c>
      <c r="AR46" s="308">
        <f ca="1">IFERROR(__xludf.DUMMYFUNCTION("IMPORTRANGE(""https://docs.google.com/spreadsheets/d/1C3CXT74ZlgGe6_JY_1olB1XN4rF0dxEuIIF-xsYjHgg/edit?usp=sharing"",""งบกองทุน!AS50"")"),35)</f>
        <v>35</v>
      </c>
      <c r="AS46" s="393">
        <f ca="1">IFERROR(__xludf.DUMMYFUNCTION("IMPORTRANGE(""https://docs.google.com/spreadsheets/d/1XL5vhW3sbDhbH9Cz0tuDiY8C3ctxq1tqvaCgkFb8cCA/edit?usp=sharing"",""ศรีสะเกษ!J327"")"),35)</f>
        <v>35</v>
      </c>
    </row>
    <row r="47" spans="1:45" ht="21" customHeight="1">
      <c r="A47" s="303">
        <v>14</v>
      </c>
      <c r="B47" s="304" t="s">
        <v>71</v>
      </c>
      <c r="C47" s="391">
        <f t="shared" ca="1" si="80"/>
        <v>208700</v>
      </c>
      <c r="D47" s="306">
        <f ca="1">IFERROR(__xludf.DUMMYFUNCTION("IMPORTRANGE(""https://docs.google.com/spreadsheets/d/1C3CXT74ZlgGe6_JY_1olB1XN4rF0dxEuIIF-xsYjHgg/edit?usp=sharing"",""งบกองทุน!Z51"")"),0)</f>
        <v>0</v>
      </c>
      <c r="E47" s="306">
        <f ca="1">IFERROR(__xludf.DUMMYFUNCTION("IMPORTRANGE(""https://docs.google.com/spreadsheets/d/1C3CXT74ZlgGe6_JY_1olB1XN4rF0dxEuIIF-xsYjHgg/edit?usp=sharing"",""งบกองทุน!AA51"")"),208700)</f>
        <v>208700</v>
      </c>
      <c r="F47" s="307">
        <f ca="1">IFERROR(__xludf.DUMMYFUNCTION("IMPORTRANGE(""https://docs.google.com/spreadsheets/d/1XL5vhW3sbDhbH9Cz0tuDiY8C3ctxq1tqvaCgkFb8cCA/edit?usp=sharing"",""สกลนคร!M299"")"),140343.2)</f>
        <v>140343.20000000001</v>
      </c>
      <c r="G47" s="307">
        <f t="shared" ca="1" si="1"/>
        <v>67.24638236703403</v>
      </c>
      <c r="H47" s="308">
        <f t="shared" ref="H47:I47" ca="1" si="97">+N47+V47+AE47</f>
        <v>186</v>
      </c>
      <c r="I47" s="308">
        <f t="shared" ca="1" si="97"/>
        <v>62</v>
      </c>
      <c r="J47" s="308">
        <f t="shared" ca="1" si="82"/>
        <v>186</v>
      </c>
      <c r="K47" s="309">
        <f t="shared" ca="1" si="3"/>
        <v>100</v>
      </c>
      <c r="L47" s="308">
        <f t="shared" ca="1" si="83"/>
        <v>62</v>
      </c>
      <c r="M47" s="309">
        <f t="shared" ca="1" si="4"/>
        <v>100</v>
      </c>
      <c r="N47" s="392">
        <f ca="1">IFERROR(__xludf.DUMMYFUNCTION("IMPORTRANGE(""https://docs.google.com/spreadsheets/d/1C3CXT74ZlgGe6_JY_1olB1XN4rF0dxEuIIF-xsYjHgg/edit?usp=sharing"",""งบกองทุน!AD51"")"),60)</f>
        <v>60</v>
      </c>
      <c r="O47" s="392">
        <f ca="1">IFERROR(__xludf.DUMMYFUNCTION("IMPORTRANGE(""https://docs.google.com/spreadsheets/d/1C3CXT74ZlgGe6_JY_1olB1XN4rF0dxEuIIF-xsYjHgg/edit?usp=sharing"",""งบกองทุน!AE51"")"),20)</f>
        <v>20</v>
      </c>
      <c r="P47" s="308">
        <f ca="1">IFERROR(__xludf.DUMMYFUNCTION("IMPORTRANGE(""https://docs.google.com/spreadsheets/d/1XL5vhW3sbDhbH9Cz0tuDiY8C3ctxq1tqvaCgkFb8cCA/edit?usp=sharing"",""สกลนคร!J313"")"),60)</f>
        <v>60</v>
      </c>
      <c r="Q47" s="309">
        <f t="shared" ca="1" si="6"/>
        <v>100</v>
      </c>
      <c r="R47" s="308">
        <f ca="1">IFERROR(__xludf.DUMMYFUNCTION("IMPORTRANGE(""https://docs.google.com/spreadsheets/d/1XL5vhW3sbDhbH9Cz0tuDiY8C3ctxq1tqvaCgkFb8cCA/edit?usp=sharing"",""สกลนคร!J312"")"),20)</f>
        <v>20</v>
      </c>
      <c r="S47" s="309">
        <f t="shared" ca="1" si="7"/>
        <v>100</v>
      </c>
      <c r="T47" s="309">
        <f ca="1">IFERROR(__xludf.DUMMYFUNCTION("IMPORTRANGE(""https://docs.google.com/spreadsheets/d/1XL5vhW3sbDhbH9Cz0tuDiY8C3ctxq1tqvaCgkFb8cCA/edit?usp=sharing"",""สกลนคร!J314"")"),20)</f>
        <v>20</v>
      </c>
      <c r="U47" s="309">
        <f ca="1">IFERROR(__xludf.DUMMYFUNCTION("IMPORTRANGE(""https://docs.google.com/spreadsheets/d/1XL5vhW3sbDhbH9Cz0tuDiY8C3ctxq1tqvaCgkFb8cCA/edit?usp=sharing"",""สกลนคร!J315"")"),20)</f>
        <v>20</v>
      </c>
      <c r="V47" s="392">
        <f ca="1">IFERROR(__xludf.DUMMYFUNCTION("IMPORTRANGE(""https://docs.google.com/spreadsheets/d/1C3CXT74ZlgGe6_JY_1olB1XN4rF0dxEuIIF-xsYjHgg/edit?usp=sharing"",""งบกองทุน!AH51"")"),90)</f>
        <v>90</v>
      </c>
      <c r="W47" s="392">
        <f ca="1">IFERROR(__xludf.DUMMYFUNCTION("IMPORTRANGE(""https://docs.google.com/spreadsheets/d/1C3CXT74ZlgGe6_JY_1olB1XN4rF0dxEuIIF-xsYjHgg/edit?usp=sharing"",""งบกองทุน!AI51"")"),30)</f>
        <v>30</v>
      </c>
      <c r="X47" s="308">
        <f ca="1">IFERROR(__xludf.DUMMYFUNCTION("IMPORTRANGE(""https://docs.google.com/spreadsheets/d/1XL5vhW3sbDhbH9Cz0tuDiY8C3ctxq1tqvaCgkFb8cCA/edit?usp=sharing"",""สกลนคร!J317"")"),90)</f>
        <v>90</v>
      </c>
      <c r="Y47" s="309">
        <f t="shared" ca="1" si="9"/>
        <v>100</v>
      </c>
      <c r="Z47" s="308">
        <f ca="1">IFERROR(__xludf.DUMMYFUNCTION("IMPORTRANGE(""https://docs.google.com/spreadsheets/d/1XL5vhW3sbDhbH9Cz0tuDiY8C3ctxq1tqvaCgkFb8cCA/edit?usp=sharing"",""สกลนคร!J316"")"),30)</f>
        <v>30</v>
      </c>
      <c r="AA47" s="309">
        <f t="shared" ca="1" si="10"/>
        <v>100</v>
      </c>
      <c r="AB47" s="308">
        <f ca="1">IFERROR(__xludf.DUMMYFUNCTION("IMPORTRANGE(""https://docs.google.com/spreadsheets/d/1XL5vhW3sbDhbH9Cz0tuDiY8C3ctxq1tqvaCgkFb8cCA/edit?usp=sharing"",""สกลนคร!J318"")"),30)</f>
        <v>30</v>
      </c>
      <c r="AC47" s="308">
        <f ca="1">IFERROR(__xludf.DUMMYFUNCTION("IMPORTRANGE(""https://docs.google.com/spreadsheets/d/1XL5vhW3sbDhbH9Cz0tuDiY8C3ctxq1tqvaCgkFb8cCA/edit?usp=sharing"",""สกลนคร!J319"")"),30)</f>
        <v>30</v>
      </c>
      <c r="AD47" s="308">
        <f ca="1">IFERROR(__xludf.DUMMYFUNCTION("IMPORTRANGE(""https://docs.google.com/spreadsheets/d/1XL5vhW3sbDhbH9Cz0tuDiY8C3ctxq1tqvaCgkFb8cCA/edit?usp=sharing"",""สกลนคร!J320"")"),30)</f>
        <v>30</v>
      </c>
      <c r="AE47" s="392">
        <f ca="1">IFERROR(__xludf.DUMMYFUNCTION("IMPORTRANGE(""https://docs.google.com/spreadsheets/d/1C3CXT74ZlgGe6_JY_1olB1XN4rF0dxEuIIF-xsYjHgg/edit?usp=sharing"",""งบกองทุน!AM51"")"),36)</f>
        <v>36</v>
      </c>
      <c r="AF47" s="392">
        <f ca="1">IFERROR(__xludf.DUMMYFUNCTION("IMPORTRANGE(""https://docs.google.com/spreadsheets/d/1C3CXT74ZlgGe6_JY_1olB1XN4rF0dxEuIIF-xsYjHgg/edit?usp=sharing"",""งบกองทุน!AN51"")"),12)</f>
        <v>12</v>
      </c>
      <c r="AG47" s="308">
        <f ca="1">IFERROR(__xludf.DUMMYFUNCTION("IMPORTRANGE(""https://docs.google.com/spreadsheets/d/1XL5vhW3sbDhbH9Cz0tuDiY8C3ctxq1tqvaCgkFb8cCA/edit?usp=sharing"",""สกลนคร!J322"")"),36)</f>
        <v>36</v>
      </c>
      <c r="AH47" s="309">
        <f t="shared" ca="1" si="12"/>
        <v>100</v>
      </c>
      <c r="AI47" s="308">
        <f ca="1">IFERROR(__xludf.DUMMYFUNCTION("IMPORTRANGE(""https://docs.google.com/spreadsheets/d/1XL5vhW3sbDhbH9Cz0tuDiY8C3ctxq1tqvaCgkFb8cCA/edit?usp=sharing"",""สกลนคร!J321"")"),12)</f>
        <v>12</v>
      </c>
      <c r="AJ47" s="309">
        <f t="shared" ca="1" si="13"/>
        <v>100</v>
      </c>
      <c r="AK47" s="308">
        <f ca="1">IFERROR(__xludf.DUMMYFUNCTION("IMPORTRANGE(""https://docs.google.com/spreadsheets/d/1XL5vhW3sbDhbH9Cz0tuDiY8C3ctxq1tqvaCgkFb8cCA/edit?usp=sharing"",""สกลนคร!J323"")"),12)</f>
        <v>12</v>
      </c>
      <c r="AL47" s="308">
        <f ca="1">IFERROR(__xludf.DUMMYFUNCTION("IMPORTRANGE(""https://docs.google.com/spreadsheets/d/1XL5vhW3sbDhbH9Cz0tuDiY8C3ctxq1tqvaCgkFb8cCA/edit?usp=sharing"",""สกลนคร!J324"")"),12)</f>
        <v>12</v>
      </c>
      <c r="AM47" s="308">
        <f t="shared" ca="1" si="84"/>
        <v>50</v>
      </c>
      <c r="AN47" s="308">
        <f ca="1">IFERROR(__xludf.DUMMYFUNCTION("IMPORTRANGE(""https://docs.google.com/spreadsheets/d/1XL5vhW3sbDhbH9Cz0tuDiY8C3ctxq1tqvaCgkFb8cCA/edit?usp=sharing"",""สกลนคร!J325"")"),0)</f>
        <v>0</v>
      </c>
      <c r="AO47" s="309">
        <f t="shared" ca="1" si="15"/>
        <v>0</v>
      </c>
      <c r="AP47" s="392">
        <f ca="1">IFERROR(__xludf.DUMMYFUNCTION("IMPORTRANGE(""https://docs.google.com/spreadsheets/d/1C3CXT74ZlgGe6_JY_1olB1XN4rF0dxEuIIF-xsYjHgg/edit?usp=sharing"",""งบกองทุน!AR51"")"),20)</f>
        <v>20</v>
      </c>
      <c r="AQ47" s="308">
        <f ca="1">IFERROR(__xludf.DUMMYFUNCTION("IMPORTRANGE(""https://docs.google.com/spreadsheets/d/1XL5vhW3sbDhbH9Cz0tuDiY8C3ctxq1tqvaCgkFb8cCA/edit?usp=sharing"",""สกลนคร!J326"")"),0)</f>
        <v>0</v>
      </c>
      <c r="AR47" s="308">
        <f ca="1">IFERROR(__xludf.DUMMYFUNCTION("IMPORTRANGE(""https://docs.google.com/spreadsheets/d/1C3CXT74ZlgGe6_JY_1olB1XN4rF0dxEuIIF-xsYjHgg/edit?usp=sharing"",""งบกองทุน!AS51"")"),30)</f>
        <v>30</v>
      </c>
      <c r="AS47" s="393">
        <f ca="1">IFERROR(__xludf.DUMMYFUNCTION("IMPORTRANGE(""https://docs.google.com/spreadsheets/d/1XL5vhW3sbDhbH9Cz0tuDiY8C3ctxq1tqvaCgkFb8cCA/edit?usp=sharing"",""สกลนคร!J327"")"),0)</f>
        <v>0</v>
      </c>
    </row>
    <row r="48" spans="1:45" ht="21" customHeight="1">
      <c r="A48" s="303">
        <v>15</v>
      </c>
      <c r="B48" s="304" t="s">
        <v>72</v>
      </c>
      <c r="C48" s="391">
        <f t="shared" ca="1" si="80"/>
        <v>159950</v>
      </c>
      <c r="D48" s="306">
        <f ca="1">IFERROR(__xludf.DUMMYFUNCTION("IMPORTRANGE(""https://docs.google.com/spreadsheets/d/1C3CXT74ZlgGe6_JY_1olB1XN4rF0dxEuIIF-xsYjHgg/edit?usp=sharing"",""งบกองทุน!Z52"")"),0)</f>
        <v>0</v>
      </c>
      <c r="E48" s="306">
        <f ca="1">IFERROR(__xludf.DUMMYFUNCTION("IMPORTRANGE(""https://docs.google.com/spreadsheets/d/1C3CXT74ZlgGe6_JY_1olB1XN4rF0dxEuIIF-xsYjHgg/edit?usp=sharing"",""งบกองทุน!AA52"")"),159950)</f>
        <v>159950</v>
      </c>
      <c r="F48" s="307">
        <f ca="1">IFERROR(__xludf.DUMMYFUNCTION("IMPORTRANGE(""https://docs.google.com/spreadsheets/d/1XL5vhW3sbDhbH9Cz0tuDiY8C3ctxq1tqvaCgkFb8cCA/edit?usp=sharing"",""สุรินทร์!M299"")"),101269)</f>
        <v>101269</v>
      </c>
      <c r="G48" s="307">
        <f t="shared" ca="1" si="1"/>
        <v>63.312910284463896</v>
      </c>
      <c r="H48" s="308">
        <f t="shared" ref="H48:I48" ca="1" si="98">+N48+V48+AE48</f>
        <v>135</v>
      </c>
      <c r="I48" s="308">
        <f t="shared" ca="1" si="98"/>
        <v>45</v>
      </c>
      <c r="J48" s="308">
        <f t="shared" ca="1" si="82"/>
        <v>135</v>
      </c>
      <c r="K48" s="309">
        <f t="shared" ca="1" si="3"/>
        <v>100</v>
      </c>
      <c r="L48" s="308">
        <f t="shared" ca="1" si="83"/>
        <v>45</v>
      </c>
      <c r="M48" s="309">
        <f t="shared" ca="1" si="4"/>
        <v>100</v>
      </c>
      <c r="N48" s="392">
        <f ca="1">IFERROR(__xludf.DUMMYFUNCTION("IMPORTRANGE(""https://docs.google.com/spreadsheets/d/1C3CXT74ZlgGe6_JY_1olB1XN4rF0dxEuIIF-xsYjHgg/edit?usp=sharing"",""งบกองทุน!AD52"")"),30)</f>
        <v>30</v>
      </c>
      <c r="O48" s="392">
        <f ca="1">IFERROR(__xludf.DUMMYFUNCTION("IMPORTRANGE(""https://docs.google.com/spreadsheets/d/1C3CXT74ZlgGe6_JY_1olB1XN4rF0dxEuIIF-xsYjHgg/edit?usp=sharing"",""งบกองทุน!AE52"")"),10)</f>
        <v>10</v>
      </c>
      <c r="P48" s="308">
        <f ca="1">IFERROR(__xludf.DUMMYFUNCTION("IMPORTRANGE(""https://docs.google.com/spreadsheets/d/1XL5vhW3sbDhbH9Cz0tuDiY8C3ctxq1tqvaCgkFb8cCA/edit?usp=sharing"",""สุรินทร์!J313"")"),30)</f>
        <v>30</v>
      </c>
      <c r="Q48" s="309">
        <f t="shared" ca="1" si="6"/>
        <v>100</v>
      </c>
      <c r="R48" s="308">
        <f ca="1">IFERROR(__xludf.DUMMYFUNCTION("IMPORTRANGE(""https://docs.google.com/spreadsheets/d/1XL5vhW3sbDhbH9Cz0tuDiY8C3ctxq1tqvaCgkFb8cCA/edit?usp=sharing"",""สุรินทร์!J312"")"),10)</f>
        <v>10</v>
      </c>
      <c r="S48" s="309">
        <f t="shared" ca="1" si="7"/>
        <v>100</v>
      </c>
      <c r="T48" s="309">
        <f ca="1">IFERROR(__xludf.DUMMYFUNCTION("IMPORTRANGE(""https://docs.google.com/spreadsheets/d/1XL5vhW3sbDhbH9Cz0tuDiY8C3ctxq1tqvaCgkFb8cCA/edit?usp=sharing"",""สุรินทร์!J314"")"),10)</f>
        <v>10</v>
      </c>
      <c r="U48" s="309">
        <f ca="1">IFERROR(__xludf.DUMMYFUNCTION("IMPORTRANGE(""https://docs.google.com/spreadsheets/d/1XL5vhW3sbDhbH9Cz0tuDiY8C3ctxq1tqvaCgkFb8cCA/edit?usp=sharing"",""สุรินทร์!J315"")"),10)</f>
        <v>10</v>
      </c>
      <c r="V48" s="392">
        <f ca="1">IFERROR(__xludf.DUMMYFUNCTION("IMPORTRANGE(""https://docs.google.com/spreadsheets/d/1C3CXT74ZlgGe6_JY_1olB1XN4rF0dxEuIIF-xsYjHgg/edit?usp=sharing"",""งบกองทุน!AH52"")"),75)</f>
        <v>75</v>
      </c>
      <c r="W48" s="392">
        <f ca="1">IFERROR(__xludf.DUMMYFUNCTION("IMPORTRANGE(""https://docs.google.com/spreadsheets/d/1C3CXT74ZlgGe6_JY_1olB1XN4rF0dxEuIIF-xsYjHgg/edit?usp=sharing"",""งบกองทุน!AI52"")"),25)</f>
        <v>25</v>
      </c>
      <c r="X48" s="308">
        <f ca="1">IFERROR(__xludf.DUMMYFUNCTION("IMPORTRANGE(""https://docs.google.com/spreadsheets/d/1XL5vhW3sbDhbH9Cz0tuDiY8C3ctxq1tqvaCgkFb8cCA/edit?usp=sharing"",""สุรินทร์!J317"")"),75)</f>
        <v>75</v>
      </c>
      <c r="Y48" s="309">
        <f t="shared" ca="1" si="9"/>
        <v>100</v>
      </c>
      <c r="Z48" s="308">
        <f ca="1">IFERROR(__xludf.DUMMYFUNCTION("IMPORTRANGE(""https://docs.google.com/spreadsheets/d/1XL5vhW3sbDhbH9Cz0tuDiY8C3ctxq1tqvaCgkFb8cCA/edit?usp=sharing"",""สุรินทร์!J316"")"),25)</f>
        <v>25</v>
      </c>
      <c r="AA48" s="309">
        <f t="shared" ca="1" si="10"/>
        <v>100</v>
      </c>
      <c r="AB48" s="308">
        <f ca="1">IFERROR(__xludf.DUMMYFUNCTION("IMPORTRANGE(""https://docs.google.com/spreadsheets/d/1XL5vhW3sbDhbH9Cz0tuDiY8C3ctxq1tqvaCgkFb8cCA/edit?usp=sharing"",""สุรินทร์!J318"")"),25)</f>
        <v>25</v>
      </c>
      <c r="AC48" s="308">
        <f ca="1">IFERROR(__xludf.DUMMYFUNCTION("IMPORTRANGE(""https://docs.google.com/spreadsheets/d/1XL5vhW3sbDhbH9Cz0tuDiY8C3ctxq1tqvaCgkFb8cCA/edit?usp=sharing"",""สุรินทร์!J319"")"),25)</f>
        <v>25</v>
      </c>
      <c r="AD48" s="308">
        <f ca="1">IFERROR(__xludf.DUMMYFUNCTION("IMPORTRANGE(""https://docs.google.com/spreadsheets/d/1XL5vhW3sbDhbH9Cz0tuDiY8C3ctxq1tqvaCgkFb8cCA/edit?usp=sharing"",""สุรินทร์!J320"")"),25)</f>
        <v>25</v>
      </c>
      <c r="AE48" s="392">
        <f ca="1">IFERROR(__xludf.DUMMYFUNCTION("IMPORTRANGE(""https://docs.google.com/spreadsheets/d/1C3CXT74ZlgGe6_JY_1olB1XN4rF0dxEuIIF-xsYjHgg/edit?usp=sharing"",""งบกองทุน!AM52"")"),30)</f>
        <v>30</v>
      </c>
      <c r="AF48" s="392">
        <f ca="1">IFERROR(__xludf.DUMMYFUNCTION("IMPORTRANGE(""https://docs.google.com/spreadsheets/d/1C3CXT74ZlgGe6_JY_1olB1XN4rF0dxEuIIF-xsYjHgg/edit?usp=sharing"",""งบกองทุน!AN52"")"),10)</f>
        <v>10</v>
      </c>
      <c r="AG48" s="308">
        <f ca="1">IFERROR(__xludf.DUMMYFUNCTION("IMPORTRANGE(""https://docs.google.com/spreadsheets/d/1XL5vhW3sbDhbH9Cz0tuDiY8C3ctxq1tqvaCgkFb8cCA/edit?usp=sharing"",""สุรินทร์!J322"")"),30)</f>
        <v>30</v>
      </c>
      <c r="AH48" s="309">
        <f t="shared" ca="1" si="12"/>
        <v>100</v>
      </c>
      <c r="AI48" s="308">
        <f ca="1">IFERROR(__xludf.DUMMYFUNCTION("IMPORTRANGE(""https://docs.google.com/spreadsheets/d/1XL5vhW3sbDhbH9Cz0tuDiY8C3ctxq1tqvaCgkFb8cCA/edit?usp=sharing"",""สุรินทร์!J321"")"),10)</f>
        <v>10</v>
      </c>
      <c r="AJ48" s="309">
        <f t="shared" ca="1" si="13"/>
        <v>100</v>
      </c>
      <c r="AK48" s="308">
        <f ca="1">IFERROR(__xludf.DUMMYFUNCTION("IMPORTRANGE(""https://docs.google.com/spreadsheets/d/1XL5vhW3sbDhbH9Cz0tuDiY8C3ctxq1tqvaCgkFb8cCA/edit?usp=sharing"",""สุรินทร์!J323"")"),10)</f>
        <v>10</v>
      </c>
      <c r="AL48" s="308">
        <f ca="1">IFERROR(__xludf.DUMMYFUNCTION("IMPORTRANGE(""https://docs.google.com/spreadsheets/d/1XL5vhW3sbDhbH9Cz0tuDiY8C3ctxq1tqvaCgkFb8cCA/edit?usp=sharing"",""สุรินทร์!J324"")"),10)</f>
        <v>10</v>
      </c>
      <c r="AM48" s="308">
        <f t="shared" ca="1" si="84"/>
        <v>35</v>
      </c>
      <c r="AN48" s="308">
        <f ca="1">IFERROR(__xludf.DUMMYFUNCTION("IMPORTRANGE(""https://docs.google.com/spreadsheets/d/1XL5vhW3sbDhbH9Cz0tuDiY8C3ctxq1tqvaCgkFb8cCA/edit?usp=sharing"",""สุรินทร์!J325"")"),0)</f>
        <v>0</v>
      </c>
      <c r="AO48" s="309">
        <f t="shared" ca="1" si="15"/>
        <v>0</v>
      </c>
      <c r="AP48" s="392">
        <f ca="1">IFERROR(__xludf.DUMMYFUNCTION("IMPORTRANGE(""https://docs.google.com/spreadsheets/d/1C3CXT74ZlgGe6_JY_1olB1XN4rF0dxEuIIF-xsYjHgg/edit?usp=sharing"",""งบกองทุน!AR52"")"),10)</f>
        <v>10</v>
      </c>
      <c r="AQ48" s="308">
        <f ca="1">IFERROR(__xludf.DUMMYFUNCTION("IMPORTRANGE(""https://docs.google.com/spreadsheets/d/1XL5vhW3sbDhbH9Cz0tuDiY8C3ctxq1tqvaCgkFb8cCA/edit?usp=sharing"",""สุรินทร์!J326"")"),0)</f>
        <v>0</v>
      </c>
      <c r="AR48" s="308">
        <f ca="1">IFERROR(__xludf.DUMMYFUNCTION("IMPORTRANGE(""https://docs.google.com/spreadsheets/d/1C3CXT74ZlgGe6_JY_1olB1XN4rF0dxEuIIF-xsYjHgg/edit?usp=sharing"",""งบกองทุน!AS52"")"),25)</f>
        <v>25</v>
      </c>
      <c r="AS48" s="393">
        <f ca="1">IFERROR(__xludf.DUMMYFUNCTION("IMPORTRANGE(""https://docs.google.com/spreadsheets/d/1XL5vhW3sbDhbH9Cz0tuDiY8C3ctxq1tqvaCgkFb8cCA/edit?usp=sharing"",""สุรินทร์!J327"")"),0)</f>
        <v>0</v>
      </c>
    </row>
    <row r="49" spans="1:45" ht="21" customHeight="1">
      <c r="A49" s="303">
        <v>16</v>
      </c>
      <c r="B49" s="304" t="s">
        <v>73</v>
      </c>
      <c r="C49" s="391">
        <f t="shared" ca="1" si="80"/>
        <v>193290</v>
      </c>
      <c r="D49" s="306">
        <f ca="1">IFERROR(__xludf.DUMMYFUNCTION("IMPORTRANGE(""https://docs.google.com/spreadsheets/d/1C3CXT74ZlgGe6_JY_1olB1XN4rF0dxEuIIF-xsYjHgg/edit?usp=sharing"",""งบกองทุน!Z53"")"),0)</f>
        <v>0</v>
      </c>
      <c r="E49" s="306">
        <f ca="1">IFERROR(__xludf.DUMMYFUNCTION("IMPORTRANGE(""https://docs.google.com/spreadsheets/d/1C3CXT74ZlgGe6_JY_1olB1XN4rF0dxEuIIF-xsYjHgg/edit?usp=sharing"",""งบกองทุน!AA53"")"),193290)</f>
        <v>193290</v>
      </c>
      <c r="F49" s="307">
        <f ca="1">IFERROR(__xludf.DUMMYFUNCTION("IMPORTRANGE(""https://docs.google.com/spreadsheets/d/1XL5vhW3sbDhbH9Cz0tuDiY8C3ctxq1tqvaCgkFb8cCA/edit?usp=sharing"",""หนองคาย!M299"")"),128077.95)</f>
        <v>128077.95</v>
      </c>
      <c r="G49" s="307">
        <f t="shared" ca="1" si="1"/>
        <v>66.262067359925496</v>
      </c>
      <c r="H49" s="308">
        <f t="shared" ref="H49:I49" ca="1" si="99">+N49+V49+AE49</f>
        <v>165</v>
      </c>
      <c r="I49" s="308">
        <f t="shared" ca="1" si="99"/>
        <v>55</v>
      </c>
      <c r="J49" s="308">
        <f t="shared" ca="1" si="82"/>
        <v>165</v>
      </c>
      <c r="K49" s="309">
        <f t="shared" ca="1" si="3"/>
        <v>100</v>
      </c>
      <c r="L49" s="308">
        <f t="shared" ca="1" si="83"/>
        <v>55</v>
      </c>
      <c r="M49" s="309">
        <f t="shared" ca="1" si="4"/>
        <v>100</v>
      </c>
      <c r="N49" s="392">
        <f ca="1">IFERROR(__xludf.DUMMYFUNCTION("IMPORTRANGE(""https://docs.google.com/spreadsheets/d/1C3CXT74ZlgGe6_JY_1olB1XN4rF0dxEuIIF-xsYjHgg/edit?usp=sharing"",""งบกองทุน!AD53"")"),60)</f>
        <v>60</v>
      </c>
      <c r="O49" s="392">
        <f ca="1">IFERROR(__xludf.DUMMYFUNCTION("IMPORTRANGE(""https://docs.google.com/spreadsheets/d/1C3CXT74ZlgGe6_JY_1olB1XN4rF0dxEuIIF-xsYjHgg/edit?usp=sharing"",""งบกองทุน!AE53"")"),20)</f>
        <v>20</v>
      </c>
      <c r="P49" s="308">
        <f ca="1">IFERROR(__xludf.DUMMYFUNCTION("IMPORTRANGE(""https://docs.google.com/spreadsheets/d/1XL5vhW3sbDhbH9Cz0tuDiY8C3ctxq1tqvaCgkFb8cCA/edit?usp=sharing"",""หนองคาย!J313"")"),60)</f>
        <v>60</v>
      </c>
      <c r="Q49" s="309">
        <f t="shared" ca="1" si="6"/>
        <v>100</v>
      </c>
      <c r="R49" s="308">
        <f ca="1">IFERROR(__xludf.DUMMYFUNCTION("IMPORTRANGE(""https://docs.google.com/spreadsheets/d/1XL5vhW3sbDhbH9Cz0tuDiY8C3ctxq1tqvaCgkFb8cCA/edit?usp=sharing"",""หนองคาย!J312"")"),20)</f>
        <v>20</v>
      </c>
      <c r="S49" s="309">
        <f t="shared" ca="1" si="7"/>
        <v>100</v>
      </c>
      <c r="T49" s="309">
        <f ca="1">IFERROR(__xludf.DUMMYFUNCTION("IMPORTRANGE(""https://docs.google.com/spreadsheets/d/1XL5vhW3sbDhbH9Cz0tuDiY8C3ctxq1tqvaCgkFb8cCA/edit?usp=sharing"",""หนองคาย!J314"")"),20)</f>
        <v>20</v>
      </c>
      <c r="U49" s="309">
        <f ca="1">IFERROR(__xludf.DUMMYFUNCTION("IMPORTRANGE(""https://docs.google.com/spreadsheets/d/1XL5vhW3sbDhbH9Cz0tuDiY8C3ctxq1tqvaCgkFb8cCA/edit?usp=sharing"",""หนองคาย!J315"")"),20)</f>
        <v>20</v>
      </c>
      <c r="V49" s="392">
        <f ca="1">IFERROR(__xludf.DUMMYFUNCTION("IMPORTRANGE(""https://docs.google.com/spreadsheets/d/1C3CXT74ZlgGe6_JY_1olB1XN4rF0dxEuIIF-xsYjHgg/edit?usp=sharing"",""งบกองทุน!AH53"")"),75)</f>
        <v>75</v>
      </c>
      <c r="W49" s="392">
        <f ca="1">IFERROR(__xludf.DUMMYFUNCTION("IMPORTRANGE(""https://docs.google.com/spreadsheets/d/1C3CXT74ZlgGe6_JY_1olB1XN4rF0dxEuIIF-xsYjHgg/edit?usp=sharing"",""งบกองทุน!AI53"")"),25)</f>
        <v>25</v>
      </c>
      <c r="X49" s="308">
        <f ca="1">IFERROR(__xludf.DUMMYFUNCTION("IMPORTRANGE(""https://docs.google.com/spreadsheets/d/1XL5vhW3sbDhbH9Cz0tuDiY8C3ctxq1tqvaCgkFb8cCA/edit?usp=sharing"",""หนองคาย!J317"")"),75)</f>
        <v>75</v>
      </c>
      <c r="Y49" s="309">
        <f t="shared" ca="1" si="9"/>
        <v>100</v>
      </c>
      <c r="Z49" s="308">
        <f ca="1">IFERROR(__xludf.DUMMYFUNCTION("IMPORTRANGE(""https://docs.google.com/spreadsheets/d/1XL5vhW3sbDhbH9Cz0tuDiY8C3ctxq1tqvaCgkFb8cCA/edit?usp=sharing"",""หนองคาย!J316"")"),25)</f>
        <v>25</v>
      </c>
      <c r="AA49" s="309">
        <f t="shared" ca="1" si="10"/>
        <v>100</v>
      </c>
      <c r="AB49" s="308">
        <f ca="1">IFERROR(__xludf.DUMMYFUNCTION("IMPORTRANGE(""https://docs.google.com/spreadsheets/d/1XL5vhW3sbDhbH9Cz0tuDiY8C3ctxq1tqvaCgkFb8cCA/edit?usp=sharing"",""หนองคาย!J318"")"),25)</f>
        <v>25</v>
      </c>
      <c r="AC49" s="308">
        <f ca="1">IFERROR(__xludf.DUMMYFUNCTION("IMPORTRANGE(""https://docs.google.com/spreadsheets/d/1XL5vhW3sbDhbH9Cz0tuDiY8C3ctxq1tqvaCgkFb8cCA/edit?usp=sharing"",""หนองคาย!J319"")"),25)</f>
        <v>25</v>
      </c>
      <c r="AD49" s="308">
        <f ca="1">IFERROR(__xludf.DUMMYFUNCTION("IMPORTRANGE(""https://docs.google.com/spreadsheets/d/1XL5vhW3sbDhbH9Cz0tuDiY8C3ctxq1tqvaCgkFb8cCA/edit?usp=sharing"",""หนองคาย!J320"")"),25)</f>
        <v>25</v>
      </c>
      <c r="AE49" s="392">
        <f ca="1">IFERROR(__xludf.DUMMYFUNCTION("IMPORTRANGE(""https://docs.google.com/spreadsheets/d/1C3CXT74ZlgGe6_JY_1olB1XN4rF0dxEuIIF-xsYjHgg/edit?usp=sharing"",""งบกองทุน!AM53"")"),30)</f>
        <v>30</v>
      </c>
      <c r="AF49" s="392">
        <f ca="1">IFERROR(__xludf.DUMMYFUNCTION("IMPORTRANGE(""https://docs.google.com/spreadsheets/d/1C3CXT74ZlgGe6_JY_1olB1XN4rF0dxEuIIF-xsYjHgg/edit?usp=sharing"",""งบกองทุน!AN53"")"),10)</f>
        <v>10</v>
      </c>
      <c r="AG49" s="308">
        <f ca="1">IFERROR(__xludf.DUMMYFUNCTION("IMPORTRANGE(""https://docs.google.com/spreadsheets/d/1XL5vhW3sbDhbH9Cz0tuDiY8C3ctxq1tqvaCgkFb8cCA/edit?usp=sharing"",""หนองคาย!J322"")"),30)</f>
        <v>30</v>
      </c>
      <c r="AH49" s="309">
        <f t="shared" ca="1" si="12"/>
        <v>100</v>
      </c>
      <c r="AI49" s="308">
        <f ca="1">IFERROR(__xludf.DUMMYFUNCTION("IMPORTRANGE(""https://docs.google.com/spreadsheets/d/1XL5vhW3sbDhbH9Cz0tuDiY8C3ctxq1tqvaCgkFb8cCA/edit?usp=sharing"",""หนองคาย!J321"")"),10)</f>
        <v>10</v>
      </c>
      <c r="AJ49" s="309">
        <f t="shared" ca="1" si="13"/>
        <v>100</v>
      </c>
      <c r="AK49" s="308">
        <f ca="1">IFERROR(__xludf.DUMMYFUNCTION("IMPORTRANGE(""https://docs.google.com/spreadsheets/d/1XL5vhW3sbDhbH9Cz0tuDiY8C3ctxq1tqvaCgkFb8cCA/edit?usp=sharing"",""หนองคาย!J323"")"),10)</f>
        <v>10</v>
      </c>
      <c r="AL49" s="308">
        <f ca="1">IFERROR(__xludf.DUMMYFUNCTION("IMPORTRANGE(""https://docs.google.com/spreadsheets/d/1XL5vhW3sbDhbH9Cz0tuDiY8C3ctxq1tqvaCgkFb8cCA/edit?usp=sharing"",""หนองคาย!J324"")"),10)</f>
        <v>10</v>
      </c>
      <c r="AM49" s="308">
        <f t="shared" ca="1" si="84"/>
        <v>45</v>
      </c>
      <c r="AN49" s="308">
        <f ca="1">IFERROR(__xludf.DUMMYFUNCTION("IMPORTRANGE(""https://docs.google.com/spreadsheets/d/1XL5vhW3sbDhbH9Cz0tuDiY8C3ctxq1tqvaCgkFb8cCA/edit?usp=sharing"",""หนองคาย!J325"")"),0)</f>
        <v>0</v>
      </c>
      <c r="AO49" s="309">
        <f t="shared" ca="1" si="15"/>
        <v>0</v>
      </c>
      <c r="AP49" s="392">
        <f ca="1">IFERROR(__xludf.DUMMYFUNCTION("IMPORTRANGE(""https://docs.google.com/spreadsheets/d/1C3CXT74ZlgGe6_JY_1olB1XN4rF0dxEuIIF-xsYjHgg/edit?usp=sharing"",""งบกองทุน!AR53"")"),20)</f>
        <v>20</v>
      </c>
      <c r="AQ49" s="308">
        <f ca="1">IFERROR(__xludf.DUMMYFUNCTION("IMPORTRANGE(""https://docs.google.com/spreadsheets/d/1XL5vhW3sbDhbH9Cz0tuDiY8C3ctxq1tqvaCgkFb8cCA/edit?usp=sharing"",""หนองคาย!J326"")"),0)</f>
        <v>0</v>
      </c>
      <c r="AR49" s="308">
        <f ca="1">IFERROR(__xludf.DUMMYFUNCTION("IMPORTRANGE(""https://docs.google.com/spreadsheets/d/1C3CXT74ZlgGe6_JY_1olB1XN4rF0dxEuIIF-xsYjHgg/edit?usp=sharing"",""งบกองทุน!AS53"")"),25)</f>
        <v>25</v>
      </c>
      <c r="AS49" s="393">
        <f ca="1">IFERROR(__xludf.DUMMYFUNCTION("IMPORTRANGE(""https://docs.google.com/spreadsheets/d/1XL5vhW3sbDhbH9Cz0tuDiY8C3ctxq1tqvaCgkFb8cCA/edit?usp=sharing"",""หนองคาย!J327"")"),0)</f>
        <v>0</v>
      </c>
    </row>
    <row r="50" spans="1:45" ht="21" customHeight="1">
      <c r="A50" s="303">
        <v>17</v>
      </c>
      <c r="B50" s="304" t="s">
        <v>74</v>
      </c>
      <c r="C50" s="391">
        <f t="shared" ca="1" si="80"/>
        <v>159950</v>
      </c>
      <c r="D50" s="306">
        <f ca="1">IFERROR(__xludf.DUMMYFUNCTION("IMPORTRANGE(""https://docs.google.com/spreadsheets/d/1C3CXT74ZlgGe6_JY_1olB1XN4rF0dxEuIIF-xsYjHgg/edit?usp=sharing"",""งบกองทุน!Z54"")"),0)</f>
        <v>0</v>
      </c>
      <c r="E50" s="306">
        <f ca="1">IFERROR(__xludf.DUMMYFUNCTION("IMPORTRANGE(""https://docs.google.com/spreadsheets/d/1C3CXT74ZlgGe6_JY_1olB1XN4rF0dxEuIIF-xsYjHgg/edit?usp=sharing"",""งบกองทุน!AA54"")"),159950)</f>
        <v>159950</v>
      </c>
      <c r="F50" s="307">
        <f ca="1">IFERROR(__xludf.DUMMYFUNCTION("IMPORTRANGE(""https://docs.google.com/spreadsheets/d/1XL5vhW3sbDhbH9Cz0tuDiY8C3ctxq1tqvaCgkFb8cCA/edit?usp=sharing"",""หนองบัวลำภู!M299"")"),137098)</f>
        <v>137098</v>
      </c>
      <c r="G50" s="307">
        <f t="shared" ca="1" si="1"/>
        <v>85.713035323538605</v>
      </c>
      <c r="H50" s="308">
        <f t="shared" ref="H50:I50" ca="1" si="100">+N50+V50+AE50</f>
        <v>135</v>
      </c>
      <c r="I50" s="308">
        <f t="shared" ca="1" si="100"/>
        <v>45</v>
      </c>
      <c r="J50" s="308">
        <f t="shared" ca="1" si="82"/>
        <v>135</v>
      </c>
      <c r="K50" s="309">
        <f t="shared" ca="1" si="3"/>
        <v>100</v>
      </c>
      <c r="L50" s="308">
        <f t="shared" ca="1" si="83"/>
        <v>45</v>
      </c>
      <c r="M50" s="309">
        <f t="shared" ca="1" si="4"/>
        <v>100</v>
      </c>
      <c r="N50" s="392">
        <f ca="1">IFERROR(__xludf.DUMMYFUNCTION("IMPORTRANGE(""https://docs.google.com/spreadsheets/d/1C3CXT74ZlgGe6_JY_1olB1XN4rF0dxEuIIF-xsYjHgg/edit?usp=sharing"",""งบกองทุน!AD54"")"),30)</f>
        <v>30</v>
      </c>
      <c r="O50" s="392">
        <f ca="1">IFERROR(__xludf.DUMMYFUNCTION("IMPORTRANGE(""https://docs.google.com/spreadsheets/d/1C3CXT74ZlgGe6_JY_1olB1XN4rF0dxEuIIF-xsYjHgg/edit?usp=sharing"",""งบกองทุน!AE54"")"),10)</f>
        <v>10</v>
      </c>
      <c r="P50" s="308">
        <f ca="1">IFERROR(__xludf.DUMMYFUNCTION("IMPORTRANGE(""https://docs.google.com/spreadsheets/d/1XL5vhW3sbDhbH9Cz0tuDiY8C3ctxq1tqvaCgkFb8cCA/edit?usp=sharing"",""หนองบัวลำภู!J313"")"),30)</f>
        <v>30</v>
      </c>
      <c r="Q50" s="309">
        <f t="shared" ca="1" si="6"/>
        <v>100</v>
      </c>
      <c r="R50" s="308">
        <f ca="1">IFERROR(__xludf.DUMMYFUNCTION("IMPORTRANGE(""https://docs.google.com/spreadsheets/d/1XL5vhW3sbDhbH9Cz0tuDiY8C3ctxq1tqvaCgkFb8cCA/edit?usp=sharing"",""หนองบัวลำภู!J312"")"),10)</f>
        <v>10</v>
      </c>
      <c r="S50" s="309">
        <f t="shared" ca="1" si="7"/>
        <v>100</v>
      </c>
      <c r="T50" s="309">
        <f ca="1">IFERROR(__xludf.DUMMYFUNCTION("IMPORTRANGE(""https://docs.google.com/spreadsheets/d/1XL5vhW3sbDhbH9Cz0tuDiY8C3ctxq1tqvaCgkFb8cCA/edit?usp=sharing"",""หนองบัวลำภู!J314"")"),10)</f>
        <v>10</v>
      </c>
      <c r="U50" s="309">
        <f ca="1">IFERROR(__xludf.DUMMYFUNCTION("IMPORTRANGE(""https://docs.google.com/spreadsheets/d/1XL5vhW3sbDhbH9Cz0tuDiY8C3ctxq1tqvaCgkFb8cCA/edit?usp=sharing"",""หนองบัวลำภู!J315"")"),10)</f>
        <v>10</v>
      </c>
      <c r="V50" s="392">
        <f ca="1">IFERROR(__xludf.DUMMYFUNCTION("IMPORTRANGE(""https://docs.google.com/spreadsheets/d/1C3CXT74ZlgGe6_JY_1olB1XN4rF0dxEuIIF-xsYjHgg/edit?usp=sharing"",""งบกองทุน!AH54"")"),75)</f>
        <v>75</v>
      </c>
      <c r="W50" s="392">
        <f ca="1">IFERROR(__xludf.DUMMYFUNCTION("IMPORTRANGE(""https://docs.google.com/spreadsheets/d/1C3CXT74ZlgGe6_JY_1olB1XN4rF0dxEuIIF-xsYjHgg/edit?usp=sharing"",""งบกองทุน!AI54"")"),25)</f>
        <v>25</v>
      </c>
      <c r="X50" s="308">
        <f ca="1">IFERROR(__xludf.DUMMYFUNCTION("IMPORTRANGE(""https://docs.google.com/spreadsheets/d/1XL5vhW3sbDhbH9Cz0tuDiY8C3ctxq1tqvaCgkFb8cCA/edit?usp=sharing"",""หนองบัวลำภู!J317"")"),75)</f>
        <v>75</v>
      </c>
      <c r="Y50" s="309">
        <f t="shared" ca="1" si="9"/>
        <v>100</v>
      </c>
      <c r="Z50" s="308">
        <f ca="1">IFERROR(__xludf.DUMMYFUNCTION("IMPORTRANGE(""https://docs.google.com/spreadsheets/d/1XL5vhW3sbDhbH9Cz0tuDiY8C3ctxq1tqvaCgkFb8cCA/edit?usp=sharing"",""หนองบัวลำภู!J316"")"),25)</f>
        <v>25</v>
      </c>
      <c r="AA50" s="309">
        <f t="shared" ca="1" si="10"/>
        <v>100</v>
      </c>
      <c r="AB50" s="308">
        <f ca="1">IFERROR(__xludf.DUMMYFUNCTION("IMPORTRANGE(""https://docs.google.com/spreadsheets/d/1XL5vhW3sbDhbH9Cz0tuDiY8C3ctxq1tqvaCgkFb8cCA/edit?usp=sharing"",""หนองบัวลำภู!J318"")"),25)</f>
        <v>25</v>
      </c>
      <c r="AC50" s="308">
        <f ca="1">IFERROR(__xludf.DUMMYFUNCTION("IMPORTRANGE(""https://docs.google.com/spreadsheets/d/1XL5vhW3sbDhbH9Cz0tuDiY8C3ctxq1tqvaCgkFb8cCA/edit?usp=sharing"",""หนองบัวลำภู!J319"")"),25)</f>
        <v>25</v>
      </c>
      <c r="AD50" s="308">
        <f ca="1">IFERROR(__xludf.DUMMYFUNCTION("IMPORTRANGE(""https://docs.google.com/spreadsheets/d/1XL5vhW3sbDhbH9Cz0tuDiY8C3ctxq1tqvaCgkFb8cCA/edit?usp=sharing"",""หนองบัวลำภู!J320"")"),25)</f>
        <v>25</v>
      </c>
      <c r="AE50" s="392">
        <f ca="1">IFERROR(__xludf.DUMMYFUNCTION("IMPORTRANGE(""https://docs.google.com/spreadsheets/d/1C3CXT74ZlgGe6_JY_1olB1XN4rF0dxEuIIF-xsYjHgg/edit?usp=sharing"",""งบกองทุน!AM54"")"),30)</f>
        <v>30</v>
      </c>
      <c r="AF50" s="392">
        <f ca="1">IFERROR(__xludf.DUMMYFUNCTION("IMPORTRANGE(""https://docs.google.com/spreadsheets/d/1C3CXT74ZlgGe6_JY_1olB1XN4rF0dxEuIIF-xsYjHgg/edit?usp=sharing"",""งบกองทุน!AN54"")"),10)</f>
        <v>10</v>
      </c>
      <c r="AG50" s="308">
        <f ca="1">IFERROR(__xludf.DUMMYFUNCTION("IMPORTRANGE(""https://docs.google.com/spreadsheets/d/1XL5vhW3sbDhbH9Cz0tuDiY8C3ctxq1tqvaCgkFb8cCA/edit?usp=sharing"",""หนองบัวลำภู!J322"")"),30)</f>
        <v>30</v>
      </c>
      <c r="AH50" s="309">
        <f t="shared" ca="1" si="12"/>
        <v>100</v>
      </c>
      <c r="AI50" s="308">
        <f ca="1">IFERROR(__xludf.DUMMYFUNCTION("IMPORTRANGE(""https://docs.google.com/spreadsheets/d/1XL5vhW3sbDhbH9Cz0tuDiY8C3ctxq1tqvaCgkFb8cCA/edit?usp=sharing"",""หนองบัวลำภู!J321"")"),10)</f>
        <v>10</v>
      </c>
      <c r="AJ50" s="309">
        <f t="shared" ca="1" si="13"/>
        <v>100</v>
      </c>
      <c r="AK50" s="308">
        <f ca="1">IFERROR(__xludf.DUMMYFUNCTION("IMPORTRANGE(""https://docs.google.com/spreadsheets/d/1XL5vhW3sbDhbH9Cz0tuDiY8C3ctxq1tqvaCgkFb8cCA/edit?usp=sharing"",""หนองบัวลำภู!J323"")"),10)</f>
        <v>10</v>
      </c>
      <c r="AL50" s="308">
        <f ca="1">IFERROR(__xludf.DUMMYFUNCTION("IMPORTRANGE(""https://docs.google.com/spreadsheets/d/1XL5vhW3sbDhbH9Cz0tuDiY8C3ctxq1tqvaCgkFb8cCA/edit?usp=sharing"",""หนองบัวลำภู!J324"")"),10)</f>
        <v>10</v>
      </c>
      <c r="AM50" s="308">
        <f t="shared" ca="1" si="84"/>
        <v>35</v>
      </c>
      <c r="AN50" s="308">
        <f ca="1">IFERROR(__xludf.DUMMYFUNCTION("IMPORTRANGE(""https://docs.google.com/spreadsheets/d/1XL5vhW3sbDhbH9Cz0tuDiY8C3ctxq1tqvaCgkFb8cCA/edit?usp=sharing"",""หนองบัวลำภู!J325"")"),35)</f>
        <v>35</v>
      </c>
      <c r="AO50" s="309">
        <f t="shared" ca="1" si="15"/>
        <v>100</v>
      </c>
      <c r="AP50" s="392">
        <f ca="1">IFERROR(__xludf.DUMMYFUNCTION("IMPORTRANGE(""https://docs.google.com/spreadsheets/d/1C3CXT74ZlgGe6_JY_1olB1XN4rF0dxEuIIF-xsYjHgg/edit?usp=sharing"",""งบกองทุน!AR54"")"),10)</f>
        <v>10</v>
      </c>
      <c r="AQ50" s="308">
        <f ca="1">IFERROR(__xludf.DUMMYFUNCTION("IMPORTRANGE(""https://docs.google.com/spreadsheets/d/1XL5vhW3sbDhbH9Cz0tuDiY8C3ctxq1tqvaCgkFb8cCA/edit?usp=sharing"",""หนองบัวลำภู!J326"")"),10)</f>
        <v>10</v>
      </c>
      <c r="AR50" s="308">
        <f ca="1">IFERROR(__xludf.DUMMYFUNCTION("IMPORTRANGE(""https://docs.google.com/spreadsheets/d/1C3CXT74ZlgGe6_JY_1olB1XN4rF0dxEuIIF-xsYjHgg/edit?usp=sharing"",""งบกองทุน!AS54"")"),25)</f>
        <v>25</v>
      </c>
      <c r="AS50" s="393">
        <f ca="1">IFERROR(__xludf.DUMMYFUNCTION("IMPORTRANGE(""https://docs.google.com/spreadsheets/d/1XL5vhW3sbDhbH9Cz0tuDiY8C3ctxq1tqvaCgkFb8cCA/edit?usp=sharing"",""หนองบัวลำภู!J327"")"),25)</f>
        <v>25</v>
      </c>
    </row>
    <row r="51" spans="1:45" ht="21" customHeight="1">
      <c r="A51" s="303">
        <v>18</v>
      </c>
      <c r="B51" s="304" t="s">
        <v>75</v>
      </c>
      <c r="C51" s="391">
        <f t="shared" ca="1" si="80"/>
        <v>172290</v>
      </c>
      <c r="D51" s="306">
        <f ca="1">IFERROR(__xludf.DUMMYFUNCTION("IMPORTRANGE(""https://docs.google.com/spreadsheets/d/1C3CXT74ZlgGe6_JY_1olB1XN4rF0dxEuIIF-xsYjHgg/edit?usp=sharing"",""งบกองทุน!Z55"")"),0)</f>
        <v>0</v>
      </c>
      <c r="E51" s="306">
        <f ca="1">IFERROR(__xludf.DUMMYFUNCTION("IMPORTRANGE(""https://docs.google.com/spreadsheets/d/1C3CXT74ZlgGe6_JY_1olB1XN4rF0dxEuIIF-xsYjHgg/edit?usp=sharing"",""งบกองทุน!AA55"")"),172290)</f>
        <v>172290</v>
      </c>
      <c r="F51" s="307">
        <f ca="1">IFERROR(__xludf.DUMMYFUNCTION("IMPORTRANGE(""https://docs.google.com/spreadsheets/d/1XL5vhW3sbDhbH9Cz0tuDiY8C3ctxq1tqvaCgkFb8cCA/edit?usp=sharing"",""อำนาจเจริญ!M299"")"),68654)</f>
        <v>68654</v>
      </c>
      <c r="G51" s="307">
        <f t="shared" ca="1" si="1"/>
        <v>39.847930814324684</v>
      </c>
      <c r="H51" s="308">
        <f t="shared" ref="H51:I51" ca="1" si="101">+N51+V51+AE51</f>
        <v>165</v>
      </c>
      <c r="I51" s="308">
        <f t="shared" ca="1" si="101"/>
        <v>55</v>
      </c>
      <c r="J51" s="308">
        <f t="shared" ca="1" si="82"/>
        <v>75</v>
      </c>
      <c r="K51" s="309">
        <f t="shared" ca="1" si="3"/>
        <v>45.454545454545453</v>
      </c>
      <c r="L51" s="308">
        <f t="shared" ca="1" si="83"/>
        <v>55</v>
      </c>
      <c r="M51" s="309">
        <f t="shared" ca="1" si="4"/>
        <v>100</v>
      </c>
      <c r="N51" s="392">
        <f ca="1">IFERROR(__xludf.DUMMYFUNCTION("IMPORTRANGE(""https://docs.google.com/spreadsheets/d/1C3CXT74ZlgGe6_JY_1olB1XN4rF0dxEuIIF-xsYjHgg/edit?usp=sharing"",""งบกองทุน!AD55"")"),30)</f>
        <v>30</v>
      </c>
      <c r="O51" s="392">
        <f ca="1">IFERROR(__xludf.DUMMYFUNCTION("IMPORTRANGE(""https://docs.google.com/spreadsheets/d/1C3CXT74ZlgGe6_JY_1olB1XN4rF0dxEuIIF-xsYjHgg/edit?usp=sharing"",""งบกองทุน!AE55"")"),10)</f>
        <v>10</v>
      </c>
      <c r="P51" s="308">
        <f ca="1">IFERROR(__xludf.DUMMYFUNCTION("IMPORTRANGE(""https://docs.google.com/spreadsheets/d/1XL5vhW3sbDhbH9Cz0tuDiY8C3ctxq1tqvaCgkFb8cCA/edit?usp=sharing"",""อำนาจเจริญ!J313"")"),0)</f>
        <v>0</v>
      </c>
      <c r="Q51" s="309">
        <f t="shared" ca="1" si="6"/>
        <v>0</v>
      </c>
      <c r="R51" s="308">
        <f ca="1">IFERROR(__xludf.DUMMYFUNCTION("IMPORTRANGE(""https://docs.google.com/spreadsheets/d/1XL5vhW3sbDhbH9Cz0tuDiY8C3ctxq1tqvaCgkFb8cCA/edit?usp=sharing"",""อำนาจเจริญ!J312"")"),10)</f>
        <v>10</v>
      </c>
      <c r="S51" s="309">
        <f t="shared" ca="1" si="7"/>
        <v>100</v>
      </c>
      <c r="T51" s="309">
        <f ca="1">IFERROR(__xludf.DUMMYFUNCTION("IMPORTRANGE(""https://docs.google.com/spreadsheets/d/1XL5vhW3sbDhbH9Cz0tuDiY8C3ctxq1tqvaCgkFb8cCA/edit?usp=sharing"",""อำนาจเจริญ!J314"")"),10)</f>
        <v>10</v>
      </c>
      <c r="U51" s="309">
        <f ca="1">IFERROR(__xludf.DUMMYFUNCTION("IMPORTRANGE(""https://docs.google.com/spreadsheets/d/1XL5vhW3sbDhbH9Cz0tuDiY8C3ctxq1tqvaCgkFb8cCA/edit?usp=sharing"",""อำนาจเจริญ!J315"")"),10)</f>
        <v>10</v>
      </c>
      <c r="V51" s="392">
        <f ca="1">IFERROR(__xludf.DUMMYFUNCTION("IMPORTRANGE(""https://docs.google.com/spreadsheets/d/1C3CXT74ZlgGe6_JY_1olB1XN4rF0dxEuIIF-xsYjHgg/edit?usp=sharing"",""งบกองทุน!AH55"")"),75)</f>
        <v>75</v>
      </c>
      <c r="W51" s="392">
        <f ca="1">IFERROR(__xludf.DUMMYFUNCTION("IMPORTRANGE(""https://docs.google.com/spreadsheets/d/1C3CXT74ZlgGe6_JY_1olB1XN4rF0dxEuIIF-xsYjHgg/edit?usp=sharing"",""งบกองทุน!AI55"")"),25)</f>
        <v>25</v>
      </c>
      <c r="X51" s="308">
        <f ca="1">IFERROR(__xludf.DUMMYFUNCTION("IMPORTRANGE(""https://docs.google.com/spreadsheets/d/1XL5vhW3sbDhbH9Cz0tuDiY8C3ctxq1tqvaCgkFb8cCA/edit?usp=sharing"",""อำนาจเจริญ!J317"")"),75)</f>
        <v>75</v>
      </c>
      <c r="Y51" s="309">
        <f t="shared" ca="1" si="9"/>
        <v>100</v>
      </c>
      <c r="Z51" s="308">
        <f ca="1">IFERROR(__xludf.DUMMYFUNCTION("IMPORTRANGE(""https://docs.google.com/spreadsheets/d/1XL5vhW3sbDhbH9Cz0tuDiY8C3ctxq1tqvaCgkFb8cCA/edit?usp=sharing"",""อำนาจเจริญ!J316"")"),25)</f>
        <v>25</v>
      </c>
      <c r="AA51" s="309">
        <f t="shared" ca="1" si="10"/>
        <v>100</v>
      </c>
      <c r="AB51" s="308">
        <f ca="1">IFERROR(__xludf.DUMMYFUNCTION("IMPORTRANGE(""https://docs.google.com/spreadsheets/d/1XL5vhW3sbDhbH9Cz0tuDiY8C3ctxq1tqvaCgkFb8cCA/edit?usp=sharing"",""อำนาจเจริญ!J318"")"),25)</f>
        <v>25</v>
      </c>
      <c r="AC51" s="308">
        <f ca="1">IFERROR(__xludf.DUMMYFUNCTION("IMPORTRANGE(""https://docs.google.com/spreadsheets/d/1XL5vhW3sbDhbH9Cz0tuDiY8C3ctxq1tqvaCgkFb8cCA/edit?usp=sharing"",""อำนาจเจริญ!J319"")"),25)</f>
        <v>25</v>
      </c>
      <c r="AD51" s="308">
        <f ca="1">IFERROR(__xludf.DUMMYFUNCTION("IMPORTRANGE(""https://docs.google.com/spreadsheets/d/1XL5vhW3sbDhbH9Cz0tuDiY8C3ctxq1tqvaCgkFb8cCA/edit?usp=sharing"",""อำนาจเจริญ!J320"")"),25)</f>
        <v>25</v>
      </c>
      <c r="AE51" s="392">
        <f ca="1">IFERROR(__xludf.DUMMYFUNCTION("IMPORTRANGE(""https://docs.google.com/spreadsheets/d/1C3CXT74ZlgGe6_JY_1olB1XN4rF0dxEuIIF-xsYjHgg/edit?usp=sharing"",""งบกองทุน!AM55"")"),60)</f>
        <v>60</v>
      </c>
      <c r="AF51" s="392">
        <f ca="1">IFERROR(__xludf.DUMMYFUNCTION("IMPORTRANGE(""https://docs.google.com/spreadsheets/d/1C3CXT74ZlgGe6_JY_1olB1XN4rF0dxEuIIF-xsYjHgg/edit?usp=sharing"",""งบกองทุน!AN55"")"),20)</f>
        <v>20</v>
      </c>
      <c r="AG51" s="308">
        <f ca="1">IFERROR(__xludf.DUMMYFUNCTION("IMPORTRANGE(""https://docs.google.com/spreadsheets/d/1XL5vhW3sbDhbH9Cz0tuDiY8C3ctxq1tqvaCgkFb8cCA/edit?usp=sharing"",""อำนาจเจริญ!J322"")"),0)</f>
        <v>0</v>
      </c>
      <c r="AH51" s="309">
        <f t="shared" ca="1" si="12"/>
        <v>0</v>
      </c>
      <c r="AI51" s="308">
        <f ca="1">IFERROR(__xludf.DUMMYFUNCTION("IMPORTRANGE(""https://docs.google.com/spreadsheets/d/1XL5vhW3sbDhbH9Cz0tuDiY8C3ctxq1tqvaCgkFb8cCA/edit?usp=sharing"",""อำนาจเจริญ!J321"")"),20)</f>
        <v>20</v>
      </c>
      <c r="AJ51" s="309">
        <f t="shared" ca="1" si="13"/>
        <v>100</v>
      </c>
      <c r="AK51" s="308">
        <f ca="1">IFERROR(__xludf.DUMMYFUNCTION("IMPORTRANGE(""https://docs.google.com/spreadsheets/d/1XL5vhW3sbDhbH9Cz0tuDiY8C3ctxq1tqvaCgkFb8cCA/edit?usp=sharing"",""อำนาจเจริญ!J323"")"),20)</f>
        <v>20</v>
      </c>
      <c r="AL51" s="308">
        <f ca="1">IFERROR(__xludf.DUMMYFUNCTION("IMPORTRANGE(""https://docs.google.com/spreadsheets/d/1XL5vhW3sbDhbH9Cz0tuDiY8C3ctxq1tqvaCgkFb8cCA/edit?usp=sharing"",""อำนาจเจริญ!J324"")"),20)</f>
        <v>20</v>
      </c>
      <c r="AM51" s="308">
        <f t="shared" ca="1" si="84"/>
        <v>35</v>
      </c>
      <c r="AN51" s="308">
        <f ca="1">IFERROR(__xludf.DUMMYFUNCTION("IMPORTRANGE(""https://docs.google.com/spreadsheets/d/1XL5vhW3sbDhbH9Cz0tuDiY8C3ctxq1tqvaCgkFb8cCA/edit?usp=sharing"",""อำนาจเจริญ!J325"")"),0)</f>
        <v>0</v>
      </c>
      <c r="AO51" s="309">
        <f t="shared" ca="1" si="15"/>
        <v>0</v>
      </c>
      <c r="AP51" s="392">
        <f ca="1">IFERROR(__xludf.DUMMYFUNCTION("IMPORTRANGE(""https://docs.google.com/spreadsheets/d/1C3CXT74ZlgGe6_JY_1olB1XN4rF0dxEuIIF-xsYjHgg/edit?usp=sharing"",""งบกองทุน!AR55"")"),10)</f>
        <v>10</v>
      </c>
      <c r="AQ51" s="308">
        <f ca="1">IFERROR(__xludf.DUMMYFUNCTION("IMPORTRANGE(""https://docs.google.com/spreadsheets/d/1XL5vhW3sbDhbH9Cz0tuDiY8C3ctxq1tqvaCgkFb8cCA/edit?usp=sharing"",""อำนาจเจริญ!J326"")"),0)</f>
        <v>0</v>
      </c>
      <c r="AR51" s="308">
        <f ca="1">IFERROR(__xludf.DUMMYFUNCTION("IMPORTRANGE(""https://docs.google.com/spreadsheets/d/1C3CXT74ZlgGe6_JY_1olB1XN4rF0dxEuIIF-xsYjHgg/edit?usp=sharing"",""งบกองทุน!AS55"")"),25)</f>
        <v>25</v>
      </c>
      <c r="AS51" s="393">
        <f ca="1">IFERROR(__xludf.DUMMYFUNCTION("IMPORTRANGE(""https://docs.google.com/spreadsheets/d/1XL5vhW3sbDhbH9Cz0tuDiY8C3ctxq1tqvaCgkFb8cCA/edit?usp=sharing"",""อำนาจเจริญ!J327"")"),0)</f>
        <v>0</v>
      </c>
    </row>
    <row r="52" spans="1:45" ht="21" customHeight="1">
      <c r="A52" s="303">
        <v>19</v>
      </c>
      <c r="B52" s="304" t="s">
        <v>76</v>
      </c>
      <c r="C52" s="391">
        <f t="shared" ca="1" si="80"/>
        <v>195900</v>
      </c>
      <c r="D52" s="306">
        <f ca="1">IFERROR(__xludf.DUMMYFUNCTION("IMPORTRANGE(""https://docs.google.com/spreadsheets/d/1C3CXT74ZlgGe6_JY_1olB1XN4rF0dxEuIIF-xsYjHgg/edit?usp=sharing"",""งบกองทุน!Z56"")"),0)</f>
        <v>0</v>
      </c>
      <c r="E52" s="306">
        <f ca="1">IFERROR(__xludf.DUMMYFUNCTION("IMPORTRANGE(""https://docs.google.com/spreadsheets/d/1C3CXT74ZlgGe6_JY_1olB1XN4rF0dxEuIIF-xsYjHgg/edit?usp=sharing"",""งบกองทุน!AA56"")"),195900)</f>
        <v>195900</v>
      </c>
      <c r="F52" s="307">
        <f ca="1">IFERROR(__xludf.DUMMYFUNCTION("IMPORTRANGE(""https://docs.google.com/spreadsheets/d/1XL5vhW3sbDhbH9Cz0tuDiY8C3ctxq1tqvaCgkFb8cCA/edit?usp=sharing"",""อุดรธานี!M299"")"),161596)</f>
        <v>161596</v>
      </c>
      <c r="G52" s="307">
        <f t="shared" ca="1" si="1"/>
        <v>82.489025012761616</v>
      </c>
      <c r="H52" s="308">
        <f t="shared" ref="H52:I52" ca="1" si="102">+N52+V52+AE52</f>
        <v>174</v>
      </c>
      <c r="I52" s="308">
        <f t="shared" ca="1" si="102"/>
        <v>58</v>
      </c>
      <c r="J52" s="308">
        <f t="shared" ca="1" si="82"/>
        <v>174</v>
      </c>
      <c r="K52" s="309">
        <f t="shared" ca="1" si="3"/>
        <v>100</v>
      </c>
      <c r="L52" s="308">
        <f t="shared" ca="1" si="83"/>
        <v>58</v>
      </c>
      <c r="M52" s="309">
        <f t="shared" ca="1" si="4"/>
        <v>100</v>
      </c>
      <c r="N52" s="392">
        <f ca="1">IFERROR(__xludf.DUMMYFUNCTION("IMPORTRANGE(""https://docs.google.com/spreadsheets/d/1C3CXT74ZlgGe6_JY_1olB1XN4rF0dxEuIIF-xsYjHgg/edit?usp=sharing"",""งบกองทุน!AD56"")"),30)</f>
        <v>30</v>
      </c>
      <c r="O52" s="392">
        <f ca="1">IFERROR(__xludf.DUMMYFUNCTION("IMPORTRANGE(""https://docs.google.com/spreadsheets/d/1C3CXT74ZlgGe6_JY_1olB1XN4rF0dxEuIIF-xsYjHgg/edit?usp=sharing"",""งบกองทุน!AE56"")"),10)</f>
        <v>10</v>
      </c>
      <c r="P52" s="308">
        <f ca="1">IFERROR(__xludf.DUMMYFUNCTION("IMPORTRANGE(""https://docs.google.com/spreadsheets/d/1XL5vhW3sbDhbH9Cz0tuDiY8C3ctxq1tqvaCgkFb8cCA/edit?usp=sharing"",""อุดรธานี!J313"")"),30)</f>
        <v>30</v>
      </c>
      <c r="Q52" s="309">
        <f t="shared" ca="1" si="6"/>
        <v>100</v>
      </c>
      <c r="R52" s="308">
        <f ca="1">IFERROR(__xludf.DUMMYFUNCTION("IMPORTRANGE(""https://docs.google.com/spreadsheets/d/1XL5vhW3sbDhbH9Cz0tuDiY8C3ctxq1tqvaCgkFb8cCA/edit?usp=sharing"",""อุดรธานี!J312"")"),10)</f>
        <v>10</v>
      </c>
      <c r="S52" s="309">
        <f t="shared" ca="1" si="7"/>
        <v>100</v>
      </c>
      <c r="T52" s="309">
        <f ca="1">IFERROR(__xludf.DUMMYFUNCTION("IMPORTRANGE(""https://docs.google.com/spreadsheets/d/1XL5vhW3sbDhbH9Cz0tuDiY8C3ctxq1tqvaCgkFb8cCA/edit?usp=sharing"",""อุดรธานี!J314"")"),10)</f>
        <v>10</v>
      </c>
      <c r="U52" s="309">
        <f ca="1">IFERROR(__xludf.DUMMYFUNCTION("IMPORTRANGE(""https://docs.google.com/spreadsheets/d/1XL5vhW3sbDhbH9Cz0tuDiY8C3ctxq1tqvaCgkFb8cCA/edit?usp=sharing"",""อุดรธานี!J315"")"),10)</f>
        <v>10</v>
      </c>
      <c r="V52" s="392">
        <f ca="1">IFERROR(__xludf.DUMMYFUNCTION("IMPORTRANGE(""https://docs.google.com/spreadsheets/d/1C3CXT74ZlgGe6_JY_1olB1XN4rF0dxEuIIF-xsYjHgg/edit?usp=sharing"",""งบกองทุน!AH56"")"),114)</f>
        <v>114</v>
      </c>
      <c r="W52" s="392">
        <f ca="1">IFERROR(__xludf.DUMMYFUNCTION("IMPORTRANGE(""https://docs.google.com/spreadsheets/d/1C3CXT74ZlgGe6_JY_1olB1XN4rF0dxEuIIF-xsYjHgg/edit?usp=sharing"",""งบกองทุน!AI56"")"),38)</f>
        <v>38</v>
      </c>
      <c r="X52" s="308">
        <f ca="1">IFERROR(__xludf.DUMMYFUNCTION("IMPORTRANGE(""https://docs.google.com/spreadsheets/d/1XL5vhW3sbDhbH9Cz0tuDiY8C3ctxq1tqvaCgkFb8cCA/edit?usp=sharing"",""อุดรธานี!J317"")"),114)</f>
        <v>114</v>
      </c>
      <c r="Y52" s="309">
        <f t="shared" ca="1" si="9"/>
        <v>100</v>
      </c>
      <c r="Z52" s="308">
        <f ca="1">IFERROR(__xludf.DUMMYFUNCTION("IMPORTRANGE(""https://docs.google.com/spreadsheets/d/1XL5vhW3sbDhbH9Cz0tuDiY8C3ctxq1tqvaCgkFb8cCA/edit?usp=sharing"",""อุดรธานี!J316"")"),38)</f>
        <v>38</v>
      </c>
      <c r="AA52" s="309">
        <f t="shared" ca="1" si="10"/>
        <v>100</v>
      </c>
      <c r="AB52" s="308">
        <f ca="1">IFERROR(__xludf.DUMMYFUNCTION("IMPORTRANGE(""https://docs.google.com/spreadsheets/d/1XL5vhW3sbDhbH9Cz0tuDiY8C3ctxq1tqvaCgkFb8cCA/edit?usp=sharing"",""อุดรธานี!J318"")"),38)</f>
        <v>38</v>
      </c>
      <c r="AC52" s="308">
        <f ca="1">IFERROR(__xludf.DUMMYFUNCTION("IMPORTRANGE(""https://docs.google.com/spreadsheets/d/1XL5vhW3sbDhbH9Cz0tuDiY8C3ctxq1tqvaCgkFb8cCA/edit?usp=sharing"",""อุดรธานี!J319"")"),38)</f>
        <v>38</v>
      </c>
      <c r="AD52" s="308">
        <f ca="1">IFERROR(__xludf.DUMMYFUNCTION("IMPORTRANGE(""https://docs.google.com/spreadsheets/d/1XL5vhW3sbDhbH9Cz0tuDiY8C3ctxq1tqvaCgkFb8cCA/edit?usp=sharing"",""อุดรธานี!J320"")"),38)</f>
        <v>38</v>
      </c>
      <c r="AE52" s="392">
        <f ca="1">IFERROR(__xludf.DUMMYFUNCTION("IMPORTRANGE(""https://docs.google.com/spreadsheets/d/1C3CXT74ZlgGe6_JY_1olB1XN4rF0dxEuIIF-xsYjHgg/edit?usp=sharing"",""งบกองทุน!AM56"")"),30)</f>
        <v>30</v>
      </c>
      <c r="AF52" s="392">
        <f ca="1">IFERROR(__xludf.DUMMYFUNCTION("IMPORTRANGE(""https://docs.google.com/spreadsheets/d/1C3CXT74ZlgGe6_JY_1olB1XN4rF0dxEuIIF-xsYjHgg/edit?usp=sharing"",""งบกองทุน!AN56"")"),10)</f>
        <v>10</v>
      </c>
      <c r="AG52" s="308">
        <f ca="1">IFERROR(__xludf.DUMMYFUNCTION("IMPORTRANGE(""https://docs.google.com/spreadsheets/d/1XL5vhW3sbDhbH9Cz0tuDiY8C3ctxq1tqvaCgkFb8cCA/edit?usp=sharing"",""อุดรธานี!J322"")"),30)</f>
        <v>30</v>
      </c>
      <c r="AH52" s="309">
        <f t="shared" ca="1" si="12"/>
        <v>100</v>
      </c>
      <c r="AI52" s="308">
        <f ca="1">IFERROR(__xludf.DUMMYFUNCTION("IMPORTRANGE(""https://docs.google.com/spreadsheets/d/1XL5vhW3sbDhbH9Cz0tuDiY8C3ctxq1tqvaCgkFb8cCA/edit?usp=sharing"",""อุดรธานี!J321"")"),10)</f>
        <v>10</v>
      </c>
      <c r="AJ52" s="309">
        <f t="shared" ca="1" si="13"/>
        <v>100</v>
      </c>
      <c r="AK52" s="308">
        <f ca="1">IFERROR(__xludf.DUMMYFUNCTION("IMPORTRANGE(""https://docs.google.com/spreadsheets/d/1XL5vhW3sbDhbH9Cz0tuDiY8C3ctxq1tqvaCgkFb8cCA/edit?usp=sharing"",""อุดรธานี!J323"")"),10)</f>
        <v>10</v>
      </c>
      <c r="AL52" s="308">
        <f ca="1">IFERROR(__xludf.DUMMYFUNCTION("IMPORTRANGE(""https://docs.google.com/spreadsheets/d/1XL5vhW3sbDhbH9Cz0tuDiY8C3ctxq1tqvaCgkFb8cCA/edit?usp=sharing"",""อุดรธานี!J324"")"),10)</f>
        <v>10</v>
      </c>
      <c r="AM52" s="308">
        <f t="shared" ca="1" si="84"/>
        <v>48</v>
      </c>
      <c r="AN52" s="308">
        <f ca="1">IFERROR(__xludf.DUMMYFUNCTION("IMPORTRANGE(""https://docs.google.com/spreadsheets/d/1XL5vhW3sbDhbH9Cz0tuDiY8C3ctxq1tqvaCgkFb8cCA/edit?usp=sharing"",""อุดรธานี!J325"")"),48)</f>
        <v>48</v>
      </c>
      <c r="AO52" s="309">
        <f t="shared" ca="1" si="15"/>
        <v>100</v>
      </c>
      <c r="AP52" s="392">
        <f ca="1">IFERROR(__xludf.DUMMYFUNCTION("IMPORTRANGE(""https://docs.google.com/spreadsheets/d/1C3CXT74ZlgGe6_JY_1olB1XN4rF0dxEuIIF-xsYjHgg/edit?usp=sharing"",""งบกองทุน!AR56"")"),10)</f>
        <v>10</v>
      </c>
      <c r="AQ52" s="308">
        <f ca="1">IFERROR(__xludf.DUMMYFUNCTION("IMPORTRANGE(""https://docs.google.com/spreadsheets/d/1XL5vhW3sbDhbH9Cz0tuDiY8C3ctxq1tqvaCgkFb8cCA/edit?usp=sharing"",""อุดรธานี!J326"")"),10)</f>
        <v>10</v>
      </c>
      <c r="AR52" s="308">
        <f ca="1">IFERROR(__xludf.DUMMYFUNCTION("IMPORTRANGE(""https://docs.google.com/spreadsheets/d/1C3CXT74ZlgGe6_JY_1olB1XN4rF0dxEuIIF-xsYjHgg/edit?usp=sharing"",""งบกองทุน!AS56"")"),38)</f>
        <v>38</v>
      </c>
      <c r="AS52" s="393">
        <f ca="1">IFERROR(__xludf.DUMMYFUNCTION("IMPORTRANGE(""https://docs.google.com/spreadsheets/d/1XL5vhW3sbDhbH9Cz0tuDiY8C3ctxq1tqvaCgkFb8cCA/edit?usp=sharing"",""อุดรธานี!J327"")"),38)</f>
        <v>38</v>
      </c>
    </row>
    <row r="53" spans="1:45" ht="21" customHeight="1">
      <c r="A53" s="310">
        <v>20</v>
      </c>
      <c r="B53" s="311" t="s">
        <v>77</v>
      </c>
      <c r="C53" s="395">
        <f t="shared" ca="1" si="80"/>
        <v>233280</v>
      </c>
      <c r="D53" s="313">
        <f ca="1">IFERROR(__xludf.DUMMYFUNCTION("IMPORTRANGE(""https://docs.google.com/spreadsheets/d/1C3CXT74ZlgGe6_JY_1olB1XN4rF0dxEuIIF-xsYjHgg/edit?usp=sharing"",""งบกองทุน!Z57"")"),0)</f>
        <v>0</v>
      </c>
      <c r="E53" s="313">
        <f ca="1">IFERROR(__xludf.DUMMYFUNCTION("IMPORTRANGE(""https://docs.google.com/spreadsheets/d/1C3CXT74ZlgGe6_JY_1olB1XN4rF0dxEuIIF-xsYjHgg/edit?usp=sharing"",""งบกองทุน!AA57"")"),233280)</f>
        <v>233280</v>
      </c>
      <c r="F53" s="314">
        <f ca="1">IFERROR(__xludf.DUMMYFUNCTION("IMPORTRANGE(""https://docs.google.com/spreadsheets/d/1XL5vhW3sbDhbH9Cz0tuDiY8C3ctxq1tqvaCgkFb8cCA/edit?usp=sharing"",""อุบลราชธานี!M299"")"),179270)</f>
        <v>179270</v>
      </c>
      <c r="G53" s="314">
        <f t="shared" ca="1" si="1"/>
        <v>76.847565157750338</v>
      </c>
      <c r="H53" s="315">
        <f t="shared" ref="H53:I53" ca="1" si="103">+N53+V53+AE53</f>
        <v>213</v>
      </c>
      <c r="I53" s="315">
        <f t="shared" ca="1" si="103"/>
        <v>71</v>
      </c>
      <c r="J53" s="315">
        <f t="shared" ca="1" si="82"/>
        <v>213</v>
      </c>
      <c r="K53" s="316">
        <f t="shared" ca="1" si="3"/>
        <v>100</v>
      </c>
      <c r="L53" s="315">
        <f t="shared" ca="1" si="83"/>
        <v>71</v>
      </c>
      <c r="M53" s="316">
        <f t="shared" ca="1" si="4"/>
        <v>100</v>
      </c>
      <c r="N53" s="396">
        <f ca="1">IFERROR(__xludf.DUMMYFUNCTION("IMPORTRANGE(""https://docs.google.com/spreadsheets/d/1C3CXT74ZlgGe6_JY_1olB1XN4rF0dxEuIIF-xsYjHgg/edit?usp=sharing"",""งบกองทุน!AD57"")"),39)</f>
        <v>39</v>
      </c>
      <c r="O53" s="396">
        <f ca="1">IFERROR(__xludf.DUMMYFUNCTION("IMPORTRANGE(""https://docs.google.com/spreadsheets/d/1C3CXT74ZlgGe6_JY_1olB1XN4rF0dxEuIIF-xsYjHgg/edit?usp=sharing"",""งบกองทุน!AE57"")"),13)</f>
        <v>13</v>
      </c>
      <c r="P53" s="315">
        <f ca="1">IFERROR(__xludf.DUMMYFUNCTION("IMPORTRANGE(""https://docs.google.com/spreadsheets/d/1XL5vhW3sbDhbH9Cz0tuDiY8C3ctxq1tqvaCgkFb8cCA/edit?usp=sharing"",""อุบลราชธานี!J313"")"),39)</f>
        <v>39</v>
      </c>
      <c r="Q53" s="316">
        <f t="shared" ca="1" si="6"/>
        <v>100</v>
      </c>
      <c r="R53" s="315">
        <f ca="1">IFERROR(__xludf.DUMMYFUNCTION("IMPORTRANGE(""https://docs.google.com/spreadsheets/d/1XL5vhW3sbDhbH9Cz0tuDiY8C3ctxq1tqvaCgkFb8cCA/edit?usp=sharing"",""อุบลราชธานี!J312"")"),13)</f>
        <v>13</v>
      </c>
      <c r="S53" s="316">
        <f t="shared" ca="1" si="7"/>
        <v>100</v>
      </c>
      <c r="T53" s="316">
        <f ca="1">IFERROR(__xludf.DUMMYFUNCTION("IMPORTRANGE(""https://docs.google.com/spreadsheets/d/1XL5vhW3sbDhbH9Cz0tuDiY8C3ctxq1tqvaCgkFb8cCA/edit?usp=sharing"",""อุบลราชธานี!J314"")"),13)</f>
        <v>13</v>
      </c>
      <c r="U53" s="316">
        <f ca="1">IFERROR(__xludf.DUMMYFUNCTION("IMPORTRANGE(""https://docs.google.com/spreadsheets/d/1XL5vhW3sbDhbH9Cz0tuDiY8C3ctxq1tqvaCgkFb8cCA/edit?usp=sharing"",""อุบลราชธานี!J315"")"),13)</f>
        <v>13</v>
      </c>
      <c r="V53" s="396">
        <f ca="1">IFERROR(__xludf.DUMMYFUNCTION("IMPORTRANGE(""https://docs.google.com/spreadsheets/d/1C3CXT74ZlgGe6_JY_1olB1XN4rF0dxEuIIF-xsYjHgg/edit?usp=sharing"",""งบกองทุน!AH57"")"),144)</f>
        <v>144</v>
      </c>
      <c r="W53" s="396">
        <f ca="1">IFERROR(__xludf.DUMMYFUNCTION("IMPORTRANGE(""https://docs.google.com/spreadsheets/d/1C3CXT74ZlgGe6_JY_1olB1XN4rF0dxEuIIF-xsYjHgg/edit?usp=sharing"",""งบกองทุน!AI57"")"),48)</f>
        <v>48</v>
      </c>
      <c r="X53" s="315">
        <f ca="1">IFERROR(__xludf.DUMMYFUNCTION("IMPORTRANGE(""https://docs.google.com/spreadsheets/d/1XL5vhW3sbDhbH9Cz0tuDiY8C3ctxq1tqvaCgkFb8cCA/edit?usp=sharing"",""อุบลราชธานี!J317"")"),144)</f>
        <v>144</v>
      </c>
      <c r="Y53" s="316">
        <f t="shared" ca="1" si="9"/>
        <v>100</v>
      </c>
      <c r="Z53" s="315">
        <f ca="1">IFERROR(__xludf.DUMMYFUNCTION("IMPORTRANGE(""https://docs.google.com/spreadsheets/d/1XL5vhW3sbDhbH9Cz0tuDiY8C3ctxq1tqvaCgkFb8cCA/edit?usp=sharing"",""อุบลราชธานี!J316"")"),48)</f>
        <v>48</v>
      </c>
      <c r="AA53" s="316">
        <f t="shared" ca="1" si="10"/>
        <v>100</v>
      </c>
      <c r="AB53" s="315">
        <f ca="1">IFERROR(__xludf.DUMMYFUNCTION("IMPORTRANGE(""https://docs.google.com/spreadsheets/d/1XL5vhW3sbDhbH9Cz0tuDiY8C3ctxq1tqvaCgkFb8cCA/edit?usp=sharing"",""อุบลราชธานี!J318"")"),48)</f>
        <v>48</v>
      </c>
      <c r="AC53" s="315">
        <f ca="1">IFERROR(__xludf.DUMMYFUNCTION("IMPORTRANGE(""https://docs.google.com/spreadsheets/d/1XL5vhW3sbDhbH9Cz0tuDiY8C3ctxq1tqvaCgkFb8cCA/edit?usp=sharing"",""อุบลราชธานี!J319"")"),48)</f>
        <v>48</v>
      </c>
      <c r="AD53" s="315">
        <f ca="1">IFERROR(__xludf.DUMMYFUNCTION("IMPORTRANGE(""https://docs.google.com/spreadsheets/d/1XL5vhW3sbDhbH9Cz0tuDiY8C3ctxq1tqvaCgkFb8cCA/edit?usp=sharing"",""อุบลราชธานี!J320"")"),48)</f>
        <v>48</v>
      </c>
      <c r="AE53" s="396">
        <f ca="1">IFERROR(__xludf.DUMMYFUNCTION("IMPORTRANGE(""https://docs.google.com/spreadsheets/d/1C3CXT74ZlgGe6_JY_1olB1XN4rF0dxEuIIF-xsYjHgg/edit?usp=sharing"",""งบกองทุน!AM57"")"),30)</f>
        <v>30</v>
      </c>
      <c r="AF53" s="396">
        <f ca="1">IFERROR(__xludf.DUMMYFUNCTION("IMPORTRANGE(""https://docs.google.com/spreadsheets/d/1C3CXT74ZlgGe6_JY_1olB1XN4rF0dxEuIIF-xsYjHgg/edit?usp=sharing"",""งบกองทุน!AN57"")"),10)</f>
        <v>10</v>
      </c>
      <c r="AG53" s="315">
        <f ca="1">IFERROR(__xludf.DUMMYFUNCTION("IMPORTRANGE(""https://docs.google.com/spreadsheets/d/1XL5vhW3sbDhbH9Cz0tuDiY8C3ctxq1tqvaCgkFb8cCA/edit?usp=sharing"",""อุบลราชธานี!J322"")"),30)</f>
        <v>30</v>
      </c>
      <c r="AH53" s="316">
        <f t="shared" ca="1" si="12"/>
        <v>100</v>
      </c>
      <c r="AI53" s="315">
        <f ca="1">IFERROR(__xludf.DUMMYFUNCTION("IMPORTRANGE(""https://docs.google.com/spreadsheets/d/1XL5vhW3sbDhbH9Cz0tuDiY8C3ctxq1tqvaCgkFb8cCA/edit?usp=sharing"",""อุบลราชธานี!J321"")"),10)</f>
        <v>10</v>
      </c>
      <c r="AJ53" s="316">
        <f t="shared" ca="1" si="13"/>
        <v>100</v>
      </c>
      <c r="AK53" s="315">
        <f ca="1">IFERROR(__xludf.DUMMYFUNCTION("IMPORTRANGE(""https://docs.google.com/spreadsheets/d/1XL5vhW3sbDhbH9Cz0tuDiY8C3ctxq1tqvaCgkFb8cCA/edit?usp=sharing"",""อุบลราชธานี!J323"")"),10)</f>
        <v>10</v>
      </c>
      <c r="AL53" s="315">
        <f ca="1">IFERROR(__xludf.DUMMYFUNCTION("IMPORTRANGE(""https://docs.google.com/spreadsheets/d/1XL5vhW3sbDhbH9Cz0tuDiY8C3ctxq1tqvaCgkFb8cCA/edit?usp=sharing"",""อุบลราชธานี!J324"")"),10)</f>
        <v>10</v>
      </c>
      <c r="AM53" s="315">
        <f t="shared" ca="1" si="84"/>
        <v>61</v>
      </c>
      <c r="AN53" s="315">
        <f ca="1">IFERROR(__xludf.DUMMYFUNCTION("IMPORTRANGE(""https://docs.google.com/spreadsheets/d/1XL5vhW3sbDhbH9Cz0tuDiY8C3ctxq1tqvaCgkFb8cCA/edit?usp=sharing"",""อุบลราชธานี!J325"")"),61)</f>
        <v>61</v>
      </c>
      <c r="AO53" s="316">
        <f t="shared" ca="1" si="15"/>
        <v>100</v>
      </c>
      <c r="AP53" s="396">
        <f ca="1">IFERROR(__xludf.DUMMYFUNCTION("IMPORTRANGE(""https://docs.google.com/spreadsheets/d/1C3CXT74ZlgGe6_JY_1olB1XN4rF0dxEuIIF-xsYjHgg/edit?usp=sharing"",""งบกองทุน!AR57"")"),13)</f>
        <v>13</v>
      </c>
      <c r="AQ53" s="315">
        <f ca="1">IFERROR(__xludf.DUMMYFUNCTION("IMPORTRANGE(""https://docs.google.com/spreadsheets/d/1XL5vhW3sbDhbH9Cz0tuDiY8C3ctxq1tqvaCgkFb8cCA/edit?usp=sharing"",""อุบลราชธานี!J326"")"),13)</f>
        <v>13</v>
      </c>
      <c r="AR53" s="315">
        <f ca="1">IFERROR(__xludf.DUMMYFUNCTION("IMPORTRANGE(""https://docs.google.com/spreadsheets/d/1C3CXT74ZlgGe6_JY_1olB1XN4rF0dxEuIIF-xsYjHgg/edit?usp=sharing"",""งบกองทุน!AS57"")"),48)</f>
        <v>48</v>
      </c>
      <c r="AS53" s="397">
        <f ca="1">IFERROR(__xludf.DUMMYFUNCTION("IMPORTRANGE(""https://docs.google.com/spreadsheets/d/1XL5vhW3sbDhbH9Cz0tuDiY8C3ctxq1tqvaCgkFb8cCA/edit?usp=sharing"",""อุบลราชธานี!J327"")"),48)</f>
        <v>48</v>
      </c>
    </row>
    <row r="54" spans="1:45" ht="21" customHeight="1">
      <c r="A54" s="801" t="s">
        <v>78</v>
      </c>
      <c r="B54" s="678"/>
      <c r="C54" s="398">
        <f t="shared" ref="C54:F54" ca="1" si="104">SUM(C55:C75)</f>
        <v>3392750</v>
      </c>
      <c r="D54" s="318">
        <f t="shared" ca="1" si="104"/>
        <v>0</v>
      </c>
      <c r="E54" s="318">
        <f t="shared" ca="1" si="104"/>
        <v>3392750</v>
      </c>
      <c r="F54" s="319">
        <f t="shared" ca="1" si="104"/>
        <v>2122002.92</v>
      </c>
      <c r="G54" s="319">
        <f t="shared" ca="1" si="1"/>
        <v>62.545219070075895</v>
      </c>
      <c r="H54" s="318">
        <f t="shared" ref="H54:J54" ca="1" si="105">SUM(H55:H75)</f>
        <v>3015</v>
      </c>
      <c r="I54" s="318">
        <f t="shared" ca="1" si="105"/>
        <v>1005</v>
      </c>
      <c r="J54" s="318">
        <f t="shared" ca="1" si="105"/>
        <v>2091</v>
      </c>
      <c r="K54" s="319">
        <f t="shared" ca="1" si="3"/>
        <v>69.353233830845767</v>
      </c>
      <c r="L54" s="318">
        <f ca="1">SUM(L55:L75)</f>
        <v>887</v>
      </c>
      <c r="M54" s="319">
        <f t="shared" ca="1" si="4"/>
        <v>88.258706467661696</v>
      </c>
      <c r="N54" s="318">
        <f t="shared" ref="N54:P54" ca="1" si="106">SUM(N55:N75)</f>
        <v>714</v>
      </c>
      <c r="O54" s="318">
        <f t="shared" ca="1" si="106"/>
        <v>238</v>
      </c>
      <c r="P54" s="318">
        <f t="shared" ca="1" si="106"/>
        <v>600</v>
      </c>
      <c r="Q54" s="319">
        <f t="shared" ca="1" si="6"/>
        <v>84.033613445378151</v>
      </c>
      <c r="R54" s="318">
        <f ca="1">SUM(R55:R75)</f>
        <v>195</v>
      </c>
      <c r="S54" s="319">
        <f t="shared" ca="1" si="7"/>
        <v>81.932773109243698</v>
      </c>
      <c r="T54" s="319">
        <f t="shared" ref="T54:X54" ca="1" si="107">SUM(T55:T75)</f>
        <v>195</v>
      </c>
      <c r="U54" s="319">
        <f t="shared" ca="1" si="107"/>
        <v>238</v>
      </c>
      <c r="V54" s="399">
        <f t="shared" ca="1" si="107"/>
        <v>1593</v>
      </c>
      <c r="W54" s="399">
        <f t="shared" ca="1" si="107"/>
        <v>531</v>
      </c>
      <c r="X54" s="318">
        <f t="shared" ca="1" si="107"/>
        <v>1005</v>
      </c>
      <c r="Y54" s="319">
        <f t="shared" ca="1" si="9"/>
        <v>63.088512241054616</v>
      </c>
      <c r="Z54" s="318">
        <f ca="1">SUM(Z55:Z75)</f>
        <v>486</v>
      </c>
      <c r="AA54" s="319">
        <f t="shared" ca="1" si="10"/>
        <v>91.525423728813564</v>
      </c>
      <c r="AB54" s="318">
        <f t="shared" ref="AB54:AG54" ca="1" si="108">SUM(AB55:AB75)</f>
        <v>531</v>
      </c>
      <c r="AC54" s="318">
        <f t="shared" ca="1" si="108"/>
        <v>486</v>
      </c>
      <c r="AD54" s="318">
        <f t="shared" ca="1" si="108"/>
        <v>486</v>
      </c>
      <c r="AE54" s="318">
        <f t="shared" ca="1" si="108"/>
        <v>708</v>
      </c>
      <c r="AF54" s="318">
        <f t="shared" ca="1" si="108"/>
        <v>236</v>
      </c>
      <c r="AG54" s="318">
        <f t="shared" ca="1" si="108"/>
        <v>486</v>
      </c>
      <c r="AH54" s="319">
        <f t="shared" ca="1" si="12"/>
        <v>68.644067796610173</v>
      </c>
      <c r="AI54" s="318">
        <f ca="1">SUM(AI55:AI75)</f>
        <v>206</v>
      </c>
      <c r="AJ54" s="319">
        <f t="shared" ca="1" si="13"/>
        <v>87.288135593220332</v>
      </c>
      <c r="AK54" s="318">
        <f t="shared" ref="AK54:AN54" ca="1" si="109">SUM(AK55:AK75)</f>
        <v>226</v>
      </c>
      <c r="AL54" s="318">
        <f t="shared" ca="1" si="109"/>
        <v>206</v>
      </c>
      <c r="AM54" s="318">
        <f t="shared" ca="1" si="109"/>
        <v>769</v>
      </c>
      <c r="AN54" s="318">
        <f t="shared" ca="1" si="109"/>
        <v>180</v>
      </c>
      <c r="AO54" s="319">
        <f t="shared" ca="1" si="15"/>
        <v>23.407022106631988</v>
      </c>
      <c r="AP54" s="318">
        <f t="shared" ref="AP54:AS54" ca="1" si="110">SUM(AP55:AP75)</f>
        <v>238</v>
      </c>
      <c r="AQ54" s="318">
        <f t="shared" ca="1" si="110"/>
        <v>70</v>
      </c>
      <c r="AR54" s="318">
        <f t="shared" ca="1" si="110"/>
        <v>531</v>
      </c>
      <c r="AS54" s="318">
        <f t="shared" ca="1" si="110"/>
        <v>165</v>
      </c>
    </row>
    <row r="55" spans="1:45" ht="21" customHeight="1">
      <c r="A55" s="293">
        <v>1</v>
      </c>
      <c r="B55" s="357" t="s">
        <v>79</v>
      </c>
      <c r="C55" s="388">
        <f t="shared" ref="C55:C75" ca="1" si="111">+D55+E55</f>
        <v>169190</v>
      </c>
      <c r="D55" s="296">
        <f ca="1">IFERROR(__xludf.DUMMYFUNCTION("IMPORTRANGE(""https://docs.google.com/spreadsheets/d/1C3CXT74ZlgGe6_JY_1olB1XN4rF0dxEuIIF-xsYjHgg/edit?usp=sharing"",""งบกองทุน!Z59"")"),0)</f>
        <v>0</v>
      </c>
      <c r="E55" s="296">
        <f ca="1">IFERROR(__xludf.DUMMYFUNCTION("IMPORTRANGE(""https://docs.google.com/spreadsheets/d/1C3CXT74ZlgGe6_JY_1olB1XN4rF0dxEuIIF-xsYjHgg/edit?usp=sharing"",""งบกองทุน!AA59"")"),169190)</f>
        <v>169190</v>
      </c>
      <c r="F55" s="297">
        <f ca="1">IFERROR(__xludf.DUMMYFUNCTION("IMPORTRANGE(""https://docs.google.com/spreadsheets/d/1SX6NBoVAgQJ6U1MVXOaj8PK2l7WJ3RER9xtqwdhxkhw/edit?usp=sharing"",""กาญจนบุรี!M299"")"),12460.32)</f>
        <v>12460.32</v>
      </c>
      <c r="G55" s="297">
        <f t="shared" ca="1" si="1"/>
        <v>7.3646905845499147</v>
      </c>
      <c r="H55" s="299">
        <f t="shared" ref="H55:I55" ca="1" si="112">+N55+V55+AE55</f>
        <v>144</v>
      </c>
      <c r="I55" s="299">
        <f t="shared" ca="1" si="112"/>
        <v>48</v>
      </c>
      <c r="J55" s="299">
        <f t="shared" ref="J55:J75" ca="1" si="113">P55+X55+AG55</f>
        <v>0</v>
      </c>
      <c r="K55" s="301">
        <f t="shared" ca="1" si="3"/>
        <v>0</v>
      </c>
      <c r="L55" s="299">
        <f t="shared" ref="L55:L75" ca="1" si="114">R55+Z55+AI55</f>
        <v>0</v>
      </c>
      <c r="M55" s="301">
        <f t="shared" ca="1" si="4"/>
        <v>0</v>
      </c>
      <c r="N55" s="389">
        <f ca="1">IFERROR(__xludf.DUMMYFUNCTION("IMPORTRANGE(""https://docs.google.com/spreadsheets/d/1C3CXT74ZlgGe6_JY_1olB1XN4rF0dxEuIIF-xsYjHgg/edit?usp=sharing"",""งบกองทุน!AD59"")"),39)</f>
        <v>39</v>
      </c>
      <c r="O55" s="389">
        <f ca="1">IFERROR(__xludf.DUMMYFUNCTION("IMPORTRANGE(""https://docs.google.com/spreadsheets/d/1C3CXT74ZlgGe6_JY_1olB1XN4rF0dxEuIIF-xsYjHgg/edit?usp=sharing"",""งบกองทุน!AE59"")"),13)</f>
        <v>13</v>
      </c>
      <c r="P55" s="299">
        <f ca="1">IFERROR(__xludf.DUMMYFUNCTION("IMPORTRANGE(""https://docs.google.com/spreadsheets/d/1SX6NBoVAgQJ6U1MVXOaj8PK2l7WJ3RER9xtqwdhxkhw/edit?usp=sharing"",""กาญจนบุรี!J313"")"),0)</f>
        <v>0</v>
      </c>
      <c r="Q55" s="301">
        <f t="shared" ca="1" si="6"/>
        <v>0</v>
      </c>
      <c r="R55" s="299">
        <f ca="1">IFERROR(__xludf.DUMMYFUNCTION("IMPORTRANGE(""https://docs.google.com/spreadsheets/d/1SX6NBoVAgQJ6U1MVXOaj8PK2l7WJ3RER9xtqwdhxkhw/edit?usp=sharing"",""กาญจนบุรี!J312"")"),0)</f>
        <v>0</v>
      </c>
      <c r="S55" s="301">
        <f t="shared" ca="1" si="7"/>
        <v>0</v>
      </c>
      <c r="T55" s="301">
        <f ca="1">IFERROR(__xludf.DUMMYFUNCTION("IMPORTRANGE(""https://docs.google.com/spreadsheets/d/1SX6NBoVAgQJ6U1MVXOaj8PK2l7WJ3RER9xtqwdhxkhw/edit?usp=sharing"",""กาญจนบุรี!J314"")"),0)</f>
        <v>0</v>
      </c>
      <c r="U55" s="301">
        <f ca="1">IFERROR(__xludf.DUMMYFUNCTION("IMPORTRANGE(""https://docs.google.com/spreadsheets/d/1SX6NBoVAgQJ6U1MVXOaj8PK2l7WJ3RER9xtqwdhxkhw/edit?usp=sharing"",""กาญจนบุรี!J315"")"),13)</f>
        <v>13</v>
      </c>
      <c r="V55" s="389">
        <f ca="1">IFERROR(__xludf.DUMMYFUNCTION("IMPORTRANGE(""https://docs.google.com/spreadsheets/d/1C3CXT74ZlgGe6_JY_1olB1XN4rF0dxEuIIF-xsYjHgg/edit?usp=sharing"",""งบกองทุน!AH59"")"),75)</f>
        <v>75</v>
      </c>
      <c r="W55" s="389">
        <f ca="1">IFERROR(__xludf.DUMMYFUNCTION("IMPORTRANGE(""https://docs.google.com/spreadsheets/d/1C3CXT74ZlgGe6_JY_1olB1XN4rF0dxEuIIF-xsYjHgg/edit?usp=sharing"",""งบกองทุน!AI59"")"),25)</f>
        <v>25</v>
      </c>
      <c r="X55" s="299">
        <f ca="1">IFERROR(__xludf.DUMMYFUNCTION("IMPORTRANGE(""https://docs.google.com/spreadsheets/d/1SX6NBoVAgQJ6U1MVXOaj8PK2l7WJ3RER9xtqwdhxkhw/edit?usp=sharing"",""กาญจนบุรี!J317"")"),0)</f>
        <v>0</v>
      </c>
      <c r="Y55" s="301">
        <f t="shared" ca="1" si="9"/>
        <v>0</v>
      </c>
      <c r="Z55" s="299">
        <f ca="1">IFERROR(__xludf.DUMMYFUNCTION("IMPORTRANGE(""https://docs.google.com/spreadsheets/d/1SX6NBoVAgQJ6U1MVXOaj8PK2l7WJ3RER9xtqwdhxkhw/edit?usp=sharing"",""กาญจนบุรี!J316"")"),0)</f>
        <v>0</v>
      </c>
      <c r="AA55" s="301">
        <f t="shared" ca="1" si="10"/>
        <v>0</v>
      </c>
      <c r="AB55" s="299">
        <f ca="1">IFERROR(__xludf.DUMMYFUNCTION("IMPORTRANGE(""https://docs.google.com/spreadsheets/d/1SX6NBoVAgQJ6U1MVXOaj8PK2l7WJ3RER9xtqwdhxkhw/edit?usp=sharing"",""กาญจนบุรี!J318"")"),25)</f>
        <v>25</v>
      </c>
      <c r="AC55" s="299">
        <f ca="1">IFERROR(__xludf.DUMMYFUNCTION("IMPORTRANGE(""https://docs.google.com/spreadsheets/d/1SX6NBoVAgQJ6U1MVXOaj8PK2l7WJ3RER9xtqwdhxkhw/edit?usp=sharing"",""กาญจนบุรี!J319"")"),0)</f>
        <v>0</v>
      </c>
      <c r="AD55" s="299">
        <f ca="1">IFERROR(__xludf.DUMMYFUNCTION("IMPORTRANGE(""https://docs.google.com/spreadsheets/d/1SX6NBoVAgQJ6U1MVXOaj8PK2l7WJ3RER9xtqwdhxkhw/edit?usp=sharing"",""กาญจนบุรี!J320"")"),0)</f>
        <v>0</v>
      </c>
      <c r="AE55" s="389">
        <f ca="1">IFERROR(__xludf.DUMMYFUNCTION("IMPORTRANGE(""https://docs.google.com/spreadsheets/d/1C3CXT74ZlgGe6_JY_1olB1XN4rF0dxEuIIF-xsYjHgg/edit?usp=sharing"",""งบกองทุน!AM59"")"),30)</f>
        <v>30</v>
      </c>
      <c r="AF55" s="389">
        <f ca="1">IFERROR(__xludf.DUMMYFUNCTION("IMPORTRANGE(""https://docs.google.com/spreadsheets/d/1C3CXT74ZlgGe6_JY_1olB1XN4rF0dxEuIIF-xsYjHgg/edit?usp=sharing"",""งบกองทุน!AN59"")"),10)</f>
        <v>10</v>
      </c>
      <c r="AG55" s="299">
        <f ca="1">IFERROR(__xludf.DUMMYFUNCTION("IMPORTRANGE(""https://docs.google.com/spreadsheets/d/1SX6NBoVAgQJ6U1MVXOaj8PK2l7WJ3RER9xtqwdhxkhw/edit?usp=sharing"",""กาญจนบุรี!J322"")"),0)</f>
        <v>0</v>
      </c>
      <c r="AH55" s="301">
        <f t="shared" ca="1" si="12"/>
        <v>0</v>
      </c>
      <c r="AI55" s="299">
        <f ca="1">IFERROR(__xludf.DUMMYFUNCTION("IMPORTRANGE(""https://docs.google.com/spreadsheets/d/1SX6NBoVAgQJ6U1MVXOaj8PK2l7WJ3RER9xtqwdhxkhw/edit?usp=sharing"",""กาญจนบุรี!J321"")"),0)</f>
        <v>0</v>
      </c>
      <c r="AJ55" s="301">
        <f t="shared" ca="1" si="13"/>
        <v>0</v>
      </c>
      <c r="AK55" s="299">
        <f ca="1">IFERROR(__xludf.DUMMYFUNCTION("IMPORTRANGE(""https://docs.google.com/spreadsheets/d/1SX6NBoVAgQJ6U1MVXOaj8PK2l7WJ3RER9xtqwdhxkhw/edit?usp=sharing"",""กาญจนบุรี!J323"")"),10)</f>
        <v>10</v>
      </c>
      <c r="AL55" s="299">
        <f ca="1">IFERROR(__xludf.DUMMYFUNCTION("IMPORTRANGE(""https://docs.google.com/spreadsheets/d/1SX6NBoVAgQJ6U1MVXOaj8PK2l7WJ3RER9xtqwdhxkhw/edit?usp=sharing"",""กาญจนบุรี!J324"")"),0)</f>
        <v>0</v>
      </c>
      <c r="AM55" s="299">
        <f t="shared" ref="AM55:AM75" ca="1" si="115">+AP55+AR55</f>
        <v>38</v>
      </c>
      <c r="AN55" s="299">
        <f ca="1">IFERROR(__xludf.DUMMYFUNCTION("IMPORTRANGE(""https://docs.google.com/spreadsheets/d/1SX6NBoVAgQJ6U1MVXOaj8PK2l7WJ3RER9xtqwdhxkhw/edit?usp=sharing"",""กาญจนบุรี!J325"")"),0)</f>
        <v>0</v>
      </c>
      <c r="AO55" s="301">
        <f t="shared" ca="1" si="15"/>
        <v>0</v>
      </c>
      <c r="AP55" s="389">
        <f ca="1">IFERROR(__xludf.DUMMYFUNCTION("IMPORTRANGE(""https://docs.google.com/spreadsheets/d/1C3CXT74ZlgGe6_JY_1olB1XN4rF0dxEuIIF-xsYjHgg/edit?usp=sharing"",""งบกองทุน!AR59"")"),13)</f>
        <v>13</v>
      </c>
      <c r="AQ55" s="299">
        <f ca="1">IFERROR(__xludf.DUMMYFUNCTION("IMPORTRANGE(""https://docs.google.com/spreadsheets/d/1SX6NBoVAgQJ6U1MVXOaj8PK2l7WJ3RER9xtqwdhxkhw/edit?usp=sharing"",""กาญจนบุรี!J326"")"),0)</f>
        <v>0</v>
      </c>
      <c r="AR55" s="299">
        <f ca="1">IFERROR(__xludf.DUMMYFUNCTION("IMPORTRANGE(""https://docs.google.com/spreadsheets/d/1C3CXT74ZlgGe6_JY_1olB1XN4rF0dxEuIIF-xsYjHgg/edit?usp=sharing"",""งบกองทุน!AS59"")"),25)</f>
        <v>25</v>
      </c>
      <c r="AS55" s="390">
        <f ca="1">IFERROR(__xludf.DUMMYFUNCTION("IMPORTRANGE(""https://docs.google.com/spreadsheets/d/1SX6NBoVAgQJ6U1MVXOaj8PK2l7WJ3RER9xtqwdhxkhw/edit?usp=sharing"",""กาญจนบุรี!J327"")"),0)</f>
        <v>0</v>
      </c>
    </row>
    <row r="56" spans="1:45" ht="21" customHeight="1">
      <c r="A56" s="303">
        <v>2</v>
      </c>
      <c r="B56" s="304" t="s">
        <v>80</v>
      </c>
      <c r="C56" s="391">
        <f t="shared" ca="1" si="111"/>
        <v>144560</v>
      </c>
      <c r="D56" s="306">
        <f ca="1">IFERROR(__xludf.DUMMYFUNCTION("IMPORTRANGE(""https://docs.google.com/spreadsheets/d/1C3CXT74ZlgGe6_JY_1olB1XN4rF0dxEuIIF-xsYjHgg/edit?usp=sharing"",""งบกองทุน!Z60"")"),0)</f>
        <v>0</v>
      </c>
      <c r="E56" s="306">
        <f ca="1">IFERROR(__xludf.DUMMYFUNCTION("IMPORTRANGE(""https://docs.google.com/spreadsheets/d/1C3CXT74ZlgGe6_JY_1olB1XN4rF0dxEuIIF-xsYjHgg/edit?usp=sharing"",""งบกองทุน!AA60"")"),144560)</f>
        <v>144560</v>
      </c>
      <c r="F56" s="307">
        <f ca="1">IFERROR(__xludf.DUMMYFUNCTION("IMPORTRANGE(""https://docs.google.com/spreadsheets/d/1SX6NBoVAgQJ6U1MVXOaj8PK2l7WJ3RER9xtqwdhxkhw/edit?usp=sharing"",""จันทบุรี!M299"")"),17120)</f>
        <v>17120</v>
      </c>
      <c r="G56" s="307">
        <f t="shared" ca="1" si="1"/>
        <v>11.842833425567239</v>
      </c>
      <c r="H56" s="308">
        <f t="shared" ref="H56:I56" ca="1" si="116">+N56+V56+AE56</f>
        <v>120</v>
      </c>
      <c r="I56" s="308">
        <f t="shared" ca="1" si="116"/>
        <v>40</v>
      </c>
      <c r="J56" s="308">
        <f t="shared" ca="1" si="113"/>
        <v>120</v>
      </c>
      <c r="K56" s="309">
        <f t="shared" ca="1" si="3"/>
        <v>100</v>
      </c>
      <c r="L56" s="308">
        <f t="shared" ca="1" si="114"/>
        <v>40</v>
      </c>
      <c r="M56" s="309">
        <f t="shared" ca="1" si="4"/>
        <v>100</v>
      </c>
      <c r="N56" s="392">
        <f ca="1">IFERROR(__xludf.DUMMYFUNCTION("IMPORTRANGE(""https://docs.google.com/spreadsheets/d/1C3CXT74ZlgGe6_JY_1olB1XN4rF0dxEuIIF-xsYjHgg/edit?usp=sharing"",""งบกองทุน!AD60"")"),30)</f>
        <v>30</v>
      </c>
      <c r="O56" s="392">
        <f ca="1">IFERROR(__xludf.DUMMYFUNCTION("IMPORTRANGE(""https://docs.google.com/spreadsheets/d/1C3CXT74ZlgGe6_JY_1olB1XN4rF0dxEuIIF-xsYjHgg/edit?usp=sharing"",""งบกองทุน!AE60"")"),10)</f>
        <v>10</v>
      </c>
      <c r="P56" s="308">
        <f ca="1">IFERROR(__xludf.DUMMYFUNCTION("IMPORTRANGE(""https://docs.google.com/spreadsheets/d/1SX6NBoVAgQJ6U1MVXOaj8PK2l7WJ3RER9xtqwdhxkhw/edit?usp=sharing"",""จันทบุรี!J313"")"),30)</f>
        <v>30</v>
      </c>
      <c r="Q56" s="309">
        <f t="shared" ca="1" si="6"/>
        <v>100</v>
      </c>
      <c r="R56" s="308">
        <f ca="1">IFERROR(__xludf.DUMMYFUNCTION("IMPORTRANGE(""https://docs.google.com/spreadsheets/d/1SX6NBoVAgQJ6U1MVXOaj8PK2l7WJ3RER9xtqwdhxkhw/edit?usp=sharing"",""จันทบุรี!J312"")"),10)</f>
        <v>10</v>
      </c>
      <c r="S56" s="309">
        <f t="shared" ca="1" si="7"/>
        <v>100</v>
      </c>
      <c r="T56" s="309">
        <f ca="1">IFERROR(__xludf.DUMMYFUNCTION("IMPORTRANGE(""https://docs.google.com/spreadsheets/d/1SX6NBoVAgQJ6U1MVXOaj8PK2l7WJ3RER9xtqwdhxkhw/edit?usp=sharing"",""จันทบุรี!J314"")"),10)</f>
        <v>10</v>
      </c>
      <c r="U56" s="309">
        <f ca="1">IFERROR(__xludf.DUMMYFUNCTION("IMPORTRANGE(""https://docs.google.com/spreadsheets/d/1SX6NBoVAgQJ6U1MVXOaj8PK2l7WJ3RER9xtqwdhxkhw/edit?usp=sharing"",""จันทบุรี!J315"")"),10)</f>
        <v>10</v>
      </c>
      <c r="V56" s="392">
        <f ca="1">IFERROR(__xludf.DUMMYFUNCTION("IMPORTRANGE(""https://docs.google.com/spreadsheets/d/1C3CXT74ZlgGe6_JY_1olB1XN4rF0dxEuIIF-xsYjHgg/edit?usp=sharing"",""งบกองทุน!AH60"")"),60)</f>
        <v>60</v>
      </c>
      <c r="W56" s="392">
        <f ca="1">IFERROR(__xludf.DUMMYFUNCTION("IMPORTRANGE(""https://docs.google.com/spreadsheets/d/1C3CXT74ZlgGe6_JY_1olB1XN4rF0dxEuIIF-xsYjHgg/edit?usp=sharing"",""งบกองทุน!AI60"")"),20)</f>
        <v>20</v>
      </c>
      <c r="X56" s="308">
        <f ca="1">IFERROR(__xludf.DUMMYFUNCTION("IMPORTRANGE(""https://docs.google.com/spreadsheets/d/1SX6NBoVAgQJ6U1MVXOaj8PK2l7WJ3RER9xtqwdhxkhw/edit?usp=sharing"",""จันทบุรี!J317"")"),60)</f>
        <v>60</v>
      </c>
      <c r="Y56" s="309">
        <f t="shared" ca="1" si="9"/>
        <v>100</v>
      </c>
      <c r="Z56" s="308">
        <f ca="1">IFERROR(__xludf.DUMMYFUNCTION("IMPORTRANGE(""https://docs.google.com/spreadsheets/d/1SX6NBoVAgQJ6U1MVXOaj8PK2l7WJ3RER9xtqwdhxkhw/edit?usp=sharing"",""จันทบุรี!J316"")"),20)</f>
        <v>20</v>
      </c>
      <c r="AA56" s="309">
        <f t="shared" ca="1" si="10"/>
        <v>100</v>
      </c>
      <c r="AB56" s="308">
        <f ca="1">IFERROR(__xludf.DUMMYFUNCTION("IMPORTRANGE(""https://docs.google.com/spreadsheets/d/1SX6NBoVAgQJ6U1MVXOaj8PK2l7WJ3RER9xtqwdhxkhw/edit?usp=sharing"",""จันทบุรี!J318"")"),20)</f>
        <v>20</v>
      </c>
      <c r="AC56" s="308">
        <f ca="1">IFERROR(__xludf.DUMMYFUNCTION("IMPORTRANGE(""https://docs.google.com/spreadsheets/d/1SX6NBoVAgQJ6U1MVXOaj8PK2l7WJ3RER9xtqwdhxkhw/edit?usp=sharing"",""จันทบุรี!J319"")"),20)</f>
        <v>20</v>
      </c>
      <c r="AD56" s="308">
        <f ca="1">IFERROR(__xludf.DUMMYFUNCTION("IMPORTRANGE(""https://docs.google.com/spreadsheets/d/1SX6NBoVAgQJ6U1MVXOaj8PK2l7WJ3RER9xtqwdhxkhw/edit?usp=sharing"",""จันทบุรี!J320"")"),20)</f>
        <v>20</v>
      </c>
      <c r="AE56" s="392">
        <f ca="1">IFERROR(__xludf.DUMMYFUNCTION("IMPORTRANGE(""https://docs.google.com/spreadsheets/d/1C3CXT74ZlgGe6_JY_1olB1XN4rF0dxEuIIF-xsYjHgg/edit?usp=sharing"",""งบกองทุน!AM60"")"),30)</f>
        <v>30</v>
      </c>
      <c r="AF56" s="392">
        <f ca="1">IFERROR(__xludf.DUMMYFUNCTION("IMPORTRANGE(""https://docs.google.com/spreadsheets/d/1C3CXT74ZlgGe6_JY_1olB1XN4rF0dxEuIIF-xsYjHgg/edit?usp=sharing"",""งบกองทุน!AN60"")"),10)</f>
        <v>10</v>
      </c>
      <c r="AG56" s="308">
        <f ca="1">IFERROR(__xludf.DUMMYFUNCTION("IMPORTRANGE(""https://docs.google.com/spreadsheets/d/1SX6NBoVAgQJ6U1MVXOaj8PK2l7WJ3RER9xtqwdhxkhw/edit?usp=sharing"",""จันทบุรี!J322"")"),30)</f>
        <v>30</v>
      </c>
      <c r="AH56" s="309">
        <f t="shared" ca="1" si="12"/>
        <v>100</v>
      </c>
      <c r="AI56" s="308">
        <f ca="1">IFERROR(__xludf.DUMMYFUNCTION("IMPORTRANGE(""https://docs.google.com/spreadsheets/d/1SX6NBoVAgQJ6U1MVXOaj8PK2l7WJ3RER9xtqwdhxkhw/edit?usp=sharing"",""จันทบุรี!J321"")"),10)</f>
        <v>10</v>
      </c>
      <c r="AJ56" s="309">
        <f t="shared" ca="1" si="13"/>
        <v>100</v>
      </c>
      <c r="AK56" s="308">
        <f ca="1">IFERROR(__xludf.DUMMYFUNCTION("IMPORTRANGE(""https://docs.google.com/spreadsheets/d/1SX6NBoVAgQJ6U1MVXOaj8PK2l7WJ3RER9xtqwdhxkhw/edit?usp=sharing"",""จันทบุรี!J323"")"),10)</f>
        <v>10</v>
      </c>
      <c r="AL56" s="308">
        <f ca="1">IFERROR(__xludf.DUMMYFUNCTION("IMPORTRANGE(""https://docs.google.com/spreadsheets/d/1SX6NBoVAgQJ6U1MVXOaj8PK2l7WJ3RER9xtqwdhxkhw/edit?usp=sharing"",""จันทบุรี!J324"")"),10)</f>
        <v>10</v>
      </c>
      <c r="AM56" s="308">
        <f t="shared" ca="1" si="115"/>
        <v>30</v>
      </c>
      <c r="AN56" s="308">
        <f ca="1">IFERROR(__xludf.DUMMYFUNCTION("IMPORTRANGE(""https://docs.google.com/spreadsheets/d/1SX6NBoVAgQJ6U1MVXOaj8PK2l7WJ3RER9xtqwdhxkhw/edit?usp=sharing"",""จันทบุรี!J325"")"),0)</f>
        <v>0</v>
      </c>
      <c r="AO56" s="309">
        <f t="shared" ca="1" si="15"/>
        <v>0</v>
      </c>
      <c r="AP56" s="392">
        <f ca="1">IFERROR(__xludf.DUMMYFUNCTION("IMPORTRANGE(""https://docs.google.com/spreadsheets/d/1C3CXT74ZlgGe6_JY_1olB1XN4rF0dxEuIIF-xsYjHgg/edit?usp=sharing"",""งบกองทุน!AR60"")"),10)</f>
        <v>10</v>
      </c>
      <c r="AQ56" s="308">
        <f ca="1">IFERROR(__xludf.DUMMYFUNCTION("IMPORTRANGE(""https://docs.google.com/spreadsheets/d/1SX6NBoVAgQJ6U1MVXOaj8PK2l7WJ3RER9xtqwdhxkhw/edit?usp=sharing"",""จันทบุรี!J326"")"),0)</f>
        <v>0</v>
      </c>
      <c r="AR56" s="308">
        <f ca="1">IFERROR(__xludf.DUMMYFUNCTION("IMPORTRANGE(""https://docs.google.com/spreadsheets/d/1C3CXT74ZlgGe6_JY_1olB1XN4rF0dxEuIIF-xsYjHgg/edit?usp=sharing"",""งบกองทุน!AS60"")"),20)</f>
        <v>20</v>
      </c>
      <c r="AS56" s="393">
        <f ca="1">IFERROR(__xludf.DUMMYFUNCTION("IMPORTRANGE(""https://docs.google.com/spreadsheets/d/1SX6NBoVAgQJ6U1MVXOaj8PK2l7WJ3RER9xtqwdhxkhw/edit?usp=sharing"",""จันทบุรี!J327"")"),0)</f>
        <v>0</v>
      </c>
    </row>
    <row r="57" spans="1:45" ht="21" customHeight="1">
      <c r="A57" s="303">
        <v>3</v>
      </c>
      <c r="B57" s="304" t="s">
        <v>81</v>
      </c>
      <c r="C57" s="391">
        <f t="shared" ca="1" si="111"/>
        <v>267520</v>
      </c>
      <c r="D57" s="306">
        <f ca="1">IFERROR(__xludf.DUMMYFUNCTION("IMPORTRANGE(""https://docs.google.com/spreadsheets/d/1C3CXT74ZlgGe6_JY_1olB1XN4rF0dxEuIIF-xsYjHgg/edit?usp=sharing"",""งบกองทุน!Z61"")"),0)</f>
        <v>0</v>
      </c>
      <c r="E57" s="306">
        <f ca="1">IFERROR(__xludf.DUMMYFUNCTION("IMPORTRANGE(""https://docs.google.com/spreadsheets/d/1C3CXT74ZlgGe6_JY_1olB1XN4rF0dxEuIIF-xsYjHgg/edit?usp=sharing"",""งบกองทุน!AA61"")"),267520)</f>
        <v>267520</v>
      </c>
      <c r="F57" s="307">
        <f ca="1">IFERROR(__xludf.DUMMYFUNCTION("IMPORTRANGE(""https://docs.google.com/spreadsheets/d/1SX6NBoVAgQJ6U1MVXOaj8PK2l7WJ3RER9xtqwdhxkhw/edit?usp=sharing"",""ฉะเชิงเทรา!M299"")"),244480)</f>
        <v>244480</v>
      </c>
      <c r="G57" s="307">
        <f t="shared" ca="1" si="1"/>
        <v>91.387559808612437</v>
      </c>
      <c r="H57" s="308">
        <f t="shared" ref="H57:I57" ca="1" si="117">+N57+V57+AE57</f>
        <v>240</v>
      </c>
      <c r="I57" s="308">
        <f t="shared" ca="1" si="117"/>
        <v>80</v>
      </c>
      <c r="J57" s="308">
        <f t="shared" ca="1" si="113"/>
        <v>240</v>
      </c>
      <c r="K57" s="309">
        <f t="shared" ca="1" si="3"/>
        <v>100</v>
      </c>
      <c r="L57" s="308">
        <f t="shared" ca="1" si="114"/>
        <v>80</v>
      </c>
      <c r="M57" s="309">
        <f t="shared" ca="1" si="4"/>
        <v>100</v>
      </c>
      <c r="N57" s="392">
        <f ca="1">IFERROR(__xludf.DUMMYFUNCTION("IMPORTRANGE(""https://docs.google.com/spreadsheets/d/1C3CXT74ZlgGe6_JY_1olB1XN4rF0dxEuIIF-xsYjHgg/edit?usp=sharing"",""งบกองทุน!AD61"")"),90)</f>
        <v>90</v>
      </c>
      <c r="O57" s="392">
        <f ca="1">IFERROR(__xludf.DUMMYFUNCTION("IMPORTRANGE(""https://docs.google.com/spreadsheets/d/1C3CXT74ZlgGe6_JY_1olB1XN4rF0dxEuIIF-xsYjHgg/edit?usp=sharing"",""งบกองทุน!AE61"")"),30)</f>
        <v>30</v>
      </c>
      <c r="P57" s="308">
        <f ca="1">IFERROR(__xludf.DUMMYFUNCTION("IMPORTRANGE(""https://docs.google.com/spreadsheets/d/1SX6NBoVAgQJ6U1MVXOaj8PK2l7WJ3RER9xtqwdhxkhw/edit?usp=sharing"",""ฉะเชิงเทรา!J313"")"),90)</f>
        <v>90</v>
      </c>
      <c r="Q57" s="309">
        <f t="shared" ca="1" si="6"/>
        <v>100</v>
      </c>
      <c r="R57" s="308">
        <f ca="1">IFERROR(__xludf.DUMMYFUNCTION("IMPORTRANGE(""https://docs.google.com/spreadsheets/d/1SX6NBoVAgQJ6U1MVXOaj8PK2l7WJ3RER9xtqwdhxkhw/edit?usp=sharing"",""ฉะเชิงเทรา!J312"")"),30)</f>
        <v>30</v>
      </c>
      <c r="S57" s="309">
        <f t="shared" ca="1" si="7"/>
        <v>100</v>
      </c>
      <c r="T57" s="309">
        <f ca="1">IFERROR(__xludf.DUMMYFUNCTION("IMPORTRANGE(""https://docs.google.com/spreadsheets/d/1SX6NBoVAgQJ6U1MVXOaj8PK2l7WJ3RER9xtqwdhxkhw/edit?usp=sharing"",""ฉะเชิงเทรา!J314"")"),30)</f>
        <v>30</v>
      </c>
      <c r="U57" s="309">
        <f ca="1">IFERROR(__xludf.DUMMYFUNCTION("IMPORTRANGE(""https://docs.google.com/spreadsheets/d/1SX6NBoVAgQJ6U1MVXOaj8PK2l7WJ3RER9xtqwdhxkhw/edit?usp=sharing"",""ฉะเชิงเทรา!J315"")"),30)</f>
        <v>30</v>
      </c>
      <c r="V57" s="392">
        <f ca="1">IFERROR(__xludf.DUMMYFUNCTION("IMPORTRANGE(""https://docs.google.com/spreadsheets/d/1C3CXT74ZlgGe6_JY_1olB1XN4rF0dxEuIIF-xsYjHgg/edit?usp=sharing"",""งบกองทุน!AH61"")"),120)</f>
        <v>120</v>
      </c>
      <c r="W57" s="392">
        <f ca="1">IFERROR(__xludf.DUMMYFUNCTION("IMPORTRANGE(""https://docs.google.com/spreadsheets/d/1C3CXT74ZlgGe6_JY_1olB1XN4rF0dxEuIIF-xsYjHgg/edit?usp=sharing"",""งบกองทุน!AI61"")"),40)</f>
        <v>40</v>
      </c>
      <c r="X57" s="308">
        <f ca="1">IFERROR(__xludf.DUMMYFUNCTION("IMPORTRANGE(""https://docs.google.com/spreadsheets/d/1SX6NBoVAgQJ6U1MVXOaj8PK2l7WJ3RER9xtqwdhxkhw/edit?usp=sharing"",""ฉะเชิงเทรา!J317"")"),120)</f>
        <v>120</v>
      </c>
      <c r="Y57" s="309">
        <f t="shared" ca="1" si="9"/>
        <v>100</v>
      </c>
      <c r="Z57" s="308">
        <f ca="1">IFERROR(__xludf.DUMMYFUNCTION("IMPORTRANGE(""https://docs.google.com/spreadsheets/d/1SX6NBoVAgQJ6U1MVXOaj8PK2l7WJ3RER9xtqwdhxkhw/edit?usp=sharing"",""ฉะเชิงเทรา!J316"")"),40)</f>
        <v>40</v>
      </c>
      <c r="AA57" s="309">
        <f t="shared" ca="1" si="10"/>
        <v>100</v>
      </c>
      <c r="AB57" s="308">
        <f ca="1">IFERROR(__xludf.DUMMYFUNCTION("IMPORTRANGE(""https://docs.google.com/spreadsheets/d/1SX6NBoVAgQJ6U1MVXOaj8PK2l7WJ3RER9xtqwdhxkhw/edit?usp=sharing"",""ฉะเชิงเทรา!J318"")"),40)</f>
        <v>40</v>
      </c>
      <c r="AC57" s="308">
        <f ca="1">IFERROR(__xludf.DUMMYFUNCTION("IMPORTRANGE(""https://docs.google.com/spreadsheets/d/1SX6NBoVAgQJ6U1MVXOaj8PK2l7WJ3RER9xtqwdhxkhw/edit?usp=sharing"",""ฉะเชิงเทรา!J319"")"),40)</f>
        <v>40</v>
      </c>
      <c r="AD57" s="308">
        <f ca="1">IFERROR(__xludf.DUMMYFUNCTION("IMPORTRANGE(""https://docs.google.com/spreadsheets/d/1SX6NBoVAgQJ6U1MVXOaj8PK2l7WJ3RER9xtqwdhxkhw/edit?usp=sharing"",""ฉะเชิงเทรา!J320"")"),40)</f>
        <v>40</v>
      </c>
      <c r="AE57" s="392">
        <f ca="1">IFERROR(__xludf.DUMMYFUNCTION("IMPORTRANGE(""https://docs.google.com/spreadsheets/d/1C3CXT74ZlgGe6_JY_1olB1XN4rF0dxEuIIF-xsYjHgg/edit?usp=sharing"",""งบกองทุน!AM61"")"),30)</f>
        <v>30</v>
      </c>
      <c r="AF57" s="392">
        <f ca="1">IFERROR(__xludf.DUMMYFUNCTION("IMPORTRANGE(""https://docs.google.com/spreadsheets/d/1C3CXT74ZlgGe6_JY_1olB1XN4rF0dxEuIIF-xsYjHgg/edit?usp=sharing"",""งบกองทุน!AN61"")"),10)</f>
        <v>10</v>
      </c>
      <c r="AG57" s="308">
        <f ca="1">IFERROR(__xludf.DUMMYFUNCTION("IMPORTRANGE(""https://docs.google.com/spreadsheets/d/1SX6NBoVAgQJ6U1MVXOaj8PK2l7WJ3RER9xtqwdhxkhw/edit?usp=sharing"",""ฉะเชิงเทรา!J322"")"),30)</f>
        <v>30</v>
      </c>
      <c r="AH57" s="309">
        <f t="shared" ca="1" si="12"/>
        <v>100</v>
      </c>
      <c r="AI57" s="308">
        <f ca="1">IFERROR(__xludf.DUMMYFUNCTION("IMPORTRANGE(""https://docs.google.com/spreadsheets/d/1SX6NBoVAgQJ6U1MVXOaj8PK2l7WJ3RER9xtqwdhxkhw/edit?usp=sharing"",""ฉะเชิงเทรา!J321"")"),10)</f>
        <v>10</v>
      </c>
      <c r="AJ57" s="309">
        <f t="shared" ca="1" si="13"/>
        <v>100</v>
      </c>
      <c r="AK57" s="308">
        <f ca="1">IFERROR(__xludf.DUMMYFUNCTION("IMPORTRANGE(""https://docs.google.com/spreadsheets/d/1SX6NBoVAgQJ6U1MVXOaj8PK2l7WJ3RER9xtqwdhxkhw/edit?usp=sharing"",""ฉะเชิงเทรา!J323"")"),10)</f>
        <v>10</v>
      </c>
      <c r="AL57" s="308">
        <f ca="1">IFERROR(__xludf.DUMMYFUNCTION("IMPORTRANGE(""https://docs.google.com/spreadsheets/d/1SX6NBoVAgQJ6U1MVXOaj8PK2l7WJ3RER9xtqwdhxkhw/edit?usp=sharing"",""ฉะเชิงเทรา!J324"")"),10)</f>
        <v>10</v>
      </c>
      <c r="AM57" s="308">
        <f t="shared" ca="1" si="115"/>
        <v>70</v>
      </c>
      <c r="AN57" s="308">
        <f ca="1">IFERROR(__xludf.DUMMYFUNCTION("IMPORTRANGE(""https://docs.google.com/spreadsheets/d/1SX6NBoVAgQJ6U1MVXOaj8PK2l7WJ3RER9xtqwdhxkhw/edit?usp=sharing"",""ฉะเชิงเทรา!J325"")"),70)</f>
        <v>70</v>
      </c>
      <c r="AO57" s="309">
        <f t="shared" ca="1" si="15"/>
        <v>100</v>
      </c>
      <c r="AP57" s="392">
        <f ca="1">IFERROR(__xludf.DUMMYFUNCTION("IMPORTRANGE(""https://docs.google.com/spreadsheets/d/1C3CXT74ZlgGe6_JY_1olB1XN4rF0dxEuIIF-xsYjHgg/edit?usp=sharing"",""งบกองทุน!AR61"")"),30)</f>
        <v>30</v>
      </c>
      <c r="AQ57" s="308">
        <f ca="1">IFERROR(__xludf.DUMMYFUNCTION("IMPORTRANGE(""https://docs.google.com/spreadsheets/d/1SX6NBoVAgQJ6U1MVXOaj8PK2l7WJ3RER9xtqwdhxkhw/edit?usp=sharing"",""ฉะเชิงเทรา!J326"")"),30)</f>
        <v>30</v>
      </c>
      <c r="AR57" s="308">
        <f ca="1">IFERROR(__xludf.DUMMYFUNCTION("IMPORTRANGE(""https://docs.google.com/spreadsheets/d/1C3CXT74ZlgGe6_JY_1olB1XN4rF0dxEuIIF-xsYjHgg/edit?usp=sharing"",""งบกองทุน!AS61"")"),40)</f>
        <v>40</v>
      </c>
      <c r="AS57" s="393">
        <f ca="1">IFERROR(__xludf.DUMMYFUNCTION("IMPORTRANGE(""https://docs.google.com/spreadsheets/d/1SX6NBoVAgQJ6U1MVXOaj8PK2l7WJ3RER9xtqwdhxkhw/edit?usp=sharing"",""ฉะเชิงเทรา!J327"")"),40)</f>
        <v>40</v>
      </c>
    </row>
    <row r="58" spans="1:45" ht="21" customHeight="1">
      <c r="A58" s="303">
        <v>4</v>
      </c>
      <c r="B58" s="304" t="s">
        <v>82</v>
      </c>
      <c r="C58" s="391">
        <f t="shared" ca="1" si="111"/>
        <v>101920</v>
      </c>
      <c r="D58" s="306">
        <f ca="1">IFERROR(__xludf.DUMMYFUNCTION("IMPORTRANGE(""https://docs.google.com/spreadsheets/d/1C3CXT74ZlgGe6_JY_1olB1XN4rF0dxEuIIF-xsYjHgg/edit?usp=sharing"",""งบกองทุน!Z62"")"),0)</f>
        <v>0</v>
      </c>
      <c r="E58" s="306">
        <f ca="1">IFERROR(__xludf.DUMMYFUNCTION("IMPORTRANGE(""https://docs.google.com/spreadsheets/d/1C3CXT74ZlgGe6_JY_1olB1XN4rF0dxEuIIF-xsYjHgg/edit?usp=sharing"",""งบกองทุน!AA62"")"),101920)</f>
        <v>101920</v>
      </c>
      <c r="F58" s="307">
        <f ca="1">IFERROR(__xludf.DUMMYFUNCTION("IMPORTRANGE(""https://docs.google.com/spreadsheets/d/1SX6NBoVAgQJ6U1MVXOaj8PK2l7WJ3RER9xtqwdhxkhw/edit?usp=sharing"",""ชลบุรี!M299"")"),25509)</f>
        <v>25509</v>
      </c>
      <c r="G58" s="307">
        <f t="shared" ca="1" si="1"/>
        <v>25.028453689167975</v>
      </c>
      <c r="H58" s="308">
        <f t="shared" ref="H58:I58" ca="1" si="118">+N58+V58+AE58</f>
        <v>90</v>
      </c>
      <c r="I58" s="308">
        <f t="shared" ca="1" si="118"/>
        <v>30</v>
      </c>
      <c r="J58" s="308">
        <f t="shared" ca="1" si="113"/>
        <v>0</v>
      </c>
      <c r="K58" s="309">
        <f t="shared" ca="1" si="3"/>
        <v>0</v>
      </c>
      <c r="L58" s="308">
        <f t="shared" ca="1" si="114"/>
        <v>30</v>
      </c>
      <c r="M58" s="309">
        <f t="shared" ca="1" si="4"/>
        <v>100</v>
      </c>
      <c r="N58" s="394">
        <f ca="1">IFERROR(__xludf.DUMMYFUNCTION("IMPORTRANGE(""https://docs.google.com/spreadsheets/d/1C3CXT74ZlgGe6_JY_1olB1XN4rF0dxEuIIF-xsYjHgg/edit?usp=sharing"",""งบกองทุน!AD62"")"),0)</f>
        <v>0</v>
      </c>
      <c r="O58" s="394">
        <f ca="1">IFERROR(__xludf.DUMMYFUNCTION("IMPORTRANGE(""https://docs.google.com/spreadsheets/d/1C3CXT74ZlgGe6_JY_1olB1XN4rF0dxEuIIF-xsYjHgg/edit?usp=sharing"",""งบกองทุน!AE62"")"),0)</f>
        <v>0</v>
      </c>
      <c r="P58" s="308">
        <f ca="1">IFERROR(__xludf.DUMMYFUNCTION("IMPORTRANGE(""https://docs.google.com/spreadsheets/d/1SX6NBoVAgQJ6U1MVXOaj8PK2l7WJ3RER9xtqwdhxkhw/edit?usp=sharing"",""ชลบุรี!J313"")"),0)</f>
        <v>0</v>
      </c>
      <c r="Q58" s="309">
        <f t="shared" ca="1" si="6"/>
        <v>0</v>
      </c>
      <c r="R58" s="308">
        <f ca="1">IFERROR(__xludf.DUMMYFUNCTION("IMPORTRANGE(""https://docs.google.com/spreadsheets/d/1SX6NBoVAgQJ6U1MVXOaj8PK2l7WJ3RER9xtqwdhxkhw/edit?usp=sharing"",""ชลบุรี!J312"")"),0)</f>
        <v>0</v>
      </c>
      <c r="S58" s="309">
        <f t="shared" ca="1" si="7"/>
        <v>0</v>
      </c>
      <c r="T58" s="309">
        <f ca="1">IFERROR(__xludf.DUMMYFUNCTION("IMPORTRANGE(""https://docs.google.com/spreadsheets/d/1SX6NBoVAgQJ6U1MVXOaj8PK2l7WJ3RER9xtqwdhxkhw/edit?usp=sharing"",""ชลบุรี!J314"")"),0)</f>
        <v>0</v>
      </c>
      <c r="U58" s="309">
        <f ca="1">IFERROR(__xludf.DUMMYFUNCTION("IMPORTRANGE(""https://docs.google.com/spreadsheets/d/1SX6NBoVAgQJ6U1MVXOaj8PK2l7WJ3RER9xtqwdhxkhw/edit?usp=sharing"",""ชลบุรี!J315"")"),0)</f>
        <v>0</v>
      </c>
      <c r="V58" s="392">
        <f ca="1">IFERROR(__xludf.DUMMYFUNCTION("IMPORTRANGE(""https://docs.google.com/spreadsheets/d/1C3CXT74ZlgGe6_JY_1olB1XN4rF0dxEuIIF-xsYjHgg/edit?usp=sharing"",""งบกองทุน!AH62"")"),60)</f>
        <v>60</v>
      </c>
      <c r="W58" s="392">
        <f ca="1">IFERROR(__xludf.DUMMYFUNCTION("IMPORTRANGE(""https://docs.google.com/spreadsheets/d/1C3CXT74ZlgGe6_JY_1olB1XN4rF0dxEuIIF-xsYjHgg/edit?usp=sharing"",""งบกองทุน!AI62"")"),20)</f>
        <v>20</v>
      </c>
      <c r="X58" s="308">
        <f ca="1">IFERROR(__xludf.DUMMYFUNCTION("IMPORTRANGE(""https://docs.google.com/spreadsheets/d/1SX6NBoVAgQJ6U1MVXOaj8PK2l7WJ3RER9xtqwdhxkhw/edit?usp=sharing"",""ชลบุรี!J317"")"),0)</f>
        <v>0</v>
      </c>
      <c r="Y58" s="309">
        <f t="shared" ca="1" si="9"/>
        <v>0</v>
      </c>
      <c r="Z58" s="308">
        <f ca="1">IFERROR(__xludf.DUMMYFUNCTION("IMPORTRANGE(""https://docs.google.com/spreadsheets/d/1SX6NBoVAgQJ6U1MVXOaj8PK2l7WJ3RER9xtqwdhxkhw/edit?usp=sharing"",""ชลบุรี!J316"")"),20)</f>
        <v>20</v>
      </c>
      <c r="AA58" s="309">
        <f t="shared" ca="1" si="10"/>
        <v>100</v>
      </c>
      <c r="AB58" s="308">
        <f ca="1">IFERROR(__xludf.DUMMYFUNCTION("IMPORTRANGE(""https://docs.google.com/spreadsheets/d/1SX6NBoVAgQJ6U1MVXOaj8PK2l7WJ3RER9xtqwdhxkhw/edit?usp=sharing"",""ชลบุรี!J318"")"),20)</f>
        <v>20</v>
      </c>
      <c r="AC58" s="308">
        <f ca="1">IFERROR(__xludf.DUMMYFUNCTION("IMPORTRANGE(""https://docs.google.com/spreadsheets/d/1SX6NBoVAgQJ6U1MVXOaj8PK2l7WJ3RER9xtqwdhxkhw/edit?usp=sharing"",""ชลบุรี!J319"")"),20)</f>
        <v>20</v>
      </c>
      <c r="AD58" s="308">
        <f ca="1">IFERROR(__xludf.DUMMYFUNCTION("IMPORTRANGE(""https://docs.google.com/spreadsheets/d/1SX6NBoVAgQJ6U1MVXOaj8PK2l7WJ3RER9xtqwdhxkhw/edit?usp=sharing"",""ชลบุรี!J320"")"),20)</f>
        <v>20</v>
      </c>
      <c r="AE58" s="392">
        <f ca="1">IFERROR(__xludf.DUMMYFUNCTION("IMPORTRANGE(""https://docs.google.com/spreadsheets/d/1C3CXT74ZlgGe6_JY_1olB1XN4rF0dxEuIIF-xsYjHgg/edit?usp=sharing"",""งบกองทุน!AM62"")"),30)</f>
        <v>30</v>
      </c>
      <c r="AF58" s="392">
        <f ca="1">IFERROR(__xludf.DUMMYFUNCTION("IMPORTRANGE(""https://docs.google.com/spreadsheets/d/1C3CXT74ZlgGe6_JY_1olB1XN4rF0dxEuIIF-xsYjHgg/edit?usp=sharing"",""งบกองทุน!AN62"")"),10)</f>
        <v>10</v>
      </c>
      <c r="AG58" s="308">
        <f ca="1">IFERROR(__xludf.DUMMYFUNCTION("IMPORTRANGE(""https://docs.google.com/spreadsheets/d/1SX6NBoVAgQJ6U1MVXOaj8PK2l7WJ3RER9xtqwdhxkhw/edit?usp=sharing"",""ชลบุรี!J322"")"),0)</f>
        <v>0</v>
      </c>
      <c r="AH58" s="309">
        <f t="shared" ca="1" si="12"/>
        <v>0</v>
      </c>
      <c r="AI58" s="308">
        <f ca="1">IFERROR(__xludf.DUMMYFUNCTION("IMPORTRANGE(""https://docs.google.com/spreadsheets/d/1SX6NBoVAgQJ6U1MVXOaj8PK2l7WJ3RER9xtqwdhxkhw/edit?usp=sharing"",""ชลบุรี!J321"")"),10)</f>
        <v>10</v>
      </c>
      <c r="AJ58" s="309">
        <f t="shared" ca="1" si="13"/>
        <v>100</v>
      </c>
      <c r="AK58" s="308">
        <f ca="1">IFERROR(__xludf.DUMMYFUNCTION("IMPORTRANGE(""https://docs.google.com/spreadsheets/d/1SX6NBoVAgQJ6U1MVXOaj8PK2l7WJ3RER9xtqwdhxkhw/edit?usp=sharing"",""ชลบุรี!J323"")"),10)</f>
        <v>10</v>
      </c>
      <c r="AL58" s="308">
        <f ca="1">IFERROR(__xludf.DUMMYFUNCTION("IMPORTRANGE(""https://docs.google.com/spreadsheets/d/1SX6NBoVAgQJ6U1MVXOaj8PK2l7WJ3RER9xtqwdhxkhw/edit?usp=sharing"",""ชลบุรี!J324"")"),10)</f>
        <v>10</v>
      </c>
      <c r="AM58" s="308">
        <f t="shared" ca="1" si="115"/>
        <v>20</v>
      </c>
      <c r="AN58" s="308">
        <f ca="1">IFERROR(__xludf.DUMMYFUNCTION("IMPORTRANGE(""https://docs.google.com/spreadsheets/d/1SX6NBoVAgQJ6U1MVXOaj8PK2l7WJ3RER9xtqwdhxkhw/edit?usp=sharing"",""ชลบุรี!J325"")"),0)</f>
        <v>0</v>
      </c>
      <c r="AO58" s="309">
        <f t="shared" ca="1" si="15"/>
        <v>0</v>
      </c>
      <c r="AP58" s="394">
        <f ca="1">IFERROR(__xludf.DUMMYFUNCTION("IMPORTRANGE(""https://docs.google.com/spreadsheets/d/1C3CXT74ZlgGe6_JY_1olB1XN4rF0dxEuIIF-xsYjHgg/edit?usp=sharing"",""งบกองทุน!AR62"")"),0)</f>
        <v>0</v>
      </c>
      <c r="AQ58" s="308">
        <f ca="1">IFERROR(__xludf.DUMMYFUNCTION("IMPORTRANGE(""https://docs.google.com/spreadsheets/d/1SX6NBoVAgQJ6U1MVXOaj8PK2l7WJ3RER9xtqwdhxkhw/edit?usp=sharing"",""ชลบุรี!J326"")"),0)</f>
        <v>0</v>
      </c>
      <c r="AR58" s="308">
        <f ca="1">IFERROR(__xludf.DUMMYFUNCTION("IMPORTRANGE(""https://docs.google.com/spreadsheets/d/1C3CXT74ZlgGe6_JY_1olB1XN4rF0dxEuIIF-xsYjHgg/edit?usp=sharing"",""งบกองทุน!AS62"")"),20)</f>
        <v>20</v>
      </c>
      <c r="AS58" s="393">
        <f ca="1">IFERROR(__xludf.DUMMYFUNCTION("IMPORTRANGE(""https://docs.google.com/spreadsheets/d/1SX6NBoVAgQJ6U1MVXOaj8PK2l7WJ3RER9xtqwdhxkhw/edit?usp=sharing"",""ชลบุรี!J327"")"),0)</f>
        <v>0</v>
      </c>
    </row>
    <row r="59" spans="1:45" ht="21" customHeight="1">
      <c r="A59" s="303">
        <v>5</v>
      </c>
      <c r="B59" s="304" t="s">
        <v>83</v>
      </c>
      <c r="C59" s="391">
        <f t="shared" ca="1" si="111"/>
        <v>226530</v>
      </c>
      <c r="D59" s="306">
        <f ca="1">IFERROR(__xludf.DUMMYFUNCTION("IMPORTRANGE(""https://docs.google.com/spreadsheets/d/1C3CXT74ZlgGe6_JY_1olB1XN4rF0dxEuIIF-xsYjHgg/edit?usp=sharing"",""งบกองทุน!Z63"")"),0)</f>
        <v>0</v>
      </c>
      <c r="E59" s="306">
        <f ca="1">IFERROR(__xludf.DUMMYFUNCTION("IMPORTRANGE(""https://docs.google.com/spreadsheets/d/1C3CXT74ZlgGe6_JY_1olB1XN4rF0dxEuIIF-xsYjHgg/edit?usp=sharing"",""งบกองทุน!AA63"")"),226530)</f>
        <v>226530</v>
      </c>
      <c r="F59" s="307">
        <f ca="1">IFERROR(__xludf.DUMMYFUNCTION("IMPORTRANGE(""https://docs.google.com/spreadsheets/d/1SX6NBoVAgQJ6U1MVXOaj8PK2l7WJ3RER9xtqwdhxkhw/edit?usp=sharing"",""ชัยนาท!M299"")"),208115)</f>
        <v>208115</v>
      </c>
      <c r="G59" s="307">
        <f t="shared" ca="1" si="1"/>
        <v>91.870833885136634</v>
      </c>
      <c r="H59" s="308">
        <f t="shared" ref="H59:I59" ca="1" si="119">+N59+V59+AE59</f>
        <v>195</v>
      </c>
      <c r="I59" s="308">
        <f t="shared" ca="1" si="119"/>
        <v>65</v>
      </c>
      <c r="J59" s="308">
        <f t="shared" ca="1" si="113"/>
        <v>195</v>
      </c>
      <c r="K59" s="309">
        <f t="shared" ca="1" si="3"/>
        <v>100</v>
      </c>
      <c r="L59" s="308">
        <f t="shared" ca="1" si="114"/>
        <v>65</v>
      </c>
      <c r="M59" s="309">
        <f t="shared" ca="1" si="4"/>
        <v>100</v>
      </c>
      <c r="N59" s="392">
        <f ca="1">IFERROR(__xludf.DUMMYFUNCTION("IMPORTRANGE(""https://docs.google.com/spreadsheets/d/1C3CXT74ZlgGe6_JY_1olB1XN4rF0dxEuIIF-xsYjHgg/edit?usp=sharing"",""งบกองทุน!AD63"")"),90)</f>
        <v>90</v>
      </c>
      <c r="O59" s="392">
        <f ca="1">IFERROR(__xludf.DUMMYFUNCTION("IMPORTRANGE(""https://docs.google.com/spreadsheets/d/1C3CXT74ZlgGe6_JY_1olB1XN4rF0dxEuIIF-xsYjHgg/edit?usp=sharing"",""งบกองทุน!AE63"")"),30)</f>
        <v>30</v>
      </c>
      <c r="P59" s="308">
        <f ca="1">IFERROR(__xludf.DUMMYFUNCTION("IMPORTRANGE(""https://docs.google.com/spreadsheets/d/1SX6NBoVAgQJ6U1MVXOaj8PK2l7WJ3RER9xtqwdhxkhw/edit?usp=sharing"",""ชัยนาท!J313"")"),90)</f>
        <v>90</v>
      </c>
      <c r="Q59" s="309">
        <f t="shared" ca="1" si="6"/>
        <v>100</v>
      </c>
      <c r="R59" s="308">
        <f ca="1">IFERROR(__xludf.DUMMYFUNCTION("IMPORTRANGE(""https://docs.google.com/spreadsheets/d/1SX6NBoVAgQJ6U1MVXOaj8PK2l7WJ3RER9xtqwdhxkhw/edit?usp=sharing"",""ชัยนาท!J312"")"),30)</f>
        <v>30</v>
      </c>
      <c r="S59" s="309">
        <f t="shared" ca="1" si="7"/>
        <v>100</v>
      </c>
      <c r="T59" s="309">
        <f ca="1">IFERROR(__xludf.DUMMYFUNCTION("IMPORTRANGE(""https://docs.google.com/spreadsheets/d/1SX6NBoVAgQJ6U1MVXOaj8PK2l7WJ3RER9xtqwdhxkhw/edit?usp=sharing"",""ชัยนาท!J314"")"),30)</f>
        <v>30</v>
      </c>
      <c r="U59" s="309">
        <f ca="1">IFERROR(__xludf.DUMMYFUNCTION("IMPORTRANGE(""https://docs.google.com/spreadsheets/d/1SX6NBoVAgQJ6U1MVXOaj8PK2l7WJ3RER9xtqwdhxkhw/edit?usp=sharing"",""ชัยนาท!J315"")"),30)</f>
        <v>30</v>
      </c>
      <c r="V59" s="392">
        <f ca="1">IFERROR(__xludf.DUMMYFUNCTION("IMPORTRANGE(""https://docs.google.com/spreadsheets/d/1C3CXT74ZlgGe6_JY_1olB1XN4rF0dxEuIIF-xsYjHgg/edit?usp=sharing"",""งบกองทุน!AH63"")"),75)</f>
        <v>75</v>
      </c>
      <c r="W59" s="392">
        <f ca="1">IFERROR(__xludf.DUMMYFUNCTION("IMPORTRANGE(""https://docs.google.com/spreadsheets/d/1C3CXT74ZlgGe6_JY_1olB1XN4rF0dxEuIIF-xsYjHgg/edit?usp=sharing"",""งบกองทุน!AI63"")"),25)</f>
        <v>25</v>
      </c>
      <c r="X59" s="308">
        <f ca="1">IFERROR(__xludf.DUMMYFUNCTION("IMPORTRANGE(""https://docs.google.com/spreadsheets/d/1SX6NBoVAgQJ6U1MVXOaj8PK2l7WJ3RER9xtqwdhxkhw/edit?usp=sharing"",""ชัยนาท!J317"")"),75)</f>
        <v>75</v>
      </c>
      <c r="Y59" s="309">
        <f t="shared" ca="1" si="9"/>
        <v>100</v>
      </c>
      <c r="Z59" s="308">
        <f ca="1">IFERROR(__xludf.DUMMYFUNCTION("IMPORTRANGE(""https://docs.google.com/spreadsheets/d/1SX6NBoVAgQJ6U1MVXOaj8PK2l7WJ3RER9xtqwdhxkhw/edit?usp=sharing"",""ชัยนาท!J316"")"),25)</f>
        <v>25</v>
      </c>
      <c r="AA59" s="309">
        <f t="shared" ca="1" si="10"/>
        <v>100</v>
      </c>
      <c r="AB59" s="308">
        <f ca="1">IFERROR(__xludf.DUMMYFUNCTION("IMPORTRANGE(""https://docs.google.com/spreadsheets/d/1SX6NBoVAgQJ6U1MVXOaj8PK2l7WJ3RER9xtqwdhxkhw/edit?usp=sharing"",""ชัยนาท!J318"")"),25)</f>
        <v>25</v>
      </c>
      <c r="AC59" s="308">
        <f ca="1">IFERROR(__xludf.DUMMYFUNCTION("IMPORTRANGE(""https://docs.google.com/spreadsheets/d/1SX6NBoVAgQJ6U1MVXOaj8PK2l7WJ3RER9xtqwdhxkhw/edit?usp=sharing"",""ชัยนาท!J319"")"),25)</f>
        <v>25</v>
      </c>
      <c r="AD59" s="308">
        <f ca="1">IFERROR(__xludf.DUMMYFUNCTION("IMPORTRANGE(""https://docs.google.com/spreadsheets/d/1SX6NBoVAgQJ6U1MVXOaj8PK2l7WJ3RER9xtqwdhxkhw/edit?usp=sharing"",""ชัยนาท!J320"")"),25)</f>
        <v>25</v>
      </c>
      <c r="AE59" s="392">
        <f ca="1">IFERROR(__xludf.DUMMYFUNCTION("IMPORTRANGE(""https://docs.google.com/spreadsheets/d/1C3CXT74ZlgGe6_JY_1olB1XN4rF0dxEuIIF-xsYjHgg/edit?usp=sharing"",""งบกองทุน!AM63"")"),30)</f>
        <v>30</v>
      </c>
      <c r="AF59" s="392">
        <f ca="1">IFERROR(__xludf.DUMMYFUNCTION("IMPORTRANGE(""https://docs.google.com/spreadsheets/d/1C3CXT74ZlgGe6_JY_1olB1XN4rF0dxEuIIF-xsYjHgg/edit?usp=sharing"",""งบกองทุน!AN63"")"),10)</f>
        <v>10</v>
      </c>
      <c r="AG59" s="308">
        <f ca="1">IFERROR(__xludf.DUMMYFUNCTION("IMPORTRANGE(""https://docs.google.com/spreadsheets/d/1SX6NBoVAgQJ6U1MVXOaj8PK2l7WJ3RER9xtqwdhxkhw/edit?usp=sharing"",""ชัยนาท!J322"")"),30)</f>
        <v>30</v>
      </c>
      <c r="AH59" s="309">
        <f t="shared" ca="1" si="12"/>
        <v>100</v>
      </c>
      <c r="AI59" s="308">
        <f ca="1">IFERROR(__xludf.DUMMYFUNCTION("IMPORTRANGE(""https://docs.google.com/spreadsheets/d/1SX6NBoVAgQJ6U1MVXOaj8PK2l7WJ3RER9xtqwdhxkhw/edit?usp=sharing"",""ชัยนาท!J321"")"),10)</f>
        <v>10</v>
      </c>
      <c r="AJ59" s="309">
        <f t="shared" ca="1" si="13"/>
        <v>100</v>
      </c>
      <c r="AK59" s="308">
        <f ca="1">IFERROR(__xludf.DUMMYFUNCTION("IMPORTRANGE(""https://docs.google.com/spreadsheets/d/1SX6NBoVAgQJ6U1MVXOaj8PK2l7WJ3RER9xtqwdhxkhw/edit?usp=sharing"",""ชัยนาท!J323"")"),10)</f>
        <v>10</v>
      </c>
      <c r="AL59" s="308">
        <f ca="1">IFERROR(__xludf.DUMMYFUNCTION("IMPORTRANGE(""https://docs.google.com/spreadsheets/d/1SX6NBoVAgQJ6U1MVXOaj8PK2l7WJ3RER9xtqwdhxkhw/edit?usp=sharing"",""ชัยนาท!J324"")"),10)</f>
        <v>10</v>
      </c>
      <c r="AM59" s="308">
        <f t="shared" ca="1" si="115"/>
        <v>55</v>
      </c>
      <c r="AN59" s="308">
        <f ca="1">IFERROR(__xludf.DUMMYFUNCTION("IMPORTRANGE(""https://docs.google.com/spreadsheets/d/1SX6NBoVAgQJ6U1MVXOaj8PK2l7WJ3RER9xtqwdhxkhw/edit?usp=sharing"",""ชัยนาท!J325"")"),55)</f>
        <v>55</v>
      </c>
      <c r="AO59" s="309">
        <f t="shared" ca="1" si="15"/>
        <v>100</v>
      </c>
      <c r="AP59" s="392">
        <f ca="1">IFERROR(__xludf.DUMMYFUNCTION("IMPORTRANGE(""https://docs.google.com/spreadsheets/d/1C3CXT74ZlgGe6_JY_1olB1XN4rF0dxEuIIF-xsYjHgg/edit?usp=sharing"",""งบกองทุน!AR63"")"),30)</f>
        <v>30</v>
      </c>
      <c r="AQ59" s="308">
        <f ca="1">IFERROR(__xludf.DUMMYFUNCTION("IMPORTRANGE(""https://docs.google.com/spreadsheets/d/1SX6NBoVAgQJ6U1MVXOaj8PK2l7WJ3RER9xtqwdhxkhw/edit?usp=sharing"",""ชัยนาท!J326"")"),30)</f>
        <v>30</v>
      </c>
      <c r="AR59" s="308">
        <f ca="1">IFERROR(__xludf.DUMMYFUNCTION("IMPORTRANGE(""https://docs.google.com/spreadsheets/d/1C3CXT74ZlgGe6_JY_1olB1XN4rF0dxEuIIF-xsYjHgg/edit?usp=sharing"",""งบกองทุน!AS63"")"),25)</f>
        <v>25</v>
      </c>
      <c r="AS59" s="393">
        <f ca="1">IFERROR(__xludf.DUMMYFUNCTION("IMPORTRANGE(""https://docs.google.com/spreadsheets/d/1SX6NBoVAgQJ6U1MVXOaj8PK2l7WJ3RER9xtqwdhxkhw/edit?usp=sharing"",""ชัยนาท!J327"")"),25)</f>
        <v>25</v>
      </c>
    </row>
    <row r="60" spans="1:45" ht="21" customHeight="1">
      <c r="A60" s="303">
        <v>6</v>
      </c>
      <c r="B60" s="304" t="s">
        <v>84</v>
      </c>
      <c r="C60" s="391">
        <f t="shared" ca="1" si="111"/>
        <v>116320</v>
      </c>
      <c r="D60" s="306">
        <f ca="1">IFERROR(__xludf.DUMMYFUNCTION("IMPORTRANGE(""https://docs.google.com/spreadsheets/d/1C3CXT74ZlgGe6_JY_1olB1XN4rF0dxEuIIF-xsYjHgg/edit?usp=sharing"",""งบกองทุน!Z64"")"),0)</f>
        <v>0</v>
      </c>
      <c r="E60" s="306">
        <f ca="1">IFERROR(__xludf.DUMMYFUNCTION("IMPORTRANGE(""https://docs.google.com/spreadsheets/d/1C3CXT74ZlgGe6_JY_1olB1XN4rF0dxEuIIF-xsYjHgg/edit?usp=sharing"",""งบกองทุน!AA64"")"),116320)</f>
        <v>116320</v>
      </c>
      <c r="F60" s="307">
        <f ca="1">IFERROR(__xludf.DUMMYFUNCTION("IMPORTRANGE(""https://docs.google.com/spreadsheets/d/1SX6NBoVAgQJ6U1MVXOaj8PK2l7WJ3RER9xtqwdhxkhw/edit?usp=sharing"",""ตราด!M299"")"),97565)</f>
        <v>97565</v>
      </c>
      <c r="G60" s="307">
        <f t="shared" ca="1" si="1"/>
        <v>83.876375515818438</v>
      </c>
      <c r="H60" s="308">
        <f t="shared" ref="H60:I60" ca="1" si="120">+N60+V60+AE60</f>
        <v>90</v>
      </c>
      <c r="I60" s="308">
        <f t="shared" ca="1" si="120"/>
        <v>30</v>
      </c>
      <c r="J60" s="308">
        <f t="shared" ca="1" si="113"/>
        <v>90</v>
      </c>
      <c r="K60" s="309">
        <f t="shared" ca="1" si="3"/>
        <v>100</v>
      </c>
      <c r="L60" s="308">
        <f t="shared" ca="1" si="114"/>
        <v>30</v>
      </c>
      <c r="M60" s="309">
        <f t="shared" ca="1" si="4"/>
        <v>100</v>
      </c>
      <c r="N60" s="392">
        <f ca="1">IFERROR(__xludf.DUMMYFUNCTION("IMPORTRANGE(""https://docs.google.com/spreadsheets/d/1C3CXT74ZlgGe6_JY_1olB1XN4rF0dxEuIIF-xsYjHgg/edit?usp=sharing"",""งบกองทุน!AD64"")"),30)</f>
        <v>30</v>
      </c>
      <c r="O60" s="392">
        <f ca="1">IFERROR(__xludf.DUMMYFUNCTION("IMPORTRANGE(""https://docs.google.com/spreadsheets/d/1C3CXT74ZlgGe6_JY_1olB1XN4rF0dxEuIIF-xsYjHgg/edit?usp=sharing"",""งบกองทุน!AE64"")"),10)</f>
        <v>10</v>
      </c>
      <c r="P60" s="308">
        <f ca="1">IFERROR(__xludf.DUMMYFUNCTION("IMPORTRANGE(""https://docs.google.com/spreadsheets/d/1SX6NBoVAgQJ6U1MVXOaj8PK2l7WJ3RER9xtqwdhxkhw/edit?usp=sharing"",""ตราด!J313"")"),30)</f>
        <v>30</v>
      </c>
      <c r="Q60" s="309">
        <f t="shared" ca="1" si="6"/>
        <v>100</v>
      </c>
      <c r="R60" s="308">
        <f ca="1">IFERROR(__xludf.DUMMYFUNCTION("IMPORTRANGE(""https://docs.google.com/spreadsheets/d/1SX6NBoVAgQJ6U1MVXOaj8PK2l7WJ3RER9xtqwdhxkhw/edit?usp=sharing"",""ตราด!J312"")"),10)</f>
        <v>10</v>
      </c>
      <c r="S60" s="309">
        <f t="shared" ca="1" si="7"/>
        <v>100</v>
      </c>
      <c r="T60" s="309">
        <f ca="1">IFERROR(__xludf.DUMMYFUNCTION("IMPORTRANGE(""https://docs.google.com/spreadsheets/d/1SX6NBoVAgQJ6U1MVXOaj8PK2l7WJ3RER9xtqwdhxkhw/edit?usp=sharing"",""ตราด!J314"")"),10)</f>
        <v>10</v>
      </c>
      <c r="U60" s="309">
        <f ca="1">IFERROR(__xludf.DUMMYFUNCTION("IMPORTRANGE(""https://docs.google.com/spreadsheets/d/1SX6NBoVAgQJ6U1MVXOaj8PK2l7WJ3RER9xtqwdhxkhw/edit?usp=sharing"",""ตราด!J315"")"),10)</f>
        <v>10</v>
      </c>
      <c r="V60" s="392">
        <f ca="1">IFERROR(__xludf.DUMMYFUNCTION("IMPORTRANGE(""https://docs.google.com/spreadsheets/d/1C3CXT74ZlgGe6_JY_1olB1XN4rF0dxEuIIF-xsYjHgg/edit?usp=sharing"",""งบกองทุน!AH64"")"),30)</f>
        <v>30</v>
      </c>
      <c r="W60" s="392">
        <f ca="1">IFERROR(__xludf.DUMMYFUNCTION("IMPORTRANGE(""https://docs.google.com/spreadsheets/d/1C3CXT74ZlgGe6_JY_1olB1XN4rF0dxEuIIF-xsYjHgg/edit?usp=sharing"",""งบกองทุน!AI64"")"),10)</f>
        <v>10</v>
      </c>
      <c r="X60" s="308">
        <f ca="1">IFERROR(__xludf.DUMMYFUNCTION("IMPORTRANGE(""https://docs.google.com/spreadsheets/d/1SX6NBoVAgQJ6U1MVXOaj8PK2l7WJ3RER9xtqwdhxkhw/edit?usp=sharing"",""ตราด!J317"")"),30)</f>
        <v>30</v>
      </c>
      <c r="Y60" s="309">
        <f t="shared" ca="1" si="9"/>
        <v>100</v>
      </c>
      <c r="Z60" s="308">
        <f ca="1">IFERROR(__xludf.DUMMYFUNCTION("IMPORTRANGE(""https://docs.google.com/spreadsheets/d/1SX6NBoVAgQJ6U1MVXOaj8PK2l7WJ3RER9xtqwdhxkhw/edit?usp=sharing"",""ตราด!J316"")"),10)</f>
        <v>10</v>
      </c>
      <c r="AA60" s="309">
        <f t="shared" ca="1" si="10"/>
        <v>100</v>
      </c>
      <c r="AB60" s="308">
        <f ca="1">IFERROR(__xludf.DUMMYFUNCTION("IMPORTRANGE(""https://docs.google.com/spreadsheets/d/1SX6NBoVAgQJ6U1MVXOaj8PK2l7WJ3RER9xtqwdhxkhw/edit?usp=sharing"",""ตราด!J318"")"),10)</f>
        <v>10</v>
      </c>
      <c r="AC60" s="308">
        <f ca="1">IFERROR(__xludf.DUMMYFUNCTION("IMPORTRANGE(""https://docs.google.com/spreadsheets/d/1SX6NBoVAgQJ6U1MVXOaj8PK2l7WJ3RER9xtqwdhxkhw/edit?usp=sharing"",""ตราด!J319"")"),10)</f>
        <v>10</v>
      </c>
      <c r="AD60" s="308">
        <f ca="1">IFERROR(__xludf.DUMMYFUNCTION("IMPORTRANGE(""https://docs.google.com/spreadsheets/d/1SX6NBoVAgQJ6U1MVXOaj8PK2l7WJ3RER9xtqwdhxkhw/edit?usp=sharing"",""ตราด!J320"")"),10)</f>
        <v>10</v>
      </c>
      <c r="AE60" s="392">
        <f ca="1">IFERROR(__xludf.DUMMYFUNCTION("IMPORTRANGE(""https://docs.google.com/spreadsheets/d/1C3CXT74ZlgGe6_JY_1olB1XN4rF0dxEuIIF-xsYjHgg/edit?usp=sharing"",""งบกองทุน!AM64"")"),30)</f>
        <v>30</v>
      </c>
      <c r="AF60" s="392">
        <f ca="1">IFERROR(__xludf.DUMMYFUNCTION("IMPORTRANGE(""https://docs.google.com/spreadsheets/d/1C3CXT74ZlgGe6_JY_1olB1XN4rF0dxEuIIF-xsYjHgg/edit?usp=sharing"",""งบกองทุน!AN64"")"),10)</f>
        <v>10</v>
      </c>
      <c r="AG60" s="308">
        <f ca="1">IFERROR(__xludf.DUMMYFUNCTION("IMPORTRANGE(""https://docs.google.com/spreadsheets/d/1SX6NBoVAgQJ6U1MVXOaj8PK2l7WJ3RER9xtqwdhxkhw/edit?usp=sharing"",""ตราด!J322"")"),30)</f>
        <v>30</v>
      </c>
      <c r="AH60" s="309">
        <f t="shared" ca="1" si="12"/>
        <v>100</v>
      </c>
      <c r="AI60" s="308">
        <f ca="1">IFERROR(__xludf.DUMMYFUNCTION("IMPORTRANGE(""https://docs.google.com/spreadsheets/d/1SX6NBoVAgQJ6U1MVXOaj8PK2l7WJ3RER9xtqwdhxkhw/edit?usp=sharing"",""ตราด!J321"")"),10)</f>
        <v>10</v>
      </c>
      <c r="AJ60" s="309">
        <f t="shared" ca="1" si="13"/>
        <v>100</v>
      </c>
      <c r="AK60" s="308">
        <f ca="1">IFERROR(__xludf.DUMMYFUNCTION("IMPORTRANGE(""https://docs.google.com/spreadsheets/d/1SX6NBoVAgQJ6U1MVXOaj8PK2l7WJ3RER9xtqwdhxkhw/edit?usp=sharing"",""ตราด!J323"")"),10)</f>
        <v>10</v>
      </c>
      <c r="AL60" s="308">
        <f ca="1">IFERROR(__xludf.DUMMYFUNCTION("IMPORTRANGE(""https://docs.google.com/spreadsheets/d/1SX6NBoVAgQJ6U1MVXOaj8PK2l7WJ3RER9xtqwdhxkhw/edit?usp=sharing"",""ตราด!J324"")"),10)</f>
        <v>10</v>
      </c>
      <c r="AM60" s="308">
        <f t="shared" ca="1" si="115"/>
        <v>20</v>
      </c>
      <c r="AN60" s="308">
        <f ca="1">IFERROR(__xludf.DUMMYFUNCTION("IMPORTRANGE(""https://docs.google.com/spreadsheets/d/1SX6NBoVAgQJ6U1MVXOaj8PK2l7WJ3RER9xtqwdhxkhw/edit?usp=sharing"",""ตราด!J325"")"),20)</f>
        <v>20</v>
      </c>
      <c r="AO60" s="309">
        <f t="shared" ca="1" si="15"/>
        <v>100</v>
      </c>
      <c r="AP60" s="392">
        <f ca="1">IFERROR(__xludf.DUMMYFUNCTION("IMPORTRANGE(""https://docs.google.com/spreadsheets/d/1C3CXT74ZlgGe6_JY_1olB1XN4rF0dxEuIIF-xsYjHgg/edit?usp=sharing"",""งบกองทุน!AR64"")"),10)</f>
        <v>10</v>
      </c>
      <c r="AQ60" s="308">
        <f ca="1">IFERROR(__xludf.DUMMYFUNCTION("IMPORTRANGE(""https://docs.google.com/spreadsheets/d/1SX6NBoVAgQJ6U1MVXOaj8PK2l7WJ3RER9xtqwdhxkhw/edit?usp=sharing"",""ตราด!J326"")"),10)</f>
        <v>10</v>
      </c>
      <c r="AR60" s="308">
        <f ca="1">IFERROR(__xludf.DUMMYFUNCTION("IMPORTRANGE(""https://docs.google.com/spreadsheets/d/1C3CXT74ZlgGe6_JY_1olB1XN4rF0dxEuIIF-xsYjHgg/edit?usp=sharing"",""งบกองทุน!AS64"")"),10)</f>
        <v>10</v>
      </c>
      <c r="AS60" s="393">
        <f ca="1">IFERROR(__xludf.DUMMYFUNCTION("IMPORTRANGE(""https://docs.google.com/spreadsheets/d/1SX6NBoVAgQJ6U1MVXOaj8PK2l7WJ3RER9xtqwdhxkhw/edit?usp=sharing"",""ตราด!J327"")"),10)</f>
        <v>10</v>
      </c>
    </row>
    <row r="61" spans="1:45" ht="21" customHeight="1">
      <c r="A61" s="303">
        <v>7</v>
      </c>
      <c r="B61" s="304" t="s">
        <v>85</v>
      </c>
      <c r="C61" s="391">
        <f t="shared" ca="1" si="111"/>
        <v>229370</v>
      </c>
      <c r="D61" s="306">
        <f ca="1">IFERROR(__xludf.DUMMYFUNCTION("IMPORTRANGE(""https://docs.google.com/spreadsheets/d/1C3CXT74ZlgGe6_JY_1olB1XN4rF0dxEuIIF-xsYjHgg/edit?usp=sharing"",""งบกองทุน!Z65"")"),0)</f>
        <v>0</v>
      </c>
      <c r="E61" s="306">
        <f ca="1">IFERROR(__xludf.DUMMYFUNCTION("IMPORTRANGE(""https://docs.google.com/spreadsheets/d/1C3CXT74ZlgGe6_JY_1olB1XN4rF0dxEuIIF-xsYjHgg/edit?usp=sharing"",""งบกองทุน!AA65"")"),229370)</f>
        <v>229370</v>
      </c>
      <c r="F61" s="307">
        <f ca="1">IFERROR(__xludf.DUMMYFUNCTION("IMPORTRANGE(""https://docs.google.com/spreadsheets/d/1SX6NBoVAgQJ6U1MVXOaj8PK2l7WJ3RER9xtqwdhxkhw/edit?usp=sharing"",""นครนายก!M299"")"),103740)</f>
        <v>103740</v>
      </c>
      <c r="G61" s="307">
        <f t="shared" ca="1" si="1"/>
        <v>45.228233857958756</v>
      </c>
      <c r="H61" s="308">
        <f t="shared" ref="H61:I61" ca="1" si="121">+N61+V61+AE61</f>
        <v>204</v>
      </c>
      <c r="I61" s="308">
        <f t="shared" ca="1" si="121"/>
        <v>68</v>
      </c>
      <c r="J61" s="308">
        <f t="shared" ca="1" si="113"/>
        <v>204</v>
      </c>
      <c r="K61" s="309">
        <f t="shared" ca="1" si="3"/>
        <v>100</v>
      </c>
      <c r="L61" s="308">
        <f t="shared" ca="1" si="114"/>
        <v>38</v>
      </c>
      <c r="M61" s="309">
        <f t="shared" ca="1" si="4"/>
        <v>55.882352941176471</v>
      </c>
      <c r="N61" s="392">
        <f ca="1">IFERROR(__xludf.DUMMYFUNCTION("IMPORTRANGE(""https://docs.google.com/spreadsheets/d/1C3CXT74ZlgGe6_JY_1olB1XN4rF0dxEuIIF-xsYjHgg/edit?usp=sharing"",""งบกองทุน!AD65"")"),90)</f>
        <v>90</v>
      </c>
      <c r="O61" s="392">
        <f ca="1">IFERROR(__xludf.DUMMYFUNCTION("IMPORTRANGE(""https://docs.google.com/spreadsheets/d/1C3CXT74ZlgGe6_JY_1olB1XN4rF0dxEuIIF-xsYjHgg/edit?usp=sharing"",""งบกองทุน!AE65"")"),30)</f>
        <v>30</v>
      </c>
      <c r="P61" s="308">
        <f ca="1">IFERROR(__xludf.DUMMYFUNCTION("IMPORTRANGE(""https://docs.google.com/spreadsheets/d/1SX6NBoVAgQJ6U1MVXOaj8PK2l7WJ3RER9xtqwdhxkhw/edit?usp=sharing"",""นครนายก!J313"")"),90)</f>
        <v>90</v>
      </c>
      <c r="Q61" s="309">
        <f t="shared" ca="1" si="6"/>
        <v>100</v>
      </c>
      <c r="R61" s="308">
        <f ca="1">IFERROR(__xludf.DUMMYFUNCTION("IMPORTRANGE(""https://docs.google.com/spreadsheets/d/1SX6NBoVAgQJ6U1MVXOaj8PK2l7WJ3RER9xtqwdhxkhw/edit?usp=sharing"",""นครนายก!J312"")"),0)</f>
        <v>0</v>
      </c>
      <c r="S61" s="309">
        <f t="shared" ca="1" si="7"/>
        <v>0</v>
      </c>
      <c r="T61" s="309">
        <f ca="1">IFERROR(__xludf.DUMMYFUNCTION("IMPORTRANGE(""https://docs.google.com/spreadsheets/d/1SX6NBoVAgQJ6U1MVXOaj8PK2l7WJ3RER9xtqwdhxkhw/edit?usp=sharing"",""นครนายก!J314"")"),0)</f>
        <v>0</v>
      </c>
      <c r="U61" s="309">
        <f ca="1">IFERROR(__xludf.DUMMYFUNCTION("IMPORTRANGE(""https://docs.google.com/spreadsheets/d/1SX6NBoVAgQJ6U1MVXOaj8PK2l7WJ3RER9xtqwdhxkhw/edit?usp=sharing"",""นครนายก!J315"")"),30)</f>
        <v>30</v>
      </c>
      <c r="V61" s="392">
        <f ca="1">IFERROR(__xludf.DUMMYFUNCTION("IMPORTRANGE(""https://docs.google.com/spreadsheets/d/1C3CXT74ZlgGe6_JY_1olB1XN4rF0dxEuIIF-xsYjHgg/edit?usp=sharing"",""งบกองทุน!AH65"")"),75)</f>
        <v>75</v>
      </c>
      <c r="W61" s="392">
        <f ca="1">IFERROR(__xludf.DUMMYFUNCTION("IMPORTRANGE(""https://docs.google.com/spreadsheets/d/1C3CXT74ZlgGe6_JY_1olB1XN4rF0dxEuIIF-xsYjHgg/edit?usp=sharing"",""งบกองทุน!AI65"")"),25)</f>
        <v>25</v>
      </c>
      <c r="X61" s="308">
        <f ca="1">IFERROR(__xludf.DUMMYFUNCTION("IMPORTRANGE(""https://docs.google.com/spreadsheets/d/1SX6NBoVAgQJ6U1MVXOaj8PK2l7WJ3RER9xtqwdhxkhw/edit?usp=sharing"",""นครนายก!J317"")"),75)</f>
        <v>75</v>
      </c>
      <c r="Y61" s="309">
        <f t="shared" ca="1" si="9"/>
        <v>100</v>
      </c>
      <c r="Z61" s="308">
        <f ca="1">IFERROR(__xludf.DUMMYFUNCTION("IMPORTRANGE(""https://docs.google.com/spreadsheets/d/1SX6NBoVAgQJ6U1MVXOaj8PK2l7WJ3RER9xtqwdhxkhw/edit?usp=sharing"",""นครนายก!J316"")"),25)</f>
        <v>25</v>
      </c>
      <c r="AA61" s="309">
        <f t="shared" ca="1" si="10"/>
        <v>100</v>
      </c>
      <c r="AB61" s="308">
        <f ca="1">IFERROR(__xludf.DUMMYFUNCTION("IMPORTRANGE(""https://docs.google.com/spreadsheets/d/1SX6NBoVAgQJ6U1MVXOaj8PK2l7WJ3RER9xtqwdhxkhw/edit?usp=sharing"",""นครนายก!J318"")"),25)</f>
        <v>25</v>
      </c>
      <c r="AC61" s="308">
        <f ca="1">IFERROR(__xludf.DUMMYFUNCTION("IMPORTRANGE(""https://docs.google.com/spreadsheets/d/1SX6NBoVAgQJ6U1MVXOaj8PK2l7WJ3RER9xtqwdhxkhw/edit?usp=sharing"",""นครนายก!J319"")"),25)</f>
        <v>25</v>
      </c>
      <c r="AD61" s="308">
        <f ca="1">IFERROR(__xludf.DUMMYFUNCTION("IMPORTRANGE(""https://docs.google.com/spreadsheets/d/1SX6NBoVAgQJ6U1MVXOaj8PK2l7WJ3RER9xtqwdhxkhw/edit?usp=sharing"",""นครนายก!J320"")"),25)</f>
        <v>25</v>
      </c>
      <c r="AE61" s="392">
        <f ca="1">IFERROR(__xludf.DUMMYFUNCTION("IMPORTRANGE(""https://docs.google.com/spreadsheets/d/1C3CXT74ZlgGe6_JY_1olB1XN4rF0dxEuIIF-xsYjHgg/edit?usp=sharing"",""งบกองทุน!AM65"")"),39)</f>
        <v>39</v>
      </c>
      <c r="AF61" s="392">
        <f ca="1">IFERROR(__xludf.DUMMYFUNCTION("IMPORTRANGE(""https://docs.google.com/spreadsheets/d/1C3CXT74ZlgGe6_JY_1olB1XN4rF0dxEuIIF-xsYjHgg/edit?usp=sharing"",""งบกองทุน!AN65"")"),13)</f>
        <v>13</v>
      </c>
      <c r="AG61" s="308">
        <f ca="1">IFERROR(__xludf.DUMMYFUNCTION("IMPORTRANGE(""https://docs.google.com/spreadsheets/d/1SX6NBoVAgQJ6U1MVXOaj8PK2l7WJ3RER9xtqwdhxkhw/edit?usp=sharing"",""นครนายก!J322"")"),39)</f>
        <v>39</v>
      </c>
      <c r="AH61" s="309">
        <f t="shared" ca="1" si="12"/>
        <v>100</v>
      </c>
      <c r="AI61" s="308">
        <f ca="1">IFERROR(__xludf.DUMMYFUNCTION("IMPORTRANGE(""https://docs.google.com/spreadsheets/d/1SX6NBoVAgQJ6U1MVXOaj8PK2l7WJ3RER9xtqwdhxkhw/edit?usp=sharing"",""นครนายก!J321"")"),13)</f>
        <v>13</v>
      </c>
      <c r="AJ61" s="309">
        <f t="shared" ca="1" si="13"/>
        <v>100</v>
      </c>
      <c r="AK61" s="308">
        <f ca="1">IFERROR(__xludf.DUMMYFUNCTION("IMPORTRANGE(""https://docs.google.com/spreadsheets/d/1SX6NBoVAgQJ6U1MVXOaj8PK2l7WJ3RER9xtqwdhxkhw/edit?usp=sharing"",""นครนายก!J323"")"),13)</f>
        <v>13</v>
      </c>
      <c r="AL61" s="308">
        <f ca="1">IFERROR(__xludf.DUMMYFUNCTION("IMPORTRANGE(""https://docs.google.com/spreadsheets/d/1SX6NBoVAgQJ6U1MVXOaj8PK2l7WJ3RER9xtqwdhxkhw/edit?usp=sharing"",""นครนายก!J324"")"),13)</f>
        <v>13</v>
      </c>
      <c r="AM61" s="308">
        <f t="shared" ca="1" si="115"/>
        <v>55</v>
      </c>
      <c r="AN61" s="308">
        <f ca="1">IFERROR(__xludf.DUMMYFUNCTION("IMPORTRANGE(""https://docs.google.com/spreadsheets/d/1SX6NBoVAgQJ6U1MVXOaj8PK2l7WJ3RER9xtqwdhxkhw/edit?usp=sharing"",""นครนายก!J325"")"),0)</f>
        <v>0</v>
      </c>
      <c r="AO61" s="309">
        <f t="shared" ca="1" si="15"/>
        <v>0</v>
      </c>
      <c r="AP61" s="392">
        <f ca="1">IFERROR(__xludf.DUMMYFUNCTION("IMPORTRANGE(""https://docs.google.com/spreadsheets/d/1C3CXT74ZlgGe6_JY_1olB1XN4rF0dxEuIIF-xsYjHgg/edit?usp=sharing"",""งบกองทุน!AR65"")"),30)</f>
        <v>30</v>
      </c>
      <c r="AQ61" s="308">
        <f ca="1">IFERROR(__xludf.DUMMYFUNCTION("IMPORTRANGE(""https://docs.google.com/spreadsheets/d/1SX6NBoVAgQJ6U1MVXOaj8PK2l7WJ3RER9xtqwdhxkhw/edit?usp=sharing"",""นครนายก!J326"")"),0)</f>
        <v>0</v>
      </c>
      <c r="AR61" s="308">
        <f ca="1">IFERROR(__xludf.DUMMYFUNCTION("IMPORTRANGE(""https://docs.google.com/spreadsheets/d/1C3CXT74ZlgGe6_JY_1olB1XN4rF0dxEuIIF-xsYjHgg/edit?usp=sharing"",""งบกองทุน!AS65"")"),25)</f>
        <v>25</v>
      </c>
      <c r="AS61" s="393">
        <f ca="1">IFERROR(__xludf.DUMMYFUNCTION("IMPORTRANGE(""https://docs.google.com/spreadsheets/d/1SX6NBoVAgQJ6U1MVXOaj8PK2l7WJ3RER9xtqwdhxkhw/edit?usp=sharing"",""นครนายก!J327"")"),25)</f>
        <v>25</v>
      </c>
    </row>
    <row r="62" spans="1:45" ht="21" customHeight="1">
      <c r="A62" s="303">
        <v>8</v>
      </c>
      <c r="B62" s="304" t="s">
        <v>86</v>
      </c>
      <c r="C62" s="391">
        <f t="shared" ca="1" si="111"/>
        <v>130250</v>
      </c>
      <c r="D62" s="306">
        <f ca="1">IFERROR(__xludf.DUMMYFUNCTION("IMPORTRANGE(""https://docs.google.com/spreadsheets/d/1C3CXT74ZlgGe6_JY_1olB1XN4rF0dxEuIIF-xsYjHgg/edit?usp=sharing"",""งบกองทุน!Z66"")"),0)</f>
        <v>0</v>
      </c>
      <c r="E62" s="306">
        <f ca="1">IFERROR(__xludf.DUMMYFUNCTION("IMPORTRANGE(""https://docs.google.com/spreadsheets/d/1C3CXT74ZlgGe6_JY_1olB1XN4rF0dxEuIIF-xsYjHgg/edit?usp=sharing"",""งบกองทุน!AA66"")"),130250)</f>
        <v>130250</v>
      </c>
      <c r="F62" s="307">
        <f ca="1">IFERROR(__xludf.DUMMYFUNCTION("IMPORTRANGE(""https://docs.google.com/spreadsheets/d/1SX6NBoVAgQJ6U1MVXOaj8PK2l7WJ3RER9xtqwdhxkhw/edit?usp=sharing"",""นครปฐม!M299"")"),89333)</f>
        <v>89333</v>
      </c>
      <c r="G62" s="307">
        <f t="shared" ca="1" si="1"/>
        <v>68.585796545105566</v>
      </c>
      <c r="H62" s="308">
        <f t="shared" ref="H62:I62" ca="1" si="122">+N62+V62+AE62</f>
        <v>150</v>
      </c>
      <c r="I62" s="308">
        <f t="shared" ca="1" si="122"/>
        <v>50</v>
      </c>
      <c r="J62" s="308">
        <f t="shared" ca="1" si="113"/>
        <v>0</v>
      </c>
      <c r="K62" s="309">
        <f t="shared" ca="1" si="3"/>
        <v>0</v>
      </c>
      <c r="L62" s="308">
        <f t="shared" ca="1" si="114"/>
        <v>50</v>
      </c>
      <c r="M62" s="309">
        <f t="shared" ca="1" si="4"/>
        <v>100</v>
      </c>
      <c r="N62" s="394">
        <f ca="1">IFERROR(__xludf.DUMMYFUNCTION("IMPORTRANGE(""https://docs.google.com/spreadsheets/d/1C3CXT74ZlgGe6_JY_1olB1XN4rF0dxEuIIF-xsYjHgg/edit?usp=sharing"",""งบกองทุน!AD66"")"),0)</f>
        <v>0</v>
      </c>
      <c r="O62" s="394">
        <f ca="1">IFERROR(__xludf.DUMMYFUNCTION("IMPORTRANGE(""https://docs.google.com/spreadsheets/d/1C3CXT74ZlgGe6_JY_1olB1XN4rF0dxEuIIF-xsYjHgg/edit?usp=sharing"",""งบกองทุน!AE66"")"),0)</f>
        <v>0</v>
      </c>
      <c r="P62" s="308">
        <f ca="1">IFERROR(__xludf.DUMMYFUNCTION("IMPORTRANGE(""https://docs.google.com/spreadsheets/d/1SX6NBoVAgQJ6U1MVXOaj8PK2l7WJ3RER9xtqwdhxkhw/edit?usp=sharing"",""นครปฐม!J313"")"),0)</f>
        <v>0</v>
      </c>
      <c r="Q62" s="309">
        <f t="shared" ca="1" si="6"/>
        <v>0</v>
      </c>
      <c r="R62" s="308">
        <f ca="1">IFERROR(__xludf.DUMMYFUNCTION("IMPORTRANGE(""https://docs.google.com/spreadsheets/d/1SX6NBoVAgQJ6U1MVXOaj8PK2l7WJ3RER9xtqwdhxkhw/edit?usp=sharing"",""นครปฐม!J312"")"),0)</f>
        <v>0</v>
      </c>
      <c r="S62" s="309">
        <f t="shared" ca="1" si="7"/>
        <v>0</v>
      </c>
      <c r="T62" s="309">
        <f ca="1">IFERROR(__xludf.DUMMYFUNCTION("IMPORTRANGE(""https://docs.google.com/spreadsheets/d/1SX6NBoVAgQJ6U1MVXOaj8PK2l7WJ3RER9xtqwdhxkhw/edit?usp=sharing"",""นครปฐม!J314"")"),0)</f>
        <v>0</v>
      </c>
      <c r="U62" s="309">
        <f ca="1">IFERROR(__xludf.DUMMYFUNCTION("IMPORTRANGE(""https://docs.google.com/spreadsheets/d/1SX6NBoVAgQJ6U1MVXOaj8PK2l7WJ3RER9xtqwdhxkhw/edit?usp=sharing"",""นครปฐม!J315"")"),0)</f>
        <v>0</v>
      </c>
      <c r="V62" s="392">
        <f ca="1">IFERROR(__xludf.DUMMYFUNCTION("IMPORTRANGE(""https://docs.google.com/spreadsheets/d/1C3CXT74ZlgGe6_JY_1olB1XN4rF0dxEuIIF-xsYjHgg/edit?usp=sharing"",""งบกองทุน!AH66"")"),120)</f>
        <v>120</v>
      </c>
      <c r="W62" s="392">
        <f ca="1">IFERROR(__xludf.DUMMYFUNCTION("IMPORTRANGE(""https://docs.google.com/spreadsheets/d/1C3CXT74ZlgGe6_JY_1olB1XN4rF0dxEuIIF-xsYjHgg/edit?usp=sharing"",""งบกองทุน!AI66"")"),40)</f>
        <v>40</v>
      </c>
      <c r="X62" s="308">
        <f ca="1">IFERROR(__xludf.DUMMYFUNCTION("IMPORTRANGE(""https://docs.google.com/spreadsheets/d/1SX6NBoVAgQJ6U1MVXOaj8PK2l7WJ3RER9xtqwdhxkhw/edit?usp=sharing"",""นครปฐม!J317"")"),0)</f>
        <v>0</v>
      </c>
      <c r="Y62" s="309">
        <f t="shared" ca="1" si="9"/>
        <v>0</v>
      </c>
      <c r="Z62" s="308">
        <f ca="1">IFERROR(__xludf.DUMMYFUNCTION("IMPORTRANGE(""https://docs.google.com/spreadsheets/d/1SX6NBoVAgQJ6U1MVXOaj8PK2l7WJ3RER9xtqwdhxkhw/edit?usp=sharing"",""นครปฐม!J316"")"),40)</f>
        <v>40</v>
      </c>
      <c r="AA62" s="309">
        <f t="shared" ca="1" si="10"/>
        <v>100</v>
      </c>
      <c r="AB62" s="308">
        <f ca="1">IFERROR(__xludf.DUMMYFUNCTION("IMPORTRANGE(""https://docs.google.com/spreadsheets/d/1SX6NBoVAgQJ6U1MVXOaj8PK2l7WJ3RER9xtqwdhxkhw/edit?usp=sharing"",""นครปฐม!J318"")"),40)</f>
        <v>40</v>
      </c>
      <c r="AC62" s="308">
        <f ca="1">IFERROR(__xludf.DUMMYFUNCTION("IMPORTRANGE(""https://docs.google.com/spreadsheets/d/1SX6NBoVAgQJ6U1MVXOaj8PK2l7WJ3RER9xtqwdhxkhw/edit?usp=sharing"",""นครปฐม!J319"")"),40)</f>
        <v>40</v>
      </c>
      <c r="AD62" s="308">
        <f ca="1">IFERROR(__xludf.DUMMYFUNCTION("IMPORTRANGE(""https://docs.google.com/spreadsheets/d/1SX6NBoVAgQJ6U1MVXOaj8PK2l7WJ3RER9xtqwdhxkhw/edit?usp=sharing"",""นครปฐม!J320"")"),40)</f>
        <v>40</v>
      </c>
      <c r="AE62" s="392">
        <f ca="1">IFERROR(__xludf.DUMMYFUNCTION("IMPORTRANGE(""https://docs.google.com/spreadsheets/d/1C3CXT74ZlgGe6_JY_1olB1XN4rF0dxEuIIF-xsYjHgg/edit?usp=sharing"",""งบกองทุน!AM66"")"),30)</f>
        <v>30</v>
      </c>
      <c r="AF62" s="392">
        <f ca="1">IFERROR(__xludf.DUMMYFUNCTION("IMPORTRANGE(""https://docs.google.com/spreadsheets/d/1C3CXT74ZlgGe6_JY_1olB1XN4rF0dxEuIIF-xsYjHgg/edit?usp=sharing"",""งบกองทุน!AN66"")"),10)</f>
        <v>10</v>
      </c>
      <c r="AG62" s="308">
        <f ca="1">IFERROR(__xludf.DUMMYFUNCTION("IMPORTRANGE(""https://docs.google.com/spreadsheets/d/1SX6NBoVAgQJ6U1MVXOaj8PK2l7WJ3RER9xtqwdhxkhw/edit?usp=sharing"",""นครปฐม!J322"")"),0)</f>
        <v>0</v>
      </c>
      <c r="AH62" s="309">
        <f t="shared" ca="1" si="12"/>
        <v>0</v>
      </c>
      <c r="AI62" s="308">
        <f ca="1">IFERROR(__xludf.DUMMYFUNCTION("IMPORTRANGE(""https://docs.google.com/spreadsheets/d/1SX6NBoVAgQJ6U1MVXOaj8PK2l7WJ3RER9xtqwdhxkhw/edit?usp=sharing"",""นครปฐม!J321"")"),10)</f>
        <v>10</v>
      </c>
      <c r="AJ62" s="309">
        <f t="shared" ca="1" si="13"/>
        <v>100</v>
      </c>
      <c r="AK62" s="308">
        <f ca="1">IFERROR(__xludf.DUMMYFUNCTION("IMPORTRANGE(""https://docs.google.com/spreadsheets/d/1SX6NBoVAgQJ6U1MVXOaj8PK2l7WJ3RER9xtqwdhxkhw/edit?usp=sharing"",""นครปฐม!J323"")"),10)</f>
        <v>10</v>
      </c>
      <c r="AL62" s="308">
        <f ca="1">IFERROR(__xludf.DUMMYFUNCTION("IMPORTRANGE(""https://docs.google.com/spreadsheets/d/1SX6NBoVAgQJ6U1MVXOaj8PK2l7WJ3RER9xtqwdhxkhw/edit?usp=sharing"",""นครปฐม!J324"")"),10)</f>
        <v>10</v>
      </c>
      <c r="AM62" s="308">
        <f t="shared" ca="1" si="115"/>
        <v>40</v>
      </c>
      <c r="AN62" s="308">
        <f ca="1">IFERROR(__xludf.DUMMYFUNCTION("IMPORTRANGE(""https://docs.google.com/spreadsheets/d/1SX6NBoVAgQJ6U1MVXOaj8PK2l7WJ3RER9xtqwdhxkhw/edit?usp=sharing"",""นครปฐม!J325"")"),0)</f>
        <v>0</v>
      </c>
      <c r="AO62" s="309">
        <f t="shared" ca="1" si="15"/>
        <v>0</v>
      </c>
      <c r="AP62" s="394">
        <f ca="1">IFERROR(__xludf.DUMMYFUNCTION("IMPORTRANGE(""https://docs.google.com/spreadsheets/d/1C3CXT74ZlgGe6_JY_1olB1XN4rF0dxEuIIF-xsYjHgg/edit?usp=sharing"",""งบกองทุน!AR66"")"),0)</f>
        <v>0</v>
      </c>
      <c r="AQ62" s="308">
        <f ca="1">IFERROR(__xludf.DUMMYFUNCTION("IMPORTRANGE(""https://docs.google.com/spreadsheets/d/1SX6NBoVAgQJ6U1MVXOaj8PK2l7WJ3RER9xtqwdhxkhw/edit?usp=sharing"",""นครปฐม!J326"")"),0)</f>
        <v>0</v>
      </c>
      <c r="AR62" s="308">
        <f ca="1">IFERROR(__xludf.DUMMYFUNCTION("IMPORTRANGE(""https://docs.google.com/spreadsheets/d/1C3CXT74ZlgGe6_JY_1olB1XN4rF0dxEuIIF-xsYjHgg/edit?usp=sharing"",""งบกองทุน!AS66"")"),40)</f>
        <v>40</v>
      </c>
      <c r="AS62" s="393">
        <f ca="1">IFERROR(__xludf.DUMMYFUNCTION("IMPORTRANGE(""https://docs.google.com/spreadsheets/d/1SX6NBoVAgQJ6U1MVXOaj8PK2l7WJ3RER9xtqwdhxkhw/edit?usp=sharing"",""นครปฐม!J327"")"),0)</f>
        <v>0</v>
      </c>
    </row>
    <row r="63" spans="1:45" ht="21" customHeight="1">
      <c r="A63" s="303">
        <v>9</v>
      </c>
      <c r="B63" s="304" t="s">
        <v>87</v>
      </c>
      <c r="C63" s="391">
        <f t="shared" ca="1" si="111"/>
        <v>187300</v>
      </c>
      <c r="D63" s="306">
        <f ca="1">IFERROR(__xludf.DUMMYFUNCTION("IMPORTRANGE(""https://docs.google.com/spreadsheets/d/1C3CXT74ZlgGe6_JY_1olB1XN4rF0dxEuIIF-xsYjHgg/edit?usp=sharing"",""งบกองทุน!Z67"")"),0)</f>
        <v>0</v>
      </c>
      <c r="E63" s="306">
        <f ca="1">IFERROR(__xludf.DUMMYFUNCTION("IMPORTRANGE(""https://docs.google.com/spreadsheets/d/1C3CXT74ZlgGe6_JY_1olB1XN4rF0dxEuIIF-xsYjHgg/edit?usp=sharing"",""งบกองทุน!AA67"")"),187300)</f>
        <v>187300</v>
      </c>
      <c r="F63" s="307">
        <f ca="1">IFERROR(__xludf.DUMMYFUNCTION("IMPORTRANGE(""https://docs.google.com/spreadsheets/d/1SX6NBoVAgQJ6U1MVXOaj8PK2l7WJ3RER9xtqwdhxkhw/edit?usp=sharing"",""ปทุมธานี!M299"")"),146880)</f>
        <v>146880</v>
      </c>
      <c r="G63" s="307">
        <f t="shared" ca="1" si="1"/>
        <v>78.419647624132409</v>
      </c>
      <c r="H63" s="308">
        <f t="shared" ref="H63:I63" ca="1" si="123">+N63+V63+AE63</f>
        <v>135</v>
      </c>
      <c r="I63" s="308">
        <f t="shared" ca="1" si="123"/>
        <v>45</v>
      </c>
      <c r="J63" s="308">
        <f t="shared" ca="1" si="113"/>
        <v>0</v>
      </c>
      <c r="K63" s="309">
        <f t="shared" ca="1" si="3"/>
        <v>0</v>
      </c>
      <c r="L63" s="308">
        <f t="shared" ca="1" si="114"/>
        <v>45</v>
      </c>
      <c r="M63" s="309">
        <f t="shared" ca="1" si="4"/>
        <v>100</v>
      </c>
      <c r="N63" s="392">
        <f ca="1">IFERROR(__xludf.DUMMYFUNCTION("IMPORTRANGE(""https://docs.google.com/spreadsheets/d/1C3CXT74ZlgGe6_JY_1olB1XN4rF0dxEuIIF-xsYjHgg/edit?usp=sharing"",""งบกองทุน!AD67"")"),30)</f>
        <v>30</v>
      </c>
      <c r="O63" s="392">
        <f ca="1">IFERROR(__xludf.DUMMYFUNCTION("IMPORTRANGE(""https://docs.google.com/spreadsheets/d/1C3CXT74ZlgGe6_JY_1olB1XN4rF0dxEuIIF-xsYjHgg/edit?usp=sharing"",""งบกองทุน!AE67"")"),10)</f>
        <v>10</v>
      </c>
      <c r="P63" s="308">
        <f ca="1">IFERROR(__xludf.DUMMYFUNCTION("IMPORTRANGE(""https://docs.google.com/spreadsheets/d/1SX6NBoVAgQJ6U1MVXOaj8PK2l7WJ3RER9xtqwdhxkhw/edit?usp=sharing"",""ปทุมธานี!J313"")"),0)</f>
        <v>0</v>
      </c>
      <c r="Q63" s="309">
        <f t="shared" ca="1" si="6"/>
        <v>0</v>
      </c>
      <c r="R63" s="308">
        <f ca="1">IFERROR(__xludf.DUMMYFUNCTION("IMPORTRANGE(""https://docs.google.com/spreadsheets/d/1SX6NBoVAgQJ6U1MVXOaj8PK2l7WJ3RER9xtqwdhxkhw/edit?usp=sharing"",""ปทุมธานี!J312"")"),10)</f>
        <v>10</v>
      </c>
      <c r="S63" s="309">
        <f t="shared" ca="1" si="7"/>
        <v>100</v>
      </c>
      <c r="T63" s="309">
        <f ca="1">IFERROR(__xludf.DUMMYFUNCTION("IMPORTRANGE(""https://docs.google.com/spreadsheets/d/1SX6NBoVAgQJ6U1MVXOaj8PK2l7WJ3RER9xtqwdhxkhw/edit?usp=sharing"",""ปทุมธานี!J314"")"),10)</f>
        <v>10</v>
      </c>
      <c r="U63" s="309">
        <f ca="1">IFERROR(__xludf.DUMMYFUNCTION("IMPORTRANGE(""https://docs.google.com/spreadsheets/d/1SX6NBoVAgQJ6U1MVXOaj8PK2l7WJ3RER9xtqwdhxkhw/edit?usp=sharing"",""ปทุมธานี!J315"")"),10)</f>
        <v>10</v>
      </c>
      <c r="V63" s="392">
        <f ca="1">IFERROR(__xludf.DUMMYFUNCTION("IMPORTRANGE(""https://docs.google.com/spreadsheets/d/1C3CXT74ZlgGe6_JY_1olB1XN4rF0dxEuIIF-xsYjHgg/edit?usp=sharing"",""งบกองทุน!AH67"")"),75)</f>
        <v>75</v>
      </c>
      <c r="W63" s="392">
        <f ca="1">IFERROR(__xludf.DUMMYFUNCTION("IMPORTRANGE(""https://docs.google.com/spreadsheets/d/1C3CXT74ZlgGe6_JY_1olB1XN4rF0dxEuIIF-xsYjHgg/edit?usp=sharing"",""งบกองทุน!AI67"")"),25)</f>
        <v>25</v>
      </c>
      <c r="X63" s="308">
        <f ca="1">IFERROR(__xludf.DUMMYFUNCTION("IMPORTRANGE(""https://docs.google.com/spreadsheets/d/1SX6NBoVAgQJ6U1MVXOaj8PK2l7WJ3RER9xtqwdhxkhw/edit?usp=sharing"",""ปทุมธานี!J317"")"),0)</f>
        <v>0</v>
      </c>
      <c r="Y63" s="309">
        <f t="shared" ca="1" si="9"/>
        <v>0</v>
      </c>
      <c r="Z63" s="308">
        <f ca="1">IFERROR(__xludf.DUMMYFUNCTION("IMPORTRANGE(""https://docs.google.com/spreadsheets/d/1SX6NBoVAgQJ6U1MVXOaj8PK2l7WJ3RER9xtqwdhxkhw/edit?usp=sharing"",""ปทุมธานี!J316"")"),25)</f>
        <v>25</v>
      </c>
      <c r="AA63" s="309">
        <f t="shared" ca="1" si="10"/>
        <v>100</v>
      </c>
      <c r="AB63" s="308">
        <f ca="1">IFERROR(__xludf.DUMMYFUNCTION("IMPORTRANGE(""https://docs.google.com/spreadsheets/d/1SX6NBoVAgQJ6U1MVXOaj8PK2l7WJ3RER9xtqwdhxkhw/edit?usp=sharing"",""ปทุมธานี!J318"")"),25)</f>
        <v>25</v>
      </c>
      <c r="AC63" s="308">
        <f ca="1">IFERROR(__xludf.DUMMYFUNCTION("IMPORTRANGE(""https://docs.google.com/spreadsheets/d/1SX6NBoVAgQJ6U1MVXOaj8PK2l7WJ3RER9xtqwdhxkhw/edit?usp=sharing"",""ปทุมธานี!J319"")"),25)</f>
        <v>25</v>
      </c>
      <c r="AD63" s="308">
        <f ca="1">IFERROR(__xludf.DUMMYFUNCTION("IMPORTRANGE(""https://docs.google.com/spreadsheets/d/1SX6NBoVAgQJ6U1MVXOaj8PK2l7WJ3RER9xtqwdhxkhw/edit?usp=sharing"",""ปทุมธานี!J320"")"),25)</f>
        <v>25</v>
      </c>
      <c r="AE63" s="392">
        <f ca="1">IFERROR(__xludf.DUMMYFUNCTION("IMPORTRANGE(""https://docs.google.com/spreadsheets/d/1C3CXT74ZlgGe6_JY_1olB1XN4rF0dxEuIIF-xsYjHgg/edit?usp=sharing"",""งบกองทุน!AM67"")"),30)</f>
        <v>30</v>
      </c>
      <c r="AF63" s="392">
        <f ca="1">IFERROR(__xludf.DUMMYFUNCTION("IMPORTRANGE(""https://docs.google.com/spreadsheets/d/1C3CXT74ZlgGe6_JY_1olB1XN4rF0dxEuIIF-xsYjHgg/edit?usp=sharing"",""งบกองทุน!AN67"")"),10)</f>
        <v>10</v>
      </c>
      <c r="AG63" s="308">
        <f ca="1">IFERROR(__xludf.DUMMYFUNCTION("IMPORTRANGE(""https://docs.google.com/spreadsheets/d/1SX6NBoVAgQJ6U1MVXOaj8PK2l7WJ3RER9xtqwdhxkhw/edit?usp=sharing"",""ปทุมธานี!J322"")"),0)</f>
        <v>0</v>
      </c>
      <c r="AH63" s="309">
        <f t="shared" ca="1" si="12"/>
        <v>0</v>
      </c>
      <c r="AI63" s="308">
        <f ca="1">IFERROR(__xludf.DUMMYFUNCTION("IMPORTRANGE(""https://docs.google.com/spreadsheets/d/1SX6NBoVAgQJ6U1MVXOaj8PK2l7WJ3RER9xtqwdhxkhw/edit?usp=sharing"",""ปทุมธานี!J321"")"),10)</f>
        <v>10</v>
      </c>
      <c r="AJ63" s="309">
        <f t="shared" ca="1" si="13"/>
        <v>100</v>
      </c>
      <c r="AK63" s="308">
        <f ca="1">IFERROR(__xludf.DUMMYFUNCTION("IMPORTRANGE(""https://docs.google.com/spreadsheets/d/1SX6NBoVAgQJ6U1MVXOaj8PK2l7WJ3RER9xtqwdhxkhw/edit?usp=sharing"",""ปทุมธานี!J323"")"),10)</f>
        <v>10</v>
      </c>
      <c r="AL63" s="308">
        <f ca="1">IFERROR(__xludf.DUMMYFUNCTION("IMPORTRANGE(""https://docs.google.com/spreadsheets/d/1SX6NBoVAgQJ6U1MVXOaj8PK2l7WJ3RER9xtqwdhxkhw/edit?usp=sharing"",""ปทุมธานี!J324"")"),10)</f>
        <v>10</v>
      </c>
      <c r="AM63" s="308">
        <f t="shared" ca="1" si="115"/>
        <v>35</v>
      </c>
      <c r="AN63" s="308">
        <f ca="1">IFERROR(__xludf.DUMMYFUNCTION("IMPORTRANGE(""https://docs.google.com/spreadsheets/d/1SX6NBoVAgQJ6U1MVXOaj8PK2l7WJ3RER9xtqwdhxkhw/edit?usp=sharing"",""ปทุมธานี!J325"")"),0)</f>
        <v>0</v>
      </c>
      <c r="AO63" s="309">
        <f t="shared" ca="1" si="15"/>
        <v>0</v>
      </c>
      <c r="AP63" s="392">
        <f ca="1">IFERROR(__xludf.DUMMYFUNCTION("IMPORTRANGE(""https://docs.google.com/spreadsheets/d/1C3CXT74ZlgGe6_JY_1olB1XN4rF0dxEuIIF-xsYjHgg/edit?usp=sharing"",""งบกองทุน!AR67"")"),10)</f>
        <v>10</v>
      </c>
      <c r="AQ63" s="308">
        <f ca="1">IFERROR(__xludf.DUMMYFUNCTION("IMPORTRANGE(""https://docs.google.com/spreadsheets/d/1SX6NBoVAgQJ6U1MVXOaj8PK2l7WJ3RER9xtqwdhxkhw/edit?usp=sharing"",""ปทุมธานี!J326"")"),0)</f>
        <v>0</v>
      </c>
      <c r="AR63" s="308">
        <f ca="1">IFERROR(__xludf.DUMMYFUNCTION("IMPORTRANGE(""https://docs.google.com/spreadsheets/d/1C3CXT74ZlgGe6_JY_1olB1XN4rF0dxEuIIF-xsYjHgg/edit?usp=sharing"",""งบกองทุน!AS67"")"),25)</f>
        <v>25</v>
      </c>
      <c r="AS63" s="393">
        <f ca="1">IFERROR(__xludf.DUMMYFUNCTION("IMPORTRANGE(""https://docs.google.com/spreadsheets/d/1SX6NBoVAgQJ6U1MVXOaj8PK2l7WJ3RER9xtqwdhxkhw/edit?usp=sharing"",""ปทุมธานี!J327"")"),0)</f>
        <v>0</v>
      </c>
    </row>
    <row r="64" spans="1:45" ht="21" customHeight="1">
      <c r="A64" s="303">
        <v>10</v>
      </c>
      <c r="B64" s="304" t="s">
        <v>88</v>
      </c>
      <c r="C64" s="391">
        <f t="shared" ca="1" si="111"/>
        <v>95560</v>
      </c>
      <c r="D64" s="306">
        <f ca="1">IFERROR(__xludf.DUMMYFUNCTION("IMPORTRANGE(""https://docs.google.com/spreadsheets/d/1C3CXT74ZlgGe6_JY_1olB1XN4rF0dxEuIIF-xsYjHgg/edit?usp=sharing"",""งบกองทุน!Z68"")"),0)</f>
        <v>0</v>
      </c>
      <c r="E64" s="306">
        <f ca="1">IFERROR(__xludf.DUMMYFUNCTION("IMPORTRANGE(""https://docs.google.com/spreadsheets/d/1C3CXT74ZlgGe6_JY_1olB1XN4rF0dxEuIIF-xsYjHgg/edit?usp=sharing"",""งบกองทุน!AA68"")"),95560)</f>
        <v>95560</v>
      </c>
      <c r="F64" s="307">
        <f ca="1">IFERROR(__xludf.DUMMYFUNCTION("IMPORTRANGE(""https://docs.google.com/spreadsheets/d/1SX6NBoVAgQJ6U1MVXOaj8PK2l7WJ3RER9xtqwdhxkhw/edit?usp=sharing"",""ประจวบคีรีขันธ์!M299"")"),95159)</f>
        <v>95159</v>
      </c>
      <c r="G64" s="307">
        <f t="shared" ca="1" si="1"/>
        <v>99.580368354960228</v>
      </c>
      <c r="H64" s="308">
        <f t="shared" ref="H64:I64" ca="1" si="124">+N64+V64+AE64</f>
        <v>90</v>
      </c>
      <c r="I64" s="308">
        <f t="shared" ca="1" si="124"/>
        <v>30</v>
      </c>
      <c r="J64" s="308">
        <f t="shared" ca="1" si="113"/>
        <v>90</v>
      </c>
      <c r="K64" s="309">
        <f t="shared" ca="1" si="3"/>
        <v>100</v>
      </c>
      <c r="L64" s="308">
        <f t="shared" ca="1" si="114"/>
        <v>30</v>
      </c>
      <c r="M64" s="309">
        <f t="shared" ca="1" si="4"/>
        <v>100</v>
      </c>
      <c r="N64" s="394">
        <f ca="1">IFERROR(__xludf.DUMMYFUNCTION("IMPORTRANGE(""https://docs.google.com/spreadsheets/d/1C3CXT74ZlgGe6_JY_1olB1XN4rF0dxEuIIF-xsYjHgg/edit?usp=sharing"",""งบกองทุน!AD68"")"),0)</f>
        <v>0</v>
      </c>
      <c r="O64" s="394">
        <f ca="1">IFERROR(__xludf.DUMMYFUNCTION("IMPORTRANGE(""https://docs.google.com/spreadsheets/d/1C3CXT74ZlgGe6_JY_1olB1XN4rF0dxEuIIF-xsYjHgg/edit?usp=sharing"",""งบกองทุน!AE68"")"),0)</f>
        <v>0</v>
      </c>
      <c r="P64" s="308">
        <f ca="1">IFERROR(__xludf.DUMMYFUNCTION("IMPORTRANGE(""https://docs.google.com/spreadsheets/d/1SX6NBoVAgQJ6U1MVXOaj8PK2l7WJ3RER9xtqwdhxkhw/edit?usp=sharing"",""ประจวบคีรีขันธ์!J313"")"),0)</f>
        <v>0</v>
      </c>
      <c r="Q64" s="309">
        <f t="shared" ca="1" si="6"/>
        <v>0</v>
      </c>
      <c r="R64" s="308">
        <f ca="1">IFERROR(__xludf.DUMMYFUNCTION("IMPORTRANGE(""https://docs.google.com/spreadsheets/d/1SX6NBoVAgQJ6U1MVXOaj8PK2l7WJ3RER9xtqwdhxkhw/edit?usp=sharing"",""ประจวบคีรีขันธ์!J312"")"),0)</f>
        <v>0</v>
      </c>
      <c r="S64" s="309">
        <f t="shared" ca="1" si="7"/>
        <v>0</v>
      </c>
      <c r="T64" s="309">
        <f ca="1">IFERROR(__xludf.DUMMYFUNCTION("IMPORTRANGE(""https://docs.google.com/spreadsheets/d/1SX6NBoVAgQJ6U1MVXOaj8PK2l7WJ3RER9xtqwdhxkhw/edit?usp=sharing"",""ประจวบคีรีขันธ์!J314"")"),0)</f>
        <v>0</v>
      </c>
      <c r="U64" s="309">
        <f ca="1">IFERROR(__xludf.DUMMYFUNCTION("IMPORTRANGE(""https://docs.google.com/spreadsheets/d/1SX6NBoVAgQJ6U1MVXOaj8PK2l7WJ3RER9xtqwdhxkhw/edit?usp=sharing"",""ประจวบคีรีขันธ์!J315"")"),0)</f>
        <v>0</v>
      </c>
      <c r="V64" s="392">
        <f ca="1">IFERROR(__xludf.DUMMYFUNCTION("IMPORTRANGE(""https://docs.google.com/spreadsheets/d/1C3CXT74ZlgGe6_JY_1olB1XN4rF0dxEuIIF-xsYjHgg/edit?usp=sharing"",""งบกองทุน!AH68"")"),48)</f>
        <v>48</v>
      </c>
      <c r="W64" s="392">
        <f ca="1">IFERROR(__xludf.DUMMYFUNCTION("IMPORTRANGE(""https://docs.google.com/spreadsheets/d/1C3CXT74ZlgGe6_JY_1olB1XN4rF0dxEuIIF-xsYjHgg/edit?usp=sharing"",""งบกองทุน!AI68"")"),16)</f>
        <v>16</v>
      </c>
      <c r="X64" s="308">
        <f ca="1">IFERROR(__xludf.DUMMYFUNCTION("IMPORTRANGE(""https://docs.google.com/spreadsheets/d/1SX6NBoVAgQJ6U1MVXOaj8PK2l7WJ3RER9xtqwdhxkhw/edit?usp=sharing"",""ประจวบคีรีขันธ์!J317"")"),48)</f>
        <v>48</v>
      </c>
      <c r="Y64" s="309">
        <f t="shared" ca="1" si="9"/>
        <v>100</v>
      </c>
      <c r="Z64" s="308">
        <f ca="1">IFERROR(__xludf.DUMMYFUNCTION("IMPORTRANGE(""https://docs.google.com/spreadsheets/d/1SX6NBoVAgQJ6U1MVXOaj8PK2l7WJ3RER9xtqwdhxkhw/edit?usp=sharing"",""ประจวบคีรีขันธ์!J316"")"),16)</f>
        <v>16</v>
      </c>
      <c r="AA64" s="309">
        <f t="shared" ca="1" si="10"/>
        <v>100</v>
      </c>
      <c r="AB64" s="308">
        <f ca="1">IFERROR(__xludf.DUMMYFUNCTION("IMPORTRANGE(""https://docs.google.com/spreadsheets/d/1SX6NBoVAgQJ6U1MVXOaj8PK2l7WJ3RER9xtqwdhxkhw/edit?usp=sharing"",""ประจวบคีรีขันธ์!J318"")"),16)</f>
        <v>16</v>
      </c>
      <c r="AC64" s="308">
        <f ca="1">IFERROR(__xludf.DUMMYFUNCTION("IMPORTRANGE(""https://docs.google.com/spreadsheets/d/1SX6NBoVAgQJ6U1MVXOaj8PK2l7WJ3RER9xtqwdhxkhw/edit?usp=sharing"",""ประจวบคีรีขันธ์!J319"")"),16)</f>
        <v>16</v>
      </c>
      <c r="AD64" s="308">
        <f ca="1">IFERROR(__xludf.DUMMYFUNCTION("IMPORTRANGE(""https://docs.google.com/spreadsheets/d/1SX6NBoVAgQJ6U1MVXOaj8PK2l7WJ3RER9xtqwdhxkhw/edit?usp=sharing"",""ประจวบคีรีขันธ์!J320"")"),16)</f>
        <v>16</v>
      </c>
      <c r="AE64" s="392">
        <f ca="1">IFERROR(__xludf.DUMMYFUNCTION("IMPORTRANGE(""https://docs.google.com/spreadsheets/d/1C3CXT74ZlgGe6_JY_1olB1XN4rF0dxEuIIF-xsYjHgg/edit?usp=sharing"",""งบกองทุน!AM68"")"),42)</f>
        <v>42</v>
      </c>
      <c r="AF64" s="392">
        <f ca="1">IFERROR(__xludf.DUMMYFUNCTION("IMPORTRANGE(""https://docs.google.com/spreadsheets/d/1C3CXT74ZlgGe6_JY_1olB1XN4rF0dxEuIIF-xsYjHgg/edit?usp=sharing"",""งบกองทุน!AN68"")"),14)</f>
        <v>14</v>
      </c>
      <c r="AG64" s="308">
        <f ca="1">IFERROR(__xludf.DUMMYFUNCTION("IMPORTRANGE(""https://docs.google.com/spreadsheets/d/1SX6NBoVAgQJ6U1MVXOaj8PK2l7WJ3RER9xtqwdhxkhw/edit?usp=sharing"",""ประจวบคีรีขันธ์!J322"")"),42)</f>
        <v>42</v>
      </c>
      <c r="AH64" s="309">
        <f t="shared" ca="1" si="12"/>
        <v>100</v>
      </c>
      <c r="AI64" s="308">
        <f ca="1">IFERROR(__xludf.DUMMYFUNCTION("IMPORTRANGE(""https://docs.google.com/spreadsheets/d/1SX6NBoVAgQJ6U1MVXOaj8PK2l7WJ3RER9xtqwdhxkhw/edit?usp=sharing"",""ประจวบคีรีขันธ์!J321"")"),14)</f>
        <v>14</v>
      </c>
      <c r="AJ64" s="309">
        <f t="shared" ca="1" si="13"/>
        <v>100</v>
      </c>
      <c r="AK64" s="308">
        <f ca="1">IFERROR(__xludf.DUMMYFUNCTION("IMPORTRANGE(""https://docs.google.com/spreadsheets/d/1SX6NBoVAgQJ6U1MVXOaj8PK2l7WJ3RER9xtqwdhxkhw/edit?usp=sharing"",""ประจวบคีรีขันธ์!J323"")"),14)</f>
        <v>14</v>
      </c>
      <c r="AL64" s="308">
        <f ca="1">IFERROR(__xludf.DUMMYFUNCTION("IMPORTRANGE(""https://docs.google.com/spreadsheets/d/1SX6NBoVAgQJ6U1MVXOaj8PK2l7WJ3RER9xtqwdhxkhw/edit?usp=sharing"",""ประจวบคีรีขันธ์!J324"")"),14)</f>
        <v>14</v>
      </c>
      <c r="AM64" s="308">
        <f t="shared" ca="1" si="115"/>
        <v>16</v>
      </c>
      <c r="AN64" s="308">
        <f ca="1">IFERROR(__xludf.DUMMYFUNCTION("IMPORTRANGE(""https://docs.google.com/spreadsheets/d/1SX6NBoVAgQJ6U1MVXOaj8PK2l7WJ3RER9xtqwdhxkhw/edit?usp=sharing"",""ประจวบคีรีขันธ์!J325"")"),16)</f>
        <v>16</v>
      </c>
      <c r="AO64" s="309">
        <f t="shared" ca="1" si="15"/>
        <v>100</v>
      </c>
      <c r="AP64" s="394">
        <f ca="1">IFERROR(__xludf.DUMMYFUNCTION("IMPORTRANGE(""https://docs.google.com/spreadsheets/d/1C3CXT74ZlgGe6_JY_1olB1XN4rF0dxEuIIF-xsYjHgg/edit?usp=sharing"",""งบกองทุน!AR68"")"),0)</f>
        <v>0</v>
      </c>
      <c r="AQ64" s="308">
        <f ca="1">IFERROR(__xludf.DUMMYFUNCTION("IMPORTRANGE(""https://docs.google.com/spreadsheets/d/1SX6NBoVAgQJ6U1MVXOaj8PK2l7WJ3RER9xtqwdhxkhw/edit?usp=sharing"",""ประจวบคีรีขันธ์!J326"")"),0)</f>
        <v>0</v>
      </c>
      <c r="AR64" s="308">
        <f ca="1">IFERROR(__xludf.DUMMYFUNCTION("IMPORTRANGE(""https://docs.google.com/spreadsheets/d/1C3CXT74ZlgGe6_JY_1olB1XN4rF0dxEuIIF-xsYjHgg/edit?usp=sharing"",""งบกองทุน!AS68"")"),16)</f>
        <v>16</v>
      </c>
      <c r="AS64" s="393">
        <f ca="1">IFERROR(__xludf.DUMMYFUNCTION("IMPORTRANGE(""https://docs.google.com/spreadsheets/d/1SX6NBoVAgQJ6U1MVXOaj8PK2l7WJ3RER9xtqwdhxkhw/edit?usp=sharing"",""ประจวบคีรีขันธ์!J327"")"),16)</f>
        <v>16</v>
      </c>
    </row>
    <row r="65" spans="1:45" ht="21" customHeight="1">
      <c r="A65" s="303">
        <v>11</v>
      </c>
      <c r="B65" s="304" t="s">
        <v>89</v>
      </c>
      <c r="C65" s="391">
        <f t="shared" ca="1" si="111"/>
        <v>116320</v>
      </c>
      <c r="D65" s="306">
        <f ca="1">IFERROR(__xludf.DUMMYFUNCTION("IMPORTRANGE(""https://docs.google.com/spreadsheets/d/1C3CXT74ZlgGe6_JY_1olB1XN4rF0dxEuIIF-xsYjHgg/edit?usp=sharing"",""งบกองทุน!Z69"")"),0)</f>
        <v>0</v>
      </c>
      <c r="E65" s="306">
        <f ca="1">IFERROR(__xludf.DUMMYFUNCTION("IMPORTRANGE(""https://docs.google.com/spreadsheets/d/1C3CXT74ZlgGe6_JY_1olB1XN4rF0dxEuIIF-xsYjHgg/edit?usp=sharing"",""งบกองทุน!AA69"")"),116320)</f>
        <v>116320</v>
      </c>
      <c r="F65" s="307">
        <f ca="1">IFERROR(__xludf.DUMMYFUNCTION("IMPORTRANGE(""https://docs.google.com/spreadsheets/d/1SX6NBoVAgQJ6U1MVXOaj8PK2l7WJ3RER9xtqwdhxkhw/edit?usp=sharing"",""ปราจีนบุรี!M299"")"),74380)</f>
        <v>74380</v>
      </c>
      <c r="G65" s="307">
        <f t="shared" ca="1" si="1"/>
        <v>63.944291609353506</v>
      </c>
      <c r="H65" s="308">
        <f t="shared" ref="H65:I65" ca="1" si="125">+N65+V65+AE65</f>
        <v>90</v>
      </c>
      <c r="I65" s="308">
        <f t="shared" ca="1" si="125"/>
        <v>30</v>
      </c>
      <c r="J65" s="308">
        <f t="shared" ca="1" si="113"/>
        <v>90</v>
      </c>
      <c r="K65" s="309">
        <f t="shared" ca="1" si="3"/>
        <v>100</v>
      </c>
      <c r="L65" s="308">
        <f t="shared" ca="1" si="114"/>
        <v>30</v>
      </c>
      <c r="M65" s="309">
        <f t="shared" ca="1" si="4"/>
        <v>100</v>
      </c>
      <c r="N65" s="392">
        <f ca="1">IFERROR(__xludf.DUMMYFUNCTION("IMPORTRANGE(""https://docs.google.com/spreadsheets/d/1C3CXT74ZlgGe6_JY_1olB1XN4rF0dxEuIIF-xsYjHgg/edit?usp=sharing"",""งบกองทุน!AD69"")"),30)</f>
        <v>30</v>
      </c>
      <c r="O65" s="392">
        <f ca="1">IFERROR(__xludf.DUMMYFUNCTION("IMPORTRANGE(""https://docs.google.com/spreadsheets/d/1C3CXT74ZlgGe6_JY_1olB1XN4rF0dxEuIIF-xsYjHgg/edit?usp=sharing"",""งบกองทุน!AE69"")"),10)</f>
        <v>10</v>
      </c>
      <c r="P65" s="308">
        <f ca="1">IFERROR(__xludf.DUMMYFUNCTION("IMPORTRANGE(""https://docs.google.com/spreadsheets/d/1SX6NBoVAgQJ6U1MVXOaj8PK2l7WJ3RER9xtqwdhxkhw/edit?usp=sharing"",""ปราจีนบุรี!J313"")"),30)</f>
        <v>30</v>
      </c>
      <c r="Q65" s="309">
        <f t="shared" ca="1" si="6"/>
        <v>100</v>
      </c>
      <c r="R65" s="308">
        <f ca="1">IFERROR(__xludf.DUMMYFUNCTION("IMPORTRANGE(""https://docs.google.com/spreadsheets/d/1SX6NBoVAgQJ6U1MVXOaj8PK2l7WJ3RER9xtqwdhxkhw/edit?usp=sharing"",""ปราจีนบุรี!J312"")"),10)</f>
        <v>10</v>
      </c>
      <c r="S65" s="309">
        <f t="shared" ca="1" si="7"/>
        <v>100</v>
      </c>
      <c r="T65" s="309">
        <f ca="1">IFERROR(__xludf.DUMMYFUNCTION("IMPORTRANGE(""https://docs.google.com/spreadsheets/d/1SX6NBoVAgQJ6U1MVXOaj8PK2l7WJ3RER9xtqwdhxkhw/edit?usp=sharing"",""ปราจีนบุรี!J314"")"),10)</f>
        <v>10</v>
      </c>
      <c r="U65" s="309">
        <f ca="1">IFERROR(__xludf.DUMMYFUNCTION("IMPORTRANGE(""https://docs.google.com/spreadsheets/d/1SX6NBoVAgQJ6U1MVXOaj8PK2l7WJ3RER9xtqwdhxkhw/edit?usp=sharing"",""ปราจีนบุรี!J315"")"),10)</f>
        <v>10</v>
      </c>
      <c r="V65" s="392">
        <f ca="1">IFERROR(__xludf.DUMMYFUNCTION("IMPORTRANGE(""https://docs.google.com/spreadsheets/d/1C3CXT74ZlgGe6_JY_1olB1XN4rF0dxEuIIF-xsYjHgg/edit?usp=sharing"",""งบกองทุน!AH69"")"),30)</f>
        <v>30</v>
      </c>
      <c r="W65" s="392">
        <f ca="1">IFERROR(__xludf.DUMMYFUNCTION("IMPORTRANGE(""https://docs.google.com/spreadsheets/d/1C3CXT74ZlgGe6_JY_1olB1XN4rF0dxEuIIF-xsYjHgg/edit?usp=sharing"",""งบกองทุน!AI69"")"),10)</f>
        <v>10</v>
      </c>
      <c r="X65" s="308">
        <f ca="1">IFERROR(__xludf.DUMMYFUNCTION("IMPORTRANGE(""https://docs.google.com/spreadsheets/d/1SX6NBoVAgQJ6U1MVXOaj8PK2l7WJ3RER9xtqwdhxkhw/edit?usp=sharing"",""ปราจีนบุรี!J317"")"),30)</f>
        <v>30</v>
      </c>
      <c r="Y65" s="309">
        <f t="shared" ca="1" si="9"/>
        <v>100</v>
      </c>
      <c r="Z65" s="308">
        <f ca="1">IFERROR(__xludf.DUMMYFUNCTION("IMPORTRANGE(""https://docs.google.com/spreadsheets/d/1SX6NBoVAgQJ6U1MVXOaj8PK2l7WJ3RER9xtqwdhxkhw/edit?usp=sharing"",""ปราจีนบุรี!J316"")"),10)</f>
        <v>10</v>
      </c>
      <c r="AA65" s="309">
        <f t="shared" ca="1" si="10"/>
        <v>100</v>
      </c>
      <c r="AB65" s="308">
        <f ca="1">IFERROR(__xludf.DUMMYFUNCTION("IMPORTRANGE(""https://docs.google.com/spreadsheets/d/1SX6NBoVAgQJ6U1MVXOaj8PK2l7WJ3RER9xtqwdhxkhw/edit?usp=sharing"",""ปราจีนบุรี!J318"")"),10)</f>
        <v>10</v>
      </c>
      <c r="AC65" s="308">
        <f ca="1">IFERROR(__xludf.DUMMYFUNCTION("IMPORTRANGE(""https://docs.google.com/spreadsheets/d/1SX6NBoVAgQJ6U1MVXOaj8PK2l7WJ3RER9xtqwdhxkhw/edit?usp=sharing"",""ปราจีนบุรี!J319"")"),10)</f>
        <v>10</v>
      </c>
      <c r="AD65" s="308">
        <f ca="1">IFERROR(__xludf.DUMMYFUNCTION("IMPORTRANGE(""https://docs.google.com/spreadsheets/d/1SX6NBoVAgQJ6U1MVXOaj8PK2l7WJ3RER9xtqwdhxkhw/edit?usp=sharing"",""ปราจีนบุรี!J320"")"),10)</f>
        <v>10</v>
      </c>
      <c r="AE65" s="392">
        <f ca="1">IFERROR(__xludf.DUMMYFUNCTION("IMPORTRANGE(""https://docs.google.com/spreadsheets/d/1C3CXT74ZlgGe6_JY_1olB1XN4rF0dxEuIIF-xsYjHgg/edit?usp=sharing"",""งบกองทุน!AM69"")"),30)</f>
        <v>30</v>
      </c>
      <c r="AF65" s="392">
        <f ca="1">IFERROR(__xludf.DUMMYFUNCTION("IMPORTRANGE(""https://docs.google.com/spreadsheets/d/1C3CXT74ZlgGe6_JY_1olB1XN4rF0dxEuIIF-xsYjHgg/edit?usp=sharing"",""งบกองทุน!AN69"")"),10)</f>
        <v>10</v>
      </c>
      <c r="AG65" s="308">
        <f ca="1">IFERROR(__xludf.DUMMYFUNCTION("IMPORTRANGE(""https://docs.google.com/spreadsheets/d/1SX6NBoVAgQJ6U1MVXOaj8PK2l7WJ3RER9xtqwdhxkhw/edit?usp=sharing"",""ปราจีนบุรี!J322"")"),30)</f>
        <v>30</v>
      </c>
      <c r="AH65" s="309">
        <f t="shared" ca="1" si="12"/>
        <v>100</v>
      </c>
      <c r="AI65" s="308">
        <f ca="1">IFERROR(__xludf.DUMMYFUNCTION("IMPORTRANGE(""https://docs.google.com/spreadsheets/d/1SX6NBoVAgQJ6U1MVXOaj8PK2l7WJ3RER9xtqwdhxkhw/edit?usp=sharing"",""ปราจีนบุรี!J321"")"),10)</f>
        <v>10</v>
      </c>
      <c r="AJ65" s="309">
        <f t="shared" ca="1" si="13"/>
        <v>100</v>
      </c>
      <c r="AK65" s="308">
        <f ca="1">IFERROR(__xludf.DUMMYFUNCTION("IMPORTRANGE(""https://docs.google.com/spreadsheets/d/1SX6NBoVAgQJ6U1MVXOaj8PK2l7WJ3RER9xtqwdhxkhw/edit?usp=sharing"",""ปราจีนบุรี!J323"")"),10)</f>
        <v>10</v>
      </c>
      <c r="AL65" s="308">
        <f ca="1">IFERROR(__xludf.DUMMYFUNCTION("IMPORTRANGE(""https://docs.google.com/spreadsheets/d/1SX6NBoVAgQJ6U1MVXOaj8PK2l7WJ3RER9xtqwdhxkhw/edit?usp=sharing"",""ปราจีนบุรี!J324"")"),10)</f>
        <v>10</v>
      </c>
      <c r="AM65" s="308">
        <f t="shared" ca="1" si="115"/>
        <v>20</v>
      </c>
      <c r="AN65" s="308">
        <f ca="1">IFERROR(__xludf.DUMMYFUNCTION("IMPORTRANGE(""https://docs.google.com/spreadsheets/d/1SX6NBoVAgQJ6U1MVXOaj8PK2l7WJ3RER9xtqwdhxkhw/edit?usp=sharing"",""ปราจีนบุรี!J325"")"),0)</f>
        <v>0</v>
      </c>
      <c r="AO65" s="309">
        <f t="shared" ca="1" si="15"/>
        <v>0</v>
      </c>
      <c r="AP65" s="392">
        <f ca="1">IFERROR(__xludf.DUMMYFUNCTION("IMPORTRANGE(""https://docs.google.com/spreadsheets/d/1C3CXT74ZlgGe6_JY_1olB1XN4rF0dxEuIIF-xsYjHgg/edit?usp=sharing"",""งบกองทุน!AR69"")"),10)</f>
        <v>10</v>
      </c>
      <c r="AQ65" s="308">
        <f ca="1">IFERROR(__xludf.DUMMYFUNCTION("IMPORTRANGE(""https://docs.google.com/spreadsheets/d/1SX6NBoVAgQJ6U1MVXOaj8PK2l7WJ3RER9xtqwdhxkhw/edit?usp=sharing"",""ปราจีนบุรี!J326"")"),0)</f>
        <v>0</v>
      </c>
      <c r="AR65" s="308">
        <f ca="1">IFERROR(__xludf.DUMMYFUNCTION("IMPORTRANGE(""https://docs.google.com/spreadsheets/d/1C3CXT74ZlgGe6_JY_1olB1XN4rF0dxEuIIF-xsYjHgg/edit?usp=sharing"",""งบกองทุน!AS69"")"),10)</f>
        <v>10</v>
      </c>
      <c r="AS65" s="393">
        <f ca="1">IFERROR(__xludf.DUMMYFUNCTION("IMPORTRANGE(""https://docs.google.com/spreadsheets/d/1SX6NBoVAgQJ6U1MVXOaj8PK2l7WJ3RER9xtqwdhxkhw/edit?usp=sharing"",""ปราจีนบุรี!J327"")"),0)</f>
        <v>0</v>
      </c>
    </row>
    <row r="66" spans="1:45" ht="21" customHeight="1">
      <c r="A66" s="303">
        <v>12</v>
      </c>
      <c r="B66" s="304" t="s">
        <v>90</v>
      </c>
      <c r="C66" s="391">
        <f t="shared" ca="1" si="111"/>
        <v>230070</v>
      </c>
      <c r="D66" s="306">
        <f ca="1">IFERROR(__xludf.DUMMYFUNCTION("IMPORTRANGE(""https://docs.google.com/spreadsheets/d/1C3CXT74ZlgGe6_JY_1olB1XN4rF0dxEuIIF-xsYjHgg/edit?usp=sharing"",""งบกองทุน!Z70"")"),0)</f>
        <v>0</v>
      </c>
      <c r="E66" s="306">
        <f ca="1">IFERROR(__xludf.DUMMYFUNCTION("IMPORTRANGE(""https://docs.google.com/spreadsheets/d/1C3CXT74ZlgGe6_JY_1olB1XN4rF0dxEuIIF-xsYjHgg/edit?usp=sharing"",""งบกองทุน!AA70"")"),230070)</f>
        <v>230070</v>
      </c>
      <c r="F66" s="307">
        <f ca="1">IFERROR(__xludf.DUMMYFUNCTION("IMPORTRANGE(""https://docs.google.com/spreadsheets/d/1SX6NBoVAgQJ6U1MVXOaj8PK2l7WJ3RER9xtqwdhxkhw/edit?usp=sharing"",""พระนครศรีอยุธยา!M299"")"),103642.6)</f>
        <v>103642.6</v>
      </c>
      <c r="G66" s="307">
        <f t="shared" ca="1" si="1"/>
        <v>45.048289650975789</v>
      </c>
      <c r="H66" s="308">
        <f t="shared" ref="H66:I66" ca="1" si="126">+N66+V66+AE66</f>
        <v>225</v>
      </c>
      <c r="I66" s="308">
        <f t="shared" ca="1" si="126"/>
        <v>75</v>
      </c>
      <c r="J66" s="308">
        <f t="shared" ca="1" si="113"/>
        <v>225</v>
      </c>
      <c r="K66" s="309">
        <f t="shared" ca="1" si="3"/>
        <v>100</v>
      </c>
      <c r="L66" s="308">
        <f t="shared" ca="1" si="114"/>
        <v>75</v>
      </c>
      <c r="M66" s="309">
        <f t="shared" ca="1" si="4"/>
        <v>100</v>
      </c>
      <c r="N66" s="394">
        <f ca="1">IFERROR(__xludf.DUMMYFUNCTION("IMPORTRANGE(""https://docs.google.com/spreadsheets/d/1C3CXT74ZlgGe6_JY_1olB1XN4rF0dxEuIIF-xsYjHgg/edit?usp=sharing"",""งบกองทุน!AD70"")"),0)</f>
        <v>0</v>
      </c>
      <c r="O66" s="394">
        <f ca="1">IFERROR(__xludf.DUMMYFUNCTION("IMPORTRANGE(""https://docs.google.com/spreadsheets/d/1C3CXT74ZlgGe6_JY_1olB1XN4rF0dxEuIIF-xsYjHgg/edit?usp=sharing"",""งบกองทุน!AE70"")"),0)</f>
        <v>0</v>
      </c>
      <c r="P66" s="308">
        <f ca="1">IFERROR(__xludf.DUMMYFUNCTION("IMPORTRANGE(""https://docs.google.com/spreadsheets/d/1SX6NBoVAgQJ6U1MVXOaj8PK2l7WJ3RER9xtqwdhxkhw/edit?usp=sharing"",""พระนครศรีอยุธยา!J313"")"),0)</f>
        <v>0</v>
      </c>
      <c r="Q66" s="309">
        <f t="shared" ca="1" si="6"/>
        <v>0</v>
      </c>
      <c r="R66" s="308">
        <f ca="1">IFERROR(__xludf.DUMMYFUNCTION("IMPORTRANGE(""https://docs.google.com/spreadsheets/d/1SX6NBoVAgQJ6U1MVXOaj8PK2l7WJ3RER9xtqwdhxkhw/edit?usp=sharing"",""พระนครศรีอยุธยา!J312"")"),0)</f>
        <v>0</v>
      </c>
      <c r="S66" s="309">
        <f t="shared" ca="1" si="7"/>
        <v>0</v>
      </c>
      <c r="T66" s="309">
        <f ca="1">IFERROR(__xludf.DUMMYFUNCTION("IMPORTRANGE(""https://docs.google.com/spreadsheets/d/1SX6NBoVAgQJ6U1MVXOaj8PK2l7WJ3RER9xtqwdhxkhw/edit?usp=sharing"",""พระนครศรีอยุธยา!J314"")"),0)</f>
        <v>0</v>
      </c>
      <c r="U66" s="309">
        <f ca="1">IFERROR(__xludf.DUMMYFUNCTION("IMPORTRANGE(""https://docs.google.com/spreadsheets/d/1SX6NBoVAgQJ6U1MVXOaj8PK2l7WJ3RER9xtqwdhxkhw/edit?usp=sharing"",""พระนครศรีอยุธยา!J315"")"),0)</f>
        <v>0</v>
      </c>
      <c r="V66" s="392">
        <f ca="1">IFERROR(__xludf.DUMMYFUNCTION("IMPORTRANGE(""https://docs.google.com/spreadsheets/d/1C3CXT74ZlgGe6_JY_1olB1XN4rF0dxEuIIF-xsYjHgg/edit?usp=sharing"",""งบกองทุน!AH70"")"),195)</f>
        <v>195</v>
      </c>
      <c r="W66" s="392">
        <f ca="1">IFERROR(__xludf.DUMMYFUNCTION("IMPORTRANGE(""https://docs.google.com/spreadsheets/d/1C3CXT74ZlgGe6_JY_1olB1XN4rF0dxEuIIF-xsYjHgg/edit?usp=sharing"",""งบกองทุน!AI70"")"),65)</f>
        <v>65</v>
      </c>
      <c r="X66" s="308">
        <f ca="1">IFERROR(__xludf.DUMMYFUNCTION("IMPORTRANGE(""https://docs.google.com/spreadsheets/d/1SX6NBoVAgQJ6U1MVXOaj8PK2l7WJ3RER9xtqwdhxkhw/edit?usp=sharing"",""พระนครศรีอยุธยา!J317"")"),195)</f>
        <v>195</v>
      </c>
      <c r="Y66" s="309">
        <f t="shared" ca="1" si="9"/>
        <v>100</v>
      </c>
      <c r="Z66" s="308">
        <f ca="1">IFERROR(__xludf.DUMMYFUNCTION("IMPORTRANGE(""https://docs.google.com/spreadsheets/d/1SX6NBoVAgQJ6U1MVXOaj8PK2l7WJ3RER9xtqwdhxkhw/edit?usp=sharing"",""พระนครศรีอยุธยา!J316"")"),65)</f>
        <v>65</v>
      </c>
      <c r="AA66" s="309">
        <f t="shared" ca="1" si="10"/>
        <v>100</v>
      </c>
      <c r="AB66" s="308">
        <f ca="1">IFERROR(__xludf.DUMMYFUNCTION("IMPORTRANGE(""https://docs.google.com/spreadsheets/d/1SX6NBoVAgQJ6U1MVXOaj8PK2l7WJ3RER9xtqwdhxkhw/edit?usp=sharing"",""พระนครศรีอยุธยา!J318"")"),65)</f>
        <v>65</v>
      </c>
      <c r="AC66" s="308">
        <f ca="1">IFERROR(__xludf.DUMMYFUNCTION("IMPORTRANGE(""https://docs.google.com/spreadsheets/d/1SX6NBoVAgQJ6U1MVXOaj8PK2l7WJ3RER9xtqwdhxkhw/edit?usp=sharing"",""พระนครศรีอยุธยา!J319"")"),65)</f>
        <v>65</v>
      </c>
      <c r="AD66" s="308">
        <f ca="1">IFERROR(__xludf.DUMMYFUNCTION("IMPORTRANGE(""https://docs.google.com/spreadsheets/d/1SX6NBoVAgQJ6U1MVXOaj8PK2l7WJ3RER9xtqwdhxkhw/edit?usp=sharing"",""พระนครศรีอยุธยา!J320"")"),65)</f>
        <v>65</v>
      </c>
      <c r="AE66" s="392">
        <f ca="1">IFERROR(__xludf.DUMMYFUNCTION("IMPORTRANGE(""https://docs.google.com/spreadsheets/d/1C3CXT74ZlgGe6_JY_1olB1XN4rF0dxEuIIF-xsYjHgg/edit?usp=sharing"",""งบกองทุน!AM70"")"),30)</f>
        <v>30</v>
      </c>
      <c r="AF66" s="392">
        <f ca="1">IFERROR(__xludf.DUMMYFUNCTION("IMPORTRANGE(""https://docs.google.com/spreadsheets/d/1C3CXT74ZlgGe6_JY_1olB1XN4rF0dxEuIIF-xsYjHgg/edit?usp=sharing"",""งบกองทุน!AN70"")"),10)</f>
        <v>10</v>
      </c>
      <c r="AG66" s="308">
        <f ca="1">IFERROR(__xludf.DUMMYFUNCTION("IMPORTRANGE(""https://docs.google.com/spreadsheets/d/1SX6NBoVAgQJ6U1MVXOaj8PK2l7WJ3RER9xtqwdhxkhw/edit?usp=sharing"",""พระนครศรีอยุธยา!J322"")"),30)</f>
        <v>30</v>
      </c>
      <c r="AH66" s="309">
        <f t="shared" ca="1" si="12"/>
        <v>100</v>
      </c>
      <c r="AI66" s="308">
        <f ca="1">IFERROR(__xludf.DUMMYFUNCTION("IMPORTRANGE(""https://docs.google.com/spreadsheets/d/1SX6NBoVAgQJ6U1MVXOaj8PK2l7WJ3RER9xtqwdhxkhw/edit?usp=sharing"",""พระนครศรีอยุธยา!J321"")"),10)</f>
        <v>10</v>
      </c>
      <c r="AJ66" s="309">
        <f t="shared" ca="1" si="13"/>
        <v>100</v>
      </c>
      <c r="AK66" s="308">
        <f ca="1">IFERROR(__xludf.DUMMYFUNCTION("IMPORTRANGE(""https://docs.google.com/spreadsheets/d/1SX6NBoVAgQJ6U1MVXOaj8PK2l7WJ3RER9xtqwdhxkhw/edit?usp=sharing"",""พระนครศรีอยุธยา!J323"")"),10)</f>
        <v>10</v>
      </c>
      <c r="AL66" s="308">
        <f ca="1">IFERROR(__xludf.DUMMYFUNCTION("IMPORTRANGE(""https://docs.google.com/spreadsheets/d/1SX6NBoVAgQJ6U1MVXOaj8PK2l7WJ3RER9xtqwdhxkhw/edit?usp=sharing"",""พระนครศรีอยุธยา!J324"")"),10)</f>
        <v>10</v>
      </c>
      <c r="AM66" s="308">
        <f t="shared" ca="1" si="115"/>
        <v>65</v>
      </c>
      <c r="AN66" s="308">
        <f ca="1">IFERROR(__xludf.DUMMYFUNCTION("IMPORTRANGE(""https://docs.google.com/spreadsheets/d/1SX6NBoVAgQJ6U1MVXOaj8PK2l7WJ3RER9xtqwdhxkhw/edit?usp=sharing"",""พระนครศรีอยุธยา!J325"")"),0)</f>
        <v>0</v>
      </c>
      <c r="AO66" s="309">
        <f t="shared" ca="1" si="15"/>
        <v>0</v>
      </c>
      <c r="AP66" s="394">
        <f ca="1">IFERROR(__xludf.DUMMYFUNCTION("IMPORTRANGE(""https://docs.google.com/spreadsheets/d/1C3CXT74ZlgGe6_JY_1olB1XN4rF0dxEuIIF-xsYjHgg/edit?usp=sharing"",""งบกองทุน!AR70"")"),0)</f>
        <v>0</v>
      </c>
      <c r="AQ66" s="308">
        <f ca="1">IFERROR(__xludf.DUMMYFUNCTION("IMPORTRANGE(""https://docs.google.com/spreadsheets/d/1SX6NBoVAgQJ6U1MVXOaj8PK2l7WJ3RER9xtqwdhxkhw/edit?usp=sharing"",""พระนครศรีอยุธยา!J326"")"),0)</f>
        <v>0</v>
      </c>
      <c r="AR66" s="308">
        <f ca="1">IFERROR(__xludf.DUMMYFUNCTION("IMPORTRANGE(""https://docs.google.com/spreadsheets/d/1C3CXT74ZlgGe6_JY_1olB1XN4rF0dxEuIIF-xsYjHgg/edit?usp=sharing"",""งบกองทุน!AS70"")"),65)</f>
        <v>65</v>
      </c>
      <c r="AS66" s="393">
        <f ca="1">IFERROR(__xludf.DUMMYFUNCTION("IMPORTRANGE(""https://docs.google.com/spreadsheets/d/1SX6NBoVAgQJ6U1MVXOaj8PK2l7WJ3RER9xtqwdhxkhw/edit?usp=sharing"",""พระนครศรีอยุธยา!J327"")"),0)</f>
        <v>0</v>
      </c>
    </row>
    <row r="67" spans="1:45" ht="21" customHeight="1">
      <c r="A67" s="303">
        <v>13</v>
      </c>
      <c r="B67" s="304" t="s">
        <v>91</v>
      </c>
      <c r="C67" s="391">
        <f t="shared" ca="1" si="111"/>
        <v>207000</v>
      </c>
      <c r="D67" s="306">
        <f ca="1">IFERROR(__xludf.DUMMYFUNCTION("IMPORTRANGE(""https://docs.google.com/spreadsheets/d/1C3CXT74ZlgGe6_JY_1olB1XN4rF0dxEuIIF-xsYjHgg/edit?usp=sharing"",""งบกองทุน!Z71"")"),0)</f>
        <v>0</v>
      </c>
      <c r="E67" s="306">
        <f ca="1">IFERROR(__xludf.DUMMYFUNCTION("IMPORTRANGE(""https://docs.google.com/spreadsheets/d/1C3CXT74ZlgGe6_JY_1olB1XN4rF0dxEuIIF-xsYjHgg/edit?usp=sharing"",""งบกองทุน!AA71"")"),207000)</f>
        <v>207000</v>
      </c>
      <c r="F67" s="307">
        <f ca="1">IFERROR(__xludf.DUMMYFUNCTION("IMPORTRANGE(""https://docs.google.com/spreadsheets/d/1SX6NBoVAgQJ6U1MVXOaj8PK2l7WJ3RER9xtqwdhxkhw/edit?usp=sharing"",""เพชรบุรี!M299"")"),94355)</f>
        <v>94355</v>
      </c>
      <c r="G67" s="307">
        <f t="shared" ca="1" si="1"/>
        <v>45.582125603864732</v>
      </c>
      <c r="H67" s="308">
        <f t="shared" ref="H67:I67" ca="1" si="127">+N67+V67+AE67</f>
        <v>180</v>
      </c>
      <c r="I67" s="308">
        <f t="shared" ca="1" si="127"/>
        <v>60</v>
      </c>
      <c r="J67" s="308">
        <f t="shared" ca="1" si="113"/>
        <v>180</v>
      </c>
      <c r="K67" s="309">
        <f t="shared" ca="1" si="3"/>
        <v>100</v>
      </c>
      <c r="L67" s="308">
        <f t="shared" ca="1" si="114"/>
        <v>60</v>
      </c>
      <c r="M67" s="309">
        <f t="shared" ca="1" si="4"/>
        <v>100</v>
      </c>
      <c r="N67" s="392">
        <f ca="1">IFERROR(__xludf.DUMMYFUNCTION("IMPORTRANGE(""https://docs.google.com/spreadsheets/d/1C3CXT74ZlgGe6_JY_1olB1XN4rF0dxEuIIF-xsYjHgg/edit?usp=sharing"",""งบกองทุน!AD71"")"),75)</f>
        <v>75</v>
      </c>
      <c r="O67" s="392">
        <f ca="1">IFERROR(__xludf.DUMMYFUNCTION("IMPORTRANGE(""https://docs.google.com/spreadsheets/d/1C3CXT74ZlgGe6_JY_1olB1XN4rF0dxEuIIF-xsYjHgg/edit?usp=sharing"",""งบกองทุน!AE71"")"),25)</f>
        <v>25</v>
      </c>
      <c r="P67" s="308">
        <f ca="1">IFERROR(__xludf.DUMMYFUNCTION("IMPORTRANGE(""https://docs.google.com/spreadsheets/d/1SX6NBoVAgQJ6U1MVXOaj8PK2l7WJ3RER9xtqwdhxkhw/edit?usp=sharing"",""เพชรบุรี!J313"")"),75)</f>
        <v>75</v>
      </c>
      <c r="Q67" s="309">
        <f t="shared" ca="1" si="6"/>
        <v>100</v>
      </c>
      <c r="R67" s="308">
        <f ca="1">IFERROR(__xludf.DUMMYFUNCTION("IMPORTRANGE(""https://docs.google.com/spreadsheets/d/1SX6NBoVAgQJ6U1MVXOaj8PK2l7WJ3RER9xtqwdhxkhw/edit?usp=sharing"",""เพชรบุรี!J312"")"),25)</f>
        <v>25</v>
      </c>
      <c r="S67" s="309">
        <f t="shared" ca="1" si="7"/>
        <v>100</v>
      </c>
      <c r="T67" s="309">
        <f ca="1">IFERROR(__xludf.DUMMYFUNCTION("IMPORTRANGE(""https://docs.google.com/spreadsheets/d/1SX6NBoVAgQJ6U1MVXOaj8PK2l7WJ3RER9xtqwdhxkhw/edit?usp=sharing"",""เพชรบุรี!J314"")"),25)</f>
        <v>25</v>
      </c>
      <c r="U67" s="309">
        <f ca="1">IFERROR(__xludf.DUMMYFUNCTION("IMPORTRANGE(""https://docs.google.com/spreadsheets/d/1SX6NBoVAgQJ6U1MVXOaj8PK2l7WJ3RER9xtqwdhxkhw/edit?usp=sharing"",""เพชรบุรี!J315"")"),25)</f>
        <v>25</v>
      </c>
      <c r="V67" s="392">
        <f ca="1">IFERROR(__xludf.DUMMYFUNCTION("IMPORTRANGE(""https://docs.google.com/spreadsheets/d/1C3CXT74ZlgGe6_JY_1olB1XN4rF0dxEuIIF-xsYjHgg/edit?usp=sharing"",""งบกองทุน!AH71"")"),72)</f>
        <v>72</v>
      </c>
      <c r="W67" s="392">
        <f ca="1">IFERROR(__xludf.DUMMYFUNCTION("IMPORTRANGE(""https://docs.google.com/spreadsheets/d/1C3CXT74ZlgGe6_JY_1olB1XN4rF0dxEuIIF-xsYjHgg/edit?usp=sharing"",""งบกองทุน!AI71"")"),24)</f>
        <v>24</v>
      </c>
      <c r="X67" s="308">
        <f ca="1">IFERROR(__xludf.DUMMYFUNCTION("IMPORTRANGE(""https://docs.google.com/spreadsheets/d/1SX6NBoVAgQJ6U1MVXOaj8PK2l7WJ3RER9xtqwdhxkhw/edit?usp=sharing"",""เพชรบุรี!J317"")"),72)</f>
        <v>72</v>
      </c>
      <c r="Y67" s="309">
        <f t="shared" ca="1" si="9"/>
        <v>100</v>
      </c>
      <c r="Z67" s="308">
        <f ca="1">IFERROR(__xludf.DUMMYFUNCTION("IMPORTRANGE(""https://docs.google.com/spreadsheets/d/1SX6NBoVAgQJ6U1MVXOaj8PK2l7WJ3RER9xtqwdhxkhw/edit?usp=sharing"",""เพชรบุรี!J316"")"),24)</f>
        <v>24</v>
      </c>
      <c r="AA67" s="309">
        <f t="shared" ca="1" si="10"/>
        <v>100</v>
      </c>
      <c r="AB67" s="308">
        <f ca="1">IFERROR(__xludf.DUMMYFUNCTION("IMPORTRANGE(""https://docs.google.com/spreadsheets/d/1SX6NBoVAgQJ6U1MVXOaj8PK2l7WJ3RER9xtqwdhxkhw/edit?usp=sharing"",""เพชรบุรี!J318"")"),24)</f>
        <v>24</v>
      </c>
      <c r="AC67" s="308">
        <f ca="1">IFERROR(__xludf.DUMMYFUNCTION("IMPORTRANGE(""https://docs.google.com/spreadsheets/d/1SX6NBoVAgQJ6U1MVXOaj8PK2l7WJ3RER9xtqwdhxkhw/edit?usp=sharing"",""เพชรบุรี!J319"")"),24)</f>
        <v>24</v>
      </c>
      <c r="AD67" s="308">
        <f ca="1">IFERROR(__xludf.DUMMYFUNCTION("IMPORTRANGE(""https://docs.google.com/spreadsheets/d/1SX6NBoVAgQJ6U1MVXOaj8PK2l7WJ3RER9xtqwdhxkhw/edit?usp=sharing"",""เพชรบุรี!J320"")"),24)</f>
        <v>24</v>
      </c>
      <c r="AE67" s="392">
        <f ca="1">IFERROR(__xludf.DUMMYFUNCTION("IMPORTRANGE(""https://docs.google.com/spreadsheets/d/1C3CXT74ZlgGe6_JY_1olB1XN4rF0dxEuIIF-xsYjHgg/edit?usp=sharing"",""งบกองทุน!AM71"")"),33)</f>
        <v>33</v>
      </c>
      <c r="AF67" s="392">
        <f ca="1">IFERROR(__xludf.DUMMYFUNCTION("IMPORTRANGE(""https://docs.google.com/spreadsheets/d/1C3CXT74ZlgGe6_JY_1olB1XN4rF0dxEuIIF-xsYjHgg/edit?usp=sharing"",""งบกองทุน!AN71"")"),11)</f>
        <v>11</v>
      </c>
      <c r="AG67" s="308">
        <f ca="1">IFERROR(__xludf.DUMMYFUNCTION("IMPORTRANGE(""https://docs.google.com/spreadsheets/d/1SX6NBoVAgQJ6U1MVXOaj8PK2l7WJ3RER9xtqwdhxkhw/edit?usp=sharing"",""เพชรบุรี!J322"")"),33)</f>
        <v>33</v>
      </c>
      <c r="AH67" s="309">
        <f t="shared" ca="1" si="12"/>
        <v>100</v>
      </c>
      <c r="AI67" s="308">
        <f ca="1">IFERROR(__xludf.DUMMYFUNCTION("IMPORTRANGE(""https://docs.google.com/spreadsheets/d/1SX6NBoVAgQJ6U1MVXOaj8PK2l7WJ3RER9xtqwdhxkhw/edit?usp=sharing"",""เพชรบุรี!J321"")"),11)</f>
        <v>11</v>
      </c>
      <c r="AJ67" s="309">
        <f t="shared" ca="1" si="13"/>
        <v>100</v>
      </c>
      <c r="AK67" s="308">
        <f ca="1">IFERROR(__xludf.DUMMYFUNCTION("IMPORTRANGE(""https://docs.google.com/spreadsheets/d/1SX6NBoVAgQJ6U1MVXOaj8PK2l7WJ3RER9xtqwdhxkhw/edit?usp=sharing"",""เพชรบุรี!J323"")"),11)</f>
        <v>11</v>
      </c>
      <c r="AL67" s="308">
        <f ca="1">IFERROR(__xludf.DUMMYFUNCTION("IMPORTRANGE(""https://docs.google.com/spreadsheets/d/1SX6NBoVAgQJ6U1MVXOaj8PK2l7WJ3RER9xtqwdhxkhw/edit?usp=sharing"",""เพชรบุรี!J324"")"),11)</f>
        <v>11</v>
      </c>
      <c r="AM67" s="308">
        <f t="shared" ca="1" si="115"/>
        <v>49</v>
      </c>
      <c r="AN67" s="308">
        <f ca="1">IFERROR(__xludf.DUMMYFUNCTION("IMPORTRANGE(""https://docs.google.com/spreadsheets/d/1SX6NBoVAgQJ6U1MVXOaj8PK2l7WJ3RER9xtqwdhxkhw/edit?usp=sharing"",""เพชรบุรี!J325"")"),0)</f>
        <v>0</v>
      </c>
      <c r="AO67" s="309">
        <f t="shared" ca="1" si="15"/>
        <v>0</v>
      </c>
      <c r="AP67" s="392">
        <f ca="1">IFERROR(__xludf.DUMMYFUNCTION("IMPORTRANGE(""https://docs.google.com/spreadsheets/d/1C3CXT74ZlgGe6_JY_1olB1XN4rF0dxEuIIF-xsYjHgg/edit?usp=sharing"",""งบกองทุน!AR71"")"),25)</f>
        <v>25</v>
      </c>
      <c r="AQ67" s="308">
        <f ca="1">IFERROR(__xludf.DUMMYFUNCTION("IMPORTRANGE(""https://docs.google.com/spreadsheets/d/1SX6NBoVAgQJ6U1MVXOaj8PK2l7WJ3RER9xtqwdhxkhw/edit?usp=sharing"",""เพชรบุรี!J326"")"),0)</f>
        <v>0</v>
      </c>
      <c r="AR67" s="308">
        <f ca="1">IFERROR(__xludf.DUMMYFUNCTION("IMPORTRANGE(""https://docs.google.com/spreadsheets/d/1C3CXT74ZlgGe6_JY_1olB1XN4rF0dxEuIIF-xsYjHgg/edit?usp=sharing"",""งบกองทุน!AS71"")"),24)</f>
        <v>24</v>
      </c>
      <c r="AS67" s="393">
        <f ca="1">IFERROR(__xludf.DUMMYFUNCTION("IMPORTRANGE(""https://docs.google.com/spreadsheets/d/1SX6NBoVAgQJ6U1MVXOaj8PK2l7WJ3RER9xtqwdhxkhw/edit?usp=sharing"",""เพชรบุรี!J327"")"),0)</f>
        <v>0</v>
      </c>
    </row>
    <row r="68" spans="1:45" ht="21" customHeight="1">
      <c r="A68" s="303">
        <v>14</v>
      </c>
      <c r="B68" s="304" t="s">
        <v>92</v>
      </c>
      <c r="C68" s="391">
        <f t="shared" ca="1" si="111"/>
        <v>156040</v>
      </c>
      <c r="D68" s="306">
        <f ca="1">IFERROR(__xludf.DUMMYFUNCTION("IMPORTRANGE(""https://docs.google.com/spreadsheets/d/1C3CXT74ZlgGe6_JY_1olB1XN4rF0dxEuIIF-xsYjHgg/edit?usp=sharing"",""งบกองทุน!Z72"")"),0)</f>
        <v>0</v>
      </c>
      <c r="E68" s="306">
        <f ca="1">IFERROR(__xludf.DUMMYFUNCTION("IMPORTRANGE(""https://docs.google.com/spreadsheets/d/1C3CXT74ZlgGe6_JY_1olB1XN4rF0dxEuIIF-xsYjHgg/edit?usp=sharing"",""งบกองทุน!AA72"")"),156040)</f>
        <v>156040</v>
      </c>
      <c r="F68" s="307">
        <f ca="1">IFERROR(__xludf.DUMMYFUNCTION("IMPORTRANGE(""https://docs.google.com/spreadsheets/d/1SX6NBoVAgQJ6U1MVXOaj8PK2l7WJ3RER9xtqwdhxkhw/edit?usp=sharing"",""ระยอง!M299"")"),105600)</f>
        <v>105600</v>
      </c>
      <c r="G68" s="307">
        <f t="shared" ca="1" si="1"/>
        <v>67.674955139707762</v>
      </c>
      <c r="H68" s="308">
        <f t="shared" ref="H68:I68" ca="1" si="128">+N68+V68+AE68</f>
        <v>135</v>
      </c>
      <c r="I68" s="308">
        <f t="shared" ca="1" si="128"/>
        <v>45</v>
      </c>
      <c r="J68" s="308">
        <f t="shared" ca="1" si="113"/>
        <v>0</v>
      </c>
      <c r="K68" s="309">
        <f t="shared" ca="1" si="3"/>
        <v>0</v>
      </c>
      <c r="L68" s="308">
        <f t="shared" ca="1" si="114"/>
        <v>45</v>
      </c>
      <c r="M68" s="309">
        <f t="shared" ca="1" si="4"/>
        <v>100</v>
      </c>
      <c r="N68" s="392">
        <f ca="1">IFERROR(__xludf.DUMMYFUNCTION("IMPORTRANGE(""https://docs.google.com/spreadsheets/d/1C3CXT74ZlgGe6_JY_1olB1XN4rF0dxEuIIF-xsYjHgg/edit?usp=sharing"",""งบกองทุน!AD72"")"),45)</f>
        <v>45</v>
      </c>
      <c r="O68" s="392">
        <f ca="1">IFERROR(__xludf.DUMMYFUNCTION("IMPORTRANGE(""https://docs.google.com/spreadsheets/d/1C3CXT74ZlgGe6_JY_1olB1XN4rF0dxEuIIF-xsYjHgg/edit?usp=sharing"",""งบกองทุน!AE72"")"),15)</f>
        <v>15</v>
      </c>
      <c r="P68" s="308">
        <f ca="1">IFERROR(__xludf.DUMMYFUNCTION("IMPORTRANGE(""https://docs.google.com/spreadsheets/d/1SX6NBoVAgQJ6U1MVXOaj8PK2l7WJ3RER9xtqwdhxkhw/edit?usp=sharing"",""ระยอง!J313"")"),0)</f>
        <v>0</v>
      </c>
      <c r="Q68" s="309">
        <f t="shared" ca="1" si="6"/>
        <v>0</v>
      </c>
      <c r="R68" s="308">
        <f ca="1">IFERROR(__xludf.DUMMYFUNCTION("IMPORTRANGE(""https://docs.google.com/spreadsheets/d/1SX6NBoVAgQJ6U1MVXOaj8PK2l7WJ3RER9xtqwdhxkhw/edit?usp=sharing"",""ระยอง!J312"")"),15)</f>
        <v>15</v>
      </c>
      <c r="S68" s="309">
        <f t="shared" ca="1" si="7"/>
        <v>100</v>
      </c>
      <c r="T68" s="309">
        <f ca="1">IFERROR(__xludf.DUMMYFUNCTION("IMPORTRANGE(""https://docs.google.com/spreadsheets/d/1SX6NBoVAgQJ6U1MVXOaj8PK2l7WJ3RER9xtqwdhxkhw/edit?usp=sharing"",""ระยอง!J314"")"),15)</f>
        <v>15</v>
      </c>
      <c r="U68" s="309">
        <f ca="1">IFERROR(__xludf.DUMMYFUNCTION("IMPORTRANGE(""https://docs.google.com/spreadsheets/d/1SX6NBoVAgQJ6U1MVXOaj8PK2l7WJ3RER9xtqwdhxkhw/edit?usp=sharing"",""ระยอง!J315"")"),15)</f>
        <v>15</v>
      </c>
      <c r="V68" s="392">
        <f ca="1">IFERROR(__xludf.DUMMYFUNCTION("IMPORTRANGE(""https://docs.google.com/spreadsheets/d/1C3CXT74ZlgGe6_JY_1olB1XN4rF0dxEuIIF-xsYjHgg/edit?usp=sharing"",""งบกองทุน!AH72"")"),48)</f>
        <v>48</v>
      </c>
      <c r="W68" s="392">
        <f ca="1">IFERROR(__xludf.DUMMYFUNCTION("IMPORTRANGE(""https://docs.google.com/spreadsheets/d/1C3CXT74ZlgGe6_JY_1olB1XN4rF0dxEuIIF-xsYjHgg/edit?usp=sharing"",""งบกองทุน!AI72"")"),16)</f>
        <v>16</v>
      </c>
      <c r="X68" s="308">
        <f ca="1">IFERROR(__xludf.DUMMYFUNCTION("IMPORTRANGE(""https://docs.google.com/spreadsheets/d/1SX6NBoVAgQJ6U1MVXOaj8PK2l7WJ3RER9xtqwdhxkhw/edit?usp=sharing"",""ระยอง!J317"")"),0)</f>
        <v>0</v>
      </c>
      <c r="Y68" s="309">
        <f t="shared" ca="1" si="9"/>
        <v>0</v>
      </c>
      <c r="Z68" s="308">
        <f ca="1">IFERROR(__xludf.DUMMYFUNCTION("IMPORTRANGE(""https://docs.google.com/spreadsheets/d/1SX6NBoVAgQJ6U1MVXOaj8PK2l7WJ3RER9xtqwdhxkhw/edit?usp=sharing"",""ระยอง!J316"")"),16)</f>
        <v>16</v>
      </c>
      <c r="AA68" s="309">
        <f t="shared" ca="1" si="10"/>
        <v>100</v>
      </c>
      <c r="AB68" s="308">
        <f ca="1">IFERROR(__xludf.DUMMYFUNCTION("IMPORTRANGE(""https://docs.google.com/spreadsheets/d/1SX6NBoVAgQJ6U1MVXOaj8PK2l7WJ3RER9xtqwdhxkhw/edit?usp=sharing"",""ระยอง!J318"")"),16)</f>
        <v>16</v>
      </c>
      <c r="AC68" s="308">
        <f ca="1">IFERROR(__xludf.DUMMYFUNCTION("IMPORTRANGE(""https://docs.google.com/spreadsheets/d/1SX6NBoVAgQJ6U1MVXOaj8PK2l7WJ3RER9xtqwdhxkhw/edit?usp=sharing"",""ระยอง!J319"")"),16)</f>
        <v>16</v>
      </c>
      <c r="AD68" s="308">
        <f ca="1">IFERROR(__xludf.DUMMYFUNCTION("IMPORTRANGE(""https://docs.google.com/spreadsheets/d/1SX6NBoVAgQJ6U1MVXOaj8PK2l7WJ3RER9xtqwdhxkhw/edit?usp=sharing"",""ระยอง!J320"")"),16)</f>
        <v>16</v>
      </c>
      <c r="AE68" s="392">
        <f ca="1">IFERROR(__xludf.DUMMYFUNCTION("IMPORTRANGE(""https://docs.google.com/spreadsheets/d/1C3CXT74ZlgGe6_JY_1olB1XN4rF0dxEuIIF-xsYjHgg/edit?usp=sharing"",""งบกองทุน!AM72"")"),42)</f>
        <v>42</v>
      </c>
      <c r="AF68" s="392">
        <f ca="1">IFERROR(__xludf.DUMMYFUNCTION("IMPORTRANGE(""https://docs.google.com/spreadsheets/d/1C3CXT74ZlgGe6_JY_1olB1XN4rF0dxEuIIF-xsYjHgg/edit?usp=sharing"",""งบกองทุน!AN72"")"),14)</f>
        <v>14</v>
      </c>
      <c r="AG68" s="308">
        <f ca="1">IFERROR(__xludf.DUMMYFUNCTION("IMPORTRANGE(""https://docs.google.com/spreadsheets/d/1SX6NBoVAgQJ6U1MVXOaj8PK2l7WJ3RER9xtqwdhxkhw/edit?usp=sharing"",""ระยอง!J322"")"),0)</f>
        <v>0</v>
      </c>
      <c r="AH68" s="309">
        <f t="shared" ca="1" si="12"/>
        <v>0</v>
      </c>
      <c r="AI68" s="308">
        <f ca="1">IFERROR(__xludf.DUMMYFUNCTION("IMPORTRANGE(""https://docs.google.com/spreadsheets/d/1SX6NBoVAgQJ6U1MVXOaj8PK2l7WJ3RER9xtqwdhxkhw/edit?usp=sharing"",""ระยอง!J321"")"),14)</f>
        <v>14</v>
      </c>
      <c r="AJ68" s="309">
        <f t="shared" ca="1" si="13"/>
        <v>100</v>
      </c>
      <c r="AK68" s="308">
        <f ca="1">IFERROR(__xludf.DUMMYFUNCTION("IMPORTRANGE(""https://docs.google.com/spreadsheets/d/1SX6NBoVAgQJ6U1MVXOaj8PK2l7WJ3RER9xtqwdhxkhw/edit?usp=sharing"",""ระยอง!J323"")"),14)</f>
        <v>14</v>
      </c>
      <c r="AL68" s="308">
        <f ca="1">IFERROR(__xludf.DUMMYFUNCTION("IMPORTRANGE(""https://docs.google.com/spreadsheets/d/1SX6NBoVAgQJ6U1MVXOaj8PK2l7WJ3RER9xtqwdhxkhw/edit?usp=sharing"",""ระยอง!J324"")"),14)</f>
        <v>14</v>
      </c>
      <c r="AM68" s="308">
        <f t="shared" ca="1" si="115"/>
        <v>31</v>
      </c>
      <c r="AN68" s="308">
        <f ca="1">IFERROR(__xludf.DUMMYFUNCTION("IMPORTRANGE(""https://docs.google.com/spreadsheets/d/1SX6NBoVAgQJ6U1MVXOaj8PK2l7WJ3RER9xtqwdhxkhw/edit?usp=sharing"",""ระยอง!J325"")"),0)</f>
        <v>0</v>
      </c>
      <c r="AO68" s="309">
        <f t="shared" ca="1" si="15"/>
        <v>0</v>
      </c>
      <c r="AP68" s="392">
        <f ca="1">IFERROR(__xludf.DUMMYFUNCTION("IMPORTRANGE(""https://docs.google.com/spreadsheets/d/1C3CXT74ZlgGe6_JY_1olB1XN4rF0dxEuIIF-xsYjHgg/edit?usp=sharing"",""งบกองทุน!AR72"")"),15)</f>
        <v>15</v>
      </c>
      <c r="AQ68" s="308">
        <f ca="1">IFERROR(__xludf.DUMMYFUNCTION("IMPORTRANGE(""https://docs.google.com/spreadsheets/d/1SX6NBoVAgQJ6U1MVXOaj8PK2l7WJ3RER9xtqwdhxkhw/edit?usp=sharing"",""ระยอง!J326"")"),0)</f>
        <v>0</v>
      </c>
      <c r="AR68" s="308">
        <f ca="1">IFERROR(__xludf.DUMMYFUNCTION("IMPORTRANGE(""https://docs.google.com/spreadsheets/d/1C3CXT74ZlgGe6_JY_1olB1XN4rF0dxEuIIF-xsYjHgg/edit?usp=sharing"",""งบกองทุน!AS72"")"),16)</f>
        <v>16</v>
      </c>
      <c r="AS68" s="393">
        <f ca="1">IFERROR(__xludf.DUMMYFUNCTION("IMPORTRANGE(""https://docs.google.com/spreadsheets/d/1SX6NBoVAgQJ6U1MVXOaj8PK2l7WJ3RER9xtqwdhxkhw/edit?usp=sharing"",""ระยอง!J327"")"),0)</f>
        <v>0</v>
      </c>
    </row>
    <row r="69" spans="1:45" ht="21" customHeight="1">
      <c r="A69" s="303">
        <v>15</v>
      </c>
      <c r="B69" s="304" t="s">
        <v>93</v>
      </c>
      <c r="C69" s="391">
        <f t="shared" ca="1" si="111"/>
        <v>226530</v>
      </c>
      <c r="D69" s="306">
        <f ca="1">IFERROR(__xludf.DUMMYFUNCTION("IMPORTRANGE(""https://docs.google.com/spreadsheets/d/1C3CXT74ZlgGe6_JY_1olB1XN4rF0dxEuIIF-xsYjHgg/edit?usp=sharing"",""งบกองทุน!Z73"")"),0)</f>
        <v>0</v>
      </c>
      <c r="E69" s="306">
        <f ca="1">IFERROR(__xludf.DUMMYFUNCTION("IMPORTRANGE(""https://docs.google.com/spreadsheets/d/1C3CXT74ZlgGe6_JY_1olB1XN4rF0dxEuIIF-xsYjHgg/edit?usp=sharing"",""งบกองทุน!AA73"")"),226530)</f>
        <v>226530</v>
      </c>
      <c r="F69" s="307">
        <f ca="1">IFERROR(__xludf.DUMMYFUNCTION("IMPORTRANGE(""https://docs.google.com/spreadsheets/d/1SX6NBoVAgQJ6U1MVXOaj8PK2l7WJ3RER9xtqwdhxkhw/edit?usp=sharing"",""ราชบุรี!M299"")"),146501)</f>
        <v>146501</v>
      </c>
      <c r="G69" s="307">
        <f t="shared" ca="1" si="1"/>
        <v>64.671787401227206</v>
      </c>
      <c r="H69" s="308">
        <f t="shared" ref="H69:I69" ca="1" si="129">+N69+V69+AE69</f>
        <v>195</v>
      </c>
      <c r="I69" s="308">
        <f t="shared" ca="1" si="129"/>
        <v>65</v>
      </c>
      <c r="J69" s="308">
        <f t="shared" ca="1" si="113"/>
        <v>195</v>
      </c>
      <c r="K69" s="309">
        <f t="shared" ca="1" si="3"/>
        <v>100</v>
      </c>
      <c r="L69" s="308">
        <f t="shared" ca="1" si="114"/>
        <v>65</v>
      </c>
      <c r="M69" s="309">
        <f t="shared" ca="1" si="4"/>
        <v>100</v>
      </c>
      <c r="N69" s="392">
        <f ca="1">IFERROR(__xludf.DUMMYFUNCTION("IMPORTRANGE(""https://docs.google.com/spreadsheets/d/1C3CXT74ZlgGe6_JY_1olB1XN4rF0dxEuIIF-xsYjHgg/edit?usp=sharing"",""งบกองทุน!AD73"")"),90)</f>
        <v>90</v>
      </c>
      <c r="O69" s="392">
        <f ca="1">IFERROR(__xludf.DUMMYFUNCTION("IMPORTRANGE(""https://docs.google.com/spreadsheets/d/1C3CXT74ZlgGe6_JY_1olB1XN4rF0dxEuIIF-xsYjHgg/edit?usp=sharing"",""งบกองทุน!AE73"")"),30)</f>
        <v>30</v>
      </c>
      <c r="P69" s="308">
        <f ca="1">IFERROR(__xludf.DUMMYFUNCTION("IMPORTRANGE(""https://docs.google.com/spreadsheets/d/1SX6NBoVAgQJ6U1MVXOaj8PK2l7WJ3RER9xtqwdhxkhw/edit?usp=sharing"",""ราชบุรี!J313"")"),90)</f>
        <v>90</v>
      </c>
      <c r="Q69" s="309">
        <f t="shared" ca="1" si="6"/>
        <v>100</v>
      </c>
      <c r="R69" s="308">
        <f ca="1">IFERROR(__xludf.DUMMYFUNCTION("IMPORTRANGE(""https://docs.google.com/spreadsheets/d/1SX6NBoVAgQJ6U1MVXOaj8PK2l7WJ3RER9xtqwdhxkhw/edit?usp=sharing"",""ราชบุรี!J312"")"),30)</f>
        <v>30</v>
      </c>
      <c r="S69" s="309">
        <f t="shared" ca="1" si="7"/>
        <v>100</v>
      </c>
      <c r="T69" s="309">
        <f ca="1">IFERROR(__xludf.DUMMYFUNCTION("IMPORTRANGE(""https://docs.google.com/spreadsheets/d/1SX6NBoVAgQJ6U1MVXOaj8PK2l7WJ3RER9xtqwdhxkhw/edit?usp=sharing"",""ราชบุรี!J314"")"),30)</f>
        <v>30</v>
      </c>
      <c r="U69" s="309">
        <f ca="1">IFERROR(__xludf.DUMMYFUNCTION("IMPORTRANGE(""https://docs.google.com/spreadsheets/d/1SX6NBoVAgQJ6U1MVXOaj8PK2l7WJ3RER9xtqwdhxkhw/edit?usp=sharing"",""ราชบุรี!J315"")"),30)</f>
        <v>30</v>
      </c>
      <c r="V69" s="392">
        <f ca="1">IFERROR(__xludf.DUMMYFUNCTION("IMPORTRANGE(""https://docs.google.com/spreadsheets/d/1C3CXT74ZlgGe6_JY_1olB1XN4rF0dxEuIIF-xsYjHgg/edit?usp=sharing"",""งบกองทุน!AH73"")"),75)</f>
        <v>75</v>
      </c>
      <c r="W69" s="392">
        <f ca="1">IFERROR(__xludf.DUMMYFUNCTION("IMPORTRANGE(""https://docs.google.com/spreadsheets/d/1C3CXT74ZlgGe6_JY_1olB1XN4rF0dxEuIIF-xsYjHgg/edit?usp=sharing"",""งบกองทุน!AI73"")"),25)</f>
        <v>25</v>
      </c>
      <c r="X69" s="308">
        <f ca="1">IFERROR(__xludf.DUMMYFUNCTION("IMPORTRANGE(""https://docs.google.com/spreadsheets/d/1SX6NBoVAgQJ6U1MVXOaj8PK2l7WJ3RER9xtqwdhxkhw/edit?usp=sharing"",""ราชบุรี!J317"")"),75)</f>
        <v>75</v>
      </c>
      <c r="Y69" s="309">
        <f t="shared" ca="1" si="9"/>
        <v>100</v>
      </c>
      <c r="Z69" s="308">
        <f ca="1">IFERROR(__xludf.DUMMYFUNCTION("IMPORTRANGE(""https://docs.google.com/spreadsheets/d/1SX6NBoVAgQJ6U1MVXOaj8PK2l7WJ3RER9xtqwdhxkhw/edit?usp=sharing"",""ราชบุรี!J316"")"),25)</f>
        <v>25</v>
      </c>
      <c r="AA69" s="309">
        <f t="shared" ca="1" si="10"/>
        <v>100</v>
      </c>
      <c r="AB69" s="308">
        <f ca="1">IFERROR(__xludf.DUMMYFUNCTION("IMPORTRANGE(""https://docs.google.com/spreadsheets/d/1SX6NBoVAgQJ6U1MVXOaj8PK2l7WJ3RER9xtqwdhxkhw/edit?usp=sharing"",""ราชบุรี!J318"")"),25)</f>
        <v>25</v>
      </c>
      <c r="AC69" s="308">
        <f ca="1">IFERROR(__xludf.DUMMYFUNCTION("IMPORTRANGE(""https://docs.google.com/spreadsheets/d/1SX6NBoVAgQJ6U1MVXOaj8PK2l7WJ3RER9xtqwdhxkhw/edit?usp=sharing"",""ราชบุรี!J319"")"),25)</f>
        <v>25</v>
      </c>
      <c r="AD69" s="308">
        <f ca="1">IFERROR(__xludf.DUMMYFUNCTION("IMPORTRANGE(""https://docs.google.com/spreadsheets/d/1SX6NBoVAgQJ6U1MVXOaj8PK2l7WJ3RER9xtqwdhxkhw/edit?usp=sharing"",""ราชบุรี!J320"")"),25)</f>
        <v>25</v>
      </c>
      <c r="AE69" s="392">
        <f ca="1">IFERROR(__xludf.DUMMYFUNCTION("IMPORTRANGE(""https://docs.google.com/spreadsheets/d/1C3CXT74ZlgGe6_JY_1olB1XN4rF0dxEuIIF-xsYjHgg/edit?usp=sharing"",""งบกองทุน!AM73"")"),30)</f>
        <v>30</v>
      </c>
      <c r="AF69" s="392">
        <f ca="1">IFERROR(__xludf.DUMMYFUNCTION("IMPORTRANGE(""https://docs.google.com/spreadsheets/d/1C3CXT74ZlgGe6_JY_1olB1XN4rF0dxEuIIF-xsYjHgg/edit?usp=sharing"",""งบกองทุน!AN73"")"),10)</f>
        <v>10</v>
      </c>
      <c r="AG69" s="308">
        <f ca="1">IFERROR(__xludf.DUMMYFUNCTION("IMPORTRANGE(""https://docs.google.com/spreadsheets/d/1SX6NBoVAgQJ6U1MVXOaj8PK2l7WJ3RER9xtqwdhxkhw/edit?usp=sharing"",""ราชบุรี!J322"")"),30)</f>
        <v>30</v>
      </c>
      <c r="AH69" s="309">
        <f t="shared" ca="1" si="12"/>
        <v>100</v>
      </c>
      <c r="AI69" s="308">
        <f ca="1">IFERROR(__xludf.DUMMYFUNCTION("IMPORTRANGE(""https://docs.google.com/spreadsheets/d/1SX6NBoVAgQJ6U1MVXOaj8PK2l7WJ3RER9xtqwdhxkhw/edit?usp=sharing"",""ราชบุรี!J321"")"),10)</f>
        <v>10</v>
      </c>
      <c r="AJ69" s="309">
        <f t="shared" ca="1" si="13"/>
        <v>100</v>
      </c>
      <c r="AK69" s="308">
        <f ca="1">IFERROR(__xludf.DUMMYFUNCTION("IMPORTRANGE(""https://docs.google.com/spreadsheets/d/1SX6NBoVAgQJ6U1MVXOaj8PK2l7WJ3RER9xtqwdhxkhw/edit?usp=sharing"",""ราชบุรี!J323"")"),10)</f>
        <v>10</v>
      </c>
      <c r="AL69" s="308">
        <f ca="1">IFERROR(__xludf.DUMMYFUNCTION("IMPORTRANGE(""https://docs.google.com/spreadsheets/d/1SX6NBoVAgQJ6U1MVXOaj8PK2l7WJ3RER9xtqwdhxkhw/edit?usp=sharing"",""ราชบุรี!J324"")"),10)</f>
        <v>10</v>
      </c>
      <c r="AM69" s="308">
        <f t="shared" ca="1" si="115"/>
        <v>55</v>
      </c>
      <c r="AN69" s="308">
        <f ca="1">IFERROR(__xludf.DUMMYFUNCTION("IMPORTRANGE(""https://docs.google.com/spreadsheets/d/1SX6NBoVAgQJ6U1MVXOaj8PK2l7WJ3RER9xtqwdhxkhw/edit?usp=sharing"",""ราชบุรี!J325"")"),0)</f>
        <v>0</v>
      </c>
      <c r="AO69" s="309">
        <f t="shared" ca="1" si="15"/>
        <v>0</v>
      </c>
      <c r="AP69" s="392">
        <f ca="1">IFERROR(__xludf.DUMMYFUNCTION("IMPORTRANGE(""https://docs.google.com/spreadsheets/d/1C3CXT74ZlgGe6_JY_1olB1XN4rF0dxEuIIF-xsYjHgg/edit?usp=sharing"",""งบกองทุน!AR73"")"),30)</f>
        <v>30</v>
      </c>
      <c r="AQ69" s="308">
        <f ca="1">IFERROR(__xludf.DUMMYFUNCTION("IMPORTRANGE(""https://docs.google.com/spreadsheets/d/1SX6NBoVAgQJ6U1MVXOaj8PK2l7WJ3RER9xtqwdhxkhw/edit?usp=sharing"",""ราชบุรี!J326"")"),0)</f>
        <v>0</v>
      </c>
      <c r="AR69" s="308">
        <f ca="1">IFERROR(__xludf.DUMMYFUNCTION("IMPORTRANGE(""https://docs.google.com/spreadsheets/d/1C3CXT74ZlgGe6_JY_1olB1XN4rF0dxEuIIF-xsYjHgg/edit?usp=sharing"",""งบกองทุน!AS73"")"),25)</f>
        <v>25</v>
      </c>
      <c r="AS69" s="393">
        <f ca="1">IFERROR(__xludf.DUMMYFUNCTION("IMPORTRANGE(""https://docs.google.com/spreadsheets/d/1SX6NBoVAgQJ6U1MVXOaj8PK2l7WJ3RER9xtqwdhxkhw/edit?usp=sharing"",""ราชบุรี!J327"")"),0)</f>
        <v>0</v>
      </c>
    </row>
    <row r="70" spans="1:45" ht="24" customHeight="1">
      <c r="A70" s="303">
        <v>16</v>
      </c>
      <c r="B70" s="304" t="s">
        <v>94</v>
      </c>
      <c r="C70" s="391">
        <f t="shared" ca="1" si="111"/>
        <v>172800</v>
      </c>
      <c r="D70" s="306">
        <f ca="1">IFERROR(__xludf.DUMMYFUNCTION("IMPORTRANGE(""https://docs.google.com/spreadsheets/d/1C3CXT74ZlgGe6_JY_1olB1XN4rF0dxEuIIF-xsYjHgg/edit?usp=sharing"",""งบกองทุน!Z74"")"),0)</f>
        <v>0</v>
      </c>
      <c r="E70" s="306">
        <f ca="1">IFERROR(__xludf.DUMMYFUNCTION("IMPORTRANGE(""https://docs.google.com/spreadsheets/d/1C3CXT74ZlgGe6_JY_1olB1XN4rF0dxEuIIF-xsYjHgg/edit?usp=sharing"",""งบกองทุน!AA74"")"),172800)</f>
        <v>172800</v>
      </c>
      <c r="F70" s="307">
        <f ca="1">IFERROR(__xludf.DUMMYFUNCTION("IMPORTRANGE(""https://docs.google.com/spreadsheets/d/1SX6NBoVAgQJ6U1MVXOaj8PK2l7WJ3RER9xtqwdhxkhw/edit?usp=sharing"",""ลพบุรี!M299"")"),135260)</f>
        <v>135260</v>
      </c>
      <c r="G70" s="307">
        <f t="shared" ca="1" si="1"/>
        <v>78.275462962962962</v>
      </c>
      <c r="H70" s="308">
        <f t="shared" ref="H70:I70" ca="1" si="130">+N70+V70+AE70</f>
        <v>150</v>
      </c>
      <c r="I70" s="308">
        <f t="shared" ca="1" si="130"/>
        <v>50</v>
      </c>
      <c r="J70" s="308">
        <f t="shared" ca="1" si="113"/>
        <v>150</v>
      </c>
      <c r="K70" s="309">
        <f t="shared" ca="1" si="3"/>
        <v>100</v>
      </c>
      <c r="L70" s="308">
        <f t="shared" ca="1" si="114"/>
        <v>50</v>
      </c>
      <c r="M70" s="309">
        <f t="shared" ca="1" si="4"/>
        <v>100</v>
      </c>
      <c r="N70" s="392">
        <f ca="1">IFERROR(__xludf.DUMMYFUNCTION("IMPORTRANGE(""https://docs.google.com/spreadsheets/d/1C3CXT74ZlgGe6_JY_1olB1XN4rF0dxEuIIF-xsYjHgg/edit?usp=sharing"",""งบกองทุน!AD74"")"),30)</f>
        <v>30</v>
      </c>
      <c r="O70" s="392">
        <f ca="1">IFERROR(__xludf.DUMMYFUNCTION("IMPORTRANGE(""https://docs.google.com/spreadsheets/d/1C3CXT74ZlgGe6_JY_1olB1XN4rF0dxEuIIF-xsYjHgg/edit?usp=sharing"",""งบกองทุน!AE74"")"),10)</f>
        <v>10</v>
      </c>
      <c r="P70" s="308">
        <f ca="1">IFERROR(__xludf.DUMMYFUNCTION("IMPORTRANGE(""https://docs.google.com/spreadsheets/d/1SX6NBoVAgQJ6U1MVXOaj8PK2l7WJ3RER9xtqwdhxkhw/edit?usp=sharing"",""ลพบุรี!J313"")"),30)</f>
        <v>30</v>
      </c>
      <c r="Q70" s="309">
        <f t="shared" ca="1" si="6"/>
        <v>100</v>
      </c>
      <c r="R70" s="308">
        <f ca="1">IFERROR(__xludf.DUMMYFUNCTION("IMPORTRANGE(""https://docs.google.com/spreadsheets/d/1SX6NBoVAgQJ6U1MVXOaj8PK2l7WJ3RER9xtqwdhxkhw/edit?usp=sharing"",""ลพบุรี!J312"")"),10)</f>
        <v>10</v>
      </c>
      <c r="S70" s="309">
        <f t="shared" ca="1" si="7"/>
        <v>100</v>
      </c>
      <c r="T70" s="309">
        <f ca="1">IFERROR(__xludf.DUMMYFUNCTION("IMPORTRANGE(""https://docs.google.com/spreadsheets/d/1SX6NBoVAgQJ6U1MVXOaj8PK2l7WJ3RER9xtqwdhxkhw/edit?usp=sharing"",""ลพบุรี!J314"")"),10)</f>
        <v>10</v>
      </c>
      <c r="U70" s="309">
        <f ca="1">IFERROR(__xludf.DUMMYFUNCTION("IMPORTRANGE(""https://docs.google.com/spreadsheets/d/1SX6NBoVAgQJ6U1MVXOaj8PK2l7WJ3RER9xtqwdhxkhw/edit?usp=sharing"",""ลพบุรี!J315"")"),10)</f>
        <v>10</v>
      </c>
      <c r="V70" s="392">
        <f ca="1">IFERROR(__xludf.DUMMYFUNCTION("IMPORTRANGE(""https://docs.google.com/spreadsheets/d/1C3CXT74ZlgGe6_JY_1olB1XN4rF0dxEuIIF-xsYjHgg/edit?usp=sharing"",""งบกองทุน!AH74"")"),90)</f>
        <v>90</v>
      </c>
      <c r="W70" s="392">
        <f ca="1">IFERROR(__xludf.DUMMYFUNCTION("IMPORTRANGE(""https://docs.google.com/spreadsheets/d/1C3CXT74ZlgGe6_JY_1olB1XN4rF0dxEuIIF-xsYjHgg/edit?usp=sharing"",""งบกองทุน!AI74"")"),30)</f>
        <v>30</v>
      </c>
      <c r="X70" s="308">
        <f ca="1">IFERROR(__xludf.DUMMYFUNCTION("IMPORTRANGE(""https://docs.google.com/spreadsheets/d/1SX6NBoVAgQJ6U1MVXOaj8PK2l7WJ3RER9xtqwdhxkhw/edit?usp=sharing"",""ลพบุรี!J317"")"),90)</f>
        <v>90</v>
      </c>
      <c r="Y70" s="309">
        <f t="shared" ca="1" si="9"/>
        <v>100</v>
      </c>
      <c r="Z70" s="308">
        <f ca="1">IFERROR(__xludf.DUMMYFUNCTION("IMPORTRANGE(""https://docs.google.com/spreadsheets/d/1SX6NBoVAgQJ6U1MVXOaj8PK2l7WJ3RER9xtqwdhxkhw/edit?usp=sharing"",""ลพบุรี!J316"")"),30)</f>
        <v>30</v>
      </c>
      <c r="AA70" s="309">
        <f t="shared" ca="1" si="10"/>
        <v>100</v>
      </c>
      <c r="AB70" s="308">
        <f ca="1">IFERROR(__xludf.DUMMYFUNCTION("IMPORTRANGE(""https://docs.google.com/spreadsheets/d/1SX6NBoVAgQJ6U1MVXOaj8PK2l7WJ3RER9xtqwdhxkhw/edit?usp=sharing"",""ลพบุรี!J318"")"),30)</f>
        <v>30</v>
      </c>
      <c r="AC70" s="308">
        <f ca="1">IFERROR(__xludf.DUMMYFUNCTION("IMPORTRANGE(""https://docs.google.com/spreadsheets/d/1SX6NBoVAgQJ6U1MVXOaj8PK2l7WJ3RER9xtqwdhxkhw/edit?usp=sharing"",""ลพบุรี!J319"")"),30)</f>
        <v>30</v>
      </c>
      <c r="AD70" s="308">
        <f ca="1">IFERROR(__xludf.DUMMYFUNCTION("IMPORTRANGE(""https://docs.google.com/spreadsheets/d/1SX6NBoVAgQJ6U1MVXOaj8PK2l7WJ3RER9xtqwdhxkhw/edit?usp=sharing"",""ลพบุรี!J320"")"),30)</f>
        <v>30</v>
      </c>
      <c r="AE70" s="392">
        <f ca="1">IFERROR(__xludf.DUMMYFUNCTION("IMPORTRANGE(""https://docs.google.com/spreadsheets/d/1C3CXT74ZlgGe6_JY_1olB1XN4rF0dxEuIIF-xsYjHgg/edit?usp=sharing"",""งบกองทุน!AM74"")"),30)</f>
        <v>30</v>
      </c>
      <c r="AF70" s="392">
        <f ca="1">IFERROR(__xludf.DUMMYFUNCTION("IMPORTRANGE(""https://docs.google.com/spreadsheets/d/1C3CXT74ZlgGe6_JY_1olB1XN4rF0dxEuIIF-xsYjHgg/edit?usp=sharing"",""งบกองทุน!AN74"")"),10)</f>
        <v>10</v>
      </c>
      <c r="AG70" s="308">
        <f ca="1">IFERROR(__xludf.DUMMYFUNCTION("IMPORTRANGE(""https://docs.google.com/spreadsheets/d/1SX6NBoVAgQJ6U1MVXOaj8PK2l7WJ3RER9xtqwdhxkhw/edit?usp=sharing"",""ลพบุรี!J322"")"),30)</f>
        <v>30</v>
      </c>
      <c r="AH70" s="309">
        <f t="shared" ca="1" si="12"/>
        <v>100</v>
      </c>
      <c r="AI70" s="308">
        <f ca="1">IFERROR(__xludf.DUMMYFUNCTION("IMPORTRANGE(""https://docs.google.com/spreadsheets/d/1SX6NBoVAgQJ6U1MVXOaj8PK2l7WJ3RER9xtqwdhxkhw/edit?usp=sharing"",""ลพบุรี!J321"")"),10)</f>
        <v>10</v>
      </c>
      <c r="AJ70" s="309">
        <f t="shared" ca="1" si="13"/>
        <v>100</v>
      </c>
      <c r="AK70" s="308">
        <f ca="1">IFERROR(__xludf.DUMMYFUNCTION("IMPORTRANGE(""https://docs.google.com/spreadsheets/d/1SX6NBoVAgQJ6U1MVXOaj8PK2l7WJ3RER9xtqwdhxkhw/edit?usp=sharing"",""ลพบุรี!J323"")"),10)</f>
        <v>10</v>
      </c>
      <c r="AL70" s="308">
        <f ca="1">IFERROR(__xludf.DUMMYFUNCTION("IMPORTRANGE(""https://docs.google.com/spreadsheets/d/1SX6NBoVAgQJ6U1MVXOaj8PK2l7WJ3RER9xtqwdhxkhw/edit?usp=sharing"",""ลพบุรี!J324"")"),10)</f>
        <v>10</v>
      </c>
      <c r="AM70" s="308">
        <f t="shared" ca="1" si="115"/>
        <v>40</v>
      </c>
      <c r="AN70" s="308">
        <f ca="1">IFERROR(__xludf.DUMMYFUNCTION("IMPORTRANGE(""https://docs.google.com/spreadsheets/d/1SX6NBoVAgQJ6U1MVXOaj8PK2l7WJ3RER9xtqwdhxkhw/edit?usp=sharing"",""ลพบุรี!J325"")"),0)</f>
        <v>0</v>
      </c>
      <c r="AO70" s="309">
        <f t="shared" ca="1" si="15"/>
        <v>0</v>
      </c>
      <c r="AP70" s="392">
        <f ca="1">IFERROR(__xludf.DUMMYFUNCTION("IMPORTRANGE(""https://docs.google.com/spreadsheets/d/1C3CXT74ZlgGe6_JY_1olB1XN4rF0dxEuIIF-xsYjHgg/edit?usp=sharing"",""งบกองทุน!AR74"")"),10)</f>
        <v>10</v>
      </c>
      <c r="AQ70" s="308">
        <f ca="1">IFERROR(__xludf.DUMMYFUNCTION("IMPORTRANGE(""https://docs.google.com/spreadsheets/d/1SX6NBoVAgQJ6U1MVXOaj8PK2l7WJ3RER9xtqwdhxkhw/edit?usp=sharing"",""ลพบุรี!J326"")"),0)</f>
        <v>0</v>
      </c>
      <c r="AR70" s="308">
        <f ca="1">IFERROR(__xludf.DUMMYFUNCTION("IMPORTRANGE(""https://docs.google.com/spreadsheets/d/1C3CXT74ZlgGe6_JY_1olB1XN4rF0dxEuIIF-xsYjHgg/edit?usp=sharing"",""งบกองทุน!AS74"")"),30)</f>
        <v>30</v>
      </c>
      <c r="AS70" s="393">
        <f ca="1">IFERROR(__xludf.DUMMYFUNCTION("IMPORTRANGE(""https://docs.google.com/spreadsheets/d/1SX6NBoVAgQJ6U1MVXOaj8PK2l7WJ3RER9xtqwdhxkhw/edit?usp=sharing"",""ลพบุรี!J327"")"),30)</f>
        <v>30</v>
      </c>
    </row>
    <row r="71" spans="1:45" ht="21" customHeight="1">
      <c r="A71" s="303">
        <v>17</v>
      </c>
      <c r="B71" s="304" t="s">
        <v>95</v>
      </c>
      <c r="C71" s="391">
        <f t="shared" ca="1" si="111"/>
        <v>196620</v>
      </c>
      <c r="D71" s="306">
        <f ca="1">IFERROR(__xludf.DUMMYFUNCTION("IMPORTRANGE(""https://docs.google.com/spreadsheets/d/1C3CXT74ZlgGe6_JY_1olB1XN4rF0dxEuIIF-xsYjHgg/edit?usp=sharing"",""งบกองทุน!Z75"")"),0)</f>
        <v>0</v>
      </c>
      <c r="E71" s="306">
        <f ca="1">IFERROR(__xludf.DUMMYFUNCTION("IMPORTRANGE(""https://docs.google.com/spreadsheets/d/1C3CXT74ZlgGe6_JY_1olB1XN4rF0dxEuIIF-xsYjHgg/edit?usp=sharing"",""งบกองทุน!AA75"")"),196620)</f>
        <v>196620</v>
      </c>
      <c r="F71" s="307">
        <f ca="1">IFERROR(__xludf.DUMMYFUNCTION("IMPORTRANGE(""https://docs.google.com/spreadsheets/d/1SX6NBoVAgQJ6U1MVXOaj8PK2l7WJ3RER9xtqwdhxkhw/edit?usp=sharing"",""สระแก้ว!M299"")"),120564)</f>
        <v>120564</v>
      </c>
      <c r="G71" s="307">
        <f t="shared" ca="1" si="1"/>
        <v>61.318278913640526</v>
      </c>
      <c r="H71" s="308">
        <f t="shared" ref="H71:I71" ca="1" si="131">+N71+V71+AE71</f>
        <v>195</v>
      </c>
      <c r="I71" s="308">
        <f t="shared" ca="1" si="131"/>
        <v>65</v>
      </c>
      <c r="J71" s="308">
        <f t="shared" ca="1" si="113"/>
        <v>195</v>
      </c>
      <c r="K71" s="309">
        <f t="shared" ca="1" si="3"/>
        <v>100</v>
      </c>
      <c r="L71" s="308">
        <f t="shared" ca="1" si="114"/>
        <v>65</v>
      </c>
      <c r="M71" s="309">
        <f t="shared" ca="1" si="4"/>
        <v>100</v>
      </c>
      <c r="N71" s="392">
        <f ca="1">IFERROR(__xludf.DUMMYFUNCTION("IMPORTRANGE(""https://docs.google.com/spreadsheets/d/1C3CXT74ZlgGe6_JY_1olB1XN4rF0dxEuIIF-xsYjHgg/edit?usp=sharing"",""งบกองทุน!AD75"")"),45)</f>
        <v>45</v>
      </c>
      <c r="O71" s="392">
        <f ca="1">IFERROR(__xludf.DUMMYFUNCTION("IMPORTRANGE(""https://docs.google.com/spreadsheets/d/1C3CXT74ZlgGe6_JY_1olB1XN4rF0dxEuIIF-xsYjHgg/edit?usp=sharing"",""งบกองทุน!AE75"")"),15)</f>
        <v>15</v>
      </c>
      <c r="P71" s="308">
        <f ca="1">IFERROR(__xludf.DUMMYFUNCTION("IMPORTRANGE(""https://docs.google.com/spreadsheets/d/1SX6NBoVAgQJ6U1MVXOaj8PK2l7WJ3RER9xtqwdhxkhw/edit?usp=sharing"",""สระแก้ว!J313"")"),45)</f>
        <v>45</v>
      </c>
      <c r="Q71" s="309">
        <f t="shared" ca="1" si="6"/>
        <v>100</v>
      </c>
      <c r="R71" s="308">
        <f ca="1">IFERROR(__xludf.DUMMYFUNCTION("IMPORTRANGE(""https://docs.google.com/spreadsheets/d/1SX6NBoVAgQJ6U1MVXOaj8PK2l7WJ3RER9xtqwdhxkhw/edit?usp=sharing"",""สระแก้ว!J312"")"),15)</f>
        <v>15</v>
      </c>
      <c r="S71" s="309">
        <f t="shared" ca="1" si="7"/>
        <v>100</v>
      </c>
      <c r="T71" s="309">
        <f ca="1">IFERROR(__xludf.DUMMYFUNCTION("IMPORTRANGE(""https://docs.google.com/spreadsheets/d/1SX6NBoVAgQJ6U1MVXOaj8PK2l7WJ3RER9xtqwdhxkhw/edit?usp=sharing"",""สระแก้ว!J314"")"),15)</f>
        <v>15</v>
      </c>
      <c r="U71" s="309">
        <f ca="1">IFERROR(__xludf.DUMMYFUNCTION("IMPORTRANGE(""https://docs.google.com/spreadsheets/d/1SX6NBoVAgQJ6U1MVXOaj8PK2l7WJ3RER9xtqwdhxkhw/edit?usp=sharing"",""สระแก้ว!J315"")"),15)</f>
        <v>15</v>
      </c>
      <c r="V71" s="392">
        <f ca="1">IFERROR(__xludf.DUMMYFUNCTION("IMPORTRANGE(""https://docs.google.com/spreadsheets/d/1C3CXT74ZlgGe6_JY_1olB1XN4rF0dxEuIIF-xsYjHgg/edit?usp=sharing"",""งบกองทุน!AH75"")"),78)</f>
        <v>78</v>
      </c>
      <c r="W71" s="392">
        <f ca="1">IFERROR(__xludf.DUMMYFUNCTION("IMPORTRANGE(""https://docs.google.com/spreadsheets/d/1C3CXT74ZlgGe6_JY_1olB1XN4rF0dxEuIIF-xsYjHgg/edit?usp=sharing"",""งบกองทุน!AI75"")"),26)</f>
        <v>26</v>
      </c>
      <c r="X71" s="308">
        <f ca="1">IFERROR(__xludf.DUMMYFUNCTION("IMPORTRANGE(""https://docs.google.com/spreadsheets/d/1SX6NBoVAgQJ6U1MVXOaj8PK2l7WJ3RER9xtqwdhxkhw/edit?usp=sharing"",""สระแก้ว!J317"")"),78)</f>
        <v>78</v>
      </c>
      <c r="Y71" s="309">
        <f t="shared" ca="1" si="9"/>
        <v>100</v>
      </c>
      <c r="Z71" s="308">
        <f ca="1">IFERROR(__xludf.DUMMYFUNCTION("IMPORTRANGE(""https://docs.google.com/spreadsheets/d/1SX6NBoVAgQJ6U1MVXOaj8PK2l7WJ3RER9xtqwdhxkhw/edit?usp=sharing"",""สระแก้ว!J316"")"),26)</f>
        <v>26</v>
      </c>
      <c r="AA71" s="309">
        <f t="shared" ca="1" si="10"/>
        <v>100</v>
      </c>
      <c r="AB71" s="308">
        <f ca="1">IFERROR(__xludf.DUMMYFUNCTION("IMPORTRANGE(""https://docs.google.com/spreadsheets/d/1SX6NBoVAgQJ6U1MVXOaj8PK2l7WJ3RER9xtqwdhxkhw/edit?usp=sharing"",""สระแก้ว!J318"")"),26)</f>
        <v>26</v>
      </c>
      <c r="AC71" s="308">
        <f ca="1">IFERROR(__xludf.DUMMYFUNCTION("IMPORTRANGE(""https://docs.google.com/spreadsheets/d/1SX6NBoVAgQJ6U1MVXOaj8PK2l7WJ3RER9xtqwdhxkhw/edit?usp=sharing"",""สระแก้ว!J319"")"),26)</f>
        <v>26</v>
      </c>
      <c r="AD71" s="308">
        <f ca="1">IFERROR(__xludf.DUMMYFUNCTION("IMPORTRANGE(""https://docs.google.com/spreadsheets/d/1SX6NBoVAgQJ6U1MVXOaj8PK2l7WJ3RER9xtqwdhxkhw/edit?usp=sharing"",""สระแก้ว!J320"")"),26)</f>
        <v>26</v>
      </c>
      <c r="AE71" s="392">
        <f ca="1">IFERROR(__xludf.DUMMYFUNCTION("IMPORTRANGE(""https://docs.google.com/spreadsheets/d/1C3CXT74ZlgGe6_JY_1olB1XN4rF0dxEuIIF-xsYjHgg/edit?usp=sharing"",""งบกองทุน!AM75"")"),72)</f>
        <v>72</v>
      </c>
      <c r="AF71" s="392">
        <f ca="1">IFERROR(__xludf.DUMMYFUNCTION("IMPORTRANGE(""https://docs.google.com/spreadsheets/d/1C3CXT74ZlgGe6_JY_1olB1XN4rF0dxEuIIF-xsYjHgg/edit?usp=sharing"",""งบกองทุน!AN75"")"),24)</f>
        <v>24</v>
      </c>
      <c r="AG71" s="308">
        <f ca="1">IFERROR(__xludf.DUMMYFUNCTION("IMPORTRANGE(""https://docs.google.com/spreadsheets/d/1SX6NBoVAgQJ6U1MVXOaj8PK2l7WJ3RER9xtqwdhxkhw/edit?usp=sharing"",""สระแก้ว!J322"")"),72)</f>
        <v>72</v>
      </c>
      <c r="AH71" s="309">
        <f t="shared" ca="1" si="12"/>
        <v>100</v>
      </c>
      <c r="AI71" s="308">
        <f ca="1">IFERROR(__xludf.DUMMYFUNCTION("IMPORTRANGE(""https://docs.google.com/spreadsheets/d/1SX6NBoVAgQJ6U1MVXOaj8PK2l7WJ3RER9xtqwdhxkhw/edit?usp=sharing"",""สระแก้ว!J321"")"),24)</f>
        <v>24</v>
      </c>
      <c r="AJ71" s="309">
        <f t="shared" ca="1" si="13"/>
        <v>100</v>
      </c>
      <c r="AK71" s="308">
        <f ca="1">IFERROR(__xludf.DUMMYFUNCTION("IMPORTRANGE(""https://docs.google.com/spreadsheets/d/1SX6NBoVAgQJ6U1MVXOaj8PK2l7WJ3RER9xtqwdhxkhw/edit?usp=sharing"",""สระแก้ว!J323"")"),24)</f>
        <v>24</v>
      </c>
      <c r="AL71" s="308">
        <f ca="1">IFERROR(__xludf.DUMMYFUNCTION("IMPORTRANGE(""https://docs.google.com/spreadsheets/d/1SX6NBoVAgQJ6U1MVXOaj8PK2l7WJ3RER9xtqwdhxkhw/edit?usp=sharing"",""สระแก้ว!J324"")"),24)</f>
        <v>24</v>
      </c>
      <c r="AM71" s="308">
        <f t="shared" ca="1" si="115"/>
        <v>41</v>
      </c>
      <c r="AN71" s="308">
        <f ca="1">IFERROR(__xludf.DUMMYFUNCTION("IMPORTRANGE(""https://docs.google.com/spreadsheets/d/1SX6NBoVAgQJ6U1MVXOaj8PK2l7WJ3RER9xtqwdhxkhw/edit?usp=sharing"",""สระแก้ว!J325"")"),0)</f>
        <v>0</v>
      </c>
      <c r="AO71" s="309">
        <f t="shared" ca="1" si="15"/>
        <v>0</v>
      </c>
      <c r="AP71" s="392">
        <f ca="1">IFERROR(__xludf.DUMMYFUNCTION("IMPORTRANGE(""https://docs.google.com/spreadsheets/d/1C3CXT74ZlgGe6_JY_1olB1XN4rF0dxEuIIF-xsYjHgg/edit?usp=sharing"",""งบกองทุน!AR75"")"),15)</f>
        <v>15</v>
      </c>
      <c r="AQ71" s="308">
        <f ca="1">IFERROR(__xludf.DUMMYFUNCTION("IMPORTRANGE(""https://docs.google.com/spreadsheets/d/1SX6NBoVAgQJ6U1MVXOaj8PK2l7WJ3RER9xtqwdhxkhw/edit?usp=sharing"",""สระแก้ว!J326"")"),0)</f>
        <v>0</v>
      </c>
      <c r="AR71" s="308">
        <f ca="1">IFERROR(__xludf.DUMMYFUNCTION("IMPORTRANGE(""https://docs.google.com/spreadsheets/d/1C3CXT74ZlgGe6_JY_1olB1XN4rF0dxEuIIF-xsYjHgg/edit?usp=sharing"",""งบกองทุน!AS75"")"),26)</f>
        <v>26</v>
      </c>
      <c r="AS71" s="393">
        <f ca="1">IFERROR(__xludf.DUMMYFUNCTION("IMPORTRANGE(""https://docs.google.com/spreadsheets/d/1SX6NBoVAgQJ6U1MVXOaj8PK2l7WJ3RER9xtqwdhxkhw/edit?usp=sharing"",""สระแก้ว!J327"")"),0)</f>
        <v>0</v>
      </c>
    </row>
    <row r="72" spans="1:45" ht="21" customHeight="1">
      <c r="A72" s="303">
        <v>18</v>
      </c>
      <c r="B72" s="304" t="s">
        <v>96</v>
      </c>
      <c r="C72" s="391">
        <f t="shared" ca="1" si="111"/>
        <v>101920</v>
      </c>
      <c r="D72" s="306">
        <f ca="1">IFERROR(__xludf.DUMMYFUNCTION("IMPORTRANGE(""https://docs.google.com/spreadsheets/d/1C3CXT74ZlgGe6_JY_1olB1XN4rF0dxEuIIF-xsYjHgg/edit?usp=sharing"",""งบกองทุน!Z76"")"),0)</f>
        <v>0</v>
      </c>
      <c r="E72" s="306">
        <f ca="1">IFERROR(__xludf.DUMMYFUNCTION("IMPORTRANGE(""https://docs.google.com/spreadsheets/d/1C3CXT74ZlgGe6_JY_1olB1XN4rF0dxEuIIF-xsYjHgg/edit?usp=sharing"",""งบกองทุน!AA76"")"),101920)</f>
        <v>101920</v>
      </c>
      <c r="F72" s="307">
        <f ca="1">IFERROR(__xludf.DUMMYFUNCTION("IMPORTRANGE(""https://docs.google.com/spreadsheets/d/1SX6NBoVAgQJ6U1MVXOaj8PK2l7WJ3RER9xtqwdhxkhw/edit?usp=sharing"",""สระบุรี!M299"")"),80519)</f>
        <v>80519</v>
      </c>
      <c r="G72" s="307">
        <f t="shared" ca="1" si="1"/>
        <v>79.002158555729977</v>
      </c>
      <c r="H72" s="308">
        <f t="shared" ref="H72:I72" ca="1" si="132">+N72+V72+AE72</f>
        <v>90</v>
      </c>
      <c r="I72" s="308">
        <f t="shared" ca="1" si="132"/>
        <v>30</v>
      </c>
      <c r="J72" s="308">
        <f t="shared" ca="1" si="113"/>
        <v>0</v>
      </c>
      <c r="K72" s="309">
        <f t="shared" ca="1" si="3"/>
        <v>0</v>
      </c>
      <c r="L72" s="308">
        <f t="shared" ca="1" si="114"/>
        <v>0</v>
      </c>
      <c r="M72" s="309">
        <f t="shared" ca="1" si="4"/>
        <v>0</v>
      </c>
      <c r="N72" s="394">
        <f ca="1">IFERROR(__xludf.DUMMYFUNCTION("IMPORTRANGE(""https://docs.google.com/spreadsheets/d/1C3CXT74ZlgGe6_JY_1olB1XN4rF0dxEuIIF-xsYjHgg/edit?usp=sharing"",""งบกองทุน!AD76"")"),0)</f>
        <v>0</v>
      </c>
      <c r="O72" s="394">
        <f ca="1">IFERROR(__xludf.DUMMYFUNCTION("IMPORTRANGE(""https://docs.google.com/spreadsheets/d/1C3CXT74ZlgGe6_JY_1olB1XN4rF0dxEuIIF-xsYjHgg/edit?usp=sharing"",""งบกองทุน!AE76"")"),0)</f>
        <v>0</v>
      </c>
      <c r="P72" s="308">
        <f ca="1">IFERROR(__xludf.DUMMYFUNCTION("IMPORTRANGE(""https://docs.google.com/spreadsheets/d/1SX6NBoVAgQJ6U1MVXOaj8PK2l7WJ3RER9xtqwdhxkhw/edit?usp=sharing"",""สระบุรี!J313"")"),0)</f>
        <v>0</v>
      </c>
      <c r="Q72" s="309">
        <f t="shared" ca="1" si="6"/>
        <v>0</v>
      </c>
      <c r="R72" s="308">
        <f ca="1">IFERROR(__xludf.DUMMYFUNCTION("IMPORTRANGE(""https://docs.google.com/spreadsheets/d/1SX6NBoVAgQJ6U1MVXOaj8PK2l7WJ3RER9xtqwdhxkhw/edit?usp=sharing"",""สระบุรี!J312"")"),0)</f>
        <v>0</v>
      </c>
      <c r="S72" s="309">
        <f t="shared" ca="1" si="7"/>
        <v>0</v>
      </c>
      <c r="T72" s="309">
        <f ca="1">IFERROR(__xludf.DUMMYFUNCTION("IMPORTRANGE(""https://docs.google.com/spreadsheets/d/1SX6NBoVAgQJ6U1MVXOaj8PK2l7WJ3RER9xtqwdhxkhw/edit?usp=sharing"",""สระบุรี!J314"")"),0)</f>
        <v>0</v>
      </c>
      <c r="U72" s="309">
        <f ca="1">IFERROR(__xludf.DUMMYFUNCTION("IMPORTRANGE(""https://docs.google.com/spreadsheets/d/1SX6NBoVAgQJ6U1MVXOaj8PK2l7WJ3RER9xtqwdhxkhw/edit?usp=sharing"",""สระบุรี!J315"")"),0)</f>
        <v>0</v>
      </c>
      <c r="V72" s="392">
        <f ca="1">IFERROR(__xludf.DUMMYFUNCTION("IMPORTRANGE(""https://docs.google.com/spreadsheets/d/1C3CXT74ZlgGe6_JY_1olB1XN4rF0dxEuIIF-xsYjHgg/edit?usp=sharing"",""งบกองทุน!AH76"")"),60)</f>
        <v>60</v>
      </c>
      <c r="W72" s="392">
        <f ca="1">IFERROR(__xludf.DUMMYFUNCTION("IMPORTRANGE(""https://docs.google.com/spreadsheets/d/1C3CXT74ZlgGe6_JY_1olB1XN4rF0dxEuIIF-xsYjHgg/edit?usp=sharing"",""งบกองทุน!AI76"")"),20)</f>
        <v>20</v>
      </c>
      <c r="X72" s="308">
        <f ca="1">IFERROR(__xludf.DUMMYFUNCTION("IMPORTRANGE(""https://docs.google.com/spreadsheets/d/1SX6NBoVAgQJ6U1MVXOaj8PK2l7WJ3RER9xtqwdhxkhw/edit?usp=sharing"",""สระบุรี!J317"")"),0)</f>
        <v>0</v>
      </c>
      <c r="Y72" s="309">
        <f t="shared" ca="1" si="9"/>
        <v>0</v>
      </c>
      <c r="Z72" s="308">
        <f ca="1">IFERROR(__xludf.DUMMYFUNCTION("IMPORTRANGE(""https://docs.google.com/spreadsheets/d/1SX6NBoVAgQJ6U1MVXOaj8PK2l7WJ3RER9xtqwdhxkhw/edit?usp=sharing"",""สระบุรี!J316"")"),0)</f>
        <v>0</v>
      </c>
      <c r="AA72" s="309">
        <f t="shared" ca="1" si="10"/>
        <v>0</v>
      </c>
      <c r="AB72" s="308">
        <f ca="1">IFERROR(__xludf.DUMMYFUNCTION("IMPORTRANGE(""https://docs.google.com/spreadsheets/d/1SX6NBoVAgQJ6U1MVXOaj8PK2l7WJ3RER9xtqwdhxkhw/edit?usp=sharing"",""สระบุรี!J318"")"),20)</f>
        <v>20</v>
      </c>
      <c r="AC72" s="308">
        <f ca="1">IFERROR(__xludf.DUMMYFUNCTION("IMPORTRANGE(""https://docs.google.com/spreadsheets/d/1SX6NBoVAgQJ6U1MVXOaj8PK2l7WJ3RER9xtqwdhxkhw/edit?usp=sharing"",""สระบุรี!J319"")"),0)</f>
        <v>0</v>
      </c>
      <c r="AD72" s="308">
        <f ca="1">IFERROR(__xludf.DUMMYFUNCTION("IMPORTRANGE(""https://docs.google.com/spreadsheets/d/1SX6NBoVAgQJ6U1MVXOaj8PK2l7WJ3RER9xtqwdhxkhw/edit?usp=sharing"",""สระบุรี!J320"")"),0)</f>
        <v>0</v>
      </c>
      <c r="AE72" s="392">
        <f ca="1">IFERROR(__xludf.DUMMYFUNCTION("IMPORTRANGE(""https://docs.google.com/spreadsheets/d/1C3CXT74ZlgGe6_JY_1olB1XN4rF0dxEuIIF-xsYjHgg/edit?usp=sharing"",""งบกองทุน!AM76"")"),30)</f>
        <v>30</v>
      </c>
      <c r="AF72" s="392">
        <f ca="1">IFERROR(__xludf.DUMMYFUNCTION("IMPORTRANGE(""https://docs.google.com/spreadsheets/d/1C3CXT74ZlgGe6_JY_1olB1XN4rF0dxEuIIF-xsYjHgg/edit?usp=sharing"",""งบกองทุน!AN76"")"),10)</f>
        <v>10</v>
      </c>
      <c r="AG72" s="308">
        <f ca="1">IFERROR(__xludf.DUMMYFUNCTION("IMPORTRANGE(""https://docs.google.com/spreadsheets/d/1SX6NBoVAgQJ6U1MVXOaj8PK2l7WJ3RER9xtqwdhxkhw/edit?usp=sharing"",""สระบุรี!J322"")"),0)</f>
        <v>0</v>
      </c>
      <c r="AH72" s="309">
        <f t="shared" ca="1" si="12"/>
        <v>0</v>
      </c>
      <c r="AI72" s="308">
        <f ca="1">IFERROR(__xludf.DUMMYFUNCTION("IMPORTRANGE(""https://docs.google.com/spreadsheets/d/1SX6NBoVAgQJ6U1MVXOaj8PK2l7WJ3RER9xtqwdhxkhw/edit?usp=sharing"",""สระบุรี!J321"")"),0)</f>
        <v>0</v>
      </c>
      <c r="AJ72" s="309">
        <f t="shared" ca="1" si="13"/>
        <v>0</v>
      </c>
      <c r="AK72" s="308">
        <f ca="1">IFERROR(__xludf.DUMMYFUNCTION("IMPORTRANGE(""https://docs.google.com/spreadsheets/d/1SX6NBoVAgQJ6U1MVXOaj8PK2l7WJ3RER9xtqwdhxkhw/edit?usp=sharing"",""สระบุรี!J323"")"),10)</f>
        <v>10</v>
      </c>
      <c r="AL72" s="308">
        <f ca="1">IFERROR(__xludf.DUMMYFUNCTION("IMPORTRANGE(""https://docs.google.com/spreadsheets/d/1SX6NBoVAgQJ6U1MVXOaj8PK2l7WJ3RER9xtqwdhxkhw/edit?usp=sharing"",""สระบุรี!J324"")"),0)</f>
        <v>0</v>
      </c>
      <c r="AM72" s="308">
        <f t="shared" ca="1" si="115"/>
        <v>20</v>
      </c>
      <c r="AN72" s="308">
        <f ca="1">IFERROR(__xludf.DUMMYFUNCTION("IMPORTRANGE(""https://docs.google.com/spreadsheets/d/1SX6NBoVAgQJ6U1MVXOaj8PK2l7WJ3RER9xtqwdhxkhw/edit?usp=sharing"",""สระบุรี!J325"")"),0)</f>
        <v>0</v>
      </c>
      <c r="AO72" s="309">
        <f t="shared" ca="1" si="15"/>
        <v>0</v>
      </c>
      <c r="AP72" s="394">
        <f ca="1">IFERROR(__xludf.DUMMYFUNCTION("IMPORTRANGE(""https://docs.google.com/spreadsheets/d/1C3CXT74ZlgGe6_JY_1olB1XN4rF0dxEuIIF-xsYjHgg/edit?usp=sharing"",""งบกองทุน!AR76"")"),0)</f>
        <v>0</v>
      </c>
      <c r="AQ72" s="308">
        <f ca="1">IFERROR(__xludf.DUMMYFUNCTION("IMPORTRANGE(""https://docs.google.com/spreadsheets/d/1SX6NBoVAgQJ6U1MVXOaj8PK2l7WJ3RER9xtqwdhxkhw/edit?usp=sharing"",""สระบุรี!J326"")"),0)</f>
        <v>0</v>
      </c>
      <c r="AR72" s="308">
        <f ca="1">IFERROR(__xludf.DUMMYFUNCTION("IMPORTRANGE(""https://docs.google.com/spreadsheets/d/1C3CXT74ZlgGe6_JY_1olB1XN4rF0dxEuIIF-xsYjHgg/edit?usp=sharing"",""งบกองทุน!AS76"")"),20)</f>
        <v>20</v>
      </c>
      <c r="AS72" s="393">
        <f ca="1">IFERROR(__xludf.DUMMYFUNCTION("IMPORTRANGE(""https://docs.google.com/spreadsheets/d/1SX6NBoVAgQJ6U1MVXOaj8PK2l7WJ3RER9xtqwdhxkhw/edit?usp=sharing"",""สระบุรี!J327"")"),0)</f>
        <v>0</v>
      </c>
    </row>
    <row r="73" spans="1:45" ht="21" customHeight="1">
      <c r="A73" s="303">
        <v>19</v>
      </c>
      <c r="B73" s="304" t="s">
        <v>97</v>
      </c>
      <c r="C73" s="391">
        <f t="shared" ca="1" si="111"/>
        <v>98950</v>
      </c>
      <c r="D73" s="306">
        <f ca="1">IFERROR(__xludf.DUMMYFUNCTION("IMPORTRANGE(""https://docs.google.com/spreadsheets/d/1C3CXT74ZlgGe6_JY_1olB1XN4rF0dxEuIIF-xsYjHgg/edit?usp=sharing"",""งบกองทุน!Z77"")"),0)</f>
        <v>0</v>
      </c>
      <c r="E73" s="306">
        <f ca="1">IFERROR(__xludf.DUMMYFUNCTION("IMPORTRANGE(""https://docs.google.com/spreadsheets/d/1C3CXT74ZlgGe6_JY_1olB1XN4rF0dxEuIIF-xsYjHgg/edit?usp=sharing"",""งบกองทุน!AA77"")"),98950)</f>
        <v>98950</v>
      </c>
      <c r="F73" s="307">
        <f ca="1">IFERROR(__xludf.DUMMYFUNCTION("IMPORTRANGE(""https://docs.google.com/spreadsheets/d/1SX6NBoVAgQJ6U1MVXOaj8PK2l7WJ3RER9xtqwdhxkhw/edit?usp=sharing"",""สิงห์บุรี!M299"")"),79819)</f>
        <v>79819</v>
      </c>
      <c r="G73" s="307">
        <f t="shared" ca="1" si="1"/>
        <v>80.665992925720062</v>
      </c>
      <c r="H73" s="308">
        <f t="shared" ref="H73:I73" ca="1" si="133">+N73+V73+AE73</f>
        <v>87</v>
      </c>
      <c r="I73" s="308">
        <f t="shared" ca="1" si="133"/>
        <v>29</v>
      </c>
      <c r="J73" s="308">
        <f t="shared" ca="1" si="113"/>
        <v>87</v>
      </c>
      <c r="K73" s="309">
        <f t="shared" ca="1" si="3"/>
        <v>100</v>
      </c>
      <c r="L73" s="308">
        <f t="shared" ca="1" si="114"/>
        <v>29</v>
      </c>
      <c r="M73" s="309">
        <f t="shared" ca="1" si="4"/>
        <v>100</v>
      </c>
      <c r="N73" s="394">
        <f ca="1">IFERROR(__xludf.DUMMYFUNCTION("IMPORTRANGE(""https://docs.google.com/spreadsheets/d/1C3CXT74ZlgGe6_JY_1olB1XN4rF0dxEuIIF-xsYjHgg/edit?usp=sharing"",""งบกองทุน!AD77"")"),0)</f>
        <v>0</v>
      </c>
      <c r="O73" s="394">
        <f ca="1">IFERROR(__xludf.DUMMYFUNCTION("IMPORTRANGE(""https://docs.google.com/spreadsheets/d/1C3CXT74ZlgGe6_JY_1olB1XN4rF0dxEuIIF-xsYjHgg/edit?usp=sharing"",""งบกองทุน!AE77"")"),0)</f>
        <v>0</v>
      </c>
      <c r="P73" s="308">
        <f ca="1">IFERROR(__xludf.DUMMYFUNCTION("IMPORTRANGE(""https://docs.google.com/spreadsheets/d/1SX6NBoVAgQJ6U1MVXOaj8PK2l7WJ3RER9xtqwdhxkhw/edit?usp=sharing"",""สิงห์บุรี!J313"")"),0)</f>
        <v>0</v>
      </c>
      <c r="Q73" s="309">
        <f t="shared" ca="1" si="6"/>
        <v>0</v>
      </c>
      <c r="R73" s="308">
        <f ca="1">IFERROR(__xludf.DUMMYFUNCTION("IMPORTRANGE(""https://docs.google.com/spreadsheets/d/1SX6NBoVAgQJ6U1MVXOaj8PK2l7WJ3RER9xtqwdhxkhw/edit?usp=sharing"",""สิงห์บุรี!J312"")"),0)</f>
        <v>0</v>
      </c>
      <c r="S73" s="309">
        <f t="shared" ca="1" si="7"/>
        <v>0</v>
      </c>
      <c r="T73" s="309">
        <f ca="1">IFERROR(__xludf.DUMMYFUNCTION("IMPORTRANGE(""https://docs.google.com/spreadsheets/d/1SX6NBoVAgQJ6U1MVXOaj8PK2l7WJ3RER9xtqwdhxkhw/edit?usp=sharing"",""สิงห์บุรี!J314"")"),0)</f>
        <v>0</v>
      </c>
      <c r="U73" s="309">
        <f ca="1">IFERROR(__xludf.DUMMYFUNCTION("IMPORTRANGE(""https://docs.google.com/spreadsheets/d/1SX6NBoVAgQJ6U1MVXOaj8PK2l7WJ3RER9xtqwdhxkhw/edit?usp=sharing"",""สิงห์บุรี!J315"")"),0)</f>
        <v>0</v>
      </c>
      <c r="V73" s="392">
        <f ca="1">IFERROR(__xludf.DUMMYFUNCTION("IMPORTRANGE(""https://docs.google.com/spreadsheets/d/1C3CXT74ZlgGe6_JY_1olB1XN4rF0dxEuIIF-xsYjHgg/edit?usp=sharing"",""งบกองทุน!AH77"")"),57)</f>
        <v>57</v>
      </c>
      <c r="W73" s="392">
        <f ca="1">IFERROR(__xludf.DUMMYFUNCTION("IMPORTRANGE(""https://docs.google.com/spreadsheets/d/1C3CXT74ZlgGe6_JY_1olB1XN4rF0dxEuIIF-xsYjHgg/edit?usp=sharing"",""งบกองทุน!AI77"")"),19)</f>
        <v>19</v>
      </c>
      <c r="X73" s="308">
        <f ca="1">IFERROR(__xludf.DUMMYFUNCTION("IMPORTRANGE(""https://docs.google.com/spreadsheets/d/1SX6NBoVAgQJ6U1MVXOaj8PK2l7WJ3RER9xtqwdhxkhw/edit?usp=sharing"",""สิงห์บุรี!J317"")"),57)</f>
        <v>57</v>
      </c>
      <c r="Y73" s="309">
        <f t="shared" ca="1" si="9"/>
        <v>100</v>
      </c>
      <c r="Z73" s="308">
        <f ca="1">IFERROR(__xludf.DUMMYFUNCTION("IMPORTRANGE(""https://docs.google.com/spreadsheets/d/1SX6NBoVAgQJ6U1MVXOaj8PK2l7WJ3RER9xtqwdhxkhw/edit?usp=sharing"",""สิงห์บุรี!J316"")"),19)</f>
        <v>19</v>
      </c>
      <c r="AA73" s="309">
        <f t="shared" ca="1" si="10"/>
        <v>100</v>
      </c>
      <c r="AB73" s="308">
        <f ca="1">IFERROR(__xludf.DUMMYFUNCTION("IMPORTRANGE(""https://docs.google.com/spreadsheets/d/1SX6NBoVAgQJ6U1MVXOaj8PK2l7WJ3RER9xtqwdhxkhw/edit?usp=sharing"",""สิงห์บุรี!J318"")"),19)</f>
        <v>19</v>
      </c>
      <c r="AC73" s="308">
        <f ca="1">IFERROR(__xludf.DUMMYFUNCTION("IMPORTRANGE(""https://docs.google.com/spreadsheets/d/1SX6NBoVAgQJ6U1MVXOaj8PK2l7WJ3RER9xtqwdhxkhw/edit?usp=sharing"",""สิงห์บุรี!J319"")"),19)</f>
        <v>19</v>
      </c>
      <c r="AD73" s="308">
        <f ca="1">IFERROR(__xludf.DUMMYFUNCTION("IMPORTRANGE(""https://docs.google.com/spreadsheets/d/1SX6NBoVAgQJ6U1MVXOaj8PK2l7WJ3RER9xtqwdhxkhw/edit?usp=sharing"",""สิงห์บุรี!J320"")"),19)</f>
        <v>19</v>
      </c>
      <c r="AE73" s="392">
        <f ca="1">IFERROR(__xludf.DUMMYFUNCTION("IMPORTRANGE(""https://docs.google.com/spreadsheets/d/1C3CXT74ZlgGe6_JY_1olB1XN4rF0dxEuIIF-xsYjHgg/edit?usp=sharing"",""งบกองทุน!AM77"")"),30)</f>
        <v>30</v>
      </c>
      <c r="AF73" s="392">
        <f ca="1">IFERROR(__xludf.DUMMYFUNCTION("IMPORTRANGE(""https://docs.google.com/spreadsheets/d/1C3CXT74ZlgGe6_JY_1olB1XN4rF0dxEuIIF-xsYjHgg/edit?usp=sharing"",""งบกองทุน!AN77"")"),10)</f>
        <v>10</v>
      </c>
      <c r="AG73" s="308">
        <f ca="1">IFERROR(__xludf.DUMMYFUNCTION("IMPORTRANGE(""https://docs.google.com/spreadsheets/d/1SX6NBoVAgQJ6U1MVXOaj8PK2l7WJ3RER9xtqwdhxkhw/edit?usp=sharing"",""สิงห์บุรี!J322"")"),30)</f>
        <v>30</v>
      </c>
      <c r="AH73" s="309">
        <f t="shared" ca="1" si="12"/>
        <v>100</v>
      </c>
      <c r="AI73" s="308">
        <f ca="1">IFERROR(__xludf.DUMMYFUNCTION("IMPORTRANGE(""https://docs.google.com/spreadsheets/d/1SX6NBoVAgQJ6U1MVXOaj8PK2l7WJ3RER9xtqwdhxkhw/edit?usp=sharing"",""สิงห์บุรี!J321"")"),10)</f>
        <v>10</v>
      </c>
      <c r="AJ73" s="309">
        <f t="shared" ca="1" si="13"/>
        <v>100</v>
      </c>
      <c r="AK73" s="308">
        <f ca="1">IFERROR(__xludf.DUMMYFUNCTION("IMPORTRANGE(""https://docs.google.com/spreadsheets/d/1SX6NBoVAgQJ6U1MVXOaj8PK2l7WJ3RER9xtqwdhxkhw/edit?usp=sharing"",""สิงห์บุรี!J323"")"),10)</f>
        <v>10</v>
      </c>
      <c r="AL73" s="308">
        <f ca="1">IFERROR(__xludf.DUMMYFUNCTION("IMPORTRANGE(""https://docs.google.com/spreadsheets/d/1SX6NBoVAgQJ6U1MVXOaj8PK2l7WJ3RER9xtqwdhxkhw/edit?usp=sharing"",""สิงห์บุรี!J324"")"),10)</f>
        <v>10</v>
      </c>
      <c r="AM73" s="308">
        <f t="shared" ca="1" si="115"/>
        <v>19</v>
      </c>
      <c r="AN73" s="308">
        <f ca="1">IFERROR(__xludf.DUMMYFUNCTION("IMPORTRANGE(""https://docs.google.com/spreadsheets/d/1SX6NBoVAgQJ6U1MVXOaj8PK2l7WJ3RER9xtqwdhxkhw/edit?usp=sharing"",""สิงห์บุรี!J325"")"),19)</f>
        <v>19</v>
      </c>
      <c r="AO73" s="309">
        <f t="shared" ca="1" si="15"/>
        <v>100</v>
      </c>
      <c r="AP73" s="394">
        <f ca="1">IFERROR(__xludf.DUMMYFUNCTION("IMPORTRANGE(""https://docs.google.com/spreadsheets/d/1C3CXT74ZlgGe6_JY_1olB1XN4rF0dxEuIIF-xsYjHgg/edit?usp=sharing"",""งบกองทุน!AR77"")"),0)</f>
        <v>0</v>
      </c>
      <c r="AQ73" s="308">
        <f ca="1">IFERROR(__xludf.DUMMYFUNCTION("IMPORTRANGE(""https://docs.google.com/spreadsheets/d/1SX6NBoVAgQJ6U1MVXOaj8PK2l7WJ3RER9xtqwdhxkhw/edit?usp=sharing"",""สิงห์บุรี!J326"")"),0)</f>
        <v>0</v>
      </c>
      <c r="AR73" s="308">
        <f ca="1">IFERROR(__xludf.DUMMYFUNCTION("IMPORTRANGE(""https://docs.google.com/spreadsheets/d/1C3CXT74ZlgGe6_JY_1olB1XN4rF0dxEuIIF-xsYjHgg/edit?usp=sharing"",""งบกองทุน!AS77"")"),19)</f>
        <v>19</v>
      </c>
      <c r="AS73" s="393">
        <f ca="1">IFERROR(__xludf.DUMMYFUNCTION("IMPORTRANGE(""https://docs.google.com/spreadsheets/d/1SX6NBoVAgQJ6U1MVXOaj8PK2l7WJ3RER9xtqwdhxkhw/edit?usp=sharing"",""สิงห์บุรี!J327"")"),19)</f>
        <v>19</v>
      </c>
    </row>
    <row r="74" spans="1:45" ht="21" customHeight="1">
      <c r="A74" s="303">
        <v>20</v>
      </c>
      <c r="B74" s="304" t="s">
        <v>98</v>
      </c>
      <c r="C74" s="391">
        <f t="shared" ca="1" si="111"/>
        <v>186540</v>
      </c>
      <c r="D74" s="306">
        <f ca="1">IFERROR(__xludf.DUMMYFUNCTION("IMPORTRANGE(""https://docs.google.com/spreadsheets/d/1C3CXT74ZlgGe6_JY_1olB1XN4rF0dxEuIIF-xsYjHgg/edit?usp=sharing"",""งบกองทุน!Z78"")"),0)</f>
        <v>0</v>
      </c>
      <c r="E74" s="306">
        <f ca="1">IFERROR(__xludf.DUMMYFUNCTION("IMPORTRANGE(""https://docs.google.com/spreadsheets/d/1C3CXT74ZlgGe6_JY_1olB1XN4rF0dxEuIIF-xsYjHgg/edit?usp=sharing"",""งบกองทุน!AA78"")"),186540)</f>
        <v>186540</v>
      </c>
      <c r="F74" s="307">
        <f ca="1">IFERROR(__xludf.DUMMYFUNCTION("IMPORTRANGE(""https://docs.google.com/spreadsheets/d/1SX6NBoVAgQJ6U1MVXOaj8PK2l7WJ3RER9xtqwdhxkhw/edit?usp=sharing"",""สุพรรณบุรี!M299"")"),130070)</f>
        <v>130070</v>
      </c>
      <c r="G74" s="307">
        <f t="shared" ca="1" si="1"/>
        <v>69.727672349094021</v>
      </c>
      <c r="H74" s="308">
        <f t="shared" ref="H74:I74" ca="1" si="134">+N74+V74+AE74</f>
        <v>180</v>
      </c>
      <c r="I74" s="308">
        <f t="shared" ca="1" si="134"/>
        <v>60</v>
      </c>
      <c r="J74" s="308">
        <f t="shared" ca="1" si="113"/>
        <v>30</v>
      </c>
      <c r="K74" s="309">
        <f t="shared" ca="1" si="3"/>
        <v>16.666666666666668</v>
      </c>
      <c r="L74" s="308">
        <f t="shared" ca="1" si="114"/>
        <v>60</v>
      </c>
      <c r="M74" s="309">
        <f t="shared" ca="1" si="4"/>
        <v>100</v>
      </c>
      <c r="N74" s="394">
        <f ca="1">IFERROR(__xludf.DUMMYFUNCTION("IMPORTRANGE(""https://docs.google.com/spreadsheets/d/1C3CXT74ZlgGe6_JY_1olB1XN4rF0dxEuIIF-xsYjHgg/edit?usp=sharing"",""งบกองทุน!AD78"")"),0)</f>
        <v>0</v>
      </c>
      <c r="O74" s="394">
        <f ca="1">IFERROR(__xludf.DUMMYFUNCTION("IMPORTRANGE(""https://docs.google.com/spreadsheets/d/1C3CXT74ZlgGe6_JY_1olB1XN4rF0dxEuIIF-xsYjHgg/edit?usp=sharing"",""งบกองทุน!AE78"")"),0)</f>
        <v>0</v>
      </c>
      <c r="P74" s="308">
        <f ca="1">IFERROR(__xludf.DUMMYFUNCTION("IMPORTRANGE(""https://docs.google.com/spreadsheets/d/1SX6NBoVAgQJ6U1MVXOaj8PK2l7WJ3RER9xtqwdhxkhw/edit?usp=sharing"",""สุพรรณบุรี!J313"")"),0)</f>
        <v>0</v>
      </c>
      <c r="Q74" s="309">
        <f t="shared" ca="1" si="6"/>
        <v>0</v>
      </c>
      <c r="R74" s="308">
        <f ca="1">IFERROR(__xludf.DUMMYFUNCTION("IMPORTRANGE(""https://docs.google.com/spreadsheets/d/1SX6NBoVAgQJ6U1MVXOaj8PK2l7WJ3RER9xtqwdhxkhw/edit?usp=sharing"",""สุพรรณบุรี!J312"")"),0)</f>
        <v>0</v>
      </c>
      <c r="S74" s="309">
        <f t="shared" ca="1" si="7"/>
        <v>0</v>
      </c>
      <c r="T74" s="309">
        <f ca="1">IFERROR(__xludf.DUMMYFUNCTION("IMPORTRANGE(""https://docs.google.com/spreadsheets/d/1SX6NBoVAgQJ6U1MVXOaj8PK2l7WJ3RER9xtqwdhxkhw/edit?usp=sharing"",""สุพรรณบุรี!J314"")"),0)</f>
        <v>0</v>
      </c>
      <c r="U74" s="309">
        <f ca="1">IFERROR(__xludf.DUMMYFUNCTION("IMPORTRANGE(""https://docs.google.com/spreadsheets/d/1SX6NBoVAgQJ6U1MVXOaj8PK2l7WJ3RER9xtqwdhxkhw/edit?usp=sharing"",""สุพรรณบุรี!J315"")"),0)</f>
        <v>0</v>
      </c>
      <c r="V74" s="392">
        <f ca="1">IFERROR(__xludf.DUMMYFUNCTION("IMPORTRANGE(""https://docs.google.com/spreadsheets/d/1C3CXT74ZlgGe6_JY_1olB1XN4rF0dxEuIIF-xsYjHgg/edit?usp=sharing"",""งบกองทุน!AH78"")"),150)</f>
        <v>150</v>
      </c>
      <c r="W74" s="392">
        <f ca="1">IFERROR(__xludf.DUMMYFUNCTION("IMPORTRANGE(""https://docs.google.com/spreadsheets/d/1C3CXT74ZlgGe6_JY_1olB1XN4rF0dxEuIIF-xsYjHgg/edit?usp=sharing"",""งบกองทุน!AI78"")"),50)</f>
        <v>50</v>
      </c>
      <c r="X74" s="308">
        <f ca="1">IFERROR(__xludf.DUMMYFUNCTION("IMPORTRANGE(""https://docs.google.com/spreadsheets/d/1SX6NBoVAgQJ6U1MVXOaj8PK2l7WJ3RER9xtqwdhxkhw/edit?usp=sharing"",""สุพรรณบุรี!J317"")"),0)</f>
        <v>0</v>
      </c>
      <c r="Y74" s="309">
        <f t="shared" ca="1" si="9"/>
        <v>0</v>
      </c>
      <c r="Z74" s="308">
        <f ca="1">IFERROR(__xludf.DUMMYFUNCTION("IMPORTRANGE(""https://docs.google.com/spreadsheets/d/1SX6NBoVAgQJ6U1MVXOaj8PK2l7WJ3RER9xtqwdhxkhw/edit?usp=sharing"",""สุพรรณบุรี!J316"")"),50)</f>
        <v>50</v>
      </c>
      <c r="AA74" s="309">
        <f t="shared" ca="1" si="10"/>
        <v>100</v>
      </c>
      <c r="AB74" s="308">
        <f ca="1">IFERROR(__xludf.DUMMYFUNCTION("IMPORTRANGE(""https://docs.google.com/spreadsheets/d/1SX6NBoVAgQJ6U1MVXOaj8PK2l7WJ3RER9xtqwdhxkhw/edit?usp=sharing"",""สุพรรณบุรี!J318"")"),50)</f>
        <v>50</v>
      </c>
      <c r="AC74" s="308">
        <f ca="1">IFERROR(__xludf.DUMMYFUNCTION("IMPORTRANGE(""https://docs.google.com/spreadsheets/d/1SX6NBoVAgQJ6U1MVXOaj8PK2l7WJ3RER9xtqwdhxkhw/edit?usp=sharing"",""สุพรรณบุรี!J319"")"),50)</f>
        <v>50</v>
      </c>
      <c r="AD74" s="308">
        <f ca="1">IFERROR(__xludf.DUMMYFUNCTION("IMPORTRANGE(""https://docs.google.com/spreadsheets/d/1SX6NBoVAgQJ6U1MVXOaj8PK2l7WJ3RER9xtqwdhxkhw/edit?usp=sharing"",""สุพรรณบุรี!J320"")"),50)</f>
        <v>50</v>
      </c>
      <c r="AE74" s="392">
        <f ca="1">IFERROR(__xludf.DUMMYFUNCTION("IMPORTRANGE(""https://docs.google.com/spreadsheets/d/1C3CXT74ZlgGe6_JY_1olB1XN4rF0dxEuIIF-xsYjHgg/edit?usp=sharing"",""งบกองทุน!AM78"")"),30)</f>
        <v>30</v>
      </c>
      <c r="AF74" s="392">
        <f ca="1">IFERROR(__xludf.DUMMYFUNCTION("IMPORTRANGE(""https://docs.google.com/spreadsheets/d/1C3CXT74ZlgGe6_JY_1olB1XN4rF0dxEuIIF-xsYjHgg/edit?usp=sharing"",""งบกองทุน!AN78"")"),10)</f>
        <v>10</v>
      </c>
      <c r="AG74" s="308">
        <f ca="1">IFERROR(__xludf.DUMMYFUNCTION("IMPORTRANGE(""https://docs.google.com/spreadsheets/d/1SX6NBoVAgQJ6U1MVXOaj8PK2l7WJ3RER9xtqwdhxkhw/edit?usp=sharing"",""สุพรรณบุรี!J322"")"),30)</f>
        <v>30</v>
      </c>
      <c r="AH74" s="309">
        <f t="shared" ca="1" si="12"/>
        <v>100</v>
      </c>
      <c r="AI74" s="308">
        <f ca="1">IFERROR(__xludf.DUMMYFUNCTION("IMPORTRANGE(""https://docs.google.com/spreadsheets/d/1SX6NBoVAgQJ6U1MVXOaj8PK2l7WJ3RER9xtqwdhxkhw/edit?usp=sharing"",""สุพรรณบุรี!J321"")"),10)</f>
        <v>10</v>
      </c>
      <c r="AJ74" s="309">
        <f t="shared" ca="1" si="13"/>
        <v>100</v>
      </c>
      <c r="AK74" s="308">
        <f ca="1">IFERROR(__xludf.DUMMYFUNCTION("IMPORTRANGE(""https://docs.google.com/spreadsheets/d/1SX6NBoVAgQJ6U1MVXOaj8PK2l7WJ3RER9xtqwdhxkhw/edit?usp=sharing"",""สุพรรณบุรี!J323"")"),10)</f>
        <v>10</v>
      </c>
      <c r="AL74" s="308">
        <f ca="1">IFERROR(__xludf.DUMMYFUNCTION("IMPORTRANGE(""https://docs.google.com/spreadsheets/d/1SX6NBoVAgQJ6U1MVXOaj8PK2l7WJ3RER9xtqwdhxkhw/edit?usp=sharing"",""สุพรรณบุรี!J324"")"),10)</f>
        <v>10</v>
      </c>
      <c r="AM74" s="308">
        <f t="shared" ca="1" si="115"/>
        <v>50</v>
      </c>
      <c r="AN74" s="308">
        <f ca="1">IFERROR(__xludf.DUMMYFUNCTION("IMPORTRANGE(""https://docs.google.com/spreadsheets/d/1SX6NBoVAgQJ6U1MVXOaj8PK2l7WJ3RER9xtqwdhxkhw/edit?usp=sharing"",""สุพรรณบุรี!J325"")"),0)</f>
        <v>0</v>
      </c>
      <c r="AO74" s="309">
        <f t="shared" ca="1" si="15"/>
        <v>0</v>
      </c>
      <c r="AP74" s="394">
        <f ca="1">IFERROR(__xludf.DUMMYFUNCTION("IMPORTRANGE(""https://docs.google.com/spreadsheets/d/1C3CXT74ZlgGe6_JY_1olB1XN4rF0dxEuIIF-xsYjHgg/edit?usp=sharing"",""งบกองทุน!AR78"")"),0)</f>
        <v>0</v>
      </c>
      <c r="AQ74" s="308">
        <f ca="1">IFERROR(__xludf.DUMMYFUNCTION("IMPORTRANGE(""https://docs.google.com/spreadsheets/d/1SX6NBoVAgQJ6U1MVXOaj8PK2l7WJ3RER9xtqwdhxkhw/edit?usp=sharing"",""สุพรรณบุรี!J326"")"),0)</f>
        <v>0</v>
      </c>
      <c r="AR74" s="308">
        <f ca="1">IFERROR(__xludf.DUMMYFUNCTION("IMPORTRANGE(""https://docs.google.com/spreadsheets/d/1C3CXT74ZlgGe6_JY_1olB1XN4rF0dxEuIIF-xsYjHgg/edit?usp=sharing"",""งบกองทุน!AS78"")"),50)</f>
        <v>50</v>
      </c>
      <c r="AS74" s="393">
        <f ca="1">IFERROR(__xludf.DUMMYFUNCTION("IMPORTRANGE(""https://docs.google.com/spreadsheets/d/1SX6NBoVAgQJ6U1MVXOaj8PK2l7WJ3RER9xtqwdhxkhw/edit?usp=sharing"",""สุพรรณบุรี!J327"")"),0)</f>
        <v>0</v>
      </c>
    </row>
    <row r="75" spans="1:45" ht="21" customHeight="1">
      <c r="A75" s="310">
        <v>21</v>
      </c>
      <c r="B75" s="311" t="s">
        <v>99</v>
      </c>
      <c r="C75" s="395">
        <f t="shared" ca="1" si="111"/>
        <v>31440</v>
      </c>
      <c r="D75" s="313">
        <f ca="1">IFERROR(__xludf.DUMMYFUNCTION("IMPORTRANGE(""https://docs.google.com/spreadsheets/d/1C3CXT74ZlgGe6_JY_1olB1XN4rF0dxEuIIF-xsYjHgg/edit?usp=sharing"",""งบกองทุน!Z79"")"),0)</f>
        <v>0</v>
      </c>
      <c r="E75" s="313">
        <f ca="1">IFERROR(__xludf.DUMMYFUNCTION("IMPORTRANGE(""https://docs.google.com/spreadsheets/d/1C3CXT74ZlgGe6_JY_1olB1XN4rF0dxEuIIF-xsYjHgg/edit?usp=sharing"",""งบกองทุน!AA79"")"),31440)</f>
        <v>31440</v>
      </c>
      <c r="F75" s="314">
        <f ca="1">IFERROR(__xludf.DUMMYFUNCTION("IMPORTRANGE(""https://docs.google.com/spreadsheets/d/1SX6NBoVAgQJ6U1MVXOaj8PK2l7WJ3RER9xtqwdhxkhw/edit?usp=sharing"",""อ่างทอง!M299"")"),10931)</f>
        <v>10931</v>
      </c>
      <c r="G75" s="314">
        <f t="shared" ca="1" si="1"/>
        <v>34.767811704834607</v>
      </c>
      <c r="H75" s="315">
        <f t="shared" ref="H75:I75" ca="1" si="135">+N75+V75+AE75</f>
        <v>30</v>
      </c>
      <c r="I75" s="315">
        <f t="shared" ca="1" si="135"/>
        <v>10</v>
      </c>
      <c r="J75" s="315">
        <f t="shared" ca="1" si="113"/>
        <v>0</v>
      </c>
      <c r="K75" s="316">
        <f t="shared" ca="1" si="3"/>
        <v>0</v>
      </c>
      <c r="L75" s="315">
        <f t="shared" ca="1" si="114"/>
        <v>0</v>
      </c>
      <c r="M75" s="316">
        <f t="shared" ca="1" si="4"/>
        <v>0</v>
      </c>
      <c r="N75" s="401">
        <f ca="1">IFERROR(__xludf.DUMMYFUNCTION("IMPORTRANGE(""https://docs.google.com/spreadsheets/d/1C3CXT74ZlgGe6_JY_1olB1XN4rF0dxEuIIF-xsYjHgg/edit?usp=sharing"",""งบกองทุน!AD79"")"),0)</f>
        <v>0</v>
      </c>
      <c r="O75" s="401">
        <f ca="1">IFERROR(__xludf.DUMMYFUNCTION("IMPORTRANGE(""https://docs.google.com/spreadsheets/d/1C3CXT74ZlgGe6_JY_1olB1XN4rF0dxEuIIF-xsYjHgg/edit?usp=sharing"",""งบกองทุน!AE79"")"),0)</f>
        <v>0</v>
      </c>
      <c r="P75" s="315">
        <f ca="1">IFERROR(__xludf.DUMMYFUNCTION("IMPORTRANGE(""https://docs.google.com/spreadsheets/d/1SX6NBoVAgQJ6U1MVXOaj8PK2l7WJ3RER9xtqwdhxkhw/edit?usp=sharing"",""อ่างทอง!J313"")"),0)</f>
        <v>0</v>
      </c>
      <c r="Q75" s="316">
        <f t="shared" ca="1" si="6"/>
        <v>0</v>
      </c>
      <c r="R75" s="315">
        <f ca="1">IFERROR(__xludf.DUMMYFUNCTION("IMPORTRANGE(""https://docs.google.com/spreadsheets/d/1SX6NBoVAgQJ6U1MVXOaj8PK2l7WJ3RER9xtqwdhxkhw/edit?usp=sharing"",""อ่างทอง!J312"")"),0)</f>
        <v>0</v>
      </c>
      <c r="S75" s="316">
        <f t="shared" ca="1" si="7"/>
        <v>0</v>
      </c>
      <c r="T75" s="316">
        <f ca="1">IFERROR(__xludf.DUMMYFUNCTION("IMPORTRANGE(""https://docs.google.com/spreadsheets/d/1SX6NBoVAgQJ6U1MVXOaj8PK2l7WJ3RER9xtqwdhxkhw/edit?usp=sharing"",""อ่างทอง!J314"")"),0)</f>
        <v>0</v>
      </c>
      <c r="U75" s="316">
        <f ca="1">IFERROR(__xludf.DUMMYFUNCTION("IMPORTRANGE(""https://docs.google.com/spreadsheets/d/1SX6NBoVAgQJ6U1MVXOaj8PK2l7WJ3RER9xtqwdhxkhw/edit?usp=sharing"",""อ่างทอง!J315"")"),0)</f>
        <v>0</v>
      </c>
      <c r="V75" s="401">
        <f ca="1">IFERROR(__xludf.DUMMYFUNCTION("IMPORTRANGE(""https://docs.google.com/spreadsheets/d/1C3CXT74ZlgGe6_JY_1olB1XN4rF0dxEuIIF-xsYjHgg/edit?usp=sharing"",""งบกองทุน!AH79"")"),0)</f>
        <v>0</v>
      </c>
      <c r="W75" s="401">
        <f ca="1">IFERROR(__xludf.DUMMYFUNCTION("IMPORTRANGE(""https://docs.google.com/spreadsheets/d/1C3CXT74ZlgGe6_JY_1olB1XN4rF0dxEuIIF-xsYjHgg/edit?usp=sharing"",""งบกองทุน!AI79"")"),0)</f>
        <v>0</v>
      </c>
      <c r="X75" s="315">
        <f ca="1">IFERROR(__xludf.DUMMYFUNCTION("IMPORTRANGE(""https://docs.google.com/spreadsheets/d/1SX6NBoVAgQJ6U1MVXOaj8PK2l7WJ3RER9xtqwdhxkhw/edit?usp=sharing"",""อ่างทอง!J317"")"),0)</f>
        <v>0</v>
      </c>
      <c r="Y75" s="316">
        <f t="shared" ca="1" si="9"/>
        <v>0</v>
      </c>
      <c r="Z75" s="315">
        <f ca="1">IFERROR(__xludf.DUMMYFUNCTION("IMPORTRANGE(""https://docs.google.com/spreadsheets/d/1SX6NBoVAgQJ6U1MVXOaj8PK2l7WJ3RER9xtqwdhxkhw/edit?usp=sharing"",""อ่างทอง!J316"")"),0)</f>
        <v>0</v>
      </c>
      <c r="AA75" s="316">
        <f t="shared" ca="1" si="10"/>
        <v>0</v>
      </c>
      <c r="AB75" s="315">
        <f ca="1">IFERROR(__xludf.DUMMYFUNCTION("IMPORTRANGE(""https://docs.google.com/spreadsheets/d/1SX6NBoVAgQJ6U1MVXOaj8PK2l7WJ3RER9xtqwdhxkhw/edit?usp=sharing"",""อ่างทอง!J318"")"),0)</f>
        <v>0</v>
      </c>
      <c r="AC75" s="315">
        <f ca="1">IFERROR(__xludf.DUMMYFUNCTION("IMPORTRANGE(""https://docs.google.com/spreadsheets/d/1SX6NBoVAgQJ6U1MVXOaj8PK2l7WJ3RER9xtqwdhxkhw/edit?usp=sharing"",""อ่างทอง!J319"")"),0)</f>
        <v>0</v>
      </c>
      <c r="AD75" s="315">
        <f ca="1">IFERROR(__xludf.DUMMYFUNCTION("IMPORTRANGE(""https://docs.google.com/spreadsheets/d/1SX6NBoVAgQJ6U1MVXOaj8PK2l7WJ3RER9xtqwdhxkhw/edit?usp=sharing"",""อ่างทอง!J320"")"),0)</f>
        <v>0</v>
      </c>
      <c r="AE75" s="396">
        <f ca="1">IFERROR(__xludf.DUMMYFUNCTION("IMPORTRANGE(""https://docs.google.com/spreadsheets/d/1C3CXT74ZlgGe6_JY_1olB1XN4rF0dxEuIIF-xsYjHgg/edit?usp=sharing"",""งบกองทุน!AM79"")"),30)</f>
        <v>30</v>
      </c>
      <c r="AF75" s="396">
        <f ca="1">IFERROR(__xludf.DUMMYFUNCTION("IMPORTRANGE(""https://docs.google.com/spreadsheets/d/1C3CXT74ZlgGe6_JY_1olB1XN4rF0dxEuIIF-xsYjHgg/edit?usp=sharing"",""งบกองทุน!AN79"")"),10)</f>
        <v>10</v>
      </c>
      <c r="AG75" s="315">
        <f ca="1">IFERROR(__xludf.DUMMYFUNCTION("IMPORTRANGE(""https://docs.google.com/spreadsheets/d/1SX6NBoVAgQJ6U1MVXOaj8PK2l7WJ3RER9xtqwdhxkhw/edit?usp=sharing"",""อ่างทอง!J322"")"),0)</f>
        <v>0</v>
      </c>
      <c r="AH75" s="316">
        <f t="shared" ca="1" si="12"/>
        <v>0</v>
      </c>
      <c r="AI75" s="315">
        <f ca="1">IFERROR(__xludf.DUMMYFUNCTION("IMPORTRANGE(""https://docs.google.com/spreadsheets/d/1SX6NBoVAgQJ6U1MVXOaj8PK2l7WJ3RER9xtqwdhxkhw/edit?usp=sharing"",""อ่างทอง!J321"")"),0)</f>
        <v>0</v>
      </c>
      <c r="AJ75" s="316">
        <f t="shared" ca="1" si="13"/>
        <v>0</v>
      </c>
      <c r="AK75" s="315">
        <f ca="1">IFERROR(__xludf.DUMMYFUNCTION("IMPORTRANGE(""https://docs.google.com/spreadsheets/d/1SX6NBoVAgQJ6U1MVXOaj8PK2l7WJ3RER9xtqwdhxkhw/edit?usp=sharing"",""อ่างทอง!J323"")"),0)</f>
        <v>0</v>
      </c>
      <c r="AL75" s="315">
        <f ca="1">IFERROR(__xludf.DUMMYFUNCTION("IMPORTRANGE(""https://docs.google.com/spreadsheets/d/1SX6NBoVAgQJ6U1MVXOaj8PK2l7WJ3RER9xtqwdhxkhw/edit?usp=sharing"",""อ่างทอง!J324"")"),0)</f>
        <v>0</v>
      </c>
      <c r="AM75" s="315">
        <f t="shared" ca="1" si="115"/>
        <v>0</v>
      </c>
      <c r="AN75" s="315">
        <f ca="1">IFERROR(__xludf.DUMMYFUNCTION("IMPORTRANGE(""https://docs.google.com/spreadsheets/d/1SX6NBoVAgQJ6U1MVXOaj8PK2l7WJ3RER9xtqwdhxkhw/edit?usp=sharing"",""อ่างทอง!J325"")"),0)</f>
        <v>0</v>
      </c>
      <c r="AO75" s="316">
        <f t="shared" ca="1" si="15"/>
        <v>0</v>
      </c>
      <c r="AP75" s="401">
        <f ca="1">IFERROR(__xludf.DUMMYFUNCTION("IMPORTRANGE(""https://docs.google.com/spreadsheets/d/1C3CXT74ZlgGe6_JY_1olB1XN4rF0dxEuIIF-xsYjHgg/edit?usp=sharing"",""งบกองทุน!AR79"")"),0)</f>
        <v>0</v>
      </c>
      <c r="AQ75" s="315">
        <f ca="1">IFERROR(__xludf.DUMMYFUNCTION("IMPORTRANGE(""https://docs.google.com/spreadsheets/d/1SX6NBoVAgQJ6U1MVXOaj8PK2l7WJ3RER9xtqwdhxkhw/edit?usp=sharing"",""อ่างทอง!J326"")"),0)</f>
        <v>0</v>
      </c>
      <c r="AR75" s="315">
        <f ca="1">IFERROR(__xludf.DUMMYFUNCTION("IMPORTRANGE(""https://docs.google.com/spreadsheets/d/1C3CXT74ZlgGe6_JY_1olB1XN4rF0dxEuIIF-xsYjHgg/edit?usp=sharing"",""งบกองทุน!AS79"")"),0)</f>
        <v>0</v>
      </c>
      <c r="AS75" s="397">
        <f ca="1">IFERROR(__xludf.DUMMYFUNCTION("IMPORTRANGE(""https://docs.google.com/spreadsheets/d/1SX6NBoVAgQJ6U1MVXOaj8PK2l7WJ3RER9xtqwdhxkhw/edit?usp=sharing"",""อ่างทอง!J327"")"),0)</f>
        <v>0</v>
      </c>
    </row>
    <row r="76" spans="1:45" ht="21" customHeight="1">
      <c r="A76" s="802" t="s">
        <v>100</v>
      </c>
      <c r="B76" s="652"/>
      <c r="C76" s="398">
        <f t="shared" ref="C76:F76" ca="1" si="136">SUM(C77:C90)</f>
        <v>1883810</v>
      </c>
      <c r="D76" s="318">
        <f t="shared" ca="1" si="136"/>
        <v>0</v>
      </c>
      <c r="E76" s="318">
        <f t="shared" ca="1" si="136"/>
        <v>1883810</v>
      </c>
      <c r="F76" s="319">
        <f t="shared" ca="1" si="136"/>
        <v>1084564.8799999999</v>
      </c>
      <c r="G76" s="319">
        <f t="shared" ca="1" si="1"/>
        <v>57.572944192885686</v>
      </c>
      <c r="H76" s="318">
        <f t="shared" ref="H76:J76" ca="1" si="137">SUM(H77:H90)</f>
        <v>1620</v>
      </c>
      <c r="I76" s="318">
        <f t="shared" ca="1" si="137"/>
        <v>540</v>
      </c>
      <c r="J76" s="318">
        <f t="shared" ca="1" si="137"/>
        <v>1065</v>
      </c>
      <c r="K76" s="319">
        <f t="shared" ca="1" si="3"/>
        <v>65.740740740740748</v>
      </c>
      <c r="L76" s="318">
        <f ca="1">SUM(L77:L90)</f>
        <v>445</v>
      </c>
      <c r="M76" s="319">
        <f t="shared" ca="1" si="4"/>
        <v>82.407407407407405</v>
      </c>
      <c r="N76" s="318">
        <f t="shared" ref="N76:P76" ca="1" si="138">SUM(N77:N90)</f>
        <v>405</v>
      </c>
      <c r="O76" s="318">
        <f t="shared" ca="1" si="138"/>
        <v>135</v>
      </c>
      <c r="P76" s="318">
        <f t="shared" ca="1" si="138"/>
        <v>285</v>
      </c>
      <c r="Q76" s="319">
        <f t="shared" ca="1" si="6"/>
        <v>70.370370370370367</v>
      </c>
      <c r="R76" s="318">
        <f ca="1">SUM(R77:R90)</f>
        <v>115</v>
      </c>
      <c r="S76" s="319">
        <f t="shared" ca="1" si="7"/>
        <v>85.18518518518519</v>
      </c>
      <c r="T76" s="319">
        <f t="shared" ref="T76:X76" ca="1" si="139">SUM(T77:T90)</f>
        <v>115</v>
      </c>
      <c r="U76" s="319">
        <f t="shared" ca="1" si="139"/>
        <v>135</v>
      </c>
      <c r="V76" s="399">
        <f t="shared" ca="1" si="139"/>
        <v>705</v>
      </c>
      <c r="W76" s="399">
        <f t="shared" ca="1" si="139"/>
        <v>235</v>
      </c>
      <c r="X76" s="318">
        <f t="shared" ca="1" si="139"/>
        <v>450</v>
      </c>
      <c r="Y76" s="319">
        <f t="shared" ca="1" si="9"/>
        <v>63.829787234042556</v>
      </c>
      <c r="Z76" s="318">
        <f ca="1">SUM(Z77:Z90)</f>
        <v>190</v>
      </c>
      <c r="AA76" s="319">
        <f t="shared" ca="1" si="10"/>
        <v>80.851063829787236</v>
      </c>
      <c r="AB76" s="318">
        <f t="shared" ref="AB76:AG76" ca="1" si="140">SUM(AB77:AB90)</f>
        <v>210</v>
      </c>
      <c r="AC76" s="318">
        <f t="shared" ca="1" si="140"/>
        <v>210</v>
      </c>
      <c r="AD76" s="318">
        <f t="shared" ca="1" si="140"/>
        <v>190</v>
      </c>
      <c r="AE76" s="318">
        <f t="shared" ca="1" si="140"/>
        <v>510</v>
      </c>
      <c r="AF76" s="318">
        <f t="shared" ca="1" si="140"/>
        <v>170</v>
      </c>
      <c r="AG76" s="318">
        <f t="shared" ca="1" si="140"/>
        <v>330</v>
      </c>
      <c r="AH76" s="319">
        <f t="shared" ca="1" si="12"/>
        <v>64.705882352941174</v>
      </c>
      <c r="AI76" s="318">
        <f ca="1">SUM(AI77:AI90)</f>
        <v>140</v>
      </c>
      <c r="AJ76" s="319">
        <f t="shared" ca="1" si="13"/>
        <v>82.352941176470594</v>
      </c>
      <c r="AK76" s="318">
        <f t="shared" ref="AK76:AN76" ca="1" si="141">SUM(AK77:AK90)</f>
        <v>140</v>
      </c>
      <c r="AL76" s="318">
        <f t="shared" ca="1" si="141"/>
        <v>140</v>
      </c>
      <c r="AM76" s="318">
        <f t="shared" ca="1" si="141"/>
        <v>370</v>
      </c>
      <c r="AN76" s="318">
        <f t="shared" ca="1" si="141"/>
        <v>80</v>
      </c>
      <c r="AO76" s="319">
        <f t="shared" ca="1" si="15"/>
        <v>21.621621621621621</v>
      </c>
      <c r="AP76" s="318">
        <f t="shared" ref="AP76:AS76" ca="1" si="142">SUM(AP77:AP90)</f>
        <v>135</v>
      </c>
      <c r="AQ76" s="318">
        <f t="shared" ca="1" si="142"/>
        <v>55</v>
      </c>
      <c r="AR76" s="318">
        <f t="shared" ca="1" si="142"/>
        <v>235</v>
      </c>
      <c r="AS76" s="318">
        <f t="shared" ca="1" si="142"/>
        <v>35</v>
      </c>
    </row>
    <row r="77" spans="1:45" ht="21" customHeight="1">
      <c r="A77" s="293">
        <v>1</v>
      </c>
      <c r="B77" s="357" t="s">
        <v>101</v>
      </c>
      <c r="C77" s="388">
        <f t="shared" ref="C77:C90" ca="1" si="143">+D77+E77</f>
        <v>131710</v>
      </c>
      <c r="D77" s="296">
        <f ca="1">IFERROR(__xludf.DUMMYFUNCTION("IMPORTRANGE(""https://docs.google.com/spreadsheets/d/1C3CXT74ZlgGe6_JY_1olB1XN4rF0dxEuIIF-xsYjHgg/edit?usp=sharing"",""งบกองทุน!Z81"")"),0)</f>
        <v>0</v>
      </c>
      <c r="E77" s="296">
        <f ca="1">IFERROR(__xludf.DUMMYFUNCTION("IMPORTRANGE(""https://docs.google.com/spreadsheets/d/1C3CXT74ZlgGe6_JY_1olB1XN4rF0dxEuIIF-xsYjHgg/edit?usp=sharing"",""งบกองทุน!AA81"")"),131710)</f>
        <v>131710</v>
      </c>
      <c r="F77" s="297">
        <f ca="1">IFERROR(__xludf.DUMMYFUNCTION("IMPORTRANGE(""https://docs.google.com/spreadsheets/d/1IYY_tgx_IHuhSq3AJ5eI5OnqOPBNLWSHKh2a30DoXe8/edit?usp=sharing"",""กระบี่!M299"")"),64534)</f>
        <v>64534</v>
      </c>
      <c r="G77" s="297">
        <f t="shared" ca="1" si="1"/>
        <v>48.997038949206591</v>
      </c>
      <c r="H77" s="299">
        <f t="shared" ref="H77:I77" ca="1" si="144">+N77+V77+AE77</f>
        <v>105</v>
      </c>
      <c r="I77" s="299">
        <f t="shared" ca="1" si="144"/>
        <v>35</v>
      </c>
      <c r="J77" s="299">
        <f t="shared" ref="J77:J90" ca="1" si="145">P77+X77+AG77</f>
        <v>0</v>
      </c>
      <c r="K77" s="301">
        <f t="shared" ca="1" si="3"/>
        <v>0</v>
      </c>
      <c r="L77" s="299">
        <f t="shared" ref="L77:L90" ca="1" si="146">R77+Z77+AI77</f>
        <v>35</v>
      </c>
      <c r="M77" s="301">
        <f t="shared" ca="1" si="4"/>
        <v>100</v>
      </c>
      <c r="N77" s="389">
        <f ca="1">IFERROR(__xludf.DUMMYFUNCTION("IMPORTRANGE(""https://docs.google.com/spreadsheets/d/1C3CXT74ZlgGe6_JY_1olB1XN4rF0dxEuIIF-xsYjHgg/edit?usp=sharing"",""งบกองทุน!AD81"")"),30)</f>
        <v>30</v>
      </c>
      <c r="O77" s="389">
        <f ca="1">IFERROR(__xludf.DUMMYFUNCTION("IMPORTRANGE(""https://docs.google.com/spreadsheets/d/1C3CXT74ZlgGe6_JY_1olB1XN4rF0dxEuIIF-xsYjHgg/edit?usp=sharing"",""งบกองทุน!AE81"")"),10)</f>
        <v>10</v>
      </c>
      <c r="P77" s="299">
        <f ca="1">IFERROR(__xludf.DUMMYFUNCTION("IMPORTRANGE(""https://docs.google.com/spreadsheets/d/1IYY_tgx_IHuhSq3AJ5eI5OnqOPBNLWSHKh2a30DoXe8/edit?usp=sharing"",""กระบี่!J313"")"),0)</f>
        <v>0</v>
      </c>
      <c r="Q77" s="301">
        <f t="shared" ca="1" si="6"/>
        <v>0</v>
      </c>
      <c r="R77" s="299">
        <f ca="1">IFERROR(__xludf.DUMMYFUNCTION("IMPORTRANGE(""https://docs.google.com/spreadsheets/d/1IYY_tgx_IHuhSq3AJ5eI5OnqOPBNLWSHKh2a30DoXe8/edit?usp=sharing"",""กระบี่!J312"")"),10)</f>
        <v>10</v>
      </c>
      <c r="S77" s="301">
        <f t="shared" ca="1" si="7"/>
        <v>100</v>
      </c>
      <c r="T77" s="301">
        <f ca="1">IFERROR(__xludf.DUMMYFUNCTION("IMPORTRANGE(""https://docs.google.com/spreadsheets/d/1IYY_tgx_IHuhSq3AJ5eI5OnqOPBNLWSHKh2a30DoXe8/edit?usp=sharing"",""กระบี่!J314"")"),10)</f>
        <v>10</v>
      </c>
      <c r="U77" s="301">
        <f ca="1">IFERROR(__xludf.DUMMYFUNCTION("IMPORTRANGE(""https://docs.google.com/spreadsheets/d/1IYY_tgx_IHuhSq3AJ5eI5OnqOPBNLWSHKh2a30DoXe8/edit?usp=sharing"",""กระบี่!J315"")"),10)</f>
        <v>10</v>
      </c>
      <c r="V77" s="389">
        <f ca="1">IFERROR(__xludf.DUMMYFUNCTION("IMPORTRANGE(""https://docs.google.com/spreadsheets/d/1C3CXT74ZlgGe6_JY_1olB1XN4rF0dxEuIIF-xsYjHgg/edit?usp=sharing"",""งบกองทุน!AH81"")"),45)</f>
        <v>45</v>
      </c>
      <c r="W77" s="389">
        <f ca="1">IFERROR(__xludf.DUMMYFUNCTION("IMPORTRANGE(""https://docs.google.com/spreadsheets/d/1C3CXT74ZlgGe6_JY_1olB1XN4rF0dxEuIIF-xsYjHgg/edit?usp=sharing"",""งบกองทุน!AI81"")"),15)</f>
        <v>15</v>
      </c>
      <c r="X77" s="299">
        <f ca="1">IFERROR(__xludf.DUMMYFUNCTION("IMPORTRANGE(""https://docs.google.com/spreadsheets/d/1IYY_tgx_IHuhSq3AJ5eI5OnqOPBNLWSHKh2a30DoXe8/edit?usp=sharing"",""กระบี่!J317"")"),0)</f>
        <v>0</v>
      </c>
      <c r="Y77" s="301">
        <f t="shared" ca="1" si="9"/>
        <v>0</v>
      </c>
      <c r="Z77" s="299">
        <f ca="1">IFERROR(__xludf.DUMMYFUNCTION("IMPORTRANGE(""https://docs.google.com/spreadsheets/d/1IYY_tgx_IHuhSq3AJ5eI5OnqOPBNLWSHKh2a30DoXe8/edit?usp=sharing"",""กระบี่!J316"")"),15)</f>
        <v>15</v>
      </c>
      <c r="AA77" s="301">
        <f t="shared" ca="1" si="10"/>
        <v>100</v>
      </c>
      <c r="AB77" s="299">
        <f ca="1">IFERROR(__xludf.DUMMYFUNCTION("IMPORTRANGE(""https://docs.google.com/spreadsheets/d/1IYY_tgx_IHuhSq3AJ5eI5OnqOPBNLWSHKh2a30DoXe8/edit?usp=sharing"",""กระบี่!J318"")"),15)</f>
        <v>15</v>
      </c>
      <c r="AC77" s="299">
        <f ca="1">IFERROR(__xludf.DUMMYFUNCTION("IMPORTRANGE(""https://docs.google.com/spreadsheets/d/1IYY_tgx_IHuhSq3AJ5eI5OnqOPBNLWSHKh2a30DoXe8/edit?usp=sharing"",""กระบี่!J319"")"),15)</f>
        <v>15</v>
      </c>
      <c r="AD77" s="299">
        <f ca="1">IFERROR(__xludf.DUMMYFUNCTION("IMPORTRANGE(""https://docs.google.com/spreadsheets/d/1IYY_tgx_IHuhSq3AJ5eI5OnqOPBNLWSHKh2a30DoXe8/edit?usp=sharing"",""กระบี่!J320"")"),15)</f>
        <v>15</v>
      </c>
      <c r="AE77" s="389">
        <f ca="1">IFERROR(__xludf.DUMMYFUNCTION("IMPORTRANGE(""https://docs.google.com/spreadsheets/d/1C3CXT74ZlgGe6_JY_1olB1XN4rF0dxEuIIF-xsYjHgg/edit?usp=sharing"",""งบกองทุน!AM81"")"),30)</f>
        <v>30</v>
      </c>
      <c r="AF77" s="389">
        <f ca="1">IFERROR(__xludf.DUMMYFUNCTION("IMPORTRANGE(""https://docs.google.com/spreadsheets/d/1C3CXT74ZlgGe6_JY_1olB1XN4rF0dxEuIIF-xsYjHgg/edit?usp=sharing"",""งบกองทุน!AN81"")"),10)</f>
        <v>10</v>
      </c>
      <c r="AG77" s="299">
        <f ca="1">IFERROR(__xludf.DUMMYFUNCTION("IMPORTRANGE(""https://docs.google.com/spreadsheets/d/1IYY_tgx_IHuhSq3AJ5eI5OnqOPBNLWSHKh2a30DoXe8/edit?usp=sharing"",""กระบี่!J322"")"),0)</f>
        <v>0</v>
      </c>
      <c r="AH77" s="301">
        <f t="shared" ca="1" si="12"/>
        <v>0</v>
      </c>
      <c r="AI77" s="299">
        <f ca="1">IFERROR(__xludf.DUMMYFUNCTION("IMPORTRANGE(""https://docs.google.com/spreadsheets/d/1IYY_tgx_IHuhSq3AJ5eI5OnqOPBNLWSHKh2a30DoXe8/edit?usp=sharing"",""กระบี่!J321"")"),10)</f>
        <v>10</v>
      </c>
      <c r="AJ77" s="301">
        <f t="shared" ca="1" si="13"/>
        <v>100</v>
      </c>
      <c r="AK77" s="299">
        <f ca="1">IFERROR(__xludf.DUMMYFUNCTION("IMPORTRANGE(""https://docs.google.com/spreadsheets/d/1IYY_tgx_IHuhSq3AJ5eI5OnqOPBNLWSHKh2a30DoXe8/edit?usp=sharing"",""กระบี่!J323"")"),10)</f>
        <v>10</v>
      </c>
      <c r="AL77" s="299">
        <f ca="1">IFERROR(__xludf.DUMMYFUNCTION("IMPORTRANGE(""https://docs.google.com/spreadsheets/d/1IYY_tgx_IHuhSq3AJ5eI5OnqOPBNLWSHKh2a30DoXe8/edit?usp=sharing"",""กระบี่!J324"")"),10)</f>
        <v>10</v>
      </c>
      <c r="AM77" s="299">
        <f t="shared" ref="AM77:AM90" ca="1" si="147">+AP77+AR77</f>
        <v>25</v>
      </c>
      <c r="AN77" s="299">
        <f ca="1">IFERROR(__xludf.DUMMYFUNCTION("IMPORTRANGE(""https://docs.google.com/spreadsheets/d/1IYY_tgx_IHuhSq3AJ5eI5OnqOPBNLWSHKh2a30DoXe8/edit?usp=sharing"",""กระบี่!J325"")"),0)</f>
        <v>0</v>
      </c>
      <c r="AO77" s="301">
        <f t="shared" ca="1" si="15"/>
        <v>0</v>
      </c>
      <c r="AP77" s="389">
        <f ca="1">IFERROR(__xludf.DUMMYFUNCTION("IMPORTRANGE(""https://docs.google.com/spreadsheets/d/1C3CXT74ZlgGe6_JY_1olB1XN4rF0dxEuIIF-xsYjHgg/edit?usp=sharing"",""งบกองทุน!AR81"")"),10)</f>
        <v>10</v>
      </c>
      <c r="AQ77" s="299">
        <f ca="1">IFERROR(__xludf.DUMMYFUNCTION("IMPORTRANGE(""https://docs.google.com/spreadsheets/d/1IYY_tgx_IHuhSq3AJ5eI5OnqOPBNLWSHKh2a30DoXe8/edit?usp=sharing"",""กระบี่!J326"")"),0)</f>
        <v>0</v>
      </c>
      <c r="AR77" s="299">
        <f ca="1">IFERROR(__xludf.DUMMYFUNCTION("IMPORTRANGE(""https://docs.google.com/spreadsheets/d/1C3CXT74ZlgGe6_JY_1olB1XN4rF0dxEuIIF-xsYjHgg/edit?usp=sharing"",""งบกองทุน!AS81"")"),15)</f>
        <v>15</v>
      </c>
      <c r="AS77" s="390">
        <f ca="1">IFERROR(__xludf.DUMMYFUNCTION("IMPORTRANGE(""https://docs.google.com/spreadsheets/d/1IYY_tgx_IHuhSq3AJ5eI5OnqOPBNLWSHKh2a30DoXe8/edit?usp=sharing"",""กระบี่!J327"")"),0)</f>
        <v>0</v>
      </c>
    </row>
    <row r="78" spans="1:45" ht="21" customHeight="1">
      <c r="A78" s="303">
        <v>2</v>
      </c>
      <c r="B78" s="304" t="s">
        <v>102</v>
      </c>
      <c r="C78" s="391">
        <f t="shared" ca="1" si="143"/>
        <v>159950</v>
      </c>
      <c r="D78" s="306">
        <f ca="1">IFERROR(__xludf.DUMMYFUNCTION("IMPORTRANGE(""https://docs.google.com/spreadsheets/d/1C3CXT74ZlgGe6_JY_1olB1XN4rF0dxEuIIF-xsYjHgg/edit?usp=sharing"",""งบกองทุน!Z82"")"),0)</f>
        <v>0</v>
      </c>
      <c r="E78" s="306">
        <f ca="1">IFERROR(__xludf.DUMMYFUNCTION("IMPORTRANGE(""https://docs.google.com/spreadsheets/d/1C3CXT74ZlgGe6_JY_1olB1XN4rF0dxEuIIF-xsYjHgg/edit?usp=sharing"",""งบกองทุน!AA82"")"),159950)</f>
        <v>159950</v>
      </c>
      <c r="F78" s="307">
        <f ca="1">IFERROR(__xludf.DUMMYFUNCTION("IMPORTRANGE(""https://docs.google.com/spreadsheets/d/1IYY_tgx_IHuhSq3AJ5eI5OnqOPBNLWSHKh2a30DoXe8/edit?usp=sharing"",""ชุมพร!M299"")"),49892)</f>
        <v>49892</v>
      </c>
      <c r="G78" s="307">
        <f t="shared" ca="1" si="1"/>
        <v>31.192247577367926</v>
      </c>
      <c r="H78" s="308">
        <f t="shared" ref="H78:I78" ca="1" si="148">+N78+V78+AE78</f>
        <v>135</v>
      </c>
      <c r="I78" s="308">
        <f t="shared" ca="1" si="148"/>
        <v>45</v>
      </c>
      <c r="J78" s="308">
        <f t="shared" ca="1" si="145"/>
        <v>0</v>
      </c>
      <c r="K78" s="309">
        <f t="shared" ca="1" si="3"/>
        <v>0</v>
      </c>
      <c r="L78" s="308">
        <f t="shared" ca="1" si="146"/>
        <v>0</v>
      </c>
      <c r="M78" s="309">
        <f t="shared" ca="1" si="4"/>
        <v>0</v>
      </c>
      <c r="N78" s="392">
        <f ca="1">IFERROR(__xludf.DUMMYFUNCTION("IMPORTRANGE(""https://docs.google.com/spreadsheets/d/1C3CXT74ZlgGe6_JY_1olB1XN4rF0dxEuIIF-xsYjHgg/edit?usp=sharing"",""งบกองทุน!AD82"")"),30)</f>
        <v>30</v>
      </c>
      <c r="O78" s="392">
        <f ca="1">IFERROR(__xludf.DUMMYFUNCTION("IMPORTRANGE(""https://docs.google.com/spreadsheets/d/1C3CXT74ZlgGe6_JY_1olB1XN4rF0dxEuIIF-xsYjHgg/edit?usp=sharing"",""งบกองทุน!AE82"")"),10)</f>
        <v>10</v>
      </c>
      <c r="P78" s="308">
        <f ca="1">IFERROR(__xludf.DUMMYFUNCTION("IMPORTRANGE(""https://docs.google.com/spreadsheets/d/1IYY_tgx_IHuhSq3AJ5eI5OnqOPBNLWSHKh2a30DoXe8/edit?usp=sharing"",""ชุมพร!J313"")"),0)</f>
        <v>0</v>
      </c>
      <c r="Q78" s="309">
        <f t="shared" ca="1" si="6"/>
        <v>0</v>
      </c>
      <c r="R78" s="308">
        <f ca="1">IFERROR(__xludf.DUMMYFUNCTION("IMPORTRANGE(""https://docs.google.com/spreadsheets/d/1IYY_tgx_IHuhSq3AJ5eI5OnqOPBNLWSHKh2a30DoXe8/edit?usp=sharing"",""ชุมพร!J312"")"),0)</f>
        <v>0</v>
      </c>
      <c r="S78" s="309">
        <f t="shared" ca="1" si="7"/>
        <v>0</v>
      </c>
      <c r="T78" s="309">
        <f ca="1">IFERROR(__xludf.DUMMYFUNCTION("IMPORTRANGE(""https://docs.google.com/spreadsheets/d/1IYY_tgx_IHuhSq3AJ5eI5OnqOPBNLWSHKh2a30DoXe8/edit?usp=sharing"",""ชุมพร!J314"")"),0)</f>
        <v>0</v>
      </c>
      <c r="U78" s="309">
        <f ca="1">IFERROR(__xludf.DUMMYFUNCTION("IMPORTRANGE(""https://docs.google.com/spreadsheets/d/1IYY_tgx_IHuhSq3AJ5eI5OnqOPBNLWSHKh2a30DoXe8/edit?usp=sharing"",""ชุมพร!J315"")"),10)</f>
        <v>10</v>
      </c>
      <c r="V78" s="392">
        <f ca="1">IFERROR(__xludf.DUMMYFUNCTION("IMPORTRANGE(""https://docs.google.com/spreadsheets/d/1C3CXT74ZlgGe6_JY_1olB1XN4rF0dxEuIIF-xsYjHgg/edit?usp=sharing"",""งบกองทุน!AH82"")"),75)</f>
        <v>75</v>
      </c>
      <c r="W78" s="392">
        <f ca="1">IFERROR(__xludf.DUMMYFUNCTION("IMPORTRANGE(""https://docs.google.com/spreadsheets/d/1C3CXT74ZlgGe6_JY_1olB1XN4rF0dxEuIIF-xsYjHgg/edit?usp=sharing"",""งบกองทุน!AI82"")"),25)</f>
        <v>25</v>
      </c>
      <c r="X78" s="308">
        <f ca="1">IFERROR(__xludf.DUMMYFUNCTION("IMPORTRANGE(""https://docs.google.com/spreadsheets/d/1IYY_tgx_IHuhSq3AJ5eI5OnqOPBNLWSHKh2a30DoXe8/edit?usp=sharing"",""ชุมพร!J317"")"),0)</f>
        <v>0</v>
      </c>
      <c r="Y78" s="309">
        <f t="shared" ca="1" si="9"/>
        <v>0</v>
      </c>
      <c r="Z78" s="308">
        <f ca="1">IFERROR(__xludf.DUMMYFUNCTION("IMPORTRANGE(""https://docs.google.com/spreadsheets/d/1IYY_tgx_IHuhSq3AJ5eI5OnqOPBNLWSHKh2a30DoXe8/edit?usp=sharing"",""ชุมพร!J316"")"),0)</f>
        <v>0</v>
      </c>
      <c r="AA78" s="309">
        <f t="shared" ca="1" si="10"/>
        <v>0</v>
      </c>
      <c r="AB78" s="308">
        <f ca="1">IFERROR(__xludf.DUMMYFUNCTION("IMPORTRANGE(""https://docs.google.com/spreadsheets/d/1IYY_tgx_IHuhSq3AJ5eI5OnqOPBNLWSHKh2a30DoXe8/edit?usp=sharing"",""ชุมพร!J318"")"),0)</f>
        <v>0</v>
      </c>
      <c r="AC78" s="308">
        <f ca="1">IFERROR(__xludf.DUMMYFUNCTION("IMPORTRANGE(""https://docs.google.com/spreadsheets/d/1IYY_tgx_IHuhSq3AJ5eI5OnqOPBNLWSHKh2a30DoXe8/edit?usp=sharing"",""ชุมพร!J319"")"),0)</f>
        <v>0</v>
      </c>
      <c r="AD78" s="308">
        <f ca="1">IFERROR(__xludf.DUMMYFUNCTION("IMPORTRANGE(""https://docs.google.com/spreadsheets/d/1IYY_tgx_IHuhSq3AJ5eI5OnqOPBNLWSHKh2a30DoXe8/edit?usp=sharing"",""ชุมพร!J320"")"),0)</f>
        <v>0</v>
      </c>
      <c r="AE78" s="392">
        <f ca="1">IFERROR(__xludf.DUMMYFUNCTION("IMPORTRANGE(""https://docs.google.com/spreadsheets/d/1C3CXT74ZlgGe6_JY_1olB1XN4rF0dxEuIIF-xsYjHgg/edit?usp=sharing"",""งบกองทุน!AM82"")"),30)</f>
        <v>30</v>
      </c>
      <c r="AF78" s="392">
        <f ca="1">IFERROR(__xludf.DUMMYFUNCTION("IMPORTRANGE(""https://docs.google.com/spreadsheets/d/1C3CXT74ZlgGe6_JY_1olB1XN4rF0dxEuIIF-xsYjHgg/edit?usp=sharing"",""งบกองทุน!AN82"")"),10)</f>
        <v>10</v>
      </c>
      <c r="AG78" s="308">
        <f ca="1">IFERROR(__xludf.DUMMYFUNCTION("IMPORTRANGE(""https://docs.google.com/spreadsheets/d/1IYY_tgx_IHuhSq3AJ5eI5OnqOPBNLWSHKh2a30DoXe8/edit?usp=sharing"",""ชุมพร!J322"")"),0)</f>
        <v>0</v>
      </c>
      <c r="AH78" s="309">
        <f t="shared" ca="1" si="12"/>
        <v>0</v>
      </c>
      <c r="AI78" s="308">
        <f ca="1">IFERROR(__xludf.DUMMYFUNCTION("IMPORTRANGE(""https://docs.google.com/spreadsheets/d/1IYY_tgx_IHuhSq3AJ5eI5OnqOPBNLWSHKh2a30DoXe8/edit?usp=sharing"",""ชุมพร!J321"")"),0)</f>
        <v>0</v>
      </c>
      <c r="AJ78" s="309">
        <f t="shared" ca="1" si="13"/>
        <v>0</v>
      </c>
      <c r="AK78" s="308">
        <f ca="1">IFERROR(__xludf.DUMMYFUNCTION("IMPORTRANGE(""https://docs.google.com/spreadsheets/d/1IYY_tgx_IHuhSq3AJ5eI5OnqOPBNLWSHKh2a30DoXe8/edit?usp=sharing"",""ชุมพร!J323"")"),0)</f>
        <v>0</v>
      </c>
      <c r="AL78" s="308">
        <f ca="1">IFERROR(__xludf.DUMMYFUNCTION("IMPORTRANGE(""https://docs.google.com/spreadsheets/d/1IYY_tgx_IHuhSq3AJ5eI5OnqOPBNLWSHKh2a30DoXe8/edit?usp=sharing"",""ชุมพร!J324"")"),0)</f>
        <v>0</v>
      </c>
      <c r="AM78" s="308">
        <f t="shared" ca="1" si="147"/>
        <v>35</v>
      </c>
      <c r="AN78" s="308">
        <f ca="1">IFERROR(__xludf.DUMMYFUNCTION("IMPORTRANGE(""https://docs.google.com/spreadsheets/d/1IYY_tgx_IHuhSq3AJ5eI5OnqOPBNLWSHKh2a30DoXe8/edit?usp=sharing"",""ชุมพร!J325"")"),0)</f>
        <v>0</v>
      </c>
      <c r="AO78" s="309">
        <f t="shared" ca="1" si="15"/>
        <v>0</v>
      </c>
      <c r="AP78" s="392">
        <f ca="1">IFERROR(__xludf.DUMMYFUNCTION("IMPORTRANGE(""https://docs.google.com/spreadsheets/d/1C3CXT74ZlgGe6_JY_1olB1XN4rF0dxEuIIF-xsYjHgg/edit?usp=sharing"",""งบกองทุน!AR82"")"),10)</f>
        <v>10</v>
      </c>
      <c r="AQ78" s="308">
        <f ca="1">IFERROR(__xludf.DUMMYFUNCTION("IMPORTRANGE(""https://docs.google.com/spreadsheets/d/1IYY_tgx_IHuhSq3AJ5eI5OnqOPBNLWSHKh2a30DoXe8/edit?usp=sharing"",""ชุมพร!J326"")"),0)</f>
        <v>0</v>
      </c>
      <c r="AR78" s="308">
        <f ca="1">IFERROR(__xludf.DUMMYFUNCTION("IMPORTRANGE(""https://docs.google.com/spreadsheets/d/1C3CXT74ZlgGe6_JY_1olB1XN4rF0dxEuIIF-xsYjHgg/edit?usp=sharing"",""งบกองทุน!AS82"")"),25)</f>
        <v>25</v>
      </c>
      <c r="AS78" s="393">
        <f ca="1">IFERROR(__xludf.DUMMYFUNCTION("IMPORTRANGE(""https://docs.google.com/spreadsheets/d/1IYY_tgx_IHuhSq3AJ5eI5OnqOPBNLWSHKh2a30DoXe8/edit?usp=sharing"",""ชุมพร!J327"")"),0)</f>
        <v>0</v>
      </c>
    </row>
    <row r="79" spans="1:45" ht="21" customHeight="1">
      <c r="A79" s="303">
        <v>3</v>
      </c>
      <c r="B79" s="304" t="s">
        <v>103</v>
      </c>
      <c r="C79" s="391">
        <f t="shared" ca="1" si="143"/>
        <v>131810</v>
      </c>
      <c r="D79" s="306">
        <f ca="1">IFERROR(__xludf.DUMMYFUNCTION("IMPORTRANGE(""https://docs.google.com/spreadsheets/d/1C3CXT74ZlgGe6_JY_1olB1XN4rF0dxEuIIF-xsYjHgg/edit?usp=sharing"",""งบกองทุน!Z83"")"),0)</f>
        <v>0</v>
      </c>
      <c r="E79" s="306">
        <f ca="1">IFERROR(__xludf.DUMMYFUNCTION("IMPORTRANGE(""https://docs.google.com/spreadsheets/d/1C3CXT74ZlgGe6_JY_1olB1XN4rF0dxEuIIF-xsYjHgg/edit?usp=sharing"",""งบกองทุน!AA83"")"),131810)</f>
        <v>131810</v>
      </c>
      <c r="F79" s="307">
        <f ca="1">IFERROR(__xludf.DUMMYFUNCTION("IMPORTRANGE(""https://docs.google.com/spreadsheets/d/1IYY_tgx_IHuhSq3AJ5eI5OnqOPBNLWSHKh2a30DoXe8/edit?usp=sharing"",""ตรัง!M299"")"),67186.88)</f>
        <v>67186.880000000005</v>
      </c>
      <c r="G79" s="307">
        <f t="shared" ca="1" si="1"/>
        <v>50.972521053030874</v>
      </c>
      <c r="H79" s="308">
        <f t="shared" ref="H79:I79" ca="1" si="149">+N79+V79+AE79</f>
        <v>105</v>
      </c>
      <c r="I79" s="308">
        <f t="shared" ca="1" si="149"/>
        <v>35</v>
      </c>
      <c r="J79" s="308">
        <f t="shared" ca="1" si="145"/>
        <v>0</v>
      </c>
      <c r="K79" s="309">
        <f t="shared" ca="1" si="3"/>
        <v>0</v>
      </c>
      <c r="L79" s="308">
        <f t="shared" ca="1" si="146"/>
        <v>25</v>
      </c>
      <c r="M79" s="309">
        <f t="shared" ca="1" si="4"/>
        <v>71.428571428571431</v>
      </c>
      <c r="N79" s="392">
        <f ca="1">IFERROR(__xludf.DUMMYFUNCTION("IMPORTRANGE(""https://docs.google.com/spreadsheets/d/1C3CXT74ZlgGe6_JY_1olB1XN4rF0dxEuIIF-xsYjHgg/edit?usp=sharing"",""งบกองทุน!AD83"")"),30)</f>
        <v>30</v>
      </c>
      <c r="O79" s="392">
        <f ca="1">IFERROR(__xludf.DUMMYFUNCTION("IMPORTRANGE(""https://docs.google.com/spreadsheets/d/1C3CXT74ZlgGe6_JY_1olB1XN4rF0dxEuIIF-xsYjHgg/edit?usp=sharing"",""งบกองทุน!AE83"")"),10)</f>
        <v>10</v>
      </c>
      <c r="P79" s="308">
        <f ca="1">IFERROR(__xludf.DUMMYFUNCTION("IMPORTRANGE(""https://docs.google.com/spreadsheets/d/1IYY_tgx_IHuhSq3AJ5eI5OnqOPBNLWSHKh2a30DoXe8/edit?usp=sharing"",""ตรัง!J313"")"),0)</f>
        <v>0</v>
      </c>
      <c r="Q79" s="309">
        <f t="shared" ca="1" si="6"/>
        <v>0</v>
      </c>
      <c r="R79" s="308">
        <f ca="1">IFERROR(__xludf.DUMMYFUNCTION("IMPORTRANGE(""https://docs.google.com/spreadsheets/d/1IYY_tgx_IHuhSq3AJ5eI5OnqOPBNLWSHKh2a30DoXe8/edit?usp=sharing"",""ตรัง!J312"")"),0)</f>
        <v>0</v>
      </c>
      <c r="S79" s="309">
        <f t="shared" ca="1" si="7"/>
        <v>0</v>
      </c>
      <c r="T79" s="309">
        <f ca="1">IFERROR(__xludf.DUMMYFUNCTION("IMPORTRANGE(""https://docs.google.com/spreadsheets/d/1IYY_tgx_IHuhSq3AJ5eI5OnqOPBNLWSHKh2a30DoXe8/edit?usp=sharing"",""ตรัง!J314"")"),0)</f>
        <v>0</v>
      </c>
      <c r="U79" s="309">
        <f ca="1">IFERROR(__xludf.DUMMYFUNCTION("IMPORTRANGE(""https://docs.google.com/spreadsheets/d/1IYY_tgx_IHuhSq3AJ5eI5OnqOPBNLWSHKh2a30DoXe8/edit?usp=sharing"",""ตรัง!J315"")"),10)</f>
        <v>10</v>
      </c>
      <c r="V79" s="392">
        <f ca="1">IFERROR(__xludf.DUMMYFUNCTION("IMPORTRANGE(""https://docs.google.com/spreadsheets/d/1C3CXT74ZlgGe6_JY_1olB1XN4rF0dxEuIIF-xsYjHgg/edit?usp=sharing"",""งบกองทุน!AH83"")"),45)</f>
        <v>45</v>
      </c>
      <c r="W79" s="392">
        <f ca="1">IFERROR(__xludf.DUMMYFUNCTION("IMPORTRANGE(""https://docs.google.com/spreadsheets/d/1C3CXT74ZlgGe6_JY_1olB1XN4rF0dxEuIIF-xsYjHgg/edit?usp=sharing"",""งบกองทุน!AI83"")"),15)</f>
        <v>15</v>
      </c>
      <c r="X79" s="308">
        <f ca="1">IFERROR(__xludf.DUMMYFUNCTION("IMPORTRANGE(""https://docs.google.com/spreadsheets/d/1IYY_tgx_IHuhSq3AJ5eI5OnqOPBNLWSHKh2a30DoXe8/edit?usp=sharing"",""ตรัง!J317"")"),0)</f>
        <v>0</v>
      </c>
      <c r="Y79" s="309">
        <f t="shared" ca="1" si="9"/>
        <v>0</v>
      </c>
      <c r="Z79" s="308">
        <f ca="1">IFERROR(__xludf.DUMMYFUNCTION("IMPORTRANGE(""https://docs.google.com/spreadsheets/d/1IYY_tgx_IHuhSq3AJ5eI5OnqOPBNLWSHKh2a30DoXe8/edit?usp=sharing"",""ตรัง!J316"")"),15)</f>
        <v>15</v>
      </c>
      <c r="AA79" s="309">
        <f t="shared" ca="1" si="10"/>
        <v>100</v>
      </c>
      <c r="AB79" s="308">
        <f ca="1">IFERROR(__xludf.DUMMYFUNCTION("IMPORTRANGE(""https://docs.google.com/spreadsheets/d/1IYY_tgx_IHuhSq3AJ5eI5OnqOPBNLWSHKh2a30DoXe8/edit?usp=sharing"",""ตรัง!J318"")"),15)</f>
        <v>15</v>
      </c>
      <c r="AC79" s="308">
        <f ca="1">IFERROR(__xludf.DUMMYFUNCTION("IMPORTRANGE(""https://docs.google.com/spreadsheets/d/1IYY_tgx_IHuhSq3AJ5eI5OnqOPBNLWSHKh2a30DoXe8/edit?usp=sharing"",""ตรัง!J319"")"),15)</f>
        <v>15</v>
      </c>
      <c r="AD79" s="308">
        <f ca="1">IFERROR(__xludf.DUMMYFUNCTION("IMPORTRANGE(""https://docs.google.com/spreadsheets/d/1IYY_tgx_IHuhSq3AJ5eI5OnqOPBNLWSHKh2a30DoXe8/edit?usp=sharing"",""ตรัง!J320"")"),15)</f>
        <v>15</v>
      </c>
      <c r="AE79" s="392">
        <f ca="1">IFERROR(__xludf.DUMMYFUNCTION("IMPORTRANGE(""https://docs.google.com/spreadsheets/d/1C3CXT74ZlgGe6_JY_1olB1XN4rF0dxEuIIF-xsYjHgg/edit?usp=sharing"",""งบกองทุน!AM83"")"),30)</f>
        <v>30</v>
      </c>
      <c r="AF79" s="392">
        <f ca="1">IFERROR(__xludf.DUMMYFUNCTION("IMPORTRANGE(""https://docs.google.com/spreadsheets/d/1C3CXT74ZlgGe6_JY_1olB1XN4rF0dxEuIIF-xsYjHgg/edit?usp=sharing"",""งบกองทุน!AN83"")"),10)</f>
        <v>10</v>
      </c>
      <c r="AG79" s="308">
        <f ca="1">IFERROR(__xludf.DUMMYFUNCTION("IMPORTRANGE(""https://docs.google.com/spreadsheets/d/1IYY_tgx_IHuhSq3AJ5eI5OnqOPBNLWSHKh2a30DoXe8/edit?usp=sharing"",""ตรัง!J322"")"),0)</f>
        <v>0</v>
      </c>
      <c r="AH79" s="309">
        <f t="shared" ca="1" si="12"/>
        <v>0</v>
      </c>
      <c r="AI79" s="308">
        <f ca="1">IFERROR(__xludf.DUMMYFUNCTION("IMPORTRANGE(""https://docs.google.com/spreadsheets/d/1IYY_tgx_IHuhSq3AJ5eI5OnqOPBNLWSHKh2a30DoXe8/edit?usp=sharing"",""ตรัง!J321"")"),10)</f>
        <v>10</v>
      </c>
      <c r="AJ79" s="309">
        <f t="shared" ca="1" si="13"/>
        <v>100</v>
      </c>
      <c r="AK79" s="308">
        <f ca="1">IFERROR(__xludf.DUMMYFUNCTION("IMPORTRANGE(""https://docs.google.com/spreadsheets/d/1IYY_tgx_IHuhSq3AJ5eI5OnqOPBNLWSHKh2a30DoXe8/edit?usp=sharing"",""ตรัง!J323"")"),10)</f>
        <v>10</v>
      </c>
      <c r="AL79" s="308">
        <f ca="1">IFERROR(__xludf.DUMMYFUNCTION("IMPORTRANGE(""https://docs.google.com/spreadsheets/d/1IYY_tgx_IHuhSq3AJ5eI5OnqOPBNLWSHKh2a30DoXe8/edit?usp=sharing"",""ตรัง!J324"")"),10)</f>
        <v>10</v>
      </c>
      <c r="AM79" s="308">
        <f t="shared" ca="1" si="147"/>
        <v>25</v>
      </c>
      <c r="AN79" s="308">
        <f ca="1">IFERROR(__xludf.DUMMYFUNCTION("IMPORTRANGE(""https://docs.google.com/spreadsheets/d/1IYY_tgx_IHuhSq3AJ5eI5OnqOPBNLWSHKh2a30DoXe8/edit?usp=sharing"",""ตรัง!J325"")"),0)</f>
        <v>0</v>
      </c>
      <c r="AO79" s="309">
        <f t="shared" ca="1" si="15"/>
        <v>0</v>
      </c>
      <c r="AP79" s="392">
        <f ca="1">IFERROR(__xludf.DUMMYFUNCTION("IMPORTRANGE(""https://docs.google.com/spreadsheets/d/1C3CXT74ZlgGe6_JY_1olB1XN4rF0dxEuIIF-xsYjHgg/edit?usp=sharing"",""งบกองทุน!AR83"")"),10)</f>
        <v>10</v>
      </c>
      <c r="AQ79" s="308">
        <f ca="1">IFERROR(__xludf.DUMMYFUNCTION("IMPORTRANGE(""https://docs.google.com/spreadsheets/d/1IYY_tgx_IHuhSq3AJ5eI5OnqOPBNLWSHKh2a30DoXe8/edit?usp=sharing"",""ตรัง!J326"")"),0)</f>
        <v>0</v>
      </c>
      <c r="AR79" s="308">
        <f ca="1">IFERROR(__xludf.DUMMYFUNCTION("IMPORTRANGE(""https://docs.google.com/spreadsheets/d/1C3CXT74ZlgGe6_JY_1olB1XN4rF0dxEuIIF-xsYjHgg/edit?usp=sharing"",""งบกองทุน!AS83"")"),15)</f>
        <v>15</v>
      </c>
      <c r="AS79" s="393">
        <f ca="1">IFERROR(__xludf.DUMMYFUNCTION("IMPORTRANGE(""https://docs.google.com/spreadsheets/d/1IYY_tgx_IHuhSq3AJ5eI5OnqOPBNLWSHKh2a30DoXe8/edit?usp=sharing"",""ตรัง!J327"")"),0)</f>
        <v>0</v>
      </c>
    </row>
    <row r="80" spans="1:45" ht="21" customHeight="1">
      <c r="A80" s="303">
        <v>4</v>
      </c>
      <c r="B80" s="304" t="s">
        <v>104</v>
      </c>
      <c r="C80" s="391">
        <f t="shared" ca="1" si="143"/>
        <v>114760</v>
      </c>
      <c r="D80" s="306">
        <f ca="1">IFERROR(__xludf.DUMMYFUNCTION("IMPORTRANGE(""https://docs.google.com/spreadsheets/d/1C3CXT74ZlgGe6_JY_1olB1XN4rF0dxEuIIF-xsYjHgg/edit?usp=sharing"",""งบกองทุน!Z84"")"),0)</f>
        <v>0</v>
      </c>
      <c r="E80" s="306">
        <f ca="1">IFERROR(__xludf.DUMMYFUNCTION("IMPORTRANGE(""https://docs.google.com/spreadsheets/d/1C3CXT74ZlgGe6_JY_1olB1XN4rF0dxEuIIF-xsYjHgg/edit?usp=sharing"",""งบกองทุน!AA84"")"),114760)</f>
        <v>114760</v>
      </c>
      <c r="F80" s="307">
        <f ca="1">IFERROR(__xludf.DUMMYFUNCTION("IMPORTRANGE(""https://docs.google.com/spreadsheets/d/1IYY_tgx_IHuhSq3AJ5eI5OnqOPBNLWSHKh2a30DoXe8/edit?usp=sharing"",""นครศรีธรรมราช!M299"")"),31520)</f>
        <v>31520</v>
      </c>
      <c r="G80" s="307">
        <f t="shared" ca="1" si="1"/>
        <v>27.466016033461138</v>
      </c>
      <c r="H80" s="308">
        <f t="shared" ref="H80:I80" ca="1" si="150">+N80+V80+AE80</f>
        <v>120</v>
      </c>
      <c r="I80" s="308">
        <f t="shared" ca="1" si="150"/>
        <v>40</v>
      </c>
      <c r="J80" s="308">
        <f t="shared" ca="1" si="145"/>
        <v>0</v>
      </c>
      <c r="K80" s="309">
        <f t="shared" ca="1" si="3"/>
        <v>0</v>
      </c>
      <c r="L80" s="308">
        <f t="shared" ca="1" si="146"/>
        <v>0</v>
      </c>
      <c r="M80" s="309">
        <f t="shared" ca="1" si="4"/>
        <v>0</v>
      </c>
      <c r="N80" s="394">
        <f ca="1">IFERROR(__xludf.DUMMYFUNCTION("IMPORTRANGE(""https://docs.google.com/spreadsheets/d/1C3CXT74ZlgGe6_JY_1olB1XN4rF0dxEuIIF-xsYjHgg/edit?usp=sharing"",""งบกองทุน!AD84"")"),0)</f>
        <v>0</v>
      </c>
      <c r="O80" s="394">
        <f ca="1">IFERROR(__xludf.DUMMYFUNCTION("IMPORTRANGE(""https://docs.google.com/spreadsheets/d/1C3CXT74ZlgGe6_JY_1olB1XN4rF0dxEuIIF-xsYjHgg/edit?usp=sharing"",""งบกองทุน!AE84"")"),0)</f>
        <v>0</v>
      </c>
      <c r="P80" s="308">
        <f ca="1">IFERROR(__xludf.DUMMYFUNCTION("IMPORTRANGE(""https://docs.google.com/spreadsheets/d/1IYY_tgx_IHuhSq3AJ5eI5OnqOPBNLWSHKh2a30DoXe8/edit?usp=sharing"",""นครศรีธรรมราช!J313"")"),0)</f>
        <v>0</v>
      </c>
      <c r="Q80" s="309">
        <f t="shared" ca="1" si="6"/>
        <v>0</v>
      </c>
      <c r="R80" s="308">
        <f ca="1">IFERROR(__xludf.DUMMYFUNCTION("IMPORTRANGE(""https://docs.google.com/spreadsheets/d/1IYY_tgx_IHuhSq3AJ5eI5OnqOPBNLWSHKh2a30DoXe8/edit?usp=sharing"",""นครศรีธรรมราช!J312"")"),0)</f>
        <v>0</v>
      </c>
      <c r="S80" s="309">
        <f t="shared" ca="1" si="7"/>
        <v>0</v>
      </c>
      <c r="T80" s="309">
        <f ca="1">IFERROR(__xludf.DUMMYFUNCTION("IMPORTRANGE(""https://docs.google.com/spreadsheets/d/1IYY_tgx_IHuhSq3AJ5eI5OnqOPBNLWSHKh2a30DoXe8/edit?usp=sharing"",""นครศรีธรรมราช!J314"")"),0)</f>
        <v>0</v>
      </c>
      <c r="U80" s="309">
        <f ca="1">IFERROR(__xludf.DUMMYFUNCTION("IMPORTRANGE(""https://docs.google.com/spreadsheets/d/1IYY_tgx_IHuhSq3AJ5eI5OnqOPBNLWSHKh2a30DoXe8/edit?usp=sharing"",""นครศรีธรรมราช!J315"")"),0)</f>
        <v>0</v>
      </c>
      <c r="V80" s="392">
        <f ca="1">IFERROR(__xludf.DUMMYFUNCTION("IMPORTRANGE(""https://docs.google.com/spreadsheets/d/1C3CXT74ZlgGe6_JY_1olB1XN4rF0dxEuIIF-xsYjHgg/edit?usp=sharing"",""งบกองทุน!AH84"")"),60)</f>
        <v>60</v>
      </c>
      <c r="W80" s="392">
        <f ca="1">IFERROR(__xludf.DUMMYFUNCTION("IMPORTRANGE(""https://docs.google.com/spreadsheets/d/1C3CXT74ZlgGe6_JY_1olB1XN4rF0dxEuIIF-xsYjHgg/edit?usp=sharing"",""งบกองทุน!AI84"")"),20)</f>
        <v>20</v>
      </c>
      <c r="X80" s="308">
        <f ca="1">IFERROR(__xludf.DUMMYFUNCTION("IMPORTRANGE(""https://docs.google.com/spreadsheets/d/1IYY_tgx_IHuhSq3AJ5eI5OnqOPBNLWSHKh2a30DoXe8/edit?usp=sharing"",""นครศรีธรรมราช!J317"")"),0)</f>
        <v>0</v>
      </c>
      <c r="Y80" s="309">
        <f t="shared" ca="1" si="9"/>
        <v>0</v>
      </c>
      <c r="Z80" s="308">
        <f ca="1">IFERROR(__xludf.DUMMYFUNCTION("IMPORTRANGE(""https://docs.google.com/spreadsheets/d/1IYY_tgx_IHuhSq3AJ5eI5OnqOPBNLWSHKh2a30DoXe8/edit?usp=sharing"",""นครศรีธรรมราช!J316"")"),0)</f>
        <v>0</v>
      </c>
      <c r="AA80" s="309">
        <f t="shared" ca="1" si="10"/>
        <v>0</v>
      </c>
      <c r="AB80" s="308">
        <f ca="1">IFERROR(__xludf.DUMMYFUNCTION("IMPORTRANGE(""https://docs.google.com/spreadsheets/d/1IYY_tgx_IHuhSq3AJ5eI5OnqOPBNLWSHKh2a30DoXe8/edit?usp=sharing"",""นครศรีธรรมราช!J318"")"),20)</f>
        <v>20</v>
      </c>
      <c r="AC80" s="308">
        <f ca="1">IFERROR(__xludf.DUMMYFUNCTION("IMPORTRANGE(""https://docs.google.com/spreadsheets/d/1IYY_tgx_IHuhSq3AJ5eI5OnqOPBNLWSHKh2a30DoXe8/edit?usp=sharing"",""นครศรีธรรมราช!J319"")"),20)</f>
        <v>20</v>
      </c>
      <c r="AD80" s="308">
        <f ca="1">IFERROR(__xludf.DUMMYFUNCTION("IMPORTRANGE(""https://docs.google.com/spreadsheets/d/1IYY_tgx_IHuhSq3AJ5eI5OnqOPBNLWSHKh2a30DoXe8/edit?usp=sharing"",""นครศรีธรรมราช!J320"")"),0)</f>
        <v>0</v>
      </c>
      <c r="AE80" s="392">
        <f ca="1">IFERROR(__xludf.DUMMYFUNCTION("IMPORTRANGE(""https://docs.google.com/spreadsheets/d/1C3CXT74ZlgGe6_JY_1olB1XN4rF0dxEuIIF-xsYjHgg/edit?usp=sharing"",""งบกองทุน!AM84"")"),60)</f>
        <v>60</v>
      </c>
      <c r="AF80" s="392">
        <f ca="1">IFERROR(__xludf.DUMMYFUNCTION("IMPORTRANGE(""https://docs.google.com/spreadsheets/d/1C3CXT74ZlgGe6_JY_1olB1XN4rF0dxEuIIF-xsYjHgg/edit?usp=sharing"",""งบกองทุน!AN84"")"),20)</f>
        <v>20</v>
      </c>
      <c r="AG80" s="308">
        <f ca="1">IFERROR(__xludf.DUMMYFUNCTION("IMPORTRANGE(""https://docs.google.com/spreadsheets/d/1IYY_tgx_IHuhSq3AJ5eI5OnqOPBNLWSHKh2a30DoXe8/edit?usp=sharing"",""นครศรีธรรมราช!J322"")"),0)</f>
        <v>0</v>
      </c>
      <c r="AH80" s="309">
        <f t="shared" ca="1" si="12"/>
        <v>0</v>
      </c>
      <c r="AI80" s="308">
        <f ca="1">IFERROR(__xludf.DUMMYFUNCTION("IMPORTRANGE(""https://docs.google.com/spreadsheets/d/1IYY_tgx_IHuhSq3AJ5eI5OnqOPBNLWSHKh2a30DoXe8/edit?usp=sharing"",""นครศรีธรรมราช!J321"")"),0)</f>
        <v>0</v>
      </c>
      <c r="AJ80" s="309">
        <f t="shared" ca="1" si="13"/>
        <v>0</v>
      </c>
      <c r="AK80" s="308">
        <f ca="1">IFERROR(__xludf.DUMMYFUNCTION("IMPORTRANGE(""https://docs.google.com/spreadsheets/d/1IYY_tgx_IHuhSq3AJ5eI5OnqOPBNLWSHKh2a30DoXe8/edit?usp=sharing"",""นครศรีธรรมราช!J323"")"),0)</f>
        <v>0</v>
      </c>
      <c r="AL80" s="308">
        <f ca="1">IFERROR(__xludf.DUMMYFUNCTION("IMPORTRANGE(""https://docs.google.com/spreadsheets/d/1IYY_tgx_IHuhSq3AJ5eI5OnqOPBNLWSHKh2a30DoXe8/edit?usp=sharing"",""นครศรีธรรมราช!J324"")"),0)</f>
        <v>0</v>
      </c>
      <c r="AM80" s="308">
        <f t="shared" ca="1" si="147"/>
        <v>20</v>
      </c>
      <c r="AN80" s="308">
        <f ca="1">IFERROR(__xludf.DUMMYFUNCTION("IMPORTRANGE(""https://docs.google.com/spreadsheets/d/1IYY_tgx_IHuhSq3AJ5eI5OnqOPBNLWSHKh2a30DoXe8/edit?usp=sharing"",""นครศรีธรรมราช!J325"")"),0)</f>
        <v>0</v>
      </c>
      <c r="AO80" s="309">
        <f t="shared" ca="1" si="15"/>
        <v>0</v>
      </c>
      <c r="AP80" s="394">
        <f ca="1">IFERROR(__xludf.DUMMYFUNCTION("IMPORTRANGE(""https://docs.google.com/spreadsheets/d/1C3CXT74ZlgGe6_JY_1olB1XN4rF0dxEuIIF-xsYjHgg/edit?usp=sharing"",""งบกองทุน!AR84"")"),0)</f>
        <v>0</v>
      </c>
      <c r="AQ80" s="308">
        <f ca="1">IFERROR(__xludf.DUMMYFUNCTION("IMPORTRANGE(""https://docs.google.com/spreadsheets/d/1IYY_tgx_IHuhSq3AJ5eI5OnqOPBNLWSHKh2a30DoXe8/edit?usp=sharing"",""นครศรีธรรมราช!J326"")"),0)</f>
        <v>0</v>
      </c>
      <c r="AR80" s="308">
        <f ca="1">IFERROR(__xludf.DUMMYFUNCTION("IMPORTRANGE(""https://docs.google.com/spreadsheets/d/1C3CXT74ZlgGe6_JY_1olB1XN4rF0dxEuIIF-xsYjHgg/edit?usp=sharing"",""งบกองทุน!AS84"")"),20)</f>
        <v>20</v>
      </c>
      <c r="AS80" s="393">
        <f ca="1">IFERROR(__xludf.DUMMYFUNCTION("IMPORTRANGE(""https://docs.google.com/spreadsheets/d/1IYY_tgx_IHuhSq3AJ5eI5OnqOPBNLWSHKh2a30DoXe8/edit?usp=sharing"",""นครศรีธรรมราช!J327"")"),0)</f>
        <v>0</v>
      </c>
    </row>
    <row r="81" spans="1:45" ht="21" customHeight="1">
      <c r="A81" s="303">
        <v>5</v>
      </c>
      <c r="B81" s="304" t="s">
        <v>105</v>
      </c>
      <c r="C81" s="391">
        <f t="shared" ca="1" si="143"/>
        <v>195740</v>
      </c>
      <c r="D81" s="306">
        <f ca="1">IFERROR(__xludf.DUMMYFUNCTION("IMPORTRANGE(""https://docs.google.com/spreadsheets/d/1C3CXT74ZlgGe6_JY_1olB1XN4rF0dxEuIIF-xsYjHgg/edit?usp=sharing"",""งบกองทุน!Z85"")"),0)</f>
        <v>0</v>
      </c>
      <c r="E81" s="306">
        <f ca="1">IFERROR(__xludf.DUMMYFUNCTION("IMPORTRANGE(""https://docs.google.com/spreadsheets/d/1C3CXT74ZlgGe6_JY_1olB1XN4rF0dxEuIIF-xsYjHgg/edit?usp=sharing"",""งบกองทุน!AA85"")"),195740)</f>
        <v>195740</v>
      </c>
      <c r="F81" s="307">
        <f ca="1">IFERROR(__xludf.DUMMYFUNCTION("IMPORTRANGE(""https://docs.google.com/spreadsheets/d/1IYY_tgx_IHuhSq3AJ5eI5OnqOPBNLWSHKh2a30DoXe8/edit?usp=sharing"",""นราธิวาส!M299"")"),186200)</f>
        <v>186200</v>
      </c>
      <c r="G81" s="307">
        <f t="shared" ca="1" si="1"/>
        <v>95.126187800143043</v>
      </c>
      <c r="H81" s="308">
        <f t="shared" ref="H81:I81" ca="1" si="151">+N81+V81+AE81</f>
        <v>165</v>
      </c>
      <c r="I81" s="308">
        <f t="shared" ca="1" si="151"/>
        <v>55</v>
      </c>
      <c r="J81" s="308">
        <f t="shared" ca="1" si="145"/>
        <v>165</v>
      </c>
      <c r="K81" s="309">
        <f t="shared" ca="1" si="3"/>
        <v>100</v>
      </c>
      <c r="L81" s="308">
        <f t="shared" ca="1" si="146"/>
        <v>55</v>
      </c>
      <c r="M81" s="309">
        <f t="shared" ca="1" si="4"/>
        <v>100</v>
      </c>
      <c r="N81" s="392">
        <f ca="1">IFERROR(__xludf.DUMMYFUNCTION("IMPORTRANGE(""https://docs.google.com/spreadsheets/d/1C3CXT74ZlgGe6_JY_1olB1XN4rF0dxEuIIF-xsYjHgg/edit?usp=sharing"",""งบกองทุน!AD85"")"),75)</f>
        <v>75</v>
      </c>
      <c r="O81" s="392">
        <f ca="1">IFERROR(__xludf.DUMMYFUNCTION("IMPORTRANGE(""https://docs.google.com/spreadsheets/d/1C3CXT74ZlgGe6_JY_1olB1XN4rF0dxEuIIF-xsYjHgg/edit?usp=sharing"",""งบกองทุน!AE85"")"),25)</f>
        <v>25</v>
      </c>
      <c r="P81" s="308">
        <f ca="1">IFERROR(__xludf.DUMMYFUNCTION("IMPORTRANGE(""https://docs.google.com/spreadsheets/d/1IYY_tgx_IHuhSq3AJ5eI5OnqOPBNLWSHKh2a30DoXe8/edit?usp=sharing"",""นราธิวาส!J313"")"),75)</f>
        <v>75</v>
      </c>
      <c r="Q81" s="309">
        <f t="shared" ca="1" si="6"/>
        <v>100</v>
      </c>
      <c r="R81" s="308">
        <f ca="1">IFERROR(__xludf.DUMMYFUNCTION("IMPORTRANGE(""https://docs.google.com/spreadsheets/d/1IYY_tgx_IHuhSq3AJ5eI5OnqOPBNLWSHKh2a30DoXe8/edit?usp=sharing"",""นราธิวาส!J312"")"),25)</f>
        <v>25</v>
      </c>
      <c r="S81" s="309">
        <f t="shared" ca="1" si="7"/>
        <v>100</v>
      </c>
      <c r="T81" s="309">
        <f ca="1">IFERROR(__xludf.DUMMYFUNCTION("IMPORTRANGE(""https://docs.google.com/spreadsheets/d/1IYY_tgx_IHuhSq3AJ5eI5OnqOPBNLWSHKh2a30DoXe8/edit?usp=sharing"",""นราธิวาส!J314"")"),25)</f>
        <v>25</v>
      </c>
      <c r="U81" s="309">
        <f ca="1">IFERROR(__xludf.DUMMYFUNCTION("IMPORTRANGE(""https://docs.google.com/spreadsheets/d/1IYY_tgx_IHuhSq3AJ5eI5OnqOPBNLWSHKh2a30DoXe8/edit?usp=sharing"",""นราธิวาส!J315"")"),25)</f>
        <v>25</v>
      </c>
      <c r="V81" s="392">
        <f ca="1">IFERROR(__xludf.DUMMYFUNCTION("IMPORTRANGE(""https://docs.google.com/spreadsheets/d/1C3CXT74ZlgGe6_JY_1olB1XN4rF0dxEuIIF-xsYjHgg/edit?usp=sharing"",""งบกองทุน!AH85"")"),60)</f>
        <v>60</v>
      </c>
      <c r="W81" s="392">
        <f ca="1">IFERROR(__xludf.DUMMYFUNCTION("IMPORTRANGE(""https://docs.google.com/spreadsheets/d/1C3CXT74ZlgGe6_JY_1olB1XN4rF0dxEuIIF-xsYjHgg/edit?usp=sharing"",""งบกองทุน!AI85"")"),20)</f>
        <v>20</v>
      </c>
      <c r="X81" s="308">
        <f ca="1">IFERROR(__xludf.DUMMYFUNCTION("IMPORTRANGE(""https://docs.google.com/spreadsheets/d/1IYY_tgx_IHuhSq3AJ5eI5OnqOPBNLWSHKh2a30DoXe8/edit?usp=sharing"",""นราธิวาส!J317"")"),60)</f>
        <v>60</v>
      </c>
      <c r="Y81" s="309">
        <f t="shared" ca="1" si="9"/>
        <v>100</v>
      </c>
      <c r="Z81" s="308">
        <f ca="1">IFERROR(__xludf.DUMMYFUNCTION("IMPORTRANGE(""https://docs.google.com/spreadsheets/d/1IYY_tgx_IHuhSq3AJ5eI5OnqOPBNLWSHKh2a30DoXe8/edit?usp=sharing"",""นราธิวาส!J316"")"),20)</f>
        <v>20</v>
      </c>
      <c r="AA81" s="309">
        <f t="shared" ca="1" si="10"/>
        <v>100</v>
      </c>
      <c r="AB81" s="308">
        <f ca="1">IFERROR(__xludf.DUMMYFUNCTION("IMPORTRANGE(""https://docs.google.com/spreadsheets/d/1IYY_tgx_IHuhSq3AJ5eI5OnqOPBNLWSHKh2a30DoXe8/edit?usp=sharing"",""นราธิวาส!J318"")"),20)</f>
        <v>20</v>
      </c>
      <c r="AC81" s="308">
        <f ca="1">IFERROR(__xludf.DUMMYFUNCTION("IMPORTRANGE(""https://docs.google.com/spreadsheets/d/1IYY_tgx_IHuhSq3AJ5eI5OnqOPBNLWSHKh2a30DoXe8/edit?usp=sharing"",""นราธิวาส!J319"")"),20)</f>
        <v>20</v>
      </c>
      <c r="AD81" s="308">
        <f ca="1">IFERROR(__xludf.DUMMYFUNCTION("IMPORTRANGE(""https://docs.google.com/spreadsheets/d/1IYY_tgx_IHuhSq3AJ5eI5OnqOPBNLWSHKh2a30DoXe8/edit?usp=sharing"",""นราธิวาส!J320"")"),20)</f>
        <v>20</v>
      </c>
      <c r="AE81" s="392">
        <f ca="1">IFERROR(__xludf.DUMMYFUNCTION("IMPORTRANGE(""https://docs.google.com/spreadsheets/d/1C3CXT74ZlgGe6_JY_1olB1XN4rF0dxEuIIF-xsYjHgg/edit?usp=sharing"",""งบกองทุน!AM85"")"),30)</f>
        <v>30</v>
      </c>
      <c r="AF81" s="392">
        <f ca="1">IFERROR(__xludf.DUMMYFUNCTION("IMPORTRANGE(""https://docs.google.com/spreadsheets/d/1C3CXT74ZlgGe6_JY_1olB1XN4rF0dxEuIIF-xsYjHgg/edit?usp=sharing"",""งบกองทุน!AN85"")"),10)</f>
        <v>10</v>
      </c>
      <c r="AG81" s="308">
        <f ca="1">IFERROR(__xludf.DUMMYFUNCTION("IMPORTRANGE(""https://docs.google.com/spreadsheets/d/1IYY_tgx_IHuhSq3AJ5eI5OnqOPBNLWSHKh2a30DoXe8/edit?usp=sharing"",""นราธิวาส!J322"")"),30)</f>
        <v>30</v>
      </c>
      <c r="AH81" s="309">
        <f t="shared" ca="1" si="12"/>
        <v>100</v>
      </c>
      <c r="AI81" s="308">
        <f ca="1">IFERROR(__xludf.DUMMYFUNCTION("IMPORTRANGE(""https://docs.google.com/spreadsheets/d/1IYY_tgx_IHuhSq3AJ5eI5OnqOPBNLWSHKh2a30DoXe8/edit?usp=sharing"",""นราธิวาส!J321"")"),10)</f>
        <v>10</v>
      </c>
      <c r="AJ81" s="309">
        <f t="shared" ca="1" si="13"/>
        <v>100</v>
      </c>
      <c r="AK81" s="308">
        <f ca="1">IFERROR(__xludf.DUMMYFUNCTION("IMPORTRANGE(""https://docs.google.com/spreadsheets/d/1IYY_tgx_IHuhSq3AJ5eI5OnqOPBNLWSHKh2a30DoXe8/edit?usp=sharing"",""นราธิวาส!J323"")"),10)</f>
        <v>10</v>
      </c>
      <c r="AL81" s="308">
        <f ca="1">IFERROR(__xludf.DUMMYFUNCTION("IMPORTRANGE(""https://docs.google.com/spreadsheets/d/1IYY_tgx_IHuhSq3AJ5eI5OnqOPBNLWSHKh2a30DoXe8/edit?usp=sharing"",""นราธิวาส!J324"")"),10)</f>
        <v>10</v>
      </c>
      <c r="AM81" s="308">
        <f t="shared" ca="1" si="147"/>
        <v>45</v>
      </c>
      <c r="AN81" s="308">
        <f ca="1">IFERROR(__xludf.DUMMYFUNCTION("IMPORTRANGE(""https://docs.google.com/spreadsheets/d/1IYY_tgx_IHuhSq3AJ5eI5OnqOPBNLWSHKh2a30DoXe8/edit?usp=sharing"",""นราธิวาส!J325"")"),45)</f>
        <v>45</v>
      </c>
      <c r="AO81" s="309">
        <f t="shared" ca="1" si="15"/>
        <v>100</v>
      </c>
      <c r="AP81" s="392">
        <f ca="1">IFERROR(__xludf.DUMMYFUNCTION("IMPORTRANGE(""https://docs.google.com/spreadsheets/d/1C3CXT74ZlgGe6_JY_1olB1XN4rF0dxEuIIF-xsYjHgg/edit?usp=sharing"",""งบกองทุน!AR85"")"),25)</f>
        <v>25</v>
      </c>
      <c r="AQ81" s="308">
        <f ca="1">IFERROR(__xludf.DUMMYFUNCTION("IMPORTRANGE(""https://docs.google.com/spreadsheets/d/1IYY_tgx_IHuhSq3AJ5eI5OnqOPBNLWSHKh2a30DoXe8/edit?usp=sharing"",""นราธิวาส!J326"")"),25)</f>
        <v>25</v>
      </c>
      <c r="AR81" s="308">
        <f ca="1">IFERROR(__xludf.DUMMYFUNCTION("IMPORTRANGE(""https://docs.google.com/spreadsheets/d/1C3CXT74ZlgGe6_JY_1olB1XN4rF0dxEuIIF-xsYjHgg/edit?usp=sharing"",""งบกองทุน!AS85"")"),20)</f>
        <v>20</v>
      </c>
      <c r="AS81" s="393">
        <f ca="1">IFERROR(__xludf.DUMMYFUNCTION("IMPORTRANGE(""https://docs.google.com/spreadsheets/d/1IYY_tgx_IHuhSq3AJ5eI5OnqOPBNLWSHKh2a30DoXe8/edit?usp=sharing"",""นราธิวาส!J327"")"),20)</f>
        <v>20</v>
      </c>
    </row>
    <row r="82" spans="1:45" ht="21" customHeight="1">
      <c r="A82" s="303">
        <v>6</v>
      </c>
      <c r="B82" s="304" t="s">
        <v>106</v>
      </c>
      <c r="C82" s="391">
        <f t="shared" ca="1" si="143"/>
        <v>131710</v>
      </c>
      <c r="D82" s="306">
        <f ca="1">IFERROR(__xludf.DUMMYFUNCTION("IMPORTRANGE(""https://docs.google.com/spreadsheets/d/1C3CXT74ZlgGe6_JY_1olB1XN4rF0dxEuIIF-xsYjHgg/edit?usp=sharing"",""งบกองทุน!Z86"")"),0)</f>
        <v>0</v>
      </c>
      <c r="E82" s="306">
        <f ca="1">IFERROR(__xludf.DUMMYFUNCTION("IMPORTRANGE(""https://docs.google.com/spreadsheets/d/1C3CXT74ZlgGe6_JY_1olB1XN4rF0dxEuIIF-xsYjHgg/edit?usp=sharing"",""งบกองทุน!AA86"")"),131710)</f>
        <v>131710</v>
      </c>
      <c r="F82" s="307">
        <f ca="1">IFERROR(__xludf.DUMMYFUNCTION("IMPORTRANGE(""https://docs.google.com/spreadsheets/d/1IYY_tgx_IHuhSq3AJ5eI5OnqOPBNLWSHKh2a30DoXe8/edit?usp=sharing"",""ปัตตานี!M299"")"),126370)</f>
        <v>126370</v>
      </c>
      <c r="G82" s="307">
        <f t="shared" ca="1" si="1"/>
        <v>95.945638144408164</v>
      </c>
      <c r="H82" s="308">
        <f t="shared" ref="H82:I82" ca="1" si="152">+N82+V82+AE82</f>
        <v>105</v>
      </c>
      <c r="I82" s="308">
        <f t="shared" ca="1" si="152"/>
        <v>35</v>
      </c>
      <c r="J82" s="308">
        <f t="shared" ca="1" si="145"/>
        <v>105</v>
      </c>
      <c r="K82" s="309">
        <f t="shared" ca="1" si="3"/>
        <v>100</v>
      </c>
      <c r="L82" s="308">
        <f t="shared" ca="1" si="146"/>
        <v>35</v>
      </c>
      <c r="M82" s="309">
        <f t="shared" ca="1" si="4"/>
        <v>100</v>
      </c>
      <c r="N82" s="392">
        <f ca="1">IFERROR(__xludf.DUMMYFUNCTION("IMPORTRANGE(""https://docs.google.com/spreadsheets/d/1C3CXT74ZlgGe6_JY_1olB1XN4rF0dxEuIIF-xsYjHgg/edit?usp=sharing"",""งบกองทุน!AD86"")"),30)</f>
        <v>30</v>
      </c>
      <c r="O82" s="392">
        <f ca="1">IFERROR(__xludf.DUMMYFUNCTION("IMPORTRANGE(""https://docs.google.com/spreadsheets/d/1C3CXT74ZlgGe6_JY_1olB1XN4rF0dxEuIIF-xsYjHgg/edit?usp=sharing"",""งบกองทุน!AE86"")"),10)</f>
        <v>10</v>
      </c>
      <c r="P82" s="308">
        <f ca="1">IFERROR(__xludf.DUMMYFUNCTION("IMPORTRANGE(""https://docs.google.com/spreadsheets/d/1IYY_tgx_IHuhSq3AJ5eI5OnqOPBNLWSHKh2a30DoXe8/edit?usp=sharing"",""ปัตตานี!J313"")"),30)</f>
        <v>30</v>
      </c>
      <c r="Q82" s="309">
        <f t="shared" ca="1" si="6"/>
        <v>100</v>
      </c>
      <c r="R82" s="308">
        <f ca="1">IFERROR(__xludf.DUMMYFUNCTION("IMPORTRANGE(""https://docs.google.com/spreadsheets/d/1IYY_tgx_IHuhSq3AJ5eI5OnqOPBNLWSHKh2a30DoXe8/edit?usp=sharing"",""ปัตตานี!J312"")"),10)</f>
        <v>10</v>
      </c>
      <c r="S82" s="309">
        <f t="shared" ca="1" si="7"/>
        <v>100</v>
      </c>
      <c r="T82" s="309">
        <f ca="1">IFERROR(__xludf.DUMMYFUNCTION("IMPORTRANGE(""https://docs.google.com/spreadsheets/d/1IYY_tgx_IHuhSq3AJ5eI5OnqOPBNLWSHKh2a30DoXe8/edit?usp=sharing"",""ปัตตานี!J314"")"),10)</f>
        <v>10</v>
      </c>
      <c r="U82" s="309">
        <f ca="1">IFERROR(__xludf.DUMMYFUNCTION("IMPORTRANGE(""https://docs.google.com/spreadsheets/d/1IYY_tgx_IHuhSq3AJ5eI5OnqOPBNLWSHKh2a30DoXe8/edit?usp=sharing"",""ปัตตานี!J315"")"),10)</f>
        <v>10</v>
      </c>
      <c r="V82" s="392">
        <f ca="1">IFERROR(__xludf.DUMMYFUNCTION("IMPORTRANGE(""https://docs.google.com/spreadsheets/d/1C3CXT74ZlgGe6_JY_1olB1XN4rF0dxEuIIF-xsYjHgg/edit?usp=sharing"",""งบกองทุน!AH86"")"),45)</f>
        <v>45</v>
      </c>
      <c r="W82" s="392">
        <f ca="1">IFERROR(__xludf.DUMMYFUNCTION("IMPORTRANGE(""https://docs.google.com/spreadsheets/d/1C3CXT74ZlgGe6_JY_1olB1XN4rF0dxEuIIF-xsYjHgg/edit?usp=sharing"",""งบกองทุน!AI86"")"),15)</f>
        <v>15</v>
      </c>
      <c r="X82" s="308">
        <f ca="1">IFERROR(__xludf.DUMMYFUNCTION("IMPORTRANGE(""https://docs.google.com/spreadsheets/d/1IYY_tgx_IHuhSq3AJ5eI5OnqOPBNLWSHKh2a30DoXe8/edit?usp=sharing"",""ปัตตานี!J317"")"),45)</f>
        <v>45</v>
      </c>
      <c r="Y82" s="309">
        <f t="shared" ca="1" si="9"/>
        <v>100</v>
      </c>
      <c r="Z82" s="308">
        <f ca="1">IFERROR(__xludf.DUMMYFUNCTION("IMPORTRANGE(""https://docs.google.com/spreadsheets/d/1IYY_tgx_IHuhSq3AJ5eI5OnqOPBNLWSHKh2a30DoXe8/edit?usp=sharing"",""ปัตตานี!J316"")"),15)</f>
        <v>15</v>
      </c>
      <c r="AA82" s="309">
        <f t="shared" ca="1" si="10"/>
        <v>100</v>
      </c>
      <c r="AB82" s="308">
        <f ca="1">IFERROR(__xludf.DUMMYFUNCTION("IMPORTRANGE(""https://docs.google.com/spreadsheets/d/1IYY_tgx_IHuhSq3AJ5eI5OnqOPBNLWSHKh2a30DoXe8/edit?usp=sharing"",""ปัตตานี!J318"")"),15)</f>
        <v>15</v>
      </c>
      <c r="AC82" s="308">
        <f ca="1">IFERROR(__xludf.DUMMYFUNCTION("IMPORTRANGE(""https://docs.google.com/spreadsheets/d/1IYY_tgx_IHuhSq3AJ5eI5OnqOPBNLWSHKh2a30DoXe8/edit?usp=sharing"",""ปัตตานี!J319"")"),15)</f>
        <v>15</v>
      </c>
      <c r="AD82" s="308">
        <f ca="1">IFERROR(__xludf.DUMMYFUNCTION("IMPORTRANGE(""https://docs.google.com/spreadsheets/d/1IYY_tgx_IHuhSq3AJ5eI5OnqOPBNLWSHKh2a30DoXe8/edit?usp=sharing"",""ปัตตานี!J320"")"),15)</f>
        <v>15</v>
      </c>
      <c r="AE82" s="392">
        <f ca="1">IFERROR(__xludf.DUMMYFUNCTION("IMPORTRANGE(""https://docs.google.com/spreadsheets/d/1C3CXT74ZlgGe6_JY_1olB1XN4rF0dxEuIIF-xsYjHgg/edit?usp=sharing"",""งบกองทุน!AM86"")"),30)</f>
        <v>30</v>
      </c>
      <c r="AF82" s="392">
        <f ca="1">IFERROR(__xludf.DUMMYFUNCTION("IMPORTRANGE(""https://docs.google.com/spreadsheets/d/1C3CXT74ZlgGe6_JY_1olB1XN4rF0dxEuIIF-xsYjHgg/edit?usp=sharing"",""งบกองทุน!AN86"")"),10)</f>
        <v>10</v>
      </c>
      <c r="AG82" s="308">
        <f ca="1">IFERROR(__xludf.DUMMYFUNCTION("IMPORTRANGE(""https://docs.google.com/spreadsheets/d/1IYY_tgx_IHuhSq3AJ5eI5OnqOPBNLWSHKh2a30DoXe8/edit?usp=sharing"",""ปัตตานี!J322"")"),30)</f>
        <v>30</v>
      </c>
      <c r="AH82" s="309">
        <f t="shared" ca="1" si="12"/>
        <v>100</v>
      </c>
      <c r="AI82" s="308">
        <f ca="1">IFERROR(__xludf.DUMMYFUNCTION("IMPORTRANGE(""https://docs.google.com/spreadsheets/d/1IYY_tgx_IHuhSq3AJ5eI5OnqOPBNLWSHKh2a30DoXe8/edit?usp=sharing"",""ปัตตานี!J321"")"),10)</f>
        <v>10</v>
      </c>
      <c r="AJ82" s="309">
        <f t="shared" ca="1" si="13"/>
        <v>100</v>
      </c>
      <c r="AK82" s="308">
        <f ca="1">IFERROR(__xludf.DUMMYFUNCTION("IMPORTRANGE(""https://docs.google.com/spreadsheets/d/1IYY_tgx_IHuhSq3AJ5eI5OnqOPBNLWSHKh2a30DoXe8/edit?usp=sharing"",""ปัตตานี!J323"")"),10)</f>
        <v>10</v>
      </c>
      <c r="AL82" s="308">
        <f ca="1">IFERROR(__xludf.DUMMYFUNCTION("IMPORTRANGE(""https://docs.google.com/spreadsheets/d/1IYY_tgx_IHuhSq3AJ5eI5OnqOPBNLWSHKh2a30DoXe8/edit?usp=sharing"",""ปัตตานี!J324"")"),10)</f>
        <v>10</v>
      </c>
      <c r="AM82" s="308">
        <f t="shared" ca="1" si="147"/>
        <v>25</v>
      </c>
      <c r="AN82" s="308">
        <f ca="1">IFERROR(__xludf.DUMMYFUNCTION("IMPORTRANGE(""https://docs.google.com/spreadsheets/d/1IYY_tgx_IHuhSq3AJ5eI5OnqOPBNLWSHKh2a30DoXe8/edit?usp=sharing"",""ปัตตานี!J325"")"),25)</f>
        <v>25</v>
      </c>
      <c r="AO82" s="309">
        <f t="shared" ca="1" si="15"/>
        <v>100</v>
      </c>
      <c r="AP82" s="392">
        <f ca="1">IFERROR(__xludf.DUMMYFUNCTION("IMPORTRANGE(""https://docs.google.com/spreadsheets/d/1C3CXT74ZlgGe6_JY_1olB1XN4rF0dxEuIIF-xsYjHgg/edit?usp=sharing"",""งบกองทุน!AR86"")"),10)</f>
        <v>10</v>
      </c>
      <c r="AQ82" s="308">
        <f ca="1">IFERROR(__xludf.DUMMYFUNCTION("IMPORTRANGE(""https://docs.google.com/spreadsheets/d/1IYY_tgx_IHuhSq3AJ5eI5OnqOPBNLWSHKh2a30DoXe8/edit?usp=sharing"",""ปัตตานี!J326"")"),10)</f>
        <v>10</v>
      </c>
      <c r="AR82" s="308">
        <f ca="1">IFERROR(__xludf.DUMMYFUNCTION("IMPORTRANGE(""https://docs.google.com/spreadsheets/d/1C3CXT74ZlgGe6_JY_1olB1XN4rF0dxEuIIF-xsYjHgg/edit?usp=sharing"",""งบกองทุน!AS86"")"),15)</f>
        <v>15</v>
      </c>
      <c r="AS82" s="393">
        <f ca="1">IFERROR(__xludf.DUMMYFUNCTION("IMPORTRANGE(""https://docs.google.com/spreadsheets/d/1IYY_tgx_IHuhSq3AJ5eI5OnqOPBNLWSHKh2a30DoXe8/edit?usp=sharing"",""ปัตตานี!J327"")"),15)</f>
        <v>15</v>
      </c>
    </row>
    <row r="83" spans="1:45" ht="21" customHeight="1">
      <c r="A83" s="303">
        <v>7</v>
      </c>
      <c r="B83" s="304" t="s">
        <v>107</v>
      </c>
      <c r="C83" s="391">
        <f t="shared" ca="1" si="143"/>
        <v>116320</v>
      </c>
      <c r="D83" s="306">
        <f ca="1">IFERROR(__xludf.DUMMYFUNCTION("IMPORTRANGE(""https://docs.google.com/spreadsheets/d/1C3CXT74ZlgGe6_JY_1olB1XN4rF0dxEuIIF-xsYjHgg/edit?usp=sharing"",""งบกองทุน!Z87"")"),0)</f>
        <v>0</v>
      </c>
      <c r="E83" s="306">
        <f ca="1">IFERROR(__xludf.DUMMYFUNCTION("IMPORTRANGE(""https://docs.google.com/spreadsheets/d/1C3CXT74ZlgGe6_JY_1olB1XN4rF0dxEuIIF-xsYjHgg/edit?usp=sharing"",""งบกองทุน!AA87"")"),116320)</f>
        <v>116320</v>
      </c>
      <c r="F83" s="307">
        <f ca="1">IFERROR(__xludf.DUMMYFUNCTION("IMPORTRANGE(""https://docs.google.com/spreadsheets/d/1IYY_tgx_IHuhSq3AJ5eI5OnqOPBNLWSHKh2a30DoXe8/edit?usp=sharing"",""พังงา!M299"")"),32360)</f>
        <v>32360</v>
      </c>
      <c r="G83" s="307">
        <f t="shared" ca="1" si="1"/>
        <v>27.81980742778542</v>
      </c>
      <c r="H83" s="308">
        <f t="shared" ref="H83:I83" ca="1" si="153">+N83+V83+AE83</f>
        <v>90</v>
      </c>
      <c r="I83" s="308">
        <f t="shared" ca="1" si="153"/>
        <v>30</v>
      </c>
      <c r="J83" s="308">
        <f t="shared" ca="1" si="145"/>
        <v>0</v>
      </c>
      <c r="K83" s="309">
        <f t="shared" ca="1" si="3"/>
        <v>0</v>
      </c>
      <c r="L83" s="308">
        <f t="shared" ca="1" si="146"/>
        <v>30</v>
      </c>
      <c r="M83" s="309">
        <f t="shared" ca="1" si="4"/>
        <v>100</v>
      </c>
      <c r="N83" s="392">
        <f ca="1">IFERROR(__xludf.DUMMYFUNCTION("IMPORTRANGE(""https://docs.google.com/spreadsheets/d/1C3CXT74ZlgGe6_JY_1olB1XN4rF0dxEuIIF-xsYjHgg/edit?usp=sharing"",""งบกองทุน!AD87"")"),30)</f>
        <v>30</v>
      </c>
      <c r="O83" s="392">
        <f ca="1">IFERROR(__xludf.DUMMYFUNCTION("IMPORTRANGE(""https://docs.google.com/spreadsheets/d/1C3CXT74ZlgGe6_JY_1olB1XN4rF0dxEuIIF-xsYjHgg/edit?usp=sharing"",""งบกองทุน!AE87"")"),10)</f>
        <v>10</v>
      </c>
      <c r="P83" s="308">
        <f ca="1">IFERROR(__xludf.DUMMYFUNCTION("IMPORTRANGE(""https://docs.google.com/spreadsheets/d/1IYY_tgx_IHuhSq3AJ5eI5OnqOPBNLWSHKh2a30DoXe8/edit?usp=sharing"",""พังงา!J313"")"),0)</f>
        <v>0</v>
      </c>
      <c r="Q83" s="309">
        <f t="shared" ca="1" si="6"/>
        <v>0</v>
      </c>
      <c r="R83" s="308">
        <f ca="1">IFERROR(__xludf.DUMMYFUNCTION("IMPORTRANGE(""https://docs.google.com/spreadsheets/d/1IYY_tgx_IHuhSq3AJ5eI5OnqOPBNLWSHKh2a30DoXe8/edit?usp=sharing"",""พังงา!J312"")"),10)</f>
        <v>10</v>
      </c>
      <c r="S83" s="309">
        <f t="shared" ca="1" si="7"/>
        <v>100</v>
      </c>
      <c r="T83" s="309">
        <f ca="1">IFERROR(__xludf.DUMMYFUNCTION("IMPORTRANGE(""https://docs.google.com/spreadsheets/d/1IYY_tgx_IHuhSq3AJ5eI5OnqOPBNLWSHKh2a30DoXe8/edit?usp=sharing"",""พังงา!J314"")"),10)</f>
        <v>10</v>
      </c>
      <c r="U83" s="309">
        <f ca="1">IFERROR(__xludf.DUMMYFUNCTION("IMPORTRANGE(""https://docs.google.com/spreadsheets/d/1IYY_tgx_IHuhSq3AJ5eI5OnqOPBNLWSHKh2a30DoXe8/edit?usp=sharing"",""พังงา!J315"")"),10)</f>
        <v>10</v>
      </c>
      <c r="V83" s="392">
        <f ca="1">IFERROR(__xludf.DUMMYFUNCTION("IMPORTRANGE(""https://docs.google.com/spreadsheets/d/1C3CXT74ZlgGe6_JY_1olB1XN4rF0dxEuIIF-xsYjHgg/edit?usp=sharing"",""งบกองทุน!AH87"")"),30)</f>
        <v>30</v>
      </c>
      <c r="W83" s="392">
        <f ca="1">IFERROR(__xludf.DUMMYFUNCTION("IMPORTRANGE(""https://docs.google.com/spreadsheets/d/1C3CXT74ZlgGe6_JY_1olB1XN4rF0dxEuIIF-xsYjHgg/edit?usp=sharing"",""งบกองทุน!AI87"")"),10)</f>
        <v>10</v>
      </c>
      <c r="X83" s="308">
        <f ca="1">IFERROR(__xludf.DUMMYFUNCTION("IMPORTRANGE(""https://docs.google.com/spreadsheets/d/1IYY_tgx_IHuhSq3AJ5eI5OnqOPBNLWSHKh2a30DoXe8/edit?usp=sharing"",""พังงา!J317"")"),0)</f>
        <v>0</v>
      </c>
      <c r="Y83" s="309">
        <f t="shared" ca="1" si="9"/>
        <v>0</v>
      </c>
      <c r="Z83" s="308">
        <f ca="1">IFERROR(__xludf.DUMMYFUNCTION("IMPORTRANGE(""https://docs.google.com/spreadsheets/d/1IYY_tgx_IHuhSq3AJ5eI5OnqOPBNLWSHKh2a30DoXe8/edit?usp=sharing"",""พังงา!J316"")"),10)</f>
        <v>10</v>
      </c>
      <c r="AA83" s="309">
        <f t="shared" ca="1" si="10"/>
        <v>100</v>
      </c>
      <c r="AB83" s="308">
        <f ca="1">IFERROR(__xludf.DUMMYFUNCTION("IMPORTRANGE(""https://docs.google.com/spreadsheets/d/1IYY_tgx_IHuhSq3AJ5eI5OnqOPBNLWSHKh2a30DoXe8/edit?usp=sharing"",""พังงา!J318"")"),10)</f>
        <v>10</v>
      </c>
      <c r="AC83" s="308">
        <f ca="1">IFERROR(__xludf.DUMMYFUNCTION("IMPORTRANGE(""https://docs.google.com/spreadsheets/d/1IYY_tgx_IHuhSq3AJ5eI5OnqOPBNLWSHKh2a30DoXe8/edit?usp=sharing"",""พังงา!J319"")"),10)</f>
        <v>10</v>
      </c>
      <c r="AD83" s="308">
        <f ca="1">IFERROR(__xludf.DUMMYFUNCTION("IMPORTRANGE(""https://docs.google.com/spreadsheets/d/1IYY_tgx_IHuhSq3AJ5eI5OnqOPBNLWSHKh2a30DoXe8/edit?usp=sharing"",""พังงา!J320"")"),10)</f>
        <v>10</v>
      </c>
      <c r="AE83" s="392">
        <f ca="1">IFERROR(__xludf.DUMMYFUNCTION("IMPORTRANGE(""https://docs.google.com/spreadsheets/d/1C3CXT74ZlgGe6_JY_1olB1XN4rF0dxEuIIF-xsYjHgg/edit?usp=sharing"",""งบกองทุน!AM87"")"),30)</f>
        <v>30</v>
      </c>
      <c r="AF83" s="392">
        <f ca="1">IFERROR(__xludf.DUMMYFUNCTION("IMPORTRANGE(""https://docs.google.com/spreadsheets/d/1C3CXT74ZlgGe6_JY_1olB1XN4rF0dxEuIIF-xsYjHgg/edit?usp=sharing"",""งบกองทุน!AN87"")"),10)</f>
        <v>10</v>
      </c>
      <c r="AG83" s="308">
        <f ca="1">IFERROR(__xludf.DUMMYFUNCTION("IMPORTRANGE(""https://docs.google.com/spreadsheets/d/1IYY_tgx_IHuhSq3AJ5eI5OnqOPBNLWSHKh2a30DoXe8/edit?usp=sharing"",""พังงา!J322"")"),0)</f>
        <v>0</v>
      </c>
      <c r="AH83" s="309">
        <f t="shared" ca="1" si="12"/>
        <v>0</v>
      </c>
      <c r="AI83" s="308">
        <f ca="1">IFERROR(__xludf.DUMMYFUNCTION("IMPORTRANGE(""https://docs.google.com/spreadsheets/d/1IYY_tgx_IHuhSq3AJ5eI5OnqOPBNLWSHKh2a30DoXe8/edit?usp=sharing"",""พังงา!J321"")"),10)</f>
        <v>10</v>
      </c>
      <c r="AJ83" s="309">
        <f t="shared" ca="1" si="13"/>
        <v>100</v>
      </c>
      <c r="AK83" s="308">
        <f ca="1">IFERROR(__xludf.DUMMYFUNCTION("IMPORTRANGE(""https://docs.google.com/spreadsheets/d/1IYY_tgx_IHuhSq3AJ5eI5OnqOPBNLWSHKh2a30DoXe8/edit?usp=sharing"",""พังงา!J323"")"),10)</f>
        <v>10</v>
      </c>
      <c r="AL83" s="308">
        <f ca="1">IFERROR(__xludf.DUMMYFUNCTION("IMPORTRANGE(""https://docs.google.com/spreadsheets/d/1IYY_tgx_IHuhSq3AJ5eI5OnqOPBNLWSHKh2a30DoXe8/edit?usp=sharing"",""พังงา!J324"")"),10)</f>
        <v>10</v>
      </c>
      <c r="AM83" s="308">
        <f t="shared" ca="1" si="147"/>
        <v>20</v>
      </c>
      <c r="AN83" s="308">
        <f ca="1">IFERROR(__xludf.DUMMYFUNCTION("IMPORTRANGE(""https://docs.google.com/spreadsheets/d/1IYY_tgx_IHuhSq3AJ5eI5OnqOPBNLWSHKh2a30DoXe8/edit?usp=sharing"",""พังงา!J325"")"),0)</f>
        <v>0</v>
      </c>
      <c r="AO83" s="309">
        <f t="shared" ca="1" si="15"/>
        <v>0</v>
      </c>
      <c r="AP83" s="392">
        <f ca="1">IFERROR(__xludf.DUMMYFUNCTION("IMPORTRANGE(""https://docs.google.com/spreadsheets/d/1C3CXT74ZlgGe6_JY_1olB1XN4rF0dxEuIIF-xsYjHgg/edit?usp=sharing"",""งบกองทุน!AR87"")"),10)</f>
        <v>10</v>
      </c>
      <c r="AQ83" s="308">
        <f ca="1">IFERROR(__xludf.DUMMYFUNCTION("IMPORTRANGE(""https://docs.google.com/spreadsheets/d/1IYY_tgx_IHuhSq3AJ5eI5OnqOPBNLWSHKh2a30DoXe8/edit?usp=sharing"",""พังงา!J326"")"),0)</f>
        <v>0</v>
      </c>
      <c r="AR83" s="308">
        <f ca="1">IFERROR(__xludf.DUMMYFUNCTION("IMPORTRANGE(""https://docs.google.com/spreadsheets/d/1C3CXT74ZlgGe6_JY_1olB1XN4rF0dxEuIIF-xsYjHgg/edit?usp=sharing"",""งบกองทุน!AS87"")"),10)</f>
        <v>10</v>
      </c>
      <c r="AS83" s="393">
        <f ca="1">IFERROR(__xludf.DUMMYFUNCTION("IMPORTRANGE(""https://docs.google.com/spreadsheets/d/1IYY_tgx_IHuhSq3AJ5eI5OnqOPBNLWSHKh2a30DoXe8/edit?usp=sharing"",""พังงา!J327"")"),0)</f>
        <v>0</v>
      </c>
    </row>
    <row r="84" spans="1:45" ht="21" customHeight="1">
      <c r="A84" s="303">
        <v>8</v>
      </c>
      <c r="B84" s="304" t="s">
        <v>108</v>
      </c>
      <c r="C84" s="391">
        <f t="shared" ca="1" si="143"/>
        <v>159950</v>
      </c>
      <c r="D84" s="306">
        <f ca="1">IFERROR(__xludf.DUMMYFUNCTION("IMPORTRANGE(""https://docs.google.com/spreadsheets/d/1C3CXT74ZlgGe6_JY_1olB1XN4rF0dxEuIIF-xsYjHgg/edit?usp=sharing"",""งบกองทุน!Z88"")"),0)</f>
        <v>0</v>
      </c>
      <c r="E84" s="306">
        <f ca="1">IFERROR(__xludf.DUMMYFUNCTION("IMPORTRANGE(""https://docs.google.com/spreadsheets/d/1C3CXT74ZlgGe6_JY_1olB1XN4rF0dxEuIIF-xsYjHgg/edit?usp=sharing"",""งบกองทุน!AA88"")"),159950)</f>
        <v>159950</v>
      </c>
      <c r="F84" s="307">
        <f ca="1">IFERROR(__xludf.DUMMYFUNCTION("IMPORTRANGE(""https://docs.google.com/spreadsheets/d/1IYY_tgx_IHuhSq3AJ5eI5OnqOPBNLWSHKh2a30DoXe8/edit?usp=sharing"",""พัทลุง!M299"")"),65340)</f>
        <v>65340</v>
      </c>
      <c r="G84" s="307">
        <f t="shared" ca="1" si="1"/>
        <v>40.85026570803376</v>
      </c>
      <c r="H84" s="308">
        <f t="shared" ref="H84:I84" ca="1" si="154">+N84+V84+AE84</f>
        <v>135</v>
      </c>
      <c r="I84" s="308">
        <f t="shared" ca="1" si="154"/>
        <v>45</v>
      </c>
      <c r="J84" s="308">
        <f t="shared" ca="1" si="145"/>
        <v>135</v>
      </c>
      <c r="K84" s="309">
        <f t="shared" ca="1" si="3"/>
        <v>100</v>
      </c>
      <c r="L84" s="308">
        <f t="shared" ca="1" si="146"/>
        <v>45</v>
      </c>
      <c r="M84" s="309">
        <f t="shared" ca="1" si="4"/>
        <v>100</v>
      </c>
      <c r="N84" s="392">
        <f ca="1">IFERROR(__xludf.DUMMYFUNCTION("IMPORTRANGE(""https://docs.google.com/spreadsheets/d/1C3CXT74ZlgGe6_JY_1olB1XN4rF0dxEuIIF-xsYjHgg/edit?usp=sharing"",""งบกองทุน!AD88"")"),30)</f>
        <v>30</v>
      </c>
      <c r="O84" s="392">
        <f ca="1">IFERROR(__xludf.DUMMYFUNCTION("IMPORTRANGE(""https://docs.google.com/spreadsheets/d/1C3CXT74ZlgGe6_JY_1olB1XN4rF0dxEuIIF-xsYjHgg/edit?usp=sharing"",""งบกองทุน!AE88"")"),10)</f>
        <v>10</v>
      </c>
      <c r="P84" s="308">
        <f ca="1">IFERROR(__xludf.DUMMYFUNCTION("IMPORTRANGE(""https://docs.google.com/spreadsheets/d/1IYY_tgx_IHuhSq3AJ5eI5OnqOPBNLWSHKh2a30DoXe8/edit?usp=sharing"",""พัทลุง!J313"")"),30)</f>
        <v>30</v>
      </c>
      <c r="Q84" s="309">
        <f t="shared" ca="1" si="6"/>
        <v>100</v>
      </c>
      <c r="R84" s="308">
        <f ca="1">IFERROR(__xludf.DUMMYFUNCTION("IMPORTRANGE(""https://docs.google.com/spreadsheets/d/1IYY_tgx_IHuhSq3AJ5eI5OnqOPBNLWSHKh2a30DoXe8/edit?usp=sharing"",""พัทลุง!J312"")"),10)</f>
        <v>10</v>
      </c>
      <c r="S84" s="309">
        <f t="shared" ca="1" si="7"/>
        <v>100</v>
      </c>
      <c r="T84" s="309">
        <f ca="1">IFERROR(__xludf.DUMMYFUNCTION("IMPORTRANGE(""https://docs.google.com/spreadsheets/d/1IYY_tgx_IHuhSq3AJ5eI5OnqOPBNLWSHKh2a30DoXe8/edit?usp=sharing"",""พัทลุง!J314"")"),10)</f>
        <v>10</v>
      </c>
      <c r="U84" s="309">
        <f ca="1">IFERROR(__xludf.DUMMYFUNCTION("IMPORTRANGE(""https://docs.google.com/spreadsheets/d/1IYY_tgx_IHuhSq3AJ5eI5OnqOPBNLWSHKh2a30DoXe8/edit?usp=sharing"",""พัทลุง!J315"")"),10)</f>
        <v>10</v>
      </c>
      <c r="V84" s="392">
        <f ca="1">IFERROR(__xludf.DUMMYFUNCTION("IMPORTRANGE(""https://docs.google.com/spreadsheets/d/1C3CXT74ZlgGe6_JY_1olB1XN4rF0dxEuIIF-xsYjHgg/edit?usp=sharing"",""งบกองทุน!AH88"")"),75)</f>
        <v>75</v>
      </c>
      <c r="W84" s="392">
        <f ca="1">IFERROR(__xludf.DUMMYFUNCTION("IMPORTRANGE(""https://docs.google.com/spreadsheets/d/1C3CXT74ZlgGe6_JY_1olB1XN4rF0dxEuIIF-xsYjHgg/edit?usp=sharing"",""งบกองทุน!AI88"")"),25)</f>
        <v>25</v>
      </c>
      <c r="X84" s="308">
        <f ca="1">IFERROR(__xludf.DUMMYFUNCTION("IMPORTRANGE(""https://docs.google.com/spreadsheets/d/1IYY_tgx_IHuhSq3AJ5eI5OnqOPBNLWSHKh2a30DoXe8/edit?usp=sharing"",""พัทลุง!J317"")"),75)</f>
        <v>75</v>
      </c>
      <c r="Y84" s="309">
        <f t="shared" ca="1" si="9"/>
        <v>100</v>
      </c>
      <c r="Z84" s="308">
        <f ca="1">IFERROR(__xludf.DUMMYFUNCTION("IMPORTRANGE(""https://docs.google.com/spreadsheets/d/1IYY_tgx_IHuhSq3AJ5eI5OnqOPBNLWSHKh2a30DoXe8/edit?usp=sharing"",""พัทลุง!J316"")"),25)</f>
        <v>25</v>
      </c>
      <c r="AA84" s="309">
        <f t="shared" ca="1" si="10"/>
        <v>100</v>
      </c>
      <c r="AB84" s="308">
        <f ca="1">IFERROR(__xludf.DUMMYFUNCTION("IMPORTRANGE(""https://docs.google.com/spreadsheets/d/1IYY_tgx_IHuhSq3AJ5eI5OnqOPBNLWSHKh2a30DoXe8/edit?usp=sharing"",""พัทลุง!J318"")"),25)</f>
        <v>25</v>
      </c>
      <c r="AC84" s="308">
        <f ca="1">IFERROR(__xludf.DUMMYFUNCTION("IMPORTRANGE(""https://docs.google.com/spreadsheets/d/1IYY_tgx_IHuhSq3AJ5eI5OnqOPBNLWSHKh2a30DoXe8/edit?usp=sharing"",""พัทลุง!J319"")"),25)</f>
        <v>25</v>
      </c>
      <c r="AD84" s="308">
        <f ca="1">IFERROR(__xludf.DUMMYFUNCTION("IMPORTRANGE(""https://docs.google.com/spreadsheets/d/1IYY_tgx_IHuhSq3AJ5eI5OnqOPBNLWSHKh2a30DoXe8/edit?usp=sharing"",""พัทลุง!J320"")"),25)</f>
        <v>25</v>
      </c>
      <c r="AE84" s="392">
        <f ca="1">IFERROR(__xludf.DUMMYFUNCTION("IMPORTRANGE(""https://docs.google.com/spreadsheets/d/1C3CXT74ZlgGe6_JY_1olB1XN4rF0dxEuIIF-xsYjHgg/edit?usp=sharing"",""งบกองทุน!AM88"")"),30)</f>
        <v>30</v>
      </c>
      <c r="AF84" s="392">
        <f ca="1">IFERROR(__xludf.DUMMYFUNCTION("IMPORTRANGE(""https://docs.google.com/spreadsheets/d/1C3CXT74ZlgGe6_JY_1olB1XN4rF0dxEuIIF-xsYjHgg/edit?usp=sharing"",""งบกองทุน!AN88"")"),10)</f>
        <v>10</v>
      </c>
      <c r="AG84" s="308">
        <f ca="1">IFERROR(__xludf.DUMMYFUNCTION("IMPORTRANGE(""https://docs.google.com/spreadsheets/d/1IYY_tgx_IHuhSq3AJ5eI5OnqOPBNLWSHKh2a30DoXe8/edit?usp=sharing"",""พัทลุง!J322"")"),30)</f>
        <v>30</v>
      </c>
      <c r="AH84" s="309">
        <f t="shared" ca="1" si="12"/>
        <v>100</v>
      </c>
      <c r="AI84" s="308">
        <f ca="1">IFERROR(__xludf.DUMMYFUNCTION("IMPORTRANGE(""https://docs.google.com/spreadsheets/d/1IYY_tgx_IHuhSq3AJ5eI5OnqOPBNLWSHKh2a30DoXe8/edit?usp=sharing"",""พัทลุง!J321"")"),10)</f>
        <v>10</v>
      </c>
      <c r="AJ84" s="309">
        <f t="shared" ca="1" si="13"/>
        <v>100</v>
      </c>
      <c r="AK84" s="308">
        <f ca="1">IFERROR(__xludf.DUMMYFUNCTION("IMPORTRANGE(""https://docs.google.com/spreadsheets/d/1IYY_tgx_IHuhSq3AJ5eI5OnqOPBNLWSHKh2a30DoXe8/edit?usp=sharing"",""พัทลุง!J323"")"),10)</f>
        <v>10</v>
      </c>
      <c r="AL84" s="308">
        <f ca="1">IFERROR(__xludf.DUMMYFUNCTION("IMPORTRANGE(""https://docs.google.com/spreadsheets/d/1IYY_tgx_IHuhSq3AJ5eI5OnqOPBNLWSHKh2a30DoXe8/edit?usp=sharing"",""พัทลุง!J324"")"),10)</f>
        <v>10</v>
      </c>
      <c r="AM84" s="308">
        <f t="shared" ca="1" si="147"/>
        <v>35</v>
      </c>
      <c r="AN84" s="308">
        <f ca="1">IFERROR(__xludf.DUMMYFUNCTION("IMPORTRANGE(""https://docs.google.com/spreadsheets/d/1IYY_tgx_IHuhSq3AJ5eI5OnqOPBNLWSHKh2a30DoXe8/edit?usp=sharing"",""พัทลุง!J325"")"),0)</f>
        <v>0</v>
      </c>
      <c r="AO84" s="309">
        <f t="shared" ca="1" si="15"/>
        <v>0</v>
      </c>
      <c r="AP84" s="392">
        <f ca="1">IFERROR(__xludf.DUMMYFUNCTION("IMPORTRANGE(""https://docs.google.com/spreadsheets/d/1C3CXT74ZlgGe6_JY_1olB1XN4rF0dxEuIIF-xsYjHgg/edit?usp=sharing"",""งบกองทุน!AR88"")"),10)</f>
        <v>10</v>
      </c>
      <c r="AQ84" s="308">
        <f ca="1">IFERROR(__xludf.DUMMYFUNCTION("IMPORTRANGE(""https://docs.google.com/spreadsheets/d/1IYY_tgx_IHuhSq3AJ5eI5OnqOPBNLWSHKh2a30DoXe8/edit?usp=sharing"",""พัทลุง!J326"")"),0)</f>
        <v>0</v>
      </c>
      <c r="AR84" s="308">
        <f ca="1">IFERROR(__xludf.DUMMYFUNCTION("IMPORTRANGE(""https://docs.google.com/spreadsheets/d/1C3CXT74ZlgGe6_JY_1olB1XN4rF0dxEuIIF-xsYjHgg/edit?usp=sharing"",""งบกองทุน!AS88"")"),25)</f>
        <v>25</v>
      </c>
      <c r="AS84" s="393">
        <f ca="1">IFERROR(__xludf.DUMMYFUNCTION("IMPORTRANGE(""https://docs.google.com/spreadsheets/d/1IYY_tgx_IHuhSq3AJ5eI5OnqOPBNLWSHKh2a30DoXe8/edit?usp=sharing"",""พัทลุง!J327"")"),0)</f>
        <v>0</v>
      </c>
    </row>
    <row r="85" spans="1:45" ht="21" customHeight="1">
      <c r="A85" s="303">
        <v>9</v>
      </c>
      <c r="B85" s="304" t="s">
        <v>109</v>
      </c>
      <c r="C85" s="391">
        <f t="shared" ca="1" si="143"/>
        <v>116320</v>
      </c>
      <c r="D85" s="306">
        <f ca="1">IFERROR(__xludf.DUMMYFUNCTION("IMPORTRANGE(""https://docs.google.com/spreadsheets/d/1C3CXT74ZlgGe6_JY_1olB1XN4rF0dxEuIIF-xsYjHgg/edit?usp=sharing"",""งบกองทุน!Z89"")"),0)</f>
        <v>0</v>
      </c>
      <c r="E85" s="306">
        <f ca="1">IFERROR(__xludf.DUMMYFUNCTION("IMPORTRANGE(""https://docs.google.com/spreadsheets/d/1C3CXT74ZlgGe6_JY_1olB1XN4rF0dxEuIIF-xsYjHgg/edit?usp=sharing"",""งบกองทุน!AA89"")"),116320)</f>
        <v>116320</v>
      </c>
      <c r="F85" s="307">
        <f ca="1">IFERROR(__xludf.DUMMYFUNCTION("IMPORTRANGE(""https://docs.google.com/spreadsheets/d/1IYY_tgx_IHuhSq3AJ5eI5OnqOPBNLWSHKh2a30DoXe8/edit?usp=sharing"",""ภูเก็ต!M299"")"),83830)</f>
        <v>83830</v>
      </c>
      <c r="G85" s="307">
        <f t="shared" ca="1" si="1"/>
        <v>72.068431911966982</v>
      </c>
      <c r="H85" s="308">
        <f t="shared" ref="H85:I85" ca="1" si="155">+N85+V85+AE85</f>
        <v>90</v>
      </c>
      <c r="I85" s="308">
        <f t="shared" ca="1" si="155"/>
        <v>30</v>
      </c>
      <c r="J85" s="308">
        <f t="shared" ca="1" si="145"/>
        <v>90</v>
      </c>
      <c r="K85" s="309">
        <f t="shared" ca="1" si="3"/>
        <v>100</v>
      </c>
      <c r="L85" s="308">
        <f t="shared" ca="1" si="146"/>
        <v>30</v>
      </c>
      <c r="M85" s="309">
        <f t="shared" ca="1" si="4"/>
        <v>100</v>
      </c>
      <c r="N85" s="392">
        <f ca="1">IFERROR(__xludf.DUMMYFUNCTION("IMPORTRANGE(""https://docs.google.com/spreadsheets/d/1C3CXT74ZlgGe6_JY_1olB1XN4rF0dxEuIIF-xsYjHgg/edit?usp=sharing"",""งบกองทุน!AD89"")"),30)</f>
        <v>30</v>
      </c>
      <c r="O85" s="392">
        <f ca="1">IFERROR(__xludf.DUMMYFUNCTION("IMPORTRANGE(""https://docs.google.com/spreadsheets/d/1C3CXT74ZlgGe6_JY_1olB1XN4rF0dxEuIIF-xsYjHgg/edit?usp=sharing"",""งบกองทุน!AE89"")"),10)</f>
        <v>10</v>
      </c>
      <c r="P85" s="308">
        <f ca="1">IFERROR(__xludf.DUMMYFUNCTION("IMPORTRANGE(""https://docs.google.com/spreadsheets/d/1IYY_tgx_IHuhSq3AJ5eI5OnqOPBNLWSHKh2a30DoXe8/edit?usp=sharing"",""ภูเก็ต!J313"")"),30)</f>
        <v>30</v>
      </c>
      <c r="Q85" s="309">
        <f t="shared" ca="1" si="6"/>
        <v>100</v>
      </c>
      <c r="R85" s="308">
        <f ca="1">IFERROR(__xludf.DUMMYFUNCTION("IMPORTRANGE(""https://docs.google.com/spreadsheets/d/1IYY_tgx_IHuhSq3AJ5eI5OnqOPBNLWSHKh2a30DoXe8/edit?usp=sharing"",""ภูเก็ต!J312"")"),10)</f>
        <v>10</v>
      </c>
      <c r="S85" s="309">
        <f t="shared" ca="1" si="7"/>
        <v>100</v>
      </c>
      <c r="T85" s="309">
        <f ca="1">IFERROR(__xludf.DUMMYFUNCTION("IMPORTRANGE(""https://docs.google.com/spreadsheets/d/1IYY_tgx_IHuhSq3AJ5eI5OnqOPBNLWSHKh2a30DoXe8/edit?usp=sharing"",""ภูเก็ต!J314"")"),10)</f>
        <v>10</v>
      </c>
      <c r="U85" s="309">
        <f ca="1">IFERROR(__xludf.DUMMYFUNCTION("IMPORTRANGE(""https://docs.google.com/spreadsheets/d/1IYY_tgx_IHuhSq3AJ5eI5OnqOPBNLWSHKh2a30DoXe8/edit?usp=sharing"",""ภูเก็ต!J315"")"),10)</f>
        <v>10</v>
      </c>
      <c r="V85" s="392">
        <f ca="1">IFERROR(__xludf.DUMMYFUNCTION("IMPORTRANGE(""https://docs.google.com/spreadsheets/d/1C3CXT74ZlgGe6_JY_1olB1XN4rF0dxEuIIF-xsYjHgg/edit?usp=sharing"",""งบกองทุน!AH89"")"),30)</f>
        <v>30</v>
      </c>
      <c r="W85" s="392">
        <f ca="1">IFERROR(__xludf.DUMMYFUNCTION("IMPORTRANGE(""https://docs.google.com/spreadsheets/d/1C3CXT74ZlgGe6_JY_1olB1XN4rF0dxEuIIF-xsYjHgg/edit?usp=sharing"",""งบกองทุน!AI89"")"),10)</f>
        <v>10</v>
      </c>
      <c r="X85" s="308">
        <f ca="1">IFERROR(__xludf.DUMMYFUNCTION("IMPORTRANGE(""https://docs.google.com/spreadsheets/d/1IYY_tgx_IHuhSq3AJ5eI5OnqOPBNLWSHKh2a30DoXe8/edit?usp=sharing"",""ภูเก็ต!J317"")"),30)</f>
        <v>30</v>
      </c>
      <c r="Y85" s="309">
        <f t="shared" ca="1" si="9"/>
        <v>100</v>
      </c>
      <c r="Z85" s="308">
        <f ca="1">IFERROR(__xludf.DUMMYFUNCTION("IMPORTRANGE(""https://docs.google.com/spreadsheets/d/1IYY_tgx_IHuhSq3AJ5eI5OnqOPBNLWSHKh2a30DoXe8/edit?usp=sharing"",""ภูเก็ต!J316"")"),10)</f>
        <v>10</v>
      </c>
      <c r="AA85" s="309">
        <f t="shared" ca="1" si="10"/>
        <v>100</v>
      </c>
      <c r="AB85" s="308">
        <f ca="1">IFERROR(__xludf.DUMMYFUNCTION("IMPORTRANGE(""https://docs.google.com/spreadsheets/d/1IYY_tgx_IHuhSq3AJ5eI5OnqOPBNLWSHKh2a30DoXe8/edit?usp=sharing"",""ภูเก็ต!J318"")"),10)</f>
        <v>10</v>
      </c>
      <c r="AC85" s="308">
        <f ca="1">IFERROR(__xludf.DUMMYFUNCTION("IMPORTRANGE(""https://docs.google.com/spreadsheets/d/1IYY_tgx_IHuhSq3AJ5eI5OnqOPBNLWSHKh2a30DoXe8/edit?usp=sharing"",""ภูเก็ต!J319"")"),10)</f>
        <v>10</v>
      </c>
      <c r="AD85" s="308">
        <f ca="1">IFERROR(__xludf.DUMMYFUNCTION("IMPORTRANGE(""https://docs.google.com/spreadsheets/d/1IYY_tgx_IHuhSq3AJ5eI5OnqOPBNLWSHKh2a30DoXe8/edit?usp=sharing"",""ภูเก็ต!J320"")"),10)</f>
        <v>10</v>
      </c>
      <c r="AE85" s="392">
        <f ca="1">IFERROR(__xludf.DUMMYFUNCTION("IMPORTRANGE(""https://docs.google.com/spreadsheets/d/1C3CXT74ZlgGe6_JY_1olB1XN4rF0dxEuIIF-xsYjHgg/edit?usp=sharing"",""งบกองทุน!AM89"")"),30)</f>
        <v>30</v>
      </c>
      <c r="AF85" s="392">
        <f ca="1">IFERROR(__xludf.DUMMYFUNCTION("IMPORTRANGE(""https://docs.google.com/spreadsheets/d/1C3CXT74ZlgGe6_JY_1olB1XN4rF0dxEuIIF-xsYjHgg/edit?usp=sharing"",""งบกองทุน!AN89"")"),10)</f>
        <v>10</v>
      </c>
      <c r="AG85" s="308">
        <f ca="1">IFERROR(__xludf.DUMMYFUNCTION("IMPORTRANGE(""https://docs.google.com/spreadsheets/d/1IYY_tgx_IHuhSq3AJ5eI5OnqOPBNLWSHKh2a30DoXe8/edit?usp=sharing"",""ภูเก็ต!J322"")"),30)</f>
        <v>30</v>
      </c>
      <c r="AH85" s="309">
        <f t="shared" ca="1" si="12"/>
        <v>100</v>
      </c>
      <c r="AI85" s="308">
        <f ca="1">IFERROR(__xludf.DUMMYFUNCTION("IMPORTRANGE(""https://docs.google.com/spreadsheets/d/1IYY_tgx_IHuhSq3AJ5eI5OnqOPBNLWSHKh2a30DoXe8/edit?usp=sharing"",""ภูเก็ต!J321"")"),10)</f>
        <v>10</v>
      </c>
      <c r="AJ85" s="309">
        <f t="shared" ca="1" si="13"/>
        <v>100</v>
      </c>
      <c r="AK85" s="308">
        <f ca="1">IFERROR(__xludf.DUMMYFUNCTION("IMPORTRANGE(""https://docs.google.com/spreadsheets/d/1IYY_tgx_IHuhSq3AJ5eI5OnqOPBNLWSHKh2a30DoXe8/edit?usp=sharing"",""ภูเก็ต!J323"")"),10)</f>
        <v>10</v>
      </c>
      <c r="AL85" s="308">
        <f ca="1">IFERROR(__xludf.DUMMYFUNCTION("IMPORTRANGE(""https://docs.google.com/spreadsheets/d/1IYY_tgx_IHuhSq3AJ5eI5OnqOPBNLWSHKh2a30DoXe8/edit?usp=sharing"",""ภูเก็ต!J324"")"),10)</f>
        <v>10</v>
      </c>
      <c r="AM85" s="308">
        <f t="shared" ca="1" si="147"/>
        <v>20</v>
      </c>
      <c r="AN85" s="308">
        <f ca="1">IFERROR(__xludf.DUMMYFUNCTION("IMPORTRANGE(""https://docs.google.com/spreadsheets/d/1IYY_tgx_IHuhSq3AJ5eI5OnqOPBNLWSHKh2a30DoXe8/edit?usp=sharing"",""ภูเก็ต!J325"")"),0)</f>
        <v>0</v>
      </c>
      <c r="AO85" s="309">
        <f t="shared" ca="1" si="15"/>
        <v>0</v>
      </c>
      <c r="AP85" s="392">
        <f ca="1">IFERROR(__xludf.DUMMYFUNCTION("IMPORTRANGE(""https://docs.google.com/spreadsheets/d/1C3CXT74ZlgGe6_JY_1olB1XN4rF0dxEuIIF-xsYjHgg/edit?usp=sharing"",""งบกองทุน!AR89"")"),10)</f>
        <v>10</v>
      </c>
      <c r="AQ85" s="308">
        <f ca="1">IFERROR(__xludf.DUMMYFUNCTION("IMPORTRANGE(""https://docs.google.com/spreadsheets/d/1IYY_tgx_IHuhSq3AJ5eI5OnqOPBNLWSHKh2a30DoXe8/edit?usp=sharing"",""ภูเก็ต!J326"")"),0)</f>
        <v>0</v>
      </c>
      <c r="AR85" s="308">
        <f ca="1">IFERROR(__xludf.DUMMYFUNCTION("IMPORTRANGE(""https://docs.google.com/spreadsheets/d/1C3CXT74ZlgGe6_JY_1olB1XN4rF0dxEuIIF-xsYjHgg/edit?usp=sharing"",""งบกองทุน!AS89"")"),10)</f>
        <v>10</v>
      </c>
      <c r="AS85" s="393">
        <f ca="1">IFERROR(__xludf.DUMMYFUNCTION("IMPORTRANGE(""https://docs.google.com/spreadsheets/d/1IYY_tgx_IHuhSq3AJ5eI5OnqOPBNLWSHKh2a30DoXe8/edit?usp=sharing"",""ภูเก็ต!J327"")"),0)</f>
        <v>0</v>
      </c>
    </row>
    <row r="86" spans="1:45" ht="21" customHeight="1">
      <c r="A86" s="303">
        <v>10</v>
      </c>
      <c r="B86" s="304" t="s">
        <v>110</v>
      </c>
      <c r="C86" s="391">
        <f t="shared" ca="1" si="143"/>
        <v>131710</v>
      </c>
      <c r="D86" s="306">
        <f ca="1">IFERROR(__xludf.DUMMYFUNCTION("IMPORTRANGE(""https://docs.google.com/spreadsheets/d/1C3CXT74ZlgGe6_JY_1olB1XN4rF0dxEuIIF-xsYjHgg/edit?usp=sharing"",""งบกองทุน!Z90"")"),0)</f>
        <v>0</v>
      </c>
      <c r="E86" s="306">
        <f ca="1">IFERROR(__xludf.DUMMYFUNCTION("IMPORTRANGE(""https://docs.google.com/spreadsheets/d/1C3CXT74ZlgGe6_JY_1olB1XN4rF0dxEuIIF-xsYjHgg/edit?usp=sharing"",""งบกองทุน!AA90"")"),131710)</f>
        <v>131710</v>
      </c>
      <c r="F86" s="307">
        <f ca="1">IFERROR(__xludf.DUMMYFUNCTION("IMPORTRANGE(""https://docs.google.com/spreadsheets/d/1IYY_tgx_IHuhSq3AJ5eI5OnqOPBNLWSHKh2a30DoXe8/edit?usp=sharing"",""ยะลา!M299"")"),78350)</f>
        <v>78350</v>
      </c>
      <c r="G86" s="307">
        <f t="shared" ca="1" si="1"/>
        <v>59.486751195808971</v>
      </c>
      <c r="H86" s="308">
        <f t="shared" ref="H86:I86" ca="1" si="156">+N86+V86+AE86</f>
        <v>105</v>
      </c>
      <c r="I86" s="308">
        <f t="shared" ca="1" si="156"/>
        <v>35</v>
      </c>
      <c r="J86" s="308">
        <f t="shared" ca="1" si="145"/>
        <v>105</v>
      </c>
      <c r="K86" s="309">
        <f t="shared" ca="1" si="3"/>
        <v>100</v>
      </c>
      <c r="L86" s="308">
        <f t="shared" ca="1" si="146"/>
        <v>35</v>
      </c>
      <c r="M86" s="309">
        <f t="shared" ca="1" si="4"/>
        <v>100</v>
      </c>
      <c r="N86" s="392">
        <f ca="1">IFERROR(__xludf.DUMMYFUNCTION("IMPORTRANGE(""https://docs.google.com/spreadsheets/d/1C3CXT74ZlgGe6_JY_1olB1XN4rF0dxEuIIF-xsYjHgg/edit?usp=sharing"",""งบกองทุน!AD90"")"),30)</f>
        <v>30</v>
      </c>
      <c r="O86" s="392">
        <f ca="1">IFERROR(__xludf.DUMMYFUNCTION("IMPORTRANGE(""https://docs.google.com/spreadsheets/d/1C3CXT74ZlgGe6_JY_1olB1XN4rF0dxEuIIF-xsYjHgg/edit?usp=sharing"",""งบกองทุน!AE90"")"),10)</f>
        <v>10</v>
      </c>
      <c r="P86" s="308">
        <f ca="1">IFERROR(__xludf.DUMMYFUNCTION("IMPORTRANGE(""https://docs.google.com/spreadsheets/d/1IYY_tgx_IHuhSq3AJ5eI5OnqOPBNLWSHKh2a30DoXe8/edit?usp=sharing"",""ยะลา!J313"")"),30)</f>
        <v>30</v>
      </c>
      <c r="Q86" s="309">
        <f t="shared" ca="1" si="6"/>
        <v>100</v>
      </c>
      <c r="R86" s="308">
        <f ca="1">IFERROR(__xludf.DUMMYFUNCTION("IMPORTRANGE(""https://docs.google.com/spreadsheets/d/1IYY_tgx_IHuhSq3AJ5eI5OnqOPBNLWSHKh2a30DoXe8/edit?usp=sharing"",""ยะลา!J312"")"),10)</f>
        <v>10</v>
      </c>
      <c r="S86" s="309">
        <f t="shared" ca="1" si="7"/>
        <v>100</v>
      </c>
      <c r="T86" s="309">
        <f ca="1">IFERROR(__xludf.DUMMYFUNCTION("IMPORTRANGE(""https://docs.google.com/spreadsheets/d/1IYY_tgx_IHuhSq3AJ5eI5OnqOPBNLWSHKh2a30DoXe8/edit?usp=sharing"",""ยะลา!J314"")"),10)</f>
        <v>10</v>
      </c>
      <c r="U86" s="309">
        <f ca="1">IFERROR(__xludf.DUMMYFUNCTION("IMPORTRANGE(""https://docs.google.com/spreadsheets/d/1IYY_tgx_IHuhSq3AJ5eI5OnqOPBNLWSHKh2a30DoXe8/edit?usp=sharing"",""ยะลา!J315"")"),10)</f>
        <v>10</v>
      </c>
      <c r="V86" s="392">
        <f ca="1">IFERROR(__xludf.DUMMYFUNCTION("IMPORTRANGE(""https://docs.google.com/spreadsheets/d/1C3CXT74ZlgGe6_JY_1olB1XN4rF0dxEuIIF-xsYjHgg/edit?usp=sharing"",""งบกองทุน!AH90"")"),45)</f>
        <v>45</v>
      </c>
      <c r="W86" s="392">
        <f ca="1">IFERROR(__xludf.DUMMYFUNCTION("IMPORTRANGE(""https://docs.google.com/spreadsheets/d/1C3CXT74ZlgGe6_JY_1olB1XN4rF0dxEuIIF-xsYjHgg/edit?usp=sharing"",""งบกองทุน!AI90"")"),15)</f>
        <v>15</v>
      </c>
      <c r="X86" s="308">
        <f ca="1">IFERROR(__xludf.DUMMYFUNCTION("IMPORTRANGE(""https://docs.google.com/spreadsheets/d/1IYY_tgx_IHuhSq3AJ5eI5OnqOPBNLWSHKh2a30DoXe8/edit?usp=sharing"",""ยะลา!J317"")"),45)</f>
        <v>45</v>
      </c>
      <c r="Y86" s="309">
        <f t="shared" ca="1" si="9"/>
        <v>100</v>
      </c>
      <c r="Z86" s="308">
        <f ca="1">IFERROR(__xludf.DUMMYFUNCTION("IMPORTRANGE(""https://docs.google.com/spreadsheets/d/1IYY_tgx_IHuhSq3AJ5eI5OnqOPBNLWSHKh2a30DoXe8/edit?usp=sharing"",""ยะลา!J316"")"),15)</f>
        <v>15</v>
      </c>
      <c r="AA86" s="309">
        <f t="shared" ca="1" si="10"/>
        <v>100</v>
      </c>
      <c r="AB86" s="308">
        <f ca="1">IFERROR(__xludf.DUMMYFUNCTION("IMPORTRANGE(""https://docs.google.com/spreadsheets/d/1IYY_tgx_IHuhSq3AJ5eI5OnqOPBNLWSHKh2a30DoXe8/edit?usp=sharing"",""ยะลา!J318"")"),15)</f>
        <v>15</v>
      </c>
      <c r="AC86" s="308">
        <f ca="1">IFERROR(__xludf.DUMMYFUNCTION("IMPORTRANGE(""https://docs.google.com/spreadsheets/d/1IYY_tgx_IHuhSq3AJ5eI5OnqOPBNLWSHKh2a30DoXe8/edit?usp=sharing"",""ยะลา!J319"")"),15)</f>
        <v>15</v>
      </c>
      <c r="AD86" s="308">
        <f ca="1">IFERROR(__xludf.DUMMYFUNCTION("IMPORTRANGE(""https://docs.google.com/spreadsheets/d/1IYY_tgx_IHuhSq3AJ5eI5OnqOPBNLWSHKh2a30DoXe8/edit?usp=sharing"",""ยะลา!J320"")"),15)</f>
        <v>15</v>
      </c>
      <c r="AE86" s="392">
        <f ca="1">IFERROR(__xludf.DUMMYFUNCTION("IMPORTRANGE(""https://docs.google.com/spreadsheets/d/1C3CXT74ZlgGe6_JY_1olB1XN4rF0dxEuIIF-xsYjHgg/edit?usp=sharing"",""งบกองทุน!AM90"")"),30)</f>
        <v>30</v>
      </c>
      <c r="AF86" s="392">
        <f ca="1">IFERROR(__xludf.DUMMYFUNCTION("IMPORTRANGE(""https://docs.google.com/spreadsheets/d/1C3CXT74ZlgGe6_JY_1olB1XN4rF0dxEuIIF-xsYjHgg/edit?usp=sharing"",""งบกองทุน!AN90"")"),10)</f>
        <v>10</v>
      </c>
      <c r="AG86" s="308">
        <f ca="1">IFERROR(__xludf.DUMMYFUNCTION("IMPORTRANGE(""https://docs.google.com/spreadsheets/d/1IYY_tgx_IHuhSq3AJ5eI5OnqOPBNLWSHKh2a30DoXe8/edit?usp=sharing"",""ยะลา!J322"")"),30)</f>
        <v>30</v>
      </c>
      <c r="AH86" s="309">
        <f t="shared" ca="1" si="12"/>
        <v>100</v>
      </c>
      <c r="AI86" s="308">
        <f ca="1">IFERROR(__xludf.DUMMYFUNCTION("IMPORTRANGE(""https://docs.google.com/spreadsheets/d/1IYY_tgx_IHuhSq3AJ5eI5OnqOPBNLWSHKh2a30DoXe8/edit?usp=sharing"",""ยะลา!J321"")"),10)</f>
        <v>10</v>
      </c>
      <c r="AJ86" s="309">
        <f t="shared" ca="1" si="13"/>
        <v>100</v>
      </c>
      <c r="AK86" s="308">
        <f ca="1">IFERROR(__xludf.DUMMYFUNCTION("IMPORTRANGE(""https://docs.google.com/spreadsheets/d/1IYY_tgx_IHuhSq3AJ5eI5OnqOPBNLWSHKh2a30DoXe8/edit?usp=sharing"",""ยะลา!J323"")"),10)</f>
        <v>10</v>
      </c>
      <c r="AL86" s="308">
        <f ca="1">IFERROR(__xludf.DUMMYFUNCTION("IMPORTRANGE(""https://docs.google.com/spreadsheets/d/1IYY_tgx_IHuhSq3AJ5eI5OnqOPBNLWSHKh2a30DoXe8/edit?usp=sharing"",""ยะลา!J324"")"),10)</f>
        <v>10</v>
      </c>
      <c r="AM86" s="308">
        <f t="shared" ca="1" si="147"/>
        <v>25</v>
      </c>
      <c r="AN86" s="308">
        <f ca="1">IFERROR(__xludf.DUMMYFUNCTION("IMPORTRANGE(""https://docs.google.com/spreadsheets/d/1IYY_tgx_IHuhSq3AJ5eI5OnqOPBNLWSHKh2a30DoXe8/edit?usp=sharing"",""ยะลา!J325"")"),0)</f>
        <v>0</v>
      </c>
      <c r="AO86" s="309">
        <f t="shared" ca="1" si="15"/>
        <v>0</v>
      </c>
      <c r="AP86" s="392">
        <f ca="1">IFERROR(__xludf.DUMMYFUNCTION("IMPORTRANGE(""https://docs.google.com/spreadsheets/d/1C3CXT74ZlgGe6_JY_1olB1XN4rF0dxEuIIF-xsYjHgg/edit?usp=sharing"",""งบกองทุน!AR90"")"),10)</f>
        <v>10</v>
      </c>
      <c r="AQ86" s="308">
        <f ca="1">IFERROR(__xludf.DUMMYFUNCTION("IMPORTRANGE(""https://docs.google.com/spreadsheets/d/1IYY_tgx_IHuhSq3AJ5eI5OnqOPBNLWSHKh2a30DoXe8/edit?usp=sharing"",""ยะลา!J326"")"),0)</f>
        <v>0</v>
      </c>
      <c r="AR86" s="308">
        <f ca="1">IFERROR(__xludf.DUMMYFUNCTION("IMPORTRANGE(""https://docs.google.com/spreadsheets/d/1C3CXT74ZlgGe6_JY_1olB1XN4rF0dxEuIIF-xsYjHgg/edit?usp=sharing"",""งบกองทุน!AS90"")"),15)</f>
        <v>15</v>
      </c>
      <c r="AS86" s="393">
        <f ca="1">IFERROR(__xludf.DUMMYFUNCTION("IMPORTRANGE(""https://docs.google.com/spreadsheets/d/1IYY_tgx_IHuhSq3AJ5eI5OnqOPBNLWSHKh2a30DoXe8/edit?usp=sharing"",""ยะลา!J327"")"),0)</f>
        <v>0</v>
      </c>
    </row>
    <row r="87" spans="1:45" ht="21" customHeight="1">
      <c r="A87" s="303">
        <v>11</v>
      </c>
      <c r="B87" s="304" t="s">
        <v>111</v>
      </c>
      <c r="C87" s="391">
        <f t="shared" ca="1" si="143"/>
        <v>172190</v>
      </c>
      <c r="D87" s="306">
        <f ca="1">IFERROR(__xludf.DUMMYFUNCTION("IMPORTRANGE(""https://docs.google.com/spreadsheets/d/1C3CXT74ZlgGe6_JY_1olB1XN4rF0dxEuIIF-xsYjHgg/edit?usp=sharing"",""งบกองทุน!Z91"")"),0)</f>
        <v>0</v>
      </c>
      <c r="E87" s="306">
        <f ca="1">IFERROR(__xludf.DUMMYFUNCTION("IMPORTRANGE(""https://docs.google.com/spreadsheets/d/1C3CXT74ZlgGe6_JY_1olB1XN4rF0dxEuIIF-xsYjHgg/edit?usp=sharing"",""งบกองทุน!AA91"")"),172190)</f>
        <v>172190</v>
      </c>
      <c r="F87" s="307">
        <f ca="1">IFERROR(__xludf.DUMMYFUNCTION("IMPORTRANGE(""https://docs.google.com/spreadsheets/d/1IYY_tgx_IHuhSq3AJ5eI5OnqOPBNLWSHKh2a30DoXe8/edit?usp=sharing"",""ระนอง!M299"")"),90630)</f>
        <v>90630</v>
      </c>
      <c r="G87" s="307">
        <f t="shared" ca="1" si="1"/>
        <v>52.633718566699578</v>
      </c>
      <c r="H87" s="308">
        <f t="shared" ref="H87:I87" ca="1" si="157">+N87+V87+AE87</f>
        <v>165</v>
      </c>
      <c r="I87" s="308">
        <f t="shared" ca="1" si="157"/>
        <v>55</v>
      </c>
      <c r="J87" s="308">
        <f t="shared" ca="1" si="145"/>
        <v>165</v>
      </c>
      <c r="K87" s="309">
        <f t="shared" ca="1" si="3"/>
        <v>100</v>
      </c>
      <c r="L87" s="308">
        <f t="shared" ca="1" si="146"/>
        <v>55</v>
      </c>
      <c r="M87" s="309">
        <f t="shared" ca="1" si="4"/>
        <v>100</v>
      </c>
      <c r="N87" s="392">
        <f ca="1">IFERROR(__xludf.DUMMYFUNCTION("IMPORTRANGE(""https://docs.google.com/spreadsheets/d/1C3CXT74ZlgGe6_JY_1olB1XN4rF0dxEuIIF-xsYjHgg/edit?usp=sharing"",""งบกองทุน!AD91"")"),30)</f>
        <v>30</v>
      </c>
      <c r="O87" s="392">
        <f ca="1">IFERROR(__xludf.DUMMYFUNCTION("IMPORTRANGE(""https://docs.google.com/spreadsheets/d/1C3CXT74ZlgGe6_JY_1olB1XN4rF0dxEuIIF-xsYjHgg/edit?usp=sharing"",""งบกองทุน!AE91"")"),10)</f>
        <v>10</v>
      </c>
      <c r="P87" s="308">
        <f ca="1">IFERROR(__xludf.DUMMYFUNCTION("IMPORTRANGE(""https://docs.google.com/spreadsheets/d/1IYY_tgx_IHuhSq3AJ5eI5OnqOPBNLWSHKh2a30DoXe8/edit?usp=sharing"",""ระนอง!J313"")"),30)</f>
        <v>30</v>
      </c>
      <c r="Q87" s="309">
        <f t="shared" ca="1" si="6"/>
        <v>100</v>
      </c>
      <c r="R87" s="308">
        <f ca="1">IFERROR(__xludf.DUMMYFUNCTION("IMPORTRANGE(""https://docs.google.com/spreadsheets/d/1IYY_tgx_IHuhSq3AJ5eI5OnqOPBNLWSHKh2a30DoXe8/edit?usp=sharing"",""ระนอง!J312"")"),10)</f>
        <v>10</v>
      </c>
      <c r="S87" s="309">
        <f t="shared" ca="1" si="7"/>
        <v>100</v>
      </c>
      <c r="T87" s="309">
        <f ca="1">IFERROR(__xludf.DUMMYFUNCTION("IMPORTRANGE(""https://docs.google.com/spreadsheets/d/1IYY_tgx_IHuhSq3AJ5eI5OnqOPBNLWSHKh2a30DoXe8/edit?usp=sharing"",""ระนอง!J314"")"),10)</f>
        <v>10</v>
      </c>
      <c r="U87" s="309">
        <f ca="1">IFERROR(__xludf.DUMMYFUNCTION("IMPORTRANGE(""https://docs.google.com/spreadsheets/d/1IYY_tgx_IHuhSq3AJ5eI5OnqOPBNLWSHKh2a30DoXe8/edit?usp=sharing"",""ระนอง!J315"")"),10)</f>
        <v>10</v>
      </c>
      <c r="V87" s="392">
        <f ca="1">IFERROR(__xludf.DUMMYFUNCTION("IMPORTRANGE(""https://docs.google.com/spreadsheets/d/1C3CXT74ZlgGe6_JY_1olB1XN4rF0dxEuIIF-xsYjHgg/edit?usp=sharing"",""งบกองทุน!AH91"")"),75)</f>
        <v>75</v>
      </c>
      <c r="W87" s="392">
        <f ca="1">IFERROR(__xludf.DUMMYFUNCTION("IMPORTRANGE(""https://docs.google.com/spreadsheets/d/1C3CXT74ZlgGe6_JY_1olB1XN4rF0dxEuIIF-xsYjHgg/edit?usp=sharing"",""งบกองทุน!AI91"")"),25)</f>
        <v>25</v>
      </c>
      <c r="X87" s="308">
        <f ca="1">IFERROR(__xludf.DUMMYFUNCTION("IMPORTRANGE(""https://docs.google.com/spreadsheets/d/1IYY_tgx_IHuhSq3AJ5eI5OnqOPBNLWSHKh2a30DoXe8/edit?usp=sharing"",""ระนอง!J317"")"),75)</f>
        <v>75</v>
      </c>
      <c r="Y87" s="309">
        <f t="shared" ca="1" si="9"/>
        <v>100</v>
      </c>
      <c r="Z87" s="308">
        <f ca="1">IFERROR(__xludf.DUMMYFUNCTION("IMPORTRANGE(""https://docs.google.com/spreadsheets/d/1IYY_tgx_IHuhSq3AJ5eI5OnqOPBNLWSHKh2a30DoXe8/edit?usp=sharing"",""ระนอง!J316"")"),25)</f>
        <v>25</v>
      </c>
      <c r="AA87" s="309">
        <f t="shared" ca="1" si="10"/>
        <v>100</v>
      </c>
      <c r="AB87" s="308">
        <f ca="1">IFERROR(__xludf.DUMMYFUNCTION("IMPORTRANGE(""https://docs.google.com/spreadsheets/d/1IYY_tgx_IHuhSq3AJ5eI5OnqOPBNLWSHKh2a30DoXe8/edit?usp=sharing"",""ระนอง!J318"")"),25)</f>
        <v>25</v>
      </c>
      <c r="AC87" s="308">
        <f ca="1">IFERROR(__xludf.DUMMYFUNCTION("IMPORTRANGE(""https://docs.google.com/spreadsheets/d/1IYY_tgx_IHuhSq3AJ5eI5OnqOPBNLWSHKh2a30DoXe8/edit?usp=sharing"",""ระนอง!J319"")"),25)</f>
        <v>25</v>
      </c>
      <c r="AD87" s="308">
        <f ca="1">IFERROR(__xludf.DUMMYFUNCTION("IMPORTRANGE(""https://docs.google.com/spreadsheets/d/1IYY_tgx_IHuhSq3AJ5eI5OnqOPBNLWSHKh2a30DoXe8/edit?usp=sharing"",""ระนอง!J320"")"),25)</f>
        <v>25</v>
      </c>
      <c r="AE87" s="392">
        <f ca="1">IFERROR(__xludf.DUMMYFUNCTION("IMPORTRANGE(""https://docs.google.com/spreadsheets/d/1C3CXT74ZlgGe6_JY_1olB1XN4rF0dxEuIIF-xsYjHgg/edit?usp=sharing"",""งบกองทุน!AM91"")"),60)</f>
        <v>60</v>
      </c>
      <c r="AF87" s="392">
        <f ca="1">IFERROR(__xludf.DUMMYFUNCTION("IMPORTRANGE(""https://docs.google.com/spreadsheets/d/1C3CXT74ZlgGe6_JY_1olB1XN4rF0dxEuIIF-xsYjHgg/edit?usp=sharing"",""งบกองทุน!AN91"")"),20)</f>
        <v>20</v>
      </c>
      <c r="AG87" s="308">
        <f ca="1">IFERROR(__xludf.DUMMYFUNCTION("IMPORTRANGE(""https://docs.google.com/spreadsheets/d/1IYY_tgx_IHuhSq3AJ5eI5OnqOPBNLWSHKh2a30DoXe8/edit?usp=sharing"",""ระนอง!J322"")"),60)</f>
        <v>60</v>
      </c>
      <c r="AH87" s="309">
        <f t="shared" ca="1" si="12"/>
        <v>100</v>
      </c>
      <c r="AI87" s="308">
        <f ca="1">IFERROR(__xludf.DUMMYFUNCTION("IMPORTRANGE(""https://docs.google.com/spreadsheets/d/1IYY_tgx_IHuhSq3AJ5eI5OnqOPBNLWSHKh2a30DoXe8/edit?usp=sharing"",""ระนอง!J321"")"),20)</f>
        <v>20</v>
      </c>
      <c r="AJ87" s="309">
        <f t="shared" ca="1" si="13"/>
        <v>100</v>
      </c>
      <c r="AK87" s="308">
        <f ca="1">IFERROR(__xludf.DUMMYFUNCTION("IMPORTRANGE(""https://docs.google.com/spreadsheets/d/1IYY_tgx_IHuhSq3AJ5eI5OnqOPBNLWSHKh2a30DoXe8/edit?usp=sharing"",""ระนอง!J323"")"),20)</f>
        <v>20</v>
      </c>
      <c r="AL87" s="308">
        <f ca="1">IFERROR(__xludf.DUMMYFUNCTION("IMPORTRANGE(""https://docs.google.com/spreadsheets/d/1IYY_tgx_IHuhSq3AJ5eI5OnqOPBNLWSHKh2a30DoXe8/edit?usp=sharing"",""ระนอง!J324"")"),20)</f>
        <v>20</v>
      </c>
      <c r="AM87" s="308">
        <f t="shared" ca="1" si="147"/>
        <v>35</v>
      </c>
      <c r="AN87" s="308">
        <f ca="1">IFERROR(__xludf.DUMMYFUNCTION("IMPORTRANGE(""https://docs.google.com/spreadsheets/d/1IYY_tgx_IHuhSq3AJ5eI5OnqOPBNLWSHKh2a30DoXe8/edit?usp=sharing"",""ระนอง!J325"")"),0)</f>
        <v>0</v>
      </c>
      <c r="AO87" s="309">
        <f t="shared" ca="1" si="15"/>
        <v>0</v>
      </c>
      <c r="AP87" s="392">
        <f ca="1">IFERROR(__xludf.DUMMYFUNCTION("IMPORTRANGE(""https://docs.google.com/spreadsheets/d/1C3CXT74ZlgGe6_JY_1olB1XN4rF0dxEuIIF-xsYjHgg/edit?usp=sharing"",""งบกองทุน!AR91"")"),10)</f>
        <v>10</v>
      </c>
      <c r="AQ87" s="308">
        <f ca="1">IFERROR(__xludf.DUMMYFUNCTION("IMPORTRANGE(""https://docs.google.com/spreadsheets/d/1IYY_tgx_IHuhSq3AJ5eI5OnqOPBNLWSHKh2a30DoXe8/edit?usp=sharing"",""ระนอง!J326"")"),10)</f>
        <v>10</v>
      </c>
      <c r="AR87" s="308">
        <f ca="1">IFERROR(__xludf.DUMMYFUNCTION("IMPORTRANGE(""https://docs.google.com/spreadsheets/d/1C3CXT74ZlgGe6_JY_1olB1XN4rF0dxEuIIF-xsYjHgg/edit?usp=sharing"",""งบกองทุน!AS91"")"),25)</f>
        <v>25</v>
      </c>
      <c r="AS87" s="393">
        <f ca="1">IFERROR(__xludf.DUMMYFUNCTION("IMPORTRANGE(""https://docs.google.com/spreadsheets/d/1IYY_tgx_IHuhSq3AJ5eI5OnqOPBNLWSHKh2a30DoXe8/edit?usp=sharing"",""ระนอง!J327"")"),0)</f>
        <v>0</v>
      </c>
    </row>
    <row r="88" spans="1:45" ht="24" customHeight="1">
      <c r="A88" s="303">
        <v>12</v>
      </c>
      <c r="B88" s="304" t="s">
        <v>112</v>
      </c>
      <c r="C88" s="391">
        <f t="shared" ca="1" si="143"/>
        <v>158400</v>
      </c>
      <c r="D88" s="306">
        <f ca="1">IFERROR(__xludf.DUMMYFUNCTION("IMPORTRANGE(""https://docs.google.com/spreadsheets/d/1C3CXT74ZlgGe6_JY_1olB1XN4rF0dxEuIIF-xsYjHgg/edit?usp=sharing"",""งบกองทุน!Z92"")"),0)</f>
        <v>0</v>
      </c>
      <c r="E88" s="306">
        <f ca="1">IFERROR(__xludf.DUMMYFUNCTION("IMPORTRANGE(""https://docs.google.com/spreadsheets/d/1C3CXT74ZlgGe6_JY_1olB1XN4rF0dxEuIIF-xsYjHgg/edit?usp=sharing"",""งบกองทุน!AA92"")"),158400)</f>
        <v>158400</v>
      </c>
      <c r="F88" s="307">
        <f ca="1">IFERROR(__xludf.DUMMYFUNCTION("IMPORTRANGE(""https://docs.google.com/spreadsheets/d/1IYY_tgx_IHuhSq3AJ5eI5OnqOPBNLWSHKh2a30DoXe8/edit?usp=sharing"",""สงขลา!M299"")"),113600)</f>
        <v>113600</v>
      </c>
      <c r="G88" s="307">
        <f t="shared" ca="1" si="1"/>
        <v>71.717171717171723</v>
      </c>
      <c r="H88" s="308">
        <f t="shared" ref="H88:I88" ca="1" si="158">+N88+V88+AE88</f>
        <v>150</v>
      </c>
      <c r="I88" s="308">
        <f t="shared" ca="1" si="158"/>
        <v>50</v>
      </c>
      <c r="J88" s="308">
        <f t="shared" ca="1" si="145"/>
        <v>150</v>
      </c>
      <c r="K88" s="309">
        <f t="shared" ca="1" si="3"/>
        <v>100</v>
      </c>
      <c r="L88" s="308">
        <f t="shared" ca="1" si="146"/>
        <v>50</v>
      </c>
      <c r="M88" s="309">
        <f t="shared" ca="1" si="4"/>
        <v>100</v>
      </c>
      <c r="N88" s="394">
        <f ca="1">IFERROR(__xludf.DUMMYFUNCTION("IMPORTRANGE(""https://docs.google.com/spreadsheets/d/1C3CXT74ZlgGe6_JY_1olB1XN4rF0dxEuIIF-xsYjHgg/edit?usp=sharing"",""งบกองทุน!AD92"")"),0)</f>
        <v>0</v>
      </c>
      <c r="O88" s="394">
        <f ca="1">IFERROR(__xludf.DUMMYFUNCTION("IMPORTRANGE(""https://docs.google.com/spreadsheets/d/1C3CXT74ZlgGe6_JY_1olB1XN4rF0dxEuIIF-xsYjHgg/edit?usp=sharing"",""งบกองทุน!AE92"")"),0)</f>
        <v>0</v>
      </c>
      <c r="P88" s="308">
        <f ca="1">IFERROR(__xludf.DUMMYFUNCTION("IMPORTRANGE(""https://docs.google.com/spreadsheets/d/1IYY_tgx_IHuhSq3AJ5eI5OnqOPBNLWSHKh2a30DoXe8/edit?usp=sharing"",""สงขลา!J313"")"),0)</f>
        <v>0</v>
      </c>
      <c r="Q88" s="309">
        <f t="shared" ca="1" si="6"/>
        <v>0</v>
      </c>
      <c r="R88" s="308">
        <f ca="1">IFERROR(__xludf.DUMMYFUNCTION("IMPORTRANGE(""https://docs.google.com/spreadsheets/d/1IYY_tgx_IHuhSq3AJ5eI5OnqOPBNLWSHKh2a30DoXe8/edit?usp=sharing"",""สงขลา!J312"")"),0)</f>
        <v>0</v>
      </c>
      <c r="S88" s="309">
        <f t="shared" ca="1" si="7"/>
        <v>0</v>
      </c>
      <c r="T88" s="309">
        <f ca="1">IFERROR(__xludf.DUMMYFUNCTION("IMPORTRANGE(""https://docs.google.com/spreadsheets/d/1IYY_tgx_IHuhSq3AJ5eI5OnqOPBNLWSHKh2a30DoXe8/edit?usp=sharing"",""สงขลา!J314"")"),0)</f>
        <v>0</v>
      </c>
      <c r="U88" s="309">
        <f ca="1">IFERROR(__xludf.DUMMYFUNCTION("IMPORTRANGE(""https://docs.google.com/spreadsheets/d/1IYY_tgx_IHuhSq3AJ5eI5OnqOPBNLWSHKh2a30DoXe8/edit?usp=sharing"",""สงขลา!J315"")"),0)</f>
        <v>0</v>
      </c>
      <c r="V88" s="392">
        <f ca="1">IFERROR(__xludf.DUMMYFUNCTION("IMPORTRANGE(""https://docs.google.com/spreadsheets/d/1C3CXT74ZlgGe6_JY_1olB1XN4rF0dxEuIIF-xsYjHgg/edit?usp=sharing"",""งบกองทุน!AH92"")"),120)</f>
        <v>120</v>
      </c>
      <c r="W88" s="392">
        <f ca="1">IFERROR(__xludf.DUMMYFUNCTION("IMPORTRANGE(""https://docs.google.com/spreadsheets/d/1C3CXT74ZlgGe6_JY_1olB1XN4rF0dxEuIIF-xsYjHgg/edit?usp=sharing"",""งบกองทุน!AI92"")"),40)</f>
        <v>40</v>
      </c>
      <c r="X88" s="308">
        <f ca="1">IFERROR(__xludf.DUMMYFUNCTION("IMPORTRANGE(""https://docs.google.com/spreadsheets/d/1IYY_tgx_IHuhSq3AJ5eI5OnqOPBNLWSHKh2a30DoXe8/edit?usp=sharing"",""สงขลา!J317"")"),120)</f>
        <v>120</v>
      </c>
      <c r="Y88" s="309">
        <f t="shared" ca="1" si="9"/>
        <v>100</v>
      </c>
      <c r="Z88" s="308">
        <f ca="1">IFERROR(__xludf.DUMMYFUNCTION("IMPORTRANGE(""https://docs.google.com/spreadsheets/d/1IYY_tgx_IHuhSq3AJ5eI5OnqOPBNLWSHKh2a30DoXe8/edit?usp=sharing"",""สงขลา!J316"")"),40)</f>
        <v>40</v>
      </c>
      <c r="AA88" s="309">
        <f t="shared" ca="1" si="10"/>
        <v>100</v>
      </c>
      <c r="AB88" s="308">
        <f ca="1">IFERROR(__xludf.DUMMYFUNCTION("IMPORTRANGE(""https://docs.google.com/spreadsheets/d/1IYY_tgx_IHuhSq3AJ5eI5OnqOPBNLWSHKh2a30DoXe8/edit?usp=sharing"",""สงขลา!J318"")"),40)</f>
        <v>40</v>
      </c>
      <c r="AC88" s="308">
        <f ca="1">IFERROR(__xludf.DUMMYFUNCTION("IMPORTRANGE(""https://docs.google.com/spreadsheets/d/1IYY_tgx_IHuhSq3AJ5eI5OnqOPBNLWSHKh2a30DoXe8/edit?usp=sharing"",""สงขลา!J319"")"),40)</f>
        <v>40</v>
      </c>
      <c r="AD88" s="308">
        <f ca="1">IFERROR(__xludf.DUMMYFUNCTION("IMPORTRANGE(""https://docs.google.com/spreadsheets/d/1IYY_tgx_IHuhSq3AJ5eI5OnqOPBNLWSHKh2a30DoXe8/edit?usp=sharing"",""สงขลา!J320"")"),40)</f>
        <v>40</v>
      </c>
      <c r="AE88" s="392">
        <f ca="1">IFERROR(__xludf.DUMMYFUNCTION("IMPORTRANGE(""https://docs.google.com/spreadsheets/d/1C3CXT74ZlgGe6_JY_1olB1XN4rF0dxEuIIF-xsYjHgg/edit?usp=sharing"",""งบกองทุน!AM92"")"),30)</f>
        <v>30</v>
      </c>
      <c r="AF88" s="392">
        <f ca="1">IFERROR(__xludf.DUMMYFUNCTION("IMPORTRANGE(""https://docs.google.com/spreadsheets/d/1C3CXT74ZlgGe6_JY_1olB1XN4rF0dxEuIIF-xsYjHgg/edit?usp=sharing"",""งบกองทุน!AN92"")"),10)</f>
        <v>10</v>
      </c>
      <c r="AG88" s="308">
        <f ca="1">IFERROR(__xludf.DUMMYFUNCTION("IMPORTRANGE(""https://docs.google.com/spreadsheets/d/1IYY_tgx_IHuhSq3AJ5eI5OnqOPBNLWSHKh2a30DoXe8/edit?usp=sharing"",""สงขลา!J322"")"),30)</f>
        <v>30</v>
      </c>
      <c r="AH88" s="309">
        <f t="shared" ca="1" si="12"/>
        <v>100</v>
      </c>
      <c r="AI88" s="308">
        <f ca="1">IFERROR(__xludf.DUMMYFUNCTION("IMPORTRANGE(""https://docs.google.com/spreadsheets/d/1IYY_tgx_IHuhSq3AJ5eI5OnqOPBNLWSHKh2a30DoXe8/edit?usp=sharing"",""สงขลา!J321"")"),10)</f>
        <v>10</v>
      </c>
      <c r="AJ88" s="309">
        <f t="shared" ca="1" si="13"/>
        <v>100</v>
      </c>
      <c r="AK88" s="308">
        <f ca="1">IFERROR(__xludf.DUMMYFUNCTION("IMPORTRANGE(""https://docs.google.com/spreadsheets/d/1IYY_tgx_IHuhSq3AJ5eI5OnqOPBNLWSHKh2a30DoXe8/edit?usp=sharing"",""สงขลา!J323"")"),10)</f>
        <v>10</v>
      </c>
      <c r="AL88" s="308">
        <f ca="1">IFERROR(__xludf.DUMMYFUNCTION("IMPORTRANGE(""https://docs.google.com/spreadsheets/d/1IYY_tgx_IHuhSq3AJ5eI5OnqOPBNLWSHKh2a30DoXe8/edit?usp=sharing"",""สงขลา!J324"")"),10)</f>
        <v>10</v>
      </c>
      <c r="AM88" s="308">
        <f t="shared" ca="1" si="147"/>
        <v>40</v>
      </c>
      <c r="AN88" s="308">
        <f ca="1">IFERROR(__xludf.DUMMYFUNCTION("IMPORTRANGE(""https://docs.google.com/spreadsheets/d/1IYY_tgx_IHuhSq3AJ5eI5OnqOPBNLWSHKh2a30DoXe8/edit?usp=sharing"",""สงขลา!J325"")"),0)</f>
        <v>0</v>
      </c>
      <c r="AO88" s="309">
        <f t="shared" ca="1" si="15"/>
        <v>0</v>
      </c>
      <c r="AP88" s="394">
        <f ca="1">IFERROR(__xludf.DUMMYFUNCTION("IMPORTRANGE(""https://docs.google.com/spreadsheets/d/1C3CXT74ZlgGe6_JY_1olB1XN4rF0dxEuIIF-xsYjHgg/edit?usp=sharing"",""งบกองทุน!AR92"")"),0)</f>
        <v>0</v>
      </c>
      <c r="AQ88" s="308">
        <f ca="1">IFERROR(__xludf.DUMMYFUNCTION("IMPORTRANGE(""https://docs.google.com/spreadsheets/d/1IYY_tgx_IHuhSq3AJ5eI5OnqOPBNLWSHKh2a30DoXe8/edit?usp=sharing"",""สงขลา!J326"")"),0)</f>
        <v>0</v>
      </c>
      <c r="AR88" s="308">
        <f ca="1">IFERROR(__xludf.DUMMYFUNCTION("IMPORTRANGE(""https://docs.google.com/spreadsheets/d/1C3CXT74ZlgGe6_JY_1olB1XN4rF0dxEuIIF-xsYjHgg/edit?usp=sharing"",""งบกองทุน!AS92"")"),40)</f>
        <v>40</v>
      </c>
      <c r="AS88" s="393">
        <f ca="1">IFERROR(__xludf.DUMMYFUNCTION("IMPORTRANGE(""https://docs.google.com/spreadsheets/d/1IYY_tgx_IHuhSq3AJ5eI5OnqOPBNLWSHKh2a30DoXe8/edit?usp=sharing"",""สงขลา!J327"")"),0)</f>
        <v>0</v>
      </c>
    </row>
    <row r="89" spans="1:45" ht="24" customHeight="1">
      <c r="A89" s="303">
        <v>13</v>
      </c>
      <c r="B89" s="304" t="s">
        <v>113</v>
      </c>
      <c r="C89" s="391">
        <f t="shared" ca="1" si="143"/>
        <v>81620</v>
      </c>
      <c r="D89" s="306">
        <f ca="1">IFERROR(__xludf.DUMMYFUNCTION("IMPORTRANGE(""https://docs.google.com/spreadsheets/d/1C3CXT74ZlgGe6_JY_1olB1XN4rF0dxEuIIF-xsYjHgg/edit?usp=sharing"",""งบกองทุน!Z93"")"),0)</f>
        <v>0</v>
      </c>
      <c r="E89" s="306">
        <f ca="1">IFERROR(__xludf.DUMMYFUNCTION("IMPORTRANGE(""https://docs.google.com/spreadsheets/d/1C3CXT74ZlgGe6_JY_1olB1XN4rF0dxEuIIF-xsYjHgg/edit?usp=sharing"",""งบกองทุน!AA93"")"),81620)</f>
        <v>81620</v>
      </c>
      <c r="F89" s="307">
        <f ca="1">IFERROR(__xludf.DUMMYFUNCTION("IMPORTRANGE(""https://docs.google.com/spreadsheets/d/1IYY_tgx_IHuhSq3AJ5eI5OnqOPBNLWSHKh2a30DoXe8/edit?usp=sharing"",""สตูล!M299"")"),45792)</f>
        <v>45792</v>
      </c>
      <c r="G89" s="307">
        <f t="shared" ca="1" si="1"/>
        <v>56.103896103896105</v>
      </c>
      <c r="H89" s="308">
        <f t="shared" ref="H89:I89" ca="1" si="159">+N89+V89+AE89</f>
        <v>75</v>
      </c>
      <c r="I89" s="308">
        <f t="shared" ca="1" si="159"/>
        <v>25</v>
      </c>
      <c r="J89" s="308">
        <f t="shared" ca="1" si="145"/>
        <v>75</v>
      </c>
      <c r="K89" s="309">
        <f t="shared" ca="1" si="3"/>
        <v>100</v>
      </c>
      <c r="L89" s="308">
        <f t="shared" ca="1" si="146"/>
        <v>25</v>
      </c>
      <c r="M89" s="309">
        <f t="shared" ca="1" si="4"/>
        <v>100</v>
      </c>
      <c r="N89" s="392">
        <f ca="1">IFERROR(__xludf.DUMMYFUNCTION("IMPORTRANGE(""https://docs.google.com/spreadsheets/d/1C3CXT74ZlgGe6_JY_1olB1XN4rF0dxEuIIF-xsYjHgg/edit?usp=sharing"",""งบกองทุน!AD93"")"),30)</f>
        <v>30</v>
      </c>
      <c r="O89" s="392">
        <f ca="1">IFERROR(__xludf.DUMMYFUNCTION("IMPORTRANGE(""https://docs.google.com/spreadsheets/d/1C3CXT74ZlgGe6_JY_1olB1XN4rF0dxEuIIF-xsYjHgg/edit?usp=sharing"",""งบกองทุน!AE93"")"),10)</f>
        <v>10</v>
      </c>
      <c r="P89" s="308">
        <f ca="1">IFERROR(__xludf.DUMMYFUNCTION("IMPORTRANGE(""https://docs.google.com/spreadsheets/d/1IYY_tgx_IHuhSq3AJ5eI5OnqOPBNLWSHKh2a30DoXe8/edit?usp=sharing"",""สตูล!J313"")"),30)</f>
        <v>30</v>
      </c>
      <c r="Q89" s="309">
        <f t="shared" ca="1" si="6"/>
        <v>100</v>
      </c>
      <c r="R89" s="308">
        <f ca="1">IFERROR(__xludf.DUMMYFUNCTION("IMPORTRANGE(""https://docs.google.com/spreadsheets/d/1IYY_tgx_IHuhSq3AJ5eI5OnqOPBNLWSHKh2a30DoXe8/edit?usp=sharing"",""สตูล!J312"")"),10)</f>
        <v>10</v>
      </c>
      <c r="S89" s="309">
        <f t="shared" ca="1" si="7"/>
        <v>100</v>
      </c>
      <c r="T89" s="309">
        <f ca="1">IFERROR(__xludf.DUMMYFUNCTION("IMPORTRANGE(""https://docs.google.com/spreadsheets/d/1IYY_tgx_IHuhSq3AJ5eI5OnqOPBNLWSHKh2a30DoXe8/edit?usp=sharing"",""สตูล!J314"")"),10)</f>
        <v>10</v>
      </c>
      <c r="U89" s="309">
        <f ca="1">IFERROR(__xludf.DUMMYFUNCTION("IMPORTRANGE(""https://docs.google.com/spreadsheets/d/1IYY_tgx_IHuhSq3AJ5eI5OnqOPBNLWSHKh2a30DoXe8/edit?usp=sharing"",""สตูล!J315"")"),10)</f>
        <v>10</v>
      </c>
      <c r="V89" s="394">
        <f ca="1">IFERROR(__xludf.DUMMYFUNCTION("IMPORTRANGE(""https://docs.google.com/spreadsheets/d/1C3CXT74ZlgGe6_JY_1olB1XN4rF0dxEuIIF-xsYjHgg/edit?usp=sharing"",""งบกองทุน!AH93"")"),0)</f>
        <v>0</v>
      </c>
      <c r="W89" s="394">
        <f ca="1">IFERROR(__xludf.DUMMYFUNCTION("IMPORTRANGE(""https://docs.google.com/spreadsheets/d/1C3CXT74ZlgGe6_JY_1olB1XN4rF0dxEuIIF-xsYjHgg/edit?usp=sharing"",""งบกองทุน!AI93"")"),0)</f>
        <v>0</v>
      </c>
      <c r="X89" s="308">
        <f ca="1">IFERROR(__xludf.DUMMYFUNCTION("IMPORTRANGE(""https://docs.google.com/spreadsheets/d/1IYY_tgx_IHuhSq3AJ5eI5OnqOPBNLWSHKh2a30DoXe8/edit?usp=sharing"",""สตูล!J317"")"),0)</f>
        <v>0</v>
      </c>
      <c r="Y89" s="309">
        <f t="shared" ca="1" si="9"/>
        <v>0</v>
      </c>
      <c r="Z89" s="308">
        <f ca="1">IFERROR(__xludf.DUMMYFUNCTION("IMPORTRANGE(""https://docs.google.com/spreadsheets/d/1IYY_tgx_IHuhSq3AJ5eI5OnqOPBNLWSHKh2a30DoXe8/edit?usp=sharing"",""สตูล!J316"")"),0)</f>
        <v>0</v>
      </c>
      <c r="AA89" s="309">
        <f t="shared" ca="1" si="10"/>
        <v>0</v>
      </c>
      <c r="AB89" s="308">
        <f ca="1">IFERROR(__xludf.DUMMYFUNCTION("IMPORTRANGE(""https://docs.google.com/spreadsheets/d/1IYY_tgx_IHuhSq3AJ5eI5OnqOPBNLWSHKh2a30DoXe8/edit?usp=sharing"",""สตูล!J318"")"),0)</f>
        <v>0</v>
      </c>
      <c r="AC89" s="308">
        <f ca="1">IFERROR(__xludf.DUMMYFUNCTION("IMPORTRANGE(""https://docs.google.com/spreadsheets/d/1IYY_tgx_IHuhSq3AJ5eI5OnqOPBNLWSHKh2a30DoXe8/edit?usp=sharing"",""สตูล!J319"")"),0)</f>
        <v>0</v>
      </c>
      <c r="AD89" s="308">
        <f ca="1">IFERROR(__xludf.DUMMYFUNCTION("IMPORTRANGE(""https://docs.google.com/spreadsheets/d/1IYY_tgx_IHuhSq3AJ5eI5OnqOPBNLWSHKh2a30DoXe8/edit?usp=sharing"",""สตูล!J320"")"),0)</f>
        <v>0</v>
      </c>
      <c r="AE89" s="392">
        <f ca="1">IFERROR(__xludf.DUMMYFUNCTION("IMPORTRANGE(""https://docs.google.com/spreadsheets/d/1C3CXT74ZlgGe6_JY_1olB1XN4rF0dxEuIIF-xsYjHgg/edit?usp=sharing"",""งบกองทุน!AM93"")"),45)</f>
        <v>45</v>
      </c>
      <c r="AF89" s="392">
        <f ca="1">IFERROR(__xludf.DUMMYFUNCTION("IMPORTRANGE(""https://docs.google.com/spreadsheets/d/1C3CXT74ZlgGe6_JY_1olB1XN4rF0dxEuIIF-xsYjHgg/edit?usp=sharing"",""งบกองทุน!AN93"")"),15)</f>
        <v>15</v>
      </c>
      <c r="AG89" s="308">
        <f ca="1">IFERROR(__xludf.DUMMYFUNCTION("IMPORTRANGE(""https://docs.google.com/spreadsheets/d/1IYY_tgx_IHuhSq3AJ5eI5OnqOPBNLWSHKh2a30DoXe8/edit?usp=sharing"",""สตูล!J322"")"),45)</f>
        <v>45</v>
      </c>
      <c r="AH89" s="309">
        <f t="shared" ca="1" si="12"/>
        <v>100</v>
      </c>
      <c r="AI89" s="308">
        <f ca="1">IFERROR(__xludf.DUMMYFUNCTION("IMPORTRANGE(""https://docs.google.com/spreadsheets/d/1IYY_tgx_IHuhSq3AJ5eI5OnqOPBNLWSHKh2a30DoXe8/edit?usp=sharing"",""สตูล!J321"")"),15)</f>
        <v>15</v>
      </c>
      <c r="AJ89" s="309">
        <f t="shared" ca="1" si="13"/>
        <v>100</v>
      </c>
      <c r="AK89" s="308">
        <f ca="1">IFERROR(__xludf.DUMMYFUNCTION("IMPORTRANGE(""https://docs.google.com/spreadsheets/d/1IYY_tgx_IHuhSq3AJ5eI5OnqOPBNLWSHKh2a30DoXe8/edit?usp=sharing"",""สตูล!J323"")"),15)</f>
        <v>15</v>
      </c>
      <c r="AL89" s="308">
        <f ca="1">IFERROR(__xludf.DUMMYFUNCTION("IMPORTRANGE(""https://docs.google.com/spreadsheets/d/1IYY_tgx_IHuhSq3AJ5eI5OnqOPBNLWSHKh2a30DoXe8/edit?usp=sharing"",""สตูล!J324"")"),15)</f>
        <v>15</v>
      </c>
      <c r="AM89" s="308">
        <f t="shared" ca="1" si="147"/>
        <v>10</v>
      </c>
      <c r="AN89" s="308">
        <f ca="1">IFERROR(__xludf.DUMMYFUNCTION("IMPORTRANGE(""https://docs.google.com/spreadsheets/d/1IYY_tgx_IHuhSq3AJ5eI5OnqOPBNLWSHKh2a30DoXe8/edit?usp=sharing"",""สตูล!J325"")"),10)</f>
        <v>10</v>
      </c>
      <c r="AO89" s="309">
        <f t="shared" ca="1" si="15"/>
        <v>100</v>
      </c>
      <c r="AP89" s="392">
        <f ca="1">IFERROR(__xludf.DUMMYFUNCTION("IMPORTRANGE(""https://docs.google.com/spreadsheets/d/1C3CXT74ZlgGe6_JY_1olB1XN4rF0dxEuIIF-xsYjHgg/edit?usp=sharing"",""งบกองทุน!AR93"")"),10)</f>
        <v>10</v>
      </c>
      <c r="AQ89" s="308">
        <f ca="1">IFERROR(__xludf.DUMMYFUNCTION("IMPORTRANGE(""https://docs.google.com/spreadsheets/d/1IYY_tgx_IHuhSq3AJ5eI5OnqOPBNLWSHKh2a30DoXe8/edit?usp=sharing"",""สตูล!J326"")"),10)</f>
        <v>10</v>
      </c>
      <c r="AR89" s="308">
        <f ca="1">IFERROR(__xludf.DUMMYFUNCTION("IMPORTRANGE(""https://docs.google.com/spreadsheets/d/1C3CXT74ZlgGe6_JY_1olB1XN4rF0dxEuIIF-xsYjHgg/edit?usp=sharing"",""งบกองทุน!AS93"")"),0)</f>
        <v>0</v>
      </c>
      <c r="AS89" s="393">
        <f ca="1">IFERROR(__xludf.DUMMYFUNCTION("IMPORTRANGE(""https://docs.google.com/spreadsheets/d/1IYY_tgx_IHuhSq3AJ5eI5OnqOPBNLWSHKh2a30DoXe8/edit?usp=sharing"",""สตูล!J327"")"),0)</f>
        <v>0</v>
      </c>
    </row>
    <row r="90" spans="1:45" ht="24" customHeight="1">
      <c r="A90" s="310">
        <v>14</v>
      </c>
      <c r="B90" s="311" t="s">
        <v>114</v>
      </c>
      <c r="C90" s="395">
        <f t="shared" ca="1" si="143"/>
        <v>81620</v>
      </c>
      <c r="D90" s="313">
        <f ca="1">IFERROR(__xludf.DUMMYFUNCTION("IMPORTRANGE(""https://docs.google.com/spreadsheets/d/1C3CXT74ZlgGe6_JY_1olB1XN4rF0dxEuIIF-xsYjHgg/edit?usp=sharing"",""งบกองทุน!Z94"")"),0)</f>
        <v>0</v>
      </c>
      <c r="E90" s="313">
        <f ca="1">IFERROR(__xludf.DUMMYFUNCTION("IMPORTRANGE(""https://docs.google.com/spreadsheets/d/1C3CXT74ZlgGe6_JY_1olB1XN4rF0dxEuIIF-xsYjHgg/edit?usp=sharing"",""งบกองทุน!AA94"")"),81620)</f>
        <v>81620</v>
      </c>
      <c r="F90" s="314">
        <f ca="1">IFERROR(__xludf.DUMMYFUNCTION("IMPORTRANGE(""https://docs.google.com/spreadsheets/d/1IYY_tgx_IHuhSq3AJ5eI5OnqOPBNLWSHKh2a30DoXe8/edit?usp=sharing"",""สุราษฎร์ธานี!M299"")"),48960)</f>
        <v>48960</v>
      </c>
      <c r="G90" s="314">
        <f t="shared" ca="1" si="1"/>
        <v>59.985297721146779</v>
      </c>
      <c r="H90" s="315">
        <f t="shared" ref="H90:I90" ca="1" si="160">+N90+V90+AE90</f>
        <v>75</v>
      </c>
      <c r="I90" s="315">
        <f t="shared" ca="1" si="160"/>
        <v>25</v>
      </c>
      <c r="J90" s="315">
        <f t="shared" ca="1" si="145"/>
        <v>75</v>
      </c>
      <c r="K90" s="316">
        <f t="shared" ca="1" si="3"/>
        <v>100</v>
      </c>
      <c r="L90" s="315">
        <f t="shared" ca="1" si="146"/>
        <v>25</v>
      </c>
      <c r="M90" s="316">
        <f t="shared" ca="1" si="4"/>
        <v>100</v>
      </c>
      <c r="N90" s="396">
        <f ca="1">IFERROR(__xludf.DUMMYFUNCTION("IMPORTRANGE(""https://docs.google.com/spreadsheets/d/1C3CXT74ZlgGe6_JY_1olB1XN4rF0dxEuIIF-xsYjHgg/edit?usp=sharing"",""งบกองทุน!AD94"")"),30)</f>
        <v>30</v>
      </c>
      <c r="O90" s="396">
        <f ca="1">IFERROR(__xludf.DUMMYFUNCTION("IMPORTRANGE(""https://docs.google.com/spreadsheets/d/1C3CXT74ZlgGe6_JY_1olB1XN4rF0dxEuIIF-xsYjHgg/edit?usp=sharing"",""งบกองทุน!AE94"")"),10)</f>
        <v>10</v>
      </c>
      <c r="P90" s="315">
        <f ca="1">IFERROR(__xludf.DUMMYFUNCTION("IMPORTRANGE(""https://docs.google.com/spreadsheets/d/1IYY_tgx_IHuhSq3AJ5eI5OnqOPBNLWSHKh2a30DoXe8/edit?usp=sharing"",""สุราษฎร์ธานี!J313"")"),30)</f>
        <v>30</v>
      </c>
      <c r="Q90" s="316">
        <f t="shared" ca="1" si="6"/>
        <v>100</v>
      </c>
      <c r="R90" s="315">
        <f ca="1">IFERROR(__xludf.DUMMYFUNCTION("IMPORTRANGE(""https://docs.google.com/spreadsheets/d/1IYY_tgx_IHuhSq3AJ5eI5OnqOPBNLWSHKh2a30DoXe8/edit?usp=sharing"",""สุราษฎร์ธานี!J312"")"),10)</f>
        <v>10</v>
      </c>
      <c r="S90" s="316">
        <f t="shared" ca="1" si="7"/>
        <v>100</v>
      </c>
      <c r="T90" s="316">
        <f ca="1">IFERROR(__xludf.DUMMYFUNCTION("IMPORTRANGE(""https://docs.google.com/spreadsheets/d/1IYY_tgx_IHuhSq3AJ5eI5OnqOPBNLWSHKh2a30DoXe8/edit?usp=sharing"",""สุราษฎร์ธานี!J314"")"),10)</f>
        <v>10</v>
      </c>
      <c r="U90" s="316">
        <f ca="1">IFERROR(__xludf.DUMMYFUNCTION("IMPORTRANGE(""https://docs.google.com/spreadsheets/d/1IYY_tgx_IHuhSq3AJ5eI5OnqOPBNLWSHKh2a30DoXe8/edit?usp=sharing"",""สุราษฎร์ธานี!J315"")"),10)</f>
        <v>10</v>
      </c>
      <c r="V90" s="401">
        <f ca="1">IFERROR(__xludf.DUMMYFUNCTION("IMPORTRANGE(""https://docs.google.com/spreadsheets/d/1C3CXT74ZlgGe6_JY_1olB1XN4rF0dxEuIIF-xsYjHgg/edit?usp=sharing"",""งบกองทุน!AH94"")"),0)</f>
        <v>0</v>
      </c>
      <c r="W90" s="401">
        <f ca="1">IFERROR(__xludf.DUMMYFUNCTION("IMPORTRANGE(""https://docs.google.com/spreadsheets/d/1C3CXT74ZlgGe6_JY_1olB1XN4rF0dxEuIIF-xsYjHgg/edit?usp=sharing"",""งบกองทุน!AI94"")"),0)</f>
        <v>0</v>
      </c>
      <c r="X90" s="315">
        <f ca="1">IFERROR(__xludf.DUMMYFUNCTION("IMPORTRANGE(""https://docs.google.com/spreadsheets/d/1IYY_tgx_IHuhSq3AJ5eI5OnqOPBNLWSHKh2a30DoXe8/edit?usp=sharing"",""สุราษฎร์ธานี!J317"")"),0)</f>
        <v>0</v>
      </c>
      <c r="Y90" s="316">
        <f t="shared" ca="1" si="9"/>
        <v>0</v>
      </c>
      <c r="Z90" s="315">
        <f ca="1">IFERROR(__xludf.DUMMYFUNCTION("IMPORTRANGE(""https://docs.google.com/spreadsheets/d/1IYY_tgx_IHuhSq3AJ5eI5OnqOPBNLWSHKh2a30DoXe8/edit?usp=sharing"",""สุราษฎร์ธานี!J316"")"),0)</f>
        <v>0</v>
      </c>
      <c r="AA90" s="316">
        <f t="shared" ca="1" si="10"/>
        <v>0</v>
      </c>
      <c r="AB90" s="315">
        <f ca="1">IFERROR(__xludf.DUMMYFUNCTION("IMPORTRANGE(""https://docs.google.com/spreadsheets/d/1IYY_tgx_IHuhSq3AJ5eI5OnqOPBNLWSHKh2a30DoXe8/edit?usp=sharing"",""สุราษฎร์ธานี!J318"")"),0)</f>
        <v>0</v>
      </c>
      <c r="AC90" s="315">
        <f ca="1">IFERROR(__xludf.DUMMYFUNCTION("IMPORTRANGE(""https://docs.google.com/spreadsheets/d/1IYY_tgx_IHuhSq3AJ5eI5OnqOPBNLWSHKh2a30DoXe8/edit?usp=sharing"",""สุราษฎร์ธานี!J319"")"),0)</f>
        <v>0</v>
      </c>
      <c r="AD90" s="315">
        <f ca="1">IFERROR(__xludf.DUMMYFUNCTION("IMPORTRANGE(""https://docs.google.com/spreadsheets/d/1IYY_tgx_IHuhSq3AJ5eI5OnqOPBNLWSHKh2a30DoXe8/edit?usp=sharing"",""สุราษฎร์ธานี!J320"")"),0)</f>
        <v>0</v>
      </c>
      <c r="AE90" s="396">
        <f ca="1">IFERROR(__xludf.DUMMYFUNCTION("IMPORTRANGE(""https://docs.google.com/spreadsheets/d/1C3CXT74ZlgGe6_JY_1olB1XN4rF0dxEuIIF-xsYjHgg/edit?usp=sharing"",""งบกองทุน!AM94"")"),45)</f>
        <v>45</v>
      </c>
      <c r="AF90" s="396">
        <f ca="1">IFERROR(__xludf.DUMMYFUNCTION("IMPORTRANGE(""https://docs.google.com/spreadsheets/d/1C3CXT74ZlgGe6_JY_1olB1XN4rF0dxEuIIF-xsYjHgg/edit?usp=sharing"",""งบกองทุน!AN94"")"),15)</f>
        <v>15</v>
      </c>
      <c r="AG90" s="315">
        <f ca="1">IFERROR(__xludf.DUMMYFUNCTION("IMPORTRANGE(""https://docs.google.com/spreadsheets/d/1IYY_tgx_IHuhSq3AJ5eI5OnqOPBNLWSHKh2a30DoXe8/edit?usp=sharing"",""สุราษฎร์ธานี!J322"")"),45)</f>
        <v>45</v>
      </c>
      <c r="AH90" s="316">
        <f t="shared" ca="1" si="12"/>
        <v>100</v>
      </c>
      <c r="AI90" s="315">
        <f ca="1">IFERROR(__xludf.DUMMYFUNCTION("IMPORTRANGE(""https://docs.google.com/spreadsheets/d/1IYY_tgx_IHuhSq3AJ5eI5OnqOPBNLWSHKh2a30DoXe8/edit?usp=sharing"",""สุราษฎร์ธานี!J321"")"),15)</f>
        <v>15</v>
      </c>
      <c r="AJ90" s="316">
        <f t="shared" ca="1" si="13"/>
        <v>100</v>
      </c>
      <c r="AK90" s="315">
        <f ca="1">IFERROR(__xludf.DUMMYFUNCTION("IMPORTRANGE(""https://docs.google.com/spreadsheets/d/1IYY_tgx_IHuhSq3AJ5eI5OnqOPBNLWSHKh2a30DoXe8/edit?usp=sharing"",""สุราษฎร์ธานี!J323"")"),15)</f>
        <v>15</v>
      </c>
      <c r="AL90" s="315">
        <f ca="1">IFERROR(__xludf.DUMMYFUNCTION("IMPORTRANGE(""https://docs.google.com/spreadsheets/d/1IYY_tgx_IHuhSq3AJ5eI5OnqOPBNLWSHKh2a30DoXe8/edit?usp=sharing"",""สุราษฎร์ธานี!J324"")"),15)</f>
        <v>15</v>
      </c>
      <c r="AM90" s="315">
        <f t="shared" ca="1" si="147"/>
        <v>10</v>
      </c>
      <c r="AN90" s="315">
        <f ca="1">IFERROR(__xludf.DUMMYFUNCTION("IMPORTRANGE(""https://docs.google.com/spreadsheets/d/1IYY_tgx_IHuhSq3AJ5eI5OnqOPBNLWSHKh2a30DoXe8/edit?usp=sharing"",""สุราษฎร์ธานี!J325"")"),0)</f>
        <v>0</v>
      </c>
      <c r="AO90" s="316">
        <f t="shared" ca="1" si="15"/>
        <v>0</v>
      </c>
      <c r="AP90" s="396">
        <f ca="1">IFERROR(__xludf.DUMMYFUNCTION("IMPORTRANGE(""https://docs.google.com/spreadsheets/d/1C3CXT74ZlgGe6_JY_1olB1XN4rF0dxEuIIF-xsYjHgg/edit?usp=sharing"",""งบกองทุน!AR94"")"),10)</f>
        <v>10</v>
      </c>
      <c r="AQ90" s="315">
        <f ca="1">IFERROR(__xludf.DUMMYFUNCTION("IMPORTRANGE(""https://docs.google.com/spreadsheets/d/1IYY_tgx_IHuhSq3AJ5eI5OnqOPBNLWSHKh2a30DoXe8/edit?usp=sharing"",""สุราษฎร์ธานี!J326"")"),0)</f>
        <v>0</v>
      </c>
      <c r="AR90" s="315">
        <f ca="1">IFERROR(__xludf.DUMMYFUNCTION("IMPORTRANGE(""https://docs.google.com/spreadsheets/d/1C3CXT74ZlgGe6_JY_1olB1XN4rF0dxEuIIF-xsYjHgg/edit?usp=sharing"",""งบกองทุน!AS94"")"),0)</f>
        <v>0</v>
      </c>
      <c r="AS90" s="397">
        <f ca="1">IFERROR(__xludf.DUMMYFUNCTION("IMPORTRANGE(""https://docs.google.com/spreadsheets/d/1IYY_tgx_IHuhSq3AJ5eI5OnqOPBNLWSHKh2a30DoXe8/edit?usp=sharing"",""สุราษฎร์ธานี!J327"")"),0)</f>
        <v>0</v>
      </c>
    </row>
    <row r="91" spans="1:45" ht="21" hidden="1" customHeight="1">
      <c r="A91" s="791" t="s">
        <v>115</v>
      </c>
      <c r="B91" s="652"/>
      <c r="C91" s="402">
        <f t="shared" ref="C91:F91" ca="1" si="161">+C92+C93+C94+C95+C96+C97+C98+C99+C100+C101+C102+C103+C104+C105</f>
        <v>526170</v>
      </c>
      <c r="D91" s="323">
        <f t="shared" ca="1" si="161"/>
        <v>0</v>
      </c>
      <c r="E91" s="323">
        <f t="shared" ca="1" si="161"/>
        <v>526170</v>
      </c>
      <c r="F91" s="324">
        <f t="shared" ca="1" si="161"/>
        <v>120902.08</v>
      </c>
      <c r="G91" s="324">
        <f t="shared" ca="1" si="1"/>
        <v>22.977760039530949</v>
      </c>
      <c r="H91" s="323">
        <f t="shared" ref="H91:J91" ca="1" si="162">+H92+H93+H94+H95+H96+H97+H98+H99+H100+H101+H102+H103+H104+H105</f>
        <v>0</v>
      </c>
      <c r="I91" s="323">
        <f t="shared" ca="1" si="162"/>
        <v>0</v>
      </c>
      <c r="J91" s="323">
        <f t="shared" si="162"/>
        <v>0</v>
      </c>
      <c r="K91" s="324">
        <f t="shared" ca="1" si="3"/>
        <v>0</v>
      </c>
      <c r="L91" s="323">
        <f>+L92+L93+L94+L95+L96+L97+L98+L99+L100+L101+L102+L103+L104+L105</f>
        <v>0</v>
      </c>
      <c r="M91" s="324">
        <f t="shared" ca="1" si="4"/>
        <v>0</v>
      </c>
      <c r="N91" s="323">
        <f t="shared" ref="N91:P91" ca="1" si="163">+N92+N93+N94+N95+N96+N97+N98+N99+N100+N101+N102+N103+N104+N105</f>
        <v>0</v>
      </c>
      <c r="O91" s="323">
        <f t="shared" ca="1" si="163"/>
        <v>0</v>
      </c>
      <c r="P91" s="323">
        <f t="shared" si="163"/>
        <v>0</v>
      </c>
      <c r="Q91" s="324">
        <f t="shared" ca="1" si="6"/>
        <v>0</v>
      </c>
      <c r="R91" s="323">
        <f>+R92+R93+R94+R95+R96+R97+R98+R99+R100+R101+R102+R103+R104+R105</f>
        <v>0</v>
      </c>
      <c r="S91" s="324">
        <f t="shared" ca="1" si="7"/>
        <v>0</v>
      </c>
      <c r="T91" s="323">
        <f t="shared" ref="T91:X91" si="164">+T92+T93+T94+T95+T96+T97+T98+T99+T100+T101+T102+T103+T104+T105</f>
        <v>0</v>
      </c>
      <c r="U91" s="323">
        <f t="shared" si="164"/>
        <v>0</v>
      </c>
      <c r="V91" s="323">
        <f t="shared" ca="1" si="164"/>
        <v>0</v>
      </c>
      <c r="W91" s="323">
        <f t="shared" ca="1" si="164"/>
        <v>0</v>
      </c>
      <c r="X91" s="323">
        <f t="shared" si="164"/>
        <v>0</v>
      </c>
      <c r="Y91" s="324">
        <f t="shared" ca="1" si="9"/>
        <v>0</v>
      </c>
      <c r="Z91" s="323">
        <f>+Z92+Z93+Z94+Z95+Z96+Z97+Z98+Z99+Z100+Z101+Z102+Z103+Z104+Z105</f>
        <v>0</v>
      </c>
      <c r="AA91" s="324">
        <f t="shared" ca="1" si="10"/>
        <v>0</v>
      </c>
      <c r="AB91" s="323">
        <f t="shared" ref="AB91:AG91" si="165">+AB92+AB93+AB94+AB95+AB96+AB97+AB98+AB99+AB100+AB101+AB102+AB103+AB104+AB105</f>
        <v>0</v>
      </c>
      <c r="AC91" s="323">
        <f t="shared" si="165"/>
        <v>0</v>
      </c>
      <c r="AD91" s="323">
        <f t="shared" si="165"/>
        <v>0</v>
      </c>
      <c r="AE91" s="323">
        <f t="shared" ca="1" si="165"/>
        <v>0</v>
      </c>
      <c r="AF91" s="323">
        <f t="shared" ca="1" si="165"/>
        <v>0</v>
      </c>
      <c r="AG91" s="323">
        <f t="shared" si="165"/>
        <v>0</v>
      </c>
      <c r="AH91" s="323">
        <f t="shared" ca="1" si="12"/>
        <v>0</v>
      </c>
      <c r="AI91" s="323">
        <f>+AI92+AI93+AI94+AI95+AI96+AI97+AI98+AI99+AI100+AI101+AI102+AI103+AI104+AI105</f>
        <v>0</v>
      </c>
      <c r="AJ91" s="323">
        <f t="shared" ca="1" si="13"/>
        <v>0</v>
      </c>
      <c r="AK91" s="323">
        <f t="shared" ref="AK91:AN91" si="166">+AK92+AK93+AK94+AK95+AK96+AK97+AK98+AK99+AK100+AK101+AK102+AK103+AK104+AK105</f>
        <v>0</v>
      </c>
      <c r="AL91" s="323">
        <f t="shared" si="166"/>
        <v>0</v>
      </c>
      <c r="AM91" s="323">
        <f t="shared" ca="1" si="166"/>
        <v>0</v>
      </c>
      <c r="AN91" s="323">
        <f t="shared" si="166"/>
        <v>0</v>
      </c>
      <c r="AO91" s="323">
        <f t="shared" ca="1" si="15"/>
        <v>0</v>
      </c>
      <c r="AP91" s="323">
        <f t="shared" ref="AP91:AS91" ca="1" si="167">+AP92+AP93+AP94+AP95+AP96+AP97+AP98+AP99+AP100+AP101+AP102+AP103+AP104+AP105</f>
        <v>0</v>
      </c>
      <c r="AQ91" s="323">
        <f t="shared" si="167"/>
        <v>0</v>
      </c>
      <c r="AR91" s="323">
        <f t="shared" ca="1" si="167"/>
        <v>0</v>
      </c>
      <c r="AS91" s="323">
        <f t="shared" si="167"/>
        <v>0</v>
      </c>
    </row>
    <row r="92" spans="1:45" ht="24" hidden="1" customHeight="1">
      <c r="A92" s="325">
        <v>1</v>
      </c>
      <c r="B92" s="326" t="s">
        <v>116</v>
      </c>
      <c r="C92" s="388">
        <f t="shared" ref="C92:C105" ca="1" si="168">+D92+E92</f>
        <v>0</v>
      </c>
      <c r="D92" s="296">
        <f ca="1">IFERROR(__xludf.DUMMYFUNCTION("IMPORTRANGE(""https://docs.google.com/spreadsheets/d/1C3CXT74ZlgGe6_JY_1olB1XN4rF0dxEuIIF-xsYjHgg/edit?usp=sharing"",""งบกองทุน!Z96"")"),0)</f>
        <v>0</v>
      </c>
      <c r="E92" s="296">
        <f ca="1">IFERROR(__xludf.DUMMYFUNCTION("IMPORTRANGE(""https://docs.google.com/spreadsheets/d/1C3CXT74ZlgGe6_JY_1olB1XN4rF0dxEuIIF-xsYjHgg/edit?usp=sharing"",""งบกองทุน!AA96"")"),0)</f>
        <v>0</v>
      </c>
      <c r="F92" s="297">
        <v>0</v>
      </c>
      <c r="G92" s="297">
        <f t="shared" ca="1" si="1"/>
        <v>0</v>
      </c>
      <c r="H92" s="299">
        <f t="shared" ref="H92:I92" ca="1" si="169">+N92+V92+AE92</f>
        <v>0</v>
      </c>
      <c r="I92" s="299">
        <f t="shared" ca="1" si="169"/>
        <v>0</v>
      </c>
      <c r="J92" s="299">
        <v>0</v>
      </c>
      <c r="K92" s="301">
        <f t="shared" ca="1" si="3"/>
        <v>0</v>
      </c>
      <c r="L92" s="299">
        <v>0</v>
      </c>
      <c r="M92" s="301">
        <f t="shared" ca="1" si="4"/>
        <v>0</v>
      </c>
      <c r="N92" s="299">
        <f ca="1">IFERROR(__xludf.DUMMYFUNCTION("IMPORTRANGE(""https://docs.google.com/spreadsheets/d/1C3CXT74ZlgGe6_JY_1olB1XN4rF0dxEuIIF-xsYjHgg/edit?usp=sharing"",""งบกองทุน!AD96"")"),0)</f>
        <v>0</v>
      </c>
      <c r="O92" s="299">
        <f ca="1">IFERROR(__xludf.DUMMYFUNCTION("IMPORTRANGE(""https://docs.google.com/spreadsheets/d/1C3CXT74ZlgGe6_JY_1olB1XN4rF0dxEuIIF-xsYjHgg/edit?usp=sharing"",""งบกองทุน!AE96"")"),0)</f>
        <v>0</v>
      </c>
      <c r="P92" s="299">
        <v>0</v>
      </c>
      <c r="Q92" s="301">
        <f t="shared" ca="1" si="6"/>
        <v>0</v>
      </c>
      <c r="R92" s="299">
        <v>0</v>
      </c>
      <c r="S92" s="301">
        <f t="shared" ca="1" si="7"/>
        <v>0</v>
      </c>
      <c r="T92" s="301">
        <v>0</v>
      </c>
      <c r="U92" s="301">
        <v>0</v>
      </c>
      <c r="V92" s="299">
        <f ca="1">IFERROR(__xludf.DUMMYFUNCTION("IMPORTRANGE(""https://docs.google.com/spreadsheets/d/1C3CXT74ZlgGe6_JY_1olB1XN4rF0dxEuIIF-xsYjHgg/edit?usp=sharing"",""งบกองทุน!AH96"")"),0)</f>
        <v>0</v>
      </c>
      <c r="W92" s="299">
        <f ca="1">IFERROR(__xludf.DUMMYFUNCTION("IMPORTRANGE(""https://docs.google.com/spreadsheets/d/1C3CXT74ZlgGe6_JY_1olB1XN4rF0dxEuIIF-xsYjHgg/edit?usp=sharing"",""งบกองทุน!AI96"")"),0)</f>
        <v>0</v>
      </c>
      <c r="X92" s="299">
        <v>0</v>
      </c>
      <c r="Y92" s="301">
        <f t="shared" ca="1" si="9"/>
        <v>0</v>
      </c>
      <c r="Z92" s="299">
        <f t="shared" ref="Z92:Z105" si="170">SUM(AB92:AD92)</f>
        <v>0</v>
      </c>
      <c r="AA92" s="301">
        <f t="shared" ca="1" si="10"/>
        <v>0</v>
      </c>
      <c r="AB92" s="299">
        <v>0</v>
      </c>
      <c r="AC92" s="299">
        <v>0</v>
      </c>
      <c r="AD92" s="299">
        <v>0</v>
      </c>
      <c r="AE92" s="299">
        <f ca="1">IFERROR(__xludf.DUMMYFUNCTION("IMPORTRANGE(""https://docs.google.com/spreadsheets/d/1C3CXT74ZlgGe6_JY_1olB1XN4rF0dxEuIIF-xsYjHgg/edit?usp=sharing"",""งบกองทุน!AM96"")"),0)</f>
        <v>0</v>
      </c>
      <c r="AF92" s="299">
        <f ca="1">IFERROR(__xludf.DUMMYFUNCTION("IMPORTRANGE(""https://docs.google.com/spreadsheets/d/1C3CXT74ZlgGe6_JY_1olB1XN4rF0dxEuIIF-xsYjHgg/edit?usp=sharing"",""งบกองทุน!AN96"")"),0)</f>
        <v>0</v>
      </c>
      <c r="AG92" s="299">
        <v>0</v>
      </c>
      <c r="AH92" s="301">
        <f t="shared" ca="1" si="12"/>
        <v>0</v>
      </c>
      <c r="AI92" s="299">
        <f t="shared" ref="AI92:AI105" si="171">SUM(AK92:AL92)</f>
        <v>0</v>
      </c>
      <c r="AJ92" s="301">
        <f t="shared" ca="1" si="13"/>
        <v>0</v>
      </c>
      <c r="AK92" s="299">
        <v>0</v>
      </c>
      <c r="AL92" s="299">
        <v>0</v>
      </c>
      <c r="AM92" s="299">
        <f t="shared" ref="AM92:AM105" ca="1" si="172">+AP92+AR92</f>
        <v>0</v>
      </c>
      <c r="AN92" s="299">
        <f t="shared" ref="AN92:AN105" si="173">SUM(AQ92,AS92)</f>
        <v>0</v>
      </c>
      <c r="AO92" s="301">
        <f t="shared" ca="1" si="15"/>
        <v>0</v>
      </c>
      <c r="AP92" s="299">
        <f ca="1">IFERROR(__xludf.DUMMYFUNCTION("IMPORTRANGE(""https://docs.google.com/spreadsheets/d/1C3CXT74ZlgGe6_JY_1olB1XN4rF0dxEuIIF-xsYjHgg/edit?usp=sharing"",""งบกองทุน!AR96"")"),0)</f>
        <v>0</v>
      </c>
      <c r="AQ92" s="299">
        <v>0</v>
      </c>
      <c r="AR92" s="299">
        <f ca="1">IFERROR(__xludf.DUMMYFUNCTION("IMPORTRANGE(""https://docs.google.com/spreadsheets/d/1C3CXT74ZlgGe6_JY_1olB1XN4rF0dxEuIIF-xsYjHgg/edit?usp=sharing"",""งบกองทุน!AS96"")"),0)</f>
        <v>0</v>
      </c>
      <c r="AS92" s="390">
        <v>0</v>
      </c>
    </row>
    <row r="93" spans="1:45" ht="24" hidden="1" customHeight="1">
      <c r="A93" s="327">
        <v>2</v>
      </c>
      <c r="B93" s="328" t="s">
        <v>117</v>
      </c>
      <c r="C93" s="391">
        <f t="shared" ca="1" si="168"/>
        <v>0</v>
      </c>
      <c r="D93" s="306">
        <f ca="1">IFERROR(__xludf.DUMMYFUNCTION("IMPORTRANGE(""https://docs.google.com/spreadsheets/d/1C3CXT74ZlgGe6_JY_1olB1XN4rF0dxEuIIF-xsYjHgg/edit?usp=sharing"",""งบกองทุน!Z97"")"),0)</f>
        <v>0</v>
      </c>
      <c r="E93" s="306">
        <f ca="1">IFERROR(__xludf.DUMMYFUNCTION("IMPORTRANGE(""https://docs.google.com/spreadsheets/d/1C3CXT74ZlgGe6_JY_1olB1XN4rF0dxEuIIF-xsYjHgg/edit?usp=sharing"",""งบกองทุน!AA97"")"),0)</f>
        <v>0</v>
      </c>
      <c r="F93" s="307">
        <v>0</v>
      </c>
      <c r="G93" s="307">
        <f t="shared" ca="1" si="1"/>
        <v>0</v>
      </c>
      <c r="H93" s="308">
        <f t="shared" ref="H93:I93" ca="1" si="174">+N93+V93+AE93</f>
        <v>0</v>
      </c>
      <c r="I93" s="308">
        <f t="shared" ca="1" si="174"/>
        <v>0</v>
      </c>
      <c r="J93" s="308">
        <v>0</v>
      </c>
      <c r="K93" s="309">
        <f t="shared" ca="1" si="3"/>
        <v>0</v>
      </c>
      <c r="L93" s="308">
        <v>0</v>
      </c>
      <c r="M93" s="309">
        <f t="shared" ca="1" si="4"/>
        <v>0</v>
      </c>
      <c r="N93" s="308">
        <f ca="1">IFERROR(__xludf.DUMMYFUNCTION("IMPORTRANGE(""https://docs.google.com/spreadsheets/d/1C3CXT74ZlgGe6_JY_1olB1XN4rF0dxEuIIF-xsYjHgg/edit?usp=sharing"",""งบกองทุน!AD97"")"),0)</f>
        <v>0</v>
      </c>
      <c r="O93" s="308">
        <f ca="1">IFERROR(__xludf.DUMMYFUNCTION("IMPORTRANGE(""https://docs.google.com/spreadsheets/d/1C3CXT74ZlgGe6_JY_1olB1XN4rF0dxEuIIF-xsYjHgg/edit?usp=sharing"",""งบกองทุน!AE97"")"),0)</f>
        <v>0</v>
      </c>
      <c r="P93" s="308">
        <v>0</v>
      </c>
      <c r="Q93" s="309">
        <f t="shared" ca="1" si="6"/>
        <v>0</v>
      </c>
      <c r="R93" s="308">
        <v>0</v>
      </c>
      <c r="S93" s="309">
        <f t="shared" ca="1" si="7"/>
        <v>0</v>
      </c>
      <c r="T93" s="309">
        <v>0</v>
      </c>
      <c r="U93" s="309">
        <v>0</v>
      </c>
      <c r="V93" s="308">
        <f ca="1">IFERROR(__xludf.DUMMYFUNCTION("IMPORTRANGE(""https://docs.google.com/spreadsheets/d/1C3CXT74ZlgGe6_JY_1olB1XN4rF0dxEuIIF-xsYjHgg/edit?usp=sharing"",""งบกองทุน!AH97"")"),0)</f>
        <v>0</v>
      </c>
      <c r="W93" s="308">
        <f ca="1">IFERROR(__xludf.DUMMYFUNCTION("IMPORTRANGE(""https://docs.google.com/spreadsheets/d/1C3CXT74ZlgGe6_JY_1olB1XN4rF0dxEuIIF-xsYjHgg/edit?usp=sharing"",""งบกองทุน!AI97"")"),0)</f>
        <v>0</v>
      </c>
      <c r="X93" s="308">
        <v>0</v>
      </c>
      <c r="Y93" s="309">
        <f t="shared" ca="1" si="9"/>
        <v>0</v>
      </c>
      <c r="Z93" s="308">
        <f t="shared" si="170"/>
        <v>0</v>
      </c>
      <c r="AA93" s="309">
        <f t="shared" ca="1" si="10"/>
        <v>0</v>
      </c>
      <c r="AB93" s="308">
        <v>0</v>
      </c>
      <c r="AC93" s="308">
        <v>0</v>
      </c>
      <c r="AD93" s="308">
        <v>0</v>
      </c>
      <c r="AE93" s="308">
        <f ca="1">IFERROR(__xludf.DUMMYFUNCTION("IMPORTRANGE(""https://docs.google.com/spreadsheets/d/1C3CXT74ZlgGe6_JY_1olB1XN4rF0dxEuIIF-xsYjHgg/edit?usp=sharing"",""งบกองทุน!AM97"")"),0)</f>
        <v>0</v>
      </c>
      <c r="AF93" s="308">
        <f ca="1">IFERROR(__xludf.DUMMYFUNCTION("IMPORTRANGE(""https://docs.google.com/spreadsheets/d/1C3CXT74ZlgGe6_JY_1olB1XN4rF0dxEuIIF-xsYjHgg/edit?usp=sharing"",""งบกองทุน!AN97"")"),0)</f>
        <v>0</v>
      </c>
      <c r="AG93" s="308">
        <v>0</v>
      </c>
      <c r="AH93" s="309">
        <f t="shared" ca="1" si="12"/>
        <v>0</v>
      </c>
      <c r="AI93" s="308">
        <f t="shared" si="171"/>
        <v>0</v>
      </c>
      <c r="AJ93" s="309">
        <f t="shared" ca="1" si="13"/>
        <v>0</v>
      </c>
      <c r="AK93" s="308">
        <v>0</v>
      </c>
      <c r="AL93" s="308">
        <v>0</v>
      </c>
      <c r="AM93" s="308">
        <f t="shared" ca="1" si="172"/>
        <v>0</v>
      </c>
      <c r="AN93" s="308">
        <f t="shared" si="173"/>
        <v>0</v>
      </c>
      <c r="AO93" s="309">
        <f t="shared" ca="1" si="15"/>
        <v>0</v>
      </c>
      <c r="AP93" s="308">
        <f ca="1">IFERROR(__xludf.DUMMYFUNCTION("IMPORTRANGE(""https://docs.google.com/spreadsheets/d/1C3CXT74ZlgGe6_JY_1olB1XN4rF0dxEuIIF-xsYjHgg/edit?usp=sharing"",""งบกองทุน!AR97"")"),0)</f>
        <v>0</v>
      </c>
      <c r="AQ93" s="308">
        <v>0</v>
      </c>
      <c r="AR93" s="308">
        <f ca="1">IFERROR(__xludf.DUMMYFUNCTION("IMPORTRANGE(""https://docs.google.com/spreadsheets/d/1C3CXT74ZlgGe6_JY_1olB1XN4rF0dxEuIIF-xsYjHgg/edit?usp=sharing"",""งบกองทุน!AS97"")"),0)</f>
        <v>0</v>
      </c>
      <c r="AS93" s="393">
        <v>0</v>
      </c>
    </row>
    <row r="94" spans="1:45" ht="24" hidden="1" customHeight="1">
      <c r="A94" s="327">
        <v>3</v>
      </c>
      <c r="B94" s="328" t="s">
        <v>118</v>
      </c>
      <c r="C94" s="391">
        <f t="shared" ca="1" si="168"/>
        <v>0</v>
      </c>
      <c r="D94" s="306">
        <f ca="1">IFERROR(__xludf.DUMMYFUNCTION("IMPORTRANGE(""https://docs.google.com/spreadsheets/d/1C3CXT74ZlgGe6_JY_1olB1XN4rF0dxEuIIF-xsYjHgg/edit?usp=sharing"",""งบกองทุน!Z98"")"),0)</f>
        <v>0</v>
      </c>
      <c r="E94" s="306">
        <f ca="1">IFERROR(__xludf.DUMMYFUNCTION("IMPORTRANGE(""https://docs.google.com/spreadsheets/d/1C3CXT74ZlgGe6_JY_1olB1XN4rF0dxEuIIF-xsYjHgg/edit?usp=sharing"",""งบกองทุน!AA98"")"),0)</f>
        <v>0</v>
      </c>
      <c r="F94" s="307">
        <v>0</v>
      </c>
      <c r="G94" s="307">
        <f t="shared" ca="1" si="1"/>
        <v>0</v>
      </c>
      <c r="H94" s="308">
        <f t="shared" ref="H94:I94" ca="1" si="175">+N94+V94+AE94</f>
        <v>0</v>
      </c>
      <c r="I94" s="308">
        <f t="shared" ca="1" si="175"/>
        <v>0</v>
      </c>
      <c r="J94" s="308">
        <v>0</v>
      </c>
      <c r="K94" s="309">
        <f t="shared" ca="1" si="3"/>
        <v>0</v>
      </c>
      <c r="L94" s="308">
        <v>0</v>
      </c>
      <c r="M94" s="309">
        <f t="shared" ca="1" si="4"/>
        <v>0</v>
      </c>
      <c r="N94" s="308">
        <f ca="1">IFERROR(__xludf.DUMMYFUNCTION("IMPORTRANGE(""https://docs.google.com/spreadsheets/d/1C3CXT74ZlgGe6_JY_1olB1XN4rF0dxEuIIF-xsYjHgg/edit?usp=sharing"",""งบกองทุน!AD98"")"),0)</f>
        <v>0</v>
      </c>
      <c r="O94" s="308">
        <f ca="1">IFERROR(__xludf.DUMMYFUNCTION("IMPORTRANGE(""https://docs.google.com/spreadsheets/d/1C3CXT74ZlgGe6_JY_1olB1XN4rF0dxEuIIF-xsYjHgg/edit?usp=sharing"",""งบกองทุน!AE98"")"),0)</f>
        <v>0</v>
      </c>
      <c r="P94" s="308">
        <v>0</v>
      </c>
      <c r="Q94" s="309">
        <f t="shared" ca="1" si="6"/>
        <v>0</v>
      </c>
      <c r="R94" s="308">
        <v>0</v>
      </c>
      <c r="S94" s="309">
        <f t="shared" ca="1" si="7"/>
        <v>0</v>
      </c>
      <c r="T94" s="309">
        <v>0</v>
      </c>
      <c r="U94" s="309">
        <v>0</v>
      </c>
      <c r="V94" s="308">
        <f ca="1">IFERROR(__xludf.DUMMYFUNCTION("IMPORTRANGE(""https://docs.google.com/spreadsheets/d/1C3CXT74ZlgGe6_JY_1olB1XN4rF0dxEuIIF-xsYjHgg/edit?usp=sharing"",""งบกองทุน!AH98"")"),0)</f>
        <v>0</v>
      </c>
      <c r="W94" s="308">
        <f ca="1">IFERROR(__xludf.DUMMYFUNCTION("IMPORTRANGE(""https://docs.google.com/spreadsheets/d/1C3CXT74ZlgGe6_JY_1olB1XN4rF0dxEuIIF-xsYjHgg/edit?usp=sharing"",""งบกองทุน!AI98"")"),0)</f>
        <v>0</v>
      </c>
      <c r="X94" s="308">
        <v>0</v>
      </c>
      <c r="Y94" s="309">
        <f t="shared" ca="1" si="9"/>
        <v>0</v>
      </c>
      <c r="Z94" s="308">
        <f t="shared" si="170"/>
        <v>0</v>
      </c>
      <c r="AA94" s="309">
        <f t="shared" ca="1" si="10"/>
        <v>0</v>
      </c>
      <c r="AB94" s="308">
        <v>0</v>
      </c>
      <c r="AC94" s="308">
        <v>0</v>
      </c>
      <c r="AD94" s="308">
        <v>0</v>
      </c>
      <c r="AE94" s="308">
        <f ca="1">IFERROR(__xludf.DUMMYFUNCTION("IMPORTRANGE(""https://docs.google.com/spreadsheets/d/1C3CXT74ZlgGe6_JY_1olB1XN4rF0dxEuIIF-xsYjHgg/edit?usp=sharing"",""งบกองทุน!AM98"")"),0)</f>
        <v>0</v>
      </c>
      <c r="AF94" s="308">
        <f ca="1">IFERROR(__xludf.DUMMYFUNCTION("IMPORTRANGE(""https://docs.google.com/spreadsheets/d/1C3CXT74ZlgGe6_JY_1olB1XN4rF0dxEuIIF-xsYjHgg/edit?usp=sharing"",""งบกองทุน!AN98"")"),0)</f>
        <v>0</v>
      </c>
      <c r="AG94" s="308">
        <v>0</v>
      </c>
      <c r="AH94" s="309">
        <f t="shared" ca="1" si="12"/>
        <v>0</v>
      </c>
      <c r="AI94" s="308">
        <f t="shared" si="171"/>
        <v>0</v>
      </c>
      <c r="AJ94" s="309">
        <f t="shared" ca="1" si="13"/>
        <v>0</v>
      </c>
      <c r="AK94" s="308">
        <v>0</v>
      </c>
      <c r="AL94" s="308">
        <v>0</v>
      </c>
      <c r="AM94" s="308">
        <f t="shared" ca="1" si="172"/>
        <v>0</v>
      </c>
      <c r="AN94" s="308">
        <f t="shared" si="173"/>
        <v>0</v>
      </c>
      <c r="AO94" s="309">
        <f t="shared" ca="1" si="15"/>
        <v>0</v>
      </c>
      <c r="AP94" s="308">
        <f ca="1">IFERROR(__xludf.DUMMYFUNCTION("IMPORTRANGE(""https://docs.google.com/spreadsheets/d/1C3CXT74ZlgGe6_JY_1olB1XN4rF0dxEuIIF-xsYjHgg/edit?usp=sharing"",""งบกองทุน!AR98"")"),0)</f>
        <v>0</v>
      </c>
      <c r="AQ94" s="308">
        <v>0</v>
      </c>
      <c r="AR94" s="308">
        <f ca="1">IFERROR(__xludf.DUMMYFUNCTION("IMPORTRANGE(""https://docs.google.com/spreadsheets/d/1C3CXT74ZlgGe6_JY_1olB1XN4rF0dxEuIIF-xsYjHgg/edit?usp=sharing"",""งบกองทุน!AS98"")"),0)</f>
        <v>0</v>
      </c>
      <c r="AS94" s="393">
        <v>0</v>
      </c>
    </row>
    <row r="95" spans="1:45" ht="24" hidden="1" customHeight="1">
      <c r="A95" s="327">
        <f t="shared" ref="A95:A105" si="176">+A94+1</f>
        <v>4</v>
      </c>
      <c r="B95" s="328" t="s">
        <v>119</v>
      </c>
      <c r="C95" s="391">
        <f t="shared" ca="1" si="168"/>
        <v>0</v>
      </c>
      <c r="D95" s="306">
        <f ca="1">IFERROR(__xludf.DUMMYFUNCTION("IMPORTRANGE(""https://docs.google.com/spreadsheets/d/1C3CXT74ZlgGe6_JY_1olB1XN4rF0dxEuIIF-xsYjHgg/edit?usp=sharing"",""งบกองทุน!Z99"")"),0)</f>
        <v>0</v>
      </c>
      <c r="E95" s="306">
        <f ca="1">IFERROR(__xludf.DUMMYFUNCTION("IMPORTRANGE(""https://docs.google.com/spreadsheets/d/1C3CXT74ZlgGe6_JY_1olB1XN4rF0dxEuIIF-xsYjHgg/edit?usp=sharing"",""งบกองทุน!AA99"")"),0)</f>
        <v>0</v>
      </c>
      <c r="F95" s="307">
        <v>0</v>
      </c>
      <c r="G95" s="307">
        <f t="shared" ca="1" si="1"/>
        <v>0</v>
      </c>
      <c r="H95" s="308">
        <f t="shared" ref="H95:I95" ca="1" si="177">+N95+V95+AE95</f>
        <v>0</v>
      </c>
      <c r="I95" s="308">
        <f t="shared" ca="1" si="177"/>
        <v>0</v>
      </c>
      <c r="J95" s="308">
        <v>0</v>
      </c>
      <c r="K95" s="309">
        <f t="shared" ca="1" si="3"/>
        <v>0</v>
      </c>
      <c r="L95" s="308">
        <v>0</v>
      </c>
      <c r="M95" s="309">
        <f t="shared" ca="1" si="4"/>
        <v>0</v>
      </c>
      <c r="N95" s="308">
        <f ca="1">IFERROR(__xludf.DUMMYFUNCTION("IMPORTRANGE(""https://docs.google.com/spreadsheets/d/1C3CXT74ZlgGe6_JY_1olB1XN4rF0dxEuIIF-xsYjHgg/edit?usp=sharing"",""งบกองทุน!AD99"")"),0)</f>
        <v>0</v>
      </c>
      <c r="O95" s="308">
        <f ca="1">IFERROR(__xludf.DUMMYFUNCTION("IMPORTRANGE(""https://docs.google.com/spreadsheets/d/1C3CXT74ZlgGe6_JY_1olB1XN4rF0dxEuIIF-xsYjHgg/edit?usp=sharing"",""งบกองทุน!AE99"")"),0)</f>
        <v>0</v>
      </c>
      <c r="P95" s="308">
        <v>0</v>
      </c>
      <c r="Q95" s="309">
        <f t="shared" ca="1" si="6"/>
        <v>0</v>
      </c>
      <c r="R95" s="308">
        <v>0</v>
      </c>
      <c r="S95" s="309">
        <f t="shared" ca="1" si="7"/>
        <v>0</v>
      </c>
      <c r="T95" s="309">
        <v>0</v>
      </c>
      <c r="U95" s="309">
        <v>0</v>
      </c>
      <c r="V95" s="308">
        <f ca="1">IFERROR(__xludf.DUMMYFUNCTION("IMPORTRANGE(""https://docs.google.com/spreadsheets/d/1C3CXT74ZlgGe6_JY_1olB1XN4rF0dxEuIIF-xsYjHgg/edit?usp=sharing"",""งบกองทุน!AH99"")"),0)</f>
        <v>0</v>
      </c>
      <c r="W95" s="308">
        <f ca="1">IFERROR(__xludf.DUMMYFUNCTION("IMPORTRANGE(""https://docs.google.com/spreadsheets/d/1C3CXT74ZlgGe6_JY_1olB1XN4rF0dxEuIIF-xsYjHgg/edit?usp=sharing"",""งบกองทุน!AI99"")"),0)</f>
        <v>0</v>
      </c>
      <c r="X95" s="308">
        <v>0</v>
      </c>
      <c r="Y95" s="309">
        <f t="shared" ca="1" si="9"/>
        <v>0</v>
      </c>
      <c r="Z95" s="308">
        <f t="shared" si="170"/>
        <v>0</v>
      </c>
      <c r="AA95" s="309">
        <f t="shared" ca="1" si="10"/>
        <v>0</v>
      </c>
      <c r="AB95" s="308">
        <v>0</v>
      </c>
      <c r="AC95" s="308">
        <v>0</v>
      </c>
      <c r="AD95" s="308">
        <v>0</v>
      </c>
      <c r="AE95" s="308">
        <f ca="1">IFERROR(__xludf.DUMMYFUNCTION("IMPORTRANGE(""https://docs.google.com/spreadsheets/d/1C3CXT74ZlgGe6_JY_1olB1XN4rF0dxEuIIF-xsYjHgg/edit?usp=sharing"",""งบกองทุน!AM99"")"),0)</f>
        <v>0</v>
      </c>
      <c r="AF95" s="308">
        <f ca="1">IFERROR(__xludf.DUMMYFUNCTION("IMPORTRANGE(""https://docs.google.com/spreadsheets/d/1C3CXT74ZlgGe6_JY_1olB1XN4rF0dxEuIIF-xsYjHgg/edit?usp=sharing"",""งบกองทุน!AN99"")"),0)</f>
        <v>0</v>
      </c>
      <c r="AG95" s="308">
        <v>0</v>
      </c>
      <c r="AH95" s="309">
        <f t="shared" ca="1" si="12"/>
        <v>0</v>
      </c>
      <c r="AI95" s="308">
        <f t="shared" si="171"/>
        <v>0</v>
      </c>
      <c r="AJ95" s="309">
        <f t="shared" ca="1" si="13"/>
        <v>0</v>
      </c>
      <c r="AK95" s="308">
        <v>0</v>
      </c>
      <c r="AL95" s="308">
        <v>0</v>
      </c>
      <c r="AM95" s="308">
        <f t="shared" ca="1" si="172"/>
        <v>0</v>
      </c>
      <c r="AN95" s="308">
        <f t="shared" si="173"/>
        <v>0</v>
      </c>
      <c r="AO95" s="309">
        <f t="shared" ca="1" si="15"/>
        <v>0</v>
      </c>
      <c r="AP95" s="308">
        <f ca="1">IFERROR(__xludf.DUMMYFUNCTION("IMPORTRANGE(""https://docs.google.com/spreadsheets/d/1C3CXT74ZlgGe6_JY_1olB1XN4rF0dxEuIIF-xsYjHgg/edit?usp=sharing"",""งบกองทุน!AR99"")"),0)</f>
        <v>0</v>
      </c>
      <c r="AQ95" s="308">
        <v>0</v>
      </c>
      <c r="AR95" s="308">
        <f ca="1">IFERROR(__xludf.DUMMYFUNCTION("IMPORTRANGE(""https://docs.google.com/spreadsheets/d/1C3CXT74ZlgGe6_JY_1olB1XN4rF0dxEuIIF-xsYjHgg/edit?usp=sharing"",""งบกองทุน!AS99"")"),0)</f>
        <v>0</v>
      </c>
      <c r="AS95" s="393">
        <v>0</v>
      </c>
    </row>
    <row r="96" spans="1:45" ht="24" hidden="1" customHeight="1">
      <c r="A96" s="327">
        <f t="shared" si="176"/>
        <v>5</v>
      </c>
      <c r="B96" s="328" t="s">
        <v>120</v>
      </c>
      <c r="C96" s="391">
        <f t="shared" ca="1" si="168"/>
        <v>0</v>
      </c>
      <c r="D96" s="306">
        <f ca="1">IFERROR(__xludf.DUMMYFUNCTION("IMPORTRANGE(""https://docs.google.com/spreadsheets/d/1C3CXT74ZlgGe6_JY_1olB1XN4rF0dxEuIIF-xsYjHgg/edit?usp=sharing"",""งบกองทุน!Z100"")"),0)</f>
        <v>0</v>
      </c>
      <c r="E96" s="306">
        <f ca="1">IFERROR(__xludf.DUMMYFUNCTION("IMPORTRANGE(""https://docs.google.com/spreadsheets/d/1C3CXT74ZlgGe6_JY_1olB1XN4rF0dxEuIIF-xsYjHgg/edit?usp=sharing"",""งบกองทุน!AA100"")"),0)</f>
        <v>0</v>
      </c>
      <c r="F96" s="307">
        <v>0</v>
      </c>
      <c r="G96" s="307">
        <f t="shared" ca="1" si="1"/>
        <v>0</v>
      </c>
      <c r="H96" s="308">
        <f t="shared" ref="H96:I96" ca="1" si="178">+N96+V96+AE96</f>
        <v>0</v>
      </c>
      <c r="I96" s="308">
        <f t="shared" ca="1" si="178"/>
        <v>0</v>
      </c>
      <c r="J96" s="308">
        <v>0</v>
      </c>
      <c r="K96" s="309">
        <f t="shared" ca="1" si="3"/>
        <v>0</v>
      </c>
      <c r="L96" s="308">
        <v>0</v>
      </c>
      <c r="M96" s="309">
        <f t="shared" ca="1" si="4"/>
        <v>0</v>
      </c>
      <c r="N96" s="308">
        <f ca="1">IFERROR(__xludf.DUMMYFUNCTION("IMPORTRANGE(""https://docs.google.com/spreadsheets/d/1C3CXT74ZlgGe6_JY_1olB1XN4rF0dxEuIIF-xsYjHgg/edit?usp=sharing"",""งบกองทุน!AD100"")"),0)</f>
        <v>0</v>
      </c>
      <c r="O96" s="308">
        <f ca="1">IFERROR(__xludf.DUMMYFUNCTION("IMPORTRANGE(""https://docs.google.com/spreadsheets/d/1C3CXT74ZlgGe6_JY_1olB1XN4rF0dxEuIIF-xsYjHgg/edit?usp=sharing"",""งบกองทุน!AE100"")"),0)</f>
        <v>0</v>
      </c>
      <c r="P96" s="308">
        <v>0</v>
      </c>
      <c r="Q96" s="309">
        <f t="shared" ca="1" si="6"/>
        <v>0</v>
      </c>
      <c r="R96" s="308">
        <v>0</v>
      </c>
      <c r="S96" s="309">
        <f t="shared" ca="1" si="7"/>
        <v>0</v>
      </c>
      <c r="T96" s="309">
        <v>0</v>
      </c>
      <c r="U96" s="309">
        <v>0</v>
      </c>
      <c r="V96" s="308">
        <f ca="1">IFERROR(__xludf.DUMMYFUNCTION("IMPORTRANGE(""https://docs.google.com/spreadsheets/d/1C3CXT74ZlgGe6_JY_1olB1XN4rF0dxEuIIF-xsYjHgg/edit?usp=sharing"",""งบกองทุน!AH100"")"),0)</f>
        <v>0</v>
      </c>
      <c r="W96" s="308">
        <f ca="1">IFERROR(__xludf.DUMMYFUNCTION("IMPORTRANGE(""https://docs.google.com/spreadsheets/d/1C3CXT74ZlgGe6_JY_1olB1XN4rF0dxEuIIF-xsYjHgg/edit?usp=sharing"",""งบกองทุน!AI100"")"),0)</f>
        <v>0</v>
      </c>
      <c r="X96" s="308">
        <v>0</v>
      </c>
      <c r="Y96" s="309">
        <f t="shared" ca="1" si="9"/>
        <v>0</v>
      </c>
      <c r="Z96" s="308">
        <f t="shared" si="170"/>
        <v>0</v>
      </c>
      <c r="AA96" s="309">
        <f t="shared" ca="1" si="10"/>
        <v>0</v>
      </c>
      <c r="AB96" s="308">
        <v>0</v>
      </c>
      <c r="AC96" s="308">
        <v>0</v>
      </c>
      <c r="AD96" s="308">
        <v>0</v>
      </c>
      <c r="AE96" s="308">
        <f ca="1">IFERROR(__xludf.DUMMYFUNCTION("IMPORTRANGE(""https://docs.google.com/spreadsheets/d/1C3CXT74ZlgGe6_JY_1olB1XN4rF0dxEuIIF-xsYjHgg/edit?usp=sharing"",""งบกองทุน!AM100"")"),0)</f>
        <v>0</v>
      </c>
      <c r="AF96" s="308">
        <f ca="1">IFERROR(__xludf.DUMMYFUNCTION("IMPORTRANGE(""https://docs.google.com/spreadsheets/d/1C3CXT74ZlgGe6_JY_1olB1XN4rF0dxEuIIF-xsYjHgg/edit?usp=sharing"",""งบกองทุน!AN100"")"),0)</f>
        <v>0</v>
      </c>
      <c r="AG96" s="308">
        <v>0</v>
      </c>
      <c r="AH96" s="309">
        <f t="shared" ca="1" si="12"/>
        <v>0</v>
      </c>
      <c r="AI96" s="308">
        <f t="shared" si="171"/>
        <v>0</v>
      </c>
      <c r="AJ96" s="309">
        <f t="shared" ca="1" si="13"/>
        <v>0</v>
      </c>
      <c r="AK96" s="308">
        <v>0</v>
      </c>
      <c r="AL96" s="308">
        <v>0</v>
      </c>
      <c r="AM96" s="308">
        <f t="shared" ca="1" si="172"/>
        <v>0</v>
      </c>
      <c r="AN96" s="308">
        <f t="shared" si="173"/>
        <v>0</v>
      </c>
      <c r="AO96" s="309">
        <f t="shared" ca="1" si="15"/>
        <v>0</v>
      </c>
      <c r="AP96" s="308">
        <f ca="1">IFERROR(__xludf.DUMMYFUNCTION("IMPORTRANGE(""https://docs.google.com/spreadsheets/d/1C3CXT74ZlgGe6_JY_1olB1XN4rF0dxEuIIF-xsYjHgg/edit?usp=sharing"",""งบกองทุน!AR100"")"),0)</f>
        <v>0</v>
      </c>
      <c r="AQ96" s="308">
        <v>0</v>
      </c>
      <c r="AR96" s="308">
        <f ca="1">IFERROR(__xludf.DUMMYFUNCTION("IMPORTRANGE(""https://docs.google.com/spreadsheets/d/1C3CXT74ZlgGe6_JY_1olB1XN4rF0dxEuIIF-xsYjHgg/edit?usp=sharing"",""งบกองทุน!AS100"")"),0)</f>
        <v>0</v>
      </c>
      <c r="AS96" s="393">
        <v>0</v>
      </c>
    </row>
    <row r="97" spans="1:45" ht="24" hidden="1" customHeight="1">
      <c r="A97" s="327">
        <f t="shared" si="176"/>
        <v>6</v>
      </c>
      <c r="B97" s="328" t="s">
        <v>121</v>
      </c>
      <c r="C97" s="391">
        <f t="shared" ca="1" si="168"/>
        <v>0</v>
      </c>
      <c r="D97" s="306">
        <f ca="1">IFERROR(__xludf.DUMMYFUNCTION("IMPORTRANGE(""https://docs.google.com/spreadsheets/d/1C3CXT74ZlgGe6_JY_1olB1XN4rF0dxEuIIF-xsYjHgg/edit?usp=sharing"",""งบกองทุน!Z101"")"),0)</f>
        <v>0</v>
      </c>
      <c r="E97" s="306">
        <f ca="1">IFERROR(__xludf.DUMMYFUNCTION("IMPORTRANGE(""https://docs.google.com/spreadsheets/d/1C3CXT74ZlgGe6_JY_1olB1XN4rF0dxEuIIF-xsYjHgg/edit?usp=sharing"",""งบกองทุน!AA101"")"),0)</f>
        <v>0</v>
      </c>
      <c r="F97" s="307">
        <v>0</v>
      </c>
      <c r="G97" s="307">
        <f t="shared" ca="1" si="1"/>
        <v>0</v>
      </c>
      <c r="H97" s="308">
        <f t="shared" ref="H97:I97" ca="1" si="179">+N97+V97+AE97</f>
        <v>0</v>
      </c>
      <c r="I97" s="308">
        <f t="shared" ca="1" si="179"/>
        <v>0</v>
      </c>
      <c r="J97" s="308">
        <v>0</v>
      </c>
      <c r="K97" s="309">
        <f t="shared" ca="1" si="3"/>
        <v>0</v>
      </c>
      <c r="L97" s="308">
        <v>0</v>
      </c>
      <c r="M97" s="309">
        <f t="shared" ca="1" si="4"/>
        <v>0</v>
      </c>
      <c r="N97" s="308">
        <f ca="1">IFERROR(__xludf.DUMMYFUNCTION("IMPORTRANGE(""https://docs.google.com/spreadsheets/d/1C3CXT74ZlgGe6_JY_1olB1XN4rF0dxEuIIF-xsYjHgg/edit?usp=sharing"",""งบกองทุน!AD101"")"),0)</f>
        <v>0</v>
      </c>
      <c r="O97" s="308">
        <f ca="1">IFERROR(__xludf.DUMMYFUNCTION("IMPORTRANGE(""https://docs.google.com/spreadsheets/d/1C3CXT74ZlgGe6_JY_1olB1XN4rF0dxEuIIF-xsYjHgg/edit?usp=sharing"",""งบกองทุน!AE101"")"),0)</f>
        <v>0</v>
      </c>
      <c r="P97" s="308">
        <v>0</v>
      </c>
      <c r="Q97" s="309">
        <f t="shared" ca="1" si="6"/>
        <v>0</v>
      </c>
      <c r="R97" s="308">
        <v>0</v>
      </c>
      <c r="S97" s="309">
        <f t="shared" ca="1" si="7"/>
        <v>0</v>
      </c>
      <c r="T97" s="309">
        <v>0</v>
      </c>
      <c r="U97" s="309">
        <v>0</v>
      </c>
      <c r="V97" s="308">
        <f ca="1">IFERROR(__xludf.DUMMYFUNCTION("IMPORTRANGE(""https://docs.google.com/spreadsheets/d/1C3CXT74ZlgGe6_JY_1olB1XN4rF0dxEuIIF-xsYjHgg/edit?usp=sharing"",""งบกองทุน!AH101"")"),0)</f>
        <v>0</v>
      </c>
      <c r="W97" s="308">
        <f ca="1">IFERROR(__xludf.DUMMYFUNCTION("IMPORTRANGE(""https://docs.google.com/spreadsheets/d/1C3CXT74ZlgGe6_JY_1olB1XN4rF0dxEuIIF-xsYjHgg/edit?usp=sharing"",""งบกองทุน!AI101"")"),0)</f>
        <v>0</v>
      </c>
      <c r="X97" s="308">
        <v>0</v>
      </c>
      <c r="Y97" s="309">
        <f t="shared" ca="1" si="9"/>
        <v>0</v>
      </c>
      <c r="Z97" s="308">
        <f t="shared" si="170"/>
        <v>0</v>
      </c>
      <c r="AA97" s="309">
        <f t="shared" ca="1" si="10"/>
        <v>0</v>
      </c>
      <c r="AB97" s="308">
        <v>0</v>
      </c>
      <c r="AC97" s="308">
        <v>0</v>
      </c>
      <c r="AD97" s="308">
        <v>0</v>
      </c>
      <c r="AE97" s="308">
        <f ca="1">IFERROR(__xludf.DUMMYFUNCTION("IMPORTRANGE(""https://docs.google.com/spreadsheets/d/1C3CXT74ZlgGe6_JY_1olB1XN4rF0dxEuIIF-xsYjHgg/edit?usp=sharing"",""งบกองทุน!AM101"")"),0)</f>
        <v>0</v>
      </c>
      <c r="AF97" s="308">
        <f ca="1">IFERROR(__xludf.DUMMYFUNCTION("IMPORTRANGE(""https://docs.google.com/spreadsheets/d/1C3CXT74ZlgGe6_JY_1olB1XN4rF0dxEuIIF-xsYjHgg/edit?usp=sharing"",""งบกองทุน!AN101"")"),0)</f>
        <v>0</v>
      </c>
      <c r="AG97" s="308">
        <v>0</v>
      </c>
      <c r="AH97" s="309">
        <f t="shared" ca="1" si="12"/>
        <v>0</v>
      </c>
      <c r="AI97" s="308">
        <f t="shared" si="171"/>
        <v>0</v>
      </c>
      <c r="AJ97" s="309">
        <f t="shared" ca="1" si="13"/>
        <v>0</v>
      </c>
      <c r="AK97" s="308">
        <v>0</v>
      </c>
      <c r="AL97" s="308">
        <v>0</v>
      </c>
      <c r="AM97" s="308">
        <f t="shared" ca="1" si="172"/>
        <v>0</v>
      </c>
      <c r="AN97" s="308">
        <f t="shared" si="173"/>
        <v>0</v>
      </c>
      <c r="AO97" s="309">
        <f t="shared" ca="1" si="15"/>
        <v>0</v>
      </c>
      <c r="AP97" s="308">
        <f ca="1">IFERROR(__xludf.DUMMYFUNCTION("IMPORTRANGE(""https://docs.google.com/spreadsheets/d/1C3CXT74ZlgGe6_JY_1olB1XN4rF0dxEuIIF-xsYjHgg/edit?usp=sharing"",""งบกองทุน!AR101"")"),0)</f>
        <v>0</v>
      </c>
      <c r="AQ97" s="308">
        <v>0</v>
      </c>
      <c r="AR97" s="308">
        <f ca="1">IFERROR(__xludf.DUMMYFUNCTION("IMPORTRANGE(""https://docs.google.com/spreadsheets/d/1C3CXT74ZlgGe6_JY_1olB1XN4rF0dxEuIIF-xsYjHgg/edit?usp=sharing"",""งบกองทุน!AS101"")"),0)</f>
        <v>0</v>
      </c>
      <c r="AS97" s="393">
        <v>0</v>
      </c>
    </row>
    <row r="98" spans="1:45" ht="24" hidden="1" customHeight="1">
      <c r="A98" s="327">
        <f t="shared" si="176"/>
        <v>7</v>
      </c>
      <c r="B98" s="328" t="s">
        <v>122</v>
      </c>
      <c r="C98" s="391">
        <f t="shared" ca="1" si="168"/>
        <v>526170</v>
      </c>
      <c r="D98" s="306">
        <f ca="1">IFERROR(__xludf.DUMMYFUNCTION("IMPORTRANGE(""https://docs.google.com/spreadsheets/d/1C3CXT74ZlgGe6_JY_1olB1XN4rF0dxEuIIF-xsYjHgg/edit?usp=sharing"",""งบกองทุน!Z102"")"),0)</f>
        <v>0</v>
      </c>
      <c r="E98" s="306">
        <f ca="1">IFERROR(__xludf.DUMMYFUNCTION("IMPORTRANGE(""https://docs.google.com/spreadsheets/d/1C3CXT74ZlgGe6_JY_1olB1XN4rF0dxEuIIF-xsYjHgg/edit?usp=sharing"",""งบกองทุน!AA102"")"),526170)</f>
        <v>526170</v>
      </c>
      <c r="F98" s="307">
        <f ca="1">IFERROR(__xludf.DUMMYFUNCTION("IMPORTRANGE(""https://docs.google.com/spreadsheets/d/1muirlRDkqiswvy_NRZ3Yh955hx-PF6_HhssUYiSJj8o/edit?usp=sharing"",""กองทุนส่วนกลาง!P10"")"),120902.08)</f>
        <v>120902.08</v>
      </c>
      <c r="G98" s="307">
        <f t="shared" ca="1" si="1"/>
        <v>22.977760039530949</v>
      </c>
      <c r="H98" s="308">
        <f t="shared" ref="H98:I98" ca="1" si="180">+N98+V98+AE98</f>
        <v>0</v>
      </c>
      <c r="I98" s="308">
        <f t="shared" ca="1" si="180"/>
        <v>0</v>
      </c>
      <c r="J98" s="308">
        <v>0</v>
      </c>
      <c r="K98" s="309">
        <f t="shared" ca="1" si="3"/>
        <v>0</v>
      </c>
      <c r="L98" s="308">
        <v>0</v>
      </c>
      <c r="M98" s="309">
        <f t="shared" ca="1" si="4"/>
        <v>0</v>
      </c>
      <c r="N98" s="308">
        <f ca="1">IFERROR(__xludf.DUMMYFUNCTION("IMPORTRANGE(""https://docs.google.com/spreadsheets/d/1C3CXT74ZlgGe6_JY_1olB1XN4rF0dxEuIIF-xsYjHgg/edit?usp=sharing"",""งบกองทุน!AD102"")"),0)</f>
        <v>0</v>
      </c>
      <c r="O98" s="308">
        <f ca="1">IFERROR(__xludf.DUMMYFUNCTION("IMPORTRANGE(""https://docs.google.com/spreadsheets/d/1C3CXT74ZlgGe6_JY_1olB1XN4rF0dxEuIIF-xsYjHgg/edit?usp=sharing"",""งบกองทุน!AE102"")"),0)</f>
        <v>0</v>
      </c>
      <c r="P98" s="308">
        <v>0</v>
      </c>
      <c r="Q98" s="309">
        <f t="shared" ca="1" si="6"/>
        <v>0</v>
      </c>
      <c r="R98" s="308">
        <v>0</v>
      </c>
      <c r="S98" s="309">
        <f t="shared" ca="1" si="7"/>
        <v>0</v>
      </c>
      <c r="T98" s="309">
        <v>0</v>
      </c>
      <c r="U98" s="309">
        <v>0</v>
      </c>
      <c r="V98" s="308">
        <f ca="1">IFERROR(__xludf.DUMMYFUNCTION("IMPORTRANGE(""https://docs.google.com/spreadsheets/d/1C3CXT74ZlgGe6_JY_1olB1XN4rF0dxEuIIF-xsYjHgg/edit?usp=sharing"",""งบกองทุน!AH102"")"),0)</f>
        <v>0</v>
      </c>
      <c r="W98" s="308">
        <f ca="1">IFERROR(__xludf.DUMMYFUNCTION("IMPORTRANGE(""https://docs.google.com/spreadsheets/d/1C3CXT74ZlgGe6_JY_1olB1XN4rF0dxEuIIF-xsYjHgg/edit?usp=sharing"",""งบกองทุน!AI102"")"),0)</f>
        <v>0</v>
      </c>
      <c r="X98" s="308">
        <v>0</v>
      </c>
      <c r="Y98" s="309">
        <f t="shared" ca="1" si="9"/>
        <v>0</v>
      </c>
      <c r="Z98" s="308">
        <f t="shared" si="170"/>
        <v>0</v>
      </c>
      <c r="AA98" s="309">
        <f t="shared" ca="1" si="10"/>
        <v>0</v>
      </c>
      <c r="AB98" s="308">
        <v>0</v>
      </c>
      <c r="AC98" s="308">
        <v>0</v>
      </c>
      <c r="AD98" s="308">
        <v>0</v>
      </c>
      <c r="AE98" s="308">
        <f ca="1">IFERROR(__xludf.DUMMYFUNCTION("IMPORTRANGE(""https://docs.google.com/spreadsheets/d/1C3CXT74ZlgGe6_JY_1olB1XN4rF0dxEuIIF-xsYjHgg/edit?usp=sharing"",""งบกองทุน!AM102"")"),0)</f>
        <v>0</v>
      </c>
      <c r="AF98" s="308">
        <f ca="1">IFERROR(__xludf.DUMMYFUNCTION("IMPORTRANGE(""https://docs.google.com/spreadsheets/d/1C3CXT74ZlgGe6_JY_1olB1XN4rF0dxEuIIF-xsYjHgg/edit?usp=sharing"",""งบกองทุน!AN102"")"),0)</f>
        <v>0</v>
      </c>
      <c r="AG98" s="308">
        <v>0</v>
      </c>
      <c r="AH98" s="309">
        <f t="shared" ca="1" si="12"/>
        <v>0</v>
      </c>
      <c r="AI98" s="308">
        <f t="shared" si="171"/>
        <v>0</v>
      </c>
      <c r="AJ98" s="309">
        <f t="shared" ca="1" si="13"/>
        <v>0</v>
      </c>
      <c r="AK98" s="308">
        <v>0</v>
      </c>
      <c r="AL98" s="308">
        <v>0</v>
      </c>
      <c r="AM98" s="308">
        <f t="shared" ca="1" si="172"/>
        <v>0</v>
      </c>
      <c r="AN98" s="308">
        <f t="shared" si="173"/>
        <v>0</v>
      </c>
      <c r="AO98" s="309">
        <f t="shared" ca="1" si="15"/>
        <v>0</v>
      </c>
      <c r="AP98" s="308">
        <f ca="1">IFERROR(__xludf.DUMMYFUNCTION("IMPORTRANGE(""https://docs.google.com/spreadsheets/d/1C3CXT74ZlgGe6_JY_1olB1XN4rF0dxEuIIF-xsYjHgg/edit?usp=sharing"",""งบกองทุน!AR102"")"),0)</f>
        <v>0</v>
      </c>
      <c r="AQ98" s="308">
        <v>0</v>
      </c>
      <c r="AR98" s="308">
        <f ca="1">IFERROR(__xludf.DUMMYFUNCTION("IMPORTRANGE(""https://docs.google.com/spreadsheets/d/1C3CXT74ZlgGe6_JY_1olB1XN4rF0dxEuIIF-xsYjHgg/edit?usp=sharing"",""งบกองทุน!AS102"")"),0)</f>
        <v>0</v>
      </c>
      <c r="AS98" s="393">
        <v>0</v>
      </c>
    </row>
    <row r="99" spans="1:45" ht="24" hidden="1" customHeight="1">
      <c r="A99" s="327">
        <f t="shared" si="176"/>
        <v>8</v>
      </c>
      <c r="B99" s="328" t="s">
        <v>123</v>
      </c>
      <c r="C99" s="391">
        <f t="shared" ca="1" si="168"/>
        <v>0</v>
      </c>
      <c r="D99" s="306">
        <f ca="1">IFERROR(__xludf.DUMMYFUNCTION("IMPORTRANGE(""https://docs.google.com/spreadsheets/d/1C3CXT74ZlgGe6_JY_1olB1XN4rF0dxEuIIF-xsYjHgg/edit?usp=sharing"",""งบกองทุน!Z103"")"),0)</f>
        <v>0</v>
      </c>
      <c r="E99" s="306">
        <f ca="1">IFERROR(__xludf.DUMMYFUNCTION("IMPORTRANGE(""https://docs.google.com/spreadsheets/d/1C3CXT74ZlgGe6_JY_1olB1XN4rF0dxEuIIF-xsYjHgg/edit?usp=sharing"",""งบกองทุน!AA103"")"),0)</f>
        <v>0</v>
      </c>
      <c r="F99" s="307">
        <v>0</v>
      </c>
      <c r="G99" s="307">
        <f t="shared" ca="1" si="1"/>
        <v>0</v>
      </c>
      <c r="H99" s="308">
        <f t="shared" ref="H99:I99" ca="1" si="181">+N99+V99+AE99</f>
        <v>0</v>
      </c>
      <c r="I99" s="308">
        <f t="shared" ca="1" si="181"/>
        <v>0</v>
      </c>
      <c r="J99" s="308">
        <v>0</v>
      </c>
      <c r="K99" s="309">
        <f t="shared" ca="1" si="3"/>
        <v>0</v>
      </c>
      <c r="L99" s="308">
        <v>0</v>
      </c>
      <c r="M99" s="309">
        <f t="shared" ca="1" si="4"/>
        <v>0</v>
      </c>
      <c r="N99" s="308">
        <f ca="1">IFERROR(__xludf.DUMMYFUNCTION("IMPORTRANGE(""https://docs.google.com/spreadsheets/d/1C3CXT74ZlgGe6_JY_1olB1XN4rF0dxEuIIF-xsYjHgg/edit?usp=sharing"",""งบกองทุน!AD103"")"),0)</f>
        <v>0</v>
      </c>
      <c r="O99" s="308">
        <f ca="1">IFERROR(__xludf.DUMMYFUNCTION("IMPORTRANGE(""https://docs.google.com/spreadsheets/d/1C3CXT74ZlgGe6_JY_1olB1XN4rF0dxEuIIF-xsYjHgg/edit?usp=sharing"",""งบกองทุน!AE103"")"),0)</f>
        <v>0</v>
      </c>
      <c r="P99" s="308">
        <v>0</v>
      </c>
      <c r="Q99" s="309">
        <f t="shared" ca="1" si="6"/>
        <v>0</v>
      </c>
      <c r="R99" s="308">
        <v>0</v>
      </c>
      <c r="S99" s="309">
        <f t="shared" ca="1" si="7"/>
        <v>0</v>
      </c>
      <c r="T99" s="309">
        <v>0</v>
      </c>
      <c r="U99" s="309">
        <v>0</v>
      </c>
      <c r="V99" s="308">
        <f ca="1">IFERROR(__xludf.DUMMYFUNCTION("IMPORTRANGE(""https://docs.google.com/spreadsheets/d/1C3CXT74ZlgGe6_JY_1olB1XN4rF0dxEuIIF-xsYjHgg/edit?usp=sharing"",""งบกองทุน!AH103"")"),0)</f>
        <v>0</v>
      </c>
      <c r="W99" s="308">
        <f ca="1">IFERROR(__xludf.DUMMYFUNCTION("IMPORTRANGE(""https://docs.google.com/spreadsheets/d/1C3CXT74ZlgGe6_JY_1olB1XN4rF0dxEuIIF-xsYjHgg/edit?usp=sharing"",""งบกองทุน!AI103"")"),0)</f>
        <v>0</v>
      </c>
      <c r="X99" s="308">
        <v>0</v>
      </c>
      <c r="Y99" s="309">
        <f t="shared" ca="1" si="9"/>
        <v>0</v>
      </c>
      <c r="Z99" s="308">
        <f t="shared" si="170"/>
        <v>0</v>
      </c>
      <c r="AA99" s="309">
        <f t="shared" ca="1" si="10"/>
        <v>0</v>
      </c>
      <c r="AB99" s="308">
        <v>0</v>
      </c>
      <c r="AC99" s="308">
        <v>0</v>
      </c>
      <c r="AD99" s="308">
        <v>0</v>
      </c>
      <c r="AE99" s="308">
        <f ca="1">IFERROR(__xludf.DUMMYFUNCTION("IMPORTRANGE(""https://docs.google.com/spreadsheets/d/1C3CXT74ZlgGe6_JY_1olB1XN4rF0dxEuIIF-xsYjHgg/edit?usp=sharing"",""งบกองทุน!AM103"")"),0)</f>
        <v>0</v>
      </c>
      <c r="AF99" s="308">
        <f ca="1">IFERROR(__xludf.DUMMYFUNCTION("IMPORTRANGE(""https://docs.google.com/spreadsheets/d/1C3CXT74ZlgGe6_JY_1olB1XN4rF0dxEuIIF-xsYjHgg/edit?usp=sharing"",""งบกองทุน!AN103"")"),0)</f>
        <v>0</v>
      </c>
      <c r="AG99" s="308">
        <v>0</v>
      </c>
      <c r="AH99" s="309">
        <f t="shared" ca="1" si="12"/>
        <v>0</v>
      </c>
      <c r="AI99" s="308">
        <f t="shared" si="171"/>
        <v>0</v>
      </c>
      <c r="AJ99" s="309">
        <f t="shared" ca="1" si="13"/>
        <v>0</v>
      </c>
      <c r="AK99" s="308">
        <v>0</v>
      </c>
      <c r="AL99" s="308">
        <v>0</v>
      </c>
      <c r="AM99" s="308">
        <f t="shared" ca="1" si="172"/>
        <v>0</v>
      </c>
      <c r="AN99" s="308">
        <f t="shared" si="173"/>
        <v>0</v>
      </c>
      <c r="AO99" s="309">
        <f t="shared" ca="1" si="15"/>
        <v>0</v>
      </c>
      <c r="AP99" s="308">
        <f ca="1">IFERROR(__xludf.DUMMYFUNCTION("IMPORTRANGE(""https://docs.google.com/spreadsheets/d/1C3CXT74ZlgGe6_JY_1olB1XN4rF0dxEuIIF-xsYjHgg/edit?usp=sharing"",""งบกองทุน!AR103"")"),0)</f>
        <v>0</v>
      </c>
      <c r="AQ99" s="308">
        <v>0</v>
      </c>
      <c r="AR99" s="308">
        <f ca="1">IFERROR(__xludf.DUMMYFUNCTION("IMPORTRANGE(""https://docs.google.com/spreadsheets/d/1C3CXT74ZlgGe6_JY_1olB1XN4rF0dxEuIIF-xsYjHgg/edit?usp=sharing"",""งบกองทุน!AS103"")"),0)</f>
        <v>0</v>
      </c>
      <c r="AS99" s="393">
        <v>0</v>
      </c>
    </row>
    <row r="100" spans="1:45" ht="24" hidden="1" customHeight="1">
      <c r="A100" s="327">
        <f t="shared" si="176"/>
        <v>9</v>
      </c>
      <c r="B100" s="328" t="s">
        <v>124</v>
      </c>
      <c r="C100" s="391">
        <f t="shared" ca="1" si="168"/>
        <v>0</v>
      </c>
      <c r="D100" s="306">
        <f ca="1">IFERROR(__xludf.DUMMYFUNCTION("IMPORTRANGE(""https://docs.google.com/spreadsheets/d/1C3CXT74ZlgGe6_JY_1olB1XN4rF0dxEuIIF-xsYjHgg/edit?usp=sharing"",""งบกองทุน!Z104"")"),0)</f>
        <v>0</v>
      </c>
      <c r="E100" s="306">
        <f ca="1">IFERROR(__xludf.DUMMYFUNCTION("IMPORTRANGE(""https://docs.google.com/spreadsheets/d/1C3CXT74ZlgGe6_JY_1olB1XN4rF0dxEuIIF-xsYjHgg/edit?usp=sharing"",""งบกองทุน!AA104"")"),0)</f>
        <v>0</v>
      </c>
      <c r="F100" s="307">
        <v>0</v>
      </c>
      <c r="G100" s="307">
        <f t="shared" ca="1" si="1"/>
        <v>0</v>
      </c>
      <c r="H100" s="308">
        <f t="shared" ref="H100:I100" ca="1" si="182">+N100+V100+AE100</f>
        <v>0</v>
      </c>
      <c r="I100" s="308">
        <f t="shared" ca="1" si="182"/>
        <v>0</v>
      </c>
      <c r="J100" s="308">
        <v>0</v>
      </c>
      <c r="K100" s="309">
        <f t="shared" ca="1" si="3"/>
        <v>0</v>
      </c>
      <c r="L100" s="308">
        <v>0</v>
      </c>
      <c r="M100" s="309">
        <f t="shared" ca="1" si="4"/>
        <v>0</v>
      </c>
      <c r="N100" s="308">
        <f ca="1">IFERROR(__xludf.DUMMYFUNCTION("IMPORTRANGE(""https://docs.google.com/spreadsheets/d/1C3CXT74ZlgGe6_JY_1olB1XN4rF0dxEuIIF-xsYjHgg/edit?usp=sharing"",""งบกองทุน!AD104"")"),0)</f>
        <v>0</v>
      </c>
      <c r="O100" s="308">
        <f ca="1">IFERROR(__xludf.DUMMYFUNCTION("IMPORTRANGE(""https://docs.google.com/spreadsheets/d/1C3CXT74ZlgGe6_JY_1olB1XN4rF0dxEuIIF-xsYjHgg/edit?usp=sharing"",""งบกองทุน!AE104"")"),0)</f>
        <v>0</v>
      </c>
      <c r="P100" s="308">
        <v>0</v>
      </c>
      <c r="Q100" s="309">
        <f t="shared" ca="1" si="6"/>
        <v>0</v>
      </c>
      <c r="R100" s="308">
        <v>0</v>
      </c>
      <c r="S100" s="309">
        <f t="shared" ca="1" si="7"/>
        <v>0</v>
      </c>
      <c r="T100" s="309">
        <v>0</v>
      </c>
      <c r="U100" s="309">
        <v>0</v>
      </c>
      <c r="V100" s="308">
        <f ca="1">IFERROR(__xludf.DUMMYFUNCTION("IMPORTRANGE(""https://docs.google.com/spreadsheets/d/1C3CXT74ZlgGe6_JY_1olB1XN4rF0dxEuIIF-xsYjHgg/edit?usp=sharing"",""งบกองทุน!AH104"")"),0)</f>
        <v>0</v>
      </c>
      <c r="W100" s="308">
        <f ca="1">IFERROR(__xludf.DUMMYFUNCTION("IMPORTRANGE(""https://docs.google.com/spreadsheets/d/1C3CXT74ZlgGe6_JY_1olB1XN4rF0dxEuIIF-xsYjHgg/edit?usp=sharing"",""งบกองทุน!AI104"")"),0)</f>
        <v>0</v>
      </c>
      <c r="X100" s="308">
        <v>0</v>
      </c>
      <c r="Y100" s="309">
        <f t="shared" ca="1" si="9"/>
        <v>0</v>
      </c>
      <c r="Z100" s="308">
        <f t="shared" si="170"/>
        <v>0</v>
      </c>
      <c r="AA100" s="309">
        <f t="shared" ca="1" si="10"/>
        <v>0</v>
      </c>
      <c r="AB100" s="308">
        <v>0</v>
      </c>
      <c r="AC100" s="308">
        <v>0</v>
      </c>
      <c r="AD100" s="308">
        <v>0</v>
      </c>
      <c r="AE100" s="308">
        <f ca="1">IFERROR(__xludf.DUMMYFUNCTION("IMPORTRANGE(""https://docs.google.com/spreadsheets/d/1C3CXT74ZlgGe6_JY_1olB1XN4rF0dxEuIIF-xsYjHgg/edit?usp=sharing"",""งบกองทุน!AM104"")"),0)</f>
        <v>0</v>
      </c>
      <c r="AF100" s="308">
        <f ca="1">IFERROR(__xludf.DUMMYFUNCTION("IMPORTRANGE(""https://docs.google.com/spreadsheets/d/1C3CXT74ZlgGe6_JY_1olB1XN4rF0dxEuIIF-xsYjHgg/edit?usp=sharing"",""งบกองทุน!AN104"")"),0)</f>
        <v>0</v>
      </c>
      <c r="AG100" s="308">
        <v>0</v>
      </c>
      <c r="AH100" s="309">
        <f t="shared" ca="1" si="12"/>
        <v>0</v>
      </c>
      <c r="AI100" s="308">
        <f t="shared" si="171"/>
        <v>0</v>
      </c>
      <c r="AJ100" s="309">
        <f t="shared" ca="1" si="13"/>
        <v>0</v>
      </c>
      <c r="AK100" s="308">
        <v>0</v>
      </c>
      <c r="AL100" s="308">
        <v>0</v>
      </c>
      <c r="AM100" s="308">
        <f t="shared" ca="1" si="172"/>
        <v>0</v>
      </c>
      <c r="AN100" s="308">
        <f t="shared" si="173"/>
        <v>0</v>
      </c>
      <c r="AO100" s="309">
        <f t="shared" ca="1" si="15"/>
        <v>0</v>
      </c>
      <c r="AP100" s="308">
        <f ca="1">IFERROR(__xludf.DUMMYFUNCTION("IMPORTRANGE(""https://docs.google.com/spreadsheets/d/1C3CXT74ZlgGe6_JY_1olB1XN4rF0dxEuIIF-xsYjHgg/edit?usp=sharing"",""งบกองทุน!AR104"")"),0)</f>
        <v>0</v>
      </c>
      <c r="AQ100" s="308">
        <v>0</v>
      </c>
      <c r="AR100" s="308">
        <f ca="1">IFERROR(__xludf.DUMMYFUNCTION("IMPORTRANGE(""https://docs.google.com/spreadsheets/d/1C3CXT74ZlgGe6_JY_1olB1XN4rF0dxEuIIF-xsYjHgg/edit?usp=sharing"",""งบกองทุน!AS104"")"),0)</f>
        <v>0</v>
      </c>
      <c r="AS100" s="393">
        <v>0</v>
      </c>
    </row>
    <row r="101" spans="1:45" ht="24" hidden="1" customHeight="1">
      <c r="A101" s="327">
        <f t="shared" si="176"/>
        <v>10</v>
      </c>
      <c r="B101" s="328" t="s">
        <v>125</v>
      </c>
      <c r="C101" s="391">
        <f t="shared" ca="1" si="168"/>
        <v>0</v>
      </c>
      <c r="D101" s="306">
        <f ca="1">IFERROR(__xludf.DUMMYFUNCTION("IMPORTRANGE(""https://docs.google.com/spreadsheets/d/1C3CXT74ZlgGe6_JY_1olB1XN4rF0dxEuIIF-xsYjHgg/edit?usp=sharing"",""งบกองทุน!Z105"")"),0)</f>
        <v>0</v>
      </c>
      <c r="E101" s="306">
        <f ca="1">IFERROR(__xludf.DUMMYFUNCTION("IMPORTRANGE(""https://docs.google.com/spreadsheets/d/1C3CXT74ZlgGe6_JY_1olB1XN4rF0dxEuIIF-xsYjHgg/edit?usp=sharing"",""งบกองทุน!AA105"")"),0)</f>
        <v>0</v>
      </c>
      <c r="F101" s="307">
        <v>0</v>
      </c>
      <c r="G101" s="307">
        <f t="shared" ca="1" si="1"/>
        <v>0</v>
      </c>
      <c r="H101" s="308">
        <f t="shared" ref="H101:I101" ca="1" si="183">+N101+V101+AE101</f>
        <v>0</v>
      </c>
      <c r="I101" s="308">
        <f t="shared" ca="1" si="183"/>
        <v>0</v>
      </c>
      <c r="J101" s="308">
        <v>0</v>
      </c>
      <c r="K101" s="309">
        <f t="shared" ca="1" si="3"/>
        <v>0</v>
      </c>
      <c r="L101" s="308">
        <v>0</v>
      </c>
      <c r="M101" s="309">
        <f t="shared" ca="1" si="4"/>
        <v>0</v>
      </c>
      <c r="N101" s="308">
        <f ca="1">IFERROR(__xludf.DUMMYFUNCTION("IMPORTRANGE(""https://docs.google.com/spreadsheets/d/1C3CXT74ZlgGe6_JY_1olB1XN4rF0dxEuIIF-xsYjHgg/edit?usp=sharing"",""งบกองทุน!AD105"")"),0)</f>
        <v>0</v>
      </c>
      <c r="O101" s="308">
        <f ca="1">IFERROR(__xludf.DUMMYFUNCTION("IMPORTRANGE(""https://docs.google.com/spreadsheets/d/1C3CXT74ZlgGe6_JY_1olB1XN4rF0dxEuIIF-xsYjHgg/edit?usp=sharing"",""งบกองทุน!AE105"")"),0)</f>
        <v>0</v>
      </c>
      <c r="P101" s="308">
        <v>0</v>
      </c>
      <c r="Q101" s="309">
        <f t="shared" ca="1" si="6"/>
        <v>0</v>
      </c>
      <c r="R101" s="308">
        <v>0</v>
      </c>
      <c r="S101" s="309">
        <f t="shared" ca="1" si="7"/>
        <v>0</v>
      </c>
      <c r="T101" s="309">
        <v>0</v>
      </c>
      <c r="U101" s="309">
        <v>0</v>
      </c>
      <c r="V101" s="308">
        <f ca="1">IFERROR(__xludf.DUMMYFUNCTION("IMPORTRANGE(""https://docs.google.com/spreadsheets/d/1C3CXT74ZlgGe6_JY_1olB1XN4rF0dxEuIIF-xsYjHgg/edit?usp=sharing"",""งบกองทุน!AH105"")"),0)</f>
        <v>0</v>
      </c>
      <c r="W101" s="308">
        <f ca="1">IFERROR(__xludf.DUMMYFUNCTION("IMPORTRANGE(""https://docs.google.com/spreadsheets/d/1C3CXT74ZlgGe6_JY_1olB1XN4rF0dxEuIIF-xsYjHgg/edit?usp=sharing"",""งบกองทุน!AI105"")"),0)</f>
        <v>0</v>
      </c>
      <c r="X101" s="308">
        <v>0</v>
      </c>
      <c r="Y101" s="309">
        <f t="shared" ca="1" si="9"/>
        <v>0</v>
      </c>
      <c r="Z101" s="308">
        <f t="shared" si="170"/>
        <v>0</v>
      </c>
      <c r="AA101" s="309">
        <f t="shared" ca="1" si="10"/>
        <v>0</v>
      </c>
      <c r="AB101" s="308">
        <v>0</v>
      </c>
      <c r="AC101" s="308">
        <v>0</v>
      </c>
      <c r="AD101" s="308">
        <v>0</v>
      </c>
      <c r="AE101" s="308">
        <f ca="1">IFERROR(__xludf.DUMMYFUNCTION("IMPORTRANGE(""https://docs.google.com/spreadsheets/d/1C3CXT74ZlgGe6_JY_1olB1XN4rF0dxEuIIF-xsYjHgg/edit?usp=sharing"",""งบกองทุน!AM105"")"),0)</f>
        <v>0</v>
      </c>
      <c r="AF101" s="308">
        <f ca="1">IFERROR(__xludf.DUMMYFUNCTION("IMPORTRANGE(""https://docs.google.com/spreadsheets/d/1C3CXT74ZlgGe6_JY_1olB1XN4rF0dxEuIIF-xsYjHgg/edit?usp=sharing"",""งบกองทุน!AN105"")"),0)</f>
        <v>0</v>
      </c>
      <c r="AG101" s="308">
        <v>0</v>
      </c>
      <c r="AH101" s="309">
        <f t="shared" ca="1" si="12"/>
        <v>0</v>
      </c>
      <c r="AI101" s="308">
        <f t="shared" si="171"/>
        <v>0</v>
      </c>
      <c r="AJ101" s="309">
        <f t="shared" ca="1" si="13"/>
        <v>0</v>
      </c>
      <c r="AK101" s="308">
        <v>0</v>
      </c>
      <c r="AL101" s="308">
        <v>0</v>
      </c>
      <c r="AM101" s="308">
        <f t="shared" ca="1" si="172"/>
        <v>0</v>
      </c>
      <c r="AN101" s="308">
        <f t="shared" si="173"/>
        <v>0</v>
      </c>
      <c r="AO101" s="309">
        <f t="shared" ca="1" si="15"/>
        <v>0</v>
      </c>
      <c r="AP101" s="308">
        <f ca="1">IFERROR(__xludf.DUMMYFUNCTION("IMPORTRANGE(""https://docs.google.com/spreadsheets/d/1C3CXT74ZlgGe6_JY_1olB1XN4rF0dxEuIIF-xsYjHgg/edit?usp=sharing"",""งบกองทุน!AR105"")"),0)</f>
        <v>0</v>
      </c>
      <c r="AQ101" s="308">
        <v>0</v>
      </c>
      <c r="AR101" s="308">
        <f ca="1">IFERROR(__xludf.DUMMYFUNCTION("IMPORTRANGE(""https://docs.google.com/spreadsheets/d/1C3CXT74ZlgGe6_JY_1olB1XN4rF0dxEuIIF-xsYjHgg/edit?usp=sharing"",""งบกองทุน!AS105"")"),0)</f>
        <v>0</v>
      </c>
      <c r="AS101" s="393">
        <v>0</v>
      </c>
    </row>
    <row r="102" spans="1:45" ht="24" hidden="1" customHeight="1">
      <c r="A102" s="327">
        <f t="shared" si="176"/>
        <v>11</v>
      </c>
      <c r="B102" s="328" t="s">
        <v>126</v>
      </c>
      <c r="C102" s="391">
        <f t="shared" ca="1" si="168"/>
        <v>0</v>
      </c>
      <c r="D102" s="306">
        <f ca="1">IFERROR(__xludf.DUMMYFUNCTION("IMPORTRANGE(""https://docs.google.com/spreadsheets/d/1C3CXT74ZlgGe6_JY_1olB1XN4rF0dxEuIIF-xsYjHgg/edit?usp=sharing"",""งบกองทุน!Z106"")"),0)</f>
        <v>0</v>
      </c>
      <c r="E102" s="306">
        <f ca="1">IFERROR(__xludf.DUMMYFUNCTION("IMPORTRANGE(""https://docs.google.com/spreadsheets/d/1C3CXT74ZlgGe6_JY_1olB1XN4rF0dxEuIIF-xsYjHgg/edit?usp=sharing"",""งบกองทุน!AA106"")"),0)</f>
        <v>0</v>
      </c>
      <c r="F102" s="307">
        <v>0</v>
      </c>
      <c r="G102" s="307">
        <f t="shared" ca="1" si="1"/>
        <v>0</v>
      </c>
      <c r="H102" s="308">
        <f t="shared" ref="H102:I102" ca="1" si="184">+N102+V102+AE102</f>
        <v>0</v>
      </c>
      <c r="I102" s="308">
        <f t="shared" ca="1" si="184"/>
        <v>0</v>
      </c>
      <c r="J102" s="308">
        <v>0</v>
      </c>
      <c r="K102" s="309">
        <f t="shared" ca="1" si="3"/>
        <v>0</v>
      </c>
      <c r="L102" s="308">
        <v>0</v>
      </c>
      <c r="M102" s="309">
        <f t="shared" ca="1" si="4"/>
        <v>0</v>
      </c>
      <c r="N102" s="308">
        <f ca="1">IFERROR(__xludf.DUMMYFUNCTION("IMPORTRANGE(""https://docs.google.com/spreadsheets/d/1C3CXT74ZlgGe6_JY_1olB1XN4rF0dxEuIIF-xsYjHgg/edit?usp=sharing"",""งบกองทุน!AD106"")"),0)</f>
        <v>0</v>
      </c>
      <c r="O102" s="308">
        <f ca="1">IFERROR(__xludf.DUMMYFUNCTION("IMPORTRANGE(""https://docs.google.com/spreadsheets/d/1C3CXT74ZlgGe6_JY_1olB1XN4rF0dxEuIIF-xsYjHgg/edit?usp=sharing"",""งบกองทุน!AE106"")"),0)</f>
        <v>0</v>
      </c>
      <c r="P102" s="308">
        <v>0</v>
      </c>
      <c r="Q102" s="309">
        <f t="shared" ca="1" si="6"/>
        <v>0</v>
      </c>
      <c r="R102" s="308">
        <v>0</v>
      </c>
      <c r="S102" s="309">
        <f t="shared" ca="1" si="7"/>
        <v>0</v>
      </c>
      <c r="T102" s="309">
        <v>0</v>
      </c>
      <c r="U102" s="309">
        <v>0</v>
      </c>
      <c r="V102" s="308">
        <f ca="1">IFERROR(__xludf.DUMMYFUNCTION("IMPORTRANGE(""https://docs.google.com/spreadsheets/d/1C3CXT74ZlgGe6_JY_1olB1XN4rF0dxEuIIF-xsYjHgg/edit?usp=sharing"",""งบกองทุน!AH106"")"),0)</f>
        <v>0</v>
      </c>
      <c r="W102" s="308">
        <f ca="1">IFERROR(__xludf.DUMMYFUNCTION("IMPORTRANGE(""https://docs.google.com/spreadsheets/d/1C3CXT74ZlgGe6_JY_1olB1XN4rF0dxEuIIF-xsYjHgg/edit?usp=sharing"",""งบกองทุน!AI106"")"),0)</f>
        <v>0</v>
      </c>
      <c r="X102" s="308">
        <v>0</v>
      </c>
      <c r="Y102" s="309">
        <f t="shared" ca="1" si="9"/>
        <v>0</v>
      </c>
      <c r="Z102" s="308">
        <f t="shared" si="170"/>
        <v>0</v>
      </c>
      <c r="AA102" s="309">
        <f t="shared" ca="1" si="10"/>
        <v>0</v>
      </c>
      <c r="AB102" s="308">
        <v>0</v>
      </c>
      <c r="AC102" s="308">
        <v>0</v>
      </c>
      <c r="AD102" s="308">
        <v>0</v>
      </c>
      <c r="AE102" s="308">
        <f ca="1">IFERROR(__xludf.DUMMYFUNCTION("IMPORTRANGE(""https://docs.google.com/spreadsheets/d/1C3CXT74ZlgGe6_JY_1olB1XN4rF0dxEuIIF-xsYjHgg/edit?usp=sharing"",""งบกองทุน!AM106"")"),0)</f>
        <v>0</v>
      </c>
      <c r="AF102" s="308">
        <f ca="1">IFERROR(__xludf.DUMMYFUNCTION("IMPORTRANGE(""https://docs.google.com/spreadsheets/d/1C3CXT74ZlgGe6_JY_1olB1XN4rF0dxEuIIF-xsYjHgg/edit?usp=sharing"",""งบกองทุน!AN106"")"),0)</f>
        <v>0</v>
      </c>
      <c r="AG102" s="308">
        <v>0</v>
      </c>
      <c r="AH102" s="309">
        <f t="shared" ca="1" si="12"/>
        <v>0</v>
      </c>
      <c r="AI102" s="308">
        <f t="shared" si="171"/>
        <v>0</v>
      </c>
      <c r="AJ102" s="309">
        <f t="shared" ca="1" si="13"/>
        <v>0</v>
      </c>
      <c r="AK102" s="308">
        <v>0</v>
      </c>
      <c r="AL102" s="308">
        <v>0</v>
      </c>
      <c r="AM102" s="308">
        <f t="shared" ca="1" si="172"/>
        <v>0</v>
      </c>
      <c r="AN102" s="308">
        <f t="shared" si="173"/>
        <v>0</v>
      </c>
      <c r="AO102" s="309">
        <f t="shared" ca="1" si="15"/>
        <v>0</v>
      </c>
      <c r="AP102" s="308">
        <f ca="1">IFERROR(__xludf.DUMMYFUNCTION("IMPORTRANGE(""https://docs.google.com/spreadsheets/d/1C3CXT74ZlgGe6_JY_1olB1XN4rF0dxEuIIF-xsYjHgg/edit?usp=sharing"",""งบกองทุน!AR106"")"),0)</f>
        <v>0</v>
      </c>
      <c r="AQ102" s="308">
        <v>0</v>
      </c>
      <c r="AR102" s="308">
        <f ca="1">IFERROR(__xludf.DUMMYFUNCTION("IMPORTRANGE(""https://docs.google.com/spreadsheets/d/1C3CXT74ZlgGe6_JY_1olB1XN4rF0dxEuIIF-xsYjHgg/edit?usp=sharing"",""งบกองทุน!AS106"")"),0)</f>
        <v>0</v>
      </c>
      <c r="AS102" s="393">
        <v>0</v>
      </c>
    </row>
    <row r="103" spans="1:45" ht="24" hidden="1" customHeight="1">
      <c r="A103" s="327">
        <f t="shared" si="176"/>
        <v>12</v>
      </c>
      <c r="B103" s="328" t="s">
        <v>127</v>
      </c>
      <c r="C103" s="391">
        <f t="shared" ca="1" si="168"/>
        <v>0</v>
      </c>
      <c r="D103" s="306">
        <f ca="1">IFERROR(__xludf.DUMMYFUNCTION("IMPORTRANGE(""https://docs.google.com/spreadsheets/d/1C3CXT74ZlgGe6_JY_1olB1XN4rF0dxEuIIF-xsYjHgg/edit?usp=sharing"",""งบกองทุน!Z107"")"),0)</f>
        <v>0</v>
      </c>
      <c r="E103" s="306">
        <f ca="1">IFERROR(__xludf.DUMMYFUNCTION("IMPORTRANGE(""https://docs.google.com/spreadsheets/d/1C3CXT74ZlgGe6_JY_1olB1XN4rF0dxEuIIF-xsYjHgg/edit?usp=sharing"",""งบกองทุน!AA107"")"),0)</f>
        <v>0</v>
      </c>
      <c r="F103" s="307">
        <v>0</v>
      </c>
      <c r="G103" s="307">
        <f t="shared" ca="1" si="1"/>
        <v>0</v>
      </c>
      <c r="H103" s="308">
        <f t="shared" ref="H103:I103" ca="1" si="185">+N103+V103+AE103</f>
        <v>0</v>
      </c>
      <c r="I103" s="308">
        <f t="shared" ca="1" si="185"/>
        <v>0</v>
      </c>
      <c r="J103" s="308">
        <v>0</v>
      </c>
      <c r="K103" s="309">
        <f t="shared" ca="1" si="3"/>
        <v>0</v>
      </c>
      <c r="L103" s="308">
        <v>0</v>
      </c>
      <c r="M103" s="309">
        <f t="shared" ca="1" si="4"/>
        <v>0</v>
      </c>
      <c r="N103" s="308">
        <f ca="1">IFERROR(__xludf.DUMMYFUNCTION("IMPORTRANGE(""https://docs.google.com/spreadsheets/d/1C3CXT74ZlgGe6_JY_1olB1XN4rF0dxEuIIF-xsYjHgg/edit?usp=sharing"",""งบกองทุน!AD107"")"),0)</f>
        <v>0</v>
      </c>
      <c r="O103" s="308">
        <f ca="1">IFERROR(__xludf.DUMMYFUNCTION("IMPORTRANGE(""https://docs.google.com/spreadsheets/d/1C3CXT74ZlgGe6_JY_1olB1XN4rF0dxEuIIF-xsYjHgg/edit?usp=sharing"",""งบกองทุน!AE107"")"),0)</f>
        <v>0</v>
      </c>
      <c r="P103" s="308">
        <v>0</v>
      </c>
      <c r="Q103" s="309">
        <f t="shared" ca="1" si="6"/>
        <v>0</v>
      </c>
      <c r="R103" s="308">
        <v>0</v>
      </c>
      <c r="S103" s="309">
        <f t="shared" ca="1" si="7"/>
        <v>0</v>
      </c>
      <c r="T103" s="309">
        <v>0</v>
      </c>
      <c r="U103" s="309">
        <v>0</v>
      </c>
      <c r="V103" s="308">
        <f ca="1">IFERROR(__xludf.DUMMYFUNCTION("IMPORTRANGE(""https://docs.google.com/spreadsheets/d/1C3CXT74ZlgGe6_JY_1olB1XN4rF0dxEuIIF-xsYjHgg/edit?usp=sharing"",""งบกองทุน!AH107"")"),0)</f>
        <v>0</v>
      </c>
      <c r="W103" s="308">
        <f ca="1">IFERROR(__xludf.DUMMYFUNCTION("IMPORTRANGE(""https://docs.google.com/spreadsheets/d/1C3CXT74ZlgGe6_JY_1olB1XN4rF0dxEuIIF-xsYjHgg/edit?usp=sharing"",""งบกองทุน!AI107"")"),0)</f>
        <v>0</v>
      </c>
      <c r="X103" s="308">
        <v>0</v>
      </c>
      <c r="Y103" s="309">
        <f t="shared" ca="1" si="9"/>
        <v>0</v>
      </c>
      <c r="Z103" s="308">
        <f t="shared" si="170"/>
        <v>0</v>
      </c>
      <c r="AA103" s="309">
        <f t="shared" ca="1" si="10"/>
        <v>0</v>
      </c>
      <c r="AB103" s="308">
        <v>0</v>
      </c>
      <c r="AC103" s="308">
        <v>0</v>
      </c>
      <c r="AD103" s="308">
        <v>0</v>
      </c>
      <c r="AE103" s="308">
        <f ca="1">IFERROR(__xludf.DUMMYFUNCTION("IMPORTRANGE(""https://docs.google.com/spreadsheets/d/1C3CXT74ZlgGe6_JY_1olB1XN4rF0dxEuIIF-xsYjHgg/edit?usp=sharing"",""งบกองทุน!AM107"")"),0)</f>
        <v>0</v>
      </c>
      <c r="AF103" s="308">
        <f ca="1">IFERROR(__xludf.DUMMYFUNCTION("IMPORTRANGE(""https://docs.google.com/spreadsheets/d/1C3CXT74ZlgGe6_JY_1olB1XN4rF0dxEuIIF-xsYjHgg/edit?usp=sharing"",""งบกองทุน!AN107"")"),0)</f>
        <v>0</v>
      </c>
      <c r="AG103" s="308">
        <v>0</v>
      </c>
      <c r="AH103" s="309">
        <f t="shared" ca="1" si="12"/>
        <v>0</v>
      </c>
      <c r="AI103" s="308">
        <f t="shared" si="171"/>
        <v>0</v>
      </c>
      <c r="AJ103" s="309">
        <f t="shared" ca="1" si="13"/>
        <v>0</v>
      </c>
      <c r="AK103" s="308">
        <v>0</v>
      </c>
      <c r="AL103" s="308">
        <v>0</v>
      </c>
      <c r="AM103" s="308">
        <f t="shared" ca="1" si="172"/>
        <v>0</v>
      </c>
      <c r="AN103" s="308">
        <f t="shared" si="173"/>
        <v>0</v>
      </c>
      <c r="AO103" s="309">
        <f t="shared" ca="1" si="15"/>
        <v>0</v>
      </c>
      <c r="AP103" s="308">
        <f ca="1">IFERROR(__xludf.DUMMYFUNCTION("IMPORTRANGE(""https://docs.google.com/spreadsheets/d/1C3CXT74ZlgGe6_JY_1olB1XN4rF0dxEuIIF-xsYjHgg/edit?usp=sharing"",""งบกองทุน!AR107"")"),0)</f>
        <v>0</v>
      </c>
      <c r="AQ103" s="308">
        <v>0</v>
      </c>
      <c r="AR103" s="308">
        <f ca="1">IFERROR(__xludf.DUMMYFUNCTION("IMPORTRANGE(""https://docs.google.com/spreadsheets/d/1C3CXT74ZlgGe6_JY_1olB1XN4rF0dxEuIIF-xsYjHgg/edit?usp=sharing"",""งบกองทุน!AS107"")"),0)</f>
        <v>0</v>
      </c>
      <c r="AS103" s="393">
        <v>0</v>
      </c>
    </row>
    <row r="104" spans="1:45" ht="24" hidden="1" customHeight="1">
      <c r="A104" s="327">
        <f t="shared" si="176"/>
        <v>13</v>
      </c>
      <c r="B104" s="328" t="s">
        <v>128</v>
      </c>
      <c r="C104" s="391">
        <f t="shared" ca="1" si="168"/>
        <v>0</v>
      </c>
      <c r="D104" s="306">
        <f ca="1">IFERROR(__xludf.DUMMYFUNCTION("IMPORTRANGE(""https://docs.google.com/spreadsheets/d/1C3CXT74ZlgGe6_JY_1olB1XN4rF0dxEuIIF-xsYjHgg/edit?usp=sharing"",""งบกองทุน!Z108"")"),0)</f>
        <v>0</v>
      </c>
      <c r="E104" s="306">
        <f ca="1">IFERROR(__xludf.DUMMYFUNCTION("IMPORTRANGE(""https://docs.google.com/spreadsheets/d/1C3CXT74ZlgGe6_JY_1olB1XN4rF0dxEuIIF-xsYjHgg/edit?usp=sharing"",""งบกองทุน!AA108"")"),0)</f>
        <v>0</v>
      </c>
      <c r="F104" s="307">
        <v>0</v>
      </c>
      <c r="G104" s="307">
        <f t="shared" ca="1" si="1"/>
        <v>0</v>
      </c>
      <c r="H104" s="308">
        <f t="shared" ref="H104:I104" ca="1" si="186">+N104+V104+AE104</f>
        <v>0</v>
      </c>
      <c r="I104" s="308">
        <f t="shared" ca="1" si="186"/>
        <v>0</v>
      </c>
      <c r="J104" s="308">
        <v>0</v>
      </c>
      <c r="K104" s="309">
        <f t="shared" ca="1" si="3"/>
        <v>0</v>
      </c>
      <c r="L104" s="308">
        <v>0</v>
      </c>
      <c r="M104" s="309">
        <f t="shared" ca="1" si="4"/>
        <v>0</v>
      </c>
      <c r="N104" s="308">
        <f ca="1">IFERROR(__xludf.DUMMYFUNCTION("IMPORTRANGE(""https://docs.google.com/spreadsheets/d/1C3CXT74ZlgGe6_JY_1olB1XN4rF0dxEuIIF-xsYjHgg/edit?usp=sharing"",""งบกองทุน!AD108"")"),0)</f>
        <v>0</v>
      </c>
      <c r="O104" s="308">
        <f ca="1">IFERROR(__xludf.DUMMYFUNCTION("IMPORTRANGE(""https://docs.google.com/spreadsheets/d/1C3CXT74ZlgGe6_JY_1olB1XN4rF0dxEuIIF-xsYjHgg/edit?usp=sharing"",""งบกองทุน!AE108"")"),0)</f>
        <v>0</v>
      </c>
      <c r="P104" s="308">
        <v>0</v>
      </c>
      <c r="Q104" s="309">
        <f t="shared" ca="1" si="6"/>
        <v>0</v>
      </c>
      <c r="R104" s="308">
        <v>0</v>
      </c>
      <c r="S104" s="309">
        <f t="shared" ca="1" si="7"/>
        <v>0</v>
      </c>
      <c r="T104" s="309">
        <v>0</v>
      </c>
      <c r="U104" s="309">
        <v>0</v>
      </c>
      <c r="V104" s="308">
        <f ca="1">IFERROR(__xludf.DUMMYFUNCTION("IMPORTRANGE(""https://docs.google.com/spreadsheets/d/1C3CXT74ZlgGe6_JY_1olB1XN4rF0dxEuIIF-xsYjHgg/edit?usp=sharing"",""งบกองทุน!AH108"")"),0)</f>
        <v>0</v>
      </c>
      <c r="W104" s="308">
        <f ca="1">IFERROR(__xludf.DUMMYFUNCTION("IMPORTRANGE(""https://docs.google.com/spreadsheets/d/1C3CXT74ZlgGe6_JY_1olB1XN4rF0dxEuIIF-xsYjHgg/edit?usp=sharing"",""งบกองทุน!AI108"")"),0)</f>
        <v>0</v>
      </c>
      <c r="X104" s="308">
        <v>0</v>
      </c>
      <c r="Y104" s="309">
        <f t="shared" ca="1" si="9"/>
        <v>0</v>
      </c>
      <c r="Z104" s="308">
        <f t="shared" si="170"/>
        <v>0</v>
      </c>
      <c r="AA104" s="309">
        <f t="shared" ca="1" si="10"/>
        <v>0</v>
      </c>
      <c r="AB104" s="308">
        <v>0</v>
      </c>
      <c r="AC104" s="308">
        <v>0</v>
      </c>
      <c r="AD104" s="308">
        <v>0</v>
      </c>
      <c r="AE104" s="308">
        <f ca="1">IFERROR(__xludf.DUMMYFUNCTION("IMPORTRANGE(""https://docs.google.com/spreadsheets/d/1C3CXT74ZlgGe6_JY_1olB1XN4rF0dxEuIIF-xsYjHgg/edit?usp=sharing"",""งบกองทุน!AM108"")"),0)</f>
        <v>0</v>
      </c>
      <c r="AF104" s="308">
        <f ca="1">IFERROR(__xludf.DUMMYFUNCTION("IMPORTRANGE(""https://docs.google.com/spreadsheets/d/1C3CXT74ZlgGe6_JY_1olB1XN4rF0dxEuIIF-xsYjHgg/edit?usp=sharing"",""งบกองทุน!AN108"")"),0)</f>
        <v>0</v>
      </c>
      <c r="AG104" s="308">
        <v>0</v>
      </c>
      <c r="AH104" s="309">
        <f t="shared" ca="1" si="12"/>
        <v>0</v>
      </c>
      <c r="AI104" s="308">
        <f t="shared" si="171"/>
        <v>0</v>
      </c>
      <c r="AJ104" s="309">
        <f t="shared" ca="1" si="13"/>
        <v>0</v>
      </c>
      <c r="AK104" s="308">
        <v>0</v>
      </c>
      <c r="AL104" s="308">
        <v>0</v>
      </c>
      <c r="AM104" s="308">
        <f t="shared" ca="1" si="172"/>
        <v>0</v>
      </c>
      <c r="AN104" s="308">
        <f t="shared" si="173"/>
        <v>0</v>
      </c>
      <c r="AO104" s="309">
        <f t="shared" ca="1" si="15"/>
        <v>0</v>
      </c>
      <c r="AP104" s="308">
        <f ca="1">IFERROR(__xludf.DUMMYFUNCTION("IMPORTRANGE(""https://docs.google.com/spreadsheets/d/1C3CXT74ZlgGe6_JY_1olB1XN4rF0dxEuIIF-xsYjHgg/edit?usp=sharing"",""งบกองทุน!AR108"")"),0)</f>
        <v>0</v>
      </c>
      <c r="AQ104" s="308">
        <v>0</v>
      </c>
      <c r="AR104" s="308">
        <f ca="1">IFERROR(__xludf.DUMMYFUNCTION("IMPORTRANGE(""https://docs.google.com/spreadsheets/d/1C3CXT74ZlgGe6_JY_1olB1XN4rF0dxEuIIF-xsYjHgg/edit?usp=sharing"",""งบกองทุน!AS108"")"),0)</f>
        <v>0</v>
      </c>
      <c r="AS104" s="393">
        <v>0</v>
      </c>
    </row>
    <row r="105" spans="1:45" ht="24" hidden="1" customHeight="1">
      <c r="A105" s="329">
        <f t="shared" si="176"/>
        <v>14</v>
      </c>
      <c r="B105" s="330" t="s">
        <v>129</v>
      </c>
      <c r="C105" s="395">
        <f t="shared" ca="1" si="168"/>
        <v>0</v>
      </c>
      <c r="D105" s="313">
        <f ca="1">IFERROR(__xludf.DUMMYFUNCTION("IMPORTRANGE(""https://docs.google.com/spreadsheets/d/1C3CXT74ZlgGe6_JY_1olB1XN4rF0dxEuIIF-xsYjHgg/edit?usp=sharing"",""งบกองทุน!Z109"")"),0)</f>
        <v>0</v>
      </c>
      <c r="E105" s="313">
        <f ca="1">IFERROR(__xludf.DUMMYFUNCTION("IMPORTRANGE(""https://docs.google.com/spreadsheets/d/1C3CXT74ZlgGe6_JY_1olB1XN4rF0dxEuIIF-xsYjHgg/edit?usp=sharing"",""งบกองทุน!AA109"")"),0)</f>
        <v>0</v>
      </c>
      <c r="F105" s="314">
        <v>0</v>
      </c>
      <c r="G105" s="314">
        <f t="shared" ca="1" si="1"/>
        <v>0</v>
      </c>
      <c r="H105" s="315">
        <f t="shared" ref="H105:I105" ca="1" si="187">+N105+V105+AE105</f>
        <v>0</v>
      </c>
      <c r="I105" s="315">
        <f t="shared" ca="1" si="187"/>
        <v>0</v>
      </c>
      <c r="J105" s="315">
        <v>0</v>
      </c>
      <c r="K105" s="316">
        <f t="shared" ca="1" si="3"/>
        <v>0</v>
      </c>
      <c r="L105" s="315">
        <v>0</v>
      </c>
      <c r="M105" s="316">
        <f t="shared" ca="1" si="4"/>
        <v>0</v>
      </c>
      <c r="N105" s="315">
        <f ca="1">IFERROR(__xludf.DUMMYFUNCTION("IMPORTRANGE(""https://docs.google.com/spreadsheets/d/1C3CXT74ZlgGe6_JY_1olB1XN4rF0dxEuIIF-xsYjHgg/edit?usp=sharing"",""งบกองทุน!AD109"")"),0)</f>
        <v>0</v>
      </c>
      <c r="O105" s="315">
        <f ca="1">IFERROR(__xludf.DUMMYFUNCTION("IMPORTRANGE(""https://docs.google.com/spreadsheets/d/1C3CXT74ZlgGe6_JY_1olB1XN4rF0dxEuIIF-xsYjHgg/edit?usp=sharing"",""งบกองทุน!AE109"")"),0)</f>
        <v>0</v>
      </c>
      <c r="P105" s="315">
        <v>0</v>
      </c>
      <c r="Q105" s="316">
        <f t="shared" ca="1" si="6"/>
        <v>0</v>
      </c>
      <c r="R105" s="315">
        <v>0</v>
      </c>
      <c r="S105" s="316">
        <f t="shared" ca="1" si="7"/>
        <v>0</v>
      </c>
      <c r="T105" s="316">
        <v>0</v>
      </c>
      <c r="U105" s="316">
        <v>0</v>
      </c>
      <c r="V105" s="315">
        <f ca="1">IFERROR(__xludf.DUMMYFUNCTION("IMPORTRANGE(""https://docs.google.com/spreadsheets/d/1C3CXT74ZlgGe6_JY_1olB1XN4rF0dxEuIIF-xsYjHgg/edit?usp=sharing"",""งบกองทุน!AH109"")"),0)</f>
        <v>0</v>
      </c>
      <c r="W105" s="315">
        <f ca="1">IFERROR(__xludf.DUMMYFUNCTION("IMPORTRANGE(""https://docs.google.com/spreadsheets/d/1C3CXT74ZlgGe6_JY_1olB1XN4rF0dxEuIIF-xsYjHgg/edit?usp=sharing"",""งบกองทุน!AI109"")"),0)</f>
        <v>0</v>
      </c>
      <c r="X105" s="315">
        <v>0</v>
      </c>
      <c r="Y105" s="316">
        <f t="shared" ca="1" si="9"/>
        <v>0</v>
      </c>
      <c r="Z105" s="315">
        <f t="shared" si="170"/>
        <v>0</v>
      </c>
      <c r="AA105" s="316">
        <f t="shared" ca="1" si="10"/>
        <v>0</v>
      </c>
      <c r="AB105" s="315">
        <v>0</v>
      </c>
      <c r="AC105" s="315">
        <v>0</v>
      </c>
      <c r="AD105" s="315">
        <v>0</v>
      </c>
      <c r="AE105" s="315">
        <f ca="1">IFERROR(__xludf.DUMMYFUNCTION("IMPORTRANGE(""https://docs.google.com/spreadsheets/d/1C3CXT74ZlgGe6_JY_1olB1XN4rF0dxEuIIF-xsYjHgg/edit?usp=sharing"",""งบกองทุน!AM109"")"),0)</f>
        <v>0</v>
      </c>
      <c r="AF105" s="315">
        <f ca="1">IFERROR(__xludf.DUMMYFUNCTION("IMPORTRANGE(""https://docs.google.com/spreadsheets/d/1C3CXT74ZlgGe6_JY_1olB1XN4rF0dxEuIIF-xsYjHgg/edit?usp=sharing"",""งบกองทุน!AN109"")"),0)</f>
        <v>0</v>
      </c>
      <c r="AG105" s="315">
        <v>0</v>
      </c>
      <c r="AH105" s="316">
        <f t="shared" ca="1" si="12"/>
        <v>0</v>
      </c>
      <c r="AI105" s="315">
        <f t="shared" si="171"/>
        <v>0</v>
      </c>
      <c r="AJ105" s="316">
        <f t="shared" ca="1" si="13"/>
        <v>0</v>
      </c>
      <c r="AK105" s="315">
        <v>0</v>
      </c>
      <c r="AL105" s="315">
        <v>0</v>
      </c>
      <c r="AM105" s="315">
        <f t="shared" ca="1" si="172"/>
        <v>0</v>
      </c>
      <c r="AN105" s="315">
        <f t="shared" si="173"/>
        <v>0</v>
      </c>
      <c r="AO105" s="316">
        <f t="shared" ca="1" si="15"/>
        <v>0</v>
      </c>
      <c r="AP105" s="315">
        <f ca="1">IFERROR(__xludf.DUMMYFUNCTION("IMPORTRANGE(""https://docs.google.com/spreadsheets/d/1C3CXT74ZlgGe6_JY_1olB1XN4rF0dxEuIIF-xsYjHgg/edit?usp=sharing"",""งบกองทุน!AR109"")"),0)</f>
        <v>0</v>
      </c>
      <c r="AQ105" s="315">
        <v>0</v>
      </c>
      <c r="AR105" s="315">
        <f ca="1">IFERROR(__xludf.DUMMYFUNCTION("IMPORTRANGE(""https://docs.google.com/spreadsheets/d/1C3CXT74ZlgGe6_JY_1olB1XN4rF0dxEuIIF-xsYjHgg/edit?usp=sharing"",""งบกองทุน!AS109"")"),0)</f>
        <v>0</v>
      </c>
      <c r="AS105" s="397">
        <v>0</v>
      </c>
    </row>
    <row r="106" spans="1:45" ht="27.75" hidden="1" customHeight="1">
      <c r="A106" s="791" t="s">
        <v>130</v>
      </c>
      <c r="B106" s="652"/>
      <c r="C106" s="402">
        <f t="shared" ref="C106:F106" ca="1" si="188">+C107+C108+C109+C110+C111+C112+C113+C114</f>
        <v>0</v>
      </c>
      <c r="D106" s="323">
        <f t="shared" ca="1" si="188"/>
        <v>0</v>
      </c>
      <c r="E106" s="323">
        <f t="shared" ca="1" si="188"/>
        <v>0</v>
      </c>
      <c r="F106" s="324">
        <f t="shared" si="188"/>
        <v>0</v>
      </c>
      <c r="G106" s="324">
        <f t="shared" ca="1" si="1"/>
        <v>0</v>
      </c>
      <c r="H106" s="323">
        <f t="shared" ref="H106:J106" ca="1" si="189">+H107+H108+H109+H110+H111+H112+H113+H114</f>
        <v>0</v>
      </c>
      <c r="I106" s="323">
        <f t="shared" ca="1" si="189"/>
        <v>0</v>
      </c>
      <c r="J106" s="323">
        <f t="shared" si="189"/>
        <v>0</v>
      </c>
      <c r="K106" s="324">
        <f t="shared" ca="1" si="3"/>
        <v>0</v>
      </c>
      <c r="L106" s="323">
        <f>+L107+L108+L109+L110+L111+L112+L113+L114</f>
        <v>0</v>
      </c>
      <c r="M106" s="324">
        <f t="shared" ca="1" si="4"/>
        <v>0</v>
      </c>
      <c r="N106" s="323">
        <f t="shared" ref="N106:P106" ca="1" si="190">+N107+N108+N109+N110+N111+N112+N113+N114</f>
        <v>0</v>
      </c>
      <c r="O106" s="323">
        <f t="shared" ca="1" si="190"/>
        <v>0</v>
      </c>
      <c r="P106" s="323">
        <f t="shared" si="190"/>
        <v>0</v>
      </c>
      <c r="Q106" s="324">
        <f t="shared" ca="1" si="6"/>
        <v>0</v>
      </c>
      <c r="R106" s="323">
        <f>+R107+R108+R109+R110+R111+R112+R113+R114</f>
        <v>0</v>
      </c>
      <c r="S106" s="324">
        <f t="shared" ca="1" si="7"/>
        <v>0</v>
      </c>
      <c r="T106" s="323">
        <f t="shared" ref="T106:X106" si="191">+T107+T108+T109+T110+T111+T112+T113+T114</f>
        <v>0</v>
      </c>
      <c r="U106" s="323">
        <f t="shared" si="191"/>
        <v>0</v>
      </c>
      <c r="V106" s="323">
        <f t="shared" ca="1" si="191"/>
        <v>0</v>
      </c>
      <c r="W106" s="323">
        <f t="shared" ca="1" si="191"/>
        <v>0</v>
      </c>
      <c r="X106" s="323">
        <f t="shared" si="191"/>
        <v>0</v>
      </c>
      <c r="Y106" s="324">
        <f t="shared" ca="1" si="9"/>
        <v>0</v>
      </c>
      <c r="Z106" s="323">
        <f>+Z107+Z108+Z109+Z110+Z111+Z112+Z113+Z114</f>
        <v>0</v>
      </c>
      <c r="AA106" s="324">
        <f t="shared" ca="1" si="10"/>
        <v>0</v>
      </c>
      <c r="AB106" s="323">
        <f t="shared" ref="AB106:AG106" si="192">+AB107+AB108+AB109+AB110+AB111+AB112+AB113+AB114</f>
        <v>0</v>
      </c>
      <c r="AC106" s="323">
        <f t="shared" si="192"/>
        <v>0</v>
      </c>
      <c r="AD106" s="323">
        <f t="shared" si="192"/>
        <v>0</v>
      </c>
      <c r="AE106" s="323">
        <f t="shared" ca="1" si="192"/>
        <v>0</v>
      </c>
      <c r="AF106" s="323">
        <f t="shared" ca="1" si="192"/>
        <v>0</v>
      </c>
      <c r="AG106" s="323">
        <f t="shared" si="192"/>
        <v>0</v>
      </c>
      <c r="AH106" s="323">
        <f t="shared" ca="1" si="12"/>
        <v>0</v>
      </c>
      <c r="AI106" s="323">
        <f>+AI107+AI108+AI109+AI110+AI111+AI112+AI113+AI114</f>
        <v>0</v>
      </c>
      <c r="AJ106" s="323">
        <f t="shared" ca="1" si="13"/>
        <v>0</v>
      </c>
      <c r="AK106" s="323">
        <f t="shared" ref="AK106:AN106" si="193">+AK107+AK108+AK109+AK110+AK111+AK112+AK113+AK114</f>
        <v>0</v>
      </c>
      <c r="AL106" s="323">
        <f t="shared" si="193"/>
        <v>0</v>
      </c>
      <c r="AM106" s="323">
        <f t="shared" ca="1" si="193"/>
        <v>0</v>
      </c>
      <c r="AN106" s="323">
        <f t="shared" si="193"/>
        <v>0</v>
      </c>
      <c r="AO106" s="323">
        <f t="shared" ca="1" si="15"/>
        <v>0</v>
      </c>
      <c r="AP106" s="323">
        <f t="shared" ref="AP106:AS106" ca="1" si="194">+AP107+AP108+AP109+AP110+AP111+AP112+AP113+AP114</f>
        <v>0</v>
      </c>
      <c r="AQ106" s="323">
        <f t="shared" si="194"/>
        <v>0</v>
      </c>
      <c r="AR106" s="323">
        <f t="shared" ca="1" si="194"/>
        <v>0</v>
      </c>
      <c r="AS106" s="323">
        <f t="shared" si="194"/>
        <v>0</v>
      </c>
    </row>
    <row r="107" spans="1:45" ht="24" hidden="1" customHeight="1">
      <c r="A107" s="325">
        <v>1</v>
      </c>
      <c r="B107" s="326" t="s">
        <v>131</v>
      </c>
      <c r="C107" s="388">
        <f t="shared" ref="C107:C114" ca="1" si="195">+D107+E107</f>
        <v>0</v>
      </c>
      <c r="D107" s="296">
        <f ca="1">IFERROR(__xludf.DUMMYFUNCTION("IMPORTRANGE(""https://docs.google.com/spreadsheets/d/1C3CXT74ZlgGe6_JY_1olB1XN4rF0dxEuIIF-xsYjHgg/edit?usp=sharing"",""งบกองทุน!Z111"")"),0)</f>
        <v>0</v>
      </c>
      <c r="E107" s="296">
        <f ca="1">IFERROR(__xludf.DUMMYFUNCTION("IMPORTRANGE(""https://docs.google.com/spreadsheets/d/1C3CXT74ZlgGe6_JY_1olB1XN4rF0dxEuIIF-xsYjHgg/edit?usp=sharing"",""งบกองทุน!AA111"")"),0)</f>
        <v>0</v>
      </c>
      <c r="F107" s="297">
        <v>0</v>
      </c>
      <c r="G107" s="297">
        <f t="shared" ca="1" si="1"/>
        <v>0</v>
      </c>
      <c r="H107" s="299">
        <f t="shared" ref="H107:I107" ca="1" si="196">+N107+V107+AE107</f>
        <v>0</v>
      </c>
      <c r="I107" s="299">
        <f t="shared" ca="1" si="196"/>
        <v>0</v>
      </c>
      <c r="J107" s="299">
        <v>0</v>
      </c>
      <c r="K107" s="301">
        <f t="shared" ca="1" si="3"/>
        <v>0</v>
      </c>
      <c r="L107" s="299">
        <v>0</v>
      </c>
      <c r="M107" s="301">
        <f t="shared" ca="1" si="4"/>
        <v>0</v>
      </c>
      <c r="N107" s="299">
        <f ca="1">IFERROR(__xludf.DUMMYFUNCTION("IMPORTRANGE(""https://docs.google.com/spreadsheets/d/1C3CXT74ZlgGe6_JY_1olB1XN4rF0dxEuIIF-xsYjHgg/edit?usp=sharing"",""งบกองทุน!AD111"")"),0)</f>
        <v>0</v>
      </c>
      <c r="O107" s="299">
        <f ca="1">IFERROR(__xludf.DUMMYFUNCTION("IMPORTRANGE(""https://docs.google.com/spreadsheets/d/1C3CXT74ZlgGe6_JY_1olB1XN4rF0dxEuIIF-xsYjHgg/edit?usp=sharing"",""งบกองทุน!AE111"")"),0)</f>
        <v>0</v>
      </c>
      <c r="P107" s="299">
        <v>0</v>
      </c>
      <c r="Q107" s="301">
        <f t="shared" ca="1" si="6"/>
        <v>0</v>
      </c>
      <c r="R107" s="299">
        <v>0</v>
      </c>
      <c r="S107" s="301">
        <f t="shared" ca="1" si="7"/>
        <v>0</v>
      </c>
      <c r="T107" s="301">
        <v>0</v>
      </c>
      <c r="U107" s="301">
        <v>0</v>
      </c>
      <c r="V107" s="299">
        <f ca="1">IFERROR(__xludf.DUMMYFUNCTION("IMPORTRANGE(""https://docs.google.com/spreadsheets/d/1C3CXT74ZlgGe6_JY_1olB1XN4rF0dxEuIIF-xsYjHgg/edit?usp=sharing"",""งบกองทุน!AH111"")"),0)</f>
        <v>0</v>
      </c>
      <c r="W107" s="299">
        <f ca="1">IFERROR(__xludf.DUMMYFUNCTION("IMPORTRANGE(""https://docs.google.com/spreadsheets/d/1C3CXT74ZlgGe6_JY_1olB1XN4rF0dxEuIIF-xsYjHgg/edit?usp=sharing"",""งบกองทุน!AI111"")"),0)</f>
        <v>0</v>
      </c>
      <c r="X107" s="299">
        <v>0</v>
      </c>
      <c r="Y107" s="301">
        <f t="shared" ca="1" si="9"/>
        <v>0</v>
      </c>
      <c r="Z107" s="299">
        <f t="shared" ref="Z107:Z114" si="197">SUM(AB107:AD107)</f>
        <v>0</v>
      </c>
      <c r="AA107" s="301">
        <f t="shared" ca="1" si="10"/>
        <v>0</v>
      </c>
      <c r="AB107" s="299">
        <v>0</v>
      </c>
      <c r="AC107" s="299">
        <v>0</v>
      </c>
      <c r="AD107" s="299">
        <v>0</v>
      </c>
      <c r="AE107" s="299">
        <f ca="1">IFERROR(__xludf.DUMMYFUNCTION("IMPORTRANGE(""https://docs.google.com/spreadsheets/d/1C3CXT74ZlgGe6_JY_1olB1XN4rF0dxEuIIF-xsYjHgg/edit?usp=sharing"",""งบกองทุน!AM111"")"),0)</f>
        <v>0</v>
      </c>
      <c r="AF107" s="299">
        <f ca="1">IFERROR(__xludf.DUMMYFUNCTION("IMPORTRANGE(""https://docs.google.com/spreadsheets/d/1C3CXT74ZlgGe6_JY_1olB1XN4rF0dxEuIIF-xsYjHgg/edit?usp=sharing"",""งบกองทุน!AN111"")"),0)</f>
        <v>0</v>
      </c>
      <c r="AG107" s="299">
        <v>0</v>
      </c>
      <c r="AH107" s="301">
        <f t="shared" ca="1" si="12"/>
        <v>0</v>
      </c>
      <c r="AI107" s="299">
        <f t="shared" ref="AI107:AI114" si="198">SUM(AK107:AL107)</f>
        <v>0</v>
      </c>
      <c r="AJ107" s="301">
        <f t="shared" ca="1" si="13"/>
        <v>0</v>
      </c>
      <c r="AK107" s="299">
        <v>0</v>
      </c>
      <c r="AL107" s="299">
        <v>0</v>
      </c>
      <c r="AM107" s="299">
        <f t="shared" ref="AM107:AM114" ca="1" si="199">+AP107+AR107</f>
        <v>0</v>
      </c>
      <c r="AN107" s="299">
        <f t="shared" ref="AN107:AN114" si="200">SUM(AQ107,AS107)</f>
        <v>0</v>
      </c>
      <c r="AO107" s="301">
        <f t="shared" ca="1" si="15"/>
        <v>0</v>
      </c>
      <c r="AP107" s="299">
        <f ca="1">IFERROR(__xludf.DUMMYFUNCTION("IMPORTRANGE(""https://docs.google.com/spreadsheets/d/1C3CXT74ZlgGe6_JY_1olB1XN4rF0dxEuIIF-xsYjHgg/edit?usp=sharing"",""งบกองทุน!AR111"")"),0)</f>
        <v>0</v>
      </c>
      <c r="AQ107" s="299">
        <v>0</v>
      </c>
      <c r="AR107" s="299">
        <f ca="1">IFERROR(__xludf.DUMMYFUNCTION("IMPORTRANGE(""https://docs.google.com/spreadsheets/d/1C3CXT74ZlgGe6_JY_1olB1XN4rF0dxEuIIF-xsYjHgg/edit?usp=sharing"",""งบกองทุน!AS111"")"),0)</f>
        <v>0</v>
      </c>
      <c r="AS107" s="390">
        <v>0</v>
      </c>
    </row>
    <row r="108" spans="1:45" ht="24" hidden="1" customHeight="1">
      <c r="A108" s="327">
        <v>2</v>
      </c>
      <c r="B108" s="328" t="s">
        <v>132</v>
      </c>
      <c r="C108" s="391">
        <f t="shared" ca="1" si="195"/>
        <v>0</v>
      </c>
      <c r="D108" s="306">
        <f ca="1">IFERROR(__xludf.DUMMYFUNCTION("IMPORTRANGE(""https://docs.google.com/spreadsheets/d/1C3CXT74ZlgGe6_JY_1olB1XN4rF0dxEuIIF-xsYjHgg/edit?usp=sharing"",""งบกองทุน!Z112"")"),0)</f>
        <v>0</v>
      </c>
      <c r="E108" s="306">
        <f ca="1">IFERROR(__xludf.DUMMYFUNCTION("IMPORTRANGE(""https://docs.google.com/spreadsheets/d/1C3CXT74ZlgGe6_JY_1olB1XN4rF0dxEuIIF-xsYjHgg/edit?usp=sharing"",""งบกองทุน!AA112"")"),0)</f>
        <v>0</v>
      </c>
      <c r="F108" s="307">
        <v>0</v>
      </c>
      <c r="G108" s="307">
        <f t="shared" ca="1" si="1"/>
        <v>0</v>
      </c>
      <c r="H108" s="308">
        <f t="shared" ref="H108:I108" ca="1" si="201">+N108+V108+AE108</f>
        <v>0</v>
      </c>
      <c r="I108" s="308">
        <f t="shared" ca="1" si="201"/>
        <v>0</v>
      </c>
      <c r="J108" s="308">
        <v>0</v>
      </c>
      <c r="K108" s="309">
        <f t="shared" ca="1" si="3"/>
        <v>0</v>
      </c>
      <c r="L108" s="308">
        <v>0</v>
      </c>
      <c r="M108" s="309">
        <f t="shared" ca="1" si="4"/>
        <v>0</v>
      </c>
      <c r="N108" s="308">
        <f ca="1">IFERROR(__xludf.DUMMYFUNCTION("IMPORTRANGE(""https://docs.google.com/spreadsheets/d/1C3CXT74ZlgGe6_JY_1olB1XN4rF0dxEuIIF-xsYjHgg/edit?usp=sharing"",""งบกองทุน!AD112"")"),0)</f>
        <v>0</v>
      </c>
      <c r="O108" s="308">
        <f ca="1">IFERROR(__xludf.DUMMYFUNCTION("IMPORTRANGE(""https://docs.google.com/spreadsheets/d/1C3CXT74ZlgGe6_JY_1olB1XN4rF0dxEuIIF-xsYjHgg/edit?usp=sharing"",""งบกองทุน!AE112"")"),0)</f>
        <v>0</v>
      </c>
      <c r="P108" s="308">
        <v>0</v>
      </c>
      <c r="Q108" s="309">
        <f t="shared" ca="1" si="6"/>
        <v>0</v>
      </c>
      <c r="R108" s="308">
        <v>0</v>
      </c>
      <c r="S108" s="309">
        <f t="shared" ca="1" si="7"/>
        <v>0</v>
      </c>
      <c r="T108" s="309">
        <v>0</v>
      </c>
      <c r="U108" s="309">
        <v>0</v>
      </c>
      <c r="V108" s="308">
        <f ca="1">IFERROR(__xludf.DUMMYFUNCTION("IMPORTRANGE(""https://docs.google.com/spreadsheets/d/1C3CXT74ZlgGe6_JY_1olB1XN4rF0dxEuIIF-xsYjHgg/edit?usp=sharing"",""งบกองทุน!AH112"")"),0)</f>
        <v>0</v>
      </c>
      <c r="W108" s="308">
        <f ca="1">IFERROR(__xludf.DUMMYFUNCTION("IMPORTRANGE(""https://docs.google.com/spreadsheets/d/1C3CXT74ZlgGe6_JY_1olB1XN4rF0dxEuIIF-xsYjHgg/edit?usp=sharing"",""งบกองทุน!AI112"")"),0)</f>
        <v>0</v>
      </c>
      <c r="X108" s="308">
        <v>0</v>
      </c>
      <c r="Y108" s="309">
        <f t="shared" ca="1" si="9"/>
        <v>0</v>
      </c>
      <c r="Z108" s="308">
        <f t="shared" si="197"/>
        <v>0</v>
      </c>
      <c r="AA108" s="309">
        <f t="shared" ca="1" si="10"/>
        <v>0</v>
      </c>
      <c r="AB108" s="308">
        <v>0</v>
      </c>
      <c r="AC108" s="308">
        <v>0</v>
      </c>
      <c r="AD108" s="308">
        <v>0</v>
      </c>
      <c r="AE108" s="308">
        <f ca="1">IFERROR(__xludf.DUMMYFUNCTION("IMPORTRANGE(""https://docs.google.com/spreadsheets/d/1C3CXT74ZlgGe6_JY_1olB1XN4rF0dxEuIIF-xsYjHgg/edit?usp=sharing"",""งบกองทุน!AM112"")"),0)</f>
        <v>0</v>
      </c>
      <c r="AF108" s="308">
        <f ca="1">IFERROR(__xludf.DUMMYFUNCTION("IMPORTRANGE(""https://docs.google.com/spreadsheets/d/1C3CXT74ZlgGe6_JY_1olB1XN4rF0dxEuIIF-xsYjHgg/edit?usp=sharing"",""งบกองทุน!AN112"")"),0)</f>
        <v>0</v>
      </c>
      <c r="AG108" s="308">
        <v>0</v>
      </c>
      <c r="AH108" s="309">
        <f t="shared" ca="1" si="12"/>
        <v>0</v>
      </c>
      <c r="AI108" s="308">
        <f t="shared" si="198"/>
        <v>0</v>
      </c>
      <c r="AJ108" s="309">
        <f t="shared" ca="1" si="13"/>
        <v>0</v>
      </c>
      <c r="AK108" s="308">
        <v>0</v>
      </c>
      <c r="AL108" s="308">
        <v>0</v>
      </c>
      <c r="AM108" s="308">
        <f t="shared" ca="1" si="199"/>
        <v>0</v>
      </c>
      <c r="AN108" s="308">
        <f t="shared" si="200"/>
        <v>0</v>
      </c>
      <c r="AO108" s="309">
        <f t="shared" ca="1" si="15"/>
        <v>0</v>
      </c>
      <c r="AP108" s="308">
        <f ca="1">IFERROR(__xludf.DUMMYFUNCTION("IMPORTRANGE(""https://docs.google.com/spreadsheets/d/1C3CXT74ZlgGe6_JY_1olB1XN4rF0dxEuIIF-xsYjHgg/edit?usp=sharing"",""งบกองทุน!AR112"")"),0)</f>
        <v>0</v>
      </c>
      <c r="AQ108" s="308">
        <v>0</v>
      </c>
      <c r="AR108" s="308">
        <f ca="1">IFERROR(__xludf.DUMMYFUNCTION("IMPORTRANGE(""https://docs.google.com/spreadsheets/d/1C3CXT74ZlgGe6_JY_1olB1XN4rF0dxEuIIF-xsYjHgg/edit?usp=sharing"",""งบกองทุน!AS112"")"),0)</f>
        <v>0</v>
      </c>
      <c r="AS108" s="393">
        <v>0</v>
      </c>
    </row>
    <row r="109" spans="1:45" ht="24" hidden="1" customHeight="1">
      <c r="A109" s="327">
        <v>3</v>
      </c>
      <c r="B109" s="328" t="s">
        <v>133</v>
      </c>
      <c r="C109" s="391">
        <f t="shared" ca="1" si="195"/>
        <v>0</v>
      </c>
      <c r="D109" s="306">
        <f ca="1">IFERROR(__xludf.DUMMYFUNCTION("IMPORTRANGE(""https://docs.google.com/spreadsheets/d/1C3CXT74ZlgGe6_JY_1olB1XN4rF0dxEuIIF-xsYjHgg/edit?usp=sharing"",""งบกองทุน!Z113"")"),0)</f>
        <v>0</v>
      </c>
      <c r="E109" s="306">
        <f ca="1">IFERROR(__xludf.DUMMYFUNCTION("IMPORTRANGE(""https://docs.google.com/spreadsheets/d/1C3CXT74ZlgGe6_JY_1olB1XN4rF0dxEuIIF-xsYjHgg/edit?usp=sharing"",""งบกองทุน!AA113"")"),0)</f>
        <v>0</v>
      </c>
      <c r="F109" s="307">
        <v>0</v>
      </c>
      <c r="G109" s="307">
        <f t="shared" ca="1" si="1"/>
        <v>0</v>
      </c>
      <c r="H109" s="308">
        <f t="shared" ref="H109:I109" ca="1" si="202">+N109+V109+AE109</f>
        <v>0</v>
      </c>
      <c r="I109" s="308">
        <f t="shared" ca="1" si="202"/>
        <v>0</v>
      </c>
      <c r="J109" s="308">
        <v>0</v>
      </c>
      <c r="K109" s="309">
        <f t="shared" ca="1" si="3"/>
        <v>0</v>
      </c>
      <c r="L109" s="308">
        <v>0</v>
      </c>
      <c r="M109" s="309">
        <f t="shared" ca="1" si="4"/>
        <v>0</v>
      </c>
      <c r="N109" s="308">
        <f ca="1">IFERROR(__xludf.DUMMYFUNCTION("IMPORTRANGE(""https://docs.google.com/spreadsheets/d/1C3CXT74ZlgGe6_JY_1olB1XN4rF0dxEuIIF-xsYjHgg/edit?usp=sharing"",""งบกองทุน!AD113"")"),0)</f>
        <v>0</v>
      </c>
      <c r="O109" s="308">
        <f ca="1">IFERROR(__xludf.DUMMYFUNCTION("IMPORTRANGE(""https://docs.google.com/spreadsheets/d/1C3CXT74ZlgGe6_JY_1olB1XN4rF0dxEuIIF-xsYjHgg/edit?usp=sharing"",""งบกองทุน!AE113"")"),0)</f>
        <v>0</v>
      </c>
      <c r="P109" s="308">
        <v>0</v>
      </c>
      <c r="Q109" s="309">
        <f t="shared" ca="1" si="6"/>
        <v>0</v>
      </c>
      <c r="R109" s="308">
        <v>0</v>
      </c>
      <c r="S109" s="309">
        <f t="shared" ca="1" si="7"/>
        <v>0</v>
      </c>
      <c r="T109" s="309">
        <v>0</v>
      </c>
      <c r="U109" s="309">
        <v>0</v>
      </c>
      <c r="V109" s="308">
        <f ca="1">IFERROR(__xludf.DUMMYFUNCTION("IMPORTRANGE(""https://docs.google.com/spreadsheets/d/1C3CXT74ZlgGe6_JY_1olB1XN4rF0dxEuIIF-xsYjHgg/edit?usp=sharing"",""งบกองทุน!AH113"")"),0)</f>
        <v>0</v>
      </c>
      <c r="W109" s="308">
        <f ca="1">IFERROR(__xludf.DUMMYFUNCTION("IMPORTRANGE(""https://docs.google.com/spreadsheets/d/1C3CXT74ZlgGe6_JY_1olB1XN4rF0dxEuIIF-xsYjHgg/edit?usp=sharing"",""งบกองทุน!AI113"")"),0)</f>
        <v>0</v>
      </c>
      <c r="X109" s="308">
        <v>0</v>
      </c>
      <c r="Y109" s="309">
        <f t="shared" ca="1" si="9"/>
        <v>0</v>
      </c>
      <c r="Z109" s="308">
        <f t="shared" si="197"/>
        <v>0</v>
      </c>
      <c r="AA109" s="309">
        <f t="shared" ca="1" si="10"/>
        <v>0</v>
      </c>
      <c r="AB109" s="308">
        <v>0</v>
      </c>
      <c r="AC109" s="308">
        <v>0</v>
      </c>
      <c r="AD109" s="308">
        <v>0</v>
      </c>
      <c r="AE109" s="308">
        <f ca="1">IFERROR(__xludf.DUMMYFUNCTION("IMPORTRANGE(""https://docs.google.com/spreadsheets/d/1C3CXT74ZlgGe6_JY_1olB1XN4rF0dxEuIIF-xsYjHgg/edit?usp=sharing"",""งบกองทุน!AM113"")"),0)</f>
        <v>0</v>
      </c>
      <c r="AF109" s="308">
        <f ca="1">IFERROR(__xludf.DUMMYFUNCTION("IMPORTRANGE(""https://docs.google.com/spreadsheets/d/1C3CXT74ZlgGe6_JY_1olB1XN4rF0dxEuIIF-xsYjHgg/edit?usp=sharing"",""งบกองทุน!AN113"")"),0)</f>
        <v>0</v>
      </c>
      <c r="AG109" s="308">
        <v>0</v>
      </c>
      <c r="AH109" s="309">
        <f t="shared" ca="1" si="12"/>
        <v>0</v>
      </c>
      <c r="AI109" s="308">
        <f t="shared" si="198"/>
        <v>0</v>
      </c>
      <c r="AJ109" s="309">
        <f t="shared" ca="1" si="13"/>
        <v>0</v>
      </c>
      <c r="AK109" s="308">
        <v>0</v>
      </c>
      <c r="AL109" s="308">
        <v>0</v>
      </c>
      <c r="AM109" s="308">
        <f t="shared" ca="1" si="199"/>
        <v>0</v>
      </c>
      <c r="AN109" s="308">
        <f t="shared" si="200"/>
        <v>0</v>
      </c>
      <c r="AO109" s="309">
        <f t="shared" ca="1" si="15"/>
        <v>0</v>
      </c>
      <c r="AP109" s="308">
        <f ca="1">IFERROR(__xludf.DUMMYFUNCTION("IMPORTRANGE(""https://docs.google.com/spreadsheets/d/1C3CXT74ZlgGe6_JY_1olB1XN4rF0dxEuIIF-xsYjHgg/edit?usp=sharing"",""งบกองทุน!AR113"")"),0)</f>
        <v>0</v>
      </c>
      <c r="AQ109" s="308">
        <v>0</v>
      </c>
      <c r="AR109" s="308">
        <f ca="1">IFERROR(__xludf.DUMMYFUNCTION("IMPORTRANGE(""https://docs.google.com/spreadsheets/d/1C3CXT74ZlgGe6_JY_1olB1XN4rF0dxEuIIF-xsYjHgg/edit?usp=sharing"",""งบกองทุน!AS113"")"),0)</f>
        <v>0</v>
      </c>
      <c r="AS109" s="393">
        <v>0</v>
      </c>
    </row>
    <row r="110" spans="1:45" ht="24" hidden="1" customHeight="1">
      <c r="A110" s="327">
        <f t="shared" ref="A110:A112" si="203">+A109+1</f>
        <v>4</v>
      </c>
      <c r="B110" s="328" t="s">
        <v>134</v>
      </c>
      <c r="C110" s="391">
        <f t="shared" ca="1" si="195"/>
        <v>0</v>
      </c>
      <c r="D110" s="306">
        <f ca="1">IFERROR(__xludf.DUMMYFUNCTION("IMPORTRANGE(""https://docs.google.com/spreadsheets/d/1C3CXT74ZlgGe6_JY_1olB1XN4rF0dxEuIIF-xsYjHgg/edit?usp=sharing"",""งบกองทุน!Z114"")"),0)</f>
        <v>0</v>
      </c>
      <c r="E110" s="306">
        <f ca="1">IFERROR(__xludf.DUMMYFUNCTION("IMPORTRANGE(""https://docs.google.com/spreadsheets/d/1C3CXT74ZlgGe6_JY_1olB1XN4rF0dxEuIIF-xsYjHgg/edit?usp=sharing"",""งบกองทุน!AA114"")"),0)</f>
        <v>0</v>
      </c>
      <c r="F110" s="307">
        <v>0</v>
      </c>
      <c r="G110" s="307">
        <f t="shared" ca="1" si="1"/>
        <v>0</v>
      </c>
      <c r="H110" s="308">
        <f t="shared" ref="H110:I110" ca="1" si="204">+N110+V110+AE110</f>
        <v>0</v>
      </c>
      <c r="I110" s="308">
        <f t="shared" ca="1" si="204"/>
        <v>0</v>
      </c>
      <c r="J110" s="308">
        <v>0</v>
      </c>
      <c r="K110" s="309">
        <f t="shared" ca="1" si="3"/>
        <v>0</v>
      </c>
      <c r="L110" s="308">
        <v>0</v>
      </c>
      <c r="M110" s="309">
        <f t="shared" ca="1" si="4"/>
        <v>0</v>
      </c>
      <c r="N110" s="308">
        <f ca="1">IFERROR(__xludf.DUMMYFUNCTION("IMPORTRANGE(""https://docs.google.com/spreadsheets/d/1C3CXT74ZlgGe6_JY_1olB1XN4rF0dxEuIIF-xsYjHgg/edit?usp=sharing"",""งบกองทุน!AD114"")"),0)</f>
        <v>0</v>
      </c>
      <c r="O110" s="308">
        <f ca="1">IFERROR(__xludf.DUMMYFUNCTION("IMPORTRANGE(""https://docs.google.com/spreadsheets/d/1C3CXT74ZlgGe6_JY_1olB1XN4rF0dxEuIIF-xsYjHgg/edit?usp=sharing"",""งบกองทุน!AE114"")"),0)</f>
        <v>0</v>
      </c>
      <c r="P110" s="308">
        <v>0</v>
      </c>
      <c r="Q110" s="309">
        <f t="shared" ca="1" si="6"/>
        <v>0</v>
      </c>
      <c r="R110" s="308">
        <v>0</v>
      </c>
      <c r="S110" s="309">
        <f t="shared" ca="1" si="7"/>
        <v>0</v>
      </c>
      <c r="T110" s="309">
        <v>0</v>
      </c>
      <c r="U110" s="309">
        <v>0</v>
      </c>
      <c r="V110" s="308">
        <f ca="1">IFERROR(__xludf.DUMMYFUNCTION("IMPORTRANGE(""https://docs.google.com/spreadsheets/d/1C3CXT74ZlgGe6_JY_1olB1XN4rF0dxEuIIF-xsYjHgg/edit?usp=sharing"",""งบกองทุน!AH114"")"),0)</f>
        <v>0</v>
      </c>
      <c r="W110" s="308">
        <f ca="1">IFERROR(__xludf.DUMMYFUNCTION("IMPORTRANGE(""https://docs.google.com/spreadsheets/d/1C3CXT74ZlgGe6_JY_1olB1XN4rF0dxEuIIF-xsYjHgg/edit?usp=sharing"",""งบกองทุน!AI114"")"),0)</f>
        <v>0</v>
      </c>
      <c r="X110" s="308">
        <v>0</v>
      </c>
      <c r="Y110" s="309">
        <f t="shared" ca="1" si="9"/>
        <v>0</v>
      </c>
      <c r="Z110" s="308">
        <f t="shared" si="197"/>
        <v>0</v>
      </c>
      <c r="AA110" s="309">
        <f t="shared" ca="1" si="10"/>
        <v>0</v>
      </c>
      <c r="AB110" s="308">
        <v>0</v>
      </c>
      <c r="AC110" s="308">
        <v>0</v>
      </c>
      <c r="AD110" s="308">
        <v>0</v>
      </c>
      <c r="AE110" s="308">
        <f ca="1">IFERROR(__xludf.DUMMYFUNCTION("IMPORTRANGE(""https://docs.google.com/spreadsheets/d/1C3CXT74ZlgGe6_JY_1olB1XN4rF0dxEuIIF-xsYjHgg/edit?usp=sharing"",""งบกองทุน!AM114"")"),0)</f>
        <v>0</v>
      </c>
      <c r="AF110" s="308">
        <f ca="1">IFERROR(__xludf.DUMMYFUNCTION("IMPORTRANGE(""https://docs.google.com/spreadsheets/d/1C3CXT74ZlgGe6_JY_1olB1XN4rF0dxEuIIF-xsYjHgg/edit?usp=sharing"",""งบกองทุน!AN114"")"),0)</f>
        <v>0</v>
      </c>
      <c r="AG110" s="308">
        <v>0</v>
      </c>
      <c r="AH110" s="309">
        <f t="shared" ca="1" si="12"/>
        <v>0</v>
      </c>
      <c r="AI110" s="308">
        <f t="shared" si="198"/>
        <v>0</v>
      </c>
      <c r="AJ110" s="309">
        <f t="shared" ca="1" si="13"/>
        <v>0</v>
      </c>
      <c r="AK110" s="308">
        <v>0</v>
      </c>
      <c r="AL110" s="308">
        <v>0</v>
      </c>
      <c r="AM110" s="308">
        <f t="shared" ca="1" si="199"/>
        <v>0</v>
      </c>
      <c r="AN110" s="308">
        <f t="shared" si="200"/>
        <v>0</v>
      </c>
      <c r="AO110" s="309">
        <f t="shared" ca="1" si="15"/>
        <v>0</v>
      </c>
      <c r="AP110" s="308">
        <f ca="1">IFERROR(__xludf.DUMMYFUNCTION("IMPORTRANGE(""https://docs.google.com/spreadsheets/d/1C3CXT74ZlgGe6_JY_1olB1XN4rF0dxEuIIF-xsYjHgg/edit?usp=sharing"",""งบกองทุน!AR114"")"),0)</f>
        <v>0</v>
      </c>
      <c r="AQ110" s="308">
        <v>0</v>
      </c>
      <c r="AR110" s="308">
        <f ca="1">IFERROR(__xludf.DUMMYFUNCTION("IMPORTRANGE(""https://docs.google.com/spreadsheets/d/1C3CXT74ZlgGe6_JY_1olB1XN4rF0dxEuIIF-xsYjHgg/edit?usp=sharing"",""งบกองทุน!AS114"")"),0)</f>
        <v>0</v>
      </c>
      <c r="AS110" s="393">
        <v>0</v>
      </c>
    </row>
    <row r="111" spans="1:45" ht="24" hidden="1" customHeight="1">
      <c r="A111" s="327">
        <f t="shared" si="203"/>
        <v>5</v>
      </c>
      <c r="B111" s="328" t="s">
        <v>135</v>
      </c>
      <c r="C111" s="391">
        <f t="shared" ca="1" si="195"/>
        <v>0</v>
      </c>
      <c r="D111" s="306">
        <f ca="1">IFERROR(__xludf.DUMMYFUNCTION("IMPORTRANGE(""https://docs.google.com/spreadsheets/d/1C3CXT74ZlgGe6_JY_1olB1XN4rF0dxEuIIF-xsYjHgg/edit?usp=sharing"",""งบกองทุน!Z115"")"),0)</f>
        <v>0</v>
      </c>
      <c r="E111" s="306">
        <f ca="1">IFERROR(__xludf.DUMMYFUNCTION("IMPORTRANGE(""https://docs.google.com/spreadsheets/d/1C3CXT74ZlgGe6_JY_1olB1XN4rF0dxEuIIF-xsYjHgg/edit?usp=sharing"",""งบกองทุน!AA115"")"),0)</f>
        <v>0</v>
      </c>
      <c r="F111" s="307">
        <v>0</v>
      </c>
      <c r="G111" s="307">
        <f t="shared" ca="1" si="1"/>
        <v>0</v>
      </c>
      <c r="H111" s="308">
        <f t="shared" ref="H111:I111" ca="1" si="205">+N111+V111+AE111</f>
        <v>0</v>
      </c>
      <c r="I111" s="308">
        <f t="shared" ca="1" si="205"/>
        <v>0</v>
      </c>
      <c r="J111" s="308">
        <v>0</v>
      </c>
      <c r="K111" s="309">
        <f t="shared" ca="1" si="3"/>
        <v>0</v>
      </c>
      <c r="L111" s="308">
        <v>0</v>
      </c>
      <c r="M111" s="309">
        <f t="shared" ca="1" si="4"/>
        <v>0</v>
      </c>
      <c r="N111" s="308">
        <f ca="1">IFERROR(__xludf.DUMMYFUNCTION("IMPORTRANGE(""https://docs.google.com/spreadsheets/d/1C3CXT74ZlgGe6_JY_1olB1XN4rF0dxEuIIF-xsYjHgg/edit?usp=sharing"",""งบกองทุน!AD115"")"),0)</f>
        <v>0</v>
      </c>
      <c r="O111" s="308">
        <f ca="1">IFERROR(__xludf.DUMMYFUNCTION("IMPORTRANGE(""https://docs.google.com/spreadsheets/d/1C3CXT74ZlgGe6_JY_1olB1XN4rF0dxEuIIF-xsYjHgg/edit?usp=sharing"",""งบกองทุน!AE115"")"),0)</f>
        <v>0</v>
      </c>
      <c r="P111" s="308">
        <v>0</v>
      </c>
      <c r="Q111" s="309">
        <f t="shared" ca="1" si="6"/>
        <v>0</v>
      </c>
      <c r="R111" s="308">
        <v>0</v>
      </c>
      <c r="S111" s="309">
        <f t="shared" ca="1" si="7"/>
        <v>0</v>
      </c>
      <c r="T111" s="309">
        <v>0</v>
      </c>
      <c r="U111" s="309">
        <v>0</v>
      </c>
      <c r="V111" s="308">
        <f ca="1">IFERROR(__xludf.DUMMYFUNCTION("IMPORTRANGE(""https://docs.google.com/spreadsheets/d/1C3CXT74ZlgGe6_JY_1olB1XN4rF0dxEuIIF-xsYjHgg/edit?usp=sharing"",""งบกองทุน!AH115"")"),0)</f>
        <v>0</v>
      </c>
      <c r="W111" s="308">
        <f ca="1">IFERROR(__xludf.DUMMYFUNCTION("IMPORTRANGE(""https://docs.google.com/spreadsheets/d/1C3CXT74ZlgGe6_JY_1olB1XN4rF0dxEuIIF-xsYjHgg/edit?usp=sharing"",""งบกองทุน!AI115"")"),0)</f>
        <v>0</v>
      </c>
      <c r="X111" s="308">
        <v>0</v>
      </c>
      <c r="Y111" s="309">
        <f t="shared" ca="1" si="9"/>
        <v>0</v>
      </c>
      <c r="Z111" s="308">
        <f t="shared" si="197"/>
        <v>0</v>
      </c>
      <c r="AA111" s="309">
        <f t="shared" ca="1" si="10"/>
        <v>0</v>
      </c>
      <c r="AB111" s="308">
        <v>0</v>
      </c>
      <c r="AC111" s="308">
        <v>0</v>
      </c>
      <c r="AD111" s="308">
        <v>0</v>
      </c>
      <c r="AE111" s="308">
        <f ca="1">IFERROR(__xludf.DUMMYFUNCTION("IMPORTRANGE(""https://docs.google.com/spreadsheets/d/1C3CXT74ZlgGe6_JY_1olB1XN4rF0dxEuIIF-xsYjHgg/edit?usp=sharing"",""งบกองทุน!AM115"")"),0)</f>
        <v>0</v>
      </c>
      <c r="AF111" s="308">
        <f ca="1">IFERROR(__xludf.DUMMYFUNCTION("IMPORTRANGE(""https://docs.google.com/spreadsheets/d/1C3CXT74ZlgGe6_JY_1olB1XN4rF0dxEuIIF-xsYjHgg/edit?usp=sharing"",""งบกองทุน!AN115"")"),0)</f>
        <v>0</v>
      </c>
      <c r="AG111" s="308">
        <v>0</v>
      </c>
      <c r="AH111" s="309">
        <f t="shared" ca="1" si="12"/>
        <v>0</v>
      </c>
      <c r="AI111" s="308">
        <f t="shared" si="198"/>
        <v>0</v>
      </c>
      <c r="AJ111" s="309">
        <f t="shared" ca="1" si="13"/>
        <v>0</v>
      </c>
      <c r="AK111" s="308">
        <v>0</v>
      </c>
      <c r="AL111" s="308">
        <v>0</v>
      </c>
      <c r="AM111" s="308">
        <f t="shared" ca="1" si="199"/>
        <v>0</v>
      </c>
      <c r="AN111" s="308">
        <f t="shared" si="200"/>
        <v>0</v>
      </c>
      <c r="AO111" s="309">
        <f t="shared" ca="1" si="15"/>
        <v>0</v>
      </c>
      <c r="AP111" s="308">
        <f ca="1">IFERROR(__xludf.DUMMYFUNCTION("IMPORTRANGE(""https://docs.google.com/spreadsheets/d/1C3CXT74ZlgGe6_JY_1olB1XN4rF0dxEuIIF-xsYjHgg/edit?usp=sharing"",""งบกองทุน!AR115"")"),0)</f>
        <v>0</v>
      </c>
      <c r="AQ111" s="308">
        <v>0</v>
      </c>
      <c r="AR111" s="308">
        <f ca="1">IFERROR(__xludf.DUMMYFUNCTION("IMPORTRANGE(""https://docs.google.com/spreadsheets/d/1C3CXT74ZlgGe6_JY_1olB1XN4rF0dxEuIIF-xsYjHgg/edit?usp=sharing"",""งบกองทุน!AS115"")"),0)</f>
        <v>0</v>
      </c>
      <c r="AS111" s="393">
        <v>0</v>
      </c>
    </row>
    <row r="112" spans="1:45" ht="24" hidden="1" customHeight="1">
      <c r="A112" s="327">
        <f t="shared" si="203"/>
        <v>6</v>
      </c>
      <c r="B112" s="328" t="s">
        <v>136</v>
      </c>
      <c r="C112" s="391">
        <f t="shared" ca="1" si="195"/>
        <v>0</v>
      </c>
      <c r="D112" s="306">
        <f ca="1">IFERROR(__xludf.DUMMYFUNCTION("IMPORTRANGE(""https://docs.google.com/spreadsheets/d/1C3CXT74ZlgGe6_JY_1olB1XN4rF0dxEuIIF-xsYjHgg/edit?usp=sharing"",""งบกองทุน!Z116"")"),0)</f>
        <v>0</v>
      </c>
      <c r="E112" s="306">
        <f ca="1">IFERROR(__xludf.DUMMYFUNCTION("IMPORTRANGE(""https://docs.google.com/spreadsheets/d/1C3CXT74ZlgGe6_JY_1olB1XN4rF0dxEuIIF-xsYjHgg/edit?usp=sharing"",""งบกองทุน!AA116"")"),0)</f>
        <v>0</v>
      </c>
      <c r="F112" s="307">
        <v>0</v>
      </c>
      <c r="G112" s="307">
        <f t="shared" ca="1" si="1"/>
        <v>0</v>
      </c>
      <c r="H112" s="308">
        <f t="shared" ref="H112:I112" ca="1" si="206">+N112+V112+AE112</f>
        <v>0</v>
      </c>
      <c r="I112" s="308">
        <f t="shared" ca="1" si="206"/>
        <v>0</v>
      </c>
      <c r="J112" s="308">
        <v>0</v>
      </c>
      <c r="K112" s="309">
        <f t="shared" ca="1" si="3"/>
        <v>0</v>
      </c>
      <c r="L112" s="308">
        <v>0</v>
      </c>
      <c r="M112" s="309">
        <f t="shared" ca="1" si="4"/>
        <v>0</v>
      </c>
      <c r="N112" s="308">
        <f ca="1">IFERROR(__xludf.DUMMYFUNCTION("IMPORTRANGE(""https://docs.google.com/spreadsheets/d/1C3CXT74ZlgGe6_JY_1olB1XN4rF0dxEuIIF-xsYjHgg/edit?usp=sharing"",""งบกองทุน!AD116"")"),0)</f>
        <v>0</v>
      </c>
      <c r="O112" s="308">
        <f ca="1">IFERROR(__xludf.DUMMYFUNCTION("IMPORTRANGE(""https://docs.google.com/spreadsheets/d/1C3CXT74ZlgGe6_JY_1olB1XN4rF0dxEuIIF-xsYjHgg/edit?usp=sharing"",""งบกองทุน!AE116"")"),0)</f>
        <v>0</v>
      </c>
      <c r="P112" s="308">
        <v>0</v>
      </c>
      <c r="Q112" s="309">
        <f t="shared" ca="1" si="6"/>
        <v>0</v>
      </c>
      <c r="R112" s="308">
        <v>0</v>
      </c>
      <c r="S112" s="309">
        <f t="shared" ca="1" si="7"/>
        <v>0</v>
      </c>
      <c r="T112" s="309">
        <v>0</v>
      </c>
      <c r="U112" s="309">
        <v>0</v>
      </c>
      <c r="V112" s="308">
        <f ca="1">IFERROR(__xludf.DUMMYFUNCTION("IMPORTRANGE(""https://docs.google.com/spreadsheets/d/1C3CXT74ZlgGe6_JY_1olB1XN4rF0dxEuIIF-xsYjHgg/edit?usp=sharing"",""งบกองทุน!AH116"")"),0)</f>
        <v>0</v>
      </c>
      <c r="W112" s="308">
        <f ca="1">IFERROR(__xludf.DUMMYFUNCTION("IMPORTRANGE(""https://docs.google.com/spreadsheets/d/1C3CXT74ZlgGe6_JY_1olB1XN4rF0dxEuIIF-xsYjHgg/edit?usp=sharing"",""งบกองทุน!AI116"")"),0)</f>
        <v>0</v>
      </c>
      <c r="X112" s="308">
        <v>0</v>
      </c>
      <c r="Y112" s="309">
        <f t="shared" ca="1" si="9"/>
        <v>0</v>
      </c>
      <c r="Z112" s="308">
        <f t="shared" si="197"/>
        <v>0</v>
      </c>
      <c r="AA112" s="309">
        <f t="shared" ca="1" si="10"/>
        <v>0</v>
      </c>
      <c r="AB112" s="308">
        <v>0</v>
      </c>
      <c r="AC112" s="308">
        <v>0</v>
      </c>
      <c r="AD112" s="308">
        <v>0</v>
      </c>
      <c r="AE112" s="308">
        <f ca="1">IFERROR(__xludf.DUMMYFUNCTION("IMPORTRANGE(""https://docs.google.com/spreadsheets/d/1C3CXT74ZlgGe6_JY_1olB1XN4rF0dxEuIIF-xsYjHgg/edit?usp=sharing"",""งบกองทุน!AM116"")"),0)</f>
        <v>0</v>
      </c>
      <c r="AF112" s="308">
        <f ca="1">IFERROR(__xludf.DUMMYFUNCTION("IMPORTRANGE(""https://docs.google.com/spreadsheets/d/1C3CXT74ZlgGe6_JY_1olB1XN4rF0dxEuIIF-xsYjHgg/edit?usp=sharing"",""งบกองทุน!AN116"")"),0)</f>
        <v>0</v>
      </c>
      <c r="AG112" s="308">
        <v>0</v>
      </c>
      <c r="AH112" s="309">
        <f t="shared" ca="1" si="12"/>
        <v>0</v>
      </c>
      <c r="AI112" s="308">
        <f t="shared" si="198"/>
        <v>0</v>
      </c>
      <c r="AJ112" s="309">
        <f t="shared" ca="1" si="13"/>
        <v>0</v>
      </c>
      <c r="AK112" s="308">
        <v>0</v>
      </c>
      <c r="AL112" s="308">
        <v>0</v>
      </c>
      <c r="AM112" s="308">
        <f t="shared" ca="1" si="199"/>
        <v>0</v>
      </c>
      <c r="AN112" s="308">
        <f t="shared" si="200"/>
        <v>0</v>
      </c>
      <c r="AO112" s="309">
        <f t="shared" ca="1" si="15"/>
        <v>0</v>
      </c>
      <c r="AP112" s="308">
        <f ca="1">IFERROR(__xludf.DUMMYFUNCTION("IMPORTRANGE(""https://docs.google.com/spreadsheets/d/1C3CXT74ZlgGe6_JY_1olB1XN4rF0dxEuIIF-xsYjHgg/edit?usp=sharing"",""งบกองทุน!AR116"")"),0)</f>
        <v>0</v>
      </c>
      <c r="AQ112" s="308">
        <v>0</v>
      </c>
      <c r="AR112" s="308">
        <f ca="1">IFERROR(__xludf.DUMMYFUNCTION("IMPORTRANGE(""https://docs.google.com/spreadsheets/d/1C3CXT74ZlgGe6_JY_1olB1XN4rF0dxEuIIF-xsYjHgg/edit?usp=sharing"",""งบกองทุน!AS116"")"),0)</f>
        <v>0</v>
      </c>
      <c r="AS112" s="393">
        <v>0</v>
      </c>
    </row>
    <row r="113" spans="1:45" ht="24" hidden="1" customHeight="1">
      <c r="A113" s="327">
        <v>7</v>
      </c>
      <c r="B113" s="328" t="s">
        <v>140</v>
      </c>
      <c r="C113" s="391">
        <f t="shared" ca="1" si="195"/>
        <v>0</v>
      </c>
      <c r="D113" s="306">
        <f ca="1">IFERROR(__xludf.DUMMYFUNCTION("IMPORTRANGE(""https://docs.google.com/spreadsheets/d/1C3CXT74ZlgGe6_JY_1olB1XN4rF0dxEuIIF-xsYjHgg/edit?usp=sharing"",""งบกองทุน!Z117"")"),0)</f>
        <v>0</v>
      </c>
      <c r="E113" s="306">
        <f ca="1">IFERROR(__xludf.DUMMYFUNCTION("IMPORTRANGE(""https://docs.google.com/spreadsheets/d/1C3CXT74ZlgGe6_JY_1olB1XN4rF0dxEuIIF-xsYjHgg/edit?usp=sharing"",""งบกองทุน!AA117"")"),0)</f>
        <v>0</v>
      </c>
      <c r="F113" s="307">
        <v>0</v>
      </c>
      <c r="G113" s="307">
        <f t="shared" ca="1" si="1"/>
        <v>0</v>
      </c>
      <c r="H113" s="308">
        <f t="shared" ref="H113:I113" ca="1" si="207">+N113+V113+AE113</f>
        <v>0</v>
      </c>
      <c r="I113" s="308">
        <f t="shared" ca="1" si="207"/>
        <v>0</v>
      </c>
      <c r="J113" s="308">
        <v>0</v>
      </c>
      <c r="K113" s="309">
        <f t="shared" ca="1" si="3"/>
        <v>0</v>
      </c>
      <c r="L113" s="308">
        <v>0</v>
      </c>
      <c r="M113" s="309">
        <f t="shared" ca="1" si="4"/>
        <v>0</v>
      </c>
      <c r="N113" s="308">
        <f ca="1">IFERROR(__xludf.DUMMYFUNCTION("IMPORTRANGE(""https://docs.google.com/spreadsheets/d/1C3CXT74ZlgGe6_JY_1olB1XN4rF0dxEuIIF-xsYjHgg/edit?usp=sharing"",""งบกองทุน!AD117"")"),0)</f>
        <v>0</v>
      </c>
      <c r="O113" s="308">
        <f ca="1">IFERROR(__xludf.DUMMYFUNCTION("IMPORTRANGE(""https://docs.google.com/spreadsheets/d/1C3CXT74ZlgGe6_JY_1olB1XN4rF0dxEuIIF-xsYjHgg/edit?usp=sharing"",""งบกองทุน!AE117"")"),0)</f>
        <v>0</v>
      </c>
      <c r="P113" s="308">
        <v>0</v>
      </c>
      <c r="Q113" s="309">
        <f t="shared" ca="1" si="6"/>
        <v>0</v>
      </c>
      <c r="R113" s="308">
        <v>0</v>
      </c>
      <c r="S113" s="309">
        <f t="shared" ca="1" si="7"/>
        <v>0</v>
      </c>
      <c r="T113" s="309">
        <v>0</v>
      </c>
      <c r="U113" s="309">
        <v>0</v>
      </c>
      <c r="V113" s="308">
        <f ca="1">IFERROR(__xludf.DUMMYFUNCTION("IMPORTRANGE(""https://docs.google.com/spreadsheets/d/1C3CXT74ZlgGe6_JY_1olB1XN4rF0dxEuIIF-xsYjHgg/edit?usp=sharing"",""งบกองทุน!AH117"")"),0)</f>
        <v>0</v>
      </c>
      <c r="W113" s="308">
        <f ca="1">IFERROR(__xludf.DUMMYFUNCTION("IMPORTRANGE(""https://docs.google.com/spreadsheets/d/1C3CXT74ZlgGe6_JY_1olB1XN4rF0dxEuIIF-xsYjHgg/edit?usp=sharing"",""งบกองทุน!AI117"")"),0)</f>
        <v>0</v>
      </c>
      <c r="X113" s="308">
        <v>0</v>
      </c>
      <c r="Y113" s="309">
        <f t="shared" ca="1" si="9"/>
        <v>0</v>
      </c>
      <c r="Z113" s="308">
        <f t="shared" si="197"/>
        <v>0</v>
      </c>
      <c r="AA113" s="309">
        <f t="shared" ca="1" si="10"/>
        <v>0</v>
      </c>
      <c r="AB113" s="308">
        <v>0</v>
      </c>
      <c r="AC113" s="308">
        <v>0</v>
      </c>
      <c r="AD113" s="308">
        <v>0</v>
      </c>
      <c r="AE113" s="308">
        <f ca="1">IFERROR(__xludf.DUMMYFUNCTION("IMPORTRANGE(""https://docs.google.com/spreadsheets/d/1C3CXT74ZlgGe6_JY_1olB1XN4rF0dxEuIIF-xsYjHgg/edit?usp=sharing"",""งบกองทุน!AM117"")"),0)</f>
        <v>0</v>
      </c>
      <c r="AF113" s="308">
        <f ca="1">IFERROR(__xludf.DUMMYFUNCTION("IMPORTRANGE(""https://docs.google.com/spreadsheets/d/1C3CXT74ZlgGe6_JY_1olB1XN4rF0dxEuIIF-xsYjHgg/edit?usp=sharing"",""งบกองทุน!AN117"")"),0)</f>
        <v>0</v>
      </c>
      <c r="AG113" s="308">
        <v>0</v>
      </c>
      <c r="AH113" s="309">
        <f t="shared" ca="1" si="12"/>
        <v>0</v>
      </c>
      <c r="AI113" s="308">
        <f t="shared" si="198"/>
        <v>0</v>
      </c>
      <c r="AJ113" s="309">
        <f t="shared" ca="1" si="13"/>
        <v>0</v>
      </c>
      <c r="AK113" s="308">
        <v>0</v>
      </c>
      <c r="AL113" s="308">
        <v>0</v>
      </c>
      <c r="AM113" s="308">
        <f t="shared" ca="1" si="199"/>
        <v>0</v>
      </c>
      <c r="AN113" s="308">
        <f t="shared" si="200"/>
        <v>0</v>
      </c>
      <c r="AO113" s="309">
        <f t="shared" ca="1" si="15"/>
        <v>0</v>
      </c>
      <c r="AP113" s="308">
        <f ca="1">IFERROR(__xludf.DUMMYFUNCTION("IMPORTRANGE(""https://docs.google.com/spreadsheets/d/1C3CXT74ZlgGe6_JY_1olB1XN4rF0dxEuIIF-xsYjHgg/edit?usp=sharing"",""งบกองทุน!AR117"")"),0)</f>
        <v>0</v>
      </c>
      <c r="AQ113" s="308">
        <v>0</v>
      </c>
      <c r="AR113" s="308">
        <f ca="1">IFERROR(__xludf.DUMMYFUNCTION("IMPORTRANGE(""https://docs.google.com/spreadsheets/d/1C3CXT74ZlgGe6_JY_1olB1XN4rF0dxEuIIF-xsYjHgg/edit?usp=sharing"",""งบกองทุน!AS117"")"),0)</f>
        <v>0</v>
      </c>
      <c r="AS113" s="393">
        <v>0</v>
      </c>
    </row>
    <row r="114" spans="1:45" ht="24" hidden="1" customHeight="1">
      <c r="A114" s="329">
        <v>8</v>
      </c>
      <c r="B114" s="330" t="s">
        <v>141</v>
      </c>
      <c r="C114" s="403">
        <f t="shared" ca="1" si="195"/>
        <v>0</v>
      </c>
      <c r="D114" s="332">
        <f ca="1">IFERROR(__xludf.DUMMYFUNCTION("IMPORTRANGE(""https://docs.google.com/spreadsheets/d/1C3CXT74ZlgGe6_JY_1olB1XN4rF0dxEuIIF-xsYjHgg/edit?usp=sharing"",""งบกองทุน!Z118"")"),0)</f>
        <v>0</v>
      </c>
      <c r="E114" s="332">
        <f ca="1">IFERROR(__xludf.DUMMYFUNCTION("IMPORTRANGE(""https://docs.google.com/spreadsheets/d/1C3CXT74ZlgGe6_JY_1olB1XN4rF0dxEuIIF-xsYjHgg/edit?usp=sharing"",""งบกองทุน!AA118"")"),0)</f>
        <v>0</v>
      </c>
      <c r="F114" s="333">
        <v>0</v>
      </c>
      <c r="G114" s="333">
        <f t="shared" ca="1" si="1"/>
        <v>0</v>
      </c>
      <c r="H114" s="334">
        <f t="shared" ref="H114:I114" ca="1" si="208">+N114+V114+AE114</f>
        <v>0</v>
      </c>
      <c r="I114" s="334">
        <f t="shared" ca="1" si="208"/>
        <v>0</v>
      </c>
      <c r="J114" s="334">
        <v>0</v>
      </c>
      <c r="K114" s="335">
        <f t="shared" ca="1" si="3"/>
        <v>0</v>
      </c>
      <c r="L114" s="334">
        <v>0</v>
      </c>
      <c r="M114" s="335">
        <f t="shared" ca="1" si="4"/>
        <v>0</v>
      </c>
      <c r="N114" s="334">
        <f ca="1">IFERROR(__xludf.DUMMYFUNCTION("IMPORTRANGE(""https://docs.google.com/spreadsheets/d/1C3CXT74ZlgGe6_JY_1olB1XN4rF0dxEuIIF-xsYjHgg/edit?usp=sharing"",""งบกองทุน!AD118"")"),0)</f>
        <v>0</v>
      </c>
      <c r="O114" s="334">
        <f ca="1">IFERROR(__xludf.DUMMYFUNCTION("IMPORTRANGE(""https://docs.google.com/spreadsheets/d/1C3CXT74ZlgGe6_JY_1olB1XN4rF0dxEuIIF-xsYjHgg/edit?usp=sharing"",""งบกองทุน!AE118"")"),0)</f>
        <v>0</v>
      </c>
      <c r="P114" s="334">
        <v>0</v>
      </c>
      <c r="Q114" s="335">
        <f t="shared" ca="1" si="6"/>
        <v>0</v>
      </c>
      <c r="R114" s="334">
        <v>0</v>
      </c>
      <c r="S114" s="335">
        <f t="shared" ca="1" si="7"/>
        <v>0</v>
      </c>
      <c r="T114" s="335">
        <v>0</v>
      </c>
      <c r="U114" s="335">
        <v>0</v>
      </c>
      <c r="V114" s="334">
        <f ca="1">IFERROR(__xludf.DUMMYFUNCTION("IMPORTRANGE(""https://docs.google.com/spreadsheets/d/1C3CXT74ZlgGe6_JY_1olB1XN4rF0dxEuIIF-xsYjHgg/edit?usp=sharing"",""งบกองทุน!AH118"")"),0)</f>
        <v>0</v>
      </c>
      <c r="W114" s="334">
        <f ca="1">IFERROR(__xludf.DUMMYFUNCTION("IMPORTRANGE(""https://docs.google.com/spreadsheets/d/1C3CXT74ZlgGe6_JY_1olB1XN4rF0dxEuIIF-xsYjHgg/edit?usp=sharing"",""งบกองทุน!AI118"")"),0)</f>
        <v>0</v>
      </c>
      <c r="X114" s="334">
        <v>0</v>
      </c>
      <c r="Y114" s="335">
        <f t="shared" ca="1" si="9"/>
        <v>0</v>
      </c>
      <c r="Z114" s="334">
        <f t="shared" si="197"/>
        <v>0</v>
      </c>
      <c r="AA114" s="335">
        <f t="shared" ca="1" si="10"/>
        <v>0</v>
      </c>
      <c r="AB114" s="334">
        <v>0</v>
      </c>
      <c r="AC114" s="334">
        <v>0</v>
      </c>
      <c r="AD114" s="334">
        <v>0</v>
      </c>
      <c r="AE114" s="334">
        <f ca="1">IFERROR(__xludf.DUMMYFUNCTION("IMPORTRANGE(""https://docs.google.com/spreadsheets/d/1C3CXT74ZlgGe6_JY_1olB1XN4rF0dxEuIIF-xsYjHgg/edit?usp=sharing"",""งบกองทุน!AM118"")"),0)</f>
        <v>0</v>
      </c>
      <c r="AF114" s="334">
        <f ca="1">IFERROR(__xludf.DUMMYFUNCTION("IMPORTRANGE(""https://docs.google.com/spreadsheets/d/1C3CXT74ZlgGe6_JY_1olB1XN4rF0dxEuIIF-xsYjHgg/edit?usp=sharing"",""งบกองทุน!AN118"")"),0)</f>
        <v>0</v>
      </c>
      <c r="AG114" s="334">
        <v>0</v>
      </c>
      <c r="AH114" s="335">
        <f t="shared" ca="1" si="12"/>
        <v>0</v>
      </c>
      <c r="AI114" s="334">
        <f t="shared" si="198"/>
        <v>0</v>
      </c>
      <c r="AJ114" s="335">
        <f t="shared" ca="1" si="13"/>
        <v>0</v>
      </c>
      <c r="AK114" s="334">
        <v>0</v>
      </c>
      <c r="AL114" s="334">
        <v>0</v>
      </c>
      <c r="AM114" s="334">
        <f t="shared" ca="1" si="199"/>
        <v>0</v>
      </c>
      <c r="AN114" s="334">
        <f t="shared" si="200"/>
        <v>0</v>
      </c>
      <c r="AO114" s="335">
        <f t="shared" ca="1" si="15"/>
        <v>0</v>
      </c>
      <c r="AP114" s="334">
        <f ca="1">IFERROR(__xludf.DUMMYFUNCTION("IMPORTRANGE(""https://docs.google.com/spreadsheets/d/1C3CXT74ZlgGe6_JY_1olB1XN4rF0dxEuIIF-xsYjHgg/edit?usp=sharing"",""งบกองทุน!AR118"")"),0)</f>
        <v>0</v>
      </c>
      <c r="AQ114" s="334">
        <v>0</v>
      </c>
      <c r="AR114" s="334">
        <f ca="1">IFERROR(__xludf.DUMMYFUNCTION("IMPORTRANGE(""https://docs.google.com/spreadsheets/d/1C3CXT74ZlgGe6_JY_1olB1XN4rF0dxEuIIF-xsYjHgg/edit?usp=sharing"",""งบกองทุน!AS118"")"),0)</f>
        <v>0</v>
      </c>
      <c r="AS114" s="404">
        <v>0</v>
      </c>
    </row>
    <row r="115" spans="1:45" ht="24" customHeight="1">
      <c r="A115" s="336"/>
      <c r="B115" s="336"/>
      <c r="C115" s="338"/>
      <c r="D115" s="338"/>
      <c r="E115" s="338"/>
      <c r="F115" s="337"/>
      <c r="G115" s="336"/>
      <c r="H115" s="336"/>
      <c r="I115" s="336"/>
      <c r="J115" s="338"/>
      <c r="K115" s="337"/>
      <c r="L115" s="338"/>
      <c r="M115" s="337"/>
      <c r="N115" s="336"/>
      <c r="O115" s="336"/>
      <c r="P115" s="336"/>
      <c r="Q115" s="336"/>
      <c r="R115" s="336"/>
      <c r="S115" s="336"/>
      <c r="T115" s="336"/>
      <c r="U115" s="336"/>
      <c r="V115" s="336"/>
      <c r="W115" s="336"/>
      <c r="X115" s="336"/>
      <c r="Y115" s="336"/>
      <c r="Z115" s="336"/>
      <c r="AA115" s="336"/>
      <c r="AB115" s="338"/>
      <c r="AC115" s="338"/>
      <c r="AD115" s="338"/>
      <c r="AE115" s="336"/>
      <c r="AF115" s="336"/>
      <c r="AG115" s="338"/>
      <c r="AH115" s="336"/>
      <c r="AI115" s="338"/>
      <c r="AJ115" s="336"/>
      <c r="AK115" s="338"/>
      <c r="AL115" s="338"/>
      <c r="AM115" s="336"/>
      <c r="AN115" s="336"/>
      <c r="AO115" s="336"/>
      <c r="AP115" s="336"/>
      <c r="AQ115" s="336"/>
      <c r="AR115" s="336"/>
      <c r="AS115" s="336"/>
    </row>
    <row r="116" spans="1:45" ht="24" customHeight="1">
      <c r="A116" s="336"/>
      <c r="B116" s="336"/>
      <c r="C116" s="338"/>
      <c r="D116" s="338"/>
      <c r="E116" s="338"/>
      <c r="F116" s="337"/>
      <c r="G116" s="336"/>
      <c r="H116" s="336"/>
      <c r="I116" s="336"/>
      <c r="J116" s="338"/>
      <c r="K116" s="337"/>
      <c r="L116" s="338"/>
      <c r="M116" s="337"/>
      <c r="N116" s="336"/>
      <c r="O116" s="336"/>
      <c r="P116" s="336"/>
      <c r="Q116" s="336"/>
      <c r="R116" s="336"/>
      <c r="S116" s="336"/>
      <c r="T116" s="336"/>
      <c r="U116" s="336"/>
      <c r="V116" s="336"/>
      <c r="W116" s="336"/>
      <c r="X116" s="336"/>
      <c r="Y116" s="336"/>
      <c r="Z116" s="336"/>
      <c r="AA116" s="336"/>
      <c r="AB116" s="338"/>
      <c r="AC116" s="338"/>
      <c r="AD116" s="338"/>
      <c r="AE116" s="336"/>
      <c r="AF116" s="336"/>
      <c r="AG116" s="338"/>
      <c r="AH116" s="336"/>
      <c r="AI116" s="338"/>
      <c r="AJ116" s="336"/>
      <c r="AK116" s="338"/>
      <c r="AL116" s="338"/>
      <c r="AM116" s="336"/>
      <c r="AN116" s="336"/>
      <c r="AO116" s="336"/>
      <c r="AP116" s="336"/>
      <c r="AQ116" s="336"/>
      <c r="AR116" s="336"/>
      <c r="AS116" s="336"/>
    </row>
    <row r="117" spans="1:45" ht="24" customHeight="1">
      <c r="A117" s="336"/>
      <c r="B117" s="336"/>
      <c r="C117" s="338"/>
      <c r="D117" s="338"/>
      <c r="E117" s="338"/>
      <c r="F117" s="337"/>
      <c r="G117" s="336"/>
      <c r="H117" s="336"/>
      <c r="I117" s="336"/>
      <c r="J117" s="338"/>
      <c r="K117" s="337"/>
      <c r="L117" s="338"/>
      <c r="M117" s="337"/>
      <c r="N117" s="336"/>
      <c r="O117" s="336"/>
      <c r="P117" s="336"/>
      <c r="Q117" s="336"/>
      <c r="R117" s="336"/>
      <c r="S117" s="336"/>
      <c r="T117" s="336"/>
      <c r="U117" s="336"/>
      <c r="V117" s="336"/>
      <c r="W117" s="336"/>
      <c r="X117" s="336"/>
      <c r="Y117" s="336"/>
      <c r="Z117" s="336"/>
      <c r="AA117" s="336"/>
      <c r="AB117" s="338"/>
      <c r="AC117" s="338"/>
      <c r="AD117" s="338"/>
      <c r="AE117" s="336"/>
      <c r="AF117" s="336"/>
      <c r="AG117" s="338"/>
      <c r="AH117" s="336"/>
      <c r="AI117" s="338"/>
      <c r="AJ117" s="336"/>
      <c r="AK117" s="338"/>
      <c r="AL117" s="338"/>
      <c r="AM117" s="336"/>
      <c r="AN117" s="336"/>
      <c r="AO117" s="336"/>
      <c r="AP117" s="336"/>
      <c r="AQ117" s="336"/>
      <c r="AR117" s="336"/>
      <c r="AS117" s="336"/>
    </row>
    <row r="118" spans="1:45" ht="24" customHeight="1">
      <c r="A118" s="336"/>
      <c r="B118" s="336"/>
      <c r="C118" s="338"/>
      <c r="D118" s="338"/>
      <c r="E118" s="338"/>
      <c r="F118" s="337"/>
      <c r="G118" s="336"/>
      <c r="H118" s="336"/>
      <c r="I118" s="336"/>
      <c r="J118" s="338"/>
      <c r="K118" s="337"/>
      <c r="L118" s="338"/>
      <c r="M118" s="337"/>
      <c r="N118" s="336"/>
      <c r="O118" s="336"/>
      <c r="P118" s="336"/>
      <c r="Q118" s="336"/>
      <c r="R118" s="336"/>
      <c r="S118" s="336"/>
      <c r="T118" s="336"/>
      <c r="U118" s="336"/>
      <c r="V118" s="336"/>
      <c r="W118" s="336"/>
      <c r="X118" s="336"/>
      <c r="Y118" s="336"/>
      <c r="Z118" s="336"/>
      <c r="AA118" s="336"/>
      <c r="AB118" s="338"/>
      <c r="AC118" s="338"/>
      <c r="AD118" s="338"/>
      <c r="AE118" s="336"/>
      <c r="AF118" s="336"/>
      <c r="AG118" s="338"/>
      <c r="AH118" s="336"/>
      <c r="AI118" s="338"/>
      <c r="AJ118" s="336"/>
      <c r="AK118" s="338"/>
      <c r="AL118" s="338"/>
      <c r="AM118" s="336"/>
      <c r="AN118" s="336"/>
      <c r="AO118" s="336"/>
      <c r="AP118" s="336"/>
      <c r="AQ118" s="336"/>
      <c r="AR118" s="336"/>
      <c r="AS118" s="336"/>
    </row>
    <row r="119" spans="1:45" ht="24" customHeight="1">
      <c r="A119" s="336"/>
      <c r="B119" s="336"/>
      <c r="C119" s="338"/>
      <c r="D119" s="338"/>
      <c r="E119" s="338"/>
      <c r="F119" s="337"/>
      <c r="G119" s="336"/>
      <c r="H119" s="336"/>
      <c r="I119" s="336"/>
      <c r="J119" s="338"/>
      <c r="K119" s="337"/>
      <c r="L119" s="338"/>
      <c r="M119" s="337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  <c r="Y119" s="336"/>
      <c r="Z119" s="336"/>
      <c r="AA119" s="336"/>
      <c r="AB119" s="338"/>
      <c r="AC119" s="338"/>
      <c r="AD119" s="338"/>
      <c r="AE119" s="336"/>
      <c r="AF119" s="336"/>
      <c r="AG119" s="338"/>
      <c r="AH119" s="336"/>
      <c r="AI119" s="338"/>
      <c r="AJ119" s="336"/>
      <c r="AK119" s="338"/>
      <c r="AL119" s="338"/>
      <c r="AM119" s="336"/>
      <c r="AN119" s="336"/>
      <c r="AO119" s="336"/>
      <c r="AP119" s="336"/>
      <c r="AQ119" s="336"/>
      <c r="AR119" s="336"/>
      <c r="AS119" s="336"/>
    </row>
    <row r="120" spans="1:45" ht="24" customHeight="1">
      <c r="A120" s="336"/>
      <c r="B120" s="336"/>
      <c r="C120" s="338"/>
      <c r="D120" s="338"/>
      <c r="E120" s="338"/>
      <c r="F120" s="337"/>
      <c r="G120" s="336"/>
      <c r="H120" s="336"/>
      <c r="I120" s="336"/>
      <c r="J120" s="338"/>
      <c r="K120" s="337"/>
      <c r="L120" s="338"/>
      <c r="M120" s="337"/>
      <c r="N120" s="336"/>
      <c r="O120" s="336"/>
      <c r="P120" s="336"/>
      <c r="Q120" s="336"/>
      <c r="R120" s="336"/>
      <c r="S120" s="336"/>
      <c r="T120" s="336"/>
      <c r="U120" s="336"/>
      <c r="V120" s="336"/>
      <c r="W120" s="336"/>
      <c r="X120" s="336"/>
      <c r="Y120" s="336"/>
      <c r="Z120" s="336"/>
      <c r="AA120" s="336"/>
      <c r="AB120" s="338"/>
      <c r="AC120" s="338"/>
      <c r="AD120" s="338"/>
      <c r="AE120" s="336"/>
      <c r="AF120" s="336"/>
      <c r="AG120" s="338"/>
      <c r="AH120" s="336"/>
      <c r="AI120" s="338"/>
      <c r="AJ120" s="336"/>
      <c r="AK120" s="338"/>
      <c r="AL120" s="338"/>
      <c r="AM120" s="336"/>
      <c r="AN120" s="336"/>
      <c r="AO120" s="336"/>
      <c r="AP120" s="336"/>
      <c r="AQ120" s="336"/>
      <c r="AR120" s="336"/>
      <c r="AS120" s="336"/>
    </row>
    <row r="121" spans="1:45" ht="24" customHeight="1">
      <c r="A121" s="336"/>
      <c r="B121" s="336"/>
      <c r="C121" s="338"/>
      <c r="D121" s="338"/>
      <c r="E121" s="338"/>
      <c r="F121" s="337"/>
      <c r="G121" s="336"/>
      <c r="H121" s="336"/>
      <c r="I121" s="336"/>
      <c r="J121" s="338"/>
      <c r="K121" s="337"/>
      <c r="L121" s="338"/>
      <c r="M121" s="337"/>
      <c r="N121" s="336"/>
      <c r="O121" s="336"/>
      <c r="P121" s="336"/>
      <c r="Q121" s="336"/>
      <c r="R121" s="336"/>
      <c r="S121" s="336"/>
      <c r="T121" s="336"/>
      <c r="U121" s="336"/>
      <c r="V121" s="336"/>
      <c r="W121" s="336"/>
      <c r="X121" s="336"/>
      <c r="Y121" s="336"/>
      <c r="Z121" s="336"/>
      <c r="AA121" s="336"/>
      <c r="AB121" s="338"/>
      <c r="AC121" s="338"/>
      <c r="AD121" s="338"/>
      <c r="AE121" s="336"/>
      <c r="AF121" s="336"/>
      <c r="AG121" s="338"/>
      <c r="AH121" s="336"/>
      <c r="AI121" s="338"/>
      <c r="AJ121" s="336"/>
      <c r="AK121" s="338"/>
      <c r="AL121" s="338"/>
      <c r="AM121" s="336"/>
      <c r="AN121" s="336"/>
      <c r="AO121" s="336"/>
      <c r="AP121" s="336"/>
      <c r="AQ121" s="336"/>
      <c r="AR121" s="336"/>
      <c r="AS121" s="336"/>
    </row>
    <row r="122" spans="1:45" ht="24" customHeight="1">
      <c r="A122" s="336"/>
      <c r="B122" s="336"/>
      <c r="C122" s="338"/>
      <c r="D122" s="338"/>
      <c r="E122" s="338"/>
      <c r="F122" s="337"/>
      <c r="G122" s="336"/>
      <c r="H122" s="336"/>
      <c r="I122" s="336"/>
      <c r="J122" s="338"/>
      <c r="K122" s="337"/>
      <c r="L122" s="338"/>
      <c r="M122" s="337"/>
      <c r="N122" s="336"/>
      <c r="O122" s="336"/>
      <c r="P122" s="336"/>
      <c r="Q122" s="336"/>
      <c r="R122" s="336"/>
      <c r="S122" s="336"/>
      <c r="T122" s="336"/>
      <c r="U122" s="336"/>
      <c r="V122" s="336"/>
      <c r="W122" s="336"/>
      <c r="X122" s="336"/>
      <c r="Y122" s="336"/>
      <c r="Z122" s="336"/>
      <c r="AA122" s="336"/>
      <c r="AB122" s="338"/>
      <c r="AC122" s="338"/>
      <c r="AD122" s="338"/>
      <c r="AE122" s="336"/>
      <c r="AF122" s="336"/>
      <c r="AG122" s="338"/>
      <c r="AH122" s="336"/>
      <c r="AI122" s="338"/>
      <c r="AJ122" s="336"/>
      <c r="AK122" s="338"/>
      <c r="AL122" s="338"/>
      <c r="AM122" s="336"/>
      <c r="AN122" s="336"/>
      <c r="AO122" s="336"/>
      <c r="AP122" s="336"/>
      <c r="AQ122" s="336"/>
      <c r="AR122" s="336"/>
      <c r="AS122" s="336"/>
    </row>
    <row r="123" spans="1:45" ht="24" customHeight="1">
      <c r="A123" s="336"/>
      <c r="B123" s="336"/>
      <c r="C123" s="338"/>
      <c r="D123" s="338"/>
      <c r="E123" s="338"/>
      <c r="F123" s="337"/>
      <c r="G123" s="336"/>
      <c r="H123" s="336"/>
      <c r="I123" s="336"/>
      <c r="J123" s="338"/>
      <c r="K123" s="337"/>
      <c r="L123" s="338"/>
      <c r="M123" s="337"/>
      <c r="N123" s="336"/>
      <c r="O123" s="336"/>
      <c r="P123" s="336"/>
      <c r="Q123" s="336"/>
      <c r="R123" s="336"/>
      <c r="S123" s="336"/>
      <c r="T123" s="336"/>
      <c r="U123" s="336"/>
      <c r="V123" s="336"/>
      <c r="W123" s="336"/>
      <c r="X123" s="336"/>
      <c r="Y123" s="336"/>
      <c r="Z123" s="336"/>
      <c r="AA123" s="336"/>
      <c r="AB123" s="338"/>
      <c r="AC123" s="338"/>
      <c r="AD123" s="338"/>
      <c r="AE123" s="336"/>
      <c r="AF123" s="336"/>
      <c r="AG123" s="338"/>
      <c r="AH123" s="336"/>
      <c r="AI123" s="338"/>
      <c r="AJ123" s="336"/>
      <c r="AK123" s="338"/>
      <c r="AL123" s="338"/>
      <c r="AM123" s="336"/>
      <c r="AN123" s="336"/>
      <c r="AO123" s="336"/>
      <c r="AP123" s="336"/>
      <c r="AQ123" s="336"/>
      <c r="AR123" s="336"/>
      <c r="AS123" s="336"/>
    </row>
    <row r="124" spans="1:45" ht="24" customHeight="1">
      <c r="A124" s="336"/>
      <c r="B124" s="336"/>
      <c r="C124" s="338"/>
      <c r="D124" s="338"/>
      <c r="E124" s="338"/>
      <c r="F124" s="337"/>
      <c r="G124" s="336"/>
      <c r="H124" s="336"/>
      <c r="I124" s="336"/>
      <c r="J124" s="338"/>
      <c r="K124" s="337"/>
      <c r="L124" s="338"/>
      <c r="M124" s="337"/>
      <c r="N124" s="336"/>
      <c r="O124" s="336"/>
      <c r="P124" s="336"/>
      <c r="Q124" s="336"/>
      <c r="R124" s="336"/>
      <c r="S124" s="336"/>
      <c r="T124" s="336"/>
      <c r="U124" s="336"/>
      <c r="V124" s="336"/>
      <c r="W124" s="336"/>
      <c r="X124" s="336"/>
      <c r="Y124" s="336"/>
      <c r="Z124" s="336"/>
      <c r="AA124" s="336"/>
      <c r="AB124" s="338"/>
      <c r="AC124" s="338"/>
      <c r="AD124" s="338"/>
      <c r="AE124" s="336"/>
      <c r="AF124" s="336"/>
      <c r="AG124" s="338"/>
      <c r="AH124" s="336"/>
      <c r="AI124" s="338"/>
      <c r="AJ124" s="336"/>
      <c r="AK124" s="338"/>
      <c r="AL124" s="338"/>
      <c r="AM124" s="336"/>
      <c r="AN124" s="336"/>
      <c r="AO124" s="336"/>
      <c r="AP124" s="336"/>
      <c r="AQ124" s="336"/>
      <c r="AR124" s="336"/>
      <c r="AS124" s="336"/>
    </row>
    <row r="125" spans="1:45" ht="24" customHeight="1">
      <c r="A125" s="336"/>
      <c r="B125" s="336"/>
      <c r="C125" s="338"/>
      <c r="D125" s="338"/>
      <c r="E125" s="338"/>
      <c r="F125" s="337"/>
      <c r="G125" s="336"/>
      <c r="H125" s="336"/>
      <c r="I125" s="336"/>
      <c r="J125" s="338"/>
      <c r="K125" s="337"/>
      <c r="L125" s="338"/>
      <c r="M125" s="337"/>
      <c r="N125" s="336"/>
      <c r="O125" s="336"/>
      <c r="P125" s="336"/>
      <c r="Q125" s="336"/>
      <c r="R125" s="336"/>
      <c r="S125" s="336"/>
      <c r="T125" s="336"/>
      <c r="U125" s="336"/>
      <c r="V125" s="336"/>
      <c r="W125" s="336"/>
      <c r="X125" s="336"/>
      <c r="Y125" s="336"/>
      <c r="Z125" s="336"/>
      <c r="AA125" s="336"/>
      <c r="AB125" s="338"/>
      <c r="AC125" s="338"/>
      <c r="AD125" s="338"/>
      <c r="AE125" s="336"/>
      <c r="AF125" s="336"/>
      <c r="AG125" s="338"/>
      <c r="AH125" s="336"/>
      <c r="AI125" s="338"/>
      <c r="AJ125" s="336"/>
      <c r="AK125" s="338"/>
      <c r="AL125" s="338"/>
      <c r="AM125" s="336"/>
      <c r="AN125" s="336"/>
      <c r="AO125" s="336"/>
      <c r="AP125" s="336"/>
      <c r="AQ125" s="336"/>
      <c r="AR125" s="336"/>
      <c r="AS125" s="336"/>
    </row>
    <row r="126" spans="1:45" ht="24" customHeight="1">
      <c r="A126" s="336"/>
      <c r="B126" s="336"/>
      <c r="C126" s="338"/>
      <c r="D126" s="338"/>
      <c r="E126" s="338"/>
      <c r="F126" s="337"/>
      <c r="G126" s="336"/>
      <c r="H126" s="336"/>
      <c r="I126" s="336"/>
      <c r="J126" s="338"/>
      <c r="K126" s="337"/>
      <c r="L126" s="338"/>
      <c r="M126" s="337"/>
      <c r="N126" s="336"/>
      <c r="O126" s="336"/>
      <c r="P126" s="336"/>
      <c r="Q126" s="336"/>
      <c r="R126" s="336"/>
      <c r="S126" s="336"/>
      <c r="T126" s="336"/>
      <c r="U126" s="336"/>
      <c r="V126" s="336"/>
      <c r="W126" s="336"/>
      <c r="X126" s="336"/>
      <c r="Y126" s="336"/>
      <c r="Z126" s="336"/>
      <c r="AA126" s="336"/>
      <c r="AB126" s="338"/>
      <c r="AC126" s="338"/>
      <c r="AD126" s="338"/>
      <c r="AE126" s="336"/>
      <c r="AF126" s="336"/>
      <c r="AG126" s="338"/>
      <c r="AH126" s="336"/>
      <c r="AI126" s="338"/>
      <c r="AJ126" s="336"/>
      <c r="AK126" s="338"/>
      <c r="AL126" s="338"/>
      <c r="AM126" s="336"/>
      <c r="AN126" s="336"/>
      <c r="AO126" s="336"/>
      <c r="AP126" s="336"/>
      <c r="AQ126" s="336"/>
      <c r="AR126" s="336"/>
      <c r="AS126" s="336"/>
    </row>
    <row r="127" spans="1:45" ht="24" customHeight="1">
      <c r="A127" s="336"/>
      <c r="B127" s="336"/>
      <c r="C127" s="338"/>
      <c r="D127" s="338"/>
      <c r="E127" s="338"/>
      <c r="F127" s="337"/>
      <c r="G127" s="336"/>
      <c r="H127" s="336"/>
      <c r="I127" s="336"/>
      <c r="J127" s="338"/>
      <c r="K127" s="337"/>
      <c r="L127" s="338"/>
      <c r="M127" s="337"/>
      <c r="N127" s="336"/>
      <c r="O127" s="336"/>
      <c r="P127" s="336"/>
      <c r="Q127" s="336"/>
      <c r="R127" s="336"/>
      <c r="S127" s="336"/>
      <c r="T127" s="336"/>
      <c r="U127" s="336"/>
      <c r="V127" s="336"/>
      <c r="W127" s="336"/>
      <c r="X127" s="336"/>
      <c r="Y127" s="336"/>
      <c r="Z127" s="336"/>
      <c r="AA127" s="336"/>
      <c r="AB127" s="338"/>
      <c r="AC127" s="338"/>
      <c r="AD127" s="338"/>
      <c r="AE127" s="336"/>
      <c r="AF127" s="336"/>
      <c r="AG127" s="338"/>
      <c r="AH127" s="336"/>
      <c r="AI127" s="338"/>
      <c r="AJ127" s="336"/>
      <c r="AK127" s="338"/>
      <c r="AL127" s="338"/>
      <c r="AM127" s="336"/>
      <c r="AN127" s="336"/>
      <c r="AO127" s="336"/>
      <c r="AP127" s="336"/>
      <c r="AQ127" s="336"/>
      <c r="AR127" s="336"/>
      <c r="AS127" s="336"/>
    </row>
    <row r="128" spans="1:45" ht="24" customHeight="1">
      <c r="A128" s="336"/>
      <c r="B128" s="336"/>
      <c r="C128" s="338"/>
      <c r="D128" s="338"/>
      <c r="E128" s="338"/>
      <c r="F128" s="337"/>
      <c r="G128" s="336"/>
      <c r="H128" s="336"/>
      <c r="I128" s="336"/>
      <c r="J128" s="338"/>
      <c r="K128" s="337"/>
      <c r="L128" s="338"/>
      <c r="M128" s="337"/>
      <c r="N128" s="336"/>
      <c r="O128" s="336"/>
      <c r="P128" s="336"/>
      <c r="Q128" s="336"/>
      <c r="R128" s="336"/>
      <c r="S128" s="336"/>
      <c r="T128" s="336"/>
      <c r="U128" s="336"/>
      <c r="V128" s="336"/>
      <c r="W128" s="336"/>
      <c r="X128" s="336"/>
      <c r="Y128" s="336"/>
      <c r="Z128" s="336"/>
      <c r="AA128" s="336"/>
      <c r="AB128" s="338"/>
      <c r="AC128" s="338"/>
      <c r="AD128" s="338"/>
      <c r="AE128" s="336"/>
      <c r="AF128" s="336"/>
      <c r="AG128" s="338"/>
      <c r="AH128" s="336"/>
      <c r="AI128" s="338"/>
      <c r="AJ128" s="336"/>
      <c r="AK128" s="338"/>
      <c r="AL128" s="338"/>
      <c r="AM128" s="336"/>
      <c r="AN128" s="336"/>
      <c r="AO128" s="336"/>
      <c r="AP128" s="336"/>
      <c r="AQ128" s="336"/>
      <c r="AR128" s="336"/>
      <c r="AS128" s="336"/>
    </row>
    <row r="129" spans="1:45" ht="24" customHeight="1">
      <c r="A129" s="336"/>
      <c r="B129" s="336"/>
      <c r="C129" s="338"/>
      <c r="D129" s="338"/>
      <c r="E129" s="338"/>
      <c r="F129" s="337"/>
      <c r="G129" s="336"/>
      <c r="H129" s="336"/>
      <c r="I129" s="336"/>
      <c r="J129" s="338"/>
      <c r="K129" s="337"/>
      <c r="L129" s="338"/>
      <c r="M129" s="337"/>
      <c r="N129" s="336"/>
      <c r="O129" s="336"/>
      <c r="P129" s="336"/>
      <c r="Q129" s="336"/>
      <c r="R129" s="336"/>
      <c r="S129" s="336"/>
      <c r="T129" s="336"/>
      <c r="U129" s="336"/>
      <c r="V129" s="336"/>
      <c r="W129" s="336"/>
      <c r="X129" s="336"/>
      <c r="Y129" s="336"/>
      <c r="Z129" s="336"/>
      <c r="AA129" s="336"/>
      <c r="AB129" s="338"/>
      <c r="AC129" s="338"/>
      <c r="AD129" s="338"/>
      <c r="AE129" s="336"/>
      <c r="AF129" s="336"/>
      <c r="AG129" s="338"/>
      <c r="AH129" s="336"/>
      <c r="AI129" s="338"/>
      <c r="AJ129" s="336"/>
      <c r="AK129" s="338"/>
      <c r="AL129" s="338"/>
      <c r="AM129" s="336"/>
      <c r="AN129" s="336"/>
      <c r="AO129" s="336"/>
      <c r="AP129" s="336"/>
      <c r="AQ129" s="336"/>
      <c r="AR129" s="336"/>
      <c r="AS129" s="336"/>
    </row>
    <row r="130" spans="1:45" ht="24" customHeight="1">
      <c r="A130" s="336"/>
      <c r="B130" s="336"/>
      <c r="C130" s="338"/>
      <c r="D130" s="338"/>
      <c r="E130" s="338"/>
      <c r="F130" s="337"/>
      <c r="G130" s="336"/>
      <c r="H130" s="336"/>
      <c r="I130" s="336"/>
      <c r="J130" s="338"/>
      <c r="K130" s="337"/>
      <c r="L130" s="338"/>
      <c r="M130" s="337"/>
      <c r="N130" s="336"/>
      <c r="O130" s="336"/>
      <c r="P130" s="336"/>
      <c r="Q130" s="336"/>
      <c r="R130" s="336"/>
      <c r="S130" s="336"/>
      <c r="T130" s="336"/>
      <c r="U130" s="336"/>
      <c r="V130" s="336"/>
      <c r="W130" s="336"/>
      <c r="X130" s="336"/>
      <c r="Y130" s="336"/>
      <c r="Z130" s="336"/>
      <c r="AA130" s="336"/>
      <c r="AB130" s="338"/>
      <c r="AC130" s="338"/>
      <c r="AD130" s="338"/>
      <c r="AE130" s="336"/>
      <c r="AF130" s="336"/>
      <c r="AG130" s="338"/>
      <c r="AH130" s="336"/>
      <c r="AI130" s="338"/>
      <c r="AJ130" s="336"/>
      <c r="AK130" s="338"/>
      <c r="AL130" s="338"/>
      <c r="AM130" s="336"/>
      <c r="AN130" s="336"/>
      <c r="AO130" s="336"/>
      <c r="AP130" s="336"/>
      <c r="AQ130" s="336"/>
      <c r="AR130" s="336"/>
      <c r="AS130" s="336"/>
    </row>
    <row r="131" spans="1:45" ht="24" customHeight="1">
      <c r="A131" s="336"/>
      <c r="B131" s="336"/>
      <c r="C131" s="338"/>
      <c r="D131" s="338"/>
      <c r="E131" s="338"/>
      <c r="F131" s="337"/>
      <c r="G131" s="336"/>
      <c r="H131" s="336"/>
      <c r="I131" s="336"/>
      <c r="J131" s="338"/>
      <c r="K131" s="337"/>
      <c r="L131" s="338"/>
      <c r="M131" s="337"/>
      <c r="N131" s="336"/>
      <c r="O131" s="336"/>
      <c r="P131" s="336"/>
      <c r="Q131" s="336"/>
      <c r="R131" s="336"/>
      <c r="S131" s="336"/>
      <c r="T131" s="336"/>
      <c r="U131" s="336"/>
      <c r="V131" s="336"/>
      <c r="W131" s="336"/>
      <c r="X131" s="336"/>
      <c r="Y131" s="336"/>
      <c r="Z131" s="336"/>
      <c r="AA131" s="336"/>
      <c r="AB131" s="338"/>
      <c r="AC131" s="338"/>
      <c r="AD131" s="338"/>
      <c r="AE131" s="336"/>
      <c r="AF131" s="336"/>
      <c r="AG131" s="338"/>
      <c r="AH131" s="336"/>
      <c r="AI131" s="338"/>
      <c r="AJ131" s="336"/>
      <c r="AK131" s="338"/>
      <c r="AL131" s="338"/>
      <c r="AM131" s="336"/>
      <c r="AN131" s="336"/>
      <c r="AO131" s="336"/>
      <c r="AP131" s="336"/>
      <c r="AQ131" s="336"/>
      <c r="AR131" s="336"/>
      <c r="AS131" s="336"/>
    </row>
    <row r="132" spans="1:45" ht="24" customHeight="1">
      <c r="A132" s="336"/>
      <c r="B132" s="336"/>
      <c r="C132" s="338"/>
      <c r="D132" s="338"/>
      <c r="E132" s="338"/>
      <c r="F132" s="337"/>
      <c r="G132" s="336"/>
      <c r="H132" s="336"/>
      <c r="I132" s="336"/>
      <c r="J132" s="338"/>
      <c r="K132" s="337"/>
      <c r="L132" s="338"/>
      <c r="M132" s="337"/>
      <c r="N132" s="336"/>
      <c r="O132" s="336"/>
      <c r="P132" s="336"/>
      <c r="Q132" s="336"/>
      <c r="R132" s="336"/>
      <c r="S132" s="336"/>
      <c r="T132" s="336"/>
      <c r="U132" s="336"/>
      <c r="V132" s="336"/>
      <c r="W132" s="336"/>
      <c r="X132" s="336"/>
      <c r="Y132" s="336"/>
      <c r="Z132" s="336"/>
      <c r="AA132" s="336"/>
      <c r="AB132" s="338"/>
      <c r="AC132" s="338"/>
      <c r="AD132" s="338"/>
      <c r="AE132" s="336"/>
      <c r="AF132" s="336"/>
      <c r="AG132" s="338"/>
      <c r="AH132" s="336"/>
      <c r="AI132" s="338"/>
      <c r="AJ132" s="336"/>
      <c r="AK132" s="338"/>
      <c r="AL132" s="338"/>
      <c r="AM132" s="336"/>
      <c r="AN132" s="336"/>
      <c r="AO132" s="336"/>
      <c r="AP132" s="336"/>
      <c r="AQ132" s="336"/>
      <c r="AR132" s="336"/>
      <c r="AS132" s="336"/>
    </row>
    <row r="133" spans="1:45" ht="24" customHeight="1">
      <c r="A133" s="336"/>
      <c r="B133" s="336"/>
      <c r="C133" s="338"/>
      <c r="D133" s="338"/>
      <c r="E133" s="338"/>
      <c r="F133" s="337"/>
      <c r="G133" s="336"/>
      <c r="H133" s="336"/>
      <c r="I133" s="336"/>
      <c r="J133" s="338"/>
      <c r="K133" s="337"/>
      <c r="L133" s="338"/>
      <c r="M133" s="337"/>
      <c r="N133" s="336"/>
      <c r="O133" s="336"/>
      <c r="P133" s="336"/>
      <c r="Q133" s="336"/>
      <c r="R133" s="336"/>
      <c r="S133" s="336"/>
      <c r="T133" s="336"/>
      <c r="U133" s="336"/>
      <c r="V133" s="336"/>
      <c r="W133" s="336"/>
      <c r="X133" s="336"/>
      <c r="Y133" s="336"/>
      <c r="Z133" s="336"/>
      <c r="AA133" s="336"/>
      <c r="AB133" s="338"/>
      <c r="AC133" s="338"/>
      <c r="AD133" s="338"/>
      <c r="AE133" s="336"/>
      <c r="AF133" s="336"/>
      <c r="AG133" s="338"/>
      <c r="AH133" s="336"/>
      <c r="AI133" s="338"/>
      <c r="AJ133" s="336"/>
      <c r="AK133" s="338"/>
      <c r="AL133" s="338"/>
      <c r="AM133" s="336"/>
      <c r="AN133" s="336"/>
      <c r="AO133" s="336"/>
      <c r="AP133" s="336"/>
      <c r="AQ133" s="336"/>
      <c r="AR133" s="336"/>
      <c r="AS133" s="336"/>
    </row>
    <row r="134" spans="1:45" ht="24" customHeight="1">
      <c r="A134" s="336"/>
      <c r="B134" s="336"/>
      <c r="C134" s="338"/>
      <c r="D134" s="338"/>
      <c r="E134" s="338"/>
      <c r="F134" s="337"/>
      <c r="G134" s="336"/>
      <c r="H134" s="336"/>
      <c r="I134" s="336"/>
      <c r="J134" s="338"/>
      <c r="K134" s="337"/>
      <c r="L134" s="338"/>
      <c r="M134" s="337"/>
      <c r="N134" s="336"/>
      <c r="O134" s="336"/>
      <c r="P134" s="336"/>
      <c r="Q134" s="336"/>
      <c r="R134" s="336"/>
      <c r="S134" s="336"/>
      <c r="T134" s="336"/>
      <c r="U134" s="336"/>
      <c r="V134" s="336"/>
      <c r="W134" s="336"/>
      <c r="X134" s="336"/>
      <c r="Y134" s="336"/>
      <c r="Z134" s="336"/>
      <c r="AA134" s="336"/>
      <c r="AB134" s="338"/>
      <c r="AC134" s="338"/>
      <c r="AD134" s="338"/>
      <c r="AE134" s="336"/>
      <c r="AF134" s="336"/>
      <c r="AG134" s="338"/>
      <c r="AH134" s="336"/>
      <c r="AI134" s="338"/>
      <c r="AJ134" s="336"/>
      <c r="AK134" s="338"/>
      <c r="AL134" s="338"/>
      <c r="AM134" s="336"/>
      <c r="AN134" s="336"/>
      <c r="AO134" s="336"/>
      <c r="AP134" s="336"/>
      <c r="AQ134" s="336"/>
      <c r="AR134" s="336"/>
      <c r="AS134" s="336"/>
    </row>
    <row r="135" spans="1:45" ht="24" customHeight="1">
      <c r="A135" s="336"/>
      <c r="B135" s="336"/>
      <c r="C135" s="338"/>
      <c r="D135" s="338"/>
      <c r="E135" s="338"/>
      <c r="F135" s="337"/>
      <c r="G135" s="336"/>
      <c r="H135" s="336"/>
      <c r="I135" s="336"/>
      <c r="J135" s="338"/>
      <c r="K135" s="337"/>
      <c r="L135" s="338"/>
      <c r="M135" s="337"/>
      <c r="N135" s="336"/>
      <c r="O135" s="336"/>
      <c r="P135" s="336"/>
      <c r="Q135" s="336"/>
      <c r="R135" s="336"/>
      <c r="S135" s="336"/>
      <c r="T135" s="336"/>
      <c r="U135" s="336"/>
      <c r="V135" s="336"/>
      <c r="W135" s="336"/>
      <c r="X135" s="336"/>
      <c r="Y135" s="336"/>
      <c r="Z135" s="336"/>
      <c r="AA135" s="336"/>
      <c r="AB135" s="338"/>
      <c r="AC135" s="338"/>
      <c r="AD135" s="338"/>
      <c r="AE135" s="336"/>
      <c r="AF135" s="336"/>
      <c r="AG135" s="338"/>
      <c r="AH135" s="336"/>
      <c r="AI135" s="338"/>
      <c r="AJ135" s="336"/>
      <c r="AK135" s="338"/>
      <c r="AL135" s="338"/>
      <c r="AM135" s="336"/>
      <c r="AN135" s="336"/>
      <c r="AO135" s="336"/>
      <c r="AP135" s="336"/>
      <c r="AQ135" s="336"/>
      <c r="AR135" s="336"/>
      <c r="AS135" s="336"/>
    </row>
    <row r="136" spans="1:45" ht="24" customHeight="1">
      <c r="A136" s="336"/>
      <c r="B136" s="336"/>
      <c r="C136" s="338"/>
      <c r="D136" s="338"/>
      <c r="E136" s="338"/>
      <c r="F136" s="337"/>
      <c r="G136" s="336"/>
      <c r="H136" s="336"/>
      <c r="I136" s="336"/>
      <c r="J136" s="338"/>
      <c r="K136" s="337"/>
      <c r="L136" s="338"/>
      <c r="M136" s="337"/>
      <c r="N136" s="336"/>
      <c r="O136" s="336"/>
      <c r="P136" s="336"/>
      <c r="Q136" s="336"/>
      <c r="R136" s="336"/>
      <c r="S136" s="336"/>
      <c r="T136" s="336"/>
      <c r="U136" s="336"/>
      <c r="V136" s="336"/>
      <c r="W136" s="336"/>
      <c r="X136" s="336"/>
      <c r="Y136" s="336"/>
      <c r="Z136" s="336"/>
      <c r="AA136" s="336"/>
      <c r="AB136" s="338"/>
      <c r="AC136" s="338"/>
      <c r="AD136" s="338"/>
      <c r="AE136" s="336"/>
      <c r="AF136" s="336"/>
      <c r="AG136" s="338"/>
      <c r="AH136" s="336"/>
      <c r="AI136" s="338"/>
      <c r="AJ136" s="336"/>
      <c r="AK136" s="338"/>
      <c r="AL136" s="338"/>
      <c r="AM136" s="336"/>
      <c r="AN136" s="336"/>
      <c r="AO136" s="336"/>
      <c r="AP136" s="336"/>
      <c r="AQ136" s="336"/>
      <c r="AR136" s="336"/>
      <c r="AS136" s="336"/>
    </row>
    <row r="137" spans="1:45" ht="24" customHeight="1">
      <c r="A137" s="336"/>
      <c r="B137" s="336"/>
      <c r="C137" s="338"/>
      <c r="D137" s="338"/>
      <c r="E137" s="338"/>
      <c r="F137" s="337"/>
      <c r="G137" s="336"/>
      <c r="H137" s="336"/>
      <c r="I137" s="336"/>
      <c r="J137" s="338"/>
      <c r="K137" s="337"/>
      <c r="L137" s="338"/>
      <c r="M137" s="337"/>
      <c r="N137" s="336"/>
      <c r="O137" s="336"/>
      <c r="P137" s="336"/>
      <c r="Q137" s="336"/>
      <c r="R137" s="336"/>
      <c r="S137" s="336"/>
      <c r="T137" s="336"/>
      <c r="U137" s="336"/>
      <c r="V137" s="336"/>
      <c r="W137" s="336"/>
      <c r="X137" s="336"/>
      <c r="Y137" s="336"/>
      <c r="Z137" s="336"/>
      <c r="AA137" s="336"/>
      <c r="AB137" s="338"/>
      <c r="AC137" s="338"/>
      <c r="AD137" s="338"/>
      <c r="AE137" s="336"/>
      <c r="AF137" s="336"/>
      <c r="AG137" s="338"/>
      <c r="AH137" s="336"/>
      <c r="AI137" s="338"/>
      <c r="AJ137" s="336"/>
      <c r="AK137" s="338"/>
      <c r="AL137" s="338"/>
      <c r="AM137" s="336"/>
      <c r="AN137" s="336"/>
      <c r="AO137" s="336"/>
      <c r="AP137" s="336"/>
      <c r="AQ137" s="336"/>
      <c r="AR137" s="336"/>
      <c r="AS137" s="336"/>
    </row>
    <row r="138" spans="1:45" ht="24" customHeight="1">
      <c r="A138" s="336"/>
      <c r="B138" s="336"/>
      <c r="C138" s="338"/>
      <c r="D138" s="338"/>
      <c r="E138" s="338"/>
      <c r="F138" s="337"/>
      <c r="G138" s="336"/>
      <c r="H138" s="336"/>
      <c r="I138" s="336"/>
      <c r="J138" s="338"/>
      <c r="K138" s="337"/>
      <c r="L138" s="338"/>
      <c r="M138" s="337"/>
      <c r="N138" s="336"/>
      <c r="O138" s="336"/>
      <c r="P138" s="336"/>
      <c r="Q138" s="336"/>
      <c r="R138" s="336"/>
      <c r="S138" s="336"/>
      <c r="T138" s="336"/>
      <c r="U138" s="336"/>
      <c r="V138" s="336"/>
      <c r="W138" s="336"/>
      <c r="X138" s="336"/>
      <c r="Y138" s="336"/>
      <c r="Z138" s="336"/>
      <c r="AA138" s="336"/>
      <c r="AB138" s="338"/>
      <c r="AC138" s="338"/>
      <c r="AD138" s="338"/>
      <c r="AE138" s="336"/>
      <c r="AF138" s="336"/>
      <c r="AG138" s="338"/>
      <c r="AH138" s="336"/>
      <c r="AI138" s="338"/>
      <c r="AJ138" s="336"/>
      <c r="AK138" s="338"/>
      <c r="AL138" s="338"/>
      <c r="AM138" s="336"/>
      <c r="AN138" s="336"/>
      <c r="AO138" s="336"/>
      <c r="AP138" s="336"/>
      <c r="AQ138" s="336"/>
      <c r="AR138" s="336"/>
      <c r="AS138" s="336"/>
    </row>
    <row r="139" spans="1:45" ht="24" customHeight="1">
      <c r="A139" s="336"/>
      <c r="B139" s="336"/>
      <c r="C139" s="338"/>
      <c r="D139" s="338"/>
      <c r="E139" s="338"/>
      <c r="F139" s="337"/>
      <c r="G139" s="336"/>
      <c r="H139" s="336"/>
      <c r="I139" s="336"/>
      <c r="J139" s="338"/>
      <c r="K139" s="337"/>
      <c r="L139" s="338"/>
      <c r="M139" s="337"/>
      <c r="N139" s="336"/>
      <c r="O139" s="336"/>
      <c r="P139" s="336"/>
      <c r="Q139" s="336"/>
      <c r="R139" s="336"/>
      <c r="S139" s="336"/>
      <c r="T139" s="336"/>
      <c r="U139" s="336"/>
      <c r="V139" s="336"/>
      <c r="W139" s="336"/>
      <c r="X139" s="336"/>
      <c r="Y139" s="336"/>
      <c r="Z139" s="336"/>
      <c r="AA139" s="336"/>
      <c r="AB139" s="338"/>
      <c r="AC139" s="338"/>
      <c r="AD139" s="338"/>
      <c r="AE139" s="336"/>
      <c r="AF139" s="336"/>
      <c r="AG139" s="338"/>
      <c r="AH139" s="336"/>
      <c r="AI139" s="338"/>
      <c r="AJ139" s="336"/>
      <c r="AK139" s="338"/>
      <c r="AL139" s="338"/>
      <c r="AM139" s="336"/>
      <c r="AN139" s="336"/>
      <c r="AO139" s="336"/>
      <c r="AP139" s="336"/>
      <c r="AQ139" s="336"/>
      <c r="AR139" s="336"/>
      <c r="AS139" s="336"/>
    </row>
    <row r="140" spans="1:45" ht="24" customHeight="1">
      <c r="A140" s="336"/>
      <c r="B140" s="336"/>
      <c r="C140" s="338"/>
      <c r="D140" s="338"/>
      <c r="E140" s="338"/>
      <c r="F140" s="337"/>
      <c r="G140" s="336"/>
      <c r="H140" s="336"/>
      <c r="I140" s="336"/>
      <c r="J140" s="338"/>
      <c r="K140" s="337"/>
      <c r="L140" s="338"/>
      <c r="M140" s="337"/>
      <c r="N140" s="336"/>
      <c r="O140" s="336"/>
      <c r="P140" s="336"/>
      <c r="Q140" s="336"/>
      <c r="R140" s="336"/>
      <c r="S140" s="336"/>
      <c r="T140" s="336"/>
      <c r="U140" s="336"/>
      <c r="V140" s="336"/>
      <c r="W140" s="336"/>
      <c r="X140" s="336"/>
      <c r="Y140" s="336"/>
      <c r="Z140" s="336"/>
      <c r="AA140" s="336"/>
      <c r="AB140" s="338"/>
      <c r="AC140" s="338"/>
      <c r="AD140" s="338"/>
      <c r="AE140" s="336"/>
      <c r="AF140" s="336"/>
      <c r="AG140" s="338"/>
      <c r="AH140" s="336"/>
      <c r="AI140" s="338"/>
      <c r="AJ140" s="336"/>
      <c r="AK140" s="338"/>
      <c r="AL140" s="338"/>
      <c r="AM140" s="336"/>
      <c r="AN140" s="336"/>
      <c r="AO140" s="336"/>
      <c r="AP140" s="336"/>
      <c r="AQ140" s="336"/>
      <c r="AR140" s="336"/>
      <c r="AS140" s="336"/>
    </row>
    <row r="141" spans="1:45" ht="24" customHeight="1">
      <c r="A141" s="336"/>
      <c r="B141" s="336"/>
      <c r="C141" s="338"/>
      <c r="D141" s="338"/>
      <c r="E141" s="338"/>
      <c r="F141" s="337"/>
      <c r="G141" s="336"/>
      <c r="H141" s="336"/>
      <c r="I141" s="336"/>
      <c r="J141" s="338"/>
      <c r="K141" s="337"/>
      <c r="L141" s="338"/>
      <c r="M141" s="337"/>
      <c r="N141" s="336"/>
      <c r="O141" s="336"/>
      <c r="P141" s="336"/>
      <c r="Q141" s="336"/>
      <c r="R141" s="336"/>
      <c r="S141" s="336"/>
      <c r="T141" s="336"/>
      <c r="U141" s="336"/>
      <c r="V141" s="336"/>
      <c r="W141" s="336"/>
      <c r="X141" s="336"/>
      <c r="Y141" s="336"/>
      <c r="Z141" s="336"/>
      <c r="AA141" s="336"/>
      <c r="AB141" s="338"/>
      <c r="AC141" s="338"/>
      <c r="AD141" s="338"/>
      <c r="AE141" s="336"/>
      <c r="AF141" s="336"/>
      <c r="AG141" s="338"/>
      <c r="AH141" s="336"/>
      <c r="AI141" s="338"/>
      <c r="AJ141" s="336"/>
      <c r="AK141" s="338"/>
      <c r="AL141" s="338"/>
      <c r="AM141" s="336"/>
      <c r="AN141" s="336"/>
      <c r="AO141" s="336"/>
      <c r="AP141" s="336"/>
      <c r="AQ141" s="336"/>
      <c r="AR141" s="336"/>
      <c r="AS141" s="336"/>
    </row>
    <row r="142" spans="1:45" ht="24" customHeight="1">
      <c r="A142" s="336"/>
      <c r="B142" s="336"/>
      <c r="C142" s="338"/>
      <c r="D142" s="338"/>
      <c r="E142" s="338"/>
      <c r="F142" s="337"/>
      <c r="G142" s="336"/>
      <c r="H142" s="336"/>
      <c r="I142" s="336"/>
      <c r="J142" s="338"/>
      <c r="K142" s="337"/>
      <c r="L142" s="338"/>
      <c r="M142" s="337"/>
      <c r="N142" s="336"/>
      <c r="O142" s="336"/>
      <c r="P142" s="336"/>
      <c r="Q142" s="336"/>
      <c r="R142" s="336"/>
      <c r="S142" s="336"/>
      <c r="T142" s="336"/>
      <c r="U142" s="336"/>
      <c r="V142" s="336"/>
      <c r="W142" s="336"/>
      <c r="X142" s="336"/>
      <c r="Y142" s="336"/>
      <c r="Z142" s="336"/>
      <c r="AA142" s="336"/>
      <c r="AB142" s="338"/>
      <c r="AC142" s="338"/>
      <c r="AD142" s="338"/>
      <c r="AE142" s="336"/>
      <c r="AF142" s="336"/>
      <c r="AG142" s="338"/>
      <c r="AH142" s="336"/>
      <c r="AI142" s="338"/>
      <c r="AJ142" s="336"/>
      <c r="AK142" s="338"/>
      <c r="AL142" s="338"/>
      <c r="AM142" s="336"/>
      <c r="AN142" s="336"/>
      <c r="AO142" s="336"/>
      <c r="AP142" s="336"/>
      <c r="AQ142" s="336"/>
      <c r="AR142" s="336"/>
      <c r="AS142" s="336"/>
    </row>
    <row r="143" spans="1:45" ht="24" customHeight="1">
      <c r="A143" s="336"/>
      <c r="B143" s="336"/>
      <c r="C143" s="338"/>
      <c r="D143" s="338"/>
      <c r="E143" s="338"/>
      <c r="F143" s="337"/>
      <c r="G143" s="336"/>
      <c r="H143" s="336"/>
      <c r="I143" s="336"/>
      <c r="J143" s="338"/>
      <c r="K143" s="337"/>
      <c r="L143" s="338"/>
      <c r="M143" s="337"/>
      <c r="N143" s="336"/>
      <c r="O143" s="336"/>
      <c r="P143" s="336"/>
      <c r="Q143" s="336"/>
      <c r="R143" s="336"/>
      <c r="S143" s="336"/>
      <c r="T143" s="336"/>
      <c r="U143" s="336"/>
      <c r="V143" s="336"/>
      <c r="W143" s="336"/>
      <c r="X143" s="336"/>
      <c r="Y143" s="336"/>
      <c r="Z143" s="336"/>
      <c r="AA143" s="336"/>
      <c r="AB143" s="338"/>
      <c r="AC143" s="338"/>
      <c r="AD143" s="338"/>
      <c r="AE143" s="336"/>
      <c r="AF143" s="336"/>
      <c r="AG143" s="338"/>
      <c r="AH143" s="336"/>
      <c r="AI143" s="338"/>
      <c r="AJ143" s="336"/>
      <c r="AK143" s="338"/>
      <c r="AL143" s="338"/>
      <c r="AM143" s="336"/>
      <c r="AN143" s="336"/>
      <c r="AO143" s="336"/>
      <c r="AP143" s="336"/>
      <c r="AQ143" s="336"/>
      <c r="AR143" s="336"/>
      <c r="AS143" s="336"/>
    </row>
    <row r="144" spans="1:45" ht="24" customHeight="1">
      <c r="A144" s="336"/>
      <c r="B144" s="336"/>
      <c r="C144" s="338"/>
      <c r="D144" s="338"/>
      <c r="E144" s="338"/>
      <c r="F144" s="337"/>
      <c r="G144" s="336"/>
      <c r="H144" s="336"/>
      <c r="I144" s="336"/>
      <c r="J144" s="338"/>
      <c r="K144" s="337"/>
      <c r="L144" s="338"/>
      <c r="M144" s="337"/>
      <c r="N144" s="336"/>
      <c r="O144" s="336"/>
      <c r="P144" s="336"/>
      <c r="Q144" s="336"/>
      <c r="R144" s="336"/>
      <c r="S144" s="336"/>
      <c r="T144" s="336"/>
      <c r="U144" s="336"/>
      <c r="V144" s="336"/>
      <c r="W144" s="336"/>
      <c r="X144" s="336"/>
      <c r="Y144" s="336"/>
      <c r="Z144" s="336"/>
      <c r="AA144" s="336"/>
      <c r="AB144" s="338"/>
      <c r="AC144" s="338"/>
      <c r="AD144" s="338"/>
      <c r="AE144" s="336"/>
      <c r="AF144" s="336"/>
      <c r="AG144" s="338"/>
      <c r="AH144" s="336"/>
      <c r="AI144" s="338"/>
      <c r="AJ144" s="336"/>
      <c r="AK144" s="338"/>
      <c r="AL144" s="338"/>
      <c r="AM144" s="336"/>
      <c r="AN144" s="336"/>
      <c r="AO144" s="336"/>
      <c r="AP144" s="336"/>
      <c r="AQ144" s="336"/>
      <c r="AR144" s="336"/>
      <c r="AS144" s="336"/>
    </row>
    <row r="145" spans="1:45" ht="24" customHeight="1">
      <c r="A145" s="336"/>
      <c r="B145" s="336"/>
      <c r="C145" s="338"/>
      <c r="D145" s="338"/>
      <c r="E145" s="338"/>
      <c r="F145" s="337"/>
      <c r="G145" s="336"/>
      <c r="H145" s="336"/>
      <c r="I145" s="336"/>
      <c r="J145" s="338"/>
      <c r="K145" s="337"/>
      <c r="L145" s="338"/>
      <c r="M145" s="337"/>
      <c r="N145" s="336"/>
      <c r="O145" s="336"/>
      <c r="P145" s="336"/>
      <c r="Q145" s="336"/>
      <c r="R145" s="336"/>
      <c r="S145" s="336"/>
      <c r="T145" s="336"/>
      <c r="U145" s="336"/>
      <c r="V145" s="336"/>
      <c r="W145" s="336"/>
      <c r="X145" s="336"/>
      <c r="Y145" s="336"/>
      <c r="Z145" s="336"/>
      <c r="AA145" s="336"/>
      <c r="AB145" s="338"/>
      <c r="AC145" s="338"/>
      <c r="AD145" s="338"/>
      <c r="AE145" s="336"/>
      <c r="AF145" s="336"/>
      <c r="AG145" s="338"/>
      <c r="AH145" s="336"/>
      <c r="AI145" s="338"/>
      <c r="AJ145" s="336"/>
      <c r="AK145" s="338"/>
      <c r="AL145" s="338"/>
      <c r="AM145" s="336"/>
      <c r="AN145" s="336"/>
      <c r="AO145" s="336"/>
      <c r="AP145" s="336"/>
      <c r="AQ145" s="336"/>
      <c r="AR145" s="336"/>
      <c r="AS145" s="336"/>
    </row>
    <row r="146" spans="1:45" ht="24" customHeight="1">
      <c r="A146" s="336"/>
      <c r="B146" s="336"/>
      <c r="C146" s="338"/>
      <c r="D146" s="338"/>
      <c r="E146" s="338"/>
      <c r="F146" s="337"/>
      <c r="G146" s="336"/>
      <c r="H146" s="336"/>
      <c r="I146" s="336"/>
      <c r="J146" s="338"/>
      <c r="K146" s="337"/>
      <c r="L146" s="338"/>
      <c r="M146" s="337"/>
      <c r="N146" s="336"/>
      <c r="O146" s="336"/>
      <c r="P146" s="336"/>
      <c r="Q146" s="336"/>
      <c r="R146" s="336"/>
      <c r="S146" s="336"/>
      <c r="T146" s="336"/>
      <c r="U146" s="336"/>
      <c r="V146" s="336"/>
      <c r="W146" s="336"/>
      <c r="X146" s="336"/>
      <c r="Y146" s="336"/>
      <c r="Z146" s="336"/>
      <c r="AA146" s="336"/>
      <c r="AB146" s="338"/>
      <c r="AC146" s="338"/>
      <c r="AD146" s="338"/>
      <c r="AE146" s="336"/>
      <c r="AF146" s="336"/>
      <c r="AG146" s="338"/>
      <c r="AH146" s="336"/>
      <c r="AI146" s="338"/>
      <c r="AJ146" s="336"/>
      <c r="AK146" s="338"/>
      <c r="AL146" s="338"/>
      <c r="AM146" s="336"/>
      <c r="AN146" s="336"/>
      <c r="AO146" s="336"/>
      <c r="AP146" s="336"/>
      <c r="AQ146" s="336"/>
      <c r="AR146" s="336"/>
      <c r="AS146" s="336"/>
    </row>
    <row r="147" spans="1:45" ht="24" customHeight="1">
      <c r="A147" s="336"/>
      <c r="B147" s="336"/>
      <c r="C147" s="338"/>
      <c r="D147" s="338"/>
      <c r="E147" s="338"/>
      <c r="F147" s="337"/>
      <c r="G147" s="336"/>
      <c r="H147" s="336"/>
      <c r="I147" s="336"/>
      <c r="J147" s="338"/>
      <c r="K147" s="337"/>
      <c r="L147" s="338"/>
      <c r="M147" s="337"/>
      <c r="N147" s="336"/>
      <c r="O147" s="336"/>
      <c r="P147" s="336"/>
      <c r="Q147" s="336"/>
      <c r="R147" s="336"/>
      <c r="S147" s="336"/>
      <c r="T147" s="336"/>
      <c r="U147" s="336"/>
      <c r="V147" s="336"/>
      <c r="W147" s="336"/>
      <c r="X147" s="336"/>
      <c r="Y147" s="336"/>
      <c r="Z147" s="336"/>
      <c r="AA147" s="336"/>
      <c r="AB147" s="338"/>
      <c r="AC147" s="338"/>
      <c r="AD147" s="338"/>
      <c r="AE147" s="336"/>
      <c r="AF147" s="336"/>
      <c r="AG147" s="338"/>
      <c r="AH147" s="336"/>
      <c r="AI147" s="338"/>
      <c r="AJ147" s="336"/>
      <c r="AK147" s="338"/>
      <c r="AL147" s="338"/>
      <c r="AM147" s="336"/>
      <c r="AN147" s="336"/>
      <c r="AO147" s="336"/>
      <c r="AP147" s="336"/>
      <c r="AQ147" s="336"/>
      <c r="AR147" s="336"/>
      <c r="AS147" s="336"/>
    </row>
    <row r="148" spans="1:45" ht="24" customHeight="1">
      <c r="A148" s="336"/>
      <c r="B148" s="336"/>
      <c r="C148" s="338"/>
      <c r="D148" s="338"/>
      <c r="E148" s="338"/>
      <c r="F148" s="337"/>
      <c r="G148" s="336"/>
      <c r="H148" s="336"/>
      <c r="I148" s="336"/>
      <c r="J148" s="338"/>
      <c r="K148" s="337"/>
      <c r="L148" s="338"/>
      <c r="M148" s="337"/>
      <c r="N148" s="336"/>
      <c r="O148" s="336"/>
      <c r="P148" s="336"/>
      <c r="Q148" s="336"/>
      <c r="R148" s="336"/>
      <c r="S148" s="336"/>
      <c r="T148" s="336"/>
      <c r="U148" s="336"/>
      <c r="V148" s="336"/>
      <c r="W148" s="336"/>
      <c r="X148" s="336"/>
      <c r="Y148" s="336"/>
      <c r="Z148" s="336"/>
      <c r="AA148" s="336"/>
      <c r="AB148" s="338"/>
      <c r="AC148" s="338"/>
      <c r="AD148" s="338"/>
      <c r="AE148" s="336"/>
      <c r="AF148" s="336"/>
      <c r="AG148" s="338"/>
      <c r="AH148" s="336"/>
      <c r="AI148" s="338"/>
      <c r="AJ148" s="336"/>
      <c r="AK148" s="338"/>
      <c r="AL148" s="338"/>
      <c r="AM148" s="336"/>
      <c r="AN148" s="336"/>
      <c r="AO148" s="336"/>
      <c r="AP148" s="336"/>
      <c r="AQ148" s="336"/>
      <c r="AR148" s="336"/>
      <c r="AS148" s="336"/>
    </row>
    <row r="149" spans="1:45" ht="24" customHeight="1">
      <c r="A149" s="336"/>
      <c r="B149" s="336"/>
      <c r="C149" s="338"/>
      <c r="D149" s="338"/>
      <c r="E149" s="338"/>
      <c r="F149" s="337"/>
      <c r="G149" s="336"/>
      <c r="H149" s="336"/>
      <c r="I149" s="336"/>
      <c r="J149" s="338"/>
      <c r="K149" s="337"/>
      <c r="L149" s="338"/>
      <c r="M149" s="337"/>
      <c r="N149" s="336"/>
      <c r="O149" s="336"/>
      <c r="P149" s="336"/>
      <c r="Q149" s="336"/>
      <c r="R149" s="336"/>
      <c r="S149" s="336"/>
      <c r="T149" s="336"/>
      <c r="U149" s="336"/>
      <c r="V149" s="336"/>
      <c r="W149" s="336"/>
      <c r="X149" s="336"/>
      <c r="Y149" s="336"/>
      <c r="Z149" s="336"/>
      <c r="AA149" s="336"/>
      <c r="AB149" s="338"/>
      <c r="AC149" s="338"/>
      <c r="AD149" s="338"/>
      <c r="AE149" s="336"/>
      <c r="AF149" s="336"/>
      <c r="AG149" s="338"/>
      <c r="AH149" s="336"/>
      <c r="AI149" s="338"/>
      <c r="AJ149" s="336"/>
      <c r="AK149" s="338"/>
      <c r="AL149" s="338"/>
      <c r="AM149" s="336"/>
      <c r="AN149" s="336"/>
      <c r="AO149" s="336"/>
      <c r="AP149" s="336"/>
      <c r="AQ149" s="336"/>
      <c r="AR149" s="336"/>
      <c r="AS149" s="336"/>
    </row>
    <row r="150" spans="1:45" ht="24" customHeight="1">
      <c r="A150" s="336"/>
      <c r="B150" s="336"/>
      <c r="C150" s="338"/>
      <c r="D150" s="338"/>
      <c r="E150" s="338"/>
      <c r="F150" s="337"/>
      <c r="G150" s="336"/>
      <c r="H150" s="336"/>
      <c r="I150" s="336"/>
      <c r="J150" s="338"/>
      <c r="K150" s="337"/>
      <c r="L150" s="338"/>
      <c r="M150" s="337"/>
      <c r="N150" s="336"/>
      <c r="O150" s="336"/>
      <c r="P150" s="336"/>
      <c r="Q150" s="336"/>
      <c r="R150" s="336"/>
      <c r="S150" s="336"/>
      <c r="T150" s="336"/>
      <c r="U150" s="336"/>
      <c r="V150" s="336"/>
      <c r="W150" s="336"/>
      <c r="X150" s="336"/>
      <c r="Y150" s="336"/>
      <c r="Z150" s="336"/>
      <c r="AA150" s="336"/>
      <c r="AB150" s="338"/>
      <c r="AC150" s="338"/>
      <c r="AD150" s="338"/>
      <c r="AE150" s="336"/>
      <c r="AF150" s="336"/>
      <c r="AG150" s="338"/>
      <c r="AH150" s="336"/>
      <c r="AI150" s="338"/>
      <c r="AJ150" s="336"/>
      <c r="AK150" s="338"/>
      <c r="AL150" s="338"/>
      <c r="AM150" s="336"/>
      <c r="AN150" s="336"/>
      <c r="AO150" s="336"/>
      <c r="AP150" s="336"/>
      <c r="AQ150" s="336"/>
      <c r="AR150" s="336"/>
      <c r="AS150" s="336"/>
    </row>
    <row r="151" spans="1:45" ht="24" customHeight="1">
      <c r="A151" s="336"/>
      <c r="B151" s="336"/>
      <c r="C151" s="338"/>
      <c r="D151" s="338"/>
      <c r="E151" s="338"/>
      <c r="F151" s="337"/>
      <c r="G151" s="336"/>
      <c r="H151" s="336"/>
      <c r="I151" s="336"/>
      <c r="J151" s="338"/>
      <c r="K151" s="337"/>
      <c r="L151" s="338"/>
      <c r="M151" s="337"/>
      <c r="N151" s="336"/>
      <c r="O151" s="336"/>
      <c r="P151" s="336"/>
      <c r="Q151" s="336"/>
      <c r="R151" s="336"/>
      <c r="S151" s="336"/>
      <c r="T151" s="336"/>
      <c r="U151" s="336"/>
      <c r="V151" s="336"/>
      <c r="W151" s="336"/>
      <c r="X151" s="336"/>
      <c r="Y151" s="336"/>
      <c r="Z151" s="336"/>
      <c r="AA151" s="336"/>
      <c r="AB151" s="338"/>
      <c r="AC151" s="338"/>
      <c r="AD151" s="338"/>
      <c r="AE151" s="336"/>
      <c r="AF151" s="336"/>
      <c r="AG151" s="338"/>
      <c r="AH151" s="336"/>
      <c r="AI151" s="338"/>
      <c r="AJ151" s="336"/>
      <c r="AK151" s="338"/>
      <c r="AL151" s="338"/>
      <c r="AM151" s="336"/>
      <c r="AN151" s="336"/>
      <c r="AO151" s="336"/>
      <c r="AP151" s="336"/>
      <c r="AQ151" s="336"/>
      <c r="AR151" s="336"/>
      <c r="AS151" s="336"/>
    </row>
    <row r="152" spans="1:45" ht="24" customHeight="1">
      <c r="A152" s="336"/>
      <c r="B152" s="336"/>
      <c r="C152" s="338"/>
      <c r="D152" s="338"/>
      <c r="E152" s="338"/>
      <c r="F152" s="337"/>
      <c r="G152" s="336"/>
      <c r="H152" s="336"/>
      <c r="I152" s="336"/>
      <c r="J152" s="338"/>
      <c r="K152" s="337"/>
      <c r="L152" s="338"/>
      <c r="M152" s="337"/>
      <c r="N152" s="336"/>
      <c r="O152" s="336"/>
      <c r="P152" s="336"/>
      <c r="Q152" s="336"/>
      <c r="R152" s="336"/>
      <c r="S152" s="336"/>
      <c r="T152" s="336"/>
      <c r="U152" s="336"/>
      <c r="V152" s="336"/>
      <c r="W152" s="336"/>
      <c r="X152" s="336"/>
      <c r="Y152" s="336"/>
      <c r="Z152" s="336"/>
      <c r="AA152" s="336"/>
      <c r="AB152" s="338"/>
      <c r="AC152" s="338"/>
      <c r="AD152" s="338"/>
      <c r="AE152" s="336"/>
      <c r="AF152" s="336"/>
      <c r="AG152" s="338"/>
      <c r="AH152" s="336"/>
      <c r="AI152" s="338"/>
      <c r="AJ152" s="336"/>
      <c r="AK152" s="338"/>
      <c r="AL152" s="338"/>
      <c r="AM152" s="336"/>
      <c r="AN152" s="336"/>
      <c r="AO152" s="336"/>
      <c r="AP152" s="336"/>
      <c r="AQ152" s="336"/>
      <c r="AR152" s="336"/>
      <c r="AS152" s="336"/>
    </row>
    <row r="153" spans="1:45" ht="24" customHeight="1">
      <c r="A153" s="336"/>
      <c r="B153" s="336"/>
      <c r="C153" s="338"/>
      <c r="D153" s="338"/>
      <c r="E153" s="338"/>
      <c r="F153" s="337"/>
      <c r="G153" s="336"/>
      <c r="H153" s="336"/>
      <c r="I153" s="336"/>
      <c r="J153" s="338"/>
      <c r="K153" s="337"/>
      <c r="L153" s="338"/>
      <c r="M153" s="337"/>
      <c r="N153" s="336"/>
      <c r="O153" s="336"/>
      <c r="P153" s="336"/>
      <c r="Q153" s="336"/>
      <c r="R153" s="336"/>
      <c r="S153" s="336"/>
      <c r="T153" s="336"/>
      <c r="U153" s="336"/>
      <c r="V153" s="336"/>
      <c r="W153" s="336"/>
      <c r="X153" s="336"/>
      <c r="Y153" s="336"/>
      <c r="Z153" s="336"/>
      <c r="AA153" s="336"/>
      <c r="AB153" s="338"/>
      <c r="AC153" s="338"/>
      <c r="AD153" s="338"/>
      <c r="AE153" s="336"/>
      <c r="AF153" s="336"/>
      <c r="AG153" s="338"/>
      <c r="AH153" s="336"/>
      <c r="AI153" s="338"/>
      <c r="AJ153" s="336"/>
      <c r="AK153" s="338"/>
      <c r="AL153" s="338"/>
      <c r="AM153" s="336"/>
      <c r="AN153" s="336"/>
      <c r="AO153" s="336"/>
      <c r="AP153" s="336"/>
      <c r="AQ153" s="336"/>
      <c r="AR153" s="336"/>
      <c r="AS153" s="336"/>
    </row>
    <row r="154" spans="1:45" ht="24" customHeight="1">
      <c r="A154" s="336"/>
      <c r="B154" s="336"/>
      <c r="C154" s="338"/>
      <c r="D154" s="338"/>
      <c r="E154" s="338"/>
      <c r="F154" s="337"/>
      <c r="G154" s="336"/>
      <c r="H154" s="336"/>
      <c r="I154" s="336"/>
      <c r="J154" s="338"/>
      <c r="K154" s="337"/>
      <c r="L154" s="338"/>
      <c r="M154" s="337"/>
      <c r="N154" s="336"/>
      <c r="O154" s="336"/>
      <c r="P154" s="336"/>
      <c r="Q154" s="336"/>
      <c r="R154" s="336"/>
      <c r="S154" s="336"/>
      <c r="T154" s="336"/>
      <c r="U154" s="336"/>
      <c r="V154" s="336"/>
      <c r="W154" s="336"/>
      <c r="X154" s="336"/>
      <c r="Y154" s="336"/>
      <c r="Z154" s="336"/>
      <c r="AA154" s="336"/>
      <c r="AB154" s="338"/>
      <c r="AC154" s="338"/>
      <c r="AD154" s="338"/>
      <c r="AE154" s="336"/>
      <c r="AF154" s="336"/>
      <c r="AG154" s="338"/>
      <c r="AH154" s="336"/>
      <c r="AI154" s="338"/>
      <c r="AJ154" s="336"/>
      <c r="AK154" s="338"/>
      <c r="AL154" s="338"/>
      <c r="AM154" s="336"/>
      <c r="AN154" s="336"/>
      <c r="AO154" s="336"/>
      <c r="AP154" s="336"/>
      <c r="AQ154" s="336"/>
      <c r="AR154" s="336"/>
      <c r="AS154" s="336"/>
    </row>
    <row r="155" spans="1:45" ht="24" customHeight="1">
      <c r="A155" s="336"/>
      <c r="B155" s="336"/>
      <c r="C155" s="338"/>
      <c r="D155" s="338"/>
      <c r="E155" s="338"/>
      <c r="F155" s="337"/>
      <c r="G155" s="336"/>
      <c r="H155" s="336"/>
      <c r="I155" s="336"/>
      <c r="J155" s="338"/>
      <c r="K155" s="337"/>
      <c r="L155" s="338"/>
      <c r="M155" s="337"/>
      <c r="N155" s="336"/>
      <c r="O155" s="336"/>
      <c r="P155" s="336"/>
      <c r="Q155" s="336"/>
      <c r="R155" s="336"/>
      <c r="S155" s="336"/>
      <c r="T155" s="336"/>
      <c r="U155" s="336"/>
      <c r="V155" s="336"/>
      <c r="W155" s="336"/>
      <c r="X155" s="336"/>
      <c r="Y155" s="336"/>
      <c r="Z155" s="336"/>
      <c r="AA155" s="336"/>
      <c r="AB155" s="338"/>
      <c r="AC155" s="338"/>
      <c r="AD155" s="338"/>
      <c r="AE155" s="336"/>
      <c r="AF155" s="336"/>
      <c r="AG155" s="338"/>
      <c r="AH155" s="336"/>
      <c r="AI155" s="338"/>
      <c r="AJ155" s="336"/>
      <c r="AK155" s="338"/>
      <c r="AL155" s="338"/>
      <c r="AM155" s="336"/>
      <c r="AN155" s="336"/>
      <c r="AO155" s="336"/>
      <c r="AP155" s="336"/>
      <c r="AQ155" s="336"/>
      <c r="AR155" s="336"/>
      <c r="AS155" s="336"/>
    </row>
    <row r="156" spans="1:45" ht="24" customHeight="1">
      <c r="A156" s="336"/>
      <c r="B156" s="336"/>
      <c r="C156" s="338"/>
      <c r="D156" s="338"/>
      <c r="E156" s="338"/>
      <c r="F156" s="337"/>
      <c r="G156" s="336"/>
      <c r="H156" s="336"/>
      <c r="I156" s="336"/>
      <c r="J156" s="338"/>
      <c r="K156" s="337"/>
      <c r="L156" s="338"/>
      <c r="M156" s="337"/>
      <c r="N156" s="336"/>
      <c r="O156" s="336"/>
      <c r="P156" s="336"/>
      <c r="Q156" s="336"/>
      <c r="R156" s="336"/>
      <c r="S156" s="336"/>
      <c r="T156" s="336"/>
      <c r="U156" s="336"/>
      <c r="V156" s="336"/>
      <c r="W156" s="336"/>
      <c r="X156" s="336"/>
      <c r="Y156" s="336"/>
      <c r="Z156" s="336"/>
      <c r="AA156" s="336"/>
      <c r="AB156" s="338"/>
      <c r="AC156" s="338"/>
      <c r="AD156" s="338"/>
      <c r="AE156" s="336"/>
      <c r="AF156" s="336"/>
      <c r="AG156" s="338"/>
      <c r="AH156" s="336"/>
      <c r="AI156" s="338"/>
      <c r="AJ156" s="336"/>
      <c r="AK156" s="338"/>
      <c r="AL156" s="338"/>
      <c r="AM156" s="336"/>
      <c r="AN156" s="336"/>
      <c r="AO156" s="336"/>
      <c r="AP156" s="336"/>
      <c r="AQ156" s="336"/>
      <c r="AR156" s="336"/>
      <c r="AS156" s="336"/>
    </row>
    <row r="157" spans="1:45" ht="24" customHeight="1">
      <c r="A157" s="336"/>
      <c r="B157" s="336"/>
      <c r="C157" s="338"/>
      <c r="D157" s="338"/>
      <c r="E157" s="338"/>
      <c r="F157" s="337"/>
      <c r="G157" s="336"/>
      <c r="H157" s="336"/>
      <c r="I157" s="336"/>
      <c r="J157" s="338"/>
      <c r="K157" s="337"/>
      <c r="L157" s="338"/>
      <c r="M157" s="337"/>
      <c r="N157" s="336"/>
      <c r="O157" s="336"/>
      <c r="P157" s="336"/>
      <c r="Q157" s="336"/>
      <c r="R157" s="336"/>
      <c r="S157" s="336"/>
      <c r="T157" s="336"/>
      <c r="U157" s="336"/>
      <c r="V157" s="336"/>
      <c r="W157" s="336"/>
      <c r="X157" s="336"/>
      <c r="Y157" s="336"/>
      <c r="Z157" s="336"/>
      <c r="AA157" s="336"/>
      <c r="AB157" s="338"/>
      <c r="AC157" s="338"/>
      <c r="AD157" s="338"/>
      <c r="AE157" s="336"/>
      <c r="AF157" s="336"/>
      <c r="AG157" s="338"/>
      <c r="AH157" s="336"/>
      <c r="AI157" s="338"/>
      <c r="AJ157" s="336"/>
      <c r="AK157" s="338"/>
      <c r="AL157" s="338"/>
      <c r="AM157" s="336"/>
      <c r="AN157" s="336"/>
      <c r="AO157" s="336"/>
      <c r="AP157" s="336"/>
      <c r="AQ157" s="336"/>
      <c r="AR157" s="336"/>
      <c r="AS157" s="336"/>
    </row>
    <row r="158" spans="1:45" ht="24" customHeight="1">
      <c r="A158" s="336"/>
      <c r="B158" s="336"/>
      <c r="C158" s="338"/>
      <c r="D158" s="338"/>
      <c r="E158" s="338"/>
      <c r="F158" s="337"/>
      <c r="G158" s="336"/>
      <c r="H158" s="336"/>
      <c r="I158" s="336"/>
      <c r="J158" s="338"/>
      <c r="K158" s="337"/>
      <c r="L158" s="338"/>
      <c r="M158" s="337"/>
      <c r="N158" s="336"/>
      <c r="O158" s="336"/>
      <c r="P158" s="336"/>
      <c r="Q158" s="336"/>
      <c r="R158" s="336"/>
      <c r="S158" s="336"/>
      <c r="T158" s="336"/>
      <c r="U158" s="336"/>
      <c r="V158" s="336"/>
      <c r="W158" s="336"/>
      <c r="X158" s="336"/>
      <c r="Y158" s="336"/>
      <c r="Z158" s="336"/>
      <c r="AA158" s="336"/>
      <c r="AB158" s="338"/>
      <c r="AC158" s="338"/>
      <c r="AD158" s="338"/>
      <c r="AE158" s="336"/>
      <c r="AF158" s="336"/>
      <c r="AG158" s="338"/>
      <c r="AH158" s="336"/>
      <c r="AI158" s="338"/>
      <c r="AJ158" s="336"/>
      <c r="AK158" s="338"/>
      <c r="AL158" s="338"/>
      <c r="AM158" s="336"/>
      <c r="AN158" s="336"/>
      <c r="AO158" s="336"/>
      <c r="AP158" s="336"/>
      <c r="AQ158" s="336"/>
      <c r="AR158" s="336"/>
      <c r="AS158" s="336"/>
    </row>
    <row r="159" spans="1:45" ht="24" customHeight="1">
      <c r="A159" s="336"/>
      <c r="B159" s="336"/>
      <c r="C159" s="338"/>
      <c r="D159" s="338"/>
      <c r="E159" s="338"/>
      <c r="F159" s="337"/>
      <c r="G159" s="336"/>
      <c r="H159" s="336"/>
      <c r="I159" s="336"/>
      <c r="J159" s="338"/>
      <c r="K159" s="337"/>
      <c r="L159" s="338"/>
      <c r="M159" s="337"/>
      <c r="N159" s="336"/>
      <c r="O159" s="336"/>
      <c r="P159" s="336"/>
      <c r="Q159" s="336"/>
      <c r="R159" s="336"/>
      <c r="S159" s="336"/>
      <c r="T159" s="336"/>
      <c r="U159" s="336"/>
      <c r="V159" s="336"/>
      <c r="W159" s="336"/>
      <c r="X159" s="336"/>
      <c r="Y159" s="336"/>
      <c r="Z159" s="336"/>
      <c r="AA159" s="336"/>
      <c r="AB159" s="338"/>
      <c r="AC159" s="338"/>
      <c r="AD159" s="338"/>
      <c r="AE159" s="336"/>
      <c r="AF159" s="336"/>
      <c r="AG159" s="338"/>
      <c r="AH159" s="336"/>
      <c r="AI159" s="338"/>
      <c r="AJ159" s="336"/>
      <c r="AK159" s="338"/>
      <c r="AL159" s="338"/>
      <c r="AM159" s="336"/>
      <c r="AN159" s="336"/>
      <c r="AO159" s="336"/>
      <c r="AP159" s="336"/>
      <c r="AQ159" s="336"/>
      <c r="AR159" s="336"/>
      <c r="AS159" s="336"/>
    </row>
    <row r="160" spans="1:45" ht="24" customHeight="1">
      <c r="A160" s="336"/>
      <c r="B160" s="336"/>
      <c r="C160" s="338"/>
      <c r="D160" s="338"/>
      <c r="E160" s="338"/>
      <c r="F160" s="337"/>
      <c r="G160" s="336"/>
      <c r="H160" s="336"/>
      <c r="I160" s="336"/>
      <c r="J160" s="338"/>
      <c r="K160" s="337"/>
      <c r="L160" s="338"/>
      <c r="M160" s="337"/>
      <c r="N160" s="336"/>
      <c r="O160" s="336"/>
      <c r="P160" s="336"/>
      <c r="Q160" s="336"/>
      <c r="R160" s="336"/>
      <c r="S160" s="336"/>
      <c r="T160" s="336"/>
      <c r="U160" s="336"/>
      <c r="V160" s="336"/>
      <c r="W160" s="336"/>
      <c r="X160" s="336"/>
      <c r="Y160" s="336"/>
      <c r="Z160" s="336"/>
      <c r="AA160" s="336"/>
      <c r="AB160" s="338"/>
      <c r="AC160" s="338"/>
      <c r="AD160" s="338"/>
      <c r="AE160" s="336"/>
      <c r="AF160" s="336"/>
      <c r="AG160" s="338"/>
      <c r="AH160" s="336"/>
      <c r="AI160" s="338"/>
      <c r="AJ160" s="336"/>
      <c r="AK160" s="338"/>
      <c r="AL160" s="338"/>
      <c r="AM160" s="336"/>
      <c r="AN160" s="336"/>
      <c r="AO160" s="336"/>
      <c r="AP160" s="336"/>
      <c r="AQ160" s="336"/>
      <c r="AR160" s="336"/>
      <c r="AS160" s="336"/>
    </row>
    <row r="161" spans="1:45" ht="24" customHeight="1">
      <c r="A161" s="336"/>
      <c r="B161" s="336"/>
      <c r="C161" s="338"/>
      <c r="D161" s="338"/>
      <c r="E161" s="338"/>
      <c r="F161" s="337"/>
      <c r="G161" s="336"/>
      <c r="H161" s="336"/>
      <c r="I161" s="336"/>
      <c r="J161" s="338"/>
      <c r="K161" s="337"/>
      <c r="L161" s="338"/>
      <c r="M161" s="337"/>
      <c r="N161" s="336"/>
      <c r="O161" s="336"/>
      <c r="P161" s="336"/>
      <c r="Q161" s="336"/>
      <c r="R161" s="336"/>
      <c r="S161" s="336"/>
      <c r="T161" s="336"/>
      <c r="U161" s="336"/>
      <c r="V161" s="336"/>
      <c r="W161" s="336"/>
      <c r="X161" s="336"/>
      <c r="Y161" s="336"/>
      <c r="Z161" s="336"/>
      <c r="AA161" s="336"/>
      <c r="AB161" s="338"/>
      <c r="AC161" s="338"/>
      <c r="AD161" s="338"/>
      <c r="AE161" s="336"/>
      <c r="AF161" s="336"/>
      <c r="AG161" s="338"/>
      <c r="AH161" s="336"/>
      <c r="AI161" s="338"/>
      <c r="AJ161" s="336"/>
      <c r="AK161" s="338"/>
      <c r="AL161" s="338"/>
      <c r="AM161" s="336"/>
      <c r="AN161" s="336"/>
      <c r="AO161" s="336"/>
      <c r="AP161" s="336"/>
      <c r="AQ161" s="336"/>
      <c r="AR161" s="336"/>
      <c r="AS161" s="336"/>
    </row>
    <row r="162" spans="1:45" ht="24" customHeight="1">
      <c r="A162" s="336"/>
      <c r="B162" s="336"/>
      <c r="C162" s="338"/>
      <c r="D162" s="338"/>
      <c r="E162" s="338"/>
      <c r="F162" s="337"/>
      <c r="G162" s="336"/>
      <c r="H162" s="336"/>
      <c r="I162" s="336"/>
      <c r="J162" s="338"/>
      <c r="K162" s="337"/>
      <c r="L162" s="338"/>
      <c r="M162" s="337"/>
      <c r="N162" s="336"/>
      <c r="O162" s="336"/>
      <c r="P162" s="336"/>
      <c r="Q162" s="336"/>
      <c r="R162" s="336"/>
      <c r="S162" s="336"/>
      <c r="T162" s="336"/>
      <c r="U162" s="336"/>
      <c r="V162" s="336"/>
      <c r="W162" s="336"/>
      <c r="X162" s="336"/>
      <c r="Y162" s="336"/>
      <c r="Z162" s="336"/>
      <c r="AA162" s="336"/>
      <c r="AB162" s="338"/>
      <c r="AC162" s="338"/>
      <c r="AD162" s="338"/>
      <c r="AE162" s="336"/>
      <c r="AF162" s="336"/>
      <c r="AG162" s="338"/>
      <c r="AH162" s="336"/>
      <c r="AI162" s="338"/>
      <c r="AJ162" s="336"/>
      <c r="AK162" s="338"/>
      <c r="AL162" s="338"/>
      <c r="AM162" s="336"/>
      <c r="AN162" s="336"/>
      <c r="AO162" s="336"/>
      <c r="AP162" s="336"/>
      <c r="AQ162" s="336"/>
      <c r="AR162" s="336"/>
      <c r="AS162" s="336"/>
    </row>
    <row r="163" spans="1:45" ht="24" customHeight="1">
      <c r="A163" s="336"/>
      <c r="B163" s="336"/>
      <c r="C163" s="338"/>
      <c r="D163" s="338"/>
      <c r="E163" s="338"/>
      <c r="F163" s="337"/>
      <c r="G163" s="336"/>
      <c r="H163" s="336"/>
      <c r="I163" s="336"/>
      <c r="J163" s="338"/>
      <c r="K163" s="337"/>
      <c r="L163" s="338"/>
      <c r="M163" s="337"/>
      <c r="N163" s="336"/>
      <c r="O163" s="336"/>
      <c r="P163" s="336"/>
      <c r="Q163" s="336"/>
      <c r="R163" s="336"/>
      <c r="S163" s="336"/>
      <c r="T163" s="336"/>
      <c r="U163" s="336"/>
      <c r="V163" s="336"/>
      <c r="W163" s="336"/>
      <c r="X163" s="336"/>
      <c r="Y163" s="336"/>
      <c r="Z163" s="336"/>
      <c r="AA163" s="336"/>
      <c r="AB163" s="338"/>
      <c r="AC163" s="338"/>
      <c r="AD163" s="338"/>
      <c r="AE163" s="336"/>
      <c r="AF163" s="336"/>
      <c r="AG163" s="338"/>
      <c r="AH163" s="336"/>
      <c r="AI163" s="338"/>
      <c r="AJ163" s="336"/>
      <c r="AK163" s="338"/>
      <c r="AL163" s="338"/>
      <c r="AM163" s="336"/>
      <c r="AN163" s="336"/>
      <c r="AO163" s="336"/>
      <c r="AP163" s="336"/>
      <c r="AQ163" s="336"/>
      <c r="AR163" s="336"/>
      <c r="AS163" s="336"/>
    </row>
    <row r="164" spans="1:45" ht="24" customHeight="1">
      <c r="A164" s="336"/>
      <c r="B164" s="336"/>
      <c r="C164" s="338"/>
      <c r="D164" s="338"/>
      <c r="E164" s="338"/>
      <c r="F164" s="337"/>
      <c r="G164" s="336"/>
      <c r="H164" s="336"/>
      <c r="I164" s="336"/>
      <c r="J164" s="338"/>
      <c r="K164" s="337"/>
      <c r="L164" s="338"/>
      <c r="M164" s="337"/>
      <c r="N164" s="336"/>
      <c r="O164" s="336"/>
      <c r="P164" s="336"/>
      <c r="Q164" s="336"/>
      <c r="R164" s="336"/>
      <c r="S164" s="336"/>
      <c r="T164" s="336"/>
      <c r="U164" s="336"/>
      <c r="V164" s="336"/>
      <c r="W164" s="336"/>
      <c r="X164" s="336"/>
      <c r="Y164" s="336"/>
      <c r="Z164" s="336"/>
      <c r="AA164" s="336"/>
      <c r="AB164" s="338"/>
      <c r="AC164" s="338"/>
      <c r="AD164" s="338"/>
      <c r="AE164" s="336"/>
      <c r="AF164" s="336"/>
      <c r="AG164" s="338"/>
      <c r="AH164" s="336"/>
      <c r="AI164" s="338"/>
      <c r="AJ164" s="336"/>
      <c r="AK164" s="338"/>
      <c r="AL164" s="338"/>
      <c r="AM164" s="336"/>
      <c r="AN164" s="336"/>
      <c r="AO164" s="336"/>
      <c r="AP164" s="336"/>
      <c r="AQ164" s="336"/>
      <c r="AR164" s="336"/>
      <c r="AS164" s="336"/>
    </row>
    <row r="165" spans="1:45" ht="24" customHeight="1">
      <c r="A165" s="336"/>
      <c r="B165" s="336"/>
      <c r="C165" s="338"/>
      <c r="D165" s="338"/>
      <c r="E165" s="338"/>
      <c r="F165" s="337"/>
      <c r="G165" s="336"/>
      <c r="H165" s="336"/>
      <c r="I165" s="336"/>
      <c r="J165" s="338"/>
      <c r="K165" s="337"/>
      <c r="L165" s="338"/>
      <c r="M165" s="337"/>
      <c r="N165" s="336"/>
      <c r="O165" s="336"/>
      <c r="P165" s="336"/>
      <c r="Q165" s="336"/>
      <c r="R165" s="336"/>
      <c r="S165" s="336"/>
      <c r="T165" s="336"/>
      <c r="U165" s="336"/>
      <c r="V165" s="336"/>
      <c r="W165" s="336"/>
      <c r="X165" s="336"/>
      <c r="Y165" s="336"/>
      <c r="Z165" s="336"/>
      <c r="AA165" s="336"/>
      <c r="AB165" s="338"/>
      <c r="AC165" s="338"/>
      <c r="AD165" s="338"/>
      <c r="AE165" s="336"/>
      <c r="AF165" s="336"/>
      <c r="AG165" s="338"/>
      <c r="AH165" s="336"/>
      <c r="AI165" s="338"/>
      <c r="AJ165" s="336"/>
      <c r="AK165" s="338"/>
      <c r="AL165" s="338"/>
      <c r="AM165" s="336"/>
      <c r="AN165" s="336"/>
      <c r="AO165" s="336"/>
      <c r="AP165" s="336"/>
      <c r="AQ165" s="336"/>
      <c r="AR165" s="336"/>
      <c r="AS165" s="336"/>
    </row>
    <row r="166" spans="1:45" ht="24" customHeight="1">
      <c r="A166" s="336"/>
      <c r="B166" s="336"/>
      <c r="C166" s="338"/>
      <c r="D166" s="338"/>
      <c r="E166" s="338"/>
      <c r="F166" s="337"/>
      <c r="G166" s="336"/>
      <c r="H166" s="336"/>
      <c r="I166" s="336"/>
      <c r="J166" s="338"/>
      <c r="K166" s="337"/>
      <c r="L166" s="338"/>
      <c r="M166" s="337"/>
      <c r="N166" s="336"/>
      <c r="O166" s="336"/>
      <c r="P166" s="336"/>
      <c r="Q166" s="336"/>
      <c r="R166" s="336"/>
      <c r="S166" s="336"/>
      <c r="T166" s="336"/>
      <c r="U166" s="336"/>
      <c r="V166" s="336"/>
      <c r="W166" s="336"/>
      <c r="X166" s="336"/>
      <c r="Y166" s="336"/>
      <c r="Z166" s="336"/>
      <c r="AA166" s="336"/>
      <c r="AB166" s="338"/>
      <c r="AC166" s="338"/>
      <c r="AD166" s="338"/>
      <c r="AE166" s="336"/>
      <c r="AF166" s="336"/>
      <c r="AG166" s="338"/>
      <c r="AH166" s="336"/>
      <c r="AI166" s="338"/>
      <c r="AJ166" s="336"/>
      <c r="AK166" s="338"/>
      <c r="AL166" s="338"/>
      <c r="AM166" s="336"/>
      <c r="AN166" s="336"/>
      <c r="AO166" s="336"/>
      <c r="AP166" s="336"/>
      <c r="AQ166" s="336"/>
      <c r="AR166" s="336"/>
      <c r="AS166" s="336"/>
    </row>
    <row r="167" spans="1:45" ht="24" customHeight="1">
      <c r="A167" s="336"/>
      <c r="B167" s="336"/>
      <c r="C167" s="338"/>
      <c r="D167" s="338"/>
      <c r="E167" s="338"/>
      <c r="F167" s="337"/>
      <c r="G167" s="336"/>
      <c r="H167" s="336"/>
      <c r="I167" s="336"/>
      <c r="J167" s="338"/>
      <c r="K167" s="337"/>
      <c r="L167" s="338"/>
      <c r="M167" s="337"/>
      <c r="N167" s="336"/>
      <c r="O167" s="336"/>
      <c r="P167" s="336"/>
      <c r="Q167" s="336"/>
      <c r="R167" s="336"/>
      <c r="S167" s="336"/>
      <c r="T167" s="336"/>
      <c r="U167" s="336"/>
      <c r="V167" s="336"/>
      <c r="W167" s="336"/>
      <c r="X167" s="336"/>
      <c r="Y167" s="336"/>
      <c r="Z167" s="336"/>
      <c r="AA167" s="336"/>
      <c r="AB167" s="338"/>
      <c r="AC167" s="338"/>
      <c r="AD167" s="338"/>
      <c r="AE167" s="336"/>
      <c r="AF167" s="336"/>
      <c r="AG167" s="338"/>
      <c r="AH167" s="336"/>
      <c r="AI167" s="338"/>
      <c r="AJ167" s="336"/>
      <c r="AK167" s="338"/>
      <c r="AL167" s="338"/>
      <c r="AM167" s="336"/>
      <c r="AN167" s="336"/>
      <c r="AO167" s="336"/>
      <c r="AP167" s="336"/>
      <c r="AQ167" s="336"/>
      <c r="AR167" s="336"/>
      <c r="AS167" s="336"/>
    </row>
    <row r="168" spans="1:45" ht="24" customHeight="1">
      <c r="A168" s="336"/>
      <c r="B168" s="336"/>
      <c r="C168" s="338"/>
      <c r="D168" s="338"/>
      <c r="E168" s="338"/>
      <c r="F168" s="337"/>
      <c r="G168" s="336"/>
      <c r="H168" s="336"/>
      <c r="I168" s="336"/>
      <c r="J168" s="338"/>
      <c r="K168" s="337"/>
      <c r="L168" s="338"/>
      <c r="M168" s="337"/>
      <c r="N168" s="336"/>
      <c r="O168" s="336"/>
      <c r="P168" s="336"/>
      <c r="Q168" s="336"/>
      <c r="R168" s="336"/>
      <c r="S168" s="336"/>
      <c r="T168" s="336"/>
      <c r="U168" s="336"/>
      <c r="V168" s="336"/>
      <c r="W168" s="336"/>
      <c r="X168" s="336"/>
      <c r="Y168" s="336"/>
      <c r="Z168" s="336"/>
      <c r="AA168" s="336"/>
      <c r="AB168" s="338"/>
      <c r="AC168" s="338"/>
      <c r="AD168" s="338"/>
      <c r="AE168" s="336"/>
      <c r="AF168" s="336"/>
      <c r="AG168" s="338"/>
      <c r="AH168" s="336"/>
      <c r="AI168" s="338"/>
      <c r="AJ168" s="336"/>
      <c r="AK168" s="338"/>
      <c r="AL168" s="338"/>
      <c r="AM168" s="336"/>
      <c r="AN168" s="336"/>
      <c r="AO168" s="336"/>
      <c r="AP168" s="336"/>
      <c r="AQ168" s="336"/>
      <c r="AR168" s="336"/>
      <c r="AS168" s="336"/>
    </row>
    <row r="169" spans="1:45" ht="24" customHeight="1">
      <c r="A169" s="336"/>
      <c r="B169" s="336"/>
      <c r="C169" s="338"/>
      <c r="D169" s="338"/>
      <c r="E169" s="338"/>
      <c r="F169" s="337"/>
      <c r="G169" s="336"/>
      <c r="H169" s="336"/>
      <c r="I169" s="336"/>
      <c r="J169" s="338"/>
      <c r="K169" s="337"/>
      <c r="L169" s="338"/>
      <c r="M169" s="337"/>
      <c r="N169" s="336"/>
      <c r="O169" s="336"/>
      <c r="P169" s="336"/>
      <c r="Q169" s="336"/>
      <c r="R169" s="336"/>
      <c r="S169" s="336"/>
      <c r="T169" s="336"/>
      <c r="U169" s="336"/>
      <c r="V169" s="336"/>
      <c r="W169" s="336"/>
      <c r="X169" s="336"/>
      <c r="Y169" s="336"/>
      <c r="Z169" s="336"/>
      <c r="AA169" s="336"/>
      <c r="AB169" s="338"/>
      <c r="AC169" s="338"/>
      <c r="AD169" s="338"/>
      <c r="AE169" s="336"/>
      <c r="AF169" s="336"/>
      <c r="AG169" s="338"/>
      <c r="AH169" s="336"/>
      <c r="AI169" s="338"/>
      <c r="AJ169" s="336"/>
      <c r="AK169" s="338"/>
      <c r="AL169" s="338"/>
      <c r="AM169" s="336"/>
      <c r="AN169" s="336"/>
      <c r="AO169" s="336"/>
      <c r="AP169" s="336"/>
      <c r="AQ169" s="336"/>
      <c r="AR169" s="336"/>
      <c r="AS169" s="336"/>
    </row>
    <row r="170" spans="1:45" ht="24" customHeight="1">
      <c r="A170" s="336"/>
      <c r="B170" s="336"/>
      <c r="C170" s="338"/>
      <c r="D170" s="338"/>
      <c r="E170" s="338"/>
      <c r="F170" s="337"/>
      <c r="G170" s="336"/>
      <c r="H170" s="336"/>
      <c r="I170" s="336"/>
      <c r="J170" s="338"/>
      <c r="K170" s="337"/>
      <c r="L170" s="338"/>
      <c r="M170" s="337"/>
      <c r="N170" s="336"/>
      <c r="O170" s="336"/>
      <c r="P170" s="336"/>
      <c r="Q170" s="336"/>
      <c r="R170" s="336"/>
      <c r="S170" s="336"/>
      <c r="T170" s="336"/>
      <c r="U170" s="336"/>
      <c r="V170" s="336"/>
      <c r="W170" s="336"/>
      <c r="X170" s="336"/>
      <c r="Y170" s="336"/>
      <c r="Z170" s="336"/>
      <c r="AA170" s="336"/>
      <c r="AB170" s="338"/>
      <c r="AC170" s="338"/>
      <c r="AD170" s="338"/>
      <c r="AE170" s="336"/>
      <c r="AF170" s="336"/>
      <c r="AG170" s="338"/>
      <c r="AH170" s="336"/>
      <c r="AI170" s="338"/>
      <c r="AJ170" s="336"/>
      <c r="AK170" s="338"/>
      <c r="AL170" s="338"/>
      <c r="AM170" s="336"/>
      <c r="AN170" s="336"/>
      <c r="AO170" s="336"/>
      <c r="AP170" s="336"/>
      <c r="AQ170" s="336"/>
      <c r="AR170" s="336"/>
      <c r="AS170" s="336"/>
    </row>
    <row r="171" spans="1:45" ht="24" customHeight="1">
      <c r="A171" s="336"/>
      <c r="B171" s="336"/>
      <c r="C171" s="338"/>
      <c r="D171" s="338"/>
      <c r="E171" s="338"/>
      <c r="F171" s="337"/>
      <c r="G171" s="336"/>
      <c r="H171" s="336"/>
      <c r="I171" s="336"/>
      <c r="J171" s="338"/>
      <c r="K171" s="337"/>
      <c r="L171" s="338"/>
      <c r="M171" s="337"/>
      <c r="N171" s="336"/>
      <c r="O171" s="336"/>
      <c r="P171" s="336"/>
      <c r="Q171" s="336"/>
      <c r="R171" s="336"/>
      <c r="S171" s="336"/>
      <c r="T171" s="336"/>
      <c r="U171" s="336"/>
      <c r="V171" s="336"/>
      <c r="W171" s="336"/>
      <c r="X171" s="336"/>
      <c r="Y171" s="336"/>
      <c r="Z171" s="336"/>
      <c r="AA171" s="336"/>
      <c r="AB171" s="338"/>
      <c r="AC171" s="338"/>
      <c r="AD171" s="338"/>
      <c r="AE171" s="336"/>
      <c r="AF171" s="336"/>
      <c r="AG171" s="338"/>
      <c r="AH171" s="336"/>
      <c r="AI171" s="338"/>
      <c r="AJ171" s="336"/>
      <c r="AK171" s="338"/>
      <c r="AL171" s="338"/>
      <c r="AM171" s="336"/>
      <c r="AN171" s="336"/>
      <c r="AO171" s="336"/>
      <c r="AP171" s="336"/>
      <c r="AQ171" s="336"/>
      <c r="AR171" s="336"/>
      <c r="AS171" s="336"/>
    </row>
    <row r="172" spans="1:45" ht="24" customHeight="1">
      <c r="A172" s="336"/>
      <c r="B172" s="336"/>
      <c r="C172" s="338"/>
      <c r="D172" s="338"/>
      <c r="E172" s="338"/>
      <c r="F172" s="337"/>
      <c r="G172" s="336"/>
      <c r="H172" s="336"/>
      <c r="I172" s="336"/>
      <c r="J172" s="338"/>
      <c r="K172" s="337"/>
      <c r="L172" s="338"/>
      <c r="M172" s="337"/>
      <c r="N172" s="336"/>
      <c r="O172" s="336"/>
      <c r="P172" s="336"/>
      <c r="Q172" s="336"/>
      <c r="R172" s="336"/>
      <c r="S172" s="336"/>
      <c r="T172" s="336"/>
      <c r="U172" s="336"/>
      <c r="V172" s="336"/>
      <c r="W172" s="336"/>
      <c r="X172" s="336"/>
      <c r="Y172" s="336"/>
      <c r="Z172" s="336"/>
      <c r="AA172" s="336"/>
      <c r="AB172" s="338"/>
      <c r="AC172" s="338"/>
      <c r="AD172" s="338"/>
      <c r="AE172" s="336"/>
      <c r="AF172" s="336"/>
      <c r="AG172" s="338"/>
      <c r="AH172" s="336"/>
      <c r="AI172" s="338"/>
      <c r="AJ172" s="336"/>
      <c r="AK172" s="338"/>
      <c r="AL172" s="338"/>
      <c r="AM172" s="336"/>
      <c r="AN172" s="336"/>
      <c r="AO172" s="336"/>
      <c r="AP172" s="336"/>
      <c r="AQ172" s="336"/>
      <c r="AR172" s="336"/>
      <c r="AS172" s="336"/>
    </row>
    <row r="173" spans="1:45" ht="24" customHeight="1">
      <c r="A173" s="336"/>
      <c r="B173" s="336"/>
      <c r="C173" s="338"/>
      <c r="D173" s="338"/>
      <c r="E173" s="338"/>
      <c r="F173" s="337"/>
      <c r="G173" s="336"/>
      <c r="H173" s="336"/>
      <c r="I173" s="336"/>
      <c r="J173" s="338"/>
      <c r="K173" s="337"/>
      <c r="L173" s="338"/>
      <c r="M173" s="337"/>
      <c r="N173" s="336"/>
      <c r="O173" s="336"/>
      <c r="P173" s="336"/>
      <c r="Q173" s="336"/>
      <c r="R173" s="336"/>
      <c r="S173" s="336"/>
      <c r="T173" s="336"/>
      <c r="U173" s="336"/>
      <c r="V173" s="336"/>
      <c r="W173" s="336"/>
      <c r="X173" s="336"/>
      <c r="Y173" s="336"/>
      <c r="Z173" s="336"/>
      <c r="AA173" s="336"/>
      <c r="AB173" s="338"/>
      <c r="AC173" s="338"/>
      <c r="AD173" s="338"/>
      <c r="AE173" s="336"/>
      <c r="AF173" s="336"/>
      <c r="AG173" s="338"/>
      <c r="AH173" s="336"/>
      <c r="AI173" s="338"/>
      <c r="AJ173" s="336"/>
      <c r="AK173" s="338"/>
      <c r="AL173" s="338"/>
      <c r="AM173" s="336"/>
      <c r="AN173" s="336"/>
      <c r="AO173" s="336"/>
      <c r="AP173" s="336"/>
      <c r="AQ173" s="336"/>
      <c r="AR173" s="336"/>
      <c r="AS173" s="336"/>
    </row>
    <row r="174" spans="1:45" ht="24" customHeight="1">
      <c r="A174" s="336"/>
      <c r="B174" s="336"/>
      <c r="C174" s="338"/>
      <c r="D174" s="338"/>
      <c r="E174" s="338"/>
      <c r="F174" s="337"/>
      <c r="G174" s="336"/>
      <c r="H174" s="336"/>
      <c r="I174" s="336"/>
      <c r="J174" s="338"/>
      <c r="K174" s="337"/>
      <c r="L174" s="338"/>
      <c r="M174" s="337"/>
      <c r="N174" s="336"/>
      <c r="O174" s="336"/>
      <c r="P174" s="336"/>
      <c r="Q174" s="336"/>
      <c r="R174" s="336"/>
      <c r="S174" s="336"/>
      <c r="T174" s="336"/>
      <c r="U174" s="336"/>
      <c r="V174" s="336"/>
      <c r="W174" s="336"/>
      <c r="X174" s="336"/>
      <c r="Y174" s="336"/>
      <c r="Z174" s="336"/>
      <c r="AA174" s="336"/>
      <c r="AB174" s="338"/>
      <c r="AC174" s="338"/>
      <c r="AD174" s="338"/>
      <c r="AE174" s="336"/>
      <c r="AF174" s="336"/>
      <c r="AG174" s="338"/>
      <c r="AH174" s="336"/>
      <c r="AI174" s="338"/>
      <c r="AJ174" s="336"/>
      <c r="AK174" s="338"/>
      <c r="AL174" s="338"/>
      <c r="AM174" s="336"/>
      <c r="AN174" s="336"/>
      <c r="AO174" s="336"/>
      <c r="AP174" s="336"/>
      <c r="AQ174" s="336"/>
      <c r="AR174" s="336"/>
      <c r="AS174" s="336"/>
    </row>
    <row r="175" spans="1:45" ht="24" customHeight="1">
      <c r="A175" s="336"/>
      <c r="B175" s="336"/>
      <c r="C175" s="338"/>
      <c r="D175" s="338"/>
      <c r="E175" s="338"/>
      <c r="F175" s="337"/>
      <c r="G175" s="336"/>
      <c r="H175" s="336"/>
      <c r="I175" s="336"/>
      <c r="J175" s="338"/>
      <c r="K175" s="337"/>
      <c r="L175" s="338"/>
      <c r="M175" s="337"/>
      <c r="N175" s="336"/>
      <c r="O175" s="336"/>
      <c r="P175" s="336"/>
      <c r="Q175" s="336"/>
      <c r="R175" s="336"/>
      <c r="S175" s="336"/>
      <c r="T175" s="336"/>
      <c r="U175" s="336"/>
      <c r="V175" s="336"/>
      <c r="W175" s="336"/>
      <c r="X175" s="336"/>
      <c r="Y175" s="336"/>
      <c r="Z175" s="336"/>
      <c r="AA175" s="336"/>
      <c r="AB175" s="338"/>
      <c r="AC175" s="338"/>
      <c r="AD175" s="338"/>
      <c r="AE175" s="336"/>
      <c r="AF175" s="336"/>
      <c r="AG175" s="338"/>
      <c r="AH175" s="336"/>
      <c r="AI175" s="338"/>
      <c r="AJ175" s="336"/>
      <c r="AK175" s="338"/>
      <c r="AL175" s="338"/>
      <c r="AM175" s="336"/>
      <c r="AN175" s="336"/>
      <c r="AO175" s="336"/>
      <c r="AP175" s="336"/>
      <c r="AQ175" s="336"/>
      <c r="AR175" s="336"/>
      <c r="AS175" s="336"/>
    </row>
    <row r="176" spans="1:45" ht="24" customHeight="1">
      <c r="A176" s="336"/>
      <c r="B176" s="336"/>
      <c r="C176" s="338"/>
      <c r="D176" s="338"/>
      <c r="E176" s="338"/>
      <c r="F176" s="337"/>
      <c r="G176" s="336"/>
      <c r="H176" s="336"/>
      <c r="I176" s="336"/>
      <c r="J176" s="338"/>
      <c r="K176" s="337"/>
      <c r="L176" s="338"/>
      <c r="M176" s="337"/>
      <c r="N176" s="336"/>
      <c r="O176" s="336"/>
      <c r="P176" s="336"/>
      <c r="Q176" s="336"/>
      <c r="R176" s="336"/>
      <c r="S176" s="336"/>
      <c r="T176" s="336"/>
      <c r="U176" s="336"/>
      <c r="V176" s="336"/>
      <c r="W176" s="336"/>
      <c r="X176" s="336"/>
      <c r="Y176" s="336"/>
      <c r="Z176" s="336"/>
      <c r="AA176" s="336"/>
      <c r="AB176" s="338"/>
      <c r="AC176" s="338"/>
      <c r="AD176" s="338"/>
      <c r="AE176" s="336"/>
      <c r="AF176" s="336"/>
      <c r="AG176" s="338"/>
      <c r="AH176" s="336"/>
      <c r="AI176" s="338"/>
      <c r="AJ176" s="336"/>
      <c r="AK176" s="338"/>
      <c r="AL176" s="338"/>
      <c r="AM176" s="336"/>
      <c r="AN176" s="336"/>
      <c r="AO176" s="336"/>
      <c r="AP176" s="336"/>
      <c r="AQ176" s="336"/>
      <c r="AR176" s="336"/>
      <c r="AS176" s="336"/>
    </row>
    <row r="177" spans="1:45" ht="24" customHeight="1">
      <c r="A177" s="336"/>
      <c r="B177" s="336"/>
      <c r="C177" s="338"/>
      <c r="D177" s="338"/>
      <c r="E177" s="338"/>
      <c r="F177" s="337"/>
      <c r="G177" s="336"/>
      <c r="H177" s="336"/>
      <c r="I177" s="336"/>
      <c r="J177" s="338"/>
      <c r="K177" s="337"/>
      <c r="L177" s="338"/>
      <c r="M177" s="337"/>
      <c r="N177" s="336"/>
      <c r="O177" s="336"/>
      <c r="P177" s="336"/>
      <c r="Q177" s="336"/>
      <c r="R177" s="336"/>
      <c r="S177" s="336"/>
      <c r="T177" s="336"/>
      <c r="U177" s="336"/>
      <c r="V177" s="336"/>
      <c r="W177" s="336"/>
      <c r="X177" s="336"/>
      <c r="Y177" s="336"/>
      <c r="Z177" s="336"/>
      <c r="AA177" s="336"/>
      <c r="AB177" s="338"/>
      <c r="AC177" s="338"/>
      <c r="AD177" s="338"/>
      <c r="AE177" s="336"/>
      <c r="AF177" s="336"/>
      <c r="AG177" s="338"/>
      <c r="AH177" s="336"/>
      <c r="AI177" s="338"/>
      <c r="AJ177" s="336"/>
      <c r="AK177" s="338"/>
      <c r="AL177" s="338"/>
      <c r="AM177" s="336"/>
      <c r="AN177" s="336"/>
      <c r="AO177" s="336"/>
      <c r="AP177" s="336"/>
      <c r="AQ177" s="336"/>
      <c r="AR177" s="336"/>
      <c r="AS177" s="336"/>
    </row>
    <row r="178" spans="1:45" ht="24" customHeight="1">
      <c r="A178" s="336"/>
      <c r="B178" s="336"/>
      <c r="C178" s="338"/>
      <c r="D178" s="338"/>
      <c r="E178" s="338"/>
      <c r="F178" s="337"/>
      <c r="G178" s="336"/>
      <c r="H178" s="336"/>
      <c r="I178" s="336"/>
      <c r="J178" s="338"/>
      <c r="K178" s="337"/>
      <c r="L178" s="338"/>
      <c r="M178" s="337"/>
      <c r="N178" s="336"/>
      <c r="O178" s="336"/>
      <c r="P178" s="336"/>
      <c r="Q178" s="336"/>
      <c r="R178" s="336"/>
      <c r="S178" s="336"/>
      <c r="T178" s="336"/>
      <c r="U178" s="336"/>
      <c r="V178" s="336"/>
      <c r="W178" s="336"/>
      <c r="X178" s="336"/>
      <c r="Y178" s="336"/>
      <c r="Z178" s="336"/>
      <c r="AA178" s="336"/>
      <c r="AB178" s="338"/>
      <c r="AC178" s="338"/>
      <c r="AD178" s="338"/>
      <c r="AE178" s="336"/>
      <c r="AF178" s="336"/>
      <c r="AG178" s="338"/>
      <c r="AH178" s="336"/>
      <c r="AI178" s="338"/>
      <c r="AJ178" s="336"/>
      <c r="AK178" s="338"/>
      <c r="AL178" s="338"/>
      <c r="AM178" s="336"/>
      <c r="AN178" s="336"/>
      <c r="AO178" s="336"/>
      <c r="AP178" s="336"/>
      <c r="AQ178" s="336"/>
      <c r="AR178" s="336"/>
      <c r="AS178" s="336"/>
    </row>
    <row r="179" spans="1:45" ht="24" customHeight="1">
      <c r="A179" s="336"/>
      <c r="B179" s="336"/>
      <c r="C179" s="338"/>
      <c r="D179" s="338"/>
      <c r="E179" s="338"/>
      <c r="F179" s="337"/>
      <c r="G179" s="336"/>
      <c r="H179" s="336"/>
      <c r="I179" s="336"/>
      <c r="J179" s="338"/>
      <c r="K179" s="337"/>
      <c r="L179" s="338"/>
      <c r="M179" s="337"/>
      <c r="N179" s="336"/>
      <c r="O179" s="336"/>
      <c r="P179" s="336"/>
      <c r="Q179" s="336"/>
      <c r="R179" s="336"/>
      <c r="S179" s="336"/>
      <c r="T179" s="336"/>
      <c r="U179" s="336"/>
      <c r="V179" s="336"/>
      <c r="W179" s="336"/>
      <c r="X179" s="336"/>
      <c r="Y179" s="336"/>
      <c r="Z179" s="336"/>
      <c r="AA179" s="336"/>
      <c r="AB179" s="338"/>
      <c r="AC179" s="338"/>
      <c r="AD179" s="338"/>
      <c r="AE179" s="336"/>
      <c r="AF179" s="336"/>
      <c r="AG179" s="338"/>
      <c r="AH179" s="336"/>
      <c r="AI179" s="338"/>
      <c r="AJ179" s="336"/>
      <c r="AK179" s="338"/>
      <c r="AL179" s="338"/>
      <c r="AM179" s="336"/>
      <c r="AN179" s="336"/>
      <c r="AO179" s="336"/>
      <c r="AP179" s="336"/>
      <c r="AQ179" s="336"/>
      <c r="AR179" s="336"/>
      <c r="AS179" s="336"/>
    </row>
    <row r="180" spans="1:45" ht="24" customHeight="1">
      <c r="A180" s="336"/>
      <c r="B180" s="336"/>
      <c r="C180" s="338"/>
      <c r="D180" s="338"/>
      <c r="E180" s="338"/>
      <c r="F180" s="337"/>
      <c r="G180" s="336"/>
      <c r="H180" s="336"/>
      <c r="I180" s="336"/>
      <c r="J180" s="338"/>
      <c r="K180" s="337"/>
      <c r="L180" s="338"/>
      <c r="M180" s="337"/>
      <c r="N180" s="336"/>
      <c r="O180" s="336"/>
      <c r="P180" s="336"/>
      <c r="Q180" s="336"/>
      <c r="R180" s="336"/>
      <c r="S180" s="336"/>
      <c r="T180" s="336"/>
      <c r="U180" s="336"/>
      <c r="V180" s="336"/>
      <c r="W180" s="336"/>
      <c r="X180" s="336"/>
      <c r="Y180" s="336"/>
      <c r="Z180" s="336"/>
      <c r="AA180" s="336"/>
      <c r="AB180" s="338"/>
      <c r="AC180" s="338"/>
      <c r="AD180" s="338"/>
      <c r="AE180" s="336"/>
      <c r="AF180" s="336"/>
      <c r="AG180" s="338"/>
      <c r="AH180" s="336"/>
      <c r="AI180" s="338"/>
      <c r="AJ180" s="336"/>
      <c r="AK180" s="338"/>
      <c r="AL180" s="338"/>
      <c r="AM180" s="336"/>
      <c r="AN180" s="336"/>
      <c r="AO180" s="336"/>
      <c r="AP180" s="336"/>
      <c r="AQ180" s="336"/>
      <c r="AR180" s="336"/>
      <c r="AS180" s="336"/>
    </row>
    <row r="181" spans="1:45" ht="24" customHeight="1">
      <c r="A181" s="336"/>
      <c r="B181" s="336"/>
      <c r="C181" s="338"/>
      <c r="D181" s="338"/>
      <c r="E181" s="338"/>
      <c r="F181" s="337"/>
      <c r="G181" s="336"/>
      <c r="H181" s="336"/>
      <c r="I181" s="336"/>
      <c r="J181" s="338"/>
      <c r="K181" s="337"/>
      <c r="L181" s="338"/>
      <c r="M181" s="337"/>
      <c r="N181" s="336"/>
      <c r="O181" s="336"/>
      <c r="P181" s="336"/>
      <c r="Q181" s="336"/>
      <c r="R181" s="336"/>
      <c r="S181" s="336"/>
      <c r="T181" s="336"/>
      <c r="U181" s="336"/>
      <c r="V181" s="336"/>
      <c r="W181" s="336"/>
      <c r="X181" s="336"/>
      <c r="Y181" s="336"/>
      <c r="Z181" s="336"/>
      <c r="AA181" s="336"/>
      <c r="AB181" s="338"/>
      <c r="AC181" s="338"/>
      <c r="AD181" s="338"/>
      <c r="AE181" s="336"/>
      <c r="AF181" s="336"/>
      <c r="AG181" s="338"/>
      <c r="AH181" s="336"/>
      <c r="AI181" s="338"/>
      <c r="AJ181" s="336"/>
      <c r="AK181" s="338"/>
      <c r="AL181" s="338"/>
      <c r="AM181" s="336"/>
      <c r="AN181" s="336"/>
      <c r="AO181" s="336"/>
      <c r="AP181" s="336"/>
      <c r="AQ181" s="336"/>
      <c r="AR181" s="336"/>
      <c r="AS181" s="336"/>
    </row>
    <row r="182" spans="1:45" ht="24" customHeight="1">
      <c r="A182" s="336"/>
      <c r="B182" s="336"/>
      <c r="C182" s="338"/>
      <c r="D182" s="338"/>
      <c r="E182" s="338"/>
      <c r="F182" s="337"/>
      <c r="G182" s="336"/>
      <c r="H182" s="336"/>
      <c r="I182" s="336"/>
      <c r="J182" s="338"/>
      <c r="K182" s="337"/>
      <c r="L182" s="338"/>
      <c r="M182" s="337"/>
      <c r="N182" s="336"/>
      <c r="O182" s="336"/>
      <c r="P182" s="336"/>
      <c r="Q182" s="336"/>
      <c r="R182" s="336"/>
      <c r="S182" s="336"/>
      <c r="T182" s="336"/>
      <c r="U182" s="336"/>
      <c r="V182" s="336"/>
      <c r="W182" s="336"/>
      <c r="X182" s="336"/>
      <c r="Y182" s="336"/>
      <c r="Z182" s="336"/>
      <c r="AA182" s="336"/>
      <c r="AB182" s="338"/>
      <c r="AC182" s="338"/>
      <c r="AD182" s="338"/>
      <c r="AE182" s="336"/>
      <c r="AF182" s="336"/>
      <c r="AG182" s="338"/>
      <c r="AH182" s="336"/>
      <c r="AI182" s="338"/>
      <c r="AJ182" s="336"/>
      <c r="AK182" s="338"/>
      <c r="AL182" s="338"/>
      <c r="AM182" s="336"/>
      <c r="AN182" s="336"/>
      <c r="AO182" s="336"/>
      <c r="AP182" s="336"/>
      <c r="AQ182" s="336"/>
      <c r="AR182" s="336"/>
      <c r="AS182" s="336"/>
    </row>
    <row r="183" spans="1:45" ht="24" customHeight="1">
      <c r="A183" s="336"/>
      <c r="B183" s="336"/>
      <c r="C183" s="338"/>
      <c r="D183" s="338"/>
      <c r="E183" s="338"/>
      <c r="F183" s="337"/>
      <c r="G183" s="336"/>
      <c r="H183" s="336"/>
      <c r="I183" s="336"/>
      <c r="J183" s="338"/>
      <c r="K183" s="337"/>
      <c r="L183" s="338"/>
      <c r="M183" s="337"/>
      <c r="N183" s="336"/>
      <c r="O183" s="336"/>
      <c r="P183" s="336"/>
      <c r="Q183" s="336"/>
      <c r="R183" s="336"/>
      <c r="S183" s="336"/>
      <c r="T183" s="336"/>
      <c r="U183" s="336"/>
      <c r="V183" s="336"/>
      <c r="W183" s="336"/>
      <c r="X183" s="336"/>
      <c r="Y183" s="336"/>
      <c r="Z183" s="336"/>
      <c r="AA183" s="336"/>
      <c r="AB183" s="338"/>
      <c r="AC183" s="338"/>
      <c r="AD183" s="338"/>
      <c r="AE183" s="336"/>
      <c r="AF183" s="336"/>
      <c r="AG183" s="338"/>
      <c r="AH183" s="336"/>
      <c r="AI183" s="338"/>
      <c r="AJ183" s="336"/>
      <c r="AK183" s="338"/>
      <c r="AL183" s="338"/>
      <c r="AM183" s="336"/>
      <c r="AN183" s="336"/>
      <c r="AO183" s="336"/>
      <c r="AP183" s="336"/>
      <c r="AQ183" s="336"/>
      <c r="AR183" s="336"/>
      <c r="AS183" s="336"/>
    </row>
    <row r="184" spans="1:45" ht="24" customHeight="1">
      <c r="A184" s="336"/>
      <c r="B184" s="336"/>
      <c r="C184" s="338"/>
      <c r="D184" s="338"/>
      <c r="E184" s="338"/>
      <c r="F184" s="337"/>
      <c r="G184" s="336"/>
      <c r="H184" s="336"/>
      <c r="I184" s="336"/>
      <c r="J184" s="338"/>
      <c r="K184" s="337"/>
      <c r="L184" s="338"/>
      <c r="M184" s="337"/>
      <c r="N184" s="336"/>
      <c r="O184" s="336"/>
      <c r="P184" s="336"/>
      <c r="Q184" s="336"/>
      <c r="R184" s="336"/>
      <c r="S184" s="336"/>
      <c r="T184" s="336"/>
      <c r="U184" s="336"/>
      <c r="V184" s="336"/>
      <c r="W184" s="336"/>
      <c r="X184" s="336"/>
      <c r="Y184" s="336"/>
      <c r="Z184" s="336"/>
      <c r="AA184" s="336"/>
      <c r="AB184" s="338"/>
      <c r="AC184" s="338"/>
      <c r="AD184" s="338"/>
      <c r="AE184" s="336"/>
      <c r="AF184" s="336"/>
      <c r="AG184" s="338"/>
      <c r="AH184" s="336"/>
      <c r="AI184" s="338"/>
      <c r="AJ184" s="336"/>
      <c r="AK184" s="338"/>
      <c r="AL184" s="338"/>
      <c r="AM184" s="336"/>
      <c r="AN184" s="336"/>
      <c r="AO184" s="336"/>
      <c r="AP184" s="336"/>
      <c r="AQ184" s="336"/>
      <c r="AR184" s="336"/>
      <c r="AS184" s="336"/>
    </row>
    <row r="185" spans="1:45" ht="24" customHeight="1">
      <c r="A185" s="336"/>
      <c r="B185" s="336"/>
      <c r="C185" s="338"/>
      <c r="D185" s="338"/>
      <c r="E185" s="338"/>
      <c r="F185" s="337"/>
      <c r="G185" s="336"/>
      <c r="H185" s="336"/>
      <c r="I185" s="336"/>
      <c r="J185" s="338"/>
      <c r="K185" s="337"/>
      <c r="L185" s="338"/>
      <c r="M185" s="337"/>
      <c r="N185" s="336"/>
      <c r="O185" s="336"/>
      <c r="P185" s="336"/>
      <c r="Q185" s="336"/>
      <c r="R185" s="336"/>
      <c r="S185" s="336"/>
      <c r="T185" s="336"/>
      <c r="U185" s="336"/>
      <c r="V185" s="336"/>
      <c r="W185" s="336"/>
      <c r="X185" s="336"/>
      <c r="Y185" s="336"/>
      <c r="Z185" s="336"/>
      <c r="AA185" s="336"/>
      <c r="AB185" s="338"/>
      <c r="AC185" s="338"/>
      <c r="AD185" s="338"/>
      <c r="AE185" s="336"/>
      <c r="AF185" s="336"/>
      <c r="AG185" s="338"/>
      <c r="AH185" s="336"/>
      <c r="AI185" s="338"/>
      <c r="AJ185" s="336"/>
      <c r="AK185" s="338"/>
      <c r="AL185" s="338"/>
      <c r="AM185" s="336"/>
      <c r="AN185" s="336"/>
      <c r="AO185" s="336"/>
      <c r="AP185" s="336"/>
      <c r="AQ185" s="336"/>
      <c r="AR185" s="336"/>
      <c r="AS185" s="336"/>
    </row>
    <row r="186" spans="1:45" ht="24" customHeight="1">
      <c r="A186" s="336"/>
      <c r="B186" s="336"/>
      <c r="C186" s="338"/>
      <c r="D186" s="338"/>
      <c r="E186" s="338"/>
      <c r="F186" s="337"/>
      <c r="G186" s="336"/>
      <c r="H186" s="336"/>
      <c r="I186" s="336"/>
      <c r="J186" s="338"/>
      <c r="K186" s="337"/>
      <c r="L186" s="338"/>
      <c r="M186" s="337"/>
      <c r="N186" s="336"/>
      <c r="O186" s="336"/>
      <c r="P186" s="336"/>
      <c r="Q186" s="336"/>
      <c r="R186" s="336"/>
      <c r="S186" s="336"/>
      <c r="T186" s="336"/>
      <c r="U186" s="336"/>
      <c r="V186" s="336"/>
      <c r="W186" s="336"/>
      <c r="X186" s="336"/>
      <c r="Y186" s="336"/>
      <c r="Z186" s="336"/>
      <c r="AA186" s="336"/>
      <c r="AB186" s="338"/>
      <c r="AC186" s="338"/>
      <c r="AD186" s="338"/>
      <c r="AE186" s="336"/>
      <c r="AF186" s="336"/>
      <c r="AG186" s="338"/>
      <c r="AH186" s="336"/>
      <c r="AI186" s="338"/>
      <c r="AJ186" s="336"/>
      <c r="AK186" s="338"/>
      <c r="AL186" s="338"/>
      <c r="AM186" s="336"/>
      <c r="AN186" s="336"/>
      <c r="AO186" s="336"/>
      <c r="AP186" s="336"/>
      <c r="AQ186" s="336"/>
      <c r="AR186" s="336"/>
      <c r="AS186" s="336"/>
    </row>
    <row r="187" spans="1:45" ht="24" customHeight="1">
      <c r="A187" s="336"/>
      <c r="B187" s="336"/>
      <c r="C187" s="338"/>
      <c r="D187" s="338"/>
      <c r="E187" s="338"/>
      <c r="F187" s="337"/>
      <c r="G187" s="336"/>
      <c r="H187" s="336"/>
      <c r="I187" s="336"/>
      <c r="J187" s="338"/>
      <c r="K187" s="337"/>
      <c r="L187" s="338"/>
      <c r="M187" s="337"/>
      <c r="N187" s="336"/>
      <c r="O187" s="336"/>
      <c r="P187" s="336"/>
      <c r="Q187" s="336"/>
      <c r="R187" s="336"/>
      <c r="S187" s="336"/>
      <c r="T187" s="336"/>
      <c r="U187" s="336"/>
      <c r="V187" s="336"/>
      <c r="W187" s="336"/>
      <c r="X187" s="336"/>
      <c r="Y187" s="336"/>
      <c r="Z187" s="336"/>
      <c r="AA187" s="336"/>
      <c r="AB187" s="338"/>
      <c r="AC187" s="338"/>
      <c r="AD187" s="338"/>
      <c r="AE187" s="336"/>
      <c r="AF187" s="336"/>
      <c r="AG187" s="338"/>
      <c r="AH187" s="336"/>
      <c r="AI187" s="338"/>
      <c r="AJ187" s="336"/>
      <c r="AK187" s="338"/>
      <c r="AL187" s="338"/>
      <c r="AM187" s="336"/>
      <c r="AN187" s="336"/>
      <c r="AO187" s="336"/>
      <c r="AP187" s="336"/>
      <c r="AQ187" s="336"/>
      <c r="AR187" s="336"/>
      <c r="AS187" s="336"/>
    </row>
    <row r="188" spans="1:45" ht="24" customHeight="1">
      <c r="A188" s="336"/>
      <c r="B188" s="336"/>
      <c r="C188" s="338"/>
      <c r="D188" s="338"/>
      <c r="E188" s="338"/>
      <c r="F188" s="337"/>
      <c r="G188" s="336"/>
      <c r="H188" s="336"/>
      <c r="I188" s="336"/>
      <c r="J188" s="338"/>
      <c r="K188" s="337"/>
      <c r="L188" s="338"/>
      <c r="M188" s="337"/>
      <c r="N188" s="336"/>
      <c r="O188" s="336"/>
      <c r="P188" s="336"/>
      <c r="Q188" s="336"/>
      <c r="R188" s="336"/>
      <c r="S188" s="336"/>
      <c r="T188" s="336"/>
      <c r="U188" s="336"/>
      <c r="V188" s="336"/>
      <c r="W188" s="336"/>
      <c r="X188" s="336"/>
      <c r="Y188" s="336"/>
      <c r="Z188" s="336"/>
      <c r="AA188" s="336"/>
      <c r="AB188" s="338"/>
      <c r="AC188" s="338"/>
      <c r="AD188" s="338"/>
      <c r="AE188" s="336"/>
      <c r="AF188" s="336"/>
      <c r="AG188" s="338"/>
      <c r="AH188" s="336"/>
      <c r="AI188" s="338"/>
      <c r="AJ188" s="336"/>
      <c r="AK188" s="338"/>
      <c r="AL188" s="338"/>
      <c r="AM188" s="336"/>
      <c r="AN188" s="336"/>
      <c r="AO188" s="336"/>
      <c r="AP188" s="336"/>
      <c r="AQ188" s="336"/>
      <c r="AR188" s="336"/>
      <c r="AS188" s="336"/>
    </row>
    <row r="189" spans="1:45" ht="24" customHeight="1">
      <c r="A189" s="336"/>
      <c r="B189" s="336"/>
      <c r="C189" s="338"/>
      <c r="D189" s="338"/>
      <c r="E189" s="338"/>
      <c r="F189" s="337"/>
      <c r="G189" s="336"/>
      <c r="H189" s="336"/>
      <c r="I189" s="336"/>
      <c r="J189" s="338"/>
      <c r="K189" s="337"/>
      <c r="L189" s="338"/>
      <c r="M189" s="337"/>
      <c r="N189" s="336"/>
      <c r="O189" s="336"/>
      <c r="P189" s="336"/>
      <c r="Q189" s="336"/>
      <c r="R189" s="336"/>
      <c r="S189" s="336"/>
      <c r="T189" s="336"/>
      <c r="U189" s="336"/>
      <c r="V189" s="336"/>
      <c r="W189" s="336"/>
      <c r="X189" s="336"/>
      <c r="Y189" s="336"/>
      <c r="Z189" s="336"/>
      <c r="AA189" s="336"/>
      <c r="AB189" s="338"/>
      <c r="AC189" s="338"/>
      <c r="AD189" s="338"/>
      <c r="AE189" s="336"/>
      <c r="AF189" s="336"/>
      <c r="AG189" s="338"/>
      <c r="AH189" s="336"/>
      <c r="AI189" s="338"/>
      <c r="AJ189" s="336"/>
      <c r="AK189" s="338"/>
      <c r="AL189" s="338"/>
      <c r="AM189" s="336"/>
      <c r="AN189" s="336"/>
      <c r="AO189" s="336"/>
      <c r="AP189" s="336"/>
      <c r="AQ189" s="336"/>
      <c r="AR189" s="336"/>
      <c r="AS189" s="336"/>
    </row>
    <row r="190" spans="1:45" ht="24" customHeight="1">
      <c r="A190" s="336"/>
      <c r="B190" s="336"/>
      <c r="C190" s="338"/>
      <c r="D190" s="338"/>
      <c r="E190" s="338"/>
      <c r="F190" s="337"/>
      <c r="G190" s="336"/>
      <c r="H190" s="336"/>
      <c r="I190" s="336"/>
      <c r="J190" s="338"/>
      <c r="K190" s="337"/>
      <c r="L190" s="338"/>
      <c r="M190" s="337"/>
      <c r="N190" s="336"/>
      <c r="O190" s="336"/>
      <c r="P190" s="336"/>
      <c r="Q190" s="336"/>
      <c r="R190" s="336"/>
      <c r="S190" s="336"/>
      <c r="T190" s="336"/>
      <c r="U190" s="336"/>
      <c r="V190" s="336"/>
      <c r="W190" s="336"/>
      <c r="X190" s="336"/>
      <c r="Y190" s="336"/>
      <c r="Z190" s="336"/>
      <c r="AA190" s="336"/>
      <c r="AB190" s="338"/>
      <c r="AC190" s="338"/>
      <c r="AD190" s="338"/>
      <c r="AE190" s="336"/>
      <c r="AF190" s="336"/>
      <c r="AG190" s="338"/>
      <c r="AH190" s="336"/>
      <c r="AI190" s="338"/>
      <c r="AJ190" s="336"/>
      <c r="AK190" s="338"/>
      <c r="AL190" s="338"/>
      <c r="AM190" s="336"/>
      <c r="AN190" s="336"/>
      <c r="AO190" s="336"/>
      <c r="AP190" s="336"/>
      <c r="AQ190" s="336"/>
      <c r="AR190" s="336"/>
      <c r="AS190" s="336"/>
    </row>
    <row r="191" spans="1:45" ht="24" customHeight="1">
      <c r="A191" s="336"/>
      <c r="B191" s="336"/>
      <c r="C191" s="338"/>
      <c r="D191" s="338"/>
      <c r="E191" s="338"/>
      <c r="F191" s="337"/>
      <c r="G191" s="336"/>
      <c r="H191" s="336"/>
      <c r="I191" s="336"/>
      <c r="J191" s="338"/>
      <c r="K191" s="337"/>
      <c r="L191" s="338"/>
      <c r="M191" s="337"/>
      <c r="N191" s="336"/>
      <c r="O191" s="336"/>
      <c r="P191" s="336"/>
      <c r="Q191" s="336"/>
      <c r="R191" s="336"/>
      <c r="S191" s="336"/>
      <c r="T191" s="336"/>
      <c r="U191" s="336"/>
      <c r="V191" s="336"/>
      <c r="W191" s="336"/>
      <c r="X191" s="336"/>
      <c r="Y191" s="336"/>
      <c r="Z191" s="336"/>
      <c r="AA191" s="336"/>
      <c r="AB191" s="338"/>
      <c r="AC191" s="338"/>
      <c r="AD191" s="338"/>
      <c r="AE191" s="336"/>
      <c r="AF191" s="336"/>
      <c r="AG191" s="338"/>
      <c r="AH191" s="336"/>
      <c r="AI191" s="338"/>
      <c r="AJ191" s="336"/>
      <c r="AK191" s="338"/>
      <c r="AL191" s="338"/>
      <c r="AM191" s="336"/>
      <c r="AN191" s="336"/>
      <c r="AO191" s="336"/>
      <c r="AP191" s="336"/>
      <c r="AQ191" s="336"/>
      <c r="AR191" s="336"/>
      <c r="AS191" s="336"/>
    </row>
    <row r="192" spans="1:45" ht="24" customHeight="1">
      <c r="A192" s="336"/>
      <c r="B192" s="336"/>
      <c r="C192" s="338"/>
      <c r="D192" s="338"/>
      <c r="E192" s="338"/>
      <c r="F192" s="337"/>
      <c r="G192" s="336"/>
      <c r="H192" s="336"/>
      <c r="I192" s="336"/>
      <c r="J192" s="338"/>
      <c r="K192" s="337"/>
      <c r="L192" s="338"/>
      <c r="M192" s="337"/>
      <c r="N192" s="336"/>
      <c r="O192" s="336"/>
      <c r="P192" s="336"/>
      <c r="Q192" s="336"/>
      <c r="R192" s="336"/>
      <c r="S192" s="336"/>
      <c r="T192" s="336"/>
      <c r="U192" s="336"/>
      <c r="V192" s="336"/>
      <c r="W192" s="336"/>
      <c r="X192" s="336"/>
      <c r="Y192" s="336"/>
      <c r="Z192" s="336"/>
      <c r="AA192" s="336"/>
      <c r="AB192" s="338"/>
      <c r="AC192" s="338"/>
      <c r="AD192" s="338"/>
      <c r="AE192" s="336"/>
      <c r="AF192" s="336"/>
      <c r="AG192" s="338"/>
      <c r="AH192" s="336"/>
      <c r="AI192" s="338"/>
      <c r="AJ192" s="336"/>
      <c r="AK192" s="338"/>
      <c r="AL192" s="338"/>
      <c r="AM192" s="336"/>
      <c r="AN192" s="336"/>
      <c r="AO192" s="336"/>
      <c r="AP192" s="336"/>
      <c r="AQ192" s="336"/>
      <c r="AR192" s="336"/>
      <c r="AS192" s="336"/>
    </row>
    <row r="193" spans="1:45" ht="24" customHeight="1">
      <c r="A193" s="336"/>
      <c r="B193" s="336"/>
      <c r="C193" s="338"/>
      <c r="D193" s="338"/>
      <c r="E193" s="338"/>
      <c r="F193" s="337"/>
      <c r="G193" s="336"/>
      <c r="H193" s="336"/>
      <c r="I193" s="336"/>
      <c r="J193" s="338"/>
      <c r="K193" s="337"/>
      <c r="L193" s="338"/>
      <c r="M193" s="337"/>
      <c r="N193" s="336"/>
      <c r="O193" s="336"/>
      <c r="P193" s="336"/>
      <c r="Q193" s="336"/>
      <c r="R193" s="336"/>
      <c r="S193" s="336"/>
      <c r="T193" s="336"/>
      <c r="U193" s="336"/>
      <c r="V193" s="336"/>
      <c r="W193" s="336"/>
      <c r="X193" s="336"/>
      <c r="Y193" s="336"/>
      <c r="Z193" s="336"/>
      <c r="AA193" s="336"/>
      <c r="AB193" s="338"/>
      <c r="AC193" s="338"/>
      <c r="AD193" s="338"/>
      <c r="AE193" s="336"/>
      <c r="AF193" s="336"/>
      <c r="AG193" s="338"/>
      <c r="AH193" s="336"/>
      <c r="AI193" s="338"/>
      <c r="AJ193" s="336"/>
      <c r="AK193" s="338"/>
      <c r="AL193" s="338"/>
      <c r="AM193" s="336"/>
      <c r="AN193" s="336"/>
      <c r="AO193" s="336"/>
      <c r="AP193" s="336"/>
      <c r="AQ193" s="336"/>
      <c r="AR193" s="336"/>
      <c r="AS193" s="336"/>
    </row>
    <row r="194" spans="1:45" ht="24" customHeight="1">
      <c r="A194" s="336"/>
      <c r="B194" s="336"/>
      <c r="C194" s="338"/>
      <c r="D194" s="338"/>
      <c r="E194" s="338"/>
      <c r="F194" s="337"/>
      <c r="G194" s="336"/>
      <c r="H194" s="336"/>
      <c r="I194" s="336"/>
      <c r="J194" s="338"/>
      <c r="K194" s="337"/>
      <c r="L194" s="338"/>
      <c r="M194" s="337"/>
      <c r="N194" s="336"/>
      <c r="O194" s="336"/>
      <c r="P194" s="336"/>
      <c r="Q194" s="336"/>
      <c r="R194" s="336"/>
      <c r="S194" s="336"/>
      <c r="T194" s="336"/>
      <c r="U194" s="336"/>
      <c r="V194" s="336"/>
      <c r="W194" s="336"/>
      <c r="X194" s="336"/>
      <c r="Y194" s="336"/>
      <c r="Z194" s="336"/>
      <c r="AA194" s="336"/>
      <c r="AB194" s="338"/>
      <c r="AC194" s="338"/>
      <c r="AD194" s="338"/>
      <c r="AE194" s="336"/>
      <c r="AF194" s="336"/>
      <c r="AG194" s="338"/>
      <c r="AH194" s="336"/>
      <c r="AI194" s="338"/>
      <c r="AJ194" s="336"/>
      <c r="AK194" s="338"/>
      <c r="AL194" s="338"/>
      <c r="AM194" s="336"/>
      <c r="AN194" s="336"/>
      <c r="AO194" s="336"/>
      <c r="AP194" s="336"/>
      <c r="AQ194" s="336"/>
      <c r="AR194" s="336"/>
      <c r="AS194" s="336"/>
    </row>
    <row r="195" spans="1:45" ht="24" customHeight="1">
      <c r="A195" s="336"/>
      <c r="B195" s="336"/>
      <c r="C195" s="338"/>
      <c r="D195" s="338"/>
      <c r="E195" s="338"/>
      <c r="F195" s="337"/>
      <c r="G195" s="336"/>
      <c r="H195" s="336"/>
      <c r="I195" s="336"/>
      <c r="J195" s="338"/>
      <c r="K195" s="337"/>
      <c r="L195" s="338"/>
      <c r="M195" s="337"/>
      <c r="N195" s="336"/>
      <c r="O195" s="336"/>
      <c r="P195" s="336"/>
      <c r="Q195" s="336"/>
      <c r="R195" s="336"/>
      <c r="S195" s="336"/>
      <c r="T195" s="336"/>
      <c r="U195" s="336"/>
      <c r="V195" s="336"/>
      <c r="W195" s="336"/>
      <c r="X195" s="336"/>
      <c r="Y195" s="336"/>
      <c r="Z195" s="336"/>
      <c r="AA195" s="336"/>
      <c r="AB195" s="338"/>
      <c r="AC195" s="338"/>
      <c r="AD195" s="338"/>
      <c r="AE195" s="336"/>
      <c r="AF195" s="336"/>
      <c r="AG195" s="338"/>
      <c r="AH195" s="336"/>
      <c r="AI195" s="338"/>
      <c r="AJ195" s="336"/>
      <c r="AK195" s="338"/>
      <c r="AL195" s="338"/>
      <c r="AM195" s="336"/>
      <c r="AN195" s="336"/>
      <c r="AO195" s="336"/>
      <c r="AP195" s="336"/>
      <c r="AQ195" s="336"/>
      <c r="AR195" s="336"/>
      <c r="AS195" s="336"/>
    </row>
    <row r="196" spans="1:45" ht="24" customHeight="1">
      <c r="A196" s="336"/>
      <c r="B196" s="336"/>
      <c r="C196" s="338"/>
      <c r="D196" s="338"/>
      <c r="E196" s="338"/>
      <c r="F196" s="337"/>
      <c r="G196" s="336"/>
      <c r="H196" s="336"/>
      <c r="I196" s="336"/>
      <c r="J196" s="338"/>
      <c r="K196" s="337"/>
      <c r="L196" s="338"/>
      <c r="M196" s="337"/>
      <c r="N196" s="336"/>
      <c r="O196" s="336"/>
      <c r="P196" s="336"/>
      <c r="Q196" s="336"/>
      <c r="R196" s="336"/>
      <c r="S196" s="336"/>
      <c r="T196" s="336"/>
      <c r="U196" s="336"/>
      <c r="V196" s="336"/>
      <c r="W196" s="336"/>
      <c r="X196" s="336"/>
      <c r="Y196" s="336"/>
      <c r="Z196" s="336"/>
      <c r="AA196" s="336"/>
      <c r="AB196" s="338"/>
      <c r="AC196" s="338"/>
      <c r="AD196" s="338"/>
      <c r="AE196" s="336"/>
      <c r="AF196" s="336"/>
      <c r="AG196" s="338"/>
      <c r="AH196" s="336"/>
      <c r="AI196" s="338"/>
      <c r="AJ196" s="336"/>
      <c r="AK196" s="338"/>
      <c r="AL196" s="338"/>
      <c r="AM196" s="336"/>
      <c r="AN196" s="336"/>
      <c r="AO196" s="336"/>
      <c r="AP196" s="336"/>
      <c r="AQ196" s="336"/>
      <c r="AR196" s="336"/>
      <c r="AS196" s="336"/>
    </row>
    <row r="197" spans="1:45" ht="24" customHeight="1">
      <c r="A197" s="336"/>
      <c r="B197" s="336"/>
      <c r="C197" s="338"/>
      <c r="D197" s="338"/>
      <c r="E197" s="338"/>
      <c r="F197" s="337"/>
      <c r="G197" s="336"/>
      <c r="H197" s="336"/>
      <c r="I197" s="336"/>
      <c r="J197" s="338"/>
      <c r="K197" s="337"/>
      <c r="L197" s="338"/>
      <c r="M197" s="337"/>
      <c r="N197" s="336"/>
      <c r="O197" s="336"/>
      <c r="P197" s="336"/>
      <c r="Q197" s="336"/>
      <c r="R197" s="336"/>
      <c r="S197" s="336"/>
      <c r="T197" s="336"/>
      <c r="U197" s="336"/>
      <c r="V197" s="336"/>
      <c r="W197" s="336"/>
      <c r="X197" s="336"/>
      <c r="Y197" s="336"/>
      <c r="Z197" s="336"/>
      <c r="AA197" s="336"/>
      <c r="AB197" s="338"/>
      <c r="AC197" s="338"/>
      <c r="AD197" s="338"/>
      <c r="AE197" s="336"/>
      <c r="AF197" s="336"/>
      <c r="AG197" s="338"/>
      <c r="AH197" s="336"/>
      <c r="AI197" s="338"/>
      <c r="AJ197" s="336"/>
      <c r="AK197" s="338"/>
      <c r="AL197" s="338"/>
      <c r="AM197" s="336"/>
      <c r="AN197" s="336"/>
      <c r="AO197" s="336"/>
      <c r="AP197" s="336"/>
      <c r="AQ197" s="336"/>
      <c r="AR197" s="336"/>
      <c r="AS197" s="336"/>
    </row>
    <row r="198" spans="1:45" ht="24" customHeight="1">
      <c r="A198" s="336"/>
      <c r="B198" s="336"/>
      <c r="C198" s="338"/>
      <c r="D198" s="338"/>
      <c r="E198" s="338"/>
      <c r="F198" s="337"/>
      <c r="G198" s="336"/>
      <c r="H198" s="336"/>
      <c r="I198" s="336"/>
      <c r="J198" s="338"/>
      <c r="K198" s="337"/>
      <c r="L198" s="338"/>
      <c r="M198" s="337"/>
      <c r="N198" s="336"/>
      <c r="O198" s="336"/>
      <c r="P198" s="336"/>
      <c r="Q198" s="336"/>
      <c r="R198" s="336"/>
      <c r="S198" s="336"/>
      <c r="T198" s="336"/>
      <c r="U198" s="336"/>
      <c r="V198" s="336"/>
      <c r="W198" s="336"/>
      <c r="X198" s="336"/>
      <c r="Y198" s="336"/>
      <c r="Z198" s="336"/>
      <c r="AA198" s="336"/>
      <c r="AB198" s="338"/>
      <c r="AC198" s="338"/>
      <c r="AD198" s="338"/>
      <c r="AE198" s="336"/>
      <c r="AF198" s="336"/>
      <c r="AG198" s="338"/>
      <c r="AH198" s="336"/>
      <c r="AI198" s="338"/>
      <c r="AJ198" s="336"/>
      <c r="AK198" s="338"/>
      <c r="AL198" s="338"/>
      <c r="AM198" s="336"/>
      <c r="AN198" s="336"/>
      <c r="AO198" s="336"/>
      <c r="AP198" s="336"/>
      <c r="AQ198" s="336"/>
      <c r="AR198" s="336"/>
      <c r="AS198" s="336"/>
    </row>
    <row r="199" spans="1:45" ht="24" customHeight="1">
      <c r="A199" s="336"/>
      <c r="B199" s="336"/>
      <c r="C199" s="338"/>
      <c r="D199" s="338"/>
      <c r="E199" s="338"/>
      <c r="F199" s="337"/>
      <c r="G199" s="336"/>
      <c r="H199" s="336"/>
      <c r="I199" s="336"/>
      <c r="J199" s="338"/>
      <c r="K199" s="337"/>
      <c r="L199" s="338"/>
      <c r="M199" s="337"/>
      <c r="N199" s="336"/>
      <c r="O199" s="336"/>
      <c r="P199" s="336"/>
      <c r="Q199" s="336"/>
      <c r="R199" s="336"/>
      <c r="S199" s="336"/>
      <c r="T199" s="336"/>
      <c r="U199" s="336"/>
      <c r="V199" s="336"/>
      <c r="W199" s="336"/>
      <c r="X199" s="336"/>
      <c r="Y199" s="336"/>
      <c r="Z199" s="336"/>
      <c r="AA199" s="336"/>
      <c r="AB199" s="338"/>
      <c r="AC199" s="338"/>
      <c r="AD199" s="338"/>
      <c r="AE199" s="336"/>
      <c r="AF199" s="336"/>
      <c r="AG199" s="338"/>
      <c r="AH199" s="336"/>
      <c r="AI199" s="338"/>
      <c r="AJ199" s="336"/>
      <c r="AK199" s="338"/>
      <c r="AL199" s="338"/>
      <c r="AM199" s="336"/>
      <c r="AN199" s="336"/>
      <c r="AO199" s="336"/>
      <c r="AP199" s="336"/>
      <c r="AQ199" s="336"/>
      <c r="AR199" s="336"/>
      <c r="AS199" s="336"/>
    </row>
    <row r="200" spans="1:45" ht="24" customHeight="1">
      <c r="A200" s="336"/>
      <c r="B200" s="336"/>
      <c r="C200" s="338"/>
      <c r="D200" s="338"/>
      <c r="E200" s="338"/>
      <c r="F200" s="337"/>
      <c r="G200" s="336"/>
      <c r="H200" s="336"/>
      <c r="I200" s="336"/>
      <c r="J200" s="338"/>
      <c r="K200" s="337"/>
      <c r="L200" s="338"/>
      <c r="M200" s="337"/>
      <c r="N200" s="336"/>
      <c r="O200" s="336"/>
      <c r="P200" s="336"/>
      <c r="Q200" s="336"/>
      <c r="R200" s="336"/>
      <c r="S200" s="336"/>
      <c r="T200" s="336"/>
      <c r="U200" s="336"/>
      <c r="V200" s="336"/>
      <c r="W200" s="336"/>
      <c r="X200" s="336"/>
      <c r="Y200" s="336"/>
      <c r="Z200" s="336"/>
      <c r="AA200" s="336"/>
      <c r="AB200" s="338"/>
      <c r="AC200" s="338"/>
      <c r="AD200" s="338"/>
      <c r="AE200" s="336"/>
      <c r="AF200" s="336"/>
      <c r="AG200" s="338"/>
      <c r="AH200" s="336"/>
      <c r="AI200" s="338"/>
      <c r="AJ200" s="336"/>
      <c r="AK200" s="338"/>
      <c r="AL200" s="338"/>
      <c r="AM200" s="336"/>
      <c r="AN200" s="336"/>
      <c r="AO200" s="336"/>
      <c r="AP200" s="336"/>
      <c r="AQ200" s="336"/>
      <c r="AR200" s="336"/>
      <c r="AS200" s="336"/>
    </row>
    <row r="201" spans="1:45" ht="24" customHeight="1">
      <c r="A201" s="336"/>
      <c r="B201" s="336"/>
      <c r="C201" s="338"/>
      <c r="D201" s="338"/>
      <c r="E201" s="338"/>
      <c r="F201" s="337"/>
      <c r="G201" s="336"/>
      <c r="H201" s="336"/>
      <c r="I201" s="336"/>
      <c r="J201" s="338"/>
      <c r="K201" s="337"/>
      <c r="L201" s="338"/>
      <c r="M201" s="337"/>
      <c r="N201" s="336"/>
      <c r="O201" s="336"/>
      <c r="P201" s="336"/>
      <c r="Q201" s="336"/>
      <c r="R201" s="336"/>
      <c r="S201" s="336"/>
      <c r="T201" s="336"/>
      <c r="U201" s="336"/>
      <c r="V201" s="336"/>
      <c r="W201" s="336"/>
      <c r="X201" s="336"/>
      <c r="Y201" s="336"/>
      <c r="Z201" s="336"/>
      <c r="AA201" s="336"/>
      <c r="AB201" s="338"/>
      <c r="AC201" s="338"/>
      <c r="AD201" s="338"/>
      <c r="AE201" s="336"/>
      <c r="AF201" s="336"/>
      <c r="AG201" s="338"/>
      <c r="AH201" s="336"/>
      <c r="AI201" s="338"/>
      <c r="AJ201" s="336"/>
      <c r="AK201" s="338"/>
      <c r="AL201" s="338"/>
      <c r="AM201" s="336"/>
      <c r="AN201" s="336"/>
      <c r="AO201" s="336"/>
      <c r="AP201" s="336"/>
      <c r="AQ201" s="336"/>
      <c r="AR201" s="336"/>
      <c r="AS201" s="336"/>
    </row>
    <row r="202" spans="1:45" ht="24" customHeight="1">
      <c r="A202" s="336"/>
      <c r="B202" s="336"/>
      <c r="C202" s="338"/>
      <c r="D202" s="338"/>
      <c r="E202" s="338"/>
      <c r="F202" s="337"/>
      <c r="G202" s="336"/>
      <c r="H202" s="336"/>
      <c r="I202" s="336"/>
      <c r="J202" s="338"/>
      <c r="K202" s="337"/>
      <c r="L202" s="338"/>
      <c r="M202" s="337"/>
      <c r="N202" s="336"/>
      <c r="O202" s="336"/>
      <c r="P202" s="336"/>
      <c r="Q202" s="336"/>
      <c r="R202" s="336"/>
      <c r="S202" s="336"/>
      <c r="T202" s="336"/>
      <c r="U202" s="336"/>
      <c r="V202" s="336"/>
      <c r="W202" s="336"/>
      <c r="X202" s="336"/>
      <c r="Y202" s="336"/>
      <c r="Z202" s="336"/>
      <c r="AA202" s="336"/>
      <c r="AB202" s="338"/>
      <c r="AC202" s="338"/>
      <c r="AD202" s="338"/>
      <c r="AE202" s="336"/>
      <c r="AF202" s="336"/>
      <c r="AG202" s="338"/>
      <c r="AH202" s="336"/>
      <c r="AI202" s="338"/>
      <c r="AJ202" s="336"/>
      <c r="AK202" s="338"/>
      <c r="AL202" s="338"/>
      <c r="AM202" s="336"/>
      <c r="AN202" s="336"/>
      <c r="AO202" s="336"/>
      <c r="AP202" s="336"/>
      <c r="AQ202" s="336"/>
      <c r="AR202" s="336"/>
      <c r="AS202" s="336"/>
    </row>
    <row r="203" spans="1:45" ht="24" customHeight="1">
      <c r="A203" s="336"/>
      <c r="B203" s="336"/>
      <c r="C203" s="338"/>
      <c r="D203" s="338"/>
      <c r="E203" s="338"/>
      <c r="F203" s="337"/>
      <c r="G203" s="336"/>
      <c r="H203" s="336"/>
      <c r="I203" s="336"/>
      <c r="J203" s="338"/>
      <c r="K203" s="337"/>
      <c r="L203" s="338"/>
      <c r="M203" s="337"/>
      <c r="N203" s="336"/>
      <c r="O203" s="336"/>
      <c r="P203" s="336"/>
      <c r="Q203" s="336"/>
      <c r="R203" s="336"/>
      <c r="S203" s="336"/>
      <c r="T203" s="336"/>
      <c r="U203" s="336"/>
      <c r="V203" s="336"/>
      <c r="W203" s="336"/>
      <c r="X203" s="336"/>
      <c r="Y203" s="336"/>
      <c r="Z203" s="336"/>
      <c r="AA203" s="336"/>
      <c r="AB203" s="338"/>
      <c r="AC203" s="338"/>
      <c r="AD203" s="338"/>
      <c r="AE203" s="336"/>
      <c r="AF203" s="336"/>
      <c r="AG203" s="338"/>
      <c r="AH203" s="336"/>
      <c r="AI203" s="338"/>
      <c r="AJ203" s="336"/>
      <c r="AK203" s="338"/>
      <c r="AL203" s="338"/>
      <c r="AM203" s="336"/>
      <c r="AN203" s="336"/>
      <c r="AO203" s="336"/>
      <c r="AP203" s="336"/>
      <c r="AQ203" s="336"/>
      <c r="AR203" s="336"/>
      <c r="AS203" s="336"/>
    </row>
    <row r="204" spans="1:45" ht="24" customHeight="1">
      <c r="A204" s="336"/>
      <c r="B204" s="336"/>
      <c r="C204" s="338"/>
      <c r="D204" s="338"/>
      <c r="E204" s="338"/>
      <c r="F204" s="337"/>
      <c r="G204" s="336"/>
      <c r="H204" s="336"/>
      <c r="I204" s="336"/>
      <c r="J204" s="338"/>
      <c r="K204" s="337"/>
      <c r="L204" s="338"/>
      <c r="M204" s="337"/>
      <c r="N204" s="336"/>
      <c r="O204" s="336"/>
      <c r="P204" s="336"/>
      <c r="Q204" s="336"/>
      <c r="R204" s="336"/>
      <c r="S204" s="336"/>
      <c r="T204" s="336"/>
      <c r="U204" s="336"/>
      <c r="V204" s="336"/>
      <c r="W204" s="336"/>
      <c r="X204" s="336"/>
      <c r="Y204" s="336"/>
      <c r="Z204" s="336"/>
      <c r="AA204" s="336"/>
      <c r="AB204" s="338"/>
      <c r="AC204" s="338"/>
      <c r="AD204" s="338"/>
      <c r="AE204" s="336"/>
      <c r="AF204" s="336"/>
      <c r="AG204" s="338"/>
      <c r="AH204" s="336"/>
      <c r="AI204" s="338"/>
      <c r="AJ204" s="336"/>
      <c r="AK204" s="338"/>
      <c r="AL204" s="338"/>
      <c r="AM204" s="336"/>
      <c r="AN204" s="336"/>
      <c r="AO204" s="336"/>
      <c r="AP204" s="336"/>
      <c r="AQ204" s="336"/>
      <c r="AR204" s="336"/>
      <c r="AS204" s="336"/>
    </row>
    <row r="205" spans="1:45" ht="24" customHeight="1">
      <c r="A205" s="336"/>
      <c r="B205" s="336"/>
      <c r="C205" s="338"/>
      <c r="D205" s="338"/>
      <c r="E205" s="338"/>
      <c r="F205" s="337"/>
      <c r="G205" s="336"/>
      <c r="H205" s="336"/>
      <c r="I205" s="336"/>
      <c r="J205" s="338"/>
      <c r="K205" s="337"/>
      <c r="L205" s="338"/>
      <c r="M205" s="337"/>
      <c r="N205" s="336"/>
      <c r="O205" s="336"/>
      <c r="P205" s="336"/>
      <c r="Q205" s="336"/>
      <c r="R205" s="336"/>
      <c r="S205" s="336"/>
      <c r="T205" s="336"/>
      <c r="U205" s="336"/>
      <c r="V205" s="336"/>
      <c r="W205" s="336"/>
      <c r="X205" s="336"/>
      <c r="Y205" s="336"/>
      <c r="Z205" s="336"/>
      <c r="AA205" s="336"/>
      <c r="AB205" s="338"/>
      <c r="AC205" s="338"/>
      <c r="AD205" s="338"/>
      <c r="AE205" s="336"/>
      <c r="AF205" s="336"/>
      <c r="AG205" s="338"/>
      <c r="AH205" s="336"/>
      <c r="AI205" s="338"/>
      <c r="AJ205" s="336"/>
      <c r="AK205" s="338"/>
      <c r="AL205" s="338"/>
      <c r="AM205" s="336"/>
      <c r="AN205" s="336"/>
      <c r="AO205" s="336"/>
      <c r="AP205" s="336"/>
      <c r="AQ205" s="336"/>
      <c r="AR205" s="336"/>
      <c r="AS205" s="336"/>
    </row>
    <row r="206" spans="1:45" ht="24" customHeight="1">
      <c r="A206" s="336"/>
      <c r="B206" s="336"/>
      <c r="C206" s="338"/>
      <c r="D206" s="338"/>
      <c r="E206" s="338"/>
      <c r="F206" s="337"/>
      <c r="G206" s="336"/>
      <c r="H206" s="336"/>
      <c r="I206" s="336"/>
      <c r="J206" s="338"/>
      <c r="K206" s="337"/>
      <c r="L206" s="338"/>
      <c r="M206" s="337"/>
      <c r="N206" s="336"/>
      <c r="O206" s="336"/>
      <c r="P206" s="336"/>
      <c r="Q206" s="336"/>
      <c r="R206" s="336"/>
      <c r="S206" s="336"/>
      <c r="T206" s="336"/>
      <c r="U206" s="336"/>
      <c r="V206" s="336"/>
      <c r="W206" s="336"/>
      <c r="X206" s="336"/>
      <c r="Y206" s="336"/>
      <c r="Z206" s="336"/>
      <c r="AA206" s="336"/>
      <c r="AB206" s="338"/>
      <c r="AC206" s="338"/>
      <c r="AD206" s="338"/>
      <c r="AE206" s="336"/>
      <c r="AF206" s="336"/>
      <c r="AG206" s="338"/>
      <c r="AH206" s="336"/>
      <c r="AI206" s="338"/>
      <c r="AJ206" s="336"/>
      <c r="AK206" s="338"/>
      <c r="AL206" s="338"/>
      <c r="AM206" s="336"/>
      <c r="AN206" s="336"/>
      <c r="AO206" s="336"/>
      <c r="AP206" s="336"/>
      <c r="AQ206" s="336"/>
      <c r="AR206" s="336"/>
      <c r="AS206" s="336"/>
    </row>
    <row r="207" spans="1:45" ht="24" customHeight="1">
      <c r="A207" s="336"/>
      <c r="B207" s="336"/>
      <c r="C207" s="338"/>
      <c r="D207" s="338"/>
      <c r="E207" s="338"/>
      <c r="F207" s="337"/>
      <c r="G207" s="336"/>
      <c r="H207" s="336"/>
      <c r="I207" s="336"/>
      <c r="J207" s="338"/>
      <c r="K207" s="337"/>
      <c r="L207" s="338"/>
      <c r="M207" s="337"/>
      <c r="N207" s="336"/>
      <c r="O207" s="336"/>
      <c r="P207" s="336"/>
      <c r="Q207" s="336"/>
      <c r="R207" s="336"/>
      <c r="S207" s="336"/>
      <c r="T207" s="336"/>
      <c r="U207" s="336"/>
      <c r="V207" s="336"/>
      <c r="W207" s="336"/>
      <c r="X207" s="336"/>
      <c r="Y207" s="336"/>
      <c r="Z207" s="336"/>
      <c r="AA207" s="336"/>
      <c r="AB207" s="338"/>
      <c r="AC207" s="338"/>
      <c r="AD207" s="338"/>
      <c r="AE207" s="336"/>
      <c r="AF207" s="336"/>
      <c r="AG207" s="338"/>
      <c r="AH207" s="336"/>
      <c r="AI207" s="338"/>
      <c r="AJ207" s="336"/>
      <c r="AK207" s="338"/>
      <c r="AL207" s="338"/>
      <c r="AM207" s="336"/>
      <c r="AN207" s="336"/>
      <c r="AO207" s="336"/>
      <c r="AP207" s="336"/>
      <c r="AQ207" s="336"/>
      <c r="AR207" s="336"/>
      <c r="AS207" s="336"/>
    </row>
    <row r="208" spans="1:45" ht="24" customHeight="1">
      <c r="A208" s="336"/>
      <c r="B208" s="336"/>
      <c r="C208" s="338"/>
      <c r="D208" s="338"/>
      <c r="E208" s="338"/>
      <c r="F208" s="337"/>
      <c r="G208" s="336"/>
      <c r="H208" s="336"/>
      <c r="I208" s="336"/>
      <c r="J208" s="338"/>
      <c r="K208" s="337"/>
      <c r="L208" s="338"/>
      <c r="M208" s="337"/>
      <c r="N208" s="336"/>
      <c r="O208" s="336"/>
      <c r="P208" s="336"/>
      <c r="Q208" s="336"/>
      <c r="R208" s="336"/>
      <c r="S208" s="336"/>
      <c r="T208" s="336"/>
      <c r="U208" s="336"/>
      <c r="V208" s="336"/>
      <c r="W208" s="336"/>
      <c r="X208" s="336"/>
      <c r="Y208" s="336"/>
      <c r="Z208" s="336"/>
      <c r="AA208" s="336"/>
      <c r="AB208" s="338"/>
      <c r="AC208" s="338"/>
      <c r="AD208" s="338"/>
      <c r="AE208" s="336"/>
      <c r="AF208" s="336"/>
      <c r="AG208" s="338"/>
      <c r="AH208" s="336"/>
      <c r="AI208" s="338"/>
      <c r="AJ208" s="336"/>
      <c r="AK208" s="338"/>
      <c r="AL208" s="338"/>
      <c r="AM208" s="336"/>
      <c r="AN208" s="336"/>
      <c r="AO208" s="336"/>
      <c r="AP208" s="336"/>
      <c r="AQ208" s="336"/>
      <c r="AR208" s="336"/>
      <c r="AS208" s="336"/>
    </row>
    <row r="209" spans="1:45" ht="24" customHeight="1">
      <c r="A209" s="336"/>
      <c r="B209" s="336"/>
      <c r="C209" s="338"/>
      <c r="D209" s="338"/>
      <c r="E209" s="338"/>
      <c r="F209" s="337"/>
      <c r="G209" s="336"/>
      <c r="H209" s="336"/>
      <c r="I209" s="336"/>
      <c r="J209" s="338"/>
      <c r="K209" s="337"/>
      <c r="L209" s="338"/>
      <c r="M209" s="337"/>
      <c r="N209" s="336"/>
      <c r="O209" s="336"/>
      <c r="P209" s="336"/>
      <c r="Q209" s="336"/>
      <c r="R209" s="336"/>
      <c r="S209" s="336"/>
      <c r="T209" s="336"/>
      <c r="U209" s="336"/>
      <c r="V209" s="336"/>
      <c r="W209" s="336"/>
      <c r="X209" s="336"/>
      <c r="Y209" s="336"/>
      <c r="Z209" s="336"/>
      <c r="AA209" s="336"/>
      <c r="AB209" s="338"/>
      <c r="AC209" s="338"/>
      <c r="AD209" s="338"/>
      <c r="AE209" s="336"/>
      <c r="AF209" s="336"/>
      <c r="AG209" s="338"/>
      <c r="AH209" s="336"/>
      <c r="AI209" s="338"/>
      <c r="AJ209" s="336"/>
      <c r="AK209" s="338"/>
      <c r="AL209" s="338"/>
      <c r="AM209" s="336"/>
      <c r="AN209" s="336"/>
      <c r="AO209" s="336"/>
      <c r="AP209" s="336"/>
      <c r="AQ209" s="336"/>
      <c r="AR209" s="336"/>
      <c r="AS209" s="336"/>
    </row>
    <row r="210" spans="1:45" ht="24" customHeight="1">
      <c r="A210" s="336"/>
      <c r="B210" s="336"/>
      <c r="C210" s="338"/>
      <c r="D210" s="338"/>
      <c r="E210" s="338"/>
      <c r="F210" s="337"/>
      <c r="G210" s="336"/>
      <c r="H210" s="336"/>
      <c r="I210" s="336"/>
      <c r="J210" s="338"/>
      <c r="K210" s="337"/>
      <c r="L210" s="338"/>
      <c r="M210" s="337"/>
      <c r="N210" s="336"/>
      <c r="O210" s="336"/>
      <c r="P210" s="336"/>
      <c r="Q210" s="336"/>
      <c r="R210" s="336"/>
      <c r="S210" s="336"/>
      <c r="T210" s="336"/>
      <c r="U210" s="336"/>
      <c r="V210" s="336"/>
      <c r="W210" s="336"/>
      <c r="X210" s="336"/>
      <c r="Y210" s="336"/>
      <c r="Z210" s="336"/>
      <c r="AA210" s="336"/>
      <c r="AB210" s="338"/>
      <c r="AC210" s="338"/>
      <c r="AD210" s="338"/>
      <c r="AE210" s="336"/>
      <c r="AF210" s="336"/>
      <c r="AG210" s="338"/>
      <c r="AH210" s="336"/>
      <c r="AI210" s="338"/>
      <c r="AJ210" s="336"/>
      <c r="AK210" s="338"/>
      <c r="AL210" s="338"/>
      <c r="AM210" s="336"/>
      <c r="AN210" s="336"/>
      <c r="AO210" s="336"/>
      <c r="AP210" s="336"/>
      <c r="AQ210" s="336"/>
      <c r="AR210" s="336"/>
      <c r="AS210" s="336"/>
    </row>
    <row r="211" spans="1:45" ht="24" customHeight="1">
      <c r="A211" s="336"/>
      <c r="B211" s="336"/>
      <c r="C211" s="338"/>
      <c r="D211" s="338"/>
      <c r="E211" s="338"/>
      <c r="F211" s="337"/>
      <c r="G211" s="336"/>
      <c r="H211" s="336"/>
      <c r="I211" s="336"/>
      <c r="J211" s="338"/>
      <c r="K211" s="337"/>
      <c r="L211" s="338"/>
      <c r="M211" s="337"/>
      <c r="N211" s="336"/>
      <c r="O211" s="336"/>
      <c r="P211" s="336"/>
      <c r="Q211" s="336"/>
      <c r="R211" s="336"/>
      <c r="S211" s="336"/>
      <c r="T211" s="336"/>
      <c r="U211" s="336"/>
      <c r="V211" s="336"/>
      <c r="W211" s="336"/>
      <c r="X211" s="336"/>
      <c r="Y211" s="336"/>
      <c r="Z211" s="336"/>
      <c r="AA211" s="336"/>
      <c r="AB211" s="338"/>
      <c r="AC211" s="338"/>
      <c r="AD211" s="338"/>
      <c r="AE211" s="336"/>
      <c r="AF211" s="336"/>
      <c r="AG211" s="338"/>
      <c r="AH211" s="336"/>
      <c r="AI211" s="338"/>
      <c r="AJ211" s="336"/>
      <c r="AK211" s="338"/>
      <c r="AL211" s="338"/>
      <c r="AM211" s="336"/>
      <c r="AN211" s="336"/>
      <c r="AO211" s="336"/>
      <c r="AP211" s="336"/>
      <c r="AQ211" s="336"/>
      <c r="AR211" s="336"/>
      <c r="AS211" s="336"/>
    </row>
    <row r="212" spans="1:45" ht="24" customHeight="1">
      <c r="A212" s="336"/>
      <c r="B212" s="336"/>
      <c r="C212" s="338"/>
      <c r="D212" s="338"/>
      <c r="E212" s="338"/>
      <c r="F212" s="337"/>
      <c r="G212" s="336"/>
      <c r="H212" s="336"/>
      <c r="I212" s="336"/>
      <c r="J212" s="338"/>
      <c r="K212" s="337"/>
      <c r="L212" s="338"/>
      <c r="M212" s="337"/>
      <c r="N212" s="336"/>
      <c r="O212" s="336"/>
      <c r="P212" s="336"/>
      <c r="Q212" s="336"/>
      <c r="R212" s="336"/>
      <c r="S212" s="336"/>
      <c r="T212" s="336"/>
      <c r="U212" s="336"/>
      <c r="V212" s="336"/>
      <c r="W212" s="336"/>
      <c r="X212" s="336"/>
      <c r="Y212" s="336"/>
      <c r="Z212" s="336"/>
      <c r="AA212" s="336"/>
      <c r="AB212" s="338"/>
      <c r="AC212" s="338"/>
      <c r="AD212" s="338"/>
      <c r="AE212" s="336"/>
      <c r="AF212" s="336"/>
      <c r="AG212" s="338"/>
      <c r="AH212" s="336"/>
      <c r="AI212" s="338"/>
      <c r="AJ212" s="336"/>
      <c r="AK212" s="338"/>
      <c r="AL212" s="338"/>
      <c r="AM212" s="336"/>
      <c r="AN212" s="336"/>
      <c r="AO212" s="336"/>
      <c r="AP212" s="336"/>
      <c r="AQ212" s="336"/>
      <c r="AR212" s="336"/>
      <c r="AS212" s="336"/>
    </row>
    <row r="213" spans="1:45" ht="24" customHeight="1">
      <c r="A213" s="336"/>
      <c r="B213" s="336"/>
      <c r="C213" s="338"/>
      <c r="D213" s="338"/>
      <c r="E213" s="338"/>
      <c r="F213" s="337"/>
      <c r="G213" s="336"/>
      <c r="H213" s="336"/>
      <c r="I213" s="336"/>
      <c r="J213" s="338"/>
      <c r="K213" s="337"/>
      <c r="L213" s="338"/>
      <c r="M213" s="337"/>
      <c r="N213" s="336"/>
      <c r="O213" s="336"/>
      <c r="P213" s="336"/>
      <c r="Q213" s="336"/>
      <c r="R213" s="336"/>
      <c r="S213" s="336"/>
      <c r="T213" s="336"/>
      <c r="U213" s="336"/>
      <c r="V213" s="336"/>
      <c r="W213" s="336"/>
      <c r="X213" s="336"/>
      <c r="Y213" s="336"/>
      <c r="Z213" s="336"/>
      <c r="AA213" s="336"/>
      <c r="AB213" s="338"/>
      <c r="AC213" s="338"/>
      <c r="AD213" s="338"/>
      <c r="AE213" s="336"/>
      <c r="AF213" s="336"/>
      <c r="AG213" s="338"/>
      <c r="AH213" s="336"/>
      <c r="AI213" s="338"/>
      <c r="AJ213" s="336"/>
      <c r="AK213" s="338"/>
      <c r="AL213" s="338"/>
      <c r="AM213" s="336"/>
      <c r="AN213" s="336"/>
      <c r="AO213" s="336"/>
      <c r="AP213" s="336"/>
      <c r="AQ213" s="336"/>
      <c r="AR213" s="336"/>
      <c r="AS213" s="336"/>
    </row>
    <row r="214" spans="1:45" ht="24" customHeight="1">
      <c r="A214" s="336"/>
      <c r="B214" s="336"/>
      <c r="C214" s="338"/>
      <c r="D214" s="338"/>
      <c r="E214" s="338"/>
      <c r="F214" s="337"/>
      <c r="G214" s="336"/>
      <c r="H214" s="336"/>
      <c r="I214" s="336"/>
      <c r="J214" s="338"/>
      <c r="K214" s="337"/>
      <c r="L214" s="338"/>
      <c r="M214" s="337"/>
      <c r="N214" s="336"/>
      <c r="O214" s="336"/>
      <c r="P214" s="336"/>
      <c r="Q214" s="336"/>
      <c r="R214" s="336"/>
      <c r="S214" s="336"/>
      <c r="T214" s="336"/>
      <c r="U214" s="336"/>
      <c r="V214" s="336"/>
      <c r="W214" s="336"/>
      <c r="X214" s="336"/>
      <c r="Y214" s="336"/>
      <c r="Z214" s="336"/>
      <c r="AA214" s="336"/>
      <c r="AB214" s="338"/>
      <c r="AC214" s="338"/>
      <c r="AD214" s="338"/>
      <c r="AE214" s="336"/>
      <c r="AF214" s="336"/>
      <c r="AG214" s="338"/>
      <c r="AH214" s="336"/>
      <c r="AI214" s="338"/>
      <c r="AJ214" s="336"/>
      <c r="AK214" s="338"/>
      <c r="AL214" s="338"/>
      <c r="AM214" s="336"/>
      <c r="AN214" s="336"/>
      <c r="AO214" s="336"/>
      <c r="AP214" s="336"/>
      <c r="AQ214" s="336"/>
      <c r="AR214" s="336"/>
      <c r="AS214" s="336"/>
    </row>
    <row r="215" spans="1:45" ht="24" customHeight="1">
      <c r="A215" s="336"/>
      <c r="B215" s="336"/>
      <c r="C215" s="338"/>
      <c r="D215" s="338"/>
      <c r="E215" s="338"/>
      <c r="F215" s="337"/>
      <c r="G215" s="336"/>
      <c r="H215" s="336"/>
      <c r="I215" s="336"/>
      <c r="J215" s="338"/>
      <c r="K215" s="337"/>
      <c r="L215" s="338"/>
      <c r="M215" s="337"/>
      <c r="N215" s="336"/>
      <c r="O215" s="336"/>
      <c r="P215" s="336"/>
      <c r="Q215" s="336"/>
      <c r="R215" s="336"/>
      <c r="S215" s="336"/>
      <c r="T215" s="336"/>
      <c r="U215" s="336"/>
      <c r="V215" s="336"/>
      <c r="W215" s="336"/>
      <c r="X215" s="336"/>
      <c r="Y215" s="336"/>
      <c r="Z215" s="336"/>
      <c r="AA215" s="336"/>
      <c r="AB215" s="338"/>
      <c r="AC215" s="338"/>
      <c r="AD215" s="338"/>
      <c r="AE215" s="336"/>
      <c r="AF215" s="336"/>
      <c r="AG215" s="338"/>
      <c r="AH215" s="336"/>
      <c r="AI215" s="338"/>
      <c r="AJ215" s="336"/>
      <c r="AK215" s="338"/>
      <c r="AL215" s="338"/>
      <c r="AM215" s="336"/>
      <c r="AN215" s="336"/>
      <c r="AO215" s="336"/>
      <c r="AP215" s="336"/>
      <c r="AQ215" s="336"/>
      <c r="AR215" s="336"/>
      <c r="AS215" s="336"/>
    </row>
    <row r="216" spans="1:45" ht="24" customHeight="1">
      <c r="A216" s="336"/>
      <c r="B216" s="336"/>
      <c r="C216" s="338"/>
      <c r="D216" s="338"/>
      <c r="E216" s="338"/>
      <c r="F216" s="337"/>
      <c r="G216" s="336"/>
      <c r="H216" s="336"/>
      <c r="I216" s="336"/>
      <c r="J216" s="338"/>
      <c r="K216" s="337"/>
      <c r="L216" s="338"/>
      <c r="M216" s="337"/>
      <c r="N216" s="336"/>
      <c r="O216" s="336"/>
      <c r="P216" s="336"/>
      <c r="Q216" s="336"/>
      <c r="R216" s="336"/>
      <c r="S216" s="336"/>
      <c r="T216" s="336"/>
      <c r="U216" s="336"/>
      <c r="V216" s="336"/>
      <c r="W216" s="336"/>
      <c r="X216" s="336"/>
      <c r="Y216" s="336"/>
      <c r="Z216" s="336"/>
      <c r="AA216" s="336"/>
      <c r="AB216" s="338"/>
      <c r="AC216" s="338"/>
      <c r="AD216" s="338"/>
      <c r="AE216" s="336"/>
      <c r="AF216" s="336"/>
      <c r="AG216" s="338"/>
      <c r="AH216" s="336"/>
      <c r="AI216" s="338"/>
      <c r="AJ216" s="336"/>
      <c r="AK216" s="338"/>
      <c r="AL216" s="338"/>
      <c r="AM216" s="336"/>
      <c r="AN216" s="336"/>
      <c r="AO216" s="336"/>
      <c r="AP216" s="336"/>
      <c r="AQ216" s="336"/>
      <c r="AR216" s="336"/>
      <c r="AS216" s="336"/>
    </row>
    <row r="217" spans="1:45" ht="24" customHeight="1">
      <c r="A217" s="336"/>
      <c r="B217" s="336"/>
      <c r="C217" s="338"/>
      <c r="D217" s="338"/>
      <c r="E217" s="338"/>
      <c r="F217" s="337"/>
      <c r="G217" s="336"/>
      <c r="H217" s="336"/>
      <c r="I217" s="336"/>
      <c r="J217" s="338"/>
      <c r="K217" s="337"/>
      <c r="L217" s="338"/>
      <c r="M217" s="337"/>
      <c r="N217" s="336"/>
      <c r="O217" s="336"/>
      <c r="P217" s="336"/>
      <c r="Q217" s="336"/>
      <c r="R217" s="336"/>
      <c r="S217" s="336"/>
      <c r="T217" s="336"/>
      <c r="U217" s="336"/>
      <c r="V217" s="336"/>
      <c r="W217" s="336"/>
      <c r="X217" s="336"/>
      <c r="Y217" s="336"/>
      <c r="Z217" s="336"/>
      <c r="AA217" s="336"/>
      <c r="AB217" s="338"/>
      <c r="AC217" s="338"/>
      <c r="AD217" s="338"/>
      <c r="AE217" s="336"/>
      <c r="AF217" s="336"/>
      <c r="AG217" s="338"/>
      <c r="AH217" s="336"/>
      <c r="AI217" s="338"/>
      <c r="AJ217" s="336"/>
      <c r="AK217" s="338"/>
      <c r="AL217" s="338"/>
      <c r="AM217" s="336"/>
      <c r="AN217" s="336"/>
      <c r="AO217" s="336"/>
      <c r="AP217" s="336"/>
      <c r="AQ217" s="336"/>
      <c r="AR217" s="336"/>
      <c r="AS217" s="336"/>
    </row>
    <row r="218" spans="1:45" ht="24" customHeight="1">
      <c r="A218" s="336"/>
      <c r="B218" s="336"/>
      <c r="C218" s="338"/>
      <c r="D218" s="338"/>
      <c r="E218" s="338"/>
      <c r="F218" s="337"/>
      <c r="G218" s="336"/>
      <c r="H218" s="336"/>
      <c r="I218" s="336"/>
      <c r="J218" s="338"/>
      <c r="K218" s="337"/>
      <c r="L218" s="338"/>
      <c r="M218" s="337"/>
      <c r="N218" s="336"/>
      <c r="O218" s="336"/>
      <c r="P218" s="336"/>
      <c r="Q218" s="336"/>
      <c r="R218" s="336"/>
      <c r="S218" s="336"/>
      <c r="T218" s="336"/>
      <c r="U218" s="336"/>
      <c r="V218" s="336"/>
      <c r="W218" s="336"/>
      <c r="X218" s="336"/>
      <c r="Y218" s="336"/>
      <c r="Z218" s="336"/>
      <c r="AA218" s="336"/>
      <c r="AB218" s="338"/>
      <c r="AC218" s="338"/>
      <c r="AD218" s="338"/>
      <c r="AE218" s="336"/>
      <c r="AF218" s="336"/>
      <c r="AG218" s="338"/>
      <c r="AH218" s="336"/>
      <c r="AI218" s="338"/>
      <c r="AJ218" s="336"/>
      <c r="AK218" s="338"/>
      <c r="AL218" s="338"/>
      <c r="AM218" s="336"/>
      <c r="AN218" s="336"/>
      <c r="AO218" s="336"/>
      <c r="AP218" s="336"/>
      <c r="AQ218" s="336"/>
      <c r="AR218" s="336"/>
      <c r="AS218" s="336"/>
    </row>
    <row r="219" spans="1:45" ht="24" customHeight="1">
      <c r="A219" s="336"/>
      <c r="B219" s="336"/>
      <c r="C219" s="338"/>
      <c r="D219" s="338"/>
      <c r="E219" s="338"/>
      <c r="F219" s="337"/>
      <c r="G219" s="336"/>
      <c r="H219" s="336"/>
      <c r="I219" s="336"/>
      <c r="J219" s="338"/>
      <c r="K219" s="337"/>
      <c r="L219" s="338"/>
      <c r="M219" s="337"/>
      <c r="N219" s="336"/>
      <c r="O219" s="336"/>
      <c r="P219" s="336"/>
      <c r="Q219" s="336"/>
      <c r="R219" s="336"/>
      <c r="S219" s="336"/>
      <c r="T219" s="336"/>
      <c r="U219" s="336"/>
      <c r="V219" s="336"/>
      <c r="W219" s="336"/>
      <c r="X219" s="336"/>
      <c r="Y219" s="336"/>
      <c r="Z219" s="336"/>
      <c r="AA219" s="336"/>
      <c r="AB219" s="338"/>
      <c r="AC219" s="338"/>
      <c r="AD219" s="338"/>
      <c r="AE219" s="336"/>
      <c r="AF219" s="336"/>
      <c r="AG219" s="338"/>
      <c r="AH219" s="336"/>
      <c r="AI219" s="338"/>
      <c r="AJ219" s="336"/>
      <c r="AK219" s="338"/>
      <c r="AL219" s="338"/>
      <c r="AM219" s="336"/>
      <c r="AN219" s="336"/>
      <c r="AO219" s="336"/>
      <c r="AP219" s="336"/>
      <c r="AQ219" s="336"/>
      <c r="AR219" s="336"/>
      <c r="AS219" s="336"/>
    </row>
    <row r="220" spans="1:45" ht="24" customHeight="1">
      <c r="A220" s="336"/>
      <c r="B220" s="336"/>
      <c r="C220" s="338"/>
      <c r="D220" s="338"/>
      <c r="E220" s="338"/>
      <c r="F220" s="337"/>
      <c r="G220" s="336"/>
      <c r="H220" s="336"/>
      <c r="I220" s="336"/>
      <c r="J220" s="338"/>
      <c r="K220" s="337"/>
      <c r="L220" s="338"/>
      <c r="M220" s="337"/>
      <c r="N220" s="336"/>
      <c r="O220" s="336"/>
      <c r="P220" s="336"/>
      <c r="Q220" s="336"/>
      <c r="R220" s="336"/>
      <c r="S220" s="336"/>
      <c r="T220" s="336"/>
      <c r="U220" s="336"/>
      <c r="V220" s="336"/>
      <c r="W220" s="336"/>
      <c r="X220" s="336"/>
      <c r="Y220" s="336"/>
      <c r="Z220" s="336"/>
      <c r="AA220" s="336"/>
      <c r="AB220" s="338"/>
      <c r="AC220" s="338"/>
      <c r="AD220" s="338"/>
      <c r="AE220" s="336"/>
      <c r="AF220" s="336"/>
      <c r="AG220" s="338"/>
      <c r="AH220" s="336"/>
      <c r="AI220" s="338"/>
      <c r="AJ220" s="336"/>
      <c r="AK220" s="338"/>
      <c r="AL220" s="338"/>
      <c r="AM220" s="336"/>
      <c r="AN220" s="336"/>
      <c r="AO220" s="336"/>
      <c r="AP220" s="336"/>
      <c r="AQ220" s="336"/>
      <c r="AR220" s="336"/>
      <c r="AS220" s="336"/>
    </row>
    <row r="221" spans="1:45" ht="24" customHeight="1">
      <c r="A221" s="336"/>
      <c r="B221" s="336"/>
      <c r="C221" s="338"/>
      <c r="D221" s="338"/>
      <c r="E221" s="338"/>
      <c r="F221" s="337"/>
      <c r="G221" s="336"/>
      <c r="H221" s="336"/>
      <c r="I221" s="336"/>
      <c r="J221" s="338"/>
      <c r="K221" s="337"/>
      <c r="L221" s="338"/>
      <c r="M221" s="337"/>
      <c r="N221" s="336"/>
      <c r="O221" s="336"/>
      <c r="P221" s="336"/>
      <c r="Q221" s="336"/>
      <c r="R221" s="336"/>
      <c r="S221" s="336"/>
      <c r="T221" s="336"/>
      <c r="U221" s="336"/>
      <c r="V221" s="336"/>
      <c r="W221" s="336"/>
      <c r="X221" s="336"/>
      <c r="Y221" s="336"/>
      <c r="Z221" s="336"/>
      <c r="AA221" s="336"/>
      <c r="AB221" s="338"/>
      <c r="AC221" s="338"/>
      <c r="AD221" s="338"/>
      <c r="AE221" s="336"/>
      <c r="AF221" s="336"/>
      <c r="AG221" s="338"/>
      <c r="AH221" s="336"/>
      <c r="AI221" s="338"/>
      <c r="AJ221" s="336"/>
      <c r="AK221" s="338"/>
      <c r="AL221" s="338"/>
      <c r="AM221" s="336"/>
      <c r="AN221" s="336"/>
      <c r="AO221" s="336"/>
      <c r="AP221" s="336"/>
      <c r="AQ221" s="336"/>
      <c r="AR221" s="336"/>
      <c r="AS221" s="336"/>
    </row>
    <row r="222" spans="1:45" ht="24" customHeight="1">
      <c r="A222" s="336"/>
      <c r="B222" s="336"/>
      <c r="C222" s="338"/>
      <c r="D222" s="338"/>
      <c r="E222" s="338"/>
      <c r="F222" s="337"/>
      <c r="G222" s="336"/>
      <c r="H222" s="336"/>
      <c r="I222" s="336"/>
      <c r="J222" s="338"/>
      <c r="K222" s="337"/>
      <c r="L222" s="338"/>
      <c r="M222" s="337"/>
      <c r="N222" s="336"/>
      <c r="O222" s="336"/>
      <c r="P222" s="336"/>
      <c r="Q222" s="336"/>
      <c r="R222" s="336"/>
      <c r="S222" s="336"/>
      <c r="T222" s="336"/>
      <c r="U222" s="336"/>
      <c r="V222" s="336"/>
      <c r="W222" s="336"/>
      <c r="X222" s="336"/>
      <c r="Y222" s="336"/>
      <c r="Z222" s="336"/>
      <c r="AA222" s="336"/>
      <c r="AB222" s="338"/>
      <c r="AC222" s="338"/>
      <c r="AD222" s="338"/>
      <c r="AE222" s="336"/>
      <c r="AF222" s="336"/>
      <c r="AG222" s="338"/>
      <c r="AH222" s="336"/>
      <c r="AI222" s="338"/>
      <c r="AJ222" s="336"/>
      <c r="AK222" s="338"/>
      <c r="AL222" s="338"/>
      <c r="AM222" s="336"/>
      <c r="AN222" s="336"/>
      <c r="AO222" s="336"/>
      <c r="AP222" s="336"/>
      <c r="AQ222" s="336"/>
      <c r="AR222" s="336"/>
      <c r="AS222" s="336"/>
    </row>
    <row r="223" spans="1:45" ht="24" customHeight="1">
      <c r="A223" s="336"/>
      <c r="B223" s="336"/>
      <c r="C223" s="338"/>
      <c r="D223" s="338"/>
      <c r="E223" s="338"/>
      <c r="F223" s="337"/>
      <c r="G223" s="336"/>
      <c r="H223" s="336"/>
      <c r="I223" s="336"/>
      <c r="J223" s="338"/>
      <c r="K223" s="337"/>
      <c r="L223" s="338"/>
      <c r="M223" s="337"/>
      <c r="N223" s="336"/>
      <c r="O223" s="336"/>
      <c r="P223" s="336"/>
      <c r="Q223" s="336"/>
      <c r="R223" s="336"/>
      <c r="S223" s="336"/>
      <c r="T223" s="336"/>
      <c r="U223" s="336"/>
      <c r="V223" s="336"/>
      <c r="W223" s="336"/>
      <c r="X223" s="336"/>
      <c r="Y223" s="336"/>
      <c r="Z223" s="336"/>
      <c r="AA223" s="336"/>
      <c r="AB223" s="338"/>
      <c r="AC223" s="338"/>
      <c r="AD223" s="338"/>
      <c r="AE223" s="336"/>
      <c r="AF223" s="336"/>
      <c r="AG223" s="338"/>
      <c r="AH223" s="336"/>
      <c r="AI223" s="338"/>
      <c r="AJ223" s="336"/>
      <c r="AK223" s="338"/>
      <c r="AL223" s="338"/>
      <c r="AM223" s="336"/>
      <c r="AN223" s="336"/>
      <c r="AO223" s="336"/>
      <c r="AP223" s="336"/>
      <c r="AQ223" s="336"/>
      <c r="AR223" s="336"/>
      <c r="AS223" s="336"/>
    </row>
    <row r="224" spans="1:45" ht="24" customHeight="1">
      <c r="A224" s="336"/>
      <c r="B224" s="336"/>
      <c r="C224" s="338"/>
      <c r="D224" s="338"/>
      <c r="E224" s="338"/>
      <c r="F224" s="337"/>
      <c r="G224" s="336"/>
      <c r="H224" s="336"/>
      <c r="I224" s="336"/>
      <c r="J224" s="338"/>
      <c r="K224" s="337"/>
      <c r="L224" s="338"/>
      <c r="M224" s="337"/>
      <c r="N224" s="336"/>
      <c r="O224" s="336"/>
      <c r="P224" s="336"/>
      <c r="Q224" s="336"/>
      <c r="R224" s="336"/>
      <c r="S224" s="336"/>
      <c r="T224" s="336"/>
      <c r="U224" s="336"/>
      <c r="V224" s="336"/>
      <c r="W224" s="336"/>
      <c r="X224" s="336"/>
      <c r="Y224" s="336"/>
      <c r="Z224" s="336"/>
      <c r="AA224" s="336"/>
      <c r="AB224" s="338"/>
      <c r="AC224" s="338"/>
      <c r="AD224" s="338"/>
      <c r="AE224" s="336"/>
      <c r="AF224" s="336"/>
      <c r="AG224" s="338"/>
      <c r="AH224" s="336"/>
      <c r="AI224" s="338"/>
      <c r="AJ224" s="336"/>
      <c r="AK224" s="338"/>
      <c r="AL224" s="338"/>
      <c r="AM224" s="336"/>
      <c r="AN224" s="336"/>
      <c r="AO224" s="336"/>
      <c r="AP224" s="336"/>
      <c r="AQ224" s="336"/>
      <c r="AR224" s="336"/>
      <c r="AS224" s="336"/>
    </row>
    <row r="225" spans="1:45" ht="24" customHeight="1">
      <c r="A225" s="336"/>
      <c r="B225" s="336"/>
      <c r="C225" s="338"/>
      <c r="D225" s="338"/>
      <c r="E225" s="338"/>
      <c r="F225" s="337"/>
      <c r="G225" s="336"/>
      <c r="H225" s="336"/>
      <c r="I225" s="336"/>
      <c r="J225" s="338"/>
      <c r="K225" s="337"/>
      <c r="L225" s="338"/>
      <c r="M225" s="337"/>
      <c r="N225" s="336"/>
      <c r="O225" s="336"/>
      <c r="P225" s="336"/>
      <c r="Q225" s="336"/>
      <c r="R225" s="336"/>
      <c r="S225" s="336"/>
      <c r="T225" s="336"/>
      <c r="U225" s="336"/>
      <c r="V225" s="336"/>
      <c r="W225" s="336"/>
      <c r="X225" s="336"/>
      <c r="Y225" s="336"/>
      <c r="Z225" s="336"/>
      <c r="AA225" s="336"/>
      <c r="AB225" s="338"/>
      <c r="AC225" s="338"/>
      <c r="AD225" s="338"/>
      <c r="AE225" s="336"/>
      <c r="AF225" s="336"/>
      <c r="AG225" s="338"/>
      <c r="AH225" s="336"/>
      <c r="AI225" s="338"/>
      <c r="AJ225" s="336"/>
      <c r="AK225" s="338"/>
      <c r="AL225" s="338"/>
      <c r="AM225" s="336"/>
      <c r="AN225" s="336"/>
      <c r="AO225" s="336"/>
      <c r="AP225" s="336"/>
      <c r="AQ225" s="336"/>
      <c r="AR225" s="336"/>
      <c r="AS225" s="336"/>
    </row>
    <row r="226" spans="1:45" ht="24" customHeight="1">
      <c r="A226" s="336"/>
      <c r="B226" s="336"/>
      <c r="C226" s="338"/>
      <c r="D226" s="338"/>
      <c r="E226" s="338"/>
      <c r="F226" s="337"/>
      <c r="G226" s="336"/>
      <c r="H226" s="336"/>
      <c r="I226" s="336"/>
      <c r="J226" s="338"/>
      <c r="K226" s="337"/>
      <c r="L226" s="338"/>
      <c r="M226" s="337"/>
      <c r="N226" s="336"/>
      <c r="O226" s="336"/>
      <c r="P226" s="336"/>
      <c r="Q226" s="336"/>
      <c r="R226" s="336"/>
      <c r="S226" s="336"/>
      <c r="T226" s="336"/>
      <c r="U226" s="336"/>
      <c r="V226" s="336"/>
      <c r="W226" s="336"/>
      <c r="X226" s="336"/>
      <c r="Y226" s="336"/>
      <c r="Z226" s="336"/>
      <c r="AA226" s="336"/>
      <c r="AB226" s="338"/>
      <c r="AC226" s="338"/>
      <c r="AD226" s="338"/>
      <c r="AE226" s="336"/>
      <c r="AF226" s="336"/>
      <c r="AG226" s="338"/>
      <c r="AH226" s="336"/>
      <c r="AI226" s="338"/>
      <c r="AJ226" s="336"/>
      <c r="AK226" s="338"/>
      <c r="AL226" s="338"/>
      <c r="AM226" s="336"/>
      <c r="AN226" s="336"/>
      <c r="AO226" s="336"/>
      <c r="AP226" s="336"/>
      <c r="AQ226" s="336"/>
      <c r="AR226" s="336"/>
      <c r="AS226" s="336"/>
    </row>
    <row r="227" spans="1:45" ht="24" customHeight="1">
      <c r="A227" s="336"/>
      <c r="B227" s="336"/>
      <c r="C227" s="338"/>
      <c r="D227" s="338"/>
      <c r="E227" s="338"/>
      <c r="F227" s="337"/>
      <c r="G227" s="336"/>
      <c r="H227" s="336"/>
      <c r="I227" s="336"/>
      <c r="J227" s="338"/>
      <c r="K227" s="337"/>
      <c r="L227" s="338"/>
      <c r="M227" s="337"/>
      <c r="N227" s="336"/>
      <c r="O227" s="336"/>
      <c r="P227" s="336"/>
      <c r="Q227" s="336"/>
      <c r="R227" s="336"/>
      <c r="S227" s="336"/>
      <c r="T227" s="336"/>
      <c r="U227" s="336"/>
      <c r="V227" s="336"/>
      <c r="W227" s="336"/>
      <c r="X227" s="336"/>
      <c r="Y227" s="336"/>
      <c r="Z227" s="336"/>
      <c r="AA227" s="336"/>
      <c r="AB227" s="338"/>
      <c r="AC227" s="338"/>
      <c r="AD227" s="338"/>
      <c r="AE227" s="336"/>
      <c r="AF227" s="336"/>
      <c r="AG227" s="338"/>
      <c r="AH227" s="336"/>
      <c r="AI227" s="338"/>
      <c r="AJ227" s="336"/>
      <c r="AK227" s="338"/>
      <c r="AL227" s="338"/>
      <c r="AM227" s="336"/>
      <c r="AN227" s="336"/>
      <c r="AO227" s="336"/>
      <c r="AP227" s="336"/>
      <c r="AQ227" s="336"/>
      <c r="AR227" s="336"/>
      <c r="AS227" s="336"/>
    </row>
    <row r="228" spans="1:45" ht="24" customHeight="1">
      <c r="A228" s="336"/>
      <c r="B228" s="336"/>
      <c r="C228" s="338"/>
      <c r="D228" s="338"/>
      <c r="E228" s="338"/>
      <c r="F228" s="337"/>
      <c r="G228" s="336"/>
      <c r="H228" s="336"/>
      <c r="I228" s="336"/>
      <c r="J228" s="338"/>
      <c r="K228" s="337"/>
      <c r="L228" s="338"/>
      <c r="M228" s="337"/>
      <c r="N228" s="336"/>
      <c r="O228" s="336"/>
      <c r="P228" s="336"/>
      <c r="Q228" s="336"/>
      <c r="R228" s="336"/>
      <c r="S228" s="336"/>
      <c r="T228" s="336"/>
      <c r="U228" s="336"/>
      <c r="V228" s="336"/>
      <c r="W228" s="336"/>
      <c r="X228" s="336"/>
      <c r="Y228" s="336"/>
      <c r="Z228" s="336"/>
      <c r="AA228" s="336"/>
      <c r="AB228" s="338"/>
      <c r="AC228" s="338"/>
      <c r="AD228" s="338"/>
      <c r="AE228" s="336"/>
      <c r="AF228" s="336"/>
      <c r="AG228" s="338"/>
      <c r="AH228" s="336"/>
      <c r="AI228" s="338"/>
      <c r="AJ228" s="336"/>
      <c r="AK228" s="338"/>
      <c r="AL228" s="338"/>
      <c r="AM228" s="336"/>
      <c r="AN228" s="336"/>
      <c r="AO228" s="336"/>
      <c r="AP228" s="336"/>
      <c r="AQ228" s="336"/>
      <c r="AR228" s="336"/>
      <c r="AS228" s="336"/>
    </row>
    <row r="229" spans="1:45" ht="24" customHeight="1">
      <c r="A229" s="336"/>
      <c r="B229" s="336"/>
      <c r="C229" s="338"/>
      <c r="D229" s="338"/>
      <c r="E229" s="338"/>
      <c r="F229" s="337"/>
      <c r="G229" s="336"/>
      <c r="H229" s="336"/>
      <c r="I229" s="336"/>
      <c r="J229" s="338"/>
      <c r="K229" s="337"/>
      <c r="L229" s="338"/>
      <c r="M229" s="337"/>
      <c r="N229" s="336"/>
      <c r="O229" s="336"/>
      <c r="P229" s="336"/>
      <c r="Q229" s="336"/>
      <c r="R229" s="336"/>
      <c r="S229" s="336"/>
      <c r="T229" s="336"/>
      <c r="U229" s="336"/>
      <c r="V229" s="336"/>
      <c r="W229" s="336"/>
      <c r="X229" s="336"/>
      <c r="Y229" s="336"/>
      <c r="Z229" s="336"/>
      <c r="AA229" s="336"/>
      <c r="AB229" s="338"/>
      <c r="AC229" s="338"/>
      <c r="AD229" s="338"/>
      <c r="AE229" s="336"/>
      <c r="AF229" s="336"/>
      <c r="AG229" s="338"/>
      <c r="AH229" s="336"/>
      <c r="AI229" s="338"/>
      <c r="AJ229" s="336"/>
      <c r="AK229" s="338"/>
      <c r="AL229" s="338"/>
      <c r="AM229" s="336"/>
      <c r="AN229" s="336"/>
      <c r="AO229" s="336"/>
      <c r="AP229" s="336"/>
      <c r="AQ229" s="336"/>
      <c r="AR229" s="336"/>
      <c r="AS229" s="336"/>
    </row>
    <row r="230" spans="1:45" ht="24" customHeight="1">
      <c r="A230" s="336"/>
      <c r="B230" s="336"/>
      <c r="C230" s="338"/>
      <c r="D230" s="338"/>
      <c r="E230" s="338"/>
      <c r="F230" s="337"/>
      <c r="G230" s="336"/>
      <c r="H230" s="336"/>
      <c r="I230" s="336"/>
      <c r="J230" s="338"/>
      <c r="K230" s="337"/>
      <c r="L230" s="338"/>
      <c r="M230" s="337"/>
      <c r="N230" s="336"/>
      <c r="O230" s="336"/>
      <c r="P230" s="336"/>
      <c r="Q230" s="336"/>
      <c r="R230" s="336"/>
      <c r="S230" s="336"/>
      <c r="T230" s="336"/>
      <c r="U230" s="336"/>
      <c r="V230" s="336"/>
      <c r="W230" s="336"/>
      <c r="X230" s="336"/>
      <c r="Y230" s="336"/>
      <c r="Z230" s="336"/>
      <c r="AA230" s="336"/>
      <c r="AB230" s="338"/>
      <c r="AC230" s="338"/>
      <c r="AD230" s="338"/>
      <c r="AE230" s="336"/>
      <c r="AF230" s="336"/>
      <c r="AG230" s="338"/>
      <c r="AH230" s="336"/>
      <c r="AI230" s="338"/>
      <c r="AJ230" s="336"/>
      <c r="AK230" s="338"/>
      <c r="AL230" s="338"/>
      <c r="AM230" s="336"/>
      <c r="AN230" s="336"/>
      <c r="AO230" s="336"/>
      <c r="AP230" s="336"/>
      <c r="AQ230" s="336"/>
      <c r="AR230" s="336"/>
      <c r="AS230" s="336"/>
    </row>
    <row r="231" spans="1:45" ht="24" customHeight="1">
      <c r="A231" s="336"/>
      <c r="B231" s="336"/>
      <c r="C231" s="338"/>
      <c r="D231" s="338"/>
      <c r="E231" s="338"/>
      <c r="F231" s="337"/>
      <c r="G231" s="336"/>
      <c r="H231" s="336"/>
      <c r="I231" s="336"/>
      <c r="J231" s="338"/>
      <c r="K231" s="337"/>
      <c r="L231" s="338"/>
      <c r="M231" s="337"/>
      <c r="N231" s="336"/>
      <c r="O231" s="336"/>
      <c r="P231" s="336"/>
      <c r="Q231" s="336"/>
      <c r="R231" s="336"/>
      <c r="S231" s="336"/>
      <c r="T231" s="336"/>
      <c r="U231" s="336"/>
      <c r="V231" s="336"/>
      <c r="W231" s="336"/>
      <c r="X231" s="336"/>
      <c r="Y231" s="336"/>
      <c r="Z231" s="336"/>
      <c r="AA231" s="336"/>
      <c r="AB231" s="338"/>
      <c r="AC231" s="338"/>
      <c r="AD231" s="338"/>
      <c r="AE231" s="336"/>
      <c r="AF231" s="336"/>
      <c r="AG231" s="338"/>
      <c r="AH231" s="336"/>
      <c r="AI231" s="338"/>
      <c r="AJ231" s="336"/>
      <c r="AK231" s="338"/>
      <c r="AL231" s="338"/>
      <c r="AM231" s="336"/>
      <c r="AN231" s="336"/>
      <c r="AO231" s="336"/>
      <c r="AP231" s="336"/>
      <c r="AQ231" s="336"/>
      <c r="AR231" s="336"/>
      <c r="AS231" s="336"/>
    </row>
    <row r="232" spans="1:45" ht="24" customHeight="1">
      <c r="A232" s="336"/>
      <c r="B232" s="336"/>
      <c r="C232" s="338"/>
      <c r="D232" s="338"/>
      <c r="E232" s="338"/>
      <c r="F232" s="337"/>
      <c r="G232" s="336"/>
      <c r="H232" s="336"/>
      <c r="I232" s="336"/>
      <c r="J232" s="338"/>
      <c r="K232" s="337"/>
      <c r="L232" s="338"/>
      <c r="M232" s="337"/>
      <c r="N232" s="336"/>
      <c r="O232" s="336"/>
      <c r="P232" s="336"/>
      <c r="Q232" s="336"/>
      <c r="R232" s="336"/>
      <c r="S232" s="336"/>
      <c r="T232" s="336"/>
      <c r="U232" s="336"/>
      <c r="V232" s="336"/>
      <c r="W232" s="336"/>
      <c r="X232" s="336"/>
      <c r="Y232" s="336"/>
      <c r="Z232" s="336"/>
      <c r="AA232" s="336"/>
      <c r="AB232" s="338"/>
      <c r="AC232" s="338"/>
      <c r="AD232" s="338"/>
      <c r="AE232" s="336"/>
      <c r="AF232" s="336"/>
      <c r="AG232" s="338"/>
      <c r="AH232" s="336"/>
      <c r="AI232" s="338"/>
      <c r="AJ232" s="336"/>
      <c r="AK232" s="338"/>
      <c r="AL232" s="338"/>
      <c r="AM232" s="336"/>
      <c r="AN232" s="336"/>
      <c r="AO232" s="336"/>
      <c r="AP232" s="336"/>
      <c r="AQ232" s="336"/>
      <c r="AR232" s="336"/>
      <c r="AS232" s="336"/>
    </row>
    <row r="233" spans="1:45" ht="24" customHeight="1">
      <c r="A233" s="336"/>
      <c r="B233" s="336"/>
      <c r="C233" s="338"/>
      <c r="D233" s="338"/>
      <c r="E233" s="338"/>
      <c r="F233" s="337"/>
      <c r="G233" s="336"/>
      <c r="H233" s="336"/>
      <c r="I233" s="336"/>
      <c r="J233" s="338"/>
      <c r="K233" s="337"/>
      <c r="L233" s="338"/>
      <c r="M233" s="337"/>
      <c r="N233" s="336"/>
      <c r="O233" s="336"/>
      <c r="P233" s="336"/>
      <c r="Q233" s="336"/>
      <c r="R233" s="336"/>
      <c r="S233" s="336"/>
      <c r="T233" s="336"/>
      <c r="U233" s="336"/>
      <c r="V233" s="336"/>
      <c r="W233" s="336"/>
      <c r="X233" s="336"/>
      <c r="Y233" s="336"/>
      <c r="Z233" s="336"/>
      <c r="AA233" s="336"/>
      <c r="AB233" s="338"/>
      <c r="AC233" s="338"/>
      <c r="AD233" s="338"/>
      <c r="AE233" s="336"/>
      <c r="AF233" s="336"/>
      <c r="AG233" s="338"/>
      <c r="AH233" s="336"/>
      <c r="AI233" s="338"/>
      <c r="AJ233" s="336"/>
      <c r="AK233" s="338"/>
      <c r="AL233" s="338"/>
      <c r="AM233" s="336"/>
      <c r="AN233" s="336"/>
      <c r="AO233" s="336"/>
      <c r="AP233" s="336"/>
      <c r="AQ233" s="336"/>
      <c r="AR233" s="336"/>
      <c r="AS233" s="336"/>
    </row>
    <row r="234" spans="1:45" ht="24" customHeight="1">
      <c r="A234" s="336"/>
      <c r="B234" s="336"/>
      <c r="C234" s="338"/>
      <c r="D234" s="338"/>
      <c r="E234" s="338"/>
      <c r="F234" s="337"/>
      <c r="G234" s="336"/>
      <c r="H234" s="336"/>
      <c r="I234" s="336"/>
      <c r="J234" s="338"/>
      <c r="K234" s="337"/>
      <c r="L234" s="338"/>
      <c r="M234" s="337"/>
      <c r="N234" s="336"/>
      <c r="O234" s="336"/>
      <c r="P234" s="336"/>
      <c r="Q234" s="336"/>
      <c r="R234" s="336"/>
      <c r="S234" s="336"/>
      <c r="T234" s="336"/>
      <c r="U234" s="336"/>
      <c r="V234" s="336"/>
      <c r="W234" s="336"/>
      <c r="X234" s="336"/>
      <c r="Y234" s="336"/>
      <c r="Z234" s="336"/>
      <c r="AA234" s="336"/>
      <c r="AB234" s="338"/>
      <c r="AC234" s="338"/>
      <c r="AD234" s="338"/>
      <c r="AE234" s="336"/>
      <c r="AF234" s="336"/>
      <c r="AG234" s="338"/>
      <c r="AH234" s="336"/>
      <c r="AI234" s="338"/>
      <c r="AJ234" s="336"/>
      <c r="AK234" s="338"/>
      <c r="AL234" s="338"/>
      <c r="AM234" s="336"/>
      <c r="AN234" s="336"/>
      <c r="AO234" s="336"/>
      <c r="AP234" s="336"/>
      <c r="AQ234" s="336"/>
      <c r="AR234" s="336"/>
      <c r="AS234" s="336"/>
    </row>
    <row r="235" spans="1:45" ht="24" customHeight="1">
      <c r="A235" s="336"/>
      <c r="B235" s="336"/>
      <c r="C235" s="338"/>
      <c r="D235" s="338"/>
      <c r="E235" s="338"/>
      <c r="F235" s="337"/>
      <c r="G235" s="336"/>
      <c r="H235" s="336"/>
      <c r="I235" s="336"/>
      <c r="J235" s="338"/>
      <c r="K235" s="337"/>
      <c r="L235" s="338"/>
      <c r="M235" s="337"/>
      <c r="N235" s="336"/>
      <c r="O235" s="336"/>
      <c r="P235" s="336"/>
      <c r="Q235" s="336"/>
      <c r="R235" s="336"/>
      <c r="S235" s="336"/>
      <c r="T235" s="336"/>
      <c r="U235" s="336"/>
      <c r="V235" s="336"/>
      <c r="W235" s="336"/>
      <c r="X235" s="336"/>
      <c r="Y235" s="336"/>
      <c r="Z235" s="336"/>
      <c r="AA235" s="336"/>
      <c r="AB235" s="338"/>
      <c r="AC235" s="338"/>
      <c r="AD235" s="338"/>
      <c r="AE235" s="336"/>
      <c r="AF235" s="336"/>
      <c r="AG235" s="338"/>
      <c r="AH235" s="336"/>
      <c r="AI235" s="338"/>
      <c r="AJ235" s="336"/>
      <c r="AK235" s="338"/>
      <c r="AL235" s="338"/>
      <c r="AM235" s="336"/>
      <c r="AN235" s="336"/>
      <c r="AO235" s="336"/>
      <c r="AP235" s="336"/>
      <c r="AQ235" s="336"/>
      <c r="AR235" s="336"/>
      <c r="AS235" s="336"/>
    </row>
    <row r="236" spans="1:45" ht="24" customHeight="1">
      <c r="A236" s="336"/>
      <c r="B236" s="336"/>
      <c r="C236" s="338"/>
      <c r="D236" s="338"/>
      <c r="E236" s="338"/>
      <c r="F236" s="337"/>
      <c r="G236" s="336"/>
      <c r="H236" s="336"/>
      <c r="I236" s="336"/>
      <c r="J236" s="338"/>
      <c r="K236" s="337"/>
      <c r="L236" s="338"/>
      <c r="M236" s="337"/>
      <c r="N236" s="336"/>
      <c r="O236" s="336"/>
      <c r="P236" s="336"/>
      <c r="Q236" s="336"/>
      <c r="R236" s="336"/>
      <c r="S236" s="336"/>
      <c r="T236" s="336"/>
      <c r="U236" s="336"/>
      <c r="V236" s="336"/>
      <c r="W236" s="336"/>
      <c r="X236" s="336"/>
      <c r="Y236" s="336"/>
      <c r="Z236" s="336"/>
      <c r="AA236" s="336"/>
      <c r="AB236" s="338"/>
      <c r="AC236" s="338"/>
      <c r="AD236" s="338"/>
      <c r="AE236" s="336"/>
      <c r="AF236" s="336"/>
      <c r="AG236" s="338"/>
      <c r="AH236" s="336"/>
      <c r="AI236" s="338"/>
      <c r="AJ236" s="336"/>
      <c r="AK236" s="338"/>
      <c r="AL236" s="338"/>
      <c r="AM236" s="336"/>
      <c r="AN236" s="336"/>
      <c r="AO236" s="336"/>
      <c r="AP236" s="336"/>
      <c r="AQ236" s="336"/>
      <c r="AR236" s="336"/>
      <c r="AS236" s="336"/>
    </row>
    <row r="237" spans="1:45" ht="24" customHeight="1">
      <c r="A237" s="336"/>
      <c r="B237" s="336"/>
      <c r="C237" s="338"/>
      <c r="D237" s="338"/>
      <c r="E237" s="338"/>
      <c r="F237" s="337"/>
      <c r="G237" s="336"/>
      <c r="H237" s="336"/>
      <c r="I237" s="336"/>
      <c r="J237" s="338"/>
      <c r="K237" s="337"/>
      <c r="L237" s="338"/>
      <c r="M237" s="337"/>
      <c r="N237" s="336"/>
      <c r="O237" s="336"/>
      <c r="P237" s="336"/>
      <c r="Q237" s="336"/>
      <c r="R237" s="336"/>
      <c r="S237" s="336"/>
      <c r="T237" s="336"/>
      <c r="U237" s="336"/>
      <c r="V237" s="336"/>
      <c r="W237" s="336"/>
      <c r="X237" s="336"/>
      <c r="Y237" s="336"/>
      <c r="Z237" s="336"/>
      <c r="AA237" s="336"/>
      <c r="AB237" s="338"/>
      <c r="AC237" s="338"/>
      <c r="AD237" s="338"/>
      <c r="AE237" s="336"/>
      <c r="AF237" s="336"/>
      <c r="AG237" s="338"/>
      <c r="AH237" s="336"/>
      <c r="AI237" s="338"/>
      <c r="AJ237" s="336"/>
      <c r="AK237" s="338"/>
      <c r="AL237" s="338"/>
      <c r="AM237" s="336"/>
      <c r="AN237" s="336"/>
      <c r="AO237" s="336"/>
      <c r="AP237" s="336"/>
      <c r="AQ237" s="336"/>
      <c r="AR237" s="336"/>
      <c r="AS237" s="336"/>
    </row>
    <row r="238" spans="1:45" ht="24" customHeight="1">
      <c r="A238" s="336"/>
      <c r="B238" s="336"/>
      <c r="C238" s="338"/>
      <c r="D238" s="338"/>
      <c r="E238" s="338"/>
      <c r="F238" s="337"/>
      <c r="G238" s="336"/>
      <c r="H238" s="336"/>
      <c r="I238" s="336"/>
      <c r="J238" s="338"/>
      <c r="K238" s="337"/>
      <c r="L238" s="338"/>
      <c r="M238" s="337"/>
      <c r="N238" s="336"/>
      <c r="O238" s="336"/>
      <c r="P238" s="336"/>
      <c r="Q238" s="336"/>
      <c r="R238" s="336"/>
      <c r="S238" s="336"/>
      <c r="T238" s="336"/>
      <c r="U238" s="336"/>
      <c r="V238" s="336"/>
      <c r="W238" s="336"/>
      <c r="X238" s="336"/>
      <c r="Y238" s="336"/>
      <c r="Z238" s="336"/>
      <c r="AA238" s="336"/>
      <c r="AB238" s="338"/>
      <c r="AC238" s="338"/>
      <c r="AD238" s="338"/>
      <c r="AE238" s="336"/>
      <c r="AF238" s="336"/>
      <c r="AG238" s="338"/>
      <c r="AH238" s="336"/>
      <c r="AI238" s="338"/>
      <c r="AJ238" s="336"/>
      <c r="AK238" s="338"/>
      <c r="AL238" s="338"/>
      <c r="AM238" s="336"/>
      <c r="AN238" s="336"/>
      <c r="AO238" s="336"/>
      <c r="AP238" s="336"/>
      <c r="AQ238" s="336"/>
      <c r="AR238" s="336"/>
      <c r="AS238" s="336"/>
    </row>
    <row r="239" spans="1:45" ht="24" customHeight="1">
      <c r="A239" s="336"/>
      <c r="B239" s="336"/>
      <c r="C239" s="338"/>
      <c r="D239" s="338"/>
      <c r="E239" s="338"/>
      <c r="F239" s="337"/>
      <c r="G239" s="336"/>
      <c r="H239" s="336"/>
      <c r="I239" s="336"/>
      <c r="J239" s="338"/>
      <c r="K239" s="337"/>
      <c r="L239" s="338"/>
      <c r="M239" s="337"/>
      <c r="N239" s="336"/>
      <c r="O239" s="336"/>
      <c r="P239" s="336"/>
      <c r="Q239" s="336"/>
      <c r="R239" s="336"/>
      <c r="S239" s="336"/>
      <c r="T239" s="336"/>
      <c r="U239" s="336"/>
      <c r="V239" s="336"/>
      <c r="W239" s="336"/>
      <c r="X239" s="336"/>
      <c r="Y239" s="336"/>
      <c r="Z239" s="336"/>
      <c r="AA239" s="336"/>
      <c r="AB239" s="338"/>
      <c r="AC239" s="338"/>
      <c r="AD239" s="338"/>
      <c r="AE239" s="336"/>
      <c r="AF239" s="336"/>
      <c r="AG239" s="338"/>
      <c r="AH239" s="336"/>
      <c r="AI239" s="338"/>
      <c r="AJ239" s="336"/>
      <c r="AK239" s="338"/>
      <c r="AL239" s="338"/>
      <c r="AM239" s="336"/>
      <c r="AN239" s="336"/>
      <c r="AO239" s="336"/>
      <c r="AP239" s="336"/>
      <c r="AQ239" s="336"/>
      <c r="AR239" s="336"/>
      <c r="AS239" s="336"/>
    </row>
    <row r="240" spans="1:45" ht="24" customHeight="1">
      <c r="A240" s="336"/>
      <c r="B240" s="336"/>
      <c r="C240" s="338"/>
      <c r="D240" s="338"/>
      <c r="E240" s="338"/>
      <c r="F240" s="337"/>
      <c r="G240" s="336"/>
      <c r="H240" s="336"/>
      <c r="I240" s="336"/>
      <c r="J240" s="338"/>
      <c r="K240" s="337"/>
      <c r="L240" s="338"/>
      <c r="M240" s="337"/>
      <c r="N240" s="336"/>
      <c r="O240" s="336"/>
      <c r="P240" s="336"/>
      <c r="Q240" s="336"/>
      <c r="R240" s="336"/>
      <c r="S240" s="336"/>
      <c r="T240" s="336"/>
      <c r="U240" s="336"/>
      <c r="V240" s="336"/>
      <c r="W240" s="336"/>
      <c r="X240" s="336"/>
      <c r="Y240" s="336"/>
      <c r="Z240" s="336"/>
      <c r="AA240" s="336"/>
      <c r="AB240" s="338"/>
      <c r="AC240" s="338"/>
      <c r="AD240" s="338"/>
      <c r="AE240" s="336"/>
      <c r="AF240" s="336"/>
      <c r="AG240" s="338"/>
      <c r="AH240" s="336"/>
      <c r="AI240" s="338"/>
      <c r="AJ240" s="336"/>
      <c r="AK240" s="338"/>
      <c r="AL240" s="338"/>
      <c r="AM240" s="336"/>
      <c r="AN240" s="336"/>
      <c r="AO240" s="336"/>
      <c r="AP240" s="336"/>
      <c r="AQ240" s="336"/>
      <c r="AR240" s="336"/>
      <c r="AS240" s="336"/>
    </row>
    <row r="241" spans="1:45" ht="24" customHeight="1">
      <c r="A241" s="336"/>
      <c r="B241" s="336"/>
      <c r="C241" s="338"/>
      <c r="D241" s="338"/>
      <c r="E241" s="338"/>
      <c r="F241" s="337"/>
      <c r="G241" s="336"/>
      <c r="H241" s="336"/>
      <c r="I241" s="336"/>
      <c r="J241" s="338"/>
      <c r="K241" s="337"/>
      <c r="L241" s="338"/>
      <c r="M241" s="337"/>
      <c r="N241" s="336"/>
      <c r="O241" s="336"/>
      <c r="P241" s="336"/>
      <c r="Q241" s="336"/>
      <c r="R241" s="336"/>
      <c r="S241" s="336"/>
      <c r="T241" s="336"/>
      <c r="U241" s="336"/>
      <c r="V241" s="336"/>
      <c r="W241" s="336"/>
      <c r="X241" s="336"/>
      <c r="Y241" s="336"/>
      <c r="Z241" s="336"/>
      <c r="AA241" s="336"/>
      <c r="AB241" s="338"/>
      <c r="AC241" s="338"/>
      <c r="AD241" s="338"/>
      <c r="AE241" s="336"/>
      <c r="AF241" s="336"/>
      <c r="AG241" s="338"/>
      <c r="AH241" s="336"/>
      <c r="AI241" s="338"/>
      <c r="AJ241" s="336"/>
      <c r="AK241" s="338"/>
      <c r="AL241" s="338"/>
      <c r="AM241" s="336"/>
      <c r="AN241" s="336"/>
      <c r="AO241" s="336"/>
      <c r="AP241" s="336"/>
      <c r="AQ241" s="336"/>
      <c r="AR241" s="336"/>
      <c r="AS241" s="336"/>
    </row>
    <row r="242" spans="1:45" ht="24" customHeight="1">
      <c r="A242" s="336"/>
      <c r="B242" s="336"/>
      <c r="C242" s="338"/>
      <c r="D242" s="338"/>
      <c r="E242" s="338"/>
      <c r="F242" s="337"/>
      <c r="G242" s="336"/>
      <c r="H242" s="336"/>
      <c r="I242" s="336"/>
      <c r="J242" s="338"/>
      <c r="K242" s="337"/>
      <c r="L242" s="338"/>
      <c r="M242" s="337"/>
      <c r="N242" s="336"/>
      <c r="O242" s="336"/>
      <c r="P242" s="336"/>
      <c r="Q242" s="336"/>
      <c r="R242" s="336"/>
      <c r="S242" s="336"/>
      <c r="T242" s="336"/>
      <c r="U242" s="336"/>
      <c r="V242" s="336"/>
      <c r="W242" s="336"/>
      <c r="X242" s="336"/>
      <c r="Y242" s="336"/>
      <c r="Z242" s="336"/>
      <c r="AA242" s="336"/>
      <c r="AB242" s="338"/>
      <c r="AC242" s="338"/>
      <c r="AD242" s="338"/>
      <c r="AE242" s="336"/>
      <c r="AF242" s="336"/>
      <c r="AG242" s="338"/>
      <c r="AH242" s="336"/>
      <c r="AI242" s="338"/>
      <c r="AJ242" s="336"/>
      <c r="AK242" s="338"/>
      <c r="AL242" s="338"/>
      <c r="AM242" s="336"/>
      <c r="AN242" s="336"/>
      <c r="AO242" s="336"/>
      <c r="AP242" s="336"/>
      <c r="AQ242" s="336"/>
      <c r="AR242" s="336"/>
      <c r="AS242" s="336"/>
    </row>
    <row r="243" spans="1:45" ht="24" customHeight="1">
      <c r="A243" s="336"/>
      <c r="B243" s="336"/>
      <c r="C243" s="338"/>
      <c r="D243" s="338"/>
      <c r="E243" s="338"/>
      <c r="F243" s="337"/>
      <c r="G243" s="336"/>
      <c r="H243" s="336"/>
      <c r="I243" s="336"/>
      <c r="J243" s="338"/>
      <c r="K243" s="337"/>
      <c r="L243" s="338"/>
      <c r="M243" s="337"/>
      <c r="N243" s="336"/>
      <c r="O243" s="336"/>
      <c r="P243" s="336"/>
      <c r="Q243" s="336"/>
      <c r="R243" s="336"/>
      <c r="S243" s="336"/>
      <c r="T243" s="336"/>
      <c r="U243" s="336"/>
      <c r="V243" s="336"/>
      <c r="W243" s="336"/>
      <c r="X243" s="336"/>
      <c r="Y243" s="336"/>
      <c r="Z243" s="336"/>
      <c r="AA243" s="336"/>
      <c r="AB243" s="338"/>
      <c r="AC243" s="338"/>
      <c r="AD243" s="338"/>
      <c r="AE243" s="336"/>
      <c r="AF243" s="336"/>
      <c r="AG243" s="338"/>
      <c r="AH243" s="336"/>
      <c r="AI243" s="338"/>
      <c r="AJ243" s="336"/>
      <c r="AK243" s="338"/>
      <c r="AL243" s="338"/>
      <c r="AM243" s="336"/>
      <c r="AN243" s="336"/>
      <c r="AO243" s="336"/>
      <c r="AP243" s="336"/>
      <c r="AQ243" s="336"/>
      <c r="AR243" s="336"/>
      <c r="AS243" s="336"/>
    </row>
    <row r="244" spans="1:45" ht="24" customHeight="1">
      <c r="A244" s="336"/>
      <c r="B244" s="336"/>
      <c r="C244" s="338"/>
      <c r="D244" s="338"/>
      <c r="E244" s="338"/>
      <c r="F244" s="337"/>
      <c r="G244" s="336"/>
      <c r="H244" s="336"/>
      <c r="I244" s="336"/>
      <c r="J244" s="338"/>
      <c r="K244" s="337"/>
      <c r="L244" s="338"/>
      <c r="M244" s="337"/>
      <c r="N244" s="336"/>
      <c r="O244" s="336"/>
      <c r="P244" s="336"/>
      <c r="Q244" s="336"/>
      <c r="R244" s="336"/>
      <c r="S244" s="336"/>
      <c r="T244" s="336"/>
      <c r="U244" s="336"/>
      <c r="V244" s="336"/>
      <c r="W244" s="336"/>
      <c r="X244" s="336"/>
      <c r="Y244" s="336"/>
      <c r="Z244" s="336"/>
      <c r="AA244" s="336"/>
      <c r="AB244" s="338"/>
      <c r="AC244" s="338"/>
      <c r="AD244" s="338"/>
      <c r="AE244" s="336"/>
      <c r="AF244" s="336"/>
      <c r="AG244" s="338"/>
      <c r="AH244" s="336"/>
      <c r="AI244" s="338"/>
      <c r="AJ244" s="336"/>
      <c r="AK244" s="338"/>
      <c r="AL244" s="338"/>
      <c r="AM244" s="336"/>
      <c r="AN244" s="336"/>
      <c r="AO244" s="336"/>
      <c r="AP244" s="336"/>
      <c r="AQ244" s="336"/>
      <c r="AR244" s="336"/>
      <c r="AS244" s="336"/>
    </row>
    <row r="245" spans="1:45" ht="24" customHeight="1">
      <c r="A245" s="336"/>
      <c r="B245" s="336"/>
      <c r="C245" s="338"/>
      <c r="D245" s="338"/>
      <c r="E245" s="338"/>
      <c r="F245" s="337"/>
      <c r="G245" s="336"/>
      <c r="H245" s="336"/>
      <c r="I245" s="336"/>
      <c r="J245" s="338"/>
      <c r="K245" s="337"/>
      <c r="L245" s="338"/>
      <c r="M245" s="337"/>
      <c r="N245" s="336"/>
      <c r="O245" s="336"/>
      <c r="P245" s="336"/>
      <c r="Q245" s="336"/>
      <c r="R245" s="336"/>
      <c r="S245" s="336"/>
      <c r="T245" s="336"/>
      <c r="U245" s="336"/>
      <c r="V245" s="336"/>
      <c r="W245" s="336"/>
      <c r="X245" s="336"/>
      <c r="Y245" s="336"/>
      <c r="Z245" s="336"/>
      <c r="AA245" s="336"/>
      <c r="AB245" s="338"/>
      <c r="AC245" s="338"/>
      <c r="AD245" s="338"/>
      <c r="AE245" s="336"/>
      <c r="AF245" s="336"/>
      <c r="AG245" s="338"/>
      <c r="AH245" s="336"/>
      <c r="AI245" s="338"/>
      <c r="AJ245" s="336"/>
      <c r="AK245" s="338"/>
      <c r="AL245" s="338"/>
      <c r="AM245" s="336"/>
      <c r="AN245" s="336"/>
      <c r="AO245" s="336"/>
      <c r="AP245" s="336"/>
      <c r="AQ245" s="336"/>
      <c r="AR245" s="336"/>
      <c r="AS245" s="336"/>
    </row>
    <row r="246" spans="1:45" ht="24" customHeight="1">
      <c r="A246" s="336"/>
      <c r="B246" s="336"/>
      <c r="C246" s="338"/>
      <c r="D246" s="338"/>
      <c r="E246" s="338"/>
      <c r="F246" s="337"/>
      <c r="G246" s="336"/>
      <c r="H246" s="336"/>
      <c r="I246" s="336"/>
      <c r="J246" s="338"/>
      <c r="K246" s="337"/>
      <c r="L246" s="338"/>
      <c r="M246" s="337"/>
      <c r="N246" s="336"/>
      <c r="O246" s="336"/>
      <c r="P246" s="336"/>
      <c r="Q246" s="336"/>
      <c r="R246" s="336"/>
      <c r="S246" s="336"/>
      <c r="T246" s="336"/>
      <c r="U246" s="336"/>
      <c r="V246" s="336"/>
      <c r="W246" s="336"/>
      <c r="X246" s="336"/>
      <c r="Y246" s="336"/>
      <c r="Z246" s="336"/>
      <c r="AA246" s="336"/>
      <c r="AB246" s="338"/>
      <c r="AC246" s="338"/>
      <c r="AD246" s="338"/>
      <c r="AE246" s="336"/>
      <c r="AF246" s="336"/>
      <c r="AG246" s="338"/>
      <c r="AH246" s="336"/>
      <c r="AI246" s="338"/>
      <c r="AJ246" s="336"/>
      <c r="AK246" s="338"/>
      <c r="AL246" s="338"/>
      <c r="AM246" s="336"/>
      <c r="AN246" s="336"/>
      <c r="AO246" s="336"/>
      <c r="AP246" s="336"/>
      <c r="AQ246" s="336"/>
      <c r="AR246" s="336"/>
      <c r="AS246" s="336"/>
    </row>
    <row r="247" spans="1:45" ht="24" customHeight="1">
      <c r="A247" s="336"/>
      <c r="B247" s="336"/>
      <c r="C247" s="338"/>
      <c r="D247" s="338"/>
      <c r="E247" s="338"/>
      <c r="F247" s="337"/>
      <c r="G247" s="336"/>
      <c r="H247" s="336"/>
      <c r="I247" s="336"/>
      <c r="J247" s="338"/>
      <c r="K247" s="337"/>
      <c r="L247" s="338"/>
      <c r="M247" s="337"/>
      <c r="N247" s="336"/>
      <c r="O247" s="336"/>
      <c r="P247" s="336"/>
      <c r="Q247" s="336"/>
      <c r="R247" s="336"/>
      <c r="S247" s="336"/>
      <c r="T247" s="336"/>
      <c r="U247" s="336"/>
      <c r="V247" s="336"/>
      <c r="W247" s="336"/>
      <c r="X247" s="336"/>
      <c r="Y247" s="336"/>
      <c r="Z247" s="336"/>
      <c r="AA247" s="336"/>
      <c r="AB247" s="338"/>
      <c r="AC247" s="338"/>
      <c r="AD247" s="338"/>
      <c r="AE247" s="336"/>
      <c r="AF247" s="336"/>
      <c r="AG247" s="338"/>
      <c r="AH247" s="336"/>
      <c r="AI247" s="338"/>
      <c r="AJ247" s="336"/>
      <c r="AK247" s="338"/>
      <c r="AL247" s="338"/>
      <c r="AM247" s="336"/>
      <c r="AN247" s="336"/>
      <c r="AO247" s="336"/>
      <c r="AP247" s="336"/>
      <c r="AQ247" s="336"/>
      <c r="AR247" s="336"/>
      <c r="AS247" s="336"/>
    </row>
    <row r="248" spans="1:45" ht="24" customHeight="1">
      <c r="A248" s="336"/>
      <c r="B248" s="336"/>
      <c r="C248" s="338"/>
      <c r="D248" s="338"/>
      <c r="E248" s="338"/>
      <c r="F248" s="337"/>
      <c r="G248" s="336"/>
      <c r="H248" s="336"/>
      <c r="I248" s="336"/>
      <c r="J248" s="338"/>
      <c r="K248" s="337"/>
      <c r="L248" s="338"/>
      <c r="M248" s="337"/>
      <c r="N248" s="336"/>
      <c r="O248" s="336"/>
      <c r="P248" s="336"/>
      <c r="Q248" s="336"/>
      <c r="R248" s="336"/>
      <c r="S248" s="336"/>
      <c r="T248" s="336"/>
      <c r="U248" s="336"/>
      <c r="V248" s="336"/>
      <c r="W248" s="336"/>
      <c r="X248" s="336"/>
      <c r="Y248" s="336"/>
      <c r="Z248" s="336"/>
      <c r="AA248" s="336"/>
      <c r="AB248" s="338"/>
      <c r="AC248" s="338"/>
      <c r="AD248" s="338"/>
      <c r="AE248" s="336"/>
      <c r="AF248" s="336"/>
      <c r="AG248" s="338"/>
      <c r="AH248" s="336"/>
      <c r="AI248" s="338"/>
      <c r="AJ248" s="336"/>
      <c r="AK248" s="338"/>
      <c r="AL248" s="338"/>
      <c r="AM248" s="336"/>
      <c r="AN248" s="336"/>
      <c r="AO248" s="336"/>
      <c r="AP248" s="336"/>
      <c r="AQ248" s="336"/>
      <c r="AR248" s="336"/>
      <c r="AS248" s="336"/>
    </row>
    <row r="249" spans="1:45" ht="24" customHeight="1">
      <c r="A249" s="336"/>
      <c r="B249" s="336"/>
      <c r="C249" s="338"/>
      <c r="D249" s="338"/>
      <c r="E249" s="338"/>
      <c r="F249" s="337"/>
      <c r="G249" s="336"/>
      <c r="H249" s="336"/>
      <c r="I249" s="336"/>
      <c r="J249" s="338"/>
      <c r="K249" s="337"/>
      <c r="L249" s="338"/>
      <c r="M249" s="337"/>
      <c r="N249" s="336"/>
      <c r="O249" s="336"/>
      <c r="P249" s="336"/>
      <c r="Q249" s="336"/>
      <c r="R249" s="336"/>
      <c r="S249" s="336"/>
      <c r="T249" s="336"/>
      <c r="U249" s="336"/>
      <c r="V249" s="336"/>
      <c r="W249" s="336"/>
      <c r="X249" s="336"/>
      <c r="Y249" s="336"/>
      <c r="Z249" s="336"/>
      <c r="AA249" s="336"/>
      <c r="AB249" s="338"/>
      <c r="AC249" s="338"/>
      <c r="AD249" s="338"/>
      <c r="AE249" s="336"/>
      <c r="AF249" s="336"/>
      <c r="AG249" s="338"/>
      <c r="AH249" s="336"/>
      <c r="AI249" s="338"/>
      <c r="AJ249" s="336"/>
      <c r="AK249" s="338"/>
      <c r="AL249" s="338"/>
      <c r="AM249" s="336"/>
      <c r="AN249" s="336"/>
      <c r="AO249" s="336"/>
      <c r="AP249" s="336"/>
      <c r="AQ249" s="336"/>
      <c r="AR249" s="336"/>
      <c r="AS249" s="336"/>
    </row>
    <row r="250" spans="1:45" ht="24" customHeight="1">
      <c r="A250" s="336"/>
      <c r="B250" s="336"/>
      <c r="C250" s="338"/>
      <c r="D250" s="338"/>
      <c r="E250" s="338"/>
      <c r="F250" s="337"/>
      <c r="G250" s="336"/>
      <c r="H250" s="336"/>
      <c r="I250" s="336"/>
      <c r="J250" s="338"/>
      <c r="K250" s="337"/>
      <c r="L250" s="338"/>
      <c r="M250" s="337"/>
      <c r="N250" s="336"/>
      <c r="O250" s="336"/>
      <c r="P250" s="336"/>
      <c r="Q250" s="336"/>
      <c r="R250" s="336"/>
      <c r="S250" s="336"/>
      <c r="T250" s="336"/>
      <c r="U250" s="336"/>
      <c r="V250" s="336"/>
      <c r="W250" s="336"/>
      <c r="X250" s="336"/>
      <c r="Y250" s="336"/>
      <c r="Z250" s="336"/>
      <c r="AA250" s="336"/>
      <c r="AB250" s="338"/>
      <c r="AC250" s="338"/>
      <c r="AD250" s="338"/>
      <c r="AE250" s="336"/>
      <c r="AF250" s="336"/>
      <c r="AG250" s="338"/>
      <c r="AH250" s="336"/>
      <c r="AI250" s="338"/>
      <c r="AJ250" s="336"/>
      <c r="AK250" s="338"/>
      <c r="AL250" s="338"/>
      <c r="AM250" s="336"/>
      <c r="AN250" s="336"/>
      <c r="AO250" s="336"/>
      <c r="AP250" s="336"/>
      <c r="AQ250" s="336"/>
      <c r="AR250" s="336"/>
      <c r="AS250" s="336"/>
    </row>
    <row r="251" spans="1:45" ht="24" customHeight="1">
      <c r="A251" s="336"/>
      <c r="B251" s="336"/>
      <c r="C251" s="338"/>
      <c r="D251" s="338"/>
      <c r="E251" s="338"/>
      <c r="F251" s="337"/>
      <c r="G251" s="336"/>
      <c r="H251" s="336"/>
      <c r="I251" s="336"/>
      <c r="J251" s="338"/>
      <c r="K251" s="337"/>
      <c r="L251" s="338"/>
      <c r="M251" s="337"/>
      <c r="N251" s="336"/>
      <c r="O251" s="336"/>
      <c r="P251" s="336"/>
      <c r="Q251" s="336"/>
      <c r="R251" s="336"/>
      <c r="S251" s="336"/>
      <c r="T251" s="336"/>
      <c r="U251" s="336"/>
      <c r="V251" s="336"/>
      <c r="W251" s="336"/>
      <c r="X251" s="336"/>
      <c r="Y251" s="336"/>
      <c r="Z251" s="336"/>
      <c r="AA251" s="336"/>
      <c r="AB251" s="338"/>
      <c r="AC251" s="338"/>
      <c r="AD251" s="338"/>
      <c r="AE251" s="336"/>
      <c r="AF251" s="336"/>
      <c r="AG251" s="338"/>
      <c r="AH251" s="336"/>
      <c r="AI251" s="338"/>
      <c r="AJ251" s="336"/>
      <c r="AK251" s="338"/>
      <c r="AL251" s="338"/>
      <c r="AM251" s="336"/>
      <c r="AN251" s="336"/>
      <c r="AO251" s="336"/>
      <c r="AP251" s="336"/>
      <c r="AQ251" s="336"/>
      <c r="AR251" s="336"/>
      <c r="AS251" s="336"/>
    </row>
    <row r="252" spans="1:45" ht="24" customHeight="1">
      <c r="A252" s="336"/>
      <c r="B252" s="336"/>
      <c r="C252" s="338"/>
      <c r="D252" s="338"/>
      <c r="E252" s="338"/>
      <c r="F252" s="337"/>
      <c r="G252" s="336"/>
      <c r="H252" s="336"/>
      <c r="I252" s="336"/>
      <c r="J252" s="338"/>
      <c r="K252" s="337"/>
      <c r="L252" s="338"/>
      <c r="M252" s="337"/>
      <c r="N252" s="336"/>
      <c r="O252" s="336"/>
      <c r="P252" s="336"/>
      <c r="Q252" s="336"/>
      <c r="R252" s="336"/>
      <c r="S252" s="336"/>
      <c r="T252" s="336"/>
      <c r="U252" s="336"/>
      <c r="V252" s="336"/>
      <c r="W252" s="336"/>
      <c r="X252" s="336"/>
      <c r="Y252" s="336"/>
      <c r="Z252" s="336"/>
      <c r="AA252" s="336"/>
      <c r="AB252" s="338"/>
      <c r="AC252" s="338"/>
      <c r="AD252" s="338"/>
      <c r="AE252" s="336"/>
      <c r="AF252" s="336"/>
      <c r="AG252" s="338"/>
      <c r="AH252" s="336"/>
      <c r="AI252" s="338"/>
      <c r="AJ252" s="336"/>
      <c r="AK252" s="338"/>
      <c r="AL252" s="338"/>
      <c r="AM252" s="336"/>
      <c r="AN252" s="336"/>
      <c r="AO252" s="336"/>
      <c r="AP252" s="336"/>
      <c r="AQ252" s="336"/>
      <c r="AR252" s="336"/>
      <c r="AS252" s="336"/>
    </row>
    <row r="253" spans="1:45" ht="24" customHeight="1">
      <c r="A253" s="336"/>
      <c r="B253" s="336"/>
      <c r="C253" s="338"/>
      <c r="D253" s="338"/>
      <c r="E253" s="338"/>
      <c r="F253" s="337"/>
      <c r="G253" s="336"/>
      <c r="H253" s="336"/>
      <c r="I253" s="336"/>
      <c r="J253" s="338"/>
      <c r="K253" s="337"/>
      <c r="L253" s="338"/>
      <c r="M253" s="337"/>
      <c r="N253" s="336"/>
      <c r="O253" s="336"/>
      <c r="P253" s="336"/>
      <c r="Q253" s="336"/>
      <c r="R253" s="336"/>
      <c r="S253" s="336"/>
      <c r="T253" s="336"/>
      <c r="U253" s="336"/>
      <c r="V253" s="336"/>
      <c r="W253" s="336"/>
      <c r="X253" s="336"/>
      <c r="Y253" s="336"/>
      <c r="Z253" s="336"/>
      <c r="AA253" s="336"/>
      <c r="AB253" s="338"/>
      <c r="AC253" s="338"/>
      <c r="AD253" s="338"/>
      <c r="AE253" s="336"/>
      <c r="AF253" s="336"/>
      <c r="AG253" s="338"/>
      <c r="AH253" s="336"/>
      <c r="AI253" s="338"/>
      <c r="AJ253" s="336"/>
      <c r="AK253" s="338"/>
      <c r="AL253" s="338"/>
      <c r="AM253" s="336"/>
      <c r="AN253" s="336"/>
      <c r="AO253" s="336"/>
      <c r="AP253" s="336"/>
      <c r="AQ253" s="336"/>
      <c r="AR253" s="336"/>
      <c r="AS253" s="336"/>
    </row>
    <row r="254" spans="1:45" ht="24" customHeight="1">
      <c r="A254" s="336"/>
      <c r="B254" s="336"/>
      <c r="C254" s="338"/>
      <c r="D254" s="338"/>
      <c r="E254" s="338"/>
      <c r="F254" s="337"/>
      <c r="G254" s="336"/>
      <c r="H254" s="336"/>
      <c r="I254" s="336"/>
      <c r="J254" s="338"/>
      <c r="K254" s="337"/>
      <c r="L254" s="338"/>
      <c r="M254" s="337"/>
      <c r="N254" s="336"/>
      <c r="O254" s="336"/>
      <c r="P254" s="336"/>
      <c r="Q254" s="336"/>
      <c r="R254" s="336"/>
      <c r="S254" s="336"/>
      <c r="T254" s="336"/>
      <c r="U254" s="336"/>
      <c r="V254" s="336"/>
      <c r="W254" s="336"/>
      <c r="X254" s="336"/>
      <c r="Y254" s="336"/>
      <c r="Z254" s="336"/>
      <c r="AA254" s="336"/>
      <c r="AB254" s="338"/>
      <c r="AC254" s="338"/>
      <c r="AD254" s="338"/>
      <c r="AE254" s="336"/>
      <c r="AF254" s="336"/>
      <c r="AG254" s="338"/>
      <c r="AH254" s="336"/>
      <c r="AI254" s="338"/>
      <c r="AJ254" s="336"/>
      <c r="AK254" s="338"/>
      <c r="AL254" s="338"/>
      <c r="AM254" s="336"/>
      <c r="AN254" s="336"/>
      <c r="AO254" s="336"/>
      <c r="AP254" s="336"/>
      <c r="AQ254" s="336"/>
      <c r="AR254" s="336"/>
      <c r="AS254" s="336"/>
    </row>
    <row r="255" spans="1:45" ht="24" customHeight="1">
      <c r="A255" s="336"/>
      <c r="B255" s="336"/>
      <c r="C255" s="338"/>
      <c r="D255" s="338"/>
      <c r="E255" s="338"/>
      <c r="F255" s="337"/>
      <c r="G255" s="336"/>
      <c r="H255" s="336"/>
      <c r="I255" s="336"/>
      <c r="J255" s="338"/>
      <c r="K255" s="337"/>
      <c r="L255" s="338"/>
      <c r="M255" s="337"/>
      <c r="N255" s="336"/>
      <c r="O255" s="336"/>
      <c r="P255" s="336"/>
      <c r="Q255" s="336"/>
      <c r="R255" s="336"/>
      <c r="S255" s="336"/>
      <c r="T255" s="336"/>
      <c r="U255" s="336"/>
      <c r="V255" s="336"/>
      <c r="W255" s="336"/>
      <c r="X255" s="336"/>
      <c r="Y255" s="336"/>
      <c r="Z255" s="336"/>
      <c r="AA255" s="336"/>
      <c r="AB255" s="338"/>
      <c r="AC255" s="338"/>
      <c r="AD255" s="338"/>
      <c r="AE255" s="336"/>
      <c r="AF255" s="336"/>
      <c r="AG255" s="338"/>
      <c r="AH255" s="336"/>
      <c r="AI255" s="338"/>
      <c r="AJ255" s="336"/>
      <c r="AK255" s="338"/>
      <c r="AL255" s="338"/>
      <c r="AM255" s="336"/>
      <c r="AN255" s="336"/>
      <c r="AO255" s="336"/>
      <c r="AP255" s="336"/>
      <c r="AQ255" s="336"/>
      <c r="AR255" s="336"/>
      <c r="AS255" s="336"/>
    </row>
    <row r="256" spans="1:45" ht="24" customHeight="1">
      <c r="A256" s="336"/>
      <c r="B256" s="336"/>
      <c r="C256" s="338"/>
      <c r="D256" s="338"/>
      <c r="E256" s="338"/>
      <c r="F256" s="337"/>
      <c r="G256" s="336"/>
      <c r="H256" s="336"/>
      <c r="I256" s="336"/>
      <c r="J256" s="338"/>
      <c r="K256" s="337"/>
      <c r="L256" s="338"/>
      <c r="M256" s="337"/>
      <c r="N256" s="336"/>
      <c r="O256" s="336"/>
      <c r="P256" s="336"/>
      <c r="Q256" s="336"/>
      <c r="R256" s="336"/>
      <c r="S256" s="336"/>
      <c r="T256" s="336"/>
      <c r="U256" s="336"/>
      <c r="V256" s="336"/>
      <c r="W256" s="336"/>
      <c r="X256" s="336"/>
      <c r="Y256" s="336"/>
      <c r="Z256" s="336"/>
      <c r="AA256" s="336"/>
      <c r="AB256" s="338"/>
      <c r="AC256" s="338"/>
      <c r="AD256" s="338"/>
      <c r="AE256" s="336"/>
      <c r="AF256" s="336"/>
      <c r="AG256" s="338"/>
      <c r="AH256" s="336"/>
      <c r="AI256" s="338"/>
      <c r="AJ256" s="336"/>
      <c r="AK256" s="338"/>
      <c r="AL256" s="338"/>
      <c r="AM256" s="336"/>
      <c r="AN256" s="336"/>
      <c r="AO256" s="336"/>
      <c r="AP256" s="336"/>
      <c r="AQ256" s="336"/>
      <c r="AR256" s="336"/>
      <c r="AS256" s="336"/>
    </row>
    <row r="257" spans="1:45" ht="24" customHeight="1">
      <c r="A257" s="336"/>
      <c r="B257" s="336"/>
      <c r="C257" s="338"/>
      <c r="D257" s="338"/>
      <c r="E257" s="338"/>
      <c r="F257" s="337"/>
      <c r="G257" s="336"/>
      <c r="H257" s="336"/>
      <c r="I257" s="336"/>
      <c r="J257" s="338"/>
      <c r="K257" s="337"/>
      <c r="L257" s="338"/>
      <c r="M257" s="337"/>
      <c r="N257" s="336"/>
      <c r="O257" s="336"/>
      <c r="P257" s="336"/>
      <c r="Q257" s="336"/>
      <c r="R257" s="336"/>
      <c r="S257" s="336"/>
      <c r="T257" s="336"/>
      <c r="U257" s="336"/>
      <c r="V257" s="336"/>
      <c r="W257" s="336"/>
      <c r="X257" s="336"/>
      <c r="Y257" s="336"/>
      <c r="Z257" s="336"/>
      <c r="AA257" s="336"/>
      <c r="AB257" s="338"/>
      <c r="AC257" s="338"/>
      <c r="AD257" s="338"/>
      <c r="AE257" s="336"/>
      <c r="AF257" s="336"/>
      <c r="AG257" s="338"/>
      <c r="AH257" s="336"/>
      <c r="AI257" s="338"/>
      <c r="AJ257" s="336"/>
      <c r="AK257" s="338"/>
      <c r="AL257" s="338"/>
      <c r="AM257" s="336"/>
      <c r="AN257" s="336"/>
      <c r="AO257" s="336"/>
      <c r="AP257" s="336"/>
      <c r="AQ257" s="336"/>
      <c r="AR257" s="336"/>
      <c r="AS257" s="336"/>
    </row>
    <row r="258" spans="1:45" ht="24" customHeight="1">
      <c r="A258" s="336"/>
      <c r="B258" s="336"/>
      <c r="C258" s="338"/>
      <c r="D258" s="338"/>
      <c r="E258" s="338"/>
      <c r="F258" s="337"/>
      <c r="G258" s="336"/>
      <c r="H258" s="336"/>
      <c r="I258" s="336"/>
      <c r="J258" s="338"/>
      <c r="K258" s="337"/>
      <c r="L258" s="338"/>
      <c r="M258" s="337"/>
      <c r="N258" s="336"/>
      <c r="O258" s="336"/>
      <c r="P258" s="336"/>
      <c r="Q258" s="336"/>
      <c r="R258" s="336"/>
      <c r="S258" s="336"/>
      <c r="T258" s="336"/>
      <c r="U258" s="336"/>
      <c r="V258" s="336"/>
      <c r="W258" s="336"/>
      <c r="X258" s="336"/>
      <c r="Y258" s="336"/>
      <c r="Z258" s="336"/>
      <c r="AA258" s="336"/>
      <c r="AB258" s="338"/>
      <c r="AC258" s="338"/>
      <c r="AD258" s="338"/>
      <c r="AE258" s="336"/>
      <c r="AF258" s="336"/>
      <c r="AG258" s="338"/>
      <c r="AH258" s="336"/>
      <c r="AI258" s="338"/>
      <c r="AJ258" s="336"/>
      <c r="AK258" s="338"/>
      <c r="AL258" s="338"/>
      <c r="AM258" s="336"/>
      <c r="AN258" s="336"/>
      <c r="AO258" s="336"/>
      <c r="AP258" s="336"/>
      <c r="AQ258" s="336"/>
      <c r="AR258" s="336"/>
      <c r="AS258" s="336"/>
    </row>
    <row r="259" spans="1:45" ht="24" customHeight="1">
      <c r="A259" s="336"/>
      <c r="B259" s="336"/>
      <c r="C259" s="338"/>
      <c r="D259" s="338"/>
      <c r="E259" s="338"/>
      <c r="F259" s="337"/>
      <c r="G259" s="336"/>
      <c r="H259" s="336"/>
      <c r="I259" s="336"/>
      <c r="J259" s="338"/>
      <c r="K259" s="337"/>
      <c r="L259" s="338"/>
      <c r="M259" s="337"/>
      <c r="N259" s="336"/>
      <c r="O259" s="336"/>
      <c r="P259" s="336"/>
      <c r="Q259" s="336"/>
      <c r="R259" s="336"/>
      <c r="S259" s="336"/>
      <c r="T259" s="336"/>
      <c r="U259" s="336"/>
      <c r="V259" s="336"/>
      <c r="W259" s="336"/>
      <c r="X259" s="336"/>
      <c r="Y259" s="336"/>
      <c r="Z259" s="336"/>
      <c r="AA259" s="336"/>
      <c r="AB259" s="338"/>
      <c r="AC259" s="338"/>
      <c r="AD259" s="338"/>
      <c r="AE259" s="336"/>
      <c r="AF259" s="336"/>
      <c r="AG259" s="338"/>
      <c r="AH259" s="336"/>
      <c r="AI259" s="338"/>
      <c r="AJ259" s="336"/>
      <c r="AK259" s="338"/>
      <c r="AL259" s="338"/>
      <c r="AM259" s="336"/>
      <c r="AN259" s="336"/>
      <c r="AO259" s="336"/>
      <c r="AP259" s="336"/>
      <c r="AQ259" s="336"/>
      <c r="AR259" s="336"/>
      <c r="AS259" s="336"/>
    </row>
    <row r="260" spans="1:45" ht="24" customHeight="1">
      <c r="A260" s="336"/>
      <c r="B260" s="336"/>
      <c r="C260" s="338"/>
      <c r="D260" s="338"/>
      <c r="E260" s="338"/>
      <c r="F260" s="337"/>
      <c r="G260" s="336"/>
      <c r="H260" s="336"/>
      <c r="I260" s="336"/>
      <c r="J260" s="338"/>
      <c r="K260" s="337"/>
      <c r="L260" s="338"/>
      <c r="M260" s="337"/>
      <c r="N260" s="336"/>
      <c r="O260" s="336"/>
      <c r="P260" s="336"/>
      <c r="Q260" s="336"/>
      <c r="R260" s="336"/>
      <c r="S260" s="336"/>
      <c r="T260" s="336"/>
      <c r="U260" s="336"/>
      <c r="V260" s="336"/>
      <c r="W260" s="336"/>
      <c r="X260" s="336"/>
      <c r="Y260" s="336"/>
      <c r="Z260" s="336"/>
      <c r="AA260" s="336"/>
      <c r="AB260" s="338"/>
      <c r="AC260" s="338"/>
      <c r="AD260" s="338"/>
      <c r="AE260" s="336"/>
      <c r="AF260" s="336"/>
      <c r="AG260" s="338"/>
      <c r="AH260" s="336"/>
      <c r="AI260" s="338"/>
      <c r="AJ260" s="336"/>
      <c r="AK260" s="338"/>
      <c r="AL260" s="338"/>
      <c r="AM260" s="336"/>
      <c r="AN260" s="336"/>
      <c r="AO260" s="336"/>
      <c r="AP260" s="336"/>
      <c r="AQ260" s="336"/>
      <c r="AR260" s="336"/>
      <c r="AS260" s="336"/>
    </row>
    <row r="261" spans="1:45" ht="24" customHeight="1">
      <c r="A261" s="336"/>
      <c r="B261" s="336"/>
      <c r="C261" s="338"/>
      <c r="D261" s="338"/>
      <c r="E261" s="338"/>
      <c r="F261" s="337"/>
      <c r="G261" s="336"/>
      <c r="H261" s="336"/>
      <c r="I261" s="336"/>
      <c r="J261" s="338"/>
      <c r="K261" s="337"/>
      <c r="L261" s="338"/>
      <c r="M261" s="337"/>
      <c r="N261" s="336"/>
      <c r="O261" s="336"/>
      <c r="P261" s="336"/>
      <c r="Q261" s="336"/>
      <c r="R261" s="336"/>
      <c r="S261" s="336"/>
      <c r="T261" s="336"/>
      <c r="U261" s="336"/>
      <c r="V261" s="336"/>
      <c r="W261" s="336"/>
      <c r="X261" s="336"/>
      <c r="Y261" s="336"/>
      <c r="Z261" s="336"/>
      <c r="AA261" s="336"/>
      <c r="AB261" s="338"/>
      <c r="AC261" s="338"/>
      <c r="AD261" s="338"/>
      <c r="AE261" s="336"/>
      <c r="AF261" s="336"/>
      <c r="AG261" s="338"/>
      <c r="AH261" s="336"/>
      <c r="AI261" s="338"/>
      <c r="AJ261" s="336"/>
      <c r="AK261" s="338"/>
      <c r="AL261" s="338"/>
      <c r="AM261" s="336"/>
      <c r="AN261" s="336"/>
      <c r="AO261" s="336"/>
      <c r="AP261" s="336"/>
      <c r="AQ261" s="336"/>
      <c r="AR261" s="336"/>
      <c r="AS261" s="336"/>
    </row>
    <row r="262" spans="1:45" ht="24" customHeight="1">
      <c r="A262" s="336"/>
      <c r="B262" s="336"/>
      <c r="C262" s="338"/>
      <c r="D262" s="338"/>
      <c r="E262" s="338"/>
      <c r="F262" s="337"/>
      <c r="G262" s="336"/>
      <c r="H262" s="336"/>
      <c r="I262" s="336"/>
      <c r="J262" s="338"/>
      <c r="K262" s="337"/>
      <c r="L262" s="338"/>
      <c r="M262" s="337"/>
      <c r="N262" s="336"/>
      <c r="O262" s="336"/>
      <c r="P262" s="336"/>
      <c r="Q262" s="336"/>
      <c r="R262" s="336"/>
      <c r="S262" s="336"/>
      <c r="T262" s="336"/>
      <c r="U262" s="336"/>
      <c r="V262" s="336"/>
      <c r="W262" s="336"/>
      <c r="X262" s="336"/>
      <c r="Y262" s="336"/>
      <c r="Z262" s="336"/>
      <c r="AA262" s="336"/>
      <c r="AB262" s="338"/>
      <c r="AC262" s="338"/>
      <c r="AD262" s="338"/>
      <c r="AE262" s="336"/>
      <c r="AF262" s="336"/>
      <c r="AG262" s="338"/>
      <c r="AH262" s="336"/>
      <c r="AI262" s="338"/>
      <c r="AJ262" s="336"/>
      <c r="AK262" s="338"/>
      <c r="AL262" s="338"/>
      <c r="AM262" s="336"/>
      <c r="AN262" s="336"/>
      <c r="AO262" s="336"/>
      <c r="AP262" s="336"/>
      <c r="AQ262" s="336"/>
      <c r="AR262" s="336"/>
      <c r="AS262" s="336"/>
    </row>
    <row r="263" spans="1:45" ht="24" customHeight="1">
      <c r="A263" s="336"/>
      <c r="B263" s="336"/>
      <c r="C263" s="338"/>
      <c r="D263" s="338"/>
      <c r="E263" s="338"/>
      <c r="F263" s="337"/>
      <c r="G263" s="336"/>
      <c r="H263" s="336"/>
      <c r="I263" s="336"/>
      <c r="J263" s="338"/>
      <c r="K263" s="337"/>
      <c r="L263" s="338"/>
      <c r="M263" s="337"/>
      <c r="N263" s="336"/>
      <c r="O263" s="336"/>
      <c r="P263" s="336"/>
      <c r="Q263" s="336"/>
      <c r="R263" s="336"/>
      <c r="S263" s="336"/>
      <c r="T263" s="336"/>
      <c r="U263" s="336"/>
      <c r="V263" s="336"/>
      <c r="W263" s="336"/>
      <c r="X263" s="336"/>
      <c r="Y263" s="336"/>
      <c r="Z263" s="336"/>
      <c r="AA263" s="336"/>
      <c r="AB263" s="338"/>
      <c r="AC263" s="338"/>
      <c r="AD263" s="338"/>
      <c r="AE263" s="336"/>
      <c r="AF263" s="336"/>
      <c r="AG263" s="338"/>
      <c r="AH263" s="336"/>
      <c r="AI263" s="338"/>
      <c r="AJ263" s="336"/>
      <c r="AK263" s="338"/>
      <c r="AL263" s="338"/>
      <c r="AM263" s="336"/>
      <c r="AN263" s="336"/>
      <c r="AO263" s="336"/>
      <c r="AP263" s="336"/>
      <c r="AQ263" s="336"/>
      <c r="AR263" s="336"/>
      <c r="AS263" s="336"/>
    </row>
    <row r="264" spans="1:45" ht="24" customHeight="1">
      <c r="A264" s="336"/>
      <c r="B264" s="336"/>
      <c r="C264" s="338"/>
      <c r="D264" s="338"/>
      <c r="E264" s="338"/>
      <c r="F264" s="337"/>
      <c r="G264" s="336"/>
      <c r="H264" s="336"/>
      <c r="I264" s="336"/>
      <c r="J264" s="338"/>
      <c r="K264" s="337"/>
      <c r="L264" s="338"/>
      <c r="M264" s="337"/>
      <c r="N264" s="336"/>
      <c r="O264" s="336"/>
      <c r="P264" s="336"/>
      <c r="Q264" s="336"/>
      <c r="R264" s="336"/>
      <c r="S264" s="336"/>
      <c r="T264" s="336"/>
      <c r="U264" s="336"/>
      <c r="V264" s="336"/>
      <c r="W264" s="336"/>
      <c r="X264" s="336"/>
      <c r="Y264" s="336"/>
      <c r="Z264" s="336"/>
      <c r="AA264" s="336"/>
      <c r="AB264" s="338"/>
      <c r="AC264" s="338"/>
      <c r="AD264" s="338"/>
      <c r="AE264" s="336"/>
      <c r="AF264" s="336"/>
      <c r="AG264" s="338"/>
      <c r="AH264" s="336"/>
      <c r="AI264" s="338"/>
      <c r="AJ264" s="336"/>
      <c r="AK264" s="338"/>
      <c r="AL264" s="338"/>
      <c r="AM264" s="336"/>
      <c r="AN264" s="336"/>
      <c r="AO264" s="336"/>
      <c r="AP264" s="336"/>
      <c r="AQ264" s="336"/>
      <c r="AR264" s="336"/>
      <c r="AS264" s="336"/>
    </row>
    <row r="265" spans="1:45" ht="24" customHeight="1">
      <c r="A265" s="336"/>
      <c r="B265" s="336"/>
      <c r="C265" s="338"/>
      <c r="D265" s="338"/>
      <c r="E265" s="338"/>
      <c r="F265" s="337"/>
      <c r="G265" s="336"/>
      <c r="H265" s="336"/>
      <c r="I265" s="336"/>
      <c r="J265" s="338"/>
      <c r="K265" s="337"/>
      <c r="L265" s="338"/>
      <c r="M265" s="337"/>
      <c r="N265" s="336"/>
      <c r="O265" s="336"/>
      <c r="P265" s="336"/>
      <c r="Q265" s="336"/>
      <c r="R265" s="336"/>
      <c r="S265" s="336"/>
      <c r="T265" s="336"/>
      <c r="U265" s="336"/>
      <c r="V265" s="336"/>
      <c r="W265" s="336"/>
      <c r="X265" s="336"/>
      <c r="Y265" s="336"/>
      <c r="Z265" s="336"/>
      <c r="AA265" s="336"/>
      <c r="AB265" s="338"/>
      <c r="AC265" s="338"/>
      <c r="AD265" s="338"/>
      <c r="AE265" s="336"/>
      <c r="AF265" s="336"/>
      <c r="AG265" s="338"/>
      <c r="AH265" s="336"/>
      <c r="AI265" s="338"/>
      <c r="AJ265" s="336"/>
      <c r="AK265" s="338"/>
      <c r="AL265" s="338"/>
      <c r="AM265" s="336"/>
      <c r="AN265" s="336"/>
      <c r="AO265" s="336"/>
      <c r="AP265" s="336"/>
      <c r="AQ265" s="336"/>
      <c r="AR265" s="336"/>
      <c r="AS265" s="336"/>
    </row>
    <row r="266" spans="1:45" ht="24" customHeight="1">
      <c r="A266" s="336"/>
      <c r="B266" s="336"/>
      <c r="C266" s="338"/>
      <c r="D266" s="338"/>
      <c r="E266" s="338"/>
      <c r="F266" s="337"/>
      <c r="G266" s="336"/>
      <c r="H266" s="336"/>
      <c r="I266" s="336"/>
      <c r="J266" s="338"/>
      <c r="K266" s="337"/>
      <c r="L266" s="338"/>
      <c r="M266" s="337"/>
      <c r="N266" s="336"/>
      <c r="O266" s="336"/>
      <c r="P266" s="336"/>
      <c r="Q266" s="336"/>
      <c r="R266" s="336"/>
      <c r="S266" s="336"/>
      <c r="T266" s="336"/>
      <c r="U266" s="336"/>
      <c r="V266" s="336"/>
      <c r="W266" s="336"/>
      <c r="X266" s="336"/>
      <c r="Y266" s="336"/>
      <c r="Z266" s="336"/>
      <c r="AA266" s="336"/>
      <c r="AB266" s="338"/>
      <c r="AC266" s="338"/>
      <c r="AD266" s="338"/>
      <c r="AE266" s="336"/>
      <c r="AF266" s="336"/>
      <c r="AG266" s="338"/>
      <c r="AH266" s="336"/>
      <c r="AI266" s="338"/>
      <c r="AJ266" s="336"/>
      <c r="AK266" s="338"/>
      <c r="AL266" s="338"/>
      <c r="AM266" s="336"/>
      <c r="AN266" s="336"/>
      <c r="AO266" s="336"/>
      <c r="AP266" s="336"/>
      <c r="AQ266" s="336"/>
      <c r="AR266" s="336"/>
      <c r="AS266" s="336"/>
    </row>
    <row r="267" spans="1:45" ht="24" customHeight="1">
      <c r="A267" s="336"/>
      <c r="B267" s="336"/>
      <c r="C267" s="338"/>
      <c r="D267" s="338"/>
      <c r="E267" s="338"/>
      <c r="F267" s="337"/>
      <c r="G267" s="336"/>
      <c r="H267" s="336"/>
      <c r="I267" s="336"/>
      <c r="J267" s="338"/>
      <c r="K267" s="337"/>
      <c r="L267" s="338"/>
      <c r="M267" s="337"/>
      <c r="N267" s="336"/>
      <c r="O267" s="336"/>
      <c r="P267" s="336"/>
      <c r="Q267" s="336"/>
      <c r="R267" s="336"/>
      <c r="S267" s="336"/>
      <c r="T267" s="336"/>
      <c r="U267" s="336"/>
      <c r="V267" s="336"/>
      <c r="W267" s="336"/>
      <c r="X267" s="336"/>
      <c r="Y267" s="336"/>
      <c r="Z267" s="336"/>
      <c r="AA267" s="336"/>
      <c r="AB267" s="338"/>
      <c r="AC267" s="338"/>
      <c r="AD267" s="338"/>
      <c r="AE267" s="336"/>
      <c r="AF267" s="336"/>
      <c r="AG267" s="338"/>
      <c r="AH267" s="336"/>
      <c r="AI267" s="338"/>
      <c r="AJ267" s="336"/>
      <c r="AK267" s="338"/>
      <c r="AL267" s="338"/>
      <c r="AM267" s="336"/>
      <c r="AN267" s="336"/>
      <c r="AO267" s="336"/>
      <c r="AP267" s="336"/>
      <c r="AQ267" s="336"/>
      <c r="AR267" s="336"/>
      <c r="AS267" s="336"/>
    </row>
    <row r="268" spans="1:45" ht="24" customHeight="1">
      <c r="A268" s="336"/>
      <c r="B268" s="336"/>
      <c r="C268" s="338"/>
      <c r="D268" s="338"/>
      <c r="E268" s="338"/>
      <c r="F268" s="337"/>
      <c r="G268" s="336"/>
      <c r="H268" s="336"/>
      <c r="I268" s="336"/>
      <c r="J268" s="338"/>
      <c r="K268" s="337"/>
      <c r="L268" s="338"/>
      <c r="M268" s="337"/>
      <c r="N268" s="336"/>
      <c r="O268" s="336"/>
      <c r="P268" s="336"/>
      <c r="Q268" s="336"/>
      <c r="R268" s="336"/>
      <c r="S268" s="336"/>
      <c r="T268" s="336"/>
      <c r="U268" s="336"/>
      <c r="V268" s="336"/>
      <c r="W268" s="336"/>
      <c r="X268" s="336"/>
      <c r="Y268" s="336"/>
      <c r="Z268" s="336"/>
      <c r="AA268" s="336"/>
      <c r="AB268" s="338"/>
      <c r="AC268" s="338"/>
      <c r="AD268" s="338"/>
      <c r="AE268" s="336"/>
      <c r="AF268" s="336"/>
      <c r="AG268" s="338"/>
      <c r="AH268" s="336"/>
      <c r="AI268" s="338"/>
      <c r="AJ268" s="336"/>
      <c r="AK268" s="338"/>
      <c r="AL268" s="338"/>
      <c r="AM268" s="336"/>
      <c r="AN268" s="336"/>
      <c r="AO268" s="336"/>
      <c r="AP268" s="336"/>
      <c r="AQ268" s="336"/>
      <c r="AR268" s="336"/>
      <c r="AS268" s="336"/>
    </row>
    <row r="269" spans="1:45" ht="24" customHeight="1">
      <c r="A269" s="336"/>
      <c r="B269" s="336"/>
      <c r="C269" s="338"/>
      <c r="D269" s="338"/>
      <c r="E269" s="338"/>
      <c r="F269" s="337"/>
      <c r="G269" s="336"/>
      <c r="H269" s="336"/>
      <c r="I269" s="336"/>
      <c r="J269" s="338"/>
      <c r="K269" s="337"/>
      <c r="L269" s="338"/>
      <c r="M269" s="337"/>
      <c r="N269" s="336"/>
      <c r="O269" s="336"/>
      <c r="P269" s="336"/>
      <c r="Q269" s="336"/>
      <c r="R269" s="336"/>
      <c r="S269" s="336"/>
      <c r="T269" s="336"/>
      <c r="U269" s="336"/>
      <c r="V269" s="336"/>
      <c r="W269" s="336"/>
      <c r="X269" s="336"/>
      <c r="Y269" s="336"/>
      <c r="Z269" s="336"/>
      <c r="AA269" s="336"/>
      <c r="AB269" s="338"/>
      <c r="AC269" s="338"/>
      <c r="AD269" s="338"/>
      <c r="AE269" s="336"/>
      <c r="AF269" s="336"/>
      <c r="AG269" s="338"/>
      <c r="AH269" s="336"/>
      <c r="AI269" s="338"/>
      <c r="AJ269" s="336"/>
      <c r="AK269" s="338"/>
      <c r="AL269" s="338"/>
      <c r="AM269" s="336"/>
      <c r="AN269" s="336"/>
      <c r="AO269" s="336"/>
      <c r="AP269" s="336"/>
      <c r="AQ269" s="336"/>
      <c r="AR269" s="336"/>
      <c r="AS269" s="336"/>
    </row>
    <row r="270" spans="1:45" ht="24" customHeight="1">
      <c r="A270" s="336"/>
      <c r="B270" s="336"/>
      <c r="C270" s="338"/>
      <c r="D270" s="338"/>
      <c r="E270" s="338"/>
      <c r="F270" s="337"/>
      <c r="G270" s="336"/>
      <c r="H270" s="336"/>
      <c r="I270" s="336"/>
      <c r="J270" s="338"/>
      <c r="K270" s="337"/>
      <c r="L270" s="338"/>
      <c r="M270" s="337"/>
      <c r="N270" s="336"/>
      <c r="O270" s="336"/>
      <c r="P270" s="336"/>
      <c r="Q270" s="336"/>
      <c r="R270" s="336"/>
      <c r="S270" s="336"/>
      <c r="T270" s="336"/>
      <c r="U270" s="336"/>
      <c r="V270" s="336"/>
      <c r="W270" s="336"/>
      <c r="X270" s="336"/>
      <c r="Y270" s="336"/>
      <c r="Z270" s="336"/>
      <c r="AA270" s="336"/>
      <c r="AB270" s="338"/>
      <c r="AC270" s="338"/>
      <c r="AD270" s="338"/>
      <c r="AE270" s="336"/>
      <c r="AF270" s="336"/>
      <c r="AG270" s="338"/>
      <c r="AH270" s="336"/>
      <c r="AI270" s="338"/>
      <c r="AJ270" s="336"/>
      <c r="AK270" s="338"/>
      <c r="AL270" s="338"/>
      <c r="AM270" s="336"/>
      <c r="AN270" s="336"/>
      <c r="AO270" s="336"/>
      <c r="AP270" s="336"/>
      <c r="AQ270" s="336"/>
      <c r="AR270" s="336"/>
      <c r="AS270" s="336"/>
    </row>
    <row r="271" spans="1:45" ht="24" customHeight="1">
      <c r="A271" s="336"/>
      <c r="B271" s="336"/>
      <c r="C271" s="338"/>
      <c r="D271" s="338"/>
      <c r="E271" s="338"/>
      <c r="F271" s="337"/>
      <c r="G271" s="336"/>
      <c r="H271" s="336"/>
      <c r="I271" s="336"/>
      <c r="J271" s="338"/>
      <c r="K271" s="337"/>
      <c r="L271" s="338"/>
      <c r="M271" s="337"/>
      <c r="N271" s="336"/>
      <c r="O271" s="336"/>
      <c r="P271" s="336"/>
      <c r="Q271" s="336"/>
      <c r="R271" s="336"/>
      <c r="S271" s="336"/>
      <c r="T271" s="336"/>
      <c r="U271" s="336"/>
      <c r="V271" s="336"/>
      <c r="W271" s="336"/>
      <c r="X271" s="336"/>
      <c r="Y271" s="336"/>
      <c r="Z271" s="336"/>
      <c r="AA271" s="336"/>
      <c r="AB271" s="338"/>
      <c r="AC271" s="338"/>
      <c r="AD271" s="338"/>
      <c r="AE271" s="336"/>
      <c r="AF271" s="336"/>
      <c r="AG271" s="338"/>
      <c r="AH271" s="336"/>
      <c r="AI271" s="338"/>
      <c r="AJ271" s="336"/>
      <c r="AK271" s="338"/>
      <c r="AL271" s="338"/>
      <c r="AM271" s="336"/>
      <c r="AN271" s="336"/>
      <c r="AO271" s="336"/>
      <c r="AP271" s="336"/>
      <c r="AQ271" s="336"/>
      <c r="AR271" s="336"/>
      <c r="AS271" s="336"/>
    </row>
    <row r="272" spans="1:45" ht="24" customHeight="1">
      <c r="A272" s="336"/>
      <c r="B272" s="336"/>
      <c r="C272" s="338"/>
      <c r="D272" s="338"/>
      <c r="E272" s="338"/>
      <c r="F272" s="337"/>
      <c r="G272" s="336"/>
      <c r="H272" s="336"/>
      <c r="I272" s="336"/>
      <c r="J272" s="338"/>
      <c r="K272" s="337"/>
      <c r="L272" s="338"/>
      <c r="M272" s="337"/>
      <c r="N272" s="336"/>
      <c r="O272" s="336"/>
      <c r="P272" s="336"/>
      <c r="Q272" s="336"/>
      <c r="R272" s="336"/>
      <c r="S272" s="336"/>
      <c r="T272" s="336"/>
      <c r="U272" s="336"/>
      <c r="V272" s="336"/>
      <c r="W272" s="336"/>
      <c r="X272" s="336"/>
      <c r="Y272" s="336"/>
      <c r="Z272" s="336"/>
      <c r="AA272" s="336"/>
      <c r="AB272" s="338"/>
      <c r="AC272" s="338"/>
      <c r="AD272" s="338"/>
      <c r="AE272" s="336"/>
      <c r="AF272" s="336"/>
      <c r="AG272" s="338"/>
      <c r="AH272" s="336"/>
      <c r="AI272" s="338"/>
      <c r="AJ272" s="336"/>
      <c r="AK272" s="338"/>
      <c r="AL272" s="338"/>
      <c r="AM272" s="336"/>
      <c r="AN272" s="336"/>
      <c r="AO272" s="336"/>
      <c r="AP272" s="336"/>
      <c r="AQ272" s="336"/>
      <c r="AR272" s="336"/>
      <c r="AS272" s="336"/>
    </row>
    <row r="273" spans="1:45" ht="24" customHeight="1">
      <c r="A273" s="336"/>
      <c r="B273" s="336"/>
      <c r="C273" s="338"/>
      <c r="D273" s="338"/>
      <c r="E273" s="338"/>
      <c r="F273" s="337"/>
      <c r="G273" s="336"/>
      <c r="H273" s="336"/>
      <c r="I273" s="336"/>
      <c r="J273" s="338"/>
      <c r="K273" s="337"/>
      <c r="L273" s="338"/>
      <c r="M273" s="337"/>
      <c r="N273" s="336"/>
      <c r="O273" s="336"/>
      <c r="P273" s="336"/>
      <c r="Q273" s="336"/>
      <c r="R273" s="336"/>
      <c r="S273" s="336"/>
      <c r="T273" s="336"/>
      <c r="U273" s="336"/>
      <c r="V273" s="336"/>
      <c r="W273" s="336"/>
      <c r="X273" s="336"/>
      <c r="Y273" s="336"/>
      <c r="Z273" s="336"/>
      <c r="AA273" s="336"/>
      <c r="AB273" s="338"/>
      <c r="AC273" s="338"/>
      <c r="AD273" s="338"/>
      <c r="AE273" s="336"/>
      <c r="AF273" s="336"/>
      <c r="AG273" s="338"/>
      <c r="AH273" s="336"/>
      <c r="AI273" s="338"/>
      <c r="AJ273" s="336"/>
      <c r="AK273" s="338"/>
      <c r="AL273" s="338"/>
      <c r="AM273" s="336"/>
      <c r="AN273" s="336"/>
      <c r="AO273" s="336"/>
      <c r="AP273" s="336"/>
      <c r="AQ273" s="336"/>
      <c r="AR273" s="336"/>
      <c r="AS273" s="336"/>
    </row>
    <row r="274" spans="1:45" ht="24" customHeight="1">
      <c r="A274" s="336"/>
      <c r="B274" s="336"/>
      <c r="C274" s="338"/>
      <c r="D274" s="338"/>
      <c r="E274" s="338"/>
      <c r="F274" s="337"/>
      <c r="G274" s="336"/>
      <c r="H274" s="336"/>
      <c r="I274" s="336"/>
      <c r="J274" s="338"/>
      <c r="K274" s="337"/>
      <c r="L274" s="338"/>
      <c r="M274" s="337"/>
      <c r="N274" s="336"/>
      <c r="O274" s="336"/>
      <c r="P274" s="336"/>
      <c r="Q274" s="336"/>
      <c r="R274" s="336"/>
      <c r="S274" s="336"/>
      <c r="T274" s="336"/>
      <c r="U274" s="336"/>
      <c r="V274" s="336"/>
      <c r="W274" s="336"/>
      <c r="X274" s="336"/>
      <c r="Y274" s="336"/>
      <c r="Z274" s="336"/>
      <c r="AA274" s="336"/>
      <c r="AB274" s="338"/>
      <c r="AC274" s="338"/>
      <c r="AD274" s="338"/>
      <c r="AE274" s="336"/>
      <c r="AF274" s="336"/>
      <c r="AG274" s="338"/>
      <c r="AH274" s="336"/>
      <c r="AI274" s="338"/>
      <c r="AJ274" s="336"/>
      <c r="AK274" s="338"/>
      <c r="AL274" s="338"/>
      <c r="AM274" s="336"/>
      <c r="AN274" s="336"/>
      <c r="AO274" s="336"/>
      <c r="AP274" s="336"/>
      <c r="AQ274" s="336"/>
      <c r="AR274" s="336"/>
      <c r="AS274" s="336"/>
    </row>
    <row r="275" spans="1:45" ht="24" customHeight="1">
      <c r="A275" s="336"/>
      <c r="B275" s="336"/>
      <c r="C275" s="338"/>
      <c r="D275" s="338"/>
      <c r="E275" s="338"/>
      <c r="F275" s="337"/>
      <c r="G275" s="336"/>
      <c r="H275" s="336"/>
      <c r="I275" s="336"/>
      <c r="J275" s="338"/>
      <c r="K275" s="337"/>
      <c r="L275" s="338"/>
      <c r="M275" s="337"/>
      <c r="N275" s="336"/>
      <c r="O275" s="336"/>
      <c r="P275" s="336"/>
      <c r="Q275" s="336"/>
      <c r="R275" s="336"/>
      <c r="S275" s="336"/>
      <c r="T275" s="336"/>
      <c r="U275" s="336"/>
      <c r="V275" s="336"/>
      <c r="W275" s="336"/>
      <c r="X275" s="336"/>
      <c r="Y275" s="336"/>
      <c r="Z275" s="336"/>
      <c r="AA275" s="336"/>
      <c r="AB275" s="338"/>
      <c r="AC275" s="338"/>
      <c r="AD275" s="338"/>
      <c r="AE275" s="336"/>
      <c r="AF275" s="336"/>
      <c r="AG275" s="338"/>
      <c r="AH275" s="336"/>
      <c r="AI275" s="338"/>
      <c r="AJ275" s="336"/>
      <c r="AK275" s="338"/>
      <c r="AL275" s="338"/>
      <c r="AM275" s="336"/>
      <c r="AN275" s="336"/>
      <c r="AO275" s="336"/>
      <c r="AP275" s="336"/>
      <c r="AQ275" s="336"/>
      <c r="AR275" s="336"/>
      <c r="AS275" s="336"/>
    </row>
    <row r="276" spans="1:45" ht="24" customHeight="1">
      <c r="A276" s="336"/>
      <c r="B276" s="336"/>
      <c r="C276" s="338"/>
      <c r="D276" s="338"/>
      <c r="E276" s="338"/>
      <c r="F276" s="337"/>
      <c r="G276" s="336"/>
      <c r="H276" s="336"/>
      <c r="I276" s="336"/>
      <c r="J276" s="338"/>
      <c r="K276" s="337"/>
      <c r="L276" s="338"/>
      <c r="M276" s="337"/>
      <c r="N276" s="336"/>
      <c r="O276" s="336"/>
      <c r="P276" s="336"/>
      <c r="Q276" s="336"/>
      <c r="R276" s="336"/>
      <c r="S276" s="336"/>
      <c r="T276" s="336"/>
      <c r="U276" s="336"/>
      <c r="V276" s="336"/>
      <c r="W276" s="336"/>
      <c r="X276" s="336"/>
      <c r="Y276" s="336"/>
      <c r="Z276" s="336"/>
      <c r="AA276" s="336"/>
      <c r="AB276" s="338"/>
      <c r="AC276" s="338"/>
      <c r="AD276" s="338"/>
      <c r="AE276" s="336"/>
      <c r="AF276" s="336"/>
      <c r="AG276" s="338"/>
      <c r="AH276" s="336"/>
      <c r="AI276" s="338"/>
      <c r="AJ276" s="336"/>
      <c r="AK276" s="338"/>
      <c r="AL276" s="338"/>
      <c r="AM276" s="336"/>
      <c r="AN276" s="336"/>
      <c r="AO276" s="336"/>
      <c r="AP276" s="336"/>
      <c r="AQ276" s="336"/>
      <c r="AR276" s="336"/>
      <c r="AS276" s="336"/>
    </row>
    <row r="277" spans="1:45" ht="24" customHeight="1">
      <c r="A277" s="336"/>
      <c r="B277" s="336"/>
      <c r="C277" s="338"/>
      <c r="D277" s="338"/>
      <c r="E277" s="338"/>
      <c r="F277" s="337"/>
      <c r="G277" s="336"/>
      <c r="H277" s="336"/>
      <c r="I277" s="336"/>
      <c r="J277" s="338"/>
      <c r="K277" s="337"/>
      <c r="L277" s="338"/>
      <c r="M277" s="337"/>
      <c r="N277" s="336"/>
      <c r="O277" s="336"/>
      <c r="P277" s="336"/>
      <c r="Q277" s="336"/>
      <c r="R277" s="336"/>
      <c r="S277" s="336"/>
      <c r="T277" s="336"/>
      <c r="U277" s="336"/>
      <c r="V277" s="336"/>
      <c r="W277" s="336"/>
      <c r="X277" s="336"/>
      <c r="Y277" s="336"/>
      <c r="Z277" s="336"/>
      <c r="AA277" s="336"/>
      <c r="AB277" s="338"/>
      <c r="AC277" s="338"/>
      <c r="AD277" s="338"/>
      <c r="AE277" s="336"/>
      <c r="AF277" s="336"/>
      <c r="AG277" s="338"/>
      <c r="AH277" s="336"/>
      <c r="AI277" s="338"/>
      <c r="AJ277" s="336"/>
      <c r="AK277" s="338"/>
      <c r="AL277" s="338"/>
      <c r="AM277" s="336"/>
      <c r="AN277" s="336"/>
      <c r="AO277" s="336"/>
      <c r="AP277" s="336"/>
      <c r="AQ277" s="336"/>
      <c r="AR277" s="336"/>
      <c r="AS277" s="336"/>
    </row>
    <row r="278" spans="1:45" ht="24" customHeight="1">
      <c r="A278" s="336"/>
      <c r="B278" s="336"/>
      <c r="C278" s="338"/>
      <c r="D278" s="338"/>
      <c r="E278" s="338"/>
      <c r="F278" s="337"/>
      <c r="G278" s="336"/>
      <c r="H278" s="336"/>
      <c r="I278" s="336"/>
      <c r="J278" s="338"/>
      <c r="K278" s="337"/>
      <c r="L278" s="338"/>
      <c r="M278" s="337"/>
      <c r="N278" s="336"/>
      <c r="O278" s="336"/>
      <c r="P278" s="336"/>
      <c r="Q278" s="336"/>
      <c r="R278" s="336"/>
      <c r="S278" s="336"/>
      <c r="T278" s="336"/>
      <c r="U278" s="336"/>
      <c r="V278" s="336"/>
      <c r="W278" s="336"/>
      <c r="X278" s="336"/>
      <c r="Y278" s="336"/>
      <c r="Z278" s="336"/>
      <c r="AA278" s="336"/>
      <c r="AB278" s="338"/>
      <c r="AC278" s="338"/>
      <c r="AD278" s="338"/>
      <c r="AE278" s="336"/>
      <c r="AF278" s="336"/>
      <c r="AG278" s="338"/>
      <c r="AH278" s="336"/>
      <c r="AI278" s="338"/>
      <c r="AJ278" s="336"/>
      <c r="AK278" s="338"/>
      <c r="AL278" s="338"/>
      <c r="AM278" s="336"/>
      <c r="AN278" s="336"/>
      <c r="AO278" s="336"/>
      <c r="AP278" s="336"/>
      <c r="AQ278" s="336"/>
      <c r="AR278" s="336"/>
      <c r="AS278" s="336"/>
    </row>
    <row r="279" spans="1:45" ht="24" customHeight="1">
      <c r="A279" s="336"/>
      <c r="B279" s="336"/>
      <c r="C279" s="338"/>
      <c r="D279" s="338"/>
      <c r="E279" s="338"/>
      <c r="F279" s="337"/>
      <c r="G279" s="336"/>
      <c r="H279" s="336"/>
      <c r="I279" s="336"/>
      <c r="J279" s="338"/>
      <c r="K279" s="337"/>
      <c r="L279" s="338"/>
      <c r="M279" s="337"/>
      <c r="N279" s="336"/>
      <c r="O279" s="336"/>
      <c r="P279" s="336"/>
      <c r="Q279" s="336"/>
      <c r="R279" s="336"/>
      <c r="S279" s="336"/>
      <c r="T279" s="336"/>
      <c r="U279" s="336"/>
      <c r="V279" s="336"/>
      <c r="W279" s="336"/>
      <c r="X279" s="336"/>
      <c r="Y279" s="336"/>
      <c r="Z279" s="336"/>
      <c r="AA279" s="336"/>
      <c r="AB279" s="338"/>
      <c r="AC279" s="338"/>
      <c r="AD279" s="338"/>
      <c r="AE279" s="336"/>
      <c r="AF279" s="336"/>
      <c r="AG279" s="338"/>
      <c r="AH279" s="336"/>
      <c r="AI279" s="338"/>
      <c r="AJ279" s="336"/>
      <c r="AK279" s="338"/>
      <c r="AL279" s="338"/>
      <c r="AM279" s="336"/>
      <c r="AN279" s="336"/>
      <c r="AO279" s="336"/>
      <c r="AP279" s="336"/>
      <c r="AQ279" s="336"/>
      <c r="AR279" s="336"/>
      <c r="AS279" s="336"/>
    </row>
    <row r="280" spans="1:45" ht="24" customHeight="1">
      <c r="A280" s="336"/>
      <c r="B280" s="336"/>
      <c r="C280" s="338"/>
      <c r="D280" s="338"/>
      <c r="E280" s="338"/>
      <c r="F280" s="337"/>
      <c r="G280" s="336"/>
      <c r="H280" s="336"/>
      <c r="I280" s="336"/>
      <c r="J280" s="338"/>
      <c r="K280" s="337"/>
      <c r="L280" s="338"/>
      <c r="M280" s="337"/>
      <c r="N280" s="336"/>
      <c r="O280" s="336"/>
      <c r="P280" s="336"/>
      <c r="Q280" s="336"/>
      <c r="R280" s="336"/>
      <c r="S280" s="336"/>
      <c r="T280" s="336"/>
      <c r="U280" s="336"/>
      <c r="V280" s="336"/>
      <c r="W280" s="336"/>
      <c r="X280" s="336"/>
      <c r="Y280" s="336"/>
      <c r="Z280" s="336"/>
      <c r="AA280" s="336"/>
      <c r="AB280" s="338"/>
      <c r="AC280" s="338"/>
      <c r="AD280" s="338"/>
      <c r="AE280" s="336"/>
      <c r="AF280" s="336"/>
      <c r="AG280" s="338"/>
      <c r="AH280" s="336"/>
      <c r="AI280" s="338"/>
      <c r="AJ280" s="336"/>
      <c r="AK280" s="338"/>
      <c r="AL280" s="338"/>
      <c r="AM280" s="336"/>
      <c r="AN280" s="336"/>
      <c r="AO280" s="336"/>
      <c r="AP280" s="336"/>
      <c r="AQ280" s="336"/>
      <c r="AR280" s="336"/>
      <c r="AS280" s="336"/>
    </row>
    <row r="281" spans="1:45" ht="24" customHeight="1">
      <c r="A281" s="336"/>
      <c r="B281" s="336"/>
      <c r="C281" s="338"/>
      <c r="D281" s="338"/>
      <c r="E281" s="338"/>
      <c r="F281" s="337"/>
      <c r="G281" s="336"/>
      <c r="H281" s="336"/>
      <c r="I281" s="336"/>
      <c r="J281" s="338"/>
      <c r="K281" s="337"/>
      <c r="L281" s="338"/>
      <c r="M281" s="337"/>
      <c r="N281" s="336"/>
      <c r="O281" s="336"/>
      <c r="P281" s="336"/>
      <c r="Q281" s="336"/>
      <c r="R281" s="336"/>
      <c r="S281" s="336"/>
      <c r="T281" s="336"/>
      <c r="U281" s="336"/>
      <c r="V281" s="336"/>
      <c r="W281" s="336"/>
      <c r="X281" s="336"/>
      <c r="Y281" s="336"/>
      <c r="Z281" s="336"/>
      <c r="AA281" s="336"/>
      <c r="AB281" s="338"/>
      <c r="AC281" s="338"/>
      <c r="AD281" s="338"/>
      <c r="AE281" s="336"/>
      <c r="AF281" s="336"/>
      <c r="AG281" s="338"/>
      <c r="AH281" s="336"/>
      <c r="AI281" s="338"/>
      <c r="AJ281" s="336"/>
      <c r="AK281" s="338"/>
      <c r="AL281" s="338"/>
      <c r="AM281" s="336"/>
      <c r="AN281" s="336"/>
      <c r="AO281" s="336"/>
      <c r="AP281" s="336"/>
      <c r="AQ281" s="336"/>
      <c r="AR281" s="336"/>
      <c r="AS281" s="336"/>
    </row>
    <row r="282" spans="1:45" ht="24" customHeight="1">
      <c r="A282" s="336"/>
      <c r="B282" s="336"/>
      <c r="C282" s="338"/>
      <c r="D282" s="338"/>
      <c r="E282" s="338"/>
      <c r="F282" s="337"/>
      <c r="G282" s="336"/>
      <c r="H282" s="336"/>
      <c r="I282" s="336"/>
      <c r="J282" s="338"/>
      <c r="K282" s="337"/>
      <c r="L282" s="338"/>
      <c r="M282" s="337"/>
      <c r="N282" s="336"/>
      <c r="O282" s="336"/>
      <c r="P282" s="336"/>
      <c r="Q282" s="336"/>
      <c r="R282" s="336"/>
      <c r="S282" s="336"/>
      <c r="T282" s="336"/>
      <c r="U282" s="336"/>
      <c r="V282" s="336"/>
      <c r="W282" s="336"/>
      <c r="X282" s="336"/>
      <c r="Y282" s="336"/>
      <c r="Z282" s="336"/>
      <c r="AA282" s="336"/>
      <c r="AB282" s="338"/>
      <c r="AC282" s="338"/>
      <c r="AD282" s="338"/>
      <c r="AE282" s="336"/>
      <c r="AF282" s="336"/>
      <c r="AG282" s="338"/>
      <c r="AH282" s="336"/>
      <c r="AI282" s="338"/>
      <c r="AJ282" s="336"/>
      <c r="AK282" s="338"/>
      <c r="AL282" s="338"/>
      <c r="AM282" s="336"/>
      <c r="AN282" s="336"/>
      <c r="AO282" s="336"/>
      <c r="AP282" s="336"/>
      <c r="AQ282" s="336"/>
      <c r="AR282" s="336"/>
      <c r="AS282" s="336"/>
    </row>
    <row r="283" spans="1:45" ht="24" customHeight="1">
      <c r="A283" s="336"/>
      <c r="B283" s="336"/>
      <c r="C283" s="338"/>
      <c r="D283" s="338"/>
      <c r="E283" s="338"/>
      <c r="F283" s="337"/>
      <c r="G283" s="336"/>
      <c r="H283" s="336"/>
      <c r="I283" s="336"/>
      <c r="J283" s="338"/>
      <c r="K283" s="337"/>
      <c r="L283" s="338"/>
      <c r="M283" s="337"/>
      <c r="N283" s="336"/>
      <c r="O283" s="336"/>
      <c r="P283" s="336"/>
      <c r="Q283" s="336"/>
      <c r="R283" s="336"/>
      <c r="S283" s="336"/>
      <c r="T283" s="336"/>
      <c r="U283" s="336"/>
      <c r="V283" s="336"/>
      <c r="W283" s="336"/>
      <c r="X283" s="336"/>
      <c r="Y283" s="336"/>
      <c r="Z283" s="336"/>
      <c r="AA283" s="336"/>
      <c r="AB283" s="338"/>
      <c r="AC283" s="338"/>
      <c r="AD283" s="338"/>
      <c r="AE283" s="336"/>
      <c r="AF283" s="336"/>
      <c r="AG283" s="338"/>
      <c r="AH283" s="336"/>
      <c r="AI283" s="338"/>
      <c r="AJ283" s="336"/>
      <c r="AK283" s="338"/>
      <c r="AL283" s="338"/>
      <c r="AM283" s="336"/>
      <c r="AN283" s="336"/>
      <c r="AO283" s="336"/>
      <c r="AP283" s="336"/>
      <c r="AQ283" s="336"/>
      <c r="AR283" s="336"/>
      <c r="AS283" s="336"/>
    </row>
    <row r="284" spans="1:45" ht="24" customHeight="1">
      <c r="A284" s="336"/>
      <c r="B284" s="336"/>
      <c r="C284" s="338"/>
      <c r="D284" s="338"/>
      <c r="E284" s="338"/>
      <c r="F284" s="337"/>
      <c r="G284" s="336"/>
      <c r="H284" s="336"/>
      <c r="I284" s="336"/>
      <c r="J284" s="338"/>
      <c r="K284" s="337"/>
      <c r="L284" s="338"/>
      <c r="M284" s="337"/>
      <c r="N284" s="336"/>
      <c r="O284" s="336"/>
      <c r="P284" s="336"/>
      <c r="Q284" s="336"/>
      <c r="R284" s="336"/>
      <c r="S284" s="336"/>
      <c r="T284" s="336"/>
      <c r="U284" s="336"/>
      <c r="V284" s="336"/>
      <c r="W284" s="336"/>
      <c r="X284" s="336"/>
      <c r="Y284" s="336"/>
      <c r="Z284" s="336"/>
      <c r="AA284" s="336"/>
      <c r="AB284" s="338"/>
      <c r="AC284" s="338"/>
      <c r="AD284" s="338"/>
      <c r="AE284" s="336"/>
      <c r="AF284" s="336"/>
      <c r="AG284" s="338"/>
      <c r="AH284" s="336"/>
      <c r="AI284" s="338"/>
      <c r="AJ284" s="336"/>
      <c r="AK284" s="338"/>
      <c r="AL284" s="338"/>
      <c r="AM284" s="336"/>
      <c r="AN284" s="336"/>
      <c r="AO284" s="336"/>
      <c r="AP284" s="336"/>
      <c r="AQ284" s="336"/>
      <c r="AR284" s="336"/>
      <c r="AS284" s="336"/>
    </row>
    <row r="285" spans="1:45" ht="24" customHeight="1">
      <c r="A285" s="336"/>
      <c r="B285" s="336"/>
      <c r="C285" s="338"/>
      <c r="D285" s="338"/>
      <c r="E285" s="338"/>
      <c r="F285" s="337"/>
      <c r="G285" s="336"/>
      <c r="H285" s="336"/>
      <c r="I285" s="336"/>
      <c r="J285" s="338"/>
      <c r="K285" s="337"/>
      <c r="L285" s="338"/>
      <c r="M285" s="337"/>
      <c r="N285" s="336"/>
      <c r="O285" s="336"/>
      <c r="P285" s="336"/>
      <c r="Q285" s="336"/>
      <c r="R285" s="336"/>
      <c r="S285" s="336"/>
      <c r="T285" s="336"/>
      <c r="U285" s="336"/>
      <c r="V285" s="336"/>
      <c r="W285" s="336"/>
      <c r="X285" s="336"/>
      <c r="Y285" s="336"/>
      <c r="Z285" s="336"/>
      <c r="AA285" s="336"/>
      <c r="AB285" s="338"/>
      <c r="AC285" s="338"/>
      <c r="AD285" s="338"/>
      <c r="AE285" s="336"/>
      <c r="AF285" s="336"/>
      <c r="AG285" s="338"/>
      <c r="AH285" s="336"/>
      <c r="AI285" s="338"/>
      <c r="AJ285" s="336"/>
      <c r="AK285" s="338"/>
      <c r="AL285" s="338"/>
      <c r="AM285" s="336"/>
      <c r="AN285" s="336"/>
      <c r="AO285" s="336"/>
      <c r="AP285" s="336"/>
      <c r="AQ285" s="336"/>
      <c r="AR285" s="336"/>
      <c r="AS285" s="336"/>
    </row>
    <row r="286" spans="1:45" ht="24" customHeight="1">
      <c r="A286" s="336"/>
      <c r="B286" s="336"/>
      <c r="C286" s="338"/>
      <c r="D286" s="338"/>
      <c r="E286" s="338"/>
      <c r="F286" s="337"/>
      <c r="G286" s="336"/>
      <c r="H286" s="336"/>
      <c r="I286" s="336"/>
      <c r="J286" s="338"/>
      <c r="K286" s="337"/>
      <c r="L286" s="338"/>
      <c r="M286" s="337"/>
      <c r="N286" s="336"/>
      <c r="O286" s="336"/>
      <c r="P286" s="336"/>
      <c r="Q286" s="336"/>
      <c r="R286" s="336"/>
      <c r="S286" s="336"/>
      <c r="T286" s="336"/>
      <c r="U286" s="336"/>
      <c r="V286" s="336"/>
      <c r="W286" s="336"/>
      <c r="X286" s="336"/>
      <c r="Y286" s="336"/>
      <c r="Z286" s="336"/>
      <c r="AA286" s="336"/>
      <c r="AB286" s="338"/>
      <c r="AC286" s="338"/>
      <c r="AD286" s="338"/>
      <c r="AE286" s="336"/>
      <c r="AF286" s="336"/>
      <c r="AG286" s="338"/>
      <c r="AH286" s="336"/>
      <c r="AI286" s="338"/>
      <c r="AJ286" s="336"/>
      <c r="AK286" s="338"/>
      <c r="AL286" s="338"/>
      <c r="AM286" s="336"/>
      <c r="AN286" s="336"/>
      <c r="AO286" s="336"/>
      <c r="AP286" s="336"/>
      <c r="AQ286" s="336"/>
      <c r="AR286" s="336"/>
      <c r="AS286" s="336"/>
    </row>
    <row r="287" spans="1:45" ht="24" customHeight="1">
      <c r="A287" s="336"/>
      <c r="B287" s="336"/>
      <c r="C287" s="338"/>
      <c r="D287" s="338"/>
      <c r="E287" s="338"/>
      <c r="F287" s="337"/>
      <c r="G287" s="336"/>
      <c r="H287" s="336"/>
      <c r="I287" s="336"/>
      <c r="J287" s="338"/>
      <c r="K287" s="337"/>
      <c r="L287" s="338"/>
      <c r="M287" s="337"/>
      <c r="N287" s="336"/>
      <c r="O287" s="336"/>
      <c r="P287" s="336"/>
      <c r="Q287" s="336"/>
      <c r="R287" s="336"/>
      <c r="S287" s="336"/>
      <c r="T287" s="336"/>
      <c r="U287" s="336"/>
      <c r="V287" s="336"/>
      <c r="W287" s="336"/>
      <c r="X287" s="336"/>
      <c r="Y287" s="336"/>
      <c r="Z287" s="336"/>
      <c r="AA287" s="336"/>
      <c r="AB287" s="338"/>
      <c r="AC287" s="338"/>
      <c r="AD287" s="338"/>
      <c r="AE287" s="336"/>
      <c r="AF287" s="336"/>
      <c r="AG287" s="338"/>
      <c r="AH287" s="336"/>
      <c r="AI287" s="338"/>
      <c r="AJ287" s="336"/>
      <c r="AK287" s="338"/>
      <c r="AL287" s="338"/>
      <c r="AM287" s="336"/>
      <c r="AN287" s="336"/>
      <c r="AO287" s="336"/>
      <c r="AP287" s="336"/>
      <c r="AQ287" s="336"/>
      <c r="AR287" s="336"/>
      <c r="AS287" s="336"/>
    </row>
    <row r="288" spans="1:45" ht="24" customHeight="1">
      <c r="A288" s="336"/>
      <c r="B288" s="336"/>
      <c r="C288" s="338"/>
      <c r="D288" s="338"/>
      <c r="E288" s="338"/>
      <c r="F288" s="337"/>
      <c r="G288" s="336"/>
      <c r="H288" s="336"/>
      <c r="I288" s="336"/>
      <c r="J288" s="338"/>
      <c r="K288" s="337"/>
      <c r="L288" s="338"/>
      <c r="M288" s="337"/>
      <c r="N288" s="336"/>
      <c r="O288" s="336"/>
      <c r="P288" s="336"/>
      <c r="Q288" s="336"/>
      <c r="R288" s="336"/>
      <c r="S288" s="336"/>
      <c r="T288" s="336"/>
      <c r="U288" s="336"/>
      <c r="V288" s="336"/>
      <c r="W288" s="336"/>
      <c r="X288" s="336"/>
      <c r="Y288" s="336"/>
      <c r="Z288" s="336"/>
      <c r="AA288" s="336"/>
      <c r="AB288" s="338"/>
      <c r="AC288" s="338"/>
      <c r="AD288" s="338"/>
      <c r="AE288" s="336"/>
      <c r="AF288" s="336"/>
      <c r="AG288" s="338"/>
      <c r="AH288" s="336"/>
      <c r="AI288" s="338"/>
      <c r="AJ288" s="336"/>
      <c r="AK288" s="338"/>
      <c r="AL288" s="338"/>
      <c r="AM288" s="336"/>
      <c r="AN288" s="336"/>
      <c r="AO288" s="336"/>
      <c r="AP288" s="336"/>
      <c r="AQ288" s="336"/>
      <c r="AR288" s="336"/>
      <c r="AS288" s="336"/>
    </row>
    <row r="289" spans="1:45" ht="24" customHeight="1">
      <c r="A289" s="336"/>
      <c r="B289" s="336"/>
      <c r="C289" s="338"/>
      <c r="D289" s="338"/>
      <c r="E289" s="338"/>
      <c r="F289" s="337"/>
      <c r="G289" s="336"/>
      <c r="H289" s="336"/>
      <c r="I289" s="336"/>
      <c r="J289" s="338"/>
      <c r="K289" s="337"/>
      <c r="L289" s="338"/>
      <c r="M289" s="337"/>
      <c r="N289" s="336"/>
      <c r="O289" s="336"/>
      <c r="P289" s="336"/>
      <c r="Q289" s="336"/>
      <c r="R289" s="336"/>
      <c r="S289" s="336"/>
      <c r="T289" s="336"/>
      <c r="U289" s="336"/>
      <c r="V289" s="336"/>
      <c r="W289" s="336"/>
      <c r="X289" s="336"/>
      <c r="Y289" s="336"/>
      <c r="Z289" s="336"/>
      <c r="AA289" s="336"/>
      <c r="AB289" s="338"/>
      <c r="AC289" s="338"/>
      <c r="AD289" s="338"/>
      <c r="AE289" s="336"/>
      <c r="AF289" s="336"/>
      <c r="AG289" s="338"/>
      <c r="AH289" s="336"/>
      <c r="AI289" s="338"/>
      <c r="AJ289" s="336"/>
      <c r="AK289" s="338"/>
      <c r="AL289" s="338"/>
      <c r="AM289" s="336"/>
      <c r="AN289" s="336"/>
      <c r="AO289" s="336"/>
      <c r="AP289" s="336"/>
      <c r="AQ289" s="336"/>
      <c r="AR289" s="336"/>
      <c r="AS289" s="336"/>
    </row>
    <row r="290" spans="1:45" ht="24" customHeight="1">
      <c r="A290" s="336"/>
      <c r="B290" s="336"/>
      <c r="C290" s="338"/>
      <c r="D290" s="338"/>
      <c r="E290" s="338"/>
      <c r="F290" s="337"/>
      <c r="G290" s="336"/>
      <c r="H290" s="336"/>
      <c r="I290" s="336"/>
      <c r="J290" s="338"/>
      <c r="K290" s="337"/>
      <c r="L290" s="338"/>
      <c r="M290" s="337"/>
      <c r="N290" s="336"/>
      <c r="O290" s="336"/>
      <c r="P290" s="336"/>
      <c r="Q290" s="336"/>
      <c r="R290" s="336"/>
      <c r="S290" s="336"/>
      <c r="T290" s="336"/>
      <c r="U290" s="336"/>
      <c r="V290" s="336"/>
      <c r="W290" s="336"/>
      <c r="X290" s="336"/>
      <c r="Y290" s="336"/>
      <c r="Z290" s="336"/>
      <c r="AA290" s="336"/>
      <c r="AB290" s="338"/>
      <c r="AC290" s="338"/>
      <c r="AD290" s="338"/>
      <c r="AE290" s="336"/>
      <c r="AF290" s="336"/>
      <c r="AG290" s="338"/>
      <c r="AH290" s="336"/>
      <c r="AI290" s="338"/>
      <c r="AJ290" s="336"/>
      <c r="AK290" s="338"/>
      <c r="AL290" s="338"/>
      <c r="AM290" s="336"/>
      <c r="AN290" s="336"/>
      <c r="AO290" s="336"/>
      <c r="AP290" s="336"/>
      <c r="AQ290" s="336"/>
      <c r="AR290" s="336"/>
      <c r="AS290" s="336"/>
    </row>
    <row r="291" spans="1:45" ht="24" customHeight="1">
      <c r="A291" s="336"/>
      <c r="B291" s="336"/>
      <c r="C291" s="338"/>
      <c r="D291" s="338"/>
      <c r="E291" s="338"/>
      <c r="F291" s="337"/>
      <c r="G291" s="336"/>
      <c r="H291" s="336"/>
      <c r="I291" s="336"/>
      <c r="J291" s="338"/>
      <c r="K291" s="337"/>
      <c r="L291" s="338"/>
      <c r="M291" s="337"/>
      <c r="N291" s="336"/>
      <c r="O291" s="336"/>
      <c r="P291" s="336"/>
      <c r="Q291" s="336"/>
      <c r="R291" s="336"/>
      <c r="S291" s="336"/>
      <c r="T291" s="336"/>
      <c r="U291" s="336"/>
      <c r="V291" s="336"/>
      <c r="W291" s="336"/>
      <c r="X291" s="336"/>
      <c r="Y291" s="336"/>
      <c r="Z291" s="336"/>
      <c r="AA291" s="336"/>
      <c r="AB291" s="338"/>
      <c r="AC291" s="338"/>
      <c r="AD291" s="338"/>
      <c r="AE291" s="336"/>
      <c r="AF291" s="336"/>
      <c r="AG291" s="338"/>
      <c r="AH291" s="336"/>
      <c r="AI291" s="338"/>
      <c r="AJ291" s="336"/>
      <c r="AK291" s="338"/>
      <c r="AL291" s="338"/>
      <c r="AM291" s="336"/>
      <c r="AN291" s="336"/>
      <c r="AO291" s="336"/>
      <c r="AP291" s="336"/>
      <c r="AQ291" s="336"/>
      <c r="AR291" s="336"/>
      <c r="AS291" s="336"/>
    </row>
    <row r="292" spans="1:45" ht="24" customHeight="1">
      <c r="A292" s="336"/>
      <c r="B292" s="336"/>
      <c r="C292" s="338"/>
      <c r="D292" s="338"/>
      <c r="E292" s="338"/>
      <c r="F292" s="337"/>
      <c r="G292" s="336"/>
      <c r="H292" s="336"/>
      <c r="I292" s="336"/>
      <c r="J292" s="338"/>
      <c r="K292" s="337"/>
      <c r="L292" s="338"/>
      <c r="M292" s="337"/>
      <c r="N292" s="336"/>
      <c r="O292" s="336"/>
      <c r="P292" s="336"/>
      <c r="Q292" s="336"/>
      <c r="R292" s="336"/>
      <c r="S292" s="336"/>
      <c r="T292" s="336"/>
      <c r="U292" s="336"/>
      <c r="V292" s="336"/>
      <c r="W292" s="336"/>
      <c r="X292" s="336"/>
      <c r="Y292" s="336"/>
      <c r="Z292" s="336"/>
      <c r="AA292" s="336"/>
      <c r="AB292" s="338"/>
      <c r="AC292" s="338"/>
      <c r="AD292" s="338"/>
      <c r="AE292" s="336"/>
      <c r="AF292" s="336"/>
      <c r="AG292" s="338"/>
      <c r="AH292" s="336"/>
      <c r="AI292" s="338"/>
      <c r="AJ292" s="336"/>
      <c r="AK292" s="338"/>
      <c r="AL292" s="338"/>
      <c r="AM292" s="336"/>
      <c r="AN292" s="336"/>
      <c r="AO292" s="336"/>
      <c r="AP292" s="336"/>
      <c r="AQ292" s="336"/>
      <c r="AR292" s="336"/>
      <c r="AS292" s="336"/>
    </row>
    <row r="293" spans="1:45" ht="24" customHeight="1">
      <c r="A293" s="336"/>
      <c r="B293" s="336"/>
      <c r="C293" s="338"/>
      <c r="D293" s="338"/>
      <c r="E293" s="338"/>
      <c r="F293" s="337"/>
      <c r="G293" s="336"/>
      <c r="H293" s="336"/>
      <c r="I293" s="336"/>
      <c r="J293" s="338"/>
      <c r="K293" s="337"/>
      <c r="L293" s="338"/>
      <c r="M293" s="337"/>
      <c r="N293" s="336"/>
      <c r="O293" s="336"/>
      <c r="P293" s="336"/>
      <c r="Q293" s="336"/>
      <c r="R293" s="336"/>
      <c r="S293" s="336"/>
      <c r="T293" s="336"/>
      <c r="U293" s="336"/>
      <c r="V293" s="336"/>
      <c r="W293" s="336"/>
      <c r="X293" s="336"/>
      <c r="Y293" s="336"/>
      <c r="Z293" s="336"/>
      <c r="AA293" s="336"/>
      <c r="AB293" s="338"/>
      <c r="AC293" s="338"/>
      <c r="AD293" s="338"/>
      <c r="AE293" s="336"/>
      <c r="AF293" s="336"/>
      <c r="AG293" s="338"/>
      <c r="AH293" s="336"/>
      <c r="AI293" s="338"/>
      <c r="AJ293" s="336"/>
      <c r="AK293" s="338"/>
      <c r="AL293" s="338"/>
      <c r="AM293" s="336"/>
      <c r="AN293" s="336"/>
      <c r="AO293" s="336"/>
      <c r="AP293" s="336"/>
      <c r="AQ293" s="336"/>
      <c r="AR293" s="336"/>
      <c r="AS293" s="336"/>
    </row>
    <row r="294" spans="1:45" ht="24" customHeight="1">
      <c r="A294" s="336"/>
      <c r="B294" s="336"/>
      <c r="C294" s="338"/>
      <c r="D294" s="338"/>
      <c r="E294" s="338"/>
      <c r="F294" s="337"/>
      <c r="G294" s="336"/>
      <c r="H294" s="336"/>
      <c r="I294" s="336"/>
      <c r="J294" s="338"/>
      <c r="K294" s="337"/>
      <c r="L294" s="338"/>
      <c r="M294" s="337"/>
      <c r="N294" s="336"/>
      <c r="O294" s="336"/>
      <c r="P294" s="336"/>
      <c r="Q294" s="336"/>
      <c r="R294" s="336"/>
      <c r="S294" s="336"/>
      <c r="T294" s="336"/>
      <c r="U294" s="336"/>
      <c r="V294" s="336"/>
      <c r="W294" s="336"/>
      <c r="X294" s="336"/>
      <c r="Y294" s="336"/>
      <c r="Z294" s="336"/>
      <c r="AA294" s="336"/>
      <c r="AB294" s="338"/>
      <c r="AC294" s="338"/>
      <c r="AD294" s="338"/>
      <c r="AE294" s="336"/>
      <c r="AF294" s="336"/>
      <c r="AG294" s="338"/>
      <c r="AH294" s="336"/>
      <c r="AI294" s="338"/>
      <c r="AJ294" s="336"/>
      <c r="AK294" s="338"/>
      <c r="AL294" s="338"/>
      <c r="AM294" s="336"/>
      <c r="AN294" s="336"/>
      <c r="AO294" s="336"/>
      <c r="AP294" s="336"/>
      <c r="AQ294" s="336"/>
      <c r="AR294" s="336"/>
      <c r="AS294" s="336"/>
    </row>
    <row r="295" spans="1:45" ht="24" customHeight="1">
      <c r="A295" s="336"/>
      <c r="B295" s="336"/>
      <c r="C295" s="338"/>
      <c r="D295" s="338"/>
      <c r="E295" s="338"/>
      <c r="F295" s="337"/>
      <c r="G295" s="336"/>
      <c r="H295" s="336"/>
      <c r="I295" s="336"/>
      <c r="J295" s="338"/>
      <c r="K295" s="337"/>
      <c r="L295" s="338"/>
      <c r="M295" s="337"/>
      <c r="N295" s="336"/>
      <c r="O295" s="336"/>
      <c r="P295" s="336"/>
      <c r="Q295" s="336"/>
      <c r="R295" s="336"/>
      <c r="S295" s="336"/>
      <c r="T295" s="336"/>
      <c r="U295" s="336"/>
      <c r="V295" s="336"/>
      <c r="W295" s="336"/>
      <c r="X295" s="336"/>
      <c r="Y295" s="336"/>
      <c r="Z295" s="336"/>
      <c r="AA295" s="336"/>
      <c r="AB295" s="338"/>
      <c r="AC295" s="338"/>
      <c r="AD295" s="338"/>
      <c r="AE295" s="336"/>
      <c r="AF295" s="336"/>
      <c r="AG295" s="338"/>
      <c r="AH295" s="336"/>
      <c r="AI295" s="338"/>
      <c r="AJ295" s="336"/>
      <c r="AK295" s="338"/>
      <c r="AL295" s="338"/>
      <c r="AM295" s="336"/>
      <c r="AN295" s="336"/>
      <c r="AO295" s="336"/>
      <c r="AP295" s="336"/>
      <c r="AQ295" s="336"/>
      <c r="AR295" s="336"/>
      <c r="AS295" s="336"/>
    </row>
    <row r="296" spans="1:45" ht="24" customHeight="1">
      <c r="A296" s="336"/>
      <c r="B296" s="336"/>
      <c r="C296" s="338"/>
      <c r="D296" s="338"/>
      <c r="E296" s="338"/>
      <c r="F296" s="337"/>
      <c r="G296" s="336"/>
      <c r="H296" s="336"/>
      <c r="I296" s="336"/>
      <c r="J296" s="338"/>
      <c r="K296" s="337"/>
      <c r="L296" s="338"/>
      <c r="M296" s="337"/>
      <c r="N296" s="336"/>
      <c r="O296" s="336"/>
      <c r="P296" s="336"/>
      <c r="Q296" s="336"/>
      <c r="R296" s="336"/>
      <c r="S296" s="336"/>
      <c r="T296" s="336"/>
      <c r="U296" s="336"/>
      <c r="V296" s="336"/>
      <c r="W296" s="336"/>
      <c r="X296" s="336"/>
      <c r="Y296" s="336"/>
      <c r="Z296" s="336"/>
      <c r="AA296" s="336"/>
      <c r="AB296" s="338"/>
      <c r="AC296" s="338"/>
      <c r="AD296" s="338"/>
      <c r="AE296" s="336"/>
      <c r="AF296" s="336"/>
      <c r="AG296" s="338"/>
      <c r="AH296" s="336"/>
      <c r="AI296" s="338"/>
      <c r="AJ296" s="336"/>
      <c r="AK296" s="338"/>
      <c r="AL296" s="338"/>
      <c r="AM296" s="336"/>
      <c r="AN296" s="336"/>
      <c r="AO296" s="336"/>
      <c r="AP296" s="336"/>
      <c r="AQ296" s="336"/>
      <c r="AR296" s="336"/>
      <c r="AS296" s="336"/>
    </row>
    <row r="297" spans="1:45" ht="24" customHeight="1">
      <c r="A297" s="336"/>
      <c r="B297" s="336"/>
      <c r="C297" s="338"/>
      <c r="D297" s="338"/>
      <c r="E297" s="338"/>
      <c r="F297" s="337"/>
      <c r="G297" s="336"/>
      <c r="H297" s="336"/>
      <c r="I297" s="336"/>
      <c r="J297" s="338"/>
      <c r="K297" s="337"/>
      <c r="L297" s="338"/>
      <c r="M297" s="337"/>
      <c r="N297" s="336"/>
      <c r="O297" s="336"/>
      <c r="P297" s="336"/>
      <c r="Q297" s="336"/>
      <c r="R297" s="336"/>
      <c r="S297" s="336"/>
      <c r="T297" s="336"/>
      <c r="U297" s="336"/>
      <c r="V297" s="336"/>
      <c r="W297" s="336"/>
      <c r="X297" s="336"/>
      <c r="Y297" s="336"/>
      <c r="Z297" s="336"/>
      <c r="AA297" s="336"/>
      <c r="AB297" s="338"/>
      <c r="AC297" s="338"/>
      <c r="AD297" s="338"/>
      <c r="AE297" s="336"/>
      <c r="AF297" s="336"/>
      <c r="AG297" s="338"/>
      <c r="AH297" s="336"/>
      <c r="AI297" s="338"/>
      <c r="AJ297" s="336"/>
      <c r="AK297" s="338"/>
      <c r="AL297" s="338"/>
      <c r="AM297" s="336"/>
      <c r="AN297" s="336"/>
      <c r="AO297" s="336"/>
      <c r="AP297" s="336"/>
      <c r="AQ297" s="336"/>
      <c r="AR297" s="336"/>
      <c r="AS297" s="336"/>
    </row>
    <row r="298" spans="1:45" ht="24" customHeight="1">
      <c r="A298" s="336"/>
      <c r="B298" s="336"/>
      <c r="C298" s="338"/>
      <c r="D298" s="338"/>
      <c r="E298" s="338"/>
      <c r="F298" s="337"/>
      <c r="G298" s="336"/>
      <c r="H298" s="336"/>
      <c r="I298" s="336"/>
      <c r="J298" s="338"/>
      <c r="K298" s="337"/>
      <c r="L298" s="338"/>
      <c r="M298" s="337"/>
      <c r="N298" s="336"/>
      <c r="O298" s="336"/>
      <c r="P298" s="336"/>
      <c r="Q298" s="336"/>
      <c r="R298" s="336"/>
      <c r="S298" s="336"/>
      <c r="T298" s="336"/>
      <c r="U298" s="336"/>
      <c r="V298" s="336"/>
      <c r="W298" s="336"/>
      <c r="X298" s="336"/>
      <c r="Y298" s="336"/>
      <c r="Z298" s="336"/>
      <c r="AA298" s="336"/>
      <c r="AB298" s="338"/>
      <c r="AC298" s="338"/>
      <c r="AD298" s="338"/>
      <c r="AE298" s="336"/>
      <c r="AF298" s="336"/>
      <c r="AG298" s="338"/>
      <c r="AH298" s="336"/>
      <c r="AI298" s="338"/>
      <c r="AJ298" s="336"/>
      <c r="AK298" s="338"/>
      <c r="AL298" s="338"/>
      <c r="AM298" s="336"/>
      <c r="AN298" s="336"/>
      <c r="AO298" s="336"/>
      <c r="AP298" s="336"/>
      <c r="AQ298" s="336"/>
      <c r="AR298" s="336"/>
      <c r="AS298" s="336"/>
    </row>
    <row r="299" spans="1:45" ht="24" customHeight="1">
      <c r="A299" s="336"/>
      <c r="B299" s="336"/>
      <c r="C299" s="338"/>
      <c r="D299" s="338"/>
      <c r="E299" s="338"/>
      <c r="F299" s="337"/>
      <c r="G299" s="336"/>
      <c r="H299" s="336"/>
      <c r="I299" s="336"/>
      <c r="J299" s="338"/>
      <c r="K299" s="337"/>
      <c r="L299" s="338"/>
      <c r="M299" s="337"/>
      <c r="N299" s="336"/>
      <c r="O299" s="336"/>
      <c r="P299" s="336"/>
      <c r="Q299" s="336"/>
      <c r="R299" s="336"/>
      <c r="S299" s="336"/>
      <c r="T299" s="336"/>
      <c r="U299" s="336"/>
      <c r="V299" s="336"/>
      <c r="W299" s="336"/>
      <c r="X299" s="336"/>
      <c r="Y299" s="336"/>
      <c r="Z299" s="336"/>
      <c r="AA299" s="336"/>
      <c r="AB299" s="338"/>
      <c r="AC299" s="338"/>
      <c r="AD299" s="338"/>
      <c r="AE299" s="336"/>
      <c r="AF299" s="336"/>
      <c r="AG299" s="338"/>
      <c r="AH299" s="336"/>
      <c r="AI299" s="338"/>
      <c r="AJ299" s="336"/>
      <c r="AK299" s="338"/>
      <c r="AL299" s="338"/>
      <c r="AM299" s="336"/>
      <c r="AN299" s="336"/>
      <c r="AO299" s="336"/>
      <c r="AP299" s="336"/>
      <c r="AQ299" s="336"/>
      <c r="AR299" s="336"/>
      <c r="AS299" s="336"/>
    </row>
    <row r="300" spans="1:45" ht="24" customHeight="1">
      <c r="A300" s="336"/>
      <c r="B300" s="336"/>
      <c r="C300" s="338"/>
      <c r="D300" s="338"/>
      <c r="E300" s="338"/>
      <c r="F300" s="337"/>
      <c r="G300" s="336"/>
      <c r="H300" s="336"/>
      <c r="I300" s="336"/>
      <c r="J300" s="338"/>
      <c r="K300" s="337"/>
      <c r="L300" s="338"/>
      <c r="M300" s="337"/>
      <c r="N300" s="336"/>
      <c r="O300" s="336"/>
      <c r="P300" s="336"/>
      <c r="Q300" s="336"/>
      <c r="R300" s="336"/>
      <c r="S300" s="336"/>
      <c r="T300" s="336"/>
      <c r="U300" s="336"/>
      <c r="V300" s="336"/>
      <c r="W300" s="336"/>
      <c r="X300" s="336"/>
      <c r="Y300" s="336"/>
      <c r="Z300" s="336"/>
      <c r="AA300" s="336"/>
      <c r="AB300" s="338"/>
      <c r="AC300" s="338"/>
      <c r="AD300" s="338"/>
      <c r="AE300" s="336"/>
      <c r="AF300" s="336"/>
      <c r="AG300" s="338"/>
      <c r="AH300" s="336"/>
      <c r="AI300" s="338"/>
      <c r="AJ300" s="336"/>
      <c r="AK300" s="338"/>
      <c r="AL300" s="338"/>
      <c r="AM300" s="336"/>
      <c r="AN300" s="336"/>
      <c r="AO300" s="336"/>
      <c r="AP300" s="336"/>
      <c r="AQ300" s="336"/>
      <c r="AR300" s="336"/>
      <c r="AS300" s="336"/>
    </row>
    <row r="301" spans="1:45" ht="24" customHeight="1">
      <c r="A301" s="336"/>
      <c r="B301" s="336"/>
      <c r="C301" s="338"/>
      <c r="D301" s="338"/>
      <c r="E301" s="338"/>
      <c r="F301" s="337"/>
      <c r="G301" s="336"/>
      <c r="H301" s="336"/>
      <c r="I301" s="336"/>
      <c r="J301" s="338"/>
      <c r="K301" s="337"/>
      <c r="L301" s="338"/>
      <c r="M301" s="337"/>
      <c r="N301" s="336"/>
      <c r="O301" s="336"/>
      <c r="P301" s="336"/>
      <c r="Q301" s="336"/>
      <c r="R301" s="336"/>
      <c r="S301" s="336"/>
      <c r="T301" s="336"/>
      <c r="U301" s="336"/>
      <c r="V301" s="336"/>
      <c r="W301" s="336"/>
      <c r="X301" s="336"/>
      <c r="Y301" s="336"/>
      <c r="Z301" s="336"/>
      <c r="AA301" s="336"/>
      <c r="AB301" s="338"/>
      <c r="AC301" s="338"/>
      <c r="AD301" s="338"/>
      <c r="AE301" s="336"/>
      <c r="AF301" s="336"/>
      <c r="AG301" s="338"/>
      <c r="AH301" s="336"/>
      <c r="AI301" s="338"/>
      <c r="AJ301" s="336"/>
      <c r="AK301" s="338"/>
      <c r="AL301" s="338"/>
      <c r="AM301" s="336"/>
      <c r="AN301" s="336"/>
      <c r="AO301" s="336"/>
      <c r="AP301" s="336"/>
      <c r="AQ301" s="336"/>
      <c r="AR301" s="336"/>
      <c r="AS301" s="336"/>
    </row>
    <row r="302" spans="1:45" ht="24" customHeight="1">
      <c r="A302" s="336"/>
      <c r="B302" s="336"/>
      <c r="C302" s="338"/>
      <c r="D302" s="338"/>
      <c r="E302" s="338"/>
      <c r="F302" s="337"/>
      <c r="G302" s="336"/>
      <c r="H302" s="336"/>
      <c r="I302" s="336"/>
      <c r="J302" s="338"/>
      <c r="K302" s="337"/>
      <c r="L302" s="338"/>
      <c r="M302" s="337"/>
      <c r="N302" s="336"/>
      <c r="O302" s="336"/>
      <c r="P302" s="336"/>
      <c r="Q302" s="336"/>
      <c r="R302" s="336"/>
      <c r="S302" s="336"/>
      <c r="T302" s="336"/>
      <c r="U302" s="336"/>
      <c r="V302" s="336"/>
      <c r="W302" s="336"/>
      <c r="X302" s="336"/>
      <c r="Y302" s="336"/>
      <c r="Z302" s="336"/>
      <c r="AA302" s="336"/>
      <c r="AB302" s="338"/>
      <c r="AC302" s="338"/>
      <c r="AD302" s="338"/>
      <c r="AE302" s="336"/>
      <c r="AF302" s="336"/>
      <c r="AG302" s="338"/>
      <c r="AH302" s="336"/>
      <c r="AI302" s="338"/>
      <c r="AJ302" s="336"/>
      <c r="AK302" s="338"/>
      <c r="AL302" s="338"/>
      <c r="AM302" s="336"/>
      <c r="AN302" s="336"/>
      <c r="AO302" s="336"/>
      <c r="AP302" s="336"/>
      <c r="AQ302" s="336"/>
      <c r="AR302" s="336"/>
      <c r="AS302" s="336"/>
    </row>
    <row r="303" spans="1:45" ht="24" customHeight="1">
      <c r="A303" s="336"/>
      <c r="B303" s="336"/>
      <c r="C303" s="338"/>
      <c r="D303" s="338"/>
      <c r="E303" s="338"/>
      <c r="F303" s="337"/>
      <c r="G303" s="336"/>
      <c r="H303" s="336"/>
      <c r="I303" s="336"/>
      <c r="J303" s="338"/>
      <c r="K303" s="337"/>
      <c r="L303" s="338"/>
      <c r="M303" s="337"/>
      <c r="N303" s="336"/>
      <c r="O303" s="336"/>
      <c r="P303" s="336"/>
      <c r="Q303" s="336"/>
      <c r="R303" s="336"/>
      <c r="S303" s="336"/>
      <c r="T303" s="336"/>
      <c r="U303" s="336"/>
      <c r="V303" s="336"/>
      <c r="W303" s="336"/>
      <c r="X303" s="336"/>
      <c r="Y303" s="336"/>
      <c r="Z303" s="336"/>
      <c r="AA303" s="336"/>
      <c r="AB303" s="338"/>
      <c r="AC303" s="338"/>
      <c r="AD303" s="338"/>
      <c r="AE303" s="336"/>
      <c r="AF303" s="336"/>
      <c r="AG303" s="338"/>
      <c r="AH303" s="336"/>
      <c r="AI303" s="338"/>
      <c r="AJ303" s="336"/>
      <c r="AK303" s="338"/>
      <c r="AL303" s="338"/>
      <c r="AM303" s="336"/>
      <c r="AN303" s="336"/>
      <c r="AO303" s="336"/>
      <c r="AP303" s="336"/>
      <c r="AQ303" s="336"/>
      <c r="AR303" s="336"/>
      <c r="AS303" s="336"/>
    </row>
    <row r="304" spans="1:45" ht="24" customHeight="1">
      <c r="A304" s="336"/>
      <c r="B304" s="336"/>
      <c r="C304" s="338"/>
      <c r="D304" s="338"/>
      <c r="E304" s="338"/>
      <c r="F304" s="337"/>
      <c r="G304" s="336"/>
      <c r="H304" s="336"/>
      <c r="I304" s="336"/>
      <c r="J304" s="338"/>
      <c r="K304" s="337"/>
      <c r="L304" s="338"/>
      <c r="M304" s="337"/>
      <c r="N304" s="336"/>
      <c r="O304" s="336"/>
      <c r="P304" s="336"/>
      <c r="Q304" s="336"/>
      <c r="R304" s="336"/>
      <c r="S304" s="336"/>
      <c r="T304" s="336"/>
      <c r="U304" s="336"/>
      <c r="V304" s="336"/>
      <c r="W304" s="336"/>
      <c r="X304" s="336"/>
      <c r="Y304" s="336"/>
      <c r="Z304" s="336"/>
      <c r="AA304" s="336"/>
      <c r="AB304" s="338"/>
      <c r="AC304" s="338"/>
      <c r="AD304" s="338"/>
      <c r="AE304" s="336"/>
      <c r="AF304" s="336"/>
      <c r="AG304" s="338"/>
      <c r="AH304" s="336"/>
      <c r="AI304" s="338"/>
      <c r="AJ304" s="336"/>
      <c r="AK304" s="338"/>
      <c r="AL304" s="338"/>
      <c r="AM304" s="336"/>
      <c r="AN304" s="336"/>
      <c r="AO304" s="336"/>
      <c r="AP304" s="336"/>
      <c r="AQ304" s="336"/>
      <c r="AR304" s="336"/>
      <c r="AS304" s="336"/>
    </row>
    <row r="305" spans="1:45" ht="24" customHeight="1">
      <c r="A305" s="336"/>
      <c r="B305" s="336"/>
      <c r="C305" s="338"/>
      <c r="D305" s="338"/>
      <c r="E305" s="338"/>
      <c r="F305" s="337"/>
      <c r="G305" s="336"/>
      <c r="H305" s="336"/>
      <c r="I305" s="336"/>
      <c r="J305" s="338"/>
      <c r="K305" s="337"/>
      <c r="L305" s="338"/>
      <c r="M305" s="337"/>
      <c r="N305" s="336"/>
      <c r="O305" s="336"/>
      <c r="P305" s="336"/>
      <c r="Q305" s="336"/>
      <c r="R305" s="336"/>
      <c r="S305" s="336"/>
      <c r="T305" s="336"/>
      <c r="U305" s="336"/>
      <c r="V305" s="336"/>
      <c r="W305" s="336"/>
      <c r="X305" s="336"/>
      <c r="Y305" s="336"/>
      <c r="Z305" s="336"/>
      <c r="AA305" s="336"/>
      <c r="AB305" s="338"/>
      <c r="AC305" s="338"/>
      <c r="AD305" s="338"/>
      <c r="AE305" s="336"/>
      <c r="AF305" s="336"/>
      <c r="AG305" s="338"/>
      <c r="AH305" s="336"/>
      <c r="AI305" s="338"/>
      <c r="AJ305" s="336"/>
      <c r="AK305" s="338"/>
      <c r="AL305" s="338"/>
      <c r="AM305" s="336"/>
      <c r="AN305" s="336"/>
      <c r="AO305" s="336"/>
      <c r="AP305" s="336"/>
      <c r="AQ305" s="336"/>
      <c r="AR305" s="336"/>
      <c r="AS305" s="336"/>
    </row>
    <row r="306" spans="1:45" ht="24" customHeight="1">
      <c r="A306" s="336"/>
      <c r="B306" s="336"/>
      <c r="C306" s="338"/>
      <c r="D306" s="338"/>
      <c r="E306" s="338"/>
      <c r="F306" s="337"/>
      <c r="G306" s="336"/>
      <c r="H306" s="336"/>
      <c r="I306" s="336"/>
      <c r="J306" s="338"/>
      <c r="K306" s="337"/>
      <c r="L306" s="338"/>
      <c r="M306" s="337"/>
      <c r="N306" s="336"/>
      <c r="O306" s="336"/>
      <c r="P306" s="336"/>
      <c r="Q306" s="336"/>
      <c r="R306" s="336"/>
      <c r="S306" s="336"/>
      <c r="T306" s="336"/>
      <c r="U306" s="336"/>
      <c r="V306" s="336"/>
      <c r="W306" s="336"/>
      <c r="X306" s="336"/>
      <c r="Y306" s="336"/>
      <c r="Z306" s="336"/>
      <c r="AA306" s="336"/>
      <c r="AB306" s="338"/>
      <c r="AC306" s="338"/>
      <c r="AD306" s="338"/>
      <c r="AE306" s="336"/>
      <c r="AF306" s="336"/>
      <c r="AG306" s="338"/>
      <c r="AH306" s="336"/>
      <c r="AI306" s="338"/>
      <c r="AJ306" s="336"/>
      <c r="AK306" s="338"/>
      <c r="AL306" s="338"/>
      <c r="AM306" s="336"/>
      <c r="AN306" s="336"/>
      <c r="AO306" s="336"/>
      <c r="AP306" s="336"/>
      <c r="AQ306" s="336"/>
      <c r="AR306" s="336"/>
      <c r="AS306" s="336"/>
    </row>
    <row r="307" spans="1:45" ht="24" customHeight="1">
      <c r="A307" s="336"/>
      <c r="B307" s="336"/>
      <c r="C307" s="338"/>
      <c r="D307" s="338"/>
      <c r="E307" s="338"/>
      <c r="F307" s="337"/>
      <c r="G307" s="336"/>
      <c r="H307" s="336"/>
      <c r="I307" s="336"/>
      <c r="J307" s="338"/>
      <c r="K307" s="337"/>
      <c r="L307" s="338"/>
      <c r="M307" s="337"/>
      <c r="N307" s="336"/>
      <c r="O307" s="336"/>
      <c r="P307" s="336"/>
      <c r="Q307" s="336"/>
      <c r="R307" s="336"/>
      <c r="S307" s="336"/>
      <c r="T307" s="336"/>
      <c r="U307" s="336"/>
      <c r="V307" s="336"/>
      <c r="W307" s="336"/>
      <c r="X307" s="336"/>
      <c r="Y307" s="336"/>
      <c r="Z307" s="336"/>
      <c r="AA307" s="336"/>
      <c r="AB307" s="338"/>
      <c r="AC307" s="338"/>
      <c r="AD307" s="338"/>
      <c r="AE307" s="336"/>
      <c r="AF307" s="336"/>
      <c r="AG307" s="338"/>
      <c r="AH307" s="336"/>
      <c r="AI307" s="338"/>
      <c r="AJ307" s="336"/>
      <c r="AK307" s="338"/>
      <c r="AL307" s="338"/>
      <c r="AM307" s="336"/>
      <c r="AN307" s="336"/>
      <c r="AO307" s="336"/>
      <c r="AP307" s="336"/>
      <c r="AQ307" s="336"/>
      <c r="AR307" s="336"/>
      <c r="AS307" s="336"/>
    </row>
    <row r="308" spans="1:45" ht="24" customHeight="1">
      <c r="A308" s="336"/>
      <c r="B308" s="336"/>
      <c r="C308" s="338"/>
      <c r="D308" s="338"/>
      <c r="E308" s="338"/>
      <c r="F308" s="337"/>
      <c r="G308" s="336"/>
      <c r="H308" s="336"/>
      <c r="I308" s="336"/>
      <c r="J308" s="338"/>
      <c r="K308" s="337"/>
      <c r="L308" s="338"/>
      <c r="M308" s="337"/>
      <c r="N308" s="336"/>
      <c r="O308" s="336"/>
      <c r="P308" s="336"/>
      <c r="Q308" s="336"/>
      <c r="R308" s="336"/>
      <c r="S308" s="336"/>
      <c r="T308" s="336"/>
      <c r="U308" s="336"/>
      <c r="V308" s="336"/>
      <c r="W308" s="336"/>
      <c r="X308" s="336"/>
      <c r="Y308" s="336"/>
      <c r="Z308" s="336"/>
      <c r="AA308" s="336"/>
      <c r="AB308" s="338"/>
      <c r="AC308" s="338"/>
      <c r="AD308" s="338"/>
      <c r="AE308" s="336"/>
      <c r="AF308" s="336"/>
      <c r="AG308" s="338"/>
      <c r="AH308" s="336"/>
      <c r="AI308" s="338"/>
      <c r="AJ308" s="336"/>
      <c r="AK308" s="338"/>
      <c r="AL308" s="338"/>
      <c r="AM308" s="336"/>
      <c r="AN308" s="336"/>
      <c r="AO308" s="336"/>
      <c r="AP308" s="336"/>
      <c r="AQ308" s="336"/>
      <c r="AR308" s="336"/>
      <c r="AS308" s="336"/>
    </row>
    <row r="309" spans="1:45" ht="24" customHeight="1">
      <c r="A309" s="336"/>
      <c r="B309" s="336"/>
      <c r="C309" s="338"/>
      <c r="D309" s="338"/>
      <c r="E309" s="338"/>
      <c r="F309" s="337"/>
      <c r="G309" s="336"/>
      <c r="H309" s="336"/>
      <c r="I309" s="336"/>
      <c r="J309" s="338"/>
      <c r="K309" s="337"/>
      <c r="L309" s="338"/>
      <c r="M309" s="337"/>
      <c r="N309" s="336"/>
      <c r="O309" s="336"/>
      <c r="P309" s="336"/>
      <c r="Q309" s="336"/>
      <c r="R309" s="336"/>
      <c r="S309" s="336"/>
      <c r="T309" s="336"/>
      <c r="U309" s="336"/>
      <c r="V309" s="336"/>
      <c r="W309" s="336"/>
      <c r="X309" s="336"/>
      <c r="Y309" s="336"/>
      <c r="Z309" s="336"/>
      <c r="AA309" s="336"/>
      <c r="AB309" s="338"/>
      <c r="AC309" s="338"/>
      <c r="AD309" s="338"/>
      <c r="AE309" s="336"/>
      <c r="AF309" s="336"/>
      <c r="AG309" s="338"/>
      <c r="AH309" s="336"/>
      <c r="AI309" s="338"/>
      <c r="AJ309" s="336"/>
      <c r="AK309" s="338"/>
      <c r="AL309" s="338"/>
      <c r="AM309" s="336"/>
      <c r="AN309" s="336"/>
      <c r="AO309" s="336"/>
      <c r="AP309" s="336"/>
      <c r="AQ309" s="336"/>
      <c r="AR309" s="336"/>
      <c r="AS309" s="336"/>
    </row>
    <row r="310" spans="1:45" ht="24" customHeight="1">
      <c r="A310" s="336"/>
      <c r="B310" s="336"/>
      <c r="C310" s="338"/>
      <c r="D310" s="338"/>
      <c r="E310" s="338"/>
      <c r="F310" s="337"/>
      <c r="G310" s="336"/>
      <c r="H310" s="336"/>
      <c r="I310" s="336"/>
      <c r="J310" s="338"/>
      <c r="K310" s="337"/>
      <c r="L310" s="338"/>
      <c r="M310" s="337"/>
      <c r="N310" s="336"/>
      <c r="O310" s="336"/>
      <c r="P310" s="336"/>
      <c r="Q310" s="336"/>
      <c r="R310" s="336"/>
      <c r="S310" s="336"/>
      <c r="T310" s="336"/>
      <c r="U310" s="336"/>
      <c r="V310" s="336"/>
      <c r="W310" s="336"/>
      <c r="X310" s="336"/>
      <c r="Y310" s="336"/>
      <c r="Z310" s="336"/>
      <c r="AA310" s="336"/>
      <c r="AB310" s="338"/>
      <c r="AC310" s="338"/>
      <c r="AD310" s="338"/>
      <c r="AE310" s="336"/>
      <c r="AF310" s="336"/>
      <c r="AG310" s="338"/>
      <c r="AH310" s="336"/>
      <c r="AI310" s="338"/>
      <c r="AJ310" s="336"/>
      <c r="AK310" s="338"/>
      <c r="AL310" s="338"/>
      <c r="AM310" s="336"/>
      <c r="AN310" s="336"/>
      <c r="AO310" s="336"/>
      <c r="AP310" s="336"/>
      <c r="AQ310" s="336"/>
      <c r="AR310" s="336"/>
      <c r="AS310" s="336"/>
    </row>
    <row r="311" spans="1:45" ht="24" customHeight="1">
      <c r="A311" s="336"/>
      <c r="B311" s="336"/>
      <c r="C311" s="338"/>
      <c r="D311" s="338"/>
      <c r="E311" s="338"/>
      <c r="F311" s="337"/>
      <c r="G311" s="336"/>
      <c r="H311" s="336"/>
      <c r="I311" s="336"/>
      <c r="J311" s="338"/>
      <c r="K311" s="337"/>
      <c r="L311" s="338"/>
      <c r="M311" s="337"/>
      <c r="N311" s="336"/>
      <c r="O311" s="336"/>
      <c r="P311" s="336"/>
      <c r="Q311" s="336"/>
      <c r="R311" s="336"/>
      <c r="S311" s="336"/>
      <c r="T311" s="336"/>
      <c r="U311" s="336"/>
      <c r="V311" s="336"/>
      <c r="W311" s="336"/>
      <c r="X311" s="336"/>
      <c r="Y311" s="336"/>
      <c r="Z311" s="336"/>
      <c r="AA311" s="336"/>
      <c r="AB311" s="338"/>
      <c r="AC311" s="338"/>
      <c r="AD311" s="338"/>
      <c r="AE311" s="336"/>
      <c r="AF311" s="336"/>
      <c r="AG311" s="338"/>
      <c r="AH311" s="336"/>
      <c r="AI311" s="338"/>
      <c r="AJ311" s="336"/>
      <c r="AK311" s="338"/>
      <c r="AL311" s="338"/>
      <c r="AM311" s="336"/>
      <c r="AN311" s="336"/>
      <c r="AO311" s="336"/>
      <c r="AP311" s="336"/>
      <c r="AQ311" s="336"/>
      <c r="AR311" s="336"/>
      <c r="AS311" s="336"/>
    </row>
    <row r="312" spans="1:45" ht="24" customHeight="1">
      <c r="A312" s="336"/>
      <c r="B312" s="336"/>
      <c r="C312" s="338"/>
      <c r="D312" s="338"/>
      <c r="E312" s="338"/>
      <c r="F312" s="337"/>
      <c r="G312" s="336"/>
      <c r="H312" s="336"/>
      <c r="I312" s="336"/>
      <c r="J312" s="338"/>
      <c r="K312" s="337"/>
      <c r="L312" s="338"/>
      <c r="M312" s="337"/>
      <c r="N312" s="336"/>
      <c r="O312" s="336"/>
      <c r="P312" s="336"/>
      <c r="Q312" s="336"/>
      <c r="R312" s="336"/>
      <c r="S312" s="336"/>
      <c r="T312" s="336"/>
      <c r="U312" s="336"/>
      <c r="V312" s="336"/>
      <c r="W312" s="336"/>
      <c r="X312" s="336"/>
      <c r="Y312" s="336"/>
      <c r="Z312" s="336"/>
      <c r="AA312" s="336"/>
      <c r="AB312" s="338"/>
      <c r="AC312" s="338"/>
      <c r="AD312" s="338"/>
      <c r="AE312" s="336"/>
      <c r="AF312" s="336"/>
      <c r="AG312" s="338"/>
      <c r="AH312" s="336"/>
      <c r="AI312" s="338"/>
      <c r="AJ312" s="336"/>
      <c r="AK312" s="338"/>
      <c r="AL312" s="338"/>
      <c r="AM312" s="336"/>
      <c r="AN312" s="336"/>
      <c r="AO312" s="336"/>
      <c r="AP312" s="336"/>
      <c r="AQ312" s="336"/>
      <c r="AR312" s="336"/>
      <c r="AS312" s="336"/>
    </row>
    <row r="313" spans="1:45" ht="24" customHeight="1">
      <c r="A313" s="336"/>
      <c r="B313" s="336"/>
      <c r="C313" s="338"/>
      <c r="D313" s="338"/>
      <c r="E313" s="338"/>
      <c r="F313" s="337"/>
      <c r="G313" s="336"/>
      <c r="H313" s="336"/>
      <c r="I313" s="336"/>
      <c r="J313" s="338"/>
      <c r="K313" s="337"/>
      <c r="L313" s="338"/>
      <c r="M313" s="337"/>
      <c r="N313" s="336"/>
      <c r="O313" s="336"/>
      <c r="P313" s="336"/>
      <c r="Q313" s="336"/>
      <c r="R313" s="336"/>
      <c r="S313" s="336"/>
      <c r="T313" s="336"/>
      <c r="U313" s="336"/>
      <c r="V313" s="336"/>
      <c r="W313" s="336"/>
      <c r="X313" s="336"/>
      <c r="Y313" s="336"/>
      <c r="Z313" s="336"/>
      <c r="AA313" s="336"/>
      <c r="AB313" s="338"/>
      <c r="AC313" s="338"/>
      <c r="AD313" s="338"/>
      <c r="AE313" s="336"/>
      <c r="AF313" s="336"/>
      <c r="AG313" s="338"/>
      <c r="AH313" s="336"/>
      <c r="AI313" s="338"/>
      <c r="AJ313" s="336"/>
      <c r="AK313" s="338"/>
      <c r="AL313" s="338"/>
      <c r="AM313" s="336"/>
      <c r="AN313" s="336"/>
      <c r="AO313" s="336"/>
      <c r="AP313" s="336"/>
      <c r="AQ313" s="336"/>
      <c r="AR313" s="336"/>
      <c r="AS313" s="336"/>
    </row>
    <row r="314" spans="1:45" ht="24" customHeight="1">
      <c r="A314" s="336"/>
      <c r="B314" s="336"/>
      <c r="C314" s="338"/>
      <c r="D314" s="338"/>
      <c r="E314" s="338"/>
      <c r="F314" s="337"/>
      <c r="G314" s="336"/>
      <c r="H314" s="336"/>
      <c r="I314" s="336"/>
      <c r="J314" s="338"/>
      <c r="K314" s="337"/>
      <c r="L314" s="338"/>
      <c r="M314" s="337"/>
      <c r="N314" s="336"/>
      <c r="O314" s="336"/>
      <c r="P314" s="336"/>
      <c r="Q314" s="336"/>
      <c r="R314" s="336"/>
      <c r="S314" s="336"/>
      <c r="T314" s="336"/>
      <c r="U314" s="336"/>
      <c r="V314" s="336"/>
      <c r="W314" s="336"/>
      <c r="X314" s="336"/>
      <c r="Y314" s="336"/>
      <c r="Z314" s="336"/>
      <c r="AA314" s="336"/>
      <c r="AB314" s="338"/>
      <c r="AC314" s="338"/>
      <c r="AD314" s="338"/>
      <c r="AE314" s="336"/>
      <c r="AF314" s="336"/>
      <c r="AG314" s="338"/>
      <c r="AH314" s="336"/>
      <c r="AI314" s="338"/>
      <c r="AJ314" s="336"/>
      <c r="AK314" s="338"/>
      <c r="AL314" s="338"/>
      <c r="AM314" s="336"/>
      <c r="AN314" s="336"/>
      <c r="AO314" s="336"/>
      <c r="AP314" s="336"/>
      <c r="AQ314" s="336"/>
      <c r="AR314" s="336"/>
      <c r="AS314" s="336"/>
    </row>
    <row r="315" spans="1:45" ht="15.75" customHeight="1">
      <c r="A315" s="339"/>
      <c r="B315" s="339"/>
      <c r="C315" s="341"/>
      <c r="D315" s="341"/>
      <c r="E315" s="341"/>
      <c r="F315" s="340"/>
      <c r="G315" s="339"/>
      <c r="H315" s="339"/>
      <c r="I315" s="339"/>
      <c r="J315" s="341"/>
      <c r="K315" s="340"/>
      <c r="L315" s="341"/>
      <c r="M315" s="340"/>
      <c r="N315" s="339"/>
      <c r="O315" s="339"/>
      <c r="P315" s="339"/>
      <c r="Q315" s="339"/>
      <c r="R315" s="339"/>
      <c r="S315" s="339"/>
      <c r="T315" s="339"/>
      <c r="U315" s="339"/>
      <c r="V315" s="339"/>
      <c r="W315" s="339"/>
      <c r="X315" s="339"/>
      <c r="Y315" s="339"/>
      <c r="Z315" s="339"/>
      <c r="AA315" s="339"/>
      <c r="AB315" s="341"/>
      <c r="AC315" s="341"/>
      <c r="AD315" s="341"/>
      <c r="AE315" s="339"/>
      <c r="AF315" s="339"/>
      <c r="AG315" s="341"/>
      <c r="AH315" s="339"/>
      <c r="AI315" s="341"/>
      <c r="AJ315" s="339"/>
      <c r="AK315" s="341"/>
      <c r="AL315" s="341"/>
      <c r="AM315" s="339"/>
      <c r="AN315" s="339"/>
      <c r="AO315" s="339"/>
      <c r="AP315" s="339"/>
      <c r="AQ315" s="339"/>
      <c r="AR315" s="339"/>
      <c r="AS315" s="339"/>
    </row>
    <row r="316" spans="1:45" ht="15.75" customHeight="1">
      <c r="A316" s="339"/>
      <c r="B316" s="339"/>
      <c r="C316" s="341"/>
      <c r="D316" s="341"/>
      <c r="E316" s="341"/>
      <c r="F316" s="340"/>
      <c r="G316" s="339"/>
      <c r="H316" s="339"/>
      <c r="I316" s="339"/>
      <c r="J316" s="341"/>
      <c r="K316" s="340"/>
      <c r="L316" s="341"/>
      <c r="M316" s="340"/>
      <c r="N316" s="339"/>
      <c r="O316" s="339"/>
      <c r="P316" s="339"/>
      <c r="Q316" s="339"/>
      <c r="R316" s="339"/>
      <c r="S316" s="339"/>
      <c r="T316" s="339"/>
      <c r="U316" s="339"/>
      <c r="V316" s="339"/>
      <c r="W316" s="339"/>
      <c r="X316" s="339"/>
      <c r="Y316" s="339"/>
      <c r="Z316" s="339"/>
      <c r="AA316" s="339"/>
      <c r="AB316" s="341"/>
      <c r="AC316" s="341"/>
      <c r="AD316" s="341"/>
      <c r="AE316" s="339"/>
      <c r="AF316" s="339"/>
      <c r="AG316" s="341"/>
      <c r="AH316" s="339"/>
      <c r="AI316" s="341"/>
      <c r="AJ316" s="339"/>
      <c r="AK316" s="341"/>
      <c r="AL316" s="341"/>
      <c r="AM316" s="339"/>
      <c r="AN316" s="339"/>
      <c r="AO316" s="339"/>
      <c r="AP316" s="339"/>
      <c r="AQ316" s="339"/>
      <c r="AR316" s="339"/>
      <c r="AS316" s="339"/>
    </row>
    <row r="317" spans="1:45" ht="15.75" customHeight="1">
      <c r="A317" s="339"/>
      <c r="B317" s="339"/>
      <c r="C317" s="341"/>
      <c r="D317" s="341"/>
      <c r="E317" s="341"/>
      <c r="F317" s="340"/>
      <c r="G317" s="339"/>
      <c r="H317" s="339"/>
      <c r="I317" s="339"/>
      <c r="J317" s="341"/>
      <c r="K317" s="340"/>
      <c r="L317" s="341"/>
      <c r="M317" s="340"/>
      <c r="N317" s="339"/>
      <c r="O317" s="339"/>
      <c r="P317" s="339"/>
      <c r="Q317" s="339"/>
      <c r="R317" s="339"/>
      <c r="S317" s="339"/>
      <c r="T317" s="339"/>
      <c r="U317" s="339"/>
      <c r="V317" s="339"/>
      <c r="W317" s="339"/>
      <c r="X317" s="339"/>
      <c r="Y317" s="339"/>
      <c r="Z317" s="339"/>
      <c r="AA317" s="339"/>
      <c r="AB317" s="341"/>
      <c r="AC317" s="341"/>
      <c r="AD317" s="341"/>
      <c r="AE317" s="339"/>
      <c r="AF317" s="339"/>
      <c r="AG317" s="341"/>
      <c r="AH317" s="339"/>
      <c r="AI317" s="341"/>
      <c r="AJ317" s="339"/>
      <c r="AK317" s="341"/>
      <c r="AL317" s="341"/>
      <c r="AM317" s="339"/>
      <c r="AN317" s="339"/>
      <c r="AO317" s="339"/>
      <c r="AP317" s="339"/>
      <c r="AQ317" s="339"/>
      <c r="AR317" s="339"/>
      <c r="AS317" s="339"/>
    </row>
    <row r="318" spans="1:45" ht="15.75" customHeight="1">
      <c r="A318" s="339"/>
      <c r="B318" s="339"/>
      <c r="C318" s="341"/>
      <c r="D318" s="341"/>
      <c r="E318" s="341"/>
      <c r="F318" s="340"/>
      <c r="G318" s="339"/>
      <c r="H318" s="339"/>
      <c r="I318" s="339"/>
      <c r="J318" s="341"/>
      <c r="K318" s="340"/>
      <c r="L318" s="341"/>
      <c r="M318" s="340"/>
      <c r="N318" s="339"/>
      <c r="O318" s="339"/>
      <c r="P318" s="339"/>
      <c r="Q318" s="339"/>
      <c r="R318" s="339"/>
      <c r="S318" s="339"/>
      <c r="T318" s="339"/>
      <c r="U318" s="339"/>
      <c r="V318" s="339"/>
      <c r="W318" s="339"/>
      <c r="X318" s="339"/>
      <c r="Y318" s="339"/>
      <c r="Z318" s="339"/>
      <c r="AA318" s="339"/>
      <c r="AB318" s="341"/>
      <c r="AC318" s="341"/>
      <c r="AD318" s="341"/>
      <c r="AE318" s="339"/>
      <c r="AF318" s="339"/>
      <c r="AG318" s="341"/>
      <c r="AH318" s="339"/>
      <c r="AI318" s="341"/>
      <c r="AJ318" s="339"/>
      <c r="AK318" s="341"/>
      <c r="AL318" s="341"/>
      <c r="AM318" s="339"/>
      <c r="AN318" s="339"/>
      <c r="AO318" s="339"/>
      <c r="AP318" s="339"/>
      <c r="AQ318" s="339"/>
      <c r="AR318" s="339"/>
      <c r="AS318" s="339"/>
    </row>
    <row r="319" spans="1:45" ht="15.75" customHeight="1">
      <c r="A319" s="339"/>
      <c r="B319" s="339"/>
      <c r="C319" s="341"/>
      <c r="D319" s="341"/>
      <c r="E319" s="341"/>
      <c r="F319" s="340"/>
      <c r="G319" s="339"/>
      <c r="H319" s="339"/>
      <c r="I319" s="339"/>
      <c r="J319" s="341"/>
      <c r="K319" s="340"/>
      <c r="L319" s="341"/>
      <c r="M319" s="340"/>
      <c r="N319" s="339"/>
      <c r="O319" s="339"/>
      <c r="P319" s="339"/>
      <c r="Q319" s="339"/>
      <c r="R319" s="339"/>
      <c r="S319" s="339"/>
      <c r="T319" s="339"/>
      <c r="U319" s="339"/>
      <c r="V319" s="339"/>
      <c r="W319" s="339"/>
      <c r="X319" s="339"/>
      <c r="Y319" s="339"/>
      <c r="Z319" s="339"/>
      <c r="AA319" s="339"/>
      <c r="AB319" s="341"/>
      <c r="AC319" s="341"/>
      <c r="AD319" s="341"/>
      <c r="AE319" s="339"/>
      <c r="AF319" s="339"/>
      <c r="AG319" s="341"/>
      <c r="AH319" s="339"/>
      <c r="AI319" s="341"/>
      <c r="AJ319" s="339"/>
      <c r="AK319" s="341"/>
      <c r="AL319" s="341"/>
      <c r="AM319" s="339"/>
      <c r="AN319" s="339"/>
      <c r="AO319" s="339"/>
      <c r="AP319" s="339"/>
      <c r="AQ319" s="339"/>
      <c r="AR319" s="339"/>
      <c r="AS319" s="339"/>
    </row>
    <row r="320" spans="1:45" ht="15.75" customHeight="1">
      <c r="A320" s="339"/>
      <c r="B320" s="339"/>
      <c r="C320" s="341"/>
      <c r="D320" s="341"/>
      <c r="E320" s="341"/>
      <c r="F320" s="340"/>
      <c r="G320" s="339"/>
      <c r="H320" s="339"/>
      <c r="I320" s="339"/>
      <c r="J320" s="341"/>
      <c r="K320" s="340"/>
      <c r="L320" s="341"/>
      <c r="M320" s="340"/>
      <c r="N320" s="339"/>
      <c r="O320" s="339"/>
      <c r="P320" s="339"/>
      <c r="Q320" s="339"/>
      <c r="R320" s="339"/>
      <c r="S320" s="339"/>
      <c r="T320" s="339"/>
      <c r="U320" s="339"/>
      <c r="V320" s="339"/>
      <c r="W320" s="339"/>
      <c r="X320" s="339"/>
      <c r="Y320" s="339"/>
      <c r="Z320" s="339"/>
      <c r="AA320" s="339"/>
      <c r="AB320" s="341"/>
      <c r="AC320" s="341"/>
      <c r="AD320" s="341"/>
      <c r="AE320" s="339"/>
      <c r="AF320" s="339"/>
      <c r="AG320" s="341"/>
      <c r="AH320" s="339"/>
      <c r="AI320" s="341"/>
      <c r="AJ320" s="339"/>
      <c r="AK320" s="341"/>
      <c r="AL320" s="341"/>
      <c r="AM320" s="339"/>
      <c r="AN320" s="339"/>
      <c r="AO320" s="339"/>
      <c r="AP320" s="339"/>
      <c r="AQ320" s="339"/>
      <c r="AR320" s="339"/>
      <c r="AS320" s="339"/>
    </row>
    <row r="321" spans="1:45" ht="15.75" customHeight="1">
      <c r="A321" s="339"/>
      <c r="B321" s="339"/>
      <c r="C321" s="341"/>
      <c r="D321" s="341"/>
      <c r="E321" s="341"/>
      <c r="F321" s="340"/>
      <c r="G321" s="339"/>
      <c r="H321" s="339"/>
      <c r="I321" s="339"/>
      <c r="J321" s="341"/>
      <c r="K321" s="340"/>
      <c r="L321" s="341"/>
      <c r="M321" s="340"/>
      <c r="N321" s="339"/>
      <c r="O321" s="339"/>
      <c r="P321" s="339"/>
      <c r="Q321" s="339"/>
      <c r="R321" s="339"/>
      <c r="S321" s="339"/>
      <c r="T321" s="339"/>
      <c r="U321" s="339"/>
      <c r="V321" s="339"/>
      <c r="W321" s="339"/>
      <c r="X321" s="339"/>
      <c r="Y321" s="339"/>
      <c r="Z321" s="339"/>
      <c r="AA321" s="339"/>
      <c r="AB321" s="341"/>
      <c r="AC321" s="341"/>
      <c r="AD321" s="341"/>
      <c r="AE321" s="339"/>
      <c r="AF321" s="339"/>
      <c r="AG321" s="341"/>
      <c r="AH321" s="339"/>
      <c r="AI321" s="341"/>
      <c r="AJ321" s="339"/>
      <c r="AK321" s="341"/>
      <c r="AL321" s="341"/>
      <c r="AM321" s="339"/>
      <c r="AN321" s="339"/>
      <c r="AO321" s="339"/>
      <c r="AP321" s="339"/>
      <c r="AQ321" s="339"/>
      <c r="AR321" s="339"/>
      <c r="AS321" s="339"/>
    </row>
    <row r="322" spans="1:45" ht="15.75" customHeight="1">
      <c r="A322" s="339"/>
      <c r="B322" s="339"/>
      <c r="C322" s="341"/>
      <c r="D322" s="341"/>
      <c r="E322" s="341"/>
      <c r="F322" s="340"/>
      <c r="G322" s="339"/>
      <c r="H322" s="339"/>
      <c r="I322" s="339"/>
      <c r="J322" s="341"/>
      <c r="K322" s="340"/>
      <c r="L322" s="341"/>
      <c r="M322" s="340"/>
      <c r="N322" s="339"/>
      <c r="O322" s="339"/>
      <c r="P322" s="339"/>
      <c r="Q322" s="339"/>
      <c r="R322" s="339"/>
      <c r="S322" s="339"/>
      <c r="T322" s="339"/>
      <c r="U322" s="339"/>
      <c r="V322" s="339"/>
      <c r="W322" s="339"/>
      <c r="X322" s="339"/>
      <c r="Y322" s="339"/>
      <c r="Z322" s="339"/>
      <c r="AA322" s="339"/>
      <c r="AB322" s="341"/>
      <c r="AC322" s="341"/>
      <c r="AD322" s="341"/>
      <c r="AE322" s="339"/>
      <c r="AF322" s="339"/>
      <c r="AG322" s="341"/>
      <c r="AH322" s="339"/>
      <c r="AI322" s="341"/>
      <c r="AJ322" s="339"/>
      <c r="AK322" s="341"/>
      <c r="AL322" s="341"/>
      <c r="AM322" s="339"/>
      <c r="AN322" s="339"/>
      <c r="AO322" s="339"/>
      <c r="AP322" s="339"/>
      <c r="AQ322" s="339"/>
      <c r="AR322" s="339"/>
      <c r="AS322" s="339"/>
    </row>
    <row r="323" spans="1:45" ht="15.75" customHeight="1">
      <c r="A323" s="339"/>
      <c r="B323" s="339"/>
      <c r="C323" s="341"/>
      <c r="D323" s="341"/>
      <c r="E323" s="341"/>
      <c r="F323" s="340"/>
      <c r="G323" s="339"/>
      <c r="H323" s="339"/>
      <c r="I323" s="339"/>
      <c r="J323" s="341"/>
      <c r="K323" s="340"/>
      <c r="L323" s="341"/>
      <c r="M323" s="340"/>
      <c r="N323" s="339"/>
      <c r="O323" s="339"/>
      <c r="P323" s="339"/>
      <c r="Q323" s="339"/>
      <c r="R323" s="339"/>
      <c r="S323" s="339"/>
      <c r="T323" s="339"/>
      <c r="U323" s="339"/>
      <c r="V323" s="339"/>
      <c r="W323" s="339"/>
      <c r="X323" s="339"/>
      <c r="Y323" s="339"/>
      <c r="Z323" s="339"/>
      <c r="AA323" s="339"/>
      <c r="AB323" s="341"/>
      <c r="AC323" s="341"/>
      <c r="AD323" s="341"/>
      <c r="AE323" s="339"/>
      <c r="AF323" s="339"/>
      <c r="AG323" s="341"/>
      <c r="AH323" s="339"/>
      <c r="AI323" s="341"/>
      <c r="AJ323" s="339"/>
      <c r="AK323" s="341"/>
      <c r="AL323" s="341"/>
      <c r="AM323" s="339"/>
      <c r="AN323" s="339"/>
      <c r="AO323" s="339"/>
      <c r="AP323" s="339"/>
      <c r="AQ323" s="339"/>
      <c r="AR323" s="339"/>
      <c r="AS323" s="339"/>
    </row>
    <row r="324" spans="1:45" ht="15.75" customHeight="1">
      <c r="A324" s="339"/>
      <c r="B324" s="339"/>
      <c r="C324" s="341"/>
      <c r="D324" s="341"/>
      <c r="E324" s="341"/>
      <c r="F324" s="340"/>
      <c r="G324" s="339"/>
      <c r="H324" s="339"/>
      <c r="I324" s="339"/>
      <c r="J324" s="341"/>
      <c r="K324" s="340"/>
      <c r="L324" s="341"/>
      <c r="M324" s="340"/>
      <c r="N324" s="339"/>
      <c r="O324" s="339"/>
      <c r="P324" s="339"/>
      <c r="Q324" s="339"/>
      <c r="R324" s="339"/>
      <c r="S324" s="339"/>
      <c r="T324" s="339"/>
      <c r="U324" s="339"/>
      <c r="V324" s="339"/>
      <c r="W324" s="339"/>
      <c r="X324" s="339"/>
      <c r="Y324" s="339"/>
      <c r="Z324" s="339"/>
      <c r="AA324" s="339"/>
      <c r="AB324" s="341"/>
      <c r="AC324" s="341"/>
      <c r="AD324" s="341"/>
      <c r="AE324" s="339"/>
      <c r="AF324" s="339"/>
      <c r="AG324" s="341"/>
      <c r="AH324" s="339"/>
      <c r="AI324" s="341"/>
      <c r="AJ324" s="339"/>
      <c r="AK324" s="341"/>
      <c r="AL324" s="341"/>
      <c r="AM324" s="339"/>
      <c r="AN324" s="339"/>
      <c r="AO324" s="339"/>
      <c r="AP324" s="339"/>
      <c r="AQ324" s="339"/>
      <c r="AR324" s="339"/>
      <c r="AS324" s="339"/>
    </row>
    <row r="325" spans="1:45" ht="15.75" customHeight="1">
      <c r="A325" s="339"/>
      <c r="B325" s="339"/>
      <c r="C325" s="341"/>
      <c r="D325" s="341"/>
      <c r="E325" s="341"/>
      <c r="F325" s="340"/>
      <c r="G325" s="339"/>
      <c r="H325" s="339"/>
      <c r="I325" s="339"/>
      <c r="J325" s="341"/>
      <c r="K325" s="340"/>
      <c r="L325" s="341"/>
      <c r="M325" s="340"/>
      <c r="N325" s="339"/>
      <c r="O325" s="339"/>
      <c r="P325" s="339"/>
      <c r="Q325" s="339"/>
      <c r="R325" s="339"/>
      <c r="S325" s="339"/>
      <c r="T325" s="339"/>
      <c r="U325" s="339"/>
      <c r="V325" s="339"/>
      <c r="W325" s="339"/>
      <c r="X325" s="339"/>
      <c r="Y325" s="339"/>
      <c r="Z325" s="339"/>
      <c r="AA325" s="339"/>
      <c r="AB325" s="341"/>
      <c r="AC325" s="341"/>
      <c r="AD325" s="341"/>
      <c r="AE325" s="339"/>
      <c r="AF325" s="339"/>
      <c r="AG325" s="341"/>
      <c r="AH325" s="339"/>
      <c r="AI325" s="341"/>
      <c r="AJ325" s="339"/>
      <c r="AK325" s="341"/>
      <c r="AL325" s="341"/>
      <c r="AM325" s="339"/>
      <c r="AN325" s="339"/>
      <c r="AO325" s="339"/>
      <c r="AP325" s="339"/>
      <c r="AQ325" s="339"/>
      <c r="AR325" s="339"/>
      <c r="AS325" s="339"/>
    </row>
    <row r="326" spans="1:45" ht="15.75" customHeight="1">
      <c r="A326" s="339"/>
      <c r="B326" s="339"/>
      <c r="C326" s="341"/>
      <c r="D326" s="341"/>
      <c r="E326" s="341"/>
      <c r="F326" s="340"/>
      <c r="G326" s="339"/>
      <c r="H326" s="339"/>
      <c r="I326" s="339"/>
      <c r="J326" s="341"/>
      <c r="K326" s="340"/>
      <c r="L326" s="341"/>
      <c r="M326" s="340"/>
      <c r="N326" s="339"/>
      <c r="O326" s="339"/>
      <c r="P326" s="339"/>
      <c r="Q326" s="339"/>
      <c r="R326" s="339"/>
      <c r="S326" s="339"/>
      <c r="T326" s="339"/>
      <c r="U326" s="339"/>
      <c r="V326" s="339"/>
      <c r="W326" s="339"/>
      <c r="X326" s="339"/>
      <c r="Y326" s="339"/>
      <c r="Z326" s="339"/>
      <c r="AA326" s="339"/>
      <c r="AB326" s="341"/>
      <c r="AC326" s="341"/>
      <c r="AD326" s="341"/>
      <c r="AE326" s="339"/>
      <c r="AF326" s="339"/>
      <c r="AG326" s="341"/>
      <c r="AH326" s="339"/>
      <c r="AI326" s="341"/>
      <c r="AJ326" s="339"/>
      <c r="AK326" s="341"/>
      <c r="AL326" s="341"/>
      <c r="AM326" s="339"/>
      <c r="AN326" s="339"/>
      <c r="AO326" s="339"/>
      <c r="AP326" s="339"/>
      <c r="AQ326" s="339"/>
      <c r="AR326" s="339"/>
      <c r="AS326" s="339"/>
    </row>
    <row r="327" spans="1:45" ht="15.75" customHeight="1">
      <c r="A327" s="339"/>
      <c r="B327" s="339"/>
      <c r="C327" s="341"/>
      <c r="D327" s="341"/>
      <c r="E327" s="341"/>
      <c r="F327" s="340"/>
      <c r="G327" s="339"/>
      <c r="H327" s="339"/>
      <c r="I327" s="339"/>
      <c r="J327" s="341"/>
      <c r="K327" s="340"/>
      <c r="L327" s="341"/>
      <c r="M327" s="340"/>
      <c r="N327" s="339"/>
      <c r="O327" s="339"/>
      <c r="P327" s="339"/>
      <c r="Q327" s="339"/>
      <c r="R327" s="339"/>
      <c r="S327" s="339"/>
      <c r="T327" s="339"/>
      <c r="U327" s="339"/>
      <c r="V327" s="339"/>
      <c r="W327" s="339"/>
      <c r="X327" s="339"/>
      <c r="Y327" s="339"/>
      <c r="Z327" s="339"/>
      <c r="AA327" s="339"/>
      <c r="AB327" s="341"/>
      <c r="AC327" s="341"/>
      <c r="AD327" s="341"/>
      <c r="AE327" s="339"/>
      <c r="AF327" s="339"/>
      <c r="AG327" s="341"/>
      <c r="AH327" s="339"/>
      <c r="AI327" s="341"/>
      <c r="AJ327" s="339"/>
      <c r="AK327" s="341"/>
      <c r="AL327" s="341"/>
      <c r="AM327" s="339"/>
      <c r="AN327" s="339"/>
      <c r="AO327" s="339"/>
      <c r="AP327" s="339"/>
      <c r="AQ327" s="339"/>
      <c r="AR327" s="339"/>
      <c r="AS327" s="339"/>
    </row>
    <row r="328" spans="1:45" ht="15.75" customHeight="1">
      <c r="A328" s="339"/>
      <c r="B328" s="339"/>
      <c r="C328" s="341"/>
      <c r="D328" s="341"/>
      <c r="E328" s="341"/>
      <c r="F328" s="340"/>
      <c r="G328" s="339"/>
      <c r="H328" s="339"/>
      <c r="I328" s="339"/>
      <c r="J328" s="341"/>
      <c r="K328" s="340"/>
      <c r="L328" s="341"/>
      <c r="M328" s="340"/>
      <c r="N328" s="339"/>
      <c r="O328" s="339"/>
      <c r="P328" s="339"/>
      <c r="Q328" s="339"/>
      <c r="R328" s="339"/>
      <c r="S328" s="339"/>
      <c r="T328" s="339"/>
      <c r="U328" s="339"/>
      <c r="V328" s="339"/>
      <c r="W328" s="339"/>
      <c r="X328" s="339"/>
      <c r="Y328" s="339"/>
      <c r="Z328" s="339"/>
      <c r="AA328" s="339"/>
      <c r="AB328" s="341"/>
      <c r="AC328" s="341"/>
      <c r="AD328" s="341"/>
      <c r="AE328" s="339"/>
      <c r="AF328" s="339"/>
      <c r="AG328" s="341"/>
      <c r="AH328" s="339"/>
      <c r="AI328" s="341"/>
      <c r="AJ328" s="339"/>
      <c r="AK328" s="341"/>
      <c r="AL328" s="341"/>
      <c r="AM328" s="339"/>
      <c r="AN328" s="339"/>
      <c r="AO328" s="339"/>
      <c r="AP328" s="339"/>
      <c r="AQ328" s="339"/>
      <c r="AR328" s="339"/>
      <c r="AS328" s="339"/>
    </row>
    <row r="329" spans="1:45" ht="15.75" customHeight="1">
      <c r="A329" s="339"/>
      <c r="B329" s="339"/>
      <c r="C329" s="341"/>
      <c r="D329" s="341"/>
      <c r="E329" s="341"/>
      <c r="F329" s="340"/>
      <c r="G329" s="339"/>
      <c r="H329" s="339"/>
      <c r="I329" s="339"/>
      <c r="J329" s="341"/>
      <c r="K329" s="340"/>
      <c r="L329" s="341"/>
      <c r="M329" s="340"/>
      <c r="N329" s="339"/>
      <c r="O329" s="339"/>
      <c r="P329" s="339"/>
      <c r="Q329" s="339"/>
      <c r="R329" s="339"/>
      <c r="S329" s="339"/>
      <c r="T329" s="339"/>
      <c r="U329" s="339"/>
      <c r="V329" s="339"/>
      <c r="W329" s="339"/>
      <c r="X329" s="339"/>
      <c r="Y329" s="339"/>
      <c r="Z329" s="339"/>
      <c r="AA329" s="339"/>
      <c r="AB329" s="341"/>
      <c r="AC329" s="341"/>
      <c r="AD329" s="341"/>
      <c r="AE329" s="339"/>
      <c r="AF329" s="339"/>
      <c r="AG329" s="341"/>
      <c r="AH329" s="339"/>
      <c r="AI329" s="341"/>
      <c r="AJ329" s="339"/>
      <c r="AK329" s="341"/>
      <c r="AL329" s="341"/>
      <c r="AM329" s="339"/>
      <c r="AN329" s="339"/>
      <c r="AO329" s="339"/>
      <c r="AP329" s="339"/>
      <c r="AQ329" s="339"/>
      <c r="AR329" s="339"/>
      <c r="AS329" s="339"/>
    </row>
    <row r="330" spans="1:45" ht="15.75" customHeight="1">
      <c r="A330" s="339"/>
      <c r="B330" s="339"/>
      <c r="C330" s="341"/>
      <c r="D330" s="341"/>
      <c r="E330" s="341"/>
      <c r="F330" s="340"/>
      <c r="G330" s="339"/>
      <c r="H330" s="339"/>
      <c r="I330" s="339"/>
      <c r="J330" s="341"/>
      <c r="K330" s="340"/>
      <c r="L330" s="341"/>
      <c r="M330" s="340"/>
      <c r="N330" s="339"/>
      <c r="O330" s="339"/>
      <c r="P330" s="339"/>
      <c r="Q330" s="339"/>
      <c r="R330" s="339"/>
      <c r="S330" s="339"/>
      <c r="T330" s="339"/>
      <c r="U330" s="339"/>
      <c r="V330" s="339"/>
      <c r="W330" s="339"/>
      <c r="X330" s="339"/>
      <c r="Y330" s="339"/>
      <c r="Z330" s="339"/>
      <c r="AA330" s="339"/>
      <c r="AB330" s="341"/>
      <c r="AC330" s="341"/>
      <c r="AD330" s="341"/>
      <c r="AE330" s="339"/>
      <c r="AF330" s="339"/>
      <c r="AG330" s="341"/>
      <c r="AH330" s="339"/>
      <c r="AI330" s="341"/>
      <c r="AJ330" s="339"/>
      <c r="AK330" s="341"/>
      <c r="AL330" s="341"/>
      <c r="AM330" s="339"/>
      <c r="AN330" s="339"/>
      <c r="AO330" s="339"/>
      <c r="AP330" s="339"/>
      <c r="AQ330" s="339"/>
      <c r="AR330" s="339"/>
      <c r="AS330" s="339"/>
    </row>
    <row r="331" spans="1:45" ht="15.75" customHeight="1">
      <c r="A331" s="339"/>
      <c r="B331" s="339"/>
      <c r="C331" s="341"/>
      <c r="D331" s="341"/>
      <c r="E331" s="341"/>
      <c r="F331" s="340"/>
      <c r="G331" s="339"/>
      <c r="H331" s="339"/>
      <c r="I331" s="339"/>
      <c r="J331" s="341"/>
      <c r="K331" s="340"/>
      <c r="L331" s="341"/>
      <c r="M331" s="340"/>
      <c r="N331" s="339"/>
      <c r="O331" s="339"/>
      <c r="P331" s="339"/>
      <c r="Q331" s="339"/>
      <c r="R331" s="339"/>
      <c r="S331" s="339"/>
      <c r="T331" s="339"/>
      <c r="U331" s="339"/>
      <c r="V331" s="339"/>
      <c r="W331" s="339"/>
      <c r="X331" s="339"/>
      <c r="Y331" s="339"/>
      <c r="Z331" s="339"/>
      <c r="AA331" s="339"/>
      <c r="AB331" s="341"/>
      <c r="AC331" s="341"/>
      <c r="AD331" s="341"/>
      <c r="AE331" s="339"/>
      <c r="AF331" s="339"/>
      <c r="AG331" s="341"/>
      <c r="AH331" s="339"/>
      <c r="AI331" s="341"/>
      <c r="AJ331" s="339"/>
      <c r="AK331" s="341"/>
      <c r="AL331" s="341"/>
      <c r="AM331" s="339"/>
      <c r="AN331" s="339"/>
      <c r="AO331" s="339"/>
      <c r="AP331" s="339"/>
      <c r="AQ331" s="339"/>
      <c r="AR331" s="339"/>
      <c r="AS331" s="339"/>
    </row>
    <row r="332" spans="1:45" ht="15.75" customHeight="1">
      <c r="A332" s="339"/>
      <c r="B332" s="339"/>
      <c r="C332" s="341"/>
      <c r="D332" s="341"/>
      <c r="E332" s="341"/>
      <c r="F332" s="340"/>
      <c r="G332" s="339"/>
      <c r="H332" s="339"/>
      <c r="I332" s="339"/>
      <c r="J332" s="341"/>
      <c r="K332" s="340"/>
      <c r="L332" s="341"/>
      <c r="M332" s="340"/>
      <c r="N332" s="339"/>
      <c r="O332" s="339"/>
      <c r="P332" s="339"/>
      <c r="Q332" s="339"/>
      <c r="R332" s="339"/>
      <c r="S332" s="339"/>
      <c r="T332" s="339"/>
      <c r="U332" s="339"/>
      <c r="V332" s="339"/>
      <c r="W332" s="339"/>
      <c r="X332" s="339"/>
      <c r="Y332" s="339"/>
      <c r="Z332" s="339"/>
      <c r="AA332" s="339"/>
      <c r="AB332" s="341"/>
      <c r="AC332" s="341"/>
      <c r="AD332" s="341"/>
      <c r="AE332" s="339"/>
      <c r="AF332" s="339"/>
      <c r="AG332" s="341"/>
      <c r="AH332" s="339"/>
      <c r="AI332" s="341"/>
      <c r="AJ332" s="339"/>
      <c r="AK332" s="341"/>
      <c r="AL332" s="341"/>
      <c r="AM332" s="339"/>
      <c r="AN332" s="339"/>
      <c r="AO332" s="339"/>
      <c r="AP332" s="339"/>
      <c r="AQ332" s="339"/>
      <c r="AR332" s="339"/>
      <c r="AS332" s="339"/>
    </row>
    <row r="333" spans="1:45" ht="15.75" customHeight="1">
      <c r="A333" s="339"/>
      <c r="B333" s="339"/>
      <c r="C333" s="341"/>
      <c r="D333" s="341"/>
      <c r="E333" s="341"/>
      <c r="F333" s="340"/>
      <c r="G333" s="339"/>
      <c r="H333" s="339"/>
      <c r="I333" s="339"/>
      <c r="J333" s="341"/>
      <c r="K333" s="340"/>
      <c r="L333" s="341"/>
      <c r="M333" s="340"/>
      <c r="N333" s="339"/>
      <c r="O333" s="339"/>
      <c r="P333" s="339"/>
      <c r="Q333" s="339"/>
      <c r="R333" s="339"/>
      <c r="S333" s="339"/>
      <c r="T333" s="339"/>
      <c r="U333" s="339"/>
      <c r="V333" s="339"/>
      <c r="W333" s="339"/>
      <c r="X333" s="339"/>
      <c r="Y333" s="339"/>
      <c r="Z333" s="339"/>
      <c r="AA333" s="339"/>
      <c r="AB333" s="341"/>
      <c r="AC333" s="341"/>
      <c r="AD333" s="341"/>
      <c r="AE333" s="339"/>
      <c r="AF333" s="339"/>
      <c r="AG333" s="341"/>
      <c r="AH333" s="339"/>
      <c r="AI333" s="341"/>
      <c r="AJ333" s="339"/>
      <c r="AK333" s="341"/>
      <c r="AL333" s="341"/>
      <c r="AM333" s="339"/>
      <c r="AN333" s="339"/>
      <c r="AO333" s="339"/>
      <c r="AP333" s="339"/>
      <c r="AQ333" s="339"/>
      <c r="AR333" s="339"/>
      <c r="AS333" s="339"/>
    </row>
    <row r="334" spans="1:45" ht="15.75" customHeight="1">
      <c r="A334" s="339"/>
      <c r="B334" s="339"/>
      <c r="C334" s="341"/>
      <c r="D334" s="341"/>
      <c r="E334" s="341"/>
      <c r="F334" s="340"/>
      <c r="G334" s="339"/>
      <c r="H334" s="339"/>
      <c r="I334" s="339"/>
      <c r="J334" s="341"/>
      <c r="K334" s="340"/>
      <c r="L334" s="341"/>
      <c r="M334" s="340"/>
      <c r="N334" s="339"/>
      <c r="O334" s="339"/>
      <c r="P334" s="339"/>
      <c r="Q334" s="339"/>
      <c r="R334" s="339"/>
      <c r="S334" s="339"/>
      <c r="T334" s="339"/>
      <c r="U334" s="339"/>
      <c r="V334" s="339"/>
      <c r="W334" s="339"/>
      <c r="X334" s="339"/>
      <c r="Y334" s="339"/>
      <c r="Z334" s="339"/>
      <c r="AA334" s="339"/>
      <c r="AB334" s="341"/>
      <c r="AC334" s="341"/>
      <c r="AD334" s="341"/>
      <c r="AE334" s="339"/>
      <c r="AF334" s="339"/>
      <c r="AG334" s="341"/>
      <c r="AH334" s="339"/>
      <c r="AI334" s="341"/>
      <c r="AJ334" s="339"/>
      <c r="AK334" s="341"/>
      <c r="AL334" s="341"/>
      <c r="AM334" s="339"/>
      <c r="AN334" s="339"/>
      <c r="AO334" s="339"/>
      <c r="AP334" s="339"/>
      <c r="AQ334" s="339"/>
      <c r="AR334" s="339"/>
      <c r="AS334" s="339"/>
    </row>
    <row r="335" spans="1:45" ht="15.75" customHeight="1">
      <c r="A335" s="339"/>
      <c r="B335" s="339"/>
      <c r="C335" s="341"/>
      <c r="D335" s="341"/>
      <c r="E335" s="341"/>
      <c r="F335" s="340"/>
      <c r="G335" s="339"/>
      <c r="H335" s="339"/>
      <c r="I335" s="339"/>
      <c r="J335" s="341"/>
      <c r="K335" s="340"/>
      <c r="L335" s="341"/>
      <c r="M335" s="340"/>
      <c r="N335" s="339"/>
      <c r="O335" s="339"/>
      <c r="P335" s="339"/>
      <c r="Q335" s="339"/>
      <c r="R335" s="339"/>
      <c r="S335" s="339"/>
      <c r="T335" s="339"/>
      <c r="U335" s="339"/>
      <c r="V335" s="339"/>
      <c r="W335" s="339"/>
      <c r="X335" s="339"/>
      <c r="Y335" s="339"/>
      <c r="Z335" s="339"/>
      <c r="AA335" s="339"/>
      <c r="AB335" s="341"/>
      <c r="AC335" s="341"/>
      <c r="AD335" s="341"/>
      <c r="AE335" s="339"/>
      <c r="AF335" s="339"/>
      <c r="AG335" s="341"/>
      <c r="AH335" s="339"/>
      <c r="AI335" s="341"/>
      <c r="AJ335" s="339"/>
      <c r="AK335" s="341"/>
      <c r="AL335" s="341"/>
      <c r="AM335" s="339"/>
      <c r="AN335" s="339"/>
      <c r="AO335" s="339"/>
      <c r="AP335" s="339"/>
      <c r="AQ335" s="339"/>
      <c r="AR335" s="339"/>
      <c r="AS335" s="339"/>
    </row>
    <row r="336" spans="1:45" ht="15.75" customHeight="1">
      <c r="A336" s="339"/>
      <c r="B336" s="339"/>
      <c r="C336" s="341"/>
      <c r="D336" s="341"/>
      <c r="E336" s="341"/>
      <c r="F336" s="340"/>
      <c r="G336" s="339"/>
      <c r="H336" s="339"/>
      <c r="I336" s="339"/>
      <c r="J336" s="341"/>
      <c r="K336" s="340"/>
      <c r="L336" s="341"/>
      <c r="M336" s="340"/>
      <c r="N336" s="339"/>
      <c r="O336" s="339"/>
      <c r="P336" s="339"/>
      <c r="Q336" s="339"/>
      <c r="R336" s="339"/>
      <c r="S336" s="339"/>
      <c r="T336" s="339"/>
      <c r="U336" s="339"/>
      <c r="V336" s="339"/>
      <c r="W336" s="339"/>
      <c r="X336" s="339"/>
      <c r="Y336" s="339"/>
      <c r="Z336" s="339"/>
      <c r="AA336" s="339"/>
      <c r="AB336" s="341"/>
      <c r="AC336" s="341"/>
      <c r="AD336" s="341"/>
      <c r="AE336" s="339"/>
      <c r="AF336" s="339"/>
      <c r="AG336" s="341"/>
      <c r="AH336" s="339"/>
      <c r="AI336" s="341"/>
      <c r="AJ336" s="339"/>
      <c r="AK336" s="341"/>
      <c r="AL336" s="341"/>
      <c r="AM336" s="339"/>
      <c r="AN336" s="339"/>
      <c r="AO336" s="339"/>
      <c r="AP336" s="339"/>
      <c r="AQ336" s="339"/>
      <c r="AR336" s="339"/>
      <c r="AS336" s="339"/>
    </row>
    <row r="337" spans="1:45" ht="15.75" customHeight="1">
      <c r="A337" s="339"/>
      <c r="B337" s="339"/>
      <c r="C337" s="341"/>
      <c r="D337" s="341"/>
      <c r="E337" s="341"/>
      <c r="F337" s="340"/>
      <c r="G337" s="339"/>
      <c r="H337" s="339"/>
      <c r="I337" s="339"/>
      <c r="J337" s="341"/>
      <c r="K337" s="340"/>
      <c r="L337" s="341"/>
      <c r="M337" s="340"/>
      <c r="N337" s="339"/>
      <c r="O337" s="339"/>
      <c r="P337" s="339"/>
      <c r="Q337" s="339"/>
      <c r="R337" s="339"/>
      <c r="S337" s="339"/>
      <c r="T337" s="339"/>
      <c r="U337" s="339"/>
      <c r="V337" s="339"/>
      <c r="W337" s="339"/>
      <c r="X337" s="339"/>
      <c r="Y337" s="339"/>
      <c r="Z337" s="339"/>
      <c r="AA337" s="339"/>
      <c r="AB337" s="341"/>
      <c r="AC337" s="341"/>
      <c r="AD337" s="341"/>
      <c r="AE337" s="339"/>
      <c r="AF337" s="339"/>
      <c r="AG337" s="341"/>
      <c r="AH337" s="339"/>
      <c r="AI337" s="341"/>
      <c r="AJ337" s="339"/>
      <c r="AK337" s="341"/>
      <c r="AL337" s="341"/>
      <c r="AM337" s="339"/>
      <c r="AN337" s="339"/>
      <c r="AO337" s="339"/>
      <c r="AP337" s="339"/>
      <c r="AQ337" s="339"/>
      <c r="AR337" s="339"/>
      <c r="AS337" s="339"/>
    </row>
    <row r="338" spans="1:45" ht="15.75" customHeight="1">
      <c r="A338" s="339"/>
      <c r="B338" s="339"/>
      <c r="C338" s="341"/>
      <c r="D338" s="341"/>
      <c r="E338" s="341"/>
      <c r="F338" s="340"/>
      <c r="G338" s="339"/>
      <c r="H338" s="339"/>
      <c r="I338" s="339"/>
      <c r="J338" s="341"/>
      <c r="K338" s="340"/>
      <c r="L338" s="341"/>
      <c r="M338" s="340"/>
      <c r="N338" s="339"/>
      <c r="O338" s="339"/>
      <c r="P338" s="339"/>
      <c r="Q338" s="339"/>
      <c r="R338" s="339"/>
      <c r="S338" s="339"/>
      <c r="T338" s="339"/>
      <c r="U338" s="339"/>
      <c r="V338" s="339"/>
      <c r="W338" s="339"/>
      <c r="X338" s="339"/>
      <c r="Y338" s="339"/>
      <c r="Z338" s="339"/>
      <c r="AA338" s="339"/>
      <c r="AB338" s="341"/>
      <c r="AC338" s="341"/>
      <c r="AD338" s="341"/>
      <c r="AE338" s="339"/>
      <c r="AF338" s="339"/>
      <c r="AG338" s="341"/>
      <c r="AH338" s="339"/>
      <c r="AI338" s="341"/>
      <c r="AJ338" s="339"/>
      <c r="AK338" s="341"/>
      <c r="AL338" s="341"/>
      <c r="AM338" s="339"/>
      <c r="AN338" s="339"/>
      <c r="AO338" s="339"/>
      <c r="AP338" s="339"/>
      <c r="AQ338" s="339"/>
      <c r="AR338" s="339"/>
      <c r="AS338" s="339"/>
    </row>
    <row r="339" spans="1:45" ht="15.75" customHeight="1">
      <c r="A339" s="339"/>
      <c r="B339" s="339"/>
      <c r="C339" s="341"/>
      <c r="D339" s="341"/>
      <c r="E339" s="341"/>
      <c r="F339" s="340"/>
      <c r="G339" s="339"/>
      <c r="H339" s="339"/>
      <c r="I339" s="339"/>
      <c r="J339" s="341"/>
      <c r="K339" s="340"/>
      <c r="L339" s="341"/>
      <c r="M339" s="340"/>
      <c r="N339" s="339"/>
      <c r="O339" s="339"/>
      <c r="P339" s="339"/>
      <c r="Q339" s="339"/>
      <c r="R339" s="339"/>
      <c r="S339" s="339"/>
      <c r="T339" s="339"/>
      <c r="U339" s="339"/>
      <c r="V339" s="339"/>
      <c r="W339" s="339"/>
      <c r="X339" s="339"/>
      <c r="Y339" s="339"/>
      <c r="Z339" s="339"/>
      <c r="AA339" s="339"/>
      <c r="AB339" s="341"/>
      <c r="AC339" s="341"/>
      <c r="AD339" s="341"/>
      <c r="AE339" s="339"/>
      <c r="AF339" s="339"/>
      <c r="AG339" s="341"/>
      <c r="AH339" s="339"/>
      <c r="AI339" s="341"/>
      <c r="AJ339" s="339"/>
      <c r="AK339" s="341"/>
      <c r="AL339" s="341"/>
      <c r="AM339" s="339"/>
      <c r="AN339" s="339"/>
      <c r="AO339" s="339"/>
      <c r="AP339" s="339"/>
      <c r="AQ339" s="339"/>
      <c r="AR339" s="339"/>
      <c r="AS339" s="339"/>
    </row>
    <row r="340" spans="1:45" ht="15.75" customHeight="1">
      <c r="A340" s="339"/>
      <c r="B340" s="339"/>
      <c r="C340" s="341"/>
      <c r="D340" s="341"/>
      <c r="E340" s="341"/>
      <c r="F340" s="340"/>
      <c r="G340" s="339"/>
      <c r="H340" s="339"/>
      <c r="I340" s="339"/>
      <c r="J340" s="341"/>
      <c r="K340" s="340"/>
      <c r="L340" s="341"/>
      <c r="M340" s="340"/>
      <c r="N340" s="339"/>
      <c r="O340" s="339"/>
      <c r="P340" s="339"/>
      <c r="Q340" s="339"/>
      <c r="R340" s="339"/>
      <c r="S340" s="339"/>
      <c r="T340" s="339"/>
      <c r="U340" s="339"/>
      <c r="V340" s="339"/>
      <c r="W340" s="339"/>
      <c r="X340" s="339"/>
      <c r="Y340" s="339"/>
      <c r="Z340" s="339"/>
      <c r="AA340" s="339"/>
      <c r="AB340" s="341"/>
      <c r="AC340" s="341"/>
      <c r="AD340" s="341"/>
      <c r="AE340" s="339"/>
      <c r="AF340" s="339"/>
      <c r="AG340" s="341"/>
      <c r="AH340" s="339"/>
      <c r="AI340" s="341"/>
      <c r="AJ340" s="339"/>
      <c r="AK340" s="341"/>
      <c r="AL340" s="341"/>
      <c r="AM340" s="339"/>
      <c r="AN340" s="339"/>
      <c r="AO340" s="339"/>
      <c r="AP340" s="339"/>
      <c r="AQ340" s="339"/>
      <c r="AR340" s="339"/>
      <c r="AS340" s="339"/>
    </row>
    <row r="341" spans="1:45" ht="15.75" customHeight="1">
      <c r="A341" s="339"/>
      <c r="B341" s="339"/>
      <c r="C341" s="341"/>
      <c r="D341" s="341"/>
      <c r="E341" s="341"/>
      <c r="F341" s="340"/>
      <c r="G341" s="339"/>
      <c r="H341" s="339"/>
      <c r="I341" s="339"/>
      <c r="J341" s="341"/>
      <c r="K341" s="340"/>
      <c r="L341" s="341"/>
      <c r="M341" s="340"/>
      <c r="N341" s="339"/>
      <c r="O341" s="339"/>
      <c r="P341" s="339"/>
      <c r="Q341" s="339"/>
      <c r="R341" s="339"/>
      <c r="S341" s="339"/>
      <c r="T341" s="339"/>
      <c r="U341" s="339"/>
      <c r="V341" s="339"/>
      <c r="W341" s="339"/>
      <c r="X341" s="339"/>
      <c r="Y341" s="339"/>
      <c r="Z341" s="339"/>
      <c r="AA341" s="339"/>
      <c r="AB341" s="341"/>
      <c r="AC341" s="341"/>
      <c r="AD341" s="341"/>
      <c r="AE341" s="339"/>
      <c r="AF341" s="339"/>
      <c r="AG341" s="341"/>
      <c r="AH341" s="339"/>
      <c r="AI341" s="341"/>
      <c r="AJ341" s="339"/>
      <c r="AK341" s="341"/>
      <c r="AL341" s="341"/>
      <c r="AM341" s="339"/>
      <c r="AN341" s="339"/>
      <c r="AO341" s="339"/>
      <c r="AP341" s="339"/>
      <c r="AQ341" s="339"/>
      <c r="AR341" s="339"/>
      <c r="AS341" s="339"/>
    </row>
    <row r="342" spans="1:45" ht="15.75" customHeight="1">
      <c r="A342" s="339"/>
      <c r="B342" s="339"/>
      <c r="C342" s="341"/>
      <c r="D342" s="341"/>
      <c r="E342" s="341"/>
      <c r="F342" s="340"/>
      <c r="G342" s="339"/>
      <c r="H342" s="339"/>
      <c r="I342" s="339"/>
      <c r="J342" s="341"/>
      <c r="K342" s="340"/>
      <c r="L342" s="341"/>
      <c r="M342" s="340"/>
      <c r="N342" s="339"/>
      <c r="O342" s="339"/>
      <c r="P342" s="339"/>
      <c r="Q342" s="339"/>
      <c r="R342" s="339"/>
      <c r="S342" s="339"/>
      <c r="T342" s="339"/>
      <c r="U342" s="339"/>
      <c r="V342" s="339"/>
      <c r="W342" s="339"/>
      <c r="X342" s="339"/>
      <c r="Y342" s="339"/>
      <c r="Z342" s="339"/>
      <c r="AA342" s="339"/>
      <c r="AB342" s="341"/>
      <c r="AC342" s="341"/>
      <c r="AD342" s="341"/>
      <c r="AE342" s="339"/>
      <c r="AF342" s="339"/>
      <c r="AG342" s="341"/>
      <c r="AH342" s="339"/>
      <c r="AI342" s="341"/>
      <c r="AJ342" s="339"/>
      <c r="AK342" s="341"/>
      <c r="AL342" s="341"/>
      <c r="AM342" s="339"/>
      <c r="AN342" s="339"/>
      <c r="AO342" s="339"/>
      <c r="AP342" s="339"/>
      <c r="AQ342" s="339"/>
      <c r="AR342" s="339"/>
      <c r="AS342" s="339"/>
    </row>
    <row r="343" spans="1:45" ht="15.75" customHeight="1">
      <c r="A343" s="339"/>
      <c r="B343" s="339"/>
      <c r="C343" s="341"/>
      <c r="D343" s="341"/>
      <c r="E343" s="341"/>
      <c r="F343" s="340"/>
      <c r="G343" s="339"/>
      <c r="H343" s="339"/>
      <c r="I343" s="339"/>
      <c r="J343" s="341"/>
      <c r="K343" s="340"/>
      <c r="L343" s="341"/>
      <c r="M343" s="340"/>
      <c r="N343" s="339"/>
      <c r="O343" s="339"/>
      <c r="P343" s="339"/>
      <c r="Q343" s="339"/>
      <c r="R343" s="339"/>
      <c r="S343" s="339"/>
      <c r="T343" s="339"/>
      <c r="U343" s="339"/>
      <c r="V343" s="339"/>
      <c r="W343" s="339"/>
      <c r="X343" s="339"/>
      <c r="Y343" s="339"/>
      <c r="Z343" s="339"/>
      <c r="AA343" s="339"/>
      <c r="AB343" s="341"/>
      <c r="AC343" s="341"/>
      <c r="AD343" s="341"/>
      <c r="AE343" s="339"/>
      <c r="AF343" s="339"/>
      <c r="AG343" s="341"/>
      <c r="AH343" s="339"/>
      <c r="AI343" s="341"/>
      <c r="AJ343" s="339"/>
      <c r="AK343" s="341"/>
      <c r="AL343" s="341"/>
      <c r="AM343" s="339"/>
      <c r="AN343" s="339"/>
      <c r="AO343" s="339"/>
      <c r="AP343" s="339"/>
      <c r="AQ343" s="339"/>
      <c r="AR343" s="339"/>
      <c r="AS343" s="339"/>
    </row>
    <row r="344" spans="1:45" ht="15.75" customHeight="1">
      <c r="A344" s="339"/>
      <c r="B344" s="339"/>
      <c r="C344" s="341"/>
      <c r="D344" s="341"/>
      <c r="E344" s="341"/>
      <c r="F344" s="340"/>
      <c r="G344" s="339"/>
      <c r="H344" s="339"/>
      <c r="I344" s="339"/>
      <c r="J344" s="341"/>
      <c r="K344" s="340"/>
      <c r="L344" s="341"/>
      <c r="M344" s="340"/>
      <c r="N344" s="339"/>
      <c r="O344" s="339"/>
      <c r="P344" s="339"/>
      <c r="Q344" s="339"/>
      <c r="R344" s="339"/>
      <c r="S344" s="339"/>
      <c r="T344" s="339"/>
      <c r="U344" s="339"/>
      <c r="V344" s="339"/>
      <c r="W344" s="339"/>
      <c r="X344" s="339"/>
      <c r="Y344" s="339"/>
      <c r="Z344" s="339"/>
      <c r="AA344" s="339"/>
      <c r="AB344" s="341"/>
      <c r="AC344" s="341"/>
      <c r="AD344" s="341"/>
      <c r="AE344" s="339"/>
      <c r="AF344" s="339"/>
      <c r="AG344" s="341"/>
      <c r="AH344" s="339"/>
      <c r="AI344" s="341"/>
      <c r="AJ344" s="339"/>
      <c r="AK344" s="341"/>
      <c r="AL344" s="341"/>
      <c r="AM344" s="339"/>
      <c r="AN344" s="339"/>
      <c r="AO344" s="339"/>
      <c r="AP344" s="339"/>
      <c r="AQ344" s="339"/>
      <c r="AR344" s="339"/>
      <c r="AS344" s="339"/>
    </row>
    <row r="345" spans="1:45" ht="15.75" customHeight="1">
      <c r="A345" s="339"/>
      <c r="B345" s="339"/>
      <c r="C345" s="341"/>
      <c r="D345" s="341"/>
      <c r="E345" s="341"/>
      <c r="F345" s="340"/>
      <c r="G345" s="339"/>
      <c r="H345" s="339"/>
      <c r="I345" s="339"/>
      <c r="J345" s="341"/>
      <c r="K345" s="340"/>
      <c r="L345" s="341"/>
      <c r="M345" s="340"/>
      <c r="N345" s="339"/>
      <c r="O345" s="339"/>
      <c r="P345" s="339"/>
      <c r="Q345" s="339"/>
      <c r="R345" s="339"/>
      <c r="S345" s="339"/>
      <c r="T345" s="339"/>
      <c r="U345" s="339"/>
      <c r="V345" s="339"/>
      <c r="W345" s="339"/>
      <c r="X345" s="339"/>
      <c r="Y345" s="339"/>
      <c r="Z345" s="339"/>
      <c r="AA345" s="339"/>
      <c r="AB345" s="341"/>
      <c r="AC345" s="341"/>
      <c r="AD345" s="341"/>
      <c r="AE345" s="339"/>
      <c r="AF345" s="339"/>
      <c r="AG345" s="341"/>
      <c r="AH345" s="339"/>
      <c r="AI345" s="341"/>
      <c r="AJ345" s="339"/>
      <c r="AK345" s="341"/>
      <c r="AL345" s="341"/>
      <c r="AM345" s="339"/>
      <c r="AN345" s="339"/>
      <c r="AO345" s="339"/>
      <c r="AP345" s="339"/>
      <c r="AQ345" s="339"/>
      <c r="AR345" s="339"/>
      <c r="AS345" s="339"/>
    </row>
    <row r="346" spans="1:45" ht="15.75" customHeight="1">
      <c r="A346" s="339"/>
      <c r="B346" s="339"/>
      <c r="C346" s="341"/>
      <c r="D346" s="341"/>
      <c r="E346" s="341"/>
      <c r="F346" s="340"/>
      <c r="G346" s="339"/>
      <c r="H346" s="339"/>
      <c r="I346" s="339"/>
      <c r="J346" s="341"/>
      <c r="K346" s="340"/>
      <c r="L346" s="341"/>
      <c r="M346" s="340"/>
      <c r="N346" s="339"/>
      <c r="O346" s="339"/>
      <c r="P346" s="339"/>
      <c r="Q346" s="339"/>
      <c r="R346" s="339"/>
      <c r="S346" s="339"/>
      <c r="T346" s="339"/>
      <c r="U346" s="339"/>
      <c r="V346" s="339"/>
      <c r="W346" s="339"/>
      <c r="X346" s="339"/>
      <c r="Y346" s="339"/>
      <c r="Z346" s="339"/>
      <c r="AA346" s="339"/>
      <c r="AB346" s="341"/>
      <c r="AC346" s="341"/>
      <c r="AD346" s="341"/>
      <c r="AE346" s="339"/>
      <c r="AF346" s="339"/>
      <c r="AG346" s="341"/>
      <c r="AH346" s="339"/>
      <c r="AI346" s="341"/>
      <c r="AJ346" s="339"/>
      <c r="AK346" s="341"/>
      <c r="AL346" s="341"/>
      <c r="AM346" s="339"/>
      <c r="AN346" s="339"/>
      <c r="AO346" s="339"/>
      <c r="AP346" s="339"/>
      <c r="AQ346" s="339"/>
      <c r="AR346" s="339"/>
      <c r="AS346" s="339"/>
    </row>
    <row r="347" spans="1:45" ht="15.75" customHeight="1">
      <c r="A347" s="339"/>
      <c r="B347" s="339"/>
      <c r="C347" s="341"/>
      <c r="D347" s="341"/>
      <c r="E347" s="341"/>
      <c r="F347" s="340"/>
      <c r="G347" s="339"/>
      <c r="H347" s="339"/>
      <c r="I347" s="339"/>
      <c r="J347" s="341"/>
      <c r="K347" s="340"/>
      <c r="L347" s="341"/>
      <c r="M347" s="340"/>
      <c r="N347" s="339"/>
      <c r="O347" s="339"/>
      <c r="P347" s="339"/>
      <c r="Q347" s="339"/>
      <c r="R347" s="339"/>
      <c r="S347" s="339"/>
      <c r="T347" s="339"/>
      <c r="U347" s="339"/>
      <c r="V347" s="339"/>
      <c r="W347" s="339"/>
      <c r="X347" s="339"/>
      <c r="Y347" s="339"/>
      <c r="Z347" s="339"/>
      <c r="AA347" s="339"/>
      <c r="AB347" s="341"/>
      <c r="AC347" s="341"/>
      <c r="AD347" s="341"/>
      <c r="AE347" s="339"/>
      <c r="AF347" s="339"/>
      <c r="AG347" s="341"/>
      <c r="AH347" s="339"/>
      <c r="AI347" s="341"/>
      <c r="AJ347" s="339"/>
      <c r="AK347" s="341"/>
      <c r="AL347" s="341"/>
      <c r="AM347" s="339"/>
      <c r="AN347" s="339"/>
      <c r="AO347" s="339"/>
      <c r="AP347" s="339"/>
      <c r="AQ347" s="339"/>
      <c r="AR347" s="339"/>
      <c r="AS347" s="339"/>
    </row>
    <row r="348" spans="1:45" ht="15.75" customHeight="1">
      <c r="A348" s="339"/>
      <c r="B348" s="339"/>
      <c r="C348" s="341"/>
      <c r="D348" s="341"/>
      <c r="E348" s="341"/>
      <c r="F348" s="340"/>
      <c r="G348" s="339"/>
      <c r="H348" s="339"/>
      <c r="I348" s="339"/>
      <c r="J348" s="341"/>
      <c r="K348" s="340"/>
      <c r="L348" s="341"/>
      <c r="M348" s="340"/>
      <c r="N348" s="339"/>
      <c r="O348" s="339"/>
      <c r="P348" s="339"/>
      <c r="Q348" s="339"/>
      <c r="R348" s="339"/>
      <c r="S348" s="339"/>
      <c r="T348" s="339"/>
      <c r="U348" s="339"/>
      <c r="V348" s="339"/>
      <c r="W348" s="339"/>
      <c r="X348" s="339"/>
      <c r="Y348" s="339"/>
      <c r="Z348" s="339"/>
      <c r="AA348" s="339"/>
      <c r="AB348" s="341"/>
      <c r="AC348" s="341"/>
      <c r="AD348" s="341"/>
      <c r="AE348" s="339"/>
      <c r="AF348" s="339"/>
      <c r="AG348" s="341"/>
      <c r="AH348" s="339"/>
      <c r="AI348" s="341"/>
      <c r="AJ348" s="339"/>
      <c r="AK348" s="341"/>
      <c r="AL348" s="341"/>
      <c r="AM348" s="339"/>
      <c r="AN348" s="339"/>
      <c r="AO348" s="339"/>
      <c r="AP348" s="339"/>
      <c r="AQ348" s="339"/>
      <c r="AR348" s="339"/>
      <c r="AS348" s="339"/>
    </row>
    <row r="349" spans="1:45" ht="15.75" customHeight="1">
      <c r="A349" s="339"/>
      <c r="B349" s="339"/>
      <c r="C349" s="341"/>
      <c r="D349" s="341"/>
      <c r="E349" s="341"/>
      <c r="F349" s="340"/>
      <c r="G349" s="339"/>
      <c r="H349" s="339"/>
      <c r="I349" s="339"/>
      <c r="J349" s="341"/>
      <c r="K349" s="340"/>
      <c r="L349" s="341"/>
      <c r="M349" s="340"/>
      <c r="N349" s="339"/>
      <c r="O349" s="339"/>
      <c r="P349" s="339"/>
      <c r="Q349" s="339"/>
      <c r="R349" s="339"/>
      <c r="S349" s="339"/>
      <c r="T349" s="339"/>
      <c r="U349" s="339"/>
      <c r="V349" s="339"/>
      <c r="W349" s="339"/>
      <c r="X349" s="339"/>
      <c r="Y349" s="339"/>
      <c r="Z349" s="339"/>
      <c r="AA349" s="339"/>
      <c r="AB349" s="341"/>
      <c r="AC349" s="341"/>
      <c r="AD349" s="341"/>
      <c r="AE349" s="339"/>
      <c r="AF349" s="339"/>
      <c r="AG349" s="341"/>
      <c r="AH349" s="339"/>
      <c r="AI349" s="341"/>
      <c r="AJ349" s="339"/>
      <c r="AK349" s="341"/>
      <c r="AL349" s="341"/>
      <c r="AM349" s="339"/>
      <c r="AN349" s="339"/>
      <c r="AO349" s="339"/>
      <c r="AP349" s="339"/>
      <c r="AQ349" s="339"/>
      <c r="AR349" s="339"/>
      <c r="AS349" s="339"/>
    </row>
    <row r="350" spans="1:45" ht="15.75" customHeight="1">
      <c r="A350" s="339"/>
      <c r="B350" s="339"/>
      <c r="C350" s="341"/>
      <c r="D350" s="341"/>
      <c r="E350" s="341"/>
      <c r="F350" s="340"/>
      <c r="G350" s="339"/>
      <c r="H350" s="339"/>
      <c r="I350" s="339"/>
      <c r="J350" s="341"/>
      <c r="K350" s="340"/>
      <c r="L350" s="341"/>
      <c r="M350" s="340"/>
      <c r="N350" s="339"/>
      <c r="O350" s="339"/>
      <c r="P350" s="339"/>
      <c r="Q350" s="339"/>
      <c r="R350" s="339"/>
      <c r="S350" s="339"/>
      <c r="T350" s="339"/>
      <c r="U350" s="339"/>
      <c r="V350" s="339"/>
      <c r="W350" s="339"/>
      <c r="X350" s="339"/>
      <c r="Y350" s="339"/>
      <c r="Z350" s="339"/>
      <c r="AA350" s="339"/>
      <c r="AB350" s="341"/>
      <c r="AC350" s="341"/>
      <c r="AD350" s="341"/>
      <c r="AE350" s="339"/>
      <c r="AF350" s="339"/>
      <c r="AG350" s="341"/>
      <c r="AH350" s="339"/>
      <c r="AI350" s="341"/>
      <c r="AJ350" s="339"/>
      <c r="AK350" s="341"/>
      <c r="AL350" s="341"/>
      <c r="AM350" s="339"/>
      <c r="AN350" s="339"/>
      <c r="AO350" s="339"/>
      <c r="AP350" s="339"/>
      <c r="AQ350" s="339"/>
      <c r="AR350" s="339"/>
      <c r="AS350" s="339"/>
    </row>
    <row r="351" spans="1:45" ht="15.75" customHeight="1">
      <c r="A351" s="339"/>
      <c r="B351" s="339"/>
      <c r="C351" s="341"/>
      <c r="D351" s="341"/>
      <c r="E351" s="341"/>
      <c r="F351" s="340"/>
      <c r="G351" s="339"/>
      <c r="H351" s="339"/>
      <c r="I351" s="339"/>
      <c r="J351" s="341"/>
      <c r="K351" s="340"/>
      <c r="L351" s="341"/>
      <c r="M351" s="340"/>
      <c r="N351" s="339"/>
      <c r="O351" s="339"/>
      <c r="P351" s="339"/>
      <c r="Q351" s="339"/>
      <c r="R351" s="339"/>
      <c r="S351" s="339"/>
      <c r="T351" s="339"/>
      <c r="U351" s="339"/>
      <c r="V351" s="339"/>
      <c r="W351" s="339"/>
      <c r="X351" s="339"/>
      <c r="Y351" s="339"/>
      <c r="Z351" s="339"/>
      <c r="AA351" s="339"/>
      <c r="AB351" s="341"/>
      <c r="AC351" s="341"/>
      <c r="AD351" s="341"/>
      <c r="AE351" s="339"/>
      <c r="AF351" s="339"/>
      <c r="AG351" s="341"/>
      <c r="AH351" s="339"/>
      <c r="AI351" s="341"/>
      <c r="AJ351" s="339"/>
      <c r="AK351" s="341"/>
      <c r="AL351" s="341"/>
      <c r="AM351" s="339"/>
      <c r="AN351" s="339"/>
      <c r="AO351" s="339"/>
      <c r="AP351" s="339"/>
      <c r="AQ351" s="339"/>
      <c r="AR351" s="339"/>
      <c r="AS351" s="339"/>
    </row>
    <row r="352" spans="1:45" ht="15.75" customHeight="1">
      <c r="A352" s="339"/>
      <c r="B352" s="339"/>
      <c r="C352" s="341"/>
      <c r="D352" s="341"/>
      <c r="E352" s="341"/>
      <c r="F352" s="340"/>
      <c r="G352" s="339"/>
      <c r="H352" s="339"/>
      <c r="I352" s="339"/>
      <c r="J352" s="341"/>
      <c r="K352" s="340"/>
      <c r="L352" s="341"/>
      <c r="M352" s="340"/>
      <c r="N352" s="339"/>
      <c r="O352" s="339"/>
      <c r="P352" s="339"/>
      <c r="Q352" s="339"/>
      <c r="R352" s="339"/>
      <c r="S352" s="339"/>
      <c r="T352" s="339"/>
      <c r="U352" s="339"/>
      <c r="V352" s="339"/>
      <c r="W352" s="339"/>
      <c r="X352" s="339"/>
      <c r="Y352" s="339"/>
      <c r="Z352" s="339"/>
      <c r="AA352" s="339"/>
      <c r="AB352" s="341"/>
      <c r="AC352" s="341"/>
      <c r="AD352" s="341"/>
      <c r="AE352" s="339"/>
      <c r="AF352" s="339"/>
      <c r="AG352" s="341"/>
      <c r="AH352" s="339"/>
      <c r="AI352" s="341"/>
      <c r="AJ352" s="339"/>
      <c r="AK352" s="341"/>
      <c r="AL352" s="341"/>
      <c r="AM352" s="339"/>
      <c r="AN352" s="339"/>
      <c r="AO352" s="339"/>
      <c r="AP352" s="339"/>
      <c r="AQ352" s="339"/>
      <c r="AR352" s="339"/>
      <c r="AS352" s="339"/>
    </row>
    <row r="353" spans="1:45" ht="15.75" customHeight="1">
      <c r="A353" s="339"/>
      <c r="B353" s="339"/>
      <c r="C353" s="341"/>
      <c r="D353" s="341"/>
      <c r="E353" s="341"/>
      <c r="F353" s="340"/>
      <c r="G353" s="339"/>
      <c r="H353" s="339"/>
      <c r="I353" s="339"/>
      <c r="J353" s="341"/>
      <c r="K353" s="340"/>
      <c r="L353" s="341"/>
      <c r="M353" s="340"/>
      <c r="N353" s="339"/>
      <c r="O353" s="339"/>
      <c r="P353" s="339"/>
      <c r="Q353" s="339"/>
      <c r="R353" s="339"/>
      <c r="S353" s="339"/>
      <c r="T353" s="339"/>
      <c r="U353" s="339"/>
      <c r="V353" s="339"/>
      <c r="W353" s="339"/>
      <c r="X353" s="339"/>
      <c r="Y353" s="339"/>
      <c r="Z353" s="339"/>
      <c r="AA353" s="339"/>
      <c r="AB353" s="341"/>
      <c r="AC353" s="341"/>
      <c r="AD353" s="341"/>
      <c r="AE353" s="339"/>
      <c r="AF353" s="339"/>
      <c r="AG353" s="341"/>
      <c r="AH353" s="339"/>
      <c r="AI353" s="341"/>
      <c r="AJ353" s="339"/>
      <c r="AK353" s="341"/>
      <c r="AL353" s="341"/>
      <c r="AM353" s="339"/>
      <c r="AN353" s="339"/>
      <c r="AO353" s="339"/>
      <c r="AP353" s="339"/>
      <c r="AQ353" s="339"/>
      <c r="AR353" s="339"/>
      <c r="AS353" s="339"/>
    </row>
    <row r="354" spans="1:45" ht="15.75" customHeight="1">
      <c r="A354" s="339"/>
      <c r="B354" s="339"/>
      <c r="C354" s="341"/>
      <c r="D354" s="341"/>
      <c r="E354" s="341"/>
      <c r="F354" s="340"/>
      <c r="G354" s="339"/>
      <c r="H354" s="339"/>
      <c r="I354" s="339"/>
      <c r="J354" s="341"/>
      <c r="K354" s="340"/>
      <c r="L354" s="341"/>
      <c r="M354" s="340"/>
      <c r="N354" s="339"/>
      <c r="O354" s="339"/>
      <c r="P354" s="339"/>
      <c r="Q354" s="339"/>
      <c r="R354" s="339"/>
      <c r="S354" s="339"/>
      <c r="T354" s="339"/>
      <c r="U354" s="339"/>
      <c r="V354" s="339"/>
      <c r="W354" s="339"/>
      <c r="X354" s="339"/>
      <c r="Y354" s="339"/>
      <c r="Z354" s="339"/>
      <c r="AA354" s="339"/>
      <c r="AB354" s="341"/>
      <c r="AC354" s="341"/>
      <c r="AD354" s="341"/>
      <c r="AE354" s="339"/>
      <c r="AF354" s="339"/>
      <c r="AG354" s="341"/>
      <c r="AH354" s="339"/>
      <c r="AI354" s="341"/>
      <c r="AJ354" s="339"/>
      <c r="AK354" s="341"/>
      <c r="AL354" s="341"/>
      <c r="AM354" s="339"/>
      <c r="AN354" s="339"/>
      <c r="AO354" s="339"/>
      <c r="AP354" s="339"/>
      <c r="AQ354" s="339"/>
      <c r="AR354" s="339"/>
      <c r="AS354" s="339"/>
    </row>
    <row r="355" spans="1:45" ht="15.75" customHeight="1">
      <c r="A355" s="339"/>
      <c r="B355" s="339"/>
      <c r="C355" s="341"/>
      <c r="D355" s="341"/>
      <c r="E355" s="341"/>
      <c r="F355" s="340"/>
      <c r="G355" s="339"/>
      <c r="H355" s="339"/>
      <c r="I355" s="339"/>
      <c r="J355" s="341"/>
      <c r="K355" s="340"/>
      <c r="L355" s="341"/>
      <c r="M355" s="340"/>
      <c r="N355" s="339"/>
      <c r="O355" s="339"/>
      <c r="P355" s="339"/>
      <c r="Q355" s="339"/>
      <c r="R355" s="339"/>
      <c r="S355" s="339"/>
      <c r="T355" s="339"/>
      <c r="U355" s="339"/>
      <c r="V355" s="339"/>
      <c r="W355" s="339"/>
      <c r="X355" s="339"/>
      <c r="Y355" s="339"/>
      <c r="Z355" s="339"/>
      <c r="AA355" s="339"/>
      <c r="AB355" s="341"/>
      <c r="AC355" s="341"/>
      <c r="AD355" s="341"/>
      <c r="AE355" s="339"/>
      <c r="AF355" s="339"/>
      <c r="AG355" s="341"/>
      <c r="AH355" s="339"/>
      <c r="AI355" s="341"/>
      <c r="AJ355" s="339"/>
      <c r="AK355" s="341"/>
      <c r="AL355" s="341"/>
      <c r="AM355" s="339"/>
      <c r="AN355" s="339"/>
      <c r="AO355" s="339"/>
      <c r="AP355" s="339"/>
      <c r="AQ355" s="339"/>
      <c r="AR355" s="339"/>
      <c r="AS355" s="339"/>
    </row>
    <row r="356" spans="1:45" ht="15.75" customHeight="1">
      <c r="A356" s="339"/>
      <c r="B356" s="339"/>
      <c r="C356" s="341"/>
      <c r="D356" s="341"/>
      <c r="E356" s="341"/>
      <c r="F356" s="340"/>
      <c r="G356" s="339"/>
      <c r="H356" s="339"/>
      <c r="I356" s="339"/>
      <c r="J356" s="341"/>
      <c r="K356" s="340"/>
      <c r="L356" s="341"/>
      <c r="M356" s="340"/>
      <c r="N356" s="339"/>
      <c r="O356" s="339"/>
      <c r="P356" s="339"/>
      <c r="Q356" s="339"/>
      <c r="R356" s="339"/>
      <c r="S356" s="339"/>
      <c r="T356" s="339"/>
      <c r="U356" s="339"/>
      <c r="V356" s="339"/>
      <c r="W356" s="339"/>
      <c r="X356" s="339"/>
      <c r="Y356" s="339"/>
      <c r="Z356" s="339"/>
      <c r="AA356" s="339"/>
      <c r="AB356" s="341"/>
      <c r="AC356" s="341"/>
      <c r="AD356" s="341"/>
      <c r="AE356" s="339"/>
      <c r="AF356" s="339"/>
      <c r="AG356" s="341"/>
      <c r="AH356" s="339"/>
      <c r="AI356" s="341"/>
      <c r="AJ356" s="339"/>
      <c r="AK356" s="341"/>
      <c r="AL356" s="341"/>
      <c r="AM356" s="339"/>
      <c r="AN356" s="339"/>
      <c r="AO356" s="339"/>
      <c r="AP356" s="339"/>
      <c r="AQ356" s="339"/>
      <c r="AR356" s="339"/>
      <c r="AS356" s="339"/>
    </row>
    <row r="357" spans="1:45" ht="15.75" customHeight="1">
      <c r="A357" s="339"/>
      <c r="B357" s="339"/>
      <c r="C357" s="341"/>
      <c r="D357" s="341"/>
      <c r="E357" s="341"/>
      <c r="F357" s="340"/>
      <c r="G357" s="339"/>
      <c r="H357" s="339"/>
      <c r="I357" s="339"/>
      <c r="J357" s="341"/>
      <c r="K357" s="340"/>
      <c r="L357" s="341"/>
      <c r="M357" s="340"/>
      <c r="N357" s="339"/>
      <c r="O357" s="339"/>
      <c r="P357" s="339"/>
      <c r="Q357" s="339"/>
      <c r="R357" s="339"/>
      <c r="S357" s="339"/>
      <c r="T357" s="339"/>
      <c r="U357" s="339"/>
      <c r="V357" s="339"/>
      <c r="W357" s="339"/>
      <c r="X357" s="339"/>
      <c r="Y357" s="339"/>
      <c r="Z357" s="339"/>
      <c r="AA357" s="339"/>
      <c r="AB357" s="341"/>
      <c r="AC357" s="341"/>
      <c r="AD357" s="341"/>
      <c r="AE357" s="339"/>
      <c r="AF357" s="339"/>
      <c r="AG357" s="341"/>
      <c r="AH357" s="339"/>
      <c r="AI357" s="341"/>
      <c r="AJ357" s="339"/>
      <c r="AK357" s="341"/>
      <c r="AL357" s="341"/>
      <c r="AM357" s="339"/>
      <c r="AN357" s="339"/>
      <c r="AO357" s="339"/>
      <c r="AP357" s="339"/>
      <c r="AQ357" s="339"/>
      <c r="AR357" s="339"/>
      <c r="AS357" s="339"/>
    </row>
    <row r="358" spans="1:45" ht="15.75" customHeight="1">
      <c r="A358" s="339"/>
      <c r="B358" s="339"/>
      <c r="C358" s="341"/>
      <c r="D358" s="341"/>
      <c r="E358" s="341"/>
      <c r="F358" s="340"/>
      <c r="G358" s="339"/>
      <c r="H358" s="339"/>
      <c r="I358" s="339"/>
      <c r="J358" s="341"/>
      <c r="K358" s="340"/>
      <c r="L358" s="341"/>
      <c r="M358" s="340"/>
      <c r="N358" s="339"/>
      <c r="O358" s="339"/>
      <c r="P358" s="339"/>
      <c r="Q358" s="339"/>
      <c r="R358" s="339"/>
      <c r="S358" s="339"/>
      <c r="T358" s="339"/>
      <c r="U358" s="339"/>
      <c r="V358" s="339"/>
      <c r="W358" s="339"/>
      <c r="X358" s="339"/>
      <c r="Y358" s="339"/>
      <c r="Z358" s="339"/>
      <c r="AA358" s="339"/>
      <c r="AB358" s="341"/>
      <c r="AC358" s="341"/>
      <c r="AD358" s="341"/>
      <c r="AE358" s="339"/>
      <c r="AF358" s="339"/>
      <c r="AG358" s="341"/>
      <c r="AH358" s="339"/>
      <c r="AI358" s="341"/>
      <c r="AJ358" s="339"/>
      <c r="AK358" s="341"/>
      <c r="AL358" s="341"/>
      <c r="AM358" s="339"/>
      <c r="AN358" s="339"/>
      <c r="AO358" s="339"/>
      <c r="AP358" s="339"/>
      <c r="AQ358" s="339"/>
      <c r="AR358" s="339"/>
      <c r="AS358" s="339"/>
    </row>
    <row r="359" spans="1:45" ht="15.75" customHeight="1">
      <c r="A359" s="339"/>
      <c r="B359" s="339"/>
      <c r="C359" s="341"/>
      <c r="D359" s="341"/>
      <c r="E359" s="341"/>
      <c r="F359" s="340"/>
      <c r="G359" s="339"/>
      <c r="H359" s="339"/>
      <c r="I359" s="339"/>
      <c r="J359" s="341"/>
      <c r="K359" s="340"/>
      <c r="L359" s="341"/>
      <c r="M359" s="340"/>
      <c r="N359" s="339"/>
      <c r="O359" s="339"/>
      <c r="P359" s="339"/>
      <c r="Q359" s="339"/>
      <c r="R359" s="339"/>
      <c r="S359" s="339"/>
      <c r="T359" s="339"/>
      <c r="U359" s="339"/>
      <c r="V359" s="339"/>
      <c r="W359" s="339"/>
      <c r="X359" s="339"/>
      <c r="Y359" s="339"/>
      <c r="Z359" s="339"/>
      <c r="AA359" s="339"/>
      <c r="AB359" s="341"/>
      <c r="AC359" s="341"/>
      <c r="AD359" s="341"/>
      <c r="AE359" s="339"/>
      <c r="AF359" s="339"/>
      <c r="AG359" s="341"/>
      <c r="AH359" s="339"/>
      <c r="AI359" s="341"/>
      <c r="AJ359" s="339"/>
      <c r="AK359" s="341"/>
      <c r="AL359" s="341"/>
      <c r="AM359" s="339"/>
      <c r="AN359" s="339"/>
      <c r="AO359" s="339"/>
      <c r="AP359" s="339"/>
      <c r="AQ359" s="339"/>
      <c r="AR359" s="339"/>
      <c r="AS359" s="339"/>
    </row>
    <row r="360" spans="1:45" ht="15.75" customHeight="1">
      <c r="A360" s="339"/>
      <c r="B360" s="339"/>
      <c r="C360" s="341"/>
      <c r="D360" s="341"/>
      <c r="E360" s="341"/>
      <c r="F360" s="340"/>
      <c r="G360" s="339"/>
      <c r="H360" s="339"/>
      <c r="I360" s="339"/>
      <c r="J360" s="341"/>
      <c r="K360" s="340"/>
      <c r="L360" s="341"/>
      <c r="M360" s="340"/>
      <c r="N360" s="339"/>
      <c r="O360" s="339"/>
      <c r="P360" s="339"/>
      <c r="Q360" s="339"/>
      <c r="R360" s="339"/>
      <c r="S360" s="339"/>
      <c r="T360" s="339"/>
      <c r="U360" s="339"/>
      <c r="V360" s="339"/>
      <c r="W360" s="339"/>
      <c r="X360" s="339"/>
      <c r="Y360" s="339"/>
      <c r="Z360" s="339"/>
      <c r="AA360" s="339"/>
      <c r="AB360" s="341"/>
      <c r="AC360" s="341"/>
      <c r="AD360" s="341"/>
      <c r="AE360" s="339"/>
      <c r="AF360" s="339"/>
      <c r="AG360" s="341"/>
      <c r="AH360" s="339"/>
      <c r="AI360" s="341"/>
      <c r="AJ360" s="339"/>
      <c r="AK360" s="341"/>
      <c r="AL360" s="341"/>
      <c r="AM360" s="339"/>
      <c r="AN360" s="339"/>
      <c r="AO360" s="339"/>
      <c r="AP360" s="339"/>
      <c r="AQ360" s="339"/>
      <c r="AR360" s="339"/>
      <c r="AS360" s="339"/>
    </row>
    <row r="361" spans="1:45" ht="15.75" customHeight="1">
      <c r="A361" s="339"/>
      <c r="B361" s="339"/>
      <c r="C361" s="341"/>
      <c r="D361" s="341"/>
      <c r="E361" s="341"/>
      <c r="F361" s="340"/>
      <c r="G361" s="339"/>
      <c r="H361" s="339"/>
      <c r="I361" s="339"/>
      <c r="J361" s="341"/>
      <c r="K361" s="340"/>
      <c r="L361" s="341"/>
      <c r="M361" s="340"/>
      <c r="N361" s="339"/>
      <c r="O361" s="339"/>
      <c r="P361" s="339"/>
      <c r="Q361" s="339"/>
      <c r="R361" s="339"/>
      <c r="S361" s="339"/>
      <c r="T361" s="339"/>
      <c r="U361" s="339"/>
      <c r="V361" s="339"/>
      <c r="W361" s="339"/>
      <c r="X361" s="339"/>
      <c r="Y361" s="339"/>
      <c r="Z361" s="339"/>
      <c r="AA361" s="339"/>
      <c r="AB361" s="341"/>
      <c r="AC361" s="341"/>
      <c r="AD361" s="341"/>
      <c r="AE361" s="339"/>
      <c r="AF361" s="339"/>
      <c r="AG361" s="341"/>
      <c r="AH361" s="339"/>
      <c r="AI361" s="341"/>
      <c r="AJ361" s="339"/>
      <c r="AK361" s="341"/>
      <c r="AL361" s="341"/>
      <c r="AM361" s="339"/>
      <c r="AN361" s="339"/>
      <c r="AO361" s="339"/>
      <c r="AP361" s="339"/>
      <c r="AQ361" s="339"/>
      <c r="AR361" s="339"/>
      <c r="AS361" s="339"/>
    </row>
    <row r="362" spans="1:45" ht="15.75" customHeight="1">
      <c r="A362" s="339"/>
      <c r="B362" s="339"/>
      <c r="C362" s="341"/>
      <c r="D362" s="341"/>
      <c r="E362" s="341"/>
      <c r="F362" s="340"/>
      <c r="G362" s="339"/>
      <c r="H362" s="339"/>
      <c r="I362" s="339"/>
      <c r="J362" s="341"/>
      <c r="K362" s="340"/>
      <c r="L362" s="341"/>
      <c r="M362" s="340"/>
      <c r="N362" s="339"/>
      <c r="O362" s="339"/>
      <c r="P362" s="339"/>
      <c r="Q362" s="339"/>
      <c r="R362" s="339"/>
      <c r="S362" s="339"/>
      <c r="T362" s="339"/>
      <c r="U362" s="339"/>
      <c r="V362" s="339"/>
      <c r="W362" s="339"/>
      <c r="X362" s="339"/>
      <c r="Y362" s="339"/>
      <c r="Z362" s="339"/>
      <c r="AA362" s="339"/>
      <c r="AB362" s="341"/>
      <c r="AC362" s="341"/>
      <c r="AD362" s="341"/>
      <c r="AE362" s="339"/>
      <c r="AF362" s="339"/>
      <c r="AG362" s="341"/>
      <c r="AH362" s="339"/>
      <c r="AI362" s="341"/>
      <c r="AJ362" s="339"/>
      <c r="AK362" s="341"/>
      <c r="AL362" s="341"/>
      <c r="AM362" s="339"/>
      <c r="AN362" s="339"/>
      <c r="AO362" s="339"/>
      <c r="AP362" s="339"/>
      <c r="AQ362" s="339"/>
      <c r="AR362" s="339"/>
      <c r="AS362" s="339"/>
    </row>
    <row r="363" spans="1:45" ht="15.75" customHeight="1">
      <c r="A363" s="339"/>
      <c r="B363" s="339"/>
      <c r="C363" s="341"/>
      <c r="D363" s="341"/>
      <c r="E363" s="341"/>
      <c r="F363" s="340"/>
      <c r="G363" s="339"/>
      <c r="H363" s="339"/>
      <c r="I363" s="339"/>
      <c r="J363" s="341"/>
      <c r="K363" s="340"/>
      <c r="L363" s="341"/>
      <c r="M363" s="340"/>
      <c r="N363" s="339"/>
      <c r="O363" s="339"/>
      <c r="P363" s="339"/>
      <c r="Q363" s="339"/>
      <c r="R363" s="339"/>
      <c r="S363" s="339"/>
      <c r="T363" s="339"/>
      <c r="U363" s="339"/>
      <c r="V363" s="339"/>
      <c r="W363" s="339"/>
      <c r="X363" s="339"/>
      <c r="Y363" s="339"/>
      <c r="Z363" s="339"/>
      <c r="AA363" s="339"/>
      <c r="AB363" s="341"/>
      <c r="AC363" s="341"/>
      <c r="AD363" s="341"/>
      <c r="AE363" s="339"/>
      <c r="AF363" s="339"/>
      <c r="AG363" s="341"/>
      <c r="AH363" s="339"/>
      <c r="AI363" s="341"/>
      <c r="AJ363" s="339"/>
      <c r="AK363" s="341"/>
      <c r="AL363" s="341"/>
      <c r="AM363" s="339"/>
      <c r="AN363" s="339"/>
      <c r="AO363" s="339"/>
      <c r="AP363" s="339"/>
      <c r="AQ363" s="339"/>
      <c r="AR363" s="339"/>
      <c r="AS363" s="339"/>
    </row>
    <row r="364" spans="1:45" ht="15.75" customHeight="1">
      <c r="A364" s="339"/>
      <c r="B364" s="339"/>
      <c r="C364" s="341"/>
      <c r="D364" s="341"/>
      <c r="E364" s="341"/>
      <c r="F364" s="340"/>
      <c r="G364" s="339"/>
      <c r="H364" s="339"/>
      <c r="I364" s="339"/>
      <c r="J364" s="341"/>
      <c r="K364" s="340"/>
      <c r="L364" s="341"/>
      <c r="M364" s="340"/>
      <c r="N364" s="339"/>
      <c r="O364" s="339"/>
      <c r="P364" s="339"/>
      <c r="Q364" s="339"/>
      <c r="R364" s="339"/>
      <c r="S364" s="339"/>
      <c r="T364" s="339"/>
      <c r="U364" s="339"/>
      <c r="V364" s="339"/>
      <c r="W364" s="339"/>
      <c r="X364" s="339"/>
      <c r="Y364" s="339"/>
      <c r="Z364" s="339"/>
      <c r="AA364" s="339"/>
      <c r="AB364" s="341"/>
      <c r="AC364" s="341"/>
      <c r="AD364" s="341"/>
      <c r="AE364" s="339"/>
      <c r="AF364" s="339"/>
      <c r="AG364" s="341"/>
      <c r="AH364" s="339"/>
      <c r="AI364" s="341"/>
      <c r="AJ364" s="339"/>
      <c r="AK364" s="341"/>
      <c r="AL364" s="341"/>
      <c r="AM364" s="339"/>
      <c r="AN364" s="339"/>
      <c r="AO364" s="339"/>
      <c r="AP364" s="339"/>
      <c r="AQ364" s="339"/>
      <c r="AR364" s="339"/>
      <c r="AS364" s="339"/>
    </row>
    <row r="365" spans="1:45" ht="15.75" customHeight="1">
      <c r="A365" s="339"/>
      <c r="B365" s="339"/>
      <c r="C365" s="341"/>
      <c r="D365" s="341"/>
      <c r="E365" s="341"/>
      <c r="F365" s="340"/>
      <c r="G365" s="339"/>
      <c r="H365" s="339"/>
      <c r="I365" s="339"/>
      <c r="J365" s="341"/>
      <c r="K365" s="340"/>
      <c r="L365" s="341"/>
      <c r="M365" s="340"/>
      <c r="N365" s="339"/>
      <c r="O365" s="339"/>
      <c r="P365" s="339"/>
      <c r="Q365" s="339"/>
      <c r="R365" s="339"/>
      <c r="S365" s="339"/>
      <c r="T365" s="339"/>
      <c r="U365" s="339"/>
      <c r="V365" s="339"/>
      <c r="W365" s="339"/>
      <c r="X365" s="339"/>
      <c r="Y365" s="339"/>
      <c r="Z365" s="339"/>
      <c r="AA365" s="339"/>
      <c r="AB365" s="341"/>
      <c r="AC365" s="341"/>
      <c r="AD365" s="341"/>
      <c r="AE365" s="339"/>
      <c r="AF365" s="339"/>
      <c r="AG365" s="341"/>
      <c r="AH365" s="339"/>
      <c r="AI365" s="341"/>
      <c r="AJ365" s="339"/>
      <c r="AK365" s="341"/>
      <c r="AL365" s="341"/>
      <c r="AM365" s="339"/>
      <c r="AN365" s="339"/>
      <c r="AO365" s="339"/>
      <c r="AP365" s="339"/>
      <c r="AQ365" s="339"/>
      <c r="AR365" s="339"/>
      <c r="AS365" s="339"/>
    </row>
    <row r="366" spans="1:45" ht="15.75" customHeight="1">
      <c r="A366" s="339"/>
      <c r="B366" s="339"/>
      <c r="C366" s="341"/>
      <c r="D366" s="341"/>
      <c r="E366" s="341"/>
      <c r="F366" s="340"/>
      <c r="G366" s="339"/>
      <c r="H366" s="339"/>
      <c r="I366" s="339"/>
      <c r="J366" s="341"/>
      <c r="K366" s="340"/>
      <c r="L366" s="341"/>
      <c r="M366" s="340"/>
      <c r="N366" s="339"/>
      <c r="O366" s="339"/>
      <c r="P366" s="339"/>
      <c r="Q366" s="339"/>
      <c r="R366" s="339"/>
      <c r="S366" s="339"/>
      <c r="T366" s="339"/>
      <c r="U366" s="339"/>
      <c r="V366" s="339"/>
      <c r="W366" s="339"/>
      <c r="X366" s="339"/>
      <c r="Y366" s="339"/>
      <c r="Z366" s="339"/>
      <c r="AA366" s="339"/>
      <c r="AB366" s="341"/>
      <c r="AC366" s="341"/>
      <c r="AD366" s="341"/>
      <c r="AE366" s="339"/>
      <c r="AF366" s="339"/>
      <c r="AG366" s="341"/>
      <c r="AH366" s="339"/>
      <c r="AI366" s="341"/>
      <c r="AJ366" s="339"/>
      <c r="AK366" s="341"/>
      <c r="AL366" s="341"/>
      <c r="AM366" s="339"/>
      <c r="AN366" s="339"/>
      <c r="AO366" s="339"/>
      <c r="AP366" s="339"/>
      <c r="AQ366" s="339"/>
      <c r="AR366" s="339"/>
      <c r="AS366" s="339"/>
    </row>
    <row r="367" spans="1:45" ht="15.75" customHeight="1">
      <c r="A367" s="339"/>
      <c r="B367" s="339"/>
      <c r="C367" s="341"/>
      <c r="D367" s="341"/>
      <c r="E367" s="341"/>
      <c r="F367" s="340"/>
      <c r="G367" s="339"/>
      <c r="H367" s="339"/>
      <c r="I367" s="339"/>
      <c r="J367" s="341"/>
      <c r="K367" s="340"/>
      <c r="L367" s="341"/>
      <c r="M367" s="340"/>
      <c r="N367" s="339"/>
      <c r="O367" s="339"/>
      <c r="P367" s="339"/>
      <c r="Q367" s="339"/>
      <c r="R367" s="339"/>
      <c r="S367" s="339"/>
      <c r="T367" s="339"/>
      <c r="U367" s="339"/>
      <c r="V367" s="339"/>
      <c r="W367" s="339"/>
      <c r="X367" s="339"/>
      <c r="Y367" s="339"/>
      <c r="Z367" s="339"/>
      <c r="AA367" s="339"/>
      <c r="AB367" s="341"/>
      <c r="AC367" s="341"/>
      <c r="AD367" s="341"/>
      <c r="AE367" s="339"/>
      <c r="AF367" s="339"/>
      <c r="AG367" s="341"/>
      <c r="AH367" s="339"/>
      <c r="AI367" s="341"/>
      <c r="AJ367" s="339"/>
      <c r="AK367" s="341"/>
      <c r="AL367" s="341"/>
      <c r="AM367" s="339"/>
      <c r="AN367" s="339"/>
      <c r="AO367" s="339"/>
      <c r="AP367" s="339"/>
      <c r="AQ367" s="339"/>
      <c r="AR367" s="339"/>
      <c r="AS367" s="339"/>
    </row>
    <row r="368" spans="1:45" ht="15.75" customHeight="1">
      <c r="A368" s="339"/>
      <c r="B368" s="339"/>
      <c r="C368" s="341"/>
      <c r="D368" s="341"/>
      <c r="E368" s="341"/>
      <c r="F368" s="340"/>
      <c r="G368" s="339"/>
      <c r="H368" s="339"/>
      <c r="I368" s="339"/>
      <c r="J368" s="341"/>
      <c r="K368" s="340"/>
      <c r="L368" s="341"/>
      <c r="M368" s="340"/>
      <c r="N368" s="339"/>
      <c r="O368" s="339"/>
      <c r="P368" s="339"/>
      <c r="Q368" s="339"/>
      <c r="R368" s="339"/>
      <c r="S368" s="339"/>
      <c r="T368" s="339"/>
      <c r="U368" s="339"/>
      <c r="V368" s="339"/>
      <c r="W368" s="339"/>
      <c r="X368" s="339"/>
      <c r="Y368" s="339"/>
      <c r="Z368" s="339"/>
      <c r="AA368" s="339"/>
      <c r="AB368" s="341"/>
      <c r="AC368" s="341"/>
      <c r="AD368" s="341"/>
      <c r="AE368" s="339"/>
      <c r="AF368" s="339"/>
      <c r="AG368" s="341"/>
      <c r="AH368" s="339"/>
      <c r="AI368" s="341"/>
      <c r="AJ368" s="339"/>
      <c r="AK368" s="341"/>
      <c r="AL368" s="341"/>
      <c r="AM368" s="339"/>
      <c r="AN368" s="339"/>
      <c r="AO368" s="339"/>
      <c r="AP368" s="339"/>
      <c r="AQ368" s="339"/>
      <c r="AR368" s="339"/>
      <c r="AS368" s="339"/>
    </row>
    <row r="369" spans="1:45" ht="15.75" customHeight="1">
      <c r="A369" s="339"/>
      <c r="B369" s="339"/>
      <c r="C369" s="341"/>
      <c r="D369" s="341"/>
      <c r="E369" s="341"/>
      <c r="F369" s="340"/>
      <c r="G369" s="339"/>
      <c r="H369" s="339"/>
      <c r="I369" s="339"/>
      <c r="J369" s="341"/>
      <c r="K369" s="340"/>
      <c r="L369" s="341"/>
      <c r="M369" s="340"/>
      <c r="N369" s="339"/>
      <c r="O369" s="339"/>
      <c r="P369" s="339"/>
      <c r="Q369" s="339"/>
      <c r="R369" s="339"/>
      <c r="S369" s="339"/>
      <c r="T369" s="339"/>
      <c r="U369" s="339"/>
      <c r="V369" s="339"/>
      <c r="W369" s="339"/>
      <c r="X369" s="339"/>
      <c r="Y369" s="339"/>
      <c r="Z369" s="339"/>
      <c r="AA369" s="339"/>
      <c r="AB369" s="341"/>
      <c r="AC369" s="341"/>
      <c r="AD369" s="341"/>
      <c r="AE369" s="339"/>
      <c r="AF369" s="339"/>
      <c r="AG369" s="341"/>
      <c r="AH369" s="339"/>
      <c r="AI369" s="341"/>
      <c r="AJ369" s="339"/>
      <c r="AK369" s="341"/>
      <c r="AL369" s="341"/>
      <c r="AM369" s="339"/>
      <c r="AN369" s="339"/>
      <c r="AO369" s="339"/>
      <c r="AP369" s="339"/>
      <c r="AQ369" s="339"/>
      <c r="AR369" s="339"/>
      <c r="AS369" s="339"/>
    </row>
    <row r="370" spans="1:45" ht="15.75" customHeight="1">
      <c r="A370" s="339"/>
      <c r="B370" s="339"/>
      <c r="C370" s="341"/>
      <c r="D370" s="341"/>
      <c r="E370" s="341"/>
      <c r="F370" s="340"/>
      <c r="G370" s="339"/>
      <c r="H370" s="339"/>
      <c r="I370" s="339"/>
      <c r="J370" s="341"/>
      <c r="K370" s="340"/>
      <c r="L370" s="341"/>
      <c r="M370" s="340"/>
      <c r="N370" s="339"/>
      <c r="O370" s="339"/>
      <c r="P370" s="339"/>
      <c r="Q370" s="339"/>
      <c r="R370" s="339"/>
      <c r="S370" s="339"/>
      <c r="T370" s="339"/>
      <c r="U370" s="339"/>
      <c r="V370" s="339"/>
      <c r="W370" s="339"/>
      <c r="X370" s="339"/>
      <c r="Y370" s="339"/>
      <c r="Z370" s="339"/>
      <c r="AA370" s="339"/>
      <c r="AB370" s="341"/>
      <c r="AC370" s="341"/>
      <c r="AD370" s="341"/>
      <c r="AE370" s="339"/>
      <c r="AF370" s="339"/>
      <c r="AG370" s="341"/>
      <c r="AH370" s="339"/>
      <c r="AI370" s="341"/>
      <c r="AJ370" s="339"/>
      <c r="AK370" s="341"/>
      <c r="AL370" s="341"/>
      <c r="AM370" s="339"/>
      <c r="AN370" s="339"/>
      <c r="AO370" s="339"/>
      <c r="AP370" s="339"/>
      <c r="AQ370" s="339"/>
      <c r="AR370" s="339"/>
      <c r="AS370" s="339"/>
    </row>
    <row r="371" spans="1:45" ht="15.75" customHeight="1">
      <c r="A371" s="339"/>
      <c r="B371" s="339"/>
      <c r="C371" s="341"/>
      <c r="D371" s="341"/>
      <c r="E371" s="341"/>
      <c r="F371" s="340"/>
      <c r="G371" s="339"/>
      <c r="H371" s="339"/>
      <c r="I371" s="339"/>
      <c r="J371" s="341"/>
      <c r="K371" s="340"/>
      <c r="L371" s="341"/>
      <c r="M371" s="340"/>
      <c r="N371" s="339"/>
      <c r="O371" s="339"/>
      <c r="P371" s="339"/>
      <c r="Q371" s="339"/>
      <c r="R371" s="339"/>
      <c r="S371" s="339"/>
      <c r="T371" s="339"/>
      <c r="U371" s="339"/>
      <c r="V371" s="339"/>
      <c r="W371" s="339"/>
      <c r="X371" s="339"/>
      <c r="Y371" s="339"/>
      <c r="Z371" s="339"/>
      <c r="AA371" s="339"/>
      <c r="AB371" s="341"/>
      <c r="AC371" s="341"/>
      <c r="AD371" s="341"/>
      <c r="AE371" s="339"/>
      <c r="AF371" s="339"/>
      <c r="AG371" s="341"/>
      <c r="AH371" s="339"/>
      <c r="AI371" s="341"/>
      <c r="AJ371" s="339"/>
      <c r="AK371" s="341"/>
      <c r="AL371" s="341"/>
      <c r="AM371" s="339"/>
      <c r="AN371" s="339"/>
      <c r="AO371" s="339"/>
      <c r="AP371" s="339"/>
      <c r="AQ371" s="339"/>
      <c r="AR371" s="339"/>
      <c r="AS371" s="339"/>
    </row>
    <row r="372" spans="1:45" ht="15.75" customHeight="1">
      <c r="A372" s="339"/>
      <c r="B372" s="339"/>
      <c r="C372" s="341"/>
      <c r="D372" s="341"/>
      <c r="E372" s="341"/>
      <c r="F372" s="340"/>
      <c r="G372" s="339"/>
      <c r="H372" s="339"/>
      <c r="I372" s="339"/>
      <c r="J372" s="341"/>
      <c r="K372" s="340"/>
      <c r="L372" s="341"/>
      <c r="M372" s="340"/>
      <c r="N372" s="339"/>
      <c r="O372" s="339"/>
      <c r="P372" s="339"/>
      <c r="Q372" s="339"/>
      <c r="R372" s="339"/>
      <c r="S372" s="339"/>
      <c r="T372" s="339"/>
      <c r="U372" s="339"/>
      <c r="V372" s="339"/>
      <c r="W372" s="339"/>
      <c r="X372" s="339"/>
      <c r="Y372" s="339"/>
      <c r="Z372" s="339"/>
      <c r="AA372" s="339"/>
      <c r="AB372" s="341"/>
      <c r="AC372" s="341"/>
      <c r="AD372" s="341"/>
      <c r="AE372" s="339"/>
      <c r="AF372" s="339"/>
      <c r="AG372" s="341"/>
      <c r="AH372" s="339"/>
      <c r="AI372" s="341"/>
      <c r="AJ372" s="339"/>
      <c r="AK372" s="341"/>
      <c r="AL372" s="341"/>
      <c r="AM372" s="339"/>
      <c r="AN372" s="339"/>
      <c r="AO372" s="339"/>
      <c r="AP372" s="339"/>
      <c r="AQ372" s="339"/>
      <c r="AR372" s="339"/>
      <c r="AS372" s="339"/>
    </row>
    <row r="373" spans="1:45" ht="15.75" customHeight="1">
      <c r="A373" s="339"/>
      <c r="B373" s="339"/>
      <c r="C373" s="341"/>
      <c r="D373" s="341"/>
      <c r="E373" s="341"/>
      <c r="F373" s="340"/>
      <c r="G373" s="339"/>
      <c r="H373" s="339"/>
      <c r="I373" s="339"/>
      <c r="J373" s="341"/>
      <c r="K373" s="340"/>
      <c r="L373" s="341"/>
      <c r="M373" s="340"/>
      <c r="N373" s="339"/>
      <c r="O373" s="339"/>
      <c r="P373" s="339"/>
      <c r="Q373" s="339"/>
      <c r="R373" s="339"/>
      <c r="S373" s="339"/>
      <c r="T373" s="339"/>
      <c r="U373" s="339"/>
      <c r="V373" s="339"/>
      <c r="W373" s="339"/>
      <c r="X373" s="339"/>
      <c r="Y373" s="339"/>
      <c r="Z373" s="339"/>
      <c r="AA373" s="339"/>
      <c r="AB373" s="341"/>
      <c r="AC373" s="341"/>
      <c r="AD373" s="341"/>
      <c r="AE373" s="339"/>
      <c r="AF373" s="339"/>
      <c r="AG373" s="341"/>
      <c r="AH373" s="339"/>
      <c r="AI373" s="341"/>
      <c r="AJ373" s="339"/>
      <c r="AK373" s="341"/>
      <c r="AL373" s="341"/>
      <c r="AM373" s="339"/>
      <c r="AN373" s="339"/>
      <c r="AO373" s="339"/>
      <c r="AP373" s="339"/>
      <c r="AQ373" s="339"/>
      <c r="AR373" s="339"/>
      <c r="AS373" s="339"/>
    </row>
    <row r="374" spans="1:45" ht="15.75" customHeight="1">
      <c r="A374" s="339"/>
      <c r="B374" s="339"/>
      <c r="C374" s="341"/>
      <c r="D374" s="341"/>
      <c r="E374" s="341"/>
      <c r="F374" s="340"/>
      <c r="G374" s="339"/>
      <c r="H374" s="339"/>
      <c r="I374" s="339"/>
      <c r="J374" s="341"/>
      <c r="K374" s="340"/>
      <c r="L374" s="341"/>
      <c r="M374" s="340"/>
      <c r="N374" s="339"/>
      <c r="O374" s="339"/>
      <c r="P374" s="339"/>
      <c r="Q374" s="339"/>
      <c r="R374" s="339"/>
      <c r="S374" s="339"/>
      <c r="T374" s="339"/>
      <c r="U374" s="339"/>
      <c r="V374" s="339"/>
      <c r="W374" s="339"/>
      <c r="X374" s="339"/>
      <c r="Y374" s="339"/>
      <c r="Z374" s="339"/>
      <c r="AA374" s="339"/>
      <c r="AB374" s="341"/>
      <c r="AC374" s="341"/>
      <c r="AD374" s="341"/>
      <c r="AE374" s="339"/>
      <c r="AF374" s="339"/>
      <c r="AG374" s="341"/>
      <c r="AH374" s="339"/>
      <c r="AI374" s="341"/>
      <c r="AJ374" s="339"/>
      <c r="AK374" s="341"/>
      <c r="AL374" s="341"/>
      <c r="AM374" s="339"/>
      <c r="AN374" s="339"/>
      <c r="AO374" s="339"/>
      <c r="AP374" s="339"/>
      <c r="AQ374" s="339"/>
      <c r="AR374" s="339"/>
      <c r="AS374" s="339"/>
    </row>
    <row r="375" spans="1:45" ht="15.75" customHeight="1">
      <c r="A375" s="339"/>
      <c r="B375" s="339"/>
      <c r="C375" s="341"/>
      <c r="D375" s="341"/>
      <c r="E375" s="341"/>
      <c r="F375" s="340"/>
      <c r="G375" s="339"/>
      <c r="H375" s="339"/>
      <c r="I375" s="339"/>
      <c r="J375" s="341"/>
      <c r="K375" s="340"/>
      <c r="L375" s="341"/>
      <c r="M375" s="340"/>
      <c r="N375" s="339"/>
      <c r="O375" s="339"/>
      <c r="P375" s="339"/>
      <c r="Q375" s="339"/>
      <c r="R375" s="339"/>
      <c r="S375" s="339"/>
      <c r="T375" s="339"/>
      <c r="U375" s="339"/>
      <c r="V375" s="339"/>
      <c r="W375" s="339"/>
      <c r="X375" s="339"/>
      <c r="Y375" s="339"/>
      <c r="Z375" s="339"/>
      <c r="AA375" s="339"/>
      <c r="AB375" s="341"/>
      <c r="AC375" s="341"/>
      <c r="AD375" s="341"/>
      <c r="AE375" s="339"/>
      <c r="AF375" s="339"/>
      <c r="AG375" s="341"/>
      <c r="AH375" s="339"/>
      <c r="AI375" s="341"/>
      <c r="AJ375" s="339"/>
      <c r="AK375" s="341"/>
      <c r="AL375" s="341"/>
      <c r="AM375" s="339"/>
      <c r="AN375" s="339"/>
      <c r="AO375" s="339"/>
      <c r="AP375" s="339"/>
      <c r="AQ375" s="339"/>
      <c r="AR375" s="339"/>
      <c r="AS375" s="339"/>
    </row>
    <row r="376" spans="1:45" ht="15.75" customHeight="1">
      <c r="A376" s="339"/>
      <c r="B376" s="339"/>
      <c r="C376" s="341"/>
      <c r="D376" s="341"/>
      <c r="E376" s="341"/>
      <c r="F376" s="340"/>
      <c r="G376" s="339"/>
      <c r="H376" s="339"/>
      <c r="I376" s="339"/>
      <c r="J376" s="341"/>
      <c r="K376" s="340"/>
      <c r="L376" s="341"/>
      <c r="M376" s="340"/>
      <c r="N376" s="339"/>
      <c r="O376" s="339"/>
      <c r="P376" s="339"/>
      <c r="Q376" s="339"/>
      <c r="R376" s="339"/>
      <c r="S376" s="339"/>
      <c r="T376" s="339"/>
      <c r="U376" s="339"/>
      <c r="V376" s="339"/>
      <c r="W376" s="339"/>
      <c r="X376" s="339"/>
      <c r="Y376" s="339"/>
      <c r="Z376" s="339"/>
      <c r="AA376" s="339"/>
      <c r="AB376" s="341"/>
      <c r="AC376" s="341"/>
      <c r="AD376" s="341"/>
      <c r="AE376" s="339"/>
      <c r="AF376" s="339"/>
      <c r="AG376" s="341"/>
      <c r="AH376" s="339"/>
      <c r="AI376" s="341"/>
      <c r="AJ376" s="339"/>
      <c r="AK376" s="341"/>
      <c r="AL376" s="341"/>
      <c r="AM376" s="339"/>
      <c r="AN376" s="339"/>
      <c r="AO376" s="339"/>
      <c r="AP376" s="339"/>
      <c r="AQ376" s="339"/>
      <c r="AR376" s="339"/>
      <c r="AS376" s="339"/>
    </row>
    <row r="377" spans="1:45" ht="15.75" customHeight="1">
      <c r="A377" s="339"/>
      <c r="B377" s="339"/>
      <c r="C377" s="341"/>
      <c r="D377" s="341"/>
      <c r="E377" s="341"/>
      <c r="F377" s="340"/>
      <c r="G377" s="339"/>
      <c r="H377" s="339"/>
      <c r="I377" s="339"/>
      <c r="J377" s="341"/>
      <c r="K377" s="340"/>
      <c r="L377" s="341"/>
      <c r="M377" s="340"/>
      <c r="N377" s="339"/>
      <c r="O377" s="339"/>
      <c r="P377" s="339"/>
      <c r="Q377" s="339"/>
      <c r="R377" s="339"/>
      <c r="S377" s="339"/>
      <c r="T377" s="339"/>
      <c r="U377" s="339"/>
      <c r="V377" s="339"/>
      <c r="W377" s="339"/>
      <c r="X377" s="339"/>
      <c r="Y377" s="339"/>
      <c r="Z377" s="339"/>
      <c r="AA377" s="339"/>
      <c r="AB377" s="341"/>
      <c r="AC377" s="341"/>
      <c r="AD377" s="341"/>
      <c r="AE377" s="339"/>
      <c r="AF377" s="339"/>
      <c r="AG377" s="341"/>
      <c r="AH377" s="339"/>
      <c r="AI377" s="341"/>
      <c r="AJ377" s="339"/>
      <c r="AK377" s="341"/>
      <c r="AL377" s="341"/>
      <c r="AM377" s="339"/>
      <c r="AN377" s="339"/>
      <c r="AO377" s="339"/>
      <c r="AP377" s="339"/>
      <c r="AQ377" s="339"/>
      <c r="AR377" s="339"/>
      <c r="AS377" s="339"/>
    </row>
    <row r="378" spans="1:45" ht="15.75" customHeight="1">
      <c r="A378" s="339"/>
      <c r="B378" s="339"/>
      <c r="C378" s="341"/>
      <c r="D378" s="341"/>
      <c r="E378" s="341"/>
      <c r="F378" s="340"/>
      <c r="G378" s="339"/>
      <c r="H378" s="339"/>
      <c r="I378" s="339"/>
      <c r="J378" s="341"/>
      <c r="K378" s="340"/>
      <c r="L378" s="341"/>
      <c r="M378" s="340"/>
      <c r="N378" s="339"/>
      <c r="O378" s="339"/>
      <c r="P378" s="339"/>
      <c r="Q378" s="339"/>
      <c r="R378" s="339"/>
      <c r="S378" s="339"/>
      <c r="T378" s="339"/>
      <c r="U378" s="339"/>
      <c r="V378" s="339"/>
      <c r="W378" s="339"/>
      <c r="X378" s="339"/>
      <c r="Y378" s="339"/>
      <c r="Z378" s="339"/>
      <c r="AA378" s="339"/>
      <c r="AB378" s="341"/>
      <c r="AC378" s="341"/>
      <c r="AD378" s="341"/>
      <c r="AE378" s="339"/>
      <c r="AF378" s="339"/>
      <c r="AG378" s="341"/>
      <c r="AH378" s="339"/>
      <c r="AI378" s="341"/>
      <c r="AJ378" s="339"/>
      <c r="AK378" s="341"/>
      <c r="AL378" s="341"/>
      <c r="AM378" s="339"/>
      <c r="AN378" s="339"/>
      <c r="AO378" s="339"/>
      <c r="AP378" s="339"/>
      <c r="AQ378" s="339"/>
      <c r="AR378" s="339"/>
      <c r="AS378" s="339"/>
    </row>
    <row r="379" spans="1:45" ht="15.75" customHeight="1">
      <c r="A379" s="339"/>
      <c r="B379" s="339"/>
      <c r="C379" s="341"/>
      <c r="D379" s="341"/>
      <c r="E379" s="341"/>
      <c r="F379" s="340"/>
      <c r="G379" s="339"/>
      <c r="H379" s="339"/>
      <c r="I379" s="339"/>
      <c r="J379" s="341"/>
      <c r="K379" s="340"/>
      <c r="L379" s="341"/>
      <c r="M379" s="340"/>
      <c r="N379" s="339"/>
      <c r="O379" s="339"/>
      <c r="P379" s="339"/>
      <c r="Q379" s="339"/>
      <c r="R379" s="339"/>
      <c r="S379" s="339"/>
      <c r="T379" s="339"/>
      <c r="U379" s="339"/>
      <c r="V379" s="339"/>
      <c r="W379" s="339"/>
      <c r="X379" s="339"/>
      <c r="Y379" s="339"/>
      <c r="Z379" s="339"/>
      <c r="AA379" s="339"/>
      <c r="AB379" s="341"/>
      <c r="AC379" s="341"/>
      <c r="AD379" s="341"/>
      <c r="AE379" s="339"/>
      <c r="AF379" s="339"/>
      <c r="AG379" s="341"/>
      <c r="AH379" s="339"/>
      <c r="AI379" s="341"/>
      <c r="AJ379" s="339"/>
      <c r="AK379" s="341"/>
      <c r="AL379" s="341"/>
      <c r="AM379" s="339"/>
      <c r="AN379" s="339"/>
      <c r="AO379" s="339"/>
      <c r="AP379" s="339"/>
      <c r="AQ379" s="339"/>
      <c r="AR379" s="339"/>
      <c r="AS379" s="339"/>
    </row>
    <row r="380" spans="1:45" ht="15.75" customHeight="1">
      <c r="A380" s="339"/>
      <c r="B380" s="339"/>
      <c r="C380" s="341"/>
      <c r="D380" s="341"/>
      <c r="E380" s="341"/>
      <c r="F380" s="340"/>
      <c r="G380" s="339"/>
      <c r="H380" s="339"/>
      <c r="I380" s="339"/>
      <c r="J380" s="341"/>
      <c r="K380" s="340"/>
      <c r="L380" s="341"/>
      <c r="M380" s="340"/>
      <c r="N380" s="339"/>
      <c r="O380" s="339"/>
      <c r="P380" s="339"/>
      <c r="Q380" s="339"/>
      <c r="R380" s="339"/>
      <c r="S380" s="339"/>
      <c r="T380" s="339"/>
      <c r="U380" s="339"/>
      <c r="V380" s="339"/>
      <c r="W380" s="339"/>
      <c r="X380" s="339"/>
      <c r="Y380" s="339"/>
      <c r="Z380" s="339"/>
      <c r="AA380" s="339"/>
      <c r="AB380" s="341"/>
      <c r="AC380" s="341"/>
      <c r="AD380" s="341"/>
      <c r="AE380" s="339"/>
      <c r="AF380" s="339"/>
      <c r="AG380" s="341"/>
      <c r="AH380" s="339"/>
      <c r="AI380" s="341"/>
      <c r="AJ380" s="339"/>
      <c r="AK380" s="341"/>
      <c r="AL380" s="341"/>
      <c r="AM380" s="339"/>
      <c r="AN380" s="339"/>
      <c r="AO380" s="339"/>
      <c r="AP380" s="339"/>
      <c r="AQ380" s="339"/>
      <c r="AR380" s="339"/>
      <c r="AS380" s="339"/>
    </row>
    <row r="381" spans="1:45" ht="15.75" customHeight="1">
      <c r="A381" s="339"/>
      <c r="B381" s="339"/>
      <c r="C381" s="341"/>
      <c r="D381" s="341"/>
      <c r="E381" s="341"/>
      <c r="F381" s="340"/>
      <c r="G381" s="339"/>
      <c r="H381" s="339"/>
      <c r="I381" s="339"/>
      <c r="J381" s="341"/>
      <c r="K381" s="340"/>
      <c r="L381" s="341"/>
      <c r="M381" s="340"/>
      <c r="N381" s="339"/>
      <c r="O381" s="339"/>
      <c r="P381" s="339"/>
      <c r="Q381" s="339"/>
      <c r="R381" s="339"/>
      <c r="S381" s="339"/>
      <c r="T381" s="339"/>
      <c r="U381" s="339"/>
      <c r="V381" s="339"/>
      <c r="W381" s="339"/>
      <c r="X381" s="339"/>
      <c r="Y381" s="339"/>
      <c r="Z381" s="339"/>
      <c r="AA381" s="339"/>
      <c r="AB381" s="341"/>
      <c r="AC381" s="341"/>
      <c r="AD381" s="341"/>
      <c r="AE381" s="339"/>
      <c r="AF381" s="339"/>
      <c r="AG381" s="341"/>
      <c r="AH381" s="339"/>
      <c r="AI381" s="341"/>
      <c r="AJ381" s="339"/>
      <c r="AK381" s="341"/>
      <c r="AL381" s="341"/>
      <c r="AM381" s="339"/>
      <c r="AN381" s="339"/>
      <c r="AO381" s="339"/>
      <c r="AP381" s="339"/>
      <c r="AQ381" s="339"/>
      <c r="AR381" s="339"/>
      <c r="AS381" s="339"/>
    </row>
    <row r="382" spans="1:45" ht="15.75" customHeight="1">
      <c r="A382" s="339"/>
      <c r="B382" s="339"/>
      <c r="C382" s="341"/>
      <c r="D382" s="341"/>
      <c r="E382" s="341"/>
      <c r="F382" s="340"/>
      <c r="G382" s="339"/>
      <c r="H382" s="339"/>
      <c r="I382" s="339"/>
      <c r="J382" s="341"/>
      <c r="K382" s="340"/>
      <c r="L382" s="341"/>
      <c r="M382" s="340"/>
      <c r="N382" s="339"/>
      <c r="O382" s="339"/>
      <c r="P382" s="339"/>
      <c r="Q382" s="339"/>
      <c r="R382" s="339"/>
      <c r="S382" s="339"/>
      <c r="T382" s="339"/>
      <c r="U382" s="339"/>
      <c r="V382" s="339"/>
      <c r="W382" s="339"/>
      <c r="X382" s="339"/>
      <c r="Y382" s="339"/>
      <c r="Z382" s="339"/>
      <c r="AA382" s="339"/>
      <c r="AB382" s="341"/>
      <c r="AC382" s="341"/>
      <c r="AD382" s="341"/>
      <c r="AE382" s="339"/>
      <c r="AF382" s="339"/>
      <c r="AG382" s="341"/>
      <c r="AH382" s="339"/>
      <c r="AI382" s="341"/>
      <c r="AJ382" s="339"/>
      <c r="AK382" s="341"/>
      <c r="AL382" s="341"/>
      <c r="AM382" s="339"/>
      <c r="AN382" s="339"/>
      <c r="AO382" s="339"/>
      <c r="AP382" s="339"/>
      <c r="AQ382" s="339"/>
      <c r="AR382" s="339"/>
      <c r="AS382" s="339"/>
    </row>
    <row r="383" spans="1:45" ht="15.75" customHeight="1">
      <c r="A383" s="339"/>
      <c r="B383" s="339"/>
      <c r="C383" s="341"/>
      <c r="D383" s="341"/>
      <c r="E383" s="341"/>
      <c r="F383" s="340"/>
      <c r="G383" s="339"/>
      <c r="H383" s="339"/>
      <c r="I383" s="339"/>
      <c r="J383" s="341"/>
      <c r="K383" s="340"/>
      <c r="L383" s="341"/>
      <c r="M383" s="340"/>
      <c r="N383" s="339"/>
      <c r="O383" s="339"/>
      <c r="P383" s="339"/>
      <c r="Q383" s="339"/>
      <c r="R383" s="339"/>
      <c r="S383" s="339"/>
      <c r="T383" s="339"/>
      <c r="U383" s="339"/>
      <c r="V383" s="339"/>
      <c r="W383" s="339"/>
      <c r="X383" s="339"/>
      <c r="Y383" s="339"/>
      <c r="Z383" s="339"/>
      <c r="AA383" s="339"/>
      <c r="AB383" s="341"/>
      <c r="AC383" s="341"/>
      <c r="AD383" s="341"/>
      <c r="AE383" s="339"/>
      <c r="AF383" s="339"/>
      <c r="AG383" s="341"/>
      <c r="AH383" s="339"/>
      <c r="AI383" s="341"/>
      <c r="AJ383" s="339"/>
      <c r="AK383" s="341"/>
      <c r="AL383" s="341"/>
      <c r="AM383" s="339"/>
      <c r="AN383" s="339"/>
      <c r="AO383" s="339"/>
      <c r="AP383" s="339"/>
      <c r="AQ383" s="339"/>
      <c r="AR383" s="339"/>
      <c r="AS383" s="339"/>
    </row>
    <row r="384" spans="1:45" ht="15.75" customHeight="1">
      <c r="A384" s="339"/>
      <c r="B384" s="339"/>
      <c r="C384" s="341"/>
      <c r="D384" s="341"/>
      <c r="E384" s="341"/>
      <c r="F384" s="340"/>
      <c r="G384" s="339"/>
      <c r="H384" s="339"/>
      <c r="I384" s="339"/>
      <c r="J384" s="341"/>
      <c r="K384" s="340"/>
      <c r="L384" s="341"/>
      <c r="M384" s="340"/>
      <c r="N384" s="339"/>
      <c r="O384" s="339"/>
      <c r="P384" s="339"/>
      <c r="Q384" s="339"/>
      <c r="R384" s="339"/>
      <c r="S384" s="339"/>
      <c r="T384" s="339"/>
      <c r="U384" s="339"/>
      <c r="V384" s="339"/>
      <c r="W384" s="339"/>
      <c r="X384" s="339"/>
      <c r="Y384" s="339"/>
      <c r="Z384" s="339"/>
      <c r="AA384" s="339"/>
      <c r="AB384" s="341"/>
      <c r="AC384" s="341"/>
      <c r="AD384" s="341"/>
      <c r="AE384" s="339"/>
      <c r="AF384" s="339"/>
      <c r="AG384" s="341"/>
      <c r="AH384" s="339"/>
      <c r="AI384" s="341"/>
      <c r="AJ384" s="339"/>
      <c r="AK384" s="341"/>
      <c r="AL384" s="341"/>
      <c r="AM384" s="339"/>
      <c r="AN384" s="339"/>
      <c r="AO384" s="339"/>
      <c r="AP384" s="339"/>
      <c r="AQ384" s="339"/>
      <c r="AR384" s="339"/>
      <c r="AS384" s="339"/>
    </row>
    <row r="385" spans="1:45" ht="15.75" customHeight="1">
      <c r="A385" s="339"/>
      <c r="B385" s="339"/>
      <c r="C385" s="341"/>
      <c r="D385" s="341"/>
      <c r="E385" s="341"/>
      <c r="F385" s="340"/>
      <c r="G385" s="339"/>
      <c r="H385" s="339"/>
      <c r="I385" s="339"/>
      <c r="J385" s="341"/>
      <c r="K385" s="340"/>
      <c r="L385" s="341"/>
      <c r="M385" s="340"/>
      <c r="N385" s="339"/>
      <c r="O385" s="339"/>
      <c r="P385" s="339"/>
      <c r="Q385" s="339"/>
      <c r="R385" s="339"/>
      <c r="S385" s="339"/>
      <c r="T385" s="339"/>
      <c r="U385" s="339"/>
      <c r="V385" s="339"/>
      <c r="W385" s="339"/>
      <c r="X385" s="339"/>
      <c r="Y385" s="339"/>
      <c r="Z385" s="339"/>
      <c r="AA385" s="339"/>
      <c r="AB385" s="341"/>
      <c r="AC385" s="341"/>
      <c r="AD385" s="341"/>
      <c r="AE385" s="339"/>
      <c r="AF385" s="339"/>
      <c r="AG385" s="341"/>
      <c r="AH385" s="339"/>
      <c r="AI385" s="341"/>
      <c r="AJ385" s="339"/>
      <c r="AK385" s="341"/>
      <c r="AL385" s="341"/>
      <c r="AM385" s="339"/>
      <c r="AN385" s="339"/>
      <c r="AO385" s="339"/>
      <c r="AP385" s="339"/>
      <c r="AQ385" s="339"/>
      <c r="AR385" s="339"/>
      <c r="AS385" s="339"/>
    </row>
    <row r="386" spans="1:45" ht="15.75" customHeight="1">
      <c r="A386" s="339"/>
      <c r="B386" s="339"/>
      <c r="C386" s="341"/>
      <c r="D386" s="341"/>
      <c r="E386" s="341"/>
      <c r="F386" s="340"/>
      <c r="G386" s="339"/>
      <c r="H386" s="339"/>
      <c r="I386" s="339"/>
      <c r="J386" s="341"/>
      <c r="K386" s="340"/>
      <c r="L386" s="341"/>
      <c r="M386" s="340"/>
      <c r="N386" s="339"/>
      <c r="O386" s="339"/>
      <c r="P386" s="339"/>
      <c r="Q386" s="339"/>
      <c r="R386" s="339"/>
      <c r="S386" s="339"/>
      <c r="T386" s="339"/>
      <c r="U386" s="339"/>
      <c r="V386" s="339"/>
      <c r="W386" s="339"/>
      <c r="X386" s="339"/>
      <c r="Y386" s="339"/>
      <c r="Z386" s="339"/>
      <c r="AA386" s="339"/>
      <c r="AB386" s="341"/>
      <c r="AC386" s="341"/>
      <c r="AD386" s="341"/>
      <c r="AE386" s="339"/>
      <c r="AF386" s="339"/>
      <c r="AG386" s="341"/>
      <c r="AH386" s="339"/>
      <c r="AI386" s="341"/>
      <c r="AJ386" s="339"/>
      <c r="AK386" s="341"/>
      <c r="AL386" s="341"/>
      <c r="AM386" s="339"/>
      <c r="AN386" s="339"/>
      <c r="AO386" s="339"/>
      <c r="AP386" s="339"/>
      <c r="AQ386" s="339"/>
      <c r="AR386" s="339"/>
      <c r="AS386" s="339"/>
    </row>
    <row r="387" spans="1:45" ht="15.75" customHeight="1">
      <c r="A387" s="339"/>
      <c r="B387" s="339"/>
      <c r="C387" s="341"/>
      <c r="D387" s="341"/>
      <c r="E387" s="341"/>
      <c r="F387" s="340"/>
      <c r="G387" s="339"/>
      <c r="H387" s="339"/>
      <c r="I387" s="339"/>
      <c r="J387" s="341"/>
      <c r="K387" s="340"/>
      <c r="L387" s="341"/>
      <c r="M387" s="340"/>
      <c r="N387" s="339"/>
      <c r="O387" s="339"/>
      <c r="P387" s="339"/>
      <c r="Q387" s="339"/>
      <c r="R387" s="339"/>
      <c r="S387" s="339"/>
      <c r="T387" s="339"/>
      <c r="U387" s="339"/>
      <c r="V387" s="339"/>
      <c r="W387" s="339"/>
      <c r="X387" s="339"/>
      <c r="Y387" s="339"/>
      <c r="Z387" s="339"/>
      <c r="AA387" s="339"/>
      <c r="AB387" s="341"/>
      <c r="AC387" s="341"/>
      <c r="AD387" s="341"/>
      <c r="AE387" s="339"/>
      <c r="AF387" s="339"/>
      <c r="AG387" s="341"/>
      <c r="AH387" s="339"/>
      <c r="AI387" s="341"/>
      <c r="AJ387" s="339"/>
      <c r="AK387" s="341"/>
      <c r="AL387" s="341"/>
      <c r="AM387" s="339"/>
      <c r="AN387" s="339"/>
      <c r="AO387" s="339"/>
      <c r="AP387" s="339"/>
      <c r="AQ387" s="339"/>
      <c r="AR387" s="339"/>
      <c r="AS387" s="339"/>
    </row>
    <row r="388" spans="1:45" ht="15.75" customHeight="1">
      <c r="A388" s="339"/>
      <c r="B388" s="339"/>
      <c r="C388" s="341"/>
      <c r="D388" s="341"/>
      <c r="E388" s="341"/>
      <c r="F388" s="340"/>
      <c r="G388" s="339"/>
      <c r="H388" s="339"/>
      <c r="I388" s="339"/>
      <c r="J388" s="341"/>
      <c r="K388" s="340"/>
      <c r="L388" s="341"/>
      <c r="M388" s="340"/>
      <c r="N388" s="339"/>
      <c r="O388" s="339"/>
      <c r="P388" s="339"/>
      <c r="Q388" s="339"/>
      <c r="R388" s="339"/>
      <c r="S388" s="339"/>
      <c r="T388" s="339"/>
      <c r="U388" s="339"/>
      <c r="V388" s="339"/>
      <c r="W388" s="339"/>
      <c r="X388" s="339"/>
      <c r="Y388" s="339"/>
      <c r="Z388" s="339"/>
      <c r="AA388" s="339"/>
      <c r="AB388" s="341"/>
      <c r="AC388" s="341"/>
      <c r="AD388" s="341"/>
      <c r="AE388" s="339"/>
      <c r="AF388" s="339"/>
      <c r="AG388" s="341"/>
      <c r="AH388" s="339"/>
      <c r="AI388" s="341"/>
      <c r="AJ388" s="339"/>
      <c r="AK388" s="341"/>
      <c r="AL388" s="341"/>
      <c r="AM388" s="339"/>
      <c r="AN388" s="339"/>
      <c r="AO388" s="339"/>
      <c r="AP388" s="339"/>
      <c r="AQ388" s="339"/>
      <c r="AR388" s="339"/>
      <c r="AS388" s="339"/>
    </row>
    <row r="389" spans="1:45" ht="15.75" customHeight="1">
      <c r="A389" s="339"/>
      <c r="B389" s="339"/>
      <c r="C389" s="341"/>
      <c r="D389" s="341"/>
      <c r="E389" s="341"/>
      <c r="F389" s="340"/>
      <c r="G389" s="339"/>
      <c r="H389" s="339"/>
      <c r="I389" s="339"/>
      <c r="J389" s="341"/>
      <c r="K389" s="340"/>
      <c r="L389" s="341"/>
      <c r="M389" s="340"/>
      <c r="N389" s="339"/>
      <c r="O389" s="339"/>
      <c r="P389" s="339"/>
      <c r="Q389" s="339"/>
      <c r="R389" s="339"/>
      <c r="S389" s="339"/>
      <c r="T389" s="339"/>
      <c r="U389" s="339"/>
      <c r="V389" s="339"/>
      <c r="W389" s="339"/>
      <c r="X389" s="339"/>
      <c r="Y389" s="339"/>
      <c r="Z389" s="339"/>
      <c r="AA389" s="339"/>
      <c r="AB389" s="341"/>
      <c r="AC389" s="341"/>
      <c r="AD389" s="341"/>
      <c r="AE389" s="339"/>
      <c r="AF389" s="339"/>
      <c r="AG389" s="341"/>
      <c r="AH389" s="339"/>
      <c r="AI389" s="341"/>
      <c r="AJ389" s="339"/>
      <c r="AK389" s="341"/>
      <c r="AL389" s="341"/>
      <c r="AM389" s="339"/>
      <c r="AN389" s="339"/>
      <c r="AO389" s="339"/>
      <c r="AP389" s="339"/>
      <c r="AQ389" s="339"/>
      <c r="AR389" s="339"/>
      <c r="AS389" s="339"/>
    </row>
    <row r="390" spans="1:45" ht="15.75" customHeight="1">
      <c r="A390" s="339"/>
      <c r="B390" s="339"/>
      <c r="C390" s="341"/>
      <c r="D390" s="341"/>
      <c r="E390" s="341"/>
      <c r="F390" s="340"/>
      <c r="G390" s="339"/>
      <c r="H390" s="339"/>
      <c r="I390" s="339"/>
      <c r="J390" s="341"/>
      <c r="K390" s="340"/>
      <c r="L390" s="341"/>
      <c r="M390" s="340"/>
      <c r="N390" s="339"/>
      <c r="O390" s="339"/>
      <c r="P390" s="339"/>
      <c r="Q390" s="339"/>
      <c r="R390" s="339"/>
      <c r="S390" s="339"/>
      <c r="T390" s="339"/>
      <c r="U390" s="339"/>
      <c r="V390" s="339"/>
      <c r="W390" s="339"/>
      <c r="X390" s="339"/>
      <c r="Y390" s="339"/>
      <c r="Z390" s="339"/>
      <c r="AA390" s="339"/>
      <c r="AB390" s="341"/>
      <c r="AC390" s="341"/>
      <c r="AD390" s="341"/>
      <c r="AE390" s="339"/>
      <c r="AF390" s="339"/>
      <c r="AG390" s="341"/>
      <c r="AH390" s="339"/>
      <c r="AI390" s="341"/>
      <c r="AJ390" s="339"/>
      <c r="AK390" s="341"/>
      <c r="AL390" s="341"/>
      <c r="AM390" s="339"/>
      <c r="AN390" s="339"/>
      <c r="AO390" s="339"/>
      <c r="AP390" s="339"/>
      <c r="AQ390" s="339"/>
      <c r="AR390" s="339"/>
      <c r="AS390" s="339"/>
    </row>
    <row r="391" spans="1:45" ht="15.75" customHeight="1">
      <c r="A391" s="339"/>
      <c r="B391" s="339"/>
      <c r="C391" s="341"/>
      <c r="D391" s="341"/>
      <c r="E391" s="341"/>
      <c r="F391" s="340"/>
      <c r="G391" s="339"/>
      <c r="H391" s="339"/>
      <c r="I391" s="339"/>
      <c r="J391" s="341"/>
      <c r="K391" s="340"/>
      <c r="L391" s="341"/>
      <c r="M391" s="340"/>
      <c r="N391" s="339"/>
      <c r="O391" s="339"/>
      <c r="P391" s="339"/>
      <c r="Q391" s="339"/>
      <c r="R391" s="339"/>
      <c r="S391" s="339"/>
      <c r="T391" s="339"/>
      <c r="U391" s="339"/>
      <c r="V391" s="339"/>
      <c r="W391" s="339"/>
      <c r="X391" s="339"/>
      <c r="Y391" s="339"/>
      <c r="Z391" s="339"/>
      <c r="AA391" s="339"/>
      <c r="AB391" s="341"/>
      <c r="AC391" s="341"/>
      <c r="AD391" s="341"/>
      <c r="AE391" s="339"/>
      <c r="AF391" s="339"/>
      <c r="AG391" s="341"/>
      <c r="AH391" s="339"/>
      <c r="AI391" s="341"/>
      <c r="AJ391" s="339"/>
      <c r="AK391" s="341"/>
      <c r="AL391" s="341"/>
      <c r="AM391" s="339"/>
      <c r="AN391" s="339"/>
      <c r="AO391" s="339"/>
      <c r="AP391" s="339"/>
      <c r="AQ391" s="339"/>
      <c r="AR391" s="339"/>
      <c r="AS391" s="339"/>
    </row>
    <row r="392" spans="1:45" ht="15.75" customHeight="1">
      <c r="A392" s="339"/>
      <c r="B392" s="339"/>
      <c r="C392" s="341"/>
      <c r="D392" s="341"/>
      <c r="E392" s="341"/>
      <c r="F392" s="340"/>
      <c r="G392" s="339"/>
      <c r="H392" s="339"/>
      <c r="I392" s="339"/>
      <c r="J392" s="341"/>
      <c r="K392" s="340"/>
      <c r="L392" s="341"/>
      <c r="M392" s="340"/>
      <c r="N392" s="339"/>
      <c r="O392" s="339"/>
      <c r="P392" s="339"/>
      <c r="Q392" s="339"/>
      <c r="R392" s="339"/>
      <c r="S392" s="339"/>
      <c r="T392" s="339"/>
      <c r="U392" s="339"/>
      <c r="V392" s="339"/>
      <c r="W392" s="339"/>
      <c r="X392" s="339"/>
      <c r="Y392" s="339"/>
      <c r="Z392" s="339"/>
      <c r="AA392" s="339"/>
      <c r="AB392" s="341"/>
      <c r="AC392" s="341"/>
      <c r="AD392" s="341"/>
      <c r="AE392" s="339"/>
      <c r="AF392" s="339"/>
      <c r="AG392" s="341"/>
      <c r="AH392" s="339"/>
      <c r="AI392" s="341"/>
      <c r="AJ392" s="339"/>
      <c r="AK392" s="341"/>
      <c r="AL392" s="341"/>
      <c r="AM392" s="339"/>
      <c r="AN392" s="339"/>
      <c r="AO392" s="339"/>
      <c r="AP392" s="339"/>
      <c r="AQ392" s="339"/>
      <c r="AR392" s="339"/>
      <c r="AS392" s="339"/>
    </row>
    <row r="393" spans="1:45" ht="15.75" customHeight="1">
      <c r="A393" s="339"/>
      <c r="B393" s="339"/>
      <c r="C393" s="341"/>
      <c r="D393" s="341"/>
      <c r="E393" s="341"/>
      <c r="F393" s="340"/>
      <c r="G393" s="339"/>
      <c r="H393" s="339"/>
      <c r="I393" s="339"/>
      <c r="J393" s="341"/>
      <c r="K393" s="340"/>
      <c r="L393" s="341"/>
      <c r="M393" s="340"/>
      <c r="N393" s="339"/>
      <c r="O393" s="339"/>
      <c r="P393" s="339"/>
      <c r="Q393" s="339"/>
      <c r="R393" s="339"/>
      <c r="S393" s="339"/>
      <c r="T393" s="339"/>
      <c r="U393" s="339"/>
      <c r="V393" s="339"/>
      <c r="W393" s="339"/>
      <c r="X393" s="339"/>
      <c r="Y393" s="339"/>
      <c r="Z393" s="339"/>
      <c r="AA393" s="339"/>
      <c r="AB393" s="341"/>
      <c r="AC393" s="341"/>
      <c r="AD393" s="341"/>
      <c r="AE393" s="339"/>
      <c r="AF393" s="339"/>
      <c r="AG393" s="341"/>
      <c r="AH393" s="339"/>
      <c r="AI393" s="341"/>
      <c r="AJ393" s="339"/>
      <c r="AK393" s="341"/>
      <c r="AL393" s="341"/>
      <c r="AM393" s="339"/>
      <c r="AN393" s="339"/>
      <c r="AO393" s="339"/>
      <c r="AP393" s="339"/>
      <c r="AQ393" s="339"/>
      <c r="AR393" s="339"/>
      <c r="AS393" s="339"/>
    </row>
    <row r="394" spans="1:45" ht="15.75" customHeight="1">
      <c r="A394" s="339"/>
      <c r="B394" s="339"/>
      <c r="C394" s="341"/>
      <c r="D394" s="341"/>
      <c r="E394" s="341"/>
      <c r="F394" s="340"/>
      <c r="G394" s="339"/>
      <c r="H394" s="339"/>
      <c r="I394" s="339"/>
      <c r="J394" s="341"/>
      <c r="K394" s="340"/>
      <c r="L394" s="341"/>
      <c r="M394" s="340"/>
      <c r="N394" s="339"/>
      <c r="O394" s="339"/>
      <c r="P394" s="339"/>
      <c r="Q394" s="339"/>
      <c r="R394" s="339"/>
      <c r="S394" s="339"/>
      <c r="T394" s="339"/>
      <c r="U394" s="339"/>
      <c r="V394" s="339"/>
      <c r="W394" s="339"/>
      <c r="X394" s="339"/>
      <c r="Y394" s="339"/>
      <c r="Z394" s="339"/>
      <c r="AA394" s="339"/>
      <c r="AB394" s="341"/>
      <c r="AC394" s="341"/>
      <c r="AD394" s="341"/>
      <c r="AE394" s="339"/>
      <c r="AF394" s="339"/>
      <c r="AG394" s="341"/>
      <c r="AH394" s="339"/>
      <c r="AI394" s="341"/>
      <c r="AJ394" s="339"/>
      <c r="AK394" s="341"/>
      <c r="AL394" s="341"/>
      <c r="AM394" s="339"/>
      <c r="AN394" s="339"/>
      <c r="AO394" s="339"/>
      <c r="AP394" s="339"/>
      <c r="AQ394" s="339"/>
      <c r="AR394" s="339"/>
      <c r="AS394" s="339"/>
    </row>
    <row r="395" spans="1:45" ht="15.75" customHeight="1">
      <c r="A395" s="339"/>
      <c r="B395" s="339"/>
      <c r="C395" s="341"/>
      <c r="D395" s="341"/>
      <c r="E395" s="341"/>
      <c r="F395" s="340"/>
      <c r="G395" s="339"/>
      <c r="H395" s="339"/>
      <c r="I395" s="339"/>
      <c r="J395" s="341"/>
      <c r="K395" s="340"/>
      <c r="L395" s="341"/>
      <c r="M395" s="340"/>
      <c r="N395" s="339"/>
      <c r="O395" s="339"/>
      <c r="P395" s="339"/>
      <c r="Q395" s="339"/>
      <c r="R395" s="339"/>
      <c r="S395" s="339"/>
      <c r="T395" s="339"/>
      <c r="U395" s="339"/>
      <c r="V395" s="339"/>
      <c r="W395" s="339"/>
      <c r="X395" s="339"/>
      <c r="Y395" s="339"/>
      <c r="Z395" s="339"/>
      <c r="AA395" s="339"/>
      <c r="AB395" s="341"/>
      <c r="AC395" s="341"/>
      <c r="AD395" s="341"/>
      <c r="AE395" s="339"/>
      <c r="AF395" s="339"/>
      <c r="AG395" s="341"/>
      <c r="AH395" s="339"/>
      <c r="AI395" s="341"/>
      <c r="AJ395" s="339"/>
      <c r="AK395" s="341"/>
      <c r="AL395" s="341"/>
      <c r="AM395" s="339"/>
      <c r="AN395" s="339"/>
      <c r="AO395" s="339"/>
      <c r="AP395" s="339"/>
      <c r="AQ395" s="339"/>
      <c r="AR395" s="339"/>
      <c r="AS395" s="339"/>
    </row>
    <row r="396" spans="1:45" ht="15.75" customHeight="1">
      <c r="A396" s="339"/>
      <c r="B396" s="339"/>
      <c r="C396" s="341"/>
      <c r="D396" s="341"/>
      <c r="E396" s="341"/>
      <c r="F396" s="340"/>
      <c r="G396" s="339"/>
      <c r="H396" s="339"/>
      <c r="I396" s="339"/>
      <c r="J396" s="341"/>
      <c r="K396" s="340"/>
      <c r="L396" s="341"/>
      <c r="M396" s="340"/>
      <c r="N396" s="339"/>
      <c r="O396" s="339"/>
      <c r="P396" s="339"/>
      <c r="Q396" s="339"/>
      <c r="R396" s="339"/>
      <c r="S396" s="339"/>
      <c r="T396" s="339"/>
      <c r="U396" s="339"/>
      <c r="V396" s="339"/>
      <c r="W396" s="339"/>
      <c r="X396" s="339"/>
      <c r="Y396" s="339"/>
      <c r="Z396" s="339"/>
      <c r="AA396" s="339"/>
      <c r="AB396" s="341"/>
      <c r="AC396" s="341"/>
      <c r="AD396" s="341"/>
      <c r="AE396" s="339"/>
      <c r="AF396" s="339"/>
      <c r="AG396" s="341"/>
      <c r="AH396" s="339"/>
      <c r="AI396" s="341"/>
      <c r="AJ396" s="339"/>
      <c r="AK396" s="341"/>
      <c r="AL396" s="341"/>
      <c r="AM396" s="339"/>
      <c r="AN396" s="339"/>
      <c r="AO396" s="339"/>
      <c r="AP396" s="339"/>
      <c r="AQ396" s="339"/>
      <c r="AR396" s="339"/>
      <c r="AS396" s="339"/>
    </row>
    <row r="397" spans="1:45" ht="15.75" customHeight="1">
      <c r="A397" s="339"/>
      <c r="B397" s="339"/>
      <c r="C397" s="341"/>
      <c r="D397" s="341"/>
      <c r="E397" s="341"/>
      <c r="F397" s="340"/>
      <c r="G397" s="339"/>
      <c r="H397" s="339"/>
      <c r="I397" s="339"/>
      <c r="J397" s="341"/>
      <c r="K397" s="340"/>
      <c r="L397" s="341"/>
      <c r="M397" s="340"/>
      <c r="N397" s="339"/>
      <c r="O397" s="339"/>
      <c r="P397" s="339"/>
      <c r="Q397" s="339"/>
      <c r="R397" s="339"/>
      <c r="S397" s="339"/>
      <c r="T397" s="339"/>
      <c r="U397" s="339"/>
      <c r="V397" s="339"/>
      <c r="W397" s="339"/>
      <c r="X397" s="339"/>
      <c r="Y397" s="339"/>
      <c r="Z397" s="339"/>
      <c r="AA397" s="339"/>
      <c r="AB397" s="341"/>
      <c r="AC397" s="341"/>
      <c r="AD397" s="341"/>
      <c r="AE397" s="339"/>
      <c r="AF397" s="339"/>
      <c r="AG397" s="341"/>
      <c r="AH397" s="339"/>
      <c r="AI397" s="341"/>
      <c r="AJ397" s="339"/>
      <c r="AK397" s="341"/>
      <c r="AL397" s="341"/>
      <c r="AM397" s="339"/>
      <c r="AN397" s="339"/>
      <c r="AO397" s="339"/>
      <c r="AP397" s="339"/>
      <c r="AQ397" s="339"/>
      <c r="AR397" s="339"/>
      <c r="AS397" s="339"/>
    </row>
    <row r="398" spans="1:45" ht="15.75" customHeight="1">
      <c r="A398" s="339"/>
      <c r="B398" s="339"/>
      <c r="C398" s="341"/>
      <c r="D398" s="341"/>
      <c r="E398" s="341"/>
      <c r="F398" s="340"/>
      <c r="G398" s="339"/>
      <c r="H398" s="339"/>
      <c r="I398" s="339"/>
      <c r="J398" s="341"/>
      <c r="K398" s="340"/>
      <c r="L398" s="341"/>
      <c r="M398" s="340"/>
      <c r="N398" s="339"/>
      <c r="O398" s="339"/>
      <c r="P398" s="339"/>
      <c r="Q398" s="339"/>
      <c r="R398" s="339"/>
      <c r="S398" s="339"/>
      <c r="T398" s="339"/>
      <c r="U398" s="339"/>
      <c r="V398" s="339"/>
      <c r="W398" s="339"/>
      <c r="X398" s="339"/>
      <c r="Y398" s="339"/>
      <c r="Z398" s="339"/>
      <c r="AA398" s="339"/>
      <c r="AB398" s="341"/>
      <c r="AC398" s="341"/>
      <c r="AD398" s="341"/>
      <c r="AE398" s="339"/>
      <c r="AF398" s="339"/>
      <c r="AG398" s="341"/>
      <c r="AH398" s="339"/>
      <c r="AI398" s="341"/>
      <c r="AJ398" s="339"/>
      <c r="AK398" s="341"/>
      <c r="AL398" s="341"/>
      <c r="AM398" s="339"/>
      <c r="AN398" s="339"/>
      <c r="AO398" s="339"/>
      <c r="AP398" s="339"/>
      <c r="AQ398" s="339"/>
      <c r="AR398" s="339"/>
      <c r="AS398" s="339"/>
    </row>
    <row r="399" spans="1:45" ht="15.75" customHeight="1">
      <c r="A399" s="339"/>
      <c r="B399" s="339"/>
      <c r="C399" s="341"/>
      <c r="D399" s="341"/>
      <c r="E399" s="341"/>
      <c r="F399" s="340"/>
      <c r="G399" s="339"/>
      <c r="H399" s="339"/>
      <c r="I399" s="339"/>
      <c r="J399" s="341"/>
      <c r="K399" s="340"/>
      <c r="L399" s="341"/>
      <c r="M399" s="340"/>
      <c r="N399" s="339"/>
      <c r="O399" s="339"/>
      <c r="P399" s="339"/>
      <c r="Q399" s="339"/>
      <c r="R399" s="339"/>
      <c r="S399" s="339"/>
      <c r="T399" s="339"/>
      <c r="U399" s="339"/>
      <c r="V399" s="339"/>
      <c r="W399" s="339"/>
      <c r="X399" s="339"/>
      <c r="Y399" s="339"/>
      <c r="Z399" s="339"/>
      <c r="AA399" s="339"/>
      <c r="AB399" s="341"/>
      <c r="AC399" s="341"/>
      <c r="AD399" s="341"/>
      <c r="AE399" s="339"/>
      <c r="AF399" s="339"/>
      <c r="AG399" s="341"/>
      <c r="AH399" s="339"/>
      <c r="AI399" s="341"/>
      <c r="AJ399" s="339"/>
      <c r="AK399" s="341"/>
      <c r="AL399" s="341"/>
      <c r="AM399" s="339"/>
      <c r="AN399" s="339"/>
      <c r="AO399" s="339"/>
      <c r="AP399" s="339"/>
      <c r="AQ399" s="339"/>
      <c r="AR399" s="339"/>
      <c r="AS399" s="339"/>
    </row>
    <row r="400" spans="1:45" ht="15.75" customHeight="1">
      <c r="A400" s="339"/>
      <c r="B400" s="339"/>
      <c r="C400" s="341"/>
      <c r="D400" s="341"/>
      <c r="E400" s="341"/>
      <c r="F400" s="340"/>
      <c r="G400" s="339"/>
      <c r="H400" s="339"/>
      <c r="I400" s="339"/>
      <c r="J400" s="341"/>
      <c r="K400" s="340"/>
      <c r="L400" s="341"/>
      <c r="M400" s="340"/>
      <c r="N400" s="339"/>
      <c r="O400" s="339"/>
      <c r="P400" s="339"/>
      <c r="Q400" s="339"/>
      <c r="R400" s="339"/>
      <c r="S400" s="339"/>
      <c r="T400" s="339"/>
      <c r="U400" s="339"/>
      <c r="V400" s="339"/>
      <c r="W400" s="339"/>
      <c r="X400" s="339"/>
      <c r="Y400" s="339"/>
      <c r="Z400" s="339"/>
      <c r="AA400" s="339"/>
      <c r="AB400" s="341"/>
      <c r="AC400" s="341"/>
      <c r="AD400" s="341"/>
      <c r="AE400" s="339"/>
      <c r="AF400" s="339"/>
      <c r="AG400" s="341"/>
      <c r="AH400" s="339"/>
      <c r="AI400" s="341"/>
      <c r="AJ400" s="339"/>
      <c r="AK400" s="341"/>
      <c r="AL400" s="341"/>
      <c r="AM400" s="339"/>
      <c r="AN400" s="339"/>
      <c r="AO400" s="339"/>
      <c r="AP400" s="339"/>
      <c r="AQ400" s="339"/>
      <c r="AR400" s="339"/>
      <c r="AS400" s="339"/>
    </row>
    <row r="401" spans="1:45" ht="15.75" customHeight="1">
      <c r="A401" s="339"/>
      <c r="B401" s="339"/>
      <c r="C401" s="341"/>
      <c r="D401" s="341"/>
      <c r="E401" s="341"/>
      <c r="F401" s="340"/>
      <c r="G401" s="339"/>
      <c r="H401" s="339"/>
      <c r="I401" s="339"/>
      <c r="J401" s="341"/>
      <c r="K401" s="340"/>
      <c r="L401" s="341"/>
      <c r="M401" s="340"/>
      <c r="N401" s="339"/>
      <c r="O401" s="339"/>
      <c r="P401" s="339"/>
      <c r="Q401" s="339"/>
      <c r="R401" s="339"/>
      <c r="S401" s="339"/>
      <c r="T401" s="339"/>
      <c r="U401" s="339"/>
      <c r="V401" s="339"/>
      <c r="W401" s="339"/>
      <c r="X401" s="339"/>
      <c r="Y401" s="339"/>
      <c r="Z401" s="339"/>
      <c r="AA401" s="339"/>
      <c r="AB401" s="341"/>
      <c r="AC401" s="341"/>
      <c r="AD401" s="341"/>
      <c r="AE401" s="339"/>
      <c r="AF401" s="339"/>
      <c r="AG401" s="341"/>
      <c r="AH401" s="339"/>
      <c r="AI401" s="341"/>
      <c r="AJ401" s="339"/>
      <c r="AK401" s="341"/>
      <c r="AL401" s="341"/>
      <c r="AM401" s="339"/>
      <c r="AN401" s="339"/>
      <c r="AO401" s="339"/>
      <c r="AP401" s="339"/>
      <c r="AQ401" s="339"/>
      <c r="AR401" s="339"/>
      <c r="AS401" s="339"/>
    </row>
    <row r="402" spans="1:45" ht="15.75" customHeight="1">
      <c r="A402" s="339"/>
      <c r="B402" s="339"/>
      <c r="C402" s="341"/>
      <c r="D402" s="341"/>
      <c r="E402" s="341"/>
      <c r="F402" s="340"/>
      <c r="G402" s="339"/>
      <c r="H402" s="339"/>
      <c r="I402" s="339"/>
      <c r="J402" s="341"/>
      <c r="K402" s="340"/>
      <c r="L402" s="341"/>
      <c r="M402" s="340"/>
      <c r="N402" s="339"/>
      <c r="O402" s="339"/>
      <c r="P402" s="339"/>
      <c r="Q402" s="339"/>
      <c r="R402" s="339"/>
      <c r="S402" s="339"/>
      <c r="T402" s="339"/>
      <c r="U402" s="339"/>
      <c r="V402" s="339"/>
      <c r="W402" s="339"/>
      <c r="X402" s="339"/>
      <c r="Y402" s="339"/>
      <c r="Z402" s="339"/>
      <c r="AA402" s="339"/>
      <c r="AB402" s="341"/>
      <c r="AC402" s="341"/>
      <c r="AD402" s="341"/>
      <c r="AE402" s="339"/>
      <c r="AF402" s="339"/>
      <c r="AG402" s="341"/>
      <c r="AH402" s="339"/>
      <c r="AI402" s="341"/>
      <c r="AJ402" s="339"/>
      <c r="AK402" s="341"/>
      <c r="AL402" s="341"/>
      <c r="AM402" s="339"/>
      <c r="AN402" s="339"/>
      <c r="AO402" s="339"/>
      <c r="AP402" s="339"/>
      <c r="AQ402" s="339"/>
      <c r="AR402" s="339"/>
      <c r="AS402" s="339"/>
    </row>
    <row r="403" spans="1:45" ht="15.75" customHeight="1">
      <c r="A403" s="339"/>
      <c r="B403" s="339"/>
      <c r="C403" s="341"/>
      <c r="D403" s="341"/>
      <c r="E403" s="341"/>
      <c r="F403" s="340"/>
      <c r="G403" s="339"/>
      <c r="H403" s="339"/>
      <c r="I403" s="339"/>
      <c r="J403" s="341"/>
      <c r="K403" s="340"/>
      <c r="L403" s="341"/>
      <c r="M403" s="340"/>
      <c r="N403" s="339"/>
      <c r="O403" s="339"/>
      <c r="P403" s="339"/>
      <c r="Q403" s="339"/>
      <c r="R403" s="339"/>
      <c r="S403" s="339"/>
      <c r="T403" s="339"/>
      <c r="U403" s="339"/>
      <c r="V403" s="339"/>
      <c r="W403" s="339"/>
      <c r="X403" s="339"/>
      <c r="Y403" s="339"/>
      <c r="Z403" s="339"/>
      <c r="AA403" s="339"/>
      <c r="AB403" s="341"/>
      <c r="AC403" s="341"/>
      <c r="AD403" s="341"/>
      <c r="AE403" s="339"/>
      <c r="AF403" s="339"/>
      <c r="AG403" s="341"/>
      <c r="AH403" s="339"/>
      <c r="AI403" s="341"/>
      <c r="AJ403" s="339"/>
      <c r="AK403" s="341"/>
      <c r="AL403" s="341"/>
      <c r="AM403" s="339"/>
      <c r="AN403" s="339"/>
      <c r="AO403" s="339"/>
      <c r="AP403" s="339"/>
      <c r="AQ403" s="339"/>
      <c r="AR403" s="339"/>
      <c r="AS403" s="339"/>
    </row>
    <row r="404" spans="1:45" ht="15.75" customHeight="1">
      <c r="A404" s="339"/>
      <c r="B404" s="339"/>
      <c r="C404" s="341"/>
      <c r="D404" s="341"/>
      <c r="E404" s="341"/>
      <c r="F404" s="340"/>
      <c r="G404" s="339"/>
      <c r="H404" s="339"/>
      <c r="I404" s="339"/>
      <c r="J404" s="341"/>
      <c r="K404" s="340"/>
      <c r="L404" s="341"/>
      <c r="M404" s="340"/>
      <c r="N404" s="339"/>
      <c r="O404" s="339"/>
      <c r="P404" s="339"/>
      <c r="Q404" s="339"/>
      <c r="R404" s="339"/>
      <c r="S404" s="339"/>
      <c r="T404" s="339"/>
      <c r="U404" s="339"/>
      <c r="V404" s="339"/>
      <c r="W404" s="339"/>
      <c r="X404" s="339"/>
      <c r="Y404" s="339"/>
      <c r="Z404" s="339"/>
      <c r="AA404" s="339"/>
      <c r="AB404" s="341"/>
      <c r="AC404" s="341"/>
      <c r="AD404" s="341"/>
      <c r="AE404" s="339"/>
      <c r="AF404" s="339"/>
      <c r="AG404" s="341"/>
      <c r="AH404" s="339"/>
      <c r="AI404" s="341"/>
      <c r="AJ404" s="339"/>
      <c r="AK404" s="341"/>
      <c r="AL404" s="341"/>
      <c r="AM404" s="339"/>
      <c r="AN404" s="339"/>
      <c r="AO404" s="339"/>
      <c r="AP404" s="339"/>
      <c r="AQ404" s="339"/>
      <c r="AR404" s="339"/>
      <c r="AS404" s="339"/>
    </row>
    <row r="405" spans="1:45" ht="15.75" customHeight="1">
      <c r="A405" s="339"/>
      <c r="B405" s="339"/>
      <c r="C405" s="341"/>
      <c r="D405" s="341"/>
      <c r="E405" s="341"/>
      <c r="F405" s="340"/>
      <c r="G405" s="339"/>
      <c r="H405" s="339"/>
      <c r="I405" s="339"/>
      <c r="J405" s="341"/>
      <c r="K405" s="340"/>
      <c r="L405" s="341"/>
      <c r="M405" s="340"/>
      <c r="N405" s="339"/>
      <c r="O405" s="339"/>
      <c r="P405" s="339"/>
      <c r="Q405" s="339"/>
      <c r="R405" s="339"/>
      <c r="S405" s="339"/>
      <c r="T405" s="339"/>
      <c r="U405" s="339"/>
      <c r="V405" s="339"/>
      <c r="W405" s="339"/>
      <c r="X405" s="339"/>
      <c r="Y405" s="339"/>
      <c r="Z405" s="339"/>
      <c r="AA405" s="339"/>
      <c r="AB405" s="341"/>
      <c r="AC405" s="341"/>
      <c r="AD405" s="341"/>
      <c r="AE405" s="339"/>
      <c r="AF405" s="339"/>
      <c r="AG405" s="341"/>
      <c r="AH405" s="339"/>
      <c r="AI405" s="341"/>
      <c r="AJ405" s="339"/>
      <c r="AK405" s="341"/>
      <c r="AL405" s="341"/>
      <c r="AM405" s="339"/>
      <c r="AN405" s="339"/>
      <c r="AO405" s="339"/>
      <c r="AP405" s="339"/>
      <c r="AQ405" s="339"/>
      <c r="AR405" s="339"/>
      <c r="AS405" s="339"/>
    </row>
    <row r="406" spans="1:45" ht="15.75" customHeight="1">
      <c r="A406" s="339"/>
      <c r="B406" s="339"/>
      <c r="C406" s="341"/>
      <c r="D406" s="341"/>
      <c r="E406" s="341"/>
      <c r="F406" s="340"/>
      <c r="G406" s="339"/>
      <c r="H406" s="339"/>
      <c r="I406" s="339"/>
      <c r="J406" s="341"/>
      <c r="K406" s="340"/>
      <c r="L406" s="341"/>
      <c r="M406" s="340"/>
      <c r="N406" s="339"/>
      <c r="O406" s="339"/>
      <c r="P406" s="339"/>
      <c r="Q406" s="339"/>
      <c r="R406" s="339"/>
      <c r="S406" s="339"/>
      <c r="T406" s="339"/>
      <c r="U406" s="339"/>
      <c r="V406" s="339"/>
      <c r="W406" s="339"/>
      <c r="X406" s="339"/>
      <c r="Y406" s="339"/>
      <c r="Z406" s="339"/>
      <c r="AA406" s="339"/>
      <c r="AB406" s="341"/>
      <c r="AC406" s="341"/>
      <c r="AD406" s="341"/>
      <c r="AE406" s="339"/>
      <c r="AF406" s="339"/>
      <c r="AG406" s="341"/>
      <c r="AH406" s="339"/>
      <c r="AI406" s="341"/>
      <c r="AJ406" s="339"/>
      <c r="AK406" s="341"/>
      <c r="AL406" s="341"/>
      <c r="AM406" s="339"/>
      <c r="AN406" s="339"/>
      <c r="AO406" s="339"/>
      <c r="AP406" s="339"/>
      <c r="AQ406" s="339"/>
      <c r="AR406" s="339"/>
      <c r="AS406" s="339"/>
    </row>
    <row r="407" spans="1:45" ht="15.75" customHeight="1">
      <c r="A407" s="339"/>
      <c r="B407" s="339"/>
      <c r="C407" s="341"/>
      <c r="D407" s="341"/>
      <c r="E407" s="341"/>
      <c r="F407" s="340"/>
      <c r="G407" s="339"/>
      <c r="H407" s="339"/>
      <c r="I407" s="339"/>
      <c r="J407" s="341"/>
      <c r="K407" s="340"/>
      <c r="L407" s="341"/>
      <c r="M407" s="340"/>
      <c r="N407" s="339"/>
      <c r="O407" s="339"/>
      <c r="P407" s="339"/>
      <c r="Q407" s="339"/>
      <c r="R407" s="339"/>
      <c r="S407" s="339"/>
      <c r="T407" s="339"/>
      <c r="U407" s="339"/>
      <c r="V407" s="339"/>
      <c r="W407" s="339"/>
      <c r="X407" s="339"/>
      <c r="Y407" s="339"/>
      <c r="Z407" s="339"/>
      <c r="AA407" s="339"/>
      <c r="AB407" s="341"/>
      <c r="AC407" s="341"/>
      <c r="AD407" s="341"/>
      <c r="AE407" s="339"/>
      <c r="AF407" s="339"/>
      <c r="AG407" s="341"/>
      <c r="AH407" s="339"/>
      <c r="AI407" s="341"/>
      <c r="AJ407" s="339"/>
      <c r="AK407" s="341"/>
      <c r="AL407" s="341"/>
      <c r="AM407" s="339"/>
      <c r="AN407" s="339"/>
      <c r="AO407" s="339"/>
      <c r="AP407" s="339"/>
      <c r="AQ407" s="339"/>
      <c r="AR407" s="339"/>
      <c r="AS407" s="339"/>
    </row>
    <row r="408" spans="1:45" ht="15.75" customHeight="1">
      <c r="A408" s="339"/>
      <c r="B408" s="339"/>
      <c r="C408" s="341"/>
      <c r="D408" s="341"/>
      <c r="E408" s="341"/>
      <c r="F408" s="340"/>
      <c r="G408" s="339"/>
      <c r="H408" s="339"/>
      <c r="I408" s="339"/>
      <c r="J408" s="341"/>
      <c r="K408" s="340"/>
      <c r="L408" s="341"/>
      <c r="M408" s="340"/>
      <c r="N408" s="339"/>
      <c r="O408" s="339"/>
      <c r="P408" s="339"/>
      <c r="Q408" s="339"/>
      <c r="R408" s="339"/>
      <c r="S408" s="339"/>
      <c r="T408" s="339"/>
      <c r="U408" s="339"/>
      <c r="V408" s="339"/>
      <c r="W408" s="339"/>
      <c r="X408" s="339"/>
      <c r="Y408" s="339"/>
      <c r="Z408" s="339"/>
      <c r="AA408" s="339"/>
      <c r="AB408" s="341"/>
      <c r="AC408" s="341"/>
      <c r="AD408" s="341"/>
      <c r="AE408" s="339"/>
      <c r="AF408" s="339"/>
      <c r="AG408" s="341"/>
      <c r="AH408" s="339"/>
      <c r="AI408" s="341"/>
      <c r="AJ408" s="339"/>
      <c r="AK408" s="341"/>
      <c r="AL408" s="341"/>
      <c r="AM408" s="339"/>
      <c r="AN408" s="339"/>
      <c r="AO408" s="339"/>
      <c r="AP408" s="339"/>
      <c r="AQ408" s="339"/>
      <c r="AR408" s="339"/>
      <c r="AS408" s="339"/>
    </row>
    <row r="409" spans="1:45" ht="15.75" customHeight="1">
      <c r="A409" s="339"/>
      <c r="B409" s="339"/>
      <c r="C409" s="341"/>
      <c r="D409" s="341"/>
      <c r="E409" s="341"/>
      <c r="F409" s="340"/>
      <c r="G409" s="339"/>
      <c r="H409" s="339"/>
      <c r="I409" s="339"/>
      <c r="J409" s="341"/>
      <c r="K409" s="340"/>
      <c r="L409" s="341"/>
      <c r="M409" s="340"/>
      <c r="N409" s="339"/>
      <c r="O409" s="339"/>
      <c r="P409" s="339"/>
      <c r="Q409" s="339"/>
      <c r="R409" s="339"/>
      <c r="S409" s="339"/>
      <c r="T409" s="339"/>
      <c r="U409" s="339"/>
      <c r="V409" s="339"/>
      <c r="W409" s="339"/>
      <c r="X409" s="339"/>
      <c r="Y409" s="339"/>
      <c r="Z409" s="339"/>
      <c r="AA409" s="339"/>
      <c r="AB409" s="341"/>
      <c r="AC409" s="341"/>
      <c r="AD409" s="341"/>
      <c r="AE409" s="339"/>
      <c r="AF409" s="339"/>
      <c r="AG409" s="341"/>
      <c r="AH409" s="339"/>
      <c r="AI409" s="341"/>
      <c r="AJ409" s="339"/>
      <c r="AK409" s="341"/>
      <c r="AL409" s="341"/>
      <c r="AM409" s="339"/>
      <c r="AN409" s="339"/>
      <c r="AO409" s="339"/>
      <c r="AP409" s="339"/>
      <c r="AQ409" s="339"/>
      <c r="AR409" s="339"/>
      <c r="AS409" s="339"/>
    </row>
    <row r="410" spans="1:45" ht="15.75" customHeight="1">
      <c r="A410" s="339"/>
      <c r="B410" s="339"/>
      <c r="C410" s="341"/>
      <c r="D410" s="341"/>
      <c r="E410" s="341"/>
      <c r="F410" s="340"/>
      <c r="G410" s="339"/>
      <c r="H410" s="339"/>
      <c r="I410" s="339"/>
      <c r="J410" s="341"/>
      <c r="K410" s="340"/>
      <c r="L410" s="341"/>
      <c r="M410" s="340"/>
      <c r="N410" s="339"/>
      <c r="O410" s="339"/>
      <c r="P410" s="339"/>
      <c r="Q410" s="339"/>
      <c r="R410" s="339"/>
      <c r="S410" s="339"/>
      <c r="T410" s="339"/>
      <c r="U410" s="339"/>
      <c r="V410" s="339"/>
      <c r="W410" s="339"/>
      <c r="X410" s="339"/>
      <c r="Y410" s="339"/>
      <c r="Z410" s="339"/>
      <c r="AA410" s="339"/>
      <c r="AB410" s="341"/>
      <c r="AC410" s="341"/>
      <c r="AD410" s="341"/>
      <c r="AE410" s="339"/>
      <c r="AF410" s="339"/>
      <c r="AG410" s="341"/>
      <c r="AH410" s="339"/>
      <c r="AI410" s="341"/>
      <c r="AJ410" s="339"/>
      <c r="AK410" s="341"/>
      <c r="AL410" s="341"/>
      <c r="AM410" s="339"/>
      <c r="AN410" s="339"/>
      <c r="AO410" s="339"/>
      <c r="AP410" s="339"/>
      <c r="AQ410" s="339"/>
      <c r="AR410" s="339"/>
      <c r="AS410" s="339"/>
    </row>
    <row r="411" spans="1:45" ht="15.75" customHeight="1">
      <c r="A411" s="339"/>
      <c r="B411" s="339"/>
      <c r="C411" s="341"/>
      <c r="D411" s="341"/>
      <c r="E411" s="341"/>
      <c r="F411" s="340"/>
      <c r="G411" s="339"/>
      <c r="H411" s="339"/>
      <c r="I411" s="339"/>
      <c r="J411" s="341"/>
      <c r="K411" s="340"/>
      <c r="L411" s="341"/>
      <c r="M411" s="340"/>
      <c r="N411" s="339"/>
      <c r="O411" s="339"/>
      <c r="P411" s="339"/>
      <c r="Q411" s="339"/>
      <c r="R411" s="339"/>
      <c r="S411" s="339"/>
      <c r="T411" s="339"/>
      <c r="U411" s="339"/>
      <c r="V411" s="339"/>
      <c r="W411" s="339"/>
      <c r="X411" s="339"/>
      <c r="Y411" s="339"/>
      <c r="Z411" s="339"/>
      <c r="AA411" s="339"/>
      <c r="AB411" s="341"/>
      <c r="AC411" s="341"/>
      <c r="AD411" s="341"/>
      <c r="AE411" s="339"/>
      <c r="AF411" s="339"/>
      <c r="AG411" s="341"/>
      <c r="AH411" s="339"/>
      <c r="AI411" s="341"/>
      <c r="AJ411" s="339"/>
      <c r="AK411" s="341"/>
      <c r="AL411" s="341"/>
      <c r="AM411" s="339"/>
      <c r="AN411" s="339"/>
      <c r="AO411" s="339"/>
      <c r="AP411" s="339"/>
      <c r="AQ411" s="339"/>
      <c r="AR411" s="339"/>
      <c r="AS411" s="339"/>
    </row>
    <row r="412" spans="1:45" ht="15.75" customHeight="1">
      <c r="A412" s="339"/>
      <c r="B412" s="339"/>
      <c r="C412" s="341"/>
      <c r="D412" s="341"/>
      <c r="E412" s="341"/>
      <c r="F412" s="340"/>
      <c r="G412" s="339"/>
      <c r="H412" s="339"/>
      <c r="I412" s="339"/>
      <c r="J412" s="341"/>
      <c r="K412" s="340"/>
      <c r="L412" s="341"/>
      <c r="M412" s="340"/>
      <c r="N412" s="339"/>
      <c r="O412" s="339"/>
      <c r="P412" s="339"/>
      <c r="Q412" s="339"/>
      <c r="R412" s="339"/>
      <c r="S412" s="339"/>
      <c r="T412" s="339"/>
      <c r="U412" s="339"/>
      <c r="V412" s="339"/>
      <c r="W412" s="339"/>
      <c r="X412" s="339"/>
      <c r="Y412" s="339"/>
      <c r="Z412" s="339"/>
      <c r="AA412" s="339"/>
      <c r="AB412" s="341"/>
      <c r="AC412" s="341"/>
      <c r="AD412" s="341"/>
      <c r="AE412" s="339"/>
      <c r="AF412" s="339"/>
      <c r="AG412" s="341"/>
      <c r="AH412" s="339"/>
      <c r="AI412" s="341"/>
      <c r="AJ412" s="339"/>
      <c r="AK412" s="341"/>
      <c r="AL412" s="341"/>
      <c r="AM412" s="339"/>
      <c r="AN412" s="339"/>
      <c r="AO412" s="339"/>
      <c r="AP412" s="339"/>
      <c r="AQ412" s="339"/>
      <c r="AR412" s="339"/>
      <c r="AS412" s="339"/>
    </row>
    <row r="413" spans="1:45" ht="15.75" customHeight="1">
      <c r="A413" s="339"/>
      <c r="B413" s="339"/>
      <c r="C413" s="341"/>
      <c r="D413" s="341"/>
      <c r="E413" s="341"/>
      <c r="F413" s="340"/>
      <c r="G413" s="339"/>
      <c r="H413" s="339"/>
      <c r="I413" s="339"/>
      <c r="J413" s="341"/>
      <c r="K413" s="340"/>
      <c r="L413" s="341"/>
      <c r="M413" s="340"/>
      <c r="N413" s="339"/>
      <c r="O413" s="339"/>
      <c r="P413" s="339"/>
      <c r="Q413" s="339"/>
      <c r="R413" s="339"/>
      <c r="S413" s="339"/>
      <c r="T413" s="339"/>
      <c r="U413" s="339"/>
      <c r="V413" s="339"/>
      <c r="W413" s="339"/>
      <c r="X413" s="339"/>
      <c r="Y413" s="339"/>
      <c r="Z413" s="339"/>
      <c r="AA413" s="339"/>
      <c r="AB413" s="341"/>
      <c r="AC413" s="341"/>
      <c r="AD413" s="341"/>
      <c r="AE413" s="339"/>
      <c r="AF413" s="339"/>
      <c r="AG413" s="341"/>
      <c r="AH413" s="339"/>
      <c r="AI413" s="341"/>
      <c r="AJ413" s="339"/>
      <c r="AK413" s="341"/>
      <c r="AL413" s="341"/>
      <c r="AM413" s="339"/>
      <c r="AN413" s="339"/>
      <c r="AO413" s="339"/>
      <c r="AP413" s="339"/>
      <c r="AQ413" s="339"/>
      <c r="AR413" s="339"/>
      <c r="AS413" s="339"/>
    </row>
    <row r="414" spans="1:45" ht="15.75" customHeight="1">
      <c r="A414" s="339"/>
      <c r="B414" s="339"/>
      <c r="C414" s="341"/>
      <c r="D414" s="341"/>
      <c r="E414" s="341"/>
      <c r="F414" s="340"/>
      <c r="G414" s="339"/>
      <c r="H414" s="339"/>
      <c r="I414" s="339"/>
      <c r="J414" s="341"/>
      <c r="K414" s="340"/>
      <c r="L414" s="341"/>
      <c r="M414" s="340"/>
      <c r="N414" s="339"/>
      <c r="O414" s="339"/>
      <c r="P414" s="339"/>
      <c r="Q414" s="339"/>
      <c r="R414" s="339"/>
      <c r="S414" s="339"/>
      <c r="T414" s="339"/>
      <c r="U414" s="339"/>
      <c r="V414" s="339"/>
      <c r="W414" s="339"/>
      <c r="X414" s="339"/>
      <c r="Y414" s="339"/>
      <c r="Z414" s="339"/>
      <c r="AA414" s="339"/>
      <c r="AB414" s="341"/>
      <c r="AC414" s="341"/>
      <c r="AD414" s="341"/>
      <c r="AE414" s="339"/>
      <c r="AF414" s="339"/>
      <c r="AG414" s="341"/>
      <c r="AH414" s="339"/>
      <c r="AI414" s="341"/>
      <c r="AJ414" s="339"/>
      <c r="AK414" s="341"/>
      <c r="AL414" s="341"/>
      <c r="AM414" s="339"/>
      <c r="AN414" s="339"/>
      <c r="AO414" s="339"/>
      <c r="AP414" s="339"/>
      <c r="AQ414" s="339"/>
      <c r="AR414" s="339"/>
      <c r="AS414" s="339"/>
    </row>
    <row r="415" spans="1:45" ht="15.75" customHeight="1">
      <c r="A415" s="339"/>
      <c r="B415" s="339"/>
      <c r="C415" s="341"/>
      <c r="D415" s="341"/>
      <c r="E415" s="341"/>
      <c r="F415" s="340"/>
      <c r="G415" s="339"/>
      <c r="H415" s="339"/>
      <c r="I415" s="339"/>
      <c r="J415" s="341"/>
      <c r="K415" s="340"/>
      <c r="L415" s="341"/>
      <c r="M415" s="340"/>
      <c r="N415" s="339"/>
      <c r="O415" s="339"/>
      <c r="P415" s="339"/>
      <c r="Q415" s="339"/>
      <c r="R415" s="339"/>
      <c r="S415" s="339"/>
      <c r="T415" s="339"/>
      <c r="U415" s="339"/>
      <c r="V415" s="339"/>
      <c r="W415" s="339"/>
      <c r="X415" s="339"/>
      <c r="Y415" s="339"/>
      <c r="Z415" s="339"/>
      <c r="AA415" s="339"/>
      <c r="AB415" s="341"/>
      <c r="AC415" s="341"/>
      <c r="AD415" s="341"/>
      <c r="AE415" s="339"/>
      <c r="AF415" s="339"/>
      <c r="AG415" s="341"/>
      <c r="AH415" s="339"/>
      <c r="AI415" s="341"/>
      <c r="AJ415" s="339"/>
      <c r="AK415" s="341"/>
      <c r="AL415" s="341"/>
      <c r="AM415" s="339"/>
      <c r="AN415" s="339"/>
      <c r="AO415" s="339"/>
      <c r="AP415" s="339"/>
      <c r="AQ415" s="339"/>
      <c r="AR415" s="339"/>
      <c r="AS415" s="339"/>
    </row>
    <row r="416" spans="1:45" ht="15.75" customHeight="1">
      <c r="A416" s="339"/>
      <c r="B416" s="339"/>
      <c r="C416" s="341"/>
      <c r="D416" s="341"/>
      <c r="E416" s="341"/>
      <c r="F416" s="340"/>
      <c r="G416" s="339"/>
      <c r="H416" s="339"/>
      <c r="I416" s="339"/>
      <c r="J416" s="341"/>
      <c r="K416" s="340"/>
      <c r="L416" s="341"/>
      <c r="M416" s="340"/>
      <c r="N416" s="339"/>
      <c r="O416" s="339"/>
      <c r="P416" s="339"/>
      <c r="Q416" s="339"/>
      <c r="R416" s="339"/>
      <c r="S416" s="339"/>
      <c r="T416" s="339"/>
      <c r="U416" s="339"/>
      <c r="V416" s="339"/>
      <c r="W416" s="339"/>
      <c r="X416" s="339"/>
      <c r="Y416" s="339"/>
      <c r="Z416" s="339"/>
      <c r="AA416" s="339"/>
      <c r="AB416" s="341"/>
      <c r="AC416" s="341"/>
      <c r="AD416" s="341"/>
      <c r="AE416" s="339"/>
      <c r="AF416" s="339"/>
      <c r="AG416" s="341"/>
      <c r="AH416" s="339"/>
      <c r="AI416" s="341"/>
      <c r="AJ416" s="339"/>
      <c r="AK416" s="341"/>
      <c r="AL416" s="341"/>
      <c r="AM416" s="339"/>
      <c r="AN416" s="339"/>
      <c r="AO416" s="339"/>
      <c r="AP416" s="339"/>
      <c r="AQ416" s="339"/>
      <c r="AR416" s="339"/>
      <c r="AS416" s="339"/>
    </row>
    <row r="417" spans="1:45" ht="15.75" customHeight="1">
      <c r="A417" s="339"/>
      <c r="B417" s="339"/>
      <c r="C417" s="341"/>
      <c r="D417" s="341"/>
      <c r="E417" s="341"/>
      <c r="F417" s="340"/>
      <c r="G417" s="339"/>
      <c r="H417" s="339"/>
      <c r="I417" s="339"/>
      <c r="J417" s="341"/>
      <c r="K417" s="340"/>
      <c r="L417" s="341"/>
      <c r="M417" s="340"/>
      <c r="N417" s="339"/>
      <c r="O417" s="339"/>
      <c r="P417" s="339"/>
      <c r="Q417" s="339"/>
      <c r="R417" s="339"/>
      <c r="S417" s="339"/>
      <c r="T417" s="339"/>
      <c r="U417" s="339"/>
      <c r="V417" s="339"/>
      <c r="W417" s="339"/>
      <c r="X417" s="339"/>
      <c r="Y417" s="339"/>
      <c r="Z417" s="339"/>
      <c r="AA417" s="339"/>
      <c r="AB417" s="341"/>
      <c r="AC417" s="341"/>
      <c r="AD417" s="341"/>
      <c r="AE417" s="339"/>
      <c r="AF417" s="339"/>
      <c r="AG417" s="341"/>
      <c r="AH417" s="339"/>
      <c r="AI417" s="341"/>
      <c r="AJ417" s="339"/>
      <c r="AK417" s="341"/>
      <c r="AL417" s="341"/>
      <c r="AM417" s="339"/>
      <c r="AN417" s="339"/>
      <c r="AO417" s="339"/>
      <c r="AP417" s="339"/>
      <c r="AQ417" s="339"/>
      <c r="AR417" s="339"/>
      <c r="AS417" s="339"/>
    </row>
    <row r="418" spans="1:45" ht="15.75" customHeight="1">
      <c r="A418" s="339"/>
      <c r="B418" s="339"/>
      <c r="C418" s="341"/>
      <c r="D418" s="341"/>
      <c r="E418" s="341"/>
      <c r="F418" s="340"/>
      <c r="G418" s="339"/>
      <c r="H418" s="339"/>
      <c r="I418" s="339"/>
      <c r="J418" s="341"/>
      <c r="K418" s="340"/>
      <c r="L418" s="341"/>
      <c r="M418" s="340"/>
      <c r="N418" s="339"/>
      <c r="O418" s="339"/>
      <c r="P418" s="339"/>
      <c r="Q418" s="339"/>
      <c r="R418" s="339"/>
      <c r="S418" s="339"/>
      <c r="T418" s="339"/>
      <c r="U418" s="339"/>
      <c r="V418" s="339"/>
      <c r="W418" s="339"/>
      <c r="X418" s="339"/>
      <c r="Y418" s="339"/>
      <c r="Z418" s="339"/>
      <c r="AA418" s="339"/>
      <c r="AB418" s="341"/>
      <c r="AC418" s="341"/>
      <c r="AD418" s="341"/>
      <c r="AE418" s="339"/>
      <c r="AF418" s="339"/>
      <c r="AG418" s="341"/>
      <c r="AH418" s="339"/>
      <c r="AI418" s="341"/>
      <c r="AJ418" s="339"/>
      <c r="AK418" s="341"/>
      <c r="AL418" s="341"/>
      <c r="AM418" s="339"/>
      <c r="AN418" s="339"/>
      <c r="AO418" s="339"/>
      <c r="AP418" s="339"/>
      <c r="AQ418" s="339"/>
      <c r="AR418" s="339"/>
      <c r="AS418" s="339"/>
    </row>
    <row r="419" spans="1:45" ht="15.75" customHeight="1">
      <c r="A419" s="339"/>
      <c r="B419" s="339"/>
      <c r="C419" s="341"/>
      <c r="D419" s="341"/>
      <c r="E419" s="341"/>
      <c r="F419" s="340"/>
      <c r="G419" s="339"/>
      <c r="H419" s="339"/>
      <c r="I419" s="339"/>
      <c r="J419" s="341"/>
      <c r="K419" s="340"/>
      <c r="L419" s="341"/>
      <c r="M419" s="340"/>
      <c r="N419" s="339"/>
      <c r="O419" s="339"/>
      <c r="P419" s="339"/>
      <c r="Q419" s="339"/>
      <c r="R419" s="339"/>
      <c r="S419" s="339"/>
      <c r="T419" s="339"/>
      <c r="U419" s="339"/>
      <c r="V419" s="339"/>
      <c r="W419" s="339"/>
      <c r="X419" s="339"/>
      <c r="Y419" s="339"/>
      <c r="Z419" s="339"/>
      <c r="AA419" s="339"/>
      <c r="AB419" s="341"/>
      <c r="AC419" s="341"/>
      <c r="AD419" s="341"/>
      <c r="AE419" s="339"/>
      <c r="AF419" s="339"/>
      <c r="AG419" s="341"/>
      <c r="AH419" s="339"/>
      <c r="AI419" s="341"/>
      <c r="AJ419" s="339"/>
      <c r="AK419" s="341"/>
      <c r="AL419" s="341"/>
      <c r="AM419" s="339"/>
      <c r="AN419" s="339"/>
      <c r="AO419" s="339"/>
      <c r="AP419" s="339"/>
      <c r="AQ419" s="339"/>
      <c r="AR419" s="339"/>
      <c r="AS419" s="339"/>
    </row>
    <row r="420" spans="1:45" ht="15.75" customHeight="1">
      <c r="A420" s="339"/>
      <c r="B420" s="339"/>
      <c r="C420" s="341"/>
      <c r="D420" s="341"/>
      <c r="E420" s="341"/>
      <c r="F420" s="340"/>
      <c r="G420" s="339"/>
      <c r="H420" s="339"/>
      <c r="I420" s="339"/>
      <c r="J420" s="341"/>
      <c r="K420" s="340"/>
      <c r="L420" s="341"/>
      <c r="M420" s="340"/>
      <c r="N420" s="339"/>
      <c r="O420" s="339"/>
      <c r="P420" s="339"/>
      <c r="Q420" s="339"/>
      <c r="R420" s="339"/>
      <c r="S420" s="339"/>
      <c r="T420" s="339"/>
      <c r="U420" s="339"/>
      <c r="V420" s="339"/>
      <c r="W420" s="339"/>
      <c r="X420" s="339"/>
      <c r="Y420" s="339"/>
      <c r="Z420" s="339"/>
      <c r="AA420" s="339"/>
      <c r="AB420" s="341"/>
      <c r="AC420" s="341"/>
      <c r="AD420" s="341"/>
      <c r="AE420" s="339"/>
      <c r="AF420" s="339"/>
      <c r="AG420" s="341"/>
      <c r="AH420" s="339"/>
      <c r="AI420" s="341"/>
      <c r="AJ420" s="339"/>
      <c r="AK420" s="341"/>
      <c r="AL420" s="341"/>
      <c r="AM420" s="339"/>
      <c r="AN420" s="339"/>
      <c r="AO420" s="339"/>
      <c r="AP420" s="339"/>
      <c r="AQ420" s="339"/>
      <c r="AR420" s="339"/>
      <c r="AS420" s="339"/>
    </row>
    <row r="421" spans="1:45" ht="15.75" customHeight="1">
      <c r="A421" s="339"/>
      <c r="B421" s="339"/>
      <c r="C421" s="341"/>
      <c r="D421" s="341"/>
      <c r="E421" s="341"/>
      <c r="F421" s="340"/>
      <c r="G421" s="339"/>
      <c r="H421" s="339"/>
      <c r="I421" s="339"/>
      <c r="J421" s="341"/>
      <c r="K421" s="340"/>
      <c r="L421" s="341"/>
      <c r="M421" s="340"/>
      <c r="N421" s="339"/>
      <c r="O421" s="339"/>
      <c r="P421" s="339"/>
      <c r="Q421" s="339"/>
      <c r="R421" s="339"/>
      <c r="S421" s="339"/>
      <c r="T421" s="339"/>
      <c r="U421" s="339"/>
      <c r="V421" s="339"/>
      <c r="W421" s="339"/>
      <c r="X421" s="339"/>
      <c r="Y421" s="339"/>
      <c r="Z421" s="339"/>
      <c r="AA421" s="339"/>
      <c r="AB421" s="341"/>
      <c r="AC421" s="341"/>
      <c r="AD421" s="341"/>
      <c r="AE421" s="339"/>
      <c r="AF421" s="339"/>
      <c r="AG421" s="341"/>
      <c r="AH421" s="339"/>
      <c r="AI421" s="341"/>
      <c r="AJ421" s="339"/>
      <c r="AK421" s="341"/>
      <c r="AL421" s="341"/>
      <c r="AM421" s="339"/>
      <c r="AN421" s="339"/>
      <c r="AO421" s="339"/>
      <c r="AP421" s="339"/>
      <c r="AQ421" s="339"/>
      <c r="AR421" s="339"/>
      <c r="AS421" s="339"/>
    </row>
    <row r="422" spans="1:45" ht="15.75" customHeight="1">
      <c r="A422" s="339"/>
      <c r="B422" s="339"/>
      <c r="C422" s="341"/>
      <c r="D422" s="341"/>
      <c r="E422" s="341"/>
      <c r="F422" s="340"/>
      <c r="G422" s="339"/>
      <c r="H422" s="339"/>
      <c r="I422" s="339"/>
      <c r="J422" s="341"/>
      <c r="K422" s="340"/>
      <c r="L422" s="341"/>
      <c r="M422" s="340"/>
      <c r="N422" s="339"/>
      <c r="O422" s="339"/>
      <c r="P422" s="339"/>
      <c r="Q422" s="339"/>
      <c r="R422" s="339"/>
      <c r="S422" s="339"/>
      <c r="T422" s="339"/>
      <c r="U422" s="339"/>
      <c r="V422" s="339"/>
      <c r="W422" s="339"/>
      <c r="X422" s="339"/>
      <c r="Y422" s="339"/>
      <c r="Z422" s="339"/>
      <c r="AA422" s="339"/>
      <c r="AB422" s="341"/>
      <c r="AC422" s="341"/>
      <c r="AD422" s="341"/>
      <c r="AE422" s="339"/>
      <c r="AF422" s="339"/>
      <c r="AG422" s="341"/>
      <c r="AH422" s="339"/>
      <c r="AI422" s="341"/>
      <c r="AJ422" s="339"/>
      <c r="AK422" s="341"/>
      <c r="AL422" s="341"/>
      <c r="AM422" s="339"/>
      <c r="AN422" s="339"/>
      <c r="AO422" s="339"/>
      <c r="AP422" s="339"/>
      <c r="AQ422" s="339"/>
      <c r="AR422" s="339"/>
      <c r="AS422" s="339"/>
    </row>
    <row r="423" spans="1:45" ht="15.75" customHeight="1">
      <c r="A423" s="339"/>
      <c r="B423" s="339"/>
      <c r="C423" s="341"/>
      <c r="D423" s="341"/>
      <c r="E423" s="341"/>
      <c r="F423" s="340"/>
      <c r="G423" s="339"/>
      <c r="H423" s="339"/>
      <c r="I423" s="339"/>
      <c r="J423" s="341"/>
      <c r="K423" s="340"/>
      <c r="L423" s="341"/>
      <c r="M423" s="340"/>
      <c r="N423" s="339"/>
      <c r="O423" s="339"/>
      <c r="P423" s="339"/>
      <c r="Q423" s="339"/>
      <c r="R423" s="339"/>
      <c r="S423" s="339"/>
      <c r="T423" s="339"/>
      <c r="U423" s="339"/>
      <c r="V423" s="339"/>
      <c r="W423" s="339"/>
      <c r="X423" s="339"/>
      <c r="Y423" s="339"/>
      <c r="Z423" s="339"/>
      <c r="AA423" s="339"/>
      <c r="AB423" s="341"/>
      <c r="AC423" s="341"/>
      <c r="AD423" s="341"/>
      <c r="AE423" s="339"/>
      <c r="AF423" s="339"/>
      <c r="AG423" s="341"/>
      <c r="AH423" s="339"/>
      <c r="AI423" s="341"/>
      <c r="AJ423" s="339"/>
      <c r="AK423" s="341"/>
      <c r="AL423" s="341"/>
      <c r="AM423" s="339"/>
      <c r="AN423" s="339"/>
      <c r="AO423" s="339"/>
      <c r="AP423" s="339"/>
      <c r="AQ423" s="339"/>
      <c r="AR423" s="339"/>
      <c r="AS423" s="339"/>
    </row>
    <row r="424" spans="1:45" ht="15.75" customHeight="1">
      <c r="A424" s="339"/>
      <c r="B424" s="339"/>
      <c r="C424" s="341"/>
      <c r="D424" s="341"/>
      <c r="E424" s="341"/>
      <c r="F424" s="340"/>
      <c r="G424" s="339"/>
      <c r="H424" s="339"/>
      <c r="I424" s="339"/>
      <c r="J424" s="341"/>
      <c r="K424" s="340"/>
      <c r="L424" s="341"/>
      <c r="M424" s="340"/>
      <c r="N424" s="339"/>
      <c r="O424" s="339"/>
      <c r="P424" s="339"/>
      <c r="Q424" s="339"/>
      <c r="R424" s="339"/>
      <c r="S424" s="339"/>
      <c r="T424" s="339"/>
      <c r="U424" s="339"/>
      <c r="V424" s="339"/>
      <c r="W424" s="339"/>
      <c r="X424" s="339"/>
      <c r="Y424" s="339"/>
      <c r="Z424" s="339"/>
      <c r="AA424" s="339"/>
      <c r="AB424" s="341"/>
      <c r="AC424" s="341"/>
      <c r="AD424" s="341"/>
      <c r="AE424" s="339"/>
      <c r="AF424" s="339"/>
      <c r="AG424" s="341"/>
      <c r="AH424" s="339"/>
      <c r="AI424" s="341"/>
      <c r="AJ424" s="339"/>
      <c r="AK424" s="341"/>
      <c r="AL424" s="341"/>
      <c r="AM424" s="339"/>
      <c r="AN424" s="339"/>
      <c r="AO424" s="339"/>
      <c r="AP424" s="339"/>
      <c r="AQ424" s="339"/>
      <c r="AR424" s="339"/>
      <c r="AS424" s="339"/>
    </row>
    <row r="425" spans="1:45" ht="15.75" customHeight="1">
      <c r="A425" s="339"/>
      <c r="B425" s="339"/>
      <c r="C425" s="341"/>
      <c r="D425" s="341"/>
      <c r="E425" s="341"/>
      <c r="F425" s="340"/>
      <c r="G425" s="339"/>
      <c r="H425" s="339"/>
      <c r="I425" s="339"/>
      <c r="J425" s="341"/>
      <c r="K425" s="340"/>
      <c r="L425" s="341"/>
      <c r="M425" s="340"/>
      <c r="N425" s="339"/>
      <c r="O425" s="339"/>
      <c r="P425" s="339"/>
      <c r="Q425" s="339"/>
      <c r="R425" s="339"/>
      <c r="S425" s="339"/>
      <c r="T425" s="339"/>
      <c r="U425" s="339"/>
      <c r="V425" s="339"/>
      <c r="W425" s="339"/>
      <c r="X425" s="339"/>
      <c r="Y425" s="339"/>
      <c r="Z425" s="339"/>
      <c r="AA425" s="339"/>
      <c r="AB425" s="341"/>
      <c r="AC425" s="341"/>
      <c r="AD425" s="341"/>
      <c r="AE425" s="339"/>
      <c r="AF425" s="339"/>
      <c r="AG425" s="341"/>
      <c r="AH425" s="339"/>
      <c r="AI425" s="341"/>
      <c r="AJ425" s="339"/>
      <c r="AK425" s="341"/>
      <c r="AL425" s="341"/>
      <c r="AM425" s="339"/>
      <c r="AN425" s="339"/>
      <c r="AO425" s="339"/>
      <c r="AP425" s="339"/>
      <c r="AQ425" s="339"/>
      <c r="AR425" s="339"/>
      <c r="AS425" s="339"/>
    </row>
    <row r="426" spans="1:45" ht="15.75" customHeight="1">
      <c r="A426" s="339"/>
      <c r="B426" s="339"/>
      <c r="C426" s="341"/>
      <c r="D426" s="341"/>
      <c r="E426" s="341"/>
      <c r="F426" s="340"/>
      <c r="G426" s="339"/>
      <c r="H426" s="339"/>
      <c r="I426" s="339"/>
      <c r="J426" s="341"/>
      <c r="K426" s="340"/>
      <c r="L426" s="341"/>
      <c r="M426" s="340"/>
      <c r="N426" s="339"/>
      <c r="O426" s="339"/>
      <c r="P426" s="339"/>
      <c r="Q426" s="339"/>
      <c r="R426" s="339"/>
      <c r="S426" s="339"/>
      <c r="T426" s="339"/>
      <c r="U426" s="339"/>
      <c r="V426" s="339"/>
      <c r="W426" s="339"/>
      <c r="X426" s="339"/>
      <c r="Y426" s="339"/>
      <c r="Z426" s="339"/>
      <c r="AA426" s="339"/>
      <c r="AB426" s="341"/>
      <c r="AC426" s="341"/>
      <c r="AD426" s="341"/>
      <c r="AE426" s="339"/>
      <c r="AF426" s="339"/>
      <c r="AG426" s="341"/>
      <c r="AH426" s="339"/>
      <c r="AI426" s="341"/>
      <c r="AJ426" s="339"/>
      <c r="AK426" s="341"/>
      <c r="AL426" s="341"/>
      <c r="AM426" s="339"/>
      <c r="AN426" s="339"/>
      <c r="AO426" s="339"/>
      <c r="AP426" s="339"/>
      <c r="AQ426" s="339"/>
      <c r="AR426" s="339"/>
      <c r="AS426" s="339"/>
    </row>
    <row r="427" spans="1:45" ht="15.75" customHeight="1">
      <c r="A427" s="339"/>
      <c r="B427" s="339"/>
      <c r="C427" s="341"/>
      <c r="D427" s="341"/>
      <c r="E427" s="341"/>
      <c r="F427" s="340"/>
      <c r="G427" s="339"/>
      <c r="H427" s="339"/>
      <c r="I427" s="339"/>
      <c r="J427" s="341"/>
      <c r="K427" s="340"/>
      <c r="L427" s="341"/>
      <c r="M427" s="340"/>
      <c r="N427" s="339"/>
      <c r="O427" s="339"/>
      <c r="P427" s="339"/>
      <c r="Q427" s="339"/>
      <c r="R427" s="339"/>
      <c r="S427" s="339"/>
      <c r="T427" s="339"/>
      <c r="U427" s="339"/>
      <c r="V427" s="339"/>
      <c r="W427" s="339"/>
      <c r="X427" s="339"/>
      <c r="Y427" s="339"/>
      <c r="Z427" s="339"/>
      <c r="AA427" s="339"/>
      <c r="AB427" s="341"/>
      <c r="AC427" s="341"/>
      <c r="AD427" s="341"/>
      <c r="AE427" s="339"/>
      <c r="AF427" s="339"/>
      <c r="AG427" s="341"/>
      <c r="AH427" s="339"/>
      <c r="AI427" s="341"/>
      <c r="AJ427" s="339"/>
      <c r="AK427" s="341"/>
      <c r="AL427" s="341"/>
      <c r="AM427" s="339"/>
      <c r="AN427" s="339"/>
      <c r="AO427" s="339"/>
      <c r="AP427" s="339"/>
      <c r="AQ427" s="339"/>
      <c r="AR427" s="339"/>
      <c r="AS427" s="339"/>
    </row>
    <row r="428" spans="1:45" ht="15.75" customHeight="1">
      <c r="A428" s="339"/>
      <c r="B428" s="339"/>
      <c r="C428" s="341"/>
      <c r="D428" s="341"/>
      <c r="E428" s="341"/>
      <c r="F428" s="340"/>
      <c r="G428" s="339"/>
      <c r="H428" s="339"/>
      <c r="I428" s="339"/>
      <c r="J428" s="341"/>
      <c r="K428" s="340"/>
      <c r="L428" s="341"/>
      <c r="M428" s="340"/>
      <c r="N428" s="339"/>
      <c r="O428" s="339"/>
      <c r="P428" s="339"/>
      <c r="Q428" s="339"/>
      <c r="R428" s="339"/>
      <c r="S428" s="339"/>
      <c r="T428" s="339"/>
      <c r="U428" s="339"/>
      <c r="V428" s="339"/>
      <c r="W428" s="339"/>
      <c r="X428" s="339"/>
      <c r="Y428" s="339"/>
      <c r="Z428" s="339"/>
      <c r="AA428" s="339"/>
      <c r="AB428" s="341"/>
      <c r="AC428" s="341"/>
      <c r="AD428" s="341"/>
      <c r="AE428" s="339"/>
      <c r="AF428" s="339"/>
      <c r="AG428" s="341"/>
      <c r="AH428" s="339"/>
      <c r="AI428" s="341"/>
      <c r="AJ428" s="339"/>
      <c r="AK428" s="341"/>
      <c r="AL428" s="341"/>
      <c r="AM428" s="339"/>
      <c r="AN428" s="339"/>
      <c r="AO428" s="339"/>
      <c r="AP428" s="339"/>
      <c r="AQ428" s="339"/>
      <c r="AR428" s="339"/>
      <c r="AS428" s="339"/>
    </row>
    <row r="429" spans="1:45" ht="15.75" customHeight="1">
      <c r="A429" s="339"/>
      <c r="B429" s="339"/>
      <c r="C429" s="341"/>
      <c r="D429" s="341"/>
      <c r="E429" s="341"/>
      <c r="F429" s="340"/>
      <c r="G429" s="339"/>
      <c r="H429" s="339"/>
      <c r="I429" s="339"/>
      <c r="J429" s="341"/>
      <c r="K429" s="340"/>
      <c r="L429" s="341"/>
      <c r="M429" s="340"/>
      <c r="N429" s="339"/>
      <c r="O429" s="339"/>
      <c r="P429" s="339"/>
      <c r="Q429" s="339"/>
      <c r="R429" s="339"/>
      <c r="S429" s="339"/>
      <c r="T429" s="339"/>
      <c r="U429" s="339"/>
      <c r="V429" s="339"/>
      <c r="W429" s="339"/>
      <c r="X429" s="339"/>
      <c r="Y429" s="339"/>
      <c r="Z429" s="339"/>
      <c r="AA429" s="339"/>
      <c r="AB429" s="341"/>
      <c r="AC429" s="341"/>
      <c r="AD429" s="341"/>
      <c r="AE429" s="339"/>
      <c r="AF429" s="339"/>
      <c r="AG429" s="341"/>
      <c r="AH429" s="339"/>
      <c r="AI429" s="341"/>
      <c r="AJ429" s="339"/>
      <c r="AK429" s="341"/>
      <c r="AL429" s="341"/>
      <c r="AM429" s="339"/>
      <c r="AN429" s="339"/>
      <c r="AO429" s="339"/>
      <c r="AP429" s="339"/>
      <c r="AQ429" s="339"/>
      <c r="AR429" s="339"/>
      <c r="AS429" s="339"/>
    </row>
    <row r="430" spans="1:45" ht="15.75" customHeight="1">
      <c r="A430" s="339"/>
      <c r="B430" s="339"/>
      <c r="C430" s="341"/>
      <c r="D430" s="341"/>
      <c r="E430" s="341"/>
      <c r="F430" s="340"/>
      <c r="G430" s="339"/>
      <c r="H430" s="339"/>
      <c r="I430" s="339"/>
      <c r="J430" s="341"/>
      <c r="K430" s="340"/>
      <c r="L430" s="341"/>
      <c r="M430" s="340"/>
      <c r="N430" s="339"/>
      <c r="O430" s="339"/>
      <c r="P430" s="339"/>
      <c r="Q430" s="339"/>
      <c r="R430" s="339"/>
      <c r="S430" s="339"/>
      <c r="T430" s="339"/>
      <c r="U430" s="339"/>
      <c r="V430" s="339"/>
      <c r="W430" s="339"/>
      <c r="X430" s="339"/>
      <c r="Y430" s="339"/>
      <c r="Z430" s="339"/>
      <c r="AA430" s="339"/>
      <c r="AB430" s="341"/>
      <c r="AC430" s="341"/>
      <c r="AD430" s="341"/>
      <c r="AE430" s="339"/>
      <c r="AF430" s="339"/>
      <c r="AG430" s="341"/>
      <c r="AH430" s="339"/>
      <c r="AI430" s="341"/>
      <c r="AJ430" s="339"/>
      <c r="AK430" s="341"/>
      <c r="AL430" s="341"/>
      <c r="AM430" s="339"/>
      <c r="AN430" s="339"/>
      <c r="AO430" s="339"/>
      <c r="AP430" s="339"/>
      <c r="AQ430" s="339"/>
      <c r="AR430" s="339"/>
      <c r="AS430" s="339"/>
    </row>
    <row r="431" spans="1:45" ht="15.75" customHeight="1">
      <c r="A431" s="339"/>
      <c r="B431" s="339"/>
      <c r="C431" s="341"/>
      <c r="D431" s="341"/>
      <c r="E431" s="341"/>
      <c r="F431" s="340"/>
      <c r="G431" s="339"/>
      <c r="H431" s="339"/>
      <c r="I431" s="339"/>
      <c r="J431" s="341"/>
      <c r="K431" s="340"/>
      <c r="L431" s="341"/>
      <c r="M431" s="340"/>
      <c r="N431" s="339"/>
      <c r="O431" s="339"/>
      <c r="P431" s="339"/>
      <c r="Q431" s="339"/>
      <c r="R431" s="339"/>
      <c r="S431" s="339"/>
      <c r="T431" s="339"/>
      <c r="U431" s="339"/>
      <c r="V431" s="339"/>
      <c r="W431" s="339"/>
      <c r="X431" s="339"/>
      <c r="Y431" s="339"/>
      <c r="Z431" s="339"/>
      <c r="AA431" s="339"/>
      <c r="AB431" s="341"/>
      <c r="AC431" s="341"/>
      <c r="AD431" s="341"/>
      <c r="AE431" s="339"/>
      <c r="AF431" s="339"/>
      <c r="AG431" s="341"/>
      <c r="AH431" s="339"/>
      <c r="AI431" s="341"/>
      <c r="AJ431" s="339"/>
      <c r="AK431" s="341"/>
      <c r="AL431" s="341"/>
      <c r="AM431" s="339"/>
      <c r="AN431" s="339"/>
      <c r="AO431" s="339"/>
      <c r="AP431" s="339"/>
      <c r="AQ431" s="339"/>
      <c r="AR431" s="339"/>
      <c r="AS431" s="339"/>
    </row>
    <row r="432" spans="1:45" ht="15.75" customHeight="1">
      <c r="A432" s="339"/>
      <c r="B432" s="339"/>
      <c r="C432" s="341"/>
      <c r="D432" s="341"/>
      <c r="E432" s="341"/>
      <c r="F432" s="340"/>
      <c r="G432" s="339"/>
      <c r="H432" s="339"/>
      <c r="I432" s="339"/>
      <c r="J432" s="341"/>
      <c r="K432" s="340"/>
      <c r="L432" s="341"/>
      <c r="M432" s="340"/>
      <c r="N432" s="339"/>
      <c r="O432" s="339"/>
      <c r="P432" s="339"/>
      <c r="Q432" s="339"/>
      <c r="R432" s="339"/>
      <c r="S432" s="339"/>
      <c r="T432" s="339"/>
      <c r="U432" s="339"/>
      <c r="V432" s="339"/>
      <c r="W432" s="339"/>
      <c r="X432" s="339"/>
      <c r="Y432" s="339"/>
      <c r="Z432" s="339"/>
      <c r="AA432" s="339"/>
      <c r="AB432" s="341"/>
      <c r="AC432" s="341"/>
      <c r="AD432" s="341"/>
      <c r="AE432" s="339"/>
      <c r="AF432" s="339"/>
      <c r="AG432" s="341"/>
      <c r="AH432" s="339"/>
      <c r="AI432" s="341"/>
      <c r="AJ432" s="339"/>
      <c r="AK432" s="341"/>
      <c r="AL432" s="341"/>
      <c r="AM432" s="339"/>
      <c r="AN432" s="339"/>
      <c r="AO432" s="339"/>
      <c r="AP432" s="339"/>
      <c r="AQ432" s="339"/>
      <c r="AR432" s="339"/>
      <c r="AS432" s="339"/>
    </row>
    <row r="433" spans="1:45" ht="15.75" customHeight="1">
      <c r="A433" s="339"/>
      <c r="B433" s="339"/>
      <c r="C433" s="341"/>
      <c r="D433" s="341"/>
      <c r="E433" s="341"/>
      <c r="F433" s="340"/>
      <c r="G433" s="339"/>
      <c r="H433" s="339"/>
      <c r="I433" s="339"/>
      <c r="J433" s="341"/>
      <c r="K433" s="340"/>
      <c r="L433" s="341"/>
      <c r="M433" s="340"/>
      <c r="N433" s="339"/>
      <c r="O433" s="339"/>
      <c r="P433" s="339"/>
      <c r="Q433" s="339"/>
      <c r="R433" s="339"/>
      <c r="S433" s="339"/>
      <c r="T433" s="339"/>
      <c r="U433" s="339"/>
      <c r="V433" s="339"/>
      <c r="W433" s="339"/>
      <c r="X433" s="339"/>
      <c r="Y433" s="339"/>
      <c r="Z433" s="339"/>
      <c r="AA433" s="339"/>
      <c r="AB433" s="341"/>
      <c r="AC433" s="341"/>
      <c r="AD433" s="341"/>
      <c r="AE433" s="339"/>
      <c r="AF433" s="339"/>
      <c r="AG433" s="341"/>
      <c r="AH433" s="339"/>
      <c r="AI433" s="341"/>
      <c r="AJ433" s="339"/>
      <c r="AK433" s="341"/>
      <c r="AL433" s="341"/>
      <c r="AM433" s="339"/>
      <c r="AN433" s="339"/>
      <c r="AO433" s="339"/>
      <c r="AP433" s="339"/>
      <c r="AQ433" s="339"/>
      <c r="AR433" s="339"/>
      <c r="AS433" s="339"/>
    </row>
    <row r="434" spans="1:45" ht="15.75" customHeight="1">
      <c r="A434" s="339"/>
      <c r="B434" s="339"/>
      <c r="C434" s="341"/>
      <c r="D434" s="341"/>
      <c r="E434" s="341"/>
      <c r="F434" s="340"/>
      <c r="G434" s="339"/>
      <c r="H434" s="339"/>
      <c r="I434" s="339"/>
      <c r="J434" s="341"/>
      <c r="K434" s="340"/>
      <c r="L434" s="341"/>
      <c r="M434" s="340"/>
      <c r="N434" s="339"/>
      <c r="O434" s="339"/>
      <c r="P434" s="339"/>
      <c r="Q434" s="339"/>
      <c r="R434" s="339"/>
      <c r="S434" s="339"/>
      <c r="T434" s="339"/>
      <c r="U434" s="339"/>
      <c r="V434" s="339"/>
      <c r="W434" s="339"/>
      <c r="X434" s="339"/>
      <c r="Y434" s="339"/>
      <c r="Z434" s="339"/>
      <c r="AA434" s="339"/>
      <c r="AB434" s="341"/>
      <c r="AC434" s="341"/>
      <c r="AD434" s="341"/>
      <c r="AE434" s="339"/>
      <c r="AF434" s="339"/>
      <c r="AG434" s="341"/>
      <c r="AH434" s="339"/>
      <c r="AI434" s="341"/>
      <c r="AJ434" s="339"/>
      <c r="AK434" s="341"/>
      <c r="AL434" s="341"/>
      <c r="AM434" s="339"/>
      <c r="AN434" s="339"/>
      <c r="AO434" s="339"/>
      <c r="AP434" s="339"/>
      <c r="AQ434" s="339"/>
      <c r="AR434" s="339"/>
      <c r="AS434" s="339"/>
    </row>
    <row r="435" spans="1:45" ht="15.75" customHeight="1">
      <c r="A435" s="339"/>
      <c r="B435" s="339"/>
      <c r="C435" s="341"/>
      <c r="D435" s="341"/>
      <c r="E435" s="341"/>
      <c r="F435" s="340"/>
      <c r="G435" s="339"/>
      <c r="H435" s="339"/>
      <c r="I435" s="339"/>
      <c r="J435" s="341"/>
      <c r="K435" s="340"/>
      <c r="L435" s="341"/>
      <c r="M435" s="340"/>
      <c r="N435" s="339"/>
      <c r="O435" s="339"/>
      <c r="P435" s="339"/>
      <c r="Q435" s="339"/>
      <c r="R435" s="339"/>
      <c r="S435" s="339"/>
      <c r="T435" s="339"/>
      <c r="U435" s="339"/>
      <c r="V435" s="339"/>
      <c r="W435" s="339"/>
      <c r="X435" s="339"/>
      <c r="Y435" s="339"/>
      <c r="Z435" s="339"/>
      <c r="AA435" s="339"/>
      <c r="AB435" s="341"/>
      <c r="AC435" s="341"/>
      <c r="AD435" s="341"/>
      <c r="AE435" s="339"/>
      <c r="AF435" s="339"/>
      <c r="AG435" s="341"/>
      <c r="AH435" s="339"/>
      <c r="AI435" s="341"/>
      <c r="AJ435" s="339"/>
      <c r="AK435" s="341"/>
      <c r="AL435" s="341"/>
      <c r="AM435" s="339"/>
      <c r="AN435" s="339"/>
      <c r="AO435" s="339"/>
      <c r="AP435" s="339"/>
      <c r="AQ435" s="339"/>
      <c r="AR435" s="339"/>
      <c r="AS435" s="339"/>
    </row>
    <row r="436" spans="1:45" ht="15.75" customHeight="1">
      <c r="A436" s="339"/>
      <c r="B436" s="339"/>
      <c r="C436" s="341"/>
      <c r="D436" s="341"/>
      <c r="E436" s="341"/>
      <c r="F436" s="340"/>
      <c r="G436" s="339"/>
      <c r="H436" s="339"/>
      <c r="I436" s="339"/>
      <c r="J436" s="341"/>
      <c r="K436" s="340"/>
      <c r="L436" s="341"/>
      <c r="M436" s="340"/>
      <c r="N436" s="339"/>
      <c r="O436" s="339"/>
      <c r="P436" s="339"/>
      <c r="Q436" s="339"/>
      <c r="R436" s="339"/>
      <c r="S436" s="339"/>
      <c r="T436" s="339"/>
      <c r="U436" s="339"/>
      <c r="V436" s="339"/>
      <c r="W436" s="339"/>
      <c r="X436" s="339"/>
      <c r="Y436" s="339"/>
      <c r="Z436" s="339"/>
      <c r="AA436" s="339"/>
      <c r="AB436" s="341"/>
      <c r="AC436" s="341"/>
      <c r="AD436" s="341"/>
      <c r="AE436" s="339"/>
      <c r="AF436" s="339"/>
      <c r="AG436" s="341"/>
      <c r="AH436" s="339"/>
      <c r="AI436" s="341"/>
      <c r="AJ436" s="339"/>
      <c r="AK436" s="341"/>
      <c r="AL436" s="341"/>
      <c r="AM436" s="339"/>
      <c r="AN436" s="339"/>
      <c r="AO436" s="339"/>
      <c r="AP436" s="339"/>
      <c r="AQ436" s="339"/>
      <c r="AR436" s="339"/>
      <c r="AS436" s="339"/>
    </row>
    <row r="437" spans="1:45" ht="15.75" customHeight="1">
      <c r="A437" s="339"/>
      <c r="B437" s="339"/>
      <c r="C437" s="341"/>
      <c r="D437" s="341"/>
      <c r="E437" s="341"/>
      <c r="F437" s="340"/>
      <c r="G437" s="339"/>
      <c r="H437" s="339"/>
      <c r="I437" s="339"/>
      <c r="J437" s="341"/>
      <c r="K437" s="340"/>
      <c r="L437" s="341"/>
      <c r="M437" s="340"/>
      <c r="N437" s="339"/>
      <c r="O437" s="339"/>
      <c r="P437" s="339"/>
      <c r="Q437" s="339"/>
      <c r="R437" s="339"/>
      <c r="S437" s="339"/>
      <c r="T437" s="339"/>
      <c r="U437" s="339"/>
      <c r="V437" s="339"/>
      <c r="W437" s="339"/>
      <c r="X437" s="339"/>
      <c r="Y437" s="339"/>
      <c r="Z437" s="339"/>
      <c r="AA437" s="339"/>
      <c r="AB437" s="341"/>
      <c r="AC437" s="341"/>
      <c r="AD437" s="341"/>
      <c r="AE437" s="339"/>
      <c r="AF437" s="339"/>
      <c r="AG437" s="341"/>
      <c r="AH437" s="339"/>
      <c r="AI437" s="341"/>
      <c r="AJ437" s="339"/>
      <c r="AK437" s="341"/>
      <c r="AL437" s="341"/>
      <c r="AM437" s="339"/>
      <c r="AN437" s="339"/>
      <c r="AO437" s="339"/>
      <c r="AP437" s="339"/>
      <c r="AQ437" s="339"/>
      <c r="AR437" s="339"/>
      <c r="AS437" s="339"/>
    </row>
    <row r="438" spans="1:45" ht="15.75" customHeight="1">
      <c r="A438" s="339"/>
      <c r="B438" s="339"/>
      <c r="C438" s="341"/>
      <c r="D438" s="341"/>
      <c r="E438" s="341"/>
      <c r="F438" s="340"/>
      <c r="G438" s="339"/>
      <c r="H438" s="339"/>
      <c r="I438" s="339"/>
      <c r="J438" s="341"/>
      <c r="K438" s="340"/>
      <c r="L438" s="341"/>
      <c r="M438" s="340"/>
      <c r="N438" s="339"/>
      <c r="O438" s="339"/>
      <c r="P438" s="339"/>
      <c r="Q438" s="339"/>
      <c r="R438" s="339"/>
      <c r="S438" s="339"/>
      <c r="T438" s="339"/>
      <c r="U438" s="339"/>
      <c r="V438" s="339"/>
      <c r="W438" s="339"/>
      <c r="X438" s="339"/>
      <c r="Y438" s="339"/>
      <c r="Z438" s="339"/>
      <c r="AA438" s="339"/>
      <c r="AB438" s="341"/>
      <c r="AC438" s="341"/>
      <c r="AD438" s="341"/>
      <c r="AE438" s="339"/>
      <c r="AF438" s="339"/>
      <c r="AG438" s="341"/>
      <c r="AH438" s="339"/>
      <c r="AI438" s="341"/>
      <c r="AJ438" s="339"/>
      <c r="AK438" s="341"/>
      <c r="AL438" s="341"/>
      <c r="AM438" s="339"/>
      <c r="AN438" s="339"/>
      <c r="AO438" s="339"/>
      <c r="AP438" s="339"/>
      <c r="AQ438" s="339"/>
      <c r="AR438" s="339"/>
      <c r="AS438" s="339"/>
    </row>
    <row r="439" spans="1:45" ht="15.75" customHeight="1">
      <c r="A439" s="339"/>
      <c r="B439" s="339"/>
      <c r="C439" s="341"/>
      <c r="D439" s="341"/>
      <c r="E439" s="341"/>
      <c r="F439" s="340"/>
      <c r="G439" s="339"/>
      <c r="H439" s="339"/>
      <c r="I439" s="339"/>
      <c r="J439" s="341"/>
      <c r="K439" s="340"/>
      <c r="L439" s="341"/>
      <c r="M439" s="340"/>
      <c r="N439" s="339"/>
      <c r="O439" s="339"/>
      <c r="P439" s="339"/>
      <c r="Q439" s="339"/>
      <c r="R439" s="339"/>
      <c r="S439" s="339"/>
      <c r="T439" s="339"/>
      <c r="U439" s="339"/>
      <c r="V439" s="339"/>
      <c r="W439" s="339"/>
      <c r="X439" s="339"/>
      <c r="Y439" s="339"/>
      <c r="Z439" s="339"/>
      <c r="AA439" s="339"/>
      <c r="AB439" s="341"/>
      <c r="AC439" s="341"/>
      <c r="AD439" s="341"/>
      <c r="AE439" s="339"/>
      <c r="AF439" s="339"/>
      <c r="AG439" s="341"/>
      <c r="AH439" s="339"/>
      <c r="AI439" s="341"/>
      <c r="AJ439" s="339"/>
      <c r="AK439" s="341"/>
      <c r="AL439" s="341"/>
      <c r="AM439" s="339"/>
      <c r="AN439" s="339"/>
      <c r="AO439" s="339"/>
      <c r="AP439" s="339"/>
      <c r="AQ439" s="339"/>
      <c r="AR439" s="339"/>
      <c r="AS439" s="339"/>
    </row>
    <row r="440" spans="1:45" ht="15.75" customHeight="1">
      <c r="A440" s="339"/>
      <c r="B440" s="339"/>
      <c r="C440" s="341"/>
      <c r="D440" s="341"/>
      <c r="E440" s="341"/>
      <c r="F440" s="340"/>
      <c r="G440" s="339"/>
      <c r="H440" s="339"/>
      <c r="I440" s="339"/>
      <c r="J440" s="341"/>
      <c r="K440" s="340"/>
      <c r="L440" s="341"/>
      <c r="M440" s="340"/>
      <c r="N440" s="339"/>
      <c r="O440" s="339"/>
      <c r="P440" s="339"/>
      <c r="Q440" s="339"/>
      <c r="R440" s="339"/>
      <c r="S440" s="339"/>
      <c r="T440" s="339"/>
      <c r="U440" s="339"/>
      <c r="V440" s="339"/>
      <c r="W440" s="339"/>
      <c r="X440" s="339"/>
      <c r="Y440" s="339"/>
      <c r="Z440" s="339"/>
      <c r="AA440" s="339"/>
      <c r="AB440" s="341"/>
      <c r="AC440" s="341"/>
      <c r="AD440" s="341"/>
      <c r="AE440" s="339"/>
      <c r="AF440" s="339"/>
      <c r="AG440" s="341"/>
      <c r="AH440" s="339"/>
      <c r="AI440" s="341"/>
      <c r="AJ440" s="339"/>
      <c r="AK440" s="341"/>
      <c r="AL440" s="341"/>
      <c r="AM440" s="339"/>
      <c r="AN440" s="339"/>
      <c r="AO440" s="339"/>
      <c r="AP440" s="339"/>
      <c r="AQ440" s="339"/>
      <c r="AR440" s="339"/>
      <c r="AS440" s="339"/>
    </row>
    <row r="441" spans="1:45" ht="15.75" customHeight="1">
      <c r="A441" s="339"/>
      <c r="B441" s="339"/>
      <c r="C441" s="341"/>
      <c r="D441" s="341"/>
      <c r="E441" s="341"/>
      <c r="F441" s="340"/>
      <c r="G441" s="339"/>
      <c r="H441" s="339"/>
      <c r="I441" s="339"/>
      <c r="J441" s="341"/>
      <c r="K441" s="340"/>
      <c r="L441" s="341"/>
      <c r="M441" s="340"/>
      <c r="N441" s="339"/>
      <c r="O441" s="339"/>
      <c r="P441" s="339"/>
      <c r="Q441" s="339"/>
      <c r="R441" s="339"/>
      <c r="S441" s="339"/>
      <c r="T441" s="339"/>
      <c r="U441" s="339"/>
      <c r="V441" s="339"/>
      <c r="W441" s="339"/>
      <c r="X441" s="339"/>
      <c r="Y441" s="339"/>
      <c r="Z441" s="339"/>
      <c r="AA441" s="339"/>
      <c r="AB441" s="341"/>
      <c r="AC441" s="341"/>
      <c r="AD441" s="341"/>
      <c r="AE441" s="339"/>
      <c r="AF441" s="339"/>
      <c r="AG441" s="341"/>
      <c r="AH441" s="339"/>
      <c r="AI441" s="341"/>
      <c r="AJ441" s="339"/>
      <c r="AK441" s="341"/>
      <c r="AL441" s="341"/>
      <c r="AM441" s="339"/>
      <c r="AN441" s="339"/>
      <c r="AO441" s="339"/>
      <c r="AP441" s="339"/>
      <c r="AQ441" s="339"/>
      <c r="AR441" s="339"/>
      <c r="AS441" s="339"/>
    </row>
    <row r="442" spans="1:45" ht="15.75" customHeight="1">
      <c r="A442" s="339"/>
      <c r="B442" s="339"/>
      <c r="C442" s="341"/>
      <c r="D442" s="341"/>
      <c r="E442" s="341"/>
      <c r="F442" s="340"/>
      <c r="G442" s="339"/>
      <c r="H442" s="339"/>
      <c r="I442" s="339"/>
      <c r="J442" s="341"/>
      <c r="K442" s="340"/>
      <c r="L442" s="341"/>
      <c r="M442" s="340"/>
      <c r="N442" s="339"/>
      <c r="O442" s="339"/>
      <c r="P442" s="339"/>
      <c r="Q442" s="339"/>
      <c r="R442" s="339"/>
      <c r="S442" s="339"/>
      <c r="T442" s="339"/>
      <c r="U442" s="339"/>
      <c r="V442" s="339"/>
      <c r="W442" s="339"/>
      <c r="X442" s="339"/>
      <c r="Y442" s="339"/>
      <c r="Z442" s="339"/>
      <c r="AA442" s="339"/>
      <c r="AB442" s="341"/>
      <c r="AC442" s="341"/>
      <c r="AD442" s="341"/>
      <c r="AE442" s="339"/>
      <c r="AF442" s="339"/>
      <c r="AG442" s="341"/>
      <c r="AH442" s="339"/>
      <c r="AI442" s="341"/>
      <c r="AJ442" s="339"/>
      <c r="AK442" s="341"/>
      <c r="AL442" s="341"/>
      <c r="AM442" s="339"/>
      <c r="AN442" s="339"/>
      <c r="AO442" s="339"/>
      <c r="AP442" s="339"/>
      <c r="AQ442" s="339"/>
      <c r="AR442" s="339"/>
      <c r="AS442" s="339"/>
    </row>
    <row r="443" spans="1:45" ht="15.75" customHeight="1">
      <c r="A443" s="339"/>
      <c r="B443" s="339"/>
      <c r="C443" s="341"/>
      <c r="D443" s="341"/>
      <c r="E443" s="341"/>
      <c r="F443" s="340"/>
      <c r="G443" s="339"/>
      <c r="H443" s="339"/>
      <c r="I443" s="339"/>
      <c r="J443" s="341"/>
      <c r="K443" s="340"/>
      <c r="L443" s="341"/>
      <c r="M443" s="340"/>
      <c r="N443" s="339"/>
      <c r="O443" s="339"/>
      <c r="P443" s="339"/>
      <c r="Q443" s="339"/>
      <c r="R443" s="339"/>
      <c r="S443" s="339"/>
      <c r="T443" s="339"/>
      <c r="U443" s="339"/>
      <c r="V443" s="339"/>
      <c r="W443" s="339"/>
      <c r="X443" s="339"/>
      <c r="Y443" s="339"/>
      <c r="Z443" s="339"/>
      <c r="AA443" s="339"/>
      <c r="AB443" s="341"/>
      <c r="AC443" s="341"/>
      <c r="AD443" s="341"/>
      <c r="AE443" s="339"/>
      <c r="AF443" s="339"/>
      <c r="AG443" s="341"/>
      <c r="AH443" s="339"/>
      <c r="AI443" s="341"/>
      <c r="AJ443" s="339"/>
      <c r="AK443" s="341"/>
      <c r="AL443" s="341"/>
      <c r="AM443" s="339"/>
      <c r="AN443" s="339"/>
      <c r="AO443" s="339"/>
      <c r="AP443" s="339"/>
      <c r="AQ443" s="339"/>
      <c r="AR443" s="339"/>
      <c r="AS443" s="339"/>
    </row>
    <row r="444" spans="1:45" ht="15.75" customHeight="1">
      <c r="A444" s="339"/>
      <c r="B444" s="339"/>
      <c r="C444" s="341"/>
      <c r="D444" s="341"/>
      <c r="E444" s="341"/>
      <c r="F444" s="340"/>
      <c r="G444" s="339"/>
      <c r="H444" s="339"/>
      <c r="I444" s="339"/>
      <c r="J444" s="341"/>
      <c r="K444" s="340"/>
      <c r="L444" s="341"/>
      <c r="M444" s="340"/>
      <c r="N444" s="339"/>
      <c r="O444" s="339"/>
      <c r="P444" s="339"/>
      <c r="Q444" s="339"/>
      <c r="R444" s="339"/>
      <c r="S444" s="339"/>
      <c r="T444" s="339"/>
      <c r="U444" s="339"/>
      <c r="V444" s="339"/>
      <c r="W444" s="339"/>
      <c r="X444" s="339"/>
      <c r="Y444" s="339"/>
      <c r="Z444" s="339"/>
      <c r="AA444" s="339"/>
      <c r="AB444" s="341"/>
      <c r="AC444" s="341"/>
      <c r="AD444" s="341"/>
      <c r="AE444" s="339"/>
      <c r="AF444" s="339"/>
      <c r="AG444" s="341"/>
      <c r="AH444" s="339"/>
      <c r="AI444" s="341"/>
      <c r="AJ444" s="339"/>
      <c r="AK444" s="341"/>
      <c r="AL444" s="341"/>
      <c r="AM444" s="339"/>
      <c r="AN444" s="339"/>
      <c r="AO444" s="339"/>
      <c r="AP444" s="339"/>
      <c r="AQ444" s="339"/>
      <c r="AR444" s="339"/>
      <c r="AS444" s="339"/>
    </row>
    <row r="445" spans="1:45" ht="15.75" customHeight="1">
      <c r="A445" s="339"/>
      <c r="B445" s="339"/>
      <c r="C445" s="341"/>
      <c r="D445" s="341"/>
      <c r="E445" s="341"/>
      <c r="F445" s="340"/>
      <c r="G445" s="339"/>
      <c r="H445" s="339"/>
      <c r="I445" s="339"/>
      <c r="J445" s="341"/>
      <c r="K445" s="340"/>
      <c r="L445" s="341"/>
      <c r="M445" s="340"/>
      <c r="N445" s="339"/>
      <c r="O445" s="339"/>
      <c r="P445" s="339"/>
      <c r="Q445" s="339"/>
      <c r="R445" s="339"/>
      <c r="S445" s="339"/>
      <c r="T445" s="339"/>
      <c r="U445" s="339"/>
      <c r="V445" s="339"/>
      <c r="W445" s="339"/>
      <c r="X445" s="339"/>
      <c r="Y445" s="339"/>
      <c r="Z445" s="339"/>
      <c r="AA445" s="339"/>
      <c r="AB445" s="341"/>
      <c r="AC445" s="341"/>
      <c r="AD445" s="341"/>
      <c r="AE445" s="339"/>
      <c r="AF445" s="339"/>
      <c r="AG445" s="341"/>
      <c r="AH445" s="339"/>
      <c r="AI445" s="341"/>
      <c r="AJ445" s="339"/>
      <c r="AK445" s="341"/>
      <c r="AL445" s="341"/>
      <c r="AM445" s="339"/>
      <c r="AN445" s="339"/>
      <c r="AO445" s="339"/>
      <c r="AP445" s="339"/>
      <c r="AQ445" s="339"/>
      <c r="AR445" s="339"/>
      <c r="AS445" s="339"/>
    </row>
    <row r="446" spans="1:45" ht="15.75" customHeight="1">
      <c r="A446" s="339"/>
      <c r="B446" s="339"/>
      <c r="C446" s="341"/>
      <c r="D446" s="341"/>
      <c r="E446" s="341"/>
      <c r="F446" s="340"/>
      <c r="G446" s="339"/>
      <c r="H446" s="339"/>
      <c r="I446" s="339"/>
      <c r="J446" s="341"/>
      <c r="K446" s="340"/>
      <c r="L446" s="341"/>
      <c r="M446" s="340"/>
      <c r="N446" s="339"/>
      <c r="O446" s="339"/>
      <c r="P446" s="339"/>
      <c r="Q446" s="339"/>
      <c r="R446" s="339"/>
      <c r="S446" s="339"/>
      <c r="T446" s="339"/>
      <c r="U446" s="339"/>
      <c r="V446" s="339"/>
      <c r="W446" s="339"/>
      <c r="X446" s="339"/>
      <c r="Y446" s="339"/>
      <c r="Z446" s="339"/>
      <c r="AA446" s="339"/>
      <c r="AB446" s="341"/>
      <c r="AC446" s="341"/>
      <c r="AD446" s="341"/>
      <c r="AE446" s="339"/>
      <c r="AF446" s="339"/>
      <c r="AG446" s="341"/>
      <c r="AH446" s="339"/>
      <c r="AI446" s="341"/>
      <c r="AJ446" s="339"/>
      <c r="AK446" s="341"/>
      <c r="AL446" s="341"/>
      <c r="AM446" s="339"/>
      <c r="AN446" s="339"/>
      <c r="AO446" s="339"/>
      <c r="AP446" s="339"/>
      <c r="AQ446" s="339"/>
      <c r="AR446" s="339"/>
      <c r="AS446" s="339"/>
    </row>
    <row r="447" spans="1:45" ht="15.75" customHeight="1">
      <c r="A447" s="339"/>
      <c r="B447" s="339"/>
      <c r="C447" s="341"/>
      <c r="D447" s="341"/>
      <c r="E447" s="341"/>
      <c r="F447" s="340"/>
      <c r="G447" s="339"/>
      <c r="H447" s="339"/>
      <c r="I447" s="339"/>
      <c r="J447" s="341"/>
      <c r="K447" s="340"/>
      <c r="L447" s="341"/>
      <c r="M447" s="340"/>
      <c r="N447" s="339"/>
      <c r="O447" s="339"/>
      <c r="P447" s="339"/>
      <c r="Q447" s="339"/>
      <c r="R447" s="339"/>
      <c r="S447" s="339"/>
      <c r="T447" s="339"/>
      <c r="U447" s="339"/>
      <c r="V447" s="339"/>
      <c r="W447" s="339"/>
      <c r="X447" s="339"/>
      <c r="Y447" s="339"/>
      <c r="Z447" s="339"/>
      <c r="AA447" s="339"/>
      <c r="AB447" s="341"/>
      <c r="AC447" s="341"/>
      <c r="AD447" s="341"/>
      <c r="AE447" s="339"/>
      <c r="AF447" s="339"/>
      <c r="AG447" s="341"/>
      <c r="AH447" s="339"/>
      <c r="AI447" s="341"/>
      <c r="AJ447" s="339"/>
      <c r="AK447" s="341"/>
      <c r="AL447" s="341"/>
      <c r="AM447" s="339"/>
      <c r="AN447" s="339"/>
      <c r="AO447" s="339"/>
      <c r="AP447" s="339"/>
      <c r="AQ447" s="339"/>
      <c r="AR447" s="339"/>
      <c r="AS447" s="339"/>
    </row>
    <row r="448" spans="1:45" ht="15.75" customHeight="1">
      <c r="A448" s="339"/>
      <c r="B448" s="339"/>
      <c r="C448" s="341"/>
      <c r="D448" s="341"/>
      <c r="E448" s="341"/>
      <c r="F448" s="340"/>
      <c r="G448" s="339"/>
      <c r="H448" s="339"/>
      <c r="I448" s="339"/>
      <c r="J448" s="341"/>
      <c r="K448" s="340"/>
      <c r="L448" s="341"/>
      <c r="M448" s="340"/>
      <c r="N448" s="339"/>
      <c r="O448" s="339"/>
      <c r="P448" s="339"/>
      <c r="Q448" s="339"/>
      <c r="R448" s="339"/>
      <c r="S448" s="339"/>
      <c r="T448" s="339"/>
      <c r="U448" s="339"/>
      <c r="V448" s="339"/>
      <c r="W448" s="339"/>
      <c r="X448" s="339"/>
      <c r="Y448" s="339"/>
      <c r="Z448" s="339"/>
      <c r="AA448" s="339"/>
      <c r="AB448" s="341"/>
      <c r="AC448" s="341"/>
      <c r="AD448" s="341"/>
      <c r="AE448" s="339"/>
      <c r="AF448" s="339"/>
      <c r="AG448" s="341"/>
      <c r="AH448" s="339"/>
      <c r="AI448" s="341"/>
      <c r="AJ448" s="339"/>
      <c r="AK448" s="341"/>
      <c r="AL448" s="341"/>
      <c r="AM448" s="339"/>
      <c r="AN448" s="339"/>
      <c r="AO448" s="339"/>
      <c r="AP448" s="339"/>
      <c r="AQ448" s="339"/>
      <c r="AR448" s="339"/>
      <c r="AS448" s="339"/>
    </row>
    <row r="449" spans="1:45" ht="15.75" customHeight="1">
      <c r="A449" s="339"/>
      <c r="B449" s="339"/>
      <c r="C449" s="341"/>
      <c r="D449" s="341"/>
      <c r="E449" s="341"/>
      <c r="F449" s="340"/>
      <c r="G449" s="339"/>
      <c r="H449" s="339"/>
      <c r="I449" s="339"/>
      <c r="J449" s="341"/>
      <c r="K449" s="340"/>
      <c r="L449" s="341"/>
      <c r="M449" s="340"/>
      <c r="N449" s="339"/>
      <c r="O449" s="339"/>
      <c r="P449" s="339"/>
      <c r="Q449" s="339"/>
      <c r="R449" s="339"/>
      <c r="S449" s="339"/>
      <c r="T449" s="339"/>
      <c r="U449" s="339"/>
      <c r="V449" s="339"/>
      <c r="W449" s="339"/>
      <c r="X449" s="339"/>
      <c r="Y449" s="339"/>
      <c r="Z449" s="339"/>
      <c r="AA449" s="339"/>
      <c r="AB449" s="341"/>
      <c r="AC449" s="341"/>
      <c r="AD449" s="341"/>
      <c r="AE449" s="339"/>
      <c r="AF449" s="339"/>
      <c r="AG449" s="341"/>
      <c r="AH449" s="339"/>
      <c r="AI449" s="341"/>
      <c r="AJ449" s="339"/>
      <c r="AK449" s="341"/>
      <c r="AL449" s="341"/>
      <c r="AM449" s="339"/>
      <c r="AN449" s="339"/>
      <c r="AO449" s="339"/>
      <c r="AP449" s="339"/>
      <c r="AQ449" s="339"/>
      <c r="AR449" s="339"/>
      <c r="AS449" s="339"/>
    </row>
    <row r="450" spans="1:45" ht="15.75" customHeight="1">
      <c r="A450" s="339"/>
      <c r="B450" s="339"/>
      <c r="C450" s="341"/>
      <c r="D450" s="341"/>
      <c r="E450" s="341"/>
      <c r="F450" s="340"/>
      <c r="G450" s="339"/>
      <c r="H450" s="339"/>
      <c r="I450" s="339"/>
      <c r="J450" s="341"/>
      <c r="K450" s="340"/>
      <c r="L450" s="341"/>
      <c r="M450" s="340"/>
      <c r="N450" s="339"/>
      <c r="O450" s="339"/>
      <c r="P450" s="339"/>
      <c r="Q450" s="339"/>
      <c r="R450" s="339"/>
      <c r="S450" s="339"/>
      <c r="T450" s="339"/>
      <c r="U450" s="339"/>
      <c r="V450" s="339"/>
      <c r="W450" s="339"/>
      <c r="X450" s="339"/>
      <c r="Y450" s="339"/>
      <c r="Z450" s="339"/>
      <c r="AA450" s="339"/>
      <c r="AB450" s="341"/>
      <c r="AC450" s="341"/>
      <c r="AD450" s="341"/>
      <c r="AE450" s="339"/>
      <c r="AF450" s="339"/>
      <c r="AG450" s="341"/>
      <c r="AH450" s="339"/>
      <c r="AI450" s="341"/>
      <c r="AJ450" s="339"/>
      <c r="AK450" s="341"/>
      <c r="AL450" s="341"/>
      <c r="AM450" s="339"/>
      <c r="AN450" s="339"/>
      <c r="AO450" s="339"/>
      <c r="AP450" s="339"/>
      <c r="AQ450" s="339"/>
      <c r="AR450" s="339"/>
      <c r="AS450" s="339"/>
    </row>
    <row r="451" spans="1:45" ht="15.75" customHeight="1">
      <c r="A451" s="339"/>
      <c r="B451" s="339"/>
      <c r="C451" s="341"/>
      <c r="D451" s="341"/>
      <c r="E451" s="341"/>
      <c r="F451" s="340"/>
      <c r="G451" s="339"/>
      <c r="H451" s="339"/>
      <c r="I451" s="339"/>
      <c r="J451" s="341"/>
      <c r="K451" s="340"/>
      <c r="L451" s="341"/>
      <c r="M451" s="340"/>
      <c r="N451" s="339"/>
      <c r="O451" s="339"/>
      <c r="P451" s="339"/>
      <c r="Q451" s="339"/>
      <c r="R451" s="339"/>
      <c r="S451" s="339"/>
      <c r="T451" s="339"/>
      <c r="U451" s="339"/>
      <c r="V451" s="339"/>
      <c r="W451" s="339"/>
      <c r="X451" s="339"/>
      <c r="Y451" s="339"/>
      <c r="Z451" s="339"/>
      <c r="AA451" s="339"/>
      <c r="AB451" s="341"/>
      <c r="AC451" s="341"/>
      <c r="AD451" s="341"/>
      <c r="AE451" s="339"/>
      <c r="AF451" s="339"/>
      <c r="AG451" s="341"/>
      <c r="AH451" s="339"/>
      <c r="AI451" s="341"/>
      <c r="AJ451" s="339"/>
      <c r="AK451" s="341"/>
      <c r="AL451" s="341"/>
      <c r="AM451" s="339"/>
      <c r="AN451" s="339"/>
      <c r="AO451" s="339"/>
      <c r="AP451" s="339"/>
      <c r="AQ451" s="339"/>
      <c r="AR451" s="339"/>
      <c r="AS451" s="339"/>
    </row>
    <row r="452" spans="1:45" ht="15.75" customHeight="1">
      <c r="A452" s="339"/>
      <c r="B452" s="339"/>
      <c r="C452" s="341"/>
      <c r="D452" s="341"/>
      <c r="E452" s="341"/>
      <c r="F452" s="340"/>
      <c r="G452" s="339"/>
      <c r="H452" s="339"/>
      <c r="I452" s="339"/>
      <c r="J452" s="341"/>
      <c r="K452" s="340"/>
      <c r="L452" s="341"/>
      <c r="M452" s="340"/>
      <c r="N452" s="339"/>
      <c r="O452" s="339"/>
      <c r="P452" s="339"/>
      <c r="Q452" s="339"/>
      <c r="R452" s="339"/>
      <c r="S452" s="339"/>
      <c r="T452" s="339"/>
      <c r="U452" s="339"/>
      <c r="V452" s="339"/>
      <c r="W452" s="339"/>
      <c r="X452" s="339"/>
      <c r="Y452" s="339"/>
      <c r="Z452" s="339"/>
      <c r="AA452" s="339"/>
      <c r="AB452" s="341"/>
      <c r="AC452" s="341"/>
      <c r="AD452" s="341"/>
      <c r="AE452" s="339"/>
      <c r="AF452" s="339"/>
      <c r="AG452" s="341"/>
      <c r="AH452" s="339"/>
      <c r="AI452" s="341"/>
      <c r="AJ452" s="339"/>
      <c r="AK452" s="341"/>
      <c r="AL452" s="341"/>
      <c r="AM452" s="339"/>
      <c r="AN452" s="339"/>
      <c r="AO452" s="339"/>
      <c r="AP452" s="339"/>
      <c r="AQ452" s="339"/>
      <c r="AR452" s="339"/>
      <c r="AS452" s="339"/>
    </row>
    <row r="453" spans="1:45" ht="15.75" customHeight="1">
      <c r="A453" s="339"/>
      <c r="B453" s="339"/>
      <c r="C453" s="341"/>
      <c r="D453" s="341"/>
      <c r="E453" s="341"/>
      <c r="F453" s="340"/>
      <c r="G453" s="339"/>
      <c r="H453" s="339"/>
      <c r="I453" s="339"/>
      <c r="J453" s="341"/>
      <c r="K453" s="340"/>
      <c r="L453" s="341"/>
      <c r="M453" s="340"/>
      <c r="N453" s="339"/>
      <c r="O453" s="339"/>
      <c r="P453" s="339"/>
      <c r="Q453" s="339"/>
      <c r="R453" s="339"/>
      <c r="S453" s="339"/>
      <c r="T453" s="339"/>
      <c r="U453" s="339"/>
      <c r="V453" s="339"/>
      <c r="W453" s="339"/>
      <c r="X453" s="339"/>
      <c r="Y453" s="339"/>
      <c r="Z453" s="339"/>
      <c r="AA453" s="339"/>
      <c r="AB453" s="341"/>
      <c r="AC453" s="341"/>
      <c r="AD453" s="341"/>
      <c r="AE453" s="339"/>
      <c r="AF453" s="339"/>
      <c r="AG453" s="341"/>
      <c r="AH453" s="339"/>
      <c r="AI453" s="341"/>
      <c r="AJ453" s="339"/>
      <c r="AK453" s="341"/>
      <c r="AL453" s="341"/>
      <c r="AM453" s="339"/>
      <c r="AN453" s="339"/>
      <c r="AO453" s="339"/>
      <c r="AP453" s="339"/>
      <c r="AQ453" s="339"/>
      <c r="AR453" s="339"/>
      <c r="AS453" s="339"/>
    </row>
    <row r="454" spans="1:45" ht="15.75" customHeight="1">
      <c r="A454" s="339"/>
      <c r="B454" s="339"/>
      <c r="C454" s="341"/>
      <c r="D454" s="341"/>
      <c r="E454" s="341"/>
      <c r="F454" s="340"/>
      <c r="G454" s="339"/>
      <c r="H454" s="339"/>
      <c r="I454" s="339"/>
      <c r="J454" s="341"/>
      <c r="K454" s="340"/>
      <c r="L454" s="341"/>
      <c r="M454" s="340"/>
      <c r="N454" s="339"/>
      <c r="O454" s="339"/>
      <c r="P454" s="339"/>
      <c r="Q454" s="339"/>
      <c r="R454" s="339"/>
      <c r="S454" s="339"/>
      <c r="T454" s="339"/>
      <c r="U454" s="339"/>
      <c r="V454" s="339"/>
      <c r="W454" s="339"/>
      <c r="X454" s="339"/>
      <c r="Y454" s="339"/>
      <c r="Z454" s="339"/>
      <c r="AA454" s="339"/>
      <c r="AB454" s="341"/>
      <c r="AC454" s="341"/>
      <c r="AD454" s="341"/>
      <c r="AE454" s="339"/>
      <c r="AF454" s="339"/>
      <c r="AG454" s="341"/>
      <c r="AH454" s="339"/>
      <c r="AI454" s="341"/>
      <c r="AJ454" s="339"/>
      <c r="AK454" s="341"/>
      <c r="AL454" s="341"/>
      <c r="AM454" s="339"/>
      <c r="AN454" s="339"/>
      <c r="AO454" s="339"/>
      <c r="AP454" s="339"/>
      <c r="AQ454" s="339"/>
      <c r="AR454" s="339"/>
      <c r="AS454" s="339"/>
    </row>
    <row r="455" spans="1:45" ht="15.75" customHeight="1">
      <c r="A455" s="339"/>
      <c r="B455" s="339"/>
      <c r="C455" s="341"/>
      <c r="D455" s="341"/>
      <c r="E455" s="341"/>
      <c r="F455" s="340"/>
      <c r="G455" s="339"/>
      <c r="H455" s="339"/>
      <c r="I455" s="339"/>
      <c r="J455" s="341"/>
      <c r="K455" s="340"/>
      <c r="L455" s="341"/>
      <c r="M455" s="340"/>
      <c r="N455" s="339"/>
      <c r="O455" s="339"/>
      <c r="P455" s="339"/>
      <c r="Q455" s="339"/>
      <c r="R455" s="339"/>
      <c r="S455" s="339"/>
      <c r="T455" s="339"/>
      <c r="U455" s="339"/>
      <c r="V455" s="339"/>
      <c r="W455" s="339"/>
      <c r="X455" s="339"/>
      <c r="Y455" s="339"/>
      <c r="Z455" s="339"/>
      <c r="AA455" s="339"/>
      <c r="AB455" s="341"/>
      <c r="AC455" s="341"/>
      <c r="AD455" s="341"/>
      <c r="AE455" s="339"/>
      <c r="AF455" s="339"/>
      <c r="AG455" s="341"/>
      <c r="AH455" s="339"/>
      <c r="AI455" s="341"/>
      <c r="AJ455" s="339"/>
      <c r="AK455" s="341"/>
      <c r="AL455" s="341"/>
      <c r="AM455" s="339"/>
      <c r="AN455" s="339"/>
      <c r="AO455" s="339"/>
      <c r="AP455" s="339"/>
      <c r="AQ455" s="339"/>
      <c r="AR455" s="339"/>
      <c r="AS455" s="339"/>
    </row>
    <row r="456" spans="1:45" ht="15.75" customHeight="1">
      <c r="A456" s="339"/>
      <c r="B456" s="339"/>
      <c r="C456" s="341"/>
      <c r="D456" s="341"/>
      <c r="E456" s="341"/>
      <c r="F456" s="340"/>
      <c r="G456" s="339"/>
      <c r="H456" s="339"/>
      <c r="I456" s="339"/>
      <c r="J456" s="341"/>
      <c r="K456" s="340"/>
      <c r="L456" s="341"/>
      <c r="M456" s="340"/>
      <c r="N456" s="339"/>
      <c r="O456" s="339"/>
      <c r="P456" s="339"/>
      <c r="Q456" s="339"/>
      <c r="R456" s="339"/>
      <c r="S456" s="339"/>
      <c r="T456" s="339"/>
      <c r="U456" s="339"/>
      <c r="V456" s="339"/>
      <c r="W456" s="339"/>
      <c r="X456" s="339"/>
      <c r="Y456" s="339"/>
      <c r="Z456" s="339"/>
      <c r="AA456" s="339"/>
      <c r="AB456" s="341"/>
      <c r="AC456" s="341"/>
      <c r="AD456" s="341"/>
      <c r="AE456" s="339"/>
      <c r="AF456" s="339"/>
      <c r="AG456" s="341"/>
      <c r="AH456" s="339"/>
      <c r="AI456" s="341"/>
      <c r="AJ456" s="339"/>
      <c r="AK456" s="341"/>
      <c r="AL456" s="341"/>
      <c r="AM456" s="339"/>
      <c r="AN456" s="339"/>
      <c r="AO456" s="339"/>
      <c r="AP456" s="339"/>
      <c r="AQ456" s="339"/>
      <c r="AR456" s="339"/>
      <c r="AS456" s="339"/>
    </row>
    <row r="457" spans="1:45" ht="15.75" customHeight="1">
      <c r="A457" s="339"/>
      <c r="B457" s="339"/>
      <c r="C457" s="341"/>
      <c r="D457" s="341"/>
      <c r="E457" s="341"/>
      <c r="F457" s="340"/>
      <c r="G457" s="339"/>
      <c r="H457" s="339"/>
      <c r="I457" s="339"/>
      <c r="J457" s="341"/>
      <c r="K457" s="340"/>
      <c r="L457" s="341"/>
      <c r="M457" s="340"/>
      <c r="N457" s="339"/>
      <c r="O457" s="339"/>
      <c r="P457" s="339"/>
      <c r="Q457" s="339"/>
      <c r="R457" s="339"/>
      <c r="S457" s="339"/>
      <c r="T457" s="339"/>
      <c r="U457" s="339"/>
      <c r="V457" s="339"/>
      <c r="W457" s="339"/>
      <c r="X457" s="339"/>
      <c r="Y457" s="339"/>
      <c r="Z457" s="339"/>
      <c r="AA457" s="339"/>
      <c r="AB457" s="341"/>
      <c r="AC457" s="341"/>
      <c r="AD457" s="341"/>
      <c r="AE457" s="339"/>
      <c r="AF457" s="339"/>
      <c r="AG457" s="341"/>
      <c r="AH457" s="339"/>
      <c r="AI457" s="341"/>
      <c r="AJ457" s="339"/>
      <c r="AK457" s="341"/>
      <c r="AL457" s="341"/>
      <c r="AM457" s="339"/>
      <c r="AN457" s="339"/>
      <c r="AO457" s="339"/>
      <c r="AP457" s="339"/>
      <c r="AQ457" s="339"/>
      <c r="AR457" s="339"/>
      <c r="AS457" s="339"/>
    </row>
    <row r="458" spans="1:45" ht="15.75" customHeight="1">
      <c r="A458" s="339"/>
      <c r="B458" s="339"/>
      <c r="C458" s="341"/>
      <c r="D458" s="341"/>
      <c r="E458" s="341"/>
      <c r="F458" s="340"/>
      <c r="G458" s="339"/>
      <c r="H458" s="339"/>
      <c r="I458" s="339"/>
      <c r="J458" s="341"/>
      <c r="K458" s="340"/>
      <c r="L458" s="341"/>
      <c r="M458" s="340"/>
      <c r="N458" s="339"/>
      <c r="O458" s="339"/>
      <c r="P458" s="339"/>
      <c r="Q458" s="339"/>
      <c r="R458" s="339"/>
      <c r="S458" s="339"/>
      <c r="T458" s="339"/>
      <c r="U458" s="339"/>
      <c r="V458" s="339"/>
      <c r="W458" s="339"/>
      <c r="X458" s="339"/>
      <c r="Y458" s="339"/>
      <c r="Z458" s="339"/>
      <c r="AA458" s="339"/>
      <c r="AB458" s="341"/>
      <c r="AC458" s="341"/>
      <c r="AD458" s="341"/>
      <c r="AE458" s="339"/>
      <c r="AF458" s="339"/>
      <c r="AG458" s="341"/>
      <c r="AH458" s="339"/>
      <c r="AI458" s="341"/>
      <c r="AJ458" s="339"/>
      <c r="AK458" s="341"/>
      <c r="AL458" s="341"/>
      <c r="AM458" s="339"/>
      <c r="AN458" s="339"/>
      <c r="AO458" s="339"/>
      <c r="AP458" s="339"/>
      <c r="AQ458" s="339"/>
      <c r="AR458" s="339"/>
      <c r="AS458" s="339"/>
    </row>
    <row r="459" spans="1:45" ht="15.75" customHeight="1">
      <c r="A459" s="339"/>
      <c r="B459" s="339"/>
      <c r="C459" s="341"/>
      <c r="D459" s="341"/>
      <c r="E459" s="341"/>
      <c r="F459" s="340"/>
      <c r="G459" s="339"/>
      <c r="H459" s="339"/>
      <c r="I459" s="339"/>
      <c r="J459" s="341"/>
      <c r="K459" s="340"/>
      <c r="L459" s="341"/>
      <c r="M459" s="340"/>
      <c r="N459" s="339"/>
      <c r="O459" s="339"/>
      <c r="P459" s="339"/>
      <c r="Q459" s="339"/>
      <c r="R459" s="339"/>
      <c r="S459" s="339"/>
      <c r="T459" s="339"/>
      <c r="U459" s="339"/>
      <c r="V459" s="339"/>
      <c r="W459" s="339"/>
      <c r="X459" s="339"/>
      <c r="Y459" s="339"/>
      <c r="Z459" s="339"/>
      <c r="AA459" s="339"/>
      <c r="AB459" s="341"/>
      <c r="AC459" s="341"/>
      <c r="AD459" s="341"/>
      <c r="AE459" s="339"/>
      <c r="AF459" s="339"/>
      <c r="AG459" s="341"/>
      <c r="AH459" s="339"/>
      <c r="AI459" s="341"/>
      <c r="AJ459" s="339"/>
      <c r="AK459" s="341"/>
      <c r="AL459" s="341"/>
      <c r="AM459" s="339"/>
      <c r="AN459" s="339"/>
      <c r="AO459" s="339"/>
      <c r="AP459" s="339"/>
      <c r="AQ459" s="339"/>
      <c r="AR459" s="339"/>
      <c r="AS459" s="339"/>
    </row>
    <row r="460" spans="1:45" ht="15.75" customHeight="1">
      <c r="A460" s="339"/>
      <c r="B460" s="339"/>
      <c r="C460" s="341"/>
      <c r="D460" s="341"/>
      <c r="E460" s="341"/>
      <c r="F460" s="340"/>
      <c r="G460" s="339"/>
      <c r="H460" s="339"/>
      <c r="I460" s="339"/>
      <c r="J460" s="341"/>
      <c r="K460" s="340"/>
      <c r="L460" s="341"/>
      <c r="M460" s="340"/>
      <c r="N460" s="339"/>
      <c r="O460" s="339"/>
      <c r="P460" s="339"/>
      <c r="Q460" s="339"/>
      <c r="R460" s="339"/>
      <c r="S460" s="339"/>
      <c r="T460" s="339"/>
      <c r="U460" s="339"/>
      <c r="V460" s="339"/>
      <c r="W460" s="339"/>
      <c r="X460" s="339"/>
      <c r="Y460" s="339"/>
      <c r="Z460" s="339"/>
      <c r="AA460" s="339"/>
      <c r="AB460" s="341"/>
      <c r="AC460" s="341"/>
      <c r="AD460" s="341"/>
      <c r="AE460" s="339"/>
      <c r="AF460" s="339"/>
      <c r="AG460" s="341"/>
      <c r="AH460" s="339"/>
      <c r="AI460" s="341"/>
      <c r="AJ460" s="339"/>
      <c r="AK460" s="341"/>
      <c r="AL460" s="341"/>
      <c r="AM460" s="339"/>
      <c r="AN460" s="339"/>
      <c r="AO460" s="339"/>
      <c r="AP460" s="339"/>
      <c r="AQ460" s="339"/>
      <c r="AR460" s="339"/>
      <c r="AS460" s="339"/>
    </row>
    <row r="461" spans="1:45" ht="15.75" customHeight="1">
      <c r="A461" s="339"/>
      <c r="B461" s="339"/>
      <c r="C461" s="341"/>
      <c r="D461" s="341"/>
      <c r="E461" s="341"/>
      <c r="F461" s="340"/>
      <c r="G461" s="339"/>
      <c r="H461" s="339"/>
      <c r="I461" s="339"/>
      <c r="J461" s="341"/>
      <c r="K461" s="340"/>
      <c r="L461" s="341"/>
      <c r="M461" s="340"/>
      <c r="N461" s="339"/>
      <c r="O461" s="339"/>
      <c r="P461" s="339"/>
      <c r="Q461" s="339"/>
      <c r="R461" s="339"/>
      <c r="S461" s="339"/>
      <c r="T461" s="339"/>
      <c r="U461" s="339"/>
      <c r="V461" s="339"/>
      <c r="W461" s="339"/>
      <c r="X461" s="339"/>
      <c r="Y461" s="339"/>
      <c r="Z461" s="339"/>
      <c r="AA461" s="339"/>
      <c r="AB461" s="341"/>
      <c r="AC461" s="341"/>
      <c r="AD461" s="341"/>
      <c r="AE461" s="339"/>
      <c r="AF461" s="339"/>
      <c r="AG461" s="341"/>
      <c r="AH461" s="339"/>
      <c r="AI461" s="341"/>
      <c r="AJ461" s="339"/>
      <c r="AK461" s="341"/>
      <c r="AL461" s="341"/>
      <c r="AM461" s="339"/>
      <c r="AN461" s="339"/>
      <c r="AO461" s="339"/>
      <c r="AP461" s="339"/>
      <c r="AQ461" s="339"/>
      <c r="AR461" s="339"/>
      <c r="AS461" s="339"/>
    </row>
    <row r="462" spans="1:45" ht="15.75" customHeight="1">
      <c r="A462" s="339"/>
      <c r="B462" s="339"/>
      <c r="C462" s="341"/>
      <c r="D462" s="341"/>
      <c r="E462" s="341"/>
      <c r="F462" s="340"/>
      <c r="G462" s="339"/>
      <c r="H462" s="339"/>
      <c r="I462" s="339"/>
      <c r="J462" s="341"/>
      <c r="K462" s="340"/>
      <c r="L462" s="341"/>
      <c r="M462" s="340"/>
      <c r="N462" s="339"/>
      <c r="O462" s="339"/>
      <c r="P462" s="339"/>
      <c r="Q462" s="339"/>
      <c r="R462" s="339"/>
      <c r="S462" s="339"/>
      <c r="T462" s="339"/>
      <c r="U462" s="339"/>
      <c r="V462" s="339"/>
      <c r="W462" s="339"/>
      <c r="X462" s="339"/>
      <c r="Y462" s="339"/>
      <c r="Z462" s="339"/>
      <c r="AA462" s="339"/>
      <c r="AB462" s="341"/>
      <c r="AC462" s="341"/>
      <c r="AD462" s="341"/>
      <c r="AE462" s="339"/>
      <c r="AF462" s="339"/>
      <c r="AG462" s="341"/>
      <c r="AH462" s="339"/>
      <c r="AI462" s="341"/>
      <c r="AJ462" s="339"/>
      <c r="AK462" s="341"/>
      <c r="AL462" s="341"/>
      <c r="AM462" s="339"/>
      <c r="AN462" s="339"/>
      <c r="AO462" s="339"/>
      <c r="AP462" s="339"/>
      <c r="AQ462" s="339"/>
      <c r="AR462" s="339"/>
      <c r="AS462" s="339"/>
    </row>
    <row r="463" spans="1:45" ht="15.75" customHeight="1">
      <c r="A463" s="339"/>
      <c r="B463" s="339"/>
      <c r="C463" s="341"/>
      <c r="D463" s="341"/>
      <c r="E463" s="341"/>
      <c r="F463" s="340"/>
      <c r="G463" s="339"/>
      <c r="H463" s="339"/>
      <c r="I463" s="339"/>
      <c r="J463" s="341"/>
      <c r="K463" s="340"/>
      <c r="L463" s="341"/>
      <c r="M463" s="340"/>
      <c r="N463" s="339"/>
      <c r="O463" s="339"/>
      <c r="P463" s="339"/>
      <c r="Q463" s="339"/>
      <c r="R463" s="339"/>
      <c r="S463" s="339"/>
      <c r="T463" s="339"/>
      <c r="U463" s="339"/>
      <c r="V463" s="339"/>
      <c r="W463" s="339"/>
      <c r="X463" s="339"/>
      <c r="Y463" s="339"/>
      <c r="Z463" s="339"/>
      <c r="AA463" s="339"/>
      <c r="AB463" s="341"/>
      <c r="AC463" s="341"/>
      <c r="AD463" s="341"/>
      <c r="AE463" s="339"/>
      <c r="AF463" s="339"/>
      <c r="AG463" s="341"/>
      <c r="AH463" s="339"/>
      <c r="AI463" s="341"/>
      <c r="AJ463" s="339"/>
      <c r="AK463" s="341"/>
      <c r="AL463" s="341"/>
      <c r="AM463" s="339"/>
      <c r="AN463" s="339"/>
      <c r="AO463" s="339"/>
      <c r="AP463" s="339"/>
      <c r="AQ463" s="339"/>
      <c r="AR463" s="339"/>
      <c r="AS463" s="339"/>
    </row>
    <row r="464" spans="1:45" ht="15.75" customHeight="1">
      <c r="A464" s="339"/>
      <c r="B464" s="339"/>
      <c r="C464" s="341"/>
      <c r="D464" s="341"/>
      <c r="E464" s="341"/>
      <c r="F464" s="340"/>
      <c r="G464" s="339"/>
      <c r="H464" s="339"/>
      <c r="I464" s="339"/>
      <c r="J464" s="341"/>
      <c r="K464" s="340"/>
      <c r="L464" s="341"/>
      <c r="M464" s="340"/>
      <c r="N464" s="339"/>
      <c r="O464" s="339"/>
      <c r="P464" s="339"/>
      <c r="Q464" s="339"/>
      <c r="R464" s="339"/>
      <c r="S464" s="339"/>
      <c r="T464" s="339"/>
      <c r="U464" s="339"/>
      <c r="V464" s="339"/>
      <c r="W464" s="339"/>
      <c r="X464" s="339"/>
      <c r="Y464" s="339"/>
      <c r="Z464" s="339"/>
      <c r="AA464" s="339"/>
      <c r="AB464" s="341"/>
      <c r="AC464" s="341"/>
      <c r="AD464" s="341"/>
      <c r="AE464" s="339"/>
      <c r="AF464" s="339"/>
      <c r="AG464" s="341"/>
      <c r="AH464" s="339"/>
      <c r="AI464" s="341"/>
      <c r="AJ464" s="339"/>
      <c r="AK464" s="341"/>
      <c r="AL464" s="341"/>
      <c r="AM464" s="339"/>
      <c r="AN464" s="339"/>
      <c r="AO464" s="339"/>
      <c r="AP464" s="339"/>
      <c r="AQ464" s="339"/>
      <c r="AR464" s="339"/>
      <c r="AS464" s="339"/>
    </row>
    <row r="465" spans="1:45" ht="15.75" customHeight="1">
      <c r="A465" s="339"/>
      <c r="B465" s="339"/>
      <c r="C465" s="341"/>
      <c r="D465" s="341"/>
      <c r="E465" s="341"/>
      <c r="F465" s="340"/>
      <c r="G465" s="339"/>
      <c r="H465" s="339"/>
      <c r="I465" s="339"/>
      <c r="J465" s="341"/>
      <c r="K465" s="340"/>
      <c r="L465" s="341"/>
      <c r="M465" s="340"/>
      <c r="N465" s="339"/>
      <c r="O465" s="339"/>
      <c r="P465" s="339"/>
      <c r="Q465" s="339"/>
      <c r="R465" s="339"/>
      <c r="S465" s="339"/>
      <c r="T465" s="339"/>
      <c r="U465" s="339"/>
      <c r="V465" s="339"/>
      <c r="W465" s="339"/>
      <c r="X465" s="339"/>
      <c r="Y465" s="339"/>
      <c r="Z465" s="339"/>
      <c r="AA465" s="339"/>
      <c r="AB465" s="341"/>
      <c r="AC465" s="341"/>
      <c r="AD465" s="341"/>
      <c r="AE465" s="339"/>
      <c r="AF465" s="339"/>
      <c r="AG465" s="341"/>
      <c r="AH465" s="339"/>
      <c r="AI465" s="341"/>
      <c r="AJ465" s="339"/>
      <c r="AK465" s="341"/>
      <c r="AL465" s="341"/>
      <c r="AM465" s="339"/>
      <c r="AN465" s="339"/>
      <c r="AO465" s="339"/>
      <c r="AP465" s="339"/>
      <c r="AQ465" s="339"/>
      <c r="AR465" s="339"/>
      <c r="AS465" s="339"/>
    </row>
    <row r="466" spans="1:45" ht="15.75" customHeight="1">
      <c r="A466" s="339"/>
      <c r="B466" s="339"/>
      <c r="C466" s="341"/>
      <c r="D466" s="341"/>
      <c r="E466" s="341"/>
      <c r="F466" s="340"/>
      <c r="G466" s="339"/>
      <c r="H466" s="339"/>
      <c r="I466" s="339"/>
      <c r="J466" s="341"/>
      <c r="K466" s="340"/>
      <c r="L466" s="341"/>
      <c r="M466" s="340"/>
      <c r="N466" s="339"/>
      <c r="O466" s="339"/>
      <c r="P466" s="339"/>
      <c r="Q466" s="339"/>
      <c r="R466" s="339"/>
      <c r="S466" s="339"/>
      <c r="T466" s="339"/>
      <c r="U466" s="339"/>
      <c r="V466" s="339"/>
      <c r="W466" s="339"/>
      <c r="X466" s="339"/>
      <c r="Y466" s="339"/>
      <c r="Z466" s="339"/>
      <c r="AA466" s="339"/>
      <c r="AB466" s="341"/>
      <c r="AC466" s="341"/>
      <c r="AD466" s="341"/>
      <c r="AE466" s="339"/>
      <c r="AF466" s="339"/>
      <c r="AG466" s="341"/>
      <c r="AH466" s="339"/>
      <c r="AI466" s="341"/>
      <c r="AJ466" s="339"/>
      <c r="AK466" s="341"/>
      <c r="AL466" s="341"/>
      <c r="AM466" s="339"/>
      <c r="AN466" s="339"/>
      <c r="AO466" s="339"/>
      <c r="AP466" s="339"/>
      <c r="AQ466" s="339"/>
      <c r="AR466" s="339"/>
      <c r="AS466" s="339"/>
    </row>
    <row r="467" spans="1:45" ht="15.75" customHeight="1">
      <c r="A467" s="339"/>
      <c r="B467" s="339"/>
      <c r="C467" s="341"/>
      <c r="D467" s="341"/>
      <c r="E467" s="341"/>
      <c r="F467" s="340"/>
      <c r="G467" s="339"/>
      <c r="H467" s="339"/>
      <c r="I467" s="339"/>
      <c r="J467" s="341"/>
      <c r="K467" s="340"/>
      <c r="L467" s="341"/>
      <c r="M467" s="340"/>
      <c r="N467" s="339"/>
      <c r="O467" s="339"/>
      <c r="P467" s="339"/>
      <c r="Q467" s="339"/>
      <c r="R467" s="339"/>
      <c r="S467" s="339"/>
      <c r="T467" s="339"/>
      <c r="U467" s="339"/>
      <c r="V467" s="339"/>
      <c r="W467" s="339"/>
      <c r="X467" s="339"/>
      <c r="Y467" s="339"/>
      <c r="Z467" s="339"/>
      <c r="AA467" s="339"/>
      <c r="AB467" s="341"/>
      <c r="AC467" s="341"/>
      <c r="AD467" s="341"/>
      <c r="AE467" s="339"/>
      <c r="AF467" s="339"/>
      <c r="AG467" s="341"/>
      <c r="AH467" s="339"/>
      <c r="AI467" s="341"/>
      <c r="AJ467" s="339"/>
      <c r="AK467" s="341"/>
      <c r="AL467" s="341"/>
      <c r="AM467" s="339"/>
      <c r="AN467" s="339"/>
      <c r="AO467" s="339"/>
      <c r="AP467" s="339"/>
      <c r="AQ467" s="339"/>
      <c r="AR467" s="339"/>
      <c r="AS467" s="339"/>
    </row>
    <row r="468" spans="1:45" ht="15.75" customHeight="1">
      <c r="A468" s="339"/>
      <c r="B468" s="339"/>
      <c r="C468" s="341"/>
      <c r="D468" s="341"/>
      <c r="E468" s="341"/>
      <c r="F468" s="340"/>
      <c r="G468" s="339"/>
      <c r="H468" s="339"/>
      <c r="I468" s="339"/>
      <c r="J468" s="341"/>
      <c r="K468" s="340"/>
      <c r="L468" s="341"/>
      <c r="M468" s="340"/>
      <c r="N468" s="339"/>
      <c r="O468" s="339"/>
      <c r="P468" s="339"/>
      <c r="Q468" s="339"/>
      <c r="R468" s="339"/>
      <c r="S468" s="339"/>
      <c r="T468" s="339"/>
      <c r="U468" s="339"/>
      <c r="V468" s="339"/>
      <c r="W468" s="339"/>
      <c r="X468" s="339"/>
      <c r="Y468" s="339"/>
      <c r="Z468" s="339"/>
      <c r="AA468" s="339"/>
      <c r="AB468" s="341"/>
      <c r="AC468" s="341"/>
      <c r="AD468" s="341"/>
      <c r="AE468" s="339"/>
      <c r="AF468" s="339"/>
      <c r="AG468" s="341"/>
      <c r="AH468" s="339"/>
      <c r="AI468" s="341"/>
      <c r="AJ468" s="339"/>
      <c r="AK468" s="341"/>
      <c r="AL468" s="341"/>
      <c r="AM468" s="339"/>
      <c r="AN468" s="339"/>
      <c r="AO468" s="339"/>
      <c r="AP468" s="339"/>
      <c r="AQ468" s="339"/>
      <c r="AR468" s="339"/>
      <c r="AS468" s="339"/>
    </row>
    <row r="469" spans="1:45" ht="15.75" customHeight="1">
      <c r="A469" s="339"/>
      <c r="B469" s="339"/>
      <c r="C469" s="341"/>
      <c r="D469" s="341"/>
      <c r="E469" s="341"/>
      <c r="F469" s="340"/>
      <c r="G469" s="339"/>
      <c r="H469" s="339"/>
      <c r="I469" s="339"/>
      <c r="J469" s="341"/>
      <c r="K469" s="340"/>
      <c r="L469" s="341"/>
      <c r="M469" s="340"/>
      <c r="N469" s="339"/>
      <c r="O469" s="339"/>
      <c r="P469" s="339"/>
      <c r="Q469" s="339"/>
      <c r="R469" s="339"/>
      <c r="S469" s="339"/>
      <c r="T469" s="339"/>
      <c r="U469" s="339"/>
      <c r="V469" s="339"/>
      <c r="W469" s="339"/>
      <c r="X469" s="339"/>
      <c r="Y469" s="339"/>
      <c r="Z469" s="339"/>
      <c r="AA469" s="339"/>
      <c r="AB469" s="341"/>
      <c r="AC469" s="341"/>
      <c r="AD469" s="341"/>
      <c r="AE469" s="339"/>
      <c r="AF469" s="339"/>
      <c r="AG469" s="341"/>
      <c r="AH469" s="339"/>
      <c r="AI469" s="341"/>
      <c r="AJ469" s="339"/>
      <c r="AK469" s="341"/>
      <c r="AL469" s="341"/>
      <c r="AM469" s="339"/>
      <c r="AN469" s="339"/>
      <c r="AO469" s="339"/>
      <c r="AP469" s="339"/>
      <c r="AQ469" s="339"/>
      <c r="AR469" s="339"/>
      <c r="AS469" s="339"/>
    </row>
    <row r="470" spans="1:45" ht="15.75" customHeight="1">
      <c r="A470" s="339"/>
      <c r="B470" s="339"/>
      <c r="C470" s="341"/>
      <c r="D470" s="341"/>
      <c r="E470" s="341"/>
      <c r="F470" s="340"/>
      <c r="G470" s="339"/>
      <c r="H470" s="339"/>
      <c r="I470" s="339"/>
      <c r="J470" s="341"/>
      <c r="K470" s="340"/>
      <c r="L470" s="341"/>
      <c r="M470" s="340"/>
      <c r="N470" s="339"/>
      <c r="O470" s="339"/>
      <c r="P470" s="339"/>
      <c r="Q470" s="339"/>
      <c r="R470" s="339"/>
      <c r="S470" s="339"/>
      <c r="T470" s="339"/>
      <c r="U470" s="339"/>
      <c r="V470" s="339"/>
      <c r="W470" s="339"/>
      <c r="X470" s="339"/>
      <c r="Y470" s="339"/>
      <c r="Z470" s="339"/>
      <c r="AA470" s="339"/>
      <c r="AB470" s="341"/>
      <c r="AC470" s="341"/>
      <c r="AD470" s="341"/>
      <c r="AE470" s="339"/>
      <c r="AF470" s="339"/>
      <c r="AG470" s="341"/>
      <c r="AH470" s="339"/>
      <c r="AI470" s="341"/>
      <c r="AJ470" s="339"/>
      <c r="AK470" s="341"/>
      <c r="AL470" s="341"/>
      <c r="AM470" s="339"/>
      <c r="AN470" s="339"/>
      <c r="AO470" s="339"/>
      <c r="AP470" s="339"/>
      <c r="AQ470" s="339"/>
      <c r="AR470" s="339"/>
      <c r="AS470" s="339"/>
    </row>
    <row r="471" spans="1:45" ht="15.75" customHeight="1">
      <c r="A471" s="339"/>
      <c r="B471" s="339"/>
      <c r="C471" s="341"/>
      <c r="D471" s="341"/>
      <c r="E471" s="341"/>
      <c r="F471" s="340"/>
      <c r="G471" s="339"/>
      <c r="H471" s="339"/>
      <c r="I471" s="339"/>
      <c r="J471" s="341"/>
      <c r="K471" s="340"/>
      <c r="L471" s="341"/>
      <c r="M471" s="340"/>
      <c r="N471" s="339"/>
      <c r="O471" s="339"/>
      <c r="P471" s="339"/>
      <c r="Q471" s="339"/>
      <c r="R471" s="339"/>
      <c r="S471" s="339"/>
      <c r="T471" s="339"/>
      <c r="U471" s="339"/>
      <c r="V471" s="339"/>
      <c r="W471" s="339"/>
      <c r="X471" s="339"/>
      <c r="Y471" s="339"/>
      <c r="Z471" s="339"/>
      <c r="AA471" s="339"/>
      <c r="AB471" s="341"/>
      <c r="AC471" s="341"/>
      <c r="AD471" s="341"/>
      <c r="AE471" s="339"/>
      <c r="AF471" s="339"/>
      <c r="AG471" s="341"/>
      <c r="AH471" s="339"/>
      <c r="AI471" s="341"/>
      <c r="AJ471" s="339"/>
      <c r="AK471" s="341"/>
      <c r="AL471" s="341"/>
      <c r="AM471" s="339"/>
      <c r="AN471" s="339"/>
      <c r="AO471" s="339"/>
      <c r="AP471" s="339"/>
      <c r="AQ471" s="339"/>
      <c r="AR471" s="339"/>
      <c r="AS471" s="339"/>
    </row>
    <row r="472" spans="1:45" ht="15.75" customHeight="1">
      <c r="A472" s="339"/>
      <c r="B472" s="339"/>
      <c r="C472" s="341"/>
      <c r="D472" s="341"/>
      <c r="E472" s="341"/>
      <c r="F472" s="340"/>
      <c r="G472" s="339"/>
      <c r="H472" s="339"/>
      <c r="I472" s="339"/>
      <c r="J472" s="341"/>
      <c r="K472" s="340"/>
      <c r="L472" s="341"/>
      <c r="M472" s="340"/>
      <c r="N472" s="339"/>
      <c r="O472" s="339"/>
      <c r="P472" s="339"/>
      <c r="Q472" s="339"/>
      <c r="R472" s="339"/>
      <c r="S472" s="339"/>
      <c r="T472" s="339"/>
      <c r="U472" s="339"/>
      <c r="V472" s="339"/>
      <c r="W472" s="339"/>
      <c r="X472" s="339"/>
      <c r="Y472" s="339"/>
      <c r="Z472" s="339"/>
      <c r="AA472" s="339"/>
      <c r="AB472" s="341"/>
      <c r="AC472" s="341"/>
      <c r="AD472" s="341"/>
      <c r="AE472" s="339"/>
      <c r="AF472" s="339"/>
      <c r="AG472" s="341"/>
      <c r="AH472" s="339"/>
      <c r="AI472" s="341"/>
      <c r="AJ472" s="339"/>
      <c r="AK472" s="341"/>
      <c r="AL472" s="341"/>
      <c r="AM472" s="339"/>
      <c r="AN472" s="339"/>
      <c r="AO472" s="339"/>
      <c r="AP472" s="339"/>
      <c r="AQ472" s="339"/>
      <c r="AR472" s="339"/>
      <c r="AS472" s="339"/>
    </row>
    <row r="473" spans="1:45" ht="15.75" customHeight="1">
      <c r="A473" s="339"/>
      <c r="B473" s="339"/>
      <c r="C473" s="341"/>
      <c r="D473" s="341"/>
      <c r="E473" s="341"/>
      <c r="F473" s="340"/>
      <c r="G473" s="339"/>
      <c r="H473" s="339"/>
      <c r="I473" s="339"/>
      <c r="J473" s="341"/>
      <c r="K473" s="340"/>
      <c r="L473" s="341"/>
      <c r="M473" s="340"/>
      <c r="N473" s="339"/>
      <c r="O473" s="339"/>
      <c r="P473" s="339"/>
      <c r="Q473" s="339"/>
      <c r="R473" s="339"/>
      <c r="S473" s="339"/>
      <c r="T473" s="339"/>
      <c r="U473" s="339"/>
      <c r="V473" s="339"/>
      <c r="W473" s="339"/>
      <c r="X473" s="339"/>
      <c r="Y473" s="339"/>
      <c r="Z473" s="339"/>
      <c r="AA473" s="339"/>
      <c r="AB473" s="341"/>
      <c r="AC473" s="341"/>
      <c r="AD473" s="341"/>
      <c r="AE473" s="339"/>
      <c r="AF473" s="339"/>
      <c r="AG473" s="341"/>
      <c r="AH473" s="339"/>
      <c r="AI473" s="341"/>
      <c r="AJ473" s="339"/>
      <c r="AK473" s="341"/>
      <c r="AL473" s="341"/>
      <c r="AM473" s="339"/>
      <c r="AN473" s="339"/>
      <c r="AO473" s="339"/>
      <c r="AP473" s="339"/>
      <c r="AQ473" s="339"/>
      <c r="AR473" s="339"/>
      <c r="AS473" s="339"/>
    </row>
    <row r="474" spans="1:45" ht="15.75" customHeight="1">
      <c r="A474" s="339"/>
      <c r="B474" s="339"/>
      <c r="C474" s="341"/>
      <c r="D474" s="341"/>
      <c r="E474" s="341"/>
      <c r="F474" s="340"/>
      <c r="G474" s="339"/>
      <c r="H474" s="339"/>
      <c r="I474" s="339"/>
      <c r="J474" s="341"/>
      <c r="K474" s="340"/>
      <c r="L474" s="341"/>
      <c r="M474" s="340"/>
      <c r="N474" s="339"/>
      <c r="O474" s="339"/>
      <c r="P474" s="339"/>
      <c r="Q474" s="339"/>
      <c r="R474" s="339"/>
      <c r="S474" s="339"/>
      <c r="T474" s="339"/>
      <c r="U474" s="339"/>
      <c r="V474" s="339"/>
      <c r="W474" s="339"/>
      <c r="X474" s="339"/>
      <c r="Y474" s="339"/>
      <c r="Z474" s="339"/>
      <c r="AA474" s="339"/>
      <c r="AB474" s="341"/>
      <c r="AC474" s="341"/>
      <c r="AD474" s="341"/>
      <c r="AE474" s="339"/>
      <c r="AF474" s="339"/>
      <c r="AG474" s="341"/>
      <c r="AH474" s="339"/>
      <c r="AI474" s="341"/>
      <c r="AJ474" s="339"/>
      <c r="AK474" s="341"/>
      <c r="AL474" s="341"/>
      <c r="AM474" s="339"/>
      <c r="AN474" s="339"/>
      <c r="AO474" s="339"/>
      <c r="AP474" s="339"/>
      <c r="AQ474" s="339"/>
      <c r="AR474" s="339"/>
      <c r="AS474" s="339"/>
    </row>
    <row r="475" spans="1:45" ht="15.75" customHeight="1">
      <c r="A475" s="339"/>
      <c r="B475" s="339"/>
      <c r="C475" s="341"/>
      <c r="D475" s="341"/>
      <c r="E475" s="341"/>
      <c r="F475" s="340"/>
      <c r="G475" s="339"/>
      <c r="H475" s="339"/>
      <c r="I475" s="339"/>
      <c r="J475" s="341"/>
      <c r="K475" s="340"/>
      <c r="L475" s="341"/>
      <c r="M475" s="340"/>
      <c r="N475" s="339"/>
      <c r="O475" s="339"/>
      <c r="P475" s="339"/>
      <c r="Q475" s="339"/>
      <c r="R475" s="339"/>
      <c r="S475" s="339"/>
      <c r="T475" s="339"/>
      <c r="U475" s="339"/>
      <c r="V475" s="339"/>
      <c r="W475" s="339"/>
      <c r="X475" s="339"/>
      <c r="Y475" s="339"/>
      <c r="Z475" s="339"/>
      <c r="AA475" s="339"/>
      <c r="AB475" s="341"/>
      <c r="AC475" s="341"/>
      <c r="AD475" s="341"/>
      <c r="AE475" s="339"/>
      <c r="AF475" s="339"/>
      <c r="AG475" s="341"/>
      <c r="AH475" s="339"/>
      <c r="AI475" s="341"/>
      <c r="AJ475" s="339"/>
      <c r="AK475" s="341"/>
      <c r="AL475" s="341"/>
      <c r="AM475" s="339"/>
      <c r="AN475" s="339"/>
      <c r="AO475" s="339"/>
      <c r="AP475" s="339"/>
      <c r="AQ475" s="339"/>
      <c r="AR475" s="339"/>
      <c r="AS475" s="339"/>
    </row>
    <row r="476" spans="1:45" ht="15.75" customHeight="1">
      <c r="A476" s="339"/>
      <c r="B476" s="339"/>
      <c r="C476" s="341"/>
      <c r="D476" s="341"/>
      <c r="E476" s="341"/>
      <c r="F476" s="340"/>
      <c r="G476" s="339"/>
      <c r="H476" s="339"/>
      <c r="I476" s="339"/>
      <c r="J476" s="341"/>
      <c r="K476" s="340"/>
      <c r="L476" s="341"/>
      <c r="M476" s="340"/>
      <c r="N476" s="339"/>
      <c r="O476" s="339"/>
      <c r="P476" s="339"/>
      <c r="Q476" s="339"/>
      <c r="R476" s="339"/>
      <c r="S476" s="339"/>
      <c r="T476" s="339"/>
      <c r="U476" s="339"/>
      <c r="V476" s="339"/>
      <c r="W476" s="339"/>
      <c r="X476" s="339"/>
      <c r="Y476" s="339"/>
      <c r="Z476" s="339"/>
      <c r="AA476" s="339"/>
      <c r="AB476" s="341"/>
      <c r="AC476" s="341"/>
      <c r="AD476" s="341"/>
      <c r="AE476" s="339"/>
      <c r="AF476" s="339"/>
      <c r="AG476" s="341"/>
      <c r="AH476" s="339"/>
      <c r="AI476" s="341"/>
      <c r="AJ476" s="339"/>
      <c r="AK476" s="341"/>
      <c r="AL476" s="341"/>
      <c r="AM476" s="339"/>
      <c r="AN476" s="339"/>
      <c r="AO476" s="339"/>
      <c r="AP476" s="339"/>
      <c r="AQ476" s="339"/>
      <c r="AR476" s="339"/>
      <c r="AS476" s="339"/>
    </row>
    <row r="477" spans="1:45" ht="15.75" customHeight="1">
      <c r="A477" s="339"/>
      <c r="B477" s="339"/>
      <c r="C477" s="341"/>
      <c r="D477" s="341"/>
      <c r="E477" s="341"/>
      <c r="F477" s="340"/>
      <c r="G477" s="339"/>
      <c r="H477" s="339"/>
      <c r="I477" s="339"/>
      <c r="J477" s="341"/>
      <c r="K477" s="340"/>
      <c r="L477" s="341"/>
      <c r="M477" s="340"/>
      <c r="N477" s="339"/>
      <c r="O477" s="339"/>
      <c r="P477" s="339"/>
      <c r="Q477" s="339"/>
      <c r="R477" s="339"/>
      <c r="S477" s="339"/>
      <c r="T477" s="339"/>
      <c r="U477" s="339"/>
      <c r="V477" s="339"/>
      <c r="W477" s="339"/>
      <c r="X477" s="339"/>
      <c r="Y477" s="339"/>
      <c r="Z477" s="339"/>
      <c r="AA477" s="339"/>
      <c r="AB477" s="341"/>
      <c r="AC477" s="341"/>
      <c r="AD477" s="341"/>
      <c r="AE477" s="339"/>
      <c r="AF477" s="339"/>
      <c r="AG477" s="341"/>
      <c r="AH477" s="339"/>
      <c r="AI477" s="341"/>
      <c r="AJ477" s="339"/>
      <c r="AK477" s="341"/>
      <c r="AL477" s="341"/>
      <c r="AM477" s="339"/>
      <c r="AN477" s="339"/>
      <c r="AO477" s="339"/>
      <c r="AP477" s="339"/>
      <c r="AQ477" s="339"/>
      <c r="AR477" s="339"/>
      <c r="AS477" s="339"/>
    </row>
    <row r="478" spans="1:45" ht="15.75" customHeight="1">
      <c r="A478" s="339"/>
      <c r="B478" s="339"/>
      <c r="C478" s="341"/>
      <c r="D478" s="341"/>
      <c r="E478" s="341"/>
      <c r="F478" s="340"/>
      <c r="G478" s="339"/>
      <c r="H478" s="339"/>
      <c r="I478" s="339"/>
      <c r="J478" s="341"/>
      <c r="K478" s="340"/>
      <c r="L478" s="341"/>
      <c r="M478" s="340"/>
      <c r="N478" s="339"/>
      <c r="O478" s="339"/>
      <c r="P478" s="339"/>
      <c r="Q478" s="339"/>
      <c r="R478" s="339"/>
      <c r="S478" s="339"/>
      <c r="T478" s="339"/>
      <c r="U478" s="339"/>
      <c r="V478" s="339"/>
      <c r="W478" s="339"/>
      <c r="X478" s="339"/>
      <c r="Y478" s="339"/>
      <c r="Z478" s="339"/>
      <c r="AA478" s="339"/>
      <c r="AB478" s="341"/>
      <c r="AC478" s="341"/>
      <c r="AD478" s="341"/>
      <c r="AE478" s="339"/>
      <c r="AF478" s="339"/>
      <c r="AG478" s="341"/>
      <c r="AH478" s="339"/>
      <c r="AI478" s="341"/>
      <c r="AJ478" s="339"/>
      <c r="AK478" s="341"/>
      <c r="AL478" s="341"/>
      <c r="AM478" s="339"/>
      <c r="AN478" s="339"/>
      <c r="AO478" s="339"/>
      <c r="AP478" s="339"/>
      <c r="AQ478" s="339"/>
      <c r="AR478" s="339"/>
      <c r="AS478" s="339"/>
    </row>
    <row r="479" spans="1:45" ht="15.75" customHeight="1">
      <c r="A479" s="339"/>
      <c r="B479" s="339"/>
      <c r="C479" s="341"/>
      <c r="D479" s="341"/>
      <c r="E479" s="341"/>
      <c r="F479" s="340"/>
      <c r="G479" s="339"/>
      <c r="H479" s="339"/>
      <c r="I479" s="339"/>
      <c r="J479" s="341"/>
      <c r="K479" s="340"/>
      <c r="L479" s="341"/>
      <c r="M479" s="340"/>
      <c r="N479" s="339"/>
      <c r="O479" s="339"/>
      <c r="P479" s="339"/>
      <c r="Q479" s="339"/>
      <c r="R479" s="339"/>
      <c r="S479" s="339"/>
      <c r="T479" s="339"/>
      <c r="U479" s="339"/>
      <c r="V479" s="339"/>
      <c r="W479" s="339"/>
      <c r="X479" s="339"/>
      <c r="Y479" s="339"/>
      <c r="Z479" s="339"/>
      <c r="AA479" s="339"/>
      <c r="AB479" s="341"/>
      <c r="AC479" s="341"/>
      <c r="AD479" s="341"/>
      <c r="AE479" s="339"/>
      <c r="AF479" s="339"/>
      <c r="AG479" s="341"/>
      <c r="AH479" s="339"/>
      <c r="AI479" s="341"/>
      <c r="AJ479" s="339"/>
      <c r="AK479" s="341"/>
      <c r="AL479" s="341"/>
      <c r="AM479" s="339"/>
      <c r="AN479" s="339"/>
      <c r="AO479" s="339"/>
      <c r="AP479" s="339"/>
      <c r="AQ479" s="339"/>
      <c r="AR479" s="339"/>
      <c r="AS479" s="339"/>
    </row>
    <row r="480" spans="1:45" ht="15.75" customHeight="1">
      <c r="A480" s="339"/>
      <c r="B480" s="339"/>
      <c r="C480" s="341"/>
      <c r="D480" s="341"/>
      <c r="E480" s="341"/>
      <c r="F480" s="340"/>
      <c r="G480" s="339"/>
      <c r="H480" s="339"/>
      <c r="I480" s="339"/>
      <c r="J480" s="341"/>
      <c r="K480" s="340"/>
      <c r="L480" s="341"/>
      <c r="M480" s="340"/>
      <c r="N480" s="339"/>
      <c r="O480" s="339"/>
      <c r="P480" s="339"/>
      <c r="Q480" s="339"/>
      <c r="R480" s="339"/>
      <c r="S480" s="339"/>
      <c r="T480" s="339"/>
      <c r="U480" s="339"/>
      <c r="V480" s="339"/>
      <c r="W480" s="339"/>
      <c r="X480" s="339"/>
      <c r="Y480" s="339"/>
      <c r="Z480" s="339"/>
      <c r="AA480" s="339"/>
      <c r="AB480" s="341"/>
      <c r="AC480" s="341"/>
      <c r="AD480" s="341"/>
      <c r="AE480" s="339"/>
      <c r="AF480" s="339"/>
      <c r="AG480" s="341"/>
      <c r="AH480" s="339"/>
      <c r="AI480" s="341"/>
      <c r="AJ480" s="339"/>
      <c r="AK480" s="341"/>
      <c r="AL480" s="341"/>
      <c r="AM480" s="339"/>
      <c r="AN480" s="339"/>
      <c r="AO480" s="339"/>
      <c r="AP480" s="339"/>
      <c r="AQ480" s="339"/>
      <c r="AR480" s="339"/>
      <c r="AS480" s="339"/>
    </row>
    <row r="481" spans="1:45" ht="15.75" customHeight="1">
      <c r="A481" s="339"/>
      <c r="B481" s="339"/>
      <c r="C481" s="341"/>
      <c r="D481" s="341"/>
      <c r="E481" s="341"/>
      <c r="F481" s="340"/>
      <c r="G481" s="339"/>
      <c r="H481" s="339"/>
      <c r="I481" s="339"/>
      <c r="J481" s="341"/>
      <c r="K481" s="340"/>
      <c r="L481" s="341"/>
      <c r="M481" s="340"/>
      <c r="N481" s="339"/>
      <c r="O481" s="339"/>
      <c r="P481" s="339"/>
      <c r="Q481" s="339"/>
      <c r="R481" s="339"/>
      <c r="S481" s="339"/>
      <c r="T481" s="339"/>
      <c r="U481" s="339"/>
      <c r="V481" s="339"/>
      <c r="W481" s="339"/>
      <c r="X481" s="339"/>
      <c r="Y481" s="339"/>
      <c r="Z481" s="339"/>
      <c r="AA481" s="339"/>
      <c r="AB481" s="341"/>
      <c r="AC481" s="341"/>
      <c r="AD481" s="341"/>
      <c r="AE481" s="339"/>
      <c r="AF481" s="339"/>
      <c r="AG481" s="341"/>
      <c r="AH481" s="339"/>
      <c r="AI481" s="341"/>
      <c r="AJ481" s="339"/>
      <c r="AK481" s="341"/>
      <c r="AL481" s="341"/>
      <c r="AM481" s="339"/>
      <c r="AN481" s="339"/>
      <c r="AO481" s="339"/>
      <c r="AP481" s="339"/>
      <c r="AQ481" s="339"/>
      <c r="AR481" s="339"/>
      <c r="AS481" s="339"/>
    </row>
    <row r="482" spans="1:45" ht="15.75" customHeight="1">
      <c r="A482" s="339"/>
      <c r="B482" s="339"/>
      <c r="C482" s="341"/>
      <c r="D482" s="341"/>
      <c r="E482" s="341"/>
      <c r="F482" s="340"/>
      <c r="G482" s="339"/>
      <c r="H482" s="339"/>
      <c r="I482" s="339"/>
      <c r="J482" s="341"/>
      <c r="K482" s="340"/>
      <c r="L482" s="341"/>
      <c r="M482" s="340"/>
      <c r="N482" s="339"/>
      <c r="O482" s="339"/>
      <c r="P482" s="339"/>
      <c r="Q482" s="339"/>
      <c r="R482" s="339"/>
      <c r="S482" s="339"/>
      <c r="T482" s="339"/>
      <c r="U482" s="339"/>
      <c r="V482" s="339"/>
      <c r="W482" s="339"/>
      <c r="X482" s="339"/>
      <c r="Y482" s="339"/>
      <c r="Z482" s="339"/>
      <c r="AA482" s="339"/>
      <c r="AB482" s="341"/>
      <c r="AC482" s="341"/>
      <c r="AD482" s="341"/>
      <c r="AE482" s="339"/>
      <c r="AF482" s="339"/>
      <c r="AG482" s="341"/>
      <c r="AH482" s="339"/>
      <c r="AI482" s="341"/>
      <c r="AJ482" s="339"/>
      <c r="AK482" s="341"/>
      <c r="AL482" s="341"/>
      <c r="AM482" s="339"/>
      <c r="AN482" s="339"/>
      <c r="AO482" s="339"/>
      <c r="AP482" s="339"/>
      <c r="AQ482" s="339"/>
      <c r="AR482" s="339"/>
      <c r="AS482" s="339"/>
    </row>
    <row r="483" spans="1:45" ht="15.75" customHeight="1">
      <c r="A483" s="339"/>
      <c r="B483" s="339"/>
      <c r="C483" s="341"/>
      <c r="D483" s="341"/>
      <c r="E483" s="341"/>
      <c r="F483" s="340"/>
      <c r="G483" s="339"/>
      <c r="H483" s="339"/>
      <c r="I483" s="339"/>
      <c r="J483" s="341"/>
      <c r="K483" s="340"/>
      <c r="L483" s="341"/>
      <c r="M483" s="340"/>
      <c r="N483" s="339"/>
      <c r="O483" s="339"/>
      <c r="P483" s="339"/>
      <c r="Q483" s="339"/>
      <c r="R483" s="339"/>
      <c r="S483" s="339"/>
      <c r="T483" s="339"/>
      <c r="U483" s="339"/>
      <c r="V483" s="339"/>
      <c r="W483" s="339"/>
      <c r="X483" s="339"/>
      <c r="Y483" s="339"/>
      <c r="Z483" s="339"/>
      <c r="AA483" s="339"/>
      <c r="AB483" s="341"/>
      <c r="AC483" s="341"/>
      <c r="AD483" s="341"/>
      <c r="AE483" s="339"/>
      <c r="AF483" s="339"/>
      <c r="AG483" s="341"/>
      <c r="AH483" s="339"/>
      <c r="AI483" s="341"/>
      <c r="AJ483" s="339"/>
      <c r="AK483" s="341"/>
      <c r="AL483" s="341"/>
      <c r="AM483" s="339"/>
      <c r="AN483" s="339"/>
      <c r="AO483" s="339"/>
      <c r="AP483" s="339"/>
      <c r="AQ483" s="339"/>
      <c r="AR483" s="339"/>
      <c r="AS483" s="339"/>
    </row>
    <row r="484" spans="1:45" ht="15.75" customHeight="1">
      <c r="A484" s="339"/>
      <c r="B484" s="339"/>
      <c r="C484" s="341"/>
      <c r="D484" s="341"/>
      <c r="E484" s="341"/>
      <c r="F484" s="340"/>
      <c r="G484" s="339"/>
      <c r="H484" s="339"/>
      <c r="I484" s="339"/>
      <c r="J484" s="341"/>
      <c r="K484" s="340"/>
      <c r="L484" s="341"/>
      <c r="M484" s="340"/>
      <c r="N484" s="339"/>
      <c r="O484" s="339"/>
      <c r="P484" s="339"/>
      <c r="Q484" s="339"/>
      <c r="R484" s="339"/>
      <c r="S484" s="339"/>
      <c r="T484" s="339"/>
      <c r="U484" s="339"/>
      <c r="V484" s="339"/>
      <c r="W484" s="339"/>
      <c r="X484" s="339"/>
      <c r="Y484" s="339"/>
      <c r="Z484" s="339"/>
      <c r="AA484" s="339"/>
      <c r="AB484" s="341"/>
      <c r="AC484" s="341"/>
      <c r="AD484" s="341"/>
      <c r="AE484" s="339"/>
      <c r="AF484" s="339"/>
      <c r="AG484" s="341"/>
      <c r="AH484" s="339"/>
      <c r="AI484" s="341"/>
      <c r="AJ484" s="339"/>
      <c r="AK484" s="341"/>
      <c r="AL484" s="341"/>
      <c r="AM484" s="339"/>
      <c r="AN484" s="339"/>
      <c r="AO484" s="339"/>
      <c r="AP484" s="339"/>
      <c r="AQ484" s="339"/>
      <c r="AR484" s="339"/>
      <c r="AS484" s="339"/>
    </row>
    <row r="485" spans="1:45" ht="15.75" customHeight="1">
      <c r="A485" s="339"/>
      <c r="B485" s="339"/>
      <c r="C485" s="341"/>
      <c r="D485" s="341"/>
      <c r="E485" s="341"/>
      <c r="F485" s="340"/>
      <c r="G485" s="339"/>
      <c r="H485" s="339"/>
      <c r="I485" s="339"/>
      <c r="J485" s="341"/>
      <c r="K485" s="340"/>
      <c r="L485" s="341"/>
      <c r="M485" s="340"/>
      <c r="N485" s="339"/>
      <c r="O485" s="339"/>
      <c r="P485" s="339"/>
      <c r="Q485" s="339"/>
      <c r="R485" s="339"/>
      <c r="S485" s="339"/>
      <c r="T485" s="339"/>
      <c r="U485" s="339"/>
      <c r="V485" s="339"/>
      <c r="W485" s="339"/>
      <c r="X485" s="339"/>
      <c r="Y485" s="339"/>
      <c r="Z485" s="339"/>
      <c r="AA485" s="339"/>
      <c r="AB485" s="341"/>
      <c r="AC485" s="341"/>
      <c r="AD485" s="341"/>
      <c r="AE485" s="339"/>
      <c r="AF485" s="339"/>
      <c r="AG485" s="341"/>
      <c r="AH485" s="339"/>
      <c r="AI485" s="341"/>
      <c r="AJ485" s="339"/>
      <c r="AK485" s="341"/>
      <c r="AL485" s="341"/>
      <c r="AM485" s="339"/>
      <c r="AN485" s="339"/>
      <c r="AO485" s="339"/>
      <c r="AP485" s="339"/>
      <c r="AQ485" s="339"/>
      <c r="AR485" s="339"/>
      <c r="AS485" s="339"/>
    </row>
    <row r="486" spans="1:45" ht="15.75" customHeight="1">
      <c r="A486" s="339"/>
      <c r="B486" s="339"/>
      <c r="C486" s="341"/>
      <c r="D486" s="341"/>
      <c r="E486" s="341"/>
      <c r="F486" s="340"/>
      <c r="G486" s="339"/>
      <c r="H486" s="339"/>
      <c r="I486" s="339"/>
      <c r="J486" s="341"/>
      <c r="K486" s="340"/>
      <c r="L486" s="341"/>
      <c r="M486" s="340"/>
      <c r="N486" s="339"/>
      <c r="O486" s="339"/>
      <c r="P486" s="339"/>
      <c r="Q486" s="339"/>
      <c r="R486" s="339"/>
      <c r="S486" s="339"/>
      <c r="T486" s="339"/>
      <c r="U486" s="339"/>
      <c r="V486" s="339"/>
      <c r="W486" s="339"/>
      <c r="X486" s="339"/>
      <c r="Y486" s="339"/>
      <c r="Z486" s="339"/>
      <c r="AA486" s="339"/>
      <c r="AB486" s="341"/>
      <c r="AC486" s="341"/>
      <c r="AD486" s="341"/>
      <c r="AE486" s="339"/>
      <c r="AF486" s="339"/>
      <c r="AG486" s="341"/>
      <c r="AH486" s="339"/>
      <c r="AI486" s="341"/>
      <c r="AJ486" s="339"/>
      <c r="AK486" s="341"/>
      <c r="AL486" s="341"/>
      <c r="AM486" s="339"/>
      <c r="AN486" s="339"/>
      <c r="AO486" s="339"/>
      <c r="AP486" s="339"/>
      <c r="AQ486" s="339"/>
      <c r="AR486" s="339"/>
      <c r="AS486" s="339"/>
    </row>
    <row r="487" spans="1:45" ht="15.75" customHeight="1">
      <c r="A487" s="339"/>
      <c r="B487" s="339"/>
      <c r="C487" s="341"/>
      <c r="D487" s="341"/>
      <c r="E487" s="341"/>
      <c r="F487" s="340"/>
      <c r="G487" s="339"/>
      <c r="H487" s="339"/>
      <c r="I487" s="339"/>
      <c r="J487" s="341"/>
      <c r="K487" s="340"/>
      <c r="L487" s="341"/>
      <c r="M487" s="340"/>
      <c r="N487" s="339"/>
      <c r="O487" s="339"/>
      <c r="P487" s="339"/>
      <c r="Q487" s="339"/>
      <c r="R487" s="339"/>
      <c r="S487" s="339"/>
      <c r="T487" s="339"/>
      <c r="U487" s="339"/>
      <c r="V487" s="339"/>
      <c r="W487" s="339"/>
      <c r="X487" s="339"/>
      <c r="Y487" s="339"/>
      <c r="Z487" s="339"/>
      <c r="AA487" s="339"/>
      <c r="AB487" s="341"/>
      <c r="AC487" s="341"/>
      <c r="AD487" s="341"/>
      <c r="AE487" s="339"/>
      <c r="AF487" s="339"/>
      <c r="AG487" s="341"/>
      <c r="AH487" s="339"/>
      <c r="AI487" s="341"/>
      <c r="AJ487" s="339"/>
      <c r="AK487" s="341"/>
      <c r="AL487" s="341"/>
      <c r="AM487" s="339"/>
      <c r="AN487" s="339"/>
      <c r="AO487" s="339"/>
      <c r="AP487" s="339"/>
      <c r="AQ487" s="339"/>
      <c r="AR487" s="339"/>
      <c r="AS487" s="339"/>
    </row>
    <row r="488" spans="1:45" ht="15.75" customHeight="1">
      <c r="A488" s="339"/>
      <c r="B488" s="339"/>
      <c r="C488" s="341"/>
      <c r="D488" s="341"/>
      <c r="E488" s="341"/>
      <c r="F488" s="340"/>
      <c r="G488" s="339"/>
      <c r="H488" s="339"/>
      <c r="I488" s="339"/>
      <c r="J488" s="341"/>
      <c r="K488" s="340"/>
      <c r="L488" s="341"/>
      <c r="M488" s="340"/>
      <c r="N488" s="339"/>
      <c r="O488" s="339"/>
      <c r="P488" s="339"/>
      <c r="Q488" s="339"/>
      <c r="R488" s="339"/>
      <c r="S488" s="339"/>
      <c r="T488" s="339"/>
      <c r="U488" s="339"/>
      <c r="V488" s="339"/>
      <c r="W488" s="339"/>
      <c r="X488" s="339"/>
      <c r="Y488" s="339"/>
      <c r="Z488" s="339"/>
      <c r="AA488" s="339"/>
      <c r="AB488" s="341"/>
      <c r="AC488" s="341"/>
      <c r="AD488" s="341"/>
      <c r="AE488" s="339"/>
      <c r="AF488" s="339"/>
      <c r="AG488" s="341"/>
      <c r="AH488" s="339"/>
      <c r="AI488" s="341"/>
      <c r="AJ488" s="339"/>
      <c r="AK488" s="341"/>
      <c r="AL488" s="341"/>
      <c r="AM488" s="339"/>
      <c r="AN488" s="339"/>
      <c r="AO488" s="339"/>
      <c r="AP488" s="339"/>
      <c r="AQ488" s="339"/>
      <c r="AR488" s="339"/>
      <c r="AS488" s="339"/>
    </row>
    <row r="489" spans="1:45" ht="15.75" customHeight="1">
      <c r="A489" s="339"/>
      <c r="B489" s="339"/>
      <c r="C489" s="341"/>
      <c r="D489" s="341"/>
      <c r="E489" s="341"/>
      <c r="F489" s="340"/>
      <c r="G489" s="339"/>
      <c r="H489" s="339"/>
      <c r="I489" s="339"/>
      <c r="J489" s="341"/>
      <c r="K489" s="340"/>
      <c r="L489" s="341"/>
      <c r="M489" s="340"/>
      <c r="N489" s="339"/>
      <c r="O489" s="339"/>
      <c r="P489" s="339"/>
      <c r="Q489" s="339"/>
      <c r="R489" s="339"/>
      <c r="S489" s="339"/>
      <c r="T489" s="339"/>
      <c r="U489" s="339"/>
      <c r="V489" s="339"/>
      <c r="W489" s="339"/>
      <c r="X489" s="339"/>
      <c r="Y489" s="339"/>
      <c r="Z489" s="339"/>
      <c r="AA489" s="339"/>
      <c r="AB489" s="341"/>
      <c r="AC489" s="341"/>
      <c r="AD489" s="341"/>
      <c r="AE489" s="339"/>
      <c r="AF489" s="339"/>
      <c r="AG489" s="341"/>
      <c r="AH489" s="339"/>
      <c r="AI489" s="341"/>
      <c r="AJ489" s="339"/>
      <c r="AK489" s="341"/>
      <c r="AL489" s="341"/>
      <c r="AM489" s="339"/>
      <c r="AN489" s="339"/>
      <c r="AO489" s="339"/>
      <c r="AP489" s="339"/>
      <c r="AQ489" s="339"/>
      <c r="AR489" s="339"/>
      <c r="AS489" s="339"/>
    </row>
    <row r="490" spans="1:45" ht="15.75" customHeight="1">
      <c r="A490" s="339"/>
      <c r="B490" s="339"/>
      <c r="C490" s="341"/>
      <c r="D490" s="341"/>
      <c r="E490" s="341"/>
      <c r="F490" s="340"/>
      <c r="G490" s="339"/>
      <c r="H490" s="339"/>
      <c r="I490" s="339"/>
      <c r="J490" s="341"/>
      <c r="K490" s="340"/>
      <c r="L490" s="341"/>
      <c r="M490" s="340"/>
      <c r="N490" s="339"/>
      <c r="O490" s="339"/>
      <c r="P490" s="339"/>
      <c r="Q490" s="339"/>
      <c r="R490" s="339"/>
      <c r="S490" s="339"/>
      <c r="T490" s="339"/>
      <c r="U490" s="339"/>
      <c r="V490" s="339"/>
      <c r="W490" s="339"/>
      <c r="X490" s="339"/>
      <c r="Y490" s="339"/>
      <c r="Z490" s="339"/>
      <c r="AA490" s="339"/>
      <c r="AB490" s="341"/>
      <c r="AC490" s="341"/>
      <c r="AD490" s="341"/>
      <c r="AE490" s="339"/>
      <c r="AF490" s="339"/>
      <c r="AG490" s="341"/>
      <c r="AH490" s="339"/>
      <c r="AI490" s="341"/>
      <c r="AJ490" s="339"/>
      <c r="AK490" s="341"/>
      <c r="AL490" s="341"/>
      <c r="AM490" s="339"/>
      <c r="AN490" s="339"/>
      <c r="AO490" s="339"/>
      <c r="AP490" s="339"/>
      <c r="AQ490" s="339"/>
      <c r="AR490" s="339"/>
      <c r="AS490" s="339"/>
    </row>
    <row r="491" spans="1:45" ht="15.75" customHeight="1">
      <c r="A491" s="339"/>
      <c r="B491" s="339"/>
      <c r="C491" s="341"/>
      <c r="D491" s="341"/>
      <c r="E491" s="341"/>
      <c r="F491" s="340"/>
      <c r="G491" s="339"/>
      <c r="H491" s="339"/>
      <c r="I491" s="339"/>
      <c r="J491" s="341"/>
      <c r="K491" s="340"/>
      <c r="L491" s="341"/>
      <c r="M491" s="340"/>
      <c r="N491" s="339"/>
      <c r="O491" s="339"/>
      <c r="P491" s="339"/>
      <c r="Q491" s="339"/>
      <c r="R491" s="339"/>
      <c r="S491" s="339"/>
      <c r="T491" s="339"/>
      <c r="U491" s="339"/>
      <c r="V491" s="339"/>
      <c r="W491" s="339"/>
      <c r="X491" s="339"/>
      <c r="Y491" s="339"/>
      <c r="Z491" s="339"/>
      <c r="AA491" s="339"/>
      <c r="AB491" s="341"/>
      <c r="AC491" s="341"/>
      <c r="AD491" s="341"/>
      <c r="AE491" s="339"/>
      <c r="AF491" s="339"/>
      <c r="AG491" s="341"/>
      <c r="AH491" s="339"/>
      <c r="AI491" s="341"/>
      <c r="AJ491" s="339"/>
      <c r="AK491" s="341"/>
      <c r="AL491" s="341"/>
      <c r="AM491" s="339"/>
      <c r="AN491" s="339"/>
      <c r="AO491" s="339"/>
      <c r="AP491" s="339"/>
      <c r="AQ491" s="339"/>
      <c r="AR491" s="339"/>
      <c r="AS491" s="339"/>
    </row>
    <row r="492" spans="1:45" ht="15.75" customHeight="1">
      <c r="A492" s="339"/>
      <c r="B492" s="339"/>
      <c r="C492" s="341"/>
      <c r="D492" s="341"/>
      <c r="E492" s="341"/>
      <c r="F492" s="340"/>
      <c r="G492" s="339"/>
      <c r="H492" s="339"/>
      <c r="I492" s="339"/>
      <c r="J492" s="341"/>
      <c r="K492" s="340"/>
      <c r="L492" s="341"/>
      <c r="M492" s="340"/>
      <c r="N492" s="339"/>
      <c r="O492" s="339"/>
      <c r="P492" s="339"/>
      <c r="Q492" s="339"/>
      <c r="R492" s="339"/>
      <c r="S492" s="339"/>
      <c r="T492" s="339"/>
      <c r="U492" s="339"/>
      <c r="V492" s="339"/>
      <c r="W492" s="339"/>
      <c r="X492" s="339"/>
      <c r="Y492" s="339"/>
      <c r="Z492" s="339"/>
      <c r="AA492" s="339"/>
      <c r="AB492" s="341"/>
      <c r="AC492" s="341"/>
      <c r="AD492" s="341"/>
      <c r="AE492" s="339"/>
      <c r="AF492" s="339"/>
      <c r="AG492" s="341"/>
      <c r="AH492" s="339"/>
      <c r="AI492" s="341"/>
      <c r="AJ492" s="339"/>
      <c r="AK492" s="341"/>
      <c r="AL492" s="341"/>
      <c r="AM492" s="339"/>
      <c r="AN492" s="339"/>
      <c r="AO492" s="339"/>
      <c r="AP492" s="339"/>
      <c r="AQ492" s="339"/>
      <c r="AR492" s="339"/>
      <c r="AS492" s="339"/>
    </row>
    <row r="493" spans="1:45" ht="15.75" customHeight="1">
      <c r="A493" s="339"/>
      <c r="B493" s="339"/>
      <c r="C493" s="341"/>
      <c r="D493" s="341"/>
      <c r="E493" s="341"/>
      <c r="F493" s="340"/>
      <c r="G493" s="339"/>
      <c r="H493" s="339"/>
      <c r="I493" s="339"/>
      <c r="J493" s="341"/>
      <c r="K493" s="340"/>
      <c r="L493" s="341"/>
      <c r="M493" s="340"/>
      <c r="N493" s="339"/>
      <c r="O493" s="339"/>
      <c r="P493" s="339"/>
      <c r="Q493" s="339"/>
      <c r="R493" s="339"/>
      <c r="S493" s="339"/>
      <c r="T493" s="339"/>
      <c r="U493" s="339"/>
      <c r="V493" s="339"/>
      <c r="W493" s="339"/>
      <c r="X493" s="339"/>
      <c r="Y493" s="339"/>
      <c r="Z493" s="339"/>
      <c r="AA493" s="339"/>
      <c r="AB493" s="341"/>
      <c r="AC493" s="341"/>
      <c r="AD493" s="341"/>
      <c r="AE493" s="339"/>
      <c r="AF493" s="339"/>
      <c r="AG493" s="341"/>
      <c r="AH493" s="339"/>
      <c r="AI493" s="341"/>
      <c r="AJ493" s="339"/>
      <c r="AK493" s="341"/>
      <c r="AL493" s="341"/>
      <c r="AM493" s="339"/>
      <c r="AN493" s="339"/>
      <c r="AO493" s="339"/>
      <c r="AP493" s="339"/>
      <c r="AQ493" s="339"/>
      <c r="AR493" s="339"/>
      <c r="AS493" s="339"/>
    </row>
    <row r="494" spans="1:45" ht="15.75" customHeight="1">
      <c r="A494" s="339"/>
      <c r="B494" s="339"/>
      <c r="C494" s="341"/>
      <c r="D494" s="341"/>
      <c r="E494" s="341"/>
      <c r="F494" s="340"/>
      <c r="G494" s="339"/>
      <c r="H494" s="339"/>
      <c r="I494" s="339"/>
      <c r="J494" s="341"/>
      <c r="K494" s="340"/>
      <c r="L494" s="341"/>
      <c r="M494" s="340"/>
      <c r="N494" s="339"/>
      <c r="O494" s="339"/>
      <c r="P494" s="339"/>
      <c r="Q494" s="339"/>
      <c r="R494" s="339"/>
      <c r="S494" s="339"/>
      <c r="T494" s="339"/>
      <c r="U494" s="339"/>
      <c r="V494" s="339"/>
      <c r="W494" s="339"/>
      <c r="X494" s="339"/>
      <c r="Y494" s="339"/>
      <c r="Z494" s="339"/>
      <c r="AA494" s="339"/>
      <c r="AB494" s="341"/>
      <c r="AC494" s="341"/>
      <c r="AD494" s="341"/>
      <c r="AE494" s="339"/>
      <c r="AF494" s="339"/>
      <c r="AG494" s="341"/>
      <c r="AH494" s="339"/>
      <c r="AI494" s="341"/>
      <c r="AJ494" s="339"/>
      <c r="AK494" s="341"/>
      <c r="AL494" s="341"/>
      <c r="AM494" s="339"/>
      <c r="AN494" s="339"/>
      <c r="AO494" s="339"/>
      <c r="AP494" s="339"/>
      <c r="AQ494" s="339"/>
      <c r="AR494" s="339"/>
      <c r="AS494" s="339"/>
    </row>
    <row r="495" spans="1:45" ht="15.75" customHeight="1">
      <c r="A495" s="339"/>
      <c r="B495" s="339"/>
      <c r="C495" s="341"/>
      <c r="D495" s="341"/>
      <c r="E495" s="341"/>
      <c r="F495" s="340"/>
      <c r="G495" s="339"/>
      <c r="H495" s="339"/>
      <c r="I495" s="339"/>
      <c r="J495" s="341"/>
      <c r="K495" s="340"/>
      <c r="L495" s="341"/>
      <c r="M495" s="340"/>
      <c r="N495" s="339"/>
      <c r="O495" s="339"/>
      <c r="P495" s="339"/>
      <c r="Q495" s="339"/>
      <c r="R495" s="339"/>
      <c r="S495" s="339"/>
      <c r="T495" s="339"/>
      <c r="U495" s="339"/>
      <c r="V495" s="339"/>
      <c r="W495" s="339"/>
      <c r="X495" s="339"/>
      <c r="Y495" s="339"/>
      <c r="Z495" s="339"/>
      <c r="AA495" s="339"/>
      <c r="AB495" s="341"/>
      <c r="AC495" s="341"/>
      <c r="AD495" s="341"/>
      <c r="AE495" s="339"/>
      <c r="AF495" s="339"/>
      <c r="AG495" s="341"/>
      <c r="AH495" s="339"/>
      <c r="AI495" s="341"/>
      <c r="AJ495" s="339"/>
      <c r="AK495" s="341"/>
      <c r="AL495" s="341"/>
      <c r="AM495" s="339"/>
      <c r="AN495" s="339"/>
      <c r="AO495" s="339"/>
      <c r="AP495" s="339"/>
      <c r="AQ495" s="339"/>
      <c r="AR495" s="339"/>
      <c r="AS495" s="339"/>
    </row>
    <row r="496" spans="1:45" ht="15.75" customHeight="1">
      <c r="A496" s="339"/>
      <c r="B496" s="339"/>
      <c r="C496" s="341"/>
      <c r="D496" s="341"/>
      <c r="E496" s="341"/>
      <c r="F496" s="340"/>
      <c r="G496" s="339"/>
      <c r="H496" s="339"/>
      <c r="I496" s="339"/>
      <c r="J496" s="341"/>
      <c r="K496" s="340"/>
      <c r="L496" s="341"/>
      <c r="M496" s="340"/>
      <c r="N496" s="339"/>
      <c r="O496" s="339"/>
      <c r="P496" s="339"/>
      <c r="Q496" s="339"/>
      <c r="R496" s="339"/>
      <c r="S496" s="339"/>
      <c r="T496" s="339"/>
      <c r="U496" s="339"/>
      <c r="V496" s="339"/>
      <c r="W496" s="339"/>
      <c r="X496" s="339"/>
      <c r="Y496" s="339"/>
      <c r="Z496" s="339"/>
      <c r="AA496" s="339"/>
      <c r="AB496" s="341"/>
      <c r="AC496" s="341"/>
      <c r="AD496" s="341"/>
      <c r="AE496" s="339"/>
      <c r="AF496" s="339"/>
      <c r="AG496" s="341"/>
      <c r="AH496" s="339"/>
      <c r="AI496" s="341"/>
      <c r="AJ496" s="339"/>
      <c r="AK496" s="341"/>
      <c r="AL496" s="341"/>
      <c r="AM496" s="339"/>
      <c r="AN496" s="339"/>
      <c r="AO496" s="339"/>
      <c r="AP496" s="339"/>
      <c r="AQ496" s="339"/>
      <c r="AR496" s="339"/>
      <c r="AS496" s="339"/>
    </row>
    <row r="497" spans="1:45" ht="15.75" customHeight="1">
      <c r="A497" s="339"/>
      <c r="B497" s="339"/>
      <c r="C497" s="341"/>
      <c r="D497" s="341"/>
      <c r="E497" s="341"/>
      <c r="F497" s="340"/>
      <c r="G497" s="339"/>
      <c r="H497" s="339"/>
      <c r="I497" s="339"/>
      <c r="J497" s="341"/>
      <c r="K497" s="340"/>
      <c r="L497" s="341"/>
      <c r="M497" s="340"/>
      <c r="N497" s="339"/>
      <c r="O497" s="339"/>
      <c r="P497" s="339"/>
      <c r="Q497" s="339"/>
      <c r="R497" s="339"/>
      <c r="S497" s="339"/>
      <c r="T497" s="339"/>
      <c r="U497" s="339"/>
      <c r="V497" s="339"/>
      <c r="W497" s="339"/>
      <c r="X497" s="339"/>
      <c r="Y497" s="339"/>
      <c r="Z497" s="339"/>
      <c r="AA497" s="339"/>
      <c r="AB497" s="341"/>
      <c r="AC497" s="341"/>
      <c r="AD497" s="341"/>
      <c r="AE497" s="339"/>
      <c r="AF497" s="339"/>
      <c r="AG497" s="341"/>
      <c r="AH497" s="339"/>
      <c r="AI497" s="341"/>
      <c r="AJ497" s="339"/>
      <c r="AK497" s="341"/>
      <c r="AL497" s="341"/>
      <c r="AM497" s="339"/>
      <c r="AN497" s="339"/>
      <c r="AO497" s="339"/>
      <c r="AP497" s="339"/>
      <c r="AQ497" s="339"/>
      <c r="AR497" s="339"/>
      <c r="AS497" s="339"/>
    </row>
    <row r="498" spans="1:45" ht="15.75" customHeight="1">
      <c r="A498" s="339"/>
      <c r="B498" s="339"/>
      <c r="C498" s="341"/>
      <c r="D498" s="341"/>
      <c r="E498" s="341"/>
      <c r="F498" s="340"/>
      <c r="G498" s="339"/>
      <c r="H498" s="339"/>
      <c r="I498" s="339"/>
      <c r="J498" s="341"/>
      <c r="K498" s="340"/>
      <c r="L498" s="341"/>
      <c r="M498" s="340"/>
      <c r="N498" s="339"/>
      <c r="O498" s="339"/>
      <c r="P498" s="339"/>
      <c r="Q498" s="339"/>
      <c r="R498" s="339"/>
      <c r="S498" s="339"/>
      <c r="T498" s="339"/>
      <c r="U498" s="339"/>
      <c r="V498" s="339"/>
      <c r="W498" s="339"/>
      <c r="X498" s="339"/>
      <c r="Y498" s="339"/>
      <c r="Z498" s="339"/>
      <c r="AA498" s="339"/>
      <c r="AB498" s="341"/>
      <c r="AC498" s="341"/>
      <c r="AD498" s="341"/>
      <c r="AE498" s="339"/>
      <c r="AF498" s="339"/>
      <c r="AG498" s="341"/>
      <c r="AH498" s="339"/>
      <c r="AI498" s="341"/>
      <c r="AJ498" s="339"/>
      <c r="AK498" s="341"/>
      <c r="AL498" s="341"/>
      <c r="AM498" s="339"/>
      <c r="AN498" s="339"/>
      <c r="AO498" s="339"/>
      <c r="AP498" s="339"/>
      <c r="AQ498" s="339"/>
      <c r="AR498" s="339"/>
      <c r="AS498" s="339"/>
    </row>
    <row r="499" spans="1:45" ht="15.75" customHeight="1">
      <c r="A499" s="339"/>
      <c r="B499" s="339"/>
      <c r="C499" s="341"/>
      <c r="D499" s="341"/>
      <c r="E499" s="341"/>
      <c r="F499" s="340"/>
      <c r="G499" s="339"/>
      <c r="H499" s="339"/>
      <c r="I499" s="339"/>
      <c r="J499" s="341"/>
      <c r="K499" s="340"/>
      <c r="L499" s="341"/>
      <c r="M499" s="340"/>
      <c r="N499" s="339"/>
      <c r="O499" s="339"/>
      <c r="P499" s="339"/>
      <c r="Q499" s="339"/>
      <c r="R499" s="339"/>
      <c r="S499" s="339"/>
      <c r="T499" s="339"/>
      <c r="U499" s="339"/>
      <c r="V499" s="339"/>
      <c r="W499" s="339"/>
      <c r="X499" s="339"/>
      <c r="Y499" s="339"/>
      <c r="Z499" s="339"/>
      <c r="AA499" s="339"/>
      <c r="AB499" s="341"/>
      <c r="AC499" s="341"/>
      <c r="AD499" s="341"/>
      <c r="AE499" s="339"/>
      <c r="AF499" s="339"/>
      <c r="AG499" s="341"/>
      <c r="AH499" s="339"/>
      <c r="AI499" s="341"/>
      <c r="AJ499" s="339"/>
      <c r="AK499" s="341"/>
      <c r="AL499" s="341"/>
      <c r="AM499" s="339"/>
      <c r="AN499" s="339"/>
      <c r="AO499" s="339"/>
      <c r="AP499" s="339"/>
      <c r="AQ499" s="339"/>
      <c r="AR499" s="339"/>
      <c r="AS499" s="339"/>
    </row>
    <row r="500" spans="1:45" ht="15.75" customHeight="1">
      <c r="A500" s="339"/>
      <c r="B500" s="339"/>
      <c r="C500" s="341"/>
      <c r="D500" s="341"/>
      <c r="E500" s="341"/>
      <c r="F500" s="340"/>
      <c r="G500" s="339"/>
      <c r="H500" s="339"/>
      <c r="I500" s="339"/>
      <c r="J500" s="341"/>
      <c r="K500" s="340"/>
      <c r="L500" s="341"/>
      <c r="M500" s="340"/>
      <c r="N500" s="339"/>
      <c r="O500" s="339"/>
      <c r="P500" s="339"/>
      <c r="Q500" s="339"/>
      <c r="R500" s="339"/>
      <c r="S500" s="339"/>
      <c r="T500" s="339"/>
      <c r="U500" s="339"/>
      <c r="V500" s="339"/>
      <c r="W500" s="339"/>
      <c r="X500" s="339"/>
      <c r="Y500" s="339"/>
      <c r="Z500" s="339"/>
      <c r="AA500" s="339"/>
      <c r="AB500" s="341"/>
      <c r="AC500" s="341"/>
      <c r="AD500" s="341"/>
      <c r="AE500" s="339"/>
      <c r="AF500" s="339"/>
      <c r="AG500" s="341"/>
      <c r="AH500" s="339"/>
      <c r="AI500" s="341"/>
      <c r="AJ500" s="339"/>
      <c r="AK500" s="341"/>
      <c r="AL500" s="341"/>
      <c r="AM500" s="339"/>
      <c r="AN500" s="339"/>
      <c r="AO500" s="339"/>
      <c r="AP500" s="339"/>
      <c r="AQ500" s="339"/>
      <c r="AR500" s="339"/>
      <c r="AS500" s="339"/>
    </row>
    <row r="501" spans="1:45" ht="15.75" customHeight="1">
      <c r="A501" s="339"/>
      <c r="B501" s="339"/>
      <c r="C501" s="341"/>
      <c r="D501" s="341"/>
      <c r="E501" s="341"/>
      <c r="F501" s="340"/>
      <c r="G501" s="339"/>
      <c r="H501" s="339"/>
      <c r="I501" s="339"/>
      <c r="J501" s="341"/>
      <c r="K501" s="340"/>
      <c r="L501" s="341"/>
      <c r="M501" s="340"/>
      <c r="N501" s="339"/>
      <c r="O501" s="339"/>
      <c r="P501" s="339"/>
      <c r="Q501" s="339"/>
      <c r="R501" s="339"/>
      <c r="S501" s="339"/>
      <c r="T501" s="339"/>
      <c r="U501" s="339"/>
      <c r="V501" s="339"/>
      <c r="W501" s="339"/>
      <c r="X501" s="339"/>
      <c r="Y501" s="339"/>
      <c r="Z501" s="339"/>
      <c r="AA501" s="339"/>
      <c r="AB501" s="341"/>
      <c r="AC501" s="341"/>
      <c r="AD501" s="341"/>
      <c r="AE501" s="339"/>
      <c r="AF501" s="339"/>
      <c r="AG501" s="341"/>
      <c r="AH501" s="339"/>
      <c r="AI501" s="341"/>
      <c r="AJ501" s="339"/>
      <c r="AK501" s="341"/>
      <c r="AL501" s="341"/>
      <c r="AM501" s="339"/>
      <c r="AN501" s="339"/>
      <c r="AO501" s="339"/>
      <c r="AP501" s="339"/>
      <c r="AQ501" s="339"/>
      <c r="AR501" s="339"/>
      <c r="AS501" s="339"/>
    </row>
    <row r="502" spans="1:45" ht="15.75" customHeight="1">
      <c r="A502" s="339"/>
      <c r="B502" s="339"/>
      <c r="C502" s="341"/>
      <c r="D502" s="341"/>
      <c r="E502" s="341"/>
      <c r="F502" s="340"/>
      <c r="G502" s="339"/>
      <c r="H502" s="339"/>
      <c r="I502" s="339"/>
      <c r="J502" s="341"/>
      <c r="K502" s="340"/>
      <c r="L502" s="341"/>
      <c r="M502" s="340"/>
      <c r="N502" s="339"/>
      <c r="O502" s="339"/>
      <c r="P502" s="339"/>
      <c r="Q502" s="339"/>
      <c r="R502" s="339"/>
      <c r="S502" s="339"/>
      <c r="T502" s="339"/>
      <c r="U502" s="339"/>
      <c r="V502" s="339"/>
      <c r="W502" s="339"/>
      <c r="X502" s="339"/>
      <c r="Y502" s="339"/>
      <c r="Z502" s="339"/>
      <c r="AA502" s="339"/>
      <c r="AB502" s="341"/>
      <c r="AC502" s="341"/>
      <c r="AD502" s="341"/>
      <c r="AE502" s="339"/>
      <c r="AF502" s="339"/>
      <c r="AG502" s="341"/>
      <c r="AH502" s="339"/>
      <c r="AI502" s="341"/>
      <c r="AJ502" s="339"/>
      <c r="AK502" s="341"/>
      <c r="AL502" s="341"/>
      <c r="AM502" s="339"/>
      <c r="AN502" s="339"/>
      <c r="AO502" s="339"/>
      <c r="AP502" s="339"/>
      <c r="AQ502" s="339"/>
      <c r="AR502" s="339"/>
      <c r="AS502" s="339"/>
    </row>
    <row r="503" spans="1:45" ht="15.75" customHeight="1">
      <c r="A503" s="339"/>
      <c r="B503" s="339"/>
      <c r="C503" s="341"/>
      <c r="D503" s="341"/>
      <c r="E503" s="341"/>
      <c r="F503" s="340"/>
      <c r="G503" s="339"/>
      <c r="H503" s="339"/>
      <c r="I503" s="339"/>
      <c r="J503" s="341"/>
      <c r="K503" s="340"/>
      <c r="L503" s="341"/>
      <c r="M503" s="340"/>
      <c r="N503" s="339"/>
      <c r="O503" s="339"/>
      <c r="P503" s="339"/>
      <c r="Q503" s="339"/>
      <c r="R503" s="339"/>
      <c r="S503" s="339"/>
      <c r="T503" s="339"/>
      <c r="U503" s="339"/>
      <c r="V503" s="339"/>
      <c r="W503" s="339"/>
      <c r="X503" s="339"/>
      <c r="Y503" s="339"/>
      <c r="Z503" s="339"/>
      <c r="AA503" s="339"/>
      <c r="AB503" s="341"/>
      <c r="AC503" s="341"/>
      <c r="AD503" s="341"/>
      <c r="AE503" s="339"/>
      <c r="AF503" s="339"/>
      <c r="AG503" s="341"/>
      <c r="AH503" s="339"/>
      <c r="AI503" s="341"/>
      <c r="AJ503" s="339"/>
      <c r="AK503" s="341"/>
      <c r="AL503" s="341"/>
      <c r="AM503" s="339"/>
      <c r="AN503" s="339"/>
      <c r="AO503" s="339"/>
      <c r="AP503" s="339"/>
      <c r="AQ503" s="339"/>
      <c r="AR503" s="339"/>
      <c r="AS503" s="339"/>
    </row>
    <row r="504" spans="1:45" ht="15.75" customHeight="1">
      <c r="A504" s="339"/>
      <c r="B504" s="339"/>
      <c r="C504" s="341"/>
      <c r="D504" s="341"/>
      <c r="E504" s="341"/>
      <c r="F504" s="340"/>
      <c r="G504" s="339"/>
      <c r="H504" s="339"/>
      <c r="I504" s="339"/>
      <c r="J504" s="341"/>
      <c r="K504" s="340"/>
      <c r="L504" s="341"/>
      <c r="M504" s="340"/>
      <c r="N504" s="339"/>
      <c r="O504" s="339"/>
      <c r="P504" s="339"/>
      <c r="Q504" s="339"/>
      <c r="R504" s="339"/>
      <c r="S504" s="339"/>
      <c r="T504" s="339"/>
      <c r="U504" s="339"/>
      <c r="V504" s="339"/>
      <c r="W504" s="339"/>
      <c r="X504" s="339"/>
      <c r="Y504" s="339"/>
      <c r="Z504" s="339"/>
      <c r="AA504" s="339"/>
      <c r="AB504" s="341"/>
      <c r="AC504" s="341"/>
      <c r="AD504" s="341"/>
      <c r="AE504" s="339"/>
      <c r="AF504" s="339"/>
      <c r="AG504" s="341"/>
      <c r="AH504" s="339"/>
      <c r="AI504" s="341"/>
      <c r="AJ504" s="339"/>
      <c r="AK504" s="341"/>
      <c r="AL504" s="341"/>
      <c r="AM504" s="339"/>
      <c r="AN504" s="339"/>
      <c r="AO504" s="339"/>
      <c r="AP504" s="339"/>
      <c r="AQ504" s="339"/>
      <c r="AR504" s="339"/>
      <c r="AS504" s="339"/>
    </row>
    <row r="505" spans="1:45" ht="15.75" customHeight="1">
      <c r="A505" s="339"/>
      <c r="B505" s="339"/>
      <c r="C505" s="341"/>
      <c r="D505" s="341"/>
      <c r="E505" s="341"/>
      <c r="F505" s="340"/>
      <c r="G505" s="339"/>
      <c r="H505" s="339"/>
      <c r="I505" s="339"/>
      <c r="J505" s="341"/>
      <c r="K505" s="340"/>
      <c r="L505" s="341"/>
      <c r="M505" s="340"/>
      <c r="N505" s="339"/>
      <c r="O505" s="339"/>
      <c r="P505" s="339"/>
      <c r="Q505" s="339"/>
      <c r="R505" s="339"/>
      <c r="S505" s="339"/>
      <c r="T505" s="339"/>
      <c r="U505" s="339"/>
      <c r="V505" s="339"/>
      <c r="W505" s="339"/>
      <c r="X505" s="339"/>
      <c r="Y505" s="339"/>
      <c r="Z505" s="339"/>
      <c r="AA505" s="339"/>
      <c r="AB505" s="341"/>
      <c r="AC505" s="341"/>
      <c r="AD505" s="341"/>
      <c r="AE505" s="339"/>
      <c r="AF505" s="339"/>
      <c r="AG505" s="341"/>
      <c r="AH505" s="339"/>
      <c r="AI505" s="341"/>
      <c r="AJ505" s="339"/>
      <c r="AK505" s="341"/>
      <c r="AL505" s="341"/>
      <c r="AM505" s="339"/>
      <c r="AN505" s="339"/>
      <c r="AO505" s="339"/>
      <c r="AP505" s="339"/>
      <c r="AQ505" s="339"/>
      <c r="AR505" s="339"/>
      <c r="AS505" s="339"/>
    </row>
    <row r="506" spans="1:45" ht="15.75" customHeight="1">
      <c r="A506" s="339"/>
      <c r="B506" s="339"/>
      <c r="C506" s="341"/>
      <c r="D506" s="341"/>
      <c r="E506" s="341"/>
      <c r="F506" s="340"/>
      <c r="G506" s="339"/>
      <c r="H506" s="339"/>
      <c r="I506" s="339"/>
      <c r="J506" s="341"/>
      <c r="K506" s="340"/>
      <c r="L506" s="341"/>
      <c r="M506" s="340"/>
      <c r="N506" s="339"/>
      <c r="O506" s="339"/>
      <c r="P506" s="339"/>
      <c r="Q506" s="339"/>
      <c r="R506" s="339"/>
      <c r="S506" s="339"/>
      <c r="T506" s="339"/>
      <c r="U506" s="339"/>
      <c r="V506" s="339"/>
      <c r="W506" s="339"/>
      <c r="X506" s="339"/>
      <c r="Y506" s="339"/>
      <c r="Z506" s="339"/>
      <c r="AA506" s="339"/>
      <c r="AB506" s="341"/>
      <c r="AC506" s="341"/>
      <c r="AD506" s="341"/>
      <c r="AE506" s="339"/>
      <c r="AF506" s="339"/>
      <c r="AG506" s="341"/>
      <c r="AH506" s="339"/>
      <c r="AI506" s="341"/>
      <c r="AJ506" s="339"/>
      <c r="AK506" s="341"/>
      <c r="AL506" s="341"/>
      <c r="AM506" s="339"/>
      <c r="AN506" s="339"/>
      <c r="AO506" s="339"/>
      <c r="AP506" s="339"/>
      <c r="AQ506" s="339"/>
      <c r="AR506" s="339"/>
      <c r="AS506" s="339"/>
    </row>
    <row r="507" spans="1:45" ht="15.75" customHeight="1">
      <c r="A507" s="339"/>
      <c r="B507" s="339"/>
      <c r="C507" s="341"/>
      <c r="D507" s="341"/>
      <c r="E507" s="341"/>
      <c r="F507" s="340"/>
      <c r="G507" s="339"/>
      <c r="H507" s="339"/>
      <c r="I507" s="339"/>
      <c r="J507" s="341"/>
      <c r="K507" s="340"/>
      <c r="L507" s="341"/>
      <c r="M507" s="340"/>
      <c r="N507" s="339"/>
      <c r="O507" s="339"/>
      <c r="P507" s="339"/>
      <c r="Q507" s="339"/>
      <c r="R507" s="339"/>
      <c r="S507" s="339"/>
      <c r="T507" s="339"/>
      <c r="U507" s="339"/>
      <c r="V507" s="339"/>
      <c r="W507" s="339"/>
      <c r="X507" s="339"/>
      <c r="Y507" s="339"/>
      <c r="Z507" s="339"/>
      <c r="AA507" s="339"/>
      <c r="AB507" s="341"/>
      <c r="AC507" s="341"/>
      <c r="AD507" s="341"/>
      <c r="AE507" s="339"/>
      <c r="AF507" s="339"/>
      <c r="AG507" s="341"/>
      <c r="AH507" s="339"/>
      <c r="AI507" s="341"/>
      <c r="AJ507" s="339"/>
      <c r="AK507" s="341"/>
      <c r="AL507" s="341"/>
      <c r="AM507" s="339"/>
      <c r="AN507" s="339"/>
      <c r="AO507" s="339"/>
      <c r="AP507" s="339"/>
      <c r="AQ507" s="339"/>
      <c r="AR507" s="339"/>
      <c r="AS507" s="339"/>
    </row>
    <row r="508" spans="1:45" ht="15.75" customHeight="1">
      <c r="A508" s="339"/>
      <c r="B508" s="339"/>
      <c r="C508" s="341"/>
      <c r="D508" s="341"/>
      <c r="E508" s="341"/>
      <c r="F508" s="340"/>
      <c r="G508" s="339"/>
      <c r="H508" s="339"/>
      <c r="I508" s="339"/>
      <c r="J508" s="341"/>
      <c r="K508" s="340"/>
      <c r="L508" s="341"/>
      <c r="M508" s="340"/>
      <c r="N508" s="339"/>
      <c r="O508" s="339"/>
      <c r="P508" s="339"/>
      <c r="Q508" s="339"/>
      <c r="R508" s="339"/>
      <c r="S508" s="339"/>
      <c r="T508" s="339"/>
      <c r="U508" s="339"/>
      <c r="V508" s="339"/>
      <c r="W508" s="339"/>
      <c r="X508" s="339"/>
      <c r="Y508" s="339"/>
      <c r="Z508" s="339"/>
      <c r="AA508" s="339"/>
      <c r="AB508" s="341"/>
      <c r="AC508" s="341"/>
      <c r="AD508" s="341"/>
      <c r="AE508" s="339"/>
      <c r="AF508" s="339"/>
      <c r="AG508" s="341"/>
      <c r="AH508" s="339"/>
      <c r="AI508" s="341"/>
      <c r="AJ508" s="339"/>
      <c r="AK508" s="341"/>
      <c r="AL508" s="341"/>
      <c r="AM508" s="339"/>
      <c r="AN508" s="339"/>
      <c r="AO508" s="339"/>
      <c r="AP508" s="339"/>
      <c r="AQ508" s="339"/>
      <c r="AR508" s="339"/>
      <c r="AS508" s="339"/>
    </row>
    <row r="509" spans="1:45" ht="15.75" customHeight="1">
      <c r="A509" s="339"/>
      <c r="B509" s="339"/>
      <c r="C509" s="341"/>
      <c r="D509" s="341"/>
      <c r="E509" s="341"/>
      <c r="F509" s="340"/>
      <c r="G509" s="339"/>
      <c r="H509" s="339"/>
      <c r="I509" s="339"/>
      <c r="J509" s="341"/>
      <c r="K509" s="340"/>
      <c r="L509" s="341"/>
      <c r="M509" s="340"/>
      <c r="N509" s="339"/>
      <c r="O509" s="339"/>
      <c r="P509" s="339"/>
      <c r="Q509" s="339"/>
      <c r="R509" s="339"/>
      <c r="S509" s="339"/>
      <c r="T509" s="339"/>
      <c r="U509" s="339"/>
      <c r="V509" s="339"/>
      <c r="W509" s="339"/>
      <c r="X509" s="339"/>
      <c r="Y509" s="339"/>
      <c r="Z509" s="339"/>
      <c r="AA509" s="339"/>
      <c r="AB509" s="341"/>
      <c r="AC509" s="341"/>
      <c r="AD509" s="341"/>
      <c r="AE509" s="339"/>
      <c r="AF509" s="339"/>
      <c r="AG509" s="341"/>
      <c r="AH509" s="339"/>
      <c r="AI509" s="341"/>
      <c r="AJ509" s="339"/>
      <c r="AK509" s="341"/>
      <c r="AL509" s="341"/>
      <c r="AM509" s="339"/>
      <c r="AN509" s="339"/>
      <c r="AO509" s="339"/>
      <c r="AP509" s="339"/>
      <c r="AQ509" s="339"/>
      <c r="AR509" s="339"/>
      <c r="AS509" s="339"/>
    </row>
    <row r="510" spans="1:45" ht="15.75" customHeight="1">
      <c r="A510" s="339"/>
      <c r="B510" s="339"/>
      <c r="C510" s="341"/>
      <c r="D510" s="341"/>
      <c r="E510" s="341"/>
      <c r="F510" s="340"/>
      <c r="G510" s="339"/>
      <c r="H510" s="339"/>
      <c r="I510" s="339"/>
      <c r="J510" s="341"/>
      <c r="K510" s="340"/>
      <c r="L510" s="341"/>
      <c r="M510" s="340"/>
      <c r="N510" s="339"/>
      <c r="O510" s="339"/>
      <c r="P510" s="339"/>
      <c r="Q510" s="339"/>
      <c r="R510" s="339"/>
      <c r="S510" s="339"/>
      <c r="T510" s="339"/>
      <c r="U510" s="339"/>
      <c r="V510" s="339"/>
      <c r="W510" s="339"/>
      <c r="X510" s="339"/>
      <c r="Y510" s="339"/>
      <c r="Z510" s="339"/>
      <c r="AA510" s="339"/>
      <c r="AB510" s="341"/>
      <c r="AC510" s="341"/>
      <c r="AD510" s="341"/>
      <c r="AE510" s="339"/>
      <c r="AF510" s="339"/>
      <c r="AG510" s="341"/>
      <c r="AH510" s="339"/>
      <c r="AI510" s="341"/>
      <c r="AJ510" s="339"/>
      <c r="AK510" s="341"/>
      <c r="AL510" s="341"/>
      <c r="AM510" s="339"/>
      <c r="AN510" s="339"/>
      <c r="AO510" s="339"/>
      <c r="AP510" s="339"/>
      <c r="AQ510" s="339"/>
      <c r="AR510" s="339"/>
      <c r="AS510" s="339"/>
    </row>
    <row r="511" spans="1:45" ht="15.75" customHeight="1">
      <c r="A511" s="339"/>
      <c r="B511" s="339"/>
      <c r="C511" s="341"/>
      <c r="D511" s="341"/>
      <c r="E511" s="341"/>
      <c r="F511" s="340"/>
      <c r="G511" s="339"/>
      <c r="H511" s="339"/>
      <c r="I511" s="339"/>
      <c r="J511" s="341"/>
      <c r="K511" s="340"/>
      <c r="L511" s="341"/>
      <c r="M511" s="340"/>
      <c r="N511" s="339"/>
      <c r="O511" s="339"/>
      <c r="P511" s="339"/>
      <c r="Q511" s="339"/>
      <c r="R511" s="339"/>
      <c r="S511" s="339"/>
      <c r="T511" s="339"/>
      <c r="U511" s="339"/>
      <c r="V511" s="339"/>
      <c r="W511" s="339"/>
      <c r="X511" s="339"/>
      <c r="Y511" s="339"/>
      <c r="Z511" s="339"/>
      <c r="AA511" s="339"/>
      <c r="AB511" s="341"/>
      <c r="AC511" s="341"/>
      <c r="AD511" s="341"/>
      <c r="AE511" s="339"/>
      <c r="AF511" s="339"/>
      <c r="AG511" s="341"/>
      <c r="AH511" s="339"/>
      <c r="AI511" s="341"/>
      <c r="AJ511" s="339"/>
      <c r="AK511" s="341"/>
      <c r="AL511" s="341"/>
      <c r="AM511" s="339"/>
      <c r="AN511" s="339"/>
      <c r="AO511" s="339"/>
      <c r="AP511" s="339"/>
      <c r="AQ511" s="339"/>
      <c r="AR511" s="339"/>
      <c r="AS511" s="339"/>
    </row>
    <row r="512" spans="1:45" ht="15.75" customHeight="1">
      <c r="A512" s="339"/>
      <c r="B512" s="339"/>
      <c r="C512" s="341"/>
      <c r="D512" s="341"/>
      <c r="E512" s="341"/>
      <c r="F512" s="340"/>
      <c r="G512" s="339"/>
      <c r="H512" s="339"/>
      <c r="I512" s="339"/>
      <c r="J512" s="341"/>
      <c r="K512" s="340"/>
      <c r="L512" s="341"/>
      <c r="M512" s="340"/>
      <c r="N512" s="339"/>
      <c r="O512" s="339"/>
      <c r="P512" s="339"/>
      <c r="Q512" s="339"/>
      <c r="R512" s="339"/>
      <c r="S512" s="339"/>
      <c r="T512" s="339"/>
      <c r="U512" s="339"/>
      <c r="V512" s="339"/>
      <c r="W512" s="339"/>
      <c r="X512" s="339"/>
      <c r="Y512" s="339"/>
      <c r="Z512" s="339"/>
      <c r="AA512" s="339"/>
      <c r="AB512" s="341"/>
      <c r="AC512" s="341"/>
      <c r="AD512" s="341"/>
      <c r="AE512" s="339"/>
      <c r="AF512" s="339"/>
      <c r="AG512" s="341"/>
      <c r="AH512" s="339"/>
      <c r="AI512" s="341"/>
      <c r="AJ512" s="339"/>
      <c r="AK512" s="341"/>
      <c r="AL512" s="341"/>
      <c r="AM512" s="339"/>
      <c r="AN512" s="339"/>
      <c r="AO512" s="339"/>
      <c r="AP512" s="339"/>
      <c r="AQ512" s="339"/>
      <c r="AR512" s="339"/>
      <c r="AS512" s="339"/>
    </row>
    <row r="513" spans="1:45" ht="15.75" customHeight="1">
      <c r="A513" s="339"/>
      <c r="B513" s="339"/>
      <c r="C513" s="341"/>
      <c r="D513" s="341"/>
      <c r="E513" s="341"/>
      <c r="F513" s="340"/>
      <c r="G513" s="339"/>
      <c r="H513" s="339"/>
      <c r="I513" s="339"/>
      <c r="J513" s="341"/>
      <c r="K513" s="340"/>
      <c r="L513" s="341"/>
      <c r="M513" s="340"/>
      <c r="N513" s="339"/>
      <c r="O513" s="339"/>
      <c r="P513" s="339"/>
      <c r="Q513" s="339"/>
      <c r="R513" s="339"/>
      <c r="S513" s="339"/>
      <c r="T513" s="339"/>
      <c r="U513" s="339"/>
      <c r="V513" s="339"/>
      <c r="W513" s="339"/>
      <c r="X513" s="339"/>
      <c r="Y513" s="339"/>
      <c r="Z513" s="339"/>
      <c r="AA513" s="339"/>
      <c r="AB513" s="341"/>
      <c r="AC513" s="341"/>
      <c r="AD513" s="341"/>
      <c r="AE513" s="339"/>
      <c r="AF513" s="339"/>
      <c r="AG513" s="341"/>
      <c r="AH513" s="339"/>
      <c r="AI513" s="341"/>
      <c r="AJ513" s="339"/>
      <c r="AK513" s="341"/>
      <c r="AL513" s="341"/>
      <c r="AM513" s="339"/>
      <c r="AN513" s="339"/>
      <c r="AO513" s="339"/>
      <c r="AP513" s="339"/>
      <c r="AQ513" s="339"/>
      <c r="AR513" s="339"/>
      <c r="AS513" s="339"/>
    </row>
    <row r="514" spans="1:45" ht="15.75" customHeight="1">
      <c r="A514" s="339"/>
      <c r="B514" s="339"/>
      <c r="C514" s="341"/>
      <c r="D514" s="341"/>
      <c r="E514" s="341"/>
      <c r="F514" s="340"/>
      <c r="G514" s="339"/>
      <c r="H514" s="339"/>
      <c r="I514" s="339"/>
      <c r="J514" s="341"/>
      <c r="K514" s="340"/>
      <c r="L514" s="341"/>
      <c r="M514" s="340"/>
      <c r="N514" s="339"/>
      <c r="O514" s="339"/>
      <c r="P514" s="339"/>
      <c r="Q514" s="339"/>
      <c r="R514" s="339"/>
      <c r="S514" s="339"/>
      <c r="T514" s="339"/>
      <c r="U514" s="339"/>
      <c r="V514" s="339"/>
      <c r="W514" s="339"/>
      <c r="X514" s="339"/>
      <c r="Y514" s="339"/>
      <c r="Z514" s="339"/>
      <c r="AA514" s="339"/>
      <c r="AB514" s="341"/>
      <c r="AC514" s="341"/>
      <c r="AD514" s="341"/>
      <c r="AE514" s="339"/>
      <c r="AF514" s="339"/>
      <c r="AG514" s="341"/>
      <c r="AH514" s="339"/>
      <c r="AI514" s="341"/>
      <c r="AJ514" s="339"/>
      <c r="AK514" s="341"/>
      <c r="AL514" s="341"/>
      <c r="AM514" s="339"/>
      <c r="AN514" s="339"/>
      <c r="AO514" s="339"/>
      <c r="AP514" s="339"/>
      <c r="AQ514" s="339"/>
      <c r="AR514" s="339"/>
      <c r="AS514" s="339"/>
    </row>
    <row r="515" spans="1:45" ht="15.75" customHeight="1">
      <c r="A515" s="339"/>
      <c r="B515" s="339"/>
      <c r="C515" s="341"/>
      <c r="D515" s="341"/>
      <c r="E515" s="341"/>
      <c r="F515" s="340"/>
      <c r="G515" s="339"/>
      <c r="H515" s="339"/>
      <c r="I515" s="339"/>
      <c r="J515" s="341"/>
      <c r="K515" s="340"/>
      <c r="L515" s="341"/>
      <c r="M515" s="340"/>
      <c r="N515" s="339"/>
      <c r="O515" s="339"/>
      <c r="P515" s="339"/>
      <c r="Q515" s="339"/>
      <c r="R515" s="339"/>
      <c r="S515" s="339"/>
      <c r="T515" s="339"/>
      <c r="U515" s="339"/>
      <c r="V515" s="339"/>
      <c r="W515" s="339"/>
      <c r="X515" s="339"/>
      <c r="Y515" s="339"/>
      <c r="Z515" s="339"/>
      <c r="AA515" s="339"/>
      <c r="AB515" s="341"/>
      <c r="AC515" s="341"/>
      <c r="AD515" s="341"/>
      <c r="AE515" s="339"/>
      <c r="AF515" s="339"/>
      <c r="AG515" s="341"/>
      <c r="AH515" s="339"/>
      <c r="AI515" s="341"/>
      <c r="AJ515" s="339"/>
      <c r="AK515" s="341"/>
      <c r="AL515" s="341"/>
      <c r="AM515" s="339"/>
      <c r="AN515" s="339"/>
      <c r="AO515" s="339"/>
      <c r="AP515" s="339"/>
      <c r="AQ515" s="339"/>
      <c r="AR515" s="339"/>
      <c r="AS515" s="339"/>
    </row>
    <row r="516" spans="1:45" ht="15.75" customHeight="1">
      <c r="A516" s="339"/>
      <c r="B516" s="339"/>
      <c r="C516" s="341"/>
      <c r="D516" s="341"/>
      <c r="E516" s="341"/>
      <c r="F516" s="340"/>
      <c r="G516" s="339"/>
      <c r="H516" s="339"/>
      <c r="I516" s="339"/>
      <c r="J516" s="341"/>
      <c r="K516" s="340"/>
      <c r="L516" s="341"/>
      <c r="M516" s="340"/>
      <c r="N516" s="339"/>
      <c r="O516" s="339"/>
      <c r="P516" s="339"/>
      <c r="Q516" s="339"/>
      <c r="R516" s="339"/>
      <c r="S516" s="339"/>
      <c r="T516" s="339"/>
      <c r="U516" s="339"/>
      <c r="V516" s="339"/>
      <c r="W516" s="339"/>
      <c r="X516" s="339"/>
      <c r="Y516" s="339"/>
      <c r="Z516" s="339"/>
      <c r="AA516" s="339"/>
      <c r="AB516" s="341"/>
      <c r="AC516" s="341"/>
      <c r="AD516" s="341"/>
      <c r="AE516" s="339"/>
      <c r="AF516" s="339"/>
      <c r="AG516" s="341"/>
      <c r="AH516" s="339"/>
      <c r="AI516" s="341"/>
      <c r="AJ516" s="339"/>
      <c r="AK516" s="341"/>
      <c r="AL516" s="341"/>
      <c r="AM516" s="339"/>
      <c r="AN516" s="339"/>
      <c r="AO516" s="339"/>
      <c r="AP516" s="339"/>
      <c r="AQ516" s="339"/>
      <c r="AR516" s="339"/>
      <c r="AS516" s="339"/>
    </row>
    <row r="517" spans="1:45" ht="15.75" customHeight="1">
      <c r="A517" s="339"/>
      <c r="B517" s="339"/>
      <c r="C517" s="341"/>
      <c r="D517" s="341"/>
      <c r="E517" s="341"/>
      <c r="F517" s="340"/>
      <c r="G517" s="339"/>
      <c r="H517" s="339"/>
      <c r="I517" s="339"/>
      <c r="J517" s="341"/>
      <c r="K517" s="340"/>
      <c r="L517" s="341"/>
      <c r="M517" s="340"/>
      <c r="N517" s="339"/>
      <c r="O517" s="339"/>
      <c r="P517" s="339"/>
      <c r="Q517" s="339"/>
      <c r="R517" s="339"/>
      <c r="S517" s="339"/>
      <c r="T517" s="339"/>
      <c r="U517" s="339"/>
      <c r="V517" s="339"/>
      <c r="W517" s="339"/>
      <c r="X517" s="339"/>
      <c r="Y517" s="339"/>
      <c r="Z517" s="339"/>
      <c r="AA517" s="339"/>
      <c r="AB517" s="341"/>
      <c r="AC517" s="341"/>
      <c r="AD517" s="341"/>
      <c r="AE517" s="339"/>
      <c r="AF517" s="339"/>
      <c r="AG517" s="341"/>
      <c r="AH517" s="339"/>
      <c r="AI517" s="341"/>
      <c r="AJ517" s="339"/>
      <c r="AK517" s="341"/>
      <c r="AL517" s="341"/>
      <c r="AM517" s="339"/>
      <c r="AN517" s="339"/>
      <c r="AO517" s="339"/>
      <c r="AP517" s="339"/>
      <c r="AQ517" s="339"/>
      <c r="AR517" s="339"/>
      <c r="AS517" s="339"/>
    </row>
    <row r="518" spans="1:45" ht="15.75" customHeight="1">
      <c r="A518" s="339"/>
      <c r="B518" s="339"/>
      <c r="C518" s="341"/>
      <c r="D518" s="341"/>
      <c r="E518" s="341"/>
      <c r="F518" s="340"/>
      <c r="G518" s="339"/>
      <c r="H518" s="339"/>
      <c r="I518" s="339"/>
      <c r="J518" s="341"/>
      <c r="K518" s="340"/>
      <c r="L518" s="341"/>
      <c r="M518" s="340"/>
      <c r="N518" s="339"/>
      <c r="O518" s="339"/>
      <c r="P518" s="339"/>
      <c r="Q518" s="339"/>
      <c r="R518" s="339"/>
      <c r="S518" s="339"/>
      <c r="T518" s="339"/>
      <c r="U518" s="339"/>
      <c r="V518" s="339"/>
      <c r="W518" s="339"/>
      <c r="X518" s="339"/>
      <c r="Y518" s="339"/>
      <c r="Z518" s="339"/>
      <c r="AA518" s="339"/>
      <c r="AB518" s="341"/>
      <c r="AC518" s="341"/>
      <c r="AD518" s="341"/>
      <c r="AE518" s="339"/>
      <c r="AF518" s="339"/>
      <c r="AG518" s="341"/>
      <c r="AH518" s="339"/>
      <c r="AI518" s="341"/>
      <c r="AJ518" s="339"/>
      <c r="AK518" s="341"/>
      <c r="AL518" s="341"/>
      <c r="AM518" s="339"/>
      <c r="AN518" s="339"/>
      <c r="AO518" s="339"/>
      <c r="AP518" s="339"/>
      <c r="AQ518" s="339"/>
      <c r="AR518" s="339"/>
      <c r="AS518" s="339"/>
    </row>
    <row r="519" spans="1:45" ht="15.75" customHeight="1">
      <c r="A519" s="339"/>
      <c r="B519" s="339"/>
      <c r="C519" s="341"/>
      <c r="D519" s="341"/>
      <c r="E519" s="341"/>
      <c r="F519" s="340"/>
      <c r="G519" s="339"/>
      <c r="H519" s="339"/>
      <c r="I519" s="339"/>
      <c r="J519" s="341"/>
      <c r="K519" s="340"/>
      <c r="L519" s="341"/>
      <c r="M519" s="340"/>
      <c r="N519" s="339"/>
      <c r="O519" s="339"/>
      <c r="P519" s="339"/>
      <c r="Q519" s="339"/>
      <c r="R519" s="339"/>
      <c r="S519" s="339"/>
      <c r="T519" s="339"/>
      <c r="U519" s="339"/>
      <c r="V519" s="339"/>
      <c r="W519" s="339"/>
      <c r="X519" s="339"/>
      <c r="Y519" s="339"/>
      <c r="Z519" s="339"/>
      <c r="AA519" s="339"/>
      <c r="AB519" s="341"/>
      <c r="AC519" s="341"/>
      <c r="AD519" s="341"/>
      <c r="AE519" s="339"/>
      <c r="AF519" s="339"/>
      <c r="AG519" s="341"/>
      <c r="AH519" s="339"/>
      <c r="AI519" s="341"/>
      <c r="AJ519" s="339"/>
      <c r="AK519" s="341"/>
      <c r="AL519" s="341"/>
      <c r="AM519" s="339"/>
      <c r="AN519" s="339"/>
      <c r="AO519" s="339"/>
      <c r="AP519" s="339"/>
      <c r="AQ519" s="339"/>
      <c r="AR519" s="339"/>
      <c r="AS519" s="339"/>
    </row>
    <row r="520" spans="1:45" ht="15.75" customHeight="1">
      <c r="A520" s="339"/>
      <c r="B520" s="339"/>
      <c r="C520" s="341"/>
      <c r="D520" s="341"/>
      <c r="E520" s="341"/>
      <c r="F520" s="340"/>
      <c r="G520" s="339"/>
      <c r="H520" s="339"/>
      <c r="I520" s="339"/>
      <c r="J520" s="341"/>
      <c r="K520" s="340"/>
      <c r="L520" s="341"/>
      <c r="M520" s="340"/>
      <c r="N520" s="339"/>
      <c r="O520" s="339"/>
      <c r="P520" s="339"/>
      <c r="Q520" s="339"/>
      <c r="R520" s="339"/>
      <c r="S520" s="339"/>
      <c r="T520" s="339"/>
      <c r="U520" s="339"/>
      <c r="V520" s="339"/>
      <c r="W520" s="339"/>
      <c r="X520" s="339"/>
      <c r="Y520" s="339"/>
      <c r="Z520" s="339"/>
      <c r="AA520" s="339"/>
      <c r="AB520" s="341"/>
      <c r="AC520" s="341"/>
      <c r="AD520" s="341"/>
      <c r="AE520" s="339"/>
      <c r="AF520" s="339"/>
      <c r="AG520" s="341"/>
      <c r="AH520" s="339"/>
      <c r="AI520" s="341"/>
      <c r="AJ520" s="339"/>
      <c r="AK520" s="341"/>
      <c r="AL520" s="341"/>
      <c r="AM520" s="339"/>
      <c r="AN520" s="339"/>
      <c r="AO520" s="339"/>
      <c r="AP520" s="339"/>
      <c r="AQ520" s="339"/>
      <c r="AR520" s="339"/>
      <c r="AS520" s="339"/>
    </row>
    <row r="521" spans="1:45" ht="15.75" customHeight="1">
      <c r="A521" s="339"/>
      <c r="B521" s="339"/>
      <c r="C521" s="341"/>
      <c r="D521" s="341"/>
      <c r="E521" s="341"/>
      <c r="F521" s="340"/>
      <c r="G521" s="339"/>
      <c r="H521" s="339"/>
      <c r="I521" s="339"/>
      <c r="J521" s="341"/>
      <c r="K521" s="340"/>
      <c r="L521" s="341"/>
      <c r="M521" s="340"/>
      <c r="N521" s="339"/>
      <c r="O521" s="339"/>
      <c r="P521" s="339"/>
      <c r="Q521" s="339"/>
      <c r="R521" s="339"/>
      <c r="S521" s="339"/>
      <c r="T521" s="339"/>
      <c r="U521" s="339"/>
      <c r="V521" s="339"/>
      <c r="W521" s="339"/>
      <c r="X521" s="339"/>
      <c r="Y521" s="339"/>
      <c r="Z521" s="339"/>
      <c r="AA521" s="339"/>
      <c r="AB521" s="341"/>
      <c r="AC521" s="341"/>
      <c r="AD521" s="341"/>
      <c r="AE521" s="339"/>
      <c r="AF521" s="339"/>
      <c r="AG521" s="341"/>
      <c r="AH521" s="339"/>
      <c r="AI521" s="341"/>
      <c r="AJ521" s="339"/>
      <c r="AK521" s="341"/>
      <c r="AL521" s="341"/>
      <c r="AM521" s="339"/>
      <c r="AN521" s="339"/>
      <c r="AO521" s="339"/>
      <c r="AP521" s="339"/>
      <c r="AQ521" s="339"/>
      <c r="AR521" s="339"/>
      <c r="AS521" s="339"/>
    </row>
    <row r="522" spans="1:45" ht="15.75" customHeight="1">
      <c r="A522" s="339"/>
      <c r="B522" s="339"/>
      <c r="C522" s="341"/>
      <c r="D522" s="341"/>
      <c r="E522" s="341"/>
      <c r="F522" s="340"/>
      <c r="G522" s="339"/>
      <c r="H522" s="339"/>
      <c r="I522" s="339"/>
      <c r="J522" s="341"/>
      <c r="K522" s="340"/>
      <c r="L522" s="341"/>
      <c r="M522" s="340"/>
      <c r="N522" s="339"/>
      <c r="O522" s="339"/>
      <c r="P522" s="339"/>
      <c r="Q522" s="339"/>
      <c r="R522" s="339"/>
      <c r="S522" s="339"/>
      <c r="T522" s="339"/>
      <c r="U522" s="339"/>
      <c r="V522" s="339"/>
      <c r="W522" s="339"/>
      <c r="X522" s="339"/>
      <c r="Y522" s="339"/>
      <c r="Z522" s="339"/>
      <c r="AA522" s="339"/>
      <c r="AB522" s="341"/>
      <c r="AC522" s="341"/>
      <c r="AD522" s="341"/>
      <c r="AE522" s="339"/>
      <c r="AF522" s="339"/>
      <c r="AG522" s="341"/>
      <c r="AH522" s="339"/>
      <c r="AI522" s="341"/>
      <c r="AJ522" s="339"/>
      <c r="AK522" s="341"/>
      <c r="AL522" s="341"/>
      <c r="AM522" s="339"/>
      <c r="AN522" s="339"/>
      <c r="AO522" s="339"/>
      <c r="AP522" s="339"/>
      <c r="AQ522" s="339"/>
      <c r="AR522" s="339"/>
      <c r="AS522" s="339"/>
    </row>
    <row r="523" spans="1:45" ht="15.75" customHeight="1">
      <c r="A523" s="339"/>
      <c r="B523" s="339"/>
      <c r="C523" s="341"/>
      <c r="D523" s="341"/>
      <c r="E523" s="341"/>
      <c r="F523" s="340"/>
      <c r="G523" s="339"/>
      <c r="H523" s="339"/>
      <c r="I523" s="339"/>
      <c r="J523" s="341"/>
      <c r="K523" s="340"/>
      <c r="L523" s="341"/>
      <c r="M523" s="340"/>
      <c r="N523" s="339"/>
      <c r="O523" s="339"/>
      <c r="P523" s="339"/>
      <c r="Q523" s="339"/>
      <c r="R523" s="339"/>
      <c r="S523" s="339"/>
      <c r="T523" s="339"/>
      <c r="U523" s="339"/>
      <c r="V523" s="339"/>
      <c r="W523" s="339"/>
      <c r="X523" s="339"/>
      <c r="Y523" s="339"/>
      <c r="Z523" s="339"/>
      <c r="AA523" s="339"/>
      <c r="AB523" s="341"/>
      <c r="AC523" s="341"/>
      <c r="AD523" s="341"/>
      <c r="AE523" s="339"/>
      <c r="AF523" s="339"/>
      <c r="AG523" s="341"/>
      <c r="AH523" s="339"/>
      <c r="AI523" s="341"/>
      <c r="AJ523" s="339"/>
      <c r="AK523" s="341"/>
      <c r="AL523" s="341"/>
      <c r="AM523" s="339"/>
      <c r="AN523" s="339"/>
      <c r="AO523" s="339"/>
      <c r="AP523" s="339"/>
      <c r="AQ523" s="339"/>
      <c r="AR523" s="339"/>
      <c r="AS523" s="339"/>
    </row>
    <row r="524" spans="1:45" ht="15.75" customHeight="1">
      <c r="A524" s="339"/>
      <c r="B524" s="339"/>
      <c r="C524" s="341"/>
      <c r="D524" s="341"/>
      <c r="E524" s="341"/>
      <c r="F524" s="340"/>
      <c r="G524" s="339"/>
      <c r="H524" s="339"/>
      <c r="I524" s="339"/>
      <c r="J524" s="341"/>
      <c r="K524" s="340"/>
      <c r="L524" s="341"/>
      <c r="M524" s="340"/>
      <c r="N524" s="339"/>
      <c r="O524" s="339"/>
      <c r="P524" s="339"/>
      <c r="Q524" s="339"/>
      <c r="R524" s="339"/>
      <c r="S524" s="339"/>
      <c r="T524" s="339"/>
      <c r="U524" s="339"/>
      <c r="V524" s="339"/>
      <c r="W524" s="339"/>
      <c r="X524" s="339"/>
      <c r="Y524" s="339"/>
      <c r="Z524" s="339"/>
      <c r="AA524" s="339"/>
      <c r="AB524" s="341"/>
      <c r="AC524" s="341"/>
      <c r="AD524" s="341"/>
      <c r="AE524" s="339"/>
      <c r="AF524" s="339"/>
      <c r="AG524" s="341"/>
      <c r="AH524" s="339"/>
      <c r="AI524" s="341"/>
      <c r="AJ524" s="339"/>
      <c r="AK524" s="341"/>
      <c r="AL524" s="341"/>
      <c r="AM524" s="339"/>
      <c r="AN524" s="339"/>
      <c r="AO524" s="339"/>
      <c r="AP524" s="339"/>
      <c r="AQ524" s="339"/>
      <c r="AR524" s="339"/>
      <c r="AS524" s="339"/>
    </row>
    <row r="525" spans="1:45" ht="15.75" customHeight="1">
      <c r="A525" s="339"/>
      <c r="B525" s="339"/>
      <c r="C525" s="341"/>
      <c r="D525" s="341"/>
      <c r="E525" s="341"/>
      <c r="F525" s="340"/>
      <c r="G525" s="339"/>
      <c r="H525" s="339"/>
      <c r="I525" s="339"/>
      <c r="J525" s="341"/>
      <c r="K525" s="340"/>
      <c r="L525" s="341"/>
      <c r="M525" s="340"/>
      <c r="N525" s="339"/>
      <c r="O525" s="339"/>
      <c r="P525" s="339"/>
      <c r="Q525" s="339"/>
      <c r="R525" s="339"/>
      <c r="S525" s="339"/>
      <c r="T525" s="339"/>
      <c r="U525" s="339"/>
      <c r="V525" s="339"/>
      <c r="W525" s="339"/>
      <c r="X525" s="339"/>
      <c r="Y525" s="339"/>
      <c r="Z525" s="339"/>
      <c r="AA525" s="339"/>
      <c r="AB525" s="341"/>
      <c r="AC525" s="341"/>
      <c r="AD525" s="341"/>
      <c r="AE525" s="339"/>
      <c r="AF525" s="339"/>
      <c r="AG525" s="341"/>
      <c r="AH525" s="339"/>
      <c r="AI525" s="341"/>
      <c r="AJ525" s="339"/>
      <c r="AK525" s="341"/>
      <c r="AL525" s="341"/>
      <c r="AM525" s="339"/>
      <c r="AN525" s="339"/>
      <c r="AO525" s="339"/>
      <c r="AP525" s="339"/>
      <c r="AQ525" s="339"/>
      <c r="AR525" s="339"/>
      <c r="AS525" s="339"/>
    </row>
    <row r="526" spans="1:45" ht="15.75" customHeight="1">
      <c r="A526" s="339"/>
      <c r="B526" s="339"/>
      <c r="C526" s="341"/>
      <c r="D526" s="341"/>
      <c r="E526" s="341"/>
      <c r="F526" s="340"/>
      <c r="G526" s="339"/>
      <c r="H526" s="339"/>
      <c r="I526" s="339"/>
      <c r="J526" s="341"/>
      <c r="K526" s="340"/>
      <c r="L526" s="341"/>
      <c r="M526" s="340"/>
      <c r="N526" s="339"/>
      <c r="O526" s="339"/>
      <c r="P526" s="339"/>
      <c r="Q526" s="339"/>
      <c r="R526" s="339"/>
      <c r="S526" s="339"/>
      <c r="T526" s="339"/>
      <c r="U526" s="339"/>
      <c r="V526" s="339"/>
      <c r="W526" s="339"/>
      <c r="X526" s="339"/>
      <c r="Y526" s="339"/>
      <c r="Z526" s="339"/>
      <c r="AA526" s="339"/>
      <c r="AB526" s="341"/>
      <c r="AC526" s="341"/>
      <c r="AD526" s="341"/>
      <c r="AE526" s="339"/>
      <c r="AF526" s="339"/>
      <c r="AG526" s="341"/>
      <c r="AH526" s="339"/>
      <c r="AI526" s="341"/>
      <c r="AJ526" s="339"/>
      <c r="AK526" s="341"/>
      <c r="AL526" s="341"/>
      <c r="AM526" s="339"/>
      <c r="AN526" s="339"/>
      <c r="AO526" s="339"/>
      <c r="AP526" s="339"/>
      <c r="AQ526" s="339"/>
      <c r="AR526" s="339"/>
      <c r="AS526" s="339"/>
    </row>
    <row r="527" spans="1:45" ht="15.75" customHeight="1">
      <c r="A527" s="339"/>
      <c r="B527" s="339"/>
      <c r="C527" s="341"/>
      <c r="D527" s="341"/>
      <c r="E527" s="341"/>
      <c r="F527" s="340"/>
      <c r="G527" s="339"/>
      <c r="H527" s="339"/>
      <c r="I527" s="339"/>
      <c r="J527" s="341"/>
      <c r="K527" s="340"/>
      <c r="L527" s="341"/>
      <c r="M527" s="340"/>
      <c r="N527" s="339"/>
      <c r="O527" s="339"/>
      <c r="P527" s="339"/>
      <c r="Q527" s="339"/>
      <c r="R527" s="339"/>
      <c r="S527" s="339"/>
      <c r="T527" s="339"/>
      <c r="U527" s="339"/>
      <c r="V527" s="339"/>
      <c r="W527" s="339"/>
      <c r="X527" s="339"/>
      <c r="Y527" s="339"/>
      <c r="Z527" s="339"/>
      <c r="AA527" s="339"/>
      <c r="AB527" s="341"/>
      <c r="AC527" s="341"/>
      <c r="AD527" s="341"/>
      <c r="AE527" s="339"/>
      <c r="AF527" s="339"/>
      <c r="AG527" s="341"/>
      <c r="AH527" s="339"/>
      <c r="AI527" s="341"/>
      <c r="AJ527" s="339"/>
      <c r="AK527" s="341"/>
      <c r="AL527" s="341"/>
      <c r="AM527" s="339"/>
      <c r="AN527" s="339"/>
      <c r="AO527" s="339"/>
      <c r="AP527" s="339"/>
      <c r="AQ527" s="339"/>
      <c r="AR527" s="339"/>
      <c r="AS527" s="339"/>
    </row>
    <row r="528" spans="1:45" ht="15.75" customHeight="1">
      <c r="A528" s="339"/>
      <c r="B528" s="339"/>
      <c r="C528" s="341"/>
      <c r="D528" s="341"/>
      <c r="E528" s="341"/>
      <c r="F528" s="340"/>
      <c r="G528" s="339"/>
      <c r="H528" s="339"/>
      <c r="I528" s="339"/>
      <c r="J528" s="341"/>
      <c r="K528" s="340"/>
      <c r="L528" s="341"/>
      <c r="M528" s="340"/>
      <c r="N528" s="339"/>
      <c r="O528" s="339"/>
      <c r="P528" s="339"/>
      <c r="Q528" s="339"/>
      <c r="R528" s="339"/>
      <c r="S528" s="339"/>
      <c r="T528" s="339"/>
      <c r="U528" s="339"/>
      <c r="V528" s="339"/>
      <c r="W528" s="339"/>
      <c r="X528" s="339"/>
      <c r="Y528" s="339"/>
      <c r="Z528" s="339"/>
      <c r="AA528" s="339"/>
      <c r="AB528" s="341"/>
      <c r="AC528" s="341"/>
      <c r="AD528" s="341"/>
      <c r="AE528" s="339"/>
      <c r="AF528" s="339"/>
      <c r="AG528" s="341"/>
      <c r="AH528" s="339"/>
      <c r="AI528" s="341"/>
      <c r="AJ528" s="339"/>
      <c r="AK528" s="341"/>
      <c r="AL528" s="341"/>
      <c r="AM528" s="339"/>
      <c r="AN528" s="339"/>
      <c r="AO528" s="339"/>
      <c r="AP528" s="339"/>
      <c r="AQ528" s="339"/>
      <c r="AR528" s="339"/>
      <c r="AS528" s="339"/>
    </row>
    <row r="529" spans="1:45" ht="15.75" customHeight="1">
      <c r="A529" s="339"/>
      <c r="B529" s="339"/>
      <c r="C529" s="341"/>
      <c r="D529" s="341"/>
      <c r="E529" s="341"/>
      <c r="F529" s="340"/>
      <c r="G529" s="339"/>
      <c r="H529" s="339"/>
      <c r="I529" s="339"/>
      <c r="J529" s="341"/>
      <c r="K529" s="340"/>
      <c r="L529" s="341"/>
      <c r="M529" s="340"/>
      <c r="N529" s="339"/>
      <c r="O529" s="339"/>
      <c r="P529" s="339"/>
      <c r="Q529" s="339"/>
      <c r="R529" s="339"/>
      <c r="S529" s="339"/>
      <c r="T529" s="339"/>
      <c r="U529" s="339"/>
      <c r="V529" s="339"/>
      <c r="W529" s="339"/>
      <c r="X529" s="339"/>
      <c r="Y529" s="339"/>
      <c r="Z529" s="339"/>
      <c r="AA529" s="339"/>
      <c r="AB529" s="341"/>
      <c r="AC529" s="341"/>
      <c r="AD529" s="341"/>
      <c r="AE529" s="339"/>
      <c r="AF529" s="339"/>
      <c r="AG529" s="341"/>
      <c r="AH529" s="339"/>
      <c r="AI529" s="341"/>
      <c r="AJ529" s="339"/>
      <c r="AK529" s="341"/>
      <c r="AL529" s="341"/>
      <c r="AM529" s="339"/>
      <c r="AN529" s="339"/>
      <c r="AO529" s="339"/>
      <c r="AP529" s="339"/>
      <c r="AQ529" s="339"/>
      <c r="AR529" s="339"/>
      <c r="AS529" s="339"/>
    </row>
    <row r="530" spans="1:45" ht="15.75" customHeight="1">
      <c r="A530" s="339"/>
      <c r="B530" s="339"/>
      <c r="C530" s="341"/>
      <c r="D530" s="341"/>
      <c r="E530" s="341"/>
      <c r="F530" s="340"/>
      <c r="G530" s="339"/>
      <c r="H530" s="339"/>
      <c r="I530" s="339"/>
      <c r="J530" s="341"/>
      <c r="K530" s="340"/>
      <c r="L530" s="341"/>
      <c r="M530" s="340"/>
      <c r="N530" s="339"/>
      <c r="O530" s="339"/>
      <c r="P530" s="339"/>
      <c r="Q530" s="339"/>
      <c r="R530" s="339"/>
      <c r="S530" s="339"/>
      <c r="T530" s="339"/>
      <c r="U530" s="339"/>
      <c r="V530" s="339"/>
      <c r="W530" s="339"/>
      <c r="X530" s="339"/>
      <c r="Y530" s="339"/>
      <c r="Z530" s="339"/>
      <c r="AA530" s="339"/>
      <c r="AB530" s="341"/>
      <c r="AC530" s="341"/>
      <c r="AD530" s="341"/>
      <c r="AE530" s="339"/>
      <c r="AF530" s="339"/>
      <c r="AG530" s="341"/>
      <c r="AH530" s="339"/>
      <c r="AI530" s="341"/>
      <c r="AJ530" s="339"/>
      <c r="AK530" s="341"/>
      <c r="AL530" s="341"/>
      <c r="AM530" s="339"/>
      <c r="AN530" s="339"/>
      <c r="AO530" s="339"/>
      <c r="AP530" s="339"/>
      <c r="AQ530" s="339"/>
      <c r="AR530" s="339"/>
      <c r="AS530" s="339"/>
    </row>
    <row r="531" spans="1:45" ht="15.75" customHeight="1">
      <c r="A531" s="339"/>
      <c r="B531" s="339"/>
      <c r="C531" s="341"/>
      <c r="D531" s="341"/>
      <c r="E531" s="341"/>
      <c r="F531" s="340"/>
      <c r="G531" s="339"/>
      <c r="H531" s="339"/>
      <c r="I531" s="339"/>
      <c r="J531" s="341"/>
      <c r="K531" s="340"/>
      <c r="L531" s="341"/>
      <c r="M531" s="340"/>
      <c r="N531" s="339"/>
      <c r="O531" s="339"/>
      <c r="P531" s="339"/>
      <c r="Q531" s="339"/>
      <c r="R531" s="339"/>
      <c r="S531" s="339"/>
      <c r="T531" s="339"/>
      <c r="U531" s="339"/>
      <c r="V531" s="339"/>
      <c r="W531" s="339"/>
      <c r="X531" s="339"/>
      <c r="Y531" s="339"/>
      <c r="Z531" s="339"/>
      <c r="AA531" s="339"/>
      <c r="AB531" s="341"/>
      <c r="AC531" s="341"/>
      <c r="AD531" s="341"/>
      <c r="AE531" s="339"/>
      <c r="AF531" s="339"/>
      <c r="AG531" s="341"/>
      <c r="AH531" s="339"/>
      <c r="AI531" s="341"/>
      <c r="AJ531" s="339"/>
      <c r="AK531" s="341"/>
      <c r="AL531" s="341"/>
      <c r="AM531" s="339"/>
      <c r="AN531" s="339"/>
      <c r="AO531" s="339"/>
      <c r="AP531" s="339"/>
      <c r="AQ531" s="339"/>
      <c r="AR531" s="339"/>
      <c r="AS531" s="339"/>
    </row>
    <row r="532" spans="1:45" ht="15.75" customHeight="1">
      <c r="A532" s="339"/>
      <c r="B532" s="339"/>
      <c r="C532" s="341"/>
      <c r="D532" s="341"/>
      <c r="E532" s="341"/>
      <c r="F532" s="340"/>
      <c r="G532" s="339"/>
      <c r="H532" s="339"/>
      <c r="I532" s="339"/>
      <c r="J532" s="341"/>
      <c r="K532" s="340"/>
      <c r="L532" s="341"/>
      <c r="M532" s="340"/>
      <c r="N532" s="339"/>
      <c r="O532" s="339"/>
      <c r="P532" s="339"/>
      <c r="Q532" s="339"/>
      <c r="R532" s="339"/>
      <c r="S532" s="339"/>
      <c r="T532" s="339"/>
      <c r="U532" s="339"/>
      <c r="V532" s="339"/>
      <c r="W532" s="339"/>
      <c r="X532" s="339"/>
      <c r="Y532" s="339"/>
      <c r="Z532" s="339"/>
      <c r="AA532" s="339"/>
      <c r="AB532" s="341"/>
      <c r="AC532" s="341"/>
      <c r="AD532" s="341"/>
      <c r="AE532" s="339"/>
      <c r="AF532" s="339"/>
      <c r="AG532" s="341"/>
      <c r="AH532" s="339"/>
      <c r="AI532" s="341"/>
      <c r="AJ532" s="339"/>
      <c r="AK532" s="341"/>
      <c r="AL532" s="341"/>
      <c r="AM532" s="339"/>
      <c r="AN532" s="339"/>
      <c r="AO532" s="339"/>
      <c r="AP532" s="339"/>
      <c r="AQ532" s="339"/>
      <c r="AR532" s="339"/>
      <c r="AS532" s="339"/>
    </row>
    <row r="533" spans="1:45" ht="15.75" customHeight="1">
      <c r="A533" s="339"/>
      <c r="B533" s="339"/>
      <c r="C533" s="341"/>
      <c r="D533" s="341"/>
      <c r="E533" s="341"/>
      <c r="F533" s="340"/>
      <c r="G533" s="339"/>
      <c r="H533" s="339"/>
      <c r="I533" s="339"/>
      <c r="J533" s="341"/>
      <c r="K533" s="340"/>
      <c r="L533" s="341"/>
      <c r="M533" s="340"/>
      <c r="N533" s="339"/>
      <c r="O533" s="339"/>
      <c r="P533" s="339"/>
      <c r="Q533" s="339"/>
      <c r="R533" s="339"/>
      <c r="S533" s="339"/>
      <c r="T533" s="339"/>
      <c r="U533" s="339"/>
      <c r="V533" s="339"/>
      <c r="W533" s="339"/>
      <c r="X533" s="339"/>
      <c r="Y533" s="339"/>
      <c r="Z533" s="339"/>
      <c r="AA533" s="339"/>
      <c r="AB533" s="341"/>
      <c r="AC533" s="341"/>
      <c r="AD533" s="341"/>
      <c r="AE533" s="339"/>
      <c r="AF533" s="339"/>
      <c r="AG533" s="341"/>
      <c r="AH533" s="339"/>
      <c r="AI533" s="341"/>
      <c r="AJ533" s="339"/>
      <c r="AK533" s="341"/>
      <c r="AL533" s="341"/>
      <c r="AM533" s="339"/>
      <c r="AN533" s="339"/>
      <c r="AO533" s="339"/>
      <c r="AP533" s="339"/>
      <c r="AQ533" s="339"/>
      <c r="AR533" s="339"/>
      <c r="AS533" s="339"/>
    </row>
    <row r="534" spans="1:45" ht="15.75" customHeight="1">
      <c r="A534" s="339"/>
      <c r="B534" s="339"/>
      <c r="C534" s="341"/>
      <c r="D534" s="341"/>
      <c r="E534" s="341"/>
      <c r="F534" s="340"/>
      <c r="G534" s="339"/>
      <c r="H534" s="339"/>
      <c r="I534" s="339"/>
      <c r="J534" s="341"/>
      <c r="K534" s="340"/>
      <c r="L534" s="341"/>
      <c r="M534" s="340"/>
      <c r="N534" s="339"/>
      <c r="O534" s="339"/>
      <c r="P534" s="339"/>
      <c r="Q534" s="339"/>
      <c r="R534" s="339"/>
      <c r="S534" s="339"/>
      <c r="T534" s="339"/>
      <c r="U534" s="339"/>
      <c r="V534" s="339"/>
      <c r="W534" s="339"/>
      <c r="X534" s="339"/>
      <c r="Y534" s="339"/>
      <c r="Z534" s="339"/>
      <c r="AA534" s="339"/>
      <c r="AB534" s="341"/>
      <c r="AC534" s="341"/>
      <c r="AD534" s="341"/>
      <c r="AE534" s="339"/>
      <c r="AF534" s="339"/>
      <c r="AG534" s="341"/>
      <c r="AH534" s="339"/>
      <c r="AI534" s="341"/>
      <c r="AJ534" s="339"/>
      <c r="AK534" s="341"/>
      <c r="AL534" s="341"/>
      <c r="AM534" s="339"/>
      <c r="AN534" s="339"/>
      <c r="AO534" s="339"/>
      <c r="AP534" s="339"/>
      <c r="AQ534" s="339"/>
      <c r="AR534" s="339"/>
      <c r="AS534" s="339"/>
    </row>
    <row r="535" spans="1:45" ht="15.75" customHeight="1">
      <c r="A535" s="339"/>
      <c r="B535" s="339"/>
      <c r="C535" s="341"/>
      <c r="D535" s="341"/>
      <c r="E535" s="341"/>
      <c r="F535" s="340"/>
      <c r="G535" s="339"/>
      <c r="H535" s="339"/>
      <c r="I535" s="339"/>
      <c r="J535" s="341"/>
      <c r="K535" s="340"/>
      <c r="L535" s="341"/>
      <c r="M535" s="340"/>
      <c r="N535" s="339"/>
      <c r="O535" s="339"/>
      <c r="P535" s="339"/>
      <c r="Q535" s="339"/>
      <c r="R535" s="339"/>
      <c r="S535" s="339"/>
      <c r="T535" s="339"/>
      <c r="U535" s="339"/>
      <c r="V535" s="339"/>
      <c r="W535" s="339"/>
      <c r="X535" s="339"/>
      <c r="Y535" s="339"/>
      <c r="Z535" s="339"/>
      <c r="AA535" s="339"/>
      <c r="AB535" s="341"/>
      <c r="AC535" s="341"/>
      <c r="AD535" s="341"/>
      <c r="AE535" s="339"/>
      <c r="AF535" s="339"/>
      <c r="AG535" s="341"/>
      <c r="AH535" s="339"/>
      <c r="AI535" s="341"/>
      <c r="AJ535" s="339"/>
      <c r="AK535" s="341"/>
      <c r="AL535" s="341"/>
      <c r="AM535" s="339"/>
      <c r="AN535" s="339"/>
      <c r="AO535" s="339"/>
      <c r="AP535" s="339"/>
      <c r="AQ535" s="339"/>
      <c r="AR535" s="339"/>
      <c r="AS535" s="339"/>
    </row>
    <row r="536" spans="1:45" ht="15.75" customHeight="1">
      <c r="A536" s="339"/>
      <c r="B536" s="339"/>
      <c r="C536" s="341"/>
      <c r="D536" s="341"/>
      <c r="E536" s="341"/>
      <c r="F536" s="340"/>
      <c r="G536" s="339"/>
      <c r="H536" s="339"/>
      <c r="I536" s="339"/>
      <c r="J536" s="341"/>
      <c r="K536" s="340"/>
      <c r="L536" s="341"/>
      <c r="M536" s="340"/>
      <c r="N536" s="339"/>
      <c r="O536" s="339"/>
      <c r="P536" s="339"/>
      <c r="Q536" s="339"/>
      <c r="R536" s="339"/>
      <c r="S536" s="339"/>
      <c r="T536" s="339"/>
      <c r="U536" s="339"/>
      <c r="V536" s="339"/>
      <c r="W536" s="339"/>
      <c r="X536" s="339"/>
      <c r="Y536" s="339"/>
      <c r="Z536" s="339"/>
      <c r="AA536" s="339"/>
      <c r="AB536" s="341"/>
      <c r="AC536" s="341"/>
      <c r="AD536" s="341"/>
      <c r="AE536" s="339"/>
      <c r="AF536" s="339"/>
      <c r="AG536" s="341"/>
      <c r="AH536" s="339"/>
      <c r="AI536" s="341"/>
      <c r="AJ536" s="339"/>
      <c r="AK536" s="341"/>
      <c r="AL536" s="341"/>
      <c r="AM536" s="339"/>
      <c r="AN536" s="339"/>
      <c r="AO536" s="339"/>
      <c r="AP536" s="339"/>
      <c r="AQ536" s="339"/>
      <c r="AR536" s="339"/>
      <c r="AS536" s="339"/>
    </row>
    <row r="537" spans="1:45" ht="15.75" customHeight="1">
      <c r="A537" s="339"/>
      <c r="B537" s="339"/>
      <c r="C537" s="341"/>
      <c r="D537" s="341"/>
      <c r="E537" s="341"/>
      <c r="F537" s="340"/>
      <c r="G537" s="339"/>
      <c r="H537" s="339"/>
      <c r="I537" s="339"/>
      <c r="J537" s="341"/>
      <c r="K537" s="340"/>
      <c r="L537" s="341"/>
      <c r="M537" s="340"/>
      <c r="N537" s="339"/>
      <c r="O537" s="339"/>
      <c r="P537" s="339"/>
      <c r="Q537" s="339"/>
      <c r="R537" s="339"/>
      <c r="S537" s="339"/>
      <c r="T537" s="339"/>
      <c r="U537" s="339"/>
      <c r="V537" s="339"/>
      <c r="W537" s="339"/>
      <c r="X537" s="339"/>
      <c r="Y537" s="339"/>
      <c r="Z537" s="339"/>
      <c r="AA537" s="339"/>
      <c r="AB537" s="341"/>
      <c r="AC537" s="341"/>
      <c r="AD537" s="341"/>
      <c r="AE537" s="339"/>
      <c r="AF537" s="339"/>
      <c r="AG537" s="341"/>
      <c r="AH537" s="339"/>
      <c r="AI537" s="341"/>
      <c r="AJ537" s="339"/>
      <c r="AK537" s="341"/>
      <c r="AL537" s="341"/>
      <c r="AM537" s="339"/>
      <c r="AN537" s="339"/>
      <c r="AO537" s="339"/>
      <c r="AP537" s="339"/>
      <c r="AQ537" s="339"/>
      <c r="AR537" s="339"/>
      <c r="AS537" s="339"/>
    </row>
    <row r="538" spans="1:45" ht="15.75" customHeight="1">
      <c r="A538" s="339"/>
      <c r="B538" s="339"/>
      <c r="C538" s="341"/>
      <c r="D538" s="341"/>
      <c r="E538" s="341"/>
      <c r="F538" s="340"/>
      <c r="G538" s="339"/>
      <c r="H538" s="339"/>
      <c r="I538" s="339"/>
      <c r="J538" s="341"/>
      <c r="K538" s="340"/>
      <c r="L538" s="341"/>
      <c r="M538" s="340"/>
      <c r="N538" s="339"/>
      <c r="O538" s="339"/>
      <c r="P538" s="339"/>
      <c r="Q538" s="339"/>
      <c r="R538" s="339"/>
      <c r="S538" s="339"/>
      <c r="T538" s="339"/>
      <c r="U538" s="339"/>
      <c r="V538" s="339"/>
      <c r="W538" s="339"/>
      <c r="X538" s="339"/>
      <c r="Y538" s="339"/>
      <c r="Z538" s="339"/>
      <c r="AA538" s="339"/>
      <c r="AB538" s="341"/>
      <c r="AC538" s="341"/>
      <c r="AD538" s="341"/>
      <c r="AE538" s="339"/>
      <c r="AF538" s="339"/>
      <c r="AG538" s="341"/>
      <c r="AH538" s="339"/>
      <c r="AI538" s="341"/>
      <c r="AJ538" s="339"/>
      <c r="AK538" s="341"/>
      <c r="AL538" s="341"/>
      <c r="AM538" s="339"/>
      <c r="AN538" s="339"/>
      <c r="AO538" s="339"/>
      <c r="AP538" s="339"/>
      <c r="AQ538" s="339"/>
      <c r="AR538" s="339"/>
      <c r="AS538" s="339"/>
    </row>
    <row r="539" spans="1:45" ht="15.75" customHeight="1">
      <c r="A539" s="339"/>
      <c r="B539" s="339"/>
      <c r="C539" s="341"/>
      <c r="D539" s="341"/>
      <c r="E539" s="341"/>
      <c r="F539" s="340"/>
      <c r="G539" s="339"/>
      <c r="H539" s="339"/>
      <c r="I539" s="339"/>
      <c r="J539" s="341"/>
      <c r="K539" s="340"/>
      <c r="L539" s="341"/>
      <c r="M539" s="340"/>
      <c r="N539" s="339"/>
      <c r="O539" s="339"/>
      <c r="P539" s="339"/>
      <c r="Q539" s="339"/>
      <c r="R539" s="339"/>
      <c r="S539" s="339"/>
      <c r="T539" s="339"/>
      <c r="U539" s="339"/>
      <c r="V539" s="339"/>
      <c r="W539" s="339"/>
      <c r="X539" s="339"/>
      <c r="Y539" s="339"/>
      <c r="Z539" s="339"/>
      <c r="AA539" s="339"/>
      <c r="AB539" s="341"/>
      <c r="AC539" s="341"/>
      <c r="AD539" s="341"/>
      <c r="AE539" s="339"/>
      <c r="AF539" s="339"/>
      <c r="AG539" s="341"/>
      <c r="AH539" s="339"/>
      <c r="AI539" s="341"/>
      <c r="AJ539" s="339"/>
      <c r="AK539" s="341"/>
      <c r="AL539" s="341"/>
      <c r="AM539" s="339"/>
      <c r="AN539" s="339"/>
      <c r="AO539" s="339"/>
      <c r="AP539" s="339"/>
      <c r="AQ539" s="339"/>
      <c r="AR539" s="339"/>
      <c r="AS539" s="339"/>
    </row>
    <row r="540" spans="1:45" ht="15.75" customHeight="1">
      <c r="A540" s="339"/>
      <c r="B540" s="339"/>
      <c r="C540" s="341"/>
      <c r="D540" s="341"/>
      <c r="E540" s="341"/>
      <c r="F540" s="340"/>
      <c r="G540" s="339"/>
      <c r="H540" s="339"/>
      <c r="I540" s="339"/>
      <c r="J540" s="341"/>
      <c r="K540" s="340"/>
      <c r="L540" s="341"/>
      <c r="M540" s="340"/>
      <c r="N540" s="339"/>
      <c r="O540" s="339"/>
      <c r="P540" s="339"/>
      <c r="Q540" s="339"/>
      <c r="R540" s="339"/>
      <c r="S540" s="339"/>
      <c r="T540" s="339"/>
      <c r="U540" s="339"/>
      <c r="V540" s="339"/>
      <c r="W540" s="339"/>
      <c r="X540" s="339"/>
      <c r="Y540" s="339"/>
      <c r="Z540" s="339"/>
      <c r="AA540" s="339"/>
      <c r="AB540" s="341"/>
      <c r="AC540" s="341"/>
      <c r="AD540" s="341"/>
      <c r="AE540" s="339"/>
      <c r="AF540" s="339"/>
      <c r="AG540" s="341"/>
      <c r="AH540" s="339"/>
      <c r="AI540" s="341"/>
      <c r="AJ540" s="339"/>
      <c r="AK540" s="341"/>
      <c r="AL540" s="341"/>
      <c r="AM540" s="339"/>
      <c r="AN540" s="339"/>
      <c r="AO540" s="339"/>
      <c r="AP540" s="339"/>
      <c r="AQ540" s="339"/>
      <c r="AR540" s="339"/>
      <c r="AS540" s="339"/>
    </row>
    <row r="541" spans="1:45" ht="15.75" customHeight="1">
      <c r="A541" s="339"/>
      <c r="B541" s="339"/>
      <c r="C541" s="341"/>
      <c r="D541" s="341"/>
      <c r="E541" s="341"/>
      <c r="F541" s="340"/>
      <c r="G541" s="339"/>
      <c r="H541" s="339"/>
      <c r="I541" s="339"/>
      <c r="J541" s="341"/>
      <c r="K541" s="340"/>
      <c r="L541" s="341"/>
      <c r="M541" s="340"/>
      <c r="N541" s="339"/>
      <c r="O541" s="339"/>
      <c r="P541" s="339"/>
      <c r="Q541" s="339"/>
      <c r="R541" s="339"/>
      <c r="S541" s="339"/>
      <c r="T541" s="339"/>
      <c r="U541" s="339"/>
      <c r="V541" s="339"/>
      <c r="W541" s="339"/>
      <c r="X541" s="339"/>
      <c r="Y541" s="339"/>
      <c r="Z541" s="339"/>
      <c r="AA541" s="339"/>
      <c r="AB541" s="341"/>
      <c r="AC541" s="341"/>
      <c r="AD541" s="341"/>
      <c r="AE541" s="339"/>
      <c r="AF541" s="339"/>
      <c r="AG541" s="341"/>
      <c r="AH541" s="339"/>
      <c r="AI541" s="341"/>
      <c r="AJ541" s="339"/>
      <c r="AK541" s="341"/>
      <c r="AL541" s="341"/>
      <c r="AM541" s="339"/>
      <c r="AN541" s="339"/>
      <c r="AO541" s="339"/>
      <c r="AP541" s="339"/>
      <c r="AQ541" s="339"/>
      <c r="AR541" s="339"/>
      <c r="AS541" s="339"/>
    </row>
    <row r="542" spans="1:45" ht="15.75" customHeight="1">
      <c r="A542" s="339"/>
      <c r="B542" s="339"/>
      <c r="C542" s="341"/>
      <c r="D542" s="341"/>
      <c r="E542" s="341"/>
      <c r="F542" s="340"/>
      <c r="G542" s="339"/>
      <c r="H542" s="339"/>
      <c r="I542" s="339"/>
      <c r="J542" s="341"/>
      <c r="K542" s="340"/>
      <c r="L542" s="341"/>
      <c r="M542" s="340"/>
      <c r="N542" s="339"/>
      <c r="O542" s="339"/>
      <c r="P542" s="339"/>
      <c r="Q542" s="339"/>
      <c r="R542" s="339"/>
      <c r="S542" s="339"/>
      <c r="T542" s="339"/>
      <c r="U542" s="339"/>
      <c r="V542" s="339"/>
      <c r="W542" s="339"/>
      <c r="X542" s="339"/>
      <c r="Y542" s="339"/>
      <c r="Z542" s="339"/>
      <c r="AA542" s="339"/>
      <c r="AB542" s="341"/>
      <c r="AC542" s="341"/>
      <c r="AD542" s="341"/>
      <c r="AE542" s="339"/>
      <c r="AF542" s="339"/>
      <c r="AG542" s="341"/>
      <c r="AH542" s="339"/>
      <c r="AI542" s="341"/>
      <c r="AJ542" s="339"/>
      <c r="AK542" s="341"/>
      <c r="AL542" s="341"/>
      <c r="AM542" s="339"/>
      <c r="AN542" s="339"/>
      <c r="AO542" s="339"/>
      <c r="AP542" s="339"/>
      <c r="AQ542" s="339"/>
      <c r="AR542" s="339"/>
      <c r="AS542" s="339"/>
    </row>
    <row r="543" spans="1:45" ht="15.75" customHeight="1">
      <c r="A543" s="339"/>
      <c r="B543" s="339"/>
      <c r="C543" s="341"/>
      <c r="D543" s="341"/>
      <c r="E543" s="341"/>
      <c r="F543" s="340"/>
      <c r="G543" s="339"/>
      <c r="H543" s="339"/>
      <c r="I543" s="339"/>
      <c r="J543" s="341"/>
      <c r="K543" s="340"/>
      <c r="L543" s="341"/>
      <c r="M543" s="340"/>
      <c r="N543" s="339"/>
      <c r="O543" s="339"/>
      <c r="P543" s="339"/>
      <c r="Q543" s="339"/>
      <c r="R543" s="339"/>
      <c r="S543" s="339"/>
      <c r="T543" s="339"/>
      <c r="U543" s="339"/>
      <c r="V543" s="339"/>
      <c r="W543" s="339"/>
      <c r="X543" s="339"/>
      <c r="Y543" s="339"/>
      <c r="Z543" s="339"/>
      <c r="AA543" s="339"/>
      <c r="AB543" s="341"/>
      <c r="AC543" s="341"/>
      <c r="AD543" s="341"/>
      <c r="AE543" s="339"/>
      <c r="AF543" s="339"/>
      <c r="AG543" s="341"/>
      <c r="AH543" s="339"/>
      <c r="AI543" s="341"/>
      <c r="AJ543" s="339"/>
      <c r="AK543" s="341"/>
      <c r="AL543" s="341"/>
      <c r="AM543" s="339"/>
      <c r="AN543" s="339"/>
      <c r="AO543" s="339"/>
      <c r="AP543" s="339"/>
      <c r="AQ543" s="339"/>
      <c r="AR543" s="339"/>
      <c r="AS543" s="339"/>
    </row>
    <row r="544" spans="1:45" ht="15.75" customHeight="1">
      <c r="A544" s="339"/>
      <c r="B544" s="339"/>
      <c r="C544" s="341"/>
      <c r="D544" s="341"/>
      <c r="E544" s="341"/>
      <c r="F544" s="340"/>
      <c r="G544" s="339"/>
      <c r="H544" s="339"/>
      <c r="I544" s="339"/>
      <c r="J544" s="341"/>
      <c r="K544" s="340"/>
      <c r="L544" s="341"/>
      <c r="M544" s="340"/>
      <c r="N544" s="339"/>
      <c r="O544" s="339"/>
      <c r="P544" s="339"/>
      <c r="Q544" s="339"/>
      <c r="R544" s="339"/>
      <c r="S544" s="339"/>
      <c r="T544" s="339"/>
      <c r="U544" s="339"/>
      <c r="V544" s="339"/>
      <c r="W544" s="339"/>
      <c r="X544" s="339"/>
      <c r="Y544" s="339"/>
      <c r="Z544" s="339"/>
      <c r="AA544" s="339"/>
      <c r="AB544" s="341"/>
      <c r="AC544" s="341"/>
      <c r="AD544" s="341"/>
      <c r="AE544" s="339"/>
      <c r="AF544" s="339"/>
      <c r="AG544" s="341"/>
      <c r="AH544" s="339"/>
      <c r="AI544" s="341"/>
      <c r="AJ544" s="339"/>
      <c r="AK544" s="341"/>
      <c r="AL544" s="341"/>
      <c r="AM544" s="339"/>
      <c r="AN544" s="339"/>
      <c r="AO544" s="339"/>
      <c r="AP544" s="339"/>
      <c r="AQ544" s="339"/>
      <c r="AR544" s="339"/>
      <c r="AS544" s="339"/>
    </row>
    <row r="545" spans="1:45" ht="15.75" customHeight="1">
      <c r="A545" s="339"/>
      <c r="B545" s="339"/>
      <c r="C545" s="341"/>
      <c r="D545" s="341"/>
      <c r="E545" s="341"/>
      <c r="F545" s="340"/>
      <c r="G545" s="339"/>
      <c r="H545" s="339"/>
      <c r="I545" s="339"/>
      <c r="J545" s="341"/>
      <c r="K545" s="340"/>
      <c r="L545" s="341"/>
      <c r="M545" s="340"/>
      <c r="N545" s="339"/>
      <c r="O545" s="339"/>
      <c r="P545" s="339"/>
      <c r="Q545" s="339"/>
      <c r="R545" s="339"/>
      <c r="S545" s="339"/>
      <c r="T545" s="339"/>
      <c r="U545" s="339"/>
      <c r="V545" s="339"/>
      <c r="W545" s="339"/>
      <c r="X545" s="339"/>
      <c r="Y545" s="339"/>
      <c r="Z545" s="339"/>
      <c r="AA545" s="339"/>
      <c r="AB545" s="341"/>
      <c r="AC545" s="341"/>
      <c r="AD545" s="341"/>
      <c r="AE545" s="339"/>
      <c r="AF545" s="339"/>
      <c r="AG545" s="341"/>
      <c r="AH545" s="339"/>
      <c r="AI545" s="341"/>
      <c r="AJ545" s="339"/>
      <c r="AK545" s="341"/>
      <c r="AL545" s="341"/>
      <c r="AM545" s="339"/>
      <c r="AN545" s="339"/>
      <c r="AO545" s="339"/>
      <c r="AP545" s="339"/>
      <c r="AQ545" s="339"/>
      <c r="AR545" s="339"/>
      <c r="AS545" s="339"/>
    </row>
    <row r="546" spans="1:45" ht="15.75" customHeight="1">
      <c r="A546" s="339"/>
      <c r="B546" s="339"/>
      <c r="C546" s="341"/>
      <c r="D546" s="341"/>
      <c r="E546" s="341"/>
      <c r="F546" s="340"/>
      <c r="G546" s="339"/>
      <c r="H546" s="339"/>
      <c r="I546" s="339"/>
      <c r="J546" s="341"/>
      <c r="K546" s="340"/>
      <c r="L546" s="341"/>
      <c r="M546" s="340"/>
      <c r="N546" s="339"/>
      <c r="O546" s="339"/>
      <c r="P546" s="339"/>
      <c r="Q546" s="339"/>
      <c r="R546" s="339"/>
      <c r="S546" s="339"/>
      <c r="T546" s="339"/>
      <c r="U546" s="339"/>
      <c r="V546" s="339"/>
      <c r="W546" s="339"/>
      <c r="X546" s="339"/>
      <c r="Y546" s="339"/>
      <c r="Z546" s="339"/>
      <c r="AA546" s="339"/>
      <c r="AB546" s="341"/>
      <c r="AC546" s="341"/>
      <c r="AD546" s="341"/>
      <c r="AE546" s="339"/>
      <c r="AF546" s="339"/>
      <c r="AG546" s="341"/>
      <c r="AH546" s="339"/>
      <c r="AI546" s="341"/>
      <c r="AJ546" s="339"/>
      <c r="AK546" s="341"/>
      <c r="AL546" s="341"/>
      <c r="AM546" s="339"/>
      <c r="AN546" s="339"/>
      <c r="AO546" s="339"/>
      <c r="AP546" s="339"/>
      <c r="AQ546" s="339"/>
      <c r="AR546" s="339"/>
      <c r="AS546" s="339"/>
    </row>
    <row r="547" spans="1:45" ht="15.75" customHeight="1">
      <c r="A547" s="339"/>
      <c r="B547" s="339"/>
      <c r="C547" s="341"/>
      <c r="D547" s="341"/>
      <c r="E547" s="341"/>
      <c r="F547" s="340"/>
      <c r="G547" s="339"/>
      <c r="H547" s="339"/>
      <c r="I547" s="339"/>
      <c r="J547" s="341"/>
      <c r="K547" s="340"/>
      <c r="L547" s="341"/>
      <c r="M547" s="340"/>
      <c r="N547" s="339"/>
      <c r="O547" s="339"/>
      <c r="P547" s="339"/>
      <c r="Q547" s="339"/>
      <c r="R547" s="339"/>
      <c r="S547" s="339"/>
      <c r="T547" s="339"/>
      <c r="U547" s="339"/>
      <c r="V547" s="339"/>
      <c r="W547" s="339"/>
      <c r="X547" s="339"/>
      <c r="Y547" s="339"/>
      <c r="Z547" s="339"/>
      <c r="AA547" s="339"/>
      <c r="AB547" s="341"/>
      <c r="AC547" s="341"/>
      <c r="AD547" s="341"/>
      <c r="AE547" s="339"/>
      <c r="AF547" s="339"/>
      <c r="AG547" s="341"/>
      <c r="AH547" s="339"/>
      <c r="AI547" s="341"/>
      <c r="AJ547" s="339"/>
      <c r="AK547" s="341"/>
      <c r="AL547" s="341"/>
      <c r="AM547" s="339"/>
      <c r="AN547" s="339"/>
      <c r="AO547" s="339"/>
      <c r="AP547" s="339"/>
      <c r="AQ547" s="339"/>
      <c r="AR547" s="339"/>
      <c r="AS547" s="339"/>
    </row>
    <row r="548" spans="1:45" ht="15.75" customHeight="1">
      <c r="A548" s="339"/>
      <c r="B548" s="339"/>
      <c r="C548" s="341"/>
      <c r="D548" s="341"/>
      <c r="E548" s="341"/>
      <c r="F548" s="340"/>
      <c r="G548" s="339"/>
      <c r="H548" s="339"/>
      <c r="I548" s="339"/>
      <c r="J548" s="341"/>
      <c r="K548" s="340"/>
      <c r="L548" s="341"/>
      <c r="M548" s="340"/>
      <c r="N548" s="339"/>
      <c r="O548" s="339"/>
      <c r="P548" s="339"/>
      <c r="Q548" s="339"/>
      <c r="R548" s="339"/>
      <c r="S548" s="339"/>
      <c r="T548" s="339"/>
      <c r="U548" s="339"/>
      <c r="V548" s="339"/>
      <c r="W548" s="339"/>
      <c r="X548" s="339"/>
      <c r="Y548" s="339"/>
      <c r="Z548" s="339"/>
      <c r="AA548" s="339"/>
      <c r="AB548" s="341"/>
      <c r="AC548" s="341"/>
      <c r="AD548" s="341"/>
      <c r="AE548" s="339"/>
      <c r="AF548" s="339"/>
      <c r="AG548" s="341"/>
      <c r="AH548" s="339"/>
      <c r="AI548" s="341"/>
      <c r="AJ548" s="339"/>
      <c r="AK548" s="341"/>
      <c r="AL548" s="341"/>
      <c r="AM548" s="339"/>
      <c r="AN548" s="339"/>
      <c r="AO548" s="339"/>
      <c r="AP548" s="339"/>
      <c r="AQ548" s="339"/>
      <c r="AR548" s="339"/>
      <c r="AS548" s="339"/>
    </row>
    <row r="549" spans="1:45" ht="15.75" customHeight="1">
      <c r="A549" s="339"/>
      <c r="B549" s="339"/>
      <c r="C549" s="341"/>
      <c r="D549" s="341"/>
      <c r="E549" s="341"/>
      <c r="F549" s="340"/>
      <c r="G549" s="339"/>
      <c r="H549" s="339"/>
      <c r="I549" s="339"/>
      <c r="J549" s="341"/>
      <c r="K549" s="340"/>
      <c r="L549" s="341"/>
      <c r="M549" s="340"/>
      <c r="N549" s="339"/>
      <c r="O549" s="339"/>
      <c r="P549" s="339"/>
      <c r="Q549" s="339"/>
      <c r="R549" s="339"/>
      <c r="S549" s="339"/>
      <c r="T549" s="339"/>
      <c r="U549" s="339"/>
      <c r="V549" s="339"/>
      <c r="W549" s="339"/>
      <c r="X549" s="339"/>
      <c r="Y549" s="339"/>
      <c r="Z549" s="339"/>
      <c r="AA549" s="339"/>
      <c r="AB549" s="341"/>
      <c r="AC549" s="341"/>
      <c r="AD549" s="341"/>
      <c r="AE549" s="339"/>
      <c r="AF549" s="339"/>
      <c r="AG549" s="341"/>
      <c r="AH549" s="339"/>
      <c r="AI549" s="341"/>
      <c r="AJ549" s="339"/>
      <c r="AK549" s="341"/>
      <c r="AL549" s="341"/>
      <c r="AM549" s="339"/>
      <c r="AN549" s="339"/>
      <c r="AO549" s="339"/>
      <c r="AP549" s="339"/>
      <c r="AQ549" s="339"/>
      <c r="AR549" s="339"/>
      <c r="AS549" s="339"/>
    </row>
    <row r="550" spans="1:45" ht="15.75" customHeight="1">
      <c r="A550" s="339"/>
      <c r="B550" s="339"/>
      <c r="C550" s="341"/>
      <c r="D550" s="341"/>
      <c r="E550" s="341"/>
      <c r="F550" s="340"/>
      <c r="G550" s="339"/>
      <c r="H550" s="339"/>
      <c r="I550" s="339"/>
      <c r="J550" s="341"/>
      <c r="K550" s="340"/>
      <c r="L550" s="341"/>
      <c r="M550" s="340"/>
      <c r="N550" s="339"/>
      <c r="O550" s="339"/>
      <c r="P550" s="339"/>
      <c r="Q550" s="339"/>
      <c r="R550" s="339"/>
      <c r="S550" s="339"/>
      <c r="T550" s="339"/>
      <c r="U550" s="339"/>
      <c r="V550" s="339"/>
      <c r="W550" s="339"/>
      <c r="X550" s="339"/>
      <c r="Y550" s="339"/>
      <c r="Z550" s="339"/>
      <c r="AA550" s="339"/>
      <c r="AB550" s="341"/>
      <c r="AC550" s="341"/>
      <c r="AD550" s="341"/>
      <c r="AE550" s="339"/>
      <c r="AF550" s="339"/>
      <c r="AG550" s="341"/>
      <c r="AH550" s="339"/>
      <c r="AI550" s="341"/>
      <c r="AJ550" s="339"/>
      <c r="AK550" s="341"/>
      <c r="AL550" s="341"/>
      <c r="AM550" s="339"/>
      <c r="AN550" s="339"/>
      <c r="AO550" s="339"/>
      <c r="AP550" s="339"/>
      <c r="AQ550" s="339"/>
      <c r="AR550" s="339"/>
      <c r="AS550" s="339"/>
    </row>
    <row r="551" spans="1:45" ht="15.75" customHeight="1">
      <c r="A551" s="339"/>
      <c r="B551" s="339"/>
      <c r="C551" s="341"/>
      <c r="D551" s="341"/>
      <c r="E551" s="341"/>
      <c r="F551" s="340"/>
      <c r="G551" s="339"/>
      <c r="H551" s="339"/>
      <c r="I551" s="339"/>
      <c r="J551" s="341"/>
      <c r="K551" s="340"/>
      <c r="L551" s="341"/>
      <c r="M551" s="340"/>
      <c r="N551" s="339"/>
      <c r="O551" s="339"/>
      <c r="P551" s="339"/>
      <c r="Q551" s="339"/>
      <c r="R551" s="339"/>
      <c r="S551" s="339"/>
      <c r="T551" s="339"/>
      <c r="U551" s="339"/>
      <c r="V551" s="339"/>
      <c r="W551" s="339"/>
      <c r="X551" s="339"/>
      <c r="Y551" s="339"/>
      <c r="Z551" s="339"/>
      <c r="AA551" s="339"/>
      <c r="AB551" s="341"/>
      <c r="AC551" s="341"/>
      <c r="AD551" s="341"/>
      <c r="AE551" s="339"/>
      <c r="AF551" s="339"/>
      <c r="AG551" s="341"/>
      <c r="AH551" s="339"/>
      <c r="AI551" s="341"/>
      <c r="AJ551" s="339"/>
      <c r="AK551" s="341"/>
      <c r="AL551" s="341"/>
      <c r="AM551" s="339"/>
      <c r="AN551" s="339"/>
      <c r="AO551" s="339"/>
      <c r="AP551" s="339"/>
      <c r="AQ551" s="339"/>
      <c r="AR551" s="339"/>
      <c r="AS551" s="339"/>
    </row>
    <row r="552" spans="1:45" ht="15.75" customHeight="1">
      <c r="A552" s="339"/>
      <c r="B552" s="339"/>
      <c r="C552" s="341"/>
      <c r="D552" s="341"/>
      <c r="E552" s="341"/>
      <c r="F552" s="340"/>
      <c r="G552" s="339"/>
      <c r="H552" s="339"/>
      <c r="I552" s="339"/>
      <c r="J552" s="341"/>
      <c r="K552" s="340"/>
      <c r="L552" s="341"/>
      <c r="M552" s="340"/>
      <c r="N552" s="339"/>
      <c r="O552" s="339"/>
      <c r="P552" s="339"/>
      <c r="Q552" s="339"/>
      <c r="R552" s="339"/>
      <c r="S552" s="339"/>
      <c r="T552" s="339"/>
      <c r="U552" s="339"/>
      <c r="V552" s="339"/>
      <c r="W552" s="339"/>
      <c r="X552" s="339"/>
      <c r="Y552" s="339"/>
      <c r="Z552" s="339"/>
      <c r="AA552" s="339"/>
      <c r="AB552" s="341"/>
      <c r="AC552" s="341"/>
      <c r="AD552" s="341"/>
      <c r="AE552" s="339"/>
      <c r="AF552" s="339"/>
      <c r="AG552" s="341"/>
      <c r="AH552" s="339"/>
      <c r="AI552" s="341"/>
      <c r="AJ552" s="339"/>
      <c r="AK552" s="341"/>
      <c r="AL552" s="341"/>
      <c r="AM552" s="339"/>
      <c r="AN552" s="339"/>
      <c r="AO552" s="339"/>
      <c r="AP552" s="339"/>
      <c r="AQ552" s="339"/>
      <c r="AR552" s="339"/>
      <c r="AS552" s="339"/>
    </row>
    <row r="553" spans="1:45" ht="15.75" customHeight="1">
      <c r="A553" s="339"/>
      <c r="B553" s="339"/>
      <c r="C553" s="341"/>
      <c r="D553" s="341"/>
      <c r="E553" s="341"/>
      <c r="F553" s="340"/>
      <c r="G553" s="339"/>
      <c r="H553" s="339"/>
      <c r="I553" s="339"/>
      <c r="J553" s="341"/>
      <c r="K553" s="340"/>
      <c r="L553" s="341"/>
      <c r="M553" s="340"/>
      <c r="N553" s="339"/>
      <c r="O553" s="339"/>
      <c r="P553" s="339"/>
      <c r="Q553" s="339"/>
      <c r="R553" s="339"/>
      <c r="S553" s="339"/>
      <c r="T553" s="339"/>
      <c r="U553" s="339"/>
      <c r="V553" s="339"/>
      <c r="W553" s="339"/>
      <c r="X553" s="339"/>
      <c r="Y553" s="339"/>
      <c r="Z553" s="339"/>
      <c r="AA553" s="339"/>
      <c r="AB553" s="341"/>
      <c r="AC553" s="341"/>
      <c r="AD553" s="341"/>
      <c r="AE553" s="339"/>
      <c r="AF553" s="339"/>
      <c r="AG553" s="341"/>
      <c r="AH553" s="339"/>
      <c r="AI553" s="341"/>
      <c r="AJ553" s="339"/>
      <c r="AK553" s="341"/>
      <c r="AL553" s="341"/>
      <c r="AM553" s="339"/>
      <c r="AN553" s="339"/>
      <c r="AO553" s="339"/>
      <c r="AP553" s="339"/>
      <c r="AQ553" s="339"/>
      <c r="AR553" s="339"/>
      <c r="AS553" s="339"/>
    </row>
    <row r="554" spans="1:45" ht="15.75" customHeight="1">
      <c r="A554" s="339"/>
      <c r="B554" s="339"/>
      <c r="C554" s="341"/>
      <c r="D554" s="341"/>
      <c r="E554" s="341"/>
      <c r="F554" s="340"/>
      <c r="G554" s="339"/>
      <c r="H554" s="339"/>
      <c r="I554" s="339"/>
      <c r="J554" s="341"/>
      <c r="K554" s="340"/>
      <c r="L554" s="341"/>
      <c r="M554" s="340"/>
      <c r="N554" s="339"/>
      <c r="O554" s="339"/>
      <c r="P554" s="339"/>
      <c r="Q554" s="339"/>
      <c r="R554" s="339"/>
      <c r="S554" s="339"/>
      <c r="T554" s="339"/>
      <c r="U554" s="339"/>
      <c r="V554" s="339"/>
      <c r="W554" s="339"/>
      <c r="X554" s="339"/>
      <c r="Y554" s="339"/>
      <c r="Z554" s="339"/>
      <c r="AA554" s="339"/>
      <c r="AB554" s="341"/>
      <c r="AC554" s="341"/>
      <c r="AD554" s="341"/>
      <c r="AE554" s="339"/>
      <c r="AF554" s="339"/>
      <c r="AG554" s="341"/>
      <c r="AH554" s="339"/>
      <c r="AI554" s="341"/>
      <c r="AJ554" s="339"/>
      <c r="AK554" s="341"/>
      <c r="AL554" s="341"/>
      <c r="AM554" s="339"/>
      <c r="AN554" s="339"/>
      <c r="AO554" s="339"/>
      <c r="AP554" s="339"/>
      <c r="AQ554" s="339"/>
      <c r="AR554" s="339"/>
      <c r="AS554" s="339"/>
    </row>
    <row r="555" spans="1:45" ht="15.75" customHeight="1">
      <c r="A555" s="339"/>
      <c r="B555" s="339"/>
      <c r="C555" s="341"/>
      <c r="D555" s="341"/>
      <c r="E555" s="341"/>
      <c r="F555" s="340"/>
      <c r="G555" s="339"/>
      <c r="H555" s="339"/>
      <c r="I555" s="339"/>
      <c r="J555" s="341"/>
      <c r="K555" s="340"/>
      <c r="L555" s="341"/>
      <c r="M555" s="340"/>
      <c r="N555" s="339"/>
      <c r="O555" s="339"/>
      <c r="P555" s="339"/>
      <c r="Q555" s="339"/>
      <c r="R555" s="339"/>
      <c r="S555" s="339"/>
      <c r="T555" s="339"/>
      <c r="U555" s="339"/>
      <c r="V555" s="339"/>
      <c r="W555" s="339"/>
      <c r="X555" s="339"/>
      <c r="Y555" s="339"/>
      <c r="Z555" s="339"/>
      <c r="AA555" s="339"/>
      <c r="AB555" s="341"/>
      <c r="AC555" s="341"/>
      <c r="AD555" s="341"/>
      <c r="AE555" s="339"/>
      <c r="AF555" s="339"/>
      <c r="AG555" s="341"/>
      <c r="AH555" s="339"/>
      <c r="AI555" s="341"/>
      <c r="AJ555" s="339"/>
      <c r="AK555" s="341"/>
      <c r="AL555" s="341"/>
      <c r="AM555" s="339"/>
      <c r="AN555" s="339"/>
      <c r="AO555" s="339"/>
      <c r="AP555" s="339"/>
      <c r="AQ555" s="339"/>
      <c r="AR555" s="339"/>
      <c r="AS555" s="339"/>
    </row>
    <row r="556" spans="1:45" ht="15.75" customHeight="1">
      <c r="A556" s="339"/>
      <c r="B556" s="339"/>
      <c r="C556" s="341"/>
      <c r="D556" s="341"/>
      <c r="E556" s="341"/>
      <c r="F556" s="340"/>
      <c r="G556" s="339"/>
      <c r="H556" s="339"/>
      <c r="I556" s="339"/>
      <c r="J556" s="341"/>
      <c r="K556" s="340"/>
      <c r="L556" s="341"/>
      <c r="M556" s="340"/>
      <c r="N556" s="339"/>
      <c r="O556" s="339"/>
      <c r="P556" s="339"/>
      <c r="Q556" s="339"/>
      <c r="R556" s="339"/>
      <c r="S556" s="339"/>
      <c r="T556" s="339"/>
      <c r="U556" s="339"/>
      <c r="V556" s="339"/>
      <c r="W556" s="339"/>
      <c r="X556" s="339"/>
      <c r="Y556" s="339"/>
      <c r="Z556" s="339"/>
      <c r="AA556" s="339"/>
      <c r="AB556" s="341"/>
      <c r="AC556" s="341"/>
      <c r="AD556" s="341"/>
      <c r="AE556" s="339"/>
      <c r="AF556" s="339"/>
      <c r="AG556" s="341"/>
      <c r="AH556" s="339"/>
      <c r="AI556" s="341"/>
      <c r="AJ556" s="339"/>
      <c r="AK556" s="341"/>
      <c r="AL556" s="341"/>
      <c r="AM556" s="339"/>
      <c r="AN556" s="339"/>
      <c r="AO556" s="339"/>
      <c r="AP556" s="339"/>
      <c r="AQ556" s="339"/>
      <c r="AR556" s="339"/>
      <c r="AS556" s="339"/>
    </row>
    <row r="557" spans="1:45" ht="15.75" customHeight="1">
      <c r="A557" s="339"/>
      <c r="B557" s="339"/>
      <c r="C557" s="341"/>
      <c r="D557" s="341"/>
      <c r="E557" s="341"/>
      <c r="F557" s="340"/>
      <c r="G557" s="339"/>
      <c r="H557" s="339"/>
      <c r="I557" s="339"/>
      <c r="J557" s="341"/>
      <c r="K557" s="340"/>
      <c r="L557" s="341"/>
      <c r="M557" s="340"/>
      <c r="N557" s="339"/>
      <c r="O557" s="339"/>
      <c r="P557" s="339"/>
      <c r="Q557" s="339"/>
      <c r="R557" s="339"/>
      <c r="S557" s="339"/>
      <c r="T557" s="339"/>
      <c r="U557" s="339"/>
      <c r="V557" s="339"/>
      <c r="W557" s="339"/>
      <c r="X557" s="339"/>
      <c r="Y557" s="339"/>
      <c r="Z557" s="339"/>
      <c r="AA557" s="339"/>
      <c r="AB557" s="341"/>
      <c r="AC557" s="341"/>
      <c r="AD557" s="341"/>
      <c r="AE557" s="339"/>
      <c r="AF557" s="339"/>
      <c r="AG557" s="341"/>
      <c r="AH557" s="339"/>
      <c r="AI557" s="341"/>
      <c r="AJ557" s="339"/>
      <c r="AK557" s="341"/>
      <c r="AL557" s="341"/>
      <c r="AM557" s="339"/>
      <c r="AN557" s="339"/>
      <c r="AO557" s="339"/>
      <c r="AP557" s="339"/>
      <c r="AQ557" s="339"/>
      <c r="AR557" s="339"/>
      <c r="AS557" s="339"/>
    </row>
    <row r="558" spans="1:45" ht="15.75" customHeight="1">
      <c r="A558" s="339"/>
      <c r="B558" s="339"/>
      <c r="C558" s="341"/>
      <c r="D558" s="341"/>
      <c r="E558" s="341"/>
      <c r="F558" s="340"/>
      <c r="G558" s="339"/>
      <c r="H558" s="339"/>
      <c r="I558" s="339"/>
      <c r="J558" s="341"/>
      <c r="K558" s="340"/>
      <c r="L558" s="341"/>
      <c r="M558" s="340"/>
      <c r="N558" s="339"/>
      <c r="O558" s="339"/>
      <c r="P558" s="339"/>
      <c r="Q558" s="339"/>
      <c r="R558" s="339"/>
      <c r="S558" s="339"/>
      <c r="T558" s="339"/>
      <c r="U558" s="339"/>
      <c r="V558" s="339"/>
      <c r="W558" s="339"/>
      <c r="X558" s="339"/>
      <c r="Y558" s="339"/>
      <c r="Z558" s="339"/>
      <c r="AA558" s="339"/>
      <c r="AB558" s="341"/>
      <c r="AC558" s="341"/>
      <c r="AD558" s="341"/>
      <c r="AE558" s="339"/>
      <c r="AF558" s="339"/>
      <c r="AG558" s="341"/>
      <c r="AH558" s="339"/>
      <c r="AI558" s="341"/>
      <c r="AJ558" s="339"/>
      <c r="AK558" s="341"/>
      <c r="AL558" s="341"/>
      <c r="AM558" s="339"/>
      <c r="AN558" s="339"/>
      <c r="AO558" s="339"/>
      <c r="AP558" s="339"/>
      <c r="AQ558" s="339"/>
      <c r="AR558" s="339"/>
      <c r="AS558" s="339"/>
    </row>
    <row r="559" spans="1:45" ht="15.75" customHeight="1">
      <c r="A559" s="339"/>
      <c r="B559" s="339"/>
      <c r="C559" s="341"/>
      <c r="D559" s="341"/>
      <c r="E559" s="341"/>
      <c r="F559" s="340"/>
      <c r="G559" s="339"/>
      <c r="H559" s="339"/>
      <c r="I559" s="339"/>
      <c r="J559" s="341"/>
      <c r="K559" s="340"/>
      <c r="L559" s="341"/>
      <c r="M559" s="340"/>
      <c r="N559" s="339"/>
      <c r="O559" s="339"/>
      <c r="P559" s="339"/>
      <c r="Q559" s="339"/>
      <c r="R559" s="339"/>
      <c r="S559" s="339"/>
      <c r="T559" s="339"/>
      <c r="U559" s="339"/>
      <c r="V559" s="339"/>
      <c r="W559" s="339"/>
      <c r="X559" s="339"/>
      <c r="Y559" s="339"/>
      <c r="Z559" s="339"/>
      <c r="AA559" s="339"/>
      <c r="AB559" s="341"/>
      <c r="AC559" s="341"/>
      <c r="AD559" s="341"/>
      <c r="AE559" s="339"/>
      <c r="AF559" s="339"/>
      <c r="AG559" s="341"/>
      <c r="AH559" s="339"/>
      <c r="AI559" s="341"/>
      <c r="AJ559" s="339"/>
      <c r="AK559" s="341"/>
      <c r="AL559" s="341"/>
      <c r="AM559" s="339"/>
      <c r="AN559" s="339"/>
      <c r="AO559" s="339"/>
      <c r="AP559" s="339"/>
      <c r="AQ559" s="339"/>
      <c r="AR559" s="339"/>
      <c r="AS559" s="339"/>
    </row>
    <row r="560" spans="1:45" ht="15.75" customHeight="1">
      <c r="A560" s="339"/>
      <c r="B560" s="339"/>
      <c r="C560" s="341"/>
      <c r="D560" s="341"/>
      <c r="E560" s="341"/>
      <c r="F560" s="340"/>
      <c r="G560" s="339"/>
      <c r="H560" s="339"/>
      <c r="I560" s="339"/>
      <c r="J560" s="341"/>
      <c r="K560" s="340"/>
      <c r="L560" s="341"/>
      <c r="M560" s="340"/>
      <c r="N560" s="339"/>
      <c r="O560" s="339"/>
      <c r="P560" s="339"/>
      <c r="Q560" s="339"/>
      <c r="R560" s="339"/>
      <c r="S560" s="339"/>
      <c r="T560" s="339"/>
      <c r="U560" s="339"/>
      <c r="V560" s="339"/>
      <c r="W560" s="339"/>
      <c r="X560" s="339"/>
      <c r="Y560" s="339"/>
      <c r="Z560" s="339"/>
      <c r="AA560" s="339"/>
      <c r="AB560" s="341"/>
      <c r="AC560" s="341"/>
      <c r="AD560" s="341"/>
      <c r="AE560" s="339"/>
      <c r="AF560" s="339"/>
      <c r="AG560" s="341"/>
      <c r="AH560" s="339"/>
      <c r="AI560" s="341"/>
      <c r="AJ560" s="339"/>
      <c r="AK560" s="341"/>
      <c r="AL560" s="341"/>
      <c r="AM560" s="339"/>
      <c r="AN560" s="339"/>
      <c r="AO560" s="339"/>
      <c r="AP560" s="339"/>
      <c r="AQ560" s="339"/>
      <c r="AR560" s="339"/>
      <c r="AS560" s="339"/>
    </row>
    <row r="561" spans="1:45" ht="15.75" customHeight="1">
      <c r="A561" s="339"/>
      <c r="B561" s="339"/>
      <c r="C561" s="341"/>
      <c r="D561" s="341"/>
      <c r="E561" s="341"/>
      <c r="F561" s="340"/>
      <c r="G561" s="339"/>
      <c r="H561" s="339"/>
      <c r="I561" s="339"/>
      <c r="J561" s="341"/>
      <c r="K561" s="340"/>
      <c r="L561" s="341"/>
      <c r="M561" s="340"/>
      <c r="N561" s="339"/>
      <c r="O561" s="339"/>
      <c r="P561" s="339"/>
      <c r="Q561" s="339"/>
      <c r="R561" s="339"/>
      <c r="S561" s="339"/>
      <c r="T561" s="339"/>
      <c r="U561" s="339"/>
      <c r="V561" s="339"/>
      <c r="W561" s="339"/>
      <c r="X561" s="339"/>
      <c r="Y561" s="339"/>
      <c r="Z561" s="339"/>
      <c r="AA561" s="339"/>
      <c r="AB561" s="341"/>
      <c r="AC561" s="341"/>
      <c r="AD561" s="341"/>
      <c r="AE561" s="339"/>
      <c r="AF561" s="339"/>
      <c r="AG561" s="341"/>
      <c r="AH561" s="339"/>
      <c r="AI561" s="341"/>
      <c r="AJ561" s="339"/>
      <c r="AK561" s="341"/>
      <c r="AL561" s="341"/>
      <c r="AM561" s="339"/>
      <c r="AN561" s="339"/>
      <c r="AO561" s="339"/>
      <c r="AP561" s="339"/>
      <c r="AQ561" s="339"/>
      <c r="AR561" s="339"/>
      <c r="AS561" s="339"/>
    </row>
    <row r="562" spans="1:45" ht="15.75" customHeight="1">
      <c r="A562" s="339"/>
      <c r="B562" s="339"/>
      <c r="C562" s="341"/>
      <c r="D562" s="341"/>
      <c r="E562" s="341"/>
      <c r="F562" s="340"/>
      <c r="G562" s="339"/>
      <c r="H562" s="339"/>
      <c r="I562" s="339"/>
      <c r="J562" s="341"/>
      <c r="K562" s="340"/>
      <c r="L562" s="341"/>
      <c r="M562" s="340"/>
      <c r="N562" s="339"/>
      <c r="O562" s="339"/>
      <c r="P562" s="339"/>
      <c r="Q562" s="339"/>
      <c r="R562" s="339"/>
      <c r="S562" s="339"/>
      <c r="T562" s="339"/>
      <c r="U562" s="339"/>
      <c r="V562" s="339"/>
      <c r="W562" s="339"/>
      <c r="X562" s="339"/>
      <c r="Y562" s="339"/>
      <c r="Z562" s="339"/>
      <c r="AA562" s="339"/>
      <c r="AB562" s="341"/>
      <c r="AC562" s="341"/>
      <c r="AD562" s="341"/>
      <c r="AE562" s="339"/>
      <c r="AF562" s="339"/>
      <c r="AG562" s="341"/>
      <c r="AH562" s="339"/>
      <c r="AI562" s="341"/>
      <c r="AJ562" s="339"/>
      <c r="AK562" s="341"/>
      <c r="AL562" s="341"/>
      <c r="AM562" s="339"/>
      <c r="AN562" s="339"/>
      <c r="AO562" s="339"/>
      <c r="AP562" s="339"/>
      <c r="AQ562" s="339"/>
      <c r="AR562" s="339"/>
      <c r="AS562" s="339"/>
    </row>
    <row r="563" spans="1:45" ht="15.75" customHeight="1">
      <c r="A563" s="339"/>
      <c r="B563" s="339"/>
      <c r="C563" s="341"/>
      <c r="D563" s="341"/>
      <c r="E563" s="341"/>
      <c r="F563" s="340"/>
      <c r="G563" s="339"/>
      <c r="H563" s="339"/>
      <c r="I563" s="339"/>
      <c r="J563" s="341"/>
      <c r="K563" s="340"/>
      <c r="L563" s="341"/>
      <c r="M563" s="340"/>
      <c r="N563" s="339"/>
      <c r="O563" s="339"/>
      <c r="P563" s="339"/>
      <c r="Q563" s="339"/>
      <c r="R563" s="339"/>
      <c r="S563" s="339"/>
      <c r="T563" s="339"/>
      <c r="U563" s="339"/>
      <c r="V563" s="339"/>
      <c r="W563" s="339"/>
      <c r="X563" s="339"/>
      <c r="Y563" s="339"/>
      <c r="Z563" s="339"/>
      <c r="AA563" s="339"/>
      <c r="AB563" s="341"/>
      <c r="AC563" s="341"/>
      <c r="AD563" s="341"/>
      <c r="AE563" s="339"/>
      <c r="AF563" s="339"/>
      <c r="AG563" s="341"/>
      <c r="AH563" s="339"/>
      <c r="AI563" s="341"/>
      <c r="AJ563" s="339"/>
      <c r="AK563" s="341"/>
      <c r="AL563" s="341"/>
      <c r="AM563" s="339"/>
      <c r="AN563" s="339"/>
      <c r="AO563" s="339"/>
      <c r="AP563" s="339"/>
      <c r="AQ563" s="339"/>
      <c r="AR563" s="339"/>
      <c r="AS563" s="339"/>
    </row>
    <row r="564" spans="1:45" ht="15.75" customHeight="1">
      <c r="A564" s="339"/>
      <c r="B564" s="339"/>
      <c r="C564" s="341"/>
      <c r="D564" s="341"/>
      <c r="E564" s="341"/>
      <c r="F564" s="340"/>
      <c r="G564" s="339"/>
      <c r="H564" s="339"/>
      <c r="I564" s="339"/>
      <c r="J564" s="341"/>
      <c r="K564" s="340"/>
      <c r="L564" s="341"/>
      <c r="M564" s="340"/>
      <c r="N564" s="339"/>
      <c r="O564" s="339"/>
      <c r="P564" s="339"/>
      <c r="Q564" s="339"/>
      <c r="R564" s="339"/>
      <c r="S564" s="339"/>
      <c r="T564" s="339"/>
      <c r="U564" s="339"/>
      <c r="V564" s="339"/>
      <c r="W564" s="339"/>
      <c r="X564" s="339"/>
      <c r="Y564" s="339"/>
      <c r="Z564" s="339"/>
      <c r="AA564" s="339"/>
      <c r="AB564" s="341"/>
      <c r="AC564" s="341"/>
      <c r="AD564" s="341"/>
      <c r="AE564" s="339"/>
      <c r="AF564" s="339"/>
      <c r="AG564" s="341"/>
      <c r="AH564" s="339"/>
      <c r="AI564" s="341"/>
      <c r="AJ564" s="339"/>
      <c r="AK564" s="341"/>
      <c r="AL564" s="341"/>
      <c r="AM564" s="339"/>
      <c r="AN564" s="339"/>
      <c r="AO564" s="339"/>
      <c r="AP564" s="339"/>
      <c r="AQ564" s="339"/>
      <c r="AR564" s="339"/>
      <c r="AS564" s="339"/>
    </row>
    <row r="565" spans="1:45" ht="15.75" customHeight="1">
      <c r="A565" s="339"/>
      <c r="B565" s="339"/>
      <c r="C565" s="341"/>
      <c r="D565" s="341"/>
      <c r="E565" s="341"/>
      <c r="F565" s="340"/>
      <c r="G565" s="339"/>
      <c r="H565" s="339"/>
      <c r="I565" s="339"/>
      <c r="J565" s="341"/>
      <c r="K565" s="340"/>
      <c r="L565" s="341"/>
      <c r="M565" s="340"/>
      <c r="N565" s="339"/>
      <c r="O565" s="339"/>
      <c r="P565" s="339"/>
      <c r="Q565" s="339"/>
      <c r="R565" s="339"/>
      <c r="S565" s="339"/>
      <c r="T565" s="339"/>
      <c r="U565" s="339"/>
      <c r="V565" s="339"/>
      <c r="W565" s="339"/>
      <c r="X565" s="339"/>
      <c r="Y565" s="339"/>
      <c r="Z565" s="339"/>
      <c r="AA565" s="339"/>
      <c r="AB565" s="341"/>
      <c r="AC565" s="341"/>
      <c r="AD565" s="341"/>
      <c r="AE565" s="339"/>
      <c r="AF565" s="339"/>
      <c r="AG565" s="341"/>
      <c r="AH565" s="339"/>
      <c r="AI565" s="341"/>
      <c r="AJ565" s="339"/>
      <c r="AK565" s="341"/>
      <c r="AL565" s="341"/>
      <c r="AM565" s="339"/>
      <c r="AN565" s="339"/>
      <c r="AO565" s="339"/>
      <c r="AP565" s="339"/>
      <c r="AQ565" s="339"/>
      <c r="AR565" s="339"/>
      <c r="AS565" s="339"/>
    </row>
    <row r="566" spans="1:45" ht="15.75" customHeight="1">
      <c r="A566" s="339"/>
      <c r="B566" s="339"/>
      <c r="C566" s="341"/>
      <c r="D566" s="341"/>
      <c r="E566" s="341"/>
      <c r="F566" s="340"/>
      <c r="G566" s="339"/>
      <c r="H566" s="339"/>
      <c r="I566" s="339"/>
      <c r="J566" s="341"/>
      <c r="K566" s="340"/>
      <c r="L566" s="341"/>
      <c r="M566" s="340"/>
      <c r="N566" s="339"/>
      <c r="O566" s="339"/>
      <c r="P566" s="339"/>
      <c r="Q566" s="339"/>
      <c r="R566" s="339"/>
      <c r="S566" s="339"/>
      <c r="T566" s="339"/>
      <c r="U566" s="339"/>
      <c r="V566" s="339"/>
      <c r="W566" s="339"/>
      <c r="X566" s="339"/>
      <c r="Y566" s="339"/>
      <c r="Z566" s="339"/>
      <c r="AA566" s="339"/>
      <c r="AB566" s="341"/>
      <c r="AC566" s="341"/>
      <c r="AD566" s="341"/>
      <c r="AE566" s="339"/>
      <c r="AF566" s="339"/>
      <c r="AG566" s="341"/>
      <c r="AH566" s="339"/>
      <c r="AI566" s="341"/>
      <c r="AJ566" s="339"/>
      <c r="AK566" s="341"/>
      <c r="AL566" s="341"/>
      <c r="AM566" s="339"/>
      <c r="AN566" s="339"/>
      <c r="AO566" s="339"/>
      <c r="AP566" s="339"/>
      <c r="AQ566" s="339"/>
      <c r="AR566" s="339"/>
      <c r="AS566" s="339"/>
    </row>
    <row r="567" spans="1:45" ht="15.75" customHeight="1">
      <c r="A567" s="339"/>
      <c r="B567" s="339"/>
      <c r="C567" s="341"/>
      <c r="D567" s="341"/>
      <c r="E567" s="341"/>
      <c r="F567" s="340"/>
      <c r="G567" s="339"/>
      <c r="H567" s="339"/>
      <c r="I567" s="339"/>
      <c r="J567" s="341"/>
      <c r="K567" s="340"/>
      <c r="L567" s="341"/>
      <c r="M567" s="340"/>
      <c r="N567" s="339"/>
      <c r="O567" s="339"/>
      <c r="P567" s="339"/>
      <c r="Q567" s="339"/>
      <c r="R567" s="339"/>
      <c r="S567" s="339"/>
      <c r="T567" s="339"/>
      <c r="U567" s="339"/>
      <c r="V567" s="339"/>
      <c r="W567" s="339"/>
      <c r="X567" s="339"/>
      <c r="Y567" s="339"/>
      <c r="Z567" s="339"/>
      <c r="AA567" s="339"/>
      <c r="AB567" s="341"/>
      <c r="AC567" s="341"/>
      <c r="AD567" s="341"/>
      <c r="AE567" s="339"/>
      <c r="AF567" s="339"/>
      <c r="AG567" s="341"/>
      <c r="AH567" s="339"/>
      <c r="AI567" s="341"/>
      <c r="AJ567" s="339"/>
      <c r="AK567" s="341"/>
      <c r="AL567" s="341"/>
      <c r="AM567" s="339"/>
      <c r="AN567" s="339"/>
      <c r="AO567" s="339"/>
      <c r="AP567" s="339"/>
      <c r="AQ567" s="339"/>
      <c r="AR567" s="339"/>
      <c r="AS567" s="339"/>
    </row>
    <row r="568" spans="1:45" ht="15.75" customHeight="1">
      <c r="A568" s="339"/>
      <c r="B568" s="339"/>
      <c r="C568" s="341"/>
      <c r="D568" s="341"/>
      <c r="E568" s="341"/>
      <c r="F568" s="340"/>
      <c r="G568" s="339"/>
      <c r="H568" s="339"/>
      <c r="I568" s="339"/>
      <c r="J568" s="341"/>
      <c r="K568" s="340"/>
      <c r="L568" s="341"/>
      <c r="M568" s="340"/>
      <c r="N568" s="339"/>
      <c r="O568" s="339"/>
      <c r="P568" s="339"/>
      <c r="Q568" s="339"/>
      <c r="R568" s="339"/>
      <c r="S568" s="339"/>
      <c r="T568" s="339"/>
      <c r="U568" s="339"/>
      <c r="V568" s="339"/>
      <c r="W568" s="339"/>
      <c r="X568" s="339"/>
      <c r="Y568" s="339"/>
      <c r="Z568" s="339"/>
      <c r="AA568" s="339"/>
      <c r="AB568" s="341"/>
      <c r="AC568" s="341"/>
      <c r="AD568" s="341"/>
      <c r="AE568" s="339"/>
      <c r="AF568" s="339"/>
      <c r="AG568" s="341"/>
      <c r="AH568" s="339"/>
      <c r="AI568" s="341"/>
      <c r="AJ568" s="339"/>
      <c r="AK568" s="341"/>
      <c r="AL568" s="341"/>
      <c r="AM568" s="339"/>
      <c r="AN568" s="339"/>
      <c r="AO568" s="339"/>
      <c r="AP568" s="339"/>
      <c r="AQ568" s="339"/>
      <c r="AR568" s="339"/>
      <c r="AS568" s="339"/>
    </row>
    <row r="569" spans="1:45" ht="15.75" customHeight="1">
      <c r="A569" s="339"/>
      <c r="B569" s="339"/>
      <c r="C569" s="341"/>
      <c r="D569" s="341"/>
      <c r="E569" s="341"/>
      <c r="F569" s="340"/>
      <c r="G569" s="339"/>
      <c r="H569" s="339"/>
      <c r="I569" s="339"/>
      <c r="J569" s="341"/>
      <c r="K569" s="340"/>
      <c r="L569" s="341"/>
      <c r="M569" s="340"/>
      <c r="N569" s="339"/>
      <c r="O569" s="339"/>
      <c r="P569" s="339"/>
      <c r="Q569" s="339"/>
      <c r="R569" s="339"/>
      <c r="S569" s="339"/>
      <c r="T569" s="339"/>
      <c r="U569" s="339"/>
      <c r="V569" s="339"/>
      <c r="W569" s="339"/>
      <c r="X569" s="339"/>
      <c r="Y569" s="339"/>
      <c r="Z569" s="339"/>
      <c r="AA569" s="339"/>
      <c r="AB569" s="341"/>
      <c r="AC569" s="341"/>
      <c r="AD569" s="341"/>
      <c r="AE569" s="339"/>
      <c r="AF569" s="339"/>
      <c r="AG569" s="341"/>
      <c r="AH569" s="339"/>
      <c r="AI569" s="341"/>
      <c r="AJ569" s="339"/>
      <c r="AK569" s="341"/>
      <c r="AL569" s="341"/>
      <c r="AM569" s="339"/>
      <c r="AN569" s="339"/>
      <c r="AO569" s="339"/>
      <c r="AP569" s="339"/>
      <c r="AQ569" s="339"/>
      <c r="AR569" s="339"/>
      <c r="AS569" s="339"/>
    </row>
    <row r="570" spans="1:45" ht="15.75" customHeight="1">
      <c r="A570" s="339"/>
      <c r="B570" s="339"/>
      <c r="C570" s="341"/>
      <c r="D570" s="341"/>
      <c r="E570" s="341"/>
      <c r="F570" s="340"/>
      <c r="G570" s="339"/>
      <c r="H570" s="339"/>
      <c r="I570" s="339"/>
      <c r="J570" s="341"/>
      <c r="K570" s="340"/>
      <c r="L570" s="341"/>
      <c r="M570" s="340"/>
      <c r="N570" s="339"/>
      <c r="O570" s="339"/>
      <c r="P570" s="339"/>
      <c r="Q570" s="339"/>
      <c r="R570" s="339"/>
      <c r="S570" s="339"/>
      <c r="T570" s="339"/>
      <c r="U570" s="339"/>
      <c r="V570" s="339"/>
      <c r="W570" s="339"/>
      <c r="X570" s="339"/>
      <c r="Y570" s="339"/>
      <c r="Z570" s="339"/>
      <c r="AA570" s="339"/>
      <c r="AB570" s="341"/>
      <c r="AC570" s="341"/>
      <c r="AD570" s="341"/>
      <c r="AE570" s="339"/>
      <c r="AF570" s="339"/>
      <c r="AG570" s="341"/>
      <c r="AH570" s="339"/>
      <c r="AI570" s="341"/>
      <c r="AJ570" s="339"/>
      <c r="AK570" s="341"/>
      <c r="AL570" s="341"/>
      <c r="AM570" s="339"/>
      <c r="AN570" s="339"/>
      <c r="AO570" s="339"/>
      <c r="AP570" s="339"/>
      <c r="AQ570" s="339"/>
      <c r="AR570" s="339"/>
      <c r="AS570" s="339"/>
    </row>
    <row r="571" spans="1:45" ht="15.75" customHeight="1">
      <c r="A571" s="339"/>
      <c r="B571" s="339"/>
      <c r="C571" s="341"/>
      <c r="D571" s="341"/>
      <c r="E571" s="341"/>
      <c r="F571" s="340"/>
      <c r="G571" s="339"/>
      <c r="H571" s="339"/>
      <c r="I571" s="339"/>
      <c r="J571" s="341"/>
      <c r="K571" s="340"/>
      <c r="L571" s="341"/>
      <c r="M571" s="340"/>
      <c r="N571" s="339"/>
      <c r="O571" s="339"/>
      <c r="P571" s="339"/>
      <c r="Q571" s="339"/>
      <c r="R571" s="339"/>
      <c r="S571" s="339"/>
      <c r="T571" s="339"/>
      <c r="U571" s="339"/>
      <c r="V571" s="339"/>
      <c r="W571" s="339"/>
      <c r="X571" s="339"/>
      <c r="Y571" s="339"/>
      <c r="Z571" s="339"/>
      <c r="AA571" s="339"/>
      <c r="AB571" s="341"/>
      <c r="AC571" s="341"/>
      <c r="AD571" s="341"/>
      <c r="AE571" s="339"/>
      <c r="AF571" s="339"/>
      <c r="AG571" s="341"/>
      <c r="AH571" s="339"/>
      <c r="AI571" s="341"/>
      <c r="AJ571" s="339"/>
      <c r="AK571" s="341"/>
      <c r="AL571" s="341"/>
      <c r="AM571" s="339"/>
      <c r="AN571" s="339"/>
      <c r="AO571" s="339"/>
      <c r="AP571" s="339"/>
      <c r="AQ571" s="339"/>
      <c r="AR571" s="339"/>
      <c r="AS571" s="339"/>
    </row>
    <row r="572" spans="1:45" ht="15.75" customHeight="1">
      <c r="A572" s="339"/>
      <c r="B572" s="339"/>
      <c r="C572" s="341"/>
      <c r="D572" s="341"/>
      <c r="E572" s="341"/>
      <c r="F572" s="340"/>
      <c r="G572" s="339"/>
      <c r="H572" s="339"/>
      <c r="I572" s="339"/>
      <c r="J572" s="341"/>
      <c r="K572" s="340"/>
      <c r="L572" s="341"/>
      <c r="M572" s="340"/>
      <c r="N572" s="339"/>
      <c r="O572" s="339"/>
      <c r="P572" s="339"/>
      <c r="Q572" s="339"/>
      <c r="R572" s="339"/>
      <c r="S572" s="339"/>
      <c r="T572" s="339"/>
      <c r="U572" s="339"/>
      <c r="V572" s="339"/>
      <c r="W572" s="339"/>
      <c r="X572" s="339"/>
      <c r="Y572" s="339"/>
      <c r="Z572" s="339"/>
      <c r="AA572" s="339"/>
      <c r="AB572" s="341"/>
      <c r="AC572" s="341"/>
      <c r="AD572" s="341"/>
      <c r="AE572" s="339"/>
      <c r="AF572" s="339"/>
      <c r="AG572" s="341"/>
      <c r="AH572" s="339"/>
      <c r="AI572" s="341"/>
      <c r="AJ572" s="339"/>
      <c r="AK572" s="341"/>
      <c r="AL572" s="341"/>
      <c r="AM572" s="339"/>
      <c r="AN572" s="339"/>
      <c r="AO572" s="339"/>
      <c r="AP572" s="339"/>
      <c r="AQ572" s="339"/>
      <c r="AR572" s="339"/>
      <c r="AS572" s="339"/>
    </row>
    <row r="573" spans="1:45" ht="15.75" customHeight="1">
      <c r="A573" s="339"/>
      <c r="B573" s="339"/>
      <c r="C573" s="341"/>
      <c r="D573" s="341"/>
      <c r="E573" s="341"/>
      <c r="F573" s="340"/>
      <c r="G573" s="339"/>
      <c r="H573" s="339"/>
      <c r="I573" s="339"/>
      <c r="J573" s="341"/>
      <c r="K573" s="340"/>
      <c r="L573" s="341"/>
      <c r="M573" s="340"/>
      <c r="N573" s="339"/>
      <c r="O573" s="339"/>
      <c r="P573" s="339"/>
      <c r="Q573" s="339"/>
      <c r="R573" s="339"/>
      <c r="S573" s="339"/>
      <c r="T573" s="339"/>
      <c r="U573" s="339"/>
      <c r="V573" s="339"/>
      <c r="W573" s="339"/>
      <c r="X573" s="339"/>
      <c r="Y573" s="339"/>
      <c r="Z573" s="339"/>
      <c r="AA573" s="339"/>
      <c r="AB573" s="341"/>
      <c r="AC573" s="341"/>
      <c r="AD573" s="341"/>
      <c r="AE573" s="339"/>
      <c r="AF573" s="339"/>
      <c r="AG573" s="341"/>
      <c r="AH573" s="339"/>
      <c r="AI573" s="341"/>
      <c r="AJ573" s="339"/>
      <c r="AK573" s="341"/>
      <c r="AL573" s="341"/>
      <c r="AM573" s="339"/>
      <c r="AN573" s="339"/>
      <c r="AO573" s="339"/>
      <c r="AP573" s="339"/>
      <c r="AQ573" s="339"/>
      <c r="AR573" s="339"/>
      <c r="AS573" s="339"/>
    </row>
    <row r="574" spans="1:45" ht="15.75" customHeight="1">
      <c r="A574" s="339"/>
      <c r="B574" s="339"/>
      <c r="C574" s="341"/>
      <c r="D574" s="341"/>
      <c r="E574" s="341"/>
      <c r="F574" s="340"/>
      <c r="G574" s="339"/>
      <c r="H574" s="339"/>
      <c r="I574" s="339"/>
      <c r="J574" s="341"/>
      <c r="K574" s="340"/>
      <c r="L574" s="341"/>
      <c r="M574" s="340"/>
      <c r="N574" s="339"/>
      <c r="O574" s="339"/>
      <c r="P574" s="339"/>
      <c r="Q574" s="339"/>
      <c r="R574" s="339"/>
      <c r="S574" s="339"/>
      <c r="T574" s="339"/>
      <c r="U574" s="339"/>
      <c r="V574" s="339"/>
      <c r="W574" s="339"/>
      <c r="X574" s="339"/>
      <c r="Y574" s="339"/>
      <c r="Z574" s="339"/>
      <c r="AA574" s="339"/>
      <c r="AB574" s="341"/>
      <c r="AC574" s="341"/>
      <c r="AD574" s="341"/>
      <c r="AE574" s="339"/>
      <c r="AF574" s="339"/>
      <c r="AG574" s="341"/>
      <c r="AH574" s="339"/>
      <c r="AI574" s="341"/>
      <c r="AJ574" s="339"/>
      <c r="AK574" s="341"/>
      <c r="AL574" s="341"/>
      <c r="AM574" s="339"/>
      <c r="AN574" s="339"/>
      <c r="AO574" s="339"/>
      <c r="AP574" s="339"/>
      <c r="AQ574" s="339"/>
      <c r="AR574" s="339"/>
      <c r="AS574" s="339"/>
    </row>
    <row r="575" spans="1:45" ht="15.75" customHeight="1">
      <c r="A575" s="339"/>
      <c r="B575" s="339"/>
      <c r="C575" s="341"/>
      <c r="D575" s="341"/>
      <c r="E575" s="341"/>
      <c r="F575" s="340"/>
      <c r="G575" s="339"/>
      <c r="H575" s="339"/>
      <c r="I575" s="339"/>
      <c r="J575" s="341"/>
      <c r="K575" s="340"/>
      <c r="L575" s="341"/>
      <c r="M575" s="340"/>
      <c r="N575" s="339"/>
      <c r="O575" s="339"/>
      <c r="P575" s="339"/>
      <c r="Q575" s="339"/>
      <c r="R575" s="339"/>
      <c r="S575" s="339"/>
      <c r="T575" s="339"/>
      <c r="U575" s="339"/>
      <c r="V575" s="339"/>
      <c r="W575" s="339"/>
      <c r="X575" s="339"/>
      <c r="Y575" s="339"/>
      <c r="Z575" s="339"/>
      <c r="AA575" s="339"/>
      <c r="AB575" s="341"/>
      <c r="AC575" s="341"/>
      <c r="AD575" s="341"/>
      <c r="AE575" s="339"/>
      <c r="AF575" s="339"/>
      <c r="AG575" s="341"/>
      <c r="AH575" s="339"/>
      <c r="AI575" s="341"/>
      <c r="AJ575" s="339"/>
      <c r="AK575" s="341"/>
      <c r="AL575" s="341"/>
      <c r="AM575" s="339"/>
      <c r="AN575" s="339"/>
      <c r="AO575" s="339"/>
      <c r="AP575" s="339"/>
      <c r="AQ575" s="339"/>
      <c r="AR575" s="339"/>
      <c r="AS575" s="339"/>
    </row>
    <row r="576" spans="1:45" ht="15.75" customHeight="1">
      <c r="A576" s="339"/>
      <c r="B576" s="339"/>
      <c r="C576" s="341"/>
      <c r="D576" s="341"/>
      <c r="E576" s="341"/>
      <c r="F576" s="340"/>
      <c r="G576" s="339"/>
      <c r="H576" s="339"/>
      <c r="I576" s="339"/>
      <c r="J576" s="341"/>
      <c r="K576" s="340"/>
      <c r="L576" s="341"/>
      <c r="M576" s="340"/>
      <c r="N576" s="339"/>
      <c r="O576" s="339"/>
      <c r="P576" s="339"/>
      <c r="Q576" s="339"/>
      <c r="R576" s="339"/>
      <c r="S576" s="339"/>
      <c r="T576" s="339"/>
      <c r="U576" s="339"/>
      <c r="V576" s="339"/>
      <c r="W576" s="339"/>
      <c r="X576" s="339"/>
      <c r="Y576" s="339"/>
      <c r="Z576" s="339"/>
      <c r="AA576" s="339"/>
      <c r="AB576" s="341"/>
      <c r="AC576" s="341"/>
      <c r="AD576" s="341"/>
      <c r="AE576" s="339"/>
      <c r="AF576" s="339"/>
      <c r="AG576" s="341"/>
      <c r="AH576" s="339"/>
      <c r="AI576" s="341"/>
      <c r="AJ576" s="339"/>
      <c r="AK576" s="341"/>
      <c r="AL576" s="341"/>
      <c r="AM576" s="339"/>
      <c r="AN576" s="339"/>
      <c r="AO576" s="339"/>
      <c r="AP576" s="339"/>
      <c r="AQ576" s="339"/>
      <c r="AR576" s="339"/>
      <c r="AS576" s="339"/>
    </row>
    <row r="577" spans="1:45" ht="15.75" customHeight="1">
      <c r="A577" s="339"/>
      <c r="B577" s="339"/>
      <c r="C577" s="341"/>
      <c r="D577" s="341"/>
      <c r="E577" s="341"/>
      <c r="F577" s="340"/>
      <c r="G577" s="339"/>
      <c r="H577" s="339"/>
      <c r="I577" s="339"/>
      <c r="J577" s="341"/>
      <c r="K577" s="340"/>
      <c r="L577" s="341"/>
      <c r="M577" s="340"/>
      <c r="N577" s="339"/>
      <c r="O577" s="339"/>
      <c r="P577" s="339"/>
      <c r="Q577" s="339"/>
      <c r="R577" s="339"/>
      <c r="S577" s="339"/>
      <c r="T577" s="339"/>
      <c r="U577" s="339"/>
      <c r="V577" s="339"/>
      <c r="W577" s="339"/>
      <c r="X577" s="339"/>
      <c r="Y577" s="339"/>
      <c r="Z577" s="339"/>
      <c r="AA577" s="339"/>
      <c r="AB577" s="341"/>
      <c r="AC577" s="341"/>
      <c r="AD577" s="341"/>
      <c r="AE577" s="339"/>
      <c r="AF577" s="339"/>
      <c r="AG577" s="341"/>
      <c r="AH577" s="339"/>
      <c r="AI577" s="341"/>
      <c r="AJ577" s="339"/>
      <c r="AK577" s="341"/>
      <c r="AL577" s="341"/>
      <c r="AM577" s="339"/>
      <c r="AN577" s="339"/>
      <c r="AO577" s="339"/>
      <c r="AP577" s="339"/>
      <c r="AQ577" s="339"/>
      <c r="AR577" s="339"/>
      <c r="AS577" s="339"/>
    </row>
    <row r="578" spans="1:45" ht="15.75" customHeight="1">
      <c r="A578" s="339"/>
      <c r="B578" s="339"/>
      <c r="C578" s="341"/>
      <c r="D578" s="341"/>
      <c r="E578" s="341"/>
      <c r="F578" s="340"/>
      <c r="G578" s="339"/>
      <c r="H578" s="339"/>
      <c r="I578" s="339"/>
      <c r="J578" s="341"/>
      <c r="K578" s="340"/>
      <c r="L578" s="341"/>
      <c r="M578" s="340"/>
      <c r="N578" s="339"/>
      <c r="O578" s="339"/>
      <c r="P578" s="339"/>
      <c r="Q578" s="339"/>
      <c r="R578" s="339"/>
      <c r="S578" s="339"/>
      <c r="T578" s="339"/>
      <c r="U578" s="339"/>
      <c r="V578" s="339"/>
      <c r="W578" s="339"/>
      <c r="X578" s="339"/>
      <c r="Y578" s="339"/>
      <c r="Z578" s="339"/>
      <c r="AA578" s="339"/>
      <c r="AB578" s="341"/>
      <c r="AC578" s="341"/>
      <c r="AD578" s="341"/>
      <c r="AE578" s="339"/>
      <c r="AF578" s="339"/>
      <c r="AG578" s="341"/>
      <c r="AH578" s="339"/>
      <c r="AI578" s="341"/>
      <c r="AJ578" s="339"/>
      <c r="AK578" s="341"/>
      <c r="AL578" s="341"/>
      <c r="AM578" s="339"/>
      <c r="AN578" s="339"/>
      <c r="AO578" s="339"/>
      <c r="AP578" s="339"/>
      <c r="AQ578" s="339"/>
      <c r="AR578" s="339"/>
      <c r="AS578" s="339"/>
    </row>
    <row r="579" spans="1:45" ht="15.75" customHeight="1">
      <c r="A579" s="339"/>
      <c r="B579" s="339"/>
      <c r="C579" s="341"/>
      <c r="D579" s="341"/>
      <c r="E579" s="341"/>
      <c r="F579" s="340"/>
      <c r="G579" s="339"/>
      <c r="H579" s="339"/>
      <c r="I579" s="339"/>
      <c r="J579" s="341"/>
      <c r="K579" s="340"/>
      <c r="L579" s="341"/>
      <c r="M579" s="340"/>
      <c r="N579" s="339"/>
      <c r="O579" s="339"/>
      <c r="P579" s="339"/>
      <c r="Q579" s="339"/>
      <c r="R579" s="339"/>
      <c r="S579" s="339"/>
      <c r="T579" s="339"/>
      <c r="U579" s="339"/>
      <c r="V579" s="339"/>
      <c r="W579" s="339"/>
      <c r="X579" s="339"/>
      <c r="Y579" s="339"/>
      <c r="Z579" s="339"/>
      <c r="AA579" s="339"/>
      <c r="AB579" s="341"/>
      <c r="AC579" s="341"/>
      <c r="AD579" s="341"/>
      <c r="AE579" s="339"/>
      <c r="AF579" s="339"/>
      <c r="AG579" s="341"/>
      <c r="AH579" s="339"/>
      <c r="AI579" s="341"/>
      <c r="AJ579" s="339"/>
      <c r="AK579" s="341"/>
      <c r="AL579" s="341"/>
      <c r="AM579" s="339"/>
      <c r="AN579" s="339"/>
      <c r="AO579" s="339"/>
      <c r="AP579" s="339"/>
      <c r="AQ579" s="339"/>
      <c r="AR579" s="339"/>
      <c r="AS579" s="339"/>
    </row>
    <row r="580" spans="1:45" ht="15.75" customHeight="1">
      <c r="A580" s="339"/>
      <c r="B580" s="339"/>
      <c r="C580" s="341"/>
      <c r="D580" s="341"/>
      <c r="E580" s="341"/>
      <c r="F580" s="340"/>
      <c r="G580" s="339"/>
      <c r="H580" s="339"/>
      <c r="I580" s="339"/>
      <c r="J580" s="341"/>
      <c r="K580" s="340"/>
      <c r="L580" s="341"/>
      <c r="M580" s="340"/>
      <c r="N580" s="339"/>
      <c r="O580" s="339"/>
      <c r="P580" s="339"/>
      <c r="Q580" s="339"/>
      <c r="R580" s="339"/>
      <c r="S580" s="339"/>
      <c r="T580" s="339"/>
      <c r="U580" s="339"/>
      <c r="V580" s="339"/>
      <c r="W580" s="339"/>
      <c r="X580" s="339"/>
      <c r="Y580" s="339"/>
      <c r="Z580" s="339"/>
      <c r="AA580" s="339"/>
      <c r="AB580" s="341"/>
      <c r="AC580" s="341"/>
      <c r="AD580" s="341"/>
      <c r="AE580" s="339"/>
      <c r="AF580" s="339"/>
      <c r="AG580" s="341"/>
      <c r="AH580" s="339"/>
      <c r="AI580" s="341"/>
      <c r="AJ580" s="339"/>
      <c r="AK580" s="341"/>
      <c r="AL580" s="341"/>
      <c r="AM580" s="339"/>
      <c r="AN580" s="339"/>
      <c r="AO580" s="339"/>
      <c r="AP580" s="339"/>
      <c r="AQ580" s="339"/>
      <c r="AR580" s="339"/>
      <c r="AS580" s="339"/>
    </row>
    <row r="581" spans="1:45" ht="15.75" customHeight="1">
      <c r="A581" s="339"/>
      <c r="B581" s="339"/>
      <c r="C581" s="341"/>
      <c r="D581" s="341"/>
      <c r="E581" s="341"/>
      <c r="F581" s="340"/>
      <c r="G581" s="339"/>
      <c r="H581" s="339"/>
      <c r="I581" s="339"/>
      <c r="J581" s="341"/>
      <c r="K581" s="340"/>
      <c r="L581" s="341"/>
      <c r="M581" s="340"/>
      <c r="N581" s="339"/>
      <c r="O581" s="339"/>
      <c r="P581" s="339"/>
      <c r="Q581" s="339"/>
      <c r="R581" s="339"/>
      <c r="S581" s="339"/>
      <c r="T581" s="339"/>
      <c r="U581" s="339"/>
      <c r="V581" s="339"/>
      <c r="W581" s="339"/>
      <c r="X581" s="339"/>
      <c r="Y581" s="339"/>
      <c r="Z581" s="339"/>
      <c r="AA581" s="339"/>
      <c r="AB581" s="341"/>
      <c r="AC581" s="341"/>
      <c r="AD581" s="341"/>
      <c r="AE581" s="339"/>
      <c r="AF581" s="339"/>
      <c r="AG581" s="341"/>
      <c r="AH581" s="339"/>
      <c r="AI581" s="341"/>
      <c r="AJ581" s="339"/>
      <c r="AK581" s="341"/>
      <c r="AL581" s="341"/>
      <c r="AM581" s="339"/>
      <c r="AN581" s="339"/>
      <c r="AO581" s="339"/>
      <c r="AP581" s="339"/>
      <c r="AQ581" s="339"/>
      <c r="AR581" s="339"/>
      <c r="AS581" s="339"/>
    </row>
    <row r="582" spans="1:45" ht="15.75" customHeight="1">
      <c r="A582" s="339"/>
      <c r="B582" s="339"/>
      <c r="C582" s="341"/>
      <c r="D582" s="341"/>
      <c r="E582" s="341"/>
      <c r="F582" s="340"/>
      <c r="G582" s="339"/>
      <c r="H582" s="339"/>
      <c r="I582" s="339"/>
      <c r="J582" s="341"/>
      <c r="K582" s="340"/>
      <c r="L582" s="341"/>
      <c r="M582" s="340"/>
      <c r="N582" s="339"/>
      <c r="O582" s="339"/>
      <c r="P582" s="339"/>
      <c r="Q582" s="339"/>
      <c r="R582" s="339"/>
      <c r="S582" s="339"/>
      <c r="T582" s="339"/>
      <c r="U582" s="339"/>
      <c r="V582" s="339"/>
      <c r="W582" s="339"/>
      <c r="X582" s="339"/>
      <c r="Y582" s="339"/>
      <c r="Z582" s="339"/>
      <c r="AA582" s="339"/>
      <c r="AB582" s="341"/>
      <c r="AC582" s="341"/>
      <c r="AD582" s="341"/>
      <c r="AE582" s="339"/>
      <c r="AF582" s="339"/>
      <c r="AG582" s="341"/>
      <c r="AH582" s="339"/>
      <c r="AI582" s="341"/>
      <c r="AJ582" s="339"/>
      <c r="AK582" s="341"/>
      <c r="AL582" s="341"/>
      <c r="AM582" s="339"/>
      <c r="AN582" s="339"/>
      <c r="AO582" s="339"/>
      <c r="AP582" s="339"/>
      <c r="AQ582" s="339"/>
      <c r="AR582" s="339"/>
      <c r="AS582" s="339"/>
    </row>
    <row r="583" spans="1:45" ht="15.75" customHeight="1">
      <c r="A583" s="339"/>
      <c r="B583" s="339"/>
      <c r="C583" s="341"/>
      <c r="D583" s="341"/>
      <c r="E583" s="341"/>
      <c r="F583" s="340"/>
      <c r="G583" s="339"/>
      <c r="H583" s="339"/>
      <c r="I583" s="339"/>
      <c r="J583" s="341"/>
      <c r="K583" s="340"/>
      <c r="L583" s="341"/>
      <c r="M583" s="340"/>
      <c r="N583" s="339"/>
      <c r="O583" s="339"/>
      <c r="P583" s="339"/>
      <c r="Q583" s="339"/>
      <c r="R583" s="339"/>
      <c r="S583" s="339"/>
      <c r="T583" s="339"/>
      <c r="U583" s="339"/>
      <c r="V583" s="339"/>
      <c r="W583" s="339"/>
      <c r="X583" s="339"/>
      <c r="Y583" s="339"/>
      <c r="Z583" s="339"/>
      <c r="AA583" s="339"/>
      <c r="AB583" s="341"/>
      <c r="AC583" s="341"/>
      <c r="AD583" s="341"/>
      <c r="AE583" s="339"/>
      <c r="AF583" s="339"/>
      <c r="AG583" s="341"/>
      <c r="AH583" s="339"/>
      <c r="AI583" s="341"/>
      <c r="AJ583" s="339"/>
      <c r="AK583" s="341"/>
      <c r="AL583" s="341"/>
      <c r="AM583" s="339"/>
      <c r="AN583" s="339"/>
      <c r="AO583" s="339"/>
      <c r="AP583" s="339"/>
      <c r="AQ583" s="339"/>
      <c r="AR583" s="339"/>
      <c r="AS583" s="339"/>
    </row>
    <row r="584" spans="1:45" ht="15.75" customHeight="1">
      <c r="A584" s="339"/>
      <c r="B584" s="339"/>
      <c r="C584" s="341"/>
      <c r="D584" s="341"/>
      <c r="E584" s="341"/>
      <c r="F584" s="340"/>
      <c r="G584" s="339"/>
      <c r="H584" s="339"/>
      <c r="I584" s="339"/>
      <c r="J584" s="341"/>
      <c r="K584" s="340"/>
      <c r="L584" s="341"/>
      <c r="M584" s="340"/>
      <c r="N584" s="339"/>
      <c r="O584" s="339"/>
      <c r="P584" s="339"/>
      <c r="Q584" s="339"/>
      <c r="R584" s="339"/>
      <c r="S584" s="339"/>
      <c r="T584" s="339"/>
      <c r="U584" s="339"/>
      <c r="V584" s="339"/>
      <c r="W584" s="339"/>
      <c r="X584" s="339"/>
      <c r="Y584" s="339"/>
      <c r="Z584" s="339"/>
      <c r="AA584" s="339"/>
      <c r="AB584" s="341"/>
      <c r="AC584" s="341"/>
      <c r="AD584" s="341"/>
      <c r="AE584" s="339"/>
      <c r="AF584" s="339"/>
      <c r="AG584" s="341"/>
      <c r="AH584" s="339"/>
      <c r="AI584" s="341"/>
      <c r="AJ584" s="339"/>
      <c r="AK584" s="341"/>
      <c r="AL584" s="341"/>
      <c r="AM584" s="339"/>
      <c r="AN584" s="339"/>
      <c r="AO584" s="339"/>
      <c r="AP584" s="339"/>
      <c r="AQ584" s="339"/>
      <c r="AR584" s="339"/>
      <c r="AS584" s="339"/>
    </row>
    <row r="585" spans="1:45" ht="15.75" customHeight="1">
      <c r="A585" s="339"/>
      <c r="B585" s="339"/>
      <c r="C585" s="341"/>
      <c r="D585" s="341"/>
      <c r="E585" s="341"/>
      <c r="F585" s="340"/>
      <c r="G585" s="339"/>
      <c r="H585" s="339"/>
      <c r="I585" s="339"/>
      <c r="J585" s="341"/>
      <c r="K585" s="340"/>
      <c r="L585" s="341"/>
      <c r="M585" s="340"/>
      <c r="N585" s="339"/>
      <c r="O585" s="339"/>
      <c r="P585" s="339"/>
      <c r="Q585" s="339"/>
      <c r="R585" s="339"/>
      <c r="S585" s="339"/>
      <c r="T585" s="339"/>
      <c r="U585" s="339"/>
      <c r="V585" s="339"/>
      <c r="W585" s="339"/>
      <c r="X585" s="339"/>
      <c r="Y585" s="339"/>
      <c r="Z585" s="339"/>
      <c r="AA585" s="339"/>
      <c r="AB585" s="341"/>
      <c r="AC585" s="341"/>
      <c r="AD585" s="341"/>
      <c r="AE585" s="339"/>
      <c r="AF585" s="339"/>
      <c r="AG585" s="341"/>
      <c r="AH585" s="339"/>
      <c r="AI585" s="341"/>
      <c r="AJ585" s="339"/>
      <c r="AK585" s="341"/>
      <c r="AL585" s="341"/>
      <c r="AM585" s="339"/>
      <c r="AN585" s="339"/>
      <c r="AO585" s="339"/>
      <c r="AP585" s="339"/>
      <c r="AQ585" s="339"/>
      <c r="AR585" s="339"/>
      <c r="AS585" s="339"/>
    </row>
    <row r="586" spans="1:45" ht="15.75" customHeight="1">
      <c r="A586" s="339"/>
      <c r="B586" s="339"/>
      <c r="C586" s="341"/>
      <c r="D586" s="341"/>
      <c r="E586" s="341"/>
      <c r="F586" s="340"/>
      <c r="G586" s="339"/>
      <c r="H586" s="339"/>
      <c r="I586" s="339"/>
      <c r="J586" s="341"/>
      <c r="K586" s="340"/>
      <c r="L586" s="341"/>
      <c r="M586" s="340"/>
      <c r="N586" s="339"/>
      <c r="O586" s="339"/>
      <c r="P586" s="339"/>
      <c r="Q586" s="339"/>
      <c r="R586" s="339"/>
      <c r="S586" s="339"/>
      <c r="T586" s="339"/>
      <c r="U586" s="339"/>
      <c r="V586" s="339"/>
      <c r="W586" s="339"/>
      <c r="X586" s="339"/>
      <c r="Y586" s="339"/>
      <c r="Z586" s="339"/>
      <c r="AA586" s="339"/>
      <c r="AB586" s="341"/>
      <c r="AC586" s="341"/>
      <c r="AD586" s="341"/>
      <c r="AE586" s="339"/>
      <c r="AF586" s="339"/>
      <c r="AG586" s="341"/>
      <c r="AH586" s="339"/>
      <c r="AI586" s="341"/>
      <c r="AJ586" s="339"/>
      <c r="AK586" s="341"/>
      <c r="AL586" s="341"/>
      <c r="AM586" s="339"/>
      <c r="AN586" s="339"/>
      <c r="AO586" s="339"/>
      <c r="AP586" s="339"/>
      <c r="AQ586" s="339"/>
      <c r="AR586" s="339"/>
      <c r="AS586" s="339"/>
    </row>
    <row r="587" spans="1:45" ht="15.75" customHeight="1">
      <c r="A587" s="339"/>
      <c r="B587" s="339"/>
      <c r="C587" s="341"/>
      <c r="D587" s="341"/>
      <c r="E587" s="341"/>
      <c r="F587" s="340"/>
      <c r="G587" s="339"/>
      <c r="H587" s="339"/>
      <c r="I587" s="339"/>
      <c r="J587" s="341"/>
      <c r="K587" s="340"/>
      <c r="L587" s="341"/>
      <c r="M587" s="340"/>
      <c r="N587" s="339"/>
      <c r="O587" s="339"/>
      <c r="P587" s="339"/>
      <c r="Q587" s="339"/>
      <c r="R587" s="339"/>
      <c r="S587" s="339"/>
      <c r="T587" s="339"/>
      <c r="U587" s="339"/>
      <c r="V587" s="339"/>
      <c r="W587" s="339"/>
      <c r="X587" s="339"/>
      <c r="Y587" s="339"/>
      <c r="Z587" s="339"/>
      <c r="AA587" s="339"/>
      <c r="AB587" s="341"/>
      <c r="AC587" s="341"/>
      <c r="AD587" s="341"/>
      <c r="AE587" s="339"/>
      <c r="AF587" s="339"/>
      <c r="AG587" s="341"/>
      <c r="AH587" s="339"/>
      <c r="AI587" s="341"/>
      <c r="AJ587" s="339"/>
      <c r="AK587" s="341"/>
      <c r="AL587" s="341"/>
      <c r="AM587" s="339"/>
      <c r="AN587" s="339"/>
      <c r="AO587" s="339"/>
      <c r="AP587" s="339"/>
      <c r="AQ587" s="339"/>
      <c r="AR587" s="339"/>
      <c r="AS587" s="339"/>
    </row>
    <row r="588" spans="1:45" ht="15.75" customHeight="1">
      <c r="A588" s="339"/>
      <c r="B588" s="339"/>
      <c r="C588" s="341"/>
      <c r="D588" s="341"/>
      <c r="E588" s="341"/>
      <c r="F588" s="340"/>
      <c r="G588" s="339"/>
      <c r="H588" s="339"/>
      <c r="I588" s="339"/>
      <c r="J588" s="341"/>
      <c r="K588" s="340"/>
      <c r="L588" s="341"/>
      <c r="M588" s="340"/>
      <c r="N588" s="339"/>
      <c r="O588" s="339"/>
      <c r="P588" s="339"/>
      <c r="Q588" s="339"/>
      <c r="R588" s="339"/>
      <c r="S588" s="339"/>
      <c r="T588" s="339"/>
      <c r="U588" s="339"/>
      <c r="V588" s="339"/>
      <c r="W588" s="339"/>
      <c r="X588" s="339"/>
      <c r="Y588" s="339"/>
      <c r="Z588" s="339"/>
      <c r="AA588" s="339"/>
      <c r="AB588" s="341"/>
      <c r="AC588" s="341"/>
      <c r="AD588" s="341"/>
      <c r="AE588" s="339"/>
      <c r="AF588" s="339"/>
      <c r="AG588" s="341"/>
      <c r="AH588" s="339"/>
      <c r="AI588" s="341"/>
      <c r="AJ588" s="339"/>
      <c r="AK588" s="341"/>
      <c r="AL588" s="341"/>
      <c r="AM588" s="339"/>
      <c r="AN588" s="339"/>
      <c r="AO588" s="339"/>
      <c r="AP588" s="339"/>
      <c r="AQ588" s="339"/>
      <c r="AR588" s="339"/>
      <c r="AS588" s="339"/>
    </row>
    <row r="589" spans="1:45" ht="15.75" customHeight="1">
      <c r="A589" s="339"/>
      <c r="B589" s="339"/>
      <c r="C589" s="341"/>
      <c r="D589" s="341"/>
      <c r="E589" s="341"/>
      <c r="F589" s="340"/>
      <c r="G589" s="339"/>
      <c r="H589" s="339"/>
      <c r="I589" s="339"/>
      <c r="J589" s="341"/>
      <c r="K589" s="340"/>
      <c r="L589" s="341"/>
      <c r="M589" s="340"/>
      <c r="N589" s="339"/>
      <c r="O589" s="339"/>
      <c r="P589" s="339"/>
      <c r="Q589" s="339"/>
      <c r="R589" s="339"/>
      <c r="S589" s="339"/>
      <c r="T589" s="339"/>
      <c r="U589" s="339"/>
      <c r="V589" s="339"/>
      <c r="W589" s="339"/>
      <c r="X589" s="339"/>
      <c r="Y589" s="339"/>
      <c r="Z589" s="339"/>
      <c r="AA589" s="339"/>
      <c r="AB589" s="341"/>
      <c r="AC589" s="341"/>
      <c r="AD589" s="341"/>
      <c r="AE589" s="339"/>
      <c r="AF589" s="339"/>
      <c r="AG589" s="341"/>
      <c r="AH589" s="339"/>
      <c r="AI589" s="341"/>
      <c r="AJ589" s="339"/>
      <c r="AK589" s="341"/>
      <c r="AL589" s="341"/>
      <c r="AM589" s="339"/>
      <c r="AN589" s="339"/>
      <c r="AO589" s="339"/>
      <c r="AP589" s="339"/>
      <c r="AQ589" s="339"/>
      <c r="AR589" s="339"/>
      <c r="AS589" s="339"/>
    </row>
    <row r="590" spans="1:45" ht="15.75" customHeight="1">
      <c r="A590" s="339"/>
      <c r="B590" s="339"/>
      <c r="C590" s="341"/>
      <c r="D590" s="341"/>
      <c r="E590" s="341"/>
      <c r="F590" s="340"/>
      <c r="G590" s="339"/>
      <c r="H590" s="339"/>
      <c r="I590" s="339"/>
      <c r="J590" s="341"/>
      <c r="K590" s="340"/>
      <c r="L590" s="341"/>
      <c r="M590" s="340"/>
      <c r="N590" s="339"/>
      <c r="O590" s="339"/>
      <c r="P590" s="339"/>
      <c r="Q590" s="339"/>
      <c r="R590" s="339"/>
      <c r="S590" s="339"/>
      <c r="T590" s="339"/>
      <c r="U590" s="339"/>
      <c r="V590" s="339"/>
      <c r="W590" s="339"/>
      <c r="X590" s="339"/>
      <c r="Y590" s="339"/>
      <c r="Z590" s="339"/>
      <c r="AA590" s="339"/>
      <c r="AB590" s="341"/>
      <c r="AC590" s="341"/>
      <c r="AD590" s="341"/>
      <c r="AE590" s="339"/>
      <c r="AF590" s="339"/>
      <c r="AG590" s="341"/>
      <c r="AH590" s="339"/>
      <c r="AI590" s="341"/>
      <c r="AJ590" s="339"/>
      <c r="AK590" s="341"/>
      <c r="AL590" s="341"/>
      <c r="AM590" s="339"/>
      <c r="AN590" s="339"/>
      <c r="AO590" s="339"/>
      <c r="AP590" s="339"/>
      <c r="AQ590" s="339"/>
      <c r="AR590" s="339"/>
      <c r="AS590" s="339"/>
    </row>
    <row r="591" spans="1:45" ht="15.75" customHeight="1">
      <c r="A591" s="339"/>
      <c r="B591" s="339"/>
      <c r="C591" s="341"/>
      <c r="D591" s="341"/>
      <c r="E591" s="341"/>
      <c r="F591" s="340"/>
      <c r="G591" s="339"/>
      <c r="H591" s="339"/>
      <c r="I591" s="339"/>
      <c r="J591" s="341"/>
      <c r="K591" s="340"/>
      <c r="L591" s="341"/>
      <c r="M591" s="340"/>
      <c r="N591" s="339"/>
      <c r="O591" s="339"/>
      <c r="P591" s="339"/>
      <c r="Q591" s="339"/>
      <c r="R591" s="339"/>
      <c r="S591" s="339"/>
      <c r="T591" s="339"/>
      <c r="U591" s="339"/>
      <c r="V591" s="339"/>
      <c r="W591" s="339"/>
      <c r="X591" s="339"/>
      <c r="Y591" s="339"/>
      <c r="Z591" s="339"/>
      <c r="AA591" s="339"/>
      <c r="AB591" s="341"/>
      <c r="AC591" s="341"/>
      <c r="AD591" s="341"/>
      <c r="AE591" s="339"/>
      <c r="AF591" s="339"/>
      <c r="AG591" s="341"/>
      <c r="AH591" s="339"/>
      <c r="AI591" s="341"/>
      <c r="AJ591" s="339"/>
      <c r="AK591" s="341"/>
      <c r="AL591" s="341"/>
      <c r="AM591" s="339"/>
      <c r="AN591" s="339"/>
      <c r="AO591" s="339"/>
      <c r="AP591" s="339"/>
      <c r="AQ591" s="339"/>
      <c r="AR591" s="339"/>
      <c r="AS591" s="339"/>
    </row>
    <row r="592" spans="1:45" ht="15.75" customHeight="1">
      <c r="A592" s="339"/>
      <c r="B592" s="339"/>
      <c r="C592" s="341"/>
      <c r="D592" s="341"/>
      <c r="E592" s="341"/>
      <c r="F592" s="340"/>
      <c r="G592" s="339"/>
      <c r="H592" s="339"/>
      <c r="I592" s="339"/>
      <c r="J592" s="341"/>
      <c r="K592" s="340"/>
      <c r="L592" s="341"/>
      <c r="M592" s="340"/>
      <c r="N592" s="339"/>
      <c r="O592" s="339"/>
      <c r="P592" s="339"/>
      <c r="Q592" s="339"/>
      <c r="R592" s="339"/>
      <c r="S592" s="339"/>
      <c r="T592" s="339"/>
      <c r="U592" s="339"/>
      <c r="V592" s="339"/>
      <c r="W592" s="339"/>
      <c r="X592" s="339"/>
      <c r="Y592" s="339"/>
      <c r="Z592" s="339"/>
      <c r="AA592" s="339"/>
      <c r="AB592" s="341"/>
      <c r="AC592" s="341"/>
      <c r="AD592" s="341"/>
      <c r="AE592" s="339"/>
      <c r="AF592" s="339"/>
      <c r="AG592" s="341"/>
      <c r="AH592" s="339"/>
      <c r="AI592" s="341"/>
      <c r="AJ592" s="339"/>
      <c r="AK592" s="341"/>
      <c r="AL592" s="341"/>
      <c r="AM592" s="339"/>
      <c r="AN592" s="339"/>
      <c r="AO592" s="339"/>
      <c r="AP592" s="339"/>
      <c r="AQ592" s="339"/>
      <c r="AR592" s="339"/>
      <c r="AS592" s="339"/>
    </row>
    <row r="593" spans="1:45" ht="15.75" customHeight="1">
      <c r="A593" s="339"/>
      <c r="B593" s="339"/>
      <c r="C593" s="341"/>
      <c r="D593" s="341"/>
      <c r="E593" s="341"/>
      <c r="F593" s="340"/>
      <c r="G593" s="339"/>
      <c r="H593" s="339"/>
      <c r="I593" s="339"/>
      <c r="J593" s="341"/>
      <c r="K593" s="340"/>
      <c r="L593" s="341"/>
      <c r="M593" s="340"/>
      <c r="N593" s="339"/>
      <c r="O593" s="339"/>
      <c r="P593" s="339"/>
      <c r="Q593" s="339"/>
      <c r="R593" s="339"/>
      <c r="S593" s="339"/>
      <c r="T593" s="339"/>
      <c r="U593" s="339"/>
      <c r="V593" s="339"/>
      <c r="W593" s="339"/>
      <c r="X593" s="339"/>
      <c r="Y593" s="339"/>
      <c r="Z593" s="339"/>
      <c r="AA593" s="339"/>
      <c r="AB593" s="341"/>
      <c r="AC593" s="341"/>
      <c r="AD593" s="341"/>
      <c r="AE593" s="339"/>
      <c r="AF593" s="339"/>
      <c r="AG593" s="341"/>
      <c r="AH593" s="339"/>
      <c r="AI593" s="341"/>
      <c r="AJ593" s="339"/>
      <c r="AK593" s="341"/>
      <c r="AL593" s="341"/>
      <c r="AM593" s="339"/>
      <c r="AN593" s="339"/>
      <c r="AO593" s="339"/>
      <c r="AP593" s="339"/>
      <c r="AQ593" s="339"/>
      <c r="AR593" s="339"/>
      <c r="AS593" s="339"/>
    </row>
    <row r="594" spans="1:45" ht="15.75" customHeight="1">
      <c r="A594" s="339"/>
      <c r="B594" s="339"/>
      <c r="C594" s="341"/>
      <c r="D594" s="341"/>
      <c r="E594" s="341"/>
      <c r="F594" s="340"/>
      <c r="G594" s="339"/>
      <c r="H594" s="339"/>
      <c r="I594" s="339"/>
      <c r="J594" s="341"/>
      <c r="K594" s="340"/>
      <c r="L594" s="341"/>
      <c r="M594" s="340"/>
      <c r="N594" s="339"/>
      <c r="O594" s="339"/>
      <c r="P594" s="339"/>
      <c r="Q594" s="339"/>
      <c r="R594" s="339"/>
      <c r="S594" s="339"/>
      <c r="T594" s="339"/>
      <c r="U594" s="339"/>
      <c r="V594" s="339"/>
      <c r="W594" s="339"/>
      <c r="X594" s="339"/>
      <c r="Y594" s="339"/>
      <c r="Z594" s="339"/>
      <c r="AA594" s="339"/>
      <c r="AB594" s="341"/>
      <c r="AC594" s="341"/>
      <c r="AD594" s="341"/>
      <c r="AE594" s="339"/>
      <c r="AF594" s="339"/>
      <c r="AG594" s="341"/>
      <c r="AH594" s="339"/>
      <c r="AI594" s="341"/>
      <c r="AJ594" s="339"/>
      <c r="AK594" s="341"/>
      <c r="AL594" s="341"/>
      <c r="AM594" s="339"/>
      <c r="AN594" s="339"/>
      <c r="AO594" s="339"/>
      <c r="AP594" s="339"/>
      <c r="AQ594" s="339"/>
      <c r="AR594" s="339"/>
      <c r="AS594" s="339"/>
    </row>
    <row r="595" spans="1:45" ht="15.75" customHeight="1">
      <c r="A595" s="339"/>
      <c r="B595" s="339"/>
      <c r="C595" s="341"/>
      <c r="D595" s="341"/>
      <c r="E595" s="341"/>
      <c r="F595" s="340"/>
      <c r="G595" s="339"/>
      <c r="H595" s="339"/>
      <c r="I595" s="339"/>
      <c r="J595" s="341"/>
      <c r="K595" s="340"/>
      <c r="L595" s="341"/>
      <c r="M595" s="340"/>
      <c r="N595" s="339"/>
      <c r="O595" s="339"/>
      <c r="P595" s="339"/>
      <c r="Q595" s="339"/>
      <c r="R595" s="339"/>
      <c r="S595" s="339"/>
      <c r="T595" s="339"/>
      <c r="U595" s="339"/>
      <c r="V595" s="339"/>
      <c r="W595" s="339"/>
      <c r="X595" s="339"/>
      <c r="Y595" s="339"/>
      <c r="Z595" s="339"/>
      <c r="AA595" s="339"/>
      <c r="AB595" s="341"/>
      <c r="AC595" s="341"/>
      <c r="AD595" s="341"/>
      <c r="AE595" s="339"/>
      <c r="AF595" s="339"/>
      <c r="AG595" s="341"/>
      <c r="AH595" s="339"/>
      <c r="AI595" s="341"/>
      <c r="AJ595" s="339"/>
      <c r="AK595" s="341"/>
      <c r="AL595" s="341"/>
      <c r="AM595" s="339"/>
      <c r="AN595" s="339"/>
      <c r="AO595" s="339"/>
      <c r="AP595" s="339"/>
      <c r="AQ595" s="339"/>
      <c r="AR595" s="339"/>
      <c r="AS595" s="339"/>
    </row>
    <row r="596" spans="1:45" ht="15.75" customHeight="1">
      <c r="A596" s="339"/>
      <c r="B596" s="339"/>
      <c r="C596" s="341"/>
      <c r="D596" s="341"/>
      <c r="E596" s="341"/>
      <c r="F596" s="340"/>
      <c r="G596" s="339"/>
      <c r="H596" s="339"/>
      <c r="I596" s="339"/>
      <c r="J596" s="341"/>
      <c r="K596" s="340"/>
      <c r="L596" s="341"/>
      <c r="M596" s="340"/>
      <c r="N596" s="339"/>
      <c r="O596" s="339"/>
      <c r="P596" s="339"/>
      <c r="Q596" s="339"/>
      <c r="R596" s="339"/>
      <c r="S596" s="339"/>
      <c r="T596" s="339"/>
      <c r="U596" s="339"/>
      <c r="V596" s="339"/>
      <c r="W596" s="339"/>
      <c r="X596" s="339"/>
      <c r="Y596" s="339"/>
      <c r="Z596" s="339"/>
      <c r="AA596" s="339"/>
      <c r="AB596" s="341"/>
      <c r="AC596" s="341"/>
      <c r="AD596" s="341"/>
      <c r="AE596" s="339"/>
      <c r="AF596" s="339"/>
      <c r="AG596" s="341"/>
      <c r="AH596" s="339"/>
      <c r="AI596" s="341"/>
      <c r="AJ596" s="339"/>
      <c r="AK596" s="341"/>
      <c r="AL596" s="341"/>
      <c r="AM596" s="339"/>
      <c r="AN596" s="339"/>
      <c r="AO596" s="339"/>
      <c r="AP596" s="339"/>
      <c r="AQ596" s="339"/>
      <c r="AR596" s="339"/>
      <c r="AS596" s="339"/>
    </row>
    <row r="597" spans="1:45" ht="15.75" customHeight="1">
      <c r="A597" s="339"/>
      <c r="B597" s="339"/>
      <c r="C597" s="341"/>
      <c r="D597" s="341"/>
      <c r="E597" s="341"/>
      <c r="F597" s="340"/>
      <c r="G597" s="339"/>
      <c r="H597" s="339"/>
      <c r="I597" s="339"/>
      <c r="J597" s="341"/>
      <c r="K597" s="340"/>
      <c r="L597" s="341"/>
      <c r="M597" s="340"/>
      <c r="N597" s="339"/>
      <c r="O597" s="339"/>
      <c r="P597" s="339"/>
      <c r="Q597" s="339"/>
      <c r="R597" s="339"/>
      <c r="S597" s="339"/>
      <c r="T597" s="339"/>
      <c r="U597" s="339"/>
      <c r="V597" s="339"/>
      <c r="W597" s="339"/>
      <c r="X597" s="339"/>
      <c r="Y597" s="339"/>
      <c r="Z597" s="339"/>
      <c r="AA597" s="339"/>
      <c r="AB597" s="341"/>
      <c r="AC597" s="341"/>
      <c r="AD597" s="341"/>
      <c r="AE597" s="339"/>
      <c r="AF597" s="339"/>
      <c r="AG597" s="341"/>
      <c r="AH597" s="339"/>
      <c r="AI597" s="341"/>
      <c r="AJ597" s="339"/>
      <c r="AK597" s="341"/>
      <c r="AL597" s="341"/>
      <c r="AM597" s="339"/>
      <c r="AN597" s="339"/>
      <c r="AO597" s="339"/>
      <c r="AP597" s="339"/>
      <c r="AQ597" s="339"/>
      <c r="AR597" s="339"/>
      <c r="AS597" s="339"/>
    </row>
    <row r="598" spans="1:45" ht="15.75" customHeight="1">
      <c r="A598" s="339"/>
      <c r="B598" s="339"/>
      <c r="C598" s="341"/>
      <c r="D598" s="341"/>
      <c r="E598" s="341"/>
      <c r="F598" s="340"/>
      <c r="G598" s="339"/>
      <c r="H598" s="339"/>
      <c r="I598" s="339"/>
      <c r="J598" s="341"/>
      <c r="K598" s="340"/>
      <c r="L598" s="341"/>
      <c r="M598" s="340"/>
      <c r="N598" s="339"/>
      <c r="O598" s="339"/>
      <c r="P598" s="339"/>
      <c r="Q598" s="339"/>
      <c r="R598" s="339"/>
      <c r="S598" s="339"/>
      <c r="T598" s="339"/>
      <c r="U598" s="339"/>
      <c r="V598" s="339"/>
      <c r="W598" s="339"/>
      <c r="X598" s="339"/>
      <c r="Y598" s="339"/>
      <c r="Z598" s="339"/>
      <c r="AA598" s="339"/>
      <c r="AB598" s="341"/>
      <c r="AC598" s="341"/>
      <c r="AD598" s="341"/>
      <c r="AE598" s="339"/>
      <c r="AF598" s="339"/>
      <c r="AG598" s="341"/>
      <c r="AH598" s="339"/>
      <c r="AI598" s="341"/>
      <c r="AJ598" s="339"/>
      <c r="AK598" s="341"/>
      <c r="AL598" s="341"/>
      <c r="AM598" s="339"/>
      <c r="AN598" s="339"/>
      <c r="AO598" s="339"/>
      <c r="AP598" s="339"/>
      <c r="AQ598" s="339"/>
      <c r="AR598" s="339"/>
      <c r="AS598" s="339"/>
    </row>
    <row r="599" spans="1:45" ht="15.75" customHeight="1">
      <c r="A599" s="339"/>
      <c r="B599" s="339"/>
      <c r="C599" s="341"/>
      <c r="D599" s="341"/>
      <c r="E599" s="341"/>
      <c r="F599" s="340"/>
      <c r="G599" s="339"/>
      <c r="H599" s="339"/>
      <c r="I599" s="339"/>
      <c r="J599" s="341"/>
      <c r="K599" s="340"/>
      <c r="L599" s="341"/>
      <c r="M599" s="340"/>
      <c r="N599" s="339"/>
      <c r="O599" s="339"/>
      <c r="P599" s="339"/>
      <c r="Q599" s="339"/>
      <c r="R599" s="339"/>
      <c r="S599" s="339"/>
      <c r="T599" s="339"/>
      <c r="U599" s="339"/>
      <c r="V599" s="339"/>
      <c r="W599" s="339"/>
      <c r="X599" s="339"/>
      <c r="Y599" s="339"/>
      <c r="Z599" s="339"/>
      <c r="AA599" s="339"/>
      <c r="AB599" s="341"/>
      <c r="AC599" s="341"/>
      <c r="AD599" s="341"/>
      <c r="AE599" s="339"/>
      <c r="AF599" s="339"/>
      <c r="AG599" s="341"/>
      <c r="AH599" s="339"/>
      <c r="AI599" s="341"/>
      <c r="AJ599" s="339"/>
      <c r="AK599" s="341"/>
      <c r="AL599" s="341"/>
      <c r="AM599" s="339"/>
      <c r="AN599" s="339"/>
      <c r="AO599" s="339"/>
      <c r="AP599" s="339"/>
      <c r="AQ599" s="339"/>
      <c r="AR599" s="339"/>
      <c r="AS599" s="339"/>
    </row>
    <row r="600" spans="1:45" ht="15.75" customHeight="1">
      <c r="A600" s="339"/>
      <c r="B600" s="339"/>
      <c r="C600" s="341"/>
      <c r="D600" s="341"/>
      <c r="E600" s="341"/>
      <c r="F600" s="340"/>
      <c r="G600" s="339"/>
      <c r="H600" s="339"/>
      <c r="I600" s="339"/>
      <c r="J600" s="341"/>
      <c r="K600" s="340"/>
      <c r="L600" s="341"/>
      <c r="M600" s="340"/>
      <c r="N600" s="339"/>
      <c r="O600" s="339"/>
      <c r="P600" s="339"/>
      <c r="Q600" s="339"/>
      <c r="R600" s="339"/>
      <c r="S600" s="339"/>
      <c r="T600" s="339"/>
      <c r="U600" s="339"/>
      <c r="V600" s="339"/>
      <c r="W600" s="339"/>
      <c r="X600" s="339"/>
      <c r="Y600" s="339"/>
      <c r="Z600" s="339"/>
      <c r="AA600" s="339"/>
      <c r="AB600" s="341"/>
      <c r="AC600" s="341"/>
      <c r="AD600" s="341"/>
      <c r="AE600" s="339"/>
      <c r="AF600" s="339"/>
      <c r="AG600" s="341"/>
      <c r="AH600" s="339"/>
      <c r="AI600" s="341"/>
      <c r="AJ600" s="339"/>
      <c r="AK600" s="341"/>
      <c r="AL600" s="341"/>
      <c r="AM600" s="339"/>
      <c r="AN600" s="339"/>
      <c r="AO600" s="339"/>
      <c r="AP600" s="339"/>
      <c r="AQ600" s="339"/>
      <c r="AR600" s="339"/>
      <c r="AS600" s="339"/>
    </row>
    <row r="601" spans="1:45" ht="15.75" customHeight="1">
      <c r="A601" s="339"/>
      <c r="B601" s="339"/>
      <c r="C601" s="341"/>
      <c r="D601" s="341"/>
      <c r="E601" s="341"/>
      <c r="F601" s="340"/>
      <c r="G601" s="339"/>
      <c r="H601" s="339"/>
      <c r="I601" s="339"/>
      <c r="J601" s="341"/>
      <c r="K601" s="340"/>
      <c r="L601" s="341"/>
      <c r="M601" s="340"/>
      <c r="N601" s="339"/>
      <c r="O601" s="339"/>
      <c r="P601" s="339"/>
      <c r="Q601" s="339"/>
      <c r="R601" s="339"/>
      <c r="S601" s="339"/>
      <c r="T601" s="339"/>
      <c r="U601" s="339"/>
      <c r="V601" s="339"/>
      <c r="W601" s="339"/>
      <c r="X601" s="339"/>
      <c r="Y601" s="339"/>
      <c r="Z601" s="339"/>
      <c r="AA601" s="339"/>
      <c r="AB601" s="341"/>
      <c r="AC601" s="341"/>
      <c r="AD601" s="341"/>
      <c r="AE601" s="339"/>
      <c r="AF601" s="339"/>
      <c r="AG601" s="341"/>
      <c r="AH601" s="339"/>
      <c r="AI601" s="341"/>
      <c r="AJ601" s="339"/>
      <c r="AK601" s="341"/>
      <c r="AL601" s="341"/>
      <c r="AM601" s="339"/>
      <c r="AN601" s="339"/>
      <c r="AO601" s="339"/>
      <c r="AP601" s="339"/>
      <c r="AQ601" s="339"/>
      <c r="AR601" s="339"/>
      <c r="AS601" s="339"/>
    </row>
    <row r="602" spans="1:45" ht="15.75" customHeight="1">
      <c r="A602" s="339"/>
      <c r="B602" s="339"/>
      <c r="C602" s="341"/>
      <c r="D602" s="341"/>
      <c r="E602" s="341"/>
      <c r="F602" s="340"/>
      <c r="G602" s="339"/>
      <c r="H602" s="339"/>
      <c r="I602" s="339"/>
      <c r="J602" s="341"/>
      <c r="K602" s="340"/>
      <c r="L602" s="341"/>
      <c r="M602" s="340"/>
      <c r="N602" s="339"/>
      <c r="O602" s="339"/>
      <c r="P602" s="339"/>
      <c r="Q602" s="339"/>
      <c r="R602" s="339"/>
      <c r="S602" s="339"/>
      <c r="T602" s="339"/>
      <c r="U602" s="339"/>
      <c r="V602" s="339"/>
      <c r="W602" s="339"/>
      <c r="X602" s="339"/>
      <c r="Y602" s="339"/>
      <c r="Z602" s="339"/>
      <c r="AA602" s="339"/>
      <c r="AB602" s="341"/>
      <c r="AC602" s="341"/>
      <c r="AD602" s="341"/>
      <c r="AE602" s="339"/>
      <c r="AF602" s="339"/>
      <c r="AG602" s="341"/>
      <c r="AH602" s="339"/>
      <c r="AI602" s="341"/>
      <c r="AJ602" s="339"/>
      <c r="AK602" s="341"/>
      <c r="AL602" s="341"/>
      <c r="AM602" s="339"/>
      <c r="AN602" s="339"/>
      <c r="AO602" s="339"/>
      <c r="AP602" s="339"/>
      <c r="AQ602" s="339"/>
      <c r="AR602" s="339"/>
      <c r="AS602" s="339"/>
    </row>
    <row r="603" spans="1:45" ht="15.75" customHeight="1">
      <c r="A603" s="339"/>
      <c r="B603" s="339"/>
      <c r="C603" s="341"/>
      <c r="D603" s="341"/>
      <c r="E603" s="341"/>
      <c r="F603" s="340"/>
      <c r="G603" s="339"/>
      <c r="H603" s="339"/>
      <c r="I603" s="339"/>
      <c r="J603" s="341"/>
      <c r="K603" s="340"/>
      <c r="L603" s="341"/>
      <c r="M603" s="340"/>
      <c r="N603" s="339"/>
      <c r="O603" s="339"/>
      <c r="P603" s="339"/>
      <c r="Q603" s="339"/>
      <c r="R603" s="339"/>
      <c r="S603" s="339"/>
      <c r="T603" s="339"/>
      <c r="U603" s="339"/>
      <c r="V603" s="339"/>
      <c r="W603" s="339"/>
      <c r="X603" s="339"/>
      <c r="Y603" s="339"/>
      <c r="Z603" s="339"/>
      <c r="AA603" s="339"/>
      <c r="AB603" s="341"/>
      <c r="AC603" s="341"/>
      <c r="AD603" s="341"/>
      <c r="AE603" s="339"/>
      <c r="AF603" s="339"/>
      <c r="AG603" s="341"/>
      <c r="AH603" s="339"/>
      <c r="AI603" s="341"/>
      <c r="AJ603" s="339"/>
      <c r="AK603" s="341"/>
      <c r="AL603" s="341"/>
      <c r="AM603" s="339"/>
      <c r="AN603" s="339"/>
      <c r="AO603" s="339"/>
      <c r="AP603" s="339"/>
      <c r="AQ603" s="339"/>
      <c r="AR603" s="339"/>
      <c r="AS603" s="339"/>
    </row>
    <row r="604" spans="1:45" ht="15.75" customHeight="1">
      <c r="A604" s="339"/>
      <c r="B604" s="339"/>
      <c r="C604" s="341"/>
      <c r="D604" s="341"/>
      <c r="E604" s="341"/>
      <c r="F604" s="340"/>
      <c r="G604" s="339"/>
      <c r="H604" s="339"/>
      <c r="I604" s="339"/>
      <c r="J604" s="341"/>
      <c r="K604" s="340"/>
      <c r="L604" s="341"/>
      <c r="M604" s="340"/>
      <c r="N604" s="339"/>
      <c r="O604" s="339"/>
      <c r="P604" s="339"/>
      <c r="Q604" s="339"/>
      <c r="R604" s="339"/>
      <c r="S604" s="339"/>
      <c r="T604" s="339"/>
      <c r="U604" s="339"/>
      <c r="V604" s="339"/>
      <c r="W604" s="339"/>
      <c r="X604" s="339"/>
      <c r="Y604" s="339"/>
      <c r="Z604" s="339"/>
      <c r="AA604" s="339"/>
      <c r="AB604" s="341"/>
      <c r="AC604" s="341"/>
      <c r="AD604" s="341"/>
      <c r="AE604" s="339"/>
      <c r="AF604" s="339"/>
      <c r="AG604" s="341"/>
      <c r="AH604" s="339"/>
      <c r="AI604" s="341"/>
      <c r="AJ604" s="339"/>
      <c r="AK604" s="341"/>
      <c r="AL604" s="341"/>
      <c r="AM604" s="339"/>
      <c r="AN604" s="339"/>
      <c r="AO604" s="339"/>
      <c r="AP604" s="339"/>
      <c r="AQ604" s="339"/>
      <c r="AR604" s="339"/>
      <c r="AS604" s="339"/>
    </row>
    <row r="605" spans="1:45" ht="15.75" customHeight="1">
      <c r="A605" s="339"/>
      <c r="B605" s="339"/>
      <c r="C605" s="341"/>
      <c r="D605" s="341"/>
      <c r="E605" s="341"/>
      <c r="F605" s="340"/>
      <c r="G605" s="339"/>
      <c r="H605" s="339"/>
      <c r="I605" s="339"/>
      <c r="J605" s="341"/>
      <c r="K605" s="340"/>
      <c r="L605" s="341"/>
      <c r="M605" s="340"/>
      <c r="N605" s="339"/>
      <c r="O605" s="339"/>
      <c r="P605" s="339"/>
      <c r="Q605" s="339"/>
      <c r="R605" s="339"/>
      <c r="S605" s="339"/>
      <c r="T605" s="339"/>
      <c r="U605" s="339"/>
      <c r="V605" s="339"/>
      <c r="W605" s="339"/>
      <c r="X605" s="339"/>
      <c r="Y605" s="339"/>
      <c r="Z605" s="339"/>
      <c r="AA605" s="339"/>
      <c r="AB605" s="341"/>
      <c r="AC605" s="341"/>
      <c r="AD605" s="341"/>
      <c r="AE605" s="339"/>
      <c r="AF605" s="339"/>
      <c r="AG605" s="341"/>
      <c r="AH605" s="339"/>
      <c r="AI605" s="341"/>
      <c r="AJ605" s="339"/>
      <c r="AK605" s="341"/>
      <c r="AL605" s="341"/>
      <c r="AM605" s="339"/>
      <c r="AN605" s="339"/>
      <c r="AO605" s="339"/>
      <c r="AP605" s="339"/>
      <c r="AQ605" s="339"/>
      <c r="AR605" s="339"/>
      <c r="AS605" s="339"/>
    </row>
    <row r="606" spans="1:45" ht="15.75" customHeight="1">
      <c r="A606" s="339"/>
      <c r="B606" s="339"/>
      <c r="C606" s="341"/>
      <c r="D606" s="341"/>
      <c r="E606" s="341"/>
      <c r="F606" s="340"/>
      <c r="G606" s="339"/>
      <c r="H606" s="339"/>
      <c r="I606" s="339"/>
      <c r="J606" s="341"/>
      <c r="K606" s="340"/>
      <c r="L606" s="341"/>
      <c r="M606" s="340"/>
      <c r="N606" s="339"/>
      <c r="O606" s="339"/>
      <c r="P606" s="339"/>
      <c r="Q606" s="339"/>
      <c r="R606" s="339"/>
      <c r="S606" s="339"/>
      <c r="T606" s="339"/>
      <c r="U606" s="339"/>
      <c r="V606" s="339"/>
      <c r="W606" s="339"/>
      <c r="X606" s="339"/>
      <c r="Y606" s="339"/>
      <c r="Z606" s="339"/>
      <c r="AA606" s="339"/>
      <c r="AB606" s="341"/>
      <c r="AC606" s="341"/>
      <c r="AD606" s="341"/>
      <c r="AE606" s="339"/>
      <c r="AF606" s="339"/>
      <c r="AG606" s="341"/>
      <c r="AH606" s="339"/>
      <c r="AI606" s="341"/>
      <c r="AJ606" s="339"/>
      <c r="AK606" s="341"/>
      <c r="AL606" s="341"/>
      <c r="AM606" s="339"/>
      <c r="AN606" s="339"/>
      <c r="AO606" s="339"/>
      <c r="AP606" s="339"/>
      <c r="AQ606" s="339"/>
      <c r="AR606" s="339"/>
      <c r="AS606" s="339"/>
    </row>
    <row r="607" spans="1:45" ht="15.75" customHeight="1">
      <c r="A607" s="339"/>
      <c r="B607" s="339"/>
      <c r="C607" s="341"/>
      <c r="D607" s="341"/>
      <c r="E607" s="341"/>
      <c r="F607" s="340"/>
      <c r="G607" s="339"/>
      <c r="H607" s="339"/>
      <c r="I607" s="339"/>
      <c r="J607" s="341"/>
      <c r="K607" s="340"/>
      <c r="L607" s="341"/>
      <c r="M607" s="340"/>
      <c r="N607" s="339"/>
      <c r="O607" s="339"/>
      <c r="P607" s="339"/>
      <c r="Q607" s="339"/>
      <c r="R607" s="339"/>
      <c r="S607" s="339"/>
      <c r="T607" s="339"/>
      <c r="U607" s="339"/>
      <c r="V607" s="339"/>
      <c r="W607" s="339"/>
      <c r="X607" s="339"/>
      <c r="Y607" s="339"/>
      <c r="Z607" s="339"/>
      <c r="AA607" s="339"/>
      <c r="AB607" s="341"/>
      <c r="AC607" s="341"/>
      <c r="AD607" s="341"/>
      <c r="AE607" s="339"/>
      <c r="AF607" s="339"/>
      <c r="AG607" s="341"/>
      <c r="AH607" s="339"/>
      <c r="AI607" s="341"/>
      <c r="AJ607" s="339"/>
      <c r="AK607" s="341"/>
      <c r="AL607" s="341"/>
      <c r="AM607" s="339"/>
      <c r="AN607" s="339"/>
      <c r="AO607" s="339"/>
      <c r="AP607" s="339"/>
      <c r="AQ607" s="339"/>
      <c r="AR607" s="339"/>
      <c r="AS607" s="339"/>
    </row>
    <row r="608" spans="1:45" ht="15.75" customHeight="1">
      <c r="A608" s="339"/>
      <c r="B608" s="339"/>
      <c r="C608" s="341"/>
      <c r="D608" s="341"/>
      <c r="E608" s="341"/>
      <c r="F608" s="340"/>
      <c r="G608" s="339"/>
      <c r="H608" s="339"/>
      <c r="I608" s="339"/>
      <c r="J608" s="341"/>
      <c r="K608" s="340"/>
      <c r="L608" s="341"/>
      <c r="M608" s="340"/>
      <c r="N608" s="339"/>
      <c r="O608" s="339"/>
      <c r="P608" s="339"/>
      <c r="Q608" s="339"/>
      <c r="R608" s="339"/>
      <c r="S608" s="339"/>
      <c r="T608" s="339"/>
      <c r="U608" s="339"/>
      <c r="V608" s="339"/>
      <c r="W608" s="339"/>
      <c r="X608" s="339"/>
      <c r="Y608" s="339"/>
      <c r="Z608" s="339"/>
      <c r="AA608" s="339"/>
      <c r="AB608" s="341"/>
      <c r="AC608" s="341"/>
      <c r="AD608" s="341"/>
      <c r="AE608" s="339"/>
      <c r="AF608" s="339"/>
      <c r="AG608" s="341"/>
      <c r="AH608" s="339"/>
      <c r="AI608" s="341"/>
      <c r="AJ608" s="339"/>
      <c r="AK608" s="341"/>
      <c r="AL608" s="341"/>
      <c r="AM608" s="339"/>
      <c r="AN608" s="339"/>
      <c r="AO608" s="339"/>
      <c r="AP608" s="339"/>
      <c r="AQ608" s="339"/>
      <c r="AR608" s="339"/>
      <c r="AS608" s="339"/>
    </row>
    <row r="609" spans="1:45" ht="15.75" customHeight="1">
      <c r="A609" s="339"/>
      <c r="B609" s="339"/>
      <c r="C609" s="341"/>
      <c r="D609" s="341"/>
      <c r="E609" s="341"/>
      <c r="F609" s="340"/>
      <c r="G609" s="339"/>
      <c r="H609" s="339"/>
      <c r="I609" s="339"/>
      <c r="J609" s="341"/>
      <c r="K609" s="340"/>
      <c r="L609" s="341"/>
      <c r="M609" s="340"/>
      <c r="N609" s="339"/>
      <c r="O609" s="339"/>
      <c r="P609" s="339"/>
      <c r="Q609" s="339"/>
      <c r="R609" s="339"/>
      <c r="S609" s="339"/>
      <c r="T609" s="339"/>
      <c r="U609" s="339"/>
      <c r="V609" s="339"/>
      <c r="W609" s="339"/>
      <c r="X609" s="339"/>
      <c r="Y609" s="339"/>
      <c r="Z609" s="339"/>
      <c r="AA609" s="339"/>
      <c r="AB609" s="341"/>
      <c r="AC609" s="341"/>
      <c r="AD609" s="341"/>
      <c r="AE609" s="339"/>
      <c r="AF609" s="339"/>
      <c r="AG609" s="341"/>
      <c r="AH609" s="339"/>
      <c r="AI609" s="341"/>
      <c r="AJ609" s="339"/>
      <c r="AK609" s="341"/>
      <c r="AL609" s="341"/>
      <c r="AM609" s="339"/>
      <c r="AN609" s="339"/>
      <c r="AO609" s="339"/>
      <c r="AP609" s="339"/>
      <c r="AQ609" s="339"/>
      <c r="AR609" s="339"/>
      <c r="AS609" s="339"/>
    </row>
    <row r="610" spans="1:45" ht="15.75" customHeight="1">
      <c r="A610" s="339"/>
      <c r="B610" s="339"/>
      <c r="C610" s="341"/>
      <c r="D610" s="341"/>
      <c r="E610" s="341"/>
      <c r="F610" s="340"/>
      <c r="G610" s="339"/>
      <c r="H610" s="339"/>
      <c r="I610" s="339"/>
      <c r="J610" s="341"/>
      <c r="K610" s="340"/>
      <c r="L610" s="341"/>
      <c r="M610" s="340"/>
      <c r="N610" s="339"/>
      <c r="O610" s="339"/>
      <c r="P610" s="339"/>
      <c r="Q610" s="339"/>
      <c r="R610" s="339"/>
      <c r="S610" s="339"/>
      <c r="T610" s="339"/>
      <c r="U610" s="339"/>
      <c r="V610" s="339"/>
      <c r="W610" s="339"/>
      <c r="X610" s="339"/>
      <c r="Y610" s="339"/>
      <c r="Z610" s="339"/>
      <c r="AA610" s="339"/>
      <c r="AB610" s="341"/>
      <c r="AC610" s="341"/>
      <c r="AD610" s="341"/>
      <c r="AE610" s="339"/>
      <c r="AF610" s="339"/>
      <c r="AG610" s="341"/>
      <c r="AH610" s="339"/>
      <c r="AI610" s="341"/>
      <c r="AJ610" s="339"/>
      <c r="AK610" s="341"/>
      <c r="AL610" s="341"/>
      <c r="AM610" s="339"/>
      <c r="AN610" s="339"/>
      <c r="AO610" s="339"/>
      <c r="AP610" s="339"/>
      <c r="AQ610" s="339"/>
      <c r="AR610" s="339"/>
      <c r="AS610" s="339"/>
    </row>
    <row r="611" spans="1:45" ht="15.75" customHeight="1">
      <c r="A611" s="339"/>
      <c r="B611" s="339"/>
      <c r="C611" s="341"/>
      <c r="D611" s="341"/>
      <c r="E611" s="341"/>
      <c r="F611" s="340"/>
      <c r="G611" s="339"/>
      <c r="H611" s="339"/>
      <c r="I611" s="339"/>
      <c r="J611" s="341"/>
      <c r="K611" s="340"/>
      <c r="L611" s="341"/>
      <c r="M611" s="340"/>
      <c r="N611" s="339"/>
      <c r="O611" s="339"/>
      <c r="P611" s="339"/>
      <c r="Q611" s="339"/>
      <c r="R611" s="339"/>
      <c r="S611" s="339"/>
      <c r="T611" s="339"/>
      <c r="U611" s="339"/>
      <c r="V611" s="339"/>
      <c r="W611" s="339"/>
      <c r="X611" s="339"/>
      <c r="Y611" s="339"/>
      <c r="Z611" s="339"/>
      <c r="AA611" s="339"/>
      <c r="AB611" s="341"/>
      <c r="AC611" s="341"/>
      <c r="AD611" s="341"/>
      <c r="AE611" s="339"/>
      <c r="AF611" s="339"/>
      <c r="AG611" s="341"/>
      <c r="AH611" s="339"/>
      <c r="AI611" s="341"/>
      <c r="AJ611" s="339"/>
      <c r="AK611" s="341"/>
      <c r="AL611" s="341"/>
      <c r="AM611" s="339"/>
      <c r="AN611" s="339"/>
      <c r="AO611" s="339"/>
      <c r="AP611" s="339"/>
      <c r="AQ611" s="339"/>
      <c r="AR611" s="339"/>
      <c r="AS611" s="339"/>
    </row>
    <row r="612" spans="1:45" ht="15.75" customHeight="1">
      <c r="A612" s="339"/>
      <c r="B612" s="339"/>
      <c r="C612" s="341"/>
      <c r="D612" s="341"/>
      <c r="E612" s="341"/>
      <c r="F612" s="340"/>
      <c r="G612" s="339"/>
      <c r="H612" s="339"/>
      <c r="I612" s="339"/>
      <c r="J612" s="341"/>
      <c r="K612" s="340"/>
      <c r="L612" s="341"/>
      <c r="M612" s="340"/>
      <c r="N612" s="339"/>
      <c r="O612" s="339"/>
      <c r="P612" s="339"/>
      <c r="Q612" s="339"/>
      <c r="R612" s="339"/>
      <c r="S612" s="339"/>
      <c r="T612" s="339"/>
      <c r="U612" s="339"/>
      <c r="V612" s="339"/>
      <c r="W612" s="339"/>
      <c r="X612" s="339"/>
      <c r="Y612" s="339"/>
      <c r="Z612" s="339"/>
      <c r="AA612" s="339"/>
      <c r="AB612" s="341"/>
      <c r="AC612" s="341"/>
      <c r="AD612" s="341"/>
      <c r="AE612" s="339"/>
      <c r="AF612" s="339"/>
      <c r="AG612" s="341"/>
      <c r="AH612" s="339"/>
      <c r="AI612" s="341"/>
      <c r="AJ612" s="339"/>
      <c r="AK612" s="341"/>
      <c r="AL612" s="341"/>
      <c r="AM612" s="339"/>
      <c r="AN612" s="339"/>
      <c r="AO612" s="339"/>
      <c r="AP612" s="339"/>
      <c r="AQ612" s="339"/>
      <c r="AR612" s="339"/>
      <c r="AS612" s="339"/>
    </row>
    <row r="613" spans="1:45" ht="15.75" customHeight="1">
      <c r="A613" s="339"/>
      <c r="B613" s="339"/>
      <c r="C613" s="341"/>
      <c r="D613" s="341"/>
      <c r="E613" s="341"/>
      <c r="F613" s="340"/>
      <c r="G613" s="339"/>
      <c r="H613" s="339"/>
      <c r="I613" s="339"/>
      <c r="J613" s="341"/>
      <c r="K613" s="340"/>
      <c r="L613" s="341"/>
      <c r="M613" s="340"/>
      <c r="N613" s="339"/>
      <c r="O613" s="339"/>
      <c r="P613" s="339"/>
      <c r="Q613" s="339"/>
      <c r="R613" s="339"/>
      <c r="S613" s="339"/>
      <c r="T613" s="339"/>
      <c r="U613" s="339"/>
      <c r="V613" s="339"/>
      <c r="W613" s="339"/>
      <c r="X613" s="339"/>
      <c r="Y613" s="339"/>
      <c r="Z613" s="339"/>
      <c r="AA613" s="339"/>
      <c r="AB613" s="341"/>
      <c r="AC613" s="341"/>
      <c r="AD613" s="341"/>
      <c r="AE613" s="339"/>
      <c r="AF613" s="339"/>
      <c r="AG613" s="341"/>
      <c r="AH613" s="339"/>
      <c r="AI613" s="341"/>
      <c r="AJ613" s="339"/>
      <c r="AK613" s="341"/>
      <c r="AL613" s="341"/>
      <c r="AM613" s="339"/>
      <c r="AN613" s="339"/>
      <c r="AO613" s="339"/>
      <c r="AP613" s="339"/>
      <c r="AQ613" s="339"/>
      <c r="AR613" s="339"/>
      <c r="AS613" s="339"/>
    </row>
    <row r="614" spans="1:45" ht="15.75" customHeight="1">
      <c r="A614" s="339"/>
      <c r="B614" s="339"/>
      <c r="C614" s="341"/>
      <c r="D614" s="341"/>
      <c r="E614" s="341"/>
      <c r="F614" s="340"/>
      <c r="G614" s="339"/>
      <c r="H614" s="339"/>
      <c r="I614" s="339"/>
      <c r="J614" s="341"/>
      <c r="K614" s="340"/>
      <c r="L614" s="341"/>
      <c r="M614" s="340"/>
      <c r="N614" s="339"/>
      <c r="O614" s="339"/>
      <c r="P614" s="339"/>
      <c r="Q614" s="339"/>
      <c r="R614" s="339"/>
      <c r="S614" s="339"/>
      <c r="T614" s="339"/>
      <c r="U614" s="339"/>
      <c r="V614" s="339"/>
      <c r="W614" s="339"/>
      <c r="X614" s="339"/>
      <c r="Y614" s="339"/>
      <c r="Z614" s="339"/>
      <c r="AA614" s="339"/>
      <c r="AB614" s="341"/>
      <c r="AC614" s="341"/>
      <c r="AD614" s="341"/>
      <c r="AE614" s="339"/>
      <c r="AF614" s="339"/>
      <c r="AG614" s="341"/>
      <c r="AH614" s="339"/>
      <c r="AI614" s="341"/>
      <c r="AJ614" s="339"/>
      <c r="AK614" s="341"/>
      <c r="AL614" s="341"/>
      <c r="AM614" s="339"/>
      <c r="AN614" s="339"/>
      <c r="AO614" s="339"/>
      <c r="AP614" s="339"/>
      <c r="AQ614" s="339"/>
      <c r="AR614" s="339"/>
      <c r="AS614" s="339"/>
    </row>
    <row r="615" spans="1:45" ht="15.75" customHeight="1">
      <c r="A615" s="339"/>
      <c r="B615" s="339"/>
      <c r="C615" s="341"/>
      <c r="D615" s="341"/>
      <c r="E615" s="341"/>
      <c r="F615" s="340"/>
      <c r="G615" s="339"/>
      <c r="H615" s="339"/>
      <c r="I615" s="339"/>
      <c r="J615" s="341"/>
      <c r="K615" s="340"/>
      <c r="L615" s="341"/>
      <c r="M615" s="340"/>
      <c r="N615" s="339"/>
      <c r="O615" s="339"/>
      <c r="P615" s="339"/>
      <c r="Q615" s="339"/>
      <c r="R615" s="339"/>
      <c r="S615" s="339"/>
      <c r="T615" s="339"/>
      <c r="U615" s="339"/>
      <c r="V615" s="339"/>
      <c r="W615" s="339"/>
      <c r="X615" s="339"/>
      <c r="Y615" s="339"/>
      <c r="Z615" s="339"/>
      <c r="AA615" s="339"/>
      <c r="AB615" s="341"/>
      <c r="AC615" s="341"/>
      <c r="AD615" s="341"/>
      <c r="AE615" s="339"/>
      <c r="AF615" s="339"/>
      <c r="AG615" s="341"/>
      <c r="AH615" s="339"/>
      <c r="AI615" s="341"/>
      <c r="AJ615" s="339"/>
      <c r="AK615" s="341"/>
      <c r="AL615" s="341"/>
      <c r="AM615" s="339"/>
      <c r="AN615" s="339"/>
      <c r="AO615" s="339"/>
      <c r="AP615" s="339"/>
      <c r="AQ615" s="339"/>
      <c r="AR615" s="339"/>
      <c r="AS615" s="339"/>
    </row>
    <row r="616" spans="1:45" ht="15.75" customHeight="1">
      <c r="A616" s="339"/>
      <c r="B616" s="339"/>
      <c r="C616" s="341"/>
      <c r="D616" s="341"/>
      <c r="E616" s="341"/>
      <c r="F616" s="340"/>
      <c r="G616" s="339"/>
      <c r="H616" s="339"/>
      <c r="I616" s="339"/>
      <c r="J616" s="341"/>
      <c r="K616" s="340"/>
      <c r="L616" s="341"/>
      <c r="M616" s="340"/>
      <c r="N616" s="339"/>
      <c r="O616" s="339"/>
      <c r="P616" s="339"/>
      <c r="Q616" s="339"/>
      <c r="R616" s="339"/>
      <c r="S616" s="339"/>
      <c r="T616" s="339"/>
      <c r="U616" s="339"/>
      <c r="V616" s="339"/>
      <c r="W616" s="339"/>
      <c r="X616" s="339"/>
      <c r="Y616" s="339"/>
      <c r="Z616" s="339"/>
      <c r="AA616" s="339"/>
      <c r="AB616" s="341"/>
      <c r="AC616" s="341"/>
      <c r="AD616" s="341"/>
      <c r="AE616" s="339"/>
      <c r="AF616" s="339"/>
      <c r="AG616" s="341"/>
      <c r="AH616" s="339"/>
      <c r="AI616" s="341"/>
      <c r="AJ616" s="339"/>
      <c r="AK616" s="341"/>
      <c r="AL616" s="341"/>
      <c r="AM616" s="339"/>
      <c r="AN616" s="339"/>
      <c r="AO616" s="339"/>
      <c r="AP616" s="339"/>
      <c r="AQ616" s="339"/>
      <c r="AR616" s="339"/>
      <c r="AS616" s="339"/>
    </row>
    <row r="617" spans="1:45" ht="15.75" customHeight="1">
      <c r="A617" s="339"/>
      <c r="B617" s="339"/>
      <c r="C617" s="341"/>
      <c r="D617" s="341"/>
      <c r="E617" s="341"/>
      <c r="F617" s="340"/>
      <c r="G617" s="339"/>
      <c r="H617" s="339"/>
      <c r="I617" s="339"/>
      <c r="J617" s="341"/>
      <c r="K617" s="340"/>
      <c r="L617" s="341"/>
      <c r="M617" s="340"/>
      <c r="N617" s="339"/>
      <c r="O617" s="339"/>
      <c r="P617" s="339"/>
      <c r="Q617" s="339"/>
      <c r="R617" s="339"/>
      <c r="S617" s="339"/>
      <c r="T617" s="339"/>
      <c r="U617" s="339"/>
      <c r="V617" s="339"/>
      <c r="W617" s="339"/>
      <c r="X617" s="339"/>
      <c r="Y617" s="339"/>
      <c r="Z617" s="339"/>
      <c r="AA617" s="339"/>
      <c r="AB617" s="341"/>
      <c r="AC617" s="341"/>
      <c r="AD617" s="341"/>
      <c r="AE617" s="339"/>
      <c r="AF617" s="339"/>
      <c r="AG617" s="341"/>
      <c r="AH617" s="339"/>
      <c r="AI617" s="341"/>
      <c r="AJ617" s="339"/>
      <c r="AK617" s="341"/>
      <c r="AL617" s="341"/>
      <c r="AM617" s="339"/>
      <c r="AN617" s="339"/>
      <c r="AO617" s="339"/>
      <c r="AP617" s="339"/>
      <c r="AQ617" s="339"/>
      <c r="AR617" s="339"/>
      <c r="AS617" s="339"/>
    </row>
    <row r="618" spans="1:45" ht="15.75" customHeight="1">
      <c r="A618" s="339"/>
      <c r="B618" s="339"/>
      <c r="C618" s="341"/>
      <c r="D618" s="341"/>
      <c r="E618" s="341"/>
      <c r="F618" s="340"/>
      <c r="G618" s="339"/>
      <c r="H618" s="339"/>
      <c r="I618" s="339"/>
      <c r="J618" s="341"/>
      <c r="K618" s="340"/>
      <c r="L618" s="341"/>
      <c r="M618" s="340"/>
      <c r="N618" s="339"/>
      <c r="O618" s="339"/>
      <c r="P618" s="339"/>
      <c r="Q618" s="339"/>
      <c r="R618" s="339"/>
      <c r="S618" s="339"/>
      <c r="T618" s="339"/>
      <c r="U618" s="339"/>
      <c r="V618" s="339"/>
      <c r="W618" s="339"/>
      <c r="X618" s="339"/>
      <c r="Y618" s="339"/>
      <c r="Z618" s="339"/>
      <c r="AA618" s="339"/>
      <c r="AB618" s="341"/>
      <c r="AC618" s="341"/>
      <c r="AD618" s="341"/>
      <c r="AE618" s="339"/>
      <c r="AF618" s="339"/>
      <c r="AG618" s="341"/>
      <c r="AH618" s="339"/>
      <c r="AI618" s="341"/>
      <c r="AJ618" s="339"/>
      <c r="AK618" s="341"/>
      <c r="AL618" s="341"/>
      <c r="AM618" s="339"/>
      <c r="AN618" s="339"/>
      <c r="AO618" s="339"/>
      <c r="AP618" s="339"/>
      <c r="AQ618" s="339"/>
      <c r="AR618" s="339"/>
      <c r="AS618" s="339"/>
    </row>
    <row r="619" spans="1:45" ht="15.75" customHeight="1">
      <c r="A619" s="339"/>
      <c r="B619" s="339"/>
      <c r="C619" s="341"/>
      <c r="D619" s="341"/>
      <c r="E619" s="341"/>
      <c r="F619" s="340"/>
      <c r="G619" s="339"/>
      <c r="H619" s="339"/>
      <c r="I619" s="339"/>
      <c r="J619" s="341"/>
      <c r="K619" s="340"/>
      <c r="L619" s="341"/>
      <c r="M619" s="340"/>
      <c r="N619" s="339"/>
      <c r="O619" s="339"/>
      <c r="P619" s="339"/>
      <c r="Q619" s="339"/>
      <c r="R619" s="339"/>
      <c r="S619" s="339"/>
      <c r="T619" s="339"/>
      <c r="U619" s="339"/>
      <c r="V619" s="339"/>
      <c r="W619" s="339"/>
      <c r="X619" s="339"/>
      <c r="Y619" s="339"/>
      <c r="Z619" s="339"/>
      <c r="AA619" s="339"/>
      <c r="AB619" s="341"/>
      <c r="AC619" s="341"/>
      <c r="AD619" s="341"/>
      <c r="AE619" s="339"/>
      <c r="AF619" s="339"/>
      <c r="AG619" s="341"/>
      <c r="AH619" s="339"/>
      <c r="AI619" s="341"/>
      <c r="AJ619" s="339"/>
      <c r="AK619" s="341"/>
      <c r="AL619" s="341"/>
      <c r="AM619" s="339"/>
      <c r="AN619" s="339"/>
      <c r="AO619" s="339"/>
      <c r="AP619" s="339"/>
      <c r="AQ619" s="339"/>
      <c r="AR619" s="339"/>
      <c r="AS619" s="339"/>
    </row>
    <row r="620" spans="1:45" ht="15.75" customHeight="1">
      <c r="A620" s="339"/>
      <c r="B620" s="339"/>
      <c r="C620" s="341"/>
      <c r="D620" s="341"/>
      <c r="E620" s="341"/>
      <c r="F620" s="340"/>
      <c r="G620" s="339"/>
      <c r="H620" s="339"/>
      <c r="I620" s="339"/>
      <c r="J620" s="341"/>
      <c r="K620" s="340"/>
      <c r="L620" s="341"/>
      <c r="M620" s="340"/>
      <c r="N620" s="339"/>
      <c r="O620" s="339"/>
      <c r="P620" s="339"/>
      <c r="Q620" s="339"/>
      <c r="R620" s="339"/>
      <c r="S620" s="339"/>
      <c r="T620" s="339"/>
      <c r="U620" s="339"/>
      <c r="V620" s="339"/>
      <c r="W620" s="339"/>
      <c r="X620" s="339"/>
      <c r="Y620" s="339"/>
      <c r="Z620" s="339"/>
      <c r="AA620" s="339"/>
      <c r="AB620" s="341"/>
      <c r="AC620" s="341"/>
      <c r="AD620" s="341"/>
      <c r="AE620" s="339"/>
      <c r="AF620" s="339"/>
      <c r="AG620" s="341"/>
      <c r="AH620" s="339"/>
      <c r="AI620" s="341"/>
      <c r="AJ620" s="339"/>
      <c r="AK620" s="341"/>
      <c r="AL620" s="341"/>
      <c r="AM620" s="339"/>
      <c r="AN620" s="339"/>
      <c r="AO620" s="339"/>
      <c r="AP620" s="339"/>
      <c r="AQ620" s="339"/>
      <c r="AR620" s="339"/>
      <c r="AS620" s="339"/>
    </row>
    <row r="621" spans="1:45" ht="15.75" customHeight="1">
      <c r="A621" s="339"/>
      <c r="B621" s="339"/>
      <c r="C621" s="341"/>
      <c r="D621" s="341"/>
      <c r="E621" s="341"/>
      <c r="F621" s="340"/>
      <c r="G621" s="339"/>
      <c r="H621" s="339"/>
      <c r="I621" s="339"/>
      <c r="J621" s="341"/>
      <c r="K621" s="340"/>
      <c r="L621" s="341"/>
      <c r="M621" s="340"/>
      <c r="N621" s="339"/>
      <c r="O621" s="339"/>
      <c r="P621" s="339"/>
      <c r="Q621" s="339"/>
      <c r="R621" s="339"/>
      <c r="S621" s="339"/>
      <c r="T621" s="339"/>
      <c r="U621" s="339"/>
      <c r="V621" s="339"/>
      <c r="W621" s="339"/>
      <c r="X621" s="339"/>
      <c r="Y621" s="339"/>
      <c r="Z621" s="339"/>
      <c r="AA621" s="339"/>
      <c r="AB621" s="341"/>
      <c r="AC621" s="341"/>
      <c r="AD621" s="341"/>
      <c r="AE621" s="339"/>
      <c r="AF621" s="339"/>
      <c r="AG621" s="341"/>
      <c r="AH621" s="339"/>
      <c r="AI621" s="341"/>
      <c r="AJ621" s="339"/>
      <c r="AK621" s="341"/>
      <c r="AL621" s="341"/>
      <c r="AM621" s="339"/>
      <c r="AN621" s="339"/>
      <c r="AO621" s="339"/>
      <c r="AP621" s="339"/>
      <c r="AQ621" s="339"/>
      <c r="AR621" s="339"/>
      <c r="AS621" s="339"/>
    </row>
    <row r="622" spans="1:45" ht="15.75" customHeight="1">
      <c r="A622" s="339"/>
      <c r="B622" s="339"/>
      <c r="C622" s="341"/>
      <c r="D622" s="341"/>
      <c r="E622" s="341"/>
      <c r="F622" s="340"/>
      <c r="G622" s="339"/>
      <c r="H622" s="339"/>
      <c r="I622" s="339"/>
      <c r="J622" s="341"/>
      <c r="K622" s="340"/>
      <c r="L622" s="341"/>
      <c r="M622" s="340"/>
      <c r="N622" s="339"/>
      <c r="O622" s="339"/>
      <c r="P622" s="339"/>
      <c r="Q622" s="339"/>
      <c r="R622" s="339"/>
      <c r="S622" s="339"/>
      <c r="T622" s="339"/>
      <c r="U622" s="339"/>
      <c r="V622" s="339"/>
      <c r="W622" s="339"/>
      <c r="X622" s="339"/>
      <c r="Y622" s="339"/>
      <c r="Z622" s="339"/>
      <c r="AA622" s="339"/>
      <c r="AB622" s="341"/>
      <c r="AC622" s="341"/>
      <c r="AD622" s="341"/>
      <c r="AE622" s="339"/>
      <c r="AF622" s="339"/>
      <c r="AG622" s="341"/>
      <c r="AH622" s="339"/>
      <c r="AI622" s="341"/>
      <c r="AJ622" s="339"/>
      <c r="AK622" s="341"/>
      <c r="AL622" s="341"/>
      <c r="AM622" s="339"/>
      <c r="AN622" s="339"/>
      <c r="AO622" s="339"/>
      <c r="AP622" s="339"/>
      <c r="AQ622" s="339"/>
      <c r="AR622" s="339"/>
      <c r="AS622" s="339"/>
    </row>
    <row r="623" spans="1:45" ht="15.75" customHeight="1">
      <c r="A623" s="339"/>
      <c r="B623" s="339"/>
      <c r="C623" s="341"/>
      <c r="D623" s="341"/>
      <c r="E623" s="341"/>
      <c r="F623" s="340"/>
      <c r="G623" s="339"/>
      <c r="H623" s="339"/>
      <c r="I623" s="339"/>
      <c r="J623" s="341"/>
      <c r="K623" s="340"/>
      <c r="L623" s="341"/>
      <c r="M623" s="340"/>
      <c r="N623" s="339"/>
      <c r="O623" s="339"/>
      <c r="P623" s="339"/>
      <c r="Q623" s="339"/>
      <c r="R623" s="339"/>
      <c r="S623" s="339"/>
      <c r="T623" s="339"/>
      <c r="U623" s="339"/>
      <c r="V623" s="339"/>
      <c r="W623" s="339"/>
      <c r="X623" s="339"/>
      <c r="Y623" s="339"/>
      <c r="Z623" s="339"/>
      <c r="AA623" s="339"/>
      <c r="AB623" s="341"/>
      <c r="AC623" s="341"/>
      <c r="AD623" s="341"/>
      <c r="AE623" s="339"/>
      <c r="AF623" s="339"/>
      <c r="AG623" s="341"/>
      <c r="AH623" s="339"/>
      <c r="AI623" s="341"/>
      <c r="AJ623" s="339"/>
      <c r="AK623" s="341"/>
      <c r="AL623" s="341"/>
      <c r="AM623" s="339"/>
      <c r="AN623" s="339"/>
      <c r="AO623" s="339"/>
      <c r="AP623" s="339"/>
      <c r="AQ623" s="339"/>
      <c r="AR623" s="339"/>
      <c r="AS623" s="339"/>
    </row>
    <row r="624" spans="1:45" ht="15.75" customHeight="1">
      <c r="A624" s="339"/>
      <c r="B624" s="339"/>
      <c r="C624" s="341"/>
      <c r="D624" s="341"/>
      <c r="E624" s="341"/>
      <c r="F624" s="340"/>
      <c r="G624" s="339"/>
      <c r="H624" s="339"/>
      <c r="I624" s="339"/>
      <c r="J624" s="341"/>
      <c r="K624" s="340"/>
      <c r="L624" s="341"/>
      <c r="M624" s="340"/>
      <c r="N624" s="339"/>
      <c r="O624" s="339"/>
      <c r="P624" s="339"/>
      <c r="Q624" s="339"/>
      <c r="R624" s="339"/>
      <c r="S624" s="339"/>
      <c r="T624" s="339"/>
      <c r="U624" s="339"/>
      <c r="V624" s="339"/>
      <c r="W624" s="339"/>
      <c r="X624" s="339"/>
      <c r="Y624" s="339"/>
      <c r="Z624" s="339"/>
      <c r="AA624" s="339"/>
      <c r="AB624" s="341"/>
      <c r="AC624" s="341"/>
      <c r="AD624" s="341"/>
      <c r="AE624" s="339"/>
      <c r="AF624" s="339"/>
      <c r="AG624" s="341"/>
      <c r="AH624" s="339"/>
      <c r="AI624" s="341"/>
      <c r="AJ624" s="339"/>
      <c r="AK624" s="341"/>
      <c r="AL624" s="341"/>
      <c r="AM624" s="339"/>
      <c r="AN624" s="339"/>
      <c r="AO624" s="339"/>
      <c r="AP624" s="339"/>
      <c r="AQ624" s="339"/>
      <c r="AR624" s="339"/>
      <c r="AS624" s="339"/>
    </row>
    <row r="625" spans="1:45" ht="15.75" customHeight="1">
      <c r="A625" s="339"/>
      <c r="B625" s="339"/>
      <c r="C625" s="341"/>
      <c r="D625" s="341"/>
      <c r="E625" s="341"/>
      <c r="F625" s="340"/>
      <c r="G625" s="339"/>
      <c r="H625" s="339"/>
      <c r="I625" s="339"/>
      <c r="J625" s="341"/>
      <c r="K625" s="340"/>
      <c r="L625" s="341"/>
      <c r="M625" s="340"/>
      <c r="N625" s="339"/>
      <c r="O625" s="339"/>
      <c r="P625" s="339"/>
      <c r="Q625" s="339"/>
      <c r="R625" s="339"/>
      <c r="S625" s="339"/>
      <c r="T625" s="339"/>
      <c r="U625" s="339"/>
      <c r="V625" s="339"/>
      <c r="W625" s="339"/>
      <c r="X625" s="339"/>
      <c r="Y625" s="339"/>
      <c r="Z625" s="339"/>
      <c r="AA625" s="339"/>
      <c r="AB625" s="341"/>
      <c r="AC625" s="341"/>
      <c r="AD625" s="341"/>
      <c r="AE625" s="339"/>
      <c r="AF625" s="339"/>
      <c r="AG625" s="341"/>
      <c r="AH625" s="339"/>
      <c r="AI625" s="341"/>
      <c r="AJ625" s="339"/>
      <c r="AK625" s="341"/>
      <c r="AL625" s="341"/>
      <c r="AM625" s="339"/>
      <c r="AN625" s="339"/>
      <c r="AO625" s="339"/>
      <c r="AP625" s="339"/>
      <c r="AQ625" s="339"/>
      <c r="AR625" s="339"/>
      <c r="AS625" s="339"/>
    </row>
    <row r="626" spans="1:45" ht="15.75" customHeight="1">
      <c r="A626" s="339"/>
      <c r="B626" s="339"/>
      <c r="C626" s="341"/>
      <c r="D626" s="341"/>
      <c r="E626" s="341"/>
      <c r="F626" s="340"/>
      <c r="G626" s="339"/>
      <c r="H626" s="339"/>
      <c r="I626" s="339"/>
      <c r="J626" s="341"/>
      <c r="K626" s="340"/>
      <c r="L626" s="341"/>
      <c r="M626" s="340"/>
      <c r="N626" s="339"/>
      <c r="O626" s="339"/>
      <c r="P626" s="339"/>
      <c r="Q626" s="339"/>
      <c r="R626" s="339"/>
      <c r="S626" s="339"/>
      <c r="T626" s="339"/>
      <c r="U626" s="339"/>
      <c r="V626" s="339"/>
      <c r="W626" s="339"/>
      <c r="X626" s="339"/>
      <c r="Y626" s="339"/>
      <c r="Z626" s="339"/>
      <c r="AA626" s="339"/>
      <c r="AB626" s="341"/>
      <c r="AC626" s="341"/>
      <c r="AD626" s="341"/>
      <c r="AE626" s="339"/>
      <c r="AF626" s="339"/>
      <c r="AG626" s="341"/>
      <c r="AH626" s="339"/>
      <c r="AI626" s="341"/>
      <c r="AJ626" s="339"/>
      <c r="AK626" s="341"/>
      <c r="AL626" s="341"/>
      <c r="AM626" s="339"/>
      <c r="AN626" s="339"/>
      <c r="AO626" s="339"/>
      <c r="AP626" s="339"/>
      <c r="AQ626" s="339"/>
      <c r="AR626" s="339"/>
      <c r="AS626" s="339"/>
    </row>
    <row r="627" spans="1:45" ht="15.75" customHeight="1">
      <c r="A627" s="339"/>
      <c r="B627" s="339"/>
      <c r="C627" s="341"/>
      <c r="D627" s="341"/>
      <c r="E627" s="341"/>
      <c r="F627" s="340"/>
      <c r="G627" s="339"/>
      <c r="H627" s="339"/>
      <c r="I627" s="339"/>
      <c r="J627" s="341"/>
      <c r="K627" s="340"/>
      <c r="L627" s="341"/>
      <c r="M627" s="340"/>
      <c r="N627" s="339"/>
      <c r="O627" s="339"/>
      <c r="P627" s="339"/>
      <c r="Q627" s="339"/>
      <c r="R627" s="339"/>
      <c r="S627" s="339"/>
      <c r="T627" s="339"/>
      <c r="U627" s="339"/>
      <c r="V627" s="339"/>
      <c r="W627" s="339"/>
      <c r="X627" s="339"/>
      <c r="Y627" s="339"/>
      <c r="Z627" s="339"/>
      <c r="AA627" s="339"/>
      <c r="AB627" s="341"/>
      <c r="AC627" s="341"/>
      <c r="AD627" s="341"/>
      <c r="AE627" s="339"/>
      <c r="AF627" s="339"/>
      <c r="AG627" s="341"/>
      <c r="AH627" s="339"/>
      <c r="AI627" s="341"/>
      <c r="AJ627" s="339"/>
      <c r="AK627" s="341"/>
      <c r="AL627" s="341"/>
      <c r="AM627" s="339"/>
      <c r="AN627" s="339"/>
      <c r="AO627" s="339"/>
      <c r="AP627" s="339"/>
      <c r="AQ627" s="339"/>
      <c r="AR627" s="339"/>
      <c r="AS627" s="339"/>
    </row>
    <row r="628" spans="1:45" ht="15.75" customHeight="1">
      <c r="A628" s="339"/>
      <c r="B628" s="339"/>
      <c r="C628" s="341"/>
      <c r="D628" s="341"/>
      <c r="E628" s="341"/>
      <c r="F628" s="340"/>
      <c r="G628" s="339"/>
      <c r="H628" s="339"/>
      <c r="I628" s="339"/>
      <c r="J628" s="341"/>
      <c r="K628" s="340"/>
      <c r="L628" s="341"/>
      <c r="M628" s="340"/>
      <c r="N628" s="339"/>
      <c r="O628" s="339"/>
      <c r="P628" s="339"/>
      <c r="Q628" s="339"/>
      <c r="R628" s="339"/>
      <c r="S628" s="339"/>
      <c r="T628" s="339"/>
      <c r="U628" s="339"/>
      <c r="V628" s="339"/>
      <c r="W628" s="339"/>
      <c r="X628" s="339"/>
      <c r="Y628" s="339"/>
      <c r="Z628" s="339"/>
      <c r="AA628" s="339"/>
      <c r="AB628" s="341"/>
      <c r="AC628" s="341"/>
      <c r="AD628" s="341"/>
      <c r="AE628" s="339"/>
      <c r="AF628" s="339"/>
      <c r="AG628" s="341"/>
      <c r="AH628" s="339"/>
      <c r="AI628" s="341"/>
      <c r="AJ628" s="339"/>
      <c r="AK628" s="341"/>
      <c r="AL628" s="341"/>
      <c r="AM628" s="339"/>
      <c r="AN628" s="339"/>
      <c r="AO628" s="339"/>
      <c r="AP628" s="339"/>
      <c r="AQ628" s="339"/>
      <c r="AR628" s="339"/>
      <c r="AS628" s="339"/>
    </row>
    <row r="629" spans="1:45" ht="15.75" customHeight="1">
      <c r="A629" s="339"/>
      <c r="B629" s="339"/>
      <c r="C629" s="341"/>
      <c r="D629" s="341"/>
      <c r="E629" s="341"/>
      <c r="F629" s="340"/>
      <c r="G629" s="339"/>
      <c r="H629" s="339"/>
      <c r="I629" s="339"/>
      <c r="J629" s="341"/>
      <c r="K629" s="340"/>
      <c r="L629" s="341"/>
      <c r="M629" s="340"/>
      <c r="N629" s="339"/>
      <c r="O629" s="339"/>
      <c r="P629" s="339"/>
      <c r="Q629" s="339"/>
      <c r="R629" s="339"/>
      <c r="S629" s="339"/>
      <c r="T629" s="339"/>
      <c r="U629" s="339"/>
      <c r="V629" s="339"/>
      <c r="W629" s="339"/>
      <c r="X629" s="339"/>
      <c r="Y629" s="339"/>
      <c r="Z629" s="339"/>
      <c r="AA629" s="339"/>
      <c r="AB629" s="341"/>
      <c r="AC629" s="341"/>
      <c r="AD629" s="341"/>
      <c r="AE629" s="339"/>
      <c r="AF629" s="339"/>
      <c r="AG629" s="341"/>
      <c r="AH629" s="339"/>
      <c r="AI629" s="341"/>
      <c r="AJ629" s="339"/>
      <c r="AK629" s="341"/>
      <c r="AL629" s="341"/>
      <c r="AM629" s="339"/>
      <c r="AN629" s="339"/>
      <c r="AO629" s="339"/>
      <c r="AP629" s="339"/>
      <c r="AQ629" s="339"/>
      <c r="AR629" s="339"/>
      <c r="AS629" s="339"/>
    </row>
    <row r="630" spans="1:45" ht="15.75" customHeight="1">
      <c r="A630" s="339"/>
      <c r="B630" s="339"/>
      <c r="C630" s="341"/>
      <c r="D630" s="341"/>
      <c r="E630" s="341"/>
      <c r="F630" s="340"/>
      <c r="G630" s="339"/>
      <c r="H630" s="339"/>
      <c r="I630" s="339"/>
      <c r="J630" s="341"/>
      <c r="K630" s="340"/>
      <c r="L630" s="341"/>
      <c r="M630" s="340"/>
      <c r="N630" s="339"/>
      <c r="O630" s="339"/>
      <c r="P630" s="339"/>
      <c r="Q630" s="339"/>
      <c r="R630" s="339"/>
      <c r="S630" s="339"/>
      <c r="T630" s="339"/>
      <c r="U630" s="339"/>
      <c r="V630" s="339"/>
      <c r="W630" s="339"/>
      <c r="X630" s="339"/>
      <c r="Y630" s="339"/>
      <c r="Z630" s="339"/>
      <c r="AA630" s="339"/>
      <c r="AB630" s="341"/>
      <c r="AC630" s="341"/>
      <c r="AD630" s="341"/>
      <c r="AE630" s="339"/>
      <c r="AF630" s="339"/>
      <c r="AG630" s="341"/>
      <c r="AH630" s="339"/>
      <c r="AI630" s="341"/>
      <c r="AJ630" s="339"/>
      <c r="AK630" s="341"/>
      <c r="AL630" s="341"/>
      <c r="AM630" s="339"/>
      <c r="AN630" s="339"/>
      <c r="AO630" s="339"/>
      <c r="AP630" s="339"/>
      <c r="AQ630" s="339"/>
      <c r="AR630" s="339"/>
      <c r="AS630" s="339"/>
    </row>
    <row r="631" spans="1:45" ht="15.75" customHeight="1">
      <c r="A631" s="339"/>
      <c r="B631" s="339"/>
      <c r="C631" s="341"/>
      <c r="D631" s="341"/>
      <c r="E631" s="341"/>
      <c r="F631" s="340"/>
      <c r="G631" s="339"/>
      <c r="H631" s="339"/>
      <c r="I631" s="339"/>
      <c r="J631" s="341"/>
      <c r="K631" s="340"/>
      <c r="L631" s="341"/>
      <c r="M631" s="340"/>
      <c r="N631" s="339"/>
      <c r="O631" s="339"/>
      <c r="P631" s="339"/>
      <c r="Q631" s="339"/>
      <c r="R631" s="339"/>
      <c r="S631" s="339"/>
      <c r="T631" s="339"/>
      <c r="U631" s="339"/>
      <c r="V631" s="339"/>
      <c r="W631" s="339"/>
      <c r="X631" s="339"/>
      <c r="Y631" s="339"/>
      <c r="Z631" s="339"/>
      <c r="AA631" s="339"/>
      <c r="AB631" s="341"/>
      <c r="AC631" s="341"/>
      <c r="AD631" s="341"/>
      <c r="AE631" s="339"/>
      <c r="AF631" s="339"/>
      <c r="AG631" s="341"/>
      <c r="AH631" s="339"/>
      <c r="AI631" s="341"/>
      <c r="AJ631" s="339"/>
      <c r="AK631" s="341"/>
      <c r="AL631" s="341"/>
      <c r="AM631" s="339"/>
      <c r="AN631" s="339"/>
      <c r="AO631" s="339"/>
      <c r="AP631" s="339"/>
      <c r="AQ631" s="339"/>
      <c r="AR631" s="339"/>
      <c r="AS631" s="339"/>
    </row>
    <row r="632" spans="1:45" ht="15.75" customHeight="1">
      <c r="A632" s="339"/>
      <c r="B632" s="339"/>
      <c r="C632" s="341"/>
      <c r="D632" s="341"/>
      <c r="E632" s="341"/>
      <c r="F632" s="340"/>
      <c r="G632" s="339"/>
      <c r="H632" s="339"/>
      <c r="I632" s="339"/>
      <c r="J632" s="341"/>
      <c r="K632" s="340"/>
      <c r="L632" s="341"/>
      <c r="M632" s="340"/>
      <c r="N632" s="339"/>
      <c r="O632" s="339"/>
      <c r="P632" s="339"/>
      <c r="Q632" s="339"/>
      <c r="R632" s="339"/>
      <c r="S632" s="339"/>
      <c r="T632" s="339"/>
      <c r="U632" s="339"/>
      <c r="V632" s="339"/>
      <c r="W632" s="339"/>
      <c r="X632" s="339"/>
      <c r="Y632" s="339"/>
      <c r="Z632" s="339"/>
      <c r="AA632" s="339"/>
      <c r="AB632" s="341"/>
      <c r="AC632" s="341"/>
      <c r="AD632" s="341"/>
      <c r="AE632" s="339"/>
      <c r="AF632" s="339"/>
      <c r="AG632" s="341"/>
      <c r="AH632" s="339"/>
      <c r="AI632" s="341"/>
      <c r="AJ632" s="339"/>
      <c r="AK632" s="341"/>
      <c r="AL632" s="341"/>
      <c r="AM632" s="339"/>
      <c r="AN632" s="339"/>
      <c r="AO632" s="339"/>
      <c r="AP632" s="339"/>
      <c r="AQ632" s="339"/>
      <c r="AR632" s="339"/>
      <c r="AS632" s="339"/>
    </row>
    <row r="633" spans="1:45" ht="15.75" customHeight="1">
      <c r="A633" s="339"/>
      <c r="B633" s="339"/>
      <c r="C633" s="341"/>
      <c r="D633" s="341"/>
      <c r="E633" s="341"/>
      <c r="F633" s="340"/>
      <c r="G633" s="339"/>
      <c r="H633" s="339"/>
      <c r="I633" s="339"/>
      <c r="J633" s="341"/>
      <c r="K633" s="340"/>
      <c r="L633" s="341"/>
      <c r="M633" s="340"/>
      <c r="N633" s="339"/>
      <c r="O633" s="339"/>
      <c r="P633" s="339"/>
      <c r="Q633" s="339"/>
      <c r="R633" s="339"/>
      <c r="S633" s="339"/>
      <c r="T633" s="339"/>
      <c r="U633" s="339"/>
      <c r="V633" s="339"/>
      <c r="W633" s="339"/>
      <c r="X633" s="339"/>
      <c r="Y633" s="339"/>
      <c r="Z633" s="339"/>
      <c r="AA633" s="339"/>
      <c r="AB633" s="341"/>
      <c r="AC633" s="341"/>
      <c r="AD633" s="341"/>
      <c r="AE633" s="339"/>
      <c r="AF633" s="339"/>
      <c r="AG633" s="341"/>
      <c r="AH633" s="339"/>
      <c r="AI633" s="341"/>
      <c r="AJ633" s="339"/>
      <c r="AK633" s="341"/>
      <c r="AL633" s="341"/>
      <c r="AM633" s="339"/>
      <c r="AN633" s="339"/>
      <c r="AO633" s="339"/>
      <c r="AP633" s="339"/>
      <c r="AQ633" s="339"/>
      <c r="AR633" s="339"/>
      <c r="AS633" s="339"/>
    </row>
    <row r="634" spans="1:45" ht="15.75" customHeight="1">
      <c r="A634" s="339"/>
      <c r="B634" s="339"/>
      <c r="C634" s="341"/>
      <c r="D634" s="341"/>
      <c r="E634" s="341"/>
      <c r="F634" s="340"/>
      <c r="G634" s="339"/>
      <c r="H634" s="339"/>
      <c r="I634" s="339"/>
      <c r="J634" s="341"/>
      <c r="K634" s="340"/>
      <c r="L634" s="341"/>
      <c r="M634" s="340"/>
      <c r="N634" s="339"/>
      <c r="O634" s="339"/>
      <c r="P634" s="339"/>
      <c r="Q634" s="339"/>
      <c r="R634" s="339"/>
      <c r="S634" s="339"/>
      <c r="T634" s="339"/>
      <c r="U634" s="339"/>
      <c r="V634" s="339"/>
      <c r="W634" s="339"/>
      <c r="X634" s="339"/>
      <c r="Y634" s="339"/>
      <c r="Z634" s="339"/>
      <c r="AA634" s="339"/>
      <c r="AB634" s="341"/>
      <c r="AC634" s="341"/>
      <c r="AD634" s="341"/>
      <c r="AE634" s="339"/>
      <c r="AF634" s="339"/>
      <c r="AG634" s="341"/>
      <c r="AH634" s="339"/>
      <c r="AI634" s="341"/>
      <c r="AJ634" s="339"/>
      <c r="AK634" s="341"/>
      <c r="AL634" s="341"/>
      <c r="AM634" s="339"/>
      <c r="AN634" s="339"/>
      <c r="AO634" s="339"/>
      <c r="AP634" s="339"/>
      <c r="AQ634" s="339"/>
      <c r="AR634" s="339"/>
      <c r="AS634" s="339"/>
    </row>
    <row r="635" spans="1:45" ht="15.75" customHeight="1">
      <c r="A635" s="339"/>
      <c r="B635" s="339"/>
      <c r="C635" s="341"/>
      <c r="D635" s="341"/>
      <c r="E635" s="341"/>
      <c r="F635" s="340"/>
      <c r="G635" s="339"/>
      <c r="H635" s="339"/>
      <c r="I635" s="339"/>
      <c r="J635" s="341"/>
      <c r="K635" s="340"/>
      <c r="L635" s="341"/>
      <c r="M635" s="340"/>
      <c r="N635" s="339"/>
      <c r="O635" s="339"/>
      <c r="P635" s="339"/>
      <c r="Q635" s="339"/>
      <c r="R635" s="339"/>
      <c r="S635" s="339"/>
      <c r="T635" s="339"/>
      <c r="U635" s="339"/>
      <c r="V635" s="339"/>
      <c r="W635" s="339"/>
      <c r="X635" s="339"/>
      <c r="Y635" s="339"/>
      <c r="Z635" s="339"/>
      <c r="AA635" s="339"/>
      <c r="AB635" s="341"/>
      <c r="AC635" s="341"/>
      <c r="AD635" s="341"/>
      <c r="AE635" s="339"/>
      <c r="AF635" s="339"/>
      <c r="AG635" s="341"/>
      <c r="AH635" s="339"/>
      <c r="AI635" s="341"/>
      <c r="AJ635" s="339"/>
      <c r="AK635" s="341"/>
      <c r="AL635" s="341"/>
      <c r="AM635" s="339"/>
      <c r="AN635" s="339"/>
      <c r="AO635" s="339"/>
      <c r="AP635" s="339"/>
      <c r="AQ635" s="339"/>
      <c r="AR635" s="339"/>
      <c r="AS635" s="339"/>
    </row>
    <row r="636" spans="1:45" ht="15.75" customHeight="1">
      <c r="A636" s="339"/>
      <c r="B636" s="339"/>
      <c r="C636" s="341"/>
      <c r="D636" s="341"/>
      <c r="E636" s="341"/>
      <c r="F636" s="340"/>
      <c r="G636" s="339"/>
      <c r="H636" s="339"/>
      <c r="I636" s="339"/>
      <c r="J636" s="341"/>
      <c r="K636" s="340"/>
      <c r="L636" s="341"/>
      <c r="M636" s="340"/>
      <c r="N636" s="339"/>
      <c r="O636" s="339"/>
      <c r="P636" s="339"/>
      <c r="Q636" s="339"/>
      <c r="R636" s="339"/>
      <c r="S636" s="339"/>
      <c r="T636" s="339"/>
      <c r="U636" s="339"/>
      <c r="V636" s="339"/>
      <c r="W636" s="339"/>
      <c r="X636" s="339"/>
      <c r="Y636" s="339"/>
      <c r="Z636" s="339"/>
      <c r="AA636" s="339"/>
      <c r="AB636" s="341"/>
      <c r="AC636" s="341"/>
      <c r="AD636" s="341"/>
      <c r="AE636" s="339"/>
      <c r="AF636" s="339"/>
      <c r="AG636" s="341"/>
      <c r="AH636" s="339"/>
      <c r="AI636" s="341"/>
      <c r="AJ636" s="339"/>
      <c r="AK636" s="341"/>
      <c r="AL636" s="341"/>
      <c r="AM636" s="339"/>
      <c r="AN636" s="339"/>
      <c r="AO636" s="339"/>
      <c r="AP636" s="339"/>
      <c r="AQ636" s="339"/>
      <c r="AR636" s="339"/>
      <c r="AS636" s="339"/>
    </row>
    <row r="637" spans="1:45" ht="15.75" customHeight="1">
      <c r="A637" s="339"/>
      <c r="B637" s="339"/>
      <c r="C637" s="341"/>
      <c r="D637" s="341"/>
      <c r="E637" s="341"/>
      <c r="F637" s="340"/>
      <c r="G637" s="339"/>
      <c r="H637" s="339"/>
      <c r="I637" s="339"/>
      <c r="J637" s="341"/>
      <c r="K637" s="340"/>
      <c r="L637" s="341"/>
      <c r="M637" s="340"/>
      <c r="N637" s="339"/>
      <c r="O637" s="339"/>
      <c r="P637" s="339"/>
      <c r="Q637" s="339"/>
      <c r="R637" s="339"/>
      <c r="S637" s="339"/>
      <c r="T637" s="339"/>
      <c r="U637" s="339"/>
      <c r="V637" s="339"/>
      <c r="W637" s="339"/>
      <c r="X637" s="339"/>
      <c r="Y637" s="339"/>
      <c r="Z637" s="339"/>
      <c r="AA637" s="339"/>
      <c r="AB637" s="341"/>
      <c r="AC637" s="341"/>
      <c r="AD637" s="341"/>
      <c r="AE637" s="339"/>
      <c r="AF637" s="339"/>
      <c r="AG637" s="341"/>
      <c r="AH637" s="339"/>
      <c r="AI637" s="341"/>
      <c r="AJ637" s="339"/>
      <c r="AK637" s="341"/>
      <c r="AL637" s="341"/>
      <c r="AM637" s="339"/>
      <c r="AN637" s="339"/>
      <c r="AO637" s="339"/>
      <c r="AP637" s="339"/>
      <c r="AQ637" s="339"/>
      <c r="AR637" s="339"/>
      <c r="AS637" s="339"/>
    </row>
    <row r="638" spans="1:45" ht="15.75" customHeight="1">
      <c r="A638" s="339"/>
      <c r="B638" s="339"/>
      <c r="C638" s="341"/>
      <c r="D638" s="341"/>
      <c r="E638" s="341"/>
      <c r="F638" s="340"/>
      <c r="G638" s="339"/>
      <c r="H638" s="339"/>
      <c r="I638" s="339"/>
      <c r="J638" s="341"/>
      <c r="K638" s="340"/>
      <c r="L638" s="341"/>
      <c r="M638" s="340"/>
      <c r="N638" s="339"/>
      <c r="O638" s="339"/>
      <c r="P638" s="339"/>
      <c r="Q638" s="339"/>
      <c r="R638" s="339"/>
      <c r="S638" s="339"/>
      <c r="T638" s="339"/>
      <c r="U638" s="339"/>
      <c r="V638" s="339"/>
      <c r="W638" s="339"/>
      <c r="X638" s="339"/>
      <c r="Y638" s="339"/>
      <c r="Z638" s="339"/>
      <c r="AA638" s="339"/>
      <c r="AB638" s="341"/>
      <c r="AC638" s="341"/>
      <c r="AD638" s="341"/>
      <c r="AE638" s="339"/>
      <c r="AF638" s="339"/>
      <c r="AG638" s="341"/>
      <c r="AH638" s="339"/>
      <c r="AI638" s="341"/>
      <c r="AJ638" s="339"/>
      <c r="AK638" s="341"/>
      <c r="AL638" s="341"/>
      <c r="AM638" s="339"/>
      <c r="AN638" s="339"/>
      <c r="AO638" s="339"/>
      <c r="AP638" s="339"/>
      <c r="AQ638" s="339"/>
      <c r="AR638" s="339"/>
      <c r="AS638" s="339"/>
    </row>
    <row r="639" spans="1:45" ht="15.75" customHeight="1">
      <c r="A639" s="339"/>
      <c r="B639" s="339"/>
      <c r="C639" s="341"/>
      <c r="D639" s="341"/>
      <c r="E639" s="341"/>
      <c r="F639" s="340"/>
      <c r="G639" s="339"/>
      <c r="H639" s="339"/>
      <c r="I639" s="339"/>
      <c r="J639" s="341"/>
      <c r="K639" s="340"/>
      <c r="L639" s="341"/>
      <c r="M639" s="340"/>
      <c r="N639" s="339"/>
      <c r="O639" s="339"/>
      <c r="P639" s="339"/>
      <c r="Q639" s="339"/>
      <c r="R639" s="339"/>
      <c r="S639" s="339"/>
      <c r="T639" s="339"/>
      <c r="U639" s="339"/>
      <c r="V639" s="339"/>
      <c r="W639" s="339"/>
      <c r="X639" s="339"/>
      <c r="Y639" s="339"/>
      <c r="Z639" s="339"/>
      <c r="AA639" s="339"/>
      <c r="AB639" s="341"/>
      <c r="AC639" s="341"/>
      <c r="AD639" s="341"/>
      <c r="AE639" s="339"/>
      <c r="AF639" s="339"/>
      <c r="AG639" s="341"/>
      <c r="AH639" s="339"/>
      <c r="AI639" s="341"/>
      <c r="AJ639" s="339"/>
      <c r="AK639" s="341"/>
      <c r="AL639" s="341"/>
      <c r="AM639" s="339"/>
      <c r="AN639" s="339"/>
      <c r="AO639" s="339"/>
      <c r="AP639" s="339"/>
      <c r="AQ639" s="339"/>
      <c r="AR639" s="339"/>
      <c r="AS639" s="339"/>
    </row>
    <row r="640" spans="1:45" ht="15.75" customHeight="1">
      <c r="A640" s="339"/>
      <c r="B640" s="339"/>
      <c r="C640" s="341"/>
      <c r="D640" s="341"/>
      <c r="E640" s="341"/>
      <c r="F640" s="340"/>
      <c r="G640" s="339"/>
      <c r="H640" s="339"/>
      <c r="I640" s="339"/>
      <c r="J640" s="341"/>
      <c r="K640" s="340"/>
      <c r="L640" s="341"/>
      <c r="M640" s="340"/>
      <c r="N640" s="339"/>
      <c r="O640" s="339"/>
      <c r="P640" s="339"/>
      <c r="Q640" s="339"/>
      <c r="R640" s="339"/>
      <c r="S640" s="339"/>
      <c r="T640" s="339"/>
      <c r="U640" s="339"/>
      <c r="V640" s="339"/>
      <c r="W640" s="339"/>
      <c r="X640" s="339"/>
      <c r="Y640" s="339"/>
      <c r="Z640" s="339"/>
      <c r="AA640" s="339"/>
      <c r="AB640" s="341"/>
      <c r="AC640" s="341"/>
      <c r="AD640" s="341"/>
      <c r="AE640" s="339"/>
      <c r="AF640" s="339"/>
      <c r="AG640" s="341"/>
      <c r="AH640" s="339"/>
      <c r="AI640" s="341"/>
      <c r="AJ640" s="339"/>
      <c r="AK640" s="341"/>
      <c r="AL640" s="341"/>
      <c r="AM640" s="339"/>
      <c r="AN640" s="339"/>
      <c r="AO640" s="339"/>
      <c r="AP640" s="339"/>
      <c r="AQ640" s="339"/>
      <c r="AR640" s="339"/>
      <c r="AS640" s="339"/>
    </row>
    <row r="641" spans="1:45" ht="15.75" customHeight="1">
      <c r="A641" s="339"/>
      <c r="B641" s="339"/>
      <c r="C641" s="341"/>
      <c r="D641" s="341"/>
      <c r="E641" s="341"/>
      <c r="F641" s="340"/>
      <c r="G641" s="339"/>
      <c r="H641" s="339"/>
      <c r="I641" s="339"/>
      <c r="J641" s="341"/>
      <c r="K641" s="340"/>
      <c r="L641" s="341"/>
      <c r="M641" s="340"/>
      <c r="N641" s="339"/>
      <c r="O641" s="339"/>
      <c r="P641" s="339"/>
      <c r="Q641" s="339"/>
      <c r="R641" s="339"/>
      <c r="S641" s="339"/>
      <c r="T641" s="339"/>
      <c r="U641" s="339"/>
      <c r="V641" s="339"/>
      <c r="W641" s="339"/>
      <c r="X641" s="339"/>
      <c r="Y641" s="339"/>
      <c r="Z641" s="339"/>
      <c r="AA641" s="339"/>
      <c r="AB641" s="341"/>
      <c r="AC641" s="341"/>
      <c r="AD641" s="341"/>
      <c r="AE641" s="339"/>
      <c r="AF641" s="339"/>
      <c r="AG641" s="341"/>
      <c r="AH641" s="339"/>
      <c r="AI641" s="341"/>
      <c r="AJ641" s="339"/>
      <c r="AK641" s="341"/>
      <c r="AL641" s="341"/>
      <c r="AM641" s="339"/>
      <c r="AN641" s="339"/>
      <c r="AO641" s="339"/>
      <c r="AP641" s="339"/>
      <c r="AQ641" s="339"/>
      <c r="AR641" s="339"/>
      <c r="AS641" s="339"/>
    </row>
    <row r="642" spans="1:45" ht="15.75" customHeight="1">
      <c r="A642" s="339"/>
      <c r="B642" s="339"/>
      <c r="C642" s="341"/>
      <c r="D642" s="341"/>
      <c r="E642" s="341"/>
      <c r="F642" s="340"/>
      <c r="G642" s="339"/>
      <c r="H642" s="339"/>
      <c r="I642" s="339"/>
      <c r="J642" s="341"/>
      <c r="K642" s="340"/>
      <c r="L642" s="341"/>
      <c r="M642" s="340"/>
      <c r="N642" s="339"/>
      <c r="O642" s="339"/>
      <c r="P642" s="339"/>
      <c r="Q642" s="339"/>
      <c r="R642" s="339"/>
      <c r="S642" s="339"/>
      <c r="T642" s="339"/>
      <c r="U642" s="339"/>
      <c r="V642" s="339"/>
      <c r="W642" s="339"/>
      <c r="X642" s="339"/>
      <c r="Y642" s="339"/>
      <c r="Z642" s="339"/>
      <c r="AA642" s="339"/>
      <c r="AB642" s="341"/>
      <c r="AC642" s="341"/>
      <c r="AD642" s="341"/>
      <c r="AE642" s="339"/>
      <c r="AF642" s="339"/>
      <c r="AG642" s="341"/>
      <c r="AH642" s="339"/>
      <c r="AI642" s="341"/>
      <c r="AJ642" s="339"/>
      <c r="AK642" s="341"/>
      <c r="AL642" s="341"/>
      <c r="AM642" s="339"/>
      <c r="AN642" s="339"/>
      <c r="AO642" s="339"/>
      <c r="AP642" s="339"/>
      <c r="AQ642" s="339"/>
      <c r="AR642" s="339"/>
      <c r="AS642" s="339"/>
    </row>
    <row r="643" spans="1:45" ht="15.75" customHeight="1">
      <c r="A643" s="339"/>
      <c r="B643" s="339"/>
      <c r="C643" s="341"/>
      <c r="D643" s="341"/>
      <c r="E643" s="341"/>
      <c r="F643" s="340"/>
      <c r="G643" s="339"/>
      <c r="H643" s="339"/>
      <c r="I643" s="339"/>
      <c r="J643" s="341"/>
      <c r="K643" s="340"/>
      <c r="L643" s="341"/>
      <c r="M643" s="340"/>
      <c r="N643" s="339"/>
      <c r="O643" s="339"/>
      <c r="P643" s="339"/>
      <c r="Q643" s="339"/>
      <c r="R643" s="339"/>
      <c r="S643" s="339"/>
      <c r="T643" s="339"/>
      <c r="U643" s="339"/>
      <c r="V643" s="339"/>
      <c r="W643" s="339"/>
      <c r="X643" s="339"/>
      <c r="Y643" s="339"/>
      <c r="Z643" s="339"/>
      <c r="AA643" s="339"/>
      <c r="AB643" s="341"/>
      <c r="AC643" s="341"/>
      <c r="AD643" s="341"/>
      <c r="AE643" s="339"/>
      <c r="AF643" s="339"/>
      <c r="AG643" s="341"/>
      <c r="AH643" s="339"/>
      <c r="AI643" s="341"/>
      <c r="AJ643" s="339"/>
      <c r="AK643" s="341"/>
      <c r="AL643" s="341"/>
      <c r="AM643" s="339"/>
      <c r="AN643" s="339"/>
      <c r="AO643" s="339"/>
      <c r="AP643" s="339"/>
      <c r="AQ643" s="339"/>
      <c r="AR643" s="339"/>
      <c r="AS643" s="339"/>
    </row>
    <row r="644" spans="1:45" ht="15.75" customHeight="1">
      <c r="A644" s="339"/>
      <c r="B644" s="339"/>
      <c r="C644" s="341"/>
      <c r="D644" s="341"/>
      <c r="E644" s="341"/>
      <c r="F644" s="340"/>
      <c r="G644" s="339"/>
      <c r="H644" s="339"/>
      <c r="I644" s="339"/>
      <c r="J644" s="341"/>
      <c r="K644" s="340"/>
      <c r="L644" s="341"/>
      <c r="M644" s="340"/>
      <c r="N644" s="339"/>
      <c r="O644" s="339"/>
      <c r="P644" s="339"/>
      <c r="Q644" s="339"/>
      <c r="R644" s="339"/>
      <c r="S644" s="339"/>
      <c r="T644" s="339"/>
      <c r="U644" s="339"/>
      <c r="V644" s="339"/>
      <c r="W644" s="339"/>
      <c r="X644" s="339"/>
      <c r="Y644" s="339"/>
      <c r="Z644" s="339"/>
      <c r="AA644" s="339"/>
      <c r="AB644" s="341"/>
      <c r="AC644" s="341"/>
      <c r="AD644" s="341"/>
      <c r="AE644" s="339"/>
      <c r="AF644" s="339"/>
      <c r="AG644" s="341"/>
      <c r="AH644" s="339"/>
      <c r="AI644" s="341"/>
      <c r="AJ644" s="339"/>
      <c r="AK644" s="341"/>
      <c r="AL644" s="341"/>
      <c r="AM644" s="339"/>
      <c r="AN644" s="339"/>
      <c r="AO644" s="339"/>
      <c r="AP644" s="339"/>
      <c r="AQ644" s="339"/>
      <c r="AR644" s="339"/>
      <c r="AS644" s="339"/>
    </row>
    <row r="645" spans="1:45" ht="15.75" customHeight="1">
      <c r="A645" s="339"/>
      <c r="B645" s="339"/>
      <c r="C645" s="341"/>
      <c r="D645" s="341"/>
      <c r="E645" s="341"/>
      <c r="F645" s="340"/>
      <c r="G645" s="339"/>
      <c r="H645" s="339"/>
      <c r="I645" s="339"/>
      <c r="J645" s="341"/>
      <c r="K645" s="340"/>
      <c r="L645" s="341"/>
      <c r="M645" s="340"/>
      <c r="N645" s="339"/>
      <c r="O645" s="339"/>
      <c r="P645" s="339"/>
      <c r="Q645" s="339"/>
      <c r="R645" s="339"/>
      <c r="S645" s="339"/>
      <c r="T645" s="339"/>
      <c r="U645" s="339"/>
      <c r="V645" s="339"/>
      <c r="W645" s="339"/>
      <c r="X645" s="339"/>
      <c r="Y645" s="339"/>
      <c r="Z645" s="339"/>
      <c r="AA645" s="339"/>
      <c r="AB645" s="341"/>
      <c r="AC645" s="341"/>
      <c r="AD645" s="341"/>
      <c r="AE645" s="339"/>
      <c r="AF645" s="339"/>
      <c r="AG645" s="341"/>
      <c r="AH645" s="339"/>
      <c r="AI645" s="341"/>
      <c r="AJ645" s="339"/>
      <c r="AK645" s="341"/>
      <c r="AL645" s="341"/>
      <c r="AM645" s="339"/>
      <c r="AN645" s="339"/>
      <c r="AO645" s="339"/>
      <c r="AP645" s="339"/>
      <c r="AQ645" s="339"/>
      <c r="AR645" s="339"/>
      <c r="AS645" s="339"/>
    </row>
    <row r="646" spans="1:45" ht="15.75" customHeight="1">
      <c r="A646" s="339"/>
      <c r="B646" s="339"/>
      <c r="C646" s="341"/>
      <c r="D646" s="341"/>
      <c r="E646" s="341"/>
      <c r="F646" s="340"/>
      <c r="G646" s="339"/>
      <c r="H646" s="339"/>
      <c r="I646" s="339"/>
      <c r="J646" s="341"/>
      <c r="K646" s="340"/>
      <c r="L646" s="341"/>
      <c r="M646" s="340"/>
      <c r="N646" s="339"/>
      <c r="O646" s="339"/>
      <c r="P646" s="339"/>
      <c r="Q646" s="339"/>
      <c r="R646" s="339"/>
      <c r="S646" s="339"/>
      <c r="T646" s="339"/>
      <c r="U646" s="339"/>
      <c r="V646" s="339"/>
      <c r="W646" s="339"/>
      <c r="X646" s="339"/>
      <c r="Y646" s="339"/>
      <c r="Z646" s="339"/>
      <c r="AA646" s="339"/>
      <c r="AB646" s="341"/>
      <c r="AC646" s="341"/>
      <c r="AD646" s="341"/>
      <c r="AE646" s="339"/>
      <c r="AF646" s="339"/>
      <c r="AG646" s="341"/>
      <c r="AH646" s="339"/>
      <c r="AI646" s="341"/>
      <c r="AJ646" s="339"/>
      <c r="AK646" s="341"/>
      <c r="AL646" s="341"/>
      <c r="AM646" s="339"/>
      <c r="AN646" s="339"/>
      <c r="AO646" s="339"/>
      <c r="AP646" s="339"/>
      <c r="AQ646" s="339"/>
      <c r="AR646" s="339"/>
      <c r="AS646" s="339"/>
    </row>
    <row r="647" spans="1:45" ht="15.75" customHeight="1">
      <c r="A647" s="339"/>
      <c r="B647" s="339"/>
      <c r="C647" s="341"/>
      <c r="D647" s="341"/>
      <c r="E647" s="341"/>
      <c r="F647" s="340"/>
      <c r="G647" s="339"/>
      <c r="H647" s="339"/>
      <c r="I647" s="339"/>
      <c r="J647" s="341"/>
      <c r="K647" s="340"/>
      <c r="L647" s="341"/>
      <c r="M647" s="340"/>
      <c r="N647" s="339"/>
      <c r="O647" s="339"/>
      <c r="P647" s="339"/>
      <c r="Q647" s="339"/>
      <c r="R647" s="339"/>
      <c r="S647" s="339"/>
      <c r="T647" s="339"/>
      <c r="U647" s="339"/>
      <c r="V647" s="339"/>
      <c r="W647" s="339"/>
      <c r="X647" s="339"/>
      <c r="Y647" s="339"/>
      <c r="Z647" s="339"/>
      <c r="AA647" s="339"/>
      <c r="AB647" s="341"/>
      <c r="AC647" s="341"/>
      <c r="AD647" s="341"/>
      <c r="AE647" s="339"/>
      <c r="AF647" s="339"/>
      <c r="AG647" s="341"/>
      <c r="AH647" s="339"/>
      <c r="AI647" s="341"/>
      <c r="AJ647" s="339"/>
      <c r="AK647" s="341"/>
      <c r="AL647" s="341"/>
      <c r="AM647" s="339"/>
      <c r="AN647" s="339"/>
      <c r="AO647" s="339"/>
      <c r="AP647" s="339"/>
      <c r="AQ647" s="339"/>
      <c r="AR647" s="339"/>
      <c r="AS647" s="339"/>
    </row>
    <row r="648" spans="1:45" ht="15.75" customHeight="1">
      <c r="A648" s="339"/>
      <c r="B648" s="339"/>
      <c r="C648" s="341"/>
      <c r="D648" s="341"/>
      <c r="E648" s="341"/>
      <c r="F648" s="340"/>
      <c r="G648" s="339"/>
      <c r="H648" s="339"/>
      <c r="I648" s="339"/>
      <c r="J648" s="341"/>
      <c r="K648" s="340"/>
      <c r="L648" s="341"/>
      <c r="M648" s="340"/>
      <c r="N648" s="339"/>
      <c r="O648" s="339"/>
      <c r="P648" s="339"/>
      <c r="Q648" s="339"/>
      <c r="R648" s="339"/>
      <c r="S648" s="339"/>
      <c r="T648" s="339"/>
      <c r="U648" s="339"/>
      <c r="V648" s="339"/>
      <c r="W648" s="339"/>
      <c r="X648" s="339"/>
      <c r="Y648" s="339"/>
      <c r="Z648" s="339"/>
      <c r="AA648" s="339"/>
      <c r="AB648" s="341"/>
      <c r="AC648" s="341"/>
      <c r="AD648" s="341"/>
      <c r="AE648" s="339"/>
      <c r="AF648" s="339"/>
      <c r="AG648" s="341"/>
      <c r="AH648" s="339"/>
      <c r="AI648" s="341"/>
      <c r="AJ648" s="339"/>
      <c r="AK648" s="341"/>
      <c r="AL648" s="341"/>
      <c r="AM648" s="339"/>
      <c r="AN648" s="339"/>
      <c r="AO648" s="339"/>
      <c r="AP648" s="339"/>
      <c r="AQ648" s="339"/>
      <c r="AR648" s="339"/>
      <c r="AS648" s="339"/>
    </row>
    <row r="649" spans="1:45" ht="15.75" customHeight="1">
      <c r="A649" s="339"/>
      <c r="B649" s="339"/>
      <c r="C649" s="341"/>
      <c r="D649" s="341"/>
      <c r="E649" s="341"/>
      <c r="F649" s="340"/>
      <c r="G649" s="339"/>
      <c r="H649" s="339"/>
      <c r="I649" s="339"/>
      <c r="J649" s="341"/>
      <c r="K649" s="340"/>
      <c r="L649" s="341"/>
      <c r="M649" s="340"/>
      <c r="N649" s="339"/>
      <c r="O649" s="339"/>
      <c r="P649" s="339"/>
      <c r="Q649" s="339"/>
      <c r="R649" s="339"/>
      <c r="S649" s="339"/>
      <c r="T649" s="339"/>
      <c r="U649" s="339"/>
      <c r="V649" s="339"/>
      <c r="W649" s="339"/>
      <c r="X649" s="339"/>
      <c r="Y649" s="339"/>
      <c r="Z649" s="339"/>
      <c r="AA649" s="339"/>
      <c r="AB649" s="341"/>
      <c r="AC649" s="341"/>
      <c r="AD649" s="341"/>
      <c r="AE649" s="339"/>
      <c r="AF649" s="339"/>
      <c r="AG649" s="341"/>
      <c r="AH649" s="339"/>
      <c r="AI649" s="341"/>
      <c r="AJ649" s="339"/>
      <c r="AK649" s="341"/>
      <c r="AL649" s="341"/>
      <c r="AM649" s="339"/>
      <c r="AN649" s="339"/>
      <c r="AO649" s="339"/>
      <c r="AP649" s="339"/>
      <c r="AQ649" s="339"/>
      <c r="AR649" s="339"/>
      <c r="AS649" s="339"/>
    </row>
    <row r="650" spans="1:45" ht="15.75" customHeight="1">
      <c r="A650" s="339"/>
      <c r="B650" s="339"/>
      <c r="C650" s="341"/>
      <c r="D650" s="341"/>
      <c r="E650" s="341"/>
      <c r="F650" s="340"/>
      <c r="G650" s="339"/>
      <c r="H650" s="339"/>
      <c r="I650" s="339"/>
      <c r="J650" s="341"/>
      <c r="K650" s="340"/>
      <c r="L650" s="341"/>
      <c r="M650" s="340"/>
      <c r="N650" s="339"/>
      <c r="O650" s="339"/>
      <c r="P650" s="339"/>
      <c r="Q650" s="339"/>
      <c r="R650" s="339"/>
      <c r="S650" s="339"/>
      <c r="T650" s="339"/>
      <c r="U650" s="339"/>
      <c r="V650" s="339"/>
      <c r="W650" s="339"/>
      <c r="X650" s="339"/>
      <c r="Y650" s="339"/>
      <c r="Z650" s="339"/>
      <c r="AA650" s="339"/>
      <c r="AB650" s="341"/>
      <c r="AC650" s="341"/>
      <c r="AD650" s="341"/>
      <c r="AE650" s="339"/>
      <c r="AF650" s="339"/>
      <c r="AG650" s="341"/>
      <c r="AH650" s="339"/>
      <c r="AI650" s="341"/>
      <c r="AJ650" s="339"/>
      <c r="AK650" s="341"/>
      <c r="AL650" s="341"/>
      <c r="AM650" s="339"/>
      <c r="AN650" s="339"/>
      <c r="AO650" s="339"/>
      <c r="AP650" s="339"/>
      <c r="AQ650" s="339"/>
      <c r="AR650" s="339"/>
      <c r="AS650" s="339"/>
    </row>
    <row r="651" spans="1:45" ht="15.75" customHeight="1">
      <c r="A651" s="339"/>
      <c r="B651" s="339"/>
      <c r="C651" s="341"/>
      <c r="D651" s="341"/>
      <c r="E651" s="341"/>
      <c r="F651" s="340"/>
      <c r="G651" s="339"/>
      <c r="H651" s="339"/>
      <c r="I651" s="339"/>
      <c r="J651" s="341"/>
      <c r="K651" s="340"/>
      <c r="L651" s="341"/>
      <c r="M651" s="340"/>
      <c r="N651" s="339"/>
      <c r="O651" s="339"/>
      <c r="P651" s="339"/>
      <c r="Q651" s="339"/>
      <c r="R651" s="339"/>
      <c r="S651" s="339"/>
      <c r="T651" s="339"/>
      <c r="U651" s="339"/>
      <c r="V651" s="339"/>
      <c r="W651" s="339"/>
      <c r="X651" s="339"/>
      <c r="Y651" s="339"/>
      <c r="Z651" s="339"/>
      <c r="AA651" s="339"/>
      <c r="AB651" s="341"/>
      <c r="AC651" s="341"/>
      <c r="AD651" s="341"/>
      <c r="AE651" s="339"/>
      <c r="AF651" s="339"/>
      <c r="AG651" s="341"/>
      <c r="AH651" s="339"/>
      <c r="AI651" s="341"/>
      <c r="AJ651" s="339"/>
      <c r="AK651" s="341"/>
      <c r="AL651" s="341"/>
      <c r="AM651" s="339"/>
      <c r="AN651" s="339"/>
      <c r="AO651" s="339"/>
      <c r="AP651" s="339"/>
      <c r="AQ651" s="339"/>
      <c r="AR651" s="339"/>
      <c r="AS651" s="339"/>
    </row>
    <row r="652" spans="1:45" ht="15.75" customHeight="1">
      <c r="A652" s="339"/>
      <c r="B652" s="339"/>
      <c r="C652" s="341"/>
      <c r="D652" s="341"/>
      <c r="E652" s="341"/>
      <c r="F652" s="340"/>
      <c r="G652" s="339"/>
      <c r="H652" s="339"/>
      <c r="I652" s="339"/>
      <c r="J652" s="341"/>
      <c r="K652" s="340"/>
      <c r="L652" s="341"/>
      <c r="M652" s="340"/>
      <c r="N652" s="339"/>
      <c r="O652" s="339"/>
      <c r="P652" s="339"/>
      <c r="Q652" s="339"/>
      <c r="R652" s="339"/>
      <c r="S652" s="339"/>
      <c r="T652" s="339"/>
      <c r="U652" s="339"/>
      <c r="V652" s="339"/>
      <c r="W652" s="339"/>
      <c r="X652" s="339"/>
      <c r="Y652" s="339"/>
      <c r="Z652" s="339"/>
      <c r="AA652" s="339"/>
      <c r="AB652" s="341"/>
      <c r="AC652" s="341"/>
      <c r="AD652" s="341"/>
      <c r="AE652" s="339"/>
      <c r="AF652" s="339"/>
      <c r="AG652" s="341"/>
      <c r="AH652" s="339"/>
      <c r="AI652" s="341"/>
      <c r="AJ652" s="339"/>
      <c r="AK652" s="341"/>
      <c r="AL652" s="341"/>
      <c r="AM652" s="339"/>
      <c r="AN652" s="339"/>
      <c r="AO652" s="339"/>
      <c r="AP652" s="339"/>
      <c r="AQ652" s="339"/>
      <c r="AR652" s="339"/>
      <c r="AS652" s="339"/>
    </row>
    <row r="653" spans="1:45" ht="15.75" customHeight="1">
      <c r="A653" s="339"/>
      <c r="B653" s="339"/>
      <c r="C653" s="341"/>
      <c r="D653" s="341"/>
      <c r="E653" s="341"/>
      <c r="F653" s="340"/>
      <c r="G653" s="339"/>
      <c r="H653" s="339"/>
      <c r="I653" s="339"/>
      <c r="J653" s="341"/>
      <c r="K653" s="340"/>
      <c r="L653" s="341"/>
      <c r="M653" s="340"/>
      <c r="N653" s="339"/>
      <c r="O653" s="339"/>
      <c r="P653" s="339"/>
      <c r="Q653" s="339"/>
      <c r="R653" s="339"/>
      <c r="S653" s="339"/>
      <c r="T653" s="339"/>
      <c r="U653" s="339"/>
      <c r="V653" s="339"/>
      <c r="W653" s="339"/>
      <c r="X653" s="339"/>
      <c r="Y653" s="339"/>
      <c r="Z653" s="339"/>
      <c r="AA653" s="339"/>
      <c r="AB653" s="341"/>
      <c r="AC653" s="341"/>
      <c r="AD653" s="341"/>
      <c r="AE653" s="339"/>
      <c r="AF653" s="339"/>
      <c r="AG653" s="341"/>
      <c r="AH653" s="339"/>
      <c r="AI653" s="341"/>
      <c r="AJ653" s="339"/>
      <c r="AK653" s="341"/>
      <c r="AL653" s="341"/>
      <c r="AM653" s="339"/>
      <c r="AN653" s="339"/>
      <c r="AO653" s="339"/>
      <c r="AP653" s="339"/>
      <c r="AQ653" s="339"/>
      <c r="AR653" s="339"/>
      <c r="AS653" s="339"/>
    </row>
    <row r="654" spans="1:45" ht="15.75" customHeight="1">
      <c r="A654" s="339"/>
      <c r="B654" s="339"/>
      <c r="C654" s="341"/>
      <c r="D654" s="341"/>
      <c r="E654" s="341"/>
      <c r="F654" s="340"/>
      <c r="G654" s="339"/>
      <c r="H654" s="339"/>
      <c r="I654" s="339"/>
      <c r="J654" s="341"/>
      <c r="K654" s="340"/>
      <c r="L654" s="341"/>
      <c r="M654" s="340"/>
      <c r="N654" s="339"/>
      <c r="O654" s="339"/>
      <c r="P654" s="339"/>
      <c r="Q654" s="339"/>
      <c r="R654" s="339"/>
      <c r="S654" s="339"/>
      <c r="T654" s="339"/>
      <c r="U654" s="339"/>
      <c r="V654" s="339"/>
      <c r="W654" s="339"/>
      <c r="X654" s="339"/>
      <c r="Y654" s="339"/>
      <c r="Z654" s="339"/>
      <c r="AA654" s="339"/>
      <c r="AB654" s="341"/>
      <c r="AC654" s="341"/>
      <c r="AD654" s="341"/>
      <c r="AE654" s="339"/>
      <c r="AF654" s="339"/>
      <c r="AG654" s="341"/>
      <c r="AH654" s="339"/>
      <c r="AI654" s="341"/>
      <c r="AJ654" s="339"/>
      <c r="AK654" s="341"/>
      <c r="AL654" s="341"/>
      <c r="AM654" s="339"/>
      <c r="AN654" s="339"/>
      <c r="AO654" s="339"/>
      <c r="AP654" s="339"/>
      <c r="AQ654" s="339"/>
      <c r="AR654" s="339"/>
      <c r="AS654" s="339"/>
    </row>
    <row r="655" spans="1:45" ht="15.75" customHeight="1">
      <c r="A655" s="339"/>
      <c r="B655" s="339"/>
      <c r="C655" s="341"/>
      <c r="D655" s="341"/>
      <c r="E655" s="341"/>
      <c r="F655" s="340"/>
      <c r="G655" s="339"/>
      <c r="H655" s="339"/>
      <c r="I655" s="339"/>
      <c r="J655" s="341"/>
      <c r="K655" s="340"/>
      <c r="L655" s="341"/>
      <c r="M655" s="340"/>
      <c r="N655" s="339"/>
      <c r="O655" s="339"/>
      <c r="P655" s="339"/>
      <c r="Q655" s="339"/>
      <c r="R655" s="339"/>
      <c r="S655" s="339"/>
      <c r="T655" s="339"/>
      <c r="U655" s="339"/>
      <c r="V655" s="339"/>
      <c r="W655" s="339"/>
      <c r="X655" s="339"/>
      <c r="Y655" s="339"/>
      <c r="Z655" s="339"/>
      <c r="AA655" s="339"/>
      <c r="AB655" s="341"/>
      <c r="AC655" s="341"/>
      <c r="AD655" s="341"/>
      <c r="AE655" s="339"/>
      <c r="AF655" s="339"/>
      <c r="AG655" s="341"/>
      <c r="AH655" s="339"/>
      <c r="AI655" s="341"/>
      <c r="AJ655" s="339"/>
      <c r="AK655" s="341"/>
      <c r="AL655" s="341"/>
      <c r="AM655" s="339"/>
      <c r="AN655" s="339"/>
      <c r="AO655" s="339"/>
      <c r="AP655" s="339"/>
      <c r="AQ655" s="339"/>
      <c r="AR655" s="339"/>
      <c r="AS655" s="339"/>
    </row>
    <row r="656" spans="1:45" ht="15.75" customHeight="1">
      <c r="A656" s="339"/>
      <c r="B656" s="339"/>
      <c r="C656" s="341"/>
      <c r="D656" s="341"/>
      <c r="E656" s="341"/>
      <c r="F656" s="340"/>
      <c r="G656" s="339"/>
      <c r="H656" s="339"/>
      <c r="I656" s="339"/>
      <c r="J656" s="341"/>
      <c r="K656" s="340"/>
      <c r="L656" s="341"/>
      <c r="M656" s="340"/>
      <c r="N656" s="339"/>
      <c r="O656" s="339"/>
      <c r="P656" s="339"/>
      <c r="Q656" s="339"/>
      <c r="R656" s="339"/>
      <c r="S656" s="339"/>
      <c r="T656" s="339"/>
      <c r="U656" s="339"/>
      <c r="V656" s="339"/>
      <c r="W656" s="339"/>
      <c r="X656" s="339"/>
      <c r="Y656" s="339"/>
      <c r="Z656" s="339"/>
      <c r="AA656" s="339"/>
      <c r="AB656" s="341"/>
      <c r="AC656" s="341"/>
      <c r="AD656" s="341"/>
      <c r="AE656" s="339"/>
      <c r="AF656" s="339"/>
      <c r="AG656" s="341"/>
      <c r="AH656" s="339"/>
      <c r="AI656" s="341"/>
      <c r="AJ656" s="339"/>
      <c r="AK656" s="341"/>
      <c r="AL656" s="341"/>
      <c r="AM656" s="339"/>
      <c r="AN656" s="339"/>
      <c r="AO656" s="339"/>
      <c r="AP656" s="339"/>
      <c r="AQ656" s="339"/>
      <c r="AR656" s="339"/>
      <c r="AS656" s="339"/>
    </row>
    <row r="657" spans="1:45" ht="15.75" customHeight="1">
      <c r="A657" s="339"/>
      <c r="B657" s="339"/>
      <c r="C657" s="341"/>
      <c r="D657" s="341"/>
      <c r="E657" s="341"/>
      <c r="F657" s="340"/>
      <c r="G657" s="339"/>
      <c r="H657" s="339"/>
      <c r="I657" s="339"/>
      <c r="J657" s="341"/>
      <c r="K657" s="340"/>
      <c r="L657" s="341"/>
      <c r="M657" s="340"/>
      <c r="N657" s="339"/>
      <c r="O657" s="339"/>
      <c r="P657" s="339"/>
      <c r="Q657" s="339"/>
      <c r="R657" s="339"/>
      <c r="S657" s="339"/>
      <c r="T657" s="339"/>
      <c r="U657" s="339"/>
      <c r="V657" s="339"/>
      <c r="W657" s="339"/>
      <c r="X657" s="339"/>
      <c r="Y657" s="339"/>
      <c r="Z657" s="339"/>
      <c r="AA657" s="339"/>
      <c r="AB657" s="341"/>
      <c r="AC657" s="341"/>
      <c r="AD657" s="341"/>
      <c r="AE657" s="339"/>
      <c r="AF657" s="339"/>
      <c r="AG657" s="341"/>
      <c r="AH657" s="339"/>
      <c r="AI657" s="341"/>
      <c r="AJ657" s="339"/>
      <c r="AK657" s="341"/>
      <c r="AL657" s="341"/>
      <c r="AM657" s="339"/>
      <c r="AN657" s="339"/>
      <c r="AO657" s="339"/>
      <c r="AP657" s="339"/>
      <c r="AQ657" s="339"/>
      <c r="AR657" s="339"/>
      <c r="AS657" s="339"/>
    </row>
    <row r="658" spans="1:45" ht="15.75" customHeight="1">
      <c r="A658" s="339"/>
      <c r="B658" s="339"/>
      <c r="C658" s="341"/>
      <c r="D658" s="341"/>
      <c r="E658" s="341"/>
      <c r="F658" s="340"/>
      <c r="G658" s="339"/>
      <c r="H658" s="339"/>
      <c r="I658" s="339"/>
      <c r="J658" s="341"/>
      <c r="K658" s="340"/>
      <c r="L658" s="341"/>
      <c r="M658" s="340"/>
      <c r="N658" s="339"/>
      <c r="O658" s="339"/>
      <c r="P658" s="339"/>
      <c r="Q658" s="339"/>
      <c r="R658" s="339"/>
      <c r="S658" s="339"/>
      <c r="T658" s="339"/>
      <c r="U658" s="339"/>
      <c r="V658" s="339"/>
      <c r="W658" s="339"/>
      <c r="X658" s="339"/>
      <c r="Y658" s="339"/>
      <c r="Z658" s="339"/>
      <c r="AA658" s="339"/>
      <c r="AB658" s="341"/>
      <c r="AC658" s="341"/>
      <c r="AD658" s="341"/>
      <c r="AE658" s="339"/>
      <c r="AF658" s="339"/>
      <c r="AG658" s="341"/>
      <c r="AH658" s="339"/>
      <c r="AI658" s="341"/>
      <c r="AJ658" s="339"/>
      <c r="AK658" s="341"/>
      <c r="AL658" s="341"/>
      <c r="AM658" s="339"/>
      <c r="AN658" s="339"/>
      <c r="AO658" s="339"/>
      <c r="AP658" s="339"/>
      <c r="AQ658" s="339"/>
      <c r="AR658" s="339"/>
      <c r="AS658" s="339"/>
    </row>
    <row r="659" spans="1:45" ht="15.75" customHeight="1">
      <c r="A659" s="339"/>
      <c r="B659" s="339"/>
      <c r="C659" s="341"/>
      <c r="D659" s="341"/>
      <c r="E659" s="341"/>
      <c r="F659" s="340"/>
      <c r="G659" s="339"/>
      <c r="H659" s="339"/>
      <c r="I659" s="339"/>
      <c r="J659" s="341"/>
      <c r="K659" s="340"/>
      <c r="L659" s="341"/>
      <c r="M659" s="340"/>
      <c r="N659" s="339"/>
      <c r="O659" s="339"/>
      <c r="P659" s="339"/>
      <c r="Q659" s="339"/>
      <c r="R659" s="339"/>
      <c r="S659" s="339"/>
      <c r="T659" s="339"/>
      <c r="U659" s="339"/>
      <c r="V659" s="339"/>
      <c r="W659" s="339"/>
      <c r="X659" s="339"/>
      <c r="Y659" s="339"/>
      <c r="Z659" s="339"/>
      <c r="AA659" s="339"/>
      <c r="AB659" s="341"/>
      <c r="AC659" s="341"/>
      <c r="AD659" s="341"/>
      <c r="AE659" s="339"/>
      <c r="AF659" s="339"/>
      <c r="AG659" s="341"/>
      <c r="AH659" s="339"/>
      <c r="AI659" s="341"/>
      <c r="AJ659" s="339"/>
      <c r="AK659" s="341"/>
      <c r="AL659" s="341"/>
      <c r="AM659" s="339"/>
      <c r="AN659" s="339"/>
      <c r="AO659" s="339"/>
      <c r="AP659" s="339"/>
      <c r="AQ659" s="339"/>
      <c r="AR659" s="339"/>
      <c r="AS659" s="339"/>
    </row>
    <row r="660" spans="1:45" ht="15.75" customHeight="1">
      <c r="A660" s="339"/>
      <c r="B660" s="339"/>
      <c r="C660" s="341"/>
      <c r="D660" s="341"/>
      <c r="E660" s="341"/>
      <c r="F660" s="340"/>
      <c r="G660" s="339"/>
      <c r="H660" s="339"/>
      <c r="I660" s="339"/>
      <c r="J660" s="341"/>
      <c r="K660" s="340"/>
      <c r="L660" s="341"/>
      <c r="M660" s="340"/>
      <c r="N660" s="339"/>
      <c r="O660" s="339"/>
      <c r="P660" s="339"/>
      <c r="Q660" s="339"/>
      <c r="R660" s="339"/>
      <c r="S660" s="339"/>
      <c r="T660" s="339"/>
      <c r="U660" s="339"/>
      <c r="V660" s="339"/>
      <c r="W660" s="339"/>
      <c r="X660" s="339"/>
      <c r="Y660" s="339"/>
      <c r="Z660" s="339"/>
      <c r="AA660" s="339"/>
      <c r="AB660" s="341"/>
      <c r="AC660" s="341"/>
      <c r="AD660" s="341"/>
      <c r="AE660" s="339"/>
      <c r="AF660" s="339"/>
      <c r="AG660" s="341"/>
      <c r="AH660" s="339"/>
      <c r="AI660" s="341"/>
      <c r="AJ660" s="339"/>
      <c r="AK660" s="341"/>
      <c r="AL660" s="341"/>
      <c r="AM660" s="339"/>
      <c r="AN660" s="339"/>
      <c r="AO660" s="339"/>
      <c r="AP660" s="339"/>
      <c r="AQ660" s="339"/>
      <c r="AR660" s="339"/>
      <c r="AS660" s="339"/>
    </row>
    <row r="661" spans="1:45" ht="15.75" customHeight="1">
      <c r="A661" s="339"/>
      <c r="B661" s="339"/>
      <c r="C661" s="341"/>
      <c r="D661" s="341"/>
      <c r="E661" s="341"/>
      <c r="F661" s="340"/>
      <c r="G661" s="339"/>
      <c r="H661" s="339"/>
      <c r="I661" s="339"/>
      <c r="J661" s="341"/>
      <c r="K661" s="340"/>
      <c r="L661" s="341"/>
      <c r="M661" s="340"/>
      <c r="N661" s="339"/>
      <c r="O661" s="339"/>
      <c r="P661" s="339"/>
      <c r="Q661" s="339"/>
      <c r="R661" s="339"/>
      <c r="S661" s="339"/>
      <c r="T661" s="339"/>
      <c r="U661" s="339"/>
      <c r="V661" s="339"/>
      <c r="W661" s="339"/>
      <c r="X661" s="339"/>
      <c r="Y661" s="339"/>
      <c r="Z661" s="339"/>
      <c r="AA661" s="339"/>
      <c r="AB661" s="341"/>
      <c r="AC661" s="341"/>
      <c r="AD661" s="341"/>
      <c r="AE661" s="339"/>
      <c r="AF661" s="339"/>
      <c r="AG661" s="341"/>
      <c r="AH661" s="339"/>
      <c r="AI661" s="341"/>
      <c r="AJ661" s="339"/>
      <c r="AK661" s="341"/>
      <c r="AL661" s="341"/>
      <c r="AM661" s="339"/>
      <c r="AN661" s="339"/>
      <c r="AO661" s="339"/>
      <c r="AP661" s="339"/>
      <c r="AQ661" s="339"/>
      <c r="AR661" s="339"/>
      <c r="AS661" s="339"/>
    </row>
    <row r="662" spans="1:45" ht="15.75" customHeight="1">
      <c r="A662" s="339"/>
      <c r="B662" s="339"/>
      <c r="C662" s="341"/>
      <c r="D662" s="341"/>
      <c r="E662" s="341"/>
      <c r="F662" s="340"/>
      <c r="G662" s="339"/>
      <c r="H662" s="339"/>
      <c r="I662" s="339"/>
      <c r="J662" s="341"/>
      <c r="K662" s="340"/>
      <c r="L662" s="341"/>
      <c r="M662" s="340"/>
      <c r="N662" s="339"/>
      <c r="O662" s="339"/>
      <c r="P662" s="339"/>
      <c r="Q662" s="339"/>
      <c r="R662" s="339"/>
      <c r="S662" s="339"/>
      <c r="T662" s="339"/>
      <c r="U662" s="339"/>
      <c r="V662" s="339"/>
      <c r="W662" s="339"/>
      <c r="X662" s="339"/>
      <c r="Y662" s="339"/>
      <c r="Z662" s="339"/>
      <c r="AA662" s="339"/>
      <c r="AB662" s="341"/>
      <c r="AC662" s="341"/>
      <c r="AD662" s="341"/>
      <c r="AE662" s="339"/>
      <c r="AF662" s="339"/>
      <c r="AG662" s="341"/>
      <c r="AH662" s="339"/>
      <c r="AI662" s="341"/>
      <c r="AJ662" s="339"/>
      <c r="AK662" s="341"/>
      <c r="AL662" s="341"/>
      <c r="AM662" s="339"/>
      <c r="AN662" s="339"/>
      <c r="AO662" s="339"/>
      <c r="AP662" s="339"/>
      <c r="AQ662" s="339"/>
      <c r="AR662" s="339"/>
      <c r="AS662" s="339"/>
    </row>
    <row r="663" spans="1:45" ht="15.75" customHeight="1">
      <c r="A663" s="339"/>
      <c r="B663" s="339"/>
      <c r="C663" s="341"/>
      <c r="D663" s="341"/>
      <c r="E663" s="341"/>
      <c r="F663" s="340"/>
      <c r="G663" s="339"/>
      <c r="H663" s="339"/>
      <c r="I663" s="339"/>
      <c r="J663" s="341"/>
      <c r="K663" s="340"/>
      <c r="L663" s="341"/>
      <c r="M663" s="340"/>
      <c r="N663" s="339"/>
      <c r="O663" s="339"/>
      <c r="P663" s="339"/>
      <c r="Q663" s="339"/>
      <c r="R663" s="339"/>
      <c r="S663" s="339"/>
      <c r="T663" s="339"/>
      <c r="U663" s="339"/>
      <c r="V663" s="339"/>
      <c r="W663" s="339"/>
      <c r="X663" s="339"/>
      <c r="Y663" s="339"/>
      <c r="Z663" s="339"/>
      <c r="AA663" s="339"/>
      <c r="AB663" s="341"/>
      <c r="AC663" s="341"/>
      <c r="AD663" s="341"/>
      <c r="AE663" s="339"/>
      <c r="AF663" s="339"/>
      <c r="AG663" s="341"/>
      <c r="AH663" s="339"/>
      <c r="AI663" s="341"/>
      <c r="AJ663" s="339"/>
      <c r="AK663" s="341"/>
      <c r="AL663" s="341"/>
      <c r="AM663" s="339"/>
      <c r="AN663" s="339"/>
      <c r="AO663" s="339"/>
      <c r="AP663" s="339"/>
      <c r="AQ663" s="339"/>
      <c r="AR663" s="339"/>
      <c r="AS663" s="339"/>
    </row>
    <row r="664" spans="1:45" ht="15.75" customHeight="1">
      <c r="A664" s="339"/>
      <c r="B664" s="339"/>
      <c r="C664" s="341"/>
      <c r="D664" s="341"/>
      <c r="E664" s="341"/>
      <c r="F664" s="340"/>
      <c r="G664" s="339"/>
      <c r="H664" s="339"/>
      <c r="I664" s="339"/>
      <c r="J664" s="341"/>
      <c r="K664" s="340"/>
      <c r="L664" s="341"/>
      <c r="M664" s="340"/>
      <c r="N664" s="339"/>
      <c r="O664" s="339"/>
      <c r="P664" s="339"/>
      <c r="Q664" s="339"/>
      <c r="R664" s="339"/>
      <c r="S664" s="339"/>
      <c r="T664" s="339"/>
      <c r="U664" s="339"/>
      <c r="V664" s="339"/>
      <c r="W664" s="339"/>
      <c r="X664" s="339"/>
      <c r="Y664" s="339"/>
      <c r="Z664" s="339"/>
      <c r="AA664" s="339"/>
      <c r="AB664" s="341"/>
      <c r="AC664" s="341"/>
      <c r="AD664" s="341"/>
      <c r="AE664" s="339"/>
      <c r="AF664" s="339"/>
      <c r="AG664" s="341"/>
      <c r="AH664" s="339"/>
      <c r="AI664" s="341"/>
      <c r="AJ664" s="339"/>
      <c r="AK664" s="341"/>
      <c r="AL664" s="341"/>
      <c r="AM664" s="339"/>
      <c r="AN664" s="339"/>
      <c r="AO664" s="339"/>
      <c r="AP664" s="339"/>
      <c r="AQ664" s="339"/>
      <c r="AR664" s="339"/>
      <c r="AS664" s="339"/>
    </row>
    <row r="665" spans="1:45" ht="15.75" customHeight="1">
      <c r="A665" s="339"/>
      <c r="B665" s="339"/>
      <c r="C665" s="341"/>
      <c r="D665" s="341"/>
      <c r="E665" s="341"/>
      <c r="F665" s="340"/>
      <c r="G665" s="339"/>
      <c r="H665" s="339"/>
      <c r="I665" s="339"/>
      <c r="J665" s="341"/>
      <c r="K665" s="340"/>
      <c r="L665" s="341"/>
      <c r="M665" s="340"/>
      <c r="N665" s="339"/>
      <c r="O665" s="339"/>
      <c r="P665" s="339"/>
      <c r="Q665" s="339"/>
      <c r="R665" s="339"/>
      <c r="S665" s="339"/>
      <c r="T665" s="339"/>
      <c r="U665" s="339"/>
      <c r="V665" s="339"/>
      <c r="W665" s="339"/>
      <c r="X665" s="339"/>
      <c r="Y665" s="339"/>
      <c r="Z665" s="339"/>
      <c r="AA665" s="339"/>
      <c r="AB665" s="341"/>
      <c r="AC665" s="341"/>
      <c r="AD665" s="341"/>
      <c r="AE665" s="339"/>
      <c r="AF665" s="339"/>
      <c r="AG665" s="341"/>
      <c r="AH665" s="339"/>
      <c r="AI665" s="341"/>
      <c r="AJ665" s="339"/>
      <c r="AK665" s="341"/>
      <c r="AL665" s="341"/>
      <c r="AM665" s="339"/>
      <c r="AN665" s="339"/>
      <c r="AO665" s="339"/>
      <c r="AP665" s="339"/>
      <c r="AQ665" s="339"/>
      <c r="AR665" s="339"/>
      <c r="AS665" s="339"/>
    </row>
    <row r="666" spans="1:45" ht="15.75" customHeight="1">
      <c r="A666" s="339"/>
      <c r="B666" s="339"/>
      <c r="C666" s="341"/>
      <c r="D666" s="341"/>
      <c r="E666" s="341"/>
      <c r="F666" s="340"/>
      <c r="G666" s="339"/>
      <c r="H666" s="339"/>
      <c r="I666" s="339"/>
      <c r="J666" s="341"/>
      <c r="K666" s="340"/>
      <c r="L666" s="341"/>
      <c r="M666" s="340"/>
      <c r="N666" s="339"/>
      <c r="O666" s="339"/>
      <c r="P666" s="339"/>
      <c r="Q666" s="339"/>
      <c r="R666" s="339"/>
      <c r="S666" s="339"/>
      <c r="T666" s="339"/>
      <c r="U666" s="339"/>
      <c r="V666" s="339"/>
      <c r="W666" s="339"/>
      <c r="X666" s="339"/>
      <c r="Y666" s="339"/>
      <c r="Z666" s="339"/>
      <c r="AA666" s="339"/>
      <c r="AB666" s="341"/>
      <c r="AC666" s="341"/>
      <c r="AD666" s="341"/>
      <c r="AE666" s="339"/>
      <c r="AF666" s="339"/>
      <c r="AG666" s="341"/>
      <c r="AH666" s="339"/>
      <c r="AI666" s="341"/>
      <c r="AJ666" s="339"/>
      <c r="AK666" s="341"/>
      <c r="AL666" s="341"/>
      <c r="AM666" s="339"/>
      <c r="AN666" s="339"/>
      <c r="AO666" s="339"/>
      <c r="AP666" s="339"/>
      <c r="AQ666" s="339"/>
      <c r="AR666" s="339"/>
      <c r="AS666" s="339"/>
    </row>
    <row r="667" spans="1:45" ht="15.75" customHeight="1">
      <c r="A667" s="339"/>
      <c r="B667" s="339"/>
      <c r="C667" s="341"/>
      <c r="D667" s="341"/>
      <c r="E667" s="341"/>
      <c r="F667" s="340"/>
      <c r="G667" s="339"/>
      <c r="H667" s="339"/>
      <c r="I667" s="339"/>
      <c r="J667" s="341"/>
      <c r="K667" s="340"/>
      <c r="L667" s="341"/>
      <c r="M667" s="340"/>
      <c r="N667" s="339"/>
      <c r="O667" s="339"/>
      <c r="P667" s="339"/>
      <c r="Q667" s="339"/>
      <c r="R667" s="339"/>
      <c r="S667" s="339"/>
      <c r="T667" s="339"/>
      <c r="U667" s="339"/>
      <c r="V667" s="339"/>
      <c r="W667" s="339"/>
      <c r="X667" s="339"/>
      <c r="Y667" s="339"/>
      <c r="Z667" s="339"/>
      <c r="AA667" s="339"/>
      <c r="AB667" s="341"/>
      <c r="AC667" s="341"/>
      <c r="AD667" s="341"/>
      <c r="AE667" s="339"/>
      <c r="AF667" s="339"/>
      <c r="AG667" s="341"/>
      <c r="AH667" s="339"/>
      <c r="AI667" s="341"/>
      <c r="AJ667" s="339"/>
      <c r="AK667" s="341"/>
      <c r="AL667" s="341"/>
      <c r="AM667" s="339"/>
      <c r="AN667" s="339"/>
      <c r="AO667" s="339"/>
      <c r="AP667" s="339"/>
      <c r="AQ667" s="339"/>
      <c r="AR667" s="339"/>
      <c r="AS667" s="339"/>
    </row>
    <row r="668" spans="1:45" ht="15.75" customHeight="1">
      <c r="A668" s="339"/>
      <c r="B668" s="339"/>
      <c r="C668" s="341"/>
      <c r="D668" s="341"/>
      <c r="E668" s="341"/>
      <c r="F668" s="340"/>
      <c r="G668" s="339"/>
      <c r="H668" s="339"/>
      <c r="I668" s="339"/>
      <c r="J668" s="341"/>
      <c r="K668" s="340"/>
      <c r="L668" s="341"/>
      <c r="M668" s="340"/>
      <c r="N668" s="339"/>
      <c r="O668" s="339"/>
      <c r="P668" s="339"/>
      <c r="Q668" s="339"/>
      <c r="R668" s="339"/>
      <c r="S668" s="339"/>
      <c r="T668" s="339"/>
      <c r="U668" s="339"/>
      <c r="V668" s="339"/>
      <c r="W668" s="339"/>
      <c r="X668" s="339"/>
      <c r="Y668" s="339"/>
      <c r="Z668" s="339"/>
      <c r="AA668" s="339"/>
      <c r="AB668" s="341"/>
      <c r="AC668" s="341"/>
      <c r="AD668" s="341"/>
      <c r="AE668" s="339"/>
      <c r="AF668" s="339"/>
      <c r="AG668" s="341"/>
      <c r="AH668" s="339"/>
      <c r="AI668" s="341"/>
      <c r="AJ668" s="339"/>
      <c r="AK668" s="341"/>
      <c r="AL668" s="341"/>
      <c r="AM668" s="339"/>
      <c r="AN668" s="339"/>
      <c r="AO668" s="339"/>
      <c r="AP668" s="339"/>
      <c r="AQ668" s="339"/>
      <c r="AR668" s="339"/>
      <c r="AS668" s="339"/>
    </row>
    <row r="669" spans="1:45" ht="15.75" customHeight="1">
      <c r="A669" s="339"/>
      <c r="B669" s="339"/>
      <c r="C669" s="341"/>
      <c r="D669" s="341"/>
      <c r="E669" s="341"/>
      <c r="F669" s="340"/>
      <c r="G669" s="339"/>
      <c r="H669" s="339"/>
      <c r="I669" s="339"/>
      <c r="J669" s="341"/>
      <c r="K669" s="340"/>
      <c r="L669" s="341"/>
      <c r="M669" s="340"/>
      <c r="N669" s="339"/>
      <c r="O669" s="339"/>
      <c r="P669" s="339"/>
      <c r="Q669" s="339"/>
      <c r="R669" s="339"/>
      <c r="S669" s="339"/>
      <c r="T669" s="339"/>
      <c r="U669" s="339"/>
      <c r="V669" s="339"/>
      <c r="W669" s="339"/>
      <c r="X669" s="339"/>
      <c r="Y669" s="339"/>
      <c r="Z669" s="339"/>
      <c r="AA669" s="339"/>
      <c r="AB669" s="341"/>
      <c r="AC669" s="341"/>
      <c r="AD669" s="341"/>
      <c r="AE669" s="339"/>
      <c r="AF669" s="339"/>
      <c r="AG669" s="341"/>
      <c r="AH669" s="339"/>
      <c r="AI669" s="341"/>
      <c r="AJ669" s="339"/>
      <c r="AK669" s="341"/>
      <c r="AL669" s="341"/>
      <c r="AM669" s="339"/>
      <c r="AN669" s="339"/>
      <c r="AO669" s="339"/>
      <c r="AP669" s="339"/>
      <c r="AQ669" s="339"/>
      <c r="AR669" s="339"/>
      <c r="AS669" s="339"/>
    </row>
    <row r="670" spans="1:45" ht="15.75" customHeight="1">
      <c r="A670" s="339"/>
      <c r="B670" s="339"/>
      <c r="C670" s="341"/>
      <c r="D670" s="341"/>
      <c r="E670" s="341"/>
      <c r="F670" s="340"/>
      <c r="G670" s="339"/>
      <c r="H670" s="339"/>
      <c r="I670" s="339"/>
      <c r="J670" s="341"/>
      <c r="K670" s="340"/>
      <c r="L670" s="341"/>
      <c r="M670" s="340"/>
      <c r="N670" s="339"/>
      <c r="O670" s="339"/>
      <c r="P670" s="339"/>
      <c r="Q670" s="339"/>
      <c r="R670" s="339"/>
      <c r="S670" s="339"/>
      <c r="T670" s="339"/>
      <c r="U670" s="339"/>
      <c r="V670" s="339"/>
      <c r="W670" s="339"/>
      <c r="X670" s="339"/>
      <c r="Y670" s="339"/>
      <c r="Z670" s="339"/>
      <c r="AA670" s="339"/>
      <c r="AB670" s="341"/>
      <c r="AC670" s="341"/>
      <c r="AD670" s="341"/>
      <c r="AE670" s="339"/>
      <c r="AF670" s="339"/>
      <c r="AG670" s="341"/>
      <c r="AH670" s="339"/>
      <c r="AI670" s="341"/>
      <c r="AJ670" s="339"/>
      <c r="AK670" s="341"/>
      <c r="AL670" s="341"/>
      <c r="AM670" s="339"/>
      <c r="AN670" s="339"/>
      <c r="AO670" s="339"/>
      <c r="AP670" s="339"/>
      <c r="AQ670" s="339"/>
      <c r="AR670" s="339"/>
      <c r="AS670" s="339"/>
    </row>
    <row r="671" spans="1:45" ht="15.75" customHeight="1">
      <c r="A671" s="339"/>
      <c r="B671" s="339"/>
      <c r="C671" s="341"/>
      <c r="D671" s="341"/>
      <c r="E671" s="341"/>
      <c r="F671" s="340"/>
      <c r="G671" s="339"/>
      <c r="H671" s="339"/>
      <c r="I671" s="339"/>
      <c r="J671" s="341"/>
      <c r="K671" s="340"/>
      <c r="L671" s="341"/>
      <c r="M671" s="340"/>
      <c r="N671" s="339"/>
      <c r="O671" s="339"/>
      <c r="P671" s="339"/>
      <c r="Q671" s="339"/>
      <c r="R671" s="339"/>
      <c r="S671" s="339"/>
      <c r="T671" s="339"/>
      <c r="U671" s="339"/>
      <c r="V671" s="339"/>
      <c r="W671" s="339"/>
      <c r="X671" s="339"/>
      <c r="Y671" s="339"/>
      <c r="Z671" s="339"/>
      <c r="AA671" s="339"/>
      <c r="AB671" s="341"/>
      <c r="AC671" s="341"/>
      <c r="AD671" s="341"/>
      <c r="AE671" s="339"/>
      <c r="AF671" s="339"/>
      <c r="AG671" s="341"/>
      <c r="AH671" s="339"/>
      <c r="AI671" s="341"/>
      <c r="AJ671" s="339"/>
      <c r="AK671" s="341"/>
      <c r="AL671" s="341"/>
      <c r="AM671" s="339"/>
      <c r="AN671" s="339"/>
      <c r="AO671" s="339"/>
      <c r="AP671" s="339"/>
      <c r="AQ671" s="339"/>
      <c r="AR671" s="339"/>
      <c r="AS671" s="339"/>
    </row>
    <row r="672" spans="1:45" ht="15.75" customHeight="1">
      <c r="A672" s="339"/>
      <c r="B672" s="339"/>
      <c r="C672" s="341"/>
      <c r="D672" s="341"/>
      <c r="E672" s="341"/>
      <c r="F672" s="340"/>
      <c r="G672" s="339"/>
      <c r="H672" s="339"/>
      <c r="I672" s="339"/>
      <c r="J672" s="341"/>
      <c r="K672" s="340"/>
      <c r="L672" s="341"/>
      <c r="M672" s="340"/>
      <c r="N672" s="339"/>
      <c r="O672" s="339"/>
      <c r="P672" s="339"/>
      <c r="Q672" s="339"/>
      <c r="R672" s="339"/>
      <c r="S672" s="339"/>
      <c r="T672" s="339"/>
      <c r="U672" s="339"/>
      <c r="V672" s="339"/>
      <c r="W672" s="339"/>
      <c r="X672" s="339"/>
      <c r="Y672" s="339"/>
      <c r="Z672" s="339"/>
      <c r="AA672" s="339"/>
      <c r="AB672" s="341"/>
      <c r="AC672" s="341"/>
      <c r="AD672" s="341"/>
      <c r="AE672" s="339"/>
      <c r="AF672" s="339"/>
      <c r="AG672" s="341"/>
      <c r="AH672" s="339"/>
      <c r="AI672" s="341"/>
      <c r="AJ672" s="339"/>
      <c r="AK672" s="341"/>
      <c r="AL672" s="341"/>
      <c r="AM672" s="339"/>
      <c r="AN672" s="339"/>
      <c r="AO672" s="339"/>
      <c r="AP672" s="339"/>
      <c r="AQ672" s="339"/>
      <c r="AR672" s="339"/>
      <c r="AS672" s="339"/>
    </row>
    <row r="673" spans="1:45" ht="15.75" customHeight="1">
      <c r="A673" s="339"/>
      <c r="B673" s="339"/>
      <c r="C673" s="341"/>
      <c r="D673" s="341"/>
      <c r="E673" s="341"/>
      <c r="F673" s="340"/>
      <c r="G673" s="339"/>
      <c r="H673" s="339"/>
      <c r="I673" s="339"/>
      <c r="J673" s="341"/>
      <c r="K673" s="340"/>
      <c r="L673" s="341"/>
      <c r="M673" s="340"/>
      <c r="N673" s="339"/>
      <c r="O673" s="339"/>
      <c r="P673" s="339"/>
      <c r="Q673" s="339"/>
      <c r="R673" s="339"/>
      <c r="S673" s="339"/>
      <c r="T673" s="339"/>
      <c r="U673" s="339"/>
      <c r="V673" s="339"/>
      <c r="W673" s="339"/>
      <c r="X673" s="339"/>
      <c r="Y673" s="339"/>
      <c r="Z673" s="339"/>
      <c r="AA673" s="339"/>
      <c r="AB673" s="341"/>
      <c r="AC673" s="341"/>
      <c r="AD673" s="341"/>
      <c r="AE673" s="339"/>
      <c r="AF673" s="339"/>
      <c r="AG673" s="341"/>
      <c r="AH673" s="339"/>
      <c r="AI673" s="341"/>
      <c r="AJ673" s="339"/>
      <c r="AK673" s="341"/>
      <c r="AL673" s="341"/>
      <c r="AM673" s="339"/>
      <c r="AN673" s="339"/>
      <c r="AO673" s="339"/>
      <c r="AP673" s="339"/>
      <c r="AQ673" s="339"/>
      <c r="AR673" s="339"/>
      <c r="AS673" s="339"/>
    </row>
    <row r="674" spans="1:45" ht="15.75" customHeight="1">
      <c r="A674" s="339"/>
      <c r="B674" s="339"/>
      <c r="C674" s="341"/>
      <c r="D674" s="341"/>
      <c r="E674" s="341"/>
      <c r="F674" s="340"/>
      <c r="G674" s="339"/>
      <c r="H674" s="339"/>
      <c r="I674" s="339"/>
      <c r="J674" s="341"/>
      <c r="K674" s="340"/>
      <c r="L674" s="341"/>
      <c r="M674" s="340"/>
      <c r="N674" s="339"/>
      <c r="O674" s="339"/>
      <c r="P674" s="339"/>
      <c r="Q674" s="339"/>
      <c r="R674" s="339"/>
      <c r="S674" s="339"/>
      <c r="T674" s="339"/>
      <c r="U674" s="339"/>
      <c r="V674" s="339"/>
      <c r="W674" s="339"/>
      <c r="X674" s="339"/>
      <c r="Y674" s="339"/>
      <c r="Z674" s="339"/>
      <c r="AA674" s="339"/>
      <c r="AB674" s="341"/>
      <c r="AC674" s="341"/>
      <c r="AD674" s="341"/>
      <c r="AE674" s="339"/>
      <c r="AF674" s="339"/>
      <c r="AG674" s="341"/>
      <c r="AH674" s="339"/>
      <c r="AI674" s="341"/>
      <c r="AJ674" s="339"/>
      <c r="AK674" s="341"/>
      <c r="AL674" s="341"/>
      <c r="AM674" s="339"/>
      <c r="AN674" s="339"/>
      <c r="AO674" s="339"/>
      <c r="AP674" s="339"/>
      <c r="AQ674" s="339"/>
      <c r="AR674" s="339"/>
      <c r="AS674" s="339"/>
    </row>
    <row r="675" spans="1:45" ht="15.75" customHeight="1">
      <c r="A675" s="339"/>
      <c r="B675" s="339"/>
      <c r="C675" s="341"/>
      <c r="D675" s="341"/>
      <c r="E675" s="341"/>
      <c r="F675" s="340"/>
      <c r="G675" s="339"/>
      <c r="H675" s="339"/>
      <c r="I675" s="339"/>
      <c r="J675" s="341"/>
      <c r="K675" s="340"/>
      <c r="L675" s="341"/>
      <c r="M675" s="340"/>
      <c r="N675" s="339"/>
      <c r="O675" s="339"/>
      <c r="P675" s="339"/>
      <c r="Q675" s="339"/>
      <c r="R675" s="339"/>
      <c r="S675" s="339"/>
      <c r="T675" s="339"/>
      <c r="U675" s="339"/>
      <c r="V675" s="339"/>
      <c r="W675" s="339"/>
      <c r="X675" s="339"/>
      <c r="Y675" s="339"/>
      <c r="Z675" s="339"/>
      <c r="AA675" s="339"/>
      <c r="AB675" s="341"/>
      <c r="AC675" s="341"/>
      <c r="AD675" s="341"/>
      <c r="AE675" s="339"/>
      <c r="AF675" s="339"/>
      <c r="AG675" s="341"/>
      <c r="AH675" s="339"/>
      <c r="AI675" s="341"/>
      <c r="AJ675" s="339"/>
      <c r="AK675" s="341"/>
      <c r="AL675" s="341"/>
      <c r="AM675" s="339"/>
      <c r="AN675" s="339"/>
      <c r="AO675" s="339"/>
      <c r="AP675" s="339"/>
      <c r="AQ675" s="339"/>
      <c r="AR675" s="339"/>
      <c r="AS675" s="339"/>
    </row>
    <row r="676" spans="1:45" ht="15.75" customHeight="1">
      <c r="A676" s="339"/>
      <c r="B676" s="339"/>
      <c r="C676" s="341"/>
      <c r="D676" s="341"/>
      <c r="E676" s="341"/>
      <c r="F676" s="340"/>
      <c r="G676" s="339"/>
      <c r="H676" s="339"/>
      <c r="I676" s="339"/>
      <c r="J676" s="341"/>
      <c r="K676" s="340"/>
      <c r="L676" s="341"/>
      <c r="M676" s="340"/>
      <c r="N676" s="339"/>
      <c r="O676" s="339"/>
      <c r="P676" s="339"/>
      <c r="Q676" s="339"/>
      <c r="R676" s="339"/>
      <c r="S676" s="339"/>
      <c r="T676" s="339"/>
      <c r="U676" s="339"/>
      <c r="V676" s="339"/>
      <c r="W676" s="339"/>
      <c r="X676" s="339"/>
      <c r="Y676" s="339"/>
      <c r="Z676" s="339"/>
      <c r="AA676" s="339"/>
      <c r="AB676" s="341"/>
      <c r="AC676" s="341"/>
      <c r="AD676" s="341"/>
      <c r="AE676" s="339"/>
      <c r="AF676" s="339"/>
      <c r="AG676" s="341"/>
      <c r="AH676" s="339"/>
      <c r="AI676" s="341"/>
      <c r="AJ676" s="339"/>
      <c r="AK676" s="341"/>
      <c r="AL676" s="341"/>
      <c r="AM676" s="339"/>
      <c r="AN676" s="339"/>
      <c r="AO676" s="339"/>
      <c r="AP676" s="339"/>
      <c r="AQ676" s="339"/>
      <c r="AR676" s="339"/>
      <c r="AS676" s="339"/>
    </row>
    <row r="677" spans="1:45" ht="15.75" customHeight="1">
      <c r="A677" s="339"/>
      <c r="B677" s="339"/>
      <c r="C677" s="341"/>
      <c r="D677" s="341"/>
      <c r="E677" s="341"/>
      <c r="F677" s="340"/>
      <c r="G677" s="339"/>
      <c r="H677" s="339"/>
      <c r="I677" s="339"/>
      <c r="J677" s="341"/>
      <c r="K677" s="340"/>
      <c r="L677" s="341"/>
      <c r="M677" s="340"/>
      <c r="N677" s="339"/>
      <c r="O677" s="339"/>
      <c r="P677" s="339"/>
      <c r="Q677" s="339"/>
      <c r="R677" s="339"/>
      <c r="S677" s="339"/>
      <c r="T677" s="339"/>
      <c r="U677" s="339"/>
      <c r="V677" s="339"/>
      <c r="W677" s="339"/>
      <c r="X677" s="339"/>
      <c r="Y677" s="339"/>
      <c r="Z677" s="339"/>
      <c r="AA677" s="339"/>
      <c r="AB677" s="341"/>
      <c r="AC677" s="341"/>
      <c r="AD677" s="341"/>
      <c r="AE677" s="339"/>
      <c r="AF677" s="339"/>
      <c r="AG677" s="341"/>
      <c r="AH677" s="339"/>
      <c r="AI677" s="341"/>
      <c r="AJ677" s="339"/>
      <c r="AK677" s="341"/>
      <c r="AL677" s="341"/>
      <c r="AM677" s="339"/>
      <c r="AN677" s="339"/>
      <c r="AO677" s="339"/>
      <c r="AP677" s="339"/>
      <c r="AQ677" s="339"/>
      <c r="AR677" s="339"/>
      <c r="AS677" s="339"/>
    </row>
    <row r="678" spans="1:45" ht="15.75" customHeight="1">
      <c r="A678" s="339"/>
      <c r="B678" s="339"/>
      <c r="C678" s="341"/>
      <c r="D678" s="341"/>
      <c r="E678" s="341"/>
      <c r="F678" s="340"/>
      <c r="G678" s="339"/>
      <c r="H678" s="339"/>
      <c r="I678" s="339"/>
      <c r="J678" s="341"/>
      <c r="K678" s="340"/>
      <c r="L678" s="341"/>
      <c r="M678" s="340"/>
      <c r="N678" s="339"/>
      <c r="O678" s="339"/>
      <c r="P678" s="339"/>
      <c r="Q678" s="339"/>
      <c r="R678" s="339"/>
      <c r="S678" s="339"/>
      <c r="T678" s="339"/>
      <c r="U678" s="339"/>
      <c r="V678" s="339"/>
      <c r="W678" s="339"/>
      <c r="X678" s="339"/>
      <c r="Y678" s="339"/>
      <c r="Z678" s="339"/>
      <c r="AA678" s="339"/>
      <c r="AB678" s="341"/>
      <c r="AC678" s="341"/>
      <c r="AD678" s="341"/>
      <c r="AE678" s="339"/>
      <c r="AF678" s="339"/>
      <c r="AG678" s="341"/>
      <c r="AH678" s="339"/>
      <c r="AI678" s="341"/>
      <c r="AJ678" s="339"/>
      <c r="AK678" s="341"/>
      <c r="AL678" s="341"/>
      <c r="AM678" s="339"/>
      <c r="AN678" s="339"/>
      <c r="AO678" s="339"/>
      <c r="AP678" s="339"/>
      <c r="AQ678" s="339"/>
      <c r="AR678" s="339"/>
      <c r="AS678" s="339"/>
    </row>
    <row r="679" spans="1:45" ht="15.75" customHeight="1">
      <c r="A679" s="339"/>
      <c r="B679" s="339"/>
      <c r="C679" s="341"/>
      <c r="D679" s="341"/>
      <c r="E679" s="341"/>
      <c r="F679" s="340"/>
      <c r="G679" s="339"/>
      <c r="H679" s="339"/>
      <c r="I679" s="339"/>
      <c r="J679" s="341"/>
      <c r="K679" s="340"/>
      <c r="L679" s="341"/>
      <c r="M679" s="340"/>
      <c r="N679" s="339"/>
      <c r="O679" s="339"/>
      <c r="P679" s="339"/>
      <c r="Q679" s="339"/>
      <c r="R679" s="339"/>
      <c r="S679" s="339"/>
      <c r="T679" s="339"/>
      <c r="U679" s="339"/>
      <c r="V679" s="339"/>
      <c r="W679" s="339"/>
      <c r="X679" s="339"/>
      <c r="Y679" s="339"/>
      <c r="Z679" s="339"/>
      <c r="AA679" s="339"/>
      <c r="AB679" s="341"/>
      <c r="AC679" s="341"/>
      <c r="AD679" s="341"/>
      <c r="AE679" s="339"/>
      <c r="AF679" s="339"/>
      <c r="AG679" s="341"/>
      <c r="AH679" s="339"/>
      <c r="AI679" s="341"/>
      <c r="AJ679" s="339"/>
      <c r="AK679" s="341"/>
      <c r="AL679" s="341"/>
      <c r="AM679" s="339"/>
      <c r="AN679" s="339"/>
      <c r="AO679" s="339"/>
      <c r="AP679" s="339"/>
      <c r="AQ679" s="339"/>
      <c r="AR679" s="339"/>
      <c r="AS679" s="339"/>
    </row>
    <row r="680" spans="1:45" ht="15.75" customHeight="1">
      <c r="A680" s="339"/>
      <c r="B680" s="339"/>
      <c r="C680" s="341"/>
      <c r="D680" s="341"/>
      <c r="E680" s="341"/>
      <c r="F680" s="340"/>
      <c r="G680" s="339"/>
      <c r="H680" s="339"/>
      <c r="I680" s="339"/>
      <c r="J680" s="341"/>
      <c r="K680" s="340"/>
      <c r="L680" s="341"/>
      <c r="M680" s="340"/>
      <c r="N680" s="339"/>
      <c r="O680" s="339"/>
      <c r="P680" s="339"/>
      <c r="Q680" s="339"/>
      <c r="R680" s="339"/>
      <c r="S680" s="339"/>
      <c r="T680" s="339"/>
      <c r="U680" s="339"/>
      <c r="V680" s="339"/>
      <c r="W680" s="339"/>
      <c r="X680" s="339"/>
      <c r="Y680" s="339"/>
      <c r="Z680" s="339"/>
      <c r="AA680" s="339"/>
      <c r="AB680" s="341"/>
      <c r="AC680" s="341"/>
      <c r="AD680" s="341"/>
      <c r="AE680" s="339"/>
      <c r="AF680" s="339"/>
      <c r="AG680" s="341"/>
      <c r="AH680" s="339"/>
      <c r="AI680" s="341"/>
      <c r="AJ680" s="339"/>
      <c r="AK680" s="341"/>
      <c r="AL680" s="341"/>
      <c r="AM680" s="339"/>
      <c r="AN680" s="339"/>
      <c r="AO680" s="339"/>
      <c r="AP680" s="339"/>
      <c r="AQ680" s="339"/>
      <c r="AR680" s="339"/>
      <c r="AS680" s="339"/>
    </row>
    <row r="681" spans="1:45" ht="15.75" customHeight="1">
      <c r="A681" s="339"/>
      <c r="B681" s="339"/>
      <c r="C681" s="341"/>
      <c r="D681" s="341"/>
      <c r="E681" s="341"/>
      <c r="F681" s="340"/>
      <c r="G681" s="339"/>
      <c r="H681" s="339"/>
      <c r="I681" s="339"/>
      <c r="J681" s="341"/>
      <c r="K681" s="340"/>
      <c r="L681" s="341"/>
      <c r="M681" s="340"/>
      <c r="N681" s="339"/>
      <c r="O681" s="339"/>
      <c r="P681" s="339"/>
      <c r="Q681" s="339"/>
      <c r="R681" s="339"/>
      <c r="S681" s="339"/>
      <c r="T681" s="339"/>
      <c r="U681" s="339"/>
      <c r="V681" s="339"/>
      <c r="W681" s="339"/>
      <c r="X681" s="339"/>
      <c r="Y681" s="339"/>
      <c r="Z681" s="339"/>
      <c r="AA681" s="339"/>
      <c r="AB681" s="341"/>
      <c r="AC681" s="341"/>
      <c r="AD681" s="341"/>
      <c r="AE681" s="339"/>
      <c r="AF681" s="339"/>
      <c r="AG681" s="341"/>
      <c r="AH681" s="339"/>
      <c r="AI681" s="341"/>
      <c r="AJ681" s="339"/>
      <c r="AK681" s="341"/>
      <c r="AL681" s="341"/>
      <c r="AM681" s="339"/>
      <c r="AN681" s="339"/>
      <c r="AO681" s="339"/>
      <c r="AP681" s="339"/>
      <c r="AQ681" s="339"/>
      <c r="AR681" s="339"/>
      <c r="AS681" s="339"/>
    </row>
    <row r="682" spans="1:45" ht="15.75" customHeight="1">
      <c r="A682" s="339"/>
      <c r="B682" s="339"/>
      <c r="C682" s="341"/>
      <c r="D682" s="341"/>
      <c r="E682" s="341"/>
      <c r="F682" s="340"/>
      <c r="G682" s="339"/>
      <c r="H682" s="339"/>
      <c r="I682" s="339"/>
      <c r="J682" s="341"/>
      <c r="K682" s="340"/>
      <c r="L682" s="341"/>
      <c r="M682" s="340"/>
      <c r="N682" s="339"/>
      <c r="O682" s="339"/>
      <c r="P682" s="339"/>
      <c r="Q682" s="339"/>
      <c r="R682" s="339"/>
      <c r="S682" s="339"/>
      <c r="T682" s="339"/>
      <c r="U682" s="339"/>
      <c r="V682" s="339"/>
      <c r="W682" s="339"/>
      <c r="X682" s="339"/>
      <c r="Y682" s="339"/>
      <c r="Z682" s="339"/>
      <c r="AA682" s="339"/>
      <c r="AB682" s="341"/>
      <c r="AC682" s="341"/>
      <c r="AD682" s="341"/>
      <c r="AE682" s="339"/>
      <c r="AF682" s="339"/>
      <c r="AG682" s="341"/>
      <c r="AH682" s="339"/>
      <c r="AI682" s="341"/>
      <c r="AJ682" s="339"/>
      <c r="AK682" s="341"/>
      <c r="AL682" s="341"/>
      <c r="AM682" s="339"/>
      <c r="AN682" s="339"/>
      <c r="AO682" s="339"/>
      <c r="AP682" s="339"/>
      <c r="AQ682" s="339"/>
      <c r="AR682" s="339"/>
      <c r="AS682" s="339"/>
    </row>
    <row r="683" spans="1:45" ht="15.75" customHeight="1">
      <c r="A683" s="339"/>
      <c r="B683" s="339"/>
      <c r="C683" s="341"/>
      <c r="D683" s="341"/>
      <c r="E683" s="341"/>
      <c r="F683" s="340"/>
      <c r="G683" s="339"/>
      <c r="H683" s="339"/>
      <c r="I683" s="339"/>
      <c r="J683" s="341"/>
      <c r="K683" s="340"/>
      <c r="L683" s="341"/>
      <c r="M683" s="340"/>
      <c r="N683" s="339"/>
      <c r="O683" s="339"/>
      <c r="P683" s="339"/>
      <c r="Q683" s="339"/>
      <c r="R683" s="339"/>
      <c r="S683" s="339"/>
      <c r="T683" s="339"/>
      <c r="U683" s="339"/>
      <c r="V683" s="339"/>
      <c r="W683" s="339"/>
      <c r="X683" s="339"/>
      <c r="Y683" s="339"/>
      <c r="Z683" s="339"/>
      <c r="AA683" s="339"/>
      <c r="AB683" s="341"/>
      <c r="AC683" s="341"/>
      <c r="AD683" s="341"/>
      <c r="AE683" s="339"/>
      <c r="AF683" s="339"/>
      <c r="AG683" s="341"/>
      <c r="AH683" s="339"/>
      <c r="AI683" s="341"/>
      <c r="AJ683" s="339"/>
      <c r="AK683" s="341"/>
      <c r="AL683" s="341"/>
      <c r="AM683" s="339"/>
      <c r="AN683" s="339"/>
      <c r="AO683" s="339"/>
      <c r="AP683" s="339"/>
      <c r="AQ683" s="339"/>
      <c r="AR683" s="339"/>
      <c r="AS683" s="339"/>
    </row>
    <row r="684" spans="1:45" ht="15.75" customHeight="1">
      <c r="A684" s="339"/>
      <c r="B684" s="339"/>
      <c r="C684" s="341"/>
      <c r="D684" s="341"/>
      <c r="E684" s="341"/>
      <c r="F684" s="340"/>
      <c r="G684" s="339"/>
      <c r="H684" s="339"/>
      <c r="I684" s="339"/>
      <c r="J684" s="341"/>
      <c r="K684" s="340"/>
      <c r="L684" s="341"/>
      <c r="M684" s="340"/>
      <c r="N684" s="339"/>
      <c r="O684" s="339"/>
      <c r="P684" s="339"/>
      <c r="Q684" s="339"/>
      <c r="R684" s="339"/>
      <c r="S684" s="339"/>
      <c r="T684" s="339"/>
      <c r="U684" s="339"/>
      <c r="V684" s="339"/>
      <c r="W684" s="339"/>
      <c r="X684" s="339"/>
      <c r="Y684" s="339"/>
      <c r="Z684" s="339"/>
      <c r="AA684" s="339"/>
      <c r="AB684" s="341"/>
      <c r="AC684" s="341"/>
      <c r="AD684" s="341"/>
      <c r="AE684" s="339"/>
      <c r="AF684" s="339"/>
      <c r="AG684" s="341"/>
      <c r="AH684" s="339"/>
      <c r="AI684" s="341"/>
      <c r="AJ684" s="339"/>
      <c r="AK684" s="341"/>
      <c r="AL684" s="341"/>
      <c r="AM684" s="339"/>
      <c r="AN684" s="339"/>
      <c r="AO684" s="339"/>
      <c r="AP684" s="339"/>
      <c r="AQ684" s="339"/>
      <c r="AR684" s="339"/>
      <c r="AS684" s="339"/>
    </row>
    <row r="685" spans="1:45" ht="15.75" customHeight="1">
      <c r="A685" s="339"/>
      <c r="B685" s="339"/>
      <c r="C685" s="341"/>
      <c r="D685" s="341"/>
      <c r="E685" s="341"/>
      <c r="F685" s="340"/>
      <c r="G685" s="339"/>
      <c r="H685" s="339"/>
      <c r="I685" s="339"/>
      <c r="J685" s="341"/>
      <c r="K685" s="340"/>
      <c r="L685" s="341"/>
      <c r="M685" s="340"/>
      <c r="N685" s="339"/>
      <c r="O685" s="339"/>
      <c r="P685" s="339"/>
      <c r="Q685" s="339"/>
      <c r="R685" s="339"/>
      <c r="S685" s="339"/>
      <c r="T685" s="339"/>
      <c r="U685" s="339"/>
      <c r="V685" s="339"/>
      <c r="W685" s="339"/>
      <c r="X685" s="339"/>
      <c r="Y685" s="339"/>
      <c r="Z685" s="339"/>
      <c r="AA685" s="339"/>
      <c r="AB685" s="341"/>
      <c r="AC685" s="341"/>
      <c r="AD685" s="341"/>
      <c r="AE685" s="339"/>
      <c r="AF685" s="339"/>
      <c r="AG685" s="341"/>
      <c r="AH685" s="339"/>
      <c r="AI685" s="341"/>
      <c r="AJ685" s="339"/>
      <c r="AK685" s="341"/>
      <c r="AL685" s="341"/>
      <c r="AM685" s="339"/>
      <c r="AN685" s="339"/>
      <c r="AO685" s="339"/>
      <c r="AP685" s="339"/>
      <c r="AQ685" s="339"/>
      <c r="AR685" s="339"/>
      <c r="AS685" s="339"/>
    </row>
    <row r="686" spans="1:45" ht="15.75" customHeight="1">
      <c r="A686" s="339"/>
      <c r="B686" s="339"/>
      <c r="C686" s="341"/>
      <c r="D686" s="341"/>
      <c r="E686" s="341"/>
      <c r="F686" s="340"/>
      <c r="G686" s="339"/>
      <c r="H686" s="339"/>
      <c r="I686" s="339"/>
      <c r="J686" s="341"/>
      <c r="K686" s="340"/>
      <c r="L686" s="341"/>
      <c r="M686" s="340"/>
      <c r="N686" s="339"/>
      <c r="O686" s="339"/>
      <c r="P686" s="339"/>
      <c r="Q686" s="339"/>
      <c r="R686" s="339"/>
      <c r="S686" s="339"/>
      <c r="T686" s="339"/>
      <c r="U686" s="339"/>
      <c r="V686" s="339"/>
      <c r="W686" s="339"/>
      <c r="X686" s="339"/>
      <c r="Y686" s="339"/>
      <c r="Z686" s="339"/>
      <c r="AA686" s="339"/>
      <c r="AB686" s="341"/>
      <c r="AC686" s="341"/>
      <c r="AD686" s="341"/>
      <c r="AE686" s="339"/>
      <c r="AF686" s="339"/>
      <c r="AG686" s="341"/>
      <c r="AH686" s="339"/>
      <c r="AI686" s="341"/>
      <c r="AJ686" s="339"/>
      <c r="AK686" s="341"/>
      <c r="AL686" s="341"/>
      <c r="AM686" s="339"/>
      <c r="AN686" s="339"/>
      <c r="AO686" s="339"/>
      <c r="AP686" s="339"/>
      <c r="AQ686" s="339"/>
      <c r="AR686" s="339"/>
      <c r="AS686" s="339"/>
    </row>
    <row r="687" spans="1:45" ht="15.75" customHeight="1">
      <c r="A687" s="339"/>
      <c r="B687" s="339"/>
      <c r="C687" s="341"/>
      <c r="D687" s="341"/>
      <c r="E687" s="341"/>
      <c r="F687" s="340"/>
      <c r="G687" s="339"/>
      <c r="H687" s="339"/>
      <c r="I687" s="339"/>
      <c r="J687" s="341"/>
      <c r="K687" s="340"/>
      <c r="L687" s="341"/>
      <c r="M687" s="340"/>
      <c r="N687" s="339"/>
      <c r="O687" s="339"/>
      <c r="P687" s="339"/>
      <c r="Q687" s="339"/>
      <c r="R687" s="339"/>
      <c r="S687" s="339"/>
      <c r="T687" s="339"/>
      <c r="U687" s="339"/>
      <c r="V687" s="339"/>
      <c r="W687" s="339"/>
      <c r="X687" s="339"/>
      <c r="Y687" s="339"/>
      <c r="Z687" s="339"/>
      <c r="AA687" s="339"/>
      <c r="AB687" s="341"/>
      <c r="AC687" s="341"/>
      <c r="AD687" s="341"/>
      <c r="AE687" s="339"/>
      <c r="AF687" s="339"/>
      <c r="AG687" s="341"/>
      <c r="AH687" s="339"/>
      <c r="AI687" s="341"/>
      <c r="AJ687" s="339"/>
      <c r="AK687" s="341"/>
      <c r="AL687" s="341"/>
      <c r="AM687" s="339"/>
      <c r="AN687" s="339"/>
      <c r="AO687" s="339"/>
      <c r="AP687" s="339"/>
      <c r="AQ687" s="339"/>
      <c r="AR687" s="339"/>
      <c r="AS687" s="339"/>
    </row>
    <row r="688" spans="1:45" ht="15.75" customHeight="1">
      <c r="A688" s="339"/>
      <c r="B688" s="339"/>
      <c r="C688" s="341"/>
      <c r="D688" s="341"/>
      <c r="E688" s="341"/>
      <c r="F688" s="340"/>
      <c r="G688" s="339"/>
      <c r="H688" s="339"/>
      <c r="I688" s="339"/>
      <c r="J688" s="341"/>
      <c r="K688" s="340"/>
      <c r="L688" s="341"/>
      <c r="M688" s="340"/>
      <c r="N688" s="339"/>
      <c r="O688" s="339"/>
      <c r="P688" s="339"/>
      <c r="Q688" s="339"/>
      <c r="R688" s="339"/>
      <c r="S688" s="339"/>
      <c r="T688" s="339"/>
      <c r="U688" s="339"/>
      <c r="V688" s="339"/>
      <c r="W688" s="339"/>
      <c r="X688" s="339"/>
      <c r="Y688" s="339"/>
      <c r="Z688" s="339"/>
      <c r="AA688" s="339"/>
      <c r="AB688" s="341"/>
      <c r="AC688" s="341"/>
      <c r="AD688" s="341"/>
      <c r="AE688" s="339"/>
      <c r="AF688" s="339"/>
      <c r="AG688" s="341"/>
      <c r="AH688" s="339"/>
      <c r="AI688" s="341"/>
      <c r="AJ688" s="339"/>
      <c r="AK688" s="341"/>
      <c r="AL688" s="341"/>
      <c r="AM688" s="339"/>
      <c r="AN688" s="339"/>
      <c r="AO688" s="339"/>
      <c r="AP688" s="339"/>
      <c r="AQ688" s="339"/>
      <c r="AR688" s="339"/>
      <c r="AS688" s="339"/>
    </row>
    <row r="689" spans="1:45" ht="15.75" customHeight="1">
      <c r="A689" s="339"/>
      <c r="B689" s="339"/>
      <c r="C689" s="341"/>
      <c r="D689" s="341"/>
      <c r="E689" s="341"/>
      <c r="F689" s="340"/>
      <c r="G689" s="339"/>
      <c r="H689" s="339"/>
      <c r="I689" s="339"/>
      <c r="J689" s="341"/>
      <c r="K689" s="340"/>
      <c r="L689" s="341"/>
      <c r="M689" s="340"/>
      <c r="N689" s="339"/>
      <c r="O689" s="339"/>
      <c r="P689" s="339"/>
      <c r="Q689" s="339"/>
      <c r="R689" s="339"/>
      <c r="S689" s="339"/>
      <c r="T689" s="339"/>
      <c r="U689" s="339"/>
      <c r="V689" s="339"/>
      <c r="W689" s="339"/>
      <c r="X689" s="339"/>
      <c r="Y689" s="339"/>
      <c r="Z689" s="339"/>
      <c r="AA689" s="339"/>
      <c r="AB689" s="341"/>
      <c r="AC689" s="341"/>
      <c r="AD689" s="341"/>
      <c r="AE689" s="339"/>
      <c r="AF689" s="339"/>
      <c r="AG689" s="341"/>
      <c r="AH689" s="339"/>
      <c r="AI689" s="341"/>
      <c r="AJ689" s="339"/>
      <c r="AK689" s="341"/>
      <c r="AL689" s="341"/>
      <c r="AM689" s="339"/>
      <c r="AN689" s="339"/>
      <c r="AO689" s="339"/>
      <c r="AP689" s="339"/>
      <c r="AQ689" s="339"/>
      <c r="AR689" s="339"/>
      <c r="AS689" s="339"/>
    </row>
    <row r="690" spans="1:45" ht="15.75" customHeight="1">
      <c r="A690" s="339"/>
      <c r="B690" s="339"/>
      <c r="C690" s="341"/>
      <c r="D690" s="341"/>
      <c r="E690" s="341"/>
      <c r="F690" s="340"/>
      <c r="G690" s="339"/>
      <c r="H690" s="339"/>
      <c r="I690" s="339"/>
      <c r="J690" s="341"/>
      <c r="K690" s="340"/>
      <c r="L690" s="341"/>
      <c r="M690" s="340"/>
      <c r="N690" s="339"/>
      <c r="O690" s="339"/>
      <c r="P690" s="339"/>
      <c r="Q690" s="339"/>
      <c r="R690" s="339"/>
      <c r="S690" s="339"/>
      <c r="T690" s="339"/>
      <c r="U690" s="339"/>
      <c r="V690" s="339"/>
      <c r="W690" s="339"/>
      <c r="X690" s="339"/>
      <c r="Y690" s="339"/>
      <c r="Z690" s="339"/>
      <c r="AA690" s="339"/>
      <c r="AB690" s="341"/>
      <c r="AC690" s="341"/>
      <c r="AD690" s="341"/>
      <c r="AE690" s="339"/>
      <c r="AF690" s="339"/>
      <c r="AG690" s="341"/>
      <c r="AH690" s="339"/>
      <c r="AI690" s="341"/>
      <c r="AJ690" s="339"/>
      <c r="AK690" s="341"/>
      <c r="AL690" s="341"/>
      <c r="AM690" s="339"/>
      <c r="AN690" s="339"/>
      <c r="AO690" s="339"/>
      <c r="AP690" s="339"/>
      <c r="AQ690" s="339"/>
      <c r="AR690" s="339"/>
      <c r="AS690" s="339"/>
    </row>
    <row r="691" spans="1:45" ht="15.75" customHeight="1">
      <c r="A691" s="339"/>
      <c r="B691" s="339"/>
      <c r="C691" s="341"/>
      <c r="D691" s="341"/>
      <c r="E691" s="341"/>
      <c r="F691" s="340"/>
      <c r="G691" s="339"/>
      <c r="H691" s="339"/>
      <c r="I691" s="339"/>
      <c r="J691" s="341"/>
      <c r="K691" s="340"/>
      <c r="L691" s="341"/>
      <c r="M691" s="340"/>
      <c r="N691" s="339"/>
      <c r="O691" s="339"/>
      <c r="P691" s="339"/>
      <c r="Q691" s="339"/>
      <c r="R691" s="339"/>
      <c r="S691" s="339"/>
      <c r="T691" s="339"/>
      <c r="U691" s="339"/>
      <c r="V691" s="339"/>
      <c r="W691" s="339"/>
      <c r="X691" s="339"/>
      <c r="Y691" s="339"/>
      <c r="Z691" s="339"/>
      <c r="AA691" s="339"/>
      <c r="AB691" s="341"/>
      <c r="AC691" s="341"/>
      <c r="AD691" s="341"/>
      <c r="AE691" s="339"/>
      <c r="AF691" s="339"/>
      <c r="AG691" s="341"/>
      <c r="AH691" s="339"/>
      <c r="AI691" s="341"/>
      <c r="AJ691" s="339"/>
      <c r="AK691" s="341"/>
      <c r="AL691" s="341"/>
      <c r="AM691" s="339"/>
      <c r="AN691" s="339"/>
      <c r="AO691" s="339"/>
      <c r="AP691" s="339"/>
      <c r="AQ691" s="339"/>
      <c r="AR691" s="339"/>
      <c r="AS691" s="339"/>
    </row>
    <row r="692" spans="1:45" ht="15.75" customHeight="1">
      <c r="A692" s="339"/>
      <c r="B692" s="339"/>
      <c r="C692" s="341"/>
      <c r="D692" s="341"/>
      <c r="E692" s="341"/>
      <c r="F692" s="340"/>
      <c r="G692" s="339"/>
      <c r="H692" s="339"/>
      <c r="I692" s="339"/>
      <c r="J692" s="341"/>
      <c r="K692" s="340"/>
      <c r="L692" s="341"/>
      <c r="M692" s="340"/>
      <c r="N692" s="339"/>
      <c r="O692" s="339"/>
      <c r="P692" s="339"/>
      <c r="Q692" s="339"/>
      <c r="R692" s="339"/>
      <c r="S692" s="339"/>
      <c r="T692" s="339"/>
      <c r="U692" s="339"/>
      <c r="V692" s="339"/>
      <c r="W692" s="339"/>
      <c r="X692" s="339"/>
      <c r="Y692" s="339"/>
      <c r="Z692" s="339"/>
      <c r="AA692" s="339"/>
      <c r="AB692" s="341"/>
      <c r="AC692" s="341"/>
      <c r="AD692" s="341"/>
      <c r="AE692" s="339"/>
      <c r="AF692" s="339"/>
      <c r="AG692" s="341"/>
      <c r="AH692" s="339"/>
      <c r="AI692" s="341"/>
      <c r="AJ692" s="339"/>
      <c r="AK692" s="341"/>
      <c r="AL692" s="341"/>
      <c r="AM692" s="339"/>
      <c r="AN692" s="339"/>
      <c r="AO692" s="339"/>
      <c r="AP692" s="339"/>
      <c r="AQ692" s="339"/>
      <c r="AR692" s="339"/>
      <c r="AS692" s="339"/>
    </row>
    <row r="693" spans="1:45" ht="15.75" customHeight="1">
      <c r="A693" s="339"/>
      <c r="B693" s="339"/>
      <c r="C693" s="341"/>
      <c r="D693" s="341"/>
      <c r="E693" s="341"/>
      <c r="F693" s="340"/>
      <c r="G693" s="339"/>
      <c r="H693" s="339"/>
      <c r="I693" s="339"/>
      <c r="J693" s="341"/>
      <c r="K693" s="340"/>
      <c r="L693" s="341"/>
      <c r="M693" s="340"/>
      <c r="N693" s="339"/>
      <c r="O693" s="339"/>
      <c r="P693" s="339"/>
      <c r="Q693" s="339"/>
      <c r="R693" s="339"/>
      <c r="S693" s="339"/>
      <c r="T693" s="339"/>
      <c r="U693" s="339"/>
      <c r="V693" s="339"/>
      <c r="W693" s="339"/>
      <c r="X693" s="339"/>
      <c r="Y693" s="339"/>
      <c r="Z693" s="339"/>
      <c r="AA693" s="339"/>
      <c r="AB693" s="341"/>
      <c r="AC693" s="341"/>
      <c r="AD693" s="341"/>
      <c r="AE693" s="339"/>
      <c r="AF693" s="339"/>
      <c r="AG693" s="341"/>
      <c r="AH693" s="339"/>
      <c r="AI693" s="341"/>
      <c r="AJ693" s="339"/>
      <c r="AK693" s="341"/>
      <c r="AL693" s="341"/>
      <c r="AM693" s="339"/>
      <c r="AN693" s="339"/>
      <c r="AO693" s="339"/>
      <c r="AP693" s="339"/>
      <c r="AQ693" s="339"/>
      <c r="AR693" s="339"/>
      <c r="AS693" s="339"/>
    </row>
    <row r="694" spans="1:45" ht="15.75" customHeight="1">
      <c r="A694" s="339"/>
      <c r="B694" s="339"/>
      <c r="C694" s="341"/>
      <c r="D694" s="341"/>
      <c r="E694" s="341"/>
      <c r="F694" s="340"/>
      <c r="G694" s="339"/>
      <c r="H694" s="339"/>
      <c r="I694" s="339"/>
      <c r="J694" s="341"/>
      <c r="K694" s="340"/>
      <c r="L694" s="341"/>
      <c r="M694" s="340"/>
      <c r="N694" s="339"/>
      <c r="O694" s="339"/>
      <c r="P694" s="339"/>
      <c r="Q694" s="339"/>
      <c r="R694" s="339"/>
      <c r="S694" s="339"/>
      <c r="T694" s="339"/>
      <c r="U694" s="339"/>
      <c r="V694" s="339"/>
      <c r="W694" s="339"/>
      <c r="X694" s="339"/>
      <c r="Y694" s="339"/>
      <c r="Z694" s="339"/>
      <c r="AA694" s="339"/>
      <c r="AB694" s="341"/>
      <c r="AC694" s="341"/>
      <c r="AD694" s="341"/>
      <c r="AE694" s="339"/>
      <c r="AF694" s="339"/>
      <c r="AG694" s="341"/>
      <c r="AH694" s="339"/>
      <c r="AI694" s="341"/>
      <c r="AJ694" s="339"/>
      <c r="AK694" s="341"/>
      <c r="AL694" s="341"/>
      <c r="AM694" s="339"/>
      <c r="AN694" s="339"/>
      <c r="AO694" s="339"/>
      <c r="AP694" s="339"/>
      <c r="AQ694" s="339"/>
      <c r="AR694" s="339"/>
      <c r="AS694" s="339"/>
    </row>
    <row r="695" spans="1:45" ht="15.75" customHeight="1">
      <c r="A695" s="339"/>
      <c r="B695" s="339"/>
      <c r="C695" s="341"/>
      <c r="D695" s="341"/>
      <c r="E695" s="341"/>
      <c r="F695" s="340"/>
      <c r="G695" s="339"/>
      <c r="H695" s="339"/>
      <c r="I695" s="339"/>
      <c r="J695" s="341"/>
      <c r="K695" s="340"/>
      <c r="L695" s="341"/>
      <c r="M695" s="340"/>
      <c r="N695" s="339"/>
      <c r="O695" s="339"/>
      <c r="P695" s="339"/>
      <c r="Q695" s="339"/>
      <c r="R695" s="339"/>
      <c r="S695" s="339"/>
      <c r="T695" s="339"/>
      <c r="U695" s="339"/>
      <c r="V695" s="339"/>
      <c r="W695" s="339"/>
      <c r="X695" s="339"/>
      <c r="Y695" s="339"/>
      <c r="Z695" s="339"/>
      <c r="AA695" s="339"/>
      <c r="AB695" s="341"/>
      <c r="AC695" s="341"/>
      <c r="AD695" s="341"/>
      <c r="AE695" s="339"/>
      <c r="AF695" s="339"/>
      <c r="AG695" s="341"/>
      <c r="AH695" s="339"/>
      <c r="AI695" s="341"/>
      <c r="AJ695" s="339"/>
      <c r="AK695" s="341"/>
      <c r="AL695" s="341"/>
      <c r="AM695" s="339"/>
      <c r="AN695" s="339"/>
      <c r="AO695" s="339"/>
      <c r="AP695" s="339"/>
      <c r="AQ695" s="339"/>
      <c r="AR695" s="339"/>
      <c r="AS695" s="339"/>
    </row>
    <row r="696" spans="1:45" ht="15.75" customHeight="1">
      <c r="A696" s="339"/>
      <c r="B696" s="339"/>
      <c r="C696" s="341"/>
      <c r="D696" s="341"/>
      <c r="E696" s="341"/>
      <c r="F696" s="340"/>
      <c r="G696" s="339"/>
      <c r="H696" s="339"/>
      <c r="I696" s="339"/>
      <c r="J696" s="341"/>
      <c r="K696" s="340"/>
      <c r="L696" s="341"/>
      <c r="M696" s="340"/>
      <c r="N696" s="339"/>
      <c r="O696" s="339"/>
      <c r="P696" s="339"/>
      <c r="Q696" s="339"/>
      <c r="R696" s="339"/>
      <c r="S696" s="339"/>
      <c r="T696" s="339"/>
      <c r="U696" s="339"/>
      <c r="V696" s="339"/>
      <c r="W696" s="339"/>
      <c r="X696" s="339"/>
      <c r="Y696" s="339"/>
      <c r="Z696" s="339"/>
      <c r="AA696" s="339"/>
      <c r="AB696" s="341"/>
      <c r="AC696" s="341"/>
      <c r="AD696" s="341"/>
      <c r="AE696" s="339"/>
      <c r="AF696" s="339"/>
      <c r="AG696" s="341"/>
      <c r="AH696" s="339"/>
      <c r="AI696" s="341"/>
      <c r="AJ696" s="339"/>
      <c r="AK696" s="341"/>
      <c r="AL696" s="341"/>
      <c r="AM696" s="339"/>
      <c r="AN696" s="339"/>
      <c r="AO696" s="339"/>
      <c r="AP696" s="339"/>
      <c r="AQ696" s="339"/>
      <c r="AR696" s="339"/>
      <c r="AS696" s="339"/>
    </row>
    <row r="697" spans="1:45" ht="15.75" customHeight="1">
      <c r="A697" s="339"/>
      <c r="B697" s="339"/>
      <c r="C697" s="341"/>
      <c r="D697" s="341"/>
      <c r="E697" s="341"/>
      <c r="F697" s="340"/>
      <c r="G697" s="339"/>
      <c r="H697" s="339"/>
      <c r="I697" s="339"/>
      <c r="J697" s="341"/>
      <c r="K697" s="340"/>
      <c r="L697" s="341"/>
      <c r="M697" s="340"/>
      <c r="N697" s="339"/>
      <c r="O697" s="339"/>
      <c r="P697" s="339"/>
      <c r="Q697" s="339"/>
      <c r="R697" s="339"/>
      <c r="S697" s="339"/>
      <c r="T697" s="339"/>
      <c r="U697" s="339"/>
      <c r="V697" s="339"/>
      <c r="W697" s="339"/>
      <c r="X697" s="339"/>
      <c r="Y697" s="339"/>
      <c r="Z697" s="339"/>
      <c r="AA697" s="339"/>
      <c r="AB697" s="341"/>
      <c r="AC697" s="341"/>
      <c r="AD697" s="341"/>
      <c r="AE697" s="339"/>
      <c r="AF697" s="339"/>
      <c r="AG697" s="341"/>
      <c r="AH697" s="339"/>
      <c r="AI697" s="341"/>
      <c r="AJ697" s="339"/>
      <c r="AK697" s="341"/>
      <c r="AL697" s="341"/>
      <c r="AM697" s="339"/>
      <c r="AN697" s="339"/>
      <c r="AO697" s="339"/>
      <c r="AP697" s="339"/>
      <c r="AQ697" s="339"/>
      <c r="AR697" s="339"/>
      <c r="AS697" s="339"/>
    </row>
    <row r="698" spans="1:45" ht="15.75" customHeight="1">
      <c r="A698" s="339"/>
      <c r="B698" s="339"/>
      <c r="C698" s="341"/>
      <c r="D698" s="341"/>
      <c r="E698" s="341"/>
      <c r="F698" s="340"/>
      <c r="G698" s="339"/>
      <c r="H698" s="339"/>
      <c r="I698" s="339"/>
      <c r="J698" s="341"/>
      <c r="K698" s="340"/>
      <c r="L698" s="341"/>
      <c r="M698" s="340"/>
      <c r="N698" s="339"/>
      <c r="O698" s="339"/>
      <c r="P698" s="339"/>
      <c r="Q698" s="339"/>
      <c r="R698" s="339"/>
      <c r="S698" s="339"/>
      <c r="T698" s="339"/>
      <c r="U698" s="339"/>
      <c r="V698" s="339"/>
      <c r="W698" s="339"/>
      <c r="X698" s="339"/>
      <c r="Y698" s="339"/>
      <c r="Z698" s="339"/>
      <c r="AA698" s="339"/>
      <c r="AB698" s="341"/>
      <c r="AC698" s="341"/>
      <c r="AD698" s="341"/>
      <c r="AE698" s="339"/>
      <c r="AF698" s="339"/>
      <c r="AG698" s="341"/>
      <c r="AH698" s="339"/>
      <c r="AI698" s="341"/>
      <c r="AJ698" s="339"/>
      <c r="AK698" s="341"/>
      <c r="AL698" s="341"/>
      <c r="AM698" s="339"/>
      <c r="AN698" s="339"/>
      <c r="AO698" s="339"/>
      <c r="AP698" s="339"/>
      <c r="AQ698" s="339"/>
      <c r="AR698" s="339"/>
      <c r="AS698" s="339"/>
    </row>
    <row r="699" spans="1:45" ht="15.75" customHeight="1">
      <c r="A699" s="339"/>
      <c r="B699" s="339"/>
      <c r="C699" s="341"/>
      <c r="D699" s="341"/>
      <c r="E699" s="341"/>
      <c r="F699" s="340"/>
      <c r="G699" s="339"/>
      <c r="H699" s="339"/>
      <c r="I699" s="339"/>
      <c r="J699" s="341"/>
      <c r="K699" s="340"/>
      <c r="L699" s="341"/>
      <c r="M699" s="340"/>
      <c r="N699" s="339"/>
      <c r="O699" s="339"/>
      <c r="P699" s="339"/>
      <c r="Q699" s="339"/>
      <c r="R699" s="339"/>
      <c r="S699" s="339"/>
      <c r="T699" s="339"/>
      <c r="U699" s="339"/>
      <c r="V699" s="339"/>
      <c r="W699" s="339"/>
      <c r="X699" s="339"/>
      <c r="Y699" s="339"/>
      <c r="Z699" s="339"/>
      <c r="AA699" s="339"/>
      <c r="AB699" s="341"/>
      <c r="AC699" s="341"/>
      <c r="AD699" s="341"/>
      <c r="AE699" s="339"/>
      <c r="AF699" s="339"/>
      <c r="AG699" s="341"/>
      <c r="AH699" s="339"/>
      <c r="AI699" s="341"/>
      <c r="AJ699" s="339"/>
      <c r="AK699" s="341"/>
      <c r="AL699" s="341"/>
      <c r="AM699" s="339"/>
      <c r="AN699" s="339"/>
      <c r="AO699" s="339"/>
      <c r="AP699" s="339"/>
      <c r="AQ699" s="339"/>
      <c r="AR699" s="339"/>
      <c r="AS699" s="339"/>
    </row>
    <row r="700" spans="1:45" ht="15.75" customHeight="1">
      <c r="A700" s="339"/>
      <c r="B700" s="339"/>
      <c r="C700" s="341"/>
      <c r="D700" s="341"/>
      <c r="E700" s="341"/>
      <c r="F700" s="340"/>
      <c r="G700" s="339"/>
      <c r="H700" s="339"/>
      <c r="I700" s="339"/>
      <c r="J700" s="341"/>
      <c r="K700" s="340"/>
      <c r="L700" s="341"/>
      <c r="M700" s="340"/>
      <c r="N700" s="339"/>
      <c r="O700" s="339"/>
      <c r="P700" s="339"/>
      <c r="Q700" s="339"/>
      <c r="R700" s="339"/>
      <c r="S700" s="339"/>
      <c r="T700" s="339"/>
      <c r="U700" s="339"/>
      <c r="V700" s="339"/>
      <c r="W700" s="339"/>
      <c r="X700" s="339"/>
      <c r="Y700" s="339"/>
      <c r="Z700" s="339"/>
      <c r="AA700" s="339"/>
      <c r="AB700" s="341"/>
      <c r="AC700" s="341"/>
      <c r="AD700" s="341"/>
      <c r="AE700" s="339"/>
      <c r="AF700" s="339"/>
      <c r="AG700" s="341"/>
      <c r="AH700" s="339"/>
      <c r="AI700" s="341"/>
      <c r="AJ700" s="339"/>
      <c r="AK700" s="341"/>
      <c r="AL700" s="341"/>
      <c r="AM700" s="339"/>
      <c r="AN700" s="339"/>
      <c r="AO700" s="339"/>
      <c r="AP700" s="339"/>
      <c r="AQ700" s="339"/>
      <c r="AR700" s="339"/>
      <c r="AS700" s="339"/>
    </row>
    <row r="701" spans="1:45" ht="15.75" customHeight="1">
      <c r="A701" s="339"/>
      <c r="B701" s="339"/>
      <c r="C701" s="341"/>
      <c r="D701" s="341"/>
      <c r="E701" s="341"/>
      <c r="F701" s="340"/>
      <c r="G701" s="339"/>
      <c r="H701" s="339"/>
      <c r="I701" s="339"/>
      <c r="J701" s="341"/>
      <c r="K701" s="340"/>
      <c r="L701" s="341"/>
      <c r="M701" s="340"/>
      <c r="N701" s="339"/>
      <c r="O701" s="339"/>
      <c r="P701" s="339"/>
      <c r="Q701" s="339"/>
      <c r="R701" s="339"/>
      <c r="S701" s="339"/>
      <c r="T701" s="339"/>
      <c r="U701" s="339"/>
      <c r="V701" s="339"/>
      <c r="W701" s="339"/>
      <c r="X701" s="339"/>
      <c r="Y701" s="339"/>
      <c r="Z701" s="339"/>
      <c r="AA701" s="339"/>
      <c r="AB701" s="341"/>
      <c r="AC701" s="341"/>
      <c r="AD701" s="341"/>
      <c r="AE701" s="339"/>
      <c r="AF701" s="339"/>
      <c r="AG701" s="341"/>
      <c r="AH701" s="339"/>
      <c r="AI701" s="341"/>
      <c r="AJ701" s="339"/>
      <c r="AK701" s="341"/>
      <c r="AL701" s="341"/>
      <c r="AM701" s="339"/>
      <c r="AN701" s="339"/>
      <c r="AO701" s="339"/>
      <c r="AP701" s="339"/>
      <c r="AQ701" s="339"/>
      <c r="AR701" s="339"/>
      <c r="AS701" s="339"/>
    </row>
    <row r="702" spans="1:45" ht="15.75" customHeight="1">
      <c r="A702" s="339"/>
      <c r="B702" s="339"/>
      <c r="C702" s="341"/>
      <c r="D702" s="341"/>
      <c r="E702" s="341"/>
      <c r="F702" s="340"/>
      <c r="G702" s="339"/>
      <c r="H702" s="339"/>
      <c r="I702" s="339"/>
      <c r="J702" s="341"/>
      <c r="K702" s="340"/>
      <c r="L702" s="341"/>
      <c r="M702" s="340"/>
      <c r="N702" s="339"/>
      <c r="O702" s="339"/>
      <c r="P702" s="339"/>
      <c r="Q702" s="339"/>
      <c r="R702" s="339"/>
      <c r="S702" s="339"/>
      <c r="T702" s="339"/>
      <c r="U702" s="339"/>
      <c r="V702" s="339"/>
      <c r="W702" s="339"/>
      <c r="X702" s="339"/>
      <c r="Y702" s="339"/>
      <c r="Z702" s="339"/>
      <c r="AA702" s="339"/>
      <c r="AB702" s="341"/>
      <c r="AC702" s="341"/>
      <c r="AD702" s="341"/>
      <c r="AE702" s="339"/>
      <c r="AF702" s="339"/>
      <c r="AG702" s="341"/>
      <c r="AH702" s="339"/>
      <c r="AI702" s="341"/>
      <c r="AJ702" s="339"/>
      <c r="AK702" s="341"/>
      <c r="AL702" s="341"/>
      <c r="AM702" s="339"/>
      <c r="AN702" s="339"/>
      <c r="AO702" s="339"/>
      <c r="AP702" s="339"/>
      <c r="AQ702" s="339"/>
      <c r="AR702" s="339"/>
      <c r="AS702" s="339"/>
    </row>
    <row r="703" spans="1:45" ht="15.75" customHeight="1">
      <c r="A703" s="339"/>
      <c r="B703" s="339"/>
      <c r="C703" s="341"/>
      <c r="D703" s="341"/>
      <c r="E703" s="341"/>
      <c r="F703" s="340"/>
      <c r="G703" s="339"/>
      <c r="H703" s="339"/>
      <c r="I703" s="339"/>
      <c r="J703" s="341"/>
      <c r="K703" s="340"/>
      <c r="L703" s="341"/>
      <c r="M703" s="340"/>
      <c r="N703" s="339"/>
      <c r="O703" s="339"/>
      <c r="P703" s="339"/>
      <c r="Q703" s="339"/>
      <c r="R703" s="339"/>
      <c r="S703" s="339"/>
      <c r="T703" s="339"/>
      <c r="U703" s="339"/>
      <c r="V703" s="339"/>
      <c r="W703" s="339"/>
      <c r="X703" s="339"/>
      <c r="Y703" s="339"/>
      <c r="Z703" s="339"/>
      <c r="AA703" s="339"/>
      <c r="AB703" s="341"/>
      <c r="AC703" s="341"/>
      <c r="AD703" s="341"/>
      <c r="AE703" s="339"/>
      <c r="AF703" s="339"/>
      <c r="AG703" s="341"/>
      <c r="AH703" s="339"/>
      <c r="AI703" s="341"/>
      <c r="AJ703" s="339"/>
      <c r="AK703" s="341"/>
      <c r="AL703" s="341"/>
      <c r="AM703" s="339"/>
      <c r="AN703" s="339"/>
      <c r="AO703" s="339"/>
      <c r="AP703" s="339"/>
      <c r="AQ703" s="339"/>
      <c r="AR703" s="339"/>
      <c r="AS703" s="339"/>
    </row>
    <row r="704" spans="1:45" ht="15.75" customHeight="1">
      <c r="A704" s="339"/>
      <c r="B704" s="339"/>
      <c r="C704" s="341"/>
      <c r="D704" s="341"/>
      <c r="E704" s="341"/>
      <c r="F704" s="340"/>
      <c r="G704" s="339"/>
      <c r="H704" s="339"/>
      <c r="I704" s="339"/>
      <c r="J704" s="341"/>
      <c r="K704" s="340"/>
      <c r="L704" s="341"/>
      <c r="M704" s="340"/>
      <c r="N704" s="339"/>
      <c r="O704" s="339"/>
      <c r="P704" s="339"/>
      <c r="Q704" s="339"/>
      <c r="R704" s="339"/>
      <c r="S704" s="339"/>
      <c r="T704" s="339"/>
      <c r="U704" s="339"/>
      <c r="V704" s="339"/>
      <c r="W704" s="339"/>
      <c r="X704" s="339"/>
      <c r="Y704" s="339"/>
      <c r="Z704" s="339"/>
      <c r="AA704" s="339"/>
      <c r="AB704" s="341"/>
      <c r="AC704" s="341"/>
      <c r="AD704" s="341"/>
      <c r="AE704" s="339"/>
      <c r="AF704" s="339"/>
      <c r="AG704" s="341"/>
      <c r="AH704" s="339"/>
      <c r="AI704" s="341"/>
      <c r="AJ704" s="339"/>
      <c r="AK704" s="341"/>
      <c r="AL704" s="341"/>
      <c r="AM704" s="339"/>
      <c r="AN704" s="339"/>
      <c r="AO704" s="339"/>
      <c r="AP704" s="339"/>
      <c r="AQ704" s="339"/>
      <c r="AR704" s="339"/>
      <c r="AS704" s="339"/>
    </row>
    <row r="705" spans="1:45" ht="15.75" customHeight="1">
      <c r="A705" s="339"/>
      <c r="B705" s="339"/>
      <c r="C705" s="341"/>
      <c r="D705" s="341"/>
      <c r="E705" s="341"/>
      <c r="F705" s="340"/>
      <c r="G705" s="339"/>
      <c r="H705" s="339"/>
      <c r="I705" s="339"/>
      <c r="J705" s="341"/>
      <c r="K705" s="340"/>
      <c r="L705" s="341"/>
      <c r="M705" s="340"/>
      <c r="N705" s="339"/>
      <c r="O705" s="339"/>
      <c r="P705" s="339"/>
      <c r="Q705" s="339"/>
      <c r="R705" s="339"/>
      <c r="S705" s="339"/>
      <c r="T705" s="339"/>
      <c r="U705" s="339"/>
      <c r="V705" s="339"/>
      <c r="W705" s="339"/>
      <c r="X705" s="339"/>
      <c r="Y705" s="339"/>
      <c r="Z705" s="339"/>
      <c r="AA705" s="339"/>
      <c r="AB705" s="341"/>
      <c r="AC705" s="341"/>
      <c r="AD705" s="341"/>
      <c r="AE705" s="339"/>
      <c r="AF705" s="339"/>
      <c r="AG705" s="341"/>
      <c r="AH705" s="339"/>
      <c r="AI705" s="341"/>
      <c r="AJ705" s="339"/>
      <c r="AK705" s="341"/>
      <c r="AL705" s="341"/>
      <c r="AM705" s="339"/>
      <c r="AN705" s="339"/>
      <c r="AO705" s="339"/>
      <c r="AP705" s="339"/>
      <c r="AQ705" s="339"/>
      <c r="AR705" s="339"/>
      <c r="AS705" s="339"/>
    </row>
    <row r="706" spans="1:45" ht="15.75" customHeight="1">
      <c r="A706" s="339"/>
      <c r="B706" s="339"/>
      <c r="C706" s="341"/>
      <c r="D706" s="341"/>
      <c r="E706" s="341"/>
      <c r="F706" s="340"/>
      <c r="G706" s="339"/>
      <c r="H706" s="339"/>
      <c r="I706" s="339"/>
      <c r="J706" s="341"/>
      <c r="K706" s="340"/>
      <c r="L706" s="341"/>
      <c r="M706" s="340"/>
      <c r="N706" s="339"/>
      <c r="O706" s="339"/>
      <c r="P706" s="339"/>
      <c r="Q706" s="339"/>
      <c r="R706" s="339"/>
      <c r="S706" s="339"/>
      <c r="T706" s="339"/>
      <c r="U706" s="339"/>
      <c r="V706" s="339"/>
      <c r="W706" s="339"/>
      <c r="X706" s="339"/>
      <c r="Y706" s="339"/>
      <c r="Z706" s="339"/>
      <c r="AA706" s="339"/>
      <c r="AB706" s="341"/>
      <c r="AC706" s="341"/>
      <c r="AD706" s="341"/>
      <c r="AE706" s="339"/>
      <c r="AF706" s="339"/>
      <c r="AG706" s="341"/>
      <c r="AH706" s="339"/>
      <c r="AI706" s="341"/>
      <c r="AJ706" s="339"/>
      <c r="AK706" s="341"/>
      <c r="AL706" s="341"/>
      <c r="AM706" s="339"/>
      <c r="AN706" s="339"/>
      <c r="AO706" s="339"/>
      <c r="AP706" s="339"/>
      <c r="AQ706" s="339"/>
      <c r="AR706" s="339"/>
      <c r="AS706" s="339"/>
    </row>
    <row r="707" spans="1:45" ht="15.75" customHeight="1">
      <c r="A707" s="339"/>
      <c r="B707" s="339"/>
      <c r="C707" s="341"/>
      <c r="D707" s="341"/>
      <c r="E707" s="341"/>
      <c r="F707" s="340"/>
      <c r="G707" s="339"/>
      <c r="H707" s="339"/>
      <c r="I707" s="339"/>
      <c r="J707" s="341"/>
      <c r="K707" s="340"/>
      <c r="L707" s="341"/>
      <c r="M707" s="340"/>
      <c r="N707" s="339"/>
      <c r="O707" s="339"/>
      <c r="P707" s="339"/>
      <c r="Q707" s="339"/>
      <c r="R707" s="339"/>
      <c r="S707" s="339"/>
      <c r="T707" s="339"/>
      <c r="U707" s="339"/>
      <c r="V707" s="339"/>
      <c r="W707" s="339"/>
      <c r="X707" s="339"/>
      <c r="Y707" s="339"/>
      <c r="Z707" s="339"/>
      <c r="AA707" s="339"/>
      <c r="AB707" s="341"/>
      <c r="AC707" s="341"/>
      <c r="AD707" s="341"/>
      <c r="AE707" s="339"/>
      <c r="AF707" s="339"/>
      <c r="AG707" s="341"/>
      <c r="AH707" s="339"/>
      <c r="AI707" s="341"/>
      <c r="AJ707" s="339"/>
      <c r="AK707" s="341"/>
      <c r="AL707" s="341"/>
      <c r="AM707" s="339"/>
      <c r="AN707" s="339"/>
      <c r="AO707" s="339"/>
      <c r="AP707" s="339"/>
      <c r="AQ707" s="339"/>
      <c r="AR707" s="339"/>
      <c r="AS707" s="339"/>
    </row>
    <row r="708" spans="1:45" ht="15.75" customHeight="1">
      <c r="A708" s="339"/>
      <c r="B708" s="339"/>
      <c r="C708" s="341"/>
      <c r="D708" s="341"/>
      <c r="E708" s="341"/>
      <c r="F708" s="340"/>
      <c r="G708" s="339"/>
      <c r="H708" s="339"/>
      <c r="I708" s="339"/>
      <c r="J708" s="341"/>
      <c r="K708" s="340"/>
      <c r="L708" s="341"/>
      <c r="M708" s="340"/>
      <c r="N708" s="339"/>
      <c r="O708" s="339"/>
      <c r="P708" s="339"/>
      <c r="Q708" s="339"/>
      <c r="R708" s="339"/>
      <c r="S708" s="339"/>
      <c r="T708" s="339"/>
      <c r="U708" s="339"/>
      <c r="V708" s="339"/>
      <c r="W708" s="339"/>
      <c r="X708" s="339"/>
      <c r="Y708" s="339"/>
      <c r="Z708" s="339"/>
      <c r="AA708" s="339"/>
      <c r="AB708" s="341"/>
      <c r="AC708" s="341"/>
      <c r="AD708" s="341"/>
      <c r="AE708" s="339"/>
      <c r="AF708" s="339"/>
      <c r="AG708" s="341"/>
      <c r="AH708" s="339"/>
      <c r="AI708" s="341"/>
      <c r="AJ708" s="339"/>
      <c r="AK708" s="341"/>
      <c r="AL708" s="341"/>
      <c r="AM708" s="339"/>
      <c r="AN708" s="339"/>
      <c r="AO708" s="339"/>
      <c r="AP708" s="339"/>
      <c r="AQ708" s="339"/>
      <c r="AR708" s="339"/>
      <c r="AS708" s="339"/>
    </row>
    <row r="709" spans="1:45" ht="15.75" customHeight="1">
      <c r="A709" s="339"/>
      <c r="B709" s="339"/>
      <c r="C709" s="341"/>
      <c r="D709" s="341"/>
      <c r="E709" s="341"/>
      <c r="F709" s="340"/>
      <c r="G709" s="339"/>
      <c r="H709" s="339"/>
      <c r="I709" s="339"/>
      <c r="J709" s="341"/>
      <c r="K709" s="340"/>
      <c r="L709" s="341"/>
      <c r="M709" s="340"/>
      <c r="N709" s="339"/>
      <c r="O709" s="339"/>
      <c r="P709" s="339"/>
      <c r="Q709" s="339"/>
      <c r="R709" s="339"/>
      <c r="S709" s="339"/>
      <c r="T709" s="339"/>
      <c r="U709" s="339"/>
      <c r="V709" s="339"/>
      <c r="W709" s="339"/>
      <c r="X709" s="339"/>
      <c r="Y709" s="339"/>
      <c r="Z709" s="339"/>
      <c r="AA709" s="339"/>
      <c r="AB709" s="341"/>
      <c r="AC709" s="341"/>
      <c r="AD709" s="341"/>
      <c r="AE709" s="339"/>
      <c r="AF709" s="339"/>
      <c r="AG709" s="341"/>
      <c r="AH709" s="339"/>
      <c r="AI709" s="341"/>
      <c r="AJ709" s="339"/>
      <c r="AK709" s="341"/>
      <c r="AL709" s="341"/>
      <c r="AM709" s="339"/>
      <c r="AN709" s="339"/>
      <c r="AO709" s="339"/>
      <c r="AP709" s="339"/>
      <c r="AQ709" s="339"/>
      <c r="AR709" s="339"/>
      <c r="AS709" s="339"/>
    </row>
    <row r="710" spans="1:45" ht="15.75" customHeight="1">
      <c r="A710" s="339"/>
      <c r="B710" s="339"/>
      <c r="C710" s="341"/>
      <c r="D710" s="341"/>
      <c r="E710" s="341"/>
      <c r="F710" s="340"/>
      <c r="G710" s="339"/>
      <c r="H710" s="339"/>
      <c r="I710" s="339"/>
      <c r="J710" s="341"/>
      <c r="K710" s="340"/>
      <c r="L710" s="341"/>
      <c r="M710" s="340"/>
      <c r="N710" s="339"/>
      <c r="O710" s="339"/>
      <c r="P710" s="339"/>
      <c r="Q710" s="339"/>
      <c r="R710" s="339"/>
      <c r="S710" s="339"/>
      <c r="T710" s="339"/>
      <c r="U710" s="339"/>
      <c r="V710" s="339"/>
      <c r="W710" s="339"/>
      <c r="X710" s="339"/>
      <c r="Y710" s="339"/>
      <c r="Z710" s="339"/>
      <c r="AA710" s="339"/>
      <c r="AB710" s="341"/>
      <c r="AC710" s="341"/>
      <c r="AD710" s="341"/>
      <c r="AE710" s="339"/>
      <c r="AF710" s="339"/>
      <c r="AG710" s="341"/>
      <c r="AH710" s="339"/>
      <c r="AI710" s="341"/>
      <c r="AJ710" s="339"/>
      <c r="AK710" s="341"/>
      <c r="AL710" s="341"/>
      <c r="AM710" s="339"/>
      <c r="AN710" s="339"/>
      <c r="AO710" s="339"/>
      <c r="AP710" s="339"/>
      <c r="AQ710" s="339"/>
      <c r="AR710" s="339"/>
      <c r="AS710" s="339"/>
    </row>
    <row r="711" spans="1:45" ht="15.75" customHeight="1">
      <c r="A711" s="339"/>
      <c r="B711" s="339"/>
      <c r="C711" s="341"/>
      <c r="D711" s="341"/>
      <c r="E711" s="341"/>
      <c r="F711" s="340"/>
      <c r="G711" s="339"/>
      <c r="H711" s="339"/>
      <c r="I711" s="339"/>
      <c r="J711" s="341"/>
      <c r="K711" s="340"/>
      <c r="L711" s="341"/>
      <c r="M711" s="340"/>
      <c r="N711" s="339"/>
      <c r="O711" s="339"/>
      <c r="P711" s="339"/>
      <c r="Q711" s="339"/>
      <c r="R711" s="339"/>
      <c r="S711" s="339"/>
      <c r="T711" s="339"/>
      <c r="U711" s="339"/>
      <c r="V711" s="339"/>
      <c r="W711" s="339"/>
      <c r="X711" s="339"/>
      <c r="Y711" s="339"/>
      <c r="Z711" s="339"/>
      <c r="AA711" s="339"/>
      <c r="AB711" s="341"/>
      <c r="AC711" s="341"/>
      <c r="AD711" s="341"/>
      <c r="AE711" s="339"/>
      <c r="AF711" s="339"/>
      <c r="AG711" s="341"/>
      <c r="AH711" s="339"/>
      <c r="AI711" s="341"/>
      <c r="AJ711" s="339"/>
      <c r="AK711" s="341"/>
      <c r="AL711" s="341"/>
      <c r="AM711" s="339"/>
      <c r="AN711" s="339"/>
      <c r="AO711" s="339"/>
      <c r="AP711" s="339"/>
      <c r="AQ711" s="339"/>
      <c r="AR711" s="339"/>
      <c r="AS711" s="339"/>
    </row>
    <row r="712" spans="1:45" ht="15.75" customHeight="1">
      <c r="A712" s="339"/>
      <c r="B712" s="339"/>
      <c r="C712" s="341"/>
      <c r="D712" s="341"/>
      <c r="E712" s="341"/>
      <c r="F712" s="340"/>
      <c r="G712" s="339"/>
      <c r="H712" s="339"/>
      <c r="I712" s="339"/>
      <c r="J712" s="341"/>
      <c r="K712" s="340"/>
      <c r="L712" s="341"/>
      <c r="M712" s="340"/>
      <c r="N712" s="339"/>
      <c r="O712" s="339"/>
      <c r="P712" s="339"/>
      <c r="Q712" s="339"/>
      <c r="R712" s="339"/>
      <c r="S712" s="339"/>
      <c r="T712" s="339"/>
      <c r="U712" s="339"/>
      <c r="V712" s="339"/>
      <c r="W712" s="339"/>
      <c r="X712" s="339"/>
      <c r="Y712" s="339"/>
      <c r="Z712" s="339"/>
      <c r="AA712" s="339"/>
      <c r="AB712" s="341"/>
      <c r="AC712" s="341"/>
      <c r="AD712" s="341"/>
      <c r="AE712" s="339"/>
      <c r="AF712" s="339"/>
      <c r="AG712" s="341"/>
      <c r="AH712" s="339"/>
      <c r="AI712" s="341"/>
      <c r="AJ712" s="339"/>
      <c r="AK712" s="341"/>
      <c r="AL712" s="341"/>
      <c r="AM712" s="339"/>
      <c r="AN712" s="339"/>
      <c r="AO712" s="339"/>
      <c r="AP712" s="339"/>
      <c r="AQ712" s="339"/>
      <c r="AR712" s="339"/>
      <c r="AS712" s="339"/>
    </row>
    <row r="713" spans="1:45" ht="15.75" customHeight="1">
      <c r="A713" s="339"/>
      <c r="B713" s="339"/>
      <c r="C713" s="341"/>
      <c r="D713" s="341"/>
      <c r="E713" s="341"/>
      <c r="F713" s="340"/>
      <c r="G713" s="339"/>
      <c r="H713" s="339"/>
      <c r="I713" s="339"/>
      <c r="J713" s="341"/>
      <c r="K713" s="340"/>
      <c r="L713" s="341"/>
      <c r="M713" s="340"/>
      <c r="N713" s="339"/>
      <c r="O713" s="339"/>
      <c r="P713" s="339"/>
      <c r="Q713" s="339"/>
      <c r="R713" s="339"/>
      <c r="S713" s="339"/>
      <c r="T713" s="339"/>
      <c r="U713" s="339"/>
      <c r="V713" s="339"/>
      <c r="W713" s="339"/>
      <c r="X713" s="339"/>
      <c r="Y713" s="339"/>
      <c r="Z713" s="339"/>
      <c r="AA713" s="339"/>
      <c r="AB713" s="341"/>
      <c r="AC713" s="341"/>
      <c r="AD713" s="341"/>
      <c r="AE713" s="339"/>
      <c r="AF713" s="339"/>
      <c r="AG713" s="341"/>
      <c r="AH713" s="339"/>
      <c r="AI713" s="341"/>
      <c r="AJ713" s="339"/>
      <c r="AK713" s="341"/>
      <c r="AL713" s="341"/>
      <c r="AM713" s="339"/>
      <c r="AN713" s="339"/>
      <c r="AO713" s="339"/>
      <c r="AP713" s="339"/>
      <c r="AQ713" s="339"/>
      <c r="AR713" s="339"/>
      <c r="AS713" s="339"/>
    </row>
    <row r="714" spans="1:45" ht="15.75" customHeight="1">
      <c r="A714" s="339"/>
      <c r="B714" s="339"/>
      <c r="C714" s="341"/>
      <c r="D714" s="341"/>
      <c r="E714" s="341"/>
      <c r="F714" s="340"/>
      <c r="G714" s="339"/>
      <c r="H714" s="339"/>
      <c r="I714" s="339"/>
      <c r="J714" s="341"/>
      <c r="K714" s="340"/>
      <c r="L714" s="341"/>
      <c r="M714" s="340"/>
      <c r="N714" s="339"/>
      <c r="O714" s="339"/>
      <c r="P714" s="339"/>
      <c r="Q714" s="339"/>
      <c r="R714" s="339"/>
      <c r="S714" s="339"/>
      <c r="T714" s="339"/>
      <c r="U714" s="339"/>
      <c r="V714" s="339"/>
      <c r="W714" s="339"/>
      <c r="X714" s="339"/>
      <c r="Y714" s="339"/>
      <c r="Z714" s="339"/>
      <c r="AA714" s="339"/>
      <c r="AB714" s="341"/>
      <c r="AC714" s="341"/>
      <c r="AD714" s="341"/>
      <c r="AE714" s="339"/>
      <c r="AF714" s="339"/>
      <c r="AG714" s="341"/>
      <c r="AH714" s="339"/>
      <c r="AI714" s="341"/>
      <c r="AJ714" s="339"/>
      <c r="AK714" s="341"/>
      <c r="AL714" s="341"/>
      <c r="AM714" s="339"/>
      <c r="AN714" s="339"/>
      <c r="AO714" s="339"/>
      <c r="AP714" s="339"/>
      <c r="AQ714" s="339"/>
      <c r="AR714" s="339"/>
      <c r="AS714" s="339"/>
    </row>
    <row r="715" spans="1:45" ht="15.75" customHeight="1">
      <c r="A715" s="339"/>
      <c r="B715" s="339"/>
      <c r="C715" s="341"/>
      <c r="D715" s="341"/>
      <c r="E715" s="341"/>
      <c r="F715" s="340"/>
      <c r="G715" s="339"/>
      <c r="H715" s="339"/>
      <c r="I715" s="339"/>
      <c r="J715" s="341"/>
      <c r="K715" s="340"/>
      <c r="L715" s="341"/>
      <c r="M715" s="340"/>
      <c r="N715" s="339"/>
      <c r="O715" s="339"/>
      <c r="P715" s="339"/>
      <c r="Q715" s="339"/>
      <c r="R715" s="339"/>
      <c r="S715" s="339"/>
      <c r="T715" s="339"/>
      <c r="U715" s="339"/>
      <c r="V715" s="339"/>
      <c r="W715" s="339"/>
      <c r="X715" s="339"/>
      <c r="Y715" s="339"/>
      <c r="Z715" s="339"/>
      <c r="AA715" s="339"/>
      <c r="AB715" s="341"/>
      <c r="AC715" s="341"/>
      <c r="AD715" s="341"/>
      <c r="AE715" s="339"/>
      <c r="AF715" s="339"/>
      <c r="AG715" s="341"/>
      <c r="AH715" s="339"/>
      <c r="AI715" s="341"/>
      <c r="AJ715" s="339"/>
      <c r="AK715" s="341"/>
      <c r="AL715" s="341"/>
      <c r="AM715" s="339"/>
      <c r="AN715" s="339"/>
      <c r="AO715" s="339"/>
      <c r="AP715" s="339"/>
      <c r="AQ715" s="339"/>
      <c r="AR715" s="339"/>
      <c r="AS715" s="339"/>
    </row>
    <row r="716" spans="1:45" ht="15.75" customHeight="1">
      <c r="A716" s="339"/>
      <c r="B716" s="339"/>
      <c r="C716" s="341"/>
      <c r="D716" s="341"/>
      <c r="E716" s="341"/>
      <c r="F716" s="340"/>
      <c r="G716" s="339"/>
      <c r="H716" s="339"/>
      <c r="I716" s="339"/>
      <c r="J716" s="341"/>
      <c r="K716" s="340"/>
      <c r="L716" s="341"/>
      <c r="M716" s="340"/>
      <c r="N716" s="339"/>
      <c r="O716" s="339"/>
      <c r="P716" s="339"/>
      <c r="Q716" s="339"/>
      <c r="R716" s="339"/>
      <c r="S716" s="339"/>
      <c r="T716" s="339"/>
      <c r="U716" s="339"/>
      <c r="V716" s="339"/>
      <c r="W716" s="339"/>
      <c r="X716" s="339"/>
      <c r="Y716" s="339"/>
      <c r="Z716" s="339"/>
      <c r="AA716" s="339"/>
      <c r="AB716" s="341"/>
      <c r="AC716" s="341"/>
      <c r="AD716" s="341"/>
      <c r="AE716" s="339"/>
      <c r="AF716" s="339"/>
      <c r="AG716" s="341"/>
      <c r="AH716" s="339"/>
      <c r="AI716" s="341"/>
      <c r="AJ716" s="339"/>
      <c r="AK716" s="341"/>
      <c r="AL716" s="341"/>
      <c r="AM716" s="339"/>
      <c r="AN716" s="339"/>
      <c r="AO716" s="339"/>
      <c r="AP716" s="339"/>
      <c r="AQ716" s="339"/>
      <c r="AR716" s="339"/>
      <c r="AS716" s="339"/>
    </row>
    <row r="717" spans="1:45" ht="15.75" customHeight="1">
      <c r="A717" s="339"/>
      <c r="B717" s="339"/>
      <c r="C717" s="341"/>
      <c r="D717" s="341"/>
      <c r="E717" s="341"/>
      <c r="F717" s="340"/>
      <c r="G717" s="339"/>
      <c r="H717" s="339"/>
      <c r="I717" s="339"/>
      <c r="J717" s="341"/>
      <c r="K717" s="340"/>
      <c r="L717" s="341"/>
      <c r="M717" s="340"/>
      <c r="N717" s="339"/>
      <c r="O717" s="339"/>
      <c r="P717" s="339"/>
      <c r="Q717" s="339"/>
      <c r="R717" s="339"/>
      <c r="S717" s="339"/>
      <c r="T717" s="339"/>
      <c r="U717" s="339"/>
      <c r="V717" s="339"/>
      <c r="W717" s="339"/>
      <c r="X717" s="339"/>
      <c r="Y717" s="339"/>
      <c r="Z717" s="339"/>
      <c r="AA717" s="339"/>
      <c r="AB717" s="341"/>
      <c r="AC717" s="341"/>
      <c r="AD717" s="341"/>
      <c r="AE717" s="339"/>
      <c r="AF717" s="339"/>
      <c r="AG717" s="341"/>
      <c r="AH717" s="339"/>
      <c r="AI717" s="341"/>
      <c r="AJ717" s="339"/>
      <c r="AK717" s="341"/>
      <c r="AL717" s="341"/>
      <c r="AM717" s="339"/>
      <c r="AN717" s="339"/>
      <c r="AO717" s="339"/>
      <c r="AP717" s="339"/>
      <c r="AQ717" s="339"/>
      <c r="AR717" s="339"/>
      <c r="AS717" s="339"/>
    </row>
    <row r="718" spans="1:45" ht="15.75" customHeight="1">
      <c r="A718" s="339"/>
      <c r="B718" s="339"/>
      <c r="C718" s="341"/>
      <c r="D718" s="341"/>
      <c r="E718" s="341"/>
      <c r="F718" s="340"/>
      <c r="G718" s="339"/>
      <c r="H718" s="339"/>
      <c r="I718" s="339"/>
      <c r="J718" s="341"/>
      <c r="K718" s="340"/>
      <c r="L718" s="341"/>
      <c r="M718" s="340"/>
      <c r="N718" s="339"/>
      <c r="O718" s="339"/>
      <c r="P718" s="339"/>
      <c r="Q718" s="339"/>
      <c r="R718" s="339"/>
      <c r="S718" s="339"/>
      <c r="T718" s="339"/>
      <c r="U718" s="339"/>
      <c r="V718" s="339"/>
      <c r="W718" s="339"/>
      <c r="X718" s="339"/>
      <c r="Y718" s="339"/>
      <c r="Z718" s="339"/>
      <c r="AA718" s="339"/>
      <c r="AB718" s="341"/>
      <c r="AC718" s="341"/>
      <c r="AD718" s="341"/>
      <c r="AE718" s="339"/>
      <c r="AF718" s="339"/>
      <c r="AG718" s="341"/>
      <c r="AH718" s="339"/>
      <c r="AI718" s="341"/>
      <c r="AJ718" s="339"/>
      <c r="AK718" s="341"/>
      <c r="AL718" s="341"/>
      <c r="AM718" s="339"/>
      <c r="AN718" s="339"/>
      <c r="AO718" s="339"/>
      <c r="AP718" s="339"/>
      <c r="AQ718" s="339"/>
      <c r="AR718" s="339"/>
      <c r="AS718" s="339"/>
    </row>
    <row r="719" spans="1:45" ht="15.75" customHeight="1">
      <c r="A719" s="339"/>
      <c r="B719" s="339"/>
      <c r="C719" s="341"/>
      <c r="D719" s="341"/>
      <c r="E719" s="341"/>
      <c r="F719" s="340"/>
      <c r="G719" s="339"/>
      <c r="H719" s="339"/>
      <c r="I719" s="339"/>
      <c r="J719" s="341"/>
      <c r="K719" s="340"/>
      <c r="L719" s="341"/>
      <c r="M719" s="340"/>
      <c r="N719" s="339"/>
      <c r="O719" s="339"/>
      <c r="P719" s="339"/>
      <c r="Q719" s="339"/>
      <c r="R719" s="339"/>
      <c r="S719" s="339"/>
      <c r="T719" s="339"/>
      <c r="U719" s="339"/>
      <c r="V719" s="339"/>
      <c r="W719" s="339"/>
      <c r="X719" s="339"/>
      <c r="Y719" s="339"/>
      <c r="Z719" s="339"/>
      <c r="AA719" s="339"/>
      <c r="AB719" s="341"/>
      <c r="AC719" s="341"/>
      <c r="AD719" s="341"/>
      <c r="AE719" s="339"/>
      <c r="AF719" s="339"/>
      <c r="AG719" s="341"/>
      <c r="AH719" s="339"/>
      <c r="AI719" s="341"/>
      <c r="AJ719" s="339"/>
      <c r="AK719" s="341"/>
      <c r="AL719" s="341"/>
      <c r="AM719" s="339"/>
      <c r="AN719" s="339"/>
      <c r="AO719" s="339"/>
      <c r="AP719" s="339"/>
      <c r="AQ719" s="339"/>
      <c r="AR719" s="339"/>
      <c r="AS719" s="339"/>
    </row>
    <row r="720" spans="1:45" ht="15.75" customHeight="1">
      <c r="A720" s="339"/>
      <c r="B720" s="339"/>
      <c r="C720" s="341"/>
      <c r="D720" s="341"/>
      <c r="E720" s="341"/>
      <c r="F720" s="340"/>
      <c r="G720" s="339"/>
      <c r="H720" s="339"/>
      <c r="I720" s="339"/>
      <c r="J720" s="341"/>
      <c r="K720" s="340"/>
      <c r="L720" s="341"/>
      <c r="M720" s="340"/>
      <c r="N720" s="339"/>
      <c r="O720" s="339"/>
      <c r="P720" s="339"/>
      <c r="Q720" s="339"/>
      <c r="R720" s="339"/>
      <c r="S720" s="339"/>
      <c r="T720" s="339"/>
      <c r="U720" s="339"/>
      <c r="V720" s="339"/>
      <c r="W720" s="339"/>
      <c r="X720" s="339"/>
      <c r="Y720" s="339"/>
      <c r="Z720" s="339"/>
      <c r="AA720" s="339"/>
      <c r="AB720" s="341"/>
      <c r="AC720" s="341"/>
      <c r="AD720" s="341"/>
      <c r="AE720" s="339"/>
      <c r="AF720" s="339"/>
      <c r="AG720" s="341"/>
      <c r="AH720" s="339"/>
      <c r="AI720" s="341"/>
      <c r="AJ720" s="339"/>
      <c r="AK720" s="341"/>
      <c r="AL720" s="341"/>
      <c r="AM720" s="339"/>
      <c r="AN720" s="339"/>
      <c r="AO720" s="339"/>
      <c r="AP720" s="339"/>
      <c r="AQ720" s="339"/>
      <c r="AR720" s="339"/>
      <c r="AS720" s="339"/>
    </row>
    <row r="721" spans="1:45" ht="15.75" customHeight="1">
      <c r="A721" s="339"/>
      <c r="B721" s="339"/>
      <c r="C721" s="341"/>
      <c r="D721" s="341"/>
      <c r="E721" s="341"/>
      <c r="F721" s="340"/>
      <c r="G721" s="339"/>
      <c r="H721" s="339"/>
      <c r="I721" s="339"/>
      <c r="J721" s="341"/>
      <c r="K721" s="340"/>
      <c r="L721" s="341"/>
      <c r="M721" s="340"/>
      <c r="N721" s="339"/>
      <c r="O721" s="339"/>
      <c r="P721" s="339"/>
      <c r="Q721" s="339"/>
      <c r="R721" s="339"/>
      <c r="S721" s="339"/>
      <c r="T721" s="339"/>
      <c r="U721" s="339"/>
      <c r="V721" s="339"/>
      <c r="W721" s="339"/>
      <c r="X721" s="339"/>
      <c r="Y721" s="339"/>
      <c r="Z721" s="339"/>
      <c r="AA721" s="339"/>
      <c r="AB721" s="341"/>
      <c r="AC721" s="341"/>
      <c r="AD721" s="341"/>
      <c r="AE721" s="339"/>
      <c r="AF721" s="339"/>
      <c r="AG721" s="341"/>
      <c r="AH721" s="339"/>
      <c r="AI721" s="341"/>
      <c r="AJ721" s="339"/>
      <c r="AK721" s="341"/>
      <c r="AL721" s="341"/>
      <c r="AM721" s="339"/>
      <c r="AN721" s="339"/>
      <c r="AO721" s="339"/>
      <c r="AP721" s="339"/>
      <c r="AQ721" s="339"/>
      <c r="AR721" s="339"/>
      <c r="AS721" s="339"/>
    </row>
    <row r="722" spans="1:45" ht="15.75" customHeight="1">
      <c r="A722" s="339"/>
      <c r="B722" s="339"/>
      <c r="C722" s="341"/>
      <c r="D722" s="341"/>
      <c r="E722" s="341"/>
      <c r="F722" s="340"/>
      <c r="G722" s="339"/>
      <c r="H722" s="339"/>
      <c r="I722" s="339"/>
      <c r="J722" s="341"/>
      <c r="K722" s="340"/>
      <c r="L722" s="341"/>
      <c r="M722" s="340"/>
      <c r="N722" s="339"/>
      <c r="O722" s="339"/>
      <c r="P722" s="339"/>
      <c r="Q722" s="339"/>
      <c r="R722" s="339"/>
      <c r="S722" s="339"/>
      <c r="T722" s="339"/>
      <c r="U722" s="339"/>
      <c r="V722" s="339"/>
      <c r="W722" s="339"/>
      <c r="X722" s="339"/>
      <c r="Y722" s="339"/>
      <c r="Z722" s="339"/>
      <c r="AA722" s="339"/>
      <c r="AB722" s="341"/>
      <c r="AC722" s="341"/>
      <c r="AD722" s="341"/>
      <c r="AE722" s="339"/>
      <c r="AF722" s="339"/>
      <c r="AG722" s="341"/>
      <c r="AH722" s="339"/>
      <c r="AI722" s="341"/>
      <c r="AJ722" s="339"/>
      <c r="AK722" s="341"/>
      <c r="AL722" s="341"/>
      <c r="AM722" s="339"/>
      <c r="AN722" s="339"/>
      <c r="AO722" s="339"/>
      <c r="AP722" s="339"/>
      <c r="AQ722" s="339"/>
      <c r="AR722" s="339"/>
      <c r="AS722" s="339"/>
    </row>
    <row r="723" spans="1:45" ht="15.75" customHeight="1">
      <c r="A723" s="339"/>
      <c r="B723" s="339"/>
      <c r="C723" s="341"/>
      <c r="D723" s="341"/>
      <c r="E723" s="341"/>
      <c r="F723" s="340"/>
      <c r="G723" s="339"/>
      <c r="H723" s="339"/>
      <c r="I723" s="339"/>
      <c r="J723" s="341"/>
      <c r="K723" s="340"/>
      <c r="L723" s="341"/>
      <c r="M723" s="340"/>
      <c r="N723" s="339"/>
      <c r="O723" s="339"/>
      <c r="P723" s="339"/>
      <c r="Q723" s="339"/>
      <c r="R723" s="339"/>
      <c r="S723" s="339"/>
      <c r="T723" s="339"/>
      <c r="U723" s="339"/>
      <c r="V723" s="339"/>
      <c r="W723" s="339"/>
      <c r="X723" s="339"/>
      <c r="Y723" s="339"/>
      <c r="Z723" s="339"/>
      <c r="AA723" s="339"/>
      <c r="AB723" s="341"/>
      <c r="AC723" s="341"/>
      <c r="AD723" s="341"/>
      <c r="AE723" s="339"/>
      <c r="AF723" s="339"/>
      <c r="AG723" s="341"/>
      <c r="AH723" s="339"/>
      <c r="AI723" s="341"/>
      <c r="AJ723" s="339"/>
      <c r="AK723" s="341"/>
      <c r="AL723" s="341"/>
      <c r="AM723" s="339"/>
      <c r="AN723" s="339"/>
      <c r="AO723" s="339"/>
      <c r="AP723" s="339"/>
      <c r="AQ723" s="339"/>
      <c r="AR723" s="339"/>
      <c r="AS723" s="339"/>
    </row>
    <row r="724" spans="1:45" ht="15.75" customHeight="1">
      <c r="A724" s="339"/>
      <c r="B724" s="339"/>
      <c r="C724" s="341"/>
      <c r="D724" s="341"/>
      <c r="E724" s="341"/>
      <c r="F724" s="340"/>
      <c r="G724" s="339"/>
      <c r="H724" s="339"/>
      <c r="I724" s="339"/>
      <c r="J724" s="341"/>
      <c r="K724" s="340"/>
      <c r="L724" s="341"/>
      <c r="M724" s="340"/>
      <c r="N724" s="339"/>
      <c r="O724" s="339"/>
      <c r="P724" s="339"/>
      <c r="Q724" s="339"/>
      <c r="R724" s="339"/>
      <c r="S724" s="339"/>
      <c r="T724" s="339"/>
      <c r="U724" s="339"/>
      <c r="V724" s="339"/>
      <c r="W724" s="339"/>
      <c r="X724" s="339"/>
      <c r="Y724" s="339"/>
      <c r="Z724" s="339"/>
      <c r="AA724" s="339"/>
      <c r="AB724" s="341"/>
      <c r="AC724" s="341"/>
      <c r="AD724" s="341"/>
      <c r="AE724" s="339"/>
      <c r="AF724" s="339"/>
      <c r="AG724" s="341"/>
      <c r="AH724" s="339"/>
      <c r="AI724" s="341"/>
      <c r="AJ724" s="339"/>
      <c r="AK724" s="341"/>
      <c r="AL724" s="341"/>
      <c r="AM724" s="339"/>
      <c r="AN724" s="339"/>
      <c r="AO724" s="339"/>
      <c r="AP724" s="339"/>
      <c r="AQ724" s="339"/>
      <c r="AR724" s="339"/>
      <c r="AS724" s="339"/>
    </row>
    <row r="725" spans="1:45" ht="15.75" customHeight="1">
      <c r="A725" s="339"/>
      <c r="B725" s="339"/>
      <c r="C725" s="341"/>
      <c r="D725" s="341"/>
      <c r="E725" s="341"/>
      <c r="F725" s="340"/>
      <c r="G725" s="339"/>
      <c r="H725" s="339"/>
      <c r="I725" s="339"/>
      <c r="J725" s="341"/>
      <c r="K725" s="340"/>
      <c r="L725" s="341"/>
      <c r="M725" s="340"/>
      <c r="N725" s="339"/>
      <c r="O725" s="339"/>
      <c r="P725" s="339"/>
      <c r="Q725" s="339"/>
      <c r="R725" s="339"/>
      <c r="S725" s="339"/>
      <c r="T725" s="339"/>
      <c r="U725" s="339"/>
      <c r="V725" s="339"/>
      <c r="W725" s="339"/>
      <c r="X725" s="339"/>
      <c r="Y725" s="339"/>
      <c r="Z725" s="339"/>
      <c r="AA725" s="339"/>
      <c r="AB725" s="341"/>
      <c r="AC725" s="341"/>
      <c r="AD725" s="341"/>
      <c r="AE725" s="339"/>
      <c r="AF725" s="339"/>
      <c r="AG725" s="341"/>
      <c r="AH725" s="339"/>
      <c r="AI725" s="341"/>
      <c r="AJ725" s="339"/>
      <c r="AK725" s="341"/>
      <c r="AL725" s="341"/>
      <c r="AM725" s="339"/>
      <c r="AN725" s="339"/>
      <c r="AO725" s="339"/>
      <c r="AP725" s="339"/>
      <c r="AQ725" s="339"/>
      <c r="AR725" s="339"/>
      <c r="AS725" s="339"/>
    </row>
    <row r="726" spans="1:45" ht="15.75" customHeight="1">
      <c r="A726" s="339"/>
      <c r="B726" s="339"/>
      <c r="C726" s="341"/>
      <c r="D726" s="341"/>
      <c r="E726" s="341"/>
      <c r="F726" s="340"/>
      <c r="G726" s="339"/>
      <c r="H726" s="339"/>
      <c r="I726" s="339"/>
      <c r="J726" s="341"/>
      <c r="K726" s="340"/>
      <c r="L726" s="341"/>
      <c r="M726" s="340"/>
      <c r="N726" s="339"/>
      <c r="O726" s="339"/>
      <c r="P726" s="339"/>
      <c r="Q726" s="339"/>
      <c r="R726" s="339"/>
      <c r="S726" s="339"/>
      <c r="T726" s="339"/>
      <c r="U726" s="339"/>
      <c r="V726" s="339"/>
      <c r="W726" s="339"/>
      <c r="X726" s="339"/>
      <c r="Y726" s="339"/>
      <c r="Z726" s="339"/>
      <c r="AA726" s="339"/>
      <c r="AB726" s="341"/>
      <c r="AC726" s="341"/>
      <c r="AD726" s="341"/>
      <c r="AE726" s="339"/>
      <c r="AF726" s="339"/>
      <c r="AG726" s="341"/>
      <c r="AH726" s="339"/>
      <c r="AI726" s="341"/>
      <c r="AJ726" s="339"/>
      <c r="AK726" s="341"/>
      <c r="AL726" s="341"/>
      <c r="AM726" s="339"/>
      <c r="AN726" s="339"/>
      <c r="AO726" s="339"/>
      <c r="AP726" s="339"/>
      <c r="AQ726" s="339"/>
      <c r="AR726" s="339"/>
      <c r="AS726" s="339"/>
    </row>
    <row r="727" spans="1:45" ht="15.75" customHeight="1">
      <c r="A727" s="339"/>
      <c r="B727" s="339"/>
      <c r="C727" s="341"/>
      <c r="D727" s="341"/>
      <c r="E727" s="341"/>
      <c r="F727" s="340"/>
      <c r="G727" s="339"/>
      <c r="H727" s="339"/>
      <c r="I727" s="339"/>
      <c r="J727" s="341"/>
      <c r="K727" s="340"/>
      <c r="L727" s="341"/>
      <c r="M727" s="340"/>
      <c r="N727" s="339"/>
      <c r="O727" s="339"/>
      <c r="P727" s="339"/>
      <c r="Q727" s="339"/>
      <c r="R727" s="339"/>
      <c r="S727" s="339"/>
      <c r="T727" s="339"/>
      <c r="U727" s="339"/>
      <c r="V727" s="339"/>
      <c r="W727" s="339"/>
      <c r="X727" s="339"/>
      <c r="Y727" s="339"/>
      <c r="Z727" s="339"/>
      <c r="AA727" s="339"/>
      <c r="AB727" s="341"/>
      <c r="AC727" s="341"/>
      <c r="AD727" s="341"/>
      <c r="AE727" s="339"/>
      <c r="AF727" s="339"/>
      <c r="AG727" s="341"/>
      <c r="AH727" s="339"/>
      <c r="AI727" s="341"/>
      <c r="AJ727" s="339"/>
      <c r="AK727" s="341"/>
      <c r="AL727" s="341"/>
      <c r="AM727" s="339"/>
      <c r="AN727" s="339"/>
      <c r="AO727" s="339"/>
      <c r="AP727" s="339"/>
      <c r="AQ727" s="339"/>
      <c r="AR727" s="339"/>
      <c r="AS727" s="339"/>
    </row>
    <row r="728" spans="1:45" ht="15.75" customHeight="1">
      <c r="A728" s="339"/>
      <c r="B728" s="339"/>
      <c r="C728" s="341"/>
      <c r="D728" s="341"/>
      <c r="E728" s="341"/>
      <c r="F728" s="340"/>
      <c r="G728" s="339"/>
      <c r="H728" s="339"/>
      <c r="I728" s="339"/>
      <c r="J728" s="341"/>
      <c r="K728" s="340"/>
      <c r="L728" s="341"/>
      <c r="M728" s="340"/>
      <c r="N728" s="339"/>
      <c r="O728" s="339"/>
      <c r="P728" s="339"/>
      <c r="Q728" s="339"/>
      <c r="R728" s="339"/>
      <c r="S728" s="339"/>
      <c r="T728" s="339"/>
      <c r="U728" s="339"/>
      <c r="V728" s="339"/>
      <c r="W728" s="339"/>
      <c r="X728" s="339"/>
      <c r="Y728" s="339"/>
      <c r="Z728" s="339"/>
      <c r="AA728" s="339"/>
      <c r="AB728" s="341"/>
      <c r="AC728" s="341"/>
      <c r="AD728" s="341"/>
      <c r="AE728" s="339"/>
      <c r="AF728" s="339"/>
      <c r="AG728" s="341"/>
      <c r="AH728" s="339"/>
      <c r="AI728" s="341"/>
      <c r="AJ728" s="339"/>
      <c r="AK728" s="341"/>
      <c r="AL728" s="341"/>
      <c r="AM728" s="339"/>
      <c r="AN728" s="339"/>
      <c r="AO728" s="339"/>
      <c r="AP728" s="339"/>
      <c r="AQ728" s="339"/>
      <c r="AR728" s="339"/>
      <c r="AS728" s="339"/>
    </row>
    <row r="729" spans="1:45" ht="15.75" customHeight="1">
      <c r="A729" s="339"/>
      <c r="B729" s="339"/>
      <c r="C729" s="341"/>
      <c r="D729" s="341"/>
      <c r="E729" s="341"/>
      <c r="F729" s="340"/>
      <c r="G729" s="339"/>
      <c r="H729" s="339"/>
      <c r="I729" s="339"/>
      <c r="J729" s="341"/>
      <c r="K729" s="340"/>
      <c r="L729" s="341"/>
      <c r="M729" s="340"/>
      <c r="N729" s="339"/>
      <c r="O729" s="339"/>
      <c r="P729" s="339"/>
      <c r="Q729" s="339"/>
      <c r="R729" s="339"/>
      <c r="S729" s="339"/>
      <c r="T729" s="339"/>
      <c r="U729" s="339"/>
      <c r="V729" s="339"/>
      <c r="W729" s="339"/>
      <c r="X729" s="339"/>
      <c r="Y729" s="339"/>
      <c r="Z729" s="339"/>
      <c r="AA729" s="339"/>
      <c r="AB729" s="341"/>
      <c r="AC729" s="341"/>
      <c r="AD729" s="341"/>
      <c r="AE729" s="339"/>
      <c r="AF729" s="339"/>
      <c r="AG729" s="341"/>
      <c r="AH729" s="339"/>
      <c r="AI729" s="341"/>
      <c r="AJ729" s="339"/>
      <c r="AK729" s="341"/>
      <c r="AL729" s="341"/>
      <c r="AM729" s="339"/>
      <c r="AN729" s="339"/>
      <c r="AO729" s="339"/>
      <c r="AP729" s="339"/>
      <c r="AQ729" s="339"/>
      <c r="AR729" s="339"/>
      <c r="AS729" s="339"/>
    </row>
    <row r="730" spans="1:45" ht="15.75" customHeight="1">
      <c r="A730" s="339"/>
      <c r="B730" s="339"/>
      <c r="C730" s="341"/>
      <c r="D730" s="341"/>
      <c r="E730" s="341"/>
      <c r="F730" s="340"/>
      <c r="G730" s="339"/>
      <c r="H730" s="339"/>
      <c r="I730" s="339"/>
      <c r="J730" s="341"/>
      <c r="K730" s="340"/>
      <c r="L730" s="341"/>
      <c r="M730" s="340"/>
      <c r="N730" s="339"/>
      <c r="O730" s="339"/>
      <c r="P730" s="339"/>
      <c r="Q730" s="339"/>
      <c r="R730" s="339"/>
      <c r="S730" s="339"/>
      <c r="T730" s="339"/>
      <c r="U730" s="339"/>
      <c r="V730" s="339"/>
      <c r="W730" s="339"/>
      <c r="X730" s="339"/>
      <c r="Y730" s="339"/>
      <c r="Z730" s="339"/>
      <c r="AA730" s="339"/>
      <c r="AB730" s="341"/>
      <c r="AC730" s="341"/>
      <c r="AD730" s="341"/>
      <c r="AE730" s="339"/>
      <c r="AF730" s="339"/>
      <c r="AG730" s="341"/>
      <c r="AH730" s="339"/>
      <c r="AI730" s="341"/>
      <c r="AJ730" s="339"/>
      <c r="AK730" s="341"/>
      <c r="AL730" s="341"/>
      <c r="AM730" s="339"/>
      <c r="AN730" s="339"/>
      <c r="AO730" s="339"/>
      <c r="AP730" s="339"/>
      <c r="AQ730" s="339"/>
      <c r="AR730" s="339"/>
      <c r="AS730" s="339"/>
    </row>
    <row r="731" spans="1:45" ht="15.75" customHeight="1">
      <c r="A731" s="339"/>
      <c r="B731" s="339"/>
      <c r="C731" s="341"/>
      <c r="D731" s="341"/>
      <c r="E731" s="341"/>
      <c r="F731" s="340"/>
      <c r="G731" s="339"/>
      <c r="H731" s="339"/>
      <c r="I731" s="339"/>
      <c r="J731" s="341"/>
      <c r="K731" s="340"/>
      <c r="L731" s="341"/>
      <c r="M731" s="340"/>
      <c r="N731" s="339"/>
      <c r="O731" s="339"/>
      <c r="P731" s="339"/>
      <c r="Q731" s="339"/>
      <c r="R731" s="339"/>
      <c r="S731" s="339"/>
      <c r="T731" s="339"/>
      <c r="U731" s="339"/>
      <c r="V731" s="339"/>
      <c r="W731" s="339"/>
      <c r="X731" s="339"/>
      <c r="Y731" s="339"/>
      <c r="Z731" s="339"/>
      <c r="AA731" s="339"/>
      <c r="AB731" s="341"/>
      <c r="AC731" s="341"/>
      <c r="AD731" s="341"/>
      <c r="AE731" s="339"/>
      <c r="AF731" s="339"/>
      <c r="AG731" s="341"/>
      <c r="AH731" s="339"/>
      <c r="AI731" s="341"/>
      <c r="AJ731" s="339"/>
      <c r="AK731" s="341"/>
      <c r="AL731" s="341"/>
      <c r="AM731" s="339"/>
      <c r="AN731" s="339"/>
      <c r="AO731" s="339"/>
      <c r="AP731" s="339"/>
      <c r="AQ731" s="339"/>
      <c r="AR731" s="339"/>
      <c r="AS731" s="339"/>
    </row>
    <row r="732" spans="1:45" ht="15.75" customHeight="1">
      <c r="A732" s="339"/>
      <c r="B732" s="339"/>
      <c r="C732" s="341"/>
      <c r="D732" s="341"/>
      <c r="E732" s="341"/>
      <c r="F732" s="340"/>
      <c r="G732" s="339"/>
      <c r="H732" s="339"/>
      <c r="I732" s="339"/>
      <c r="J732" s="341"/>
      <c r="K732" s="340"/>
      <c r="L732" s="341"/>
      <c r="M732" s="340"/>
      <c r="N732" s="339"/>
      <c r="O732" s="339"/>
      <c r="P732" s="339"/>
      <c r="Q732" s="339"/>
      <c r="R732" s="339"/>
      <c r="S732" s="339"/>
      <c r="T732" s="339"/>
      <c r="U732" s="339"/>
      <c r="V732" s="339"/>
      <c r="W732" s="339"/>
      <c r="X732" s="339"/>
      <c r="Y732" s="339"/>
      <c r="Z732" s="339"/>
      <c r="AA732" s="339"/>
      <c r="AB732" s="341"/>
      <c r="AC732" s="341"/>
      <c r="AD732" s="341"/>
      <c r="AE732" s="339"/>
      <c r="AF732" s="339"/>
      <c r="AG732" s="341"/>
      <c r="AH732" s="339"/>
      <c r="AI732" s="341"/>
      <c r="AJ732" s="339"/>
      <c r="AK732" s="341"/>
      <c r="AL732" s="341"/>
      <c r="AM732" s="339"/>
      <c r="AN732" s="339"/>
      <c r="AO732" s="339"/>
      <c r="AP732" s="339"/>
      <c r="AQ732" s="339"/>
      <c r="AR732" s="339"/>
      <c r="AS732" s="339"/>
    </row>
    <row r="733" spans="1:45" ht="15.75" customHeight="1">
      <c r="A733" s="339"/>
      <c r="B733" s="339"/>
      <c r="C733" s="341"/>
      <c r="D733" s="341"/>
      <c r="E733" s="341"/>
      <c r="F733" s="340"/>
      <c r="G733" s="339"/>
      <c r="H733" s="339"/>
      <c r="I733" s="339"/>
      <c r="J733" s="341"/>
      <c r="K733" s="340"/>
      <c r="L733" s="341"/>
      <c r="M733" s="340"/>
      <c r="N733" s="339"/>
      <c r="O733" s="339"/>
      <c r="P733" s="339"/>
      <c r="Q733" s="339"/>
      <c r="R733" s="339"/>
      <c r="S733" s="339"/>
      <c r="T733" s="339"/>
      <c r="U733" s="339"/>
      <c r="V733" s="339"/>
      <c r="W733" s="339"/>
      <c r="X733" s="339"/>
      <c r="Y733" s="339"/>
      <c r="Z733" s="339"/>
      <c r="AA733" s="339"/>
      <c r="AB733" s="341"/>
      <c r="AC733" s="341"/>
      <c r="AD733" s="341"/>
      <c r="AE733" s="339"/>
      <c r="AF733" s="339"/>
      <c r="AG733" s="341"/>
      <c r="AH733" s="339"/>
      <c r="AI733" s="341"/>
      <c r="AJ733" s="339"/>
      <c r="AK733" s="341"/>
      <c r="AL733" s="341"/>
      <c r="AM733" s="339"/>
      <c r="AN733" s="339"/>
      <c r="AO733" s="339"/>
      <c r="AP733" s="339"/>
      <c r="AQ733" s="339"/>
      <c r="AR733" s="339"/>
      <c r="AS733" s="339"/>
    </row>
    <row r="734" spans="1:45" ht="15.75" customHeight="1">
      <c r="A734" s="339"/>
      <c r="B734" s="339"/>
      <c r="C734" s="341"/>
      <c r="D734" s="341"/>
      <c r="E734" s="341"/>
      <c r="F734" s="340"/>
      <c r="G734" s="339"/>
      <c r="H734" s="339"/>
      <c r="I734" s="339"/>
      <c r="J734" s="341"/>
      <c r="K734" s="340"/>
      <c r="L734" s="341"/>
      <c r="M734" s="340"/>
      <c r="N734" s="339"/>
      <c r="O734" s="339"/>
      <c r="P734" s="339"/>
      <c r="Q734" s="339"/>
      <c r="R734" s="339"/>
      <c r="S734" s="339"/>
      <c r="T734" s="339"/>
      <c r="U734" s="339"/>
      <c r="V734" s="339"/>
      <c r="W734" s="339"/>
      <c r="X734" s="339"/>
      <c r="Y734" s="339"/>
      <c r="Z734" s="339"/>
      <c r="AA734" s="339"/>
      <c r="AB734" s="341"/>
      <c r="AC734" s="341"/>
      <c r="AD734" s="341"/>
      <c r="AE734" s="339"/>
      <c r="AF734" s="339"/>
      <c r="AG734" s="341"/>
      <c r="AH734" s="339"/>
      <c r="AI734" s="341"/>
      <c r="AJ734" s="339"/>
      <c r="AK734" s="341"/>
      <c r="AL734" s="341"/>
      <c r="AM734" s="339"/>
      <c r="AN734" s="339"/>
      <c r="AO734" s="339"/>
      <c r="AP734" s="339"/>
      <c r="AQ734" s="339"/>
      <c r="AR734" s="339"/>
      <c r="AS734" s="339"/>
    </row>
    <row r="735" spans="1:45" ht="15.75" customHeight="1">
      <c r="A735" s="339"/>
      <c r="B735" s="339"/>
      <c r="C735" s="341"/>
      <c r="D735" s="341"/>
      <c r="E735" s="341"/>
      <c r="F735" s="340"/>
      <c r="G735" s="339"/>
      <c r="H735" s="339"/>
      <c r="I735" s="339"/>
      <c r="J735" s="341"/>
      <c r="K735" s="340"/>
      <c r="L735" s="341"/>
      <c r="M735" s="340"/>
      <c r="N735" s="339"/>
      <c r="O735" s="339"/>
      <c r="P735" s="339"/>
      <c r="Q735" s="339"/>
      <c r="R735" s="339"/>
      <c r="S735" s="339"/>
      <c r="T735" s="339"/>
      <c r="U735" s="339"/>
      <c r="V735" s="339"/>
      <c r="W735" s="339"/>
      <c r="X735" s="339"/>
      <c r="Y735" s="339"/>
      <c r="Z735" s="339"/>
      <c r="AA735" s="339"/>
      <c r="AB735" s="341"/>
      <c r="AC735" s="341"/>
      <c r="AD735" s="341"/>
      <c r="AE735" s="339"/>
      <c r="AF735" s="339"/>
      <c r="AG735" s="341"/>
      <c r="AH735" s="339"/>
      <c r="AI735" s="341"/>
      <c r="AJ735" s="339"/>
      <c r="AK735" s="341"/>
      <c r="AL735" s="341"/>
      <c r="AM735" s="339"/>
      <c r="AN735" s="339"/>
      <c r="AO735" s="339"/>
      <c r="AP735" s="339"/>
      <c r="AQ735" s="339"/>
      <c r="AR735" s="339"/>
      <c r="AS735" s="339"/>
    </row>
    <row r="736" spans="1:45" ht="15.75" customHeight="1">
      <c r="A736" s="339"/>
      <c r="B736" s="339"/>
      <c r="C736" s="341"/>
      <c r="D736" s="341"/>
      <c r="E736" s="341"/>
      <c r="F736" s="340"/>
      <c r="G736" s="339"/>
      <c r="H736" s="339"/>
      <c r="I736" s="339"/>
      <c r="J736" s="341"/>
      <c r="K736" s="340"/>
      <c r="L736" s="341"/>
      <c r="M736" s="340"/>
      <c r="N736" s="339"/>
      <c r="O736" s="339"/>
      <c r="P736" s="339"/>
      <c r="Q736" s="339"/>
      <c r="R736" s="339"/>
      <c r="S736" s="339"/>
      <c r="T736" s="339"/>
      <c r="U736" s="339"/>
      <c r="V736" s="339"/>
      <c r="W736" s="339"/>
      <c r="X736" s="339"/>
      <c r="Y736" s="339"/>
      <c r="Z736" s="339"/>
      <c r="AA736" s="339"/>
      <c r="AB736" s="341"/>
      <c r="AC736" s="341"/>
      <c r="AD736" s="341"/>
      <c r="AE736" s="339"/>
      <c r="AF736" s="339"/>
      <c r="AG736" s="341"/>
      <c r="AH736" s="339"/>
      <c r="AI736" s="341"/>
      <c r="AJ736" s="339"/>
      <c r="AK736" s="341"/>
      <c r="AL736" s="341"/>
      <c r="AM736" s="339"/>
      <c r="AN736" s="339"/>
      <c r="AO736" s="339"/>
      <c r="AP736" s="339"/>
      <c r="AQ736" s="339"/>
      <c r="AR736" s="339"/>
      <c r="AS736" s="339"/>
    </row>
    <row r="737" spans="1:45" ht="15.75" customHeight="1">
      <c r="A737" s="339"/>
      <c r="B737" s="339"/>
      <c r="C737" s="341"/>
      <c r="D737" s="341"/>
      <c r="E737" s="341"/>
      <c r="F737" s="340"/>
      <c r="G737" s="339"/>
      <c r="H737" s="339"/>
      <c r="I737" s="339"/>
      <c r="J737" s="341"/>
      <c r="K737" s="340"/>
      <c r="L737" s="341"/>
      <c r="M737" s="340"/>
      <c r="N737" s="339"/>
      <c r="O737" s="339"/>
      <c r="P737" s="339"/>
      <c r="Q737" s="339"/>
      <c r="R737" s="339"/>
      <c r="S737" s="339"/>
      <c r="T737" s="339"/>
      <c r="U737" s="339"/>
      <c r="V737" s="339"/>
      <c r="W737" s="339"/>
      <c r="X737" s="339"/>
      <c r="Y737" s="339"/>
      <c r="Z737" s="339"/>
      <c r="AA737" s="339"/>
      <c r="AB737" s="341"/>
      <c r="AC737" s="341"/>
      <c r="AD737" s="341"/>
      <c r="AE737" s="339"/>
      <c r="AF737" s="339"/>
      <c r="AG737" s="341"/>
      <c r="AH737" s="339"/>
      <c r="AI737" s="341"/>
      <c r="AJ737" s="339"/>
      <c r="AK737" s="341"/>
      <c r="AL737" s="341"/>
      <c r="AM737" s="339"/>
      <c r="AN737" s="339"/>
      <c r="AO737" s="339"/>
      <c r="AP737" s="339"/>
      <c r="AQ737" s="339"/>
      <c r="AR737" s="339"/>
      <c r="AS737" s="339"/>
    </row>
    <row r="738" spans="1:45" ht="15.75" customHeight="1">
      <c r="A738" s="339"/>
      <c r="B738" s="339"/>
      <c r="C738" s="341"/>
      <c r="D738" s="341"/>
      <c r="E738" s="341"/>
      <c r="F738" s="340"/>
      <c r="G738" s="339"/>
      <c r="H738" s="339"/>
      <c r="I738" s="339"/>
      <c r="J738" s="341"/>
      <c r="K738" s="340"/>
      <c r="L738" s="341"/>
      <c r="M738" s="340"/>
      <c r="N738" s="339"/>
      <c r="O738" s="339"/>
      <c r="P738" s="339"/>
      <c r="Q738" s="339"/>
      <c r="R738" s="339"/>
      <c r="S738" s="339"/>
      <c r="T738" s="339"/>
      <c r="U738" s="339"/>
      <c r="V738" s="339"/>
      <c r="W738" s="339"/>
      <c r="X738" s="339"/>
      <c r="Y738" s="339"/>
      <c r="Z738" s="339"/>
      <c r="AA738" s="339"/>
      <c r="AB738" s="341"/>
      <c r="AC738" s="341"/>
      <c r="AD738" s="341"/>
      <c r="AE738" s="339"/>
      <c r="AF738" s="339"/>
      <c r="AG738" s="341"/>
      <c r="AH738" s="339"/>
      <c r="AI738" s="341"/>
      <c r="AJ738" s="339"/>
      <c r="AK738" s="341"/>
      <c r="AL738" s="341"/>
      <c r="AM738" s="339"/>
      <c r="AN738" s="339"/>
      <c r="AO738" s="339"/>
      <c r="AP738" s="339"/>
      <c r="AQ738" s="339"/>
      <c r="AR738" s="339"/>
      <c r="AS738" s="339"/>
    </row>
    <row r="739" spans="1:45" ht="15.75" customHeight="1">
      <c r="A739" s="339"/>
      <c r="B739" s="339"/>
      <c r="C739" s="341"/>
      <c r="D739" s="341"/>
      <c r="E739" s="341"/>
      <c r="F739" s="340"/>
      <c r="G739" s="339"/>
      <c r="H739" s="339"/>
      <c r="I739" s="339"/>
      <c r="J739" s="341"/>
      <c r="K739" s="340"/>
      <c r="L739" s="341"/>
      <c r="M739" s="340"/>
      <c r="N739" s="339"/>
      <c r="O739" s="339"/>
      <c r="P739" s="339"/>
      <c r="Q739" s="339"/>
      <c r="R739" s="339"/>
      <c r="S739" s="339"/>
      <c r="T739" s="339"/>
      <c r="U739" s="339"/>
      <c r="V739" s="339"/>
      <c r="W739" s="339"/>
      <c r="X739" s="339"/>
      <c r="Y739" s="339"/>
      <c r="Z739" s="339"/>
      <c r="AA739" s="339"/>
      <c r="AB739" s="341"/>
      <c r="AC739" s="341"/>
      <c r="AD739" s="341"/>
      <c r="AE739" s="339"/>
      <c r="AF739" s="339"/>
      <c r="AG739" s="341"/>
      <c r="AH739" s="339"/>
      <c r="AI739" s="341"/>
      <c r="AJ739" s="339"/>
      <c r="AK739" s="341"/>
      <c r="AL739" s="341"/>
      <c r="AM739" s="339"/>
      <c r="AN739" s="339"/>
      <c r="AO739" s="339"/>
      <c r="AP739" s="339"/>
      <c r="AQ739" s="339"/>
      <c r="AR739" s="339"/>
      <c r="AS739" s="339"/>
    </row>
    <row r="740" spans="1:45" ht="15.75" customHeight="1">
      <c r="A740" s="339"/>
      <c r="B740" s="339"/>
      <c r="C740" s="341"/>
      <c r="D740" s="341"/>
      <c r="E740" s="341"/>
      <c r="F740" s="340"/>
      <c r="G740" s="339"/>
      <c r="H740" s="339"/>
      <c r="I740" s="339"/>
      <c r="J740" s="341"/>
      <c r="K740" s="340"/>
      <c r="L740" s="341"/>
      <c r="M740" s="340"/>
      <c r="N740" s="339"/>
      <c r="O740" s="339"/>
      <c r="P740" s="339"/>
      <c r="Q740" s="339"/>
      <c r="R740" s="339"/>
      <c r="S740" s="339"/>
      <c r="T740" s="339"/>
      <c r="U740" s="339"/>
      <c r="V740" s="339"/>
      <c r="W740" s="339"/>
      <c r="X740" s="339"/>
      <c r="Y740" s="339"/>
      <c r="Z740" s="339"/>
      <c r="AA740" s="339"/>
      <c r="AB740" s="341"/>
      <c r="AC740" s="341"/>
      <c r="AD740" s="341"/>
      <c r="AE740" s="339"/>
      <c r="AF740" s="339"/>
      <c r="AG740" s="341"/>
      <c r="AH740" s="339"/>
      <c r="AI740" s="341"/>
      <c r="AJ740" s="339"/>
      <c r="AK740" s="341"/>
      <c r="AL740" s="341"/>
      <c r="AM740" s="339"/>
      <c r="AN740" s="339"/>
      <c r="AO740" s="339"/>
      <c r="AP740" s="339"/>
      <c r="AQ740" s="339"/>
      <c r="AR740" s="339"/>
      <c r="AS740" s="339"/>
    </row>
    <row r="741" spans="1:45" ht="15.75" customHeight="1">
      <c r="A741" s="339"/>
      <c r="B741" s="339"/>
      <c r="C741" s="341"/>
      <c r="D741" s="341"/>
      <c r="E741" s="341"/>
      <c r="F741" s="340"/>
      <c r="G741" s="339"/>
      <c r="H741" s="339"/>
      <c r="I741" s="339"/>
      <c r="J741" s="341"/>
      <c r="K741" s="340"/>
      <c r="L741" s="341"/>
      <c r="M741" s="340"/>
      <c r="N741" s="339"/>
      <c r="O741" s="339"/>
      <c r="P741" s="339"/>
      <c r="Q741" s="339"/>
      <c r="R741" s="339"/>
      <c r="S741" s="339"/>
      <c r="T741" s="339"/>
      <c r="U741" s="339"/>
      <c r="V741" s="339"/>
      <c r="W741" s="339"/>
      <c r="X741" s="339"/>
      <c r="Y741" s="339"/>
      <c r="Z741" s="339"/>
      <c r="AA741" s="339"/>
      <c r="AB741" s="341"/>
      <c r="AC741" s="341"/>
      <c r="AD741" s="341"/>
      <c r="AE741" s="339"/>
      <c r="AF741" s="339"/>
      <c r="AG741" s="341"/>
      <c r="AH741" s="339"/>
      <c r="AI741" s="341"/>
      <c r="AJ741" s="339"/>
      <c r="AK741" s="341"/>
      <c r="AL741" s="341"/>
      <c r="AM741" s="339"/>
      <c r="AN741" s="339"/>
      <c r="AO741" s="339"/>
      <c r="AP741" s="339"/>
      <c r="AQ741" s="339"/>
      <c r="AR741" s="339"/>
      <c r="AS741" s="339"/>
    </row>
    <row r="742" spans="1:45" ht="15.75" customHeight="1">
      <c r="A742" s="339"/>
      <c r="B742" s="339"/>
      <c r="C742" s="341"/>
      <c r="D742" s="341"/>
      <c r="E742" s="341"/>
      <c r="F742" s="340"/>
      <c r="G742" s="339"/>
      <c r="H742" s="339"/>
      <c r="I742" s="339"/>
      <c r="J742" s="341"/>
      <c r="K742" s="340"/>
      <c r="L742" s="341"/>
      <c r="M742" s="340"/>
      <c r="N742" s="339"/>
      <c r="O742" s="339"/>
      <c r="P742" s="339"/>
      <c r="Q742" s="339"/>
      <c r="R742" s="339"/>
      <c r="S742" s="339"/>
      <c r="T742" s="339"/>
      <c r="U742" s="339"/>
      <c r="V742" s="339"/>
      <c r="W742" s="339"/>
      <c r="X742" s="339"/>
      <c r="Y742" s="339"/>
      <c r="Z742" s="339"/>
      <c r="AA742" s="339"/>
      <c r="AB742" s="341"/>
      <c r="AC742" s="341"/>
      <c r="AD742" s="341"/>
      <c r="AE742" s="339"/>
      <c r="AF742" s="339"/>
      <c r="AG742" s="341"/>
      <c r="AH742" s="339"/>
      <c r="AI742" s="341"/>
      <c r="AJ742" s="339"/>
      <c r="AK742" s="341"/>
      <c r="AL742" s="341"/>
      <c r="AM742" s="339"/>
      <c r="AN742" s="339"/>
      <c r="AO742" s="339"/>
      <c r="AP742" s="339"/>
      <c r="AQ742" s="339"/>
      <c r="AR742" s="339"/>
      <c r="AS742" s="339"/>
    </row>
    <row r="743" spans="1:45" ht="15.75" customHeight="1">
      <c r="A743" s="339"/>
      <c r="B743" s="339"/>
      <c r="C743" s="341"/>
      <c r="D743" s="341"/>
      <c r="E743" s="341"/>
      <c r="F743" s="340"/>
      <c r="G743" s="339"/>
      <c r="H743" s="339"/>
      <c r="I743" s="339"/>
      <c r="J743" s="341"/>
      <c r="K743" s="340"/>
      <c r="L743" s="341"/>
      <c r="M743" s="340"/>
      <c r="N743" s="339"/>
      <c r="O743" s="339"/>
      <c r="P743" s="339"/>
      <c r="Q743" s="339"/>
      <c r="R743" s="339"/>
      <c r="S743" s="339"/>
      <c r="T743" s="339"/>
      <c r="U743" s="339"/>
      <c r="V743" s="339"/>
      <c r="W743" s="339"/>
      <c r="X743" s="339"/>
      <c r="Y743" s="339"/>
      <c r="Z743" s="339"/>
      <c r="AA743" s="339"/>
      <c r="AB743" s="341"/>
      <c r="AC743" s="341"/>
      <c r="AD743" s="341"/>
      <c r="AE743" s="339"/>
      <c r="AF743" s="339"/>
      <c r="AG743" s="341"/>
      <c r="AH743" s="339"/>
      <c r="AI743" s="341"/>
      <c r="AJ743" s="339"/>
      <c r="AK743" s="341"/>
      <c r="AL743" s="341"/>
      <c r="AM743" s="339"/>
      <c r="AN743" s="339"/>
      <c r="AO743" s="339"/>
      <c r="AP743" s="339"/>
      <c r="AQ743" s="339"/>
      <c r="AR743" s="339"/>
      <c r="AS743" s="339"/>
    </row>
    <row r="744" spans="1:45" ht="15.75" customHeight="1">
      <c r="A744" s="339"/>
      <c r="B744" s="339"/>
      <c r="C744" s="341"/>
      <c r="D744" s="341"/>
      <c r="E744" s="341"/>
      <c r="F744" s="340"/>
      <c r="G744" s="339"/>
      <c r="H744" s="339"/>
      <c r="I744" s="339"/>
      <c r="J744" s="341"/>
      <c r="K744" s="340"/>
      <c r="L744" s="341"/>
      <c r="M744" s="340"/>
      <c r="N744" s="339"/>
      <c r="O744" s="339"/>
      <c r="P744" s="339"/>
      <c r="Q744" s="339"/>
      <c r="R744" s="339"/>
      <c r="S744" s="339"/>
      <c r="T744" s="339"/>
      <c r="U744" s="339"/>
      <c r="V744" s="339"/>
      <c r="W744" s="339"/>
      <c r="X744" s="339"/>
      <c r="Y744" s="339"/>
      <c r="Z744" s="339"/>
      <c r="AA744" s="339"/>
      <c r="AB744" s="341"/>
      <c r="AC744" s="341"/>
      <c r="AD744" s="341"/>
      <c r="AE744" s="339"/>
      <c r="AF744" s="339"/>
      <c r="AG744" s="341"/>
      <c r="AH744" s="339"/>
      <c r="AI744" s="341"/>
      <c r="AJ744" s="339"/>
      <c r="AK744" s="341"/>
      <c r="AL744" s="341"/>
      <c r="AM744" s="339"/>
      <c r="AN744" s="339"/>
      <c r="AO744" s="339"/>
      <c r="AP744" s="339"/>
      <c r="AQ744" s="339"/>
      <c r="AR744" s="339"/>
      <c r="AS744" s="339"/>
    </row>
    <row r="745" spans="1:45" ht="15.75" customHeight="1">
      <c r="A745" s="339"/>
      <c r="B745" s="339"/>
      <c r="C745" s="341"/>
      <c r="D745" s="341"/>
      <c r="E745" s="341"/>
      <c r="F745" s="340"/>
      <c r="G745" s="339"/>
      <c r="H745" s="339"/>
      <c r="I745" s="339"/>
      <c r="J745" s="341"/>
      <c r="K745" s="340"/>
      <c r="L745" s="341"/>
      <c r="M745" s="340"/>
      <c r="N745" s="339"/>
      <c r="O745" s="339"/>
      <c r="P745" s="339"/>
      <c r="Q745" s="339"/>
      <c r="R745" s="339"/>
      <c r="S745" s="339"/>
      <c r="T745" s="339"/>
      <c r="U745" s="339"/>
      <c r="V745" s="339"/>
      <c r="W745" s="339"/>
      <c r="X745" s="339"/>
      <c r="Y745" s="339"/>
      <c r="Z745" s="339"/>
      <c r="AA745" s="339"/>
      <c r="AB745" s="341"/>
      <c r="AC745" s="341"/>
      <c r="AD745" s="341"/>
      <c r="AE745" s="339"/>
      <c r="AF745" s="339"/>
      <c r="AG745" s="341"/>
      <c r="AH745" s="339"/>
      <c r="AI745" s="341"/>
      <c r="AJ745" s="339"/>
      <c r="AK745" s="341"/>
      <c r="AL745" s="341"/>
      <c r="AM745" s="339"/>
      <c r="AN745" s="339"/>
      <c r="AO745" s="339"/>
      <c r="AP745" s="339"/>
      <c r="AQ745" s="339"/>
      <c r="AR745" s="339"/>
      <c r="AS745" s="339"/>
    </row>
    <row r="746" spans="1:45" ht="15.75" customHeight="1">
      <c r="A746" s="339"/>
      <c r="B746" s="339"/>
      <c r="C746" s="341"/>
      <c r="D746" s="341"/>
      <c r="E746" s="341"/>
      <c r="F746" s="340"/>
      <c r="G746" s="339"/>
      <c r="H746" s="339"/>
      <c r="I746" s="339"/>
      <c r="J746" s="341"/>
      <c r="K746" s="340"/>
      <c r="L746" s="341"/>
      <c r="M746" s="340"/>
      <c r="N746" s="339"/>
      <c r="O746" s="339"/>
      <c r="P746" s="339"/>
      <c r="Q746" s="339"/>
      <c r="R746" s="339"/>
      <c r="S746" s="339"/>
      <c r="T746" s="339"/>
      <c r="U746" s="339"/>
      <c r="V746" s="339"/>
      <c r="W746" s="339"/>
      <c r="X746" s="339"/>
      <c r="Y746" s="339"/>
      <c r="Z746" s="339"/>
      <c r="AA746" s="339"/>
      <c r="AB746" s="341"/>
      <c r="AC746" s="341"/>
      <c r="AD746" s="341"/>
      <c r="AE746" s="339"/>
      <c r="AF746" s="339"/>
      <c r="AG746" s="341"/>
      <c r="AH746" s="339"/>
      <c r="AI746" s="341"/>
      <c r="AJ746" s="339"/>
      <c r="AK746" s="341"/>
      <c r="AL746" s="341"/>
      <c r="AM746" s="339"/>
      <c r="AN746" s="339"/>
      <c r="AO746" s="339"/>
      <c r="AP746" s="339"/>
      <c r="AQ746" s="339"/>
      <c r="AR746" s="339"/>
      <c r="AS746" s="339"/>
    </row>
    <row r="747" spans="1:45" ht="15.75" customHeight="1">
      <c r="A747" s="339"/>
      <c r="B747" s="339"/>
      <c r="C747" s="341"/>
      <c r="D747" s="341"/>
      <c r="E747" s="341"/>
      <c r="F747" s="340"/>
      <c r="G747" s="339"/>
      <c r="H747" s="339"/>
      <c r="I747" s="339"/>
      <c r="J747" s="341"/>
      <c r="K747" s="340"/>
      <c r="L747" s="341"/>
      <c r="M747" s="340"/>
      <c r="N747" s="339"/>
      <c r="O747" s="339"/>
      <c r="P747" s="339"/>
      <c r="Q747" s="339"/>
      <c r="R747" s="339"/>
      <c r="S747" s="339"/>
      <c r="T747" s="339"/>
      <c r="U747" s="339"/>
      <c r="V747" s="339"/>
      <c r="W747" s="339"/>
      <c r="X747" s="339"/>
      <c r="Y747" s="339"/>
      <c r="Z747" s="339"/>
      <c r="AA747" s="339"/>
      <c r="AB747" s="341"/>
      <c r="AC747" s="341"/>
      <c r="AD747" s="341"/>
      <c r="AE747" s="339"/>
      <c r="AF747" s="339"/>
      <c r="AG747" s="341"/>
      <c r="AH747" s="339"/>
      <c r="AI747" s="341"/>
      <c r="AJ747" s="339"/>
      <c r="AK747" s="341"/>
      <c r="AL747" s="341"/>
      <c r="AM747" s="339"/>
      <c r="AN747" s="339"/>
      <c r="AO747" s="339"/>
      <c r="AP747" s="339"/>
      <c r="AQ747" s="339"/>
      <c r="AR747" s="339"/>
      <c r="AS747" s="339"/>
    </row>
    <row r="748" spans="1:45" ht="15.75" customHeight="1">
      <c r="A748" s="339"/>
      <c r="B748" s="339"/>
      <c r="C748" s="341"/>
      <c r="D748" s="341"/>
      <c r="E748" s="341"/>
      <c r="F748" s="340"/>
      <c r="G748" s="339"/>
      <c r="H748" s="339"/>
      <c r="I748" s="339"/>
      <c r="J748" s="341"/>
      <c r="K748" s="340"/>
      <c r="L748" s="341"/>
      <c r="M748" s="340"/>
      <c r="N748" s="339"/>
      <c r="O748" s="339"/>
      <c r="P748" s="339"/>
      <c r="Q748" s="339"/>
      <c r="R748" s="339"/>
      <c r="S748" s="339"/>
      <c r="T748" s="339"/>
      <c r="U748" s="339"/>
      <c r="V748" s="339"/>
      <c r="W748" s="339"/>
      <c r="X748" s="339"/>
      <c r="Y748" s="339"/>
      <c r="Z748" s="339"/>
      <c r="AA748" s="339"/>
      <c r="AB748" s="341"/>
      <c r="AC748" s="341"/>
      <c r="AD748" s="341"/>
      <c r="AE748" s="339"/>
      <c r="AF748" s="339"/>
      <c r="AG748" s="341"/>
      <c r="AH748" s="339"/>
      <c r="AI748" s="341"/>
      <c r="AJ748" s="339"/>
      <c r="AK748" s="341"/>
      <c r="AL748" s="341"/>
      <c r="AM748" s="339"/>
      <c r="AN748" s="339"/>
      <c r="AO748" s="339"/>
      <c r="AP748" s="339"/>
      <c r="AQ748" s="339"/>
      <c r="AR748" s="339"/>
      <c r="AS748" s="339"/>
    </row>
    <row r="749" spans="1:45" ht="15.75" customHeight="1">
      <c r="A749" s="339"/>
      <c r="B749" s="339"/>
      <c r="C749" s="341"/>
      <c r="D749" s="341"/>
      <c r="E749" s="341"/>
      <c r="F749" s="340"/>
      <c r="G749" s="339"/>
      <c r="H749" s="339"/>
      <c r="I749" s="339"/>
      <c r="J749" s="341"/>
      <c r="K749" s="340"/>
      <c r="L749" s="341"/>
      <c r="M749" s="340"/>
      <c r="N749" s="339"/>
      <c r="O749" s="339"/>
      <c r="P749" s="339"/>
      <c r="Q749" s="339"/>
      <c r="R749" s="339"/>
      <c r="S749" s="339"/>
      <c r="T749" s="339"/>
      <c r="U749" s="339"/>
      <c r="V749" s="339"/>
      <c r="W749" s="339"/>
      <c r="X749" s="339"/>
      <c r="Y749" s="339"/>
      <c r="Z749" s="339"/>
      <c r="AA749" s="339"/>
      <c r="AB749" s="341"/>
      <c r="AC749" s="341"/>
      <c r="AD749" s="341"/>
      <c r="AE749" s="339"/>
      <c r="AF749" s="339"/>
      <c r="AG749" s="341"/>
      <c r="AH749" s="339"/>
      <c r="AI749" s="341"/>
      <c r="AJ749" s="339"/>
      <c r="AK749" s="341"/>
      <c r="AL749" s="341"/>
      <c r="AM749" s="339"/>
      <c r="AN749" s="339"/>
      <c r="AO749" s="339"/>
      <c r="AP749" s="339"/>
      <c r="AQ749" s="339"/>
      <c r="AR749" s="339"/>
      <c r="AS749" s="339"/>
    </row>
    <row r="750" spans="1:45" ht="15.75" customHeight="1">
      <c r="A750" s="339"/>
      <c r="B750" s="339"/>
      <c r="C750" s="341"/>
      <c r="D750" s="341"/>
      <c r="E750" s="341"/>
      <c r="F750" s="340"/>
      <c r="G750" s="339"/>
      <c r="H750" s="339"/>
      <c r="I750" s="339"/>
      <c r="J750" s="341"/>
      <c r="K750" s="340"/>
      <c r="L750" s="341"/>
      <c r="M750" s="340"/>
      <c r="N750" s="339"/>
      <c r="O750" s="339"/>
      <c r="P750" s="339"/>
      <c r="Q750" s="339"/>
      <c r="R750" s="339"/>
      <c r="S750" s="339"/>
      <c r="T750" s="339"/>
      <c r="U750" s="339"/>
      <c r="V750" s="339"/>
      <c r="W750" s="339"/>
      <c r="X750" s="339"/>
      <c r="Y750" s="339"/>
      <c r="Z750" s="339"/>
      <c r="AA750" s="339"/>
      <c r="AB750" s="341"/>
      <c r="AC750" s="341"/>
      <c r="AD750" s="341"/>
      <c r="AE750" s="339"/>
      <c r="AF750" s="339"/>
      <c r="AG750" s="341"/>
      <c r="AH750" s="339"/>
      <c r="AI750" s="341"/>
      <c r="AJ750" s="339"/>
      <c r="AK750" s="341"/>
      <c r="AL750" s="341"/>
      <c r="AM750" s="339"/>
      <c r="AN750" s="339"/>
      <c r="AO750" s="339"/>
      <c r="AP750" s="339"/>
      <c r="AQ750" s="339"/>
      <c r="AR750" s="339"/>
      <c r="AS750" s="339"/>
    </row>
    <row r="751" spans="1:45" ht="15.75" customHeight="1">
      <c r="A751" s="339"/>
      <c r="B751" s="339"/>
      <c r="C751" s="341"/>
      <c r="D751" s="341"/>
      <c r="E751" s="341"/>
      <c r="F751" s="340"/>
      <c r="G751" s="339"/>
      <c r="H751" s="339"/>
      <c r="I751" s="339"/>
      <c r="J751" s="341"/>
      <c r="K751" s="340"/>
      <c r="L751" s="341"/>
      <c r="M751" s="340"/>
      <c r="N751" s="339"/>
      <c r="O751" s="339"/>
      <c r="P751" s="339"/>
      <c r="Q751" s="339"/>
      <c r="R751" s="339"/>
      <c r="S751" s="339"/>
      <c r="T751" s="339"/>
      <c r="U751" s="339"/>
      <c r="V751" s="339"/>
      <c r="W751" s="339"/>
      <c r="X751" s="339"/>
      <c r="Y751" s="339"/>
      <c r="Z751" s="339"/>
      <c r="AA751" s="339"/>
      <c r="AB751" s="341"/>
      <c r="AC751" s="341"/>
      <c r="AD751" s="341"/>
      <c r="AE751" s="339"/>
      <c r="AF751" s="339"/>
      <c r="AG751" s="341"/>
      <c r="AH751" s="339"/>
      <c r="AI751" s="341"/>
      <c r="AJ751" s="339"/>
      <c r="AK751" s="341"/>
      <c r="AL751" s="341"/>
      <c r="AM751" s="339"/>
      <c r="AN751" s="339"/>
      <c r="AO751" s="339"/>
      <c r="AP751" s="339"/>
      <c r="AQ751" s="339"/>
      <c r="AR751" s="339"/>
      <c r="AS751" s="339"/>
    </row>
    <row r="752" spans="1:45" ht="15.75" customHeight="1">
      <c r="A752" s="339"/>
      <c r="B752" s="339"/>
      <c r="C752" s="341"/>
      <c r="D752" s="341"/>
      <c r="E752" s="341"/>
      <c r="F752" s="340"/>
      <c r="G752" s="339"/>
      <c r="H752" s="339"/>
      <c r="I752" s="339"/>
      <c r="J752" s="341"/>
      <c r="K752" s="340"/>
      <c r="L752" s="341"/>
      <c r="M752" s="340"/>
      <c r="N752" s="339"/>
      <c r="O752" s="339"/>
      <c r="P752" s="339"/>
      <c r="Q752" s="339"/>
      <c r="R752" s="339"/>
      <c r="S752" s="339"/>
      <c r="T752" s="339"/>
      <c r="U752" s="339"/>
      <c r="V752" s="339"/>
      <c r="W752" s="339"/>
      <c r="X752" s="339"/>
      <c r="Y752" s="339"/>
      <c r="Z752" s="339"/>
      <c r="AA752" s="339"/>
      <c r="AB752" s="341"/>
      <c r="AC752" s="341"/>
      <c r="AD752" s="341"/>
      <c r="AE752" s="339"/>
      <c r="AF752" s="339"/>
      <c r="AG752" s="341"/>
      <c r="AH752" s="339"/>
      <c r="AI752" s="341"/>
      <c r="AJ752" s="339"/>
      <c r="AK752" s="341"/>
      <c r="AL752" s="341"/>
      <c r="AM752" s="339"/>
      <c r="AN752" s="339"/>
      <c r="AO752" s="339"/>
      <c r="AP752" s="339"/>
      <c r="AQ752" s="339"/>
      <c r="AR752" s="339"/>
      <c r="AS752" s="339"/>
    </row>
    <row r="753" spans="1:45" ht="15.75" customHeight="1">
      <c r="A753" s="339"/>
      <c r="B753" s="339"/>
      <c r="C753" s="341"/>
      <c r="D753" s="341"/>
      <c r="E753" s="341"/>
      <c r="F753" s="340"/>
      <c r="G753" s="339"/>
      <c r="H753" s="339"/>
      <c r="I753" s="339"/>
      <c r="J753" s="341"/>
      <c r="K753" s="340"/>
      <c r="L753" s="341"/>
      <c r="M753" s="340"/>
      <c r="N753" s="339"/>
      <c r="O753" s="339"/>
      <c r="P753" s="339"/>
      <c r="Q753" s="339"/>
      <c r="R753" s="339"/>
      <c r="S753" s="339"/>
      <c r="T753" s="339"/>
      <c r="U753" s="339"/>
      <c r="V753" s="339"/>
      <c r="W753" s="339"/>
      <c r="X753" s="339"/>
      <c r="Y753" s="339"/>
      <c r="Z753" s="339"/>
      <c r="AA753" s="339"/>
      <c r="AB753" s="341"/>
      <c r="AC753" s="341"/>
      <c r="AD753" s="341"/>
      <c r="AE753" s="339"/>
      <c r="AF753" s="339"/>
      <c r="AG753" s="341"/>
      <c r="AH753" s="339"/>
      <c r="AI753" s="341"/>
      <c r="AJ753" s="339"/>
      <c r="AK753" s="341"/>
      <c r="AL753" s="341"/>
      <c r="AM753" s="339"/>
      <c r="AN753" s="339"/>
      <c r="AO753" s="339"/>
      <c r="AP753" s="339"/>
      <c r="AQ753" s="339"/>
      <c r="AR753" s="339"/>
      <c r="AS753" s="339"/>
    </row>
    <row r="754" spans="1:45" ht="15.75" customHeight="1">
      <c r="A754" s="339"/>
      <c r="B754" s="339"/>
      <c r="C754" s="341"/>
      <c r="D754" s="341"/>
      <c r="E754" s="341"/>
      <c r="F754" s="340"/>
      <c r="G754" s="339"/>
      <c r="H754" s="339"/>
      <c r="I754" s="339"/>
      <c r="J754" s="341"/>
      <c r="K754" s="340"/>
      <c r="L754" s="341"/>
      <c r="M754" s="340"/>
      <c r="N754" s="339"/>
      <c r="O754" s="339"/>
      <c r="P754" s="339"/>
      <c r="Q754" s="339"/>
      <c r="R754" s="339"/>
      <c r="S754" s="339"/>
      <c r="T754" s="339"/>
      <c r="U754" s="339"/>
      <c r="V754" s="339"/>
      <c r="W754" s="339"/>
      <c r="X754" s="339"/>
      <c r="Y754" s="339"/>
      <c r="Z754" s="339"/>
      <c r="AA754" s="339"/>
      <c r="AB754" s="341"/>
      <c r="AC754" s="341"/>
      <c r="AD754" s="341"/>
      <c r="AE754" s="339"/>
      <c r="AF754" s="339"/>
      <c r="AG754" s="341"/>
      <c r="AH754" s="339"/>
      <c r="AI754" s="341"/>
      <c r="AJ754" s="339"/>
      <c r="AK754" s="341"/>
      <c r="AL754" s="341"/>
      <c r="AM754" s="339"/>
      <c r="AN754" s="339"/>
      <c r="AO754" s="339"/>
      <c r="AP754" s="339"/>
      <c r="AQ754" s="339"/>
      <c r="AR754" s="339"/>
      <c r="AS754" s="339"/>
    </row>
    <row r="755" spans="1:45" ht="15.75" customHeight="1">
      <c r="A755" s="339"/>
      <c r="B755" s="339"/>
      <c r="C755" s="341"/>
      <c r="D755" s="341"/>
      <c r="E755" s="341"/>
      <c r="F755" s="340"/>
      <c r="G755" s="339"/>
      <c r="H755" s="339"/>
      <c r="I755" s="339"/>
      <c r="J755" s="341"/>
      <c r="K755" s="340"/>
      <c r="L755" s="341"/>
      <c r="M755" s="340"/>
      <c r="N755" s="339"/>
      <c r="O755" s="339"/>
      <c r="P755" s="339"/>
      <c r="Q755" s="339"/>
      <c r="R755" s="339"/>
      <c r="S755" s="339"/>
      <c r="T755" s="339"/>
      <c r="U755" s="339"/>
      <c r="V755" s="339"/>
      <c r="W755" s="339"/>
      <c r="X755" s="339"/>
      <c r="Y755" s="339"/>
      <c r="Z755" s="339"/>
      <c r="AA755" s="339"/>
      <c r="AB755" s="341"/>
      <c r="AC755" s="341"/>
      <c r="AD755" s="341"/>
      <c r="AE755" s="339"/>
      <c r="AF755" s="339"/>
      <c r="AG755" s="341"/>
      <c r="AH755" s="339"/>
      <c r="AI755" s="341"/>
      <c r="AJ755" s="339"/>
      <c r="AK755" s="341"/>
      <c r="AL755" s="341"/>
      <c r="AM755" s="339"/>
      <c r="AN755" s="339"/>
      <c r="AO755" s="339"/>
      <c r="AP755" s="339"/>
      <c r="AQ755" s="339"/>
      <c r="AR755" s="339"/>
      <c r="AS755" s="339"/>
    </row>
    <row r="756" spans="1:45" ht="15.75" customHeight="1">
      <c r="A756" s="339"/>
      <c r="B756" s="339"/>
      <c r="C756" s="341"/>
      <c r="D756" s="341"/>
      <c r="E756" s="341"/>
      <c r="F756" s="340"/>
      <c r="G756" s="339"/>
      <c r="H756" s="339"/>
      <c r="I756" s="339"/>
      <c r="J756" s="341"/>
      <c r="K756" s="340"/>
      <c r="L756" s="341"/>
      <c r="M756" s="340"/>
      <c r="N756" s="339"/>
      <c r="O756" s="339"/>
      <c r="P756" s="339"/>
      <c r="Q756" s="339"/>
      <c r="R756" s="339"/>
      <c r="S756" s="339"/>
      <c r="T756" s="339"/>
      <c r="U756" s="339"/>
      <c r="V756" s="339"/>
      <c r="W756" s="339"/>
      <c r="X756" s="339"/>
      <c r="Y756" s="339"/>
      <c r="Z756" s="339"/>
      <c r="AA756" s="339"/>
      <c r="AB756" s="341"/>
      <c r="AC756" s="341"/>
      <c r="AD756" s="341"/>
      <c r="AE756" s="339"/>
      <c r="AF756" s="339"/>
      <c r="AG756" s="341"/>
      <c r="AH756" s="339"/>
      <c r="AI756" s="341"/>
      <c r="AJ756" s="339"/>
      <c r="AK756" s="341"/>
      <c r="AL756" s="341"/>
      <c r="AM756" s="339"/>
      <c r="AN756" s="339"/>
      <c r="AO756" s="339"/>
      <c r="AP756" s="339"/>
      <c r="AQ756" s="339"/>
      <c r="AR756" s="339"/>
      <c r="AS756" s="339"/>
    </row>
    <row r="757" spans="1:45" ht="15.75" customHeight="1">
      <c r="A757" s="339"/>
      <c r="B757" s="339"/>
      <c r="C757" s="341"/>
      <c r="D757" s="341"/>
      <c r="E757" s="341"/>
      <c r="F757" s="340"/>
      <c r="G757" s="339"/>
      <c r="H757" s="339"/>
      <c r="I757" s="339"/>
      <c r="J757" s="341"/>
      <c r="K757" s="340"/>
      <c r="L757" s="341"/>
      <c r="M757" s="340"/>
      <c r="N757" s="339"/>
      <c r="O757" s="339"/>
      <c r="P757" s="339"/>
      <c r="Q757" s="339"/>
      <c r="R757" s="339"/>
      <c r="S757" s="339"/>
      <c r="T757" s="339"/>
      <c r="U757" s="339"/>
      <c r="V757" s="339"/>
      <c r="W757" s="339"/>
      <c r="X757" s="339"/>
      <c r="Y757" s="339"/>
      <c r="Z757" s="339"/>
      <c r="AA757" s="339"/>
      <c r="AB757" s="341"/>
      <c r="AC757" s="341"/>
      <c r="AD757" s="341"/>
      <c r="AE757" s="339"/>
      <c r="AF757" s="339"/>
      <c r="AG757" s="341"/>
      <c r="AH757" s="339"/>
      <c r="AI757" s="341"/>
      <c r="AJ757" s="339"/>
      <c r="AK757" s="341"/>
      <c r="AL757" s="341"/>
      <c r="AM757" s="339"/>
      <c r="AN757" s="339"/>
      <c r="AO757" s="339"/>
      <c r="AP757" s="339"/>
      <c r="AQ757" s="339"/>
      <c r="AR757" s="339"/>
      <c r="AS757" s="339"/>
    </row>
    <row r="758" spans="1:45" ht="15.75" customHeight="1">
      <c r="A758" s="339"/>
      <c r="B758" s="339"/>
      <c r="C758" s="341"/>
      <c r="D758" s="341"/>
      <c r="E758" s="341"/>
      <c r="F758" s="340"/>
      <c r="G758" s="339"/>
      <c r="H758" s="339"/>
      <c r="I758" s="339"/>
      <c r="J758" s="341"/>
      <c r="K758" s="340"/>
      <c r="L758" s="341"/>
      <c r="M758" s="340"/>
      <c r="N758" s="339"/>
      <c r="O758" s="339"/>
      <c r="P758" s="339"/>
      <c r="Q758" s="339"/>
      <c r="R758" s="339"/>
      <c r="S758" s="339"/>
      <c r="T758" s="339"/>
      <c r="U758" s="339"/>
      <c r="V758" s="339"/>
      <c r="W758" s="339"/>
      <c r="X758" s="339"/>
      <c r="Y758" s="339"/>
      <c r="Z758" s="339"/>
      <c r="AA758" s="339"/>
      <c r="AB758" s="341"/>
      <c r="AC758" s="341"/>
      <c r="AD758" s="341"/>
      <c r="AE758" s="339"/>
      <c r="AF758" s="339"/>
      <c r="AG758" s="341"/>
      <c r="AH758" s="339"/>
      <c r="AI758" s="341"/>
      <c r="AJ758" s="339"/>
      <c r="AK758" s="341"/>
      <c r="AL758" s="341"/>
      <c r="AM758" s="339"/>
      <c r="AN758" s="339"/>
      <c r="AO758" s="339"/>
      <c r="AP758" s="339"/>
      <c r="AQ758" s="339"/>
      <c r="AR758" s="339"/>
      <c r="AS758" s="339"/>
    </row>
    <row r="759" spans="1:45" ht="15.75" customHeight="1">
      <c r="A759" s="339"/>
      <c r="B759" s="339"/>
      <c r="C759" s="341"/>
      <c r="D759" s="341"/>
      <c r="E759" s="341"/>
      <c r="F759" s="340"/>
      <c r="G759" s="339"/>
      <c r="H759" s="339"/>
      <c r="I759" s="339"/>
      <c r="J759" s="341"/>
      <c r="K759" s="340"/>
      <c r="L759" s="341"/>
      <c r="M759" s="340"/>
      <c r="N759" s="339"/>
      <c r="O759" s="339"/>
      <c r="P759" s="339"/>
      <c r="Q759" s="339"/>
      <c r="R759" s="339"/>
      <c r="S759" s="339"/>
      <c r="T759" s="339"/>
      <c r="U759" s="339"/>
      <c r="V759" s="339"/>
      <c r="W759" s="339"/>
      <c r="X759" s="339"/>
      <c r="Y759" s="339"/>
      <c r="Z759" s="339"/>
      <c r="AA759" s="339"/>
      <c r="AB759" s="341"/>
      <c r="AC759" s="341"/>
      <c r="AD759" s="341"/>
      <c r="AE759" s="339"/>
      <c r="AF759" s="339"/>
      <c r="AG759" s="341"/>
      <c r="AH759" s="339"/>
      <c r="AI759" s="341"/>
      <c r="AJ759" s="339"/>
      <c r="AK759" s="341"/>
      <c r="AL759" s="341"/>
      <c r="AM759" s="339"/>
      <c r="AN759" s="339"/>
      <c r="AO759" s="339"/>
      <c r="AP759" s="339"/>
      <c r="AQ759" s="339"/>
      <c r="AR759" s="339"/>
      <c r="AS759" s="339"/>
    </row>
    <row r="760" spans="1:45" ht="15.75" customHeight="1">
      <c r="A760" s="339"/>
      <c r="B760" s="339"/>
      <c r="C760" s="341"/>
      <c r="D760" s="341"/>
      <c r="E760" s="341"/>
      <c r="F760" s="340"/>
      <c r="G760" s="339"/>
      <c r="H760" s="339"/>
      <c r="I760" s="339"/>
      <c r="J760" s="341"/>
      <c r="K760" s="340"/>
      <c r="L760" s="341"/>
      <c r="M760" s="340"/>
      <c r="N760" s="339"/>
      <c r="O760" s="339"/>
      <c r="P760" s="339"/>
      <c r="Q760" s="339"/>
      <c r="R760" s="339"/>
      <c r="S760" s="339"/>
      <c r="T760" s="339"/>
      <c r="U760" s="339"/>
      <c r="V760" s="339"/>
      <c r="W760" s="339"/>
      <c r="X760" s="339"/>
      <c r="Y760" s="339"/>
      <c r="Z760" s="339"/>
      <c r="AA760" s="339"/>
      <c r="AB760" s="341"/>
      <c r="AC760" s="341"/>
      <c r="AD760" s="341"/>
      <c r="AE760" s="339"/>
      <c r="AF760" s="339"/>
      <c r="AG760" s="341"/>
      <c r="AH760" s="339"/>
      <c r="AI760" s="341"/>
      <c r="AJ760" s="339"/>
      <c r="AK760" s="341"/>
      <c r="AL760" s="341"/>
      <c r="AM760" s="339"/>
      <c r="AN760" s="339"/>
      <c r="AO760" s="339"/>
      <c r="AP760" s="339"/>
      <c r="AQ760" s="339"/>
      <c r="AR760" s="339"/>
      <c r="AS760" s="339"/>
    </row>
    <row r="761" spans="1:45" ht="15.75" customHeight="1">
      <c r="A761" s="339"/>
      <c r="B761" s="339"/>
      <c r="C761" s="341"/>
      <c r="D761" s="341"/>
      <c r="E761" s="341"/>
      <c r="F761" s="340"/>
      <c r="G761" s="339"/>
      <c r="H761" s="339"/>
      <c r="I761" s="339"/>
      <c r="J761" s="341"/>
      <c r="K761" s="340"/>
      <c r="L761" s="341"/>
      <c r="M761" s="340"/>
      <c r="N761" s="339"/>
      <c r="O761" s="339"/>
      <c r="P761" s="339"/>
      <c r="Q761" s="339"/>
      <c r="R761" s="339"/>
      <c r="S761" s="339"/>
      <c r="T761" s="339"/>
      <c r="U761" s="339"/>
      <c r="V761" s="339"/>
      <c r="W761" s="339"/>
      <c r="X761" s="339"/>
      <c r="Y761" s="339"/>
      <c r="Z761" s="339"/>
      <c r="AA761" s="339"/>
      <c r="AB761" s="341"/>
      <c r="AC761" s="341"/>
      <c r="AD761" s="341"/>
      <c r="AE761" s="339"/>
      <c r="AF761" s="339"/>
      <c r="AG761" s="341"/>
      <c r="AH761" s="339"/>
      <c r="AI761" s="341"/>
      <c r="AJ761" s="339"/>
      <c r="AK761" s="341"/>
      <c r="AL761" s="341"/>
      <c r="AM761" s="339"/>
      <c r="AN761" s="339"/>
      <c r="AO761" s="339"/>
      <c r="AP761" s="339"/>
      <c r="AQ761" s="339"/>
      <c r="AR761" s="339"/>
      <c r="AS761" s="339"/>
    </row>
    <row r="762" spans="1:45" ht="15.75" customHeight="1">
      <c r="A762" s="339"/>
      <c r="B762" s="339"/>
      <c r="C762" s="341"/>
      <c r="D762" s="341"/>
      <c r="E762" s="341"/>
      <c r="F762" s="340"/>
      <c r="G762" s="339"/>
      <c r="H762" s="339"/>
      <c r="I762" s="339"/>
      <c r="J762" s="341"/>
      <c r="K762" s="340"/>
      <c r="L762" s="341"/>
      <c r="M762" s="340"/>
      <c r="N762" s="339"/>
      <c r="O762" s="339"/>
      <c r="P762" s="339"/>
      <c r="Q762" s="339"/>
      <c r="R762" s="339"/>
      <c r="S762" s="339"/>
      <c r="T762" s="339"/>
      <c r="U762" s="339"/>
      <c r="V762" s="339"/>
      <c r="W762" s="339"/>
      <c r="X762" s="339"/>
      <c r="Y762" s="339"/>
      <c r="Z762" s="339"/>
      <c r="AA762" s="339"/>
      <c r="AB762" s="341"/>
      <c r="AC762" s="341"/>
      <c r="AD762" s="341"/>
      <c r="AE762" s="339"/>
      <c r="AF762" s="339"/>
      <c r="AG762" s="341"/>
      <c r="AH762" s="339"/>
      <c r="AI762" s="341"/>
      <c r="AJ762" s="339"/>
      <c r="AK762" s="341"/>
      <c r="AL762" s="341"/>
      <c r="AM762" s="339"/>
      <c r="AN762" s="339"/>
      <c r="AO762" s="339"/>
      <c r="AP762" s="339"/>
      <c r="AQ762" s="339"/>
      <c r="AR762" s="339"/>
      <c r="AS762" s="339"/>
    </row>
    <row r="763" spans="1:45" ht="15.75" customHeight="1">
      <c r="A763" s="339"/>
      <c r="B763" s="339"/>
      <c r="C763" s="341"/>
      <c r="D763" s="341"/>
      <c r="E763" s="341"/>
      <c r="F763" s="340"/>
      <c r="G763" s="339"/>
      <c r="H763" s="339"/>
      <c r="I763" s="339"/>
      <c r="J763" s="341"/>
      <c r="K763" s="340"/>
      <c r="L763" s="341"/>
      <c r="M763" s="340"/>
      <c r="N763" s="339"/>
      <c r="O763" s="339"/>
      <c r="P763" s="339"/>
      <c r="Q763" s="339"/>
      <c r="R763" s="339"/>
      <c r="S763" s="339"/>
      <c r="T763" s="339"/>
      <c r="U763" s="339"/>
      <c r="V763" s="339"/>
      <c r="W763" s="339"/>
      <c r="X763" s="339"/>
      <c r="Y763" s="339"/>
      <c r="Z763" s="339"/>
      <c r="AA763" s="339"/>
      <c r="AB763" s="341"/>
      <c r="AC763" s="341"/>
      <c r="AD763" s="341"/>
      <c r="AE763" s="339"/>
      <c r="AF763" s="339"/>
      <c r="AG763" s="341"/>
      <c r="AH763" s="339"/>
      <c r="AI763" s="341"/>
      <c r="AJ763" s="339"/>
      <c r="AK763" s="341"/>
      <c r="AL763" s="341"/>
      <c r="AM763" s="339"/>
      <c r="AN763" s="339"/>
      <c r="AO763" s="339"/>
      <c r="AP763" s="339"/>
      <c r="AQ763" s="339"/>
      <c r="AR763" s="339"/>
      <c r="AS763" s="339"/>
    </row>
    <row r="764" spans="1:45" ht="15.75" customHeight="1">
      <c r="A764" s="339"/>
      <c r="B764" s="339"/>
      <c r="C764" s="341"/>
      <c r="D764" s="341"/>
      <c r="E764" s="341"/>
      <c r="F764" s="340"/>
      <c r="G764" s="339"/>
      <c r="H764" s="339"/>
      <c r="I764" s="339"/>
      <c r="J764" s="341"/>
      <c r="K764" s="340"/>
      <c r="L764" s="341"/>
      <c r="M764" s="340"/>
      <c r="N764" s="339"/>
      <c r="O764" s="339"/>
      <c r="P764" s="339"/>
      <c r="Q764" s="339"/>
      <c r="R764" s="339"/>
      <c r="S764" s="339"/>
      <c r="T764" s="339"/>
      <c r="U764" s="339"/>
      <c r="V764" s="339"/>
      <c r="W764" s="339"/>
      <c r="X764" s="339"/>
      <c r="Y764" s="339"/>
      <c r="Z764" s="339"/>
      <c r="AA764" s="339"/>
      <c r="AB764" s="341"/>
      <c r="AC764" s="341"/>
      <c r="AD764" s="341"/>
      <c r="AE764" s="339"/>
      <c r="AF764" s="339"/>
      <c r="AG764" s="341"/>
      <c r="AH764" s="339"/>
      <c r="AI764" s="341"/>
      <c r="AJ764" s="339"/>
      <c r="AK764" s="341"/>
      <c r="AL764" s="341"/>
      <c r="AM764" s="339"/>
      <c r="AN764" s="339"/>
      <c r="AO764" s="339"/>
      <c r="AP764" s="339"/>
      <c r="AQ764" s="339"/>
      <c r="AR764" s="339"/>
      <c r="AS764" s="339"/>
    </row>
    <row r="765" spans="1:45" ht="15.75" customHeight="1">
      <c r="A765" s="339"/>
      <c r="B765" s="339"/>
      <c r="C765" s="341"/>
      <c r="D765" s="341"/>
      <c r="E765" s="341"/>
      <c r="F765" s="340"/>
      <c r="G765" s="339"/>
      <c r="H765" s="339"/>
      <c r="I765" s="339"/>
      <c r="J765" s="341"/>
      <c r="K765" s="340"/>
      <c r="L765" s="341"/>
      <c r="M765" s="340"/>
      <c r="N765" s="339"/>
      <c r="O765" s="339"/>
      <c r="P765" s="339"/>
      <c r="Q765" s="339"/>
      <c r="R765" s="339"/>
      <c r="S765" s="339"/>
      <c r="T765" s="339"/>
      <c r="U765" s="339"/>
      <c r="V765" s="339"/>
      <c r="W765" s="339"/>
      <c r="X765" s="339"/>
      <c r="Y765" s="339"/>
      <c r="Z765" s="339"/>
      <c r="AA765" s="339"/>
      <c r="AB765" s="341"/>
      <c r="AC765" s="341"/>
      <c r="AD765" s="341"/>
      <c r="AE765" s="339"/>
      <c r="AF765" s="339"/>
      <c r="AG765" s="341"/>
      <c r="AH765" s="339"/>
      <c r="AI765" s="341"/>
      <c r="AJ765" s="339"/>
      <c r="AK765" s="341"/>
      <c r="AL765" s="341"/>
      <c r="AM765" s="339"/>
      <c r="AN765" s="339"/>
      <c r="AO765" s="339"/>
      <c r="AP765" s="339"/>
      <c r="AQ765" s="339"/>
      <c r="AR765" s="339"/>
      <c r="AS765" s="339"/>
    </row>
    <row r="766" spans="1:45" ht="15.75" customHeight="1">
      <c r="A766" s="339"/>
      <c r="B766" s="339"/>
      <c r="C766" s="341"/>
      <c r="D766" s="341"/>
      <c r="E766" s="341"/>
      <c r="F766" s="340"/>
      <c r="G766" s="339"/>
      <c r="H766" s="339"/>
      <c r="I766" s="339"/>
      <c r="J766" s="341"/>
      <c r="K766" s="340"/>
      <c r="L766" s="341"/>
      <c r="M766" s="340"/>
      <c r="N766" s="339"/>
      <c r="O766" s="339"/>
      <c r="P766" s="339"/>
      <c r="Q766" s="339"/>
      <c r="R766" s="339"/>
      <c r="S766" s="339"/>
      <c r="T766" s="339"/>
      <c r="U766" s="339"/>
      <c r="V766" s="339"/>
      <c r="W766" s="339"/>
      <c r="X766" s="339"/>
      <c r="Y766" s="339"/>
      <c r="Z766" s="339"/>
      <c r="AA766" s="339"/>
      <c r="AB766" s="341"/>
      <c r="AC766" s="341"/>
      <c r="AD766" s="341"/>
      <c r="AE766" s="339"/>
      <c r="AF766" s="339"/>
      <c r="AG766" s="341"/>
      <c r="AH766" s="339"/>
      <c r="AI766" s="341"/>
      <c r="AJ766" s="339"/>
      <c r="AK766" s="341"/>
      <c r="AL766" s="341"/>
      <c r="AM766" s="339"/>
      <c r="AN766" s="339"/>
      <c r="AO766" s="339"/>
      <c r="AP766" s="339"/>
      <c r="AQ766" s="339"/>
      <c r="AR766" s="339"/>
      <c r="AS766" s="339"/>
    </row>
    <row r="767" spans="1:45" ht="15.75" customHeight="1">
      <c r="A767" s="339"/>
      <c r="B767" s="339"/>
      <c r="C767" s="341"/>
      <c r="D767" s="341"/>
      <c r="E767" s="341"/>
      <c r="F767" s="340"/>
      <c r="G767" s="339"/>
      <c r="H767" s="339"/>
      <c r="I767" s="339"/>
      <c r="J767" s="341"/>
      <c r="K767" s="340"/>
      <c r="L767" s="341"/>
      <c r="M767" s="340"/>
      <c r="N767" s="339"/>
      <c r="O767" s="339"/>
      <c r="P767" s="339"/>
      <c r="Q767" s="339"/>
      <c r="R767" s="339"/>
      <c r="S767" s="339"/>
      <c r="T767" s="339"/>
      <c r="U767" s="339"/>
      <c r="V767" s="339"/>
      <c r="W767" s="339"/>
      <c r="X767" s="339"/>
      <c r="Y767" s="339"/>
      <c r="Z767" s="339"/>
      <c r="AA767" s="339"/>
      <c r="AB767" s="341"/>
      <c r="AC767" s="341"/>
      <c r="AD767" s="341"/>
      <c r="AE767" s="339"/>
      <c r="AF767" s="339"/>
      <c r="AG767" s="341"/>
      <c r="AH767" s="339"/>
      <c r="AI767" s="341"/>
      <c r="AJ767" s="339"/>
      <c r="AK767" s="341"/>
      <c r="AL767" s="341"/>
      <c r="AM767" s="339"/>
      <c r="AN767" s="339"/>
      <c r="AO767" s="339"/>
      <c r="AP767" s="339"/>
      <c r="AQ767" s="339"/>
      <c r="AR767" s="339"/>
      <c r="AS767" s="339"/>
    </row>
    <row r="768" spans="1:45" ht="15.75" customHeight="1">
      <c r="A768" s="339"/>
      <c r="B768" s="339"/>
      <c r="C768" s="341"/>
      <c r="D768" s="341"/>
      <c r="E768" s="341"/>
      <c r="F768" s="340"/>
      <c r="G768" s="339"/>
      <c r="H768" s="339"/>
      <c r="I768" s="339"/>
      <c r="J768" s="341"/>
      <c r="K768" s="340"/>
      <c r="L768" s="341"/>
      <c r="M768" s="340"/>
      <c r="N768" s="339"/>
      <c r="O768" s="339"/>
      <c r="P768" s="339"/>
      <c r="Q768" s="339"/>
      <c r="R768" s="339"/>
      <c r="S768" s="339"/>
      <c r="T768" s="339"/>
      <c r="U768" s="339"/>
      <c r="V768" s="339"/>
      <c r="W768" s="339"/>
      <c r="X768" s="339"/>
      <c r="Y768" s="339"/>
      <c r="Z768" s="339"/>
      <c r="AA768" s="339"/>
      <c r="AB768" s="341"/>
      <c r="AC768" s="341"/>
      <c r="AD768" s="341"/>
      <c r="AE768" s="339"/>
      <c r="AF768" s="339"/>
      <c r="AG768" s="341"/>
      <c r="AH768" s="339"/>
      <c r="AI768" s="341"/>
      <c r="AJ768" s="339"/>
      <c r="AK768" s="341"/>
      <c r="AL768" s="341"/>
      <c r="AM768" s="339"/>
      <c r="AN768" s="339"/>
      <c r="AO768" s="339"/>
      <c r="AP768" s="339"/>
      <c r="AQ768" s="339"/>
      <c r="AR768" s="339"/>
      <c r="AS768" s="339"/>
    </row>
    <row r="769" spans="1:45" ht="15.75" customHeight="1">
      <c r="A769" s="339"/>
      <c r="B769" s="339"/>
      <c r="C769" s="341"/>
      <c r="D769" s="341"/>
      <c r="E769" s="341"/>
      <c r="F769" s="340"/>
      <c r="G769" s="339"/>
      <c r="H769" s="339"/>
      <c r="I769" s="339"/>
      <c r="J769" s="341"/>
      <c r="K769" s="340"/>
      <c r="L769" s="341"/>
      <c r="M769" s="340"/>
      <c r="N769" s="339"/>
      <c r="O769" s="339"/>
      <c r="P769" s="339"/>
      <c r="Q769" s="339"/>
      <c r="R769" s="339"/>
      <c r="S769" s="339"/>
      <c r="T769" s="339"/>
      <c r="U769" s="339"/>
      <c r="V769" s="339"/>
      <c r="W769" s="339"/>
      <c r="X769" s="339"/>
      <c r="Y769" s="339"/>
      <c r="Z769" s="339"/>
      <c r="AA769" s="339"/>
      <c r="AB769" s="341"/>
      <c r="AC769" s="341"/>
      <c r="AD769" s="341"/>
      <c r="AE769" s="339"/>
      <c r="AF769" s="339"/>
      <c r="AG769" s="341"/>
      <c r="AH769" s="339"/>
      <c r="AI769" s="341"/>
      <c r="AJ769" s="339"/>
      <c r="AK769" s="341"/>
      <c r="AL769" s="341"/>
      <c r="AM769" s="339"/>
      <c r="AN769" s="339"/>
      <c r="AO769" s="339"/>
      <c r="AP769" s="339"/>
      <c r="AQ769" s="339"/>
      <c r="AR769" s="339"/>
      <c r="AS769" s="339"/>
    </row>
    <row r="770" spans="1:45" ht="15.75" customHeight="1">
      <c r="A770" s="339"/>
      <c r="B770" s="339"/>
      <c r="C770" s="341"/>
      <c r="D770" s="341"/>
      <c r="E770" s="341"/>
      <c r="F770" s="340"/>
      <c r="G770" s="339"/>
      <c r="H770" s="339"/>
      <c r="I770" s="339"/>
      <c r="J770" s="341"/>
      <c r="K770" s="340"/>
      <c r="L770" s="341"/>
      <c r="M770" s="340"/>
      <c r="N770" s="339"/>
      <c r="O770" s="339"/>
      <c r="P770" s="339"/>
      <c r="Q770" s="339"/>
      <c r="R770" s="339"/>
      <c r="S770" s="339"/>
      <c r="T770" s="339"/>
      <c r="U770" s="339"/>
      <c r="V770" s="339"/>
      <c r="W770" s="339"/>
      <c r="X770" s="339"/>
      <c r="Y770" s="339"/>
      <c r="Z770" s="339"/>
      <c r="AA770" s="339"/>
      <c r="AB770" s="341"/>
      <c r="AC770" s="341"/>
      <c r="AD770" s="341"/>
      <c r="AE770" s="339"/>
      <c r="AF770" s="339"/>
      <c r="AG770" s="341"/>
      <c r="AH770" s="339"/>
      <c r="AI770" s="341"/>
      <c r="AJ770" s="339"/>
      <c r="AK770" s="341"/>
      <c r="AL770" s="341"/>
      <c r="AM770" s="339"/>
      <c r="AN770" s="339"/>
      <c r="AO770" s="339"/>
      <c r="AP770" s="339"/>
      <c r="AQ770" s="339"/>
      <c r="AR770" s="339"/>
      <c r="AS770" s="339"/>
    </row>
    <row r="771" spans="1:45" ht="15.75" customHeight="1">
      <c r="A771" s="339"/>
      <c r="B771" s="339"/>
      <c r="C771" s="341"/>
      <c r="D771" s="341"/>
      <c r="E771" s="341"/>
      <c r="F771" s="340"/>
      <c r="G771" s="339"/>
      <c r="H771" s="339"/>
      <c r="I771" s="339"/>
      <c r="J771" s="341"/>
      <c r="K771" s="340"/>
      <c r="L771" s="341"/>
      <c r="M771" s="340"/>
      <c r="N771" s="339"/>
      <c r="O771" s="339"/>
      <c r="P771" s="339"/>
      <c r="Q771" s="339"/>
      <c r="R771" s="339"/>
      <c r="S771" s="339"/>
      <c r="T771" s="339"/>
      <c r="U771" s="339"/>
      <c r="V771" s="339"/>
      <c r="W771" s="339"/>
      <c r="X771" s="339"/>
      <c r="Y771" s="339"/>
      <c r="Z771" s="339"/>
      <c r="AA771" s="339"/>
      <c r="AB771" s="341"/>
      <c r="AC771" s="341"/>
      <c r="AD771" s="341"/>
      <c r="AE771" s="339"/>
      <c r="AF771" s="339"/>
      <c r="AG771" s="341"/>
      <c r="AH771" s="339"/>
      <c r="AI771" s="341"/>
      <c r="AJ771" s="339"/>
      <c r="AK771" s="341"/>
      <c r="AL771" s="341"/>
      <c r="AM771" s="339"/>
      <c r="AN771" s="339"/>
      <c r="AO771" s="339"/>
      <c r="AP771" s="339"/>
      <c r="AQ771" s="339"/>
      <c r="AR771" s="339"/>
      <c r="AS771" s="339"/>
    </row>
    <row r="772" spans="1:45" ht="15.75" customHeight="1">
      <c r="A772" s="339"/>
      <c r="B772" s="339"/>
      <c r="C772" s="341"/>
      <c r="D772" s="341"/>
      <c r="E772" s="341"/>
      <c r="F772" s="340"/>
      <c r="G772" s="339"/>
      <c r="H772" s="339"/>
      <c r="I772" s="339"/>
      <c r="J772" s="341"/>
      <c r="K772" s="340"/>
      <c r="L772" s="341"/>
      <c r="M772" s="340"/>
      <c r="N772" s="339"/>
      <c r="O772" s="339"/>
      <c r="P772" s="339"/>
      <c r="Q772" s="339"/>
      <c r="R772" s="339"/>
      <c r="S772" s="339"/>
      <c r="T772" s="339"/>
      <c r="U772" s="339"/>
      <c r="V772" s="339"/>
      <c r="W772" s="339"/>
      <c r="X772" s="339"/>
      <c r="Y772" s="339"/>
      <c r="Z772" s="339"/>
      <c r="AA772" s="339"/>
      <c r="AB772" s="341"/>
      <c r="AC772" s="341"/>
      <c r="AD772" s="341"/>
      <c r="AE772" s="339"/>
      <c r="AF772" s="339"/>
      <c r="AG772" s="341"/>
      <c r="AH772" s="339"/>
      <c r="AI772" s="341"/>
      <c r="AJ772" s="339"/>
      <c r="AK772" s="341"/>
      <c r="AL772" s="341"/>
      <c r="AM772" s="339"/>
      <c r="AN772" s="339"/>
      <c r="AO772" s="339"/>
      <c r="AP772" s="339"/>
      <c r="AQ772" s="339"/>
      <c r="AR772" s="339"/>
      <c r="AS772" s="339"/>
    </row>
    <row r="773" spans="1:45" ht="15.75" customHeight="1">
      <c r="A773" s="339"/>
      <c r="B773" s="339"/>
      <c r="C773" s="341"/>
      <c r="D773" s="341"/>
      <c r="E773" s="341"/>
      <c r="F773" s="340"/>
      <c r="G773" s="339"/>
      <c r="H773" s="339"/>
      <c r="I773" s="339"/>
      <c r="J773" s="341"/>
      <c r="K773" s="340"/>
      <c r="L773" s="341"/>
      <c r="M773" s="340"/>
      <c r="N773" s="339"/>
      <c r="O773" s="339"/>
      <c r="P773" s="339"/>
      <c r="Q773" s="339"/>
      <c r="R773" s="339"/>
      <c r="S773" s="339"/>
      <c r="T773" s="339"/>
      <c r="U773" s="339"/>
      <c r="V773" s="339"/>
      <c r="W773" s="339"/>
      <c r="X773" s="339"/>
      <c r="Y773" s="339"/>
      <c r="Z773" s="339"/>
      <c r="AA773" s="339"/>
      <c r="AB773" s="341"/>
      <c r="AC773" s="341"/>
      <c r="AD773" s="341"/>
      <c r="AE773" s="339"/>
      <c r="AF773" s="339"/>
      <c r="AG773" s="341"/>
      <c r="AH773" s="339"/>
      <c r="AI773" s="341"/>
      <c r="AJ773" s="339"/>
      <c r="AK773" s="341"/>
      <c r="AL773" s="341"/>
      <c r="AM773" s="339"/>
      <c r="AN773" s="339"/>
      <c r="AO773" s="339"/>
      <c r="AP773" s="339"/>
      <c r="AQ773" s="339"/>
      <c r="AR773" s="339"/>
      <c r="AS773" s="339"/>
    </row>
    <row r="774" spans="1:45" ht="15.75" customHeight="1">
      <c r="A774" s="339"/>
      <c r="B774" s="339"/>
      <c r="C774" s="341"/>
      <c r="D774" s="341"/>
      <c r="E774" s="341"/>
      <c r="F774" s="340"/>
      <c r="G774" s="339"/>
      <c r="H774" s="339"/>
      <c r="I774" s="339"/>
      <c r="J774" s="341"/>
      <c r="K774" s="340"/>
      <c r="L774" s="341"/>
      <c r="M774" s="340"/>
      <c r="N774" s="339"/>
      <c r="O774" s="339"/>
      <c r="P774" s="339"/>
      <c r="Q774" s="339"/>
      <c r="R774" s="339"/>
      <c r="S774" s="339"/>
      <c r="T774" s="339"/>
      <c r="U774" s="339"/>
      <c r="V774" s="339"/>
      <c r="W774" s="339"/>
      <c r="X774" s="339"/>
      <c r="Y774" s="339"/>
      <c r="Z774" s="339"/>
      <c r="AA774" s="339"/>
      <c r="AB774" s="341"/>
      <c r="AC774" s="341"/>
      <c r="AD774" s="341"/>
      <c r="AE774" s="339"/>
      <c r="AF774" s="339"/>
      <c r="AG774" s="341"/>
      <c r="AH774" s="339"/>
      <c r="AI774" s="341"/>
      <c r="AJ774" s="339"/>
      <c r="AK774" s="341"/>
      <c r="AL774" s="341"/>
      <c r="AM774" s="339"/>
      <c r="AN774" s="339"/>
      <c r="AO774" s="339"/>
      <c r="AP774" s="339"/>
      <c r="AQ774" s="339"/>
      <c r="AR774" s="339"/>
      <c r="AS774" s="339"/>
    </row>
    <row r="775" spans="1:45" ht="15.75" customHeight="1">
      <c r="A775" s="339"/>
      <c r="B775" s="339"/>
      <c r="C775" s="341"/>
      <c r="D775" s="341"/>
      <c r="E775" s="341"/>
      <c r="F775" s="340"/>
      <c r="G775" s="339"/>
      <c r="H775" s="339"/>
      <c r="I775" s="339"/>
      <c r="J775" s="341"/>
      <c r="K775" s="340"/>
      <c r="L775" s="341"/>
      <c r="M775" s="340"/>
      <c r="N775" s="339"/>
      <c r="O775" s="339"/>
      <c r="P775" s="339"/>
      <c r="Q775" s="339"/>
      <c r="R775" s="339"/>
      <c r="S775" s="339"/>
      <c r="T775" s="339"/>
      <c r="U775" s="339"/>
      <c r="V775" s="339"/>
      <c r="W775" s="339"/>
      <c r="X775" s="339"/>
      <c r="Y775" s="339"/>
      <c r="Z775" s="339"/>
      <c r="AA775" s="339"/>
      <c r="AB775" s="341"/>
      <c r="AC775" s="341"/>
      <c r="AD775" s="341"/>
      <c r="AE775" s="339"/>
      <c r="AF775" s="339"/>
      <c r="AG775" s="341"/>
      <c r="AH775" s="339"/>
      <c r="AI775" s="341"/>
      <c r="AJ775" s="339"/>
      <c r="AK775" s="341"/>
      <c r="AL775" s="341"/>
      <c r="AM775" s="339"/>
      <c r="AN775" s="339"/>
      <c r="AO775" s="339"/>
      <c r="AP775" s="339"/>
      <c r="AQ775" s="339"/>
      <c r="AR775" s="339"/>
      <c r="AS775" s="339"/>
    </row>
    <row r="776" spans="1:45" ht="15.75" customHeight="1">
      <c r="A776" s="339"/>
      <c r="B776" s="339"/>
      <c r="C776" s="341"/>
      <c r="D776" s="341"/>
      <c r="E776" s="341"/>
      <c r="F776" s="340"/>
      <c r="G776" s="339"/>
      <c r="H776" s="339"/>
      <c r="I776" s="339"/>
      <c r="J776" s="341"/>
      <c r="K776" s="340"/>
      <c r="L776" s="341"/>
      <c r="M776" s="340"/>
      <c r="N776" s="339"/>
      <c r="O776" s="339"/>
      <c r="P776" s="339"/>
      <c r="Q776" s="339"/>
      <c r="R776" s="339"/>
      <c r="S776" s="339"/>
      <c r="T776" s="339"/>
      <c r="U776" s="339"/>
      <c r="V776" s="339"/>
      <c r="W776" s="339"/>
      <c r="X776" s="339"/>
      <c r="Y776" s="339"/>
      <c r="Z776" s="339"/>
      <c r="AA776" s="339"/>
      <c r="AB776" s="341"/>
      <c r="AC776" s="341"/>
      <c r="AD776" s="341"/>
      <c r="AE776" s="339"/>
      <c r="AF776" s="339"/>
      <c r="AG776" s="341"/>
      <c r="AH776" s="339"/>
      <c r="AI776" s="341"/>
      <c r="AJ776" s="339"/>
      <c r="AK776" s="341"/>
      <c r="AL776" s="341"/>
      <c r="AM776" s="339"/>
      <c r="AN776" s="339"/>
      <c r="AO776" s="339"/>
      <c r="AP776" s="339"/>
      <c r="AQ776" s="339"/>
      <c r="AR776" s="339"/>
      <c r="AS776" s="339"/>
    </row>
    <row r="777" spans="1:45" ht="15.75" customHeight="1">
      <c r="A777" s="339"/>
      <c r="B777" s="339"/>
      <c r="C777" s="341"/>
      <c r="D777" s="341"/>
      <c r="E777" s="341"/>
      <c r="F777" s="340"/>
      <c r="G777" s="339"/>
      <c r="H777" s="339"/>
      <c r="I777" s="339"/>
      <c r="J777" s="341"/>
      <c r="K777" s="340"/>
      <c r="L777" s="341"/>
      <c r="M777" s="340"/>
      <c r="N777" s="339"/>
      <c r="O777" s="339"/>
      <c r="P777" s="339"/>
      <c r="Q777" s="339"/>
      <c r="R777" s="339"/>
      <c r="S777" s="339"/>
      <c r="T777" s="339"/>
      <c r="U777" s="339"/>
      <c r="V777" s="339"/>
      <c r="W777" s="339"/>
      <c r="X777" s="339"/>
      <c r="Y777" s="339"/>
      <c r="Z777" s="339"/>
      <c r="AA777" s="339"/>
      <c r="AB777" s="341"/>
      <c r="AC777" s="341"/>
      <c r="AD777" s="341"/>
      <c r="AE777" s="339"/>
      <c r="AF777" s="339"/>
      <c r="AG777" s="341"/>
      <c r="AH777" s="339"/>
      <c r="AI777" s="341"/>
      <c r="AJ777" s="339"/>
      <c r="AK777" s="341"/>
      <c r="AL777" s="341"/>
      <c r="AM777" s="339"/>
      <c r="AN777" s="339"/>
      <c r="AO777" s="339"/>
      <c r="AP777" s="339"/>
      <c r="AQ777" s="339"/>
      <c r="AR777" s="339"/>
      <c r="AS777" s="339"/>
    </row>
    <row r="778" spans="1:45" ht="15.75" customHeight="1">
      <c r="A778" s="339"/>
      <c r="B778" s="339"/>
      <c r="C778" s="341"/>
      <c r="D778" s="341"/>
      <c r="E778" s="341"/>
      <c r="F778" s="340"/>
      <c r="G778" s="339"/>
      <c r="H778" s="339"/>
      <c r="I778" s="339"/>
      <c r="J778" s="341"/>
      <c r="K778" s="340"/>
      <c r="L778" s="341"/>
      <c r="M778" s="340"/>
      <c r="N778" s="339"/>
      <c r="O778" s="339"/>
      <c r="P778" s="339"/>
      <c r="Q778" s="339"/>
      <c r="R778" s="339"/>
      <c r="S778" s="339"/>
      <c r="T778" s="339"/>
      <c r="U778" s="339"/>
      <c r="V778" s="339"/>
      <c r="W778" s="339"/>
      <c r="X778" s="339"/>
      <c r="Y778" s="339"/>
      <c r="Z778" s="339"/>
      <c r="AA778" s="339"/>
      <c r="AB778" s="341"/>
      <c r="AC778" s="341"/>
      <c r="AD778" s="341"/>
      <c r="AE778" s="339"/>
      <c r="AF778" s="339"/>
      <c r="AG778" s="341"/>
      <c r="AH778" s="339"/>
      <c r="AI778" s="341"/>
      <c r="AJ778" s="339"/>
      <c r="AK778" s="341"/>
      <c r="AL778" s="341"/>
      <c r="AM778" s="339"/>
      <c r="AN778" s="339"/>
      <c r="AO778" s="339"/>
      <c r="AP778" s="339"/>
      <c r="AQ778" s="339"/>
      <c r="AR778" s="339"/>
      <c r="AS778" s="339"/>
    </row>
    <row r="779" spans="1:45" ht="15.75" customHeight="1">
      <c r="A779" s="339"/>
      <c r="B779" s="339"/>
      <c r="C779" s="341"/>
      <c r="D779" s="341"/>
      <c r="E779" s="341"/>
      <c r="F779" s="340"/>
      <c r="G779" s="339"/>
      <c r="H779" s="339"/>
      <c r="I779" s="339"/>
      <c r="J779" s="341"/>
      <c r="K779" s="340"/>
      <c r="L779" s="341"/>
      <c r="M779" s="340"/>
      <c r="N779" s="339"/>
      <c r="O779" s="339"/>
      <c r="P779" s="339"/>
      <c r="Q779" s="339"/>
      <c r="R779" s="339"/>
      <c r="S779" s="339"/>
      <c r="T779" s="339"/>
      <c r="U779" s="339"/>
      <c r="V779" s="339"/>
      <c r="W779" s="339"/>
      <c r="X779" s="339"/>
      <c r="Y779" s="339"/>
      <c r="Z779" s="339"/>
      <c r="AA779" s="339"/>
      <c r="AB779" s="341"/>
      <c r="AC779" s="341"/>
      <c r="AD779" s="341"/>
      <c r="AE779" s="339"/>
      <c r="AF779" s="339"/>
      <c r="AG779" s="341"/>
      <c r="AH779" s="339"/>
      <c r="AI779" s="341"/>
      <c r="AJ779" s="339"/>
      <c r="AK779" s="341"/>
      <c r="AL779" s="341"/>
      <c r="AM779" s="339"/>
      <c r="AN779" s="339"/>
      <c r="AO779" s="339"/>
      <c r="AP779" s="339"/>
      <c r="AQ779" s="339"/>
      <c r="AR779" s="339"/>
      <c r="AS779" s="339"/>
    </row>
    <row r="780" spans="1:45" ht="15.75" customHeight="1">
      <c r="A780" s="339"/>
      <c r="B780" s="339"/>
      <c r="C780" s="341"/>
      <c r="D780" s="341"/>
      <c r="E780" s="341"/>
      <c r="F780" s="340"/>
      <c r="G780" s="339"/>
      <c r="H780" s="339"/>
      <c r="I780" s="339"/>
      <c r="J780" s="341"/>
      <c r="K780" s="340"/>
      <c r="L780" s="341"/>
      <c r="M780" s="340"/>
      <c r="N780" s="339"/>
      <c r="O780" s="339"/>
      <c r="P780" s="339"/>
      <c r="Q780" s="339"/>
      <c r="R780" s="339"/>
      <c r="S780" s="339"/>
      <c r="T780" s="339"/>
      <c r="U780" s="339"/>
      <c r="V780" s="339"/>
      <c r="W780" s="339"/>
      <c r="X780" s="339"/>
      <c r="Y780" s="339"/>
      <c r="Z780" s="339"/>
      <c r="AA780" s="339"/>
      <c r="AB780" s="341"/>
      <c r="AC780" s="341"/>
      <c r="AD780" s="341"/>
      <c r="AE780" s="339"/>
      <c r="AF780" s="339"/>
      <c r="AG780" s="341"/>
      <c r="AH780" s="339"/>
      <c r="AI780" s="341"/>
      <c r="AJ780" s="339"/>
      <c r="AK780" s="341"/>
      <c r="AL780" s="341"/>
      <c r="AM780" s="339"/>
      <c r="AN780" s="339"/>
      <c r="AO780" s="339"/>
      <c r="AP780" s="339"/>
      <c r="AQ780" s="339"/>
      <c r="AR780" s="339"/>
      <c r="AS780" s="339"/>
    </row>
    <row r="781" spans="1:45" ht="15.75" customHeight="1">
      <c r="A781" s="339"/>
      <c r="B781" s="339"/>
      <c r="C781" s="341"/>
      <c r="D781" s="341"/>
      <c r="E781" s="341"/>
      <c r="F781" s="340"/>
      <c r="G781" s="339"/>
      <c r="H781" s="339"/>
      <c r="I781" s="339"/>
      <c r="J781" s="341"/>
      <c r="K781" s="340"/>
      <c r="L781" s="341"/>
      <c r="M781" s="340"/>
      <c r="N781" s="339"/>
      <c r="O781" s="339"/>
      <c r="P781" s="339"/>
      <c r="Q781" s="339"/>
      <c r="R781" s="339"/>
      <c r="S781" s="339"/>
      <c r="T781" s="339"/>
      <c r="U781" s="339"/>
      <c r="V781" s="339"/>
      <c r="W781" s="339"/>
      <c r="X781" s="339"/>
      <c r="Y781" s="339"/>
      <c r="Z781" s="339"/>
      <c r="AA781" s="339"/>
      <c r="AB781" s="341"/>
      <c r="AC781" s="341"/>
      <c r="AD781" s="341"/>
      <c r="AE781" s="339"/>
      <c r="AF781" s="339"/>
      <c r="AG781" s="341"/>
      <c r="AH781" s="339"/>
      <c r="AI781" s="341"/>
      <c r="AJ781" s="339"/>
      <c r="AK781" s="341"/>
      <c r="AL781" s="341"/>
      <c r="AM781" s="339"/>
      <c r="AN781" s="339"/>
      <c r="AO781" s="339"/>
      <c r="AP781" s="339"/>
      <c r="AQ781" s="339"/>
      <c r="AR781" s="339"/>
      <c r="AS781" s="339"/>
    </row>
    <row r="782" spans="1:45" ht="15.75" customHeight="1">
      <c r="A782" s="339"/>
      <c r="B782" s="339"/>
      <c r="C782" s="341"/>
      <c r="D782" s="341"/>
      <c r="E782" s="341"/>
      <c r="F782" s="340"/>
      <c r="G782" s="339"/>
      <c r="H782" s="339"/>
      <c r="I782" s="339"/>
      <c r="J782" s="341"/>
      <c r="K782" s="340"/>
      <c r="L782" s="341"/>
      <c r="M782" s="340"/>
      <c r="N782" s="339"/>
      <c r="O782" s="339"/>
      <c r="P782" s="339"/>
      <c r="Q782" s="339"/>
      <c r="R782" s="339"/>
      <c r="S782" s="339"/>
      <c r="T782" s="339"/>
      <c r="U782" s="339"/>
      <c r="V782" s="339"/>
      <c r="W782" s="339"/>
      <c r="X782" s="339"/>
      <c r="Y782" s="339"/>
      <c r="Z782" s="339"/>
      <c r="AA782" s="339"/>
      <c r="AB782" s="341"/>
      <c r="AC782" s="341"/>
      <c r="AD782" s="341"/>
      <c r="AE782" s="339"/>
      <c r="AF782" s="339"/>
      <c r="AG782" s="341"/>
      <c r="AH782" s="339"/>
      <c r="AI782" s="341"/>
      <c r="AJ782" s="339"/>
      <c r="AK782" s="341"/>
      <c r="AL782" s="341"/>
      <c r="AM782" s="339"/>
      <c r="AN782" s="339"/>
      <c r="AO782" s="339"/>
      <c r="AP782" s="339"/>
      <c r="AQ782" s="339"/>
      <c r="AR782" s="339"/>
      <c r="AS782" s="339"/>
    </row>
    <row r="783" spans="1:45" ht="15.75" customHeight="1">
      <c r="A783" s="339"/>
      <c r="B783" s="339"/>
      <c r="C783" s="341"/>
      <c r="D783" s="341"/>
      <c r="E783" s="341"/>
      <c r="F783" s="340"/>
      <c r="G783" s="339"/>
      <c r="H783" s="339"/>
      <c r="I783" s="339"/>
      <c r="J783" s="341"/>
      <c r="K783" s="340"/>
      <c r="L783" s="341"/>
      <c r="M783" s="340"/>
      <c r="N783" s="339"/>
      <c r="O783" s="339"/>
      <c r="P783" s="339"/>
      <c r="Q783" s="339"/>
      <c r="R783" s="339"/>
      <c r="S783" s="339"/>
      <c r="T783" s="339"/>
      <c r="U783" s="339"/>
      <c r="V783" s="339"/>
      <c r="W783" s="339"/>
      <c r="X783" s="339"/>
      <c r="Y783" s="339"/>
      <c r="Z783" s="339"/>
      <c r="AA783" s="339"/>
      <c r="AB783" s="341"/>
      <c r="AC783" s="341"/>
      <c r="AD783" s="341"/>
      <c r="AE783" s="339"/>
      <c r="AF783" s="339"/>
      <c r="AG783" s="341"/>
      <c r="AH783" s="339"/>
      <c r="AI783" s="341"/>
      <c r="AJ783" s="339"/>
      <c r="AK783" s="341"/>
      <c r="AL783" s="341"/>
      <c r="AM783" s="339"/>
      <c r="AN783" s="339"/>
      <c r="AO783" s="339"/>
      <c r="AP783" s="339"/>
      <c r="AQ783" s="339"/>
      <c r="AR783" s="339"/>
      <c r="AS783" s="339"/>
    </row>
    <row r="784" spans="1:45" ht="15.75" customHeight="1">
      <c r="A784" s="339"/>
      <c r="B784" s="339"/>
      <c r="C784" s="341"/>
      <c r="D784" s="341"/>
      <c r="E784" s="341"/>
      <c r="F784" s="340"/>
      <c r="G784" s="339"/>
      <c r="H784" s="339"/>
      <c r="I784" s="339"/>
      <c r="J784" s="341"/>
      <c r="K784" s="340"/>
      <c r="L784" s="341"/>
      <c r="M784" s="340"/>
      <c r="N784" s="339"/>
      <c r="O784" s="339"/>
      <c r="P784" s="339"/>
      <c r="Q784" s="339"/>
      <c r="R784" s="339"/>
      <c r="S784" s="339"/>
      <c r="T784" s="339"/>
      <c r="U784" s="339"/>
      <c r="V784" s="339"/>
      <c r="W784" s="339"/>
      <c r="X784" s="339"/>
      <c r="Y784" s="339"/>
      <c r="Z784" s="339"/>
      <c r="AA784" s="339"/>
      <c r="AB784" s="341"/>
      <c r="AC784" s="341"/>
      <c r="AD784" s="341"/>
      <c r="AE784" s="339"/>
      <c r="AF784" s="339"/>
      <c r="AG784" s="341"/>
      <c r="AH784" s="339"/>
      <c r="AI784" s="341"/>
      <c r="AJ784" s="339"/>
      <c r="AK784" s="341"/>
      <c r="AL784" s="341"/>
      <c r="AM784" s="339"/>
      <c r="AN784" s="339"/>
      <c r="AO784" s="339"/>
      <c r="AP784" s="339"/>
      <c r="AQ784" s="339"/>
      <c r="AR784" s="339"/>
      <c r="AS784" s="339"/>
    </row>
    <row r="785" spans="1:45" ht="15.75" customHeight="1">
      <c r="A785" s="339"/>
      <c r="B785" s="339"/>
      <c r="C785" s="341"/>
      <c r="D785" s="341"/>
      <c r="E785" s="341"/>
      <c r="F785" s="340"/>
      <c r="G785" s="339"/>
      <c r="H785" s="339"/>
      <c r="I785" s="339"/>
      <c r="J785" s="341"/>
      <c r="K785" s="340"/>
      <c r="L785" s="341"/>
      <c r="M785" s="340"/>
      <c r="N785" s="339"/>
      <c r="O785" s="339"/>
      <c r="P785" s="339"/>
      <c r="Q785" s="339"/>
      <c r="R785" s="339"/>
      <c r="S785" s="339"/>
      <c r="T785" s="339"/>
      <c r="U785" s="339"/>
      <c r="V785" s="339"/>
      <c r="W785" s="339"/>
      <c r="X785" s="339"/>
      <c r="Y785" s="339"/>
      <c r="Z785" s="339"/>
      <c r="AA785" s="339"/>
      <c r="AB785" s="341"/>
      <c r="AC785" s="341"/>
      <c r="AD785" s="341"/>
      <c r="AE785" s="339"/>
      <c r="AF785" s="339"/>
      <c r="AG785" s="341"/>
      <c r="AH785" s="339"/>
      <c r="AI785" s="341"/>
      <c r="AJ785" s="339"/>
      <c r="AK785" s="341"/>
      <c r="AL785" s="341"/>
      <c r="AM785" s="339"/>
      <c r="AN785" s="339"/>
      <c r="AO785" s="339"/>
      <c r="AP785" s="339"/>
      <c r="AQ785" s="339"/>
      <c r="AR785" s="339"/>
      <c r="AS785" s="339"/>
    </row>
    <row r="786" spans="1:45" ht="15.75" customHeight="1">
      <c r="A786" s="339"/>
      <c r="B786" s="339"/>
      <c r="C786" s="341"/>
      <c r="D786" s="341"/>
      <c r="E786" s="341"/>
      <c r="F786" s="340"/>
      <c r="G786" s="339"/>
      <c r="H786" s="339"/>
      <c r="I786" s="339"/>
      <c r="J786" s="341"/>
      <c r="K786" s="340"/>
      <c r="L786" s="341"/>
      <c r="M786" s="340"/>
      <c r="N786" s="339"/>
      <c r="O786" s="339"/>
      <c r="P786" s="339"/>
      <c r="Q786" s="339"/>
      <c r="R786" s="339"/>
      <c r="S786" s="339"/>
      <c r="T786" s="339"/>
      <c r="U786" s="339"/>
      <c r="V786" s="339"/>
      <c r="W786" s="339"/>
      <c r="X786" s="339"/>
      <c r="Y786" s="339"/>
      <c r="Z786" s="339"/>
      <c r="AA786" s="339"/>
      <c r="AB786" s="341"/>
      <c r="AC786" s="341"/>
      <c r="AD786" s="341"/>
      <c r="AE786" s="339"/>
      <c r="AF786" s="339"/>
      <c r="AG786" s="341"/>
      <c r="AH786" s="339"/>
      <c r="AI786" s="341"/>
      <c r="AJ786" s="339"/>
      <c r="AK786" s="341"/>
      <c r="AL786" s="341"/>
      <c r="AM786" s="339"/>
      <c r="AN786" s="339"/>
      <c r="AO786" s="339"/>
      <c r="AP786" s="339"/>
      <c r="AQ786" s="339"/>
      <c r="AR786" s="339"/>
      <c r="AS786" s="339"/>
    </row>
    <row r="787" spans="1:45" ht="15.75" customHeight="1">
      <c r="A787" s="339"/>
      <c r="B787" s="339"/>
      <c r="C787" s="341"/>
      <c r="D787" s="341"/>
      <c r="E787" s="341"/>
      <c r="F787" s="340"/>
      <c r="G787" s="339"/>
      <c r="H787" s="339"/>
      <c r="I787" s="339"/>
      <c r="J787" s="341"/>
      <c r="K787" s="340"/>
      <c r="L787" s="341"/>
      <c r="M787" s="340"/>
      <c r="N787" s="339"/>
      <c r="O787" s="339"/>
      <c r="P787" s="339"/>
      <c r="Q787" s="339"/>
      <c r="R787" s="339"/>
      <c r="S787" s="339"/>
      <c r="T787" s="339"/>
      <c r="U787" s="339"/>
      <c r="V787" s="339"/>
      <c r="W787" s="339"/>
      <c r="X787" s="339"/>
      <c r="Y787" s="339"/>
      <c r="Z787" s="339"/>
      <c r="AA787" s="339"/>
      <c r="AB787" s="341"/>
      <c r="AC787" s="341"/>
      <c r="AD787" s="341"/>
      <c r="AE787" s="339"/>
      <c r="AF787" s="339"/>
      <c r="AG787" s="341"/>
      <c r="AH787" s="339"/>
      <c r="AI787" s="341"/>
      <c r="AJ787" s="339"/>
      <c r="AK787" s="341"/>
      <c r="AL787" s="341"/>
      <c r="AM787" s="339"/>
      <c r="AN787" s="339"/>
      <c r="AO787" s="339"/>
      <c r="AP787" s="339"/>
      <c r="AQ787" s="339"/>
      <c r="AR787" s="339"/>
      <c r="AS787" s="339"/>
    </row>
    <row r="788" spans="1:45" ht="15.75" customHeight="1">
      <c r="A788" s="339"/>
      <c r="B788" s="339"/>
      <c r="C788" s="341"/>
      <c r="D788" s="341"/>
      <c r="E788" s="341"/>
      <c r="F788" s="340"/>
      <c r="G788" s="339"/>
      <c r="H788" s="339"/>
      <c r="I788" s="339"/>
      <c r="J788" s="341"/>
      <c r="K788" s="340"/>
      <c r="L788" s="341"/>
      <c r="M788" s="340"/>
      <c r="N788" s="339"/>
      <c r="O788" s="339"/>
      <c r="P788" s="339"/>
      <c r="Q788" s="339"/>
      <c r="R788" s="339"/>
      <c r="S788" s="339"/>
      <c r="T788" s="339"/>
      <c r="U788" s="339"/>
      <c r="V788" s="339"/>
      <c r="W788" s="339"/>
      <c r="X788" s="339"/>
      <c r="Y788" s="339"/>
      <c r="Z788" s="339"/>
      <c r="AA788" s="339"/>
      <c r="AB788" s="341"/>
      <c r="AC788" s="341"/>
      <c r="AD788" s="341"/>
      <c r="AE788" s="339"/>
      <c r="AF788" s="339"/>
      <c r="AG788" s="341"/>
      <c r="AH788" s="339"/>
      <c r="AI788" s="341"/>
      <c r="AJ788" s="339"/>
      <c r="AK788" s="341"/>
      <c r="AL788" s="341"/>
      <c r="AM788" s="339"/>
      <c r="AN788" s="339"/>
      <c r="AO788" s="339"/>
      <c r="AP788" s="339"/>
      <c r="AQ788" s="339"/>
      <c r="AR788" s="339"/>
      <c r="AS788" s="339"/>
    </row>
    <row r="789" spans="1:45" ht="15.75" customHeight="1">
      <c r="A789" s="339"/>
      <c r="B789" s="339"/>
      <c r="C789" s="341"/>
      <c r="D789" s="341"/>
      <c r="E789" s="341"/>
      <c r="F789" s="340"/>
      <c r="G789" s="339"/>
      <c r="H789" s="339"/>
      <c r="I789" s="339"/>
      <c r="J789" s="341"/>
      <c r="K789" s="340"/>
      <c r="L789" s="341"/>
      <c r="M789" s="340"/>
      <c r="N789" s="339"/>
      <c r="O789" s="339"/>
      <c r="P789" s="339"/>
      <c r="Q789" s="339"/>
      <c r="R789" s="339"/>
      <c r="S789" s="339"/>
      <c r="T789" s="339"/>
      <c r="U789" s="339"/>
      <c r="V789" s="339"/>
      <c r="W789" s="339"/>
      <c r="X789" s="339"/>
      <c r="Y789" s="339"/>
      <c r="Z789" s="339"/>
      <c r="AA789" s="339"/>
      <c r="AB789" s="341"/>
      <c r="AC789" s="341"/>
      <c r="AD789" s="341"/>
      <c r="AE789" s="339"/>
      <c r="AF789" s="339"/>
      <c r="AG789" s="341"/>
      <c r="AH789" s="339"/>
      <c r="AI789" s="341"/>
      <c r="AJ789" s="339"/>
      <c r="AK789" s="341"/>
      <c r="AL789" s="341"/>
      <c r="AM789" s="339"/>
      <c r="AN789" s="339"/>
      <c r="AO789" s="339"/>
      <c r="AP789" s="339"/>
      <c r="AQ789" s="339"/>
      <c r="AR789" s="339"/>
      <c r="AS789" s="339"/>
    </row>
    <row r="790" spans="1:45" ht="15.75" customHeight="1">
      <c r="A790" s="339"/>
      <c r="B790" s="339"/>
      <c r="C790" s="341"/>
      <c r="D790" s="341"/>
      <c r="E790" s="341"/>
      <c r="F790" s="340"/>
      <c r="G790" s="339"/>
      <c r="H790" s="339"/>
      <c r="I790" s="339"/>
      <c r="J790" s="341"/>
      <c r="K790" s="340"/>
      <c r="L790" s="341"/>
      <c r="M790" s="340"/>
      <c r="N790" s="339"/>
      <c r="O790" s="339"/>
      <c r="P790" s="339"/>
      <c r="Q790" s="339"/>
      <c r="R790" s="339"/>
      <c r="S790" s="339"/>
      <c r="T790" s="339"/>
      <c r="U790" s="339"/>
      <c r="V790" s="339"/>
      <c r="W790" s="339"/>
      <c r="X790" s="339"/>
      <c r="Y790" s="339"/>
      <c r="Z790" s="339"/>
      <c r="AA790" s="339"/>
      <c r="AB790" s="341"/>
      <c r="AC790" s="341"/>
      <c r="AD790" s="341"/>
      <c r="AE790" s="339"/>
      <c r="AF790" s="339"/>
      <c r="AG790" s="341"/>
      <c r="AH790" s="339"/>
      <c r="AI790" s="341"/>
      <c r="AJ790" s="339"/>
      <c r="AK790" s="341"/>
      <c r="AL790" s="341"/>
      <c r="AM790" s="339"/>
      <c r="AN790" s="339"/>
      <c r="AO790" s="339"/>
      <c r="AP790" s="339"/>
      <c r="AQ790" s="339"/>
      <c r="AR790" s="339"/>
      <c r="AS790" s="339"/>
    </row>
    <row r="791" spans="1:45" ht="15.75" customHeight="1">
      <c r="A791" s="339"/>
      <c r="B791" s="339"/>
      <c r="C791" s="341"/>
      <c r="D791" s="341"/>
      <c r="E791" s="341"/>
      <c r="F791" s="340"/>
      <c r="G791" s="339"/>
      <c r="H791" s="339"/>
      <c r="I791" s="339"/>
      <c r="J791" s="341"/>
      <c r="K791" s="340"/>
      <c r="L791" s="341"/>
      <c r="M791" s="340"/>
      <c r="N791" s="339"/>
      <c r="O791" s="339"/>
      <c r="P791" s="339"/>
      <c r="Q791" s="339"/>
      <c r="R791" s="339"/>
      <c r="S791" s="339"/>
      <c r="T791" s="339"/>
      <c r="U791" s="339"/>
      <c r="V791" s="339"/>
      <c r="W791" s="339"/>
      <c r="X791" s="339"/>
      <c r="Y791" s="339"/>
      <c r="Z791" s="339"/>
      <c r="AA791" s="339"/>
      <c r="AB791" s="341"/>
      <c r="AC791" s="341"/>
      <c r="AD791" s="341"/>
      <c r="AE791" s="339"/>
      <c r="AF791" s="339"/>
      <c r="AG791" s="341"/>
      <c r="AH791" s="339"/>
      <c r="AI791" s="341"/>
      <c r="AJ791" s="339"/>
      <c r="AK791" s="341"/>
      <c r="AL791" s="341"/>
      <c r="AM791" s="339"/>
      <c r="AN791" s="339"/>
      <c r="AO791" s="339"/>
      <c r="AP791" s="339"/>
      <c r="AQ791" s="339"/>
      <c r="AR791" s="339"/>
      <c r="AS791" s="339"/>
    </row>
    <row r="792" spans="1:45" ht="15.75" customHeight="1">
      <c r="A792" s="339"/>
      <c r="B792" s="339"/>
      <c r="C792" s="341"/>
      <c r="D792" s="341"/>
      <c r="E792" s="341"/>
      <c r="F792" s="340"/>
      <c r="G792" s="339"/>
      <c r="H792" s="339"/>
      <c r="I792" s="339"/>
      <c r="J792" s="341"/>
      <c r="K792" s="340"/>
      <c r="L792" s="341"/>
      <c r="M792" s="340"/>
      <c r="N792" s="339"/>
      <c r="O792" s="339"/>
      <c r="P792" s="339"/>
      <c r="Q792" s="339"/>
      <c r="R792" s="339"/>
      <c r="S792" s="339"/>
      <c r="T792" s="339"/>
      <c r="U792" s="339"/>
      <c r="V792" s="339"/>
      <c r="W792" s="339"/>
      <c r="X792" s="339"/>
      <c r="Y792" s="339"/>
      <c r="Z792" s="339"/>
      <c r="AA792" s="339"/>
      <c r="AB792" s="341"/>
      <c r="AC792" s="341"/>
      <c r="AD792" s="341"/>
      <c r="AE792" s="339"/>
      <c r="AF792" s="339"/>
      <c r="AG792" s="341"/>
      <c r="AH792" s="339"/>
      <c r="AI792" s="341"/>
      <c r="AJ792" s="339"/>
      <c r="AK792" s="341"/>
      <c r="AL792" s="341"/>
      <c r="AM792" s="339"/>
      <c r="AN792" s="339"/>
      <c r="AO792" s="339"/>
      <c r="AP792" s="339"/>
      <c r="AQ792" s="339"/>
      <c r="AR792" s="339"/>
      <c r="AS792" s="339"/>
    </row>
    <row r="793" spans="1:45" ht="15.75" customHeight="1">
      <c r="A793" s="339"/>
      <c r="B793" s="339"/>
      <c r="C793" s="341"/>
      <c r="D793" s="341"/>
      <c r="E793" s="341"/>
      <c r="F793" s="340"/>
      <c r="G793" s="339"/>
      <c r="H793" s="339"/>
      <c r="I793" s="339"/>
      <c r="J793" s="341"/>
      <c r="K793" s="340"/>
      <c r="L793" s="341"/>
      <c r="M793" s="340"/>
      <c r="N793" s="339"/>
      <c r="O793" s="339"/>
      <c r="P793" s="339"/>
      <c r="Q793" s="339"/>
      <c r="R793" s="339"/>
      <c r="S793" s="339"/>
      <c r="T793" s="339"/>
      <c r="U793" s="339"/>
      <c r="V793" s="339"/>
      <c r="W793" s="339"/>
      <c r="X793" s="339"/>
      <c r="Y793" s="339"/>
      <c r="Z793" s="339"/>
      <c r="AA793" s="339"/>
      <c r="AB793" s="341"/>
      <c r="AC793" s="341"/>
      <c r="AD793" s="341"/>
      <c r="AE793" s="339"/>
      <c r="AF793" s="339"/>
      <c r="AG793" s="341"/>
      <c r="AH793" s="339"/>
      <c r="AI793" s="341"/>
      <c r="AJ793" s="339"/>
      <c r="AK793" s="341"/>
      <c r="AL793" s="341"/>
      <c r="AM793" s="339"/>
      <c r="AN793" s="339"/>
      <c r="AO793" s="339"/>
      <c r="AP793" s="339"/>
      <c r="AQ793" s="339"/>
      <c r="AR793" s="339"/>
      <c r="AS793" s="339"/>
    </row>
    <row r="794" spans="1:45" ht="15.75" customHeight="1">
      <c r="A794" s="339"/>
      <c r="B794" s="339"/>
      <c r="C794" s="341"/>
      <c r="D794" s="341"/>
      <c r="E794" s="341"/>
      <c r="F794" s="340"/>
      <c r="G794" s="339"/>
      <c r="H794" s="339"/>
      <c r="I794" s="339"/>
      <c r="J794" s="341"/>
      <c r="K794" s="340"/>
      <c r="L794" s="341"/>
      <c r="M794" s="340"/>
      <c r="N794" s="339"/>
      <c r="O794" s="339"/>
      <c r="P794" s="339"/>
      <c r="Q794" s="339"/>
      <c r="R794" s="339"/>
      <c r="S794" s="339"/>
      <c r="T794" s="339"/>
      <c r="U794" s="339"/>
      <c r="V794" s="339"/>
      <c r="W794" s="339"/>
      <c r="X794" s="339"/>
      <c r="Y794" s="339"/>
      <c r="Z794" s="339"/>
      <c r="AA794" s="339"/>
      <c r="AB794" s="341"/>
      <c r="AC794" s="341"/>
      <c r="AD794" s="341"/>
      <c r="AE794" s="339"/>
      <c r="AF794" s="339"/>
      <c r="AG794" s="341"/>
      <c r="AH794" s="339"/>
      <c r="AI794" s="341"/>
      <c r="AJ794" s="339"/>
      <c r="AK794" s="341"/>
      <c r="AL794" s="341"/>
      <c r="AM794" s="339"/>
      <c r="AN794" s="339"/>
      <c r="AO794" s="339"/>
      <c r="AP794" s="339"/>
      <c r="AQ794" s="339"/>
      <c r="AR794" s="339"/>
      <c r="AS794" s="339"/>
    </row>
    <row r="795" spans="1:45" ht="15.75" customHeight="1">
      <c r="A795" s="339"/>
      <c r="B795" s="339"/>
      <c r="C795" s="341"/>
      <c r="D795" s="341"/>
      <c r="E795" s="341"/>
      <c r="F795" s="340"/>
      <c r="G795" s="339"/>
      <c r="H795" s="339"/>
      <c r="I795" s="339"/>
      <c r="J795" s="341"/>
      <c r="K795" s="340"/>
      <c r="L795" s="341"/>
      <c r="M795" s="340"/>
      <c r="N795" s="339"/>
      <c r="O795" s="339"/>
      <c r="P795" s="339"/>
      <c r="Q795" s="339"/>
      <c r="R795" s="339"/>
      <c r="S795" s="339"/>
      <c r="T795" s="339"/>
      <c r="U795" s="339"/>
      <c r="V795" s="339"/>
      <c r="W795" s="339"/>
      <c r="X795" s="339"/>
      <c r="Y795" s="339"/>
      <c r="Z795" s="339"/>
      <c r="AA795" s="339"/>
      <c r="AB795" s="341"/>
      <c r="AC795" s="341"/>
      <c r="AD795" s="341"/>
      <c r="AE795" s="339"/>
      <c r="AF795" s="339"/>
      <c r="AG795" s="341"/>
      <c r="AH795" s="339"/>
      <c r="AI795" s="341"/>
      <c r="AJ795" s="339"/>
      <c r="AK795" s="341"/>
      <c r="AL795" s="341"/>
      <c r="AM795" s="339"/>
      <c r="AN795" s="339"/>
      <c r="AO795" s="339"/>
      <c r="AP795" s="339"/>
      <c r="AQ795" s="339"/>
      <c r="AR795" s="339"/>
      <c r="AS795" s="339"/>
    </row>
    <row r="796" spans="1:45" ht="15.75" customHeight="1">
      <c r="A796" s="339"/>
      <c r="B796" s="339"/>
      <c r="C796" s="341"/>
      <c r="D796" s="341"/>
      <c r="E796" s="341"/>
      <c r="F796" s="340"/>
      <c r="G796" s="339"/>
      <c r="H796" s="339"/>
      <c r="I796" s="339"/>
      <c r="J796" s="341"/>
      <c r="K796" s="340"/>
      <c r="L796" s="341"/>
      <c r="M796" s="340"/>
      <c r="N796" s="339"/>
      <c r="O796" s="339"/>
      <c r="P796" s="339"/>
      <c r="Q796" s="339"/>
      <c r="R796" s="339"/>
      <c r="S796" s="339"/>
      <c r="T796" s="339"/>
      <c r="U796" s="339"/>
      <c r="V796" s="339"/>
      <c r="W796" s="339"/>
      <c r="X796" s="339"/>
      <c r="Y796" s="339"/>
      <c r="Z796" s="339"/>
      <c r="AA796" s="339"/>
      <c r="AB796" s="341"/>
      <c r="AC796" s="341"/>
      <c r="AD796" s="341"/>
      <c r="AE796" s="339"/>
      <c r="AF796" s="339"/>
      <c r="AG796" s="341"/>
      <c r="AH796" s="339"/>
      <c r="AI796" s="341"/>
      <c r="AJ796" s="339"/>
      <c r="AK796" s="341"/>
      <c r="AL796" s="341"/>
      <c r="AM796" s="339"/>
      <c r="AN796" s="339"/>
      <c r="AO796" s="339"/>
      <c r="AP796" s="339"/>
      <c r="AQ796" s="339"/>
      <c r="AR796" s="339"/>
      <c r="AS796" s="339"/>
    </row>
    <row r="797" spans="1:45" ht="15.75" customHeight="1">
      <c r="A797" s="339"/>
      <c r="B797" s="339"/>
      <c r="C797" s="341"/>
      <c r="D797" s="341"/>
      <c r="E797" s="341"/>
      <c r="F797" s="340"/>
      <c r="G797" s="339"/>
      <c r="H797" s="339"/>
      <c r="I797" s="339"/>
      <c r="J797" s="341"/>
      <c r="K797" s="340"/>
      <c r="L797" s="341"/>
      <c r="M797" s="340"/>
      <c r="N797" s="339"/>
      <c r="O797" s="339"/>
      <c r="P797" s="339"/>
      <c r="Q797" s="339"/>
      <c r="R797" s="339"/>
      <c r="S797" s="339"/>
      <c r="T797" s="339"/>
      <c r="U797" s="339"/>
      <c r="V797" s="339"/>
      <c r="W797" s="339"/>
      <c r="X797" s="339"/>
      <c r="Y797" s="339"/>
      <c r="Z797" s="339"/>
      <c r="AA797" s="339"/>
      <c r="AB797" s="341"/>
      <c r="AC797" s="341"/>
      <c r="AD797" s="341"/>
      <c r="AE797" s="339"/>
      <c r="AF797" s="339"/>
      <c r="AG797" s="341"/>
      <c r="AH797" s="339"/>
      <c r="AI797" s="341"/>
      <c r="AJ797" s="339"/>
      <c r="AK797" s="341"/>
      <c r="AL797" s="341"/>
      <c r="AM797" s="339"/>
      <c r="AN797" s="339"/>
      <c r="AO797" s="339"/>
      <c r="AP797" s="339"/>
      <c r="AQ797" s="339"/>
      <c r="AR797" s="339"/>
      <c r="AS797" s="339"/>
    </row>
    <row r="798" spans="1:45" ht="15.75" customHeight="1">
      <c r="A798" s="339"/>
      <c r="B798" s="339"/>
      <c r="C798" s="341"/>
      <c r="D798" s="341"/>
      <c r="E798" s="341"/>
      <c r="F798" s="340"/>
      <c r="G798" s="339"/>
      <c r="H798" s="339"/>
      <c r="I798" s="339"/>
      <c r="J798" s="341"/>
      <c r="K798" s="340"/>
      <c r="L798" s="341"/>
      <c r="M798" s="340"/>
      <c r="N798" s="339"/>
      <c r="O798" s="339"/>
      <c r="P798" s="339"/>
      <c r="Q798" s="339"/>
      <c r="R798" s="339"/>
      <c r="S798" s="339"/>
      <c r="T798" s="339"/>
      <c r="U798" s="339"/>
      <c r="V798" s="339"/>
      <c r="W798" s="339"/>
      <c r="X798" s="339"/>
      <c r="Y798" s="339"/>
      <c r="Z798" s="339"/>
      <c r="AA798" s="339"/>
      <c r="AB798" s="341"/>
      <c r="AC798" s="341"/>
      <c r="AD798" s="341"/>
      <c r="AE798" s="339"/>
      <c r="AF798" s="339"/>
      <c r="AG798" s="341"/>
      <c r="AH798" s="339"/>
      <c r="AI798" s="341"/>
      <c r="AJ798" s="339"/>
      <c r="AK798" s="341"/>
      <c r="AL798" s="341"/>
      <c r="AM798" s="339"/>
      <c r="AN798" s="339"/>
      <c r="AO798" s="339"/>
      <c r="AP798" s="339"/>
      <c r="AQ798" s="339"/>
      <c r="AR798" s="339"/>
      <c r="AS798" s="339"/>
    </row>
    <row r="799" spans="1:45" ht="15.75" customHeight="1">
      <c r="A799" s="339"/>
      <c r="B799" s="339"/>
      <c r="C799" s="341"/>
      <c r="D799" s="341"/>
      <c r="E799" s="341"/>
      <c r="F799" s="340"/>
      <c r="G799" s="339"/>
      <c r="H799" s="339"/>
      <c r="I799" s="339"/>
      <c r="J799" s="341"/>
      <c r="K799" s="340"/>
      <c r="L799" s="341"/>
      <c r="M799" s="340"/>
      <c r="N799" s="339"/>
      <c r="O799" s="339"/>
      <c r="P799" s="339"/>
      <c r="Q799" s="339"/>
      <c r="R799" s="339"/>
      <c r="S799" s="339"/>
      <c r="T799" s="339"/>
      <c r="U799" s="339"/>
      <c r="V799" s="339"/>
      <c r="W799" s="339"/>
      <c r="X799" s="339"/>
      <c r="Y799" s="339"/>
      <c r="Z799" s="339"/>
      <c r="AA799" s="339"/>
      <c r="AB799" s="341"/>
      <c r="AC799" s="341"/>
      <c r="AD799" s="341"/>
      <c r="AE799" s="339"/>
      <c r="AF799" s="339"/>
      <c r="AG799" s="341"/>
      <c r="AH799" s="339"/>
      <c r="AI799" s="341"/>
      <c r="AJ799" s="339"/>
      <c r="AK799" s="341"/>
      <c r="AL799" s="341"/>
      <c r="AM799" s="339"/>
      <c r="AN799" s="339"/>
      <c r="AO799" s="339"/>
      <c r="AP799" s="339"/>
      <c r="AQ799" s="339"/>
      <c r="AR799" s="339"/>
      <c r="AS799" s="339"/>
    </row>
    <row r="800" spans="1:45" ht="15.75" customHeight="1">
      <c r="A800" s="339"/>
      <c r="B800" s="339"/>
      <c r="C800" s="341"/>
      <c r="D800" s="341"/>
      <c r="E800" s="341"/>
      <c r="F800" s="340"/>
      <c r="G800" s="339"/>
      <c r="H800" s="339"/>
      <c r="I800" s="339"/>
      <c r="J800" s="341"/>
      <c r="K800" s="340"/>
      <c r="L800" s="341"/>
      <c r="M800" s="340"/>
      <c r="N800" s="339"/>
      <c r="O800" s="339"/>
      <c r="P800" s="339"/>
      <c r="Q800" s="339"/>
      <c r="R800" s="339"/>
      <c r="S800" s="339"/>
      <c r="T800" s="339"/>
      <c r="U800" s="339"/>
      <c r="V800" s="339"/>
      <c r="W800" s="339"/>
      <c r="X800" s="339"/>
      <c r="Y800" s="339"/>
      <c r="Z800" s="339"/>
      <c r="AA800" s="339"/>
      <c r="AB800" s="341"/>
      <c r="AC800" s="341"/>
      <c r="AD800" s="341"/>
      <c r="AE800" s="339"/>
      <c r="AF800" s="339"/>
      <c r="AG800" s="341"/>
      <c r="AH800" s="339"/>
      <c r="AI800" s="341"/>
      <c r="AJ800" s="339"/>
      <c r="AK800" s="341"/>
      <c r="AL800" s="341"/>
      <c r="AM800" s="339"/>
      <c r="AN800" s="339"/>
      <c r="AO800" s="339"/>
      <c r="AP800" s="339"/>
      <c r="AQ800" s="339"/>
      <c r="AR800" s="339"/>
      <c r="AS800" s="339"/>
    </row>
    <row r="801" spans="1:45" ht="15.75" customHeight="1">
      <c r="A801" s="339"/>
      <c r="B801" s="339"/>
      <c r="C801" s="341"/>
      <c r="D801" s="341"/>
      <c r="E801" s="341"/>
      <c r="F801" s="340"/>
      <c r="G801" s="339"/>
      <c r="H801" s="339"/>
      <c r="I801" s="339"/>
      <c r="J801" s="341"/>
      <c r="K801" s="340"/>
      <c r="L801" s="341"/>
      <c r="M801" s="340"/>
      <c r="N801" s="339"/>
      <c r="O801" s="339"/>
      <c r="P801" s="339"/>
      <c r="Q801" s="339"/>
      <c r="R801" s="339"/>
      <c r="S801" s="339"/>
      <c r="T801" s="339"/>
      <c r="U801" s="339"/>
      <c r="V801" s="339"/>
      <c r="W801" s="339"/>
      <c r="X801" s="339"/>
      <c r="Y801" s="339"/>
      <c r="Z801" s="339"/>
      <c r="AA801" s="339"/>
      <c r="AB801" s="341"/>
      <c r="AC801" s="341"/>
      <c r="AD801" s="341"/>
      <c r="AE801" s="339"/>
      <c r="AF801" s="339"/>
      <c r="AG801" s="341"/>
      <c r="AH801" s="339"/>
      <c r="AI801" s="341"/>
      <c r="AJ801" s="339"/>
      <c r="AK801" s="341"/>
      <c r="AL801" s="341"/>
      <c r="AM801" s="339"/>
      <c r="AN801" s="339"/>
      <c r="AO801" s="339"/>
      <c r="AP801" s="339"/>
      <c r="AQ801" s="339"/>
      <c r="AR801" s="339"/>
      <c r="AS801" s="339"/>
    </row>
    <row r="802" spans="1:45" ht="15.75" customHeight="1">
      <c r="A802" s="339"/>
      <c r="B802" s="339"/>
      <c r="C802" s="341"/>
      <c r="D802" s="341"/>
      <c r="E802" s="341"/>
      <c r="F802" s="340"/>
      <c r="G802" s="339"/>
      <c r="H802" s="339"/>
      <c r="I802" s="339"/>
      <c r="J802" s="341"/>
      <c r="K802" s="340"/>
      <c r="L802" s="341"/>
      <c r="M802" s="340"/>
      <c r="N802" s="339"/>
      <c r="O802" s="339"/>
      <c r="P802" s="339"/>
      <c r="Q802" s="339"/>
      <c r="R802" s="339"/>
      <c r="S802" s="339"/>
      <c r="T802" s="339"/>
      <c r="U802" s="339"/>
      <c r="V802" s="339"/>
      <c r="W802" s="339"/>
      <c r="X802" s="339"/>
      <c r="Y802" s="339"/>
      <c r="Z802" s="339"/>
      <c r="AA802" s="339"/>
      <c r="AB802" s="341"/>
      <c r="AC802" s="341"/>
      <c r="AD802" s="341"/>
      <c r="AE802" s="339"/>
      <c r="AF802" s="339"/>
      <c r="AG802" s="341"/>
      <c r="AH802" s="339"/>
      <c r="AI802" s="341"/>
      <c r="AJ802" s="339"/>
      <c r="AK802" s="341"/>
      <c r="AL802" s="341"/>
      <c r="AM802" s="339"/>
      <c r="AN802" s="339"/>
      <c r="AO802" s="339"/>
      <c r="AP802" s="339"/>
      <c r="AQ802" s="339"/>
      <c r="AR802" s="339"/>
      <c r="AS802" s="339"/>
    </row>
    <row r="803" spans="1:45" ht="15.75" customHeight="1">
      <c r="A803" s="339"/>
      <c r="B803" s="339"/>
      <c r="C803" s="341"/>
      <c r="D803" s="341"/>
      <c r="E803" s="341"/>
      <c r="F803" s="340"/>
      <c r="G803" s="339"/>
      <c r="H803" s="339"/>
      <c r="I803" s="339"/>
      <c r="J803" s="341"/>
      <c r="K803" s="340"/>
      <c r="L803" s="341"/>
      <c r="M803" s="340"/>
      <c r="N803" s="339"/>
      <c r="O803" s="339"/>
      <c r="P803" s="339"/>
      <c r="Q803" s="339"/>
      <c r="R803" s="339"/>
      <c r="S803" s="339"/>
      <c r="T803" s="339"/>
      <c r="U803" s="339"/>
      <c r="V803" s="339"/>
      <c r="W803" s="339"/>
      <c r="X803" s="339"/>
      <c r="Y803" s="339"/>
      <c r="Z803" s="339"/>
      <c r="AA803" s="339"/>
      <c r="AB803" s="341"/>
      <c r="AC803" s="341"/>
      <c r="AD803" s="341"/>
      <c r="AE803" s="339"/>
      <c r="AF803" s="339"/>
      <c r="AG803" s="341"/>
      <c r="AH803" s="339"/>
      <c r="AI803" s="341"/>
      <c r="AJ803" s="339"/>
      <c r="AK803" s="341"/>
      <c r="AL803" s="341"/>
      <c r="AM803" s="339"/>
      <c r="AN803" s="339"/>
      <c r="AO803" s="339"/>
      <c r="AP803" s="339"/>
      <c r="AQ803" s="339"/>
      <c r="AR803" s="339"/>
      <c r="AS803" s="339"/>
    </row>
    <row r="804" spans="1:45" ht="15.75" customHeight="1">
      <c r="A804" s="339"/>
      <c r="B804" s="339"/>
      <c r="C804" s="341"/>
      <c r="D804" s="341"/>
      <c r="E804" s="341"/>
      <c r="F804" s="340"/>
      <c r="G804" s="339"/>
      <c r="H804" s="339"/>
      <c r="I804" s="339"/>
      <c r="J804" s="341"/>
      <c r="K804" s="340"/>
      <c r="L804" s="341"/>
      <c r="M804" s="340"/>
      <c r="N804" s="339"/>
      <c r="O804" s="339"/>
      <c r="P804" s="339"/>
      <c r="Q804" s="339"/>
      <c r="R804" s="339"/>
      <c r="S804" s="339"/>
      <c r="T804" s="339"/>
      <c r="U804" s="339"/>
      <c r="V804" s="339"/>
      <c r="W804" s="339"/>
      <c r="X804" s="339"/>
      <c r="Y804" s="339"/>
      <c r="Z804" s="339"/>
      <c r="AA804" s="339"/>
      <c r="AB804" s="341"/>
      <c r="AC804" s="341"/>
      <c r="AD804" s="341"/>
      <c r="AE804" s="339"/>
      <c r="AF804" s="339"/>
      <c r="AG804" s="341"/>
      <c r="AH804" s="339"/>
      <c r="AI804" s="341"/>
      <c r="AJ804" s="339"/>
      <c r="AK804" s="341"/>
      <c r="AL804" s="341"/>
      <c r="AM804" s="339"/>
      <c r="AN804" s="339"/>
      <c r="AO804" s="339"/>
      <c r="AP804" s="339"/>
      <c r="AQ804" s="339"/>
      <c r="AR804" s="339"/>
      <c r="AS804" s="339"/>
    </row>
    <row r="805" spans="1:45" ht="15.75" customHeight="1">
      <c r="A805" s="339"/>
      <c r="B805" s="339"/>
      <c r="C805" s="341"/>
      <c r="D805" s="341"/>
      <c r="E805" s="341"/>
      <c r="F805" s="340"/>
      <c r="G805" s="339"/>
      <c r="H805" s="339"/>
      <c r="I805" s="339"/>
      <c r="J805" s="341"/>
      <c r="K805" s="340"/>
      <c r="L805" s="341"/>
      <c r="M805" s="340"/>
      <c r="N805" s="339"/>
      <c r="O805" s="339"/>
      <c r="P805" s="339"/>
      <c r="Q805" s="339"/>
      <c r="R805" s="339"/>
      <c r="S805" s="339"/>
      <c r="T805" s="339"/>
      <c r="U805" s="339"/>
      <c r="V805" s="339"/>
      <c r="W805" s="339"/>
      <c r="X805" s="339"/>
      <c r="Y805" s="339"/>
      <c r="Z805" s="339"/>
      <c r="AA805" s="339"/>
      <c r="AB805" s="341"/>
      <c r="AC805" s="341"/>
      <c r="AD805" s="341"/>
      <c r="AE805" s="339"/>
      <c r="AF805" s="339"/>
      <c r="AG805" s="341"/>
      <c r="AH805" s="339"/>
      <c r="AI805" s="341"/>
      <c r="AJ805" s="339"/>
      <c r="AK805" s="341"/>
      <c r="AL805" s="341"/>
      <c r="AM805" s="339"/>
      <c r="AN805" s="339"/>
      <c r="AO805" s="339"/>
      <c r="AP805" s="339"/>
      <c r="AQ805" s="339"/>
      <c r="AR805" s="339"/>
      <c r="AS805" s="339"/>
    </row>
    <row r="806" spans="1:45" ht="15.75" customHeight="1">
      <c r="A806" s="339"/>
      <c r="B806" s="339"/>
      <c r="C806" s="341"/>
      <c r="D806" s="341"/>
      <c r="E806" s="341"/>
      <c r="F806" s="340"/>
      <c r="G806" s="339"/>
      <c r="H806" s="339"/>
      <c r="I806" s="339"/>
      <c r="J806" s="341"/>
      <c r="K806" s="340"/>
      <c r="L806" s="341"/>
      <c r="M806" s="340"/>
      <c r="N806" s="339"/>
      <c r="O806" s="339"/>
      <c r="P806" s="339"/>
      <c r="Q806" s="339"/>
      <c r="R806" s="339"/>
      <c r="S806" s="339"/>
      <c r="T806" s="339"/>
      <c r="U806" s="339"/>
      <c r="V806" s="339"/>
      <c r="W806" s="339"/>
      <c r="X806" s="339"/>
      <c r="Y806" s="339"/>
      <c r="Z806" s="339"/>
      <c r="AA806" s="339"/>
      <c r="AB806" s="341"/>
      <c r="AC806" s="341"/>
      <c r="AD806" s="341"/>
      <c r="AE806" s="339"/>
      <c r="AF806" s="339"/>
      <c r="AG806" s="341"/>
      <c r="AH806" s="339"/>
      <c r="AI806" s="341"/>
      <c r="AJ806" s="339"/>
      <c r="AK806" s="341"/>
      <c r="AL806" s="341"/>
      <c r="AM806" s="339"/>
      <c r="AN806" s="339"/>
      <c r="AO806" s="339"/>
      <c r="AP806" s="339"/>
      <c r="AQ806" s="339"/>
      <c r="AR806" s="339"/>
      <c r="AS806" s="339"/>
    </row>
    <row r="807" spans="1:45" ht="15.75" customHeight="1">
      <c r="A807" s="339"/>
      <c r="B807" s="339"/>
      <c r="C807" s="341"/>
      <c r="D807" s="341"/>
      <c r="E807" s="341"/>
      <c r="F807" s="340"/>
      <c r="G807" s="339"/>
      <c r="H807" s="339"/>
      <c r="I807" s="339"/>
      <c r="J807" s="341"/>
      <c r="K807" s="340"/>
      <c r="L807" s="341"/>
      <c r="M807" s="340"/>
      <c r="N807" s="339"/>
      <c r="O807" s="339"/>
      <c r="P807" s="339"/>
      <c r="Q807" s="339"/>
      <c r="R807" s="339"/>
      <c r="S807" s="339"/>
      <c r="T807" s="339"/>
      <c r="U807" s="339"/>
      <c r="V807" s="339"/>
      <c r="W807" s="339"/>
      <c r="X807" s="339"/>
      <c r="Y807" s="339"/>
      <c r="Z807" s="339"/>
      <c r="AA807" s="339"/>
      <c r="AB807" s="341"/>
      <c r="AC807" s="341"/>
      <c r="AD807" s="341"/>
      <c r="AE807" s="339"/>
      <c r="AF807" s="339"/>
      <c r="AG807" s="341"/>
      <c r="AH807" s="339"/>
      <c r="AI807" s="341"/>
      <c r="AJ807" s="339"/>
      <c r="AK807" s="341"/>
      <c r="AL807" s="341"/>
      <c r="AM807" s="339"/>
      <c r="AN807" s="339"/>
      <c r="AO807" s="339"/>
      <c r="AP807" s="339"/>
      <c r="AQ807" s="339"/>
      <c r="AR807" s="339"/>
      <c r="AS807" s="339"/>
    </row>
    <row r="808" spans="1:45" ht="15.75" customHeight="1">
      <c r="A808" s="339"/>
      <c r="B808" s="339"/>
      <c r="C808" s="341"/>
      <c r="D808" s="341"/>
      <c r="E808" s="341"/>
      <c r="F808" s="340"/>
      <c r="G808" s="339"/>
      <c r="H808" s="339"/>
      <c r="I808" s="339"/>
      <c r="J808" s="341"/>
      <c r="K808" s="340"/>
      <c r="L808" s="341"/>
      <c r="M808" s="340"/>
      <c r="N808" s="339"/>
      <c r="O808" s="339"/>
      <c r="P808" s="339"/>
      <c r="Q808" s="339"/>
      <c r="R808" s="339"/>
      <c r="S808" s="339"/>
      <c r="T808" s="339"/>
      <c r="U808" s="339"/>
      <c r="V808" s="339"/>
      <c r="W808" s="339"/>
      <c r="X808" s="339"/>
      <c r="Y808" s="339"/>
      <c r="Z808" s="339"/>
      <c r="AA808" s="339"/>
      <c r="AB808" s="341"/>
      <c r="AC808" s="341"/>
      <c r="AD808" s="341"/>
      <c r="AE808" s="339"/>
      <c r="AF808" s="339"/>
      <c r="AG808" s="341"/>
      <c r="AH808" s="339"/>
      <c r="AI808" s="341"/>
      <c r="AJ808" s="339"/>
      <c r="AK808" s="341"/>
      <c r="AL808" s="341"/>
      <c r="AM808" s="339"/>
      <c r="AN808" s="339"/>
      <c r="AO808" s="339"/>
      <c r="AP808" s="339"/>
      <c r="AQ808" s="339"/>
      <c r="AR808" s="339"/>
      <c r="AS808" s="339"/>
    </row>
    <row r="809" spans="1:45" ht="15.75" customHeight="1">
      <c r="A809" s="339"/>
      <c r="B809" s="339"/>
      <c r="C809" s="341"/>
      <c r="D809" s="341"/>
      <c r="E809" s="341"/>
      <c r="F809" s="340"/>
      <c r="G809" s="339"/>
      <c r="H809" s="339"/>
      <c r="I809" s="339"/>
      <c r="J809" s="341"/>
      <c r="K809" s="340"/>
      <c r="L809" s="341"/>
      <c r="M809" s="340"/>
      <c r="N809" s="339"/>
      <c r="O809" s="339"/>
      <c r="P809" s="339"/>
      <c r="Q809" s="339"/>
      <c r="R809" s="339"/>
      <c r="S809" s="339"/>
      <c r="T809" s="339"/>
      <c r="U809" s="339"/>
      <c r="V809" s="339"/>
      <c r="W809" s="339"/>
      <c r="X809" s="339"/>
      <c r="Y809" s="339"/>
      <c r="Z809" s="339"/>
      <c r="AA809" s="339"/>
      <c r="AB809" s="341"/>
      <c r="AC809" s="341"/>
      <c r="AD809" s="341"/>
      <c r="AE809" s="339"/>
      <c r="AF809" s="339"/>
      <c r="AG809" s="341"/>
      <c r="AH809" s="339"/>
      <c r="AI809" s="341"/>
      <c r="AJ809" s="339"/>
      <c r="AK809" s="341"/>
      <c r="AL809" s="341"/>
      <c r="AM809" s="339"/>
      <c r="AN809" s="339"/>
      <c r="AO809" s="339"/>
      <c r="AP809" s="339"/>
      <c r="AQ809" s="339"/>
      <c r="AR809" s="339"/>
      <c r="AS809" s="339"/>
    </row>
    <row r="810" spans="1:45" ht="15.75" customHeight="1">
      <c r="A810" s="339"/>
      <c r="B810" s="339"/>
      <c r="C810" s="341"/>
      <c r="D810" s="341"/>
      <c r="E810" s="341"/>
      <c r="F810" s="340"/>
      <c r="G810" s="339"/>
      <c r="H810" s="339"/>
      <c r="I810" s="339"/>
      <c r="J810" s="341"/>
      <c r="K810" s="340"/>
      <c r="L810" s="341"/>
      <c r="M810" s="340"/>
      <c r="N810" s="339"/>
      <c r="O810" s="339"/>
      <c r="P810" s="339"/>
      <c r="Q810" s="339"/>
      <c r="R810" s="339"/>
      <c r="S810" s="339"/>
      <c r="T810" s="339"/>
      <c r="U810" s="339"/>
      <c r="V810" s="339"/>
      <c r="W810" s="339"/>
      <c r="X810" s="339"/>
      <c r="Y810" s="339"/>
      <c r="Z810" s="339"/>
      <c r="AA810" s="339"/>
      <c r="AB810" s="341"/>
      <c r="AC810" s="341"/>
      <c r="AD810" s="341"/>
      <c r="AE810" s="339"/>
      <c r="AF810" s="339"/>
      <c r="AG810" s="341"/>
      <c r="AH810" s="339"/>
      <c r="AI810" s="341"/>
      <c r="AJ810" s="339"/>
      <c r="AK810" s="341"/>
      <c r="AL810" s="341"/>
      <c r="AM810" s="339"/>
      <c r="AN810" s="339"/>
      <c r="AO810" s="339"/>
      <c r="AP810" s="339"/>
      <c r="AQ810" s="339"/>
      <c r="AR810" s="339"/>
      <c r="AS810" s="339"/>
    </row>
    <row r="811" spans="1:45" ht="15.75" customHeight="1">
      <c r="A811" s="339"/>
      <c r="B811" s="339"/>
      <c r="C811" s="341"/>
      <c r="D811" s="341"/>
      <c r="E811" s="341"/>
      <c r="F811" s="340"/>
      <c r="G811" s="339"/>
      <c r="H811" s="339"/>
      <c r="I811" s="339"/>
      <c r="J811" s="341"/>
      <c r="K811" s="340"/>
      <c r="L811" s="341"/>
      <c r="M811" s="340"/>
      <c r="N811" s="339"/>
      <c r="O811" s="339"/>
      <c r="P811" s="339"/>
      <c r="Q811" s="339"/>
      <c r="R811" s="339"/>
      <c r="S811" s="339"/>
      <c r="T811" s="339"/>
      <c r="U811" s="339"/>
      <c r="V811" s="339"/>
      <c r="W811" s="339"/>
      <c r="X811" s="339"/>
      <c r="Y811" s="339"/>
      <c r="Z811" s="339"/>
      <c r="AA811" s="339"/>
      <c r="AB811" s="341"/>
      <c r="AC811" s="341"/>
      <c r="AD811" s="341"/>
      <c r="AE811" s="339"/>
      <c r="AF811" s="339"/>
      <c r="AG811" s="341"/>
      <c r="AH811" s="339"/>
      <c r="AI811" s="341"/>
      <c r="AJ811" s="339"/>
      <c r="AK811" s="341"/>
      <c r="AL811" s="341"/>
      <c r="AM811" s="339"/>
      <c r="AN811" s="339"/>
      <c r="AO811" s="339"/>
      <c r="AP811" s="339"/>
      <c r="AQ811" s="339"/>
      <c r="AR811" s="339"/>
      <c r="AS811" s="339"/>
    </row>
    <row r="812" spans="1:45" ht="15.75" customHeight="1">
      <c r="A812" s="339"/>
      <c r="B812" s="339"/>
      <c r="C812" s="341"/>
      <c r="D812" s="341"/>
      <c r="E812" s="341"/>
      <c r="F812" s="340"/>
      <c r="G812" s="339"/>
      <c r="H812" s="339"/>
      <c r="I812" s="339"/>
      <c r="J812" s="341"/>
      <c r="K812" s="340"/>
      <c r="L812" s="341"/>
      <c r="M812" s="340"/>
      <c r="N812" s="339"/>
      <c r="O812" s="339"/>
      <c r="P812" s="339"/>
      <c r="Q812" s="339"/>
      <c r="R812" s="339"/>
      <c r="S812" s="339"/>
      <c r="T812" s="339"/>
      <c r="U812" s="339"/>
      <c r="V812" s="339"/>
      <c r="W812" s="339"/>
      <c r="X812" s="339"/>
      <c r="Y812" s="339"/>
      <c r="Z812" s="339"/>
      <c r="AA812" s="339"/>
      <c r="AB812" s="341"/>
      <c r="AC812" s="341"/>
      <c r="AD812" s="341"/>
      <c r="AE812" s="339"/>
      <c r="AF812" s="339"/>
      <c r="AG812" s="341"/>
      <c r="AH812" s="339"/>
      <c r="AI812" s="341"/>
      <c r="AJ812" s="339"/>
      <c r="AK812" s="341"/>
      <c r="AL812" s="341"/>
      <c r="AM812" s="339"/>
      <c r="AN812" s="339"/>
      <c r="AO812" s="339"/>
      <c r="AP812" s="339"/>
      <c r="AQ812" s="339"/>
      <c r="AR812" s="339"/>
      <c r="AS812" s="339"/>
    </row>
    <row r="813" spans="1:45" ht="15.75" customHeight="1">
      <c r="A813" s="339"/>
      <c r="B813" s="339"/>
      <c r="C813" s="341"/>
      <c r="D813" s="341"/>
      <c r="E813" s="341"/>
      <c r="F813" s="340"/>
      <c r="G813" s="339"/>
      <c r="H813" s="339"/>
      <c r="I813" s="339"/>
      <c r="J813" s="341"/>
      <c r="K813" s="340"/>
      <c r="L813" s="341"/>
      <c r="M813" s="340"/>
      <c r="N813" s="339"/>
      <c r="O813" s="339"/>
      <c r="P813" s="339"/>
      <c r="Q813" s="339"/>
      <c r="R813" s="339"/>
      <c r="S813" s="339"/>
      <c r="T813" s="339"/>
      <c r="U813" s="339"/>
      <c r="V813" s="339"/>
      <c r="W813" s="339"/>
      <c r="X813" s="339"/>
      <c r="Y813" s="339"/>
      <c r="Z813" s="339"/>
      <c r="AA813" s="339"/>
      <c r="AB813" s="341"/>
      <c r="AC813" s="341"/>
      <c r="AD813" s="341"/>
      <c r="AE813" s="339"/>
      <c r="AF813" s="339"/>
      <c r="AG813" s="341"/>
      <c r="AH813" s="339"/>
      <c r="AI813" s="341"/>
      <c r="AJ813" s="339"/>
      <c r="AK813" s="341"/>
      <c r="AL813" s="341"/>
      <c r="AM813" s="339"/>
      <c r="AN813" s="339"/>
      <c r="AO813" s="339"/>
      <c r="AP813" s="339"/>
      <c r="AQ813" s="339"/>
      <c r="AR813" s="339"/>
      <c r="AS813" s="339"/>
    </row>
    <row r="814" spans="1:45" ht="15.75" customHeight="1">
      <c r="A814" s="339"/>
      <c r="B814" s="339"/>
      <c r="C814" s="341"/>
      <c r="D814" s="341"/>
      <c r="E814" s="341"/>
      <c r="F814" s="340"/>
      <c r="G814" s="339"/>
      <c r="H814" s="339"/>
      <c r="I814" s="339"/>
      <c r="J814" s="341"/>
      <c r="K814" s="340"/>
      <c r="L814" s="341"/>
      <c r="M814" s="340"/>
      <c r="N814" s="339"/>
      <c r="O814" s="339"/>
      <c r="P814" s="339"/>
      <c r="Q814" s="339"/>
      <c r="R814" s="339"/>
      <c r="S814" s="339"/>
      <c r="T814" s="339"/>
      <c r="U814" s="339"/>
      <c r="V814" s="339"/>
      <c r="W814" s="339"/>
      <c r="X814" s="339"/>
      <c r="Y814" s="339"/>
      <c r="Z814" s="339"/>
      <c r="AA814" s="339"/>
      <c r="AB814" s="341"/>
      <c r="AC814" s="341"/>
      <c r="AD814" s="341"/>
      <c r="AE814" s="339"/>
      <c r="AF814" s="339"/>
      <c r="AG814" s="341"/>
      <c r="AH814" s="339"/>
      <c r="AI814" s="341"/>
      <c r="AJ814" s="339"/>
      <c r="AK814" s="341"/>
      <c r="AL814" s="341"/>
      <c r="AM814" s="339"/>
      <c r="AN814" s="339"/>
      <c r="AO814" s="339"/>
      <c r="AP814" s="339"/>
      <c r="AQ814" s="339"/>
      <c r="AR814" s="339"/>
      <c r="AS814" s="339"/>
    </row>
    <row r="815" spans="1:45" ht="15.75" customHeight="1">
      <c r="A815" s="339"/>
      <c r="B815" s="339"/>
      <c r="C815" s="341"/>
      <c r="D815" s="341"/>
      <c r="E815" s="341"/>
      <c r="F815" s="340"/>
      <c r="G815" s="339"/>
      <c r="H815" s="339"/>
      <c r="I815" s="339"/>
      <c r="J815" s="341"/>
      <c r="K815" s="340"/>
      <c r="L815" s="341"/>
      <c r="M815" s="340"/>
      <c r="N815" s="339"/>
      <c r="O815" s="339"/>
      <c r="P815" s="339"/>
      <c r="Q815" s="339"/>
      <c r="R815" s="339"/>
      <c r="S815" s="339"/>
      <c r="T815" s="339"/>
      <c r="U815" s="339"/>
      <c r="V815" s="339"/>
      <c r="W815" s="339"/>
      <c r="X815" s="339"/>
      <c r="Y815" s="339"/>
      <c r="Z815" s="339"/>
      <c r="AA815" s="339"/>
      <c r="AB815" s="341"/>
      <c r="AC815" s="341"/>
      <c r="AD815" s="341"/>
      <c r="AE815" s="339"/>
      <c r="AF815" s="339"/>
      <c r="AG815" s="341"/>
      <c r="AH815" s="339"/>
      <c r="AI815" s="341"/>
      <c r="AJ815" s="339"/>
      <c r="AK815" s="341"/>
      <c r="AL815" s="341"/>
      <c r="AM815" s="339"/>
      <c r="AN815" s="339"/>
      <c r="AO815" s="339"/>
      <c r="AP815" s="339"/>
      <c r="AQ815" s="339"/>
      <c r="AR815" s="339"/>
      <c r="AS815" s="339"/>
    </row>
    <row r="816" spans="1:45" ht="15.75" customHeight="1">
      <c r="A816" s="339"/>
      <c r="B816" s="339"/>
      <c r="C816" s="341"/>
      <c r="D816" s="341"/>
      <c r="E816" s="341"/>
      <c r="F816" s="340"/>
      <c r="G816" s="339"/>
      <c r="H816" s="339"/>
      <c r="I816" s="339"/>
      <c r="J816" s="341"/>
      <c r="K816" s="340"/>
      <c r="L816" s="341"/>
      <c r="M816" s="340"/>
      <c r="N816" s="339"/>
      <c r="O816" s="339"/>
      <c r="P816" s="339"/>
      <c r="Q816" s="339"/>
      <c r="R816" s="339"/>
      <c r="S816" s="339"/>
      <c r="T816" s="339"/>
      <c r="U816" s="339"/>
      <c r="V816" s="339"/>
      <c r="W816" s="339"/>
      <c r="X816" s="339"/>
      <c r="Y816" s="339"/>
      <c r="Z816" s="339"/>
      <c r="AA816" s="339"/>
      <c r="AB816" s="341"/>
      <c r="AC816" s="341"/>
      <c r="AD816" s="341"/>
      <c r="AE816" s="339"/>
      <c r="AF816" s="339"/>
      <c r="AG816" s="341"/>
      <c r="AH816" s="339"/>
      <c r="AI816" s="341"/>
      <c r="AJ816" s="339"/>
      <c r="AK816" s="341"/>
      <c r="AL816" s="341"/>
      <c r="AM816" s="339"/>
      <c r="AN816" s="339"/>
      <c r="AO816" s="339"/>
      <c r="AP816" s="339"/>
      <c r="AQ816" s="339"/>
      <c r="AR816" s="339"/>
      <c r="AS816" s="339"/>
    </row>
    <row r="817" spans="1:45" ht="15.75" customHeight="1">
      <c r="A817" s="339"/>
      <c r="B817" s="339"/>
      <c r="C817" s="341"/>
      <c r="D817" s="341"/>
      <c r="E817" s="341"/>
      <c r="F817" s="340"/>
      <c r="G817" s="339"/>
      <c r="H817" s="339"/>
      <c r="I817" s="339"/>
      <c r="J817" s="341"/>
      <c r="K817" s="340"/>
      <c r="L817" s="341"/>
      <c r="M817" s="340"/>
      <c r="N817" s="339"/>
      <c r="O817" s="339"/>
      <c r="P817" s="339"/>
      <c r="Q817" s="339"/>
      <c r="R817" s="339"/>
      <c r="S817" s="339"/>
      <c r="T817" s="339"/>
      <c r="U817" s="339"/>
      <c r="V817" s="339"/>
      <c r="W817" s="339"/>
      <c r="X817" s="339"/>
      <c r="Y817" s="339"/>
      <c r="Z817" s="339"/>
      <c r="AA817" s="339"/>
      <c r="AB817" s="341"/>
      <c r="AC817" s="341"/>
      <c r="AD817" s="341"/>
      <c r="AE817" s="339"/>
      <c r="AF817" s="339"/>
      <c r="AG817" s="341"/>
      <c r="AH817" s="339"/>
      <c r="AI817" s="341"/>
      <c r="AJ817" s="339"/>
      <c r="AK817" s="341"/>
      <c r="AL817" s="341"/>
      <c r="AM817" s="339"/>
      <c r="AN817" s="339"/>
      <c r="AO817" s="339"/>
      <c r="AP817" s="339"/>
      <c r="AQ817" s="339"/>
      <c r="AR817" s="339"/>
      <c r="AS817" s="339"/>
    </row>
    <row r="818" spans="1:45" ht="15.75" customHeight="1">
      <c r="A818" s="339"/>
      <c r="B818" s="339"/>
      <c r="C818" s="341"/>
      <c r="D818" s="341"/>
      <c r="E818" s="341"/>
      <c r="F818" s="340"/>
      <c r="G818" s="339"/>
      <c r="H818" s="339"/>
      <c r="I818" s="339"/>
      <c r="J818" s="341"/>
      <c r="K818" s="340"/>
      <c r="L818" s="341"/>
      <c r="M818" s="340"/>
      <c r="N818" s="339"/>
      <c r="O818" s="339"/>
      <c r="P818" s="339"/>
      <c r="Q818" s="339"/>
      <c r="R818" s="339"/>
      <c r="S818" s="339"/>
      <c r="T818" s="339"/>
      <c r="U818" s="339"/>
      <c r="V818" s="339"/>
      <c r="W818" s="339"/>
      <c r="X818" s="339"/>
      <c r="Y818" s="339"/>
      <c r="Z818" s="339"/>
      <c r="AA818" s="339"/>
      <c r="AB818" s="341"/>
      <c r="AC818" s="341"/>
      <c r="AD818" s="341"/>
      <c r="AE818" s="339"/>
      <c r="AF818" s="339"/>
      <c r="AG818" s="341"/>
      <c r="AH818" s="339"/>
      <c r="AI818" s="341"/>
      <c r="AJ818" s="339"/>
      <c r="AK818" s="341"/>
      <c r="AL818" s="341"/>
      <c r="AM818" s="339"/>
      <c r="AN818" s="339"/>
      <c r="AO818" s="339"/>
      <c r="AP818" s="339"/>
      <c r="AQ818" s="339"/>
      <c r="AR818" s="339"/>
      <c r="AS818" s="339"/>
    </row>
    <row r="819" spans="1:45" ht="15.75" customHeight="1">
      <c r="A819" s="339"/>
      <c r="B819" s="339"/>
      <c r="C819" s="341"/>
      <c r="D819" s="341"/>
      <c r="E819" s="341"/>
      <c r="F819" s="340"/>
      <c r="G819" s="339"/>
      <c r="H819" s="339"/>
      <c r="I819" s="339"/>
      <c r="J819" s="341"/>
      <c r="K819" s="340"/>
      <c r="L819" s="341"/>
      <c r="M819" s="340"/>
      <c r="N819" s="339"/>
      <c r="O819" s="339"/>
      <c r="P819" s="339"/>
      <c r="Q819" s="339"/>
      <c r="R819" s="339"/>
      <c r="S819" s="339"/>
      <c r="T819" s="339"/>
      <c r="U819" s="339"/>
      <c r="V819" s="339"/>
      <c r="W819" s="339"/>
      <c r="X819" s="339"/>
      <c r="Y819" s="339"/>
      <c r="Z819" s="339"/>
      <c r="AA819" s="339"/>
      <c r="AB819" s="341"/>
      <c r="AC819" s="341"/>
      <c r="AD819" s="341"/>
      <c r="AE819" s="339"/>
      <c r="AF819" s="339"/>
      <c r="AG819" s="341"/>
      <c r="AH819" s="339"/>
      <c r="AI819" s="341"/>
      <c r="AJ819" s="339"/>
      <c r="AK819" s="341"/>
      <c r="AL819" s="341"/>
      <c r="AM819" s="339"/>
      <c r="AN819" s="339"/>
      <c r="AO819" s="339"/>
      <c r="AP819" s="339"/>
      <c r="AQ819" s="339"/>
      <c r="AR819" s="339"/>
      <c r="AS819" s="339"/>
    </row>
    <row r="820" spans="1:45" ht="15.75" customHeight="1">
      <c r="A820" s="339"/>
      <c r="B820" s="339"/>
      <c r="C820" s="341"/>
      <c r="D820" s="341"/>
      <c r="E820" s="341"/>
      <c r="F820" s="340"/>
      <c r="G820" s="339"/>
      <c r="H820" s="339"/>
      <c r="I820" s="339"/>
      <c r="J820" s="341"/>
      <c r="K820" s="340"/>
      <c r="L820" s="341"/>
      <c r="M820" s="340"/>
      <c r="N820" s="339"/>
      <c r="O820" s="339"/>
      <c r="P820" s="339"/>
      <c r="Q820" s="339"/>
      <c r="R820" s="339"/>
      <c r="S820" s="339"/>
      <c r="T820" s="339"/>
      <c r="U820" s="339"/>
      <c r="V820" s="339"/>
      <c r="W820" s="339"/>
      <c r="X820" s="339"/>
      <c r="Y820" s="339"/>
      <c r="Z820" s="339"/>
      <c r="AA820" s="339"/>
      <c r="AB820" s="341"/>
      <c r="AC820" s="341"/>
      <c r="AD820" s="341"/>
      <c r="AE820" s="339"/>
      <c r="AF820" s="339"/>
      <c r="AG820" s="341"/>
      <c r="AH820" s="339"/>
      <c r="AI820" s="341"/>
      <c r="AJ820" s="339"/>
      <c r="AK820" s="341"/>
      <c r="AL820" s="341"/>
      <c r="AM820" s="339"/>
      <c r="AN820" s="339"/>
      <c r="AO820" s="339"/>
      <c r="AP820" s="339"/>
      <c r="AQ820" s="339"/>
      <c r="AR820" s="339"/>
      <c r="AS820" s="339"/>
    </row>
    <row r="821" spans="1:45" ht="15.75" customHeight="1">
      <c r="A821" s="339"/>
      <c r="B821" s="339"/>
      <c r="C821" s="341"/>
      <c r="D821" s="341"/>
      <c r="E821" s="341"/>
      <c r="F821" s="340"/>
      <c r="G821" s="339"/>
      <c r="H821" s="339"/>
      <c r="I821" s="339"/>
      <c r="J821" s="341"/>
      <c r="K821" s="340"/>
      <c r="L821" s="341"/>
      <c r="M821" s="340"/>
      <c r="N821" s="339"/>
      <c r="O821" s="339"/>
      <c r="P821" s="339"/>
      <c r="Q821" s="339"/>
      <c r="R821" s="339"/>
      <c r="S821" s="339"/>
      <c r="T821" s="339"/>
      <c r="U821" s="339"/>
      <c r="V821" s="339"/>
      <c r="W821" s="339"/>
      <c r="X821" s="339"/>
      <c r="Y821" s="339"/>
      <c r="Z821" s="339"/>
      <c r="AA821" s="339"/>
      <c r="AB821" s="341"/>
      <c r="AC821" s="341"/>
      <c r="AD821" s="341"/>
      <c r="AE821" s="339"/>
      <c r="AF821" s="339"/>
      <c r="AG821" s="341"/>
      <c r="AH821" s="339"/>
      <c r="AI821" s="341"/>
      <c r="AJ821" s="339"/>
      <c r="AK821" s="341"/>
      <c r="AL821" s="341"/>
      <c r="AM821" s="339"/>
      <c r="AN821" s="339"/>
      <c r="AO821" s="339"/>
      <c r="AP821" s="339"/>
      <c r="AQ821" s="339"/>
      <c r="AR821" s="339"/>
      <c r="AS821" s="339"/>
    </row>
    <row r="822" spans="1:45" ht="15.75" customHeight="1">
      <c r="A822" s="339"/>
      <c r="B822" s="339"/>
      <c r="C822" s="341"/>
      <c r="D822" s="341"/>
      <c r="E822" s="341"/>
      <c r="F822" s="340"/>
      <c r="G822" s="339"/>
      <c r="H822" s="339"/>
      <c r="I822" s="339"/>
      <c r="J822" s="341"/>
      <c r="K822" s="340"/>
      <c r="L822" s="341"/>
      <c r="M822" s="340"/>
      <c r="N822" s="339"/>
      <c r="O822" s="339"/>
      <c r="P822" s="339"/>
      <c r="Q822" s="339"/>
      <c r="R822" s="339"/>
      <c r="S822" s="339"/>
      <c r="T822" s="339"/>
      <c r="U822" s="339"/>
      <c r="V822" s="339"/>
      <c r="W822" s="339"/>
      <c r="X822" s="339"/>
      <c r="Y822" s="339"/>
      <c r="Z822" s="339"/>
      <c r="AA822" s="339"/>
      <c r="AB822" s="341"/>
      <c r="AC822" s="341"/>
      <c r="AD822" s="341"/>
      <c r="AE822" s="339"/>
      <c r="AF822" s="339"/>
      <c r="AG822" s="341"/>
      <c r="AH822" s="339"/>
      <c r="AI822" s="341"/>
      <c r="AJ822" s="339"/>
      <c r="AK822" s="341"/>
      <c r="AL822" s="341"/>
      <c r="AM822" s="339"/>
      <c r="AN822" s="339"/>
      <c r="AO822" s="339"/>
      <c r="AP822" s="339"/>
      <c r="AQ822" s="339"/>
      <c r="AR822" s="339"/>
      <c r="AS822" s="339"/>
    </row>
    <row r="823" spans="1:45" ht="15.75" customHeight="1">
      <c r="A823" s="339"/>
      <c r="B823" s="339"/>
      <c r="C823" s="341"/>
      <c r="D823" s="341"/>
      <c r="E823" s="341"/>
      <c r="F823" s="340"/>
      <c r="G823" s="339"/>
      <c r="H823" s="339"/>
      <c r="I823" s="339"/>
      <c r="J823" s="341"/>
      <c r="K823" s="340"/>
      <c r="L823" s="341"/>
      <c r="M823" s="340"/>
      <c r="N823" s="339"/>
      <c r="O823" s="339"/>
      <c r="P823" s="339"/>
      <c r="Q823" s="339"/>
      <c r="R823" s="339"/>
      <c r="S823" s="339"/>
      <c r="T823" s="339"/>
      <c r="U823" s="339"/>
      <c r="V823" s="339"/>
      <c r="W823" s="339"/>
      <c r="X823" s="339"/>
      <c r="Y823" s="339"/>
      <c r="Z823" s="339"/>
      <c r="AA823" s="339"/>
      <c r="AB823" s="341"/>
      <c r="AC823" s="341"/>
      <c r="AD823" s="341"/>
      <c r="AE823" s="339"/>
      <c r="AF823" s="339"/>
      <c r="AG823" s="341"/>
      <c r="AH823" s="339"/>
      <c r="AI823" s="341"/>
      <c r="AJ823" s="339"/>
      <c r="AK823" s="341"/>
      <c r="AL823" s="341"/>
      <c r="AM823" s="339"/>
      <c r="AN823" s="339"/>
      <c r="AO823" s="339"/>
      <c r="AP823" s="339"/>
      <c r="AQ823" s="339"/>
      <c r="AR823" s="339"/>
      <c r="AS823" s="339"/>
    </row>
    <row r="824" spans="1:45" ht="15.75" customHeight="1">
      <c r="A824" s="339"/>
      <c r="B824" s="339"/>
      <c r="C824" s="341"/>
      <c r="D824" s="341"/>
      <c r="E824" s="341"/>
      <c r="F824" s="340"/>
      <c r="G824" s="339"/>
      <c r="H824" s="339"/>
      <c r="I824" s="339"/>
      <c r="J824" s="341"/>
      <c r="K824" s="340"/>
      <c r="L824" s="341"/>
      <c r="M824" s="340"/>
      <c r="N824" s="339"/>
      <c r="O824" s="339"/>
      <c r="P824" s="339"/>
      <c r="Q824" s="339"/>
      <c r="R824" s="339"/>
      <c r="S824" s="339"/>
      <c r="T824" s="339"/>
      <c r="U824" s="339"/>
      <c r="V824" s="339"/>
      <c r="W824" s="339"/>
      <c r="X824" s="339"/>
      <c r="Y824" s="339"/>
      <c r="Z824" s="339"/>
      <c r="AA824" s="339"/>
      <c r="AB824" s="341"/>
      <c r="AC824" s="341"/>
      <c r="AD824" s="341"/>
      <c r="AE824" s="339"/>
      <c r="AF824" s="339"/>
      <c r="AG824" s="341"/>
      <c r="AH824" s="339"/>
      <c r="AI824" s="341"/>
      <c r="AJ824" s="339"/>
      <c r="AK824" s="341"/>
      <c r="AL824" s="341"/>
      <c r="AM824" s="339"/>
      <c r="AN824" s="339"/>
      <c r="AO824" s="339"/>
      <c r="AP824" s="339"/>
      <c r="AQ824" s="339"/>
      <c r="AR824" s="339"/>
      <c r="AS824" s="339"/>
    </row>
    <row r="825" spans="1:45" ht="15.75" customHeight="1">
      <c r="A825" s="339"/>
      <c r="B825" s="339"/>
      <c r="C825" s="341"/>
      <c r="D825" s="341"/>
      <c r="E825" s="341"/>
      <c r="F825" s="340"/>
      <c r="G825" s="339"/>
      <c r="H825" s="339"/>
      <c r="I825" s="339"/>
      <c r="J825" s="341"/>
      <c r="K825" s="340"/>
      <c r="L825" s="341"/>
      <c r="M825" s="340"/>
      <c r="N825" s="339"/>
      <c r="O825" s="339"/>
      <c r="P825" s="339"/>
      <c r="Q825" s="339"/>
      <c r="R825" s="339"/>
      <c r="S825" s="339"/>
      <c r="T825" s="339"/>
      <c r="U825" s="339"/>
      <c r="V825" s="339"/>
      <c r="W825" s="339"/>
      <c r="X825" s="339"/>
      <c r="Y825" s="339"/>
      <c r="Z825" s="339"/>
      <c r="AA825" s="339"/>
      <c r="AB825" s="341"/>
      <c r="AC825" s="341"/>
      <c r="AD825" s="341"/>
      <c r="AE825" s="339"/>
      <c r="AF825" s="339"/>
      <c r="AG825" s="341"/>
      <c r="AH825" s="339"/>
      <c r="AI825" s="341"/>
      <c r="AJ825" s="339"/>
      <c r="AK825" s="341"/>
      <c r="AL825" s="341"/>
      <c r="AM825" s="339"/>
      <c r="AN825" s="339"/>
      <c r="AO825" s="339"/>
      <c r="AP825" s="339"/>
      <c r="AQ825" s="339"/>
      <c r="AR825" s="339"/>
      <c r="AS825" s="339"/>
    </row>
    <row r="826" spans="1:45" ht="15.75" customHeight="1">
      <c r="A826" s="339"/>
      <c r="B826" s="339"/>
      <c r="C826" s="341"/>
      <c r="D826" s="341"/>
      <c r="E826" s="341"/>
      <c r="F826" s="340"/>
      <c r="G826" s="339"/>
      <c r="H826" s="339"/>
      <c r="I826" s="339"/>
      <c r="J826" s="341"/>
      <c r="K826" s="340"/>
      <c r="L826" s="341"/>
      <c r="M826" s="340"/>
      <c r="N826" s="339"/>
      <c r="O826" s="339"/>
      <c r="P826" s="339"/>
      <c r="Q826" s="339"/>
      <c r="R826" s="339"/>
      <c r="S826" s="339"/>
      <c r="T826" s="339"/>
      <c r="U826" s="339"/>
      <c r="V826" s="339"/>
      <c r="W826" s="339"/>
      <c r="X826" s="339"/>
      <c r="Y826" s="339"/>
      <c r="Z826" s="339"/>
      <c r="AA826" s="339"/>
      <c r="AB826" s="341"/>
      <c r="AC826" s="341"/>
      <c r="AD826" s="341"/>
      <c r="AE826" s="339"/>
      <c r="AF826" s="339"/>
      <c r="AG826" s="341"/>
      <c r="AH826" s="339"/>
      <c r="AI826" s="341"/>
      <c r="AJ826" s="339"/>
      <c r="AK826" s="341"/>
      <c r="AL826" s="341"/>
      <c r="AM826" s="339"/>
      <c r="AN826" s="339"/>
      <c r="AO826" s="339"/>
      <c r="AP826" s="339"/>
      <c r="AQ826" s="339"/>
      <c r="AR826" s="339"/>
      <c r="AS826" s="339"/>
    </row>
    <row r="827" spans="1:45" ht="15.75" customHeight="1">
      <c r="A827" s="339"/>
      <c r="B827" s="339"/>
      <c r="C827" s="341"/>
      <c r="D827" s="341"/>
      <c r="E827" s="341"/>
      <c r="F827" s="340"/>
      <c r="G827" s="339"/>
      <c r="H827" s="339"/>
      <c r="I827" s="339"/>
      <c r="J827" s="341"/>
      <c r="K827" s="340"/>
      <c r="L827" s="341"/>
      <c r="M827" s="340"/>
      <c r="N827" s="339"/>
      <c r="O827" s="339"/>
      <c r="P827" s="339"/>
      <c r="Q827" s="339"/>
      <c r="R827" s="339"/>
      <c r="S827" s="339"/>
      <c r="T827" s="339"/>
      <c r="U827" s="339"/>
      <c r="V827" s="339"/>
      <c r="W827" s="339"/>
      <c r="X827" s="339"/>
      <c r="Y827" s="339"/>
      <c r="Z827" s="339"/>
      <c r="AA827" s="339"/>
      <c r="AB827" s="341"/>
      <c r="AC827" s="341"/>
      <c r="AD827" s="341"/>
      <c r="AE827" s="339"/>
      <c r="AF827" s="339"/>
      <c r="AG827" s="341"/>
      <c r="AH827" s="339"/>
      <c r="AI827" s="341"/>
      <c r="AJ827" s="339"/>
      <c r="AK827" s="341"/>
      <c r="AL827" s="341"/>
      <c r="AM827" s="339"/>
      <c r="AN827" s="339"/>
      <c r="AO827" s="339"/>
      <c r="AP827" s="339"/>
      <c r="AQ827" s="339"/>
      <c r="AR827" s="339"/>
      <c r="AS827" s="339"/>
    </row>
    <row r="828" spans="1:45" ht="15.75" customHeight="1">
      <c r="A828" s="339"/>
      <c r="B828" s="339"/>
      <c r="C828" s="341"/>
      <c r="D828" s="341"/>
      <c r="E828" s="341"/>
      <c r="F828" s="340"/>
      <c r="G828" s="339"/>
      <c r="H828" s="339"/>
      <c r="I828" s="339"/>
      <c r="J828" s="341"/>
      <c r="K828" s="340"/>
      <c r="L828" s="341"/>
      <c r="M828" s="340"/>
      <c r="N828" s="339"/>
      <c r="O828" s="339"/>
      <c r="P828" s="339"/>
      <c r="Q828" s="339"/>
      <c r="R828" s="339"/>
      <c r="S828" s="339"/>
      <c r="T828" s="339"/>
      <c r="U828" s="339"/>
      <c r="V828" s="339"/>
      <c r="W828" s="339"/>
      <c r="X828" s="339"/>
      <c r="Y828" s="339"/>
      <c r="Z828" s="339"/>
      <c r="AA828" s="339"/>
      <c r="AB828" s="341"/>
      <c r="AC828" s="341"/>
      <c r="AD828" s="341"/>
      <c r="AE828" s="339"/>
      <c r="AF828" s="339"/>
      <c r="AG828" s="341"/>
      <c r="AH828" s="339"/>
      <c r="AI828" s="341"/>
      <c r="AJ828" s="339"/>
      <c r="AK828" s="341"/>
      <c r="AL828" s="341"/>
      <c r="AM828" s="339"/>
      <c r="AN828" s="339"/>
      <c r="AO828" s="339"/>
      <c r="AP828" s="339"/>
      <c r="AQ828" s="339"/>
      <c r="AR828" s="339"/>
      <c r="AS828" s="339"/>
    </row>
    <row r="829" spans="1:45" ht="15.75" customHeight="1">
      <c r="A829" s="339"/>
      <c r="B829" s="339"/>
      <c r="C829" s="341"/>
      <c r="D829" s="341"/>
      <c r="E829" s="341"/>
      <c r="F829" s="340"/>
      <c r="G829" s="339"/>
      <c r="H829" s="339"/>
      <c r="I829" s="339"/>
      <c r="J829" s="341"/>
      <c r="K829" s="340"/>
      <c r="L829" s="341"/>
      <c r="M829" s="340"/>
      <c r="N829" s="339"/>
      <c r="O829" s="339"/>
      <c r="P829" s="339"/>
      <c r="Q829" s="339"/>
      <c r="R829" s="339"/>
      <c r="S829" s="339"/>
      <c r="T829" s="339"/>
      <c r="U829" s="339"/>
      <c r="V829" s="339"/>
      <c r="W829" s="339"/>
      <c r="X829" s="339"/>
      <c r="Y829" s="339"/>
      <c r="Z829" s="339"/>
      <c r="AA829" s="339"/>
      <c r="AB829" s="341"/>
      <c r="AC829" s="341"/>
      <c r="AD829" s="341"/>
      <c r="AE829" s="339"/>
      <c r="AF829" s="339"/>
      <c r="AG829" s="341"/>
      <c r="AH829" s="339"/>
      <c r="AI829" s="341"/>
      <c r="AJ829" s="339"/>
      <c r="AK829" s="341"/>
      <c r="AL829" s="341"/>
      <c r="AM829" s="339"/>
      <c r="AN829" s="339"/>
      <c r="AO829" s="339"/>
      <c r="AP829" s="339"/>
      <c r="AQ829" s="339"/>
      <c r="AR829" s="339"/>
      <c r="AS829" s="339"/>
    </row>
    <row r="830" spans="1:45" ht="15.75" customHeight="1">
      <c r="A830" s="339"/>
      <c r="B830" s="339"/>
      <c r="C830" s="341"/>
      <c r="D830" s="341"/>
      <c r="E830" s="341"/>
      <c r="F830" s="340"/>
      <c r="G830" s="339"/>
      <c r="H830" s="339"/>
      <c r="I830" s="339"/>
      <c r="J830" s="341"/>
      <c r="K830" s="340"/>
      <c r="L830" s="341"/>
      <c r="M830" s="340"/>
      <c r="N830" s="339"/>
      <c r="O830" s="339"/>
      <c r="P830" s="339"/>
      <c r="Q830" s="339"/>
      <c r="R830" s="339"/>
      <c r="S830" s="339"/>
      <c r="T830" s="339"/>
      <c r="U830" s="339"/>
      <c r="V830" s="339"/>
      <c r="W830" s="339"/>
      <c r="X830" s="339"/>
      <c r="Y830" s="339"/>
      <c r="Z830" s="339"/>
      <c r="AA830" s="339"/>
      <c r="AB830" s="341"/>
      <c r="AC830" s="341"/>
      <c r="AD830" s="341"/>
      <c r="AE830" s="339"/>
      <c r="AF830" s="339"/>
      <c r="AG830" s="341"/>
      <c r="AH830" s="339"/>
      <c r="AI830" s="341"/>
      <c r="AJ830" s="339"/>
      <c r="AK830" s="341"/>
      <c r="AL830" s="341"/>
      <c r="AM830" s="339"/>
      <c r="AN830" s="339"/>
      <c r="AO830" s="339"/>
      <c r="AP830" s="339"/>
      <c r="AQ830" s="339"/>
      <c r="AR830" s="339"/>
      <c r="AS830" s="339"/>
    </row>
    <row r="831" spans="1:45" ht="15.75" customHeight="1">
      <c r="A831" s="339"/>
      <c r="B831" s="339"/>
      <c r="C831" s="341"/>
      <c r="D831" s="341"/>
      <c r="E831" s="341"/>
      <c r="F831" s="340"/>
      <c r="G831" s="339"/>
      <c r="H831" s="339"/>
      <c r="I831" s="339"/>
      <c r="J831" s="341"/>
      <c r="K831" s="340"/>
      <c r="L831" s="341"/>
      <c r="M831" s="340"/>
      <c r="N831" s="339"/>
      <c r="O831" s="339"/>
      <c r="P831" s="339"/>
      <c r="Q831" s="339"/>
      <c r="R831" s="339"/>
      <c r="S831" s="339"/>
      <c r="T831" s="339"/>
      <c r="U831" s="339"/>
      <c r="V831" s="339"/>
      <c r="W831" s="339"/>
      <c r="X831" s="339"/>
      <c r="Y831" s="339"/>
      <c r="Z831" s="339"/>
      <c r="AA831" s="339"/>
      <c r="AB831" s="341"/>
      <c r="AC831" s="341"/>
      <c r="AD831" s="341"/>
      <c r="AE831" s="339"/>
      <c r="AF831" s="339"/>
      <c r="AG831" s="341"/>
      <c r="AH831" s="339"/>
      <c r="AI831" s="341"/>
      <c r="AJ831" s="339"/>
      <c r="AK831" s="341"/>
      <c r="AL831" s="341"/>
      <c r="AM831" s="339"/>
      <c r="AN831" s="339"/>
      <c r="AO831" s="339"/>
      <c r="AP831" s="339"/>
      <c r="AQ831" s="339"/>
      <c r="AR831" s="339"/>
      <c r="AS831" s="339"/>
    </row>
    <row r="832" spans="1:45" ht="15.75" customHeight="1">
      <c r="A832" s="339"/>
      <c r="B832" s="339"/>
      <c r="C832" s="341"/>
      <c r="D832" s="341"/>
      <c r="E832" s="341"/>
      <c r="F832" s="340"/>
      <c r="G832" s="339"/>
      <c r="H832" s="339"/>
      <c r="I832" s="339"/>
      <c r="J832" s="341"/>
      <c r="K832" s="340"/>
      <c r="L832" s="341"/>
      <c r="M832" s="340"/>
      <c r="N832" s="339"/>
      <c r="O832" s="339"/>
      <c r="P832" s="339"/>
      <c r="Q832" s="339"/>
      <c r="R832" s="339"/>
      <c r="S832" s="339"/>
      <c r="T832" s="339"/>
      <c r="U832" s="339"/>
      <c r="V832" s="339"/>
      <c r="W832" s="339"/>
      <c r="X832" s="339"/>
      <c r="Y832" s="339"/>
      <c r="Z832" s="339"/>
      <c r="AA832" s="339"/>
      <c r="AB832" s="341"/>
      <c r="AC832" s="341"/>
      <c r="AD832" s="341"/>
      <c r="AE832" s="339"/>
      <c r="AF832" s="339"/>
      <c r="AG832" s="341"/>
      <c r="AH832" s="339"/>
      <c r="AI832" s="341"/>
      <c r="AJ832" s="339"/>
      <c r="AK832" s="341"/>
      <c r="AL832" s="341"/>
      <c r="AM832" s="339"/>
      <c r="AN832" s="339"/>
      <c r="AO832" s="339"/>
      <c r="AP832" s="339"/>
      <c r="AQ832" s="339"/>
      <c r="AR832" s="339"/>
      <c r="AS832" s="339"/>
    </row>
    <row r="833" spans="1:45" ht="15.75" customHeight="1">
      <c r="A833" s="339"/>
      <c r="B833" s="339"/>
      <c r="C833" s="341"/>
      <c r="D833" s="341"/>
      <c r="E833" s="341"/>
      <c r="F833" s="340"/>
      <c r="G833" s="339"/>
      <c r="H833" s="339"/>
      <c r="I833" s="339"/>
      <c r="J833" s="341"/>
      <c r="K833" s="340"/>
      <c r="L833" s="341"/>
      <c r="M833" s="340"/>
      <c r="N833" s="339"/>
      <c r="O833" s="339"/>
      <c r="P833" s="339"/>
      <c r="Q833" s="339"/>
      <c r="R833" s="339"/>
      <c r="S833" s="339"/>
      <c r="T833" s="339"/>
      <c r="U833" s="339"/>
      <c r="V833" s="339"/>
      <c r="W833" s="339"/>
      <c r="X833" s="339"/>
      <c r="Y833" s="339"/>
      <c r="Z833" s="339"/>
      <c r="AA833" s="339"/>
      <c r="AB833" s="341"/>
      <c r="AC833" s="341"/>
      <c r="AD833" s="341"/>
      <c r="AE833" s="339"/>
      <c r="AF833" s="339"/>
      <c r="AG833" s="341"/>
      <c r="AH833" s="339"/>
      <c r="AI833" s="341"/>
      <c r="AJ833" s="339"/>
      <c r="AK833" s="341"/>
      <c r="AL833" s="341"/>
      <c r="AM833" s="339"/>
      <c r="AN833" s="339"/>
      <c r="AO833" s="339"/>
      <c r="AP833" s="339"/>
      <c r="AQ833" s="339"/>
      <c r="AR833" s="339"/>
      <c r="AS833" s="339"/>
    </row>
    <row r="834" spans="1:45" ht="15.75" customHeight="1">
      <c r="A834" s="339"/>
      <c r="B834" s="339"/>
      <c r="C834" s="341"/>
      <c r="D834" s="341"/>
      <c r="E834" s="341"/>
      <c r="F834" s="340"/>
      <c r="G834" s="339"/>
      <c r="H834" s="339"/>
      <c r="I834" s="339"/>
      <c r="J834" s="341"/>
      <c r="K834" s="340"/>
      <c r="L834" s="341"/>
      <c r="M834" s="340"/>
      <c r="N834" s="339"/>
      <c r="O834" s="339"/>
      <c r="P834" s="339"/>
      <c r="Q834" s="339"/>
      <c r="R834" s="339"/>
      <c r="S834" s="339"/>
      <c r="T834" s="339"/>
      <c r="U834" s="339"/>
      <c r="V834" s="339"/>
      <c r="W834" s="339"/>
      <c r="X834" s="339"/>
      <c r="Y834" s="339"/>
      <c r="Z834" s="339"/>
      <c r="AA834" s="339"/>
      <c r="AB834" s="341"/>
      <c r="AC834" s="341"/>
      <c r="AD834" s="341"/>
      <c r="AE834" s="339"/>
      <c r="AF834" s="339"/>
      <c r="AG834" s="341"/>
      <c r="AH834" s="339"/>
      <c r="AI834" s="341"/>
      <c r="AJ834" s="339"/>
      <c r="AK834" s="341"/>
      <c r="AL834" s="341"/>
      <c r="AM834" s="339"/>
      <c r="AN834" s="339"/>
      <c r="AO834" s="339"/>
      <c r="AP834" s="339"/>
      <c r="AQ834" s="339"/>
      <c r="AR834" s="339"/>
      <c r="AS834" s="339"/>
    </row>
    <row r="835" spans="1:45" ht="15.75" customHeight="1">
      <c r="A835" s="339"/>
      <c r="B835" s="339"/>
      <c r="C835" s="341"/>
      <c r="D835" s="341"/>
      <c r="E835" s="341"/>
      <c r="F835" s="340"/>
      <c r="G835" s="339"/>
      <c r="H835" s="339"/>
      <c r="I835" s="339"/>
      <c r="J835" s="341"/>
      <c r="K835" s="340"/>
      <c r="L835" s="341"/>
      <c r="M835" s="340"/>
      <c r="N835" s="339"/>
      <c r="O835" s="339"/>
      <c r="P835" s="339"/>
      <c r="Q835" s="339"/>
      <c r="R835" s="339"/>
      <c r="S835" s="339"/>
      <c r="T835" s="339"/>
      <c r="U835" s="339"/>
      <c r="V835" s="339"/>
      <c r="W835" s="339"/>
      <c r="X835" s="339"/>
      <c r="Y835" s="339"/>
      <c r="Z835" s="339"/>
      <c r="AA835" s="339"/>
      <c r="AB835" s="341"/>
      <c r="AC835" s="341"/>
      <c r="AD835" s="341"/>
      <c r="AE835" s="339"/>
      <c r="AF835" s="339"/>
      <c r="AG835" s="341"/>
      <c r="AH835" s="339"/>
      <c r="AI835" s="341"/>
      <c r="AJ835" s="339"/>
      <c r="AK835" s="341"/>
      <c r="AL835" s="341"/>
      <c r="AM835" s="339"/>
      <c r="AN835" s="339"/>
      <c r="AO835" s="339"/>
      <c r="AP835" s="339"/>
      <c r="AQ835" s="339"/>
      <c r="AR835" s="339"/>
      <c r="AS835" s="339"/>
    </row>
    <row r="836" spans="1:45" ht="15.75" customHeight="1">
      <c r="A836" s="339"/>
      <c r="B836" s="339"/>
      <c r="C836" s="341"/>
      <c r="D836" s="341"/>
      <c r="E836" s="341"/>
      <c r="F836" s="340"/>
      <c r="G836" s="339"/>
      <c r="H836" s="339"/>
      <c r="I836" s="339"/>
      <c r="J836" s="341"/>
      <c r="K836" s="340"/>
      <c r="L836" s="341"/>
      <c r="M836" s="340"/>
      <c r="N836" s="339"/>
      <c r="O836" s="339"/>
      <c r="P836" s="339"/>
      <c r="Q836" s="339"/>
      <c r="R836" s="339"/>
      <c r="S836" s="339"/>
      <c r="T836" s="339"/>
      <c r="U836" s="339"/>
      <c r="V836" s="339"/>
      <c r="W836" s="339"/>
      <c r="X836" s="339"/>
      <c r="Y836" s="339"/>
      <c r="Z836" s="339"/>
      <c r="AA836" s="339"/>
      <c r="AB836" s="341"/>
      <c r="AC836" s="341"/>
      <c r="AD836" s="341"/>
      <c r="AE836" s="339"/>
      <c r="AF836" s="339"/>
      <c r="AG836" s="341"/>
      <c r="AH836" s="339"/>
      <c r="AI836" s="341"/>
      <c r="AJ836" s="339"/>
      <c r="AK836" s="341"/>
      <c r="AL836" s="341"/>
      <c r="AM836" s="339"/>
      <c r="AN836" s="339"/>
      <c r="AO836" s="339"/>
      <c r="AP836" s="339"/>
      <c r="AQ836" s="339"/>
      <c r="AR836" s="339"/>
      <c r="AS836" s="339"/>
    </row>
    <row r="837" spans="1:45" ht="15.75" customHeight="1">
      <c r="A837" s="339"/>
      <c r="B837" s="339"/>
      <c r="C837" s="341"/>
      <c r="D837" s="341"/>
      <c r="E837" s="341"/>
      <c r="F837" s="340"/>
      <c r="G837" s="339"/>
      <c r="H837" s="339"/>
      <c r="I837" s="339"/>
      <c r="J837" s="341"/>
      <c r="K837" s="340"/>
      <c r="L837" s="341"/>
      <c r="M837" s="340"/>
      <c r="N837" s="339"/>
      <c r="O837" s="339"/>
      <c r="P837" s="339"/>
      <c r="Q837" s="339"/>
      <c r="R837" s="339"/>
      <c r="S837" s="339"/>
      <c r="T837" s="339"/>
      <c r="U837" s="339"/>
      <c r="V837" s="339"/>
      <c r="W837" s="339"/>
      <c r="X837" s="339"/>
      <c r="Y837" s="339"/>
      <c r="Z837" s="339"/>
      <c r="AA837" s="339"/>
      <c r="AB837" s="341"/>
      <c r="AC837" s="341"/>
      <c r="AD837" s="341"/>
      <c r="AE837" s="339"/>
      <c r="AF837" s="339"/>
      <c r="AG837" s="341"/>
      <c r="AH837" s="339"/>
      <c r="AI837" s="341"/>
      <c r="AJ837" s="339"/>
      <c r="AK837" s="341"/>
      <c r="AL837" s="341"/>
      <c r="AM837" s="339"/>
      <c r="AN837" s="339"/>
      <c r="AO837" s="339"/>
      <c r="AP837" s="339"/>
      <c r="AQ837" s="339"/>
      <c r="AR837" s="339"/>
      <c r="AS837" s="339"/>
    </row>
    <row r="838" spans="1:45" ht="15.75" customHeight="1">
      <c r="A838" s="339"/>
      <c r="B838" s="339"/>
      <c r="C838" s="341"/>
      <c r="D838" s="341"/>
      <c r="E838" s="341"/>
      <c r="F838" s="340"/>
      <c r="G838" s="339"/>
      <c r="H838" s="339"/>
      <c r="I838" s="339"/>
      <c r="J838" s="341"/>
      <c r="K838" s="340"/>
      <c r="L838" s="341"/>
      <c r="M838" s="340"/>
      <c r="N838" s="339"/>
      <c r="O838" s="339"/>
      <c r="P838" s="339"/>
      <c r="Q838" s="339"/>
      <c r="R838" s="339"/>
      <c r="S838" s="339"/>
      <c r="T838" s="339"/>
      <c r="U838" s="339"/>
      <c r="V838" s="339"/>
      <c r="W838" s="339"/>
      <c r="X838" s="339"/>
      <c r="Y838" s="339"/>
      <c r="Z838" s="339"/>
      <c r="AA838" s="339"/>
      <c r="AB838" s="341"/>
      <c r="AC838" s="341"/>
      <c r="AD838" s="341"/>
      <c r="AE838" s="339"/>
      <c r="AF838" s="339"/>
      <c r="AG838" s="341"/>
      <c r="AH838" s="339"/>
      <c r="AI838" s="341"/>
      <c r="AJ838" s="339"/>
      <c r="AK838" s="341"/>
      <c r="AL838" s="341"/>
      <c r="AM838" s="339"/>
      <c r="AN838" s="339"/>
      <c r="AO838" s="339"/>
      <c r="AP838" s="339"/>
      <c r="AQ838" s="339"/>
      <c r="AR838" s="339"/>
      <c r="AS838" s="339"/>
    </row>
    <row r="839" spans="1:45" ht="15.75" customHeight="1">
      <c r="A839" s="339"/>
      <c r="B839" s="339"/>
      <c r="C839" s="341"/>
      <c r="D839" s="341"/>
      <c r="E839" s="341"/>
      <c r="F839" s="340"/>
      <c r="G839" s="339"/>
      <c r="H839" s="339"/>
      <c r="I839" s="339"/>
      <c r="J839" s="341"/>
      <c r="K839" s="340"/>
      <c r="L839" s="341"/>
      <c r="M839" s="340"/>
      <c r="N839" s="339"/>
      <c r="O839" s="339"/>
      <c r="P839" s="339"/>
      <c r="Q839" s="339"/>
      <c r="R839" s="339"/>
      <c r="S839" s="339"/>
      <c r="T839" s="339"/>
      <c r="U839" s="339"/>
      <c r="V839" s="339"/>
      <c r="W839" s="339"/>
      <c r="X839" s="339"/>
      <c r="Y839" s="339"/>
      <c r="Z839" s="339"/>
      <c r="AA839" s="339"/>
      <c r="AB839" s="341"/>
      <c r="AC839" s="341"/>
      <c r="AD839" s="341"/>
      <c r="AE839" s="339"/>
      <c r="AF839" s="339"/>
      <c r="AG839" s="341"/>
      <c r="AH839" s="339"/>
      <c r="AI839" s="341"/>
      <c r="AJ839" s="339"/>
      <c r="AK839" s="341"/>
      <c r="AL839" s="341"/>
      <c r="AM839" s="339"/>
      <c r="AN839" s="339"/>
      <c r="AO839" s="339"/>
      <c r="AP839" s="339"/>
      <c r="AQ839" s="339"/>
      <c r="AR839" s="339"/>
      <c r="AS839" s="339"/>
    </row>
    <row r="840" spans="1:45" ht="15.75" customHeight="1">
      <c r="A840" s="339"/>
      <c r="B840" s="339"/>
      <c r="C840" s="341"/>
      <c r="D840" s="341"/>
      <c r="E840" s="341"/>
      <c r="F840" s="340"/>
      <c r="G840" s="339"/>
      <c r="H840" s="339"/>
      <c r="I840" s="339"/>
      <c r="J840" s="341"/>
      <c r="K840" s="340"/>
      <c r="L840" s="341"/>
      <c r="M840" s="340"/>
      <c r="N840" s="339"/>
      <c r="O840" s="339"/>
      <c r="P840" s="339"/>
      <c r="Q840" s="339"/>
      <c r="R840" s="339"/>
      <c r="S840" s="339"/>
      <c r="T840" s="339"/>
      <c r="U840" s="339"/>
      <c r="V840" s="339"/>
      <c r="W840" s="339"/>
      <c r="X840" s="339"/>
      <c r="Y840" s="339"/>
      <c r="Z840" s="339"/>
      <c r="AA840" s="339"/>
      <c r="AB840" s="341"/>
      <c r="AC840" s="341"/>
      <c r="AD840" s="341"/>
      <c r="AE840" s="339"/>
      <c r="AF840" s="339"/>
      <c r="AG840" s="341"/>
      <c r="AH840" s="339"/>
      <c r="AI840" s="341"/>
      <c r="AJ840" s="339"/>
      <c r="AK840" s="341"/>
      <c r="AL840" s="341"/>
      <c r="AM840" s="339"/>
      <c r="AN840" s="339"/>
      <c r="AO840" s="339"/>
      <c r="AP840" s="339"/>
      <c r="AQ840" s="339"/>
      <c r="AR840" s="339"/>
      <c r="AS840" s="339"/>
    </row>
    <row r="841" spans="1:45" ht="15.75" customHeight="1">
      <c r="A841" s="339"/>
      <c r="B841" s="339"/>
      <c r="C841" s="341"/>
      <c r="D841" s="341"/>
      <c r="E841" s="341"/>
      <c r="F841" s="340"/>
      <c r="G841" s="339"/>
      <c r="H841" s="339"/>
      <c r="I841" s="339"/>
      <c r="J841" s="341"/>
      <c r="K841" s="340"/>
      <c r="L841" s="341"/>
      <c r="M841" s="340"/>
      <c r="N841" s="339"/>
      <c r="O841" s="339"/>
      <c r="P841" s="339"/>
      <c r="Q841" s="339"/>
      <c r="R841" s="339"/>
      <c r="S841" s="339"/>
      <c r="T841" s="339"/>
      <c r="U841" s="339"/>
      <c r="V841" s="339"/>
      <c r="W841" s="339"/>
      <c r="X841" s="339"/>
      <c r="Y841" s="339"/>
      <c r="Z841" s="339"/>
      <c r="AA841" s="339"/>
      <c r="AB841" s="341"/>
      <c r="AC841" s="341"/>
      <c r="AD841" s="341"/>
      <c r="AE841" s="339"/>
      <c r="AF841" s="339"/>
      <c r="AG841" s="341"/>
      <c r="AH841" s="339"/>
      <c r="AI841" s="341"/>
      <c r="AJ841" s="339"/>
      <c r="AK841" s="341"/>
      <c r="AL841" s="341"/>
      <c r="AM841" s="339"/>
      <c r="AN841" s="339"/>
      <c r="AO841" s="339"/>
      <c r="AP841" s="339"/>
      <c r="AQ841" s="339"/>
      <c r="AR841" s="339"/>
      <c r="AS841" s="339"/>
    </row>
    <row r="842" spans="1:45" ht="15.75" customHeight="1">
      <c r="A842" s="339"/>
      <c r="B842" s="339"/>
      <c r="C842" s="341"/>
      <c r="D842" s="341"/>
      <c r="E842" s="341"/>
      <c r="F842" s="340"/>
      <c r="G842" s="339"/>
      <c r="H842" s="339"/>
      <c r="I842" s="339"/>
      <c r="J842" s="341"/>
      <c r="K842" s="340"/>
      <c r="L842" s="341"/>
      <c r="M842" s="340"/>
      <c r="N842" s="339"/>
      <c r="O842" s="339"/>
      <c r="P842" s="339"/>
      <c r="Q842" s="339"/>
      <c r="R842" s="339"/>
      <c r="S842" s="339"/>
      <c r="T842" s="339"/>
      <c r="U842" s="339"/>
      <c r="V842" s="339"/>
      <c r="W842" s="339"/>
      <c r="X842" s="339"/>
      <c r="Y842" s="339"/>
      <c r="Z842" s="339"/>
      <c r="AA842" s="339"/>
      <c r="AB842" s="341"/>
      <c r="AC842" s="341"/>
      <c r="AD842" s="341"/>
      <c r="AE842" s="339"/>
      <c r="AF842" s="339"/>
      <c r="AG842" s="341"/>
      <c r="AH842" s="339"/>
      <c r="AI842" s="341"/>
      <c r="AJ842" s="339"/>
      <c r="AK842" s="341"/>
      <c r="AL842" s="341"/>
      <c r="AM842" s="339"/>
      <c r="AN842" s="339"/>
      <c r="AO842" s="339"/>
      <c r="AP842" s="339"/>
      <c r="AQ842" s="339"/>
      <c r="AR842" s="339"/>
      <c r="AS842" s="339"/>
    </row>
    <row r="843" spans="1:45" ht="15.75" customHeight="1">
      <c r="A843" s="339"/>
      <c r="B843" s="339"/>
      <c r="C843" s="341"/>
      <c r="D843" s="341"/>
      <c r="E843" s="341"/>
      <c r="F843" s="340"/>
      <c r="G843" s="339"/>
      <c r="H843" s="339"/>
      <c r="I843" s="339"/>
      <c r="J843" s="341"/>
      <c r="K843" s="340"/>
      <c r="L843" s="341"/>
      <c r="M843" s="340"/>
      <c r="N843" s="339"/>
      <c r="O843" s="339"/>
      <c r="P843" s="339"/>
      <c r="Q843" s="339"/>
      <c r="R843" s="339"/>
      <c r="S843" s="339"/>
      <c r="T843" s="339"/>
      <c r="U843" s="339"/>
      <c r="V843" s="339"/>
      <c r="W843" s="339"/>
      <c r="X843" s="339"/>
      <c r="Y843" s="339"/>
      <c r="Z843" s="339"/>
      <c r="AA843" s="339"/>
      <c r="AB843" s="341"/>
      <c r="AC843" s="341"/>
      <c r="AD843" s="341"/>
      <c r="AE843" s="339"/>
      <c r="AF843" s="339"/>
      <c r="AG843" s="341"/>
      <c r="AH843" s="339"/>
      <c r="AI843" s="341"/>
      <c r="AJ843" s="339"/>
      <c r="AK843" s="341"/>
      <c r="AL843" s="341"/>
      <c r="AM843" s="339"/>
      <c r="AN843" s="339"/>
      <c r="AO843" s="339"/>
      <c r="AP843" s="339"/>
      <c r="AQ843" s="339"/>
      <c r="AR843" s="339"/>
      <c r="AS843" s="339"/>
    </row>
    <row r="844" spans="1:45" ht="15.75" customHeight="1">
      <c r="A844" s="339"/>
      <c r="B844" s="339"/>
      <c r="C844" s="341"/>
      <c r="D844" s="341"/>
      <c r="E844" s="341"/>
      <c r="F844" s="340"/>
      <c r="G844" s="339"/>
      <c r="H844" s="339"/>
      <c r="I844" s="339"/>
      <c r="J844" s="341"/>
      <c r="K844" s="340"/>
      <c r="L844" s="341"/>
      <c r="M844" s="340"/>
      <c r="N844" s="339"/>
      <c r="O844" s="339"/>
      <c r="P844" s="339"/>
      <c r="Q844" s="339"/>
      <c r="R844" s="339"/>
      <c r="S844" s="339"/>
      <c r="T844" s="339"/>
      <c r="U844" s="339"/>
      <c r="V844" s="339"/>
      <c r="W844" s="339"/>
      <c r="X844" s="339"/>
      <c r="Y844" s="339"/>
      <c r="Z844" s="339"/>
      <c r="AA844" s="339"/>
      <c r="AB844" s="341"/>
      <c r="AC844" s="341"/>
      <c r="AD844" s="341"/>
      <c r="AE844" s="339"/>
      <c r="AF844" s="339"/>
      <c r="AG844" s="341"/>
      <c r="AH844" s="339"/>
      <c r="AI844" s="341"/>
      <c r="AJ844" s="339"/>
      <c r="AK844" s="341"/>
      <c r="AL844" s="341"/>
      <c r="AM844" s="339"/>
      <c r="AN844" s="339"/>
      <c r="AO844" s="339"/>
      <c r="AP844" s="339"/>
      <c r="AQ844" s="339"/>
      <c r="AR844" s="339"/>
      <c r="AS844" s="339"/>
    </row>
    <row r="845" spans="1:45" ht="15.75" customHeight="1">
      <c r="A845" s="339"/>
      <c r="B845" s="339"/>
      <c r="C845" s="341"/>
      <c r="D845" s="341"/>
      <c r="E845" s="341"/>
      <c r="F845" s="340"/>
      <c r="G845" s="339"/>
      <c r="H845" s="339"/>
      <c r="I845" s="339"/>
      <c r="J845" s="341"/>
      <c r="K845" s="340"/>
      <c r="L845" s="341"/>
      <c r="M845" s="340"/>
      <c r="N845" s="339"/>
      <c r="O845" s="339"/>
      <c r="P845" s="339"/>
      <c r="Q845" s="339"/>
      <c r="R845" s="339"/>
      <c r="S845" s="339"/>
      <c r="T845" s="339"/>
      <c r="U845" s="339"/>
      <c r="V845" s="339"/>
      <c r="W845" s="339"/>
      <c r="X845" s="339"/>
      <c r="Y845" s="339"/>
      <c r="Z845" s="339"/>
      <c r="AA845" s="339"/>
      <c r="AB845" s="341"/>
      <c r="AC845" s="341"/>
      <c r="AD845" s="341"/>
      <c r="AE845" s="339"/>
      <c r="AF845" s="339"/>
      <c r="AG845" s="341"/>
      <c r="AH845" s="339"/>
      <c r="AI845" s="341"/>
      <c r="AJ845" s="339"/>
      <c r="AK845" s="341"/>
      <c r="AL845" s="341"/>
      <c r="AM845" s="339"/>
      <c r="AN845" s="339"/>
      <c r="AO845" s="339"/>
      <c r="AP845" s="339"/>
      <c r="AQ845" s="339"/>
      <c r="AR845" s="339"/>
      <c r="AS845" s="339"/>
    </row>
    <row r="846" spans="1:45" ht="15.75" customHeight="1">
      <c r="A846" s="339"/>
      <c r="B846" s="339"/>
      <c r="C846" s="341"/>
      <c r="D846" s="341"/>
      <c r="E846" s="341"/>
      <c r="F846" s="340"/>
      <c r="G846" s="339"/>
      <c r="H846" s="339"/>
      <c r="I846" s="339"/>
      <c r="J846" s="341"/>
      <c r="K846" s="340"/>
      <c r="L846" s="341"/>
      <c r="M846" s="340"/>
      <c r="N846" s="339"/>
      <c r="O846" s="339"/>
      <c r="P846" s="339"/>
      <c r="Q846" s="339"/>
      <c r="R846" s="339"/>
      <c r="S846" s="339"/>
      <c r="T846" s="339"/>
      <c r="U846" s="339"/>
      <c r="V846" s="339"/>
      <c r="W846" s="339"/>
      <c r="X846" s="339"/>
      <c r="Y846" s="339"/>
      <c r="Z846" s="339"/>
      <c r="AA846" s="339"/>
      <c r="AB846" s="341"/>
      <c r="AC846" s="341"/>
      <c r="AD846" s="341"/>
      <c r="AE846" s="339"/>
      <c r="AF846" s="339"/>
      <c r="AG846" s="341"/>
      <c r="AH846" s="339"/>
      <c r="AI846" s="341"/>
      <c r="AJ846" s="339"/>
      <c r="AK846" s="341"/>
      <c r="AL846" s="341"/>
      <c r="AM846" s="339"/>
      <c r="AN846" s="339"/>
      <c r="AO846" s="339"/>
      <c r="AP846" s="339"/>
      <c r="AQ846" s="339"/>
      <c r="AR846" s="339"/>
      <c r="AS846" s="339"/>
    </row>
    <row r="847" spans="1:45" ht="15.75" customHeight="1">
      <c r="A847" s="339"/>
      <c r="B847" s="339"/>
      <c r="C847" s="341"/>
      <c r="D847" s="341"/>
      <c r="E847" s="341"/>
      <c r="F847" s="340"/>
      <c r="G847" s="339"/>
      <c r="H847" s="339"/>
      <c r="I847" s="339"/>
      <c r="J847" s="341"/>
      <c r="K847" s="340"/>
      <c r="L847" s="341"/>
      <c r="M847" s="340"/>
      <c r="N847" s="339"/>
      <c r="O847" s="339"/>
      <c r="P847" s="339"/>
      <c r="Q847" s="339"/>
      <c r="R847" s="339"/>
      <c r="S847" s="339"/>
      <c r="T847" s="339"/>
      <c r="U847" s="339"/>
      <c r="V847" s="339"/>
      <c r="W847" s="339"/>
      <c r="X847" s="339"/>
      <c r="Y847" s="339"/>
      <c r="Z847" s="339"/>
      <c r="AA847" s="339"/>
      <c r="AB847" s="341"/>
      <c r="AC847" s="341"/>
      <c r="AD847" s="341"/>
      <c r="AE847" s="339"/>
      <c r="AF847" s="339"/>
      <c r="AG847" s="341"/>
      <c r="AH847" s="339"/>
      <c r="AI847" s="341"/>
      <c r="AJ847" s="339"/>
      <c r="AK847" s="341"/>
      <c r="AL847" s="341"/>
      <c r="AM847" s="339"/>
      <c r="AN847" s="339"/>
      <c r="AO847" s="339"/>
      <c r="AP847" s="339"/>
      <c r="AQ847" s="339"/>
      <c r="AR847" s="339"/>
      <c r="AS847" s="339"/>
    </row>
    <row r="848" spans="1:45" ht="15.75" customHeight="1">
      <c r="A848" s="339"/>
      <c r="B848" s="339"/>
      <c r="C848" s="341"/>
      <c r="D848" s="341"/>
      <c r="E848" s="341"/>
      <c r="F848" s="340"/>
      <c r="G848" s="339"/>
      <c r="H848" s="339"/>
      <c r="I848" s="339"/>
      <c r="J848" s="341"/>
      <c r="K848" s="340"/>
      <c r="L848" s="341"/>
      <c r="M848" s="340"/>
      <c r="N848" s="339"/>
      <c r="O848" s="339"/>
      <c r="P848" s="339"/>
      <c r="Q848" s="339"/>
      <c r="R848" s="339"/>
      <c r="S848" s="339"/>
      <c r="T848" s="339"/>
      <c r="U848" s="339"/>
      <c r="V848" s="339"/>
      <c r="W848" s="339"/>
      <c r="X848" s="339"/>
      <c r="Y848" s="339"/>
      <c r="Z848" s="339"/>
      <c r="AA848" s="339"/>
      <c r="AB848" s="341"/>
      <c r="AC848" s="341"/>
      <c r="AD848" s="341"/>
      <c r="AE848" s="339"/>
      <c r="AF848" s="339"/>
      <c r="AG848" s="341"/>
      <c r="AH848" s="339"/>
      <c r="AI848" s="341"/>
      <c r="AJ848" s="339"/>
      <c r="AK848" s="341"/>
      <c r="AL848" s="341"/>
      <c r="AM848" s="339"/>
      <c r="AN848" s="339"/>
      <c r="AO848" s="339"/>
      <c r="AP848" s="339"/>
      <c r="AQ848" s="339"/>
      <c r="AR848" s="339"/>
      <c r="AS848" s="339"/>
    </row>
    <row r="849" spans="1:45" ht="15.75" customHeight="1">
      <c r="A849" s="339"/>
      <c r="B849" s="339"/>
      <c r="C849" s="341"/>
      <c r="D849" s="341"/>
      <c r="E849" s="341"/>
      <c r="F849" s="340"/>
      <c r="G849" s="339"/>
      <c r="H849" s="339"/>
      <c r="I849" s="339"/>
      <c r="J849" s="341"/>
      <c r="K849" s="340"/>
      <c r="L849" s="341"/>
      <c r="M849" s="340"/>
      <c r="N849" s="339"/>
      <c r="O849" s="339"/>
      <c r="P849" s="339"/>
      <c r="Q849" s="339"/>
      <c r="R849" s="339"/>
      <c r="S849" s="339"/>
      <c r="T849" s="339"/>
      <c r="U849" s="339"/>
      <c r="V849" s="339"/>
      <c r="W849" s="339"/>
      <c r="X849" s="339"/>
      <c r="Y849" s="339"/>
      <c r="Z849" s="339"/>
      <c r="AA849" s="339"/>
      <c r="AB849" s="341"/>
      <c r="AC849" s="341"/>
      <c r="AD849" s="341"/>
      <c r="AE849" s="339"/>
      <c r="AF849" s="339"/>
      <c r="AG849" s="341"/>
      <c r="AH849" s="339"/>
      <c r="AI849" s="341"/>
      <c r="AJ849" s="339"/>
      <c r="AK849" s="341"/>
      <c r="AL849" s="341"/>
      <c r="AM849" s="339"/>
      <c r="AN849" s="339"/>
      <c r="AO849" s="339"/>
      <c r="AP849" s="339"/>
      <c r="AQ849" s="339"/>
      <c r="AR849" s="339"/>
      <c r="AS849" s="339"/>
    </row>
    <row r="850" spans="1:45" ht="15.75" customHeight="1">
      <c r="A850" s="339"/>
      <c r="B850" s="339"/>
      <c r="C850" s="341"/>
      <c r="D850" s="341"/>
      <c r="E850" s="341"/>
      <c r="F850" s="340"/>
      <c r="G850" s="339"/>
      <c r="H850" s="339"/>
      <c r="I850" s="339"/>
      <c r="J850" s="341"/>
      <c r="K850" s="340"/>
      <c r="L850" s="341"/>
      <c r="M850" s="340"/>
      <c r="N850" s="339"/>
      <c r="O850" s="339"/>
      <c r="P850" s="339"/>
      <c r="Q850" s="339"/>
      <c r="R850" s="339"/>
      <c r="S850" s="339"/>
      <c r="T850" s="339"/>
      <c r="U850" s="339"/>
      <c r="V850" s="339"/>
      <c r="W850" s="339"/>
      <c r="X850" s="339"/>
      <c r="Y850" s="339"/>
      <c r="Z850" s="339"/>
      <c r="AA850" s="339"/>
      <c r="AB850" s="341"/>
      <c r="AC850" s="341"/>
      <c r="AD850" s="341"/>
      <c r="AE850" s="339"/>
      <c r="AF850" s="339"/>
      <c r="AG850" s="341"/>
      <c r="AH850" s="339"/>
      <c r="AI850" s="341"/>
      <c r="AJ850" s="339"/>
      <c r="AK850" s="341"/>
      <c r="AL850" s="341"/>
      <c r="AM850" s="339"/>
      <c r="AN850" s="339"/>
      <c r="AO850" s="339"/>
      <c r="AP850" s="339"/>
      <c r="AQ850" s="339"/>
      <c r="AR850" s="339"/>
      <c r="AS850" s="339"/>
    </row>
    <row r="851" spans="1:45" ht="15.75" customHeight="1">
      <c r="A851" s="339"/>
      <c r="B851" s="339"/>
      <c r="C851" s="341"/>
      <c r="D851" s="341"/>
      <c r="E851" s="341"/>
      <c r="F851" s="340"/>
      <c r="G851" s="339"/>
      <c r="H851" s="339"/>
      <c r="I851" s="339"/>
      <c r="J851" s="341"/>
      <c r="K851" s="340"/>
      <c r="L851" s="341"/>
      <c r="M851" s="340"/>
      <c r="N851" s="339"/>
      <c r="O851" s="339"/>
      <c r="P851" s="339"/>
      <c r="Q851" s="339"/>
      <c r="R851" s="339"/>
      <c r="S851" s="339"/>
      <c r="T851" s="339"/>
      <c r="U851" s="339"/>
      <c r="V851" s="339"/>
      <c r="W851" s="339"/>
      <c r="X851" s="339"/>
      <c r="Y851" s="339"/>
      <c r="Z851" s="339"/>
      <c r="AA851" s="339"/>
      <c r="AB851" s="341"/>
      <c r="AC851" s="341"/>
      <c r="AD851" s="341"/>
      <c r="AE851" s="339"/>
      <c r="AF851" s="339"/>
      <c r="AG851" s="341"/>
      <c r="AH851" s="339"/>
      <c r="AI851" s="341"/>
      <c r="AJ851" s="339"/>
      <c r="AK851" s="341"/>
      <c r="AL851" s="341"/>
      <c r="AM851" s="339"/>
      <c r="AN851" s="339"/>
      <c r="AO851" s="339"/>
      <c r="AP851" s="339"/>
      <c r="AQ851" s="339"/>
      <c r="AR851" s="339"/>
      <c r="AS851" s="339"/>
    </row>
    <row r="852" spans="1:45" ht="15.75" customHeight="1">
      <c r="A852" s="339"/>
      <c r="B852" s="339"/>
      <c r="C852" s="341"/>
      <c r="D852" s="341"/>
      <c r="E852" s="341"/>
      <c r="F852" s="340"/>
      <c r="G852" s="339"/>
      <c r="H852" s="339"/>
      <c r="I852" s="339"/>
      <c r="J852" s="341"/>
      <c r="K852" s="340"/>
      <c r="L852" s="341"/>
      <c r="M852" s="340"/>
      <c r="N852" s="339"/>
      <c r="O852" s="339"/>
      <c r="P852" s="339"/>
      <c r="Q852" s="339"/>
      <c r="R852" s="339"/>
      <c r="S852" s="339"/>
      <c r="T852" s="339"/>
      <c r="U852" s="339"/>
      <c r="V852" s="339"/>
      <c r="W852" s="339"/>
      <c r="X852" s="339"/>
      <c r="Y852" s="339"/>
      <c r="Z852" s="339"/>
      <c r="AA852" s="339"/>
      <c r="AB852" s="341"/>
      <c r="AC852" s="341"/>
      <c r="AD852" s="341"/>
      <c r="AE852" s="339"/>
      <c r="AF852" s="339"/>
      <c r="AG852" s="341"/>
      <c r="AH852" s="339"/>
      <c r="AI852" s="341"/>
      <c r="AJ852" s="339"/>
      <c r="AK852" s="341"/>
      <c r="AL852" s="341"/>
      <c r="AM852" s="339"/>
      <c r="AN852" s="339"/>
      <c r="AO852" s="339"/>
      <c r="AP852" s="339"/>
      <c r="AQ852" s="339"/>
      <c r="AR852" s="339"/>
      <c r="AS852" s="339"/>
    </row>
    <row r="853" spans="1:45" ht="15.75" customHeight="1">
      <c r="A853" s="339"/>
      <c r="B853" s="339"/>
      <c r="C853" s="341"/>
      <c r="D853" s="341"/>
      <c r="E853" s="341"/>
      <c r="F853" s="340"/>
      <c r="G853" s="339"/>
      <c r="H853" s="339"/>
      <c r="I853" s="339"/>
      <c r="J853" s="341"/>
      <c r="K853" s="340"/>
      <c r="L853" s="341"/>
      <c r="M853" s="340"/>
      <c r="N853" s="339"/>
      <c r="O853" s="339"/>
      <c r="P853" s="339"/>
      <c r="Q853" s="339"/>
      <c r="R853" s="339"/>
      <c r="S853" s="339"/>
      <c r="T853" s="339"/>
      <c r="U853" s="339"/>
      <c r="V853" s="339"/>
      <c r="W853" s="339"/>
      <c r="X853" s="339"/>
      <c r="Y853" s="339"/>
      <c r="Z853" s="339"/>
      <c r="AA853" s="339"/>
      <c r="AB853" s="341"/>
      <c r="AC853" s="341"/>
      <c r="AD853" s="341"/>
      <c r="AE853" s="339"/>
      <c r="AF853" s="339"/>
      <c r="AG853" s="341"/>
      <c r="AH853" s="339"/>
      <c r="AI853" s="341"/>
      <c r="AJ853" s="339"/>
      <c r="AK853" s="341"/>
      <c r="AL853" s="341"/>
      <c r="AM853" s="339"/>
      <c r="AN853" s="339"/>
      <c r="AO853" s="339"/>
      <c r="AP853" s="339"/>
      <c r="AQ853" s="339"/>
      <c r="AR853" s="339"/>
      <c r="AS853" s="339"/>
    </row>
    <row r="854" spans="1:45" ht="15.75" customHeight="1">
      <c r="A854" s="339"/>
      <c r="B854" s="339"/>
      <c r="C854" s="341"/>
      <c r="D854" s="341"/>
      <c r="E854" s="341"/>
      <c r="F854" s="340"/>
      <c r="G854" s="339"/>
      <c r="H854" s="339"/>
      <c r="I854" s="339"/>
      <c r="J854" s="341"/>
      <c r="K854" s="340"/>
      <c r="L854" s="341"/>
      <c r="M854" s="340"/>
      <c r="N854" s="339"/>
      <c r="O854" s="339"/>
      <c r="P854" s="339"/>
      <c r="Q854" s="339"/>
      <c r="R854" s="339"/>
      <c r="S854" s="339"/>
      <c r="T854" s="339"/>
      <c r="U854" s="339"/>
      <c r="V854" s="339"/>
      <c r="W854" s="339"/>
      <c r="X854" s="339"/>
      <c r="Y854" s="339"/>
      <c r="Z854" s="339"/>
      <c r="AA854" s="339"/>
      <c r="AB854" s="341"/>
      <c r="AC854" s="341"/>
      <c r="AD854" s="341"/>
      <c r="AE854" s="339"/>
      <c r="AF854" s="339"/>
      <c r="AG854" s="341"/>
      <c r="AH854" s="339"/>
      <c r="AI854" s="341"/>
      <c r="AJ854" s="339"/>
      <c r="AK854" s="341"/>
      <c r="AL854" s="341"/>
      <c r="AM854" s="339"/>
      <c r="AN854" s="339"/>
      <c r="AO854" s="339"/>
      <c r="AP854" s="339"/>
      <c r="AQ854" s="339"/>
      <c r="AR854" s="339"/>
      <c r="AS854" s="339"/>
    </row>
    <row r="855" spans="1:45" ht="15.75" customHeight="1">
      <c r="A855" s="339"/>
      <c r="B855" s="339"/>
      <c r="C855" s="341"/>
      <c r="D855" s="341"/>
      <c r="E855" s="341"/>
      <c r="F855" s="340"/>
      <c r="G855" s="339"/>
      <c r="H855" s="339"/>
      <c r="I855" s="339"/>
      <c r="J855" s="341"/>
      <c r="K855" s="340"/>
      <c r="L855" s="341"/>
      <c r="M855" s="340"/>
      <c r="N855" s="339"/>
      <c r="O855" s="339"/>
      <c r="P855" s="339"/>
      <c r="Q855" s="339"/>
      <c r="R855" s="339"/>
      <c r="S855" s="339"/>
      <c r="T855" s="339"/>
      <c r="U855" s="339"/>
      <c r="V855" s="339"/>
      <c r="W855" s="339"/>
      <c r="X855" s="339"/>
      <c r="Y855" s="339"/>
      <c r="Z855" s="339"/>
      <c r="AA855" s="339"/>
      <c r="AB855" s="341"/>
      <c r="AC855" s="341"/>
      <c r="AD855" s="341"/>
      <c r="AE855" s="339"/>
      <c r="AF855" s="339"/>
      <c r="AG855" s="341"/>
      <c r="AH855" s="339"/>
      <c r="AI855" s="341"/>
      <c r="AJ855" s="339"/>
      <c r="AK855" s="341"/>
      <c r="AL855" s="341"/>
      <c r="AM855" s="339"/>
      <c r="AN855" s="339"/>
      <c r="AO855" s="339"/>
      <c r="AP855" s="339"/>
      <c r="AQ855" s="339"/>
      <c r="AR855" s="339"/>
      <c r="AS855" s="339"/>
    </row>
    <row r="856" spans="1:45" ht="15.75" customHeight="1">
      <c r="A856" s="339"/>
      <c r="B856" s="339"/>
      <c r="C856" s="341"/>
      <c r="D856" s="341"/>
      <c r="E856" s="341"/>
      <c r="F856" s="340"/>
      <c r="G856" s="339"/>
      <c r="H856" s="339"/>
      <c r="I856" s="339"/>
      <c r="J856" s="341"/>
      <c r="K856" s="340"/>
      <c r="L856" s="341"/>
      <c r="M856" s="340"/>
      <c r="N856" s="339"/>
      <c r="O856" s="339"/>
      <c r="P856" s="339"/>
      <c r="Q856" s="339"/>
      <c r="R856" s="339"/>
      <c r="S856" s="339"/>
      <c r="T856" s="339"/>
      <c r="U856" s="339"/>
      <c r="V856" s="339"/>
      <c r="W856" s="339"/>
      <c r="X856" s="339"/>
      <c r="Y856" s="339"/>
      <c r="Z856" s="339"/>
      <c r="AA856" s="339"/>
      <c r="AB856" s="341"/>
      <c r="AC856" s="341"/>
      <c r="AD856" s="341"/>
      <c r="AE856" s="339"/>
      <c r="AF856" s="339"/>
      <c r="AG856" s="341"/>
      <c r="AH856" s="339"/>
      <c r="AI856" s="341"/>
      <c r="AJ856" s="339"/>
      <c r="AK856" s="341"/>
      <c r="AL856" s="341"/>
      <c r="AM856" s="339"/>
      <c r="AN856" s="339"/>
      <c r="AO856" s="339"/>
      <c r="AP856" s="339"/>
      <c r="AQ856" s="339"/>
      <c r="AR856" s="339"/>
      <c r="AS856" s="339"/>
    </row>
    <row r="857" spans="1:45" ht="15.75" customHeight="1">
      <c r="A857" s="339"/>
      <c r="B857" s="339"/>
      <c r="C857" s="341"/>
      <c r="D857" s="341"/>
      <c r="E857" s="341"/>
      <c r="F857" s="340"/>
      <c r="G857" s="339"/>
      <c r="H857" s="339"/>
      <c r="I857" s="339"/>
      <c r="J857" s="341"/>
      <c r="K857" s="340"/>
      <c r="L857" s="341"/>
      <c r="M857" s="340"/>
      <c r="N857" s="339"/>
      <c r="O857" s="339"/>
      <c r="P857" s="339"/>
      <c r="Q857" s="339"/>
      <c r="R857" s="339"/>
      <c r="S857" s="339"/>
      <c r="T857" s="339"/>
      <c r="U857" s="339"/>
      <c r="V857" s="339"/>
      <c r="W857" s="339"/>
      <c r="X857" s="339"/>
      <c r="Y857" s="339"/>
      <c r="Z857" s="339"/>
      <c r="AA857" s="339"/>
      <c r="AB857" s="341"/>
      <c r="AC857" s="341"/>
      <c r="AD857" s="341"/>
      <c r="AE857" s="339"/>
      <c r="AF857" s="339"/>
      <c r="AG857" s="341"/>
      <c r="AH857" s="339"/>
      <c r="AI857" s="341"/>
      <c r="AJ857" s="339"/>
      <c r="AK857" s="341"/>
      <c r="AL857" s="341"/>
      <c r="AM857" s="339"/>
      <c r="AN857" s="339"/>
      <c r="AO857" s="339"/>
      <c r="AP857" s="339"/>
      <c r="AQ857" s="339"/>
      <c r="AR857" s="339"/>
      <c r="AS857" s="339"/>
    </row>
    <row r="858" spans="1:45" ht="15.75" customHeight="1">
      <c r="A858" s="339"/>
      <c r="B858" s="339"/>
      <c r="C858" s="341"/>
      <c r="D858" s="341"/>
      <c r="E858" s="341"/>
      <c r="F858" s="340"/>
      <c r="G858" s="339"/>
      <c r="H858" s="339"/>
      <c r="I858" s="339"/>
      <c r="J858" s="341"/>
      <c r="K858" s="340"/>
      <c r="L858" s="341"/>
      <c r="M858" s="340"/>
      <c r="N858" s="339"/>
      <c r="O858" s="339"/>
      <c r="P858" s="339"/>
      <c r="Q858" s="339"/>
      <c r="R858" s="339"/>
      <c r="S858" s="339"/>
      <c r="T858" s="339"/>
      <c r="U858" s="339"/>
      <c r="V858" s="339"/>
      <c r="W858" s="339"/>
      <c r="X858" s="339"/>
      <c r="Y858" s="339"/>
      <c r="Z858" s="339"/>
      <c r="AA858" s="339"/>
      <c r="AB858" s="341"/>
      <c r="AC858" s="341"/>
      <c r="AD858" s="341"/>
      <c r="AE858" s="339"/>
      <c r="AF858" s="339"/>
      <c r="AG858" s="341"/>
      <c r="AH858" s="339"/>
      <c r="AI858" s="341"/>
      <c r="AJ858" s="339"/>
      <c r="AK858" s="341"/>
      <c r="AL858" s="341"/>
      <c r="AM858" s="339"/>
      <c r="AN858" s="339"/>
      <c r="AO858" s="339"/>
      <c r="AP858" s="339"/>
      <c r="AQ858" s="339"/>
      <c r="AR858" s="339"/>
      <c r="AS858" s="339"/>
    </row>
    <row r="859" spans="1:45" ht="15.75" customHeight="1">
      <c r="A859" s="339"/>
      <c r="B859" s="339"/>
      <c r="C859" s="341"/>
      <c r="D859" s="341"/>
      <c r="E859" s="341"/>
      <c r="F859" s="340"/>
      <c r="G859" s="339"/>
      <c r="H859" s="339"/>
      <c r="I859" s="339"/>
      <c r="J859" s="341"/>
      <c r="K859" s="340"/>
      <c r="L859" s="341"/>
      <c r="M859" s="340"/>
      <c r="N859" s="339"/>
      <c r="O859" s="339"/>
      <c r="P859" s="339"/>
      <c r="Q859" s="339"/>
      <c r="R859" s="339"/>
      <c r="S859" s="339"/>
      <c r="T859" s="339"/>
      <c r="U859" s="339"/>
      <c r="V859" s="339"/>
      <c r="W859" s="339"/>
      <c r="X859" s="339"/>
      <c r="Y859" s="339"/>
      <c r="Z859" s="339"/>
      <c r="AA859" s="339"/>
      <c r="AB859" s="341"/>
      <c r="AC859" s="341"/>
      <c r="AD859" s="341"/>
      <c r="AE859" s="339"/>
      <c r="AF859" s="339"/>
      <c r="AG859" s="341"/>
      <c r="AH859" s="339"/>
      <c r="AI859" s="341"/>
      <c r="AJ859" s="339"/>
      <c r="AK859" s="341"/>
      <c r="AL859" s="341"/>
      <c r="AM859" s="339"/>
      <c r="AN859" s="339"/>
      <c r="AO859" s="339"/>
      <c r="AP859" s="339"/>
      <c r="AQ859" s="339"/>
      <c r="AR859" s="339"/>
      <c r="AS859" s="339"/>
    </row>
    <row r="860" spans="1:45" ht="15.75" customHeight="1">
      <c r="A860" s="339"/>
      <c r="B860" s="339"/>
      <c r="C860" s="341"/>
      <c r="D860" s="341"/>
      <c r="E860" s="341"/>
      <c r="F860" s="340"/>
      <c r="G860" s="339"/>
      <c r="H860" s="339"/>
      <c r="I860" s="339"/>
      <c r="J860" s="341"/>
      <c r="K860" s="340"/>
      <c r="L860" s="341"/>
      <c r="M860" s="340"/>
      <c r="N860" s="339"/>
      <c r="O860" s="339"/>
      <c r="P860" s="339"/>
      <c r="Q860" s="339"/>
      <c r="R860" s="339"/>
      <c r="S860" s="339"/>
      <c r="T860" s="339"/>
      <c r="U860" s="339"/>
      <c r="V860" s="339"/>
      <c r="W860" s="339"/>
      <c r="X860" s="339"/>
      <c r="Y860" s="339"/>
      <c r="Z860" s="339"/>
      <c r="AA860" s="339"/>
      <c r="AB860" s="341"/>
      <c r="AC860" s="341"/>
      <c r="AD860" s="341"/>
      <c r="AE860" s="339"/>
      <c r="AF860" s="339"/>
      <c r="AG860" s="341"/>
      <c r="AH860" s="339"/>
      <c r="AI860" s="341"/>
      <c r="AJ860" s="339"/>
      <c r="AK860" s="341"/>
      <c r="AL860" s="341"/>
      <c r="AM860" s="339"/>
      <c r="AN860" s="339"/>
      <c r="AO860" s="339"/>
      <c r="AP860" s="339"/>
      <c r="AQ860" s="339"/>
      <c r="AR860" s="339"/>
      <c r="AS860" s="339"/>
    </row>
    <row r="861" spans="1:45" ht="15.75" customHeight="1">
      <c r="A861" s="339"/>
      <c r="B861" s="339"/>
      <c r="C861" s="341"/>
      <c r="D861" s="341"/>
      <c r="E861" s="341"/>
      <c r="F861" s="340"/>
      <c r="G861" s="339"/>
      <c r="H861" s="339"/>
      <c r="I861" s="339"/>
      <c r="J861" s="341"/>
      <c r="K861" s="340"/>
      <c r="L861" s="341"/>
      <c r="M861" s="340"/>
      <c r="N861" s="339"/>
      <c r="O861" s="339"/>
      <c r="P861" s="339"/>
      <c r="Q861" s="339"/>
      <c r="R861" s="339"/>
      <c r="S861" s="339"/>
      <c r="T861" s="339"/>
      <c r="U861" s="339"/>
      <c r="V861" s="339"/>
      <c r="W861" s="339"/>
      <c r="X861" s="339"/>
      <c r="Y861" s="339"/>
      <c r="Z861" s="339"/>
      <c r="AA861" s="339"/>
      <c r="AB861" s="341"/>
      <c r="AC861" s="341"/>
      <c r="AD861" s="341"/>
      <c r="AE861" s="339"/>
      <c r="AF861" s="339"/>
      <c r="AG861" s="341"/>
      <c r="AH861" s="339"/>
      <c r="AI861" s="341"/>
      <c r="AJ861" s="339"/>
      <c r="AK861" s="341"/>
      <c r="AL861" s="341"/>
      <c r="AM861" s="339"/>
      <c r="AN861" s="339"/>
      <c r="AO861" s="339"/>
      <c r="AP861" s="339"/>
      <c r="AQ861" s="339"/>
      <c r="AR861" s="339"/>
      <c r="AS861" s="339"/>
    </row>
    <row r="862" spans="1:45" ht="15.75" customHeight="1">
      <c r="A862" s="339"/>
      <c r="B862" s="339"/>
      <c r="C862" s="341"/>
      <c r="D862" s="341"/>
      <c r="E862" s="341"/>
      <c r="F862" s="340"/>
      <c r="G862" s="339"/>
      <c r="H862" s="339"/>
      <c r="I862" s="339"/>
      <c r="J862" s="341"/>
      <c r="K862" s="340"/>
      <c r="L862" s="341"/>
      <c r="M862" s="340"/>
      <c r="N862" s="339"/>
      <c r="O862" s="339"/>
      <c r="P862" s="339"/>
      <c r="Q862" s="339"/>
      <c r="R862" s="339"/>
      <c r="S862" s="339"/>
      <c r="T862" s="339"/>
      <c r="U862" s="339"/>
      <c r="V862" s="339"/>
      <c r="W862" s="339"/>
      <c r="X862" s="339"/>
      <c r="Y862" s="339"/>
      <c r="Z862" s="339"/>
      <c r="AA862" s="339"/>
      <c r="AB862" s="341"/>
      <c r="AC862" s="341"/>
      <c r="AD862" s="341"/>
      <c r="AE862" s="339"/>
      <c r="AF862" s="339"/>
      <c r="AG862" s="341"/>
      <c r="AH862" s="339"/>
      <c r="AI862" s="341"/>
      <c r="AJ862" s="339"/>
      <c r="AK862" s="341"/>
      <c r="AL862" s="341"/>
      <c r="AM862" s="339"/>
      <c r="AN862" s="339"/>
      <c r="AO862" s="339"/>
      <c r="AP862" s="339"/>
      <c r="AQ862" s="339"/>
      <c r="AR862" s="339"/>
      <c r="AS862" s="339"/>
    </row>
    <row r="863" spans="1:45" ht="15.75" customHeight="1">
      <c r="A863" s="339"/>
      <c r="B863" s="339"/>
      <c r="C863" s="341"/>
      <c r="D863" s="341"/>
      <c r="E863" s="341"/>
      <c r="F863" s="340"/>
      <c r="G863" s="339"/>
      <c r="H863" s="339"/>
      <c r="I863" s="339"/>
      <c r="J863" s="341"/>
      <c r="K863" s="340"/>
      <c r="L863" s="341"/>
      <c r="M863" s="340"/>
      <c r="N863" s="339"/>
      <c r="O863" s="339"/>
      <c r="P863" s="339"/>
      <c r="Q863" s="339"/>
      <c r="R863" s="339"/>
      <c r="S863" s="339"/>
      <c r="T863" s="339"/>
      <c r="U863" s="339"/>
      <c r="V863" s="339"/>
      <c r="W863" s="339"/>
      <c r="X863" s="339"/>
      <c r="Y863" s="339"/>
      <c r="Z863" s="339"/>
      <c r="AA863" s="339"/>
      <c r="AB863" s="341"/>
      <c r="AC863" s="341"/>
      <c r="AD863" s="341"/>
      <c r="AE863" s="339"/>
      <c r="AF863" s="339"/>
      <c r="AG863" s="341"/>
      <c r="AH863" s="339"/>
      <c r="AI863" s="341"/>
      <c r="AJ863" s="339"/>
      <c r="AK863" s="341"/>
      <c r="AL863" s="341"/>
      <c r="AM863" s="339"/>
      <c r="AN863" s="339"/>
      <c r="AO863" s="339"/>
      <c r="AP863" s="339"/>
      <c r="AQ863" s="339"/>
      <c r="AR863" s="339"/>
      <c r="AS863" s="339"/>
    </row>
    <row r="864" spans="1:45" ht="15.75" customHeight="1">
      <c r="A864" s="339"/>
      <c r="B864" s="339"/>
      <c r="C864" s="341"/>
      <c r="D864" s="341"/>
      <c r="E864" s="341"/>
      <c r="F864" s="340"/>
      <c r="G864" s="339"/>
      <c r="H864" s="339"/>
      <c r="I864" s="339"/>
      <c r="J864" s="341"/>
      <c r="K864" s="340"/>
      <c r="L864" s="341"/>
      <c r="M864" s="340"/>
      <c r="N864" s="339"/>
      <c r="O864" s="339"/>
      <c r="P864" s="339"/>
      <c r="Q864" s="339"/>
      <c r="R864" s="339"/>
      <c r="S864" s="339"/>
      <c r="T864" s="339"/>
      <c r="U864" s="339"/>
      <c r="V864" s="339"/>
      <c r="W864" s="339"/>
      <c r="X864" s="339"/>
      <c r="Y864" s="339"/>
      <c r="Z864" s="339"/>
      <c r="AA864" s="339"/>
      <c r="AB864" s="341"/>
      <c r="AC864" s="341"/>
      <c r="AD864" s="341"/>
      <c r="AE864" s="339"/>
      <c r="AF864" s="339"/>
      <c r="AG864" s="341"/>
      <c r="AH864" s="339"/>
      <c r="AI864" s="341"/>
      <c r="AJ864" s="339"/>
      <c r="AK864" s="341"/>
      <c r="AL864" s="341"/>
      <c r="AM864" s="339"/>
      <c r="AN864" s="339"/>
      <c r="AO864" s="339"/>
      <c r="AP864" s="339"/>
      <c r="AQ864" s="339"/>
      <c r="AR864" s="339"/>
      <c r="AS864" s="339"/>
    </row>
    <row r="865" spans="1:45" ht="15.75" customHeight="1">
      <c r="A865" s="339"/>
      <c r="B865" s="339"/>
      <c r="C865" s="341"/>
      <c r="D865" s="341"/>
      <c r="E865" s="341"/>
      <c r="F865" s="340"/>
      <c r="G865" s="339"/>
      <c r="H865" s="339"/>
      <c r="I865" s="339"/>
      <c r="J865" s="341"/>
      <c r="K865" s="340"/>
      <c r="L865" s="341"/>
      <c r="M865" s="340"/>
      <c r="N865" s="339"/>
      <c r="O865" s="339"/>
      <c r="P865" s="339"/>
      <c r="Q865" s="339"/>
      <c r="R865" s="339"/>
      <c r="S865" s="339"/>
      <c r="T865" s="339"/>
      <c r="U865" s="339"/>
      <c r="V865" s="339"/>
      <c r="W865" s="339"/>
      <c r="X865" s="339"/>
      <c r="Y865" s="339"/>
      <c r="Z865" s="339"/>
      <c r="AA865" s="339"/>
      <c r="AB865" s="341"/>
      <c r="AC865" s="341"/>
      <c r="AD865" s="341"/>
      <c r="AE865" s="339"/>
      <c r="AF865" s="339"/>
      <c r="AG865" s="341"/>
      <c r="AH865" s="339"/>
      <c r="AI865" s="341"/>
      <c r="AJ865" s="339"/>
      <c r="AK865" s="341"/>
      <c r="AL865" s="341"/>
      <c r="AM865" s="339"/>
      <c r="AN865" s="339"/>
      <c r="AO865" s="339"/>
      <c r="AP865" s="339"/>
      <c r="AQ865" s="339"/>
      <c r="AR865" s="339"/>
      <c r="AS865" s="339"/>
    </row>
    <row r="866" spans="1:45" ht="15.75" customHeight="1">
      <c r="A866" s="339"/>
      <c r="B866" s="339"/>
      <c r="C866" s="341"/>
      <c r="D866" s="341"/>
      <c r="E866" s="341"/>
      <c r="F866" s="340"/>
      <c r="G866" s="339"/>
      <c r="H866" s="339"/>
      <c r="I866" s="339"/>
      <c r="J866" s="341"/>
      <c r="K866" s="340"/>
      <c r="L866" s="341"/>
      <c r="M866" s="340"/>
      <c r="N866" s="339"/>
      <c r="O866" s="339"/>
      <c r="P866" s="339"/>
      <c r="Q866" s="339"/>
      <c r="R866" s="339"/>
      <c r="S866" s="339"/>
      <c r="T866" s="339"/>
      <c r="U866" s="339"/>
      <c r="V866" s="339"/>
      <c r="W866" s="339"/>
      <c r="X866" s="339"/>
      <c r="Y866" s="339"/>
      <c r="Z866" s="339"/>
      <c r="AA866" s="339"/>
      <c r="AB866" s="341"/>
      <c r="AC866" s="341"/>
      <c r="AD866" s="341"/>
      <c r="AE866" s="339"/>
      <c r="AF866" s="339"/>
      <c r="AG866" s="341"/>
      <c r="AH866" s="339"/>
      <c r="AI866" s="341"/>
      <c r="AJ866" s="339"/>
      <c r="AK866" s="341"/>
      <c r="AL866" s="341"/>
      <c r="AM866" s="339"/>
      <c r="AN866" s="339"/>
      <c r="AO866" s="339"/>
      <c r="AP866" s="339"/>
      <c r="AQ866" s="339"/>
      <c r="AR866" s="339"/>
      <c r="AS866" s="339"/>
    </row>
    <row r="867" spans="1:45" ht="15.75" customHeight="1">
      <c r="A867" s="339"/>
      <c r="B867" s="339"/>
      <c r="C867" s="341"/>
      <c r="D867" s="341"/>
      <c r="E867" s="341"/>
      <c r="F867" s="340"/>
      <c r="G867" s="339"/>
      <c r="H867" s="339"/>
      <c r="I867" s="339"/>
      <c r="J867" s="341"/>
      <c r="K867" s="340"/>
      <c r="L867" s="341"/>
      <c r="M867" s="340"/>
      <c r="N867" s="339"/>
      <c r="O867" s="339"/>
      <c r="P867" s="339"/>
      <c r="Q867" s="339"/>
      <c r="R867" s="339"/>
      <c r="S867" s="339"/>
      <c r="T867" s="339"/>
      <c r="U867" s="339"/>
      <c r="V867" s="339"/>
      <c r="W867" s="339"/>
      <c r="X867" s="339"/>
      <c r="Y867" s="339"/>
      <c r="Z867" s="339"/>
      <c r="AA867" s="339"/>
      <c r="AB867" s="341"/>
      <c r="AC867" s="341"/>
      <c r="AD867" s="341"/>
      <c r="AE867" s="339"/>
      <c r="AF867" s="339"/>
      <c r="AG867" s="341"/>
      <c r="AH867" s="339"/>
      <c r="AI867" s="341"/>
      <c r="AJ867" s="339"/>
      <c r="AK867" s="341"/>
      <c r="AL867" s="341"/>
      <c r="AM867" s="339"/>
      <c r="AN867" s="339"/>
      <c r="AO867" s="339"/>
      <c r="AP867" s="339"/>
      <c r="AQ867" s="339"/>
      <c r="AR867" s="339"/>
      <c r="AS867" s="339"/>
    </row>
    <row r="868" spans="1:45" ht="15.75" customHeight="1">
      <c r="A868" s="339"/>
      <c r="B868" s="339"/>
      <c r="C868" s="341"/>
      <c r="D868" s="341"/>
      <c r="E868" s="341"/>
      <c r="F868" s="340"/>
      <c r="G868" s="339"/>
      <c r="H868" s="339"/>
      <c r="I868" s="339"/>
      <c r="J868" s="341"/>
      <c r="K868" s="340"/>
      <c r="L868" s="341"/>
      <c r="M868" s="340"/>
      <c r="N868" s="339"/>
      <c r="O868" s="339"/>
      <c r="P868" s="339"/>
      <c r="Q868" s="339"/>
      <c r="R868" s="339"/>
      <c r="S868" s="339"/>
      <c r="T868" s="339"/>
      <c r="U868" s="339"/>
      <c r="V868" s="339"/>
      <c r="W868" s="339"/>
      <c r="X868" s="339"/>
      <c r="Y868" s="339"/>
      <c r="Z868" s="339"/>
      <c r="AA868" s="339"/>
      <c r="AB868" s="341"/>
      <c r="AC868" s="341"/>
      <c r="AD868" s="341"/>
      <c r="AE868" s="339"/>
      <c r="AF868" s="339"/>
      <c r="AG868" s="341"/>
      <c r="AH868" s="339"/>
      <c r="AI868" s="341"/>
      <c r="AJ868" s="339"/>
      <c r="AK868" s="341"/>
      <c r="AL868" s="341"/>
      <c r="AM868" s="339"/>
      <c r="AN868" s="339"/>
      <c r="AO868" s="339"/>
      <c r="AP868" s="339"/>
      <c r="AQ868" s="339"/>
      <c r="AR868" s="339"/>
      <c r="AS868" s="339"/>
    </row>
    <row r="869" spans="1:45" ht="15.75" customHeight="1">
      <c r="A869" s="339"/>
      <c r="B869" s="339"/>
      <c r="C869" s="341"/>
      <c r="D869" s="341"/>
      <c r="E869" s="341"/>
      <c r="F869" s="340"/>
      <c r="G869" s="339"/>
      <c r="H869" s="339"/>
      <c r="I869" s="339"/>
      <c r="J869" s="341"/>
      <c r="K869" s="340"/>
      <c r="L869" s="341"/>
      <c r="M869" s="340"/>
      <c r="N869" s="339"/>
      <c r="O869" s="339"/>
      <c r="P869" s="339"/>
      <c r="Q869" s="339"/>
      <c r="R869" s="339"/>
      <c r="S869" s="339"/>
      <c r="T869" s="339"/>
      <c r="U869" s="339"/>
      <c r="V869" s="339"/>
      <c r="W869" s="339"/>
      <c r="X869" s="339"/>
      <c r="Y869" s="339"/>
      <c r="Z869" s="339"/>
      <c r="AA869" s="339"/>
      <c r="AB869" s="341"/>
      <c r="AC869" s="341"/>
      <c r="AD869" s="341"/>
      <c r="AE869" s="339"/>
      <c r="AF869" s="339"/>
      <c r="AG869" s="341"/>
      <c r="AH869" s="339"/>
      <c r="AI869" s="341"/>
      <c r="AJ869" s="339"/>
      <c r="AK869" s="341"/>
      <c r="AL869" s="341"/>
      <c r="AM869" s="339"/>
      <c r="AN869" s="339"/>
      <c r="AO869" s="339"/>
      <c r="AP869" s="339"/>
      <c r="AQ869" s="339"/>
      <c r="AR869" s="339"/>
      <c r="AS869" s="339"/>
    </row>
    <row r="870" spans="1:45" ht="15.75" customHeight="1">
      <c r="A870" s="339"/>
      <c r="B870" s="339"/>
      <c r="C870" s="341"/>
      <c r="D870" s="341"/>
      <c r="E870" s="341"/>
      <c r="F870" s="340"/>
      <c r="G870" s="339"/>
      <c r="H870" s="339"/>
      <c r="I870" s="339"/>
      <c r="J870" s="341"/>
      <c r="K870" s="340"/>
      <c r="L870" s="341"/>
      <c r="M870" s="340"/>
      <c r="N870" s="339"/>
      <c r="O870" s="339"/>
      <c r="P870" s="339"/>
      <c r="Q870" s="339"/>
      <c r="R870" s="339"/>
      <c r="S870" s="339"/>
      <c r="T870" s="339"/>
      <c r="U870" s="339"/>
      <c r="V870" s="339"/>
      <c r="W870" s="339"/>
      <c r="X870" s="339"/>
      <c r="Y870" s="339"/>
      <c r="Z870" s="339"/>
      <c r="AA870" s="339"/>
      <c r="AB870" s="341"/>
      <c r="AC870" s="341"/>
      <c r="AD870" s="341"/>
      <c r="AE870" s="339"/>
      <c r="AF870" s="339"/>
      <c r="AG870" s="341"/>
      <c r="AH870" s="339"/>
      <c r="AI870" s="341"/>
      <c r="AJ870" s="339"/>
      <c r="AK870" s="341"/>
      <c r="AL870" s="341"/>
      <c r="AM870" s="339"/>
      <c r="AN870" s="339"/>
      <c r="AO870" s="339"/>
      <c r="AP870" s="339"/>
      <c r="AQ870" s="339"/>
      <c r="AR870" s="339"/>
      <c r="AS870" s="339"/>
    </row>
    <row r="871" spans="1:45" ht="15.75" customHeight="1">
      <c r="A871" s="339"/>
      <c r="B871" s="339"/>
      <c r="C871" s="341"/>
      <c r="D871" s="341"/>
      <c r="E871" s="341"/>
      <c r="F871" s="340"/>
      <c r="G871" s="339"/>
      <c r="H871" s="339"/>
      <c r="I871" s="339"/>
      <c r="J871" s="341"/>
      <c r="K871" s="340"/>
      <c r="L871" s="341"/>
      <c r="M871" s="340"/>
      <c r="N871" s="339"/>
      <c r="O871" s="339"/>
      <c r="P871" s="339"/>
      <c r="Q871" s="339"/>
      <c r="R871" s="339"/>
      <c r="S871" s="339"/>
      <c r="T871" s="339"/>
      <c r="U871" s="339"/>
      <c r="V871" s="339"/>
      <c r="W871" s="339"/>
      <c r="X871" s="339"/>
      <c r="Y871" s="339"/>
      <c r="Z871" s="339"/>
      <c r="AA871" s="339"/>
      <c r="AB871" s="341"/>
      <c r="AC871" s="341"/>
      <c r="AD871" s="341"/>
      <c r="AE871" s="339"/>
      <c r="AF871" s="339"/>
      <c r="AG871" s="341"/>
      <c r="AH871" s="339"/>
      <c r="AI871" s="341"/>
      <c r="AJ871" s="339"/>
      <c r="AK871" s="341"/>
      <c r="AL871" s="341"/>
      <c r="AM871" s="339"/>
      <c r="AN871" s="339"/>
      <c r="AO871" s="339"/>
      <c r="AP871" s="339"/>
      <c r="AQ871" s="339"/>
      <c r="AR871" s="339"/>
      <c r="AS871" s="339"/>
    </row>
    <row r="872" spans="1:45" ht="15.75" customHeight="1">
      <c r="A872" s="339"/>
      <c r="B872" s="339"/>
      <c r="C872" s="341"/>
      <c r="D872" s="341"/>
      <c r="E872" s="341"/>
      <c r="F872" s="340"/>
      <c r="G872" s="339"/>
      <c r="H872" s="339"/>
      <c r="I872" s="339"/>
      <c r="J872" s="341"/>
      <c r="K872" s="340"/>
      <c r="L872" s="341"/>
      <c r="M872" s="340"/>
      <c r="N872" s="339"/>
      <c r="O872" s="339"/>
      <c r="P872" s="339"/>
      <c r="Q872" s="339"/>
      <c r="R872" s="339"/>
      <c r="S872" s="339"/>
      <c r="T872" s="339"/>
      <c r="U872" s="339"/>
      <c r="V872" s="339"/>
      <c r="W872" s="339"/>
      <c r="X872" s="339"/>
      <c r="Y872" s="339"/>
      <c r="Z872" s="339"/>
      <c r="AA872" s="339"/>
      <c r="AB872" s="341"/>
      <c r="AC872" s="341"/>
      <c r="AD872" s="341"/>
      <c r="AE872" s="339"/>
      <c r="AF872" s="339"/>
      <c r="AG872" s="341"/>
      <c r="AH872" s="339"/>
      <c r="AI872" s="341"/>
      <c r="AJ872" s="339"/>
      <c r="AK872" s="341"/>
      <c r="AL872" s="341"/>
      <c r="AM872" s="339"/>
      <c r="AN872" s="339"/>
      <c r="AO872" s="339"/>
      <c r="AP872" s="339"/>
      <c r="AQ872" s="339"/>
      <c r="AR872" s="339"/>
      <c r="AS872" s="339"/>
    </row>
    <row r="873" spans="1:45" ht="15.75" customHeight="1">
      <c r="A873" s="339"/>
      <c r="B873" s="339"/>
      <c r="C873" s="341"/>
      <c r="D873" s="341"/>
      <c r="E873" s="341"/>
      <c r="F873" s="340"/>
      <c r="G873" s="339"/>
      <c r="H873" s="339"/>
      <c r="I873" s="339"/>
      <c r="J873" s="341"/>
      <c r="K873" s="340"/>
      <c r="L873" s="341"/>
      <c r="M873" s="340"/>
      <c r="N873" s="339"/>
      <c r="O873" s="339"/>
      <c r="P873" s="339"/>
      <c r="Q873" s="339"/>
      <c r="R873" s="339"/>
      <c r="S873" s="339"/>
      <c r="T873" s="339"/>
      <c r="U873" s="339"/>
      <c r="V873" s="339"/>
      <c r="W873" s="339"/>
      <c r="X873" s="339"/>
      <c r="Y873" s="339"/>
      <c r="Z873" s="339"/>
      <c r="AA873" s="339"/>
      <c r="AB873" s="341"/>
      <c r="AC873" s="341"/>
      <c r="AD873" s="341"/>
      <c r="AE873" s="339"/>
      <c r="AF873" s="339"/>
      <c r="AG873" s="341"/>
      <c r="AH873" s="339"/>
      <c r="AI873" s="341"/>
      <c r="AJ873" s="339"/>
      <c r="AK873" s="341"/>
      <c r="AL873" s="341"/>
      <c r="AM873" s="339"/>
      <c r="AN873" s="339"/>
      <c r="AO873" s="339"/>
      <c r="AP873" s="339"/>
      <c r="AQ873" s="339"/>
      <c r="AR873" s="339"/>
      <c r="AS873" s="339"/>
    </row>
    <row r="874" spans="1:45" ht="15.75" customHeight="1">
      <c r="A874" s="339"/>
      <c r="B874" s="339"/>
      <c r="C874" s="341"/>
      <c r="D874" s="341"/>
      <c r="E874" s="341"/>
      <c r="F874" s="340"/>
      <c r="G874" s="339"/>
      <c r="H874" s="339"/>
      <c r="I874" s="339"/>
      <c r="J874" s="341"/>
      <c r="K874" s="340"/>
      <c r="L874" s="341"/>
      <c r="M874" s="340"/>
      <c r="N874" s="339"/>
      <c r="O874" s="339"/>
      <c r="P874" s="339"/>
      <c r="Q874" s="339"/>
      <c r="R874" s="339"/>
      <c r="S874" s="339"/>
      <c r="T874" s="339"/>
      <c r="U874" s="339"/>
      <c r="V874" s="339"/>
      <c r="W874" s="339"/>
      <c r="X874" s="339"/>
      <c r="Y874" s="339"/>
      <c r="Z874" s="339"/>
      <c r="AA874" s="339"/>
      <c r="AB874" s="341"/>
      <c r="AC874" s="341"/>
      <c r="AD874" s="341"/>
      <c r="AE874" s="339"/>
      <c r="AF874" s="339"/>
      <c r="AG874" s="341"/>
      <c r="AH874" s="339"/>
      <c r="AI874" s="341"/>
      <c r="AJ874" s="339"/>
      <c r="AK874" s="341"/>
      <c r="AL874" s="341"/>
      <c r="AM874" s="339"/>
      <c r="AN874" s="339"/>
      <c r="AO874" s="339"/>
      <c r="AP874" s="339"/>
      <c r="AQ874" s="339"/>
      <c r="AR874" s="339"/>
      <c r="AS874" s="339"/>
    </row>
    <row r="875" spans="1:45" ht="15.75" customHeight="1">
      <c r="A875" s="339"/>
      <c r="B875" s="339"/>
      <c r="C875" s="341"/>
      <c r="D875" s="341"/>
      <c r="E875" s="341"/>
      <c r="F875" s="340"/>
      <c r="G875" s="339"/>
      <c r="H875" s="339"/>
      <c r="I875" s="339"/>
      <c r="J875" s="341"/>
      <c r="K875" s="340"/>
      <c r="L875" s="341"/>
      <c r="M875" s="340"/>
      <c r="N875" s="339"/>
      <c r="O875" s="339"/>
      <c r="P875" s="339"/>
      <c r="Q875" s="339"/>
      <c r="R875" s="339"/>
      <c r="S875" s="339"/>
      <c r="T875" s="339"/>
      <c r="U875" s="339"/>
      <c r="V875" s="339"/>
      <c r="W875" s="339"/>
      <c r="X875" s="339"/>
      <c r="Y875" s="339"/>
      <c r="Z875" s="339"/>
      <c r="AA875" s="339"/>
      <c r="AB875" s="341"/>
      <c r="AC875" s="341"/>
      <c r="AD875" s="341"/>
      <c r="AE875" s="339"/>
      <c r="AF875" s="339"/>
      <c r="AG875" s="341"/>
      <c r="AH875" s="339"/>
      <c r="AI875" s="341"/>
      <c r="AJ875" s="339"/>
      <c r="AK875" s="341"/>
      <c r="AL875" s="341"/>
      <c r="AM875" s="339"/>
      <c r="AN875" s="339"/>
      <c r="AO875" s="339"/>
      <c r="AP875" s="339"/>
      <c r="AQ875" s="339"/>
      <c r="AR875" s="339"/>
      <c r="AS875" s="339"/>
    </row>
    <row r="876" spans="1:45" ht="15.75" customHeight="1">
      <c r="A876" s="339"/>
      <c r="B876" s="339"/>
      <c r="C876" s="341"/>
      <c r="D876" s="341"/>
      <c r="E876" s="341"/>
      <c r="F876" s="340"/>
      <c r="G876" s="339"/>
      <c r="H876" s="339"/>
      <c r="I876" s="339"/>
      <c r="J876" s="341"/>
      <c r="K876" s="340"/>
      <c r="L876" s="341"/>
      <c r="M876" s="340"/>
      <c r="N876" s="339"/>
      <c r="O876" s="339"/>
      <c r="P876" s="339"/>
      <c r="Q876" s="339"/>
      <c r="R876" s="339"/>
      <c r="S876" s="339"/>
      <c r="T876" s="339"/>
      <c r="U876" s="339"/>
      <c r="V876" s="339"/>
      <c r="W876" s="339"/>
      <c r="X876" s="339"/>
      <c r="Y876" s="339"/>
      <c r="Z876" s="339"/>
      <c r="AA876" s="339"/>
      <c r="AB876" s="341"/>
      <c r="AC876" s="341"/>
      <c r="AD876" s="341"/>
      <c r="AE876" s="339"/>
      <c r="AF876" s="339"/>
      <c r="AG876" s="341"/>
      <c r="AH876" s="339"/>
      <c r="AI876" s="341"/>
      <c r="AJ876" s="339"/>
      <c r="AK876" s="341"/>
      <c r="AL876" s="341"/>
      <c r="AM876" s="339"/>
      <c r="AN876" s="339"/>
      <c r="AO876" s="339"/>
      <c r="AP876" s="339"/>
      <c r="AQ876" s="339"/>
      <c r="AR876" s="339"/>
      <c r="AS876" s="339"/>
    </row>
    <row r="877" spans="1:45" ht="15.75" customHeight="1">
      <c r="A877" s="339"/>
      <c r="B877" s="339"/>
      <c r="C877" s="341"/>
      <c r="D877" s="341"/>
      <c r="E877" s="341"/>
      <c r="F877" s="340"/>
      <c r="G877" s="339"/>
      <c r="H877" s="339"/>
      <c r="I877" s="339"/>
      <c r="J877" s="341"/>
      <c r="K877" s="340"/>
      <c r="L877" s="341"/>
      <c r="M877" s="340"/>
      <c r="N877" s="339"/>
      <c r="O877" s="339"/>
      <c r="P877" s="339"/>
      <c r="Q877" s="339"/>
      <c r="R877" s="339"/>
      <c r="S877" s="339"/>
      <c r="T877" s="339"/>
      <c r="U877" s="339"/>
      <c r="V877" s="339"/>
      <c r="W877" s="339"/>
      <c r="X877" s="339"/>
      <c r="Y877" s="339"/>
      <c r="Z877" s="339"/>
      <c r="AA877" s="339"/>
      <c r="AB877" s="341"/>
      <c r="AC877" s="341"/>
      <c r="AD877" s="341"/>
      <c r="AE877" s="339"/>
      <c r="AF877" s="339"/>
      <c r="AG877" s="341"/>
      <c r="AH877" s="339"/>
      <c r="AI877" s="341"/>
      <c r="AJ877" s="339"/>
      <c r="AK877" s="341"/>
      <c r="AL877" s="341"/>
      <c r="AM877" s="339"/>
      <c r="AN877" s="339"/>
      <c r="AO877" s="339"/>
      <c r="AP877" s="339"/>
      <c r="AQ877" s="339"/>
      <c r="AR877" s="339"/>
      <c r="AS877" s="339"/>
    </row>
    <row r="878" spans="1:45" ht="15.75" customHeight="1">
      <c r="A878" s="339"/>
      <c r="B878" s="339"/>
      <c r="C878" s="341"/>
      <c r="D878" s="341"/>
      <c r="E878" s="341"/>
      <c r="F878" s="340"/>
      <c r="G878" s="339"/>
      <c r="H878" s="339"/>
      <c r="I878" s="339"/>
      <c r="J878" s="341"/>
      <c r="K878" s="340"/>
      <c r="L878" s="341"/>
      <c r="M878" s="340"/>
      <c r="N878" s="339"/>
      <c r="O878" s="339"/>
      <c r="P878" s="339"/>
      <c r="Q878" s="339"/>
      <c r="R878" s="339"/>
      <c r="S878" s="339"/>
      <c r="T878" s="339"/>
      <c r="U878" s="339"/>
      <c r="V878" s="339"/>
      <c r="W878" s="339"/>
      <c r="X878" s="339"/>
      <c r="Y878" s="339"/>
      <c r="Z878" s="339"/>
      <c r="AA878" s="339"/>
      <c r="AB878" s="341"/>
      <c r="AC878" s="341"/>
      <c r="AD878" s="341"/>
      <c r="AE878" s="339"/>
      <c r="AF878" s="339"/>
      <c r="AG878" s="341"/>
      <c r="AH878" s="339"/>
      <c r="AI878" s="341"/>
      <c r="AJ878" s="339"/>
      <c r="AK878" s="341"/>
      <c r="AL878" s="341"/>
      <c r="AM878" s="339"/>
      <c r="AN878" s="339"/>
      <c r="AO878" s="339"/>
      <c r="AP878" s="339"/>
      <c r="AQ878" s="339"/>
      <c r="AR878" s="339"/>
      <c r="AS878" s="339"/>
    </row>
    <row r="879" spans="1:45" ht="15.75" customHeight="1">
      <c r="A879" s="339"/>
      <c r="B879" s="339"/>
      <c r="C879" s="341"/>
      <c r="D879" s="341"/>
      <c r="E879" s="341"/>
      <c r="F879" s="340"/>
      <c r="G879" s="339"/>
      <c r="H879" s="339"/>
      <c r="I879" s="339"/>
      <c r="J879" s="341"/>
      <c r="K879" s="340"/>
      <c r="L879" s="341"/>
      <c r="M879" s="340"/>
      <c r="N879" s="339"/>
      <c r="O879" s="339"/>
      <c r="P879" s="339"/>
      <c r="Q879" s="339"/>
      <c r="R879" s="339"/>
      <c r="S879" s="339"/>
      <c r="T879" s="339"/>
      <c r="U879" s="339"/>
      <c r="V879" s="339"/>
      <c r="W879" s="339"/>
      <c r="X879" s="339"/>
      <c r="Y879" s="339"/>
      <c r="Z879" s="339"/>
      <c r="AA879" s="339"/>
      <c r="AB879" s="341"/>
      <c r="AC879" s="341"/>
      <c r="AD879" s="341"/>
      <c r="AE879" s="339"/>
      <c r="AF879" s="339"/>
      <c r="AG879" s="341"/>
      <c r="AH879" s="339"/>
      <c r="AI879" s="341"/>
      <c r="AJ879" s="339"/>
      <c r="AK879" s="341"/>
      <c r="AL879" s="341"/>
      <c r="AM879" s="339"/>
      <c r="AN879" s="339"/>
      <c r="AO879" s="339"/>
      <c r="AP879" s="339"/>
      <c r="AQ879" s="339"/>
      <c r="AR879" s="339"/>
      <c r="AS879" s="339"/>
    </row>
    <row r="880" spans="1:45" ht="15.75" customHeight="1">
      <c r="A880" s="339"/>
      <c r="B880" s="339"/>
      <c r="C880" s="341"/>
      <c r="D880" s="341"/>
      <c r="E880" s="341"/>
      <c r="F880" s="340"/>
      <c r="G880" s="339"/>
      <c r="H880" s="339"/>
      <c r="I880" s="339"/>
      <c r="J880" s="341"/>
      <c r="K880" s="340"/>
      <c r="L880" s="341"/>
      <c r="M880" s="340"/>
      <c r="N880" s="339"/>
      <c r="O880" s="339"/>
      <c r="P880" s="339"/>
      <c r="Q880" s="339"/>
      <c r="R880" s="339"/>
      <c r="S880" s="339"/>
      <c r="T880" s="339"/>
      <c r="U880" s="339"/>
      <c r="V880" s="339"/>
      <c r="W880" s="339"/>
      <c r="X880" s="339"/>
      <c r="Y880" s="339"/>
      <c r="Z880" s="339"/>
      <c r="AA880" s="339"/>
      <c r="AB880" s="341"/>
      <c r="AC880" s="341"/>
      <c r="AD880" s="341"/>
      <c r="AE880" s="339"/>
      <c r="AF880" s="339"/>
      <c r="AG880" s="341"/>
      <c r="AH880" s="339"/>
      <c r="AI880" s="341"/>
      <c r="AJ880" s="339"/>
      <c r="AK880" s="341"/>
      <c r="AL880" s="341"/>
      <c r="AM880" s="339"/>
      <c r="AN880" s="339"/>
      <c r="AO880" s="339"/>
      <c r="AP880" s="339"/>
      <c r="AQ880" s="339"/>
      <c r="AR880" s="339"/>
      <c r="AS880" s="339"/>
    </row>
    <row r="881" spans="1:45" ht="15.75" customHeight="1">
      <c r="A881" s="339"/>
      <c r="B881" s="339"/>
      <c r="C881" s="341"/>
      <c r="D881" s="341"/>
      <c r="E881" s="341"/>
      <c r="F881" s="340"/>
      <c r="G881" s="339"/>
      <c r="H881" s="339"/>
      <c r="I881" s="339"/>
      <c r="J881" s="341"/>
      <c r="K881" s="340"/>
      <c r="L881" s="341"/>
      <c r="M881" s="340"/>
      <c r="N881" s="339"/>
      <c r="O881" s="339"/>
      <c r="P881" s="339"/>
      <c r="Q881" s="339"/>
      <c r="R881" s="339"/>
      <c r="S881" s="339"/>
      <c r="T881" s="339"/>
      <c r="U881" s="339"/>
      <c r="V881" s="339"/>
      <c r="W881" s="339"/>
      <c r="X881" s="339"/>
      <c r="Y881" s="339"/>
      <c r="Z881" s="339"/>
      <c r="AA881" s="339"/>
      <c r="AB881" s="341"/>
      <c r="AC881" s="341"/>
      <c r="AD881" s="341"/>
      <c r="AE881" s="339"/>
      <c r="AF881" s="339"/>
      <c r="AG881" s="341"/>
      <c r="AH881" s="339"/>
      <c r="AI881" s="341"/>
      <c r="AJ881" s="339"/>
      <c r="AK881" s="341"/>
      <c r="AL881" s="341"/>
      <c r="AM881" s="339"/>
      <c r="AN881" s="339"/>
      <c r="AO881" s="339"/>
      <c r="AP881" s="339"/>
      <c r="AQ881" s="339"/>
      <c r="AR881" s="339"/>
      <c r="AS881" s="339"/>
    </row>
    <row r="882" spans="1:45" ht="15.75" customHeight="1">
      <c r="A882" s="339"/>
      <c r="B882" s="339"/>
      <c r="C882" s="341"/>
      <c r="D882" s="341"/>
      <c r="E882" s="341"/>
      <c r="F882" s="340"/>
      <c r="G882" s="339"/>
      <c r="H882" s="339"/>
      <c r="I882" s="339"/>
      <c r="J882" s="341"/>
      <c r="K882" s="340"/>
      <c r="L882" s="341"/>
      <c r="M882" s="340"/>
      <c r="N882" s="339"/>
      <c r="O882" s="339"/>
      <c r="P882" s="339"/>
      <c r="Q882" s="339"/>
      <c r="R882" s="339"/>
      <c r="S882" s="339"/>
      <c r="T882" s="339"/>
      <c r="U882" s="339"/>
      <c r="V882" s="339"/>
      <c r="W882" s="339"/>
      <c r="X882" s="339"/>
      <c r="Y882" s="339"/>
      <c r="Z882" s="339"/>
      <c r="AA882" s="339"/>
      <c r="AB882" s="341"/>
      <c r="AC882" s="341"/>
      <c r="AD882" s="341"/>
      <c r="AE882" s="339"/>
      <c r="AF882" s="339"/>
      <c r="AG882" s="341"/>
      <c r="AH882" s="339"/>
      <c r="AI882" s="341"/>
      <c r="AJ882" s="339"/>
      <c r="AK882" s="341"/>
      <c r="AL882" s="341"/>
      <c r="AM882" s="339"/>
      <c r="AN882" s="339"/>
      <c r="AO882" s="339"/>
      <c r="AP882" s="339"/>
      <c r="AQ882" s="339"/>
      <c r="AR882" s="339"/>
      <c r="AS882" s="339"/>
    </row>
    <row r="883" spans="1:45" ht="15.75" customHeight="1">
      <c r="A883" s="339"/>
      <c r="B883" s="339"/>
      <c r="C883" s="341"/>
      <c r="D883" s="341"/>
      <c r="E883" s="341"/>
      <c r="F883" s="340"/>
      <c r="G883" s="339"/>
      <c r="H883" s="339"/>
      <c r="I883" s="339"/>
      <c r="J883" s="341"/>
      <c r="K883" s="340"/>
      <c r="L883" s="341"/>
      <c r="M883" s="340"/>
      <c r="N883" s="339"/>
      <c r="O883" s="339"/>
      <c r="P883" s="339"/>
      <c r="Q883" s="339"/>
      <c r="R883" s="339"/>
      <c r="S883" s="339"/>
      <c r="T883" s="339"/>
      <c r="U883" s="339"/>
      <c r="V883" s="339"/>
      <c r="W883" s="339"/>
      <c r="X883" s="339"/>
      <c r="Y883" s="339"/>
      <c r="Z883" s="339"/>
      <c r="AA883" s="339"/>
      <c r="AB883" s="341"/>
      <c r="AC883" s="341"/>
      <c r="AD883" s="341"/>
      <c r="AE883" s="339"/>
      <c r="AF883" s="339"/>
      <c r="AG883" s="341"/>
      <c r="AH883" s="339"/>
      <c r="AI883" s="341"/>
      <c r="AJ883" s="339"/>
      <c r="AK883" s="341"/>
      <c r="AL883" s="341"/>
      <c r="AM883" s="339"/>
      <c r="AN883" s="339"/>
      <c r="AO883" s="339"/>
      <c r="AP883" s="339"/>
      <c r="AQ883" s="339"/>
      <c r="AR883" s="339"/>
      <c r="AS883" s="339"/>
    </row>
    <row r="884" spans="1:45" ht="15.75" customHeight="1">
      <c r="A884" s="339"/>
      <c r="B884" s="339"/>
      <c r="C884" s="341"/>
      <c r="D884" s="341"/>
      <c r="E884" s="341"/>
      <c r="F884" s="340"/>
      <c r="G884" s="339"/>
      <c r="H884" s="339"/>
      <c r="I884" s="339"/>
      <c r="J884" s="341"/>
      <c r="K884" s="340"/>
      <c r="L884" s="341"/>
      <c r="M884" s="340"/>
      <c r="N884" s="339"/>
      <c r="O884" s="339"/>
      <c r="P884" s="339"/>
      <c r="Q884" s="339"/>
      <c r="R884" s="339"/>
      <c r="S884" s="339"/>
      <c r="T884" s="339"/>
      <c r="U884" s="339"/>
      <c r="V884" s="339"/>
      <c r="W884" s="339"/>
      <c r="X884" s="339"/>
      <c r="Y884" s="339"/>
      <c r="Z884" s="339"/>
      <c r="AA884" s="339"/>
      <c r="AB884" s="341"/>
      <c r="AC884" s="341"/>
      <c r="AD884" s="341"/>
      <c r="AE884" s="339"/>
      <c r="AF884" s="339"/>
      <c r="AG884" s="341"/>
      <c r="AH884" s="339"/>
      <c r="AI884" s="341"/>
      <c r="AJ884" s="339"/>
      <c r="AK884" s="341"/>
      <c r="AL884" s="341"/>
      <c r="AM884" s="339"/>
      <c r="AN884" s="339"/>
      <c r="AO884" s="339"/>
      <c r="AP884" s="339"/>
      <c r="AQ884" s="339"/>
      <c r="AR884" s="339"/>
      <c r="AS884" s="339"/>
    </row>
    <row r="885" spans="1:45" ht="15.75" customHeight="1">
      <c r="A885" s="339"/>
      <c r="B885" s="339"/>
      <c r="C885" s="341"/>
      <c r="D885" s="341"/>
      <c r="E885" s="341"/>
      <c r="F885" s="340"/>
      <c r="G885" s="339"/>
      <c r="H885" s="339"/>
      <c r="I885" s="339"/>
      <c r="J885" s="341"/>
      <c r="K885" s="340"/>
      <c r="L885" s="341"/>
      <c r="M885" s="340"/>
      <c r="N885" s="339"/>
      <c r="O885" s="339"/>
      <c r="P885" s="339"/>
      <c r="Q885" s="339"/>
      <c r="R885" s="339"/>
      <c r="S885" s="339"/>
      <c r="T885" s="339"/>
      <c r="U885" s="339"/>
      <c r="V885" s="339"/>
      <c r="W885" s="339"/>
      <c r="X885" s="339"/>
      <c r="Y885" s="339"/>
      <c r="Z885" s="339"/>
      <c r="AA885" s="339"/>
      <c r="AB885" s="341"/>
      <c r="AC885" s="341"/>
      <c r="AD885" s="341"/>
      <c r="AE885" s="339"/>
      <c r="AF885" s="339"/>
      <c r="AG885" s="341"/>
      <c r="AH885" s="339"/>
      <c r="AI885" s="341"/>
      <c r="AJ885" s="339"/>
      <c r="AK885" s="341"/>
      <c r="AL885" s="341"/>
      <c r="AM885" s="339"/>
      <c r="AN885" s="339"/>
      <c r="AO885" s="339"/>
      <c r="AP885" s="339"/>
      <c r="AQ885" s="339"/>
      <c r="AR885" s="339"/>
      <c r="AS885" s="339"/>
    </row>
    <row r="886" spans="1:45" ht="15.75" customHeight="1">
      <c r="A886" s="339"/>
      <c r="B886" s="339"/>
      <c r="C886" s="341"/>
      <c r="D886" s="341"/>
      <c r="E886" s="341"/>
      <c r="F886" s="340"/>
      <c r="G886" s="339"/>
      <c r="H886" s="339"/>
      <c r="I886" s="339"/>
      <c r="J886" s="341"/>
      <c r="K886" s="340"/>
      <c r="L886" s="341"/>
      <c r="M886" s="340"/>
      <c r="N886" s="339"/>
      <c r="O886" s="339"/>
      <c r="P886" s="339"/>
      <c r="Q886" s="339"/>
      <c r="R886" s="339"/>
      <c r="S886" s="339"/>
      <c r="T886" s="339"/>
      <c r="U886" s="339"/>
      <c r="V886" s="339"/>
      <c r="W886" s="339"/>
      <c r="X886" s="339"/>
      <c r="Y886" s="339"/>
      <c r="Z886" s="339"/>
      <c r="AA886" s="339"/>
      <c r="AB886" s="341"/>
      <c r="AC886" s="341"/>
      <c r="AD886" s="341"/>
      <c r="AE886" s="339"/>
      <c r="AF886" s="339"/>
      <c r="AG886" s="341"/>
      <c r="AH886" s="339"/>
      <c r="AI886" s="341"/>
      <c r="AJ886" s="339"/>
      <c r="AK886" s="341"/>
      <c r="AL886" s="341"/>
      <c r="AM886" s="339"/>
      <c r="AN886" s="339"/>
      <c r="AO886" s="339"/>
      <c r="AP886" s="339"/>
      <c r="AQ886" s="339"/>
      <c r="AR886" s="339"/>
      <c r="AS886" s="339"/>
    </row>
    <row r="887" spans="1:45" ht="15.75" customHeight="1">
      <c r="A887" s="339"/>
      <c r="B887" s="339"/>
      <c r="C887" s="341"/>
      <c r="D887" s="341"/>
      <c r="E887" s="341"/>
      <c r="F887" s="340"/>
      <c r="G887" s="339"/>
      <c r="H887" s="339"/>
      <c r="I887" s="339"/>
      <c r="J887" s="341"/>
      <c r="K887" s="340"/>
      <c r="L887" s="341"/>
      <c r="M887" s="340"/>
      <c r="N887" s="339"/>
      <c r="O887" s="339"/>
      <c r="P887" s="339"/>
      <c r="Q887" s="339"/>
      <c r="R887" s="339"/>
      <c r="S887" s="339"/>
      <c r="T887" s="339"/>
      <c r="U887" s="339"/>
      <c r="V887" s="339"/>
      <c r="W887" s="339"/>
      <c r="X887" s="339"/>
      <c r="Y887" s="339"/>
      <c r="Z887" s="339"/>
      <c r="AA887" s="339"/>
      <c r="AB887" s="341"/>
      <c r="AC887" s="341"/>
      <c r="AD887" s="341"/>
      <c r="AE887" s="339"/>
      <c r="AF887" s="339"/>
      <c r="AG887" s="341"/>
      <c r="AH887" s="339"/>
      <c r="AI887" s="341"/>
      <c r="AJ887" s="339"/>
      <c r="AK887" s="341"/>
      <c r="AL887" s="341"/>
      <c r="AM887" s="339"/>
      <c r="AN887" s="339"/>
      <c r="AO887" s="339"/>
      <c r="AP887" s="339"/>
      <c r="AQ887" s="339"/>
      <c r="AR887" s="339"/>
      <c r="AS887" s="339"/>
    </row>
    <row r="888" spans="1:45" ht="15.75" customHeight="1">
      <c r="A888" s="339"/>
      <c r="B888" s="339"/>
      <c r="C888" s="341"/>
      <c r="D888" s="341"/>
      <c r="E888" s="341"/>
      <c r="F888" s="340"/>
      <c r="G888" s="339"/>
      <c r="H888" s="339"/>
      <c r="I888" s="339"/>
      <c r="J888" s="341"/>
      <c r="K888" s="340"/>
      <c r="L888" s="341"/>
      <c r="M888" s="340"/>
      <c r="N888" s="339"/>
      <c r="O888" s="339"/>
      <c r="P888" s="339"/>
      <c r="Q888" s="339"/>
      <c r="R888" s="339"/>
      <c r="S888" s="339"/>
      <c r="T888" s="339"/>
      <c r="U888" s="339"/>
      <c r="V888" s="339"/>
      <c r="W888" s="339"/>
      <c r="X888" s="339"/>
      <c r="Y888" s="339"/>
      <c r="Z888" s="339"/>
      <c r="AA888" s="339"/>
      <c r="AB888" s="341"/>
      <c r="AC888" s="341"/>
      <c r="AD888" s="341"/>
      <c r="AE888" s="339"/>
      <c r="AF888" s="339"/>
      <c r="AG888" s="341"/>
      <c r="AH888" s="339"/>
      <c r="AI888" s="341"/>
      <c r="AJ888" s="339"/>
      <c r="AK888" s="341"/>
      <c r="AL888" s="341"/>
      <c r="AM888" s="339"/>
      <c r="AN888" s="339"/>
      <c r="AO888" s="339"/>
      <c r="AP888" s="339"/>
      <c r="AQ888" s="339"/>
      <c r="AR888" s="339"/>
      <c r="AS888" s="339"/>
    </row>
    <row r="889" spans="1:45" ht="15.75" customHeight="1">
      <c r="A889" s="339"/>
      <c r="B889" s="339"/>
      <c r="C889" s="341"/>
      <c r="D889" s="341"/>
      <c r="E889" s="341"/>
      <c r="F889" s="340"/>
      <c r="G889" s="339"/>
      <c r="H889" s="339"/>
      <c r="I889" s="339"/>
      <c r="J889" s="341"/>
      <c r="K889" s="340"/>
      <c r="L889" s="341"/>
      <c r="M889" s="340"/>
      <c r="N889" s="339"/>
      <c r="O889" s="339"/>
      <c r="P889" s="339"/>
      <c r="Q889" s="339"/>
      <c r="R889" s="339"/>
      <c r="S889" s="339"/>
      <c r="T889" s="339"/>
      <c r="U889" s="339"/>
      <c r="V889" s="339"/>
      <c r="W889" s="339"/>
      <c r="X889" s="339"/>
      <c r="Y889" s="339"/>
      <c r="Z889" s="339"/>
      <c r="AA889" s="339"/>
      <c r="AB889" s="341"/>
      <c r="AC889" s="341"/>
      <c r="AD889" s="341"/>
      <c r="AE889" s="339"/>
      <c r="AF889" s="339"/>
      <c r="AG889" s="341"/>
      <c r="AH889" s="339"/>
      <c r="AI889" s="341"/>
      <c r="AJ889" s="339"/>
      <c r="AK889" s="341"/>
      <c r="AL889" s="341"/>
      <c r="AM889" s="339"/>
      <c r="AN889" s="339"/>
      <c r="AO889" s="339"/>
      <c r="AP889" s="339"/>
      <c r="AQ889" s="339"/>
      <c r="AR889" s="339"/>
      <c r="AS889" s="339"/>
    </row>
    <row r="890" spans="1:45" ht="15.75" customHeight="1">
      <c r="A890" s="339"/>
      <c r="B890" s="339"/>
      <c r="C890" s="341"/>
      <c r="D890" s="341"/>
      <c r="E890" s="341"/>
      <c r="F890" s="340"/>
      <c r="G890" s="339"/>
      <c r="H890" s="339"/>
      <c r="I890" s="339"/>
      <c r="J890" s="341"/>
      <c r="K890" s="340"/>
      <c r="L890" s="341"/>
      <c r="M890" s="340"/>
      <c r="N890" s="339"/>
      <c r="O890" s="339"/>
      <c r="P890" s="339"/>
      <c r="Q890" s="339"/>
      <c r="R890" s="339"/>
      <c r="S890" s="339"/>
      <c r="T890" s="339"/>
      <c r="U890" s="339"/>
      <c r="V890" s="339"/>
      <c r="W890" s="339"/>
      <c r="X890" s="339"/>
      <c r="Y890" s="339"/>
      <c r="Z890" s="339"/>
      <c r="AA890" s="339"/>
      <c r="AB890" s="341"/>
      <c r="AC890" s="341"/>
      <c r="AD890" s="341"/>
      <c r="AE890" s="339"/>
      <c r="AF890" s="339"/>
      <c r="AG890" s="341"/>
      <c r="AH890" s="339"/>
      <c r="AI890" s="341"/>
      <c r="AJ890" s="339"/>
      <c r="AK890" s="341"/>
      <c r="AL890" s="341"/>
      <c r="AM890" s="339"/>
      <c r="AN890" s="339"/>
      <c r="AO890" s="339"/>
      <c r="AP890" s="339"/>
      <c r="AQ890" s="339"/>
      <c r="AR890" s="339"/>
      <c r="AS890" s="339"/>
    </row>
    <row r="891" spans="1:45" ht="15.75" customHeight="1">
      <c r="A891" s="339"/>
      <c r="B891" s="339"/>
      <c r="C891" s="341"/>
      <c r="D891" s="341"/>
      <c r="E891" s="341"/>
      <c r="F891" s="340"/>
      <c r="G891" s="339"/>
      <c r="H891" s="339"/>
      <c r="I891" s="339"/>
      <c r="J891" s="341"/>
      <c r="K891" s="340"/>
      <c r="L891" s="341"/>
      <c r="M891" s="340"/>
      <c r="N891" s="339"/>
      <c r="O891" s="339"/>
      <c r="P891" s="339"/>
      <c r="Q891" s="339"/>
      <c r="R891" s="339"/>
      <c r="S891" s="339"/>
      <c r="T891" s="339"/>
      <c r="U891" s="339"/>
      <c r="V891" s="339"/>
      <c r="W891" s="339"/>
      <c r="X891" s="339"/>
      <c r="Y891" s="339"/>
      <c r="Z891" s="339"/>
      <c r="AA891" s="339"/>
      <c r="AB891" s="341"/>
      <c r="AC891" s="341"/>
      <c r="AD891" s="341"/>
      <c r="AE891" s="339"/>
      <c r="AF891" s="339"/>
      <c r="AG891" s="341"/>
      <c r="AH891" s="339"/>
      <c r="AI891" s="341"/>
      <c r="AJ891" s="339"/>
      <c r="AK891" s="341"/>
      <c r="AL891" s="341"/>
      <c r="AM891" s="339"/>
      <c r="AN891" s="339"/>
      <c r="AO891" s="339"/>
      <c r="AP891" s="339"/>
      <c r="AQ891" s="339"/>
      <c r="AR891" s="339"/>
      <c r="AS891" s="339"/>
    </row>
    <row r="892" spans="1:45" ht="15.75" customHeight="1">
      <c r="A892" s="339"/>
      <c r="B892" s="339"/>
      <c r="C892" s="341"/>
      <c r="D892" s="341"/>
      <c r="E892" s="341"/>
      <c r="F892" s="340"/>
      <c r="G892" s="339"/>
      <c r="H892" s="339"/>
      <c r="I892" s="339"/>
      <c r="J892" s="341"/>
      <c r="K892" s="340"/>
      <c r="L892" s="341"/>
      <c r="M892" s="340"/>
      <c r="N892" s="339"/>
      <c r="O892" s="339"/>
      <c r="P892" s="339"/>
      <c r="Q892" s="339"/>
      <c r="R892" s="339"/>
      <c r="S892" s="339"/>
      <c r="T892" s="339"/>
      <c r="U892" s="339"/>
      <c r="V892" s="339"/>
      <c r="W892" s="339"/>
      <c r="X892" s="339"/>
      <c r="Y892" s="339"/>
      <c r="Z892" s="339"/>
      <c r="AA892" s="339"/>
      <c r="AB892" s="341"/>
      <c r="AC892" s="341"/>
      <c r="AD892" s="341"/>
      <c r="AE892" s="339"/>
      <c r="AF892" s="339"/>
      <c r="AG892" s="341"/>
      <c r="AH892" s="339"/>
      <c r="AI892" s="341"/>
      <c r="AJ892" s="339"/>
      <c r="AK892" s="341"/>
      <c r="AL892" s="341"/>
      <c r="AM892" s="339"/>
      <c r="AN892" s="339"/>
      <c r="AO892" s="339"/>
      <c r="AP892" s="339"/>
      <c r="AQ892" s="339"/>
      <c r="AR892" s="339"/>
      <c r="AS892" s="339"/>
    </row>
    <row r="893" spans="1:45" ht="15.75" customHeight="1">
      <c r="A893" s="339"/>
      <c r="B893" s="339"/>
      <c r="C893" s="341"/>
      <c r="D893" s="341"/>
      <c r="E893" s="341"/>
      <c r="F893" s="340"/>
      <c r="G893" s="339"/>
      <c r="H893" s="339"/>
      <c r="I893" s="339"/>
      <c r="J893" s="341"/>
      <c r="K893" s="340"/>
      <c r="L893" s="341"/>
      <c r="M893" s="340"/>
      <c r="N893" s="339"/>
      <c r="O893" s="339"/>
      <c r="P893" s="339"/>
      <c r="Q893" s="339"/>
      <c r="R893" s="339"/>
      <c r="S893" s="339"/>
      <c r="T893" s="339"/>
      <c r="U893" s="339"/>
      <c r="V893" s="339"/>
      <c r="W893" s="339"/>
      <c r="X893" s="339"/>
      <c r="Y893" s="339"/>
      <c r="Z893" s="339"/>
      <c r="AA893" s="339"/>
      <c r="AB893" s="341"/>
      <c r="AC893" s="341"/>
      <c r="AD893" s="341"/>
      <c r="AE893" s="339"/>
      <c r="AF893" s="339"/>
      <c r="AG893" s="341"/>
      <c r="AH893" s="339"/>
      <c r="AI893" s="341"/>
      <c r="AJ893" s="339"/>
      <c r="AK893" s="341"/>
      <c r="AL893" s="341"/>
      <c r="AM893" s="339"/>
      <c r="AN893" s="339"/>
      <c r="AO893" s="339"/>
      <c r="AP893" s="339"/>
      <c r="AQ893" s="339"/>
      <c r="AR893" s="339"/>
      <c r="AS893" s="339"/>
    </row>
    <row r="894" spans="1:45" ht="15.75" customHeight="1">
      <c r="A894" s="339"/>
      <c r="B894" s="339"/>
      <c r="C894" s="341"/>
      <c r="D894" s="341"/>
      <c r="E894" s="341"/>
      <c r="F894" s="340"/>
      <c r="G894" s="339"/>
      <c r="H894" s="339"/>
      <c r="I894" s="339"/>
      <c r="J894" s="341"/>
      <c r="K894" s="340"/>
      <c r="L894" s="341"/>
      <c r="M894" s="340"/>
      <c r="N894" s="339"/>
      <c r="O894" s="339"/>
      <c r="P894" s="339"/>
      <c r="Q894" s="339"/>
      <c r="R894" s="339"/>
      <c r="S894" s="339"/>
      <c r="T894" s="339"/>
      <c r="U894" s="339"/>
      <c r="V894" s="339"/>
      <c r="W894" s="339"/>
      <c r="X894" s="339"/>
      <c r="Y894" s="339"/>
      <c r="Z894" s="339"/>
      <c r="AA894" s="339"/>
      <c r="AB894" s="341"/>
      <c r="AC894" s="341"/>
      <c r="AD894" s="341"/>
      <c r="AE894" s="339"/>
      <c r="AF894" s="339"/>
      <c r="AG894" s="341"/>
      <c r="AH894" s="339"/>
      <c r="AI894" s="341"/>
      <c r="AJ894" s="339"/>
      <c r="AK894" s="341"/>
      <c r="AL894" s="341"/>
      <c r="AM894" s="339"/>
      <c r="AN894" s="339"/>
      <c r="AO894" s="339"/>
      <c r="AP894" s="339"/>
      <c r="AQ894" s="339"/>
      <c r="AR894" s="339"/>
      <c r="AS894" s="339"/>
    </row>
    <row r="895" spans="1:45" ht="15.75" customHeight="1">
      <c r="A895" s="339"/>
      <c r="B895" s="339"/>
      <c r="C895" s="341"/>
      <c r="D895" s="341"/>
      <c r="E895" s="341"/>
      <c r="F895" s="340"/>
      <c r="G895" s="339"/>
      <c r="H895" s="339"/>
      <c r="I895" s="339"/>
      <c r="J895" s="341"/>
      <c r="K895" s="340"/>
      <c r="L895" s="341"/>
      <c r="M895" s="340"/>
      <c r="N895" s="339"/>
      <c r="O895" s="339"/>
      <c r="P895" s="339"/>
      <c r="Q895" s="339"/>
      <c r="R895" s="339"/>
      <c r="S895" s="339"/>
      <c r="T895" s="339"/>
      <c r="U895" s="339"/>
      <c r="V895" s="339"/>
      <c r="W895" s="339"/>
      <c r="X895" s="339"/>
      <c r="Y895" s="339"/>
      <c r="Z895" s="339"/>
      <c r="AA895" s="339"/>
      <c r="AB895" s="341"/>
      <c r="AC895" s="341"/>
      <c r="AD895" s="341"/>
      <c r="AE895" s="339"/>
      <c r="AF895" s="339"/>
      <c r="AG895" s="341"/>
      <c r="AH895" s="339"/>
      <c r="AI895" s="341"/>
      <c r="AJ895" s="339"/>
      <c r="AK895" s="341"/>
      <c r="AL895" s="341"/>
      <c r="AM895" s="339"/>
      <c r="AN895" s="339"/>
      <c r="AO895" s="339"/>
      <c r="AP895" s="339"/>
      <c r="AQ895" s="339"/>
      <c r="AR895" s="339"/>
      <c r="AS895" s="339"/>
    </row>
    <row r="896" spans="1:45" ht="15.75" customHeight="1">
      <c r="A896" s="339"/>
      <c r="B896" s="339"/>
      <c r="C896" s="341"/>
      <c r="D896" s="341"/>
      <c r="E896" s="341"/>
      <c r="F896" s="340"/>
      <c r="G896" s="339"/>
      <c r="H896" s="339"/>
      <c r="I896" s="339"/>
      <c r="J896" s="341"/>
      <c r="K896" s="340"/>
      <c r="L896" s="341"/>
      <c r="M896" s="340"/>
      <c r="N896" s="339"/>
      <c r="O896" s="339"/>
      <c r="P896" s="339"/>
      <c r="Q896" s="339"/>
      <c r="R896" s="339"/>
      <c r="S896" s="339"/>
      <c r="T896" s="339"/>
      <c r="U896" s="339"/>
      <c r="V896" s="339"/>
      <c r="W896" s="339"/>
      <c r="X896" s="339"/>
      <c r="Y896" s="339"/>
      <c r="Z896" s="339"/>
      <c r="AA896" s="339"/>
      <c r="AB896" s="341"/>
      <c r="AC896" s="341"/>
      <c r="AD896" s="341"/>
      <c r="AE896" s="339"/>
      <c r="AF896" s="339"/>
      <c r="AG896" s="341"/>
      <c r="AH896" s="339"/>
      <c r="AI896" s="341"/>
      <c r="AJ896" s="339"/>
      <c r="AK896" s="341"/>
      <c r="AL896" s="341"/>
      <c r="AM896" s="339"/>
      <c r="AN896" s="339"/>
      <c r="AO896" s="339"/>
      <c r="AP896" s="339"/>
      <c r="AQ896" s="339"/>
      <c r="AR896" s="339"/>
      <c r="AS896" s="339"/>
    </row>
    <row r="897" spans="1:45" ht="15.75" customHeight="1">
      <c r="A897" s="339"/>
      <c r="B897" s="339"/>
      <c r="C897" s="341"/>
      <c r="D897" s="341"/>
      <c r="E897" s="341"/>
      <c r="F897" s="340"/>
      <c r="G897" s="339"/>
      <c r="H897" s="339"/>
      <c r="I897" s="339"/>
      <c r="J897" s="341"/>
      <c r="K897" s="340"/>
      <c r="L897" s="341"/>
      <c r="M897" s="340"/>
      <c r="N897" s="339"/>
      <c r="O897" s="339"/>
      <c r="P897" s="339"/>
      <c r="Q897" s="339"/>
      <c r="R897" s="339"/>
      <c r="S897" s="339"/>
      <c r="T897" s="339"/>
      <c r="U897" s="339"/>
      <c r="V897" s="339"/>
      <c r="W897" s="339"/>
      <c r="X897" s="339"/>
      <c r="Y897" s="339"/>
      <c r="Z897" s="339"/>
      <c r="AA897" s="339"/>
      <c r="AB897" s="341"/>
      <c r="AC897" s="341"/>
      <c r="AD897" s="341"/>
      <c r="AE897" s="339"/>
      <c r="AF897" s="339"/>
      <c r="AG897" s="341"/>
      <c r="AH897" s="339"/>
      <c r="AI897" s="341"/>
      <c r="AJ897" s="339"/>
      <c r="AK897" s="341"/>
      <c r="AL897" s="341"/>
      <c r="AM897" s="339"/>
      <c r="AN897" s="339"/>
      <c r="AO897" s="339"/>
      <c r="AP897" s="339"/>
      <c r="AQ897" s="339"/>
      <c r="AR897" s="339"/>
      <c r="AS897" s="339"/>
    </row>
    <row r="898" spans="1:45" ht="15.75" customHeight="1">
      <c r="A898" s="339"/>
      <c r="B898" s="339"/>
      <c r="C898" s="341"/>
      <c r="D898" s="341"/>
      <c r="E898" s="341"/>
      <c r="F898" s="340"/>
      <c r="G898" s="339"/>
      <c r="H898" s="339"/>
      <c r="I898" s="339"/>
      <c r="J898" s="341"/>
      <c r="K898" s="340"/>
      <c r="L898" s="341"/>
      <c r="M898" s="340"/>
      <c r="N898" s="339"/>
      <c r="O898" s="339"/>
      <c r="P898" s="339"/>
      <c r="Q898" s="339"/>
      <c r="R898" s="339"/>
      <c r="S898" s="339"/>
      <c r="T898" s="339"/>
      <c r="U898" s="339"/>
      <c r="V898" s="339"/>
      <c r="W898" s="339"/>
      <c r="X898" s="339"/>
      <c r="Y898" s="339"/>
      <c r="Z898" s="339"/>
      <c r="AA898" s="339"/>
      <c r="AB898" s="341"/>
      <c r="AC898" s="341"/>
      <c r="AD898" s="341"/>
      <c r="AE898" s="339"/>
      <c r="AF898" s="339"/>
      <c r="AG898" s="341"/>
      <c r="AH898" s="339"/>
      <c r="AI898" s="341"/>
      <c r="AJ898" s="339"/>
      <c r="AK898" s="341"/>
      <c r="AL898" s="341"/>
      <c r="AM898" s="339"/>
      <c r="AN898" s="339"/>
      <c r="AO898" s="339"/>
      <c r="AP898" s="339"/>
      <c r="AQ898" s="339"/>
      <c r="AR898" s="339"/>
      <c r="AS898" s="339"/>
    </row>
    <row r="899" spans="1:45" ht="15.75" customHeight="1">
      <c r="A899" s="339"/>
      <c r="B899" s="339"/>
      <c r="C899" s="341"/>
      <c r="D899" s="341"/>
      <c r="E899" s="341"/>
      <c r="F899" s="340"/>
      <c r="G899" s="339"/>
      <c r="H899" s="339"/>
      <c r="I899" s="339"/>
      <c r="J899" s="341"/>
      <c r="K899" s="340"/>
      <c r="L899" s="341"/>
      <c r="M899" s="340"/>
      <c r="N899" s="339"/>
      <c r="O899" s="339"/>
      <c r="P899" s="339"/>
      <c r="Q899" s="339"/>
      <c r="R899" s="339"/>
      <c r="S899" s="339"/>
      <c r="T899" s="339"/>
      <c r="U899" s="339"/>
      <c r="V899" s="339"/>
      <c r="W899" s="339"/>
      <c r="X899" s="339"/>
      <c r="Y899" s="339"/>
      <c r="Z899" s="339"/>
      <c r="AA899" s="339"/>
      <c r="AB899" s="341"/>
      <c r="AC899" s="341"/>
      <c r="AD899" s="341"/>
      <c r="AE899" s="339"/>
      <c r="AF899" s="339"/>
      <c r="AG899" s="341"/>
      <c r="AH899" s="339"/>
      <c r="AI899" s="341"/>
      <c r="AJ899" s="339"/>
      <c r="AK899" s="341"/>
      <c r="AL899" s="341"/>
      <c r="AM899" s="339"/>
      <c r="AN899" s="339"/>
      <c r="AO899" s="339"/>
      <c r="AP899" s="339"/>
      <c r="AQ899" s="339"/>
      <c r="AR899" s="339"/>
      <c r="AS899" s="339"/>
    </row>
    <row r="900" spans="1:45" ht="15.75" customHeight="1">
      <c r="A900" s="339"/>
      <c r="B900" s="339"/>
      <c r="C900" s="341"/>
      <c r="D900" s="341"/>
      <c r="E900" s="341"/>
      <c r="F900" s="340"/>
      <c r="G900" s="339"/>
      <c r="H900" s="339"/>
      <c r="I900" s="339"/>
      <c r="J900" s="341"/>
      <c r="K900" s="340"/>
      <c r="L900" s="341"/>
      <c r="M900" s="340"/>
      <c r="N900" s="339"/>
      <c r="O900" s="339"/>
      <c r="P900" s="339"/>
      <c r="Q900" s="339"/>
      <c r="R900" s="339"/>
      <c r="S900" s="339"/>
      <c r="T900" s="339"/>
      <c r="U900" s="339"/>
      <c r="V900" s="339"/>
      <c r="W900" s="339"/>
      <c r="X900" s="339"/>
      <c r="Y900" s="339"/>
      <c r="Z900" s="339"/>
      <c r="AA900" s="339"/>
      <c r="AB900" s="341"/>
      <c r="AC900" s="341"/>
      <c r="AD900" s="341"/>
      <c r="AE900" s="339"/>
      <c r="AF900" s="339"/>
      <c r="AG900" s="341"/>
      <c r="AH900" s="339"/>
      <c r="AI900" s="341"/>
      <c r="AJ900" s="339"/>
      <c r="AK900" s="341"/>
      <c r="AL900" s="341"/>
      <c r="AM900" s="339"/>
      <c r="AN900" s="339"/>
      <c r="AO900" s="339"/>
      <c r="AP900" s="339"/>
      <c r="AQ900" s="339"/>
      <c r="AR900" s="339"/>
      <c r="AS900" s="339"/>
    </row>
    <row r="901" spans="1:45" ht="15.75" customHeight="1">
      <c r="A901" s="339"/>
      <c r="B901" s="339"/>
      <c r="C901" s="341"/>
      <c r="D901" s="341"/>
      <c r="E901" s="341"/>
      <c r="F901" s="340"/>
      <c r="G901" s="339"/>
      <c r="H901" s="339"/>
      <c r="I901" s="339"/>
      <c r="J901" s="341"/>
      <c r="K901" s="340"/>
      <c r="L901" s="341"/>
      <c r="M901" s="340"/>
      <c r="N901" s="339"/>
      <c r="O901" s="339"/>
      <c r="P901" s="339"/>
      <c r="Q901" s="339"/>
      <c r="R901" s="339"/>
      <c r="S901" s="339"/>
      <c r="T901" s="339"/>
      <c r="U901" s="339"/>
      <c r="V901" s="339"/>
      <c r="W901" s="339"/>
      <c r="X901" s="339"/>
      <c r="Y901" s="339"/>
      <c r="Z901" s="339"/>
      <c r="AA901" s="339"/>
      <c r="AB901" s="341"/>
      <c r="AC901" s="341"/>
      <c r="AD901" s="341"/>
      <c r="AE901" s="339"/>
      <c r="AF901" s="339"/>
      <c r="AG901" s="341"/>
      <c r="AH901" s="339"/>
      <c r="AI901" s="341"/>
      <c r="AJ901" s="339"/>
      <c r="AK901" s="341"/>
      <c r="AL901" s="341"/>
      <c r="AM901" s="339"/>
      <c r="AN901" s="339"/>
      <c r="AO901" s="339"/>
      <c r="AP901" s="339"/>
      <c r="AQ901" s="339"/>
      <c r="AR901" s="339"/>
      <c r="AS901" s="339"/>
    </row>
    <row r="902" spans="1:45" ht="15.75" customHeight="1">
      <c r="A902" s="339"/>
      <c r="B902" s="339"/>
      <c r="C902" s="341"/>
      <c r="D902" s="341"/>
      <c r="E902" s="341"/>
      <c r="F902" s="340"/>
      <c r="G902" s="339"/>
      <c r="H902" s="339"/>
      <c r="I902" s="339"/>
      <c r="J902" s="341"/>
      <c r="K902" s="340"/>
      <c r="L902" s="341"/>
      <c r="M902" s="340"/>
      <c r="N902" s="339"/>
      <c r="O902" s="339"/>
      <c r="P902" s="339"/>
      <c r="Q902" s="339"/>
      <c r="R902" s="339"/>
      <c r="S902" s="339"/>
      <c r="T902" s="339"/>
      <c r="U902" s="339"/>
      <c r="V902" s="339"/>
      <c r="W902" s="339"/>
      <c r="X902" s="339"/>
      <c r="Y902" s="339"/>
      <c r="Z902" s="339"/>
      <c r="AA902" s="339"/>
      <c r="AB902" s="341"/>
      <c r="AC902" s="341"/>
      <c r="AD902" s="341"/>
      <c r="AE902" s="339"/>
      <c r="AF902" s="339"/>
      <c r="AG902" s="341"/>
      <c r="AH902" s="339"/>
      <c r="AI902" s="341"/>
      <c r="AJ902" s="339"/>
      <c r="AK902" s="341"/>
      <c r="AL902" s="341"/>
      <c r="AM902" s="339"/>
      <c r="AN902" s="339"/>
      <c r="AO902" s="339"/>
      <c r="AP902" s="339"/>
      <c r="AQ902" s="339"/>
      <c r="AR902" s="339"/>
      <c r="AS902" s="339"/>
    </row>
    <row r="903" spans="1:45" ht="15.75" customHeight="1">
      <c r="A903" s="339"/>
      <c r="B903" s="339"/>
      <c r="C903" s="341"/>
      <c r="D903" s="341"/>
      <c r="E903" s="341"/>
      <c r="F903" s="340"/>
      <c r="G903" s="339"/>
      <c r="H903" s="339"/>
      <c r="I903" s="339"/>
      <c r="J903" s="341"/>
      <c r="K903" s="340"/>
      <c r="L903" s="341"/>
      <c r="M903" s="340"/>
      <c r="N903" s="339"/>
      <c r="O903" s="339"/>
      <c r="P903" s="339"/>
      <c r="Q903" s="339"/>
      <c r="R903" s="339"/>
      <c r="S903" s="339"/>
      <c r="T903" s="339"/>
      <c r="U903" s="339"/>
      <c r="V903" s="339"/>
      <c r="W903" s="339"/>
      <c r="X903" s="339"/>
      <c r="Y903" s="339"/>
      <c r="Z903" s="339"/>
      <c r="AA903" s="339"/>
      <c r="AB903" s="341"/>
      <c r="AC903" s="341"/>
      <c r="AD903" s="341"/>
      <c r="AE903" s="339"/>
      <c r="AF903" s="339"/>
      <c r="AG903" s="341"/>
      <c r="AH903" s="339"/>
      <c r="AI903" s="341"/>
      <c r="AJ903" s="339"/>
      <c r="AK903" s="341"/>
      <c r="AL903" s="341"/>
      <c r="AM903" s="339"/>
      <c r="AN903" s="339"/>
      <c r="AO903" s="339"/>
      <c r="AP903" s="339"/>
      <c r="AQ903" s="339"/>
      <c r="AR903" s="339"/>
      <c r="AS903" s="339"/>
    </row>
    <row r="904" spans="1:45" ht="15.75" customHeight="1">
      <c r="A904" s="339"/>
      <c r="B904" s="339"/>
      <c r="C904" s="341"/>
      <c r="D904" s="341"/>
      <c r="E904" s="341"/>
      <c r="F904" s="340"/>
      <c r="G904" s="339"/>
      <c r="H904" s="339"/>
      <c r="I904" s="339"/>
      <c r="J904" s="341"/>
      <c r="K904" s="340"/>
      <c r="L904" s="341"/>
      <c r="M904" s="340"/>
      <c r="N904" s="339"/>
      <c r="O904" s="339"/>
      <c r="P904" s="339"/>
      <c r="Q904" s="339"/>
      <c r="R904" s="339"/>
      <c r="S904" s="339"/>
      <c r="T904" s="339"/>
      <c r="U904" s="339"/>
      <c r="V904" s="339"/>
      <c r="W904" s="339"/>
      <c r="X904" s="339"/>
      <c r="Y904" s="339"/>
      <c r="Z904" s="339"/>
      <c r="AA904" s="339"/>
      <c r="AB904" s="341"/>
      <c r="AC904" s="341"/>
      <c r="AD904" s="341"/>
      <c r="AE904" s="339"/>
      <c r="AF904" s="339"/>
      <c r="AG904" s="341"/>
      <c r="AH904" s="339"/>
      <c r="AI904" s="341"/>
      <c r="AJ904" s="339"/>
      <c r="AK904" s="341"/>
      <c r="AL904" s="341"/>
      <c r="AM904" s="339"/>
      <c r="AN904" s="339"/>
      <c r="AO904" s="339"/>
      <c r="AP904" s="339"/>
      <c r="AQ904" s="339"/>
      <c r="AR904" s="339"/>
      <c r="AS904" s="339"/>
    </row>
    <row r="905" spans="1:45" ht="15.75" customHeight="1">
      <c r="A905" s="339"/>
      <c r="B905" s="339"/>
      <c r="C905" s="341"/>
      <c r="D905" s="341"/>
      <c r="E905" s="341"/>
      <c r="F905" s="340"/>
      <c r="G905" s="339"/>
      <c r="H905" s="339"/>
      <c r="I905" s="339"/>
      <c r="J905" s="341"/>
      <c r="K905" s="340"/>
      <c r="L905" s="341"/>
      <c r="M905" s="340"/>
      <c r="N905" s="339"/>
      <c r="O905" s="339"/>
      <c r="P905" s="339"/>
      <c r="Q905" s="339"/>
      <c r="R905" s="339"/>
      <c r="S905" s="339"/>
      <c r="T905" s="339"/>
      <c r="U905" s="339"/>
      <c r="V905" s="339"/>
      <c r="W905" s="339"/>
      <c r="X905" s="339"/>
      <c r="Y905" s="339"/>
      <c r="Z905" s="339"/>
      <c r="AA905" s="339"/>
      <c r="AB905" s="341"/>
      <c r="AC905" s="341"/>
      <c r="AD905" s="341"/>
      <c r="AE905" s="339"/>
      <c r="AF905" s="339"/>
      <c r="AG905" s="341"/>
      <c r="AH905" s="339"/>
      <c r="AI905" s="341"/>
      <c r="AJ905" s="339"/>
      <c r="AK905" s="341"/>
      <c r="AL905" s="341"/>
      <c r="AM905" s="339"/>
      <c r="AN905" s="339"/>
      <c r="AO905" s="339"/>
      <c r="AP905" s="339"/>
      <c r="AQ905" s="339"/>
      <c r="AR905" s="339"/>
      <c r="AS905" s="339"/>
    </row>
    <row r="906" spans="1:45" ht="15.75" customHeight="1">
      <c r="A906" s="339"/>
      <c r="B906" s="339"/>
      <c r="C906" s="341"/>
      <c r="D906" s="341"/>
      <c r="E906" s="341"/>
      <c r="F906" s="340"/>
      <c r="G906" s="339"/>
      <c r="H906" s="339"/>
      <c r="I906" s="339"/>
      <c r="J906" s="341"/>
      <c r="K906" s="340"/>
      <c r="L906" s="341"/>
      <c r="M906" s="340"/>
      <c r="N906" s="339"/>
      <c r="O906" s="339"/>
      <c r="P906" s="339"/>
      <c r="Q906" s="339"/>
      <c r="R906" s="339"/>
      <c r="S906" s="339"/>
      <c r="T906" s="339"/>
      <c r="U906" s="339"/>
      <c r="V906" s="339"/>
      <c r="W906" s="339"/>
      <c r="X906" s="339"/>
      <c r="Y906" s="339"/>
      <c r="Z906" s="339"/>
      <c r="AA906" s="339"/>
      <c r="AB906" s="341"/>
      <c r="AC906" s="341"/>
      <c r="AD906" s="341"/>
      <c r="AE906" s="339"/>
      <c r="AF906" s="339"/>
      <c r="AG906" s="341"/>
      <c r="AH906" s="339"/>
      <c r="AI906" s="341"/>
      <c r="AJ906" s="339"/>
      <c r="AK906" s="341"/>
      <c r="AL906" s="341"/>
      <c r="AM906" s="339"/>
      <c r="AN906" s="339"/>
      <c r="AO906" s="339"/>
      <c r="AP906" s="339"/>
      <c r="AQ906" s="339"/>
      <c r="AR906" s="339"/>
      <c r="AS906" s="339"/>
    </row>
    <row r="907" spans="1:45" ht="15.75" customHeight="1">
      <c r="A907" s="339"/>
      <c r="B907" s="339"/>
      <c r="C907" s="341"/>
      <c r="D907" s="341"/>
      <c r="E907" s="341"/>
      <c r="F907" s="340"/>
      <c r="G907" s="339"/>
      <c r="H907" s="339"/>
      <c r="I907" s="339"/>
      <c r="J907" s="341"/>
      <c r="K907" s="340"/>
      <c r="L907" s="341"/>
      <c r="M907" s="340"/>
      <c r="N907" s="339"/>
      <c r="O907" s="339"/>
      <c r="P907" s="339"/>
      <c r="Q907" s="339"/>
      <c r="R907" s="339"/>
      <c r="S907" s="339"/>
      <c r="T907" s="339"/>
      <c r="U907" s="339"/>
      <c r="V907" s="339"/>
      <c r="W907" s="339"/>
      <c r="X907" s="339"/>
      <c r="Y907" s="339"/>
      <c r="Z907" s="339"/>
      <c r="AA907" s="339"/>
      <c r="AB907" s="341"/>
      <c r="AC907" s="341"/>
      <c r="AD907" s="341"/>
      <c r="AE907" s="339"/>
      <c r="AF907" s="339"/>
      <c r="AG907" s="341"/>
      <c r="AH907" s="339"/>
      <c r="AI907" s="341"/>
      <c r="AJ907" s="339"/>
      <c r="AK907" s="341"/>
      <c r="AL907" s="341"/>
      <c r="AM907" s="339"/>
      <c r="AN907" s="339"/>
      <c r="AO907" s="339"/>
      <c r="AP907" s="339"/>
      <c r="AQ907" s="339"/>
      <c r="AR907" s="339"/>
      <c r="AS907" s="339"/>
    </row>
    <row r="908" spans="1:45" ht="15.75" customHeight="1">
      <c r="A908" s="339"/>
      <c r="B908" s="339"/>
      <c r="C908" s="341"/>
      <c r="D908" s="341"/>
      <c r="E908" s="341"/>
      <c r="F908" s="340"/>
      <c r="G908" s="339"/>
      <c r="H908" s="339"/>
      <c r="I908" s="339"/>
      <c r="J908" s="341"/>
      <c r="K908" s="340"/>
      <c r="L908" s="341"/>
      <c r="M908" s="340"/>
      <c r="N908" s="339"/>
      <c r="O908" s="339"/>
      <c r="P908" s="339"/>
      <c r="Q908" s="339"/>
      <c r="R908" s="339"/>
      <c r="S908" s="339"/>
      <c r="T908" s="339"/>
      <c r="U908" s="339"/>
      <c r="V908" s="339"/>
      <c r="W908" s="339"/>
      <c r="X908" s="339"/>
      <c r="Y908" s="339"/>
      <c r="Z908" s="339"/>
      <c r="AA908" s="339"/>
      <c r="AB908" s="341"/>
      <c r="AC908" s="341"/>
      <c r="AD908" s="341"/>
      <c r="AE908" s="339"/>
      <c r="AF908" s="339"/>
      <c r="AG908" s="341"/>
      <c r="AH908" s="339"/>
      <c r="AI908" s="341"/>
      <c r="AJ908" s="339"/>
      <c r="AK908" s="341"/>
      <c r="AL908" s="341"/>
      <c r="AM908" s="339"/>
      <c r="AN908" s="339"/>
      <c r="AO908" s="339"/>
      <c r="AP908" s="339"/>
      <c r="AQ908" s="339"/>
      <c r="AR908" s="339"/>
      <c r="AS908" s="339"/>
    </row>
    <row r="909" spans="1:45" ht="15.75" customHeight="1">
      <c r="A909" s="339"/>
      <c r="B909" s="339"/>
      <c r="C909" s="341"/>
      <c r="D909" s="341"/>
      <c r="E909" s="341"/>
      <c r="F909" s="340"/>
      <c r="G909" s="339"/>
      <c r="H909" s="339"/>
      <c r="I909" s="339"/>
      <c r="J909" s="341"/>
      <c r="K909" s="340"/>
      <c r="L909" s="341"/>
      <c r="M909" s="340"/>
      <c r="N909" s="339"/>
      <c r="O909" s="339"/>
      <c r="P909" s="339"/>
      <c r="Q909" s="339"/>
      <c r="R909" s="339"/>
      <c r="S909" s="339"/>
      <c r="T909" s="339"/>
      <c r="U909" s="339"/>
      <c r="V909" s="339"/>
      <c r="W909" s="339"/>
      <c r="X909" s="339"/>
      <c r="Y909" s="339"/>
      <c r="Z909" s="339"/>
      <c r="AA909" s="339"/>
      <c r="AB909" s="341"/>
      <c r="AC909" s="341"/>
      <c r="AD909" s="341"/>
      <c r="AE909" s="339"/>
      <c r="AF909" s="339"/>
      <c r="AG909" s="341"/>
      <c r="AH909" s="339"/>
      <c r="AI909" s="341"/>
      <c r="AJ909" s="339"/>
      <c r="AK909" s="341"/>
      <c r="AL909" s="341"/>
      <c r="AM909" s="339"/>
      <c r="AN909" s="339"/>
      <c r="AO909" s="339"/>
      <c r="AP909" s="339"/>
      <c r="AQ909" s="339"/>
      <c r="AR909" s="339"/>
      <c r="AS909" s="339"/>
    </row>
    <row r="910" spans="1:45" ht="15.75" customHeight="1">
      <c r="A910" s="339"/>
      <c r="B910" s="339"/>
      <c r="C910" s="341"/>
      <c r="D910" s="341"/>
      <c r="E910" s="341"/>
      <c r="F910" s="340"/>
      <c r="G910" s="339"/>
      <c r="H910" s="339"/>
      <c r="I910" s="339"/>
      <c r="J910" s="341"/>
      <c r="K910" s="340"/>
      <c r="L910" s="341"/>
      <c r="M910" s="340"/>
      <c r="N910" s="339"/>
      <c r="O910" s="339"/>
      <c r="P910" s="339"/>
      <c r="Q910" s="339"/>
      <c r="R910" s="339"/>
      <c r="S910" s="339"/>
      <c r="T910" s="339"/>
      <c r="U910" s="339"/>
      <c r="V910" s="339"/>
      <c r="W910" s="339"/>
      <c r="X910" s="339"/>
      <c r="Y910" s="339"/>
      <c r="Z910" s="339"/>
      <c r="AA910" s="339"/>
      <c r="AB910" s="341"/>
      <c r="AC910" s="341"/>
      <c r="AD910" s="341"/>
      <c r="AE910" s="339"/>
      <c r="AF910" s="339"/>
      <c r="AG910" s="341"/>
      <c r="AH910" s="339"/>
      <c r="AI910" s="341"/>
      <c r="AJ910" s="339"/>
      <c r="AK910" s="341"/>
      <c r="AL910" s="341"/>
      <c r="AM910" s="339"/>
      <c r="AN910" s="339"/>
      <c r="AO910" s="339"/>
      <c r="AP910" s="339"/>
      <c r="AQ910" s="339"/>
      <c r="AR910" s="339"/>
      <c r="AS910" s="339"/>
    </row>
    <row r="911" spans="1:45" ht="15.75" customHeight="1">
      <c r="A911" s="339"/>
      <c r="B911" s="339"/>
      <c r="C911" s="341"/>
      <c r="D911" s="341"/>
      <c r="E911" s="341"/>
      <c r="F911" s="340"/>
      <c r="G911" s="339"/>
      <c r="H911" s="339"/>
      <c r="I911" s="339"/>
      <c r="J911" s="341"/>
      <c r="K911" s="340"/>
      <c r="L911" s="341"/>
      <c r="M911" s="340"/>
      <c r="N911" s="339"/>
      <c r="O911" s="339"/>
      <c r="P911" s="339"/>
      <c r="Q911" s="339"/>
      <c r="R911" s="339"/>
      <c r="S911" s="339"/>
      <c r="T911" s="339"/>
      <c r="U911" s="339"/>
      <c r="V911" s="339"/>
      <c r="W911" s="339"/>
      <c r="X911" s="339"/>
      <c r="Y911" s="339"/>
      <c r="Z911" s="339"/>
      <c r="AA911" s="339"/>
      <c r="AB911" s="341"/>
      <c r="AC911" s="341"/>
      <c r="AD911" s="341"/>
      <c r="AE911" s="339"/>
      <c r="AF911" s="339"/>
      <c r="AG911" s="341"/>
      <c r="AH911" s="339"/>
      <c r="AI911" s="341"/>
      <c r="AJ911" s="339"/>
      <c r="AK911" s="341"/>
      <c r="AL911" s="341"/>
      <c r="AM911" s="339"/>
      <c r="AN911" s="339"/>
      <c r="AO911" s="339"/>
      <c r="AP911" s="339"/>
      <c r="AQ911" s="339"/>
      <c r="AR911" s="339"/>
      <c r="AS911" s="339"/>
    </row>
    <row r="912" spans="1:45" ht="15.75" customHeight="1">
      <c r="A912" s="339"/>
      <c r="B912" s="339"/>
      <c r="C912" s="341"/>
      <c r="D912" s="341"/>
      <c r="E912" s="341"/>
      <c r="F912" s="340"/>
      <c r="G912" s="339"/>
      <c r="H912" s="339"/>
      <c r="I912" s="339"/>
      <c r="J912" s="341"/>
      <c r="K912" s="340"/>
      <c r="L912" s="341"/>
      <c r="M912" s="340"/>
      <c r="N912" s="339"/>
      <c r="O912" s="339"/>
      <c r="P912" s="339"/>
      <c r="Q912" s="339"/>
      <c r="R912" s="339"/>
      <c r="S912" s="339"/>
      <c r="T912" s="339"/>
      <c r="U912" s="339"/>
      <c r="V912" s="339"/>
      <c r="W912" s="339"/>
      <c r="X912" s="339"/>
      <c r="Y912" s="339"/>
      <c r="Z912" s="339"/>
      <c r="AA912" s="339"/>
      <c r="AB912" s="341"/>
      <c r="AC912" s="341"/>
      <c r="AD912" s="341"/>
      <c r="AE912" s="339"/>
      <c r="AF912" s="339"/>
      <c r="AG912" s="341"/>
      <c r="AH912" s="339"/>
      <c r="AI912" s="341"/>
      <c r="AJ912" s="339"/>
      <c r="AK912" s="341"/>
      <c r="AL912" s="341"/>
      <c r="AM912" s="339"/>
      <c r="AN912" s="339"/>
      <c r="AO912" s="339"/>
      <c r="AP912" s="339"/>
      <c r="AQ912" s="339"/>
      <c r="AR912" s="339"/>
      <c r="AS912" s="339"/>
    </row>
    <row r="913" spans="1:45" ht="15.75" customHeight="1">
      <c r="A913" s="339"/>
      <c r="B913" s="339"/>
      <c r="C913" s="341"/>
      <c r="D913" s="341"/>
      <c r="E913" s="341"/>
      <c r="F913" s="340"/>
      <c r="G913" s="339"/>
      <c r="H913" s="339"/>
      <c r="I913" s="339"/>
      <c r="J913" s="341"/>
      <c r="K913" s="340"/>
      <c r="L913" s="341"/>
      <c r="M913" s="340"/>
      <c r="N913" s="339"/>
      <c r="O913" s="339"/>
      <c r="P913" s="339"/>
      <c r="Q913" s="339"/>
      <c r="R913" s="339"/>
      <c r="S913" s="339"/>
      <c r="T913" s="339"/>
      <c r="U913" s="339"/>
      <c r="V913" s="339"/>
      <c r="W913" s="339"/>
      <c r="X913" s="339"/>
      <c r="Y913" s="339"/>
      <c r="Z913" s="339"/>
      <c r="AA913" s="339"/>
      <c r="AB913" s="341"/>
      <c r="AC913" s="341"/>
      <c r="AD913" s="341"/>
      <c r="AE913" s="339"/>
      <c r="AF913" s="339"/>
      <c r="AG913" s="341"/>
      <c r="AH913" s="339"/>
      <c r="AI913" s="341"/>
      <c r="AJ913" s="339"/>
      <c r="AK913" s="341"/>
      <c r="AL913" s="341"/>
      <c r="AM913" s="339"/>
      <c r="AN913" s="339"/>
      <c r="AO913" s="339"/>
      <c r="AP913" s="339"/>
      <c r="AQ913" s="339"/>
      <c r="AR913" s="339"/>
      <c r="AS913" s="339"/>
    </row>
    <row r="914" spans="1:45" ht="15.75" customHeight="1">
      <c r="A914" s="339"/>
      <c r="B914" s="339"/>
      <c r="C914" s="341"/>
      <c r="D914" s="341"/>
      <c r="E914" s="341"/>
      <c r="F914" s="340"/>
      <c r="G914" s="339"/>
      <c r="H914" s="339"/>
      <c r="I914" s="339"/>
      <c r="J914" s="341"/>
      <c r="K914" s="340"/>
      <c r="L914" s="341"/>
      <c r="M914" s="340"/>
      <c r="N914" s="339"/>
      <c r="O914" s="339"/>
      <c r="P914" s="339"/>
      <c r="Q914" s="339"/>
      <c r="R914" s="339"/>
      <c r="S914" s="339"/>
      <c r="T914" s="339"/>
      <c r="U914" s="339"/>
      <c r="V914" s="339"/>
      <c r="W914" s="339"/>
      <c r="X914" s="339"/>
      <c r="Y914" s="339"/>
      <c r="Z914" s="339"/>
      <c r="AA914" s="339"/>
      <c r="AB914" s="341"/>
      <c r="AC914" s="341"/>
      <c r="AD914" s="341"/>
      <c r="AE914" s="339"/>
      <c r="AF914" s="339"/>
      <c r="AG914" s="341"/>
      <c r="AH914" s="339"/>
      <c r="AI914" s="341"/>
      <c r="AJ914" s="339"/>
      <c r="AK914" s="341"/>
      <c r="AL914" s="341"/>
      <c r="AM914" s="339"/>
      <c r="AN914" s="339"/>
      <c r="AO914" s="339"/>
      <c r="AP914" s="339"/>
      <c r="AQ914" s="339"/>
      <c r="AR914" s="339"/>
      <c r="AS914" s="339"/>
    </row>
    <row r="915" spans="1:45" ht="15.75" customHeight="1">
      <c r="A915" s="339"/>
      <c r="B915" s="339"/>
      <c r="C915" s="341"/>
      <c r="D915" s="341"/>
      <c r="E915" s="341"/>
      <c r="F915" s="340"/>
      <c r="G915" s="339"/>
      <c r="H915" s="339"/>
      <c r="I915" s="339"/>
      <c r="J915" s="341"/>
      <c r="K915" s="340"/>
      <c r="L915" s="341"/>
      <c r="M915" s="340"/>
      <c r="N915" s="339"/>
      <c r="O915" s="339"/>
      <c r="P915" s="339"/>
      <c r="Q915" s="339"/>
      <c r="R915" s="339"/>
      <c r="S915" s="339"/>
      <c r="T915" s="339"/>
      <c r="U915" s="339"/>
      <c r="V915" s="339"/>
      <c r="W915" s="339"/>
      <c r="X915" s="339"/>
      <c r="Y915" s="339"/>
      <c r="Z915" s="339"/>
      <c r="AA915" s="339"/>
      <c r="AB915" s="341"/>
      <c r="AC915" s="341"/>
      <c r="AD915" s="341"/>
      <c r="AE915" s="339"/>
      <c r="AF915" s="339"/>
      <c r="AG915" s="341"/>
      <c r="AH915" s="339"/>
      <c r="AI915" s="341"/>
      <c r="AJ915" s="339"/>
      <c r="AK915" s="341"/>
      <c r="AL915" s="341"/>
      <c r="AM915" s="339"/>
      <c r="AN915" s="339"/>
      <c r="AO915" s="339"/>
      <c r="AP915" s="339"/>
      <c r="AQ915" s="339"/>
      <c r="AR915" s="339"/>
      <c r="AS915" s="339"/>
    </row>
    <row r="916" spans="1:45" ht="15.75" customHeight="1">
      <c r="A916" s="339"/>
      <c r="B916" s="339"/>
      <c r="C916" s="341"/>
      <c r="D916" s="341"/>
      <c r="E916" s="341"/>
      <c r="F916" s="340"/>
      <c r="G916" s="339"/>
      <c r="H916" s="339"/>
      <c r="I916" s="339"/>
      <c r="J916" s="341"/>
      <c r="K916" s="340"/>
      <c r="L916" s="341"/>
      <c r="M916" s="340"/>
      <c r="N916" s="339"/>
      <c r="O916" s="339"/>
      <c r="P916" s="339"/>
      <c r="Q916" s="339"/>
      <c r="R916" s="339"/>
      <c r="S916" s="339"/>
      <c r="T916" s="339"/>
      <c r="U916" s="339"/>
      <c r="V916" s="339"/>
      <c r="W916" s="339"/>
      <c r="X916" s="339"/>
      <c r="Y916" s="339"/>
      <c r="Z916" s="339"/>
      <c r="AA916" s="339"/>
      <c r="AB916" s="341"/>
      <c r="AC916" s="341"/>
      <c r="AD916" s="341"/>
      <c r="AE916" s="339"/>
      <c r="AF916" s="339"/>
      <c r="AG916" s="341"/>
      <c r="AH916" s="339"/>
      <c r="AI916" s="341"/>
      <c r="AJ916" s="339"/>
      <c r="AK916" s="341"/>
      <c r="AL916" s="341"/>
      <c r="AM916" s="339"/>
      <c r="AN916" s="339"/>
      <c r="AO916" s="339"/>
      <c r="AP916" s="339"/>
      <c r="AQ916" s="339"/>
      <c r="AR916" s="339"/>
      <c r="AS916" s="339"/>
    </row>
    <row r="917" spans="1:45" ht="15.75" customHeight="1">
      <c r="A917" s="339"/>
      <c r="B917" s="339"/>
      <c r="C917" s="341"/>
      <c r="D917" s="341"/>
      <c r="E917" s="341"/>
      <c r="F917" s="340"/>
      <c r="G917" s="339"/>
      <c r="H917" s="339"/>
      <c r="I917" s="339"/>
      <c r="J917" s="341"/>
      <c r="K917" s="340"/>
      <c r="L917" s="341"/>
      <c r="M917" s="340"/>
      <c r="N917" s="339"/>
      <c r="O917" s="339"/>
      <c r="P917" s="339"/>
      <c r="Q917" s="339"/>
      <c r="R917" s="339"/>
      <c r="S917" s="339"/>
      <c r="T917" s="339"/>
      <c r="U917" s="339"/>
      <c r="V917" s="339"/>
      <c r="W917" s="339"/>
      <c r="X917" s="339"/>
      <c r="Y917" s="339"/>
      <c r="Z917" s="339"/>
      <c r="AA917" s="339"/>
      <c r="AB917" s="341"/>
      <c r="AC917" s="341"/>
      <c r="AD917" s="341"/>
      <c r="AE917" s="339"/>
      <c r="AF917" s="339"/>
      <c r="AG917" s="341"/>
      <c r="AH917" s="339"/>
      <c r="AI917" s="341"/>
      <c r="AJ917" s="339"/>
      <c r="AK917" s="341"/>
      <c r="AL917" s="341"/>
      <c r="AM917" s="339"/>
      <c r="AN917" s="339"/>
      <c r="AO917" s="339"/>
      <c r="AP917" s="339"/>
      <c r="AQ917" s="339"/>
      <c r="AR917" s="339"/>
      <c r="AS917" s="339"/>
    </row>
    <row r="918" spans="1:45" ht="15.75" customHeight="1">
      <c r="A918" s="339"/>
      <c r="B918" s="339"/>
      <c r="C918" s="341"/>
      <c r="D918" s="341"/>
      <c r="E918" s="341"/>
      <c r="F918" s="340"/>
      <c r="G918" s="339"/>
      <c r="H918" s="339"/>
      <c r="I918" s="339"/>
      <c r="J918" s="341"/>
      <c r="K918" s="340"/>
      <c r="L918" s="341"/>
      <c r="M918" s="340"/>
      <c r="N918" s="339"/>
      <c r="O918" s="339"/>
      <c r="P918" s="339"/>
      <c r="Q918" s="339"/>
      <c r="R918" s="339"/>
      <c r="S918" s="339"/>
      <c r="T918" s="339"/>
      <c r="U918" s="339"/>
      <c r="V918" s="339"/>
      <c r="W918" s="339"/>
      <c r="X918" s="339"/>
      <c r="Y918" s="339"/>
      <c r="Z918" s="339"/>
      <c r="AA918" s="339"/>
      <c r="AB918" s="341"/>
      <c r="AC918" s="341"/>
      <c r="AD918" s="341"/>
      <c r="AE918" s="339"/>
      <c r="AF918" s="339"/>
      <c r="AG918" s="341"/>
      <c r="AH918" s="339"/>
      <c r="AI918" s="341"/>
      <c r="AJ918" s="339"/>
      <c r="AK918" s="341"/>
      <c r="AL918" s="341"/>
      <c r="AM918" s="339"/>
      <c r="AN918" s="339"/>
      <c r="AO918" s="339"/>
      <c r="AP918" s="339"/>
      <c r="AQ918" s="339"/>
      <c r="AR918" s="339"/>
      <c r="AS918" s="339"/>
    </row>
    <row r="919" spans="1:45" ht="15.75" customHeight="1">
      <c r="A919" s="339"/>
      <c r="B919" s="339"/>
      <c r="C919" s="341"/>
      <c r="D919" s="341"/>
      <c r="E919" s="341"/>
      <c r="F919" s="340"/>
      <c r="G919" s="339"/>
      <c r="H919" s="339"/>
      <c r="I919" s="339"/>
      <c r="J919" s="341"/>
      <c r="K919" s="340"/>
      <c r="L919" s="341"/>
      <c r="M919" s="340"/>
      <c r="N919" s="339"/>
      <c r="O919" s="339"/>
      <c r="P919" s="339"/>
      <c r="Q919" s="339"/>
      <c r="R919" s="339"/>
      <c r="S919" s="339"/>
      <c r="T919" s="339"/>
      <c r="U919" s="339"/>
      <c r="V919" s="339"/>
      <c r="W919" s="339"/>
      <c r="X919" s="339"/>
      <c r="Y919" s="339"/>
      <c r="Z919" s="339"/>
      <c r="AA919" s="339"/>
      <c r="AB919" s="341"/>
      <c r="AC919" s="341"/>
      <c r="AD919" s="341"/>
      <c r="AE919" s="339"/>
      <c r="AF919" s="339"/>
      <c r="AG919" s="341"/>
      <c r="AH919" s="339"/>
      <c r="AI919" s="341"/>
      <c r="AJ919" s="339"/>
      <c r="AK919" s="341"/>
      <c r="AL919" s="341"/>
      <c r="AM919" s="339"/>
      <c r="AN919" s="339"/>
      <c r="AO919" s="339"/>
      <c r="AP919" s="339"/>
      <c r="AQ919" s="339"/>
      <c r="AR919" s="339"/>
      <c r="AS919" s="339"/>
    </row>
    <row r="920" spans="1:45" ht="15.75" customHeight="1">
      <c r="A920" s="339"/>
      <c r="B920" s="339"/>
      <c r="C920" s="341"/>
      <c r="D920" s="341"/>
      <c r="E920" s="341"/>
      <c r="F920" s="340"/>
      <c r="G920" s="339"/>
      <c r="H920" s="339"/>
      <c r="I920" s="339"/>
      <c r="J920" s="341"/>
      <c r="K920" s="340"/>
      <c r="L920" s="341"/>
      <c r="M920" s="340"/>
      <c r="N920" s="339"/>
      <c r="O920" s="339"/>
      <c r="P920" s="339"/>
      <c r="Q920" s="339"/>
      <c r="R920" s="339"/>
      <c r="S920" s="339"/>
      <c r="T920" s="339"/>
      <c r="U920" s="339"/>
      <c r="V920" s="339"/>
      <c r="W920" s="339"/>
      <c r="X920" s="339"/>
      <c r="Y920" s="339"/>
      <c r="Z920" s="339"/>
      <c r="AA920" s="339"/>
      <c r="AB920" s="341"/>
      <c r="AC920" s="341"/>
      <c r="AD920" s="341"/>
      <c r="AE920" s="339"/>
      <c r="AF920" s="339"/>
      <c r="AG920" s="341"/>
      <c r="AH920" s="339"/>
      <c r="AI920" s="341"/>
      <c r="AJ920" s="339"/>
      <c r="AK920" s="341"/>
      <c r="AL920" s="341"/>
      <c r="AM920" s="339"/>
      <c r="AN920" s="339"/>
      <c r="AO920" s="339"/>
      <c r="AP920" s="339"/>
      <c r="AQ920" s="339"/>
      <c r="AR920" s="339"/>
      <c r="AS920" s="339"/>
    </row>
    <row r="921" spans="1:45" ht="15.75" customHeight="1">
      <c r="A921" s="339"/>
      <c r="B921" s="339"/>
      <c r="C921" s="341"/>
      <c r="D921" s="341"/>
      <c r="E921" s="341"/>
      <c r="F921" s="340"/>
      <c r="G921" s="339"/>
      <c r="H921" s="339"/>
      <c r="I921" s="339"/>
      <c r="J921" s="341"/>
      <c r="K921" s="340"/>
      <c r="L921" s="341"/>
      <c r="M921" s="340"/>
      <c r="N921" s="339"/>
      <c r="O921" s="339"/>
      <c r="P921" s="339"/>
      <c r="Q921" s="339"/>
      <c r="R921" s="339"/>
      <c r="S921" s="339"/>
      <c r="T921" s="339"/>
      <c r="U921" s="339"/>
      <c r="V921" s="339"/>
      <c r="W921" s="339"/>
      <c r="X921" s="339"/>
      <c r="Y921" s="339"/>
      <c r="Z921" s="339"/>
      <c r="AA921" s="339"/>
      <c r="AB921" s="341"/>
      <c r="AC921" s="341"/>
      <c r="AD921" s="341"/>
      <c r="AE921" s="339"/>
      <c r="AF921" s="339"/>
      <c r="AG921" s="341"/>
      <c r="AH921" s="339"/>
      <c r="AI921" s="341"/>
      <c r="AJ921" s="339"/>
      <c r="AK921" s="341"/>
      <c r="AL921" s="341"/>
      <c r="AM921" s="339"/>
      <c r="AN921" s="339"/>
      <c r="AO921" s="339"/>
      <c r="AP921" s="339"/>
      <c r="AQ921" s="339"/>
      <c r="AR921" s="339"/>
      <c r="AS921" s="339"/>
    </row>
    <row r="922" spans="1:45" ht="15.75" customHeight="1">
      <c r="A922" s="339"/>
      <c r="B922" s="339"/>
      <c r="C922" s="341"/>
      <c r="D922" s="341"/>
      <c r="E922" s="341"/>
      <c r="F922" s="340"/>
      <c r="G922" s="339"/>
      <c r="H922" s="339"/>
      <c r="I922" s="339"/>
      <c r="J922" s="341"/>
      <c r="K922" s="340"/>
      <c r="L922" s="341"/>
      <c r="M922" s="340"/>
      <c r="N922" s="339"/>
      <c r="O922" s="339"/>
      <c r="P922" s="339"/>
      <c r="Q922" s="339"/>
      <c r="R922" s="339"/>
      <c r="S922" s="339"/>
      <c r="T922" s="339"/>
      <c r="U922" s="339"/>
      <c r="V922" s="339"/>
      <c r="W922" s="339"/>
      <c r="X922" s="339"/>
      <c r="Y922" s="339"/>
      <c r="Z922" s="339"/>
      <c r="AA922" s="339"/>
      <c r="AB922" s="341"/>
      <c r="AC922" s="341"/>
      <c r="AD922" s="341"/>
      <c r="AE922" s="339"/>
      <c r="AF922" s="339"/>
      <c r="AG922" s="341"/>
      <c r="AH922" s="339"/>
      <c r="AI922" s="341"/>
      <c r="AJ922" s="339"/>
      <c r="AK922" s="341"/>
      <c r="AL922" s="341"/>
      <c r="AM922" s="339"/>
      <c r="AN922" s="339"/>
      <c r="AO922" s="339"/>
      <c r="AP922" s="339"/>
      <c r="AQ922" s="339"/>
      <c r="AR922" s="339"/>
      <c r="AS922" s="339"/>
    </row>
    <row r="923" spans="1:45" ht="15.75" customHeight="1">
      <c r="A923" s="339"/>
      <c r="B923" s="339"/>
      <c r="C923" s="341"/>
      <c r="D923" s="341"/>
      <c r="E923" s="341"/>
      <c r="F923" s="340"/>
      <c r="G923" s="339"/>
      <c r="H923" s="339"/>
      <c r="I923" s="339"/>
      <c r="J923" s="341"/>
      <c r="K923" s="340"/>
      <c r="L923" s="341"/>
      <c r="M923" s="340"/>
      <c r="N923" s="339"/>
      <c r="O923" s="339"/>
      <c r="P923" s="339"/>
      <c r="Q923" s="339"/>
      <c r="R923" s="339"/>
      <c r="S923" s="339"/>
      <c r="T923" s="339"/>
      <c r="U923" s="339"/>
      <c r="V923" s="339"/>
      <c r="W923" s="339"/>
      <c r="X923" s="339"/>
      <c r="Y923" s="339"/>
      <c r="Z923" s="339"/>
      <c r="AA923" s="339"/>
      <c r="AB923" s="341"/>
      <c r="AC923" s="341"/>
      <c r="AD923" s="341"/>
      <c r="AE923" s="339"/>
      <c r="AF923" s="339"/>
      <c r="AG923" s="341"/>
      <c r="AH923" s="339"/>
      <c r="AI923" s="341"/>
      <c r="AJ923" s="339"/>
      <c r="AK923" s="341"/>
      <c r="AL923" s="341"/>
      <c r="AM923" s="339"/>
      <c r="AN923" s="339"/>
      <c r="AO923" s="339"/>
      <c r="AP923" s="339"/>
      <c r="AQ923" s="339"/>
      <c r="AR923" s="339"/>
      <c r="AS923" s="339"/>
    </row>
    <row r="924" spans="1:45" ht="15.75" customHeight="1">
      <c r="A924" s="339"/>
      <c r="B924" s="339"/>
      <c r="C924" s="341"/>
      <c r="D924" s="341"/>
      <c r="E924" s="341"/>
      <c r="F924" s="340"/>
      <c r="G924" s="339"/>
      <c r="H924" s="339"/>
      <c r="I924" s="339"/>
      <c r="J924" s="341"/>
      <c r="K924" s="340"/>
      <c r="L924" s="341"/>
      <c r="M924" s="340"/>
      <c r="N924" s="339"/>
      <c r="O924" s="339"/>
      <c r="P924" s="339"/>
      <c r="Q924" s="339"/>
      <c r="R924" s="339"/>
      <c r="S924" s="339"/>
      <c r="T924" s="339"/>
      <c r="U924" s="339"/>
      <c r="V924" s="339"/>
      <c r="W924" s="339"/>
      <c r="X924" s="339"/>
      <c r="Y924" s="339"/>
      <c r="Z924" s="339"/>
      <c r="AA924" s="339"/>
      <c r="AB924" s="341"/>
      <c r="AC924" s="341"/>
      <c r="AD924" s="341"/>
      <c r="AE924" s="339"/>
      <c r="AF924" s="339"/>
      <c r="AG924" s="341"/>
      <c r="AH924" s="339"/>
      <c r="AI924" s="341"/>
      <c r="AJ924" s="339"/>
      <c r="AK924" s="341"/>
      <c r="AL924" s="341"/>
      <c r="AM924" s="339"/>
      <c r="AN924" s="339"/>
      <c r="AO924" s="339"/>
      <c r="AP924" s="339"/>
      <c r="AQ924" s="339"/>
      <c r="AR924" s="339"/>
      <c r="AS924" s="339"/>
    </row>
    <row r="925" spans="1:45" ht="15.75" customHeight="1">
      <c r="A925" s="339"/>
      <c r="B925" s="339"/>
      <c r="C925" s="341"/>
      <c r="D925" s="341"/>
      <c r="E925" s="341"/>
      <c r="F925" s="340"/>
      <c r="G925" s="339"/>
      <c r="H925" s="339"/>
      <c r="I925" s="339"/>
      <c r="J925" s="341"/>
      <c r="K925" s="340"/>
      <c r="L925" s="341"/>
      <c r="M925" s="340"/>
      <c r="N925" s="339"/>
      <c r="O925" s="339"/>
      <c r="P925" s="339"/>
      <c r="Q925" s="339"/>
      <c r="R925" s="339"/>
      <c r="S925" s="339"/>
      <c r="T925" s="339"/>
      <c r="U925" s="339"/>
      <c r="V925" s="339"/>
      <c r="W925" s="339"/>
      <c r="X925" s="339"/>
      <c r="Y925" s="339"/>
      <c r="Z925" s="339"/>
      <c r="AA925" s="339"/>
      <c r="AB925" s="341"/>
      <c r="AC925" s="341"/>
      <c r="AD925" s="341"/>
      <c r="AE925" s="339"/>
      <c r="AF925" s="339"/>
      <c r="AG925" s="341"/>
      <c r="AH925" s="339"/>
      <c r="AI925" s="341"/>
      <c r="AJ925" s="339"/>
      <c r="AK925" s="341"/>
      <c r="AL925" s="341"/>
      <c r="AM925" s="339"/>
      <c r="AN925" s="339"/>
      <c r="AO925" s="339"/>
      <c r="AP925" s="339"/>
      <c r="AQ925" s="339"/>
      <c r="AR925" s="339"/>
      <c r="AS925" s="339"/>
    </row>
    <row r="926" spans="1:45" ht="15.75" customHeight="1">
      <c r="A926" s="339"/>
      <c r="B926" s="339"/>
      <c r="C926" s="341"/>
      <c r="D926" s="341"/>
      <c r="E926" s="341"/>
      <c r="F926" s="340"/>
      <c r="G926" s="339"/>
      <c r="H926" s="339"/>
      <c r="I926" s="339"/>
      <c r="J926" s="341"/>
      <c r="K926" s="340"/>
      <c r="L926" s="341"/>
      <c r="M926" s="340"/>
      <c r="N926" s="339"/>
      <c r="O926" s="339"/>
      <c r="P926" s="339"/>
      <c r="Q926" s="339"/>
      <c r="R926" s="339"/>
      <c r="S926" s="339"/>
      <c r="T926" s="339"/>
      <c r="U926" s="339"/>
      <c r="V926" s="339"/>
      <c r="W926" s="339"/>
      <c r="X926" s="339"/>
      <c r="Y926" s="339"/>
      <c r="Z926" s="339"/>
      <c r="AA926" s="339"/>
      <c r="AB926" s="341"/>
      <c r="AC926" s="341"/>
      <c r="AD926" s="341"/>
      <c r="AE926" s="339"/>
      <c r="AF926" s="339"/>
      <c r="AG926" s="341"/>
      <c r="AH926" s="339"/>
      <c r="AI926" s="341"/>
      <c r="AJ926" s="339"/>
      <c r="AK926" s="341"/>
      <c r="AL926" s="341"/>
      <c r="AM926" s="339"/>
      <c r="AN926" s="339"/>
      <c r="AO926" s="339"/>
      <c r="AP926" s="339"/>
      <c r="AQ926" s="339"/>
      <c r="AR926" s="339"/>
      <c r="AS926" s="339"/>
    </row>
    <row r="927" spans="1:45" ht="15.75" customHeight="1">
      <c r="A927" s="339"/>
      <c r="B927" s="339"/>
      <c r="C927" s="341"/>
      <c r="D927" s="341"/>
      <c r="E927" s="341"/>
      <c r="F927" s="340"/>
      <c r="G927" s="339"/>
      <c r="H927" s="339"/>
      <c r="I927" s="339"/>
      <c r="J927" s="341"/>
      <c r="K927" s="340"/>
      <c r="L927" s="341"/>
      <c r="M927" s="340"/>
      <c r="N927" s="339"/>
      <c r="O927" s="339"/>
      <c r="P927" s="339"/>
      <c r="Q927" s="339"/>
      <c r="R927" s="339"/>
      <c r="S927" s="339"/>
      <c r="T927" s="339"/>
      <c r="U927" s="339"/>
      <c r="V927" s="339"/>
      <c r="W927" s="339"/>
      <c r="X927" s="339"/>
      <c r="Y927" s="339"/>
      <c r="Z927" s="339"/>
      <c r="AA927" s="339"/>
      <c r="AB927" s="341"/>
      <c r="AC927" s="341"/>
      <c r="AD927" s="341"/>
      <c r="AE927" s="339"/>
      <c r="AF927" s="339"/>
      <c r="AG927" s="341"/>
      <c r="AH927" s="339"/>
      <c r="AI927" s="341"/>
      <c r="AJ927" s="339"/>
      <c r="AK927" s="341"/>
      <c r="AL927" s="341"/>
      <c r="AM927" s="339"/>
      <c r="AN927" s="339"/>
      <c r="AO927" s="339"/>
      <c r="AP927" s="339"/>
      <c r="AQ927" s="339"/>
      <c r="AR927" s="339"/>
      <c r="AS927" s="339"/>
    </row>
    <row r="928" spans="1:45" ht="15.75" customHeight="1">
      <c r="A928" s="339"/>
      <c r="B928" s="339"/>
      <c r="C928" s="341"/>
      <c r="D928" s="341"/>
      <c r="E928" s="341"/>
      <c r="F928" s="340"/>
      <c r="G928" s="339"/>
      <c r="H928" s="339"/>
      <c r="I928" s="339"/>
      <c r="J928" s="341"/>
      <c r="K928" s="340"/>
      <c r="L928" s="341"/>
      <c r="M928" s="340"/>
      <c r="N928" s="339"/>
      <c r="O928" s="339"/>
      <c r="P928" s="339"/>
      <c r="Q928" s="339"/>
      <c r="R928" s="339"/>
      <c r="S928" s="339"/>
      <c r="T928" s="339"/>
      <c r="U928" s="339"/>
      <c r="V928" s="339"/>
      <c r="W928" s="339"/>
      <c r="X928" s="339"/>
      <c r="Y928" s="339"/>
      <c r="Z928" s="339"/>
      <c r="AA928" s="339"/>
      <c r="AB928" s="341"/>
      <c r="AC928" s="341"/>
      <c r="AD928" s="341"/>
      <c r="AE928" s="339"/>
      <c r="AF928" s="339"/>
      <c r="AG928" s="341"/>
      <c r="AH928" s="339"/>
      <c r="AI928" s="341"/>
      <c r="AJ928" s="339"/>
      <c r="AK928" s="341"/>
      <c r="AL928" s="341"/>
      <c r="AM928" s="339"/>
      <c r="AN928" s="339"/>
      <c r="AO928" s="339"/>
      <c r="AP928" s="339"/>
      <c r="AQ928" s="339"/>
      <c r="AR928" s="339"/>
      <c r="AS928" s="339"/>
    </row>
    <row r="929" spans="1:45" ht="15.75" customHeight="1">
      <c r="A929" s="339"/>
      <c r="B929" s="339"/>
      <c r="C929" s="341"/>
      <c r="D929" s="341"/>
      <c r="E929" s="341"/>
      <c r="F929" s="340"/>
      <c r="G929" s="339"/>
      <c r="H929" s="339"/>
      <c r="I929" s="339"/>
      <c r="J929" s="341"/>
      <c r="K929" s="340"/>
      <c r="L929" s="341"/>
      <c r="M929" s="340"/>
      <c r="N929" s="339"/>
      <c r="O929" s="339"/>
      <c r="P929" s="339"/>
      <c r="Q929" s="339"/>
      <c r="R929" s="339"/>
      <c r="S929" s="339"/>
      <c r="T929" s="339"/>
      <c r="U929" s="339"/>
      <c r="V929" s="339"/>
      <c r="W929" s="339"/>
      <c r="X929" s="339"/>
      <c r="Y929" s="339"/>
      <c r="Z929" s="339"/>
      <c r="AA929" s="339"/>
      <c r="AB929" s="341"/>
      <c r="AC929" s="341"/>
      <c r="AD929" s="341"/>
      <c r="AE929" s="339"/>
      <c r="AF929" s="339"/>
      <c r="AG929" s="341"/>
      <c r="AH929" s="339"/>
      <c r="AI929" s="341"/>
      <c r="AJ929" s="339"/>
      <c r="AK929" s="341"/>
      <c r="AL929" s="341"/>
      <c r="AM929" s="339"/>
      <c r="AN929" s="339"/>
      <c r="AO929" s="339"/>
      <c r="AP929" s="339"/>
      <c r="AQ929" s="339"/>
      <c r="AR929" s="339"/>
      <c r="AS929" s="339"/>
    </row>
    <row r="930" spans="1:45" ht="15.75" customHeight="1">
      <c r="A930" s="339"/>
      <c r="B930" s="339"/>
      <c r="C930" s="341"/>
      <c r="D930" s="341"/>
      <c r="E930" s="341"/>
      <c r="F930" s="340"/>
      <c r="G930" s="339"/>
      <c r="H930" s="339"/>
      <c r="I930" s="339"/>
      <c r="J930" s="341"/>
      <c r="K930" s="340"/>
      <c r="L930" s="341"/>
      <c r="M930" s="340"/>
      <c r="N930" s="339"/>
      <c r="O930" s="339"/>
      <c r="P930" s="339"/>
      <c r="Q930" s="339"/>
      <c r="R930" s="339"/>
      <c r="S930" s="339"/>
      <c r="T930" s="339"/>
      <c r="U930" s="339"/>
      <c r="V930" s="339"/>
      <c r="W930" s="339"/>
      <c r="X930" s="339"/>
      <c r="Y930" s="339"/>
      <c r="Z930" s="339"/>
      <c r="AA930" s="339"/>
      <c r="AB930" s="341"/>
      <c r="AC930" s="341"/>
      <c r="AD930" s="341"/>
      <c r="AE930" s="339"/>
      <c r="AF930" s="339"/>
      <c r="AG930" s="341"/>
      <c r="AH930" s="339"/>
      <c r="AI930" s="341"/>
      <c r="AJ930" s="339"/>
      <c r="AK930" s="341"/>
      <c r="AL930" s="341"/>
      <c r="AM930" s="339"/>
      <c r="AN930" s="339"/>
      <c r="AO930" s="339"/>
      <c r="AP930" s="339"/>
      <c r="AQ930" s="339"/>
      <c r="AR930" s="339"/>
      <c r="AS930" s="339"/>
    </row>
    <row r="931" spans="1:45" ht="15.75" customHeight="1">
      <c r="A931" s="339"/>
      <c r="B931" s="339"/>
      <c r="C931" s="341"/>
      <c r="D931" s="341"/>
      <c r="E931" s="341"/>
      <c r="F931" s="340"/>
      <c r="G931" s="339"/>
      <c r="H931" s="339"/>
      <c r="I931" s="339"/>
      <c r="J931" s="341"/>
      <c r="K931" s="340"/>
      <c r="L931" s="341"/>
      <c r="M931" s="340"/>
      <c r="N931" s="339"/>
      <c r="O931" s="339"/>
      <c r="P931" s="339"/>
      <c r="Q931" s="339"/>
      <c r="R931" s="339"/>
      <c r="S931" s="339"/>
      <c r="T931" s="339"/>
      <c r="U931" s="339"/>
      <c r="V931" s="339"/>
      <c r="W931" s="339"/>
      <c r="X931" s="339"/>
      <c r="Y931" s="339"/>
      <c r="Z931" s="339"/>
      <c r="AA931" s="339"/>
      <c r="AB931" s="341"/>
      <c r="AC931" s="341"/>
      <c r="AD931" s="341"/>
      <c r="AE931" s="339"/>
      <c r="AF931" s="339"/>
      <c r="AG931" s="341"/>
      <c r="AH931" s="339"/>
      <c r="AI931" s="341"/>
      <c r="AJ931" s="339"/>
      <c r="AK931" s="341"/>
      <c r="AL931" s="341"/>
      <c r="AM931" s="339"/>
      <c r="AN931" s="339"/>
      <c r="AO931" s="339"/>
      <c r="AP931" s="339"/>
      <c r="AQ931" s="339"/>
      <c r="AR931" s="339"/>
      <c r="AS931" s="339"/>
    </row>
    <row r="932" spans="1:45" ht="15.75" customHeight="1">
      <c r="A932" s="339"/>
      <c r="B932" s="339"/>
      <c r="C932" s="341"/>
      <c r="D932" s="341"/>
      <c r="E932" s="341"/>
      <c r="F932" s="340"/>
      <c r="G932" s="339"/>
      <c r="H932" s="339"/>
      <c r="I932" s="339"/>
      <c r="J932" s="341"/>
      <c r="K932" s="340"/>
      <c r="L932" s="341"/>
      <c r="M932" s="340"/>
      <c r="N932" s="339"/>
      <c r="O932" s="339"/>
      <c r="P932" s="339"/>
      <c r="Q932" s="339"/>
      <c r="R932" s="339"/>
      <c r="S932" s="339"/>
      <c r="T932" s="339"/>
      <c r="U932" s="339"/>
      <c r="V932" s="339"/>
      <c r="W932" s="339"/>
      <c r="X932" s="339"/>
      <c r="Y932" s="339"/>
      <c r="Z932" s="339"/>
      <c r="AA932" s="339"/>
      <c r="AB932" s="341"/>
      <c r="AC932" s="341"/>
      <c r="AD932" s="341"/>
      <c r="AE932" s="339"/>
      <c r="AF932" s="339"/>
      <c r="AG932" s="341"/>
      <c r="AH932" s="339"/>
      <c r="AI932" s="341"/>
      <c r="AJ932" s="339"/>
      <c r="AK932" s="341"/>
      <c r="AL932" s="341"/>
      <c r="AM932" s="339"/>
      <c r="AN932" s="339"/>
      <c r="AO932" s="339"/>
      <c r="AP932" s="339"/>
      <c r="AQ932" s="339"/>
      <c r="AR932" s="339"/>
      <c r="AS932" s="339"/>
    </row>
    <row r="933" spans="1:45" ht="15.75" customHeight="1">
      <c r="A933" s="339"/>
      <c r="B933" s="339"/>
      <c r="C933" s="341"/>
      <c r="D933" s="341"/>
      <c r="E933" s="341"/>
      <c r="F933" s="340"/>
      <c r="G933" s="339"/>
      <c r="H933" s="339"/>
      <c r="I933" s="339"/>
      <c r="J933" s="341"/>
      <c r="K933" s="340"/>
      <c r="L933" s="341"/>
      <c r="M933" s="340"/>
      <c r="N933" s="339"/>
      <c r="O933" s="339"/>
      <c r="P933" s="339"/>
      <c r="Q933" s="339"/>
      <c r="R933" s="339"/>
      <c r="S933" s="339"/>
      <c r="T933" s="339"/>
      <c r="U933" s="339"/>
      <c r="V933" s="339"/>
      <c r="W933" s="339"/>
      <c r="X933" s="339"/>
      <c r="Y933" s="339"/>
      <c r="Z933" s="339"/>
      <c r="AA933" s="339"/>
      <c r="AB933" s="341"/>
      <c r="AC933" s="341"/>
      <c r="AD933" s="341"/>
      <c r="AE933" s="339"/>
      <c r="AF933" s="339"/>
      <c r="AG933" s="341"/>
      <c r="AH933" s="339"/>
      <c r="AI933" s="341"/>
      <c r="AJ933" s="339"/>
      <c r="AK933" s="341"/>
      <c r="AL933" s="341"/>
      <c r="AM933" s="339"/>
      <c r="AN933" s="339"/>
      <c r="AO933" s="339"/>
      <c r="AP933" s="339"/>
      <c r="AQ933" s="339"/>
      <c r="AR933" s="339"/>
      <c r="AS933" s="339"/>
    </row>
    <row r="934" spans="1:45" ht="15.75" customHeight="1">
      <c r="A934" s="339"/>
      <c r="B934" s="339"/>
      <c r="C934" s="341"/>
      <c r="D934" s="341"/>
      <c r="E934" s="341"/>
      <c r="F934" s="340"/>
      <c r="G934" s="339"/>
      <c r="H934" s="339"/>
      <c r="I934" s="339"/>
      <c r="J934" s="341"/>
      <c r="K934" s="340"/>
      <c r="L934" s="341"/>
      <c r="M934" s="340"/>
      <c r="N934" s="339"/>
      <c r="O934" s="339"/>
      <c r="P934" s="339"/>
      <c r="Q934" s="339"/>
      <c r="R934" s="339"/>
      <c r="S934" s="339"/>
      <c r="T934" s="339"/>
      <c r="U934" s="339"/>
      <c r="V934" s="339"/>
      <c r="W934" s="339"/>
      <c r="X934" s="339"/>
      <c r="Y934" s="339"/>
      <c r="Z934" s="339"/>
      <c r="AA934" s="339"/>
      <c r="AB934" s="341"/>
      <c r="AC934" s="341"/>
      <c r="AD934" s="341"/>
      <c r="AE934" s="339"/>
      <c r="AF934" s="339"/>
      <c r="AG934" s="341"/>
      <c r="AH934" s="339"/>
      <c r="AI934" s="341"/>
      <c r="AJ934" s="339"/>
      <c r="AK934" s="341"/>
      <c r="AL934" s="341"/>
      <c r="AM934" s="339"/>
      <c r="AN934" s="339"/>
      <c r="AO934" s="339"/>
      <c r="AP934" s="339"/>
      <c r="AQ934" s="339"/>
      <c r="AR934" s="339"/>
      <c r="AS934" s="339"/>
    </row>
    <row r="935" spans="1:45" ht="15.75" customHeight="1">
      <c r="A935" s="339"/>
      <c r="B935" s="339"/>
      <c r="C935" s="341"/>
      <c r="D935" s="341"/>
      <c r="E935" s="341"/>
      <c r="F935" s="340"/>
      <c r="G935" s="339"/>
      <c r="H935" s="339"/>
      <c r="I935" s="339"/>
      <c r="J935" s="341"/>
      <c r="K935" s="340"/>
      <c r="L935" s="341"/>
      <c r="M935" s="340"/>
      <c r="N935" s="339"/>
      <c r="O935" s="339"/>
      <c r="P935" s="339"/>
      <c r="Q935" s="339"/>
      <c r="R935" s="339"/>
      <c r="S935" s="339"/>
      <c r="T935" s="339"/>
      <c r="U935" s="339"/>
      <c r="V935" s="339"/>
      <c r="W935" s="339"/>
      <c r="X935" s="339"/>
      <c r="Y935" s="339"/>
      <c r="Z935" s="339"/>
      <c r="AA935" s="339"/>
      <c r="AB935" s="341"/>
      <c r="AC935" s="341"/>
      <c r="AD935" s="341"/>
      <c r="AE935" s="339"/>
      <c r="AF935" s="339"/>
      <c r="AG935" s="341"/>
      <c r="AH935" s="339"/>
      <c r="AI935" s="341"/>
      <c r="AJ935" s="339"/>
      <c r="AK935" s="341"/>
      <c r="AL935" s="341"/>
      <c r="AM935" s="339"/>
      <c r="AN935" s="339"/>
      <c r="AO935" s="339"/>
      <c r="AP935" s="339"/>
      <c r="AQ935" s="339"/>
      <c r="AR935" s="339"/>
      <c r="AS935" s="339"/>
    </row>
    <row r="936" spans="1:45" ht="15.75" customHeight="1">
      <c r="A936" s="339"/>
      <c r="B936" s="339"/>
      <c r="C936" s="341"/>
      <c r="D936" s="341"/>
      <c r="E936" s="341"/>
      <c r="F936" s="340"/>
      <c r="G936" s="339"/>
      <c r="H936" s="339"/>
      <c r="I936" s="339"/>
      <c r="J936" s="341"/>
      <c r="K936" s="340"/>
      <c r="L936" s="341"/>
      <c r="M936" s="340"/>
      <c r="N936" s="339"/>
      <c r="O936" s="339"/>
      <c r="P936" s="339"/>
      <c r="Q936" s="339"/>
      <c r="R936" s="339"/>
      <c r="S936" s="339"/>
      <c r="T936" s="339"/>
      <c r="U936" s="339"/>
      <c r="V936" s="339"/>
      <c r="W936" s="339"/>
      <c r="X936" s="339"/>
      <c r="Y936" s="339"/>
      <c r="Z936" s="339"/>
      <c r="AA936" s="339"/>
      <c r="AB936" s="341"/>
      <c r="AC936" s="341"/>
      <c r="AD936" s="341"/>
      <c r="AE936" s="339"/>
      <c r="AF936" s="339"/>
      <c r="AG936" s="341"/>
      <c r="AH936" s="339"/>
      <c r="AI936" s="341"/>
      <c r="AJ936" s="339"/>
      <c r="AK936" s="341"/>
      <c r="AL936" s="341"/>
      <c r="AM936" s="339"/>
      <c r="AN936" s="339"/>
      <c r="AO936" s="339"/>
      <c r="AP936" s="339"/>
      <c r="AQ936" s="339"/>
      <c r="AR936" s="339"/>
      <c r="AS936" s="339"/>
    </row>
    <row r="937" spans="1:45" ht="15.75" customHeight="1">
      <c r="A937" s="339"/>
      <c r="B937" s="339"/>
      <c r="C937" s="341"/>
      <c r="D937" s="341"/>
      <c r="E937" s="341"/>
      <c r="F937" s="340"/>
      <c r="G937" s="339"/>
      <c r="H937" s="339"/>
      <c r="I937" s="339"/>
      <c r="J937" s="341"/>
      <c r="K937" s="340"/>
      <c r="L937" s="341"/>
      <c r="M937" s="340"/>
      <c r="N937" s="339"/>
      <c r="O937" s="339"/>
      <c r="P937" s="339"/>
      <c r="Q937" s="339"/>
      <c r="R937" s="339"/>
      <c r="S937" s="339"/>
      <c r="T937" s="339"/>
      <c r="U937" s="339"/>
      <c r="V937" s="339"/>
      <c r="W937" s="339"/>
      <c r="X937" s="339"/>
      <c r="Y937" s="339"/>
      <c r="Z937" s="339"/>
      <c r="AA937" s="339"/>
      <c r="AB937" s="341"/>
      <c r="AC937" s="341"/>
      <c r="AD937" s="341"/>
      <c r="AE937" s="339"/>
      <c r="AF937" s="339"/>
      <c r="AG937" s="341"/>
      <c r="AH937" s="339"/>
      <c r="AI937" s="341"/>
      <c r="AJ937" s="339"/>
      <c r="AK937" s="341"/>
      <c r="AL937" s="341"/>
      <c r="AM937" s="339"/>
      <c r="AN937" s="339"/>
      <c r="AO937" s="339"/>
      <c r="AP937" s="339"/>
      <c r="AQ937" s="339"/>
      <c r="AR937" s="339"/>
      <c r="AS937" s="339"/>
    </row>
    <row r="938" spans="1:45" ht="15.75" customHeight="1">
      <c r="A938" s="339"/>
      <c r="B938" s="339"/>
      <c r="C938" s="341"/>
      <c r="D938" s="341"/>
      <c r="E938" s="341"/>
      <c r="F938" s="340"/>
      <c r="G938" s="339"/>
      <c r="H938" s="339"/>
      <c r="I938" s="339"/>
      <c r="J938" s="341"/>
      <c r="K938" s="340"/>
      <c r="L938" s="341"/>
      <c r="M938" s="340"/>
      <c r="N938" s="339"/>
      <c r="O938" s="339"/>
      <c r="P938" s="339"/>
      <c r="Q938" s="339"/>
      <c r="R938" s="339"/>
      <c r="S938" s="339"/>
      <c r="T938" s="339"/>
      <c r="U938" s="339"/>
      <c r="V938" s="339"/>
      <c r="W938" s="339"/>
      <c r="X938" s="339"/>
      <c r="Y938" s="339"/>
      <c r="Z938" s="339"/>
      <c r="AA938" s="339"/>
      <c r="AB938" s="341"/>
      <c r="AC938" s="341"/>
      <c r="AD938" s="341"/>
      <c r="AE938" s="339"/>
      <c r="AF938" s="339"/>
      <c r="AG938" s="341"/>
      <c r="AH938" s="339"/>
      <c r="AI938" s="341"/>
      <c r="AJ938" s="339"/>
      <c r="AK938" s="341"/>
      <c r="AL938" s="341"/>
      <c r="AM938" s="339"/>
      <c r="AN938" s="339"/>
      <c r="AO938" s="339"/>
      <c r="AP938" s="339"/>
      <c r="AQ938" s="339"/>
      <c r="AR938" s="339"/>
      <c r="AS938" s="339"/>
    </row>
    <row r="939" spans="1:45" ht="15.75" customHeight="1">
      <c r="A939" s="339"/>
      <c r="B939" s="339"/>
      <c r="C939" s="341"/>
      <c r="D939" s="341"/>
      <c r="E939" s="341"/>
      <c r="F939" s="340"/>
      <c r="G939" s="339"/>
      <c r="H939" s="339"/>
      <c r="I939" s="339"/>
      <c r="J939" s="341"/>
      <c r="K939" s="340"/>
      <c r="L939" s="341"/>
      <c r="M939" s="340"/>
      <c r="N939" s="339"/>
      <c r="O939" s="339"/>
      <c r="P939" s="339"/>
      <c r="Q939" s="339"/>
      <c r="R939" s="339"/>
      <c r="S939" s="339"/>
      <c r="T939" s="339"/>
      <c r="U939" s="339"/>
      <c r="V939" s="339"/>
      <c r="W939" s="339"/>
      <c r="X939" s="339"/>
      <c r="Y939" s="339"/>
      <c r="Z939" s="339"/>
      <c r="AA939" s="339"/>
      <c r="AB939" s="341"/>
      <c r="AC939" s="341"/>
      <c r="AD939" s="341"/>
      <c r="AE939" s="339"/>
      <c r="AF939" s="339"/>
      <c r="AG939" s="341"/>
      <c r="AH939" s="339"/>
      <c r="AI939" s="341"/>
      <c r="AJ939" s="339"/>
      <c r="AK939" s="341"/>
      <c r="AL939" s="341"/>
      <c r="AM939" s="339"/>
      <c r="AN939" s="339"/>
      <c r="AO939" s="339"/>
      <c r="AP939" s="339"/>
      <c r="AQ939" s="339"/>
      <c r="AR939" s="339"/>
      <c r="AS939" s="339"/>
    </row>
    <row r="940" spans="1:45" ht="15.75" customHeight="1">
      <c r="A940" s="339"/>
      <c r="B940" s="339"/>
      <c r="C940" s="341"/>
      <c r="D940" s="341"/>
      <c r="E940" s="341"/>
      <c r="F940" s="340"/>
      <c r="G940" s="339"/>
      <c r="H940" s="339"/>
      <c r="I940" s="339"/>
      <c r="J940" s="341"/>
      <c r="K940" s="340"/>
      <c r="L940" s="341"/>
      <c r="M940" s="340"/>
      <c r="N940" s="339"/>
      <c r="O940" s="339"/>
      <c r="P940" s="339"/>
      <c r="Q940" s="339"/>
      <c r="R940" s="339"/>
      <c r="S940" s="339"/>
      <c r="T940" s="339"/>
      <c r="U940" s="339"/>
      <c r="V940" s="339"/>
      <c r="W940" s="339"/>
      <c r="X940" s="339"/>
      <c r="Y940" s="339"/>
      <c r="Z940" s="339"/>
      <c r="AA940" s="339"/>
      <c r="AB940" s="341"/>
      <c r="AC940" s="341"/>
      <c r="AD940" s="341"/>
      <c r="AE940" s="339"/>
      <c r="AF940" s="339"/>
      <c r="AG940" s="341"/>
      <c r="AH940" s="339"/>
      <c r="AI940" s="341"/>
      <c r="AJ940" s="339"/>
      <c r="AK940" s="341"/>
      <c r="AL940" s="341"/>
      <c r="AM940" s="339"/>
      <c r="AN940" s="339"/>
      <c r="AO940" s="339"/>
      <c r="AP940" s="339"/>
      <c r="AQ940" s="339"/>
      <c r="AR940" s="339"/>
      <c r="AS940" s="339"/>
    </row>
    <row r="941" spans="1:45" ht="15.75" customHeight="1">
      <c r="A941" s="339"/>
      <c r="B941" s="339"/>
      <c r="C941" s="341"/>
      <c r="D941" s="341"/>
      <c r="E941" s="341"/>
      <c r="F941" s="340"/>
      <c r="G941" s="339"/>
      <c r="H941" s="339"/>
      <c r="I941" s="339"/>
      <c r="J941" s="341"/>
      <c r="K941" s="340"/>
      <c r="L941" s="341"/>
      <c r="M941" s="340"/>
      <c r="N941" s="339"/>
      <c r="O941" s="339"/>
      <c r="P941" s="339"/>
      <c r="Q941" s="339"/>
      <c r="R941" s="339"/>
      <c r="S941" s="339"/>
      <c r="T941" s="339"/>
      <c r="U941" s="339"/>
      <c r="V941" s="339"/>
      <c r="W941" s="339"/>
      <c r="X941" s="339"/>
      <c r="Y941" s="339"/>
      <c r="Z941" s="339"/>
      <c r="AA941" s="339"/>
      <c r="AB941" s="341"/>
      <c r="AC941" s="341"/>
      <c r="AD941" s="341"/>
      <c r="AE941" s="339"/>
      <c r="AF941" s="339"/>
      <c r="AG941" s="341"/>
      <c r="AH941" s="339"/>
      <c r="AI941" s="341"/>
      <c r="AJ941" s="339"/>
      <c r="AK941" s="341"/>
      <c r="AL941" s="341"/>
      <c r="AM941" s="339"/>
      <c r="AN941" s="339"/>
      <c r="AO941" s="339"/>
      <c r="AP941" s="339"/>
      <c r="AQ941" s="339"/>
      <c r="AR941" s="339"/>
      <c r="AS941" s="339"/>
    </row>
    <row r="942" spans="1:45" ht="15.75" customHeight="1">
      <c r="A942" s="339"/>
      <c r="B942" s="339"/>
      <c r="C942" s="341"/>
      <c r="D942" s="341"/>
      <c r="E942" s="341"/>
      <c r="F942" s="340"/>
      <c r="G942" s="339"/>
      <c r="H942" s="339"/>
      <c r="I942" s="339"/>
      <c r="J942" s="341"/>
      <c r="K942" s="340"/>
      <c r="L942" s="341"/>
      <c r="M942" s="340"/>
      <c r="N942" s="339"/>
      <c r="O942" s="339"/>
      <c r="P942" s="339"/>
      <c r="Q942" s="339"/>
      <c r="R942" s="339"/>
      <c r="S942" s="339"/>
      <c r="T942" s="339"/>
      <c r="U942" s="339"/>
      <c r="V942" s="339"/>
      <c r="W942" s="339"/>
      <c r="X942" s="339"/>
      <c r="Y942" s="339"/>
      <c r="Z942" s="339"/>
      <c r="AA942" s="339"/>
      <c r="AB942" s="341"/>
      <c r="AC942" s="341"/>
      <c r="AD942" s="341"/>
      <c r="AE942" s="339"/>
      <c r="AF942" s="339"/>
      <c r="AG942" s="341"/>
      <c r="AH942" s="339"/>
      <c r="AI942" s="341"/>
      <c r="AJ942" s="339"/>
      <c r="AK942" s="341"/>
      <c r="AL942" s="341"/>
      <c r="AM942" s="339"/>
      <c r="AN942" s="339"/>
      <c r="AO942" s="339"/>
      <c r="AP942" s="339"/>
      <c r="AQ942" s="339"/>
      <c r="AR942" s="339"/>
      <c r="AS942" s="339"/>
    </row>
    <row r="943" spans="1:45" ht="15.75" customHeight="1">
      <c r="A943" s="339"/>
      <c r="B943" s="339"/>
      <c r="C943" s="341"/>
      <c r="D943" s="341"/>
      <c r="E943" s="341"/>
      <c r="F943" s="340"/>
      <c r="G943" s="339"/>
      <c r="H943" s="339"/>
      <c r="I943" s="339"/>
      <c r="J943" s="341"/>
      <c r="K943" s="340"/>
      <c r="L943" s="341"/>
      <c r="M943" s="340"/>
      <c r="N943" s="339"/>
      <c r="O943" s="339"/>
      <c r="P943" s="339"/>
      <c r="Q943" s="339"/>
      <c r="R943" s="339"/>
      <c r="S943" s="339"/>
      <c r="T943" s="339"/>
      <c r="U943" s="339"/>
      <c r="V943" s="339"/>
      <c r="W943" s="339"/>
      <c r="X943" s="339"/>
      <c r="Y943" s="339"/>
      <c r="Z943" s="339"/>
      <c r="AA943" s="339"/>
      <c r="AB943" s="341"/>
      <c r="AC943" s="341"/>
      <c r="AD943" s="341"/>
      <c r="AE943" s="339"/>
      <c r="AF943" s="339"/>
      <c r="AG943" s="341"/>
      <c r="AH943" s="339"/>
      <c r="AI943" s="341"/>
      <c r="AJ943" s="339"/>
      <c r="AK943" s="341"/>
      <c r="AL943" s="341"/>
      <c r="AM943" s="339"/>
      <c r="AN943" s="339"/>
      <c r="AO943" s="339"/>
      <c r="AP943" s="339"/>
      <c r="AQ943" s="339"/>
      <c r="AR943" s="339"/>
      <c r="AS943" s="339"/>
    </row>
    <row r="944" spans="1:45" ht="15.75" customHeight="1">
      <c r="A944" s="339"/>
      <c r="B944" s="339"/>
      <c r="C944" s="341"/>
      <c r="D944" s="341"/>
      <c r="E944" s="341"/>
      <c r="F944" s="340"/>
      <c r="G944" s="339"/>
      <c r="H944" s="339"/>
      <c r="I944" s="339"/>
      <c r="J944" s="341"/>
      <c r="K944" s="340"/>
      <c r="L944" s="341"/>
      <c r="M944" s="340"/>
      <c r="N944" s="339"/>
      <c r="O944" s="339"/>
      <c r="P944" s="339"/>
      <c r="Q944" s="339"/>
      <c r="R944" s="339"/>
      <c r="S944" s="339"/>
      <c r="T944" s="339"/>
      <c r="U944" s="339"/>
      <c r="V944" s="339"/>
      <c r="W944" s="339"/>
      <c r="X944" s="339"/>
      <c r="Y944" s="339"/>
      <c r="Z944" s="339"/>
      <c r="AA944" s="339"/>
      <c r="AB944" s="341"/>
      <c r="AC944" s="341"/>
      <c r="AD944" s="341"/>
      <c r="AE944" s="339"/>
      <c r="AF944" s="339"/>
      <c r="AG944" s="341"/>
      <c r="AH944" s="339"/>
      <c r="AI944" s="341"/>
      <c r="AJ944" s="339"/>
      <c r="AK944" s="341"/>
      <c r="AL944" s="341"/>
      <c r="AM944" s="339"/>
      <c r="AN944" s="339"/>
      <c r="AO944" s="339"/>
      <c r="AP944" s="339"/>
      <c r="AQ944" s="339"/>
      <c r="AR944" s="339"/>
      <c r="AS944" s="339"/>
    </row>
    <row r="945" spans="1:45" ht="15.75" customHeight="1">
      <c r="A945" s="339"/>
      <c r="B945" s="339"/>
      <c r="C945" s="341"/>
      <c r="D945" s="341"/>
      <c r="E945" s="341"/>
      <c r="F945" s="340"/>
      <c r="G945" s="339"/>
      <c r="H945" s="339"/>
      <c r="I945" s="339"/>
      <c r="J945" s="341"/>
      <c r="K945" s="340"/>
      <c r="L945" s="341"/>
      <c r="M945" s="340"/>
      <c r="N945" s="339"/>
      <c r="O945" s="339"/>
      <c r="P945" s="339"/>
      <c r="Q945" s="339"/>
      <c r="R945" s="339"/>
      <c r="S945" s="339"/>
      <c r="T945" s="339"/>
      <c r="U945" s="339"/>
      <c r="V945" s="339"/>
      <c r="W945" s="339"/>
      <c r="X945" s="339"/>
      <c r="Y945" s="339"/>
      <c r="Z945" s="339"/>
      <c r="AA945" s="339"/>
      <c r="AB945" s="341"/>
      <c r="AC945" s="341"/>
      <c r="AD945" s="341"/>
      <c r="AE945" s="339"/>
      <c r="AF945" s="339"/>
      <c r="AG945" s="341"/>
      <c r="AH945" s="339"/>
      <c r="AI945" s="341"/>
      <c r="AJ945" s="339"/>
      <c r="AK945" s="341"/>
      <c r="AL945" s="341"/>
      <c r="AM945" s="339"/>
      <c r="AN945" s="339"/>
      <c r="AO945" s="339"/>
      <c r="AP945" s="339"/>
      <c r="AQ945" s="339"/>
      <c r="AR945" s="339"/>
      <c r="AS945" s="339"/>
    </row>
    <row r="946" spans="1:45" ht="15.75" customHeight="1">
      <c r="A946" s="339"/>
      <c r="B946" s="339"/>
      <c r="C946" s="341"/>
      <c r="D946" s="341"/>
      <c r="E946" s="341"/>
      <c r="F946" s="340"/>
      <c r="G946" s="339"/>
      <c r="H946" s="339"/>
      <c r="I946" s="339"/>
      <c r="J946" s="341"/>
      <c r="K946" s="340"/>
      <c r="L946" s="341"/>
      <c r="M946" s="340"/>
      <c r="N946" s="339"/>
      <c r="O946" s="339"/>
      <c r="P946" s="339"/>
      <c r="Q946" s="339"/>
      <c r="R946" s="339"/>
      <c r="S946" s="339"/>
      <c r="T946" s="339"/>
      <c r="U946" s="339"/>
      <c r="V946" s="339"/>
      <c r="W946" s="339"/>
      <c r="X946" s="339"/>
      <c r="Y946" s="339"/>
      <c r="Z946" s="339"/>
      <c r="AA946" s="339"/>
      <c r="AB946" s="341"/>
      <c r="AC946" s="341"/>
      <c r="AD946" s="341"/>
      <c r="AE946" s="339"/>
      <c r="AF946" s="339"/>
      <c r="AG946" s="341"/>
      <c r="AH946" s="339"/>
      <c r="AI946" s="341"/>
      <c r="AJ946" s="339"/>
      <c r="AK946" s="341"/>
      <c r="AL946" s="341"/>
      <c r="AM946" s="339"/>
      <c r="AN946" s="339"/>
      <c r="AO946" s="339"/>
      <c r="AP946" s="339"/>
      <c r="AQ946" s="339"/>
      <c r="AR946" s="339"/>
      <c r="AS946" s="339"/>
    </row>
    <row r="947" spans="1:45" ht="15.75" customHeight="1">
      <c r="A947" s="339"/>
      <c r="B947" s="339"/>
      <c r="C947" s="341"/>
      <c r="D947" s="341"/>
      <c r="E947" s="341"/>
      <c r="F947" s="340"/>
      <c r="G947" s="339"/>
      <c r="H947" s="339"/>
      <c r="I947" s="339"/>
      <c r="J947" s="341"/>
      <c r="K947" s="340"/>
      <c r="L947" s="341"/>
      <c r="M947" s="340"/>
      <c r="N947" s="339"/>
      <c r="O947" s="339"/>
      <c r="P947" s="339"/>
      <c r="Q947" s="339"/>
      <c r="R947" s="339"/>
      <c r="S947" s="339"/>
      <c r="T947" s="339"/>
      <c r="U947" s="339"/>
      <c r="V947" s="339"/>
      <c r="W947" s="339"/>
      <c r="X947" s="339"/>
      <c r="Y947" s="339"/>
      <c r="Z947" s="339"/>
      <c r="AA947" s="339"/>
      <c r="AB947" s="341"/>
      <c r="AC947" s="341"/>
      <c r="AD947" s="341"/>
      <c r="AE947" s="339"/>
      <c r="AF947" s="339"/>
      <c r="AG947" s="341"/>
      <c r="AH947" s="339"/>
      <c r="AI947" s="341"/>
      <c r="AJ947" s="339"/>
      <c r="AK947" s="341"/>
      <c r="AL947" s="341"/>
      <c r="AM947" s="339"/>
      <c r="AN947" s="339"/>
      <c r="AO947" s="339"/>
      <c r="AP947" s="339"/>
      <c r="AQ947" s="339"/>
      <c r="AR947" s="339"/>
      <c r="AS947" s="339"/>
    </row>
    <row r="948" spans="1:45" ht="15.75" customHeight="1">
      <c r="A948" s="339"/>
      <c r="B948" s="339"/>
      <c r="C948" s="341"/>
      <c r="D948" s="341"/>
      <c r="E948" s="341"/>
      <c r="F948" s="340"/>
      <c r="G948" s="339"/>
      <c r="H948" s="339"/>
      <c r="I948" s="339"/>
      <c r="J948" s="341"/>
      <c r="K948" s="340"/>
      <c r="L948" s="341"/>
      <c r="M948" s="340"/>
      <c r="N948" s="339"/>
      <c r="O948" s="339"/>
      <c r="P948" s="339"/>
      <c r="Q948" s="339"/>
      <c r="R948" s="339"/>
      <c r="S948" s="339"/>
      <c r="T948" s="339"/>
      <c r="U948" s="339"/>
      <c r="V948" s="339"/>
      <c r="W948" s="339"/>
      <c r="X948" s="339"/>
      <c r="Y948" s="339"/>
      <c r="Z948" s="339"/>
      <c r="AA948" s="339"/>
      <c r="AB948" s="341"/>
      <c r="AC948" s="341"/>
      <c r="AD948" s="341"/>
      <c r="AE948" s="339"/>
      <c r="AF948" s="339"/>
      <c r="AG948" s="341"/>
      <c r="AH948" s="339"/>
      <c r="AI948" s="341"/>
      <c r="AJ948" s="339"/>
      <c r="AK948" s="341"/>
      <c r="AL948" s="341"/>
      <c r="AM948" s="339"/>
      <c r="AN948" s="339"/>
      <c r="AO948" s="339"/>
      <c r="AP948" s="339"/>
      <c r="AQ948" s="339"/>
      <c r="AR948" s="339"/>
      <c r="AS948" s="339"/>
    </row>
    <row r="949" spans="1:45" ht="15.75" customHeight="1">
      <c r="A949" s="339"/>
      <c r="B949" s="339"/>
      <c r="C949" s="341"/>
      <c r="D949" s="341"/>
      <c r="E949" s="341"/>
      <c r="F949" s="340"/>
      <c r="G949" s="339"/>
      <c r="H949" s="339"/>
      <c r="I949" s="339"/>
      <c r="J949" s="341"/>
      <c r="K949" s="340"/>
      <c r="L949" s="341"/>
      <c r="M949" s="340"/>
      <c r="N949" s="339"/>
      <c r="O949" s="339"/>
      <c r="P949" s="339"/>
      <c r="Q949" s="339"/>
      <c r="R949" s="339"/>
      <c r="S949" s="339"/>
      <c r="T949" s="339"/>
      <c r="U949" s="339"/>
      <c r="V949" s="339"/>
      <c r="W949" s="339"/>
      <c r="X949" s="339"/>
      <c r="Y949" s="339"/>
      <c r="Z949" s="339"/>
      <c r="AA949" s="339"/>
      <c r="AB949" s="341"/>
      <c r="AC949" s="341"/>
      <c r="AD949" s="341"/>
      <c r="AE949" s="339"/>
      <c r="AF949" s="339"/>
      <c r="AG949" s="341"/>
      <c r="AH949" s="339"/>
      <c r="AI949" s="341"/>
      <c r="AJ949" s="339"/>
      <c r="AK949" s="341"/>
      <c r="AL949" s="341"/>
      <c r="AM949" s="339"/>
      <c r="AN949" s="339"/>
      <c r="AO949" s="339"/>
      <c r="AP949" s="339"/>
      <c r="AQ949" s="339"/>
      <c r="AR949" s="339"/>
      <c r="AS949" s="339"/>
    </row>
    <row r="950" spans="1:45" ht="15.75" customHeight="1">
      <c r="A950" s="339"/>
      <c r="B950" s="339"/>
      <c r="C950" s="341"/>
      <c r="D950" s="341"/>
      <c r="E950" s="341"/>
      <c r="F950" s="340"/>
      <c r="G950" s="339"/>
      <c r="H950" s="339"/>
      <c r="I950" s="339"/>
      <c r="J950" s="341"/>
      <c r="K950" s="340"/>
      <c r="L950" s="341"/>
      <c r="M950" s="340"/>
      <c r="N950" s="339"/>
      <c r="O950" s="339"/>
      <c r="P950" s="339"/>
      <c r="Q950" s="339"/>
      <c r="R950" s="339"/>
      <c r="S950" s="339"/>
      <c r="T950" s="339"/>
      <c r="U950" s="339"/>
      <c r="V950" s="339"/>
      <c r="W950" s="339"/>
      <c r="X950" s="339"/>
      <c r="Y950" s="339"/>
      <c r="Z950" s="339"/>
      <c r="AA950" s="339"/>
      <c r="AB950" s="341"/>
      <c r="AC950" s="341"/>
      <c r="AD950" s="341"/>
      <c r="AE950" s="339"/>
      <c r="AF950" s="339"/>
      <c r="AG950" s="341"/>
      <c r="AH950" s="339"/>
      <c r="AI950" s="341"/>
      <c r="AJ950" s="339"/>
      <c r="AK950" s="341"/>
      <c r="AL950" s="341"/>
      <c r="AM950" s="339"/>
      <c r="AN950" s="339"/>
      <c r="AO950" s="339"/>
      <c r="AP950" s="339"/>
      <c r="AQ950" s="339"/>
      <c r="AR950" s="339"/>
      <c r="AS950" s="339"/>
    </row>
    <row r="951" spans="1:45" ht="15.75" customHeight="1">
      <c r="A951" s="339"/>
      <c r="B951" s="339"/>
      <c r="C951" s="341"/>
      <c r="D951" s="341"/>
      <c r="E951" s="341"/>
      <c r="F951" s="340"/>
      <c r="G951" s="339"/>
      <c r="H951" s="339"/>
      <c r="I951" s="339"/>
      <c r="J951" s="341"/>
      <c r="K951" s="340"/>
      <c r="L951" s="341"/>
      <c r="M951" s="340"/>
      <c r="N951" s="339"/>
      <c r="O951" s="339"/>
      <c r="P951" s="339"/>
      <c r="Q951" s="339"/>
      <c r="R951" s="339"/>
      <c r="S951" s="339"/>
      <c r="T951" s="339"/>
      <c r="U951" s="339"/>
      <c r="V951" s="339"/>
      <c r="W951" s="339"/>
      <c r="X951" s="339"/>
      <c r="Y951" s="339"/>
      <c r="Z951" s="339"/>
      <c r="AA951" s="339"/>
      <c r="AB951" s="341"/>
      <c r="AC951" s="341"/>
      <c r="AD951" s="341"/>
      <c r="AE951" s="339"/>
      <c r="AF951" s="339"/>
      <c r="AG951" s="341"/>
      <c r="AH951" s="339"/>
      <c r="AI951" s="341"/>
      <c r="AJ951" s="339"/>
      <c r="AK951" s="341"/>
      <c r="AL951" s="341"/>
      <c r="AM951" s="339"/>
      <c r="AN951" s="339"/>
      <c r="AO951" s="339"/>
      <c r="AP951" s="339"/>
      <c r="AQ951" s="339"/>
      <c r="AR951" s="339"/>
      <c r="AS951" s="339"/>
    </row>
    <row r="952" spans="1:45" ht="15.75" customHeight="1">
      <c r="A952" s="339"/>
      <c r="B952" s="339"/>
      <c r="C952" s="341"/>
      <c r="D952" s="341"/>
      <c r="E952" s="341"/>
      <c r="F952" s="340"/>
      <c r="G952" s="339"/>
      <c r="H952" s="339"/>
      <c r="I952" s="339"/>
      <c r="J952" s="341"/>
      <c r="K952" s="340"/>
      <c r="L952" s="341"/>
      <c r="M952" s="340"/>
      <c r="N952" s="339"/>
      <c r="O952" s="339"/>
      <c r="P952" s="339"/>
      <c r="Q952" s="339"/>
      <c r="R952" s="339"/>
      <c r="S952" s="339"/>
      <c r="T952" s="339"/>
      <c r="U952" s="339"/>
      <c r="V952" s="339"/>
      <c r="W952" s="339"/>
      <c r="X952" s="339"/>
      <c r="Y952" s="339"/>
      <c r="Z952" s="339"/>
      <c r="AA952" s="339"/>
      <c r="AB952" s="341"/>
      <c r="AC952" s="341"/>
      <c r="AD952" s="341"/>
      <c r="AE952" s="339"/>
      <c r="AF952" s="339"/>
      <c r="AG952" s="341"/>
      <c r="AH952" s="339"/>
      <c r="AI952" s="341"/>
      <c r="AJ952" s="339"/>
      <c r="AK952" s="341"/>
      <c r="AL952" s="341"/>
      <c r="AM952" s="339"/>
      <c r="AN952" s="339"/>
      <c r="AO952" s="339"/>
      <c r="AP952" s="339"/>
      <c r="AQ952" s="339"/>
      <c r="AR952" s="339"/>
      <c r="AS952" s="339"/>
    </row>
    <row r="953" spans="1:45" ht="15.75" customHeight="1">
      <c r="A953" s="339"/>
      <c r="B953" s="339"/>
      <c r="C953" s="341"/>
      <c r="D953" s="341"/>
      <c r="E953" s="341"/>
      <c r="F953" s="340"/>
      <c r="G953" s="339"/>
      <c r="H953" s="339"/>
      <c r="I953" s="339"/>
      <c r="J953" s="341"/>
      <c r="K953" s="340"/>
      <c r="L953" s="341"/>
      <c r="M953" s="340"/>
      <c r="N953" s="339"/>
      <c r="O953" s="339"/>
      <c r="P953" s="339"/>
      <c r="Q953" s="339"/>
      <c r="R953" s="339"/>
      <c r="S953" s="339"/>
      <c r="T953" s="339"/>
      <c r="U953" s="339"/>
      <c r="V953" s="339"/>
      <c r="W953" s="339"/>
      <c r="X953" s="339"/>
      <c r="Y953" s="339"/>
      <c r="Z953" s="339"/>
      <c r="AA953" s="339"/>
      <c r="AB953" s="341"/>
      <c r="AC953" s="341"/>
      <c r="AD953" s="341"/>
      <c r="AE953" s="339"/>
      <c r="AF953" s="339"/>
      <c r="AG953" s="341"/>
      <c r="AH953" s="339"/>
      <c r="AI953" s="341"/>
      <c r="AJ953" s="339"/>
      <c r="AK953" s="341"/>
      <c r="AL953" s="341"/>
      <c r="AM953" s="339"/>
      <c r="AN953" s="339"/>
      <c r="AO953" s="339"/>
      <c r="AP953" s="339"/>
      <c r="AQ953" s="339"/>
      <c r="AR953" s="339"/>
      <c r="AS953" s="339"/>
    </row>
    <row r="954" spans="1:45" ht="15.75" customHeight="1">
      <c r="A954" s="339"/>
      <c r="B954" s="339"/>
      <c r="C954" s="341"/>
      <c r="D954" s="341"/>
      <c r="E954" s="341"/>
      <c r="F954" s="340"/>
      <c r="G954" s="339"/>
      <c r="H954" s="339"/>
      <c r="I954" s="339"/>
      <c r="J954" s="341"/>
      <c r="K954" s="340"/>
      <c r="L954" s="341"/>
      <c r="M954" s="340"/>
      <c r="N954" s="339"/>
      <c r="O954" s="339"/>
      <c r="P954" s="339"/>
      <c r="Q954" s="339"/>
      <c r="R954" s="339"/>
      <c r="S954" s="339"/>
      <c r="T954" s="339"/>
      <c r="U954" s="339"/>
      <c r="V954" s="339"/>
      <c r="W954" s="339"/>
      <c r="X954" s="339"/>
      <c r="Y954" s="339"/>
      <c r="Z954" s="339"/>
      <c r="AA954" s="339"/>
      <c r="AB954" s="341"/>
      <c r="AC954" s="341"/>
      <c r="AD954" s="341"/>
      <c r="AE954" s="339"/>
      <c r="AF954" s="339"/>
      <c r="AG954" s="341"/>
      <c r="AH954" s="339"/>
      <c r="AI954" s="341"/>
      <c r="AJ954" s="339"/>
      <c r="AK954" s="341"/>
      <c r="AL954" s="341"/>
      <c r="AM954" s="339"/>
      <c r="AN954" s="339"/>
      <c r="AO954" s="339"/>
      <c r="AP954" s="339"/>
      <c r="AQ954" s="339"/>
      <c r="AR954" s="339"/>
      <c r="AS954" s="339"/>
    </row>
    <row r="955" spans="1:45" ht="15.75" customHeight="1">
      <c r="A955" s="339"/>
      <c r="B955" s="339"/>
      <c r="C955" s="341"/>
      <c r="D955" s="341"/>
      <c r="E955" s="341"/>
      <c r="F955" s="340"/>
      <c r="G955" s="339"/>
      <c r="H955" s="339"/>
      <c r="I955" s="339"/>
      <c r="J955" s="341"/>
      <c r="K955" s="340"/>
      <c r="L955" s="341"/>
      <c r="M955" s="340"/>
      <c r="N955" s="339"/>
      <c r="O955" s="339"/>
      <c r="P955" s="339"/>
      <c r="Q955" s="339"/>
      <c r="R955" s="339"/>
      <c r="S955" s="339"/>
      <c r="T955" s="339"/>
      <c r="U955" s="339"/>
      <c r="V955" s="339"/>
      <c r="W955" s="339"/>
      <c r="X955" s="339"/>
      <c r="Y955" s="339"/>
      <c r="Z955" s="339"/>
      <c r="AA955" s="339"/>
      <c r="AB955" s="341"/>
      <c r="AC955" s="341"/>
      <c r="AD955" s="341"/>
      <c r="AE955" s="339"/>
      <c r="AF955" s="339"/>
      <c r="AG955" s="341"/>
      <c r="AH955" s="339"/>
      <c r="AI955" s="341"/>
      <c r="AJ955" s="339"/>
      <c r="AK955" s="341"/>
      <c r="AL955" s="341"/>
      <c r="AM955" s="339"/>
      <c r="AN955" s="339"/>
      <c r="AO955" s="339"/>
      <c r="AP955" s="339"/>
      <c r="AQ955" s="339"/>
      <c r="AR955" s="339"/>
      <c r="AS955" s="339"/>
    </row>
    <row r="956" spans="1:45" ht="15.75" customHeight="1">
      <c r="A956" s="339"/>
      <c r="B956" s="339"/>
      <c r="C956" s="341"/>
      <c r="D956" s="341"/>
      <c r="E956" s="341"/>
      <c r="F956" s="340"/>
      <c r="G956" s="339"/>
      <c r="H956" s="339"/>
      <c r="I956" s="339"/>
      <c r="J956" s="341"/>
      <c r="K956" s="340"/>
      <c r="L956" s="341"/>
      <c r="M956" s="340"/>
      <c r="N956" s="339"/>
      <c r="O956" s="339"/>
      <c r="P956" s="339"/>
      <c r="Q956" s="339"/>
      <c r="R956" s="339"/>
      <c r="S956" s="339"/>
      <c r="T956" s="339"/>
      <c r="U956" s="339"/>
      <c r="V956" s="339"/>
      <c r="W956" s="339"/>
      <c r="X956" s="339"/>
      <c r="Y956" s="339"/>
      <c r="Z956" s="339"/>
      <c r="AA956" s="339"/>
      <c r="AB956" s="341"/>
      <c r="AC956" s="341"/>
      <c r="AD956" s="341"/>
      <c r="AE956" s="339"/>
      <c r="AF956" s="339"/>
      <c r="AG956" s="341"/>
      <c r="AH956" s="339"/>
      <c r="AI956" s="341"/>
      <c r="AJ956" s="339"/>
      <c r="AK956" s="341"/>
      <c r="AL956" s="341"/>
      <c r="AM956" s="339"/>
      <c r="AN956" s="339"/>
      <c r="AO956" s="339"/>
      <c r="AP956" s="339"/>
      <c r="AQ956" s="339"/>
      <c r="AR956" s="339"/>
      <c r="AS956" s="339"/>
    </row>
    <row r="957" spans="1:45" ht="15.75" customHeight="1">
      <c r="A957" s="339"/>
      <c r="B957" s="339"/>
      <c r="C957" s="341"/>
      <c r="D957" s="341"/>
      <c r="E957" s="341"/>
      <c r="F957" s="340"/>
      <c r="G957" s="339"/>
      <c r="H957" s="339"/>
      <c r="I957" s="339"/>
      <c r="J957" s="341"/>
      <c r="K957" s="340"/>
      <c r="L957" s="341"/>
      <c r="M957" s="340"/>
      <c r="N957" s="339"/>
      <c r="O957" s="339"/>
      <c r="P957" s="339"/>
      <c r="Q957" s="339"/>
      <c r="R957" s="339"/>
      <c r="S957" s="339"/>
      <c r="T957" s="339"/>
      <c r="U957" s="339"/>
      <c r="V957" s="339"/>
      <c r="W957" s="339"/>
      <c r="X957" s="339"/>
      <c r="Y957" s="339"/>
      <c r="Z957" s="339"/>
      <c r="AA957" s="339"/>
      <c r="AB957" s="341"/>
      <c r="AC957" s="341"/>
      <c r="AD957" s="341"/>
      <c r="AE957" s="339"/>
      <c r="AF957" s="339"/>
      <c r="AG957" s="341"/>
      <c r="AH957" s="339"/>
      <c r="AI957" s="341"/>
      <c r="AJ957" s="339"/>
      <c r="AK957" s="341"/>
      <c r="AL957" s="341"/>
      <c r="AM957" s="339"/>
      <c r="AN957" s="339"/>
      <c r="AO957" s="339"/>
      <c r="AP957" s="339"/>
      <c r="AQ957" s="339"/>
      <c r="AR957" s="339"/>
      <c r="AS957" s="339"/>
    </row>
    <row r="958" spans="1:45" ht="15.75" customHeight="1">
      <c r="A958" s="339"/>
      <c r="B958" s="339"/>
      <c r="C958" s="341"/>
      <c r="D958" s="341"/>
      <c r="E958" s="341"/>
      <c r="F958" s="340"/>
      <c r="G958" s="339"/>
      <c r="H958" s="339"/>
      <c r="I958" s="339"/>
      <c r="J958" s="341"/>
      <c r="K958" s="340"/>
      <c r="L958" s="341"/>
      <c r="M958" s="340"/>
      <c r="N958" s="339"/>
      <c r="O958" s="339"/>
      <c r="P958" s="339"/>
      <c r="Q958" s="339"/>
      <c r="R958" s="339"/>
      <c r="S958" s="339"/>
      <c r="T958" s="339"/>
      <c r="U958" s="339"/>
      <c r="V958" s="339"/>
      <c r="W958" s="339"/>
      <c r="X958" s="339"/>
      <c r="Y958" s="339"/>
      <c r="Z958" s="339"/>
      <c r="AA958" s="339"/>
      <c r="AB958" s="341"/>
      <c r="AC958" s="341"/>
      <c r="AD958" s="341"/>
      <c r="AE958" s="339"/>
      <c r="AF958" s="339"/>
      <c r="AG958" s="341"/>
      <c r="AH958" s="339"/>
      <c r="AI958" s="341"/>
      <c r="AJ958" s="339"/>
      <c r="AK958" s="341"/>
      <c r="AL958" s="341"/>
      <c r="AM958" s="339"/>
      <c r="AN958" s="339"/>
      <c r="AO958" s="339"/>
      <c r="AP958" s="339"/>
      <c r="AQ958" s="339"/>
      <c r="AR958" s="339"/>
      <c r="AS958" s="339"/>
    </row>
    <row r="959" spans="1:45" ht="15.75" customHeight="1">
      <c r="A959" s="339"/>
      <c r="B959" s="339"/>
      <c r="C959" s="341"/>
      <c r="D959" s="341"/>
      <c r="E959" s="341"/>
      <c r="F959" s="340"/>
      <c r="G959" s="339"/>
      <c r="H959" s="339"/>
      <c r="I959" s="339"/>
      <c r="J959" s="341"/>
      <c r="K959" s="340"/>
      <c r="L959" s="341"/>
      <c r="M959" s="340"/>
      <c r="N959" s="339"/>
      <c r="O959" s="339"/>
      <c r="P959" s="339"/>
      <c r="Q959" s="339"/>
      <c r="R959" s="339"/>
      <c r="S959" s="339"/>
      <c r="T959" s="339"/>
      <c r="U959" s="339"/>
      <c r="V959" s="339"/>
      <c r="W959" s="339"/>
      <c r="X959" s="339"/>
      <c r="Y959" s="339"/>
      <c r="Z959" s="339"/>
      <c r="AA959" s="339"/>
      <c r="AB959" s="341"/>
      <c r="AC959" s="341"/>
      <c r="AD959" s="341"/>
      <c r="AE959" s="339"/>
      <c r="AF959" s="339"/>
      <c r="AG959" s="341"/>
      <c r="AH959" s="339"/>
      <c r="AI959" s="341"/>
      <c r="AJ959" s="339"/>
      <c r="AK959" s="341"/>
      <c r="AL959" s="341"/>
      <c r="AM959" s="339"/>
      <c r="AN959" s="339"/>
      <c r="AO959" s="339"/>
      <c r="AP959" s="339"/>
      <c r="AQ959" s="339"/>
      <c r="AR959" s="339"/>
      <c r="AS959" s="339"/>
    </row>
    <row r="960" spans="1:45" ht="15.75" customHeight="1">
      <c r="A960" s="339"/>
      <c r="B960" s="339"/>
      <c r="C960" s="341"/>
      <c r="D960" s="341"/>
      <c r="E960" s="341"/>
      <c r="F960" s="340"/>
      <c r="G960" s="339"/>
      <c r="H960" s="339"/>
      <c r="I960" s="339"/>
      <c r="J960" s="341"/>
      <c r="K960" s="340"/>
      <c r="L960" s="341"/>
      <c r="M960" s="340"/>
      <c r="N960" s="339"/>
      <c r="O960" s="339"/>
      <c r="P960" s="339"/>
      <c r="Q960" s="339"/>
      <c r="R960" s="339"/>
      <c r="S960" s="339"/>
      <c r="T960" s="339"/>
      <c r="U960" s="339"/>
      <c r="V960" s="339"/>
      <c r="W960" s="339"/>
      <c r="X960" s="339"/>
      <c r="Y960" s="339"/>
      <c r="Z960" s="339"/>
      <c r="AA960" s="339"/>
      <c r="AB960" s="341"/>
      <c r="AC960" s="341"/>
      <c r="AD960" s="341"/>
      <c r="AE960" s="339"/>
      <c r="AF960" s="339"/>
      <c r="AG960" s="341"/>
      <c r="AH960" s="339"/>
      <c r="AI960" s="341"/>
      <c r="AJ960" s="339"/>
      <c r="AK960" s="341"/>
      <c r="AL960" s="341"/>
      <c r="AM960" s="339"/>
      <c r="AN960" s="339"/>
      <c r="AO960" s="339"/>
      <c r="AP960" s="339"/>
      <c r="AQ960" s="339"/>
      <c r="AR960" s="339"/>
      <c r="AS960" s="339"/>
    </row>
    <row r="961" spans="1:45" ht="15.75" customHeight="1">
      <c r="A961" s="339"/>
      <c r="B961" s="339"/>
      <c r="C961" s="341"/>
      <c r="D961" s="341"/>
      <c r="E961" s="341"/>
      <c r="F961" s="340"/>
      <c r="G961" s="339"/>
      <c r="H961" s="339"/>
      <c r="I961" s="339"/>
      <c r="J961" s="341"/>
      <c r="K961" s="340"/>
      <c r="L961" s="341"/>
      <c r="M961" s="340"/>
      <c r="N961" s="339"/>
      <c r="O961" s="339"/>
      <c r="P961" s="339"/>
      <c r="Q961" s="339"/>
      <c r="R961" s="339"/>
      <c r="S961" s="339"/>
      <c r="T961" s="339"/>
      <c r="U961" s="339"/>
      <c r="V961" s="339"/>
      <c r="W961" s="339"/>
      <c r="X961" s="339"/>
      <c r="Y961" s="339"/>
      <c r="Z961" s="339"/>
      <c r="AA961" s="339"/>
      <c r="AB961" s="341"/>
      <c r="AC961" s="341"/>
      <c r="AD961" s="341"/>
      <c r="AE961" s="339"/>
      <c r="AF961" s="339"/>
      <c r="AG961" s="341"/>
      <c r="AH961" s="339"/>
      <c r="AI961" s="341"/>
      <c r="AJ961" s="339"/>
      <c r="AK961" s="341"/>
      <c r="AL961" s="341"/>
      <c r="AM961" s="339"/>
      <c r="AN961" s="339"/>
      <c r="AO961" s="339"/>
      <c r="AP961" s="339"/>
      <c r="AQ961" s="339"/>
      <c r="AR961" s="339"/>
      <c r="AS961" s="339"/>
    </row>
    <row r="962" spans="1:45" ht="15.75" customHeight="1">
      <c r="A962" s="339"/>
      <c r="B962" s="339"/>
      <c r="C962" s="341"/>
      <c r="D962" s="341"/>
      <c r="E962" s="341"/>
      <c r="F962" s="340"/>
      <c r="G962" s="339"/>
      <c r="H962" s="339"/>
      <c r="I962" s="339"/>
      <c r="J962" s="341"/>
      <c r="K962" s="340"/>
      <c r="L962" s="341"/>
      <c r="M962" s="340"/>
      <c r="N962" s="339"/>
      <c r="O962" s="339"/>
      <c r="P962" s="339"/>
      <c r="Q962" s="339"/>
      <c r="R962" s="339"/>
      <c r="S962" s="339"/>
      <c r="T962" s="339"/>
      <c r="U962" s="339"/>
      <c r="V962" s="339"/>
      <c r="W962" s="339"/>
      <c r="X962" s="339"/>
      <c r="Y962" s="339"/>
      <c r="Z962" s="339"/>
      <c r="AA962" s="339"/>
      <c r="AB962" s="341"/>
      <c r="AC962" s="341"/>
      <c r="AD962" s="341"/>
      <c r="AE962" s="339"/>
      <c r="AF962" s="339"/>
      <c r="AG962" s="341"/>
      <c r="AH962" s="339"/>
      <c r="AI962" s="341"/>
      <c r="AJ962" s="339"/>
      <c r="AK962" s="341"/>
      <c r="AL962" s="341"/>
      <c r="AM962" s="339"/>
      <c r="AN962" s="339"/>
      <c r="AO962" s="339"/>
      <c r="AP962" s="339"/>
      <c r="AQ962" s="339"/>
      <c r="AR962" s="339"/>
      <c r="AS962" s="339"/>
    </row>
    <row r="963" spans="1:45" ht="15.75" customHeight="1">
      <c r="A963" s="339"/>
      <c r="B963" s="339"/>
      <c r="C963" s="341"/>
      <c r="D963" s="341"/>
      <c r="E963" s="341"/>
      <c r="F963" s="340"/>
      <c r="G963" s="339"/>
      <c r="H963" s="339"/>
      <c r="I963" s="339"/>
      <c r="J963" s="341"/>
      <c r="K963" s="340"/>
      <c r="L963" s="341"/>
      <c r="M963" s="340"/>
      <c r="N963" s="339"/>
      <c r="O963" s="339"/>
      <c r="P963" s="339"/>
      <c r="Q963" s="339"/>
      <c r="R963" s="339"/>
      <c r="S963" s="339"/>
      <c r="T963" s="339"/>
      <c r="U963" s="339"/>
      <c r="V963" s="339"/>
      <c r="W963" s="339"/>
      <c r="X963" s="339"/>
      <c r="Y963" s="339"/>
      <c r="Z963" s="339"/>
      <c r="AA963" s="339"/>
      <c r="AB963" s="341"/>
      <c r="AC963" s="341"/>
      <c r="AD963" s="341"/>
      <c r="AE963" s="339"/>
      <c r="AF963" s="339"/>
      <c r="AG963" s="341"/>
      <c r="AH963" s="339"/>
      <c r="AI963" s="341"/>
      <c r="AJ963" s="339"/>
      <c r="AK963" s="341"/>
      <c r="AL963" s="341"/>
      <c r="AM963" s="339"/>
      <c r="AN963" s="339"/>
      <c r="AO963" s="339"/>
      <c r="AP963" s="339"/>
      <c r="AQ963" s="339"/>
      <c r="AR963" s="339"/>
      <c r="AS963" s="339"/>
    </row>
    <row r="964" spans="1:45" ht="15.75" customHeight="1">
      <c r="A964" s="339"/>
      <c r="B964" s="339"/>
      <c r="C964" s="341"/>
      <c r="D964" s="341"/>
      <c r="E964" s="341"/>
      <c r="F964" s="340"/>
      <c r="G964" s="339"/>
      <c r="H964" s="339"/>
      <c r="I964" s="339"/>
      <c r="J964" s="341"/>
      <c r="K964" s="340"/>
      <c r="L964" s="341"/>
      <c r="M964" s="340"/>
      <c r="N964" s="339"/>
      <c r="O964" s="339"/>
      <c r="P964" s="339"/>
      <c r="Q964" s="339"/>
      <c r="R964" s="339"/>
      <c r="S964" s="339"/>
      <c r="T964" s="339"/>
      <c r="U964" s="339"/>
      <c r="V964" s="339"/>
      <c r="W964" s="339"/>
      <c r="X964" s="339"/>
      <c r="Y964" s="339"/>
      <c r="Z964" s="339"/>
      <c r="AA964" s="339"/>
      <c r="AB964" s="341"/>
      <c r="AC964" s="341"/>
      <c r="AD964" s="341"/>
      <c r="AE964" s="339"/>
      <c r="AF964" s="339"/>
      <c r="AG964" s="341"/>
      <c r="AH964" s="339"/>
      <c r="AI964" s="341"/>
      <c r="AJ964" s="339"/>
      <c r="AK964" s="341"/>
      <c r="AL964" s="341"/>
      <c r="AM964" s="339"/>
      <c r="AN964" s="339"/>
      <c r="AO964" s="339"/>
      <c r="AP964" s="339"/>
      <c r="AQ964" s="339"/>
      <c r="AR964" s="339"/>
      <c r="AS964" s="339"/>
    </row>
    <row r="965" spans="1:45" ht="15.75" customHeight="1">
      <c r="A965" s="339"/>
      <c r="B965" s="339"/>
      <c r="C965" s="341"/>
      <c r="D965" s="341"/>
      <c r="E965" s="341"/>
      <c r="F965" s="340"/>
      <c r="G965" s="339"/>
      <c r="H965" s="339"/>
      <c r="I965" s="339"/>
      <c r="J965" s="341"/>
      <c r="K965" s="340"/>
      <c r="L965" s="341"/>
      <c r="M965" s="340"/>
      <c r="N965" s="339"/>
      <c r="O965" s="339"/>
      <c r="P965" s="339"/>
      <c r="Q965" s="339"/>
      <c r="R965" s="339"/>
      <c r="S965" s="339"/>
      <c r="T965" s="339"/>
      <c r="U965" s="339"/>
      <c r="V965" s="339"/>
      <c r="W965" s="339"/>
      <c r="X965" s="339"/>
      <c r="Y965" s="339"/>
      <c r="Z965" s="339"/>
      <c r="AA965" s="339"/>
      <c r="AB965" s="341"/>
      <c r="AC965" s="341"/>
      <c r="AD965" s="341"/>
      <c r="AE965" s="339"/>
      <c r="AF965" s="339"/>
      <c r="AG965" s="341"/>
      <c r="AH965" s="339"/>
      <c r="AI965" s="341"/>
      <c r="AJ965" s="339"/>
      <c r="AK965" s="341"/>
      <c r="AL965" s="341"/>
      <c r="AM965" s="339"/>
      <c r="AN965" s="339"/>
      <c r="AO965" s="339"/>
      <c r="AP965" s="339"/>
      <c r="AQ965" s="339"/>
      <c r="AR965" s="339"/>
      <c r="AS965" s="339"/>
    </row>
    <row r="966" spans="1:45" ht="15.75" customHeight="1">
      <c r="A966" s="339"/>
      <c r="B966" s="339"/>
      <c r="C966" s="341"/>
      <c r="D966" s="341"/>
      <c r="E966" s="341"/>
      <c r="F966" s="340"/>
      <c r="G966" s="339"/>
      <c r="H966" s="339"/>
      <c r="I966" s="339"/>
      <c r="J966" s="341"/>
      <c r="K966" s="340"/>
      <c r="L966" s="341"/>
      <c r="M966" s="340"/>
      <c r="N966" s="339"/>
      <c r="O966" s="339"/>
      <c r="P966" s="339"/>
      <c r="Q966" s="339"/>
      <c r="R966" s="339"/>
      <c r="S966" s="339"/>
      <c r="T966" s="339"/>
      <c r="U966" s="339"/>
      <c r="V966" s="339"/>
      <c r="W966" s="339"/>
      <c r="X966" s="339"/>
      <c r="Y966" s="339"/>
      <c r="Z966" s="339"/>
      <c r="AA966" s="339"/>
      <c r="AB966" s="341"/>
      <c r="AC966" s="341"/>
      <c r="AD966" s="341"/>
      <c r="AE966" s="339"/>
      <c r="AF966" s="339"/>
      <c r="AG966" s="341"/>
      <c r="AH966" s="339"/>
      <c r="AI966" s="341"/>
      <c r="AJ966" s="339"/>
      <c r="AK966" s="341"/>
      <c r="AL966" s="341"/>
      <c r="AM966" s="339"/>
      <c r="AN966" s="339"/>
      <c r="AO966" s="339"/>
      <c r="AP966" s="339"/>
      <c r="AQ966" s="339"/>
      <c r="AR966" s="339"/>
      <c r="AS966" s="339"/>
    </row>
    <row r="967" spans="1:45" ht="15.75" customHeight="1">
      <c r="A967" s="339"/>
      <c r="B967" s="339"/>
      <c r="C967" s="341"/>
      <c r="D967" s="341"/>
      <c r="E967" s="341"/>
      <c r="F967" s="340"/>
      <c r="G967" s="339"/>
      <c r="H967" s="339"/>
      <c r="I967" s="339"/>
      <c r="J967" s="341"/>
      <c r="K967" s="340"/>
      <c r="L967" s="341"/>
      <c r="M967" s="340"/>
      <c r="N967" s="339"/>
      <c r="O967" s="339"/>
      <c r="P967" s="339"/>
      <c r="Q967" s="339"/>
      <c r="R967" s="339"/>
      <c r="S967" s="339"/>
      <c r="T967" s="339"/>
      <c r="U967" s="339"/>
      <c r="V967" s="339"/>
      <c r="W967" s="339"/>
      <c r="X967" s="339"/>
      <c r="Y967" s="339"/>
      <c r="Z967" s="339"/>
      <c r="AA967" s="339"/>
      <c r="AB967" s="341"/>
      <c r="AC967" s="341"/>
      <c r="AD967" s="341"/>
      <c r="AE967" s="339"/>
      <c r="AF967" s="339"/>
      <c r="AG967" s="341"/>
      <c r="AH967" s="339"/>
      <c r="AI967" s="341"/>
      <c r="AJ967" s="339"/>
      <c r="AK967" s="341"/>
      <c r="AL967" s="341"/>
      <c r="AM967" s="339"/>
      <c r="AN967" s="339"/>
      <c r="AO967" s="339"/>
      <c r="AP967" s="339"/>
      <c r="AQ967" s="339"/>
      <c r="AR967" s="339"/>
      <c r="AS967" s="339"/>
    </row>
    <row r="968" spans="1:45" ht="15.75" customHeight="1">
      <c r="A968" s="339"/>
      <c r="B968" s="339"/>
      <c r="C968" s="341"/>
      <c r="D968" s="341"/>
      <c r="E968" s="341"/>
      <c r="F968" s="340"/>
      <c r="G968" s="339"/>
      <c r="H968" s="339"/>
      <c r="I968" s="339"/>
      <c r="J968" s="341"/>
      <c r="K968" s="340"/>
      <c r="L968" s="341"/>
      <c r="M968" s="340"/>
      <c r="N968" s="339"/>
      <c r="O968" s="339"/>
      <c r="P968" s="339"/>
      <c r="Q968" s="339"/>
      <c r="R968" s="339"/>
      <c r="S968" s="339"/>
      <c r="T968" s="339"/>
      <c r="U968" s="339"/>
      <c r="V968" s="339"/>
      <c r="W968" s="339"/>
      <c r="X968" s="339"/>
      <c r="Y968" s="339"/>
      <c r="Z968" s="339"/>
      <c r="AA968" s="339"/>
      <c r="AB968" s="341"/>
      <c r="AC968" s="341"/>
      <c r="AD968" s="341"/>
      <c r="AE968" s="339"/>
      <c r="AF968" s="339"/>
      <c r="AG968" s="341"/>
      <c r="AH968" s="339"/>
      <c r="AI968" s="341"/>
      <c r="AJ968" s="339"/>
      <c r="AK968" s="341"/>
      <c r="AL968" s="341"/>
      <c r="AM968" s="339"/>
      <c r="AN968" s="339"/>
      <c r="AO968" s="339"/>
      <c r="AP968" s="339"/>
      <c r="AQ968" s="339"/>
      <c r="AR968" s="339"/>
      <c r="AS968" s="339"/>
    </row>
    <row r="969" spans="1:45" ht="15.75" customHeight="1">
      <c r="A969" s="339"/>
      <c r="B969" s="339"/>
      <c r="C969" s="341"/>
      <c r="D969" s="341"/>
      <c r="E969" s="341"/>
      <c r="F969" s="340"/>
      <c r="G969" s="339"/>
      <c r="H969" s="339"/>
      <c r="I969" s="339"/>
      <c r="J969" s="341"/>
      <c r="K969" s="340"/>
      <c r="L969" s="341"/>
      <c r="M969" s="340"/>
      <c r="N969" s="339"/>
      <c r="O969" s="339"/>
      <c r="P969" s="339"/>
      <c r="Q969" s="339"/>
      <c r="R969" s="339"/>
      <c r="S969" s="339"/>
      <c r="T969" s="339"/>
      <c r="U969" s="339"/>
      <c r="V969" s="339"/>
      <c r="W969" s="339"/>
      <c r="X969" s="339"/>
      <c r="Y969" s="339"/>
      <c r="Z969" s="339"/>
      <c r="AA969" s="339"/>
      <c r="AB969" s="341"/>
      <c r="AC969" s="341"/>
      <c r="AD969" s="341"/>
      <c r="AE969" s="339"/>
      <c r="AF969" s="339"/>
      <c r="AG969" s="341"/>
      <c r="AH969" s="339"/>
      <c r="AI969" s="341"/>
      <c r="AJ969" s="339"/>
      <c r="AK969" s="341"/>
      <c r="AL969" s="341"/>
      <c r="AM969" s="339"/>
      <c r="AN969" s="339"/>
      <c r="AO969" s="339"/>
      <c r="AP969" s="339"/>
      <c r="AQ969" s="339"/>
      <c r="AR969" s="339"/>
      <c r="AS969" s="339"/>
    </row>
    <row r="970" spans="1:45" ht="15.75" customHeight="1">
      <c r="A970" s="339"/>
      <c r="B970" s="339"/>
      <c r="C970" s="341"/>
      <c r="D970" s="341"/>
      <c r="E970" s="341"/>
      <c r="F970" s="340"/>
      <c r="G970" s="339"/>
      <c r="H970" s="339"/>
      <c r="I970" s="339"/>
      <c r="J970" s="341"/>
      <c r="K970" s="340"/>
      <c r="L970" s="341"/>
      <c r="M970" s="340"/>
      <c r="N970" s="339"/>
      <c r="O970" s="339"/>
      <c r="P970" s="339"/>
      <c r="Q970" s="339"/>
      <c r="R970" s="339"/>
      <c r="S970" s="339"/>
      <c r="T970" s="339"/>
      <c r="U970" s="339"/>
      <c r="V970" s="339"/>
      <c r="W970" s="339"/>
      <c r="X970" s="339"/>
      <c r="Y970" s="339"/>
      <c r="Z970" s="339"/>
      <c r="AA970" s="339"/>
      <c r="AB970" s="341"/>
      <c r="AC970" s="341"/>
      <c r="AD970" s="341"/>
      <c r="AE970" s="339"/>
      <c r="AF970" s="339"/>
      <c r="AG970" s="341"/>
      <c r="AH970" s="339"/>
      <c r="AI970" s="341"/>
      <c r="AJ970" s="339"/>
      <c r="AK970" s="341"/>
      <c r="AL970" s="341"/>
      <c r="AM970" s="339"/>
      <c r="AN970" s="339"/>
      <c r="AO970" s="339"/>
      <c r="AP970" s="339"/>
      <c r="AQ970" s="339"/>
      <c r="AR970" s="339"/>
      <c r="AS970" s="339"/>
    </row>
    <row r="971" spans="1:45" ht="15.75" customHeight="1">
      <c r="A971" s="339"/>
      <c r="B971" s="339"/>
      <c r="C971" s="341"/>
      <c r="D971" s="341"/>
      <c r="E971" s="341"/>
      <c r="F971" s="340"/>
      <c r="G971" s="339"/>
      <c r="H971" s="339"/>
      <c r="I971" s="339"/>
      <c r="J971" s="341"/>
      <c r="K971" s="340"/>
      <c r="L971" s="341"/>
      <c r="M971" s="340"/>
      <c r="N971" s="339"/>
      <c r="O971" s="339"/>
      <c r="P971" s="339"/>
      <c r="Q971" s="339"/>
      <c r="R971" s="339"/>
      <c r="S971" s="339"/>
      <c r="T971" s="339"/>
      <c r="U971" s="339"/>
      <c r="V971" s="339"/>
      <c r="W971" s="339"/>
      <c r="X971" s="339"/>
      <c r="Y971" s="339"/>
      <c r="Z971" s="339"/>
      <c r="AA971" s="339"/>
      <c r="AB971" s="341"/>
      <c r="AC971" s="341"/>
      <c r="AD971" s="341"/>
      <c r="AE971" s="339"/>
      <c r="AF971" s="339"/>
      <c r="AG971" s="341"/>
      <c r="AH971" s="339"/>
      <c r="AI971" s="341"/>
      <c r="AJ971" s="339"/>
      <c r="AK971" s="341"/>
      <c r="AL971" s="341"/>
      <c r="AM971" s="339"/>
      <c r="AN971" s="339"/>
      <c r="AO971" s="339"/>
      <c r="AP971" s="339"/>
      <c r="AQ971" s="339"/>
      <c r="AR971" s="339"/>
      <c r="AS971" s="339"/>
    </row>
    <row r="972" spans="1:45" ht="15.75" customHeight="1">
      <c r="A972" s="339"/>
      <c r="B972" s="339"/>
      <c r="C972" s="341"/>
      <c r="D972" s="341"/>
      <c r="E972" s="341"/>
      <c r="F972" s="340"/>
      <c r="G972" s="339"/>
      <c r="H972" s="339"/>
      <c r="I972" s="339"/>
      <c r="J972" s="341"/>
      <c r="K972" s="340"/>
      <c r="L972" s="341"/>
      <c r="M972" s="340"/>
      <c r="N972" s="339"/>
      <c r="O972" s="339"/>
      <c r="P972" s="339"/>
      <c r="Q972" s="339"/>
      <c r="R972" s="339"/>
      <c r="S972" s="339"/>
      <c r="T972" s="339"/>
      <c r="U972" s="339"/>
      <c r="V972" s="339"/>
      <c r="W972" s="339"/>
      <c r="X972" s="339"/>
      <c r="Y972" s="339"/>
      <c r="Z972" s="339"/>
      <c r="AA972" s="339"/>
      <c r="AB972" s="341"/>
      <c r="AC972" s="341"/>
      <c r="AD972" s="341"/>
      <c r="AE972" s="339"/>
      <c r="AF972" s="339"/>
      <c r="AG972" s="341"/>
      <c r="AH972" s="339"/>
      <c r="AI972" s="341"/>
      <c r="AJ972" s="339"/>
      <c r="AK972" s="341"/>
      <c r="AL972" s="341"/>
      <c r="AM972" s="339"/>
      <c r="AN972" s="339"/>
      <c r="AO972" s="339"/>
      <c r="AP972" s="339"/>
      <c r="AQ972" s="339"/>
      <c r="AR972" s="339"/>
      <c r="AS972" s="339"/>
    </row>
    <row r="973" spans="1:45" ht="15.75" customHeight="1">
      <c r="A973" s="339"/>
      <c r="B973" s="339"/>
      <c r="C973" s="341"/>
      <c r="D973" s="341"/>
      <c r="E973" s="341"/>
      <c r="F973" s="340"/>
      <c r="G973" s="339"/>
      <c r="H973" s="339"/>
      <c r="I973" s="339"/>
      <c r="J973" s="341"/>
      <c r="K973" s="340"/>
      <c r="L973" s="341"/>
      <c r="M973" s="340"/>
      <c r="N973" s="339"/>
      <c r="O973" s="339"/>
      <c r="P973" s="339"/>
      <c r="Q973" s="339"/>
      <c r="R973" s="339"/>
      <c r="S973" s="339"/>
      <c r="T973" s="339"/>
      <c r="U973" s="339"/>
      <c r="V973" s="339"/>
      <c r="W973" s="339"/>
      <c r="X973" s="339"/>
      <c r="Y973" s="339"/>
      <c r="Z973" s="339"/>
      <c r="AA973" s="339"/>
      <c r="AB973" s="341"/>
      <c r="AC973" s="341"/>
      <c r="AD973" s="341"/>
      <c r="AE973" s="339"/>
      <c r="AF973" s="339"/>
      <c r="AG973" s="341"/>
      <c r="AH973" s="339"/>
      <c r="AI973" s="341"/>
      <c r="AJ973" s="339"/>
      <c r="AK973" s="341"/>
      <c r="AL973" s="341"/>
      <c r="AM973" s="339"/>
      <c r="AN973" s="339"/>
      <c r="AO973" s="339"/>
      <c r="AP973" s="339"/>
      <c r="AQ973" s="339"/>
      <c r="AR973" s="339"/>
      <c r="AS973" s="339"/>
    </row>
    <row r="974" spans="1:45" ht="15.75" customHeight="1">
      <c r="A974" s="339"/>
      <c r="B974" s="339"/>
      <c r="C974" s="341"/>
      <c r="D974" s="341"/>
      <c r="E974" s="341"/>
      <c r="F974" s="340"/>
      <c r="G974" s="339"/>
      <c r="H974" s="339"/>
      <c r="I974" s="339"/>
      <c r="J974" s="341"/>
      <c r="K974" s="340"/>
      <c r="L974" s="341"/>
      <c r="M974" s="340"/>
      <c r="N974" s="339"/>
      <c r="O974" s="339"/>
      <c r="P974" s="339"/>
      <c r="Q974" s="339"/>
      <c r="R974" s="339"/>
      <c r="S974" s="339"/>
      <c r="T974" s="339"/>
      <c r="U974" s="339"/>
      <c r="V974" s="339"/>
      <c r="W974" s="339"/>
      <c r="X974" s="339"/>
      <c r="Y974" s="339"/>
      <c r="Z974" s="339"/>
      <c r="AA974" s="339"/>
      <c r="AB974" s="341"/>
      <c r="AC974" s="341"/>
      <c r="AD974" s="341"/>
      <c r="AE974" s="339"/>
      <c r="AF974" s="339"/>
      <c r="AG974" s="341"/>
      <c r="AH974" s="339"/>
      <c r="AI974" s="341"/>
      <c r="AJ974" s="339"/>
      <c r="AK974" s="341"/>
      <c r="AL974" s="341"/>
      <c r="AM974" s="339"/>
      <c r="AN974" s="339"/>
      <c r="AO974" s="339"/>
      <c r="AP974" s="339"/>
      <c r="AQ974" s="339"/>
      <c r="AR974" s="339"/>
      <c r="AS974" s="339"/>
    </row>
    <row r="975" spans="1:45" ht="15.75" customHeight="1">
      <c r="A975" s="339"/>
      <c r="B975" s="339"/>
      <c r="C975" s="341"/>
      <c r="D975" s="341"/>
      <c r="E975" s="341"/>
      <c r="F975" s="340"/>
      <c r="G975" s="339"/>
      <c r="H975" s="339"/>
      <c r="I975" s="339"/>
      <c r="J975" s="341"/>
      <c r="K975" s="340"/>
      <c r="L975" s="341"/>
      <c r="M975" s="340"/>
      <c r="N975" s="339"/>
      <c r="O975" s="339"/>
      <c r="P975" s="339"/>
      <c r="Q975" s="339"/>
      <c r="R975" s="339"/>
      <c r="S975" s="339"/>
      <c r="T975" s="339"/>
      <c r="U975" s="339"/>
      <c r="V975" s="339"/>
      <c r="W975" s="339"/>
      <c r="X975" s="339"/>
      <c r="Y975" s="339"/>
      <c r="Z975" s="339"/>
      <c r="AA975" s="339"/>
      <c r="AB975" s="341"/>
      <c r="AC975" s="341"/>
      <c r="AD975" s="341"/>
      <c r="AE975" s="339"/>
      <c r="AF975" s="339"/>
      <c r="AG975" s="341"/>
      <c r="AH975" s="339"/>
      <c r="AI975" s="341"/>
      <c r="AJ975" s="339"/>
      <c r="AK975" s="341"/>
      <c r="AL975" s="341"/>
      <c r="AM975" s="339"/>
      <c r="AN975" s="339"/>
      <c r="AO975" s="339"/>
      <c r="AP975" s="339"/>
      <c r="AQ975" s="339"/>
      <c r="AR975" s="339"/>
      <c r="AS975" s="339"/>
    </row>
    <row r="976" spans="1:45" ht="15.75" customHeight="1">
      <c r="A976" s="339"/>
      <c r="B976" s="339"/>
      <c r="C976" s="341"/>
      <c r="D976" s="341"/>
      <c r="E976" s="341"/>
      <c r="F976" s="340"/>
      <c r="G976" s="339"/>
      <c r="H976" s="339"/>
      <c r="I976" s="339"/>
      <c r="J976" s="341"/>
      <c r="K976" s="340"/>
      <c r="L976" s="341"/>
      <c r="M976" s="340"/>
      <c r="N976" s="339"/>
      <c r="O976" s="339"/>
      <c r="P976" s="339"/>
      <c r="Q976" s="339"/>
      <c r="R976" s="339"/>
      <c r="S976" s="339"/>
      <c r="T976" s="339"/>
      <c r="U976" s="339"/>
      <c r="V976" s="339"/>
      <c r="W976" s="339"/>
      <c r="X976" s="339"/>
      <c r="Y976" s="339"/>
      <c r="Z976" s="339"/>
      <c r="AA976" s="339"/>
      <c r="AB976" s="341"/>
      <c r="AC976" s="341"/>
      <c r="AD976" s="341"/>
      <c r="AE976" s="339"/>
      <c r="AF976" s="339"/>
      <c r="AG976" s="341"/>
      <c r="AH976" s="339"/>
      <c r="AI976" s="341"/>
      <c r="AJ976" s="339"/>
      <c r="AK976" s="341"/>
      <c r="AL976" s="341"/>
      <c r="AM976" s="339"/>
      <c r="AN976" s="339"/>
      <c r="AO976" s="339"/>
      <c r="AP976" s="339"/>
      <c r="AQ976" s="339"/>
      <c r="AR976" s="339"/>
      <c r="AS976" s="339"/>
    </row>
    <row r="977" spans="1:45" ht="15.75" customHeight="1">
      <c r="A977" s="339"/>
      <c r="B977" s="339"/>
      <c r="C977" s="341"/>
      <c r="D977" s="341"/>
      <c r="E977" s="341"/>
      <c r="F977" s="340"/>
      <c r="G977" s="339"/>
      <c r="H977" s="339"/>
      <c r="I977" s="339"/>
      <c r="J977" s="341"/>
      <c r="K977" s="340"/>
      <c r="L977" s="341"/>
      <c r="M977" s="340"/>
      <c r="N977" s="339"/>
      <c r="O977" s="339"/>
      <c r="P977" s="339"/>
      <c r="Q977" s="339"/>
      <c r="R977" s="339"/>
      <c r="S977" s="339"/>
      <c r="T977" s="339"/>
      <c r="U977" s="339"/>
      <c r="V977" s="339"/>
      <c r="W977" s="339"/>
      <c r="X977" s="339"/>
      <c r="Y977" s="339"/>
      <c r="Z977" s="339"/>
      <c r="AA977" s="339"/>
      <c r="AB977" s="341"/>
      <c r="AC977" s="341"/>
      <c r="AD977" s="341"/>
      <c r="AE977" s="339"/>
      <c r="AF977" s="339"/>
      <c r="AG977" s="341"/>
      <c r="AH977" s="339"/>
      <c r="AI977" s="341"/>
      <c r="AJ977" s="339"/>
      <c r="AK977" s="341"/>
      <c r="AL977" s="341"/>
      <c r="AM977" s="339"/>
      <c r="AN977" s="339"/>
      <c r="AO977" s="339"/>
      <c r="AP977" s="339"/>
      <c r="AQ977" s="339"/>
      <c r="AR977" s="339"/>
      <c r="AS977" s="339"/>
    </row>
    <row r="978" spans="1:45" ht="15.75" customHeight="1">
      <c r="A978" s="339"/>
      <c r="B978" s="339"/>
      <c r="C978" s="341"/>
      <c r="D978" s="341"/>
      <c r="E978" s="341"/>
      <c r="F978" s="340"/>
      <c r="G978" s="339"/>
      <c r="H978" s="339"/>
      <c r="I978" s="339"/>
      <c r="J978" s="341"/>
      <c r="K978" s="340"/>
      <c r="L978" s="341"/>
      <c r="M978" s="340"/>
      <c r="N978" s="339"/>
      <c r="O978" s="339"/>
      <c r="P978" s="339"/>
      <c r="Q978" s="339"/>
      <c r="R978" s="339"/>
      <c r="S978" s="339"/>
      <c r="T978" s="339"/>
      <c r="U978" s="339"/>
      <c r="V978" s="339"/>
      <c r="W978" s="339"/>
      <c r="X978" s="339"/>
      <c r="Y978" s="339"/>
      <c r="Z978" s="339"/>
      <c r="AA978" s="339"/>
      <c r="AB978" s="341"/>
      <c r="AC978" s="341"/>
      <c r="AD978" s="341"/>
      <c r="AE978" s="339"/>
      <c r="AF978" s="339"/>
      <c r="AG978" s="341"/>
      <c r="AH978" s="339"/>
      <c r="AI978" s="341"/>
      <c r="AJ978" s="339"/>
      <c r="AK978" s="341"/>
      <c r="AL978" s="341"/>
      <c r="AM978" s="339"/>
      <c r="AN978" s="339"/>
      <c r="AO978" s="339"/>
      <c r="AP978" s="339"/>
      <c r="AQ978" s="339"/>
      <c r="AR978" s="339"/>
      <c r="AS978" s="339"/>
    </row>
    <row r="979" spans="1:45" ht="15.75" customHeight="1">
      <c r="A979" s="339"/>
      <c r="B979" s="339"/>
      <c r="C979" s="341"/>
      <c r="D979" s="341"/>
      <c r="E979" s="341"/>
      <c r="F979" s="340"/>
      <c r="G979" s="339"/>
      <c r="H979" s="339"/>
      <c r="I979" s="339"/>
      <c r="J979" s="341"/>
      <c r="K979" s="340"/>
      <c r="L979" s="341"/>
      <c r="M979" s="340"/>
      <c r="N979" s="339"/>
      <c r="O979" s="339"/>
      <c r="P979" s="339"/>
      <c r="Q979" s="339"/>
      <c r="R979" s="339"/>
      <c r="S979" s="339"/>
      <c r="T979" s="339"/>
      <c r="U979" s="339"/>
      <c r="V979" s="339"/>
      <c r="W979" s="339"/>
      <c r="X979" s="339"/>
      <c r="Y979" s="339"/>
      <c r="Z979" s="339"/>
      <c r="AA979" s="339"/>
      <c r="AB979" s="341"/>
      <c r="AC979" s="341"/>
      <c r="AD979" s="341"/>
      <c r="AE979" s="339"/>
      <c r="AF979" s="339"/>
      <c r="AG979" s="341"/>
      <c r="AH979" s="339"/>
      <c r="AI979" s="341"/>
      <c r="AJ979" s="339"/>
      <c r="AK979" s="341"/>
      <c r="AL979" s="341"/>
      <c r="AM979" s="339"/>
      <c r="AN979" s="339"/>
      <c r="AO979" s="339"/>
      <c r="AP979" s="339"/>
      <c r="AQ979" s="339"/>
      <c r="AR979" s="339"/>
      <c r="AS979" s="339"/>
    </row>
    <row r="980" spans="1:45" ht="15.75" customHeight="1">
      <c r="A980" s="339"/>
      <c r="B980" s="339"/>
      <c r="C980" s="341"/>
      <c r="D980" s="341"/>
      <c r="E980" s="341"/>
      <c r="F980" s="340"/>
      <c r="G980" s="339"/>
      <c r="H980" s="339"/>
      <c r="I980" s="339"/>
      <c r="J980" s="341"/>
      <c r="K980" s="340"/>
      <c r="L980" s="341"/>
      <c r="M980" s="340"/>
      <c r="N980" s="339"/>
      <c r="O980" s="339"/>
      <c r="P980" s="339"/>
      <c r="Q980" s="339"/>
      <c r="R980" s="339"/>
      <c r="S980" s="339"/>
      <c r="T980" s="339"/>
      <c r="U980" s="339"/>
      <c r="V980" s="339"/>
      <c r="W980" s="339"/>
      <c r="X980" s="339"/>
      <c r="Y980" s="339"/>
      <c r="Z980" s="339"/>
      <c r="AA980" s="339"/>
      <c r="AB980" s="341"/>
      <c r="AC980" s="341"/>
      <c r="AD980" s="341"/>
      <c r="AE980" s="339"/>
      <c r="AF980" s="339"/>
      <c r="AG980" s="341"/>
      <c r="AH980" s="339"/>
      <c r="AI980" s="341"/>
      <c r="AJ980" s="339"/>
      <c r="AK980" s="341"/>
      <c r="AL980" s="341"/>
      <c r="AM980" s="339"/>
      <c r="AN980" s="339"/>
      <c r="AO980" s="339"/>
      <c r="AP980" s="339"/>
      <c r="AQ980" s="339"/>
      <c r="AR980" s="339"/>
      <c r="AS980" s="339"/>
    </row>
    <row r="981" spans="1:45" ht="15.75" customHeight="1">
      <c r="A981" s="339"/>
      <c r="B981" s="339"/>
      <c r="C981" s="341"/>
      <c r="D981" s="341"/>
      <c r="E981" s="341"/>
      <c r="F981" s="340"/>
      <c r="G981" s="339"/>
      <c r="H981" s="339"/>
      <c r="I981" s="339"/>
      <c r="J981" s="341"/>
      <c r="K981" s="340"/>
      <c r="L981" s="341"/>
      <c r="M981" s="340"/>
      <c r="N981" s="339"/>
      <c r="O981" s="339"/>
      <c r="P981" s="339"/>
      <c r="Q981" s="339"/>
      <c r="R981" s="339"/>
      <c r="S981" s="339"/>
      <c r="T981" s="339"/>
      <c r="U981" s="339"/>
      <c r="V981" s="339"/>
      <c r="W981" s="339"/>
      <c r="X981" s="339"/>
      <c r="Y981" s="339"/>
      <c r="Z981" s="339"/>
      <c r="AA981" s="339"/>
      <c r="AB981" s="341"/>
      <c r="AC981" s="341"/>
      <c r="AD981" s="341"/>
      <c r="AE981" s="339"/>
      <c r="AF981" s="339"/>
      <c r="AG981" s="341"/>
      <c r="AH981" s="339"/>
      <c r="AI981" s="341"/>
      <c r="AJ981" s="339"/>
      <c r="AK981" s="341"/>
      <c r="AL981" s="341"/>
      <c r="AM981" s="339"/>
      <c r="AN981" s="339"/>
      <c r="AO981" s="339"/>
      <c r="AP981" s="339"/>
      <c r="AQ981" s="339"/>
      <c r="AR981" s="339"/>
      <c r="AS981" s="339"/>
    </row>
    <row r="982" spans="1:45" ht="15.75" customHeight="1">
      <c r="A982" s="339"/>
      <c r="B982" s="339"/>
      <c r="C982" s="341"/>
      <c r="D982" s="341"/>
      <c r="E982" s="341"/>
      <c r="F982" s="340"/>
      <c r="G982" s="339"/>
      <c r="H982" s="339"/>
      <c r="I982" s="339"/>
      <c r="J982" s="341"/>
      <c r="K982" s="340"/>
      <c r="L982" s="341"/>
      <c r="M982" s="340"/>
      <c r="N982" s="339"/>
      <c r="O982" s="339"/>
      <c r="P982" s="339"/>
      <c r="Q982" s="339"/>
      <c r="R982" s="339"/>
      <c r="S982" s="339"/>
      <c r="T982" s="339"/>
      <c r="U982" s="339"/>
      <c r="V982" s="339"/>
      <c r="W982" s="339"/>
      <c r="X982" s="339"/>
      <c r="Y982" s="339"/>
      <c r="Z982" s="339"/>
      <c r="AA982" s="339"/>
      <c r="AB982" s="341"/>
      <c r="AC982" s="341"/>
      <c r="AD982" s="341"/>
      <c r="AE982" s="339"/>
      <c r="AF982" s="339"/>
      <c r="AG982" s="341"/>
      <c r="AH982" s="339"/>
      <c r="AI982" s="341"/>
      <c r="AJ982" s="339"/>
      <c r="AK982" s="341"/>
      <c r="AL982" s="341"/>
      <c r="AM982" s="339"/>
      <c r="AN982" s="339"/>
      <c r="AO982" s="339"/>
      <c r="AP982" s="339"/>
      <c r="AQ982" s="339"/>
      <c r="AR982" s="339"/>
      <c r="AS982" s="339"/>
    </row>
    <row r="983" spans="1:45" ht="15.75" customHeight="1">
      <c r="A983" s="339"/>
      <c r="B983" s="339"/>
      <c r="C983" s="341"/>
      <c r="D983" s="341"/>
      <c r="E983" s="341"/>
      <c r="F983" s="340"/>
      <c r="G983" s="339"/>
      <c r="H983" s="339"/>
      <c r="I983" s="339"/>
      <c r="J983" s="341"/>
      <c r="K983" s="340"/>
      <c r="L983" s="341"/>
      <c r="M983" s="340"/>
      <c r="N983" s="339"/>
      <c r="O983" s="339"/>
      <c r="P983" s="339"/>
      <c r="Q983" s="339"/>
      <c r="R983" s="339"/>
      <c r="S983" s="339"/>
      <c r="T983" s="339"/>
      <c r="U983" s="339"/>
      <c r="V983" s="339"/>
      <c r="W983" s="339"/>
      <c r="X983" s="339"/>
      <c r="Y983" s="339"/>
      <c r="Z983" s="339"/>
      <c r="AA983" s="339"/>
      <c r="AB983" s="341"/>
      <c r="AC983" s="341"/>
      <c r="AD983" s="341"/>
      <c r="AE983" s="339"/>
      <c r="AF983" s="339"/>
      <c r="AG983" s="341"/>
      <c r="AH983" s="339"/>
      <c r="AI983" s="341"/>
      <c r="AJ983" s="339"/>
      <c r="AK983" s="341"/>
      <c r="AL983" s="341"/>
      <c r="AM983" s="339"/>
      <c r="AN983" s="339"/>
      <c r="AO983" s="339"/>
      <c r="AP983" s="339"/>
      <c r="AQ983" s="339"/>
      <c r="AR983" s="339"/>
      <c r="AS983" s="339"/>
    </row>
    <row r="984" spans="1:45" ht="15.75" customHeight="1">
      <c r="A984" s="339"/>
      <c r="B984" s="339"/>
      <c r="C984" s="341"/>
      <c r="D984" s="341"/>
      <c r="E984" s="341"/>
      <c r="F984" s="340"/>
      <c r="G984" s="339"/>
      <c r="H984" s="339"/>
      <c r="I984" s="339"/>
      <c r="J984" s="341"/>
      <c r="K984" s="340"/>
      <c r="L984" s="341"/>
      <c r="M984" s="340"/>
      <c r="N984" s="339"/>
      <c r="O984" s="339"/>
      <c r="P984" s="339"/>
      <c r="Q984" s="339"/>
      <c r="R984" s="339"/>
      <c r="S984" s="339"/>
      <c r="T984" s="339"/>
      <c r="U984" s="339"/>
      <c r="V984" s="339"/>
      <c r="W984" s="339"/>
      <c r="X984" s="339"/>
      <c r="Y984" s="339"/>
      <c r="Z984" s="339"/>
      <c r="AA984" s="339"/>
      <c r="AB984" s="341"/>
      <c r="AC984" s="341"/>
      <c r="AD984" s="341"/>
      <c r="AE984" s="339"/>
      <c r="AF984" s="339"/>
      <c r="AG984" s="341"/>
      <c r="AH984" s="339"/>
      <c r="AI984" s="341"/>
      <c r="AJ984" s="339"/>
      <c r="AK984" s="341"/>
      <c r="AL984" s="341"/>
      <c r="AM984" s="339"/>
      <c r="AN984" s="339"/>
      <c r="AO984" s="339"/>
      <c r="AP984" s="339"/>
      <c r="AQ984" s="339"/>
      <c r="AR984" s="339"/>
      <c r="AS984" s="339"/>
    </row>
    <row r="985" spans="1:45" ht="15.75" customHeight="1">
      <c r="A985" s="339"/>
      <c r="B985" s="339"/>
      <c r="C985" s="341"/>
      <c r="D985" s="341"/>
      <c r="E985" s="341"/>
      <c r="F985" s="340"/>
      <c r="G985" s="339"/>
      <c r="H985" s="339"/>
      <c r="I985" s="339"/>
      <c r="J985" s="341"/>
      <c r="K985" s="340"/>
      <c r="L985" s="341"/>
      <c r="M985" s="340"/>
      <c r="N985" s="339"/>
      <c r="O985" s="339"/>
      <c r="P985" s="339"/>
      <c r="Q985" s="339"/>
      <c r="R985" s="339"/>
      <c r="S985" s="339"/>
      <c r="T985" s="339"/>
      <c r="U985" s="339"/>
      <c r="V985" s="339"/>
      <c r="W985" s="339"/>
      <c r="X985" s="339"/>
      <c r="Y985" s="339"/>
      <c r="Z985" s="339"/>
      <c r="AA985" s="339"/>
      <c r="AB985" s="341"/>
      <c r="AC985" s="341"/>
      <c r="AD985" s="341"/>
      <c r="AE985" s="339"/>
      <c r="AF985" s="339"/>
      <c r="AG985" s="341"/>
      <c r="AH985" s="339"/>
      <c r="AI985" s="341"/>
      <c r="AJ985" s="339"/>
      <c r="AK985" s="341"/>
      <c r="AL985" s="341"/>
      <c r="AM985" s="339"/>
      <c r="AN985" s="339"/>
      <c r="AO985" s="339"/>
      <c r="AP985" s="339"/>
      <c r="AQ985" s="339"/>
      <c r="AR985" s="339"/>
      <c r="AS985" s="339"/>
    </row>
    <row r="986" spans="1:45" ht="15.75" customHeight="1">
      <c r="A986" s="339"/>
      <c r="B986" s="339"/>
      <c r="C986" s="341"/>
      <c r="D986" s="341"/>
      <c r="E986" s="341"/>
      <c r="F986" s="340"/>
      <c r="G986" s="339"/>
      <c r="H986" s="339"/>
      <c r="I986" s="339"/>
      <c r="J986" s="341"/>
      <c r="K986" s="340"/>
      <c r="L986" s="341"/>
      <c r="M986" s="340"/>
      <c r="N986" s="339"/>
      <c r="O986" s="339"/>
      <c r="P986" s="339"/>
      <c r="Q986" s="339"/>
      <c r="R986" s="339"/>
      <c r="S986" s="339"/>
      <c r="T986" s="339"/>
      <c r="U986" s="339"/>
      <c r="V986" s="339"/>
      <c r="W986" s="339"/>
      <c r="X986" s="339"/>
      <c r="Y986" s="339"/>
      <c r="Z986" s="339"/>
      <c r="AA986" s="339"/>
      <c r="AB986" s="341"/>
      <c r="AC986" s="341"/>
      <c r="AD986" s="341"/>
      <c r="AE986" s="339"/>
      <c r="AF986" s="339"/>
      <c r="AG986" s="341"/>
      <c r="AH986" s="339"/>
      <c r="AI986" s="341"/>
      <c r="AJ986" s="339"/>
      <c r="AK986" s="341"/>
      <c r="AL986" s="341"/>
      <c r="AM986" s="339"/>
      <c r="AN986" s="339"/>
      <c r="AO986" s="339"/>
      <c r="AP986" s="339"/>
      <c r="AQ986" s="339"/>
      <c r="AR986" s="339"/>
      <c r="AS986" s="339"/>
    </row>
    <row r="987" spans="1:45" ht="15.75" customHeight="1">
      <c r="A987" s="339"/>
      <c r="B987" s="339"/>
      <c r="C987" s="341"/>
      <c r="D987" s="341"/>
      <c r="E987" s="341"/>
      <c r="F987" s="340"/>
      <c r="G987" s="339"/>
      <c r="H987" s="339"/>
      <c r="I987" s="339"/>
      <c r="J987" s="341"/>
      <c r="K987" s="340"/>
      <c r="L987" s="341"/>
      <c r="M987" s="340"/>
      <c r="N987" s="339"/>
      <c r="O987" s="339"/>
      <c r="P987" s="339"/>
      <c r="Q987" s="339"/>
      <c r="R987" s="339"/>
      <c r="S987" s="339"/>
      <c r="T987" s="339"/>
      <c r="U987" s="339"/>
      <c r="V987" s="339"/>
      <c r="W987" s="339"/>
      <c r="X987" s="339"/>
      <c r="Y987" s="339"/>
      <c r="Z987" s="339"/>
      <c r="AA987" s="339"/>
      <c r="AB987" s="341"/>
      <c r="AC987" s="341"/>
      <c r="AD987" s="341"/>
      <c r="AE987" s="339"/>
      <c r="AF987" s="339"/>
      <c r="AG987" s="341"/>
      <c r="AH987" s="339"/>
      <c r="AI987" s="341"/>
      <c r="AJ987" s="339"/>
      <c r="AK987" s="341"/>
      <c r="AL987" s="341"/>
      <c r="AM987" s="339"/>
      <c r="AN987" s="339"/>
      <c r="AO987" s="339"/>
      <c r="AP987" s="339"/>
      <c r="AQ987" s="339"/>
      <c r="AR987" s="339"/>
      <c r="AS987" s="339"/>
    </row>
    <row r="988" spans="1:45" ht="15.75" customHeight="1">
      <c r="A988" s="339"/>
      <c r="B988" s="339"/>
      <c r="C988" s="341"/>
      <c r="D988" s="341"/>
      <c r="E988" s="341"/>
      <c r="F988" s="340"/>
      <c r="G988" s="339"/>
      <c r="H988" s="339"/>
      <c r="I988" s="339"/>
      <c r="J988" s="341"/>
      <c r="K988" s="340"/>
      <c r="L988" s="341"/>
      <c r="M988" s="340"/>
      <c r="N988" s="339"/>
      <c r="O988" s="339"/>
      <c r="P988" s="339"/>
      <c r="Q988" s="339"/>
      <c r="R988" s="339"/>
      <c r="S988" s="339"/>
      <c r="T988" s="339"/>
      <c r="U988" s="339"/>
      <c r="V988" s="339"/>
      <c r="W988" s="339"/>
      <c r="X988" s="339"/>
      <c r="Y988" s="339"/>
      <c r="Z988" s="339"/>
      <c r="AA988" s="339"/>
      <c r="AB988" s="341"/>
      <c r="AC988" s="341"/>
      <c r="AD988" s="341"/>
      <c r="AE988" s="339"/>
      <c r="AF988" s="339"/>
      <c r="AG988" s="341"/>
      <c r="AH988" s="339"/>
      <c r="AI988" s="341"/>
      <c r="AJ988" s="339"/>
      <c r="AK988" s="341"/>
      <c r="AL988" s="341"/>
      <c r="AM988" s="339"/>
      <c r="AN988" s="339"/>
      <c r="AO988" s="339"/>
      <c r="AP988" s="339"/>
      <c r="AQ988" s="339"/>
      <c r="AR988" s="339"/>
      <c r="AS988" s="339"/>
    </row>
    <row r="989" spans="1:45" ht="15.75" customHeight="1">
      <c r="A989" s="339"/>
      <c r="B989" s="339"/>
      <c r="C989" s="341"/>
      <c r="D989" s="341"/>
      <c r="E989" s="341"/>
      <c r="F989" s="340"/>
      <c r="G989" s="339"/>
      <c r="H989" s="339"/>
      <c r="I989" s="339"/>
      <c r="J989" s="341"/>
      <c r="K989" s="340"/>
      <c r="L989" s="341"/>
      <c r="M989" s="340"/>
      <c r="N989" s="339"/>
      <c r="O989" s="339"/>
      <c r="P989" s="339"/>
      <c r="Q989" s="339"/>
      <c r="R989" s="339"/>
      <c r="S989" s="339"/>
      <c r="T989" s="339"/>
      <c r="U989" s="339"/>
      <c r="V989" s="339"/>
      <c r="W989" s="339"/>
      <c r="X989" s="339"/>
      <c r="Y989" s="339"/>
      <c r="Z989" s="339"/>
      <c r="AA989" s="339"/>
      <c r="AB989" s="341"/>
      <c r="AC989" s="341"/>
      <c r="AD989" s="341"/>
      <c r="AE989" s="339"/>
      <c r="AF989" s="339"/>
      <c r="AG989" s="341"/>
      <c r="AH989" s="339"/>
      <c r="AI989" s="341"/>
      <c r="AJ989" s="339"/>
      <c r="AK989" s="341"/>
      <c r="AL989" s="341"/>
      <c r="AM989" s="339"/>
      <c r="AN989" s="339"/>
      <c r="AO989" s="339"/>
      <c r="AP989" s="339"/>
      <c r="AQ989" s="339"/>
      <c r="AR989" s="339"/>
      <c r="AS989" s="339"/>
    </row>
    <row r="990" spans="1:45" ht="15.75" customHeight="1">
      <c r="A990" s="339"/>
      <c r="B990" s="339"/>
      <c r="C990" s="341"/>
      <c r="D990" s="341"/>
      <c r="E990" s="341"/>
      <c r="F990" s="340"/>
      <c r="G990" s="339"/>
      <c r="H990" s="339"/>
      <c r="I990" s="339"/>
      <c r="J990" s="341"/>
      <c r="K990" s="340"/>
      <c r="L990" s="341"/>
      <c r="M990" s="340"/>
      <c r="N990" s="339"/>
      <c r="O990" s="339"/>
      <c r="P990" s="339"/>
      <c r="Q990" s="339"/>
      <c r="R990" s="339"/>
      <c r="S990" s="339"/>
      <c r="T990" s="339"/>
      <c r="U990" s="339"/>
      <c r="V990" s="339"/>
      <c r="W990" s="339"/>
      <c r="X990" s="339"/>
      <c r="Y990" s="339"/>
      <c r="Z990" s="339"/>
      <c r="AA990" s="339"/>
      <c r="AB990" s="341"/>
      <c r="AC990" s="341"/>
      <c r="AD990" s="341"/>
      <c r="AE990" s="339"/>
      <c r="AF990" s="339"/>
      <c r="AG990" s="341"/>
      <c r="AH990" s="339"/>
      <c r="AI990" s="341"/>
      <c r="AJ990" s="339"/>
      <c r="AK990" s="341"/>
      <c r="AL990" s="341"/>
      <c r="AM990" s="339"/>
      <c r="AN990" s="339"/>
      <c r="AO990" s="339"/>
      <c r="AP990" s="339"/>
      <c r="AQ990" s="339"/>
      <c r="AR990" s="339"/>
      <c r="AS990" s="339"/>
    </row>
    <row r="991" spans="1:45" ht="15.75" customHeight="1">
      <c r="A991" s="339"/>
      <c r="B991" s="339"/>
      <c r="C991" s="341"/>
      <c r="D991" s="341"/>
      <c r="E991" s="341"/>
      <c r="F991" s="340"/>
      <c r="G991" s="339"/>
      <c r="H991" s="339"/>
      <c r="I991" s="339"/>
      <c r="J991" s="341"/>
      <c r="K991" s="340"/>
      <c r="L991" s="341"/>
      <c r="M991" s="340"/>
      <c r="N991" s="339"/>
      <c r="O991" s="339"/>
      <c r="P991" s="339"/>
      <c r="Q991" s="339"/>
      <c r="R991" s="339"/>
      <c r="S991" s="339"/>
      <c r="T991" s="339"/>
      <c r="U991" s="339"/>
      <c r="V991" s="339"/>
      <c r="W991" s="339"/>
      <c r="X991" s="339"/>
      <c r="Y991" s="339"/>
      <c r="Z991" s="339"/>
      <c r="AA991" s="339"/>
      <c r="AB991" s="341"/>
      <c r="AC991" s="341"/>
      <c r="AD991" s="341"/>
      <c r="AE991" s="339"/>
      <c r="AF991" s="339"/>
      <c r="AG991" s="341"/>
      <c r="AH991" s="339"/>
      <c r="AI991" s="341"/>
      <c r="AJ991" s="339"/>
      <c r="AK991" s="341"/>
      <c r="AL991" s="341"/>
      <c r="AM991" s="339"/>
      <c r="AN991" s="339"/>
      <c r="AO991" s="339"/>
      <c r="AP991" s="339"/>
      <c r="AQ991" s="339"/>
      <c r="AR991" s="339"/>
      <c r="AS991" s="339"/>
    </row>
    <row r="992" spans="1:45" ht="15.75" customHeight="1">
      <c r="A992" s="339"/>
      <c r="B992" s="339"/>
      <c r="C992" s="341"/>
      <c r="D992" s="341"/>
      <c r="E992" s="341"/>
      <c r="F992" s="340"/>
      <c r="G992" s="339"/>
      <c r="H992" s="339"/>
      <c r="I992" s="339"/>
      <c r="J992" s="341"/>
      <c r="K992" s="340"/>
      <c r="L992" s="341"/>
      <c r="M992" s="340"/>
      <c r="N992" s="339"/>
      <c r="O992" s="339"/>
      <c r="P992" s="339"/>
      <c r="Q992" s="339"/>
      <c r="R992" s="339"/>
      <c r="S992" s="339"/>
      <c r="T992" s="339"/>
      <c r="U992" s="339"/>
      <c r="V992" s="339"/>
      <c r="W992" s="339"/>
      <c r="X992" s="339"/>
      <c r="Y992" s="339"/>
      <c r="Z992" s="339"/>
      <c r="AA992" s="339"/>
      <c r="AB992" s="341"/>
      <c r="AC992" s="341"/>
      <c r="AD992" s="341"/>
      <c r="AE992" s="339"/>
      <c r="AF992" s="339"/>
      <c r="AG992" s="341"/>
      <c r="AH992" s="339"/>
      <c r="AI992" s="341"/>
      <c r="AJ992" s="339"/>
      <c r="AK992" s="341"/>
      <c r="AL992" s="341"/>
      <c r="AM992" s="339"/>
      <c r="AN992" s="339"/>
      <c r="AO992" s="339"/>
      <c r="AP992" s="339"/>
      <c r="AQ992" s="339"/>
      <c r="AR992" s="339"/>
      <c r="AS992" s="339"/>
    </row>
    <row r="993" spans="1:45" ht="15.75" customHeight="1">
      <c r="A993" s="339"/>
      <c r="B993" s="339"/>
      <c r="C993" s="341"/>
      <c r="D993" s="341"/>
      <c r="E993" s="341"/>
      <c r="F993" s="340"/>
      <c r="G993" s="339"/>
      <c r="H993" s="339"/>
      <c r="I993" s="339"/>
      <c r="J993" s="341"/>
      <c r="K993" s="340"/>
      <c r="L993" s="341"/>
      <c r="M993" s="340"/>
      <c r="N993" s="339"/>
      <c r="O993" s="339"/>
      <c r="P993" s="339"/>
      <c r="Q993" s="339"/>
      <c r="R993" s="339"/>
      <c r="S993" s="339"/>
      <c r="T993" s="339"/>
      <c r="U993" s="339"/>
      <c r="V993" s="339"/>
      <c r="W993" s="339"/>
      <c r="X993" s="339"/>
      <c r="Y993" s="339"/>
      <c r="Z993" s="339"/>
      <c r="AA993" s="339"/>
      <c r="AB993" s="341"/>
      <c r="AC993" s="341"/>
      <c r="AD993" s="341"/>
      <c r="AE993" s="339"/>
      <c r="AF993" s="339"/>
      <c r="AG993" s="341"/>
      <c r="AH993" s="339"/>
      <c r="AI993" s="341"/>
      <c r="AJ993" s="339"/>
      <c r="AK993" s="341"/>
      <c r="AL993" s="341"/>
      <c r="AM993" s="339"/>
      <c r="AN993" s="339"/>
      <c r="AO993" s="339"/>
      <c r="AP993" s="339"/>
      <c r="AQ993" s="339"/>
      <c r="AR993" s="339"/>
      <c r="AS993" s="339"/>
    </row>
    <row r="994" spans="1:45" ht="15.75" customHeight="1">
      <c r="A994" s="339"/>
      <c r="B994" s="339"/>
      <c r="C994" s="341"/>
      <c r="D994" s="341"/>
      <c r="E994" s="341"/>
      <c r="F994" s="340"/>
      <c r="G994" s="339"/>
      <c r="H994" s="339"/>
      <c r="I994" s="339"/>
      <c r="J994" s="341"/>
      <c r="K994" s="340"/>
      <c r="L994" s="341"/>
      <c r="M994" s="340"/>
      <c r="N994" s="339"/>
      <c r="O994" s="339"/>
      <c r="P994" s="339"/>
      <c r="Q994" s="339"/>
      <c r="R994" s="339"/>
      <c r="S994" s="339"/>
      <c r="T994" s="339"/>
      <c r="U994" s="339"/>
      <c r="V994" s="339"/>
      <c r="W994" s="339"/>
      <c r="X994" s="339"/>
      <c r="Y994" s="339"/>
      <c r="Z994" s="339"/>
      <c r="AA994" s="339"/>
      <c r="AB994" s="341"/>
      <c r="AC994" s="341"/>
      <c r="AD994" s="341"/>
      <c r="AE994" s="339"/>
      <c r="AF994" s="339"/>
      <c r="AG994" s="341"/>
      <c r="AH994" s="339"/>
      <c r="AI994" s="341"/>
      <c r="AJ994" s="339"/>
      <c r="AK994" s="341"/>
      <c r="AL994" s="341"/>
      <c r="AM994" s="339"/>
      <c r="AN994" s="339"/>
      <c r="AO994" s="339"/>
      <c r="AP994" s="339"/>
      <c r="AQ994" s="339"/>
      <c r="AR994" s="339"/>
      <c r="AS994" s="339"/>
    </row>
    <row r="995" spans="1:45" ht="15.75" customHeight="1">
      <c r="A995" s="339"/>
      <c r="B995" s="339"/>
      <c r="C995" s="341"/>
      <c r="D995" s="341"/>
      <c r="E995" s="341"/>
      <c r="F995" s="340"/>
      <c r="G995" s="339"/>
      <c r="H995" s="339"/>
      <c r="I995" s="339"/>
      <c r="J995" s="341"/>
      <c r="K995" s="340"/>
      <c r="L995" s="341"/>
      <c r="M995" s="340"/>
      <c r="N995" s="339"/>
      <c r="O995" s="339"/>
      <c r="P995" s="339"/>
      <c r="Q995" s="339"/>
      <c r="R995" s="339"/>
      <c r="S995" s="339"/>
      <c r="T995" s="339"/>
      <c r="U995" s="339"/>
      <c r="V995" s="339"/>
      <c r="W995" s="339"/>
      <c r="X995" s="339"/>
      <c r="Y995" s="339"/>
      <c r="Z995" s="339"/>
      <c r="AA995" s="339"/>
      <c r="AB995" s="341"/>
      <c r="AC995" s="341"/>
      <c r="AD995" s="341"/>
      <c r="AE995" s="339"/>
      <c r="AF995" s="339"/>
      <c r="AG995" s="341"/>
      <c r="AH995" s="339"/>
      <c r="AI995" s="341"/>
      <c r="AJ995" s="339"/>
      <c r="AK995" s="341"/>
      <c r="AL995" s="341"/>
      <c r="AM995" s="339"/>
      <c r="AN995" s="339"/>
      <c r="AO995" s="339"/>
      <c r="AP995" s="339"/>
      <c r="AQ995" s="339"/>
      <c r="AR995" s="339"/>
      <c r="AS995" s="339"/>
    </row>
    <row r="996" spans="1:45" ht="15.75" customHeight="1">
      <c r="A996" s="339"/>
      <c r="B996" s="339"/>
      <c r="C996" s="341"/>
      <c r="D996" s="341"/>
      <c r="E996" s="341"/>
      <c r="F996" s="340"/>
      <c r="G996" s="339"/>
      <c r="H996" s="339"/>
      <c r="I996" s="339"/>
      <c r="J996" s="341"/>
      <c r="K996" s="340"/>
      <c r="L996" s="341"/>
      <c r="M996" s="340"/>
      <c r="N996" s="339"/>
      <c r="O996" s="339"/>
      <c r="P996" s="339"/>
      <c r="Q996" s="339"/>
      <c r="R996" s="339"/>
      <c r="S996" s="339"/>
      <c r="T996" s="339"/>
      <c r="U996" s="339"/>
      <c r="V996" s="339"/>
      <c r="W996" s="339"/>
      <c r="X996" s="339"/>
      <c r="Y996" s="339"/>
      <c r="Z996" s="339"/>
      <c r="AA996" s="339"/>
      <c r="AB996" s="341"/>
      <c r="AC996" s="341"/>
      <c r="AD996" s="341"/>
      <c r="AE996" s="339"/>
      <c r="AF996" s="339"/>
      <c r="AG996" s="341"/>
      <c r="AH996" s="339"/>
      <c r="AI996" s="341"/>
      <c r="AJ996" s="339"/>
      <c r="AK996" s="341"/>
      <c r="AL996" s="341"/>
      <c r="AM996" s="339"/>
      <c r="AN996" s="339"/>
      <c r="AO996" s="339"/>
      <c r="AP996" s="339"/>
      <c r="AQ996" s="339"/>
      <c r="AR996" s="339"/>
      <c r="AS996" s="339"/>
    </row>
    <row r="997" spans="1:45" ht="15.75" customHeight="1">
      <c r="A997" s="339"/>
      <c r="B997" s="339"/>
      <c r="C997" s="341"/>
      <c r="D997" s="341"/>
      <c r="E997" s="341"/>
      <c r="F997" s="340"/>
      <c r="G997" s="339"/>
      <c r="H997" s="339"/>
      <c r="I997" s="339"/>
      <c r="J997" s="341"/>
      <c r="K997" s="340"/>
      <c r="L997" s="341"/>
      <c r="M997" s="340"/>
      <c r="N997" s="339"/>
      <c r="O997" s="339"/>
      <c r="P997" s="339"/>
      <c r="Q997" s="339"/>
      <c r="R997" s="339"/>
      <c r="S997" s="339"/>
      <c r="T997" s="339"/>
      <c r="U997" s="339"/>
      <c r="V997" s="339"/>
      <c r="W997" s="339"/>
      <c r="X997" s="339"/>
      <c r="Y997" s="339"/>
      <c r="Z997" s="339"/>
      <c r="AA997" s="339"/>
      <c r="AB997" s="341"/>
      <c r="AC997" s="341"/>
      <c r="AD997" s="341"/>
      <c r="AE997" s="339"/>
      <c r="AF997" s="339"/>
      <c r="AG997" s="341"/>
      <c r="AH997" s="339"/>
      <c r="AI997" s="341"/>
      <c r="AJ997" s="339"/>
      <c r="AK997" s="341"/>
      <c r="AL997" s="341"/>
      <c r="AM997" s="339"/>
      <c r="AN997" s="339"/>
      <c r="AO997" s="339"/>
      <c r="AP997" s="339"/>
      <c r="AQ997" s="339"/>
      <c r="AR997" s="339"/>
      <c r="AS997" s="339"/>
    </row>
    <row r="998" spans="1:45" ht="15.75" customHeight="1">
      <c r="A998" s="339"/>
      <c r="B998" s="339"/>
      <c r="C998" s="341"/>
      <c r="D998" s="341"/>
      <c r="E998" s="341"/>
      <c r="F998" s="340"/>
      <c r="G998" s="339"/>
      <c r="H998" s="339"/>
      <c r="I998" s="339"/>
      <c r="J998" s="341"/>
      <c r="K998" s="340"/>
      <c r="L998" s="341"/>
      <c r="M998" s="340"/>
      <c r="N998" s="339"/>
      <c r="O998" s="339"/>
      <c r="P998" s="339"/>
      <c r="Q998" s="339"/>
      <c r="R998" s="339"/>
      <c r="S998" s="339"/>
      <c r="T998" s="339"/>
      <c r="U998" s="339"/>
      <c r="V998" s="339"/>
      <c r="W998" s="339"/>
      <c r="X998" s="339"/>
      <c r="Y998" s="339"/>
      <c r="Z998" s="339"/>
      <c r="AA998" s="339"/>
      <c r="AB998" s="341"/>
      <c r="AC998" s="341"/>
      <c r="AD998" s="341"/>
      <c r="AE998" s="339"/>
      <c r="AF998" s="339"/>
      <c r="AG998" s="341"/>
      <c r="AH998" s="339"/>
      <c r="AI998" s="341"/>
      <c r="AJ998" s="339"/>
      <c r="AK998" s="341"/>
      <c r="AL998" s="341"/>
      <c r="AM998" s="339"/>
      <c r="AN998" s="339"/>
      <c r="AO998" s="339"/>
      <c r="AP998" s="339"/>
      <c r="AQ998" s="339"/>
      <c r="AR998" s="339"/>
      <c r="AS998" s="339"/>
    </row>
    <row r="999" spans="1:45" ht="15.75" customHeight="1">
      <c r="A999" s="339"/>
      <c r="B999" s="339"/>
      <c r="C999" s="341"/>
      <c r="D999" s="341"/>
      <c r="E999" s="341"/>
      <c r="F999" s="340"/>
      <c r="G999" s="339"/>
      <c r="H999" s="339"/>
      <c r="I999" s="339"/>
      <c r="J999" s="341"/>
      <c r="K999" s="340"/>
      <c r="L999" s="341"/>
      <c r="M999" s="340"/>
      <c r="N999" s="339"/>
      <c r="O999" s="339"/>
      <c r="P999" s="339"/>
      <c r="Q999" s="339"/>
      <c r="R999" s="339"/>
      <c r="S999" s="339"/>
      <c r="T999" s="339"/>
      <c r="U999" s="339"/>
      <c r="V999" s="339"/>
      <c r="W999" s="339"/>
      <c r="X999" s="339"/>
      <c r="Y999" s="339"/>
      <c r="Z999" s="339"/>
      <c r="AA999" s="339"/>
      <c r="AB999" s="341"/>
      <c r="AC999" s="341"/>
      <c r="AD999" s="341"/>
      <c r="AE999" s="339"/>
      <c r="AF999" s="339"/>
      <c r="AG999" s="341"/>
      <c r="AH999" s="339"/>
      <c r="AI999" s="341"/>
      <c r="AJ999" s="339"/>
      <c r="AK999" s="341"/>
      <c r="AL999" s="341"/>
      <c r="AM999" s="339"/>
      <c r="AN999" s="339"/>
      <c r="AO999" s="339"/>
      <c r="AP999" s="339"/>
      <c r="AQ999" s="339"/>
      <c r="AR999" s="339"/>
      <c r="AS999" s="339"/>
    </row>
    <row r="1000" spans="1:45" ht="15.75" customHeight="1">
      <c r="A1000" s="339"/>
      <c r="B1000" s="339"/>
      <c r="C1000" s="341"/>
      <c r="D1000" s="341"/>
      <c r="E1000" s="341"/>
      <c r="F1000" s="340"/>
      <c r="G1000" s="339"/>
      <c r="H1000" s="339"/>
      <c r="I1000" s="339"/>
      <c r="J1000" s="341"/>
      <c r="K1000" s="340"/>
      <c r="L1000" s="341"/>
      <c r="M1000" s="340"/>
      <c r="N1000" s="339"/>
      <c r="O1000" s="339"/>
      <c r="P1000" s="339"/>
      <c r="Q1000" s="339"/>
      <c r="R1000" s="339"/>
      <c r="S1000" s="339"/>
      <c r="T1000" s="339"/>
      <c r="U1000" s="339"/>
      <c r="V1000" s="339"/>
      <c r="W1000" s="339"/>
      <c r="X1000" s="339"/>
      <c r="Y1000" s="339"/>
      <c r="Z1000" s="339"/>
      <c r="AA1000" s="339"/>
      <c r="AB1000" s="341"/>
      <c r="AC1000" s="341"/>
      <c r="AD1000" s="341"/>
      <c r="AE1000" s="339"/>
      <c r="AF1000" s="339"/>
      <c r="AG1000" s="341"/>
      <c r="AH1000" s="339"/>
      <c r="AI1000" s="341"/>
      <c r="AJ1000" s="339"/>
      <c r="AK1000" s="341"/>
      <c r="AL1000" s="341"/>
      <c r="AM1000" s="339"/>
      <c r="AN1000" s="339"/>
      <c r="AO1000" s="339"/>
      <c r="AP1000" s="339"/>
      <c r="AQ1000" s="339"/>
      <c r="AR1000" s="339"/>
      <c r="AS1000" s="339"/>
    </row>
  </sheetData>
  <mergeCells count="36">
    <mergeCell ref="J7:M7"/>
    <mergeCell ref="P7:S7"/>
    <mergeCell ref="C6:E6"/>
    <mergeCell ref="F6:G6"/>
    <mergeCell ref="N6:O7"/>
    <mergeCell ref="D7:D8"/>
    <mergeCell ref="A2:B6"/>
    <mergeCell ref="C2:AS3"/>
    <mergeCell ref="C4:G5"/>
    <mergeCell ref="H4:AL4"/>
    <mergeCell ref="AM4:AS5"/>
    <mergeCell ref="H5:M6"/>
    <mergeCell ref="N5:U5"/>
    <mergeCell ref="V6:W7"/>
    <mergeCell ref="AE6:AF7"/>
    <mergeCell ref="A7:B8"/>
    <mergeCell ref="X7:AA7"/>
    <mergeCell ref="AM6:AO6"/>
    <mergeCell ref="AG7:AJ7"/>
    <mergeCell ref="AN7:AO7"/>
    <mergeCell ref="AP6:AQ6"/>
    <mergeCell ref="AR6:AS6"/>
    <mergeCell ref="V5:AD5"/>
    <mergeCell ref="AE5:AL5"/>
    <mergeCell ref="P6:U6"/>
    <mergeCell ref="X6:AD6"/>
    <mergeCell ref="AG6:AL6"/>
    <mergeCell ref="A91:B91"/>
    <mergeCell ref="A106:B106"/>
    <mergeCell ref="F7:G7"/>
    <mergeCell ref="H7:I7"/>
    <mergeCell ref="A9:B9"/>
    <mergeCell ref="A15:B15"/>
    <mergeCell ref="A33:B33"/>
    <mergeCell ref="A54:B54"/>
    <mergeCell ref="A76:B76"/>
  </mergeCells>
  <printOptions horizontalCentered="1"/>
  <pageMargins left="0.31496062992125984" right="0.31496062992125984" top="0.74803149606299213" bottom="0.74803149606299213" header="0" footer="0"/>
  <pageSetup paperSize="9" scale="50" fitToWidth="0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  <colBreaks count="2" manualBreakCount="2">
    <brk id="21" max="1048575" man="1"/>
    <brk id="38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D965"/>
    <pageSetUpPr fitToPage="1"/>
  </sheetPr>
  <dimension ref="A1:Z1000"/>
  <sheetViews>
    <sheetView view="pageBreakPreview" zoomScale="60" zoomScaleNormal="100" workbookViewId="0">
      <pane xSplit="2" ySplit="9" topLeftCell="C10" activePane="bottomRight" state="frozen"/>
      <selection activeCell="A91" sqref="A91:XFD114"/>
      <selection pane="topRight" activeCell="A91" sqref="A91:XFD114"/>
      <selection pane="bottomLeft" activeCell="A91" sqref="A91:XFD114"/>
      <selection pane="bottomRight" activeCell="A91" sqref="A91:XFD114"/>
    </sheetView>
  </sheetViews>
  <sheetFormatPr defaultColWidth="14.44140625" defaultRowHeight="15" customHeight="1"/>
  <cols>
    <col min="1" max="1" width="7.21875" customWidth="1"/>
    <col min="2" max="2" width="32.109375" customWidth="1"/>
    <col min="3" max="6" width="17.21875" customWidth="1"/>
    <col min="7" max="7" width="10.77734375" customWidth="1"/>
    <col min="8" max="9" width="11.5546875" customWidth="1"/>
    <col min="10" max="10" width="10.77734375" customWidth="1"/>
    <col min="11" max="11" width="9.77734375" customWidth="1"/>
    <col min="12" max="13" width="10.77734375" customWidth="1"/>
    <col min="14" max="14" width="12.5546875" customWidth="1"/>
    <col min="15" max="17" width="13.44140625" customWidth="1"/>
    <col min="18" max="19" width="11.109375" customWidth="1"/>
    <col min="20" max="20" width="10.77734375" customWidth="1"/>
  </cols>
  <sheetData>
    <row r="1" spans="1:26" ht="24" customHeight="1">
      <c r="A1" s="1" t="s">
        <v>284</v>
      </c>
      <c r="B1" s="236"/>
      <c r="C1" s="238"/>
      <c r="D1" s="238"/>
      <c r="E1" s="238"/>
      <c r="F1" s="238"/>
      <c r="G1" s="238"/>
      <c r="H1" s="405"/>
      <c r="I1" s="237"/>
      <c r="J1" s="238"/>
      <c r="K1" s="405"/>
      <c r="L1" s="237"/>
      <c r="M1" s="405"/>
      <c r="N1" s="406"/>
      <c r="O1" s="407"/>
      <c r="P1" s="408"/>
      <c r="Q1" s="407"/>
      <c r="R1" s="236"/>
      <c r="S1" s="237"/>
      <c r="T1" s="236"/>
      <c r="U1" s="342"/>
      <c r="V1" s="342"/>
      <c r="W1" s="342"/>
      <c r="X1" s="342"/>
      <c r="Y1" s="342"/>
      <c r="Z1" s="342"/>
    </row>
    <row r="2" spans="1:26" ht="12.75" customHeight="1">
      <c r="A2" s="829" t="s">
        <v>1</v>
      </c>
      <c r="B2" s="682"/>
      <c r="C2" s="830" t="s">
        <v>285</v>
      </c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  <c r="Q2" s="776"/>
      <c r="R2" s="776"/>
      <c r="S2" s="776"/>
      <c r="T2" s="777"/>
      <c r="U2" s="339"/>
      <c r="V2" s="339"/>
      <c r="W2" s="339"/>
      <c r="X2" s="339"/>
      <c r="Y2" s="339"/>
      <c r="Z2" s="339"/>
    </row>
    <row r="3" spans="1:26" ht="12.75" customHeight="1">
      <c r="A3" s="660"/>
      <c r="B3" s="661"/>
      <c r="C3" s="696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  <c r="S3" s="670"/>
      <c r="T3" s="768"/>
      <c r="U3" s="339"/>
      <c r="V3" s="339"/>
      <c r="W3" s="339"/>
      <c r="X3" s="339"/>
      <c r="Y3" s="339"/>
      <c r="Z3" s="339"/>
    </row>
    <row r="4" spans="1:26" ht="33.75" customHeight="1">
      <c r="A4" s="660"/>
      <c r="B4" s="661"/>
      <c r="C4" s="831" t="s">
        <v>246</v>
      </c>
      <c r="D4" s="694"/>
      <c r="E4" s="694"/>
      <c r="F4" s="694"/>
      <c r="G4" s="832"/>
      <c r="H4" s="834" t="s">
        <v>286</v>
      </c>
      <c r="I4" s="651"/>
      <c r="J4" s="651"/>
      <c r="K4" s="651"/>
      <c r="L4" s="651"/>
      <c r="M4" s="651"/>
      <c r="N4" s="651"/>
      <c r="O4" s="651"/>
      <c r="P4" s="651"/>
      <c r="Q4" s="651"/>
      <c r="R4" s="651"/>
      <c r="S4" s="651"/>
      <c r="T4" s="756"/>
      <c r="U4" s="339"/>
      <c r="V4" s="339"/>
      <c r="W4" s="339"/>
      <c r="X4" s="339"/>
      <c r="Y4" s="339"/>
      <c r="Z4" s="339"/>
    </row>
    <row r="5" spans="1:26" ht="33" customHeight="1">
      <c r="A5" s="660"/>
      <c r="B5" s="661"/>
      <c r="C5" s="696"/>
      <c r="D5" s="670"/>
      <c r="E5" s="670"/>
      <c r="F5" s="670"/>
      <c r="G5" s="833"/>
      <c r="H5" s="835" t="s">
        <v>150</v>
      </c>
      <c r="I5" s="694"/>
      <c r="J5" s="695"/>
      <c r="K5" s="836" t="s">
        <v>287</v>
      </c>
      <c r="L5" s="698"/>
      <c r="M5" s="698"/>
      <c r="N5" s="698"/>
      <c r="O5" s="698"/>
      <c r="P5" s="698"/>
      <c r="Q5" s="699"/>
      <c r="R5" s="837" t="s">
        <v>288</v>
      </c>
      <c r="S5" s="694"/>
      <c r="T5" s="781"/>
      <c r="U5" s="339"/>
      <c r="V5" s="339"/>
      <c r="W5" s="339"/>
      <c r="X5" s="339"/>
      <c r="Y5" s="339"/>
      <c r="Z5" s="339"/>
    </row>
    <row r="6" spans="1:26" ht="56.25" customHeight="1">
      <c r="A6" s="683"/>
      <c r="B6" s="684"/>
      <c r="C6" s="827" t="s">
        <v>9</v>
      </c>
      <c r="D6" s="651"/>
      <c r="E6" s="654"/>
      <c r="F6" s="809" t="s">
        <v>11</v>
      </c>
      <c r="G6" s="839"/>
      <c r="H6" s="719"/>
      <c r="I6" s="670"/>
      <c r="J6" s="671"/>
      <c r="K6" s="840" t="s">
        <v>289</v>
      </c>
      <c r="L6" s="651"/>
      <c r="M6" s="654"/>
      <c r="N6" s="838" t="s">
        <v>290</v>
      </c>
      <c r="O6" s="654"/>
      <c r="P6" s="838" t="s">
        <v>291</v>
      </c>
      <c r="Q6" s="654"/>
      <c r="R6" s="719"/>
      <c r="S6" s="670"/>
      <c r="T6" s="768"/>
      <c r="U6" s="344"/>
      <c r="V6" s="344"/>
      <c r="W6" s="344"/>
      <c r="X6" s="344"/>
      <c r="Y6" s="344"/>
      <c r="Z6" s="344"/>
    </row>
    <row r="7" spans="1:26" ht="27" customHeight="1">
      <c r="A7" s="841" t="s">
        <v>256</v>
      </c>
      <c r="B7" s="659"/>
      <c r="C7" s="364" t="s">
        <v>150</v>
      </c>
      <c r="D7" s="811" t="s">
        <v>257</v>
      </c>
      <c r="E7" s="346" t="s">
        <v>258</v>
      </c>
      <c r="F7" s="812" t="s">
        <v>259</v>
      </c>
      <c r="G7" s="678"/>
      <c r="H7" s="248" t="s">
        <v>24</v>
      </c>
      <c r="I7" s="828" t="s">
        <v>25</v>
      </c>
      <c r="J7" s="699"/>
      <c r="K7" s="248" t="s">
        <v>24</v>
      </c>
      <c r="L7" s="771" t="s">
        <v>25</v>
      </c>
      <c r="M7" s="654"/>
      <c r="N7" s="248" t="s">
        <v>24</v>
      </c>
      <c r="O7" s="409" t="s">
        <v>25</v>
      </c>
      <c r="P7" s="248" t="s">
        <v>24</v>
      </c>
      <c r="Q7" s="409" t="s">
        <v>25</v>
      </c>
      <c r="R7" s="248" t="s">
        <v>24</v>
      </c>
      <c r="S7" s="771" t="s">
        <v>25</v>
      </c>
      <c r="T7" s="654"/>
      <c r="U7" s="344"/>
      <c r="V7" s="344"/>
      <c r="W7" s="344"/>
      <c r="X7" s="344"/>
      <c r="Y7" s="344"/>
      <c r="Z7" s="344"/>
    </row>
    <row r="8" spans="1:26" ht="24.75" customHeight="1">
      <c r="A8" s="662"/>
      <c r="B8" s="663"/>
      <c r="C8" s="410"/>
      <c r="D8" s="665"/>
      <c r="E8" s="411"/>
      <c r="F8" s="412" t="s">
        <v>26</v>
      </c>
      <c r="G8" s="413" t="s">
        <v>27</v>
      </c>
      <c r="H8" s="414" t="s">
        <v>32</v>
      </c>
      <c r="I8" s="415" t="s">
        <v>31</v>
      </c>
      <c r="J8" s="416" t="s">
        <v>27</v>
      </c>
      <c r="K8" s="414" t="s">
        <v>31</v>
      </c>
      <c r="L8" s="415" t="s">
        <v>31</v>
      </c>
      <c r="M8" s="415" t="s">
        <v>27</v>
      </c>
      <c r="N8" s="414" t="s">
        <v>32</v>
      </c>
      <c r="O8" s="417" t="s">
        <v>32</v>
      </c>
      <c r="P8" s="414" t="s">
        <v>32</v>
      </c>
      <c r="Q8" s="417" t="s">
        <v>32</v>
      </c>
      <c r="R8" s="414" t="s">
        <v>32</v>
      </c>
      <c r="S8" s="415" t="s">
        <v>31</v>
      </c>
      <c r="T8" s="415" t="s">
        <v>27</v>
      </c>
      <c r="U8" s="418"/>
      <c r="V8" s="418"/>
      <c r="W8" s="418"/>
      <c r="X8" s="418"/>
      <c r="Y8" s="418"/>
      <c r="Z8" s="418"/>
    </row>
    <row r="9" spans="1:26" ht="27" customHeight="1">
      <c r="A9" s="842" t="s">
        <v>34</v>
      </c>
      <c r="B9" s="731"/>
      <c r="C9" s="419">
        <f t="shared" ref="C9:E9" ca="1" si="0">C10+C11</f>
        <v>10000000</v>
      </c>
      <c r="D9" s="264">
        <f t="shared" ca="1" si="0"/>
        <v>0</v>
      </c>
      <c r="E9" s="265">
        <f t="shared" ca="1" si="0"/>
        <v>10000000</v>
      </c>
      <c r="F9" s="420">
        <f ca="1">+F10+F11</f>
        <v>5276577.4700000007</v>
      </c>
      <c r="G9" s="421">
        <f t="shared" ref="G9:G114" ca="1" si="1">IF(C9&gt;0,F9*100/C9,0)</f>
        <v>52.765774700000009</v>
      </c>
      <c r="H9" s="422">
        <f t="shared" ref="H9:I9" ca="1" si="2">H10+H11</f>
        <v>2144</v>
      </c>
      <c r="I9" s="423">
        <f t="shared" ca="1" si="2"/>
        <v>2071</v>
      </c>
      <c r="J9" s="424">
        <f t="shared" ref="J9:J114" ca="1" si="3">IF(H9&gt;0,I9*100/H9,0)</f>
        <v>96.59514925373135</v>
      </c>
      <c r="K9" s="422">
        <f t="shared" ref="K9:L9" ca="1" si="4">K10+K11</f>
        <v>1784</v>
      </c>
      <c r="L9" s="423">
        <f t="shared" ca="1" si="4"/>
        <v>1694</v>
      </c>
      <c r="M9" s="424">
        <f t="shared" ref="M9:M114" ca="1" si="5">IF(K9&gt;0,L9*100/K9,0)</f>
        <v>94.955156950672645</v>
      </c>
      <c r="N9" s="422">
        <f t="shared" ref="N9:S9" ca="1" si="6">N10+N11</f>
        <v>1430</v>
      </c>
      <c r="O9" s="423">
        <f t="shared" ca="1" si="6"/>
        <v>1340</v>
      </c>
      <c r="P9" s="422">
        <f t="shared" ca="1" si="6"/>
        <v>354</v>
      </c>
      <c r="Q9" s="423">
        <f t="shared" ca="1" si="6"/>
        <v>354</v>
      </c>
      <c r="R9" s="422">
        <f t="shared" ca="1" si="6"/>
        <v>360</v>
      </c>
      <c r="S9" s="425">
        <f t="shared" ca="1" si="6"/>
        <v>377</v>
      </c>
      <c r="T9" s="426">
        <f t="shared" ref="T9:T114" ca="1" si="7">IF(R9&gt;0,S9*100/R9,0)</f>
        <v>104.72222222222223</v>
      </c>
      <c r="U9" s="336"/>
      <c r="V9" s="336"/>
      <c r="W9" s="336"/>
      <c r="X9" s="336"/>
      <c r="Y9" s="336"/>
      <c r="Z9" s="336"/>
    </row>
    <row r="10" spans="1:26" ht="24" customHeight="1">
      <c r="A10" s="427" t="s">
        <v>35</v>
      </c>
      <c r="B10" s="428"/>
      <c r="C10" s="429">
        <f t="shared" ref="C10:F10" ca="1" si="8">+C15+C33+C54+C76</f>
        <v>9112600</v>
      </c>
      <c r="D10" s="430">
        <f t="shared" ca="1" si="8"/>
        <v>0</v>
      </c>
      <c r="E10" s="430">
        <f t="shared" ca="1" si="8"/>
        <v>9112600</v>
      </c>
      <c r="F10" s="431">
        <f t="shared" ca="1" si="8"/>
        <v>5048046.57</v>
      </c>
      <c r="G10" s="430">
        <f t="shared" ca="1" si="1"/>
        <v>55.396336610846518</v>
      </c>
      <c r="H10" s="399">
        <f t="shared" ref="H10:I10" ca="1" si="9">+H15+H33+H54+H76</f>
        <v>1784</v>
      </c>
      <c r="I10" s="318">
        <f t="shared" ca="1" si="9"/>
        <v>1694</v>
      </c>
      <c r="J10" s="319">
        <f t="shared" ca="1" si="3"/>
        <v>94.955156950672645</v>
      </c>
      <c r="K10" s="399">
        <f t="shared" ref="K10:L10" ca="1" si="10">+K15+K33+K54+K76</f>
        <v>1784</v>
      </c>
      <c r="L10" s="318">
        <f t="shared" ca="1" si="10"/>
        <v>1694</v>
      </c>
      <c r="M10" s="319">
        <f t="shared" ca="1" si="5"/>
        <v>94.955156950672645</v>
      </c>
      <c r="N10" s="399">
        <f t="shared" ref="N10:S10" ca="1" si="11">+N15+N33+N54+N76</f>
        <v>1430</v>
      </c>
      <c r="O10" s="318">
        <f t="shared" ca="1" si="11"/>
        <v>1340</v>
      </c>
      <c r="P10" s="399">
        <f t="shared" ca="1" si="11"/>
        <v>354</v>
      </c>
      <c r="Q10" s="318">
        <f t="shared" ca="1" si="11"/>
        <v>354</v>
      </c>
      <c r="R10" s="399">
        <f t="shared" ca="1" si="11"/>
        <v>0</v>
      </c>
      <c r="S10" s="431">
        <f t="shared" si="11"/>
        <v>0</v>
      </c>
      <c r="T10" s="430">
        <f t="shared" ca="1" si="7"/>
        <v>0</v>
      </c>
      <c r="U10" s="339"/>
      <c r="V10" s="339"/>
      <c r="W10" s="339"/>
      <c r="X10" s="339"/>
      <c r="Y10" s="339"/>
      <c r="Z10" s="339"/>
    </row>
    <row r="11" spans="1:26" ht="24" customHeight="1">
      <c r="A11" s="432" t="s">
        <v>373</v>
      </c>
      <c r="B11" s="433"/>
      <c r="C11" s="434">
        <f t="shared" ref="C11:F11" ca="1" si="12">+C12+C13</f>
        <v>887400</v>
      </c>
      <c r="D11" s="324">
        <f t="shared" ca="1" si="12"/>
        <v>0</v>
      </c>
      <c r="E11" s="324">
        <f t="shared" ca="1" si="12"/>
        <v>887400</v>
      </c>
      <c r="F11" s="323">
        <f t="shared" ca="1" si="12"/>
        <v>228530.9</v>
      </c>
      <c r="G11" s="324">
        <f t="shared" ca="1" si="1"/>
        <v>25.752862294343025</v>
      </c>
      <c r="H11" s="435">
        <f t="shared" ref="H11:I11" ca="1" si="13">+H12+H13</f>
        <v>360</v>
      </c>
      <c r="I11" s="323">
        <f t="shared" ca="1" si="13"/>
        <v>377</v>
      </c>
      <c r="J11" s="324">
        <f t="shared" ca="1" si="3"/>
        <v>104.72222222222223</v>
      </c>
      <c r="K11" s="435">
        <f t="shared" ref="K11:L11" ca="1" si="14">+K12+K13</f>
        <v>0</v>
      </c>
      <c r="L11" s="323">
        <f t="shared" si="14"/>
        <v>0</v>
      </c>
      <c r="M11" s="324">
        <f t="shared" ca="1" si="5"/>
        <v>0</v>
      </c>
      <c r="N11" s="435">
        <f t="shared" ref="N11:S11" ca="1" si="15">+N12+N13</f>
        <v>0</v>
      </c>
      <c r="O11" s="323">
        <f t="shared" si="15"/>
        <v>0</v>
      </c>
      <c r="P11" s="435">
        <f t="shared" ca="1" si="15"/>
        <v>0</v>
      </c>
      <c r="Q11" s="323">
        <f t="shared" si="15"/>
        <v>0</v>
      </c>
      <c r="R11" s="435">
        <f t="shared" ca="1" si="15"/>
        <v>360</v>
      </c>
      <c r="S11" s="323">
        <f t="shared" ca="1" si="15"/>
        <v>377</v>
      </c>
      <c r="T11" s="324">
        <f t="shared" ca="1" si="7"/>
        <v>104.72222222222223</v>
      </c>
      <c r="U11" s="339"/>
      <c r="V11" s="339"/>
      <c r="W11" s="339"/>
      <c r="X11" s="339"/>
      <c r="Y11" s="339"/>
      <c r="Z11" s="339"/>
    </row>
    <row r="12" spans="1:26" ht="24" hidden="1" customHeight="1">
      <c r="A12" s="432" t="s">
        <v>36</v>
      </c>
      <c r="B12" s="433"/>
      <c r="C12" s="434">
        <f t="shared" ref="C12:F12" ca="1" si="16">+C91</f>
        <v>887400</v>
      </c>
      <c r="D12" s="324">
        <f t="shared" ca="1" si="16"/>
        <v>0</v>
      </c>
      <c r="E12" s="324">
        <f t="shared" ca="1" si="16"/>
        <v>887400</v>
      </c>
      <c r="F12" s="323">
        <f t="shared" ca="1" si="16"/>
        <v>228530.9</v>
      </c>
      <c r="G12" s="324">
        <f t="shared" ca="1" si="1"/>
        <v>25.752862294343025</v>
      </c>
      <c r="H12" s="435">
        <f t="shared" ref="H12:I12" ca="1" si="17">+H91</f>
        <v>360</v>
      </c>
      <c r="I12" s="323">
        <f t="shared" ca="1" si="17"/>
        <v>377</v>
      </c>
      <c r="J12" s="324">
        <f t="shared" ca="1" si="3"/>
        <v>104.72222222222223</v>
      </c>
      <c r="K12" s="435">
        <f t="shared" ref="K12:L12" ca="1" si="18">+K91</f>
        <v>0</v>
      </c>
      <c r="L12" s="323">
        <f t="shared" si="18"/>
        <v>0</v>
      </c>
      <c r="M12" s="324">
        <f t="shared" ca="1" si="5"/>
        <v>0</v>
      </c>
      <c r="N12" s="435">
        <f t="shared" ref="N12:S12" ca="1" si="19">+N91</f>
        <v>0</v>
      </c>
      <c r="O12" s="323">
        <f t="shared" si="19"/>
        <v>0</v>
      </c>
      <c r="P12" s="435">
        <f t="shared" ca="1" si="19"/>
        <v>0</v>
      </c>
      <c r="Q12" s="323">
        <f t="shared" si="19"/>
        <v>0</v>
      </c>
      <c r="R12" s="435">
        <f t="shared" ca="1" si="19"/>
        <v>360</v>
      </c>
      <c r="S12" s="323">
        <f t="shared" ca="1" si="19"/>
        <v>377</v>
      </c>
      <c r="T12" s="324">
        <f t="shared" ca="1" si="7"/>
        <v>104.72222222222223</v>
      </c>
      <c r="U12" s="339"/>
      <c r="V12" s="339"/>
      <c r="W12" s="339"/>
      <c r="X12" s="339"/>
      <c r="Y12" s="339"/>
      <c r="Z12" s="339"/>
    </row>
    <row r="13" spans="1:26" ht="24" hidden="1" customHeight="1">
      <c r="A13" s="432" t="s">
        <v>37</v>
      </c>
      <c r="B13" s="433"/>
      <c r="C13" s="434">
        <f t="shared" ref="C13:E13" ca="1" si="20">+C106</f>
        <v>0</v>
      </c>
      <c r="D13" s="324">
        <f t="shared" ca="1" si="20"/>
        <v>0</v>
      </c>
      <c r="E13" s="324">
        <f t="shared" ca="1" si="20"/>
        <v>0</v>
      </c>
      <c r="F13" s="323"/>
      <c r="G13" s="324">
        <f t="shared" ca="1" si="1"/>
        <v>0</v>
      </c>
      <c r="H13" s="435">
        <f t="shared" ref="H13:I13" ca="1" si="21">+H106</f>
        <v>0</v>
      </c>
      <c r="I13" s="323">
        <f t="shared" si="21"/>
        <v>0</v>
      </c>
      <c r="J13" s="324">
        <f t="shared" ca="1" si="3"/>
        <v>0</v>
      </c>
      <c r="K13" s="435">
        <f t="shared" ref="K13:L13" ca="1" si="22">+K106</f>
        <v>0</v>
      </c>
      <c r="L13" s="323">
        <f t="shared" si="22"/>
        <v>0</v>
      </c>
      <c r="M13" s="324">
        <f t="shared" ca="1" si="5"/>
        <v>0</v>
      </c>
      <c r="N13" s="435">
        <f t="shared" ref="N13:S13" ca="1" si="23">+N106</f>
        <v>0</v>
      </c>
      <c r="O13" s="323">
        <f t="shared" si="23"/>
        <v>0</v>
      </c>
      <c r="P13" s="435">
        <f t="shared" ca="1" si="23"/>
        <v>0</v>
      </c>
      <c r="Q13" s="323">
        <f t="shared" si="23"/>
        <v>0</v>
      </c>
      <c r="R13" s="435">
        <f t="shared" ca="1" si="23"/>
        <v>0</v>
      </c>
      <c r="S13" s="323">
        <f t="shared" si="23"/>
        <v>0</v>
      </c>
      <c r="T13" s="324">
        <f t="shared" ca="1" si="7"/>
        <v>0</v>
      </c>
      <c r="U13" s="339"/>
      <c r="V13" s="339"/>
      <c r="W13" s="339"/>
      <c r="X13" s="339"/>
      <c r="Y13" s="339"/>
      <c r="Z13" s="339"/>
    </row>
    <row r="14" spans="1:26" ht="24" hidden="1" customHeight="1">
      <c r="A14" s="436" t="s">
        <v>260</v>
      </c>
      <c r="B14" s="437"/>
      <c r="C14" s="438">
        <v>0</v>
      </c>
      <c r="D14" s="439">
        <v>0</v>
      </c>
      <c r="E14" s="439">
        <v>0</v>
      </c>
      <c r="F14" s="440"/>
      <c r="G14" s="439">
        <f t="shared" si="1"/>
        <v>0</v>
      </c>
      <c r="H14" s="441" t="e">
        <f t="shared" ref="H14:I14" si="24">+N14+R14</f>
        <v>#REF!</v>
      </c>
      <c r="I14" s="440" t="e">
        <f t="shared" si="24"/>
        <v>#REF!</v>
      </c>
      <c r="J14" s="439" t="e">
        <f t="shared" si="3"/>
        <v>#REF!</v>
      </c>
      <c r="K14" s="441" t="e">
        <f t="shared" ref="K14:L14" si="25">+Q14+#REF!</f>
        <v>#REF!</v>
      </c>
      <c r="L14" s="440" t="e">
        <f t="shared" si="25"/>
        <v>#REF!</v>
      </c>
      <c r="M14" s="439" t="e">
        <f t="shared" si="5"/>
        <v>#REF!</v>
      </c>
      <c r="N14" s="441" t="e">
        <f>+T14+#REF!</f>
        <v>#REF!</v>
      </c>
      <c r="O14" s="440" t="e">
        <f t="shared" ref="O14:S14" si="26">+#REF!+#REF!</f>
        <v>#REF!</v>
      </c>
      <c r="P14" s="441" t="e">
        <f t="shared" si="26"/>
        <v>#REF!</v>
      </c>
      <c r="Q14" s="440" t="e">
        <f t="shared" si="26"/>
        <v>#REF!</v>
      </c>
      <c r="R14" s="441" t="e">
        <f t="shared" si="26"/>
        <v>#REF!</v>
      </c>
      <c r="S14" s="440" t="e">
        <f t="shared" si="26"/>
        <v>#REF!</v>
      </c>
      <c r="T14" s="439" t="e">
        <f t="shared" si="7"/>
        <v>#REF!</v>
      </c>
      <c r="U14" s="339"/>
      <c r="V14" s="339"/>
      <c r="W14" s="339"/>
      <c r="X14" s="339"/>
      <c r="Y14" s="339"/>
      <c r="Z14" s="339"/>
    </row>
    <row r="15" spans="1:26" ht="21" customHeight="1">
      <c r="A15" s="802" t="s">
        <v>39</v>
      </c>
      <c r="B15" s="652"/>
      <c r="C15" s="442">
        <f t="shared" ref="C15:F15" ca="1" si="27">SUM(C16:C32)</f>
        <v>2087200</v>
      </c>
      <c r="D15" s="319">
        <f t="shared" ca="1" si="27"/>
        <v>0</v>
      </c>
      <c r="E15" s="319">
        <f t="shared" ca="1" si="27"/>
        <v>2087200</v>
      </c>
      <c r="F15" s="319">
        <f t="shared" ca="1" si="27"/>
        <v>1232912.29</v>
      </c>
      <c r="G15" s="319">
        <f t="shared" ca="1" si="1"/>
        <v>59.070155711000382</v>
      </c>
      <c r="H15" s="443">
        <f t="shared" ref="H15:I15" ca="1" si="28">SUM(H16:H32)</f>
        <v>489</v>
      </c>
      <c r="I15" s="444">
        <f t="shared" ca="1" si="28"/>
        <v>489</v>
      </c>
      <c r="J15" s="445">
        <f t="shared" ca="1" si="3"/>
        <v>100</v>
      </c>
      <c r="K15" s="443">
        <f t="shared" ref="K15:L15" ca="1" si="29">SUM(K16:K32)</f>
        <v>489</v>
      </c>
      <c r="L15" s="444">
        <f t="shared" ca="1" si="29"/>
        <v>489</v>
      </c>
      <c r="M15" s="445">
        <f t="shared" ca="1" si="5"/>
        <v>100</v>
      </c>
      <c r="N15" s="443">
        <f t="shared" ref="N15:S15" ca="1" si="30">SUM(N16:N32)</f>
        <v>360</v>
      </c>
      <c r="O15" s="444">
        <f t="shared" ca="1" si="30"/>
        <v>360</v>
      </c>
      <c r="P15" s="443">
        <f t="shared" ca="1" si="30"/>
        <v>129</v>
      </c>
      <c r="Q15" s="444">
        <f t="shared" ca="1" si="30"/>
        <v>129</v>
      </c>
      <c r="R15" s="443">
        <f t="shared" ca="1" si="30"/>
        <v>0</v>
      </c>
      <c r="S15" s="444">
        <f t="shared" si="30"/>
        <v>0</v>
      </c>
      <c r="T15" s="445">
        <f t="shared" ca="1" si="7"/>
        <v>0</v>
      </c>
      <c r="U15" s="339"/>
      <c r="V15" s="339"/>
      <c r="W15" s="339"/>
      <c r="X15" s="339"/>
      <c r="Y15" s="339"/>
      <c r="Z15" s="339"/>
    </row>
    <row r="16" spans="1:26" ht="21" customHeight="1">
      <c r="A16" s="293">
        <v>1</v>
      </c>
      <c r="B16" s="357" t="s">
        <v>40</v>
      </c>
      <c r="C16" s="446">
        <f t="shared" ref="C16:C32" ca="1" si="31">+D16+E16</f>
        <v>139600</v>
      </c>
      <c r="D16" s="301">
        <f ca="1">IFERROR(__xludf.DUMMYFUNCTION("IMPORTRANGE(""https://docs.google.com/spreadsheets/d/1C3CXT74ZlgGe6_JY_1olB1XN4rF0dxEuIIF-xsYjHgg/edit?usp=sharing"",""งบกองทุน!AU20"")"),0)</f>
        <v>0</v>
      </c>
      <c r="E16" s="301">
        <f ca="1">IFERROR(__xludf.DUMMYFUNCTION("IMPORTRANGE(""https://docs.google.com/spreadsheets/d/1C3CXT74ZlgGe6_JY_1olB1XN4rF0dxEuIIF-xsYjHgg/edit?usp=sharing"",""งบกองทุน!AV20"")"),139600)</f>
        <v>139600</v>
      </c>
      <c r="F16" s="301">
        <f ca="1">IFERROR(__xludf.DUMMYFUNCTION("IMPORTRANGE(""https://docs.google.com/spreadsheets/d/11923uPwbBZFjjGgGUA6NLw09EwE0CqkOc4q9oUmW1yo/edit?usp=sharing"",""กำแพงเพชร!M332"")"),100699)</f>
        <v>100699</v>
      </c>
      <c r="G16" s="301">
        <f t="shared" ca="1" si="1"/>
        <v>72.133954154727789</v>
      </c>
      <c r="H16" s="447">
        <f t="shared" ref="H16:H32" ca="1" si="32">+N16+P16+R16</f>
        <v>40</v>
      </c>
      <c r="I16" s="299">
        <f t="shared" ref="I16:I32" ca="1" si="33">SUM(L16,S16)</f>
        <v>40</v>
      </c>
      <c r="J16" s="448">
        <f t="shared" ca="1" si="3"/>
        <v>100</v>
      </c>
      <c r="K16" s="449">
        <f t="shared" ref="K16:K32" ca="1" si="34">+N16+P16</f>
        <v>40</v>
      </c>
      <c r="L16" s="299">
        <f t="shared" ref="L16:L32" ca="1" si="35">O16+Q16</f>
        <v>40</v>
      </c>
      <c r="M16" s="448">
        <f t="shared" ca="1" si="5"/>
        <v>100</v>
      </c>
      <c r="N16" s="450">
        <f ca="1">IFERROR(__xludf.DUMMYFUNCTION("IMPORTRANGE(""https://docs.google.com/spreadsheets/d/1C3CXT74ZlgGe6_JY_1olB1XN4rF0dxEuIIF-xsYjHgg/edit?usp=sharing"",""งบกองทุน!AY20"")"),20)</f>
        <v>20</v>
      </c>
      <c r="O16" s="299">
        <f ca="1">IFERROR(__xludf.DUMMYFUNCTION("IMPORTRANGE(""https://docs.google.com/spreadsheets/d/11923uPwbBZFjjGgGUA6NLw09EwE0CqkOc4q9oUmW1yo/edit?usp=sharing"",""กำแพงเพชร!J345"")"),20)</f>
        <v>20</v>
      </c>
      <c r="P16" s="450">
        <f ca="1">IFERROR(__xludf.DUMMYFUNCTION("IMPORTRANGE(""https://docs.google.com/spreadsheets/d/1C3CXT74ZlgGe6_JY_1olB1XN4rF0dxEuIIF-xsYjHgg/edit?usp=sharing"",""งบกองทุน!AZ20"")"),20)</f>
        <v>20</v>
      </c>
      <c r="Q16" s="299">
        <f ca="1">IFERROR(__xludf.DUMMYFUNCTION("IMPORTRANGE(""https://docs.google.com/spreadsheets/d/11923uPwbBZFjjGgGUA6NLw09EwE0CqkOc4q9oUmW1yo/edit?usp=sharing"",""กำแพงเพชร!J346"")"),20)</f>
        <v>20</v>
      </c>
      <c r="R16" s="447">
        <f ca="1">IFERROR(__xludf.DUMMYFUNCTION("IMPORTRANGE(""https://docs.google.com/spreadsheets/d/1C3CXT74ZlgGe6_JY_1olB1XN4rF0dxEuIIF-xsYjHgg/edit?usp=sharing"",""งบกองทุน!BA20"")"),0)</f>
        <v>0</v>
      </c>
      <c r="S16" s="299">
        <v>0</v>
      </c>
      <c r="T16" s="448">
        <f t="shared" ca="1" si="7"/>
        <v>0</v>
      </c>
      <c r="U16" s="339"/>
      <c r="V16" s="339"/>
      <c r="W16" s="339"/>
      <c r="X16" s="339"/>
      <c r="Y16" s="339"/>
      <c r="Z16" s="339"/>
    </row>
    <row r="17" spans="1:26" ht="24" customHeight="1">
      <c r="A17" s="303">
        <v>2</v>
      </c>
      <c r="B17" s="304" t="s">
        <v>41</v>
      </c>
      <c r="C17" s="451">
        <f t="shared" ca="1" si="31"/>
        <v>159800</v>
      </c>
      <c r="D17" s="309">
        <f ca="1">IFERROR(__xludf.DUMMYFUNCTION("IMPORTRANGE(""https://docs.google.com/spreadsheets/d/1C3CXT74ZlgGe6_JY_1olB1XN4rF0dxEuIIF-xsYjHgg/edit?usp=sharing"",""งบกองทุน!AU21"")"),0)</f>
        <v>0</v>
      </c>
      <c r="E17" s="309">
        <f ca="1">IFERROR(__xludf.DUMMYFUNCTION("IMPORTRANGE(""https://docs.google.com/spreadsheets/d/1C3CXT74ZlgGe6_JY_1olB1XN4rF0dxEuIIF-xsYjHgg/edit?usp=sharing"",""งบกองทุน!AV21"")"),159800)</f>
        <v>159800</v>
      </c>
      <c r="F17" s="309">
        <f ca="1">IFERROR(__xludf.DUMMYFUNCTION("IMPORTRANGE(""https://docs.google.com/spreadsheets/d/11923uPwbBZFjjGgGUA6NLw09EwE0CqkOc4q9oUmW1yo/edit?usp=sharing"",""เชียงราย!M332"")"),116850)</f>
        <v>116850</v>
      </c>
      <c r="G17" s="309">
        <f t="shared" ca="1" si="1"/>
        <v>73.12265331664581</v>
      </c>
      <c r="H17" s="452">
        <f t="shared" ca="1" si="32"/>
        <v>50</v>
      </c>
      <c r="I17" s="308">
        <f t="shared" ca="1" si="33"/>
        <v>50</v>
      </c>
      <c r="J17" s="453">
        <f t="shared" ca="1" si="3"/>
        <v>100</v>
      </c>
      <c r="K17" s="454">
        <f t="shared" ca="1" si="34"/>
        <v>50</v>
      </c>
      <c r="L17" s="308">
        <f t="shared" ca="1" si="35"/>
        <v>50</v>
      </c>
      <c r="M17" s="453">
        <f t="shared" ca="1" si="5"/>
        <v>100</v>
      </c>
      <c r="N17" s="455">
        <f ca="1">IFERROR(__xludf.DUMMYFUNCTION("IMPORTRANGE(""https://docs.google.com/spreadsheets/d/1C3CXT74ZlgGe6_JY_1olB1XN4rF0dxEuIIF-xsYjHgg/edit?usp=sharing"",""งบกองทุน!AY21"")"),20)</f>
        <v>20</v>
      </c>
      <c r="O17" s="308">
        <f ca="1">IFERROR(__xludf.DUMMYFUNCTION("IMPORTRANGE(""https://docs.google.com/spreadsheets/d/11923uPwbBZFjjGgGUA6NLw09EwE0CqkOc4q9oUmW1yo/edit?usp=sharing"",""เชียงราย!J345"")"),20)</f>
        <v>20</v>
      </c>
      <c r="P17" s="455">
        <f ca="1">IFERROR(__xludf.DUMMYFUNCTION("IMPORTRANGE(""https://docs.google.com/spreadsheets/d/1C3CXT74ZlgGe6_JY_1olB1XN4rF0dxEuIIF-xsYjHgg/edit?usp=sharing"",""งบกองทุน!AZ21"")"),30)</f>
        <v>30</v>
      </c>
      <c r="Q17" s="308">
        <f ca="1">IFERROR(__xludf.DUMMYFUNCTION("IMPORTRANGE(""https://docs.google.com/spreadsheets/d/11923uPwbBZFjjGgGUA6NLw09EwE0CqkOc4q9oUmW1yo/edit?usp=sharing"",""เชียงราย!J346"")"),30)</f>
        <v>30</v>
      </c>
      <c r="R17" s="452">
        <f ca="1">IFERROR(__xludf.DUMMYFUNCTION("IMPORTRANGE(""https://docs.google.com/spreadsheets/d/1C3CXT74ZlgGe6_JY_1olB1XN4rF0dxEuIIF-xsYjHgg/edit?usp=sharing"",""งบกองทุน!BA21"")"),0)</f>
        <v>0</v>
      </c>
      <c r="S17" s="308">
        <v>0</v>
      </c>
      <c r="T17" s="453">
        <f t="shared" ca="1" si="7"/>
        <v>0</v>
      </c>
      <c r="U17" s="339"/>
      <c r="V17" s="339"/>
      <c r="W17" s="339"/>
      <c r="X17" s="339"/>
      <c r="Y17" s="339"/>
      <c r="Z17" s="339"/>
    </row>
    <row r="18" spans="1:26" ht="21" customHeight="1">
      <c r="A18" s="303">
        <v>3</v>
      </c>
      <c r="B18" s="304" t="s">
        <v>42</v>
      </c>
      <c r="C18" s="451">
        <f t="shared" ca="1" si="31"/>
        <v>100000</v>
      </c>
      <c r="D18" s="309">
        <f ca="1">IFERROR(__xludf.DUMMYFUNCTION("IMPORTRANGE(""https://docs.google.com/spreadsheets/d/1C3CXT74ZlgGe6_JY_1olB1XN4rF0dxEuIIF-xsYjHgg/edit?usp=sharing"",""งบกองทุน!AU22"")"),0)</f>
        <v>0</v>
      </c>
      <c r="E18" s="309">
        <f ca="1">IFERROR(__xludf.DUMMYFUNCTION("IMPORTRANGE(""https://docs.google.com/spreadsheets/d/1C3CXT74ZlgGe6_JY_1olB1XN4rF0dxEuIIF-xsYjHgg/edit?usp=sharing"",""งบกองทุน!AV22"")"),100000)</f>
        <v>100000</v>
      </c>
      <c r="F18" s="309">
        <f ca="1">IFERROR(__xludf.DUMMYFUNCTION("IMPORTRANGE(""https://docs.google.com/spreadsheets/d/11923uPwbBZFjjGgGUA6NLw09EwE0CqkOc4q9oUmW1yo/edit?usp=sharing"",""เชียงใหม่!M332"")"),37905)</f>
        <v>37905</v>
      </c>
      <c r="G18" s="309">
        <f t="shared" ca="1" si="1"/>
        <v>37.905000000000001</v>
      </c>
      <c r="H18" s="452">
        <f t="shared" ca="1" si="32"/>
        <v>20</v>
      </c>
      <c r="I18" s="308">
        <f t="shared" ca="1" si="33"/>
        <v>20</v>
      </c>
      <c r="J18" s="453">
        <f t="shared" ca="1" si="3"/>
        <v>100</v>
      </c>
      <c r="K18" s="454">
        <f t="shared" ca="1" si="34"/>
        <v>20</v>
      </c>
      <c r="L18" s="308">
        <f t="shared" ca="1" si="35"/>
        <v>20</v>
      </c>
      <c r="M18" s="453">
        <f t="shared" ca="1" si="5"/>
        <v>100</v>
      </c>
      <c r="N18" s="456">
        <f ca="1">IFERROR(__xludf.DUMMYFUNCTION("IMPORTRANGE(""https://docs.google.com/spreadsheets/d/1C3CXT74ZlgGe6_JY_1olB1XN4rF0dxEuIIF-xsYjHgg/edit?usp=sharing"",""งบกองทุน!AY22"")"),20)</f>
        <v>20</v>
      </c>
      <c r="O18" s="308">
        <f ca="1">IFERROR(__xludf.DUMMYFUNCTION("IMPORTRANGE(""https://docs.google.com/spreadsheets/d/11923uPwbBZFjjGgGUA6NLw09EwE0CqkOc4q9oUmW1yo/edit?usp=sharing"",""เชียงใหม่!J345"")"),20)</f>
        <v>20</v>
      </c>
      <c r="P18" s="456">
        <f ca="1">IFERROR(__xludf.DUMMYFUNCTION("IMPORTRANGE(""https://docs.google.com/spreadsheets/d/1C3CXT74ZlgGe6_JY_1olB1XN4rF0dxEuIIF-xsYjHgg/edit?usp=sharing"",""งบกองทุน!AZ22"")"),0)</f>
        <v>0</v>
      </c>
      <c r="Q18" s="308">
        <f ca="1">IFERROR(__xludf.DUMMYFUNCTION("IMPORTRANGE(""https://docs.google.com/spreadsheets/d/11923uPwbBZFjjGgGUA6NLw09EwE0CqkOc4q9oUmW1yo/edit?usp=sharing"",""เชียงใหม่!J346"")"),0)</f>
        <v>0</v>
      </c>
      <c r="R18" s="452">
        <f ca="1">IFERROR(__xludf.DUMMYFUNCTION("IMPORTRANGE(""https://docs.google.com/spreadsheets/d/1C3CXT74ZlgGe6_JY_1olB1XN4rF0dxEuIIF-xsYjHgg/edit?usp=sharing"",""งบกองทุน!BA22"")"),0)</f>
        <v>0</v>
      </c>
      <c r="S18" s="308">
        <v>0</v>
      </c>
      <c r="T18" s="453">
        <f t="shared" ca="1" si="7"/>
        <v>0</v>
      </c>
      <c r="U18" s="339"/>
      <c r="V18" s="339"/>
      <c r="W18" s="339"/>
      <c r="X18" s="339"/>
      <c r="Y18" s="339"/>
      <c r="Z18" s="339"/>
    </row>
    <row r="19" spans="1:26" ht="24" customHeight="1">
      <c r="A19" s="303">
        <v>4</v>
      </c>
      <c r="B19" s="304" t="s">
        <v>43</v>
      </c>
      <c r="C19" s="451">
        <f t="shared" ca="1" si="31"/>
        <v>100000</v>
      </c>
      <c r="D19" s="309">
        <f ca="1">IFERROR(__xludf.DUMMYFUNCTION("IMPORTRANGE(""https://docs.google.com/spreadsheets/d/1C3CXT74ZlgGe6_JY_1olB1XN4rF0dxEuIIF-xsYjHgg/edit?usp=sharing"",""งบกองทุน!AU23"")"),0)</f>
        <v>0</v>
      </c>
      <c r="E19" s="309">
        <f ca="1">IFERROR(__xludf.DUMMYFUNCTION("IMPORTRANGE(""https://docs.google.com/spreadsheets/d/1C3CXT74ZlgGe6_JY_1olB1XN4rF0dxEuIIF-xsYjHgg/edit?usp=sharing"",""งบกองทุน!AV23"")"),100000)</f>
        <v>100000</v>
      </c>
      <c r="F19" s="309">
        <f ca="1">IFERROR(__xludf.DUMMYFUNCTION("IMPORTRANGE(""https://docs.google.com/spreadsheets/d/11923uPwbBZFjjGgGUA6NLw09EwE0CqkOc4q9oUmW1yo/edit?usp=sharing"",""ตาก!M332"")"),58558)</f>
        <v>58558</v>
      </c>
      <c r="G19" s="309">
        <f t="shared" ca="1" si="1"/>
        <v>58.558</v>
      </c>
      <c r="H19" s="452">
        <f t="shared" ca="1" si="32"/>
        <v>20</v>
      </c>
      <c r="I19" s="308">
        <f t="shared" ca="1" si="33"/>
        <v>20</v>
      </c>
      <c r="J19" s="453">
        <f t="shared" ca="1" si="3"/>
        <v>100</v>
      </c>
      <c r="K19" s="454">
        <f t="shared" ca="1" si="34"/>
        <v>20</v>
      </c>
      <c r="L19" s="308">
        <f t="shared" ca="1" si="35"/>
        <v>20</v>
      </c>
      <c r="M19" s="453">
        <f t="shared" ca="1" si="5"/>
        <v>100</v>
      </c>
      <c r="N19" s="456">
        <f ca="1">IFERROR(__xludf.DUMMYFUNCTION("IMPORTRANGE(""https://docs.google.com/spreadsheets/d/1C3CXT74ZlgGe6_JY_1olB1XN4rF0dxEuIIF-xsYjHgg/edit?usp=sharing"",""งบกองทุน!AY23"")"),20)</f>
        <v>20</v>
      </c>
      <c r="O19" s="308">
        <f ca="1">IFERROR(__xludf.DUMMYFUNCTION("IMPORTRANGE(""https://docs.google.com/spreadsheets/d/11923uPwbBZFjjGgGUA6NLw09EwE0CqkOc4q9oUmW1yo/edit?usp=sharing"",""ตาก!J345"")"),20)</f>
        <v>20</v>
      </c>
      <c r="P19" s="456">
        <f ca="1">IFERROR(__xludf.DUMMYFUNCTION("IMPORTRANGE(""https://docs.google.com/spreadsheets/d/1C3CXT74ZlgGe6_JY_1olB1XN4rF0dxEuIIF-xsYjHgg/edit?usp=sharing"",""งบกองทุน!AZ23"")"),0)</f>
        <v>0</v>
      </c>
      <c r="Q19" s="308">
        <f ca="1">IFERROR(__xludf.DUMMYFUNCTION("IMPORTRANGE(""https://docs.google.com/spreadsheets/d/11923uPwbBZFjjGgGUA6NLw09EwE0CqkOc4q9oUmW1yo/edit?usp=sharing"",""ตาก!J346"")"),0)</f>
        <v>0</v>
      </c>
      <c r="R19" s="452">
        <f ca="1">IFERROR(__xludf.DUMMYFUNCTION("IMPORTRANGE(""https://docs.google.com/spreadsheets/d/1C3CXT74ZlgGe6_JY_1olB1XN4rF0dxEuIIF-xsYjHgg/edit?usp=sharing"",""งบกองทุน!BA23"")"),0)</f>
        <v>0</v>
      </c>
      <c r="S19" s="308">
        <v>0</v>
      </c>
      <c r="T19" s="453">
        <f t="shared" ca="1" si="7"/>
        <v>0</v>
      </c>
      <c r="U19" s="339"/>
      <c r="V19" s="339"/>
      <c r="W19" s="339"/>
      <c r="X19" s="339"/>
      <c r="Y19" s="339"/>
      <c r="Z19" s="339"/>
    </row>
    <row r="20" spans="1:26" ht="21" customHeight="1">
      <c r="A20" s="303">
        <v>5</v>
      </c>
      <c r="B20" s="304" t="s">
        <v>44</v>
      </c>
      <c r="C20" s="451">
        <f t="shared" ca="1" si="31"/>
        <v>106000</v>
      </c>
      <c r="D20" s="309">
        <f ca="1">IFERROR(__xludf.DUMMYFUNCTION("IMPORTRANGE(""https://docs.google.com/spreadsheets/d/1C3CXT74ZlgGe6_JY_1olB1XN4rF0dxEuIIF-xsYjHgg/edit?usp=sharing"",""งบกองทุน!AU24"")"),0)</f>
        <v>0</v>
      </c>
      <c r="E20" s="309">
        <f ca="1">IFERROR(__xludf.DUMMYFUNCTION("IMPORTRANGE(""https://docs.google.com/spreadsheets/d/1C3CXT74ZlgGe6_JY_1olB1XN4rF0dxEuIIF-xsYjHgg/edit?usp=sharing"",""งบกองทุน!AV24"")"),106000)</f>
        <v>106000</v>
      </c>
      <c r="F20" s="309">
        <f ca="1">IFERROR(__xludf.DUMMYFUNCTION("IMPORTRANGE(""https://docs.google.com/spreadsheets/d/11923uPwbBZFjjGgGUA6NLw09EwE0CqkOc4q9oUmW1yo/edit?usp=sharing"",""นครสวรรค์!M332"")"),68902)</f>
        <v>68902</v>
      </c>
      <c r="G20" s="309">
        <f t="shared" ca="1" si="1"/>
        <v>65.001886792452837</v>
      </c>
      <c r="H20" s="452">
        <f t="shared" ca="1" si="32"/>
        <v>15</v>
      </c>
      <c r="I20" s="308">
        <f t="shared" ca="1" si="33"/>
        <v>15</v>
      </c>
      <c r="J20" s="453">
        <f t="shared" ca="1" si="3"/>
        <v>100</v>
      </c>
      <c r="K20" s="454">
        <f t="shared" ca="1" si="34"/>
        <v>15</v>
      </c>
      <c r="L20" s="308">
        <f t="shared" ca="1" si="35"/>
        <v>15</v>
      </c>
      <c r="M20" s="453">
        <f t="shared" ca="1" si="5"/>
        <v>100</v>
      </c>
      <c r="N20" s="456">
        <f ca="1">IFERROR(__xludf.DUMMYFUNCTION("IMPORTRANGE(""https://docs.google.com/spreadsheets/d/1C3CXT74ZlgGe6_JY_1olB1XN4rF0dxEuIIF-xsYjHgg/edit?usp=sharing"",""งบกองทุน!AY24"")"),15)</f>
        <v>15</v>
      </c>
      <c r="O20" s="308">
        <f ca="1">IFERROR(__xludf.DUMMYFUNCTION("IMPORTRANGE(""https://docs.google.com/spreadsheets/d/11923uPwbBZFjjGgGUA6NLw09EwE0CqkOc4q9oUmW1yo/edit?usp=sharing"",""นครสวรรค์!J345"")"),15)</f>
        <v>15</v>
      </c>
      <c r="P20" s="456">
        <f ca="1">IFERROR(__xludf.DUMMYFUNCTION("IMPORTRANGE(""https://docs.google.com/spreadsheets/d/1C3CXT74ZlgGe6_JY_1olB1XN4rF0dxEuIIF-xsYjHgg/edit?usp=sharing"",""งบกองทุน!AZ24"")"),0)</f>
        <v>0</v>
      </c>
      <c r="Q20" s="308">
        <f ca="1">IFERROR(__xludf.DUMMYFUNCTION("IMPORTRANGE(""https://docs.google.com/spreadsheets/d/11923uPwbBZFjjGgGUA6NLw09EwE0CqkOc4q9oUmW1yo/edit?usp=sharing"",""นครสวรรค์!J346"")"),0)</f>
        <v>0</v>
      </c>
      <c r="R20" s="452">
        <f ca="1">IFERROR(__xludf.DUMMYFUNCTION("IMPORTRANGE(""https://docs.google.com/spreadsheets/d/1C3CXT74ZlgGe6_JY_1olB1XN4rF0dxEuIIF-xsYjHgg/edit?usp=sharing"",""งบกองทุน!BA24"")"),0)</f>
        <v>0</v>
      </c>
      <c r="S20" s="308">
        <v>0</v>
      </c>
      <c r="T20" s="453">
        <f t="shared" ca="1" si="7"/>
        <v>0</v>
      </c>
      <c r="U20" s="339"/>
      <c r="V20" s="339"/>
      <c r="W20" s="339"/>
      <c r="X20" s="339"/>
      <c r="Y20" s="339"/>
      <c r="Z20" s="339"/>
    </row>
    <row r="21" spans="1:26" ht="21" customHeight="1">
      <c r="A21" s="303">
        <v>6</v>
      </c>
      <c r="B21" s="304" t="s">
        <v>45</v>
      </c>
      <c r="C21" s="451">
        <f t="shared" ca="1" si="31"/>
        <v>128800</v>
      </c>
      <c r="D21" s="309">
        <f ca="1">IFERROR(__xludf.DUMMYFUNCTION("IMPORTRANGE(""https://docs.google.com/spreadsheets/d/1C3CXT74ZlgGe6_JY_1olB1XN4rF0dxEuIIF-xsYjHgg/edit?usp=sharing"",""งบกองทุน!AU25"")"),0)</f>
        <v>0</v>
      </c>
      <c r="E21" s="309">
        <f ca="1">IFERROR(__xludf.DUMMYFUNCTION("IMPORTRANGE(""https://docs.google.com/spreadsheets/d/1C3CXT74ZlgGe6_JY_1olB1XN4rF0dxEuIIF-xsYjHgg/edit?usp=sharing"",""งบกองทุน!AV25"")"),128800)</f>
        <v>128800</v>
      </c>
      <c r="F21" s="309">
        <f ca="1">IFERROR(__xludf.DUMMYFUNCTION("IMPORTRANGE(""https://docs.google.com/spreadsheets/d/11923uPwbBZFjjGgGUA6NLw09EwE0CqkOc4q9oUmW1yo/edit?usp=sharing"",""น่าน!M332"")"),67905)</f>
        <v>67905</v>
      </c>
      <c r="G21" s="309">
        <f t="shared" ca="1" si="1"/>
        <v>52.721273291925463</v>
      </c>
      <c r="H21" s="452">
        <f t="shared" ca="1" si="32"/>
        <v>35</v>
      </c>
      <c r="I21" s="308">
        <f t="shared" ca="1" si="33"/>
        <v>35</v>
      </c>
      <c r="J21" s="453">
        <f t="shared" ca="1" si="3"/>
        <v>100</v>
      </c>
      <c r="K21" s="454">
        <f t="shared" ca="1" si="34"/>
        <v>35</v>
      </c>
      <c r="L21" s="308">
        <f t="shared" ca="1" si="35"/>
        <v>35</v>
      </c>
      <c r="M21" s="453">
        <f t="shared" ca="1" si="5"/>
        <v>100</v>
      </c>
      <c r="N21" s="456">
        <f ca="1">IFERROR(__xludf.DUMMYFUNCTION("IMPORTRANGE(""https://docs.google.com/spreadsheets/d/1C3CXT74ZlgGe6_JY_1olB1XN4rF0dxEuIIF-xsYjHgg/edit?usp=sharing"",""งบกองทุน!AY25"")"),15)</f>
        <v>15</v>
      </c>
      <c r="O21" s="308">
        <f ca="1">IFERROR(__xludf.DUMMYFUNCTION("IMPORTRANGE(""https://docs.google.com/spreadsheets/d/11923uPwbBZFjjGgGUA6NLw09EwE0CqkOc4q9oUmW1yo/edit?usp=sharing"",""น่าน!J345"")"),15)</f>
        <v>15</v>
      </c>
      <c r="P21" s="456">
        <f ca="1">IFERROR(__xludf.DUMMYFUNCTION("IMPORTRANGE(""https://docs.google.com/spreadsheets/d/1C3CXT74ZlgGe6_JY_1olB1XN4rF0dxEuIIF-xsYjHgg/edit?usp=sharing"",""งบกองทุน!AZ25"")"),20)</f>
        <v>20</v>
      </c>
      <c r="Q21" s="308">
        <f ca="1">IFERROR(__xludf.DUMMYFUNCTION("IMPORTRANGE(""https://docs.google.com/spreadsheets/d/11923uPwbBZFjjGgGUA6NLw09EwE0CqkOc4q9oUmW1yo/edit?usp=sharing"",""น่าน!J346"")"),20)</f>
        <v>20</v>
      </c>
      <c r="R21" s="452">
        <f ca="1">IFERROR(__xludf.DUMMYFUNCTION("IMPORTRANGE(""https://docs.google.com/spreadsheets/d/1C3CXT74ZlgGe6_JY_1olB1XN4rF0dxEuIIF-xsYjHgg/edit?usp=sharing"",""งบกองทุน!BA25"")"),0)</f>
        <v>0</v>
      </c>
      <c r="S21" s="308">
        <v>0</v>
      </c>
      <c r="T21" s="453">
        <f t="shared" ca="1" si="7"/>
        <v>0</v>
      </c>
      <c r="U21" s="339"/>
      <c r="V21" s="339"/>
      <c r="W21" s="339"/>
      <c r="X21" s="339"/>
      <c r="Y21" s="339"/>
      <c r="Z21" s="339"/>
    </row>
    <row r="22" spans="1:26" ht="21" customHeight="1">
      <c r="A22" s="303">
        <v>7</v>
      </c>
      <c r="B22" s="304" t="s">
        <v>46</v>
      </c>
      <c r="C22" s="451">
        <f t="shared" ca="1" si="31"/>
        <v>150000</v>
      </c>
      <c r="D22" s="309">
        <f ca="1">IFERROR(__xludf.DUMMYFUNCTION("IMPORTRANGE(""https://docs.google.com/spreadsheets/d/1C3CXT74ZlgGe6_JY_1olB1XN4rF0dxEuIIF-xsYjHgg/edit?usp=sharing"",""งบกองทุน!AU26"")"),0)</f>
        <v>0</v>
      </c>
      <c r="E22" s="309">
        <f ca="1">IFERROR(__xludf.DUMMYFUNCTION("IMPORTRANGE(""https://docs.google.com/spreadsheets/d/1C3CXT74ZlgGe6_JY_1olB1XN4rF0dxEuIIF-xsYjHgg/edit?usp=sharing"",""งบกองทุน!AV26"")"),150000)</f>
        <v>150000</v>
      </c>
      <c r="F22" s="309">
        <f ca="1">IFERROR(__xludf.DUMMYFUNCTION("IMPORTRANGE(""https://docs.google.com/spreadsheets/d/11923uPwbBZFjjGgGUA6NLw09EwE0CqkOc4q9oUmW1yo/edit?usp=sharing"",""พะเยา!M332"")"),76896)</f>
        <v>76896</v>
      </c>
      <c r="G22" s="309">
        <f t="shared" ca="1" si="1"/>
        <v>51.264000000000003</v>
      </c>
      <c r="H22" s="452">
        <f t="shared" ca="1" si="32"/>
        <v>43</v>
      </c>
      <c r="I22" s="308">
        <f t="shared" ca="1" si="33"/>
        <v>43</v>
      </c>
      <c r="J22" s="453">
        <f t="shared" ca="1" si="3"/>
        <v>100</v>
      </c>
      <c r="K22" s="454">
        <f t="shared" ca="1" si="34"/>
        <v>43</v>
      </c>
      <c r="L22" s="308">
        <f t="shared" ca="1" si="35"/>
        <v>43</v>
      </c>
      <c r="M22" s="453">
        <f t="shared" ca="1" si="5"/>
        <v>100</v>
      </c>
      <c r="N22" s="456">
        <f ca="1">IFERROR(__xludf.DUMMYFUNCTION("IMPORTRANGE(""https://docs.google.com/spreadsheets/d/1C3CXT74ZlgGe6_JY_1olB1XN4rF0dxEuIIF-xsYjHgg/edit?usp=sharing"",""งบกองทุน!AY26"")"),43)</f>
        <v>43</v>
      </c>
      <c r="O22" s="308">
        <f ca="1">IFERROR(__xludf.DUMMYFUNCTION("IMPORTRANGE(""https://docs.google.com/spreadsheets/d/11923uPwbBZFjjGgGUA6NLw09EwE0CqkOc4q9oUmW1yo/edit?usp=sharing"",""พะเยา!J345"")"),43)</f>
        <v>43</v>
      </c>
      <c r="P22" s="456">
        <f ca="1">IFERROR(__xludf.DUMMYFUNCTION("IMPORTRANGE(""https://docs.google.com/spreadsheets/d/1C3CXT74ZlgGe6_JY_1olB1XN4rF0dxEuIIF-xsYjHgg/edit?usp=sharing"",""งบกองทุน!AZ26"")"),0)</f>
        <v>0</v>
      </c>
      <c r="Q22" s="308">
        <f ca="1">IFERROR(__xludf.DUMMYFUNCTION("IMPORTRANGE(""https://docs.google.com/spreadsheets/d/11923uPwbBZFjjGgGUA6NLw09EwE0CqkOc4q9oUmW1yo/edit?usp=sharing"",""พะเยา!J346"")"),0)</f>
        <v>0</v>
      </c>
      <c r="R22" s="452">
        <f ca="1">IFERROR(__xludf.DUMMYFUNCTION("IMPORTRANGE(""https://docs.google.com/spreadsheets/d/1C3CXT74ZlgGe6_JY_1olB1XN4rF0dxEuIIF-xsYjHgg/edit?usp=sharing"",""งบกองทุน!BA26"")"),0)</f>
        <v>0</v>
      </c>
      <c r="S22" s="308">
        <v>0</v>
      </c>
      <c r="T22" s="453">
        <f t="shared" ca="1" si="7"/>
        <v>0</v>
      </c>
      <c r="U22" s="339"/>
      <c r="V22" s="339"/>
      <c r="W22" s="339"/>
      <c r="X22" s="339"/>
      <c r="Y22" s="339"/>
      <c r="Z22" s="339"/>
    </row>
    <row r="23" spans="1:26" ht="21" customHeight="1">
      <c r="A23" s="303">
        <v>8</v>
      </c>
      <c r="B23" s="304" t="s">
        <v>47</v>
      </c>
      <c r="C23" s="451">
        <f t="shared" ca="1" si="31"/>
        <v>106000</v>
      </c>
      <c r="D23" s="309">
        <f ca="1">IFERROR(__xludf.DUMMYFUNCTION("IMPORTRANGE(""https://docs.google.com/spreadsheets/d/1C3CXT74ZlgGe6_JY_1olB1XN4rF0dxEuIIF-xsYjHgg/edit?usp=sharing"",""งบกองทุน!AU27"")"),0)</f>
        <v>0</v>
      </c>
      <c r="E23" s="309">
        <f ca="1">IFERROR(__xludf.DUMMYFUNCTION("IMPORTRANGE(""https://docs.google.com/spreadsheets/d/1C3CXT74ZlgGe6_JY_1olB1XN4rF0dxEuIIF-xsYjHgg/edit?usp=sharing"",""งบกองทุน!AV27"")"),106000)</f>
        <v>106000</v>
      </c>
      <c r="F23" s="309">
        <f ca="1">IFERROR(__xludf.DUMMYFUNCTION("IMPORTRANGE(""https://docs.google.com/spreadsheets/d/11923uPwbBZFjjGgGUA6NLw09EwE0CqkOc4q9oUmW1yo/edit?usp=sharing"",""พิจิตร!M332"")"),68866)</f>
        <v>68866</v>
      </c>
      <c r="G23" s="309">
        <f t="shared" ca="1" si="1"/>
        <v>64.967924528301893</v>
      </c>
      <c r="H23" s="452">
        <f t="shared" ca="1" si="32"/>
        <v>15</v>
      </c>
      <c r="I23" s="308">
        <f t="shared" ca="1" si="33"/>
        <v>15</v>
      </c>
      <c r="J23" s="453">
        <f t="shared" ca="1" si="3"/>
        <v>100</v>
      </c>
      <c r="K23" s="454">
        <f t="shared" ca="1" si="34"/>
        <v>15</v>
      </c>
      <c r="L23" s="308">
        <f t="shared" ca="1" si="35"/>
        <v>15</v>
      </c>
      <c r="M23" s="453">
        <f t="shared" ca="1" si="5"/>
        <v>100</v>
      </c>
      <c r="N23" s="456">
        <f ca="1">IFERROR(__xludf.DUMMYFUNCTION("IMPORTRANGE(""https://docs.google.com/spreadsheets/d/1C3CXT74ZlgGe6_JY_1olB1XN4rF0dxEuIIF-xsYjHgg/edit?usp=sharing"",""งบกองทุน!AY27"")"),15)</f>
        <v>15</v>
      </c>
      <c r="O23" s="308">
        <f ca="1">IFERROR(__xludf.DUMMYFUNCTION("IMPORTRANGE(""https://docs.google.com/spreadsheets/d/11923uPwbBZFjjGgGUA6NLw09EwE0CqkOc4q9oUmW1yo/edit?usp=sharing"",""พิจิตร!J345"")"),15)</f>
        <v>15</v>
      </c>
      <c r="P23" s="456">
        <f ca="1">IFERROR(__xludf.DUMMYFUNCTION("IMPORTRANGE(""https://docs.google.com/spreadsheets/d/1C3CXT74ZlgGe6_JY_1olB1XN4rF0dxEuIIF-xsYjHgg/edit?usp=sharing"",""งบกองทุน!AZ27"")"),0)</f>
        <v>0</v>
      </c>
      <c r="Q23" s="308">
        <f ca="1">IFERROR(__xludf.DUMMYFUNCTION("IMPORTRANGE(""https://docs.google.com/spreadsheets/d/11923uPwbBZFjjGgGUA6NLw09EwE0CqkOc4q9oUmW1yo/edit?usp=sharing"",""พิจิตร!J346"")"),0)</f>
        <v>0</v>
      </c>
      <c r="R23" s="452">
        <f ca="1">IFERROR(__xludf.DUMMYFUNCTION("IMPORTRANGE(""https://docs.google.com/spreadsheets/d/1C3CXT74ZlgGe6_JY_1olB1XN4rF0dxEuIIF-xsYjHgg/edit?usp=sharing"",""งบกองทุน!BA27"")"),0)</f>
        <v>0</v>
      </c>
      <c r="S23" s="308">
        <v>0</v>
      </c>
      <c r="T23" s="453">
        <f t="shared" ca="1" si="7"/>
        <v>0</v>
      </c>
      <c r="U23" s="339"/>
      <c r="V23" s="339"/>
      <c r="W23" s="339"/>
      <c r="X23" s="339"/>
      <c r="Y23" s="339"/>
      <c r="Z23" s="339"/>
    </row>
    <row r="24" spans="1:26" ht="21" customHeight="1">
      <c r="A24" s="303">
        <v>9</v>
      </c>
      <c r="B24" s="304" t="s">
        <v>48</v>
      </c>
      <c r="C24" s="451">
        <f t="shared" ca="1" si="31"/>
        <v>100000</v>
      </c>
      <c r="D24" s="309">
        <f ca="1">IFERROR(__xludf.DUMMYFUNCTION("IMPORTRANGE(""https://docs.google.com/spreadsheets/d/1C3CXT74ZlgGe6_JY_1olB1XN4rF0dxEuIIF-xsYjHgg/edit?usp=sharing"",""งบกองทุน!AU28"")"),0)</f>
        <v>0</v>
      </c>
      <c r="E24" s="309">
        <f ca="1">IFERROR(__xludf.DUMMYFUNCTION("IMPORTRANGE(""https://docs.google.com/spreadsheets/d/1C3CXT74ZlgGe6_JY_1olB1XN4rF0dxEuIIF-xsYjHgg/edit?usp=sharing"",""งบกองทุน!AV28"")"),100000)</f>
        <v>100000</v>
      </c>
      <c r="F24" s="309">
        <f ca="1">IFERROR(__xludf.DUMMYFUNCTION("IMPORTRANGE(""https://docs.google.com/spreadsheets/d/11923uPwbBZFjjGgGUA6NLw09EwE0CqkOc4q9oUmW1yo/edit?usp=sharing"",""พิษณุโลก!M332"")"),14675)</f>
        <v>14675</v>
      </c>
      <c r="G24" s="309">
        <f t="shared" ca="1" si="1"/>
        <v>14.675000000000001</v>
      </c>
      <c r="H24" s="452">
        <f t="shared" ca="1" si="32"/>
        <v>20</v>
      </c>
      <c r="I24" s="308">
        <f t="shared" ca="1" si="33"/>
        <v>20</v>
      </c>
      <c r="J24" s="453">
        <f t="shared" ca="1" si="3"/>
        <v>100</v>
      </c>
      <c r="K24" s="454">
        <f t="shared" ca="1" si="34"/>
        <v>20</v>
      </c>
      <c r="L24" s="308">
        <f t="shared" ca="1" si="35"/>
        <v>20</v>
      </c>
      <c r="M24" s="453">
        <f t="shared" ca="1" si="5"/>
        <v>100</v>
      </c>
      <c r="N24" s="457">
        <f ca="1">IFERROR(__xludf.DUMMYFUNCTION("IMPORTRANGE(""https://docs.google.com/spreadsheets/d/1C3CXT74ZlgGe6_JY_1olB1XN4rF0dxEuIIF-xsYjHgg/edit?usp=sharing"",""งบกองทุน!AY28"")"),20)</f>
        <v>20</v>
      </c>
      <c r="O24" s="308">
        <f ca="1">IFERROR(__xludf.DUMMYFUNCTION("IMPORTRANGE(""https://docs.google.com/spreadsheets/d/11923uPwbBZFjjGgGUA6NLw09EwE0CqkOc4q9oUmW1yo/edit?usp=sharing"",""พิษณุโลก!J345"")"),20)</f>
        <v>20</v>
      </c>
      <c r="P24" s="457">
        <f ca="1">IFERROR(__xludf.DUMMYFUNCTION("IMPORTRANGE(""https://docs.google.com/spreadsheets/d/1C3CXT74ZlgGe6_JY_1olB1XN4rF0dxEuIIF-xsYjHgg/edit?usp=sharing"",""งบกองทุน!AZ28"")"),0)</f>
        <v>0</v>
      </c>
      <c r="Q24" s="308">
        <f ca="1">IFERROR(__xludf.DUMMYFUNCTION("IMPORTRANGE(""https://docs.google.com/spreadsheets/d/11923uPwbBZFjjGgGUA6NLw09EwE0CqkOc4q9oUmW1yo/edit?usp=sharing"",""พิษณุโลก!J346"")"),0)</f>
        <v>0</v>
      </c>
      <c r="R24" s="452">
        <f ca="1">IFERROR(__xludf.DUMMYFUNCTION("IMPORTRANGE(""https://docs.google.com/spreadsheets/d/1C3CXT74ZlgGe6_JY_1olB1XN4rF0dxEuIIF-xsYjHgg/edit?usp=sharing"",""งบกองทุน!BA28"")"),0)</f>
        <v>0</v>
      </c>
      <c r="S24" s="308">
        <v>0</v>
      </c>
      <c r="T24" s="453">
        <f t="shared" ca="1" si="7"/>
        <v>0</v>
      </c>
      <c r="U24" s="339"/>
      <c r="V24" s="339"/>
      <c r="W24" s="339"/>
      <c r="X24" s="339"/>
      <c r="Y24" s="339"/>
      <c r="Z24" s="339"/>
    </row>
    <row r="25" spans="1:26" ht="21" customHeight="1">
      <c r="A25" s="303">
        <v>10</v>
      </c>
      <c r="B25" s="304" t="s">
        <v>49</v>
      </c>
      <c r="C25" s="451">
        <f t="shared" ca="1" si="31"/>
        <v>162000</v>
      </c>
      <c r="D25" s="309">
        <f ca="1">IFERROR(__xludf.DUMMYFUNCTION("IMPORTRANGE(""https://docs.google.com/spreadsheets/d/1C3CXT74ZlgGe6_JY_1olB1XN4rF0dxEuIIF-xsYjHgg/edit?usp=sharing"",""งบกองทุน!AU29"")"),0)</f>
        <v>0</v>
      </c>
      <c r="E25" s="309">
        <f ca="1">IFERROR(__xludf.DUMMYFUNCTION("IMPORTRANGE(""https://docs.google.com/spreadsheets/d/1C3CXT74ZlgGe6_JY_1olB1XN4rF0dxEuIIF-xsYjHgg/edit?usp=sharing"",""งบกองทุน!AV29"")"),162000)</f>
        <v>162000</v>
      </c>
      <c r="F25" s="309">
        <f ca="1">IFERROR(__xludf.DUMMYFUNCTION("IMPORTRANGE(""https://docs.google.com/spreadsheets/d/11923uPwbBZFjjGgGUA6NLw09EwE0CqkOc4q9oUmW1yo/edit?usp=sharing"",""เพชรบูรณ์!M332"")"),118269.5)</f>
        <v>118269.5</v>
      </c>
      <c r="G25" s="309">
        <f t="shared" ca="1" si="1"/>
        <v>73.005864197530869</v>
      </c>
      <c r="H25" s="452">
        <f t="shared" ca="1" si="32"/>
        <v>40</v>
      </c>
      <c r="I25" s="308">
        <f t="shared" ca="1" si="33"/>
        <v>40</v>
      </c>
      <c r="J25" s="453">
        <f t="shared" ca="1" si="3"/>
        <v>100</v>
      </c>
      <c r="K25" s="454">
        <f t="shared" ca="1" si="34"/>
        <v>40</v>
      </c>
      <c r="L25" s="308">
        <f t="shared" ca="1" si="35"/>
        <v>40</v>
      </c>
      <c r="M25" s="453">
        <f t="shared" ca="1" si="5"/>
        <v>100</v>
      </c>
      <c r="N25" s="456">
        <f ca="1">IFERROR(__xludf.DUMMYFUNCTION("IMPORTRANGE(""https://docs.google.com/spreadsheets/d/1C3CXT74ZlgGe6_JY_1olB1XN4rF0dxEuIIF-xsYjHgg/edit?usp=sharing"",""งบกองทุน!AY29"")"),40)</f>
        <v>40</v>
      </c>
      <c r="O25" s="308">
        <f ca="1">IFERROR(__xludf.DUMMYFUNCTION("IMPORTRANGE(""https://docs.google.com/spreadsheets/d/11923uPwbBZFjjGgGUA6NLw09EwE0CqkOc4q9oUmW1yo/edit?usp=sharing"",""เพชรบูรณ์!J345"")"),40)</f>
        <v>40</v>
      </c>
      <c r="P25" s="456">
        <f ca="1">IFERROR(__xludf.DUMMYFUNCTION("IMPORTRANGE(""https://docs.google.com/spreadsheets/d/1C3CXT74ZlgGe6_JY_1olB1XN4rF0dxEuIIF-xsYjHgg/edit?usp=sharing"",""งบกองทุน!AZ29"")"),0)</f>
        <v>0</v>
      </c>
      <c r="Q25" s="308">
        <f ca="1">IFERROR(__xludf.DUMMYFUNCTION("IMPORTRANGE(""https://docs.google.com/spreadsheets/d/11923uPwbBZFjjGgGUA6NLw09EwE0CqkOc4q9oUmW1yo/edit?usp=sharing"",""เพชรบูรณ์!J346"")"),0)</f>
        <v>0</v>
      </c>
      <c r="R25" s="452">
        <f ca="1">IFERROR(__xludf.DUMMYFUNCTION("IMPORTRANGE(""https://docs.google.com/spreadsheets/d/1C3CXT74ZlgGe6_JY_1olB1XN4rF0dxEuIIF-xsYjHgg/edit?usp=sharing"",""งบกองทุน!BA29"")"),0)</f>
        <v>0</v>
      </c>
      <c r="S25" s="308">
        <v>0</v>
      </c>
      <c r="T25" s="453">
        <f t="shared" ca="1" si="7"/>
        <v>0</v>
      </c>
      <c r="U25" s="339"/>
      <c r="V25" s="339"/>
      <c r="W25" s="339"/>
      <c r="X25" s="339"/>
      <c r="Y25" s="339"/>
      <c r="Z25" s="339"/>
    </row>
    <row r="26" spans="1:26" ht="21" customHeight="1">
      <c r="A26" s="303">
        <v>11</v>
      </c>
      <c r="B26" s="304" t="s">
        <v>50</v>
      </c>
      <c r="C26" s="451">
        <f t="shared" ca="1" si="31"/>
        <v>100000</v>
      </c>
      <c r="D26" s="309">
        <f ca="1">IFERROR(__xludf.DUMMYFUNCTION("IMPORTRANGE(""https://docs.google.com/spreadsheets/d/1C3CXT74ZlgGe6_JY_1olB1XN4rF0dxEuIIF-xsYjHgg/edit?usp=sharing"",""งบกองทุน!AU30"")"),0)</f>
        <v>0</v>
      </c>
      <c r="E26" s="309">
        <f ca="1">IFERROR(__xludf.DUMMYFUNCTION("IMPORTRANGE(""https://docs.google.com/spreadsheets/d/1C3CXT74ZlgGe6_JY_1olB1XN4rF0dxEuIIF-xsYjHgg/edit?usp=sharing"",""งบกองทุน!AV30"")"),100000)</f>
        <v>100000</v>
      </c>
      <c r="F26" s="309">
        <f ca="1">IFERROR(__xludf.DUMMYFUNCTION("IMPORTRANGE(""https://docs.google.com/spreadsheets/d/11923uPwbBZFjjGgGUA6NLw09EwE0CqkOc4q9oUmW1yo/edit?usp=sharing"",""แพร่!M332"")"),62922.4)</f>
        <v>62922.400000000001</v>
      </c>
      <c r="G26" s="309">
        <f t="shared" ca="1" si="1"/>
        <v>62.922400000000003</v>
      </c>
      <c r="H26" s="452">
        <f t="shared" ca="1" si="32"/>
        <v>20</v>
      </c>
      <c r="I26" s="308">
        <f t="shared" ca="1" si="33"/>
        <v>20</v>
      </c>
      <c r="J26" s="453">
        <f t="shared" ca="1" si="3"/>
        <v>100</v>
      </c>
      <c r="K26" s="454">
        <f t="shared" ca="1" si="34"/>
        <v>20</v>
      </c>
      <c r="L26" s="308">
        <f t="shared" ca="1" si="35"/>
        <v>20</v>
      </c>
      <c r="M26" s="453">
        <f t="shared" ca="1" si="5"/>
        <v>100</v>
      </c>
      <c r="N26" s="456">
        <f ca="1">IFERROR(__xludf.DUMMYFUNCTION("IMPORTRANGE(""https://docs.google.com/spreadsheets/d/1C3CXT74ZlgGe6_JY_1olB1XN4rF0dxEuIIF-xsYjHgg/edit?usp=sharing"",""งบกองทุน!AY30"")"),20)</f>
        <v>20</v>
      </c>
      <c r="O26" s="308">
        <f ca="1">IFERROR(__xludf.DUMMYFUNCTION("IMPORTRANGE(""https://docs.google.com/spreadsheets/d/11923uPwbBZFjjGgGUA6NLw09EwE0CqkOc4q9oUmW1yo/edit?usp=sharing"",""แพร่!J345"")"),20)</f>
        <v>20</v>
      </c>
      <c r="P26" s="456">
        <f ca="1">IFERROR(__xludf.DUMMYFUNCTION("IMPORTRANGE(""https://docs.google.com/spreadsheets/d/1C3CXT74ZlgGe6_JY_1olB1XN4rF0dxEuIIF-xsYjHgg/edit?usp=sharing"",""งบกองทุน!AZ30"")"),0)</f>
        <v>0</v>
      </c>
      <c r="Q26" s="308">
        <f ca="1">IFERROR(__xludf.DUMMYFUNCTION("IMPORTRANGE(""https://docs.google.com/spreadsheets/d/11923uPwbBZFjjGgGUA6NLw09EwE0CqkOc4q9oUmW1yo/edit?usp=sharing"",""แพร่!J346"")"),0)</f>
        <v>0</v>
      </c>
      <c r="R26" s="452">
        <f ca="1">IFERROR(__xludf.DUMMYFUNCTION("IMPORTRANGE(""https://docs.google.com/spreadsheets/d/1C3CXT74ZlgGe6_JY_1olB1XN4rF0dxEuIIF-xsYjHgg/edit?usp=sharing"",""งบกองทุน!BA30"")"),0)</f>
        <v>0</v>
      </c>
      <c r="S26" s="308">
        <v>0</v>
      </c>
      <c r="T26" s="453">
        <f t="shared" ca="1" si="7"/>
        <v>0</v>
      </c>
      <c r="U26" s="339"/>
      <c r="V26" s="339"/>
      <c r="W26" s="339"/>
      <c r="X26" s="339"/>
      <c r="Y26" s="339"/>
      <c r="Z26" s="339"/>
    </row>
    <row r="27" spans="1:26" ht="21" customHeight="1">
      <c r="A27" s="303">
        <v>12</v>
      </c>
      <c r="B27" s="304" t="s">
        <v>51</v>
      </c>
      <c r="C27" s="451">
        <f t="shared" ca="1" si="31"/>
        <v>100000</v>
      </c>
      <c r="D27" s="309">
        <f ca="1">IFERROR(__xludf.DUMMYFUNCTION("IMPORTRANGE(""https://docs.google.com/spreadsheets/d/1C3CXT74ZlgGe6_JY_1olB1XN4rF0dxEuIIF-xsYjHgg/edit?usp=sharing"",""งบกองทุน!AU31"")"),0)</f>
        <v>0</v>
      </c>
      <c r="E27" s="309">
        <f ca="1">IFERROR(__xludf.DUMMYFUNCTION("IMPORTRANGE(""https://docs.google.com/spreadsheets/d/1C3CXT74ZlgGe6_JY_1olB1XN4rF0dxEuIIF-xsYjHgg/edit?usp=sharing"",""งบกองทุน!AV31"")"),100000)</f>
        <v>100000</v>
      </c>
      <c r="F27" s="309">
        <f ca="1">IFERROR(__xludf.DUMMYFUNCTION("IMPORTRANGE(""https://docs.google.com/spreadsheets/d/11923uPwbBZFjjGgGUA6NLw09EwE0CqkOc4q9oUmW1yo/edit?usp=sharing"",""แม่ฮ่องสอน!M332"")"),70139)</f>
        <v>70139</v>
      </c>
      <c r="G27" s="309">
        <f t="shared" ca="1" si="1"/>
        <v>70.138999999999996</v>
      </c>
      <c r="H27" s="452">
        <f t="shared" ca="1" si="32"/>
        <v>20</v>
      </c>
      <c r="I27" s="308">
        <f t="shared" ca="1" si="33"/>
        <v>20</v>
      </c>
      <c r="J27" s="453">
        <f t="shared" ca="1" si="3"/>
        <v>100</v>
      </c>
      <c r="K27" s="454">
        <f t="shared" ca="1" si="34"/>
        <v>20</v>
      </c>
      <c r="L27" s="308">
        <f t="shared" ca="1" si="35"/>
        <v>20</v>
      </c>
      <c r="M27" s="453">
        <f t="shared" ca="1" si="5"/>
        <v>100</v>
      </c>
      <c r="N27" s="456">
        <f ca="1">IFERROR(__xludf.DUMMYFUNCTION("IMPORTRANGE(""https://docs.google.com/spreadsheets/d/1C3CXT74ZlgGe6_JY_1olB1XN4rF0dxEuIIF-xsYjHgg/edit?usp=sharing"",""งบกองทุน!AY31"")"),20)</f>
        <v>20</v>
      </c>
      <c r="O27" s="308">
        <f ca="1">IFERROR(__xludf.DUMMYFUNCTION("IMPORTRANGE(""https://docs.google.com/spreadsheets/d/11923uPwbBZFjjGgGUA6NLw09EwE0CqkOc4q9oUmW1yo/edit?usp=sharing"",""แม่ฮ่องสอน!J345"")"),20)</f>
        <v>20</v>
      </c>
      <c r="P27" s="456">
        <f ca="1">IFERROR(__xludf.DUMMYFUNCTION("IMPORTRANGE(""https://docs.google.com/spreadsheets/d/1C3CXT74ZlgGe6_JY_1olB1XN4rF0dxEuIIF-xsYjHgg/edit?usp=sharing"",""งบกองทุน!AZ31"")"),0)</f>
        <v>0</v>
      </c>
      <c r="Q27" s="308">
        <f ca="1">IFERROR(__xludf.DUMMYFUNCTION("IMPORTRANGE(""https://docs.google.com/spreadsheets/d/11923uPwbBZFjjGgGUA6NLw09EwE0CqkOc4q9oUmW1yo/edit?usp=sharing"",""แม่ฮ่องสอน!J346"")"),0)</f>
        <v>0</v>
      </c>
      <c r="R27" s="452">
        <f ca="1">IFERROR(__xludf.DUMMYFUNCTION("IMPORTRANGE(""https://docs.google.com/spreadsheets/d/1C3CXT74ZlgGe6_JY_1olB1XN4rF0dxEuIIF-xsYjHgg/edit?usp=sharing"",""งบกองทุน!BA31"")"),0)</f>
        <v>0</v>
      </c>
      <c r="S27" s="308">
        <v>0</v>
      </c>
      <c r="T27" s="453">
        <f t="shared" ca="1" si="7"/>
        <v>0</v>
      </c>
      <c r="U27" s="339"/>
      <c r="V27" s="339"/>
      <c r="W27" s="339"/>
      <c r="X27" s="339"/>
      <c r="Y27" s="339"/>
      <c r="Z27" s="339"/>
    </row>
    <row r="28" spans="1:26" ht="21" customHeight="1">
      <c r="A28" s="303">
        <v>13</v>
      </c>
      <c r="B28" s="304" t="s">
        <v>52</v>
      </c>
      <c r="C28" s="451">
        <f t="shared" ca="1" si="31"/>
        <v>106000</v>
      </c>
      <c r="D28" s="309">
        <f ca="1">IFERROR(__xludf.DUMMYFUNCTION("IMPORTRANGE(""https://docs.google.com/spreadsheets/d/1C3CXT74ZlgGe6_JY_1olB1XN4rF0dxEuIIF-xsYjHgg/edit?usp=sharing"",""งบกองทุน!AU32"")"),0)</f>
        <v>0</v>
      </c>
      <c r="E28" s="309">
        <f ca="1">IFERROR(__xludf.DUMMYFUNCTION("IMPORTRANGE(""https://docs.google.com/spreadsheets/d/1C3CXT74ZlgGe6_JY_1olB1XN4rF0dxEuIIF-xsYjHgg/edit?usp=sharing"",""งบกองทุน!AV32"")"),106000)</f>
        <v>106000</v>
      </c>
      <c r="F28" s="309">
        <f ca="1">IFERROR(__xludf.DUMMYFUNCTION("IMPORTRANGE(""https://docs.google.com/spreadsheets/d/11923uPwbBZFjjGgGUA6NLw09EwE0CqkOc4q9oUmW1yo/edit?usp=sharing"",""ลำปาง!M332"")"),45560.39)</f>
        <v>45560.39</v>
      </c>
      <c r="G28" s="309">
        <f t="shared" ca="1" si="1"/>
        <v>42.981499999999997</v>
      </c>
      <c r="H28" s="452">
        <f t="shared" ca="1" si="32"/>
        <v>15</v>
      </c>
      <c r="I28" s="308">
        <f t="shared" ca="1" si="33"/>
        <v>15</v>
      </c>
      <c r="J28" s="453">
        <f t="shared" ca="1" si="3"/>
        <v>100</v>
      </c>
      <c r="K28" s="454">
        <f t="shared" ca="1" si="34"/>
        <v>15</v>
      </c>
      <c r="L28" s="308">
        <f t="shared" ca="1" si="35"/>
        <v>15</v>
      </c>
      <c r="M28" s="453">
        <f t="shared" ca="1" si="5"/>
        <v>100</v>
      </c>
      <c r="N28" s="456">
        <f ca="1">IFERROR(__xludf.DUMMYFUNCTION("IMPORTRANGE(""https://docs.google.com/spreadsheets/d/1C3CXT74ZlgGe6_JY_1olB1XN4rF0dxEuIIF-xsYjHgg/edit?usp=sharing"",""งบกองทุน!AY32"")"),15)</f>
        <v>15</v>
      </c>
      <c r="O28" s="308">
        <f ca="1">IFERROR(__xludf.DUMMYFUNCTION("IMPORTRANGE(""https://docs.google.com/spreadsheets/d/11923uPwbBZFjjGgGUA6NLw09EwE0CqkOc4q9oUmW1yo/edit?usp=sharing"",""ลำปาง!J345"")"),15)</f>
        <v>15</v>
      </c>
      <c r="P28" s="456">
        <f ca="1">IFERROR(__xludf.DUMMYFUNCTION("IMPORTRANGE(""https://docs.google.com/spreadsheets/d/1C3CXT74ZlgGe6_JY_1olB1XN4rF0dxEuIIF-xsYjHgg/edit?usp=sharing"",""งบกองทุน!AZ32"")"),0)</f>
        <v>0</v>
      </c>
      <c r="Q28" s="308">
        <f ca="1">IFERROR(__xludf.DUMMYFUNCTION("IMPORTRANGE(""https://docs.google.com/spreadsheets/d/11923uPwbBZFjjGgGUA6NLw09EwE0CqkOc4q9oUmW1yo/edit?usp=sharing"",""ลำปาง!J346"")"),0)</f>
        <v>0</v>
      </c>
      <c r="R28" s="452">
        <f ca="1">IFERROR(__xludf.DUMMYFUNCTION("IMPORTRANGE(""https://docs.google.com/spreadsheets/d/1C3CXT74ZlgGe6_JY_1olB1XN4rF0dxEuIIF-xsYjHgg/edit?usp=sharing"",""งบกองทุน!BA32"")"),0)</f>
        <v>0</v>
      </c>
      <c r="S28" s="308">
        <v>0</v>
      </c>
      <c r="T28" s="453">
        <f t="shared" ca="1" si="7"/>
        <v>0</v>
      </c>
      <c r="U28" s="339"/>
      <c r="V28" s="339"/>
      <c r="W28" s="339"/>
      <c r="X28" s="339"/>
      <c r="Y28" s="339"/>
      <c r="Z28" s="339"/>
    </row>
    <row r="29" spans="1:26" ht="21" customHeight="1">
      <c r="A29" s="303">
        <v>14</v>
      </c>
      <c r="B29" s="304" t="s">
        <v>53</v>
      </c>
      <c r="C29" s="451">
        <f t="shared" ca="1" si="31"/>
        <v>118000</v>
      </c>
      <c r="D29" s="309">
        <f ca="1">IFERROR(__xludf.DUMMYFUNCTION("IMPORTRANGE(""https://docs.google.com/spreadsheets/d/1C3CXT74ZlgGe6_JY_1olB1XN4rF0dxEuIIF-xsYjHgg/edit?usp=sharing"",""งบกองทุน!AU33"")"),0)</f>
        <v>0</v>
      </c>
      <c r="E29" s="309">
        <f ca="1">IFERROR(__xludf.DUMMYFUNCTION("IMPORTRANGE(""https://docs.google.com/spreadsheets/d/1C3CXT74ZlgGe6_JY_1olB1XN4rF0dxEuIIF-xsYjHgg/edit?usp=sharing"",""งบกองทุน!AV33"")"),118000)</f>
        <v>118000</v>
      </c>
      <c r="F29" s="309">
        <f ca="1">IFERROR(__xludf.DUMMYFUNCTION("IMPORTRANGE(""https://docs.google.com/spreadsheets/d/11923uPwbBZFjjGgGUA6NLw09EwE0CqkOc4q9oUmW1yo/edit?usp=sharing"",""ลำพูน!M332"")"),41220)</f>
        <v>41220</v>
      </c>
      <c r="G29" s="309">
        <f t="shared" ca="1" si="1"/>
        <v>34.932203389830505</v>
      </c>
      <c r="H29" s="452">
        <f t="shared" ca="1" si="32"/>
        <v>20</v>
      </c>
      <c r="I29" s="308">
        <f t="shared" ca="1" si="33"/>
        <v>20</v>
      </c>
      <c r="J29" s="453">
        <f t="shared" ca="1" si="3"/>
        <v>100</v>
      </c>
      <c r="K29" s="454">
        <f t="shared" ca="1" si="34"/>
        <v>20</v>
      </c>
      <c r="L29" s="308">
        <f t="shared" ca="1" si="35"/>
        <v>20</v>
      </c>
      <c r="M29" s="453">
        <f t="shared" ca="1" si="5"/>
        <v>100</v>
      </c>
      <c r="N29" s="456">
        <f ca="1">IFERROR(__xludf.DUMMYFUNCTION("IMPORTRANGE(""https://docs.google.com/spreadsheets/d/1C3CXT74ZlgGe6_JY_1olB1XN4rF0dxEuIIF-xsYjHgg/edit?usp=sharing"",""งบกองทุน!AY33"")"),20)</f>
        <v>20</v>
      </c>
      <c r="O29" s="308">
        <f ca="1">IFERROR(__xludf.DUMMYFUNCTION("IMPORTRANGE(""https://docs.google.com/spreadsheets/d/11923uPwbBZFjjGgGUA6NLw09EwE0CqkOc4q9oUmW1yo/edit?usp=sharing"",""ลำพูน!J345"")"),20)</f>
        <v>20</v>
      </c>
      <c r="P29" s="456">
        <f ca="1">IFERROR(__xludf.DUMMYFUNCTION("IMPORTRANGE(""https://docs.google.com/spreadsheets/d/1C3CXT74ZlgGe6_JY_1olB1XN4rF0dxEuIIF-xsYjHgg/edit?usp=sharing"",""งบกองทุน!AZ33"")"),0)</f>
        <v>0</v>
      </c>
      <c r="Q29" s="308">
        <f ca="1">IFERROR(__xludf.DUMMYFUNCTION("IMPORTRANGE(""https://docs.google.com/spreadsheets/d/11923uPwbBZFjjGgGUA6NLw09EwE0CqkOc4q9oUmW1yo/edit?usp=sharing"",""ลำพูน!J346"")"),0)</f>
        <v>0</v>
      </c>
      <c r="R29" s="452">
        <f ca="1">IFERROR(__xludf.DUMMYFUNCTION("IMPORTRANGE(""https://docs.google.com/spreadsheets/d/1C3CXT74ZlgGe6_JY_1olB1XN4rF0dxEuIIF-xsYjHgg/edit?usp=sharing"",""งบกองทุน!BA33"")"),0)</f>
        <v>0</v>
      </c>
      <c r="S29" s="308">
        <v>0</v>
      </c>
      <c r="T29" s="453">
        <f t="shared" ca="1" si="7"/>
        <v>0</v>
      </c>
      <c r="U29" s="339"/>
      <c r="V29" s="339"/>
      <c r="W29" s="339"/>
      <c r="X29" s="339"/>
      <c r="Y29" s="339"/>
      <c r="Z29" s="339"/>
    </row>
    <row r="30" spans="1:26" ht="21" customHeight="1">
      <c r="A30" s="303">
        <v>15</v>
      </c>
      <c r="B30" s="304" t="s">
        <v>54</v>
      </c>
      <c r="C30" s="451">
        <f t="shared" ca="1" si="31"/>
        <v>223000</v>
      </c>
      <c r="D30" s="309">
        <f ca="1">IFERROR(__xludf.DUMMYFUNCTION("IMPORTRANGE(""https://docs.google.com/spreadsheets/d/1C3CXT74ZlgGe6_JY_1olB1XN4rF0dxEuIIF-xsYjHgg/edit?usp=sharing"",""งบกองทุน!AU34"")"),0)</f>
        <v>0</v>
      </c>
      <c r="E30" s="309">
        <f ca="1">IFERROR(__xludf.DUMMYFUNCTION("IMPORTRANGE(""https://docs.google.com/spreadsheets/d/1C3CXT74ZlgGe6_JY_1olB1XN4rF0dxEuIIF-xsYjHgg/edit?usp=sharing"",""งบกองทุน!AV34"")"),223000)</f>
        <v>223000</v>
      </c>
      <c r="F30" s="309">
        <f ca="1">IFERROR(__xludf.DUMMYFUNCTION("IMPORTRANGE(""https://docs.google.com/spreadsheets/d/11923uPwbBZFjjGgGUA6NLw09EwE0CqkOc4q9oUmW1yo/edit?usp=sharing"",""สุโขทัย!M332"")"),177460)</f>
        <v>177460</v>
      </c>
      <c r="G30" s="309">
        <f t="shared" ca="1" si="1"/>
        <v>79.578475336322867</v>
      </c>
      <c r="H30" s="452">
        <f t="shared" ca="1" si="32"/>
        <v>81</v>
      </c>
      <c r="I30" s="308">
        <f t="shared" ca="1" si="33"/>
        <v>81</v>
      </c>
      <c r="J30" s="453">
        <f t="shared" ca="1" si="3"/>
        <v>100</v>
      </c>
      <c r="K30" s="454">
        <f t="shared" ca="1" si="34"/>
        <v>81</v>
      </c>
      <c r="L30" s="308">
        <f t="shared" ca="1" si="35"/>
        <v>81</v>
      </c>
      <c r="M30" s="453">
        <f t="shared" ca="1" si="5"/>
        <v>100</v>
      </c>
      <c r="N30" s="456">
        <f ca="1">IFERROR(__xludf.DUMMYFUNCTION("IMPORTRANGE(""https://docs.google.com/spreadsheets/d/1C3CXT74ZlgGe6_JY_1olB1XN4rF0dxEuIIF-xsYjHgg/edit?usp=sharing"",""งบกองทุน!AY34"")"),22)</f>
        <v>22</v>
      </c>
      <c r="O30" s="308">
        <f ca="1">IFERROR(__xludf.DUMMYFUNCTION("IMPORTRANGE(""https://docs.google.com/spreadsheets/d/11923uPwbBZFjjGgGUA6NLw09EwE0CqkOc4q9oUmW1yo/edit?usp=sharing"",""สุโขทัย!J345"")"),22)</f>
        <v>22</v>
      </c>
      <c r="P30" s="456">
        <f ca="1">IFERROR(__xludf.DUMMYFUNCTION("IMPORTRANGE(""https://docs.google.com/spreadsheets/d/1C3CXT74ZlgGe6_JY_1olB1XN4rF0dxEuIIF-xsYjHgg/edit?usp=sharing"",""งบกองทุน!AZ34"")"),59)</f>
        <v>59</v>
      </c>
      <c r="Q30" s="308">
        <f ca="1">IFERROR(__xludf.DUMMYFUNCTION("IMPORTRANGE(""https://docs.google.com/spreadsheets/d/11923uPwbBZFjjGgGUA6NLw09EwE0CqkOc4q9oUmW1yo/edit?usp=sharing"",""สุโขทัย!J346"")"),59)</f>
        <v>59</v>
      </c>
      <c r="R30" s="452">
        <f ca="1">IFERROR(__xludf.DUMMYFUNCTION("IMPORTRANGE(""https://docs.google.com/spreadsheets/d/1C3CXT74ZlgGe6_JY_1olB1XN4rF0dxEuIIF-xsYjHgg/edit?usp=sharing"",""งบกองทุน!BA34"")"),0)</f>
        <v>0</v>
      </c>
      <c r="S30" s="308">
        <v>0</v>
      </c>
      <c r="T30" s="453">
        <f t="shared" ca="1" si="7"/>
        <v>0</v>
      </c>
      <c r="U30" s="339"/>
      <c r="V30" s="339"/>
      <c r="W30" s="339"/>
      <c r="X30" s="339"/>
      <c r="Y30" s="339"/>
      <c r="Z30" s="339"/>
    </row>
    <row r="31" spans="1:26" ht="21" customHeight="1">
      <c r="A31" s="303">
        <v>16</v>
      </c>
      <c r="B31" s="304" t="s">
        <v>55</v>
      </c>
      <c r="C31" s="451">
        <f t="shared" ca="1" si="31"/>
        <v>100000</v>
      </c>
      <c r="D31" s="309">
        <f ca="1">IFERROR(__xludf.DUMMYFUNCTION("IMPORTRANGE(""https://docs.google.com/spreadsheets/d/1C3CXT74ZlgGe6_JY_1olB1XN4rF0dxEuIIF-xsYjHgg/edit?usp=sharing"",""งบกองทุน!AU35"")"),0)</f>
        <v>0</v>
      </c>
      <c r="E31" s="309">
        <f ca="1">IFERROR(__xludf.DUMMYFUNCTION("IMPORTRANGE(""https://docs.google.com/spreadsheets/d/1C3CXT74ZlgGe6_JY_1olB1XN4rF0dxEuIIF-xsYjHgg/edit?usp=sharing"",""งบกองทุน!AV35"")"),100000)</f>
        <v>100000</v>
      </c>
      <c r="F31" s="309">
        <f ca="1">IFERROR(__xludf.DUMMYFUNCTION("IMPORTRANGE(""https://docs.google.com/spreadsheets/d/11923uPwbBZFjjGgGUA6NLw09EwE0CqkOc4q9oUmW1yo/edit?usp=sharing"",""อุตรดิตถ์!M332"")"),51995)</f>
        <v>51995</v>
      </c>
      <c r="G31" s="309">
        <f t="shared" ca="1" si="1"/>
        <v>51.994999999999997</v>
      </c>
      <c r="H31" s="452">
        <f t="shared" ca="1" si="32"/>
        <v>20</v>
      </c>
      <c r="I31" s="308">
        <f t="shared" ca="1" si="33"/>
        <v>20</v>
      </c>
      <c r="J31" s="453">
        <f t="shared" ca="1" si="3"/>
        <v>100</v>
      </c>
      <c r="K31" s="454">
        <f t="shared" ca="1" si="34"/>
        <v>20</v>
      </c>
      <c r="L31" s="308">
        <f t="shared" ca="1" si="35"/>
        <v>20</v>
      </c>
      <c r="M31" s="453">
        <f t="shared" ca="1" si="5"/>
        <v>100</v>
      </c>
      <c r="N31" s="456">
        <f ca="1">IFERROR(__xludf.DUMMYFUNCTION("IMPORTRANGE(""https://docs.google.com/spreadsheets/d/1C3CXT74ZlgGe6_JY_1olB1XN4rF0dxEuIIF-xsYjHgg/edit?usp=sharing"",""งบกองทุน!AY35"")"),20)</f>
        <v>20</v>
      </c>
      <c r="O31" s="308">
        <f ca="1">IFERROR(__xludf.DUMMYFUNCTION("IMPORTRANGE(""https://docs.google.com/spreadsheets/d/11923uPwbBZFjjGgGUA6NLw09EwE0CqkOc4q9oUmW1yo/edit?usp=sharing"",""อุตรดิตถ์!J345"")"),20)</f>
        <v>20</v>
      </c>
      <c r="P31" s="456">
        <f ca="1">IFERROR(__xludf.DUMMYFUNCTION("IMPORTRANGE(""https://docs.google.com/spreadsheets/d/1C3CXT74ZlgGe6_JY_1olB1XN4rF0dxEuIIF-xsYjHgg/edit?usp=sharing"",""งบกองทุน!AZ35"")"),0)</f>
        <v>0</v>
      </c>
      <c r="Q31" s="308">
        <f ca="1">IFERROR(__xludf.DUMMYFUNCTION("IMPORTRANGE(""https://docs.google.com/spreadsheets/d/11923uPwbBZFjjGgGUA6NLw09EwE0CqkOc4q9oUmW1yo/edit?usp=sharing"",""อุตรดิตถ์!J346"")"),0)</f>
        <v>0</v>
      </c>
      <c r="R31" s="452">
        <f ca="1">IFERROR(__xludf.DUMMYFUNCTION("IMPORTRANGE(""https://docs.google.com/spreadsheets/d/1C3CXT74ZlgGe6_JY_1olB1XN4rF0dxEuIIF-xsYjHgg/edit?usp=sharing"",""งบกองทุน!BA35"")"),0)</f>
        <v>0</v>
      </c>
      <c r="S31" s="308">
        <v>0</v>
      </c>
      <c r="T31" s="453">
        <f t="shared" ca="1" si="7"/>
        <v>0</v>
      </c>
      <c r="U31" s="339"/>
      <c r="V31" s="339"/>
      <c r="W31" s="339"/>
      <c r="X31" s="339"/>
      <c r="Y31" s="339"/>
      <c r="Z31" s="339"/>
    </row>
    <row r="32" spans="1:26" ht="21" customHeight="1">
      <c r="A32" s="310">
        <v>17</v>
      </c>
      <c r="B32" s="311" t="s">
        <v>56</v>
      </c>
      <c r="C32" s="458">
        <f t="shared" ca="1" si="31"/>
        <v>88000</v>
      </c>
      <c r="D32" s="316">
        <f ca="1">IFERROR(__xludf.DUMMYFUNCTION("IMPORTRANGE(""https://docs.google.com/spreadsheets/d/1C3CXT74ZlgGe6_JY_1olB1XN4rF0dxEuIIF-xsYjHgg/edit?usp=sharing"",""งบกองทุน!AU36"")"),0)</f>
        <v>0</v>
      </c>
      <c r="E32" s="316">
        <f ca="1">IFERROR(__xludf.DUMMYFUNCTION("IMPORTRANGE(""https://docs.google.com/spreadsheets/d/1C3CXT74ZlgGe6_JY_1olB1XN4rF0dxEuIIF-xsYjHgg/edit?usp=sharing"",""งบกองทุน!AV36"")"),88000)</f>
        <v>88000</v>
      </c>
      <c r="F32" s="316">
        <f ca="1">IFERROR(__xludf.DUMMYFUNCTION("IMPORTRANGE(""https://docs.google.com/spreadsheets/d/11923uPwbBZFjjGgGUA6NLw09EwE0CqkOc4q9oUmW1yo/edit?usp=sharing"",""อุทัยธานี!M332"")"),54090)</f>
        <v>54090</v>
      </c>
      <c r="G32" s="316">
        <f t="shared" ca="1" si="1"/>
        <v>61.465909090909093</v>
      </c>
      <c r="H32" s="459">
        <f t="shared" ca="1" si="32"/>
        <v>15</v>
      </c>
      <c r="I32" s="315">
        <f t="shared" ca="1" si="33"/>
        <v>15</v>
      </c>
      <c r="J32" s="460">
        <f t="shared" ca="1" si="3"/>
        <v>100</v>
      </c>
      <c r="K32" s="461">
        <f t="shared" ca="1" si="34"/>
        <v>15</v>
      </c>
      <c r="L32" s="315">
        <f t="shared" ca="1" si="35"/>
        <v>15</v>
      </c>
      <c r="M32" s="460">
        <f t="shared" ca="1" si="5"/>
        <v>100</v>
      </c>
      <c r="N32" s="462">
        <f ca="1">IFERROR(__xludf.DUMMYFUNCTION("IMPORTRANGE(""https://docs.google.com/spreadsheets/d/1C3CXT74ZlgGe6_JY_1olB1XN4rF0dxEuIIF-xsYjHgg/edit?usp=sharing"",""งบกองทุน!AY36"")"),15)</f>
        <v>15</v>
      </c>
      <c r="O32" s="315">
        <f ca="1">IFERROR(__xludf.DUMMYFUNCTION("IMPORTRANGE(""https://docs.google.com/spreadsheets/d/11923uPwbBZFjjGgGUA6NLw09EwE0CqkOc4q9oUmW1yo/edit?usp=sharing"",""อุทัยธานี!J345"")"),15)</f>
        <v>15</v>
      </c>
      <c r="P32" s="462">
        <f ca="1">IFERROR(__xludf.DUMMYFUNCTION("IMPORTRANGE(""https://docs.google.com/spreadsheets/d/1C3CXT74ZlgGe6_JY_1olB1XN4rF0dxEuIIF-xsYjHgg/edit?usp=sharing"",""งบกองทุน!AZ36"")"),0)</f>
        <v>0</v>
      </c>
      <c r="Q32" s="315">
        <f ca="1">IFERROR(__xludf.DUMMYFUNCTION("IMPORTRANGE(""https://docs.google.com/spreadsheets/d/11923uPwbBZFjjGgGUA6NLw09EwE0CqkOc4q9oUmW1yo/edit?usp=sharing"",""อุทัยธานี!J346"")"),0)</f>
        <v>0</v>
      </c>
      <c r="R32" s="459">
        <f ca="1">IFERROR(__xludf.DUMMYFUNCTION("IMPORTRANGE(""https://docs.google.com/spreadsheets/d/1C3CXT74ZlgGe6_JY_1olB1XN4rF0dxEuIIF-xsYjHgg/edit?usp=sharing"",""งบกองทุน!BA36"")"),0)</f>
        <v>0</v>
      </c>
      <c r="S32" s="315">
        <v>0</v>
      </c>
      <c r="T32" s="460">
        <f t="shared" ca="1" si="7"/>
        <v>0</v>
      </c>
      <c r="U32" s="339"/>
      <c r="V32" s="339"/>
      <c r="W32" s="339"/>
      <c r="X32" s="339"/>
      <c r="Y32" s="339"/>
      <c r="Z32" s="339"/>
    </row>
    <row r="33" spans="1:26" ht="21" customHeight="1">
      <c r="A33" s="800" t="s">
        <v>57</v>
      </c>
      <c r="B33" s="678"/>
      <c r="C33" s="442">
        <f t="shared" ref="C33:F33" ca="1" si="36">SUM(C34:C53)</f>
        <v>2432000</v>
      </c>
      <c r="D33" s="319">
        <f t="shared" ca="1" si="36"/>
        <v>0</v>
      </c>
      <c r="E33" s="319">
        <f t="shared" ca="1" si="36"/>
        <v>2432000</v>
      </c>
      <c r="F33" s="319">
        <f t="shared" ca="1" si="36"/>
        <v>1587725.0799999998</v>
      </c>
      <c r="G33" s="319">
        <f t="shared" ca="1" si="1"/>
        <v>65.284748355263147</v>
      </c>
      <c r="H33" s="399">
        <f t="shared" ref="H33:I33" ca="1" si="37">SUM(H34:H53)</f>
        <v>551</v>
      </c>
      <c r="I33" s="318">
        <f t="shared" ca="1" si="37"/>
        <v>471</v>
      </c>
      <c r="J33" s="319">
        <f t="shared" ca="1" si="3"/>
        <v>85.48094373865699</v>
      </c>
      <c r="K33" s="399">
        <f t="shared" ref="K33:L33" ca="1" si="38">SUM(K34:K53)</f>
        <v>551</v>
      </c>
      <c r="L33" s="318">
        <f t="shared" ca="1" si="38"/>
        <v>471</v>
      </c>
      <c r="M33" s="319">
        <f t="shared" ca="1" si="5"/>
        <v>85.48094373865699</v>
      </c>
      <c r="N33" s="443">
        <f t="shared" ref="N33:S33" ca="1" si="39">SUM(N34:N53)</f>
        <v>476</v>
      </c>
      <c r="O33" s="318">
        <f t="shared" ca="1" si="39"/>
        <v>396</v>
      </c>
      <c r="P33" s="443">
        <f t="shared" ca="1" si="39"/>
        <v>75</v>
      </c>
      <c r="Q33" s="318">
        <f t="shared" ca="1" si="39"/>
        <v>75</v>
      </c>
      <c r="R33" s="443">
        <f t="shared" ca="1" si="39"/>
        <v>0</v>
      </c>
      <c r="S33" s="318">
        <f t="shared" si="39"/>
        <v>0</v>
      </c>
      <c r="T33" s="319">
        <f t="shared" ca="1" si="7"/>
        <v>0</v>
      </c>
      <c r="U33" s="339"/>
      <c r="V33" s="339"/>
      <c r="W33" s="339"/>
      <c r="X33" s="339"/>
      <c r="Y33" s="339"/>
      <c r="Z33" s="339"/>
    </row>
    <row r="34" spans="1:26" ht="21" customHeight="1">
      <c r="A34" s="293">
        <v>1</v>
      </c>
      <c r="B34" s="357" t="s">
        <v>58</v>
      </c>
      <c r="C34" s="446">
        <f t="shared" ref="C34:C53" ca="1" si="40">+D34+E34</f>
        <v>168000</v>
      </c>
      <c r="D34" s="301">
        <f ca="1">IFERROR(__xludf.DUMMYFUNCTION("IMPORTRANGE(""https://docs.google.com/spreadsheets/d/1C3CXT74ZlgGe6_JY_1olB1XN4rF0dxEuIIF-xsYjHgg/edit?usp=sharing"",""งบกองทุน!AU38"")"),0)</f>
        <v>0</v>
      </c>
      <c r="E34" s="301">
        <f ca="1">IFERROR(__xludf.DUMMYFUNCTION("IMPORTRANGE(""https://docs.google.com/spreadsheets/d/1C3CXT74ZlgGe6_JY_1olB1XN4rF0dxEuIIF-xsYjHgg/edit?usp=sharing"",""งบกองทุน!AV38"")"),168000)</f>
        <v>168000</v>
      </c>
      <c r="F34" s="301">
        <f ca="1">IFERROR(__xludf.DUMMYFUNCTION("IMPORTRANGE(""https://docs.google.com/spreadsheets/d/1XL5vhW3sbDhbH9Cz0tuDiY8C3ctxq1tqvaCgkFb8cCA/edit?usp=sharing"",""กาฬสินธุ์!M332"")"),104395)</f>
        <v>104395</v>
      </c>
      <c r="G34" s="301">
        <f t="shared" ca="1" si="1"/>
        <v>62.139880952380949</v>
      </c>
      <c r="H34" s="447">
        <f t="shared" ref="H34:H53" ca="1" si="41">+N34+P34+R34</f>
        <v>45</v>
      </c>
      <c r="I34" s="299">
        <f t="shared" ref="I34:I53" ca="1" si="42">SUM(L34,S34)</f>
        <v>25</v>
      </c>
      <c r="J34" s="448">
        <f t="shared" ca="1" si="3"/>
        <v>55.555555555555557</v>
      </c>
      <c r="K34" s="449">
        <f t="shared" ref="K34:K53" ca="1" si="43">+N34+P34</f>
        <v>45</v>
      </c>
      <c r="L34" s="299">
        <f t="shared" ref="L34:L53" ca="1" si="44">O34+Q34</f>
        <v>25</v>
      </c>
      <c r="M34" s="448">
        <f t="shared" ca="1" si="5"/>
        <v>55.555555555555557</v>
      </c>
      <c r="N34" s="463">
        <f ca="1">IFERROR(__xludf.DUMMYFUNCTION("IMPORTRANGE(""https://docs.google.com/spreadsheets/d/1C3CXT74ZlgGe6_JY_1olB1XN4rF0dxEuIIF-xsYjHgg/edit?usp=sharing"",""งบกองทุน!AY38"")"),20)</f>
        <v>20</v>
      </c>
      <c r="O34" s="299">
        <f ca="1">IFERROR(__xludf.DUMMYFUNCTION("IMPORTRANGE(""https://docs.google.com/spreadsheets/d/1XL5vhW3sbDhbH9Cz0tuDiY8C3ctxq1tqvaCgkFb8cCA/edit?usp=sharing"",""กาฬสินธุ์!J345"")"),0)</f>
        <v>0</v>
      </c>
      <c r="P34" s="463">
        <f ca="1">IFERROR(__xludf.DUMMYFUNCTION("IMPORTRANGE(""https://docs.google.com/spreadsheets/d/1C3CXT74ZlgGe6_JY_1olB1XN4rF0dxEuIIF-xsYjHgg/edit?usp=sharing"",""งบกองทุน!AZ38"")"),25)</f>
        <v>25</v>
      </c>
      <c r="Q34" s="299">
        <f ca="1">IFERROR(__xludf.DUMMYFUNCTION("IMPORTRANGE(""https://docs.google.com/spreadsheets/d/1XL5vhW3sbDhbH9Cz0tuDiY8C3ctxq1tqvaCgkFb8cCA/edit?usp=sharing"",""กาฬสินธุ์!J346"")"),25)</f>
        <v>25</v>
      </c>
      <c r="R34" s="447">
        <f ca="1">IFERROR(__xludf.DUMMYFUNCTION("IMPORTRANGE(""https://docs.google.com/spreadsheets/d/1C3CXT74ZlgGe6_JY_1olB1XN4rF0dxEuIIF-xsYjHgg/edit?usp=sharing"",""งบกองทุน!BA38"")"),0)</f>
        <v>0</v>
      </c>
      <c r="S34" s="299">
        <v>0</v>
      </c>
      <c r="T34" s="448">
        <f t="shared" ca="1" si="7"/>
        <v>0</v>
      </c>
      <c r="U34" s="339"/>
      <c r="V34" s="339"/>
      <c r="W34" s="339"/>
      <c r="X34" s="339"/>
      <c r="Y34" s="339"/>
      <c r="Z34" s="339"/>
    </row>
    <row r="35" spans="1:26" ht="21" customHeight="1">
      <c r="A35" s="303">
        <v>2</v>
      </c>
      <c r="B35" s="304" t="s">
        <v>59</v>
      </c>
      <c r="C35" s="451">
        <f t="shared" ca="1" si="40"/>
        <v>144000</v>
      </c>
      <c r="D35" s="309">
        <f ca="1">IFERROR(__xludf.DUMMYFUNCTION("IMPORTRANGE(""https://docs.google.com/spreadsheets/d/1C3CXT74ZlgGe6_JY_1olB1XN4rF0dxEuIIF-xsYjHgg/edit?usp=sharing"",""งบกองทุน!AU39"")"),0)</f>
        <v>0</v>
      </c>
      <c r="E35" s="309">
        <f ca="1">IFERROR(__xludf.DUMMYFUNCTION("IMPORTRANGE(""https://docs.google.com/spreadsheets/d/1C3CXT74ZlgGe6_JY_1olB1XN4rF0dxEuIIF-xsYjHgg/edit?usp=sharing"",""งบกองทุน!AV39"")"),144000)</f>
        <v>144000</v>
      </c>
      <c r="F35" s="309">
        <f ca="1">IFERROR(__xludf.DUMMYFUNCTION("IMPORTRANGE(""https://docs.google.com/spreadsheets/d/1XL5vhW3sbDhbH9Cz0tuDiY8C3ctxq1tqvaCgkFb8cCA/edit?usp=sharing"",""ขอนแก่น!M332"")"),73397.68)</f>
        <v>73397.679999999993</v>
      </c>
      <c r="G35" s="309">
        <f t="shared" ca="1" si="1"/>
        <v>50.970611111111104</v>
      </c>
      <c r="H35" s="452">
        <f t="shared" ca="1" si="41"/>
        <v>40</v>
      </c>
      <c r="I35" s="308">
        <f t="shared" ca="1" si="42"/>
        <v>40</v>
      </c>
      <c r="J35" s="453">
        <f t="shared" ca="1" si="3"/>
        <v>100</v>
      </c>
      <c r="K35" s="454">
        <f t="shared" ca="1" si="43"/>
        <v>40</v>
      </c>
      <c r="L35" s="308">
        <f t="shared" ca="1" si="44"/>
        <v>40</v>
      </c>
      <c r="M35" s="453">
        <f t="shared" ca="1" si="5"/>
        <v>100</v>
      </c>
      <c r="N35" s="456">
        <f ca="1">IFERROR(__xludf.DUMMYFUNCTION("IMPORTRANGE(""https://docs.google.com/spreadsheets/d/1C3CXT74ZlgGe6_JY_1olB1XN4rF0dxEuIIF-xsYjHgg/edit?usp=sharing"",""งบกองทุน!AY39"")"),40)</f>
        <v>40</v>
      </c>
      <c r="O35" s="308">
        <f ca="1">IFERROR(__xludf.DUMMYFUNCTION("IMPORTRANGE(""https://docs.google.com/spreadsheets/d/1XL5vhW3sbDhbH9Cz0tuDiY8C3ctxq1tqvaCgkFb8cCA/edit?usp=sharing"",""ขอนแก่น!J345"")"),40)</f>
        <v>40</v>
      </c>
      <c r="P35" s="456">
        <f ca="1">IFERROR(__xludf.DUMMYFUNCTION("IMPORTRANGE(""https://docs.google.com/spreadsheets/d/1C3CXT74ZlgGe6_JY_1olB1XN4rF0dxEuIIF-xsYjHgg/edit?usp=sharing"",""งบกองทุน!AZ39"")"),0)</f>
        <v>0</v>
      </c>
      <c r="Q35" s="308">
        <f ca="1">IFERROR(__xludf.DUMMYFUNCTION("IMPORTRANGE(""https://docs.google.com/spreadsheets/d/1XL5vhW3sbDhbH9Cz0tuDiY8C3ctxq1tqvaCgkFb8cCA/edit?usp=sharing"",""ขอนแก่น!J346"")"),0)</f>
        <v>0</v>
      </c>
      <c r="R35" s="452">
        <f ca="1">IFERROR(__xludf.DUMMYFUNCTION("IMPORTRANGE(""https://docs.google.com/spreadsheets/d/1C3CXT74ZlgGe6_JY_1olB1XN4rF0dxEuIIF-xsYjHgg/edit?usp=sharing"",""งบกองทุน!BA39"")"),0)</f>
        <v>0</v>
      </c>
      <c r="S35" s="308">
        <v>0</v>
      </c>
      <c r="T35" s="453">
        <f t="shared" ca="1" si="7"/>
        <v>0</v>
      </c>
      <c r="U35" s="339"/>
      <c r="V35" s="339"/>
      <c r="W35" s="339"/>
      <c r="X35" s="339"/>
      <c r="Y35" s="339"/>
      <c r="Z35" s="339"/>
    </row>
    <row r="36" spans="1:26" ht="21" customHeight="1">
      <c r="A36" s="303">
        <v>3</v>
      </c>
      <c r="B36" s="304" t="s">
        <v>60</v>
      </c>
      <c r="C36" s="451">
        <f t="shared" ca="1" si="40"/>
        <v>106000</v>
      </c>
      <c r="D36" s="309">
        <f ca="1">IFERROR(__xludf.DUMMYFUNCTION("IMPORTRANGE(""https://docs.google.com/spreadsheets/d/1C3CXT74ZlgGe6_JY_1olB1XN4rF0dxEuIIF-xsYjHgg/edit?usp=sharing"",""งบกองทุน!AU40"")"),0)</f>
        <v>0</v>
      </c>
      <c r="E36" s="309">
        <f ca="1">IFERROR(__xludf.DUMMYFUNCTION("IMPORTRANGE(""https://docs.google.com/spreadsheets/d/1C3CXT74ZlgGe6_JY_1olB1XN4rF0dxEuIIF-xsYjHgg/edit?usp=sharing"",""งบกองทุน!AV40"")"),106000)</f>
        <v>106000</v>
      </c>
      <c r="F36" s="309">
        <f ca="1">IFERROR(__xludf.DUMMYFUNCTION("IMPORTRANGE(""https://docs.google.com/spreadsheets/d/1XL5vhW3sbDhbH9Cz0tuDiY8C3ctxq1tqvaCgkFb8cCA/edit?usp=sharing"",""ชัยภูมิ!M332"")"),72798)</f>
        <v>72798</v>
      </c>
      <c r="G36" s="309">
        <f t="shared" ca="1" si="1"/>
        <v>68.677358490566036</v>
      </c>
      <c r="H36" s="452">
        <f t="shared" ca="1" si="41"/>
        <v>15</v>
      </c>
      <c r="I36" s="308">
        <f t="shared" ca="1" si="42"/>
        <v>15</v>
      </c>
      <c r="J36" s="453">
        <f t="shared" ca="1" si="3"/>
        <v>100</v>
      </c>
      <c r="K36" s="454">
        <f t="shared" ca="1" si="43"/>
        <v>15</v>
      </c>
      <c r="L36" s="308">
        <f t="shared" ca="1" si="44"/>
        <v>15</v>
      </c>
      <c r="M36" s="453">
        <f t="shared" ca="1" si="5"/>
        <v>100</v>
      </c>
      <c r="N36" s="456">
        <f ca="1">IFERROR(__xludf.DUMMYFUNCTION("IMPORTRANGE(""https://docs.google.com/spreadsheets/d/1C3CXT74ZlgGe6_JY_1olB1XN4rF0dxEuIIF-xsYjHgg/edit?usp=sharing"",""งบกองทุน!AY40"")"),15)</f>
        <v>15</v>
      </c>
      <c r="O36" s="308">
        <f ca="1">IFERROR(__xludf.DUMMYFUNCTION("IMPORTRANGE(""https://docs.google.com/spreadsheets/d/1XL5vhW3sbDhbH9Cz0tuDiY8C3ctxq1tqvaCgkFb8cCA/edit?usp=sharing"",""ชัยภูมิ!J345"")"),15)</f>
        <v>15</v>
      </c>
      <c r="P36" s="456">
        <f ca="1">IFERROR(__xludf.DUMMYFUNCTION("IMPORTRANGE(""https://docs.google.com/spreadsheets/d/1C3CXT74ZlgGe6_JY_1olB1XN4rF0dxEuIIF-xsYjHgg/edit?usp=sharing"",""งบกองทุน!AZ40"")"),0)</f>
        <v>0</v>
      </c>
      <c r="Q36" s="308">
        <f ca="1">IFERROR(__xludf.DUMMYFUNCTION("IMPORTRANGE(""https://docs.google.com/spreadsheets/d/1XL5vhW3sbDhbH9Cz0tuDiY8C3ctxq1tqvaCgkFb8cCA/edit?usp=sharing"",""ชัยภูมิ!J346"")"),0)</f>
        <v>0</v>
      </c>
      <c r="R36" s="452">
        <f ca="1">IFERROR(__xludf.DUMMYFUNCTION("IMPORTRANGE(""https://docs.google.com/spreadsheets/d/1C3CXT74ZlgGe6_JY_1olB1XN4rF0dxEuIIF-xsYjHgg/edit?usp=sharing"",""งบกองทุน!BA40"")"),0)</f>
        <v>0</v>
      </c>
      <c r="S36" s="308">
        <v>0</v>
      </c>
      <c r="T36" s="453">
        <f t="shared" ca="1" si="7"/>
        <v>0</v>
      </c>
      <c r="U36" s="339"/>
      <c r="V36" s="339"/>
      <c r="W36" s="339"/>
      <c r="X36" s="339"/>
      <c r="Y36" s="339"/>
      <c r="Z36" s="339"/>
    </row>
    <row r="37" spans="1:26" ht="21" customHeight="1">
      <c r="A37" s="303">
        <v>4</v>
      </c>
      <c r="B37" s="304" t="s">
        <v>61</v>
      </c>
      <c r="C37" s="451">
        <f t="shared" ca="1" si="40"/>
        <v>110500</v>
      </c>
      <c r="D37" s="309">
        <f ca="1">IFERROR(__xludf.DUMMYFUNCTION("IMPORTRANGE(""https://docs.google.com/spreadsheets/d/1C3CXT74ZlgGe6_JY_1olB1XN4rF0dxEuIIF-xsYjHgg/edit?usp=sharing"",""งบกองทุน!AU41"")"),0)</f>
        <v>0</v>
      </c>
      <c r="E37" s="309">
        <f ca="1">IFERROR(__xludf.DUMMYFUNCTION("IMPORTRANGE(""https://docs.google.com/spreadsheets/d/1C3CXT74ZlgGe6_JY_1olB1XN4rF0dxEuIIF-xsYjHgg/edit?usp=sharing"",""งบกองทุน!AV41"")"),110500)</f>
        <v>110500</v>
      </c>
      <c r="F37" s="309">
        <f ca="1">IFERROR(__xludf.DUMMYFUNCTION("IMPORTRANGE(""https://docs.google.com/spreadsheets/d/1XL5vhW3sbDhbH9Cz0tuDiY8C3ctxq1tqvaCgkFb8cCA/edit?usp=sharing"",""นครพนม!M332"")"),5417.65)</f>
        <v>5417.65</v>
      </c>
      <c r="G37" s="309">
        <f t="shared" ca="1" si="1"/>
        <v>4.9028506787330315</v>
      </c>
      <c r="H37" s="452">
        <f t="shared" ca="1" si="41"/>
        <v>25</v>
      </c>
      <c r="I37" s="308">
        <f t="shared" ca="1" si="42"/>
        <v>0</v>
      </c>
      <c r="J37" s="453">
        <f t="shared" ca="1" si="3"/>
        <v>0</v>
      </c>
      <c r="K37" s="454">
        <f t="shared" ca="1" si="43"/>
        <v>25</v>
      </c>
      <c r="L37" s="308">
        <f t="shared" ca="1" si="44"/>
        <v>0</v>
      </c>
      <c r="M37" s="453">
        <f t="shared" ca="1" si="5"/>
        <v>0</v>
      </c>
      <c r="N37" s="457">
        <f ca="1">IFERROR(__xludf.DUMMYFUNCTION("IMPORTRANGE(""https://docs.google.com/spreadsheets/d/1C3CXT74ZlgGe6_JY_1olB1XN4rF0dxEuIIF-xsYjHgg/edit?usp=sharing"",""งบกองทุน!AY41"")"),25)</f>
        <v>25</v>
      </c>
      <c r="O37" s="308">
        <f ca="1">IFERROR(__xludf.DUMMYFUNCTION("IMPORTRANGE(""https://docs.google.com/spreadsheets/d/1XL5vhW3sbDhbH9Cz0tuDiY8C3ctxq1tqvaCgkFb8cCA/edit?usp=sharing"",""นครพนม!J345"")"),0)</f>
        <v>0</v>
      </c>
      <c r="P37" s="457">
        <f ca="1">IFERROR(__xludf.DUMMYFUNCTION("IMPORTRANGE(""https://docs.google.com/spreadsheets/d/1C3CXT74ZlgGe6_JY_1olB1XN4rF0dxEuIIF-xsYjHgg/edit?usp=sharing"",""งบกองทุน!AZ41"")"),0)</f>
        <v>0</v>
      </c>
      <c r="Q37" s="308">
        <f ca="1">IFERROR(__xludf.DUMMYFUNCTION("IMPORTRANGE(""https://docs.google.com/spreadsheets/d/1XL5vhW3sbDhbH9Cz0tuDiY8C3ctxq1tqvaCgkFb8cCA/edit?usp=sharing"",""นครพนม!J346"")"),0)</f>
        <v>0</v>
      </c>
      <c r="R37" s="452">
        <f ca="1">IFERROR(__xludf.DUMMYFUNCTION("IMPORTRANGE(""https://docs.google.com/spreadsheets/d/1C3CXT74ZlgGe6_JY_1olB1XN4rF0dxEuIIF-xsYjHgg/edit?usp=sharing"",""งบกองทุน!BA41"")"),0)</f>
        <v>0</v>
      </c>
      <c r="S37" s="308">
        <v>0</v>
      </c>
      <c r="T37" s="453">
        <f t="shared" ca="1" si="7"/>
        <v>0</v>
      </c>
      <c r="U37" s="339"/>
      <c r="V37" s="339"/>
      <c r="W37" s="339"/>
      <c r="X37" s="339"/>
      <c r="Y37" s="339"/>
      <c r="Z37" s="339"/>
    </row>
    <row r="38" spans="1:26" ht="21" customHeight="1">
      <c r="A38" s="303">
        <v>5</v>
      </c>
      <c r="B38" s="304" t="s">
        <v>62</v>
      </c>
      <c r="C38" s="451">
        <f t="shared" ca="1" si="40"/>
        <v>162000</v>
      </c>
      <c r="D38" s="309">
        <f ca="1">IFERROR(__xludf.DUMMYFUNCTION("IMPORTRANGE(""https://docs.google.com/spreadsheets/d/1C3CXT74ZlgGe6_JY_1olB1XN4rF0dxEuIIF-xsYjHgg/edit?usp=sharing"",""งบกองทุน!AU42"")"),0)</f>
        <v>0</v>
      </c>
      <c r="E38" s="309">
        <f ca="1">IFERROR(__xludf.DUMMYFUNCTION("IMPORTRANGE(""https://docs.google.com/spreadsheets/d/1C3CXT74ZlgGe6_JY_1olB1XN4rF0dxEuIIF-xsYjHgg/edit?usp=sharing"",""งบกองทุน!AV42"")"),162000)</f>
        <v>162000</v>
      </c>
      <c r="F38" s="309">
        <f ca="1">IFERROR(__xludf.DUMMYFUNCTION("IMPORTRANGE(""https://docs.google.com/spreadsheets/d/1XL5vhW3sbDhbH9Cz0tuDiY8C3ctxq1tqvaCgkFb8cCA/edit?usp=sharing"",""นครราชสีมา!M332"")"),130900)</f>
        <v>130900</v>
      </c>
      <c r="G38" s="309">
        <f t="shared" ca="1" si="1"/>
        <v>80.802469135802468</v>
      </c>
      <c r="H38" s="452">
        <f t="shared" ca="1" si="41"/>
        <v>40</v>
      </c>
      <c r="I38" s="308">
        <f t="shared" ca="1" si="42"/>
        <v>40</v>
      </c>
      <c r="J38" s="453">
        <f t="shared" ca="1" si="3"/>
        <v>100</v>
      </c>
      <c r="K38" s="454">
        <f t="shared" ca="1" si="43"/>
        <v>40</v>
      </c>
      <c r="L38" s="308">
        <f t="shared" ca="1" si="44"/>
        <v>40</v>
      </c>
      <c r="M38" s="453">
        <f t="shared" ca="1" si="5"/>
        <v>100</v>
      </c>
      <c r="N38" s="456">
        <f ca="1">IFERROR(__xludf.DUMMYFUNCTION("IMPORTRANGE(""https://docs.google.com/spreadsheets/d/1C3CXT74ZlgGe6_JY_1olB1XN4rF0dxEuIIF-xsYjHgg/edit?usp=sharing"",""งบกองทุน!AY42"")"),40)</f>
        <v>40</v>
      </c>
      <c r="O38" s="308">
        <f ca="1">IFERROR(__xludf.DUMMYFUNCTION("IMPORTRANGE(""https://docs.google.com/spreadsheets/d/1XL5vhW3sbDhbH9Cz0tuDiY8C3ctxq1tqvaCgkFb8cCA/edit?usp=sharing"",""นครราชสีมา!J345"")"),40)</f>
        <v>40</v>
      </c>
      <c r="P38" s="456">
        <f ca="1">IFERROR(__xludf.DUMMYFUNCTION("IMPORTRANGE(""https://docs.google.com/spreadsheets/d/1C3CXT74ZlgGe6_JY_1olB1XN4rF0dxEuIIF-xsYjHgg/edit?usp=sharing"",""งบกองทุน!AZ42"")"),0)</f>
        <v>0</v>
      </c>
      <c r="Q38" s="308">
        <f ca="1">IFERROR(__xludf.DUMMYFUNCTION("IMPORTRANGE(""https://docs.google.com/spreadsheets/d/1XL5vhW3sbDhbH9Cz0tuDiY8C3ctxq1tqvaCgkFb8cCA/edit?usp=sharing"",""นครราชสีมา!J346"")"),0)</f>
        <v>0</v>
      </c>
      <c r="R38" s="452">
        <f ca="1">IFERROR(__xludf.DUMMYFUNCTION("IMPORTRANGE(""https://docs.google.com/spreadsheets/d/1C3CXT74ZlgGe6_JY_1olB1XN4rF0dxEuIIF-xsYjHgg/edit?usp=sharing"",""งบกองทุน!BA42"")"),0)</f>
        <v>0</v>
      </c>
      <c r="S38" s="308">
        <v>0</v>
      </c>
      <c r="T38" s="453">
        <f t="shared" ca="1" si="7"/>
        <v>0</v>
      </c>
      <c r="U38" s="339"/>
      <c r="V38" s="339"/>
      <c r="W38" s="339"/>
      <c r="X38" s="339"/>
      <c r="Y38" s="339"/>
      <c r="Z38" s="339"/>
    </row>
    <row r="39" spans="1:26" ht="21" customHeight="1">
      <c r="A39" s="303">
        <v>6</v>
      </c>
      <c r="B39" s="304" t="s">
        <v>63</v>
      </c>
      <c r="C39" s="451">
        <f t="shared" ca="1" si="40"/>
        <v>110500</v>
      </c>
      <c r="D39" s="309">
        <f ca="1">IFERROR(__xludf.DUMMYFUNCTION("IMPORTRANGE(""https://docs.google.com/spreadsheets/d/1C3CXT74ZlgGe6_JY_1olB1XN4rF0dxEuIIF-xsYjHgg/edit?usp=sharing"",""งบกองทุน!AU43"")"),0)</f>
        <v>0</v>
      </c>
      <c r="E39" s="309">
        <f ca="1">IFERROR(__xludf.DUMMYFUNCTION("IMPORTRANGE(""https://docs.google.com/spreadsheets/d/1C3CXT74ZlgGe6_JY_1olB1XN4rF0dxEuIIF-xsYjHgg/edit?usp=sharing"",""งบกองทุน!AV43"")"),110500)</f>
        <v>110500</v>
      </c>
      <c r="F39" s="309">
        <f ca="1">IFERROR(__xludf.DUMMYFUNCTION("IMPORTRANGE(""https://docs.google.com/spreadsheets/d/1XL5vhW3sbDhbH9Cz0tuDiY8C3ctxq1tqvaCgkFb8cCA/edit?usp=sharing"",""บึงกาฬ!M332"")"),99075)</f>
        <v>99075</v>
      </c>
      <c r="G39" s="309">
        <f t="shared" ca="1" si="1"/>
        <v>89.660633484162901</v>
      </c>
      <c r="H39" s="452">
        <f t="shared" ca="1" si="41"/>
        <v>25</v>
      </c>
      <c r="I39" s="308">
        <f t="shared" ca="1" si="42"/>
        <v>25</v>
      </c>
      <c r="J39" s="453">
        <f t="shared" ca="1" si="3"/>
        <v>100</v>
      </c>
      <c r="K39" s="454">
        <f t="shared" ca="1" si="43"/>
        <v>25</v>
      </c>
      <c r="L39" s="308">
        <f t="shared" ca="1" si="44"/>
        <v>25</v>
      </c>
      <c r="M39" s="453">
        <f t="shared" ca="1" si="5"/>
        <v>100</v>
      </c>
      <c r="N39" s="456">
        <f ca="1">IFERROR(__xludf.DUMMYFUNCTION("IMPORTRANGE(""https://docs.google.com/spreadsheets/d/1C3CXT74ZlgGe6_JY_1olB1XN4rF0dxEuIIF-xsYjHgg/edit?usp=sharing"",""งบกองทุน!AY43"")"),25)</f>
        <v>25</v>
      </c>
      <c r="O39" s="308">
        <f ca="1">IFERROR(__xludf.DUMMYFUNCTION("IMPORTRANGE(""https://docs.google.com/spreadsheets/d/1XL5vhW3sbDhbH9Cz0tuDiY8C3ctxq1tqvaCgkFb8cCA/edit?usp=sharing"",""บึงกาฬ!J345"")"),25)</f>
        <v>25</v>
      </c>
      <c r="P39" s="456">
        <f ca="1">IFERROR(__xludf.DUMMYFUNCTION("IMPORTRANGE(""https://docs.google.com/spreadsheets/d/1C3CXT74ZlgGe6_JY_1olB1XN4rF0dxEuIIF-xsYjHgg/edit?usp=sharing"",""งบกองทุน!AZ43"")"),0)</f>
        <v>0</v>
      </c>
      <c r="Q39" s="308">
        <f ca="1">IFERROR(__xludf.DUMMYFUNCTION("IMPORTRANGE(""https://docs.google.com/spreadsheets/d/1XL5vhW3sbDhbH9Cz0tuDiY8C3ctxq1tqvaCgkFb8cCA/edit?usp=sharing"",""บึงกาฬ!J346"")"),0)</f>
        <v>0</v>
      </c>
      <c r="R39" s="452">
        <f ca="1">IFERROR(__xludf.DUMMYFUNCTION("IMPORTRANGE(""https://docs.google.com/spreadsheets/d/1C3CXT74ZlgGe6_JY_1olB1XN4rF0dxEuIIF-xsYjHgg/edit?usp=sharing"",""งบกองทุน!BA43"")"),0)</f>
        <v>0</v>
      </c>
      <c r="S39" s="308">
        <v>0</v>
      </c>
      <c r="T39" s="453">
        <f t="shared" ca="1" si="7"/>
        <v>0</v>
      </c>
      <c r="U39" s="339"/>
      <c r="V39" s="339"/>
      <c r="W39" s="339"/>
      <c r="X39" s="339"/>
      <c r="Y39" s="339"/>
      <c r="Z39" s="339"/>
    </row>
    <row r="40" spans="1:26" ht="21" customHeight="1">
      <c r="A40" s="303">
        <v>7</v>
      </c>
      <c r="B40" s="304" t="s">
        <v>64</v>
      </c>
      <c r="C40" s="451">
        <f t="shared" ca="1" si="40"/>
        <v>118000</v>
      </c>
      <c r="D40" s="309">
        <f ca="1">IFERROR(__xludf.DUMMYFUNCTION("IMPORTRANGE(""https://docs.google.com/spreadsheets/d/1C3CXT74ZlgGe6_JY_1olB1XN4rF0dxEuIIF-xsYjHgg/edit?usp=sharing"",""งบกองทุน!AU44"")"),0)</f>
        <v>0</v>
      </c>
      <c r="E40" s="309">
        <f ca="1">IFERROR(__xludf.DUMMYFUNCTION("IMPORTRANGE(""https://docs.google.com/spreadsheets/d/1C3CXT74ZlgGe6_JY_1olB1XN4rF0dxEuIIF-xsYjHgg/edit?usp=sharing"",""งบกองทุน!AV44"")"),118000)</f>
        <v>118000</v>
      </c>
      <c r="F40" s="309">
        <f ca="1">IFERROR(__xludf.DUMMYFUNCTION("IMPORTRANGE(""https://docs.google.com/spreadsheets/d/1XL5vhW3sbDhbH9Cz0tuDiY8C3ctxq1tqvaCgkFb8cCA/edit?usp=sharing"",""บุรีรัมย์!M332"")"),68755.6)</f>
        <v>68755.600000000006</v>
      </c>
      <c r="G40" s="309">
        <f t="shared" ca="1" si="1"/>
        <v>58.267457627118652</v>
      </c>
      <c r="H40" s="452">
        <f t="shared" ca="1" si="41"/>
        <v>20</v>
      </c>
      <c r="I40" s="308">
        <f t="shared" ca="1" si="42"/>
        <v>20</v>
      </c>
      <c r="J40" s="453">
        <f t="shared" ca="1" si="3"/>
        <v>100</v>
      </c>
      <c r="K40" s="454">
        <f t="shared" ca="1" si="43"/>
        <v>20</v>
      </c>
      <c r="L40" s="308">
        <f t="shared" ca="1" si="44"/>
        <v>20</v>
      </c>
      <c r="M40" s="453">
        <f t="shared" ca="1" si="5"/>
        <v>100</v>
      </c>
      <c r="N40" s="456">
        <f ca="1">IFERROR(__xludf.DUMMYFUNCTION("IMPORTRANGE(""https://docs.google.com/spreadsheets/d/1C3CXT74ZlgGe6_JY_1olB1XN4rF0dxEuIIF-xsYjHgg/edit?usp=sharing"",""งบกองทุน!AY44"")"),20)</f>
        <v>20</v>
      </c>
      <c r="O40" s="308">
        <f ca="1">IFERROR(__xludf.DUMMYFUNCTION("IMPORTRANGE(""https://docs.google.com/spreadsheets/d/1XL5vhW3sbDhbH9Cz0tuDiY8C3ctxq1tqvaCgkFb8cCA/edit?usp=sharing"",""บุรีรัมย์!J345"")"),20)</f>
        <v>20</v>
      </c>
      <c r="P40" s="456">
        <f ca="1">IFERROR(__xludf.DUMMYFUNCTION("IMPORTRANGE(""https://docs.google.com/spreadsheets/d/1C3CXT74ZlgGe6_JY_1olB1XN4rF0dxEuIIF-xsYjHgg/edit?usp=sharing"",""งบกองทุน!AZ44"")"),0)</f>
        <v>0</v>
      </c>
      <c r="Q40" s="308">
        <f ca="1">IFERROR(__xludf.DUMMYFUNCTION("IMPORTRANGE(""https://docs.google.com/spreadsheets/d/1XL5vhW3sbDhbH9Cz0tuDiY8C3ctxq1tqvaCgkFb8cCA/edit?usp=sharing"",""บุรีรัมย์!J346"")"),0)</f>
        <v>0</v>
      </c>
      <c r="R40" s="452">
        <f ca="1">IFERROR(__xludf.DUMMYFUNCTION("IMPORTRANGE(""https://docs.google.com/spreadsheets/d/1C3CXT74ZlgGe6_JY_1olB1XN4rF0dxEuIIF-xsYjHgg/edit?usp=sharing"",""งบกองทุน!BA44"")"),0)</f>
        <v>0</v>
      </c>
      <c r="S40" s="308">
        <v>0</v>
      </c>
      <c r="T40" s="453">
        <f t="shared" ca="1" si="7"/>
        <v>0</v>
      </c>
      <c r="U40" s="339"/>
      <c r="V40" s="339"/>
      <c r="W40" s="339"/>
      <c r="X40" s="339"/>
      <c r="Y40" s="339"/>
      <c r="Z40" s="339"/>
    </row>
    <row r="41" spans="1:26" ht="21" customHeight="1">
      <c r="A41" s="303">
        <v>8</v>
      </c>
      <c r="B41" s="304" t="s">
        <v>65</v>
      </c>
      <c r="C41" s="451">
        <f t="shared" ca="1" si="40"/>
        <v>101000</v>
      </c>
      <c r="D41" s="309">
        <f ca="1">IFERROR(__xludf.DUMMYFUNCTION("IMPORTRANGE(""https://docs.google.com/spreadsheets/d/1C3CXT74ZlgGe6_JY_1olB1XN4rF0dxEuIIF-xsYjHgg/edit?usp=sharing"",""งบกองทุน!AU45"")"),0)</f>
        <v>0</v>
      </c>
      <c r="E41" s="309">
        <f ca="1">IFERROR(__xludf.DUMMYFUNCTION("IMPORTRANGE(""https://docs.google.com/spreadsheets/d/1C3CXT74ZlgGe6_JY_1olB1XN4rF0dxEuIIF-xsYjHgg/edit?usp=sharing"",""งบกองทุน!AV45"")"),101000)</f>
        <v>101000</v>
      </c>
      <c r="F41" s="309">
        <f ca="1">IFERROR(__xludf.DUMMYFUNCTION("IMPORTRANGE(""https://docs.google.com/spreadsheets/d/1XL5vhW3sbDhbH9Cz0tuDiY8C3ctxq1tqvaCgkFb8cCA/edit?usp=sharing"",""มหาสารคาม!M332"")"),55606)</f>
        <v>55606</v>
      </c>
      <c r="G41" s="309">
        <f t="shared" ca="1" si="1"/>
        <v>55.055445544554452</v>
      </c>
      <c r="H41" s="452">
        <f t="shared" ca="1" si="41"/>
        <v>21</v>
      </c>
      <c r="I41" s="308">
        <f t="shared" ca="1" si="42"/>
        <v>21</v>
      </c>
      <c r="J41" s="453">
        <f t="shared" ca="1" si="3"/>
        <v>100</v>
      </c>
      <c r="K41" s="454">
        <f t="shared" ca="1" si="43"/>
        <v>21</v>
      </c>
      <c r="L41" s="308">
        <f t="shared" ca="1" si="44"/>
        <v>21</v>
      </c>
      <c r="M41" s="453">
        <f t="shared" ca="1" si="5"/>
        <v>100</v>
      </c>
      <c r="N41" s="456">
        <f ca="1">IFERROR(__xludf.DUMMYFUNCTION("IMPORTRANGE(""https://docs.google.com/spreadsheets/d/1C3CXT74ZlgGe6_JY_1olB1XN4rF0dxEuIIF-xsYjHgg/edit?usp=sharing"",""งบกองทุน!AY45"")"),21)</f>
        <v>21</v>
      </c>
      <c r="O41" s="308">
        <f ca="1">IFERROR(__xludf.DUMMYFUNCTION("IMPORTRANGE(""https://docs.google.com/spreadsheets/d/1XL5vhW3sbDhbH9Cz0tuDiY8C3ctxq1tqvaCgkFb8cCA/edit?usp=sharing"",""มหาสารคาม!J345"")"),21)</f>
        <v>21</v>
      </c>
      <c r="P41" s="456">
        <f ca="1">IFERROR(__xludf.DUMMYFUNCTION("IMPORTRANGE(""https://docs.google.com/spreadsheets/d/1C3CXT74ZlgGe6_JY_1olB1XN4rF0dxEuIIF-xsYjHgg/edit?usp=sharing"",""งบกองทุน!AZ45"")"),0)</f>
        <v>0</v>
      </c>
      <c r="Q41" s="308">
        <f ca="1">IFERROR(__xludf.DUMMYFUNCTION("IMPORTRANGE(""https://docs.google.com/spreadsheets/d/1XL5vhW3sbDhbH9Cz0tuDiY8C3ctxq1tqvaCgkFb8cCA/edit?usp=sharing"",""มหาสารคาม!J346"")"),0)</f>
        <v>0</v>
      </c>
      <c r="R41" s="452">
        <f ca="1">IFERROR(__xludf.DUMMYFUNCTION("IMPORTRANGE(""https://docs.google.com/spreadsheets/d/1C3CXT74ZlgGe6_JY_1olB1XN4rF0dxEuIIF-xsYjHgg/edit?usp=sharing"",""งบกองทุน!BA45"")"),0)</f>
        <v>0</v>
      </c>
      <c r="S41" s="308">
        <v>0</v>
      </c>
      <c r="T41" s="453">
        <f t="shared" ca="1" si="7"/>
        <v>0</v>
      </c>
      <c r="U41" s="339"/>
      <c r="V41" s="339"/>
      <c r="W41" s="339"/>
      <c r="X41" s="339"/>
      <c r="Y41" s="339"/>
      <c r="Z41" s="339"/>
    </row>
    <row r="42" spans="1:26" ht="21" customHeight="1">
      <c r="A42" s="303">
        <v>9</v>
      </c>
      <c r="B42" s="304" t="s">
        <v>66</v>
      </c>
      <c r="C42" s="451">
        <f t="shared" ca="1" si="40"/>
        <v>139000</v>
      </c>
      <c r="D42" s="309">
        <f ca="1">IFERROR(__xludf.DUMMYFUNCTION("IMPORTRANGE(""https://docs.google.com/spreadsheets/d/1C3CXT74ZlgGe6_JY_1olB1XN4rF0dxEuIIF-xsYjHgg/edit?usp=sharing"",""งบกองทุน!AU46"")"),0)</f>
        <v>0</v>
      </c>
      <c r="E42" s="309">
        <f ca="1">IFERROR(__xludf.DUMMYFUNCTION("IMPORTRANGE(""https://docs.google.com/spreadsheets/d/1C3CXT74ZlgGe6_JY_1olB1XN4rF0dxEuIIF-xsYjHgg/edit?usp=sharing"",""งบกองทุน!AV46"")"),139000)</f>
        <v>139000</v>
      </c>
      <c r="F42" s="309">
        <f ca="1">IFERROR(__xludf.DUMMYFUNCTION("IMPORTRANGE(""https://docs.google.com/spreadsheets/d/1XL5vhW3sbDhbH9Cz0tuDiY8C3ctxq1tqvaCgkFb8cCA/edit?usp=sharing"",""มุกดาหาร!M332"")"),97400)</f>
        <v>97400</v>
      </c>
      <c r="G42" s="309">
        <f t="shared" ca="1" si="1"/>
        <v>70.071942446043167</v>
      </c>
      <c r="H42" s="452">
        <f t="shared" ca="1" si="41"/>
        <v>30</v>
      </c>
      <c r="I42" s="308">
        <f t="shared" ca="1" si="42"/>
        <v>30</v>
      </c>
      <c r="J42" s="453">
        <f t="shared" ca="1" si="3"/>
        <v>100</v>
      </c>
      <c r="K42" s="454">
        <f t="shared" ca="1" si="43"/>
        <v>30</v>
      </c>
      <c r="L42" s="308">
        <f t="shared" ca="1" si="44"/>
        <v>30</v>
      </c>
      <c r="M42" s="453">
        <f t="shared" ca="1" si="5"/>
        <v>100</v>
      </c>
      <c r="N42" s="456">
        <f ca="1">IFERROR(__xludf.DUMMYFUNCTION("IMPORTRANGE(""https://docs.google.com/spreadsheets/d/1C3CXT74ZlgGe6_JY_1olB1XN4rF0dxEuIIF-xsYjHgg/edit?usp=sharing"",""งบกองทุน!AY46"")"),30)</f>
        <v>30</v>
      </c>
      <c r="O42" s="308">
        <f ca="1">IFERROR(__xludf.DUMMYFUNCTION("IMPORTRANGE(""https://docs.google.com/spreadsheets/d/1XL5vhW3sbDhbH9Cz0tuDiY8C3ctxq1tqvaCgkFb8cCA/edit?usp=sharing"",""มุกดาหาร!J345"")"),30)</f>
        <v>30</v>
      </c>
      <c r="P42" s="456">
        <f ca="1">IFERROR(__xludf.DUMMYFUNCTION("IMPORTRANGE(""https://docs.google.com/spreadsheets/d/1C3CXT74ZlgGe6_JY_1olB1XN4rF0dxEuIIF-xsYjHgg/edit?usp=sharing"",""งบกองทุน!AZ46"")"),0)</f>
        <v>0</v>
      </c>
      <c r="Q42" s="308">
        <f ca="1">IFERROR(__xludf.DUMMYFUNCTION("IMPORTRANGE(""https://docs.google.com/spreadsheets/d/1XL5vhW3sbDhbH9Cz0tuDiY8C3ctxq1tqvaCgkFb8cCA/edit?usp=sharing"",""มุกดาหาร!J346"")"),0)</f>
        <v>0</v>
      </c>
      <c r="R42" s="452">
        <f ca="1">IFERROR(__xludf.DUMMYFUNCTION("IMPORTRANGE(""https://docs.google.com/spreadsheets/d/1C3CXT74ZlgGe6_JY_1olB1XN4rF0dxEuIIF-xsYjHgg/edit?usp=sharing"",""งบกองทุน!BA46"")"),0)</f>
        <v>0</v>
      </c>
      <c r="S42" s="308">
        <v>0</v>
      </c>
      <c r="T42" s="453">
        <f t="shared" ca="1" si="7"/>
        <v>0</v>
      </c>
      <c r="U42" s="339"/>
      <c r="V42" s="339"/>
      <c r="W42" s="339"/>
      <c r="X42" s="339"/>
      <c r="Y42" s="339"/>
      <c r="Z42" s="339"/>
    </row>
    <row r="43" spans="1:26" ht="21" customHeight="1">
      <c r="A43" s="303">
        <v>10</v>
      </c>
      <c r="B43" s="304" t="s">
        <v>67</v>
      </c>
      <c r="C43" s="451">
        <f t="shared" ca="1" si="40"/>
        <v>106000</v>
      </c>
      <c r="D43" s="309">
        <f ca="1">IFERROR(__xludf.DUMMYFUNCTION("IMPORTRANGE(""https://docs.google.com/spreadsheets/d/1C3CXT74ZlgGe6_JY_1olB1XN4rF0dxEuIIF-xsYjHgg/edit?usp=sharing"",""งบกองทุน!AU47"")"),0)</f>
        <v>0</v>
      </c>
      <c r="E43" s="309">
        <f ca="1">IFERROR(__xludf.DUMMYFUNCTION("IMPORTRANGE(""https://docs.google.com/spreadsheets/d/1C3CXT74ZlgGe6_JY_1olB1XN4rF0dxEuIIF-xsYjHgg/edit?usp=sharing"",""งบกองทุน!AV47"")"),106000)</f>
        <v>106000</v>
      </c>
      <c r="F43" s="309">
        <f ca="1">IFERROR(__xludf.DUMMYFUNCTION("IMPORTRANGE(""https://docs.google.com/spreadsheets/d/1XL5vhW3sbDhbH9Cz0tuDiY8C3ctxq1tqvaCgkFb8cCA/edit?usp=sharing"",""ยโสธร!M332"")"),63300)</f>
        <v>63300</v>
      </c>
      <c r="G43" s="309">
        <f t="shared" ca="1" si="1"/>
        <v>59.716981132075475</v>
      </c>
      <c r="H43" s="452">
        <f t="shared" ca="1" si="41"/>
        <v>15</v>
      </c>
      <c r="I43" s="308">
        <f t="shared" ca="1" si="42"/>
        <v>15</v>
      </c>
      <c r="J43" s="453">
        <f t="shared" ca="1" si="3"/>
        <v>100</v>
      </c>
      <c r="K43" s="454">
        <f t="shared" ca="1" si="43"/>
        <v>15</v>
      </c>
      <c r="L43" s="308">
        <f t="shared" ca="1" si="44"/>
        <v>15</v>
      </c>
      <c r="M43" s="453">
        <f t="shared" ca="1" si="5"/>
        <v>100</v>
      </c>
      <c r="N43" s="456">
        <f ca="1">IFERROR(__xludf.DUMMYFUNCTION("IMPORTRANGE(""https://docs.google.com/spreadsheets/d/1C3CXT74ZlgGe6_JY_1olB1XN4rF0dxEuIIF-xsYjHgg/edit?usp=sharing"",""งบกองทุน!AY47"")"),15)</f>
        <v>15</v>
      </c>
      <c r="O43" s="308">
        <f ca="1">IFERROR(__xludf.DUMMYFUNCTION("IMPORTRANGE(""https://docs.google.com/spreadsheets/d/1XL5vhW3sbDhbH9Cz0tuDiY8C3ctxq1tqvaCgkFb8cCA/edit?usp=sharing"",""ยโสธร!J345"")"),15)</f>
        <v>15</v>
      </c>
      <c r="P43" s="456">
        <f ca="1">IFERROR(__xludf.DUMMYFUNCTION("IMPORTRANGE(""https://docs.google.com/spreadsheets/d/1C3CXT74ZlgGe6_JY_1olB1XN4rF0dxEuIIF-xsYjHgg/edit?usp=sharing"",""งบกองทุน!AZ47"")"),0)</f>
        <v>0</v>
      </c>
      <c r="Q43" s="308">
        <f ca="1">IFERROR(__xludf.DUMMYFUNCTION("IMPORTRANGE(""https://docs.google.com/spreadsheets/d/1XL5vhW3sbDhbH9Cz0tuDiY8C3ctxq1tqvaCgkFb8cCA/edit?usp=sharing"",""ยโสธร!J346"")"),0)</f>
        <v>0</v>
      </c>
      <c r="R43" s="452">
        <f ca="1">IFERROR(__xludf.DUMMYFUNCTION("IMPORTRANGE(""https://docs.google.com/spreadsheets/d/1C3CXT74ZlgGe6_JY_1olB1XN4rF0dxEuIIF-xsYjHgg/edit?usp=sharing"",""งบกองทุน!BA47"")"),0)</f>
        <v>0</v>
      </c>
      <c r="S43" s="308">
        <v>0</v>
      </c>
      <c r="T43" s="453">
        <f t="shared" ca="1" si="7"/>
        <v>0</v>
      </c>
      <c r="U43" s="339"/>
      <c r="V43" s="339"/>
      <c r="W43" s="339"/>
      <c r="X43" s="339"/>
      <c r="Y43" s="339"/>
      <c r="Z43" s="339"/>
    </row>
    <row r="44" spans="1:26" ht="21" customHeight="1">
      <c r="A44" s="303">
        <v>11</v>
      </c>
      <c r="B44" s="304" t="s">
        <v>68</v>
      </c>
      <c r="C44" s="451">
        <f t="shared" ca="1" si="40"/>
        <v>88000</v>
      </c>
      <c r="D44" s="309">
        <f ca="1">IFERROR(__xludf.DUMMYFUNCTION("IMPORTRANGE(""https://docs.google.com/spreadsheets/d/1C3CXT74ZlgGe6_JY_1olB1XN4rF0dxEuIIF-xsYjHgg/edit?usp=sharing"",""งบกองทุน!AU48"")"),0)</f>
        <v>0</v>
      </c>
      <c r="E44" s="309">
        <f ca="1">IFERROR(__xludf.DUMMYFUNCTION("IMPORTRANGE(""https://docs.google.com/spreadsheets/d/1C3CXT74ZlgGe6_JY_1olB1XN4rF0dxEuIIF-xsYjHgg/edit?usp=sharing"",""งบกองทุน!AV48"")"),88000)</f>
        <v>88000</v>
      </c>
      <c r="F44" s="309">
        <f ca="1">IFERROR(__xludf.DUMMYFUNCTION("IMPORTRANGE(""https://docs.google.com/spreadsheets/d/1XL5vhW3sbDhbH9Cz0tuDiY8C3ctxq1tqvaCgkFb8cCA/edit?usp=sharing"",""ร้อยเอ็ด!M332"")"),82825)</f>
        <v>82825</v>
      </c>
      <c r="G44" s="309">
        <f t="shared" ca="1" si="1"/>
        <v>94.119318181818187</v>
      </c>
      <c r="H44" s="452">
        <f t="shared" ca="1" si="41"/>
        <v>15</v>
      </c>
      <c r="I44" s="308">
        <f t="shared" ca="1" si="42"/>
        <v>15</v>
      </c>
      <c r="J44" s="453">
        <f t="shared" ca="1" si="3"/>
        <v>100</v>
      </c>
      <c r="K44" s="454">
        <f t="shared" ca="1" si="43"/>
        <v>15</v>
      </c>
      <c r="L44" s="308">
        <f t="shared" ca="1" si="44"/>
        <v>15</v>
      </c>
      <c r="M44" s="453">
        <f t="shared" ca="1" si="5"/>
        <v>100</v>
      </c>
      <c r="N44" s="456">
        <f ca="1">IFERROR(__xludf.DUMMYFUNCTION("IMPORTRANGE(""https://docs.google.com/spreadsheets/d/1C3CXT74ZlgGe6_JY_1olB1XN4rF0dxEuIIF-xsYjHgg/edit?usp=sharing"",""งบกองทุน!AY48"")"),15)</f>
        <v>15</v>
      </c>
      <c r="O44" s="308">
        <f ca="1">IFERROR(__xludf.DUMMYFUNCTION("IMPORTRANGE(""https://docs.google.com/spreadsheets/d/1XL5vhW3sbDhbH9Cz0tuDiY8C3ctxq1tqvaCgkFb8cCA/edit?usp=sharing"",""ร้อยเอ็ด!J345"")"),15)</f>
        <v>15</v>
      </c>
      <c r="P44" s="456">
        <f ca="1">IFERROR(__xludf.DUMMYFUNCTION("IMPORTRANGE(""https://docs.google.com/spreadsheets/d/1C3CXT74ZlgGe6_JY_1olB1XN4rF0dxEuIIF-xsYjHgg/edit?usp=sharing"",""งบกองทุน!AZ48"")"),0)</f>
        <v>0</v>
      </c>
      <c r="Q44" s="308">
        <f ca="1">IFERROR(__xludf.DUMMYFUNCTION("IMPORTRANGE(""https://docs.google.com/spreadsheets/d/1XL5vhW3sbDhbH9Cz0tuDiY8C3ctxq1tqvaCgkFb8cCA/edit?usp=sharing"",""ร้อยเอ็ด!J346"")"),0)</f>
        <v>0</v>
      </c>
      <c r="R44" s="452">
        <f ca="1">IFERROR(__xludf.DUMMYFUNCTION("IMPORTRANGE(""https://docs.google.com/spreadsheets/d/1C3CXT74ZlgGe6_JY_1olB1XN4rF0dxEuIIF-xsYjHgg/edit?usp=sharing"",""งบกองทุน!BA48"")"),0)</f>
        <v>0</v>
      </c>
      <c r="S44" s="308">
        <v>0</v>
      </c>
      <c r="T44" s="453">
        <f t="shared" ca="1" si="7"/>
        <v>0</v>
      </c>
      <c r="U44" s="339"/>
      <c r="V44" s="339"/>
      <c r="W44" s="339"/>
      <c r="X44" s="339"/>
      <c r="Y44" s="339"/>
      <c r="Z44" s="339"/>
    </row>
    <row r="45" spans="1:26" ht="21" customHeight="1">
      <c r="A45" s="303">
        <v>12</v>
      </c>
      <c r="B45" s="304" t="s">
        <v>69</v>
      </c>
      <c r="C45" s="451">
        <f t="shared" ca="1" si="40"/>
        <v>77000</v>
      </c>
      <c r="D45" s="309">
        <f ca="1">IFERROR(__xludf.DUMMYFUNCTION("IMPORTRANGE(""https://docs.google.com/spreadsheets/d/1C3CXT74ZlgGe6_JY_1olB1XN4rF0dxEuIIF-xsYjHgg/edit?usp=sharing"",""งบกองทุน!AU49"")"),0)</f>
        <v>0</v>
      </c>
      <c r="E45" s="309">
        <f ca="1">IFERROR(__xludf.DUMMYFUNCTION("IMPORTRANGE(""https://docs.google.com/spreadsheets/d/1C3CXT74ZlgGe6_JY_1olB1XN4rF0dxEuIIF-xsYjHgg/edit?usp=sharing"",""งบกองทุน!AV49"")"),77000)</f>
        <v>77000</v>
      </c>
      <c r="F45" s="309">
        <f ca="1">IFERROR(__xludf.DUMMYFUNCTION("IMPORTRANGE(""https://docs.google.com/spreadsheets/d/1XL5vhW3sbDhbH9Cz0tuDiY8C3ctxq1tqvaCgkFb8cCA/edit?usp=sharing"",""เลย!M332"")"),21798.71)</f>
        <v>21798.71</v>
      </c>
      <c r="G45" s="309">
        <f t="shared" ca="1" si="1"/>
        <v>28.310012987012986</v>
      </c>
      <c r="H45" s="452">
        <f t="shared" ca="1" si="41"/>
        <v>10</v>
      </c>
      <c r="I45" s="308">
        <f t="shared" ca="1" si="42"/>
        <v>10</v>
      </c>
      <c r="J45" s="453">
        <f t="shared" ca="1" si="3"/>
        <v>100</v>
      </c>
      <c r="K45" s="454">
        <f t="shared" ca="1" si="43"/>
        <v>10</v>
      </c>
      <c r="L45" s="308">
        <f t="shared" ca="1" si="44"/>
        <v>10</v>
      </c>
      <c r="M45" s="453">
        <f t="shared" ca="1" si="5"/>
        <v>100</v>
      </c>
      <c r="N45" s="456">
        <f ca="1">IFERROR(__xludf.DUMMYFUNCTION("IMPORTRANGE(""https://docs.google.com/spreadsheets/d/1C3CXT74ZlgGe6_JY_1olB1XN4rF0dxEuIIF-xsYjHgg/edit?usp=sharing"",""งบกองทุน!AY49"")"),10)</f>
        <v>10</v>
      </c>
      <c r="O45" s="308">
        <f ca="1">IFERROR(__xludf.DUMMYFUNCTION("IMPORTRANGE(""https://docs.google.com/spreadsheets/d/1XL5vhW3sbDhbH9Cz0tuDiY8C3ctxq1tqvaCgkFb8cCA/edit?usp=sharing"",""เลย!J345"")"),10)</f>
        <v>10</v>
      </c>
      <c r="P45" s="456">
        <f ca="1">IFERROR(__xludf.DUMMYFUNCTION("IMPORTRANGE(""https://docs.google.com/spreadsheets/d/1C3CXT74ZlgGe6_JY_1olB1XN4rF0dxEuIIF-xsYjHgg/edit?usp=sharing"",""งบกองทุน!AZ49"")"),0)</f>
        <v>0</v>
      </c>
      <c r="Q45" s="308">
        <f ca="1">IFERROR(__xludf.DUMMYFUNCTION("IMPORTRANGE(""https://docs.google.com/spreadsheets/d/1XL5vhW3sbDhbH9Cz0tuDiY8C3ctxq1tqvaCgkFb8cCA/edit?usp=sharing"",""เลย!J346"")"),0)</f>
        <v>0</v>
      </c>
      <c r="R45" s="452">
        <f ca="1">IFERROR(__xludf.DUMMYFUNCTION("IMPORTRANGE(""https://docs.google.com/spreadsheets/d/1C3CXT74ZlgGe6_JY_1olB1XN4rF0dxEuIIF-xsYjHgg/edit?usp=sharing"",""งบกองทุน!BA49"")"),0)</f>
        <v>0</v>
      </c>
      <c r="S45" s="308">
        <v>0</v>
      </c>
      <c r="T45" s="453">
        <f t="shared" ca="1" si="7"/>
        <v>0</v>
      </c>
      <c r="U45" s="339"/>
      <c r="V45" s="339"/>
      <c r="W45" s="339"/>
      <c r="X45" s="339"/>
      <c r="Y45" s="339"/>
      <c r="Z45" s="339"/>
    </row>
    <row r="46" spans="1:26" ht="21" customHeight="1">
      <c r="A46" s="303">
        <v>13</v>
      </c>
      <c r="B46" s="304" t="s">
        <v>70</v>
      </c>
      <c r="C46" s="451">
        <f t="shared" ca="1" si="40"/>
        <v>133000</v>
      </c>
      <c r="D46" s="309">
        <f ca="1">IFERROR(__xludf.DUMMYFUNCTION("IMPORTRANGE(""https://docs.google.com/spreadsheets/d/1C3CXT74ZlgGe6_JY_1olB1XN4rF0dxEuIIF-xsYjHgg/edit?usp=sharing"",""งบกองทุน!AU50"")"),0)</f>
        <v>0</v>
      </c>
      <c r="E46" s="309">
        <f ca="1">IFERROR(__xludf.DUMMYFUNCTION("IMPORTRANGE(""https://docs.google.com/spreadsheets/d/1C3CXT74ZlgGe6_JY_1olB1XN4rF0dxEuIIF-xsYjHgg/edit?usp=sharing"",""งบกองทุน!AV50"")"),133000)</f>
        <v>133000</v>
      </c>
      <c r="F46" s="309">
        <f ca="1">IFERROR(__xludf.DUMMYFUNCTION("IMPORTRANGE(""https://docs.google.com/spreadsheets/d/1XL5vhW3sbDhbH9Cz0tuDiY8C3ctxq1tqvaCgkFb8cCA/edit?usp=sharing"",""ศรีสะเกษ!M332"")"),32120)</f>
        <v>32120</v>
      </c>
      <c r="G46" s="309">
        <f t="shared" ca="1" si="1"/>
        <v>24.150375939849624</v>
      </c>
      <c r="H46" s="452">
        <f t="shared" ca="1" si="41"/>
        <v>35</v>
      </c>
      <c r="I46" s="308">
        <f t="shared" ca="1" si="42"/>
        <v>0</v>
      </c>
      <c r="J46" s="453">
        <f t="shared" ca="1" si="3"/>
        <v>0</v>
      </c>
      <c r="K46" s="454">
        <f t="shared" ca="1" si="43"/>
        <v>35</v>
      </c>
      <c r="L46" s="308">
        <f t="shared" ca="1" si="44"/>
        <v>0</v>
      </c>
      <c r="M46" s="453">
        <f t="shared" ca="1" si="5"/>
        <v>0</v>
      </c>
      <c r="N46" s="456">
        <f ca="1">IFERROR(__xludf.DUMMYFUNCTION("IMPORTRANGE(""https://docs.google.com/spreadsheets/d/1C3CXT74ZlgGe6_JY_1olB1XN4rF0dxEuIIF-xsYjHgg/edit?usp=sharing"",""งบกองทุน!AY50"")"),35)</f>
        <v>35</v>
      </c>
      <c r="O46" s="308">
        <f ca="1">IFERROR(__xludf.DUMMYFUNCTION("IMPORTRANGE(""https://docs.google.com/spreadsheets/d/1XL5vhW3sbDhbH9Cz0tuDiY8C3ctxq1tqvaCgkFb8cCA/edit?usp=sharing"",""ศรีสะเกษ!J345"")"),0)</f>
        <v>0</v>
      </c>
      <c r="P46" s="456">
        <f ca="1">IFERROR(__xludf.DUMMYFUNCTION("IMPORTRANGE(""https://docs.google.com/spreadsheets/d/1C3CXT74ZlgGe6_JY_1olB1XN4rF0dxEuIIF-xsYjHgg/edit?usp=sharing"",""งบกองทุน!AZ50"")"),0)</f>
        <v>0</v>
      </c>
      <c r="Q46" s="308">
        <f ca="1">IFERROR(__xludf.DUMMYFUNCTION("IMPORTRANGE(""https://docs.google.com/spreadsheets/d/1XL5vhW3sbDhbH9Cz0tuDiY8C3ctxq1tqvaCgkFb8cCA/edit?usp=sharing"",""ศรีสะเกษ!J346"")"),0)</f>
        <v>0</v>
      </c>
      <c r="R46" s="452">
        <f ca="1">IFERROR(__xludf.DUMMYFUNCTION("IMPORTRANGE(""https://docs.google.com/spreadsheets/d/1C3CXT74ZlgGe6_JY_1olB1XN4rF0dxEuIIF-xsYjHgg/edit?usp=sharing"",""งบกองทุน!BA50"")"),0)</f>
        <v>0</v>
      </c>
      <c r="S46" s="308">
        <v>0</v>
      </c>
      <c r="T46" s="453">
        <f t="shared" ca="1" si="7"/>
        <v>0</v>
      </c>
      <c r="U46" s="339"/>
      <c r="V46" s="339"/>
      <c r="W46" s="339"/>
      <c r="X46" s="339"/>
      <c r="Y46" s="339"/>
      <c r="Z46" s="339"/>
    </row>
    <row r="47" spans="1:26" ht="21" customHeight="1">
      <c r="A47" s="303">
        <v>14</v>
      </c>
      <c r="B47" s="304" t="s">
        <v>71</v>
      </c>
      <c r="C47" s="451">
        <f t="shared" ca="1" si="40"/>
        <v>121000</v>
      </c>
      <c r="D47" s="309">
        <f ca="1">IFERROR(__xludf.DUMMYFUNCTION("IMPORTRANGE(""https://docs.google.com/spreadsheets/d/1C3CXT74ZlgGe6_JY_1olB1XN4rF0dxEuIIF-xsYjHgg/edit?usp=sharing"",""งบกองทุน!AU51"")"),0)</f>
        <v>0</v>
      </c>
      <c r="E47" s="309">
        <f ca="1">IFERROR(__xludf.DUMMYFUNCTION("IMPORTRANGE(""https://docs.google.com/spreadsheets/d/1C3CXT74ZlgGe6_JY_1olB1XN4rF0dxEuIIF-xsYjHgg/edit?usp=sharing"",""งบกองทุน!AV51"")"),121000)</f>
        <v>121000</v>
      </c>
      <c r="F47" s="309">
        <f ca="1">IFERROR(__xludf.DUMMYFUNCTION("IMPORTRANGE(""https://docs.google.com/spreadsheets/d/1XL5vhW3sbDhbH9Cz0tuDiY8C3ctxq1tqvaCgkFb8cCA/edit?usp=sharing"",""สกลนคร!M332"")"),97700.44)</f>
        <v>97700.44</v>
      </c>
      <c r="G47" s="309">
        <f t="shared" ca="1" si="1"/>
        <v>80.744165289256202</v>
      </c>
      <c r="H47" s="452">
        <f t="shared" ca="1" si="41"/>
        <v>30</v>
      </c>
      <c r="I47" s="308">
        <f t="shared" ca="1" si="42"/>
        <v>30</v>
      </c>
      <c r="J47" s="453">
        <f t="shared" ca="1" si="3"/>
        <v>100</v>
      </c>
      <c r="K47" s="454">
        <f t="shared" ca="1" si="43"/>
        <v>30</v>
      </c>
      <c r="L47" s="308">
        <f t="shared" ca="1" si="44"/>
        <v>30</v>
      </c>
      <c r="M47" s="453">
        <f t="shared" ca="1" si="5"/>
        <v>100</v>
      </c>
      <c r="N47" s="456">
        <f ca="1">IFERROR(__xludf.DUMMYFUNCTION("IMPORTRANGE(""https://docs.google.com/spreadsheets/d/1C3CXT74ZlgGe6_JY_1olB1XN4rF0dxEuIIF-xsYjHgg/edit?usp=sharing"",""งบกองทุน!AY51"")"),30)</f>
        <v>30</v>
      </c>
      <c r="O47" s="308">
        <f ca="1">IFERROR(__xludf.DUMMYFUNCTION("IMPORTRANGE(""https://docs.google.com/spreadsheets/d/1XL5vhW3sbDhbH9Cz0tuDiY8C3ctxq1tqvaCgkFb8cCA/edit?usp=sharing"",""สกลนคร!J345"")"),30)</f>
        <v>30</v>
      </c>
      <c r="P47" s="456">
        <f ca="1">IFERROR(__xludf.DUMMYFUNCTION("IMPORTRANGE(""https://docs.google.com/spreadsheets/d/1C3CXT74ZlgGe6_JY_1olB1XN4rF0dxEuIIF-xsYjHgg/edit?usp=sharing"",""งบกองทุน!AZ51"")"),0)</f>
        <v>0</v>
      </c>
      <c r="Q47" s="308">
        <f ca="1">IFERROR(__xludf.DUMMYFUNCTION("IMPORTRANGE(""https://docs.google.com/spreadsheets/d/1XL5vhW3sbDhbH9Cz0tuDiY8C3ctxq1tqvaCgkFb8cCA/edit?usp=sharing"",""สกลนคร!J346"")"),0)</f>
        <v>0</v>
      </c>
      <c r="R47" s="452">
        <f ca="1">IFERROR(__xludf.DUMMYFUNCTION("IMPORTRANGE(""https://docs.google.com/spreadsheets/d/1C3CXT74ZlgGe6_JY_1olB1XN4rF0dxEuIIF-xsYjHgg/edit?usp=sharing"",""งบกองทุน!BA51"")"),0)</f>
        <v>0</v>
      </c>
      <c r="S47" s="308">
        <v>0</v>
      </c>
      <c r="T47" s="453">
        <f t="shared" ca="1" si="7"/>
        <v>0</v>
      </c>
      <c r="U47" s="339"/>
      <c r="V47" s="339"/>
      <c r="W47" s="339"/>
      <c r="X47" s="339"/>
      <c r="Y47" s="339"/>
      <c r="Z47" s="339"/>
    </row>
    <row r="48" spans="1:26" ht="21" customHeight="1">
      <c r="A48" s="303">
        <v>15</v>
      </c>
      <c r="B48" s="304" t="s">
        <v>72</v>
      </c>
      <c r="C48" s="451">
        <f t="shared" ca="1" si="40"/>
        <v>222000</v>
      </c>
      <c r="D48" s="309">
        <f ca="1">IFERROR(__xludf.DUMMYFUNCTION("IMPORTRANGE(""https://docs.google.com/spreadsheets/d/1C3CXT74ZlgGe6_JY_1olB1XN4rF0dxEuIIF-xsYjHgg/edit?usp=sharing"",""งบกองทุน!AU52"")"),0)</f>
        <v>0</v>
      </c>
      <c r="E48" s="309">
        <f ca="1">IFERROR(__xludf.DUMMYFUNCTION("IMPORTRANGE(""https://docs.google.com/spreadsheets/d/1C3CXT74ZlgGe6_JY_1olB1XN4rF0dxEuIIF-xsYjHgg/edit?usp=sharing"",""งบกองทุน!AV52"")"),222000)</f>
        <v>222000</v>
      </c>
      <c r="F48" s="309">
        <f ca="1">IFERROR(__xludf.DUMMYFUNCTION("IMPORTRANGE(""https://docs.google.com/spreadsheets/d/1XL5vhW3sbDhbH9Cz0tuDiY8C3ctxq1tqvaCgkFb8cCA/edit?usp=sharing"",""สุรินทร์!M332"")"),183477)</f>
        <v>183477</v>
      </c>
      <c r="G48" s="309">
        <f t="shared" ca="1" si="1"/>
        <v>82.6472972972973</v>
      </c>
      <c r="H48" s="452">
        <f t="shared" ca="1" si="41"/>
        <v>80</v>
      </c>
      <c r="I48" s="308">
        <f t="shared" ca="1" si="42"/>
        <v>80</v>
      </c>
      <c r="J48" s="453">
        <f t="shared" ca="1" si="3"/>
        <v>100</v>
      </c>
      <c r="K48" s="454">
        <f t="shared" ca="1" si="43"/>
        <v>80</v>
      </c>
      <c r="L48" s="308">
        <f t="shared" ca="1" si="44"/>
        <v>80</v>
      </c>
      <c r="M48" s="453">
        <f t="shared" ca="1" si="5"/>
        <v>100</v>
      </c>
      <c r="N48" s="456">
        <f ca="1">IFERROR(__xludf.DUMMYFUNCTION("IMPORTRANGE(""https://docs.google.com/spreadsheets/d/1C3CXT74ZlgGe6_JY_1olB1XN4rF0dxEuIIF-xsYjHgg/edit?usp=sharing"",""งบกองทุน!AY52"")"),30)</f>
        <v>30</v>
      </c>
      <c r="O48" s="308">
        <f ca="1">IFERROR(__xludf.DUMMYFUNCTION("IMPORTRANGE(""https://docs.google.com/spreadsheets/d/1XL5vhW3sbDhbH9Cz0tuDiY8C3ctxq1tqvaCgkFb8cCA/edit?usp=sharing"",""สุรินทร์!J345"")"),30)</f>
        <v>30</v>
      </c>
      <c r="P48" s="456">
        <f ca="1">IFERROR(__xludf.DUMMYFUNCTION("IMPORTRANGE(""https://docs.google.com/spreadsheets/d/1C3CXT74ZlgGe6_JY_1olB1XN4rF0dxEuIIF-xsYjHgg/edit?usp=sharing"",""งบกองทุน!AZ52"")"),50)</f>
        <v>50</v>
      </c>
      <c r="Q48" s="308">
        <f ca="1">IFERROR(__xludf.DUMMYFUNCTION("IMPORTRANGE(""https://docs.google.com/spreadsheets/d/1XL5vhW3sbDhbH9Cz0tuDiY8C3ctxq1tqvaCgkFb8cCA/edit?usp=sharing"",""สุรินทร์!J346"")"),50)</f>
        <v>50</v>
      </c>
      <c r="R48" s="452">
        <f ca="1">IFERROR(__xludf.DUMMYFUNCTION("IMPORTRANGE(""https://docs.google.com/spreadsheets/d/1C3CXT74ZlgGe6_JY_1olB1XN4rF0dxEuIIF-xsYjHgg/edit?usp=sharing"",""งบกองทุน!BA52"")"),0)</f>
        <v>0</v>
      </c>
      <c r="S48" s="308">
        <v>0</v>
      </c>
      <c r="T48" s="453">
        <f t="shared" ca="1" si="7"/>
        <v>0</v>
      </c>
      <c r="U48" s="339"/>
      <c r="V48" s="339"/>
      <c r="W48" s="339"/>
      <c r="X48" s="339"/>
      <c r="Y48" s="339"/>
      <c r="Z48" s="339"/>
    </row>
    <row r="49" spans="1:26" ht="21" customHeight="1">
      <c r="A49" s="303">
        <v>16</v>
      </c>
      <c r="B49" s="304" t="s">
        <v>73</v>
      </c>
      <c r="C49" s="451">
        <f t="shared" ca="1" si="40"/>
        <v>88000</v>
      </c>
      <c r="D49" s="309">
        <f ca="1">IFERROR(__xludf.DUMMYFUNCTION("IMPORTRANGE(""https://docs.google.com/spreadsheets/d/1C3CXT74ZlgGe6_JY_1olB1XN4rF0dxEuIIF-xsYjHgg/edit?usp=sharing"",""งบกองทุน!AU53"")"),0)</f>
        <v>0</v>
      </c>
      <c r="E49" s="309">
        <f ca="1">IFERROR(__xludf.DUMMYFUNCTION("IMPORTRANGE(""https://docs.google.com/spreadsheets/d/1C3CXT74ZlgGe6_JY_1olB1XN4rF0dxEuIIF-xsYjHgg/edit?usp=sharing"",""งบกองทุน!AV53"")"),88000)</f>
        <v>88000</v>
      </c>
      <c r="F49" s="309">
        <f ca="1">IFERROR(__xludf.DUMMYFUNCTION("IMPORTRANGE(""https://docs.google.com/spreadsheets/d/1XL5vhW3sbDhbH9Cz0tuDiY8C3ctxq1tqvaCgkFb8cCA/edit?usp=sharing"",""หนองคาย!M332"")"),34940)</f>
        <v>34940</v>
      </c>
      <c r="G49" s="309">
        <f t="shared" ca="1" si="1"/>
        <v>39.704545454545453</v>
      </c>
      <c r="H49" s="452">
        <f t="shared" ca="1" si="41"/>
        <v>15</v>
      </c>
      <c r="I49" s="308">
        <f t="shared" ca="1" si="42"/>
        <v>15</v>
      </c>
      <c r="J49" s="453">
        <f t="shared" ca="1" si="3"/>
        <v>100</v>
      </c>
      <c r="K49" s="454">
        <f t="shared" ca="1" si="43"/>
        <v>15</v>
      </c>
      <c r="L49" s="308">
        <f t="shared" ca="1" si="44"/>
        <v>15</v>
      </c>
      <c r="M49" s="453">
        <f t="shared" ca="1" si="5"/>
        <v>100</v>
      </c>
      <c r="N49" s="456">
        <f ca="1">IFERROR(__xludf.DUMMYFUNCTION("IMPORTRANGE(""https://docs.google.com/spreadsheets/d/1C3CXT74ZlgGe6_JY_1olB1XN4rF0dxEuIIF-xsYjHgg/edit?usp=sharing"",""งบกองทุน!AY53"")"),15)</f>
        <v>15</v>
      </c>
      <c r="O49" s="308">
        <f ca="1">IFERROR(__xludf.DUMMYFUNCTION("IMPORTRANGE(""https://docs.google.com/spreadsheets/d/1XL5vhW3sbDhbH9Cz0tuDiY8C3ctxq1tqvaCgkFb8cCA/edit?usp=sharing"",""หนองคาย!J345"")"),15)</f>
        <v>15</v>
      </c>
      <c r="P49" s="456">
        <f ca="1">IFERROR(__xludf.DUMMYFUNCTION("IMPORTRANGE(""https://docs.google.com/spreadsheets/d/1C3CXT74ZlgGe6_JY_1olB1XN4rF0dxEuIIF-xsYjHgg/edit?usp=sharing"",""งบกองทุน!AZ53"")"),0)</f>
        <v>0</v>
      </c>
      <c r="Q49" s="308">
        <f ca="1">IFERROR(__xludf.DUMMYFUNCTION("IMPORTRANGE(""https://docs.google.com/spreadsheets/d/1XL5vhW3sbDhbH9Cz0tuDiY8C3ctxq1tqvaCgkFb8cCA/edit?usp=sharing"",""หนองคาย!J346"")"),0)</f>
        <v>0</v>
      </c>
      <c r="R49" s="452">
        <f ca="1">IFERROR(__xludf.DUMMYFUNCTION("IMPORTRANGE(""https://docs.google.com/spreadsheets/d/1C3CXT74ZlgGe6_JY_1olB1XN4rF0dxEuIIF-xsYjHgg/edit?usp=sharing"",""งบกองทุน!BA53"")"),0)</f>
        <v>0</v>
      </c>
      <c r="S49" s="308">
        <v>0</v>
      </c>
      <c r="T49" s="453">
        <f t="shared" ca="1" si="7"/>
        <v>0</v>
      </c>
      <c r="U49" s="339"/>
      <c r="V49" s="339"/>
      <c r="W49" s="339"/>
      <c r="X49" s="339"/>
      <c r="Y49" s="339"/>
      <c r="Z49" s="339"/>
    </row>
    <row r="50" spans="1:26" ht="21" customHeight="1">
      <c r="A50" s="303">
        <v>17</v>
      </c>
      <c r="B50" s="304" t="s">
        <v>74</v>
      </c>
      <c r="C50" s="451">
        <f t="shared" ca="1" si="40"/>
        <v>88000</v>
      </c>
      <c r="D50" s="309">
        <f ca="1">IFERROR(__xludf.DUMMYFUNCTION("IMPORTRANGE(""https://docs.google.com/spreadsheets/d/1C3CXT74ZlgGe6_JY_1olB1XN4rF0dxEuIIF-xsYjHgg/edit?usp=sharing"",""งบกองทุน!AU54"")"),0)</f>
        <v>0</v>
      </c>
      <c r="E50" s="309">
        <f ca="1">IFERROR(__xludf.DUMMYFUNCTION("IMPORTRANGE(""https://docs.google.com/spreadsheets/d/1C3CXT74ZlgGe6_JY_1olB1XN4rF0dxEuIIF-xsYjHgg/edit?usp=sharing"",""งบกองทุน!AV54"")"),88000)</f>
        <v>88000</v>
      </c>
      <c r="F50" s="309">
        <f ca="1">IFERROR(__xludf.DUMMYFUNCTION("IMPORTRANGE(""https://docs.google.com/spreadsheets/d/1XL5vhW3sbDhbH9Cz0tuDiY8C3ctxq1tqvaCgkFb8cCA/edit?usp=sharing"",""หนองบัวลำภู!M332"")"),78074)</f>
        <v>78074</v>
      </c>
      <c r="G50" s="309">
        <f t="shared" ca="1" si="1"/>
        <v>88.720454545454544</v>
      </c>
      <c r="H50" s="452">
        <f t="shared" ca="1" si="41"/>
        <v>15</v>
      </c>
      <c r="I50" s="308">
        <f t="shared" ca="1" si="42"/>
        <v>15</v>
      </c>
      <c r="J50" s="453">
        <f t="shared" ca="1" si="3"/>
        <v>100</v>
      </c>
      <c r="K50" s="454">
        <f t="shared" ca="1" si="43"/>
        <v>15</v>
      </c>
      <c r="L50" s="308">
        <f t="shared" ca="1" si="44"/>
        <v>15</v>
      </c>
      <c r="M50" s="453">
        <f t="shared" ca="1" si="5"/>
        <v>100</v>
      </c>
      <c r="N50" s="456">
        <f ca="1">IFERROR(__xludf.DUMMYFUNCTION("IMPORTRANGE(""https://docs.google.com/spreadsheets/d/1C3CXT74ZlgGe6_JY_1olB1XN4rF0dxEuIIF-xsYjHgg/edit?usp=sharing"",""งบกองทุน!AY54"")"),15)</f>
        <v>15</v>
      </c>
      <c r="O50" s="308">
        <f ca="1">IFERROR(__xludf.DUMMYFUNCTION("IMPORTRANGE(""https://docs.google.com/spreadsheets/d/1XL5vhW3sbDhbH9Cz0tuDiY8C3ctxq1tqvaCgkFb8cCA/edit?usp=sharing"",""หนองบัวลำภู!J345"")"),15)</f>
        <v>15</v>
      </c>
      <c r="P50" s="456">
        <f ca="1">IFERROR(__xludf.DUMMYFUNCTION("IMPORTRANGE(""https://docs.google.com/spreadsheets/d/1C3CXT74ZlgGe6_JY_1olB1XN4rF0dxEuIIF-xsYjHgg/edit?usp=sharing"",""งบกองทุน!AZ54"")"),0)</f>
        <v>0</v>
      </c>
      <c r="Q50" s="308">
        <f ca="1">IFERROR(__xludf.DUMMYFUNCTION("IMPORTRANGE(""https://docs.google.com/spreadsheets/d/1XL5vhW3sbDhbH9Cz0tuDiY8C3ctxq1tqvaCgkFb8cCA/edit?usp=sharing"",""หนองบัวลำภู!J346"")"),0)</f>
        <v>0</v>
      </c>
      <c r="R50" s="452">
        <f ca="1">IFERROR(__xludf.DUMMYFUNCTION("IMPORTRANGE(""https://docs.google.com/spreadsheets/d/1C3CXT74ZlgGe6_JY_1olB1XN4rF0dxEuIIF-xsYjHgg/edit?usp=sharing"",""งบกองทุน!BA54"")"),0)</f>
        <v>0</v>
      </c>
      <c r="S50" s="308">
        <v>0</v>
      </c>
      <c r="T50" s="453">
        <f t="shared" ca="1" si="7"/>
        <v>0</v>
      </c>
      <c r="U50" s="339"/>
      <c r="V50" s="339"/>
      <c r="W50" s="339"/>
      <c r="X50" s="339"/>
      <c r="Y50" s="339"/>
      <c r="Z50" s="339"/>
    </row>
    <row r="51" spans="1:26" ht="21" customHeight="1">
      <c r="A51" s="303">
        <v>18</v>
      </c>
      <c r="B51" s="304" t="s">
        <v>75</v>
      </c>
      <c r="C51" s="451">
        <f t="shared" ca="1" si="40"/>
        <v>106000</v>
      </c>
      <c r="D51" s="309">
        <f ca="1">IFERROR(__xludf.DUMMYFUNCTION("IMPORTRANGE(""https://docs.google.com/spreadsheets/d/1C3CXT74ZlgGe6_JY_1olB1XN4rF0dxEuIIF-xsYjHgg/edit?usp=sharing"",""งบกองทุน!AU55"")"),0)</f>
        <v>0</v>
      </c>
      <c r="E51" s="309">
        <f ca="1">IFERROR(__xludf.DUMMYFUNCTION("IMPORTRANGE(""https://docs.google.com/spreadsheets/d/1C3CXT74ZlgGe6_JY_1olB1XN4rF0dxEuIIF-xsYjHgg/edit?usp=sharing"",""งบกองทุน!AV55"")"),106000)</f>
        <v>106000</v>
      </c>
      <c r="F51" s="309">
        <f ca="1">IFERROR(__xludf.DUMMYFUNCTION("IMPORTRANGE(""https://docs.google.com/spreadsheets/d/1XL5vhW3sbDhbH9Cz0tuDiY8C3ctxq1tqvaCgkFb8cCA/edit?usp=sharing"",""อำนาจเจริญ!M332"")"),70940)</f>
        <v>70940</v>
      </c>
      <c r="G51" s="309">
        <f t="shared" ca="1" si="1"/>
        <v>66.924528301886795</v>
      </c>
      <c r="H51" s="452">
        <f t="shared" ca="1" si="41"/>
        <v>15</v>
      </c>
      <c r="I51" s="308">
        <f t="shared" ca="1" si="42"/>
        <v>15</v>
      </c>
      <c r="J51" s="453">
        <f t="shared" ca="1" si="3"/>
        <v>100</v>
      </c>
      <c r="K51" s="454">
        <f t="shared" ca="1" si="43"/>
        <v>15</v>
      </c>
      <c r="L51" s="308">
        <f t="shared" ca="1" si="44"/>
        <v>15</v>
      </c>
      <c r="M51" s="453">
        <f t="shared" ca="1" si="5"/>
        <v>100</v>
      </c>
      <c r="N51" s="456">
        <f ca="1">IFERROR(__xludf.DUMMYFUNCTION("IMPORTRANGE(""https://docs.google.com/spreadsheets/d/1C3CXT74ZlgGe6_JY_1olB1XN4rF0dxEuIIF-xsYjHgg/edit?usp=sharing"",""งบกองทุน!AY55"")"),15)</f>
        <v>15</v>
      </c>
      <c r="O51" s="308">
        <f ca="1">IFERROR(__xludf.DUMMYFUNCTION("IMPORTRANGE(""https://docs.google.com/spreadsheets/d/1XL5vhW3sbDhbH9Cz0tuDiY8C3ctxq1tqvaCgkFb8cCA/edit?usp=sharing"",""อำนาจเจริญ!J345"")"),15)</f>
        <v>15</v>
      </c>
      <c r="P51" s="456">
        <f ca="1">IFERROR(__xludf.DUMMYFUNCTION("IMPORTRANGE(""https://docs.google.com/spreadsheets/d/1C3CXT74ZlgGe6_JY_1olB1XN4rF0dxEuIIF-xsYjHgg/edit?usp=sharing"",""งบกองทุน!AZ55"")"),0)</f>
        <v>0</v>
      </c>
      <c r="Q51" s="308">
        <f ca="1">IFERROR(__xludf.DUMMYFUNCTION("IMPORTRANGE(""https://docs.google.com/spreadsheets/d/1XL5vhW3sbDhbH9Cz0tuDiY8C3ctxq1tqvaCgkFb8cCA/edit?usp=sharing"",""อำนาจเจริญ!J346"")"),0)</f>
        <v>0</v>
      </c>
      <c r="R51" s="452">
        <f ca="1">IFERROR(__xludf.DUMMYFUNCTION("IMPORTRANGE(""https://docs.google.com/spreadsheets/d/1C3CXT74ZlgGe6_JY_1olB1XN4rF0dxEuIIF-xsYjHgg/edit?usp=sharing"",""งบกองทุน!BA55"")"),0)</f>
        <v>0</v>
      </c>
      <c r="S51" s="308">
        <v>0</v>
      </c>
      <c r="T51" s="453">
        <f t="shared" ca="1" si="7"/>
        <v>0</v>
      </c>
      <c r="U51" s="339"/>
      <c r="V51" s="339"/>
      <c r="W51" s="339"/>
      <c r="X51" s="339"/>
      <c r="Y51" s="339"/>
      <c r="Z51" s="339"/>
    </row>
    <row r="52" spans="1:26" ht="21" customHeight="1">
      <c r="A52" s="303">
        <v>19</v>
      </c>
      <c r="B52" s="304" t="s">
        <v>76</v>
      </c>
      <c r="C52" s="451">
        <f t="shared" ca="1" si="40"/>
        <v>100000</v>
      </c>
      <c r="D52" s="309">
        <f ca="1">IFERROR(__xludf.DUMMYFUNCTION("IMPORTRANGE(""https://docs.google.com/spreadsheets/d/1C3CXT74ZlgGe6_JY_1olB1XN4rF0dxEuIIF-xsYjHgg/edit?usp=sharing"",""งบกองทุน!AU56"")"),0)</f>
        <v>0</v>
      </c>
      <c r="E52" s="309">
        <f ca="1">IFERROR(__xludf.DUMMYFUNCTION("IMPORTRANGE(""https://docs.google.com/spreadsheets/d/1C3CXT74ZlgGe6_JY_1olB1XN4rF0dxEuIIF-xsYjHgg/edit?usp=sharing"",""งบกองทุน!AV56"")"),100000)</f>
        <v>100000</v>
      </c>
      <c r="F52" s="309">
        <f ca="1">IFERROR(__xludf.DUMMYFUNCTION("IMPORTRANGE(""https://docs.google.com/spreadsheets/d/1XL5vhW3sbDhbH9Cz0tuDiY8C3ctxq1tqvaCgkFb8cCA/edit?usp=sharing"",""อุดรธานี!M332"")"),80627)</f>
        <v>80627</v>
      </c>
      <c r="G52" s="309">
        <f t="shared" ca="1" si="1"/>
        <v>80.626999999999995</v>
      </c>
      <c r="H52" s="452">
        <f t="shared" ca="1" si="41"/>
        <v>20</v>
      </c>
      <c r="I52" s="308">
        <f t="shared" ca="1" si="42"/>
        <v>20</v>
      </c>
      <c r="J52" s="453">
        <f t="shared" ca="1" si="3"/>
        <v>100</v>
      </c>
      <c r="K52" s="454">
        <f t="shared" ca="1" si="43"/>
        <v>20</v>
      </c>
      <c r="L52" s="308">
        <f t="shared" ca="1" si="44"/>
        <v>20</v>
      </c>
      <c r="M52" s="453">
        <f t="shared" ca="1" si="5"/>
        <v>100</v>
      </c>
      <c r="N52" s="456">
        <f ca="1">IFERROR(__xludf.DUMMYFUNCTION("IMPORTRANGE(""https://docs.google.com/spreadsheets/d/1C3CXT74ZlgGe6_JY_1olB1XN4rF0dxEuIIF-xsYjHgg/edit?usp=sharing"",""งบกองทุน!AY56"")"),20)</f>
        <v>20</v>
      </c>
      <c r="O52" s="308">
        <f ca="1">IFERROR(__xludf.DUMMYFUNCTION("IMPORTRANGE(""https://docs.google.com/spreadsheets/d/1XL5vhW3sbDhbH9Cz0tuDiY8C3ctxq1tqvaCgkFb8cCA/edit?usp=sharing"",""อุดรธานี!J345"")"),20)</f>
        <v>20</v>
      </c>
      <c r="P52" s="456">
        <f ca="1">IFERROR(__xludf.DUMMYFUNCTION("IMPORTRANGE(""https://docs.google.com/spreadsheets/d/1C3CXT74ZlgGe6_JY_1olB1XN4rF0dxEuIIF-xsYjHgg/edit?usp=sharing"",""งบกองทุน!AZ56"")"),0)</f>
        <v>0</v>
      </c>
      <c r="Q52" s="308">
        <f ca="1">IFERROR(__xludf.DUMMYFUNCTION("IMPORTRANGE(""https://docs.google.com/spreadsheets/d/1XL5vhW3sbDhbH9Cz0tuDiY8C3ctxq1tqvaCgkFb8cCA/edit?usp=sharing"",""อุดรธานี!J346"")"),0)</f>
        <v>0</v>
      </c>
      <c r="R52" s="452">
        <f ca="1">IFERROR(__xludf.DUMMYFUNCTION("IMPORTRANGE(""https://docs.google.com/spreadsheets/d/1C3CXT74ZlgGe6_JY_1olB1XN4rF0dxEuIIF-xsYjHgg/edit?usp=sharing"",""งบกองทุน!BA56"")"),0)</f>
        <v>0</v>
      </c>
      <c r="S52" s="308">
        <v>0</v>
      </c>
      <c r="T52" s="453">
        <f t="shared" ca="1" si="7"/>
        <v>0</v>
      </c>
      <c r="U52" s="339"/>
      <c r="V52" s="339"/>
      <c r="W52" s="339"/>
      <c r="X52" s="339"/>
      <c r="Y52" s="339"/>
      <c r="Z52" s="339"/>
    </row>
    <row r="53" spans="1:26" ht="21" customHeight="1">
      <c r="A53" s="310">
        <v>20</v>
      </c>
      <c r="B53" s="311" t="s">
        <v>77</v>
      </c>
      <c r="C53" s="458">
        <f t="shared" ca="1" si="40"/>
        <v>144000</v>
      </c>
      <c r="D53" s="316">
        <f ca="1">IFERROR(__xludf.DUMMYFUNCTION("IMPORTRANGE(""https://docs.google.com/spreadsheets/d/1C3CXT74ZlgGe6_JY_1olB1XN4rF0dxEuIIF-xsYjHgg/edit?usp=sharing"",""งบกองทุน!AU57"")"),0)</f>
        <v>0</v>
      </c>
      <c r="E53" s="316">
        <f ca="1">IFERROR(__xludf.DUMMYFUNCTION("IMPORTRANGE(""https://docs.google.com/spreadsheets/d/1C3CXT74ZlgGe6_JY_1olB1XN4rF0dxEuIIF-xsYjHgg/edit?usp=sharing"",""งบกองทุน!AV57"")"),144000)</f>
        <v>144000</v>
      </c>
      <c r="F53" s="316">
        <f ca="1">IFERROR(__xludf.DUMMYFUNCTION("IMPORTRANGE(""https://docs.google.com/spreadsheets/d/1XL5vhW3sbDhbH9Cz0tuDiY8C3ctxq1tqvaCgkFb8cCA/edit?usp=sharing"",""อุบลราชธานี!M332"")"),134178)</f>
        <v>134178</v>
      </c>
      <c r="G53" s="316">
        <f t="shared" ca="1" si="1"/>
        <v>93.17916666666666</v>
      </c>
      <c r="H53" s="459">
        <f t="shared" ca="1" si="41"/>
        <v>40</v>
      </c>
      <c r="I53" s="315">
        <f t="shared" ca="1" si="42"/>
        <v>40</v>
      </c>
      <c r="J53" s="460">
        <f t="shared" ca="1" si="3"/>
        <v>100</v>
      </c>
      <c r="K53" s="461">
        <f t="shared" ca="1" si="43"/>
        <v>40</v>
      </c>
      <c r="L53" s="315">
        <f t="shared" ca="1" si="44"/>
        <v>40</v>
      </c>
      <c r="M53" s="460">
        <f t="shared" ca="1" si="5"/>
        <v>100</v>
      </c>
      <c r="N53" s="462">
        <f ca="1">IFERROR(__xludf.DUMMYFUNCTION("IMPORTRANGE(""https://docs.google.com/spreadsheets/d/1C3CXT74ZlgGe6_JY_1olB1XN4rF0dxEuIIF-xsYjHgg/edit?usp=sharing"",""งบกองทุน!AY57"")"),40)</f>
        <v>40</v>
      </c>
      <c r="O53" s="315">
        <f ca="1">IFERROR(__xludf.DUMMYFUNCTION("IMPORTRANGE(""https://docs.google.com/spreadsheets/d/1XL5vhW3sbDhbH9Cz0tuDiY8C3ctxq1tqvaCgkFb8cCA/edit?usp=sharing"",""อุบลราชธานี!J345"")"),40)</f>
        <v>40</v>
      </c>
      <c r="P53" s="462">
        <f ca="1">IFERROR(__xludf.DUMMYFUNCTION("IMPORTRANGE(""https://docs.google.com/spreadsheets/d/1C3CXT74ZlgGe6_JY_1olB1XN4rF0dxEuIIF-xsYjHgg/edit?usp=sharing"",""งบกองทุน!AZ57"")"),0)</f>
        <v>0</v>
      </c>
      <c r="Q53" s="315">
        <f ca="1">IFERROR(__xludf.DUMMYFUNCTION("IMPORTRANGE(""https://docs.google.com/spreadsheets/d/1XL5vhW3sbDhbH9Cz0tuDiY8C3ctxq1tqvaCgkFb8cCA/edit?usp=sharing"",""อุบลราชธานี!J346"")"),0)</f>
        <v>0</v>
      </c>
      <c r="R53" s="459">
        <f ca="1">IFERROR(__xludf.DUMMYFUNCTION("IMPORTRANGE(""https://docs.google.com/spreadsheets/d/1C3CXT74ZlgGe6_JY_1olB1XN4rF0dxEuIIF-xsYjHgg/edit?usp=sharing"",""งบกองทุน!BA57"")"),0)</f>
        <v>0</v>
      </c>
      <c r="S53" s="315">
        <v>0</v>
      </c>
      <c r="T53" s="460">
        <f t="shared" ca="1" si="7"/>
        <v>0</v>
      </c>
      <c r="U53" s="339"/>
      <c r="V53" s="339"/>
      <c r="W53" s="339"/>
      <c r="X53" s="339"/>
      <c r="Y53" s="339"/>
      <c r="Z53" s="339"/>
    </row>
    <row r="54" spans="1:26" ht="21" customHeight="1">
      <c r="A54" s="801" t="s">
        <v>78</v>
      </c>
      <c r="B54" s="678"/>
      <c r="C54" s="442">
        <f t="shared" ref="C54:F54" ca="1" si="45">SUM(C55:C75)</f>
        <v>2293900</v>
      </c>
      <c r="D54" s="319">
        <f t="shared" ca="1" si="45"/>
        <v>0</v>
      </c>
      <c r="E54" s="319">
        <f t="shared" ca="1" si="45"/>
        <v>2293900</v>
      </c>
      <c r="F54" s="319">
        <f t="shared" ca="1" si="45"/>
        <v>1380980.7799999998</v>
      </c>
      <c r="G54" s="319">
        <f t="shared" ca="1" si="1"/>
        <v>60.202309603731621</v>
      </c>
      <c r="H54" s="399">
        <f t="shared" ref="H54:I54" ca="1" si="46">SUM(H55:H75)</f>
        <v>509</v>
      </c>
      <c r="I54" s="318">
        <f t="shared" ca="1" si="46"/>
        <v>499</v>
      </c>
      <c r="J54" s="319">
        <f t="shared" ca="1" si="3"/>
        <v>98.035363457760312</v>
      </c>
      <c r="K54" s="399">
        <f t="shared" ref="K54:L54" ca="1" si="47">SUM(K55:K75)</f>
        <v>509</v>
      </c>
      <c r="L54" s="318">
        <f t="shared" ca="1" si="47"/>
        <v>499</v>
      </c>
      <c r="M54" s="319">
        <f t="shared" ca="1" si="5"/>
        <v>98.035363457760312</v>
      </c>
      <c r="N54" s="443">
        <f t="shared" ref="N54:S54" ca="1" si="48">SUM(N55:N75)</f>
        <v>399</v>
      </c>
      <c r="O54" s="318">
        <f t="shared" ca="1" si="48"/>
        <v>389</v>
      </c>
      <c r="P54" s="443">
        <f t="shared" ca="1" si="48"/>
        <v>110</v>
      </c>
      <c r="Q54" s="318">
        <f t="shared" ca="1" si="48"/>
        <v>110</v>
      </c>
      <c r="R54" s="443">
        <f t="shared" ca="1" si="48"/>
        <v>0</v>
      </c>
      <c r="S54" s="318">
        <f t="shared" si="48"/>
        <v>0</v>
      </c>
      <c r="T54" s="319">
        <f t="shared" ca="1" si="7"/>
        <v>0</v>
      </c>
      <c r="U54" s="339"/>
      <c r="V54" s="339"/>
      <c r="W54" s="339"/>
      <c r="X54" s="339"/>
      <c r="Y54" s="339"/>
      <c r="Z54" s="339"/>
    </row>
    <row r="55" spans="1:26" ht="21" customHeight="1">
      <c r="A55" s="293">
        <v>1</v>
      </c>
      <c r="B55" s="357" t="s">
        <v>79</v>
      </c>
      <c r="C55" s="446">
        <f t="shared" ref="C55:C75" ca="1" si="49">+D55+E55</f>
        <v>144000</v>
      </c>
      <c r="D55" s="301">
        <f ca="1">IFERROR(__xludf.DUMMYFUNCTION("IMPORTRANGE(""https://docs.google.com/spreadsheets/d/1C3CXT74ZlgGe6_JY_1olB1XN4rF0dxEuIIF-xsYjHgg/edit?usp=sharing"",""งบกองทุน!AU59"")"),0)</f>
        <v>0</v>
      </c>
      <c r="E55" s="301">
        <f ca="1">IFERROR(__xludf.DUMMYFUNCTION("IMPORTRANGE(""https://docs.google.com/spreadsheets/d/1C3CXT74ZlgGe6_JY_1olB1XN4rF0dxEuIIF-xsYjHgg/edit?usp=sharing"",""งบกองทุน!AV59"")"),144000)</f>
        <v>144000</v>
      </c>
      <c r="F55" s="301">
        <f ca="1">IFERROR(__xludf.DUMMYFUNCTION("IMPORTRANGE(""https://docs.google.com/spreadsheets/d/1SX6NBoVAgQJ6U1MVXOaj8PK2l7WJ3RER9xtqwdhxkhw/edit?usp=sharing"",""กาญจนบุรี!M332"")"),68806.29)</f>
        <v>68806.289999999994</v>
      </c>
      <c r="G55" s="301">
        <f t="shared" ca="1" si="1"/>
        <v>47.782145833333324</v>
      </c>
      <c r="H55" s="447">
        <f t="shared" ref="H55:H75" ca="1" si="50">+N55+P55+R55</f>
        <v>40</v>
      </c>
      <c r="I55" s="299">
        <f t="shared" ref="I55:I75" ca="1" si="51">SUM(L55,S55)</f>
        <v>40</v>
      </c>
      <c r="J55" s="448">
        <f t="shared" ca="1" si="3"/>
        <v>100</v>
      </c>
      <c r="K55" s="449">
        <f t="shared" ref="K55:K75" ca="1" si="52">+N55+P55</f>
        <v>40</v>
      </c>
      <c r="L55" s="299">
        <f t="shared" ref="L55:L75" ca="1" si="53">O55+Q55</f>
        <v>40</v>
      </c>
      <c r="M55" s="448">
        <f t="shared" ca="1" si="5"/>
        <v>100</v>
      </c>
      <c r="N55" s="463">
        <f ca="1">IFERROR(__xludf.DUMMYFUNCTION("IMPORTRANGE(""https://docs.google.com/spreadsheets/d/1C3CXT74ZlgGe6_JY_1olB1XN4rF0dxEuIIF-xsYjHgg/edit?usp=sharing"",""งบกองทุน!AY59"")"),40)</f>
        <v>40</v>
      </c>
      <c r="O55" s="299">
        <f ca="1">IFERROR(__xludf.DUMMYFUNCTION("IMPORTRANGE(""https://docs.google.com/spreadsheets/d/1SX6NBoVAgQJ6U1MVXOaj8PK2l7WJ3RER9xtqwdhxkhw/edit?usp=sharing"",""กาญจนบุรี!J345"")"),40)</f>
        <v>40</v>
      </c>
      <c r="P55" s="463">
        <f ca="1">IFERROR(__xludf.DUMMYFUNCTION("IMPORTRANGE(""https://docs.google.com/spreadsheets/d/1C3CXT74ZlgGe6_JY_1olB1XN4rF0dxEuIIF-xsYjHgg/edit?usp=sharing"",""งบกองทุน!AZ59"")"),0)</f>
        <v>0</v>
      </c>
      <c r="Q55" s="299">
        <f ca="1">IFERROR(__xludf.DUMMYFUNCTION("IMPORTRANGE(""https://docs.google.com/spreadsheets/d/1SX6NBoVAgQJ6U1MVXOaj8PK2l7WJ3RER9xtqwdhxkhw/edit?usp=sharing"",""กาญจนบุรี!J346"")"),0)</f>
        <v>0</v>
      </c>
      <c r="R55" s="464">
        <f ca="1">IFERROR(__xludf.DUMMYFUNCTION("IMPORTRANGE(""https://docs.google.com/spreadsheets/d/1C3CXT74ZlgGe6_JY_1olB1XN4rF0dxEuIIF-xsYjHgg/edit?usp=sharing"",""งบกองทุน!BA59"")"),0)</f>
        <v>0</v>
      </c>
      <c r="S55" s="299">
        <v>0</v>
      </c>
      <c r="T55" s="448">
        <f t="shared" ca="1" si="7"/>
        <v>0</v>
      </c>
      <c r="U55" s="339"/>
      <c r="V55" s="339"/>
      <c r="W55" s="339"/>
      <c r="X55" s="339"/>
      <c r="Y55" s="339"/>
      <c r="Z55" s="339"/>
    </row>
    <row r="56" spans="1:26" ht="21" customHeight="1">
      <c r="A56" s="303">
        <v>2</v>
      </c>
      <c r="B56" s="304" t="s">
        <v>80</v>
      </c>
      <c r="C56" s="451">
        <f t="shared" ca="1" si="49"/>
        <v>100000</v>
      </c>
      <c r="D56" s="309">
        <f ca="1">IFERROR(__xludf.DUMMYFUNCTION("IMPORTRANGE(""https://docs.google.com/spreadsheets/d/1C3CXT74ZlgGe6_JY_1olB1XN4rF0dxEuIIF-xsYjHgg/edit?usp=sharing"",""งบกองทุน!AU60"")"),0)</f>
        <v>0</v>
      </c>
      <c r="E56" s="309">
        <f ca="1">IFERROR(__xludf.DUMMYFUNCTION("IMPORTRANGE(""https://docs.google.com/spreadsheets/d/1C3CXT74ZlgGe6_JY_1olB1XN4rF0dxEuIIF-xsYjHgg/edit?usp=sharing"",""งบกองทุน!AV60"")"),100000)</f>
        <v>100000</v>
      </c>
      <c r="F56" s="309">
        <f ca="1">IFERROR(__xludf.DUMMYFUNCTION("IMPORTRANGE(""https://docs.google.com/spreadsheets/d/1SX6NBoVAgQJ6U1MVXOaj8PK2l7WJ3RER9xtqwdhxkhw/edit?usp=sharing"",""จันทบุรี!M332"")"),63555)</f>
        <v>63555</v>
      </c>
      <c r="G56" s="309">
        <f t="shared" ca="1" si="1"/>
        <v>63.555</v>
      </c>
      <c r="H56" s="452">
        <f t="shared" ca="1" si="50"/>
        <v>20</v>
      </c>
      <c r="I56" s="308">
        <f t="shared" ca="1" si="51"/>
        <v>20</v>
      </c>
      <c r="J56" s="453">
        <f t="shared" ca="1" si="3"/>
        <v>100</v>
      </c>
      <c r="K56" s="454">
        <f t="shared" ca="1" si="52"/>
        <v>20</v>
      </c>
      <c r="L56" s="308">
        <f t="shared" ca="1" si="53"/>
        <v>20</v>
      </c>
      <c r="M56" s="453">
        <f t="shared" ca="1" si="5"/>
        <v>100</v>
      </c>
      <c r="N56" s="456">
        <f ca="1">IFERROR(__xludf.DUMMYFUNCTION("IMPORTRANGE(""https://docs.google.com/spreadsheets/d/1C3CXT74ZlgGe6_JY_1olB1XN4rF0dxEuIIF-xsYjHgg/edit?usp=sharing"",""งบกองทุน!AY60"")"),20)</f>
        <v>20</v>
      </c>
      <c r="O56" s="308">
        <f ca="1">IFERROR(__xludf.DUMMYFUNCTION("IMPORTRANGE(""https://docs.google.com/spreadsheets/d/1SX6NBoVAgQJ6U1MVXOaj8PK2l7WJ3RER9xtqwdhxkhw/edit?usp=sharing"",""จันทบุรี!J345"")"),20)</f>
        <v>20</v>
      </c>
      <c r="P56" s="456">
        <f ca="1">IFERROR(__xludf.DUMMYFUNCTION("IMPORTRANGE(""https://docs.google.com/spreadsheets/d/1C3CXT74ZlgGe6_JY_1olB1XN4rF0dxEuIIF-xsYjHgg/edit?usp=sharing"",""งบกองทุน!AZ60"")"),0)</f>
        <v>0</v>
      </c>
      <c r="Q56" s="308">
        <f ca="1">IFERROR(__xludf.DUMMYFUNCTION("IMPORTRANGE(""https://docs.google.com/spreadsheets/d/1SX6NBoVAgQJ6U1MVXOaj8PK2l7WJ3RER9xtqwdhxkhw/edit?usp=sharing"",""จันทบุรี!J346"")"),0)</f>
        <v>0</v>
      </c>
      <c r="R56" s="465">
        <f ca="1">IFERROR(__xludf.DUMMYFUNCTION("IMPORTRANGE(""https://docs.google.com/spreadsheets/d/1C3CXT74ZlgGe6_JY_1olB1XN4rF0dxEuIIF-xsYjHgg/edit?usp=sharing"",""งบกองทุน!BA60"")"),0)</f>
        <v>0</v>
      </c>
      <c r="S56" s="308">
        <v>0</v>
      </c>
      <c r="T56" s="453">
        <f t="shared" ca="1" si="7"/>
        <v>0</v>
      </c>
      <c r="U56" s="339"/>
      <c r="V56" s="339"/>
      <c r="W56" s="339"/>
      <c r="X56" s="339"/>
      <c r="Y56" s="339"/>
      <c r="Z56" s="339"/>
    </row>
    <row r="57" spans="1:26" ht="21" customHeight="1">
      <c r="A57" s="303">
        <v>3</v>
      </c>
      <c r="B57" s="304" t="s">
        <v>81</v>
      </c>
      <c r="C57" s="451">
        <f t="shared" ca="1" si="49"/>
        <v>184000</v>
      </c>
      <c r="D57" s="309">
        <f ca="1">IFERROR(__xludf.DUMMYFUNCTION("IMPORTRANGE(""https://docs.google.com/spreadsheets/d/1C3CXT74ZlgGe6_JY_1olB1XN4rF0dxEuIIF-xsYjHgg/edit?usp=sharing"",""งบกองทุน!AU61"")"),0)</f>
        <v>0</v>
      </c>
      <c r="E57" s="309">
        <f ca="1">IFERROR(__xludf.DUMMYFUNCTION("IMPORTRANGE(""https://docs.google.com/spreadsheets/d/1C3CXT74ZlgGe6_JY_1olB1XN4rF0dxEuIIF-xsYjHgg/edit?usp=sharing"",""งบกองทุน!AV61"")"),184000)</f>
        <v>184000</v>
      </c>
      <c r="F57" s="309">
        <f ca="1">IFERROR(__xludf.DUMMYFUNCTION("IMPORTRANGE(""https://docs.google.com/spreadsheets/d/1SX6NBoVAgQJ6U1MVXOaj8PK2l7WJ3RER9xtqwdhxkhw/edit?usp=sharing"",""ฉะเชิงเทรา!M332"")"),149570)</f>
        <v>149570</v>
      </c>
      <c r="G57" s="309">
        <f t="shared" ca="1" si="1"/>
        <v>81.288043478260875</v>
      </c>
      <c r="H57" s="452">
        <f t="shared" ca="1" si="50"/>
        <v>60</v>
      </c>
      <c r="I57" s="308">
        <f t="shared" ca="1" si="51"/>
        <v>60</v>
      </c>
      <c r="J57" s="453">
        <f t="shared" ca="1" si="3"/>
        <v>100</v>
      </c>
      <c r="K57" s="454">
        <f t="shared" ca="1" si="52"/>
        <v>60</v>
      </c>
      <c r="L57" s="308">
        <f t="shared" ca="1" si="53"/>
        <v>60</v>
      </c>
      <c r="M57" s="453">
        <f t="shared" ca="1" si="5"/>
        <v>100</v>
      </c>
      <c r="N57" s="456">
        <f ca="1">IFERROR(__xludf.DUMMYFUNCTION("IMPORTRANGE(""https://docs.google.com/spreadsheets/d/1C3CXT74ZlgGe6_JY_1olB1XN4rF0dxEuIIF-xsYjHgg/edit?usp=sharing"",""งบกองทุน!AY61"")"),40)</f>
        <v>40</v>
      </c>
      <c r="O57" s="308">
        <f ca="1">IFERROR(__xludf.DUMMYFUNCTION("IMPORTRANGE(""https://docs.google.com/spreadsheets/d/1SX6NBoVAgQJ6U1MVXOaj8PK2l7WJ3RER9xtqwdhxkhw/edit?usp=sharing"",""ฉะเชิงเทรา!J345"")"),40)</f>
        <v>40</v>
      </c>
      <c r="P57" s="456">
        <f ca="1">IFERROR(__xludf.DUMMYFUNCTION("IMPORTRANGE(""https://docs.google.com/spreadsheets/d/1C3CXT74ZlgGe6_JY_1olB1XN4rF0dxEuIIF-xsYjHgg/edit?usp=sharing"",""งบกองทุน!AZ61"")"),20)</f>
        <v>20</v>
      </c>
      <c r="Q57" s="308">
        <f ca="1">IFERROR(__xludf.DUMMYFUNCTION("IMPORTRANGE(""https://docs.google.com/spreadsheets/d/1SX6NBoVAgQJ6U1MVXOaj8PK2l7WJ3RER9xtqwdhxkhw/edit?usp=sharing"",""ฉะเชิงเทรา!J346"")"),20)</f>
        <v>20</v>
      </c>
      <c r="R57" s="465">
        <f ca="1">IFERROR(__xludf.DUMMYFUNCTION("IMPORTRANGE(""https://docs.google.com/spreadsheets/d/1C3CXT74ZlgGe6_JY_1olB1XN4rF0dxEuIIF-xsYjHgg/edit?usp=sharing"",""งบกองทุน!BA61"")"),0)</f>
        <v>0</v>
      </c>
      <c r="S57" s="308">
        <v>0</v>
      </c>
      <c r="T57" s="453">
        <f t="shared" ca="1" si="7"/>
        <v>0</v>
      </c>
      <c r="U57" s="339"/>
      <c r="V57" s="339"/>
      <c r="W57" s="339"/>
      <c r="X57" s="339"/>
      <c r="Y57" s="339"/>
      <c r="Z57" s="339"/>
    </row>
    <row r="58" spans="1:26" ht="21" customHeight="1">
      <c r="A58" s="303">
        <v>4</v>
      </c>
      <c r="B58" s="304" t="s">
        <v>82</v>
      </c>
      <c r="C58" s="451">
        <f t="shared" ca="1" si="49"/>
        <v>88000</v>
      </c>
      <c r="D58" s="309">
        <f ca="1">IFERROR(__xludf.DUMMYFUNCTION("IMPORTRANGE(""https://docs.google.com/spreadsheets/d/1C3CXT74ZlgGe6_JY_1olB1XN4rF0dxEuIIF-xsYjHgg/edit?usp=sharing"",""งบกองทุน!AU62"")"),0)</f>
        <v>0</v>
      </c>
      <c r="E58" s="309">
        <f ca="1">IFERROR(__xludf.DUMMYFUNCTION("IMPORTRANGE(""https://docs.google.com/spreadsheets/d/1C3CXT74ZlgGe6_JY_1olB1XN4rF0dxEuIIF-xsYjHgg/edit?usp=sharing"",""งบกองทุน!AV62"")"),88000)</f>
        <v>88000</v>
      </c>
      <c r="F58" s="309">
        <f ca="1">IFERROR(__xludf.DUMMYFUNCTION("IMPORTRANGE(""https://docs.google.com/spreadsheets/d/1SX6NBoVAgQJ6U1MVXOaj8PK2l7WJ3RER9xtqwdhxkhw/edit?usp=sharing"",""ชลบุรี!M332"")"),72506.89)</f>
        <v>72506.89</v>
      </c>
      <c r="G58" s="309">
        <f t="shared" ca="1" si="1"/>
        <v>82.394193181818181</v>
      </c>
      <c r="H58" s="452">
        <f t="shared" ca="1" si="50"/>
        <v>15</v>
      </c>
      <c r="I58" s="308">
        <f t="shared" ca="1" si="51"/>
        <v>15</v>
      </c>
      <c r="J58" s="453">
        <f t="shared" ca="1" si="3"/>
        <v>100</v>
      </c>
      <c r="K58" s="454">
        <f t="shared" ca="1" si="52"/>
        <v>15</v>
      </c>
      <c r="L58" s="308">
        <f t="shared" ca="1" si="53"/>
        <v>15</v>
      </c>
      <c r="M58" s="453">
        <f t="shared" ca="1" si="5"/>
        <v>100</v>
      </c>
      <c r="N58" s="457">
        <f ca="1">IFERROR(__xludf.DUMMYFUNCTION("IMPORTRANGE(""https://docs.google.com/spreadsheets/d/1C3CXT74ZlgGe6_JY_1olB1XN4rF0dxEuIIF-xsYjHgg/edit?usp=sharing"",""งบกองทุน!AY62"")"),15)</f>
        <v>15</v>
      </c>
      <c r="O58" s="308">
        <f ca="1">IFERROR(__xludf.DUMMYFUNCTION("IMPORTRANGE(""https://docs.google.com/spreadsheets/d/1SX6NBoVAgQJ6U1MVXOaj8PK2l7WJ3RER9xtqwdhxkhw/edit?usp=sharing"",""ชลบุรี!J345"")"),15)</f>
        <v>15</v>
      </c>
      <c r="P58" s="457">
        <f ca="1">IFERROR(__xludf.DUMMYFUNCTION("IMPORTRANGE(""https://docs.google.com/spreadsheets/d/1C3CXT74ZlgGe6_JY_1olB1XN4rF0dxEuIIF-xsYjHgg/edit?usp=sharing"",""งบกองทุน!AZ62"")"),0)</f>
        <v>0</v>
      </c>
      <c r="Q58" s="308">
        <f ca="1">IFERROR(__xludf.DUMMYFUNCTION("IMPORTRANGE(""https://docs.google.com/spreadsheets/d/1SX6NBoVAgQJ6U1MVXOaj8PK2l7WJ3RER9xtqwdhxkhw/edit?usp=sharing"",""ชลบุรี!J346"")"),0)</f>
        <v>0</v>
      </c>
      <c r="R58" s="465">
        <f ca="1">IFERROR(__xludf.DUMMYFUNCTION("IMPORTRANGE(""https://docs.google.com/spreadsheets/d/1C3CXT74ZlgGe6_JY_1olB1XN4rF0dxEuIIF-xsYjHgg/edit?usp=sharing"",""งบกองทุน!BA62"")"),0)</f>
        <v>0</v>
      </c>
      <c r="S58" s="308">
        <v>0</v>
      </c>
      <c r="T58" s="453">
        <f t="shared" ca="1" si="7"/>
        <v>0</v>
      </c>
      <c r="U58" s="339"/>
      <c r="V58" s="339"/>
      <c r="W58" s="339"/>
      <c r="X58" s="339"/>
      <c r="Y58" s="339"/>
      <c r="Z58" s="339"/>
    </row>
    <row r="59" spans="1:26" ht="21" customHeight="1">
      <c r="A59" s="303">
        <v>5</v>
      </c>
      <c r="B59" s="304" t="s">
        <v>83</v>
      </c>
      <c r="C59" s="451">
        <f t="shared" ca="1" si="49"/>
        <v>88000</v>
      </c>
      <c r="D59" s="309">
        <f ca="1">IFERROR(__xludf.DUMMYFUNCTION("IMPORTRANGE(""https://docs.google.com/spreadsheets/d/1C3CXT74ZlgGe6_JY_1olB1XN4rF0dxEuIIF-xsYjHgg/edit?usp=sharing"",""งบกองทุน!AU63"")"),0)</f>
        <v>0</v>
      </c>
      <c r="E59" s="309">
        <f ca="1">IFERROR(__xludf.DUMMYFUNCTION("IMPORTRANGE(""https://docs.google.com/spreadsheets/d/1C3CXT74ZlgGe6_JY_1olB1XN4rF0dxEuIIF-xsYjHgg/edit?usp=sharing"",""งบกองทุน!AV63"")"),88000)</f>
        <v>88000</v>
      </c>
      <c r="F59" s="309">
        <f ca="1">IFERROR(__xludf.DUMMYFUNCTION("IMPORTRANGE(""https://docs.google.com/spreadsheets/d/1SX6NBoVAgQJ6U1MVXOaj8PK2l7WJ3RER9xtqwdhxkhw/edit?usp=sharing"",""ชัยนาท!M332"")"),61740)</f>
        <v>61740</v>
      </c>
      <c r="G59" s="309">
        <f t="shared" ca="1" si="1"/>
        <v>70.159090909090907</v>
      </c>
      <c r="H59" s="452">
        <f t="shared" ca="1" si="50"/>
        <v>15</v>
      </c>
      <c r="I59" s="308">
        <f t="shared" ca="1" si="51"/>
        <v>15</v>
      </c>
      <c r="J59" s="453">
        <f t="shared" ca="1" si="3"/>
        <v>100</v>
      </c>
      <c r="K59" s="454">
        <f t="shared" ca="1" si="52"/>
        <v>15</v>
      </c>
      <c r="L59" s="308">
        <f t="shared" ca="1" si="53"/>
        <v>15</v>
      </c>
      <c r="M59" s="453">
        <f t="shared" ca="1" si="5"/>
        <v>100</v>
      </c>
      <c r="N59" s="456">
        <f ca="1">IFERROR(__xludf.DUMMYFUNCTION("IMPORTRANGE(""https://docs.google.com/spreadsheets/d/1C3CXT74ZlgGe6_JY_1olB1XN4rF0dxEuIIF-xsYjHgg/edit?usp=sharing"",""งบกองทุน!AY63"")"),15)</f>
        <v>15</v>
      </c>
      <c r="O59" s="308">
        <f ca="1">IFERROR(__xludf.DUMMYFUNCTION("IMPORTRANGE(""https://docs.google.com/spreadsheets/d/1SX6NBoVAgQJ6U1MVXOaj8PK2l7WJ3RER9xtqwdhxkhw/edit?usp=sharing"",""ชัยนาท!J345"")"),15)</f>
        <v>15</v>
      </c>
      <c r="P59" s="456">
        <f ca="1">IFERROR(__xludf.DUMMYFUNCTION("IMPORTRANGE(""https://docs.google.com/spreadsheets/d/1C3CXT74ZlgGe6_JY_1olB1XN4rF0dxEuIIF-xsYjHgg/edit?usp=sharing"",""งบกองทุน!AZ63"")"),0)</f>
        <v>0</v>
      </c>
      <c r="Q59" s="308">
        <f ca="1">IFERROR(__xludf.DUMMYFUNCTION("IMPORTRANGE(""https://docs.google.com/spreadsheets/d/1SX6NBoVAgQJ6U1MVXOaj8PK2l7WJ3RER9xtqwdhxkhw/edit?usp=sharing"",""ชัยนาท!J346"")"),0)</f>
        <v>0</v>
      </c>
      <c r="R59" s="465">
        <f ca="1">IFERROR(__xludf.DUMMYFUNCTION("IMPORTRANGE(""https://docs.google.com/spreadsheets/d/1C3CXT74ZlgGe6_JY_1olB1XN4rF0dxEuIIF-xsYjHgg/edit?usp=sharing"",""งบกองทุน!BA63"")"),0)</f>
        <v>0</v>
      </c>
      <c r="S59" s="308">
        <v>0</v>
      </c>
      <c r="T59" s="453">
        <f t="shared" ca="1" si="7"/>
        <v>0</v>
      </c>
      <c r="U59" s="339"/>
      <c r="V59" s="339"/>
      <c r="W59" s="339"/>
      <c r="X59" s="339"/>
      <c r="Y59" s="339"/>
      <c r="Z59" s="339"/>
    </row>
    <row r="60" spans="1:26" ht="21" customHeight="1">
      <c r="A60" s="303">
        <v>6</v>
      </c>
      <c r="B60" s="304" t="s">
        <v>84</v>
      </c>
      <c r="C60" s="451">
        <f t="shared" ca="1" si="49"/>
        <v>77000</v>
      </c>
      <c r="D60" s="309">
        <f ca="1">IFERROR(__xludf.DUMMYFUNCTION("IMPORTRANGE(""https://docs.google.com/spreadsheets/d/1C3CXT74ZlgGe6_JY_1olB1XN4rF0dxEuIIF-xsYjHgg/edit?usp=sharing"",""งบกองทุน!AU64"")"),0)</f>
        <v>0</v>
      </c>
      <c r="E60" s="309">
        <f ca="1">IFERROR(__xludf.DUMMYFUNCTION("IMPORTRANGE(""https://docs.google.com/spreadsheets/d/1C3CXT74ZlgGe6_JY_1olB1XN4rF0dxEuIIF-xsYjHgg/edit?usp=sharing"",""งบกองทุน!AV64"")"),77000)</f>
        <v>77000</v>
      </c>
      <c r="F60" s="309">
        <f ca="1">IFERROR(__xludf.DUMMYFUNCTION("IMPORTRANGE(""https://docs.google.com/spreadsheets/d/1SX6NBoVAgQJ6U1MVXOaj8PK2l7WJ3RER9xtqwdhxkhw/edit?usp=sharing"",""ตราด!M332"")"),45443)</f>
        <v>45443</v>
      </c>
      <c r="G60" s="309">
        <f t="shared" ca="1" si="1"/>
        <v>59.016883116883115</v>
      </c>
      <c r="H60" s="452">
        <f t="shared" ca="1" si="50"/>
        <v>10</v>
      </c>
      <c r="I60" s="308">
        <f t="shared" ca="1" si="51"/>
        <v>10</v>
      </c>
      <c r="J60" s="453">
        <f t="shared" ca="1" si="3"/>
        <v>100</v>
      </c>
      <c r="K60" s="454">
        <f t="shared" ca="1" si="52"/>
        <v>10</v>
      </c>
      <c r="L60" s="308">
        <f t="shared" ca="1" si="53"/>
        <v>10</v>
      </c>
      <c r="M60" s="453">
        <f t="shared" ca="1" si="5"/>
        <v>100</v>
      </c>
      <c r="N60" s="456">
        <f ca="1">IFERROR(__xludf.DUMMYFUNCTION("IMPORTRANGE(""https://docs.google.com/spreadsheets/d/1C3CXT74ZlgGe6_JY_1olB1XN4rF0dxEuIIF-xsYjHgg/edit?usp=sharing"",""งบกองทุน!AY64"")"),10)</f>
        <v>10</v>
      </c>
      <c r="O60" s="308">
        <f ca="1">IFERROR(__xludf.DUMMYFUNCTION("IMPORTRANGE(""https://docs.google.com/spreadsheets/d/1SX6NBoVAgQJ6U1MVXOaj8PK2l7WJ3RER9xtqwdhxkhw/edit?usp=sharing"",""ตราด!J345"")"),10)</f>
        <v>10</v>
      </c>
      <c r="P60" s="456">
        <f ca="1">IFERROR(__xludf.DUMMYFUNCTION("IMPORTRANGE(""https://docs.google.com/spreadsheets/d/1C3CXT74ZlgGe6_JY_1olB1XN4rF0dxEuIIF-xsYjHgg/edit?usp=sharing"",""งบกองทุน!AZ64"")"),0)</f>
        <v>0</v>
      </c>
      <c r="Q60" s="308">
        <f ca="1">IFERROR(__xludf.DUMMYFUNCTION("IMPORTRANGE(""https://docs.google.com/spreadsheets/d/1SX6NBoVAgQJ6U1MVXOaj8PK2l7WJ3RER9xtqwdhxkhw/edit?usp=sharing"",""ตราด!J346"")"),0)</f>
        <v>0</v>
      </c>
      <c r="R60" s="465">
        <f ca="1">IFERROR(__xludf.DUMMYFUNCTION("IMPORTRANGE(""https://docs.google.com/spreadsheets/d/1C3CXT74ZlgGe6_JY_1olB1XN4rF0dxEuIIF-xsYjHgg/edit?usp=sharing"",""งบกองทุน!BA64"")"),0)</f>
        <v>0</v>
      </c>
      <c r="S60" s="308">
        <v>0</v>
      </c>
      <c r="T60" s="453">
        <f t="shared" ca="1" si="7"/>
        <v>0</v>
      </c>
      <c r="U60" s="339"/>
      <c r="V60" s="339"/>
      <c r="W60" s="339"/>
      <c r="X60" s="339"/>
      <c r="Y60" s="339"/>
      <c r="Z60" s="339"/>
    </row>
    <row r="61" spans="1:26" ht="21" customHeight="1">
      <c r="A61" s="303">
        <v>7</v>
      </c>
      <c r="B61" s="304" t="s">
        <v>85</v>
      </c>
      <c r="C61" s="451">
        <f t="shared" ca="1" si="49"/>
        <v>230000</v>
      </c>
      <c r="D61" s="309">
        <f ca="1">IFERROR(__xludf.DUMMYFUNCTION("IMPORTRANGE(""https://docs.google.com/spreadsheets/d/1C3CXT74ZlgGe6_JY_1olB1XN4rF0dxEuIIF-xsYjHgg/edit?usp=sharing"",""งบกองทุน!AU65"")"),0)</f>
        <v>0</v>
      </c>
      <c r="E61" s="309">
        <f ca="1">IFERROR(__xludf.DUMMYFUNCTION("IMPORTRANGE(""https://docs.google.com/spreadsheets/d/1C3CXT74ZlgGe6_JY_1olB1XN4rF0dxEuIIF-xsYjHgg/edit?usp=sharing"",""งบกองทุน!AV65"")"),230000)</f>
        <v>230000</v>
      </c>
      <c r="F61" s="309">
        <f ca="1">IFERROR(__xludf.DUMMYFUNCTION("IMPORTRANGE(""https://docs.google.com/spreadsheets/d/1SX6NBoVAgQJ6U1MVXOaj8PK2l7WJ3RER9xtqwdhxkhw/edit?usp=sharing"",""นครนายก!M332"")"),54450)</f>
        <v>54450</v>
      </c>
      <c r="G61" s="309">
        <f t="shared" ca="1" si="1"/>
        <v>23.673913043478262</v>
      </c>
      <c r="H61" s="452">
        <f t="shared" ca="1" si="50"/>
        <v>84</v>
      </c>
      <c r="I61" s="308">
        <f t="shared" ca="1" si="51"/>
        <v>84</v>
      </c>
      <c r="J61" s="453">
        <f t="shared" ca="1" si="3"/>
        <v>100</v>
      </c>
      <c r="K61" s="454">
        <f t="shared" ca="1" si="52"/>
        <v>84</v>
      </c>
      <c r="L61" s="308">
        <f t="shared" ca="1" si="53"/>
        <v>84</v>
      </c>
      <c r="M61" s="453">
        <f t="shared" ca="1" si="5"/>
        <v>100</v>
      </c>
      <c r="N61" s="457">
        <f ca="1">IFERROR(__xludf.DUMMYFUNCTION("IMPORTRANGE(""https://docs.google.com/spreadsheets/d/1C3CXT74ZlgGe6_JY_1olB1XN4rF0dxEuIIF-xsYjHgg/edit?usp=sharing"",""งบกองทุน!AY65"")"),24)</f>
        <v>24</v>
      </c>
      <c r="O61" s="308">
        <f ca="1">IFERROR(__xludf.DUMMYFUNCTION("IMPORTRANGE(""https://docs.google.com/spreadsheets/d/1SX6NBoVAgQJ6U1MVXOaj8PK2l7WJ3RER9xtqwdhxkhw/edit?usp=sharing"",""นครนายก!J345"")"),24)</f>
        <v>24</v>
      </c>
      <c r="P61" s="457">
        <f ca="1">IFERROR(__xludf.DUMMYFUNCTION("IMPORTRANGE(""https://docs.google.com/spreadsheets/d/1C3CXT74ZlgGe6_JY_1olB1XN4rF0dxEuIIF-xsYjHgg/edit?usp=sharing"",""งบกองทุน!AZ65"")"),60)</f>
        <v>60</v>
      </c>
      <c r="Q61" s="308">
        <f ca="1">IFERROR(__xludf.DUMMYFUNCTION("IMPORTRANGE(""https://docs.google.com/spreadsheets/d/1SX6NBoVAgQJ6U1MVXOaj8PK2l7WJ3RER9xtqwdhxkhw/edit?usp=sharing"",""นครนายก!J346"")"),60)</f>
        <v>60</v>
      </c>
      <c r="R61" s="465">
        <f ca="1">IFERROR(__xludf.DUMMYFUNCTION("IMPORTRANGE(""https://docs.google.com/spreadsheets/d/1C3CXT74ZlgGe6_JY_1olB1XN4rF0dxEuIIF-xsYjHgg/edit?usp=sharing"",""งบกองทุน!BA65"")"),0)</f>
        <v>0</v>
      </c>
      <c r="S61" s="308">
        <v>0</v>
      </c>
      <c r="T61" s="453">
        <f t="shared" ca="1" si="7"/>
        <v>0</v>
      </c>
      <c r="U61" s="339"/>
      <c r="V61" s="339"/>
      <c r="W61" s="339"/>
      <c r="X61" s="339"/>
      <c r="Y61" s="339"/>
      <c r="Z61" s="339"/>
    </row>
    <row r="62" spans="1:26" ht="21" customHeight="1">
      <c r="A62" s="303">
        <v>8</v>
      </c>
      <c r="B62" s="304" t="s">
        <v>86</v>
      </c>
      <c r="C62" s="451">
        <f t="shared" ca="1" si="49"/>
        <v>76000</v>
      </c>
      <c r="D62" s="309">
        <f ca="1">IFERROR(__xludf.DUMMYFUNCTION("IMPORTRANGE(""https://docs.google.com/spreadsheets/d/1C3CXT74ZlgGe6_JY_1olB1XN4rF0dxEuIIF-xsYjHgg/edit?usp=sharing"",""งบกองทุน!AU66"")"),0)</f>
        <v>0</v>
      </c>
      <c r="E62" s="309">
        <f ca="1">IFERROR(__xludf.DUMMYFUNCTION("IMPORTRANGE(""https://docs.google.com/spreadsheets/d/1C3CXT74ZlgGe6_JY_1olB1XN4rF0dxEuIIF-xsYjHgg/edit?usp=sharing"",""งบกองทุน!AV66"")"),76000)</f>
        <v>76000</v>
      </c>
      <c r="F62" s="309">
        <f ca="1">IFERROR(__xludf.DUMMYFUNCTION("IMPORTRANGE(""https://docs.google.com/spreadsheets/d/1SX6NBoVAgQJ6U1MVXOaj8PK2l7WJ3RER9xtqwdhxkhw/edit?usp=sharing"",""นครปฐม!M332"")"),40381)</f>
        <v>40381</v>
      </c>
      <c r="G62" s="309">
        <f t="shared" ca="1" si="1"/>
        <v>53.132894736842104</v>
      </c>
      <c r="H62" s="452">
        <f t="shared" ca="1" si="50"/>
        <v>10</v>
      </c>
      <c r="I62" s="308">
        <f t="shared" ca="1" si="51"/>
        <v>10</v>
      </c>
      <c r="J62" s="453">
        <f t="shared" ca="1" si="3"/>
        <v>100</v>
      </c>
      <c r="K62" s="454">
        <f t="shared" ca="1" si="52"/>
        <v>10</v>
      </c>
      <c r="L62" s="308">
        <f t="shared" ca="1" si="53"/>
        <v>10</v>
      </c>
      <c r="M62" s="453">
        <f t="shared" ca="1" si="5"/>
        <v>100</v>
      </c>
      <c r="N62" s="456">
        <f ca="1">IFERROR(__xludf.DUMMYFUNCTION("IMPORTRANGE(""https://docs.google.com/spreadsheets/d/1C3CXT74ZlgGe6_JY_1olB1XN4rF0dxEuIIF-xsYjHgg/edit?usp=sharing"",""งบกองทุน!AY66"")"),10)</f>
        <v>10</v>
      </c>
      <c r="O62" s="308">
        <f ca="1">IFERROR(__xludf.DUMMYFUNCTION("IMPORTRANGE(""https://docs.google.com/spreadsheets/d/1SX6NBoVAgQJ6U1MVXOaj8PK2l7WJ3RER9xtqwdhxkhw/edit?usp=sharing"",""นครปฐม!J345"")"),10)</f>
        <v>10</v>
      </c>
      <c r="P62" s="456">
        <f ca="1">IFERROR(__xludf.DUMMYFUNCTION("IMPORTRANGE(""https://docs.google.com/spreadsheets/d/1C3CXT74ZlgGe6_JY_1olB1XN4rF0dxEuIIF-xsYjHgg/edit?usp=sharing"",""งบกองทุน!AZ66"")"),0)</f>
        <v>0</v>
      </c>
      <c r="Q62" s="308">
        <f ca="1">IFERROR(__xludf.DUMMYFUNCTION("IMPORTRANGE(""https://docs.google.com/spreadsheets/d/1SX6NBoVAgQJ6U1MVXOaj8PK2l7WJ3RER9xtqwdhxkhw/edit?usp=sharing"",""นครปฐม!J346"")"),0)</f>
        <v>0</v>
      </c>
      <c r="R62" s="465">
        <f ca="1">IFERROR(__xludf.DUMMYFUNCTION("IMPORTRANGE(""https://docs.google.com/spreadsheets/d/1C3CXT74ZlgGe6_JY_1olB1XN4rF0dxEuIIF-xsYjHgg/edit?usp=sharing"",""งบกองทุน!BA66"")"),0)</f>
        <v>0</v>
      </c>
      <c r="S62" s="308">
        <v>0</v>
      </c>
      <c r="T62" s="453">
        <f t="shared" ca="1" si="7"/>
        <v>0</v>
      </c>
      <c r="U62" s="339"/>
      <c r="V62" s="339"/>
      <c r="W62" s="339"/>
      <c r="X62" s="339"/>
      <c r="Y62" s="339"/>
      <c r="Z62" s="339"/>
    </row>
    <row r="63" spans="1:26" ht="21" customHeight="1">
      <c r="A63" s="303">
        <v>9</v>
      </c>
      <c r="B63" s="304" t="s">
        <v>87</v>
      </c>
      <c r="C63" s="451">
        <f t="shared" ca="1" si="49"/>
        <v>76000</v>
      </c>
      <c r="D63" s="309">
        <f ca="1">IFERROR(__xludf.DUMMYFUNCTION("IMPORTRANGE(""https://docs.google.com/spreadsheets/d/1C3CXT74ZlgGe6_JY_1olB1XN4rF0dxEuIIF-xsYjHgg/edit?usp=sharing"",""งบกองทุน!AU67"")"),0)</f>
        <v>0</v>
      </c>
      <c r="E63" s="309">
        <f ca="1">IFERROR(__xludf.DUMMYFUNCTION("IMPORTRANGE(""https://docs.google.com/spreadsheets/d/1C3CXT74ZlgGe6_JY_1olB1XN4rF0dxEuIIF-xsYjHgg/edit?usp=sharing"",""งบกองทุน!AV67"")"),76000)</f>
        <v>76000</v>
      </c>
      <c r="F63" s="309">
        <f ca="1">IFERROR(__xludf.DUMMYFUNCTION("IMPORTRANGE(""https://docs.google.com/spreadsheets/d/1SX6NBoVAgQJ6U1MVXOaj8PK2l7WJ3RER9xtqwdhxkhw/edit?usp=sharing"",""ปทุมธานี!M332"")"),52257)</f>
        <v>52257</v>
      </c>
      <c r="G63" s="309">
        <f t="shared" ca="1" si="1"/>
        <v>68.759210526315783</v>
      </c>
      <c r="H63" s="452">
        <f t="shared" ca="1" si="50"/>
        <v>10</v>
      </c>
      <c r="I63" s="308">
        <f t="shared" ca="1" si="51"/>
        <v>10</v>
      </c>
      <c r="J63" s="453">
        <f t="shared" ca="1" si="3"/>
        <v>100</v>
      </c>
      <c r="K63" s="454">
        <f t="shared" ca="1" si="52"/>
        <v>10</v>
      </c>
      <c r="L63" s="308">
        <f t="shared" ca="1" si="53"/>
        <v>10</v>
      </c>
      <c r="M63" s="453">
        <f t="shared" ca="1" si="5"/>
        <v>100</v>
      </c>
      <c r="N63" s="456">
        <f ca="1">IFERROR(__xludf.DUMMYFUNCTION("IMPORTRANGE(""https://docs.google.com/spreadsheets/d/1C3CXT74ZlgGe6_JY_1olB1XN4rF0dxEuIIF-xsYjHgg/edit?usp=sharing"",""งบกองทุน!AY67"")"),10)</f>
        <v>10</v>
      </c>
      <c r="O63" s="308">
        <f ca="1">IFERROR(__xludf.DUMMYFUNCTION("IMPORTRANGE(""https://docs.google.com/spreadsheets/d/1SX6NBoVAgQJ6U1MVXOaj8PK2l7WJ3RER9xtqwdhxkhw/edit?usp=sharing"",""ปทุมธานี!J345"")"),10)</f>
        <v>10</v>
      </c>
      <c r="P63" s="456">
        <f ca="1">IFERROR(__xludf.DUMMYFUNCTION("IMPORTRANGE(""https://docs.google.com/spreadsheets/d/1C3CXT74ZlgGe6_JY_1olB1XN4rF0dxEuIIF-xsYjHgg/edit?usp=sharing"",""งบกองทุน!AZ67"")"),0)</f>
        <v>0</v>
      </c>
      <c r="Q63" s="308">
        <f ca="1">IFERROR(__xludf.DUMMYFUNCTION("IMPORTRANGE(""https://docs.google.com/spreadsheets/d/1SX6NBoVAgQJ6U1MVXOaj8PK2l7WJ3RER9xtqwdhxkhw/edit?usp=sharing"",""ปทุมธานี!J346"")"),0)</f>
        <v>0</v>
      </c>
      <c r="R63" s="465">
        <f ca="1">IFERROR(__xludf.DUMMYFUNCTION("IMPORTRANGE(""https://docs.google.com/spreadsheets/d/1C3CXT74ZlgGe6_JY_1olB1XN4rF0dxEuIIF-xsYjHgg/edit?usp=sharing"",""งบกองทุน!BA67"")"),0)</f>
        <v>0</v>
      </c>
      <c r="S63" s="308">
        <v>0</v>
      </c>
      <c r="T63" s="453">
        <f t="shared" ca="1" si="7"/>
        <v>0</v>
      </c>
      <c r="U63" s="339"/>
      <c r="V63" s="339"/>
      <c r="W63" s="339"/>
      <c r="X63" s="339"/>
      <c r="Y63" s="339"/>
      <c r="Z63" s="339"/>
    </row>
    <row r="64" spans="1:26" ht="21" customHeight="1">
      <c r="A64" s="303">
        <v>10</v>
      </c>
      <c r="B64" s="304" t="s">
        <v>88</v>
      </c>
      <c r="C64" s="451">
        <f t="shared" ca="1" si="49"/>
        <v>76000</v>
      </c>
      <c r="D64" s="309">
        <f ca="1">IFERROR(__xludf.DUMMYFUNCTION("IMPORTRANGE(""https://docs.google.com/spreadsheets/d/1C3CXT74ZlgGe6_JY_1olB1XN4rF0dxEuIIF-xsYjHgg/edit?usp=sharing"",""งบกองทุน!AU68"")"),0)</f>
        <v>0</v>
      </c>
      <c r="E64" s="309">
        <f ca="1">IFERROR(__xludf.DUMMYFUNCTION("IMPORTRANGE(""https://docs.google.com/spreadsheets/d/1C3CXT74ZlgGe6_JY_1olB1XN4rF0dxEuIIF-xsYjHgg/edit?usp=sharing"",""งบกองทุน!AV68"")"),76000)</f>
        <v>76000</v>
      </c>
      <c r="F64" s="309">
        <f ca="1">IFERROR(__xludf.DUMMYFUNCTION("IMPORTRANGE(""https://docs.google.com/spreadsheets/d/1SX6NBoVAgQJ6U1MVXOaj8PK2l7WJ3RER9xtqwdhxkhw/edit?usp=sharing"",""ประจวบคีรีขันธ์!M332"")"),71985)</f>
        <v>71985</v>
      </c>
      <c r="G64" s="309">
        <f t="shared" ca="1" si="1"/>
        <v>94.71710526315789</v>
      </c>
      <c r="H64" s="452">
        <f t="shared" ca="1" si="50"/>
        <v>10</v>
      </c>
      <c r="I64" s="308">
        <f t="shared" ca="1" si="51"/>
        <v>10</v>
      </c>
      <c r="J64" s="453">
        <f t="shared" ca="1" si="3"/>
        <v>100</v>
      </c>
      <c r="K64" s="454">
        <f t="shared" ca="1" si="52"/>
        <v>10</v>
      </c>
      <c r="L64" s="308">
        <f t="shared" ca="1" si="53"/>
        <v>10</v>
      </c>
      <c r="M64" s="453">
        <f t="shared" ca="1" si="5"/>
        <v>100</v>
      </c>
      <c r="N64" s="456">
        <f ca="1">IFERROR(__xludf.DUMMYFUNCTION("IMPORTRANGE(""https://docs.google.com/spreadsheets/d/1C3CXT74ZlgGe6_JY_1olB1XN4rF0dxEuIIF-xsYjHgg/edit?usp=sharing"",""งบกองทุน!AY68"")"),10)</f>
        <v>10</v>
      </c>
      <c r="O64" s="308">
        <f ca="1">IFERROR(__xludf.DUMMYFUNCTION("IMPORTRANGE(""https://docs.google.com/spreadsheets/d/1SX6NBoVAgQJ6U1MVXOaj8PK2l7WJ3RER9xtqwdhxkhw/edit?usp=sharing"",""ประจวบคีรีขันธ์!J345"")"),10)</f>
        <v>10</v>
      </c>
      <c r="P64" s="456">
        <f ca="1">IFERROR(__xludf.DUMMYFUNCTION("IMPORTRANGE(""https://docs.google.com/spreadsheets/d/1C3CXT74ZlgGe6_JY_1olB1XN4rF0dxEuIIF-xsYjHgg/edit?usp=sharing"",""งบกองทุน!AZ68"")"),0)</f>
        <v>0</v>
      </c>
      <c r="Q64" s="308">
        <f ca="1">IFERROR(__xludf.DUMMYFUNCTION("IMPORTRANGE(""https://docs.google.com/spreadsheets/d/1SX6NBoVAgQJ6U1MVXOaj8PK2l7WJ3RER9xtqwdhxkhw/edit?usp=sharing"",""ประจวบคีรีขันธ์!J346"")"),0)</f>
        <v>0</v>
      </c>
      <c r="R64" s="465">
        <f ca="1">IFERROR(__xludf.DUMMYFUNCTION("IMPORTRANGE(""https://docs.google.com/spreadsheets/d/1C3CXT74ZlgGe6_JY_1olB1XN4rF0dxEuIIF-xsYjHgg/edit?usp=sharing"",""งบกองทุน!BA68"")"),0)</f>
        <v>0</v>
      </c>
      <c r="S64" s="308">
        <v>0</v>
      </c>
      <c r="T64" s="453">
        <f t="shared" ca="1" si="7"/>
        <v>0</v>
      </c>
      <c r="U64" s="339"/>
      <c r="V64" s="339"/>
      <c r="W64" s="339"/>
      <c r="X64" s="339"/>
      <c r="Y64" s="339"/>
      <c r="Z64" s="339"/>
    </row>
    <row r="65" spans="1:26" ht="21" customHeight="1">
      <c r="A65" s="303">
        <v>11</v>
      </c>
      <c r="B65" s="304" t="s">
        <v>89</v>
      </c>
      <c r="C65" s="451">
        <f t="shared" ca="1" si="49"/>
        <v>76000</v>
      </c>
      <c r="D65" s="309">
        <f ca="1">IFERROR(__xludf.DUMMYFUNCTION("IMPORTRANGE(""https://docs.google.com/spreadsheets/d/1C3CXT74ZlgGe6_JY_1olB1XN4rF0dxEuIIF-xsYjHgg/edit?usp=sharing"",""งบกองทุน!AU69"")"),0)</f>
        <v>0</v>
      </c>
      <c r="E65" s="309">
        <f ca="1">IFERROR(__xludf.DUMMYFUNCTION("IMPORTRANGE(""https://docs.google.com/spreadsheets/d/1C3CXT74ZlgGe6_JY_1olB1XN4rF0dxEuIIF-xsYjHgg/edit?usp=sharing"",""งบกองทุน!AV69"")"),76000)</f>
        <v>76000</v>
      </c>
      <c r="F65" s="309">
        <f ca="1">IFERROR(__xludf.DUMMYFUNCTION("IMPORTRANGE(""https://docs.google.com/spreadsheets/d/1SX6NBoVAgQJ6U1MVXOaj8PK2l7WJ3RER9xtqwdhxkhw/edit?usp=sharing"",""ปราจีนบุรี!M332"")"),64520)</f>
        <v>64520</v>
      </c>
      <c r="G65" s="309">
        <f t="shared" ca="1" si="1"/>
        <v>84.89473684210526</v>
      </c>
      <c r="H65" s="452">
        <f t="shared" ca="1" si="50"/>
        <v>10</v>
      </c>
      <c r="I65" s="308">
        <f t="shared" ca="1" si="51"/>
        <v>10</v>
      </c>
      <c r="J65" s="453">
        <f t="shared" ca="1" si="3"/>
        <v>100</v>
      </c>
      <c r="K65" s="454">
        <f t="shared" ca="1" si="52"/>
        <v>10</v>
      </c>
      <c r="L65" s="308">
        <f t="shared" ca="1" si="53"/>
        <v>10</v>
      </c>
      <c r="M65" s="453">
        <f t="shared" ca="1" si="5"/>
        <v>100</v>
      </c>
      <c r="N65" s="456">
        <f ca="1">IFERROR(__xludf.DUMMYFUNCTION("IMPORTRANGE(""https://docs.google.com/spreadsheets/d/1C3CXT74ZlgGe6_JY_1olB1XN4rF0dxEuIIF-xsYjHgg/edit?usp=sharing"",""งบกองทุน!AY69"")"),10)</f>
        <v>10</v>
      </c>
      <c r="O65" s="308">
        <f ca="1">IFERROR(__xludf.DUMMYFUNCTION("IMPORTRANGE(""https://docs.google.com/spreadsheets/d/1SX6NBoVAgQJ6U1MVXOaj8PK2l7WJ3RER9xtqwdhxkhw/edit?usp=sharing"",""ปราจีนบุรี!J345"")"),10)</f>
        <v>10</v>
      </c>
      <c r="P65" s="456">
        <f ca="1">IFERROR(__xludf.DUMMYFUNCTION("IMPORTRANGE(""https://docs.google.com/spreadsheets/d/1C3CXT74ZlgGe6_JY_1olB1XN4rF0dxEuIIF-xsYjHgg/edit?usp=sharing"",""งบกองทุน!AZ69"")"),0)</f>
        <v>0</v>
      </c>
      <c r="Q65" s="308">
        <f ca="1">IFERROR(__xludf.DUMMYFUNCTION("IMPORTRANGE(""https://docs.google.com/spreadsheets/d/1SX6NBoVAgQJ6U1MVXOaj8PK2l7WJ3RER9xtqwdhxkhw/edit?usp=sharing"",""ปราจีนบุรี!J346"")"),0)</f>
        <v>0</v>
      </c>
      <c r="R65" s="465">
        <f ca="1">IFERROR(__xludf.DUMMYFUNCTION("IMPORTRANGE(""https://docs.google.com/spreadsheets/d/1C3CXT74ZlgGe6_JY_1olB1XN4rF0dxEuIIF-xsYjHgg/edit?usp=sharing"",""งบกองทุน!BA69"")"),0)</f>
        <v>0</v>
      </c>
      <c r="S65" s="308">
        <v>0</v>
      </c>
      <c r="T65" s="453">
        <f t="shared" ca="1" si="7"/>
        <v>0</v>
      </c>
      <c r="U65" s="339"/>
      <c r="V65" s="339"/>
      <c r="W65" s="339"/>
      <c r="X65" s="339"/>
      <c r="Y65" s="339"/>
      <c r="Z65" s="339"/>
    </row>
    <row r="66" spans="1:26" ht="21" customHeight="1">
      <c r="A66" s="303">
        <v>12</v>
      </c>
      <c r="B66" s="304" t="s">
        <v>90</v>
      </c>
      <c r="C66" s="451">
        <f t="shared" ca="1" si="49"/>
        <v>118000</v>
      </c>
      <c r="D66" s="309">
        <f ca="1">IFERROR(__xludf.DUMMYFUNCTION("IMPORTRANGE(""https://docs.google.com/spreadsheets/d/1C3CXT74ZlgGe6_JY_1olB1XN4rF0dxEuIIF-xsYjHgg/edit?usp=sharing"",""งบกองทุน!AU70"")"),0)</f>
        <v>0</v>
      </c>
      <c r="E66" s="309">
        <f ca="1">IFERROR(__xludf.DUMMYFUNCTION("IMPORTRANGE(""https://docs.google.com/spreadsheets/d/1C3CXT74ZlgGe6_JY_1olB1XN4rF0dxEuIIF-xsYjHgg/edit?usp=sharing"",""งบกองทุน!AV70"")"),118000)</f>
        <v>118000</v>
      </c>
      <c r="F66" s="309">
        <f ca="1">IFERROR(__xludf.DUMMYFUNCTION("IMPORTRANGE(""https://docs.google.com/spreadsheets/d/1SX6NBoVAgQJ6U1MVXOaj8PK2l7WJ3RER9xtqwdhxkhw/edit?usp=sharing"",""พระนครศรีอยุธยา!M332"")"),75550.22)</f>
        <v>75550.22</v>
      </c>
      <c r="G66" s="309">
        <f t="shared" ca="1" si="1"/>
        <v>64.025610169491529</v>
      </c>
      <c r="H66" s="452">
        <f t="shared" ca="1" si="50"/>
        <v>20</v>
      </c>
      <c r="I66" s="308">
        <f t="shared" ca="1" si="51"/>
        <v>20</v>
      </c>
      <c r="J66" s="453">
        <f t="shared" ca="1" si="3"/>
        <v>100</v>
      </c>
      <c r="K66" s="454">
        <f t="shared" ca="1" si="52"/>
        <v>20</v>
      </c>
      <c r="L66" s="308">
        <f t="shared" ca="1" si="53"/>
        <v>20</v>
      </c>
      <c r="M66" s="453">
        <f t="shared" ca="1" si="5"/>
        <v>100</v>
      </c>
      <c r="N66" s="456">
        <f ca="1">IFERROR(__xludf.DUMMYFUNCTION("IMPORTRANGE(""https://docs.google.com/spreadsheets/d/1C3CXT74ZlgGe6_JY_1olB1XN4rF0dxEuIIF-xsYjHgg/edit?usp=sharing"",""งบกองทุน!AY70"")"),20)</f>
        <v>20</v>
      </c>
      <c r="O66" s="308">
        <f ca="1">IFERROR(__xludf.DUMMYFUNCTION("IMPORTRANGE(""https://docs.google.com/spreadsheets/d/1SX6NBoVAgQJ6U1MVXOaj8PK2l7WJ3RER9xtqwdhxkhw/edit?usp=sharing"",""พระนครศรีอยุธยา!J345"")"),20)</f>
        <v>20</v>
      </c>
      <c r="P66" s="456">
        <f ca="1">IFERROR(__xludf.DUMMYFUNCTION("IMPORTRANGE(""https://docs.google.com/spreadsheets/d/1C3CXT74ZlgGe6_JY_1olB1XN4rF0dxEuIIF-xsYjHgg/edit?usp=sharing"",""งบกองทุน!AZ70"")"),0)</f>
        <v>0</v>
      </c>
      <c r="Q66" s="308">
        <f ca="1">IFERROR(__xludf.DUMMYFUNCTION("IMPORTRANGE(""https://docs.google.com/spreadsheets/d/1SX6NBoVAgQJ6U1MVXOaj8PK2l7WJ3RER9xtqwdhxkhw/edit?usp=sharing"",""พระนครศรีอยุธยา!J346"")"),0)</f>
        <v>0</v>
      </c>
      <c r="R66" s="465">
        <f ca="1">IFERROR(__xludf.DUMMYFUNCTION("IMPORTRANGE(""https://docs.google.com/spreadsheets/d/1C3CXT74ZlgGe6_JY_1olB1XN4rF0dxEuIIF-xsYjHgg/edit?usp=sharing"",""งบกองทุน!BA70"")"),0)</f>
        <v>0</v>
      </c>
      <c r="S66" s="308">
        <v>0</v>
      </c>
      <c r="T66" s="453">
        <f t="shared" ca="1" si="7"/>
        <v>0</v>
      </c>
      <c r="U66" s="339"/>
      <c r="V66" s="339"/>
      <c r="W66" s="339"/>
      <c r="X66" s="339"/>
      <c r="Y66" s="339"/>
      <c r="Z66" s="339"/>
    </row>
    <row r="67" spans="1:26" ht="21" customHeight="1">
      <c r="A67" s="303">
        <v>13</v>
      </c>
      <c r="B67" s="304" t="s">
        <v>91</v>
      </c>
      <c r="C67" s="451">
        <f t="shared" ca="1" si="49"/>
        <v>166400</v>
      </c>
      <c r="D67" s="309">
        <f ca="1">IFERROR(__xludf.DUMMYFUNCTION("IMPORTRANGE(""https://docs.google.com/spreadsheets/d/1C3CXT74ZlgGe6_JY_1olB1XN4rF0dxEuIIF-xsYjHgg/edit?usp=sharing"",""งบกองทุน!AU71"")"),0)</f>
        <v>0</v>
      </c>
      <c r="E67" s="309">
        <f ca="1">IFERROR(__xludf.DUMMYFUNCTION("IMPORTRANGE(""https://docs.google.com/spreadsheets/d/1C3CXT74ZlgGe6_JY_1olB1XN4rF0dxEuIIF-xsYjHgg/edit?usp=sharing"",""งบกองทุน!AV71"")"),166400)</f>
        <v>166400</v>
      </c>
      <c r="F67" s="309">
        <f ca="1">IFERROR(__xludf.DUMMYFUNCTION("IMPORTRANGE(""https://docs.google.com/spreadsheets/d/1SX6NBoVAgQJ6U1MVXOaj8PK2l7WJ3RER9xtqwdhxkhw/edit?usp=sharing"",""เพชรบุรี!M332"")"),128479)</f>
        <v>128479</v>
      </c>
      <c r="G67" s="309">
        <f t="shared" ca="1" si="1"/>
        <v>77.2109375</v>
      </c>
      <c r="H67" s="452">
        <f t="shared" ca="1" si="50"/>
        <v>50</v>
      </c>
      <c r="I67" s="308">
        <f t="shared" ca="1" si="51"/>
        <v>50</v>
      </c>
      <c r="J67" s="453">
        <f t="shared" ca="1" si="3"/>
        <v>100</v>
      </c>
      <c r="K67" s="454">
        <f t="shared" ca="1" si="52"/>
        <v>50</v>
      </c>
      <c r="L67" s="308">
        <f t="shared" ca="1" si="53"/>
        <v>50</v>
      </c>
      <c r="M67" s="453">
        <f t="shared" ca="1" si="5"/>
        <v>100</v>
      </c>
      <c r="N67" s="456">
        <f ca="1">IFERROR(__xludf.DUMMYFUNCTION("IMPORTRANGE(""https://docs.google.com/spreadsheets/d/1C3CXT74ZlgGe6_JY_1olB1XN4rF0dxEuIIF-xsYjHgg/edit?usp=sharing"",""งบกองทุน!AY71"")"),50)</f>
        <v>50</v>
      </c>
      <c r="O67" s="308">
        <f ca="1">IFERROR(__xludf.DUMMYFUNCTION("IMPORTRANGE(""https://docs.google.com/spreadsheets/d/1SX6NBoVAgQJ6U1MVXOaj8PK2l7WJ3RER9xtqwdhxkhw/edit?usp=sharing"",""เพชรบุรี!J345"")"),50)</f>
        <v>50</v>
      </c>
      <c r="P67" s="456">
        <f ca="1">IFERROR(__xludf.DUMMYFUNCTION("IMPORTRANGE(""https://docs.google.com/spreadsheets/d/1C3CXT74ZlgGe6_JY_1olB1XN4rF0dxEuIIF-xsYjHgg/edit?usp=sharing"",""งบกองทุน!AZ71"")"),0)</f>
        <v>0</v>
      </c>
      <c r="Q67" s="308">
        <f ca="1">IFERROR(__xludf.DUMMYFUNCTION("IMPORTRANGE(""https://docs.google.com/spreadsheets/d/1SX6NBoVAgQJ6U1MVXOaj8PK2l7WJ3RER9xtqwdhxkhw/edit?usp=sharing"",""เพชรบุรี!J346"")"),0)</f>
        <v>0</v>
      </c>
      <c r="R67" s="465">
        <f ca="1">IFERROR(__xludf.DUMMYFUNCTION("IMPORTRANGE(""https://docs.google.com/spreadsheets/d/1C3CXT74ZlgGe6_JY_1olB1XN4rF0dxEuIIF-xsYjHgg/edit?usp=sharing"",""งบกองทุน!BA71"")"),0)</f>
        <v>0</v>
      </c>
      <c r="S67" s="308">
        <v>0</v>
      </c>
      <c r="T67" s="453">
        <f t="shared" ca="1" si="7"/>
        <v>0</v>
      </c>
      <c r="U67" s="339"/>
      <c r="V67" s="339"/>
      <c r="W67" s="339"/>
      <c r="X67" s="339"/>
      <c r="Y67" s="339"/>
      <c r="Z67" s="339"/>
    </row>
    <row r="68" spans="1:26" ht="21" customHeight="1">
      <c r="A68" s="303">
        <v>14</v>
      </c>
      <c r="B68" s="304" t="s">
        <v>92</v>
      </c>
      <c r="C68" s="451">
        <f t="shared" ca="1" si="49"/>
        <v>100000</v>
      </c>
      <c r="D68" s="309">
        <f ca="1">IFERROR(__xludf.DUMMYFUNCTION("IMPORTRANGE(""https://docs.google.com/spreadsheets/d/1C3CXT74ZlgGe6_JY_1olB1XN4rF0dxEuIIF-xsYjHgg/edit?usp=sharing"",""งบกองทุน!AU72"")"),0)</f>
        <v>0</v>
      </c>
      <c r="E68" s="309">
        <f ca="1">IFERROR(__xludf.DUMMYFUNCTION("IMPORTRANGE(""https://docs.google.com/spreadsheets/d/1C3CXT74ZlgGe6_JY_1olB1XN4rF0dxEuIIF-xsYjHgg/edit?usp=sharing"",""งบกองทุน!AV72"")"),100000)</f>
        <v>100000</v>
      </c>
      <c r="F68" s="309">
        <f ca="1">IFERROR(__xludf.DUMMYFUNCTION("IMPORTRANGE(""https://docs.google.com/spreadsheets/d/1SX6NBoVAgQJ6U1MVXOaj8PK2l7WJ3RER9xtqwdhxkhw/edit?usp=sharing"",""ระยอง!M332"")"),48200)</f>
        <v>48200</v>
      </c>
      <c r="G68" s="309">
        <f t="shared" ca="1" si="1"/>
        <v>48.2</v>
      </c>
      <c r="H68" s="452">
        <f t="shared" ca="1" si="50"/>
        <v>20</v>
      </c>
      <c r="I68" s="308">
        <f t="shared" ca="1" si="51"/>
        <v>20</v>
      </c>
      <c r="J68" s="453">
        <f t="shared" ca="1" si="3"/>
        <v>100</v>
      </c>
      <c r="K68" s="454">
        <f t="shared" ca="1" si="52"/>
        <v>20</v>
      </c>
      <c r="L68" s="308">
        <f t="shared" ca="1" si="53"/>
        <v>20</v>
      </c>
      <c r="M68" s="453">
        <f t="shared" ca="1" si="5"/>
        <v>100</v>
      </c>
      <c r="N68" s="456">
        <f ca="1">IFERROR(__xludf.DUMMYFUNCTION("IMPORTRANGE(""https://docs.google.com/spreadsheets/d/1C3CXT74ZlgGe6_JY_1olB1XN4rF0dxEuIIF-xsYjHgg/edit?usp=sharing"",""งบกองทุน!AY72"")"),20)</f>
        <v>20</v>
      </c>
      <c r="O68" s="308">
        <f ca="1">IFERROR(__xludf.DUMMYFUNCTION("IMPORTRANGE(""https://docs.google.com/spreadsheets/d/1SX6NBoVAgQJ6U1MVXOaj8PK2l7WJ3RER9xtqwdhxkhw/edit?usp=sharing"",""ระยอง!J345"")"),20)</f>
        <v>20</v>
      </c>
      <c r="P68" s="456">
        <f ca="1">IFERROR(__xludf.DUMMYFUNCTION("IMPORTRANGE(""https://docs.google.com/spreadsheets/d/1C3CXT74ZlgGe6_JY_1olB1XN4rF0dxEuIIF-xsYjHgg/edit?usp=sharing"",""งบกองทุน!AZ72"")"),0)</f>
        <v>0</v>
      </c>
      <c r="Q68" s="308">
        <f ca="1">IFERROR(__xludf.DUMMYFUNCTION("IMPORTRANGE(""https://docs.google.com/spreadsheets/d/1SX6NBoVAgQJ6U1MVXOaj8PK2l7WJ3RER9xtqwdhxkhw/edit?usp=sharing"",""ระยอง!J346"")"),0)</f>
        <v>0</v>
      </c>
      <c r="R68" s="465">
        <f ca="1">IFERROR(__xludf.DUMMYFUNCTION("IMPORTRANGE(""https://docs.google.com/spreadsheets/d/1C3CXT74ZlgGe6_JY_1olB1XN4rF0dxEuIIF-xsYjHgg/edit?usp=sharing"",""งบกองทุน!BA72"")"),0)</f>
        <v>0</v>
      </c>
      <c r="S68" s="308">
        <v>0</v>
      </c>
      <c r="T68" s="453">
        <f t="shared" ca="1" si="7"/>
        <v>0</v>
      </c>
      <c r="U68" s="339"/>
      <c r="V68" s="339"/>
      <c r="W68" s="339"/>
      <c r="X68" s="339"/>
      <c r="Y68" s="339"/>
      <c r="Z68" s="339"/>
    </row>
    <row r="69" spans="1:26" ht="21" customHeight="1">
      <c r="A69" s="303">
        <v>15</v>
      </c>
      <c r="B69" s="304" t="s">
        <v>93</v>
      </c>
      <c r="C69" s="451">
        <f t="shared" ca="1" si="49"/>
        <v>100000</v>
      </c>
      <c r="D69" s="309">
        <f ca="1">IFERROR(__xludf.DUMMYFUNCTION("IMPORTRANGE(""https://docs.google.com/spreadsheets/d/1C3CXT74ZlgGe6_JY_1olB1XN4rF0dxEuIIF-xsYjHgg/edit?usp=sharing"",""งบกองทุน!AU73"")"),0)</f>
        <v>0</v>
      </c>
      <c r="E69" s="309">
        <f ca="1">IFERROR(__xludf.DUMMYFUNCTION("IMPORTRANGE(""https://docs.google.com/spreadsheets/d/1C3CXT74ZlgGe6_JY_1olB1XN4rF0dxEuIIF-xsYjHgg/edit?usp=sharing"",""งบกองทุน!AV73"")"),100000)</f>
        <v>100000</v>
      </c>
      <c r="F69" s="309">
        <f ca="1">IFERROR(__xludf.DUMMYFUNCTION("IMPORTRANGE(""https://docs.google.com/spreadsheets/d/1SX6NBoVAgQJ6U1MVXOaj8PK2l7WJ3RER9xtqwdhxkhw/edit?usp=sharing"",""ราชบุรี!M332"")"),37878.38)</f>
        <v>37878.379999999997</v>
      </c>
      <c r="G69" s="309">
        <f t="shared" ca="1" si="1"/>
        <v>37.878379999999993</v>
      </c>
      <c r="H69" s="452">
        <f t="shared" ca="1" si="50"/>
        <v>20</v>
      </c>
      <c r="I69" s="308">
        <f t="shared" ca="1" si="51"/>
        <v>20</v>
      </c>
      <c r="J69" s="453">
        <f t="shared" ca="1" si="3"/>
        <v>100</v>
      </c>
      <c r="K69" s="454">
        <f t="shared" ca="1" si="52"/>
        <v>20</v>
      </c>
      <c r="L69" s="308">
        <f t="shared" ca="1" si="53"/>
        <v>20</v>
      </c>
      <c r="M69" s="453">
        <f t="shared" ca="1" si="5"/>
        <v>100</v>
      </c>
      <c r="N69" s="456">
        <f ca="1">IFERROR(__xludf.DUMMYFUNCTION("IMPORTRANGE(""https://docs.google.com/spreadsheets/d/1C3CXT74ZlgGe6_JY_1olB1XN4rF0dxEuIIF-xsYjHgg/edit?usp=sharing"",""งบกองทุน!AY73"")"),20)</f>
        <v>20</v>
      </c>
      <c r="O69" s="308">
        <f ca="1">IFERROR(__xludf.DUMMYFUNCTION("IMPORTRANGE(""https://docs.google.com/spreadsheets/d/1SX6NBoVAgQJ6U1MVXOaj8PK2l7WJ3RER9xtqwdhxkhw/edit?usp=sharing"",""ราชบุรี!J345"")"),20)</f>
        <v>20</v>
      </c>
      <c r="P69" s="456">
        <f ca="1">IFERROR(__xludf.DUMMYFUNCTION("IMPORTRANGE(""https://docs.google.com/spreadsheets/d/1C3CXT74ZlgGe6_JY_1olB1XN4rF0dxEuIIF-xsYjHgg/edit?usp=sharing"",""งบกองทุน!AZ73"")"),0)</f>
        <v>0</v>
      </c>
      <c r="Q69" s="308">
        <f ca="1">IFERROR(__xludf.DUMMYFUNCTION("IMPORTRANGE(""https://docs.google.com/spreadsheets/d/1SX6NBoVAgQJ6U1MVXOaj8PK2l7WJ3RER9xtqwdhxkhw/edit?usp=sharing"",""ราชบุรี!J346"")"),0)</f>
        <v>0</v>
      </c>
      <c r="R69" s="465">
        <f ca="1">IFERROR(__xludf.DUMMYFUNCTION("IMPORTRANGE(""https://docs.google.com/spreadsheets/d/1C3CXT74ZlgGe6_JY_1olB1XN4rF0dxEuIIF-xsYjHgg/edit?usp=sharing"",""งบกองทุน!BA73"")"),0)</f>
        <v>0</v>
      </c>
      <c r="S69" s="308">
        <v>0</v>
      </c>
      <c r="T69" s="453">
        <f t="shared" ca="1" si="7"/>
        <v>0</v>
      </c>
      <c r="U69" s="339"/>
      <c r="V69" s="339"/>
      <c r="W69" s="339"/>
      <c r="X69" s="339"/>
      <c r="Y69" s="339"/>
      <c r="Z69" s="339"/>
    </row>
    <row r="70" spans="1:26" ht="24" customHeight="1">
      <c r="A70" s="303">
        <v>16</v>
      </c>
      <c r="B70" s="304" t="s">
        <v>94</v>
      </c>
      <c r="C70" s="451">
        <f t="shared" ca="1" si="49"/>
        <v>100000</v>
      </c>
      <c r="D70" s="309">
        <f ca="1">IFERROR(__xludf.DUMMYFUNCTION("IMPORTRANGE(""https://docs.google.com/spreadsheets/d/1C3CXT74ZlgGe6_JY_1olB1XN4rF0dxEuIIF-xsYjHgg/edit?usp=sharing"",""งบกองทุน!AU74"")"),0)</f>
        <v>0</v>
      </c>
      <c r="E70" s="309">
        <f ca="1">IFERROR(__xludf.DUMMYFUNCTION("IMPORTRANGE(""https://docs.google.com/spreadsheets/d/1C3CXT74ZlgGe6_JY_1olB1XN4rF0dxEuIIF-xsYjHgg/edit?usp=sharing"",""งบกองทุน!AV74"")"),100000)</f>
        <v>100000</v>
      </c>
      <c r="F70" s="309">
        <f ca="1">IFERROR(__xludf.DUMMYFUNCTION("IMPORTRANGE(""https://docs.google.com/spreadsheets/d/1SX6NBoVAgQJ6U1MVXOaj8PK2l7WJ3RER9xtqwdhxkhw/edit?usp=sharing"",""ลพบุรี!M332"")"),66880)</f>
        <v>66880</v>
      </c>
      <c r="G70" s="309">
        <f t="shared" ca="1" si="1"/>
        <v>66.88</v>
      </c>
      <c r="H70" s="452">
        <f t="shared" ca="1" si="50"/>
        <v>20</v>
      </c>
      <c r="I70" s="308">
        <f t="shared" ca="1" si="51"/>
        <v>20</v>
      </c>
      <c r="J70" s="453">
        <f t="shared" ca="1" si="3"/>
        <v>100</v>
      </c>
      <c r="K70" s="454">
        <f t="shared" ca="1" si="52"/>
        <v>20</v>
      </c>
      <c r="L70" s="308">
        <f t="shared" ca="1" si="53"/>
        <v>20</v>
      </c>
      <c r="M70" s="453">
        <f t="shared" ca="1" si="5"/>
        <v>100</v>
      </c>
      <c r="N70" s="456">
        <f ca="1">IFERROR(__xludf.DUMMYFUNCTION("IMPORTRANGE(""https://docs.google.com/spreadsheets/d/1C3CXT74ZlgGe6_JY_1olB1XN4rF0dxEuIIF-xsYjHgg/edit?usp=sharing"",""งบกองทุน!AY74"")"),20)</f>
        <v>20</v>
      </c>
      <c r="O70" s="308">
        <f ca="1">IFERROR(__xludf.DUMMYFUNCTION("IMPORTRANGE(""https://docs.google.com/spreadsheets/d/1SX6NBoVAgQJ6U1MVXOaj8PK2l7WJ3RER9xtqwdhxkhw/edit?usp=sharing"",""ลพบุรี!J345"")"),20)</f>
        <v>20</v>
      </c>
      <c r="P70" s="456">
        <f ca="1">IFERROR(__xludf.DUMMYFUNCTION("IMPORTRANGE(""https://docs.google.com/spreadsheets/d/1C3CXT74ZlgGe6_JY_1olB1XN4rF0dxEuIIF-xsYjHgg/edit?usp=sharing"",""งบกองทุน!AZ74"")"),0)</f>
        <v>0</v>
      </c>
      <c r="Q70" s="308">
        <f ca="1">IFERROR(__xludf.DUMMYFUNCTION("IMPORTRANGE(""https://docs.google.com/spreadsheets/d/1SX6NBoVAgQJ6U1MVXOaj8PK2l7WJ3RER9xtqwdhxkhw/edit?usp=sharing"",""ลพบุรี!J346"")"),0)</f>
        <v>0</v>
      </c>
      <c r="R70" s="465">
        <f ca="1">IFERROR(__xludf.DUMMYFUNCTION("IMPORTRANGE(""https://docs.google.com/spreadsheets/d/1C3CXT74ZlgGe6_JY_1olB1XN4rF0dxEuIIF-xsYjHgg/edit?usp=sharing"",""งบกองทุน!BA74"")"),0)</f>
        <v>0</v>
      </c>
      <c r="S70" s="308">
        <v>0</v>
      </c>
      <c r="T70" s="453">
        <f t="shared" ca="1" si="7"/>
        <v>0</v>
      </c>
      <c r="U70" s="339"/>
      <c r="V70" s="339"/>
      <c r="W70" s="339"/>
      <c r="X70" s="339"/>
      <c r="Y70" s="339"/>
      <c r="Z70" s="339"/>
    </row>
    <row r="71" spans="1:26" ht="21" customHeight="1">
      <c r="A71" s="303">
        <v>17</v>
      </c>
      <c r="B71" s="304" t="s">
        <v>95</v>
      </c>
      <c r="C71" s="451">
        <f t="shared" ca="1" si="49"/>
        <v>88000</v>
      </c>
      <c r="D71" s="309">
        <f ca="1">IFERROR(__xludf.DUMMYFUNCTION("IMPORTRANGE(""https://docs.google.com/spreadsheets/d/1C3CXT74ZlgGe6_JY_1olB1XN4rF0dxEuIIF-xsYjHgg/edit?usp=sharing"",""งบกองทุน!AU75"")"),0)</f>
        <v>0</v>
      </c>
      <c r="E71" s="309">
        <f ca="1">IFERROR(__xludf.DUMMYFUNCTION("IMPORTRANGE(""https://docs.google.com/spreadsheets/d/1C3CXT74ZlgGe6_JY_1olB1XN4rF0dxEuIIF-xsYjHgg/edit?usp=sharing"",""งบกองทุน!AV75"")"),88000)</f>
        <v>88000</v>
      </c>
      <c r="F71" s="309">
        <f ca="1">IFERROR(__xludf.DUMMYFUNCTION("IMPORTRANGE(""https://docs.google.com/spreadsheets/d/1SX6NBoVAgQJ6U1MVXOaj8PK2l7WJ3RER9xtqwdhxkhw/edit?usp=sharing"",""สระแก้ว!M332"")"),47270)</f>
        <v>47270</v>
      </c>
      <c r="G71" s="309">
        <f t="shared" ca="1" si="1"/>
        <v>53.715909090909093</v>
      </c>
      <c r="H71" s="452">
        <f t="shared" ca="1" si="50"/>
        <v>15</v>
      </c>
      <c r="I71" s="308">
        <f t="shared" ca="1" si="51"/>
        <v>15</v>
      </c>
      <c r="J71" s="453">
        <f t="shared" ca="1" si="3"/>
        <v>100</v>
      </c>
      <c r="K71" s="454">
        <f t="shared" ca="1" si="52"/>
        <v>15</v>
      </c>
      <c r="L71" s="308">
        <f t="shared" ca="1" si="53"/>
        <v>15</v>
      </c>
      <c r="M71" s="453">
        <f t="shared" ca="1" si="5"/>
        <v>100</v>
      </c>
      <c r="N71" s="456">
        <f ca="1">IFERROR(__xludf.DUMMYFUNCTION("IMPORTRANGE(""https://docs.google.com/spreadsheets/d/1C3CXT74ZlgGe6_JY_1olB1XN4rF0dxEuIIF-xsYjHgg/edit?usp=sharing"",""งบกองทุน!AY75"")"),15)</f>
        <v>15</v>
      </c>
      <c r="O71" s="308">
        <f ca="1">IFERROR(__xludf.DUMMYFUNCTION("IMPORTRANGE(""https://docs.google.com/spreadsheets/d/1SX6NBoVAgQJ6U1MVXOaj8PK2l7WJ3RER9xtqwdhxkhw/edit?usp=sharing"",""สระแก้ว!J345"")"),15)</f>
        <v>15</v>
      </c>
      <c r="P71" s="456">
        <f ca="1">IFERROR(__xludf.DUMMYFUNCTION("IMPORTRANGE(""https://docs.google.com/spreadsheets/d/1C3CXT74ZlgGe6_JY_1olB1XN4rF0dxEuIIF-xsYjHgg/edit?usp=sharing"",""งบกองทุน!AZ75"")"),0)</f>
        <v>0</v>
      </c>
      <c r="Q71" s="308">
        <f ca="1">IFERROR(__xludf.DUMMYFUNCTION("IMPORTRANGE(""https://docs.google.com/spreadsheets/d/1SX6NBoVAgQJ6U1MVXOaj8PK2l7WJ3RER9xtqwdhxkhw/edit?usp=sharing"",""สระแก้ว!J346"")"),0)</f>
        <v>0</v>
      </c>
      <c r="R71" s="465">
        <f ca="1">IFERROR(__xludf.DUMMYFUNCTION("IMPORTRANGE(""https://docs.google.com/spreadsheets/d/1C3CXT74ZlgGe6_JY_1olB1XN4rF0dxEuIIF-xsYjHgg/edit?usp=sharing"",""งบกองทุน!BA75"")"),0)</f>
        <v>0</v>
      </c>
      <c r="S71" s="308">
        <v>0</v>
      </c>
      <c r="T71" s="453">
        <f t="shared" ca="1" si="7"/>
        <v>0</v>
      </c>
      <c r="U71" s="339"/>
      <c r="V71" s="339"/>
      <c r="W71" s="339"/>
      <c r="X71" s="339"/>
      <c r="Y71" s="339"/>
      <c r="Z71" s="339"/>
    </row>
    <row r="72" spans="1:26" ht="21" customHeight="1">
      <c r="A72" s="303">
        <v>18</v>
      </c>
      <c r="B72" s="304" t="s">
        <v>96</v>
      </c>
      <c r="C72" s="451">
        <f t="shared" ca="1" si="49"/>
        <v>88000</v>
      </c>
      <c r="D72" s="309">
        <f ca="1">IFERROR(__xludf.DUMMYFUNCTION("IMPORTRANGE(""https://docs.google.com/spreadsheets/d/1C3CXT74ZlgGe6_JY_1olB1XN4rF0dxEuIIF-xsYjHgg/edit?usp=sharing"",""งบกองทุน!AU76"")"),0)</f>
        <v>0</v>
      </c>
      <c r="E72" s="309">
        <f ca="1">IFERROR(__xludf.DUMMYFUNCTION("IMPORTRANGE(""https://docs.google.com/spreadsheets/d/1C3CXT74ZlgGe6_JY_1olB1XN4rF0dxEuIIF-xsYjHgg/edit?usp=sharing"",""งบกองทุน!AV76"")"),88000)</f>
        <v>88000</v>
      </c>
      <c r="F72" s="309">
        <f ca="1">IFERROR(__xludf.DUMMYFUNCTION("IMPORTRANGE(""https://docs.google.com/spreadsheets/d/1SX6NBoVAgQJ6U1MVXOaj8PK2l7WJ3RER9xtqwdhxkhw/edit?usp=sharing"",""สระบุรี!M332"")"),49080)</f>
        <v>49080</v>
      </c>
      <c r="G72" s="309">
        <f t="shared" ca="1" si="1"/>
        <v>55.772727272727273</v>
      </c>
      <c r="H72" s="452">
        <f t="shared" ca="1" si="50"/>
        <v>15</v>
      </c>
      <c r="I72" s="308">
        <f t="shared" ca="1" si="51"/>
        <v>15</v>
      </c>
      <c r="J72" s="453">
        <f t="shared" ca="1" si="3"/>
        <v>100</v>
      </c>
      <c r="K72" s="454">
        <f t="shared" ca="1" si="52"/>
        <v>15</v>
      </c>
      <c r="L72" s="308">
        <f t="shared" ca="1" si="53"/>
        <v>15</v>
      </c>
      <c r="M72" s="453">
        <f t="shared" ca="1" si="5"/>
        <v>100</v>
      </c>
      <c r="N72" s="456">
        <f ca="1">IFERROR(__xludf.DUMMYFUNCTION("IMPORTRANGE(""https://docs.google.com/spreadsheets/d/1C3CXT74ZlgGe6_JY_1olB1XN4rF0dxEuIIF-xsYjHgg/edit?usp=sharing"",""งบกองทุน!AY76"")"),15)</f>
        <v>15</v>
      </c>
      <c r="O72" s="308">
        <f ca="1">IFERROR(__xludf.DUMMYFUNCTION("IMPORTRANGE(""https://docs.google.com/spreadsheets/d/1SX6NBoVAgQJ6U1MVXOaj8PK2l7WJ3RER9xtqwdhxkhw/edit?usp=sharing"",""สระบุรี!J345"")"),15)</f>
        <v>15</v>
      </c>
      <c r="P72" s="456">
        <f ca="1">IFERROR(__xludf.DUMMYFUNCTION("IMPORTRANGE(""https://docs.google.com/spreadsheets/d/1C3CXT74ZlgGe6_JY_1olB1XN4rF0dxEuIIF-xsYjHgg/edit?usp=sharing"",""งบกองทุน!AZ76"")"),0)</f>
        <v>0</v>
      </c>
      <c r="Q72" s="308">
        <f ca="1">IFERROR(__xludf.DUMMYFUNCTION("IMPORTRANGE(""https://docs.google.com/spreadsheets/d/1SX6NBoVAgQJ6U1MVXOaj8PK2l7WJ3RER9xtqwdhxkhw/edit?usp=sharing"",""สระบุรี!J346"")"),0)</f>
        <v>0</v>
      </c>
      <c r="R72" s="465">
        <f ca="1">IFERROR(__xludf.DUMMYFUNCTION("IMPORTRANGE(""https://docs.google.com/spreadsheets/d/1C3CXT74ZlgGe6_JY_1olB1XN4rF0dxEuIIF-xsYjHgg/edit?usp=sharing"",""งบกองทุน!BA76"")"),0)</f>
        <v>0</v>
      </c>
      <c r="S72" s="308">
        <v>0</v>
      </c>
      <c r="T72" s="453">
        <f t="shared" ca="1" si="7"/>
        <v>0</v>
      </c>
      <c r="U72" s="339"/>
      <c r="V72" s="339"/>
      <c r="W72" s="339"/>
      <c r="X72" s="339"/>
      <c r="Y72" s="339"/>
      <c r="Z72" s="339"/>
    </row>
    <row r="73" spans="1:26" ht="21" customHeight="1">
      <c r="A73" s="303">
        <v>19</v>
      </c>
      <c r="B73" s="304" t="s">
        <v>97</v>
      </c>
      <c r="C73" s="451">
        <f t="shared" ca="1" si="49"/>
        <v>76000</v>
      </c>
      <c r="D73" s="309">
        <f ca="1">IFERROR(__xludf.DUMMYFUNCTION("IMPORTRANGE(""https://docs.google.com/spreadsheets/d/1C3CXT74ZlgGe6_JY_1olB1XN4rF0dxEuIIF-xsYjHgg/edit?usp=sharing"",""งบกองทุน!AU77"")"),0)</f>
        <v>0</v>
      </c>
      <c r="E73" s="309">
        <f ca="1">IFERROR(__xludf.DUMMYFUNCTION("IMPORTRANGE(""https://docs.google.com/spreadsheets/d/1C3CXT74ZlgGe6_JY_1olB1XN4rF0dxEuIIF-xsYjHgg/edit?usp=sharing"",""งบกองทุน!AV77"")"),76000)</f>
        <v>76000</v>
      </c>
      <c r="F73" s="309">
        <f ca="1">IFERROR(__xludf.DUMMYFUNCTION("IMPORTRANGE(""https://docs.google.com/spreadsheets/d/1SX6NBoVAgQJ6U1MVXOaj8PK2l7WJ3RER9xtqwdhxkhw/edit?usp=sharing"",""สิงห์บุรี!M332"")"),12539)</f>
        <v>12539</v>
      </c>
      <c r="G73" s="309">
        <f t="shared" ca="1" si="1"/>
        <v>16.498684210526317</v>
      </c>
      <c r="H73" s="452">
        <f t="shared" ca="1" si="50"/>
        <v>10</v>
      </c>
      <c r="I73" s="308">
        <f t="shared" ca="1" si="51"/>
        <v>10</v>
      </c>
      <c r="J73" s="453">
        <f t="shared" ca="1" si="3"/>
        <v>100</v>
      </c>
      <c r="K73" s="454">
        <f t="shared" ca="1" si="52"/>
        <v>10</v>
      </c>
      <c r="L73" s="308">
        <f t="shared" ca="1" si="53"/>
        <v>10</v>
      </c>
      <c r="M73" s="453">
        <f t="shared" ca="1" si="5"/>
        <v>100</v>
      </c>
      <c r="N73" s="456">
        <f ca="1">IFERROR(__xludf.DUMMYFUNCTION("IMPORTRANGE(""https://docs.google.com/spreadsheets/d/1C3CXT74ZlgGe6_JY_1olB1XN4rF0dxEuIIF-xsYjHgg/edit?usp=sharing"",""งบกองทุน!AY77"")"),10)</f>
        <v>10</v>
      </c>
      <c r="O73" s="308">
        <f ca="1">IFERROR(__xludf.DUMMYFUNCTION("IMPORTRANGE(""https://docs.google.com/spreadsheets/d/1SX6NBoVAgQJ6U1MVXOaj8PK2l7WJ3RER9xtqwdhxkhw/edit?usp=sharing"",""สิงห์บุรี!J345"")"),10)</f>
        <v>10</v>
      </c>
      <c r="P73" s="456">
        <f ca="1">IFERROR(__xludf.DUMMYFUNCTION("IMPORTRANGE(""https://docs.google.com/spreadsheets/d/1C3CXT74ZlgGe6_JY_1olB1XN4rF0dxEuIIF-xsYjHgg/edit?usp=sharing"",""งบกองทุน!AZ77"")"),0)</f>
        <v>0</v>
      </c>
      <c r="Q73" s="308">
        <f ca="1">IFERROR(__xludf.DUMMYFUNCTION("IMPORTRANGE(""https://docs.google.com/spreadsheets/d/1SX6NBoVAgQJ6U1MVXOaj8PK2l7WJ3RER9xtqwdhxkhw/edit?usp=sharing"",""สิงห์บุรี!J346"")"),0)</f>
        <v>0</v>
      </c>
      <c r="R73" s="465">
        <f ca="1">IFERROR(__xludf.DUMMYFUNCTION("IMPORTRANGE(""https://docs.google.com/spreadsheets/d/1C3CXT74ZlgGe6_JY_1olB1XN4rF0dxEuIIF-xsYjHgg/edit?usp=sharing"",""งบกองทุน!BA77"")"),0)</f>
        <v>0</v>
      </c>
      <c r="S73" s="308">
        <v>0</v>
      </c>
      <c r="T73" s="453">
        <f t="shared" ca="1" si="7"/>
        <v>0</v>
      </c>
      <c r="U73" s="339"/>
      <c r="V73" s="339"/>
      <c r="W73" s="339"/>
      <c r="X73" s="339"/>
      <c r="Y73" s="339"/>
      <c r="Z73" s="339"/>
    </row>
    <row r="74" spans="1:26" ht="21" customHeight="1">
      <c r="A74" s="303">
        <v>20</v>
      </c>
      <c r="B74" s="304" t="s">
        <v>98</v>
      </c>
      <c r="C74" s="451">
        <f t="shared" ca="1" si="49"/>
        <v>166500</v>
      </c>
      <c r="D74" s="309">
        <f ca="1">IFERROR(__xludf.DUMMYFUNCTION("IMPORTRANGE(""https://docs.google.com/spreadsheets/d/1C3CXT74ZlgGe6_JY_1olB1XN4rF0dxEuIIF-xsYjHgg/edit?usp=sharing"",""งบกองทุน!AU78"")"),0)</f>
        <v>0</v>
      </c>
      <c r="E74" s="309">
        <f ca="1">IFERROR(__xludf.DUMMYFUNCTION("IMPORTRANGE(""https://docs.google.com/spreadsheets/d/1C3CXT74ZlgGe6_JY_1olB1XN4rF0dxEuIIF-xsYjHgg/edit?usp=sharing"",""งบกองทุน!AV78"")"),166500)</f>
        <v>166500</v>
      </c>
      <c r="F74" s="309">
        <f ca="1">IFERROR(__xludf.DUMMYFUNCTION("IMPORTRANGE(""https://docs.google.com/spreadsheets/d/1SX6NBoVAgQJ6U1MVXOaj8PK2l7WJ3RER9xtqwdhxkhw/edit?usp=sharing"",""สุพรรณบุรี!M332"")"),159500)</f>
        <v>159500</v>
      </c>
      <c r="G74" s="309">
        <f t="shared" ca="1" si="1"/>
        <v>95.795795795795797</v>
      </c>
      <c r="H74" s="452">
        <f t="shared" ca="1" si="50"/>
        <v>45</v>
      </c>
      <c r="I74" s="308">
        <f t="shared" ca="1" si="51"/>
        <v>45</v>
      </c>
      <c r="J74" s="453">
        <f t="shared" ca="1" si="3"/>
        <v>100</v>
      </c>
      <c r="K74" s="454">
        <f t="shared" ca="1" si="52"/>
        <v>45</v>
      </c>
      <c r="L74" s="308">
        <f t="shared" ca="1" si="53"/>
        <v>45</v>
      </c>
      <c r="M74" s="453">
        <f t="shared" ca="1" si="5"/>
        <v>100</v>
      </c>
      <c r="N74" s="456">
        <f ca="1">IFERROR(__xludf.DUMMYFUNCTION("IMPORTRANGE(""https://docs.google.com/spreadsheets/d/1C3CXT74ZlgGe6_JY_1olB1XN4rF0dxEuIIF-xsYjHgg/edit?usp=sharing"",""งบกองทุน!AY78"")"),15)</f>
        <v>15</v>
      </c>
      <c r="O74" s="308">
        <f ca="1">IFERROR(__xludf.DUMMYFUNCTION("IMPORTRANGE(""https://docs.google.com/spreadsheets/d/1SX6NBoVAgQJ6U1MVXOaj8PK2l7WJ3RER9xtqwdhxkhw/edit?usp=sharing"",""สุพรรณบุรี!J345"")"),15)</f>
        <v>15</v>
      </c>
      <c r="P74" s="456">
        <f ca="1">IFERROR(__xludf.DUMMYFUNCTION("IMPORTRANGE(""https://docs.google.com/spreadsheets/d/1C3CXT74ZlgGe6_JY_1olB1XN4rF0dxEuIIF-xsYjHgg/edit?usp=sharing"",""งบกองทุน!AZ78"")"),30)</f>
        <v>30</v>
      </c>
      <c r="Q74" s="308">
        <f ca="1">IFERROR(__xludf.DUMMYFUNCTION("IMPORTRANGE(""https://docs.google.com/spreadsheets/d/1SX6NBoVAgQJ6U1MVXOaj8PK2l7WJ3RER9xtqwdhxkhw/edit?usp=sharing"",""สุพรรณบุรี!J346"")"),30)</f>
        <v>30</v>
      </c>
      <c r="R74" s="465">
        <f ca="1">IFERROR(__xludf.DUMMYFUNCTION("IMPORTRANGE(""https://docs.google.com/spreadsheets/d/1C3CXT74ZlgGe6_JY_1olB1XN4rF0dxEuIIF-xsYjHgg/edit?usp=sharing"",""งบกองทุน!BA78"")"),0)</f>
        <v>0</v>
      </c>
      <c r="S74" s="308">
        <v>0</v>
      </c>
      <c r="T74" s="453">
        <f t="shared" ca="1" si="7"/>
        <v>0</v>
      </c>
      <c r="U74" s="339"/>
      <c r="V74" s="339"/>
      <c r="W74" s="339"/>
      <c r="X74" s="339"/>
      <c r="Y74" s="339"/>
      <c r="Z74" s="339"/>
    </row>
    <row r="75" spans="1:26" ht="21" customHeight="1">
      <c r="A75" s="310">
        <v>21</v>
      </c>
      <c r="B75" s="311" t="s">
        <v>99</v>
      </c>
      <c r="C75" s="458">
        <f t="shared" ca="1" si="49"/>
        <v>76000</v>
      </c>
      <c r="D75" s="316">
        <f ca="1">IFERROR(__xludf.DUMMYFUNCTION("IMPORTRANGE(""https://docs.google.com/spreadsheets/d/1C3CXT74ZlgGe6_JY_1olB1XN4rF0dxEuIIF-xsYjHgg/edit?usp=sharing"",""งบกองทุน!AU79"")"),0)</f>
        <v>0</v>
      </c>
      <c r="E75" s="316">
        <f ca="1">IFERROR(__xludf.DUMMYFUNCTION("IMPORTRANGE(""https://docs.google.com/spreadsheets/d/1C3CXT74ZlgGe6_JY_1olB1XN4rF0dxEuIIF-xsYjHgg/edit?usp=sharing"",""งบกองทุน!AV79"")"),76000)</f>
        <v>76000</v>
      </c>
      <c r="F75" s="316">
        <f ca="1">IFERROR(__xludf.DUMMYFUNCTION("IMPORTRANGE(""https://docs.google.com/spreadsheets/d/1SX6NBoVAgQJ6U1MVXOaj8PK2l7WJ3RER9xtqwdhxkhw/edit?usp=sharing"",""อ่างทอง!M332"")"),10390)</f>
        <v>10390</v>
      </c>
      <c r="G75" s="316">
        <f t="shared" ca="1" si="1"/>
        <v>13.671052631578947</v>
      </c>
      <c r="H75" s="459">
        <f t="shared" ca="1" si="50"/>
        <v>10</v>
      </c>
      <c r="I75" s="315">
        <f t="shared" ca="1" si="51"/>
        <v>0</v>
      </c>
      <c r="J75" s="460">
        <f t="shared" ca="1" si="3"/>
        <v>0</v>
      </c>
      <c r="K75" s="461">
        <f t="shared" ca="1" si="52"/>
        <v>10</v>
      </c>
      <c r="L75" s="315">
        <f t="shared" ca="1" si="53"/>
        <v>0</v>
      </c>
      <c r="M75" s="460">
        <f t="shared" ca="1" si="5"/>
        <v>0</v>
      </c>
      <c r="N75" s="466">
        <f ca="1">IFERROR(__xludf.DUMMYFUNCTION("IMPORTRANGE(""https://docs.google.com/spreadsheets/d/1C3CXT74ZlgGe6_JY_1olB1XN4rF0dxEuIIF-xsYjHgg/edit?usp=sharing"",""งบกองทุน!AY79"")"),10)</f>
        <v>10</v>
      </c>
      <c r="O75" s="315">
        <f ca="1">IFERROR(__xludf.DUMMYFUNCTION("IMPORTRANGE(""https://docs.google.com/spreadsheets/d/1SX6NBoVAgQJ6U1MVXOaj8PK2l7WJ3RER9xtqwdhxkhw/edit?usp=sharing"",""อ่างทอง!J345"")"),0)</f>
        <v>0</v>
      </c>
      <c r="P75" s="466">
        <f ca="1">IFERROR(__xludf.DUMMYFUNCTION("IMPORTRANGE(""https://docs.google.com/spreadsheets/d/1C3CXT74ZlgGe6_JY_1olB1XN4rF0dxEuIIF-xsYjHgg/edit?usp=sharing"",""งบกองทุน!AZ79"")"),0)</f>
        <v>0</v>
      </c>
      <c r="Q75" s="315">
        <f ca="1">IFERROR(__xludf.DUMMYFUNCTION("IMPORTRANGE(""https://docs.google.com/spreadsheets/d/1SX6NBoVAgQJ6U1MVXOaj8PK2l7WJ3RER9xtqwdhxkhw/edit?usp=sharing"",""อ่างทอง!J346"")"),0)</f>
        <v>0</v>
      </c>
      <c r="R75" s="467">
        <f ca="1">IFERROR(__xludf.DUMMYFUNCTION("IMPORTRANGE(""https://docs.google.com/spreadsheets/d/1C3CXT74ZlgGe6_JY_1olB1XN4rF0dxEuIIF-xsYjHgg/edit?usp=sharing"",""งบกองทุน!BA79"")"),0)</f>
        <v>0</v>
      </c>
      <c r="S75" s="315">
        <v>0</v>
      </c>
      <c r="T75" s="460">
        <f t="shared" ca="1" si="7"/>
        <v>0</v>
      </c>
      <c r="U75" s="339"/>
      <c r="V75" s="339"/>
      <c r="W75" s="339"/>
      <c r="X75" s="339"/>
      <c r="Y75" s="339"/>
      <c r="Z75" s="339"/>
    </row>
    <row r="76" spans="1:26" ht="21" customHeight="1">
      <c r="A76" s="802" t="s">
        <v>100</v>
      </c>
      <c r="B76" s="652"/>
      <c r="C76" s="442">
        <f t="shared" ref="C76:F76" ca="1" si="54">SUM(C77:C90)</f>
        <v>2299500</v>
      </c>
      <c r="D76" s="319">
        <f t="shared" ca="1" si="54"/>
        <v>0</v>
      </c>
      <c r="E76" s="319">
        <f t="shared" ca="1" si="54"/>
        <v>2299500</v>
      </c>
      <c r="F76" s="319">
        <f t="shared" ca="1" si="54"/>
        <v>846428.41999999993</v>
      </c>
      <c r="G76" s="319">
        <f t="shared" ca="1" si="1"/>
        <v>36.809237660360949</v>
      </c>
      <c r="H76" s="399">
        <f t="shared" ref="H76:I76" ca="1" si="55">SUM(H77:H90)</f>
        <v>235</v>
      </c>
      <c r="I76" s="318">
        <f t="shared" ca="1" si="55"/>
        <v>235</v>
      </c>
      <c r="J76" s="319">
        <f t="shared" ca="1" si="3"/>
        <v>100</v>
      </c>
      <c r="K76" s="399">
        <f t="shared" ref="K76:L76" ca="1" si="56">SUM(K77:K90)</f>
        <v>235</v>
      </c>
      <c r="L76" s="318">
        <f t="shared" ca="1" si="56"/>
        <v>235</v>
      </c>
      <c r="M76" s="319">
        <f t="shared" ca="1" si="5"/>
        <v>100</v>
      </c>
      <c r="N76" s="399">
        <f t="shared" ref="N76:S76" ca="1" si="57">SUM(N77:N90)</f>
        <v>195</v>
      </c>
      <c r="O76" s="318">
        <f t="shared" ca="1" si="57"/>
        <v>195</v>
      </c>
      <c r="P76" s="399">
        <f t="shared" ca="1" si="57"/>
        <v>40</v>
      </c>
      <c r="Q76" s="318">
        <f t="shared" ca="1" si="57"/>
        <v>40</v>
      </c>
      <c r="R76" s="399">
        <f t="shared" ca="1" si="57"/>
        <v>0</v>
      </c>
      <c r="S76" s="318">
        <f t="shared" si="57"/>
        <v>0</v>
      </c>
      <c r="T76" s="319">
        <f t="shared" ca="1" si="7"/>
        <v>0</v>
      </c>
      <c r="U76" s="339"/>
      <c r="V76" s="339"/>
      <c r="W76" s="339"/>
      <c r="X76" s="339"/>
      <c r="Y76" s="339"/>
      <c r="Z76" s="339"/>
    </row>
    <row r="77" spans="1:26" ht="21" customHeight="1">
      <c r="A77" s="293">
        <v>1</v>
      </c>
      <c r="B77" s="357" t="s">
        <v>101</v>
      </c>
      <c r="C77" s="446">
        <f t="shared" ref="C77:C90" ca="1" si="58">+D77+E77</f>
        <v>76000</v>
      </c>
      <c r="D77" s="301">
        <f ca="1">IFERROR(__xludf.DUMMYFUNCTION("IMPORTRANGE(""https://docs.google.com/spreadsheets/d/1C3CXT74ZlgGe6_JY_1olB1XN4rF0dxEuIIF-xsYjHgg/edit?usp=sharing"",""งบกองทุน!AU81"")"),0)</f>
        <v>0</v>
      </c>
      <c r="E77" s="301">
        <f ca="1">IFERROR(__xludf.DUMMYFUNCTION("IMPORTRANGE(""https://docs.google.com/spreadsheets/d/1C3CXT74ZlgGe6_JY_1olB1XN4rF0dxEuIIF-xsYjHgg/edit?usp=sharing"",""งบกองทุน!AV81"")"),76000)</f>
        <v>76000</v>
      </c>
      <c r="F77" s="301">
        <f ca="1">IFERROR(__xludf.DUMMYFUNCTION("IMPORTRANGE(""https://docs.google.com/spreadsheets/d/1IYY_tgx_IHuhSq3AJ5eI5OnqOPBNLWSHKh2a30DoXe8/edit?usp=sharing"",""กระบี่!M332"")"),45304)</f>
        <v>45304</v>
      </c>
      <c r="G77" s="301">
        <f t="shared" ca="1" si="1"/>
        <v>59.610526315789471</v>
      </c>
      <c r="H77" s="447">
        <f t="shared" ref="H77:H90" ca="1" si="59">+N77+P77+R77</f>
        <v>10</v>
      </c>
      <c r="I77" s="299">
        <f t="shared" ref="I77:I90" ca="1" si="60">SUM(L77,S77)</f>
        <v>10</v>
      </c>
      <c r="J77" s="448">
        <f t="shared" ca="1" si="3"/>
        <v>100</v>
      </c>
      <c r="K77" s="449">
        <f t="shared" ref="K77:K90" ca="1" si="61">+N77+P77</f>
        <v>10</v>
      </c>
      <c r="L77" s="299">
        <f t="shared" ref="L77:L90" ca="1" si="62">O77+Q77</f>
        <v>10</v>
      </c>
      <c r="M77" s="448">
        <f t="shared" ca="1" si="5"/>
        <v>100</v>
      </c>
      <c r="N77" s="463">
        <f ca="1">IFERROR(__xludf.DUMMYFUNCTION("IMPORTRANGE(""https://docs.google.com/spreadsheets/d/1C3CXT74ZlgGe6_JY_1olB1XN4rF0dxEuIIF-xsYjHgg/edit?usp=sharing"",""งบกองทุน!AY81"")"),10)</f>
        <v>10</v>
      </c>
      <c r="O77" s="299">
        <f ca="1">IFERROR(__xludf.DUMMYFUNCTION("IMPORTRANGE(""https://docs.google.com/spreadsheets/d/1IYY_tgx_IHuhSq3AJ5eI5OnqOPBNLWSHKh2a30DoXe8/edit?usp=sharing"",""กระบี่!J345"")"),10)</f>
        <v>10</v>
      </c>
      <c r="P77" s="463">
        <f ca="1">IFERROR(__xludf.DUMMYFUNCTION("IMPORTRANGE(""https://docs.google.com/spreadsheets/d/1C3CXT74ZlgGe6_JY_1olB1XN4rF0dxEuIIF-xsYjHgg/edit?usp=sharing"",""งบกองทุน!AZ81"")"),0)</f>
        <v>0</v>
      </c>
      <c r="Q77" s="299">
        <f ca="1">IFERROR(__xludf.DUMMYFUNCTION("IMPORTRANGE(""https://docs.google.com/spreadsheets/d/1IYY_tgx_IHuhSq3AJ5eI5OnqOPBNLWSHKh2a30DoXe8/edit?usp=sharing"",""กระบี่!J346"")"),0)</f>
        <v>0</v>
      </c>
      <c r="R77" s="447">
        <f ca="1">IFERROR(__xludf.DUMMYFUNCTION("IMPORTRANGE(""https://docs.google.com/spreadsheets/d/1C3CXT74ZlgGe6_JY_1olB1XN4rF0dxEuIIF-xsYjHgg/edit?usp=sharing"",""งบกองทุน!BA81"")"),0)</f>
        <v>0</v>
      </c>
      <c r="S77" s="299">
        <v>0</v>
      </c>
      <c r="T77" s="448">
        <f t="shared" ca="1" si="7"/>
        <v>0</v>
      </c>
      <c r="U77" s="339"/>
      <c r="V77" s="339"/>
      <c r="W77" s="339"/>
      <c r="X77" s="339"/>
      <c r="Y77" s="339"/>
      <c r="Z77" s="339"/>
    </row>
    <row r="78" spans="1:26" ht="21" customHeight="1">
      <c r="A78" s="303">
        <v>2</v>
      </c>
      <c r="B78" s="304" t="s">
        <v>102</v>
      </c>
      <c r="C78" s="451">
        <f t="shared" ca="1" si="58"/>
        <v>197600</v>
      </c>
      <c r="D78" s="309">
        <f ca="1">IFERROR(__xludf.DUMMYFUNCTION("IMPORTRANGE(""https://docs.google.com/spreadsheets/d/1C3CXT74ZlgGe6_JY_1olB1XN4rF0dxEuIIF-xsYjHgg/edit?usp=sharing"",""งบกองทุน!AU82"")"),0)</f>
        <v>0</v>
      </c>
      <c r="E78" s="309">
        <f ca="1">IFERROR(__xludf.DUMMYFUNCTION("IMPORTRANGE(""https://docs.google.com/spreadsheets/d/1C3CXT74ZlgGe6_JY_1olB1XN4rF0dxEuIIF-xsYjHgg/edit?usp=sharing"",""งบกองทุน!AV82"")"),197600)</f>
        <v>197600</v>
      </c>
      <c r="F78" s="309">
        <f ca="1">IFERROR(__xludf.DUMMYFUNCTION("IMPORTRANGE(""https://docs.google.com/spreadsheets/d/1IYY_tgx_IHuhSq3AJ5eI5OnqOPBNLWSHKh2a30DoXe8/edit?usp=sharing"",""ชุมพร!M332"")"),140884.63)</f>
        <v>140884.63</v>
      </c>
      <c r="G78" s="309">
        <f t="shared" ca="1" si="1"/>
        <v>71.297889676113357</v>
      </c>
      <c r="H78" s="452">
        <f t="shared" ca="1" si="59"/>
        <v>60</v>
      </c>
      <c r="I78" s="308">
        <f t="shared" ca="1" si="60"/>
        <v>60</v>
      </c>
      <c r="J78" s="453">
        <f t="shared" ca="1" si="3"/>
        <v>100</v>
      </c>
      <c r="K78" s="454">
        <f t="shared" ca="1" si="61"/>
        <v>60</v>
      </c>
      <c r="L78" s="308">
        <f t="shared" ca="1" si="62"/>
        <v>60</v>
      </c>
      <c r="M78" s="453">
        <f t="shared" ca="1" si="5"/>
        <v>100</v>
      </c>
      <c r="N78" s="457">
        <f ca="1">IFERROR(__xludf.DUMMYFUNCTION("IMPORTRANGE(""https://docs.google.com/spreadsheets/d/1C3CXT74ZlgGe6_JY_1olB1XN4rF0dxEuIIF-xsYjHgg/edit?usp=sharing"",""งบกองทุน!AY82"")"),20)</f>
        <v>20</v>
      </c>
      <c r="O78" s="308">
        <f ca="1">IFERROR(__xludf.DUMMYFUNCTION("IMPORTRANGE(""https://docs.google.com/spreadsheets/d/1IYY_tgx_IHuhSq3AJ5eI5OnqOPBNLWSHKh2a30DoXe8/edit?usp=sharing"",""ชุมพร!J345"")"),20)</f>
        <v>20</v>
      </c>
      <c r="P78" s="457">
        <f ca="1">IFERROR(__xludf.DUMMYFUNCTION("IMPORTRANGE(""https://docs.google.com/spreadsheets/d/1C3CXT74ZlgGe6_JY_1olB1XN4rF0dxEuIIF-xsYjHgg/edit?usp=sharing"",""งบกองทุน!AZ82"")"),40)</f>
        <v>40</v>
      </c>
      <c r="Q78" s="308">
        <f ca="1">IFERROR(__xludf.DUMMYFUNCTION("IMPORTRANGE(""https://docs.google.com/spreadsheets/d/1IYY_tgx_IHuhSq3AJ5eI5OnqOPBNLWSHKh2a30DoXe8/edit?usp=sharing"",""ชุมพร!J346"")"),40)</f>
        <v>40</v>
      </c>
      <c r="R78" s="452">
        <f ca="1">IFERROR(__xludf.DUMMYFUNCTION("IMPORTRANGE(""https://docs.google.com/spreadsheets/d/1C3CXT74ZlgGe6_JY_1olB1XN4rF0dxEuIIF-xsYjHgg/edit?usp=sharing"",""งบกองทุน!BA82"")"),0)</f>
        <v>0</v>
      </c>
      <c r="S78" s="308">
        <v>0</v>
      </c>
      <c r="T78" s="453">
        <f t="shared" ca="1" si="7"/>
        <v>0</v>
      </c>
      <c r="U78" s="339"/>
      <c r="V78" s="339"/>
      <c r="W78" s="339"/>
      <c r="X78" s="339"/>
      <c r="Y78" s="339"/>
      <c r="Z78" s="339"/>
    </row>
    <row r="79" spans="1:26" ht="21" customHeight="1">
      <c r="A79" s="303">
        <v>3</v>
      </c>
      <c r="B79" s="304" t="s">
        <v>103</v>
      </c>
      <c r="C79" s="451">
        <f t="shared" ca="1" si="58"/>
        <v>88000</v>
      </c>
      <c r="D79" s="309">
        <f ca="1">IFERROR(__xludf.DUMMYFUNCTION("IMPORTRANGE(""https://docs.google.com/spreadsheets/d/1C3CXT74ZlgGe6_JY_1olB1XN4rF0dxEuIIF-xsYjHgg/edit?usp=sharing"",""งบกองทุน!AU83"")"),0)</f>
        <v>0</v>
      </c>
      <c r="E79" s="309">
        <f ca="1">IFERROR(__xludf.DUMMYFUNCTION("IMPORTRANGE(""https://docs.google.com/spreadsheets/d/1C3CXT74ZlgGe6_JY_1olB1XN4rF0dxEuIIF-xsYjHgg/edit?usp=sharing"",""งบกองทุน!AV83"")"),88000)</f>
        <v>88000</v>
      </c>
      <c r="F79" s="309">
        <f ca="1">IFERROR(__xludf.DUMMYFUNCTION("IMPORTRANGE(""https://docs.google.com/spreadsheets/d/1IYY_tgx_IHuhSq3AJ5eI5OnqOPBNLWSHKh2a30DoXe8/edit?usp=sharing"",""ตรัง!M332"")"),40999.0499999999)</f>
        <v>40999.049999999901</v>
      </c>
      <c r="G79" s="309">
        <f t="shared" ca="1" si="1"/>
        <v>46.589829545454435</v>
      </c>
      <c r="H79" s="452">
        <f t="shared" ca="1" si="59"/>
        <v>15</v>
      </c>
      <c r="I79" s="308">
        <f t="shared" ca="1" si="60"/>
        <v>15</v>
      </c>
      <c r="J79" s="453">
        <f t="shared" ca="1" si="3"/>
        <v>100</v>
      </c>
      <c r="K79" s="454">
        <f t="shared" ca="1" si="61"/>
        <v>15</v>
      </c>
      <c r="L79" s="308">
        <f t="shared" ca="1" si="62"/>
        <v>15</v>
      </c>
      <c r="M79" s="453">
        <f t="shared" ca="1" si="5"/>
        <v>100</v>
      </c>
      <c r="N79" s="456">
        <f ca="1">IFERROR(__xludf.DUMMYFUNCTION("IMPORTRANGE(""https://docs.google.com/spreadsheets/d/1C3CXT74ZlgGe6_JY_1olB1XN4rF0dxEuIIF-xsYjHgg/edit?usp=sharing"",""งบกองทุน!AY83"")"),15)</f>
        <v>15</v>
      </c>
      <c r="O79" s="308">
        <f ca="1">IFERROR(__xludf.DUMMYFUNCTION("IMPORTRANGE(""https://docs.google.com/spreadsheets/d/1IYY_tgx_IHuhSq3AJ5eI5OnqOPBNLWSHKh2a30DoXe8/edit?usp=sharing"",""ตรัง!J345"")"),15)</f>
        <v>15</v>
      </c>
      <c r="P79" s="456">
        <f ca="1">IFERROR(__xludf.DUMMYFUNCTION("IMPORTRANGE(""https://docs.google.com/spreadsheets/d/1C3CXT74ZlgGe6_JY_1olB1XN4rF0dxEuIIF-xsYjHgg/edit?usp=sharing"",""งบกองทุน!AZ83"")"),0)</f>
        <v>0</v>
      </c>
      <c r="Q79" s="308">
        <f ca="1">IFERROR(__xludf.DUMMYFUNCTION("IMPORTRANGE(""https://docs.google.com/spreadsheets/d/1IYY_tgx_IHuhSq3AJ5eI5OnqOPBNLWSHKh2a30DoXe8/edit?usp=sharing"",""ตรัง!J346"")"),0)</f>
        <v>0</v>
      </c>
      <c r="R79" s="452">
        <f ca="1">IFERROR(__xludf.DUMMYFUNCTION("IMPORTRANGE(""https://docs.google.com/spreadsheets/d/1C3CXT74ZlgGe6_JY_1olB1XN4rF0dxEuIIF-xsYjHgg/edit?usp=sharing"",""งบกองทุน!BA83"")"),0)</f>
        <v>0</v>
      </c>
      <c r="S79" s="308">
        <v>0</v>
      </c>
      <c r="T79" s="453">
        <f t="shared" ca="1" si="7"/>
        <v>0</v>
      </c>
      <c r="U79" s="339"/>
      <c r="V79" s="339"/>
      <c r="W79" s="339"/>
      <c r="X79" s="339"/>
      <c r="Y79" s="339"/>
      <c r="Z79" s="339"/>
    </row>
    <row r="80" spans="1:26" ht="21" customHeight="1">
      <c r="A80" s="303">
        <v>4</v>
      </c>
      <c r="B80" s="304" t="s">
        <v>104</v>
      </c>
      <c r="C80" s="451">
        <f t="shared" ca="1" si="58"/>
        <v>88000</v>
      </c>
      <c r="D80" s="309">
        <f ca="1">IFERROR(__xludf.DUMMYFUNCTION("IMPORTRANGE(""https://docs.google.com/spreadsheets/d/1C3CXT74ZlgGe6_JY_1olB1XN4rF0dxEuIIF-xsYjHgg/edit?usp=sharing"",""งบกองทุน!AU84"")"),0)</f>
        <v>0</v>
      </c>
      <c r="E80" s="309">
        <f ca="1">IFERROR(__xludf.DUMMYFUNCTION("IMPORTRANGE(""https://docs.google.com/spreadsheets/d/1C3CXT74ZlgGe6_JY_1olB1XN4rF0dxEuIIF-xsYjHgg/edit?usp=sharing"",""งบกองทุน!AV84"")"),88000)</f>
        <v>88000</v>
      </c>
      <c r="F80" s="309">
        <f ca="1">IFERROR(__xludf.DUMMYFUNCTION("IMPORTRANGE(""https://docs.google.com/spreadsheets/d/1IYY_tgx_IHuhSq3AJ5eI5OnqOPBNLWSHKh2a30DoXe8/edit?usp=sharing"",""นครศรีธรรมราช!M332"")"),17653)</f>
        <v>17653</v>
      </c>
      <c r="G80" s="309">
        <f t="shared" ca="1" si="1"/>
        <v>20.060227272727271</v>
      </c>
      <c r="H80" s="452">
        <f t="shared" ca="1" si="59"/>
        <v>15</v>
      </c>
      <c r="I80" s="308">
        <f t="shared" ca="1" si="60"/>
        <v>15</v>
      </c>
      <c r="J80" s="453">
        <f t="shared" ca="1" si="3"/>
        <v>100</v>
      </c>
      <c r="K80" s="454">
        <f t="shared" ca="1" si="61"/>
        <v>15</v>
      </c>
      <c r="L80" s="308">
        <f t="shared" ca="1" si="62"/>
        <v>15</v>
      </c>
      <c r="M80" s="453">
        <f t="shared" ca="1" si="5"/>
        <v>100</v>
      </c>
      <c r="N80" s="456">
        <f ca="1">IFERROR(__xludf.DUMMYFUNCTION("IMPORTRANGE(""https://docs.google.com/spreadsheets/d/1C3CXT74ZlgGe6_JY_1olB1XN4rF0dxEuIIF-xsYjHgg/edit?usp=sharing"",""งบกองทุน!AY84"")"),15)</f>
        <v>15</v>
      </c>
      <c r="O80" s="308">
        <f ca="1">IFERROR(__xludf.DUMMYFUNCTION("IMPORTRANGE(""https://docs.google.com/spreadsheets/d/1IYY_tgx_IHuhSq3AJ5eI5OnqOPBNLWSHKh2a30DoXe8/edit?usp=sharing"",""นครศรีธรรมราช!J345"")"),15)</f>
        <v>15</v>
      </c>
      <c r="P80" s="456">
        <f ca="1">IFERROR(__xludf.DUMMYFUNCTION("IMPORTRANGE(""https://docs.google.com/spreadsheets/d/1C3CXT74ZlgGe6_JY_1olB1XN4rF0dxEuIIF-xsYjHgg/edit?usp=sharing"",""งบกองทุน!AZ84"")"),0)</f>
        <v>0</v>
      </c>
      <c r="Q80" s="308">
        <f ca="1">IFERROR(__xludf.DUMMYFUNCTION("IMPORTRANGE(""https://docs.google.com/spreadsheets/d/1IYY_tgx_IHuhSq3AJ5eI5OnqOPBNLWSHKh2a30DoXe8/edit?usp=sharing"",""นครศรีธรรมราช!J346"")"),0)</f>
        <v>0</v>
      </c>
      <c r="R80" s="452">
        <f ca="1">IFERROR(__xludf.DUMMYFUNCTION("IMPORTRANGE(""https://docs.google.com/spreadsheets/d/1C3CXT74ZlgGe6_JY_1olB1XN4rF0dxEuIIF-xsYjHgg/edit?usp=sharing"",""งบกองทุน!BA84"")"),0)</f>
        <v>0</v>
      </c>
      <c r="S80" s="308">
        <v>0</v>
      </c>
      <c r="T80" s="453">
        <f t="shared" ca="1" si="7"/>
        <v>0</v>
      </c>
      <c r="U80" s="339"/>
      <c r="V80" s="339"/>
      <c r="W80" s="339"/>
      <c r="X80" s="339"/>
      <c r="Y80" s="339"/>
      <c r="Z80" s="339"/>
    </row>
    <row r="81" spans="1:26" ht="21" customHeight="1">
      <c r="A81" s="303">
        <v>5</v>
      </c>
      <c r="B81" s="304" t="s">
        <v>105</v>
      </c>
      <c r="C81" s="451">
        <f t="shared" ca="1" si="58"/>
        <v>980000</v>
      </c>
      <c r="D81" s="309">
        <f ca="1">IFERROR(__xludf.DUMMYFUNCTION("IMPORTRANGE(""https://docs.google.com/spreadsheets/d/1C3CXT74ZlgGe6_JY_1olB1XN4rF0dxEuIIF-xsYjHgg/edit?usp=sharing"",""งบกองทุน!AU85"")"),0)</f>
        <v>0</v>
      </c>
      <c r="E81" s="309">
        <f ca="1">IFERROR(__xludf.DUMMYFUNCTION("IMPORTRANGE(""https://docs.google.com/spreadsheets/d/1C3CXT74ZlgGe6_JY_1olB1XN4rF0dxEuIIF-xsYjHgg/edit?usp=sharing"",""งบกองทุน!AV85"")"),980000)</f>
        <v>980000</v>
      </c>
      <c r="F81" s="309">
        <f ca="1">IFERROR(__xludf.DUMMYFUNCTION("IMPORTRANGE(""https://docs.google.com/spreadsheets/d/1IYY_tgx_IHuhSq3AJ5eI5OnqOPBNLWSHKh2a30DoXe8/edit?usp=sharing"",""นราธิวาส!M332"")"),59357.74)</f>
        <v>59357.74</v>
      </c>
      <c r="G81" s="309">
        <f t="shared" ca="1" si="1"/>
        <v>6.0569122448979593</v>
      </c>
      <c r="H81" s="452">
        <f t="shared" ca="1" si="59"/>
        <v>10</v>
      </c>
      <c r="I81" s="308">
        <f t="shared" ca="1" si="60"/>
        <v>10</v>
      </c>
      <c r="J81" s="453">
        <f t="shared" ca="1" si="3"/>
        <v>100</v>
      </c>
      <c r="K81" s="454">
        <f t="shared" ca="1" si="61"/>
        <v>10</v>
      </c>
      <c r="L81" s="308">
        <f t="shared" ca="1" si="62"/>
        <v>10</v>
      </c>
      <c r="M81" s="453">
        <f t="shared" ca="1" si="5"/>
        <v>100</v>
      </c>
      <c r="N81" s="456">
        <f ca="1">IFERROR(__xludf.DUMMYFUNCTION("IMPORTRANGE(""https://docs.google.com/spreadsheets/d/1C3CXT74ZlgGe6_JY_1olB1XN4rF0dxEuIIF-xsYjHgg/edit?usp=sharing"",""งบกองทุน!AY85"")"),10)</f>
        <v>10</v>
      </c>
      <c r="O81" s="308">
        <f ca="1">IFERROR(__xludf.DUMMYFUNCTION("IMPORTRANGE(""https://docs.google.com/spreadsheets/d/1IYY_tgx_IHuhSq3AJ5eI5OnqOPBNLWSHKh2a30DoXe8/edit?usp=sharing"",""นราธิวาส!J345"")"),10)</f>
        <v>10</v>
      </c>
      <c r="P81" s="456">
        <f ca="1">IFERROR(__xludf.DUMMYFUNCTION("IMPORTRANGE(""https://docs.google.com/spreadsheets/d/1C3CXT74ZlgGe6_JY_1olB1XN4rF0dxEuIIF-xsYjHgg/edit?usp=sharing"",""งบกองทุน!AZ85"")"),0)</f>
        <v>0</v>
      </c>
      <c r="Q81" s="308">
        <f ca="1">IFERROR(__xludf.DUMMYFUNCTION("IMPORTRANGE(""https://docs.google.com/spreadsheets/d/1IYY_tgx_IHuhSq3AJ5eI5OnqOPBNLWSHKh2a30DoXe8/edit?usp=sharing"",""นราธิวาส!J346"")"),0)</f>
        <v>0</v>
      </c>
      <c r="R81" s="452">
        <f ca="1">IFERROR(__xludf.DUMMYFUNCTION("IMPORTRANGE(""https://docs.google.com/spreadsheets/d/1C3CXT74ZlgGe6_JY_1olB1XN4rF0dxEuIIF-xsYjHgg/edit?usp=sharing"",""งบกองทุน!BA85"")"),0)</f>
        <v>0</v>
      </c>
      <c r="S81" s="308">
        <v>0</v>
      </c>
      <c r="T81" s="453">
        <f t="shared" ca="1" si="7"/>
        <v>0</v>
      </c>
      <c r="U81" s="339"/>
      <c r="V81" s="339"/>
      <c r="W81" s="339"/>
      <c r="X81" s="339"/>
      <c r="Y81" s="339"/>
      <c r="Z81" s="339"/>
    </row>
    <row r="82" spans="1:26" ht="21" customHeight="1">
      <c r="A82" s="303">
        <v>6</v>
      </c>
      <c r="B82" s="304" t="s">
        <v>106</v>
      </c>
      <c r="C82" s="451">
        <f t="shared" ca="1" si="58"/>
        <v>76000</v>
      </c>
      <c r="D82" s="309">
        <f ca="1">IFERROR(__xludf.DUMMYFUNCTION("IMPORTRANGE(""https://docs.google.com/spreadsheets/d/1C3CXT74ZlgGe6_JY_1olB1XN4rF0dxEuIIF-xsYjHgg/edit?usp=sharing"",""งบกองทุน!AU86"")"),0)</f>
        <v>0</v>
      </c>
      <c r="E82" s="309">
        <f ca="1">IFERROR(__xludf.DUMMYFUNCTION("IMPORTRANGE(""https://docs.google.com/spreadsheets/d/1C3CXT74ZlgGe6_JY_1olB1XN4rF0dxEuIIF-xsYjHgg/edit?usp=sharing"",""งบกองทุน!AV86"")"),76000)</f>
        <v>76000</v>
      </c>
      <c r="F82" s="309">
        <f ca="1">IFERROR(__xludf.DUMMYFUNCTION("IMPORTRANGE(""https://docs.google.com/spreadsheets/d/1IYY_tgx_IHuhSq3AJ5eI5OnqOPBNLWSHKh2a30DoXe8/edit?usp=sharing"",""ปัตตานี!M332"")"),23210)</f>
        <v>23210</v>
      </c>
      <c r="G82" s="309">
        <f t="shared" ca="1" si="1"/>
        <v>30.539473684210527</v>
      </c>
      <c r="H82" s="452">
        <f t="shared" ca="1" si="59"/>
        <v>10</v>
      </c>
      <c r="I82" s="308">
        <f t="shared" ca="1" si="60"/>
        <v>10</v>
      </c>
      <c r="J82" s="453">
        <f t="shared" ca="1" si="3"/>
        <v>100</v>
      </c>
      <c r="K82" s="454">
        <f t="shared" ca="1" si="61"/>
        <v>10</v>
      </c>
      <c r="L82" s="308">
        <f t="shared" ca="1" si="62"/>
        <v>10</v>
      </c>
      <c r="M82" s="453">
        <f t="shared" ca="1" si="5"/>
        <v>100</v>
      </c>
      <c r="N82" s="456">
        <f ca="1">IFERROR(__xludf.DUMMYFUNCTION("IMPORTRANGE(""https://docs.google.com/spreadsheets/d/1C3CXT74ZlgGe6_JY_1olB1XN4rF0dxEuIIF-xsYjHgg/edit?usp=sharing"",""งบกองทุน!AY86"")"),10)</f>
        <v>10</v>
      </c>
      <c r="O82" s="308">
        <f ca="1">IFERROR(__xludf.DUMMYFUNCTION("IMPORTRANGE(""https://docs.google.com/spreadsheets/d/1IYY_tgx_IHuhSq3AJ5eI5OnqOPBNLWSHKh2a30DoXe8/edit?usp=sharing"",""ปัตตานี!J345"")"),10)</f>
        <v>10</v>
      </c>
      <c r="P82" s="456">
        <f ca="1">IFERROR(__xludf.DUMMYFUNCTION("IMPORTRANGE(""https://docs.google.com/spreadsheets/d/1C3CXT74ZlgGe6_JY_1olB1XN4rF0dxEuIIF-xsYjHgg/edit?usp=sharing"",""งบกองทุน!AZ86"")"),0)</f>
        <v>0</v>
      </c>
      <c r="Q82" s="308">
        <f ca="1">IFERROR(__xludf.DUMMYFUNCTION("IMPORTRANGE(""https://docs.google.com/spreadsheets/d/1IYY_tgx_IHuhSq3AJ5eI5OnqOPBNLWSHKh2a30DoXe8/edit?usp=sharing"",""ปัตตานี!J346"")"),0)</f>
        <v>0</v>
      </c>
      <c r="R82" s="452">
        <f ca="1">IFERROR(__xludf.DUMMYFUNCTION("IMPORTRANGE(""https://docs.google.com/spreadsheets/d/1C3CXT74ZlgGe6_JY_1olB1XN4rF0dxEuIIF-xsYjHgg/edit?usp=sharing"",""งบกองทุน!BA86"")"),0)</f>
        <v>0</v>
      </c>
      <c r="S82" s="308">
        <v>0</v>
      </c>
      <c r="T82" s="453">
        <f t="shared" ca="1" si="7"/>
        <v>0</v>
      </c>
      <c r="U82" s="339"/>
      <c r="V82" s="339"/>
      <c r="W82" s="339"/>
      <c r="X82" s="339"/>
      <c r="Y82" s="339"/>
      <c r="Z82" s="339"/>
    </row>
    <row r="83" spans="1:26" ht="21" customHeight="1">
      <c r="A83" s="303">
        <v>7</v>
      </c>
      <c r="B83" s="304" t="s">
        <v>107</v>
      </c>
      <c r="C83" s="451">
        <f t="shared" ca="1" si="58"/>
        <v>88000</v>
      </c>
      <c r="D83" s="309">
        <f ca="1">IFERROR(__xludf.DUMMYFUNCTION("IMPORTRANGE(""https://docs.google.com/spreadsheets/d/1C3CXT74ZlgGe6_JY_1olB1XN4rF0dxEuIIF-xsYjHgg/edit?usp=sharing"",""งบกองทุน!AU87"")"),0)</f>
        <v>0</v>
      </c>
      <c r="E83" s="309">
        <f ca="1">IFERROR(__xludf.DUMMYFUNCTION("IMPORTRANGE(""https://docs.google.com/spreadsheets/d/1C3CXT74ZlgGe6_JY_1olB1XN4rF0dxEuIIF-xsYjHgg/edit?usp=sharing"",""งบกองทุน!AV87"")"),88000)</f>
        <v>88000</v>
      </c>
      <c r="F83" s="309">
        <f ca="1">IFERROR(__xludf.DUMMYFUNCTION("IMPORTRANGE(""https://docs.google.com/spreadsheets/d/1IYY_tgx_IHuhSq3AJ5eI5OnqOPBNLWSHKh2a30DoXe8/edit?usp=sharing"",""พังงา!M332"")"),23140)</f>
        <v>23140</v>
      </c>
      <c r="G83" s="309">
        <f t="shared" ca="1" si="1"/>
        <v>26.295454545454547</v>
      </c>
      <c r="H83" s="452">
        <f t="shared" ca="1" si="59"/>
        <v>15</v>
      </c>
      <c r="I83" s="308">
        <f t="shared" ca="1" si="60"/>
        <v>15</v>
      </c>
      <c r="J83" s="453">
        <f t="shared" ca="1" si="3"/>
        <v>100</v>
      </c>
      <c r="K83" s="454">
        <f t="shared" ca="1" si="61"/>
        <v>15</v>
      </c>
      <c r="L83" s="308">
        <f t="shared" ca="1" si="62"/>
        <v>15</v>
      </c>
      <c r="M83" s="453">
        <f t="shared" ca="1" si="5"/>
        <v>100</v>
      </c>
      <c r="N83" s="456">
        <f ca="1">IFERROR(__xludf.DUMMYFUNCTION("IMPORTRANGE(""https://docs.google.com/spreadsheets/d/1C3CXT74ZlgGe6_JY_1olB1XN4rF0dxEuIIF-xsYjHgg/edit?usp=sharing"",""งบกองทุน!AY87"")"),15)</f>
        <v>15</v>
      </c>
      <c r="O83" s="308">
        <f ca="1">IFERROR(__xludf.DUMMYFUNCTION("IMPORTRANGE(""https://docs.google.com/spreadsheets/d/1IYY_tgx_IHuhSq3AJ5eI5OnqOPBNLWSHKh2a30DoXe8/edit?usp=sharing"",""พังงา!J345"")"),15)</f>
        <v>15</v>
      </c>
      <c r="P83" s="456">
        <f ca="1">IFERROR(__xludf.DUMMYFUNCTION("IMPORTRANGE(""https://docs.google.com/spreadsheets/d/1C3CXT74ZlgGe6_JY_1olB1XN4rF0dxEuIIF-xsYjHgg/edit?usp=sharing"",""งบกองทุน!AZ87"")"),0)</f>
        <v>0</v>
      </c>
      <c r="Q83" s="308">
        <f ca="1">IFERROR(__xludf.DUMMYFUNCTION("IMPORTRANGE(""https://docs.google.com/spreadsheets/d/1IYY_tgx_IHuhSq3AJ5eI5OnqOPBNLWSHKh2a30DoXe8/edit?usp=sharing"",""พังงา!J346"")"),0)</f>
        <v>0</v>
      </c>
      <c r="R83" s="452">
        <f ca="1">IFERROR(__xludf.DUMMYFUNCTION("IMPORTRANGE(""https://docs.google.com/spreadsheets/d/1C3CXT74ZlgGe6_JY_1olB1XN4rF0dxEuIIF-xsYjHgg/edit?usp=sharing"",""งบกองทุน!BA87"")"),0)</f>
        <v>0</v>
      </c>
      <c r="S83" s="308">
        <v>0</v>
      </c>
      <c r="T83" s="453">
        <f t="shared" ca="1" si="7"/>
        <v>0</v>
      </c>
      <c r="U83" s="339"/>
      <c r="V83" s="339"/>
      <c r="W83" s="339"/>
      <c r="X83" s="339"/>
      <c r="Y83" s="339"/>
      <c r="Z83" s="339"/>
    </row>
    <row r="84" spans="1:26" ht="21" customHeight="1">
      <c r="A84" s="303">
        <v>8</v>
      </c>
      <c r="B84" s="304" t="s">
        <v>108</v>
      </c>
      <c r="C84" s="451">
        <f t="shared" ca="1" si="58"/>
        <v>213900</v>
      </c>
      <c r="D84" s="309">
        <f ca="1">IFERROR(__xludf.DUMMYFUNCTION("IMPORTRANGE(""https://docs.google.com/spreadsheets/d/1C3CXT74ZlgGe6_JY_1olB1XN4rF0dxEuIIF-xsYjHgg/edit?usp=sharing"",""งบกองทุน!AU88"")"),0)</f>
        <v>0</v>
      </c>
      <c r="E84" s="309">
        <f ca="1">IFERROR(__xludf.DUMMYFUNCTION("IMPORTRANGE(""https://docs.google.com/spreadsheets/d/1C3CXT74ZlgGe6_JY_1olB1XN4rF0dxEuIIF-xsYjHgg/edit?usp=sharing"",""งบกองทุน!AV88"")"),213900)</f>
        <v>213900</v>
      </c>
      <c r="F84" s="309">
        <f ca="1">IFERROR(__xludf.DUMMYFUNCTION("IMPORTRANGE(""https://docs.google.com/spreadsheets/d/1IYY_tgx_IHuhSq3AJ5eI5OnqOPBNLWSHKh2a30DoXe8/edit?usp=sharing"",""พัทลุง!M332"")"),157790)</f>
        <v>157790</v>
      </c>
      <c r="G84" s="309">
        <f t="shared" ca="1" si="1"/>
        <v>73.768115942028984</v>
      </c>
      <c r="H84" s="452">
        <f t="shared" ca="1" si="59"/>
        <v>25</v>
      </c>
      <c r="I84" s="308">
        <f t="shared" ca="1" si="60"/>
        <v>25</v>
      </c>
      <c r="J84" s="453">
        <f t="shared" ca="1" si="3"/>
        <v>100</v>
      </c>
      <c r="K84" s="454">
        <f t="shared" ca="1" si="61"/>
        <v>25</v>
      </c>
      <c r="L84" s="308">
        <f t="shared" ca="1" si="62"/>
        <v>25</v>
      </c>
      <c r="M84" s="453">
        <f t="shared" ca="1" si="5"/>
        <v>100</v>
      </c>
      <c r="N84" s="456">
        <f ca="1">IFERROR(__xludf.DUMMYFUNCTION("IMPORTRANGE(""https://docs.google.com/spreadsheets/d/1C3CXT74ZlgGe6_JY_1olB1XN4rF0dxEuIIF-xsYjHgg/edit?usp=sharing"",""งบกองทุน!AY88"")"),25)</f>
        <v>25</v>
      </c>
      <c r="O84" s="308">
        <f ca="1">IFERROR(__xludf.DUMMYFUNCTION("IMPORTRANGE(""https://docs.google.com/spreadsheets/d/1IYY_tgx_IHuhSq3AJ5eI5OnqOPBNLWSHKh2a30DoXe8/edit?usp=sharing"",""พัทลุง!J345"")"),25)</f>
        <v>25</v>
      </c>
      <c r="P84" s="456">
        <f ca="1">IFERROR(__xludf.DUMMYFUNCTION("IMPORTRANGE(""https://docs.google.com/spreadsheets/d/1C3CXT74ZlgGe6_JY_1olB1XN4rF0dxEuIIF-xsYjHgg/edit?usp=sharing"",""งบกองทุน!AZ88"")"),0)</f>
        <v>0</v>
      </c>
      <c r="Q84" s="308">
        <f ca="1">IFERROR(__xludf.DUMMYFUNCTION("IMPORTRANGE(""https://docs.google.com/spreadsheets/d/1IYY_tgx_IHuhSq3AJ5eI5OnqOPBNLWSHKh2a30DoXe8/edit?usp=sharing"",""พัทลุง!J346"")"),0)</f>
        <v>0</v>
      </c>
      <c r="R84" s="452">
        <f ca="1">IFERROR(__xludf.DUMMYFUNCTION("IMPORTRANGE(""https://docs.google.com/spreadsheets/d/1C3CXT74ZlgGe6_JY_1olB1XN4rF0dxEuIIF-xsYjHgg/edit?usp=sharing"",""งบกองทุน!BA88"")"),0)</f>
        <v>0</v>
      </c>
      <c r="S84" s="308">
        <v>0</v>
      </c>
      <c r="T84" s="453">
        <f t="shared" ca="1" si="7"/>
        <v>0</v>
      </c>
      <c r="U84" s="339"/>
      <c r="V84" s="339"/>
      <c r="W84" s="339"/>
      <c r="X84" s="339"/>
      <c r="Y84" s="339"/>
      <c r="Z84" s="339"/>
    </row>
    <row r="85" spans="1:26" ht="21" customHeight="1">
      <c r="A85" s="303">
        <v>9</v>
      </c>
      <c r="B85" s="304" t="s">
        <v>109</v>
      </c>
      <c r="C85" s="451">
        <f t="shared" ca="1" si="58"/>
        <v>76000</v>
      </c>
      <c r="D85" s="309">
        <f ca="1">IFERROR(__xludf.DUMMYFUNCTION("IMPORTRANGE(""https://docs.google.com/spreadsheets/d/1C3CXT74ZlgGe6_JY_1olB1XN4rF0dxEuIIF-xsYjHgg/edit?usp=sharing"",""งบกองทุน!AU89"")"),0)</f>
        <v>0</v>
      </c>
      <c r="E85" s="309">
        <f ca="1">IFERROR(__xludf.DUMMYFUNCTION("IMPORTRANGE(""https://docs.google.com/spreadsheets/d/1C3CXT74ZlgGe6_JY_1olB1XN4rF0dxEuIIF-xsYjHgg/edit?usp=sharing"",""งบกองทุน!AV89"")"),76000)</f>
        <v>76000</v>
      </c>
      <c r="F85" s="309">
        <f ca="1">IFERROR(__xludf.DUMMYFUNCTION("IMPORTRANGE(""https://docs.google.com/spreadsheets/d/1IYY_tgx_IHuhSq3AJ5eI5OnqOPBNLWSHKh2a30DoXe8/edit?usp=sharing"",""ภูเก็ต!M332"")"),33830)</f>
        <v>33830</v>
      </c>
      <c r="G85" s="309">
        <f t="shared" ca="1" si="1"/>
        <v>44.513157894736842</v>
      </c>
      <c r="H85" s="452">
        <f t="shared" ca="1" si="59"/>
        <v>10</v>
      </c>
      <c r="I85" s="308">
        <f t="shared" ca="1" si="60"/>
        <v>10</v>
      </c>
      <c r="J85" s="453">
        <f t="shared" ca="1" si="3"/>
        <v>100</v>
      </c>
      <c r="K85" s="454">
        <f t="shared" ca="1" si="61"/>
        <v>10</v>
      </c>
      <c r="L85" s="308">
        <f t="shared" ca="1" si="62"/>
        <v>10</v>
      </c>
      <c r="M85" s="453">
        <f t="shared" ca="1" si="5"/>
        <v>100</v>
      </c>
      <c r="N85" s="457">
        <f ca="1">IFERROR(__xludf.DUMMYFUNCTION("IMPORTRANGE(""https://docs.google.com/spreadsheets/d/1C3CXT74ZlgGe6_JY_1olB1XN4rF0dxEuIIF-xsYjHgg/edit?usp=sharing"",""งบกองทุน!AY89"")"),10)</f>
        <v>10</v>
      </c>
      <c r="O85" s="308">
        <f ca="1">IFERROR(__xludf.DUMMYFUNCTION("IMPORTRANGE(""https://docs.google.com/spreadsheets/d/1IYY_tgx_IHuhSq3AJ5eI5OnqOPBNLWSHKh2a30DoXe8/edit?usp=sharing"",""ภูเก็ต!J345"")"),10)</f>
        <v>10</v>
      </c>
      <c r="P85" s="457">
        <f ca="1">IFERROR(__xludf.DUMMYFUNCTION("IMPORTRANGE(""https://docs.google.com/spreadsheets/d/1C3CXT74ZlgGe6_JY_1olB1XN4rF0dxEuIIF-xsYjHgg/edit?usp=sharing"",""งบกองทุน!AZ89"")"),0)</f>
        <v>0</v>
      </c>
      <c r="Q85" s="308">
        <f ca="1">IFERROR(__xludf.DUMMYFUNCTION("IMPORTRANGE(""https://docs.google.com/spreadsheets/d/1IYY_tgx_IHuhSq3AJ5eI5OnqOPBNLWSHKh2a30DoXe8/edit?usp=sharing"",""ภูเก็ต!J346"")"),0)</f>
        <v>0</v>
      </c>
      <c r="R85" s="452">
        <f ca="1">IFERROR(__xludf.DUMMYFUNCTION("IMPORTRANGE(""https://docs.google.com/spreadsheets/d/1C3CXT74ZlgGe6_JY_1olB1XN4rF0dxEuIIF-xsYjHgg/edit?usp=sharing"",""งบกองทุน!BA89"")"),0)</f>
        <v>0</v>
      </c>
      <c r="S85" s="308">
        <v>0</v>
      </c>
      <c r="T85" s="453">
        <f t="shared" ca="1" si="7"/>
        <v>0</v>
      </c>
      <c r="U85" s="339"/>
      <c r="V85" s="339"/>
      <c r="W85" s="339"/>
      <c r="X85" s="339"/>
      <c r="Y85" s="339"/>
      <c r="Z85" s="339"/>
    </row>
    <row r="86" spans="1:26" ht="21" customHeight="1">
      <c r="A86" s="303">
        <v>10</v>
      </c>
      <c r="B86" s="304" t="s">
        <v>110</v>
      </c>
      <c r="C86" s="451">
        <f t="shared" ca="1" si="58"/>
        <v>76000</v>
      </c>
      <c r="D86" s="309">
        <f ca="1">IFERROR(__xludf.DUMMYFUNCTION("IMPORTRANGE(""https://docs.google.com/spreadsheets/d/1C3CXT74ZlgGe6_JY_1olB1XN4rF0dxEuIIF-xsYjHgg/edit?usp=sharing"",""งบกองทุน!AU90"")"),0)</f>
        <v>0</v>
      </c>
      <c r="E86" s="309">
        <f ca="1">IFERROR(__xludf.DUMMYFUNCTION("IMPORTRANGE(""https://docs.google.com/spreadsheets/d/1C3CXT74ZlgGe6_JY_1olB1XN4rF0dxEuIIF-xsYjHgg/edit?usp=sharing"",""งบกองทุน!AV90"")"),76000)</f>
        <v>76000</v>
      </c>
      <c r="F86" s="309">
        <f ca="1">IFERROR(__xludf.DUMMYFUNCTION("IMPORTRANGE(""https://docs.google.com/spreadsheets/d/1IYY_tgx_IHuhSq3AJ5eI5OnqOPBNLWSHKh2a30DoXe8/edit?usp=sharing"",""ยะลา!M332"")"),76000)</f>
        <v>76000</v>
      </c>
      <c r="G86" s="309">
        <f t="shared" ca="1" si="1"/>
        <v>100</v>
      </c>
      <c r="H86" s="452">
        <f t="shared" ca="1" si="59"/>
        <v>10</v>
      </c>
      <c r="I86" s="308">
        <f t="shared" ca="1" si="60"/>
        <v>10</v>
      </c>
      <c r="J86" s="453">
        <f t="shared" ca="1" si="3"/>
        <v>100</v>
      </c>
      <c r="K86" s="454">
        <f t="shared" ca="1" si="61"/>
        <v>10</v>
      </c>
      <c r="L86" s="308">
        <f t="shared" ca="1" si="62"/>
        <v>10</v>
      </c>
      <c r="M86" s="453">
        <f t="shared" ca="1" si="5"/>
        <v>100</v>
      </c>
      <c r="N86" s="457">
        <f ca="1">IFERROR(__xludf.DUMMYFUNCTION("IMPORTRANGE(""https://docs.google.com/spreadsheets/d/1C3CXT74ZlgGe6_JY_1olB1XN4rF0dxEuIIF-xsYjHgg/edit?usp=sharing"",""งบกองทุน!AY90"")"),10)</f>
        <v>10</v>
      </c>
      <c r="O86" s="308">
        <f ca="1">IFERROR(__xludf.DUMMYFUNCTION("IMPORTRANGE(""https://docs.google.com/spreadsheets/d/1IYY_tgx_IHuhSq3AJ5eI5OnqOPBNLWSHKh2a30DoXe8/edit?usp=sharing"",""ยะลา!J345"")"),10)</f>
        <v>10</v>
      </c>
      <c r="P86" s="457">
        <f ca="1">IFERROR(__xludf.DUMMYFUNCTION("IMPORTRANGE(""https://docs.google.com/spreadsheets/d/1C3CXT74ZlgGe6_JY_1olB1XN4rF0dxEuIIF-xsYjHgg/edit?usp=sharing"",""งบกองทุน!AZ90"")"),0)</f>
        <v>0</v>
      </c>
      <c r="Q86" s="308">
        <f ca="1">IFERROR(__xludf.DUMMYFUNCTION("IMPORTRANGE(""https://docs.google.com/spreadsheets/d/1IYY_tgx_IHuhSq3AJ5eI5OnqOPBNLWSHKh2a30DoXe8/edit?usp=sharing"",""ยะลา!J346"")"),0)</f>
        <v>0</v>
      </c>
      <c r="R86" s="452">
        <f ca="1">IFERROR(__xludf.DUMMYFUNCTION("IMPORTRANGE(""https://docs.google.com/spreadsheets/d/1C3CXT74ZlgGe6_JY_1olB1XN4rF0dxEuIIF-xsYjHgg/edit?usp=sharing"",""งบกองทุน!BA90"")"),0)</f>
        <v>0</v>
      </c>
      <c r="S86" s="308">
        <v>0</v>
      </c>
      <c r="T86" s="453">
        <f t="shared" ca="1" si="7"/>
        <v>0</v>
      </c>
      <c r="U86" s="339"/>
      <c r="V86" s="339"/>
      <c r="W86" s="339"/>
      <c r="X86" s="339"/>
      <c r="Y86" s="339"/>
      <c r="Z86" s="339"/>
    </row>
    <row r="87" spans="1:26" ht="21" customHeight="1">
      <c r="A87" s="303">
        <v>11</v>
      </c>
      <c r="B87" s="304" t="s">
        <v>111</v>
      </c>
      <c r="C87" s="451">
        <f t="shared" ca="1" si="58"/>
        <v>76000</v>
      </c>
      <c r="D87" s="309">
        <f ca="1">IFERROR(__xludf.DUMMYFUNCTION("IMPORTRANGE(""https://docs.google.com/spreadsheets/d/1C3CXT74ZlgGe6_JY_1olB1XN4rF0dxEuIIF-xsYjHgg/edit?usp=sharing"",""งบกองทุน!AU91"")"),0)</f>
        <v>0</v>
      </c>
      <c r="E87" s="309">
        <f ca="1">IFERROR(__xludf.DUMMYFUNCTION("IMPORTRANGE(""https://docs.google.com/spreadsheets/d/1C3CXT74ZlgGe6_JY_1olB1XN4rF0dxEuIIF-xsYjHgg/edit?usp=sharing"",""งบกองทุน!AV91"")"),76000)</f>
        <v>76000</v>
      </c>
      <c r="F87" s="309">
        <f ca="1">IFERROR(__xludf.DUMMYFUNCTION("IMPORTRANGE(""https://docs.google.com/spreadsheets/d/1IYY_tgx_IHuhSq3AJ5eI5OnqOPBNLWSHKh2a30DoXe8/edit?usp=sharing"",""ระนอง!M332"")"),41830)</f>
        <v>41830</v>
      </c>
      <c r="G87" s="309">
        <f t="shared" ca="1" si="1"/>
        <v>55.039473684210527</v>
      </c>
      <c r="H87" s="452">
        <f t="shared" ca="1" si="59"/>
        <v>10</v>
      </c>
      <c r="I87" s="308">
        <f t="shared" ca="1" si="60"/>
        <v>10</v>
      </c>
      <c r="J87" s="453">
        <f t="shared" ca="1" si="3"/>
        <v>100</v>
      </c>
      <c r="K87" s="454">
        <f t="shared" ca="1" si="61"/>
        <v>10</v>
      </c>
      <c r="L87" s="308">
        <f t="shared" ca="1" si="62"/>
        <v>10</v>
      </c>
      <c r="M87" s="453">
        <f t="shared" ca="1" si="5"/>
        <v>100</v>
      </c>
      <c r="N87" s="456">
        <f ca="1">IFERROR(__xludf.DUMMYFUNCTION("IMPORTRANGE(""https://docs.google.com/spreadsheets/d/1C3CXT74ZlgGe6_JY_1olB1XN4rF0dxEuIIF-xsYjHgg/edit?usp=sharing"",""งบกองทุน!AY91"")"),10)</f>
        <v>10</v>
      </c>
      <c r="O87" s="308">
        <f ca="1">IFERROR(__xludf.DUMMYFUNCTION("IMPORTRANGE(""https://docs.google.com/spreadsheets/d/1IYY_tgx_IHuhSq3AJ5eI5OnqOPBNLWSHKh2a30DoXe8/edit?usp=sharing"",""ระนอง!J345"")"),10)</f>
        <v>10</v>
      </c>
      <c r="P87" s="456">
        <f ca="1">IFERROR(__xludf.DUMMYFUNCTION("IMPORTRANGE(""https://docs.google.com/spreadsheets/d/1C3CXT74ZlgGe6_JY_1olB1XN4rF0dxEuIIF-xsYjHgg/edit?usp=sharing"",""งบกองทุน!AZ91"")"),0)</f>
        <v>0</v>
      </c>
      <c r="Q87" s="308">
        <f ca="1">IFERROR(__xludf.DUMMYFUNCTION("IMPORTRANGE(""https://docs.google.com/spreadsheets/d/1IYY_tgx_IHuhSq3AJ5eI5OnqOPBNLWSHKh2a30DoXe8/edit?usp=sharing"",""ระนอง!J346"")"),0)</f>
        <v>0</v>
      </c>
      <c r="R87" s="452">
        <f ca="1">IFERROR(__xludf.DUMMYFUNCTION("IMPORTRANGE(""https://docs.google.com/spreadsheets/d/1C3CXT74ZlgGe6_JY_1olB1XN4rF0dxEuIIF-xsYjHgg/edit?usp=sharing"",""งบกองทุน!BA91"")"),0)</f>
        <v>0</v>
      </c>
      <c r="S87" s="308">
        <v>0</v>
      </c>
      <c r="T87" s="453">
        <f t="shared" ca="1" si="7"/>
        <v>0</v>
      </c>
      <c r="U87" s="339"/>
      <c r="V87" s="339"/>
      <c r="W87" s="339"/>
      <c r="X87" s="339"/>
      <c r="Y87" s="339"/>
      <c r="Z87" s="339"/>
    </row>
    <row r="88" spans="1:26" ht="24" customHeight="1">
      <c r="A88" s="303">
        <v>12</v>
      </c>
      <c r="B88" s="304" t="s">
        <v>112</v>
      </c>
      <c r="C88" s="451">
        <f t="shared" ca="1" si="58"/>
        <v>88000</v>
      </c>
      <c r="D88" s="309">
        <f ca="1">IFERROR(__xludf.DUMMYFUNCTION("IMPORTRANGE(""https://docs.google.com/spreadsheets/d/1C3CXT74ZlgGe6_JY_1olB1XN4rF0dxEuIIF-xsYjHgg/edit?usp=sharing"",""งบกองทุน!AU92"")"),0)</f>
        <v>0</v>
      </c>
      <c r="E88" s="309">
        <f ca="1">IFERROR(__xludf.DUMMYFUNCTION("IMPORTRANGE(""https://docs.google.com/spreadsheets/d/1C3CXT74ZlgGe6_JY_1olB1XN4rF0dxEuIIF-xsYjHgg/edit?usp=sharing"",""งบกองทุน!AV92"")"),88000)</f>
        <v>88000</v>
      </c>
      <c r="F88" s="309">
        <f ca="1">IFERROR(__xludf.DUMMYFUNCTION("IMPORTRANGE(""https://docs.google.com/spreadsheets/d/1IYY_tgx_IHuhSq3AJ5eI5OnqOPBNLWSHKh2a30DoXe8/edit?usp=sharing"",""สงขลา!M332"")"),54340)</f>
        <v>54340</v>
      </c>
      <c r="G88" s="309">
        <f t="shared" ca="1" si="1"/>
        <v>61.75</v>
      </c>
      <c r="H88" s="452">
        <f t="shared" ca="1" si="59"/>
        <v>15</v>
      </c>
      <c r="I88" s="308">
        <f t="shared" ca="1" si="60"/>
        <v>15</v>
      </c>
      <c r="J88" s="453">
        <f t="shared" ca="1" si="3"/>
        <v>100</v>
      </c>
      <c r="K88" s="454">
        <f t="shared" ca="1" si="61"/>
        <v>15</v>
      </c>
      <c r="L88" s="308">
        <f t="shared" ca="1" si="62"/>
        <v>15</v>
      </c>
      <c r="M88" s="453">
        <f t="shared" ca="1" si="5"/>
        <v>100</v>
      </c>
      <c r="N88" s="456">
        <f ca="1">IFERROR(__xludf.DUMMYFUNCTION("IMPORTRANGE(""https://docs.google.com/spreadsheets/d/1C3CXT74ZlgGe6_JY_1olB1XN4rF0dxEuIIF-xsYjHgg/edit?usp=sharing"",""งบกองทุน!AY92"")"),15)</f>
        <v>15</v>
      </c>
      <c r="O88" s="308">
        <f ca="1">IFERROR(__xludf.DUMMYFUNCTION("IMPORTRANGE(""https://docs.google.com/spreadsheets/d/1IYY_tgx_IHuhSq3AJ5eI5OnqOPBNLWSHKh2a30DoXe8/edit?usp=sharing"",""สงขลา!J345"")"),15)</f>
        <v>15</v>
      </c>
      <c r="P88" s="456">
        <f ca="1">IFERROR(__xludf.DUMMYFUNCTION("IMPORTRANGE(""https://docs.google.com/spreadsheets/d/1C3CXT74ZlgGe6_JY_1olB1XN4rF0dxEuIIF-xsYjHgg/edit?usp=sharing"",""งบกองทุน!AZ92"")"),0)</f>
        <v>0</v>
      </c>
      <c r="Q88" s="308">
        <f ca="1">IFERROR(__xludf.DUMMYFUNCTION("IMPORTRANGE(""https://docs.google.com/spreadsheets/d/1IYY_tgx_IHuhSq3AJ5eI5OnqOPBNLWSHKh2a30DoXe8/edit?usp=sharing"",""สงขลา!J346"")"),0)</f>
        <v>0</v>
      </c>
      <c r="R88" s="452">
        <f ca="1">IFERROR(__xludf.DUMMYFUNCTION("IMPORTRANGE(""https://docs.google.com/spreadsheets/d/1C3CXT74ZlgGe6_JY_1olB1XN4rF0dxEuIIF-xsYjHgg/edit?usp=sharing"",""งบกองทุน!BA92"")"),0)</f>
        <v>0</v>
      </c>
      <c r="S88" s="308">
        <v>0</v>
      </c>
      <c r="T88" s="453">
        <f t="shared" ca="1" si="7"/>
        <v>0</v>
      </c>
      <c r="U88" s="339"/>
      <c r="V88" s="339"/>
      <c r="W88" s="339"/>
      <c r="X88" s="339"/>
      <c r="Y88" s="339"/>
      <c r="Z88" s="339"/>
    </row>
    <row r="89" spans="1:26" ht="24" customHeight="1">
      <c r="A89" s="303">
        <v>13</v>
      </c>
      <c r="B89" s="304" t="s">
        <v>113</v>
      </c>
      <c r="C89" s="451">
        <f t="shared" ca="1" si="58"/>
        <v>76000</v>
      </c>
      <c r="D89" s="309">
        <f ca="1">IFERROR(__xludf.DUMMYFUNCTION("IMPORTRANGE(""https://docs.google.com/spreadsheets/d/1C3CXT74ZlgGe6_JY_1olB1XN4rF0dxEuIIF-xsYjHgg/edit?usp=sharing"",""งบกองทุน!AU93"")"),0)</f>
        <v>0</v>
      </c>
      <c r="E89" s="309">
        <f ca="1">IFERROR(__xludf.DUMMYFUNCTION("IMPORTRANGE(""https://docs.google.com/spreadsheets/d/1C3CXT74ZlgGe6_JY_1olB1XN4rF0dxEuIIF-xsYjHgg/edit?usp=sharing"",""งบกองทุน!AV93"")"),76000)</f>
        <v>76000</v>
      </c>
      <c r="F89" s="309">
        <f ca="1">IFERROR(__xludf.DUMMYFUNCTION("IMPORTRANGE(""https://docs.google.com/spreadsheets/d/1IYY_tgx_IHuhSq3AJ5eI5OnqOPBNLWSHKh2a30DoXe8/edit?usp=sharing"",""สตูล!M332"")"),70730)</f>
        <v>70730</v>
      </c>
      <c r="G89" s="309">
        <f t="shared" ca="1" si="1"/>
        <v>93.065789473684205</v>
      </c>
      <c r="H89" s="452">
        <f t="shared" ca="1" si="59"/>
        <v>10</v>
      </c>
      <c r="I89" s="308">
        <f t="shared" ca="1" si="60"/>
        <v>10</v>
      </c>
      <c r="J89" s="453">
        <f t="shared" ca="1" si="3"/>
        <v>100</v>
      </c>
      <c r="K89" s="454">
        <f t="shared" ca="1" si="61"/>
        <v>10</v>
      </c>
      <c r="L89" s="308">
        <f t="shared" ca="1" si="62"/>
        <v>10</v>
      </c>
      <c r="M89" s="453">
        <f t="shared" ca="1" si="5"/>
        <v>100</v>
      </c>
      <c r="N89" s="456">
        <f ca="1">IFERROR(__xludf.DUMMYFUNCTION("IMPORTRANGE(""https://docs.google.com/spreadsheets/d/1C3CXT74ZlgGe6_JY_1olB1XN4rF0dxEuIIF-xsYjHgg/edit?usp=sharing"",""งบกองทุน!AY93"")"),10)</f>
        <v>10</v>
      </c>
      <c r="O89" s="308">
        <f ca="1">IFERROR(__xludf.DUMMYFUNCTION("IMPORTRANGE(""https://docs.google.com/spreadsheets/d/1IYY_tgx_IHuhSq3AJ5eI5OnqOPBNLWSHKh2a30DoXe8/edit?usp=sharing"",""สตูล!J345"")"),10)</f>
        <v>10</v>
      </c>
      <c r="P89" s="456">
        <f ca="1">IFERROR(__xludf.DUMMYFUNCTION("IMPORTRANGE(""https://docs.google.com/spreadsheets/d/1C3CXT74ZlgGe6_JY_1olB1XN4rF0dxEuIIF-xsYjHgg/edit?usp=sharing"",""งบกองทุน!AZ93"")"),0)</f>
        <v>0</v>
      </c>
      <c r="Q89" s="308">
        <f ca="1">IFERROR(__xludf.DUMMYFUNCTION("IMPORTRANGE(""https://docs.google.com/spreadsheets/d/1IYY_tgx_IHuhSq3AJ5eI5OnqOPBNLWSHKh2a30DoXe8/edit?usp=sharing"",""สตูล!J346"")"),0)</f>
        <v>0</v>
      </c>
      <c r="R89" s="452">
        <f ca="1">IFERROR(__xludf.DUMMYFUNCTION("IMPORTRANGE(""https://docs.google.com/spreadsheets/d/1C3CXT74ZlgGe6_JY_1olB1XN4rF0dxEuIIF-xsYjHgg/edit?usp=sharing"",""งบกองทุน!BA93"")"),0)</f>
        <v>0</v>
      </c>
      <c r="S89" s="308">
        <v>0</v>
      </c>
      <c r="T89" s="453">
        <f t="shared" ca="1" si="7"/>
        <v>0</v>
      </c>
      <c r="U89" s="339"/>
      <c r="V89" s="339"/>
      <c r="W89" s="339"/>
      <c r="X89" s="339"/>
      <c r="Y89" s="339"/>
      <c r="Z89" s="339"/>
    </row>
    <row r="90" spans="1:26" ht="24" customHeight="1">
      <c r="A90" s="310">
        <v>14</v>
      </c>
      <c r="B90" s="311" t="s">
        <v>114</v>
      </c>
      <c r="C90" s="458">
        <f t="shared" ca="1" si="58"/>
        <v>100000</v>
      </c>
      <c r="D90" s="316">
        <f ca="1">IFERROR(__xludf.DUMMYFUNCTION("IMPORTRANGE(""https://docs.google.com/spreadsheets/d/1C3CXT74ZlgGe6_JY_1olB1XN4rF0dxEuIIF-xsYjHgg/edit?usp=sharing"",""งบกองทุน!AU94"")"),0)</f>
        <v>0</v>
      </c>
      <c r="E90" s="316">
        <f ca="1">IFERROR(__xludf.DUMMYFUNCTION("IMPORTRANGE(""https://docs.google.com/spreadsheets/d/1C3CXT74ZlgGe6_JY_1olB1XN4rF0dxEuIIF-xsYjHgg/edit?usp=sharing"",""งบกองทุน!AV94"")"),100000)</f>
        <v>100000</v>
      </c>
      <c r="F90" s="316">
        <f ca="1">IFERROR(__xludf.DUMMYFUNCTION("IMPORTRANGE(""https://docs.google.com/spreadsheets/d/1IYY_tgx_IHuhSq3AJ5eI5OnqOPBNLWSHKh2a30DoXe8/edit?usp=sharing"",""สุราษฎร์ธานี!M332"")"),61360)</f>
        <v>61360</v>
      </c>
      <c r="G90" s="316">
        <f t="shared" ca="1" si="1"/>
        <v>61.36</v>
      </c>
      <c r="H90" s="459">
        <f t="shared" ca="1" si="59"/>
        <v>20</v>
      </c>
      <c r="I90" s="315">
        <f t="shared" ca="1" si="60"/>
        <v>20</v>
      </c>
      <c r="J90" s="460">
        <f t="shared" ca="1" si="3"/>
        <v>100</v>
      </c>
      <c r="K90" s="461">
        <f t="shared" ca="1" si="61"/>
        <v>20</v>
      </c>
      <c r="L90" s="315">
        <f t="shared" ca="1" si="62"/>
        <v>20</v>
      </c>
      <c r="M90" s="460">
        <f t="shared" ca="1" si="5"/>
        <v>100</v>
      </c>
      <c r="N90" s="462">
        <f ca="1">IFERROR(__xludf.DUMMYFUNCTION("IMPORTRANGE(""https://docs.google.com/spreadsheets/d/1C3CXT74ZlgGe6_JY_1olB1XN4rF0dxEuIIF-xsYjHgg/edit?usp=sharing"",""งบกองทุน!AY94"")"),20)</f>
        <v>20</v>
      </c>
      <c r="O90" s="315">
        <f ca="1">IFERROR(__xludf.DUMMYFUNCTION("IMPORTRANGE(""https://docs.google.com/spreadsheets/d/1IYY_tgx_IHuhSq3AJ5eI5OnqOPBNLWSHKh2a30DoXe8/edit?usp=sharing"",""สุราษฎร์ธานี!J345"")"),20)</f>
        <v>20</v>
      </c>
      <c r="P90" s="462">
        <f ca="1">IFERROR(__xludf.DUMMYFUNCTION("IMPORTRANGE(""https://docs.google.com/spreadsheets/d/1C3CXT74ZlgGe6_JY_1olB1XN4rF0dxEuIIF-xsYjHgg/edit?usp=sharing"",""งบกองทุน!AZ94"")"),0)</f>
        <v>0</v>
      </c>
      <c r="Q90" s="315">
        <f ca="1">IFERROR(__xludf.DUMMYFUNCTION("IMPORTRANGE(""https://docs.google.com/spreadsheets/d/1IYY_tgx_IHuhSq3AJ5eI5OnqOPBNLWSHKh2a30DoXe8/edit?usp=sharing"",""สุราษฎร์ธานี!J346"")"),0)</f>
        <v>0</v>
      </c>
      <c r="R90" s="459">
        <f ca="1">IFERROR(__xludf.DUMMYFUNCTION("IMPORTRANGE(""https://docs.google.com/spreadsheets/d/1C3CXT74ZlgGe6_JY_1olB1XN4rF0dxEuIIF-xsYjHgg/edit?usp=sharing"",""งบกองทุน!BA94"")"),0)</f>
        <v>0</v>
      </c>
      <c r="S90" s="315">
        <v>0</v>
      </c>
      <c r="T90" s="460">
        <f t="shared" ca="1" si="7"/>
        <v>0</v>
      </c>
      <c r="U90" s="339"/>
      <c r="V90" s="339"/>
      <c r="W90" s="339"/>
      <c r="X90" s="339"/>
      <c r="Y90" s="339"/>
      <c r="Z90" s="339"/>
    </row>
    <row r="91" spans="1:26" ht="21" hidden="1" customHeight="1">
      <c r="A91" s="791" t="s">
        <v>115</v>
      </c>
      <c r="B91" s="652"/>
      <c r="C91" s="402">
        <f t="shared" ref="C91:F91" ca="1" si="63">+C92+C93+C94+C95+C96+C97+C98+C99+C100+C101+C102+C103+C104+C105</f>
        <v>887400</v>
      </c>
      <c r="D91" s="323">
        <f t="shared" ca="1" si="63"/>
        <v>0</v>
      </c>
      <c r="E91" s="323">
        <f t="shared" ca="1" si="63"/>
        <v>887400</v>
      </c>
      <c r="F91" s="323">
        <f t="shared" ca="1" si="63"/>
        <v>228530.9</v>
      </c>
      <c r="G91" s="324">
        <f t="shared" ca="1" si="1"/>
        <v>25.752862294343025</v>
      </c>
      <c r="H91" s="323">
        <f t="shared" ref="H91:I91" ca="1" si="64">+H92+H93+H94+H95+H96+H97+H98+H99+H100+H101+H102+H103+H104+H105</f>
        <v>360</v>
      </c>
      <c r="I91" s="323">
        <f t="shared" ca="1" si="64"/>
        <v>377</v>
      </c>
      <c r="J91" s="324">
        <f t="shared" ca="1" si="3"/>
        <v>104.72222222222223</v>
      </c>
      <c r="K91" s="323">
        <f t="shared" ref="K91:L91" ca="1" si="65">+K92+K93+K94+K95+K96+K97+K98+K99+K100+K101+K102+K103+K104+K105</f>
        <v>0</v>
      </c>
      <c r="L91" s="323">
        <f t="shared" si="65"/>
        <v>0</v>
      </c>
      <c r="M91" s="324">
        <f t="shared" ca="1" si="5"/>
        <v>0</v>
      </c>
      <c r="N91" s="323">
        <f t="shared" ref="N91:S91" ca="1" si="66">+N92+N93+N94+N95+N96+N97+N98+N99+N100+N101+N102+N103+N104+N105</f>
        <v>0</v>
      </c>
      <c r="O91" s="323">
        <f t="shared" si="66"/>
        <v>0</v>
      </c>
      <c r="P91" s="323">
        <f t="shared" ca="1" si="66"/>
        <v>0</v>
      </c>
      <c r="Q91" s="323">
        <f t="shared" si="66"/>
        <v>0</v>
      </c>
      <c r="R91" s="323">
        <f t="shared" ca="1" si="66"/>
        <v>360</v>
      </c>
      <c r="S91" s="323">
        <f t="shared" ca="1" si="66"/>
        <v>377</v>
      </c>
      <c r="T91" s="324">
        <f t="shared" ca="1" si="7"/>
        <v>104.72222222222223</v>
      </c>
      <c r="U91" s="339"/>
      <c r="V91" s="339"/>
      <c r="W91" s="339"/>
      <c r="X91" s="339"/>
      <c r="Y91" s="339"/>
      <c r="Z91" s="339"/>
    </row>
    <row r="92" spans="1:26" ht="24" hidden="1" customHeight="1">
      <c r="A92" s="325">
        <v>1</v>
      </c>
      <c r="B92" s="326" t="s">
        <v>116</v>
      </c>
      <c r="C92" s="446">
        <f t="shared" ref="C92:C105" ca="1" si="67">+D92+E92</f>
        <v>0</v>
      </c>
      <c r="D92" s="297">
        <f ca="1">IFERROR(__xludf.DUMMYFUNCTION("IMPORTRANGE(""https://docs.google.com/spreadsheets/d/1C3CXT74ZlgGe6_JY_1olB1XN4rF0dxEuIIF-xsYjHgg/edit?usp=sharing"",""งบกองทุน!AU96"")"),0)</f>
        <v>0</v>
      </c>
      <c r="E92" s="297">
        <f ca="1">IFERROR(__xludf.DUMMYFUNCTION("IMPORTRANGE(""https://docs.google.com/spreadsheets/d/1C3CXT74ZlgGe6_JY_1olB1XN4rF0dxEuIIF-xsYjHgg/edit?usp=sharing"",""งบกองทุน!AV96"")"),0)</f>
        <v>0</v>
      </c>
      <c r="F92" s="297">
        <v>0</v>
      </c>
      <c r="G92" s="297">
        <f t="shared" ca="1" si="1"/>
        <v>0</v>
      </c>
      <c r="H92" s="468">
        <f t="shared" ref="H92:H105" ca="1" si="68">+N92+P92+R92</f>
        <v>0</v>
      </c>
      <c r="I92" s="296">
        <f t="shared" ref="I92:I105" si="69">SUM(L92,S92)</f>
        <v>0</v>
      </c>
      <c r="J92" s="469">
        <f t="shared" ca="1" si="3"/>
        <v>0</v>
      </c>
      <c r="K92" s="470">
        <f t="shared" ref="K92:K105" ca="1" si="70">+N92+P92</f>
        <v>0</v>
      </c>
      <c r="L92" s="296">
        <f t="shared" ref="L92:L105" si="71">SUM(O92,Q92)</f>
        <v>0</v>
      </c>
      <c r="M92" s="469">
        <f t="shared" ca="1" si="5"/>
        <v>0</v>
      </c>
      <c r="N92" s="471">
        <f ca="1">IFERROR(__xludf.DUMMYFUNCTION("IMPORTRANGE(""https://docs.google.com/spreadsheets/d/1C3CXT74ZlgGe6_JY_1olB1XN4rF0dxEuIIF-xsYjHgg/edit?usp=sharing"",""งบกองทุน!AY96"")"),0)</f>
        <v>0</v>
      </c>
      <c r="O92" s="296">
        <v>0</v>
      </c>
      <c r="P92" s="471">
        <f ca="1">IFERROR(__xludf.DUMMYFUNCTION("IMPORTRANGE(""https://docs.google.com/spreadsheets/d/1C3CXT74ZlgGe6_JY_1olB1XN4rF0dxEuIIF-xsYjHgg/edit?usp=sharing"",""งบกองทุน!AZ96"")"),0)</f>
        <v>0</v>
      </c>
      <c r="Q92" s="296">
        <v>0</v>
      </c>
      <c r="R92" s="471">
        <f ca="1">IFERROR(__xludf.DUMMYFUNCTION("IMPORTRANGE(""https://docs.google.com/spreadsheets/d/1C3CXT74ZlgGe6_JY_1olB1XN4rF0dxEuIIF-xsYjHgg/edit?usp=sharing"",""งบกองทุน!BA96"")"),0)</f>
        <v>0</v>
      </c>
      <c r="S92" s="296">
        <v>0</v>
      </c>
      <c r="T92" s="469">
        <f t="shared" ca="1" si="7"/>
        <v>0</v>
      </c>
      <c r="U92" s="339"/>
      <c r="V92" s="339"/>
      <c r="W92" s="339"/>
      <c r="X92" s="339"/>
      <c r="Y92" s="339"/>
      <c r="Z92" s="339"/>
    </row>
    <row r="93" spans="1:26" ht="24" hidden="1" customHeight="1">
      <c r="A93" s="327">
        <v>2</v>
      </c>
      <c r="B93" s="328" t="s">
        <v>117</v>
      </c>
      <c r="C93" s="451">
        <f t="shared" ca="1" si="67"/>
        <v>0</v>
      </c>
      <c r="D93" s="307">
        <f ca="1">IFERROR(__xludf.DUMMYFUNCTION("IMPORTRANGE(""https://docs.google.com/spreadsheets/d/1C3CXT74ZlgGe6_JY_1olB1XN4rF0dxEuIIF-xsYjHgg/edit?usp=sharing"",""งบกองทุน!AU97"")"),0)</f>
        <v>0</v>
      </c>
      <c r="E93" s="307">
        <f ca="1">IFERROR(__xludf.DUMMYFUNCTION("IMPORTRANGE(""https://docs.google.com/spreadsheets/d/1C3CXT74ZlgGe6_JY_1olB1XN4rF0dxEuIIF-xsYjHgg/edit?usp=sharing"",""งบกองทุน!AV97"")"),0)</f>
        <v>0</v>
      </c>
      <c r="F93" s="307">
        <v>0</v>
      </c>
      <c r="G93" s="307">
        <f t="shared" ca="1" si="1"/>
        <v>0</v>
      </c>
      <c r="H93" s="472">
        <f t="shared" ca="1" si="68"/>
        <v>0</v>
      </c>
      <c r="I93" s="306">
        <f t="shared" si="69"/>
        <v>0</v>
      </c>
      <c r="J93" s="473">
        <f t="shared" ca="1" si="3"/>
        <v>0</v>
      </c>
      <c r="K93" s="474">
        <f t="shared" ca="1" si="70"/>
        <v>0</v>
      </c>
      <c r="L93" s="306">
        <f t="shared" si="71"/>
        <v>0</v>
      </c>
      <c r="M93" s="473">
        <f t="shared" ca="1" si="5"/>
        <v>0</v>
      </c>
      <c r="N93" s="475">
        <f ca="1">IFERROR(__xludf.DUMMYFUNCTION("IMPORTRANGE(""https://docs.google.com/spreadsheets/d/1C3CXT74ZlgGe6_JY_1olB1XN4rF0dxEuIIF-xsYjHgg/edit?usp=sharing"",""งบกองทุน!AY97"")"),0)</f>
        <v>0</v>
      </c>
      <c r="O93" s="306">
        <v>0</v>
      </c>
      <c r="P93" s="475">
        <f ca="1">IFERROR(__xludf.DUMMYFUNCTION("IMPORTRANGE(""https://docs.google.com/spreadsheets/d/1C3CXT74ZlgGe6_JY_1olB1XN4rF0dxEuIIF-xsYjHgg/edit?usp=sharing"",""งบกองทุน!AZ97"")"),0)</f>
        <v>0</v>
      </c>
      <c r="Q93" s="306">
        <v>0</v>
      </c>
      <c r="R93" s="475">
        <f ca="1">IFERROR(__xludf.DUMMYFUNCTION("IMPORTRANGE(""https://docs.google.com/spreadsheets/d/1C3CXT74ZlgGe6_JY_1olB1XN4rF0dxEuIIF-xsYjHgg/edit?usp=sharing"",""งบกองทุน!BA97"")"),0)</f>
        <v>0</v>
      </c>
      <c r="S93" s="306">
        <v>0</v>
      </c>
      <c r="T93" s="473">
        <f t="shared" ca="1" si="7"/>
        <v>0</v>
      </c>
      <c r="U93" s="339"/>
      <c r="V93" s="339"/>
      <c r="W93" s="339"/>
      <c r="X93" s="339"/>
      <c r="Y93" s="339"/>
      <c r="Z93" s="339"/>
    </row>
    <row r="94" spans="1:26" ht="24" hidden="1" customHeight="1">
      <c r="A94" s="327">
        <v>3</v>
      </c>
      <c r="B94" s="328" t="s">
        <v>118</v>
      </c>
      <c r="C94" s="451">
        <f t="shared" ca="1" si="67"/>
        <v>0</v>
      </c>
      <c r="D94" s="307">
        <f ca="1">IFERROR(__xludf.DUMMYFUNCTION("IMPORTRANGE(""https://docs.google.com/spreadsheets/d/1C3CXT74ZlgGe6_JY_1olB1XN4rF0dxEuIIF-xsYjHgg/edit?usp=sharing"",""งบกองทุน!AU98"")"),0)</f>
        <v>0</v>
      </c>
      <c r="E94" s="307">
        <f ca="1">IFERROR(__xludf.DUMMYFUNCTION("IMPORTRANGE(""https://docs.google.com/spreadsheets/d/1C3CXT74ZlgGe6_JY_1olB1XN4rF0dxEuIIF-xsYjHgg/edit?usp=sharing"",""งบกองทุน!AV98"")"),0)</f>
        <v>0</v>
      </c>
      <c r="F94" s="307">
        <v>0</v>
      </c>
      <c r="G94" s="307">
        <f t="shared" ca="1" si="1"/>
        <v>0</v>
      </c>
      <c r="H94" s="472">
        <f t="shared" ca="1" si="68"/>
        <v>0</v>
      </c>
      <c r="I94" s="306">
        <f t="shared" si="69"/>
        <v>0</v>
      </c>
      <c r="J94" s="473">
        <f t="shared" ca="1" si="3"/>
        <v>0</v>
      </c>
      <c r="K94" s="474">
        <f t="shared" ca="1" si="70"/>
        <v>0</v>
      </c>
      <c r="L94" s="306">
        <f t="shared" si="71"/>
        <v>0</v>
      </c>
      <c r="M94" s="473">
        <f t="shared" ca="1" si="5"/>
        <v>0</v>
      </c>
      <c r="N94" s="475">
        <f ca="1">IFERROR(__xludf.DUMMYFUNCTION("IMPORTRANGE(""https://docs.google.com/spreadsheets/d/1C3CXT74ZlgGe6_JY_1olB1XN4rF0dxEuIIF-xsYjHgg/edit?usp=sharing"",""งบกองทุน!AY98"")"),0)</f>
        <v>0</v>
      </c>
      <c r="O94" s="306">
        <v>0</v>
      </c>
      <c r="P94" s="475">
        <f ca="1">IFERROR(__xludf.DUMMYFUNCTION("IMPORTRANGE(""https://docs.google.com/spreadsheets/d/1C3CXT74ZlgGe6_JY_1olB1XN4rF0dxEuIIF-xsYjHgg/edit?usp=sharing"",""งบกองทุน!AZ98"")"),0)</f>
        <v>0</v>
      </c>
      <c r="Q94" s="306">
        <v>0</v>
      </c>
      <c r="R94" s="475">
        <f ca="1">IFERROR(__xludf.DUMMYFUNCTION("IMPORTRANGE(""https://docs.google.com/spreadsheets/d/1C3CXT74ZlgGe6_JY_1olB1XN4rF0dxEuIIF-xsYjHgg/edit?usp=sharing"",""งบกองทุน!BA98"")"),0)</f>
        <v>0</v>
      </c>
      <c r="S94" s="306">
        <v>0</v>
      </c>
      <c r="T94" s="473">
        <f t="shared" ca="1" si="7"/>
        <v>0</v>
      </c>
      <c r="U94" s="339"/>
      <c r="V94" s="339"/>
      <c r="W94" s="339"/>
      <c r="X94" s="339"/>
      <c r="Y94" s="339"/>
      <c r="Z94" s="339"/>
    </row>
    <row r="95" spans="1:26" ht="24" hidden="1" customHeight="1">
      <c r="A95" s="327">
        <f t="shared" ref="A95:A105" si="72">+A94+1</f>
        <v>4</v>
      </c>
      <c r="B95" s="328" t="s">
        <v>119</v>
      </c>
      <c r="C95" s="451">
        <f t="shared" ca="1" si="67"/>
        <v>0</v>
      </c>
      <c r="D95" s="307">
        <f ca="1">IFERROR(__xludf.DUMMYFUNCTION("IMPORTRANGE(""https://docs.google.com/spreadsheets/d/1C3CXT74ZlgGe6_JY_1olB1XN4rF0dxEuIIF-xsYjHgg/edit?usp=sharing"",""งบกองทุน!AU99"")"),0)</f>
        <v>0</v>
      </c>
      <c r="E95" s="307">
        <f ca="1">IFERROR(__xludf.DUMMYFUNCTION("IMPORTRANGE(""https://docs.google.com/spreadsheets/d/1C3CXT74ZlgGe6_JY_1olB1XN4rF0dxEuIIF-xsYjHgg/edit?usp=sharing"",""งบกองทุน!AV99"")"),0)</f>
        <v>0</v>
      </c>
      <c r="F95" s="307">
        <v>0</v>
      </c>
      <c r="G95" s="307">
        <f t="shared" ca="1" si="1"/>
        <v>0</v>
      </c>
      <c r="H95" s="472">
        <f t="shared" ca="1" si="68"/>
        <v>0</v>
      </c>
      <c r="I95" s="306">
        <f t="shared" si="69"/>
        <v>0</v>
      </c>
      <c r="J95" s="473">
        <f t="shared" ca="1" si="3"/>
        <v>0</v>
      </c>
      <c r="K95" s="474">
        <f t="shared" ca="1" si="70"/>
        <v>0</v>
      </c>
      <c r="L95" s="306">
        <f t="shared" si="71"/>
        <v>0</v>
      </c>
      <c r="M95" s="473">
        <f t="shared" ca="1" si="5"/>
        <v>0</v>
      </c>
      <c r="N95" s="475">
        <f ca="1">IFERROR(__xludf.DUMMYFUNCTION("IMPORTRANGE(""https://docs.google.com/spreadsheets/d/1C3CXT74ZlgGe6_JY_1olB1XN4rF0dxEuIIF-xsYjHgg/edit?usp=sharing"",""งบกองทุน!AY99"")"),0)</f>
        <v>0</v>
      </c>
      <c r="O95" s="306">
        <v>0</v>
      </c>
      <c r="P95" s="475">
        <f ca="1">IFERROR(__xludf.DUMMYFUNCTION("IMPORTRANGE(""https://docs.google.com/spreadsheets/d/1C3CXT74ZlgGe6_JY_1olB1XN4rF0dxEuIIF-xsYjHgg/edit?usp=sharing"",""งบกองทุน!AZ99"")"),0)</f>
        <v>0</v>
      </c>
      <c r="Q95" s="306">
        <v>0</v>
      </c>
      <c r="R95" s="475">
        <f ca="1">IFERROR(__xludf.DUMMYFUNCTION("IMPORTRANGE(""https://docs.google.com/spreadsheets/d/1C3CXT74ZlgGe6_JY_1olB1XN4rF0dxEuIIF-xsYjHgg/edit?usp=sharing"",""งบกองทุน!BA99"")"),0)</f>
        <v>0</v>
      </c>
      <c r="S95" s="306">
        <v>0</v>
      </c>
      <c r="T95" s="473">
        <f t="shared" ca="1" si="7"/>
        <v>0</v>
      </c>
      <c r="U95" s="339"/>
      <c r="V95" s="339"/>
      <c r="W95" s="339"/>
      <c r="X95" s="339"/>
      <c r="Y95" s="339"/>
      <c r="Z95" s="339"/>
    </row>
    <row r="96" spans="1:26" ht="24" hidden="1" customHeight="1">
      <c r="A96" s="327">
        <f t="shared" si="72"/>
        <v>5</v>
      </c>
      <c r="B96" s="328" t="s">
        <v>120</v>
      </c>
      <c r="C96" s="451">
        <f t="shared" ca="1" si="67"/>
        <v>0</v>
      </c>
      <c r="D96" s="307">
        <f ca="1">IFERROR(__xludf.DUMMYFUNCTION("IMPORTRANGE(""https://docs.google.com/spreadsheets/d/1C3CXT74ZlgGe6_JY_1olB1XN4rF0dxEuIIF-xsYjHgg/edit?usp=sharing"",""งบกองทุน!AU100"")"),0)</f>
        <v>0</v>
      </c>
      <c r="E96" s="307">
        <f ca="1">IFERROR(__xludf.DUMMYFUNCTION("IMPORTRANGE(""https://docs.google.com/spreadsheets/d/1C3CXT74ZlgGe6_JY_1olB1XN4rF0dxEuIIF-xsYjHgg/edit?usp=sharing"",""งบกองทุน!AV100"")"),0)</f>
        <v>0</v>
      </c>
      <c r="F96" s="307">
        <v>0</v>
      </c>
      <c r="G96" s="307">
        <f t="shared" ca="1" si="1"/>
        <v>0</v>
      </c>
      <c r="H96" s="472">
        <f t="shared" ca="1" si="68"/>
        <v>0</v>
      </c>
      <c r="I96" s="306">
        <f t="shared" si="69"/>
        <v>0</v>
      </c>
      <c r="J96" s="473">
        <f t="shared" ca="1" si="3"/>
        <v>0</v>
      </c>
      <c r="K96" s="474">
        <f t="shared" ca="1" si="70"/>
        <v>0</v>
      </c>
      <c r="L96" s="306">
        <f t="shared" si="71"/>
        <v>0</v>
      </c>
      <c r="M96" s="473">
        <f t="shared" ca="1" si="5"/>
        <v>0</v>
      </c>
      <c r="N96" s="475">
        <f ca="1">IFERROR(__xludf.DUMMYFUNCTION("IMPORTRANGE(""https://docs.google.com/spreadsheets/d/1C3CXT74ZlgGe6_JY_1olB1XN4rF0dxEuIIF-xsYjHgg/edit?usp=sharing"",""งบกองทุน!AY100"")"),0)</f>
        <v>0</v>
      </c>
      <c r="O96" s="306">
        <v>0</v>
      </c>
      <c r="P96" s="475">
        <f ca="1">IFERROR(__xludf.DUMMYFUNCTION("IMPORTRANGE(""https://docs.google.com/spreadsheets/d/1C3CXT74ZlgGe6_JY_1olB1XN4rF0dxEuIIF-xsYjHgg/edit?usp=sharing"",""งบกองทุน!AZ100"")"),0)</f>
        <v>0</v>
      </c>
      <c r="Q96" s="306">
        <v>0</v>
      </c>
      <c r="R96" s="475">
        <f ca="1">IFERROR(__xludf.DUMMYFUNCTION("IMPORTRANGE(""https://docs.google.com/spreadsheets/d/1C3CXT74ZlgGe6_JY_1olB1XN4rF0dxEuIIF-xsYjHgg/edit?usp=sharing"",""งบกองทุน!BA100"")"),0)</f>
        <v>0</v>
      </c>
      <c r="S96" s="306">
        <v>0</v>
      </c>
      <c r="T96" s="473">
        <f t="shared" ca="1" si="7"/>
        <v>0</v>
      </c>
      <c r="U96" s="339"/>
      <c r="V96" s="339"/>
      <c r="W96" s="339"/>
      <c r="X96" s="339"/>
      <c r="Y96" s="339"/>
      <c r="Z96" s="339"/>
    </row>
    <row r="97" spans="1:26" ht="24" hidden="1" customHeight="1">
      <c r="A97" s="327">
        <f t="shared" si="72"/>
        <v>6</v>
      </c>
      <c r="B97" s="328" t="s">
        <v>121</v>
      </c>
      <c r="C97" s="451">
        <f t="shared" ca="1" si="67"/>
        <v>0</v>
      </c>
      <c r="D97" s="307">
        <f ca="1">IFERROR(__xludf.DUMMYFUNCTION("IMPORTRANGE(""https://docs.google.com/spreadsheets/d/1C3CXT74ZlgGe6_JY_1olB1XN4rF0dxEuIIF-xsYjHgg/edit?usp=sharing"",""งบกองทุน!AU101"")"),0)</f>
        <v>0</v>
      </c>
      <c r="E97" s="307">
        <f ca="1">IFERROR(__xludf.DUMMYFUNCTION("IMPORTRANGE(""https://docs.google.com/spreadsheets/d/1C3CXT74ZlgGe6_JY_1olB1XN4rF0dxEuIIF-xsYjHgg/edit?usp=sharing"",""งบกองทุน!AV101"")"),0)</f>
        <v>0</v>
      </c>
      <c r="F97" s="307">
        <v>0</v>
      </c>
      <c r="G97" s="307">
        <f t="shared" ca="1" si="1"/>
        <v>0</v>
      </c>
      <c r="H97" s="472">
        <f t="shared" ca="1" si="68"/>
        <v>0</v>
      </c>
      <c r="I97" s="306">
        <f t="shared" si="69"/>
        <v>0</v>
      </c>
      <c r="J97" s="473">
        <f t="shared" ca="1" si="3"/>
        <v>0</v>
      </c>
      <c r="K97" s="474">
        <f t="shared" ca="1" si="70"/>
        <v>0</v>
      </c>
      <c r="L97" s="306">
        <f t="shared" si="71"/>
        <v>0</v>
      </c>
      <c r="M97" s="473">
        <f t="shared" ca="1" si="5"/>
        <v>0</v>
      </c>
      <c r="N97" s="475">
        <f ca="1">IFERROR(__xludf.DUMMYFUNCTION("IMPORTRANGE(""https://docs.google.com/spreadsheets/d/1C3CXT74ZlgGe6_JY_1olB1XN4rF0dxEuIIF-xsYjHgg/edit?usp=sharing"",""งบกองทุน!AY101"")"),0)</f>
        <v>0</v>
      </c>
      <c r="O97" s="306">
        <v>0</v>
      </c>
      <c r="P97" s="475">
        <f ca="1">IFERROR(__xludf.DUMMYFUNCTION("IMPORTRANGE(""https://docs.google.com/spreadsheets/d/1C3CXT74ZlgGe6_JY_1olB1XN4rF0dxEuIIF-xsYjHgg/edit?usp=sharing"",""งบกองทุน!AZ101"")"),0)</f>
        <v>0</v>
      </c>
      <c r="Q97" s="306">
        <v>0</v>
      </c>
      <c r="R97" s="475">
        <f ca="1">IFERROR(__xludf.DUMMYFUNCTION("IMPORTRANGE(""https://docs.google.com/spreadsheets/d/1C3CXT74ZlgGe6_JY_1olB1XN4rF0dxEuIIF-xsYjHgg/edit?usp=sharing"",""งบกองทุน!BA101"")"),0)</f>
        <v>0</v>
      </c>
      <c r="S97" s="306">
        <v>0</v>
      </c>
      <c r="T97" s="473">
        <f t="shared" ca="1" si="7"/>
        <v>0</v>
      </c>
      <c r="U97" s="339"/>
      <c r="V97" s="339"/>
      <c r="W97" s="339"/>
      <c r="X97" s="339"/>
      <c r="Y97" s="339"/>
      <c r="Z97" s="339"/>
    </row>
    <row r="98" spans="1:26" ht="24" hidden="1" customHeight="1">
      <c r="A98" s="327">
        <f t="shared" si="72"/>
        <v>7</v>
      </c>
      <c r="B98" s="328" t="s">
        <v>122</v>
      </c>
      <c r="C98" s="451">
        <f t="shared" ca="1" si="67"/>
        <v>887400</v>
      </c>
      <c r="D98" s="307">
        <f ca="1">IFERROR(__xludf.DUMMYFUNCTION("IMPORTRANGE(""https://docs.google.com/spreadsheets/d/1C3CXT74ZlgGe6_JY_1olB1XN4rF0dxEuIIF-xsYjHgg/edit?usp=sharing"",""งบกองทุน!AU102"")"),0)</f>
        <v>0</v>
      </c>
      <c r="E98" s="307">
        <f ca="1">IFERROR(__xludf.DUMMYFUNCTION("IMPORTRANGE(""https://docs.google.com/spreadsheets/d/1C3CXT74ZlgGe6_JY_1olB1XN4rF0dxEuIIF-xsYjHgg/edit?usp=sharing"",""งบกองทุน!AV102"")"),887400)</f>
        <v>887400</v>
      </c>
      <c r="F98" s="307">
        <f ca="1">IFERROR(__xludf.DUMMYFUNCTION("IMPORTRANGE(""https://docs.google.com/spreadsheets/d/1muirlRDkqiswvy_NRZ3Yh955hx-PF6_HhssUYiSJj8o/edit?usp=sharing"",""กองทุนส่วนกลาง!T10"")"),228530.9)</f>
        <v>228530.9</v>
      </c>
      <c r="G98" s="307">
        <f t="shared" ca="1" si="1"/>
        <v>25.752862294343025</v>
      </c>
      <c r="H98" s="472">
        <f t="shared" ca="1" si="68"/>
        <v>360</v>
      </c>
      <c r="I98" s="306">
        <f t="shared" ca="1" si="69"/>
        <v>377</v>
      </c>
      <c r="J98" s="473">
        <f t="shared" ca="1" si="3"/>
        <v>104.72222222222223</v>
      </c>
      <c r="K98" s="474">
        <f t="shared" ca="1" si="70"/>
        <v>0</v>
      </c>
      <c r="L98" s="306">
        <f t="shared" si="71"/>
        <v>0</v>
      </c>
      <c r="M98" s="473">
        <f t="shared" ca="1" si="5"/>
        <v>0</v>
      </c>
      <c r="N98" s="475">
        <f ca="1">IFERROR(__xludf.DUMMYFUNCTION("IMPORTRANGE(""https://docs.google.com/spreadsheets/d/1C3CXT74ZlgGe6_JY_1olB1XN4rF0dxEuIIF-xsYjHgg/edit?usp=sharing"",""งบกองทุน!AY102"")"),0)</f>
        <v>0</v>
      </c>
      <c r="O98" s="306">
        <v>0</v>
      </c>
      <c r="P98" s="475">
        <f ca="1">IFERROR(__xludf.DUMMYFUNCTION("IMPORTRANGE(""https://docs.google.com/spreadsheets/d/1C3CXT74ZlgGe6_JY_1olB1XN4rF0dxEuIIF-xsYjHgg/edit?usp=sharing"",""งบกองทุน!AZ102"")"),0)</f>
        <v>0</v>
      </c>
      <c r="Q98" s="306">
        <v>0</v>
      </c>
      <c r="R98" s="475">
        <f ca="1">IFERROR(__xludf.DUMMYFUNCTION("IMPORTRANGE(""https://docs.google.com/spreadsheets/d/1C3CXT74ZlgGe6_JY_1olB1XN4rF0dxEuIIF-xsYjHgg/edit?usp=sharing"",""งบกองทุน!BA102"")"),360)</f>
        <v>360</v>
      </c>
      <c r="S98" s="306">
        <f ca="1">IFERROR(__xludf.DUMMYFUNCTION("IMPORTRANGE(""https://docs.google.com/spreadsheets/d/1-fhVXPMm30suWK0-eslVgeT9cTVfCsDeUsq7Bk5UZE8/edit?usp=sharing"",""ทั้งประเทศ!J347"")"),377)</f>
        <v>377</v>
      </c>
      <c r="T98" s="473">
        <f t="shared" ca="1" si="7"/>
        <v>104.72222222222223</v>
      </c>
      <c r="U98" s="339"/>
      <c r="V98" s="339"/>
      <c r="W98" s="339"/>
      <c r="X98" s="339"/>
      <c r="Y98" s="339"/>
      <c r="Z98" s="339"/>
    </row>
    <row r="99" spans="1:26" ht="24" hidden="1" customHeight="1">
      <c r="A99" s="327">
        <f t="shared" si="72"/>
        <v>8</v>
      </c>
      <c r="B99" s="328" t="s">
        <v>123</v>
      </c>
      <c r="C99" s="451">
        <f t="shared" ca="1" si="67"/>
        <v>0</v>
      </c>
      <c r="D99" s="307">
        <f ca="1">IFERROR(__xludf.DUMMYFUNCTION("IMPORTRANGE(""https://docs.google.com/spreadsheets/d/1C3CXT74ZlgGe6_JY_1olB1XN4rF0dxEuIIF-xsYjHgg/edit?usp=sharing"",""งบกองทุน!AU103"")"),0)</f>
        <v>0</v>
      </c>
      <c r="E99" s="307">
        <f ca="1">IFERROR(__xludf.DUMMYFUNCTION("IMPORTRANGE(""https://docs.google.com/spreadsheets/d/1C3CXT74ZlgGe6_JY_1olB1XN4rF0dxEuIIF-xsYjHgg/edit?usp=sharing"",""งบกองทุน!AV103"")"),0)</f>
        <v>0</v>
      </c>
      <c r="F99" s="307">
        <v>0</v>
      </c>
      <c r="G99" s="307">
        <f t="shared" ca="1" si="1"/>
        <v>0</v>
      </c>
      <c r="H99" s="472">
        <f t="shared" ca="1" si="68"/>
        <v>0</v>
      </c>
      <c r="I99" s="306">
        <f t="shared" si="69"/>
        <v>0</v>
      </c>
      <c r="J99" s="473">
        <f t="shared" ca="1" si="3"/>
        <v>0</v>
      </c>
      <c r="K99" s="474">
        <f t="shared" ca="1" si="70"/>
        <v>0</v>
      </c>
      <c r="L99" s="306">
        <f t="shared" si="71"/>
        <v>0</v>
      </c>
      <c r="M99" s="473">
        <f t="shared" ca="1" si="5"/>
        <v>0</v>
      </c>
      <c r="N99" s="475">
        <f ca="1">IFERROR(__xludf.DUMMYFUNCTION("IMPORTRANGE(""https://docs.google.com/spreadsheets/d/1C3CXT74ZlgGe6_JY_1olB1XN4rF0dxEuIIF-xsYjHgg/edit?usp=sharing"",""งบกองทุน!AY103"")"),0)</f>
        <v>0</v>
      </c>
      <c r="O99" s="306">
        <v>0</v>
      </c>
      <c r="P99" s="475">
        <f ca="1">IFERROR(__xludf.DUMMYFUNCTION("IMPORTRANGE(""https://docs.google.com/spreadsheets/d/1C3CXT74ZlgGe6_JY_1olB1XN4rF0dxEuIIF-xsYjHgg/edit?usp=sharing"",""งบกองทุน!AZ103"")"),0)</f>
        <v>0</v>
      </c>
      <c r="Q99" s="306">
        <v>0</v>
      </c>
      <c r="R99" s="475">
        <f ca="1">IFERROR(__xludf.DUMMYFUNCTION("IMPORTRANGE(""https://docs.google.com/spreadsheets/d/1C3CXT74ZlgGe6_JY_1olB1XN4rF0dxEuIIF-xsYjHgg/edit?usp=sharing"",""งบกองทุน!BA103"")"),0)</f>
        <v>0</v>
      </c>
      <c r="S99" s="306">
        <v>0</v>
      </c>
      <c r="T99" s="473">
        <f t="shared" ca="1" si="7"/>
        <v>0</v>
      </c>
      <c r="U99" s="339"/>
      <c r="V99" s="339"/>
      <c r="W99" s="339"/>
      <c r="X99" s="339"/>
      <c r="Y99" s="339"/>
      <c r="Z99" s="339"/>
    </row>
    <row r="100" spans="1:26" ht="24" hidden="1" customHeight="1">
      <c r="A100" s="327">
        <f t="shared" si="72"/>
        <v>9</v>
      </c>
      <c r="B100" s="328" t="s">
        <v>124</v>
      </c>
      <c r="C100" s="451">
        <f t="shared" ca="1" si="67"/>
        <v>0</v>
      </c>
      <c r="D100" s="307">
        <f ca="1">IFERROR(__xludf.DUMMYFUNCTION("IMPORTRANGE(""https://docs.google.com/spreadsheets/d/1C3CXT74ZlgGe6_JY_1olB1XN4rF0dxEuIIF-xsYjHgg/edit?usp=sharing"",""งบกองทุน!AU104"")"),0)</f>
        <v>0</v>
      </c>
      <c r="E100" s="307">
        <f ca="1">IFERROR(__xludf.DUMMYFUNCTION("IMPORTRANGE(""https://docs.google.com/spreadsheets/d/1C3CXT74ZlgGe6_JY_1olB1XN4rF0dxEuIIF-xsYjHgg/edit?usp=sharing"",""งบกองทุน!AV104"")"),0)</f>
        <v>0</v>
      </c>
      <c r="F100" s="307">
        <v>0</v>
      </c>
      <c r="G100" s="307">
        <f t="shared" ca="1" si="1"/>
        <v>0</v>
      </c>
      <c r="H100" s="472">
        <f t="shared" ca="1" si="68"/>
        <v>0</v>
      </c>
      <c r="I100" s="306">
        <f t="shared" si="69"/>
        <v>0</v>
      </c>
      <c r="J100" s="473">
        <f t="shared" ca="1" si="3"/>
        <v>0</v>
      </c>
      <c r="K100" s="474">
        <f t="shared" ca="1" si="70"/>
        <v>0</v>
      </c>
      <c r="L100" s="306">
        <f t="shared" si="71"/>
        <v>0</v>
      </c>
      <c r="M100" s="473">
        <f t="shared" ca="1" si="5"/>
        <v>0</v>
      </c>
      <c r="N100" s="475">
        <f ca="1">IFERROR(__xludf.DUMMYFUNCTION("IMPORTRANGE(""https://docs.google.com/spreadsheets/d/1C3CXT74ZlgGe6_JY_1olB1XN4rF0dxEuIIF-xsYjHgg/edit?usp=sharing"",""งบกองทุน!AY104"")"),0)</f>
        <v>0</v>
      </c>
      <c r="O100" s="306">
        <v>0</v>
      </c>
      <c r="P100" s="475">
        <f ca="1">IFERROR(__xludf.DUMMYFUNCTION("IMPORTRANGE(""https://docs.google.com/spreadsheets/d/1C3CXT74ZlgGe6_JY_1olB1XN4rF0dxEuIIF-xsYjHgg/edit?usp=sharing"",""งบกองทุน!AZ104"")"),0)</f>
        <v>0</v>
      </c>
      <c r="Q100" s="306">
        <v>0</v>
      </c>
      <c r="R100" s="475">
        <f ca="1">IFERROR(__xludf.DUMMYFUNCTION("IMPORTRANGE(""https://docs.google.com/spreadsheets/d/1C3CXT74ZlgGe6_JY_1olB1XN4rF0dxEuIIF-xsYjHgg/edit?usp=sharing"",""งบกองทุน!BA104"")"),0)</f>
        <v>0</v>
      </c>
      <c r="S100" s="306">
        <v>0</v>
      </c>
      <c r="T100" s="473">
        <f t="shared" ca="1" si="7"/>
        <v>0</v>
      </c>
      <c r="U100" s="339"/>
      <c r="V100" s="339"/>
      <c r="W100" s="339"/>
      <c r="X100" s="339"/>
      <c r="Y100" s="339"/>
      <c r="Z100" s="339"/>
    </row>
    <row r="101" spans="1:26" ht="24" hidden="1" customHeight="1">
      <c r="A101" s="327">
        <f t="shared" si="72"/>
        <v>10</v>
      </c>
      <c r="B101" s="328" t="s">
        <v>125</v>
      </c>
      <c r="C101" s="451">
        <f t="shared" ca="1" si="67"/>
        <v>0</v>
      </c>
      <c r="D101" s="307">
        <f ca="1">IFERROR(__xludf.DUMMYFUNCTION("IMPORTRANGE(""https://docs.google.com/spreadsheets/d/1C3CXT74ZlgGe6_JY_1olB1XN4rF0dxEuIIF-xsYjHgg/edit?usp=sharing"",""งบกองทุน!AU105"")"),0)</f>
        <v>0</v>
      </c>
      <c r="E101" s="307">
        <f ca="1">IFERROR(__xludf.DUMMYFUNCTION("IMPORTRANGE(""https://docs.google.com/spreadsheets/d/1C3CXT74ZlgGe6_JY_1olB1XN4rF0dxEuIIF-xsYjHgg/edit?usp=sharing"",""งบกองทุน!AV105"")"),0)</f>
        <v>0</v>
      </c>
      <c r="F101" s="307">
        <v>0</v>
      </c>
      <c r="G101" s="307">
        <f t="shared" ca="1" si="1"/>
        <v>0</v>
      </c>
      <c r="H101" s="472">
        <f t="shared" ca="1" si="68"/>
        <v>0</v>
      </c>
      <c r="I101" s="306">
        <f t="shared" si="69"/>
        <v>0</v>
      </c>
      <c r="J101" s="473">
        <f t="shared" ca="1" si="3"/>
        <v>0</v>
      </c>
      <c r="K101" s="474">
        <f t="shared" ca="1" si="70"/>
        <v>0</v>
      </c>
      <c r="L101" s="306">
        <f t="shared" si="71"/>
        <v>0</v>
      </c>
      <c r="M101" s="473">
        <f t="shared" ca="1" si="5"/>
        <v>0</v>
      </c>
      <c r="N101" s="475">
        <f ca="1">IFERROR(__xludf.DUMMYFUNCTION("IMPORTRANGE(""https://docs.google.com/spreadsheets/d/1C3CXT74ZlgGe6_JY_1olB1XN4rF0dxEuIIF-xsYjHgg/edit?usp=sharing"",""งบกองทุน!AY105"")"),0)</f>
        <v>0</v>
      </c>
      <c r="O101" s="306">
        <v>0</v>
      </c>
      <c r="P101" s="475">
        <f ca="1">IFERROR(__xludf.DUMMYFUNCTION("IMPORTRANGE(""https://docs.google.com/spreadsheets/d/1C3CXT74ZlgGe6_JY_1olB1XN4rF0dxEuIIF-xsYjHgg/edit?usp=sharing"",""งบกองทุน!AZ105"")"),0)</f>
        <v>0</v>
      </c>
      <c r="Q101" s="306">
        <v>0</v>
      </c>
      <c r="R101" s="475">
        <f ca="1">IFERROR(__xludf.DUMMYFUNCTION("IMPORTRANGE(""https://docs.google.com/spreadsheets/d/1C3CXT74ZlgGe6_JY_1olB1XN4rF0dxEuIIF-xsYjHgg/edit?usp=sharing"",""งบกองทุน!BA105"")"),0)</f>
        <v>0</v>
      </c>
      <c r="S101" s="306">
        <v>0</v>
      </c>
      <c r="T101" s="473">
        <f t="shared" ca="1" si="7"/>
        <v>0</v>
      </c>
      <c r="U101" s="339"/>
      <c r="V101" s="339"/>
      <c r="W101" s="339"/>
      <c r="X101" s="339"/>
      <c r="Y101" s="339"/>
      <c r="Z101" s="339"/>
    </row>
    <row r="102" spans="1:26" ht="24" hidden="1" customHeight="1">
      <c r="A102" s="327">
        <f t="shared" si="72"/>
        <v>11</v>
      </c>
      <c r="B102" s="328" t="s">
        <v>126</v>
      </c>
      <c r="C102" s="451">
        <f t="shared" ca="1" si="67"/>
        <v>0</v>
      </c>
      <c r="D102" s="307">
        <f ca="1">IFERROR(__xludf.DUMMYFUNCTION("IMPORTRANGE(""https://docs.google.com/spreadsheets/d/1C3CXT74ZlgGe6_JY_1olB1XN4rF0dxEuIIF-xsYjHgg/edit?usp=sharing"",""งบกองทุน!AU106"")"),0)</f>
        <v>0</v>
      </c>
      <c r="E102" s="307">
        <f ca="1">IFERROR(__xludf.DUMMYFUNCTION("IMPORTRANGE(""https://docs.google.com/spreadsheets/d/1C3CXT74ZlgGe6_JY_1olB1XN4rF0dxEuIIF-xsYjHgg/edit?usp=sharing"",""งบกองทุน!AV106"")"),0)</f>
        <v>0</v>
      </c>
      <c r="F102" s="307">
        <v>0</v>
      </c>
      <c r="G102" s="307">
        <f t="shared" ca="1" si="1"/>
        <v>0</v>
      </c>
      <c r="H102" s="472">
        <f t="shared" ca="1" si="68"/>
        <v>0</v>
      </c>
      <c r="I102" s="306">
        <f t="shared" si="69"/>
        <v>0</v>
      </c>
      <c r="J102" s="473">
        <f t="shared" ca="1" si="3"/>
        <v>0</v>
      </c>
      <c r="K102" s="474">
        <f t="shared" ca="1" si="70"/>
        <v>0</v>
      </c>
      <c r="L102" s="306">
        <f t="shared" si="71"/>
        <v>0</v>
      </c>
      <c r="M102" s="473">
        <f t="shared" ca="1" si="5"/>
        <v>0</v>
      </c>
      <c r="N102" s="475">
        <f ca="1">IFERROR(__xludf.DUMMYFUNCTION("IMPORTRANGE(""https://docs.google.com/spreadsheets/d/1C3CXT74ZlgGe6_JY_1olB1XN4rF0dxEuIIF-xsYjHgg/edit?usp=sharing"",""งบกองทุน!AY106"")"),0)</f>
        <v>0</v>
      </c>
      <c r="O102" s="306">
        <v>0</v>
      </c>
      <c r="P102" s="475">
        <f ca="1">IFERROR(__xludf.DUMMYFUNCTION("IMPORTRANGE(""https://docs.google.com/spreadsheets/d/1C3CXT74ZlgGe6_JY_1olB1XN4rF0dxEuIIF-xsYjHgg/edit?usp=sharing"",""งบกองทุน!AZ106"")"),0)</f>
        <v>0</v>
      </c>
      <c r="Q102" s="306">
        <v>0</v>
      </c>
      <c r="R102" s="475">
        <f ca="1">IFERROR(__xludf.DUMMYFUNCTION("IMPORTRANGE(""https://docs.google.com/spreadsheets/d/1C3CXT74ZlgGe6_JY_1olB1XN4rF0dxEuIIF-xsYjHgg/edit?usp=sharing"",""งบกองทุน!BA106"")"),0)</f>
        <v>0</v>
      </c>
      <c r="S102" s="306">
        <v>0</v>
      </c>
      <c r="T102" s="473">
        <f t="shared" ca="1" si="7"/>
        <v>0</v>
      </c>
      <c r="U102" s="339"/>
      <c r="V102" s="339"/>
      <c r="W102" s="339"/>
      <c r="X102" s="339"/>
      <c r="Y102" s="339"/>
      <c r="Z102" s="339"/>
    </row>
    <row r="103" spans="1:26" ht="24" hidden="1" customHeight="1">
      <c r="A103" s="327">
        <f t="shared" si="72"/>
        <v>12</v>
      </c>
      <c r="B103" s="328" t="s">
        <v>127</v>
      </c>
      <c r="C103" s="451">
        <f t="shared" ca="1" si="67"/>
        <v>0</v>
      </c>
      <c r="D103" s="307">
        <f ca="1">IFERROR(__xludf.DUMMYFUNCTION("IMPORTRANGE(""https://docs.google.com/spreadsheets/d/1C3CXT74ZlgGe6_JY_1olB1XN4rF0dxEuIIF-xsYjHgg/edit?usp=sharing"",""งบกองทุน!AU107"")"),0)</f>
        <v>0</v>
      </c>
      <c r="E103" s="307">
        <f ca="1">IFERROR(__xludf.DUMMYFUNCTION("IMPORTRANGE(""https://docs.google.com/spreadsheets/d/1C3CXT74ZlgGe6_JY_1olB1XN4rF0dxEuIIF-xsYjHgg/edit?usp=sharing"",""งบกองทุน!AV107"")"),0)</f>
        <v>0</v>
      </c>
      <c r="F103" s="307">
        <v>0</v>
      </c>
      <c r="G103" s="307">
        <f t="shared" ca="1" si="1"/>
        <v>0</v>
      </c>
      <c r="H103" s="472">
        <f t="shared" ca="1" si="68"/>
        <v>0</v>
      </c>
      <c r="I103" s="306">
        <f t="shared" si="69"/>
        <v>0</v>
      </c>
      <c r="J103" s="473">
        <f t="shared" ca="1" si="3"/>
        <v>0</v>
      </c>
      <c r="K103" s="474">
        <f t="shared" ca="1" si="70"/>
        <v>0</v>
      </c>
      <c r="L103" s="306">
        <f t="shared" si="71"/>
        <v>0</v>
      </c>
      <c r="M103" s="473">
        <f t="shared" ca="1" si="5"/>
        <v>0</v>
      </c>
      <c r="N103" s="475">
        <f ca="1">IFERROR(__xludf.DUMMYFUNCTION("IMPORTRANGE(""https://docs.google.com/spreadsheets/d/1C3CXT74ZlgGe6_JY_1olB1XN4rF0dxEuIIF-xsYjHgg/edit?usp=sharing"",""งบกองทุน!AY107"")"),0)</f>
        <v>0</v>
      </c>
      <c r="O103" s="306">
        <v>0</v>
      </c>
      <c r="P103" s="475">
        <f ca="1">IFERROR(__xludf.DUMMYFUNCTION("IMPORTRANGE(""https://docs.google.com/spreadsheets/d/1C3CXT74ZlgGe6_JY_1olB1XN4rF0dxEuIIF-xsYjHgg/edit?usp=sharing"",""งบกองทุน!AZ107"")"),0)</f>
        <v>0</v>
      </c>
      <c r="Q103" s="306">
        <v>0</v>
      </c>
      <c r="R103" s="475">
        <f ca="1">IFERROR(__xludf.DUMMYFUNCTION("IMPORTRANGE(""https://docs.google.com/spreadsheets/d/1C3CXT74ZlgGe6_JY_1olB1XN4rF0dxEuIIF-xsYjHgg/edit?usp=sharing"",""งบกองทุน!BA107"")"),0)</f>
        <v>0</v>
      </c>
      <c r="S103" s="306">
        <v>0</v>
      </c>
      <c r="T103" s="473">
        <f t="shared" ca="1" si="7"/>
        <v>0</v>
      </c>
      <c r="U103" s="339"/>
      <c r="V103" s="339"/>
      <c r="W103" s="339"/>
      <c r="X103" s="339"/>
      <c r="Y103" s="339"/>
      <c r="Z103" s="339"/>
    </row>
    <row r="104" spans="1:26" ht="24" hidden="1" customHeight="1">
      <c r="A104" s="327">
        <f t="shared" si="72"/>
        <v>13</v>
      </c>
      <c r="B104" s="328" t="s">
        <v>128</v>
      </c>
      <c r="C104" s="451">
        <f t="shared" ca="1" si="67"/>
        <v>0</v>
      </c>
      <c r="D104" s="307">
        <f ca="1">IFERROR(__xludf.DUMMYFUNCTION("IMPORTRANGE(""https://docs.google.com/spreadsheets/d/1C3CXT74ZlgGe6_JY_1olB1XN4rF0dxEuIIF-xsYjHgg/edit?usp=sharing"",""งบกองทุน!AU108"")"),0)</f>
        <v>0</v>
      </c>
      <c r="E104" s="307">
        <f ca="1">IFERROR(__xludf.DUMMYFUNCTION("IMPORTRANGE(""https://docs.google.com/spreadsheets/d/1C3CXT74ZlgGe6_JY_1olB1XN4rF0dxEuIIF-xsYjHgg/edit?usp=sharing"",""งบกองทุน!AV108"")"),0)</f>
        <v>0</v>
      </c>
      <c r="F104" s="307">
        <v>0</v>
      </c>
      <c r="G104" s="307">
        <f t="shared" ca="1" si="1"/>
        <v>0</v>
      </c>
      <c r="H104" s="472">
        <f t="shared" ca="1" si="68"/>
        <v>0</v>
      </c>
      <c r="I104" s="306">
        <f t="shared" si="69"/>
        <v>0</v>
      </c>
      <c r="J104" s="473">
        <f t="shared" ca="1" si="3"/>
        <v>0</v>
      </c>
      <c r="K104" s="474">
        <f t="shared" ca="1" si="70"/>
        <v>0</v>
      </c>
      <c r="L104" s="306">
        <f t="shared" si="71"/>
        <v>0</v>
      </c>
      <c r="M104" s="473">
        <f t="shared" ca="1" si="5"/>
        <v>0</v>
      </c>
      <c r="N104" s="475">
        <f ca="1">IFERROR(__xludf.DUMMYFUNCTION("IMPORTRANGE(""https://docs.google.com/spreadsheets/d/1C3CXT74ZlgGe6_JY_1olB1XN4rF0dxEuIIF-xsYjHgg/edit?usp=sharing"",""งบกองทุน!AY108"")"),0)</f>
        <v>0</v>
      </c>
      <c r="O104" s="306">
        <v>0</v>
      </c>
      <c r="P104" s="475">
        <f ca="1">IFERROR(__xludf.DUMMYFUNCTION("IMPORTRANGE(""https://docs.google.com/spreadsheets/d/1C3CXT74ZlgGe6_JY_1olB1XN4rF0dxEuIIF-xsYjHgg/edit?usp=sharing"",""งบกองทุน!AZ108"")"),0)</f>
        <v>0</v>
      </c>
      <c r="Q104" s="306">
        <v>0</v>
      </c>
      <c r="R104" s="475">
        <f ca="1">IFERROR(__xludf.DUMMYFUNCTION("IMPORTRANGE(""https://docs.google.com/spreadsheets/d/1C3CXT74ZlgGe6_JY_1olB1XN4rF0dxEuIIF-xsYjHgg/edit?usp=sharing"",""งบกองทุน!BA108"")"),0)</f>
        <v>0</v>
      </c>
      <c r="S104" s="306">
        <v>0</v>
      </c>
      <c r="T104" s="473">
        <f t="shared" ca="1" si="7"/>
        <v>0</v>
      </c>
      <c r="U104" s="339"/>
      <c r="V104" s="339"/>
      <c r="W104" s="339"/>
      <c r="X104" s="339"/>
      <c r="Y104" s="339"/>
      <c r="Z104" s="339"/>
    </row>
    <row r="105" spans="1:26" ht="24" hidden="1" customHeight="1">
      <c r="A105" s="329">
        <f t="shared" si="72"/>
        <v>14</v>
      </c>
      <c r="B105" s="330" t="s">
        <v>129</v>
      </c>
      <c r="C105" s="458">
        <f t="shared" ca="1" si="67"/>
        <v>0</v>
      </c>
      <c r="D105" s="314">
        <f ca="1">IFERROR(__xludf.DUMMYFUNCTION("IMPORTRANGE(""https://docs.google.com/spreadsheets/d/1C3CXT74ZlgGe6_JY_1olB1XN4rF0dxEuIIF-xsYjHgg/edit?usp=sharing"",""งบกองทุน!AU109"")"),0)</f>
        <v>0</v>
      </c>
      <c r="E105" s="314">
        <f ca="1">IFERROR(__xludf.DUMMYFUNCTION("IMPORTRANGE(""https://docs.google.com/spreadsheets/d/1C3CXT74ZlgGe6_JY_1olB1XN4rF0dxEuIIF-xsYjHgg/edit?usp=sharing"",""งบกองทุน!AV109"")"),0)</f>
        <v>0</v>
      </c>
      <c r="F105" s="314">
        <v>0</v>
      </c>
      <c r="G105" s="314">
        <f t="shared" ca="1" si="1"/>
        <v>0</v>
      </c>
      <c r="H105" s="476">
        <f t="shared" ca="1" si="68"/>
        <v>0</v>
      </c>
      <c r="I105" s="313">
        <f t="shared" si="69"/>
        <v>0</v>
      </c>
      <c r="J105" s="477">
        <f t="shared" ca="1" si="3"/>
        <v>0</v>
      </c>
      <c r="K105" s="478">
        <f t="shared" ca="1" si="70"/>
        <v>0</v>
      </c>
      <c r="L105" s="313">
        <f t="shared" si="71"/>
        <v>0</v>
      </c>
      <c r="M105" s="477">
        <f t="shared" ca="1" si="5"/>
        <v>0</v>
      </c>
      <c r="N105" s="479">
        <f ca="1">IFERROR(__xludf.DUMMYFUNCTION("IMPORTRANGE(""https://docs.google.com/spreadsheets/d/1C3CXT74ZlgGe6_JY_1olB1XN4rF0dxEuIIF-xsYjHgg/edit?usp=sharing"",""งบกองทุน!AY109"")"),0)</f>
        <v>0</v>
      </c>
      <c r="O105" s="313">
        <v>0</v>
      </c>
      <c r="P105" s="479">
        <f ca="1">IFERROR(__xludf.DUMMYFUNCTION("IMPORTRANGE(""https://docs.google.com/spreadsheets/d/1C3CXT74ZlgGe6_JY_1olB1XN4rF0dxEuIIF-xsYjHgg/edit?usp=sharing"",""งบกองทุน!AZ109"")"),0)</f>
        <v>0</v>
      </c>
      <c r="Q105" s="313">
        <v>0</v>
      </c>
      <c r="R105" s="479">
        <f ca="1">IFERROR(__xludf.DUMMYFUNCTION("IMPORTRANGE(""https://docs.google.com/spreadsheets/d/1C3CXT74ZlgGe6_JY_1olB1XN4rF0dxEuIIF-xsYjHgg/edit?usp=sharing"",""งบกองทุน!BA109"")"),0)</f>
        <v>0</v>
      </c>
      <c r="S105" s="313">
        <v>0</v>
      </c>
      <c r="T105" s="477">
        <f t="shared" ca="1" si="7"/>
        <v>0</v>
      </c>
      <c r="U105" s="339"/>
      <c r="V105" s="339"/>
      <c r="W105" s="339"/>
      <c r="X105" s="339"/>
      <c r="Y105" s="339"/>
      <c r="Z105" s="339"/>
    </row>
    <row r="106" spans="1:26" ht="27.75" hidden="1" customHeight="1">
      <c r="A106" s="791" t="s">
        <v>130</v>
      </c>
      <c r="B106" s="652"/>
      <c r="C106" s="402">
        <f t="shared" ref="C106:F106" ca="1" si="73">+C107+C108+C109+C110+C111+C112+C113+C114</f>
        <v>0</v>
      </c>
      <c r="D106" s="323">
        <f t="shared" ca="1" si="73"/>
        <v>0</v>
      </c>
      <c r="E106" s="323">
        <f t="shared" ca="1" si="73"/>
        <v>0</v>
      </c>
      <c r="F106" s="323">
        <f t="shared" si="73"/>
        <v>0</v>
      </c>
      <c r="G106" s="324">
        <f t="shared" ca="1" si="1"/>
        <v>0</v>
      </c>
      <c r="H106" s="323">
        <f t="shared" ref="H106:I106" ca="1" si="74">+H107+H108+H109+H110+H111+H112+H113+H114</f>
        <v>0</v>
      </c>
      <c r="I106" s="323">
        <f t="shared" si="74"/>
        <v>0</v>
      </c>
      <c r="J106" s="324">
        <f t="shared" ca="1" si="3"/>
        <v>0</v>
      </c>
      <c r="K106" s="323">
        <f t="shared" ref="K106:L106" ca="1" si="75">+K107+K108+K109+K110+K111+K112+K113+K114</f>
        <v>0</v>
      </c>
      <c r="L106" s="323">
        <f t="shared" si="75"/>
        <v>0</v>
      </c>
      <c r="M106" s="324">
        <f t="shared" ca="1" si="5"/>
        <v>0</v>
      </c>
      <c r="N106" s="323">
        <f t="shared" ref="N106:S106" ca="1" si="76">+N107+N108+N109+N110+N111+N112+N113+N114</f>
        <v>0</v>
      </c>
      <c r="O106" s="323">
        <f t="shared" si="76"/>
        <v>0</v>
      </c>
      <c r="P106" s="323">
        <f t="shared" ca="1" si="76"/>
        <v>0</v>
      </c>
      <c r="Q106" s="323">
        <f t="shared" si="76"/>
        <v>0</v>
      </c>
      <c r="R106" s="323">
        <f t="shared" ca="1" si="76"/>
        <v>0</v>
      </c>
      <c r="S106" s="323">
        <f t="shared" si="76"/>
        <v>0</v>
      </c>
      <c r="T106" s="324">
        <f t="shared" ca="1" si="7"/>
        <v>0</v>
      </c>
      <c r="U106" s="339"/>
      <c r="V106" s="339"/>
      <c r="W106" s="339"/>
      <c r="X106" s="339"/>
      <c r="Y106" s="339"/>
      <c r="Z106" s="339"/>
    </row>
    <row r="107" spans="1:26" ht="24" hidden="1" customHeight="1">
      <c r="A107" s="325">
        <v>1</v>
      </c>
      <c r="B107" s="326" t="s">
        <v>131</v>
      </c>
      <c r="C107" s="446">
        <f t="shared" ref="C107:C114" ca="1" si="77">+D107+E107</f>
        <v>0</v>
      </c>
      <c r="D107" s="297">
        <f ca="1">IFERROR(__xludf.DUMMYFUNCTION("IMPORTRANGE(""https://docs.google.com/spreadsheets/d/1C3CXT74ZlgGe6_JY_1olB1XN4rF0dxEuIIF-xsYjHgg/edit?usp=sharing"",""งบกองทุน!AU111"")"),0)</f>
        <v>0</v>
      </c>
      <c r="E107" s="297">
        <f ca="1">IFERROR(__xludf.DUMMYFUNCTION("IMPORTRANGE(""https://docs.google.com/spreadsheets/d/1C3CXT74ZlgGe6_JY_1olB1XN4rF0dxEuIIF-xsYjHgg/edit?usp=sharing"",""งบกองทุน!AV111"")"),0)</f>
        <v>0</v>
      </c>
      <c r="F107" s="297">
        <v>0</v>
      </c>
      <c r="G107" s="297">
        <f t="shared" ca="1" si="1"/>
        <v>0</v>
      </c>
      <c r="H107" s="468">
        <f t="shared" ref="H107:H114" ca="1" si="78">+N107+P107+R107</f>
        <v>0</v>
      </c>
      <c r="I107" s="296">
        <f t="shared" ref="I107:I114" si="79">SUM(L107,S107)</f>
        <v>0</v>
      </c>
      <c r="J107" s="469">
        <f t="shared" ca="1" si="3"/>
        <v>0</v>
      </c>
      <c r="K107" s="470">
        <f t="shared" ref="K107:K114" ca="1" si="80">+N107+P107</f>
        <v>0</v>
      </c>
      <c r="L107" s="296">
        <f t="shared" ref="L107:L114" si="81">SUM(O107,Q107)</f>
        <v>0</v>
      </c>
      <c r="M107" s="469">
        <f t="shared" ca="1" si="5"/>
        <v>0</v>
      </c>
      <c r="N107" s="471">
        <f ca="1">IFERROR(__xludf.DUMMYFUNCTION("IMPORTRANGE(""https://docs.google.com/spreadsheets/d/1C3CXT74ZlgGe6_JY_1olB1XN4rF0dxEuIIF-xsYjHgg/edit?usp=sharing"",""งบกองทุน!AY111"")"),0)</f>
        <v>0</v>
      </c>
      <c r="O107" s="296">
        <v>0</v>
      </c>
      <c r="P107" s="471">
        <f ca="1">IFERROR(__xludf.DUMMYFUNCTION("IMPORTRANGE(""https://docs.google.com/spreadsheets/d/1C3CXT74ZlgGe6_JY_1olB1XN4rF0dxEuIIF-xsYjHgg/edit?usp=sharing"",""งบกองทุน!AZ111"")"),0)</f>
        <v>0</v>
      </c>
      <c r="Q107" s="296">
        <v>0</v>
      </c>
      <c r="R107" s="471">
        <f ca="1">IFERROR(__xludf.DUMMYFUNCTION("IMPORTRANGE(""https://docs.google.com/spreadsheets/d/1C3CXT74ZlgGe6_JY_1olB1XN4rF0dxEuIIF-xsYjHgg/edit?usp=sharing"",""งบกองทุน!BA111"")"),0)</f>
        <v>0</v>
      </c>
      <c r="S107" s="296">
        <v>0</v>
      </c>
      <c r="T107" s="469">
        <f t="shared" ca="1" si="7"/>
        <v>0</v>
      </c>
      <c r="U107" s="339"/>
      <c r="V107" s="339"/>
      <c r="W107" s="339"/>
      <c r="X107" s="339"/>
      <c r="Y107" s="339"/>
      <c r="Z107" s="339"/>
    </row>
    <row r="108" spans="1:26" ht="24" hidden="1" customHeight="1">
      <c r="A108" s="327">
        <v>2</v>
      </c>
      <c r="B108" s="328" t="s">
        <v>132</v>
      </c>
      <c r="C108" s="451">
        <f t="shared" ca="1" si="77"/>
        <v>0</v>
      </c>
      <c r="D108" s="307">
        <f ca="1">IFERROR(__xludf.DUMMYFUNCTION("IMPORTRANGE(""https://docs.google.com/spreadsheets/d/1C3CXT74ZlgGe6_JY_1olB1XN4rF0dxEuIIF-xsYjHgg/edit?usp=sharing"",""งบกองทุน!AU112"")"),0)</f>
        <v>0</v>
      </c>
      <c r="E108" s="307">
        <f ca="1">IFERROR(__xludf.DUMMYFUNCTION("IMPORTRANGE(""https://docs.google.com/spreadsheets/d/1C3CXT74ZlgGe6_JY_1olB1XN4rF0dxEuIIF-xsYjHgg/edit?usp=sharing"",""งบกองทุน!AV112"")"),0)</f>
        <v>0</v>
      </c>
      <c r="F108" s="307">
        <v>0</v>
      </c>
      <c r="G108" s="307">
        <f t="shared" ca="1" si="1"/>
        <v>0</v>
      </c>
      <c r="H108" s="472">
        <f t="shared" ca="1" si="78"/>
        <v>0</v>
      </c>
      <c r="I108" s="306">
        <f t="shared" si="79"/>
        <v>0</v>
      </c>
      <c r="J108" s="473">
        <f t="shared" ca="1" si="3"/>
        <v>0</v>
      </c>
      <c r="K108" s="474">
        <f t="shared" ca="1" si="80"/>
        <v>0</v>
      </c>
      <c r="L108" s="306">
        <f t="shared" si="81"/>
        <v>0</v>
      </c>
      <c r="M108" s="473">
        <f t="shared" ca="1" si="5"/>
        <v>0</v>
      </c>
      <c r="N108" s="475">
        <f ca="1">IFERROR(__xludf.DUMMYFUNCTION("IMPORTRANGE(""https://docs.google.com/spreadsheets/d/1C3CXT74ZlgGe6_JY_1olB1XN4rF0dxEuIIF-xsYjHgg/edit?usp=sharing"",""งบกองทุน!AY112"")"),0)</f>
        <v>0</v>
      </c>
      <c r="O108" s="306">
        <v>0</v>
      </c>
      <c r="P108" s="475">
        <f ca="1">IFERROR(__xludf.DUMMYFUNCTION("IMPORTRANGE(""https://docs.google.com/spreadsheets/d/1C3CXT74ZlgGe6_JY_1olB1XN4rF0dxEuIIF-xsYjHgg/edit?usp=sharing"",""งบกองทุน!AZ112"")"),0)</f>
        <v>0</v>
      </c>
      <c r="Q108" s="306">
        <v>0</v>
      </c>
      <c r="R108" s="475">
        <f ca="1">IFERROR(__xludf.DUMMYFUNCTION("IMPORTRANGE(""https://docs.google.com/spreadsheets/d/1C3CXT74ZlgGe6_JY_1olB1XN4rF0dxEuIIF-xsYjHgg/edit?usp=sharing"",""งบกองทุน!BA112"")"),0)</f>
        <v>0</v>
      </c>
      <c r="S108" s="306">
        <v>0</v>
      </c>
      <c r="T108" s="473">
        <f t="shared" ca="1" si="7"/>
        <v>0</v>
      </c>
      <c r="U108" s="339"/>
      <c r="V108" s="339"/>
      <c r="W108" s="339"/>
      <c r="X108" s="339"/>
      <c r="Y108" s="339"/>
      <c r="Z108" s="339"/>
    </row>
    <row r="109" spans="1:26" ht="24" hidden="1" customHeight="1">
      <c r="A109" s="327">
        <v>3</v>
      </c>
      <c r="B109" s="328" t="s">
        <v>133</v>
      </c>
      <c r="C109" s="451">
        <f t="shared" ca="1" si="77"/>
        <v>0</v>
      </c>
      <c r="D109" s="307">
        <f ca="1">IFERROR(__xludf.DUMMYFUNCTION("IMPORTRANGE(""https://docs.google.com/spreadsheets/d/1C3CXT74ZlgGe6_JY_1olB1XN4rF0dxEuIIF-xsYjHgg/edit?usp=sharing"",""งบกองทุน!AU113"")"),0)</f>
        <v>0</v>
      </c>
      <c r="E109" s="307">
        <f ca="1">IFERROR(__xludf.DUMMYFUNCTION("IMPORTRANGE(""https://docs.google.com/spreadsheets/d/1C3CXT74ZlgGe6_JY_1olB1XN4rF0dxEuIIF-xsYjHgg/edit?usp=sharing"",""งบกองทุน!AV113"")"),0)</f>
        <v>0</v>
      </c>
      <c r="F109" s="307">
        <v>0</v>
      </c>
      <c r="G109" s="307">
        <f t="shared" ca="1" si="1"/>
        <v>0</v>
      </c>
      <c r="H109" s="472">
        <f t="shared" ca="1" si="78"/>
        <v>0</v>
      </c>
      <c r="I109" s="306">
        <f t="shared" si="79"/>
        <v>0</v>
      </c>
      <c r="J109" s="473">
        <f t="shared" ca="1" si="3"/>
        <v>0</v>
      </c>
      <c r="K109" s="474">
        <f t="shared" ca="1" si="80"/>
        <v>0</v>
      </c>
      <c r="L109" s="306">
        <f t="shared" si="81"/>
        <v>0</v>
      </c>
      <c r="M109" s="473">
        <f t="shared" ca="1" si="5"/>
        <v>0</v>
      </c>
      <c r="N109" s="475">
        <f ca="1">IFERROR(__xludf.DUMMYFUNCTION("IMPORTRANGE(""https://docs.google.com/spreadsheets/d/1C3CXT74ZlgGe6_JY_1olB1XN4rF0dxEuIIF-xsYjHgg/edit?usp=sharing"",""งบกองทุน!AY113"")"),0)</f>
        <v>0</v>
      </c>
      <c r="O109" s="306">
        <v>0</v>
      </c>
      <c r="P109" s="475">
        <f ca="1">IFERROR(__xludf.DUMMYFUNCTION("IMPORTRANGE(""https://docs.google.com/spreadsheets/d/1C3CXT74ZlgGe6_JY_1olB1XN4rF0dxEuIIF-xsYjHgg/edit?usp=sharing"",""งบกองทุน!AZ113"")"),0)</f>
        <v>0</v>
      </c>
      <c r="Q109" s="306">
        <v>0</v>
      </c>
      <c r="R109" s="475">
        <f ca="1">IFERROR(__xludf.DUMMYFUNCTION("IMPORTRANGE(""https://docs.google.com/spreadsheets/d/1C3CXT74ZlgGe6_JY_1olB1XN4rF0dxEuIIF-xsYjHgg/edit?usp=sharing"",""งบกองทุน!BA113"")"),0)</f>
        <v>0</v>
      </c>
      <c r="S109" s="306">
        <v>0</v>
      </c>
      <c r="T109" s="473">
        <f t="shared" ca="1" si="7"/>
        <v>0</v>
      </c>
      <c r="U109" s="339"/>
      <c r="V109" s="339"/>
      <c r="W109" s="339"/>
      <c r="X109" s="339"/>
      <c r="Y109" s="339"/>
      <c r="Z109" s="339"/>
    </row>
    <row r="110" spans="1:26" ht="24" hidden="1" customHeight="1">
      <c r="A110" s="327">
        <f t="shared" ref="A110:A112" si="82">+A109+1</f>
        <v>4</v>
      </c>
      <c r="B110" s="328" t="s">
        <v>134</v>
      </c>
      <c r="C110" s="451">
        <f t="shared" ca="1" si="77"/>
        <v>0</v>
      </c>
      <c r="D110" s="307">
        <f ca="1">IFERROR(__xludf.DUMMYFUNCTION("IMPORTRANGE(""https://docs.google.com/spreadsheets/d/1C3CXT74ZlgGe6_JY_1olB1XN4rF0dxEuIIF-xsYjHgg/edit?usp=sharing"",""งบกองทุน!AU114"")"),0)</f>
        <v>0</v>
      </c>
      <c r="E110" s="307">
        <f ca="1">IFERROR(__xludf.DUMMYFUNCTION("IMPORTRANGE(""https://docs.google.com/spreadsheets/d/1C3CXT74ZlgGe6_JY_1olB1XN4rF0dxEuIIF-xsYjHgg/edit?usp=sharing"",""งบกองทุน!AV114"")"),0)</f>
        <v>0</v>
      </c>
      <c r="F110" s="307">
        <v>0</v>
      </c>
      <c r="G110" s="307">
        <f t="shared" ca="1" si="1"/>
        <v>0</v>
      </c>
      <c r="H110" s="472">
        <f t="shared" ca="1" si="78"/>
        <v>0</v>
      </c>
      <c r="I110" s="306">
        <f t="shared" si="79"/>
        <v>0</v>
      </c>
      <c r="J110" s="473">
        <f t="shared" ca="1" si="3"/>
        <v>0</v>
      </c>
      <c r="K110" s="474">
        <f t="shared" ca="1" si="80"/>
        <v>0</v>
      </c>
      <c r="L110" s="306">
        <f t="shared" si="81"/>
        <v>0</v>
      </c>
      <c r="M110" s="473">
        <f t="shared" ca="1" si="5"/>
        <v>0</v>
      </c>
      <c r="N110" s="475">
        <f ca="1">IFERROR(__xludf.DUMMYFUNCTION("IMPORTRANGE(""https://docs.google.com/spreadsheets/d/1C3CXT74ZlgGe6_JY_1olB1XN4rF0dxEuIIF-xsYjHgg/edit?usp=sharing"",""งบกองทุน!AY114"")"),0)</f>
        <v>0</v>
      </c>
      <c r="O110" s="306">
        <v>0</v>
      </c>
      <c r="P110" s="475">
        <f ca="1">IFERROR(__xludf.DUMMYFUNCTION("IMPORTRANGE(""https://docs.google.com/spreadsheets/d/1C3CXT74ZlgGe6_JY_1olB1XN4rF0dxEuIIF-xsYjHgg/edit?usp=sharing"",""งบกองทุน!AZ114"")"),0)</f>
        <v>0</v>
      </c>
      <c r="Q110" s="306">
        <v>0</v>
      </c>
      <c r="R110" s="475">
        <f ca="1">IFERROR(__xludf.DUMMYFUNCTION("IMPORTRANGE(""https://docs.google.com/spreadsheets/d/1C3CXT74ZlgGe6_JY_1olB1XN4rF0dxEuIIF-xsYjHgg/edit?usp=sharing"",""งบกองทุน!BA114"")"),0)</f>
        <v>0</v>
      </c>
      <c r="S110" s="306">
        <v>0</v>
      </c>
      <c r="T110" s="473">
        <f t="shared" ca="1" si="7"/>
        <v>0</v>
      </c>
      <c r="U110" s="339"/>
      <c r="V110" s="339"/>
      <c r="W110" s="339"/>
      <c r="X110" s="339"/>
      <c r="Y110" s="339"/>
      <c r="Z110" s="339"/>
    </row>
    <row r="111" spans="1:26" ht="24" hidden="1" customHeight="1">
      <c r="A111" s="327">
        <f t="shared" si="82"/>
        <v>5</v>
      </c>
      <c r="B111" s="328" t="s">
        <v>135</v>
      </c>
      <c r="C111" s="451">
        <f t="shared" ca="1" si="77"/>
        <v>0</v>
      </c>
      <c r="D111" s="307">
        <f ca="1">IFERROR(__xludf.DUMMYFUNCTION("IMPORTRANGE(""https://docs.google.com/spreadsheets/d/1C3CXT74ZlgGe6_JY_1olB1XN4rF0dxEuIIF-xsYjHgg/edit?usp=sharing"",""งบกองทุน!AU115"")"),0)</f>
        <v>0</v>
      </c>
      <c r="E111" s="307">
        <f ca="1">IFERROR(__xludf.DUMMYFUNCTION("IMPORTRANGE(""https://docs.google.com/spreadsheets/d/1C3CXT74ZlgGe6_JY_1olB1XN4rF0dxEuIIF-xsYjHgg/edit?usp=sharing"",""งบกองทุน!AV115"")"),0)</f>
        <v>0</v>
      </c>
      <c r="F111" s="307">
        <v>0</v>
      </c>
      <c r="G111" s="307">
        <f t="shared" ca="1" si="1"/>
        <v>0</v>
      </c>
      <c r="H111" s="472">
        <f t="shared" ca="1" si="78"/>
        <v>0</v>
      </c>
      <c r="I111" s="306">
        <f t="shared" si="79"/>
        <v>0</v>
      </c>
      <c r="J111" s="473">
        <f t="shared" ca="1" si="3"/>
        <v>0</v>
      </c>
      <c r="K111" s="474">
        <f t="shared" ca="1" si="80"/>
        <v>0</v>
      </c>
      <c r="L111" s="306">
        <f t="shared" si="81"/>
        <v>0</v>
      </c>
      <c r="M111" s="473">
        <f t="shared" ca="1" si="5"/>
        <v>0</v>
      </c>
      <c r="N111" s="475">
        <f ca="1">IFERROR(__xludf.DUMMYFUNCTION("IMPORTRANGE(""https://docs.google.com/spreadsheets/d/1C3CXT74ZlgGe6_JY_1olB1XN4rF0dxEuIIF-xsYjHgg/edit?usp=sharing"",""งบกองทุน!AY115"")"),0)</f>
        <v>0</v>
      </c>
      <c r="O111" s="306">
        <v>0</v>
      </c>
      <c r="P111" s="475">
        <f ca="1">IFERROR(__xludf.DUMMYFUNCTION("IMPORTRANGE(""https://docs.google.com/spreadsheets/d/1C3CXT74ZlgGe6_JY_1olB1XN4rF0dxEuIIF-xsYjHgg/edit?usp=sharing"",""งบกองทุน!AZ115"")"),0)</f>
        <v>0</v>
      </c>
      <c r="Q111" s="306">
        <v>0</v>
      </c>
      <c r="R111" s="475">
        <f ca="1">IFERROR(__xludf.DUMMYFUNCTION("IMPORTRANGE(""https://docs.google.com/spreadsheets/d/1C3CXT74ZlgGe6_JY_1olB1XN4rF0dxEuIIF-xsYjHgg/edit?usp=sharing"",""งบกองทุน!BA115"")"),0)</f>
        <v>0</v>
      </c>
      <c r="S111" s="306">
        <v>0</v>
      </c>
      <c r="T111" s="473">
        <f t="shared" ca="1" si="7"/>
        <v>0</v>
      </c>
      <c r="U111" s="339"/>
      <c r="V111" s="339"/>
      <c r="W111" s="339"/>
      <c r="X111" s="339"/>
      <c r="Y111" s="339"/>
      <c r="Z111" s="339"/>
    </row>
    <row r="112" spans="1:26" ht="24" hidden="1" customHeight="1">
      <c r="A112" s="327">
        <f t="shared" si="82"/>
        <v>6</v>
      </c>
      <c r="B112" s="328" t="s">
        <v>136</v>
      </c>
      <c r="C112" s="451">
        <f t="shared" ca="1" si="77"/>
        <v>0</v>
      </c>
      <c r="D112" s="307">
        <f ca="1">IFERROR(__xludf.DUMMYFUNCTION("IMPORTRANGE(""https://docs.google.com/spreadsheets/d/1C3CXT74ZlgGe6_JY_1olB1XN4rF0dxEuIIF-xsYjHgg/edit?usp=sharing"",""งบกองทุน!AU116"")"),0)</f>
        <v>0</v>
      </c>
      <c r="E112" s="307">
        <f ca="1">IFERROR(__xludf.DUMMYFUNCTION("IMPORTRANGE(""https://docs.google.com/spreadsheets/d/1C3CXT74ZlgGe6_JY_1olB1XN4rF0dxEuIIF-xsYjHgg/edit?usp=sharing"",""งบกองทุน!AV116"")"),0)</f>
        <v>0</v>
      </c>
      <c r="F112" s="307">
        <v>0</v>
      </c>
      <c r="G112" s="307">
        <f t="shared" ca="1" si="1"/>
        <v>0</v>
      </c>
      <c r="H112" s="472">
        <f t="shared" ca="1" si="78"/>
        <v>0</v>
      </c>
      <c r="I112" s="306">
        <f t="shared" si="79"/>
        <v>0</v>
      </c>
      <c r="J112" s="473">
        <f t="shared" ca="1" si="3"/>
        <v>0</v>
      </c>
      <c r="K112" s="474">
        <f t="shared" ca="1" si="80"/>
        <v>0</v>
      </c>
      <c r="L112" s="306">
        <f t="shared" si="81"/>
        <v>0</v>
      </c>
      <c r="M112" s="473">
        <f t="shared" ca="1" si="5"/>
        <v>0</v>
      </c>
      <c r="N112" s="475">
        <f ca="1">IFERROR(__xludf.DUMMYFUNCTION("IMPORTRANGE(""https://docs.google.com/spreadsheets/d/1C3CXT74ZlgGe6_JY_1olB1XN4rF0dxEuIIF-xsYjHgg/edit?usp=sharing"",""งบกองทุน!AY116"")"),0)</f>
        <v>0</v>
      </c>
      <c r="O112" s="306">
        <v>0</v>
      </c>
      <c r="P112" s="475">
        <f ca="1">IFERROR(__xludf.DUMMYFUNCTION("IMPORTRANGE(""https://docs.google.com/spreadsheets/d/1C3CXT74ZlgGe6_JY_1olB1XN4rF0dxEuIIF-xsYjHgg/edit?usp=sharing"",""งบกองทุน!AZ116"")"),0)</f>
        <v>0</v>
      </c>
      <c r="Q112" s="306">
        <v>0</v>
      </c>
      <c r="R112" s="475">
        <f ca="1">IFERROR(__xludf.DUMMYFUNCTION("IMPORTRANGE(""https://docs.google.com/spreadsheets/d/1C3CXT74ZlgGe6_JY_1olB1XN4rF0dxEuIIF-xsYjHgg/edit?usp=sharing"",""งบกองทุน!BA116"")"),0)</f>
        <v>0</v>
      </c>
      <c r="S112" s="306">
        <v>0</v>
      </c>
      <c r="T112" s="473">
        <f t="shared" ca="1" si="7"/>
        <v>0</v>
      </c>
      <c r="U112" s="339"/>
      <c r="V112" s="339"/>
      <c r="W112" s="339"/>
      <c r="X112" s="339"/>
      <c r="Y112" s="339"/>
      <c r="Z112" s="339"/>
    </row>
    <row r="113" spans="1:26" ht="24" hidden="1" customHeight="1">
      <c r="A113" s="327">
        <v>7</v>
      </c>
      <c r="B113" s="328" t="s">
        <v>140</v>
      </c>
      <c r="C113" s="451">
        <f t="shared" ca="1" si="77"/>
        <v>0</v>
      </c>
      <c r="D113" s="307">
        <f ca="1">IFERROR(__xludf.DUMMYFUNCTION("IMPORTRANGE(""https://docs.google.com/spreadsheets/d/1C3CXT74ZlgGe6_JY_1olB1XN4rF0dxEuIIF-xsYjHgg/edit?usp=sharing"",""งบกองทุน!AU117"")"),0)</f>
        <v>0</v>
      </c>
      <c r="E113" s="307">
        <f ca="1">IFERROR(__xludf.DUMMYFUNCTION("IMPORTRANGE(""https://docs.google.com/spreadsheets/d/1C3CXT74ZlgGe6_JY_1olB1XN4rF0dxEuIIF-xsYjHgg/edit?usp=sharing"",""งบกองทุน!AV117"")"),0)</f>
        <v>0</v>
      </c>
      <c r="F113" s="307">
        <v>0</v>
      </c>
      <c r="G113" s="307">
        <f t="shared" ca="1" si="1"/>
        <v>0</v>
      </c>
      <c r="H113" s="472">
        <f t="shared" ca="1" si="78"/>
        <v>0</v>
      </c>
      <c r="I113" s="306">
        <f t="shared" si="79"/>
        <v>0</v>
      </c>
      <c r="J113" s="473">
        <f t="shared" ca="1" si="3"/>
        <v>0</v>
      </c>
      <c r="K113" s="474">
        <f t="shared" ca="1" si="80"/>
        <v>0</v>
      </c>
      <c r="L113" s="306">
        <f t="shared" si="81"/>
        <v>0</v>
      </c>
      <c r="M113" s="473">
        <f t="shared" ca="1" si="5"/>
        <v>0</v>
      </c>
      <c r="N113" s="475">
        <f ca="1">IFERROR(__xludf.DUMMYFUNCTION("IMPORTRANGE(""https://docs.google.com/spreadsheets/d/1C3CXT74ZlgGe6_JY_1olB1XN4rF0dxEuIIF-xsYjHgg/edit?usp=sharing"",""งบกองทุน!AY117"")"),0)</f>
        <v>0</v>
      </c>
      <c r="O113" s="306">
        <v>0</v>
      </c>
      <c r="P113" s="475">
        <f ca="1">IFERROR(__xludf.DUMMYFUNCTION("IMPORTRANGE(""https://docs.google.com/spreadsheets/d/1C3CXT74ZlgGe6_JY_1olB1XN4rF0dxEuIIF-xsYjHgg/edit?usp=sharing"",""งบกองทุน!AZ117"")"),0)</f>
        <v>0</v>
      </c>
      <c r="Q113" s="306">
        <v>0</v>
      </c>
      <c r="R113" s="475">
        <f ca="1">IFERROR(__xludf.DUMMYFUNCTION("IMPORTRANGE(""https://docs.google.com/spreadsheets/d/1C3CXT74ZlgGe6_JY_1olB1XN4rF0dxEuIIF-xsYjHgg/edit?usp=sharing"",""งบกองทุน!BA117"")"),0)</f>
        <v>0</v>
      </c>
      <c r="S113" s="306">
        <v>0</v>
      </c>
      <c r="T113" s="473">
        <f t="shared" ca="1" si="7"/>
        <v>0</v>
      </c>
      <c r="U113" s="339"/>
      <c r="V113" s="339"/>
      <c r="W113" s="339"/>
      <c r="X113" s="339"/>
      <c r="Y113" s="339"/>
      <c r="Z113" s="339"/>
    </row>
    <row r="114" spans="1:26" ht="24" hidden="1" customHeight="1">
      <c r="A114" s="329">
        <v>8</v>
      </c>
      <c r="B114" s="330" t="s">
        <v>141</v>
      </c>
      <c r="C114" s="480">
        <f t="shared" ca="1" si="77"/>
        <v>0</v>
      </c>
      <c r="D114" s="333">
        <f ca="1">IFERROR(__xludf.DUMMYFUNCTION("IMPORTRANGE(""https://docs.google.com/spreadsheets/d/1C3CXT74ZlgGe6_JY_1olB1XN4rF0dxEuIIF-xsYjHgg/edit?usp=sharing"",""งบกองทุน!AU118"")"),0)</f>
        <v>0</v>
      </c>
      <c r="E114" s="333">
        <f ca="1">IFERROR(__xludf.DUMMYFUNCTION("IMPORTRANGE(""https://docs.google.com/spreadsheets/d/1C3CXT74ZlgGe6_JY_1olB1XN4rF0dxEuIIF-xsYjHgg/edit?usp=sharing"",""งบกองทุน!AV118"")"),0)</f>
        <v>0</v>
      </c>
      <c r="F114" s="333">
        <v>0</v>
      </c>
      <c r="G114" s="333">
        <f t="shared" ca="1" si="1"/>
        <v>0</v>
      </c>
      <c r="H114" s="481">
        <f t="shared" ca="1" si="78"/>
        <v>0</v>
      </c>
      <c r="I114" s="332">
        <f t="shared" si="79"/>
        <v>0</v>
      </c>
      <c r="J114" s="482">
        <f t="shared" ca="1" si="3"/>
        <v>0</v>
      </c>
      <c r="K114" s="483">
        <f t="shared" ca="1" si="80"/>
        <v>0</v>
      </c>
      <c r="L114" s="332">
        <f t="shared" si="81"/>
        <v>0</v>
      </c>
      <c r="M114" s="482">
        <f t="shared" ca="1" si="5"/>
        <v>0</v>
      </c>
      <c r="N114" s="484">
        <f ca="1">IFERROR(__xludf.DUMMYFUNCTION("IMPORTRANGE(""https://docs.google.com/spreadsheets/d/1C3CXT74ZlgGe6_JY_1olB1XN4rF0dxEuIIF-xsYjHgg/edit?usp=sharing"",""งบกองทุน!AY118"")"),0)</f>
        <v>0</v>
      </c>
      <c r="O114" s="332">
        <v>0</v>
      </c>
      <c r="P114" s="484">
        <f ca="1">IFERROR(__xludf.DUMMYFUNCTION("IMPORTRANGE(""https://docs.google.com/spreadsheets/d/1C3CXT74ZlgGe6_JY_1olB1XN4rF0dxEuIIF-xsYjHgg/edit?usp=sharing"",""งบกองทุน!AZ118"")"),0)</f>
        <v>0</v>
      </c>
      <c r="Q114" s="332">
        <v>0</v>
      </c>
      <c r="R114" s="484">
        <f ca="1">IFERROR(__xludf.DUMMYFUNCTION("IMPORTRANGE(""https://docs.google.com/spreadsheets/d/1C3CXT74ZlgGe6_JY_1olB1XN4rF0dxEuIIF-xsYjHgg/edit?usp=sharing"",""งบกองทุน!BA118"")"),0)</f>
        <v>0</v>
      </c>
      <c r="S114" s="332">
        <v>0</v>
      </c>
      <c r="T114" s="482">
        <f t="shared" ca="1" si="7"/>
        <v>0</v>
      </c>
      <c r="U114" s="339"/>
      <c r="V114" s="339"/>
      <c r="W114" s="339"/>
      <c r="X114" s="339"/>
      <c r="Y114" s="339"/>
      <c r="Z114" s="339"/>
    </row>
    <row r="115" spans="1:26" ht="24" customHeight="1">
      <c r="A115" s="336"/>
      <c r="B115" s="336"/>
      <c r="C115" s="336"/>
      <c r="D115" s="336"/>
      <c r="E115" s="336"/>
      <c r="F115" s="336"/>
      <c r="G115" s="336"/>
      <c r="H115" s="336"/>
      <c r="I115" s="338"/>
      <c r="J115" s="337"/>
      <c r="K115" s="336"/>
      <c r="L115" s="338"/>
      <c r="M115" s="336"/>
      <c r="N115" s="485"/>
      <c r="O115" s="486"/>
      <c r="P115" s="485"/>
      <c r="Q115" s="486"/>
      <c r="R115" s="336"/>
      <c r="S115" s="338"/>
      <c r="T115" s="336"/>
      <c r="U115" s="339"/>
      <c r="V115" s="339"/>
      <c r="W115" s="339"/>
      <c r="X115" s="339"/>
      <c r="Y115" s="339"/>
      <c r="Z115" s="339"/>
    </row>
    <row r="116" spans="1:26" ht="24" customHeight="1">
      <c r="A116" s="336"/>
      <c r="B116" s="336"/>
      <c r="C116" s="336"/>
      <c r="D116" s="336"/>
      <c r="E116" s="336"/>
      <c r="F116" s="336"/>
      <c r="G116" s="336"/>
      <c r="H116" s="336"/>
      <c r="I116" s="338"/>
      <c r="J116" s="337"/>
      <c r="K116" s="336"/>
      <c r="L116" s="338"/>
      <c r="M116" s="336"/>
      <c r="N116" s="485"/>
      <c r="O116" s="486"/>
      <c r="P116" s="485"/>
      <c r="Q116" s="486"/>
      <c r="R116" s="336"/>
      <c r="S116" s="338"/>
      <c r="T116" s="336"/>
      <c r="U116" s="339"/>
      <c r="V116" s="339"/>
      <c r="W116" s="339"/>
      <c r="X116" s="339"/>
      <c r="Y116" s="339"/>
      <c r="Z116" s="339"/>
    </row>
    <row r="117" spans="1:26" ht="24" customHeight="1">
      <c r="A117" s="336"/>
      <c r="B117" s="336"/>
      <c r="C117" s="336"/>
      <c r="D117" s="336"/>
      <c r="E117" s="487"/>
      <c r="F117" s="487"/>
      <c r="G117" s="487"/>
      <c r="H117" s="336"/>
      <c r="I117" s="338"/>
      <c r="J117" s="337"/>
      <c r="K117" s="336"/>
      <c r="L117" s="338"/>
      <c r="M117" s="336"/>
      <c r="N117" s="485"/>
      <c r="O117" s="486"/>
      <c r="P117" s="485"/>
      <c r="Q117" s="486"/>
      <c r="R117" s="336"/>
      <c r="S117" s="338"/>
      <c r="T117" s="336"/>
      <c r="U117" s="339"/>
      <c r="V117" s="339"/>
      <c r="W117" s="339"/>
      <c r="X117" s="339"/>
      <c r="Y117" s="339"/>
      <c r="Z117" s="339"/>
    </row>
    <row r="118" spans="1:26" ht="24" customHeight="1">
      <c r="A118" s="336"/>
      <c r="B118" s="336"/>
      <c r="C118" s="336"/>
      <c r="D118" s="336"/>
      <c r="E118" s="487"/>
      <c r="F118" s="487"/>
      <c r="G118" s="487"/>
      <c r="H118" s="336"/>
      <c r="I118" s="338"/>
      <c r="J118" s="337"/>
      <c r="K118" s="336"/>
      <c r="L118" s="338"/>
      <c r="M118" s="336"/>
      <c r="N118" s="485"/>
      <c r="O118" s="486"/>
      <c r="P118" s="485"/>
      <c r="Q118" s="486"/>
      <c r="R118" s="336"/>
      <c r="S118" s="338"/>
      <c r="T118" s="336"/>
      <c r="U118" s="339"/>
      <c r="V118" s="339"/>
      <c r="W118" s="339"/>
      <c r="X118" s="339"/>
      <c r="Y118" s="339"/>
      <c r="Z118" s="339"/>
    </row>
    <row r="119" spans="1:26" ht="24" customHeight="1">
      <c r="A119" s="336"/>
      <c r="B119" s="336"/>
      <c r="C119" s="336"/>
      <c r="D119" s="336"/>
      <c r="E119" s="487"/>
      <c r="F119" s="487"/>
      <c r="G119" s="487"/>
      <c r="H119" s="337"/>
      <c r="I119" s="338"/>
      <c r="J119" s="337"/>
      <c r="K119" s="337"/>
      <c r="L119" s="338"/>
      <c r="M119" s="337"/>
      <c r="N119" s="485"/>
      <c r="O119" s="486"/>
      <c r="P119" s="485"/>
      <c r="Q119" s="486"/>
      <c r="R119" s="336"/>
      <c r="S119" s="338"/>
      <c r="T119" s="336"/>
      <c r="U119" s="339"/>
      <c r="V119" s="339"/>
      <c r="W119" s="339"/>
      <c r="X119" s="339"/>
      <c r="Y119" s="339"/>
      <c r="Z119" s="339"/>
    </row>
    <row r="120" spans="1:26" ht="24" customHeight="1">
      <c r="A120" s="336"/>
      <c r="B120" s="336"/>
      <c r="C120" s="336"/>
      <c r="D120" s="336"/>
      <c r="E120" s="488"/>
      <c r="F120" s="488"/>
      <c r="G120" s="488"/>
      <c r="H120" s="336"/>
      <c r="I120" s="338"/>
      <c r="J120" s="337"/>
      <c r="K120" s="336"/>
      <c r="L120" s="338"/>
      <c r="M120" s="336"/>
      <c r="N120" s="485"/>
      <c r="O120" s="486"/>
      <c r="P120" s="485"/>
      <c r="Q120" s="486"/>
      <c r="R120" s="336"/>
      <c r="S120" s="338"/>
      <c r="T120" s="336"/>
      <c r="U120" s="339"/>
      <c r="V120" s="339"/>
      <c r="W120" s="339"/>
      <c r="X120" s="339"/>
      <c r="Y120" s="339"/>
      <c r="Z120" s="339"/>
    </row>
    <row r="121" spans="1:26" ht="24" customHeight="1">
      <c r="A121" s="336"/>
      <c r="B121" s="336"/>
      <c r="C121" s="336"/>
      <c r="D121" s="336"/>
      <c r="E121" s="336"/>
      <c r="F121" s="336"/>
      <c r="G121" s="336"/>
      <c r="H121" s="336"/>
      <c r="I121" s="338"/>
      <c r="J121" s="337"/>
      <c r="K121" s="336"/>
      <c r="L121" s="338"/>
      <c r="M121" s="336"/>
      <c r="N121" s="485"/>
      <c r="O121" s="486"/>
      <c r="P121" s="485"/>
      <c r="Q121" s="486"/>
      <c r="R121" s="336"/>
      <c r="S121" s="338"/>
      <c r="T121" s="336"/>
      <c r="U121" s="339"/>
      <c r="V121" s="339"/>
      <c r="W121" s="339"/>
      <c r="X121" s="339"/>
      <c r="Y121" s="339"/>
      <c r="Z121" s="339"/>
    </row>
    <row r="122" spans="1:26" ht="24" customHeight="1">
      <c r="A122" s="336"/>
      <c r="B122" s="336"/>
      <c r="C122" s="336"/>
      <c r="D122" s="336"/>
      <c r="E122" s="336"/>
      <c r="F122" s="336"/>
      <c r="G122" s="336"/>
      <c r="H122" s="336"/>
      <c r="I122" s="338"/>
      <c r="J122" s="337"/>
      <c r="K122" s="336"/>
      <c r="L122" s="338"/>
      <c r="M122" s="336"/>
      <c r="N122" s="485"/>
      <c r="O122" s="486"/>
      <c r="P122" s="485"/>
      <c r="Q122" s="486"/>
      <c r="R122" s="336"/>
      <c r="S122" s="338"/>
      <c r="T122" s="336"/>
      <c r="U122" s="339"/>
      <c r="V122" s="339"/>
      <c r="W122" s="339"/>
      <c r="X122" s="339"/>
      <c r="Y122" s="339"/>
      <c r="Z122" s="339"/>
    </row>
    <row r="123" spans="1:26" ht="24" customHeight="1">
      <c r="A123" s="336"/>
      <c r="B123" s="336"/>
      <c r="C123" s="336"/>
      <c r="D123" s="336"/>
      <c r="E123" s="336"/>
      <c r="F123" s="336"/>
      <c r="G123" s="336"/>
      <c r="H123" s="336"/>
      <c r="I123" s="338"/>
      <c r="J123" s="337"/>
      <c r="K123" s="336"/>
      <c r="L123" s="338"/>
      <c r="M123" s="336"/>
      <c r="N123" s="485"/>
      <c r="O123" s="486"/>
      <c r="P123" s="485"/>
      <c r="Q123" s="486"/>
      <c r="R123" s="336"/>
      <c r="S123" s="338"/>
      <c r="T123" s="336"/>
      <c r="U123" s="339"/>
      <c r="V123" s="339"/>
      <c r="W123" s="339"/>
      <c r="X123" s="339"/>
      <c r="Y123" s="339"/>
      <c r="Z123" s="339"/>
    </row>
    <row r="124" spans="1:26" ht="24" customHeight="1">
      <c r="A124" s="336"/>
      <c r="B124" s="336"/>
      <c r="C124" s="336"/>
      <c r="D124" s="336"/>
      <c r="E124" s="336"/>
      <c r="F124" s="336"/>
      <c r="G124" s="336"/>
      <c r="H124" s="336"/>
      <c r="I124" s="338"/>
      <c r="J124" s="337"/>
      <c r="K124" s="336"/>
      <c r="L124" s="338"/>
      <c r="M124" s="336"/>
      <c r="N124" s="485"/>
      <c r="O124" s="486"/>
      <c r="P124" s="485"/>
      <c r="Q124" s="486"/>
      <c r="R124" s="336"/>
      <c r="S124" s="338"/>
      <c r="T124" s="336"/>
      <c r="U124" s="339"/>
      <c r="V124" s="339"/>
      <c r="W124" s="339"/>
      <c r="X124" s="339"/>
      <c r="Y124" s="339"/>
      <c r="Z124" s="339"/>
    </row>
    <row r="125" spans="1:26" ht="24" customHeight="1">
      <c r="A125" s="336"/>
      <c r="B125" s="336"/>
      <c r="C125" s="336"/>
      <c r="D125" s="336"/>
      <c r="E125" s="336"/>
      <c r="F125" s="336"/>
      <c r="G125" s="336"/>
      <c r="H125" s="336"/>
      <c r="I125" s="338"/>
      <c r="J125" s="337"/>
      <c r="K125" s="336"/>
      <c r="L125" s="338"/>
      <c r="M125" s="336"/>
      <c r="N125" s="485"/>
      <c r="O125" s="486"/>
      <c r="P125" s="485"/>
      <c r="Q125" s="486"/>
      <c r="R125" s="336"/>
      <c r="S125" s="338"/>
      <c r="T125" s="336"/>
      <c r="U125" s="339"/>
      <c r="V125" s="339"/>
      <c r="W125" s="339"/>
      <c r="X125" s="339"/>
      <c r="Y125" s="339"/>
      <c r="Z125" s="339"/>
    </row>
    <row r="126" spans="1:26" ht="24" customHeight="1">
      <c r="A126" s="336"/>
      <c r="B126" s="336"/>
      <c r="C126" s="336"/>
      <c r="D126" s="336"/>
      <c r="E126" s="336"/>
      <c r="F126" s="336"/>
      <c r="G126" s="336"/>
      <c r="H126" s="336"/>
      <c r="I126" s="338"/>
      <c r="J126" s="337"/>
      <c r="K126" s="336"/>
      <c r="L126" s="338"/>
      <c r="M126" s="336"/>
      <c r="N126" s="485"/>
      <c r="O126" s="486"/>
      <c r="P126" s="485"/>
      <c r="Q126" s="486"/>
      <c r="R126" s="336"/>
      <c r="S126" s="338"/>
      <c r="T126" s="336"/>
      <c r="U126" s="339"/>
      <c r="V126" s="339"/>
      <c r="W126" s="339"/>
      <c r="X126" s="339"/>
      <c r="Y126" s="339"/>
      <c r="Z126" s="339"/>
    </row>
    <row r="127" spans="1:26" ht="24" customHeight="1">
      <c r="A127" s="336"/>
      <c r="B127" s="336"/>
      <c r="C127" s="336"/>
      <c r="D127" s="336"/>
      <c r="E127" s="336"/>
      <c r="F127" s="336"/>
      <c r="G127" s="336"/>
      <c r="H127" s="336"/>
      <c r="I127" s="338"/>
      <c r="J127" s="337"/>
      <c r="K127" s="336"/>
      <c r="L127" s="338"/>
      <c r="M127" s="336"/>
      <c r="N127" s="485"/>
      <c r="O127" s="486"/>
      <c r="P127" s="485"/>
      <c r="Q127" s="486"/>
      <c r="R127" s="336"/>
      <c r="S127" s="338"/>
      <c r="T127" s="336"/>
      <c r="U127" s="339"/>
      <c r="V127" s="339"/>
      <c r="W127" s="339"/>
      <c r="X127" s="339"/>
      <c r="Y127" s="339"/>
      <c r="Z127" s="339"/>
    </row>
    <row r="128" spans="1:26" ht="24" customHeight="1">
      <c r="A128" s="336"/>
      <c r="B128" s="336"/>
      <c r="C128" s="336"/>
      <c r="D128" s="336"/>
      <c r="E128" s="336"/>
      <c r="F128" s="336"/>
      <c r="G128" s="336"/>
      <c r="H128" s="336"/>
      <c r="I128" s="338"/>
      <c r="J128" s="337"/>
      <c r="K128" s="336"/>
      <c r="L128" s="338"/>
      <c r="M128" s="336"/>
      <c r="N128" s="485"/>
      <c r="O128" s="486"/>
      <c r="P128" s="485"/>
      <c r="Q128" s="486"/>
      <c r="R128" s="336"/>
      <c r="S128" s="338"/>
      <c r="T128" s="336"/>
      <c r="U128" s="339"/>
      <c r="V128" s="339"/>
      <c r="W128" s="339"/>
      <c r="X128" s="339"/>
      <c r="Y128" s="339"/>
      <c r="Z128" s="339"/>
    </row>
    <row r="129" spans="1:26" ht="24" customHeight="1">
      <c r="A129" s="336"/>
      <c r="B129" s="336"/>
      <c r="C129" s="336"/>
      <c r="D129" s="336"/>
      <c r="E129" s="336"/>
      <c r="F129" s="336"/>
      <c r="G129" s="336"/>
      <c r="H129" s="336"/>
      <c r="I129" s="338"/>
      <c r="J129" s="337"/>
      <c r="K129" s="336"/>
      <c r="L129" s="338"/>
      <c r="M129" s="336"/>
      <c r="N129" s="485"/>
      <c r="O129" s="486"/>
      <c r="P129" s="485"/>
      <c r="Q129" s="486"/>
      <c r="R129" s="336"/>
      <c r="S129" s="338"/>
      <c r="T129" s="336"/>
      <c r="U129" s="339"/>
      <c r="V129" s="339"/>
      <c r="W129" s="339"/>
      <c r="X129" s="339"/>
      <c r="Y129" s="339"/>
      <c r="Z129" s="339"/>
    </row>
    <row r="130" spans="1:26" ht="24" customHeight="1">
      <c r="A130" s="336"/>
      <c r="B130" s="336"/>
      <c r="C130" s="336"/>
      <c r="D130" s="336"/>
      <c r="E130" s="336"/>
      <c r="F130" s="336"/>
      <c r="G130" s="336"/>
      <c r="H130" s="336"/>
      <c r="I130" s="338"/>
      <c r="J130" s="337"/>
      <c r="K130" s="336"/>
      <c r="L130" s="338"/>
      <c r="M130" s="336"/>
      <c r="N130" s="485"/>
      <c r="O130" s="486"/>
      <c r="P130" s="485"/>
      <c r="Q130" s="486"/>
      <c r="R130" s="336"/>
      <c r="S130" s="338"/>
      <c r="T130" s="336"/>
      <c r="U130" s="339"/>
      <c r="V130" s="339"/>
      <c r="W130" s="339"/>
      <c r="X130" s="339"/>
      <c r="Y130" s="339"/>
      <c r="Z130" s="339"/>
    </row>
    <row r="131" spans="1:26" ht="24" customHeight="1">
      <c r="A131" s="336"/>
      <c r="B131" s="336"/>
      <c r="C131" s="336"/>
      <c r="D131" s="336"/>
      <c r="E131" s="336"/>
      <c r="F131" s="336"/>
      <c r="G131" s="336"/>
      <c r="H131" s="336"/>
      <c r="I131" s="338"/>
      <c r="J131" s="337"/>
      <c r="K131" s="336"/>
      <c r="L131" s="338"/>
      <c r="M131" s="336"/>
      <c r="N131" s="485"/>
      <c r="O131" s="486"/>
      <c r="P131" s="485"/>
      <c r="Q131" s="486"/>
      <c r="R131" s="336"/>
      <c r="S131" s="338"/>
      <c r="T131" s="336"/>
      <c r="U131" s="339"/>
      <c r="V131" s="339"/>
      <c r="W131" s="339"/>
      <c r="X131" s="339"/>
      <c r="Y131" s="339"/>
      <c r="Z131" s="339"/>
    </row>
    <row r="132" spans="1:26" ht="24" customHeight="1">
      <c r="A132" s="336"/>
      <c r="B132" s="336"/>
      <c r="C132" s="336"/>
      <c r="D132" s="336"/>
      <c r="E132" s="336"/>
      <c r="F132" s="336"/>
      <c r="G132" s="336"/>
      <c r="H132" s="336"/>
      <c r="I132" s="338"/>
      <c r="J132" s="337"/>
      <c r="K132" s="336"/>
      <c r="L132" s="338"/>
      <c r="M132" s="336"/>
      <c r="N132" s="485"/>
      <c r="O132" s="486"/>
      <c r="P132" s="485"/>
      <c r="Q132" s="486"/>
      <c r="R132" s="336"/>
      <c r="S132" s="338"/>
      <c r="T132" s="336"/>
      <c r="U132" s="339"/>
      <c r="V132" s="339"/>
      <c r="W132" s="339"/>
      <c r="X132" s="339"/>
      <c r="Y132" s="339"/>
      <c r="Z132" s="339"/>
    </row>
    <row r="133" spans="1:26" ht="24" customHeight="1">
      <c r="A133" s="336"/>
      <c r="B133" s="336"/>
      <c r="C133" s="336"/>
      <c r="D133" s="336"/>
      <c r="E133" s="336"/>
      <c r="F133" s="336"/>
      <c r="G133" s="336"/>
      <c r="H133" s="336"/>
      <c r="I133" s="338"/>
      <c r="J133" s="337"/>
      <c r="K133" s="336"/>
      <c r="L133" s="338"/>
      <c r="M133" s="336"/>
      <c r="N133" s="485"/>
      <c r="O133" s="486"/>
      <c r="P133" s="485"/>
      <c r="Q133" s="486"/>
      <c r="R133" s="336"/>
      <c r="S133" s="338"/>
      <c r="T133" s="336"/>
      <c r="U133" s="339"/>
      <c r="V133" s="339"/>
      <c r="W133" s="339"/>
      <c r="X133" s="339"/>
      <c r="Y133" s="339"/>
      <c r="Z133" s="339"/>
    </row>
    <row r="134" spans="1:26" ht="24" customHeight="1">
      <c r="A134" s="336"/>
      <c r="B134" s="336"/>
      <c r="C134" s="336"/>
      <c r="D134" s="336"/>
      <c r="E134" s="336"/>
      <c r="F134" s="336"/>
      <c r="G134" s="336"/>
      <c r="H134" s="336"/>
      <c r="I134" s="338"/>
      <c r="J134" s="337"/>
      <c r="K134" s="336"/>
      <c r="L134" s="338"/>
      <c r="M134" s="336"/>
      <c r="N134" s="485"/>
      <c r="O134" s="486"/>
      <c r="P134" s="485"/>
      <c r="Q134" s="486"/>
      <c r="R134" s="336"/>
      <c r="S134" s="338"/>
      <c r="T134" s="336"/>
      <c r="U134" s="339"/>
      <c r="V134" s="339"/>
      <c r="W134" s="339"/>
      <c r="X134" s="339"/>
      <c r="Y134" s="339"/>
      <c r="Z134" s="339"/>
    </row>
    <row r="135" spans="1:26" ht="24" customHeight="1">
      <c r="A135" s="336"/>
      <c r="B135" s="336"/>
      <c r="C135" s="336"/>
      <c r="D135" s="336"/>
      <c r="E135" s="336"/>
      <c r="F135" s="336"/>
      <c r="G135" s="336"/>
      <c r="H135" s="336"/>
      <c r="I135" s="338"/>
      <c r="J135" s="337"/>
      <c r="K135" s="336"/>
      <c r="L135" s="338"/>
      <c r="M135" s="336"/>
      <c r="N135" s="485"/>
      <c r="O135" s="486"/>
      <c r="P135" s="485"/>
      <c r="Q135" s="486"/>
      <c r="R135" s="336"/>
      <c r="S135" s="338"/>
      <c r="T135" s="336"/>
      <c r="U135" s="339"/>
      <c r="V135" s="339"/>
      <c r="W135" s="339"/>
      <c r="X135" s="339"/>
      <c r="Y135" s="339"/>
      <c r="Z135" s="339"/>
    </row>
    <row r="136" spans="1:26" ht="24" customHeight="1">
      <c r="A136" s="336"/>
      <c r="B136" s="336"/>
      <c r="C136" s="336"/>
      <c r="D136" s="336"/>
      <c r="E136" s="336"/>
      <c r="F136" s="336"/>
      <c r="G136" s="336"/>
      <c r="H136" s="336"/>
      <c r="I136" s="338"/>
      <c r="J136" s="337"/>
      <c r="K136" s="336"/>
      <c r="L136" s="338"/>
      <c r="M136" s="336"/>
      <c r="N136" s="485"/>
      <c r="O136" s="486"/>
      <c r="P136" s="485"/>
      <c r="Q136" s="486"/>
      <c r="R136" s="336"/>
      <c r="S136" s="338"/>
      <c r="T136" s="336"/>
      <c r="U136" s="339"/>
      <c r="V136" s="339"/>
      <c r="W136" s="339"/>
      <c r="X136" s="339"/>
      <c r="Y136" s="339"/>
      <c r="Z136" s="339"/>
    </row>
    <row r="137" spans="1:26" ht="24" customHeight="1">
      <c r="A137" s="336"/>
      <c r="B137" s="336"/>
      <c r="C137" s="336"/>
      <c r="D137" s="336"/>
      <c r="E137" s="336"/>
      <c r="F137" s="336"/>
      <c r="G137" s="336"/>
      <c r="H137" s="336"/>
      <c r="I137" s="338"/>
      <c r="J137" s="337"/>
      <c r="K137" s="336"/>
      <c r="L137" s="338"/>
      <c r="M137" s="336"/>
      <c r="N137" s="485"/>
      <c r="O137" s="486"/>
      <c r="P137" s="485"/>
      <c r="Q137" s="486"/>
      <c r="R137" s="336"/>
      <c r="S137" s="338"/>
      <c r="T137" s="336"/>
      <c r="U137" s="339"/>
      <c r="V137" s="339"/>
      <c r="W137" s="339"/>
      <c r="X137" s="339"/>
      <c r="Y137" s="339"/>
      <c r="Z137" s="339"/>
    </row>
    <row r="138" spans="1:26" ht="24" customHeight="1">
      <c r="A138" s="336"/>
      <c r="B138" s="336"/>
      <c r="C138" s="336"/>
      <c r="D138" s="336"/>
      <c r="E138" s="336"/>
      <c r="F138" s="336"/>
      <c r="G138" s="336"/>
      <c r="H138" s="336"/>
      <c r="I138" s="338"/>
      <c r="J138" s="337"/>
      <c r="K138" s="336"/>
      <c r="L138" s="338"/>
      <c r="M138" s="336"/>
      <c r="N138" s="485"/>
      <c r="O138" s="486"/>
      <c r="P138" s="485"/>
      <c r="Q138" s="486"/>
      <c r="R138" s="336"/>
      <c r="S138" s="338"/>
      <c r="T138" s="336"/>
      <c r="U138" s="339"/>
      <c r="V138" s="339"/>
      <c r="W138" s="339"/>
      <c r="X138" s="339"/>
      <c r="Y138" s="339"/>
      <c r="Z138" s="339"/>
    </row>
    <row r="139" spans="1:26" ht="24" customHeight="1">
      <c r="A139" s="336"/>
      <c r="B139" s="336"/>
      <c r="C139" s="336"/>
      <c r="D139" s="336"/>
      <c r="E139" s="336"/>
      <c r="F139" s="336"/>
      <c r="G139" s="336"/>
      <c r="H139" s="336"/>
      <c r="I139" s="338"/>
      <c r="J139" s="337"/>
      <c r="K139" s="336"/>
      <c r="L139" s="338"/>
      <c r="M139" s="336"/>
      <c r="N139" s="485"/>
      <c r="O139" s="486"/>
      <c r="P139" s="485"/>
      <c r="Q139" s="486"/>
      <c r="R139" s="336"/>
      <c r="S139" s="338"/>
      <c r="T139" s="336"/>
      <c r="U139" s="339"/>
      <c r="V139" s="339"/>
      <c r="W139" s="339"/>
      <c r="X139" s="339"/>
      <c r="Y139" s="339"/>
      <c r="Z139" s="339"/>
    </row>
    <row r="140" spans="1:26" ht="24" customHeight="1">
      <c r="A140" s="336"/>
      <c r="B140" s="336"/>
      <c r="C140" s="336"/>
      <c r="D140" s="336"/>
      <c r="E140" s="336"/>
      <c r="F140" s="336"/>
      <c r="G140" s="336"/>
      <c r="H140" s="336"/>
      <c r="I140" s="338"/>
      <c r="J140" s="337"/>
      <c r="K140" s="336"/>
      <c r="L140" s="338"/>
      <c r="M140" s="336"/>
      <c r="N140" s="485"/>
      <c r="O140" s="486"/>
      <c r="P140" s="485"/>
      <c r="Q140" s="486"/>
      <c r="R140" s="336"/>
      <c r="S140" s="338"/>
      <c r="T140" s="336"/>
      <c r="U140" s="339"/>
      <c r="V140" s="339"/>
      <c r="W140" s="339"/>
      <c r="X140" s="339"/>
      <c r="Y140" s="339"/>
      <c r="Z140" s="339"/>
    </row>
    <row r="141" spans="1:26" ht="24" customHeight="1">
      <c r="A141" s="336"/>
      <c r="B141" s="336"/>
      <c r="C141" s="336"/>
      <c r="D141" s="336"/>
      <c r="E141" s="336"/>
      <c r="F141" s="336"/>
      <c r="G141" s="336"/>
      <c r="H141" s="336"/>
      <c r="I141" s="338"/>
      <c r="J141" s="337"/>
      <c r="K141" s="336"/>
      <c r="L141" s="338"/>
      <c r="M141" s="336"/>
      <c r="N141" s="485"/>
      <c r="O141" s="486"/>
      <c r="P141" s="485"/>
      <c r="Q141" s="486"/>
      <c r="R141" s="336"/>
      <c r="S141" s="338"/>
      <c r="T141" s="336"/>
      <c r="U141" s="339"/>
      <c r="V141" s="339"/>
      <c r="W141" s="339"/>
      <c r="X141" s="339"/>
      <c r="Y141" s="339"/>
      <c r="Z141" s="339"/>
    </row>
    <row r="142" spans="1:26" ht="24" customHeight="1">
      <c r="A142" s="336"/>
      <c r="B142" s="336"/>
      <c r="C142" s="336"/>
      <c r="D142" s="336"/>
      <c r="E142" s="336"/>
      <c r="F142" s="336"/>
      <c r="G142" s="336"/>
      <c r="H142" s="336"/>
      <c r="I142" s="338"/>
      <c r="J142" s="337"/>
      <c r="K142" s="336"/>
      <c r="L142" s="338"/>
      <c r="M142" s="336"/>
      <c r="N142" s="485"/>
      <c r="O142" s="486"/>
      <c r="P142" s="485"/>
      <c r="Q142" s="486"/>
      <c r="R142" s="336"/>
      <c r="S142" s="338"/>
      <c r="T142" s="336"/>
      <c r="U142" s="339"/>
      <c r="V142" s="339"/>
      <c r="W142" s="339"/>
      <c r="X142" s="339"/>
      <c r="Y142" s="339"/>
      <c r="Z142" s="339"/>
    </row>
    <row r="143" spans="1:26" ht="24" customHeight="1">
      <c r="A143" s="336"/>
      <c r="B143" s="336"/>
      <c r="C143" s="336"/>
      <c r="D143" s="336"/>
      <c r="E143" s="336"/>
      <c r="F143" s="336"/>
      <c r="G143" s="336"/>
      <c r="H143" s="336"/>
      <c r="I143" s="338"/>
      <c r="J143" s="337"/>
      <c r="K143" s="336"/>
      <c r="L143" s="338"/>
      <c r="M143" s="336"/>
      <c r="N143" s="485"/>
      <c r="O143" s="486"/>
      <c r="P143" s="485"/>
      <c r="Q143" s="486"/>
      <c r="R143" s="336"/>
      <c r="S143" s="338"/>
      <c r="T143" s="336"/>
      <c r="U143" s="339"/>
      <c r="V143" s="339"/>
      <c r="W143" s="339"/>
      <c r="X143" s="339"/>
      <c r="Y143" s="339"/>
      <c r="Z143" s="339"/>
    </row>
    <row r="144" spans="1:26" ht="24" customHeight="1">
      <c r="A144" s="336"/>
      <c r="B144" s="336"/>
      <c r="C144" s="336"/>
      <c r="D144" s="336"/>
      <c r="E144" s="336"/>
      <c r="F144" s="336"/>
      <c r="G144" s="336"/>
      <c r="H144" s="336"/>
      <c r="I144" s="338"/>
      <c r="J144" s="337"/>
      <c r="K144" s="336"/>
      <c r="L144" s="338"/>
      <c r="M144" s="336"/>
      <c r="N144" s="485"/>
      <c r="O144" s="486"/>
      <c r="P144" s="485"/>
      <c r="Q144" s="486"/>
      <c r="R144" s="336"/>
      <c r="S144" s="338"/>
      <c r="T144" s="336"/>
      <c r="U144" s="339"/>
      <c r="V144" s="339"/>
      <c r="W144" s="339"/>
      <c r="X144" s="339"/>
      <c r="Y144" s="339"/>
      <c r="Z144" s="339"/>
    </row>
    <row r="145" spans="1:26" ht="24" customHeight="1">
      <c r="A145" s="336"/>
      <c r="B145" s="336"/>
      <c r="C145" s="336"/>
      <c r="D145" s="336"/>
      <c r="E145" s="336"/>
      <c r="F145" s="336"/>
      <c r="G145" s="336"/>
      <c r="H145" s="336"/>
      <c r="I145" s="338"/>
      <c r="J145" s="337"/>
      <c r="K145" s="336"/>
      <c r="L145" s="338"/>
      <c r="M145" s="336"/>
      <c r="N145" s="485"/>
      <c r="O145" s="486"/>
      <c r="P145" s="485"/>
      <c r="Q145" s="486"/>
      <c r="R145" s="336"/>
      <c r="S145" s="338"/>
      <c r="T145" s="336"/>
      <c r="U145" s="339"/>
      <c r="V145" s="339"/>
      <c r="W145" s="339"/>
      <c r="X145" s="339"/>
      <c r="Y145" s="339"/>
      <c r="Z145" s="339"/>
    </row>
    <row r="146" spans="1:26" ht="24" customHeight="1">
      <c r="A146" s="336"/>
      <c r="B146" s="336"/>
      <c r="C146" s="336"/>
      <c r="D146" s="336"/>
      <c r="E146" s="336"/>
      <c r="F146" s="336"/>
      <c r="G146" s="336"/>
      <c r="H146" s="336"/>
      <c r="I146" s="338"/>
      <c r="J146" s="337"/>
      <c r="K146" s="336"/>
      <c r="L146" s="338"/>
      <c r="M146" s="336"/>
      <c r="N146" s="485"/>
      <c r="O146" s="486"/>
      <c r="P146" s="485"/>
      <c r="Q146" s="486"/>
      <c r="R146" s="336"/>
      <c r="S146" s="338"/>
      <c r="T146" s="336"/>
      <c r="U146" s="339"/>
      <c r="V146" s="339"/>
      <c r="W146" s="339"/>
      <c r="X146" s="339"/>
      <c r="Y146" s="339"/>
      <c r="Z146" s="339"/>
    </row>
    <row r="147" spans="1:26" ht="24" customHeight="1">
      <c r="A147" s="336"/>
      <c r="B147" s="336"/>
      <c r="C147" s="336"/>
      <c r="D147" s="336"/>
      <c r="E147" s="336"/>
      <c r="F147" s="336"/>
      <c r="G147" s="336"/>
      <c r="H147" s="336"/>
      <c r="I147" s="338"/>
      <c r="J147" s="337"/>
      <c r="K147" s="336"/>
      <c r="L147" s="338"/>
      <c r="M147" s="336"/>
      <c r="N147" s="485"/>
      <c r="O147" s="486"/>
      <c r="P147" s="485"/>
      <c r="Q147" s="486"/>
      <c r="R147" s="336"/>
      <c r="S147" s="338"/>
      <c r="T147" s="336"/>
      <c r="U147" s="339"/>
      <c r="V147" s="339"/>
      <c r="W147" s="339"/>
      <c r="X147" s="339"/>
      <c r="Y147" s="339"/>
      <c r="Z147" s="339"/>
    </row>
    <row r="148" spans="1:26" ht="24" customHeight="1">
      <c r="A148" s="336"/>
      <c r="B148" s="336"/>
      <c r="C148" s="336"/>
      <c r="D148" s="336"/>
      <c r="E148" s="336"/>
      <c r="F148" s="336"/>
      <c r="G148" s="336"/>
      <c r="H148" s="336"/>
      <c r="I148" s="338"/>
      <c r="J148" s="337"/>
      <c r="K148" s="336"/>
      <c r="L148" s="338"/>
      <c r="M148" s="336"/>
      <c r="N148" s="485"/>
      <c r="O148" s="486"/>
      <c r="P148" s="485"/>
      <c r="Q148" s="486"/>
      <c r="R148" s="336"/>
      <c r="S148" s="338"/>
      <c r="T148" s="336"/>
      <c r="U148" s="339"/>
      <c r="V148" s="339"/>
      <c r="W148" s="339"/>
      <c r="X148" s="339"/>
      <c r="Y148" s="339"/>
      <c r="Z148" s="339"/>
    </row>
    <row r="149" spans="1:26" ht="24" customHeight="1">
      <c r="A149" s="336"/>
      <c r="B149" s="336"/>
      <c r="C149" s="336"/>
      <c r="D149" s="336"/>
      <c r="E149" s="336"/>
      <c r="F149" s="336"/>
      <c r="G149" s="336"/>
      <c r="H149" s="336"/>
      <c r="I149" s="338"/>
      <c r="J149" s="337"/>
      <c r="K149" s="336"/>
      <c r="L149" s="338"/>
      <c r="M149" s="336"/>
      <c r="N149" s="485"/>
      <c r="O149" s="486"/>
      <c r="P149" s="485"/>
      <c r="Q149" s="486"/>
      <c r="R149" s="336"/>
      <c r="S149" s="338"/>
      <c r="T149" s="336"/>
      <c r="U149" s="339"/>
      <c r="V149" s="339"/>
      <c r="W149" s="339"/>
      <c r="X149" s="339"/>
      <c r="Y149" s="339"/>
      <c r="Z149" s="339"/>
    </row>
    <row r="150" spans="1:26" ht="24" customHeight="1">
      <c r="A150" s="336"/>
      <c r="B150" s="336"/>
      <c r="C150" s="336"/>
      <c r="D150" s="336"/>
      <c r="E150" s="336"/>
      <c r="F150" s="336"/>
      <c r="G150" s="336"/>
      <c r="H150" s="336"/>
      <c r="I150" s="338"/>
      <c r="J150" s="337"/>
      <c r="K150" s="336"/>
      <c r="L150" s="338"/>
      <c r="M150" s="336"/>
      <c r="N150" s="485"/>
      <c r="O150" s="486"/>
      <c r="P150" s="485"/>
      <c r="Q150" s="486"/>
      <c r="R150" s="336"/>
      <c r="S150" s="338"/>
      <c r="T150" s="336"/>
      <c r="U150" s="339"/>
      <c r="V150" s="339"/>
      <c r="W150" s="339"/>
      <c r="X150" s="339"/>
      <c r="Y150" s="339"/>
      <c r="Z150" s="339"/>
    </row>
    <row r="151" spans="1:26" ht="24" customHeight="1">
      <c r="A151" s="336"/>
      <c r="B151" s="336"/>
      <c r="C151" s="336"/>
      <c r="D151" s="336"/>
      <c r="E151" s="336"/>
      <c r="F151" s="336"/>
      <c r="G151" s="336"/>
      <c r="H151" s="336"/>
      <c r="I151" s="338"/>
      <c r="J151" s="337"/>
      <c r="K151" s="336"/>
      <c r="L151" s="338"/>
      <c r="M151" s="336"/>
      <c r="N151" s="485"/>
      <c r="O151" s="486"/>
      <c r="P151" s="485"/>
      <c r="Q151" s="486"/>
      <c r="R151" s="336"/>
      <c r="S151" s="338"/>
      <c r="T151" s="336"/>
      <c r="U151" s="339"/>
      <c r="V151" s="339"/>
      <c r="W151" s="339"/>
      <c r="X151" s="339"/>
      <c r="Y151" s="339"/>
      <c r="Z151" s="339"/>
    </row>
    <row r="152" spans="1:26" ht="24" customHeight="1">
      <c r="A152" s="336"/>
      <c r="B152" s="336"/>
      <c r="C152" s="336"/>
      <c r="D152" s="336"/>
      <c r="E152" s="336"/>
      <c r="F152" s="336"/>
      <c r="G152" s="336"/>
      <c r="H152" s="336"/>
      <c r="I152" s="338"/>
      <c r="J152" s="337"/>
      <c r="K152" s="336"/>
      <c r="L152" s="338"/>
      <c r="M152" s="336"/>
      <c r="N152" s="485"/>
      <c r="O152" s="486"/>
      <c r="P152" s="485"/>
      <c r="Q152" s="486"/>
      <c r="R152" s="336"/>
      <c r="S152" s="338"/>
      <c r="T152" s="336"/>
      <c r="U152" s="339"/>
      <c r="V152" s="339"/>
      <c r="W152" s="339"/>
      <c r="X152" s="339"/>
      <c r="Y152" s="339"/>
      <c r="Z152" s="339"/>
    </row>
    <row r="153" spans="1:26" ht="24" customHeight="1">
      <c r="A153" s="336"/>
      <c r="B153" s="336"/>
      <c r="C153" s="336"/>
      <c r="D153" s="336"/>
      <c r="E153" s="336"/>
      <c r="F153" s="336"/>
      <c r="G153" s="336"/>
      <c r="H153" s="336"/>
      <c r="I153" s="338"/>
      <c r="J153" s="337"/>
      <c r="K153" s="336"/>
      <c r="L153" s="338"/>
      <c r="M153" s="336"/>
      <c r="N153" s="485"/>
      <c r="O153" s="486"/>
      <c r="P153" s="485"/>
      <c r="Q153" s="486"/>
      <c r="R153" s="336"/>
      <c r="S153" s="338"/>
      <c r="T153" s="336"/>
      <c r="U153" s="339"/>
      <c r="V153" s="339"/>
      <c r="W153" s="339"/>
      <c r="X153" s="339"/>
      <c r="Y153" s="339"/>
      <c r="Z153" s="339"/>
    </row>
    <row r="154" spans="1:26" ht="24" customHeight="1">
      <c r="A154" s="336"/>
      <c r="B154" s="336"/>
      <c r="C154" s="336"/>
      <c r="D154" s="336"/>
      <c r="E154" s="336"/>
      <c r="F154" s="336"/>
      <c r="G154" s="336"/>
      <c r="H154" s="336"/>
      <c r="I154" s="338"/>
      <c r="J154" s="337"/>
      <c r="K154" s="336"/>
      <c r="L154" s="338"/>
      <c r="M154" s="336"/>
      <c r="N154" s="485"/>
      <c r="O154" s="486"/>
      <c r="P154" s="485"/>
      <c r="Q154" s="486"/>
      <c r="R154" s="336"/>
      <c r="S154" s="338"/>
      <c r="T154" s="336"/>
      <c r="U154" s="339"/>
      <c r="V154" s="339"/>
      <c r="W154" s="339"/>
      <c r="X154" s="339"/>
      <c r="Y154" s="339"/>
      <c r="Z154" s="339"/>
    </row>
    <row r="155" spans="1:26" ht="24" customHeight="1">
      <c r="A155" s="336"/>
      <c r="B155" s="336"/>
      <c r="C155" s="336"/>
      <c r="D155" s="336"/>
      <c r="E155" s="336"/>
      <c r="F155" s="336"/>
      <c r="G155" s="336"/>
      <c r="H155" s="336"/>
      <c r="I155" s="338"/>
      <c r="J155" s="337"/>
      <c r="K155" s="336"/>
      <c r="L155" s="338"/>
      <c r="M155" s="336"/>
      <c r="N155" s="485"/>
      <c r="O155" s="486"/>
      <c r="P155" s="485"/>
      <c r="Q155" s="486"/>
      <c r="R155" s="336"/>
      <c r="S155" s="338"/>
      <c r="T155" s="336"/>
      <c r="U155" s="339"/>
      <c r="V155" s="339"/>
      <c r="W155" s="339"/>
      <c r="X155" s="339"/>
      <c r="Y155" s="339"/>
      <c r="Z155" s="339"/>
    </row>
    <row r="156" spans="1:26" ht="24" customHeight="1">
      <c r="A156" s="336"/>
      <c r="B156" s="336"/>
      <c r="C156" s="336"/>
      <c r="D156" s="336"/>
      <c r="E156" s="336"/>
      <c r="F156" s="336"/>
      <c r="G156" s="336"/>
      <c r="H156" s="336"/>
      <c r="I156" s="338"/>
      <c r="J156" s="337"/>
      <c r="K156" s="336"/>
      <c r="L156" s="338"/>
      <c r="M156" s="336"/>
      <c r="N156" s="485"/>
      <c r="O156" s="486"/>
      <c r="P156" s="485"/>
      <c r="Q156" s="486"/>
      <c r="R156" s="336"/>
      <c r="S156" s="338"/>
      <c r="T156" s="336"/>
      <c r="U156" s="339"/>
      <c r="V156" s="339"/>
      <c r="W156" s="339"/>
      <c r="X156" s="339"/>
      <c r="Y156" s="339"/>
      <c r="Z156" s="339"/>
    </row>
    <row r="157" spans="1:26" ht="24" customHeight="1">
      <c r="A157" s="336"/>
      <c r="B157" s="336"/>
      <c r="C157" s="336"/>
      <c r="D157" s="336"/>
      <c r="E157" s="336"/>
      <c r="F157" s="336"/>
      <c r="G157" s="336"/>
      <c r="H157" s="336"/>
      <c r="I157" s="338"/>
      <c r="J157" s="337"/>
      <c r="K157" s="336"/>
      <c r="L157" s="338"/>
      <c r="M157" s="336"/>
      <c r="N157" s="485"/>
      <c r="O157" s="486"/>
      <c r="P157" s="485"/>
      <c r="Q157" s="486"/>
      <c r="R157" s="336"/>
      <c r="S157" s="338"/>
      <c r="T157" s="336"/>
      <c r="U157" s="339"/>
      <c r="V157" s="339"/>
      <c r="W157" s="339"/>
      <c r="X157" s="339"/>
      <c r="Y157" s="339"/>
      <c r="Z157" s="339"/>
    </row>
    <row r="158" spans="1:26" ht="24" customHeight="1">
      <c r="A158" s="336"/>
      <c r="B158" s="336"/>
      <c r="C158" s="336"/>
      <c r="D158" s="336"/>
      <c r="E158" s="336"/>
      <c r="F158" s="336"/>
      <c r="G158" s="336"/>
      <c r="H158" s="336"/>
      <c r="I158" s="338"/>
      <c r="J158" s="337"/>
      <c r="K158" s="336"/>
      <c r="L158" s="338"/>
      <c r="M158" s="336"/>
      <c r="N158" s="485"/>
      <c r="O158" s="486"/>
      <c r="P158" s="485"/>
      <c r="Q158" s="486"/>
      <c r="R158" s="336"/>
      <c r="S158" s="338"/>
      <c r="T158" s="336"/>
      <c r="U158" s="339"/>
      <c r="V158" s="339"/>
      <c r="W158" s="339"/>
      <c r="X158" s="339"/>
      <c r="Y158" s="339"/>
      <c r="Z158" s="339"/>
    </row>
    <row r="159" spans="1:26" ht="24" customHeight="1">
      <c r="A159" s="336"/>
      <c r="B159" s="336"/>
      <c r="C159" s="336"/>
      <c r="D159" s="336"/>
      <c r="E159" s="336"/>
      <c r="F159" s="336"/>
      <c r="G159" s="336"/>
      <c r="H159" s="336"/>
      <c r="I159" s="338"/>
      <c r="J159" s="337"/>
      <c r="K159" s="336"/>
      <c r="L159" s="338"/>
      <c r="M159" s="336"/>
      <c r="N159" s="485"/>
      <c r="O159" s="486"/>
      <c r="P159" s="485"/>
      <c r="Q159" s="486"/>
      <c r="R159" s="336"/>
      <c r="S159" s="338"/>
      <c r="T159" s="336"/>
      <c r="U159" s="339"/>
      <c r="V159" s="339"/>
      <c r="W159" s="339"/>
      <c r="X159" s="339"/>
      <c r="Y159" s="339"/>
      <c r="Z159" s="339"/>
    </row>
    <row r="160" spans="1:26" ht="24" customHeight="1">
      <c r="A160" s="336"/>
      <c r="B160" s="336"/>
      <c r="C160" s="336"/>
      <c r="D160" s="336"/>
      <c r="E160" s="336"/>
      <c r="F160" s="336"/>
      <c r="G160" s="336"/>
      <c r="H160" s="336"/>
      <c r="I160" s="338"/>
      <c r="J160" s="337"/>
      <c r="K160" s="336"/>
      <c r="L160" s="338"/>
      <c r="M160" s="336"/>
      <c r="N160" s="485"/>
      <c r="O160" s="486"/>
      <c r="P160" s="485"/>
      <c r="Q160" s="486"/>
      <c r="R160" s="336"/>
      <c r="S160" s="338"/>
      <c r="T160" s="336"/>
      <c r="U160" s="339"/>
      <c r="V160" s="339"/>
      <c r="W160" s="339"/>
      <c r="X160" s="339"/>
      <c r="Y160" s="339"/>
      <c r="Z160" s="339"/>
    </row>
    <row r="161" spans="1:26" ht="24" customHeight="1">
      <c r="A161" s="336"/>
      <c r="B161" s="336"/>
      <c r="C161" s="336"/>
      <c r="D161" s="336"/>
      <c r="E161" s="336"/>
      <c r="F161" s="336"/>
      <c r="G161" s="336"/>
      <c r="H161" s="336"/>
      <c r="I161" s="338"/>
      <c r="J161" s="337"/>
      <c r="K161" s="336"/>
      <c r="L161" s="338"/>
      <c r="M161" s="336"/>
      <c r="N161" s="485"/>
      <c r="O161" s="486"/>
      <c r="P161" s="485"/>
      <c r="Q161" s="486"/>
      <c r="R161" s="336"/>
      <c r="S161" s="338"/>
      <c r="T161" s="336"/>
      <c r="U161" s="339"/>
      <c r="V161" s="339"/>
      <c r="W161" s="339"/>
      <c r="X161" s="339"/>
      <c r="Y161" s="339"/>
      <c r="Z161" s="339"/>
    </row>
    <row r="162" spans="1:26" ht="24" customHeight="1">
      <c r="A162" s="336"/>
      <c r="B162" s="336"/>
      <c r="C162" s="336"/>
      <c r="D162" s="336"/>
      <c r="E162" s="336"/>
      <c r="F162" s="336"/>
      <c r="G162" s="336"/>
      <c r="H162" s="336"/>
      <c r="I162" s="338"/>
      <c r="J162" s="337"/>
      <c r="K162" s="336"/>
      <c r="L162" s="338"/>
      <c r="M162" s="336"/>
      <c r="N162" s="485"/>
      <c r="O162" s="486"/>
      <c r="P162" s="485"/>
      <c r="Q162" s="486"/>
      <c r="R162" s="336"/>
      <c r="S162" s="338"/>
      <c r="T162" s="336"/>
      <c r="U162" s="339"/>
      <c r="V162" s="339"/>
      <c r="W162" s="339"/>
      <c r="X162" s="339"/>
      <c r="Y162" s="339"/>
      <c r="Z162" s="339"/>
    </row>
    <row r="163" spans="1:26" ht="24" customHeight="1">
      <c r="A163" s="336"/>
      <c r="B163" s="336"/>
      <c r="C163" s="336"/>
      <c r="D163" s="336"/>
      <c r="E163" s="336"/>
      <c r="F163" s="336"/>
      <c r="G163" s="336"/>
      <c r="H163" s="336"/>
      <c r="I163" s="338"/>
      <c r="J163" s="337"/>
      <c r="K163" s="336"/>
      <c r="L163" s="338"/>
      <c r="M163" s="336"/>
      <c r="N163" s="485"/>
      <c r="O163" s="486"/>
      <c r="P163" s="485"/>
      <c r="Q163" s="486"/>
      <c r="R163" s="336"/>
      <c r="S163" s="338"/>
      <c r="T163" s="336"/>
      <c r="U163" s="339"/>
      <c r="V163" s="339"/>
      <c r="W163" s="339"/>
      <c r="X163" s="339"/>
      <c r="Y163" s="339"/>
      <c r="Z163" s="339"/>
    </row>
    <row r="164" spans="1:26" ht="24" customHeight="1">
      <c r="A164" s="336"/>
      <c r="B164" s="336"/>
      <c r="C164" s="336"/>
      <c r="D164" s="336"/>
      <c r="E164" s="336"/>
      <c r="F164" s="336"/>
      <c r="G164" s="336"/>
      <c r="H164" s="336"/>
      <c r="I164" s="338"/>
      <c r="J164" s="337"/>
      <c r="K164" s="336"/>
      <c r="L164" s="338"/>
      <c r="M164" s="336"/>
      <c r="N164" s="485"/>
      <c r="O164" s="486"/>
      <c r="P164" s="485"/>
      <c r="Q164" s="486"/>
      <c r="R164" s="336"/>
      <c r="S164" s="338"/>
      <c r="T164" s="336"/>
      <c r="U164" s="339"/>
      <c r="V164" s="339"/>
      <c r="W164" s="339"/>
      <c r="X164" s="339"/>
      <c r="Y164" s="339"/>
      <c r="Z164" s="339"/>
    </row>
    <row r="165" spans="1:26" ht="24" customHeight="1">
      <c r="A165" s="336"/>
      <c r="B165" s="336"/>
      <c r="C165" s="336"/>
      <c r="D165" s="336"/>
      <c r="E165" s="336"/>
      <c r="F165" s="336"/>
      <c r="G165" s="336"/>
      <c r="H165" s="336"/>
      <c r="I165" s="338"/>
      <c r="J165" s="337"/>
      <c r="K165" s="336"/>
      <c r="L165" s="338"/>
      <c r="M165" s="336"/>
      <c r="N165" s="485"/>
      <c r="O165" s="486"/>
      <c r="P165" s="485"/>
      <c r="Q165" s="486"/>
      <c r="R165" s="336"/>
      <c r="S165" s="338"/>
      <c r="T165" s="336"/>
      <c r="U165" s="339"/>
      <c r="V165" s="339"/>
      <c r="W165" s="339"/>
      <c r="X165" s="339"/>
      <c r="Y165" s="339"/>
      <c r="Z165" s="339"/>
    </row>
    <row r="166" spans="1:26" ht="24" customHeight="1">
      <c r="A166" s="336"/>
      <c r="B166" s="336"/>
      <c r="C166" s="336"/>
      <c r="D166" s="336"/>
      <c r="E166" s="336"/>
      <c r="F166" s="336"/>
      <c r="G166" s="336"/>
      <c r="H166" s="336"/>
      <c r="I166" s="338"/>
      <c r="J166" s="337"/>
      <c r="K166" s="336"/>
      <c r="L166" s="338"/>
      <c r="M166" s="336"/>
      <c r="N166" s="485"/>
      <c r="O166" s="486"/>
      <c r="P166" s="485"/>
      <c r="Q166" s="486"/>
      <c r="R166" s="336"/>
      <c r="S166" s="338"/>
      <c r="T166" s="336"/>
      <c r="U166" s="339"/>
      <c r="V166" s="339"/>
      <c r="W166" s="339"/>
      <c r="X166" s="339"/>
      <c r="Y166" s="339"/>
      <c r="Z166" s="339"/>
    </row>
    <row r="167" spans="1:26" ht="24" customHeight="1">
      <c r="A167" s="336"/>
      <c r="B167" s="336"/>
      <c r="C167" s="336"/>
      <c r="D167" s="336"/>
      <c r="E167" s="336"/>
      <c r="F167" s="336"/>
      <c r="G167" s="336"/>
      <c r="H167" s="336"/>
      <c r="I167" s="338"/>
      <c r="J167" s="337"/>
      <c r="K167" s="336"/>
      <c r="L167" s="338"/>
      <c r="M167" s="336"/>
      <c r="N167" s="485"/>
      <c r="O167" s="486"/>
      <c r="P167" s="485"/>
      <c r="Q167" s="486"/>
      <c r="R167" s="336"/>
      <c r="S167" s="338"/>
      <c r="T167" s="336"/>
      <c r="U167" s="339"/>
      <c r="V167" s="339"/>
      <c r="W167" s="339"/>
      <c r="X167" s="339"/>
      <c r="Y167" s="339"/>
      <c r="Z167" s="339"/>
    </row>
    <row r="168" spans="1:26" ht="24" customHeight="1">
      <c r="A168" s="336"/>
      <c r="B168" s="336"/>
      <c r="C168" s="336"/>
      <c r="D168" s="336"/>
      <c r="E168" s="336"/>
      <c r="F168" s="336"/>
      <c r="G168" s="336"/>
      <c r="H168" s="336"/>
      <c r="I168" s="338"/>
      <c r="J168" s="337"/>
      <c r="K168" s="336"/>
      <c r="L168" s="338"/>
      <c r="M168" s="336"/>
      <c r="N168" s="485"/>
      <c r="O168" s="486"/>
      <c r="P168" s="485"/>
      <c r="Q168" s="486"/>
      <c r="R168" s="336"/>
      <c r="S168" s="338"/>
      <c r="T168" s="336"/>
      <c r="U168" s="339"/>
      <c r="V168" s="339"/>
      <c r="W168" s="339"/>
      <c r="X168" s="339"/>
      <c r="Y168" s="339"/>
      <c r="Z168" s="339"/>
    </row>
    <row r="169" spans="1:26" ht="24" customHeight="1">
      <c r="A169" s="336"/>
      <c r="B169" s="336"/>
      <c r="C169" s="336"/>
      <c r="D169" s="336"/>
      <c r="E169" s="336"/>
      <c r="F169" s="336"/>
      <c r="G169" s="336"/>
      <c r="H169" s="336"/>
      <c r="I169" s="338"/>
      <c r="J169" s="337"/>
      <c r="K169" s="336"/>
      <c r="L169" s="338"/>
      <c r="M169" s="336"/>
      <c r="N169" s="485"/>
      <c r="O169" s="486"/>
      <c r="P169" s="485"/>
      <c r="Q169" s="486"/>
      <c r="R169" s="336"/>
      <c r="S169" s="338"/>
      <c r="T169" s="336"/>
      <c r="U169" s="339"/>
      <c r="V169" s="339"/>
      <c r="W169" s="339"/>
      <c r="X169" s="339"/>
      <c r="Y169" s="339"/>
      <c r="Z169" s="339"/>
    </row>
    <row r="170" spans="1:26" ht="24" customHeight="1">
      <c r="A170" s="336"/>
      <c r="B170" s="336"/>
      <c r="C170" s="336"/>
      <c r="D170" s="336"/>
      <c r="E170" s="336"/>
      <c r="F170" s="336"/>
      <c r="G170" s="336"/>
      <c r="H170" s="336"/>
      <c r="I170" s="338"/>
      <c r="J170" s="337"/>
      <c r="K170" s="336"/>
      <c r="L170" s="338"/>
      <c r="M170" s="336"/>
      <c r="N170" s="485"/>
      <c r="O170" s="486"/>
      <c r="P170" s="485"/>
      <c r="Q170" s="486"/>
      <c r="R170" s="336"/>
      <c r="S170" s="338"/>
      <c r="T170" s="336"/>
      <c r="U170" s="339"/>
      <c r="V170" s="339"/>
      <c r="W170" s="339"/>
      <c r="X170" s="339"/>
      <c r="Y170" s="339"/>
      <c r="Z170" s="339"/>
    </row>
    <row r="171" spans="1:26" ht="24" customHeight="1">
      <c r="A171" s="336"/>
      <c r="B171" s="336"/>
      <c r="C171" s="336"/>
      <c r="D171" s="336"/>
      <c r="E171" s="336"/>
      <c r="F171" s="336"/>
      <c r="G171" s="336"/>
      <c r="H171" s="336"/>
      <c r="I171" s="338"/>
      <c r="J171" s="337"/>
      <c r="K171" s="336"/>
      <c r="L171" s="338"/>
      <c r="M171" s="336"/>
      <c r="N171" s="485"/>
      <c r="O171" s="486"/>
      <c r="P171" s="485"/>
      <c r="Q171" s="486"/>
      <c r="R171" s="336"/>
      <c r="S171" s="338"/>
      <c r="T171" s="336"/>
      <c r="U171" s="339"/>
      <c r="V171" s="339"/>
      <c r="W171" s="339"/>
      <c r="X171" s="339"/>
      <c r="Y171" s="339"/>
      <c r="Z171" s="339"/>
    </row>
    <row r="172" spans="1:26" ht="24" customHeight="1">
      <c r="A172" s="336"/>
      <c r="B172" s="336"/>
      <c r="C172" s="336"/>
      <c r="D172" s="336"/>
      <c r="E172" s="336"/>
      <c r="F172" s="336"/>
      <c r="G172" s="336"/>
      <c r="H172" s="336"/>
      <c r="I172" s="338"/>
      <c r="J172" s="337"/>
      <c r="K172" s="336"/>
      <c r="L172" s="338"/>
      <c r="M172" s="336"/>
      <c r="N172" s="485"/>
      <c r="O172" s="486"/>
      <c r="P172" s="485"/>
      <c r="Q172" s="486"/>
      <c r="R172" s="336"/>
      <c r="S172" s="338"/>
      <c r="T172" s="336"/>
      <c r="U172" s="339"/>
      <c r="V172" s="339"/>
      <c r="W172" s="339"/>
      <c r="X172" s="339"/>
      <c r="Y172" s="339"/>
      <c r="Z172" s="339"/>
    </row>
    <row r="173" spans="1:26" ht="24" customHeight="1">
      <c r="A173" s="336"/>
      <c r="B173" s="336"/>
      <c r="C173" s="336"/>
      <c r="D173" s="336"/>
      <c r="E173" s="336"/>
      <c r="F173" s="336"/>
      <c r="G173" s="336"/>
      <c r="H173" s="336"/>
      <c r="I173" s="338"/>
      <c r="J173" s="337"/>
      <c r="K173" s="336"/>
      <c r="L173" s="338"/>
      <c r="M173" s="336"/>
      <c r="N173" s="485"/>
      <c r="O173" s="486"/>
      <c r="P173" s="485"/>
      <c r="Q173" s="486"/>
      <c r="R173" s="336"/>
      <c r="S173" s="338"/>
      <c r="T173" s="336"/>
      <c r="U173" s="339"/>
      <c r="V173" s="339"/>
      <c r="W173" s="339"/>
      <c r="X173" s="339"/>
      <c r="Y173" s="339"/>
      <c r="Z173" s="339"/>
    </row>
    <row r="174" spans="1:26" ht="24" customHeight="1">
      <c r="A174" s="336"/>
      <c r="B174" s="336"/>
      <c r="C174" s="336"/>
      <c r="D174" s="336"/>
      <c r="E174" s="336"/>
      <c r="F174" s="336"/>
      <c r="G174" s="336"/>
      <c r="H174" s="336"/>
      <c r="I174" s="338"/>
      <c r="J174" s="337"/>
      <c r="K174" s="336"/>
      <c r="L174" s="338"/>
      <c r="M174" s="336"/>
      <c r="N174" s="485"/>
      <c r="O174" s="486"/>
      <c r="P174" s="485"/>
      <c r="Q174" s="486"/>
      <c r="R174" s="336"/>
      <c r="S174" s="338"/>
      <c r="T174" s="336"/>
      <c r="U174" s="339"/>
      <c r="V174" s="339"/>
      <c r="W174" s="339"/>
      <c r="X174" s="339"/>
      <c r="Y174" s="339"/>
      <c r="Z174" s="339"/>
    </row>
    <row r="175" spans="1:26" ht="24" customHeight="1">
      <c r="A175" s="336"/>
      <c r="B175" s="336"/>
      <c r="C175" s="336"/>
      <c r="D175" s="336"/>
      <c r="E175" s="336"/>
      <c r="F175" s="336"/>
      <c r="G175" s="336"/>
      <c r="H175" s="336"/>
      <c r="I175" s="338"/>
      <c r="J175" s="337"/>
      <c r="K175" s="336"/>
      <c r="L175" s="338"/>
      <c r="M175" s="336"/>
      <c r="N175" s="485"/>
      <c r="O175" s="486"/>
      <c r="P175" s="485"/>
      <c r="Q175" s="486"/>
      <c r="R175" s="336"/>
      <c r="S175" s="338"/>
      <c r="T175" s="336"/>
      <c r="U175" s="339"/>
      <c r="V175" s="339"/>
      <c r="W175" s="339"/>
      <c r="X175" s="339"/>
      <c r="Y175" s="339"/>
      <c r="Z175" s="339"/>
    </row>
    <row r="176" spans="1:26" ht="24" customHeight="1">
      <c r="A176" s="336"/>
      <c r="B176" s="336"/>
      <c r="C176" s="336"/>
      <c r="D176" s="336"/>
      <c r="E176" s="336"/>
      <c r="F176" s="336"/>
      <c r="G176" s="336"/>
      <c r="H176" s="336"/>
      <c r="I176" s="338"/>
      <c r="J176" s="337"/>
      <c r="K176" s="336"/>
      <c r="L176" s="338"/>
      <c r="M176" s="336"/>
      <c r="N176" s="485"/>
      <c r="O176" s="486"/>
      <c r="P176" s="485"/>
      <c r="Q176" s="486"/>
      <c r="R176" s="336"/>
      <c r="S176" s="338"/>
      <c r="T176" s="336"/>
      <c r="U176" s="339"/>
      <c r="V176" s="339"/>
      <c r="W176" s="339"/>
      <c r="X176" s="339"/>
      <c r="Y176" s="339"/>
      <c r="Z176" s="339"/>
    </row>
    <row r="177" spans="1:26" ht="24" customHeight="1">
      <c r="A177" s="336"/>
      <c r="B177" s="336"/>
      <c r="C177" s="336"/>
      <c r="D177" s="336"/>
      <c r="E177" s="336"/>
      <c r="F177" s="336"/>
      <c r="G177" s="336"/>
      <c r="H177" s="336"/>
      <c r="I177" s="338"/>
      <c r="J177" s="337"/>
      <c r="K177" s="336"/>
      <c r="L177" s="338"/>
      <c r="M177" s="336"/>
      <c r="N177" s="485"/>
      <c r="O177" s="486"/>
      <c r="P177" s="485"/>
      <c r="Q177" s="486"/>
      <c r="R177" s="336"/>
      <c r="S177" s="338"/>
      <c r="T177" s="336"/>
      <c r="U177" s="339"/>
      <c r="V177" s="339"/>
      <c r="W177" s="339"/>
      <c r="X177" s="339"/>
      <c r="Y177" s="339"/>
      <c r="Z177" s="339"/>
    </row>
    <row r="178" spans="1:26" ht="24" customHeight="1">
      <c r="A178" s="336"/>
      <c r="B178" s="336"/>
      <c r="C178" s="336"/>
      <c r="D178" s="336"/>
      <c r="E178" s="336"/>
      <c r="F178" s="336"/>
      <c r="G178" s="336"/>
      <c r="H178" s="336"/>
      <c r="I178" s="338"/>
      <c r="J178" s="337"/>
      <c r="K178" s="336"/>
      <c r="L178" s="338"/>
      <c r="M178" s="336"/>
      <c r="N178" s="485"/>
      <c r="O178" s="486"/>
      <c r="P178" s="485"/>
      <c r="Q178" s="486"/>
      <c r="R178" s="336"/>
      <c r="S178" s="338"/>
      <c r="T178" s="336"/>
      <c r="U178" s="339"/>
      <c r="V178" s="339"/>
      <c r="W178" s="339"/>
      <c r="X178" s="339"/>
      <c r="Y178" s="339"/>
      <c r="Z178" s="339"/>
    </row>
    <row r="179" spans="1:26" ht="24" customHeight="1">
      <c r="A179" s="336"/>
      <c r="B179" s="336"/>
      <c r="C179" s="336"/>
      <c r="D179" s="336"/>
      <c r="E179" s="336"/>
      <c r="F179" s="336"/>
      <c r="G179" s="336"/>
      <c r="H179" s="336"/>
      <c r="I179" s="338"/>
      <c r="J179" s="337"/>
      <c r="K179" s="336"/>
      <c r="L179" s="338"/>
      <c r="M179" s="336"/>
      <c r="N179" s="485"/>
      <c r="O179" s="486"/>
      <c r="P179" s="485"/>
      <c r="Q179" s="486"/>
      <c r="R179" s="336"/>
      <c r="S179" s="338"/>
      <c r="T179" s="336"/>
      <c r="U179" s="339"/>
      <c r="V179" s="339"/>
      <c r="W179" s="339"/>
      <c r="X179" s="339"/>
      <c r="Y179" s="339"/>
      <c r="Z179" s="339"/>
    </row>
    <row r="180" spans="1:26" ht="24" customHeight="1">
      <c r="A180" s="336"/>
      <c r="B180" s="336"/>
      <c r="C180" s="336"/>
      <c r="D180" s="336"/>
      <c r="E180" s="336"/>
      <c r="F180" s="336"/>
      <c r="G180" s="336"/>
      <c r="H180" s="336"/>
      <c r="I180" s="338"/>
      <c r="J180" s="337"/>
      <c r="K180" s="336"/>
      <c r="L180" s="338"/>
      <c r="M180" s="336"/>
      <c r="N180" s="485"/>
      <c r="O180" s="486"/>
      <c r="P180" s="485"/>
      <c r="Q180" s="486"/>
      <c r="R180" s="336"/>
      <c r="S180" s="338"/>
      <c r="T180" s="336"/>
      <c r="U180" s="339"/>
      <c r="V180" s="339"/>
      <c r="W180" s="339"/>
      <c r="X180" s="339"/>
      <c r="Y180" s="339"/>
      <c r="Z180" s="339"/>
    </row>
    <row r="181" spans="1:26" ht="24" customHeight="1">
      <c r="A181" s="336"/>
      <c r="B181" s="336"/>
      <c r="C181" s="336"/>
      <c r="D181" s="336"/>
      <c r="E181" s="336"/>
      <c r="F181" s="336"/>
      <c r="G181" s="336"/>
      <c r="H181" s="336"/>
      <c r="I181" s="338"/>
      <c r="J181" s="337"/>
      <c r="K181" s="336"/>
      <c r="L181" s="338"/>
      <c r="M181" s="336"/>
      <c r="N181" s="485"/>
      <c r="O181" s="486"/>
      <c r="P181" s="485"/>
      <c r="Q181" s="486"/>
      <c r="R181" s="336"/>
      <c r="S181" s="338"/>
      <c r="T181" s="336"/>
      <c r="U181" s="339"/>
      <c r="V181" s="339"/>
      <c r="W181" s="339"/>
      <c r="X181" s="339"/>
      <c r="Y181" s="339"/>
      <c r="Z181" s="339"/>
    </row>
    <row r="182" spans="1:26" ht="24" customHeight="1">
      <c r="A182" s="336"/>
      <c r="B182" s="336"/>
      <c r="C182" s="336"/>
      <c r="D182" s="336"/>
      <c r="E182" s="336"/>
      <c r="F182" s="336"/>
      <c r="G182" s="336"/>
      <c r="H182" s="336"/>
      <c r="I182" s="338"/>
      <c r="J182" s="337"/>
      <c r="K182" s="336"/>
      <c r="L182" s="338"/>
      <c r="M182" s="336"/>
      <c r="N182" s="485"/>
      <c r="O182" s="486"/>
      <c r="P182" s="485"/>
      <c r="Q182" s="486"/>
      <c r="R182" s="336"/>
      <c r="S182" s="338"/>
      <c r="T182" s="336"/>
      <c r="U182" s="339"/>
      <c r="V182" s="339"/>
      <c r="W182" s="339"/>
      <c r="X182" s="339"/>
      <c r="Y182" s="339"/>
      <c r="Z182" s="339"/>
    </row>
    <row r="183" spans="1:26" ht="24" customHeight="1">
      <c r="A183" s="336"/>
      <c r="B183" s="336"/>
      <c r="C183" s="336"/>
      <c r="D183" s="336"/>
      <c r="E183" s="336"/>
      <c r="F183" s="336"/>
      <c r="G183" s="336"/>
      <c r="H183" s="336"/>
      <c r="I183" s="338"/>
      <c r="J183" s="337"/>
      <c r="K183" s="336"/>
      <c r="L183" s="338"/>
      <c r="M183" s="336"/>
      <c r="N183" s="485"/>
      <c r="O183" s="486"/>
      <c r="P183" s="485"/>
      <c r="Q183" s="486"/>
      <c r="R183" s="336"/>
      <c r="S183" s="338"/>
      <c r="T183" s="336"/>
      <c r="U183" s="339"/>
      <c r="V183" s="339"/>
      <c r="W183" s="339"/>
      <c r="X183" s="339"/>
      <c r="Y183" s="339"/>
      <c r="Z183" s="339"/>
    </row>
    <row r="184" spans="1:26" ht="24" customHeight="1">
      <c r="A184" s="336"/>
      <c r="B184" s="336"/>
      <c r="C184" s="336"/>
      <c r="D184" s="336"/>
      <c r="E184" s="336"/>
      <c r="F184" s="336"/>
      <c r="G184" s="336"/>
      <c r="H184" s="336"/>
      <c r="I184" s="338"/>
      <c r="J184" s="337"/>
      <c r="K184" s="336"/>
      <c r="L184" s="338"/>
      <c r="M184" s="336"/>
      <c r="N184" s="485"/>
      <c r="O184" s="486"/>
      <c r="P184" s="485"/>
      <c r="Q184" s="486"/>
      <c r="R184" s="336"/>
      <c r="S184" s="338"/>
      <c r="T184" s="336"/>
      <c r="U184" s="339"/>
      <c r="V184" s="339"/>
      <c r="W184" s="339"/>
      <c r="X184" s="339"/>
      <c r="Y184" s="339"/>
      <c r="Z184" s="339"/>
    </row>
    <row r="185" spans="1:26" ht="24" customHeight="1">
      <c r="A185" s="336"/>
      <c r="B185" s="336"/>
      <c r="C185" s="336"/>
      <c r="D185" s="336"/>
      <c r="E185" s="336"/>
      <c r="F185" s="336"/>
      <c r="G185" s="336"/>
      <c r="H185" s="336"/>
      <c r="I185" s="338"/>
      <c r="J185" s="337"/>
      <c r="K185" s="336"/>
      <c r="L185" s="338"/>
      <c r="M185" s="336"/>
      <c r="N185" s="485"/>
      <c r="O185" s="486"/>
      <c r="P185" s="485"/>
      <c r="Q185" s="486"/>
      <c r="R185" s="336"/>
      <c r="S185" s="338"/>
      <c r="T185" s="336"/>
      <c r="U185" s="339"/>
      <c r="V185" s="339"/>
      <c r="W185" s="339"/>
      <c r="X185" s="339"/>
      <c r="Y185" s="339"/>
      <c r="Z185" s="339"/>
    </row>
    <row r="186" spans="1:26" ht="24" customHeight="1">
      <c r="A186" s="336"/>
      <c r="B186" s="336"/>
      <c r="C186" s="336"/>
      <c r="D186" s="336"/>
      <c r="E186" s="336"/>
      <c r="F186" s="336"/>
      <c r="G186" s="336"/>
      <c r="H186" s="336"/>
      <c r="I186" s="338"/>
      <c r="J186" s="337"/>
      <c r="K186" s="336"/>
      <c r="L186" s="338"/>
      <c r="M186" s="336"/>
      <c r="N186" s="485"/>
      <c r="O186" s="486"/>
      <c r="P186" s="485"/>
      <c r="Q186" s="486"/>
      <c r="R186" s="336"/>
      <c r="S186" s="338"/>
      <c r="T186" s="336"/>
      <c r="U186" s="339"/>
      <c r="V186" s="339"/>
      <c r="W186" s="339"/>
      <c r="X186" s="339"/>
      <c r="Y186" s="339"/>
      <c r="Z186" s="339"/>
    </row>
    <row r="187" spans="1:26" ht="24" customHeight="1">
      <c r="A187" s="336"/>
      <c r="B187" s="336"/>
      <c r="C187" s="336"/>
      <c r="D187" s="336"/>
      <c r="E187" s="336"/>
      <c r="F187" s="336"/>
      <c r="G187" s="336"/>
      <c r="H187" s="336"/>
      <c r="I187" s="338"/>
      <c r="J187" s="337"/>
      <c r="K187" s="336"/>
      <c r="L187" s="338"/>
      <c r="M187" s="336"/>
      <c r="N187" s="485"/>
      <c r="O187" s="486"/>
      <c r="P187" s="485"/>
      <c r="Q187" s="486"/>
      <c r="R187" s="336"/>
      <c r="S187" s="338"/>
      <c r="T187" s="336"/>
      <c r="U187" s="339"/>
      <c r="V187" s="339"/>
      <c r="W187" s="339"/>
      <c r="X187" s="339"/>
      <c r="Y187" s="339"/>
      <c r="Z187" s="339"/>
    </row>
    <row r="188" spans="1:26" ht="24" customHeight="1">
      <c r="A188" s="336"/>
      <c r="B188" s="336"/>
      <c r="C188" s="336"/>
      <c r="D188" s="336"/>
      <c r="E188" s="336"/>
      <c r="F188" s="336"/>
      <c r="G188" s="336"/>
      <c r="H188" s="336"/>
      <c r="I188" s="338"/>
      <c r="J188" s="337"/>
      <c r="K188" s="336"/>
      <c r="L188" s="338"/>
      <c r="M188" s="336"/>
      <c r="N188" s="485"/>
      <c r="O188" s="486"/>
      <c r="P188" s="485"/>
      <c r="Q188" s="486"/>
      <c r="R188" s="336"/>
      <c r="S188" s="338"/>
      <c r="T188" s="336"/>
      <c r="U188" s="339"/>
      <c r="V188" s="339"/>
      <c r="W188" s="339"/>
      <c r="X188" s="339"/>
      <c r="Y188" s="339"/>
      <c r="Z188" s="339"/>
    </row>
    <row r="189" spans="1:26" ht="24" customHeight="1">
      <c r="A189" s="336"/>
      <c r="B189" s="336"/>
      <c r="C189" s="336"/>
      <c r="D189" s="336"/>
      <c r="E189" s="336"/>
      <c r="F189" s="336"/>
      <c r="G189" s="336"/>
      <c r="H189" s="336"/>
      <c r="I189" s="338"/>
      <c r="J189" s="337"/>
      <c r="K189" s="336"/>
      <c r="L189" s="338"/>
      <c r="M189" s="336"/>
      <c r="N189" s="485"/>
      <c r="O189" s="486"/>
      <c r="P189" s="485"/>
      <c r="Q189" s="486"/>
      <c r="R189" s="336"/>
      <c r="S189" s="338"/>
      <c r="T189" s="336"/>
      <c r="U189" s="339"/>
      <c r="V189" s="339"/>
      <c r="W189" s="339"/>
      <c r="X189" s="339"/>
      <c r="Y189" s="339"/>
      <c r="Z189" s="339"/>
    </row>
    <row r="190" spans="1:26" ht="24" customHeight="1">
      <c r="A190" s="336"/>
      <c r="B190" s="336"/>
      <c r="C190" s="336"/>
      <c r="D190" s="336"/>
      <c r="E190" s="336"/>
      <c r="F190" s="336"/>
      <c r="G190" s="336"/>
      <c r="H190" s="336"/>
      <c r="I190" s="338"/>
      <c r="J190" s="337"/>
      <c r="K190" s="336"/>
      <c r="L190" s="338"/>
      <c r="M190" s="336"/>
      <c r="N190" s="485"/>
      <c r="O190" s="486"/>
      <c r="P190" s="485"/>
      <c r="Q190" s="486"/>
      <c r="R190" s="336"/>
      <c r="S190" s="338"/>
      <c r="T190" s="336"/>
      <c r="U190" s="339"/>
      <c r="V190" s="339"/>
      <c r="W190" s="339"/>
      <c r="X190" s="339"/>
      <c r="Y190" s="339"/>
      <c r="Z190" s="339"/>
    </row>
    <row r="191" spans="1:26" ht="24" customHeight="1">
      <c r="A191" s="336"/>
      <c r="B191" s="336"/>
      <c r="C191" s="336"/>
      <c r="D191" s="336"/>
      <c r="E191" s="336"/>
      <c r="F191" s="336"/>
      <c r="G191" s="336"/>
      <c r="H191" s="336"/>
      <c r="I191" s="338"/>
      <c r="J191" s="337"/>
      <c r="K191" s="336"/>
      <c r="L191" s="338"/>
      <c r="M191" s="336"/>
      <c r="N191" s="485"/>
      <c r="O191" s="486"/>
      <c r="P191" s="485"/>
      <c r="Q191" s="486"/>
      <c r="R191" s="336"/>
      <c r="S191" s="338"/>
      <c r="T191" s="336"/>
      <c r="U191" s="339"/>
      <c r="V191" s="339"/>
      <c r="W191" s="339"/>
      <c r="X191" s="339"/>
      <c r="Y191" s="339"/>
      <c r="Z191" s="339"/>
    </row>
    <row r="192" spans="1:26" ht="24" customHeight="1">
      <c r="A192" s="336"/>
      <c r="B192" s="336"/>
      <c r="C192" s="336"/>
      <c r="D192" s="336"/>
      <c r="E192" s="336"/>
      <c r="F192" s="336"/>
      <c r="G192" s="336"/>
      <c r="H192" s="336"/>
      <c r="I192" s="338"/>
      <c r="J192" s="337"/>
      <c r="K192" s="336"/>
      <c r="L192" s="338"/>
      <c r="M192" s="336"/>
      <c r="N192" s="485"/>
      <c r="O192" s="486"/>
      <c r="P192" s="485"/>
      <c r="Q192" s="486"/>
      <c r="R192" s="336"/>
      <c r="S192" s="338"/>
      <c r="T192" s="336"/>
      <c r="U192" s="339"/>
      <c r="V192" s="339"/>
      <c r="W192" s="339"/>
      <c r="X192" s="339"/>
      <c r="Y192" s="339"/>
      <c r="Z192" s="339"/>
    </row>
    <row r="193" spans="1:26" ht="24" customHeight="1">
      <c r="A193" s="336"/>
      <c r="B193" s="336"/>
      <c r="C193" s="336"/>
      <c r="D193" s="336"/>
      <c r="E193" s="336"/>
      <c r="F193" s="336"/>
      <c r="G193" s="336"/>
      <c r="H193" s="336"/>
      <c r="I193" s="338"/>
      <c r="J193" s="337"/>
      <c r="K193" s="336"/>
      <c r="L193" s="338"/>
      <c r="M193" s="336"/>
      <c r="N193" s="485"/>
      <c r="O193" s="486"/>
      <c r="P193" s="485"/>
      <c r="Q193" s="486"/>
      <c r="R193" s="336"/>
      <c r="S193" s="338"/>
      <c r="T193" s="336"/>
      <c r="U193" s="339"/>
      <c r="V193" s="339"/>
      <c r="W193" s="339"/>
      <c r="X193" s="339"/>
      <c r="Y193" s="339"/>
      <c r="Z193" s="339"/>
    </row>
    <row r="194" spans="1:26" ht="24" customHeight="1">
      <c r="A194" s="336"/>
      <c r="B194" s="336"/>
      <c r="C194" s="336"/>
      <c r="D194" s="336"/>
      <c r="E194" s="336"/>
      <c r="F194" s="336"/>
      <c r="G194" s="336"/>
      <c r="H194" s="336"/>
      <c r="I194" s="338"/>
      <c r="J194" s="337"/>
      <c r="K194" s="336"/>
      <c r="L194" s="338"/>
      <c r="M194" s="336"/>
      <c r="N194" s="485"/>
      <c r="O194" s="486"/>
      <c r="P194" s="485"/>
      <c r="Q194" s="486"/>
      <c r="R194" s="336"/>
      <c r="S194" s="338"/>
      <c r="T194" s="336"/>
      <c r="U194" s="339"/>
      <c r="V194" s="339"/>
      <c r="W194" s="339"/>
      <c r="X194" s="339"/>
      <c r="Y194" s="339"/>
      <c r="Z194" s="339"/>
    </row>
    <row r="195" spans="1:26" ht="24" customHeight="1">
      <c r="A195" s="336"/>
      <c r="B195" s="336"/>
      <c r="C195" s="336"/>
      <c r="D195" s="336"/>
      <c r="E195" s="336"/>
      <c r="F195" s="336"/>
      <c r="G195" s="336"/>
      <c r="H195" s="336"/>
      <c r="I195" s="338"/>
      <c r="J195" s="337"/>
      <c r="K195" s="336"/>
      <c r="L195" s="338"/>
      <c r="M195" s="336"/>
      <c r="N195" s="485"/>
      <c r="O195" s="486"/>
      <c r="P195" s="485"/>
      <c r="Q195" s="486"/>
      <c r="R195" s="336"/>
      <c r="S195" s="338"/>
      <c r="T195" s="336"/>
      <c r="U195" s="339"/>
      <c r="V195" s="339"/>
      <c r="W195" s="339"/>
      <c r="X195" s="339"/>
      <c r="Y195" s="339"/>
      <c r="Z195" s="339"/>
    </row>
    <row r="196" spans="1:26" ht="24" customHeight="1">
      <c r="A196" s="336"/>
      <c r="B196" s="336"/>
      <c r="C196" s="336"/>
      <c r="D196" s="336"/>
      <c r="E196" s="336"/>
      <c r="F196" s="336"/>
      <c r="G196" s="336"/>
      <c r="H196" s="336"/>
      <c r="I196" s="338"/>
      <c r="J196" s="337"/>
      <c r="K196" s="336"/>
      <c r="L196" s="338"/>
      <c r="M196" s="336"/>
      <c r="N196" s="485"/>
      <c r="O196" s="486"/>
      <c r="P196" s="485"/>
      <c r="Q196" s="486"/>
      <c r="R196" s="336"/>
      <c r="S196" s="338"/>
      <c r="T196" s="336"/>
      <c r="U196" s="339"/>
      <c r="V196" s="339"/>
      <c r="W196" s="339"/>
      <c r="X196" s="339"/>
      <c r="Y196" s="339"/>
      <c r="Z196" s="339"/>
    </row>
    <row r="197" spans="1:26" ht="24" customHeight="1">
      <c r="A197" s="336"/>
      <c r="B197" s="336"/>
      <c r="C197" s="336"/>
      <c r="D197" s="336"/>
      <c r="E197" s="336"/>
      <c r="F197" s="336"/>
      <c r="G197" s="336"/>
      <c r="H197" s="336"/>
      <c r="I197" s="338"/>
      <c r="J197" s="337"/>
      <c r="K197" s="336"/>
      <c r="L197" s="338"/>
      <c r="M197" s="336"/>
      <c r="N197" s="485"/>
      <c r="O197" s="486"/>
      <c r="P197" s="485"/>
      <c r="Q197" s="486"/>
      <c r="R197" s="336"/>
      <c r="S197" s="338"/>
      <c r="T197" s="336"/>
      <c r="U197" s="339"/>
      <c r="V197" s="339"/>
      <c r="W197" s="339"/>
      <c r="X197" s="339"/>
      <c r="Y197" s="339"/>
      <c r="Z197" s="339"/>
    </row>
    <row r="198" spans="1:26" ht="24" customHeight="1">
      <c r="A198" s="336"/>
      <c r="B198" s="336"/>
      <c r="C198" s="336"/>
      <c r="D198" s="336"/>
      <c r="E198" s="336"/>
      <c r="F198" s="336"/>
      <c r="G198" s="336"/>
      <c r="H198" s="336"/>
      <c r="I198" s="338"/>
      <c r="J198" s="337"/>
      <c r="K198" s="336"/>
      <c r="L198" s="338"/>
      <c r="M198" s="336"/>
      <c r="N198" s="485"/>
      <c r="O198" s="486"/>
      <c r="P198" s="485"/>
      <c r="Q198" s="486"/>
      <c r="R198" s="336"/>
      <c r="S198" s="338"/>
      <c r="T198" s="336"/>
      <c r="U198" s="339"/>
      <c r="V198" s="339"/>
      <c r="W198" s="339"/>
      <c r="X198" s="339"/>
      <c r="Y198" s="339"/>
      <c r="Z198" s="339"/>
    </row>
    <row r="199" spans="1:26" ht="24" customHeight="1">
      <c r="A199" s="336"/>
      <c r="B199" s="336"/>
      <c r="C199" s="336"/>
      <c r="D199" s="336"/>
      <c r="E199" s="336"/>
      <c r="F199" s="336"/>
      <c r="G199" s="336"/>
      <c r="H199" s="336"/>
      <c r="I199" s="338"/>
      <c r="J199" s="337"/>
      <c r="K199" s="336"/>
      <c r="L199" s="338"/>
      <c r="M199" s="336"/>
      <c r="N199" s="485"/>
      <c r="O199" s="486"/>
      <c r="P199" s="485"/>
      <c r="Q199" s="486"/>
      <c r="R199" s="336"/>
      <c r="S199" s="338"/>
      <c r="T199" s="336"/>
      <c r="U199" s="339"/>
      <c r="V199" s="339"/>
      <c r="W199" s="339"/>
      <c r="X199" s="339"/>
      <c r="Y199" s="339"/>
      <c r="Z199" s="339"/>
    </row>
    <row r="200" spans="1:26" ht="24" customHeight="1">
      <c r="A200" s="336"/>
      <c r="B200" s="336"/>
      <c r="C200" s="336"/>
      <c r="D200" s="336"/>
      <c r="E200" s="336"/>
      <c r="F200" s="336"/>
      <c r="G200" s="336"/>
      <c r="H200" s="336"/>
      <c r="I200" s="338"/>
      <c r="J200" s="337"/>
      <c r="K200" s="336"/>
      <c r="L200" s="338"/>
      <c r="M200" s="336"/>
      <c r="N200" s="485"/>
      <c r="O200" s="486"/>
      <c r="P200" s="485"/>
      <c r="Q200" s="486"/>
      <c r="R200" s="336"/>
      <c r="S200" s="338"/>
      <c r="T200" s="336"/>
      <c r="U200" s="339"/>
      <c r="V200" s="339"/>
      <c r="W200" s="339"/>
      <c r="X200" s="339"/>
      <c r="Y200" s="339"/>
      <c r="Z200" s="339"/>
    </row>
    <row r="201" spans="1:26" ht="24" customHeight="1">
      <c r="A201" s="336"/>
      <c r="B201" s="336"/>
      <c r="C201" s="336"/>
      <c r="D201" s="336"/>
      <c r="E201" s="336"/>
      <c r="F201" s="336"/>
      <c r="G201" s="336"/>
      <c r="H201" s="336"/>
      <c r="I201" s="338"/>
      <c r="J201" s="337"/>
      <c r="K201" s="336"/>
      <c r="L201" s="338"/>
      <c r="M201" s="336"/>
      <c r="N201" s="485"/>
      <c r="O201" s="486"/>
      <c r="P201" s="485"/>
      <c r="Q201" s="486"/>
      <c r="R201" s="336"/>
      <c r="S201" s="338"/>
      <c r="T201" s="336"/>
      <c r="U201" s="339"/>
      <c r="V201" s="339"/>
      <c r="W201" s="339"/>
      <c r="X201" s="339"/>
      <c r="Y201" s="339"/>
      <c r="Z201" s="339"/>
    </row>
    <row r="202" spans="1:26" ht="24" customHeight="1">
      <c r="A202" s="336"/>
      <c r="B202" s="336"/>
      <c r="C202" s="336"/>
      <c r="D202" s="336"/>
      <c r="E202" s="336"/>
      <c r="F202" s="336"/>
      <c r="G202" s="336"/>
      <c r="H202" s="336"/>
      <c r="I202" s="338"/>
      <c r="J202" s="337"/>
      <c r="K202" s="336"/>
      <c r="L202" s="338"/>
      <c r="M202" s="336"/>
      <c r="N202" s="485"/>
      <c r="O202" s="486"/>
      <c r="P202" s="485"/>
      <c r="Q202" s="486"/>
      <c r="R202" s="336"/>
      <c r="S202" s="338"/>
      <c r="T202" s="336"/>
      <c r="U202" s="339"/>
      <c r="V202" s="339"/>
      <c r="W202" s="339"/>
      <c r="X202" s="339"/>
      <c r="Y202" s="339"/>
      <c r="Z202" s="339"/>
    </row>
    <row r="203" spans="1:26" ht="24" customHeight="1">
      <c r="A203" s="336"/>
      <c r="B203" s="336"/>
      <c r="C203" s="336"/>
      <c r="D203" s="336"/>
      <c r="E203" s="336"/>
      <c r="F203" s="336"/>
      <c r="G203" s="336"/>
      <c r="H203" s="336"/>
      <c r="I203" s="338"/>
      <c r="J203" s="337"/>
      <c r="K203" s="336"/>
      <c r="L203" s="338"/>
      <c r="M203" s="336"/>
      <c r="N203" s="485"/>
      <c r="O203" s="486"/>
      <c r="P203" s="485"/>
      <c r="Q203" s="486"/>
      <c r="R203" s="336"/>
      <c r="S203" s="338"/>
      <c r="T203" s="336"/>
      <c r="U203" s="339"/>
      <c r="V203" s="339"/>
      <c r="W203" s="339"/>
      <c r="X203" s="339"/>
      <c r="Y203" s="339"/>
      <c r="Z203" s="339"/>
    </row>
    <row r="204" spans="1:26" ht="24" customHeight="1">
      <c r="A204" s="336"/>
      <c r="B204" s="336"/>
      <c r="C204" s="336"/>
      <c r="D204" s="336"/>
      <c r="E204" s="336"/>
      <c r="F204" s="336"/>
      <c r="G204" s="336"/>
      <c r="H204" s="336"/>
      <c r="I204" s="338"/>
      <c r="J204" s="337"/>
      <c r="K204" s="336"/>
      <c r="L204" s="338"/>
      <c r="M204" s="336"/>
      <c r="N204" s="485"/>
      <c r="O204" s="486"/>
      <c r="P204" s="485"/>
      <c r="Q204" s="486"/>
      <c r="R204" s="336"/>
      <c r="S204" s="338"/>
      <c r="T204" s="336"/>
      <c r="U204" s="339"/>
      <c r="V204" s="339"/>
      <c r="W204" s="339"/>
      <c r="X204" s="339"/>
      <c r="Y204" s="339"/>
      <c r="Z204" s="339"/>
    </row>
    <row r="205" spans="1:26" ht="24" customHeight="1">
      <c r="A205" s="336"/>
      <c r="B205" s="336"/>
      <c r="C205" s="336"/>
      <c r="D205" s="336"/>
      <c r="E205" s="336"/>
      <c r="F205" s="336"/>
      <c r="G205" s="336"/>
      <c r="H205" s="336"/>
      <c r="I205" s="338"/>
      <c r="J205" s="337"/>
      <c r="K205" s="336"/>
      <c r="L205" s="338"/>
      <c r="M205" s="336"/>
      <c r="N205" s="485"/>
      <c r="O205" s="486"/>
      <c r="P205" s="485"/>
      <c r="Q205" s="486"/>
      <c r="R205" s="336"/>
      <c r="S205" s="338"/>
      <c r="T205" s="336"/>
      <c r="U205" s="339"/>
      <c r="V205" s="339"/>
      <c r="W205" s="339"/>
      <c r="X205" s="339"/>
      <c r="Y205" s="339"/>
      <c r="Z205" s="339"/>
    </row>
    <row r="206" spans="1:26" ht="24" customHeight="1">
      <c r="A206" s="336"/>
      <c r="B206" s="336"/>
      <c r="C206" s="336"/>
      <c r="D206" s="336"/>
      <c r="E206" s="336"/>
      <c r="F206" s="336"/>
      <c r="G206" s="336"/>
      <c r="H206" s="336"/>
      <c r="I206" s="338"/>
      <c r="J206" s="337"/>
      <c r="K206" s="336"/>
      <c r="L206" s="338"/>
      <c r="M206" s="336"/>
      <c r="N206" s="485"/>
      <c r="O206" s="486"/>
      <c r="P206" s="485"/>
      <c r="Q206" s="486"/>
      <c r="R206" s="336"/>
      <c r="S206" s="338"/>
      <c r="T206" s="336"/>
      <c r="U206" s="339"/>
      <c r="V206" s="339"/>
      <c r="W206" s="339"/>
      <c r="X206" s="339"/>
      <c r="Y206" s="339"/>
      <c r="Z206" s="339"/>
    </row>
    <row r="207" spans="1:26" ht="24" customHeight="1">
      <c r="A207" s="336"/>
      <c r="B207" s="336"/>
      <c r="C207" s="336"/>
      <c r="D207" s="336"/>
      <c r="E207" s="336"/>
      <c r="F207" s="336"/>
      <c r="G207" s="336"/>
      <c r="H207" s="336"/>
      <c r="I207" s="338"/>
      <c r="J207" s="337"/>
      <c r="K207" s="336"/>
      <c r="L207" s="338"/>
      <c r="M207" s="336"/>
      <c r="N207" s="485"/>
      <c r="O207" s="486"/>
      <c r="P207" s="485"/>
      <c r="Q207" s="486"/>
      <c r="R207" s="336"/>
      <c r="S207" s="338"/>
      <c r="T207" s="336"/>
      <c r="U207" s="339"/>
      <c r="V207" s="339"/>
      <c r="W207" s="339"/>
      <c r="X207" s="339"/>
      <c r="Y207" s="339"/>
      <c r="Z207" s="339"/>
    </row>
    <row r="208" spans="1:26" ht="24" customHeight="1">
      <c r="A208" s="336"/>
      <c r="B208" s="336"/>
      <c r="C208" s="336"/>
      <c r="D208" s="336"/>
      <c r="E208" s="336"/>
      <c r="F208" s="336"/>
      <c r="G208" s="336"/>
      <c r="H208" s="336"/>
      <c r="I208" s="338"/>
      <c r="J208" s="337"/>
      <c r="K208" s="336"/>
      <c r="L208" s="338"/>
      <c r="M208" s="336"/>
      <c r="N208" s="485"/>
      <c r="O208" s="486"/>
      <c r="P208" s="485"/>
      <c r="Q208" s="486"/>
      <c r="R208" s="336"/>
      <c r="S208" s="338"/>
      <c r="T208" s="336"/>
      <c r="U208" s="339"/>
      <c r="V208" s="339"/>
      <c r="W208" s="339"/>
      <c r="X208" s="339"/>
      <c r="Y208" s="339"/>
      <c r="Z208" s="339"/>
    </row>
    <row r="209" spans="1:26" ht="24" customHeight="1">
      <c r="A209" s="336"/>
      <c r="B209" s="336"/>
      <c r="C209" s="336"/>
      <c r="D209" s="336"/>
      <c r="E209" s="336"/>
      <c r="F209" s="336"/>
      <c r="G209" s="336"/>
      <c r="H209" s="336"/>
      <c r="I209" s="338"/>
      <c r="J209" s="337"/>
      <c r="K209" s="336"/>
      <c r="L209" s="338"/>
      <c r="M209" s="336"/>
      <c r="N209" s="485"/>
      <c r="O209" s="486"/>
      <c r="P209" s="485"/>
      <c r="Q209" s="486"/>
      <c r="R209" s="336"/>
      <c r="S209" s="338"/>
      <c r="T209" s="336"/>
      <c r="U209" s="339"/>
      <c r="V209" s="339"/>
      <c r="W209" s="339"/>
      <c r="X209" s="339"/>
      <c r="Y209" s="339"/>
      <c r="Z209" s="339"/>
    </row>
    <row r="210" spans="1:26" ht="24" customHeight="1">
      <c r="A210" s="336"/>
      <c r="B210" s="336"/>
      <c r="C210" s="336"/>
      <c r="D210" s="336"/>
      <c r="E210" s="336"/>
      <c r="F210" s="336"/>
      <c r="G210" s="336"/>
      <c r="H210" s="336"/>
      <c r="I210" s="338"/>
      <c r="J210" s="337"/>
      <c r="K210" s="336"/>
      <c r="L210" s="338"/>
      <c r="M210" s="336"/>
      <c r="N210" s="485"/>
      <c r="O210" s="486"/>
      <c r="P210" s="485"/>
      <c r="Q210" s="486"/>
      <c r="R210" s="336"/>
      <c r="S210" s="338"/>
      <c r="T210" s="336"/>
      <c r="U210" s="339"/>
      <c r="V210" s="339"/>
      <c r="W210" s="339"/>
      <c r="X210" s="339"/>
      <c r="Y210" s="339"/>
      <c r="Z210" s="339"/>
    </row>
    <row r="211" spans="1:26" ht="24" customHeight="1">
      <c r="A211" s="336"/>
      <c r="B211" s="336"/>
      <c r="C211" s="336"/>
      <c r="D211" s="336"/>
      <c r="E211" s="336"/>
      <c r="F211" s="336"/>
      <c r="G211" s="336"/>
      <c r="H211" s="336"/>
      <c r="I211" s="338"/>
      <c r="J211" s="337"/>
      <c r="K211" s="336"/>
      <c r="L211" s="338"/>
      <c r="M211" s="336"/>
      <c r="N211" s="485"/>
      <c r="O211" s="486"/>
      <c r="P211" s="485"/>
      <c r="Q211" s="486"/>
      <c r="R211" s="336"/>
      <c r="S211" s="338"/>
      <c r="T211" s="336"/>
      <c r="U211" s="339"/>
      <c r="V211" s="339"/>
      <c r="W211" s="339"/>
      <c r="X211" s="339"/>
      <c r="Y211" s="339"/>
      <c r="Z211" s="339"/>
    </row>
    <row r="212" spans="1:26" ht="24" customHeight="1">
      <c r="A212" s="336"/>
      <c r="B212" s="336"/>
      <c r="C212" s="336"/>
      <c r="D212" s="336"/>
      <c r="E212" s="336"/>
      <c r="F212" s="336"/>
      <c r="G212" s="336"/>
      <c r="H212" s="336"/>
      <c r="I212" s="338"/>
      <c r="J212" s="337"/>
      <c r="K212" s="336"/>
      <c r="L212" s="338"/>
      <c r="M212" s="336"/>
      <c r="N212" s="485"/>
      <c r="O212" s="486"/>
      <c r="P212" s="485"/>
      <c r="Q212" s="486"/>
      <c r="R212" s="336"/>
      <c r="S212" s="338"/>
      <c r="T212" s="336"/>
      <c r="U212" s="339"/>
      <c r="V212" s="339"/>
      <c r="W212" s="339"/>
      <c r="X212" s="339"/>
      <c r="Y212" s="339"/>
      <c r="Z212" s="339"/>
    </row>
    <row r="213" spans="1:26" ht="24" customHeight="1">
      <c r="A213" s="336"/>
      <c r="B213" s="336"/>
      <c r="C213" s="336"/>
      <c r="D213" s="336"/>
      <c r="E213" s="336"/>
      <c r="F213" s="336"/>
      <c r="G213" s="336"/>
      <c r="H213" s="336"/>
      <c r="I213" s="338"/>
      <c r="J213" s="337"/>
      <c r="K213" s="336"/>
      <c r="L213" s="338"/>
      <c r="M213" s="336"/>
      <c r="N213" s="485"/>
      <c r="O213" s="486"/>
      <c r="P213" s="485"/>
      <c r="Q213" s="486"/>
      <c r="R213" s="336"/>
      <c r="S213" s="338"/>
      <c r="T213" s="336"/>
      <c r="U213" s="339"/>
      <c r="V213" s="339"/>
      <c r="W213" s="339"/>
      <c r="X213" s="339"/>
      <c r="Y213" s="339"/>
      <c r="Z213" s="339"/>
    </row>
    <row r="214" spans="1:26" ht="24" customHeight="1">
      <c r="A214" s="336"/>
      <c r="B214" s="336"/>
      <c r="C214" s="336"/>
      <c r="D214" s="336"/>
      <c r="E214" s="336"/>
      <c r="F214" s="336"/>
      <c r="G214" s="336"/>
      <c r="H214" s="336"/>
      <c r="I214" s="338"/>
      <c r="J214" s="337"/>
      <c r="K214" s="336"/>
      <c r="L214" s="338"/>
      <c r="M214" s="336"/>
      <c r="N214" s="485"/>
      <c r="O214" s="486"/>
      <c r="P214" s="485"/>
      <c r="Q214" s="486"/>
      <c r="R214" s="336"/>
      <c r="S214" s="338"/>
      <c r="T214" s="336"/>
      <c r="U214" s="339"/>
      <c r="V214" s="339"/>
      <c r="W214" s="339"/>
      <c r="X214" s="339"/>
      <c r="Y214" s="339"/>
      <c r="Z214" s="339"/>
    </row>
    <row r="215" spans="1:26" ht="24" customHeight="1">
      <c r="A215" s="336"/>
      <c r="B215" s="336"/>
      <c r="C215" s="336"/>
      <c r="D215" s="336"/>
      <c r="E215" s="336"/>
      <c r="F215" s="336"/>
      <c r="G215" s="336"/>
      <c r="H215" s="336"/>
      <c r="I215" s="338"/>
      <c r="J215" s="337"/>
      <c r="K215" s="336"/>
      <c r="L215" s="338"/>
      <c r="M215" s="336"/>
      <c r="N215" s="485"/>
      <c r="O215" s="486"/>
      <c r="P215" s="485"/>
      <c r="Q215" s="486"/>
      <c r="R215" s="336"/>
      <c r="S215" s="338"/>
      <c r="T215" s="336"/>
      <c r="U215" s="339"/>
      <c r="V215" s="339"/>
      <c r="W215" s="339"/>
      <c r="X215" s="339"/>
      <c r="Y215" s="339"/>
      <c r="Z215" s="339"/>
    </row>
    <row r="216" spans="1:26" ht="24" customHeight="1">
      <c r="A216" s="336"/>
      <c r="B216" s="336"/>
      <c r="C216" s="336"/>
      <c r="D216" s="336"/>
      <c r="E216" s="336"/>
      <c r="F216" s="336"/>
      <c r="G216" s="336"/>
      <c r="H216" s="336"/>
      <c r="I216" s="338"/>
      <c r="J216" s="337"/>
      <c r="K216" s="336"/>
      <c r="L216" s="338"/>
      <c r="M216" s="336"/>
      <c r="N216" s="485"/>
      <c r="O216" s="486"/>
      <c r="P216" s="485"/>
      <c r="Q216" s="486"/>
      <c r="R216" s="336"/>
      <c r="S216" s="338"/>
      <c r="T216" s="336"/>
      <c r="U216" s="339"/>
      <c r="V216" s="339"/>
      <c r="W216" s="339"/>
      <c r="X216" s="339"/>
      <c r="Y216" s="339"/>
      <c r="Z216" s="339"/>
    </row>
    <row r="217" spans="1:26" ht="24" customHeight="1">
      <c r="A217" s="336"/>
      <c r="B217" s="336"/>
      <c r="C217" s="336"/>
      <c r="D217" s="336"/>
      <c r="E217" s="336"/>
      <c r="F217" s="336"/>
      <c r="G217" s="336"/>
      <c r="H217" s="336"/>
      <c r="I217" s="338"/>
      <c r="J217" s="337"/>
      <c r="K217" s="336"/>
      <c r="L217" s="338"/>
      <c r="M217" s="336"/>
      <c r="N217" s="485"/>
      <c r="O217" s="486"/>
      <c r="P217" s="485"/>
      <c r="Q217" s="486"/>
      <c r="R217" s="336"/>
      <c r="S217" s="338"/>
      <c r="T217" s="336"/>
      <c r="U217" s="339"/>
      <c r="V217" s="339"/>
      <c r="W217" s="339"/>
      <c r="X217" s="339"/>
      <c r="Y217" s="339"/>
      <c r="Z217" s="339"/>
    </row>
    <row r="218" spans="1:26" ht="24" customHeight="1">
      <c r="A218" s="336"/>
      <c r="B218" s="336"/>
      <c r="C218" s="336"/>
      <c r="D218" s="336"/>
      <c r="E218" s="336"/>
      <c r="F218" s="336"/>
      <c r="G218" s="336"/>
      <c r="H218" s="336"/>
      <c r="I218" s="338"/>
      <c r="J218" s="337"/>
      <c r="K218" s="336"/>
      <c r="L218" s="338"/>
      <c r="M218" s="336"/>
      <c r="N218" s="485"/>
      <c r="O218" s="486"/>
      <c r="P218" s="485"/>
      <c r="Q218" s="486"/>
      <c r="R218" s="336"/>
      <c r="S218" s="338"/>
      <c r="T218" s="336"/>
      <c r="U218" s="339"/>
      <c r="V218" s="339"/>
      <c r="W218" s="339"/>
      <c r="X218" s="339"/>
      <c r="Y218" s="339"/>
      <c r="Z218" s="339"/>
    </row>
    <row r="219" spans="1:26" ht="24" customHeight="1">
      <c r="A219" s="336"/>
      <c r="B219" s="336"/>
      <c r="C219" s="336"/>
      <c r="D219" s="336"/>
      <c r="E219" s="336"/>
      <c r="F219" s="336"/>
      <c r="G219" s="336"/>
      <c r="H219" s="336"/>
      <c r="I219" s="338"/>
      <c r="J219" s="337"/>
      <c r="K219" s="336"/>
      <c r="L219" s="338"/>
      <c r="M219" s="336"/>
      <c r="N219" s="485"/>
      <c r="O219" s="486"/>
      <c r="P219" s="485"/>
      <c r="Q219" s="486"/>
      <c r="R219" s="336"/>
      <c r="S219" s="338"/>
      <c r="T219" s="336"/>
      <c r="U219" s="339"/>
      <c r="V219" s="339"/>
      <c r="W219" s="339"/>
      <c r="X219" s="339"/>
      <c r="Y219" s="339"/>
      <c r="Z219" s="339"/>
    </row>
    <row r="220" spans="1:26" ht="24" customHeight="1">
      <c r="A220" s="336"/>
      <c r="B220" s="336"/>
      <c r="C220" s="336"/>
      <c r="D220" s="336"/>
      <c r="E220" s="336"/>
      <c r="F220" s="336"/>
      <c r="G220" s="336"/>
      <c r="H220" s="336"/>
      <c r="I220" s="338"/>
      <c r="J220" s="337"/>
      <c r="K220" s="336"/>
      <c r="L220" s="338"/>
      <c r="M220" s="336"/>
      <c r="N220" s="485"/>
      <c r="O220" s="486"/>
      <c r="P220" s="485"/>
      <c r="Q220" s="486"/>
      <c r="R220" s="336"/>
      <c r="S220" s="338"/>
      <c r="T220" s="336"/>
      <c r="U220" s="339"/>
      <c r="V220" s="339"/>
      <c r="W220" s="339"/>
      <c r="X220" s="339"/>
      <c r="Y220" s="339"/>
      <c r="Z220" s="339"/>
    </row>
    <row r="221" spans="1:26" ht="24" customHeight="1">
      <c r="A221" s="336"/>
      <c r="B221" s="336"/>
      <c r="C221" s="336"/>
      <c r="D221" s="336"/>
      <c r="E221" s="336"/>
      <c r="F221" s="336"/>
      <c r="G221" s="336"/>
      <c r="H221" s="336"/>
      <c r="I221" s="338"/>
      <c r="J221" s="337"/>
      <c r="K221" s="336"/>
      <c r="L221" s="338"/>
      <c r="M221" s="336"/>
      <c r="N221" s="485"/>
      <c r="O221" s="486"/>
      <c r="P221" s="485"/>
      <c r="Q221" s="486"/>
      <c r="R221" s="336"/>
      <c r="S221" s="338"/>
      <c r="T221" s="336"/>
      <c r="U221" s="339"/>
      <c r="V221" s="339"/>
      <c r="W221" s="339"/>
      <c r="X221" s="339"/>
      <c r="Y221" s="339"/>
      <c r="Z221" s="339"/>
    </row>
    <row r="222" spans="1:26" ht="24" customHeight="1">
      <c r="A222" s="336"/>
      <c r="B222" s="336"/>
      <c r="C222" s="336"/>
      <c r="D222" s="336"/>
      <c r="E222" s="336"/>
      <c r="F222" s="336"/>
      <c r="G222" s="336"/>
      <c r="H222" s="336"/>
      <c r="I222" s="338"/>
      <c r="J222" s="337"/>
      <c r="K222" s="336"/>
      <c r="L222" s="338"/>
      <c r="M222" s="336"/>
      <c r="N222" s="485"/>
      <c r="O222" s="486"/>
      <c r="P222" s="485"/>
      <c r="Q222" s="486"/>
      <c r="R222" s="336"/>
      <c r="S222" s="338"/>
      <c r="T222" s="336"/>
      <c r="U222" s="339"/>
      <c r="V222" s="339"/>
      <c r="W222" s="339"/>
      <c r="X222" s="339"/>
      <c r="Y222" s="339"/>
      <c r="Z222" s="339"/>
    </row>
    <row r="223" spans="1:26" ht="24" customHeight="1">
      <c r="A223" s="336"/>
      <c r="B223" s="336"/>
      <c r="C223" s="336"/>
      <c r="D223" s="336"/>
      <c r="E223" s="336"/>
      <c r="F223" s="336"/>
      <c r="G223" s="336"/>
      <c r="H223" s="336"/>
      <c r="I223" s="338"/>
      <c r="J223" s="337"/>
      <c r="K223" s="336"/>
      <c r="L223" s="338"/>
      <c r="M223" s="336"/>
      <c r="N223" s="485"/>
      <c r="O223" s="486"/>
      <c r="P223" s="485"/>
      <c r="Q223" s="486"/>
      <c r="R223" s="336"/>
      <c r="S223" s="338"/>
      <c r="T223" s="336"/>
      <c r="U223" s="339"/>
      <c r="V223" s="339"/>
      <c r="W223" s="339"/>
      <c r="X223" s="339"/>
      <c r="Y223" s="339"/>
      <c r="Z223" s="339"/>
    </row>
    <row r="224" spans="1:26" ht="24" customHeight="1">
      <c r="A224" s="336"/>
      <c r="B224" s="336"/>
      <c r="C224" s="336"/>
      <c r="D224" s="336"/>
      <c r="E224" s="336"/>
      <c r="F224" s="336"/>
      <c r="G224" s="336"/>
      <c r="H224" s="336"/>
      <c r="I224" s="338"/>
      <c r="J224" s="337"/>
      <c r="K224" s="336"/>
      <c r="L224" s="338"/>
      <c r="M224" s="336"/>
      <c r="N224" s="485"/>
      <c r="O224" s="486"/>
      <c r="P224" s="485"/>
      <c r="Q224" s="486"/>
      <c r="R224" s="336"/>
      <c r="S224" s="338"/>
      <c r="T224" s="336"/>
      <c r="U224" s="339"/>
      <c r="V224" s="339"/>
      <c r="W224" s="339"/>
      <c r="X224" s="339"/>
      <c r="Y224" s="339"/>
      <c r="Z224" s="339"/>
    </row>
    <row r="225" spans="1:26" ht="24" customHeight="1">
      <c r="A225" s="336"/>
      <c r="B225" s="336"/>
      <c r="C225" s="336"/>
      <c r="D225" s="336"/>
      <c r="E225" s="336"/>
      <c r="F225" s="336"/>
      <c r="G225" s="336"/>
      <c r="H225" s="336"/>
      <c r="I225" s="338"/>
      <c r="J225" s="337"/>
      <c r="K225" s="336"/>
      <c r="L225" s="338"/>
      <c r="M225" s="336"/>
      <c r="N225" s="485"/>
      <c r="O225" s="486"/>
      <c r="P225" s="485"/>
      <c r="Q225" s="486"/>
      <c r="R225" s="336"/>
      <c r="S225" s="338"/>
      <c r="T225" s="336"/>
      <c r="U225" s="339"/>
      <c r="V225" s="339"/>
      <c r="W225" s="339"/>
      <c r="X225" s="339"/>
      <c r="Y225" s="339"/>
      <c r="Z225" s="339"/>
    </row>
    <row r="226" spans="1:26" ht="24" customHeight="1">
      <c r="A226" s="336"/>
      <c r="B226" s="336"/>
      <c r="C226" s="336"/>
      <c r="D226" s="336"/>
      <c r="E226" s="336"/>
      <c r="F226" s="336"/>
      <c r="G226" s="336"/>
      <c r="H226" s="336"/>
      <c r="I226" s="338"/>
      <c r="J226" s="337"/>
      <c r="K226" s="336"/>
      <c r="L226" s="338"/>
      <c r="M226" s="336"/>
      <c r="N226" s="485"/>
      <c r="O226" s="486"/>
      <c r="P226" s="485"/>
      <c r="Q226" s="486"/>
      <c r="R226" s="336"/>
      <c r="S226" s="338"/>
      <c r="T226" s="336"/>
      <c r="U226" s="339"/>
      <c r="V226" s="339"/>
      <c r="W226" s="339"/>
      <c r="X226" s="339"/>
      <c r="Y226" s="339"/>
      <c r="Z226" s="339"/>
    </row>
    <row r="227" spans="1:26" ht="24" customHeight="1">
      <c r="A227" s="336"/>
      <c r="B227" s="336"/>
      <c r="C227" s="336"/>
      <c r="D227" s="336"/>
      <c r="E227" s="336"/>
      <c r="F227" s="336"/>
      <c r="G227" s="336"/>
      <c r="H227" s="336"/>
      <c r="I227" s="338"/>
      <c r="J227" s="337"/>
      <c r="K227" s="336"/>
      <c r="L227" s="338"/>
      <c r="M227" s="336"/>
      <c r="N227" s="485"/>
      <c r="O227" s="486"/>
      <c r="P227" s="485"/>
      <c r="Q227" s="486"/>
      <c r="R227" s="336"/>
      <c r="S227" s="338"/>
      <c r="T227" s="336"/>
      <c r="U227" s="339"/>
      <c r="V227" s="339"/>
      <c r="W227" s="339"/>
      <c r="X227" s="339"/>
      <c r="Y227" s="339"/>
      <c r="Z227" s="339"/>
    </row>
    <row r="228" spans="1:26" ht="24" customHeight="1">
      <c r="A228" s="336"/>
      <c r="B228" s="336"/>
      <c r="C228" s="336"/>
      <c r="D228" s="336"/>
      <c r="E228" s="336"/>
      <c r="F228" s="336"/>
      <c r="G228" s="336"/>
      <c r="H228" s="336"/>
      <c r="I228" s="338"/>
      <c r="J228" s="337"/>
      <c r="K228" s="336"/>
      <c r="L228" s="338"/>
      <c r="M228" s="336"/>
      <c r="N228" s="485"/>
      <c r="O228" s="486"/>
      <c r="P228" s="485"/>
      <c r="Q228" s="486"/>
      <c r="R228" s="336"/>
      <c r="S228" s="338"/>
      <c r="T228" s="336"/>
      <c r="U228" s="339"/>
      <c r="V228" s="339"/>
      <c r="W228" s="339"/>
      <c r="X228" s="339"/>
      <c r="Y228" s="339"/>
      <c r="Z228" s="339"/>
    </row>
    <row r="229" spans="1:26" ht="24" customHeight="1">
      <c r="A229" s="336"/>
      <c r="B229" s="336"/>
      <c r="C229" s="336"/>
      <c r="D229" s="336"/>
      <c r="E229" s="336"/>
      <c r="F229" s="336"/>
      <c r="G229" s="336"/>
      <c r="H229" s="336"/>
      <c r="I229" s="338"/>
      <c r="J229" s="337"/>
      <c r="K229" s="336"/>
      <c r="L229" s="338"/>
      <c r="M229" s="336"/>
      <c r="N229" s="485"/>
      <c r="O229" s="486"/>
      <c r="P229" s="485"/>
      <c r="Q229" s="486"/>
      <c r="R229" s="336"/>
      <c r="S229" s="338"/>
      <c r="T229" s="336"/>
      <c r="U229" s="339"/>
      <c r="V229" s="339"/>
      <c r="W229" s="339"/>
      <c r="X229" s="339"/>
      <c r="Y229" s="339"/>
      <c r="Z229" s="339"/>
    </row>
    <row r="230" spans="1:26" ht="24" customHeight="1">
      <c r="A230" s="336"/>
      <c r="B230" s="336"/>
      <c r="C230" s="336"/>
      <c r="D230" s="336"/>
      <c r="E230" s="336"/>
      <c r="F230" s="336"/>
      <c r="G230" s="336"/>
      <c r="H230" s="336"/>
      <c r="I230" s="338"/>
      <c r="J230" s="337"/>
      <c r="K230" s="336"/>
      <c r="L230" s="338"/>
      <c r="M230" s="336"/>
      <c r="N230" s="485"/>
      <c r="O230" s="486"/>
      <c r="P230" s="485"/>
      <c r="Q230" s="486"/>
      <c r="R230" s="336"/>
      <c r="S230" s="338"/>
      <c r="T230" s="336"/>
      <c r="U230" s="339"/>
      <c r="V230" s="339"/>
      <c r="W230" s="339"/>
      <c r="X230" s="339"/>
      <c r="Y230" s="339"/>
      <c r="Z230" s="339"/>
    </row>
    <row r="231" spans="1:26" ht="24" customHeight="1">
      <c r="A231" s="336"/>
      <c r="B231" s="336"/>
      <c r="C231" s="336"/>
      <c r="D231" s="336"/>
      <c r="E231" s="336"/>
      <c r="F231" s="336"/>
      <c r="G231" s="336"/>
      <c r="H231" s="336"/>
      <c r="I231" s="338"/>
      <c r="J231" s="337"/>
      <c r="K231" s="336"/>
      <c r="L231" s="338"/>
      <c r="M231" s="336"/>
      <c r="N231" s="485"/>
      <c r="O231" s="486"/>
      <c r="P231" s="485"/>
      <c r="Q231" s="486"/>
      <c r="R231" s="336"/>
      <c r="S231" s="338"/>
      <c r="T231" s="336"/>
      <c r="U231" s="339"/>
      <c r="V231" s="339"/>
      <c r="W231" s="339"/>
      <c r="X231" s="339"/>
      <c r="Y231" s="339"/>
      <c r="Z231" s="339"/>
    </row>
    <row r="232" spans="1:26" ht="24" customHeight="1">
      <c r="A232" s="336"/>
      <c r="B232" s="336"/>
      <c r="C232" s="336"/>
      <c r="D232" s="336"/>
      <c r="E232" s="336"/>
      <c r="F232" s="336"/>
      <c r="G232" s="336"/>
      <c r="H232" s="336"/>
      <c r="I232" s="338"/>
      <c r="J232" s="337"/>
      <c r="K232" s="336"/>
      <c r="L232" s="338"/>
      <c r="M232" s="336"/>
      <c r="N232" s="485"/>
      <c r="O232" s="486"/>
      <c r="P232" s="485"/>
      <c r="Q232" s="486"/>
      <c r="R232" s="336"/>
      <c r="S232" s="338"/>
      <c r="T232" s="336"/>
      <c r="U232" s="339"/>
      <c r="V232" s="339"/>
      <c r="W232" s="339"/>
      <c r="X232" s="339"/>
      <c r="Y232" s="339"/>
      <c r="Z232" s="339"/>
    </row>
    <row r="233" spans="1:26" ht="24" customHeight="1">
      <c r="A233" s="336"/>
      <c r="B233" s="336"/>
      <c r="C233" s="336"/>
      <c r="D233" s="336"/>
      <c r="E233" s="336"/>
      <c r="F233" s="336"/>
      <c r="G233" s="336"/>
      <c r="H233" s="336"/>
      <c r="I233" s="338"/>
      <c r="J233" s="337"/>
      <c r="K233" s="336"/>
      <c r="L233" s="338"/>
      <c r="M233" s="336"/>
      <c r="N233" s="485"/>
      <c r="O233" s="486"/>
      <c r="P233" s="485"/>
      <c r="Q233" s="486"/>
      <c r="R233" s="336"/>
      <c r="S233" s="338"/>
      <c r="T233" s="336"/>
      <c r="U233" s="339"/>
      <c r="V233" s="339"/>
      <c r="W233" s="339"/>
      <c r="X233" s="339"/>
      <c r="Y233" s="339"/>
      <c r="Z233" s="339"/>
    </row>
    <row r="234" spans="1:26" ht="24" customHeight="1">
      <c r="A234" s="336"/>
      <c r="B234" s="336"/>
      <c r="C234" s="336"/>
      <c r="D234" s="336"/>
      <c r="E234" s="336"/>
      <c r="F234" s="336"/>
      <c r="G234" s="336"/>
      <c r="H234" s="336"/>
      <c r="I234" s="338"/>
      <c r="J234" s="337"/>
      <c r="K234" s="336"/>
      <c r="L234" s="338"/>
      <c r="M234" s="336"/>
      <c r="N234" s="485"/>
      <c r="O234" s="486"/>
      <c r="P234" s="485"/>
      <c r="Q234" s="486"/>
      <c r="R234" s="336"/>
      <c r="S234" s="338"/>
      <c r="T234" s="336"/>
      <c r="U234" s="339"/>
      <c r="V234" s="339"/>
      <c r="W234" s="339"/>
      <c r="X234" s="339"/>
      <c r="Y234" s="339"/>
      <c r="Z234" s="339"/>
    </row>
    <row r="235" spans="1:26" ht="24" customHeight="1">
      <c r="A235" s="336"/>
      <c r="B235" s="336"/>
      <c r="C235" s="336"/>
      <c r="D235" s="336"/>
      <c r="E235" s="336"/>
      <c r="F235" s="336"/>
      <c r="G235" s="336"/>
      <c r="H235" s="336"/>
      <c r="I235" s="338"/>
      <c r="J235" s="337"/>
      <c r="K235" s="336"/>
      <c r="L235" s="338"/>
      <c r="M235" s="336"/>
      <c r="N235" s="485"/>
      <c r="O235" s="486"/>
      <c r="P235" s="485"/>
      <c r="Q235" s="486"/>
      <c r="R235" s="336"/>
      <c r="S235" s="338"/>
      <c r="T235" s="336"/>
      <c r="U235" s="339"/>
      <c r="V235" s="339"/>
      <c r="W235" s="339"/>
      <c r="X235" s="339"/>
      <c r="Y235" s="339"/>
      <c r="Z235" s="339"/>
    </row>
    <row r="236" spans="1:26" ht="24" customHeight="1">
      <c r="A236" s="336"/>
      <c r="B236" s="336"/>
      <c r="C236" s="336"/>
      <c r="D236" s="336"/>
      <c r="E236" s="336"/>
      <c r="F236" s="336"/>
      <c r="G236" s="336"/>
      <c r="H236" s="336"/>
      <c r="I236" s="338"/>
      <c r="J236" s="337"/>
      <c r="K236" s="336"/>
      <c r="L236" s="338"/>
      <c r="M236" s="336"/>
      <c r="N236" s="485"/>
      <c r="O236" s="486"/>
      <c r="P236" s="485"/>
      <c r="Q236" s="486"/>
      <c r="R236" s="336"/>
      <c r="S236" s="338"/>
      <c r="T236" s="336"/>
      <c r="U236" s="339"/>
      <c r="V236" s="339"/>
      <c r="W236" s="339"/>
      <c r="X236" s="339"/>
      <c r="Y236" s="339"/>
      <c r="Z236" s="339"/>
    </row>
    <row r="237" spans="1:26" ht="24" customHeight="1">
      <c r="A237" s="336"/>
      <c r="B237" s="336"/>
      <c r="C237" s="336"/>
      <c r="D237" s="336"/>
      <c r="E237" s="336"/>
      <c r="F237" s="336"/>
      <c r="G237" s="336"/>
      <c r="H237" s="336"/>
      <c r="I237" s="338"/>
      <c r="J237" s="337"/>
      <c r="K237" s="336"/>
      <c r="L237" s="338"/>
      <c r="M237" s="336"/>
      <c r="N237" s="485"/>
      <c r="O237" s="486"/>
      <c r="P237" s="485"/>
      <c r="Q237" s="486"/>
      <c r="R237" s="336"/>
      <c r="S237" s="338"/>
      <c r="T237" s="336"/>
      <c r="U237" s="339"/>
      <c r="V237" s="339"/>
      <c r="W237" s="339"/>
      <c r="X237" s="339"/>
      <c r="Y237" s="339"/>
      <c r="Z237" s="339"/>
    </row>
    <row r="238" spans="1:26" ht="24" customHeight="1">
      <c r="A238" s="336"/>
      <c r="B238" s="336"/>
      <c r="C238" s="336"/>
      <c r="D238" s="336"/>
      <c r="E238" s="336"/>
      <c r="F238" s="336"/>
      <c r="G238" s="336"/>
      <c r="H238" s="336"/>
      <c r="I238" s="338"/>
      <c r="J238" s="337"/>
      <c r="K238" s="336"/>
      <c r="L238" s="338"/>
      <c r="M238" s="336"/>
      <c r="N238" s="485"/>
      <c r="O238" s="486"/>
      <c r="P238" s="485"/>
      <c r="Q238" s="486"/>
      <c r="R238" s="336"/>
      <c r="S238" s="338"/>
      <c r="T238" s="336"/>
      <c r="U238" s="339"/>
      <c r="V238" s="339"/>
      <c r="W238" s="339"/>
      <c r="X238" s="339"/>
      <c r="Y238" s="339"/>
      <c r="Z238" s="339"/>
    </row>
    <row r="239" spans="1:26" ht="24" customHeight="1">
      <c r="A239" s="336"/>
      <c r="B239" s="336"/>
      <c r="C239" s="336"/>
      <c r="D239" s="336"/>
      <c r="E239" s="336"/>
      <c r="F239" s="336"/>
      <c r="G239" s="336"/>
      <c r="H239" s="336"/>
      <c r="I239" s="338"/>
      <c r="J239" s="337"/>
      <c r="K239" s="336"/>
      <c r="L239" s="338"/>
      <c r="M239" s="336"/>
      <c r="N239" s="485"/>
      <c r="O239" s="486"/>
      <c r="P239" s="485"/>
      <c r="Q239" s="486"/>
      <c r="R239" s="336"/>
      <c r="S239" s="338"/>
      <c r="T239" s="336"/>
      <c r="U239" s="339"/>
      <c r="V239" s="339"/>
      <c r="W239" s="339"/>
      <c r="X239" s="339"/>
      <c r="Y239" s="339"/>
      <c r="Z239" s="339"/>
    </row>
    <row r="240" spans="1:26" ht="24" customHeight="1">
      <c r="A240" s="336"/>
      <c r="B240" s="336"/>
      <c r="C240" s="336"/>
      <c r="D240" s="336"/>
      <c r="E240" s="336"/>
      <c r="F240" s="336"/>
      <c r="G240" s="336"/>
      <c r="H240" s="336"/>
      <c r="I240" s="338"/>
      <c r="J240" s="337"/>
      <c r="K240" s="336"/>
      <c r="L240" s="338"/>
      <c r="M240" s="336"/>
      <c r="N240" s="485"/>
      <c r="O240" s="486"/>
      <c r="P240" s="485"/>
      <c r="Q240" s="486"/>
      <c r="R240" s="336"/>
      <c r="S240" s="338"/>
      <c r="T240" s="336"/>
      <c r="U240" s="339"/>
      <c r="V240" s="339"/>
      <c r="W240" s="339"/>
      <c r="X240" s="339"/>
      <c r="Y240" s="339"/>
      <c r="Z240" s="339"/>
    </row>
    <row r="241" spans="1:26" ht="24" customHeight="1">
      <c r="A241" s="336"/>
      <c r="B241" s="336"/>
      <c r="C241" s="336"/>
      <c r="D241" s="336"/>
      <c r="E241" s="336"/>
      <c r="F241" s="336"/>
      <c r="G241" s="336"/>
      <c r="H241" s="336"/>
      <c r="I241" s="338"/>
      <c r="J241" s="337"/>
      <c r="K241" s="336"/>
      <c r="L241" s="338"/>
      <c r="M241" s="336"/>
      <c r="N241" s="485"/>
      <c r="O241" s="486"/>
      <c r="P241" s="485"/>
      <c r="Q241" s="486"/>
      <c r="R241" s="336"/>
      <c r="S241" s="338"/>
      <c r="T241" s="336"/>
      <c r="U241" s="339"/>
      <c r="V241" s="339"/>
      <c r="W241" s="339"/>
      <c r="X241" s="339"/>
      <c r="Y241" s="339"/>
      <c r="Z241" s="339"/>
    </row>
    <row r="242" spans="1:26" ht="24" customHeight="1">
      <c r="A242" s="336"/>
      <c r="B242" s="336"/>
      <c r="C242" s="336"/>
      <c r="D242" s="336"/>
      <c r="E242" s="336"/>
      <c r="F242" s="336"/>
      <c r="G242" s="336"/>
      <c r="H242" s="336"/>
      <c r="I242" s="338"/>
      <c r="J242" s="337"/>
      <c r="K242" s="336"/>
      <c r="L242" s="338"/>
      <c r="M242" s="336"/>
      <c r="N242" s="485"/>
      <c r="O242" s="486"/>
      <c r="P242" s="485"/>
      <c r="Q242" s="486"/>
      <c r="R242" s="336"/>
      <c r="S242" s="338"/>
      <c r="T242" s="336"/>
      <c r="U242" s="339"/>
      <c r="V242" s="339"/>
      <c r="W242" s="339"/>
      <c r="X242" s="339"/>
      <c r="Y242" s="339"/>
      <c r="Z242" s="339"/>
    </row>
    <row r="243" spans="1:26" ht="24" customHeight="1">
      <c r="A243" s="336"/>
      <c r="B243" s="336"/>
      <c r="C243" s="336"/>
      <c r="D243" s="336"/>
      <c r="E243" s="336"/>
      <c r="F243" s="336"/>
      <c r="G243" s="336"/>
      <c r="H243" s="336"/>
      <c r="I243" s="338"/>
      <c r="J243" s="337"/>
      <c r="K243" s="336"/>
      <c r="L243" s="338"/>
      <c r="M243" s="336"/>
      <c r="N243" s="485"/>
      <c r="O243" s="486"/>
      <c r="P243" s="485"/>
      <c r="Q243" s="486"/>
      <c r="R243" s="336"/>
      <c r="S243" s="338"/>
      <c r="T243" s="336"/>
      <c r="U243" s="339"/>
      <c r="V243" s="339"/>
      <c r="W243" s="339"/>
      <c r="X243" s="339"/>
      <c r="Y243" s="339"/>
      <c r="Z243" s="339"/>
    </row>
    <row r="244" spans="1:26" ht="24" customHeight="1">
      <c r="A244" s="336"/>
      <c r="B244" s="336"/>
      <c r="C244" s="336"/>
      <c r="D244" s="336"/>
      <c r="E244" s="336"/>
      <c r="F244" s="336"/>
      <c r="G244" s="336"/>
      <c r="H244" s="336"/>
      <c r="I244" s="338"/>
      <c r="J244" s="337"/>
      <c r="K244" s="336"/>
      <c r="L244" s="338"/>
      <c r="M244" s="336"/>
      <c r="N244" s="485"/>
      <c r="O244" s="486"/>
      <c r="P244" s="485"/>
      <c r="Q244" s="486"/>
      <c r="R244" s="336"/>
      <c r="S244" s="338"/>
      <c r="T244" s="336"/>
      <c r="U244" s="339"/>
      <c r="V244" s="339"/>
      <c r="W244" s="339"/>
      <c r="X244" s="339"/>
      <c r="Y244" s="339"/>
      <c r="Z244" s="339"/>
    </row>
    <row r="245" spans="1:26" ht="24" customHeight="1">
      <c r="A245" s="336"/>
      <c r="B245" s="336"/>
      <c r="C245" s="336"/>
      <c r="D245" s="336"/>
      <c r="E245" s="336"/>
      <c r="F245" s="336"/>
      <c r="G245" s="336"/>
      <c r="H245" s="336"/>
      <c r="I245" s="338"/>
      <c r="J245" s="337"/>
      <c r="K245" s="336"/>
      <c r="L245" s="338"/>
      <c r="M245" s="336"/>
      <c r="N245" s="485"/>
      <c r="O245" s="486"/>
      <c r="P245" s="485"/>
      <c r="Q245" s="486"/>
      <c r="R245" s="336"/>
      <c r="S245" s="338"/>
      <c r="T245" s="336"/>
      <c r="U245" s="339"/>
      <c r="V245" s="339"/>
      <c r="W245" s="339"/>
      <c r="X245" s="339"/>
      <c r="Y245" s="339"/>
      <c r="Z245" s="339"/>
    </row>
    <row r="246" spans="1:26" ht="24" customHeight="1">
      <c r="A246" s="336"/>
      <c r="B246" s="336"/>
      <c r="C246" s="336"/>
      <c r="D246" s="336"/>
      <c r="E246" s="336"/>
      <c r="F246" s="336"/>
      <c r="G246" s="336"/>
      <c r="H246" s="336"/>
      <c r="I246" s="338"/>
      <c r="J246" s="337"/>
      <c r="K246" s="336"/>
      <c r="L246" s="338"/>
      <c r="M246" s="336"/>
      <c r="N246" s="485"/>
      <c r="O246" s="486"/>
      <c r="P246" s="485"/>
      <c r="Q246" s="486"/>
      <c r="R246" s="336"/>
      <c r="S246" s="338"/>
      <c r="T246" s="336"/>
      <c r="U246" s="339"/>
      <c r="V246" s="339"/>
      <c r="W246" s="339"/>
      <c r="X246" s="339"/>
      <c r="Y246" s="339"/>
      <c r="Z246" s="339"/>
    </row>
    <row r="247" spans="1:26" ht="24" customHeight="1">
      <c r="A247" s="336"/>
      <c r="B247" s="336"/>
      <c r="C247" s="336"/>
      <c r="D247" s="336"/>
      <c r="E247" s="336"/>
      <c r="F247" s="336"/>
      <c r="G247" s="336"/>
      <c r="H247" s="336"/>
      <c r="I247" s="338"/>
      <c r="J247" s="337"/>
      <c r="K247" s="336"/>
      <c r="L247" s="338"/>
      <c r="M247" s="336"/>
      <c r="N247" s="485"/>
      <c r="O247" s="486"/>
      <c r="P247" s="485"/>
      <c r="Q247" s="486"/>
      <c r="R247" s="336"/>
      <c r="S247" s="338"/>
      <c r="T247" s="336"/>
      <c r="U247" s="339"/>
      <c r="V247" s="339"/>
      <c r="W247" s="339"/>
      <c r="X247" s="339"/>
      <c r="Y247" s="339"/>
      <c r="Z247" s="339"/>
    </row>
    <row r="248" spans="1:26" ht="24" customHeight="1">
      <c r="A248" s="336"/>
      <c r="B248" s="336"/>
      <c r="C248" s="336"/>
      <c r="D248" s="336"/>
      <c r="E248" s="336"/>
      <c r="F248" s="336"/>
      <c r="G248" s="336"/>
      <c r="H248" s="336"/>
      <c r="I248" s="338"/>
      <c r="J248" s="337"/>
      <c r="K248" s="336"/>
      <c r="L248" s="338"/>
      <c r="M248" s="336"/>
      <c r="N248" s="485"/>
      <c r="O248" s="486"/>
      <c r="P248" s="485"/>
      <c r="Q248" s="486"/>
      <c r="R248" s="336"/>
      <c r="S248" s="338"/>
      <c r="T248" s="336"/>
      <c r="U248" s="339"/>
      <c r="V248" s="339"/>
      <c r="W248" s="339"/>
      <c r="X248" s="339"/>
      <c r="Y248" s="339"/>
      <c r="Z248" s="339"/>
    </row>
    <row r="249" spans="1:26" ht="24" customHeight="1">
      <c r="A249" s="336"/>
      <c r="B249" s="336"/>
      <c r="C249" s="336"/>
      <c r="D249" s="336"/>
      <c r="E249" s="336"/>
      <c r="F249" s="336"/>
      <c r="G249" s="336"/>
      <c r="H249" s="336"/>
      <c r="I249" s="338"/>
      <c r="J249" s="337"/>
      <c r="K249" s="336"/>
      <c r="L249" s="338"/>
      <c r="M249" s="336"/>
      <c r="N249" s="485"/>
      <c r="O249" s="486"/>
      <c r="P249" s="485"/>
      <c r="Q249" s="486"/>
      <c r="R249" s="336"/>
      <c r="S249" s="338"/>
      <c r="T249" s="336"/>
      <c r="U249" s="339"/>
      <c r="V249" s="339"/>
      <c r="W249" s="339"/>
      <c r="X249" s="339"/>
      <c r="Y249" s="339"/>
      <c r="Z249" s="339"/>
    </row>
    <row r="250" spans="1:26" ht="24" customHeight="1">
      <c r="A250" s="336"/>
      <c r="B250" s="336"/>
      <c r="C250" s="336"/>
      <c r="D250" s="336"/>
      <c r="E250" s="336"/>
      <c r="F250" s="336"/>
      <c r="G250" s="336"/>
      <c r="H250" s="336"/>
      <c r="I250" s="338"/>
      <c r="J250" s="337"/>
      <c r="K250" s="336"/>
      <c r="L250" s="338"/>
      <c r="M250" s="336"/>
      <c r="N250" s="485"/>
      <c r="O250" s="486"/>
      <c r="P250" s="485"/>
      <c r="Q250" s="486"/>
      <c r="R250" s="336"/>
      <c r="S250" s="338"/>
      <c r="T250" s="336"/>
      <c r="U250" s="339"/>
      <c r="V250" s="339"/>
      <c r="W250" s="339"/>
      <c r="X250" s="339"/>
      <c r="Y250" s="339"/>
      <c r="Z250" s="339"/>
    </row>
    <row r="251" spans="1:26" ht="24" customHeight="1">
      <c r="A251" s="336"/>
      <c r="B251" s="336"/>
      <c r="C251" s="336"/>
      <c r="D251" s="336"/>
      <c r="E251" s="336"/>
      <c r="F251" s="336"/>
      <c r="G251" s="336"/>
      <c r="H251" s="336"/>
      <c r="I251" s="338"/>
      <c r="J251" s="337"/>
      <c r="K251" s="336"/>
      <c r="L251" s="338"/>
      <c r="M251" s="336"/>
      <c r="N251" s="485"/>
      <c r="O251" s="486"/>
      <c r="P251" s="485"/>
      <c r="Q251" s="486"/>
      <c r="R251" s="336"/>
      <c r="S251" s="338"/>
      <c r="T251" s="336"/>
      <c r="U251" s="339"/>
      <c r="V251" s="339"/>
      <c r="W251" s="339"/>
      <c r="X251" s="339"/>
      <c r="Y251" s="339"/>
      <c r="Z251" s="339"/>
    </row>
    <row r="252" spans="1:26" ht="24" customHeight="1">
      <c r="A252" s="336"/>
      <c r="B252" s="336"/>
      <c r="C252" s="336"/>
      <c r="D252" s="336"/>
      <c r="E252" s="336"/>
      <c r="F252" s="336"/>
      <c r="G252" s="336"/>
      <c r="H252" s="336"/>
      <c r="I252" s="338"/>
      <c r="J252" s="337"/>
      <c r="K252" s="336"/>
      <c r="L252" s="338"/>
      <c r="M252" s="336"/>
      <c r="N252" s="485"/>
      <c r="O252" s="486"/>
      <c r="P252" s="485"/>
      <c r="Q252" s="486"/>
      <c r="R252" s="336"/>
      <c r="S252" s="338"/>
      <c r="T252" s="336"/>
      <c r="U252" s="339"/>
      <c r="V252" s="339"/>
      <c r="W252" s="339"/>
      <c r="X252" s="339"/>
      <c r="Y252" s="339"/>
      <c r="Z252" s="339"/>
    </row>
    <row r="253" spans="1:26" ht="24" customHeight="1">
      <c r="A253" s="336"/>
      <c r="B253" s="336"/>
      <c r="C253" s="336"/>
      <c r="D253" s="336"/>
      <c r="E253" s="336"/>
      <c r="F253" s="336"/>
      <c r="G253" s="336"/>
      <c r="H253" s="336"/>
      <c r="I253" s="338"/>
      <c r="J253" s="337"/>
      <c r="K253" s="336"/>
      <c r="L253" s="338"/>
      <c r="M253" s="336"/>
      <c r="N253" s="485"/>
      <c r="O253" s="486"/>
      <c r="P253" s="485"/>
      <c r="Q253" s="486"/>
      <c r="R253" s="336"/>
      <c r="S253" s="338"/>
      <c r="T253" s="336"/>
      <c r="U253" s="339"/>
      <c r="V253" s="339"/>
      <c r="W253" s="339"/>
      <c r="X253" s="339"/>
      <c r="Y253" s="339"/>
      <c r="Z253" s="339"/>
    </row>
    <row r="254" spans="1:26" ht="24" customHeight="1">
      <c r="A254" s="336"/>
      <c r="B254" s="336"/>
      <c r="C254" s="336"/>
      <c r="D254" s="336"/>
      <c r="E254" s="336"/>
      <c r="F254" s="336"/>
      <c r="G254" s="336"/>
      <c r="H254" s="336"/>
      <c r="I254" s="338"/>
      <c r="J254" s="337"/>
      <c r="K254" s="336"/>
      <c r="L254" s="338"/>
      <c r="M254" s="336"/>
      <c r="N254" s="485"/>
      <c r="O254" s="486"/>
      <c r="P254" s="485"/>
      <c r="Q254" s="486"/>
      <c r="R254" s="336"/>
      <c r="S254" s="338"/>
      <c r="T254" s="336"/>
      <c r="U254" s="339"/>
      <c r="V254" s="339"/>
      <c r="W254" s="339"/>
      <c r="X254" s="339"/>
      <c r="Y254" s="339"/>
      <c r="Z254" s="339"/>
    </row>
    <row r="255" spans="1:26" ht="24" customHeight="1">
      <c r="A255" s="336"/>
      <c r="B255" s="336"/>
      <c r="C255" s="336"/>
      <c r="D255" s="336"/>
      <c r="E255" s="336"/>
      <c r="F255" s="336"/>
      <c r="G255" s="336"/>
      <c r="H255" s="336"/>
      <c r="I255" s="338"/>
      <c r="J255" s="337"/>
      <c r="K255" s="336"/>
      <c r="L255" s="338"/>
      <c r="M255" s="336"/>
      <c r="N255" s="485"/>
      <c r="O255" s="486"/>
      <c r="P255" s="485"/>
      <c r="Q255" s="486"/>
      <c r="R255" s="336"/>
      <c r="S255" s="338"/>
      <c r="T255" s="336"/>
      <c r="U255" s="339"/>
      <c r="V255" s="339"/>
      <c r="W255" s="339"/>
      <c r="X255" s="339"/>
      <c r="Y255" s="339"/>
      <c r="Z255" s="339"/>
    </row>
    <row r="256" spans="1:26" ht="24" customHeight="1">
      <c r="A256" s="336"/>
      <c r="B256" s="336"/>
      <c r="C256" s="336"/>
      <c r="D256" s="336"/>
      <c r="E256" s="336"/>
      <c r="F256" s="336"/>
      <c r="G256" s="336"/>
      <c r="H256" s="336"/>
      <c r="I256" s="338"/>
      <c r="J256" s="337"/>
      <c r="K256" s="336"/>
      <c r="L256" s="338"/>
      <c r="M256" s="336"/>
      <c r="N256" s="485"/>
      <c r="O256" s="486"/>
      <c r="P256" s="485"/>
      <c r="Q256" s="486"/>
      <c r="R256" s="336"/>
      <c r="S256" s="338"/>
      <c r="T256" s="336"/>
      <c r="U256" s="339"/>
      <c r="V256" s="339"/>
      <c r="W256" s="339"/>
      <c r="X256" s="339"/>
      <c r="Y256" s="339"/>
      <c r="Z256" s="339"/>
    </row>
    <row r="257" spans="1:26" ht="24" customHeight="1">
      <c r="A257" s="336"/>
      <c r="B257" s="336"/>
      <c r="C257" s="336"/>
      <c r="D257" s="336"/>
      <c r="E257" s="336"/>
      <c r="F257" s="336"/>
      <c r="G257" s="336"/>
      <c r="H257" s="336"/>
      <c r="I257" s="338"/>
      <c r="J257" s="337"/>
      <c r="K257" s="336"/>
      <c r="L257" s="338"/>
      <c r="M257" s="336"/>
      <c r="N257" s="485"/>
      <c r="O257" s="486"/>
      <c r="P257" s="485"/>
      <c r="Q257" s="486"/>
      <c r="R257" s="336"/>
      <c r="S257" s="338"/>
      <c r="T257" s="336"/>
      <c r="U257" s="339"/>
      <c r="V257" s="339"/>
      <c r="W257" s="339"/>
      <c r="X257" s="339"/>
      <c r="Y257" s="339"/>
      <c r="Z257" s="339"/>
    </row>
    <row r="258" spans="1:26" ht="24" customHeight="1">
      <c r="A258" s="336"/>
      <c r="B258" s="336"/>
      <c r="C258" s="336"/>
      <c r="D258" s="336"/>
      <c r="E258" s="336"/>
      <c r="F258" s="336"/>
      <c r="G258" s="336"/>
      <c r="H258" s="336"/>
      <c r="I258" s="338"/>
      <c r="J258" s="337"/>
      <c r="K258" s="336"/>
      <c r="L258" s="338"/>
      <c r="M258" s="336"/>
      <c r="N258" s="485"/>
      <c r="O258" s="486"/>
      <c r="P258" s="485"/>
      <c r="Q258" s="486"/>
      <c r="R258" s="336"/>
      <c r="S258" s="338"/>
      <c r="T258" s="336"/>
      <c r="U258" s="339"/>
      <c r="V258" s="339"/>
      <c r="W258" s="339"/>
      <c r="X258" s="339"/>
      <c r="Y258" s="339"/>
      <c r="Z258" s="339"/>
    </row>
    <row r="259" spans="1:26" ht="24" customHeight="1">
      <c r="A259" s="336"/>
      <c r="B259" s="336"/>
      <c r="C259" s="336"/>
      <c r="D259" s="336"/>
      <c r="E259" s="336"/>
      <c r="F259" s="336"/>
      <c r="G259" s="336"/>
      <c r="H259" s="336"/>
      <c r="I259" s="338"/>
      <c r="J259" s="337"/>
      <c r="K259" s="336"/>
      <c r="L259" s="338"/>
      <c r="M259" s="336"/>
      <c r="N259" s="485"/>
      <c r="O259" s="486"/>
      <c r="P259" s="485"/>
      <c r="Q259" s="486"/>
      <c r="R259" s="336"/>
      <c r="S259" s="338"/>
      <c r="T259" s="336"/>
      <c r="U259" s="339"/>
      <c r="V259" s="339"/>
      <c r="W259" s="339"/>
      <c r="X259" s="339"/>
      <c r="Y259" s="339"/>
      <c r="Z259" s="339"/>
    </row>
    <row r="260" spans="1:26" ht="24" customHeight="1">
      <c r="A260" s="336"/>
      <c r="B260" s="336"/>
      <c r="C260" s="336"/>
      <c r="D260" s="336"/>
      <c r="E260" s="336"/>
      <c r="F260" s="336"/>
      <c r="G260" s="336"/>
      <c r="H260" s="336"/>
      <c r="I260" s="338"/>
      <c r="J260" s="337"/>
      <c r="K260" s="336"/>
      <c r="L260" s="338"/>
      <c r="M260" s="336"/>
      <c r="N260" s="485"/>
      <c r="O260" s="486"/>
      <c r="P260" s="485"/>
      <c r="Q260" s="486"/>
      <c r="R260" s="336"/>
      <c r="S260" s="338"/>
      <c r="T260" s="336"/>
      <c r="U260" s="339"/>
      <c r="V260" s="339"/>
      <c r="W260" s="339"/>
      <c r="X260" s="339"/>
      <c r="Y260" s="339"/>
      <c r="Z260" s="339"/>
    </row>
    <row r="261" spans="1:26" ht="24" customHeight="1">
      <c r="A261" s="336"/>
      <c r="B261" s="336"/>
      <c r="C261" s="336"/>
      <c r="D261" s="336"/>
      <c r="E261" s="336"/>
      <c r="F261" s="336"/>
      <c r="G261" s="336"/>
      <c r="H261" s="336"/>
      <c r="I261" s="338"/>
      <c r="J261" s="337"/>
      <c r="K261" s="336"/>
      <c r="L261" s="338"/>
      <c r="M261" s="336"/>
      <c r="N261" s="485"/>
      <c r="O261" s="486"/>
      <c r="P261" s="485"/>
      <c r="Q261" s="486"/>
      <c r="R261" s="336"/>
      <c r="S261" s="338"/>
      <c r="T261" s="336"/>
      <c r="U261" s="339"/>
      <c r="V261" s="339"/>
      <c r="W261" s="339"/>
      <c r="X261" s="339"/>
      <c r="Y261" s="339"/>
      <c r="Z261" s="339"/>
    </row>
    <row r="262" spans="1:26" ht="24" customHeight="1">
      <c r="A262" s="336"/>
      <c r="B262" s="336"/>
      <c r="C262" s="336"/>
      <c r="D262" s="336"/>
      <c r="E262" s="336"/>
      <c r="F262" s="336"/>
      <c r="G262" s="336"/>
      <c r="H262" s="336"/>
      <c r="I262" s="338"/>
      <c r="J262" s="337"/>
      <c r="K262" s="336"/>
      <c r="L262" s="338"/>
      <c r="M262" s="336"/>
      <c r="N262" s="485"/>
      <c r="O262" s="486"/>
      <c r="P262" s="485"/>
      <c r="Q262" s="486"/>
      <c r="R262" s="336"/>
      <c r="S262" s="338"/>
      <c r="T262" s="336"/>
      <c r="U262" s="339"/>
      <c r="V262" s="339"/>
      <c r="W262" s="339"/>
      <c r="X262" s="339"/>
      <c r="Y262" s="339"/>
      <c r="Z262" s="339"/>
    </row>
    <row r="263" spans="1:26" ht="24" customHeight="1">
      <c r="A263" s="336"/>
      <c r="B263" s="336"/>
      <c r="C263" s="336"/>
      <c r="D263" s="336"/>
      <c r="E263" s="336"/>
      <c r="F263" s="336"/>
      <c r="G263" s="336"/>
      <c r="H263" s="336"/>
      <c r="I263" s="338"/>
      <c r="J263" s="337"/>
      <c r="K263" s="336"/>
      <c r="L263" s="338"/>
      <c r="M263" s="336"/>
      <c r="N263" s="485"/>
      <c r="O263" s="486"/>
      <c r="P263" s="485"/>
      <c r="Q263" s="486"/>
      <c r="R263" s="336"/>
      <c r="S263" s="338"/>
      <c r="T263" s="336"/>
      <c r="U263" s="339"/>
      <c r="V263" s="339"/>
      <c r="W263" s="339"/>
      <c r="X263" s="339"/>
      <c r="Y263" s="339"/>
      <c r="Z263" s="339"/>
    </row>
    <row r="264" spans="1:26" ht="24" customHeight="1">
      <c r="A264" s="336"/>
      <c r="B264" s="336"/>
      <c r="C264" s="336"/>
      <c r="D264" s="336"/>
      <c r="E264" s="336"/>
      <c r="F264" s="336"/>
      <c r="G264" s="336"/>
      <c r="H264" s="336"/>
      <c r="I264" s="338"/>
      <c r="J264" s="337"/>
      <c r="K264" s="336"/>
      <c r="L264" s="338"/>
      <c r="M264" s="336"/>
      <c r="N264" s="485"/>
      <c r="O264" s="486"/>
      <c r="P264" s="485"/>
      <c r="Q264" s="486"/>
      <c r="R264" s="336"/>
      <c r="S264" s="338"/>
      <c r="T264" s="336"/>
      <c r="U264" s="339"/>
      <c r="V264" s="339"/>
      <c r="W264" s="339"/>
      <c r="X264" s="339"/>
      <c r="Y264" s="339"/>
      <c r="Z264" s="339"/>
    </row>
    <row r="265" spans="1:26" ht="24" customHeight="1">
      <c r="A265" s="336"/>
      <c r="B265" s="336"/>
      <c r="C265" s="336"/>
      <c r="D265" s="336"/>
      <c r="E265" s="336"/>
      <c r="F265" s="336"/>
      <c r="G265" s="336"/>
      <c r="H265" s="336"/>
      <c r="I265" s="338"/>
      <c r="J265" s="337"/>
      <c r="K265" s="336"/>
      <c r="L265" s="338"/>
      <c r="M265" s="336"/>
      <c r="N265" s="485"/>
      <c r="O265" s="486"/>
      <c r="P265" s="485"/>
      <c r="Q265" s="486"/>
      <c r="R265" s="336"/>
      <c r="S265" s="338"/>
      <c r="T265" s="336"/>
      <c r="U265" s="339"/>
      <c r="V265" s="339"/>
      <c r="W265" s="339"/>
      <c r="X265" s="339"/>
      <c r="Y265" s="339"/>
      <c r="Z265" s="339"/>
    </row>
    <row r="266" spans="1:26" ht="24" customHeight="1">
      <c r="A266" s="336"/>
      <c r="B266" s="336"/>
      <c r="C266" s="336"/>
      <c r="D266" s="336"/>
      <c r="E266" s="336"/>
      <c r="F266" s="336"/>
      <c r="G266" s="336"/>
      <c r="H266" s="336"/>
      <c r="I266" s="338"/>
      <c r="J266" s="337"/>
      <c r="K266" s="336"/>
      <c r="L266" s="338"/>
      <c r="M266" s="336"/>
      <c r="N266" s="485"/>
      <c r="O266" s="486"/>
      <c r="P266" s="485"/>
      <c r="Q266" s="486"/>
      <c r="R266" s="336"/>
      <c r="S266" s="338"/>
      <c r="T266" s="336"/>
      <c r="U266" s="339"/>
      <c r="V266" s="339"/>
      <c r="W266" s="339"/>
      <c r="X266" s="339"/>
      <c r="Y266" s="339"/>
      <c r="Z266" s="339"/>
    </row>
    <row r="267" spans="1:26" ht="24" customHeight="1">
      <c r="A267" s="336"/>
      <c r="B267" s="336"/>
      <c r="C267" s="336"/>
      <c r="D267" s="336"/>
      <c r="E267" s="336"/>
      <c r="F267" s="336"/>
      <c r="G267" s="336"/>
      <c r="H267" s="336"/>
      <c r="I267" s="338"/>
      <c r="J267" s="337"/>
      <c r="K267" s="336"/>
      <c r="L267" s="338"/>
      <c r="M267" s="336"/>
      <c r="N267" s="485"/>
      <c r="O267" s="486"/>
      <c r="P267" s="485"/>
      <c r="Q267" s="486"/>
      <c r="R267" s="336"/>
      <c r="S267" s="338"/>
      <c r="T267" s="336"/>
      <c r="U267" s="339"/>
      <c r="V267" s="339"/>
      <c r="W267" s="339"/>
      <c r="X267" s="339"/>
      <c r="Y267" s="339"/>
      <c r="Z267" s="339"/>
    </row>
    <row r="268" spans="1:26" ht="24" customHeight="1">
      <c r="A268" s="336"/>
      <c r="B268" s="336"/>
      <c r="C268" s="336"/>
      <c r="D268" s="336"/>
      <c r="E268" s="336"/>
      <c r="F268" s="336"/>
      <c r="G268" s="336"/>
      <c r="H268" s="336"/>
      <c r="I268" s="338"/>
      <c r="J268" s="337"/>
      <c r="K268" s="336"/>
      <c r="L268" s="338"/>
      <c r="M268" s="336"/>
      <c r="N268" s="485"/>
      <c r="O268" s="486"/>
      <c r="P268" s="485"/>
      <c r="Q268" s="486"/>
      <c r="R268" s="336"/>
      <c r="S268" s="338"/>
      <c r="T268" s="336"/>
      <c r="U268" s="339"/>
      <c r="V268" s="339"/>
      <c r="W268" s="339"/>
      <c r="X268" s="339"/>
      <c r="Y268" s="339"/>
      <c r="Z268" s="339"/>
    </row>
    <row r="269" spans="1:26" ht="24" customHeight="1">
      <c r="A269" s="336"/>
      <c r="B269" s="336"/>
      <c r="C269" s="336"/>
      <c r="D269" s="336"/>
      <c r="E269" s="336"/>
      <c r="F269" s="336"/>
      <c r="G269" s="336"/>
      <c r="H269" s="336"/>
      <c r="I269" s="338"/>
      <c r="J269" s="337"/>
      <c r="K269" s="336"/>
      <c r="L269" s="338"/>
      <c r="M269" s="336"/>
      <c r="N269" s="485"/>
      <c r="O269" s="486"/>
      <c r="P269" s="485"/>
      <c r="Q269" s="486"/>
      <c r="R269" s="336"/>
      <c r="S269" s="338"/>
      <c r="T269" s="336"/>
      <c r="U269" s="339"/>
      <c r="V269" s="339"/>
      <c r="W269" s="339"/>
      <c r="X269" s="339"/>
      <c r="Y269" s="339"/>
      <c r="Z269" s="339"/>
    </row>
    <row r="270" spans="1:26" ht="24" customHeight="1">
      <c r="A270" s="336"/>
      <c r="B270" s="336"/>
      <c r="C270" s="336"/>
      <c r="D270" s="336"/>
      <c r="E270" s="336"/>
      <c r="F270" s="336"/>
      <c r="G270" s="336"/>
      <c r="H270" s="336"/>
      <c r="I270" s="338"/>
      <c r="J270" s="337"/>
      <c r="K270" s="336"/>
      <c r="L270" s="338"/>
      <c r="M270" s="336"/>
      <c r="N270" s="485"/>
      <c r="O270" s="486"/>
      <c r="P270" s="485"/>
      <c r="Q270" s="486"/>
      <c r="R270" s="336"/>
      <c r="S270" s="338"/>
      <c r="T270" s="336"/>
      <c r="U270" s="339"/>
      <c r="V270" s="339"/>
      <c r="W270" s="339"/>
      <c r="X270" s="339"/>
      <c r="Y270" s="339"/>
      <c r="Z270" s="339"/>
    </row>
    <row r="271" spans="1:26" ht="24" customHeight="1">
      <c r="A271" s="336"/>
      <c r="B271" s="336"/>
      <c r="C271" s="336"/>
      <c r="D271" s="336"/>
      <c r="E271" s="336"/>
      <c r="F271" s="336"/>
      <c r="G271" s="336"/>
      <c r="H271" s="336"/>
      <c r="I271" s="338"/>
      <c r="J271" s="337"/>
      <c r="K271" s="336"/>
      <c r="L271" s="338"/>
      <c r="M271" s="336"/>
      <c r="N271" s="485"/>
      <c r="O271" s="486"/>
      <c r="P271" s="485"/>
      <c r="Q271" s="486"/>
      <c r="R271" s="336"/>
      <c r="S271" s="338"/>
      <c r="T271" s="336"/>
      <c r="U271" s="339"/>
      <c r="V271" s="339"/>
      <c r="W271" s="339"/>
      <c r="X271" s="339"/>
      <c r="Y271" s="339"/>
      <c r="Z271" s="339"/>
    </row>
    <row r="272" spans="1:26" ht="24" customHeight="1">
      <c r="A272" s="336"/>
      <c r="B272" s="336"/>
      <c r="C272" s="336"/>
      <c r="D272" s="336"/>
      <c r="E272" s="336"/>
      <c r="F272" s="336"/>
      <c r="G272" s="336"/>
      <c r="H272" s="336"/>
      <c r="I272" s="338"/>
      <c r="J272" s="337"/>
      <c r="K272" s="336"/>
      <c r="L272" s="338"/>
      <c r="M272" s="336"/>
      <c r="N272" s="485"/>
      <c r="O272" s="486"/>
      <c r="P272" s="485"/>
      <c r="Q272" s="486"/>
      <c r="R272" s="336"/>
      <c r="S272" s="338"/>
      <c r="T272" s="336"/>
      <c r="U272" s="339"/>
      <c r="V272" s="339"/>
      <c r="W272" s="339"/>
      <c r="X272" s="339"/>
      <c r="Y272" s="339"/>
      <c r="Z272" s="339"/>
    </row>
    <row r="273" spans="1:26" ht="24" customHeight="1">
      <c r="A273" s="336"/>
      <c r="B273" s="336"/>
      <c r="C273" s="336"/>
      <c r="D273" s="336"/>
      <c r="E273" s="336"/>
      <c r="F273" s="336"/>
      <c r="G273" s="336"/>
      <c r="H273" s="336"/>
      <c r="I273" s="338"/>
      <c r="J273" s="337"/>
      <c r="K273" s="336"/>
      <c r="L273" s="338"/>
      <c r="M273" s="336"/>
      <c r="N273" s="485"/>
      <c r="O273" s="486"/>
      <c r="P273" s="485"/>
      <c r="Q273" s="486"/>
      <c r="R273" s="336"/>
      <c r="S273" s="338"/>
      <c r="T273" s="336"/>
      <c r="U273" s="339"/>
      <c r="V273" s="339"/>
      <c r="W273" s="339"/>
      <c r="X273" s="339"/>
      <c r="Y273" s="339"/>
      <c r="Z273" s="339"/>
    </row>
    <row r="274" spans="1:26" ht="24" customHeight="1">
      <c r="A274" s="336"/>
      <c r="B274" s="336"/>
      <c r="C274" s="336"/>
      <c r="D274" s="336"/>
      <c r="E274" s="336"/>
      <c r="F274" s="336"/>
      <c r="G274" s="336"/>
      <c r="H274" s="336"/>
      <c r="I274" s="338"/>
      <c r="J274" s="337"/>
      <c r="K274" s="336"/>
      <c r="L274" s="338"/>
      <c r="M274" s="336"/>
      <c r="N274" s="485"/>
      <c r="O274" s="486"/>
      <c r="P274" s="485"/>
      <c r="Q274" s="486"/>
      <c r="R274" s="336"/>
      <c r="S274" s="338"/>
      <c r="T274" s="336"/>
      <c r="U274" s="339"/>
      <c r="V274" s="339"/>
      <c r="W274" s="339"/>
      <c r="X274" s="339"/>
      <c r="Y274" s="339"/>
      <c r="Z274" s="339"/>
    </row>
    <row r="275" spans="1:26" ht="24" customHeight="1">
      <c r="A275" s="336"/>
      <c r="B275" s="336"/>
      <c r="C275" s="336"/>
      <c r="D275" s="336"/>
      <c r="E275" s="336"/>
      <c r="F275" s="336"/>
      <c r="G275" s="336"/>
      <c r="H275" s="336"/>
      <c r="I275" s="338"/>
      <c r="J275" s="337"/>
      <c r="K275" s="336"/>
      <c r="L275" s="338"/>
      <c r="M275" s="336"/>
      <c r="N275" s="485"/>
      <c r="O275" s="486"/>
      <c r="P275" s="485"/>
      <c r="Q275" s="486"/>
      <c r="R275" s="336"/>
      <c r="S275" s="338"/>
      <c r="T275" s="336"/>
      <c r="U275" s="339"/>
      <c r="V275" s="339"/>
      <c r="W275" s="339"/>
      <c r="X275" s="339"/>
      <c r="Y275" s="339"/>
      <c r="Z275" s="339"/>
    </row>
    <row r="276" spans="1:26" ht="24" customHeight="1">
      <c r="A276" s="336"/>
      <c r="B276" s="336"/>
      <c r="C276" s="336"/>
      <c r="D276" s="336"/>
      <c r="E276" s="336"/>
      <c r="F276" s="336"/>
      <c r="G276" s="336"/>
      <c r="H276" s="336"/>
      <c r="I276" s="338"/>
      <c r="J276" s="337"/>
      <c r="K276" s="336"/>
      <c r="L276" s="338"/>
      <c r="M276" s="336"/>
      <c r="N276" s="485"/>
      <c r="O276" s="486"/>
      <c r="P276" s="485"/>
      <c r="Q276" s="486"/>
      <c r="R276" s="336"/>
      <c r="S276" s="338"/>
      <c r="T276" s="336"/>
      <c r="U276" s="339"/>
      <c r="V276" s="339"/>
      <c r="W276" s="339"/>
      <c r="X276" s="339"/>
      <c r="Y276" s="339"/>
      <c r="Z276" s="339"/>
    </row>
    <row r="277" spans="1:26" ht="24" customHeight="1">
      <c r="A277" s="336"/>
      <c r="B277" s="336"/>
      <c r="C277" s="336"/>
      <c r="D277" s="336"/>
      <c r="E277" s="336"/>
      <c r="F277" s="336"/>
      <c r="G277" s="336"/>
      <c r="H277" s="336"/>
      <c r="I277" s="338"/>
      <c r="J277" s="337"/>
      <c r="K277" s="336"/>
      <c r="L277" s="338"/>
      <c r="M277" s="336"/>
      <c r="N277" s="485"/>
      <c r="O277" s="486"/>
      <c r="P277" s="485"/>
      <c r="Q277" s="486"/>
      <c r="R277" s="336"/>
      <c r="S277" s="338"/>
      <c r="T277" s="336"/>
      <c r="U277" s="339"/>
      <c r="V277" s="339"/>
      <c r="W277" s="339"/>
      <c r="X277" s="339"/>
      <c r="Y277" s="339"/>
      <c r="Z277" s="339"/>
    </row>
    <row r="278" spans="1:26" ht="24" customHeight="1">
      <c r="A278" s="336"/>
      <c r="B278" s="336"/>
      <c r="C278" s="336"/>
      <c r="D278" s="336"/>
      <c r="E278" s="336"/>
      <c r="F278" s="336"/>
      <c r="G278" s="336"/>
      <c r="H278" s="336"/>
      <c r="I278" s="338"/>
      <c r="J278" s="337"/>
      <c r="K278" s="336"/>
      <c r="L278" s="338"/>
      <c r="M278" s="336"/>
      <c r="N278" s="485"/>
      <c r="O278" s="486"/>
      <c r="P278" s="485"/>
      <c r="Q278" s="486"/>
      <c r="R278" s="336"/>
      <c r="S278" s="338"/>
      <c r="T278" s="336"/>
      <c r="U278" s="339"/>
      <c r="V278" s="339"/>
      <c r="W278" s="339"/>
      <c r="X278" s="339"/>
      <c r="Y278" s="339"/>
      <c r="Z278" s="339"/>
    </row>
    <row r="279" spans="1:26" ht="24" customHeight="1">
      <c r="A279" s="336"/>
      <c r="B279" s="336"/>
      <c r="C279" s="336"/>
      <c r="D279" s="336"/>
      <c r="E279" s="336"/>
      <c r="F279" s="336"/>
      <c r="G279" s="336"/>
      <c r="H279" s="336"/>
      <c r="I279" s="338"/>
      <c r="J279" s="337"/>
      <c r="K279" s="336"/>
      <c r="L279" s="338"/>
      <c r="M279" s="336"/>
      <c r="N279" s="485"/>
      <c r="O279" s="486"/>
      <c r="P279" s="485"/>
      <c r="Q279" s="486"/>
      <c r="R279" s="336"/>
      <c r="S279" s="338"/>
      <c r="T279" s="336"/>
      <c r="U279" s="339"/>
      <c r="V279" s="339"/>
      <c r="W279" s="339"/>
      <c r="X279" s="339"/>
      <c r="Y279" s="339"/>
      <c r="Z279" s="339"/>
    </row>
    <row r="280" spans="1:26" ht="24" customHeight="1">
      <c r="A280" s="336"/>
      <c r="B280" s="336"/>
      <c r="C280" s="336"/>
      <c r="D280" s="336"/>
      <c r="E280" s="336"/>
      <c r="F280" s="336"/>
      <c r="G280" s="336"/>
      <c r="H280" s="336"/>
      <c r="I280" s="338"/>
      <c r="J280" s="337"/>
      <c r="K280" s="336"/>
      <c r="L280" s="338"/>
      <c r="M280" s="336"/>
      <c r="N280" s="485"/>
      <c r="O280" s="486"/>
      <c r="P280" s="485"/>
      <c r="Q280" s="486"/>
      <c r="R280" s="336"/>
      <c r="S280" s="338"/>
      <c r="T280" s="336"/>
      <c r="U280" s="339"/>
      <c r="V280" s="339"/>
      <c r="W280" s="339"/>
      <c r="X280" s="339"/>
      <c r="Y280" s="339"/>
      <c r="Z280" s="339"/>
    </row>
    <row r="281" spans="1:26" ht="24" customHeight="1">
      <c r="A281" s="336"/>
      <c r="B281" s="336"/>
      <c r="C281" s="336"/>
      <c r="D281" s="336"/>
      <c r="E281" s="336"/>
      <c r="F281" s="336"/>
      <c r="G281" s="336"/>
      <c r="H281" s="336"/>
      <c r="I281" s="338"/>
      <c r="J281" s="337"/>
      <c r="K281" s="336"/>
      <c r="L281" s="338"/>
      <c r="M281" s="336"/>
      <c r="N281" s="485"/>
      <c r="O281" s="486"/>
      <c r="P281" s="485"/>
      <c r="Q281" s="486"/>
      <c r="R281" s="336"/>
      <c r="S281" s="338"/>
      <c r="T281" s="336"/>
      <c r="U281" s="339"/>
      <c r="V281" s="339"/>
      <c r="W281" s="339"/>
      <c r="X281" s="339"/>
      <c r="Y281" s="339"/>
      <c r="Z281" s="339"/>
    </row>
    <row r="282" spans="1:26" ht="24" customHeight="1">
      <c r="A282" s="336"/>
      <c r="B282" s="336"/>
      <c r="C282" s="336"/>
      <c r="D282" s="336"/>
      <c r="E282" s="336"/>
      <c r="F282" s="336"/>
      <c r="G282" s="336"/>
      <c r="H282" s="336"/>
      <c r="I282" s="338"/>
      <c r="J282" s="337"/>
      <c r="K282" s="336"/>
      <c r="L282" s="338"/>
      <c r="M282" s="336"/>
      <c r="N282" s="485"/>
      <c r="O282" s="486"/>
      <c r="P282" s="485"/>
      <c r="Q282" s="486"/>
      <c r="R282" s="336"/>
      <c r="S282" s="338"/>
      <c r="T282" s="336"/>
      <c r="U282" s="339"/>
      <c r="V282" s="339"/>
      <c r="W282" s="339"/>
      <c r="X282" s="339"/>
      <c r="Y282" s="339"/>
      <c r="Z282" s="339"/>
    </row>
    <row r="283" spans="1:26" ht="24" customHeight="1">
      <c r="A283" s="336"/>
      <c r="B283" s="336"/>
      <c r="C283" s="336"/>
      <c r="D283" s="336"/>
      <c r="E283" s="336"/>
      <c r="F283" s="336"/>
      <c r="G283" s="336"/>
      <c r="H283" s="336"/>
      <c r="I283" s="338"/>
      <c r="J283" s="337"/>
      <c r="K283" s="336"/>
      <c r="L283" s="338"/>
      <c r="M283" s="336"/>
      <c r="N283" s="485"/>
      <c r="O283" s="486"/>
      <c r="P283" s="485"/>
      <c r="Q283" s="486"/>
      <c r="R283" s="336"/>
      <c r="S283" s="338"/>
      <c r="T283" s="336"/>
      <c r="U283" s="339"/>
      <c r="V283" s="339"/>
      <c r="W283" s="339"/>
      <c r="X283" s="339"/>
      <c r="Y283" s="339"/>
      <c r="Z283" s="339"/>
    </row>
    <row r="284" spans="1:26" ht="24" customHeight="1">
      <c r="A284" s="336"/>
      <c r="B284" s="336"/>
      <c r="C284" s="336"/>
      <c r="D284" s="336"/>
      <c r="E284" s="336"/>
      <c r="F284" s="336"/>
      <c r="G284" s="336"/>
      <c r="H284" s="336"/>
      <c r="I284" s="338"/>
      <c r="J284" s="337"/>
      <c r="K284" s="336"/>
      <c r="L284" s="338"/>
      <c r="M284" s="336"/>
      <c r="N284" s="485"/>
      <c r="O284" s="486"/>
      <c r="P284" s="485"/>
      <c r="Q284" s="486"/>
      <c r="R284" s="336"/>
      <c r="S284" s="338"/>
      <c r="T284" s="336"/>
      <c r="U284" s="339"/>
      <c r="V284" s="339"/>
      <c r="W284" s="339"/>
      <c r="X284" s="339"/>
      <c r="Y284" s="339"/>
      <c r="Z284" s="339"/>
    </row>
    <row r="285" spans="1:26" ht="24" customHeight="1">
      <c r="A285" s="336"/>
      <c r="B285" s="336"/>
      <c r="C285" s="336"/>
      <c r="D285" s="336"/>
      <c r="E285" s="336"/>
      <c r="F285" s="336"/>
      <c r="G285" s="336"/>
      <c r="H285" s="336"/>
      <c r="I285" s="338"/>
      <c r="J285" s="337"/>
      <c r="K285" s="336"/>
      <c r="L285" s="338"/>
      <c r="M285" s="336"/>
      <c r="N285" s="485"/>
      <c r="O285" s="486"/>
      <c r="P285" s="485"/>
      <c r="Q285" s="486"/>
      <c r="R285" s="336"/>
      <c r="S285" s="338"/>
      <c r="T285" s="336"/>
      <c r="U285" s="339"/>
      <c r="V285" s="339"/>
      <c r="W285" s="339"/>
      <c r="X285" s="339"/>
      <c r="Y285" s="339"/>
      <c r="Z285" s="339"/>
    </row>
    <row r="286" spans="1:26" ht="24" customHeight="1">
      <c r="A286" s="336"/>
      <c r="B286" s="336"/>
      <c r="C286" s="336"/>
      <c r="D286" s="336"/>
      <c r="E286" s="336"/>
      <c r="F286" s="336"/>
      <c r="G286" s="336"/>
      <c r="H286" s="336"/>
      <c r="I286" s="338"/>
      <c r="J286" s="337"/>
      <c r="K286" s="336"/>
      <c r="L286" s="338"/>
      <c r="M286" s="336"/>
      <c r="N286" s="485"/>
      <c r="O286" s="486"/>
      <c r="P286" s="485"/>
      <c r="Q286" s="486"/>
      <c r="R286" s="336"/>
      <c r="S286" s="338"/>
      <c r="T286" s="336"/>
      <c r="U286" s="339"/>
      <c r="V286" s="339"/>
      <c r="W286" s="339"/>
      <c r="X286" s="339"/>
      <c r="Y286" s="339"/>
      <c r="Z286" s="339"/>
    </row>
    <row r="287" spans="1:26" ht="24" customHeight="1">
      <c r="A287" s="336"/>
      <c r="B287" s="336"/>
      <c r="C287" s="336"/>
      <c r="D287" s="336"/>
      <c r="E287" s="336"/>
      <c r="F287" s="336"/>
      <c r="G287" s="336"/>
      <c r="H287" s="336"/>
      <c r="I287" s="338"/>
      <c r="J287" s="337"/>
      <c r="K287" s="336"/>
      <c r="L287" s="338"/>
      <c r="M287" s="336"/>
      <c r="N287" s="485"/>
      <c r="O287" s="486"/>
      <c r="P287" s="485"/>
      <c r="Q287" s="486"/>
      <c r="R287" s="336"/>
      <c r="S287" s="338"/>
      <c r="T287" s="336"/>
      <c r="U287" s="339"/>
      <c r="V287" s="339"/>
      <c r="W287" s="339"/>
      <c r="X287" s="339"/>
      <c r="Y287" s="339"/>
      <c r="Z287" s="339"/>
    </row>
    <row r="288" spans="1:26" ht="24" customHeight="1">
      <c r="A288" s="336"/>
      <c r="B288" s="336"/>
      <c r="C288" s="336"/>
      <c r="D288" s="336"/>
      <c r="E288" s="336"/>
      <c r="F288" s="336"/>
      <c r="G288" s="336"/>
      <c r="H288" s="336"/>
      <c r="I288" s="338"/>
      <c r="J288" s="337"/>
      <c r="K288" s="336"/>
      <c r="L288" s="338"/>
      <c r="M288" s="336"/>
      <c r="N288" s="485"/>
      <c r="O288" s="486"/>
      <c r="P288" s="485"/>
      <c r="Q288" s="486"/>
      <c r="R288" s="336"/>
      <c r="S288" s="338"/>
      <c r="T288" s="336"/>
      <c r="U288" s="339"/>
      <c r="V288" s="339"/>
      <c r="W288" s="339"/>
      <c r="X288" s="339"/>
      <c r="Y288" s="339"/>
      <c r="Z288" s="339"/>
    </row>
    <row r="289" spans="1:26" ht="24" customHeight="1">
      <c r="A289" s="336"/>
      <c r="B289" s="336"/>
      <c r="C289" s="336"/>
      <c r="D289" s="336"/>
      <c r="E289" s="336"/>
      <c r="F289" s="336"/>
      <c r="G289" s="336"/>
      <c r="H289" s="336"/>
      <c r="I289" s="338"/>
      <c r="J289" s="337"/>
      <c r="K289" s="336"/>
      <c r="L289" s="338"/>
      <c r="M289" s="336"/>
      <c r="N289" s="485"/>
      <c r="O289" s="486"/>
      <c r="P289" s="485"/>
      <c r="Q289" s="486"/>
      <c r="R289" s="336"/>
      <c r="S289" s="338"/>
      <c r="T289" s="336"/>
      <c r="U289" s="339"/>
      <c r="V289" s="339"/>
      <c r="W289" s="339"/>
      <c r="X289" s="339"/>
      <c r="Y289" s="339"/>
      <c r="Z289" s="339"/>
    </row>
    <row r="290" spans="1:26" ht="24" customHeight="1">
      <c r="A290" s="336"/>
      <c r="B290" s="336"/>
      <c r="C290" s="336"/>
      <c r="D290" s="336"/>
      <c r="E290" s="336"/>
      <c r="F290" s="336"/>
      <c r="G290" s="336"/>
      <c r="H290" s="336"/>
      <c r="I290" s="338"/>
      <c r="J290" s="337"/>
      <c r="K290" s="336"/>
      <c r="L290" s="338"/>
      <c r="M290" s="336"/>
      <c r="N290" s="485"/>
      <c r="O290" s="486"/>
      <c r="P290" s="485"/>
      <c r="Q290" s="486"/>
      <c r="R290" s="336"/>
      <c r="S290" s="338"/>
      <c r="T290" s="336"/>
      <c r="U290" s="339"/>
      <c r="V290" s="339"/>
      <c r="W290" s="339"/>
      <c r="X290" s="339"/>
      <c r="Y290" s="339"/>
      <c r="Z290" s="339"/>
    </row>
    <row r="291" spans="1:26" ht="24" customHeight="1">
      <c r="A291" s="336"/>
      <c r="B291" s="336"/>
      <c r="C291" s="336"/>
      <c r="D291" s="336"/>
      <c r="E291" s="336"/>
      <c r="F291" s="336"/>
      <c r="G291" s="336"/>
      <c r="H291" s="336"/>
      <c r="I291" s="338"/>
      <c r="J291" s="337"/>
      <c r="K291" s="336"/>
      <c r="L291" s="338"/>
      <c r="M291" s="336"/>
      <c r="N291" s="485"/>
      <c r="O291" s="486"/>
      <c r="P291" s="485"/>
      <c r="Q291" s="486"/>
      <c r="R291" s="336"/>
      <c r="S291" s="338"/>
      <c r="T291" s="336"/>
      <c r="U291" s="339"/>
      <c r="V291" s="339"/>
      <c r="W291" s="339"/>
      <c r="X291" s="339"/>
      <c r="Y291" s="339"/>
      <c r="Z291" s="339"/>
    </row>
    <row r="292" spans="1:26" ht="24" customHeight="1">
      <c r="A292" s="336"/>
      <c r="B292" s="336"/>
      <c r="C292" s="336"/>
      <c r="D292" s="336"/>
      <c r="E292" s="336"/>
      <c r="F292" s="336"/>
      <c r="G292" s="336"/>
      <c r="H292" s="336"/>
      <c r="I292" s="338"/>
      <c r="J292" s="337"/>
      <c r="K292" s="336"/>
      <c r="L292" s="338"/>
      <c r="M292" s="336"/>
      <c r="N292" s="485"/>
      <c r="O292" s="486"/>
      <c r="P292" s="485"/>
      <c r="Q292" s="486"/>
      <c r="R292" s="336"/>
      <c r="S292" s="338"/>
      <c r="T292" s="336"/>
      <c r="U292" s="339"/>
      <c r="V292" s="339"/>
      <c r="W292" s="339"/>
      <c r="X292" s="339"/>
      <c r="Y292" s="339"/>
      <c r="Z292" s="339"/>
    </row>
    <row r="293" spans="1:26" ht="24" customHeight="1">
      <c r="A293" s="336"/>
      <c r="B293" s="336"/>
      <c r="C293" s="336"/>
      <c r="D293" s="336"/>
      <c r="E293" s="336"/>
      <c r="F293" s="336"/>
      <c r="G293" s="336"/>
      <c r="H293" s="336"/>
      <c r="I293" s="338"/>
      <c r="J293" s="337"/>
      <c r="K293" s="336"/>
      <c r="L293" s="338"/>
      <c r="M293" s="336"/>
      <c r="N293" s="485"/>
      <c r="O293" s="486"/>
      <c r="P293" s="485"/>
      <c r="Q293" s="486"/>
      <c r="R293" s="336"/>
      <c r="S293" s="338"/>
      <c r="T293" s="336"/>
      <c r="U293" s="339"/>
      <c r="V293" s="339"/>
      <c r="W293" s="339"/>
      <c r="X293" s="339"/>
      <c r="Y293" s="339"/>
      <c r="Z293" s="339"/>
    </row>
    <row r="294" spans="1:26" ht="24" customHeight="1">
      <c r="A294" s="336"/>
      <c r="B294" s="336"/>
      <c r="C294" s="336"/>
      <c r="D294" s="336"/>
      <c r="E294" s="336"/>
      <c r="F294" s="336"/>
      <c r="G294" s="336"/>
      <c r="H294" s="336"/>
      <c r="I294" s="338"/>
      <c r="J294" s="337"/>
      <c r="K294" s="336"/>
      <c r="L294" s="338"/>
      <c r="M294" s="336"/>
      <c r="N294" s="485"/>
      <c r="O294" s="486"/>
      <c r="P294" s="485"/>
      <c r="Q294" s="486"/>
      <c r="R294" s="336"/>
      <c r="S294" s="338"/>
      <c r="T294" s="336"/>
      <c r="U294" s="339"/>
      <c r="V294" s="339"/>
      <c r="W294" s="339"/>
      <c r="X294" s="339"/>
      <c r="Y294" s="339"/>
      <c r="Z294" s="339"/>
    </row>
    <row r="295" spans="1:26" ht="24" customHeight="1">
      <c r="A295" s="336"/>
      <c r="B295" s="336"/>
      <c r="C295" s="336"/>
      <c r="D295" s="336"/>
      <c r="E295" s="336"/>
      <c r="F295" s="336"/>
      <c r="G295" s="336"/>
      <c r="H295" s="336"/>
      <c r="I295" s="338"/>
      <c r="J295" s="337"/>
      <c r="K295" s="336"/>
      <c r="L295" s="338"/>
      <c r="M295" s="336"/>
      <c r="N295" s="485"/>
      <c r="O295" s="486"/>
      <c r="P295" s="485"/>
      <c r="Q295" s="486"/>
      <c r="R295" s="336"/>
      <c r="S295" s="338"/>
      <c r="T295" s="336"/>
      <c r="U295" s="339"/>
      <c r="V295" s="339"/>
      <c r="W295" s="339"/>
      <c r="X295" s="339"/>
      <c r="Y295" s="339"/>
      <c r="Z295" s="339"/>
    </row>
    <row r="296" spans="1:26" ht="24" customHeight="1">
      <c r="A296" s="336"/>
      <c r="B296" s="336"/>
      <c r="C296" s="336"/>
      <c r="D296" s="336"/>
      <c r="E296" s="336"/>
      <c r="F296" s="336"/>
      <c r="G296" s="336"/>
      <c r="H296" s="336"/>
      <c r="I296" s="338"/>
      <c r="J296" s="337"/>
      <c r="K296" s="336"/>
      <c r="L296" s="338"/>
      <c r="M296" s="336"/>
      <c r="N296" s="485"/>
      <c r="O296" s="486"/>
      <c r="P296" s="485"/>
      <c r="Q296" s="486"/>
      <c r="R296" s="336"/>
      <c r="S296" s="338"/>
      <c r="T296" s="336"/>
      <c r="U296" s="339"/>
      <c r="V296" s="339"/>
      <c r="W296" s="339"/>
      <c r="X296" s="339"/>
      <c r="Y296" s="339"/>
      <c r="Z296" s="339"/>
    </row>
    <row r="297" spans="1:26" ht="24" customHeight="1">
      <c r="A297" s="336"/>
      <c r="B297" s="336"/>
      <c r="C297" s="336"/>
      <c r="D297" s="336"/>
      <c r="E297" s="336"/>
      <c r="F297" s="336"/>
      <c r="G297" s="336"/>
      <c r="H297" s="336"/>
      <c r="I297" s="338"/>
      <c r="J297" s="337"/>
      <c r="K297" s="336"/>
      <c r="L297" s="338"/>
      <c r="M297" s="336"/>
      <c r="N297" s="485"/>
      <c r="O297" s="486"/>
      <c r="P297" s="485"/>
      <c r="Q297" s="486"/>
      <c r="R297" s="336"/>
      <c r="S297" s="338"/>
      <c r="T297" s="336"/>
      <c r="U297" s="339"/>
      <c r="V297" s="339"/>
      <c r="W297" s="339"/>
      <c r="X297" s="339"/>
      <c r="Y297" s="339"/>
      <c r="Z297" s="339"/>
    </row>
    <row r="298" spans="1:26" ht="24" customHeight="1">
      <c r="A298" s="336"/>
      <c r="B298" s="336"/>
      <c r="C298" s="336"/>
      <c r="D298" s="336"/>
      <c r="E298" s="336"/>
      <c r="F298" s="336"/>
      <c r="G298" s="336"/>
      <c r="H298" s="336"/>
      <c r="I298" s="338"/>
      <c r="J298" s="337"/>
      <c r="K298" s="336"/>
      <c r="L298" s="338"/>
      <c r="M298" s="336"/>
      <c r="N298" s="485"/>
      <c r="O298" s="486"/>
      <c r="P298" s="485"/>
      <c r="Q298" s="486"/>
      <c r="R298" s="336"/>
      <c r="S298" s="338"/>
      <c r="T298" s="336"/>
      <c r="U298" s="339"/>
      <c r="V298" s="339"/>
      <c r="W298" s="339"/>
      <c r="X298" s="339"/>
      <c r="Y298" s="339"/>
      <c r="Z298" s="339"/>
    </row>
    <row r="299" spans="1:26" ht="24" customHeight="1">
      <c r="A299" s="336"/>
      <c r="B299" s="336"/>
      <c r="C299" s="336"/>
      <c r="D299" s="336"/>
      <c r="E299" s="336"/>
      <c r="F299" s="336"/>
      <c r="G299" s="336"/>
      <c r="H299" s="336"/>
      <c r="I299" s="338"/>
      <c r="J299" s="337"/>
      <c r="K299" s="336"/>
      <c r="L299" s="338"/>
      <c r="M299" s="336"/>
      <c r="N299" s="485"/>
      <c r="O299" s="486"/>
      <c r="P299" s="485"/>
      <c r="Q299" s="486"/>
      <c r="R299" s="336"/>
      <c r="S299" s="338"/>
      <c r="T299" s="336"/>
      <c r="U299" s="339"/>
      <c r="V299" s="339"/>
      <c r="W299" s="339"/>
      <c r="X299" s="339"/>
      <c r="Y299" s="339"/>
      <c r="Z299" s="339"/>
    </row>
    <row r="300" spans="1:26" ht="24" customHeight="1">
      <c r="A300" s="336"/>
      <c r="B300" s="336"/>
      <c r="C300" s="336"/>
      <c r="D300" s="336"/>
      <c r="E300" s="336"/>
      <c r="F300" s="336"/>
      <c r="G300" s="336"/>
      <c r="H300" s="336"/>
      <c r="I300" s="338"/>
      <c r="J300" s="337"/>
      <c r="K300" s="336"/>
      <c r="L300" s="338"/>
      <c r="M300" s="336"/>
      <c r="N300" s="485"/>
      <c r="O300" s="486"/>
      <c r="P300" s="485"/>
      <c r="Q300" s="486"/>
      <c r="R300" s="336"/>
      <c r="S300" s="338"/>
      <c r="T300" s="336"/>
      <c r="U300" s="339"/>
      <c r="V300" s="339"/>
      <c r="W300" s="339"/>
      <c r="X300" s="339"/>
      <c r="Y300" s="339"/>
      <c r="Z300" s="339"/>
    </row>
    <row r="301" spans="1:26" ht="24" customHeight="1">
      <c r="A301" s="336"/>
      <c r="B301" s="336"/>
      <c r="C301" s="336"/>
      <c r="D301" s="336"/>
      <c r="E301" s="336"/>
      <c r="F301" s="336"/>
      <c r="G301" s="336"/>
      <c r="H301" s="336"/>
      <c r="I301" s="338"/>
      <c r="J301" s="337"/>
      <c r="K301" s="336"/>
      <c r="L301" s="338"/>
      <c r="M301" s="336"/>
      <c r="N301" s="485"/>
      <c r="O301" s="486"/>
      <c r="P301" s="485"/>
      <c r="Q301" s="486"/>
      <c r="R301" s="336"/>
      <c r="S301" s="338"/>
      <c r="T301" s="336"/>
      <c r="U301" s="339"/>
      <c r="V301" s="339"/>
      <c r="W301" s="339"/>
      <c r="X301" s="339"/>
      <c r="Y301" s="339"/>
      <c r="Z301" s="339"/>
    </row>
    <row r="302" spans="1:26" ht="24" customHeight="1">
      <c r="A302" s="336"/>
      <c r="B302" s="336"/>
      <c r="C302" s="336"/>
      <c r="D302" s="336"/>
      <c r="E302" s="336"/>
      <c r="F302" s="336"/>
      <c r="G302" s="336"/>
      <c r="H302" s="336"/>
      <c r="I302" s="338"/>
      <c r="J302" s="337"/>
      <c r="K302" s="336"/>
      <c r="L302" s="338"/>
      <c r="M302" s="336"/>
      <c r="N302" s="485"/>
      <c r="O302" s="486"/>
      <c r="P302" s="485"/>
      <c r="Q302" s="486"/>
      <c r="R302" s="336"/>
      <c r="S302" s="338"/>
      <c r="T302" s="336"/>
      <c r="U302" s="339"/>
      <c r="V302" s="339"/>
      <c r="W302" s="339"/>
      <c r="X302" s="339"/>
      <c r="Y302" s="339"/>
      <c r="Z302" s="339"/>
    </row>
    <row r="303" spans="1:26" ht="24" customHeight="1">
      <c r="A303" s="336"/>
      <c r="B303" s="336"/>
      <c r="C303" s="336"/>
      <c r="D303" s="336"/>
      <c r="E303" s="336"/>
      <c r="F303" s="336"/>
      <c r="G303" s="336"/>
      <c r="H303" s="336"/>
      <c r="I303" s="338"/>
      <c r="J303" s="337"/>
      <c r="K303" s="336"/>
      <c r="L303" s="338"/>
      <c r="M303" s="336"/>
      <c r="N303" s="485"/>
      <c r="O303" s="486"/>
      <c r="P303" s="485"/>
      <c r="Q303" s="486"/>
      <c r="R303" s="336"/>
      <c r="S303" s="338"/>
      <c r="T303" s="336"/>
      <c r="U303" s="339"/>
      <c r="V303" s="339"/>
      <c r="W303" s="339"/>
      <c r="X303" s="339"/>
      <c r="Y303" s="339"/>
      <c r="Z303" s="339"/>
    </row>
    <row r="304" spans="1:26" ht="24" customHeight="1">
      <c r="A304" s="336"/>
      <c r="B304" s="336"/>
      <c r="C304" s="336"/>
      <c r="D304" s="336"/>
      <c r="E304" s="336"/>
      <c r="F304" s="336"/>
      <c r="G304" s="336"/>
      <c r="H304" s="336"/>
      <c r="I304" s="338"/>
      <c r="J304" s="337"/>
      <c r="K304" s="336"/>
      <c r="L304" s="338"/>
      <c r="M304" s="336"/>
      <c r="N304" s="485"/>
      <c r="O304" s="486"/>
      <c r="P304" s="485"/>
      <c r="Q304" s="486"/>
      <c r="R304" s="336"/>
      <c r="S304" s="338"/>
      <c r="T304" s="336"/>
      <c r="U304" s="339"/>
      <c r="V304" s="339"/>
      <c r="W304" s="339"/>
      <c r="X304" s="339"/>
      <c r="Y304" s="339"/>
      <c r="Z304" s="339"/>
    </row>
    <row r="305" spans="1:26" ht="24" customHeight="1">
      <c r="A305" s="336"/>
      <c r="B305" s="336"/>
      <c r="C305" s="336"/>
      <c r="D305" s="336"/>
      <c r="E305" s="336"/>
      <c r="F305" s="336"/>
      <c r="G305" s="336"/>
      <c r="H305" s="336"/>
      <c r="I305" s="338"/>
      <c r="J305" s="337"/>
      <c r="K305" s="336"/>
      <c r="L305" s="338"/>
      <c r="M305" s="336"/>
      <c r="N305" s="485"/>
      <c r="O305" s="486"/>
      <c r="P305" s="485"/>
      <c r="Q305" s="486"/>
      <c r="R305" s="336"/>
      <c r="S305" s="338"/>
      <c r="T305" s="336"/>
      <c r="U305" s="339"/>
      <c r="V305" s="339"/>
      <c r="W305" s="339"/>
      <c r="X305" s="339"/>
      <c r="Y305" s="339"/>
      <c r="Z305" s="339"/>
    </row>
    <row r="306" spans="1:26" ht="24" customHeight="1">
      <c r="A306" s="336"/>
      <c r="B306" s="336"/>
      <c r="C306" s="336"/>
      <c r="D306" s="336"/>
      <c r="E306" s="336"/>
      <c r="F306" s="336"/>
      <c r="G306" s="336"/>
      <c r="H306" s="336"/>
      <c r="I306" s="338"/>
      <c r="J306" s="337"/>
      <c r="K306" s="336"/>
      <c r="L306" s="338"/>
      <c r="M306" s="336"/>
      <c r="N306" s="485"/>
      <c r="O306" s="486"/>
      <c r="P306" s="485"/>
      <c r="Q306" s="486"/>
      <c r="R306" s="336"/>
      <c r="S306" s="338"/>
      <c r="T306" s="336"/>
      <c r="U306" s="339"/>
      <c r="V306" s="339"/>
      <c r="W306" s="339"/>
      <c r="X306" s="339"/>
      <c r="Y306" s="339"/>
      <c r="Z306" s="339"/>
    </row>
    <row r="307" spans="1:26" ht="24" customHeight="1">
      <c r="A307" s="336"/>
      <c r="B307" s="336"/>
      <c r="C307" s="336"/>
      <c r="D307" s="336"/>
      <c r="E307" s="336"/>
      <c r="F307" s="336"/>
      <c r="G307" s="336"/>
      <c r="H307" s="336"/>
      <c r="I307" s="338"/>
      <c r="J307" s="337"/>
      <c r="K307" s="336"/>
      <c r="L307" s="338"/>
      <c r="M307" s="336"/>
      <c r="N307" s="485"/>
      <c r="O307" s="486"/>
      <c r="P307" s="485"/>
      <c r="Q307" s="486"/>
      <c r="R307" s="336"/>
      <c r="S307" s="338"/>
      <c r="T307" s="336"/>
      <c r="U307" s="339"/>
      <c r="V307" s="339"/>
      <c r="W307" s="339"/>
      <c r="X307" s="339"/>
      <c r="Y307" s="339"/>
      <c r="Z307" s="339"/>
    </row>
    <row r="308" spans="1:26" ht="24" customHeight="1">
      <c r="A308" s="336"/>
      <c r="B308" s="336"/>
      <c r="C308" s="336"/>
      <c r="D308" s="336"/>
      <c r="E308" s="336"/>
      <c r="F308" s="336"/>
      <c r="G308" s="336"/>
      <c r="H308" s="336"/>
      <c r="I308" s="338"/>
      <c r="J308" s="337"/>
      <c r="K308" s="336"/>
      <c r="L308" s="338"/>
      <c r="M308" s="336"/>
      <c r="N308" s="485"/>
      <c r="O308" s="486"/>
      <c r="P308" s="485"/>
      <c r="Q308" s="486"/>
      <c r="R308" s="336"/>
      <c r="S308" s="338"/>
      <c r="T308" s="336"/>
      <c r="U308" s="339"/>
      <c r="V308" s="339"/>
      <c r="W308" s="339"/>
      <c r="X308" s="339"/>
      <c r="Y308" s="339"/>
      <c r="Z308" s="339"/>
    </row>
    <row r="309" spans="1:26" ht="24" customHeight="1">
      <c r="A309" s="336"/>
      <c r="B309" s="336"/>
      <c r="C309" s="336"/>
      <c r="D309" s="336"/>
      <c r="E309" s="336"/>
      <c r="F309" s="336"/>
      <c r="G309" s="336"/>
      <c r="H309" s="336"/>
      <c r="I309" s="338"/>
      <c r="J309" s="337"/>
      <c r="K309" s="336"/>
      <c r="L309" s="338"/>
      <c r="M309" s="336"/>
      <c r="N309" s="485"/>
      <c r="O309" s="486"/>
      <c r="P309" s="485"/>
      <c r="Q309" s="486"/>
      <c r="R309" s="336"/>
      <c r="S309" s="338"/>
      <c r="T309" s="336"/>
      <c r="U309" s="339"/>
      <c r="V309" s="339"/>
      <c r="W309" s="339"/>
      <c r="X309" s="339"/>
      <c r="Y309" s="339"/>
      <c r="Z309" s="339"/>
    </row>
    <row r="310" spans="1:26" ht="24" customHeight="1">
      <c r="A310" s="336"/>
      <c r="B310" s="336"/>
      <c r="C310" s="336"/>
      <c r="D310" s="336"/>
      <c r="E310" s="336"/>
      <c r="F310" s="336"/>
      <c r="G310" s="336"/>
      <c r="H310" s="336"/>
      <c r="I310" s="338"/>
      <c r="J310" s="337"/>
      <c r="K310" s="336"/>
      <c r="L310" s="338"/>
      <c r="M310" s="336"/>
      <c r="N310" s="485"/>
      <c r="O310" s="486"/>
      <c r="P310" s="485"/>
      <c r="Q310" s="486"/>
      <c r="R310" s="336"/>
      <c r="S310" s="338"/>
      <c r="T310" s="336"/>
      <c r="U310" s="339"/>
      <c r="V310" s="339"/>
      <c r="W310" s="339"/>
      <c r="X310" s="339"/>
      <c r="Y310" s="339"/>
      <c r="Z310" s="339"/>
    </row>
    <row r="311" spans="1:26" ht="24" customHeight="1">
      <c r="A311" s="336"/>
      <c r="B311" s="336"/>
      <c r="C311" s="336"/>
      <c r="D311" s="336"/>
      <c r="E311" s="336"/>
      <c r="F311" s="336"/>
      <c r="G311" s="336"/>
      <c r="H311" s="336"/>
      <c r="I311" s="338"/>
      <c r="J311" s="337"/>
      <c r="K311" s="336"/>
      <c r="L311" s="338"/>
      <c r="M311" s="336"/>
      <c r="N311" s="485"/>
      <c r="O311" s="486"/>
      <c r="P311" s="485"/>
      <c r="Q311" s="486"/>
      <c r="R311" s="336"/>
      <c r="S311" s="338"/>
      <c r="T311" s="336"/>
      <c r="U311" s="339"/>
      <c r="V311" s="339"/>
      <c r="W311" s="339"/>
      <c r="X311" s="339"/>
      <c r="Y311" s="339"/>
      <c r="Z311" s="339"/>
    </row>
    <row r="312" spans="1:26" ht="24" customHeight="1">
      <c r="A312" s="336"/>
      <c r="B312" s="336"/>
      <c r="C312" s="336"/>
      <c r="D312" s="336"/>
      <c r="E312" s="336"/>
      <c r="F312" s="336"/>
      <c r="G312" s="336"/>
      <c r="H312" s="336"/>
      <c r="I312" s="338"/>
      <c r="J312" s="337"/>
      <c r="K312" s="336"/>
      <c r="L312" s="338"/>
      <c r="M312" s="336"/>
      <c r="N312" s="485"/>
      <c r="O312" s="486"/>
      <c r="P312" s="485"/>
      <c r="Q312" s="486"/>
      <c r="R312" s="336"/>
      <c r="S312" s="338"/>
      <c r="T312" s="336"/>
      <c r="U312" s="339"/>
      <c r="V312" s="339"/>
      <c r="W312" s="339"/>
      <c r="X312" s="339"/>
      <c r="Y312" s="339"/>
      <c r="Z312" s="339"/>
    </row>
    <row r="313" spans="1:26" ht="24" customHeight="1">
      <c r="A313" s="336"/>
      <c r="B313" s="336"/>
      <c r="C313" s="336"/>
      <c r="D313" s="336"/>
      <c r="E313" s="336"/>
      <c r="F313" s="336"/>
      <c r="G313" s="336"/>
      <c r="H313" s="336"/>
      <c r="I313" s="338"/>
      <c r="J313" s="337"/>
      <c r="K313" s="336"/>
      <c r="L313" s="338"/>
      <c r="M313" s="336"/>
      <c r="N313" s="485"/>
      <c r="O313" s="486"/>
      <c r="P313" s="485"/>
      <c r="Q313" s="486"/>
      <c r="R313" s="336"/>
      <c r="S313" s="338"/>
      <c r="T313" s="336"/>
      <c r="U313" s="339"/>
      <c r="V313" s="339"/>
      <c r="W313" s="339"/>
      <c r="X313" s="339"/>
      <c r="Y313" s="339"/>
      <c r="Z313" s="339"/>
    </row>
    <row r="314" spans="1:26" ht="24" customHeight="1">
      <c r="A314" s="336"/>
      <c r="B314" s="336"/>
      <c r="C314" s="336"/>
      <c r="D314" s="336"/>
      <c r="E314" s="336"/>
      <c r="F314" s="336"/>
      <c r="G314" s="336"/>
      <c r="H314" s="336"/>
      <c r="I314" s="338"/>
      <c r="J314" s="337"/>
      <c r="K314" s="336"/>
      <c r="L314" s="338"/>
      <c r="M314" s="336"/>
      <c r="N314" s="485"/>
      <c r="O314" s="486"/>
      <c r="P314" s="485"/>
      <c r="Q314" s="486"/>
      <c r="R314" s="336"/>
      <c r="S314" s="338"/>
      <c r="T314" s="336"/>
      <c r="U314" s="339"/>
      <c r="V314" s="339"/>
      <c r="W314" s="339"/>
      <c r="X314" s="339"/>
      <c r="Y314" s="339"/>
      <c r="Z314" s="339"/>
    </row>
    <row r="315" spans="1:26" ht="15.75" customHeight="1">
      <c r="A315" s="339"/>
      <c r="B315" s="339"/>
      <c r="C315" s="339"/>
      <c r="D315" s="339"/>
      <c r="E315" s="339"/>
      <c r="F315" s="339"/>
      <c r="G315" s="339"/>
      <c r="H315" s="339"/>
      <c r="I315" s="341"/>
      <c r="J315" s="340"/>
      <c r="K315" s="339"/>
      <c r="L315" s="341"/>
      <c r="M315" s="339"/>
      <c r="N315" s="339"/>
      <c r="O315" s="341"/>
      <c r="P315" s="339"/>
      <c r="Q315" s="341"/>
      <c r="R315" s="339"/>
      <c r="S315" s="341"/>
      <c r="T315" s="339"/>
      <c r="U315" s="339"/>
      <c r="V315" s="339"/>
      <c r="W315" s="339"/>
      <c r="X315" s="339"/>
      <c r="Y315" s="339"/>
      <c r="Z315" s="339"/>
    </row>
    <row r="316" spans="1:26" ht="15.75" customHeight="1">
      <c r="A316" s="339"/>
      <c r="B316" s="339"/>
      <c r="C316" s="339"/>
      <c r="D316" s="339"/>
      <c r="E316" s="339"/>
      <c r="F316" s="339"/>
      <c r="G316" s="339"/>
      <c r="H316" s="339"/>
      <c r="I316" s="341"/>
      <c r="J316" s="340"/>
      <c r="K316" s="339"/>
      <c r="L316" s="341"/>
      <c r="M316" s="339"/>
      <c r="N316" s="339"/>
      <c r="O316" s="341"/>
      <c r="P316" s="339"/>
      <c r="Q316" s="341"/>
      <c r="R316" s="339"/>
      <c r="S316" s="341"/>
      <c r="T316" s="339"/>
      <c r="U316" s="339"/>
      <c r="V316" s="339"/>
      <c r="W316" s="339"/>
      <c r="X316" s="339"/>
      <c r="Y316" s="339"/>
      <c r="Z316" s="339"/>
    </row>
    <row r="317" spans="1:26" ht="15.75" customHeight="1">
      <c r="A317" s="339"/>
      <c r="B317" s="339"/>
      <c r="C317" s="339"/>
      <c r="D317" s="339"/>
      <c r="E317" s="339"/>
      <c r="F317" s="339"/>
      <c r="G317" s="339"/>
      <c r="H317" s="339"/>
      <c r="I317" s="341"/>
      <c r="J317" s="340"/>
      <c r="K317" s="339"/>
      <c r="L317" s="341"/>
      <c r="M317" s="339"/>
      <c r="N317" s="339"/>
      <c r="O317" s="341"/>
      <c r="P317" s="339"/>
      <c r="Q317" s="341"/>
      <c r="R317" s="339"/>
      <c r="S317" s="341"/>
      <c r="T317" s="339"/>
      <c r="U317" s="339"/>
      <c r="V317" s="339"/>
      <c r="W317" s="339"/>
      <c r="X317" s="339"/>
      <c r="Y317" s="339"/>
      <c r="Z317" s="339"/>
    </row>
    <row r="318" spans="1:26" ht="15.75" customHeight="1">
      <c r="A318" s="339"/>
      <c r="B318" s="339"/>
      <c r="C318" s="339"/>
      <c r="D318" s="339"/>
      <c r="E318" s="339"/>
      <c r="F318" s="339"/>
      <c r="G318" s="339"/>
      <c r="H318" s="339"/>
      <c r="I318" s="341"/>
      <c r="J318" s="340"/>
      <c r="K318" s="339"/>
      <c r="L318" s="341"/>
      <c r="M318" s="339"/>
      <c r="N318" s="339"/>
      <c r="O318" s="341"/>
      <c r="P318" s="339"/>
      <c r="Q318" s="341"/>
      <c r="R318" s="339"/>
      <c r="S318" s="341"/>
      <c r="T318" s="339"/>
      <c r="U318" s="339"/>
      <c r="V318" s="339"/>
      <c r="W318" s="339"/>
      <c r="X318" s="339"/>
      <c r="Y318" s="339"/>
      <c r="Z318" s="339"/>
    </row>
    <row r="319" spans="1:26" ht="15.75" customHeight="1">
      <c r="A319" s="339"/>
      <c r="B319" s="339"/>
      <c r="C319" s="339"/>
      <c r="D319" s="339"/>
      <c r="E319" s="339"/>
      <c r="F319" s="339"/>
      <c r="G319" s="339"/>
      <c r="H319" s="339"/>
      <c r="I319" s="341"/>
      <c r="J319" s="340"/>
      <c r="K319" s="339"/>
      <c r="L319" s="341"/>
      <c r="M319" s="339"/>
      <c r="N319" s="339"/>
      <c r="O319" s="341"/>
      <c r="P319" s="339"/>
      <c r="Q319" s="341"/>
      <c r="R319" s="339"/>
      <c r="S319" s="341"/>
      <c r="T319" s="339"/>
      <c r="U319" s="339"/>
      <c r="V319" s="339"/>
      <c r="W319" s="339"/>
      <c r="X319" s="339"/>
      <c r="Y319" s="339"/>
      <c r="Z319" s="339"/>
    </row>
    <row r="320" spans="1:26" ht="15.75" customHeight="1">
      <c r="A320" s="339"/>
      <c r="B320" s="339"/>
      <c r="C320" s="339"/>
      <c r="D320" s="339"/>
      <c r="E320" s="339"/>
      <c r="F320" s="339"/>
      <c r="G320" s="339"/>
      <c r="H320" s="339"/>
      <c r="I320" s="341"/>
      <c r="J320" s="340"/>
      <c r="K320" s="339"/>
      <c r="L320" s="341"/>
      <c r="M320" s="339"/>
      <c r="N320" s="339"/>
      <c r="O320" s="341"/>
      <c r="P320" s="339"/>
      <c r="Q320" s="341"/>
      <c r="R320" s="339"/>
      <c r="S320" s="341"/>
      <c r="T320" s="339"/>
      <c r="U320" s="339"/>
      <c r="V320" s="339"/>
      <c r="W320" s="339"/>
      <c r="X320" s="339"/>
      <c r="Y320" s="339"/>
      <c r="Z320" s="339"/>
    </row>
    <row r="321" spans="1:26" ht="15.75" customHeight="1">
      <c r="A321" s="339"/>
      <c r="B321" s="339"/>
      <c r="C321" s="339"/>
      <c r="D321" s="339"/>
      <c r="E321" s="339"/>
      <c r="F321" s="339"/>
      <c r="G321" s="339"/>
      <c r="H321" s="339"/>
      <c r="I321" s="341"/>
      <c r="J321" s="340"/>
      <c r="K321" s="339"/>
      <c r="L321" s="341"/>
      <c r="M321" s="339"/>
      <c r="N321" s="339"/>
      <c r="O321" s="341"/>
      <c r="P321" s="339"/>
      <c r="Q321" s="341"/>
      <c r="R321" s="339"/>
      <c r="S321" s="341"/>
      <c r="T321" s="339"/>
      <c r="U321" s="339"/>
      <c r="V321" s="339"/>
      <c r="W321" s="339"/>
      <c r="X321" s="339"/>
      <c r="Y321" s="339"/>
      <c r="Z321" s="339"/>
    </row>
    <row r="322" spans="1:26" ht="15.75" customHeight="1">
      <c r="A322" s="339"/>
      <c r="B322" s="339"/>
      <c r="C322" s="339"/>
      <c r="D322" s="339"/>
      <c r="E322" s="339"/>
      <c r="F322" s="339"/>
      <c r="G322" s="339"/>
      <c r="H322" s="339"/>
      <c r="I322" s="341"/>
      <c r="J322" s="340"/>
      <c r="K322" s="339"/>
      <c r="L322" s="341"/>
      <c r="M322" s="339"/>
      <c r="N322" s="339"/>
      <c r="O322" s="341"/>
      <c r="P322" s="339"/>
      <c r="Q322" s="341"/>
      <c r="R322" s="339"/>
      <c r="S322" s="341"/>
      <c r="T322" s="339"/>
      <c r="U322" s="339"/>
      <c r="V322" s="339"/>
      <c r="W322" s="339"/>
      <c r="X322" s="339"/>
      <c r="Y322" s="339"/>
      <c r="Z322" s="339"/>
    </row>
    <row r="323" spans="1:26" ht="15.75" customHeight="1">
      <c r="A323" s="339"/>
      <c r="B323" s="339"/>
      <c r="C323" s="339"/>
      <c r="D323" s="339"/>
      <c r="E323" s="339"/>
      <c r="F323" s="339"/>
      <c r="G323" s="339"/>
      <c r="H323" s="339"/>
      <c r="I323" s="341"/>
      <c r="J323" s="340"/>
      <c r="K323" s="339"/>
      <c r="L323" s="341"/>
      <c r="M323" s="339"/>
      <c r="N323" s="339"/>
      <c r="O323" s="341"/>
      <c r="P323" s="339"/>
      <c r="Q323" s="341"/>
      <c r="R323" s="339"/>
      <c r="S323" s="341"/>
      <c r="T323" s="339"/>
      <c r="U323" s="339"/>
      <c r="V323" s="339"/>
      <c r="W323" s="339"/>
      <c r="X323" s="339"/>
      <c r="Y323" s="339"/>
      <c r="Z323" s="339"/>
    </row>
    <row r="324" spans="1:26" ht="15.75" customHeight="1">
      <c r="A324" s="339"/>
      <c r="B324" s="339"/>
      <c r="C324" s="339"/>
      <c r="D324" s="339"/>
      <c r="E324" s="339"/>
      <c r="F324" s="339"/>
      <c r="G324" s="339"/>
      <c r="H324" s="339"/>
      <c r="I324" s="341"/>
      <c r="J324" s="340"/>
      <c r="K324" s="339"/>
      <c r="L324" s="341"/>
      <c r="M324" s="339"/>
      <c r="N324" s="339"/>
      <c r="O324" s="341"/>
      <c r="P324" s="339"/>
      <c r="Q324" s="341"/>
      <c r="R324" s="339"/>
      <c r="S324" s="341"/>
      <c r="T324" s="339"/>
      <c r="U324" s="339"/>
      <c r="V324" s="339"/>
      <c r="W324" s="339"/>
      <c r="X324" s="339"/>
      <c r="Y324" s="339"/>
      <c r="Z324" s="339"/>
    </row>
    <row r="325" spans="1:26" ht="15.75" customHeight="1">
      <c r="A325" s="339"/>
      <c r="B325" s="339"/>
      <c r="C325" s="339"/>
      <c r="D325" s="339"/>
      <c r="E325" s="339"/>
      <c r="F325" s="339"/>
      <c r="G325" s="339"/>
      <c r="H325" s="339"/>
      <c r="I325" s="341"/>
      <c r="J325" s="340"/>
      <c r="K325" s="339"/>
      <c r="L325" s="341"/>
      <c r="M325" s="339"/>
      <c r="N325" s="339"/>
      <c r="O325" s="341"/>
      <c r="P325" s="339"/>
      <c r="Q325" s="341"/>
      <c r="R325" s="339"/>
      <c r="S325" s="341"/>
      <c r="T325" s="339"/>
      <c r="U325" s="339"/>
      <c r="V325" s="339"/>
      <c r="W325" s="339"/>
      <c r="X325" s="339"/>
      <c r="Y325" s="339"/>
      <c r="Z325" s="339"/>
    </row>
    <row r="326" spans="1:26" ht="15.75" customHeight="1">
      <c r="A326" s="339"/>
      <c r="B326" s="339"/>
      <c r="C326" s="339"/>
      <c r="D326" s="339"/>
      <c r="E326" s="339"/>
      <c r="F326" s="339"/>
      <c r="G326" s="339"/>
      <c r="H326" s="339"/>
      <c r="I326" s="341"/>
      <c r="J326" s="340"/>
      <c r="K326" s="339"/>
      <c r="L326" s="341"/>
      <c r="M326" s="339"/>
      <c r="N326" s="339"/>
      <c r="O326" s="341"/>
      <c r="P326" s="339"/>
      <c r="Q326" s="341"/>
      <c r="R326" s="339"/>
      <c r="S326" s="341"/>
      <c r="T326" s="339"/>
      <c r="U326" s="339"/>
      <c r="V326" s="339"/>
      <c r="W326" s="339"/>
      <c r="X326" s="339"/>
      <c r="Y326" s="339"/>
      <c r="Z326" s="339"/>
    </row>
    <row r="327" spans="1:26" ht="15.75" customHeight="1">
      <c r="A327" s="339"/>
      <c r="B327" s="339"/>
      <c r="C327" s="339"/>
      <c r="D327" s="339"/>
      <c r="E327" s="339"/>
      <c r="F327" s="339"/>
      <c r="G327" s="339"/>
      <c r="H327" s="339"/>
      <c r="I327" s="341"/>
      <c r="J327" s="340"/>
      <c r="K327" s="339"/>
      <c r="L327" s="341"/>
      <c r="M327" s="339"/>
      <c r="N327" s="339"/>
      <c r="O327" s="341"/>
      <c r="P327" s="339"/>
      <c r="Q327" s="341"/>
      <c r="R327" s="339"/>
      <c r="S327" s="341"/>
      <c r="T327" s="339"/>
      <c r="U327" s="339"/>
      <c r="V327" s="339"/>
      <c r="W327" s="339"/>
      <c r="X327" s="339"/>
      <c r="Y327" s="339"/>
      <c r="Z327" s="339"/>
    </row>
    <row r="328" spans="1:26" ht="15.75" customHeight="1">
      <c r="A328" s="339"/>
      <c r="B328" s="339"/>
      <c r="C328" s="339"/>
      <c r="D328" s="339"/>
      <c r="E328" s="339"/>
      <c r="F328" s="339"/>
      <c r="G328" s="339"/>
      <c r="H328" s="339"/>
      <c r="I328" s="341"/>
      <c r="J328" s="340"/>
      <c r="K328" s="339"/>
      <c r="L328" s="341"/>
      <c r="M328" s="339"/>
      <c r="N328" s="339"/>
      <c r="O328" s="341"/>
      <c r="P328" s="339"/>
      <c r="Q328" s="341"/>
      <c r="R328" s="339"/>
      <c r="S328" s="341"/>
      <c r="T328" s="339"/>
      <c r="U328" s="339"/>
      <c r="V328" s="339"/>
      <c r="W328" s="339"/>
      <c r="X328" s="339"/>
      <c r="Y328" s="339"/>
      <c r="Z328" s="339"/>
    </row>
    <row r="329" spans="1:26" ht="15.75" customHeight="1">
      <c r="A329" s="339"/>
      <c r="B329" s="339"/>
      <c r="C329" s="339"/>
      <c r="D329" s="339"/>
      <c r="E329" s="339"/>
      <c r="F329" s="339"/>
      <c r="G329" s="339"/>
      <c r="H329" s="339"/>
      <c r="I329" s="341"/>
      <c r="J329" s="340"/>
      <c r="K329" s="339"/>
      <c r="L329" s="341"/>
      <c r="M329" s="339"/>
      <c r="N329" s="339"/>
      <c r="O329" s="341"/>
      <c r="P329" s="339"/>
      <c r="Q329" s="341"/>
      <c r="R329" s="339"/>
      <c r="S329" s="341"/>
      <c r="T329" s="339"/>
      <c r="U329" s="339"/>
      <c r="V329" s="339"/>
      <c r="W329" s="339"/>
      <c r="X329" s="339"/>
      <c r="Y329" s="339"/>
      <c r="Z329" s="339"/>
    </row>
    <row r="330" spans="1:26" ht="15.75" customHeight="1">
      <c r="A330" s="339"/>
      <c r="B330" s="339"/>
      <c r="C330" s="339"/>
      <c r="D330" s="339"/>
      <c r="E330" s="339"/>
      <c r="F330" s="339"/>
      <c r="G330" s="339"/>
      <c r="H330" s="339"/>
      <c r="I330" s="341"/>
      <c r="J330" s="340"/>
      <c r="K330" s="339"/>
      <c r="L330" s="341"/>
      <c r="M330" s="339"/>
      <c r="N330" s="339"/>
      <c r="O330" s="341"/>
      <c r="P330" s="339"/>
      <c r="Q330" s="341"/>
      <c r="R330" s="339"/>
      <c r="S330" s="341"/>
      <c r="T330" s="339"/>
      <c r="U330" s="339"/>
      <c r="V330" s="339"/>
      <c r="W330" s="339"/>
      <c r="X330" s="339"/>
      <c r="Y330" s="339"/>
      <c r="Z330" s="339"/>
    </row>
    <row r="331" spans="1:26" ht="15.75" customHeight="1">
      <c r="A331" s="339"/>
      <c r="B331" s="339"/>
      <c r="C331" s="339"/>
      <c r="D331" s="339"/>
      <c r="E331" s="339"/>
      <c r="F331" s="339"/>
      <c r="G331" s="339"/>
      <c r="H331" s="339"/>
      <c r="I331" s="341"/>
      <c r="J331" s="340"/>
      <c r="K331" s="339"/>
      <c r="L331" s="341"/>
      <c r="M331" s="339"/>
      <c r="N331" s="339"/>
      <c r="O331" s="341"/>
      <c r="P331" s="339"/>
      <c r="Q331" s="341"/>
      <c r="R331" s="339"/>
      <c r="S331" s="341"/>
      <c r="T331" s="339"/>
      <c r="U331" s="339"/>
      <c r="V331" s="339"/>
      <c r="W331" s="339"/>
      <c r="X331" s="339"/>
      <c r="Y331" s="339"/>
      <c r="Z331" s="339"/>
    </row>
    <row r="332" spans="1:26" ht="15.75" customHeight="1">
      <c r="A332" s="339"/>
      <c r="B332" s="339"/>
      <c r="C332" s="339"/>
      <c r="D332" s="339"/>
      <c r="E332" s="339"/>
      <c r="F332" s="339"/>
      <c r="G332" s="339"/>
      <c r="H332" s="339"/>
      <c r="I332" s="341"/>
      <c r="J332" s="340"/>
      <c r="K332" s="339"/>
      <c r="L332" s="341"/>
      <c r="M332" s="339"/>
      <c r="N332" s="339"/>
      <c r="O332" s="341"/>
      <c r="P332" s="339"/>
      <c r="Q332" s="341"/>
      <c r="R332" s="339"/>
      <c r="S332" s="341"/>
      <c r="T332" s="339"/>
      <c r="U332" s="339"/>
      <c r="V332" s="339"/>
      <c r="W332" s="339"/>
      <c r="X332" s="339"/>
      <c r="Y332" s="339"/>
      <c r="Z332" s="339"/>
    </row>
    <row r="333" spans="1:26" ht="15.75" customHeight="1">
      <c r="A333" s="339"/>
      <c r="B333" s="339"/>
      <c r="C333" s="339"/>
      <c r="D333" s="339"/>
      <c r="E333" s="339"/>
      <c r="F333" s="339"/>
      <c r="G333" s="339"/>
      <c r="H333" s="339"/>
      <c r="I333" s="341"/>
      <c r="J333" s="340"/>
      <c r="K333" s="339"/>
      <c r="L333" s="341"/>
      <c r="M333" s="339"/>
      <c r="N333" s="339"/>
      <c r="O333" s="341"/>
      <c r="P333" s="339"/>
      <c r="Q333" s="341"/>
      <c r="R333" s="339"/>
      <c r="S333" s="341"/>
      <c r="T333" s="339"/>
      <c r="U333" s="339"/>
      <c r="V333" s="339"/>
      <c r="W333" s="339"/>
      <c r="X333" s="339"/>
      <c r="Y333" s="339"/>
      <c r="Z333" s="339"/>
    </row>
    <row r="334" spans="1:26" ht="15.75" customHeight="1">
      <c r="A334" s="339"/>
      <c r="B334" s="339"/>
      <c r="C334" s="339"/>
      <c r="D334" s="339"/>
      <c r="E334" s="339"/>
      <c r="F334" s="339"/>
      <c r="G334" s="339"/>
      <c r="H334" s="339"/>
      <c r="I334" s="341"/>
      <c r="J334" s="340"/>
      <c r="K334" s="339"/>
      <c r="L334" s="341"/>
      <c r="M334" s="339"/>
      <c r="N334" s="339"/>
      <c r="O334" s="341"/>
      <c r="P334" s="339"/>
      <c r="Q334" s="341"/>
      <c r="R334" s="339"/>
      <c r="S334" s="341"/>
      <c r="T334" s="339"/>
      <c r="U334" s="339"/>
      <c r="V334" s="339"/>
      <c r="W334" s="339"/>
      <c r="X334" s="339"/>
      <c r="Y334" s="339"/>
      <c r="Z334" s="339"/>
    </row>
    <row r="335" spans="1:26" ht="15.75" customHeight="1">
      <c r="A335" s="339"/>
      <c r="B335" s="339"/>
      <c r="C335" s="339"/>
      <c r="D335" s="339"/>
      <c r="E335" s="339"/>
      <c r="F335" s="339"/>
      <c r="G335" s="339"/>
      <c r="H335" s="339"/>
      <c r="I335" s="341"/>
      <c r="J335" s="340"/>
      <c r="K335" s="339"/>
      <c r="L335" s="341"/>
      <c r="M335" s="339"/>
      <c r="N335" s="339"/>
      <c r="O335" s="341"/>
      <c r="P335" s="339"/>
      <c r="Q335" s="341"/>
      <c r="R335" s="339"/>
      <c r="S335" s="341"/>
      <c r="T335" s="339"/>
      <c r="U335" s="339"/>
      <c r="V335" s="339"/>
      <c r="W335" s="339"/>
      <c r="X335" s="339"/>
      <c r="Y335" s="339"/>
      <c r="Z335" s="339"/>
    </row>
    <row r="336" spans="1:26" ht="15.75" customHeight="1">
      <c r="A336" s="339"/>
      <c r="B336" s="339"/>
      <c r="C336" s="339"/>
      <c r="D336" s="339"/>
      <c r="E336" s="339"/>
      <c r="F336" s="339"/>
      <c r="G336" s="339"/>
      <c r="H336" s="339"/>
      <c r="I336" s="341"/>
      <c r="J336" s="340"/>
      <c r="K336" s="339"/>
      <c r="L336" s="341"/>
      <c r="M336" s="339"/>
      <c r="N336" s="339"/>
      <c r="O336" s="341"/>
      <c r="P336" s="339"/>
      <c r="Q336" s="341"/>
      <c r="R336" s="339"/>
      <c r="S336" s="341"/>
      <c r="T336" s="339"/>
      <c r="U336" s="339"/>
      <c r="V336" s="339"/>
      <c r="W336" s="339"/>
      <c r="X336" s="339"/>
      <c r="Y336" s="339"/>
      <c r="Z336" s="339"/>
    </row>
    <row r="337" spans="1:26" ht="15.75" customHeight="1">
      <c r="A337" s="339"/>
      <c r="B337" s="339"/>
      <c r="C337" s="339"/>
      <c r="D337" s="339"/>
      <c r="E337" s="339"/>
      <c r="F337" s="339"/>
      <c r="G337" s="339"/>
      <c r="H337" s="339"/>
      <c r="I337" s="341"/>
      <c r="J337" s="340"/>
      <c r="K337" s="339"/>
      <c r="L337" s="341"/>
      <c r="M337" s="339"/>
      <c r="N337" s="339"/>
      <c r="O337" s="341"/>
      <c r="P337" s="339"/>
      <c r="Q337" s="341"/>
      <c r="R337" s="339"/>
      <c r="S337" s="341"/>
      <c r="T337" s="339"/>
      <c r="U337" s="339"/>
      <c r="V337" s="339"/>
      <c r="W337" s="339"/>
      <c r="X337" s="339"/>
      <c r="Y337" s="339"/>
      <c r="Z337" s="339"/>
    </row>
    <row r="338" spans="1:26" ht="15.75" customHeight="1">
      <c r="A338" s="339"/>
      <c r="B338" s="339"/>
      <c r="C338" s="339"/>
      <c r="D338" s="339"/>
      <c r="E338" s="339"/>
      <c r="F338" s="339"/>
      <c r="G338" s="339"/>
      <c r="H338" s="339"/>
      <c r="I338" s="341"/>
      <c r="J338" s="340"/>
      <c r="K338" s="339"/>
      <c r="L338" s="341"/>
      <c r="M338" s="339"/>
      <c r="N338" s="339"/>
      <c r="O338" s="341"/>
      <c r="P338" s="339"/>
      <c r="Q338" s="341"/>
      <c r="R338" s="339"/>
      <c r="S338" s="341"/>
      <c r="T338" s="339"/>
      <c r="U338" s="339"/>
      <c r="V338" s="339"/>
      <c r="W338" s="339"/>
      <c r="X338" s="339"/>
      <c r="Y338" s="339"/>
      <c r="Z338" s="339"/>
    </row>
    <row r="339" spans="1:26" ht="15.75" customHeight="1">
      <c r="A339" s="339"/>
      <c r="B339" s="339"/>
      <c r="C339" s="339"/>
      <c r="D339" s="339"/>
      <c r="E339" s="339"/>
      <c r="F339" s="339"/>
      <c r="G339" s="339"/>
      <c r="H339" s="339"/>
      <c r="I339" s="341"/>
      <c r="J339" s="340"/>
      <c r="K339" s="339"/>
      <c r="L339" s="341"/>
      <c r="M339" s="339"/>
      <c r="N339" s="339"/>
      <c r="O339" s="341"/>
      <c r="P339" s="339"/>
      <c r="Q339" s="341"/>
      <c r="R339" s="339"/>
      <c r="S339" s="341"/>
      <c r="T339" s="339"/>
      <c r="U339" s="339"/>
      <c r="V339" s="339"/>
      <c r="W339" s="339"/>
      <c r="X339" s="339"/>
      <c r="Y339" s="339"/>
      <c r="Z339" s="339"/>
    </row>
    <row r="340" spans="1:26" ht="15.75" customHeight="1">
      <c r="A340" s="339"/>
      <c r="B340" s="339"/>
      <c r="C340" s="339"/>
      <c r="D340" s="339"/>
      <c r="E340" s="339"/>
      <c r="F340" s="339"/>
      <c r="G340" s="339"/>
      <c r="H340" s="339"/>
      <c r="I340" s="341"/>
      <c r="J340" s="340"/>
      <c r="K340" s="339"/>
      <c r="L340" s="341"/>
      <c r="M340" s="339"/>
      <c r="N340" s="339"/>
      <c r="O340" s="341"/>
      <c r="P340" s="339"/>
      <c r="Q340" s="341"/>
      <c r="R340" s="339"/>
      <c r="S340" s="341"/>
      <c r="T340" s="339"/>
      <c r="U340" s="339"/>
      <c r="V340" s="339"/>
      <c r="W340" s="339"/>
      <c r="X340" s="339"/>
      <c r="Y340" s="339"/>
      <c r="Z340" s="339"/>
    </row>
    <row r="341" spans="1:26" ht="15.75" customHeight="1">
      <c r="A341" s="339"/>
      <c r="B341" s="339"/>
      <c r="C341" s="339"/>
      <c r="D341" s="339"/>
      <c r="E341" s="339"/>
      <c r="F341" s="339"/>
      <c r="G341" s="339"/>
      <c r="H341" s="339"/>
      <c r="I341" s="341"/>
      <c r="J341" s="340"/>
      <c r="K341" s="339"/>
      <c r="L341" s="341"/>
      <c r="M341" s="339"/>
      <c r="N341" s="339"/>
      <c r="O341" s="341"/>
      <c r="P341" s="339"/>
      <c r="Q341" s="341"/>
      <c r="R341" s="339"/>
      <c r="S341" s="341"/>
      <c r="T341" s="339"/>
      <c r="U341" s="339"/>
      <c r="V341" s="339"/>
      <c r="W341" s="339"/>
      <c r="X341" s="339"/>
      <c r="Y341" s="339"/>
      <c r="Z341" s="339"/>
    </row>
    <row r="342" spans="1:26" ht="15.75" customHeight="1">
      <c r="A342" s="339"/>
      <c r="B342" s="339"/>
      <c r="C342" s="339"/>
      <c r="D342" s="339"/>
      <c r="E342" s="339"/>
      <c r="F342" s="339"/>
      <c r="G342" s="339"/>
      <c r="H342" s="339"/>
      <c r="I342" s="341"/>
      <c r="J342" s="340"/>
      <c r="K342" s="339"/>
      <c r="L342" s="341"/>
      <c r="M342" s="339"/>
      <c r="N342" s="339"/>
      <c r="O342" s="341"/>
      <c r="P342" s="339"/>
      <c r="Q342" s="341"/>
      <c r="R342" s="339"/>
      <c r="S342" s="341"/>
      <c r="T342" s="339"/>
      <c r="U342" s="339"/>
      <c r="V342" s="339"/>
      <c r="W342" s="339"/>
      <c r="X342" s="339"/>
      <c r="Y342" s="339"/>
      <c r="Z342" s="339"/>
    </row>
    <row r="343" spans="1:26" ht="15.75" customHeight="1">
      <c r="A343" s="339"/>
      <c r="B343" s="339"/>
      <c r="C343" s="339"/>
      <c r="D343" s="339"/>
      <c r="E343" s="339"/>
      <c r="F343" s="339"/>
      <c r="G343" s="339"/>
      <c r="H343" s="339"/>
      <c r="I343" s="341"/>
      <c r="J343" s="340"/>
      <c r="K343" s="339"/>
      <c r="L343" s="341"/>
      <c r="M343" s="339"/>
      <c r="N343" s="339"/>
      <c r="O343" s="341"/>
      <c r="P343" s="339"/>
      <c r="Q343" s="341"/>
      <c r="R343" s="339"/>
      <c r="S343" s="341"/>
      <c r="T343" s="339"/>
      <c r="U343" s="339"/>
      <c r="V343" s="339"/>
      <c r="W343" s="339"/>
      <c r="X343" s="339"/>
      <c r="Y343" s="339"/>
      <c r="Z343" s="339"/>
    </row>
    <row r="344" spans="1:26" ht="15.75" customHeight="1">
      <c r="A344" s="339"/>
      <c r="B344" s="339"/>
      <c r="C344" s="339"/>
      <c r="D344" s="339"/>
      <c r="E344" s="339"/>
      <c r="F344" s="339"/>
      <c r="G344" s="339"/>
      <c r="H344" s="339"/>
      <c r="I344" s="341"/>
      <c r="J344" s="340"/>
      <c r="K344" s="339"/>
      <c r="L344" s="341"/>
      <c r="M344" s="339"/>
      <c r="N344" s="339"/>
      <c r="O344" s="341"/>
      <c r="P344" s="339"/>
      <c r="Q344" s="341"/>
      <c r="R344" s="339"/>
      <c r="S344" s="341"/>
      <c r="T344" s="339"/>
      <c r="U344" s="339"/>
      <c r="V344" s="339"/>
      <c r="W344" s="339"/>
      <c r="X344" s="339"/>
      <c r="Y344" s="339"/>
      <c r="Z344" s="339"/>
    </row>
    <row r="345" spans="1:26" ht="15.75" customHeight="1">
      <c r="A345" s="339"/>
      <c r="B345" s="339"/>
      <c r="C345" s="339"/>
      <c r="D345" s="339"/>
      <c r="E345" s="339"/>
      <c r="F345" s="339"/>
      <c r="G345" s="339"/>
      <c r="H345" s="339"/>
      <c r="I345" s="341"/>
      <c r="J345" s="340"/>
      <c r="K345" s="339"/>
      <c r="L345" s="341"/>
      <c r="M345" s="339"/>
      <c r="N345" s="339"/>
      <c r="O345" s="341"/>
      <c r="P345" s="339"/>
      <c r="Q345" s="341"/>
      <c r="R345" s="339"/>
      <c r="S345" s="341"/>
      <c r="T345" s="339"/>
      <c r="U345" s="339"/>
      <c r="V345" s="339"/>
      <c r="W345" s="339"/>
      <c r="X345" s="339"/>
      <c r="Y345" s="339"/>
      <c r="Z345" s="339"/>
    </row>
    <row r="346" spans="1:26" ht="15.75" customHeight="1">
      <c r="A346" s="339"/>
      <c r="B346" s="339"/>
      <c r="C346" s="339"/>
      <c r="D346" s="339"/>
      <c r="E346" s="339"/>
      <c r="F346" s="339"/>
      <c r="G346" s="339"/>
      <c r="H346" s="339"/>
      <c r="I346" s="341"/>
      <c r="J346" s="340"/>
      <c r="K346" s="339"/>
      <c r="L346" s="341"/>
      <c r="M346" s="339"/>
      <c r="N346" s="339"/>
      <c r="O346" s="341"/>
      <c r="P346" s="339"/>
      <c r="Q346" s="341"/>
      <c r="R346" s="339"/>
      <c r="S346" s="341"/>
      <c r="T346" s="339"/>
      <c r="U346" s="339"/>
      <c r="V346" s="339"/>
      <c r="W346" s="339"/>
      <c r="X346" s="339"/>
      <c r="Y346" s="339"/>
      <c r="Z346" s="339"/>
    </row>
    <row r="347" spans="1:26" ht="15.75" customHeight="1">
      <c r="A347" s="339"/>
      <c r="B347" s="339"/>
      <c r="C347" s="339"/>
      <c r="D347" s="339"/>
      <c r="E347" s="339"/>
      <c r="F347" s="339"/>
      <c r="G347" s="339"/>
      <c r="H347" s="339"/>
      <c r="I347" s="341"/>
      <c r="J347" s="340"/>
      <c r="K347" s="339"/>
      <c r="L347" s="341"/>
      <c r="M347" s="339"/>
      <c r="N347" s="339"/>
      <c r="O347" s="341"/>
      <c r="P347" s="339"/>
      <c r="Q347" s="341"/>
      <c r="R347" s="339"/>
      <c r="S347" s="341"/>
      <c r="T347" s="339"/>
      <c r="U347" s="339"/>
      <c r="V347" s="339"/>
      <c r="W347" s="339"/>
      <c r="X347" s="339"/>
      <c r="Y347" s="339"/>
      <c r="Z347" s="339"/>
    </row>
    <row r="348" spans="1:26" ht="15.75" customHeight="1">
      <c r="A348" s="339"/>
      <c r="B348" s="339"/>
      <c r="C348" s="339"/>
      <c r="D348" s="339"/>
      <c r="E348" s="339"/>
      <c r="F348" s="339"/>
      <c r="G348" s="339"/>
      <c r="H348" s="339"/>
      <c r="I348" s="341"/>
      <c r="J348" s="340"/>
      <c r="K348" s="339"/>
      <c r="L348" s="341"/>
      <c r="M348" s="339"/>
      <c r="N348" s="339"/>
      <c r="O348" s="341"/>
      <c r="P348" s="339"/>
      <c r="Q348" s="341"/>
      <c r="R348" s="339"/>
      <c r="S348" s="341"/>
      <c r="T348" s="339"/>
      <c r="U348" s="339"/>
      <c r="V348" s="339"/>
      <c r="W348" s="339"/>
      <c r="X348" s="339"/>
      <c r="Y348" s="339"/>
      <c r="Z348" s="339"/>
    </row>
    <row r="349" spans="1:26" ht="15.75" customHeight="1">
      <c r="A349" s="339"/>
      <c r="B349" s="339"/>
      <c r="C349" s="339"/>
      <c r="D349" s="339"/>
      <c r="E349" s="339"/>
      <c r="F349" s="339"/>
      <c r="G349" s="339"/>
      <c r="H349" s="339"/>
      <c r="I349" s="341"/>
      <c r="J349" s="340"/>
      <c r="K349" s="339"/>
      <c r="L349" s="341"/>
      <c r="M349" s="339"/>
      <c r="N349" s="339"/>
      <c r="O349" s="341"/>
      <c r="P349" s="339"/>
      <c r="Q349" s="341"/>
      <c r="R349" s="339"/>
      <c r="S349" s="341"/>
      <c r="T349" s="339"/>
      <c r="U349" s="339"/>
      <c r="V349" s="339"/>
      <c r="W349" s="339"/>
      <c r="X349" s="339"/>
      <c r="Y349" s="339"/>
      <c r="Z349" s="339"/>
    </row>
    <row r="350" spans="1:26" ht="15.75" customHeight="1">
      <c r="A350" s="339"/>
      <c r="B350" s="339"/>
      <c r="C350" s="339"/>
      <c r="D350" s="339"/>
      <c r="E350" s="339"/>
      <c r="F350" s="339"/>
      <c r="G350" s="339"/>
      <c r="H350" s="339"/>
      <c r="I350" s="341"/>
      <c r="J350" s="340"/>
      <c r="K350" s="339"/>
      <c r="L350" s="341"/>
      <c r="M350" s="339"/>
      <c r="N350" s="339"/>
      <c r="O350" s="341"/>
      <c r="P350" s="339"/>
      <c r="Q350" s="341"/>
      <c r="R350" s="339"/>
      <c r="S350" s="341"/>
      <c r="T350" s="339"/>
      <c r="U350" s="339"/>
      <c r="V350" s="339"/>
      <c r="W350" s="339"/>
      <c r="X350" s="339"/>
      <c r="Y350" s="339"/>
      <c r="Z350" s="339"/>
    </row>
    <row r="351" spans="1:26" ht="15.75" customHeight="1">
      <c r="A351" s="339"/>
      <c r="B351" s="339"/>
      <c r="C351" s="339"/>
      <c r="D351" s="339"/>
      <c r="E351" s="339"/>
      <c r="F351" s="339"/>
      <c r="G351" s="339"/>
      <c r="H351" s="339"/>
      <c r="I351" s="341"/>
      <c r="J351" s="340"/>
      <c r="K351" s="339"/>
      <c r="L351" s="341"/>
      <c r="M351" s="339"/>
      <c r="N351" s="339"/>
      <c r="O351" s="341"/>
      <c r="P351" s="339"/>
      <c r="Q351" s="341"/>
      <c r="R351" s="339"/>
      <c r="S351" s="341"/>
      <c r="T351" s="339"/>
      <c r="U351" s="339"/>
      <c r="V351" s="339"/>
      <c r="W351" s="339"/>
      <c r="X351" s="339"/>
      <c r="Y351" s="339"/>
      <c r="Z351" s="339"/>
    </row>
    <row r="352" spans="1:26" ht="15.75" customHeight="1">
      <c r="A352" s="339"/>
      <c r="B352" s="339"/>
      <c r="C352" s="339"/>
      <c r="D352" s="339"/>
      <c r="E352" s="339"/>
      <c r="F352" s="339"/>
      <c r="G352" s="339"/>
      <c r="H352" s="339"/>
      <c r="I352" s="341"/>
      <c r="J352" s="340"/>
      <c r="K352" s="339"/>
      <c r="L352" s="341"/>
      <c r="M352" s="339"/>
      <c r="N352" s="339"/>
      <c r="O352" s="341"/>
      <c r="P352" s="339"/>
      <c r="Q352" s="341"/>
      <c r="R352" s="339"/>
      <c r="S352" s="341"/>
      <c r="T352" s="339"/>
      <c r="U352" s="339"/>
      <c r="V352" s="339"/>
      <c r="W352" s="339"/>
      <c r="X352" s="339"/>
      <c r="Y352" s="339"/>
      <c r="Z352" s="339"/>
    </row>
    <row r="353" spans="1:26" ht="15.75" customHeight="1">
      <c r="A353" s="339"/>
      <c r="B353" s="339"/>
      <c r="C353" s="339"/>
      <c r="D353" s="339"/>
      <c r="E353" s="339"/>
      <c r="F353" s="339"/>
      <c r="G353" s="339"/>
      <c r="H353" s="339"/>
      <c r="I353" s="341"/>
      <c r="J353" s="340"/>
      <c r="K353" s="339"/>
      <c r="L353" s="341"/>
      <c r="M353" s="339"/>
      <c r="N353" s="339"/>
      <c r="O353" s="341"/>
      <c r="P353" s="339"/>
      <c r="Q353" s="341"/>
      <c r="R353" s="339"/>
      <c r="S353" s="341"/>
      <c r="T353" s="339"/>
      <c r="U353" s="339"/>
      <c r="V353" s="339"/>
      <c r="W353" s="339"/>
      <c r="X353" s="339"/>
      <c r="Y353" s="339"/>
      <c r="Z353" s="339"/>
    </row>
    <row r="354" spans="1:26" ht="15.75" customHeight="1">
      <c r="A354" s="339"/>
      <c r="B354" s="339"/>
      <c r="C354" s="339"/>
      <c r="D354" s="339"/>
      <c r="E354" s="339"/>
      <c r="F354" s="339"/>
      <c r="G354" s="339"/>
      <c r="H354" s="339"/>
      <c r="I354" s="341"/>
      <c r="J354" s="340"/>
      <c r="K354" s="339"/>
      <c r="L354" s="341"/>
      <c r="M354" s="339"/>
      <c r="N354" s="339"/>
      <c r="O354" s="341"/>
      <c r="P354" s="339"/>
      <c r="Q354" s="341"/>
      <c r="R354" s="339"/>
      <c r="S354" s="341"/>
      <c r="T354" s="339"/>
      <c r="U354" s="339"/>
      <c r="V354" s="339"/>
      <c r="W354" s="339"/>
      <c r="X354" s="339"/>
      <c r="Y354" s="339"/>
      <c r="Z354" s="339"/>
    </row>
    <row r="355" spans="1:26" ht="15.75" customHeight="1">
      <c r="A355" s="339"/>
      <c r="B355" s="339"/>
      <c r="C355" s="339"/>
      <c r="D355" s="339"/>
      <c r="E355" s="339"/>
      <c r="F355" s="339"/>
      <c r="G355" s="339"/>
      <c r="H355" s="339"/>
      <c r="I355" s="341"/>
      <c r="J355" s="340"/>
      <c r="K355" s="339"/>
      <c r="L355" s="341"/>
      <c r="M355" s="339"/>
      <c r="N355" s="339"/>
      <c r="O355" s="341"/>
      <c r="P355" s="339"/>
      <c r="Q355" s="341"/>
      <c r="R355" s="339"/>
      <c r="S355" s="341"/>
      <c r="T355" s="339"/>
      <c r="U355" s="339"/>
      <c r="V355" s="339"/>
      <c r="W355" s="339"/>
      <c r="X355" s="339"/>
      <c r="Y355" s="339"/>
      <c r="Z355" s="339"/>
    </row>
    <row r="356" spans="1:26" ht="15.75" customHeight="1">
      <c r="A356" s="339"/>
      <c r="B356" s="339"/>
      <c r="C356" s="339"/>
      <c r="D356" s="339"/>
      <c r="E356" s="339"/>
      <c r="F356" s="339"/>
      <c r="G356" s="339"/>
      <c r="H356" s="339"/>
      <c r="I356" s="341"/>
      <c r="J356" s="340"/>
      <c r="K356" s="339"/>
      <c r="L356" s="341"/>
      <c r="M356" s="339"/>
      <c r="N356" s="339"/>
      <c r="O356" s="341"/>
      <c r="P356" s="339"/>
      <c r="Q356" s="341"/>
      <c r="R356" s="339"/>
      <c r="S356" s="341"/>
      <c r="T356" s="339"/>
      <c r="U356" s="339"/>
      <c r="V356" s="339"/>
      <c r="W356" s="339"/>
      <c r="X356" s="339"/>
      <c r="Y356" s="339"/>
      <c r="Z356" s="339"/>
    </row>
    <row r="357" spans="1:26" ht="15.75" customHeight="1">
      <c r="A357" s="339"/>
      <c r="B357" s="339"/>
      <c r="C357" s="339"/>
      <c r="D357" s="339"/>
      <c r="E357" s="339"/>
      <c r="F357" s="339"/>
      <c r="G357" s="339"/>
      <c r="H357" s="339"/>
      <c r="I357" s="341"/>
      <c r="J357" s="340"/>
      <c r="K357" s="339"/>
      <c r="L357" s="341"/>
      <c r="M357" s="339"/>
      <c r="N357" s="339"/>
      <c r="O357" s="341"/>
      <c r="P357" s="339"/>
      <c r="Q357" s="341"/>
      <c r="R357" s="339"/>
      <c r="S357" s="341"/>
      <c r="T357" s="339"/>
      <c r="U357" s="339"/>
      <c r="V357" s="339"/>
      <c r="W357" s="339"/>
      <c r="X357" s="339"/>
      <c r="Y357" s="339"/>
      <c r="Z357" s="339"/>
    </row>
    <row r="358" spans="1:26" ht="15.75" customHeight="1">
      <c r="A358" s="339"/>
      <c r="B358" s="339"/>
      <c r="C358" s="339"/>
      <c r="D358" s="339"/>
      <c r="E358" s="339"/>
      <c r="F358" s="339"/>
      <c r="G358" s="339"/>
      <c r="H358" s="339"/>
      <c r="I358" s="341"/>
      <c r="J358" s="340"/>
      <c r="K358" s="339"/>
      <c r="L358" s="341"/>
      <c r="M358" s="339"/>
      <c r="N358" s="339"/>
      <c r="O358" s="341"/>
      <c r="P358" s="339"/>
      <c r="Q358" s="341"/>
      <c r="R358" s="339"/>
      <c r="S358" s="341"/>
      <c r="T358" s="339"/>
      <c r="U358" s="339"/>
      <c r="V358" s="339"/>
      <c r="W358" s="339"/>
      <c r="X358" s="339"/>
      <c r="Y358" s="339"/>
      <c r="Z358" s="339"/>
    </row>
    <row r="359" spans="1:26" ht="15.75" customHeight="1">
      <c r="A359" s="339"/>
      <c r="B359" s="339"/>
      <c r="C359" s="339"/>
      <c r="D359" s="339"/>
      <c r="E359" s="339"/>
      <c r="F359" s="339"/>
      <c r="G359" s="339"/>
      <c r="H359" s="339"/>
      <c r="I359" s="341"/>
      <c r="J359" s="340"/>
      <c r="K359" s="339"/>
      <c r="L359" s="341"/>
      <c r="M359" s="339"/>
      <c r="N359" s="339"/>
      <c r="O359" s="341"/>
      <c r="P359" s="339"/>
      <c r="Q359" s="341"/>
      <c r="R359" s="339"/>
      <c r="S359" s="341"/>
      <c r="T359" s="339"/>
      <c r="U359" s="339"/>
      <c r="V359" s="339"/>
      <c r="W359" s="339"/>
      <c r="X359" s="339"/>
      <c r="Y359" s="339"/>
      <c r="Z359" s="339"/>
    </row>
    <row r="360" spans="1:26" ht="15.75" customHeight="1">
      <c r="A360" s="339"/>
      <c r="B360" s="339"/>
      <c r="C360" s="339"/>
      <c r="D360" s="339"/>
      <c r="E360" s="339"/>
      <c r="F360" s="339"/>
      <c r="G360" s="339"/>
      <c r="H360" s="339"/>
      <c r="I360" s="341"/>
      <c r="J360" s="340"/>
      <c r="K360" s="339"/>
      <c r="L360" s="341"/>
      <c r="M360" s="339"/>
      <c r="N360" s="339"/>
      <c r="O360" s="341"/>
      <c r="P360" s="339"/>
      <c r="Q360" s="341"/>
      <c r="R360" s="339"/>
      <c r="S360" s="341"/>
      <c r="T360" s="339"/>
      <c r="U360" s="339"/>
      <c r="V360" s="339"/>
      <c r="W360" s="339"/>
      <c r="X360" s="339"/>
      <c r="Y360" s="339"/>
      <c r="Z360" s="339"/>
    </row>
    <row r="361" spans="1:26" ht="15.75" customHeight="1">
      <c r="A361" s="339"/>
      <c r="B361" s="339"/>
      <c r="C361" s="339"/>
      <c r="D361" s="339"/>
      <c r="E361" s="339"/>
      <c r="F361" s="339"/>
      <c r="G361" s="339"/>
      <c r="H361" s="339"/>
      <c r="I361" s="341"/>
      <c r="J361" s="340"/>
      <c r="K361" s="339"/>
      <c r="L361" s="341"/>
      <c r="M361" s="339"/>
      <c r="N361" s="339"/>
      <c r="O361" s="341"/>
      <c r="P361" s="339"/>
      <c r="Q361" s="341"/>
      <c r="R361" s="339"/>
      <c r="S361" s="341"/>
      <c r="T361" s="339"/>
      <c r="U361" s="339"/>
      <c r="V361" s="339"/>
      <c r="W361" s="339"/>
      <c r="X361" s="339"/>
      <c r="Y361" s="339"/>
      <c r="Z361" s="339"/>
    </row>
    <row r="362" spans="1:26" ht="15.75" customHeight="1">
      <c r="A362" s="339"/>
      <c r="B362" s="339"/>
      <c r="C362" s="339"/>
      <c r="D362" s="339"/>
      <c r="E362" s="339"/>
      <c r="F362" s="339"/>
      <c r="G362" s="339"/>
      <c r="H362" s="339"/>
      <c r="I362" s="341"/>
      <c r="J362" s="340"/>
      <c r="K362" s="339"/>
      <c r="L362" s="341"/>
      <c r="M362" s="339"/>
      <c r="N362" s="339"/>
      <c r="O362" s="341"/>
      <c r="P362" s="339"/>
      <c r="Q362" s="341"/>
      <c r="R362" s="339"/>
      <c r="S362" s="341"/>
      <c r="T362" s="339"/>
      <c r="U362" s="339"/>
      <c r="V362" s="339"/>
      <c r="W362" s="339"/>
      <c r="X362" s="339"/>
      <c r="Y362" s="339"/>
      <c r="Z362" s="339"/>
    </row>
    <row r="363" spans="1:26" ht="15.75" customHeight="1">
      <c r="A363" s="339"/>
      <c r="B363" s="339"/>
      <c r="C363" s="339"/>
      <c r="D363" s="339"/>
      <c r="E363" s="339"/>
      <c r="F363" s="339"/>
      <c r="G363" s="339"/>
      <c r="H363" s="339"/>
      <c r="I363" s="341"/>
      <c r="J363" s="340"/>
      <c r="K363" s="339"/>
      <c r="L363" s="341"/>
      <c r="M363" s="339"/>
      <c r="N363" s="339"/>
      <c r="O363" s="341"/>
      <c r="P363" s="339"/>
      <c r="Q363" s="341"/>
      <c r="R363" s="339"/>
      <c r="S363" s="341"/>
      <c r="T363" s="339"/>
      <c r="U363" s="339"/>
      <c r="V363" s="339"/>
      <c r="W363" s="339"/>
      <c r="X363" s="339"/>
      <c r="Y363" s="339"/>
      <c r="Z363" s="339"/>
    </row>
    <row r="364" spans="1:26" ht="15.75" customHeight="1">
      <c r="A364" s="339"/>
      <c r="B364" s="339"/>
      <c r="C364" s="339"/>
      <c r="D364" s="339"/>
      <c r="E364" s="339"/>
      <c r="F364" s="339"/>
      <c r="G364" s="339"/>
      <c r="H364" s="339"/>
      <c r="I364" s="341"/>
      <c r="J364" s="340"/>
      <c r="K364" s="339"/>
      <c r="L364" s="341"/>
      <c r="M364" s="339"/>
      <c r="N364" s="339"/>
      <c r="O364" s="341"/>
      <c r="P364" s="339"/>
      <c r="Q364" s="341"/>
      <c r="R364" s="339"/>
      <c r="S364" s="341"/>
      <c r="T364" s="339"/>
      <c r="U364" s="339"/>
      <c r="V364" s="339"/>
      <c r="W364" s="339"/>
      <c r="X364" s="339"/>
      <c r="Y364" s="339"/>
      <c r="Z364" s="339"/>
    </row>
    <row r="365" spans="1:26" ht="15.75" customHeight="1">
      <c r="A365" s="339"/>
      <c r="B365" s="339"/>
      <c r="C365" s="339"/>
      <c r="D365" s="339"/>
      <c r="E365" s="339"/>
      <c r="F365" s="339"/>
      <c r="G365" s="339"/>
      <c r="H365" s="339"/>
      <c r="I365" s="341"/>
      <c r="J365" s="340"/>
      <c r="K365" s="339"/>
      <c r="L365" s="341"/>
      <c r="M365" s="339"/>
      <c r="N365" s="339"/>
      <c r="O365" s="341"/>
      <c r="P365" s="339"/>
      <c r="Q365" s="341"/>
      <c r="R365" s="339"/>
      <c r="S365" s="341"/>
      <c r="T365" s="339"/>
      <c r="U365" s="339"/>
      <c r="V365" s="339"/>
      <c r="W365" s="339"/>
      <c r="X365" s="339"/>
      <c r="Y365" s="339"/>
      <c r="Z365" s="339"/>
    </row>
    <row r="366" spans="1:26" ht="15.75" customHeight="1">
      <c r="A366" s="339"/>
      <c r="B366" s="339"/>
      <c r="C366" s="339"/>
      <c r="D366" s="339"/>
      <c r="E366" s="339"/>
      <c r="F366" s="339"/>
      <c r="G366" s="339"/>
      <c r="H366" s="339"/>
      <c r="I366" s="341"/>
      <c r="J366" s="340"/>
      <c r="K366" s="339"/>
      <c r="L366" s="341"/>
      <c r="M366" s="339"/>
      <c r="N366" s="339"/>
      <c r="O366" s="341"/>
      <c r="P366" s="339"/>
      <c r="Q366" s="341"/>
      <c r="R366" s="339"/>
      <c r="S366" s="341"/>
      <c r="T366" s="339"/>
      <c r="U366" s="339"/>
      <c r="V366" s="339"/>
      <c r="W366" s="339"/>
      <c r="X366" s="339"/>
      <c r="Y366" s="339"/>
      <c r="Z366" s="339"/>
    </row>
    <row r="367" spans="1:26" ht="15.75" customHeight="1">
      <c r="A367" s="339"/>
      <c r="B367" s="339"/>
      <c r="C367" s="339"/>
      <c r="D367" s="339"/>
      <c r="E367" s="339"/>
      <c r="F367" s="339"/>
      <c r="G367" s="339"/>
      <c r="H367" s="339"/>
      <c r="I367" s="341"/>
      <c r="J367" s="340"/>
      <c r="K367" s="339"/>
      <c r="L367" s="341"/>
      <c r="M367" s="339"/>
      <c r="N367" s="339"/>
      <c r="O367" s="341"/>
      <c r="P367" s="339"/>
      <c r="Q367" s="341"/>
      <c r="R367" s="339"/>
      <c r="S367" s="341"/>
      <c r="T367" s="339"/>
      <c r="U367" s="339"/>
      <c r="V367" s="339"/>
      <c r="W367" s="339"/>
      <c r="X367" s="339"/>
      <c r="Y367" s="339"/>
      <c r="Z367" s="339"/>
    </row>
    <row r="368" spans="1:26" ht="15.75" customHeight="1">
      <c r="A368" s="339"/>
      <c r="B368" s="339"/>
      <c r="C368" s="339"/>
      <c r="D368" s="339"/>
      <c r="E368" s="339"/>
      <c r="F368" s="339"/>
      <c r="G368" s="339"/>
      <c r="H368" s="339"/>
      <c r="I368" s="341"/>
      <c r="J368" s="340"/>
      <c r="K368" s="339"/>
      <c r="L368" s="341"/>
      <c r="M368" s="339"/>
      <c r="N368" s="339"/>
      <c r="O368" s="341"/>
      <c r="P368" s="339"/>
      <c r="Q368" s="341"/>
      <c r="R368" s="339"/>
      <c r="S368" s="341"/>
      <c r="T368" s="339"/>
      <c r="U368" s="339"/>
      <c r="V368" s="339"/>
      <c r="W368" s="339"/>
      <c r="X368" s="339"/>
      <c r="Y368" s="339"/>
      <c r="Z368" s="339"/>
    </row>
    <row r="369" spans="1:26" ht="15.75" customHeight="1">
      <c r="A369" s="339"/>
      <c r="B369" s="339"/>
      <c r="C369" s="339"/>
      <c r="D369" s="339"/>
      <c r="E369" s="339"/>
      <c r="F369" s="339"/>
      <c r="G369" s="339"/>
      <c r="H369" s="339"/>
      <c r="I369" s="341"/>
      <c r="J369" s="340"/>
      <c r="K369" s="339"/>
      <c r="L369" s="341"/>
      <c r="M369" s="339"/>
      <c r="N369" s="339"/>
      <c r="O369" s="341"/>
      <c r="P369" s="339"/>
      <c r="Q369" s="341"/>
      <c r="R369" s="339"/>
      <c r="S369" s="341"/>
      <c r="T369" s="339"/>
      <c r="U369" s="339"/>
      <c r="V369" s="339"/>
      <c r="W369" s="339"/>
      <c r="X369" s="339"/>
      <c r="Y369" s="339"/>
      <c r="Z369" s="339"/>
    </row>
    <row r="370" spans="1:26" ht="15.75" customHeight="1">
      <c r="A370" s="339"/>
      <c r="B370" s="339"/>
      <c r="C370" s="339"/>
      <c r="D370" s="339"/>
      <c r="E370" s="339"/>
      <c r="F370" s="339"/>
      <c r="G370" s="339"/>
      <c r="H370" s="339"/>
      <c r="I370" s="341"/>
      <c r="J370" s="340"/>
      <c r="K370" s="339"/>
      <c r="L370" s="341"/>
      <c r="M370" s="339"/>
      <c r="N370" s="339"/>
      <c r="O370" s="341"/>
      <c r="P370" s="339"/>
      <c r="Q370" s="341"/>
      <c r="R370" s="339"/>
      <c r="S370" s="341"/>
      <c r="T370" s="339"/>
      <c r="U370" s="339"/>
      <c r="V370" s="339"/>
      <c r="W370" s="339"/>
      <c r="X370" s="339"/>
      <c r="Y370" s="339"/>
      <c r="Z370" s="339"/>
    </row>
    <row r="371" spans="1:26" ht="15.75" customHeight="1">
      <c r="A371" s="339"/>
      <c r="B371" s="339"/>
      <c r="C371" s="339"/>
      <c r="D371" s="339"/>
      <c r="E371" s="339"/>
      <c r="F371" s="339"/>
      <c r="G371" s="339"/>
      <c r="H371" s="339"/>
      <c r="I371" s="341"/>
      <c r="J371" s="340"/>
      <c r="K371" s="339"/>
      <c r="L371" s="341"/>
      <c r="M371" s="339"/>
      <c r="N371" s="339"/>
      <c r="O371" s="341"/>
      <c r="P371" s="339"/>
      <c r="Q371" s="341"/>
      <c r="R371" s="339"/>
      <c r="S371" s="341"/>
      <c r="T371" s="339"/>
      <c r="U371" s="339"/>
      <c r="V371" s="339"/>
      <c r="W371" s="339"/>
      <c r="X371" s="339"/>
      <c r="Y371" s="339"/>
      <c r="Z371" s="339"/>
    </row>
    <row r="372" spans="1:26" ht="15.75" customHeight="1">
      <c r="A372" s="339"/>
      <c r="B372" s="339"/>
      <c r="C372" s="339"/>
      <c r="D372" s="339"/>
      <c r="E372" s="339"/>
      <c r="F372" s="339"/>
      <c r="G372" s="339"/>
      <c r="H372" s="339"/>
      <c r="I372" s="341"/>
      <c r="J372" s="340"/>
      <c r="K372" s="339"/>
      <c r="L372" s="341"/>
      <c r="M372" s="339"/>
      <c r="N372" s="339"/>
      <c r="O372" s="341"/>
      <c r="P372" s="339"/>
      <c r="Q372" s="341"/>
      <c r="R372" s="339"/>
      <c r="S372" s="341"/>
      <c r="T372" s="339"/>
      <c r="U372" s="339"/>
      <c r="V372" s="339"/>
      <c r="W372" s="339"/>
      <c r="X372" s="339"/>
      <c r="Y372" s="339"/>
      <c r="Z372" s="339"/>
    </row>
    <row r="373" spans="1:26" ht="15.75" customHeight="1">
      <c r="A373" s="339"/>
      <c r="B373" s="339"/>
      <c r="C373" s="339"/>
      <c r="D373" s="339"/>
      <c r="E373" s="339"/>
      <c r="F373" s="339"/>
      <c r="G373" s="339"/>
      <c r="H373" s="339"/>
      <c r="I373" s="341"/>
      <c r="J373" s="340"/>
      <c r="K373" s="339"/>
      <c r="L373" s="341"/>
      <c r="M373" s="339"/>
      <c r="N373" s="339"/>
      <c r="O373" s="341"/>
      <c r="P373" s="339"/>
      <c r="Q373" s="341"/>
      <c r="R373" s="339"/>
      <c r="S373" s="341"/>
      <c r="T373" s="339"/>
      <c r="U373" s="339"/>
      <c r="V373" s="339"/>
      <c r="W373" s="339"/>
      <c r="X373" s="339"/>
      <c r="Y373" s="339"/>
      <c r="Z373" s="339"/>
    </row>
    <row r="374" spans="1:26" ht="15.75" customHeight="1">
      <c r="A374" s="339"/>
      <c r="B374" s="339"/>
      <c r="C374" s="339"/>
      <c r="D374" s="339"/>
      <c r="E374" s="339"/>
      <c r="F374" s="339"/>
      <c r="G374" s="339"/>
      <c r="H374" s="339"/>
      <c r="I374" s="341"/>
      <c r="J374" s="340"/>
      <c r="K374" s="339"/>
      <c r="L374" s="341"/>
      <c r="M374" s="339"/>
      <c r="N374" s="339"/>
      <c r="O374" s="341"/>
      <c r="P374" s="339"/>
      <c r="Q374" s="341"/>
      <c r="R374" s="339"/>
      <c r="S374" s="341"/>
      <c r="T374" s="339"/>
      <c r="U374" s="339"/>
      <c r="V374" s="339"/>
      <c r="W374" s="339"/>
      <c r="X374" s="339"/>
      <c r="Y374" s="339"/>
      <c r="Z374" s="339"/>
    </row>
    <row r="375" spans="1:26" ht="15.75" customHeight="1">
      <c r="A375" s="339"/>
      <c r="B375" s="339"/>
      <c r="C375" s="339"/>
      <c r="D375" s="339"/>
      <c r="E375" s="339"/>
      <c r="F375" s="339"/>
      <c r="G375" s="339"/>
      <c r="H375" s="339"/>
      <c r="I375" s="341"/>
      <c r="J375" s="340"/>
      <c r="K375" s="339"/>
      <c r="L375" s="341"/>
      <c r="M375" s="339"/>
      <c r="N375" s="339"/>
      <c r="O375" s="341"/>
      <c r="P375" s="339"/>
      <c r="Q375" s="341"/>
      <c r="R375" s="339"/>
      <c r="S375" s="341"/>
      <c r="T375" s="339"/>
      <c r="U375" s="339"/>
      <c r="V375" s="339"/>
      <c r="W375" s="339"/>
      <c r="X375" s="339"/>
      <c r="Y375" s="339"/>
      <c r="Z375" s="339"/>
    </row>
    <row r="376" spans="1:26" ht="15.75" customHeight="1">
      <c r="A376" s="339"/>
      <c r="B376" s="339"/>
      <c r="C376" s="339"/>
      <c r="D376" s="339"/>
      <c r="E376" s="339"/>
      <c r="F376" s="339"/>
      <c r="G376" s="339"/>
      <c r="H376" s="339"/>
      <c r="I376" s="341"/>
      <c r="J376" s="340"/>
      <c r="K376" s="339"/>
      <c r="L376" s="341"/>
      <c r="M376" s="339"/>
      <c r="N376" s="339"/>
      <c r="O376" s="341"/>
      <c r="P376" s="339"/>
      <c r="Q376" s="341"/>
      <c r="R376" s="339"/>
      <c r="S376" s="341"/>
      <c r="T376" s="339"/>
      <c r="U376" s="339"/>
      <c r="V376" s="339"/>
      <c r="W376" s="339"/>
      <c r="X376" s="339"/>
      <c r="Y376" s="339"/>
      <c r="Z376" s="339"/>
    </row>
    <row r="377" spans="1:26" ht="15.75" customHeight="1">
      <c r="A377" s="339"/>
      <c r="B377" s="339"/>
      <c r="C377" s="339"/>
      <c r="D377" s="339"/>
      <c r="E377" s="339"/>
      <c r="F377" s="339"/>
      <c r="G377" s="339"/>
      <c r="H377" s="339"/>
      <c r="I377" s="341"/>
      <c r="J377" s="340"/>
      <c r="K377" s="339"/>
      <c r="L377" s="341"/>
      <c r="M377" s="339"/>
      <c r="N377" s="339"/>
      <c r="O377" s="341"/>
      <c r="P377" s="339"/>
      <c r="Q377" s="341"/>
      <c r="R377" s="339"/>
      <c r="S377" s="341"/>
      <c r="T377" s="339"/>
      <c r="U377" s="339"/>
      <c r="V377" s="339"/>
      <c r="W377" s="339"/>
      <c r="X377" s="339"/>
      <c r="Y377" s="339"/>
      <c r="Z377" s="339"/>
    </row>
    <row r="378" spans="1:26" ht="15.75" customHeight="1">
      <c r="A378" s="339"/>
      <c r="B378" s="339"/>
      <c r="C378" s="339"/>
      <c r="D378" s="339"/>
      <c r="E378" s="339"/>
      <c r="F378" s="339"/>
      <c r="G378" s="339"/>
      <c r="H378" s="339"/>
      <c r="I378" s="341"/>
      <c r="J378" s="340"/>
      <c r="K378" s="339"/>
      <c r="L378" s="341"/>
      <c r="M378" s="339"/>
      <c r="N378" s="339"/>
      <c r="O378" s="341"/>
      <c r="P378" s="339"/>
      <c r="Q378" s="341"/>
      <c r="R378" s="339"/>
      <c r="S378" s="341"/>
      <c r="T378" s="339"/>
      <c r="U378" s="339"/>
      <c r="V378" s="339"/>
      <c r="W378" s="339"/>
      <c r="X378" s="339"/>
      <c r="Y378" s="339"/>
      <c r="Z378" s="339"/>
    </row>
    <row r="379" spans="1:26" ht="15.75" customHeight="1">
      <c r="A379" s="339"/>
      <c r="B379" s="339"/>
      <c r="C379" s="339"/>
      <c r="D379" s="339"/>
      <c r="E379" s="339"/>
      <c r="F379" s="339"/>
      <c r="G379" s="339"/>
      <c r="H379" s="339"/>
      <c r="I379" s="341"/>
      <c r="J379" s="340"/>
      <c r="K379" s="339"/>
      <c r="L379" s="341"/>
      <c r="M379" s="339"/>
      <c r="N379" s="339"/>
      <c r="O379" s="341"/>
      <c r="P379" s="339"/>
      <c r="Q379" s="341"/>
      <c r="R379" s="339"/>
      <c r="S379" s="341"/>
      <c r="T379" s="339"/>
      <c r="U379" s="339"/>
      <c r="V379" s="339"/>
      <c r="W379" s="339"/>
      <c r="X379" s="339"/>
      <c r="Y379" s="339"/>
      <c r="Z379" s="339"/>
    </row>
    <row r="380" spans="1:26" ht="15.75" customHeight="1">
      <c r="A380" s="339"/>
      <c r="B380" s="339"/>
      <c r="C380" s="339"/>
      <c r="D380" s="339"/>
      <c r="E380" s="339"/>
      <c r="F380" s="339"/>
      <c r="G380" s="339"/>
      <c r="H380" s="339"/>
      <c r="I380" s="341"/>
      <c r="J380" s="340"/>
      <c r="K380" s="339"/>
      <c r="L380" s="341"/>
      <c r="M380" s="339"/>
      <c r="N380" s="339"/>
      <c r="O380" s="341"/>
      <c r="P380" s="339"/>
      <c r="Q380" s="341"/>
      <c r="R380" s="339"/>
      <c r="S380" s="341"/>
      <c r="T380" s="339"/>
      <c r="U380" s="339"/>
      <c r="V380" s="339"/>
      <c r="W380" s="339"/>
      <c r="X380" s="339"/>
      <c r="Y380" s="339"/>
      <c r="Z380" s="339"/>
    </row>
    <row r="381" spans="1:26" ht="15.75" customHeight="1">
      <c r="A381" s="339"/>
      <c r="B381" s="339"/>
      <c r="C381" s="339"/>
      <c r="D381" s="339"/>
      <c r="E381" s="339"/>
      <c r="F381" s="339"/>
      <c r="G381" s="339"/>
      <c r="H381" s="339"/>
      <c r="I381" s="341"/>
      <c r="J381" s="340"/>
      <c r="K381" s="339"/>
      <c r="L381" s="341"/>
      <c r="M381" s="339"/>
      <c r="N381" s="339"/>
      <c r="O381" s="341"/>
      <c r="P381" s="339"/>
      <c r="Q381" s="341"/>
      <c r="R381" s="339"/>
      <c r="S381" s="341"/>
      <c r="T381" s="339"/>
      <c r="U381" s="339"/>
      <c r="V381" s="339"/>
      <c r="W381" s="339"/>
      <c r="X381" s="339"/>
      <c r="Y381" s="339"/>
      <c r="Z381" s="339"/>
    </row>
    <row r="382" spans="1:26" ht="15.75" customHeight="1">
      <c r="A382" s="339"/>
      <c r="B382" s="339"/>
      <c r="C382" s="339"/>
      <c r="D382" s="339"/>
      <c r="E382" s="339"/>
      <c r="F382" s="339"/>
      <c r="G382" s="339"/>
      <c r="H382" s="339"/>
      <c r="I382" s="341"/>
      <c r="J382" s="340"/>
      <c r="K382" s="339"/>
      <c r="L382" s="341"/>
      <c r="M382" s="339"/>
      <c r="N382" s="339"/>
      <c r="O382" s="341"/>
      <c r="P382" s="339"/>
      <c r="Q382" s="341"/>
      <c r="R382" s="339"/>
      <c r="S382" s="341"/>
      <c r="T382" s="339"/>
      <c r="U382" s="339"/>
      <c r="V382" s="339"/>
      <c r="W382" s="339"/>
      <c r="X382" s="339"/>
      <c r="Y382" s="339"/>
      <c r="Z382" s="339"/>
    </row>
    <row r="383" spans="1:26" ht="15.75" customHeight="1">
      <c r="A383" s="339"/>
      <c r="B383" s="339"/>
      <c r="C383" s="339"/>
      <c r="D383" s="339"/>
      <c r="E383" s="339"/>
      <c r="F383" s="339"/>
      <c r="G383" s="339"/>
      <c r="H383" s="339"/>
      <c r="I383" s="341"/>
      <c r="J383" s="340"/>
      <c r="K383" s="339"/>
      <c r="L383" s="341"/>
      <c r="M383" s="339"/>
      <c r="N383" s="339"/>
      <c r="O383" s="341"/>
      <c r="P383" s="339"/>
      <c r="Q383" s="341"/>
      <c r="R383" s="339"/>
      <c r="S383" s="341"/>
      <c r="T383" s="339"/>
      <c r="U383" s="339"/>
      <c r="V383" s="339"/>
      <c r="W383" s="339"/>
      <c r="X383" s="339"/>
      <c r="Y383" s="339"/>
      <c r="Z383" s="339"/>
    </row>
    <row r="384" spans="1:26" ht="15.75" customHeight="1">
      <c r="A384" s="339"/>
      <c r="B384" s="339"/>
      <c r="C384" s="339"/>
      <c r="D384" s="339"/>
      <c r="E384" s="339"/>
      <c r="F384" s="339"/>
      <c r="G384" s="339"/>
      <c r="H384" s="339"/>
      <c r="I384" s="341"/>
      <c r="J384" s="340"/>
      <c r="K384" s="339"/>
      <c r="L384" s="341"/>
      <c r="M384" s="339"/>
      <c r="N384" s="339"/>
      <c r="O384" s="341"/>
      <c r="P384" s="339"/>
      <c r="Q384" s="341"/>
      <c r="R384" s="339"/>
      <c r="S384" s="341"/>
      <c r="T384" s="339"/>
      <c r="U384" s="339"/>
      <c r="V384" s="339"/>
      <c r="W384" s="339"/>
      <c r="X384" s="339"/>
      <c r="Y384" s="339"/>
      <c r="Z384" s="339"/>
    </row>
    <row r="385" spans="1:26" ht="15.75" customHeight="1">
      <c r="A385" s="339"/>
      <c r="B385" s="339"/>
      <c r="C385" s="339"/>
      <c r="D385" s="339"/>
      <c r="E385" s="339"/>
      <c r="F385" s="339"/>
      <c r="G385" s="339"/>
      <c r="H385" s="339"/>
      <c r="I385" s="341"/>
      <c r="J385" s="340"/>
      <c r="K385" s="339"/>
      <c r="L385" s="341"/>
      <c r="M385" s="339"/>
      <c r="N385" s="339"/>
      <c r="O385" s="341"/>
      <c r="P385" s="339"/>
      <c r="Q385" s="341"/>
      <c r="R385" s="339"/>
      <c r="S385" s="341"/>
      <c r="T385" s="339"/>
      <c r="U385" s="339"/>
      <c r="V385" s="339"/>
      <c r="W385" s="339"/>
      <c r="X385" s="339"/>
      <c r="Y385" s="339"/>
      <c r="Z385" s="339"/>
    </row>
    <row r="386" spans="1:26" ht="15.75" customHeight="1">
      <c r="A386" s="339"/>
      <c r="B386" s="339"/>
      <c r="C386" s="339"/>
      <c r="D386" s="339"/>
      <c r="E386" s="339"/>
      <c r="F386" s="339"/>
      <c r="G386" s="339"/>
      <c r="H386" s="339"/>
      <c r="I386" s="341"/>
      <c r="J386" s="340"/>
      <c r="K386" s="339"/>
      <c r="L386" s="341"/>
      <c r="M386" s="339"/>
      <c r="N386" s="339"/>
      <c r="O386" s="341"/>
      <c r="P386" s="339"/>
      <c r="Q386" s="341"/>
      <c r="R386" s="339"/>
      <c r="S386" s="341"/>
      <c r="T386" s="339"/>
      <c r="U386" s="339"/>
      <c r="V386" s="339"/>
      <c r="W386" s="339"/>
      <c r="X386" s="339"/>
      <c r="Y386" s="339"/>
      <c r="Z386" s="339"/>
    </row>
    <row r="387" spans="1:26" ht="15.75" customHeight="1">
      <c r="A387" s="339"/>
      <c r="B387" s="339"/>
      <c r="C387" s="339"/>
      <c r="D387" s="339"/>
      <c r="E387" s="339"/>
      <c r="F387" s="339"/>
      <c r="G387" s="339"/>
      <c r="H387" s="339"/>
      <c r="I387" s="341"/>
      <c r="J387" s="340"/>
      <c r="K387" s="339"/>
      <c r="L387" s="341"/>
      <c r="M387" s="339"/>
      <c r="N387" s="339"/>
      <c r="O387" s="341"/>
      <c r="P387" s="339"/>
      <c r="Q387" s="341"/>
      <c r="R387" s="339"/>
      <c r="S387" s="341"/>
      <c r="T387" s="339"/>
      <c r="U387" s="339"/>
      <c r="V387" s="339"/>
      <c r="W387" s="339"/>
      <c r="X387" s="339"/>
      <c r="Y387" s="339"/>
      <c r="Z387" s="339"/>
    </row>
    <row r="388" spans="1:26" ht="15.75" customHeight="1">
      <c r="A388" s="339"/>
      <c r="B388" s="339"/>
      <c r="C388" s="339"/>
      <c r="D388" s="339"/>
      <c r="E388" s="339"/>
      <c r="F388" s="339"/>
      <c r="G388" s="339"/>
      <c r="H388" s="339"/>
      <c r="I388" s="341"/>
      <c r="J388" s="340"/>
      <c r="K388" s="339"/>
      <c r="L388" s="341"/>
      <c r="M388" s="339"/>
      <c r="N388" s="339"/>
      <c r="O388" s="341"/>
      <c r="P388" s="339"/>
      <c r="Q388" s="341"/>
      <c r="R388" s="339"/>
      <c r="S388" s="341"/>
      <c r="T388" s="339"/>
      <c r="U388" s="339"/>
      <c r="V388" s="339"/>
      <c r="W388" s="339"/>
      <c r="X388" s="339"/>
      <c r="Y388" s="339"/>
      <c r="Z388" s="339"/>
    </row>
    <row r="389" spans="1:26" ht="15.75" customHeight="1">
      <c r="A389" s="339"/>
      <c r="B389" s="339"/>
      <c r="C389" s="339"/>
      <c r="D389" s="339"/>
      <c r="E389" s="339"/>
      <c r="F389" s="339"/>
      <c r="G389" s="339"/>
      <c r="H389" s="339"/>
      <c r="I389" s="341"/>
      <c r="J389" s="340"/>
      <c r="K389" s="339"/>
      <c r="L389" s="341"/>
      <c r="M389" s="339"/>
      <c r="N389" s="339"/>
      <c r="O389" s="341"/>
      <c r="P389" s="339"/>
      <c r="Q389" s="341"/>
      <c r="R389" s="339"/>
      <c r="S389" s="341"/>
      <c r="T389" s="339"/>
      <c r="U389" s="339"/>
      <c r="V389" s="339"/>
      <c r="W389" s="339"/>
      <c r="X389" s="339"/>
      <c r="Y389" s="339"/>
      <c r="Z389" s="339"/>
    </row>
    <row r="390" spans="1:26" ht="15.75" customHeight="1">
      <c r="A390" s="339"/>
      <c r="B390" s="339"/>
      <c r="C390" s="339"/>
      <c r="D390" s="339"/>
      <c r="E390" s="339"/>
      <c r="F390" s="339"/>
      <c r="G390" s="339"/>
      <c r="H390" s="339"/>
      <c r="I390" s="341"/>
      <c r="J390" s="340"/>
      <c r="K390" s="339"/>
      <c r="L390" s="341"/>
      <c r="M390" s="339"/>
      <c r="N390" s="339"/>
      <c r="O390" s="341"/>
      <c r="P390" s="339"/>
      <c r="Q390" s="341"/>
      <c r="R390" s="339"/>
      <c r="S390" s="341"/>
      <c r="T390" s="339"/>
      <c r="U390" s="339"/>
      <c r="V390" s="339"/>
      <c r="W390" s="339"/>
      <c r="X390" s="339"/>
      <c r="Y390" s="339"/>
      <c r="Z390" s="339"/>
    </row>
    <row r="391" spans="1:26" ht="15.75" customHeight="1">
      <c r="A391" s="339"/>
      <c r="B391" s="339"/>
      <c r="C391" s="339"/>
      <c r="D391" s="339"/>
      <c r="E391" s="339"/>
      <c r="F391" s="339"/>
      <c r="G391" s="339"/>
      <c r="H391" s="339"/>
      <c r="I391" s="341"/>
      <c r="J391" s="340"/>
      <c r="K391" s="339"/>
      <c r="L391" s="341"/>
      <c r="M391" s="339"/>
      <c r="N391" s="339"/>
      <c r="O391" s="341"/>
      <c r="P391" s="339"/>
      <c r="Q391" s="341"/>
      <c r="R391" s="339"/>
      <c r="S391" s="341"/>
      <c r="T391" s="339"/>
      <c r="U391" s="339"/>
      <c r="V391" s="339"/>
      <c r="W391" s="339"/>
      <c r="X391" s="339"/>
      <c r="Y391" s="339"/>
      <c r="Z391" s="339"/>
    </row>
    <row r="392" spans="1:26" ht="15.75" customHeight="1">
      <c r="A392" s="339"/>
      <c r="B392" s="339"/>
      <c r="C392" s="339"/>
      <c r="D392" s="339"/>
      <c r="E392" s="339"/>
      <c r="F392" s="339"/>
      <c r="G392" s="339"/>
      <c r="H392" s="339"/>
      <c r="I392" s="341"/>
      <c r="J392" s="340"/>
      <c r="K392" s="339"/>
      <c r="L392" s="341"/>
      <c r="M392" s="339"/>
      <c r="N392" s="339"/>
      <c r="O392" s="341"/>
      <c r="P392" s="339"/>
      <c r="Q392" s="341"/>
      <c r="R392" s="339"/>
      <c r="S392" s="341"/>
      <c r="T392" s="339"/>
      <c r="U392" s="339"/>
      <c r="V392" s="339"/>
      <c r="W392" s="339"/>
      <c r="X392" s="339"/>
      <c r="Y392" s="339"/>
      <c r="Z392" s="339"/>
    </row>
    <row r="393" spans="1:26" ht="15.75" customHeight="1">
      <c r="A393" s="339"/>
      <c r="B393" s="339"/>
      <c r="C393" s="339"/>
      <c r="D393" s="339"/>
      <c r="E393" s="339"/>
      <c r="F393" s="339"/>
      <c r="G393" s="339"/>
      <c r="H393" s="339"/>
      <c r="I393" s="341"/>
      <c r="J393" s="340"/>
      <c r="K393" s="339"/>
      <c r="L393" s="341"/>
      <c r="M393" s="339"/>
      <c r="N393" s="339"/>
      <c r="O393" s="341"/>
      <c r="P393" s="339"/>
      <c r="Q393" s="341"/>
      <c r="R393" s="339"/>
      <c r="S393" s="341"/>
      <c r="T393" s="339"/>
      <c r="U393" s="339"/>
      <c r="V393" s="339"/>
      <c r="W393" s="339"/>
      <c r="X393" s="339"/>
      <c r="Y393" s="339"/>
      <c r="Z393" s="339"/>
    </row>
    <row r="394" spans="1:26" ht="15.75" customHeight="1">
      <c r="A394" s="339"/>
      <c r="B394" s="339"/>
      <c r="C394" s="339"/>
      <c r="D394" s="339"/>
      <c r="E394" s="339"/>
      <c r="F394" s="339"/>
      <c r="G394" s="339"/>
      <c r="H394" s="339"/>
      <c r="I394" s="341"/>
      <c r="J394" s="340"/>
      <c r="K394" s="339"/>
      <c r="L394" s="341"/>
      <c r="M394" s="339"/>
      <c r="N394" s="339"/>
      <c r="O394" s="341"/>
      <c r="P394" s="339"/>
      <c r="Q394" s="341"/>
      <c r="R394" s="339"/>
      <c r="S394" s="341"/>
      <c r="T394" s="339"/>
      <c r="U394" s="339"/>
      <c r="V394" s="339"/>
      <c r="W394" s="339"/>
      <c r="X394" s="339"/>
      <c r="Y394" s="339"/>
      <c r="Z394" s="339"/>
    </row>
    <row r="395" spans="1:26" ht="15.75" customHeight="1">
      <c r="A395" s="339"/>
      <c r="B395" s="339"/>
      <c r="C395" s="339"/>
      <c r="D395" s="339"/>
      <c r="E395" s="339"/>
      <c r="F395" s="339"/>
      <c r="G395" s="339"/>
      <c r="H395" s="339"/>
      <c r="I395" s="341"/>
      <c r="J395" s="340"/>
      <c r="K395" s="339"/>
      <c r="L395" s="341"/>
      <c r="M395" s="339"/>
      <c r="N395" s="339"/>
      <c r="O395" s="341"/>
      <c r="P395" s="339"/>
      <c r="Q395" s="341"/>
      <c r="R395" s="339"/>
      <c r="S395" s="341"/>
      <c r="T395" s="339"/>
      <c r="U395" s="339"/>
      <c r="V395" s="339"/>
      <c r="W395" s="339"/>
      <c r="X395" s="339"/>
      <c r="Y395" s="339"/>
      <c r="Z395" s="339"/>
    </row>
    <row r="396" spans="1:26" ht="15.75" customHeight="1">
      <c r="A396" s="339"/>
      <c r="B396" s="339"/>
      <c r="C396" s="339"/>
      <c r="D396" s="339"/>
      <c r="E396" s="339"/>
      <c r="F396" s="339"/>
      <c r="G396" s="339"/>
      <c r="H396" s="339"/>
      <c r="I396" s="341"/>
      <c r="J396" s="340"/>
      <c r="K396" s="339"/>
      <c r="L396" s="341"/>
      <c r="M396" s="339"/>
      <c r="N396" s="339"/>
      <c r="O396" s="341"/>
      <c r="P396" s="339"/>
      <c r="Q396" s="341"/>
      <c r="R396" s="339"/>
      <c r="S396" s="341"/>
      <c r="T396" s="339"/>
      <c r="U396" s="339"/>
      <c r="V396" s="339"/>
      <c r="W396" s="339"/>
      <c r="X396" s="339"/>
      <c r="Y396" s="339"/>
      <c r="Z396" s="339"/>
    </row>
    <row r="397" spans="1:26" ht="15.75" customHeight="1">
      <c r="A397" s="339"/>
      <c r="B397" s="339"/>
      <c r="C397" s="339"/>
      <c r="D397" s="339"/>
      <c r="E397" s="339"/>
      <c r="F397" s="339"/>
      <c r="G397" s="339"/>
      <c r="H397" s="339"/>
      <c r="I397" s="341"/>
      <c r="J397" s="340"/>
      <c r="K397" s="339"/>
      <c r="L397" s="341"/>
      <c r="M397" s="339"/>
      <c r="N397" s="339"/>
      <c r="O397" s="341"/>
      <c r="P397" s="339"/>
      <c r="Q397" s="341"/>
      <c r="R397" s="339"/>
      <c r="S397" s="341"/>
      <c r="T397" s="339"/>
      <c r="U397" s="339"/>
      <c r="V397" s="339"/>
      <c r="W397" s="339"/>
      <c r="X397" s="339"/>
      <c r="Y397" s="339"/>
      <c r="Z397" s="339"/>
    </row>
    <row r="398" spans="1:26" ht="15.75" customHeight="1">
      <c r="A398" s="339"/>
      <c r="B398" s="339"/>
      <c r="C398" s="339"/>
      <c r="D398" s="339"/>
      <c r="E398" s="339"/>
      <c r="F398" s="339"/>
      <c r="G398" s="339"/>
      <c r="H398" s="339"/>
      <c r="I398" s="341"/>
      <c r="J398" s="340"/>
      <c r="K398" s="339"/>
      <c r="L398" s="341"/>
      <c r="M398" s="339"/>
      <c r="N398" s="339"/>
      <c r="O398" s="341"/>
      <c r="P398" s="339"/>
      <c r="Q398" s="341"/>
      <c r="R398" s="339"/>
      <c r="S398" s="341"/>
      <c r="T398" s="339"/>
      <c r="U398" s="339"/>
      <c r="V398" s="339"/>
      <c r="W398" s="339"/>
      <c r="X398" s="339"/>
      <c r="Y398" s="339"/>
      <c r="Z398" s="339"/>
    </row>
    <row r="399" spans="1:26" ht="15.75" customHeight="1">
      <c r="A399" s="339"/>
      <c r="B399" s="339"/>
      <c r="C399" s="339"/>
      <c r="D399" s="339"/>
      <c r="E399" s="339"/>
      <c r="F399" s="339"/>
      <c r="G399" s="339"/>
      <c r="H399" s="339"/>
      <c r="I399" s="341"/>
      <c r="J399" s="340"/>
      <c r="K399" s="339"/>
      <c r="L399" s="341"/>
      <c r="M399" s="339"/>
      <c r="N399" s="339"/>
      <c r="O399" s="341"/>
      <c r="P399" s="339"/>
      <c r="Q399" s="341"/>
      <c r="R399" s="339"/>
      <c r="S399" s="341"/>
      <c r="T399" s="339"/>
      <c r="U399" s="339"/>
      <c r="V399" s="339"/>
      <c r="W399" s="339"/>
      <c r="X399" s="339"/>
      <c r="Y399" s="339"/>
      <c r="Z399" s="339"/>
    </row>
    <row r="400" spans="1:26" ht="15.75" customHeight="1">
      <c r="A400" s="339"/>
      <c r="B400" s="339"/>
      <c r="C400" s="339"/>
      <c r="D400" s="339"/>
      <c r="E400" s="339"/>
      <c r="F400" s="339"/>
      <c r="G400" s="339"/>
      <c r="H400" s="339"/>
      <c r="I400" s="341"/>
      <c r="J400" s="340"/>
      <c r="K400" s="339"/>
      <c r="L400" s="341"/>
      <c r="M400" s="339"/>
      <c r="N400" s="339"/>
      <c r="O400" s="341"/>
      <c r="P400" s="339"/>
      <c r="Q400" s="341"/>
      <c r="R400" s="339"/>
      <c r="S400" s="341"/>
      <c r="T400" s="339"/>
      <c r="U400" s="339"/>
      <c r="V400" s="339"/>
      <c r="W400" s="339"/>
      <c r="X400" s="339"/>
      <c r="Y400" s="339"/>
      <c r="Z400" s="339"/>
    </row>
    <row r="401" spans="1:26" ht="15.75" customHeight="1">
      <c r="A401" s="339"/>
      <c r="B401" s="339"/>
      <c r="C401" s="339"/>
      <c r="D401" s="339"/>
      <c r="E401" s="339"/>
      <c r="F401" s="339"/>
      <c r="G401" s="339"/>
      <c r="H401" s="339"/>
      <c r="I401" s="341"/>
      <c r="J401" s="340"/>
      <c r="K401" s="339"/>
      <c r="L401" s="341"/>
      <c r="M401" s="339"/>
      <c r="N401" s="339"/>
      <c r="O401" s="341"/>
      <c r="P401" s="339"/>
      <c r="Q401" s="341"/>
      <c r="R401" s="339"/>
      <c r="S401" s="341"/>
      <c r="T401" s="339"/>
      <c r="U401" s="339"/>
      <c r="V401" s="339"/>
      <c r="W401" s="339"/>
      <c r="X401" s="339"/>
      <c r="Y401" s="339"/>
      <c r="Z401" s="339"/>
    </row>
    <row r="402" spans="1:26" ht="15.75" customHeight="1">
      <c r="A402" s="339"/>
      <c r="B402" s="339"/>
      <c r="C402" s="339"/>
      <c r="D402" s="339"/>
      <c r="E402" s="339"/>
      <c r="F402" s="339"/>
      <c r="G402" s="339"/>
      <c r="H402" s="339"/>
      <c r="I402" s="341"/>
      <c r="J402" s="340"/>
      <c r="K402" s="339"/>
      <c r="L402" s="341"/>
      <c r="M402" s="339"/>
      <c r="N402" s="339"/>
      <c r="O402" s="341"/>
      <c r="P402" s="339"/>
      <c r="Q402" s="341"/>
      <c r="R402" s="339"/>
      <c r="S402" s="341"/>
      <c r="T402" s="339"/>
      <c r="U402" s="339"/>
      <c r="V402" s="339"/>
      <c r="W402" s="339"/>
      <c r="X402" s="339"/>
      <c r="Y402" s="339"/>
      <c r="Z402" s="339"/>
    </row>
    <row r="403" spans="1:26" ht="15.75" customHeight="1">
      <c r="A403" s="339"/>
      <c r="B403" s="339"/>
      <c r="C403" s="339"/>
      <c r="D403" s="339"/>
      <c r="E403" s="339"/>
      <c r="F403" s="339"/>
      <c r="G403" s="339"/>
      <c r="H403" s="339"/>
      <c r="I403" s="341"/>
      <c r="J403" s="340"/>
      <c r="K403" s="339"/>
      <c r="L403" s="341"/>
      <c r="M403" s="339"/>
      <c r="N403" s="339"/>
      <c r="O403" s="341"/>
      <c r="P403" s="339"/>
      <c r="Q403" s="341"/>
      <c r="R403" s="339"/>
      <c r="S403" s="341"/>
      <c r="T403" s="339"/>
      <c r="U403" s="339"/>
      <c r="V403" s="339"/>
      <c r="W403" s="339"/>
      <c r="X403" s="339"/>
      <c r="Y403" s="339"/>
      <c r="Z403" s="339"/>
    </row>
    <row r="404" spans="1:26" ht="15.75" customHeight="1">
      <c r="A404" s="339"/>
      <c r="B404" s="339"/>
      <c r="C404" s="339"/>
      <c r="D404" s="339"/>
      <c r="E404" s="339"/>
      <c r="F404" s="339"/>
      <c r="G404" s="339"/>
      <c r="H404" s="339"/>
      <c r="I404" s="341"/>
      <c r="J404" s="340"/>
      <c r="K404" s="339"/>
      <c r="L404" s="341"/>
      <c r="M404" s="339"/>
      <c r="N404" s="339"/>
      <c r="O404" s="341"/>
      <c r="P404" s="339"/>
      <c r="Q404" s="341"/>
      <c r="R404" s="339"/>
      <c r="S404" s="341"/>
      <c r="T404" s="339"/>
      <c r="U404" s="339"/>
      <c r="V404" s="339"/>
      <c r="W404" s="339"/>
      <c r="X404" s="339"/>
      <c r="Y404" s="339"/>
      <c r="Z404" s="339"/>
    </row>
    <row r="405" spans="1:26" ht="15.75" customHeight="1">
      <c r="A405" s="339"/>
      <c r="B405" s="339"/>
      <c r="C405" s="339"/>
      <c r="D405" s="339"/>
      <c r="E405" s="339"/>
      <c r="F405" s="339"/>
      <c r="G405" s="339"/>
      <c r="H405" s="339"/>
      <c r="I405" s="341"/>
      <c r="J405" s="340"/>
      <c r="K405" s="339"/>
      <c r="L405" s="341"/>
      <c r="M405" s="339"/>
      <c r="N405" s="339"/>
      <c r="O405" s="341"/>
      <c r="P405" s="339"/>
      <c r="Q405" s="341"/>
      <c r="R405" s="339"/>
      <c r="S405" s="341"/>
      <c r="T405" s="339"/>
      <c r="U405" s="339"/>
      <c r="V405" s="339"/>
      <c r="W405" s="339"/>
      <c r="X405" s="339"/>
      <c r="Y405" s="339"/>
      <c r="Z405" s="339"/>
    </row>
    <row r="406" spans="1:26" ht="15.75" customHeight="1">
      <c r="A406" s="339"/>
      <c r="B406" s="339"/>
      <c r="C406" s="339"/>
      <c r="D406" s="339"/>
      <c r="E406" s="339"/>
      <c r="F406" s="339"/>
      <c r="G406" s="339"/>
      <c r="H406" s="339"/>
      <c r="I406" s="341"/>
      <c r="J406" s="340"/>
      <c r="K406" s="339"/>
      <c r="L406" s="341"/>
      <c r="M406" s="339"/>
      <c r="N406" s="339"/>
      <c r="O406" s="341"/>
      <c r="P406" s="339"/>
      <c r="Q406" s="341"/>
      <c r="R406" s="339"/>
      <c r="S406" s="341"/>
      <c r="T406" s="339"/>
      <c r="U406" s="339"/>
      <c r="V406" s="339"/>
      <c r="W406" s="339"/>
      <c r="X406" s="339"/>
      <c r="Y406" s="339"/>
      <c r="Z406" s="339"/>
    </row>
    <row r="407" spans="1:26" ht="15.75" customHeight="1">
      <c r="A407" s="339"/>
      <c r="B407" s="339"/>
      <c r="C407" s="339"/>
      <c r="D407" s="339"/>
      <c r="E407" s="339"/>
      <c r="F407" s="339"/>
      <c r="G407" s="339"/>
      <c r="H407" s="339"/>
      <c r="I407" s="341"/>
      <c r="J407" s="340"/>
      <c r="K407" s="339"/>
      <c r="L407" s="341"/>
      <c r="M407" s="339"/>
      <c r="N407" s="339"/>
      <c r="O407" s="341"/>
      <c r="P407" s="339"/>
      <c r="Q407" s="341"/>
      <c r="R407" s="339"/>
      <c r="S407" s="341"/>
      <c r="T407" s="339"/>
      <c r="U407" s="339"/>
      <c r="V407" s="339"/>
      <c r="W407" s="339"/>
      <c r="X407" s="339"/>
      <c r="Y407" s="339"/>
      <c r="Z407" s="339"/>
    </row>
    <row r="408" spans="1:26" ht="15.75" customHeight="1">
      <c r="A408" s="339"/>
      <c r="B408" s="339"/>
      <c r="C408" s="339"/>
      <c r="D408" s="339"/>
      <c r="E408" s="339"/>
      <c r="F408" s="339"/>
      <c r="G408" s="339"/>
      <c r="H408" s="339"/>
      <c r="I408" s="341"/>
      <c r="J408" s="340"/>
      <c r="K408" s="339"/>
      <c r="L408" s="341"/>
      <c r="M408" s="339"/>
      <c r="N408" s="339"/>
      <c r="O408" s="341"/>
      <c r="P408" s="339"/>
      <c r="Q408" s="341"/>
      <c r="R408" s="339"/>
      <c r="S408" s="341"/>
      <c r="T408" s="339"/>
      <c r="U408" s="339"/>
      <c r="V408" s="339"/>
      <c r="W408" s="339"/>
      <c r="X408" s="339"/>
      <c r="Y408" s="339"/>
      <c r="Z408" s="339"/>
    </row>
    <row r="409" spans="1:26" ht="15.75" customHeight="1">
      <c r="A409" s="339"/>
      <c r="B409" s="339"/>
      <c r="C409" s="339"/>
      <c r="D409" s="339"/>
      <c r="E409" s="339"/>
      <c r="F409" s="339"/>
      <c r="G409" s="339"/>
      <c r="H409" s="339"/>
      <c r="I409" s="341"/>
      <c r="J409" s="340"/>
      <c r="K409" s="339"/>
      <c r="L409" s="341"/>
      <c r="M409" s="339"/>
      <c r="N409" s="339"/>
      <c r="O409" s="341"/>
      <c r="P409" s="339"/>
      <c r="Q409" s="341"/>
      <c r="R409" s="339"/>
      <c r="S409" s="341"/>
      <c r="T409" s="339"/>
      <c r="U409" s="339"/>
      <c r="V409" s="339"/>
      <c r="W409" s="339"/>
      <c r="X409" s="339"/>
      <c r="Y409" s="339"/>
      <c r="Z409" s="339"/>
    </row>
    <row r="410" spans="1:26" ht="15.75" customHeight="1">
      <c r="A410" s="339"/>
      <c r="B410" s="339"/>
      <c r="C410" s="339"/>
      <c r="D410" s="339"/>
      <c r="E410" s="339"/>
      <c r="F410" s="339"/>
      <c r="G410" s="339"/>
      <c r="H410" s="339"/>
      <c r="I410" s="341"/>
      <c r="J410" s="340"/>
      <c r="K410" s="339"/>
      <c r="L410" s="341"/>
      <c r="M410" s="339"/>
      <c r="N410" s="339"/>
      <c r="O410" s="341"/>
      <c r="P410" s="339"/>
      <c r="Q410" s="341"/>
      <c r="R410" s="339"/>
      <c r="S410" s="341"/>
      <c r="T410" s="339"/>
      <c r="U410" s="339"/>
      <c r="V410" s="339"/>
      <c r="W410" s="339"/>
      <c r="X410" s="339"/>
      <c r="Y410" s="339"/>
      <c r="Z410" s="339"/>
    </row>
    <row r="411" spans="1:26" ht="15.75" customHeight="1">
      <c r="A411" s="339"/>
      <c r="B411" s="339"/>
      <c r="C411" s="339"/>
      <c r="D411" s="339"/>
      <c r="E411" s="339"/>
      <c r="F411" s="339"/>
      <c r="G411" s="339"/>
      <c r="H411" s="339"/>
      <c r="I411" s="341"/>
      <c r="J411" s="340"/>
      <c r="K411" s="339"/>
      <c r="L411" s="341"/>
      <c r="M411" s="339"/>
      <c r="N411" s="339"/>
      <c r="O411" s="341"/>
      <c r="P411" s="339"/>
      <c r="Q411" s="341"/>
      <c r="R411" s="339"/>
      <c r="S411" s="341"/>
      <c r="T411" s="339"/>
      <c r="U411" s="339"/>
      <c r="V411" s="339"/>
      <c r="W411" s="339"/>
      <c r="X411" s="339"/>
      <c r="Y411" s="339"/>
      <c r="Z411" s="339"/>
    </row>
    <row r="412" spans="1:26" ht="15.75" customHeight="1">
      <c r="A412" s="339"/>
      <c r="B412" s="339"/>
      <c r="C412" s="339"/>
      <c r="D412" s="339"/>
      <c r="E412" s="339"/>
      <c r="F412" s="339"/>
      <c r="G412" s="339"/>
      <c r="H412" s="339"/>
      <c r="I412" s="341"/>
      <c r="J412" s="340"/>
      <c r="K412" s="339"/>
      <c r="L412" s="341"/>
      <c r="M412" s="339"/>
      <c r="N412" s="339"/>
      <c r="O412" s="341"/>
      <c r="P412" s="339"/>
      <c r="Q412" s="341"/>
      <c r="R412" s="339"/>
      <c r="S412" s="341"/>
      <c r="T412" s="339"/>
      <c r="U412" s="339"/>
      <c r="V412" s="339"/>
      <c r="W412" s="339"/>
      <c r="X412" s="339"/>
      <c r="Y412" s="339"/>
      <c r="Z412" s="339"/>
    </row>
    <row r="413" spans="1:26" ht="15.75" customHeight="1">
      <c r="A413" s="339"/>
      <c r="B413" s="339"/>
      <c r="C413" s="339"/>
      <c r="D413" s="339"/>
      <c r="E413" s="339"/>
      <c r="F413" s="339"/>
      <c r="G413" s="339"/>
      <c r="H413" s="339"/>
      <c r="I413" s="341"/>
      <c r="J413" s="340"/>
      <c r="K413" s="339"/>
      <c r="L413" s="341"/>
      <c r="M413" s="339"/>
      <c r="N413" s="339"/>
      <c r="O413" s="341"/>
      <c r="P413" s="339"/>
      <c r="Q413" s="341"/>
      <c r="R413" s="339"/>
      <c r="S413" s="341"/>
      <c r="T413" s="339"/>
      <c r="U413" s="339"/>
      <c r="V413" s="339"/>
      <c r="W413" s="339"/>
      <c r="X413" s="339"/>
      <c r="Y413" s="339"/>
      <c r="Z413" s="339"/>
    </row>
    <row r="414" spans="1:26" ht="15.75" customHeight="1">
      <c r="A414" s="339"/>
      <c r="B414" s="339"/>
      <c r="C414" s="339"/>
      <c r="D414" s="339"/>
      <c r="E414" s="339"/>
      <c r="F414" s="339"/>
      <c r="G414" s="339"/>
      <c r="H414" s="339"/>
      <c r="I414" s="341"/>
      <c r="J414" s="340"/>
      <c r="K414" s="339"/>
      <c r="L414" s="341"/>
      <c r="M414" s="339"/>
      <c r="N414" s="339"/>
      <c r="O414" s="341"/>
      <c r="P414" s="339"/>
      <c r="Q414" s="341"/>
      <c r="R414" s="339"/>
      <c r="S414" s="341"/>
      <c r="T414" s="339"/>
      <c r="U414" s="339"/>
      <c r="V414" s="339"/>
      <c r="W414" s="339"/>
      <c r="X414" s="339"/>
      <c r="Y414" s="339"/>
      <c r="Z414" s="339"/>
    </row>
    <row r="415" spans="1:26" ht="15.75" customHeight="1">
      <c r="A415" s="339"/>
      <c r="B415" s="339"/>
      <c r="C415" s="339"/>
      <c r="D415" s="339"/>
      <c r="E415" s="339"/>
      <c r="F415" s="339"/>
      <c r="G415" s="339"/>
      <c r="H415" s="339"/>
      <c r="I415" s="341"/>
      <c r="J415" s="340"/>
      <c r="K415" s="339"/>
      <c r="L415" s="341"/>
      <c r="M415" s="339"/>
      <c r="N415" s="339"/>
      <c r="O415" s="341"/>
      <c r="P415" s="339"/>
      <c r="Q415" s="341"/>
      <c r="R415" s="339"/>
      <c r="S415" s="341"/>
      <c r="T415" s="339"/>
      <c r="U415" s="339"/>
      <c r="V415" s="339"/>
      <c r="W415" s="339"/>
      <c r="X415" s="339"/>
      <c r="Y415" s="339"/>
      <c r="Z415" s="339"/>
    </row>
    <row r="416" spans="1:26" ht="15.75" customHeight="1">
      <c r="A416" s="339"/>
      <c r="B416" s="339"/>
      <c r="C416" s="339"/>
      <c r="D416" s="339"/>
      <c r="E416" s="339"/>
      <c r="F416" s="339"/>
      <c r="G416" s="339"/>
      <c r="H416" s="339"/>
      <c r="I416" s="341"/>
      <c r="J416" s="340"/>
      <c r="K416" s="339"/>
      <c r="L416" s="341"/>
      <c r="M416" s="339"/>
      <c r="N416" s="339"/>
      <c r="O416" s="341"/>
      <c r="P416" s="339"/>
      <c r="Q416" s="341"/>
      <c r="R416" s="339"/>
      <c r="S416" s="341"/>
      <c r="T416" s="339"/>
      <c r="U416" s="339"/>
      <c r="V416" s="339"/>
      <c r="W416" s="339"/>
      <c r="X416" s="339"/>
      <c r="Y416" s="339"/>
      <c r="Z416" s="339"/>
    </row>
    <row r="417" spans="1:26" ht="15.75" customHeight="1">
      <c r="A417" s="339"/>
      <c r="B417" s="339"/>
      <c r="C417" s="339"/>
      <c r="D417" s="339"/>
      <c r="E417" s="339"/>
      <c r="F417" s="339"/>
      <c r="G417" s="339"/>
      <c r="H417" s="339"/>
      <c r="I417" s="341"/>
      <c r="J417" s="340"/>
      <c r="K417" s="339"/>
      <c r="L417" s="341"/>
      <c r="M417" s="339"/>
      <c r="N417" s="339"/>
      <c r="O417" s="341"/>
      <c r="P417" s="339"/>
      <c r="Q417" s="341"/>
      <c r="R417" s="339"/>
      <c r="S417" s="341"/>
      <c r="T417" s="339"/>
      <c r="U417" s="339"/>
      <c r="V417" s="339"/>
      <c r="W417" s="339"/>
      <c r="X417" s="339"/>
      <c r="Y417" s="339"/>
      <c r="Z417" s="339"/>
    </row>
    <row r="418" spans="1:26" ht="15.75" customHeight="1">
      <c r="A418" s="339"/>
      <c r="B418" s="339"/>
      <c r="C418" s="339"/>
      <c r="D418" s="339"/>
      <c r="E418" s="339"/>
      <c r="F418" s="339"/>
      <c r="G418" s="339"/>
      <c r="H418" s="339"/>
      <c r="I418" s="341"/>
      <c r="J418" s="340"/>
      <c r="K418" s="339"/>
      <c r="L418" s="341"/>
      <c r="M418" s="339"/>
      <c r="N418" s="339"/>
      <c r="O418" s="341"/>
      <c r="P418" s="339"/>
      <c r="Q418" s="341"/>
      <c r="R418" s="339"/>
      <c r="S418" s="341"/>
      <c r="T418" s="339"/>
      <c r="U418" s="339"/>
      <c r="V418" s="339"/>
      <c r="W418" s="339"/>
      <c r="X418" s="339"/>
      <c r="Y418" s="339"/>
      <c r="Z418" s="339"/>
    </row>
    <row r="419" spans="1:26" ht="15.75" customHeight="1">
      <c r="A419" s="339"/>
      <c r="B419" s="339"/>
      <c r="C419" s="339"/>
      <c r="D419" s="339"/>
      <c r="E419" s="339"/>
      <c r="F419" s="339"/>
      <c r="G419" s="339"/>
      <c r="H419" s="339"/>
      <c r="I419" s="341"/>
      <c r="J419" s="340"/>
      <c r="K419" s="339"/>
      <c r="L419" s="341"/>
      <c r="M419" s="339"/>
      <c r="N419" s="339"/>
      <c r="O419" s="341"/>
      <c r="P419" s="339"/>
      <c r="Q419" s="341"/>
      <c r="R419" s="339"/>
      <c r="S419" s="341"/>
      <c r="T419" s="339"/>
      <c r="U419" s="339"/>
      <c r="V419" s="339"/>
      <c r="W419" s="339"/>
      <c r="X419" s="339"/>
      <c r="Y419" s="339"/>
      <c r="Z419" s="339"/>
    </row>
    <row r="420" spans="1:26" ht="15.75" customHeight="1">
      <c r="A420" s="339"/>
      <c r="B420" s="339"/>
      <c r="C420" s="339"/>
      <c r="D420" s="339"/>
      <c r="E420" s="339"/>
      <c r="F420" s="339"/>
      <c r="G420" s="339"/>
      <c r="H420" s="339"/>
      <c r="I420" s="341"/>
      <c r="J420" s="340"/>
      <c r="K420" s="339"/>
      <c r="L420" s="341"/>
      <c r="M420" s="339"/>
      <c r="N420" s="339"/>
      <c r="O420" s="341"/>
      <c r="P420" s="339"/>
      <c r="Q420" s="341"/>
      <c r="R420" s="339"/>
      <c r="S420" s="341"/>
      <c r="T420" s="339"/>
      <c r="U420" s="339"/>
      <c r="V420" s="339"/>
      <c r="W420" s="339"/>
      <c r="X420" s="339"/>
      <c r="Y420" s="339"/>
      <c r="Z420" s="339"/>
    </row>
    <row r="421" spans="1:26" ht="15.75" customHeight="1">
      <c r="A421" s="339"/>
      <c r="B421" s="339"/>
      <c r="C421" s="339"/>
      <c r="D421" s="339"/>
      <c r="E421" s="339"/>
      <c r="F421" s="339"/>
      <c r="G421" s="339"/>
      <c r="H421" s="339"/>
      <c r="I421" s="341"/>
      <c r="J421" s="340"/>
      <c r="K421" s="339"/>
      <c r="L421" s="341"/>
      <c r="M421" s="339"/>
      <c r="N421" s="339"/>
      <c r="O421" s="341"/>
      <c r="P421" s="339"/>
      <c r="Q421" s="341"/>
      <c r="R421" s="339"/>
      <c r="S421" s="341"/>
      <c r="T421" s="339"/>
      <c r="U421" s="339"/>
      <c r="V421" s="339"/>
      <c r="W421" s="339"/>
      <c r="X421" s="339"/>
      <c r="Y421" s="339"/>
      <c r="Z421" s="339"/>
    </row>
    <row r="422" spans="1:26" ht="15.75" customHeight="1">
      <c r="A422" s="339"/>
      <c r="B422" s="339"/>
      <c r="C422" s="339"/>
      <c r="D422" s="339"/>
      <c r="E422" s="339"/>
      <c r="F422" s="339"/>
      <c r="G422" s="339"/>
      <c r="H422" s="339"/>
      <c r="I422" s="341"/>
      <c r="J422" s="340"/>
      <c r="K422" s="339"/>
      <c r="L422" s="341"/>
      <c r="M422" s="339"/>
      <c r="N422" s="339"/>
      <c r="O422" s="341"/>
      <c r="P422" s="339"/>
      <c r="Q422" s="341"/>
      <c r="R422" s="339"/>
      <c r="S422" s="341"/>
      <c r="T422" s="339"/>
      <c r="U422" s="339"/>
      <c r="V422" s="339"/>
      <c r="W422" s="339"/>
      <c r="X422" s="339"/>
      <c r="Y422" s="339"/>
      <c r="Z422" s="339"/>
    </row>
    <row r="423" spans="1:26" ht="15.75" customHeight="1">
      <c r="A423" s="339"/>
      <c r="B423" s="339"/>
      <c r="C423" s="339"/>
      <c r="D423" s="339"/>
      <c r="E423" s="339"/>
      <c r="F423" s="339"/>
      <c r="G423" s="339"/>
      <c r="H423" s="339"/>
      <c r="I423" s="341"/>
      <c r="J423" s="340"/>
      <c r="K423" s="339"/>
      <c r="L423" s="341"/>
      <c r="M423" s="339"/>
      <c r="N423" s="339"/>
      <c r="O423" s="341"/>
      <c r="P423" s="339"/>
      <c r="Q423" s="341"/>
      <c r="R423" s="339"/>
      <c r="S423" s="341"/>
      <c r="T423" s="339"/>
      <c r="U423" s="339"/>
      <c r="V423" s="339"/>
      <c r="W423" s="339"/>
      <c r="X423" s="339"/>
      <c r="Y423" s="339"/>
      <c r="Z423" s="339"/>
    </row>
    <row r="424" spans="1:26" ht="15.75" customHeight="1">
      <c r="A424" s="339"/>
      <c r="B424" s="339"/>
      <c r="C424" s="339"/>
      <c r="D424" s="339"/>
      <c r="E424" s="339"/>
      <c r="F424" s="339"/>
      <c r="G424" s="339"/>
      <c r="H424" s="339"/>
      <c r="I424" s="341"/>
      <c r="J424" s="340"/>
      <c r="K424" s="339"/>
      <c r="L424" s="341"/>
      <c r="M424" s="339"/>
      <c r="N424" s="339"/>
      <c r="O424" s="341"/>
      <c r="P424" s="339"/>
      <c r="Q424" s="341"/>
      <c r="R424" s="339"/>
      <c r="S424" s="341"/>
      <c r="T424" s="339"/>
      <c r="U424" s="339"/>
      <c r="V424" s="339"/>
      <c r="W424" s="339"/>
      <c r="X424" s="339"/>
      <c r="Y424" s="339"/>
      <c r="Z424" s="339"/>
    </row>
    <row r="425" spans="1:26" ht="15.75" customHeight="1">
      <c r="A425" s="339"/>
      <c r="B425" s="339"/>
      <c r="C425" s="339"/>
      <c r="D425" s="339"/>
      <c r="E425" s="339"/>
      <c r="F425" s="339"/>
      <c r="G425" s="339"/>
      <c r="H425" s="339"/>
      <c r="I425" s="341"/>
      <c r="J425" s="340"/>
      <c r="K425" s="339"/>
      <c r="L425" s="341"/>
      <c r="M425" s="339"/>
      <c r="N425" s="339"/>
      <c r="O425" s="341"/>
      <c r="P425" s="339"/>
      <c r="Q425" s="341"/>
      <c r="R425" s="339"/>
      <c r="S425" s="341"/>
      <c r="T425" s="339"/>
      <c r="U425" s="339"/>
      <c r="V425" s="339"/>
      <c r="W425" s="339"/>
      <c r="X425" s="339"/>
      <c r="Y425" s="339"/>
      <c r="Z425" s="339"/>
    </row>
    <row r="426" spans="1:26" ht="15.75" customHeight="1">
      <c r="A426" s="339"/>
      <c r="B426" s="339"/>
      <c r="C426" s="339"/>
      <c r="D426" s="339"/>
      <c r="E426" s="339"/>
      <c r="F426" s="339"/>
      <c r="G426" s="339"/>
      <c r="H426" s="339"/>
      <c r="I426" s="341"/>
      <c r="J426" s="340"/>
      <c r="K426" s="339"/>
      <c r="L426" s="341"/>
      <c r="M426" s="339"/>
      <c r="N426" s="339"/>
      <c r="O426" s="341"/>
      <c r="P426" s="339"/>
      <c r="Q426" s="341"/>
      <c r="R426" s="339"/>
      <c r="S426" s="341"/>
      <c r="T426" s="339"/>
      <c r="U426" s="339"/>
      <c r="V426" s="339"/>
      <c r="W426" s="339"/>
      <c r="X426" s="339"/>
      <c r="Y426" s="339"/>
      <c r="Z426" s="339"/>
    </row>
    <row r="427" spans="1:26" ht="15.75" customHeight="1">
      <c r="A427" s="339"/>
      <c r="B427" s="339"/>
      <c r="C427" s="339"/>
      <c r="D427" s="339"/>
      <c r="E427" s="339"/>
      <c r="F427" s="339"/>
      <c r="G427" s="339"/>
      <c r="H427" s="339"/>
      <c r="I427" s="341"/>
      <c r="J427" s="340"/>
      <c r="K427" s="339"/>
      <c r="L427" s="341"/>
      <c r="M427" s="339"/>
      <c r="N427" s="339"/>
      <c r="O427" s="341"/>
      <c r="P427" s="339"/>
      <c r="Q427" s="341"/>
      <c r="R427" s="339"/>
      <c r="S427" s="341"/>
      <c r="T427" s="339"/>
      <c r="U427" s="339"/>
      <c r="V427" s="339"/>
      <c r="W427" s="339"/>
      <c r="X427" s="339"/>
      <c r="Y427" s="339"/>
      <c r="Z427" s="339"/>
    </row>
    <row r="428" spans="1:26" ht="15.75" customHeight="1">
      <c r="A428" s="339"/>
      <c r="B428" s="339"/>
      <c r="C428" s="339"/>
      <c r="D428" s="339"/>
      <c r="E428" s="339"/>
      <c r="F428" s="339"/>
      <c r="G428" s="339"/>
      <c r="H428" s="339"/>
      <c r="I428" s="341"/>
      <c r="J428" s="340"/>
      <c r="K428" s="339"/>
      <c r="L428" s="341"/>
      <c r="M428" s="339"/>
      <c r="N428" s="339"/>
      <c r="O428" s="341"/>
      <c r="P428" s="339"/>
      <c r="Q428" s="341"/>
      <c r="R428" s="339"/>
      <c r="S428" s="341"/>
      <c r="T428" s="339"/>
      <c r="U428" s="339"/>
      <c r="V428" s="339"/>
      <c r="W428" s="339"/>
      <c r="X428" s="339"/>
      <c r="Y428" s="339"/>
      <c r="Z428" s="339"/>
    </row>
    <row r="429" spans="1:26" ht="15.75" customHeight="1">
      <c r="A429" s="339"/>
      <c r="B429" s="339"/>
      <c r="C429" s="339"/>
      <c r="D429" s="339"/>
      <c r="E429" s="339"/>
      <c r="F429" s="339"/>
      <c r="G429" s="339"/>
      <c r="H429" s="339"/>
      <c r="I429" s="341"/>
      <c r="J429" s="340"/>
      <c r="K429" s="339"/>
      <c r="L429" s="341"/>
      <c r="M429" s="339"/>
      <c r="N429" s="339"/>
      <c r="O429" s="341"/>
      <c r="P429" s="339"/>
      <c r="Q429" s="341"/>
      <c r="R429" s="339"/>
      <c r="S429" s="341"/>
      <c r="T429" s="339"/>
      <c r="U429" s="339"/>
      <c r="V429" s="339"/>
      <c r="W429" s="339"/>
      <c r="X429" s="339"/>
      <c r="Y429" s="339"/>
      <c r="Z429" s="339"/>
    </row>
    <row r="430" spans="1:26" ht="15.75" customHeight="1">
      <c r="A430" s="339"/>
      <c r="B430" s="339"/>
      <c r="C430" s="339"/>
      <c r="D430" s="339"/>
      <c r="E430" s="339"/>
      <c r="F430" s="339"/>
      <c r="G430" s="339"/>
      <c r="H430" s="339"/>
      <c r="I430" s="341"/>
      <c r="J430" s="340"/>
      <c r="K430" s="339"/>
      <c r="L430" s="341"/>
      <c r="M430" s="339"/>
      <c r="N430" s="339"/>
      <c r="O430" s="341"/>
      <c r="P430" s="339"/>
      <c r="Q430" s="341"/>
      <c r="R430" s="339"/>
      <c r="S430" s="341"/>
      <c r="T430" s="339"/>
      <c r="U430" s="339"/>
      <c r="V430" s="339"/>
      <c r="W430" s="339"/>
      <c r="X430" s="339"/>
      <c r="Y430" s="339"/>
      <c r="Z430" s="339"/>
    </row>
    <row r="431" spans="1:26" ht="15.75" customHeight="1">
      <c r="A431" s="339"/>
      <c r="B431" s="339"/>
      <c r="C431" s="339"/>
      <c r="D431" s="339"/>
      <c r="E431" s="339"/>
      <c r="F431" s="339"/>
      <c r="G431" s="339"/>
      <c r="H431" s="339"/>
      <c r="I431" s="341"/>
      <c r="J431" s="340"/>
      <c r="K431" s="339"/>
      <c r="L431" s="341"/>
      <c r="M431" s="339"/>
      <c r="N431" s="339"/>
      <c r="O431" s="341"/>
      <c r="P431" s="339"/>
      <c r="Q431" s="341"/>
      <c r="R431" s="339"/>
      <c r="S431" s="341"/>
      <c r="T431" s="339"/>
      <c r="U431" s="339"/>
      <c r="V431" s="339"/>
      <c r="W431" s="339"/>
      <c r="X431" s="339"/>
      <c r="Y431" s="339"/>
      <c r="Z431" s="339"/>
    </row>
    <row r="432" spans="1:26" ht="15.75" customHeight="1">
      <c r="A432" s="339"/>
      <c r="B432" s="339"/>
      <c r="C432" s="339"/>
      <c r="D432" s="339"/>
      <c r="E432" s="339"/>
      <c r="F432" s="339"/>
      <c r="G432" s="339"/>
      <c r="H432" s="339"/>
      <c r="I432" s="341"/>
      <c r="J432" s="340"/>
      <c r="K432" s="339"/>
      <c r="L432" s="341"/>
      <c r="M432" s="339"/>
      <c r="N432" s="339"/>
      <c r="O432" s="341"/>
      <c r="P432" s="339"/>
      <c r="Q432" s="341"/>
      <c r="R432" s="339"/>
      <c r="S432" s="341"/>
      <c r="T432" s="339"/>
      <c r="U432" s="339"/>
      <c r="V432" s="339"/>
      <c r="W432" s="339"/>
      <c r="X432" s="339"/>
      <c r="Y432" s="339"/>
      <c r="Z432" s="339"/>
    </row>
    <row r="433" spans="1:26" ht="15.75" customHeight="1">
      <c r="A433" s="339"/>
      <c r="B433" s="339"/>
      <c r="C433" s="339"/>
      <c r="D433" s="339"/>
      <c r="E433" s="339"/>
      <c r="F433" s="339"/>
      <c r="G433" s="339"/>
      <c r="H433" s="339"/>
      <c r="I433" s="341"/>
      <c r="J433" s="340"/>
      <c r="K433" s="339"/>
      <c r="L433" s="341"/>
      <c r="M433" s="339"/>
      <c r="N433" s="339"/>
      <c r="O433" s="341"/>
      <c r="P433" s="339"/>
      <c r="Q433" s="341"/>
      <c r="R433" s="339"/>
      <c r="S433" s="341"/>
      <c r="T433" s="339"/>
      <c r="U433" s="339"/>
      <c r="V433" s="339"/>
      <c r="W433" s="339"/>
      <c r="X433" s="339"/>
      <c r="Y433" s="339"/>
      <c r="Z433" s="339"/>
    </row>
    <row r="434" spans="1:26" ht="15.75" customHeight="1">
      <c r="A434" s="339"/>
      <c r="B434" s="339"/>
      <c r="C434" s="339"/>
      <c r="D434" s="339"/>
      <c r="E434" s="339"/>
      <c r="F434" s="339"/>
      <c r="G434" s="339"/>
      <c r="H434" s="339"/>
      <c r="I434" s="341"/>
      <c r="J434" s="340"/>
      <c r="K434" s="339"/>
      <c r="L434" s="341"/>
      <c r="M434" s="339"/>
      <c r="N434" s="339"/>
      <c r="O434" s="341"/>
      <c r="P434" s="339"/>
      <c r="Q434" s="341"/>
      <c r="R434" s="339"/>
      <c r="S434" s="341"/>
      <c r="T434" s="339"/>
      <c r="U434" s="339"/>
      <c r="V434" s="339"/>
      <c r="W434" s="339"/>
      <c r="X434" s="339"/>
      <c r="Y434" s="339"/>
      <c r="Z434" s="339"/>
    </row>
    <row r="435" spans="1:26" ht="15.75" customHeight="1">
      <c r="A435" s="339"/>
      <c r="B435" s="339"/>
      <c r="C435" s="339"/>
      <c r="D435" s="339"/>
      <c r="E435" s="339"/>
      <c r="F435" s="339"/>
      <c r="G435" s="339"/>
      <c r="H435" s="339"/>
      <c r="I435" s="341"/>
      <c r="J435" s="340"/>
      <c r="K435" s="339"/>
      <c r="L435" s="341"/>
      <c r="M435" s="339"/>
      <c r="N435" s="339"/>
      <c r="O435" s="341"/>
      <c r="P435" s="339"/>
      <c r="Q435" s="341"/>
      <c r="R435" s="339"/>
      <c r="S435" s="341"/>
      <c r="T435" s="339"/>
      <c r="U435" s="339"/>
      <c r="V435" s="339"/>
      <c r="W435" s="339"/>
      <c r="X435" s="339"/>
      <c r="Y435" s="339"/>
      <c r="Z435" s="339"/>
    </row>
    <row r="436" spans="1:26" ht="15.75" customHeight="1">
      <c r="A436" s="339"/>
      <c r="B436" s="339"/>
      <c r="C436" s="339"/>
      <c r="D436" s="339"/>
      <c r="E436" s="339"/>
      <c r="F436" s="339"/>
      <c r="G436" s="339"/>
      <c r="H436" s="339"/>
      <c r="I436" s="341"/>
      <c r="J436" s="340"/>
      <c r="K436" s="339"/>
      <c r="L436" s="341"/>
      <c r="M436" s="339"/>
      <c r="N436" s="339"/>
      <c r="O436" s="341"/>
      <c r="P436" s="339"/>
      <c r="Q436" s="341"/>
      <c r="R436" s="339"/>
      <c r="S436" s="341"/>
      <c r="T436" s="339"/>
      <c r="U436" s="339"/>
      <c r="V436" s="339"/>
      <c r="W436" s="339"/>
      <c r="X436" s="339"/>
      <c r="Y436" s="339"/>
      <c r="Z436" s="339"/>
    </row>
    <row r="437" spans="1:26" ht="15.75" customHeight="1">
      <c r="A437" s="339"/>
      <c r="B437" s="339"/>
      <c r="C437" s="339"/>
      <c r="D437" s="339"/>
      <c r="E437" s="339"/>
      <c r="F437" s="339"/>
      <c r="G437" s="339"/>
      <c r="H437" s="339"/>
      <c r="I437" s="341"/>
      <c r="J437" s="340"/>
      <c r="K437" s="339"/>
      <c r="L437" s="341"/>
      <c r="M437" s="339"/>
      <c r="N437" s="339"/>
      <c r="O437" s="341"/>
      <c r="P437" s="339"/>
      <c r="Q437" s="341"/>
      <c r="R437" s="339"/>
      <c r="S437" s="341"/>
      <c r="T437" s="339"/>
      <c r="U437" s="339"/>
      <c r="V437" s="339"/>
      <c r="W437" s="339"/>
      <c r="X437" s="339"/>
      <c r="Y437" s="339"/>
      <c r="Z437" s="339"/>
    </row>
    <row r="438" spans="1:26" ht="15.75" customHeight="1">
      <c r="A438" s="339"/>
      <c r="B438" s="339"/>
      <c r="C438" s="339"/>
      <c r="D438" s="339"/>
      <c r="E438" s="339"/>
      <c r="F438" s="339"/>
      <c r="G438" s="339"/>
      <c r="H438" s="339"/>
      <c r="I438" s="341"/>
      <c r="J438" s="340"/>
      <c r="K438" s="339"/>
      <c r="L438" s="341"/>
      <c r="M438" s="339"/>
      <c r="N438" s="339"/>
      <c r="O438" s="341"/>
      <c r="P438" s="339"/>
      <c r="Q438" s="341"/>
      <c r="R438" s="339"/>
      <c r="S438" s="341"/>
      <c r="T438" s="339"/>
      <c r="U438" s="339"/>
      <c r="V438" s="339"/>
      <c r="W438" s="339"/>
      <c r="X438" s="339"/>
      <c r="Y438" s="339"/>
      <c r="Z438" s="339"/>
    </row>
    <row r="439" spans="1:26" ht="15.75" customHeight="1">
      <c r="A439" s="339"/>
      <c r="B439" s="339"/>
      <c r="C439" s="339"/>
      <c r="D439" s="339"/>
      <c r="E439" s="339"/>
      <c r="F439" s="339"/>
      <c r="G439" s="339"/>
      <c r="H439" s="339"/>
      <c r="I439" s="341"/>
      <c r="J439" s="340"/>
      <c r="K439" s="339"/>
      <c r="L439" s="341"/>
      <c r="M439" s="339"/>
      <c r="N439" s="339"/>
      <c r="O439" s="341"/>
      <c r="P439" s="339"/>
      <c r="Q439" s="341"/>
      <c r="R439" s="339"/>
      <c r="S439" s="341"/>
      <c r="T439" s="339"/>
      <c r="U439" s="339"/>
      <c r="V439" s="339"/>
      <c r="W439" s="339"/>
      <c r="X439" s="339"/>
      <c r="Y439" s="339"/>
      <c r="Z439" s="339"/>
    </row>
    <row r="440" spans="1:26" ht="15.75" customHeight="1">
      <c r="A440" s="339"/>
      <c r="B440" s="339"/>
      <c r="C440" s="339"/>
      <c r="D440" s="339"/>
      <c r="E440" s="339"/>
      <c r="F440" s="339"/>
      <c r="G440" s="339"/>
      <c r="H440" s="339"/>
      <c r="I440" s="341"/>
      <c r="J440" s="340"/>
      <c r="K440" s="339"/>
      <c r="L440" s="341"/>
      <c r="M440" s="339"/>
      <c r="N440" s="339"/>
      <c r="O440" s="341"/>
      <c r="P440" s="339"/>
      <c r="Q440" s="341"/>
      <c r="R440" s="339"/>
      <c r="S440" s="341"/>
      <c r="T440" s="339"/>
      <c r="U440" s="339"/>
      <c r="V440" s="339"/>
      <c r="W440" s="339"/>
      <c r="X440" s="339"/>
      <c r="Y440" s="339"/>
      <c r="Z440" s="339"/>
    </row>
    <row r="441" spans="1:26" ht="15.75" customHeight="1">
      <c r="A441" s="339"/>
      <c r="B441" s="339"/>
      <c r="C441" s="339"/>
      <c r="D441" s="339"/>
      <c r="E441" s="339"/>
      <c r="F441" s="339"/>
      <c r="G441" s="339"/>
      <c r="H441" s="339"/>
      <c r="I441" s="341"/>
      <c r="J441" s="340"/>
      <c r="K441" s="339"/>
      <c r="L441" s="341"/>
      <c r="M441" s="339"/>
      <c r="N441" s="339"/>
      <c r="O441" s="341"/>
      <c r="P441" s="339"/>
      <c r="Q441" s="341"/>
      <c r="R441" s="339"/>
      <c r="S441" s="341"/>
      <c r="T441" s="339"/>
      <c r="U441" s="339"/>
      <c r="V441" s="339"/>
      <c r="W441" s="339"/>
      <c r="X441" s="339"/>
      <c r="Y441" s="339"/>
      <c r="Z441" s="339"/>
    </row>
    <row r="442" spans="1:26" ht="15.75" customHeight="1">
      <c r="A442" s="339"/>
      <c r="B442" s="339"/>
      <c r="C442" s="339"/>
      <c r="D442" s="339"/>
      <c r="E442" s="339"/>
      <c r="F442" s="339"/>
      <c r="G442" s="339"/>
      <c r="H442" s="339"/>
      <c r="I442" s="341"/>
      <c r="J442" s="340"/>
      <c r="K442" s="339"/>
      <c r="L442" s="341"/>
      <c r="M442" s="339"/>
      <c r="N442" s="339"/>
      <c r="O442" s="341"/>
      <c r="P442" s="339"/>
      <c r="Q442" s="341"/>
      <c r="R442" s="339"/>
      <c r="S442" s="341"/>
      <c r="T442" s="339"/>
      <c r="U442" s="339"/>
      <c r="V442" s="339"/>
      <c r="W442" s="339"/>
      <c r="X442" s="339"/>
      <c r="Y442" s="339"/>
      <c r="Z442" s="339"/>
    </row>
    <row r="443" spans="1:26" ht="15.75" customHeight="1">
      <c r="A443" s="339"/>
      <c r="B443" s="339"/>
      <c r="C443" s="339"/>
      <c r="D443" s="339"/>
      <c r="E443" s="339"/>
      <c r="F443" s="339"/>
      <c r="G443" s="339"/>
      <c r="H443" s="339"/>
      <c r="I443" s="341"/>
      <c r="J443" s="340"/>
      <c r="K443" s="339"/>
      <c r="L443" s="341"/>
      <c r="M443" s="339"/>
      <c r="N443" s="339"/>
      <c r="O443" s="341"/>
      <c r="P443" s="339"/>
      <c r="Q443" s="341"/>
      <c r="R443" s="339"/>
      <c r="S443" s="341"/>
      <c r="T443" s="339"/>
      <c r="U443" s="339"/>
      <c r="V443" s="339"/>
      <c r="W443" s="339"/>
      <c r="X443" s="339"/>
      <c r="Y443" s="339"/>
      <c r="Z443" s="339"/>
    </row>
    <row r="444" spans="1:26" ht="15.75" customHeight="1">
      <c r="A444" s="339"/>
      <c r="B444" s="339"/>
      <c r="C444" s="339"/>
      <c r="D444" s="339"/>
      <c r="E444" s="339"/>
      <c r="F444" s="339"/>
      <c r="G444" s="339"/>
      <c r="H444" s="339"/>
      <c r="I444" s="341"/>
      <c r="J444" s="340"/>
      <c r="K444" s="339"/>
      <c r="L444" s="341"/>
      <c r="M444" s="339"/>
      <c r="N444" s="339"/>
      <c r="O444" s="341"/>
      <c r="P444" s="339"/>
      <c r="Q444" s="341"/>
      <c r="R444" s="339"/>
      <c r="S444" s="341"/>
      <c r="T444" s="339"/>
      <c r="U444" s="339"/>
      <c r="V444" s="339"/>
      <c r="W444" s="339"/>
      <c r="X444" s="339"/>
      <c r="Y444" s="339"/>
      <c r="Z444" s="339"/>
    </row>
    <row r="445" spans="1:26" ht="15.75" customHeight="1">
      <c r="A445" s="339"/>
      <c r="B445" s="339"/>
      <c r="C445" s="339"/>
      <c r="D445" s="339"/>
      <c r="E445" s="339"/>
      <c r="F445" s="339"/>
      <c r="G445" s="339"/>
      <c r="H445" s="339"/>
      <c r="I445" s="341"/>
      <c r="J445" s="340"/>
      <c r="K445" s="339"/>
      <c r="L445" s="341"/>
      <c r="M445" s="339"/>
      <c r="N445" s="339"/>
      <c r="O445" s="341"/>
      <c r="P445" s="339"/>
      <c r="Q445" s="341"/>
      <c r="R445" s="339"/>
      <c r="S445" s="341"/>
      <c r="T445" s="339"/>
      <c r="U445" s="339"/>
      <c r="V445" s="339"/>
      <c r="W445" s="339"/>
      <c r="X445" s="339"/>
      <c r="Y445" s="339"/>
      <c r="Z445" s="339"/>
    </row>
    <row r="446" spans="1:26" ht="15.75" customHeight="1">
      <c r="A446" s="339"/>
      <c r="B446" s="339"/>
      <c r="C446" s="339"/>
      <c r="D446" s="339"/>
      <c r="E446" s="339"/>
      <c r="F446" s="339"/>
      <c r="G446" s="339"/>
      <c r="H446" s="339"/>
      <c r="I446" s="341"/>
      <c r="J446" s="340"/>
      <c r="K446" s="339"/>
      <c r="L446" s="341"/>
      <c r="M446" s="339"/>
      <c r="N446" s="339"/>
      <c r="O446" s="341"/>
      <c r="P446" s="339"/>
      <c r="Q446" s="341"/>
      <c r="R446" s="339"/>
      <c r="S446" s="341"/>
      <c r="T446" s="339"/>
      <c r="U446" s="339"/>
      <c r="V446" s="339"/>
      <c r="W446" s="339"/>
      <c r="X446" s="339"/>
      <c r="Y446" s="339"/>
      <c r="Z446" s="339"/>
    </row>
    <row r="447" spans="1:26" ht="15.75" customHeight="1">
      <c r="A447" s="339"/>
      <c r="B447" s="339"/>
      <c r="C447" s="339"/>
      <c r="D447" s="339"/>
      <c r="E447" s="339"/>
      <c r="F447" s="339"/>
      <c r="G447" s="339"/>
      <c r="H447" s="339"/>
      <c r="I447" s="341"/>
      <c r="J447" s="340"/>
      <c r="K447" s="339"/>
      <c r="L447" s="341"/>
      <c r="M447" s="339"/>
      <c r="N447" s="339"/>
      <c r="O447" s="341"/>
      <c r="P447" s="339"/>
      <c r="Q447" s="341"/>
      <c r="R447" s="339"/>
      <c r="S447" s="341"/>
      <c r="T447" s="339"/>
      <c r="U447" s="339"/>
      <c r="V447" s="339"/>
      <c r="W447" s="339"/>
      <c r="X447" s="339"/>
      <c r="Y447" s="339"/>
      <c r="Z447" s="339"/>
    </row>
    <row r="448" spans="1:26" ht="15.75" customHeight="1">
      <c r="A448" s="339"/>
      <c r="B448" s="339"/>
      <c r="C448" s="339"/>
      <c r="D448" s="339"/>
      <c r="E448" s="339"/>
      <c r="F448" s="339"/>
      <c r="G448" s="339"/>
      <c r="H448" s="339"/>
      <c r="I448" s="341"/>
      <c r="J448" s="340"/>
      <c r="K448" s="339"/>
      <c r="L448" s="341"/>
      <c r="M448" s="339"/>
      <c r="N448" s="339"/>
      <c r="O448" s="341"/>
      <c r="P448" s="339"/>
      <c r="Q448" s="341"/>
      <c r="R448" s="339"/>
      <c r="S448" s="341"/>
      <c r="T448" s="339"/>
      <c r="U448" s="339"/>
      <c r="V448" s="339"/>
      <c r="W448" s="339"/>
      <c r="X448" s="339"/>
      <c r="Y448" s="339"/>
      <c r="Z448" s="339"/>
    </row>
    <row r="449" spans="1:26" ht="15.75" customHeight="1">
      <c r="A449" s="339"/>
      <c r="B449" s="339"/>
      <c r="C449" s="339"/>
      <c r="D449" s="339"/>
      <c r="E449" s="339"/>
      <c r="F449" s="339"/>
      <c r="G449" s="339"/>
      <c r="H449" s="339"/>
      <c r="I449" s="341"/>
      <c r="J449" s="340"/>
      <c r="K449" s="339"/>
      <c r="L449" s="341"/>
      <c r="M449" s="339"/>
      <c r="N449" s="339"/>
      <c r="O449" s="341"/>
      <c r="P449" s="339"/>
      <c r="Q449" s="341"/>
      <c r="R449" s="339"/>
      <c r="S449" s="341"/>
      <c r="T449" s="339"/>
      <c r="U449" s="339"/>
      <c r="V449" s="339"/>
      <c r="W449" s="339"/>
      <c r="X449" s="339"/>
      <c r="Y449" s="339"/>
      <c r="Z449" s="339"/>
    </row>
    <row r="450" spans="1:26" ht="15.75" customHeight="1">
      <c r="A450" s="339"/>
      <c r="B450" s="339"/>
      <c r="C450" s="339"/>
      <c r="D450" s="339"/>
      <c r="E450" s="339"/>
      <c r="F450" s="339"/>
      <c r="G450" s="339"/>
      <c r="H450" s="339"/>
      <c r="I450" s="341"/>
      <c r="J450" s="340"/>
      <c r="K450" s="339"/>
      <c r="L450" s="341"/>
      <c r="M450" s="339"/>
      <c r="N450" s="339"/>
      <c r="O450" s="341"/>
      <c r="P450" s="339"/>
      <c r="Q450" s="341"/>
      <c r="R450" s="339"/>
      <c r="S450" s="341"/>
      <c r="T450" s="339"/>
      <c r="U450" s="339"/>
      <c r="V450" s="339"/>
      <c r="W450" s="339"/>
      <c r="X450" s="339"/>
      <c r="Y450" s="339"/>
      <c r="Z450" s="339"/>
    </row>
    <row r="451" spans="1:26" ht="15.75" customHeight="1">
      <c r="A451" s="339"/>
      <c r="B451" s="339"/>
      <c r="C451" s="339"/>
      <c r="D451" s="339"/>
      <c r="E451" s="339"/>
      <c r="F451" s="339"/>
      <c r="G451" s="339"/>
      <c r="H451" s="339"/>
      <c r="I451" s="341"/>
      <c r="J451" s="340"/>
      <c r="K451" s="339"/>
      <c r="L451" s="341"/>
      <c r="M451" s="339"/>
      <c r="N451" s="339"/>
      <c r="O451" s="341"/>
      <c r="P451" s="339"/>
      <c r="Q451" s="341"/>
      <c r="R451" s="339"/>
      <c r="S451" s="341"/>
      <c r="T451" s="339"/>
      <c r="U451" s="339"/>
      <c r="V451" s="339"/>
      <c r="W451" s="339"/>
      <c r="X451" s="339"/>
      <c r="Y451" s="339"/>
      <c r="Z451" s="339"/>
    </row>
    <row r="452" spans="1:26" ht="15.75" customHeight="1">
      <c r="A452" s="339"/>
      <c r="B452" s="339"/>
      <c r="C452" s="339"/>
      <c r="D452" s="339"/>
      <c r="E452" s="339"/>
      <c r="F452" s="339"/>
      <c r="G452" s="339"/>
      <c r="H452" s="339"/>
      <c r="I452" s="341"/>
      <c r="J452" s="340"/>
      <c r="K452" s="339"/>
      <c r="L452" s="341"/>
      <c r="M452" s="339"/>
      <c r="N452" s="339"/>
      <c r="O452" s="341"/>
      <c r="P452" s="339"/>
      <c r="Q452" s="341"/>
      <c r="R452" s="339"/>
      <c r="S452" s="341"/>
      <c r="T452" s="339"/>
      <c r="U452" s="339"/>
      <c r="V452" s="339"/>
      <c r="W452" s="339"/>
      <c r="X452" s="339"/>
      <c r="Y452" s="339"/>
      <c r="Z452" s="339"/>
    </row>
    <row r="453" spans="1:26" ht="15.75" customHeight="1">
      <c r="A453" s="339"/>
      <c r="B453" s="339"/>
      <c r="C453" s="339"/>
      <c r="D453" s="339"/>
      <c r="E453" s="339"/>
      <c r="F453" s="339"/>
      <c r="G453" s="339"/>
      <c r="H453" s="339"/>
      <c r="I453" s="341"/>
      <c r="J453" s="340"/>
      <c r="K453" s="339"/>
      <c r="L453" s="341"/>
      <c r="M453" s="339"/>
      <c r="N453" s="339"/>
      <c r="O453" s="341"/>
      <c r="P453" s="339"/>
      <c r="Q453" s="341"/>
      <c r="R453" s="339"/>
      <c r="S453" s="341"/>
      <c r="T453" s="339"/>
      <c r="U453" s="339"/>
      <c r="V453" s="339"/>
      <c r="W453" s="339"/>
      <c r="X453" s="339"/>
      <c r="Y453" s="339"/>
      <c r="Z453" s="339"/>
    </row>
    <row r="454" spans="1:26" ht="15.75" customHeight="1">
      <c r="A454" s="339"/>
      <c r="B454" s="339"/>
      <c r="C454" s="339"/>
      <c r="D454" s="339"/>
      <c r="E454" s="339"/>
      <c r="F454" s="339"/>
      <c r="G454" s="339"/>
      <c r="H454" s="339"/>
      <c r="I454" s="341"/>
      <c r="J454" s="340"/>
      <c r="K454" s="339"/>
      <c r="L454" s="341"/>
      <c r="M454" s="339"/>
      <c r="N454" s="339"/>
      <c r="O454" s="341"/>
      <c r="P454" s="339"/>
      <c r="Q454" s="341"/>
      <c r="R454" s="339"/>
      <c r="S454" s="341"/>
      <c r="T454" s="339"/>
      <c r="U454" s="339"/>
      <c r="V454" s="339"/>
      <c r="W454" s="339"/>
      <c r="X454" s="339"/>
      <c r="Y454" s="339"/>
      <c r="Z454" s="339"/>
    </row>
    <row r="455" spans="1:26" ht="15.75" customHeight="1">
      <c r="A455" s="339"/>
      <c r="B455" s="339"/>
      <c r="C455" s="339"/>
      <c r="D455" s="339"/>
      <c r="E455" s="339"/>
      <c r="F455" s="339"/>
      <c r="G455" s="339"/>
      <c r="H455" s="339"/>
      <c r="I455" s="341"/>
      <c r="J455" s="340"/>
      <c r="K455" s="339"/>
      <c r="L455" s="341"/>
      <c r="M455" s="339"/>
      <c r="N455" s="339"/>
      <c r="O455" s="341"/>
      <c r="P455" s="339"/>
      <c r="Q455" s="341"/>
      <c r="R455" s="339"/>
      <c r="S455" s="341"/>
      <c r="T455" s="339"/>
      <c r="U455" s="339"/>
      <c r="V455" s="339"/>
      <c r="W455" s="339"/>
      <c r="X455" s="339"/>
      <c r="Y455" s="339"/>
      <c r="Z455" s="339"/>
    </row>
    <row r="456" spans="1:26" ht="15.75" customHeight="1">
      <c r="A456" s="339"/>
      <c r="B456" s="339"/>
      <c r="C456" s="339"/>
      <c r="D456" s="339"/>
      <c r="E456" s="339"/>
      <c r="F456" s="339"/>
      <c r="G456" s="339"/>
      <c r="H456" s="339"/>
      <c r="I456" s="341"/>
      <c r="J456" s="340"/>
      <c r="K456" s="339"/>
      <c r="L456" s="341"/>
      <c r="M456" s="339"/>
      <c r="N456" s="339"/>
      <c r="O456" s="341"/>
      <c r="P456" s="339"/>
      <c r="Q456" s="341"/>
      <c r="R456" s="339"/>
      <c r="S456" s="341"/>
      <c r="T456" s="339"/>
      <c r="U456" s="339"/>
      <c r="V456" s="339"/>
      <c r="W456" s="339"/>
      <c r="X456" s="339"/>
      <c r="Y456" s="339"/>
      <c r="Z456" s="339"/>
    </row>
    <row r="457" spans="1:26" ht="15.75" customHeight="1">
      <c r="A457" s="339"/>
      <c r="B457" s="339"/>
      <c r="C457" s="339"/>
      <c r="D457" s="339"/>
      <c r="E457" s="339"/>
      <c r="F457" s="339"/>
      <c r="G457" s="339"/>
      <c r="H457" s="339"/>
      <c r="I457" s="341"/>
      <c r="J457" s="340"/>
      <c r="K457" s="339"/>
      <c r="L457" s="341"/>
      <c r="M457" s="339"/>
      <c r="N457" s="339"/>
      <c r="O457" s="341"/>
      <c r="P457" s="339"/>
      <c r="Q457" s="341"/>
      <c r="R457" s="339"/>
      <c r="S457" s="341"/>
      <c r="T457" s="339"/>
      <c r="U457" s="339"/>
      <c r="V457" s="339"/>
      <c r="W457" s="339"/>
      <c r="X457" s="339"/>
      <c r="Y457" s="339"/>
      <c r="Z457" s="339"/>
    </row>
    <row r="458" spans="1:26" ht="15.75" customHeight="1">
      <c r="A458" s="339"/>
      <c r="B458" s="339"/>
      <c r="C458" s="339"/>
      <c r="D458" s="339"/>
      <c r="E458" s="339"/>
      <c r="F458" s="339"/>
      <c r="G458" s="339"/>
      <c r="H458" s="339"/>
      <c r="I458" s="341"/>
      <c r="J458" s="340"/>
      <c r="K458" s="339"/>
      <c r="L458" s="341"/>
      <c r="M458" s="339"/>
      <c r="N458" s="339"/>
      <c r="O458" s="341"/>
      <c r="P458" s="339"/>
      <c r="Q458" s="341"/>
      <c r="R458" s="339"/>
      <c r="S458" s="341"/>
      <c r="T458" s="339"/>
      <c r="U458" s="339"/>
      <c r="V458" s="339"/>
      <c r="W458" s="339"/>
      <c r="X458" s="339"/>
      <c r="Y458" s="339"/>
      <c r="Z458" s="339"/>
    </row>
    <row r="459" spans="1:26" ht="15.75" customHeight="1">
      <c r="A459" s="339"/>
      <c r="B459" s="339"/>
      <c r="C459" s="339"/>
      <c r="D459" s="339"/>
      <c r="E459" s="339"/>
      <c r="F459" s="339"/>
      <c r="G459" s="339"/>
      <c r="H459" s="339"/>
      <c r="I459" s="341"/>
      <c r="J459" s="340"/>
      <c r="K459" s="339"/>
      <c r="L459" s="341"/>
      <c r="M459" s="339"/>
      <c r="N459" s="339"/>
      <c r="O459" s="341"/>
      <c r="P459" s="339"/>
      <c r="Q459" s="341"/>
      <c r="R459" s="339"/>
      <c r="S459" s="341"/>
      <c r="T459" s="339"/>
      <c r="U459" s="339"/>
      <c r="V459" s="339"/>
      <c r="W459" s="339"/>
      <c r="X459" s="339"/>
      <c r="Y459" s="339"/>
      <c r="Z459" s="339"/>
    </row>
    <row r="460" spans="1:26" ht="15.75" customHeight="1">
      <c r="A460" s="339"/>
      <c r="B460" s="339"/>
      <c r="C460" s="339"/>
      <c r="D460" s="339"/>
      <c r="E460" s="339"/>
      <c r="F460" s="339"/>
      <c r="G460" s="339"/>
      <c r="H460" s="339"/>
      <c r="I460" s="341"/>
      <c r="J460" s="340"/>
      <c r="K460" s="339"/>
      <c r="L460" s="341"/>
      <c r="M460" s="339"/>
      <c r="N460" s="339"/>
      <c r="O460" s="341"/>
      <c r="P460" s="339"/>
      <c r="Q460" s="341"/>
      <c r="R460" s="339"/>
      <c r="S460" s="341"/>
      <c r="T460" s="339"/>
      <c r="U460" s="339"/>
      <c r="V460" s="339"/>
      <c r="W460" s="339"/>
      <c r="X460" s="339"/>
      <c r="Y460" s="339"/>
      <c r="Z460" s="339"/>
    </row>
    <row r="461" spans="1:26" ht="15.75" customHeight="1">
      <c r="A461" s="339"/>
      <c r="B461" s="339"/>
      <c r="C461" s="339"/>
      <c r="D461" s="339"/>
      <c r="E461" s="339"/>
      <c r="F461" s="339"/>
      <c r="G461" s="339"/>
      <c r="H461" s="339"/>
      <c r="I461" s="341"/>
      <c r="J461" s="340"/>
      <c r="K461" s="339"/>
      <c r="L461" s="341"/>
      <c r="M461" s="339"/>
      <c r="N461" s="339"/>
      <c r="O461" s="341"/>
      <c r="P461" s="339"/>
      <c r="Q461" s="341"/>
      <c r="R461" s="339"/>
      <c r="S461" s="341"/>
      <c r="T461" s="339"/>
      <c r="U461" s="339"/>
      <c r="V461" s="339"/>
      <c r="W461" s="339"/>
      <c r="X461" s="339"/>
      <c r="Y461" s="339"/>
      <c r="Z461" s="339"/>
    </row>
    <row r="462" spans="1:26" ht="15.75" customHeight="1">
      <c r="A462" s="339"/>
      <c r="B462" s="339"/>
      <c r="C462" s="339"/>
      <c r="D462" s="339"/>
      <c r="E462" s="339"/>
      <c r="F462" s="339"/>
      <c r="G462" s="339"/>
      <c r="H462" s="339"/>
      <c r="I462" s="341"/>
      <c r="J462" s="340"/>
      <c r="K462" s="339"/>
      <c r="L462" s="341"/>
      <c r="M462" s="339"/>
      <c r="N462" s="339"/>
      <c r="O462" s="341"/>
      <c r="P462" s="339"/>
      <c r="Q462" s="341"/>
      <c r="R462" s="339"/>
      <c r="S462" s="341"/>
      <c r="T462" s="339"/>
      <c r="U462" s="339"/>
      <c r="V462" s="339"/>
      <c r="W462" s="339"/>
      <c r="X462" s="339"/>
      <c r="Y462" s="339"/>
      <c r="Z462" s="339"/>
    </row>
    <row r="463" spans="1:26" ht="15.75" customHeight="1">
      <c r="A463" s="339"/>
      <c r="B463" s="339"/>
      <c r="C463" s="339"/>
      <c r="D463" s="339"/>
      <c r="E463" s="339"/>
      <c r="F463" s="339"/>
      <c r="G463" s="339"/>
      <c r="H463" s="339"/>
      <c r="I463" s="341"/>
      <c r="J463" s="340"/>
      <c r="K463" s="339"/>
      <c r="L463" s="341"/>
      <c r="M463" s="339"/>
      <c r="N463" s="339"/>
      <c r="O463" s="341"/>
      <c r="P463" s="339"/>
      <c r="Q463" s="341"/>
      <c r="R463" s="339"/>
      <c r="S463" s="341"/>
      <c r="T463" s="339"/>
      <c r="U463" s="339"/>
      <c r="V463" s="339"/>
      <c r="W463" s="339"/>
      <c r="X463" s="339"/>
      <c r="Y463" s="339"/>
      <c r="Z463" s="339"/>
    </row>
    <row r="464" spans="1:26" ht="15.75" customHeight="1">
      <c r="A464" s="339"/>
      <c r="B464" s="339"/>
      <c r="C464" s="339"/>
      <c r="D464" s="339"/>
      <c r="E464" s="339"/>
      <c r="F464" s="339"/>
      <c r="G464" s="339"/>
      <c r="H464" s="339"/>
      <c r="I464" s="341"/>
      <c r="J464" s="340"/>
      <c r="K464" s="339"/>
      <c r="L464" s="341"/>
      <c r="M464" s="339"/>
      <c r="N464" s="339"/>
      <c r="O464" s="341"/>
      <c r="P464" s="339"/>
      <c r="Q464" s="341"/>
      <c r="R464" s="339"/>
      <c r="S464" s="341"/>
      <c r="T464" s="339"/>
      <c r="U464" s="339"/>
      <c r="V464" s="339"/>
      <c r="W464" s="339"/>
      <c r="X464" s="339"/>
      <c r="Y464" s="339"/>
      <c r="Z464" s="339"/>
    </row>
    <row r="465" spans="1:26" ht="15.75" customHeight="1">
      <c r="A465" s="339"/>
      <c r="B465" s="339"/>
      <c r="C465" s="339"/>
      <c r="D465" s="339"/>
      <c r="E465" s="339"/>
      <c r="F465" s="339"/>
      <c r="G465" s="339"/>
      <c r="H465" s="339"/>
      <c r="I465" s="341"/>
      <c r="J465" s="340"/>
      <c r="K465" s="339"/>
      <c r="L465" s="341"/>
      <c r="M465" s="339"/>
      <c r="N465" s="339"/>
      <c r="O465" s="341"/>
      <c r="P465" s="339"/>
      <c r="Q465" s="341"/>
      <c r="R465" s="339"/>
      <c r="S465" s="341"/>
      <c r="T465" s="339"/>
      <c r="U465" s="339"/>
      <c r="V465" s="339"/>
      <c r="W465" s="339"/>
      <c r="X465" s="339"/>
      <c r="Y465" s="339"/>
      <c r="Z465" s="339"/>
    </row>
    <row r="466" spans="1:26" ht="15.75" customHeight="1">
      <c r="A466" s="339"/>
      <c r="B466" s="339"/>
      <c r="C466" s="339"/>
      <c r="D466" s="339"/>
      <c r="E466" s="339"/>
      <c r="F466" s="339"/>
      <c r="G466" s="339"/>
      <c r="H466" s="339"/>
      <c r="I466" s="341"/>
      <c r="J466" s="340"/>
      <c r="K466" s="339"/>
      <c r="L466" s="341"/>
      <c r="M466" s="339"/>
      <c r="N466" s="339"/>
      <c r="O466" s="341"/>
      <c r="P466" s="339"/>
      <c r="Q466" s="341"/>
      <c r="R466" s="339"/>
      <c r="S466" s="341"/>
      <c r="T466" s="339"/>
      <c r="U466" s="339"/>
      <c r="V466" s="339"/>
      <c r="W466" s="339"/>
      <c r="X466" s="339"/>
      <c r="Y466" s="339"/>
      <c r="Z466" s="339"/>
    </row>
    <row r="467" spans="1:26" ht="15.75" customHeight="1">
      <c r="A467" s="339"/>
      <c r="B467" s="339"/>
      <c r="C467" s="339"/>
      <c r="D467" s="339"/>
      <c r="E467" s="339"/>
      <c r="F467" s="339"/>
      <c r="G467" s="339"/>
      <c r="H467" s="339"/>
      <c r="I467" s="341"/>
      <c r="J467" s="340"/>
      <c r="K467" s="339"/>
      <c r="L467" s="341"/>
      <c r="M467" s="339"/>
      <c r="N467" s="339"/>
      <c r="O467" s="341"/>
      <c r="P467" s="339"/>
      <c r="Q467" s="341"/>
      <c r="R467" s="339"/>
      <c r="S467" s="341"/>
      <c r="T467" s="339"/>
      <c r="U467" s="339"/>
      <c r="V467" s="339"/>
      <c r="W467" s="339"/>
      <c r="X467" s="339"/>
      <c r="Y467" s="339"/>
      <c r="Z467" s="339"/>
    </row>
    <row r="468" spans="1:26" ht="15.75" customHeight="1">
      <c r="A468" s="339"/>
      <c r="B468" s="339"/>
      <c r="C468" s="339"/>
      <c r="D468" s="339"/>
      <c r="E468" s="339"/>
      <c r="F468" s="339"/>
      <c r="G468" s="339"/>
      <c r="H468" s="339"/>
      <c r="I468" s="341"/>
      <c r="J468" s="340"/>
      <c r="K468" s="339"/>
      <c r="L468" s="341"/>
      <c r="M468" s="339"/>
      <c r="N468" s="339"/>
      <c r="O468" s="341"/>
      <c r="P468" s="339"/>
      <c r="Q468" s="341"/>
      <c r="R468" s="339"/>
      <c r="S468" s="341"/>
      <c r="T468" s="339"/>
      <c r="U468" s="339"/>
      <c r="V468" s="339"/>
      <c r="W468" s="339"/>
      <c r="X468" s="339"/>
      <c r="Y468" s="339"/>
      <c r="Z468" s="339"/>
    </row>
    <row r="469" spans="1:26" ht="15.75" customHeight="1">
      <c r="A469" s="339"/>
      <c r="B469" s="339"/>
      <c r="C469" s="339"/>
      <c r="D469" s="339"/>
      <c r="E469" s="339"/>
      <c r="F469" s="339"/>
      <c r="G469" s="339"/>
      <c r="H469" s="339"/>
      <c r="I469" s="341"/>
      <c r="J469" s="340"/>
      <c r="K469" s="339"/>
      <c r="L469" s="341"/>
      <c r="M469" s="339"/>
      <c r="N469" s="339"/>
      <c r="O469" s="341"/>
      <c r="P469" s="339"/>
      <c r="Q469" s="341"/>
      <c r="R469" s="339"/>
      <c r="S469" s="341"/>
      <c r="T469" s="339"/>
      <c r="U469" s="339"/>
      <c r="V469" s="339"/>
      <c r="W469" s="339"/>
      <c r="X469" s="339"/>
      <c r="Y469" s="339"/>
      <c r="Z469" s="339"/>
    </row>
    <row r="470" spans="1:26" ht="15.75" customHeight="1">
      <c r="A470" s="339"/>
      <c r="B470" s="339"/>
      <c r="C470" s="339"/>
      <c r="D470" s="339"/>
      <c r="E470" s="339"/>
      <c r="F470" s="339"/>
      <c r="G470" s="339"/>
      <c r="H470" s="339"/>
      <c r="I470" s="341"/>
      <c r="J470" s="340"/>
      <c r="K470" s="339"/>
      <c r="L470" s="341"/>
      <c r="M470" s="339"/>
      <c r="N470" s="339"/>
      <c r="O470" s="341"/>
      <c r="P470" s="339"/>
      <c r="Q470" s="341"/>
      <c r="R470" s="339"/>
      <c r="S470" s="341"/>
      <c r="T470" s="339"/>
      <c r="U470" s="339"/>
      <c r="V470" s="339"/>
      <c r="W470" s="339"/>
      <c r="X470" s="339"/>
      <c r="Y470" s="339"/>
      <c r="Z470" s="339"/>
    </row>
    <row r="471" spans="1:26" ht="15.75" customHeight="1">
      <c r="A471" s="339"/>
      <c r="B471" s="339"/>
      <c r="C471" s="339"/>
      <c r="D471" s="339"/>
      <c r="E471" s="339"/>
      <c r="F471" s="339"/>
      <c r="G471" s="339"/>
      <c r="H471" s="339"/>
      <c r="I471" s="341"/>
      <c r="J471" s="340"/>
      <c r="K471" s="339"/>
      <c r="L471" s="341"/>
      <c r="M471" s="339"/>
      <c r="N471" s="339"/>
      <c r="O471" s="341"/>
      <c r="P471" s="339"/>
      <c r="Q471" s="341"/>
      <c r="R471" s="339"/>
      <c r="S471" s="341"/>
      <c r="T471" s="339"/>
      <c r="U471" s="339"/>
      <c r="V471" s="339"/>
      <c r="W471" s="339"/>
      <c r="X471" s="339"/>
      <c r="Y471" s="339"/>
      <c r="Z471" s="339"/>
    </row>
    <row r="472" spans="1:26" ht="15.75" customHeight="1">
      <c r="A472" s="339"/>
      <c r="B472" s="339"/>
      <c r="C472" s="339"/>
      <c r="D472" s="339"/>
      <c r="E472" s="339"/>
      <c r="F472" s="339"/>
      <c r="G472" s="339"/>
      <c r="H472" s="339"/>
      <c r="I472" s="341"/>
      <c r="J472" s="340"/>
      <c r="K472" s="339"/>
      <c r="L472" s="341"/>
      <c r="M472" s="339"/>
      <c r="N472" s="339"/>
      <c r="O472" s="341"/>
      <c r="P472" s="339"/>
      <c r="Q472" s="341"/>
      <c r="R472" s="339"/>
      <c r="S472" s="341"/>
      <c r="T472" s="339"/>
      <c r="U472" s="339"/>
      <c r="V472" s="339"/>
      <c r="W472" s="339"/>
      <c r="X472" s="339"/>
      <c r="Y472" s="339"/>
      <c r="Z472" s="339"/>
    </row>
    <row r="473" spans="1:26" ht="15.75" customHeight="1">
      <c r="A473" s="339"/>
      <c r="B473" s="339"/>
      <c r="C473" s="339"/>
      <c r="D473" s="339"/>
      <c r="E473" s="339"/>
      <c r="F473" s="339"/>
      <c r="G473" s="339"/>
      <c r="H473" s="339"/>
      <c r="I473" s="341"/>
      <c r="J473" s="340"/>
      <c r="K473" s="339"/>
      <c r="L473" s="341"/>
      <c r="M473" s="339"/>
      <c r="N473" s="339"/>
      <c r="O473" s="341"/>
      <c r="P473" s="339"/>
      <c r="Q473" s="341"/>
      <c r="R473" s="339"/>
      <c r="S473" s="341"/>
      <c r="T473" s="339"/>
      <c r="U473" s="339"/>
      <c r="V473" s="339"/>
      <c r="W473" s="339"/>
      <c r="X473" s="339"/>
      <c r="Y473" s="339"/>
      <c r="Z473" s="339"/>
    </row>
    <row r="474" spans="1:26" ht="15.75" customHeight="1">
      <c r="A474" s="339"/>
      <c r="B474" s="339"/>
      <c r="C474" s="339"/>
      <c r="D474" s="339"/>
      <c r="E474" s="339"/>
      <c r="F474" s="339"/>
      <c r="G474" s="339"/>
      <c r="H474" s="339"/>
      <c r="I474" s="341"/>
      <c r="J474" s="340"/>
      <c r="K474" s="339"/>
      <c r="L474" s="341"/>
      <c r="M474" s="339"/>
      <c r="N474" s="339"/>
      <c r="O474" s="341"/>
      <c r="P474" s="339"/>
      <c r="Q474" s="341"/>
      <c r="R474" s="339"/>
      <c r="S474" s="341"/>
      <c r="T474" s="339"/>
      <c r="U474" s="339"/>
      <c r="V474" s="339"/>
      <c r="W474" s="339"/>
      <c r="X474" s="339"/>
      <c r="Y474" s="339"/>
      <c r="Z474" s="339"/>
    </row>
    <row r="475" spans="1:26" ht="15.75" customHeight="1">
      <c r="A475" s="339"/>
      <c r="B475" s="339"/>
      <c r="C475" s="339"/>
      <c r="D475" s="339"/>
      <c r="E475" s="339"/>
      <c r="F475" s="339"/>
      <c r="G475" s="339"/>
      <c r="H475" s="339"/>
      <c r="I475" s="341"/>
      <c r="J475" s="340"/>
      <c r="K475" s="339"/>
      <c r="L475" s="341"/>
      <c r="M475" s="339"/>
      <c r="N475" s="339"/>
      <c r="O475" s="341"/>
      <c r="P475" s="339"/>
      <c r="Q475" s="341"/>
      <c r="R475" s="339"/>
      <c r="S475" s="341"/>
      <c r="T475" s="339"/>
      <c r="U475" s="339"/>
      <c r="V475" s="339"/>
      <c r="W475" s="339"/>
      <c r="X475" s="339"/>
      <c r="Y475" s="339"/>
      <c r="Z475" s="339"/>
    </row>
    <row r="476" spans="1:26" ht="15.75" customHeight="1">
      <c r="A476" s="339"/>
      <c r="B476" s="339"/>
      <c r="C476" s="339"/>
      <c r="D476" s="339"/>
      <c r="E476" s="339"/>
      <c r="F476" s="339"/>
      <c r="G476" s="339"/>
      <c r="H476" s="339"/>
      <c r="I476" s="341"/>
      <c r="J476" s="340"/>
      <c r="K476" s="339"/>
      <c r="L476" s="341"/>
      <c r="M476" s="339"/>
      <c r="N476" s="339"/>
      <c r="O476" s="341"/>
      <c r="P476" s="339"/>
      <c r="Q476" s="341"/>
      <c r="R476" s="339"/>
      <c r="S476" s="341"/>
      <c r="T476" s="339"/>
      <c r="U476" s="339"/>
      <c r="V476" s="339"/>
      <c r="W476" s="339"/>
      <c r="X476" s="339"/>
      <c r="Y476" s="339"/>
      <c r="Z476" s="339"/>
    </row>
    <row r="477" spans="1:26" ht="15.75" customHeight="1">
      <c r="A477" s="339"/>
      <c r="B477" s="339"/>
      <c r="C477" s="339"/>
      <c r="D477" s="339"/>
      <c r="E477" s="339"/>
      <c r="F477" s="339"/>
      <c r="G477" s="339"/>
      <c r="H477" s="339"/>
      <c r="I477" s="341"/>
      <c r="J477" s="340"/>
      <c r="K477" s="339"/>
      <c r="L477" s="341"/>
      <c r="M477" s="339"/>
      <c r="N477" s="339"/>
      <c r="O477" s="341"/>
      <c r="P477" s="339"/>
      <c r="Q477" s="341"/>
      <c r="R477" s="339"/>
      <c r="S477" s="341"/>
      <c r="T477" s="339"/>
      <c r="U477" s="339"/>
      <c r="V477" s="339"/>
      <c r="W477" s="339"/>
      <c r="X477" s="339"/>
      <c r="Y477" s="339"/>
      <c r="Z477" s="339"/>
    </row>
    <row r="478" spans="1:26" ht="15.75" customHeight="1">
      <c r="A478" s="339"/>
      <c r="B478" s="339"/>
      <c r="C478" s="339"/>
      <c r="D478" s="339"/>
      <c r="E478" s="339"/>
      <c r="F478" s="339"/>
      <c r="G478" s="339"/>
      <c r="H478" s="339"/>
      <c r="I478" s="341"/>
      <c r="J478" s="340"/>
      <c r="K478" s="339"/>
      <c r="L478" s="341"/>
      <c r="M478" s="339"/>
      <c r="N478" s="339"/>
      <c r="O478" s="341"/>
      <c r="P478" s="339"/>
      <c r="Q478" s="341"/>
      <c r="R478" s="339"/>
      <c r="S478" s="341"/>
      <c r="T478" s="339"/>
      <c r="U478" s="339"/>
      <c r="V478" s="339"/>
      <c r="W478" s="339"/>
      <c r="X478" s="339"/>
      <c r="Y478" s="339"/>
      <c r="Z478" s="339"/>
    </row>
    <row r="479" spans="1:26" ht="15.75" customHeight="1">
      <c r="A479" s="339"/>
      <c r="B479" s="339"/>
      <c r="C479" s="339"/>
      <c r="D479" s="339"/>
      <c r="E479" s="339"/>
      <c r="F479" s="339"/>
      <c r="G479" s="339"/>
      <c r="H479" s="339"/>
      <c r="I479" s="341"/>
      <c r="J479" s="340"/>
      <c r="K479" s="339"/>
      <c r="L479" s="341"/>
      <c r="M479" s="339"/>
      <c r="N479" s="339"/>
      <c r="O479" s="341"/>
      <c r="P479" s="339"/>
      <c r="Q479" s="341"/>
      <c r="R479" s="339"/>
      <c r="S479" s="341"/>
      <c r="T479" s="339"/>
      <c r="U479" s="339"/>
      <c r="V479" s="339"/>
      <c r="W479" s="339"/>
      <c r="X479" s="339"/>
      <c r="Y479" s="339"/>
      <c r="Z479" s="339"/>
    </row>
    <row r="480" spans="1:26" ht="15.75" customHeight="1">
      <c r="A480" s="339"/>
      <c r="B480" s="339"/>
      <c r="C480" s="339"/>
      <c r="D480" s="339"/>
      <c r="E480" s="339"/>
      <c r="F480" s="339"/>
      <c r="G480" s="339"/>
      <c r="H480" s="339"/>
      <c r="I480" s="341"/>
      <c r="J480" s="340"/>
      <c r="K480" s="339"/>
      <c r="L480" s="341"/>
      <c r="M480" s="339"/>
      <c r="N480" s="339"/>
      <c r="O480" s="341"/>
      <c r="P480" s="339"/>
      <c r="Q480" s="341"/>
      <c r="R480" s="339"/>
      <c r="S480" s="341"/>
      <c r="T480" s="339"/>
      <c r="U480" s="339"/>
      <c r="V480" s="339"/>
      <c r="W480" s="339"/>
      <c r="X480" s="339"/>
      <c r="Y480" s="339"/>
      <c r="Z480" s="339"/>
    </row>
    <row r="481" spans="1:26" ht="15.75" customHeight="1">
      <c r="A481" s="339"/>
      <c r="B481" s="339"/>
      <c r="C481" s="339"/>
      <c r="D481" s="339"/>
      <c r="E481" s="339"/>
      <c r="F481" s="339"/>
      <c r="G481" s="339"/>
      <c r="H481" s="339"/>
      <c r="I481" s="341"/>
      <c r="J481" s="340"/>
      <c r="K481" s="339"/>
      <c r="L481" s="341"/>
      <c r="M481" s="339"/>
      <c r="N481" s="339"/>
      <c r="O481" s="341"/>
      <c r="P481" s="339"/>
      <c r="Q481" s="341"/>
      <c r="R481" s="339"/>
      <c r="S481" s="341"/>
      <c r="T481" s="339"/>
      <c r="U481" s="339"/>
      <c r="V481" s="339"/>
      <c r="W481" s="339"/>
      <c r="X481" s="339"/>
      <c r="Y481" s="339"/>
      <c r="Z481" s="339"/>
    </row>
    <row r="482" spans="1:26" ht="15.75" customHeight="1">
      <c r="A482" s="339"/>
      <c r="B482" s="339"/>
      <c r="C482" s="339"/>
      <c r="D482" s="339"/>
      <c r="E482" s="339"/>
      <c r="F482" s="339"/>
      <c r="G482" s="339"/>
      <c r="H482" s="339"/>
      <c r="I482" s="341"/>
      <c r="J482" s="340"/>
      <c r="K482" s="339"/>
      <c r="L482" s="341"/>
      <c r="M482" s="339"/>
      <c r="N482" s="339"/>
      <c r="O482" s="341"/>
      <c r="P482" s="339"/>
      <c r="Q482" s="341"/>
      <c r="R482" s="339"/>
      <c r="S482" s="341"/>
      <c r="T482" s="339"/>
      <c r="U482" s="339"/>
      <c r="V482" s="339"/>
      <c r="W482" s="339"/>
      <c r="X482" s="339"/>
      <c r="Y482" s="339"/>
      <c r="Z482" s="339"/>
    </row>
    <row r="483" spans="1:26" ht="15.75" customHeight="1">
      <c r="A483" s="339"/>
      <c r="B483" s="339"/>
      <c r="C483" s="339"/>
      <c r="D483" s="339"/>
      <c r="E483" s="339"/>
      <c r="F483" s="339"/>
      <c r="G483" s="339"/>
      <c r="H483" s="339"/>
      <c r="I483" s="341"/>
      <c r="J483" s="340"/>
      <c r="K483" s="339"/>
      <c r="L483" s="341"/>
      <c r="M483" s="339"/>
      <c r="N483" s="339"/>
      <c r="O483" s="341"/>
      <c r="P483" s="339"/>
      <c r="Q483" s="341"/>
      <c r="R483" s="339"/>
      <c r="S483" s="341"/>
      <c r="T483" s="339"/>
      <c r="U483" s="339"/>
      <c r="V483" s="339"/>
      <c r="W483" s="339"/>
      <c r="X483" s="339"/>
      <c r="Y483" s="339"/>
      <c r="Z483" s="339"/>
    </row>
    <row r="484" spans="1:26" ht="15.75" customHeight="1">
      <c r="A484" s="339"/>
      <c r="B484" s="339"/>
      <c r="C484" s="339"/>
      <c r="D484" s="339"/>
      <c r="E484" s="339"/>
      <c r="F484" s="339"/>
      <c r="G484" s="339"/>
      <c r="H484" s="339"/>
      <c r="I484" s="341"/>
      <c r="J484" s="340"/>
      <c r="K484" s="339"/>
      <c r="L484" s="341"/>
      <c r="M484" s="339"/>
      <c r="N484" s="339"/>
      <c r="O484" s="341"/>
      <c r="P484" s="339"/>
      <c r="Q484" s="341"/>
      <c r="R484" s="339"/>
      <c r="S484" s="341"/>
      <c r="T484" s="339"/>
      <c r="U484" s="339"/>
      <c r="V484" s="339"/>
      <c r="W484" s="339"/>
      <c r="X484" s="339"/>
      <c r="Y484" s="339"/>
      <c r="Z484" s="339"/>
    </row>
    <row r="485" spans="1:26" ht="15.75" customHeight="1">
      <c r="A485" s="339"/>
      <c r="B485" s="339"/>
      <c r="C485" s="339"/>
      <c r="D485" s="339"/>
      <c r="E485" s="339"/>
      <c r="F485" s="339"/>
      <c r="G485" s="339"/>
      <c r="H485" s="339"/>
      <c r="I485" s="341"/>
      <c r="J485" s="340"/>
      <c r="K485" s="339"/>
      <c r="L485" s="341"/>
      <c r="M485" s="339"/>
      <c r="N485" s="339"/>
      <c r="O485" s="341"/>
      <c r="P485" s="339"/>
      <c r="Q485" s="341"/>
      <c r="R485" s="339"/>
      <c r="S485" s="341"/>
      <c r="T485" s="339"/>
      <c r="U485" s="339"/>
      <c r="V485" s="339"/>
      <c r="W485" s="339"/>
      <c r="X485" s="339"/>
      <c r="Y485" s="339"/>
      <c r="Z485" s="339"/>
    </row>
    <row r="486" spans="1:26" ht="15.75" customHeight="1">
      <c r="A486" s="339"/>
      <c r="B486" s="339"/>
      <c r="C486" s="339"/>
      <c r="D486" s="339"/>
      <c r="E486" s="339"/>
      <c r="F486" s="339"/>
      <c r="G486" s="339"/>
      <c r="H486" s="339"/>
      <c r="I486" s="341"/>
      <c r="J486" s="340"/>
      <c r="K486" s="339"/>
      <c r="L486" s="341"/>
      <c r="M486" s="339"/>
      <c r="N486" s="339"/>
      <c r="O486" s="341"/>
      <c r="P486" s="339"/>
      <c r="Q486" s="341"/>
      <c r="R486" s="339"/>
      <c r="S486" s="341"/>
      <c r="T486" s="339"/>
      <c r="U486" s="339"/>
      <c r="V486" s="339"/>
      <c r="W486" s="339"/>
      <c r="X486" s="339"/>
      <c r="Y486" s="339"/>
      <c r="Z486" s="339"/>
    </row>
    <row r="487" spans="1:26" ht="15.75" customHeight="1">
      <c r="A487" s="339"/>
      <c r="B487" s="339"/>
      <c r="C487" s="339"/>
      <c r="D487" s="339"/>
      <c r="E487" s="339"/>
      <c r="F487" s="339"/>
      <c r="G487" s="339"/>
      <c r="H487" s="339"/>
      <c r="I487" s="341"/>
      <c r="J487" s="340"/>
      <c r="K487" s="339"/>
      <c r="L487" s="341"/>
      <c r="M487" s="339"/>
      <c r="N487" s="339"/>
      <c r="O487" s="341"/>
      <c r="P487" s="339"/>
      <c r="Q487" s="341"/>
      <c r="R487" s="339"/>
      <c r="S487" s="341"/>
      <c r="T487" s="339"/>
      <c r="U487" s="339"/>
      <c r="V487" s="339"/>
      <c r="W487" s="339"/>
      <c r="X487" s="339"/>
      <c r="Y487" s="339"/>
      <c r="Z487" s="339"/>
    </row>
    <row r="488" spans="1:26" ht="15.75" customHeight="1">
      <c r="A488" s="339"/>
      <c r="B488" s="339"/>
      <c r="C488" s="339"/>
      <c r="D488" s="339"/>
      <c r="E488" s="339"/>
      <c r="F488" s="339"/>
      <c r="G488" s="339"/>
      <c r="H488" s="339"/>
      <c r="I488" s="341"/>
      <c r="J488" s="340"/>
      <c r="K488" s="339"/>
      <c r="L488" s="341"/>
      <c r="M488" s="339"/>
      <c r="N488" s="339"/>
      <c r="O488" s="341"/>
      <c r="P488" s="339"/>
      <c r="Q488" s="341"/>
      <c r="R488" s="339"/>
      <c r="S488" s="341"/>
      <c r="T488" s="339"/>
      <c r="U488" s="339"/>
      <c r="V488" s="339"/>
      <c r="W488" s="339"/>
      <c r="X488" s="339"/>
      <c r="Y488" s="339"/>
      <c r="Z488" s="339"/>
    </row>
    <row r="489" spans="1:26" ht="15.75" customHeight="1">
      <c r="A489" s="339"/>
      <c r="B489" s="339"/>
      <c r="C489" s="339"/>
      <c r="D489" s="339"/>
      <c r="E489" s="339"/>
      <c r="F489" s="339"/>
      <c r="G489" s="339"/>
      <c r="H489" s="339"/>
      <c r="I489" s="341"/>
      <c r="J489" s="340"/>
      <c r="K489" s="339"/>
      <c r="L489" s="341"/>
      <c r="M489" s="339"/>
      <c r="N489" s="339"/>
      <c r="O489" s="341"/>
      <c r="P489" s="339"/>
      <c r="Q489" s="341"/>
      <c r="R489" s="339"/>
      <c r="S489" s="341"/>
      <c r="T489" s="339"/>
      <c r="U489" s="339"/>
      <c r="V489" s="339"/>
      <c r="W489" s="339"/>
      <c r="X489" s="339"/>
      <c r="Y489" s="339"/>
      <c r="Z489" s="339"/>
    </row>
    <row r="490" spans="1:26" ht="15.75" customHeight="1">
      <c r="A490" s="339"/>
      <c r="B490" s="339"/>
      <c r="C490" s="339"/>
      <c r="D490" s="339"/>
      <c r="E490" s="339"/>
      <c r="F490" s="339"/>
      <c r="G490" s="339"/>
      <c r="H490" s="339"/>
      <c r="I490" s="341"/>
      <c r="J490" s="340"/>
      <c r="K490" s="339"/>
      <c r="L490" s="341"/>
      <c r="M490" s="339"/>
      <c r="N490" s="339"/>
      <c r="O490" s="341"/>
      <c r="P490" s="339"/>
      <c r="Q490" s="341"/>
      <c r="R490" s="339"/>
      <c r="S490" s="341"/>
      <c r="T490" s="339"/>
      <c r="U490" s="339"/>
      <c r="V490" s="339"/>
      <c r="W490" s="339"/>
      <c r="X490" s="339"/>
      <c r="Y490" s="339"/>
      <c r="Z490" s="339"/>
    </row>
    <row r="491" spans="1:26" ht="15.75" customHeight="1">
      <c r="A491" s="339"/>
      <c r="B491" s="339"/>
      <c r="C491" s="339"/>
      <c r="D491" s="339"/>
      <c r="E491" s="339"/>
      <c r="F491" s="339"/>
      <c r="G491" s="339"/>
      <c r="H491" s="339"/>
      <c r="I491" s="341"/>
      <c r="J491" s="340"/>
      <c r="K491" s="339"/>
      <c r="L491" s="341"/>
      <c r="M491" s="339"/>
      <c r="N491" s="339"/>
      <c r="O491" s="341"/>
      <c r="P491" s="339"/>
      <c r="Q491" s="341"/>
      <c r="R491" s="339"/>
      <c r="S491" s="341"/>
      <c r="T491" s="339"/>
      <c r="U491" s="339"/>
      <c r="V491" s="339"/>
      <c r="W491" s="339"/>
      <c r="X491" s="339"/>
      <c r="Y491" s="339"/>
      <c r="Z491" s="339"/>
    </row>
    <row r="492" spans="1:26" ht="15.75" customHeight="1">
      <c r="A492" s="339"/>
      <c r="B492" s="339"/>
      <c r="C492" s="339"/>
      <c r="D492" s="339"/>
      <c r="E492" s="339"/>
      <c r="F492" s="339"/>
      <c r="G492" s="339"/>
      <c r="H492" s="339"/>
      <c r="I492" s="341"/>
      <c r="J492" s="340"/>
      <c r="K492" s="339"/>
      <c r="L492" s="341"/>
      <c r="M492" s="339"/>
      <c r="N492" s="339"/>
      <c r="O492" s="341"/>
      <c r="P492" s="339"/>
      <c r="Q492" s="341"/>
      <c r="R492" s="339"/>
      <c r="S492" s="341"/>
      <c r="T492" s="339"/>
      <c r="U492" s="339"/>
      <c r="V492" s="339"/>
      <c r="W492" s="339"/>
      <c r="X492" s="339"/>
      <c r="Y492" s="339"/>
      <c r="Z492" s="339"/>
    </row>
    <row r="493" spans="1:26" ht="15.75" customHeight="1">
      <c r="A493" s="339"/>
      <c r="B493" s="339"/>
      <c r="C493" s="339"/>
      <c r="D493" s="339"/>
      <c r="E493" s="339"/>
      <c r="F493" s="339"/>
      <c r="G493" s="339"/>
      <c r="H493" s="339"/>
      <c r="I493" s="341"/>
      <c r="J493" s="340"/>
      <c r="K493" s="339"/>
      <c r="L493" s="341"/>
      <c r="M493" s="339"/>
      <c r="N493" s="339"/>
      <c r="O493" s="341"/>
      <c r="P493" s="339"/>
      <c r="Q493" s="341"/>
      <c r="R493" s="339"/>
      <c r="S493" s="341"/>
      <c r="T493" s="339"/>
      <c r="U493" s="339"/>
      <c r="V493" s="339"/>
      <c r="W493" s="339"/>
      <c r="X493" s="339"/>
      <c r="Y493" s="339"/>
      <c r="Z493" s="339"/>
    </row>
    <row r="494" spans="1:26" ht="15.75" customHeight="1">
      <c r="A494" s="339"/>
      <c r="B494" s="339"/>
      <c r="C494" s="339"/>
      <c r="D494" s="339"/>
      <c r="E494" s="339"/>
      <c r="F494" s="339"/>
      <c r="G494" s="339"/>
      <c r="H494" s="339"/>
      <c r="I494" s="341"/>
      <c r="J494" s="340"/>
      <c r="K494" s="339"/>
      <c r="L494" s="341"/>
      <c r="M494" s="339"/>
      <c r="N494" s="339"/>
      <c r="O494" s="341"/>
      <c r="P494" s="339"/>
      <c r="Q494" s="341"/>
      <c r="R494" s="339"/>
      <c r="S494" s="341"/>
      <c r="T494" s="339"/>
      <c r="U494" s="339"/>
      <c r="V494" s="339"/>
      <c r="W494" s="339"/>
      <c r="X494" s="339"/>
      <c r="Y494" s="339"/>
      <c r="Z494" s="339"/>
    </row>
    <row r="495" spans="1:26" ht="15.75" customHeight="1">
      <c r="A495" s="339"/>
      <c r="B495" s="339"/>
      <c r="C495" s="339"/>
      <c r="D495" s="339"/>
      <c r="E495" s="339"/>
      <c r="F495" s="339"/>
      <c r="G495" s="339"/>
      <c r="H495" s="339"/>
      <c r="I495" s="341"/>
      <c r="J495" s="340"/>
      <c r="K495" s="339"/>
      <c r="L495" s="341"/>
      <c r="M495" s="339"/>
      <c r="N495" s="339"/>
      <c r="O495" s="341"/>
      <c r="P495" s="339"/>
      <c r="Q495" s="341"/>
      <c r="R495" s="339"/>
      <c r="S495" s="341"/>
      <c r="T495" s="339"/>
      <c r="U495" s="339"/>
      <c r="V495" s="339"/>
      <c r="W495" s="339"/>
      <c r="X495" s="339"/>
      <c r="Y495" s="339"/>
      <c r="Z495" s="339"/>
    </row>
    <row r="496" spans="1:26" ht="15.75" customHeight="1">
      <c r="A496" s="339"/>
      <c r="B496" s="339"/>
      <c r="C496" s="339"/>
      <c r="D496" s="339"/>
      <c r="E496" s="339"/>
      <c r="F496" s="339"/>
      <c r="G496" s="339"/>
      <c r="H496" s="339"/>
      <c r="I496" s="341"/>
      <c r="J496" s="340"/>
      <c r="K496" s="339"/>
      <c r="L496" s="341"/>
      <c r="M496" s="339"/>
      <c r="N496" s="339"/>
      <c r="O496" s="341"/>
      <c r="P496" s="339"/>
      <c r="Q496" s="341"/>
      <c r="R496" s="339"/>
      <c r="S496" s="341"/>
      <c r="T496" s="339"/>
      <c r="U496" s="339"/>
      <c r="V496" s="339"/>
      <c r="W496" s="339"/>
      <c r="X496" s="339"/>
      <c r="Y496" s="339"/>
      <c r="Z496" s="339"/>
    </row>
    <row r="497" spans="1:26" ht="15.75" customHeight="1">
      <c r="A497" s="339"/>
      <c r="B497" s="339"/>
      <c r="C497" s="339"/>
      <c r="D497" s="339"/>
      <c r="E497" s="339"/>
      <c r="F497" s="339"/>
      <c r="G497" s="339"/>
      <c r="H497" s="339"/>
      <c r="I497" s="341"/>
      <c r="J497" s="340"/>
      <c r="K497" s="339"/>
      <c r="L497" s="341"/>
      <c r="M497" s="339"/>
      <c r="N497" s="339"/>
      <c r="O497" s="341"/>
      <c r="P497" s="339"/>
      <c r="Q497" s="341"/>
      <c r="R497" s="339"/>
      <c r="S497" s="341"/>
      <c r="T497" s="339"/>
      <c r="U497" s="339"/>
      <c r="V497" s="339"/>
      <c r="W497" s="339"/>
      <c r="X497" s="339"/>
      <c r="Y497" s="339"/>
      <c r="Z497" s="339"/>
    </row>
    <row r="498" spans="1:26" ht="15.75" customHeight="1">
      <c r="A498" s="339"/>
      <c r="B498" s="339"/>
      <c r="C498" s="339"/>
      <c r="D498" s="339"/>
      <c r="E498" s="339"/>
      <c r="F498" s="339"/>
      <c r="G498" s="339"/>
      <c r="H498" s="339"/>
      <c r="I498" s="341"/>
      <c r="J498" s="340"/>
      <c r="K498" s="339"/>
      <c r="L498" s="341"/>
      <c r="M498" s="339"/>
      <c r="N498" s="339"/>
      <c r="O498" s="341"/>
      <c r="P498" s="339"/>
      <c r="Q498" s="341"/>
      <c r="R498" s="339"/>
      <c r="S498" s="341"/>
      <c r="T498" s="339"/>
      <c r="U498" s="339"/>
      <c r="V498" s="339"/>
      <c r="W498" s="339"/>
      <c r="X498" s="339"/>
      <c r="Y498" s="339"/>
      <c r="Z498" s="339"/>
    </row>
    <row r="499" spans="1:26" ht="15.75" customHeight="1">
      <c r="A499" s="339"/>
      <c r="B499" s="339"/>
      <c r="C499" s="339"/>
      <c r="D499" s="339"/>
      <c r="E499" s="339"/>
      <c r="F499" s="339"/>
      <c r="G499" s="339"/>
      <c r="H499" s="339"/>
      <c r="I499" s="341"/>
      <c r="J499" s="340"/>
      <c r="K499" s="339"/>
      <c r="L499" s="341"/>
      <c r="M499" s="339"/>
      <c r="N499" s="339"/>
      <c r="O499" s="341"/>
      <c r="P499" s="339"/>
      <c r="Q499" s="341"/>
      <c r="R499" s="339"/>
      <c r="S499" s="341"/>
      <c r="T499" s="339"/>
      <c r="U499" s="339"/>
      <c r="V499" s="339"/>
      <c r="W499" s="339"/>
      <c r="X499" s="339"/>
      <c r="Y499" s="339"/>
      <c r="Z499" s="339"/>
    </row>
    <row r="500" spans="1:26" ht="15.75" customHeight="1">
      <c r="A500" s="339"/>
      <c r="B500" s="339"/>
      <c r="C500" s="339"/>
      <c r="D500" s="339"/>
      <c r="E500" s="339"/>
      <c r="F500" s="339"/>
      <c r="G500" s="339"/>
      <c r="H500" s="339"/>
      <c r="I500" s="341"/>
      <c r="J500" s="340"/>
      <c r="K500" s="339"/>
      <c r="L500" s="341"/>
      <c r="M500" s="339"/>
      <c r="N500" s="339"/>
      <c r="O500" s="341"/>
      <c r="P500" s="339"/>
      <c r="Q500" s="341"/>
      <c r="R500" s="339"/>
      <c r="S500" s="341"/>
      <c r="T500" s="339"/>
      <c r="U500" s="339"/>
      <c r="V500" s="339"/>
      <c r="W500" s="339"/>
      <c r="X500" s="339"/>
      <c r="Y500" s="339"/>
      <c r="Z500" s="339"/>
    </row>
    <row r="501" spans="1:26" ht="15.75" customHeight="1">
      <c r="A501" s="339"/>
      <c r="B501" s="339"/>
      <c r="C501" s="339"/>
      <c r="D501" s="339"/>
      <c r="E501" s="339"/>
      <c r="F501" s="339"/>
      <c r="G501" s="339"/>
      <c r="H501" s="339"/>
      <c r="I501" s="341"/>
      <c r="J501" s="340"/>
      <c r="K501" s="339"/>
      <c r="L501" s="341"/>
      <c r="M501" s="339"/>
      <c r="N501" s="339"/>
      <c r="O501" s="341"/>
      <c r="P501" s="339"/>
      <c r="Q501" s="341"/>
      <c r="R501" s="339"/>
      <c r="S501" s="341"/>
      <c r="T501" s="339"/>
      <c r="U501" s="339"/>
      <c r="V501" s="339"/>
      <c r="W501" s="339"/>
      <c r="X501" s="339"/>
      <c r="Y501" s="339"/>
      <c r="Z501" s="339"/>
    </row>
    <row r="502" spans="1:26" ht="15.75" customHeight="1">
      <c r="A502" s="339"/>
      <c r="B502" s="339"/>
      <c r="C502" s="339"/>
      <c r="D502" s="339"/>
      <c r="E502" s="339"/>
      <c r="F502" s="339"/>
      <c r="G502" s="339"/>
      <c r="H502" s="339"/>
      <c r="I502" s="341"/>
      <c r="J502" s="340"/>
      <c r="K502" s="339"/>
      <c r="L502" s="341"/>
      <c r="M502" s="339"/>
      <c r="N502" s="339"/>
      <c r="O502" s="341"/>
      <c r="P502" s="339"/>
      <c r="Q502" s="341"/>
      <c r="R502" s="339"/>
      <c r="S502" s="341"/>
      <c r="T502" s="339"/>
      <c r="U502" s="339"/>
      <c r="V502" s="339"/>
      <c r="W502" s="339"/>
      <c r="X502" s="339"/>
      <c r="Y502" s="339"/>
      <c r="Z502" s="339"/>
    </row>
    <row r="503" spans="1:26" ht="15.75" customHeight="1">
      <c r="A503" s="339"/>
      <c r="B503" s="339"/>
      <c r="C503" s="339"/>
      <c r="D503" s="339"/>
      <c r="E503" s="339"/>
      <c r="F503" s="339"/>
      <c r="G503" s="339"/>
      <c r="H503" s="339"/>
      <c r="I503" s="341"/>
      <c r="J503" s="340"/>
      <c r="K503" s="339"/>
      <c r="L503" s="341"/>
      <c r="M503" s="339"/>
      <c r="N503" s="339"/>
      <c r="O503" s="341"/>
      <c r="P503" s="339"/>
      <c r="Q503" s="341"/>
      <c r="R503" s="339"/>
      <c r="S503" s="341"/>
      <c r="T503" s="339"/>
      <c r="U503" s="339"/>
      <c r="V503" s="339"/>
      <c r="W503" s="339"/>
      <c r="X503" s="339"/>
      <c r="Y503" s="339"/>
      <c r="Z503" s="339"/>
    </row>
    <row r="504" spans="1:26" ht="15.75" customHeight="1">
      <c r="A504" s="339"/>
      <c r="B504" s="339"/>
      <c r="C504" s="339"/>
      <c r="D504" s="339"/>
      <c r="E504" s="339"/>
      <c r="F504" s="339"/>
      <c r="G504" s="339"/>
      <c r="H504" s="339"/>
      <c r="I504" s="341"/>
      <c r="J504" s="340"/>
      <c r="K504" s="339"/>
      <c r="L504" s="341"/>
      <c r="M504" s="339"/>
      <c r="N504" s="339"/>
      <c r="O504" s="341"/>
      <c r="P504" s="339"/>
      <c r="Q504" s="341"/>
      <c r="R504" s="339"/>
      <c r="S504" s="341"/>
      <c r="T504" s="339"/>
      <c r="U504" s="339"/>
      <c r="V504" s="339"/>
      <c r="W504" s="339"/>
      <c r="X504" s="339"/>
      <c r="Y504" s="339"/>
      <c r="Z504" s="339"/>
    </row>
    <row r="505" spans="1:26" ht="15.75" customHeight="1">
      <c r="A505" s="339"/>
      <c r="B505" s="339"/>
      <c r="C505" s="339"/>
      <c r="D505" s="339"/>
      <c r="E505" s="339"/>
      <c r="F505" s="339"/>
      <c r="G505" s="339"/>
      <c r="H505" s="339"/>
      <c r="I505" s="341"/>
      <c r="J505" s="340"/>
      <c r="K505" s="339"/>
      <c r="L505" s="341"/>
      <c r="M505" s="339"/>
      <c r="N505" s="339"/>
      <c r="O505" s="341"/>
      <c r="P505" s="339"/>
      <c r="Q505" s="341"/>
      <c r="R505" s="339"/>
      <c r="S505" s="341"/>
      <c r="T505" s="339"/>
      <c r="U505" s="339"/>
      <c r="V505" s="339"/>
      <c r="W505" s="339"/>
      <c r="X505" s="339"/>
      <c r="Y505" s="339"/>
      <c r="Z505" s="339"/>
    </row>
    <row r="506" spans="1:26" ht="15.75" customHeight="1">
      <c r="A506" s="339"/>
      <c r="B506" s="339"/>
      <c r="C506" s="339"/>
      <c r="D506" s="339"/>
      <c r="E506" s="339"/>
      <c r="F506" s="339"/>
      <c r="G506" s="339"/>
      <c r="H506" s="339"/>
      <c r="I506" s="341"/>
      <c r="J506" s="340"/>
      <c r="K506" s="339"/>
      <c r="L506" s="341"/>
      <c r="M506" s="339"/>
      <c r="N506" s="339"/>
      <c r="O506" s="341"/>
      <c r="P506" s="339"/>
      <c r="Q506" s="341"/>
      <c r="R506" s="339"/>
      <c r="S506" s="341"/>
      <c r="T506" s="339"/>
      <c r="U506" s="339"/>
      <c r="V506" s="339"/>
      <c r="W506" s="339"/>
      <c r="X506" s="339"/>
      <c r="Y506" s="339"/>
      <c r="Z506" s="339"/>
    </row>
    <row r="507" spans="1:26" ht="15.75" customHeight="1">
      <c r="A507" s="339"/>
      <c r="B507" s="339"/>
      <c r="C507" s="339"/>
      <c r="D507" s="339"/>
      <c r="E507" s="339"/>
      <c r="F507" s="339"/>
      <c r="G507" s="339"/>
      <c r="H507" s="339"/>
      <c r="I507" s="341"/>
      <c r="J507" s="340"/>
      <c r="K507" s="339"/>
      <c r="L507" s="341"/>
      <c r="M507" s="339"/>
      <c r="N507" s="339"/>
      <c r="O507" s="341"/>
      <c r="P507" s="339"/>
      <c r="Q507" s="341"/>
      <c r="R507" s="339"/>
      <c r="S507" s="341"/>
      <c r="T507" s="339"/>
      <c r="U507" s="339"/>
      <c r="V507" s="339"/>
      <c r="W507" s="339"/>
      <c r="X507" s="339"/>
      <c r="Y507" s="339"/>
      <c r="Z507" s="339"/>
    </row>
    <row r="508" spans="1:26" ht="15.75" customHeight="1">
      <c r="A508" s="339"/>
      <c r="B508" s="339"/>
      <c r="C508" s="339"/>
      <c r="D508" s="339"/>
      <c r="E508" s="339"/>
      <c r="F508" s="339"/>
      <c r="G508" s="339"/>
      <c r="H508" s="339"/>
      <c r="I508" s="341"/>
      <c r="J508" s="340"/>
      <c r="K508" s="339"/>
      <c r="L508" s="341"/>
      <c r="M508" s="339"/>
      <c r="N508" s="339"/>
      <c r="O508" s="341"/>
      <c r="P508" s="339"/>
      <c r="Q508" s="341"/>
      <c r="R508" s="339"/>
      <c r="S508" s="341"/>
      <c r="T508" s="339"/>
      <c r="U508" s="339"/>
      <c r="V508" s="339"/>
      <c r="W508" s="339"/>
      <c r="X508" s="339"/>
      <c r="Y508" s="339"/>
      <c r="Z508" s="339"/>
    </row>
    <row r="509" spans="1:26" ht="15.75" customHeight="1">
      <c r="A509" s="339"/>
      <c r="B509" s="339"/>
      <c r="C509" s="339"/>
      <c r="D509" s="339"/>
      <c r="E509" s="339"/>
      <c r="F509" s="339"/>
      <c r="G509" s="339"/>
      <c r="H509" s="339"/>
      <c r="I509" s="341"/>
      <c r="J509" s="340"/>
      <c r="K509" s="339"/>
      <c r="L509" s="341"/>
      <c r="M509" s="339"/>
      <c r="N509" s="339"/>
      <c r="O509" s="341"/>
      <c r="P509" s="339"/>
      <c r="Q509" s="341"/>
      <c r="R509" s="339"/>
      <c r="S509" s="341"/>
      <c r="T509" s="339"/>
      <c r="U509" s="339"/>
      <c r="V509" s="339"/>
      <c r="W509" s="339"/>
      <c r="X509" s="339"/>
      <c r="Y509" s="339"/>
      <c r="Z509" s="339"/>
    </row>
    <row r="510" spans="1:26" ht="15.75" customHeight="1">
      <c r="A510" s="339"/>
      <c r="B510" s="339"/>
      <c r="C510" s="339"/>
      <c r="D510" s="339"/>
      <c r="E510" s="339"/>
      <c r="F510" s="339"/>
      <c r="G510" s="339"/>
      <c r="H510" s="339"/>
      <c r="I510" s="341"/>
      <c r="J510" s="340"/>
      <c r="K510" s="339"/>
      <c r="L510" s="341"/>
      <c r="M510" s="339"/>
      <c r="N510" s="339"/>
      <c r="O510" s="341"/>
      <c r="P510" s="339"/>
      <c r="Q510" s="341"/>
      <c r="R510" s="339"/>
      <c r="S510" s="341"/>
      <c r="T510" s="339"/>
      <c r="U510" s="339"/>
      <c r="V510" s="339"/>
      <c r="W510" s="339"/>
      <c r="X510" s="339"/>
      <c r="Y510" s="339"/>
      <c r="Z510" s="339"/>
    </row>
    <row r="511" spans="1:26" ht="15.75" customHeight="1">
      <c r="A511" s="339"/>
      <c r="B511" s="339"/>
      <c r="C511" s="339"/>
      <c r="D511" s="339"/>
      <c r="E511" s="339"/>
      <c r="F511" s="339"/>
      <c r="G511" s="339"/>
      <c r="H511" s="339"/>
      <c r="I511" s="341"/>
      <c r="J511" s="340"/>
      <c r="K511" s="339"/>
      <c r="L511" s="341"/>
      <c r="M511" s="339"/>
      <c r="N511" s="339"/>
      <c r="O511" s="341"/>
      <c r="P511" s="339"/>
      <c r="Q511" s="341"/>
      <c r="R511" s="339"/>
      <c r="S511" s="341"/>
      <c r="T511" s="339"/>
      <c r="U511" s="339"/>
      <c r="V511" s="339"/>
      <c r="W511" s="339"/>
      <c r="X511" s="339"/>
      <c r="Y511" s="339"/>
      <c r="Z511" s="339"/>
    </row>
    <row r="512" spans="1:26" ht="15.75" customHeight="1">
      <c r="A512" s="339"/>
      <c r="B512" s="339"/>
      <c r="C512" s="339"/>
      <c r="D512" s="339"/>
      <c r="E512" s="339"/>
      <c r="F512" s="339"/>
      <c r="G512" s="339"/>
      <c r="H512" s="339"/>
      <c r="I512" s="341"/>
      <c r="J512" s="340"/>
      <c r="K512" s="339"/>
      <c r="L512" s="341"/>
      <c r="M512" s="339"/>
      <c r="N512" s="339"/>
      <c r="O512" s="341"/>
      <c r="P512" s="339"/>
      <c r="Q512" s="341"/>
      <c r="R512" s="339"/>
      <c r="S512" s="341"/>
      <c r="T512" s="339"/>
      <c r="U512" s="339"/>
      <c r="V512" s="339"/>
      <c r="W512" s="339"/>
      <c r="X512" s="339"/>
      <c r="Y512" s="339"/>
      <c r="Z512" s="339"/>
    </row>
    <row r="513" spans="1:26" ht="15.75" customHeight="1">
      <c r="A513" s="339"/>
      <c r="B513" s="339"/>
      <c r="C513" s="339"/>
      <c r="D513" s="339"/>
      <c r="E513" s="339"/>
      <c r="F513" s="339"/>
      <c r="G513" s="339"/>
      <c r="H513" s="339"/>
      <c r="I513" s="341"/>
      <c r="J513" s="340"/>
      <c r="K513" s="339"/>
      <c r="L513" s="341"/>
      <c r="M513" s="339"/>
      <c r="N513" s="339"/>
      <c r="O513" s="341"/>
      <c r="P513" s="339"/>
      <c r="Q513" s="341"/>
      <c r="R513" s="339"/>
      <c r="S513" s="341"/>
      <c r="T513" s="339"/>
      <c r="U513" s="339"/>
      <c r="V513" s="339"/>
      <c r="W513" s="339"/>
      <c r="X513" s="339"/>
      <c r="Y513" s="339"/>
      <c r="Z513" s="339"/>
    </row>
    <row r="514" spans="1:26" ht="15.75" customHeight="1">
      <c r="A514" s="339"/>
      <c r="B514" s="339"/>
      <c r="C514" s="339"/>
      <c r="D514" s="339"/>
      <c r="E514" s="339"/>
      <c r="F514" s="339"/>
      <c r="G514" s="339"/>
      <c r="H514" s="339"/>
      <c r="I514" s="341"/>
      <c r="J514" s="340"/>
      <c r="K514" s="339"/>
      <c r="L514" s="341"/>
      <c r="M514" s="339"/>
      <c r="N514" s="339"/>
      <c r="O514" s="341"/>
      <c r="P514" s="339"/>
      <c r="Q514" s="341"/>
      <c r="R514" s="339"/>
      <c r="S514" s="341"/>
      <c r="T514" s="339"/>
      <c r="U514" s="339"/>
      <c r="V514" s="339"/>
      <c r="W514" s="339"/>
      <c r="X514" s="339"/>
      <c r="Y514" s="339"/>
      <c r="Z514" s="339"/>
    </row>
    <row r="515" spans="1:26" ht="15.75" customHeight="1">
      <c r="A515" s="339"/>
      <c r="B515" s="339"/>
      <c r="C515" s="339"/>
      <c r="D515" s="339"/>
      <c r="E515" s="339"/>
      <c r="F515" s="339"/>
      <c r="G515" s="339"/>
      <c r="H515" s="339"/>
      <c r="I515" s="341"/>
      <c r="J515" s="340"/>
      <c r="K515" s="339"/>
      <c r="L515" s="341"/>
      <c r="M515" s="339"/>
      <c r="N515" s="339"/>
      <c r="O515" s="341"/>
      <c r="P515" s="339"/>
      <c r="Q515" s="341"/>
      <c r="R515" s="339"/>
      <c r="S515" s="341"/>
      <c r="T515" s="339"/>
      <c r="U515" s="339"/>
      <c r="V515" s="339"/>
      <c r="W515" s="339"/>
      <c r="X515" s="339"/>
      <c r="Y515" s="339"/>
      <c r="Z515" s="339"/>
    </row>
    <row r="516" spans="1:26" ht="15.75" customHeight="1">
      <c r="A516" s="339"/>
      <c r="B516" s="339"/>
      <c r="C516" s="339"/>
      <c r="D516" s="339"/>
      <c r="E516" s="339"/>
      <c r="F516" s="339"/>
      <c r="G516" s="339"/>
      <c r="H516" s="339"/>
      <c r="I516" s="341"/>
      <c r="J516" s="340"/>
      <c r="K516" s="339"/>
      <c r="L516" s="341"/>
      <c r="M516" s="339"/>
      <c r="N516" s="339"/>
      <c r="O516" s="341"/>
      <c r="P516" s="339"/>
      <c r="Q516" s="341"/>
      <c r="R516" s="339"/>
      <c r="S516" s="341"/>
      <c r="T516" s="339"/>
      <c r="U516" s="339"/>
      <c r="V516" s="339"/>
      <c r="W516" s="339"/>
      <c r="X516" s="339"/>
      <c r="Y516" s="339"/>
      <c r="Z516" s="339"/>
    </row>
    <row r="517" spans="1:26" ht="15.75" customHeight="1">
      <c r="A517" s="339"/>
      <c r="B517" s="339"/>
      <c r="C517" s="339"/>
      <c r="D517" s="339"/>
      <c r="E517" s="339"/>
      <c r="F517" s="339"/>
      <c r="G517" s="339"/>
      <c r="H517" s="339"/>
      <c r="I517" s="341"/>
      <c r="J517" s="340"/>
      <c r="K517" s="339"/>
      <c r="L517" s="341"/>
      <c r="M517" s="339"/>
      <c r="N517" s="339"/>
      <c r="O517" s="341"/>
      <c r="P517" s="339"/>
      <c r="Q517" s="341"/>
      <c r="R517" s="339"/>
      <c r="S517" s="341"/>
      <c r="T517" s="339"/>
      <c r="U517" s="339"/>
      <c r="V517" s="339"/>
      <c r="W517" s="339"/>
      <c r="X517" s="339"/>
      <c r="Y517" s="339"/>
      <c r="Z517" s="339"/>
    </row>
    <row r="518" spans="1:26" ht="15.75" customHeight="1">
      <c r="A518" s="339"/>
      <c r="B518" s="339"/>
      <c r="C518" s="339"/>
      <c r="D518" s="339"/>
      <c r="E518" s="339"/>
      <c r="F518" s="339"/>
      <c r="G518" s="339"/>
      <c r="H518" s="339"/>
      <c r="I518" s="341"/>
      <c r="J518" s="340"/>
      <c r="K518" s="339"/>
      <c r="L518" s="341"/>
      <c r="M518" s="339"/>
      <c r="N518" s="339"/>
      <c r="O518" s="341"/>
      <c r="P518" s="339"/>
      <c r="Q518" s="341"/>
      <c r="R518" s="339"/>
      <c r="S518" s="341"/>
      <c r="T518" s="339"/>
      <c r="U518" s="339"/>
      <c r="V518" s="339"/>
      <c r="W518" s="339"/>
      <c r="X518" s="339"/>
      <c r="Y518" s="339"/>
      <c r="Z518" s="339"/>
    </row>
    <row r="519" spans="1:26" ht="15.75" customHeight="1">
      <c r="A519" s="339"/>
      <c r="B519" s="339"/>
      <c r="C519" s="339"/>
      <c r="D519" s="339"/>
      <c r="E519" s="339"/>
      <c r="F519" s="339"/>
      <c r="G519" s="339"/>
      <c r="H519" s="339"/>
      <c r="I519" s="341"/>
      <c r="J519" s="340"/>
      <c r="K519" s="339"/>
      <c r="L519" s="341"/>
      <c r="M519" s="339"/>
      <c r="N519" s="339"/>
      <c r="O519" s="341"/>
      <c r="P519" s="339"/>
      <c r="Q519" s="341"/>
      <c r="R519" s="339"/>
      <c r="S519" s="341"/>
      <c r="T519" s="339"/>
      <c r="U519" s="339"/>
      <c r="V519" s="339"/>
      <c r="W519" s="339"/>
      <c r="X519" s="339"/>
      <c r="Y519" s="339"/>
      <c r="Z519" s="339"/>
    </row>
    <row r="520" spans="1:26" ht="15.75" customHeight="1">
      <c r="A520" s="339"/>
      <c r="B520" s="339"/>
      <c r="C520" s="339"/>
      <c r="D520" s="339"/>
      <c r="E520" s="339"/>
      <c r="F520" s="339"/>
      <c r="G520" s="339"/>
      <c r="H520" s="339"/>
      <c r="I520" s="341"/>
      <c r="J520" s="340"/>
      <c r="K520" s="339"/>
      <c r="L520" s="341"/>
      <c r="M520" s="339"/>
      <c r="N520" s="339"/>
      <c r="O520" s="341"/>
      <c r="P520" s="339"/>
      <c r="Q520" s="341"/>
      <c r="R520" s="339"/>
      <c r="S520" s="341"/>
      <c r="T520" s="339"/>
      <c r="U520" s="339"/>
      <c r="V520" s="339"/>
      <c r="W520" s="339"/>
      <c r="X520" s="339"/>
      <c r="Y520" s="339"/>
      <c r="Z520" s="339"/>
    </row>
    <row r="521" spans="1:26" ht="15.75" customHeight="1">
      <c r="A521" s="339"/>
      <c r="B521" s="339"/>
      <c r="C521" s="339"/>
      <c r="D521" s="339"/>
      <c r="E521" s="339"/>
      <c r="F521" s="339"/>
      <c r="G521" s="339"/>
      <c r="H521" s="339"/>
      <c r="I521" s="341"/>
      <c r="J521" s="340"/>
      <c r="K521" s="339"/>
      <c r="L521" s="341"/>
      <c r="M521" s="339"/>
      <c r="N521" s="339"/>
      <c r="O521" s="341"/>
      <c r="P521" s="339"/>
      <c r="Q521" s="341"/>
      <c r="R521" s="339"/>
      <c r="S521" s="341"/>
      <c r="T521" s="339"/>
      <c r="U521" s="339"/>
      <c r="V521" s="339"/>
      <c r="W521" s="339"/>
      <c r="X521" s="339"/>
      <c r="Y521" s="339"/>
      <c r="Z521" s="339"/>
    </row>
    <row r="522" spans="1:26" ht="15.75" customHeight="1">
      <c r="A522" s="339"/>
      <c r="B522" s="339"/>
      <c r="C522" s="339"/>
      <c r="D522" s="339"/>
      <c r="E522" s="339"/>
      <c r="F522" s="339"/>
      <c r="G522" s="339"/>
      <c r="H522" s="339"/>
      <c r="I522" s="341"/>
      <c r="J522" s="340"/>
      <c r="K522" s="339"/>
      <c r="L522" s="341"/>
      <c r="M522" s="339"/>
      <c r="N522" s="339"/>
      <c r="O522" s="341"/>
      <c r="P522" s="339"/>
      <c r="Q522" s="341"/>
      <c r="R522" s="339"/>
      <c r="S522" s="341"/>
      <c r="T522" s="339"/>
      <c r="U522" s="339"/>
      <c r="V522" s="339"/>
      <c r="W522" s="339"/>
      <c r="X522" s="339"/>
      <c r="Y522" s="339"/>
      <c r="Z522" s="339"/>
    </row>
    <row r="523" spans="1:26" ht="15.75" customHeight="1">
      <c r="A523" s="339"/>
      <c r="B523" s="339"/>
      <c r="C523" s="339"/>
      <c r="D523" s="339"/>
      <c r="E523" s="339"/>
      <c r="F523" s="339"/>
      <c r="G523" s="339"/>
      <c r="H523" s="339"/>
      <c r="I523" s="341"/>
      <c r="J523" s="340"/>
      <c r="K523" s="339"/>
      <c r="L523" s="341"/>
      <c r="M523" s="339"/>
      <c r="N523" s="339"/>
      <c r="O523" s="341"/>
      <c r="P523" s="339"/>
      <c r="Q523" s="341"/>
      <c r="R523" s="339"/>
      <c r="S523" s="341"/>
      <c r="T523" s="339"/>
      <c r="U523" s="339"/>
      <c r="V523" s="339"/>
      <c r="W523" s="339"/>
      <c r="X523" s="339"/>
      <c r="Y523" s="339"/>
      <c r="Z523" s="339"/>
    </row>
    <row r="524" spans="1:26" ht="15.75" customHeight="1">
      <c r="A524" s="339"/>
      <c r="B524" s="339"/>
      <c r="C524" s="339"/>
      <c r="D524" s="339"/>
      <c r="E524" s="339"/>
      <c r="F524" s="339"/>
      <c r="G524" s="339"/>
      <c r="H524" s="339"/>
      <c r="I524" s="341"/>
      <c r="J524" s="340"/>
      <c r="K524" s="339"/>
      <c r="L524" s="341"/>
      <c r="M524" s="339"/>
      <c r="N524" s="339"/>
      <c r="O524" s="341"/>
      <c r="P524" s="339"/>
      <c r="Q524" s="341"/>
      <c r="R524" s="339"/>
      <c r="S524" s="341"/>
      <c r="T524" s="339"/>
      <c r="U524" s="339"/>
      <c r="V524" s="339"/>
      <c r="W524" s="339"/>
      <c r="X524" s="339"/>
      <c r="Y524" s="339"/>
      <c r="Z524" s="339"/>
    </row>
    <row r="525" spans="1:26" ht="15.75" customHeight="1">
      <c r="A525" s="339"/>
      <c r="B525" s="339"/>
      <c r="C525" s="339"/>
      <c r="D525" s="339"/>
      <c r="E525" s="339"/>
      <c r="F525" s="339"/>
      <c r="G525" s="339"/>
      <c r="H525" s="339"/>
      <c r="I525" s="341"/>
      <c r="J525" s="340"/>
      <c r="K525" s="339"/>
      <c r="L525" s="341"/>
      <c r="M525" s="339"/>
      <c r="N525" s="339"/>
      <c r="O525" s="341"/>
      <c r="P525" s="339"/>
      <c r="Q525" s="341"/>
      <c r="R525" s="339"/>
      <c r="S525" s="341"/>
      <c r="T525" s="339"/>
      <c r="U525" s="339"/>
      <c r="V525" s="339"/>
      <c r="W525" s="339"/>
      <c r="X525" s="339"/>
      <c r="Y525" s="339"/>
      <c r="Z525" s="339"/>
    </row>
    <row r="526" spans="1:26" ht="15.75" customHeight="1">
      <c r="A526" s="339"/>
      <c r="B526" s="339"/>
      <c r="C526" s="339"/>
      <c r="D526" s="339"/>
      <c r="E526" s="339"/>
      <c r="F526" s="339"/>
      <c r="G526" s="339"/>
      <c r="H526" s="339"/>
      <c r="I526" s="341"/>
      <c r="J526" s="340"/>
      <c r="K526" s="339"/>
      <c r="L526" s="341"/>
      <c r="M526" s="339"/>
      <c r="N526" s="339"/>
      <c r="O526" s="341"/>
      <c r="P526" s="339"/>
      <c r="Q526" s="341"/>
      <c r="R526" s="339"/>
      <c r="S526" s="341"/>
      <c r="T526" s="339"/>
      <c r="U526" s="339"/>
      <c r="V526" s="339"/>
      <c r="W526" s="339"/>
      <c r="X526" s="339"/>
      <c r="Y526" s="339"/>
      <c r="Z526" s="339"/>
    </row>
    <row r="527" spans="1:26" ht="15.75" customHeight="1">
      <c r="A527" s="339"/>
      <c r="B527" s="339"/>
      <c r="C527" s="339"/>
      <c r="D527" s="339"/>
      <c r="E527" s="339"/>
      <c r="F527" s="339"/>
      <c r="G527" s="339"/>
      <c r="H527" s="339"/>
      <c r="I527" s="341"/>
      <c r="J527" s="340"/>
      <c r="K527" s="339"/>
      <c r="L527" s="341"/>
      <c r="M527" s="339"/>
      <c r="N527" s="339"/>
      <c r="O527" s="341"/>
      <c r="P527" s="339"/>
      <c r="Q527" s="341"/>
      <c r="R527" s="339"/>
      <c r="S527" s="341"/>
      <c r="T527" s="339"/>
      <c r="U527" s="339"/>
      <c r="V527" s="339"/>
      <c r="W527" s="339"/>
      <c r="X527" s="339"/>
      <c r="Y527" s="339"/>
      <c r="Z527" s="339"/>
    </row>
    <row r="528" spans="1:26" ht="15.75" customHeight="1">
      <c r="A528" s="339"/>
      <c r="B528" s="339"/>
      <c r="C528" s="339"/>
      <c r="D528" s="339"/>
      <c r="E528" s="339"/>
      <c r="F528" s="339"/>
      <c r="G528" s="339"/>
      <c r="H528" s="339"/>
      <c r="I528" s="341"/>
      <c r="J528" s="340"/>
      <c r="K528" s="339"/>
      <c r="L528" s="341"/>
      <c r="M528" s="339"/>
      <c r="N528" s="339"/>
      <c r="O528" s="341"/>
      <c r="P528" s="339"/>
      <c r="Q528" s="341"/>
      <c r="R528" s="339"/>
      <c r="S528" s="341"/>
      <c r="T528" s="339"/>
      <c r="U528" s="339"/>
      <c r="V528" s="339"/>
      <c r="W528" s="339"/>
      <c r="X528" s="339"/>
      <c r="Y528" s="339"/>
      <c r="Z528" s="339"/>
    </row>
    <row r="529" spans="1:26" ht="15.75" customHeight="1">
      <c r="A529" s="339"/>
      <c r="B529" s="339"/>
      <c r="C529" s="339"/>
      <c r="D529" s="339"/>
      <c r="E529" s="339"/>
      <c r="F529" s="339"/>
      <c r="G529" s="339"/>
      <c r="H529" s="339"/>
      <c r="I529" s="341"/>
      <c r="J529" s="340"/>
      <c r="K529" s="339"/>
      <c r="L529" s="341"/>
      <c r="M529" s="339"/>
      <c r="N529" s="339"/>
      <c r="O529" s="341"/>
      <c r="P529" s="339"/>
      <c r="Q529" s="341"/>
      <c r="R529" s="339"/>
      <c r="S529" s="341"/>
      <c r="T529" s="339"/>
      <c r="U529" s="339"/>
      <c r="V529" s="339"/>
      <c r="W529" s="339"/>
      <c r="X529" s="339"/>
      <c r="Y529" s="339"/>
      <c r="Z529" s="339"/>
    </row>
    <row r="530" spans="1:26" ht="15.75" customHeight="1">
      <c r="A530" s="339"/>
      <c r="B530" s="339"/>
      <c r="C530" s="339"/>
      <c r="D530" s="339"/>
      <c r="E530" s="339"/>
      <c r="F530" s="339"/>
      <c r="G530" s="339"/>
      <c r="H530" s="339"/>
      <c r="I530" s="341"/>
      <c r="J530" s="340"/>
      <c r="K530" s="339"/>
      <c r="L530" s="341"/>
      <c r="M530" s="339"/>
      <c r="N530" s="339"/>
      <c r="O530" s="341"/>
      <c r="P530" s="339"/>
      <c r="Q530" s="341"/>
      <c r="R530" s="339"/>
      <c r="S530" s="341"/>
      <c r="T530" s="339"/>
      <c r="U530" s="339"/>
      <c r="V530" s="339"/>
      <c r="W530" s="339"/>
      <c r="X530" s="339"/>
      <c r="Y530" s="339"/>
      <c r="Z530" s="339"/>
    </row>
    <row r="531" spans="1:26" ht="15.75" customHeight="1">
      <c r="A531" s="339"/>
      <c r="B531" s="339"/>
      <c r="C531" s="339"/>
      <c r="D531" s="339"/>
      <c r="E531" s="339"/>
      <c r="F531" s="339"/>
      <c r="G531" s="339"/>
      <c r="H531" s="339"/>
      <c r="I531" s="341"/>
      <c r="J531" s="340"/>
      <c r="K531" s="339"/>
      <c r="L531" s="341"/>
      <c r="M531" s="339"/>
      <c r="N531" s="339"/>
      <c r="O531" s="341"/>
      <c r="P531" s="339"/>
      <c r="Q531" s="341"/>
      <c r="R531" s="339"/>
      <c r="S531" s="341"/>
      <c r="T531" s="339"/>
      <c r="U531" s="339"/>
      <c r="V531" s="339"/>
      <c r="W531" s="339"/>
      <c r="X531" s="339"/>
      <c r="Y531" s="339"/>
      <c r="Z531" s="339"/>
    </row>
    <row r="532" spans="1:26" ht="15.75" customHeight="1">
      <c r="A532" s="339"/>
      <c r="B532" s="339"/>
      <c r="C532" s="339"/>
      <c r="D532" s="339"/>
      <c r="E532" s="339"/>
      <c r="F532" s="339"/>
      <c r="G532" s="339"/>
      <c r="H532" s="339"/>
      <c r="I532" s="341"/>
      <c r="J532" s="340"/>
      <c r="K532" s="339"/>
      <c r="L532" s="341"/>
      <c r="M532" s="339"/>
      <c r="N532" s="339"/>
      <c r="O532" s="341"/>
      <c r="P532" s="339"/>
      <c r="Q532" s="341"/>
      <c r="R532" s="339"/>
      <c r="S532" s="341"/>
      <c r="T532" s="339"/>
      <c r="U532" s="339"/>
      <c r="V532" s="339"/>
      <c r="W532" s="339"/>
      <c r="X532" s="339"/>
      <c r="Y532" s="339"/>
      <c r="Z532" s="339"/>
    </row>
    <row r="533" spans="1:26" ht="15.75" customHeight="1">
      <c r="A533" s="339"/>
      <c r="B533" s="339"/>
      <c r="C533" s="339"/>
      <c r="D533" s="339"/>
      <c r="E533" s="339"/>
      <c r="F533" s="339"/>
      <c r="G533" s="339"/>
      <c r="H533" s="339"/>
      <c r="I533" s="341"/>
      <c r="J533" s="340"/>
      <c r="K533" s="339"/>
      <c r="L533" s="341"/>
      <c r="M533" s="339"/>
      <c r="N533" s="339"/>
      <c r="O533" s="341"/>
      <c r="P533" s="339"/>
      <c r="Q533" s="341"/>
      <c r="R533" s="339"/>
      <c r="S533" s="341"/>
      <c r="T533" s="339"/>
      <c r="U533" s="339"/>
      <c r="V533" s="339"/>
      <c r="W533" s="339"/>
      <c r="X533" s="339"/>
      <c r="Y533" s="339"/>
      <c r="Z533" s="339"/>
    </row>
    <row r="534" spans="1:26" ht="15.75" customHeight="1">
      <c r="A534" s="339"/>
      <c r="B534" s="339"/>
      <c r="C534" s="339"/>
      <c r="D534" s="339"/>
      <c r="E534" s="339"/>
      <c r="F534" s="339"/>
      <c r="G534" s="339"/>
      <c r="H534" s="339"/>
      <c r="I534" s="341"/>
      <c r="J534" s="340"/>
      <c r="K534" s="339"/>
      <c r="L534" s="341"/>
      <c r="M534" s="339"/>
      <c r="N534" s="339"/>
      <c r="O534" s="341"/>
      <c r="P534" s="339"/>
      <c r="Q534" s="341"/>
      <c r="R534" s="339"/>
      <c r="S534" s="341"/>
      <c r="T534" s="339"/>
      <c r="U534" s="339"/>
      <c r="V534" s="339"/>
      <c r="W534" s="339"/>
      <c r="X534" s="339"/>
      <c r="Y534" s="339"/>
      <c r="Z534" s="339"/>
    </row>
    <row r="535" spans="1:26" ht="15.75" customHeight="1">
      <c r="A535" s="339"/>
      <c r="B535" s="339"/>
      <c r="C535" s="339"/>
      <c r="D535" s="339"/>
      <c r="E535" s="339"/>
      <c r="F535" s="339"/>
      <c r="G535" s="339"/>
      <c r="H535" s="339"/>
      <c r="I535" s="341"/>
      <c r="J535" s="340"/>
      <c r="K535" s="339"/>
      <c r="L535" s="341"/>
      <c r="M535" s="339"/>
      <c r="N535" s="339"/>
      <c r="O535" s="341"/>
      <c r="P535" s="339"/>
      <c r="Q535" s="341"/>
      <c r="R535" s="339"/>
      <c r="S535" s="341"/>
      <c r="T535" s="339"/>
      <c r="U535" s="339"/>
      <c r="V535" s="339"/>
      <c r="W535" s="339"/>
      <c r="X535" s="339"/>
      <c r="Y535" s="339"/>
      <c r="Z535" s="339"/>
    </row>
    <row r="536" spans="1:26" ht="15.75" customHeight="1">
      <c r="A536" s="339"/>
      <c r="B536" s="339"/>
      <c r="C536" s="339"/>
      <c r="D536" s="339"/>
      <c r="E536" s="339"/>
      <c r="F536" s="339"/>
      <c r="G536" s="339"/>
      <c r="H536" s="339"/>
      <c r="I536" s="341"/>
      <c r="J536" s="340"/>
      <c r="K536" s="339"/>
      <c r="L536" s="341"/>
      <c r="M536" s="339"/>
      <c r="N536" s="339"/>
      <c r="O536" s="341"/>
      <c r="P536" s="339"/>
      <c r="Q536" s="341"/>
      <c r="R536" s="339"/>
      <c r="S536" s="341"/>
      <c r="T536" s="339"/>
      <c r="U536" s="339"/>
      <c r="V536" s="339"/>
      <c r="W536" s="339"/>
      <c r="X536" s="339"/>
      <c r="Y536" s="339"/>
      <c r="Z536" s="339"/>
    </row>
    <row r="537" spans="1:26" ht="15.75" customHeight="1">
      <c r="A537" s="339"/>
      <c r="B537" s="339"/>
      <c r="C537" s="339"/>
      <c r="D537" s="339"/>
      <c r="E537" s="339"/>
      <c r="F537" s="339"/>
      <c r="G537" s="339"/>
      <c r="H537" s="339"/>
      <c r="I537" s="341"/>
      <c r="J537" s="340"/>
      <c r="K537" s="339"/>
      <c r="L537" s="341"/>
      <c r="M537" s="339"/>
      <c r="N537" s="339"/>
      <c r="O537" s="341"/>
      <c r="P537" s="339"/>
      <c r="Q537" s="341"/>
      <c r="R537" s="339"/>
      <c r="S537" s="341"/>
      <c r="T537" s="339"/>
      <c r="U537" s="339"/>
      <c r="V537" s="339"/>
      <c r="W537" s="339"/>
      <c r="X537" s="339"/>
      <c r="Y537" s="339"/>
      <c r="Z537" s="339"/>
    </row>
    <row r="538" spans="1:26" ht="15.75" customHeight="1">
      <c r="A538" s="339"/>
      <c r="B538" s="339"/>
      <c r="C538" s="339"/>
      <c r="D538" s="339"/>
      <c r="E538" s="339"/>
      <c r="F538" s="339"/>
      <c r="G538" s="339"/>
      <c r="H538" s="339"/>
      <c r="I538" s="341"/>
      <c r="J538" s="340"/>
      <c r="K538" s="339"/>
      <c r="L538" s="341"/>
      <c r="M538" s="339"/>
      <c r="N538" s="339"/>
      <c r="O538" s="341"/>
      <c r="P538" s="339"/>
      <c r="Q538" s="341"/>
      <c r="R538" s="339"/>
      <c r="S538" s="341"/>
      <c r="T538" s="339"/>
      <c r="U538" s="339"/>
      <c r="V538" s="339"/>
      <c r="W538" s="339"/>
      <c r="X538" s="339"/>
      <c r="Y538" s="339"/>
      <c r="Z538" s="339"/>
    </row>
    <row r="539" spans="1:26" ht="15.75" customHeight="1">
      <c r="A539" s="339"/>
      <c r="B539" s="339"/>
      <c r="C539" s="339"/>
      <c r="D539" s="339"/>
      <c r="E539" s="339"/>
      <c r="F539" s="339"/>
      <c r="G539" s="339"/>
      <c r="H539" s="339"/>
      <c r="I539" s="341"/>
      <c r="J539" s="340"/>
      <c r="K539" s="339"/>
      <c r="L539" s="341"/>
      <c r="M539" s="339"/>
      <c r="N539" s="339"/>
      <c r="O539" s="341"/>
      <c r="P539" s="339"/>
      <c r="Q539" s="341"/>
      <c r="R539" s="339"/>
      <c r="S539" s="341"/>
      <c r="T539" s="339"/>
      <c r="U539" s="339"/>
      <c r="V539" s="339"/>
      <c r="W539" s="339"/>
      <c r="X539" s="339"/>
      <c r="Y539" s="339"/>
      <c r="Z539" s="339"/>
    </row>
    <row r="540" spans="1:26" ht="15.75" customHeight="1">
      <c r="A540" s="339"/>
      <c r="B540" s="339"/>
      <c r="C540" s="339"/>
      <c r="D540" s="339"/>
      <c r="E540" s="339"/>
      <c r="F540" s="339"/>
      <c r="G540" s="339"/>
      <c r="H540" s="339"/>
      <c r="I540" s="341"/>
      <c r="J540" s="340"/>
      <c r="K540" s="339"/>
      <c r="L540" s="341"/>
      <c r="M540" s="339"/>
      <c r="N540" s="339"/>
      <c r="O540" s="341"/>
      <c r="P540" s="339"/>
      <c r="Q540" s="341"/>
      <c r="R540" s="339"/>
      <c r="S540" s="341"/>
      <c r="T540" s="339"/>
      <c r="U540" s="339"/>
      <c r="V540" s="339"/>
      <c r="W540" s="339"/>
      <c r="X540" s="339"/>
      <c r="Y540" s="339"/>
      <c r="Z540" s="339"/>
    </row>
    <row r="541" spans="1:26" ht="15.75" customHeight="1">
      <c r="A541" s="339"/>
      <c r="B541" s="339"/>
      <c r="C541" s="339"/>
      <c r="D541" s="339"/>
      <c r="E541" s="339"/>
      <c r="F541" s="339"/>
      <c r="G541" s="339"/>
      <c r="H541" s="339"/>
      <c r="I541" s="341"/>
      <c r="J541" s="340"/>
      <c r="K541" s="339"/>
      <c r="L541" s="341"/>
      <c r="M541" s="339"/>
      <c r="N541" s="339"/>
      <c r="O541" s="341"/>
      <c r="P541" s="339"/>
      <c r="Q541" s="341"/>
      <c r="R541" s="339"/>
      <c r="S541" s="341"/>
      <c r="T541" s="339"/>
      <c r="U541" s="339"/>
      <c r="V541" s="339"/>
      <c r="W541" s="339"/>
      <c r="X541" s="339"/>
      <c r="Y541" s="339"/>
      <c r="Z541" s="339"/>
    </row>
    <row r="542" spans="1:26" ht="15.75" customHeight="1">
      <c r="A542" s="339"/>
      <c r="B542" s="339"/>
      <c r="C542" s="339"/>
      <c r="D542" s="339"/>
      <c r="E542" s="339"/>
      <c r="F542" s="339"/>
      <c r="G542" s="339"/>
      <c r="H542" s="339"/>
      <c r="I542" s="341"/>
      <c r="J542" s="340"/>
      <c r="K542" s="339"/>
      <c r="L542" s="341"/>
      <c r="M542" s="339"/>
      <c r="N542" s="339"/>
      <c r="O542" s="341"/>
      <c r="P542" s="339"/>
      <c r="Q542" s="341"/>
      <c r="R542" s="339"/>
      <c r="S542" s="341"/>
      <c r="T542" s="339"/>
      <c r="U542" s="339"/>
      <c r="V542" s="339"/>
      <c r="W542" s="339"/>
      <c r="X542" s="339"/>
      <c r="Y542" s="339"/>
      <c r="Z542" s="339"/>
    </row>
    <row r="543" spans="1:26" ht="15.75" customHeight="1">
      <c r="A543" s="339"/>
      <c r="B543" s="339"/>
      <c r="C543" s="339"/>
      <c r="D543" s="339"/>
      <c r="E543" s="339"/>
      <c r="F543" s="339"/>
      <c r="G543" s="339"/>
      <c r="H543" s="339"/>
      <c r="I543" s="341"/>
      <c r="J543" s="340"/>
      <c r="K543" s="339"/>
      <c r="L543" s="341"/>
      <c r="M543" s="339"/>
      <c r="N543" s="339"/>
      <c r="O543" s="341"/>
      <c r="P543" s="339"/>
      <c r="Q543" s="341"/>
      <c r="R543" s="339"/>
      <c r="S543" s="341"/>
      <c r="T543" s="339"/>
      <c r="U543" s="339"/>
      <c r="V543" s="339"/>
      <c r="W543" s="339"/>
      <c r="X543" s="339"/>
      <c r="Y543" s="339"/>
      <c r="Z543" s="339"/>
    </row>
    <row r="544" spans="1:26" ht="15.75" customHeight="1">
      <c r="A544" s="339"/>
      <c r="B544" s="339"/>
      <c r="C544" s="339"/>
      <c r="D544" s="339"/>
      <c r="E544" s="339"/>
      <c r="F544" s="339"/>
      <c r="G544" s="339"/>
      <c r="H544" s="339"/>
      <c r="I544" s="341"/>
      <c r="J544" s="340"/>
      <c r="K544" s="339"/>
      <c r="L544" s="341"/>
      <c r="M544" s="339"/>
      <c r="N544" s="339"/>
      <c r="O544" s="341"/>
      <c r="P544" s="339"/>
      <c r="Q544" s="341"/>
      <c r="R544" s="339"/>
      <c r="S544" s="341"/>
      <c r="T544" s="339"/>
      <c r="U544" s="339"/>
      <c r="V544" s="339"/>
      <c r="W544" s="339"/>
      <c r="X544" s="339"/>
      <c r="Y544" s="339"/>
      <c r="Z544" s="339"/>
    </row>
    <row r="545" spans="1:26" ht="15.75" customHeight="1">
      <c r="A545" s="339"/>
      <c r="B545" s="339"/>
      <c r="C545" s="339"/>
      <c r="D545" s="339"/>
      <c r="E545" s="339"/>
      <c r="F545" s="339"/>
      <c r="G545" s="339"/>
      <c r="H545" s="339"/>
      <c r="I545" s="341"/>
      <c r="J545" s="340"/>
      <c r="K545" s="339"/>
      <c r="L545" s="341"/>
      <c r="M545" s="339"/>
      <c r="N545" s="339"/>
      <c r="O545" s="341"/>
      <c r="P545" s="339"/>
      <c r="Q545" s="341"/>
      <c r="R545" s="339"/>
      <c r="S545" s="341"/>
      <c r="T545" s="339"/>
      <c r="U545" s="339"/>
      <c r="V545" s="339"/>
      <c r="W545" s="339"/>
      <c r="X545" s="339"/>
      <c r="Y545" s="339"/>
      <c r="Z545" s="339"/>
    </row>
    <row r="546" spans="1:26" ht="15.75" customHeight="1">
      <c r="A546" s="339"/>
      <c r="B546" s="339"/>
      <c r="C546" s="339"/>
      <c r="D546" s="339"/>
      <c r="E546" s="339"/>
      <c r="F546" s="339"/>
      <c r="G546" s="339"/>
      <c r="H546" s="339"/>
      <c r="I546" s="341"/>
      <c r="J546" s="340"/>
      <c r="K546" s="339"/>
      <c r="L546" s="341"/>
      <c r="M546" s="339"/>
      <c r="N546" s="339"/>
      <c r="O546" s="341"/>
      <c r="P546" s="339"/>
      <c r="Q546" s="341"/>
      <c r="R546" s="339"/>
      <c r="S546" s="341"/>
      <c r="T546" s="339"/>
      <c r="U546" s="339"/>
      <c r="V546" s="339"/>
      <c r="W546" s="339"/>
      <c r="X546" s="339"/>
      <c r="Y546" s="339"/>
      <c r="Z546" s="339"/>
    </row>
    <row r="547" spans="1:26" ht="15.75" customHeight="1">
      <c r="A547" s="339"/>
      <c r="B547" s="339"/>
      <c r="C547" s="339"/>
      <c r="D547" s="339"/>
      <c r="E547" s="339"/>
      <c r="F547" s="339"/>
      <c r="G547" s="339"/>
      <c r="H547" s="339"/>
      <c r="I547" s="341"/>
      <c r="J547" s="340"/>
      <c r="K547" s="339"/>
      <c r="L547" s="341"/>
      <c r="M547" s="339"/>
      <c r="N547" s="339"/>
      <c r="O547" s="341"/>
      <c r="P547" s="339"/>
      <c r="Q547" s="341"/>
      <c r="R547" s="339"/>
      <c r="S547" s="341"/>
      <c r="T547" s="339"/>
      <c r="U547" s="339"/>
      <c r="V547" s="339"/>
      <c r="W547" s="339"/>
      <c r="X547" s="339"/>
      <c r="Y547" s="339"/>
      <c r="Z547" s="339"/>
    </row>
    <row r="548" spans="1:26" ht="15.75" customHeight="1">
      <c r="A548" s="339"/>
      <c r="B548" s="339"/>
      <c r="C548" s="339"/>
      <c r="D548" s="339"/>
      <c r="E548" s="339"/>
      <c r="F548" s="339"/>
      <c r="G548" s="339"/>
      <c r="H548" s="339"/>
      <c r="I548" s="341"/>
      <c r="J548" s="340"/>
      <c r="K548" s="339"/>
      <c r="L548" s="341"/>
      <c r="M548" s="339"/>
      <c r="N548" s="339"/>
      <c r="O548" s="341"/>
      <c r="P548" s="339"/>
      <c r="Q548" s="341"/>
      <c r="R548" s="339"/>
      <c r="S548" s="341"/>
      <c r="T548" s="339"/>
      <c r="U548" s="339"/>
      <c r="V548" s="339"/>
      <c r="W548" s="339"/>
      <c r="X548" s="339"/>
      <c r="Y548" s="339"/>
      <c r="Z548" s="339"/>
    </row>
    <row r="549" spans="1:26" ht="15.75" customHeight="1">
      <c r="A549" s="339"/>
      <c r="B549" s="339"/>
      <c r="C549" s="339"/>
      <c r="D549" s="339"/>
      <c r="E549" s="339"/>
      <c r="F549" s="339"/>
      <c r="G549" s="339"/>
      <c r="H549" s="339"/>
      <c r="I549" s="341"/>
      <c r="J549" s="340"/>
      <c r="K549" s="339"/>
      <c r="L549" s="341"/>
      <c r="M549" s="339"/>
      <c r="N549" s="339"/>
      <c r="O549" s="341"/>
      <c r="P549" s="339"/>
      <c r="Q549" s="341"/>
      <c r="R549" s="339"/>
      <c r="S549" s="341"/>
      <c r="T549" s="339"/>
      <c r="U549" s="339"/>
      <c r="V549" s="339"/>
      <c r="W549" s="339"/>
      <c r="X549" s="339"/>
      <c r="Y549" s="339"/>
      <c r="Z549" s="339"/>
    </row>
    <row r="550" spans="1:26" ht="15.75" customHeight="1">
      <c r="A550" s="339"/>
      <c r="B550" s="339"/>
      <c r="C550" s="339"/>
      <c r="D550" s="339"/>
      <c r="E550" s="339"/>
      <c r="F550" s="339"/>
      <c r="G550" s="339"/>
      <c r="H550" s="339"/>
      <c r="I550" s="341"/>
      <c r="J550" s="340"/>
      <c r="K550" s="339"/>
      <c r="L550" s="341"/>
      <c r="M550" s="339"/>
      <c r="N550" s="339"/>
      <c r="O550" s="341"/>
      <c r="P550" s="339"/>
      <c r="Q550" s="341"/>
      <c r="R550" s="339"/>
      <c r="S550" s="341"/>
      <c r="T550" s="339"/>
      <c r="U550" s="339"/>
      <c r="V550" s="339"/>
      <c r="W550" s="339"/>
      <c r="X550" s="339"/>
      <c r="Y550" s="339"/>
      <c r="Z550" s="339"/>
    </row>
    <row r="551" spans="1:26" ht="15.75" customHeight="1">
      <c r="A551" s="339"/>
      <c r="B551" s="339"/>
      <c r="C551" s="339"/>
      <c r="D551" s="339"/>
      <c r="E551" s="339"/>
      <c r="F551" s="339"/>
      <c r="G551" s="339"/>
      <c r="H551" s="339"/>
      <c r="I551" s="341"/>
      <c r="J551" s="340"/>
      <c r="K551" s="339"/>
      <c r="L551" s="341"/>
      <c r="M551" s="339"/>
      <c r="N551" s="339"/>
      <c r="O551" s="341"/>
      <c r="P551" s="339"/>
      <c r="Q551" s="341"/>
      <c r="R551" s="339"/>
      <c r="S551" s="341"/>
      <c r="T551" s="339"/>
      <c r="U551" s="339"/>
      <c r="V551" s="339"/>
      <c r="W551" s="339"/>
      <c r="X551" s="339"/>
      <c r="Y551" s="339"/>
      <c r="Z551" s="339"/>
    </row>
    <row r="552" spans="1:26" ht="15.75" customHeight="1">
      <c r="A552" s="339"/>
      <c r="B552" s="339"/>
      <c r="C552" s="339"/>
      <c r="D552" s="339"/>
      <c r="E552" s="339"/>
      <c r="F552" s="339"/>
      <c r="G552" s="339"/>
      <c r="H552" s="339"/>
      <c r="I552" s="341"/>
      <c r="J552" s="340"/>
      <c r="K552" s="339"/>
      <c r="L552" s="341"/>
      <c r="M552" s="339"/>
      <c r="N552" s="339"/>
      <c r="O552" s="341"/>
      <c r="P552" s="339"/>
      <c r="Q552" s="341"/>
      <c r="R552" s="339"/>
      <c r="S552" s="341"/>
      <c r="T552" s="339"/>
      <c r="U552" s="339"/>
      <c r="V552" s="339"/>
      <c r="W552" s="339"/>
      <c r="X552" s="339"/>
      <c r="Y552" s="339"/>
      <c r="Z552" s="339"/>
    </row>
    <row r="553" spans="1:26" ht="15.75" customHeight="1">
      <c r="A553" s="339"/>
      <c r="B553" s="339"/>
      <c r="C553" s="339"/>
      <c r="D553" s="339"/>
      <c r="E553" s="339"/>
      <c r="F553" s="339"/>
      <c r="G553" s="339"/>
      <c r="H553" s="339"/>
      <c r="I553" s="341"/>
      <c r="J553" s="340"/>
      <c r="K553" s="339"/>
      <c r="L553" s="341"/>
      <c r="M553" s="339"/>
      <c r="N553" s="339"/>
      <c r="O553" s="341"/>
      <c r="P553" s="339"/>
      <c r="Q553" s="341"/>
      <c r="R553" s="339"/>
      <c r="S553" s="341"/>
      <c r="T553" s="339"/>
      <c r="U553" s="339"/>
      <c r="V553" s="339"/>
      <c r="W553" s="339"/>
      <c r="X553" s="339"/>
      <c r="Y553" s="339"/>
      <c r="Z553" s="339"/>
    </row>
    <row r="554" spans="1:26" ht="15.75" customHeight="1">
      <c r="A554" s="339"/>
      <c r="B554" s="339"/>
      <c r="C554" s="339"/>
      <c r="D554" s="339"/>
      <c r="E554" s="339"/>
      <c r="F554" s="339"/>
      <c r="G554" s="339"/>
      <c r="H554" s="339"/>
      <c r="I554" s="341"/>
      <c r="J554" s="340"/>
      <c r="K554" s="339"/>
      <c r="L554" s="341"/>
      <c r="M554" s="339"/>
      <c r="N554" s="339"/>
      <c r="O554" s="341"/>
      <c r="P554" s="339"/>
      <c r="Q554" s="341"/>
      <c r="R554" s="339"/>
      <c r="S554" s="341"/>
      <c r="T554" s="339"/>
      <c r="U554" s="339"/>
      <c r="V554" s="339"/>
      <c r="W554" s="339"/>
      <c r="X554" s="339"/>
      <c r="Y554" s="339"/>
      <c r="Z554" s="339"/>
    </row>
    <row r="555" spans="1:26" ht="15.75" customHeight="1">
      <c r="A555" s="339"/>
      <c r="B555" s="339"/>
      <c r="C555" s="339"/>
      <c r="D555" s="339"/>
      <c r="E555" s="339"/>
      <c r="F555" s="339"/>
      <c r="G555" s="339"/>
      <c r="H555" s="339"/>
      <c r="I555" s="341"/>
      <c r="J555" s="340"/>
      <c r="K555" s="339"/>
      <c r="L555" s="341"/>
      <c r="M555" s="339"/>
      <c r="N555" s="339"/>
      <c r="O555" s="341"/>
      <c r="P555" s="339"/>
      <c r="Q555" s="341"/>
      <c r="R555" s="339"/>
      <c r="S555" s="341"/>
      <c r="T555" s="339"/>
      <c r="U555" s="339"/>
      <c r="V555" s="339"/>
      <c r="W555" s="339"/>
      <c r="X555" s="339"/>
      <c r="Y555" s="339"/>
      <c r="Z555" s="339"/>
    </row>
    <row r="556" spans="1:26" ht="15.75" customHeight="1">
      <c r="A556" s="339"/>
      <c r="B556" s="339"/>
      <c r="C556" s="339"/>
      <c r="D556" s="339"/>
      <c r="E556" s="339"/>
      <c r="F556" s="339"/>
      <c r="G556" s="339"/>
      <c r="H556" s="339"/>
      <c r="I556" s="341"/>
      <c r="J556" s="340"/>
      <c r="K556" s="339"/>
      <c r="L556" s="341"/>
      <c r="M556" s="339"/>
      <c r="N556" s="339"/>
      <c r="O556" s="341"/>
      <c r="P556" s="339"/>
      <c r="Q556" s="341"/>
      <c r="R556" s="339"/>
      <c r="S556" s="341"/>
      <c r="T556" s="339"/>
      <c r="U556" s="339"/>
      <c r="V556" s="339"/>
      <c r="W556" s="339"/>
      <c r="X556" s="339"/>
      <c r="Y556" s="339"/>
      <c r="Z556" s="339"/>
    </row>
    <row r="557" spans="1:26" ht="15.75" customHeight="1">
      <c r="A557" s="339"/>
      <c r="B557" s="339"/>
      <c r="C557" s="339"/>
      <c r="D557" s="339"/>
      <c r="E557" s="339"/>
      <c r="F557" s="339"/>
      <c r="G557" s="339"/>
      <c r="H557" s="339"/>
      <c r="I557" s="341"/>
      <c r="J557" s="340"/>
      <c r="K557" s="339"/>
      <c r="L557" s="341"/>
      <c r="M557" s="339"/>
      <c r="N557" s="339"/>
      <c r="O557" s="341"/>
      <c r="P557" s="339"/>
      <c r="Q557" s="341"/>
      <c r="R557" s="339"/>
      <c r="S557" s="341"/>
      <c r="T557" s="339"/>
      <c r="U557" s="339"/>
      <c r="V557" s="339"/>
      <c r="W557" s="339"/>
      <c r="X557" s="339"/>
      <c r="Y557" s="339"/>
      <c r="Z557" s="339"/>
    </row>
    <row r="558" spans="1:26" ht="15.75" customHeight="1">
      <c r="A558" s="339"/>
      <c r="B558" s="339"/>
      <c r="C558" s="339"/>
      <c r="D558" s="339"/>
      <c r="E558" s="339"/>
      <c r="F558" s="339"/>
      <c r="G558" s="339"/>
      <c r="H558" s="339"/>
      <c r="I558" s="341"/>
      <c r="J558" s="340"/>
      <c r="K558" s="339"/>
      <c r="L558" s="341"/>
      <c r="M558" s="339"/>
      <c r="N558" s="339"/>
      <c r="O558" s="341"/>
      <c r="P558" s="339"/>
      <c r="Q558" s="341"/>
      <c r="R558" s="339"/>
      <c r="S558" s="341"/>
      <c r="T558" s="339"/>
      <c r="U558" s="339"/>
      <c r="V558" s="339"/>
      <c r="W558" s="339"/>
      <c r="X558" s="339"/>
      <c r="Y558" s="339"/>
      <c r="Z558" s="339"/>
    </row>
    <row r="559" spans="1:26" ht="15.75" customHeight="1">
      <c r="A559" s="339"/>
      <c r="B559" s="339"/>
      <c r="C559" s="339"/>
      <c r="D559" s="339"/>
      <c r="E559" s="339"/>
      <c r="F559" s="339"/>
      <c r="G559" s="339"/>
      <c r="H559" s="339"/>
      <c r="I559" s="341"/>
      <c r="J559" s="340"/>
      <c r="K559" s="339"/>
      <c r="L559" s="341"/>
      <c r="M559" s="339"/>
      <c r="N559" s="339"/>
      <c r="O559" s="341"/>
      <c r="P559" s="339"/>
      <c r="Q559" s="341"/>
      <c r="R559" s="339"/>
      <c r="S559" s="341"/>
      <c r="T559" s="339"/>
      <c r="U559" s="339"/>
      <c r="V559" s="339"/>
      <c r="W559" s="339"/>
      <c r="X559" s="339"/>
      <c r="Y559" s="339"/>
      <c r="Z559" s="339"/>
    </row>
    <row r="560" spans="1:26" ht="15.75" customHeight="1">
      <c r="A560" s="339"/>
      <c r="B560" s="339"/>
      <c r="C560" s="339"/>
      <c r="D560" s="339"/>
      <c r="E560" s="339"/>
      <c r="F560" s="339"/>
      <c r="G560" s="339"/>
      <c r="H560" s="339"/>
      <c r="I560" s="341"/>
      <c r="J560" s="340"/>
      <c r="K560" s="339"/>
      <c r="L560" s="341"/>
      <c r="M560" s="339"/>
      <c r="N560" s="339"/>
      <c r="O560" s="341"/>
      <c r="P560" s="339"/>
      <c r="Q560" s="341"/>
      <c r="R560" s="339"/>
      <c r="S560" s="341"/>
      <c r="T560" s="339"/>
      <c r="U560" s="339"/>
      <c r="V560" s="339"/>
      <c r="W560" s="339"/>
      <c r="X560" s="339"/>
      <c r="Y560" s="339"/>
      <c r="Z560" s="339"/>
    </row>
    <row r="561" spans="1:26" ht="15.75" customHeight="1">
      <c r="A561" s="339"/>
      <c r="B561" s="339"/>
      <c r="C561" s="339"/>
      <c r="D561" s="339"/>
      <c r="E561" s="339"/>
      <c r="F561" s="339"/>
      <c r="G561" s="339"/>
      <c r="H561" s="339"/>
      <c r="I561" s="341"/>
      <c r="J561" s="340"/>
      <c r="K561" s="339"/>
      <c r="L561" s="341"/>
      <c r="M561" s="339"/>
      <c r="N561" s="339"/>
      <c r="O561" s="341"/>
      <c r="P561" s="339"/>
      <c r="Q561" s="341"/>
      <c r="R561" s="339"/>
      <c r="S561" s="341"/>
      <c r="T561" s="339"/>
      <c r="U561" s="339"/>
      <c r="V561" s="339"/>
      <c r="W561" s="339"/>
      <c r="X561" s="339"/>
      <c r="Y561" s="339"/>
      <c r="Z561" s="339"/>
    </row>
    <row r="562" spans="1:26" ht="15.75" customHeight="1">
      <c r="A562" s="339"/>
      <c r="B562" s="339"/>
      <c r="C562" s="339"/>
      <c r="D562" s="339"/>
      <c r="E562" s="339"/>
      <c r="F562" s="339"/>
      <c r="G562" s="339"/>
      <c r="H562" s="339"/>
      <c r="I562" s="341"/>
      <c r="J562" s="340"/>
      <c r="K562" s="339"/>
      <c r="L562" s="341"/>
      <c r="M562" s="339"/>
      <c r="N562" s="339"/>
      <c r="O562" s="341"/>
      <c r="P562" s="339"/>
      <c r="Q562" s="341"/>
      <c r="R562" s="339"/>
      <c r="S562" s="341"/>
      <c r="T562" s="339"/>
      <c r="U562" s="339"/>
      <c r="V562" s="339"/>
      <c r="W562" s="339"/>
      <c r="X562" s="339"/>
      <c r="Y562" s="339"/>
      <c r="Z562" s="339"/>
    </row>
    <row r="563" spans="1:26" ht="15.75" customHeight="1">
      <c r="A563" s="339"/>
      <c r="B563" s="339"/>
      <c r="C563" s="339"/>
      <c r="D563" s="339"/>
      <c r="E563" s="339"/>
      <c r="F563" s="339"/>
      <c r="G563" s="339"/>
      <c r="H563" s="339"/>
      <c r="I563" s="341"/>
      <c r="J563" s="340"/>
      <c r="K563" s="339"/>
      <c r="L563" s="341"/>
      <c r="M563" s="339"/>
      <c r="N563" s="339"/>
      <c r="O563" s="341"/>
      <c r="P563" s="339"/>
      <c r="Q563" s="341"/>
      <c r="R563" s="339"/>
      <c r="S563" s="341"/>
      <c r="T563" s="339"/>
      <c r="U563" s="339"/>
      <c r="V563" s="339"/>
      <c r="W563" s="339"/>
      <c r="X563" s="339"/>
      <c r="Y563" s="339"/>
      <c r="Z563" s="339"/>
    </row>
    <row r="564" spans="1:26" ht="15.75" customHeight="1">
      <c r="A564" s="339"/>
      <c r="B564" s="339"/>
      <c r="C564" s="339"/>
      <c r="D564" s="339"/>
      <c r="E564" s="339"/>
      <c r="F564" s="339"/>
      <c r="G564" s="339"/>
      <c r="H564" s="339"/>
      <c r="I564" s="341"/>
      <c r="J564" s="340"/>
      <c r="K564" s="339"/>
      <c r="L564" s="341"/>
      <c r="M564" s="339"/>
      <c r="N564" s="339"/>
      <c r="O564" s="341"/>
      <c r="P564" s="339"/>
      <c r="Q564" s="341"/>
      <c r="R564" s="339"/>
      <c r="S564" s="341"/>
      <c r="T564" s="339"/>
      <c r="U564" s="339"/>
      <c r="V564" s="339"/>
      <c r="W564" s="339"/>
      <c r="X564" s="339"/>
      <c r="Y564" s="339"/>
      <c r="Z564" s="339"/>
    </row>
    <row r="565" spans="1:26" ht="15.75" customHeight="1">
      <c r="A565" s="339"/>
      <c r="B565" s="339"/>
      <c r="C565" s="339"/>
      <c r="D565" s="339"/>
      <c r="E565" s="339"/>
      <c r="F565" s="339"/>
      <c r="G565" s="339"/>
      <c r="H565" s="339"/>
      <c r="I565" s="341"/>
      <c r="J565" s="340"/>
      <c r="K565" s="339"/>
      <c r="L565" s="341"/>
      <c r="M565" s="339"/>
      <c r="N565" s="339"/>
      <c r="O565" s="341"/>
      <c r="P565" s="339"/>
      <c r="Q565" s="341"/>
      <c r="R565" s="339"/>
      <c r="S565" s="341"/>
      <c r="T565" s="339"/>
      <c r="U565" s="339"/>
      <c r="V565" s="339"/>
      <c r="W565" s="339"/>
      <c r="X565" s="339"/>
      <c r="Y565" s="339"/>
      <c r="Z565" s="339"/>
    </row>
    <row r="566" spans="1:26" ht="15.75" customHeight="1">
      <c r="A566" s="339"/>
      <c r="B566" s="339"/>
      <c r="C566" s="339"/>
      <c r="D566" s="339"/>
      <c r="E566" s="339"/>
      <c r="F566" s="339"/>
      <c r="G566" s="339"/>
      <c r="H566" s="339"/>
      <c r="I566" s="341"/>
      <c r="J566" s="340"/>
      <c r="K566" s="339"/>
      <c r="L566" s="341"/>
      <c r="M566" s="339"/>
      <c r="N566" s="339"/>
      <c r="O566" s="341"/>
      <c r="P566" s="339"/>
      <c r="Q566" s="341"/>
      <c r="R566" s="339"/>
      <c r="S566" s="341"/>
      <c r="T566" s="339"/>
      <c r="U566" s="339"/>
      <c r="V566" s="339"/>
      <c r="W566" s="339"/>
      <c r="X566" s="339"/>
      <c r="Y566" s="339"/>
      <c r="Z566" s="339"/>
    </row>
    <row r="567" spans="1:26" ht="15.75" customHeight="1">
      <c r="A567" s="339"/>
      <c r="B567" s="339"/>
      <c r="C567" s="339"/>
      <c r="D567" s="339"/>
      <c r="E567" s="339"/>
      <c r="F567" s="339"/>
      <c r="G567" s="339"/>
      <c r="H567" s="339"/>
      <c r="I567" s="341"/>
      <c r="J567" s="340"/>
      <c r="K567" s="339"/>
      <c r="L567" s="341"/>
      <c r="M567" s="339"/>
      <c r="N567" s="339"/>
      <c r="O567" s="341"/>
      <c r="P567" s="339"/>
      <c r="Q567" s="341"/>
      <c r="R567" s="339"/>
      <c r="S567" s="341"/>
      <c r="T567" s="339"/>
      <c r="U567" s="339"/>
      <c r="V567" s="339"/>
      <c r="W567" s="339"/>
      <c r="X567" s="339"/>
      <c r="Y567" s="339"/>
      <c r="Z567" s="339"/>
    </row>
    <row r="568" spans="1:26" ht="15.75" customHeight="1">
      <c r="A568" s="339"/>
      <c r="B568" s="339"/>
      <c r="C568" s="339"/>
      <c r="D568" s="339"/>
      <c r="E568" s="339"/>
      <c r="F568" s="339"/>
      <c r="G568" s="339"/>
      <c r="H568" s="339"/>
      <c r="I568" s="341"/>
      <c r="J568" s="340"/>
      <c r="K568" s="339"/>
      <c r="L568" s="341"/>
      <c r="M568" s="339"/>
      <c r="N568" s="339"/>
      <c r="O568" s="341"/>
      <c r="P568" s="339"/>
      <c r="Q568" s="341"/>
      <c r="R568" s="339"/>
      <c r="S568" s="341"/>
      <c r="T568" s="339"/>
      <c r="U568" s="339"/>
      <c r="V568" s="339"/>
      <c r="W568" s="339"/>
      <c r="X568" s="339"/>
      <c r="Y568" s="339"/>
      <c r="Z568" s="339"/>
    </row>
    <row r="569" spans="1:26" ht="15.75" customHeight="1">
      <c r="A569" s="339"/>
      <c r="B569" s="339"/>
      <c r="C569" s="339"/>
      <c r="D569" s="339"/>
      <c r="E569" s="339"/>
      <c r="F569" s="339"/>
      <c r="G569" s="339"/>
      <c r="H569" s="339"/>
      <c r="I569" s="341"/>
      <c r="J569" s="340"/>
      <c r="K569" s="339"/>
      <c r="L569" s="341"/>
      <c r="M569" s="339"/>
      <c r="N569" s="339"/>
      <c r="O569" s="341"/>
      <c r="P569" s="339"/>
      <c r="Q569" s="341"/>
      <c r="R569" s="339"/>
      <c r="S569" s="341"/>
      <c r="T569" s="339"/>
      <c r="U569" s="339"/>
      <c r="V569" s="339"/>
      <c r="W569" s="339"/>
      <c r="X569" s="339"/>
      <c r="Y569" s="339"/>
      <c r="Z569" s="339"/>
    </row>
    <row r="570" spans="1:26" ht="15.75" customHeight="1">
      <c r="A570" s="339"/>
      <c r="B570" s="339"/>
      <c r="C570" s="339"/>
      <c r="D570" s="339"/>
      <c r="E570" s="339"/>
      <c r="F570" s="339"/>
      <c r="G570" s="339"/>
      <c r="H570" s="339"/>
      <c r="I570" s="341"/>
      <c r="J570" s="340"/>
      <c r="K570" s="339"/>
      <c r="L570" s="341"/>
      <c r="M570" s="339"/>
      <c r="N570" s="339"/>
      <c r="O570" s="341"/>
      <c r="P570" s="339"/>
      <c r="Q570" s="341"/>
      <c r="R570" s="339"/>
      <c r="S570" s="341"/>
      <c r="T570" s="339"/>
      <c r="U570" s="339"/>
      <c r="V570" s="339"/>
      <c r="W570" s="339"/>
      <c r="X570" s="339"/>
      <c r="Y570" s="339"/>
      <c r="Z570" s="339"/>
    </row>
    <row r="571" spans="1:26" ht="15.75" customHeight="1">
      <c r="A571" s="339"/>
      <c r="B571" s="339"/>
      <c r="C571" s="339"/>
      <c r="D571" s="339"/>
      <c r="E571" s="339"/>
      <c r="F571" s="339"/>
      <c r="G571" s="339"/>
      <c r="H571" s="339"/>
      <c r="I571" s="341"/>
      <c r="J571" s="340"/>
      <c r="K571" s="339"/>
      <c r="L571" s="341"/>
      <c r="M571" s="339"/>
      <c r="N571" s="339"/>
      <c r="O571" s="341"/>
      <c r="P571" s="339"/>
      <c r="Q571" s="341"/>
      <c r="R571" s="339"/>
      <c r="S571" s="341"/>
      <c r="T571" s="339"/>
      <c r="U571" s="339"/>
      <c r="V571" s="339"/>
      <c r="W571" s="339"/>
      <c r="X571" s="339"/>
      <c r="Y571" s="339"/>
      <c r="Z571" s="339"/>
    </row>
    <row r="572" spans="1:26" ht="15.75" customHeight="1">
      <c r="A572" s="339"/>
      <c r="B572" s="339"/>
      <c r="C572" s="339"/>
      <c r="D572" s="339"/>
      <c r="E572" s="339"/>
      <c r="F572" s="339"/>
      <c r="G572" s="339"/>
      <c r="H572" s="339"/>
      <c r="I572" s="341"/>
      <c r="J572" s="340"/>
      <c r="K572" s="339"/>
      <c r="L572" s="341"/>
      <c r="M572" s="339"/>
      <c r="N572" s="339"/>
      <c r="O572" s="341"/>
      <c r="P572" s="339"/>
      <c r="Q572" s="341"/>
      <c r="R572" s="339"/>
      <c r="S572" s="341"/>
      <c r="T572" s="339"/>
      <c r="U572" s="339"/>
      <c r="V572" s="339"/>
      <c r="W572" s="339"/>
      <c r="X572" s="339"/>
      <c r="Y572" s="339"/>
      <c r="Z572" s="339"/>
    </row>
    <row r="573" spans="1:26" ht="15.75" customHeight="1">
      <c r="A573" s="339"/>
      <c r="B573" s="339"/>
      <c r="C573" s="339"/>
      <c r="D573" s="339"/>
      <c r="E573" s="339"/>
      <c r="F573" s="339"/>
      <c r="G573" s="339"/>
      <c r="H573" s="339"/>
      <c r="I573" s="341"/>
      <c r="J573" s="340"/>
      <c r="K573" s="339"/>
      <c r="L573" s="341"/>
      <c r="M573" s="339"/>
      <c r="N573" s="339"/>
      <c r="O573" s="341"/>
      <c r="P573" s="339"/>
      <c r="Q573" s="341"/>
      <c r="R573" s="339"/>
      <c r="S573" s="341"/>
      <c r="T573" s="339"/>
      <c r="U573" s="339"/>
      <c r="V573" s="339"/>
      <c r="W573" s="339"/>
      <c r="X573" s="339"/>
      <c r="Y573" s="339"/>
      <c r="Z573" s="339"/>
    </row>
    <row r="574" spans="1:26" ht="15.75" customHeight="1">
      <c r="A574" s="339"/>
      <c r="B574" s="339"/>
      <c r="C574" s="339"/>
      <c r="D574" s="339"/>
      <c r="E574" s="339"/>
      <c r="F574" s="339"/>
      <c r="G574" s="339"/>
      <c r="H574" s="339"/>
      <c r="I574" s="341"/>
      <c r="J574" s="340"/>
      <c r="K574" s="339"/>
      <c r="L574" s="341"/>
      <c r="M574" s="339"/>
      <c r="N574" s="339"/>
      <c r="O574" s="341"/>
      <c r="P574" s="339"/>
      <c r="Q574" s="341"/>
      <c r="R574" s="339"/>
      <c r="S574" s="341"/>
      <c r="T574" s="339"/>
      <c r="U574" s="339"/>
      <c r="V574" s="339"/>
      <c r="W574" s="339"/>
      <c r="X574" s="339"/>
      <c r="Y574" s="339"/>
      <c r="Z574" s="339"/>
    </row>
    <row r="575" spans="1:26" ht="15.75" customHeight="1">
      <c r="A575" s="339"/>
      <c r="B575" s="339"/>
      <c r="C575" s="339"/>
      <c r="D575" s="339"/>
      <c r="E575" s="339"/>
      <c r="F575" s="339"/>
      <c r="G575" s="339"/>
      <c r="H575" s="339"/>
      <c r="I575" s="341"/>
      <c r="J575" s="340"/>
      <c r="K575" s="339"/>
      <c r="L575" s="341"/>
      <c r="M575" s="339"/>
      <c r="N575" s="339"/>
      <c r="O575" s="341"/>
      <c r="P575" s="339"/>
      <c r="Q575" s="341"/>
      <c r="R575" s="339"/>
      <c r="S575" s="341"/>
      <c r="T575" s="339"/>
      <c r="U575" s="339"/>
      <c r="V575" s="339"/>
      <c r="W575" s="339"/>
      <c r="X575" s="339"/>
      <c r="Y575" s="339"/>
      <c r="Z575" s="339"/>
    </row>
    <row r="576" spans="1:26" ht="15.75" customHeight="1">
      <c r="A576" s="339"/>
      <c r="B576" s="339"/>
      <c r="C576" s="339"/>
      <c r="D576" s="339"/>
      <c r="E576" s="339"/>
      <c r="F576" s="339"/>
      <c r="G576" s="339"/>
      <c r="H576" s="339"/>
      <c r="I576" s="341"/>
      <c r="J576" s="340"/>
      <c r="K576" s="339"/>
      <c r="L576" s="341"/>
      <c r="M576" s="339"/>
      <c r="N576" s="339"/>
      <c r="O576" s="341"/>
      <c r="P576" s="339"/>
      <c r="Q576" s="341"/>
      <c r="R576" s="339"/>
      <c r="S576" s="341"/>
      <c r="T576" s="339"/>
      <c r="U576" s="339"/>
      <c r="V576" s="339"/>
      <c r="W576" s="339"/>
      <c r="X576" s="339"/>
      <c r="Y576" s="339"/>
      <c r="Z576" s="339"/>
    </row>
    <row r="577" spans="1:26" ht="15.75" customHeight="1">
      <c r="A577" s="339"/>
      <c r="B577" s="339"/>
      <c r="C577" s="339"/>
      <c r="D577" s="339"/>
      <c r="E577" s="339"/>
      <c r="F577" s="339"/>
      <c r="G577" s="339"/>
      <c r="H577" s="339"/>
      <c r="I577" s="341"/>
      <c r="J577" s="340"/>
      <c r="K577" s="339"/>
      <c r="L577" s="341"/>
      <c r="M577" s="339"/>
      <c r="N577" s="339"/>
      <c r="O577" s="341"/>
      <c r="P577" s="339"/>
      <c r="Q577" s="341"/>
      <c r="R577" s="339"/>
      <c r="S577" s="341"/>
      <c r="T577" s="339"/>
      <c r="U577" s="339"/>
      <c r="V577" s="339"/>
      <c r="W577" s="339"/>
      <c r="X577" s="339"/>
      <c r="Y577" s="339"/>
      <c r="Z577" s="339"/>
    </row>
    <row r="578" spans="1:26" ht="15.75" customHeight="1">
      <c r="A578" s="339"/>
      <c r="B578" s="339"/>
      <c r="C578" s="339"/>
      <c r="D578" s="339"/>
      <c r="E578" s="339"/>
      <c r="F578" s="339"/>
      <c r="G578" s="339"/>
      <c r="H578" s="339"/>
      <c r="I578" s="341"/>
      <c r="J578" s="340"/>
      <c r="K578" s="339"/>
      <c r="L578" s="341"/>
      <c r="M578" s="339"/>
      <c r="N578" s="339"/>
      <c r="O578" s="341"/>
      <c r="P578" s="339"/>
      <c r="Q578" s="341"/>
      <c r="R578" s="339"/>
      <c r="S578" s="341"/>
      <c r="T578" s="339"/>
      <c r="U578" s="339"/>
      <c r="V578" s="339"/>
      <c r="W578" s="339"/>
      <c r="X578" s="339"/>
      <c r="Y578" s="339"/>
      <c r="Z578" s="339"/>
    </row>
    <row r="579" spans="1:26" ht="15.75" customHeight="1">
      <c r="A579" s="339"/>
      <c r="B579" s="339"/>
      <c r="C579" s="339"/>
      <c r="D579" s="339"/>
      <c r="E579" s="339"/>
      <c r="F579" s="339"/>
      <c r="G579" s="339"/>
      <c r="H579" s="339"/>
      <c r="I579" s="341"/>
      <c r="J579" s="340"/>
      <c r="K579" s="339"/>
      <c r="L579" s="341"/>
      <c r="M579" s="339"/>
      <c r="N579" s="339"/>
      <c r="O579" s="341"/>
      <c r="P579" s="339"/>
      <c r="Q579" s="341"/>
      <c r="R579" s="339"/>
      <c r="S579" s="341"/>
      <c r="T579" s="339"/>
      <c r="U579" s="339"/>
      <c r="V579" s="339"/>
      <c r="W579" s="339"/>
      <c r="X579" s="339"/>
      <c r="Y579" s="339"/>
      <c r="Z579" s="339"/>
    </row>
    <row r="580" spans="1:26" ht="15.75" customHeight="1">
      <c r="A580" s="339"/>
      <c r="B580" s="339"/>
      <c r="C580" s="339"/>
      <c r="D580" s="339"/>
      <c r="E580" s="339"/>
      <c r="F580" s="339"/>
      <c r="G580" s="339"/>
      <c r="H580" s="339"/>
      <c r="I580" s="341"/>
      <c r="J580" s="340"/>
      <c r="K580" s="339"/>
      <c r="L580" s="341"/>
      <c r="M580" s="339"/>
      <c r="N580" s="339"/>
      <c r="O580" s="341"/>
      <c r="P580" s="339"/>
      <c r="Q580" s="341"/>
      <c r="R580" s="339"/>
      <c r="S580" s="341"/>
      <c r="T580" s="339"/>
      <c r="U580" s="339"/>
      <c r="V580" s="339"/>
      <c r="W580" s="339"/>
      <c r="X580" s="339"/>
      <c r="Y580" s="339"/>
      <c r="Z580" s="339"/>
    </row>
    <row r="581" spans="1:26" ht="15.75" customHeight="1">
      <c r="A581" s="339"/>
      <c r="B581" s="339"/>
      <c r="C581" s="339"/>
      <c r="D581" s="339"/>
      <c r="E581" s="339"/>
      <c r="F581" s="339"/>
      <c r="G581" s="339"/>
      <c r="H581" s="339"/>
      <c r="I581" s="341"/>
      <c r="J581" s="340"/>
      <c r="K581" s="339"/>
      <c r="L581" s="341"/>
      <c r="M581" s="339"/>
      <c r="N581" s="339"/>
      <c r="O581" s="341"/>
      <c r="P581" s="339"/>
      <c r="Q581" s="341"/>
      <c r="R581" s="339"/>
      <c r="S581" s="341"/>
      <c r="T581" s="339"/>
      <c r="U581" s="339"/>
      <c r="V581" s="339"/>
      <c r="W581" s="339"/>
      <c r="X581" s="339"/>
      <c r="Y581" s="339"/>
      <c r="Z581" s="339"/>
    </row>
    <row r="582" spans="1:26" ht="15.75" customHeight="1">
      <c r="A582" s="339"/>
      <c r="B582" s="339"/>
      <c r="C582" s="339"/>
      <c r="D582" s="339"/>
      <c r="E582" s="339"/>
      <c r="F582" s="339"/>
      <c r="G582" s="339"/>
      <c r="H582" s="339"/>
      <c r="I582" s="341"/>
      <c r="J582" s="340"/>
      <c r="K582" s="339"/>
      <c r="L582" s="341"/>
      <c r="M582" s="339"/>
      <c r="N582" s="339"/>
      <c r="O582" s="341"/>
      <c r="P582" s="339"/>
      <c r="Q582" s="341"/>
      <c r="R582" s="339"/>
      <c r="S582" s="341"/>
      <c r="T582" s="339"/>
      <c r="U582" s="339"/>
      <c r="V582" s="339"/>
      <c r="W582" s="339"/>
      <c r="X582" s="339"/>
      <c r="Y582" s="339"/>
      <c r="Z582" s="339"/>
    </row>
    <row r="583" spans="1:26" ht="15.75" customHeight="1">
      <c r="A583" s="339"/>
      <c r="B583" s="339"/>
      <c r="C583" s="339"/>
      <c r="D583" s="339"/>
      <c r="E583" s="339"/>
      <c r="F583" s="339"/>
      <c r="G583" s="339"/>
      <c r="H583" s="339"/>
      <c r="I583" s="341"/>
      <c r="J583" s="340"/>
      <c r="K583" s="339"/>
      <c r="L583" s="341"/>
      <c r="M583" s="339"/>
      <c r="N583" s="339"/>
      <c r="O583" s="341"/>
      <c r="P583" s="339"/>
      <c r="Q583" s="341"/>
      <c r="R583" s="339"/>
      <c r="S583" s="341"/>
      <c r="T583" s="339"/>
      <c r="U583" s="339"/>
      <c r="V583" s="339"/>
      <c r="W583" s="339"/>
      <c r="X583" s="339"/>
      <c r="Y583" s="339"/>
      <c r="Z583" s="339"/>
    </row>
    <row r="584" spans="1:26" ht="15.75" customHeight="1">
      <c r="A584" s="339"/>
      <c r="B584" s="339"/>
      <c r="C584" s="339"/>
      <c r="D584" s="339"/>
      <c r="E584" s="339"/>
      <c r="F584" s="339"/>
      <c r="G584" s="339"/>
      <c r="H584" s="339"/>
      <c r="I584" s="341"/>
      <c r="J584" s="340"/>
      <c r="K584" s="339"/>
      <c r="L584" s="341"/>
      <c r="M584" s="339"/>
      <c r="N584" s="339"/>
      <c r="O584" s="341"/>
      <c r="P584" s="339"/>
      <c r="Q584" s="341"/>
      <c r="R584" s="339"/>
      <c r="S584" s="341"/>
      <c r="T584" s="339"/>
      <c r="U584" s="339"/>
      <c r="V584" s="339"/>
      <c r="W584" s="339"/>
      <c r="X584" s="339"/>
      <c r="Y584" s="339"/>
      <c r="Z584" s="339"/>
    </row>
    <row r="585" spans="1:26" ht="15.75" customHeight="1">
      <c r="A585" s="339"/>
      <c r="B585" s="339"/>
      <c r="C585" s="339"/>
      <c r="D585" s="339"/>
      <c r="E585" s="339"/>
      <c r="F585" s="339"/>
      <c r="G585" s="339"/>
      <c r="H585" s="339"/>
      <c r="I585" s="341"/>
      <c r="J585" s="340"/>
      <c r="K585" s="339"/>
      <c r="L585" s="341"/>
      <c r="M585" s="339"/>
      <c r="N585" s="339"/>
      <c r="O585" s="341"/>
      <c r="P585" s="339"/>
      <c r="Q585" s="341"/>
      <c r="R585" s="339"/>
      <c r="S585" s="341"/>
      <c r="T585" s="339"/>
      <c r="U585" s="339"/>
      <c r="V585" s="339"/>
      <c r="W585" s="339"/>
      <c r="X585" s="339"/>
      <c r="Y585" s="339"/>
      <c r="Z585" s="339"/>
    </row>
    <row r="586" spans="1:26" ht="15.75" customHeight="1">
      <c r="A586" s="339"/>
      <c r="B586" s="339"/>
      <c r="C586" s="339"/>
      <c r="D586" s="339"/>
      <c r="E586" s="339"/>
      <c r="F586" s="339"/>
      <c r="G586" s="339"/>
      <c r="H586" s="339"/>
      <c r="I586" s="341"/>
      <c r="J586" s="340"/>
      <c r="K586" s="339"/>
      <c r="L586" s="341"/>
      <c r="M586" s="339"/>
      <c r="N586" s="339"/>
      <c r="O586" s="341"/>
      <c r="P586" s="339"/>
      <c r="Q586" s="341"/>
      <c r="R586" s="339"/>
      <c r="S586" s="341"/>
      <c r="T586" s="339"/>
      <c r="U586" s="339"/>
      <c r="V586" s="339"/>
      <c r="W586" s="339"/>
      <c r="X586" s="339"/>
      <c r="Y586" s="339"/>
      <c r="Z586" s="339"/>
    </row>
    <row r="587" spans="1:26" ht="15.75" customHeight="1">
      <c r="A587" s="339"/>
      <c r="B587" s="339"/>
      <c r="C587" s="339"/>
      <c r="D587" s="339"/>
      <c r="E587" s="339"/>
      <c r="F587" s="339"/>
      <c r="G587" s="339"/>
      <c r="H587" s="339"/>
      <c r="I587" s="341"/>
      <c r="J587" s="340"/>
      <c r="K587" s="339"/>
      <c r="L587" s="341"/>
      <c r="M587" s="339"/>
      <c r="N587" s="339"/>
      <c r="O587" s="341"/>
      <c r="P587" s="339"/>
      <c r="Q587" s="341"/>
      <c r="R587" s="339"/>
      <c r="S587" s="341"/>
      <c r="T587" s="339"/>
      <c r="U587" s="339"/>
      <c r="V587" s="339"/>
      <c r="W587" s="339"/>
      <c r="X587" s="339"/>
      <c r="Y587" s="339"/>
      <c r="Z587" s="339"/>
    </row>
    <row r="588" spans="1:26" ht="15.75" customHeight="1">
      <c r="A588" s="339"/>
      <c r="B588" s="339"/>
      <c r="C588" s="339"/>
      <c r="D588" s="339"/>
      <c r="E588" s="339"/>
      <c r="F588" s="339"/>
      <c r="G588" s="339"/>
      <c r="H588" s="339"/>
      <c r="I588" s="341"/>
      <c r="J588" s="340"/>
      <c r="K588" s="339"/>
      <c r="L588" s="341"/>
      <c r="M588" s="339"/>
      <c r="N588" s="339"/>
      <c r="O588" s="341"/>
      <c r="P588" s="339"/>
      <c r="Q588" s="341"/>
      <c r="R588" s="339"/>
      <c r="S588" s="341"/>
      <c r="T588" s="339"/>
      <c r="U588" s="339"/>
      <c r="V588" s="339"/>
      <c r="W588" s="339"/>
      <c r="X588" s="339"/>
      <c r="Y588" s="339"/>
      <c r="Z588" s="339"/>
    </row>
    <row r="589" spans="1:26" ht="15.75" customHeight="1">
      <c r="A589" s="339"/>
      <c r="B589" s="339"/>
      <c r="C589" s="339"/>
      <c r="D589" s="339"/>
      <c r="E589" s="339"/>
      <c r="F589" s="339"/>
      <c r="G589" s="339"/>
      <c r="H589" s="339"/>
      <c r="I589" s="341"/>
      <c r="J589" s="340"/>
      <c r="K589" s="339"/>
      <c r="L589" s="341"/>
      <c r="M589" s="339"/>
      <c r="N589" s="339"/>
      <c r="O589" s="341"/>
      <c r="P589" s="339"/>
      <c r="Q589" s="341"/>
      <c r="R589" s="339"/>
      <c r="S589" s="341"/>
      <c r="T589" s="339"/>
      <c r="U589" s="339"/>
      <c r="V589" s="339"/>
      <c r="W589" s="339"/>
      <c r="X589" s="339"/>
      <c r="Y589" s="339"/>
      <c r="Z589" s="339"/>
    </row>
    <row r="590" spans="1:26" ht="15.75" customHeight="1">
      <c r="A590" s="339"/>
      <c r="B590" s="339"/>
      <c r="C590" s="339"/>
      <c r="D590" s="339"/>
      <c r="E590" s="339"/>
      <c r="F590" s="339"/>
      <c r="G590" s="339"/>
      <c r="H590" s="339"/>
      <c r="I590" s="341"/>
      <c r="J590" s="340"/>
      <c r="K590" s="339"/>
      <c r="L590" s="341"/>
      <c r="M590" s="339"/>
      <c r="N590" s="339"/>
      <c r="O590" s="341"/>
      <c r="P590" s="339"/>
      <c r="Q590" s="341"/>
      <c r="R590" s="339"/>
      <c r="S590" s="341"/>
      <c r="T590" s="339"/>
      <c r="U590" s="339"/>
      <c r="V590" s="339"/>
      <c r="W590" s="339"/>
      <c r="X590" s="339"/>
      <c r="Y590" s="339"/>
      <c r="Z590" s="339"/>
    </row>
    <row r="591" spans="1:26" ht="15.75" customHeight="1">
      <c r="A591" s="339"/>
      <c r="B591" s="339"/>
      <c r="C591" s="339"/>
      <c r="D591" s="339"/>
      <c r="E591" s="339"/>
      <c r="F591" s="339"/>
      <c r="G591" s="339"/>
      <c r="H591" s="339"/>
      <c r="I591" s="341"/>
      <c r="J591" s="340"/>
      <c r="K591" s="339"/>
      <c r="L591" s="341"/>
      <c r="M591" s="339"/>
      <c r="N591" s="339"/>
      <c r="O591" s="341"/>
      <c r="P591" s="339"/>
      <c r="Q591" s="341"/>
      <c r="R591" s="339"/>
      <c r="S591" s="341"/>
      <c r="T591" s="339"/>
      <c r="U591" s="339"/>
      <c r="V591" s="339"/>
      <c r="W591" s="339"/>
      <c r="X591" s="339"/>
      <c r="Y591" s="339"/>
      <c r="Z591" s="339"/>
    </row>
    <row r="592" spans="1:26" ht="15.75" customHeight="1">
      <c r="A592" s="339"/>
      <c r="B592" s="339"/>
      <c r="C592" s="339"/>
      <c r="D592" s="339"/>
      <c r="E592" s="339"/>
      <c r="F592" s="339"/>
      <c r="G592" s="339"/>
      <c r="H592" s="339"/>
      <c r="I592" s="341"/>
      <c r="J592" s="340"/>
      <c r="K592" s="339"/>
      <c r="L592" s="341"/>
      <c r="M592" s="339"/>
      <c r="N592" s="339"/>
      <c r="O592" s="341"/>
      <c r="P592" s="339"/>
      <c r="Q592" s="341"/>
      <c r="R592" s="339"/>
      <c r="S592" s="341"/>
      <c r="T592" s="339"/>
      <c r="U592" s="339"/>
      <c r="V592" s="339"/>
      <c r="W592" s="339"/>
      <c r="X592" s="339"/>
      <c r="Y592" s="339"/>
      <c r="Z592" s="339"/>
    </row>
    <row r="593" spans="1:26" ht="15.75" customHeight="1">
      <c r="A593" s="339"/>
      <c r="B593" s="339"/>
      <c r="C593" s="339"/>
      <c r="D593" s="339"/>
      <c r="E593" s="339"/>
      <c r="F593" s="339"/>
      <c r="G593" s="339"/>
      <c r="H593" s="339"/>
      <c r="I593" s="341"/>
      <c r="J593" s="340"/>
      <c r="K593" s="339"/>
      <c r="L593" s="341"/>
      <c r="M593" s="339"/>
      <c r="N593" s="339"/>
      <c r="O593" s="341"/>
      <c r="P593" s="339"/>
      <c r="Q593" s="341"/>
      <c r="R593" s="339"/>
      <c r="S593" s="341"/>
      <c r="T593" s="339"/>
      <c r="U593" s="339"/>
      <c r="V593" s="339"/>
      <c r="W593" s="339"/>
      <c r="X593" s="339"/>
      <c r="Y593" s="339"/>
      <c r="Z593" s="339"/>
    </row>
    <row r="594" spans="1:26" ht="15.75" customHeight="1">
      <c r="A594" s="339"/>
      <c r="B594" s="339"/>
      <c r="C594" s="339"/>
      <c r="D594" s="339"/>
      <c r="E594" s="339"/>
      <c r="F594" s="339"/>
      <c r="G594" s="339"/>
      <c r="H594" s="339"/>
      <c r="I594" s="341"/>
      <c r="J594" s="340"/>
      <c r="K594" s="339"/>
      <c r="L594" s="341"/>
      <c r="M594" s="339"/>
      <c r="N594" s="339"/>
      <c r="O594" s="341"/>
      <c r="P594" s="339"/>
      <c r="Q594" s="341"/>
      <c r="R594" s="339"/>
      <c r="S594" s="341"/>
      <c r="T594" s="339"/>
      <c r="U594" s="339"/>
      <c r="V594" s="339"/>
      <c r="W594" s="339"/>
      <c r="X594" s="339"/>
      <c r="Y594" s="339"/>
      <c r="Z594" s="339"/>
    </row>
    <row r="595" spans="1:26" ht="15.75" customHeight="1">
      <c r="A595" s="339"/>
      <c r="B595" s="339"/>
      <c r="C595" s="339"/>
      <c r="D595" s="339"/>
      <c r="E595" s="339"/>
      <c r="F595" s="339"/>
      <c r="G595" s="339"/>
      <c r="H595" s="339"/>
      <c r="I595" s="341"/>
      <c r="J595" s="340"/>
      <c r="K595" s="339"/>
      <c r="L595" s="341"/>
      <c r="M595" s="339"/>
      <c r="N595" s="339"/>
      <c r="O595" s="341"/>
      <c r="P595" s="339"/>
      <c r="Q595" s="341"/>
      <c r="R595" s="339"/>
      <c r="S595" s="341"/>
      <c r="T595" s="339"/>
      <c r="U595" s="339"/>
      <c r="V595" s="339"/>
      <c r="W595" s="339"/>
      <c r="X595" s="339"/>
      <c r="Y595" s="339"/>
      <c r="Z595" s="339"/>
    </row>
    <row r="596" spans="1:26" ht="15.75" customHeight="1">
      <c r="A596" s="339"/>
      <c r="B596" s="339"/>
      <c r="C596" s="339"/>
      <c r="D596" s="339"/>
      <c r="E596" s="339"/>
      <c r="F596" s="339"/>
      <c r="G596" s="339"/>
      <c r="H596" s="339"/>
      <c r="I596" s="341"/>
      <c r="J596" s="340"/>
      <c r="K596" s="339"/>
      <c r="L596" s="341"/>
      <c r="M596" s="339"/>
      <c r="N596" s="339"/>
      <c r="O596" s="341"/>
      <c r="P596" s="339"/>
      <c r="Q596" s="341"/>
      <c r="R596" s="339"/>
      <c r="S596" s="341"/>
      <c r="T596" s="339"/>
      <c r="U596" s="339"/>
      <c r="V596" s="339"/>
      <c r="W596" s="339"/>
      <c r="X596" s="339"/>
      <c r="Y596" s="339"/>
      <c r="Z596" s="339"/>
    </row>
    <row r="597" spans="1:26" ht="15.75" customHeight="1">
      <c r="A597" s="339"/>
      <c r="B597" s="339"/>
      <c r="C597" s="339"/>
      <c r="D597" s="339"/>
      <c r="E597" s="339"/>
      <c r="F597" s="339"/>
      <c r="G597" s="339"/>
      <c r="H597" s="339"/>
      <c r="I597" s="341"/>
      <c r="J597" s="340"/>
      <c r="K597" s="339"/>
      <c r="L597" s="341"/>
      <c r="M597" s="339"/>
      <c r="N597" s="339"/>
      <c r="O597" s="341"/>
      <c r="P597" s="339"/>
      <c r="Q597" s="341"/>
      <c r="R597" s="339"/>
      <c r="S597" s="341"/>
      <c r="T597" s="339"/>
      <c r="U597" s="339"/>
      <c r="V597" s="339"/>
      <c r="W597" s="339"/>
      <c r="X597" s="339"/>
      <c r="Y597" s="339"/>
      <c r="Z597" s="339"/>
    </row>
    <row r="598" spans="1:26" ht="15.75" customHeight="1">
      <c r="A598" s="339"/>
      <c r="B598" s="339"/>
      <c r="C598" s="339"/>
      <c r="D598" s="339"/>
      <c r="E598" s="339"/>
      <c r="F598" s="339"/>
      <c r="G598" s="339"/>
      <c r="H598" s="339"/>
      <c r="I598" s="341"/>
      <c r="J598" s="340"/>
      <c r="K598" s="339"/>
      <c r="L598" s="341"/>
      <c r="M598" s="339"/>
      <c r="N598" s="339"/>
      <c r="O598" s="341"/>
      <c r="P598" s="339"/>
      <c r="Q598" s="341"/>
      <c r="R598" s="339"/>
      <c r="S598" s="341"/>
      <c r="T598" s="339"/>
      <c r="U598" s="339"/>
      <c r="V598" s="339"/>
      <c r="W598" s="339"/>
      <c r="X598" s="339"/>
      <c r="Y598" s="339"/>
      <c r="Z598" s="339"/>
    </row>
    <row r="599" spans="1:26" ht="15.75" customHeight="1">
      <c r="A599" s="339"/>
      <c r="B599" s="339"/>
      <c r="C599" s="339"/>
      <c r="D599" s="339"/>
      <c r="E599" s="339"/>
      <c r="F599" s="339"/>
      <c r="G599" s="339"/>
      <c r="H599" s="339"/>
      <c r="I599" s="341"/>
      <c r="J599" s="340"/>
      <c r="K599" s="339"/>
      <c r="L599" s="341"/>
      <c r="M599" s="339"/>
      <c r="N599" s="339"/>
      <c r="O599" s="341"/>
      <c r="P599" s="339"/>
      <c r="Q599" s="341"/>
      <c r="R599" s="339"/>
      <c r="S599" s="341"/>
      <c r="T599" s="339"/>
      <c r="U599" s="339"/>
      <c r="V599" s="339"/>
      <c r="W599" s="339"/>
      <c r="X599" s="339"/>
      <c r="Y599" s="339"/>
      <c r="Z599" s="339"/>
    </row>
    <row r="600" spans="1:26" ht="15.75" customHeight="1">
      <c r="A600" s="339"/>
      <c r="B600" s="339"/>
      <c r="C600" s="339"/>
      <c r="D600" s="339"/>
      <c r="E600" s="339"/>
      <c r="F600" s="339"/>
      <c r="G600" s="339"/>
      <c r="H600" s="339"/>
      <c r="I600" s="341"/>
      <c r="J600" s="340"/>
      <c r="K600" s="339"/>
      <c r="L600" s="341"/>
      <c r="M600" s="339"/>
      <c r="N600" s="339"/>
      <c r="O600" s="341"/>
      <c r="P600" s="339"/>
      <c r="Q600" s="341"/>
      <c r="R600" s="339"/>
      <c r="S600" s="341"/>
      <c r="T600" s="339"/>
      <c r="U600" s="339"/>
      <c r="V600" s="339"/>
      <c r="W600" s="339"/>
      <c r="X600" s="339"/>
      <c r="Y600" s="339"/>
      <c r="Z600" s="339"/>
    </row>
    <row r="601" spans="1:26" ht="15.75" customHeight="1">
      <c r="A601" s="339"/>
      <c r="B601" s="339"/>
      <c r="C601" s="339"/>
      <c r="D601" s="339"/>
      <c r="E601" s="339"/>
      <c r="F601" s="339"/>
      <c r="G601" s="339"/>
      <c r="H601" s="339"/>
      <c r="I601" s="341"/>
      <c r="J601" s="340"/>
      <c r="K601" s="339"/>
      <c r="L601" s="341"/>
      <c r="M601" s="339"/>
      <c r="N601" s="339"/>
      <c r="O601" s="341"/>
      <c r="P601" s="339"/>
      <c r="Q601" s="341"/>
      <c r="R601" s="339"/>
      <c r="S601" s="341"/>
      <c r="T601" s="339"/>
      <c r="U601" s="339"/>
      <c r="V601" s="339"/>
      <c r="W601" s="339"/>
      <c r="X601" s="339"/>
      <c r="Y601" s="339"/>
      <c r="Z601" s="339"/>
    </row>
    <row r="602" spans="1:26" ht="15.75" customHeight="1">
      <c r="A602" s="339"/>
      <c r="B602" s="339"/>
      <c r="C602" s="339"/>
      <c r="D602" s="339"/>
      <c r="E602" s="339"/>
      <c r="F602" s="339"/>
      <c r="G602" s="339"/>
      <c r="H602" s="339"/>
      <c r="I602" s="341"/>
      <c r="J602" s="340"/>
      <c r="K602" s="339"/>
      <c r="L602" s="341"/>
      <c r="M602" s="339"/>
      <c r="N602" s="339"/>
      <c r="O602" s="341"/>
      <c r="P602" s="339"/>
      <c r="Q602" s="341"/>
      <c r="R602" s="339"/>
      <c r="S602" s="341"/>
      <c r="T602" s="339"/>
      <c r="U602" s="339"/>
      <c r="V602" s="339"/>
      <c r="W602" s="339"/>
      <c r="X602" s="339"/>
      <c r="Y602" s="339"/>
      <c r="Z602" s="339"/>
    </row>
    <row r="603" spans="1:26" ht="15.75" customHeight="1">
      <c r="A603" s="339"/>
      <c r="B603" s="339"/>
      <c r="C603" s="339"/>
      <c r="D603" s="339"/>
      <c r="E603" s="339"/>
      <c r="F603" s="339"/>
      <c r="G603" s="339"/>
      <c r="H603" s="339"/>
      <c r="I603" s="341"/>
      <c r="J603" s="340"/>
      <c r="K603" s="339"/>
      <c r="L603" s="341"/>
      <c r="M603" s="339"/>
      <c r="N603" s="339"/>
      <c r="O603" s="341"/>
      <c r="P603" s="339"/>
      <c r="Q603" s="341"/>
      <c r="R603" s="339"/>
      <c r="S603" s="341"/>
      <c r="T603" s="339"/>
      <c r="U603" s="339"/>
      <c r="V603" s="339"/>
      <c r="W603" s="339"/>
      <c r="X603" s="339"/>
      <c r="Y603" s="339"/>
      <c r="Z603" s="339"/>
    </row>
    <row r="604" spans="1:26" ht="15.75" customHeight="1">
      <c r="A604" s="339"/>
      <c r="B604" s="339"/>
      <c r="C604" s="339"/>
      <c r="D604" s="339"/>
      <c r="E604" s="339"/>
      <c r="F604" s="339"/>
      <c r="G604" s="339"/>
      <c r="H604" s="339"/>
      <c r="I604" s="341"/>
      <c r="J604" s="340"/>
      <c r="K604" s="339"/>
      <c r="L604" s="341"/>
      <c r="M604" s="339"/>
      <c r="N604" s="339"/>
      <c r="O604" s="341"/>
      <c r="P604" s="339"/>
      <c r="Q604" s="341"/>
      <c r="R604" s="339"/>
      <c r="S604" s="341"/>
      <c r="T604" s="339"/>
      <c r="U604" s="339"/>
      <c r="V604" s="339"/>
      <c r="W604" s="339"/>
      <c r="X604" s="339"/>
      <c r="Y604" s="339"/>
      <c r="Z604" s="339"/>
    </row>
    <row r="605" spans="1:26" ht="15.75" customHeight="1">
      <c r="A605" s="339"/>
      <c r="B605" s="339"/>
      <c r="C605" s="339"/>
      <c r="D605" s="339"/>
      <c r="E605" s="339"/>
      <c r="F605" s="339"/>
      <c r="G605" s="339"/>
      <c r="H605" s="339"/>
      <c r="I605" s="341"/>
      <c r="J605" s="340"/>
      <c r="K605" s="339"/>
      <c r="L605" s="341"/>
      <c r="M605" s="339"/>
      <c r="N605" s="339"/>
      <c r="O605" s="341"/>
      <c r="P605" s="339"/>
      <c r="Q605" s="341"/>
      <c r="R605" s="339"/>
      <c r="S605" s="341"/>
      <c r="T605" s="339"/>
      <c r="U605" s="339"/>
      <c r="V605" s="339"/>
      <c r="W605" s="339"/>
      <c r="X605" s="339"/>
      <c r="Y605" s="339"/>
      <c r="Z605" s="339"/>
    </row>
    <row r="606" spans="1:26" ht="15.75" customHeight="1">
      <c r="A606" s="339"/>
      <c r="B606" s="339"/>
      <c r="C606" s="339"/>
      <c r="D606" s="339"/>
      <c r="E606" s="339"/>
      <c r="F606" s="339"/>
      <c r="G606" s="339"/>
      <c r="H606" s="339"/>
      <c r="I606" s="341"/>
      <c r="J606" s="340"/>
      <c r="K606" s="339"/>
      <c r="L606" s="341"/>
      <c r="M606" s="339"/>
      <c r="N606" s="339"/>
      <c r="O606" s="341"/>
      <c r="P606" s="339"/>
      <c r="Q606" s="341"/>
      <c r="R606" s="339"/>
      <c r="S606" s="341"/>
      <c r="T606" s="339"/>
      <c r="U606" s="339"/>
      <c r="V606" s="339"/>
      <c r="W606" s="339"/>
      <c r="X606" s="339"/>
      <c r="Y606" s="339"/>
      <c r="Z606" s="339"/>
    </row>
    <row r="607" spans="1:26" ht="15.75" customHeight="1">
      <c r="A607" s="339"/>
      <c r="B607" s="339"/>
      <c r="C607" s="339"/>
      <c r="D607" s="339"/>
      <c r="E607" s="339"/>
      <c r="F607" s="339"/>
      <c r="G607" s="339"/>
      <c r="H607" s="339"/>
      <c r="I607" s="341"/>
      <c r="J607" s="340"/>
      <c r="K607" s="339"/>
      <c r="L607" s="341"/>
      <c r="M607" s="339"/>
      <c r="N607" s="339"/>
      <c r="O607" s="341"/>
      <c r="P607" s="339"/>
      <c r="Q607" s="341"/>
      <c r="R607" s="339"/>
      <c r="S607" s="341"/>
      <c r="T607" s="339"/>
      <c r="U607" s="339"/>
      <c r="V607" s="339"/>
      <c r="W607" s="339"/>
      <c r="X607" s="339"/>
      <c r="Y607" s="339"/>
      <c r="Z607" s="339"/>
    </row>
    <row r="608" spans="1:26" ht="15.75" customHeight="1">
      <c r="A608" s="339"/>
      <c r="B608" s="339"/>
      <c r="C608" s="339"/>
      <c r="D608" s="339"/>
      <c r="E608" s="339"/>
      <c r="F608" s="339"/>
      <c r="G608" s="339"/>
      <c r="H608" s="339"/>
      <c r="I608" s="341"/>
      <c r="J608" s="340"/>
      <c r="K608" s="339"/>
      <c r="L608" s="341"/>
      <c r="M608" s="339"/>
      <c r="N608" s="339"/>
      <c r="O608" s="341"/>
      <c r="P608" s="339"/>
      <c r="Q608" s="341"/>
      <c r="R608" s="339"/>
      <c r="S608" s="341"/>
      <c r="T608" s="339"/>
      <c r="U608" s="339"/>
      <c r="V608" s="339"/>
      <c r="W608" s="339"/>
      <c r="X608" s="339"/>
      <c r="Y608" s="339"/>
      <c r="Z608" s="339"/>
    </row>
    <row r="609" spans="1:26" ht="15.75" customHeight="1">
      <c r="A609" s="339"/>
      <c r="B609" s="339"/>
      <c r="C609" s="339"/>
      <c r="D609" s="339"/>
      <c r="E609" s="339"/>
      <c r="F609" s="339"/>
      <c r="G609" s="339"/>
      <c r="H609" s="339"/>
      <c r="I609" s="341"/>
      <c r="J609" s="340"/>
      <c r="K609" s="339"/>
      <c r="L609" s="341"/>
      <c r="M609" s="339"/>
      <c r="N609" s="339"/>
      <c r="O609" s="341"/>
      <c r="P609" s="339"/>
      <c r="Q609" s="341"/>
      <c r="R609" s="339"/>
      <c r="S609" s="341"/>
      <c r="T609" s="339"/>
      <c r="U609" s="339"/>
      <c r="V609" s="339"/>
      <c r="W609" s="339"/>
      <c r="X609" s="339"/>
      <c r="Y609" s="339"/>
      <c r="Z609" s="339"/>
    </row>
    <row r="610" spans="1:26" ht="15.75" customHeight="1">
      <c r="A610" s="339"/>
      <c r="B610" s="339"/>
      <c r="C610" s="339"/>
      <c r="D610" s="339"/>
      <c r="E610" s="339"/>
      <c r="F610" s="339"/>
      <c r="G610" s="339"/>
      <c r="H610" s="339"/>
      <c r="I610" s="341"/>
      <c r="J610" s="340"/>
      <c r="K610" s="339"/>
      <c r="L610" s="341"/>
      <c r="M610" s="339"/>
      <c r="N610" s="339"/>
      <c r="O610" s="341"/>
      <c r="P610" s="339"/>
      <c r="Q610" s="341"/>
      <c r="R610" s="339"/>
      <c r="S610" s="341"/>
      <c r="T610" s="339"/>
      <c r="U610" s="339"/>
      <c r="V610" s="339"/>
      <c r="W610" s="339"/>
      <c r="X610" s="339"/>
      <c r="Y610" s="339"/>
      <c r="Z610" s="339"/>
    </row>
    <row r="611" spans="1:26" ht="15.75" customHeight="1">
      <c r="A611" s="339"/>
      <c r="B611" s="339"/>
      <c r="C611" s="339"/>
      <c r="D611" s="339"/>
      <c r="E611" s="339"/>
      <c r="F611" s="339"/>
      <c r="G611" s="339"/>
      <c r="H611" s="339"/>
      <c r="I611" s="341"/>
      <c r="J611" s="340"/>
      <c r="K611" s="339"/>
      <c r="L611" s="341"/>
      <c r="M611" s="339"/>
      <c r="N611" s="339"/>
      <c r="O611" s="341"/>
      <c r="P611" s="339"/>
      <c r="Q611" s="341"/>
      <c r="R611" s="339"/>
      <c r="S611" s="341"/>
      <c r="T611" s="339"/>
      <c r="U611" s="339"/>
      <c r="V611" s="339"/>
      <c r="W611" s="339"/>
      <c r="X611" s="339"/>
      <c r="Y611" s="339"/>
      <c r="Z611" s="339"/>
    </row>
    <row r="612" spans="1:26" ht="15.75" customHeight="1">
      <c r="A612" s="339"/>
      <c r="B612" s="339"/>
      <c r="C612" s="339"/>
      <c r="D612" s="339"/>
      <c r="E612" s="339"/>
      <c r="F612" s="339"/>
      <c r="G612" s="339"/>
      <c r="H612" s="339"/>
      <c r="I612" s="341"/>
      <c r="J612" s="340"/>
      <c r="K612" s="339"/>
      <c r="L612" s="341"/>
      <c r="M612" s="339"/>
      <c r="N612" s="339"/>
      <c r="O612" s="341"/>
      <c r="P612" s="339"/>
      <c r="Q612" s="341"/>
      <c r="R612" s="339"/>
      <c r="S612" s="341"/>
      <c r="T612" s="339"/>
      <c r="U612" s="339"/>
      <c r="V612" s="339"/>
      <c r="W612" s="339"/>
      <c r="X612" s="339"/>
      <c r="Y612" s="339"/>
      <c r="Z612" s="339"/>
    </row>
    <row r="613" spans="1:26" ht="15.75" customHeight="1">
      <c r="A613" s="339"/>
      <c r="B613" s="339"/>
      <c r="C613" s="339"/>
      <c r="D613" s="339"/>
      <c r="E613" s="339"/>
      <c r="F613" s="339"/>
      <c r="G613" s="339"/>
      <c r="H613" s="339"/>
      <c r="I613" s="341"/>
      <c r="J613" s="340"/>
      <c r="K613" s="339"/>
      <c r="L613" s="341"/>
      <c r="M613" s="339"/>
      <c r="N613" s="339"/>
      <c r="O613" s="341"/>
      <c r="P613" s="339"/>
      <c r="Q613" s="341"/>
      <c r="R613" s="339"/>
      <c r="S613" s="341"/>
      <c r="T613" s="339"/>
      <c r="U613" s="339"/>
      <c r="V613" s="339"/>
      <c r="W613" s="339"/>
      <c r="X613" s="339"/>
      <c r="Y613" s="339"/>
      <c r="Z613" s="339"/>
    </row>
    <row r="614" spans="1:26" ht="15.75" customHeight="1">
      <c r="A614" s="339"/>
      <c r="B614" s="339"/>
      <c r="C614" s="339"/>
      <c r="D614" s="339"/>
      <c r="E614" s="339"/>
      <c r="F614" s="339"/>
      <c r="G614" s="339"/>
      <c r="H614" s="339"/>
      <c r="I614" s="341"/>
      <c r="J614" s="340"/>
      <c r="K614" s="339"/>
      <c r="L614" s="341"/>
      <c r="M614" s="339"/>
      <c r="N614" s="339"/>
      <c r="O614" s="341"/>
      <c r="P614" s="339"/>
      <c r="Q614" s="341"/>
      <c r="R614" s="339"/>
      <c r="S614" s="341"/>
      <c r="T614" s="339"/>
      <c r="U614" s="339"/>
      <c r="V614" s="339"/>
      <c r="W614" s="339"/>
      <c r="X614" s="339"/>
      <c r="Y614" s="339"/>
      <c r="Z614" s="339"/>
    </row>
    <row r="615" spans="1:26" ht="15.75" customHeight="1">
      <c r="A615" s="339"/>
      <c r="B615" s="339"/>
      <c r="C615" s="339"/>
      <c r="D615" s="339"/>
      <c r="E615" s="339"/>
      <c r="F615" s="339"/>
      <c r="G615" s="339"/>
      <c r="H615" s="339"/>
      <c r="I615" s="341"/>
      <c r="J615" s="340"/>
      <c r="K615" s="339"/>
      <c r="L615" s="341"/>
      <c r="M615" s="339"/>
      <c r="N615" s="339"/>
      <c r="O615" s="341"/>
      <c r="P615" s="339"/>
      <c r="Q615" s="341"/>
      <c r="R615" s="339"/>
      <c r="S615" s="341"/>
      <c r="T615" s="339"/>
      <c r="U615" s="339"/>
      <c r="V615" s="339"/>
      <c r="W615" s="339"/>
      <c r="X615" s="339"/>
      <c r="Y615" s="339"/>
      <c r="Z615" s="339"/>
    </row>
    <row r="616" spans="1:26" ht="15.75" customHeight="1">
      <c r="A616" s="339"/>
      <c r="B616" s="339"/>
      <c r="C616" s="339"/>
      <c r="D616" s="339"/>
      <c r="E616" s="339"/>
      <c r="F616" s="339"/>
      <c r="G616" s="339"/>
      <c r="H616" s="339"/>
      <c r="I616" s="341"/>
      <c r="J616" s="340"/>
      <c r="K616" s="339"/>
      <c r="L616" s="341"/>
      <c r="M616" s="339"/>
      <c r="N616" s="339"/>
      <c r="O616" s="341"/>
      <c r="P616" s="339"/>
      <c r="Q616" s="341"/>
      <c r="R616" s="339"/>
      <c r="S616" s="341"/>
      <c r="T616" s="339"/>
      <c r="U616" s="339"/>
      <c r="V616" s="339"/>
      <c r="W616" s="339"/>
      <c r="X616" s="339"/>
      <c r="Y616" s="339"/>
      <c r="Z616" s="339"/>
    </row>
    <row r="617" spans="1:26" ht="15.75" customHeight="1">
      <c r="A617" s="339"/>
      <c r="B617" s="339"/>
      <c r="C617" s="339"/>
      <c r="D617" s="339"/>
      <c r="E617" s="339"/>
      <c r="F617" s="339"/>
      <c r="G617" s="339"/>
      <c r="H617" s="339"/>
      <c r="I617" s="341"/>
      <c r="J617" s="340"/>
      <c r="K617" s="339"/>
      <c r="L617" s="341"/>
      <c r="M617" s="339"/>
      <c r="N617" s="339"/>
      <c r="O617" s="341"/>
      <c r="P617" s="339"/>
      <c r="Q617" s="341"/>
      <c r="R617" s="339"/>
      <c r="S617" s="341"/>
      <c r="T617" s="339"/>
      <c r="U617" s="339"/>
      <c r="V617" s="339"/>
      <c r="W617" s="339"/>
      <c r="X617" s="339"/>
      <c r="Y617" s="339"/>
      <c r="Z617" s="339"/>
    </row>
    <row r="618" spans="1:26" ht="15.75" customHeight="1">
      <c r="A618" s="339"/>
      <c r="B618" s="339"/>
      <c r="C618" s="339"/>
      <c r="D618" s="339"/>
      <c r="E618" s="339"/>
      <c r="F618" s="339"/>
      <c r="G618" s="339"/>
      <c r="H618" s="339"/>
      <c r="I618" s="341"/>
      <c r="J618" s="340"/>
      <c r="K618" s="339"/>
      <c r="L618" s="341"/>
      <c r="M618" s="339"/>
      <c r="N618" s="339"/>
      <c r="O618" s="341"/>
      <c r="P618" s="339"/>
      <c r="Q618" s="341"/>
      <c r="R618" s="339"/>
      <c r="S618" s="341"/>
      <c r="T618" s="339"/>
      <c r="U618" s="339"/>
      <c r="V618" s="339"/>
      <c r="W618" s="339"/>
      <c r="X618" s="339"/>
      <c r="Y618" s="339"/>
      <c r="Z618" s="339"/>
    </row>
    <row r="619" spans="1:26" ht="15.75" customHeight="1">
      <c r="A619" s="339"/>
      <c r="B619" s="339"/>
      <c r="C619" s="339"/>
      <c r="D619" s="339"/>
      <c r="E619" s="339"/>
      <c r="F619" s="339"/>
      <c r="G619" s="339"/>
      <c r="H619" s="339"/>
      <c r="I619" s="341"/>
      <c r="J619" s="340"/>
      <c r="K619" s="339"/>
      <c r="L619" s="341"/>
      <c r="M619" s="339"/>
      <c r="N619" s="339"/>
      <c r="O619" s="341"/>
      <c r="P619" s="339"/>
      <c r="Q619" s="341"/>
      <c r="R619" s="339"/>
      <c r="S619" s="341"/>
      <c r="T619" s="339"/>
      <c r="U619" s="339"/>
      <c r="V619" s="339"/>
      <c r="W619" s="339"/>
      <c r="X619" s="339"/>
      <c r="Y619" s="339"/>
      <c r="Z619" s="339"/>
    </row>
    <row r="620" spans="1:26" ht="15.75" customHeight="1">
      <c r="A620" s="339"/>
      <c r="B620" s="339"/>
      <c r="C620" s="339"/>
      <c r="D620" s="339"/>
      <c r="E620" s="339"/>
      <c r="F620" s="339"/>
      <c r="G620" s="339"/>
      <c r="H620" s="339"/>
      <c r="I620" s="341"/>
      <c r="J620" s="340"/>
      <c r="K620" s="339"/>
      <c r="L620" s="341"/>
      <c r="M620" s="339"/>
      <c r="N620" s="339"/>
      <c r="O620" s="341"/>
      <c r="P620" s="339"/>
      <c r="Q620" s="341"/>
      <c r="R620" s="339"/>
      <c r="S620" s="341"/>
      <c r="T620" s="339"/>
      <c r="U620" s="339"/>
      <c r="V620" s="339"/>
      <c r="W620" s="339"/>
      <c r="X620" s="339"/>
      <c r="Y620" s="339"/>
      <c r="Z620" s="339"/>
    </row>
    <row r="621" spans="1:26" ht="15.75" customHeight="1">
      <c r="A621" s="339"/>
      <c r="B621" s="339"/>
      <c r="C621" s="339"/>
      <c r="D621" s="339"/>
      <c r="E621" s="339"/>
      <c r="F621" s="339"/>
      <c r="G621" s="339"/>
      <c r="H621" s="339"/>
      <c r="I621" s="341"/>
      <c r="J621" s="340"/>
      <c r="K621" s="339"/>
      <c r="L621" s="341"/>
      <c r="M621" s="339"/>
      <c r="N621" s="339"/>
      <c r="O621" s="341"/>
      <c r="P621" s="339"/>
      <c r="Q621" s="341"/>
      <c r="R621" s="339"/>
      <c r="S621" s="341"/>
      <c r="T621" s="339"/>
      <c r="U621" s="339"/>
      <c r="V621" s="339"/>
      <c r="W621" s="339"/>
      <c r="X621" s="339"/>
      <c r="Y621" s="339"/>
      <c r="Z621" s="339"/>
    </row>
    <row r="622" spans="1:26" ht="15.75" customHeight="1">
      <c r="A622" s="339"/>
      <c r="B622" s="339"/>
      <c r="C622" s="339"/>
      <c r="D622" s="339"/>
      <c r="E622" s="339"/>
      <c r="F622" s="339"/>
      <c r="G622" s="339"/>
      <c r="H622" s="339"/>
      <c r="I622" s="341"/>
      <c r="J622" s="340"/>
      <c r="K622" s="339"/>
      <c r="L622" s="341"/>
      <c r="M622" s="339"/>
      <c r="N622" s="339"/>
      <c r="O622" s="341"/>
      <c r="P622" s="339"/>
      <c r="Q622" s="341"/>
      <c r="R622" s="339"/>
      <c r="S622" s="341"/>
      <c r="T622" s="339"/>
      <c r="U622" s="339"/>
      <c r="V622" s="339"/>
      <c r="W622" s="339"/>
      <c r="X622" s="339"/>
      <c r="Y622" s="339"/>
      <c r="Z622" s="339"/>
    </row>
    <row r="623" spans="1:26" ht="15.75" customHeight="1">
      <c r="A623" s="339"/>
      <c r="B623" s="339"/>
      <c r="C623" s="339"/>
      <c r="D623" s="339"/>
      <c r="E623" s="339"/>
      <c r="F623" s="339"/>
      <c r="G623" s="339"/>
      <c r="H623" s="339"/>
      <c r="I623" s="341"/>
      <c r="J623" s="340"/>
      <c r="K623" s="339"/>
      <c r="L623" s="341"/>
      <c r="M623" s="339"/>
      <c r="N623" s="339"/>
      <c r="O623" s="341"/>
      <c r="P623" s="339"/>
      <c r="Q623" s="341"/>
      <c r="R623" s="339"/>
      <c r="S623" s="341"/>
      <c r="T623" s="339"/>
      <c r="U623" s="339"/>
      <c r="V623" s="339"/>
      <c r="W623" s="339"/>
      <c r="X623" s="339"/>
      <c r="Y623" s="339"/>
      <c r="Z623" s="339"/>
    </row>
    <row r="624" spans="1:26" ht="15.75" customHeight="1">
      <c r="A624" s="339"/>
      <c r="B624" s="339"/>
      <c r="C624" s="339"/>
      <c r="D624" s="339"/>
      <c r="E624" s="339"/>
      <c r="F624" s="339"/>
      <c r="G624" s="339"/>
      <c r="H624" s="339"/>
      <c r="I624" s="341"/>
      <c r="J624" s="340"/>
      <c r="K624" s="339"/>
      <c r="L624" s="341"/>
      <c r="M624" s="339"/>
      <c r="N624" s="339"/>
      <c r="O624" s="341"/>
      <c r="P624" s="339"/>
      <c r="Q624" s="341"/>
      <c r="R624" s="339"/>
      <c r="S624" s="341"/>
      <c r="T624" s="339"/>
      <c r="U624" s="339"/>
      <c r="V624" s="339"/>
      <c r="W624" s="339"/>
      <c r="X624" s="339"/>
      <c r="Y624" s="339"/>
      <c r="Z624" s="339"/>
    </row>
    <row r="625" spans="1:26" ht="15.75" customHeight="1">
      <c r="A625" s="339"/>
      <c r="B625" s="339"/>
      <c r="C625" s="339"/>
      <c r="D625" s="339"/>
      <c r="E625" s="339"/>
      <c r="F625" s="339"/>
      <c r="G625" s="339"/>
      <c r="H625" s="339"/>
      <c r="I625" s="341"/>
      <c r="J625" s="340"/>
      <c r="K625" s="339"/>
      <c r="L625" s="341"/>
      <c r="M625" s="339"/>
      <c r="N625" s="339"/>
      <c r="O625" s="341"/>
      <c r="P625" s="339"/>
      <c r="Q625" s="341"/>
      <c r="R625" s="339"/>
      <c r="S625" s="341"/>
      <c r="T625" s="339"/>
      <c r="U625" s="339"/>
      <c r="V625" s="339"/>
      <c r="W625" s="339"/>
      <c r="X625" s="339"/>
      <c r="Y625" s="339"/>
      <c r="Z625" s="339"/>
    </row>
    <row r="626" spans="1:26" ht="15.75" customHeight="1">
      <c r="A626" s="339"/>
      <c r="B626" s="339"/>
      <c r="C626" s="339"/>
      <c r="D626" s="339"/>
      <c r="E626" s="339"/>
      <c r="F626" s="339"/>
      <c r="G626" s="339"/>
      <c r="H626" s="339"/>
      <c r="I626" s="341"/>
      <c r="J626" s="340"/>
      <c r="K626" s="339"/>
      <c r="L626" s="341"/>
      <c r="M626" s="339"/>
      <c r="N626" s="339"/>
      <c r="O626" s="341"/>
      <c r="P626" s="339"/>
      <c r="Q626" s="341"/>
      <c r="R626" s="339"/>
      <c r="S626" s="341"/>
      <c r="T626" s="339"/>
      <c r="U626" s="339"/>
      <c r="V626" s="339"/>
      <c r="W626" s="339"/>
      <c r="X626" s="339"/>
      <c r="Y626" s="339"/>
      <c r="Z626" s="339"/>
    </row>
    <row r="627" spans="1:26" ht="15.75" customHeight="1">
      <c r="A627" s="339"/>
      <c r="B627" s="339"/>
      <c r="C627" s="339"/>
      <c r="D627" s="339"/>
      <c r="E627" s="339"/>
      <c r="F627" s="339"/>
      <c r="G627" s="339"/>
      <c r="H627" s="339"/>
      <c r="I627" s="341"/>
      <c r="J627" s="340"/>
      <c r="K627" s="339"/>
      <c r="L627" s="341"/>
      <c r="M627" s="339"/>
      <c r="N627" s="339"/>
      <c r="O627" s="341"/>
      <c r="P627" s="339"/>
      <c r="Q627" s="341"/>
      <c r="R627" s="339"/>
      <c r="S627" s="341"/>
      <c r="T627" s="339"/>
      <c r="U627" s="339"/>
      <c r="V627" s="339"/>
      <c r="W627" s="339"/>
      <c r="X627" s="339"/>
      <c r="Y627" s="339"/>
      <c r="Z627" s="339"/>
    </row>
    <row r="628" spans="1:26" ht="15.75" customHeight="1">
      <c r="A628" s="339"/>
      <c r="B628" s="339"/>
      <c r="C628" s="339"/>
      <c r="D628" s="339"/>
      <c r="E628" s="339"/>
      <c r="F628" s="339"/>
      <c r="G628" s="339"/>
      <c r="H628" s="339"/>
      <c r="I628" s="341"/>
      <c r="J628" s="340"/>
      <c r="K628" s="339"/>
      <c r="L628" s="341"/>
      <c r="M628" s="339"/>
      <c r="N628" s="339"/>
      <c r="O628" s="341"/>
      <c r="P628" s="339"/>
      <c r="Q628" s="341"/>
      <c r="R628" s="339"/>
      <c r="S628" s="341"/>
      <c r="T628" s="339"/>
      <c r="U628" s="339"/>
      <c r="V628" s="339"/>
      <c r="W628" s="339"/>
      <c r="X628" s="339"/>
      <c r="Y628" s="339"/>
      <c r="Z628" s="339"/>
    </row>
    <row r="629" spans="1:26" ht="15.75" customHeight="1">
      <c r="A629" s="339"/>
      <c r="B629" s="339"/>
      <c r="C629" s="339"/>
      <c r="D629" s="339"/>
      <c r="E629" s="339"/>
      <c r="F629" s="339"/>
      <c r="G629" s="339"/>
      <c r="H629" s="339"/>
      <c r="I629" s="341"/>
      <c r="J629" s="340"/>
      <c r="K629" s="339"/>
      <c r="L629" s="341"/>
      <c r="M629" s="339"/>
      <c r="N629" s="339"/>
      <c r="O629" s="341"/>
      <c r="P629" s="339"/>
      <c r="Q629" s="341"/>
      <c r="R629" s="339"/>
      <c r="S629" s="341"/>
      <c r="T629" s="339"/>
      <c r="U629" s="339"/>
      <c r="V629" s="339"/>
      <c r="W629" s="339"/>
      <c r="X629" s="339"/>
      <c r="Y629" s="339"/>
      <c r="Z629" s="339"/>
    </row>
    <row r="630" spans="1:26" ht="15.75" customHeight="1">
      <c r="A630" s="339"/>
      <c r="B630" s="339"/>
      <c r="C630" s="339"/>
      <c r="D630" s="339"/>
      <c r="E630" s="339"/>
      <c r="F630" s="339"/>
      <c r="G630" s="339"/>
      <c r="H630" s="339"/>
      <c r="I630" s="341"/>
      <c r="J630" s="340"/>
      <c r="K630" s="339"/>
      <c r="L630" s="341"/>
      <c r="M630" s="339"/>
      <c r="N630" s="339"/>
      <c r="O630" s="341"/>
      <c r="P630" s="339"/>
      <c r="Q630" s="341"/>
      <c r="R630" s="339"/>
      <c r="S630" s="341"/>
      <c r="T630" s="339"/>
      <c r="U630" s="339"/>
      <c r="V630" s="339"/>
      <c r="W630" s="339"/>
      <c r="X630" s="339"/>
      <c r="Y630" s="339"/>
      <c r="Z630" s="339"/>
    </row>
    <row r="631" spans="1:26" ht="15.75" customHeight="1">
      <c r="A631" s="339"/>
      <c r="B631" s="339"/>
      <c r="C631" s="339"/>
      <c r="D631" s="339"/>
      <c r="E631" s="339"/>
      <c r="F631" s="339"/>
      <c r="G631" s="339"/>
      <c r="H631" s="339"/>
      <c r="I631" s="341"/>
      <c r="J631" s="340"/>
      <c r="K631" s="339"/>
      <c r="L631" s="341"/>
      <c r="M631" s="339"/>
      <c r="N631" s="339"/>
      <c r="O631" s="341"/>
      <c r="P631" s="339"/>
      <c r="Q631" s="341"/>
      <c r="R631" s="339"/>
      <c r="S631" s="341"/>
      <c r="T631" s="339"/>
      <c r="U631" s="339"/>
      <c r="V631" s="339"/>
      <c r="W631" s="339"/>
      <c r="X631" s="339"/>
      <c r="Y631" s="339"/>
      <c r="Z631" s="339"/>
    </row>
    <row r="632" spans="1:26" ht="15.75" customHeight="1">
      <c r="A632" s="339"/>
      <c r="B632" s="339"/>
      <c r="C632" s="339"/>
      <c r="D632" s="339"/>
      <c r="E632" s="339"/>
      <c r="F632" s="339"/>
      <c r="G632" s="339"/>
      <c r="H632" s="339"/>
      <c r="I632" s="341"/>
      <c r="J632" s="340"/>
      <c r="K632" s="339"/>
      <c r="L632" s="341"/>
      <c r="M632" s="339"/>
      <c r="N632" s="339"/>
      <c r="O632" s="341"/>
      <c r="P632" s="339"/>
      <c r="Q632" s="341"/>
      <c r="R632" s="339"/>
      <c r="S632" s="341"/>
      <c r="T632" s="339"/>
      <c r="U632" s="339"/>
      <c r="V632" s="339"/>
      <c r="W632" s="339"/>
      <c r="X632" s="339"/>
      <c r="Y632" s="339"/>
      <c r="Z632" s="339"/>
    </row>
    <row r="633" spans="1:26" ht="15.75" customHeight="1">
      <c r="A633" s="339"/>
      <c r="B633" s="339"/>
      <c r="C633" s="339"/>
      <c r="D633" s="339"/>
      <c r="E633" s="339"/>
      <c r="F633" s="339"/>
      <c r="G633" s="339"/>
      <c r="H633" s="339"/>
      <c r="I633" s="341"/>
      <c r="J633" s="340"/>
      <c r="K633" s="339"/>
      <c r="L633" s="341"/>
      <c r="M633" s="339"/>
      <c r="N633" s="339"/>
      <c r="O633" s="341"/>
      <c r="P633" s="339"/>
      <c r="Q633" s="341"/>
      <c r="R633" s="339"/>
      <c r="S633" s="341"/>
      <c r="T633" s="339"/>
      <c r="U633" s="339"/>
      <c r="V633" s="339"/>
      <c r="W633" s="339"/>
      <c r="X633" s="339"/>
      <c r="Y633" s="339"/>
      <c r="Z633" s="339"/>
    </row>
    <row r="634" spans="1:26" ht="15.75" customHeight="1">
      <c r="A634" s="339"/>
      <c r="B634" s="339"/>
      <c r="C634" s="339"/>
      <c r="D634" s="339"/>
      <c r="E634" s="339"/>
      <c r="F634" s="339"/>
      <c r="G634" s="339"/>
      <c r="H634" s="339"/>
      <c r="I634" s="341"/>
      <c r="J634" s="340"/>
      <c r="K634" s="339"/>
      <c r="L634" s="341"/>
      <c r="M634" s="339"/>
      <c r="N634" s="339"/>
      <c r="O634" s="341"/>
      <c r="P634" s="339"/>
      <c r="Q634" s="341"/>
      <c r="R634" s="339"/>
      <c r="S634" s="341"/>
      <c r="T634" s="339"/>
      <c r="U634" s="339"/>
      <c r="V634" s="339"/>
      <c r="W634" s="339"/>
      <c r="X634" s="339"/>
      <c r="Y634" s="339"/>
      <c r="Z634" s="339"/>
    </row>
    <row r="635" spans="1:26" ht="15.75" customHeight="1">
      <c r="A635" s="339"/>
      <c r="B635" s="339"/>
      <c r="C635" s="339"/>
      <c r="D635" s="339"/>
      <c r="E635" s="339"/>
      <c r="F635" s="339"/>
      <c r="G635" s="339"/>
      <c r="H635" s="339"/>
      <c r="I635" s="341"/>
      <c r="J635" s="340"/>
      <c r="K635" s="339"/>
      <c r="L635" s="341"/>
      <c r="M635" s="339"/>
      <c r="N635" s="339"/>
      <c r="O635" s="341"/>
      <c r="P635" s="339"/>
      <c r="Q635" s="341"/>
      <c r="R635" s="339"/>
      <c r="S635" s="341"/>
      <c r="T635" s="339"/>
      <c r="U635" s="339"/>
      <c r="V635" s="339"/>
      <c r="W635" s="339"/>
      <c r="X635" s="339"/>
      <c r="Y635" s="339"/>
      <c r="Z635" s="339"/>
    </row>
    <row r="636" spans="1:26" ht="15.75" customHeight="1">
      <c r="A636" s="339"/>
      <c r="B636" s="339"/>
      <c r="C636" s="339"/>
      <c r="D636" s="339"/>
      <c r="E636" s="339"/>
      <c r="F636" s="339"/>
      <c r="G636" s="339"/>
      <c r="H636" s="339"/>
      <c r="I636" s="341"/>
      <c r="J636" s="340"/>
      <c r="K636" s="339"/>
      <c r="L636" s="341"/>
      <c r="M636" s="339"/>
      <c r="N636" s="339"/>
      <c r="O636" s="341"/>
      <c r="P636" s="339"/>
      <c r="Q636" s="341"/>
      <c r="R636" s="339"/>
      <c r="S636" s="341"/>
      <c r="T636" s="339"/>
      <c r="U636" s="339"/>
      <c r="V636" s="339"/>
      <c r="W636" s="339"/>
      <c r="X636" s="339"/>
      <c r="Y636" s="339"/>
      <c r="Z636" s="339"/>
    </row>
    <row r="637" spans="1:26" ht="15.75" customHeight="1">
      <c r="A637" s="339"/>
      <c r="B637" s="339"/>
      <c r="C637" s="339"/>
      <c r="D637" s="339"/>
      <c r="E637" s="339"/>
      <c r="F637" s="339"/>
      <c r="G637" s="339"/>
      <c r="H637" s="339"/>
      <c r="I637" s="341"/>
      <c r="J637" s="340"/>
      <c r="K637" s="339"/>
      <c r="L637" s="341"/>
      <c r="M637" s="339"/>
      <c r="N637" s="339"/>
      <c r="O637" s="341"/>
      <c r="P637" s="339"/>
      <c r="Q637" s="341"/>
      <c r="R637" s="339"/>
      <c r="S637" s="341"/>
      <c r="T637" s="339"/>
      <c r="U637" s="339"/>
      <c r="V637" s="339"/>
      <c r="W637" s="339"/>
      <c r="X637" s="339"/>
      <c r="Y637" s="339"/>
      <c r="Z637" s="339"/>
    </row>
    <row r="638" spans="1:26" ht="15.75" customHeight="1">
      <c r="A638" s="339"/>
      <c r="B638" s="339"/>
      <c r="C638" s="339"/>
      <c r="D638" s="339"/>
      <c r="E638" s="339"/>
      <c r="F638" s="339"/>
      <c r="G638" s="339"/>
      <c r="H638" s="339"/>
      <c r="I638" s="341"/>
      <c r="J638" s="340"/>
      <c r="K638" s="339"/>
      <c r="L638" s="341"/>
      <c r="M638" s="339"/>
      <c r="N638" s="339"/>
      <c r="O638" s="341"/>
      <c r="P638" s="339"/>
      <c r="Q638" s="341"/>
      <c r="R638" s="339"/>
      <c r="S638" s="341"/>
      <c r="T638" s="339"/>
      <c r="U638" s="339"/>
      <c r="V638" s="339"/>
      <c r="W638" s="339"/>
      <c r="X638" s="339"/>
      <c r="Y638" s="339"/>
      <c r="Z638" s="339"/>
    </row>
    <row r="639" spans="1:26" ht="15.75" customHeight="1">
      <c r="A639" s="339"/>
      <c r="B639" s="339"/>
      <c r="C639" s="339"/>
      <c r="D639" s="339"/>
      <c r="E639" s="339"/>
      <c r="F639" s="339"/>
      <c r="G639" s="339"/>
      <c r="H639" s="339"/>
      <c r="I639" s="341"/>
      <c r="J639" s="340"/>
      <c r="K639" s="339"/>
      <c r="L639" s="341"/>
      <c r="M639" s="339"/>
      <c r="N639" s="339"/>
      <c r="O639" s="341"/>
      <c r="P639" s="339"/>
      <c r="Q639" s="341"/>
      <c r="R639" s="339"/>
      <c r="S639" s="341"/>
      <c r="T639" s="339"/>
      <c r="U639" s="339"/>
      <c r="V639" s="339"/>
      <c r="W639" s="339"/>
      <c r="X639" s="339"/>
      <c r="Y639" s="339"/>
      <c r="Z639" s="339"/>
    </row>
    <row r="640" spans="1:26" ht="15.75" customHeight="1">
      <c r="A640" s="339"/>
      <c r="B640" s="339"/>
      <c r="C640" s="339"/>
      <c r="D640" s="339"/>
      <c r="E640" s="339"/>
      <c r="F640" s="339"/>
      <c r="G640" s="339"/>
      <c r="H640" s="339"/>
      <c r="I640" s="341"/>
      <c r="J640" s="340"/>
      <c r="K640" s="339"/>
      <c r="L640" s="341"/>
      <c r="M640" s="339"/>
      <c r="N640" s="339"/>
      <c r="O640" s="341"/>
      <c r="P640" s="339"/>
      <c r="Q640" s="341"/>
      <c r="R640" s="339"/>
      <c r="S640" s="341"/>
      <c r="T640" s="339"/>
      <c r="U640" s="339"/>
      <c r="V640" s="339"/>
      <c r="W640" s="339"/>
      <c r="X640" s="339"/>
      <c r="Y640" s="339"/>
      <c r="Z640" s="339"/>
    </row>
    <row r="641" spans="1:26" ht="15.75" customHeight="1">
      <c r="A641" s="339"/>
      <c r="B641" s="339"/>
      <c r="C641" s="339"/>
      <c r="D641" s="339"/>
      <c r="E641" s="339"/>
      <c r="F641" s="339"/>
      <c r="G641" s="339"/>
      <c r="H641" s="339"/>
      <c r="I641" s="341"/>
      <c r="J641" s="340"/>
      <c r="K641" s="339"/>
      <c r="L641" s="341"/>
      <c r="M641" s="339"/>
      <c r="N641" s="339"/>
      <c r="O641" s="341"/>
      <c r="P641" s="339"/>
      <c r="Q641" s="341"/>
      <c r="R641" s="339"/>
      <c r="S641" s="341"/>
      <c r="T641" s="339"/>
      <c r="U641" s="339"/>
      <c r="V641" s="339"/>
      <c r="W641" s="339"/>
      <c r="X641" s="339"/>
      <c r="Y641" s="339"/>
      <c r="Z641" s="339"/>
    </row>
    <row r="642" spans="1:26" ht="15.75" customHeight="1">
      <c r="A642" s="339"/>
      <c r="B642" s="339"/>
      <c r="C642" s="339"/>
      <c r="D642" s="339"/>
      <c r="E642" s="339"/>
      <c r="F642" s="339"/>
      <c r="G642" s="339"/>
      <c r="H642" s="339"/>
      <c r="I642" s="341"/>
      <c r="J642" s="340"/>
      <c r="K642" s="339"/>
      <c r="L642" s="341"/>
      <c r="M642" s="339"/>
      <c r="N642" s="339"/>
      <c r="O642" s="341"/>
      <c r="P642" s="339"/>
      <c r="Q642" s="341"/>
      <c r="R642" s="339"/>
      <c r="S642" s="341"/>
      <c r="T642" s="339"/>
      <c r="U642" s="339"/>
      <c r="V642" s="339"/>
      <c r="W642" s="339"/>
      <c r="X642" s="339"/>
      <c r="Y642" s="339"/>
      <c r="Z642" s="339"/>
    </row>
    <row r="643" spans="1:26" ht="15.75" customHeight="1">
      <c r="A643" s="339"/>
      <c r="B643" s="339"/>
      <c r="C643" s="339"/>
      <c r="D643" s="339"/>
      <c r="E643" s="339"/>
      <c r="F643" s="339"/>
      <c r="G643" s="339"/>
      <c r="H643" s="339"/>
      <c r="I643" s="341"/>
      <c r="J643" s="340"/>
      <c r="K643" s="339"/>
      <c r="L643" s="341"/>
      <c r="M643" s="339"/>
      <c r="N643" s="339"/>
      <c r="O643" s="341"/>
      <c r="P643" s="339"/>
      <c r="Q643" s="341"/>
      <c r="R643" s="339"/>
      <c r="S643" s="341"/>
      <c r="T643" s="339"/>
      <c r="U643" s="339"/>
      <c r="V643" s="339"/>
      <c r="W643" s="339"/>
      <c r="X643" s="339"/>
      <c r="Y643" s="339"/>
      <c r="Z643" s="339"/>
    </row>
    <row r="644" spans="1:26" ht="15.75" customHeight="1">
      <c r="A644" s="339"/>
      <c r="B644" s="339"/>
      <c r="C644" s="339"/>
      <c r="D644" s="339"/>
      <c r="E644" s="339"/>
      <c r="F644" s="339"/>
      <c r="G644" s="339"/>
      <c r="H644" s="339"/>
      <c r="I644" s="341"/>
      <c r="J644" s="340"/>
      <c r="K644" s="339"/>
      <c r="L644" s="341"/>
      <c r="M644" s="339"/>
      <c r="N644" s="339"/>
      <c r="O644" s="341"/>
      <c r="P644" s="339"/>
      <c r="Q644" s="341"/>
      <c r="R644" s="339"/>
      <c r="S644" s="341"/>
      <c r="T644" s="339"/>
      <c r="U644" s="339"/>
      <c r="V644" s="339"/>
      <c r="W644" s="339"/>
      <c r="X644" s="339"/>
      <c r="Y644" s="339"/>
      <c r="Z644" s="339"/>
    </row>
    <row r="645" spans="1:26" ht="15.75" customHeight="1">
      <c r="A645" s="339"/>
      <c r="B645" s="339"/>
      <c r="C645" s="339"/>
      <c r="D645" s="339"/>
      <c r="E645" s="339"/>
      <c r="F645" s="339"/>
      <c r="G645" s="339"/>
      <c r="H645" s="339"/>
      <c r="I645" s="341"/>
      <c r="J645" s="340"/>
      <c r="K645" s="339"/>
      <c r="L645" s="341"/>
      <c r="M645" s="339"/>
      <c r="N645" s="339"/>
      <c r="O645" s="341"/>
      <c r="P645" s="339"/>
      <c r="Q645" s="341"/>
      <c r="R645" s="339"/>
      <c r="S645" s="341"/>
      <c r="T645" s="339"/>
      <c r="U645" s="339"/>
      <c r="V645" s="339"/>
      <c r="W645" s="339"/>
      <c r="X645" s="339"/>
      <c r="Y645" s="339"/>
      <c r="Z645" s="339"/>
    </row>
    <row r="646" spans="1:26" ht="15.75" customHeight="1">
      <c r="A646" s="339"/>
      <c r="B646" s="339"/>
      <c r="C646" s="339"/>
      <c r="D646" s="339"/>
      <c r="E646" s="339"/>
      <c r="F646" s="339"/>
      <c r="G646" s="339"/>
      <c r="H646" s="339"/>
      <c r="I646" s="341"/>
      <c r="J646" s="340"/>
      <c r="K646" s="339"/>
      <c r="L646" s="341"/>
      <c r="M646" s="339"/>
      <c r="N646" s="339"/>
      <c r="O646" s="341"/>
      <c r="P646" s="339"/>
      <c r="Q646" s="341"/>
      <c r="R646" s="339"/>
      <c r="S646" s="341"/>
      <c r="T646" s="339"/>
      <c r="U646" s="339"/>
      <c r="V646" s="339"/>
      <c r="W646" s="339"/>
      <c r="X646" s="339"/>
      <c r="Y646" s="339"/>
      <c r="Z646" s="339"/>
    </row>
    <row r="647" spans="1:26" ht="15.75" customHeight="1">
      <c r="A647" s="339"/>
      <c r="B647" s="339"/>
      <c r="C647" s="339"/>
      <c r="D647" s="339"/>
      <c r="E647" s="339"/>
      <c r="F647" s="339"/>
      <c r="G647" s="339"/>
      <c r="H647" s="339"/>
      <c r="I647" s="341"/>
      <c r="J647" s="340"/>
      <c r="K647" s="339"/>
      <c r="L647" s="341"/>
      <c r="M647" s="339"/>
      <c r="N647" s="339"/>
      <c r="O647" s="341"/>
      <c r="P647" s="339"/>
      <c r="Q647" s="341"/>
      <c r="R647" s="339"/>
      <c r="S647" s="341"/>
      <c r="T647" s="339"/>
      <c r="U647" s="339"/>
      <c r="V647" s="339"/>
      <c r="W647" s="339"/>
      <c r="X647" s="339"/>
      <c r="Y647" s="339"/>
      <c r="Z647" s="339"/>
    </row>
    <row r="648" spans="1:26" ht="15.75" customHeight="1">
      <c r="A648" s="339"/>
      <c r="B648" s="339"/>
      <c r="C648" s="339"/>
      <c r="D648" s="339"/>
      <c r="E648" s="339"/>
      <c r="F648" s="339"/>
      <c r="G648" s="339"/>
      <c r="H648" s="339"/>
      <c r="I648" s="341"/>
      <c r="J648" s="340"/>
      <c r="K648" s="339"/>
      <c r="L648" s="341"/>
      <c r="M648" s="339"/>
      <c r="N648" s="339"/>
      <c r="O648" s="341"/>
      <c r="P648" s="339"/>
      <c r="Q648" s="341"/>
      <c r="R648" s="339"/>
      <c r="S648" s="341"/>
      <c r="T648" s="339"/>
      <c r="U648" s="339"/>
      <c r="V648" s="339"/>
      <c r="W648" s="339"/>
      <c r="X648" s="339"/>
      <c r="Y648" s="339"/>
      <c r="Z648" s="339"/>
    </row>
    <row r="649" spans="1:26" ht="15.75" customHeight="1">
      <c r="A649" s="339"/>
      <c r="B649" s="339"/>
      <c r="C649" s="339"/>
      <c r="D649" s="339"/>
      <c r="E649" s="339"/>
      <c r="F649" s="339"/>
      <c r="G649" s="339"/>
      <c r="H649" s="339"/>
      <c r="I649" s="341"/>
      <c r="J649" s="340"/>
      <c r="K649" s="339"/>
      <c r="L649" s="341"/>
      <c r="M649" s="339"/>
      <c r="N649" s="339"/>
      <c r="O649" s="341"/>
      <c r="P649" s="339"/>
      <c r="Q649" s="341"/>
      <c r="R649" s="339"/>
      <c r="S649" s="341"/>
      <c r="T649" s="339"/>
      <c r="U649" s="339"/>
      <c r="V649" s="339"/>
      <c r="W649" s="339"/>
      <c r="X649" s="339"/>
      <c r="Y649" s="339"/>
      <c r="Z649" s="339"/>
    </row>
    <row r="650" spans="1:26" ht="15.75" customHeight="1">
      <c r="A650" s="339"/>
      <c r="B650" s="339"/>
      <c r="C650" s="339"/>
      <c r="D650" s="339"/>
      <c r="E650" s="339"/>
      <c r="F650" s="339"/>
      <c r="G650" s="339"/>
      <c r="H650" s="339"/>
      <c r="I650" s="341"/>
      <c r="J650" s="340"/>
      <c r="K650" s="339"/>
      <c r="L650" s="341"/>
      <c r="M650" s="339"/>
      <c r="N650" s="339"/>
      <c r="O650" s="341"/>
      <c r="P650" s="339"/>
      <c r="Q650" s="341"/>
      <c r="R650" s="339"/>
      <c r="S650" s="341"/>
      <c r="T650" s="339"/>
      <c r="U650" s="339"/>
      <c r="V650" s="339"/>
      <c r="W650" s="339"/>
      <c r="X650" s="339"/>
      <c r="Y650" s="339"/>
      <c r="Z650" s="339"/>
    </row>
    <row r="651" spans="1:26" ht="15.75" customHeight="1">
      <c r="A651" s="339"/>
      <c r="B651" s="339"/>
      <c r="C651" s="339"/>
      <c r="D651" s="339"/>
      <c r="E651" s="339"/>
      <c r="F651" s="339"/>
      <c r="G651" s="339"/>
      <c r="H651" s="339"/>
      <c r="I651" s="341"/>
      <c r="J651" s="340"/>
      <c r="K651" s="339"/>
      <c r="L651" s="341"/>
      <c r="M651" s="339"/>
      <c r="N651" s="339"/>
      <c r="O651" s="341"/>
      <c r="P651" s="339"/>
      <c r="Q651" s="341"/>
      <c r="R651" s="339"/>
      <c r="S651" s="341"/>
      <c r="T651" s="339"/>
      <c r="U651" s="339"/>
      <c r="V651" s="339"/>
      <c r="W651" s="339"/>
      <c r="X651" s="339"/>
      <c r="Y651" s="339"/>
      <c r="Z651" s="339"/>
    </row>
    <row r="652" spans="1:26" ht="15.75" customHeight="1">
      <c r="A652" s="339"/>
      <c r="B652" s="339"/>
      <c r="C652" s="339"/>
      <c r="D652" s="339"/>
      <c r="E652" s="339"/>
      <c r="F652" s="339"/>
      <c r="G652" s="339"/>
      <c r="H652" s="339"/>
      <c r="I652" s="341"/>
      <c r="J652" s="340"/>
      <c r="K652" s="339"/>
      <c r="L652" s="341"/>
      <c r="M652" s="339"/>
      <c r="N652" s="339"/>
      <c r="O652" s="341"/>
      <c r="P652" s="339"/>
      <c r="Q652" s="341"/>
      <c r="R652" s="339"/>
      <c r="S652" s="341"/>
      <c r="T652" s="339"/>
      <c r="U652" s="339"/>
      <c r="V652" s="339"/>
      <c r="W652" s="339"/>
      <c r="X652" s="339"/>
      <c r="Y652" s="339"/>
      <c r="Z652" s="339"/>
    </row>
    <row r="653" spans="1:26" ht="15.75" customHeight="1">
      <c r="A653" s="339"/>
      <c r="B653" s="339"/>
      <c r="C653" s="339"/>
      <c r="D653" s="339"/>
      <c r="E653" s="339"/>
      <c r="F653" s="339"/>
      <c r="G653" s="339"/>
      <c r="H653" s="339"/>
      <c r="I653" s="341"/>
      <c r="J653" s="340"/>
      <c r="K653" s="339"/>
      <c r="L653" s="341"/>
      <c r="M653" s="339"/>
      <c r="N653" s="339"/>
      <c r="O653" s="341"/>
      <c r="P653" s="339"/>
      <c r="Q653" s="341"/>
      <c r="R653" s="339"/>
      <c r="S653" s="341"/>
      <c r="T653" s="339"/>
      <c r="U653" s="339"/>
      <c r="V653" s="339"/>
      <c r="W653" s="339"/>
      <c r="X653" s="339"/>
      <c r="Y653" s="339"/>
      <c r="Z653" s="339"/>
    </row>
    <row r="654" spans="1:26" ht="15.75" customHeight="1">
      <c r="A654" s="339"/>
      <c r="B654" s="339"/>
      <c r="C654" s="339"/>
      <c r="D654" s="339"/>
      <c r="E654" s="339"/>
      <c r="F654" s="339"/>
      <c r="G654" s="339"/>
      <c r="H654" s="339"/>
      <c r="I654" s="341"/>
      <c r="J654" s="340"/>
      <c r="K654" s="339"/>
      <c r="L654" s="341"/>
      <c r="M654" s="339"/>
      <c r="N654" s="339"/>
      <c r="O654" s="341"/>
      <c r="P654" s="339"/>
      <c r="Q654" s="341"/>
      <c r="R654" s="339"/>
      <c r="S654" s="341"/>
      <c r="T654" s="339"/>
      <c r="U654" s="339"/>
      <c r="V654" s="339"/>
      <c r="W654" s="339"/>
      <c r="X654" s="339"/>
      <c r="Y654" s="339"/>
      <c r="Z654" s="339"/>
    </row>
    <row r="655" spans="1:26" ht="15.75" customHeight="1">
      <c r="A655" s="339"/>
      <c r="B655" s="339"/>
      <c r="C655" s="339"/>
      <c r="D655" s="339"/>
      <c r="E655" s="339"/>
      <c r="F655" s="339"/>
      <c r="G655" s="339"/>
      <c r="H655" s="339"/>
      <c r="I655" s="341"/>
      <c r="J655" s="340"/>
      <c r="K655" s="339"/>
      <c r="L655" s="341"/>
      <c r="M655" s="339"/>
      <c r="N655" s="339"/>
      <c r="O655" s="341"/>
      <c r="P655" s="339"/>
      <c r="Q655" s="341"/>
      <c r="R655" s="339"/>
      <c r="S655" s="341"/>
      <c r="T655" s="339"/>
      <c r="U655" s="339"/>
      <c r="V655" s="339"/>
      <c r="W655" s="339"/>
      <c r="X655" s="339"/>
      <c r="Y655" s="339"/>
      <c r="Z655" s="339"/>
    </row>
    <row r="656" spans="1:26" ht="15.75" customHeight="1">
      <c r="A656" s="339"/>
      <c r="B656" s="339"/>
      <c r="C656" s="339"/>
      <c r="D656" s="339"/>
      <c r="E656" s="339"/>
      <c r="F656" s="339"/>
      <c r="G656" s="339"/>
      <c r="H656" s="339"/>
      <c r="I656" s="341"/>
      <c r="J656" s="340"/>
      <c r="K656" s="339"/>
      <c r="L656" s="341"/>
      <c r="M656" s="339"/>
      <c r="N656" s="339"/>
      <c r="O656" s="341"/>
      <c r="P656" s="339"/>
      <c r="Q656" s="341"/>
      <c r="R656" s="339"/>
      <c r="S656" s="341"/>
      <c r="T656" s="339"/>
      <c r="U656" s="339"/>
      <c r="V656" s="339"/>
      <c r="W656" s="339"/>
      <c r="X656" s="339"/>
      <c r="Y656" s="339"/>
      <c r="Z656" s="339"/>
    </row>
    <row r="657" spans="1:26" ht="15.75" customHeight="1">
      <c r="A657" s="339"/>
      <c r="B657" s="339"/>
      <c r="C657" s="339"/>
      <c r="D657" s="339"/>
      <c r="E657" s="339"/>
      <c r="F657" s="339"/>
      <c r="G657" s="339"/>
      <c r="H657" s="339"/>
      <c r="I657" s="341"/>
      <c r="J657" s="340"/>
      <c r="K657" s="339"/>
      <c r="L657" s="341"/>
      <c r="M657" s="339"/>
      <c r="N657" s="339"/>
      <c r="O657" s="341"/>
      <c r="P657" s="339"/>
      <c r="Q657" s="341"/>
      <c r="R657" s="339"/>
      <c r="S657" s="341"/>
      <c r="T657" s="339"/>
      <c r="U657" s="339"/>
      <c r="V657" s="339"/>
      <c r="W657" s="339"/>
      <c r="X657" s="339"/>
      <c r="Y657" s="339"/>
      <c r="Z657" s="339"/>
    </row>
    <row r="658" spans="1:26" ht="15.75" customHeight="1">
      <c r="A658" s="339"/>
      <c r="B658" s="339"/>
      <c r="C658" s="339"/>
      <c r="D658" s="339"/>
      <c r="E658" s="339"/>
      <c r="F658" s="339"/>
      <c r="G658" s="339"/>
      <c r="H658" s="339"/>
      <c r="I658" s="341"/>
      <c r="J658" s="340"/>
      <c r="K658" s="339"/>
      <c r="L658" s="341"/>
      <c r="M658" s="339"/>
      <c r="N658" s="339"/>
      <c r="O658" s="341"/>
      <c r="P658" s="339"/>
      <c r="Q658" s="341"/>
      <c r="R658" s="339"/>
      <c r="S658" s="341"/>
      <c r="T658" s="339"/>
      <c r="U658" s="339"/>
      <c r="V658" s="339"/>
      <c r="W658" s="339"/>
      <c r="X658" s="339"/>
      <c r="Y658" s="339"/>
      <c r="Z658" s="339"/>
    </row>
    <row r="659" spans="1:26" ht="15.75" customHeight="1">
      <c r="A659" s="339"/>
      <c r="B659" s="339"/>
      <c r="C659" s="339"/>
      <c r="D659" s="339"/>
      <c r="E659" s="339"/>
      <c r="F659" s="339"/>
      <c r="G659" s="339"/>
      <c r="H659" s="339"/>
      <c r="I659" s="341"/>
      <c r="J659" s="340"/>
      <c r="K659" s="339"/>
      <c r="L659" s="341"/>
      <c r="M659" s="339"/>
      <c r="N659" s="339"/>
      <c r="O659" s="341"/>
      <c r="P659" s="339"/>
      <c r="Q659" s="341"/>
      <c r="R659" s="339"/>
      <c r="S659" s="341"/>
      <c r="T659" s="339"/>
      <c r="U659" s="339"/>
      <c r="V659" s="339"/>
      <c r="W659" s="339"/>
      <c r="X659" s="339"/>
      <c r="Y659" s="339"/>
      <c r="Z659" s="339"/>
    </row>
    <row r="660" spans="1:26" ht="15.75" customHeight="1">
      <c r="A660" s="339"/>
      <c r="B660" s="339"/>
      <c r="C660" s="339"/>
      <c r="D660" s="339"/>
      <c r="E660" s="339"/>
      <c r="F660" s="339"/>
      <c r="G660" s="339"/>
      <c r="H660" s="339"/>
      <c r="I660" s="341"/>
      <c r="J660" s="340"/>
      <c r="K660" s="339"/>
      <c r="L660" s="341"/>
      <c r="M660" s="339"/>
      <c r="N660" s="339"/>
      <c r="O660" s="341"/>
      <c r="P660" s="339"/>
      <c r="Q660" s="341"/>
      <c r="R660" s="339"/>
      <c r="S660" s="341"/>
      <c r="T660" s="339"/>
      <c r="U660" s="339"/>
      <c r="V660" s="339"/>
      <c r="W660" s="339"/>
      <c r="X660" s="339"/>
      <c r="Y660" s="339"/>
      <c r="Z660" s="339"/>
    </row>
    <row r="661" spans="1:26" ht="15.75" customHeight="1">
      <c r="A661" s="339"/>
      <c r="B661" s="339"/>
      <c r="C661" s="339"/>
      <c r="D661" s="339"/>
      <c r="E661" s="339"/>
      <c r="F661" s="339"/>
      <c r="G661" s="339"/>
      <c r="H661" s="339"/>
      <c r="I661" s="341"/>
      <c r="J661" s="340"/>
      <c r="K661" s="339"/>
      <c r="L661" s="341"/>
      <c r="M661" s="339"/>
      <c r="N661" s="339"/>
      <c r="O661" s="341"/>
      <c r="P661" s="339"/>
      <c r="Q661" s="341"/>
      <c r="R661" s="339"/>
      <c r="S661" s="341"/>
      <c r="T661" s="339"/>
      <c r="U661" s="339"/>
      <c r="V661" s="339"/>
      <c r="W661" s="339"/>
      <c r="X661" s="339"/>
      <c r="Y661" s="339"/>
      <c r="Z661" s="339"/>
    </row>
    <row r="662" spans="1:26" ht="15.75" customHeight="1">
      <c r="A662" s="339"/>
      <c r="B662" s="339"/>
      <c r="C662" s="339"/>
      <c r="D662" s="339"/>
      <c r="E662" s="339"/>
      <c r="F662" s="339"/>
      <c r="G662" s="339"/>
      <c r="H662" s="339"/>
      <c r="I662" s="341"/>
      <c r="J662" s="340"/>
      <c r="K662" s="339"/>
      <c r="L662" s="341"/>
      <c r="M662" s="339"/>
      <c r="N662" s="339"/>
      <c r="O662" s="341"/>
      <c r="P662" s="339"/>
      <c r="Q662" s="341"/>
      <c r="R662" s="339"/>
      <c r="S662" s="341"/>
      <c r="T662" s="339"/>
      <c r="U662" s="339"/>
      <c r="V662" s="339"/>
      <c r="W662" s="339"/>
      <c r="X662" s="339"/>
      <c r="Y662" s="339"/>
      <c r="Z662" s="339"/>
    </row>
    <row r="663" spans="1:26" ht="15.75" customHeight="1">
      <c r="A663" s="339"/>
      <c r="B663" s="339"/>
      <c r="C663" s="339"/>
      <c r="D663" s="339"/>
      <c r="E663" s="339"/>
      <c r="F663" s="339"/>
      <c r="G663" s="339"/>
      <c r="H663" s="339"/>
      <c r="I663" s="341"/>
      <c r="J663" s="340"/>
      <c r="K663" s="339"/>
      <c r="L663" s="341"/>
      <c r="M663" s="339"/>
      <c r="N663" s="339"/>
      <c r="O663" s="341"/>
      <c r="P663" s="339"/>
      <c r="Q663" s="341"/>
      <c r="R663" s="339"/>
      <c r="S663" s="341"/>
      <c r="T663" s="339"/>
      <c r="U663" s="339"/>
      <c r="V663" s="339"/>
      <c r="W663" s="339"/>
      <c r="X663" s="339"/>
      <c r="Y663" s="339"/>
      <c r="Z663" s="339"/>
    </row>
    <row r="664" spans="1:26" ht="15.75" customHeight="1">
      <c r="A664" s="339"/>
      <c r="B664" s="339"/>
      <c r="C664" s="339"/>
      <c r="D664" s="339"/>
      <c r="E664" s="339"/>
      <c r="F664" s="339"/>
      <c r="G664" s="339"/>
      <c r="H664" s="339"/>
      <c r="I664" s="341"/>
      <c r="J664" s="340"/>
      <c r="K664" s="339"/>
      <c r="L664" s="341"/>
      <c r="M664" s="339"/>
      <c r="N664" s="339"/>
      <c r="O664" s="341"/>
      <c r="P664" s="339"/>
      <c r="Q664" s="341"/>
      <c r="R664" s="339"/>
      <c r="S664" s="341"/>
      <c r="T664" s="339"/>
      <c r="U664" s="339"/>
      <c r="V664" s="339"/>
      <c r="W664" s="339"/>
      <c r="X664" s="339"/>
      <c r="Y664" s="339"/>
      <c r="Z664" s="339"/>
    </row>
    <row r="665" spans="1:26" ht="15.75" customHeight="1">
      <c r="A665" s="339"/>
      <c r="B665" s="339"/>
      <c r="C665" s="339"/>
      <c r="D665" s="339"/>
      <c r="E665" s="339"/>
      <c r="F665" s="339"/>
      <c r="G665" s="339"/>
      <c r="H665" s="339"/>
      <c r="I665" s="341"/>
      <c r="J665" s="340"/>
      <c r="K665" s="339"/>
      <c r="L665" s="341"/>
      <c r="M665" s="339"/>
      <c r="N665" s="339"/>
      <c r="O665" s="341"/>
      <c r="P665" s="339"/>
      <c r="Q665" s="341"/>
      <c r="R665" s="339"/>
      <c r="S665" s="341"/>
      <c r="T665" s="339"/>
      <c r="U665" s="339"/>
      <c r="V665" s="339"/>
      <c r="W665" s="339"/>
      <c r="X665" s="339"/>
      <c r="Y665" s="339"/>
      <c r="Z665" s="339"/>
    </row>
    <row r="666" spans="1:26" ht="15.75" customHeight="1">
      <c r="A666" s="339"/>
      <c r="B666" s="339"/>
      <c r="C666" s="339"/>
      <c r="D666" s="339"/>
      <c r="E666" s="339"/>
      <c r="F666" s="339"/>
      <c r="G666" s="339"/>
      <c r="H666" s="339"/>
      <c r="I666" s="341"/>
      <c r="J666" s="340"/>
      <c r="K666" s="339"/>
      <c r="L666" s="341"/>
      <c r="M666" s="339"/>
      <c r="N666" s="339"/>
      <c r="O666" s="341"/>
      <c r="P666" s="339"/>
      <c r="Q666" s="341"/>
      <c r="R666" s="339"/>
      <c r="S666" s="341"/>
      <c r="T666" s="339"/>
      <c r="U666" s="339"/>
      <c r="V666" s="339"/>
      <c r="W666" s="339"/>
      <c r="X666" s="339"/>
      <c r="Y666" s="339"/>
      <c r="Z666" s="339"/>
    </row>
    <row r="667" spans="1:26" ht="15.75" customHeight="1">
      <c r="A667" s="339"/>
      <c r="B667" s="339"/>
      <c r="C667" s="339"/>
      <c r="D667" s="339"/>
      <c r="E667" s="339"/>
      <c r="F667" s="339"/>
      <c r="G667" s="339"/>
      <c r="H667" s="339"/>
      <c r="I667" s="341"/>
      <c r="J667" s="340"/>
      <c r="K667" s="339"/>
      <c r="L667" s="341"/>
      <c r="M667" s="339"/>
      <c r="N667" s="339"/>
      <c r="O667" s="341"/>
      <c r="P667" s="339"/>
      <c r="Q667" s="341"/>
      <c r="R667" s="339"/>
      <c r="S667" s="341"/>
      <c r="T667" s="339"/>
      <c r="U667" s="339"/>
      <c r="V667" s="339"/>
      <c r="W667" s="339"/>
      <c r="X667" s="339"/>
      <c r="Y667" s="339"/>
      <c r="Z667" s="339"/>
    </row>
    <row r="668" spans="1:26" ht="15.75" customHeight="1">
      <c r="A668" s="339"/>
      <c r="B668" s="339"/>
      <c r="C668" s="339"/>
      <c r="D668" s="339"/>
      <c r="E668" s="339"/>
      <c r="F668" s="339"/>
      <c r="G668" s="339"/>
      <c r="H668" s="339"/>
      <c r="I668" s="341"/>
      <c r="J668" s="340"/>
      <c r="K668" s="339"/>
      <c r="L668" s="341"/>
      <c r="M668" s="339"/>
      <c r="N668" s="339"/>
      <c r="O668" s="341"/>
      <c r="P668" s="339"/>
      <c r="Q668" s="341"/>
      <c r="R668" s="339"/>
      <c r="S668" s="341"/>
      <c r="T668" s="339"/>
      <c r="U668" s="339"/>
      <c r="V668" s="339"/>
      <c r="W668" s="339"/>
      <c r="X668" s="339"/>
      <c r="Y668" s="339"/>
      <c r="Z668" s="339"/>
    </row>
    <row r="669" spans="1:26" ht="15.75" customHeight="1">
      <c r="A669" s="339"/>
      <c r="B669" s="339"/>
      <c r="C669" s="339"/>
      <c r="D669" s="339"/>
      <c r="E669" s="339"/>
      <c r="F669" s="339"/>
      <c r="G669" s="339"/>
      <c r="H669" s="339"/>
      <c r="I669" s="341"/>
      <c r="J669" s="340"/>
      <c r="K669" s="339"/>
      <c r="L669" s="341"/>
      <c r="M669" s="339"/>
      <c r="N669" s="339"/>
      <c r="O669" s="341"/>
      <c r="P669" s="339"/>
      <c r="Q669" s="341"/>
      <c r="R669" s="339"/>
      <c r="S669" s="341"/>
      <c r="T669" s="339"/>
      <c r="U669" s="339"/>
      <c r="V669" s="339"/>
      <c r="W669" s="339"/>
      <c r="X669" s="339"/>
      <c r="Y669" s="339"/>
      <c r="Z669" s="339"/>
    </row>
    <row r="670" spans="1:26" ht="15.75" customHeight="1">
      <c r="A670" s="339"/>
      <c r="B670" s="339"/>
      <c r="C670" s="339"/>
      <c r="D670" s="339"/>
      <c r="E670" s="339"/>
      <c r="F670" s="339"/>
      <c r="G670" s="339"/>
      <c r="H670" s="339"/>
      <c r="I670" s="341"/>
      <c r="J670" s="340"/>
      <c r="K670" s="339"/>
      <c r="L670" s="341"/>
      <c r="M670" s="339"/>
      <c r="N670" s="339"/>
      <c r="O670" s="341"/>
      <c r="P670" s="339"/>
      <c r="Q670" s="341"/>
      <c r="R670" s="339"/>
      <c r="S670" s="341"/>
      <c r="T670" s="339"/>
      <c r="U670" s="339"/>
      <c r="V670" s="339"/>
      <c r="W670" s="339"/>
      <c r="X670" s="339"/>
      <c r="Y670" s="339"/>
      <c r="Z670" s="339"/>
    </row>
    <row r="671" spans="1:26" ht="15.75" customHeight="1">
      <c r="A671" s="339"/>
      <c r="B671" s="339"/>
      <c r="C671" s="339"/>
      <c r="D671" s="339"/>
      <c r="E671" s="339"/>
      <c r="F671" s="339"/>
      <c r="G671" s="339"/>
      <c r="H671" s="339"/>
      <c r="I671" s="341"/>
      <c r="J671" s="340"/>
      <c r="K671" s="339"/>
      <c r="L671" s="341"/>
      <c r="M671" s="339"/>
      <c r="N671" s="339"/>
      <c r="O671" s="341"/>
      <c r="P671" s="339"/>
      <c r="Q671" s="341"/>
      <c r="R671" s="339"/>
      <c r="S671" s="341"/>
      <c r="T671" s="339"/>
      <c r="U671" s="339"/>
      <c r="V671" s="339"/>
      <c r="W671" s="339"/>
      <c r="X671" s="339"/>
      <c r="Y671" s="339"/>
      <c r="Z671" s="339"/>
    </row>
    <row r="672" spans="1:26" ht="15.75" customHeight="1">
      <c r="A672" s="339"/>
      <c r="B672" s="339"/>
      <c r="C672" s="339"/>
      <c r="D672" s="339"/>
      <c r="E672" s="339"/>
      <c r="F672" s="339"/>
      <c r="G672" s="339"/>
      <c r="H672" s="339"/>
      <c r="I672" s="341"/>
      <c r="J672" s="340"/>
      <c r="K672" s="339"/>
      <c r="L672" s="341"/>
      <c r="M672" s="339"/>
      <c r="N672" s="339"/>
      <c r="O672" s="341"/>
      <c r="P672" s="339"/>
      <c r="Q672" s="341"/>
      <c r="R672" s="339"/>
      <c r="S672" s="341"/>
      <c r="T672" s="339"/>
      <c r="U672" s="339"/>
      <c r="V672" s="339"/>
      <c r="W672" s="339"/>
      <c r="X672" s="339"/>
      <c r="Y672" s="339"/>
      <c r="Z672" s="339"/>
    </row>
    <row r="673" spans="1:26" ht="15.75" customHeight="1">
      <c r="A673" s="339"/>
      <c r="B673" s="339"/>
      <c r="C673" s="339"/>
      <c r="D673" s="339"/>
      <c r="E673" s="339"/>
      <c r="F673" s="339"/>
      <c r="G673" s="339"/>
      <c r="H673" s="339"/>
      <c r="I673" s="341"/>
      <c r="J673" s="340"/>
      <c r="K673" s="339"/>
      <c r="L673" s="341"/>
      <c r="M673" s="339"/>
      <c r="N673" s="339"/>
      <c r="O673" s="341"/>
      <c r="P673" s="339"/>
      <c r="Q673" s="341"/>
      <c r="R673" s="339"/>
      <c r="S673" s="341"/>
      <c r="T673" s="339"/>
      <c r="U673" s="339"/>
      <c r="V673" s="339"/>
      <c r="W673" s="339"/>
      <c r="X673" s="339"/>
      <c r="Y673" s="339"/>
      <c r="Z673" s="339"/>
    </row>
    <row r="674" spans="1:26" ht="15.75" customHeight="1">
      <c r="A674" s="339"/>
      <c r="B674" s="339"/>
      <c r="C674" s="339"/>
      <c r="D674" s="339"/>
      <c r="E674" s="339"/>
      <c r="F674" s="339"/>
      <c r="G674" s="339"/>
      <c r="H674" s="339"/>
      <c r="I674" s="341"/>
      <c r="J674" s="340"/>
      <c r="K674" s="339"/>
      <c r="L674" s="341"/>
      <c r="M674" s="339"/>
      <c r="N674" s="339"/>
      <c r="O674" s="341"/>
      <c r="P674" s="339"/>
      <c r="Q674" s="341"/>
      <c r="R674" s="339"/>
      <c r="S674" s="341"/>
      <c r="T674" s="339"/>
      <c r="U674" s="339"/>
      <c r="V674" s="339"/>
      <c r="W674" s="339"/>
      <c r="X674" s="339"/>
      <c r="Y674" s="339"/>
      <c r="Z674" s="339"/>
    </row>
    <row r="675" spans="1:26" ht="15.75" customHeight="1">
      <c r="A675" s="339"/>
      <c r="B675" s="339"/>
      <c r="C675" s="339"/>
      <c r="D675" s="339"/>
      <c r="E675" s="339"/>
      <c r="F675" s="339"/>
      <c r="G675" s="339"/>
      <c r="H675" s="339"/>
      <c r="I675" s="341"/>
      <c r="J675" s="340"/>
      <c r="K675" s="339"/>
      <c r="L675" s="341"/>
      <c r="M675" s="339"/>
      <c r="N675" s="339"/>
      <c r="O675" s="341"/>
      <c r="P675" s="339"/>
      <c r="Q675" s="341"/>
      <c r="R675" s="339"/>
      <c r="S675" s="341"/>
      <c r="T675" s="339"/>
      <c r="U675" s="339"/>
      <c r="V675" s="339"/>
      <c r="W675" s="339"/>
      <c r="X675" s="339"/>
      <c r="Y675" s="339"/>
      <c r="Z675" s="339"/>
    </row>
    <row r="676" spans="1:26" ht="15.75" customHeight="1">
      <c r="A676" s="339"/>
      <c r="B676" s="339"/>
      <c r="C676" s="339"/>
      <c r="D676" s="339"/>
      <c r="E676" s="339"/>
      <c r="F676" s="339"/>
      <c r="G676" s="339"/>
      <c r="H676" s="339"/>
      <c r="I676" s="341"/>
      <c r="J676" s="340"/>
      <c r="K676" s="339"/>
      <c r="L676" s="341"/>
      <c r="M676" s="339"/>
      <c r="N676" s="339"/>
      <c r="O676" s="341"/>
      <c r="P676" s="339"/>
      <c r="Q676" s="341"/>
      <c r="R676" s="339"/>
      <c r="S676" s="341"/>
      <c r="T676" s="339"/>
      <c r="U676" s="339"/>
      <c r="V676" s="339"/>
      <c r="W676" s="339"/>
      <c r="X676" s="339"/>
      <c r="Y676" s="339"/>
      <c r="Z676" s="339"/>
    </row>
    <row r="677" spans="1:26" ht="15.75" customHeight="1">
      <c r="A677" s="339"/>
      <c r="B677" s="339"/>
      <c r="C677" s="339"/>
      <c r="D677" s="339"/>
      <c r="E677" s="339"/>
      <c r="F677" s="339"/>
      <c r="G677" s="339"/>
      <c r="H677" s="339"/>
      <c r="I677" s="341"/>
      <c r="J677" s="340"/>
      <c r="K677" s="339"/>
      <c r="L677" s="341"/>
      <c r="M677" s="339"/>
      <c r="N677" s="339"/>
      <c r="O677" s="341"/>
      <c r="P677" s="339"/>
      <c r="Q677" s="341"/>
      <c r="R677" s="339"/>
      <c r="S677" s="341"/>
      <c r="T677" s="339"/>
      <c r="U677" s="339"/>
      <c r="V677" s="339"/>
      <c r="W677" s="339"/>
      <c r="X677" s="339"/>
      <c r="Y677" s="339"/>
      <c r="Z677" s="339"/>
    </row>
    <row r="678" spans="1:26" ht="15.75" customHeight="1">
      <c r="A678" s="339"/>
      <c r="B678" s="339"/>
      <c r="C678" s="339"/>
      <c r="D678" s="339"/>
      <c r="E678" s="339"/>
      <c r="F678" s="339"/>
      <c r="G678" s="339"/>
      <c r="H678" s="339"/>
      <c r="I678" s="341"/>
      <c r="J678" s="340"/>
      <c r="K678" s="339"/>
      <c r="L678" s="341"/>
      <c r="M678" s="339"/>
      <c r="N678" s="339"/>
      <c r="O678" s="341"/>
      <c r="P678" s="339"/>
      <c r="Q678" s="341"/>
      <c r="R678" s="339"/>
      <c r="S678" s="341"/>
      <c r="T678" s="339"/>
      <c r="U678" s="339"/>
      <c r="V678" s="339"/>
      <c r="W678" s="339"/>
      <c r="X678" s="339"/>
      <c r="Y678" s="339"/>
      <c r="Z678" s="339"/>
    </row>
    <row r="679" spans="1:26" ht="15.75" customHeight="1">
      <c r="A679" s="339"/>
      <c r="B679" s="339"/>
      <c r="C679" s="339"/>
      <c r="D679" s="339"/>
      <c r="E679" s="339"/>
      <c r="F679" s="339"/>
      <c r="G679" s="339"/>
      <c r="H679" s="339"/>
      <c r="I679" s="341"/>
      <c r="J679" s="340"/>
      <c r="K679" s="339"/>
      <c r="L679" s="341"/>
      <c r="M679" s="339"/>
      <c r="N679" s="339"/>
      <c r="O679" s="341"/>
      <c r="P679" s="339"/>
      <c r="Q679" s="341"/>
      <c r="R679" s="339"/>
      <c r="S679" s="341"/>
      <c r="T679" s="339"/>
      <c r="U679" s="339"/>
      <c r="V679" s="339"/>
      <c r="W679" s="339"/>
      <c r="X679" s="339"/>
      <c r="Y679" s="339"/>
      <c r="Z679" s="339"/>
    </row>
    <row r="680" spans="1:26" ht="15.75" customHeight="1">
      <c r="A680" s="339"/>
      <c r="B680" s="339"/>
      <c r="C680" s="339"/>
      <c r="D680" s="339"/>
      <c r="E680" s="339"/>
      <c r="F680" s="339"/>
      <c r="G680" s="339"/>
      <c r="H680" s="339"/>
      <c r="I680" s="341"/>
      <c r="J680" s="340"/>
      <c r="K680" s="339"/>
      <c r="L680" s="341"/>
      <c r="M680" s="339"/>
      <c r="N680" s="339"/>
      <c r="O680" s="341"/>
      <c r="P680" s="339"/>
      <c r="Q680" s="341"/>
      <c r="R680" s="339"/>
      <c r="S680" s="341"/>
      <c r="T680" s="339"/>
      <c r="U680" s="339"/>
      <c r="V680" s="339"/>
      <c r="W680" s="339"/>
      <c r="X680" s="339"/>
      <c r="Y680" s="339"/>
      <c r="Z680" s="339"/>
    </row>
    <row r="681" spans="1:26" ht="15.75" customHeight="1">
      <c r="A681" s="339"/>
      <c r="B681" s="339"/>
      <c r="C681" s="339"/>
      <c r="D681" s="339"/>
      <c r="E681" s="339"/>
      <c r="F681" s="339"/>
      <c r="G681" s="339"/>
      <c r="H681" s="339"/>
      <c r="I681" s="341"/>
      <c r="J681" s="340"/>
      <c r="K681" s="339"/>
      <c r="L681" s="341"/>
      <c r="M681" s="339"/>
      <c r="N681" s="339"/>
      <c r="O681" s="341"/>
      <c r="P681" s="339"/>
      <c r="Q681" s="341"/>
      <c r="R681" s="339"/>
      <c r="S681" s="341"/>
      <c r="T681" s="339"/>
      <c r="U681" s="339"/>
      <c r="V681" s="339"/>
      <c r="W681" s="339"/>
      <c r="X681" s="339"/>
      <c r="Y681" s="339"/>
      <c r="Z681" s="339"/>
    </row>
    <row r="682" spans="1:26" ht="15.75" customHeight="1">
      <c r="A682" s="339"/>
      <c r="B682" s="339"/>
      <c r="C682" s="339"/>
      <c r="D682" s="339"/>
      <c r="E682" s="339"/>
      <c r="F682" s="339"/>
      <c r="G682" s="339"/>
      <c r="H682" s="339"/>
      <c r="I682" s="341"/>
      <c r="J682" s="340"/>
      <c r="K682" s="339"/>
      <c r="L682" s="341"/>
      <c r="M682" s="339"/>
      <c r="N682" s="339"/>
      <c r="O682" s="341"/>
      <c r="P682" s="339"/>
      <c r="Q682" s="341"/>
      <c r="R682" s="339"/>
      <c r="S682" s="341"/>
      <c r="T682" s="339"/>
      <c r="U682" s="339"/>
      <c r="V682" s="339"/>
      <c r="W682" s="339"/>
      <c r="X682" s="339"/>
      <c r="Y682" s="339"/>
      <c r="Z682" s="339"/>
    </row>
    <row r="683" spans="1:26" ht="15.75" customHeight="1">
      <c r="A683" s="339"/>
      <c r="B683" s="339"/>
      <c r="C683" s="339"/>
      <c r="D683" s="339"/>
      <c r="E683" s="339"/>
      <c r="F683" s="339"/>
      <c r="G683" s="339"/>
      <c r="H683" s="339"/>
      <c r="I683" s="341"/>
      <c r="J683" s="340"/>
      <c r="K683" s="339"/>
      <c r="L683" s="341"/>
      <c r="M683" s="339"/>
      <c r="N683" s="339"/>
      <c r="O683" s="341"/>
      <c r="P683" s="339"/>
      <c r="Q683" s="341"/>
      <c r="R683" s="339"/>
      <c r="S683" s="341"/>
      <c r="T683" s="339"/>
      <c r="U683" s="339"/>
      <c r="V683" s="339"/>
      <c r="W683" s="339"/>
      <c r="X683" s="339"/>
      <c r="Y683" s="339"/>
      <c r="Z683" s="339"/>
    </row>
    <row r="684" spans="1:26" ht="15.75" customHeight="1">
      <c r="A684" s="339"/>
      <c r="B684" s="339"/>
      <c r="C684" s="339"/>
      <c r="D684" s="339"/>
      <c r="E684" s="339"/>
      <c r="F684" s="339"/>
      <c r="G684" s="339"/>
      <c r="H684" s="339"/>
      <c r="I684" s="341"/>
      <c r="J684" s="340"/>
      <c r="K684" s="339"/>
      <c r="L684" s="341"/>
      <c r="M684" s="339"/>
      <c r="N684" s="339"/>
      <c r="O684" s="341"/>
      <c r="P684" s="339"/>
      <c r="Q684" s="341"/>
      <c r="R684" s="339"/>
      <c r="S684" s="341"/>
      <c r="T684" s="339"/>
      <c r="U684" s="339"/>
      <c r="V684" s="339"/>
      <c r="W684" s="339"/>
      <c r="X684" s="339"/>
      <c r="Y684" s="339"/>
      <c r="Z684" s="339"/>
    </row>
    <row r="685" spans="1:26" ht="15.75" customHeight="1">
      <c r="A685" s="339"/>
      <c r="B685" s="339"/>
      <c r="C685" s="339"/>
      <c r="D685" s="339"/>
      <c r="E685" s="339"/>
      <c r="F685" s="339"/>
      <c r="G685" s="339"/>
      <c r="H685" s="339"/>
      <c r="I685" s="341"/>
      <c r="J685" s="340"/>
      <c r="K685" s="339"/>
      <c r="L685" s="341"/>
      <c r="M685" s="339"/>
      <c r="N685" s="339"/>
      <c r="O685" s="341"/>
      <c r="P685" s="339"/>
      <c r="Q685" s="341"/>
      <c r="R685" s="339"/>
      <c r="S685" s="341"/>
      <c r="T685" s="339"/>
      <c r="U685" s="339"/>
      <c r="V685" s="339"/>
      <c r="W685" s="339"/>
      <c r="X685" s="339"/>
      <c r="Y685" s="339"/>
      <c r="Z685" s="339"/>
    </row>
    <row r="686" spans="1:26" ht="15.75" customHeight="1">
      <c r="A686" s="339"/>
      <c r="B686" s="339"/>
      <c r="C686" s="339"/>
      <c r="D686" s="339"/>
      <c r="E686" s="339"/>
      <c r="F686" s="339"/>
      <c r="G686" s="339"/>
      <c r="H686" s="339"/>
      <c r="I686" s="341"/>
      <c r="J686" s="340"/>
      <c r="K686" s="339"/>
      <c r="L686" s="341"/>
      <c r="M686" s="339"/>
      <c r="N686" s="339"/>
      <c r="O686" s="341"/>
      <c r="P686" s="339"/>
      <c r="Q686" s="341"/>
      <c r="R686" s="339"/>
      <c r="S686" s="341"/>
      <c r="T686" s="339"/>
      <c r="U686" s="339"/>
      <c r="V686" s="339"/>
      <c r="W686" s="339"/>
      <c r="X686" s="339"/>
      <c r="Y686" s="339"/>
      <c r="Z686" s="339"/>
    </row>
    <row r="687" spans="1:26" ht="15.75" customHeight="1">
      <c r="A687" s="339"/>
      <c r="B687" s="339"/>
      <c r="C687" s="339"/>
      <c r="D687" s="339"/>
      <c r="E687" s="339"/>
      <c r="F687" s="339"/>
      <c r="G687" s="339"/>
      <c r="H687" s="339"/>
      <c r="I687" s="341"/>
      <c r="J687" s="340"/>
      <c r="K687" s="339"/>
      <c r="L687" s="341"/>
      <c r="M687" s="339"/>
      <c r="N687" s="339"/>
      <c r="O687" s="341"/>
      <c r="P687" s="339"/>
      <c r="Q687" s="341"/>
      <c r="R687" s="339"/>
      <c r="S687" s="341"/>
      <c r="T687" s="339"/>
      <c r="U687" s="339"/>
      <c r="V687" s="339"/>
      <c r="W687" s="339"/>
      <c r="X687" s="339"/>
      <c r="Y687" s="339"/>
      <c r="Z687" s="339"/>
    </row>
    <row r="688" spans="1:26" ht="15.75" customHeight="1">
      <c r="A688" s="339"/>
      <c r="B688" s="339"/>
      <c r="C688" s="339"/>
      <c r="D688" s="339"/>
      <c r="E688" s="339"/>
      <c r="F688" s="339"/>
      <c r="G688" s="339"/>
      <c r="H688" s="339"/>
      <c r="I688" s="341"/>
      <c r="J688" s="340"/>
      <c r="K688" s="339"/>
      <c r="L688" s="341"/>
      <c r="M688" s="339"/>
      <c r="N688" s="339"/>
      <c r="O688" s="341"/>
      <c r="P688" s="339"/>
      <c r="Q688" s="341"/>
      <c r="R688" s="339"/>
      <c r="S688" s="341"/>
      <c r="T688" s="339"/>
      <c r="U688" s="339"/>
      <c r="V688" s="339"/>
      <c r="W688" s="339"/>
      <c r="X688" s="339"/>
      <c r="Y688" s="339"/>
      <c r="Z688" s="339"/>
    </row>
    <row r="689" spans="1:26" ht="15.75" customHeight="1">
      <c r="A689" s="339"/>
      <c r="B689" s="339"/>
      <c r="C689" s="339"/>
      <c r="D689" s="339"/>
      <c r="E689" s="339"/>
      <c r="F689" s="339"/>
      <c r="G689" s="339"/>
      <c r="H689" s="339"/>
      <c r="I689" s="341"/>
      <c r="J689" s="340"/>
      <c r="K689" s="339"/>
      <c r="L689" s="341"/>
      <c r="M689" s="339"/>
      <c r="N689" s="339"/>
      <c r="O689" s="341"/>
      <c r="P689" s="339"/>
      <c r="Q689" s="341"/>
      <c r="R689" s="339"/>
      <c r="S689" s="341"/>
      <c r="T689" s="339"/>
      <c r="U689" s="339"/>
      <c r="V689" s="339"/>
      <c r="W689" s="339"/>
      <c r="X689" s="339"/>
      <c r="Y689" s="339"/>
      <c r="Z689" s="339"/>
    </row>
    <row r="690" spans="1:26" ht="15.75" customHeight="1">
      <c r="A690" s="339"/>
      <c r="B690" s="339"/>
      <c r="C690" s="339"/>
      <c r="D690" s="339"/>
      <c r="E690" s="339"/>
      <c r="F690" s="339"/>
      <c r="G690" s="339"/>
      <c r="H690" s="339"/>
      <c r="I690" s="341"/>
      <c r="J690" s="340"/>
      <c r="K690" s="339"/>
      <c r="L690" s="341"/>
      <c r="M690" s="339"/>
      <c r="N690" s="339"/>
      <c r="O690" s="341"/>
      <c r="P690" s="339"/>
      <c r="Q690" s="341"/>
      <c r="R690" s="339"/>
      <c r="S690" s="341"/>
      <c r="T690" s="339"/>
      <c r="U690" s="339"/>
      <c r="V690" s="339"/>
      <c r="W690" s="339"/>
      <c r="X690" s="339"/>
      <c r="Y690" s="339"/>
      <c r="Z690" s="339"/>
    </row>
    <row r="691" spans="1:26" ht="15.75" customHeight="1">
      <c r="A691" s="339"/>
      <c r="B691" s="339"/>
      <c r="C691" s="339"/>
      <c r="D691" s="339"/>
      <c r="E691" s="339"/>
      <c r="F691" s="339"/>
      <c r="G691" s="339"/>
      <c r="H691" s="339"/>
      <c r="I691" s="341"/>
      <c r="J691" s="340"/>
      <c r="K691" s="339"/>
      <c r="L691" s="341"/>
      <c r="M691" s="339"/>
      <c r="N691" s="339"/>
      <c r="O691" s="341"/>
      <c r="P691" s="339"/>
      <c r="Q691" s="341"/>
      <c r="R691" s="339"/>
      <c r="S691" s="341"/>
      <c r="T691" s="339"/>
      <c r="U691" s="339"/>
      <c r="V691" s="339"/>
      <c r="W691" s="339"/>
      <c r="X691" s="339"/>
      <c r="Y691" s="339"/>
      <c r="Z691" s="339"/>
    </row>
    <row r="692" spans="1:26" ht="15.75" customHeight="1">
      <c r="A692" s="339"/>
      <c r="B692" s="339"/>
      <c r="C692" s="339"/>
      <c r="D692" s="339"/>
      <c r="E692" s="339"/>
      <c r="F692" s="339"/>
      <c r="G692" s="339"/>
      <c r="H692" s="339"/>
      <c r="I692" s="341"/>
      <c r="J692" s="340"/>
      <c r="K692" s="339"/>
      <c r="L692" s="341"/>
      <c r="M692" s="339"/>
      <c r="N692" s="339"/>
      <c r="O692" s="341"/>
      <c r="P692" s="339"/>
      <c r="Q692" s="341"/>
      <c r="R692" s="339"/>
      <c r="S692" s="341"/>
      <c r="T692" s="339"/>
      <c r="U692" s="339"/>
      <c r="V692" s="339"/>
      <c r="W692" s="339"/>
      <c r="X692" s="339"/>
      <c r="Y692" s="339"/>
      <c r="Z692" s="339"/>
    </row>
    <row r="693" spans="1:26" ht="15.75" customHeight="1">
      <c r="A693" s="339"/>
      <c r="B693" s="339"/>
      <c r="C693" s="339"/>
      <c r="D693" s="339"/>
      <c r="E693" s="339"/>
      <c r="F693" s="339"/>
      <c r="G693" s="339"/>
      <c r="H693" s="339"/>
      <c r="I693" s="341"/>
      <c r="J693" s="340"/>
      <c r="K693" s="339"/>
      <c r="L693" s="341"/>
      <c r="M693" s="339"/>
      <c r="N693" s="339"/>
      <c r="O693" s="341"/>
      <c r="P693" s="339"/>
      <c r="Q693" s="341"/>
      <c r="R693" s="339"/>
      <c r="S693" s="341"/>
      <c r="T693" s="339"/>
      <c r="U693" s="339"/>
      <c r="V693" s="339"/>
      <c r="W693" s="339"/>
      <c r="X693" s="339"/>
      <c r="Y693" s="339"/>
      <c r="Z693" s="339"/>
    </row>
    <row r="694" spans="1:26" ht="15.75" customHeight="1">
      <c r="A694" s="339"/>
      <c r="B694" s="339"/>
      <c r="C694" s="339"/>
      <c r="D694" s="339"/>
      <c r="E694" s="339"/>
      <c r="F694" s="339"/>
      <c r="G694" s="339"/>
      <c r="H694" s="339"/>
      <c r="I694" s="341"/>
      <c r="J694" s="340"/>
      <c r="K694" s="339"/>
      <c r="L694" s="341"/>
      <c r="M694" s="339"/>
      <c r="N694" s="339"/>
      <c r="O694" s="341"/>
      <c r="P694" s="339"/>
      <c r="Q694" s="341"/>
      <c r="R694" s="339"/>
      <c r="S694" s="341"/>
      <c r="T694" s="339"/>
      <c r="U694" s="339"/>
      <c r="V694" s="339"/>
      <c r="W694" s="339"/>
      <c r="X694" s="339"/>
      <c r="Y694" s="339"/>
      <c r="Z694" s="339"/>
    </row>
    <row r="695" spans="1:26" ht="15.75" customHeight="1">
      <c r="A695" s="339"/>
      <c r="B695" s="339"/>
      <c r="C695" s="339"/>
      <c r="D695" s="339"/>
      <c r="E695" s="339"/>
      <c r="F695" s="339"/>
      <c r="G695" s="339"/>
      <c r="H695" s="339"/>
      <c r="I695" s="341"/>
      <c r="J695" s="340"/>
      <c r="K695" s="339"/>
      <c r="L695" s="341"/>
      <c r="M695" s="339"/>
      <c r="N695" s="339"/>
      <c r="O695" s="341"/>
      <c r="P695" s="339"/>
      <c r="Q695" s="341"/>
      <c r="R695" s="339"/>
      <c r="S695" s="341"/>
      <c r="T695" s="339"/>
      <c r="U695" s="339"/>
      <c r="V695" s="339"/>
      <c r="W695" s="339"/>
      <c r="X695" s="339"/>
      <c r="Y695" s="339"/>
      <c r="Z695" s="339"/>
    </row>
    <row r="696" spans="1:26" ht="15.75" customHeight="1">
      <c r="A696" s="339"/>
      <c r="B696" s="339"/>
      <c r="C696" s="339"/>
      <c r="D696" s="339"/>
      <c r="E696" s="339"/>
      <c r="F696" s="339"/>
      <c r="G696" s="339"/>
      <c r="H696" s="339"/>
      <c r="I696" s="341"/>
      <c r="J696" s="340"/>
      <c r="K696" s="339"/>
      <c r="L696" s="341"/>
      <c r="M696" s="339"/>
      <c r="N696" s="339"/>
      <c r="O696" s="341"/>
      <c r="P696" s="339"/>
      <c r="Q696" s="341"/>
      <c r="R696" s="339"/>
      <c r="S696" s="341"/>
      <c r="T696" s="339"/>
      <c r="U696" s="339"/>
      <c r="V696" s="339"/>
      <c r="W696" s="339"/>
      <c r="X696" s="339"/>
      <c r="Y696" s="339"/>
      <c r="Z696" s="339"/>
    </row>
    <row r="697" spans="1:26" ht="15.75" customHeight="1">
      <c r="A697" s="339"/>
      <c r="B697" s="339"/>
      <c r="C697" s="339"/>
      <c r="D697" s="339"/>
      <c r="E697" s="339"/>
      <c r="F697" s="339"/>
      <c r="G697" s="339"/>
      <c r="H697" s="339"/>
      <c r="I697" s="341"/>
      <c r="J697" s="340"/>
      <c r="K697" s="339"/>
      <c r="L697" s="341"/>
      <c r="M697" s="339"/>
      <c r="N697" s="339"/>
      <c r="O697" s="341"/>
      <c r="P697" s="339"/>
      <c r="Q697" s="341"/>
      <c r="R697" s="339"/>
      <c r="S697" s="341"/>
      <c r="T697" s="339"/>
      <c r="U697" s="339"/>
      <c r="V697" s="339"/>
      <c r="W697" s="339"/>
      <c r="X697" s="339"/>
      <c r="Y697" s="339"/>
      <c r="Z697" s="339"/>
    </row>
    <row r="698" spans="1:26" ht="15.75" customHeight="1">
      <c r="A698" s="339"/>
      <c r="B698" s="339"/>
      <c r="C698" s="339"/>
      <c r="D698" s="339"/>
      <c r="E698" s="339"/>
      <c r="F698" s="339"/>
      <c r="G698" s="339"/>
      <c r="H698" s="339"/>
      <c r="I698" s="341"/>
      <c r="J698" s="340"/>
      <c r="K698" s="339"/>
      <c r="L698" s="341"/>
      <c r="M698" s="339"/>
      <c r="N698" s="339"/>
      <c r="O698" s="341"/>
      <c r="P698" s="339"/>
      <c r="Q698" s="341"/>
      <c r="R698" s="339"/>
      <c r="S698" s="341"/>
      <c r="T698" s="339"/>
      <c r="U698" s="339"/>
      <c r="V698" s="339"/>
      <c r="W698" s="339"/>
      <c r="X698" s="339"/>
      <c r="Y698" s="339"/>
      <c r="Z698" s="339"/>
    </row>
    <row r="699" spans="1:26" ht="15.75" customHeight="1">
      <c r="A699" s="339"/>
      <c r="B699" s="339"/>
      <c r="C699" s="339"/>
      <c r="D699" s="339"/>
      <c r="E699" s="339"/>
      <c r="F699" s="339"/>
      <c r="G699" s="339"/>
      <c r="H699" s="339"/>
      <c r="I699" s="341"/>
      <c r="J699" s="340"/>
      <c r="K699" s="339"/>
      <c r="L699" s="341"/>
      <c r="M699" s="339"/>
      <c r="N699" s="339"/>
      <c r="O699" s="341"/>
      <c r="P699" s="339"/>
      <c r="Q699" s="341"/>
      <c r="R699" s="339"/>
      <c r="S699" s="341"/>
      <c r="T699" s="339"/>
      <c r="U699" s="339"/>
      <c r="V699" s="339"/>
      <c r="W699" s="339"/>
      <c r="X699" s="339"/>
      <c r="Y699" s="339"/>
      <c r="Z699" s="339"/>
    </row>
    <row r="700" spans="1:26" ht="15.75" customHeight="1">
      <c r="A700" s="339"/>
      <c r="B700" s="339"/>
      <c r="C700" s="339"/>
      <c r="D700" s="339"/>
      <c r="E700" s="339"/>
      <c r="F700" s="339"/>
      <c r="G700" s="339"/>
      <c r="H700" s="339"/>
      <c r="I700" s="341"/>
      <c r="J700" s="340"/>
      <c r="K700" s="339"/>
      <c r="L700" s="341"/>
      <c r="M700" s="339"/>
      <c r="N700" s="339"/>
      <c r="O700" s="341"/>
      <c r="P700" s="339"/>
      <c r="Q700" s="341"/>
      <c r="R700" s="339"/>
      <c r="S700" s="341"/>
      <c r="T700" s="339"/>
      <c r="U700" s="339"/>
      <c r="V700" s="339"/>
      <c r="W700" s="339"/>
      <c r="X700" s="339"/>
      <c r="Y700" s="339"/>
      <c r="Z700" s="339"/>
    </row>
    <row r="701" spans="1:26" ht="15.75" customHeight="1">
      <c r="A701" s="339"/>
      <c r="B701" s="339"/>
      <c r="C701" s="339"/>
      <c r="D701" s="339"/>
      <c r="E701" s="339"/>
      <c r="F701" s="339"/>
      <c r="G701" s="339"/>
      <c r="H701" s="339"/>
      <c r="I701" s="341"/>
      <c r="J701" s="340"/>
      <c r="K701" s="339"/>
      <c r="L701" s="341"/>
      <c r="M701" s="339"/>
      <c r="N701" s="339"/>
      <c r="O701" s="341"/>
      <c r="P701" s="339"/>
      <c r="Q701" s="341"/>
      <c r="R701" s="339"/>
      <c r="S701" s="341"/>
      <c r="T701" s="339"/>
      <c r="U701" s="339"/>
      <c r="V701" s="339"/>
      <c r="W701" s="339"/>
      <c r="X701" s="339"/>
      <c r="Y701" s="339"/>
      <c r="Z701" s="339"/>
    </row>
    <row r="702" spans="1:26" ht="15.75" customHeight="1">
      <c r="A702" s="339"/>
      <c r="B702" s="339"/>
      <c r="C702" s="339"/>
      <c r="D702" s="339"/>
      <c r="E702" s="339"/>
      <c r="F702" s="339"/>
      <c r="G702" s="339"/>
      <c r="H702" s="339"/>
      <c r="I702" s="341"/>
      <c r="J702" s="340"/>
      <c r="K702" s="339"/>
      <c r="L702" s="341"/>
      <c r="M702" s="339"/>
      <c r="N702" s="339"/>
      <c r="O702" s="341"/>
      <c r="P702" s="339"/>
      <c r="Q702" s="341"/>
      <c r="R702" s="339"/>
      <c r="S702" s="341"/>
      <c r="T702" s="339"/>
      <c r="U702" s="339"/>
      <c r="V702" s="339"/>
      <c r="W702" s="339"/>
      <c r="X702" s="339"/>
      <c r="Y702" s="339"/>
      <c r="Z702" s="339"/>
    </row>
    <row r="703" spans="1:26" ht="15.75" customHeight="1">
      <c r="A703" s="339"/>
      <c r="B703" s="339"/>
      <c r="C703" s="339"/>
      <c r="D703" s="339"/>
      <c r="E703" s="339"/>
      <c r="F703" s="339"/>
      <c r="G703" s="339"/>
      <c r="H703" s="339"/>
      <c r="I703" s="341"/>
      <c r="J703" s="340"/>
      <c r="K703" s="339"/>
      <c r="L703" s="341"/>
      <c r="M703" s="339"/>
      <c r="N703" s="339"/>
      <c r="O703" s="341"/>
      <c r="P703" s="339"/>
      <c r="Q703" s="341"/>
      <c r="R703" s="339"/>
      <c r="S703" s="341"/>
      <c r="T703" s="339"/>
      <c r="U703" s="339"/>
      <c r="V703" s="339"/>
      <c r="W703" s="339"/>
      <c r="X703" s="339"/>
      <c r="Y703" s="339"/>
      <c r="Z703" s="339"/>
    </row>
    <row r="704" spans="1:26" ht="15.75" customHeight="1">
      <c r="A704" s="339"/>
      <c r="B704" s="339"/>
      <c r="C704" s="339"/>
      <c r="D704" s="339"/>
      <c r="E704" s="339"/>
      <c r="F704" s="339"/>
      <c r="G704" s="339"/>
      <c r="H704" s="339"/>
      <c r="I704" s="341"/>
      <c r="J704" s="340"/>
      <c r="K704" s="339"/>
      <c r="L704" s="341"/>
      <c r="M704" s="339"/>
      <c r="N704" s="339"/>
      <c r="O704" s="341"/>
      <c r="P704" s="339"/>
      <c r="Q704" s="341"/>
      <c r="R704" s="339"/>
      <c r="S704" s="341"/>
      <c r="T704" s="339"/>
      <c r="U704" s="339"/>
      <c r="V704" s="339"/>
      <c r="W704" s="339"/>
      <c r="X704" s="339"/>
      <c r="Y704" s="339"/>
      <c r="Z704" s="339"/>
    </row>
    <row r="705" spans="1:26" ht="15.75" customHeight="1">
      <c r="A705" s="339"/>
      <c r="B705" s="339"/>
      <c r="C705" s="339"/>
      <c r="D705" s="339"/>
      <c r="E705" s="339"/>
      <c r="F705" s="339"/>
      <c r="G705" s="339"/>
      <c r="H705" s="339"/>
      <c r="I705" s="341"/>
      <c r="J705" s="340"/>
      <c r="K705" s="339"/>
      <c r="L705" s="341"/>
      <c r="M705" s="339"/>
      <c r="N705" s="339"/>
      <c r="O705" s="341"/>
      <c r="P705" s="339"/>
      <c r="Q705" s="341"/>
      <c r="R705" s="339"/>
      <c r="S705" s="341"/>
      <c r="T705" s="339"/>
      <c r="U705" s="339"/>
      <c r="V705" s="339"/>
      <c r="W705" s="339"/>
      <c r="X705" s="339"/>
      <c r="Y705" s="339"/>
      <c r="Z705" s="339"/>
    </row>
    <row r="706" spans="1:26" ht="15.75" customHeight="1">
      <c r="A706" s="339"/>
      <c r="B706" s="339"/>
      <c r="C706" s="339"/>
      <c r="D706" s="339"/>
      <c r="E706" s="339"/>
      <c r="F706" s="339"/>
      <c r="G706" s="339"/>
      <c r="H706" s="339"/>
      <c r="I706" s="341"/>
      <c r="J706" s="340"/>
      <c r="K706" s="339"/>
      <c r="L706" s="341"/>
      <c r="M706" s="339"/>
      <c r="N706" s="339"/>
      <c r="O706" s="341"/>
      <c r="P706" s="339"/>
      <c r="Q706" s="341"/>
      <c r="R706" s="339"/>
      <c r="S706" s="341"/>
      <c r="T706" s="339"/>
      <c r="U706" s="339"/>
      <c r="V706" s="339"/>
      <c r="W706" s="339"/>
      <c r="X706" s="339"/>
      <c r="Y706" s="339"/>
      <c r="Z706" s="339"/>
    </row>
    <row r="707" spans="1:26" ht="15.75" customHeight="1">
      <c r="A707" s="339"/>
      <c r="B707" s="339"/>
      <c r="C707" s="339"/>
      <c r="D707" s="339"/>
      <c r="E707" s="339"/>
      <c r="F707" s="339"/>
      <c r="G707" s="339"/>
      <c r="H707" s="339"/>
      <c r="I707" s="341"/>
      <c r="J707" s="340"/>
      <c r="K707" s="339"/>
      <c r="L707" s="341"/>
      <c r="M707" s="339"/>
      <c r="N707" s="339"/>
      <c r="O707" s="341"/>
      <c r="P707" s="339"/>
      <c r="Q707" s="341"/>
      <c r="R707" s="339"/>
      <c r="S707" s="341"/>
      <c r="T707" s="339"/>
      <c r="U707" s="339"/>
      <c r="V707" s="339"/>
      <c r="W707" s="339"/>
      <c r="X707" s="339"/>
      <c r="Y707" s="339"/>
      <c r="Z707" s="339"/>
    </row>
    <row r="708" spans="1:26" ht="15.75" customHeight="1">
      <c r="A708" s="339"/>
      <c r="B708" s="339"/>
      <c r="C708" s="339"/>
      <c r="D708" s="339"/>
      <c r="E708" s="339"/>
      <c r="F708" s="339"/>
      <c r="G708" s="339"/>
      <c r="H708" s="339"/>
      <c r="I708" s="341"/>
      <c r="J708" s="340"/>
      <c r="K708" s="339"/>
      <c r="L708" s="341"/>
      <c r="M708" s="339"/>
      <c r="N708" s="339"/>
      <c r="O708" s="341"/>
      <c r="P708" s="339"/>
      <c r="Q708" s="341"/>
      <c r="R708" s="339"/>
      <c r="S708" s="341"/>
      <c r="T708" s="339"/>
      <c r="U708" s="339"/>
      <c r="V708" s="339"/>
      <c r="W708" s="339"/>
      <c r="X708" s="339"/>
      <c r="Y708" s="339"/>
      <c r="Z708" s="339"/>
    </row>
    <row r="709" spans="1:26" ht="15.75" customHeight="1">
      <c r="A709" s="339"/>
      <c r="B709" s="339"/>
      <c r="C709" s="339"/>
      <c r="D709" s="339"/>
      <c r="E709" s="339"/>
      <c r="F709" s="339"/>
      <c r="G709" s="339"/>
      <c r="H709" s="339"/>
      <c r="I709" s="341"/>
      <c r="J709" s="340"/>
      <c r="K709" s="339"/>
      <c r="L709" s="341"/>
      <c r="M709" s="339"/>
      <c r="N709" s="339"/>
      <c r="O709" s="341"/>
      <c r="P709" s="339"/>
      <c r="Q709" s="341"/>
      <c r="R709" s="339"/>
      <c r="S709" s="341"/>
      <c r="T709" s="339"/>
      <c r="U709" s="339"/>
      <c r="V709" s="339"/>
      <c r="W709" s="339"/>
      <c r="X709" s="339"/>
      <c r="Y709" s="339"/>
      <c r="Z709" s="339"/>
    </row>
    <row r="710" spans="1:26" ht="15.75" customHeight="1">
      <c r="A710" s="339"/>
      <c r="B710" s="339"/>
      <c r="C710" s="339"/>
      <c r="D710" s="339"/>
      <c r="E710" s="339"/>
      <c r="F710" s="339"/>
      <c r="G710" s="339"/>
      <c r="H710" s="339"/>
      <c r="I710" s="341"/>
      <c r="J710" s="340"/>
      <c r="K710" s="339"/>
      <c r="L710" s="341"/>
      <c r="M710" s="339"/>
      <c r="N710" s="339"/>
      <c r="O710" s="341"/>
      <c r="P710" s="339"/>
      <c r="Q710" s="341"/>
      <c r="R710" s="339"/>
      <c r="S710" s="341"/>
      <c r="T710" s="339"/>
      <c r="U710" s="339"/>
      <c r="V710" s="339"/>
      <c r="W710" s="339"/>
      <c r="X710" s="339"/>
      <c r="Y710" s="339"/>
      <c r="Z710" s="339"/>
    </row>
    <row r="711" spans="1:26" ht="15.75" customHeight="1">
      <c r="A711" s="339"/>
      <c r="B711" s="339"/>
      <c r="C711" s="339"/>
      <c r="D711" s="339"/>
      <c r="E711" s="339"/>
      <c r="F711" s="339"/>
      <c r="G711" s="339"/>
      <c r="H711" s="339"/>
      <c r="I711" s="341"/>
      <c r="J711" s="340"/>
      <c r="K711" s="339"/>
      <c r="L711" s="341"/>
      <c r="M711" s="339"/>
      <c r="N711" s="339"/>
      <c r="O711" s="341"/>
      <c r="P711" s="339"/>
      <c r="Q711" s="341"/>
      <c r="R711" s="339"/>
      <c r="S711" s="341"/>
      <c r="T711" s="339"/>
      <c r="U711" s="339"/>
      <c r="V711" s="339"/>
      <c r="W711" s="339"/>
      <c r="X711" s="339"/>
      <c r="Y711" s="339"/>
      <c r="Z711" s="339"/>
    </row>
    <row r="712" spans="1:26" ht="15.75" customHeight="1">
      <c r="A712" s="339"/>
      <c r="B712" s="339"/>
      <c r="C712" s="339"/>
      <c r="D712" s="339"/>
      <c r="E712" s="339"/>
      <c r="F712" s="339"/>
      <c r="G712" s="339"/>
      <c r="H712" s="339"/>
      <c r="I712" s="341"/>
      <c r="J712" s="340"/>
      <c r="K712" s="339"/>
      <c r="L712" s="341"/>
      <c r="M712" s="339"/>
      <c r="N712" s="339"/>
      <c r="O712" s="341"/>
      <c r="P712" s="339"/>
      <c r="Q712" s="341"/>
      <c r="R712" s="339"/>
      <c r="S712" s="341"/>
      <c r="T712" s="339"/>
      <c r="U712" s="339"/>
      <c r="V712" s="339"/>
      <c r="W712" s="339"/>
      <c r="X712" s="339"/>
      <c r="Y712" s="339"/>
      <c r="Z712" s="339"/>
    </row>
    <row r="713" spans="1:26" ht="15.75" customHeight="1">
      <c r="A713" s="339"/>
      <c r="B713" s="339"/>
      <c r="C713" s="339"/>
      <c r="D713" s="339"/>
      <c r="E713" s="339"/>
      <c r="F713" s="339"/>
      <c r="G713" s="339"/>
      <c r="H713" s="339"/>
      <c r="I713" s="341"/>
      <c r="J713" s="340"/>
      <c r="K713" s="339"/>
      <c r="L713" s="341"/>
      <c r="M713" s="339"/>
      <c r="N713" s="339"/>
      <c r="O713" s="341"/>
      <c r="P713" s="339"/>
      <c r="Q713" s="341"/>
      <c r="R713" s="339"/>
      <c r="S713" s="341"/>
      <c r="T713" s="339"/>
      <c r="U713" s="339"/>
      <c r="V713" s="339"/>
      <c r="W713" s="339"/>
      <c r="X713" s="339"/>
      <c r="Y713" s="339"/>
      <c r="Z713" s="339"/>
    </row>
    <row r="714" spans="1:26" ht="15.75" customHeight="1">
      <c r="A714" s="339"/>
      <c r="B714" s="339"/>
      <c r="C714" s="339"/>
      <c r="D714" s="339"/>
      <c r="E714" s="339"/>
      <c r="F714" s="339"/>
      <c r="G714" s="339"/>
      <c r="H714" s="339"/>
      <c r="I714" s="341"/>
      <c r="J714" s="340"/>
      <c r="K714" s="339"/>
      <c r="L714" s="341"/>
      <c r="M714" s="339"/>
      <c r="N714" s="339"/>
      <c r="O714" s="341"/>
      <c r="P714" s="339"/>
      <c r="Q714" s="341"/>
      <c r="R714" s="339"/>
      <c r="S714" s="341"/>
      <c r="T714" s="339"/>
      <c r="U714" s="339"/>
      <c r="V714" s="339"/>
      <c r="W714" s="339"/>
      <c r="X714" s="339"/>
      <c r="Y714" s="339"/>
      <c r="Z714" s="339"/>
    </row>
    <row r="715" spans="1:26" ht="15.75" customHeight="1">
      <c r="A715" s="339"/>
      <c r="B715" s="339"/>
      <c r="C715" s="339"/>
      <c r="D715" s="339"/>
      <c r="E715" s="339"/>
      <c r="F715" s="339"/>
      <c r="G715" s="339"/>
      <c r="H715" s="339"/>
      <c r="I715" s="341"/>
      <c r="J715" s="340"/>
      <c r="K715" s="339"/>
      <c r="L715" s="341"/>
      <c r="M715" s="339"/>
      <c r="N715" s="339"/>
      <c r="O715" s="341"/>
      <c r="P715" s="339"/>
      <c r="Q715" s="341"/>
      <c r="R715" s="339"/>
      <c r="S715" s="341"/>
      <c r="T715" s="339"/>
      <c r="U715" s="339"/>
      <c r="V715" s="339"/>
      <c r="W715" s="339"/>
      <c r="X715" s="339"/>
      <c r="Y715" s="339"/>
      <c r="Z715" s="339"/>
    </row>
    <row r="716" spans="1:26" ht="15.75" customHeight="1">
      <c r="A716" s="339"/>
      <c r="B716" s="339"/>
      <c r="C716" s="339"/>
      <c r="D716" s="339"/>
      <c r="E716" s="339"/>
      <c r="F716" s="339"/>
      <c r="G716" s="339"/>
      <c r="H716" s="339"/>
      <c r="I716" s="341"/>
      <c r="J716" s="340"/>
      <c r="K716" s="339"/>
      <c r="L716" s="341"/>
      <c r="M716" s="339"/>
      <c r="N716" s="339"/>
      <c r="O716" s="341"/>
      <c r="P716" s="339"/>
      <c r="Q716" s="341"/>
      <c r="R716" s="339"/>
      <c r="S716" s="341"/>
      <c r="T716" s="339"/>
      <c r="U716" s="339"/>
      <c r="V716" s="339"/>
      <c r="W716" s="339"/>
      <c r="X716" s="339"/>
      <c r="Y716" s="339"/>
      <c r="Z716" s="339"/>
    </row>
    <row r="717" spans="1:26" ht="15.75" customHeight="1">
      <c r="A717" s="339"/>
      <c r="B717" s="339"/>
      <c r="C717" s="339"/>
      <c r="D717" s="339"/>
      <c r="E717" s="339"/>
      <c r="F717" s="339"/>
      <c r="G717" s="339"/>
      <c r="H717" s="339"/>
      <c r="I717" s="341"/>
      <c r="J717" s="340"/>
      <c r="K717" s="339"/>
      <c r="L717" s="341"/>
      <c r="M717" s="339"/>
      <c r="N717" s="339"/>
      <c r="O717" s="341"/>
      <c r="P717" s="339"/>
      <c r="Q717" s="341"/>
      <c r="R717" s="339"/>
      <c r="S717" s="341"/>
      <c r="T717" s="339"/>
      <c r="U717" s="339"/>
      <c r="V717" s="339"/>
      <c r="W717" s="339"/>
      <c r="X717" s="339"/>
      <c r="Y717" s="339"/>
      <c r="Z717" s="339"/>
    </row>
    <row r="718" spans="1:26" ht="15.75" customHeight="1">
      <c r="A718" s="339"/>
      <c r="B718" s="339"/>
      <c r="C718" s="339"/>
      <c r="D718" s="339"/>
      <c r="E718" s="339"/>
      <c r="F718" s="339"/>
      <c r="G718" s="339"/>
      <c r="H718" s="339"/>
      <c r="I718" s="341"/>
      <c r="J718" s="340"/>
      <c r="K718" s="339"/>
      <c r="L718" s="341"/>
      <c r="M718" s="339"/>
      <c r="N718" s="339"/>
      <c r="O718" s="341"/>
      <c r="P718" s="339"/>
      <c r="Q718" s="341"/>
      <c r="R718" s="339"/>
      <c r="S718" s="341"/>
      <c r="T718" s="339"/>
      <c r="U718" s="339"/>
      <c r="V718" s="339"/>
      <c r="W718" s="339"/>
      <c r="X718" s="339"/>
      <c r="Y718" s="339"/>
      <c r="Z718" s="339"/>
    </row>
    <row r="719" spans="1:26" ht="15.75" customHeight="1">
      <c r="A719" s="339"/>
      <c r="B719" s="339"/>
      <c r="C719" s="339"/>
      <c r="D719" s="339"/>
      <c r="E719" s="339"/>
      <c r="F719" s="339"/>
      <c r="G719" s="339"/>
      <c r="H719" s="339"/>
      <c r="I719" s="341"/>
      <c r="J719" s="340"/>
      <c r="K719" s="339"/>
      <c r="L719" s="341"/>
      <c r="M719" s="339"/>
      <c r="N719" s="339"/>
      <c r="O719" s="341"/>
      <c r="P719" s="339"/>
      <c r="Q719" s="341"/>
      <c r="R719" s="339"/>
      <c r="S719" s="341"/>
      <c r="T719" s="339"/>
      <c r="U719" s="339"/>
      <c r="V719" s="339"/>
      <c r="W719" s="339"/>
      <c r="X719" s="339"/>
      <c r="Y719" s="339"/>
      <c r="Z719" s="339"/>
    </row>
    <row r="720" spans="1:26" ht="15.75" customHeight="1">
      <c r="A720" s="339"/>
      <c r="B720" s="339"/>
      <c r="C720" s="339"/>
      <c r="D720" s="339"/>
      <c r="E720" s="339"/>
      <c r="F720" s="339"/>
      <c r="G720" s="339"/>
      <c r="H720" s="339"/>
      <c r="I720" s="341"/>
      <c r="J720" s="340"/>
      <c r="K720" s="339"/>
      <c r="L720" s="341"/>
      <c r="M720" s="339"/>
      <c r="N720" s="339"/>
      <c r="O720" s="341"/>
      <c r="P720" s="339"/>
      <c r="Q720" s="341"/>
      <c r="R720" s="339"/>
      <c r="S720" s="341"/>
      <c r="T720" s="339"/>
      <c r="U720" s="339"/>
      <c r="V720" s="339"/>
      <c r="W720" s="339"/>
      <c r="X720" s="339"/>
      <c r="Y720" s="339"/>
      <c r="Z720" s="339"/>
    </row>
    <row r="721" spans="1:26" ht="15.75" customHeight="1">
      <c r="A721" s="339"/>
      <c r="B721" s="339"/>
      <c r="C721" s="339"/>
      <c r="D721" s="339"/>
      <c r="E721" s="339"/>
      <c r="F721" s="339"/>
      <c r="G721" s="339"/>
      <c r="H721" s="339"/>
      <c r="I721" s="341"/>
      <c r="J721" s="340"/>
      <c r="K721" s="339"/>
      <c r="L721" s="341"/>
      <c r="M721" s="339"/>
      <c r="N721" s="339"/>
      <c r="O721" s="341"/>
      <c r="P721" s="339"/>
      <c r="Q721" s="341"/>
      <c r="R721" s="339"/>
      <c r="S721" s="341"/>
      <c r="T721" s="339"/>
      <c r="U721" s="339"/>
      <c r="V721" s="339"/>
      <c r="W721" s="339"/>
      <c r="X721" s="339"/>
      <c r="Y721" s="339"/>
      <c r="Z721" s="339"/>
    </row>
    <row r="722" spans="1:26" ht="15.75" customHeight="1">
      <c r="A722" s="339"/>
      <c r="B722" s="339"/>
      <c r="C722" s="339"/>
      <c r="D722" s="339"/>
      <c r="E722" s="339"/>
      <c r="F722" s="339"/>
      <c r="G722" s="339"/>
      <c r="H722" s="339"/>
      <c r="I722" s="341"/>
      <c r="J722" s="340"/>
      <c r="K722" s="339"/>
      <c r="L722" s="341"/>
      <c r="M722" s="339"/>
      <c r="N722" s="339"/>
      <c r="O722" s="341"/>
      <c r="P722" s="339"/>
      <c r="Q722" s="341"/>
      <c r="R722" s="339"/>
      <c r="S722" s="341"/>
      <c r="T722" s="339"/>
      <c r="U722" s="339"/>
      <c r="V722" s="339"/>
      <c r="W722" s="339"/>
      <c r="X722" s="339"/>
      <c r="Y722" s="339"/>
      <c r="Z722" s="339"/>
    </row>
    <row r="723" spans="1:26" ht="15.75" customHeight="1">
      <c r="A723" s="339"/>
      <c r="B723" s="339"/>
      <c r="C723" s="339"/>
      <c r="D723" s="339"/>
      <c r="E723" s="339"/>
      <c r="F723" s="339"/>
      <c r="G723" s="339"/>
      <c r="H723" s="339"/>
      <c r="I723" s="341"/>
      <c r="J723" s="340"/>
      <c r="K723" s="339"/>
      <c r="L723" s="341"/>
      <c r="M723" s="339"/>
      <c r="N723" s="339"/>
      <c r="O723" s="341"/>
      <c r="P723" s="339"/>
      <c r="Q723" s="341"/>
      <c r="R723" s="339"/>
      <c r="S723" s="341"/>
      <c r="T723" s="339"/>
      <c r="U723" s="339"/>
      <c r="V723" s="339"/>
      <c r="W723" s="339"/>
      <c r="X723" s="339"/>
      <c r="Y723" s="339"/>
      <c r="Z723" s="339"/>
    </row>
    <row r="724" spans="1:26" ht="15.75" customHeight="1">
      <c r="A724" s="339"/>
      <c r="B724" s="339"/>
      <c r="C724" s="339"/>
      <c r="D724" s="339"/>
      <c r="E724" s="339"/>
      <c r="F724" s="339"/>
      <c r="G724" s="339"/>
      <c r="H724" s="339"/>
      <c r="I724" s="341"/>
      <c r="J724" s="340"/>
      <c r="K724" s="339"/>
      <c r="L724" s="341"/>
      <c r="M724" s="339"/>
      <c r="N724" s="339"/>
      <c r="O724" s="341"/>
      <c r="P724" s="339"/>
      <c r="Q724" s="341"/>
      <c r="R724" s="339"/>
      <c r="S724" s="341"/>
      <c r="T724" s="339"/>
      <c r="U724" s="339"/>
      <c r="V724" s="339"/>
      <c r="W724" s="339"/>
      <c r="X724" s="339"/>
      <c r="Y724" s="339"/>
      <c r="Z724" s="339"/>
    </row>
    <row r="725" spans="1:26" ht="15.75" customHeight="1">
      <c r="A725" s="339"/>
      <c r="B725" s="339"/>
      <c r="C725" s="339"/>
      <c r="D725" s="339"/>
      <c r="E725" s="339"/>
      <c r="F725" s="339"/>
      <c r="G725" s="339"/>
      <c r="H725" s="339"/>
      <c r="I725" s="341"/>
      <c r="J725" s="340"/>
      <c r="K725" s="339"/>
      <c r="L725" s="341"/>
      <c r="M725" s="339"/>
      <c r="N725" s="339"/>
      <c r="O725" s="341"/>
      <c r="P725" s="339"/>
      <c r="Q725" s="341"/>
      <c r="R725" s="339"/>
      <c r="S725" s="341"/>
      <c r="T725" s="339"/>
      <c r="U725" s="339"/>
      <c r="V725" s="339"/>
      <c r="W725" s="339"/>
      <c r="X725" s="339"/>
      <c r="Y725" s="339"/>
      <c r="Z725" s="339"/>
    </row>
    <row r="726" spans="1:26" ht="15.75" customHeight="1">
      <c r="A726" s="339"/>
      <c r="B726" s="339"/>
      <c r="C726" s="339"/>
      <c r="D726" s="339"/>
      <c r="E726" s="339"/>
      <c r="F726" s="339"/>
      <c r="G726" s="339"/>
      <c r="H726" s="339"/>
      <c r="I726" s="341"/>
      <c r="J726" s="340"/>
      <c r="K726" s="339"/>
      <c r="L726" s="341"/>
      <c r="M726" s="339"/>
      <c r="N726" s="339"/>
      <c r="O726" s="341"/>
      <c r="P726" s="339"/>
      <c r="Q726" s="341"/>
      <c r="R726" s="339"/>
      <c r="S726" s="341"/>
      <c r="T726" s="339"/>
      <c r="U726" s="339"/>
      <c r="V726" s="339"/>
      <c r="W726" s="339"/>
      <c r="X726" s="339"/>
      <c r="Y726" s="339"/>
      <c r="Z726" s="339"/>
    </row>
    <row r="727" spans="1:26" ht="15.75" customHeight="1">
      <c r="A727" s="339"/>
      <c r="B727" s="339"/>
      <c r="C727" s="339"/>
      <c r="D727" s="339"/>
      <c r="E727" s="339"/>
      <c r="F727" s="339"/>
      <c r="G727" s="339"/>
      <c r="H727" s="339"/>
      <c r="I727" s="341"/>
      <c r="J727" s="340"/>
      <c r="K727" s="339"/>
      <c r="L727" s="341"/>
      <c r="M727" s="339"/>
      <c r="N727" s="339"/>
      <c r="O727" s="341"/>
      <c r="P727" s="339"/>
      <c r="Q727" s="341"/>
      <c r="R727" s="339"/>
      <c r="S727" s="341"/>
      <c r="T727" s="339"/>
      <c r="U727" s="339"/>
      <c r="V727" s="339"/>
      <c r="W727" s="339"/>
      <c r="X727" s="339"/>
      <c r="Y727" s="339"/>
      <c r="Z727" s="339"/>
    </row>
    <row r="728" spans="1:26" ht="15.75" customHeight="1">
      <c r="A728" s="339"/>
      <c r="B728" s="339"/>
      <c r="C728" s="339"/>
      <c r="D728" s="339"/>
      <c r="E728" s="339"/>
      <c r="F728" s="339"/>
      <c r="G728" s="339"/>
      <c r="H728" s="339"/>
      <c r="I728" s="341"/>
      <c r="J728" s="340"/>
      <c r="K728" s="339"/>
      <c r="L728" s="341"/>
      <c r="M728" s="339"/>
      <c r="N728" s="339"/>
      <c r="O728" s="341"/>
      <c r="P728" s="339"/>
      <c r="Q728" s="341"/>
      <c r="R728" s="339"/>
      <c r="S728" s="341"/>
      <c r="T728" s="339"/>
      <c r="U728" s="339"/>
      <c r="V728" s="339"/>
      <c r="W728" s="339"/>
      <c r="X728" s="339"/>
      <c r="Y728" s="339"/>
      <c r="Z728" s="339"/>
    </row>
    <row r="729" spans="1:26" ht="15.75" customHeight="1">
      <c r="A729" s="339"/>
      <c r="B729" s="339"/>
      <c r="C729" s="339"/>
      <c r="D729" s="339"/>
      <c r="E729" s="339"/>
      <c r="F729" s="339"/>
      <c r="G729" s="339"/>
      <c r="H729" s="339"/>
      <c r="I729" s="341"/>
      <c r="J729" s="340"/>
      <c r="K729" s="339"/>
      <c r="L729" s="341"/>
      <c r="M729" s="339"/>
      <c r="N729" s="339"/>
      <c r="O729" s="341"/>
      <c r="P729" s="339"/>
      <c r="Q729" s="341"/>
      <c r="R729" s="339"/>
      <c r="S729" s="341"/>
      <c r="T729" s="339"/>
      <c r="U729" s="339"/>
      <c r="V729" s="339"/>
      <c r="W729" s="339"/>
      <c r="X729" s="339"/>
      <c r="Y729" s="339"/>
      <c r="Z729" s="339"/>
    </row>
    <row r="730" spans="1:26" ht="15.75" customHeight="1">
      <c r="A730" s="339"/>
      <c r="B730" s="339"/>
      <c r="C730" s="339"/>
      <c r="D730" s="339"/>
      <c r="E730" s="339"/>
      <c r="F730" s="339"/>
      <c r="G730" s="339"/>
      <c r="H730" s="339"/>
      <c r="I730" s="341"/>
      <c r="J730" s="340"/>
      <c r="K730" s="339"/>
      <c r="L730" s="341"/>
      <c r="M730" s="339"/>
      <c r="N730" s="339"/>
      <c r="O730" s="341"/>
      <c r="P730" s="339"/>
      <c r="Q730" s="341"/>
      <c r="R730" s="339"/>
      <c r="S730" s="341"/>
      <c r="T730" s="339"/>
      <c r="U730" s="339"/>
      <c r="V730" s="339"/>
      <c r="W730" s="339"/>
      <c r="X730" s="339"/>
      <c r="Y730" s="339"/>
      <c r="Z730" s="339"/>
    </row>
    <row r="731" spans="1:26" ht="15.75" customHeight="1">
      <c r="A731" s="339"/>
      <c r="B731" s="339"/>
      <c r="C731" s="339"/>
      <c r="D731" s="339"/>
      <c r="E731" s="339"/>
      <c r="F731" s="339"/>
      <c r="G731" s="339"/>
      <c r="H731" s="339"/>
      <c r="I731" s="341"/>
      <c r="J731" s="340"/>
      <c r="K731" s="339"/>
      <c r="L731" s="341"/>
      <c r="M731" s="339"/>
      <c r="N731" s="339"/>
      <c r="O731" s="341"/>
      <c r="P731" s="339"/>
      <c r="Q731" s="341"/>
      <c r="R731" s="339"/>
      <c r="S731" s="341"/>
      <c r="T731" s="339"/>
      <c r="U731" s="339"/>
      <c r="V731" s="339"/>
      <c r="W731" s="339"/>
      <c r="X731" s="339"/>
      <c r="Y731" s="339"/>
      <c r="Z731" s="339"/>
    </row>
    <row r="732" spans="1:26" ht="15.75" customHeight="1">
      <c r="A732" s="339"/>
      <c r="B732" s="339"/>
      <c r="C732" s="339"/>
      <c r="D732" s="339"/>
      <c r="E732" s="339"/>
      <c r="F732" s="339"/>
      <c r="G732" s="339"/>
      <c r="H732" s="339"/>
      <c r="I732" s="341"/>
      <c r="J732" s="340"/>
      <c r="K732" s="339"/>
      <c r="L732" s="341"/>
      <c r="M732" s="339"/>
      <c r="N732" s="339"/>
      <c r="O732" s="341"/>
      <c r="P732" s="339"/>
      <c r="Q732" s="341"/>
      <c r="R732" s="339"/>
      <c r="S732" s="341"/>
      <c r="T732" s="339"/>
      <c r="U732" s="339"/>
      <c r="V732" s="339"/>
      <c r="W732" s="339"/>
      <c r="X732" s="339"/>
      <c r="Y732" s="339"/>
      <c r="Z732" s="339"/>
    </row>
    <row r="733" spans="1:26" ht="15.75" customHeight="1">
      <c r="A733" s="339"/>
      <c r="B733" s="339"/>
      <c r="C733" s="339"/>
      <c r="D733" s="339"/>
      <c r="E733" s="339"/>
      <c r="F733" s="339"/>
      <c r="G733" s="339"/>
      <c r="H733" s="339"/>
      <c r="I733" s="341"/>
      <c r="J733" s="340"/>
      <c r="K733" s="339"/>
      <c r="L733" s="341"/>
      <c r="M733" s="339"/>
      <c r="N733" s="339"/>
      <c r="O733" s="341"/>
      <c r="P733" s="339"/>
      <c r="Q733" s="341"/>
      <c r="R733" s="339"/>
      <c r="S733" s="341"/>
      <c r="T733" s="339"/>
      <c r="U733" s="339"/>
      <c r="V733" s="339"/>
      <c r="W733" s="339"/>
      <c r="X733" s="339"/>
      <c r="Y733" s="339"/>
      <c r="Z733" s="339"/>
    </row>
    <row r="734" spans="1:26" ht="15.75" customHeight="1">
      <c r="A734" s="339"/>
      <c r="B734" s="339"/>
      <c r="C734" s="339"/>
      <c r="D734" s="339"/>
      <c r="E734" s="339"/>
      <c r="F734" s="339"/>
      <c r="G734" s="339"/>
      <c r="H734" s="339"/>
      <c r="I734" s="341"/>
      <c r="J734" s="340"/>
      <c r="K734" s="339"/>
      <c r="L734" s="341"/>
      <c r="M734" s="339"/>
      <c r="N734" s="339"/>
      <c r="O734" s="341"/>
      <c r="P734" s="339"/>
      <c r="Q734" s="341"/>
      <c r="R734" s="339"/>
      <c r="S734" s="341"/>
      <c r="T734" s="339"/>
      <c r="U734" s="339"/>
      <c r="V734" s="339"/>
      <c r="W734" s="339"/>
      <c r="X734" s="339"/>
      <c r="Y734" s="339"/>
      <c r="Z734" s="339"/>
    </row>
    <row r="735" spans="1:26" ht="15.75" customHeight="1">
      <c r="A735" s="339"/>
      <c r="B735" s="339"/>
      <c r="C735" s="339"/>
      <c r="D735" s="339"/>
      <c r="E735" s="339"/>
      <c r="F735" s="339"/>
      <c r="G735" s="339"/>
      <c r="H735" s="339"/>
      <c r="I735" s="341"/>
      <c r="J735" s="340"/>
      <c r="K735" s="339"/>
      <c r="L735" s="341"/>
      <c r="M735" s="339"/>
      <c r="N735" s="339"/>
      <c r="O735" s="341"/>
      <c r="P735" s="339"/>
      <c r="Q735" s="341"/>
      <c r="R735" s="339"/>
      <c r="S735" s="341"/>
      <c r="T735" s="339"/>
      <c r="U735" s="339"/>
      <c r="V735" s="339"/>
      <c r="W735" s="339"/>
      <c r="X735" s="339"/>
      <c r="Y735" s="339"/>
      <c r="Z735" s="339"/>
    </row>
    <row r="736" spans="1:26" ht="15.75" customHeight="1">
      <c r="A736" s="339"/>
      <c r="B736" s="339"/>
      <c r="C736" s="339"/>
      <c r="D736" s="339"/>
      <c r="E736" s="339"/>
      <c r="F736" s="339"/>
      <c r="G736" s="339"/>
      <c r="H736" s="339"/>
      <c r="I736" s="341"/>
      <c r="J736" s="340"/>
      <c r="K736" s="339"/>
      <c r="L736" s="341"/>
      <c r="M736" s="339"/>
      <c r="N736" s="339"/>
      <c r="O736" s="341"/>
      <c r="P736" s="339"/>
      <c r="Q736" s="341"/>
      <c r="R736" s="339"/>
      <c r="S736" s="341"/>
      <c r="T736" s="339"/>
      <c r="U736" s="339"/>
      <c r="V736" s="339"/>
      <c r="W736" s="339"/>
      <c r="X736" s="339"/>
      <c r="Y736" s="339"/>
      <c r="Z736" s="339"/>
    </row>
    <row r="737" spans="1:26" ht="15.75" customHeight="1">
      <c r="A737" s="339"/>
      <c r="B737" s="339"/>
      <c r="C737" s="339"/>
      <c r="D737" s="339"/>
      <c r="E737" s="339"/>
      <c r="F737" s="339"/>
      <c r="G737" s="339"/>
      <c r="H737" s="339"/>
      <c r="I737" s="341"/>
      <c r="J737" s="340"/>
      <c r="K737" s="339"/>
      <c r="L737" s="341"/>
      <c r="M737" s="339"/>
      <c r="N737" s="339"/>
      <c r="O737" s="341"/>
      <c r="P737" s="339"/>
      <c r="Q737" s="341"/>
      <c r="R737" s="339"/>
      <c r="S737" s="341"/>
      <c r="T737" s="339"/>
      <c r="U737" s="339"/>
      <c r="V737" s="339"/>
      <c r="W737" s="339"/>
      <c r="X737" s="339"/>
      <c r="Y737" s="339"/>
      <c r="Z737" s="339"/>
    </row>
    <row r="738" spans="1:26" ht="15.75" customHeight="1">
      <c r="A738" s="339"/>
      <c r="B738" s="339"/>
      <c r="C738" s="339"/>
      <c r="D738" s="339"/>
      <c r="E738" s="339"/>
      <c r="F738" s="339"/>
      <c r="G738" s="339"/>
      <c r="H738" s="339"/>
      <c r="I738" s="341"/>
      <c r="J738" s="340"/>
      <c r="K738" s="339"/>
      <c r="L738" s="341"/>
      <c r="M738" s="339"/>
      <c r="N738" s="339"/>
      <c r="O738" s="341"/>
      <c r="P738" s="339"/>
      <c r="Q738" s="341"/>
      <c r="R738" s="339"/>
      <c r="S738" s="341"/>
      <c r="T738" s="339"/>
      <c r="U738" s="339"/>
      <c r="V738" s="339"/>
      <c r="W738" s="339"/>
      <c r="X738" s="339"/>
      <c r="Y738" s="339"/>
      <c r="Z738" s="339"/>
    </row>
    <row r="739" spans="1:26" ht="15.75" customHeight="1">
      <c r="A739" s="339"/>
      <c r="B739" s="339"/>
      <c r="C739" s="339"/>
      <c r="D739" s="339"/>
      <c r="E739" s="339"/>
      <c r="F739" s="339"/>
      <c r="G739" s="339"/>
      <c r="H739" s="339"/>
      <c r="I739" s="341"/>
      <c r="J739" s="340"/>
      <c r="K739" s="339"/>
      <c r="L739" s="341"/>
      <c r="M739" s="339"/>
      <c r="N739" s="339"/>
      <c r="O739" s="341"/>
      <c r="P739" s="339"/>
      <c r="Q739" s="341"/>
      <c r="R739" s="339"/>
      <c r="S739" s="341"/>
      <c r="T739" s="339"/>
      <c r="U739" s="339"/>
      <c r="V739" s="339"/>
      <c r="W739" s="339"/>
      <c r="X739" s="339"/>
      <c r="Y739" s="339"/>
      <c r="Z739" s="339"/>
    </row>
    <row r="740" spans="1:26" ht="15.75" customHeight="1">
      <c r="A740" s="339"/>
      <c r="B740" s="339"/>
      <c r="C740" s="339"/>
      <c r="D740" s="339"/>
      <c r="E740" s="339"/>
      <c r="F740" s="339"/>
      <c r="G740" s="339"/>
      <c r="H740" s="339"/>
      <c r="I740" s="341"/>
      <c r="J740" s="340"/>
      <c r="K740" s="339"/>
      <c r="L740" s="341"/>
      <c r="M740" s="339"/>
      <c r="N740" s="339"/>
      <c r="O740" s="341"/>
      <c r="P740" s="339"/>
      <c r="Q740" s="341"/>
      <c r="R740" s="339"/>
      <c r="S740" s="341"/>
      <c r="T740" s="339"/>
      <c r="U740" s="339"/>
      <c r="V740" s="339"/>
      <c r="W740" s="339"/>
      <c r="X740" s="339"/>
      <c r="Y740" s="339"/>
      <c r="Z740" s="339"/>
    </row>
    <row r="741" spans="1:26" ht="15.75" customHeight="1">
      <c r="A741" s="339"/>
      <c r="B741" s="339"/>
      <c r="C741" s="339"/>
      <c r="D741" s="339"/>
      <c r="E741" s="339"/>
      <c r="F741" s="339"/>
      <c r="G741" s="339"/>
      <c r="H741" s="339"/>
      <c r="I741" s="341"/>
      <c r="J741" s="340"/>
      <c r="K741" s="339"/>
      <c r="L741" s="341"/>
      <c r="M741" s="339"/>
      <c r="N741" s="339"/>
      <c r="O741" s="341"/>
      <c r="P741" s="339"/>
      <c r="Q741" s="341"/>
      <c r="R741" s="339"/>
      <c r="S741" s="341"/>
      <c r="T741" s="339"/>
      <c r="U741" s="339"/>
      <c r="V741" s="339"/>
      <c r="W741" s="339"/>
      <c r="X741" s="339"/>
      <c r="Y741" s="339"/>
      <c r="Z741" s="339"/>
    </row>
    <row r="742" spans="1:26" ht="15.75" customHeight="1">
      <c r="A742" s="339"/>
      <c r="B742" s="339"/>
      <c r="C742" s="339"/>
      <c r="D742" s="339"/>
      <c r="E742" s="339"/>
      <c r="F742" s="339"/>
      <c r="G742" s="339"/>
      <c r="H742" s="339"/>
      <c r="I742" s="341"/>
      <c r="J742" s="340"/>
      <c r="K742" s="339"/>
      <c r="L742" s="341"/>
      <c r="M742" s="339"/>
      <c r="N742" s="339"/>
      <c r="O742" s="341"/>
      <c r="P742" s="339"/>
      <c r="Q742" s="341"/>
      <c r="R742" s="339"/>
      <c r="S742" s="341"/>
      <c r="T742" s="339"/>
      <c r="U742" s="339"/>
      <c r="V742" s="339"/>
      <c r="W742" s="339"/>
      <c r="X742" s="339"/>
      <c r="Y742" s="339"/>
      <c r="Z742" s="339"/>
    </row>
    <row r="743" spans="1:26" ht="15.75" customHeight="1">
      <c r="A743" s="339"/>
      <c r="B743" s="339"/>
      <c r="C743" s="339"/>
      <c r="D743" s="339"/>
      <c r="E743" s="339"/>
      <c r="F743" s="339"/>
      <c r="G743" s="339"/>
      <c r="H743" s="339"/>
      <c r="I743" s="341"/>
      <c r="J743" s="340"/>
      <c r="K743" s="339"/>
      <c r="L743" s="341"/>
      <c r="M743" s="339"/>
      <c r="N743" s="339"/>
      <c r="O743" s="341"/>
      <c r="P743" s="339"/>
      <c r="Q743" s="341"/>
      <c r="R743" s="339"/>
      <c r="S743" s="341"/>
      <c r="T743" s="339"/>
      <c r="U743" s="339"/>
      <c r="V743" s="339"/>
      <c r="W743" s="339"/>
      <c r="X743" s="339"/>
      <c r="Y743" s="339"/>
      <c r="Z743" s="339"/>
    </row>
    <row r="744" spans="1:26" ht="15.75" customHeight="1">
      <c r="A744" s="339"/>
      <c r="B744" s="339"/>
      <c r="C744" s="339"/>
      <c r="D744" s="339"/>
      <c r="E744" s="339"/>
      <c r="F744" s="339"/>
      <c r="G744" s="339"/>
      <c r="H744" s="339"/>
      <c r="I744" s="341"/>
      <c r="J744" s="340"/>
      <c r="K744" s="339"/>
      <c r="L744" s="341"/>
      <c r="M744" s="339"/>
      <c r="N744" s="339"/>
      <c r="O744" s="341"/>
      <c r="P744" s="339"/>
      <c r="Q744" s="341"/>
      <c r="R744" s="339"/>
      <c r="S744" s="341"/>
      <c r="T744" s="339"/>
      <c r="U744" s="339"/>
      <c r="V744" s="339"/>
      <c r="W744" s="339"/>
      <c r="X744" s="339"/>
      <c r="Y744" s="339"/>
      <c r="Z744" s="339"/>
    </row>
    <row r="745" spans="1:26" ht="15.75" customHeight="1">
      <c r="A745" s="339"/>
      <c r="B745" s="339"/>
      <c r="C745" s="339"/>
      <c r="D745" s="339"/>
      <c r="E745" s="339"/>
      <c r="F745" s="339"/>
      <c r="G745" s="339"/>
      <c r="H745" s="339"/>
      <c r="I745" s="341"/>
      <c r="J745" s="340"/>
      <c r="K745" s="339"/>
      <c r="L745" s="341"/>
      <c r="M745" s="339"/>
      <c r="N745" s="339"/>
      <c r="O745" s="341"/>
      <c r="P745" s="339"/>
      <c r="Q745" s="341"/>
      <c r="R745" s="339"/>
      <c r="S745" s="341"/>
      <c r="T745" s="339"/>
      <c r="U745" s="339"/>
      <c r="V745" s="339"/>
      <c r="W745" s="339"/>
      <c r="X745" s="339"/>
      <c r="Y745" s="339"/>
      <c r="Z745" s="339"/>
    </row>
    <row r="746" spans="1:26" ht="15.75" customHeight="1">
      <c r="A746" s="339"/>
      <c r="B746" s="339"/>
      <c r="C746" s="339"/>
      <c r="D746" s="339"/>
      <c r="E746" s="339"/>
      <c r="F746" s="339"/>
      <c r="G746" s="339"/>
      <c r="H746" s="339"/>
      <c r="I746" s="341"/>
      <c r="J746" s="340"/>
      <c r="K746" s="339"/>
      <c r="L746" s="341"/>
      <c r="M746" s="339"/>
      <c r="N746" s="339"/>
      <c r="O746" s="341"/>
      <c r="P746" s="339"/>
      <c r="Q746" s="341"/>
      <c r="R746" s="339"/>
      <c r="S746" s="341"/>
      <c r="T746" s="339"/>
      <c r="U746" s="339"/>
      <c r="V746" s="339"/>
      <c r="W746" s="339"/>
      <c r="X746" s="339"/>
      <c r="Y746" s="339"/>
      <c r="Z746" s="339"/>
    </row>
    <row r="747" spans="1:26" ht="15.75" customHeight="1">
      <c r="A747" s="339"/>
      <c r="B747" s="339"/>
      <c r="C747" s="339"/>
      <c r="D747" s="339"/>
      <c r="E747" s="339"/>
      <c r="F747" s="339"/>
      <c r="G747" s="339"/>
      <c r="H747" s="339"/>
      <c r="I747" s="341"/>
      <c r="J747" s="340"/>
      <c r="K747" s="339"/>
      <c r="L747" s="341"/>
      <c r="M747" s="339"/>
      <c r="N747" s="339"/>
      <c r="O747" s="341"/>
      <c r="P747" s="339"/>
      <c r="Q747" s="341"/>
      <c r="R747" s="339"/>
      <c r="S747" s="341"/>
      <c r="T747" s="339"/>
      <c r="U747" s="339"/>
      <c r="V747" s="339"/>
      <c r="W747" s="339"/>
      <c r="X747" s="339"/>
      <c r="Y747" s="339"/>
      <c r="Z747" s="339"/>
    </row>
    <row r="748" spans="1:26" ht="15.75" customHeight="1">
      <c r="A748" s="339"/>
      <c r="B748" s="339"/>
      <c r="C748" s="339"/>
      <c r="D748" s="339"/>
      <c r="E748" s="339"/>
      <c r="F748" s="339"/>
      <c r="G748" s="339"/>
      <c r="H748" s="339"/>
      <c r="I748" s="341"/>
      <c r="J748" s="340"/>
      <c r="K748" s="339"/>
      <c r="L748" s="341"/>
      <c r="M748" s="339"/>
      <c r="N748" s="339"/>
      <c r="O748" s="341"/>
      <c r="P748" s="339"/>
      <c r="Q748" s="341"/>
      <c r="R748" s="339"/>
      <c r="S748" s="341"/>
      <c r="T748" s="339"/>
      <c r="U748" s="339"/>
      <c r="V748" s="339"/>
      <c r="W748" s="339"/>
      <c r="X748" s="339"/>
      <c r="Y748" s="339"/>
      <c r="Z748" s="339"/>
    </row>
    <row r="749" spans="1:26" ht="15.75" customHeight="1">
      <c r="A749" s="339"/>
      <c r="B749" s="339"/>
      <c r="C749" s="339"/>
      <c r="D749" s="339"/>
      <c r="E749" s="339"/>
      <c r="F749" s="339"/>
      <c r="G749" s="339"/>
      <c r="H749" s="339"/>
      <c r="I749" s="341"/>
      <c r="J749" s="340"/>
      <c r="K749" s="339"/>
      <c r="L749" s="341"/>
      <c r="M749" s="339"/>
      <c r="N749" s="339"/>
      <c r="O749" s="341"/>
      <c r="P749" s="339"/>
      <c r="Q749" s="341"/>
      <c r="R749" s="339"/>
      <c r="S749" s="341"/>
      <c r="T749" s="339"/>
      <c r="U749" s="339"/>
      <c r="V749" s="339"/>
      <c r="W749" s="339"/>
      <c r="X749" s="339"/>
      <c r="Y749" s="339"/>
      <c r="Z749" s="339"/>
    </row>
    <row r="750" spans="1:26" ht="15.75" customHeight="1">
      <c r="A750" s="339"/>
      <c r="B750" s="339"/>
      <c r="C750" s="339"/>
      <c r="D750" s="339"/>
      <c r="E750" s="339"/>
      <c r="F750" s="339"/>
      <c r="G750" s="339"/>
      <c r="H750" s="339"/>
      <c r="I750" s="341"/>
      <c r="J750" s="340"/>
      <c r="K750" s="339"/>
      <c r="L750" s="341"/>
      <c r="M750" s="339"/>
      <c r="N750" s="339"/>
      <c r="O750" s="341"/>
      <c r="P750" s="339"/>
      <c r="Q750" s="341"/>
      <c r="R750" s="339"/>
      <c r="S750" s="341"/>
      <c r="T750" s="339"/>
      <c r="U750" s="339"/>
      <c r="V750" s="339"/>
      <c r="W750" s="339"/>
      <c r="X750" s="339"/>
      <c r="Y750" s="339"/>
      <c r="Z750" s="339"/>
    </row>
    <row r="751" spans="1:26" ht="15.75" customHeight="1">
      <c r="A751" s="339"/>
      <c r="B751" s="339"/>
      <c r="C751" s="339"/>
      <c r="D751" s="339"/>
      <c r="E751" s="339"/>
      <c r="F751" s="339"/>
      <c r="G751" s="339"/>
      <c r="H751" s="339"/>
      <c r="I751" s="341"/>
      <c r="J751" s="340"/>
      <c r="K751" s="339"/>
      <c r="L751" s="341"/>
      <c r="M751" s="339"/>
      <c r="N751" s="339"/>
      <c r="O751" s="341"/>
      <c r="P751" s="339"/>
      <c r="Q751" s="341"/>
      <c r="R751" s="339"/>
      <c r="S751" s="341"/>
      <c r="T751" s="339"/>
      <c r="U751" s="339"/>
      <c r="V751" s="339"/>
      <c r="W751" s="339"/>
      <c r="X751" s="339"/>
      <c r="Y751" s="339"/>
      <c r="Z751" s="339"/>
    </row>
    <row r="752" spans="1:26" ht="15.75" customHeight="1">
      <c r="A752" s="339"/>
      <c r="B752" s="339"/>
      <c r="C752" s="339"/>
      <c r="D752" s="339"/>
      <c r="E752" s="339"/>
      <c r="F752" s="339"/>
      <c r="G752" s="339"/>
      <c r="H752" s="339"/>
      <c r="I752" s="341"/>
      <c r="J752" s="340"/>
      <c r="K752" s="339"/>
      <c r="L752" s="341"/>
      <c r="M752" s="339"/>
      <c r="N752" s="339"/>
      <c r="O752" s="341"/>
      <c r="P752" s="339"/>
      <c r="Q752" s="341"/>
      <c r="R752" s="339"/>
      <c r="S752" s="341"/>
      <c r="T752" s="339"/>
      <c r="U752" s="339"/>
      <c r="V752" s="339"/>
      <c r="W752" s="339"/>
      <c r="X752" s="339"/>
      <c r="Y752" s="339"/>
      <c r="Z752" s="339"/>
    </row>
    <row r="753" spans="1:26" ht="15.75" customHeight="1">
      <c r="A753" s="339"/>
      <c r="B753" s="339"/>
      <c r="C753" s="339"/>
      <c r="D753" s="339"/>
      <c r="E753" s="339"/>
      <c r="F753" s="339"/>
      <c r="G753" s="339"/>
      <c r="H753" s="339"/>
      <c r="I753" s="341"/>
      <c r="J753" s="340"/>
      <c r="K753" s="339"/>
      <c r="L753" s="341"/>
      <c r="M753" s="339"/>
      <c r="N753" s="339"/>
      <c r="O753" s="341"/>
      <c r="P753" s="339"/>
      <c r="Q753" s="341"/>
      <c r="R753" s="339"/>
      <c r="S753" s="341"/>
      <c r="T753" s="339"/>
      <c r="U753" s="339"/>
      <c r="V753" s="339"/>
      <c r="W753" s="339"/>
      <c r="X753" s="339"/>
      <c r="Y753" s="339"/>
      <c r="Z753" s="339"/>
    </row>
    <row r="754" spans="1:26" ht="15.75" customHeight="1">
      <c r="A754" s="339"/>
      <c r="B754" s="339"/>
      <c r="C754" s="339"/>
      <c r="D754" s="339"/>
      <c r="E754" s="339"/>
      <c r="F754" s="339"/>
      <c r="G754" s="339"/>
      <c r="H754" s="339"/>
      <c r="I754" s="341"/>
      <c r="J754" s="340"/>
      <c r="K754" s="339"/>
      <c r="L754" s="341"/>
      <c r="M754" s="339"/>
      <c r="N754" s="339"/>
      <c r="O754" s="341"/>
      <c r="P754" s="339"/>
      <c r="Q754" s="341"/>
      <c r="R754" s="339"/>
      <c r="S754" s="341"/>
      <c r="T754" s="339"/>
      <c r="U754" s="339"/>
      <c r="V754" s="339"/>
      <c r="W754" s="339"/>
      <c r="X754" s="339"/>
      <c r="Y754" s="339"/>
      <c r="Z754" s="339"/>
    </row>
    <row r="755" spans="1:26" ht="15.75" customHeight="1">
      <c r="A755" s="339"/>
      <c r="B755" s="339"/>
      <c r="C755" s="339"/>
      <c r="D755" s="339"/>
      <c r="E755" s="339"/>
      <c r="F755" s="339"/>
      <c r="G755" s="339"/>
      <c r="H755" s="339"/>
      <c r="I755" s="341"/>
      <c r="J755" s="340"/>
      <c r="K755" s="339"/>
      <c r="L755" s="341"/>
      <c r="M755" s="339"/>
      <c r="N755" s="339"/>
      <c r="O755" s="341"/>
      <c r="P755" s="339"/>
      <c r="Q755" s="341"/>
      <c r="R755" s="339"/>
      <c r="S755" s="341"/>
      <c r="T755" s="339"/>
      <c r="U755" s="339"/>
      <c r="V755" s="339"/>
      <c r="W755" s="339"/>
      <c r="X755" s="339"/>
      <c r="Y755" s="339"/>
      <c r="Z755" s="339"/>
    </row>
    <row r="756" spans="1:26" ht="15.75" customHeight="1">
      <c r="A756" s="339"/>
      <c r="B756" s="339"/>
      <c r="C756" s="339"/>
      <c r="D756" s="339"/>
      <c r="E756" s="339"/>
      <c r="F756" s="339"/>
      <c r="G756" s="339"/>
      <c r="H756" s="339"/>
      <c r="I756" s="341"/>
      <c r="J756" s="340"/>
      <c r="K756" s="339"/>
      <c r="L756" s="341"/>
      <c r="M756" s="339"/>
      <c r="N756" s="339"/>
      <c r="O756" s="341"/>
      <c r="P756" s="339"/>
      <c r="Q756" s="341"/>
      <c r="R756" s="339"/>
      <c r="S756" s="341"/>
      <c r="T756" s="339"/>
      <c r="U756" s="339"/>
      <c r="V756" s="339"/>
      <c r="W756" s="339"/>
      <c r="X756" s="339"/>
      <c r="Y756" s="339"/>
      <c r="Z756" s="339"/>
    </row>
    <row r="757" spans="1:26" ht="15.75" customHeight="1">
      <c r="A757" s="339"/>
      <c r="B757" s="339"/>
      <c r="C757" s="339"/>
      <c r="D757" s="339"/>
      <c r="E757" s="339"/>
      <c r="F757" s="339"/>
      <c r="G757" s="339"/>
      <c r="H757" s="339"/>
      <c r="I757" s="341"/>
      <c r="J757" s="340"/>
      <c r="K757" s="339"/>
      <c r="L757" s="341"/>
      <c r="M757" s="339"/>
      <c r="N757" s="339"/>
      <c r="O757" s="341"/>
      <c r="P757" s="339"/>
      <c r="Q757" s="341"/>
      <c r="R757" s="339"/>
      <c r="S757" s="341"/>
      <c r="T757" s="339"/>
      <c r="U757" s="339"/>
      <c r="V757" s="339"/>
      <c r="W757" s="339"/>
      <c r="X757" s="339"/>
      <c r="Y757" s="339"/>
      <c r="Z757" s="339"/>
    </row>
    <row r="758" spans="1:26" ht="15.75" customHeight="1">
      <c r="A758" s="339"/>
      <c r="B758" s="339"/>
      <c r="C758" s="339"/>
      <c r="D758" s="339"/>
      <c r="E758" s="339"/>
      <c r="F758" s="339"/>
      <c r="G758" s="339"/>
      <c r="H758" s="339"/>
      <c r="I758" s="341"/>
      <c r="J758" s="340"/>
      <c r="K758" s="339"/>
      <c r="L758" s="341"/>
      <c r="M758" s="339"/>
      <c r="N758" s="339"/>
      <c r="O758" s="341"/>
      <c r="P758" s="339"/>
      <c r="Q758" s="341"/>
      <c r="R758" s="339"/>
      <c r="S758" s="341"/>
      <c r="T758" s="339"/>
      <c r="U758" s="339"/>
      <c r="V758" s="339"/>
      <c r="W758" s="339"/>
      <c r="X758" s="339"/>
      <c r="Y758" s="339"/>
      <c r="Z758" s="339"/>
    </row>
    <row r="759" spans="1:26" ht="15.75" customHeight="1">
      <c r="A759" s="339"/>
      <c r="B759" s="339"/>
      <c r="C759" s="339"/>
      <c r="D759" s="339"/>
      <c r="E759" s="339"/>
      <c r="F759" s="339"/>
      <c r="G759" s="339"/>
      <c r="H759" s="339"/>
      <c r="I759" s="341"/>
      <c r="J759" s="340"/>
      <c r="K759" s="339"/>
      <c r="L759" s="341"/>
      <c r="M759" s="339"/>
      <c r="N759" s="339"/>
      <c r="O759" s="341"/>
      <c r="P759" s="339"/>
      <c r="Q759" s="341"/>
      <c r="R759" s="339"/>
      <c r="S759" s="341"/>
      <c r="T759" s="339"/>
      <c r="U759" s="339"/>
      <c r="V759" s="339"/>
      <c r="W759" s="339"/>
      <c r="X759" s="339"/>
      <c r="Y759" s="339"/>
      <c r="Z759" s="339"/>
    </row>
    <row r="760" spans="1:26" ht="15.75" customHeight="1">
      <c r="A760" s="339"/>
      <c r="B760" s="339"/>
      <c r="C760" s="339"/>
      <c r="D760" s="339"/>
      <c r="E760" s="339"/>
      <c r="F760" s="339"/>
      <c r="G760" s="339"/>
      <c r="H760" s="339"/>
      <c r="I760" s="341"/>
      <c r="J760" s="340"/>
      <c r="K760" s="339"/>
      <c r="L760" s="341"/>
      <c r="M760" s="339"/>
      <c r="N760" s="339"/>
      <c r="O760" s="341"/>
      <c r="P760" s="339"/>
      <c r="Q760" s="341"/>
      <c r="R760" s="339"/>
      <c r="S760" s="341"/>
      <c r="T760" s="339"/>
      <c r="U760" s="339"/>
      <c r="V760" s="339"/>
      <c r="W760" s="339"/>
      <c r="X760" s="339"/>
      <c r="Y760" s="339"/>
      <c r="Z760" s="339"/>
    </row>
    <row r="761" spans="1:26" ht="15.75" customHeight="1">
      <c r="A761" s="339"/>
      <c r="B761" s="339"/>
      <c r="C761" s="339"/>
      <c r="D761" s="339"/>
      <c r="E761" s="339"/>
      <c r="F761" s="339"/>
      <c r="G761" s="339"/>
      <c r="H761" s="339"/>
      <c r="I761" s="341"/>
      <c r="J761" s="340"/>
      <c r="K761" s="339"/>
      <c r="L761" s="341"/>
      <c r="M761" s="339"/>
      <c r="N761" s="339"/>
      <c r="O761" s="341"/>
      <c r="P761" s="339"/>
      <c r="Q761" s="341"/>
      <c r="R761" s="339"/>
      <c r="S761" s="341"/>
      <c r="T761" s="339"/>
      <c r="U761" s="339"/>
      <c r="V761" s="339"/>
      <c r="W761" s="339"/>
      <c r="X761" s="339"/>
      <c r="Y761" s="339"/>
      <c r="Z761" s="339"/>
    </row>
    <row r="762" spans="1:26" ht="15.75" customHeight="1">
      <c r="A762" s="339"/>
      <c r="B762" s="339"/>
      <c r="C762" s="339"/>
      <c r="D762" s="339"/>
      <c r="E762" s="339"/>
      <c r="F762" s="339"/>
      <c r="G762" s="339"/>
      <c r="H762" s="339"/>
      <c r="I762" s="341"/>
      <c r="J762" s="340"/>
      <c r="K762" s="339"/>
      <c r="L762" s="341"/>
      <c r="M762" s="339"/>
      <c r="N762" s="339"/>
      <c r="O762" s="341"/>
      <c r="P762" s="339"/>
      <c r="Q762" s="341"/>
      <c r="R762" s="339"/>
      <c r="S762" s="341"/>
      <c r="T762" s="339"/>
      <c r="U762" s="339"/>
      <c r="V762" s="339"/>
      <c r="W762" s="339"/>
      <c r="X762" s="339"/>
      <c r="Y762" s="339"/>
      <c r="Z762" s="339"/>
    </row>
    <row r="763" spans="1:26" ht="15.75" customHeight="1">
      <c r="A763" s="339"/>
      <c r="B763" s="339"/>
      <c r="C763" s="339"/>
      <c r="D763" s="339"/>
      <c r="E763" s="339"/>
      <c r="F763" s="339"/>
      <c r="G763" s="339"/>
      <c r="H763" s="339"/>
      <c r="I763" s="341"/>
      <c r="J763" s="340"/>
      <c r="K763" s="339"/>
      <c r="L763" s="341"/>
      <c r="M763" s="339"/>
      <c r="N763" s="339"/>
      <c r="O763" s="341"/>
      <c r="P763" s="339"/>
      <c r="Q763" s="341"/>
      <c r="R763" s="339"/>
      <c r="S763" s="341"/>
      <c r="T763" s="339"/>
      <c r="U763" s="339"/>
      <c r="V763" s="339"/>
      <c r="W763" s="339"/>
      <c r="X763" s="339"/>
      <c r="Y763" s="339"/>
      <c r="Z763" s="339"/>
    </row>
    <row r="764" spans="1:26" ht="15.75" customHeight="1">
      <c r="A764" s="339"/>
      <c r="B764" s="339"/>
      <c r="C764" s="339"/>
      <c r="D764" s="339"/>
      <c r="E764" s="339"/>
      <c r="F764" s="339"/>
      <c r="G764" s="339"/>
      <c r="H764" s="339"/>
      <c r="I764" s="341"/>
      <c r="J764" s="340"/>
      <c r="K764" s="339"/>
      <c r="L764" s="341"/>
      <c r="M764" s="339"/>
      <c r="N764" s="339"/>
      <c r="O764" s="341"/>
      <c r="P764" s="339"/>
      <c r="Q764" s="341"/>
      <c r="R764" s="339"/>
      <c r="S764" s="341"/>
      <c r="T764" s="339"/>
      <c r="U764" s="339"/>
      <c r="V764" s="339"/>
      <c r="W764" s="339"/>
      <c r="X764" s="339"/>
      <c r="Y764" s="339"/>
      <c r="Z764" s="339"/>
    </row>
    <row r="765" spans="1:26" ht="15.75" customHeight="1">
      <c r="A765" s="339"/>
      <c r="B765" s="339"/>
      <c r="C765" s="339"/>
      <c r="D765" s="339"/>
      <c r="E765" s="339"/>
      <c r="F765" s="339"/>
      <c r="G765" s="339"/>
      <c r="H765" s="339"/>
      <c r="I765" s="341"/>
      <c r="J765" s="340"/>
      <c r="K765" s="339"/>
      <c r="L765" s="341"/>
      <c r="M765" s="339"/>
      <c r="N765" s="339"/>
      <c r="O765" s="341"/>
      <c r="P765" s="339"/>
      <c r="Q765" s="341"/>
      <c r="R765" s="339"/>
      <c r="S765" s="341"/>
      <c r="T765" s="339"/>
      <c r="U765" s="339"/>
      <c r="V765" s="339"/>
      <c r="W765" s="339"/>
      <c r="X765" s="339"/>
      <c r="Y765" s="339"/>
      <c r="Z765" s="339"/>
    </row>
    <row r="766" spans="1:26" ht="15.75" customHeight="1">
      <c r="A766" s="339"/>
      <c r="B766" s="339"/>
      <c r="C766" s="339"/>
      <c r="D766" s="339"/>
      <c r="E766" s="339"/>
      <c r="F766" s="339"/>
      <c r="G766" s="339"/>
      <c r="H766" s="339"/>
      <c r="I766" s="341"/>
      <c r="J766" s="340"/>
      <c r="K766" s="339"/>
      <c r="L766" s="341"/>
      <c r="M766" s="339"/>
      <c r="N766" s="339"/>
      <c r="O766" s="341"/>
      <c r="P766" s="339"/>
      <c r="Q766" s="341"/>
      <c r="R766" s="339"/>
      <c r="S766" s="341"/>
      <c r="T766" s="339"/>
      <c r="U766" s="339"/>
      <c r="V766" s="339"/>
      <c r="W766" s="339"/>
      <c r="X766" s="339"/>
      <c r="Y766" s="339"/>
      <c r="Z766" s="339"/>
    </row>
    <row r="767" spans="1:26" ht="15.75" customHeight="1">
      <c r="A767" s="339"/>
      <c r="B767" s="339"/>
      <c r="C767" s="339"/>
      <c r="D767" s="339"/>
      <c r="E767" s="339"/>
      <c r="F767" s="339"/>
      <c r="G767" s="339"/>
      <c r="H767" s="339"/>
      <c r="I767" s="341"/>
      <c r="J767" s="340"/>
      <c r="K767" s="339"/>
      <c r="L767" s="341"/>
      <c r="M767" s="339"/>
      <c r="N767" s="339"/>
      <c r="O767" s="341"/>
      <c r="P767" s="339"/>
      <c r="Q767" s="341"/>
      <c r="R767" s="339"/>
      <c r="S767" s="341"/>
      <c r="T767" s="339"/>
      <c r="U767" s="339"/>
      <c r="V767" s="339"/>
      <c r="W767" s="339"/>
      <c r="X767" s="339"/>
      <c r="Y767" s="339"/>
      <c r="Z767" s="339"/>
    </row>
    <row r="768" spans="1:26" ht="15.75" customHeight="1">
      <c r="A768" s="339"/>
      <c r="B768" s="339"/>
      <c r="C768" s="339"/>
      <c r="D768" s="339"/>
      <c r="E768" s="339"/>
      <c r="F768" s="339"/>
      <c r="G768" s="339"/>
      <c r="H768" s="339"/>
      <c r="I768" s="341"/>
      <c r="J768" s="340"/>
      <c r="K768" s="339"/>
      <c r="L768" s="341"/>
      <c r="M768" s="339"/>
      <c r="N768" s="339"/>
      <c r="O768" s="341"/>
      <c r="P768" s="339"/>
      <c r="Q768" s="341"/>
      <c r="R768" s="339"/>
      <c r="S768" s="341"/>
      <c r="T768" s="339"/>
      <c r="U768" s="339"/>
      <c r="V768" s="339"/>
      <c r="W768" s="339"/>
      <c r="X768" s="339"/>
      <c r="Y768" s="339"/>
      <c r="Z768" s="339"/>
    </row>
    <row r="769" spans="1:26" ht="15.75" customHeight="1">
      <c r="A769" s="339"/>
      <c r="B769" s="339"/>
      <c r="C769" s="339"/>
      <c r="D769" s="339"/>
      <c r="E769" s="339"/>
      <c r="F769" s="339"/>
      <c r="G769" s="339"/>
      <c r="H769" s="339"/>
      <c r="I769" s="341"/>
      <c r="J769" s="340"/>
      <c r="K769" s="339"/>
      <c r="L769" s="341"/>
      <c r="M769" s="339"/>
      <c r="N769" s="339"/>
      <c r="O769" s="341"/>
      <c r="P769" s="339"/>
      <c r="Q769" s="341"/>
      <c r="R769" s="339"/>
      <c r="S769" s="341"/>
      <c r="T769" s="339"/>
      <c r="U769" s="339"/>
      <c r="V769" s="339"/>
      <c r="W769" s="339"/>
      <c r="X769" s="339"/>
      <c r="Y769" s="339"/>
      <c r="Z769" s="339"/>
    </row>
    <row r="770" spans="1:26" ht="15.75" customHeight="1">
      <c r="A770" s="339"/>
      <c r="B770" s="339"/>
      <c r="C770" s="339"/>
      <c r="D770" s="339"/>
      <c r="E770" s="339"/>
      <c r="F770" s="339"/>
      <c r="G770" s="339"/>
      <c r="H770" s="339"/>
      <c r="I770" s="341"/>
      <c r="J770" s="340"/>
      <c r="K770" s="339"/>
      <c r="L770" s="341"/>
      <c r="M770" s="339"/>
      <c r="N770" s="339"/>
      <c r="O770" s="341"/>
      <c r="P770" s="339"/>
      <c r="Q770" s="341"/>
      <c r="R770" s="339"/>
      <c r="S770" s="341"/>
      <c r="T770" s="339"/>
      <c r="U770" s="339"/>
      <c r="V770" s="339"/>
      <c r="W770" s="339"/>
      <c r="X770" s="339"/>
      <c r="Y770" s="339"/>
      <c r="Z770" s="339"/>
    </row>
    <row r="771" spans="1:26" ht="15.75" customHeight="1">
      <c r="A771" s="339"/>
      <c r="B771" s="339"/>
      <c r="C771" s="339"/>
      <c r="D771" s="339"/>
      <c r="E771" s="339"/>
      <c r="F771" s="339"/>
      <c r="G771" s="339"/>
      <c r="H771" s="339"/>
      <c r="I771" s="341"/>
      <c r="J771" s="340"/>
      <c r="K771" s="339"/>
      <c r="L771" s="341"/>
      <c r="M771" s="339"/>
      <c r="N771" s="339"/>
      <c r="O771" s="341"/>
      <c r="P771" s="339"/>
      <c r="Q771" s="341"/>
      <c r="R771" s="339"/>
      <c r="S771" s="341"/>
      <c r="T771" s="339"/>
      <c r="U771" s="339"/>
      <c r="V771" s="339"/>
      <c r="W771" s="339"/>
      <c r="X771" s="339"/>
      <c r="Y771" s="339"/>
      <c r="Z771" s="339"/>
    </row>
    <row r="772" spans="1:26" ht="15.75" customHeight="1">
      <c r="A772" s="339"/>
      <c r="B772" s="339"/>
      <c r="C772" s="339"/>
      <c r="D772" s="339"/>
      <c r="E772" s="339"/>
      <c r="F772" s="339"/>
      <c r="G772" s="339"/>
      <c r="H772" s="339"/>
      <c r="I772" s="341"/>
      <c r="J772" s="340"/>
      <c r="K772" s="339"/>
      <c r="L772" s="341"/>
      <c r="M772" s="339"/>
      <c r="N772" s="339"/>
      <c r="O772" s="341"/>
      <c r="P772" s="339"/>
      <c r="Q772" s="341"/>
      <c r="R772" s="339"/>
      <c r="S772" s="341"/>
      <c r="T772" s="339"/>
      <c r="U772" s="339"/>
      <c r="V772" s="339"/>
      <c r="W772" s="339"/>
      <c r="X772" s="339"/>
      <c r="Y772" s="339"/>
      <c r="Z772" s="339"/>
    </row>
    <row r="773" spans="1:26" ht="15.75" customHeight="1">
      <c r="A773" s="339"/>
      <c r="B773" s="339"/>
      <c r="C773" s="339"/>
      <c r="D773" s="339"/>
      <c r="E773" s="339"/>
      <c r="F773" s="339"/>
      <c r="G773" s="339"/>
      <c r="H773" s="339"/>
      <c r="I773" s="341"/>
      <c r="J773" s="340"/>
      <c r="K773" s="339"/>
      <c r="L773" s="341"/>
      <c r="M773" s="339"/>
      <c r="N773" s="339"/>
      <c r="O773" s="341"/>
      <c r="P773" s="339"/>
      <c r="Q773" s="341"/>
      <c r="R773" s="339"/>
      <c r="S773" s="341"/>
      <c r="T773" s="339"/>
      <c r="U773" s="339"/>
      <c r="V773" s="339"/>
      <c r="W773" s="339"/>
      <c r="X773" s="339"/>
      <c r="Y773" s="339"/>
      <c r="Z773" s="339"/>
    </row>
    <row r="774" spans="1:26" ht="15.75" customHeight="1">
      <c r="A774" s="339"/>
      <c r="B774" s="339"/>
      <c r="C774" s="339"/>
      <c r="D774" s="339"/>
      <c r="E774" s="339"/>
      <c r="F774" s="339"/>
      <c r="G774" s="339"/>
      <c r="H774" s="339"/>
      <c r="I774" s="341"/>
      <c r="J774" s="340"/>
      <c r="K774" s="339"/>
      <c r="L774" s="341"/>
      <c r="M774" s="339"/>
      <c r="N774" s="339"/>
      <c r="O774" s="341"/>
      <c r="P774" s="339"/>
      <c r="Q774" s="341"/>
      <c r="R774" s="339"/>
      <c r="S774" s="341"/>
      <c r="T774" s="339"/>
      <c r="U774" s="339"/>
      <c r="V774" s="339"/>
      <c r="W774" s="339"/>
      <c r="X774" s="339"/>
      <c r="Y774" s="339"/>
      <c r="Z774" s="339"/>
    </row>
    <row r="775" spans="1:26" ht="15.75" customHeight="1">
      <c r="A775" s="339"/>
      <c r="B775" s="339"/>
      <c r="C775" s="339"/>
      <c r="D775" s="339"/>
      <c r="E775" s="339"/>
      <c r="F775" s="339"/>
      <c r="G775" s="339"/>
      <c r="H775" s="339"/>
      <c r="I775" s="341"/>
      <c r="J775" s="340"/>
      <c r="K775" s="339"/>
      <c r="L775" s="341"/>
      <c r="M775" s="339"/>
      <c r="N775" s="339"/>
      <c r="O775" s="341"/>
      <c r="P775" s="339"/>
      <c r="Q775" s="341"/>
      <c r="R775" s="339"/>
      <c r="S775" s="341"/>
      <c r="T775" s="339"/>
      <c r="U775" s="339"/>
      <c r="V775" s="339"/>
      <c r="W775" s="339"/>
      <c r="X775" s="339"/>
      <c r="Y775" s="339"/>
      <c r="Z775" s="339"/>
    </row>
    <row r="776" spans="1:26" ht="15.75" customHeight="1">
      <c r="A776" s="339"/>
      <c r="B776" s="339"/>
      <c r="C776" s="339"/>
      <c r="D776" s="339"/>
      <c r="E776" s="339"/>
      <c r="F776" s="339"/>
      <c r="G776" s="339"/>
      <c r="H776" s="339"/>
      <c r="I776" s="341"/>
      <c r="J776" s="340"/>
      <c r="K776" s="339"/>
      <c r="L776" s="341"/>
      <c r="M776" s="339"/>
      <c r="N776" s="339"/>
      <c r="O776" s="341"/>
      <c r="P776" s="339"/>
      <c r="Q776" s="341"/>
      <c r="R776" s="339"/>
      <c r="S776" s="341"/>
      <c r="T776" s="339"/>
      <c r="U776" s="339"/>
      <c r="V776" s="339"/>
      <c r="W776" s="339"/>
      <c r="X776" s="339"/>
      <c r="Y776" s="339"/>
      <c r="Z776" s="339"/>
    </row>
    <row r="777" spans="1:26" ht="15.75" customHeight="1">
      <c r="A777" s="339"/>
      <c r="B777" s="339"/>
      <c r="C777" s="339"/>
      <c r="D777" s="339"/>
      <c r="E777" s="339"/>
      <c r="F777" s="339"/>
      <c r="G777" s="339"/>
      <c r="H777" s="339"/>
      <c r="I777" s="341"/>
      <c r="J777" s="340"/>
      <c r="K777" s="339"/>
      <c r="L777" s="341"/>
      <c r="M777" s="339"/>
      <c r="N777" s="339"/>
      <c r="O777" s="341"/>
      <c r="P777" s="339"/>
      <c r="Q777" s="341"/>
      <c r="R777" s="339"/>
      <c r="S777" s="341"/>
      <c r="T777" s="339"/>
      <c r="U777" s="339"/>
      <c r="V777" s="339"/>
      <c r="W777" s="339"/>
      <c r="X777" s="339"/>
      <c r="Y777" s="339"/>
      <c r="Z777" s="339"/>
    </row>
    <row r="778" spans="1:26" ht="15.75" customHeight="1">
      <c r="A778" s="339"/>
      <c r="B778" s="339"/>
      <c r="C778" s="339"/>
      <c r="D778" s="339"/>
      <c r="E778" s="339"/>
      <c r="F778" s="339"/>
      <c r="G778" s="339"/>
      <c r="H778" s="339"/>
      <c r="I778" s="341"/>
      <c r="J778" s="340"/>
      <c r="K778" s="339"/>
      <c r="L778" s="341"/>
      <c r="M778" s="339"/>
      <c r="N778" s="339"/>
      <c r="O778" s="341"/>
      <c r="P778" s="339"/>
      <c r="Q778" s="341"/>
      <c r="R778" s="339"/>
      <c r="S778" s="341"/>
      <c r="T778" s="339"/>
      <c r="U778" s="339"/>
      <c r="V778" s="339"/>
      <c r="W778" s="339"/>
      <c r="X778" s="339"/>
      <c r="Y778" s="339"/>
      <c r="Z778" s="339"/>
    </row>
    <row r="779" spans="1:26" ht="15.75" customHeight="1">
      <c r="A779" s="339"/>
      <c r="B779" s="339"/>
      <c r="C779" s="339"/>
      <c r="D779" s="339"/>
      <c r="E779" s="339"/>
      <c r="F779" s="339"/>
      <c r="G779" s="339"/>
      <c r="H779" s="339"/>
      <c r="I779" s="341"/>
      <c r="J779" s="340"/>
      <c r="K779" s="339"/>
      <c r="L779" s="341"/>
      <c r="M779" s="339"/>
      <c r="N779" s="339"/>
      <c r="O779" s="341"/>
      <c r="P779" s="339"/>
      <c r="Q779" s="341"/>
      <c r="R779" s="339"/>
      <c r="S779" s="341"/>
      <c r="T779" s="339"/>
      <c r="U779" s="339"/>
      <c r="V779" s="339"/>
      <c r="W779" s="339"/>
      <c r="X779" s="339"/>
      <c r="Y779" s="339"/>
      <c r="Z779" s="339"/>
    </row>
    <row r="780" spans="1:26" ht="15.75" customHeight="1">
      <c r="A780" s="339"/>
      <c r="B780" s="339"/>
      <c r="C780" s="339"/>
      <c r="D780" s="339"/>
      <c r="E780" s="339"/>
      <c r="F780" s="339"/>
      <c r="G780" s="339"/>
      <c r="H780" s="339"/>
      <c r="I780" s="341"/>
      <c r="J780" s="340"/>
      <c r="K780" s="339"/>
      <c r="L780" s="341"/>
      <c r="M780" s="339"/>
      <c r="N780" s="339"/>
      <c r="O780" s="341"/>
      <c r="P780" s="339"/>
      <c r="Q780" s="341"/>
      <c r="R780" s="339"/>
      <c r="S780" s="341"/>
      <c r="T780" s="339"/>
      <c r="U780" s="339"/>
      <c r="V780" s="339"/>
      <c r="W780" s="339"/>
      <c r="X780" s="339"/>
      <c r="Y780" s="339"/>
      <c r="Z780" s="339"/>
    </row>
    <row r="781" spans="1:26" ht="15.75" customHeight="1">
      <c r="A781" s="339"/>
      <c r="B781" s="339"/>
      <c r="C781" s="339"/>
      <c r="D781" s="339"/>
      <c r="E781" s="339"/>
      <c r="F781" s="339"/>
      <c r="G781" s="339"/>
      <c r="H781" s="339"/>
      <c r="I781" s="341"/>
      <c r="J781" s="340"/>
      <c r="K781" s="339"/>
      <c r="L781" s="341"/>
      <c r="M781" s="339"/>
      <c r="N781" s="339"/>
      <c r="O781" s="341"/>
      <c r="P781" s="339"/>
      <c r="Q781" s="341"/>
      <c r="R781" s="339"/>
      <c r="S781" s="341"/>
      <c r="T781" s="339"/>
      <c r="U781" s="339"/>
      <c r="V781" s="339"/>
      <c r="W781" s="339"/>
      <c r="X781" s="339"/>
      <c r="Y781" s="339"/>
      <c r="Z781" s="339"/>
    </row>
    <row r="782" spans="1:26" ht="15.75" customHeight="1">
      <c r="A782" s="339"/>
      <c r="B782" s="339"/>
      <c r="C782" s="339"/>
      <c r="D782" s="339"/>
      <c r="E782" s="339"/>
      <c r="F782" s="339"/>
      <c r="G782" s="339"/>
      <c r="H782" s="339"/>
      <c r="I782" s="341"/>
      <c r="J782" s="340"/>
      <c r="K782" s="339"/>
      <c r="L782" s="341"/>
      <c r="M782" s="339"/>
      <c r="N782" s="339"/>
      <c r="O782" s="341"/>
      <c r="P782" s="339"/>
      <c r="Q782" s="341"/>
      <c r="R782" s="339"/>
      <c r="S782" s="341"/>
      <c r="T782" s="339"/>
      <c r="U782" s="339"/>
      <c r="V782" s="339"/>
      <c r="W782" s="339"/>
      <c r="X782" s="339"/>
      <c r="Y782" s="339"/>
      <c r="Z782" s="339"/>
    </row>
    <row r="783" spans="1:26" ht="15.75" customHeight="1">
      <c r="A783" s="339"/>
      <c r="B783" s="339"/>
      <c r="C783" s="339"/>
      <c r="D783" s="339"/>
      <c r="E783" s="339"/>
      <c r="F783" s="339"/>
      <c r="G783" s="339"/>
      <c r="H783" s="339"/>
      <c r="I783" s="341"/>
      <c r="J783" s="340"/>
      <c r="K783" s="339"/>
      <c r="L783" s="341"/>
      <c r="M783" s="339"/>
      <c r="N783" s="339"/>
      <c r="O783" s="341"/>
      <c r="P783" s="339"/>
      <c r="Q783" s="341"/>
      <c r="R783" s="339"/>
      <c r="S783" s="341"/>
      <c r="T783" s="339"/>
      <c r="U783" s="339"/>
      <c r="V783" s="339"/>
      <c r="W783" s="339"/>
      <c r="X783" s="339"/>
      <c r="Y783" s="339"/>
      <c r="Z783" s="339"/>
    </row>
    <row r="784" spans="1:26" ht="15.75" customHeight="1">
      <c r="A784" s="339"/>
      <c r="B784" s="339"/>
      <c r="C784" s="339"/>
      <c r="D784" s="339"/>
      <c r="E784" s="339"/>
      <c r="F784" s="339"/>
      <c r="G784" s="339"/>
      <c r="H784" s="339"/>
      <c r="I784" s="341"/>
      <c r="J784" s="340"/>
      <c r="K784" s="339"/>
      <c r="L784" s="341"/>
      <c r="M784" s="339"/>
      <c r="N784" s="339"/>
      <c r="O784" s="341"/>
      <c r="P784" s="339"/>
      <c r="Q784" s="341"/>
      <c r="R784" s="339"/>
      <c r="S784" s="341"/>
      <c r="T784" s="339"/>
      <c r="U784" s="339"/>
      <c r="V784" s="339"/>
      <c r="W784" s="339"/>
      <c r="X784" s="339"/>
      <c r="Y784" s="339"/>
      <c r="Z784" s="339"/>
    </row>
    <row r="785" spans="1:26" ht="15.75" customHeight="1">
      <c r="A785" s="339"/>
      <c r="B785" s="339"/>
      <c r="C785" s="339"/>
      <c r="D785" s="339"/>
      <c r="E785" s="339"/>
      <c r="F785" s="339"/>
      <c r="G785" s="339"/>
      <c r="H785" s="339"/>
      <c r="I785" s="341"/>
      <c r="J785" s="340"/>
      <c r="K785" s="339"/>
      <c r="L785" s="341"/>
      <c r="M785" s="339"/>
      <c r="N785" s="339"/>
      <c r="O785" s="341"/>
      <c r="P785" s="339"/>
      <c r="Q785" s="341"/>
      <c r="R785" s="339"/>
      <c r="S785" s="341"/>
      <c r="T785" s="339"/>
      <c r="U785" s="339"/>
      <c r="V785" s="339"/>
      <c r="W785" s="339"/>
      <c r="X785" s="339"/>
      <c r="Y785" s="339"/>
      <c r="Z785" s="339"/>
    </row>
    <row r="786" spans="1:26" ht="15.75" customHeight="1">
      <c r="A786" s="339"/>
      <c r="B786" s="339"/>
      <c r="C786" s="339"/>
      <c r="D786" s="339"/>
      <c r="E786" s="339"/>
      <c r="F786" s="339"/>
      <c r="G786" s="339"/>
      <c r="H786" s="339"/>
      <c r="I786" s="341"/>
      <c r="J786" s="340"/>
      <c r="K786" s="339"/>
      <c r="L786" s="341"/>
      <c r="M786" s="339"/>
      <c r="N786" s="339"/>
      <c r="O786" s="341"/>
      <c r="P786" s="339"/>
      <c r="Q786" s="341"/>
      <c r="R786" s="339"/>
      <c r="S786" s="341"/>
      <c r="T786" s="339"/>
      <c r="U786" s="339"/>
      <c r="V786" s="339"/>
      <c r="W786" s="339"/>
      <c r="X786" s="339"/>
      <c r="Y786" s="339"/>
      <c r="Z786" s="339"/>
    </row>
    <row r="787" spans="1:26" ht="15.75" customHeight="1">
      <c r="A787" s="339"/>
      <c r="B787" s="339"/>
      <c r="C787" s="339"/>
      <c r="D787" s="339"/>
      <c r="E787" s="339"/>
      <c r="F787" s="339"/>
      <c r="G787" s="339"/>
      <c r="H787" s="339"/>
      <c r="I787" s="341"/>
      <c r="J787" s="340"/>
      <c r="K787" s="339"/>
      <c r="L787" s="341"/>
      <c r="M787" s="339"/>
      <c r="N787" s="339"/>
      <c r="O787" s="341"/>
      <c r="P787" s="339"/>
      <c r="Q787" s="341"/>
      <c r="R787" s="339"/>
      <c r="S787" s="341"/>
      <c r="T787" s="339"/>
      <c r="U787" s="339"/>
      <c r="V787" s="339"/>
      <c r="W787" s="339"/>
      <c r="X787" s="339"/>
      <c r="Y787" s="339"/>
      <c r="Z787" s="339"/>
    </row>
    <row r="788" spans="1:26" ht="15.75" customHeight="1">
      <c r="A788" s="339"/>
      <c r="B788" s="339"/>
      <c r="C788" s="339"/>
      <c r="D788" s="339"/>
      <c r="E788" s="339"/>
      <c r="F788" s="339"/>
      <c r="G788" s="339"/>
      <c r="H788" s="339"/>
      <c r="I788" s="341"/>
      <c r="J788" s="340"/>
      <c r="K788" s="339"/>
      <c r="L788" s="341"/>
      <c r="M788" s="339"/>
      <c r="N788" s="339"/>
      <c r="O788" s="341"/>
      <c r="P788" s="339"/>
      <c r="Q788" s="341"/>
      <c r="R788" s="339"/>
      <c r="S788" s="341"/>
      <c r="T788" s="339"/>
      <c r="U788" s="339"/>
      <c r="V788" s="339"/>
      <c r="W788" s="339"/>
      <c r="X788" s="339"/>
      <c r="Y788" s="339"/>
      <c r="Z788" s="339"/>
    </row>
    <row r="789" spans="1:26" ht="15.75" customHeight="1">
      <c r="A789" s="339"/>
      <c r="B789" s="339"/>
      <c r="C789" s="339"/>
      <c r="D789" s="339"/>
      <c r="E789" s="339"/>
      <c r="F789" s="339"/>
      <c r="G789" s="339"/>
      <c r="H789" s="339"/>
      <c r="I789" s="341"/>
      <c r="J789" s="340"/>
      <c r="K789" s="339"/>
      <c r="L789" s="341"/>
      <c r="M789" s="339"/>
      <c r="N789" s="339"/>
      <c r="O789" s="341"/>
      <c r="P789" s="339"/>
      <c r="Q789" s="341"/>
      <c r="R789" s="339"/>
      <c r="S789" s="341"/>
      <c r="T789" s="339"/>
      <c r="U789" s="339"/>
      <c r="V789" s="339"/>
      <c r="W789" s="339"/>
      <c r="X789" s="339"/>
      <c r="Y789" s="339"/>
      <c r="Z789" s="339"/>
    </row>
    <row r="790" spans="1:26" ht="15.75" customHeight="1">
      <c r="A790" s="339"/>
      <c r="B790" s="339"/>
      <c r="C790" s="339"/>
      <c r="D790" s="339"/>
      <c r="E790" s="339"/>
      <c r="F790" s="339"/>
      <c r="G790" s="339"/>
      <c r="H790" s="339"/>
      <c r="I790" s="341"/>
      <c r="J790" s="340"/>
      <c r="K790" s="339"/>
      <c r="L790" s="341"/>
      <c r="M790" s="339"/>
      <c r="N790" s="339"/>
      <c r="O790" s="341"/>
      <c r="P790" s="339"/>
      <c r="Q790" s="341"/>
      <c r="R790" s="339"/>
      <c r="S790" s="341"/>
      <c r="T790" s="339"/>
      <c r="U790" s="339"/>
      <c r="V790" s="339"/>
      <c r="W790" s="339"/>
      <c r="X790" s="339"/>
      <c r="Y790" s="339"/>
      <c r="Z790" s="339"/>
    </row>
    <row r="791" spans="1:26" ht="15.75" customHeight="1">
      <c r="A791" s="339"/>
      <c r="B791" s="339"/>
      <c r="C791" s="339"/>
      <c r="D791" s="339"/>
      <c r="E791" s="339"/>
      <c r="F791" s="339"/>
      <c r="G791" s="339"/>
      <c r="H791" s="339"/>
      <c r="I791" s="341"/>
      <c r="J791" s="340"/>
      <c r="K791" s="339"/>
      <c r="L791" s="341"/>
      <c r="M791" s="339"/>
      <c r="N791" s="339"/>
      <c r="O791" s="341"/>
      <c r="P791" s="339"/>
      <c r="Q791" s="341"/>
      <c r="R791" s="339"/>
      <c r="S791" s="341"/>
      <c r="T791" s="339"/>
      <c r="U791" s="339"/>
      <c r="V791" s="339"/>
      <c r="W791" s="339"/>
      <c r="X791" s="339"/>
      <c r="Y791" s="339"/>
      <c r="Z791" s="339"/>
    </row>
    <row r="792" spans="1:26" ht="15.75" customHeight="1">
      <c r="A792" s="339"/>
      <c r="B792" s="339"/>
      <c r="C792" s="339"/>
      <c r="D792" s="339"/>
      <c r="E792" s="339"/>
      <c r="F792" s="339"/>
      <c r="G792" s="339"/>
      <c r="H792" s="339"/>
      <c r="I792" s="341"/>
      <c r="J792" s="340"/>
      <c r="K792" s="339"/>
      <c r="L792" s="341"/>
      <c r="M792" s="339"/>
      <c r="N792" s="339"/>
      <c r="O792" s="341"/>
      <c r="P792" s="339"/>
      <c r="Q792" s="341"/>
      <c r="R792" s="339"/>
      <c r="S792" s="341"/>
      <c r="T792" s="339"/>
      <c r="U792" s="339"/>
      <c r="V792" s="339"/>
      <c r="W792" s="339"/>
      <c r="X792" s="339"/>
      <c r="Y792" s="339"/>
      <c r="Z792" s="339"/>
    </row>
    <row r="793" spans="1:26" ht="15.75" customHeight="1">
      <c r="A793" s="339"/>
      <c r="B793" s="339"/>
      <c r="C793" s="339"/>
      <c r="D793" s="339"/>
      <c r="E793" s="339"/>
      <c r="F793" s="339"/>
      <c r="G793" s="339"/>
      <c r="H793" s="339"/>
      <c r="I793" s="341"/>
      <c r="J793" s="340"/>
      <c r="K793" s="339"/>
      <c r="L793" s="341"/>
      <c r="M793" s="339"/>
      <c r="N793" s="339"/>
      <c r="O793" s="341"/>
      <c r="P793" s="339"/>
      <c r="Q793" s="341"/>
      <c r="R793" s="339"/>
      <c r="S793" s="341"/>
      <c r="T793" s="339"/>
      <c r="U793" s="339"/>
      <c r="V793" s="339"/>
      <c r="W793" s="339"/>
      <c r="X793" s="339"/>
      <c r="Y793" s="339"/>
      <c r="Z793" s="339"/>
    </row>
    <row r="794" spans="1:26" ht="15.75" customHeight="1">
      <c r="A794" s="339"/>
      <c r="B794" s="339"/>
      <c r="C794" s="339"/>
      <c r="D794" s="339"/>
      <c r="E794" s="339"/>
      <c r="F794" s="339"/>
      <c r="G794" s="339"/>
      <c r="H794" s="339"/>
      <c r="I794" s="341"/>
      <c r="J794" s="340"/>
      <c r="K794" s="339"/>
      <c r="L794" s="341"/>
      <c r="M794" s="339"/>
      <c r="N794" s="339"/>
      <c r="O794" s="341"/>
      <c r="P794" s="339"/>
      <c r="Q794" s="341"/>
      <c r="R794" s="339"/>
      <c r="S794" s="341"/>
      <c r="T794" s="339"/>
      <c r="U794" s="339"/>
      <c r="V794" s="339"/>
      <c r="W794" s="339"/>
      <c r="X794" s="339"/>
      <c r="Y794" s="339"/>
      <c r="Z794" s="339"/>
    </row>
    <row r="795" spans="1:26" ht="15.75" customHeight="1">
      <c r="A795" s="339"/>
      <c r="B795" s="339"/>
      <c r="C795" s="339"/>
      <c r="D795" s="339"/>
      <c r="E795" s="339"/>
      <c r="F795" s="339"/>
      <c r="G795" s="339"/>
      <c r="H795" s="339"/>
      <c r="I795" s="341"/>
      <c r="J795" s="340"/>
      <c r="K795" s="339"/>
      <c r="L795" s="341"/>
      <c r="M795" s="339"/>
      <c r="N795" s="339"/>
      <c r="O795" s="341"/>
      <c r="P795" s="339"/>
      <c r="Q795" s="341"/>
      <c r="R795" s="339"/>
      <c r="S795" s="341"/>
      <c r="T795" s="339"/>
      <c r="U795" s="339"/>
      <c r="V795" s="339"/>
      <c r="W795" s="339"/>
      <c r="X795" s="339"/>
      <c r="Y795" s="339"/>
      <c r="Z795" s="339"/>
    </row>
    <row r="796" spans="1:26" ht="15.75" customHeight="1">
      <c r="A796" s="339"/>
      <c r="B796" s="339"/>
      <c r="C796" s="339"/>
      <c r="D796" s="339"/>
      <c r="E796" s="339"/>
      <c r="F796" s="339"/>
      <c r="G796" s="339"/>
      <c r="H796" s="339"/>
      <c r="I796" s="341"/>
      <c r="J796" s="340"/>
      <c r="K796" s="339"/>
      <c r="L796" s="341"/>
      <c r="M796" s="339"/>
      <c r="N796" s="339"/>
      <c r="O796" s="341"/>
      <c r="P796" s="339"/>
      <c r="Q796" s="341"/>
      <c r="R796" s="339"/>
      <c r="S796" s="341"/>
      <c r="T796" s="339"/>
      <c r="U796" s="339"/>
      <c r="V796" s="339"/>
      <c r="W796" s="339"/>
      <c r="X796" s="339"/>
      <c r="Y796" s="339"/>
      <c r="Z796" s="339"/>
    </row>
    <row r="797" spans="1:26" ht="15.75" customHeight="1">
      <c r="A797" s="339"/>
      <c r="B797" s="339"/>
      <c r="C797" s="339"/>
      <c r="D797" s="339"/>
      <c r="E797" s="339"/>
      <c r="F797" s="339"/>
      <c r="G797" s="339"/>
      <c r="H797" s="339"/>
      <c r="I797" s="341"/>
      <c r="J797" s="340"/>
      <c r="K797" s="339"/>
      <c r="L797" s="341"/>
      <c r="M797" s="339"/>
      <c r="N797" s="339"/>
      <c r="O797" s="341"/>
      <c r="P797" s="339"/>
      <c r="Q797" s="341"/>
      <c r="R797" s="339"/>
      <c r="S797" s="341"/>
      <c r="T797" s="339"/>
      <c r="U797" s="339"/>
      <c r="V797" s="339"/>
      <c r="W797" s="339"/>
      <c r="X797" s="339"/>
      <c r="Y797" s="339"/>
      <c r="Z797" s="339"/>
    </row>
    <row r="798" spans="1:26" ht="15.75" customHeight="1">
      <c r="A798" s="339"/>
      <c r="B798" s="339"/>
      <c r="C798" s="339"/>
      <c r="D798" s="339"/>
      <c r="E798" s="339"/>
      <c r="F798" s="339"/>
      <c r="G798" s="339"/>
      <c r="H798" s="339"/>
      <c r="I798" s="341"/>
      <c r="J798" s="340"/>
      <c r="K798" s="339"/>
      <c r="L798" s="341"/>
      <c r="M798" s="339"/>
      <c r="N798" s="339"/>
      <c r="O798" s="341"/>
      <c r="P798" s="339"/>
      <c r="Q798" s="341"/>
      <c r="R798" s="339"/>
      <c r="S798" s="341"/>
      <c r="T798" s="339"/>
      <c r="U798" s="339"/>
      <c r="V798" s="339"/>
      <c r="W798" s="339"/>
      <c r="X798" s="339"/>
      <c r="Y798" s="339"/>
      <c r="Z798" s="339"/>
    </row>
    <row r="799" spans="1:26" ht="15.75" customHeight="1">
      <c r="A799" s="339"/>
      <c r="B799" s="339"/>
      <c r="C799" s="339"/>
      <c r="D799" s="339"/>
      <c r="E799" s="339"/>
      <c r="F799" s="339"/>
      <c r="G799" s="339"/>
      <c r="H799" s="339"/>
      <c r="I799" s="341"/>
      <c r="J799" s="340"/>
      <c r="K799" s="339"/>
      <c r="L799" s="341"/>
      <c r="M799" s="339"/>
      <c r="N799" s="339"/>
      <c r="O799" s="341"/>
      <c r="P799" s="339"/>
      <c r="Q799" s="341"/>
      <c r="R799" s="339"/>
      <c r="S799" s="341"/>
      <c r="T799" s="339"/>
      <c r="U799" s="339"/>
      <c r="V799" s="339"/>
      <c r="W799" s="339"/>
      <c r="X799" s="339"/>
      <c r="Y799" s="339"/>
      <c r="Z799" s="339"/>
    </row>
    <row r="800" spans="1:26" ht="15.75" customHeight="1">
      <c r="A800" s="339"/>
      <c r="B800" s="339"/>
      <c r="C800" s="339"/>
      <c r="D800" s="339"/>
      <c r="E800" s="339"/>
      <c r="F800" s="339"/>
      <c r="G800" s="339"/>
      <c r="H800" s="339"/>
      <c r="I800" s="341"/>
      <c r="J800" s="340"/>
      <c r="K800" s="339"/>
      <c r="L800" s="341"/>
      <c r="M800" s="339"/>
      <c r="N800" s="339"/>
      <c r="O800" s="341"/>
      <c r="P800" s="339"/>
      <c r="Q800" s="341"/>
      <c r="R800" s="339"/>
      <c r="S800" s="341"/>
      <c r="T800" s="339"/>
      <c r="U800" s="339"/>
      <c r="V800" s="339"/>
      <c r="W800" s="339"/>
      <c r="X800" s="339"/>
      <c r="Y800" s="339"/>
      <c r="Z800" s="339"/>
    </row>
    <row r="801" spans="1:26" ht="15.75" customHeight="1">
      <c r="A801" s="339"/>
      <c r="B801" s="339"/>
      <c r="C801" s="339"/>
      <c r="D801" s="339"/>
      <c r="E801" s="339"/>
      <c r="F801" s="339"/>
      <c r="G801" s="339"/>
      <c r="H801" s="339"/>
      <c r="I801" s="341"/>
      <c r="J801" s="340"/>
      <c r="K801" s="339"/>
      <c r="L801" s="341"/>
      <c r="M801" s="339"/>
      <c r="N801" s="339"/>
      <c r="O801" s="341"/>
      <c r="P801" s="339"/>
      <c r="Q801" s="341"/>
      <c r="R801" s="339"/>
      <c r="S801" s="341"/>
      <c r="T801" s="339"/>
      <c r="U801" s="339"/>
      <c r="V801" s="339"/>
      <c r="W801" s="339"/>
      <c r="X801" s="339"/>
      <c r="Y801" s="339"/>
      <c r="Z801" s="339"/>
    </row>
    <row r="802" spans="1:26" ht="15.75" customHeight="1">
      <c r="A802" s="339"/>
      <c r="B802" s="339"/>
      <c r="C802" s="339"/>
      <c r="D802" s="339"/>
      <c r="E802" s="339"/>
      <c r="F802" s="339"/>
      <c r="G802" s="339"/>
      <c r="H802" s="339"/>
      <c r="I802" s="341"/>
      <c r="J802" s="340"/>
      <c r="K802" s="339"/>
      <c r="L802" s="341"/>
      <c r="M802" s="339"/>
      <c r="N802" s="339"/>
      <c r="O802" s="341"/>
      <c r="P802" s="339"/>
      <c r="Q802" s="341"/>
      <c r="R802" s="339"/>
      <c r="S802" s="341"/>
      <c r="T802" s="339"/>
      <c r="U802" s="339"/>
      <c r="V802" s="339"/>
      <c r="W802" s="339"/>
      <c r="X802" s="339"/>
      <c r="Y802" s="339"/>
      <c r="Z802" s="339"/>
    </row>
    <row r="803" spans="1:26" ht="15.75" customHeight="1">
      <c r="A803" s="339"/>
      <c r="B803" s="339"/>
      <c r="C803" s="339"/>
      <c r="D803" s="339"/>
      <c r="E803" s="339"/>
      <c r="F803" s="339"/>
      <c r="G803" s="339"/>
      <c r="H803" s="339"/>
      <c r="I803" s="341"/>
      <c r="J803" s="340"/>
      <c r="K803" s="339"/>
      <c r="L803" s="341"/>
      <c r="M803" s="339"/>
      <c r="N803" s="339"/>
      <c r="O803" s="341"/>
      <c r="P803" s="339"/>
      <c r="Q803" s="341"/>
      <c r="R803" s="339"/>
      <c r="S803" s="341"/>
      <c r="T803" s="339"/>
      <c r="U803" s="339"/>
      <c r="V803" s="339"/>
      <c r="W803" s="339"/>
      <c r="X803" s="339"/>
      <c r="Y803" s="339"/>
      <c r="Z803" s="339"/>
    </row>
    <row r="804" spans="1:26" ht="15.75" customHeight="1">
      <c r="A804" s="339"/>
      <c r="B804" s="339"/>
      <c r="C804" s="339"/>
      <c r="D804" s="339"/>
      <c r="E804" s="339"/>
      <c r="F804" s="339"/>
      <c r="G804" s="339"/>
      <c r="H804" s="339"/>
      <c r="I804" s="341"/>
      <c r="J804" s="340"/>
      <c r="K804" s="339"/>
      <c r="L804" s="341"/>
      <c r="M804" s="339"/>
      <c r="N804" s="339"/>
      <c r="O804" s="341"/>
      <c r="P804" s="339"/>
      <c r="Q804" s="341"/>
      <c r="R804" s="339"/>
      <c r="S804" s="341"/>
      <c r="T804" s="339"/>
      <c r="U804" s="339"/>
      <c r="V804" s="339"/>
      <c r="W804" s="339"/>
      <c r="X804" s="339"/>
      <c r="Y804" s="339"/>
      <c r="Z804" s="339"/>
    </row>
    <row r="805" spans="1:26" ht="15.75" customHeight="1">
      <c r="A805" s="339"/>
      <c r="B805" s="339"/>
      <c r="C805" s="339"/>
      <c r="D805" s="339"/>
      <c r="E805" s="339"/>
      <c r="F805" s="339"/>
      <c r="G805" s="339"/>
      <c r="H805" s="339"/>
      <c r="I805" s="341"/>
      <c r="J805" s="340"/>
      <c r="K805" s="339"/>
      <c r="L805" s="341"/>
      <c r="M805" s="339"/>
      <c r="N805" s="339"/>
      <c r="O805" s="341"/>
      <c r="P805" s="339"/>
      <c r="Q805" s="341"/>
      <c r="R805" s="339"/>
      <c r="S805" s="341"/>
      <c r="T805" s="339"/>
      <c r="U805" s="339"/>
      <c r="V805" s="339"/>
      <c r="W805" s="339"/>
      <c r="X805" s="339"/>
      <c r="Y805" s="339"/>
      <c r="Z805" s="339"/>
    </row>
    <row r="806" spans="1:26" ht="15.75" customHeight="1">
      <c r="A806" s="339"/>
      <c r="B806" s="339"/>
      <c r="C806" s="339"/>
      <c r="D806" s="339"/>
      <c r="E806" s="339"/>
      <c r="F806" s="339"/>
      <c r="G806" s="339"/>
      <c r="H806" s="339"/>
      <c r="I806" s="341"/>
      <c r="J806" s="340"/>
      <c r="K806" s="339"/>
      <c r="L806" s="341"/>
      <c r="M806" s="339"/>
      <c r="N806" s="339"/>
      <c r="O806" s="341"/>
      <c r="P806" s="339"/>
      <c r="Q806" s="341"/>
      <c r="R806" s="339"/>
      <c r="S806" s="341"/>
      <c r="T806" s="339"/>
      <c r="U806" s="339"/>
      <c r="V806" s="339"/>
      <c r="W806" s="339"/>
      <c r="X806" s="339"/>
      <c r="Y806" s="339"/>
      <c r="Z806" s="339"/>
    </row>
    <row r="807" spans="1:26" ht="15.75" customHeight="1">
      <c r="A807" s="339"/>
      <c r="B807" s="339"/>
      <c r="C807" s="339"/>
      <c r="D807" s="339"/>
      <c r="E807" s="339"/>
      <c r="F807" s="339"/>
      <c r="G807" s="339"/>
      <c r="H807" s="339"/>
      <c r="I807" s="341"/>
      <c r="J807" s="340"/>
      <c r="K807" s="339"/>
      <c r="L807" s="341"/>
      <c r="M807" s="339"/>
      <c r="N807" s="339"/>
      <c r="O807" s="341"/>
      <c r="P807" s="339"/>
      <c r="Q807" s="341"/>
      <c r="R807" s="339"/>
      <c r="S807" s="341"/>
      <c r="T807" s="339"/>
      <c r="U807" s="339"/>
      <c r="V807" s="339"/>
      <c r="W807" s="339"/>
      <c r="X807" s="339"/>
      <c r="Y807" s="339"/>
      <c r="Z807" s="339"/>
    </row>
    <row r="808" spans="1:26" ht="15.75" customHeight="1">
      <c r="A808" s="339"/>
      <c r="B808" s="339"/>
      <c r="C808" s="339"/>
      <c r="D808" s="339"/>
      <c r="E808" s="339"/>
      <c r="F808" s="339"/>
      <c r="G808" s="339"/>
      <c r="H808" s="339"/>
      <c r="I808" s="341"/>
      <c r="J808" s="340"/>
      <c r="K808" s="339"/>
      <c r="L808" s="341"/>
      <c r="M808" s="339"/>
      <c r="N808" s="339"/>
      <c r="O808" s="341"/>
      <c r="P808" s="339"/>
      <c r="Q808" s="341"/>
      <c r="R808" s="339"/>
      <c r="S808" s="341"/>
      <c r="T808" s="339"/>
      <c r="U808" s="339"/>
      <c r="V808" s="339"/>
      <c r="W808" s="339"/>
      <c r="X808" s="339"/>
      <c r="Y808" s="339"/>
      <c r="Z808" s="339"/>
    </row>
    <row r="809" spans="1:26" ht="15.75" customHeight="1">
      <c r="A809" s="339"/>
      <c r="B809" s="339"/>
      <c r="C809" s="339"/>
      <c r="D809" s="339"/>
      <c r="E809" s="339"/>
      <c r="F809" s="339"/>
      <c r="G809" s="339"/>
      <c r="H809" s="339"/>
      <c r="I809" s="341"/>
      <c r="J809" s="340"/>
      <c r="K809" s="339"/>
      <c r="L809" s="341"/>
      <c r="M809" s="339"/>
      <c r="N809" s="339"/>
      <c r="O809" s="341"/>
      <c r="P809" s="339"/>
      <c r="Q809" s="341"/>
      <c r="R809" s="339"/>
      <c r="S809" s="341"/>
      <c r="T809" s="339"/>
      <c r="U809" s="339"/>
      <c r="V809" s="339"/>
      <c r="W809" s="339"/>
      <c r="X809" s="339"/>
      <c r="Y809" s="339"/>
      <c r="Z809" s="339"/>
    </row>
    <row r="810" spans="1:26" ht="15.75" customHeight="1">
      <c r="A810" s="339"/>
      <c r="B810" s="339"/>
      <c r="C810" s="339"/>
      <c r="D810" s="339"/>
      <c r="E810" s="339"/>
      <c r="F810" s="339"/>
      <c r="G810" s="339"/>
      <c r="H810" s="339"/>
      <c r="I810" s="341"/>
      <c r="J810" s="340"/>
      <c r="K810" s="339"/>
      <c r="L810" s="341"/>
      <c r="M810" s="339"/>
      <c r="N810" s="339"/>
      <c r="O810" s="341"/>
      <c r="P810" s="339"/>
      <c r="Q810" s="341"/>
      <c r="R810" s="339"/>
      <c r="S810" s="341"/>
      <c r="T810" s="339"/>
      <c r="U810" s="339"/>
      <c r="V810" s="339"/>
      <c r="W810" s="339"/>
      <c r="X810" s="339"/>
      <c r="Y810" s="339"/>
      <c r="Z810" s="339"/>
    </row>
    <row r="811" spans="1:26" ht="15.75" customHeight="1">
      <c r="A811" s="339"/>
      <c r="B811" s="339"/>
      <c r="C811" s="339"/>
      <c r="D811" s="339"/>
      <c r="E811" s="339"/>
      <c r="F811" s="339"/>
      <c r="G811" s="339"/>
      <c r="H811" s="339"/>
      <c r="I811" s="341"/>
      <c r="J811" s="340"/>
      <c r="K811" s="339"/>
      <c r="L811" s="341"/>
      <c r="M811" s="339"/>
      <c r="N811" s="339"/>
      <c r="O811" s="341"/>
      <c r="P811" s="339"/>
      <c r="Q811" s="341"/>
      <c r="R811" s="339"/>
      <c r="S811" s="341"/>
      <c r="T811" s="339"/>
      <c r="U811" s="339"/>
      <c r="V811" s="339"/>
      <c r="W811" s="339"/>
      <c r="X811" s="339"/>
      <c r="Y811" s="339"/>
      <c r="Z811" s="339"/>
    </row>
    <row r="812" spans="1:26" ht="15.75" customHeight="1">
      <c r="A812" s="339"/>
      <c r="B812" s="339"/>
      <c r="C812" s="339"/>
      <c r="D812" s="339"/>
      <c r="E812" s="339"/>
      <c r="F812" s="339"/>
      <c r="G812" s="339"/>
      <c r="H812" s="339"/>
      <c r="I812" s="341"/>
      <c r="J812" s="340"/>
      <c r="K812" s="339"/>
      <c r="L812" s="341"/>
      <c r="M812" s="339"/>
      <c r="N812" s="339"/>
      <c r="O812" s="341"/>
      <c r="P812" s="339"/>
      <c r="Q812" s="341"/>
      <c r="R812" s="339"/>
      <c r="S812" s="341"/>
      <c r="T812" s="339"/>
      <c r="U812" s="339"/>
      <c r="V812" s="339"/>
      <c r="W812" s="339"/>
      <c r="X812" s="339"/>
      <c r="Y812" s="339"/>
      <c r="Z812" s="339"/>
    </row>
    <row r="813" spans="1:26" ht="15.75" customHeight="1">
      <c r="A813" s="339"/>
      <c r="B813" s="339"/>
      <c r="C813" s="339"/>
      <c r="D813" s="339"/>
      <c r="E813" s="339"/>
      <c r="F813" s="339"/>
      <c r="G813" s="339"/>
      <c r="H813" s="339"/>
      <c r="I813" s="341"/>
      <c r="J813" s="340"/>
      <c r="K813" s="339"/>
      <c r="L813" s="341"/>
      <c r="M813" s="339"/>
      <c r="N813" s="339"/>
      <c r="O813" s="341"/>
      <c r="P813" s="339"/>
      <c r="Q813" s="341"/>
      <c r="R813" s="339"/>
      <c r="S813" s="341"/>
      <c r="T813" s="339"/>
      <c r="U813" s="339"/>
      <c r="V813" s="339"/>
      <c r="W813" s="339"/>
      <c r="X813" s="339"/>
      <c r="Y813" s="339"/>
      <c r="Z813" s="339"/>
    </row>
    <row r="814" spans="1:26" ht="15.75" customHeight="1">
      <c r="A814" s="339"/>
      <c r="B814" s="339"/>
      <c r="C814" s="339"/>
      <c r="D814" s="339"/>
      <c r="E814" s="339"/>
      <c r="F814" s="339"/>
      <c r="G814" s="339"/>
      <c r="H814" s="339"/>
      <c r="I814" s="341"/>
      <c r="J814" s="340"/>
      <c r="K814" s="339"/>
      <c r="L814" s="341"/>
      <c r="M814" s="339"/>
      <c r="N814" s="339"/>
      <c r="O814" s="341"/>
      <c r="P814" s="339"/>
      <c r="Q814" s="341"/>
      <c r="R814" s="339"/>
      <c r="S814" s="341"/>
      <c r="T814" s="339"/>
      <c r="U814" s="339"/>
      <c r="V814" s="339"/>
      <c r="W814" s="339"/>
      <c r="X814" s="339"/>
      <c r="Y814" s="339"/>
      <c r="Z814" s="339"/>
    </row>
    <row r="815" spans="1:26" ht="15.75" customHeight="1">
      <c r="A815" s="339"/>
      <c r="B815" s="339"/>
      <c r="C815" s="339"/>
      <c r="D815" s="339"/>
      <c r="E815" s="339"/>
      <c r="F815" s="339"/>
      <c r="G815" s="339"/>
      <c r="H815" s="339"/>
      <c r="I815" s="341"/>
      <c r="J815" s="340"/>
      <c r="K815" s="339"/>
      <c r="L815" s="341"/>
      <c r="M815" s="339"/>
      <c r="N815" s="339"/>
      <c r="O815" s="341"/>
      <c r="P815" s="339"/>
      <c r="Q815" s="341"/>
      <c r="R815" s="339"/>
      <c r="S815" s="341"/>
      <c r="T815" s="339"/>
      <c r="U815" s="339"/>
      <c r="V815" s="339"/>
      <c r="W815" s="339"/>
      <c r="X815" s="339"/>
      <c r="Y815" s="339"/>
      <c r="Z815" s="339"/>
    </row>
    <row r="816" spans="1:26" ht="15.75" customHeight="1">
      <c r="A816" s="339"/>
      <c r="B816" s="339"/>
      <c r="C816" s="339"/>
      <c r="D816" s="339"/>
      <c r="E816" s="339"/>
      <c r="F816" s="339"/>
      <c r="G816" s="339"/>
      <c r="H816" s="339"/>
      <c r="I816" s="341"/>
      <c r="J816" s="340"/>
      <c r="K816" s="339"/>
      <c r="L816" s="341"/>
      <c r="M816" s="339"/>
      <c r="N816" s="339"/>
      <c r="O816" s="341"/>
      <c r="P816" s="339"/>
      <c r="Q816" s="341"/>
      <c r="R816" s="339"/>
      <c r="S816" s="341"/>
      <c r="T816" s="339"/>
      <c r="U816" s="339"/>
      <c r="V816" s="339"/>
      <c r="W816" s="339"/>
      <c r="X816" s="339"/>
      <c r="Y816" s="339"/>
      <c r="Z816" s="339"/>
    </row>
    <row r="817" spans="1:26" ht="15.75" customHeight="1">
      <c r="A817" s="339"/>
      <c r="B817" s="339"/>
      <c r="C817" s="339"/>
      <c r="D817" s="339"/>
      <c r="E817" s="339"/>
      <c r="F817" s="339"/>
      <c r="G817" s="339"/>
      <c r="H817" s="339"/>
      <c r="I817" s="341"/>
      <c r="J817" s="340"/>
      <c r="K817" s="339"/>
      <c r="L817" s="341"/>
      <c r="M817" s="339"/>
      <c r="N817" s="339"/>
      <c r="O817" s="341"/>
      <c r="P817" s="339"/>
      <c r="Q817" s="341"/>
      <c r="R817" s="339"/>
      <c r="S817" s="341"/>
      <c r="T817" s="339"/>
      <c r="U817" s="339"/>
      <c r="V817" s="339"/>
      <c r="W817" s="339"/>
      <c r="X817" s="339"/>
      <c r="Y817" s="339"/>
      <c r="Z817" s="339"/>
    </row>
    <row r="818" spans="1:26" ht="15.75" customHeight="1">
      <c r="A818" s="339"/>
      <c r="B818" s="339"/>
      <c r="C818" s="339"/>
      <c r="D818" s="339"/>
      <c r="E818" s="339"/>
      <c r="F818" s="339"/>
      <c r="G818" s="339"/>
      <c r="H818" s="339"/>
      <c r="I818" s="341"/>
      <c r="J818" s="340"/>
      <c r="K818" s="339"/>
      <c r="L818" s="341"/>
      <c r="M818" s="339"/>
      <c r="N818" s="339"/>
      <c r="O818" s="341"/>
      <c r="P818" s="339"/>
      <c r="Q818" s="341"/>
      <c r="R818" s="339"/>
      <c r="S818" s="341"/>
      <c r="T818" s="339"/>
      <c r="U818" s="339"/>
      <c r="V818" s="339"/>
      <c r="W818" s="339"/>
      <c r="X818" s="339"/>
      <c r="Y818" s="339"/>
      <c r="Z818" s="339"/>
    </row>
    <row r="819" spans="1:26" ht="15.75" customHeight="1">
      <c r="A819" s="339"/>
      <c r="B819" s="339"/>
      <c r="C819" s="339"/>
      <c r="D819" s="339"/>
      <c r="E819" s="339"/>
      <c r="F819" s="339"/>
      <c r="G819" s="339"/>
      <c r="H819" s="339"/>
      <c r="I819" s="341"/>
      <c r="J819" s="340"/>
      <c r="K819" s="339"/>
      <c r="L819" s="341"/>
      <c r="M819" s="339"/>
      <c r="N819" s="339"/>
      <c r="O819" s="341"/>
      <c r="P819" s="339"/>
      <c r="Q819" s="341"/>
      <c r="R819" s="339"/>
      <c r="S819" s="341"/>
      <c r="T819" s="339"/>
      <c r="U819" s="339"/>
      <c r="V819" s="339"/>
      <c r="W819" s="339"/>
      <c r="X819" s="339"/>
      <c r="Y819" s="339"/>
      <c r="Z819" s="339"/>
    </row>
    <row r="820" spans="1:26" ht="15.75" customHeight="1">
      <c r="A820" s="339"/>
      <c r="B820" s="339"/>
      <c r="C820" s="339"/>
      <c r="D820" s="339"/>
      <c r="E820" s="339"/>
      <c r="F820" s="339"/>
      <c r="G820" s="339"/>
      <c r="H820" s="339"/>
      <c r="I820" s="341"/>
      <c r="J820" s="340"/>
      <c r="K820" s="339"/>
      <c r="L820" s="341"/>
      <c r="M820" s="339"/>
      <c r="N820" s="339"/>
      <c r="O820" s="341"/>
      <c r="P820" s="339"/>
      <c r="Q820" s="341"/>
      <c r="R820" s="339"/>
      <c r="S820" s="341"/>
      <c r="T820" s="339"/>
      <c r="U820" s="339"/>
      <c r="V820" s="339"/>
      <c r="W820" s="339"/>
      <c r="X820" s="339"/>
      <c r="Y820" s="339"/>
      <c r="Z820" s="339"/>
    </row>
    <row r="821" spans="1:26" ht="15.75" customHeight="1">
      <c r="A821" s="339"/>
      <c r="B821" s="339"/>
      <c r="C821" s="339"/>
      <c r="D821" s="339"/>
      <c r="E821" s="339"/>
      <c r="F821" s="339"/>
      <c r="G821" s="339"/>
      <c r="H821" s="339"/>
      <c r="I821" s="341"/>
      <c r="J821" s="340"/>
      <c r="K821" s="339"/>
      <c r="L821" s="341"/>
      <c r="M821" s="339"/>
      <c r="N821" s="339"/>
      <c r="O821" s="341"/>
      <c r="P821" s="339"/>
      <c r="Q821" s="341"/>
      <c r="R821" s="339"/>
      <c r="S821" s="341"/>
      <c r="T821" s="339"/>
      <c r="U821" s="339"/>
      <c r="V821" s="339"/>
      <c r="W821" s="339"/>
      <c r="X821" s="339"/>
      <c r="Y821" s="339"/>
      <c r="Z821" s="339"/>
    </row>
    <row r="822" spans="1:26" ht="15.75" customHeight="1">
      <c r="A822" s="339"/>
      <c r="B822" s="339"/>
      <c r="C822" s="339"/>
      <c r="D822" s="339"/>
      <c r="E822" s="339"/>
      <c r="F822" s="339"/>
      <c r="G822" s="339"/>
      <c r="H822" s="339"/>
      <c r="I822" s="341"/>
      <c r="J822" s="340"/>
      <c r="K822" s="339"/>
      <c r="L822" s="341"/>
      <c r="M822" s="339"/>
      <c r="N822" s="339"/>
      <c r="O822" s="341"/>
      <c r="P822" s="339"/>
      <c r="Q822" s="341"/>
      <c r="R822" s="339"/>
      <c r="S822" s="341"/>
      <c r="T822" s="339"/>
      <c r="U822" s="339"/>
      <c r="V822" s="339"/>
      <c r="W822" s="339"/>
      <c r="X822" s="339"/>
      <c r="Y822" s="339"/>
      <c r="Z822" s="339"/>
    </row>
    <row r="823" spans="1:26" ht="15.75" customHeight="1">
      <c r="A823" s="339"/>
      <c r="B823" s="339"/>
      <c r="C823" s="339"/>
      <c r="D823" s="339"/>
      <c r="E823" s="339"/>
      <c r="F823" s="339"/>
      <c r="G823" s="339"/>
      <c r="H823" s="339"/>
      <c r="I823" s="341"/>
      <c r="J823" s="340"/>
      <c r="K823" s="339"/>
      <c r="L823" s="341"/>
      <c r="M823" s="339"/>
      <c r="N823" s="339"/>
      <c r="O823" s="341"/>
      <c r="P823" s="339"/>
      <c r="Q823" s="341"/>
      <c r="R823" s="339"/>
      <c r="S823" s="341"/>
      <c r="T823" s="339"/>
      <c r="U823" s="339"/>
      <c r="V823" s="339"/>
      <c r="W823" s="339"/>
      <c r="X823" s="339"/>
      <c r="Y823" s="339"/>
      <c r="Z823" s="339"/>
    </row>
    <row r="824" spans="1:26" ht="15.75" customHeight="1">
      <c r="A824" s="339"/>
      <c r="B824" s="339"/>
      <c r="C824" s="339"/>
      <c r="D824" s="339"/>
      <c r="E824" s="339"/>
      <c r="F824" s="339"/>
      <c r="G824" s="339"/>
      <c r="H824" s="339"/>
      <c r="I824" s="341"/>
      <c r="J824" s="340"/>
      <c r="K824" s="339"/>
      <c r="L824" s="341"/>
      <c r="M824" s="339"/>
      <c r="N824" s="339"/>
      <c r="O824" s="341"/>
      <c r="P824" s="339"/>
      <c r="Q824" s="341"/>
      <c r="R824" s="339"/>
      <c r="S824" s="341"/>
      <c r="T824" s="339"/>
      <c r="U824" s="339"/>
      <c r="V824" s="339"/>
      <c r="W824" s="339"/>
      <c r="X824" s="339"/>
      <c r="Y824" s="339"/>
      <c r="Z824" s="339"/>
    </row>
    <row r="825" spans="1:26" ht="15.75" customHeight="1">
      <c r="A825" s="339"/>
      <c r="B825" s="339"/>
      <c r="C825" s="339"/>
      <c r="D825" s="339"/>
      <c r="E825" s="339"/>
      <c r="F825" s="339"/>
      <c r="G825" s="339"/>
      <c r="H825" s="339"/>
      <c r="I825" s="341"/>
      <c r="J825" s="340"/>
      <c r="K825" s="339"/>
      <c r="L825" s="341"/>
      <c r="M825" s="339"/>
      <c r="N825" s="339"/>
      <c r="O825" s="341"/>
      <c r="P825" s="339"/>
      <c r="Q825" s="341"/>
      <c r="R825" s="339"/>
      <c r="S825" s="341"/>
      <c r="T825" s="339"/>
      <c r="U825" s="339"/>
      <c r="V825" s="339"/>
      <c r="W825" s="339"/>
      <c r="X825" s="339"/>
      <c r="Y825" s="339"/>
      <c r="Z825" s="339"/>
    </row>
    <row r="826" spans="1:26" ht="15.75" customHeight="1">
      <c r="A826" s="339"/>
      <c r="B826" s="339"/>
      <c r="C826" s="339"/>
      <c r="D826" s="339"/>
      <c r="E826" s="339"/>
      <c r="F826" s="339"/>
      <c r="G826" s="339"/>
      <c r="H826" s="339"/>
      <c r="I826" s="341"/>
      <c r="J826" s="340"/>
      <c r="K826" s="339"/>
      <c r="L826" s="341"/>
      <c r="M826" s="339"/>
      <c r="N826" s="339"/>
      <c r="O826" s="341"/>
      <c r="P826" s="339"/>
      <c r="Q826" s="341"/>
      <c r="R826" s="339"/>
      <c r="S826" s="341"/>
      <c r="T826" s="339"/>
      <c r="U826" s="339"/>
      <c r="V826" s="339"/>
      <c r="W826" s="339"/>
      <c r="X826" s="339"/>
      <c r="Y826" s="339"/>
      <c r="Z826" s="339"/>
    </row>
    <row r="827" spans="1:26" ht="15.75" customHeight="1">
      <c r="A827" s="339"/>
      <c r="B827" s="339"/>
      <c r="C827" s="339"/>
      <c r="D827" s="339"/>
      <c r="E827" s="339"/>
      <c r="F827" s="339"/>
      <c r="G827" s="339"/>
      <c r="H827" s="339"/>
      <c r="I827" s="341"/>
      <c r="J827" s="340"/>
      <c r="K827" s="339"/>
      <c r="L827" s="341"/>
      <c r="M827" s="339"/>
      <c r="N827" s="339"/>
      <c r="O827" s="341"/>
      <c r="P827" s="339"/>
      <c r="Q827" s="341"/>
      <c r="R827" s="339"/>
      <c r="S827" s="341"/>
      <c r="T827" s="339"/>
      <c r="U827" s="339"/>
      <c r="V827" s="339"/>
      <c r="W827" s="339"/>
      <c r="X827" s="339"/>
      <c r="Y827" s="339"/>
      <c r="Z827" s="339"/>
    </row>
    <row r="828" spans="1:26" ht="15.75" customHeight="1">
      <c r="A828" s="339"/>
      <c r="B828" s="339"/>
      <c r="C828" s="339"/>
      <c r="D828" s="339"/>
      <c r="E828" s="339"/>
      <c r="F828" s="339"/>
      <c r="G828" s="339"/>
      <c r="H828" s="339"/>
      <c r="I828" s="341"/>
      <c r="J828" s="340"/>
      <c r="K828" s="339"/>
      <c r="L828" s="341"/>
      <c r="M828" s="339"/>
      <c r="N828" s="339"/>
      <c r="O828" s="341"/>
      <c r="P828" s="339"/>
      <c r="Q828" s="341"/>
      <c r="R828" s="339"/>
      <c r="S828" s="341"/>
      <c r="T828" s="339"/>
      <c r="U828" s="339"/>
      <c r="V828" s="339"/>
      <c r="W828" s="339"/>
      <c r="X828" s="339"/>
      <c r="Y828" s="339"/>
      <c r="Z828" s="339"/>
    </row>
    <row r="829" spans="1:26" ht="15.75" customHeight="1">
      <c r="A829" s="339"/>
      <c r="B829" s="339"/>
      <c r="C829" s="339"/>
      <c r="D829" s="339"/>
      <c r="E829" s="339"/>
      <c r="F829" s="339"/>
      <c r="G829" s="339"/>
      <c r="H829" s="339"/>
      <c r="I829" s="341"/>
      <c r="J829" s="340"/>
      <c r="K829" s="339"/>
      <c r="L829" s="341"/>
      <c r="M829" s="339"/>
      <c r="N829" s="339"/>
      <c r="O829" s="341"/>
      <c r="P829" s="339"/>
      <c r="Q829" s="341"/>
      <c r="R829" s="339"/>
      <c r="S829" s="341"/>
      <c r="T829" s="339"/>
      <c r="U829" s="339"/>
      <c r="V829" s="339"/>
      <c r="W829" s="339"/>
      <c r="X829" s="339"/>
      <c r="Y829" s="339"/>
      <c r="Z829" s="339"/>
    </row>
    <row r="830" spans="1:26" ht="15.75" customHeight="1">
      <c r="A830" s="339"/>
      <c r="B830" s="339"/>
      <c r="C830" s="339"/>
      <c r="D830" s="339"/>
      <c r="E830" s="339"/>
      <c r="F830" s="339"/>
      <c r="G830" s="339"/>
      <c r="H830" s="339"/>
      <c r="I830" s="341"/>
      <c r="J830" s="340"/>
      <c r="K830" s="339"/>
      <c r="L830" s="341"/>
      <c r="M830" s="339"/>
      <c r="N830" s="339"/>
      <c r="O830" s="341"/>
      <c r="P830" s="339"/>
      <c r="Q830" s="341"/>
      <c r="R830" s="339"/>
      <c r="S830" s="341"/>
      <c r="T830" s="339"/>
      <c r="U830" s="339"/>
      <c r="V830" s="339"/>
      <c r="W830" s="339"/>
      <c r="X830" s="339"/>
      <c r="Y830" s="339"/>
      <c r="Z830" s="339"/>
    </row>
    <row r="831" spans="1:26" ht="15.75" customHeight="1">
      <c r="A831" s="339"/>
      <c r="B831" s="339"/>
      <c r="C831" s="339"/>
      <c r="D831" s="339"/>
      <c r="E831" s="339"/>
      <c r="F831" s="339"/>
      <c r="G831" s="339"/>
      <c r="H831" s="339"/>
      <c r="I831" s="341"/>
      <c r="J831" s="340"/>
      <c r="K831" s="339"/>
      <c r="L831" s="341"/>
      <c r="M831" s="339"/>
      <c r="N831" s="339"/>
      <c r="O831" s="341"/>
      <c r="P831" s="339"/>
      <c r="Q831" s="341"/>
      <c r="R831" s="339"/>
      <c r="S831" s="341"/>
      <c r="T831" s="339"/>
      <c r="U831" s="339"/>
      <c r="V831" s="339"/>
      <c r="W831" s="339"/>
      <c r="X831" s="339"/>
      <c r="Y831" s="339"/>
      <c r="Z831" s="339"/>
    </row>
    <row r="832" spans="1:26" ht="15.75" customHeight="1">
      <c r="A832" s="339"/>
      <c r="B832" s="339"/>
      <c r="C832" s="339"/>
      <c r="D832" s="339"/>
      <c r="E832" s="339"/>
      <c r="F832" s="339"/>
      <c r="G832" s="339"/>
      <c r="H832" s="339"/>
      <c r="I832" s="341"/>
      <c r="J832" s="340"/>
      <c r="K832" s="339"/>
      <c r="L832" s="341"/>
      <c r="M832" s="339"/>
      <c r="N832" s="339"/>
      <c r="O832" s="341"/>
      <c r="P832" s="339"/>
      <c r="Q832" s="341"/>
      <c r="R832" s="339"/>
      <c r="S832" s="341"/>
      <c r="T832" s="339"/>
      <c r="U832" s="339"/>
      <c r="V832" s="339"/>
      <c r="W832" s="339"/>
      <c r="X832" s="339"/>
      <c r="Y832" s="339"/>
      <c r="Z832" s="339"/>
    </row>
    <row r="833" spans="1:26" ht="15.75" customHeight="1">
      <c r="A833" s="339"/>
      <c r="B833" s="339"/>
      <c r="C833" s="339"/>
      <c r="D833" s="339"/>
      <c r="E833" s="339"/>
      <c r="F833" s="339"/>
      <c r="G833" s="339"/>
      <c r="H833" s="339"/>
      <c r="I833" s="341"/>
      <c r="J833" s="340"/>
      <c r="K833" s="339"/>
      <c r="L833" s="341"/>
      <c r="M833" s="339"/>
      <c r="N833" s="339"/>
      <c r="O833" s="341"/>
      <c r="P833" s="339"/>
      <c r="Q833" s="341"/>
      <c r="R833" s="339"/>
      <c r="S833" s="341"/>
      <c r="T833" s="339"/>
      <c r="U833" s="339"/>
      <c r="V833" s="339"/>
      <c r="W833" s="339"/>
      <c r="X833" s="339"/>
      <c r="Y833" s="339"/>
      <c r="Z833" s="339"/>
    </row>
    <row r="834" spans="1:26" ht="15.75" customHeight="1">
      <c r="A834" s="339"/>
      <c r="B834" s="339"/>
      <c r="C834" s="339"/>
      <c r="D834" s="339"/>
      <c r="E834" s="339"/>
      <c r="F834" s="339"/>
      <c r="G834" s="339"/>
      <c r="H834" s="339"/>
      <c r="I834" s="341"/>
      <c r="J834" s="340"/>
      <c r="K834" s="339"/>
      <c r="L834" s="341"/>
      <c r="M834" s="339"/>
      <c r="N834" s="339"/>
      <c r="O834" s="341"/>
      <c r="P834" s="339"/>
      <c r="Q834" s="341"/>
      <c r="R834" s="339"/>
      <c r="S834" s="341"/>
      <c r="T834" s="339"/>
      <c r="U834" s="339"/>
      <c r="V834" s="339"/>
      <c r="W834" s="339"/>
      <c r="X834" s="339"/>
      <c r="Y834" s="339"/>
      <c r="Z834" s="339"/>
    </row>
    <row r="835" spans="1:26" ht="15.75" customHeight="1">
      <c r="A835" s="339"/>
      <c r="B835" s="339"/>
      <c r="C835" s="339"/>
      <c r="D835" s="339"/>
      <c r="E835" s="339"/>
      <c r="F835" s="339"/>
      <c r="G835" s="339"/>
      <c r="H835" s="339"/>
      <c r="I835" s="341"/>
      <c r="J835" s="340"/>
      <c r="K835" s="339"/>
      <c r="L835" s="341"/>
      <c r="M835" s="339"/>
      <c r="N835" s="339"/>
      <c r="O835" s="341"/>
      <c r="P835" s="339"/>
      <c r="Q835" s="341"/>
      <c r="R835" s="339"/>
      <c r="S835" s="341"/>
      <c r="T835" s="339"/>
      <c r="U835" s="339"/>
      <c r="V835" s="339"/>
      <c r="W835" s="339"/>
      <c r="X835" s="339"/>
      <c r="Y835" s="339"/>
      <c r="Z835" s="339"/>
    </row>
    <row r="836" spans="1:26" ht="15.75" customHeight="1">
      <c r="A836" s="339"/>
      <c r="B836" s="339"/>
      <c r="C836" s="339"/>
      <c r="D836" s="339"/>
      <c r="E836" s="339"/>
      <c r="F836" s="339"/>
      <c r="G836" s="339"/>
      <c r="H836" s="339"/>
      <c r="I836" s="341"/>
      <c r="J836" s="340"/>
      <c r="K836" s="339"/>
      <c r="L836" s="341"/>
      <c r="M836" s="339"/>
      <c r="N836" s="339"/>
      <c r="O836" s="341"/>
      <c r="P836" s="339"/>
      <c r="Q836" s="341"/>
      <c r="R836" s="339"/>
      <c r="S836" s="341"/>
      <c r="T836" s="339"/>
      <c r="U836" s="339"/>
      <c r="V836" s="339"/>
      <c r="W836" s="339"/>
      <c r="X836" s="339"/>
      <c r="Y836" s="339"/>
      <c r="Z836" s="339"/>
    </row>
    <row r="837" spans="1:26" ht="15.75" customHeight="1">
      <c r="A837" s="339"/>
      <c r="B837" s="339"/>
      <c r="C837" s="339"/>
      <c r="D837" s="339"/>
      <c r="E837" s="339"/>
      <c r="F837" s="339"/>
      <c r="G837" s="339"/>
      <c r="H837" s="339"/>
      <c r="I837" s="341"/>
      <c r="J837" s="340"/>
      <c r="K837" s="339"/>
      <c r="L837" s="341"/>
      <c r="M837" s="339"/>
      <c r="N837" s="339"/>
      <c r="O837" s="341"/>
      <c r="P837" s="339"/>
      <c r="Q837" s="341"/>
      <c r="R837" s="339"/>
      <c r="S837" s="341"/>
      <c r="T837" s="339"/>
      <c r="U837" s="339"/>
      <c r="V837" s="339"/>
      <c r="W837" s="339"/>
      <c r="X837" s="339"/>
      <c r="Y837" s="339"/>
      <c r="Z837" s="339"/>
    </row>
    <row r="838" spans="1:26" ht="15.75" customHeight="1">
      <c r="A838" s="339"/>
      <c r="B838" s="339"/>
      <c r="C838" s="339"/>
      <c r="D838" s="339"/>
      <c r="E838" s="339"/>
      <c r="F838" s="339"/>
      <c r="G838" s="339"/>
      <c r="H838" s="339"/>
      <c r="I838" s="341"/>
      <c r="J838" s="340"/>
      <c r="K838" s="339"/>
      <c r="L838" s="341"/>
      <c r="M838" s="339"/>
      <c r="N838" s="339"/>
      <c r="O838" s="341"/>
      <c r="P838" s="339"/>
      <c r="Q838" s="341"/>
      <c r="R838" s="339"/>
      <c r="S838" s="341"/>
      <c r="T838" s="339"/>
      <c r="U838" s="339"/>
      <c r="V838" s="339"/>
      <c r="W838" s="339"/>
      <c r="X838" s="339"/>
      <c r="Y838" s="339"/>
      <c r="Z838" s="339"/>
    </row>
    <row r="839" spans="1:26" ht="15.75" customHeight="1">
      <c r="A839" s="339"/>
      <c r="B839" s="339"/>
      <c r="C839" s="339"/>
      <c r="D839" s="339"/>
      <c r="E839" s="339"/>
      <c r="F839" s="339"/>
      <c r="G839" s="339"/>
      <c r="H839" s="339"/>
      <c r="I839" s="341"/>
      <c r="J839" s="340"/>
      <c r="K839" s="339"/>
      <c r="L839" s="341"/>
      <c r="M839" s="339"/>
      <c r="N839" s="339"/>
      <c r="O839" s="341"/>
      <c r="P839" s="339"/>
      <c r="Q839" s="341"/>
      <c r="R839" s="339"/>
      <c r="S839" s="341"/>
      <c r="T839" s="339"/>
      <c r="U839" s="339"/>
      <c r="V839" s="339"/>
      <c r="W839" s="339"/>
      <c r="X839" s="339"/>
      <c r="Y839" s="339"/>
      <c r="Z839" s="339"/>
    </row>
    <row r="840" spans="1:26" ht="15.75" customHeight="1">
      <c r="A840" s="339"/>
      <c r="B840" s="339"/>
      <c r="C840" s="339"/>
      <c r="D840" s="339"/>
      <c r="E840" s="339"/>
      <c r="F840" s="339"/>
      <c r="G840" s="339"/>
      <c r="H840" s="339"/>
      <c r="I840" s="341"/>
      <c r="J840" s="340"/>
      <c r="K840" s="339"/>
      <c r="L840" s="341"/>
      <c r="M840" s="339"/>
      <c r="N840" s="339"/>
      <c r="O840" s="341"/>
      <c r="P840" s="339"/>
      <c r="Q840" s="341"/>
      <c r="R840" s="339"/>
      <c r="S840" s="341"/>
      <c r="T840" s="339"/>
      <c r="U840" s="339"/>
      <c r="V840" s="339"/>
      <c r="W840" s="339"/>
      <c r="X840" s="339"/>
      <c r="Y840" s="339"/>
      <c r="Z840" s="339"/>
    </row>
    <row r="841" spans="1:26" ht="15.75" customHeight="1">
      <c r="A841" s="339"/>
      <c r="B841" s="339"/>
      <c r="C841" s="339"/>
      <c r="D841" s="339"/>
      <c r="E841" s="339"/>
      <c r="F841" s="339"/>
      <c r="G841" s="339"/>
      <c r="H841" s="339"/>
      <c r="I841" s="341"/>
      <c r="J841" s="340"/>
      <c r="K841" s="339"/>
      <c r="L841" s="341"/>
      <c r="M841" s="339"/>
      <c r="N841" s="339"/>
      <c r="O841" s="341"/>
      <c r="P841" s="339"/>
      <c r="Q841" s="341"/>
      <c r="R841" s="339"/>
      <c r="S841" s="341"/>
      <c r="T841" s="339"/>
      <c r="U841" s="339"/>
      <c r="V841" s="339"/>
      <c r="W841" s="339"/>
      <c r="X841" s="339"/>
      <c r="Y841" s="339"/>
      <c r="Z841" s="339"/>
    </row>
    <row r="842" spans="1:26" ht="15.75" customHeight="1">
      <c r="A842" s="339"/>
      <c r="B842" s="339"/>
      <c r="C842" s="339"/>
      <c r="D842" s="339"/>
      <c r="E842" s="339"/>
      <c r="F842" s="339"/>
      <c r="G842" s="339"/>
      <c r="H842" s="339"/>
      <c r="I842" s="341"/>
      <c r="J842" s="340"/>
      <c r="K842" s="339"/>
      <c r="L842" s="341"/>
      <c r="M842" s="339"/>
      <c r="N842" s="339"/>
      <c r="O842" s="341"/>
      <c r="P842" s="339"/>
      <c r="Q842" s="341"/>
      <c r="R842" s="339"/>
      <c r="S842" s="341"/>
      <c r="T842" s="339"/>
      <c r="U842" s="339"/>
      <c r="V842" s="339"/>
      <c r="W842" s="339"/>
      <c r="X842" s="339"/>
      <c r="Y842" s="339"/>
      <c r="Z842" s="339"/>
    </row>
    <row r="843" spans="1:26" ht="15.75" customHeight="1">
      <c r="A843" s="339"/>
      <c r="B843" s="339"/>
      <c r="C843" s="339"/>
      <c r="D843" s="339"/>
      <c r="E843" s="339"/>
      <c r="F843" s="339"/>
      <c r="G843" s="339"/>
      <c r="H843" s="339"/>
      <c r="I843" s="341"/>
      <c r="J843" s="340"/>
      <c r="K843" s="339"/>
      <c r="L843" s="341"/>
      <c r="M843" s="339"/>
      <c r="N843" s="339"/>
      <c r="O843" s="341"/>
      <c r="P843" s="339"/>
      <c r="Q843" s="341"/>
      <c r="R843" s="339"/>
      <c r="S843" s="341"/>
      <c r="T843" s="339"/>
      <c r="U843" s="339"/>
      <c r="V843" s="339"/>
      <c r="W843" s="339"/>
      <c r="X843" s="339"/>
      <c r="Y843" s="339"/>
      <c r="Z843" s="339"/>
    </row>
    <row r="844" spans="1:26" ht="15.75" customHeight="1">
      <c r="A844" s="339"/>
      <c r="B844" s="339"/>
      <c r="C844" s="339"/>
      <c r="D844" s="339"/>
      <c r="E844" s="339"/>
      <c r="F844" s="339"/>
      <c r="G844" s="339"/>
      <c r="H844" s="339"/>
      <c r="I844" s="341"/>
      <c r="J844" s="340"/>
      <c r="K844" s="339"/>
      <c r="L844" s="341"/>
      <c r="M844" s="339"/>
      <c r="N844" s="339"/>
      <c r="O844" s="341"/>
      <c r="P844" s="339"/>
      <c r="Q844" s="341"/>
      <c r="R844" s="339"/>
      <c r="S844" s="341"/>
      <c r="T844" s="339"/>
      <c r="U844" s="339"/>
      <c r="V844" s="339"/>
      <c r="W844" s="339"/>
      <c r="X844" s="339"/>
      <c r="Y844" s="339"/>
      <c r="Z844" s="339"/>
    </row>
    <row r="845" spans="1:26" ht="15.75" customHeight="1">
      <c r="A845" s="339"/>
      <c r="B845" s="339"/>
      <c r="C845" s="339"/>
      <c r="D845" s="339"/>
      <c r="E845" s="339"/>
      <c r="F845" s="339"/>
      <c r="G845" s="339"/>
      <c r="H845" s="339"/>
      <c r="I845" s="341"/>
      <c r="J845" s="340"/>
      <c r="K845" s="339"/>
      <c r="L845" s="341"/>
      <c r="M845" s="339"/>
      <c r="N845" s="339"/>
      <c r="O845" s="341"/>
      <c r="P845" s="339"/>
      <c r="Q845" s="341"/>
      <c r="R845" s="339"/>
      <c r="S845" s="341"/>
      <c r="T845" s="339"/>
      <c r="U845" s="339"/>
      <c r="V845" s="339"/>
      <c r="W845" s="339"/>
      <c r="X845" s="339"/>
      <c r="Y845" s="339"/>
      <c r="Z845" s="339"/>
    </row>
    <row r="846" spans="1:26" ht="15.75" customHeight="1">
      <c r="A846" s="339"/>
      <c r="B846" s="339"/>
      <c r="C846" s="339"/>
      <c r="D846" s="339"/>
      <c r="E846" s="339"/>
      <c r="F846" s="339"/>
      <c r="G846" s="339"/>
      <c r="H846" s="339"/>
      <c r="I846" s="341"/>
      <c r="J846" s="340"/>
      <c r="K846" s="339"/>
      <c r="L846" s="341"/>
      <c r="M846" s="339"/>
      <c r="N846" s="339"/>
      <c r="O846" s="341"/>
      <c r="P846" s="339"/>
      <c r="Q846" s="341"/>
      <c r="R846" s="339"/>
      <c r="S846" s="341"/>
      <c r="T846" s="339"/>
      <c r="U846" s="339"/>
      <c r="V846" s="339"/>
      <c r="W846" s="339"/>
      <c r="X846" s="339"/>
      <c r="Y846" s="339"/>
      <c r="Z846" s="339"/>
    </row>
    <row r="847" spans="1:26" ht="15.75" customHeight="1">
      <c r="A847" s="339"/>
      <c r="B847" s="339"/>
      <c r="C847" s="339"/>
      <c r="D847" s="339"/>
      <c r="E847" s="339"/>
      <c r="F847" s="339"/>
      <c r="G847" s="339"/>
      <c r="H847" s="339"/>
      <c r="I847" s="341"/>
      <c r="J847" s="340"/>
      <c r="K847" s="339"/>
      <c r="L847" s="341"/>
      <c r="M847" s="339"/>
      <c r="N847" s="339"/>
      <c r="O847" s="341"/>
      <c r="P847" s="339"/>
      <c r="Q847" s="341"/>
      <c r="R847" s="339"/>
      <c r="S847" s="341"/>
      <c r="T847" s="339"/>
      <c r="U847" s="339"/>
      <c r="V847" s="339"/>
      <c r="W847" s="339"/>
      <c r="X847" s="339"/>
      <c r="Y847" s="339"/>
      <c r="Z847" s="339"/>
    </row>
    <row r="848" spans="1:26" ht="15.75" customHeight="1">
      <c r="A848" s="339"/>
      <c r="B848" s="339"/>
      <c r="C848" s="339"/>
      <c r="D848" s="339"/>
      <c r="E848" s="339"/>
      <c r="F848" s="339"/>
      <c r="G848" s="339"/>
      <c r="H848" s="339"/>
      <c r="I848" s="341"/>
      <c r="J848" s="340"/>
      <c r="K848" s="339"/>
      <c r="L848" s="341"/>
      <c r="M848" s="339"/>
      <c r="N848" s="339"/>
      <c r="O848" s="341"/>
      <c r="P848" s="339"/>
      <c r="Q848" s="341"/>
      <c r="R848" s="339"/>
      <c r="S848" s="341"/>
      <c r="T848" s="339"/>
      <c r="U848" s="339"/>
      <c r="V848" s="339"/>
      <c r="W848" s="339"/>
      <c r="X848" s="339"/>
      <c r="Y848" s="339"/>
      <c r="Z848" s="339"/>
    </row>
    <row r="849" spans="1:26" ht="15.75" customHeight="1">
      <c r="A849" s="339"/>
      <c r="B849" s="339"/>
      <c r="C849" s="339"/>
      <c r="D849" s="339"/>
      <c r="E849" s="339"/>
      <c r="F849" s="339"/>
      <c r="G849" s="339"/>
      <c r="H849" s="339"/>
      <c r="I849" s="341"/>
      <c r="J849" s="340"/>
      <c r="K849" s="339"/>
      <c r="L849" s="341"/>
      <c r="M849" s="339"/>
      <c r="N849" s="339"/>
      <c r="O849" s="341"/>
      <c r="P849" s="339"/>
      <c r="Q849" s="341"/>
      <c r="R849" s="339"/>
      <c r="S849" s="341"/>
      <c r="T849" s="339"/>
      <c r="U849" s="339"/>
      <c r="V849" s="339"/>
      <c r="W849" s="339"/>
      <c r="X849" s="339"/>
      <c r="Y849" s="339"/>
      <c r="Z849" s="339"/>
    </row>
    <row r="850" spans="1:26" ht="15.75" customHeight="1">
      <c r="A850" s="339"/>
      <c r="B850" s="339"/>
      <c r="C850" s="339"/>
      <c r="D850" s="339"/>
      <c r="E850" s="339"/>
      <c r="F850" s="339"/>
      <c r="G850" s="339"/>
      <c r="H850" s="339"/>
      <c r="I850" s="341"/>
      <c r="J850" s="340"/>
      <c r="K850" s="339"/>
      <c r="L850" s="341"/>
      <c r="M850" s="339"/>
      <c r="N850" s="339"/>
      <c r="O850" s="341"/>
      <c r="P850" s="339"/>
      <c r="Q850" s="341"/>
      <c r="R850" s="339"/>
      <c r="S850" s="341"/>
      <c r="T850" s="339"/>
      <c r="U850" s="339"/>
      <c r="V850" s="339"/>
      <c r="W850" s="339"/>
      <c r="X850" s="339"/>
      <c r="Y850" s="339"/>
      <c r="Z850" s="339"/>
    </row>
    <row r="851" spans="1:26" ht="15.75" customHeight="1">
      <c r="A851" s="339"/>
      <c r="B851" s="339"/>
      <c r="C851" s="339"/>
      <c r="D851" s="339"/>
      <c r="E851" s="339"/>
      <c r="F851" s="339"/>
      <c r="G851" s="339"/>
      <c r="H851" s="339"/>
      <c r="I851" s="341"/>
      <c r="J851" s="340"/>
      <c r="K851" s="339"/>
      <c r="L851" s="341"/>
      <c r="M851" s="339"/>
      <c r="N851" s="339"/>
      <c r="O851" s="341"/>
      <c r="P851" s="339"/>
      <c r="Q851" s="341"/>
      <c r="R851" s="339"/>
      <c r="S851" s="341"/>
      <c r="T851" s="339"/>
      <c r="U851" s="339"/>
      <c r="V851" s="339"/>
      <c r="W851" s="339"/>
      <c r="X851" s="339"/>
      <c r="Y851" s="339"/>
      <c r="Z851" s="339"/>
    </row>
    <row r="852" spans="1:26" ht="15.75" customHeight="1">
      <c r="A852" s="339"/>
      <c r="B852" s="339"/>
      <c r="C852" s="339"/>
      <c r="D852" s="339"/>
      <c r="E852" s="339"/>
      <c r="F852" s="339"/>
      <c r="G852" s="339"/>
      <c r="H852" s="339"/>
      <c r="I852" s="341"/>
      <c r="J852" s="340"/>
      <c r="K852" s="339"/>
      <c r="L852" s="341"/>
      <c r="M852" s="339"/>
      <c r="N852" s="339"/>
      <c r="O852" s="341"/>
      <c r="P852" s="339"/>
      <c r="Q852" s="341"/>
      <c r="R852" s="339"/>
      <c r="S852" s="341"/>
      <c r="T852" s="339"/>
      <c r="U852" s="339"/>
      <c r="V852" s="339"/>
      <c r="W852" s="339"/>
      <c r="X852" s="339"/>
      <c r="Y852" s="339"/>
      <c r="Z852" s="339"/>
    </row>
    <row r="853" spans="1:26" ht="15.75" customHeight="1">
      <c r="A853" s="339"/>
      <c r="B853" s="339"/>
      <c r="C853" s="339"/>
      <c r="D853" s="339"/>
      <c r="E853" s="339"/>
      <c r="F853" s="339"/>
      <c r="G853" s="339"/>
      <c r="H853" s="339"/>
      <c r="I853" s="341"/>
      <c r="J853" s="340"/>
      <c r="K853" s="339"/>
      <c r="L853" s="341"/>
      <c r="M853" s="339"/>
      <c r="N853" s="339"/>
      <c r="O853" s="341"/>
      <c r="P853" s="339"/>
      <c r="Q853" s="341"/>
      <c r="R853" s="339"/>
      <c r="S853" s="341"/>
      <c r="T853" s="339"/>
      <c r="U853" s="339"/>
      <c r="V853" s="339"/>
      <c r="W853" s="339"/>
      <c r="X853" s="339"/>
      <c r="Y853" s="339"/>
      <c r="Z853" s="339"/>
    </row>
    <row r="854" spans="1:26" ht="15.75" customHeight="1">
      <c r="A854" s="339"/>
      <c r="B854" s="339"/>
      <c r="C854" s="339"/>
      <c r="D854" s="339"/>
      <c r="E854" s="339"/>
      <c r="F854" s="339"/>
      <c r="G854" s="339"/>
      <c r="H854" s="339"/>
      <c r="I854" s="341"/>
      <c r="J854" s="340"/>
      <c r="K854" s="339"/>
      <c r="L854" s="341"/>
      <c r="M854" s="339"/>
      <c r="N854" s="339"/>
      <c r="O854" s="341"/>
      <c r="P854" s="339"/>
      <c r="Q854" s="341"/>
      <c r="R854" s="339"/>
      <c r="S854" s="341"/>
      <c r="T854" s="339"/>
      <c r="U854" s="339"/>
      <c r="V854" s="339"/>
      <c r="W854" s="339"/>
      <c r="X854" s="339"/>
      <c r="Y854" s="339"/>
      <c r="Z854" s="339"/>
    </row>
    <row r="855" spans="1:26" ht="15.75" customHeight="1">
      <c r="A855" s="339"/>
      <c r="B855" s="339"/>
      <c r="C855" s="339"/>
      <c r="D855" s="339"/>
      <c r="E855" s="339"/>
      <c r="F855" s="339"/>
      <c r="G855" s="339"/>
      <c r="H855" s="339"/>
      <c r="I855" s="341"/>
      <c r="J855" s="340"/>
      <c r="K855" s="339"/>
      <c r="L855" s="341"/>
      <c r="M855" s="339"/>
      <c r="N855" s="339"/>
      <c r="O855" s="341"/>
      <c r="P855" s="339"/>
      <c r="Q855" s="341"/>
      <c r="R855" s="339"/>
      <c r="S855" s="341"/>
      <c r="T855" s="339"/>
      <c r="U855" s="339"/>
      <c r="V855" s="339"/>
      <c r="W855" s="339"/>
      <c r="X855" s="339"/>
      <c r="Y855" s="339"/>
      <c r="Z855" s="339"/>
    </row>
    <row r="856" spans="1:26" ht="15.75" customHeight="1">
      <c r="A856" s="339"/>
      <c r="B856" s="339"/>
      <c r="C856" s="339"/>
      <c r="D856" s="339"/>
      <c r="E856" s="339"/>
      <c r="F856" s="339"/>
      <c r="G856" s="339"/>
      <c r="H856" s="339"/>
      <c r="I856" s="341"/>
      <c r="J856" s="340"/>
      <c r="K856" s="339"/>
      <c r="L856" s="341"/>
      <c r="M856" s="339"/>
      <c r="N856" s="339"/>
      <c r="O856" s="341"/>
      <c r="P856" s="339"/>
      <c r="Q856" s="341"/>
      <c r="R856" s="339"/>
      <c r="S856" s="341"/>
      <c r="T856" s="339"/>
      <c r="U856" s="339"/>
      <c r="V856" s="339"/>
      <c r="W856" s="339"/>
      <c r="X856" s="339"/>
      <c r="Y856" s="339"/>
      <c r="Z856" s="339"/>
    </row>
    <row r="857" spans="1:26" ht="15.75" customHeight="1">
      <c r="A857" s="339"/>
      <c r="B857" s="339"/>
      <c r="C857" s="339"/>
      <c r="D857" s="339"/>
      <c r="E857" s="339"/>
      <c r="F857" s="339"/>
      <c r="G857" s="339"/>
      <c r="H857" s="339"/>
      <c r="I857" s="341"/>
      <c r="J857" s="340"/>
      <c r="K857" s="339"/>
      <c r="L857" s="341"/>
      <c r="M857" s="339"/>
      <c r="N857" s="339"/>
      <c r="O857" s="341"/>
      <c r="P857" s="339"/>
      <c r="Q857" s="341"/>
      <c r="R857" s="339"/>
      <c r="S857" s="341"/>
      <c r="T857" s="339"/>
      <c r="U857" s="339"/>
      <c r="V857" s="339"/>
      <c r="W857" s="339"/>
      <c r="X857" s="339"/>
      <c r="Y857" s="339"/>
      <c r="Z857" s="339"/>
    </row>
    <row r="858" spans="1:26" ht="15.75" customHeight="1">
      <c r="A858" s="339"/>
      <c r="B858" s="339"/>
      <c r="C858" s="339"/>
      <c r="D858" s="339"/>
      <c r="E858" s="339"/>
      <c r="F858" s="339"/>
      <c r="G858" s="339"/>
      <c r="H858" s="339"/>
      <c r="I858" s="341"/>
      <c r="J858" s="340"/>
      <c r="K858" s="339"/>
      <c r="L858" s="341"/>
      <c r="M858" s="339"/>
      <c r="N858" s="339"/>
      <c r="O858" s="341"/>
      <c r="P858" s="339"/>
      <c r="Q858" s="341"/>
      <c r="R858" s="339"/>
      <c r="S858" s="341"/>
      <c r="T858" s="339"/>
      <c r="U858" s="339"/>
      <c r="V858" s="339"/>
      <c r="W858" s="339"/>
      <c r="X858" s="339"/>
      <c r="Y858" s="339"/>
      <c r="Z858" s="339"/>
    </row>
    <row r="859" spans="1:26" ht="15.75" customHeight="1">
      <c r="A859" s="339"/>
      <c r="B859" s="339"/>
      <c r="C859" s="339"/>
      <c r="D859" s="339"/>
      <c r="E859" s="339"/>
      <c r="F859" s="339"/>
      <c r="G859" s="339"/>
      <c r="H859" s="339"/>
      <c r="I859" s="341"/>
      <c r="J859" s="340"/>
      <c r="K859" s="339"/>
      <c r="L859" s="341"/>
      <c r="M859" s="339"/>
      <c r="N859" s="339"/>
      <c r="O859" s="341"/>
      <c r="P859" s="339"/>
      <c r="Q859" s="341"/>
      <c r="R859" s="339"/>
      <c r="S859" s="341"/>
      <c r="T859" s="339"/>
      <c r="U859" s="339"/>
      <c r="V859" s="339"/>
      <c r="W859" s="339"/>
      <c r="X859" s="339"/>
      <c r="Y859" s="339"/>
      <c r="Z859" s="339"/>
    </row>
    <row r="860" spans="1:26" ht="15.75" customHeight="1">
      <c r="A860" s="339"/>
      <c r="B860" s="339"/>
      <c r="C860" s="339"/>
      <c r="D860" s="339"/>
      <c r="E860" s="339"/>
      <c r="F860" s="339"/>
      <c r="G860" s="339"/>
      <c r="H860" s="339"/>
      <c r="I860" s="341"/>
      <c r="J860" s="340"/>
      <c r="K860" s="339"/>
      <c r="L860" s="341"/>
      <c r="M860" s="339"/>
      <c r="N860" s="339"/>
      <c r="O860" s="341"/>
      <c r="P860" s="339"/>
      <c r="Q860" s="341"/>
      <c r="R860" s="339"/>
      <c r="S860" s="341"/>
      <c r="T860" s="339"/>
      <c r="U860" s="339"/>
      <c r="V860" s="339"/>
      <c r="W860" s="339"/>
      <c r="X860" s="339"/>
      <c r="Y860" s="339"/>
      <c r="Z860" s="339"/>
    </row>
    <row r="861" spans="1:26" ht="15.75" customHeight="1">
      <c r="A861" s="339"/>
      <c r="B861" s="339"/>
      <c r="C861" s="339"/>
      <c r="D861" s="339"/>
      <c r="E861" s="339"/>
      <c r="F861" s="339"/>
      <c r="G861" s="339"/>
      <c r="H861" s="339"/>
      <c r="I861" s="341"/>
      <c r="J861" s="340"/>
      <c r="K861" s="339"/>
      <c r="L861" s="341"/>
      <c r="M861" s="339"/>
      <c r="N861" s="339"/>
      <c r="O861" s="341"/>
      <c r="P861" s="339"/>
      <c r="Q861" s="341"/>
      <c r="R861" s="339"/>
      <c r="S861" s="341"/>
      <c r="T861" s="339"/>
      <c r="U861" s="339"/>
      <c r="V861" s="339"/>
      <c r="W861" s="339"/>
      <c r="X861" s="339"/>
      <c r="Y861" s="339"/>
      <c r="Z861" s="339"/>
    </row>
    <row r="862" spans="1:26" ht="15.75" customHeight="1">
      <c r="A862" s="339"/>
      <c r="B862" s="339"/>
      <c r="C862" s="339"/>
      <c r="D862" s="339"/>
      <c r="E862" s="339"/>
      <c r="F862" s="339"/>
      <c r="G862" s="339"/>
      <c r="H862" s="339"/>
      <c r="I862" s="341"/>
      <c r="J862" s="340"/>
      <c r="K862" s="339"/>
      <c r="L862" s="341"/>
      <c r="M862" s="339"/>
      <c r="N862" s="339"/>
      <c r="O862" s="341"/>
      <c r="P862" s="339"/>
      <c r="Q862" s="341"/>
      <c r="R862" s="339"/>
      <c r="S862" s="341"/>
      <c r="T862" s="339"/>
      <c r="U862" s="339"/>
      <c r="V862" s="339"/>
      <c r="W862" s="339"/>
      <c r="X862" s="339"/>
      <c r="Y862" s="339"/>
      <c r="Z862" s="339"/>
    </row>
    <row r="863" spans="1:26" ht="15.75" customHeight="1">
      <c r="A863" s="339"/>
      <c r="B863" s="339"/>
      <c r="C863" s="339"/>
      <c r="D863" s="339"/>
      <c r="E863" s="339"/>
      <c r="F863" s="339"/>
      <c r="G863" s="339"/>
      <c r="H863" s="339"/>
      <c r="I863" s="341"/>
      <c r="J863" s="340"/>
      <c r="K863" s="339"/>
      <c r="L863" s="341"/>
      <c r="M863" s="339"/>
      <c r="N863" s="339"/>
      <c r="O863" s="341"/>
      <c r="P863" s="339"/>
      <c r="Q863" s="341"/>
      <c r="R863" s="339"/>
      <c r="S863" s="341"/>
      <c r="T863" s="339"/>
      <c r="U863" s="339"/>
      <c r="V863" s="339"/>
      <c r="W863" s="339"/>
      <c r="X863" s="339"/>
      <c r="Y863" s="339"/>
      <c r="Z863" s="339"/>
    </row>
    <row r="864" spans="1:26" ht="15.75" customHeight="1">
      <c r="A864" s="339"/>
      <c r="B864" s="339"/>
      <c r="C864" s="339"/>
      <c r="D864" s="339"/>
      <c r="E864" s="339"/>
      <c r="F864" s="339"/>
      <c r="G864" s="339"/>
      <c r="H864" s="339"/>
      <c r="I864" s="341"/>
      <c r="J864" s="340"/>
      <c r="K864" s="339"/>
      <c r="L864" s="341"/>
      <c r="M864" s="339"/>
      <c r="N864" s="339"/>
      <c r="O864" s="341"/>
      <c r="P864" s="339"/>
      <c r="Q864" s="341"/>
      <c r="R864" s="339"/>
      <c r="S864" s="341"/>
      <c r="T864" s="339"/>
      <c r="U864" s="339"/>
      <c r="V864" s="339"/>
      <c r="W864" s="339"/>
      <c r="X864" s="339"/>
      <c r="Y864" s="339"/>
      <c r="Z864" s="339"/>
    </row>
    <row r="865" spans="1:26" ht="15.75" customHeight="1">
      <c r="A865" s="339"/>
      <c r="B865" s="339"/>
      <c r="C865" s="339"/>
      <c r="D865" s="339"/>
      <c r="E865" s="339"/>
      <c r="F865" s="339"/>
      <c r="G865" s="339"/>
      <c r="H865" s="339"/>
      <c r="I865" s="341"/>
      <c r="J865" s="340"/>
      <c r="K865" s="339"/>
      <c r="L865" s="341"/>
      <c r="M865" s="339"/>
      <c r="N865" s="339"/>
      <c r="O865" s="341"/>
      <c r="P865" s="339"/>
      <c r="Q865" s="341"/>
      <c r="R865" s="339"/>
      <c r="S865" s="341"/>
      <c r="T865" s="339"/>
      <c r="U865" s="339"/>
      <c r="V865" s="339"/>
      <c r="W865" s="339"/>
      <c r="X865" s="339"/>
      <c r="Y865" s="339"/>
      <c r="Z865" s="339"/>
    </row>
    <row r="866" spans="1:26" ht="15.75" customHeight="1">
      <c r="A866" s="339"/>
      <c r="B866" s="339"/>
      <c r="C866" s="339"/>
      <c r="D866" s="339"/>
      <c r="E866" s="339"/>
      <c r="F866" s="339"/>
      <c r="G866" s="339"/>
      <c r="H866" s="339"/>
      <c r="I866" s="341"/>
      <c r="J866" s="340"/>
      <c r="K866" s="339"/>
      <c r="L866" s="341"/>
      <c r="M866" s="339"/>
      <c r="N866" s="339"/>
      <c r="O866" s="341"/>
      <c r="P866" s="339"/>
      <c r="Q866" s="341"/>
      <c r="R866" s="339"/>
      <c r="S866" s="341"/>
      <c r="T866" s="339"/>
      <c r="U866" s="339"/>
      <c r="V866" s="339"/>
      <c r="W866" s="339"/>
      <c r="X866" s="339"/>
      <c r="Y866" s="339"/>
      <c r="Z866" s="339"/>
    </row>
    <row r="867" spans="1:26" ht="15.75" customHeight="1">
      <c r="A867" s="339"/>
      <c r="B867" s="339"/>
      <c r="C867" s="339"/>
      <c r="D867" s="339"/>
      <c r="E867" s="339"/>
      <c r="F867" s="339"/>
      <c r="G867" s="339"/>
      <c r="H867" s="339"/>
      <c r="I867" s="341"/>
      <c r="J867" s="340"/>
      <c r="K867" s="339"/>
      <c r="L867" s="341"/>
      <c r="M867" s="339"/>
      <c r="N867" s="339"/>
      <c r="O867" s="341"/>
      <c r="P867" s="339"/>
      <c r="Q867" s="341"/>
      <c r="R867" s="339"/>
      <c r="S867" s="341"/>
      <c r="T867" s="339"/>
      <c r="U867" s="339"/>
      <c r="V867" s="339"/>
      <c r="W867" s="339"/>
      <c r="X867" s="339"/>
      <c r="Y867" s="339"/>
      <c r="Z867" s="339"/>
    </row>
    <row r="868" spans="1:26" ht="15.75" customHeight="1">
      <c r="A868" s="339"/>
      <c r="B868" s="339"/>
      <c r="C868" s="339"/>
      <c r="D868" s="339"/>
      <c r="E868" s="339"/>
      <c r="F868" s="339"/>
      <c r="G868" s="339"/>
      <c r="H868" s="339"/>
      <c r="I868" s="341"/>
      <c r="J868" s="340"/>
      <c r="K868" s="339"/>
      <c r="L868" s="341"/>
      <c r="M868" s="339"/>
      <c r="N868" s="339"/>
      <c r="O868" s="341"/>
      <c r="P868" s="339"/>
      <c r="Q868" s="341"/>
      <c r="R868" s="339"/>
      <c r="S868" s="341"/>
      <c r="T868" s="339"/>
      <c r="U868" s="339"/>
      <c r="V868" s="339"/>
      <c r="W868" s="339"/>
      <c r="X868" s="339"/>
      <c r="Y868" s="339"/>
      <c r="Z868" s="339"/>
    </row>
    <row r="869" spans="1:26" ht="15.75" customHeight="1">
      <c r="A869" s="339"/>
      <c r="B869" s="339"/>
      <c r="C869" s="339"/>
      <c r="D869" s="339"/>
      <c r="E869" s="339"/>
      <c r="F869" s="339"/>
      <c r="G869" s="339"/>
      <c r="H869" s="339"/>
      <c r="I869" s="341"/>
      <c r="J869" s="340"/>
      <c r="K869" s="339"/>
      <c r="L869" s="341"/>
      <c r="M869" s="339"/>
      <c r="N869" s="339"/>
      <c r="O869" s="341"/>
      <c r="P869" s="339"/>
      <c r="Q869" s="341"/>
      <c r="R869" s="339"/>
      <c r="S869" s="341"/>
      <c r="T869" s="339"/>
      <c r="U869" s="339"/>
      <c r="V869" s="339"/>
      <c r="W869" s="339"/>
      <c r="X869" s="339"/>
      <c r="Y869" s="339"/>
      <c r="Z869" s="339"/>
    </row>
    <row r="870" spans="1:26" ht="15.75" customHeight="1">
      <c r="A870" s="339"/>
      <c r="B870" s="339"/>
      <c r="C870" s="339"/>
      <c r="D870" s="339"/>
      <c r="E870" s="339"/>
      <c r="F870" s="339"/>
      <c r="G870" s="339"/>
      <c r="H870" s="339"/>
      <c r="I870" s="341"/>
      <c r="J870" s="340"/>
      <c r="K870" s="339"/>
      <c r="L870" s="341"/>
      <c r="M870" s="339"/>
      <c r="N870" s="339"/>
      <c r="O870" s="341"/>
      <c r="P870" s="339"/>
      <c r="Q870" s="341"/>
      <c r="R870" s="339"/>
      <c r="S870" s="341"/>
      <c r="T870" s="339"/>
      <c r="U870" s="339"/>
      <c r="V870" s="339"/>
      <c r="W870" s="339"/>
      <c r="X870" s="339"/>
      <c r="Y870" s="339"/>
      <c r="Z870" s="339"/>
    </row>
    <row r="871" spans="1:26" ht="15.75" customHeight="1">
      <c r="A871" s="339"/>
      <c r="B871" s="339"/>
      <c r="C871" s="339"/>
      <c r="D871" s="339"/>
      <c r="E871" s="339"/>
      <c r="F871" s="339"/>
      <c r="G871" s="339"/>
      <c r="H871" s="339"/>
      <c r="I871" s="341"/>
      <c r="J871" s="340"/>
      <c r="K871" s="339"/>
      <c r="L871" s="341"/>
      <c r="M871" s="339"/>
      <c r="N871" s="339"/>
      <c r="O871" s="341"/>
      <c r="P871" s="339"/>
      <c r="Q871" s="341"/>
      <c r="R871" s="339"/>
      <c r="S871" s="341"/>
      <c r="T871" s="339"/>
      <c r="U871" s="339"/>
      <c r="V871" s="339"/>
      <c r="W871" s="339"/>
      <c r="X871" s="339"/>
      <c r="Y871" s="339"/>
      <c r="Z871" s="339"/>
    </row>
    <row r="872" spans="1:26" ht="15.75" customHeight="1">
      <c r="A872" s="339"/>
      <c r="B872" s="339"/>
      <c r="C872" s="339"/>
      <c r="D872" s="339"/>
      <c r="E872" s="339"/>
      <c r="F872" s="339"/>
      <c r="G872" s="339"/>
      <c r="H872" s="339"/>
      <c r="I872" s="341"/>
      <c r="J872" s="340"/>
      <c r="K872" s="339"/>
      <c r="L872" s="341"/>
      <c r="M872" s="339"/>
      <c r="N872" s="339"/>
      <c r="O872" s="341"/>
      <c r="P872" s="339"/>
      <c r="Q872" s="341"/>
      <c r="R872" s="339"/>
      <c r="S872" s="341"/>
      <c r="T872" s="339"/>
      <c r="U872" s="339"/>
      <c r="V872" s="339"/>
      <c r="W872" s="339"/>
      <c r="X872" s="339"/>
      <c r="Y872" s="339"/>
      <c r="Z872" s="339"/>
    </row>
    <row r="873" spans="1:26" ht="15.75" customHeight="1">
      <c r="A873" s="339"/>
      <c r="B873" s="339"/>
      <c r="C873" s="339"/>
      <c r="D873" s="339"/>
      <c r="E873" s="339"/>
      <c r="F873" s="339"/>
      <c r="G873" s="339"/>
      <c r="H873" s="339"/>
      <c r="I873" s="341"/>
      <c r="J873" s="340"/>
      <c r="K873" s="339"/>
      <c r="L873" s="341"/>
      <c r="M873" s="339"/>
      <c r="N873" s="339"/>
      <c r="O873" s="341"/>
      <c r="P873" s="339"/>
      <c r="Q873" s="341"/>
      <c r="R873" s="339"/>
      <c r="S873" s="341"/>
      <c r="T873" s="339"/>
      <c r="U873" s="339"/>
      <c r="V873" s="339"/>
      <c r="W873" s="339"/>
      <c r="X873" s="339"/>
      <c r="Y873" s="339"/>
      <c r="Z873" s="339"/>
    </row>
    <row r="874" spans="1:26" ht="15.75" customHeight="1">
      <c r="A874" s="339"/>
      <c r="B874" s="339"/>
      <c r="C874" s="339"/>
      <c r="D874" s="339"/>
      <c r="E874" s="339"/>
      <c r="F874" s="339"/>
      <c r="G874" s="339"/>
      <c r="H874" s="339"/>
      <c r="I874" s="341"/>
      <c r="J874" s="340"/>
      <c r="K874" s="339"/>
      <c r="L874" s="341"/>
      <c r="M874" s="339"/>
      <c r="N874" s="339"/>
      <c r="O874" s="341"/>
      <c r="P874" s="339"/>
      <c r="Q874" s="341"/>
      <c r="R874" s="339"/>
      <c r="S874" s="341"/>
      <c r="T874" s="339"/>
      <c r="U874" s="339"/>
      <c r="V874" s="339"/>
      <c r="W874" s="339"/>
      <c r="X874" s="339"/>
      <c r="Y874" s="339"/>
      <c r="Z874" s="339"/>
    </row>
    <row r="875" spans="1:26" ht="15.75" customHeight="1">
      <c r="A875" s="339"/>
      <c r="B875" s="339"/>
      <c r="C875" s="339"/>
      <c r="D875" s="339"/>
      <c r="E875" s="339"/>
      <c r="F875" s="339"/>
      <c r="G875" s="339"/>
      <c r="H875" s="339"/>
      <c r="I875" s="341"/>
      <c r="J875" s="340"/>
      <c r="K875" s="339"/>
      <c r="L875" s="341"/>
      <c r="M875" s="339"/>
      <c r="N875" s="339"/>
      <c r="O875" s="341"/>
      <c r="P875" s="339"/>
      <c r="Q875" s="341"/>
      <c r="R875" s="339"/>
      <c r="S875" s="341"/>
      <c r="T875" s="339"/>
      <c r="U875" s="339"/>
      <c r="V875" s="339"/>
      <c r="W875" s="339"/>
      <c r="X875" s="339"/>
      <c r="Y875" s="339"/>
      <c r="Z875" s="339"/>
    </row>
    <row r="876" spans="1:26" ht="15.75" customHeight="1">
      <c r="A876" s="339"/>
      <c r="B876" s="339"/>
      <c r="C876" s="339"/>
      <c r="D876" s="339"/>
      <c r="E876" s="339"/>
      <c r="F876" s="339"/>
      <c r="G876" s="339"/>
      <c r="H876" s="339"/>
      <c r="I876" s="341"/>
      <c r="J876" s="340"/>
      <c r="K876" s="339"/>
      <c r="L876" s="341"/>
      <c r="M876" s="339"/>
      <c r="N876" s="339"/>
      <c r="O876" s="341"/>
      <c r="P876" s="339"/>
      <c r="Q876" s="341"/>
      <c r="R876" s="339"/>
      <c r="S876" s="341"/>
      <c r="T876" s="339"/>
      <c r="U876" s="339"/>
      <c r="V876" s="339"/>
      <c r="W876" s="339"/>
      <c r="X876" s="339"/>
      <c r="Y876" s="339"/>
      <c r="Z876" s="339"/>
    </row>
    <row r="877" spans="1:26" ht="15.75" customHeight="1">
      <c r="A877" s="339"/>
      <c r="B877" s="339"/>
      <c r="C877" s="339"/>
      <c r="D877" s="339"/>
      <c r="E877" s="339"/>
      <c r="F877" s="339"/>
      <c r="G877" s="339"/>
      <c r="H877" s="339"/>
      <c r="I877" s="341"/>
      <c r="J877" s="340"/>
      <c r="K877" s="339"/>
      <c r="L877" s="341"/>
      <c r="M877" s="339"/>
      <c r="N877" s="339"/>
      <c r="O877" s="341"/>
      <c r="P877" s="339"/>
      <c r="Q877" s="341"/>
      <c r="R877" s="339"/>
      <c r="S877" s="341"/>
      <c r="T877" s="339"/>
      <c r="U877" s="339"/>
      <c r="V877" s="339"/>
      <c r="W877" s="339"/>
      <c r="X877" s="339"/>
      <c r="Y877" s="339"/>
      <c r="Z877" s="339"/>
    </row>
    <row r="878" spans="1:26" ht="15.75" customHeight="1">
      <c r="A878" s="339"/>
      <c r="B878" s="339"/>
      <c r="C878" s="339"/>
      <c r="D878" s="339"/>
      <c r="E878" s="339"/>
      <c r="F878" s="339"/>
      <c r="G878" s="339"/>
      <c r="H878" s="339"/>
      <c r="I878" s="341"/>
      <c r="J878" s="340"/>
      <c r="K878" s="339"/>
      <c r="L878" s="341"/>
      <c r="M878" s="339"/>
      <c r="N878" s="339"/>
      <c r="O878" s="341"/>
      <c r="P878" s="339"/>
      <c r="Q878" s="341"/>
      <c r="R878" s="339"/>
      <c r="S878" s="341"/>
      <c r="T878" s="339"/>
      <c r="U878" s="339"/>
      <c r="V878" s="339"/>
      <c r="W878" s="339"/>
      <c r="X878" s="339"/>
      <c r="Y878" s="339"/>
      <c r="Z878" s="339"/>
    </row>
    <row r="879" spans="1:26" ht="15.75" customHeight="1">
      <c r="A879" s="339"/>
      <c r="B879" s="339"/>
      <c r="C879" s="339"/>
      <c r="D879" s="339"/>
      <c r="E879" s="339"/>
      <c r="F879" s="339"/>
      <c r="G879" s="339"/>
      <c r="H879" s="339"/>
      <c r="I879" s="341"/>
      <c r="J879" s="340"/>
      <c r="K879" s="339"/>
      <c r="L879" s="341"/>
      <c r="M879" s="339"/>
      <c r="N879" s="339"/>
      <c r="O879" s="341"/>
      <c r="P879" s="339"/>
      <c r="Q879" s="341"/>
      <c r="R879" s="339"/>
      <c r="S879" s="341"/>
      <c r="T879" s="339"/>
      <c r="U879" s="339"/>
      <c r="V879" s="339"/>
      <c r="W879" s="339"/>
      <c r="X879" s="339"/>
      <c r="Y879" s="339"/>
      <c r="Z879" s="339"/>
    </row>
    <row r="880" spans="1:26" ht="15.75" customHeight="1">
      <c r="A880" s="339"/>
      <c r="B880" s="339"/>
      <c r="C880" s="339"/>
      <c r="D880" s="339"/>
      <c r="E880" s="339"/>
      <c r="F880" s="339"/>
      <c r="G880" s="339"/>
      <c r="H880" s="339"/>
      <c r="I880" s="341"/>
      <c r="J880" s="340"/>
      <c r="K880" s="339"/>
      <c r="L880" s="341"/>
      <c r="M880" s="339"/>
      <c r="N880" s="339"/>
      <c r="O880" s="341"/>
      <c r="P880" s="339"/>
      <c r="Q880" s="341"/>
      <c r="R880" s="339"/>
      <c r="S880" s="341"/>
      <c r="T880" s="339"/>
      <c r="U880" s="339"/>
      <c r="V880" s="339"/>
      <c r="W880" s="339"/>
      <c r="X880" s="339"/>
      <c r="Y880" s="339"/>
      <c r="Z880" s="339"/>
    </row>
    <row r="881" spans="1:26" ht="15.75" customHeight="1">
      <c r="A881" s="339"/>
      <c r="B881" s="339"/>
      <c r="C881" s="339"/>
      <c r="D881" s="339"/>
      <c r="E881" s="339"/>
      <c r="F881" s="339"/>
      <c r="G881" s="339"/>
      <c r="H881" s="339"/>
      <c r="I881" s="341"/>
      <c r="J881" s="340"/>
      <c r="K881" s="339"/>
      <c r="L881" s="341"/>
      <c r="M881" s="339"/>
      <c r="N881" s="339"/>
      <c r="O881" s="341"/>
      <c r="P881" s="339"/>
      <c r="Q881" s="341"/>
      <c r="R881" s="339"/>
      <c r="S881" s="341"/>
      <c r="T881" s="339"/>
      <c r="U881" s="339"/>
      <c r="V881" s="339"/>
      <c r="W881" s="339"/>
      <c r="X881" s="339"/>
      <c r="Y881" s="339"/>
      <c r="Z881" s="339"/>
    </row>
    <row r="882" spans="1:26" ht="15.75" customHeight="1">
      <c r="A882" s="339"/>
      <c r="B882" s="339"/>
      <c r="C882" s="339"/>
      <c r="D882" s="339"/>
      <c r="E882" s="339"/>
      <c r="F882" s="339"/>
      <c r="G882" s="339"/>
      <c r="H882" s="339"/>
      <c r="I882" s="341"/>
      <c r="J882" s="340"/>
      <c r="K882" s="339"/>
      <c r="L882" s="341"/>
      <c r="M882" s="339"/>
      <c r="N882" s="339"/>
      <c r="O882" s="341"/>
      <c r="P882" s="339"/>
      <c r="Q882" s="341"/>
      <c r="R882" s="339"/>
      <c r="S882" s="341"/>
      <c r="T882" s="339"/>
      <c r="U882" s="339"/>
      <c r="V882" s="339"/>
      <c r="W882" s="339"/>
      <c r="X882" s="339"/>
      <c r="Y882" s="339"/>
      <c r="Z882" s="339"/>
    </row>
    <row r="883" spans="1:26" ht="15.75" customHeight="1">
      <c r="A883" s="339"/>
      <c r="B883" s="339"/>
      <c r="C883" s="339"/>
      <c r="D883" s="339"/>
      <c r="E883" s="339"/>
      <c r="F883" s="339"/>
      <c r="G883" s="339"/>
      <c r="H883" s="339"/>
      <c r="I883" s="341"/>
      <c r="J883" s="340"/>
      <c r="K883" s="339"/>
      <c r="L883" s="341"/>
      <c r="M883" s="339"/>
      <c r="N883" s="339"/>
      <c r="O883" s="341"/>
      <c r="P883" s="339"/>
      <c r="Q883" s="341"/>
      <c r="R883" s="339"/>
      <c r="S883" s="341"/>
      <c r="T883" s="339"/>
      <c r="U883" s="339"/>
      <c r="V883" s="339"/>
      <c r="W883" s="339"/>
      <c r="X883" s="339"/>
      <c r="Y883" s="339"/>
      <c r="Z883" s="339"/>
    </row>
    <row r="884" spans="1:26" ht="15.75" customHeight="1">
      <c r="A884" s="339"/>
      <c r="B884" s="339"/>
      <c r="C884" s="339"/>
      <c r="D884" s="339"/>
      <c r="E884" s="339"/>
      <c r="F884" s="339"/>
      <c r="G884" s="339"/>
      <c r="H884" s="339"/>
      <c r="I884" s="341"/>
      <c r="J884" s="340"/>
      <c r="K884" s="339"/>
      <c r="L884" s="341"/>
      <c r="M884" s="339"/>
      <c r="N884" s="339"/>
      <c r="O884" s="341"/>
      <c r="P884" s="339"/>
      <c r="Q884" s="341"/>
      <c r="R884" s="339"/>
      <c r="S884" s="341"/>
      <c r="T884" s="339"/>
      <c r="U884" s="339"/>
      <c r="V884" s="339"/>
      <c r="W884" s="339"/>
      <c r="X884" s="339"/>
      <c r="Y884" s="339"/>
      <c r="Z884" s="339"/>
    </row>
    <row r="885" spans="1:26" ht="15.75" customHeight="1">
      <c r="A885" s="339"/>
      <c r="B885" s="339"/>
      <c r="C885" s="339"/>
      <c r="D885" s="339"/>
      <c r="E885" s="339"/>
      <c r="F885" s="339"/>
      <c r="G885" s="339"/>
      <c r="H885" s="339"/>
      <c r="I885" s="341"/>
      <c r="J885" s="340"/>
      <c r="K885" s="339"/>
      <c r="L885" s="341"/>
      <c r="M885" s="339"/>
      <c r="N885" s="339"/>
      <c r="O885" s="341"/>
      <c r="P885" s="339"/>
      <c r="Q885" s="341"/>
      <c r="R885" s="339"/>
      <c r="S885" s="341"/>
      <c r="T885" s="339"/>
      <c r="U885" s="339"/>
      <c r="V885" s="339"/>
      <c r="W885" s="339"/>
      <c r="X885" s="339"/>
      <c r="Y885" s="339"/>
      <c r="Z885" s="339"/>
    </row>
    <row r="886" spans="1:26" ht="15.75" customHeight="1">
      <c r="A886" s="339"/>
      <c r="B886" s="339"/>
      <c r="C886" s="339"/>
      <c r="D886" s="339"/>
      <c r="E886" s="339"/>
      <c r="F886" s="339"/>
      <c r="G886" s="339"/>
      <c r="H886" s="339"/>
      <c r="I886" s="341"/>
      <c r="J886" s="340"/>
      <c r="K886" s="339"/>
      <c r="L886" s="341"/>
      <c r="M886" s="339"/>
      <c r="N886" s="339"/>
      <c r="O886" s="341"/>
      <c r="P886" s="339"/>
      <c r="Q886" s="341"/>
      <c r="R886" s="339"/>
      <c r="S886" s="341"/>
      <c r="T886" s="339"/>
      <c r="U886" s="339"/>
      <c r="V886" s="339"/>
      <c r="W886" s="339"/>
      <c r="X886" s="339"/>
      <c r="Y886" s="339"/>
      <c r="Z886" s="339"/>
    </row>
    <row r="887" spans="1:26" ht="15.75" customHeight="1">
      <c r="A887" s="339"/>
      <c r="B887" s="339"/>
      <c r="C887" s="339"/>
      <c r="D887" s="339"/>
      <c r="E887" s="339"/>
      <c r="F887" s="339"/>
      <c r="G887" s="339"/>
      <c r="H887" s="339"/>
      <c r="I887" s="341"/>
      <c r="J887" s="340"/>
      <c r="K887" s="339"/>
      <c r="L887" s="341"/>
      <c r="M887" s="339"/>
      <c r="N887" s="339"/>
      <c r="O887" s="341"/>
      <c r="P887" s="339"/>
      <c r="Q887" s="341"/>
      <c r="R887" s="339"/>
      <c r="S887" s="341"/>
      <c r="T887" s="339"/>
      <c r="U887" s="339"/>
      <c r="V887" s="339"/>
      <c r="W887" s="339"/>
      <c r="X887" s="339"/>
      <c r="Y887" s="339"/>
      <c r="Z887" s="339"/>
    </row>
    <row r="888" spans="1:26" ht="15.75" customHeight="1">
      <c r="A888" s="339"/>
      <c r="B888" s="339"/>
      <c r="C888" s="339"/>
      <c r="D888" s="339"/>
      <c r="E888" s="339"/>
      <c r="F888" s="339"/>
      <c r="G888" s="339"/>
      <c r="H888" s="339"/>
      <c r="I888" s="341"/>
      <c r="J888" s="340"/>
      <c r="K888" s="339"/>
      <c r="L888" s="341"/>
      <c r="M888" s="339"/>
      <c r="N888" s="339"/>
      <c r="O888" s="341"/>
      <c r="P888" s="339"/>
      <c r="Q888" s="341"/>
      <c r="R888" s="339"/>
      <c r="S888" s="341"/>
      <c r="T888" s="339"/>
      <c r="U888" s="339"/>
      <c r="V888" s="339"/>
      <c r="W888" s="339"/>
      <c r="X888" s="339"/>
      <c r="Y888" s="339"/>
      <c r="Z888" s="339"/>
    </row>
    <row r="889" spans="1:26" ht="15.75" customHeight="1">
      <c r="A889" s="339"/>
      <c r="B889" s="339"/>
      <c r="C889" s="339"/>
      <c r="D889" s="339"/>
      <c r="E889" s="339"/>
      <c r="F889" s="339"/>
      <c r="G889" s="339"/>
      <c r="H889" s="339"/>
      <c r="I889" s="341"/>
      <c r="J889" s="340"/>
      <c r="K889" s="339"/>
      <c r="L889" s="341"/>
      <c r="M889" s="339"/>
      <c r="N889" s="339"/>
      <c r="O889" s="341"/>
      <c r="P889" s="339"/>
      <c r="Q889" s="341"/>
      <c r="R889" s="339"/>
      <c r="S889" s="341"/>
      <c r="T889" s="339"/>
      <c r="U889" s="339"/>
      <c r="V889" s="339"/>
      <c r="W889" s="339"/>
      <c r="X889" s="339"/>
      <c r="Y889" s="339"/>
      <c r="Z889" s="339"/>
    </row>
    <row r="890" spans="1:26" ht="15.75" customHeight="1">
      <c r="A890" s="339"/>
      <c r="B890" s="339"/>
      <c r="C890" s="339"/>
      <c r="D890" s="339"/>
      <c r="E890" s="339"/>
      <c r="F890" s="339"/>
      <c r="G890" s="339"/>
      <c r="H890" s="339"/>
      <c r="I890" s="341"/>
      <c r="J890" s="340"/>
      <c r="K890" s="339"/>
      <c r="L890" s="341"/>
      <c r="M890" s="339"/>
      <c r="N890" s="339"/>
      <c r="O890" s="341"/>
      <c r="P890" s="339"/>
      <c r="Q890" s="341"/>
      <c r="R890" s="339"/>
      <c r="S890" s="341"/>
      <c r="T890" s="339"/>
      <c r="U890" s="339"/>
      <c r="V890" s="339"/>
      <c r="W890" s="339"/>
      <c r="X890" s="339"/>
      <c r="Y890" s="339"/>
      <c r="Z890" s="339"/>
    </row>
    <row r="891" spans="1:26" ht="15.75" customHeight="1">
      <c r="A891" s="339"/>
      <c r="B891" s="339"/>
      <c r="C891" s="339"/>
      <c r="D891" s="339"/>
      <c r="E891" s="339"/>
      <c r="F891" s="339"/>
      <c r="G891" s="339"/>
      <c r="H891" s="339"/>
      <c r="I891" s="341"/>
      <c r="J891" s="340"/>
      <c r="K891" s="339"/>
      <c r="L891" s="341"/>
      <c r="M891" s="339"/>
      <c r="N891" s="339"/>
      <c r="O891" s="341"/>
      <c r="P891" s="339"/>
      <c r="Q891" s="341"/>
      <c r="R891" s="339"/>
      <c r="S891" s="341"/>
      <c r="T891" s="339"/>
      <c r="U891" s="339"/>
      <c r="V891" s="339"/>
      <c r="W891" s="339"/>
      <c r="X891" s="339"/>
      <c r="Y891" s="339"/>
      <c r="Z891" s="339"/>
    </row>
    <row r="892" spans="1:26" ht="15.75" customHeight="1">
      <c r="A892" s="339"/>
      <c r="B892" s="339"/>
      <c r="C892" s="339"/>
      <c r="D892" s="339"/>
      <c r="E892" s="339"/>
      <c r="F892" s="339"/>
      <c r="G892" s="339"/>
      <c r="H892" s="339"/>
      <c r="I892" s="341"/>
      <c r="J892" s="340"/>
      <c r="K892" s="339"/>
      <c r="L892" s="341"/>
      <c r="M892" s="339"/>
      <c r="N892" s="339"/>
      <c r="O892" s="341"/>
      <c r="P892" s="339"/>
      <c r="Q892" s="341"/>
      <c r="R892" s="339"/>
      <c r="S892" s="341"/>
      <c r="T892" s="339"/>
      <c r="U892" s="339"/>
      <c r="V892" s="339"/>
      <c r="W892" s="339"/>
      <c r="X892" s="339"/>
      <c r="Y892" s="339"/>
      <c r="Z892" s="339"/>
    </row>
    <row r="893" spans="1:26" ht="15.75" customHeight="1">
      <c r="A893" s="339"/>
      <c r="B893" s="339"/>
      <c r="C893" s="339"/>
      <c r="D893" s="339"/>
      <c r="E893" s="339"/>
      <c r="F893" s="339"/>
      <c r="G893" s="339"/>
      <c r="H893" s="339"/>
      <c r="I893" s="341"/>
      <c r="J893" s="340"/>
      <c r="K893" s="339"/>
      <c r="L893" s="341"/>
      <c r="M893" s="339"/>
      <c r="N893" s="339"/>
      <c r="O893" s="341"/>
      <c r="P893" s="339"/>
      <c r="Q893" s="341"/>
      <c r="R893" s="339"/>
      <c r="S893" s="341"/>
      <c r="T893" s="339"/>
      <c r="U893" s="339"/>
      <c r="V893" s="339"/>
      <c r="W893" s="339"/>
      <c r="X893" s="339"/>
      <c r="Y893" s="339"/>
      <c r="Z893" s="339"/>
    </row>
    <row r="894" spans="1:26" ht="15.75" customHeight="1">
      <c r="A894" s="339"/>
      <c r="B894" s="339"/>
      <c r="C894" s="339"/>
      <c r="D894" s="339"/>
      <c r="E894" s="339"/>
      <c r="F894" s="339"/>
      <c r="G894" s="339"/>
      <c r="H894" s="339"/>
      <c r="I894" s="341"/>
      <c r="J894" s="340"/>
      <c r="K894" s="339"/>
      <c r="L894" s="341"/>
      <c r="M894" s="339"/>
      <c r="N894" s="339"/>
      <c r="O894" s="341"/>
      <c r="P894" s="339"/>
      <c r="Q894" s="341"/>
      <c r="R894" s="339"/>
      <c r="S894" s="341"/>
      <c r="T894" s="339"/>
      <c r="U894" s="339"/>
      <c r="V894" s="339"/>
      <c r="W894" s="339"/>
      <c r="X894" s="339"/>
      <c r="Y894" s="339"/>
      <c r="Z894" s="339"/>
    </row>
    <row r="895" spans="1:26" ht="15.75" customHeight="1">
      <c r="A895" s="339"/>
      <c r="B895" s="339"/>
      <c r="C895" s="339"/>
      <c r="D895" s="339"/>
      <c r="E895" s="339"/>
      <c r="F895" s="339"/>
      <c r="G895" s="339"/>
      <c r="H895" s="339"/>
      <c r="I895" s="341"/>
      <c r="J895" s="340"/>
      <c r="K895" s="339"/>
      <c r="L895" s="341"/>
      <c r="M895" s="339"/>
      <c r="N895" s="339"/>
      <c r="O895" s="341"/>
      <c r="P895" s="339"/>
      <c r="Q895" s="341"/>
      <c r="R895" s="339"/>
      <c r="S895" s="341"/>
      <c r="T895" s="339"/>
      <c r="U895" s="339"/>
      <c r="V895" s="339"/>
      <c r="W895" s="339"/>
      <c r="X895" s="339"/>
      <c r="Y895" s="339"/>
      <c r="Z895" s="339"/>
    </row>
    <row r="896" spans="1:26" ht="15.75" customHeight="1">
      <c r="A896" s="339"/>
      <c r="B896" s="339"/>
      <c r="C896" s="339"/>
      <c r="D896" s="339"/>
      <c r="E896" s="339"/>
      <c r="F896" s="339"/>
      <c r="G896" s="339"/>
      <c r="H896" s="339"/>
      <c r="I896" s="341"/>
      <c r="J896" s="340"/>
      <c r="K896" s="339"/>
      <c r="L896" s="341"/>
      <c r="M896" s="339"/>
      <c r="N896" s="339"/>
      <c r="O896" s="341"/>
      <c r="P896" s="339"/>
      <c r="Q896" s="341"/>
      <c r="R896" s="339"/>
      <c r="S896" s="341"/>
      <c r="T896" s="339"/>
      <c r="U896" s="339"/>
      <c r="V896" s="339"/>
      <c r="W896" s="339"/>
      <c r="X896" s="339"/>
      <c r="Y896" s="339"/>
      <c r="Z896" s="339"/>
    </row>
    <row r="897" spans="1:26" ht="15.75" customHeight="1">
      <c r="A897" s="339"/>
      <c r="B897" s="339"/>
      <c r="C897" s="339"/>
      <c r="D897" s="339"/>
      <c r="E897" s="339"/>
      <c r="F897" s="339"/>
      <c r="G897" s="339"/>
      <c r="H897" s="339"/>
      <c r="I897" s="341"/>
      <c r="J897" s="340"/>
      <c r="K897" s="339"/>
      <c r="L897" s="341"/>
      <c r="M897" s="339"/>
      <c r="N897" s="339"/>
      <c r="O897" s="341"/>
      <c r="P897" s="339"/>
      <c r="Q897" s="341"/>
      <c r="R897" s="339"/>
      <c r="S897" s="341"/>
      <c r="T897" s="339"/>
      <c r="U897" s="339"/>
      <c r="V897" s="339"/>
      <c r="W897" s="339"/>
      <c r="X897" s="339"/>
      <c r="Y897" s="339"/>
      <c r="Z897" s="339"/>
    </row>
    <row r="898" spans="1:26" ht="15.75" customHeight="1">
      <c r="A898" s="339"/>
      <c r="B898" s="339"/>
      <c r="C898" s="339"/>
      <c r="D898" s="339"/>
      <c r="E898" s="339"/>
      <c r="F898" s="339"/>
      <c r="G898" s="339"/>
      <c r="H898" s="339"/>
      <c r="I898" s="341"/>
      <c r="J898" s="340"/>
      <c r="K898" s="339"/>
      <c r="L898" s="341"/>
      <c r="M898" s="339"/>
      <c r="N898" s="339"/>
      <c r="O898" s="341"/>
      <c r="P898" s="339"/>
      <c r="Q898" s="341"/>
      <c r="R898" s="339"/>
      <c r="S898" s="341"/>
      <c r="T898" s="339"/>
      <c r="U898" s="339"/>
      <c r="V898" s="339"/>
      <c r="W898" s="339"/>
      <c r="X898" s="339"/>
      <c r="Y898" s="339"/>
      <c r="Z898" s="339"/>
    </row>
    <row r="899" spans="1:26" ht="15.75" customHeight="1">
      <c r="A899" s="339"/>
      <c r="B899" s="339"/>
      <c r="C899" s="339"/>
      <c r="D899" s="339"/>
      <c r="E899" s="339"/>
      <c r="F899" s="339"/>
      <c r="G899" s="339"/>
      <c r="H899" s="339"/>
      <c r="I899" s="341"/>
      <c r="J899" s="340"/>
      <c r="K899" s="339"/>
      <c r="L899" s="341"/>
      <c r="M899" s="339"/>
      <c r="N899" s="339"/>
      <c r="O899" s="341"/>
      <c r="P899" s="339"/>
      <c r="Q899" s="341"/>
      <c r="R899" s="339"/>
      <c r="S899" s="341"/>
      <c r="T899" s="339"/>
      <c r="U899" s="339"/>
      <c r="V899" s="339"/>
      <c r="W899" s="339"/>
      <c r="X899" s="339"/>
      <c r="Y899" s="339"/>
      <c r="Z899" s="339"/>
    </row>
    <row r="900" spans="1:26" ht="15.75" customHeight="1">
      <c r="A900" s="339"/>
      <c r="B900" s="339"/>
      <c r="C900" s="339"/>
      <c r="D900" s="339"/>
      <c r="E900" s="339"/>
      <c r="F900" s="339"/>
      <c r="G900" s="339"/>
      <c r="H900" s="339"/>
      <c r="I900" s="341"/>
      <c r="J900" s="340"/>
      <c r="K900" s="339"/>
      <c r="L900" s="341"/>
      <c r="M900" s="339"/>
      <c r="N900" s="339"/>
      <c r="O900" s="341"/>
      <c r="P900" s="339"/>
      <c r="Q900" s="341"/>
      <c r="R900" s="339"/>
      <c r="S900" s="341"/>
      <c r="T900" s="339"/>
      <c r="U900" s="339"/>
      <c r="V900" s="339"/>
      <c r="W900" s="339"/>
      <c r="X900" s="339"/>
      <c r="Y900" s="339"/>
      <c r="Z900" s="339"/>
    </row>
    <row r="901" spans="1:26" ht="15.75" customHeight="1">
      <c r="A901" s="339"/>
      <c r="B901" s="339"/>
      <c r="C901" s="339"/>
      <c r="D901" s="339"/>
      <c r="E901" s="339"/>
      <c r="F901" s="339"/>
      <c r="G901" s="339"/>
      <c r="H901" s="339"/>
      <c r="I901" s="341"/>
      <c r="J901" s="340"/>
      <c r="K901" s="339"/>
      <c r="L901" s="341"/>
      <c r="M901" s="339"/>
      <c r="N901" s="339"/>
      <c r="O901" s="341"/>
      <c r="P901" s="339"/>
      <c r="Q901" s="341"/>
      <c r="R901" s="339"/>
      <c r="S901" s="341"/>
      <c r="T901" s="339"/>
      <c r="U901" s="339"/>
      <c r="V901" s="339"/>
      <c r="W901" s="339"/>
      <c r="X901" s="339"/>
      <c r="Y901" s="339"/>
      <c r="Z901" s="339"/>
    </row>
    <row r="902" spans="1:26" ht="15.75" customHeight="1">
      <c r="A902" s="339"/>
      <c r="B902" s="339"/>
      <c r="C902" s="339"/>
      <c r="D902" s="339"/>
      <c r="E902" s="339"/>
      <c r="F902" s="339"/>
      <c r="G902" s="339"/>
      <c r="H902" s="339"/>
      <c r="I902" s="341"/>
      <c r="J902" s="340"/>
      <c r="K902" s="339"/>
      <c r="L902" s="341"/>
      <c r="M902" s="339"/>
      <c r="N902" s="339"/>
      <c r="O902" s="341"/>
      <c r="P902" s="339"/>
      <c r="Q902" s="341"/>
      <c r="R902" s="339"/>
      <c r="S902" s="341"/>
      <c r="T902" s="339"/>
      <c r="U902" s="339"/>
      <c r="V902" s="339"/>
      <c r="W902" s="339"/>
      <c r="X902" s="339"/>
      <c r="Y902" s="339"/>
      <c r="Z902" s="339"/>
    </row>
    <row r="903" spans="1:26" ht="15.75" customHeight="1">
      <c r="A903" s="339"/>
      <c r="B903" s="339"/>
      <c r="C903" s="339"/>
      <c r="D903" s="339"/>
      <c r="E903" s="339"/>
      <c r="F903" s="339"/>
      <c r="G903" s="339"/>
      <c r="H903" s="339"/>
      <c r="I903" s="341"/>
      <c r="J903" s="340"/>
      <c r="K903" s="339"/>
      <c r="L903" s="341"/>
      <c r="M903" s="339"/>
      <c r="N903" s="339"/>
      <c r="O903" s="341"/>
      <c r="P903" s="339"/>
      <c r="Q903" s="341"/>
      <c r="R903" s="339"/>
      <c r="S903" s="341"/>
      <c r="T903" s="339"/>
      <c r="U903" s="339"/>
      <c r="V903" s="339"/>
      <c r="W903" s="339"/>
      <c r="X903" s="339"/>
      <c r="Y903" s="339"/>
      <c r="Z903" s="339"/>
    </row>
    <row r="904" spans="1:26" ht="15.75" customHeight="1">
      <c r="A904" s="339"/>
      <c r="B904" s="339"/>
      <c r="C904" s="339"/>
      <c r="D904" s="339"/>
      <c r="E904" s="339"/>
      <c r="F904" s="339"/>
      <c r="G904" s="339"/>
      <c r="H904" s="339"/>
      <c r="I904" s="341"/>
      <c r="J904" s="340"/>
      <c r="K904" s="339"/>
      <c r="L904" s="341"/>
      <c r="M904" s="339"/>
      <c r="N904" s="339"/>
      <c r="O904" s="341"/>
      <c r="P904" s="339"/>
      <c r="Q904" s="341"/>
      <c r="R904" s="339"/>
      <c r="S904" s="341"/>
      <c r="T904" s="339"/>
      <c r="U904" s="339"/>
      <c r="V904" s="339"/>
      <c r="W904" s="339"/>
      <c r="X904" s="339"/>
      <c r="Y904" s="339"/>
      <c r="Z904" s="339"/>
    </row>
    <row r="905" spans="1:26" ht="15.75" customHeight="1">
      <c r="A905" s="339"/>
      <c r="B905" s="339"/>
      <c r="C905" s="339"/>
      <c r="D905" s="339"/>
      <c r="E905" s="339"/>
      <c r="F905" s="339"/>
      <c r="G905" s="339"/>
      <c r="H905" s="339"/>
      <c r="I905" s="341"/>
      <c r="J905" s="340"/>
      <c r="K905" s="339"/>
      <c r="L905" s="341"/>
      <c r="M905" s="339"/>
      <c r="N905" s="339"/>
      <c r="O905" s="341"/>
      <c r="P905" s="339"/>
      <c r="Q905" s="341"/>
      <c r="R905" s="339"/>
      <c r="S905" s="341"/>
      <c r="T905" s="339"/>
      <c r="U905" s="339"/>
      <c r="V905" s="339"/>
      <c r="W905" s="339"/>
      <c r="X905" s="339"/>
      <c r="Y905" s="339"/>
      <c r="Z905" s="339"/>
    </row>
    <row r="906" spans="1:26" ht="15.75" customHeight="1">
      <c r="A906" s="339"/>
      <c r="B906" s="339"/>
      <c r="C906" s="339"/>
      <c r="D906" s="339"/>
      <c r="E906" s="339"/>
      <c r="F906" s="339"/>
      <c r="G906" s="339"/>
      <c r="H906" s="339"/>
      <c r="I906" s="341"/>
      <c r="J906" s="340"/>
      <c r="K906" s="339"/>
      <c r="L906" s="341"/>
      <c r="M906" s="339"/>
      <c r="N906" s="339"/>
      <c r="O906" s="341"/>
      <c r="P906" s="339"/>
      <c r="Q906" s="341"/>
      <c r="R906" s="339"/>
      <c r="S906" s="341"/>
      <c r="T906" s="339"/>
      <c r="U906" s="339"/>
      <c r="V906" s="339"/>
      <c r="W906" s="339"/>
      <c r="X906" s="339"/>
      <c r="Y906" s="339"/>
      <c r="Z906" s="339"/>
    </row>
    <row r="907" spans="1:26" ht="15.75" customHeight="1">
      <c r="A907" s="339"/>
      <c r="B907" s="339"/>
      <c r="C907" s="339"/>
      <c r="D907" s="339"/>
      <c r="E907" s="339"/>
      <c r="F907" s="339"/>
      <c r="G907" s="339"/>
      <c r="H907" s="339"/>
      <c r="I907" s="341"/>
      <c r="J907" s="340"/>
      <c r="K907" s="339"/>
      <c r="L907" s="341"/>
      <c r="M907" s="339"/>
      <c r="N907" s="339"/>
      <c r="O907" s="341"/>
      <c r="P907" s="339"/>
      <c r="Q907" s="341"/>
      <c r="R907" s="339"/>
      <c r="S907" s="341"/>
      <c r="T907" s="339"/>
      <c r="U907" s="339"/>
      <c r="V907" s="339"/>
      <c r="W907" s="339"/>
      <c r="X907" s="339"/>
      <c r="Y907" s="339"/>
      <c r="Z907" s="339"/>
    </row>
    <row r="908" spans="1:26" ht="15.75" customHeight="1">
      <c r="A908" s="339"/>
      <c r="B908" s="339"/>
      <c r="C908" s="339"/>
      <c r="D908" s="339"/>
      <c r="E908" s="339"/>
      <c r="F908" s="339"/>
      <c r="G908" s="339"/>
      <c r="H908" s="339"/>
      <c r="I908" s="341"/>
      <c r="J908" s="340"/>
      <c r="K908" s="339"/>
      <c r="L908" s="341"/>
      <c r="M908" s="339"/>
      <c r="N908" s="339"/>
      <c r="O908" s="341"/>
      <c r="P908" s="339"/>
      <c r="Q908" s="341"/>
      <c r="R908" s="339"/>
      <c r="S908" s="341"/>
      <c r="T908" s="339"/>
      <c r="U908" s="339"/>
      <c r="V908" s="339"/>
      <c r="W908" s="339"/>
      <c r="X908" s="339"/>
      <c r="Y908" s="339"/>
      <c r="Z908" s="339"/>
    </row>
    <row r="909" spans="1:26" ht="15.75" customHeight="1">
      <c r="A909" s="339"/>
      <c r="B909" s="339"/>
      <c r="C909" s="339"/>
      <c r="D909" s="339"/>
      <c r="E909" s="339"/>
      <c r="F909" s="339"/>
      <c r="G909" s="339"/>
      <c r="H909" s="339"/>
      <c r="I909" s="341"/>
      <c r="J909" s="340"/>
      <c r="K909" s="339"/>
      <c r="L909" s="341"/>
      <c r="M909" s="339"/>
      <c r="N909" s="339"/>
      <c r="O909" s="341"/>
      <c r="P909" s="339"/>
      <c r="Q909" s="341"/>
      <c r="R909" s="339"/>
      <c r="S909" s="341"/>
      <c r="T909" s="339"/>
      <c r="U909" s="339"/>
      <c r="V909" s="339"/>
      <c r="W909" s="339"/>
      <c r="X909" s="339"/>
      <c r="Y909" s="339"/>
      <c r="Z909" s="339"/>
    </row>
    <row r="910" spans="1:26" ht="15.75" customHeight="1">
      <c r="A910" s="339"/>
      <c r="B910" s="339"/>
      <c r="C910" s="339"/>
      <c r="D910" s="339"/>
      <c r="E910" s="339"/>
      <c r="F910" s="339"/>
      <c r="G910" s="339"/>
      <c r="H910" s="339"/>
      <c r="I910" s="341"/>
      <c r="J910" s="340"/>
      <c r="K910" s="339"/>
      <c r="L910" s="341"/>
      <c r="M910" s="339"/>
      <c r="N910" s="339"/>
      <c r="O910" s="341"/>
      <c r="P910" s="339"/>
      <c r="Q910" s="341"/>
      <c r="R910" s="339"/>
      <c r="S910" s="341"/>
      <c r="T910" s="339"/>
      <c r="U910" s="339"/>
      <c r="V910" s="339"/>
      <c r="W910" s="339"/>
      <c r="X910" s="339"/>
      <c r="Y910" s="339"/>
      <c r="Z910" s="339"/>
    </row>
    <row r="911" spans="1:26" ht="15.75" customHeight="1">
      <c r="A911" s="339"/>
      <c r="B911" s="339"/>
      <c r="C911" s="339"/>
      <c r="D911" s="339"/>
      <c r="E911" s="339"/>
      <c r="F911" s="339"/>
      <c r="G911" s="339"/>
      <c r="H911" s="339"/>
      <c r="I911" s="341"/>
      <c r="J911" s="340"/>
      <c r="K911" s="339"/>
      <c r="L911" s="341"/>
      <c r="M911" s="339"/>
      <c r="N911" s="339"/>
      <c r="O911" s="341"/>
      <c r="P911" s="339"/>
      <c r="Q911" s="341"/>
      <c r="R911" s="339"/>
      <c r="S911" s="341"/>
      <c r="T911" s="339"/>
      <c r="U911" s="339"/>
      <c r="V911" s="339"/>
      <c r="W911" s="339"/>
      <c r="X911" s="339"/>
      <c r="Y911" s="339"/>
      <c r="Z911" s="339"/>
    </row>
    <row r="912" spans="1:26" ht="15.75" customHeight="1">
      <c r="A912" s="339"/>
      <c r="B912" s="339"/>
      <c r="C912" s="339"/>
      <c r="D912" s="339"/>
      <c r="E912" s="339"/>
      <c r="F912" s="339"/>
      <c r="G912" s="339"/>
      <c r="H912" s="339"/>
      <c r="I912" s="341"/>
      <c r="J912" s="340"/>
      <c r="K912" s="339"/>
      <c r="L912" s="341"/>
      <c r="M912" s="339"/>
      <c r="N912" s="339"/>
      <c r="O912" s="341"/>
      <c r="P912" s="339"/>
      <c r="Q912" s="341"/>
      <c r="R912" s="339"/>
      <c r="S912" s="341"/>
      <c r="T912" s="339"/>
      <c r="U912" s="339"/>
      <c r="V912" s="339"/>
      <c r="W912" s="339"/>
      <c r="X912" s="339"/>
      <c r="Y912" s="339"/>
      <c r="Z912" s="339"/>
    </row>
    <row r="913" spans="1:26" ht="15.75" customHeight="1">
      <c r="A913" s="339"/>
      <c r="B913" s="339"/>
      <c r="C913" s="339"/>
      <c r="D913" s="339"/>
      <c r="E913" s="339"/>
      <c r="F913" s="339"/>
      <c r="G913" s="339"/>
      <c r="H913" s="339"/>
      <c r="I913" s="341"/>
      <c r="J913" s="340"/>
      <c r="K913" s="339"/>
      <c r="L913" s="341"/>
      <c r="M913" s="339"/>
      <c r="N913" s="339"/>
      <c r="O913" s="341"/>
      <c r="P913" s="339"/>
      <c r="Q913" s="341"/>
      <c r="R913" s="339"/>
      <c r="S913" s="341"/>
      <c r="T913" s="339"/>
      <c r="U913" s="339"/>
      <c r="V913" s="339"/>
      <c r="W913" s="339"/>
      <c r="X913" s="339"/>
      <c r="Y913" s="339"/>
      <c r="Z913" s="339"/>
    </row>
    <row r="914" spans="1:26" ht="15.75" customHeight="1">
      <c r="A914" s="339"/>
      <c r="B914" s="339"/>
      <c r="C914" s="339"/>
      <c r="D914" s="339"/>
      <c r="E914" s="339"/>
      <c r="F914" s="339"/>
      <c r="G914" s="339"/>
      <c r="H914" s="339"/>
      <c r="I914" s="341"/>
      <c r="J914" s="340"/>
      <c r="K914" s="339"/>
      <c r="L914" s="341"/>
      <c r="M914" s="339"/>
      <c r="N914" s="339"/>
      <c r="O914" s="341"/>
      <c r="P914" s="339"/>
      <c r="Q914" s="341"/>
      <c r="R914" s="339"/>
      <c r="S914" s="341"/>
      <c r="T914" s="339"/>
      <c r="U914" s="339"/>
      <c r="V914" s="339"/>
      <c r="W914" s="339"/>
      <c r="X914" s="339"/>
      <c r="Y914" s="339"/>
      <c r="Z914" s="339"/>
    </row>
    <row r="915" spans="1:26" ht="15.75" customHeight="1">
      <c r="A915" s="339"/>
      <c r="B915" s="339"/>
      <c r="C915" s="339"/>
      <c r="D915" s="339"/>
      <c r="E915" s="339"/>
      <c r="F915" s="339"/>
      <c r="G915" s="339"/>
      <c r="H915" s="339"/>
      <c r="I915" s="341"/>
      <c r="J915" s="340"/>
      <c r="K915" s="339"/>
      <c r="L915" s="341"/>
      <c r="M915" s="339"/>
      <c r="N915" s="339"/>
      <c r="O915" s="341"/>
      <c r="P915" s="339"/>
      <c r="Q915" s="341"/>
      <c r="R915" s="339"/>
      <c r="S915" s="341"/>
      <c r="T915" s="339"/>
      <c r="U915" s="339"/>
      <c r="V915" s="339"/>
      <c r="W915" s="339"/>
      <c r="X915" s="339"/>
      <c r="Y915" s="339"/>
      <c r="Z915" s="339"/>
    </row>
    <row r="916" spans="1:26" ht="15.75" customHeight="1">
      <c r="A916" s="339"/>
      <c r="B916" s="339"/>
      <c r="C916" s="339"/>
      <c r="D916" s="339"/>
      <c r="E916" s="339"/>
      <c r="F916" s="339"/>
      <c r="G916" s="339"/>
      <c r="H916" s="339"/>
      <c r="I916" s="341"/>
      <c r="J916" s="340"/>
      <c r="K916" s="339"/>
      <c r="L916" s="341"/>
      <c r="M916" s="339"/>
      <c r="N916" s="339"/>
      <c r="O916" s="341"/>
      <c r="P916" s="339"/>
      <c r="Q916" s="341"/>
      <c r="R916" s="339"/>
      <c r="S916" s="341"/>
      <c r="T916" s="339"/>
      <c r="U916" s="339"/>
      <c r="V916" s="339"/>
      <c r="W916" s="339"/>
      <c r="X916" s="339"/>
      <c r="Y916" s="339"/>
      <c r="Z916" s="339"/>
    </row>
    <row r="917" spans="1:26" ht="15.75" customHeight="1">
      <c r="A917" s="339"/>
      <c r="B917" s="339"/>
      <c r="C917" s="339"/>
      <c r="D917" s="339"/>
      <c r="E917" s="339"/>
      <c r="F917" s="339"/>
      <c r="G917" s="339"/>
      <c r="H917" s="339"/>
      <c r="I917" s="341"/>
      <c r="J917" s="340"/>
      <c r="K917" s="339"/>
      <c r="L917" s="341"/>
      <c r="M917" s="339"/>
      <c r="N917" s="339"/>
      <c r="O917" s="341"/>
      <c r="P917" s="339"/>
      <c r="Q917" s="341"/>
      <c r="R917" s="339"/>
      <c r="S917" s="341"/>
      <c r="T917" s="339"/>
      <c r="U917" s="339"/>
      <c r="V917" s="339"/>
      <c r="W917" s="339"/>
      <c r="X917" s="339"/>
      <c r="Y917" s="339"/>
      <c r="Z917" s="339"/>
    </row>
    <row r="918" spans="1:26" ht="15.75" customHeight="1">
      <c r="A918" s="339"/>
      <c r="B918" s="339"/>
      <c r="C918" s="339"/>
      <c r="D918" s="339"/>
      <c r="E918" s="339"/>
      <c r="F918" s="339"/>
      <c r="G918" s="339"/>
      <c r="H918" s="339"/>
      <c r="I918" s="341"/>
      <c r="J918" s="340"/>
      <c r="K918" s="339"/>
      <c r="L918" s="341"/>
      <c r="M918" s="339"/>
      <c r="N918" s="339"/>
      <c r="O918" s="341"/>
      <c r="P918" s="339"/>
      <c r="Q918" s="341"/>
      <c r="R918" s="339"/>
      <c r="S918" s="341"/>
      <c r="T918" s="339"/>
      <c r="U918" s="339"/>
      <c r="V918" s="339"/>
      <c r="W918" s="339"/>
      <c r="X918" s="339"/>
      <c r="Y918" s="339"/>
      <c r="Z918" s="339"/>
    </row>
    <row r="919" spans="1:26" ht="15.75" customHeight="1">
      <c r="A919" s="339"/>
      <c r="B919" s="339"/>
      <c r="C919" s="339"/>
      <c r="D919" s="339"/>
      <c r="E919" s="339"/>
      <c r="F919" s="339"/>
      <c r="G919" s="339"/>
      <c r="H919" s="339"/>
      <c r="I919" s="341"/>
      <c r="J919" s="340"/>
      <c r="K919" s="339"/>
      <c r="L919" s="341"/>
      <c r="M919" s="339"/>
      <c r="N919" s="339"/>
      <c r="O919" s="341"/>
      <c r="P919" s="339"/>
      <c r="Q919" s="341"/>
      <c r="R919" s="339"/>
      <c r="S919" s="341"/>
      <c r="T919" s="339"/>
      <c r="U919" s="339"/>
      <c r="V919" s="339"/>
      <c r="W919" s="339"/>
      <c r="X919" s="339"/>
      <c r="Y919" s="339"/>
      <c r="Z919" s="339"/>
    </row>
    <row r="920" spans="1:26" ht="15.75" customHeight="1">
      <c r="A920" s="339"/>
      <c r="B920" s="339"/>
      <c r="C920" s="339"/>
      <c r="D920" s="339"/>
      <c r="E920" s="339"/>
      <c r="F920" s="339"/>
      <c r="G920" s="339"/>
      <c r="H920" s="339"/>
      <c r="I920" s="341"/>
      <c r="J920" s="340"/>
      <c r="K920" s="339"/>
      <c r="L920" s="341"/>
      <c r="M920" s="339"/>
      <c r="N920" s="339"/>
      <c r="O920" s="341"/>
      <c r="P920" s="339"/>
      <c r="Q920" s="341"/>
      <c r="R920" s="339"/>
      <c r="S920" s="341"/>
      <c r="T920" s="339"/>
      <c r="U920" s="339"/>
      <c r="V920" s="339"/>
      <c r="W920" s="339"/>
      <c r="X920" s="339"/>
      <c r="Y920" s="339"/>
      <c r="Z920" s="339"/>
    </row>
    <row r="921" spans="1:26" ht="15.75" customHeight="1">
      <c r="A921" s="339"/>
      <c r="B921" s="339"/>
      <c r="C921" s="339"/>
      <c r="D921" s="339"/>
      <c r="E921" s="339"/>
      <c r="F921" s="339"/>
      <c r="G921" s="339"/>
      <c r="H921" s="339"/>
      <c r="I921" s="341"/>
      <c r="J921" s="340"/>
      <c r="K921" s="339"/>
      <c r="L921" s="341"/>
      <c r="M921" s="339"/>
      <c r="N921" s="339"/>
      <c r="O921" s="341"/>
      <c r="P921" s="339"/>
      <c r="Q921" s="341"/>
      <c r="R921" s="339"/>
      <c r="S921" s="341"/>
      <c r="T921" s="339"/>
      <c r="U921" s="339"/>
      <c r="V921" s="339"/>
      <c r="W921" s="339"/>
      <c r="X921" s="339"/>
      <c r="Y921" s="339"/>
      <c r="Z921" s="339"/>
    </row>
    <row r="922" spans="1:26" ht="15.75" customHeight="1">
      <c r="A922" s="339"/>
      <c r="B922" s="339"/>
      <c r="C922" s="339"/>
      <c r="D922" s="339"/>
      <c r="E922" s="339"/>
      <c r="F922" s="339"/>
      <c r="G922" s="339"/>
      <c r="H922" s="339"/>
      <c r="I922" s="341"/>
      <c r="J922" s="340"/>
      <c r="K922" s="339"/>
      <c r="L922" s="341"/>
      <c r="M922" s="339"/>
      <c r="N922" s="339"/>
      <c r="O922" s="341"/>
      <c r="P922" s="339"/>
      <c r="Q922" s="341"/>
      <c r="R922" s="339"/>
      <c r="S922" s="341"/>
      <c r="T922" s="339"/>
      <c r="U922" s="339"/>
      <c r="V922" s="339"/>
      <c r="W922" s="339"/>
      <c r="X922" s="339"/>
      <c r="Y922" s="339"/>
      <c r="Z922" s="339"/>
    </row>
    <row r="923" spans="1:26" ht="15.75" customHeight="1">
      <c r="A923" s="339"/>
      <c r="B923" s="339"/>
      <c r="C923" s="339"/>
      <c r="D923" s="339"/>
      <c r="E923" s="339"/>
      <c r="F923" s="339"/>
      <c r="G923" s="339"/>
      <c r="H923" s="339"/>
      <c r="I923" s="341"/>
      <c r="J923" s="340"/>
      <c r="K923" s="339"/>
      <c r="L923" s="341"/>
      <c r="M923" s="339"/>
      <c r="N923" s="339"/>
      <c r="O923" s="341"/>
      <c r="P923" s="339"/>
      <c r="Q923" s="341"/>
      <c r="R923" s="339"/>
      <c r="S923" s="341"/>
      <c r="T923" s="339"/>
      <c r="U923" s="339"/>
      <c r="V923" s="339"/>
      <c r="W923" s="339"/>
      <c r="X923" s="339"/>
      <c r="Y923" s="339"/>
      <c r="Z923" s="339"/>
    </row>
    <row r="924" spans="1:26" ht="15.75" customHeight="1">
      <c r="A924" s="339"/>
      <c r="B924" s="339"/>
      <c r="C924" s="339"/>
      <c r="D924" s="339"/>
      <c r="E924" s="339"/>
      <c r="F924" s="339"/>
      <c r="G924" s="339"/>
      <c r="H924" s="339"/>
      <c r="I924" s="341"/>
      <c r="J924" s="340"/>
      <c r="K924" s="339"/>
      <c r="L924" s="341"/>
      <c r="M924" s="339"/>
      <c r="N924" s="339"/>
      <c r="O924" s="341"/>
      <c r="P924" s="339"/>
      <c r="Q924" s="341"/>
      <c r="R924" s="339"/>
      <c r="S924" s="341"/>
      <c r="T924" s="339"/>
      <c r="U924" s="339"/>
      <c r="V924" s="339"/>
      <c r="W924" s="339"/>
      <c r="X924" s="339"/>
      <c r="Y924" s="339"/>
      <c r="Z924" s="339"/>
    </row>
    <row r="925" spans="1:26" ht="15.75" customHeight="1">
      <c r="A925" s="339"/>
      <c r="B925" s="339"/>
      <c r="C925" s="339"/>
      <c r="D925" s="339"/>
      <c r="E925" s="339"/>
      <c r="F925" s="339"/>
      <c r="G925" s="339"/>
      <c r="H925" s="339"/>
      <c r="I925" s="341"/>
      <c r="J925" s="340"/>
      <c r="K925" s="339"/>
      <c r="L925" s="341"/>
      <c r="M925" s="339"/>
      <c r="N925" s="339"/>
      <c r="O925" s="341"/>
      <c r="P925" s="339"/>
      <c r="Q925" s="341"/>
      <c r="R925" s="339"/>
      <c r="S925" s="341"/>
      <c r="T925" s="339"/>
      <c r="U925" s="339"/>
      <c r="V925" s="339"/>
      <c r="W925" s="339"/>
      <c r="X925" s="339"/>
      <c r="Y925" s="339"/>
      <c r="Z925" s="339"/>
    </row>
    <row r="926" spans="1:26" ht="15.75" customHeight="1">
      <c r="A926" s="339"/>
      <c r="B926" s="339"/>
      <c r="C926" s="339"/>
      <c r="D926" s="339"/>
      <c r="E926" s="339"/>
      <c r="F926" s="339"/>
      <c r="G926" s="339"/>
      <c r="H926" s="339"/>
      <c r="I926" s="341"/>
      <c r="J926" s="340"/>
      <c r="K926" s="339"/>
      <c r="L926" s="341"/>
      <c r="M926" s="339"/>
      <c r="N926" s="339"/>
      <c r="O926" s="341"/>
      <c r="P926" s="339"/>
      <c r="Q926" s="341"/>
      <c r="R926" s="339"/>
      <c r="S926" s="341"/>
      <c r="T926" s="339"/>
      <c r="U926" s="339"/>
      <c r="V926" s="339"/>
      <c r="W926" s="339"/>
      <c r="X926" s="339"/>
      <c r="Y926" s="339"/>
      <c r="Z926" s="339"/>
    </row>
    <row r="927" spans="1:26" ht="15.75" customHeight="1">
      <c r="A927" s="339"/>
      <c r="B927" s="339"/>
      <c r="C927" s="339"/>
      <c r="D927" s="339"/>
      <c r="E927" s="339"/>
      <c r="F927" s="339"/>
      <c r="G927" s="339"/>
      <c r="H927" s="339"/>
      <c r="I927" s="341"/>
      <c r="J927" s="340"/>
      <c r="K927" s="339"/>
      <c r="L927" s="341"/>
      <c r="M927" s="339"/>
      <c r="N927" s="339"/>
      <c r="O927" s="341"/>
      <c r="P927" s="339"/>
      <c r="Q927" s="341"/>
      <c r="R927" s="339"/>
      <c r="S927" s="341"/>
      <c r="T927" s="339"/>
      <c r="U927" s="339"/>
      <c r="V927" s="339"/>
      <c r="W927" s="339"/>
      <c r="X927" s="339"/>
      <c r="Y927" s="339"/>
      <c r="Z927" s="339"/>
    </row>
    <row r="928" spans="1:26" ht="15.75" customHeight="1">
      <c r="A928" s="339"/>
      <c r="B928" s="339"/>
      <c r="C928" s="339"/>
      <c r="D928" s="339"/>
      <c r="E928" s="339"/>
      <c r="F928" s="339"/>
      <c r="G928" s="339"/>
      <c r="H928" s="339"/>
      <c r="I928" s="341"/>
      <c r="J928" s="340"/>
      <c r="K928" s="339"/>
      <c r="L928" s="341"/>
      <c r="M928" s="339"/>
      <c r="N928" s="339"/>
      <c r="O928" s="341"/>
      <c r="P928" s="339"/>
      <c r="Q928" s="341"/>
      <c r="R928" s="339"/>
      <c r="S928" s="341"/>
      <c r="T928" s="339"/>
      <c r="U928" s="339"/>
      <c r="V928" s="339"/>
      <c r="W928" s="339"/>
      <c r="X928" s="339"/>
      <c r="Y928" s="339"/>
      <c r="Z928" s="339"/>
    </row>
    <row r="929" spans="1:26" ht="15.75" customHeight="1">
      <c r="A929" s="339"/>
      <c r="B929" s="339"/>
      <c r="C929" s="339"/>
      <c r="D929" s="339"/>
      <c r="E929" s="339"/>
      <c r="F929" s="339"/>
      <c r="G929" s="339"/>
      <c r="H929" s="339"/>
      <c r="I929" s="341"/>
      <c r="J929" s="340"/>
      <c r="K929" s="339"/>
      <c r="L929" s="341"/>
      <c r="M929" s="339"/>
      <c r="N929" s="339"/>
      <c r="O929" s="341"/>
      <c r="P929" s="339"/>
      <c r="Q929" s="341"/>
      <c r="R929" s="339"/>
      <c r="S929" s="341"/>
      <c r="T929" s="339"/>
      <c r="U929" s="339"/>
      <c r="V929" s="339"/>
      <c r="W929" s="339"/>
      <c r="X929" s="339"/>
      <c r="Y929" s="339"/>
      <c r="Z929" s="339"/>
    </row>
    <row r="930" spans="1:26" ht="15.75" customHeight="1">
      <c r="A930" s="339"/>
      <c r="B930" s="339"/>
      <c r="C930" s="339"/>
      <c r="D930" s="339"/>
      <c r="E930" s="339"/>
      <c r="F930" s="339"/>
      <c r="G930" s="339"/>
      <c r="H930" s="339"/>
      <c r="I930" s="341"/>
      <c r="J930" s="340"/>
      <c r="K930" s="339"/>
      <c r="L930" s="341"/>
      <c r="M930" s="339"/>
      <c r="N930" s="339"/>
      <c r="O930" s="341"/>
      <c r="P930" s="339"/>
      <c r="Q930" s="341"/>
      <c r="R930" s="339"/>
      <c r="S930" s="341"/>
      <c r="T930" s="339"/>
      <c r="U930" s="339"/>
      <c r="V930" s="339"/>
      <c r="W930" s="339"/>
      <c r="X930" s="339"/>
      <c r="Y930" s="339"/>
      <c r="Z930" s="339"/>
    </row>
    <row r="931" spans="1:26" ht="15.75" customHeight="1">
      <c r="A931" s="339"/>
      <c r="B931" s="339"/>
      <c r="C931" s="339"/>
      <c r="D931" s="339"/>
      <c r="E931" s="339"/>
      <c r="F931" s="339"/>
      <c r="G931" s="339"/>
      <c r="H931" s="339"/>
      <c r="I931" s="341"/>
      <c r="J931" s="340"/>
      <c r="K931" s="339"/>
      <c r="L931" s="341"/>
      <c r="M931" s="339"/>
      <c r="N931" s="339"/>
      <c r="O931" s="341"/>
      <c r="P931" s="339"/>
      <c r="Q931" s="341"/>
      <c r="R931" s="339"/>
      <c r="S931" s="341"/>
      <c r="T931" s="339"/>
      <c r="U931" s="339"/>
      <c r="V931" s="339"/>
      <c r="W931" s="339"/>
      <c r="X931" s="339"/>
      <c r="Y931" s="339"/>
      <c r="Z931" s="339"/>
    </row>
    <row r="932" spans="1:26" ht="15.75" customHeight="1">
      <c r="A932" s="339"/>
      <c r="B932" s="339"/>
      <c r="C932" s="339"/>
      <c r="D932" s="339"/>
      <c r="E932" s="339"/>
      <c r="F932" s="339"/>
      <c r="G932" s="339"/>
      <c r="H932" s="339"/>
      <c r="I932" s="341"/>
      <c r="J932" s="340"/>
      <c r="K932" s="339"/>
      <c r="L932" s="341"/>
      <c r="M932" s="339"/>
      <c r="N932" s="339"/>
      <c r="O932" s="341"/>
      <c r="P932" s="339"/>
      <c r="Q932" s="341"/>
      <c r="R932" s="339"/>
      <c r="S932" s="341"/>
      <c r="T932" s="339"/>
      <c r="U932" s="339"/>
      <c r="V932" s="339"/>
      <c r="W932" s="339"/>
      <c r="X932" s="339"/>
      <c r="Y932" s="339"/>
      <c r="Z932" s="339"/>
    </row>
    <row r="933" spans="1:26" ht="15.75" customHeight="1">
      <c r="A933" s="339"/>
      <c r="B933" s="339"/>
      <c r="C933" s="339"/>
      <c r="D933" s="339"/>
      <c r="E933" s="339"/>
      <c r="F933" s="339"/>
      <c r="G933" s="339"/>
      <c r="H933" s="339"/>
      <c r="I933" s="341"/>
      <c r="J933" s="340"/>
      <c r="K933" s="339"/>
      <c r="L933" s="341"/>
      <c r="M933" s="339"/>
      <c r="N933" s="339"/>
      <c r="O933" s="341"/>
      <c r="P933" s="339"/>
      <c r="Q933" s="341"/>
      <c r="R933" s="339"/>
      <c r="S933" s="341"/>
      <c r="T933" s="339"/>
      <c r="U933" s="339"/>
      <c r="V933" s="339"/>
      <c r="W933" s="339"/>
      <c r="X933" s="339"/>
      <c r="Y933" s="339"/>
      <c r="Z933" s="339"/>
    </row>
    <row r="934" spans="1:26" ht="15.75" customHeight="1">
      <c r="A934" s="339"/>
      <c r="B934" s="339"/>
      <c r="C934" s="339"/>
      <c r="D934" s="339"/>
      <c r="E934" s="339"/>
      <c r="F934" s="339"/>
      <c r="G934" s="339"/>
      <c r="H934" s="339"/>
      <c r="I934" s="341"/>
      <c r="J934" s="340"/>
      <c r="K934" s="339"/>
      <c r="L934" s="341"/>
      <c r="M934" s="339"/>
      <c r="N934" s="339"/>
      <c r="O934" s="341"/>
      <c r="P934" s="339"/>
      <c r="Q934" s="341"/>
      <c r="R934" s="339"/>
      <c r="S934" s="341"/>
      <c r="T934" s="339"/>
      <c r="U934" s="339"/>
      <c r="V934" s="339"/>
      <c r="W934" s="339"/>
      <c r="X934" s="339"/>
      <c r="Y934" s="339"/>
      <c r="Z934" s="339"/>
    </row>
    <row r="935" spans="1:26" ht="15.75" customHeight="1">
      <c r="A935" s="339"/>
      <c r="B935" s="339"/>
      <c r="C935" s="339"/>
      <c r="D935" s="339"/>
      <c r="E935" s="339"/>
      <c r="F935" s="339"/>
      <c r="G935" s="339"/>
      <c r="H935" s="339"/>
      <c r="I935" s="341"/>
      <c r="J935" s="340"/>
      <c r="K935" s="339"/>
      <c r="L935" s="341"/>
      <c r="M935" s="339"/>
      <c r="N935" s="339"/>
      <c r="O935" s="341"/>
      <c r="P935" s="339"/>
      <c r="Q935" s="341"/>
      <c r="R935" s="339"/>
      <c r="S935" s="341"/>
      <c r="T935" s="339"/>
      <c r="U935" s="339"/>
      <c r="V935" s="339"/>
      <c r="W935" s="339"/>
      <c r="X935" s="339"/>
      <c r="Y935" s="339"/>
      <c r="Z935" s="339"/>
    </row>
    <row r="936" spans="1:26" ht="15.75" customHeight="1">
      <c r="A936" s="339"/>
      <c r="B936" s="339"/>
      <c r="C936" s="339"/>
      <c r="D936" s="339"/>
      <c r="E936" s="339"/>
      <c r="F936" s="339"/>
      <c r="G936" s="339"/>
      <c r="H936" s="339"/>
      <c r="I936" s="341"/>
      <c r="J936" s="340"/>
      <c r="K936" s="339"/>
      <c r="L936" s="341"/>
      <c r="M936" s="339"/>
      <c r="N936" s="339"/>
      <c r="O936" s="341"/>
      <c r="P936" s="339"/>
      <c r="Q936" s="341"/>
      <c r="R936" s="339"/>
      <c r="S936" s="341"/>
      <c r="T936" s="339"/>
      <c r="U936" s="339"/>
      <c r="V936" s="339"/>
      <c r="W936" s="339"/>
      <c r="X936" s="339"/>
      <c r="Y936" s="339"/>
      <c r="Z936" s="339"/>
    </row>
    <row r="937" spans="1:26" ht="15.75" customHeight="1">
      <c r="A937" s="339"/>
      <c r="B937" s="339"/>
      <c r="C937" s="339"/>
      <c r="D937" s="339"/>
      <c r="E937" s="339"/>
      <c r="F937" s="339"/>
      <c r="G937" s="339"/>
      <c r="H937" s="339"/>
      <c r="I937" s="341"/>
      <c r="J937" s="340"/>
      <c r="K937" s="339"/>
      <c r="L937" s="341"/>
      <c r="M937" s="339"/>
      <c r="N937" s="339"/>
      <c r="O937" s="341"/>
      <c r="P937" s="339"/>
      <c r="Q937" s="341"/>
      <c r="R937" s="339"/>
      <c r="S937" s="341"/>
      <c r="T937" s="339"/>
      <c r="U937" s="339"/>
      <c r="V937" s="339"/>
      <c r="W937" s="339"/>
      <c r="X937" s="339"/>
      <c r="Y937" s="339"/>
      <c r="Z937" s="339"/>
    </row>
    <row r="938" spans="1:26" ht="15.75" customHeight="1">
      <c r="A938" s="339"/>
      <c r="B938" s="339"/>
      <c r="C938" s="339"/>
      <c r="D938" s="339"/>
      <c r="E938" s="339"/>
      <c r="F938" s="339"/>
      <c r="G938" s="339"/>
      <c r="H938" s="339"/>
      <c r="I938" s="341"/>
      <c r="J938" s="340"/>
      <c r="K938" s="339"/>
      <c r="L938" s="341"/>
      <c r="M938" s="339"/>
      <c r="N938" s="339"/>
      <c r="O938" s="341"/>
      <c r="P938" s="339"/>
      <c r="Q938" s="341"/>
      <c r="R938" s="339"/>
      <c r="S938" s="341"/>
      <c r="T938" s="339"/>
      <c r="U938" s="339"/>
      <c r="V938" s="339"/>
      <c r="W938" s="339"/>
      <c r="X938" s="339"/>
      <c r="Y938" s="339"/>
      <c r="Z938" s="339"/>
    </row>
    <row r="939" spans="1:26" ht="15.75" customHeight="1">
      <c r="A939" s="339"/>
      <c r="B939" s="339"/>
      <c r="C939" s="339"/>
      <c r="D939" s="339"/>
      <c r="E939" s="339"/>
      <c r="F939" s="339"/>
      <c r="G939" s="339"/>
      <c r="H939" s="339"/>
      <c r="I939" s="341"/>
      <c r="J939" s="340"/>
      <c r="K939" s="339"/>
      <c r="L939" s="341"/>
      <c r="M939" s="339"/>
      <c r="N939" s="339"/>
      <c r="O939" s="341"/>
      <c r="P939" s="339"/>
      <c r="Q939" s="341"/>
      <c r="R939" s="339"/>
      <c r="S939" s="341"/>
      <c r="T939" s="339"/>
      <c r="U939" s="339"/>
      <c r="V939" s="339"/>
      <c r="W939" s="339"/>
      <c r="X939" s="339"/>
      <c r="Y939" s="339"/>
      <c r="Z939" s="339"/>
    </row>
    <row r="940" spans="1:26" ht="15.75" customHeight="1">
      <c r="A940" s="339"/>
      <c r="B940" s="339"/>
      <c r="C940" s="339"/>
      <c r="D940" s="339"/>
      <c r="E940" s="339"/>
      <c r="F940" s="339"/>
      <c r="G940" s="339"/>
      <c r="H940" s="339"/>
      <c r="I940" s="341"/>
      <c r="J940" s="340"/>
      <c r="K940" s="339"/>
      <c r="L940" s="341"/>
      <c r="M940" s="339"/>
      <c r="N940" s="339"/>
      <c r="O940" s="341"/>
      <c r="P940" s="339"/>
      <c r="Q940" s="341"/>
      <c r="R940" s="339"/>
      <c r="S940" s="341"/>
      <c r="T940" s="339"/>
      <c r="U940" s="339"/>
      <c r="V940" s="339"/>
      <c r="W940" s="339"/>
      <c r="X940" s="339"/>
      <c r="Y940" s="339"/>
      <c r="Z940" s="339"/>
    </row>
    <row r="941" spans="1:26" ht="15.75" customHeight="1">
      <c r="A941" s="339"/>
      <c r="B941" s="339"/>
      <c r="C941" s="339"/>
      <c r="D941" s="339"/>
      <c r="E941" s="339"/>
      <c r="F941" s="339"/>
      <c r="G941" s="339"/>
      <c r="H941" s="339"/>
      <c r="I941" s="341"/>
      <c r="J941" s="340"/>
      <c r="K941" s="339"/>
      <c r="L941" s="341"/>
      <c r="M941" s="339"/>
      <c r="N941" s="339"/>
      <c r="O941" s="341"/>
      <c r="P941" s="339"/>
      <c r="Q941" s="341"/>
      <c r="R941" s="339"/>
      <c r="S941" s="341"/>
      <c r="T941" s="339"/>
      <c r="U941" s="339"/>
      <c r="V941" s="339"/>
      <c r="W941" s="339"/>
      <c r="X941" s="339"/>
      <c r="Y941" s="339"/>
      <c r="Z941" s="339"/>
    </row>
    <row r="942" spans="1:26" ht="15.75" customHeight="1">
      <c r="A942" s="339"/>
      <c r="B942" s="339"/>
      <c r="C942" s="339"/>
      <c r="D942" s="339"/>
      <c r="E942" s="339"/>
      <c r="F942" s="339"/>
      <c r="G942" s="339"/>
      <c r="H942" s="339"/>
      <c r="I942" s="341"/>
      <c r="J942" s="340"/>
      <c r="K942" s="339"/>
      <c r="L942" s="341"/>
      <c r="M942" s="339"/>
      <c r="N942" s="339"/>
      <c r="O942" s="341"/>
      <c r="P942" s="339"/>
      <c r="Q942" s="341"/>
      <c r="R942" s="339"/>
      <c r="S942" s="341"/>
      <c r="T942" s="339"/>
      <c r="U942" s="339"/>
      <c r="V942" s="339"/>
      <c r="W942" s="339"/>
      <c r="X942" s="339"/>
      <c r="Y942" s="339"/>
      <c r="Z942" s="339"/>
    </row>
    <row r="943" spans="1:26" ht="15.75" customHeight="1">
      <c r="A943" s="339"/>
      <c r="B943" s="339"/>
      <c r="C943" s="339"/>
      <c r="D943" s="339"/>
      <c r="E943" s="339"/>
      <c r="F943" s="339"/>
      <c r="G943" s="339"/>
      <c r="H943" s="339"/>
      <c r="I943" s="341"/>
      <c r="J943" s="340"/>
      <c r="K943" s="339"/>
      <c r="L943" s="341"/>
      <c r="M943" s="339"/>
      <c r="N943" s="339"/>
      <c r="O943" s="341"/>
      <c r="P943" s="339"/>
      <c r="Q943" s="341"/>
      <c r="R943" s="339"/>
      <c r="S943" s="341"/>
      <c r="T943" s="339"/>
      <c r="U943" s="339"/>
      <c r="V943" s="339"/>
      <c r="W943" s="339"/>
      <c r="X943" s="339"/>
      <c r="Y943" s="339"/>
      <c r="Z943" s="339"/>
    </row>
    <row r="944" spans="1:26" ht="15.75" customHeight="1">
      <c r="A944" s="339"/>
      <c r="B944" s="339"/>
      <c r="C944" s="339"/>
      <c r="D944" s="339"/>
      <c r="E944" s="339"/>
      <c r="F944" s="339"/>
      <c r="G944" s="339"/>
      <c r="H944" s="339"/>
      <c r="I944" s="341"/>
      <c r="J944" s="340"/>
      <c r="K944" s="339"/>
      <c r="L944" s="341"/>
      <c r="M944" s="339"/>
      <c r="N944" s="339"/>
      <c r="O944" s="341"/>
      <c r="P944" s="339"/>
      <c r="Q944" s="341"/>
      <c r="R944" s="339"/>
      <c r="S944" s="341"/>
      <c r="T944" s="339"/>
      <c r="U944" s="339"/>
      <c r="V944" s="339"/>
      <c r="W944" s="339"/>
      <c r="X944" s="339"/>
      <c r="Y944" s="339"/>
      <c r="Z944" s="339"/>
    </row>
    <row r="945" spans="1:26" ht="15.75" customHeight="1">
      <c r="A945" s="339"/>
      <c r="B945" s="339"/>
      <c r="C945" s="339"/>
      <c r="D945" s="339"/>
      <c r="E945" s="339"/>
      <c r="F945" s="339"/>
      <c r="G945" s="339"/>
      <c r="H945" s="339"/>
      <c r="I945" s="341"/>
      <c r="J945" s="340"/>
      <c r="K945" s="339"/>
      <c r="L945" s="341"/>
      <c r="M945" s="339"/>
      <c r="N945" s="339"/>
      <c r="O945" s="341"/>
      <c r="P945" s="339"/>
      <c r="Q945" s="341"/>
      <c r="R945" s="339"/>
      <c r="S945" s="341"/>
      <c r="T945" s="339"/>
      <c r="U945" s="339"/>
      <c r="V945" s="339"/>
      <c r="W945" s="339"/>
      <c r="X945" s="339"/>
      <c r="Y945" s="339"/>
      <c r="Z945" s="339"/>
    </row>
    <row r="946" spans="1:26" ht="15.75" customHeight="1">
      <c r="A946" s="339"/>
      <c r="B946" s="339"/>
      <c r="C946" s="339"/>
      <c r="D946" s="339"/>
      <c r="E946" s="339"/>
      <c r="F946" s="339"/>
      <c r="G946" s="339"/>
      <c r="H946" s="339"/>
      <c r="I946" s="341"/>
      <c r="J946" s="340"/>
      <c r="K946" s="339"/>
      <c r="L946" s="341"/>
      <c r="M946" s="339"/>
      <c r="N946" s="339"/>
      <c r="O946" s="341"/>
      <c r="P946" s="339"/>
      <c r="Q946" s="341"/>
      <c r="R946" s="339"/>
      <c r="S946" s="341"/>
      <c r="T946" s="339"/>
      <c r="U946" s="339"/>
      <c r="V946" s="339"/>
      <c r="W946" s="339"/>
      <c r="X946" s="339"/>
      <c r="Y946" s="339"/>
      <c r="Z946" s="339"/>
    </row>
    <row r="947" spans="1:26" ht="15.75" customHeight="1">
      <c r="A947" s="339"/>
      <c r="B947" s="339"/>
      <c r="C947" s="339"/>
      <c r="D947" s="339"/>
      <c r="E947" s="339"/>
      <c r="F947" s="339"/>
      <c r="G947" s="339"/>
      <c r="H947" s="339"/>
      <c r="I947" s="341"/>
      <c r="J947" s="340"/>
      <c r="K947" s="339"/>
      <c r="L947" s="341"/>
      <c r="M947" s="339"/>
      <c r="N947" s="339"/>
      <c r="O947" s="341"/>
      <c r="P947" s="339"/>
      <c r="Q947" s="341"/>
      <c r="R947" s="339"/>
      <c r="S947" s="341"/>
      <c r="T947" s="339"/>
      <c r="U947" s="339"/>
      <c r="V947" s="339"/>
      <c r="W947" s="339"/>
      <c r="X947" s="339"/>
      <c r="Y947" s="339"/>
      <c r="Z947" s="339"/>
    </row>
    <row r="948" spans="1:26" ht="15.75" customHeight="1">
      <c r="A948" s="339"/>
      <c r="B948" s="339"/>
      <c r="C948" s="339"/>
      <c r="D948" s="339"/>
      <c r="E948" s="339"/>
      <c r="F948" s="339"/>
      <c r="G948" s="339"/>
      <c r="H948" s="339"/>
      <c r="I948" s="341"/>
      <c r="J948" s="340"/>
      <c r="K948" s="339"/>
      <c r="L948" s="341"/>
      <c r="M948" s="339"/>
      <c r="N948" s="339"/>
      <c r="O948" s="341"/>
      <c r="P948" s="339"/>
      <c r="Q948" s="341"/>
      <c r="R948" s="339"/>
      <c r="S948" s="341"/>
      <c r="T948" s="339"/>
      <c r="U948" s="339"/>
      <c r="V948" s="339"/>
      <c r="W948" s="339"/>
      <c r="X948" s="339"/>
      <c r="Y948" s="339"/>
      <c r="Z948" s="339"/>
    </row>
    <row r="949" spans="1:26" ht="15.75" customHeight="1">
      <c r="A949" s="339"/>
      <c r="B949" s="339"/>
      <c r="C949" s="339"/>
      <c r="D949" s="339"/>
      <c r="E949" s="339"/>
      <c r="F949" s="339"/>
      <c r="G949" s="339"/>
      <c r="H949" s="339"/>
      <c r="I949" s="341"/>
      <c r="J949" s="340"/>
      <c r="K949" s="339"/>
      <c r="L949" s="341"/>
      <c r="M949" s="339"/>
      <c r="N949" s="339"/>
      <c r="O949" s="341"/>
      <c r="P949" s="339"/>
      <c r="Q949" s="341"/>
      <c r="R949" s="339"/>
      <c r="S949" s="341"/>
      <c r="T949" s="339"/>
      <c r="U949" s="339"/>
      <c r="V949" s="339"/>
      <c r="W949" s="339"/>
      <c r="X949" s="339"/>
      <c r="Y949" s="339"/>
      <c r="Z949" s="339"/>
    </row>
    <row r="950" spans="1:26" ht="15.75" customHeight="1">
      <c r="A950" s="339"/>
      <c r="B950" s="339"/>
      <c r="C950" s="339"/>
      <c r="D950" s="339"/>
      <c r="E950" s="339"/>
      <c r="F950" s="339"/>
      <c r="G950" s="339"/>
      <c r="H950" s="339"/>
      <c r="I950" s="341"/>
      <c r="J950" s="340"/>
      <c r="K950" s="339"/>
      <c r="L950" s="341"/>
      <c r="M950" s="339"/>
      <c r="N950" s="339"/>
      <c r="O950" s="341"/>
      <c r="P950" s="339"/>
      <c r="Q950" s="341"/>
      <c r="R950" s="339"/>
      <c r="S950" s="341"/>
      <c r="T950" s="339"/>
      <c r="U950" s="339"/>
      <c r="V950" s="339"/>
      <c r="W950" s="339"/>
      <c r="X950" s="339"/>
      <c r="Y950" s="339"/>
      <c r="Z950" s="339"/>
    </row>
    <row r="951" spans="1:26" ht="15.75" customHeight="1">
      <c r="A951" s="339"/>
      <c r="B951" s="339"/>
      <c r="C951" s="339"/>
      <c r="D951" s="339"/>
      <c r="E951" s="339"/>
      <c r="F951" s="339"/>
      <c r="G951" s="339"/>
      <c r="H951" s="339"/>
      <c r="I951" s="341"/>
      <c r="J951" s="340"/>
      <c r="K951" s="339"/>
      <c r="L951" s="341"/>
      <c r="M951" s="339"/>
      <c r="N951" s="339"/>
      <c r="O951" s="341"/>
      <c r="P951" s="339"/>
      <c r="Q951" s="341"/>
      <c r="R951" s="339"/>
      <c r="S951" s="341"/>
      <c r="T951" s="339"/>
      <c r="U951" s="339"/>
      <c r="V951" s="339"/>
      <c r="W951" s="339"/>
      <c r="X951" s="339"/>
      <c r="Y951" s="339"/>
      <c r="Z951" s="339"/>
    </row>
    <row r="952" spans="1:26" ht="15.75" customHeight="1">
      <c r="A952" s="339"/>
      <c r="B952" s="339"/>
      <c r="C952" s="339"/>
      <c r="D952" s="339"/>
      <c r="E952" s="339"/>
      <c r="F952" s="339"/>
      <c r="G952" s="339"/>
      <c r="H952" s="339"/>
      <c r="I952" s="341"/>
      <c r="J952" s="340"/>
      <c r="K952" s="339"/>
      <c r="L952" s="341"/>
      <c r="M952" s="339"/>
      <c r="N952" s="339"/>
      <c r="O952" s="341"/>
      <c r="P952" s="339"/>
      <c r="Q952" s="341"/>
      <c r="R952" s="339"/>
      <c r="S952" s="341"/>
      <c r="T952" s="339"/>
      <c r="U952" s="339"/>
      <c r="V952" s="339"/>
      <c r="W952" s="339"/>
      <c r="X952" s="339"/>
      <c r="Y952" s="339"/>
      <c r="Z952" s="339"/>
    </row>
    <row r="953" spans="1:26" ht="15.75" customHeight="1">
      <c r="A953" s="339"/>
      <c r="B953" s="339"/>
      <c r="C953" s="339"/>
      <c r="D953" s="339"/>
      <c r="E953" s="339"/>
      <c r="F953" s="339"/>
      <c r="G953" s="339"/>
      <c r="H953" s="339"/>
      <c r="I953" s="341"/>
      <c r="J953" s="340"/>
      <c r="K953" s="339"/>
      <c r="L953" s="341"/>
      <c r="M953" s="339"/>
      <c r="N953" s="339"/>
      <c r="O953" s="341"/>
      <c r="P953" s="339"/>
      <c r="Q953" s="341"/>
      <c r="R953" s="339"/>
      <c r="S953" s="341"/>
      <c r="T953" s="339"/>
      <c r="U953" s="339"/>
      <c r="V953" s="339"/>
      <c r="W953" s="339"/>
      <c r="X953" s="339"/>
      <c r="Y953" s="339"/>
      <c r="Z953" s="339"/>
    </row>
    <row r="954" spans="1:26" ht="15.75" customHeight="1">
      <c r="A954" s="339"/>
      <c r="B954" s="339"/>
      <c r="C954" s="339"/>
      <c r="D954" s="339"/>
      <c r="E954" s="339"/>
      <c r="F954" s="339"/>
      <c r="G954" s="339"/>
      <c r="H954" s="339"/>
      <c r="I954" s="341"/>
      <c r="J954" s="340"/>
      <c r="K954" s="339"/>
      <c r="L954" s="341"/>
      <c r="M954" s="339"/>
      <c r="N954" s="339"/>
      <c r="O954" s="341"/>
      <c r="P954" s="339"/>
      <c r="Q954" s="341"/>
      <c r="R954" s="339"/>
      <c r="S954" s="341"/>
      <c r="T954" s="339"/>
      <c r="U954" s="339"/>
      <c r="V954" s="339"/>
      <c r="W954" s="339"/>
      <c r="X954" s="339"/>
      <c r="Y954" s="339"/>
      <c r="Z954" s="339"/>
    </row>
    <row r="955" spans="1:26" ht="15.75" customHeight="1">
      <c r="A955" s="339"/>
      <c r="B955" s="339"/>
      <c r="C955" s="339"/>
      <c r="D955" s="339"/>
      <c r="E955" s="339"/>
      <c r="F955" s="339"/>
      <c r="G955" s="339"/>
      <c r="H955" s="339"/>
      <c r="I955" s="341"/>
      <c r="J955" s="340"/>
      <c r="K955" s="339"/>
      <c r="L955" s="341"/>
      <c r="M955" s="339"/>
      <c r="N955" s="339"/>
      <c r="O955" s="341"/>
      <c r="P955" s="339"/>
      <c r="Q955" s="341"/>
      <c r="R955" s="339"/>
      <c r="S955" s="341"/>
      <c r="T955" s="339"/>
      <c r="U955" s="339"/>
      <c r="V955" s="339"/>
      <c r="W955" s="339"/>
      <c r="X955" s="339"/>
      <c r="Y955" s="339"/>
      <c r="Z955" s="339"/>
    </row>
    <row r="956" spans="1:26" ht="15.75" customHeight="1">
      <c r="A956" s="339"/>
      <c r="B956" s="339"/>
      <c r="C956" s="339"/>
      <c r="D956" s="339"/>
      <c r="E956" s="339"/>
      <c r="F956" s="339"/>
      <c r="G956" s="339"/>
      <c r="H956" s="339"/>
      <c r="I956" s="341"/>
      <c r="J956" s="340"/>
      <c r="K956" s="339"/>
      <c r="L956" s="341"/>
      <c r="M956" s="339"/>
      <c r="N956" s="339"/>
      <c r="O956" s="341"/>
      <c r="P956" s="339"/>
      <c r="Q956" s="341"/>
      <c r="R956" s="339"/>
      <c r="S956" s="341"/>
      <c r="T956" s="339"/>
      <c r="U956" s="339"/>
      <c r="V956" s="339"/>
      <c r="W956" s="339"/>
      <c r="X956" s="339"/>
      <c r="Y956" s="339"/>
      <c r="Z956" s="339"/>
    </row>
    <row r="957" spans="1:26" ht="15.75" customHeight="1">
      <c r="A957" s="339"/>
      <c r="B957" s="339"/>
      <c r="C957" s="339"/>
      <c r="D957" s="339"/>
      <c r="E957" s="339"/>
      <c r="F957" s="339"/>
      <c r="G957" s="339"/>
      <c r="H957" s="339"/>
      <c r="I957" s="341"/>
      <c r="J957" s="340"/>
      <c r="K957" s="339"/>
      <c r="L957" s="341"/>
      <c r="M957" s="339"/>
      <c r="N957" s="339"/>
      <c r="O957" s="341"/>
      <c r="P957" s="339"/>
      <c r="Q957" s="341"/>
      <c r="R957" s="339"/>
      <c r="S957" s="341"/>
      <c r="T957" s="339"/>
      <c r="U957" s="339"/>
      <c r="V957" s="339"/>
      <c r="W957" s="339"/>
      <c r="X957" s="339"/>
      <c r="Y957" s="339"/>
      <c r="Z957" s="339"/>
    </row>
    <row r="958" spans="1:26" ht="15.75" customHeight="1">
      <c r="A958" s="339"/>
      <c r="B958" s="339"/>
      <c r="C958" s="339"/>
      <c r="D958" s="339"/>
      <c r="E958" s="339"/>
      <c r="F958" s="339"/>
      <c r="G958" s="339"/>
      <c r="H958" s="339"/>
      <c r="I958" s="341"/>
      <c r="J958" s="340"/>
      <c r="K958" s="339"/>
      <c r="L958" s="341"/>
      <c r="M958" s="339"/>
      <c r="N958" s="339"/>
      <c r="O958" s="341"/>
      <c r="P958" s="339"/>
      <c r="Q958" s="341"/>
      <c r="R958" s="339"/>
      <c r="S958" s="341"/>
      <c r="T958" s="339"/>
      <c r="U958" s="339"/>
      <c r="V958" s="339"/>
      <c r="W958" s="339"/>
      <c r="X958" s="339"/>
      <c r="Y958" s="339"/>
      <c r="Z958" s="339"/>
    </row>
    <row r="959" spans="1:26" ht="15.75" customHeight="1">
      <c r="A959" s="339"/>
      <c r="B959" s="339"/>
      <c r="C959" s="339"/>
      <c r="D959" s="339"/>
      <c r="E959" s="339"/>
      <c r="F959" s="339"/>
      <c r="G959" s="339"/>
      <c r="H959" s="339"/>
      <c r="I959" s="341"/>
      <c r="J959" s="340"/>
      <c r="K959" s="339"/>
      <c r="L959" s="341"/>
      <c r="M959" s="339"/>
      <c r="N959" s="339"/>
      <c r="O959" s="341"/>
      <c r="P959" s="339"/>
      <c r="Q959" s="341"/>
      <c r="R959" s="339"/>
      <c r="S959" s="341"/>
      <c r="T959" s="339"/>
      <c r="U959" s="339"/>
      <c r="V959" s="339"/>
      <c r="W959" s="339"/>
      <c r="X959" s="339"/>
      <c r="Y959" s="339"/>
      <c r="Z959" s="339"/>
    </row>
    <row r="960" spans="1:26" ht="15.75" customHeight="1">
      <c r="A960" s="339"/>
      <c r="B960" s="339"/>
      <c r="C960" s="339"/>
      <c r="D960" s="339"/>
      <c r="E960" s="339"/>
      <c r="F960" s="339"/>
      <c r="G960" s="339"/>
      <c r="H960" s="339"/>
      <c r="I960" s="341"/>
      <c r="J960" s="340"/>
      <c r="K960" s="339"/>
      <c r="L960" s="341"/>
      <c r="M960" s="339"/>
      <c r="N960" s="339"/>
      <c r="O960" s="341"/>
      <c r="P960" s="339"/>
      <c r="Q960" s="341"/>
      <c r="R960" s="339"/>
      <c r="S960" s="341"/>
      <c r="T960" s="339"/>
      <c r="U960" s="339"/>
      <c r="V960" s="339"/>
      <c r="W960" s="339"/>
      <c r="X960" s="339"/>
      <c r="Y960" s="339"/>
      <c r="Z960" s="339"/>
    </row>
    <row r="961" spans="1:26" ht="15.75" customHeight="1">
      <c r="A961" s="339"/>
      <c r="B961" s="339"/>
      <c r="C961" s="339"/>
      <c r="D961" s="339"/>
      <c r="E961" s="339"/>
      <c r="F961" s="339"/>
      <c r="G961" s="339"/>
      <c r="H961" s="339"/>
      <c r="I961" s="341"/>
      <c r="J961" s="340"/>
      <c r="K961" s="339"/>
      <c r="L961" s="341"/>
      <c r="M961" s="339"/>
      <c r="N961" s="339"/>
      <c r="O961" s="341"/>
      <c r="P961" s="339"/>
      <c r="Q961" s="341"/>
      <c r="R961" s="339"/>
      <c r="S961" s="341"/>
      <c r="T961" s="339"/>
      <c r="U961" s="339"/>
      <c r="V961" s="339"/>
      <c r="W961" s="339"/>
      <c r="X961" s="339"/>
      <c r="Y961" s="339"/>
      <c r="Z961" s="339"/>
    </row>
    <row r="962" spans="1:26" ht="15.75" customHeight="1">
      <c r="A962" s="339"/>
      <c r="B962" s="339"/>
      <c r="C962" s="339"/>
      <c r="D962" s="339"/>
      <c r="E962" s="339"/>
      <c r="F962" s="339"/>
      <c r="G962" s="339"/>
      <c r="H962" s="339"/>
      <c r="I962" s="341"/>
      <c r="J962" s="340"/>
      <c r="K962" s="339"/>
      <c r="L962" s="341"/>
      <c r="M962" s="339"/>
      <c r="N962" s="339"/>
      <c r="O962" s="341"/>
      <c r="P962" s="339"/>
      <c r="Q962" s="341"/>
      <c r="R962" s="339"/>
      <c r="S962" s="341"/>
      <c r="T962" s="339"/>
      <c r="U962" s="339"/>
      <c r="V962" s="339"/>
      <c r="W962" s="339"/>
      <c r="X962" s="339"/>
      <c r="Y962" s="339"/>
      <c r="Z962" s="339"/>
    </row>
    <row r="963" spans="1:26" ht="15.75" customHeight="1">
      <c r="A963" s="339"/>
      <c r="B963" s="339"/>
      <c r="C963" s="339"/>
      <c r="D963" s="339"/>
      <c r="E963" s="339"/>
      <c r="F963" s="339"/>
      <c r="G963" s="339"/>
      <c r="H963" s="339"/>
      <c r="I963" s="341"/>
      <c r="J963" s="340"/>
      <c r="K963" s="339"/>
      <c r="L963" s="341"/>
      <c r="M963" s="339"/>
      <c r="N963" s="339"/>
      <c r="O963" s="341"/>
      <c r="P963" s="339"/>
      <c r="Q963" s="341"/>
      <c r="R963" s="339"/>
      <c r="S963" s="341"/>
      <c r="T963" s="339"/>
      <c r="U963" s="339"/>
      <c r="V963" s="339"/>
      <c r="W963" s="339"/>
      <c r="X963" s="339"/>
      <c r="Y963" s="339"/>
      <c r="Z963" s="339"/>
    </row>
    <row r="964" spans="1:26" ht="15.75" customHeight="1">
      <c r="A964" s="339"/>
      <c r="B964" s="339"/>
      <c r="C964" s="339"/>
      <c r="D964" s="339"/>
      <c r="E964" s="339"/>
      <c r="F964" s="339"/>
      <c r="G964" s="339"/>
      <c r="H964" s="339"/>
      <c r="I964" s="341"/>
      <c r="J964" s="340"/>
      <c r="K964" s="339"/>
      <c r="L964" s="341"/>
      <c r="M964" s="339"/>
      <c r="N964" s="339"/>
      <c r="O964" s="341"/>
      <c r="P964" s="339"/>
      <c r="Q964" s="341"/>
      <c r="R964" s="339"/>
      <c r="S964" s="341"/>
      <c r="T964" s="339"/>
      <c r="U964" s="339"/>
      <c r="V964" s="339"/>
      <c r="W964" s="339"/>
      <c r="X964" s="339"/>
      <c r="Y964" s="339"/>
      <c r="Z964" s="339"/>
    </row>
    <row r="965" spans="1:26" ht="15.75" customHeight="1">
      <c r="A965" s="339"/>
      <c r="B965" s="339"/>
      <c r="C965" s="339"/>
      <c r="D965" s="339"/>
      <c r="E965" s="339"/>
      <c r="F965" s="339"/>
      <c r="G965" s="339"/>
      <c r="H965" s="339"/>
      <c r="I965" s="341"/>
      <c r="J965" s="340"/>
      <c r="K965" s="339"/>
      <c r="L965" s="341"/>
      <c r="M965" s="339"/>
      <c r="N965" s="339"/>
      <c r="O965" s="341"/>
      <c r="P965" s="339"/>
      <c r="Q965" s="341"/>
      <c r="R965" s="339"/>
      <c r="S965" s="341"/>
      <c r="T965" s="339"/>
      <c r="U965" s="339"/>
      <c r="V965" s="339"/>
      <c r="W965" s="339"/>
      <c r="X965" s="339"/>
      <c r="Y965" s="339"/>
      <c r="Z965" s="339"/>
    </row>
    <row r="966" spans="1:26" ht="15.75" customHeight="1">
      <c r="A966" s="339"/>
      <c r="B966" s="339"/>
      <c r="C966" s="339"/>
      <c r="D966" s="339"/>
      <c r="E966" s="339"/>
      <c r="F966" s="339"/>
      <c r="G966" s="339"/>
      <c r="H966" s="339"/>
      <c r="I966" s="341"/>
      <c r="J966" s="340"/>
      <c r="K966" s="339"/>
      <c r="L966" s="341"/>
      <c r="M966" s="339"/>
      <c r="N966" s="339"/>
      <c r="O966" s="341"/>
      <c r="P966" s="339"/>
      <c r="Q966" s="341"/>
      <c r="R966" s="339"/>
      <c r="S966" s="341"/>
      <c r="T966" s="339"/>
      <c r="U966" s="339"/>
      <c r="V966" s="339"/>
      <c r="W966" s="339"/>
      <c r="X966" s="339"/>
      <c r="Y966" s="339"/>
      <c r="Z966" s="339"/>
    </row>
    <row r="967" spans="1:26" ht="15.75" customHeight="1">
      <c r="A967" s="339"/>
      <c r="B967" s="339"/>
      <c r="C967" s="339"/>
      <c r="D967" s="339"/>
      <c r="E967" s="339"/>
      <c r="F967" s="339"/>
      <c r="G967" s="339"/>
      <c r="H967" s="339"/>
      <c r="I967" s="341"/>
      <c r="J967" s="340"/>
      <c r="K967" s="339"/>
      <c r="L967" s="341"/>
      <c r="M967" s="339"/>
      <c r="N967" s="339"/>
      <c r="O967" s="341"/>
      <c r="P967" s="339"/>
      <c r="Q967" s="341"/>
      <c r="R967" s="339"/>
      <c r="S967" s="341"/>
      <c r="T967" s="339"/>
      <c r="U967" s="339"/>
      <c r="V967" s="339"/>
      <c r="W967" s="339"/>
      <c r="X967" s="339"/>
      <c r="Y967" s="339"/>
      <c r="Z967" s="339"/>
    </row>
    <row r="968" spans="1:26" ht="15.75" customHeight="1">
      <c r="A968" s="339"/>
      <c r="B968" s="339"/>
      <c r="C968" s="339"/>
      <c r="D968" s="339"/>
      <c r="E968" s="339"/>
      <c r="F968" s="339"/>
      <c r="G968" s="339"/>
      <c r="H968" s="339"/>
      <c r="I968" s="341"/>
      <c r="J968" s="340"/>
      <c r="K968" s="339"/>
      <c r="L968" s="341"/>
      <c r="M968" s="339"/>
      <c r="N968" s="339"/>
      <c r="O968" s="341"/>
      <c r="P968" s="339"/>
      <c r="Q968" s="341"/>
      <c r="R968" s="339"/>
      <c r="S968" s="341"/>
      <c r="T968" s="339"/>
      <c r="U968" s="339"/>
      <c r="V968" s="339"/>
      <c r="W968" s="339"/>
      <c r="X968" s="339"/>
      <c r="Y968" s="339"/>
      <c r="Z968" s="339"/>
    </row>
    <row r="969" spans="1:26" ht="15.75" customHeight="1">
      <c r="A969" s="339"/>
      <c r="B969" s="339"/>
      <c r="C969" s="339"/>
      <c r="D969" s="339"/>
      <c r="E969" s="339"/>
      <c r="F969" s="339"/>
      <c r="G969" s="339"/>
      <c r="H969" s="339"/>
      <c r="I969" s="341"/>
      <c r="J969" s="340"/>
      <c r="K969" s="339"/>
      <c r="L969" s="341"/>
      <c r="M969" s="339"/>
      <c r="N969" s="339"/>
      <c r="O969" s="341"/>
      <c r="P969" s="339"/>
      <c r="Q969" s="341"/>
      <c r="R969" s="339"/>
      <c r="S969" s="341"/>
      <c r="T969" s="339"/>
      <c r="U969" s="339"/>
      <c r="V969" s="339"/>
      <c r="W969" s="339"/>
      <c r="X969" s="339"/>
      <c r="Y969" s="339"/>
      <c r="Z969" s="339"/>
    </row>
    <row r="970" spans="1:26" ht="15.75" customHeight="1">
      <c r="A970" s="339"/>
      <c r="B970" s="339"/>
      <c r="C970" s="339"/>
      <c r="D970" s="339"/>
      <c r="E970" s="339"/>
      <c r="F970" s="339"/>
      <c r="G970" s="339"/>
      <c r="H970" s="339"/>
      <c r="I970" s="341"/>
      <c r="J970" s="340"/>
      <c r="K970" s="339"/>
      <c r="L970" s="341"/>
      <c r="M970" s="339"/>
      <c r="N970" s="339"/>
      <c r="O970" s="341"/>
      <c r="P970" s="339"/>
      <c r="Q970" s="341"/>
      <c r="R970" s="339"/>
      <c r="S970" s="341"/>
      <c r="T970" s="339"/>
      <c r="U970" s="339"/>
      <c r="V970" s="339"/>
      <c r="W970" s="339"/>
      <c r="X970" s="339"/>
      <c r="Y970" s="339"/>
      <c r="Z970" s="339"/>
    </row>
    <row r="971" spans="1:26" ht="15.75" customHeight="1">
      <c r="A971" s="339"/>
      <c r="B971" s="339"/>
      <c r="C971" s="339"/>
      <c r="D971" s="339"/>
      <c r="E971" s="339"/>
      <c r="F971" s="339"/>
      <c r="G971" s="339"/>
      <c r="H971" s="339"/>
      <c r="I971" s="341"/>
      <c r="J971" s="340"/>
      <c r="K971" s="339"/>
      <c r="L971" s="341"/>
      <c r="M971" s="339"/>
      <c r="N971" s="339"/>
      <c r="O971" s="341"/>
      <c r="P971" s="339"/>
      <c r="Q971" s="341"/>
      <c r="R971" s="339"/>
      <c r="S971" s="341"/>
      <c r="T971" s="339"/>
      <c r="U971" s="339"/>
      <c r="V971" s="339"/>
      <c r="W971" s="339"/>
      <c r="X971" s="339"/>
      <c r="Y971" s="339"/>
      <c r="Z971" s="339"/>
    </row>
    <row r="972" spans="1:26" ht="15.75" customHeight="1">
      <c r="A972" s="339"/>
      <c r="B972" s="339"/>
      <c r="C972" s="339"/>
      <c r="D972" s="339"/>
      <c r="E972" s="339"/>
      <c r="F972" s="339"/>
      <c r="G972" s="339"/>
      <c r="H972" s="339"/>
      <c r="I972" s="341"/>
      <c r="J972" s="340"/>
      <c r="K972" s="339"/>
      <c r="L972" s="341"/>
      <c r="M972" s="339"/>
      <c r="N972" s="339"/>
      <c r="O972" s="341"/>
      <c r="P972" s="339"/>
      <c r="Q972" s="341"/>
      <c r="R972" s="339"/>
      <c r="S972" s="341"/>
      <c r="T972" s="339"/>
      <c r="U972" s="339"/>
      <c r="V972" s="339"/>
      <c r="W972" s="339"/>
      <c r="X972" s="339"/>
      <c r="Y972" s="339"/>
      <c r="Z972" s="339"/>
    </row>
    <row r="973" spans="1:26" ht="15.75" customHeight="1">
      <c r="A973" s="339"/>
      <c r="B973" s="339"/>
      <c r="C973" s="339"/>
      <c r="D973" s="339"/>
      <c r="E973" s="339"/>
      <c r="F973" s="339"/>
      <c r="G973" s="339"/>
      <c r="H973" s="339"/>
      <c r="I973" s="341"/>
      <c r="J973" s="340"/>
      <c r="K973" s="339"/>
      <c r="L973" s="341"/>
      <c r="M973" s="339"/>
      <c r="N973" s="339"/>
      <c r="O973" s="341"/>
      <c r="P973" s="339"/>
      <c r="Q973" s="341"/>
      <c r="R973" s="339"/>
      <c r="S973" s="341"/>
      <c r="T973" s="339"/>
      <c r="U973" s="339"/>
      <c r="V973" s="339"/>
      <c r="W973" s="339"/>
      <c r="X973" s="339"/>
      <c r="Y973" s="339"/>
      <c r="Z973" s="339"/>
    </row>
    <row r="974" spans="1:26" ht="15.75" customHeight="1">
      <c r="A974" s="339"/>
      <c r="B974" s="339"/>
      <c r="C974" s="339"/>
      <c r="D974" s="339"/>
      <c r="E974" s="339"/>
      <c r="F974" s="339"/>
      <c r="G974" s="339"/>
      <c r="H974" s="339"/>
      <c r="I974" s="341"/>
      <c r="J974" s="340"/>
      <c r="K974" s="339"/>
      <c r="L974" s="341"/>
      <c r="M974" s="339"/>
      <c r="N974" s="339"/>
      <c r="O974" s="341"/>
      <c r="P974" s="339"/>
      <c r="Q974" s="341"/>
      <c r="R974" s="339"/>
      <c r="S974" s="341"/>
      <c r="T974" s="339"/>
      <c r="U974" s="339"/>
      <c r="V974" s="339"/>
      <c r="W974" s="339"/>
      <c r="X974" s="339"/>
      <c r="Y974" s="339"/>
      <c r="Z974" s="339"/>
    </row>
    <row r="975" spans="1:26" ht="15.75" customHeight="1">
      <c r="A975" s="339"/>
      <c r="B975" s="339"/>
      <c r="C975" s="339"/>
      <c r="D975" s="339"/>
      <c r="E975" s="339"/>
      <c r="F975" s="339"/>
      <c r="G975" s="339"/>
      <c r="H975" s="339"/>
      <c r="I975" s="341"/>
      <c r="J975" s="340"/>
      <c r="K975" s="339"/>
      <c r="L975" s="341"/>
      <c r="M975" s="339"/>
      <c r="N975" s="339"/>
      <c r="O975" s="341"/>
      <c r="P975" s="339"/>
      <c r="Q975" s="341"/>
      <c r="R975" s="339"/>
      <c r="S975" s="341"/>
      <c r="T975" s="339"/>
      <c r="U975" s="339"/>
      <c r="V975" s="339"/>
      <c r="W975" s="339"/>
      <c r="X975" s="339"/>
      <c r="Y975" s="339"/>
      <c r="Z975" s="339"/>
    </row>
    <row r="976" spans="1:26" ht="15.75" customHeight="1">
      <c r="A976" s="339"/>
      <c r="B976" s="339"/>
      <c r="C976" s="339"/>
      <c r="D976" s="339"/>
      <c r="E976" s="339"/>
      <c r="F976" s="339"/>
      <c r="G976" s="339"/>
      <c r="H976" s="339"/>
      <c r="I976" s="341"/>
      <c r="J976" s="340"/>
      <c r="K976" s="339"/>
      <c r="L976" s="341"/>
      <c r="M976" s="339"/>
      <c r="N976" s="339"/>
      <c r="O976" s="341"/>
      <c r="P976" s="339"/>
      <c r="Q976" s="341"/>
      <c r="R976" s="339"/>
      <c r="S976" s="341"/>
      <c r="T976" s="339"/>
      <c r="U976" s="339"/>
      <c r="V976" s="339"/>
      <c r="W976" s="339"/>
      <c r="X976" s="339"/>
      <c r="Y976" s="339"/>
      <c r="Z976" s="339"/>
    </row>
    <row r="977" spans="1:26" ht="15.75" customHeight="1">
      <c r="A977" s="339"/>
      <c r="B977" s="339"/>
      <c r="C977" s="339"/>
      <c r="D977" s="339"/>
      <c r="E977" s="339"/>
      <c r="F977" s="339"/>
      <c r="G977" s="339"/>
      <c r="H977" s="339"/>
      <c r="I977" s="341"/>
      <c r="J977" s="340"/>
      <c r="K977" s="339"/>
      <c r="L977" s="341"/>
      <c r="M977" s="339"/>
      <c r="N977" s="339"/>
      <c r="O977" s="341"/>
      <c r="P977" s="339"/>
      <c r="Q977" s="341"/>
      <c r="R977" s="339"/>
      <c r="S977" s="341"/>
      <c r="T977" s="339"/>
      <c r="U977" s="339"/>
      <c r="V977" s="339"/>
      <c r="W977" s="339"/>
      <c r="X977" s="339"/>
      <c r="Y977" s="339"/>
      <c r="Z977" s="339"/>
    </row>
    <row r="978" spans="1:26" ht="15.75" customHeight="1">
      <c r="A978" s="339"/>
      <c r="B978" s="339"/>
      <c r="C978" s="339"/>
      <c r="D978" s="339"/>
      <c r="E978" s="339"/>
      <c r="F978" s="339"/>
      <c r="G978" s="339"/>
      <c r="H978" s="339"/>
      <c r="I978" s="341"/>
      <c r="J978" s="340"/>
      <c r="K978" s="339"/>
      <c r="L978" s="341"/>
      <c r="M978" s="339"/>
      <c r="N978" s="339"/>
      <c r="O978" s="341"/>
      <c r="P978" s="339"/>
      <c r="Q978" s="341"/>
      <c r="R978" s="339"/>
      <c r="S978" s="341"/>
      <c r="T978" s="339"/>
      <c r="U978" s="339"/>
      <c r="V978" s="339"/>
      <c r="W978" s="339"/>
      <c r="X978" s="339"/>
      <c r="Y978" s="339"/>
      <c r="Z978" s="339"/>
    </row>
    <row r="979" spans="1:26" ht="15.75" customHeight="1">
      <c r="A979" s="339"/>
      <c r="B979" s="339"/>
      <c r="C979" s="339"/>
      <c r="D979" s="339"/>
      <c r="E979" s="339"/>
      <c r="F979" s="339"/>
      <c r="G979" s="339"/>
      <c r="H979" s="339"/>
      <c r="I979" s="341"/>
      <c r="J979" s="340"/>
      <c r="K979" s="339"/>
      <c r="L979" s="341"/>
      <c r="M979" s="339"/>
      <c r="N979" s="339"/>
      <c r="O979" s="341"/>
      <c r="P979" s="339"/>
      <c r="Q979" s="341"/>
      <c r="R979" s="339"/>
      <c r="S979" s="341"/>
      <c r="T979" s="339"/>
      <c r="U979" s="339"/>
      <c r="V979" s="339"/>
      <c r="W979" s="339"/>
      <c r="X979" s="339"/>
      <c r="Y979" s="339"/>
      <c r="Z979" s="339"/>
    </row>
    <row r="980" spans="1:26" ht="15.75" customHeight="1">
      <c r="A980" s="339"/>
      <c r="B980" s="339"/>
      <c r="C980" s="339"/>
      <c r="D980" s="339"/>
      <c r="E980" s="339"/>
      <c r="F980" s="339"/>
      <c r="G980" s="339"/>
      <c r="H980" s="339"/>
      <c r="I980" s="341"/>
      <c r="J980" s="340"/>
      <c r="K980" s="339"/>
      <c r="L980" s="341"/>
      <c r="M980" s="339"/>
      <c r="N980" s="339"/>
      <c r="O980" s="341"/>
      <c r="P980" s="339"/>
      <c r="Q980" s="341"/>
      <c r="R980" s="339"/>
      <c r="S980" s="341"/>
      <c r="T980" s="339"/>
      <c r="U980" s="339"/>
      <c r="V980" s="339"/>
      <c r="W980" s="339"/>
      <c r="X980" s="339"/>
      <c r="Y980" s="339"/>
      <c r="Z980" s="339"/>
    </row>
    <row r="981" spans="1:26" ht="15.75" customHeight="1">
      <c r="A981" s="339"/>
      <c r="B981" s="339"/>
      <c r="C981" s="339"/>
      <c r="D981" s="339"/>
      <c r="E981" s="339"/>
      <c r="F981" s="339"/>
      <c r="G981" s="339"/>
      <c r="H981" s="339"/>
      <c r="I981" s="341"/>
      <c r="J981" s="340"/>
      <c r="K981" s="339"/>
      <c r="L981" s="341"/>
      <c r="M981" s="339"/>
      <c r="N981" s="339"/>
      <c r="O981" s="341"/>
      <c r="P981" s="339"/>
      <c r="Q981" s="341"/>
      <c r="R981" s="339"/>
      <c r="S981" s="341"/>
      <c r="T981" s="339"/>
      <c r="U981" s="339"/>
      <c r="V981" s="339"/>
      <c r="W981" s="339"/>
      <c r="X981" s="339"/>
      <c r="Y981" s="339"/>
      <c r="Z981" s="339"/>
    </row>
    <row r="982" spans="1:26" ht="15.75" customHeight="1">
      <c r="A982" s="339"/>
      <c r="B982" s="339"/>
      <c r="C982" s="339"/>
      <c r="D982" s="339"/>
      <c r="E982" s="339"/>
      <c r="F982" s="339"/>
      <c r="G982" s="339"/>
      <c r="H982" s="339"/>
      <c r="I982" s="341"/>
      <c r="J982" s="340"/>
      <c r="K982" s="339"/>
      <c r="L982" s="341"/>
      <c r="M982" s="339"/>
      <c r="N982" s="339"/>
      <c r="O982" s="341"/>
      <c r="P982" s="339"/>
      <c r="Q982" s="341"/>
      <c r="R982" s="339"/>
      <c r="S982" s="341"/>
      <c r="T982" s="339"/>
      <c r="U982" s="339"/>
      <c r="V982" s="339"/>
      <c r="W982" s="339"/>
      <c r="X982" s="339"/>
      <c r="Y982" s="339"/>
      <c r="Z982" s="339"/>
    </row>
    <row r="983" spans="1:26" ht="15.75" customHeight="1">
      <c r="A983" s="339"/>
      <c r="B983" s="339"/>
      <c r="C983" s="339"/>
      <c r="D983" s="339"/>
      <c r="E983" s="339"/>
      <c r="F983" s="339"/>
      <c r="G983" s="339"/>
      <c r="H983" s="339"/>
      <c r="I983" s="341"/>
      <c r="J983" s="340"/>
      <c r="K983" s="339"/>
      <c r="L983" s="341"/>
      <c r="M983" s="339"/>
      <c r="N983" s="339"/>
      <c r="O983" s="341"/>
      <c r="P983" s="339"/>
      <c r="Q983" s="341"/>
      <c r="R983" s="339"/>
      <c r="S983" s="341"/>
      <c r="T983" s="339"/>
      <c r="U983" s="339"/>
      <c r="V983" s="339"/>
      <c r="W983" s="339"/>
      <c r="X983" s="339"/>
      <c r="Y983" s="339"/>
      <c r="Z983" s="339"/>
    </row>
    <row r="984" spans="1:26" ht="15.75" customHeight="1">
      <c r="A984" s="339"/>
      <c r="B984" s="339"/>
      <c r="C984" s="339"/>
      <c r="D984" s="339"/>
      <c r="E984" s="339"/>
      <c r="F984" s="339"/>
      <c r="G984" s="339"/>
      <c r="H984" s="339"/>
      <c r="I984" s="341"/>
      <c r="J984" s="340"/>
      <c r="K984" s="339"/>
      <c r="L984" s="341"/>
      <c r="M984" s="339"/>
      <c r="N984" s="339"/>
      <c r="O984" s="341"/>
      <c r="P984" s="339"/>
      <c r="Q984" s="341"/>
      <c r="R984" s="339"/>
      <c r="S984" s="341"/>
      <c r="T984" s="339"/>
      <c r="U984" s="339"/>
      <c r="V984" s="339"/>
      <c r="W984" s="339"/>
      <c r="X984" s="339"/>
      <c r="Y984" s="339"/>
      <c r="Z984" s="339"/>
    </row>
    <row r="985" spans="1:26" ht="15.75" customHeight="1">
      <c r="A985" s="339"/>
      <c r="B985" s="339"/>
      <c r="C985" s="339"/>
      <c r="D985" s="339"/>
      <c r="E985" s="339"/>
      <c r="F985" s="339"/>
      <c r="G985" s="339"/>
      <c r="H985" s="339"/>
      <c r="I985" s="341"/>
      <c r="J985" s="340"/>
      <c r="K985" s="339"/>
      <c r="L985" s="341"/>
      <c r="M985" s="339"/>
      <c r="N985" s="339"/>
      <c r="O985" s="341"/>
      <c r="P985" s="339"/>
      <c r="Q985" s="341"/>
      <c r="R985" s="339"/>
      <c r="S985" s="341"/>
      <c r="T985" s="339"/>
      <c r="U985" s="339"/>
      <c r="V985" s="339"/>
      <c r="W985" s="339"/>
      <c r="X985" s="339"/>
      <c r="Y985" s="339"/>
      <c r="Z985" s="339"/>
    </row>
    <row r="986" spans="1:26" ht="15.75" customHeight="1">
      <c r="A986" s="339"/>
      <c r="B986" s="339"/>
      <c r="C986" s="339"/>
      <c r="D986" s="339"/>
      <c r="E986" s="339"/>
      <c r="F986" s="339"/>
      <c r="G986" s="339"/>
      <c r="H986" s="339"/>
      <c r="I986" s="341"/>
      <c r="J986" s="340"/>
      <c r="K986" s="339"/>
      <c r="L986" s="341"/>
      <c r="M986" s="339"/>
      <c r="N986" s="339"/>
      <c r="O986" s="341"/>
      <c r="P986" s="339"/>
      <c r="Q986" s="341"/>
      <c r="R986" s="339"/>
      <c r="S986" s="341"/>
      <c r="T986" s="339"/>
      <c r="U986" s="339"/>
      <c r="V986" s="339"/>
      <c r="W986" s="339"/>
      <c r="X986" s="339"/>
      <c r="Y986" s="339"/>
      <c r="Z986" s="339"/>
    </row>
    <row r="987" spans="1:26" ht="15.75" customHeight="1">
      <c r="A987" s="339"/>
      <c r="B987" s="339"/>
      <c r="C987" s="339"/>
      <c r="D987" s="339"/>
      <c r="E987" s="339"/>
      <c r="F987" s="339"/>
      <c r="G987" s="339"/>
      <c r="H987" s="339"/>
      <c r="I987" s="341"/>
      <c r="J987" s="340"/>
      <c r="K987" s="339"/>
      <c r="L987" s="341"/>
      <c r="M987" s="339"/>
      <c r="N987" s="339"/>
      <c r="O987" s="341"/>
      <c r="P987" s="339"/>
      <c r="Q987" s="341"/>
      <c r="R987" s="339"/>
      <c r="S987" s="341"/>
      <c r="T987" s="339"/>
      <c r="U987" s="339"/>
      <c r="V987" s="339"/>
      <c r="W987" s="339"/>
      <c r="X987" s="339"/>
      <c r="Y987" s="339"/>
      <c r="Z987" s="339"/>
    </row>
    <row r="988" spans="1:26" ht="15.75" customHeight="1">
      <c r="A988" s="339"/>
      <c r="B988" s="339"/>
      <c r="C988" s="339"/>
      <c r="D988" s="339"/>
      <c r="E988" s="339"/>
      <c r="F988" s="339"/>
      <c r="G988" s="339"/>
      <c r="H988" s="339"/>
      <c r="I988" s="341"/>
      <c r="J988" s="340"/>
      <c r="K988" s="339"/>
      <c r="L988" s="341"/>
      <c r="M988" s="339"/>
      <c r="N988" s="339"/>
      <c r="O988" s="341"/>
      <c r="P988" s="339"/>
      <c r="Q988" s="341"/>
      <c r="R988" s="339"/>
      <c r="S988" s="341"/>
      <c r="T988" s="339"/>
      <c r="U988" s="339"/>
      <c r="V988" s="339"/>
      <c r="W988" s="339"/>
      <c r="X988" s="339"/>
      <c r="Y988" s="339"/>
      <c r="Z988" s="339"/>
    </row>
    <row r="989" spans="1:26" ht="15.75" customHeight="1">
      <c r="A989" s="339"/>
      <c r="B989" s="339"/>
      <c r="C989" s="339"/>
      <c r="D989" s="339"/>
      <c r="E989" s="339"/>
      <c r="F989" s="339"/>
      <c r="G989" s="339"/>
      <c r="H989" s="339"/>
      <c r="I989" s="341"/>
      <c r="J989" s="340"/>
      <c r="K989" s="339"/>
      <c r="L989" s="341"/>
      <c r="M989" s="339"/>
      <c r="N989" s="339"/>
      <c r="O989" s="341"/>
      <c r="P989" s="339"/>
      <c r="Q989" s="341"/>
      <c r="R989" s="339"/>
      <c r="S989" s="341"/>
      <c r="T989" s="339"/>
      <c r="U989" s="339"/>
      <c r="V989" s="339"/>
      <c r="W989" s="339"/>
      <c r="X989" s="339"/>
      <c r="Y989" s="339"/>
      <c r="Z989" s="339"/>
    </row>
    <row r="990" spans="1:26" ht="15.75" customHeight="1">
      <c r="A990" s="339"/>
      <c r="B990" s="339"/>
      <c r="C990" s="339"/>
      <c r="D990" s="339"/>
      <c r="E990" s="339"/>
      <c r="F990" s="339"/>
      <c r="G990" s="339"/>
      <c r="H990" s="339"/>
      <c r="I990" s="341"/>
      <c r="J990" s="340"/>
      <c r="K990" s="339"/>
      <c r="L990" s="341"/>
      <c r="M990" s="339"/>
      <c r="N990" s="339"/>
      <c r="O990" s="341"/>
      <c r="P990" s="339"/>
      <c r="Q990" s="341"/>
      <c r="R990" s="339"/>
      <c r="S990" s="341"/>
      <c r="T990" s="339"/>
      <c r="U990" s="339"/>
      <c r="V990" s="339"/>
      <c r="W990" s="339"/>
      <c r="X990" s="339"/>
      <c r="Y990" s="339"/>
      <c r="Z990" s="339"/>
    </row>
    <row r="991" spans="1:26" ht="15.75" customHeight="1">
      <c r="A991" s="339"/>
      <c r="B991" s="339"/>
      <c r="C991" s="339"/>
      <c r="D991" s="339"/>
      <c r="E991" s="339"/>
      <c r="F991" s="339"/>
      <c r="G991" s="339"/>
      <c r="H991" s="339"/>
      <c r="I991" s="341"/>
      <c r="J991" s="340"/>
      <c r="K991" s="339"/>
      <c r="L991" s="341"/>
      <c r="M991" s="339"/>
      <c r="N991" s="339"/>
      <c r="O991" s="341"/>
      <c r="P991" s="339"/>
      <c r="Q991" s="341"/>
      <c r="R991" s="339"/>
      <c r="S991" s="341"/>
      <c r="T991" s="339"/>
      <c r="U991" s="339"/>
      <c r="V991" s="339"/>
      <c r="W991" s="339"/>
      <c r="X991" s="339"/>
      <c r="Y991" s="339"/>
      <c r="Z991" s="339"/>
    </row>
    <row r="992" spans="1:26" ht="15.75" customHeight="1">
      <c r="A992" s="339"/>
      <c r="B992" s="339"/>
      <c r="C992" s="339"/>
      <c r="D992" s="339"/>
      <c r="E992" s="339"/>
      <c r="F992" s="339"/>
      <c r="G992" s="339"/>
      <c r="H992" s="339"/>
      <c r="I992" s="341"/>
      <c r="J992" s="340"/>
      <c r="K992" s="339"/>
      <c r="L992" s="341"/>
      <c r="M992" s="339"/>
      <c r="N992" s="339"/>
      <c r="O992" s="341"/>
      <c r="P992" s="339"/>
      <c r="Q992" s="341"/>
      <c r="R992" s="339"/>
      <c r="S992" s="341"/>
      <c r="T992" s="339"/>
      <c r="U992" s="339"/>
      <c r="V992" s="339"/>
      <c r="W992" s="339"/>
      <c r="X992" s="339"/>
      <c r="Y992" s="339"/>
      <c r="Z992" s="339"/>
    </row>
    <row r="993" spans="1:26" ht="15.75" customHeight="1">
      <c r="A993" s="339"/>
      <c r="B993" s="339"/>
      <c r="C993" s="339"/>
      <c r="D993" s="339"/>
      <c r="E993" s="339"/>
      <c r="F993" s="339"/>
      <c r="G993" s="339"/>
      <c r="H993" s="339"/>
      <c r="I993" s="341"/>
      <c r="J993" s="340"/>
      <c r="K993" s="339"/>
      <c r="L993" s="341"/>
      <c r="M993" s="339"/>
      <c r="N993" s="339"/>
      <c r="O993" s="341"/>
      <c r="P993" s="339"/>
      <c r="Q993" s="341"/>
      <c r="R993" s="339"/>
      <c r="S993" s="341"/>
      <c r="T993" s="339"/>
      <c r="U993" s="339"/>
      <c r="V993" s="339"/>
      <c r="W993" s="339"/>
      <c r="X993" s="339"/>
      <c r="Y993" s="339"/>
      <c r="Z993" s="339"/>
    </row>
    <row r="994" spans="1:26" ht="15.75" customHeight="1">
      <c r="A994" s="339"/>
      <c r="B994" s="339"/>
      <c r="C994" s="339"/>
      <c r="D994" s="339"/>
      <c r="E994" s="339"/>
      <c r="F994" s="339"/>
      <c r="G994" s="339"/>
      <c r="H994" s="339"/>
      <c r="I994" s="341"/>
      <c r="J994" s="340"/>
      <c r="K994" s="339"/>
      <c r="L994" s="341"/>
      <c r="M994" s="339"/>
      <c r="N994" s="339"/>
      <c r="O994" s="341"/>
      <c r="P994" s="339"/>
      <c r="Q994" s="341"/>
      <c r="R994" s="339"/>
      <c r="S994" s="341"/>
      <c r="T994" s="339"/>
      <c r="U994" s="339"/>
      <c r="V994" s="339"/>
      <c r="W994" s="339"/>
      <c r="X994" s="339"/>
      <c r="Y994" s="339"/>
      <c r="Z994" s="339"/>
    </row>
    <row r="995" spans="1:26" ht="15.75" customHeight="1">
      <c r="A995" s="339"/>
      <c r="B995" s="339"/>
      <c r="C995" s="339"/>
      <c r="D995" s="339"/>
      <c r="E995" s="339"/>
      <c r="F995" s="339"/>
      <c r="G995" s="339"/>
      <c r="H995" s="339"/>
      <c r="I995" s="341"/>
      <c r="J995" s="340"/>
      <c r="K995" s="339"/>
      <c r="L995" s="341"/>
      <c r="M995" s="339"/>
      <c r="N995" s="339"/>
      <c r="O995" s="341"/>
      <c r="P995" s="339"/>
      <c r="Q995" s="341"/>
      <c r="R995" s="339"/>
      <c r="S995" s="341"/>
      <c r="T995" s="339"/>
      <c r="U995" s="339"/>
      <c r="V995" s="339"/>
      <c r="W995" s="339"/>
      <c r="X995" s="339"/>
      <c r="Y995" s="339"/>
      <c r="Z995" s="339"/>
    </row>
    <row r="996" spans="1:26" ht="15.75" customHeight="1">
      <c r="A996" s="339"/>
      <c r="B996" s="339"/>
      <c r="C996" s="339"/>
      <c r="D996" s="339"/>
      <c r="E996" s="339"/>
      <c r="F996" s="339"/>
      <c r="G996" s="339"/>
      <c r="H996" s="339"/>
      <c r="I996" s="341"/>
      <c r="J996" s="340"/>
      <c r="K996" s="339"/>
      <c r="L996" s="341"/>
      <c r="M996" s="339"/>
      <c r="N996" s="339"/>
      <c r="O996" s="341"/>
      <c r="P996" s="339"/>
      <c r="Q996" s="341"/>
      <c r="R996" s="339"/>
      <c r="S996" s="341"/>
      <c r="T996" s="339"/>
      <c r="U996" s="339"/>
      <c r="V996" s="339"/>
      <c r="W996" s="339"/>
      <c r="X996" s="339"/>
      <c r="Y996" s="339"/>
      <c r="Z996" s="339"/>
    </row>
    <row r="997" spans="1:26" ht="15.75" customHeight="1">
      <c r="A997" s="339"/>
      <c r="B997" s="339"/>
      <c r="C997" s="339"/>
      <c r="D997" s="339"/>
      <c r="E997" s="339"/>
      <c r="F997" s="339"/>
      <c r="G997" s="339"/>
      <c r="H997" s="339"/>
      <c r="I997" s="341"/>
      <c r="J997" s="340"/>
      <c r="K997" s="339"/>
      <c r="L997" s="341"/>
      <c r="M997" s="339"/>
      <c r="N997" s="339"/>
      <c r="O997" s="341"/>
      <c r="P997" s="339"/>
      <c r="Q997" s="341"/>
      <c r="R997" s="339"/>
      <c r="S997" s="341"/>
      <c r="T997" s="339"/>
      <c r="U997" s="339"/>
      <c r="V997" s="339"/>
      <c r="W997" s="339"/>
      <c r="X997" s="339"/>
      <c r="Y997" s="339"/>
      <c r="Z997" s="339"/>
    </row>
    <row r="998" spans="1:26" ht="15.75" customHeight="1">
      <c r="A998" s="339"/>
      <c r="B998" s="339"/>
      <c r="C998" s="339"/>
      <c r="D998" s="339"/>
      <c r="E998" s="339"/>
      <c r="F998" s="339"/>
      <c r="G998" s="339"/>
      <c r="H998" s="339"/>
      <c r="I998" s="341"/>
      <c r="J998" s="340"/>
      <c r="K998" s="339"/>
      <c r="L998" s="341"/>
      <c r="M998" s="339"/>
      <c r="N998" s="339"/>
      <c r="O998" s="341"/>
      <c r="P998" s="339"/>
      <c r="Q998" s="341"/>
      <c r="R998" s="339"/>
      <c r="S998" s="341"/>
      <c r="T998" s="339"/>
      <c r="U998" s="339"/>
      <c r="V998" s="339"/>
      <c r="W998" s="339"/>
      <c r="X998" s="339"/>
      <c r="Y998" s="339"/>
      <c r="Z998" s="339"/>
    </row>
    <row r="999" spans="1:26" ht="15.75" customHeight="1">
      <c r="A999" s="339"/>
      <c r="B999" s="339"/>
      <c r="C999" s="339"/>
      <c r="D999" s="339"/>
      <c r="E999" s="339"/>
      <c r="F999" s="339"/>
      <c r="G999" s="339"/>
      <c r="H999" s="339"/>
      <c r="I999" s="341"/>
      <c r="J999" s="340"/>
      <c r="K999" s="339"/>
      <c r="L999" s="341"/>
      <c r="M999" s="339"/>
      <c r="N999" s="339"/>
      <c r="O999" s="341"/>
      <c r="P999" s="339"/>
      <c r="Q999" s="341"/>
      <c r="R999" s="339"/>
      <c r="S999" s="341"/>
      <c r="T999" s="339"/>
      <c r="U999" s="339"/>
      <c r="V999" s="339"/>
      <c r="W999" s="339"/>
      <c r="X999" s="339"/>
      <c r="Y999" s="339"/>
      <c r="Z999" s="339"/>
    </row>
    <row r="1000" spans="1:26" ht="15.75" customHeight="1">
      <c r="A1000" s="339"/>
      <c r="B1000" s="339"/>
      <c r="C1000" s="339"/>
      <c r="D1000" s="339"/>
      <c r="E1000" s="339"/>
      <c r="F1000" s="339"/>
      <c r="G1000" s="339"/>
      <c r="H1000" s="339"/>
      <c r="I1000" s="341"/>
      <c r="J1000" s="340"/>
      <c r="K1000" s="339"/>
      <c r="L1000" s="341"/>
      <c r="M1000" s="339"/>
      <c r="N1000" s="339"/>
      <c r="O1000" s="341"/>
      <c r="P1000" s="339"/>
      <c r="Q1000" s="341"/>
      <c r="R1000" s="339"/>
      <c r="S1000" s="341"/>
      <c r="T1000" s="339"/>
      <c r="U1000" s="339"/>
      <c r="V1000" s="339"/>
      <c r="W1000" s="339"/>
      <c r="X1000" s="339"/>
      <c r="Y1000" s="339"/>
      <c r="Z1000" s="339"/>
    </row>
  </sheetData>
  <mergeCells count="25">
    <mergeCell ref="D7:D8"/>
    <mergeCell ref="F7:G7"/>
    <mergeCell ref="A9:B9"/>
    <mergeCell ref="A15:B15"/>
    <mergeCell ref="A33:B33"/>
    <mergeCell ref="A54:B54"/>
    <mergeCell ref="A76:B76"/>
    <mergeCell ref="A91:B91"/>
    <mergeCell ref="A106:B106"/>
    <mergeCell ref="I7:J7"/>
    <mergeCell ref="L7:M7"/>
    <mergeCell ref="S7:T7"/>
    <mergeCell ref="A2:B6"/>
    <mergeCell ref="C2:T3"/>
    <mergeCell ref="C4:G5"/>
    <mergeCell ref="H4:T4"/>
    <mergeCell ref="H5:J6"/>
    <mergeCell ref="K5:Q5"/>
    <mergeCell ref="R5:T6"/>
    <mergeCell ref="P6:Q6"/>
    <mergeCell ref="C6:E6"/>
    <mergeCell ref="F6:G6"/>
    <mergeCell ref="K6:M6"/>
    <mergeCell ref="N6:O6"/>
    <mergeCell ref="A7:B8"/>
  </mergeCells>
  <printOptions horizontalCentered="1"/>
  <pageMargins left="0.31496062992125984" right="0.31496062992125984" top="0.74803149606299213" bottom="0.74803149606299213" header="0" footer="0"/>
  <pageSetup paperSize="9" scale="53" fitToHeight="0" orientation="landscape" r:id="rId1"/>
  <headerFooter>
    <oddFooter>&amp;Cหน้า &amp;P/&amp;N</oddFooter>
  </headerFooter>
  <rowBreaks count="4" manualBreakCount="4">
    <brk id="32" max="19" man="1"/>
    <brk id="53" max="19" man="1"/>
    <brk id="75" max="19" man="1"/>
    <brk id="90" max="19" man="1"/>
  </rowBreaks>
  <colBreaks count="1" manualBreakCount="1">
    <brk id="2" max="11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D965"/>
  </sheetPr>
  <dimension ref="A1:CG314"/>
  <sheetViews>
    <sheetView view="pageBreakPreview" zoomScale="60" zoomScaleNormal="100" workbookViewId="0">
      <pane xSplit="2" ySplit="9" topLeftCell="C10" activePane="bottomRight" state="frozen"/>
      <selection activeCell="A91" sqref="A91:XFD114"/>
      <selection pane="topRight" activeCell="A91" sqref="A91:XFD114"/>
      <selection pane="bottomLeft" activeCell="A91" sqref="A91:XFD114"/>
      <selection pane="bottomRight" activeCell="A91" sqref="A91:XFD114"/>
    </sheetView>
  </sheetViews>
  <sheetFormatPr defaultColWidth="14.44140625" defaultRowHeight="15" customHeight="1"/>
  <cols>
    <col min="1" max="1" width="7.21875" customWidth="1"/>
    <col min="2" max="2" width="32.109375" customWidth="1"/>
    <col min="3" max="4" width="14.44140625" customWidth="1"/>
    <col min="5" max="5" width="17.21875" customWidth="1"/>
    <col min="6" max="6" width="14.44140625" customWidth="1"/>
    <col min="7" max="7" width="7.21875" customWidth="1"/>
    <col min="8" max="10" width="14.44140625" customWidth="1"/>
    <col min="11" max="11" width="8.77734375" customWidth="1"/>
    <col min="12" max="12" width="14.44140625" customWidth="1"/>
    <col min="13" max="13" width="8.77734375" customWidth="1"/>
    <col min="14" max="20" width="14.44140625" customWidth="1"/>
    <col min="21" max="21" width="7.21875" customWidth="1"/>
    <col min="22" max="22" width="14.44140625" customWidth="1"/>
    <col min="23" max="23" width="7.21875" customWidth="1"/>
    <col min="24" max="30" width="14.44140625" customWidth="1"/>
    <col min="31" max="31" width="7.21875" customWidth="1"/>
    <col min="32" max="32" width="14.44140625" customWidth="1"/>
    <col min="33" max="33" width="7.21875" customWidth="1"/>
    <col min="34" max="48" width="14.44140625" customWidth="1"/>
    <col min="49" max="49" width="7.21875" customWidth="1"/>
    <col min="50" max="50" width="14.44140625" customWidth="1"/>
    <col min="51" max="51" width="7.21875" customWidth="1"/>
    <col min="52" max="66" width="14.44140625" customWidth="1"/>
    <col min="67" max="67" width="7.21875" customWidth="1"/>
    <col min="68" max="68" width="14.44140625" customWidth="1"/>
    <col min="69" max="69" width="7.21875" customWidth="1"/>
    <col min="70" max="76" width="14.44140625" customWidth="1"/>
    <col min="77" max="77" width="7.21875" customWidth="1"/>
    <col min="78" max="78" width="14.44140625" customWidth="1"/>
    <col min="79" max="79" width="7.21875" customWidth="1"/>
    <col min="80" max="85" width="14.44140625" customWidth="1"/>
  </cols>
  <sheetData>
    <row r="1" spans="1:85" ht="24" customHeight="1">
      <c r="A1" s="1" t="s">
        <v>292</v>
      </c>
      <c r="B1" s="489"/>
      <c r="C1" s="489"/>
      <c r="D1" s="489"/>
      <c r="E1" s="489"/>
      <c r="F1" s="489"/>
      <c r="G1" s="489"/>
      <c r="H1" s="489"/>
      <c r="I1" s="489"/>
      <c r="J1" s="489"/>
      <c r="K1" s="490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90"/>
      <c r="AF1" s="489"/>
      <c r="AG1" s="490"/>
      <c r="AH1" s="489"/>
      <c r="AI1" s="489"/>
      <c r="AJ1" s="489"/>
      <c r="AK1" s="489"/>
      <c r="AL1" s="489"/>
      <c r="AM1" s="489"/>
      <c r="AN1" s="489"/>
      <c r="AO1" s="489"/>
      <c r="AP1" s="489"/>
      <c r="AQ1" s="489"/>
      <c r="AR1" s="489"/>
      <c r="AS1" s="489"/>
      <c r="AT1" s="489"/>
      <c r="AU1" s="489"/>
      <c r="AV1" s="489"/>
      <c r="AW1" s="489"/>
      <c r="AX1" s="489"/>
      <c r="AY1" s="489"/>
      <c r="AZ1" s="489"/>
      <c r="BA1" s="489"/>
      <c r="BB1" s="489"/>
      <c r="BC1" s="489"/>
      <c r="BD1" s="489"/>
      <c r="BE1" s="489"/>
      <c r="BF1" s="489"/>
      <c r="BG1" s="489"/>
      <c r="BH1" s="489"/>
      <c r="BI1" s="489"/>
      <c r="BJ1" s="489"/>
      <c r="BK1" s="489"/>
      <c r="BL1" s="489"/>
      <c r="BM1" s="489"/>
      <c r="BN1" s="489"/>
      <c r="BO1" s="490"/>
      <c r="BP1" s="489"/>
      <c r="BQ1" s="490"/>
      <c r="BR1" s="489"/>
      <c r="BS1" s="489"/>
      <c r="BT1" s="489"/>
      <c r="BU1" s="489"/>
      <c r="BV1" s="489"/>
      <c r="BW1" s="489"/>
      <c r="BX1" s="489"/>
      <c r="BY1" s="490"/>
      <c r="BZ1" s="489"/>
      <c r="CA1" s="490"/>
      <c r="CB1" s="489"/>
      <c r="CC1" s="489"/>
      <c r="CD1" s="489"/>
      <c r="CE1" s="489"/>
      <c r="CF1" s="489"/>
      <c r="CG1" s="489"/>
    </row>
    <row r="2" spans="1:85" ht="22.5" customHeight="1">
      <c r="A2" s="864" t="s">
        <v>1</v>
      </c>
      <c r="B2" s="682"/>
      <c r="C2" s="865" t="s">
        <v>293</v>
      </c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  <c r="Q2" s="776"/>
      <c r="R2" s="776"/>
      <c r="S2" s="776"/>
      <c r="T2" s="776"/>
      <c r="U2" s="776"/>
      <c r="V2" s="776"/>
      <c r="W2" s="776"/>
      <c r="X2" s="776"/>
      <c r="Y2" s="776"/>
      <c r="Z2" s="776"/>
      <c r="AA2" s="776"/>
      <c r="AB2" s="776"/>
      <c r="AC2" s="776"/>
      <c r="AD2" s="776"/>
      <c r="AE2" s="776"/>
      <c r="AF2" s="776"/>
      <c r="AG2" s="776"/>
      <c r="AH2" s="776"/>
      <c r="AI2" s="776"/>
      <c r="AJ2" s="776"/>
      <c r="AK2" s="776"/>
      <c r="AL2" s="776"/>
      <c r="AM2" s="776"/>
      <c r="AN2" s="776"/>
      <c r="AO2" s="776"/>
      <c r="AP2" s="776"/>
      <c r="AQ2" s="776"/>
      <c r="AR2" s="776"/>
      <c r="AS2" s="682"/>
      <c r="AT2" s="866" t="s">
        <v>294</v>
      </c>
      <c r="AU2" s="776"/>
      <c r="AV2" s="776"/>
      <c r="AW2" s="776"/>
      <c r="AX2" s="776"/>
      <c r="AY2" s="776"/>
      <c r="AZ2" s="776"/>
      <c r="BA2" s="776"/>
      <c r="BB2" s="776"/>
      <c r="BC2" s="776"/>
      <c r="BD2" s="776"/>
      <c r="BE2" s="776"/>
      <c r="BF2" s="776"/>
      <c r="BG2" s="776"/>
      <c r="BH2" s="776"/>
      <c r="BI2" s="776"/>
      <c r="BJ2" s="776"/>
      <c r="BK2" s="867"/>
      <c r="BL2" s="866" t="s">
        <v>295</v>
      </c>
      <c r="BM2" s="776"/>
      <c r="BN2" s="776"/>
      <c r="BO2" s="776"/>
      <c r="BP2" s="776"/>
      <c r="BQ2" s="776"/>
      <c r="BR2" s="776"/>
      <c r="BS2" s="776"/>
      <c r="BT2" s="776"/>
      <c r="BU2" s="776"/>
      <c r="BV2" s="776"/>
      <c r="BW2" s="776"/>
      <c r="BX2" s="776"/>
      <c r="BY2" s="776"/>
      <c r="BZ2" s="776"/>
      <c r="CA2" s="776"/>
      <c r="CB2" s="776"/>
      <c r="CC2" s="776"/>
      <c r="CD2" s="776"/>
      <c r="CE2" s="776"/>
      <c r="CF2" s="776"/>
      <c r="CG2" s="682"/>
    </row>
    <row r="3" spans="1:85" ht="14.4">
      <c r="A3" s="660"/>
      <c r="B3" s="661"/>
      <c r="C3" s="793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  <c r="S3" s="670"/>
      <c r="T3" s="670"/>
      <c r="U3" s="670"/>
      <c r="V3" s="670"/>
      <c r="W3" s="670"/>
      <c r="X3" s="670"/>
      <c r="Y3" s="670"/>
      <c r="Z3" s="670"/>
      <c r="AA3" s="670"/>
      <c r="AB3" s="670"/>
      <c r="AC3" s="670"/>
      <c r="AD3" s="670"/>
      <c r="AE3" s="670"/>
      <c r="AF3" s="670"/>
      <c r="AG3" s="670"/>
      <c r="AH3" s="670"/>
      <c r="AI3" s="670"/>
      <c r="AJ3" s="670"/>
      <c r="AK3" s="670"/>
      <c r="AL3" s="670"/>
      <c r="AM3" s="670"/>
      <c r="AN3" s="670"/>
      <c r="AO3" s="670"/>
      <c r="AP3" s="670"/>
      <c r="AQ3" s="670"/>
      <c r="AR3" s="670"/>
      <c r="AS3" s="833"/>
      <c r="AT3" s="719"/>
      <c r="AU3" s="670"/>
      <c r="AV3" s="670"/>
      <c r="AW3" s="670"/>
      <c r="AX3" s="670"/>
      <c r="AY3" s="670"/>
      <c r="AZ3" s="670"/>
      <c r="BA3" s="670"/>
      <c r="BB3" s="670"/>
      <c r="BC3" s="670"/>
      <c r="BD3" s="670"/>
      <c r="BE3" s="670"/>
      <c r="BF3" s="670"/>
      <c r="BG3" s="670"/>
      <c r="BH3" s="670"/>
      <c r="BI3" s="670"/>
      <c r="BJ3" s="670"/>
      <c r="BK3" s="671"/>
      <c r="BL3" s="719"/>
      <c r="BM3" s="670"/>
      <c r="BN3" s="670"/>
      <c r="BO3" s="670"/>
      <c r="BP3" s="670"/>
      <c r="BQ3" s="670"/>
      <c r="BR3" s="670"/>
      <c r="BS3" s="670"/>
      <c r="BT3" s="670"/>
      <c r="BU3" s="670"/>
      <c r="BV3" s="670"/>
      <c r="BW3" s="670"/>
      <c r="BX3" s="670"/>
      <c r="BY3" s="670"/>
      <c r="BZ3" s="670"/>
      <c r="CA3" s="670"/>
      <c r="CB3" s="670"/>
      <c r="CC3" s="670"/>
      <c r="CD3" s="670"/>
      <c r="CE3" s="670"/>
      <c r="CF3" s="670"/>
      <c r="CG3" s="833"/>
    </row>
    <row r="4" spans="1:85" ht="44.25" customHeight="1">
      <c r="A4" s="660"/>
      <c r="B4" s="661"/>
      <c r="C4" s="847" t="s">
        <v>246</v>
      </c>
      <c r="D4" s="816"/>
      <c r="E4" s="816"/>
      <c r="F4" s="816"/>
      <c r="G4" s="817"/>
      <c r="H4" s="855" t="s">
        <v>296</v>
      </c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9"/>
      <c r="AT4" s="868" t="s">
        <v>297</v>
      </c>
      <c r="AU4" s="690"/>
      <c r="AV4" s="690"/>
      <c r="AW4" s="690"/>
      <c r="AX4" s="690"/>
      <c r="AY4" s="690"/>
      <c r="AZ4" s="690"/>
      <c r="BA4" s="690"/>
      <c r="BB4" s="690"/>
      <c r="BC4" s="690"/>
      <c r="BD4" s="690"/>
      <c r="BE4" s="690"/>
      <c r="BF4" s="690"/>
      <c r="BG4" s="690"/>
      <c r="BH4" s="690"/>
      <c r="BI4" s="690"/>
      <c r="BJ4" s="690"/>
      <c r="BK4" s="691"/>
      <c r="BL4" s="863" t="s">
        <v>298</v>
      </c>
      <c r="BM4" s="651"/>
      <c r="BN4" s="651"/>
      <c r="BO4" s="651"/>
      <c r="BP4" s="651"/>
      <c r="BQ4" s="651"/>
      <c r="BR4" s="651"/>
      <c r="BS4" s="651"/>
      <c r="BT4" s="651"/>
      <c r="BU4" s="651"/>
      <c r="BV4" s="651"/>
      <c r="BW4" s="651"/>
      <c r="BX4" s="651"/>
      <c r="BY4" s="651"/>
      <c r="BZ4" s="651"/>
      <c r="CA4" s="651"/>
      <c r="CB4" s="651"/>
      <c r="CC4" s="651"/>
      <c r="CD4" s="651"/>
      <c r="CE4" s="651"/>
      <c r="CF4" s="651"/>
      <c r="CG4" s="652"/>
    </row>
    <row r="5" spans="1:85" ht="54.75" customHeight="1">
      <c r="A5" s="660"/>
      <c r="B5" s="661"/>
      <c r="C5" s="696"/>
      <c r="D5" s="670"/>
      <c r="E5" s="670"/>
      <c r="F5" s="670"/>
      <c r="G5" s="671"/>
      <c r="H5" s="843" t="s">
        <v>24</v>
      </c>
      <c r="I5" s="695"/>
      <c r="J5" s="861" t="s">
        <v>299</v>
      </c>
      <c r="K5" s="651"/>
      <c r="L5" s="651"/>
      <c r="M5" s="651"/>
      <c r="N5" s="651"/>
      <c r="O5" s="651"/>
      <c r="P5" s="651"/>
      <c r="Q5" s="651"/>
      <c r="R5" s="651"/>
      <c r="S5" s="654"/>
      <c r="T5" s="861" t="s">
        <v>300</v>
      </c>
      <c r="U5" s="651"/>
      <c r="V5" s="651"/>
      <c r="W5" s="651"/>
      <c r="X5" s="651"/>
      <c r="Y5" s="651"/>
      <c r="Z5" s="651"/>
      <c r="AA5" s="651"/>
      <c r="AB5" s="651"/>
      <c r="AC5" s="654"/>
      <c r="AD5" s="861" t="s">
        <v>301</v>
      </c>
      <c r="AE5" s="651"/>
      <c r="AF5" s="651"/>
      <c r="AG5" s="651"/>
      <c r="AH5" s="651"/>
      <c r="AI5" s="651"/>
      <c r="AJ5" s="651"/>
      <c r="AK5" s="651"/>
      <c r="AL5" s="651"/>
      <c r="AM5" s="651"/>
      <c r="AN5" s="651"/>
      <c r="AO5" s="651"/>
      <c r="AP5" s="651"/>
      <c r="AQ5" s="651"/>
      <c r="AR5" s="651"/>
      <c r="AS5" s="654"/>
      <c r="AT5" s="843" t="s">
        <v>24</v>
      </c>
      <c r="AU5" s="695"/>
      <c r="AV5" s="861" t="s">
        <v>302</v>
      </c>
      <c r="AW5" s="651"/>
      <c r="AX5" s="651"/>
      <c r="AY5" s="651"/>
      <c r="AZ5" s="651"/>
      <c r="BA5" s="651"/>
      <c r="BB5" s="651"/>
      <c r="BC5" s="651"/>
      <c r="BD5" s="651"/>
      <c r="BE5" s="651"/>
      <c r="BF5" s="651"/>
      <c r="BG5" s="651"/>
      <c r="BH5" s="651"/>
      <c r="BI5" s="651"/>
      <c r="BJ5" s="651"/>
      <c r="BK5" s="654"/>
      <c r="BL5" s="843" t="s">
        <v>24</v>
      </c>
      <c r="BM5" s="695"/>
      <c r="BN5" s="861" t="s">
        <v>303</v>
      </c>
      <c r="BO5" s="651"/>
      <c r="BP5" s="651"/>
      <c r="BQ5" s="651"/>
      <c r="BR5" s="651"/>
      <c r="BS5" s="651"/>
      <c r="BT5" s="651"/>
      <c r="BU5" s="651"/>
      <c r="BV5" s="651"/>
      <c r="BW5" s="654"/>
      <c r="BX5" s="863" t="s">
        <v>304</v>
      </c>
      <c r="BY5" s="651"/>
      <c r="BZ5" s="651"/>
      <c r="CA5" s="651"/>
      <c r="CB5" s="651"/>
      <c r="CC5" s="651"/>
      <c r="CD5" s="651"/>
      <c r="CE5" s="651"/>
      <c r="CF5" s="651"/>
      <c r="CG5" s="652"/>
    </row>
    <row r="6" spans="1:85" ht="56.25" customHeight="1">
      <c r="A6" s="683"/>
      <c r="B6" s="684"/>
      <c r="C6" s="848" t="s">
        <v>9</v>
      </c>
      <c r="D6" s="651"/>
      <c r="E6" s="654"/>
      <c r="F6" s="849" t="s">
        <v>11</v>
      </c>
      <c r="G6" s="691"/>
      <c r="H6" s="805"/>
      <c r="I6" s="668"/>
      <c r="J6" s="856" t="s">
        <v>305</v>
      </c>
      <c r="K6" s="651"/>
      <c r="L6" s="651"/>
      <c r="M6" s="651"/>
      <c r="N6" s="651"/>
      <c r="O6" s="651"/>
      <c r="P6" s="651"/>
      <c r="Q6" s="651"/>
      <c r="R6" s="651"/>
      <c r="S6" s="654"/>
      <c r="T6" s="856" t="s">
        <v>305</v>
      </c>
      <c r="U6" s="651"/>
      <c r="V6" s="651"/>
      <c r="W6" s="651"/>
      <c r="X6" s="651"/>
      <c r="Y6" s="651"/>
      <c r="Z6" s="651"/>
      <c r="AA6" s="651"/>
      <c r="AB6" s="651"/>
      <c r="AC6" s="654"/>
      <c r="AD6" s="856" t="s">
        <v>305</v>
      </c>
      <c r="AE6" s="651"/>
      <c r="AF6" s="651"/>
      <c r="AG6" s="651"/>
      <c r="AH6" s="651"/>
      <c r="AI6" s="651"/>
      <c r="AJ6" s="651"/>
      <c r="AK6" s="651"/>
      <c r="AL6" s="651"/>
      <c r="AM6" s="651"/>
      <c r="AN6" s="651"/>
      <c r="AO6" s="651"/>
      <c r="AP6" s="651"/>
      <c r="AQ6" s="651"/>
      <c r="AR6" s="651"/>
      <c r="AS6" s="654"/>
      <c r="AT6" s="805"/>
      <c r="AU6" s="668"/>
      <c r="AV6" s="869" t="s">
        <v>306</v>
      </c>
      <c r="AW6" s="694"/>
      <c r="AX6" s="694"/>
      <c r="AY6" s="695"/>
      <c r="AZ6" s="856" t="s">
        <v>307</v>
      </c>
      <c r="BA6" s="651"/>
      <c r="BB6" s="651"/>
      <c r="BC6" s="651"/>
      <c r="BD6" s="651"/>
      <c r="BE6" s="654"/>
      <c r="BF6" s="856" t="s">
        <v>308</v>
      </c>
      <c r="BG6" s="651"/>
      <c r="BH6" s="651"/>
      <c r="BI6" s="654"/>
      <c r="BJ6" s="873" t="s">
        <v>372</v>
      </c>
      <c r="BK6" s="874"/>
      <c r="BL6" s="805"/>
      <c r="BM6" s="668"/>
      <c r="BN6" s="856" t="s">
        <v>309</v>
      </c>
      <c r="BO6" s="651"/>
      <c r="BP6" s="651"/>
      <c r="BQ6" s="651"/>
      <c r="BR6" s="651"/>
      <c r="BS6" s="651"/>
      <c r="BT6" s="651"/>
      <c r="BU6" s="654"/>
      <c r="BV6" s="877" t="s">
        <v>310</v>
      </c>
      <c r="BW6" s="695"/>
      <c r="BX6" s="856" t="s">
        <v>309</v>
      </c>
      <c r="BY6" s="651"/>
      <c r="BZ6" s="651"/>
      <c r="CA6" s="651"/>
      <c r="CB6" s="651"/>
      <c r="CC6" s="651"/>
      <c r="CD6" s="651"/>
      <c r="CE6" s="651"/>
      <c r="CF6" s="651"/>
      <c r="CG6" s="652"/>
    </row>
    <row r="7" spans="1:85" ht="78" customHeight="1">
      <c r="A7" s="850" t="s">
        <v>256</v>
      </c>
      <c r="B7" s="659"/>
      <c r="C7" s="491" t="s">
        <v>150</v>
      </c>
      <c r="D7" s="851" t="s">
        <v>257</v>
      </c>
      <c r="E7" s="492" t="s">
        <v>258</v>
      </c>
      <c r="F7" s="852" t="s">
        <v>259</v>
      </c>
      <c r="G7" s="699"/>
      <c r="H7" s="696"/>
      <c r="I7" s="671"/>
      <c r="J7" s="859" t="s">
        <v>150</v>
      </c>
      <c r="K7" s="651"/>
      <c r="L7" s="651"/>
      <c r="M7" s="654"/>
      <c r="N7" s="857" t="s">
        <v>311</v>
      </c>
      <c r="O7" s="654"/>
      <c r="P7" s="857" t="s">
        <v>312</v>
      </c>
      <c r="Q7" s="654"/>
      <c r="R7" s="858" t="s">
        <v>313</v>
      </c>
      <c r="S7" s="654"/>
      <c r="T7" s="859" t="s">
        <v>150</v>
      </c>
      <c r="U7" s="651"/>
      <c r="V7" s="651"/>
      <c r="W7" s="654"/>
      <c r="X7" s="857" t="s">
        <v>311</v>
      </c>
      <c r="Y7" s="654"/>
      <c r="Z7" s="857" t="s">
        <v>314</v>
      </c>
      <c r="AA7" s="654"/>
      <c r="AB7" s="858" t="s">
        <v>313</v>
      </c>
      <c r="AC7" s="654"/>
      <c r="AD7" s="859" t="s">
        <v>150</v>
      </c>
      <c r="AE7" s="651"/>
      <c r="AF7" s="651"/>
      <c r="AG7" s="654"/>
      <c r="AH7" s="857" t="s">
        <v>311</v>
      </c>
      <c r="AI7" s="654"/>
      <c r="AJ7" s="857" t="s">
        <v>312</v>
      </c>
      <c r="AK7" s="654"/>
      <c r="AL7" s="857" t="s">
        <v>315</v>
      </c>
      <c r="AM7" s="654"/>
      <c r="AN7" s="857" t="s">
        <v>316</v>
      </c>
      <c r="AO7" s="654"/>
      <c r="AP7" s="857" t="s">
        <v>317</v>
      </c>
      <c r="AQ7" s="654"/>
      <c r="AR7" s="860" t="s">
        <v>318</v>
      </c>
      <c r="AS7" s="654"/>
      <c r="AT7" s="696"/>
      <c r="AU7" s="671"/>
      <c r="AV7" s="719"/>
      <c r="AW7" s="670"/>
      <c r="AX7" s="670"/>
      <c r="AY7" s="671"/>
      <c r="AZ7" s="857" t="s">
        <v>319</v>
      </c>
      <c r="BA7" s="654"/>
      <c r="BB7" s="857" t="s">
        <v>320</v>
      </c>
      <c r="BC7" s="654"/>
      <c r="BD7" s="858" t="s">
        <v>321</v>
      </c>
      <c r="BE7" s="654"/>
      <c r="BF7" s="862" t="s">
        <v>322</v>
      </c>
      <c r="BG7" s="691"/>
      <c r="BH7" s="870" t="s">
        <v>323</v>
      </c>
      <c r="BI7" s="691"/>
      <c r="BJ7" s="875"/>
      <c r="BK7" s="876"/>
      <c r="BL7" s="696"/>
      <c r="BM7" s="671"/>
      <c r="BN7" s="856" t="s">
        <v>324</v>
      </c>
      <c r="BO7" s="651"/>
      <c r="BP7" s="651"/>
      <c r="BQ7" s="654"/>
      <c r="BR7" s="878" t="s">
        <v>325</v>
      </c>
      <c r="BS7" s="879"/>
      <c r="BT7" s="878" t="s">
        <v>326</v>
      </c>
      <c r="BU7" s="879"/>
      <c r="BV7" s="696"/>
      <c r="BW7" s="671"/>
      <c r="BX7" s="856" t="s">
        <v>150</v>
      </c>
      <c r="BY7" s="651"/>
      <c r="BZ7" s="651"/>
      <c r="CA7" s="654"/>
      <c r="CB7" s="871" t="s">
        <v>327</v>
      </c>
      <c r="CC7" s="691"/>
      <c r="CD7" s="871" t="s">
        <v>328</v>
      </c>
      <c r="CE7" s="691"/>
      <c r="CF7" s="872" t="s">
        <v>329</v>
      </c>
      <c r="CG7" s="839"/>
    </row>
    <row r="8" spans="1:85" ht="36.75" customHeight="1">
      <c r="A8" s="662"/>
      <c r="B8" s="663"/>
      <c r="C8" s="493"/>
      <c r="D8" s="665"/>
      <c r="E8" s="494"/>
      <c r="F8" s="495" t="s">
        <v>26</v>
      </c>
      <c r="G8" s="495" t="s">
        <v>27</v>
      </c>
      <c r="H8" s="496" t="s">
        <v>240</v>
      </c>
      <c r="I8" s="496" t="s">
        <v>30</v>
      </c>
      <c r="J8" s="497" t="s">
        <v>240</v>
      </c>
      <c r="K8" s="498" t="s">
        <v>27</v>
      </c>
      <c r="L8" s="497" t="s">
        <v>30</v>
      </c>
      <c r="M8" s="497" t="s">
        <v>27</v>
      </c>
      <c r="N8" s="499" t="s">
        <v>240</v>
      </c>
      <c r="O8" s="499" t="s">
        <v>30</v>
      </c>
      <c r="P8" s="499" t="s">
        <v>240</v>
      </c>
      <c r="Q8" s="499" t="s">
        <v>30</v>
      </c>
      <c r="R8" s="499" t="s">
        <v>240</v>
      </c>
      <c r="S8" s="499" t="s">
        <v>30</v>
      </c>
      <c r="T8" s="497" t="s">
        <v>240</v>
      </c>
      <c r="U8" s="497" t="s">
        <v>27</v>
      </c>
      <c r="V8" s="497" t="s">
        <v>30</v>
      </c>
      <c r="W8" s="497" t="s">
        <v>27</v>
      </c>
      <c r="X8" s="499" t="s">
        <v>240</v>
      </c>
      <c r="Y8" s="499" t="s">
        <v>30</v>
      </c>
      <c r="Z8" s="499" t="s">
        <v>240</v>
      </c>
      <c r="AA8" s="499" t="s">
        <v>30</v>
      </c>
      <c r="AB8" s="499" t="s">
        <v>240</v>
      </c>
      <c r="AC8" s="499" t="s">
        <v>30</v>
      </c>
      <c r="AD8" s="497" t="s">
        <v>240</v>
      </c>
      <c r="AE8" s="498" t="s">
        <v>27</v>
      </c>
      <c r="AF8" s="497" t="s">
        <v>30</v>
      </c>
      <c r="AG8" s="498" t="s">
        <v>27</v>
      </c>
      <c r="AH8" s="499" t="s">
        <v>240</v>
      </c>
      <c r="AI8" s="499" t="s">
        <v>30</v>
      </c>
      <c r="AJ8" s="499" t="s">
        <v>240</v>
      </c>
      <c r="AK8" s="499" t="s">
        <v>30</v>
      </c>
      <c r="AL8" s="499" t="s">
        <v>240</v>
      </c>
      <c r="AM8" s="499" t="s">
        <v>30</v>
      </c>
      <c r="AN8" s="499" t="s">
        <v>240</v>
      </c>
      <c r="AO8" s="499" t="s">
        <v>30</v>
      </c>
      <c r="AP8" s="499" t="s">
        <v>240</v>
      </c>
      <c r="AQ8" s="499" t="s">
        <v>30</v>
      </c>
      <c r="AR8" s="499" t="s">
        <v>240</v>
      </c>
      <c r="AS8" s="499" t="s">
        <v>30</v>
      </c>
      <c r="AT8" s="496" t="s">
        <v>240</v>
      </c>
      <c r="AU8" s="496" t="s">
        <v>30</v>
      </c>
      <c r="AV8" s="497" t="s">
        <v>240</v>
      </c>
      <c r="AW8" s="497" t="s">
        <v>27</v>
      </c>
      <c r="AX8" s="497" t="s">
        <v>30</v>
      </c>
      <c r="AY8" s="497" t="s">
        <v>27</v>
      </c>
      <c r="AZ8" s="499" t="s">
        <v>240</v>
      </c>
      <c r="BA8" s="499" t="s">
        <v>30</v>
      </c>
      <c r="BB8" s="499" t="s">
        <v>240</v>
      </c>
      <c r="BC8" s="499" t="s">
        <v>30</v>
      </c>
      <c r="BD8" s="499" t="s">
        <v>240</v>
      </c>
      <c r="BE8" s="499" t="s">
        <v>30</v>
      </c>
      <c r="BF8" s="499" t="s">
        <v>240</v>
      </c>
      <c r="BG8" s="499" t="s">
        <v>30</v>
      </c>
      <c r="BH8" s="499" t="s">
        <v>240</v>
      </c>
      <c r="BI8" s="499" t="s">
        <v>30</v>
      </c>
      <c r="BJ8" s="499" t="s">
        <v>240</v>
      </c>
      <c r="BK8" s="499" t="s">
        <v>30</v>
      </c>
      <c r="BL8" s="496" t="s">
        <v>240</v>
      </c>
      <c r="BM8" s="496" t="s">
        <v>30</v>
      </c>
      <c r="BN8" s="499" t="s">
        <v>240</v>
      </c>
      <c r="BO8" s="500" t="s">
        <v>27</v>
      </c>
      <c r="BP8" s="499" t="s">
        <v>30</v>
      </c>
      <c r="BQ8" s="500" t="s">
        <v>27</v>
      </c>
      <c r="BR8" s="499" t="s">
        <v>240</v>
      </c>
      <c r="BS8" s="499" t="s">
        <v>30</v>
      </c>
      <c r="BT8" s="499" t="s">
        <v>240</v>
      </c>
      <c r="BU8" s="499" t="s">
        <v>30</v>
      </c>
      <c r="BV8" s="499" t="s">
        <v>240</v>
      </c>
      <c r="BW8" s="499" t="s">
        <v>30</v>
      </c>
      <c r="BX8" s="499" t="s">
        <v>240</v>
      </c>
      <c r="BY8" s="500" t="s">
        <v>27</v>
      </c>
      <c r="BZ8" s="499" t="s">
        <v>30</v>
      </c>
      <c r="CA8" s="500" t="s">
        <v>27</v>
      </c>
      <c r="CB8" s="499" t="s">
        <v>240</v>
      </c>
      <c r="CC8" s="499" t="s">
        <v>30</v>
      </c>
      <c r="CD8" s="499" t="s">
        <v>240</v>
      </c>
      <c r="CE8" s="499" t="s">
        <v>30</v>
      </c>
      <c r="CF8" s="499" t="s">
        <v>240</v>
      </c>
      <c r="CG8" s="501" t="s">
        <v>30</v>
      </c>
    </row>
    <row r="9" spans="1:85" ht="27" customHeight="1">
      <c r="A9" s="853" t="s">
        <v>34</v>
      </c>
      <c r="B9" s="731"/>
      <c r="C9" s="502">
        <f t="shared" ref="C9:E9" ca="1" si="0">C10+C11</f>
        <v>38601302</v>
      </c>
      <c r="D9" s="503">
        <f t="shared" ca="1" si="0"/>
        <v>0</v>
      </c>
      <c r="E9" s="504">
        <f t="shared" ca="1" si="0"/>
        <v>38601302</v>
      </c>
      <c r="F9" s="505">
        <f ca="1">+F10+F11</f>
        <v>6952868.2599999998</v>
      </c>
      <c r="G9" s="506">
        <f t="shared" ref="G9:G114" ca="1" si="1">IF(C9&gt;0,F9*100/C9,0)</f>
        <v>18.01200451736058</v>
      </c>
      <c r="H9" s="507">
        <f t="shared" ref="H9:J9" ca="1" si="2">H10+H11</f>
        <v>2725317</v>
      </c>
      <c r="I9" s="507">
        <f t="shared" ca="1" si="2"/>
        <v>295254</v>
      </c>
      <c r="J9" s="508">
        <f t="shared" ca="1" si="2"/>
        <v>2635924.6595000001</v>
      </c>
      <c r="K9" s="509">
        <f t="shared" ref="K9:K114" ca="1" si="3">IF(H9&gt;0,J9*100/H9,0)</f>
        <v>96.71992870921072</v>
      </c>
      <c r="L9" s="508">
        <f ca="1">L10+L11</f>
        <v>289050</v>
      </c>
      <c r="M9" s="509">
        <f t="shared" ref="M9:M114" ca="1" si="4">IF(I9&gt;0,L9*100/I9,0)</f>
        <v>97.898758357211079</v>
      </c>
      <c r="N9" s="510">
        <f t="shared" ref="N9:T9" ca="1" si="5">N10+N11</f>
        <v>2126629.5185000002</v>
      </c>
      <c r="O9" s="510">
        <f t="shared" ca="1" si="5"/>
        <v>243145</v>
      </c>
      <c r="P9" s="510">
        <f t="shared" ca="1" si="5"/>
        <v>442887.55549999996</v>
      </c>
      <c r="Q9" s="510">
        <f t="shared" ca="1" si="5"/>
        <v>39402</v>
      </c>
      <c r="R9" s="510">
        <f t="shared" ca="1" si="5"/>
        <v>66407.585500000001</v>
      </c>
      <c r="S9" s="510">
        <f t="shared" ca="1" si="5"/>
        <v>6503</v>
      </c>
      <c r="T9" s="508">
        <f t="shared" ca="1" si="5"/>
        <v>2394708.4325000001</v>
      </c>
      <c r="U9" s="509">
        <f t="shared" ref="U9:U114" ca="1" si="6">IF(H9&gt;0,T9*100/H9,0)</f>
        <v>87.868986708702138</v>
      </c>
      <c r="V9" s="508">
        <f ca="1">V10+V11</f>
        <v>266289</v>
      </c>
      <c r="W9" s="509">
        <f t="shared" ref="W9:W114" ca="1" si="7">IF(I9&gt;0,V9*100/I9,0)</f>
        <v>90.189802678371848</v>
      </c>
      <c r="X9" s="510">
        <f t="shared" ref="X9:AD9" ca="1" si="8">X10+X11</f>
        <v>2024573.4725000001</v>
      </c>
      <c r="Y9" s="510">
        <f t="shared" ca="1" si="8"/>
        <v>232572</v>
      </c>
      <c r="Z9" s="510">
        <f t="shared" ca="1" si="8"/>
        <v>310097.02250000002</v>
      </c>
      <c r="AA9" s="510">
        <f t="shared" ca="1" si="8"/>
        <v>27694</v>
      </c>
      <c r="AB9" s="510">
        <f t="shared" ca="1" si="8"/>
        <v>60037.937499999993</v>
      </c>
      <c r="AC9" s="510">
        <f t="shared" ca="1" si="8"/>
        <v>6023</v>
      </c>
      <c r="AD9" s="508">
        <f t="shared" ca="1" si="8"/>
        <v>1080217.4875</v>
      </c>
      <c r="AE9" s="509">
        <f t="shared" ref="AE9:AE114" ca="1" si="9">IF(H9&gt;0,AD9*100/H9,0)</f>
        <v>39.636397802530858</v>
      </c>
      <c r="AF9" s="508">
        <f ca="1">AF10+AF11</f>
        <v>125995</v>
      </c>
      <c r="AG9" s="509">
        <f t="shared" ref="AG9:AG114" ca="1" si="10">IF(I9&gt;0,AF9*100/I9,0)</f>
        <v>42.673426947645076</v>
      </c>
      <c r="AH9" s="510">
        <f t="shared" ref="AH9:AV9" ca="1" si="11">AH10+AH11</f>
        <v>950525.45499999996</v>
      </c>
      <c r="AI9" s="510">
        <f t="shared" ca="1" si="11"/>
        <v>113470</v>
      </c>
      <c r="AJ9" s="510">
        <f t="shared" ca="1" si="11"/>
        <v>110703.4025</v>
      </c>
      <c r="AK9" s="510">
        <f t="shared" ca="1" si="11"/>
        <v>10416</v>
      </c>
      <c r="AL9" s="510">
        <f t="shared" ca="1" si="11"/>
        <v>18472.172500000001</v>
      </c>
      <c r="AM9" s="510">
        <f t="shared" ca="1" si="11"/>
        <v>2058</v>
      </c>
      <c r="AN9" s="510">
        <f t="shared" ca="1" si="11"/>
        <v>516.45749999999998</v>
      </c>
      <c r="AO9" s="510">
        <f t="shared" ca="1" si="11"/>
        <v>51</v>
      </c>
      <c r="AP9" s="510">
        <f t="shared" ca="1" si="11"/>
        <v>0</v>
      </c>
      <c r="AQ9" s="510">
        <f t="shared" ca="1" si="11"/>
        <v>0</v>
      </c>
      <c r="AR9" s="510">
        <f t="shared" ca="1" si="11"/>
        <v>2.11</v>
      </c>
      <c r="AS9" s="510">
        <f t="shared" ca="1" si="11"/>
        <v>1</v>
      </c>
      <c r="AT9" s="507">
        <f t="shared" ca="1" si="11"/>
        <v>212183</v>
      </c>
      <c r="AU9" s="507">
        <f t="shared" ca="1" si="11"/>
        <v>18551</v>
      </c>
      <c r="AV9" s="511">
        <f t="shared" ca="1" si="11"/>
        <v>39814.287499999999</v>
      </c>
      <c r="AW9" s="511">
        <f t="shared" ref="AW9:AW114" ca="1" si="12">IF(AT9&gt;0,AV9*100/AT9,0)</f>
        <v>18.764126956447971</v>
      </c>
      <c r="AX9" s="511">
        <f ca="1">AX10+AX11</f>
        <v>4325</v>
      </c>
      <c r="AY9" s="511">
        <f t="shared" ref="AY9:AY114" ca="1" si="13">IF(AU9&gt;0,AX9*100/AU9,0)</f>
        <v>23.314107056223385</v>
      </c>
      <c r="AZ9" s="510">
        <f t="shared" ref="AZ9:BN9" ca="1" si="14">AZ10+AZ11</f>
        <v>23967.53</v>
      </c>
      <c r="BA9" s="510">
        <f t="shared" ca="1" si="14"/>
        <v>2483</v>
      </c>
      <c r="BB9" s="510">
        <f t="shared" ca="1" si="14"/>
        <v>10896.050000000001</v>
      </c>
      <c r="BC9" s="510">
        <f t="shared" ca="1" si="14"/>
        <v>1075</v>
      </c>
      <c r="BD9" s="510">
        <f t="shared" ca="1" si="14"/>
        <v>26</v>
      </c>
      <c r="BE9" s="510">
        <f t="shared" ca="1" si="14"/>
        <v>1</v>
      </c>
      <c r="BF9" s="510">
        <f t="shared" ca="1" si="14"/>
        <v>2805.1950000000002</v>
      </c>
      <c r="BG9" s="510">
        <f t="shared" ca="1" si="14"/>
        <v>327</v>
      </c>
      <c r="BH9" s="510">
        <f t="shared" ca="1" si="14"/>
        <v>298.6825</v>
      </c>
      <c r="BI9" s="510">
        <f t="shared" ca="1" si="14"/>
        <v>39</v>
      </c>
      <c r="BJ9" s="510">
        <f t="shared" ca="1" si="14"/>
        <v>1820.83</v>
      </c>
      <c r="BK9" s="510">
        <f t="shared" ca="1" si="14"/>
        <v>400</v>
      </c>
      <c r="BL9" s="507">
        <f t="shared" ca="1" si="14"/>
        <v>2500000</v>
      </c>
      <c r="BM9" s="507">
        <f t="shared" ca="1" si="14"/>
        <v>0</v>
      </c>
      <c r="BN9" s="510">
        <f t="shared" ca="1" si="14"/>
        <v>2179872</v>
      </c>
      <c r="BO9" s="512">
        <f t="shared" ref="BO9:BO90" ca="1" si="15">IF(BL9&gt;0,BN9*100/BL9,0)</f>
        <v>87.194879999999998</v>
      </c>
      <c r="BP9" s="510">
        <f ca="1">BP10+BP11</f>
        <v>219479</v>
      </c>
      <c r="BQ9" s="512">
        <f t="shared" ref="BQ9:BQ114" ca="1" si="16">IF(BM9&gt;0,BP9*100/BM9,0)</f>
        <v>0</v>
      </c>
      <c r="BR9" s="510">
        <f t="shared" ref="BR9:BX9" ca="1" si="17">BR10+BR11</f>
        <v>2168699</v>
      </c>
      <c r="BS9" s="510">
        <f t="shared" ca="1" si="17"/>
        <v>218881</v>
      </c>
      <c r="BT9" s="510">
        <f t="shared" ca="1" si="17"/>
        <v>11173</v>
      </c>
      <c r="BU9" s="510">
        <f t="shared" ca="1" si="17"/>
        <v>598</v>
      </c>
      <c r="BV9" s="510">
        <f t="shared" ca="1" si="17"/>
        <v>11173</v>
      </c>
      <c r="BW9" s="510">
        <f t="shared" ca="1" si="17"/>
        <v>598</v>
      </c>
      <c r="BX9" s="510">
        <f t="shared" ca="1" si="17"/>
        <v>5064.41</v>
      </c>
      <c r="BY9" s="512">
        <f t="shared" ref="BY9:BY32" ca="1" si="18">IF(BV9&gt;0,BX9*100/BV9,0)</f>
        <v>45.327217399087083</v>
      </c>
      <c r="BZ9" s="510">
        <f ca="1">BZ10+BZ11</f>
        <v>39</v>
      </c>
      <c r="CA9" s="512">
        <f t="shared" ref="CA9:CA32" ca="1" si="19">IF(BW9&gt;0,BZ9*100/BW9,0)</f>
        <v>6.5217391304347823</v>
      </c>
      <c r="CB9" s="510">
        <f t="shared" ref="CB9:CG9" ca="1" si="20">CB10+CB11</f>
        <v>4504.51</v>
      </c>
      <c r="CC9" s="510">
        <f t="shared" ca="1" si="20"/>
        <v>124</v>
      </c>
      <c r="CD9" s="510">
        <f t="shared" ca="1" si="20"/>
        <v>182.9</v>
      </c>
      <c r="CE9" s="513">
        <f t="shared" ca="1" si="20"/>
        <v>32</v>
      </c>
      <c r="CF9" s="513">
        <f t="shared" ca="1" si="20"/>
        <v>377</v>
      </c>
      <c r="CG9" s="514">
        <f t="shared" ca="1" si="20"/>
        <v>19</v>
      </c>
    </row>
    <row r="10" spans="1:85" ht="24" customHeight="1">
      <c r="A10" s="515" t="s">
        <v>35</v>
      </c>
      <c r="B10" s="516"/>
      <c r="C10" s="517">
        <f t="shared" ref="C10:F10" ca="1" si="21">+C15+C33+C54+C76</f>
        <v>27982352</v>
      </c>
      <c r="D10" s="518">
        <f t="shared" ca="1" si="21"/>
        <v>0</v>
      </c>
      <c r="E10" s="518">
        <f t="shared" ca="1" si="21"/>
        <v>27982352</v>
      </c>
      <c r="F10" s="518">
        <f t="shared" ca="1" si="21"/>
        <v>6371384.21</v>
      </c>
      <c r="G10" s="519">
        <f t="shared" ca="1" si="1"/>
        <v>22.769294768359714</v>
      </c>
      <c r="H10" s="520">
        <f t="shared" ref="H10:J10" ca="1" si="22">+H15+H33+H54+H76</f>
        <v>2725317</v>
      </c>
      <c r="I10" s="520">
        <f t="shared" ca="1" si="22"/>
        <v>295254</v>
      </c>
      <c r="J10" s="520">
        <f t="shared" ca="1" si="22"/>
        <v>2635924.6595000001</v>
      </c>
      <c r="K10" s="521">
        <f t="shared" ca="1" si="3"/>
        <v>96.71992870921072</v>
      </c>
      <c r="L10" s="520">
        <f ca="1">+L15+L33+L54+L76</f>
        <v>289050</v>
      </c>
      <c r="M10" s="521">
        <f t="shared" ca="1" si="4"/>
        <v>97.898758357211079</v>
      </c>
      <c r="N10" s="520">
        <f t="shared" ref="N10:T10" ca="1" si="23">+N15+N33+N54+N76</f>
        <v>2126629.5185000002</v>
      </c>
      <c r="O10" s="520">
        <f t="shared" ca="1" si="23"/>
        <v>243145</v>
      </c>
      <c r="P10" s="520">
        <f t="shared" ca="1" si="23"/>
        <v>442887.55549999996</v>
      </c>
      <c r="Q10" s="520">
        <f t="shared" ca="1" si="23"/>
        <v>39402</v>
      </c>
      <c r="R10" s="520">
        <f t="shared" ca="1" si="23"/>
        <v>66407.585500000001</v>
      </c>
      <c r="S10" s="520">
        <f t="shared" ca="1" si="23"/>
        <v>6503</v>
      </c>
      <c r="T10" s="520">
        <f t="shared" ca="1" si="23"/>
        <v>2394708.4325000001</v>
      </c>
      <c r="U10" s="521">
        <f t="shared" ca="1" si="6"/>
        <v>87.868986708702138</v>
      </c>
      <c r="V10" s="520">
        <f ca="1">+V15+V33+V54+V76</f>
        <v>266289</v>
      </c>
      <c r="W10" s="521">
        <f t="shared" ca="1" si="7"/>
        <v>90.189802678371848</v>
      </c>
      <c r="X10" s="520">
        <f t="shared" ref="X10:AD10" ca="1" si="24">+X15+X33+X54+X76</f>
        <v>2024573.4725000001</v>
      </c>
      <c r="Y10" s="520">
        <f t="shared" ca="1" si="24"/>
        <v>232572</v>
      </c>
      <c r="Z10" s="520">
        <f t="shared" ca="1" si="24"/>
        <v>310097.02250000002</v>
      </c>
      <c r="AA10" s="520">
        <f t="shared" ca="1" si="24"/>
        <v>27694</v>
      </c>
      <c r="AB10" s="520">
        <f t="shared" ca="1" si="24"/>
        <v>60037.937499999993</v>
      </c>
      <c r="AC10" s="520">
        <f t="shared" ca="1" si="24"/>
        <v>6023</v>
      </c>
      <c r="AD10" s="520">
        <f t="shared" ca="1" si="24"/>
        <v>1080217.4875</v>
      </c>
      <c r="AE10" s="521">
        <f t="shared" ca="1" si="9"/>
        <v>39.636397802530858</v>
      </c>
      <c r="AF10" s="520">
        <f ca="1">+AF15+AF33+AF54+AF76</f>
        <v>125995</v>
      </c>
      <c r="AG10" s="521">
        <f t="shared" ca="1" si="10"/>
        <v>42.673426947645076</v>
      </c>
      <c r="AH10" s="520">
        <f t="shared" ref="AH10:AV10" ca="1" si="25">+AH15+AH33+AH54+AH76</f>
        <v>950525.45499999996</v>
      </c>
      <c r="AI10" s="520">
        <f t="shared" ca="1" si="25"/>
        <v>113470</v>
      </c>
      <c r="AJ10" s="520">
        <f t="shared" ca="1" si="25"/>
        <v>110703.4025</v>
      </c>
      <c r="AK10" s="520">
        <f t="shared" ca="1" si="25"/>
        <v>10416</v>
      </c>
      <c r="AL10" s="520">
        <f t="shared" ca="1" si="25"/>
        <v>18472.172500000001</v>
      </c>
      <c r="AM10" s="520">
        <f t="shared" ca="1" si="25"/>
        <v>2058</v>
      </c>
      <c r="AN10" s="520">
        <f t="shared" ca="1" si="25"/>
        <v>516.45749999999998</v>
      </c>
      <c r="AO10" s="520">
        <f t="shared" ca="1" si="25"/>
        <v>51</v>
      </c>
      <c r="AP10" s="520">
        <f t="shared" ca="1" si="25"/>
        <v>0</v>
      </c>
      <c r="AQ10" s="520">
        <f t="shared" ca="1" si="25"/>
        <v>0</v>
      </c>
      <c r="AR10" s="520">
        <f t="shared" ca="1" si="25"/>
        <v>2.11</v>
      </c>
      <c r="AS10" s="520">
        <f t="shared" ca="1" si="25"/>
        <v>1</v>
      </c>
      <c r="AT10" s="520">
        <f t="shared" ca="1" si="25"/>
        <v>212183</v>
      </c>
      <c r="AU10" s="520">
        <f t="shared" ca="1" si="25"/>
        <v>18551</v>
      </c>
      <c r="AV10" s="520">
        <f t="shared" ca="1" si="25"/>
        <v>39814.287499999999</v>
      </c>
      <c r="AW10" s="520">
        <f t="shared" ca="1" si="12"/>
        <v>18.764126956447971</v>
      </c>
      <c r="AX10" s="520">
        <f ca="1">+AX15+AX33+AX54+AX76</f>
        <v>4325</v>
      </c>
      <c r="AY10" s="520">
        <f t="shared" ca="1" si="13"/>
        <v>23.314107056223385</v>
      </c>
      <c r="AZ10" s="520">
        <f t="shared" ref="AZ10:BN10" ca="1" si="26">+AZ15+AZ33+AZ54+AZ76</f>
        <v>23967.53</v>
      </c>
      <c r="BA10" s="520">
        <f t="shared" ca="1" si="26"/>
        <v>2483</v>
      </c>
      <c r="BB10" s="522">
        <f t="shared" ca="1" si="26"/>
        <v>10896.050000000001</v>
      </c>
      <c r="BC10" s="522">
        <f t="shared" ca="1" si="26"/>
        <v>1075</v>
      </c>
      <c r="BD10" s="522">
        <f t="shared" ca="1" si="26"/>
        <v>26</v>
      </c>
      <c r="BE10" s="522">
        <f t="shared" ca="1" si="26"/>
        <v>1</v>
      </c>
      <c r="BF10" s="520">
        <f t="shared" ca="1" si="26"/>
        <v>2805.1950000000002</v>
      </c>
      <c r="BG10" s="520">
        <f t="shared" ca="1" si="26"/>
        <v>327</v>
      </c>
      <c r="BH10" s="520">
        <f t="shared" ca="1" si="26"/>
        <v>298.6825</v>
      </c>
      <c r="BI10" s="520">
        <f t="shared" ca="1" si="26"/>
        <v>39</v>
      </c>
      <c r="BJ10" s="520">
        <f t="shared" ca="1" si="26"/>
        <v>1820.83</v>
      </c>
      <c r="BK10" s="520">
        <f t="shared" ca="1" si="26"/>
        <v>400</v>
      </c>
      <c r="BL10" s="520">
        <f t="shared" ca="1" si="26"/>
        <v>0</v>
      </c>
      <c r="BM10" s="520">
        <f t="shared" ca="1" si="26"/>
        <v>0</v>
      </c>
      <c r="BN10" s="520">
        <f t="shared" ca="1" si="26"/>
        <v>0</v>
      </c>
      <c r="BO10" s="521">
        <f t="shared" ca="1" si="15"/>
        <v>0</v>
      </c>
      <c r="BP10" s="520">
        <f ca="1">+BP15+BP33+BP54+BP76</f>
        <v>0</v>
      </c>
      <c r="BQ10" s="521">
        <f t="shared" ca="1" si="16"/>
        <v>0</v>
      </c>
      <c r="BR10" s="520">
        <f t="shared" ref="BR10:BX10" ca="1" si="27">+BR15+BR33+BR54+BR76</f>
        <v>0</v>
      </c>
      <c r="BS10" s="520">
        <f t="shared" ca="1" si="27"/>
        <v>0</v>
      </c>
      <c r="BT10" s="520">
        <f t="shared" ca="1" si="27"/>
        <v>0</v>
      </c>
      <c r="BU10" s="520">
        <f t="shared" ca="1" si="27"/>
        <v>0</v>
      </c>
      <c r="BV10" s="520">
        <f t="shared" ca="1" si="27"/>
        <v>11173</v>
      </c>
      <c r="BW10" s="520">
        <f t="shared" ca="1" si="27"/>
        <v>598</v>
      </c>
      <c r="BX10" s="520">
        <f t="shared" ca="1" si="27"/>
        <v>5064.41</v>
      </c>
      <c r="BY10" s="521">
        <f t="shared" ca="1" si="18"/>
        <v>45.327217399087083</v>
      </c>
      <c r="BZ10" s="520">
        <f ca="1">+BZ15+BZ33+BZ54+BZ76</f>
        <v>39</v>
      </c>
      <c r="CA10" s="521">
        <f t="shared" ca="1" si="19"/>
        <v>6.5217391304347823</v>
      </c>
      <c r="CB10" s="520">
        <f t="shared" ref="CB10:CG10" ca="1" si="28">+CB15+CB33+CB54+CB76</f>
        <v>4504.51</v>
      </c>
      <c r="CC10" s="520">
        <f t="shared" ca="1" si="28"/>
        <v>124</v>
      </c>
      <c r="CD10" s="520">
        <f t="shared" ca="1" si="28"/>
        <v>182.9</v>
      </c>
      <c r="CE10" s="518">
        <f t="shared" ca="1" si="28"/>
        <v>32</v>
      </c>
      <c r="CF10" s="518">
        <f t="shared" ca="1" si="28"/>
        <v>377</v>
      </c>
      <c r="CG10" s="523">
        <f t="shared" ca="1" si="28"/>
        <v>19</v>
      </c>
    </row>
    <row r="11" spans="1:85" ht="24" customHeight="1">
      <c r="A11" s="524" t="s">
        <v>373</v>
      </c>
      <c r="B11" s="525"/>
      <c r="C11" s="526">
        <f t="shared" ref="C11:F11" ca="1" si="29">+C12+C13</f>
        <v>10618950</v>
      </c>
      <c r="D11" s="527">
        <f t="shared" ca="1" si="29"/>
        <v>0</v>
      </c>
      <c r="E11" s="527">
        <f t="shared" ca="1" si="29"/>
        <v>10618950</v>
      </c>
      <c r="F11" s="527">
        <f t="shared" ca="1" si="29"/>
        <v>581484.05000000005</v>
      </c>
      <c r="G11" s="528">
        <f t="shared" ca="1" si="1"/>
        <v>5.4759091058908842</v>
      </c>
      <c r="H11" s="527">
        <f t="shared" ref="H11:J11" ca="1" si="30">+H12+H13</f>
        <v>0</v>
      </c>
      <c r="I11" s="527">
        <f t="shared" ca="1" si="30"/>
        <v>0</v>
      </c>
      <c r="J11" s="527">
        <f t="shared" si="30"/>
        <v>0</v>
      </c>
      <c r="K11" s="528">
        <f t="shared" ca="1" si="3"/>
        <v>0</v>
      </c>
      <c r="L11" s="527">
        <f>+L12+L13</f>
        <v>0</v>
      </c>
      <c r="M11" s="528">
        <f t="shared" ca="1" si="4"/>
        <v>0</v>
      </c>
      <c r="N11" s="527">
        <f t="shared" ref="N11:T11" si="31">+N12+N13</f>
        <v>0</v>
      </c>
      <c r="O11" s="527">
        <f t="shared" si="31"/>
        <v>0</v>
      </c>
      <c r="P11" s="527">
        <f t="shared" si="31"/>
        <v>0</v>
      </c>
      <c r="Q11" s="527">
        <f t="shared" si="31"/>
        <v>0</v>
      </c>
      <c r="R11" s="527">
        <f t="shared" si="31"/>
        <v>0</v>
      </c>
      <c r="S11" s="527">
        <f t="shared" si="31"/>
        <v>0</v>
      </c>
      <c r="T11" s="527">
        <f t="shared" si="31"/>
        <v>0</v>
      </c>
      <c r="U11" s="528">
        <f t="shared" ca="1" si="6"/>
        <v>0</v>
      </c>
      <c r="V11" s="527">
        <f>+V12+V13</f>
        <v>0</v>
      </c>
      <c r="W11" s="528">
        <f t="shared" ca="1" si="7"/>
        <v>0</v>
      </c>
      <c r="X11" s="527">
        <f t="shared" ref="X11:AD11" si="32">+X12+X13</f>
        <v>0</v>
      </c>
      <c r="Y11" s="527">
        <f t="shared" si="32"/>
        <v>0</v>
      </c>
      <c r="Z11" s="527">
        <f t="shared" si="32"/>
        <v>0</v>
      </c>
      <c r="AA11" s="527">
        <f t="shared" si="32"/>
        <v>0</v>
      </c>
      <c r="AB11" s="527">
        <f t="shared" si="32"/>
        <v>0</v>
      </c>
      <c r="AC11" s="527">
        <f t="shared" si="32"/>
        <v>0</v>
      </c>
      <c r="AD11" s="527">
        <f t="shared" si="32"/>
        <v>0</v>
      </c>
      <c r="AE11" s="528">
        <f t="shared" ca="1" si="9"/>
        <v>0</v>
      </c>
      <c r="AF11" s="527">
        <f>+AF12+AF13</f>
        <v>0</v>
      </c>
      <c r="AG11" s="528">
        <f t="shared" ca="1" si="10"/>
        <v>0</v>
      </c>
      <c r="AH11" s="527">
        <f t="shared" ref="AH11:AV11" si="33">+AH12+AH13</f>
        <v>0</v>
      </c>
      <c r="AI11" s="527">
        <f t="shared" si="33"/>
        <v>0</v>
      </c>
      <c r="AJ11" s="527">
        <f t="shared" si="33"/>
        <v>0</v>
      </c>
      <c r="AK11" s="527">
        <f t="shared" si="33"/>
        <v>0</v>
      </c>
      <c r="AL11" s="527">
        <f t="shared" si="33"/>
        <v>0</v>
      </c>
      <c r="AM11" s="527">
        <f t="shared" si="33"/>
        <v>0</v>
      </c>
      <c r="AN11" s="527">
        <f t="shared" si="33"/>
        <v>0</v>
      </c>
      <c r="AO11" s="527">
        <f t="shared" si="33"/>
        <v>0</v>
      </c>
      <c r="AP11" s="527">
        <f t="shared" si="33"/>
        <v>0</v>
      </c>
      <c r="AQ11" s="527">
        <f t="shared" si="33"/>
        <v>0</v>
      </c>
      <c r="AR11" s="527">
        <f t="shared" si="33"/>
        <v>0</v>
      </c>
      <c r="AS11" s="527">
        <f t="shared" si="33"/>
        <v>0</v>
      </c>
      <c r="AT11" s="527">
        <f t="shared" ca="1" si="33"/>
        <v>0</v>
      </c>
      <c r="AU11" s="527">
        <f t="shared" ca="1" si="33"/>
        <v>0</v>
      </c>
      <c r="AV11" s="527">
        <f t="shared" si="33"/>
        <v>0</v>
      </c>
      <c r="AW11" s="527">
        <f t="shared" ca="1" si="12"/>
        <v>0</v>
      </c>
      <c r="AX11" s="527">
        <f>+AX12+AX13</f>
        <v>0</v>
      </c>
      <c r="AY11" s="527">
        <f t="shared" ca="1" si="13"/>
        <v>0</v>
      </c>
      <c r="AZ11" s="527">
        <f t="shared" ref="AZ11:BN11" si="34">+AZ12+AZ13</f>
        <v>0</v>
      </c>
      <c r="BA11" s="527">
        <f t="shared" si="34"/>
        <v>0</v>
      </c>
      <c r="BB11" s="527">
        <f t="shared" si="34"/>
        <v>0</v>
      </c>
      <c r="BC11" s="527">
        <f t="shared" si="34"/>
        <v>0</v>
      </c>
      <c r="BD11" s="527">
        <f t="shared" si="34"/>
        <v>0</v>
      </c>
      <c r="BE11" s="527">
        <f t="shared" si="34"/>
        <v>0</v>
      </c>
      <c r="BF11" s="527">
        <f t="shared" si="34"/>
        <v>0</v>
      </c>
      <c r="BG11" s="527">
        <f t="shared" si="34"/>
        <v>0</v>
      </c>
      <c r="BH11" s="527">
        <f t="shared" si="34"/>
        <v>0</v>
      </c>
      <c r="BI11" s="527">
        <f t="shared" si="34"/>
        <v>0</v>
      </c>
      <c r="BJ11" s="527">
        <f t="shared" si="34"/>
        <v>0</v>
      </c>
      <c r="BK11" s="527">
        <f t="shared" si="34"/>
        <v>0</v>
      </c>
      <c r="BL11" s="527">
        <f t="shared" ca="1" si="34"/>
        <v>2500000</v>
      </c>
      <c r="BM11" s="527">
        <f t="shared" ca="1" si="34"/>
        <v>0</v>
      </c>
      <c r="BN11" s="527">
        <f t="shared" ca="1" si="34"/>
        <v>2179872</v>
      </c>
      <c r="BO11" s="528">
        <f t="shared" ca="1" si="15"/>
        <v>87.194879999999998</v>
      </c>
      <c r="BP11" s="527">
        <f ca="1">+BP12+BP13</f>
        <v>219479</v>
      </c>
      <c r="BQ11" s="528">
        <f t="shared" ca="1" si="16"/>
        <v>0</v>
      </c>
      <c r="BR11" s="527">
        <f t="shared" ref="BR11:BX11" ca="1" si="35">+BR12+BR13</f>
        <v>2168699</v>
      </c>
      <c r="BS11" s="527">
        <f t="shared" ca="1" si="35"/>
        <v>218881</v>
      </c>
      <c r="BT11" s="527">
        <f t="shared" ca="1" si="35"/>
        <v>11173</v>
      </c>
      <c r="BU11" s="527">
        <f t="shared" ca="1" si="35"/>
        <v>598</v>
      </c>
      <c r="BV11" s="527">
        <f t="shared" si="35"/>
        <v>0</v>
      </c>
      <c r="BW11" s="527">
        <f t="shared" si="35"/>
        <v>0</v>
      </c>
      <c r="BX11" s="527">
        <f t="shared" si="35"/>
        <v>0</v>
      </c>
      <c r="BY11" s="528">
        <f t="shared" si="18"/>
        <v>0</v>
      </c>
      <c r="BZ11" s="527">
        <f>+BZ12+BZ13</f>
        <v>0</v>
      </c>
      <c r="CA11" s="528">
        <f t="shared" si="19"/>
        <v>0</v>
      </c>
      <c r="CB11" s="527">
        <f t="shared" ref="CB11:CG11" si="36">+CB12+CB13</f>
        <v>0</v>
      </c>
      <c r="CC11" s="527">
        <f t="shared" si="36"/>
        <v>0</v>
      </c>
      <c r="CD11" s="527">
        <f t="shared" si="36"/>
        <v>0</v>
      </c>
      <c r="CE11" s="527">
        <f t="shared" si="36"/>
        <v>0</v>
      </c>
      <c r="CF11" s="527">
        <f t="shared" si="36"/>
        <v>0</v>
      </c>
      <c r="CG11" s="529">
        <f t="shared" si="36"/>
        <v>0</v>
      </c>
    </row>
    <row r="12" spans="1:85" ht="24" hidden="1" customHeight="1">
      <c r="A12" s="524" t="s">
        <v>36</v>
      </c>
      <c r="B12" s="525"/>
      <c r="C12" s="526">
        <f t="shared" ref="C12:E12" ca="1" si="37">+C91</f>
        <v>10618950</v>
      </c>
      <c r="D12" s="527">
        <f t="shared" ca="1" si="37"/>
        <v>0</v>
      </c>
      <c r="E12" s="527">
        <f t="shared" ca="1" si="37"/>
        <v>10618950</v>
      </c>
      <c r="F12" s="527">
        <f ca="1">IFERROR(__xludf.DUMMYFUNCTION("IMPORTRANGE(""https://docs.google.com/spreadsheets/d/1muirlRDkqiswvy_NRZ3Yh955hx-PF6_HhssUYiSJj8o/edit?usp=sharing"",""กองทุนส่วนกลาง!X10"")"),581484.05)</f>
        <v>581484.05000000005</v>
      </c>
      <c r="G12" s="528">
        <f t="shared" ca="1" si="1"/>
        <v>5.4759091058908842</v>
      </c>
      <c r="H12" s="527">
        <f t="shared" ref="H12:J12" ca="1" si="38">+H91</f>
        <v>0</v>
      </c>
      <c r="I12" s="527">
        <f t="shared" ca="1" si="38"/>
        <v>0</v>
      </c>
      <c r="J12" s="527">
        <f t="shared" si="38"/>
        <v>0</v>
      </c>
      <c r="K12" s="528">
        <f t="shared" ca="1" si="3"/>
        <v>0</v>
      </c>
      <c r="L12" s="527">
        <f>+L91</f>
        <v>0</v>
      </c>
      <c r="M12" s="528">
        <f t="shared" ca="1" si="4"/>
        <v>0</v>
      </c>
      <c r="N12" s="527">
        <f t="shared" ref="N12:T12" si="39">+N91</f>
        <v>0</v>
      </c>
      <c r="O12" s="527">
        <f t="shared" si="39"/>
        <v>0</v>
      </c>
      <c r="P12" s="527">
        <f t="shared" si="39"/>
        <v>0</v>
      </c>
      <c r="Q12" s="527">
        <f t="shared" si="39"/>
        <v>0</v>
      </c>
      <c r="R12" s="527">
        <f t="shared" si="39"/>
        <v>0</v>
      </c>
      <c r="S12" s="527">
        <f t="shared" si="39"/>
        <v>0</v>
      </c>
      <c r="T12" s="527">
        <f t="shared" si="39"/>
        <v>0</v>
      </c>
      <c r="U12" s="528">
        <f t="shared" ca="1" si="6"/>
        <v>0</v>
      </c>
      <c r="V12" s="527">
        <f>+V91</f>
        <v>0</v>
      </c>
      <c r="W12" s="528">
        <f t="shared" ca="1" si="7"/>
        <v>0</v>
      </c>
      <c r="X12" s="527">
        <f t="shared" ref="X12:AD12" si="40">+X91</f>
        <v>0</v>
      </c>
      <c r="Y12" s="527">
        <f t="shared" si="40"/>
        <v>0</v>
      </c>
      <c r="Z12" s="527">
        <f t="shared" si="40"/>
        <v>0</v>
      </c>
      <c r="AA12" s="527">
        <f t="shared" si="40"/>
        <v>0</v>
      </c>
      <c r="AB12" s="527">
        <f t="shared" si="40"/>
        <v>0</v>
      </c>
      <c r="AC12" s="527">
        <f t="shared" si="40"/>
        <v>0</v>
      </c>
      <c r="AD12" s="527">
        <f t="shared" si="40"/>
        <v>0</v>
      </c>
      <c r="AE12" s="528">
        <f t="shared" ca="1" si="9"/>
        <v>0</v>
      </c>
      <c r="AF12" s="527">
        <f>+AF91</f>
        <v>0</v>
      </c>
      <c r="AG12" s="528">
        <f t="shared" ca="1" si="10"/>
        <v>0</v>
      </c>
      <c r="AH12" s="527">
        <f t="shared" ref="AH12:AV12" si="41">+AH91</f>
        <v>0</v>
      </c>
      <c r="AI12" s="527">
        <f t="shared" si="41"/>
        <v>0</v>
      </c>
      <c r="AJ12" s="527">
        <f t="shared" si="41"/>
        <v>0</v>
      </c>
      <c r="AK12" s="527">
        <f t="shared" si="41"/>
        <v>0</v>
      </c>
      <c r="AL12" s="527">
        <f t="shared" si="41"/>
        <v>0</v>
      </c>
      <c r="AM12" s="527">
        <f t="shared" si="41"/>
        <v>0</v>
      </c>
      <c r="AN12" s="527">
        <f t="shared" si="41"/>
        <v>0</v>
      </c>
      <c r="AO12" s="527">
        <f t="shared" si="41"/>
        <v>0</v>
      </c>
      <c r="AP12" s="527">
        <f t="shared" si="41"/>
        <v>0</v>
      </c>
      <c r="AQ12" s="527">
        <f t="shared" si="41"/>
        <v>0</v>
      </c>
      <c r="AR12" s="527">
        <f t="shared" si="41"/>
        <v>0</v>
      </c>
      <c r="AS12" s="527">
        <f t="shared" si="41"/>
        <v>0</v>
      </c>
      <c r="AT12" s="527">
        <f t="shared" ca="1" si="41"/>
        <v>0</v>
      </c>
      <c r="AU12" s="527">
        <f t="shared" ca="1" si="41"/>
        <v>0</v>
      </c>
      <c r="AV12" s="527">
        <f t="shared" si="41"/>
        <v>0</v>
      </c>
      <c r="AW12" s="527">
        <f t="shared" ca="1" si="12"/>
        <v>0</v>
      </c>
      <c r="AX12" s="527">
        <f>+AX91</f>
        <v>0</v>
      </c>
      <c r="AY12" s="527">
        <f t="shared" ca="1" si="13"/>
        <v>0</v>
      </c>
      <c r="AZ12" s="527">
        <f t="shared" ref="AZ12:BN12" si="42">+AZ91</f>
        <v>0</v>
      </c>
      <c r="BA12" s="527">
        <f t="shared" si="42"/>
        <v>0</v>
      </c>
      <c r="BB12" s="527">
        <f t="shared" si="42"/>
        <v>0</v>
      </c>
      <c r="BC12" s="527">
        <f t="shared" si="42"/>
        <v>0</v>
      </c>
      <c r="BD12" s="527">
        <f t="shared" si="42"/>
        <v>0</v>
      </c>
      <c r="BE12" s="527">
        <f t="shared" si="42"/>
        <v>0</v>
      </c>
      <c r="BF12" s="527">
        <f t="shared" si="42"/>
        <v>0</v>
      </c>
      <c r="BG12" s="527">
        <f t="shared" si="42"/>
        <v>0</v>
      </c>
      <c r="BH12" s="527">
        <f t="shared" si="42"/>
        <v>0</v>
      </c>
      <c r="BI12" s="527">
        <f t="shared" si="42"/>
        <v>0</v>
      </c>
      <c r="BJ12" s="527">
        <f t="shared" si="42"/>
        <v>0</v>
      </c>
      <c r="BK12" s="527">
        <f t="shared" si="42"/>
        <v>0</v>
      </c>
      <c r="BL12" s="527">
        <f t="shared" ca="1" si="42"/>
        <v>2500000</v>
      </c>
      <c r="BM12" s="527">
        <f t="shared" ca="1" si="42"/>
        <v>0</v>
      </c>
      <c r="BN12" s="527">
        <f t="shared" ca="1" si="42"/>
        <v>2179872</v>
      </c>
      <c r="BO12" s="528">
        <f t="shared" ca="1" si="15"/>
        <v>87.194879999999998</v>
      </c>
      <c r="BP12" s="527">
        <f ca="1">+BP91</f>
        <v>219479</v>
      </c>
      <c r="BQ12" s="528">
        <f t="shared" ca="1" si="16"/>
        <v>0</v>
      </c>
      <c r="BR12" s="527">
        <f t="shared" ref="BR12:BX12" ca="1" si="43">+BR91</f>
        <v>2168699</v>
      </c>
      <c r="BS12" s="527">
        <f t="shared" ca="1" si="43"/>
        <v>218881</v>
      </c>
      <c r="BT12" s="527">
        <f t="shared" ca="1" si="43"/>
        <v>11173</v>
      </c>
      <c r="BU12" s="527">
        <f t="shared" ca="1" si="43"/>
        <v>598</v>
      </c>
      <c r="BV12" s="527">
        <f t="shared" si="43"/>
        <v>0</v>
      </c>
      <c r="BW12" s="527">
        <f t="shared" si="43"/>
        <v>0</v>
      </c>
      <c r="BX12" s="527">
        <f t="shared" si="43"/>
        <v>0</v>
      </c>
      <c r="BY12" s="528">
        <f t="shared" si="18"/>
        <v>0</v>
      </c>
      <c r="BZ12" s="527">
        <f>+BZ91</f>
        <v>0</v>
      </c>
      <c r="CA12" s="528">
        <f t="shared" si="19"/>
        <v>0</v>
      </c>
      <c r="CB12" s="527">
        <f t="shared" ref="CB12:CG12" si="44">+CB91</f>
        <v>0</v>
      </c>
      <c r="CC12" s="527">
        <f t="shared" si="44"/>
        <v>0</v>
      </c>
      <c r="CD12" s="527">
        <f t="shared" si="44"/>
        <v>0</v>
      </c>
      <c r="CE12" s="527">
        <f t="shared" si="44"/>
        <v>0</v>
      </c>
      <c r="CF12" s="527">
        <f t="shared" si="44"/>
        <v>0</v>
      </c>
      <c r="CG12" s="529">
        <f t="shared" si="44"/>
        <v>0</v>
      </c>
    </row>
    <row r="13" spans="1:85" ht="24" hidden="1" customHeight="1">
      <c r="A13" s="524" t="s">
        <v>37</v>
      </c>
      <c r="B13" s="525"/>
      <c r="C13" s="526">
        <f t="shared" ref="C13:E13" ca="1" si="45">+C106</f>
        <v>0</v>
      </c>
      <c r="D13" s="527">
        <f t="shared" ca="1" si="45"/>
        <v>0</v>
      </c>
      <c r="E13" s="527">
        <f t="shared" ca="1" si="45"/>
        <v>0</v>
      </c>
      <c r="F13" s="527"/>
      <c r="G13" s="528">
        <f t="shared" ca="1" si="1"/>
        <v>0</v>
      </c>
      <c r="H13" s="527">
        <f t="shared" ref="H13:J13" ca="1" si="46">+H106</f>
        <v>0</v>
      </c>
      <c r="I13" s="527">
        <f t="shared" ca="1" si="46"/>
        <v>0</v>
      </c>
      <c r="J13" s="527">
        <f t="shared" si="46"/>
        <v>0</v>
      </c>
      <c r="K13" s="528">
        <f t="shared" ca="1" si="3"/>
        <v>0</v>
      </c>
      <c r="L13" s="527">
        <f>+L106</f>
        <v>0</v>
      </c>
      <c r="M13" s="528">
        <f t="shared" ca="1" si="4"/>
        <v>0</v>
      </c>
      <c r="N13" s="527">
        <f t="shared" ref="N13:T13" si="47">+N106</f>
        <v>0</v>
      </c>
      <c r="O13" s="527">
        <f t="shared" si="47"/>
        <v>0</v>
      </c>
      <c r="P13" s="527">
        <f t="shared" si="47"/>
        <v>0</v>
      </c>
      <c r="Q13" s="527">
        <f t="shared" si="47"/>
        <v>0</v>
      </c>
      <c r="R13" s="527">
        <f t="shared" si="47"/>
        <v>0</v>
      </c>
      <c r="S13" s="527">
        <f t="shared" si="47"/>
        <v>0</v>
      </c>
      <c r="T13" s="527">
        <f t="shared" si="47"/>
        <v>0</v>
      </c>
      <c r="U13" s="528">
        <f t="shared" ca="1" si="6"/>
        <v>0</v>
      </c>
      <c r="V13" s="527">
        <f>+V106</f>
        <v>0</v>
      </c>
      <c r="W13" s="528">
        <f t="shared" ca="1" si="7"/>
        <v>0</v>
      </c>
      <c r="X13" s="527">
        <f t="shared" ref="X13:AD13" si="48">+X106</f>
        <v>0</v>
      </c>
      <c r="Y13" s="527">
        <f t="shared" si="48"/>
        <v>0</v>
      </c>
      <c r="Z13" s="527">
        <f t="shared" si="48"/>
        <v>0</v>
      </c>
      <c r="AA13" s="527">
        <f t="shared" si="48"/>
        <v>0</v>
      </c>
      <c r="AB13" s="527">
        <f t="shared" si="48"/>
        <v>0</v>
      </c>
      <c r="AC13" s="527">
        <f t="shared" si="48"/>
        <v>0</v>
      </c>
      <c r="AD13" s="527">
        <f t="shared" si="48"/>
        <v>0</v>
      </c>
      <c r="AE13" s="528">
        <f t="shared" ca="1" si="9"/>
        <v>0</v>
      </c>
      <c r="AF13" s="527">
        <f>+AF106</f>
        <v>0</v>
      </c>
      <c r="AG13" s="528">
        <f t="shared" ca="1" si="10"/>
        <v>0</v>
      </c>
      <c r="AH13" s="527">
        <f t="shared" ref="AH13:AV13" si="49">+AH106</f>
        <v>0</v>
      </c>
      <c r="AI13" s="527">
        <f t="shared" si="49"/>
        <v>0</v>
      </c>
      <c r="AJ13" s="527">
        <f t="shared" si="49"/>
        <v>0</v>
      </c>
      <c r="AK13" s="527">
        <f t="shared" si="49"/>
        <v>0</v>
      </c>
      <c r="AL13" s="527">
        <f t="shared" si="49"/>
        <v>0</v>
      </c>
      <c r="AM13" s="527">
        <f t="shared" si="49"/>
        <v>0</v>
      </c>
      <c r="AN13" s="527">
        <f t="shared" si="49"/>
        <v>0</v>
      </c>
      <c r="AO13" s="527">
        <f t="shared" si="49"/>
        <v>0</v>
      </c>
      <c r="AP13" s="527">
        <f t="shared" si="49"/>
        <v>0</v>
      </c>
      <c r="AQ13" s="527">
        <f t="shared" si="49"/>
        <v>0</v>
      </c>
      <c r="AR13" s="527">
        <f t="shared" si="49"/>
        <v>0</v>
      </c>
      <c r="AS13" s="527">
        <f t="shared" si="49"/>
        <v>0</v>
      </c>
      <c r="AT13" s="527">
        <f t="shared" ca="1" si="49"/>
        <v>0</v>
      </c>
      <c r="AU13" s="527">
        <f t="shared" ca="1" si="49"/>
        <v>0</v>
      </c>
      <c r="AV13" s="527">
        <f t="shared" si="49"/>
        <v>0</v>
      </c>
      <c r="AW13" s="527">
        <f t="shared" ca="1" si="12"/>
        <v>0</v>
      </c>
      <c r="AX13" s="527">
        <f>+AX106</f>
        <v>0</v>
      </c>
      <c r="AY13" s="527">
        <f t="shared" ca="1" si="13"/>
        <v>0</v>
      </c>
      <c r="AZ13" s="527">
        <f t="shared" ref="AZ13:BN13" si="50">+AZ106</f>
        <v>0</v>
      </c>
      <c r="BA13" s="527">
        <f t="shared" si="50"/>
        <v>0</v>
      </c>
      <c r="BB13" s="527">
        <f t="shared" si="50"/>
        <v>0</v>
      </c>
      <c r="BC13" s="527">
        <f t="shared" si="50"/>
        <v>0</v>
      </c>
      <c r="BD13" s="527">
        <f t="shared" si="50"/>
        <v>0</v>
      </c>
      <c r="BE13" s="527">
        <f t="shared" si="50"/>
        <v>0</v>
      </c>
      <c r="BF13" s="527">
        <f t="shared" si="50"/>
        <v>0</v>
      </c>
      <c r="BG13" s="527">
        <f t="shared" si="50"/>
        <v>0</v>
      </c>
      <c r="BH13" s="527">
        <f t="shared" si="50"/>
        <v>0</v>
      </c>
      <c r="BI13" s="527">
        <f t="shared" si="50"/>
        <v>0</v>
      </c>
      <c r="BJ13" s="527">
        <f t="shared" si="50"/>
        <v>0</v>
      </c>
      <c r="BK13" s="527">
        <f t="shared" si="50"/>
        <v>0</v>
      </c>
      <c r="BL13" s="527">
        <f t="shared" ca="1" si="50"/>
        <v>0</v>
      </c>
      <c r="BM13" s="527">
        <f t="shared" ca="1" si="50"/>
        <v>0</v>
      </c>
      <c r="BN13" s="527">
        <f t="shared" si="50"/>
        <v>0</v>
      </c>
      <c r="BO13" s="528">
        <f t="shared" ca="1" si="15"/>
        <v>0</v>
      </c>
      <c r="BP13" s="527">
        <f>+BP106</f>
        <v>0</v>
      </c>
      <c r="BQ13" s="528">
        <f t="shared" ca="1" si="16"/>
        <v>0</v>
      </c>
      <c r="BR13" s="527">
        <f t="shared" ref="BR13:BX13" si="51">+BR106</f>
        <v>0</v>
      </c>
      <c r="BS13" s="527">
        <f t="shared" si="51"/>
        <v>0</v>
      </c>
      <c r="BT13" s="527">
        <f t="shared" si="51"/>
        <v>0</v>
      </c>
      <c r="BU13" s="527">
        <f t="shared" si="51"/>
        <v>0</v>
      </c>
      <c r="BV13" s="527">
        <f t="shared" si="51"/>
        <v>0</v>
      </c>
      <c r="BW13" s="527">
        <f t="shared" si="51"/>
        <v>0</v>
      </c>
      <c r="BX13" s="527">
        <f t="shared" si="51"/>
        <v>0</v>
      </c>
      <c r="BY13" s="528">
        <f t="shared" si="18"/>
        <v>0</v>
      </c>
      <c r="BZ13" s="527">
        <f>+BZ106</f>
        <v>0</v>
      </c>
      <c r="CA13" s="528">
        <f t="shared" si="19"/>
        <v>0</v>
      </c>
      <c r="CB13" s="527">
        <f t="shared" ref="CB13:CG13" si="52">+CB106</f>
        <v>0</v>
      </c>
      <c r="CC13" s="527">
        <f t="shared" si="52"/>
        <v>0</v>
      </c>
      <c r="CD13" s="527">
        <f t="shared" si="52"/>
        <v>0</v>
      </c>
      <c r="CE13" s="527">
        <f t="shared" si="52"/>
        <v>0</v>
      </c>
      <c r="CF13" s="527">
        <f t="shared" si="52"/>
        <v>0</v>
      </c>
      <c r="CG13" s="529">
        <f t="shared" si="52"/>
        <v>0</v>
      </c>
    </row>
    <row r="14" spans="1:85" ht="24" hidden="1" customHeight="1">
      <c r="A14" s="530" t="s">
        <v>260</v>
      </c>
      <c r="B14" s="531"/>
      <c r="C14" s="532">
        <v>0</v>
      </c>
      <c r="D14" s="533">
        <v>0</v>
      </c>
      <c r="E14" s="533">
        <v>0</v>
      </c>
      <c r="F14" s="533"/>
      <c r="G14" s="534">
        <f t="shared" si="1"/>
        <v>0</v>
      </c>
      <c r="H14" s="533">
        <v>0</v>
      </c>
      <c r="I14" s="533">
        <v>0</v>
      </c>
      <c r="J14" s="533">
        <v>0</v>
      </c>
      <c r="K14" s="534">
        <f t="shared" si="3"/>
        <v>0</v>
      </c>
      <c r="L14" s="533">
        <v>0</v>
      </c>
      <c r="M14" s="534">
        <f t="shared" si="4"/>
        <v>0</v>
      </c>
      <c r="N14" s="533">
        <v>0</v>
      </c>
      <c r="O14" s="533">
        <v>0</v>
      </c>
      <c r="P14" s="533">
        <v>0</v>
      </c>
      <c r="Q14" s="533">
        <v>0</v>
      </c>
      <c r="R14" s="533">
        <v>0</v>
      </c>
      <c r="S14" s="533">
        <v>0</v>
      </c>
      <c r="T14" s="533">
        <v>0</v>
      </c>
      <c r="U14" s="534">
        <f t="shared" si="6"/>
        <v>0</v>
      </c>
      <c r="V14" s="533">
        <v>0</v>
      </c>
      <c r="W14" s="534">
        <f t="shared" si="7"/>
        <v>0</v>
      </c>
      <c r="X14" s="533">
        <v>0</v>
      </c>
      <c r="Y14" s="533">
        <v>0</v>
      </c>
      <c r="Z14" s="533">
        <v>0</v>
      </c>
      <c r="AA14" s="533">
        <v>0</v>
      </c>
      <c r="AB14" s="533">
        <v>0</v>
      </c>
      <c r="AC14" s="533">
        <v>0</v>
      </c>
      <c r="AD14" s="533">
        <v>0</v>
      </c>
      <c r="AE14" s="534">
        <f t="shared" si="9"/>
        <v>0</v>
      </c>
      <c r="AF14" s="533">
        <v>0</v>
      </c>
      <c r="AG14" s="534">
        <f t="shared" si="10"/>
        <v>0</v>
      </c>
      <c r="AH14" s="533">
        <v>0</v>
      </c>
      <c r="AI14" s="533">
        <v>0</v>
      </c>
      <c r="AJ14" s="533">
        <v>0</v>
      </c>
      <c r="AK14" s="533">
        <v>0</v>
      </c>
      <c r="AL14" s="533">
        <v>0</v>
      </c>
      <c r="AM14" s="533">
        <v>0</v>
      </c>
      <c r="AN14" s="533">
        <v>0</v>
      </c>
      <c r="AO14" s="533">
        <v>0</v>
      </c>
      <c r="AP14" s="533">
        <v>0</v>
      </c>
      <c r="AQ14" s="533">
        <v>0</v>
      </c>
      <c r="AR14" s="533">
        <v>0</v>
      </c>
      <c r="AS14" s="533">
        <v>0</v>
      </c>
      <c r="AT14" s="533">
        <v>0</v>
      </c>
      <c r="AU14" s="533">
        <v>0</v>
      </c>
      <c r="AV14" s="533">
        <v>0</v>
      </c>
      <c r="AW14" s="533">
        <f t="shared" si="12"/>
        <v>0</v>
      </c>
      <c r="AX14" s="533">
        <v>0</v>
      </c>
      <c r="AY14" s="533">
        <f t="shared" si="13"/>
        <v>0</v>
      </c>
      <c r="AZ14" s="533">
        <v>0</v>
      </c>
      <c r="BA14" s="533">
        <v>0</v>
      </c>
      <c r="BB14" s="533">
        <v>0</v>
      </c>
      <c r="BC14" s="533">
        <v>0</v>
      </c>
      <c r="BD14" s="533">
        <v>0</v>
      </c>
      <c r="BE14" s="533">
        <v>0</v>
      </c>
      <c r="BF14" s="533">
        <v>0</v>
      </c>
      <c r="BG14" s="533">
        <v>0</v>
      </c>
      <c r="BH14" s="533">
        <v>0</v>
      </c>
      <c r="BI14" s="533">
        <v>0</v>
      </c>
      <c r="BJ14" s="533">
        <v>0</v>
      </c>
      <c r="BK14" s="533">
        <v>0</v>
      </c>
      <c r="BL14" s="533">
        <v>0</v>
      </c>
      <c r="BM14" s="533">
        <v>0</v>
      </c>
      <c r="BN14" s="533">
        <v>0</v>
      </c>
      <c r="BO14" s="534">
        <f t="shared" si="15"/>
        <v>0</v>
      </c>
      <c r="BP14" s="533">
        <v>0</v>
      </c>
      <c r="BQ14" s="534">
        <f t="shared" si="16"/>
        <v>0</v>
      </c>
      <c r="BR14" s="533">
        <v>0</v>
      </c>
      <c r="BS14" s="533">
        <v>0</v>
      </c>
      <c r="BT14" s="533">
        <v>0</v>
      </c>
      <c r="BU14" s="533">
        <v>0</v>
      </c>
      <c r="BV14" s="533">
        <v>0</v>
      </c>
      <c r="BW14" s="533">
        <v>0</v>
      </c>
      <c r="BX14" s="533">
        <v>0</v>
      </c>
      <c r="BY14" s="534">
        <f t="shared" si="18"/>
        <v>0</v>
      </c>
      <c r="BZ14" s="533">
        <v>0</v>
      </c>
      <c r="CA14" s="534">
        <f t="shared" si="19"/>
        <v>0</v>
      </c>
      <c r="CB14" s="533">
        <v>0</v>
      </c>
      <c r="CC14" s="533">
        <v>0</v>
      </c>
      <c r="CD14" s="533">
        <v>0</v>
      </c>
      <c r="CE14" s="533">
        <v>0</v>
      </c>
      <c r="CF14" s="533">
        <v>0</v>
      </c>
      <c r="CG14" s="535">
        <v>0</v>
      </c>
    </row>
    <row r="15" spans="1:85" ht="21" customHeight="1">
      <c r="A15" s="845" t="s">
        <v>39</v>
      </c>
      <c r="B15" s="652"/>
      <c r="C15" s="536">
        <f t="shared" ref="C15:F15" ca="1" si="53">SUM(C16:C32)</f>
        <v>7607158</v>
      </c>
      <c r="D15" s="520">
        <f t="shared" ca="1" si="53"/>
        <v>0</v>
      </c>
      <c r="E15" s="537">
        <f t="shared" ca="1" si="53"/>
        <v>7607158</v>
      </c>
      <c r="F15" s="521">
        <f t="shared" ca="1" si="53"/>
        <v>1900306.8599999999</v>
      </c>
      <c r="G15" s="521">
        <f t="shared" ca="1" si="1"/>
        <v>24.980509935510739</v>
      </c>
      <c r="H15" s="520">
        <f t="shared" ref="H15:J15" ca="1" si="54">SUM(H16:H32)</f>
        <v>799598</v>
      </c>
      <c r="I15" s="520">
        <f t="shared" ca="1" si="54"/>
        <v>95173</v>
      </c>
      <c r="J15" s="520">
        <f t="shared" ca="1" si="54"/>
        <v>799652.8899999999</v>
      </c>
      <c r="K15" s="521">
        <f t="shared" ca="1" si="3"/>
        <v>100.00686469951148</v>
      </c>
      <c r="L15" s="520">
        <f ca="1">SUM(L16:L32)</f>
        <v>95173</v>
      </c>
      <c r="M15" s="521">
        <f t="shared" ca="1" si="4"/>
        <v>100</v>
      </c>
      <c r="N15" s="520">
        <f t="shared" ref="N15:T15" ca="1" si="55">SUM(N16:N32)</f>
        <v>621288.95999999996</v>
      </c>
      <c r="O15" s="520">
        <f t="shared" ca="1" si="55"/>
        <v>78532</v>
      </c>
      <c r="P15" s="520">
        <f t="shared" ca="1" si="55"/>
        <v>161056.91999999998</v>
      </c>
      <c r="Q15" s="520">
        <f t="shared" ca="1" si="55"/>
        <v>14723</v>
      </c>
      <c r="R15" s="520">
        <f t="shared" ca="1" si="55"/>
        <v>17307.009999999998</v>
      </c>
      <c r="S15" s="520">
        <f t="shared" ca="1" si="55"/>
        <v>1918</v>
      </c>
      <c r="T15" s="520">
        <f t="shared" ca="1" si="55"/>
        <v>799641.19</v>
      </c>
      <c r="U15" s="521">
        <f t="shared" ca="1" si="6"/>
        <v>100.00540146423577</v>
      </c>
      <c r="V15" s="520">
        <f ca="1">SUM(V16:V32)</f>
        <v>95174</v>
      </c>
      <c r="W15" s="521">
        <f t="shared" ca="1" si="7"/>
        <v>100.00105071816587</v>
      </c>
      <c r="X15" s="520">
        <f t="shared" ref="X15:AD15" ca="1" si="56">SUM(X16:X32)</f>
        <v>659948.2300000001</v>
      </c>
      <c r="Y15" s="520">
        <f t="shared" ca="1" si="56"/>
        <v>81781</v>
      </c>
      <c r="Z15" s="520">
        <f t="shared" ca="1" si="56"/>
        <v>122162.04000000001</v>
      </c>
      <c r="AA15" s="520">
        <f t="shared" ca="1" si="56"/>
        <v>11419</v>
      </c>
      <c r="AB15" s="520">
        <f t="shared" ca="1" si="56"/>
        <v>17530.919999999998</v>
      </c>
      <c r="AC15" s="520">
        <f t="shared" ca="1" si="56"/>
        <v>1974</v>
      </c>
      <c r="AD15" s="520">
        <f t="shared" ca="1" si="56"/>
        <v>250669.21</v>
      </c>
      <c r="AE15" s="521">
        <f t="shared" ca="1" si="9"/>
        <v>31.34940432567365</v>
      </c>
      <c r="AF15" s="520">
        <f ca="1">SUM(AF16:AF32)</f>
        <v>34025</v>
      </c>
      <c r="AG15" s="521">
        <f t="shared" ca="1" si="10"/>
        <v>35.75068559360323</v>
      </c>
      <c r="AH15" s="520">
        <f t="shared" ref="AH15:AV15" ca="1" si="57">SUM(AH16:AH32)</f>
        <v>222065.40999999997</v>
      </c>
      <c r="AI15" s="520">
        <f t="shared" ca="1" si="57"/>
        <v>31545</v>
      </c>
      <c r="AJ15" s="520">
        <f t="shared" ca="1" si="57"/>
        <v>24062.41</v>
      </c>
      <c r="AK15" s="520">
        <f t="shared" ca="1" si="57"/>
        <v>1990</v>
      </c>
      <c r="AL15" s="520">
        <f t="shared" ca="1" si="57"/>
        <v>4370.3900000000003</v>
      </c>
      <c r="AM15" s="520">
        <f t="shared" ca="1" si="57"/>
        <v>470</v>
      </c>
      <c r="AN15" s="520">
        <f t="shared" ca="1" si="57"/>
        <v>171</v>
      </c>
      <c r="AO15" s="520">
        <f t="shared" ca="1" si="57"/>
        <v>20</v>
      </c>
      <c r="AP15" s="520">
        <f t="shared" ca="1" si="57"/>
        <v>0</v>
      </c>
      <c r="AQ15" s="520">
        <f t="shared" ca="1" si="57"/>
        <v>0</v>
      </c>
      <c r="AR15" s="520">
        <f t="shared" ca="1" si="57"/>
        <v>0</v>
      </c>
      <c r="AS15" s="520">
        <f t="shared" ca="1" si="57"/>
        <v>0</v>
      </c>
      <c r="AT15" s="520">
        <f t="shared" ca="1" si="57"/>
        <v>45848</v>
      </c>
      <c r="AU15" s="520">
        <f t="shared" ca="1" si="57"/>
        <v>3736</v>
      </c>
      <c r="AV15" s="520">
        <f t="shared" ca="1" si="57"/>
        <v>5699.1</v>
      </c>
      <c r="AW15" s="520">
        <f t="shared" ca="1" si="12"/>
        <v>12.43042226487524</v>
      </c>
      <c r="AX15" s="520">
        <f ca="1">SUM(AX16:AX32)</f>
        <v>588</v>
      </c>
      <c r="AY15" s="520">
        <f t="shared" ca="1" si="13"/>
        <v>15.738758029978587</v>
      </c>
      <c r="AZ15" s="520">
        <f t="shared" ref="AZ15:BN15" ca="1" si="58">SUM(AZ16:AZ32)</f>
        <v>4127</v>
      </c>
      <c r="BA15" s="520">
        <f t="shared" ca="1" si="58"/>
        <v>388</v>
      </c>
      <c r="BB15" s="520">
        <f t="shared" ca="1" si="58"/>
        <v>992</v>
      </c>
      <c r="BC15" s="520">
        <f t="shared" ca="1" si="58"/>
        <v>138</v>
      </c>
      <c r="BD15" s="520">
        <f t="shared" ca="1" si="58"/>
        <v>26</v>
      </c>
      <c r="BE15" s="520">
        <f t="shared" ca="1" si="58"/>
        <v>1</v>
      </c>
      <c r="BF15" s="520">
        <f t="shared" ca="1" si="58"/>
        <v>273.10000000000002</v>
      </c>
      <c r="BG15" s="520">
        <f t="shared" ca="1" si="58"/>
        <v>29</v>
      </c>
      <c r="BH15" s="520">
        <f t="shared" ca="1" si="58"/>
        <v>18</v>
      </c>
      <c r="BI15" s="520">
        <f t="shared" ca="1" si="58"/>
        <v>8</v>
      </c>
      <c r="BJ15" s="520">
        <f t="shared" ca="1" si="58"/>
        <v>263</v>
      </c>
      <c r="BK15" s="520">
        <f t="shared" ca="1" si="58"/>
        <v>24</v>
      </c>
      <c r="BL15" s="520">
        <f t="shared" ca="1" si="58"/>
        <v>0</v>
      </c>
      <c r="BM15" s="520">
        <f t="shared" ca="1" si="58"/>
        <v>0</v>
      </c>
      <c r="BN15" s="520">
        <f t="shared" ca="1" si="58"/>
        <v>0</v>
      </c>
      <c r="BO15" s="521">
        <f t="shared" ca="1" si="15"/>
        <v>0</v>
      </c>
      <c r="BP15" s="520">
        <f ca="1">SUM(BP16:BP32)</f>
        <v>0</v>
      </c>
      <c r="BQ15" s="521">
        <f t="shared" ca="1" si="16"/>
        <v>0</v>
      </c>
      <c r="BR15" s="520">
        <f t="shared" ref="BR15:BX15" ca="1" si="59">SUM(BR16:BR32)</f>
        <v>0</v>
      </c>
      <c r="BS15" s="520">
        <f t="shared" ca="1" si="59"/>
        <v>0</v>
      </c>
      <c r="BT15" s="520">
        <f t="shared" ca="1" si="59"/>
        <v>0</v>
      </c>
      <c r="BU15" s="520">
        <f t="shared" ca="1" si="59"/>
        <v>0</v>
      </c>
      <c r="BV15" s="520">
        <f t="shared" ca="1" si="59"/>
        <v>3700</v>
      </c>
      <c r="BW15" s="520">
        <f t="shared" ca="1" si="59"/>
        <v>294</v>
      </c>
      <c r="BX15" s="520">
        <f t="shared" ca="1" si="59"/>
        <v>303</v>
      </c>
      <c r="BY15" s="521">
        <f t="shared" ca="1" si="18"/>
        <v>8.1891891891891895</v>
      </c>
      <c r="BZ15" s="520">
        <f ca="1">SUM(BZ16:BZ32)</f>
        <v>39</v>
      </c>
      <c r="CA15" s="521">
        <f t="shared" ca="1" si="19"/>
        <v>13.26530612244898</v>
      </c>
      <c r="CB15" s="520">
        <f t="shared" ref="CB15:CG15" ca="1" si="60">SUM(CB16:CB32)</f>
        <v>131.75</v>
      </c>
      <c r="CC15" s="520">
        <f t="shared" ca="1" si="60"/>
        <v>18</v>
      </c>
      <c r="CD15" s="520">
        <f t="shared" ca="1" si="60"/>
        <v>33.25</v>
      </c>
      <c r="CE15" s="520">
        <f t="shared" ca="1" si="60"/>
        <v>21</v>
      </c>
      <c r="CF15" s="520">
        <f t="shared" ca="1" si="60"/>
        <v>138</v>
      </c>
      <c r="CG15" s="538">
        <f t="shared" ca="1" si="60"/>
        <v>0</v>
      </c>
    </row>
    <row r="16" spans="1:85" ht="21" customHeight="1">
      <c r="A16" s="539">
        <v>1</v>
      </c>
      <c r="B16" s="540" t="s">
        <v>40</v>
      </c>
      <c r="C16" s="541">
        <f t="shared" ref="C16:C32" ca="1" si="61">+D16+E16</f>
        <v>1082066</v>
      </c>
      <c r="D16" s="542">
        <f ca="1">IFERROR(__xludf.DUMMYFUNCTION("IMPORTRANGE(""https://docs.google.com/spreadsheets/d/1C3CXT74ZlgGe6_JY_1olB1XN4rF0dxEuIIF-xsYjHgg/edit?usp=sharing"",""งบกองทุน!BC20"")"),0)</f>
        <v>0</v>
      </c>
      <c r="E16" s="543">
        <f ca="1">IFERROR(__xludf.DUMMYFUNCTION("IMPORTRANGE(""https://docs.google.com/spreadsheets/d/1C3CXT74ZlgGe6_JY_1olB1XN4rF0dxEuIIF-xsYjHgg/edit?usp=sharing"",""งบกองทุน!BD20"")"),1082066)</f>
        <v>1082066</v>
      </c>
      <c r="F16" s="544">
        <f ca="1">IFERROR(__xludf.DUMMYFUNCTION("IMPORTRANGE(""https://docs.google.com/spreadsheets/d/11923uPwbBZFjjGgGUA6NLw09EwE0CqkOc4q9oUmW1yo/edit?usp=sharing"",""กำแพงเพชร!M352"")"),76443.67)</f>
        <v>76443.67</v>
      </c>
      <c r="G16" s="544">
        <f t="shared" ca="1" si="1"/>
        <v>7.0646032681925135</v>
      </c>
      <c r="H16" s="545">
        <f ca="1">IFERROR(__xludf.DUMMYFUNCTION("IMPORTRANGE(""https://docs.google.com/spreadsheets/d/1C3CXT74ZlgGe6_JY_1olB1XN4rF0dxEuIIF-xsYjHgg/edit?usp=sharing"",""งบกองทุน!BE20"")"),162754)</f>
        <v>162754</v>
      </c>
      <c r="I16" s="545">
        <f ca="1">IFERROR(__xludf.DUMMYFUNCTION("IMPORTRANGE(""https://docs.google.com/spreadsheets/d/1C3CXT74ZlgGe6_JY_1olB1XN4rF0dxEuIIF-xsYjHgg/edit?usp=sharing"",""งบกองทุน!BF20"")"),12870)</f>
        <v>12870</v>
      </c>
      <c r="J16" s="542">
        <f t="shared" ref="J16:J32" ca="1" si="62">SUM(N16,P16,R16)</f>
        <v>162754</v>
      </c>
      <c r="K16" s="544">
        <f t="shared" ca="1" si="3"/>
        <v>100</v>
      </c>
      <c r="L16" s="542">
        <f t="shared" ref="L16:L32" ca="1" si="63">SUM(O16,Q16,S16)</f>
        <v>12870</v>
      </c>
      <c r="M16" s="544">
        <f t="shared" ca="1" si="4"/>
        <v>100</v>
      </c>
      <c r="N16" s="542">
        <f ca="1">IFERROR(__xludf.DUMMYFUNCTION("IMPORTRANGE(""https://docs.google.com/spreadsheets/d/11923uPwbBZFjjGgGUA6NLw09EwE0CqkOc4q9oUmW1yo/edit?usp=sharing"",""กำแพงเพชร!J362"")"),120898)</f>
        <v>120898</v>
      </c>
      <c r="O16" s="542">
        <f ca="1">IFERROR(__xludf.DUMMYFUNCTION("IMPORTRANGE(""https://docs.google.com/spreadsheets/d/11923uPwbBZFjjGgGUA6NLw09EwE0CqkOc4q9oUmW1yo/edit?usp=sharing"",""กำแพงเพชร!J363"")"),10340)</f>
        <v>10340</v>
      </c>
      <c r="P16" s="542">
        <f ca="1">IFERROR(__xludf.DUMMYFUNCTION("IMPORTRANGE(""https://docs.google.com/spreadsheets/d/11923uPwbBZFjjGgGUA6NLw09EwE0CqkOc4q9oUmW1yo/edit?usp=sharing"",""กำแพงเพชร!J364"")"),39441)</f>
        <v>39441</v>
      </c>
      <c r="Q16" s="542">
        <f ca="1">IFERROR(__xludf.DUMMYFUNCTION("IMPORTRANGE(""https://docs.google.com/spreadsheets/d/11923uPwbBZFjjGgGUA6NLw09EwE0CqkOc4q9oUmW1yo/edit?usp=sharing"",""กำแพงเพชร!J365"")"),2301)</f>
        <v>2301</v>
      </c>
      <c r="R16" s="542">
        <f ca="1">IFERROR(__xludf.DUMMYFUNCTION("IMPORTRANGE(""https://docs.google.com/spreadsheets/d/11923uPwbBZFjjGgGUA6NLw09EwE0CqkOc4q9oUmW1yo/edit?usp=sharing"",""กำแพงเพชร!J366"")"),2415)</f>
        <v>2415</v>
      </c>
      <c r="S16" s="542">
        <f ca="1">IFERROR(__xludf.DUMMYFUNCTION("IMPORTRANGE(""https://docs.google.com/spreadsheets/d/11923uPwbBZFjjGgGUA6NLw09EwE0CqkOc4q9oUmW1yo/edit?usp=sharing"",""กำแพงเพชร!J367"")"),229)</f>
        <v>229</v>
      </c>
      <c r="T16" s="542">
        <f t="shared" ref="T16:T32" ca="1" si="64">SUM(X16,Z16,AB16)</f>
        <v>162754</v>
      </c>
      <c r="U16" s="544">
        <f t="shared" ca="1" si="6"/>
        <v>100</v>
      </c>
      <c r="V16" s="542">
        <f t="shared" ref="V16:V32" ca="1" si="65">SUM(Y16,AA16,AC16)</f>
        <v>12870</v>
      </c>
      <c r="W16" s="544">
        <f t="shared" ca="1" si="7"/>
        <v>100</v>
      </c>
      <c r="X16" s="542">
        <f ca="1">IFERROR(__xludf.DUMMYFUNCTION("IMPORTRANGE(""https://docs.google.com/spreadsheets/d/11923uPwbBZFjjGgGUA6NLw09EwE0CqkOc4q9oUmW1yo/edit?usp=sharing"",""กำแพงเพชร!J370"")"),142162)</f>
        <v>142162</v>
      </c>
      <c r="Y16" s="542">
        <f ca="1">IFERROR(__xludf.DUMMYFUNCTION("IMPORTRANGE(""https://docs.google.com/spreadsheets/d/11923uPwbBZFjjGgGUA6NLw09EwE0CqkOc4q9oUmW1yo/edit?usp=sharing"",""กำแพงเพชร!J371"")"),11553)</f>
        <v>11553</v>
      </c>
      <c r="Z16" s="542">
        <f ca="1">IFERROR(__xludf.DUMMYFUNCTION("IMPORTRANGE(""https://docs.google.com/spreadsheets/d/11923uPwbBZFjjGgGUA6NLw09EwE0CqkOc4q9oUmW1yo/edit?usp=sharing"",""กำแพงเพชร!J372"")"),17316)</f>
        <v>17316</v>
      </c>
      <c r="AA16" s="542">
        <f ca="1">IFERROR(__xludf.DUMMYFUNCTION("IMPORTRANGE(""https://docs.google.com/spreadsheets/d/11923uPwbBZFjjGgGUA6NLw09EwE0CqkOc4q9oUmW1yo/edit?usp=sharing"",""กำแพงเพชร!J373"")"),1045)</f>
        <v>1045</v>
      </c>
      <c r="AB16" s="542">
        <f ca="1">IFERROR(__xludf.DUMMYFUNCTION("IMPORTRANGE(""https://docs.google.com/spreadsheets/d/11923uPwbBZFjjGgGUA6NLw09EwE0CqkOc4q9oUmW1yo/edit?usp=sharing"",""กำแพงเพชร!J374"")"),3276)</f>
        <v>3276</v>
      </c>
      <c r="AC16" s="542">
        <f ca="1">IFERROR(__xludf.DUMMYFUNCTION("IMPORTRANGE(""https://docs.google.com/spreadsheets/d/11923uPwbBZFjjGgGUA6NLw09EwE0CqkOc4q9oUmW1yo/edit?usp=sharing"",""กำแพงเพชร!J375"")"),272)</f>
        <v>272</v>
      </c>
      <c r="AD16" s="542">
        <f t="shared" ref="AD16:AD32" ca="1" si="66">SUM(AH16,AJ16,AL16,AN16,AP16)</f>
        <v>0</v>
      </c>
      <c r="AE16" s="544">
        <f t="shared" ca="1" si="9"/>
        <v>0</v>
      </c>
      <c r="AF16" s="542">
        <f t="shared" ref="AF16:AF32" ca="1" si="67">SUM(AI16,AK16,AM16,AO16,AQ16)</f>
        <v>0</v>
      </c>
      <c r="AG16" s="544">
        <f t="shared" ca="1" si="10"/>
        <v>0</v>
      </c>
      <c r="AH16" s="542">
        <f ca="1">IFERROR(__xludf.DUMMYFUNCTION("IMPORTRANGE(""https://docs.google.com/spreadsheets/d/11923uPwbBZFjjGgGUA6NLw09EwE0CqkOc4q9oUmW1yo/edit?usp=sharing"",""กำแพงเพชร!J378"")"),0)</f>
        <v>0</v>
      </c>
      <c r="AI16" s="542">
        <f ca="1">IFERROR(__xludf.DUMMYFUNCTION("IMPORTRANGE(""https://docs.google.com/spreadsheets/d/11923uPwbBZFjjGgGUA6NLw09EwE0CqkOc4q9oUmW1yo/edit?usp=sharing"",""กำแพงเพชร!J379"")"),0)</f>
        <v>0</v>
      </c>
      <c r="AJ16" s="542">
        <f ca="1">IFERROR(__xludf.DUMMYFUNCTION("IMPORTRANGE(""https://docs.google.com/spreadsheets/d/11923uPwbBZFjjGgGUA6NLw09EwE0CqkOc4q9oUmW1yo/edit?usp=sharing"",""กำแพงเพชร!J380"")"),0)</f>
        <v>0</v>
      </c>
      <c r="AK16" s="542">
        <f ca="1">IFERROR(__xludf.DUMMYFUNCTION("IMPORTRANGE(""https://docs.google.com/spreadsheets/d/11923uPwbBZFjjGgGUA6NLw09EwE0CqkOc4q9oUmW1yo/edit?usp=sharing"",""กำแพงเพชร!J381"")"),0)</f>
        <v>0</v>
      </c>
      <c r="AL16" s="542">
        <f ca="1">IFERROR(__xludf.DUMMYFUNCTION("IMPORTRANGE(""https://docs.google.com/spreadsheets/d/11923uPwbBZFjjGgGUA6NLw09EwE0CqkOc4q9oUmW1yo/edit?usp=sharing"",""กำแพงเพชร!J384"")"),0)</f>
        <v>0</v>
      </c>
      <c r="AM16" s="542">
        <f ca="1">IFERROR(__xludf.DUMMYFUNCTION("IMPORTRANGE(""https://docs.google.com/spreadsheets/d/11923uPwbBZFjjGgGUA6NLw09EwE0CqkOc4q9oUmW1yo/edit?usp=sharing"",""กำแพงเพชร!J385"")"),0)</f>
        <v>0</v>
      </c>
      <c r="AN16" s="542">
        <f ca="1">IFERROR(__xludf.DUMMYFUNCTION("IMPORTRANGE(""https://docs.google.com/spreadsheets/d/11923uPwbBZFjjGgGUA6NLw09EwE0CqkOc4q9oUmW1yo/edit?usp=sharing"",""กำแพงเพชร!J386"")"),0)</f>
        <v>0</v>
      </c>
      <c r="AO16" s="542">
        <f ca="1">IFERROR(__xludf.DUMMYFUNCTION("IMPORTRANGE(""https://docs.google.com/spreadsheets/d/11923uPwbBZFjjGgGUA6NLw09EwE0CqkOc4q9oUmW1yo/edit?usp=sharing"",""กำแพงเพชร!J387"")"),0)</f>
        <v>0</v>
      </c>
      <c r="AP16" s="542">
        <f ca="1">IFERROR(__xludf.DUMMYFUNCTION("IMPORTRANGE(""https://docs.google.com/spreadsheets/d/11923uPwbBZFjjGgGUA6NLw09EwE0CqkOc4q9oUmW1yo/edit?usp=sharing"",""กำแพงเพชร!J388"")"),0)</f>
        <v>0</v>
      </c>
      <c r="AQ16" s="542">
        <f ca="1">IFERROR(__xludf.DUMMYFUNCTION("IMPORTRANGE(""https://docs.google.com/spreadsheets/d/11923uPwbBZFjjGgGUA6NLw09EwE0CqkOc4q9oUmW1yo/edit?usp=sharing"",""กำแพงเพชร!J389"")"),0)</f>
        <v>0</v>
      </c>
      <c r="AR16" s="542">
        <f ca="1">IFERROR(__xludf.DUMMYFUNCTION("IMPORTRANGE(""https://docs.google.com/spreadsheets/d/11923uPwbBZFjjGgGUA6NLw09EwE0CqkOc4q9oUmW1yo/edit?usp=sharing"",""กำแพงเพชร!J390"")"),0)</f>
        <v>0</v>
      </c>
      <c r="AS16" s="542">
        <f ca="1">IFERROR(__xludf.DUMMYFUNCTION("IMPORTRANGE(""https://docs.google.com/spreadsheets/d/11923uPwbBZFjjGgGUA6NLw09EwE0CqkOc4q9oUmW1yo/edit?usp=sharing"",""กำแพงเพชร!J391"")"),0)</f>
        <v>0</v>
      </c>
      <c r="AT16" s="546">
        <f ca="1">IFERROR(__xludf.DUMMYFUNCTION("IMPORTRANGE(""https://docs.google.com/spreadsheets/d/1C3CXT74ZlgGe6_JY_1olB1XN4rF0dxEuIIF-xsYjHgg/edit?usp=sharing"",""งบกองทุน!CD20"")"),6340)</f>
        <v>6340</v>
      </c>
      <c r="AU16" s="546">
        <f ca="1">IFERROR(__xludf.DUMMYFUNCTION("IMPORTRANGE(""https://docs.google.com/spreadsheets/d/1C3CXT74ZlgGe6_JY_1olB1XN4rF0dxEuIIF-xsYjHgg/edit?usp=sharing"",""งบกองทุน!CC20"")"),600)</f>
        <v>600</v>
      </c>
      <c r="AV16" s="546">
        <f t="shared" ref="AV16:AV32" ca="1" si="68">SUM(AZ16,BB16,BD16,BF16,BH16,BJ16)</f>
        <v>0</v>
      </c>
      <c r="AW16" s="546">
        <f t="shared" ca="1" si="12"/>
        <v>0</v>
      </c>
      <c r="AX16" s="546">
        <f t="shared" ref="AX16:AX32" ca="1" si="69">SUM(BA16,BC16,BE16,BG16,BI16,BK16)</f>
        <v>0</v>
      </c>
      <c r="AY16" s="546">
        <f t="shared" ca="1" si="13"/>
        <v>0</v>
      </c>
      <c r="AZ16" s="542">
        <f ca="1">IFERROR(__xludf.DUMMYFUNCTION("IMPORTRANGE(""https://docs.google.com/spreadsheets/d/11923uPwbBZFjjGgGUA6NLw09EwE0CqkOc4q9oUmW1yo/edit?usp=sharing"",""กำแพงเพชร!J397"")"),0)</f>
        <v>0</v>
      </c>
      <c r="BA16" s="542">
        <f ca="1">IFERROR(__xludf.DUMMYFUNCTION("IMPORTRANGE(""https://docs.google.com/spreadsheets/d/11923uPwbBZFjjGgGUA6NLw09EwE0CqkOc4q9oUmW1yo/edit?usp=sharing"",""กำแพงเพชร!J398"")"),0)</f>
        <v>0</v>
      </c>
      <c r="BB16" s="542">
        <f ca="1">IFERROR(__xludf.DUMMYFUNCTION("IMPORTRANGE(""https://docs.google.com/spreadsheets/d/11923uPwbBZFjjGgGUA6NLw09EwE0CqkOc4q9oUmW1yo/edit?usp=sharing"",""กำแพงเพชร!J399"")"),0)</f>
        <v>0</v>
      </c>
      <c r="BC16" s="542">
        <f ca="1">IFERROR(__xludf.DUMMYFUNCTION("IMPORTRANGE(""https://docs.google.com/spreadsheets/d/11923uPwbBZFjjGgGUA6NLw09EwE0CqkOc4q9oUmW1yo/edit?usp=sharing"",""กำแพงเพชร!J400"")"),0)</f>
        <v>0</v>
      </c>
      <c r="BD16" s="542">
        <f ca="1">IFERROR(__xludf.DUMMYFUNCTION("IMPORTRANGE(""https://docs.google.com/spreadsheets/d/11923uPwbBZFjjGgGUA6NLw09EwE0CqkOc4q9oUmW1yo/edit?usp=sharing"",""กำแพงเพชร!J401"")"),0)</f>
        <v>0</v>
      </c>
      <c r="BE16" s="542">
        <f ca="1">IFERROR(__xludf.DUMMYFUNCTION("IMPORTRANGE(""https://docs.google.com/spreadsheets/d/11923uPwbBZFjjGgGUA6NLw09EwE0CqkOc4q9oUmW1yo/edit?usp=sharing"",""กำแพงเพชร!J402"")"),0)</f>
        <v>0</v>
      </c>
      <c r="BF16" s="542">
        <f ca="1">IFERROR(__xludf.DUMMYFUNCTION("IMPORTRANGE(""https://docs.google.com/spreadsheets/d/11923uPwbBZFjjGgGUA6NLw09EwE0CqkOc4q9oUmW1yo/edit?usp=sharing"",""กำแพงเพชร!J405"")"),0)</f>
        <v>0</v>
      </c>
      <c r="BG16" s="542">
        <f ca="1">IFERROR(__xludf.DUMMYFUNCTION("IMPORTRANGE(""https://docs.google.com/spreadsheets/d/11923uPwbBZFjjGgGUA6NLw09EwE0CqkOc4q9oUmW1yo/edit?usp=sharing"",""กำแพงเพชร!J406"")"),0)</f>
        <v>0</v>
      </c>
      <c r="BH16" s="542">
        <f ca="1">IFERROR(__xludf.DUMMYFUNCTION("IMPORTRANGE(""https://docs.google.com/spreadsheets/d/11923uPwbBZFjjGgGUA6NLw09EwE0CqkOc4q9oUmW1yo/edit?usp=sharing"",""กำแพงเพชร!J407"")"),0)</f>
        <v>0</v>
      </c>
      <c r="BI16" s="542">
        <f ca="1">IFERROR(__xludf.DUMMYFUNCTION("IMPORTRANGE(""https://docs.google.com/spreadsheets/d/11923uPwbBZFjjGgGUA6NLw09EwE0CqkOc4q9oUmW1yo/edit?usp=sharing"",""กำแพงเพชร!J408"")"),0)</f>
        <v>0</v>
      </c>
      <c r="BJ16" s="542">
        <f ca="1">IFERROR(__xludf.DUMMYFUNCTION("IMPORTRANGE(""https://docs.google.com/spreadsheets/d/11923uPwbBZFjjGgGUA6NLw09EwE0CqkOc4q9oUmW1yo/edit?usp=sharing"",""กำแพงเพชร!J409"")"),0)</f>
        <v>0</v>
      </c>
      <c r="BK16" s="542">
        <f ca="1">IFERROR(__xludf.DUMMYFUNCTION("IMPORTRANGE(""https://docs.google.com/spreadsheets/d/11923uPwbBZFjjGgGUA6NLw09EwE0CqkOc4q9oUmW1yo/edit?usp=sharing"",""กำแพงเพชร!J410"")"),0)</f>
        <v>0</v>
      </c>
      <c r="BL16" s="546">
        <f ca="1">IFERROR(__xludf.DUMMYFUNCTION("IMPORTRANGE(""https://docs.google.com/spreadsheets/d/1C3CXT74ZlgGe6_JY_1olB1XN4rF0dxEuIIF-xsYjHgg/edit?usp=sharing"",""งบกองทุน!CZ20"")"),0)</f>
        <v>0</v>
      </c>
      <c r="BM16" s="546">
        <f ca="1">IFERROR(__xludf.DUMMYFUNCTION("IMPORTRANGE(""https://docs.google.com/spreadsheets/d/1C3CXT74ZlgGe6_JY_1olB1XN4rF0dxEuIIF-xsYjHgg/edit?usp=sharing"",""งบกองทุน!CY20"")"),0)</f>
        <v>0</v>
      </c>
      <c r="BN16" s="546">
        <f t="shared" ref="BN16:BN32" ca="1" si="70">SUM(BR16,BT16)</f>
        <v>0</v>
      </c>
      <c r="BO16" s="547">
        <f t="shared" ca="1" si="15"/>
        <v>0</v>
      </c>
      <c r="BP16" s="546">
        <f t="shared" ref="BP16:BP32" ca="1" si="71">SUM(BS16,BU16)</f>
        <v>0</v>
      </c>
      <c r="BQ16" s="547">
        <f t="shared" ca="1" si="16"/>
        <v>0</v>
      </c>
      <c r="BR16" s="542">
        <f ca="1">IFERROR(__xludf.DUMMYFUNCTION("IMPORTRANGE(""https://docs.google.com/spreadsheets/d/11923uPwbBZFjjGgGUA6NLw09EwE0CqkOc4q9oUmW1yo/edit?usp=sharing"",""กำแพงเพชร!J414"")"),0)</f>
        <v>0</v>
      </c>
      <c r="BS16" s="542">
        <f ca="1">IFERROR(__xludf.DUMMYFUNCTION("IMPORTRANGE(""https://docs.google.com/spreadsheets/d/11923uPwbBZFjjGgGUA6NLw09EwE0CqkOc4q9oUmW1yo/edit?usp=sharing"",""กำแพงเพชร!J415"")"),0)</f>
        <v>0</v>
      </c>
      <c r="BT16" s="542">
        <f ca="1">IFERROR(__xludf.DUMMYFUNCTION("IMPORTRANGE(""https://docs.google.com/spreadsheets/d/11923uPwbBZFjjGgGUA6NLw09EwE0CqkOc4q9oUmW1yo/edit?usp=sharing"",""กำแพงเพชร!J416"")"),0)</f>
        <v>0</v>
      </c>
      <c r="BU16" s="542">
        <f ca="1">IFERROR(__xludf.DUMMYFUNCTION("IMPORTRANGE(""https://docs.google.com/spreadsheets/d/11923uPwbBZFjjGgGUA6NLw09EwE0CqkOc4q9oUmW1yo/edit?usp=sharing"",""กำแพงเพชร!J417"")"),0)</f>
        <v>0</v>
      </c>
      <c r="BV16" s="542">
        <f ca="1">IFERROR(__xludf.DUMMYFUNCTION("IMPORTRANGE(""https://docs.google.com/spreadsheets/d/11923uPwbBZFjjGgGUA6NLw09EwE0CqkOc4q9oUmW1yo/edit?usp=sharing"",""กำแพงเพชร!J418"")"),2168)</f>
        <v>2168</v>
      </c>
      <c r="BW16" s="542">
        <f ca="1">IFERROR(__xludf.DUMMYFUNCTION("IMPORTRANGE(""https://docs.google.com/spreadsheets/d/11923uPwbBZFjjGgGUA6NLw09EwE0CqkOc4q9oUmW1yo/edit?usp=sharing"",""กำแพงเพชร!J419"")"),106)</f>
        <v>106</v>
      </c>
      <c r="BX16" s="546">
        <f t="shared" ref="BX16:BX32" ca="1" si="72">SUM(CB16,CD16,CF16)</f>
        <v>0</v>
      </c>
      <c r="BY16" s="547">
        <f t="shared" ca="1" si="18"/>
        <v>0</v>
      </c>
      <c r="BZ16" s="546">
        <f t="shared" ref="BZ16:BZ32" ca="1" si="73">SUM(CC16,CE16,CG16)</f>
        <v>0</v>
      </c>
      <c r="CA16" s="547">
        <f t="shared" ca="1" si="19"/>
        <v>0</v>
      </c>
      <c r="CB16" s="542">
        <f ca="1">IFERROR(__xludf.DUMMYFUNCTION("IMPORTRANGE(""https://docs.google.com/spreadsheets/d/11923uPwbBZFjjGgGUA6NLw09EwE0CqkOc4q9oUmW1yo/edit?usp=sharing"",""กำแพงเพชร!J422"")"),0)</f>
        <v>0</v>
      </c>
      <c r="CC16" s="542">
        <f ca="1">IFERROR(__xludf.DUMMYFUNCTION("IMPORTRANGE(""https://docs.google.com/spreadsheets/d/11923uPwbBZFjjGgGUA6NLw09EwE0CqkOc4q9oUmW1yo/edit?usp=sharing"",""กำแพงเพชร!J423"")"),0)</f>
        <v>0</v>
      </c>
      <c r="CD16" s="542">
        <f ca="1">IFERROR(__xludf.DUMMYFUNCTION("IMPORTRANGE(""https://docs.google.com/spreadsheets/d/11923uPwbBZFjjGgGUA6NLw09EwE0CqkOc4q9oUmW1yo/edit?usp=sharing"",""กำแพงเพชร!J424"")"),0)</f>
        <v>0</v>
      </c>
      <c r="CE16" s="542">
        <f ca="1">IFERROR(__xludf.DUMMYFUNCTION("IMPORTRANGE(""https://docs.google.com/spreadsheets/d/11923uPwbBZFjjGgGUA6NLw09EwE0CqkOc4q9oUmW1yo/edit?usp=sharing"",""กำแพงเพชร!J425"")"),0)</f>
        <v>0</v>
      </c>
      <c r="CF16" s="542">
        <f ca="1">IFERROR(__xludf.DUMMYFUNCTION("IMPORTRANGE(""https://docs.google.com/spreadsheets/d/11923uPwbBZFjjGgGUA6NLw09EwE0CqkOc4q9oUmW1yo/edit?usp=sharing"",""กำแพงเพชร!J426"")"),0)</f>
        <v>0</v>
      </c>
      <c r="CG16" s="548">
        <f ca="1">IFERROR(__xludf.DUMMYFUNCTION("IMPORTRANGE(""https://docs.google.com/spreadsheets/d/11923uPwbBZFjjGgGUA6NLw09EwE0CqkOc4q9oUmW1yo/edit?usp=sharing"",""กำแพงเพชร!J427"")"),0)</f>
        <v>0</v>
      </c>
    </row>
    <row r="17" spans="1:85" ht="24" customHeight="1">
      <c r="A17" s="549">
        <v>2</v>
      </c>
      <c r="B17" s="550" t="s">
        <v>41</v>
      </c>
      <c r="C17" s="551">
        <f t="shared" ca="1" si="61"/>
        <v>510553</v>
      </c>
      <c r="D17" s="552">
        <f ca="1">IFERROR(__xludf.DUMMYFUNCTION("IMPORTRANGE(""https://docs.google.com/spreadsheets/d/1C3CXT74ZlgGe6_JY_1olB1XN4rF0dxEuIIF-xsYjHgg/edit?usp=sharing"",""งบกองทุน!BC21"")"),0)</f>
        <v>0</v>
      </c>
      <c r="E17" s="553">
        <f ca="1">IFERROR(__xludf.DUMMYFUNCTION("IMPORTRANGE(""https://docs.google.com/spreadsheets/d/1C3CXT74ZlgGe6_JY_1olB1XN4rF0dxEuIIF-xsYjHgg/edit?usp=sharing"",""งบกองทุน!BD21"")"),510553)</f>
        <v>510553</v>
      </c>
      <c r="F17" s="554">
        <f ca="1">IFERROR(__xludf.DUMMYFUNCTION("IMPORTRANGE(""https://docs.google.com/spreadsheets/d/11923uPwbBZFjjGgGUA6NLw09EwE0CqkOc4q9oUmW1yo/edit?usp=sharing"",""เชียงราย!M352"")"),192880)</f>
        <v>192880</v>
      </c>
      <c r="G17" s="554">
        <f t="shared" ca="1" si="1"/>
        <v>37.778643940981638</v>
      </c>
      <c r="H17" s="555">
        <f ca="1">IFERROR(__xludf.DUMMYFUNCTION("IMPORTRANGE(""https://docs.google.com/spreadsheets/d/1C3CXT74ZlgGe6_JY_1olB1XN4rF0dxEuIIF-xsYjHgg/edit?usp=sharing"",""งบกองทุน!BE21"")"),49473)</f>
        <v>49473</v>
      </c>
      <c r="I17" s="555">
        <f ca="1">IFERROR(__xludf.DUMMYFUNCTION("IMPORTRANGE(""https://docs.google.com/spreadsheets/d/1C3CXT74ZlgGe6_JY_1olB1XN4rF0dxEuIIF-xsYjHgg/edit?usp=sharing"",""งบกองทุน!BF21"")"),9843)</f>
        <v>9843</v>
      </c>
      <c r="J17" s="552">
        <f t="shared" ca="1" si="62"/>
        <v>49473</v>
      </c>
      <c r="K17" s="554">
        <f t="shared" ca="1" si="3"/>
        <v>100</v>
      </c>
      <c r="L17" s="552">
        <f t="shared" ca="1" si="63"/>
        <v>9843</v>
      </c>
      <c r="M17" s="554">
        <f t="shared" ca="1" si="4"/>
        <v>100</v>
      </c>
      <c r="N17" s="552">
        <f ca="1">IFERROR(__xludf.DUMMYFUNCTION("IMPORTRANGE(""https://docs.google.com/spreadsheets/d/11923uPwbBZFjjGgGUA6NLw09EwE0CqkOc4q9oUmW1yo/edit?usp=sharing"",""เชียงราย!J362"")"),42857)</f>
        <v>42857</v>
      </c>
      <c r="O17" s="552">
        <f ca="1">IFERROR(__xludf.DUMMYFUNCTION("IMPORTRANGE(""https://docs.google.com/spreadsheets/d/11923uPwbBZFjjGgGUA6NLw09EwE0CqkOc4q9oUmW1yo/edit?usp=sharing"",""เชียงราย!J363"")"),8730)</f>
        <v>8730</v>
      </c>
      <c r="P17" s="552">
        <f ca="1">IFERROR(__xludf.DUMMYFUNCTION("IMPORTRANGE(""https://docs.google.com/spreadsheets/d/11923uPwbBZFjjGgGUA6NLw09EwE0CqkOc4q9oUmW1yo/edit?usp=sharing"",""เชียงราย!J364"")"),5964)</f>
        <v>5964</v>
      </c>
      <c r="Q17" s="552">
        <f ca="1">IFERROR(__xludf.DUMMYFUNCTION("IMPORTRANGE(""https://docs.google.com/spreadsheets/d/11923uPwbBZFjjGgGUA6NLw09EwE0CqkOc4q9oUmW1yo/edit?usp=sharing"",""เชียงราย!J365"")"),987)</f>
        <v>987</v>
      </c>
      <c r="R17" s="552">
        <f ca="1">IFERROR(__xludf.DUMMYFUNCTION("IMPORTRANGE(""https://docs.google.com/spreadsheets/d/11923uPwbBZFjjGgGUA6NLw09EwE0CqkOc4q9oUmW1yo/edit?usp=sharing"",""เชียงราย!J366"")"),652)</f>
        <v>652</v>
      </c>
      <c r="S17" s="552">
        <f ca="1">IFERROR(__xludf.DUMMYFUNCTION("IMPORTRANGE(""https://docs.google.com/spreadsheets/d/11923uPwbBZFjjGgGUA6NLw09EwE0CqkOc4q9oUmW1yo/edit?usp=sharing"",""เชียงราย!J367"")"),126)</f>
        <v>126</v>
      </c>
      <c r="T17" s="552">
        <f t="shared" ca="1" si="64"/>
        <v>49473</v>
      </c>
      <c r="U17" s="552">
        <f t="shared" ca="1" si="6"/>
        <v>100</v>
      </c>
      <c r="V17" s="552">
        <f t="shared" ca="1" si="65"/>
        <v>9843</v>
      </c>
      <c r="W17" s="552">
        <f t="shared" ca="1" si="7"/>
        <v>100</v>
      </c>
      <c r="X17" s="552">
        <f ca="1">IFERROR(__xludf.DUMMYFUNCTION("IMPORTRANGE(""https://docs.google.com/spreadsheets/d/11923uPwbBZFjjGgGUA6NLw09EwE0CqkOc4q9oUmW1yo/edit?usp=sharing"",""เชียงราย!J370"")"),42904)</f>
        <v>42904</v>
      </c>
      <c r="Y17" s="552">
        <f ca="1">IFERROR(__xludf.DUMMYFUNCTION("IMPORTRANGE(""https://docs.google.com/spreadsheets/d/11923uPwbBZFjjGgGUA6NLw09EwE0CqkOc4q9oUmW1yo/edit?usp=sharing"",""เชียงราย!J371"")"),8733)</f>
        <v>8733</v>
      </c>
      <c r="Z17" s="552">
        <f ca="1">IFERROR(__xludf.DUMMYFUNCTION("IMPORTRANGE(""https://docs.google.com/spreadsheets/d/11923uPwbBZFjjGgGUA6NLw09EwE0CqkOc4q9oUmW1yo/edit?usp=sharing"",""เชียงราย!J372"")"),5672)</f>
        <v>5672</v>
      </c>
      <c r="AA17" s="552">
        <f ca="1">IFERROR(__xludf.DUMMYFUNCTION("IMPORTRANGE(""https://docs.google.com/spreadsheets/d/11923uPwbBZFjjGgGUA6NLw09EwE0CqkOc4q9oUmW1yo/edit?usp=sharing"",""เชียงราย!J373"")"),941)</f>
        <v>941</v>
      </c>
      <c r="AB17" s="552">
        <f ca="1">IFERROR(__xludf.DUMMYFUNCTION("IMPORTRANGE(""https://docs.google.com/spreadsheets/d/11923uPwbBZFjjGgGUA6NLw09EwE0CqkOc4q9oUmW1yo/edit?usp=sharing"",""เชียงราย!J374"")"),897)</f>
        <v>897</v>
      </c>
      <c r="AC17" s="552">
        <f ca="1">IFERROR(__xludf.DUMMYFUNCTION("IMPORTRANGE(""https://docs.google.com/spreadsheets/d/11923uPwbBZFjjGgGUA6NLw09EwE0CqkOc4q9oUmW1yo/edit?usp=sharing"",""เชียงราย!J375"")"),169)</f>
        <v>169</v>
      </c>
      <c r="AD17" s="552">
        <f t="shared" ca="1" si="66"/>
        <v>42904</v>
      </c>
      <c r="AE17" s="554">
        <f t="shared" ca="1" si="9"/>
        <v>86.722050411335474</v>
      </c>
      <c r="AF17" s="552">
        <f t="shared" ca="1" si="67"/>
        <v>5733</v>
      </c>
      <c r="AG17" s="554">
        <f t="shared" ca="1" si="10"/>
        <v>58.244437671441631</v>
      </c>
      <c r="AH17" s="552">
        <f ca="1">IFERROR(__xludf.DUMMYFUNCTION("IMPORTRANGE(""https://docs.google.com/spreadsheets/d/11923uPwbBZFjjGgGUA6NLw09EwE0CqkOc4q9oUmW1yo/edit?usp=sharing"",""เชียงราย!J378"")"),42904)</f>
        <v>42904</v>
      </c>
      <c r="AI17" s="552">
        <f ca="1">IFERROR(__xludf.DUMMYFUNCTION("IMPORTRANGE(""https://docs.google.com/spreadsheets/d/11923uPwbBZFjjGgGUA6NLw09EwE0CqkOc4q9oUmW1yo/edit?usp=sharing"",""เชียงราย!J379"")"),5733)</f>
        <v>5733</v>
      </c>
      <c r="AJ17" s="552">
        <f ca="1">IFERROR(__xludf.DUMMYFUNCTION("IMPORTRANGE(""https://docs.google.com/spreadsheets/d/11923uPwbBZFjjGgGUA6NLw09EwE0CqkOc4q9oUmW1yo/edit?usp=sharing"",""เชียงราย!J380"")"),0)</f>
        <v>0</v>
      </c>
      <c r="AK17" s="552">
        <f ca="1">IFERROR(__xludf.DUMMYFUNCTION("IMPORTRANGE(""https://docs.google.com/spreadsheets/d/11923uPwbBZFjjGgGUA6NLw09EwE0CqkOc4q9oUmW1yo/edit?usp=sharing"",""เชียงราย!J381"")"),0)</f>
        <v>0</v>
      </c>
      <c r="AL17" s="552">
        <f ca="1">IFERROR(__xludf.DUMMYFUNCTION("IMPORTRANGE(""https://docs.google.com/spreadsheets/d/11923uPwbBZFjjGgGUA6NLw09EwE0CqkOc4q9oUmW1yo/edit?usp=sharing"",""เชียงราย!J384"")"),0)</f>
        <v>0</v>
      </c>
      <c r="AM17" s="552">
        <f ca="1">IFERROR(__xludf.DUMMYFUNCTION("IMPORTRANGE(""https://docs.google.com/spreadsheets/d/11923uPwbBZFjjGgGUA6NLw09EwE0CqkOc4q9oUmW1yo/edit?usp=sharing"",""เชียงราย!J385"")"),0)</f>
        <v>0</v>
      </c>
      <c r="AN17" s="552">
        <f ca="1">IFERROR(__xludf.DUMMYFUNCTION("IMPORTRANGE(""https://docs.google.com/spreadsheets/d/11923uPwbBZFjjGgGUA6NLw09EwE0CqkOc4q9oUmW1yo/edit?usp=sharing"",""เชียงราย!J386"")"),0)</f>
        <v>0</v>
      </c>
      <c r="AO17" s="552">
        <f ca="1">IFERROR(__xludf.DUMMYFUNCTION("IMPORTRANGE(""https://docs.google.com/spreadsheets/d/11923uPwbBZFjjGgGUA6NLw09EwE0CqkOc4q9oUmW1yo/edit?usp=sharing"",""เชียงราย!J387"")"),0)</f>
        <v>0</v>
      </c>
      <c r="AP17" s="552">
        <f ca="1">IFERROR(__xludf.DUMMYFUNCTION("IMPORTRANGE(""https://docs.google.com/spreadsheets/d/11923uPwbBZFjjGgGUA6NLw09EwE0CqkOc4q9oUmW1yo/edit?usp=sharing"",""เชียงราย!J388"")"),0)</f>
        <v>0</v>
      </c>
      <c r="AQ17" s="552">
        <f ca="1">IFERROR(__xludf.DUMMYFUNCTION("IMPORTRANGE(""https://docs.google.com/spreadsheets/d/11923uPwbBZFjjGgGUA6NLw09EwE0CqkOc4q9oUmW1yo/edit?usp=sharing"",""เชียงราย!J389"")"),0)</f>
        <v>0</v>
      </c>
      <c r="AR17" s="552">
        <f ca="1">IFERROR(__xludf.DUMMYFUNCTION("IMPORTRANGE(""https://docs.google.com/spreadsheets/d/11923uPwbBZFjjGgGUA6NLw09EwE0CqkOc4q9oUmW1yo/edit?usp=sharing"",""เชียงราย!J390"")"),0)</f>
        <v>0</v>
      </c>
      <c r="AS17" s="552">
        <f ca="1">IFERROR(__xludf.DUMMYFUNCTION("IMPORTRANGE(""https://docs.google.com/spreadsheets/d/11923uPwbBZFjjGgGUA6NLw09EwE0CqkOc4q9oUmW1yo/edit?usp=sharing"",""เชียงราย!J391"")"),0)</f>
        <v>0</v>
      </c>
      <c r="AT17" s="556">
        <f ca="1">IFERROR(__xludf.DUMMYFUNCTION("IMPORTRANGE(""https://docs.google.com/spreadsheets/d/1C3CXT74ZlgGe6_JY_1olB1XN4rF0dxEuIIF-xsYjHgg/edit?usp=sharing"",""งบกองทุน!CD21"")"),707)</f>
        <v>707</v>
      </c>
      <c r="AU17" s="556">
        <f ca="1">IFERROR(__xludf.DUMMYFUNCTION("IMPORTRANGE(""https://docs.google.com/spreadsheets/d/1C3CXT74ZlgGe6_JY_1olB1XN4rF0dxEuIIF-xsYjHgg/edit?usp=sharing"",""งบกองทุน!CC21"")"),94)</f>
        <v>94</v>
      </c>
      <c r="AV17" s="556">
        <f t="shared" ca="1" si="68"/>
        <v>694</v>
      </c>
      <c r="AW17" s="556">
        <f t="shared" ca="1" si="12"/>
        <v>98.161244695898162</v>
      </c>
      <c r="AX17" s="556">
        <f t="shared" ca="1" si="69"/>
        <v>92</v>
      </c>
      <c r="AY17" s="556">
        <f t="shared" ca="1" si="13"/>
        <v>97.872340425531917</v>
      </c>
      <c r="AZ17" s="552">
        <f ca="1">IFERROR(__xludf.DUMMYFUNCTION("IMPORTRANGE(""https://docs.google.com/spreadsheets/d/11923uPwbBZFjjGgGUA6NLw09EwE0CqkOc4q9oUmW1yo/edit?usp=sharing"",""เชียงราย!J397"")"),552)</f>
        <v>552</v>
      </c>
      <c r="BA17" s="552">
        <f ca="1">IFERROR(__xludf.DUMMYFUNCTION("IMPORTRANGE(""https://docs.google.com/spreadsheets/d/11923uPwbBZFjjGgGUA6NLw09EwE0CqkOc4q9oUmW1yo/edit?usp=sharing"",""เชียงราย!J398"")"),73)</f>
        <v>73</v>
      </c>
      <c r="BB17" s="552">
        <f ca="1">IFERROR(__xludf.DUMMYFUNCTION("IMPORTRANGE(""https://docs.google.com/spreadsheets/d/11923uPwbBZFjjGgGUA6NLw09EwE0CqkOc4q9oUmW1yo/edit?usp=sharing"",""เชียงราย!J399"")"),0)</f>
        <v>0</v>
      </c>
      <c r="BC17" s="552">
        <f ca="1">IFERROR(__xludf.DUMMYFUNCTION("IMPORTRANGE(""https://docs.google.com/spreadsheets/d/11923uPwbBZFjjGgGUA6NLw09EwE0CqkOc4q9oUmW1yo/edit?usp=sharing"",""เชียงราย!J400"")"),0)</f>
        <v>0</v>
      </c>
      <c r="BD17" s="552">
        <f ca="1">IFERROR(__xludf.DUMMYFUNCTION("IMPORTRANGE(""https://docs.google.com/spreadsheets/d/11923uPwbBZFjjGgGUA6NLw09EwE0CqkOc4q9oUmW1yo/edit?usp=sharing"",""เชียงราย!J401"")"),0)</f>
        <v>0</v>
      </c>
      <c r="BE17" s="552">
        <f ca="1">IFERROR(__xludf.DUMMYFUNCTION("IMPORTRANGE(""https://docs.google.com/spreadsheets/d/11923uPwbBZFjjGgGUA6NLw09EwE0CqkOc4q9oUmW1yo/edit?usp=sharing"",""เชียงราย!J402"")"),0)</f>
        <v>0</v>
      </c>
      <c r="BF17" s="552">
        <f ca="1">IFERROR(__xludf.DUMMYFUNCTION("IMPORTRANGE(""https://docs.google.com/spreadsheets/d/11923uPwbBZFjjGgGUA6NLw09EwE0CqkOc4q9oUmW1yo/edit?usp=sharing"",""เชียงราย!J405"")"),141)</f>
        <v>141</v>
      </c>
      <c r="BG17" s="552">
        <f ca="1">IFERROR(__xludf.DUMMYFUNCTION("IMPORTRANGE(""https://docs.google.com/spreadsheets/d/11923uPwbBZFjjGgGUA6NLw09EwE0CqkOc4q9oUmW1yo/edit?usp=sharing"",""เชียงราย!J406"")"),18)</f>
        <v>18</v>
      </c>
      <c r="BH17" s="552">
        <f ca="1">IFERROR(__xludf.DUMMYFUNCTION("IMPORTRANGE(""https://docs.google.com/spreadsheets/d/11923uPwbBZFjjGgGUA6NLw09EwE0CqkOc4q9oUmW1yo/edit?usp=sharing"",""เชียงราย!J407"")"),0)</f>
        <v>0</v>
      </c>
      <c r="BI17" s="552">
        <f ca="1">IFERROR(__xludf.DUMMYFUNCTION("IMPORTRANGE(""https://docs.google.com/spreadsheets/d/11923uPwbBZFjjGgGUA6NLw09EwE0CqkOc4q9oUmW1yo/edit?usp=sharing"",""เชียงราย!J408"")"),0)</f>
        <v>0</v>
      </c>
      <c r="BJ17" s="552">
        <f ca="1">IFERROR(__xludf.DUMMYFUNCTION("IMPORTRANGE(""https://docs.google.com/spreadsheets/d/11923uPwbBZFjjGgGUA6NLw09EwE0CqkOc4q9oUmW1yo/edit?usp=sharing"",""เชียงราย!J409"")"),1)</f>
        <v>1</v>
      </c>
      <c r="BK17" s="552">
        <f ca="1">IFERROR(__xludf.DUMMYFUNCTION("IMPORTRANGE(""https://docs.google.com/spreadsheets/d/11923uPwbBZFjjGgGUA6NLw09EwE0CqkOc4q9oUmW1yo/edit?usp=sharing"",""เชียงราย!J410"")"),1)</f>
        <v>1</v>
      </c>
      <c r="BL17" s="556">
        <f ca="1">IFERROR(__xludf.DUMMYFUNCTION("IMPORTRANGE(""https://docs.google.com/spreadsheets/d/1C3CXT74ZlgGe6_JY_1olB1XN4rF0dxEuIIF-xsYjHgg/edit?usp=sharing"",""งบกองทุน!CZ21"")"),0)</f>
        <v>0</v>
      </c>
      <c r="BM17" s="556">
        <f ca="1">IFERROR(__xludf.DUMMYFUNCTION("IMPORTRANGE(""https://docs.google.com/spreadsheets/d/1C3CXT74ZlgGe6_JY_1olB1XN4rF0dxEuIIF-xsYjHgg/edit?usp=sharing"",""งบกองทุน!CY21"")"),0)</f>
        <v>0</v>
      </c>
      <c r="BN17" s="556">
        <f t="shared" ca="1" si="70"/>
        <v>0</v>
      </c>
      <c r="BO17" s="557">
        <f t="shared" ca="1" si="15"/>
        <v>0</v>
      </c>
      <c r="BP17" s="556">
        <f t="shared" ca="1" si="71"/>
        <v>0</v>
      </c>
      <c r="BQ17" s="557">
        <f t="shared" ca="1" si="16"/>
        <v>0</v>
      </c>
      <c r="BR17" s="552">
        <f ca="1">IFERROR(__xludf.DUMMYFUNCTION("IMPORTRANGE(""https://docs.google.com/spreadsheets/d/11923uPwbBZFjjGgGUA6NLw09EwE0CqkOc4q9oUmW1yo/edit?usp=sharing"",""เชียงราย!J414"")"),0)</f>
        <v>0</v>
      </c>
      <c r="BS17" s="552">
        <f ca="1">IFERROR(__xludf.DUMMYFUNCTION("IMPORTRANGE(""https://docs.google.com/spreadsheets/d/11923uPwbBZFjjGgGUA6NLw09EwE0CqkOc4q9oUmW1yo/edit?usp=sharing"",""เชียงราย!J415"")"),0)</f>
        <v>0</v>
      </c>
      <c r="BT17" s="552">
        <f ca="1">IFERROR(__xludf.DUMMYFUNCTION("IMPORTRANGE(""https://docs.google.com/spreadsheets/d/11923uPwbBZFjjGgGUA6NLw09EwE0CqkOc4q9oUmW1yo/edit?usp=sharing"",""เชียงราย!J416"")"),0)</f>
        <v>0</v>
      </c>
      <c r="BU17" s="552">
        <f ca="1">IFERROR(__xludf.DUMMYFUNCTION("IMPORTRANGE(""https://docs.google.com/spreadsheets/d/11923uPwbBZFjjGgGUA6NLw09EwE0CqkOc4q9oUmW1yo/edit?usp=sharing"",""เชียงราย!J417"")"),0)</f>
        <v>0</v>
      </c>
      <c r="BV17" s="552">
        <f ca="1">IFERROR(__xludf.DUMMYFUNCTION("IMPORTRANGE(""https://docs.google.com/spreadsheets/d/11923uPwbBZFjjGgGUA6NLw09EwE0CqkOc4q9oUmW1yo/edit?usp=sharing"",""เชียงราย!J418"")"),110)</f>
        <v>110</v>
      </c>
      <c r="BW17" s="552">
        <f ca="1">IFERROR(__xludf.DUMMYFUNCTION("IMPORTRANGE(""https://docs.google.com/spreadsheets/d/11923uPwbBZFjjGgGUA6NLw09EwE0CqkOc4q9oUmW1yo/edit?usp=sharing"",""เชียงราย!J419"")"),15)</f>
        <v>15</v>
      </c>
      <c r="BX17" s="556">
        <f t="shared" ca="1" si="72"/>
        <v>110</v>
      </c>
      <c r="BY17" s="557">
        <f t="shared" ca="1" si="18"/>
        <v>100</v>
      </c>
      <c r="BZ17" s="556">
        <f t="shared" ca="1" si="73"/>
        <v>15</v>
      </c>
      <c r="CA17" s="557">
        <f t="shared" ca="1" si="19"/>
        <v>100</v>
      </c>
      <c r="CB17" s="552">
        <f ca="1">IFERROR(__xludf.DUMMYFUNCTION("IMPORTRANGE(""https://docs.google.com/spreadsheets/d/11923uPwbBZFjjGgGUA6NLw09EwE0CqkOc4q9oUmW1yo/edit?usp=sharing"",""เชียงราย!J422"")"),110)</f>
        <v>110</v>
      </c>
      <c r="CC17" s="552">
        <f ca="1">IFERROR(__xludf.DUMMYFUNCTION("IMPORTRANGE(""https://docs.google.com/spreadsheets/d/11923uPwbBZFjjGgGUA6NLw09EwE0CqkOc4q9oUmW1yo/edit?usp=sharing"",""เชียงราย!J423"")"),15)</f>
        <v>15</v>
      </c>
      <c r="CD17" s="552">
        <f ca="1">IFERROR(__xludf.DUMMYFUNCTION("IMPORTRANGE(""https://docs.google.com/spreadsheets/d/11923uPwbBZFjjGgGUA6NLw09EwE0CqkOc4q9oUmW1yo/edit?usp=sharing"",""เชียงราย!J424"")"),0)</f>
        <v>0</v>
      </c>
      <c r="CE17" s="552">
        <f ca="1">IFERROR(__xludf.DUMMYFUNCTION("IMPORTRANGE(""https://docs.google.com/spreadsheets/d/11923uPwbBZFjjGgGUA6NLw09EwE0CqkOc4q9oUmW1yo/edit?usp=sharing"",""เชียงราย!J425"")"),0)</f>
        <v>0</v>
      </c>
      <c r="CF17" s="552">
        <f ca="1">IFERROR(__xludf.DUMMYFUNCTION("IMPORTRANGE(""https://docs.google.com/spreadsheets/d/11923uPwbBZFjjGgGUA6NLw09EwE0CqkOc4q9oUmW1yo/edit?usp=sharing"",""เชียงราย!J426"")"),0)</f>
        <v>0</v>
      </c>
      <c r="CG17" s="558">
        <f ca="1">IFERROR(__xludf.DUMMYFUNCTION("IMPORTRANGE(""https://docs.google.com/spreadsheets/d/11923uPwbBZFjjGgGUA6NLw09EwE0CqkOc4q9oUmW1yo/edit?usp=sharing"",""เชียงราย!J427"")"),0)</f>
        <v>0</v>
      </c>
    </row>
    <row r="18" spans="1:85" ht="21" customHeight="1">
      <c r="A18" s="549">
        <v>3</v>
      </c>
      <c r="B18" s="550" t="s">
        <v>42</v>
      </c>
      <c r="C18" s="551">
        <f t="shared" ca="1" si="61"/>
        <v>536539</v>
      </c>
      <c r="D18" s="552">
        <f ca="1">IFERROR(__xludf.DUMMYFUNCTION("IMPORTRANGE(""https://docs.google.com/spreadsheets/d/1C3CXT74ZlgGe6_JY_1olB1XN4rF0dxEuIIF-xsYjHgg/edit?usp=sharing"",""งบกองทุน!BC22"")"),0)</f>
        <v>0</v>
      </c>
      <c r="E18" s="553">
        <f ca="1">IFERROR(__xludf.DUMMYFUNCTION("IMPORTRANGE(""https://docs.google.com/spreadsheets/d/1C3CXT74ZlgGe6_JY_1olB1XN4rF0dxEuIIF-xsYjHgg/edit?usp=sharing"",""งบกองทุน!BD22"")"),536539)</f>
        <v>536539</v>
      </c>
      <c r="F18" s="554">
        <f ca="1">IFERROR(__xludf.DUMMYFUNCTION("IMPORTRANGE(""https://docs.google.com/spreadsheets/d/11923uPwbBZFjjGgGUA6NLw09EwE0CqkOc4q9oUmW1yo/edit?usp=sharing"",""เชียงใหม่!M352"")"),205361.58)</f>
        <v>205361.58</v>
      </c>
      <c r="G18" s="554">
        <f t="shared" ca="1" si="1"/>
        <v>38.275238146714408</v>
      </c>
      <c r="H18" s="555">
        <f ca="1">IFERROR(__xludf.DUMMYFUNCTION("IMPORTRANGE(""https://docs.google.com/spreadsheets/d/1C3CXT74ZlgGe6_JY_1olB1XN4rF0dxEuIIF-xsYjHgg/edit?usp=sharing"",""งบกองทุน!BE22"")"),19467)</f>
        <v>19467</v>
      </c>
      <c r="I18" s="555">
        <f ca="1">IFERROR(__xludf.DUMMYFUNCTION("IMPORTRANGE(""https://docs.google.com/spreadsheets/d/1C3CXT74ZlgGe6_JY_1olB1XN4rF0dxEuIIF-xsYjHgg/edit?usp=sharing"",""งบกองทุน!BF22"")"),4394)</f>
        <v>4394</v>
      </c>
      <c r="J18" s="552">
        <f t="shared" ca="1" si="62"/>
        <v>19467.63</v>
      </c>
      <c r="K18" s="554">
        <f t="shared" ca="1" si="3"/>
        <v>100.0032362459547</v>
      </c>
      <c r="L18" s="552">
        <f t="shared" ca="1" si="63"/>
        <v>4394</v>
      </c>
      <c r="M18" s="554">
        <f t="shared" ca="1" si="4"/>
        <v>100</v>
      </c>
      <c r="N18" s="552">
        <f ca="1">IFERROR(__xludf.DUMMYFUNCTION("IMPORTRANGE(""https://docs.google.com/spreadsheets/d/11923uPwbBZFjjGgGUA6NLw09EwE0CqkOc4q9oUmW1yo/edit?usp=sharing"",""เชียงใหม่!J362"")"),9243)</f>
        <v>9243</v>
      </c>
      <c r="O18" s="552">
        <f ca="1">IFERROR(__xludf.DUMMYFUNCTION("IMPORTRANGE(""https://docs.google.com/spreadsheets/d/11923uPwbBZFjjGgGUA6NLw09EwE0CqkOc4q9oUmW1yo/edit?usp=sharing"",""เชียงใหม่!J363"")"),2379)</f>
        <v>2379</v>
      </c>
      <c r="P18" s="552">
        <f ca="1">IFERROR(__xludf.DUMMYFUNCTION("IMPORTRANGE(""https://docs.google.com/spreadsheets/d/11923uPwbBZFjjGgGUA6NLw09EwE0CqkOc4q9oUmW1yo/edit?usp=sharing"",""เชียงใหม่!J364"")"),10020.33)</f>
        <v>10020.33</v>
      </c>
      <c r="Q18" s="552">
        <f ca="1">IFERROR(__xludf.DUMMYFUNCTION("IMPORTRANGE(""https://docs.google.com/spreadsheets/d/11923uPwbBZFjjGgGUA6NLw09EwE0CqkOc4q9oUmW1yo/edit?usp=sharing"",""เชียงใหม่!J365"")"),1953)</f>
        <v>1953</v>
      </c>
      <c r="R18" s="552">
        <f ca="1">IFERROR(__xludf.DUMMYFUNCTION("IMPORTRANGE(""https://docs.google.com/spreadsheets/d/11923uPwbBZFjjGgGUA6NLw09EwE0CqkOc4q9oUmW1yo/edit?usp=sharing"",""เชียงใหม่!J366"")"),204.3)</f>
        <v>204.3</v>
      </c>
      <c r="S18" s="552">
        <f ca="1">IFERROR(__xludf.DUMMYFUNCTION("IMPORTRANGE(""https://docs.google.com/spreadsheets/d/11923uPwbBZFjjGgGUA6NLw09EwE0CqkOc4q9oUmW1yo/edit?usp=sharing"",""เชียงใหม่!J367"")"),62)</f>
        <v>62</v>
      </c>
      <c r="T18" s="552">
        <f t="shared" ca="1" si="64"/>
        <v>19467.339999999997</v>
      </c>
      <c r="U18" s="552">
        <f t="shared" ca="1" si="6"/>
        <v>100.00174654543584</v>
      </c>
      <c r="V18" s="552">
        <f t="shared" ca="1" si="65"/>
        <v>4394</v>
      </c>
      <c r="W18" s="552">
        <f t="shared" ca="1" si="7"/>
        <v>100</v>
      </c>
      <c r="X18" s="552">
        <f ca="1">IFERROR(__xludf.DUMMYFUNCTION("IMPORTRANGE(""https://docs.google.com/spreadsheets/d/11923uPwbBZFjjGgGUA6NLw09EwE0CqkOc4q9oUmW1yo/edit?usp=sharing"",""เชียงใหม่!J370"")"),9321.76)</f>
        <v>9321.76</v>
      </c>
      <c r="Y18" s="552">
        <f ca="1">IFERROR(__xludf.DUMMYFUNCTION("IMPORTRANGE(""https://docs.google.com/spreadsheets/d/11923uPwbBZFjjGgGUA6NLw09EwE0CqkOc4q9oUmW1yo/edit?usp=sharing"",""เชียงใหม่!J371"")"),2393)</f>
        <v>2393</v>
      </c>
      <c r="Z18" s="552">
        <f ca="1">IFERROR(__xludf.DUMMYFUNCTION("IMPORTRANGE(""https://docs.google.com/spreadsheets/d/11923uPwbBZFjjGgGUA6NLw09EwE0CqkOc4q9oUmW1yo/edit?usp=sharing"",""เชียงใหม่!J372"")"),9937.23)</f>
        <v>9937.23</v>
      </c>
      <c r="AA18" s="552">
        <f ca="1">IFERROR(__xludf.DUMMYFUNCTION("IMPORTRANGE(""https://docs.google.com/spreadsheets/d/11923uPwbBZFjjGgGUA6NLw09EwE0CqkOc4q9oUmW1yo/edit?usp=sharing"",""เชียงใหม่!J373"")"),1938)</f>
        <v>1938</v>
      </c>
      <c r="AB18" s="552">
        <f ca="1">IFERROR(__xludf.DUMMYFUNCTION("IMPORTRANGE(""https://docs.google.com/spreadsheets/d/11923uPwbBZFjjGgGUA6NLw09EwE0CqkOc4q9oUmW1yo/edit?usp=sharing"",""เชียงใหม่!J374"")"),208.35)</f>
        <v>208.35</v>
      </c>
      <c r="AC18" s="552">
        <f ca="1">IFERROR(__xludf.DUMMYFUNCTION("IMPORTRANGE(""https://docs.google.com/spreadsheets/d/11923uPwbBZFjjGgGUA6NLw09EwE0CqkOc4q9oUmW1yo/edit?usp=sharing"",""เชียงใหม่!J375"")"),63)</f>
        <v>63</v>
      </c>
      <c r="AD18" s="552">
        <f t="shared" ca="1" si="66"/>
        <v>9322</v>
      </c>
      <c r="AE18" s="554">
        <f t="shared" ca="1" si="9"/>
        <v>47.886166332768276</v>
      </c>
      <c r="AF18" s="552">
        <f t="shared" ca="1" si="67"/>
        <v>2393</v>
      </c>
      <c r="AG18" s="554">
        <f t="shared" ca="1" si="10"/>
        <v>54.460628129267185</v>
      </c>
      <c r="AH18" s="552">
        <f ca="1">IFERROR(__xludf.DUMMYFUNCTION("IMPORTRANGE(""https://docs.google.com/spreadsheets/d/11923uPwbBZFjjGgGUA6NLw09EwE0CqkOc4q9oUmW1yo/edit?usp=sharing"",""เชียงใหม่!J378"")"),9322)</f>
        <v>9322</v>
      </c>
      <c r="AI18" s="552">
        <f ca="1">IFERROR(__xludf.DUMMYFUNCTION("IMPORTRANGE(""https://docs.google.com/spreadsheets/d/11923uPwbBZFjjGgGUA6NLw09EwE0CqkOc4q9oUmW1yo/edit?usp=sharing"",""เชียงใหม่!J379"")"),2393)</f>
        <v>2393</v>
      </c>
      <c r="AJ18" s="552">
        <f ca="1">IFERROR(__xludf.DUMMYFUNCTION("IMPORTRANGE(""https://docs.google.com/spreadsheets/d/11923uPwbBZFjjGgGUA6NLw09EwE0CqkOc4q9oUmW1yo/edit?usp=sharing"",""เชียงใหม่!J380"")"),0)</f>
        <v>0</v>
      </c>
      <c r="AK18" s="552">
        <f ca="1">IFERROR(__xludf.DUMMYFUNCTION("IMPORTRANGE(""https://docs.google.com/spreadsheets/d/11923uPwbBZFjjGgGUA6NLw09EwE0CqkOc4q9oUmW1yo/edit?usp=sharing"",""เชียงใหม่!J381"")"),0)</f>
        <v>0</v>
      </c>
      <c r="AL18" s="552">
        <f ca="1">IFERROR(__xludf.DUMMYFUNCTION("IMPORTRANGE(""https://docs.google.com/spreadsheets/d/11923uPwbBZFjjGgGUA6NLw09EwE0CqkOc4q9oUmW1yo/edit?usp=sharing"",""เชียงใหม่!J384"")"),0)</f>
        <v>0</v>
      </c>
      <c r="AM18" s="552">
        <f ca="1">IFERROR(__xludf.DUMMYFUNCTION("IMPORTRANGE(""https://docs.google.com/spreadsheets/d/11923uPwbBZFjjGgGUA6NLw09EwE0CqkOc4q9oUmW1yo/edit?usp=sharing"",""เชียงใหม่!J385"")"),0)</f>
        <v>0</v>
      </c>
      <c r="AN18" s="552">
        <f ca="1">IFERROR(__xludf.DUMMYFUNCTION("IMPORTRANGE(""https://docs.google.com/spreadsheets/d/11923uPwbBZFjjGgGUA6NLw09EwE0CqkOc4q9oUmW1yo/edit?usp=sharing"",""เชียงใหม่!J386"")"),0)</f>
        <v>0</v>
      </c>
      <c r="AO18" s="552">
        <f ca="1">IFERROR(__xludf.DUMMYFUNCTION("IMPORTRANGE(""https://docs.google.com/spreadsheets/d/11923uPwbBZFjjGgGUA6NLw09EwE0CqkOc4q9oUmW1yo/edit?usp=sharing"",""เชียงใหม่!J387"")"),0)</f>
        <v>0</v>
      </c>
      <c r="AP18" s="552">
        <f ca="1">IFERROR(__xludf.DUMMYFUNCTION("IMPORTRANGE(""https://docs.google.com/spreadsheets/d/11923uPwbBZFjjGgGUA6NLw09EwE0CqkOc4q9oUmW1yo/edit?usp=sharing"",""เชียงใหม่!J388"")"),0)</f>
        <v>0</v>
      </c>
      <c r="AQ18" s="552">
        <f ca="1">IFERROR(__xludf.DUMMYFUNCTION("IMPORTRANGE(""https://docs.google.com/spreadsheets/d/11923uPwbBZFjjGgGUA6NLw09EwE0CqkOc4q9oUmW1yo/edit?usp=sharing"",""เชียงใหม่!J389"")"),0)</f>
        <v>0</v>
      </c>
      <c r="AR18" s="552">
        <f ca="1">IFERROR(__xludf.DUMMYFUNCTION("IMPORTRANGE(""https://docs.google.com/spreadsheets/d/11923uPwbBZFjjGgGUA6NLw09EwE0CqkOc4q9oUmW1yo/edit?usp=sharing"",""เชียงใหม่!J390"")"),0)</f>
        <v>0</v>
      </c>
      <c r="AS18" s="552">
        <f ca="1">IFERROR(__xludf.DUMMYFUNCTION("IMPORTRANGE(""https://docs.google.com/spreadsheets/d/11923uPwbBZFjjGgGUA6NLw09EwE0CqkOc4q9oUmW1yo/edit?usp=sharing"",""เชียงใหม่!J391"")"),0)</f>
        <v>0</v>
      </c>
      <c r="AT18" s="556">
        <f ca="1">IFERROR(__xludf.DUMMYFUNCTION("IMPORTRANGE(""https://docs.google.com/spreadsheets/d/1C3CXT74ZlgGe6_JY_1olB1XN4rF0dxEuIIF-xsYjHgg/edit?usp=sharing"",""งบกองทุน!CD22"")"),5091)</f>
        <v>5091</v>
      </c>
      <c r="AU18" s="556">
        <f ca="1">IFERROR(__xludf.DUMMYFUNCTION("IMPORTRANGE(""https://docs.google.com/spreadsheets/d/1C3CXT74ZlgGe6_JY_1olB1XN4rF0dxEuIIF-xsYjHgg/edit?usp=sharing"",""งบกองทุน!CC22"")"),629)</f>
        <v>629</v>
      </c>
      <c r="AV18" s="556">
        <f t="shared" ca="1" si="68"/>
        <v>1642.1</v>
      </c>
      <c r="AW18" s="556">
        <f t="shared" ca="1" si="12"/>
        <v>32.254959732861913</v>
      </c>
      <c r="AX18" s="556">
        <f t="shared" ca="1" si="69"/>
        <v>196</v>
      </c>
      <c r="AY18" s="556">
        <f t="shared" ca="1" si="13"/>
        <v>31.160572337042925</v>
      </c>
      <c r="AZ18" s="552">
        <f ca="1">IFERROR(__xludf.DUMMYFUNCTION("IMPORTRANGE(""https://docs.google.com/spreadsheets/d/11923uPwbBZFjjGgGUA6NLw09EwE0CqkOc4q9oUmW1yo/edit?usp=sharing"",""เชียงใหม่!J397"")"),482)</f>
        <v>482</v>
      </c>
      <c r="BA18" s="552">
        <f ca="1">IFERROR(__xludf.DUMMYFUNCTION("IMPORTRANGE(""https://docs.google.com/spreadsheets/d/11923uPwbBZFjjGgGUA6NLw09EwE0CqkOc4q9oUmW1yo/edit?usp=sharing"",""เชียงใหม่!J398"")"),40)</f>
        <v>40</v>
      </c>
      <c r="BB18" s="552">
        <f ca="1">IFERROR(__xludf.DUMMYFUNCTION("IMPORTRANGE(""https://docs.google.com/spreadsheets/d/11923uPwbBZFjjGgGUA6NLw09EwE0CqkOc4q9oUmW1yo/edit?usp=sharing"",""เชียงใหม่!J399"")"),899)</f>
        <v>899</v>
      </c>
      <c r="BC18" s="552">
        <f ca="1">IFERROR(__xludf.DUMMYFUNCTION("IMPORTRANGE(""https://docs.google.com/spreadsheets/d/11923uPwbBZFjjGgGUA6NLw09EwE0CqkOc4q9oUmW1yo/edit?usp=sharing"",""เชียงใหม่!J400"")"),128)</f>
        <v>128</v>
      </c>
      <c r="BD18" s="552">
        <f ca="1">IFERROR(__xludf.DUMMYFUNCTION("IMPORTRANGE(""https://docs.google.com/spreadsheets/d/11923uPwbBZFjjGgGUA6NLw09EwE0CqkOc4q9oUmW1yo/edit?usp=sharing"",""เชียงใหม่!J401"")"),0)</f>
        <v>0</v>
      </c>
      <c r="BE18" s="552">
        <f ca="1">IFERROR(__xludf.DUMMYFUNCTION("IMPORTRANGE(""https://docs.google.com/spreadsheets/d/11923uPwbBZFjjGgGUA6NLw09EwE0CqkOc4q9oUmW1yo/edit?usp=sharing"",""เชียงใหม่!J402"")"),0)</f>
        <v>0</v>
      </c>
      <c r="BF18" s="552">
        <f ca="1">IFERROR(__xludf.DUMMYFUNCTION("IMPORTRANGE(""https://docs.google.com/spreadsheets/d/11923uPwbBZFjjGgGUA6NLw09EwE0CqkOc4q9oUmW1yo/edit?usp=sharing"",""เชียงใหม่!J405"")"),0.1)</f>
        <v>0.1</v>
      </c>
      <c r="BG18" s="552">
        <f ca="1">IFERROR(__xludf.DUMMYFUNCTION("IMPORTRANGE(""https://docs.google.com/spreadsheets/d/11923uPwbBZFjjGgGUA6NLw09EwE0CqkOc4q9oUmW1yo/edit?usp=sharing"",""เชียงใหม่!J406"")"),1)</f>
        <v>1</v>
      </c>
      <c r="BH18" s="552">
        <f ca="1">IFERROR(__xludf.DUMMYFUNCTION("IMPORTRANGE(""https://docs.google.com/spreadsheets/d/11923uPwbBZFjjGgGUA6NLw09EwE0CqkOc4q9oUmW1yo/edit?usp=sharing"",""เชียงใหม่!J407"")"),13)</f>
        <v>13</v>
      </c>
      <c r="BI18" s="552">
        <f ca="1">IFERROR(__xludf.DUMMYFUNCTION("IMPORTRANGE(""https://docs.google.com/spreadsheets/d/11923uPwbBZFjjGgGUA6NLw09EwE0CqkOc4q9oUmW1yo/edit?usp=sharing"",""เชียงใหม่!J408"")"),5)</f>
        <v>5</v>
      </c>
      <c r="BJ18" s="552">
        <f ca="1">IFERROR(__xludf.DUMMYFUNCTION("IMPORTRANGE(""https://docs.google.com/spreadsheets/d/11923uPwbBZFjjGgGUA6NLw09EwE0CqkOc4q9oUmW1yo/edit?usp=sharing"",""เชียงใหม่!J409"")"),248)</f>
        <v>248</v>
      </c>
      <c r="BK18" s="552">
        <f ca="1">IFERROR(__xludf.DUMMYFUNCTION("IMPORTRANGE(""https://docs.google.com/spreadsheets/d/11923uPwbBZFjjGgGUA6NLw09EwE0CqkOc4q9oUmW1yo/edit?usp=sharing"",""เชียงใหม่!J410"")"),22)</f>
        <v>22</v>
      </c>
      <c r="BL18" s="556">
        <f ca="1">IFERROR(__xludf.DUMMYFUNCTION("IMPORTRANGE(""https://docs.google.com/spreadsheets/d/1C3CXT74ZlgGe6_JY_1olB1XN4rF0dxEuIIF-xsYjHgg/edit?usp=sharing"",""งบกองทุน!CZ22"")"),0)</f>
        <v>0</v>
      </c>
      <c r="BM18" s="556">
        <f ca="1">IFERROR(__xludf.DUMMYFUNCTION("IMPORTRANGE(""https://docs.google.com/spreadsheets/d/1C3CXT74ZlgGe6_JY_1olB1XN4rF0dxEuIIF-xsYjHgg/edit?usp=sharing"",""งบกองทุน!CY22"")"),0)</f>
        <v>0</v>
      </c>
      <c r="BN18" s="556">
        <f t="shared" ca="1" si="70"/>
        <v>0</v>
      </c>
      <c r="BO18" s="557">
        <f t="shared" ca="1" si="15"/>
        <v>0</v>
      </c>
      <c r="BP18" s="556">
        <f t="shared" ca="1" si="71"/>
        <v>0</v>
      </c>
      <c r="BQ18" s="557">
        <f t="shared" ca="1" si="16"/>
        <v>0</v>
      </c>
      <c r="BR18" s="552">
        <f ca="1">IFERROR(__xludf.DUMMYFUNCTION("IMPORTRANGE(""https://docs.google.com/spreadsheets/d/11923uPwbBZFjjGgGUA6NLw09EwE0CqkOc4q9oUmW1yo/edit?usp=sharing"",""เชียงใหม่!J414"")"),0)</f>
        <v>0</v>
      </c>
      <c r="BS18" s="552">
        <f ca="1">IFERROR(__xludf.DUMMYFUNCTION("IMPORTRANGE(""https://docs.google.com/spreadsheets/d/11923uPwbBZFjjGgGUA6NLw09EwE0CqkOc4q9oUmW1yo/edit?usp=sharing"",""เชียงใหม่!J415"")"),0)</f>
        <v>0</v>
      </c>
      <c r="BT18" s="552">
        <f ca="1">IFERROR(__xludf.DUMMYFUNCTION("IMPORTRANGE(""https://docs.google.com/spreadsheets/d/11923uPwbBZFjjGgGUA6NLw09EwE0CqkOc4q9oUmW1yo/edit?usp=sharing"",""เชียงใหม่!J416"")"),0)</f>
        <v>0</v>
      </c>
      <c r="BU18" s="552">
        <f ca="1">IFERROR(__xludf.DUMMYFUNCTION("IMPORTRANGE(""https://docs.google.com/spreadsheets/d/11923uPwbBZFjjGgGUA6NLw09EwE0CqkOc4q9oUmW1yo/edit?usp=sharing"",""เชียงใหม่!J417"")"),0)</f>
        <v>0</v>
      </c>
      <c r="BV18" s="552">
        <f ca="1">IFERROR(__xludf.DUMMYFUNCTION("IMPORTRANGE(""https://docs.google.com/spreadsheets/d/11923uPwbBZFjjGgGUA6NLw09EwE0CqkOc4q9oUmW1yo/edit?usp=sharing"",""เชียงใหม่!J418"")"),59)</f>
        <v>59</v>
      </c>
      <c r="BW18" s="552">
        <f ca="1">IFERROR(__xludf.DUMMYFUNCTION("IMPORTRANGE(""https://docs.google.com/spreadsheets/d/11923uPwbBZFjjGgGUA6NLw09EwE0CqkOc4q9oUmW1yo/edit?usp=sharing"",""เชียงใหม่!J419"")"),15)</f>
        <v>15</v>
      </c>
      <c r="BX18" s="556">
        <f t="shared" ca="1" si="72"/>
        <v>0</v>
      </c>
      <c r="BY18" s="557">
        <f t="shared" ca="1" si="18"/>
        <v>0</v>
      </c>
      <c r="BZ18" s="556">
        <f t="shared" ca="1" si="73"/>
        <v>0</v>
      </c>
      <c r="CA18" s="557">
        <f t="shared" ca="1" si="19"/>
        <v>0</v>
      </c>
      <c r="CB18" s="552">
        <f ca="1">IFERROR(__xludf.DUMMYFUNCTION("IMPORTRANGE(""https://docs.google.com/spreadsheets/d/11923uPwbBZFjjGgGUA6NLw09EwE0CqkOc4q9oUmW1yo/edit?usp=sharing"",""เชียงใหม่!J422"")"),0)</f>
        <v>0</v>
      </c>
      <c r="CC18" s="552">
        <f ca="1">IFERROR(__xludf.DUMMYFUNCTION("IMPORTRANGE(""https://docs.google.com/spreadsheets/d/11923uPwbBZFjjGgGUA6NLw09EwE0CqkOc4q9oUmW1yo/edit?usp=sharing"",""เชียงใหม่!J423"")"),0)</f>
        <v>0</v>
      </c>
      <c r="CD18" s="552">
        <f ca="1">IFERROR(__xludf.DUMMYFUNCTION("IMPORTRANGE(""https://docs.google.com/spreadsheets/d/11923uPwbBZFjjGgGUA6NLw09EwE0CqkOc4q9oUmW1yo/edit?usp=sharing"",""เชียงใหม่!J424"")"),0)</f>
        <v>0</v>
      </c>
      <c r="CE18" s="552">
        <f ca="1">IFERROR(__xludf.DUMMYFUNCTION("IMPORTRANGE(""https://docs.google.com/spreadsheets/d/11923uPwbBZFjjGgGUA6NLw09EwE0CqkOc4q9oUmW1yo/edit?usp=sharing"",""เชียงใหม่!J425"")"),0)</f>
        <v>0</v>
      </c>
      <c r="CF18" s="552">
        <f ca="1">IFERROR(__xludf.DUMMYFUNCTION("IMPORTRANGE(""https://docs.google.com/spreadsheets/d/11923uPwbBZFjjGgGUA6NLw09EwE0CqkOc4q9oUmW1yo/edit?usp=sharing"",""เชียงใหม่!J426"")"),0)</f>
        <v>0</v>
      </c>
      <c r="CG18" s="558">
        <f ca="1">IFERROR(__xludf.DUMMYFUNCTION("IMPORTRANGE(""https://docs.google.com/spreadsheets/d/11923uPwbBZFjjGgGUA6NLw09EwE0CqkOc4q9oUmW1yo/edit?usp=sharing"",""เชียงใหม่!J427"")"),0)</f>
        <v>0</v>
      </c>
    </row>
    <row r="19" spans="1:85" ht="24" customHeight="1">
      <c r="A19" s="549">
        <v>4</v>
      </c>
      <c r="B19" s="550" t="s">
        <v>43</v>
      </c>
      <c r="C19" s="551">
        <f t="shared" ca="1" si="61"/>
        <v>462178</v>
      </c>
      <c r="D19" s="552">
        <f ca="1">IFERROR(__xludf.DUMMYFUNCTION("IMPORTRANGE(""https://docs.google.com/spreadsheets/d/1C3CXT74ZlgGe6_JY_1olB1XN4rF0dxEuIIF-xsYjHgg/edit?usp=sharing"",""งบกองทุน!BC23"")"),0)</f>
        <v>0</v>
      </c>
      <c r="E19" s="553">
        <f ca="1">IFERROR(__xludf.DUMMYFUNCTION("IMPORTRANGE(""https://docs.google.com/spreadsheets/d/1C3CXT74ZlgGe6_JY_1olB1XN4rF0dxEuIIF-xsYjHgg/edit?usp=sharing"",""งบกองทุน!BD23"")"),462178)</f>
        <v>462178</v>
      </c>
      <c r="F19" s="554">
        <f ca="1">IFERROR(__xludf.DUMMYFUNCTION("IMPORTRANGE(""https://docs.google.com/spreadsheets/d/11923uPwbBZFjjGgGUA6NLw09EwE0CqkOc4q9oUmW1yo/edit?usp=sharing"",""ตาก!M352"")"),146454)</f>
        <v>146454</v>
      </c>
      <c r="G19" s="554">
        <f t="shared" ca="1" si="1"/>
        <v>31.68779128387764</v>
      </c>
      <c r="H19" s="555">
        <f ca="1">IFERROR(__xludf.DUMMYFUNCTION("IMPORTRANGE(""https://docs.google.com/spreadsheets/d/1C3CXT74ZlgGe6_JY_1olB1XN4rF0dxEuIIF-xsYjHgg/edit?usp=sharing"",""งบกองทุน!BE23"")"),55356)</f>
        <v>55356</v>
      </c>
      <c r="I19" s="555">
        <f ca="1">IFERROR(__xludf.DUMMYFUNCTION("IMPORTRANGE(""https://docs.google.com/spreadsheets/d/1C3CXT74ZlgGe6_JY_1olB1XN4rF0dxEuIIF-xsYjHgg/edit?usp=sharing"",""งบกองทุน!BF23"")"),4506)</f>
        <v>4506</v>
      </c>
      <c r="J19" s="552">
        <f t="shared" ca="1" si="62"/>
        <v>55356</v>
      </c>
      <c r="K19" s="554">
        <f t="shared" ca="1" si="3"/>
        <v>100</v>
      </c>
      <c r="L19" s="552">
        <f t="shared" ca="1" si="63"/>
        <v>4506</v>
      </c>
      <c r="M19" s="554">
        <f t="shared" ca="1" si="4"/>
        <v>100</v>
      </c>
      <c r="N19" s="552">
        <f ca="1">IFERROR(__xludf.DUMMYFUNCTION("IMPORTRANGE(""https://docs.google.com/spreadsheets/d/11923uPwbBZFjjGgGUA6NLw09EwE0CqkOc4q9oUmW1yo/edit?usp=sharing"",""ตาก!J362"")"),48667)</f>
        <v>48667</v>
      </c>
      <c r="O19" s="552">
        <f ca="1">IFERROR(__xludf.DUMMYFUNCTION("IMPORTRANGE(""https://docs.google.com/spreadsheets/d/11923uPwbBZFjjGgGUA6NLw09EwE0CqkOc4q9oUmW1yo/edit?usp=sharing"",""ตาก!J363"")"),4096)</f>
        <v>4096</v>
      </c>
      <c r="P19" s="552">
        <f ca="1">IFERROR(__xludf.DUMMYFUNCTION("IMPORTRANGE(""https://docs.google.com/spreadsheets/d/11923uPwbBZFjjGgGUA6NLw09EwE0CqkOc4q9oUmW1yo/edit?usp=sharing"",""ตาก!J364"")"),4889)</f>
        <v>4889</v>
      </c>
      <c r="Q19" s="552">
        <f ca="1">IFERROR(__xludf.DUMMYFUNCTION("IMPORTRANGE(""https://docs.google.com/spreadsheets/d/11923uPwbBZFjjGgGUA6NLw09EwE0CqkOc4q9oUmW1yo/edit?usp=sharing"",""ตาก!J365"")"),302)</f>
        <v>302</v>
      </c>
      <c r="R19" s="552">
        <f ca="1">IFERROR(__xludf.DUMMYFUNCTION("IMPORTRANGE(""https://docs.google.com/spreadsheets/d/11923uPwbBZFjjGgGUA6NLw09EwE0CqkOc4q9oUmW1yo/edit?usp=sharing"",""ตาก!J366"")"),1800)</f>
        <v>1800</v>
      </c>
      <c r="S19" s="552">
        <f ca="1">IFERROR(__xludf.DUMMYFUNCTION("IMPORTRANGE(""https://docs.google.com/spreadsheets/d/11923uPwbBZFjjGgGUA6NLw09EwE0CqkOc4q9oUmW1yo/edit?usp=sharing"",""ตาก!J367"")"),108)</f>
        <v>108</v>
      </c>
      <c r="T19" s="552">
        <f t="shared" ca="1" si="64"/>
        <v>55355.880000000005</v>
      </c>
      <c r="U19" s="552">
        <f t="shared" ca="1" si="6"/>
        <v>99.999783221331015</v>
      </c>
      <c r="V19" s="552">
        <f t="shared" ca="1" si="65"/>
        <v>4506</v>
      </c>
      <c r="W19" s="552">
        <f t="shared" ca="1" si="7"/>
        <v>100</v>
      </c>
      <c r="X19" s="552">
        <f ca="1">IFERROR(__xludf.DUMMYFUNCTION("IMPORTRANGE(""https://docs.google.com/spreadsheets/d/11923uPwbBZFjjGgGUA6NLw09EwE0CqkOc4q9oUmW1yo/edit?usp=sharing"",""ตาก!J370"")"),49469.19)</f>
        <v>49469.19</v>
      </c>
      <c r="Y19" s="552">
        <f ca="1">IFERROR(__xludf.DUMMYFUNCTION("IMPORTRANGE(""https://docs.google.com/spreadsheets/d/11923uPwbBZFjjGgGUA6NLw09EwE0CqkOc4q9oUmW1yo/edit?usp=sharing"",""ตาก!J371"")"),4147)</f>
        <v>4147</v>
      </c>
      <c r="Z19" s="552">
        <f ca="1">IFERROR(__xludf.DUMMYFUNCTION("IMPORTRANGE(""https://docs.google.com/spreadsheets/d/11923uPwbBZFjjGgGUA6NLw09EwE0CqkOc4q9oUmW1yo/edit?usp=sharing"",""ตาก!J372"")"),4946.69)</f>
        <v>4946.6899999999996</v>
      </c>
      <c r="AA19" s="552">
        <f ca="1">IFERROR(__xludf.DUMMYFUNCTION("IMPORTRANGE(""https://docs.google.com/spreadsheets/d/11923uPwbBZFjjGgGUA6NLw09EwE0CqkOc4q9oUmW1yo/edit?usp=sharing"",""ตาก!J373"")"),292)</f>
        <v>292</v>
      </c>
      <c r="AB19" s="552">
        <f ca="1">IFERROR(__xludf.DUMMYFUNCTION("IMPORTRANGE(""https://docs.google.com/spreadsheets/d/11923uPwbBZFjjGgGUA6NLw09EwE0CqkOc4q9oUmW1yo/edit?usp=sharing"",""ตาก!J374"")"),940)</f>
        <v>940</v>
      </c>
      <c r="AC19" s="552">
        <f ca="1">IFERROR(__xludf.DUMMYFUNCTION("IMPORTRANGE(""https://docs.google.com/spreadsheets/d/11923uPwbBZFjjGgGUA6NLw09EwE0CqkOc4q9oUmW1yo/edit?usp=sharing"",""ตาก!J375"")"),67)</f>
        <v>67</v>
      </c>
      <c r="AD19" s="552">
        <f t="shared" ca="1" si="66"/>
        <v>0</v>
      </c>
      <c r="AE19" s="554">
        <f t="shared" ca="1" si="9"/>
        <v>0</v>
      </c>
      <c r="AF19" s="552">
        <f t="shared" ca="1" si="67"/>
        <v>0</v>
      </c>
      <c r="AG19" s="554">
        <f t="shared" ca="1" si="10"/>
        <v>0</v>
      </c>
      <c r="AH19" s="552">
        <f ca="1">IFERROR(__xludf.DUMMYFUNCTION("IMPORTRANGE(""https://docs.google.com/spreadsheets/d/11923uPwbBZFjjGgGUA6NLw09EwE0CqkOc4q9oUmW1yo/edit?usp=sharing"",""ตาก!J378"")"),0)</f>
        <v>0</v>
      </c>
      <c r="AI19" s="552">
        <f ca="1">IFERROR(__xludf.DUMMYFUNCTION("IMPORTRANGE(""https://docs.google.com/spreadsheets/d/11923uPwbBZFjjGgGUA6NLw09EwE0CqkOc4q9oUmW1yo/edit?usp=sharing"",""ตาก!J379"")"),0)</f>
        <v>0</v>
      </c>
      <c r="AJ19" s="552">
        <f ca="1">IFERROR(__xludf.DUMMYFUNCTION("IMPORTRANGE(""https://docs.google.com/spreadsheets/d/11923uPwbBZFjjGgGUA6NLw09EwE0CqkOc4q9oUmW1yo/edit?usp=sharing"",""ตาก!J380"")"),0)</f>
        <v>0</v>
      </c>
      <c r="AK19" s="552">
        <f ca="1">IFERROR(__xludf.DUMMYFUNCTION("IMPORTRANGE(""https://docs.google.com/spreadsheets/d/11923uPwbBZFjjGgGUA6NLw09EwE0CqkOc4q9oUmW1yo/edit?usp=sharing"",""ตาก!J381"")"),0)</f>
        <v>0</v>
      </c>
      <c r="AL19" s="552">
        <f ca="1">IFERROR(__xludf.DUMMYFUNCTION("IMPORTRANGE(""https://docs.google.com/spreadsheets/d/11923uPwbBZFjjGgGUA6NLw09EwE0CqkOc4q9oUmW1yo/edit?usp=sharing"",""ตาก!J384"")"),0)</f>
        <v>0</v>
      </c>
      <c r="AM19" s="552">
        <f ca="1">IFERROR(__xludf.DUMMYFUNCTION("IMPORTRANGE(""https://docs.google.com/spreadsheets/d/11923uPwbBZFjjGgGUA6NLw09EwE0CqkOc4q9oUmW1yo/edit?usp=sharing"",""ตาก!J385"")"),0)</f>
        <v>0</v>
      </c>
      <c r="AN19" s="552">
        <f ca="1">IFERROR(__xludf.DUMMYFUNCTION("IMPORTRANGE(""https://docs.google.com/spreadsheets/d/11923uPwbBZFjjGgGUA6NLw09EwE0CqkOc4q9oUmW1yo/edit?usp=sharing"",""ตาก!J386"")"),0)</f>
        <v>0</v>
      </c>
      <c r="AO19" s="552">
        <f ca="1">IFERROR(__xludf.DUMMYFUNCTION("IMPORTRANGE(""https://docs.google.com/spreadsheets/d/11923uPwbBZFjjGgGUA6NLw09EwE0CqkOc4q9oUmW1yo/edit?usp=sharing"",""ตาก!J387"")"),0)</f>
        <v>0</v>
      </c>
      <c r="AP19" s="552">
        <f ca="1">IFERROR(__xludf.DUMMYFUNCTION("IMPORTRANGE(""https://docs.google.com/spreadsheets/d/11923uPwbBZFjjGgGUA6NLw09EwE0CqkOc4q9oUmW1yo/edit?usp=sharing"",""ตาก!J388"")"),0)</f>
        <v>0</v>
      </c>
      <c r="AQ19" s="552">
        <f ca="1">IFERROR(__xludf.DUMMYFUNCTION("IMPORTRANGE(""https://docs.google.com/spreadsheets/d/11923uPwbBZFjjGgGUA6NLw09EwE0CqkOc4q9oUmW1yo/edit?usp=sharing"",""ตาก!J389"")"),0)</f>
        <v>0</v>
      </c>
      <c r="AR19" s="552">
        <f ca="1">IFERROR(__xludf.DUMMYFUNCTION("IMPORTRANGE(""https://docs.google.com/spreadsheets/d/11923uPwbBZFjjGgGUA6NLw09EwE0CqkOc4q9oUmW1yo/edit?usp=sharing"",""ตาก!J390"")"),0)</f>
        <v>0</v>
      </c>
      <c r="AS19" s="552">
        <f ca="1">IFERROR(__xludf.DUMMYFUNCTION("IMPORTRANGE(""https://docs.google.com/spreadsheets/d/11923uPwbBZFjjGgGUA6NLw09EwE0CqkOc4q9oUmW1yo/edit?usp=sharing"",""ตาก!J391"")"),0)</f>
        <v>0</v>
      </c>
      <c r="AT19" s="556">
        <f ca="1">IFERROR(__xludf.DUMMYFUNCTION("IMPORTRANGE(""https://docs.google.com/spreadsheets/d/1C3CXT74ZlgGe6_JY_1olB1XN4rF0dxEuIIF-xsYjHgg/edit?usp=sharing"",""งบกองทุน!CD23"")"),156)</f>
        <v>156</v>
      </c>
      <c r="AU19" s="556">
        <f ca="1">IFERROR(__xludf.DUMMYFUNCTION("IMPORTRANGE(""https://docs.google.com/spreadsheets/d/1C3CXT74ZlgGe6_JY_1olB1XN4rF0dxEuIIF-xsYjHgg/edit?usp=sharing"",""งบกองทุน!CC23"")"),28)</f>
        <v>28</v>
      </c>
      <c r="AV19" s="556">
        <f t="shared" ca="1" si="68"/>
        <v>0</v>
      </c>
      <c r="AW19" s="556">
        <f t="shared" ca="1" si="12"/>
        <v>0</v>
      </c>
      <c r="AX19" s="556">
        <f t="shared" ca="1" si="69"/>
        <v>0</v>
      </c>
      <c r="AY19" s="556">
        <f t="shared" ca="1" si="13"/>
        <v>0</v>
      </c>
      <c r="AZ19" s="552">
        <f ca="1">IFERROR(__xludf.DUMMYFUNCTION("IMPORTRANGE(""https://docs.google.com/spreadsheets/d/11923uPwbBZFjjGgGUA6NLw09EwE0CqkOc4q9oUmW1yo/edit?usp=sharing"",""ตาก!J397"")"),0)</f>
        <v>0</v>
      </c>
      <c r="BA19" s="552">
        <f ca="1">IFERROR(__xludf.DUMMYFUNCTION("IMPORTRANGE(""https://docs.google.com/spreadsheets/d/11923uPwbBZFjjGgGUA6NLw09EwE0CqkOc4q9oUmW1yo/edit?usp=sharing"",""ตาก!J398"")"),0)</f>
        <v>0</v>
      </c>
      <c r="BB19" s="552">
        <f ca="1">IFERROR(__xludf.DUMMYFUNCTION("IMPORTRANGE(""https://docs.google.com/spreadsheets/d/11923uPwbBZFjjGgGUA6NLw09EwE0CqkOc4q9oUmW1yo/edit?usp=sharing"",""ตาก!J399"")"),0)</f>
        <v>0</v>
      </c>
      <c r="BC19" s="552">
        <f ca="1">IFERROR(__xludf.DUMMYFUNCTION("IMPORTRANGE(""https://docs.google.com/spreadsheets/d/11923uPwbBZFjjGgGUA6NLw09EwE0CqkOc4q9oUmW1yo/edit?usp=sharing"",""ตาก!J400"")"),0)</f>
        <v>0</v>
      </c>
      <c r="BD19" s="552">
        <f ca="1">IFERROR(__xludf.DUMMYFUNCTION("IMPORTRANGE(""https://docs.google.com/spreadsheets/d/11923uPwbBZFjjGgGUA6NLw09EwE0CqkOc4q9oUmW1yo/edit?usp=sharing"",""ตาก!J401"")"),0)</f>
        <v>0</v>
      </c>
      <c r="BE19" s="552">
        <f ca="1">IFERROR(__xludf.DUMMYFUNCTION("IMPORTRANGE(""https://docs.google.com/spreadsheets/d/11923uPwbBZFjjGgGUA6NLw09EwE0CqkOc4q9oUmW1yo/edit?usp=sharing"",""ตาก!J402"")"),0)</f>
        <v>0</v>
      </c>
      <c r="BF19" s="552">
        <f ca="1">IFERROR(__xludf.DUMMYFUNCTION("IMPORTRANGE(""https://docs.google.com/spreadsheets/d/11923uPwbBZFjjGgGUA6NLw09EwE0CqkOc4q9oUmW1yo/edit?usp=sharing"",""ตาก!J405"")"),0)</f>
        <v>0</v>
      </c>
      <c r="BG19" s="552">
        <f ca="1">IFERROR(__xludf.DUMMYFUNCTION("IMPORTRANGE(""https://docs.google.com/spreadsheets/d/11923uPwbBZFjjGgGUA6NLw09EwE0CqkOc4q9oUmW1yo/edit?usp=sharing"",""ตาก!J406"")"),0)</f>
        <v>0</v>
      </c>
      <c r="BH19" s="552">
        <f ca="1">IFERROR(__xludf.DUMMYFUNCTION("IMPORTRANGE(""https://docs.google.com/spreadsheets/d/11923uPwbBZFjjGgGUA6NLw09EwE0CqkOc4q9oUmW1yo/edit?usp=sharing"",""ตาก!J407"")"),0)</f>
        <v>0</v>
      </c>
      <c r="BI19" s="552">
        <f ca="1">IFERROR(__xludf.DUMMYFUNCTION("IMPORTRANGE(""https://docs.google.com/spreadsheets/d/11923uPwbBZFjjGgGUA6NLw09EwE0CqkOc4q9oUmW1yo/edit?usp=sharing"",""ตาก!J408"")"),0)</f>
        <v>0</v>
      </c>
      <c r="BJ19" s="552">
        <f ca="1">IFERROR(__xludf.DUMMYFUNCTION("IMPORTRANGE(""https://docs.google.com/spreadsheets/d/11923uPwbBZFjjGgGUA6NLw09EwE0CqkOc4q9oUmW1yo/edit?usp=sharing"",""ตาก!J409"")"),0)</f>
        <v>0</v>
      </c>
      <c r="BK19" s="552">
        <f ca="1">IFERROR(__xludf.DUMMYFUNCTION("IMPORTRANGE(""https://docs.google.com/spreadsheets/d/11923uPwbBZFjjGgGUA6NLw09EwE0CqkOc4q9oUmW1yo/edit?usp=sharing"",""ตาก!J410"")"),0)</f>
        <v>0</v>
      </c>
      <c r="BL19" s="556">
        <f ca="1">IFERROR(__xludf.DUMMYFUNCTION("IMPORTRANGE(""https://docs.google.com/spreadsheets/d/1C3CXT74ZlgGe6_JY_1olB1XN4rF0dxEuIIF-xsYjHgg/edit?usp=sharing"",""งบกองทุน!CZ23"")"),0)</f>
        <v>0</v>
      </c>
      <c r="BM19" s="556">
        <f ca="1">IFERROR(__xludf.DUMMYFUNCTION("IMPORTRANGE(""https://docs.google.com/spreadsheets/d/1C3CXT74ZlgGe6_JY_1olB1XN4rF0dxEuIIF-xsYjHgg/edit?usp=sharing"",""งบกองทุน!CY23"")"),0)</f>
        <v>0</v>
      </c>
      <c r="BN19" s="556">
        <f t="shared" ca="1" si="70"/>
        <v>0</v>
      </c>
      <c r="BO19" s="557">
        <f t="shared" ca="1" si="15"/>
        <v>0</v>
      </c>
      <c r="BP19" s="556">
        <f t="shared" ca="1" si="71"/>
        <v>0</v>
      </c>
      <c r="BQ19" s="557">
        <f t="shared" ca="1" si="16"/>
        <v>0</v>
      </c>
      <c r="BR19" s="552">
        <f ca="1">IFERROR(__xludf.DUMMYFUNCTION("IMPORTRANGE(""https://docs.google.com/spreadsheets/d/11923uPwbBZFjjGgGUA6NLw09EwE0CqkOc4q9oUmW1yo/edit?usp=sharing"",""ตาก!J414"")"),0)</f>
        <v>0</v>
      </c>
      <c r="BS19" s="552">
        <f ca="1">IFERROR(__xludf.DUMMYFUNCTION("IMPORTRANGE(""https://docs.google.com/spreadsheets/d/11923uPwbBZFjjGgGUA6NLw09EwE0CqkOc4q9oUmW1yo/edit?usp=sharing"",""ตาก!J415"")"),0)</f>
        <v>0</v>
      </c>
      <c r="BT19" s="552">
        <f ca="1">IFERROR(__xludf.DUMMYFUNCTION("IMPORTRANGE(""https://docs.google.com/spreadsheets/d/11923uPwbBZFjjGgGUA6NLw09EwE0CqkOc4q9oUmW1yo/edit?usp=sharing"",""ตาก!J416"")"),0)</f>
        <v>0</v>
      </c>
      <c r="BU19" s="552">
        <f ca="1">IFERROR(__xludf.DUMMYFUNCTION("IMPORTRANGE(""https://docs.google.com/spreadsheets/d/11923uPwbBZFjjGgGUA6NLw09EwE0CqkOc4q9oUmW1yo/edit?usp=sharing"",""ตาก!J417"")"),0)</f>
        <v>0</v>
      </c>
      <c r="BV19" s="552">
        <f ca="1">IFERROR(__xludf.DUMMYFUNCTION("IMPORTRANGE(""https://docs.google.com/spreadsheets/d/11923uPwbBZFjjGgGUA6NLw09EwE0CqkOc4q9oUmW1yo/edit?usp=sharing"",""ตาก!J418"")"),112)</f>
        <v>112</v>
      </c>
      <c r="BW19" s="552">
        <f ca="1">IFERROR(__xludf.DUMMYFUNCTION("IMPORTRANGE(""https://docs.google.com/spreadsheets/d/11923uPwbBZFjjGgGUA6NLw09EwE0CqkOc4q9oUmW1yo/edit?usp=sharing"",""ตาก!J419"")"),3)</f>
        <v>3</v>
      </c>
      <c r="BX19" s="556">
        <f t="shared" ca="1" si="72"/>
        <v>0</v>
      </c>
      <c r="BY19" s="557">
        <f t="shared" ca="1" si="18"/>
        <v>0</v>
      </c>
      <c r="BZ19" s="556">
        <f t="shared" ca="1" si="73"/>
        <v>0</v>
      </c>
      <c r="CA19" s="557">
        <f t="shared" ca="1" si="19"/>
        <v>0</v>
      </c>
      <c r="CB19" s="552">
        <f ca="1">IFERROR(__xludf.DUMMYFUNCTION("IMPORTRANGE(""https://docs.google.com/spreadsheets/d/11923uPwbBZFjjGgGUA6NLw09EwE0CqkOc4q9oUmW1yo/edit?usp=sharing"",""ตาก!J422"")"),0)</f>
        <v>0</v>
      </c>
      <c r="CC19" s="552">
        <f ca="1">IFERROR(__xludf.DUMMYFUNCTION("IMPORTRANGE(""https://docs.google.com/spreadsheets/d/11923uPwbBZFjjGgGUA6NLw09EwE0CqkOc4q9oUmW1yo/edit?usp=sharing"",""ตาก!J423"")"),0)</f>
        <v>0</v>
      </c>
      <c r="CD19" s="552">
        <f ca="1">IFERROR(__xludf.DUMMYFUNCTION("IMPORTRANGE(""https://docs.google.com/spreadsheets/d/11923uPwbBZFjjGgGUA6NLw09EwE0CqkOc4q9oUmW1yo/edit?usp=sharing"",""ตาก!J424"")"),0)</f>
        <v>0</v>
      </c>
      <c r="CE19" s="552">
        <f ca="1">IFERROR(__xludf.DUMMYFUNCTION("IMPORTRANGE(""https://docs.google.com/spreadsheets/d/11923uPwbBZFjjGgGUA6NLw09EwE0CqkOc4q9oUmW1yo/edit?usp=sharing"",""ตาก!J425"")"),0)</f>
        <v>0</v>
      </c>
      <c r="CF19" s="552">
        <f ca="1">IFERROR(__xludf.DUMMYFUNCTION("IMPORTRANGE(""https://docs.google.com/spreadsheets/d/11923uPwbBZFjjGgGUA6NLw09EwE0CqkOc4q9oUmW1yo/edit?usp=sharing"",""ตาก!J426"")"),0)</f>
        <v>0</v>
      </c>
      <c r="CG19" s="558">
        <f ca="1">IFERROR(__xludf.DUMMYFUNCTION("IMPORTRANGE(""https://docs.google.com/spreadsheets/d/11923uPwbBZFjjGgGUA6NLw09EwE0CqkOc4q9oUmW1yo/edit?usp=sharing"",""ตาก!J427"")"),0)</f>
        <v>0</v>
      </c>
    </row>
    <row r="20" spans="1:85" ht="21" customHeight="1">
      <c r="A20" s="549">
        <v>5</v>
      </c>
      <c r="B20" s="550" t="s">
        <v>44</v>
      </c>
      <c r="C20" s="551">
        <f t="shared" ca="1" si="61"/>
        <v>270063</v>
      </c>
      <c r="D20" s="552">
        <f ca="1">IFERROR(__xludf.DUMMYFUNCTION("IMPORTRANGE(""https://docs.google.com/spreadsheets/d/1C3CXT74ZlgGe6_JY_1olB1XN4rF0dxEuIIF-xsYjHgg/edit?usp=sharing"",""งบกองทุน!BC24"")"),0)</f>
        <v>0</v>
      </c>
      <c r="E20" s="553">
        <f ca="1">IFERROR(__xludf.DUMMYFUNCTION("IMPORTRANGE(""https://docs.google.com/spreadsheets/d/1C3CXT74ZlgGe6_JY_1olB1XN4rF0dxEuIIF-xsYjHgg/edit?usp=sharing"",""งบกองทุน!BD24"")"),270063)</f>
        <v>270063</v>
      </c>
      <c r="F20" s="554">
        <f ca="1">IFERROR(__xludf.DUMMYFUNCTION("IMPORTRANGE(""https://docs.google.com/spreadsheets/d/11923uPwbBZFjjGgGUA6NLw09EwE0CqkOc4q9oUmW1yo/edit?usp=sharing"",""นครสวรรค์!M352"")"),76296)</f>
        <v>76296</v>
      </c>
      <c r="G20" s="554">
        <f t="shared" ca="1" si="1"/>
        <v>28.251185834416415</v>
      </c>
      <c r="H20" s="555">
        <f ca="1">IFERROR(__xludf.DUMMYFUNCTION("IMPORTRANGE(""https://docs.google.com/spreadsheets/d/1C3CXT74ZlgGe6_JY_1olB1XN4rF0dxEuIIF-xsYjHgg/edit?usp=sharing"",""งบกองทุน!BE24"")"),45976)</f>
        <v>45976</v>
      </c>
      <c r="I20" s="555">
        <f ca="1">IFERROR(__xludf.DUMMYFUNCTION("IMPORTRANGE(""https://docs.google.com/spreadsheets/d/1C3CXT74ZlgGe6_JY_1olB1XN4rF0dxEuIIF-xsYjHgg/edit?usp=sharing"",""งบกองทุน!BF24"")"),3447)</f>
        <v>3447</v>
      </c>
      <c r="J20" s="552">
        <f t="shared" ca="1" si="62"/>
        <v>45977</v>
      </c>
      <c r="K20" s="554">
        <f t="shared" ca="1" si="3"/>
        <v>100.00217504785105</v>
      </c>
      <c r="L20" s="552">
        <f t="shared" ca="1" si="63"/>
        <v>3447</v>
      </c>
      <c r="M20" s="554">
        <f t="shared" ca="1" si="4"/>
        <v>100</v>
      </c>
      <c r="N20" s="552">
        <f ca="1">IFERROR(__xludf.DUMMYFUNCTION("IMPORTRANGE(""https://docs.google.com/spreadsheets/d/11923uPwbBZFjjGgGUA6NLw09EwE0CqkOc4q9oUmW1yo/edit?usp=sharing"",""นครสวรรค์!J362"")"),33426)</f>
        <v>33426</v>
      </c>
      <c r="O20" s="552">
        <f ca="1">IFERROR(__xludf.DUMMYFUNCTION("IMPORTRANGE(""https://docs.google.com/spreadsheets/d/11923uPwbBZFjjGgGUA6NLw09EwE0CqkOc4q9oUmW1yo/edit?usp=sharing"",""นครสวรรค์!J363"")"),2614)</f>
        <v>2614</v>
      </c>
      <c r="P20" s="552">
        <f ca="1">IFERROR(__xludf.DUMMYFUNCTION("IMPORTRANGE(""https://docs.google.com/spreadsheets/d/11923uPwbBZFjjGgGUA6NLw09EwE0CqkOc4q9oUmW1yo/edit?usp=sharing"",""นครสวรรค์!J364"")"),11005)</f>
        <v>11005</v>
      </c>
      <c r="Q20" s="552">
        <f ca="1">IFERROR(__xludf.DUMMYFUNCTION("IMPORTRANGE(""https://docs.google.com/spreadsheets/d/11923uPwbBZFjjGgGUA6NLw09EwE0CqkOc4q9oUmW1yo/edit?usp=sharing"",""นครสวรรค์!J365"")"),695)</f>
        <v>695</v>
      </c>
      <c r="R20" s="552">
        <f ca="1">IFERROR(__xludf.DUMMYFUNCTION("IMPORTRANGE(""https://docs.google.com/spreadsheets/d/11923uPwbBZFjjGgGUA6NLw09EwE0CqkOc4q9oUmW1yo/edit?usp=sharing"",""นครสวรรค์!J366"")"),1546)</f>
        <v>1546</v>
      </c>
      <c r="S20" s="552">
        <f ca="1">IFERROR(__xludf.DUMMYFUNCTION("IMPORTRANGE(""https://docs.google.com/spreadsheets/d/11923uPwbBZFjjGgGUA6NLw09EwE0CqkOc4q9oUmW1yo/edit?usp=sharing"",""นครสวรรค์!J367"")"),138)</f>
        <v>138</v>
      </c>
      <c r="T20" s="552">
        <f t="shared" ca="1" si="64"/>
        <v>45976.97</v>
      </c>
      <c r="U20" s="552">
        <f t="shared" ca="1" si="6"/>
        <v>100.00210979641552</v>
      </c>
      <c r="V20" s="552">
        <f t="shared" ca="1" si="65"/>
        <v>3447</v>
      </c>
      <c r="W20" s="552">
        <f t="shared" ca="1" si="7"/>
        <v>100</v>
      </c>
      <c r="X20" s="552">
        <f ca="1">IFERROR(__xludf.DUMMYFUNCTION("IMPORTRANGE(""https://docs.google.com/spreadsheets/d/11923uPwbBZFjjGgGUA6NLw09EwE0CqkOc4q9oUmW1yo/edit?usp=sharing"",""นครสวรรค์!J370"")"),37277.22)</f>
        <v>37277.22</v>
      </c>
      <c r="Y20" s="552">
        <f ca="1">IFERROR(__xludf.DUMMYFUNCTION("IMPORTRANGE(""https://docs.google.com/spreadsheets/d/11923uPwbBZFjjGgGUA6NLw09EwE0CqkOc4q9oUmW1yo/edit?usp=sharing"",""นครสวรรค์!J371"")"),2877)</f>
        <v>2877</v>
      </c>
      <c r="Z20" s="552">
        <f ca="1">IFERROR(__xludf.DUMMYFUNCTION("IMPORTRANGE(""https://docs.google.com/spreadsheets/d/11923uPwbBZFjjGgGUA6NLw09EwE0CqkOc4q9oUmW1yo/edit?usp=sharing"",""นครสวรรค์!J372"")"),7556.46)</f>
        <v>7556.46</v>
      </c>
      <c r="AA20" s="552">
        <f ca="1">IFERROR(__xludf.DUMMYFUNCTION("IMPORTRANGE(""https://docs.google.com/spreadsheets/d/11923uPwbBZFjjGgGUA6NLw09EwE0CqkOc4q9oUmW1yo/edit?usp=sharing"",""นครสวรรค์!J373"")"),463)</f>
        <v>463</v>
      </c>
      <c r="AB20" s="552">
        <f ca="1">IFERROR(__xludf.DUMMYFUNCTION("IMPORTRANGE(""https://docs.google.com/spreadsheets/d/11923uPwbBZFjjGgGUA6NLw09EwE0CqkOc4q9oUmW1yo/edit?usp=sharing"",""นครสวรรค์!J374"")"),1143.29)</f>
        <v>1143.29</v>
      </c>
      <c r="AC20" s="552">
        <f ca="1">IFERROR(__xludf.DUMMYFUNCTION("IMPORTRANGE(""https://docs.google.com/spreadsheets/d/11923uPwbBZFjjGgGUA6NLw09EwE0CqkOc4q9oUmW1yo/edit?usp=sharing"",""นครสวรรค์!J375"")"),107)</f>
        <v>107</v>
      </c>
      <c r="AD20" s="552">
        <f t="shared" ca="1" si="66"/>
        <v>0</v>
      </c>
      <c r="AE20" s="554">
        <f t="shared" ca="1" si="9"/>
        <v>0</v>
      </c>
      <c r="AF20" s="552">
        <f t="shared" ca="1" si="67"/>
        <v>0</v>
      </c>
      <c r="AG20" s="554">
        <f t="shared" ca="1" si="10"/>
        <v>0</v>
      </c>
      <c r="AH20" s="552">
        <f ca="1">IFERROR(__xludf.DUMMYFUNCTION("IMPORTRANGE(""https://docs.google.com/spreadsheets/d/11923uPwbBZFjjGgGUA6NLw09EwE0CqkOc4q9oUmW1yo/edit?usp=sharing"",""นครสวรรค์!J378"")"),0)</f>
        <v>0</v>
      </c>
      <c r="AI20" s="552">
        <f ca="1">IFERROR(__xludf.DUMMYFUNCTION("IMPORTRANGE(""https://docs.google.com/spreadsheets/d/11923uPwbBZFjjGgGUA6NLw09EwE0CqkOc4q9oUmW1yo/edit?usp=sharing"",""นครสวรรค์!J379"")"),0)</f>
        <v>0</v>
      </c>
      <c r="AJ20" s="552">
        <f ca="1">IFERROR(__xludf.DUMMYFUNCTION("IMPORTRANGE(""https://docs.google.com/spreadsheets/d/11923uPwbBZFjjGgGUA6NLw09EwE0CqkOc4q9oUmW1yo/edit?usp=sharing"",""นครสวรรค์!J380"")"),0)</f>
        <v>0</v>
      </c>
      <c r="AK20" s="552">
        <f ca="1">IFERROR(__xludf.DUMMYFUNCTION("IMPORTRANGE(""https://docs.google.com/spreadsheets/d/11923uPwbBZFjjGgGUA6NLw09EwE0CqkOc4q9oUmW1yo/edit?usp=sharing"",""นครสวรรค์!J381"")"),0)</f>
        <v>0</v>
      </c>
      <c r="AL20" s="552">
        <f ca="1">IFERROR(__xludf.DUMMYFUNCTION("IMPORTRANGE(""https://docs.google.com/spreadsheets/d/11923uPwbBZFjjGgGUA6NLw09EwE0CqkOc4q9oUmW1yo/edit?usp=sharing"",""นครสวรรค์!J384"")"),0)</f>
        <v>0</v>
      </c>
      <c r="AM20" s="552">
        <f ca="1">IFERROR(__xludf.DUMMYFUNCTION("IMPORTRANGE(""https://docs.google.com/spreadsheets/d/11923uPwbBZFjjGgGUA6NLw09EwE0CqkOc4q9oUmW1yo/edit?usp=sharing"",""นครสวรรค์!J385"")"),0)</f>
        <v>0</v>
      </c>
      <c r="AN20" s="552">
        <f ca="1">IFERROR(__xludf.DUMMYFUNCTION("IMPORTRANGE(""https://docs.google.com/spreadsheets/d/11923uPwbBZFjjGgGUA6NLw09EwE0CqkOc4q9oUmW1yo/edit?usp=sharing"",""นครสวรรค์!J386"")"),0)</f>
        <v>0</v>
      </c>
      <c r="AO20" s="552">
        <f ca="1">IFERROR(__xludf.DUMMYFUNCTION("IMPORTRANGE(""https://docs.google.com/spreadsheets/d/11923uPwbBZFjjGgGUA6NLw09EwE0CqkOc4q9oUmW1yo/edit?usp=sharing"",""นครสวรรค์!J387"")"),0)</f>
        <v>0</v>
      </c>
      <c r="AP20" s="552">
        <f ca="1">IFERROR(__xludf.DUMMYFUNCTION("IMPORTRANGE(""https://docs.google.com/spreadsheets/d/11923uPwbBZFjjGgGUA6NLw09EwE0CqkOc4q9oUmW1yo/edit?usp=sharing"",""นครสวรรค์!J388"")"),0)</f>
        <v>0</v>
      </c>
      <c r="AQ20" s="552">
        <f ca="1">IFERROR(__xludf.DUMMYFUNCTION("IMPORTRANGE(""https://docs.google.com/spreadsheets/d/11923uPwbBZFjjGgGUA6NLw09EwE0CqkOc4q9oUmW1yo/edit?usp=sharing"",""นครสวรรค์!J389"")"),0)</f>
        <v>0</v>
      </c>
      <c r="AR20" s="552">
        <f ca="1">IFERROR(__xludf.DUMMYFUNCTION("IMPORTRANGE(""https://docs.google.com/spreadsheets/d/11923uPwbBZFjjGgGUA6NLw09EwE0CqkOc4q9oUmW1yo/edit?usp=sharing"",""นครสวรรค์!J390"")"),0)</f>
        <v>0</v>
      </c>
      <c r="AS20" s="552">
        <f ca="1">IFERROR(__xludf.DUMMYFUNCTION("IMPORTRANGE(""https://docs.google.com/spreadsheets/d/11923uPwbBZFjjGgGUA6NLw09EwE0CqkOc4q9oUmW1yo/edit?usp=sharing"",""นครสวรรค์!J391"")"),0)</f>
        <v>0</v>
      </c>
      <c r="AT20" s="556">
        <f ca="1">IFERROR(__xludf.DUMMYFUNCTION("IMPORTRANGE(""https://docs.google.com/spreadsheets/d/1C3CXT74ZlgGe6_JY_1olB1XN4rF0dxEuIIF-xsYjHgg/edit?usp=sharing"",""งบกองทุน!CD24"")"),14261)</f>
        <v>14261</v>
      </c>
      <c r="AU20" s="556">
        <f ca="1">IFERROR(__xludf.DUMMYFUNCTION("IMPORTRANGE(""https://docs.google.com/spreadsheets/d/1C3CXT74ZlgGe6_JY_1olB1XN4rF0dxEuIIF-xsYjHgg/edit?usp=sharing"",""งบกองทุน!CC24"")"),770)</f>
        <v>770</v>
      </c>
      <c r="AV20" s="556">
        <f t="shared" ca="1" si="68"/>
        <v>0</v>
      </c>
      <c r="AW20" s="556">
        <f t="shared" ca="1" si="12"/>
        <v>0</v>
      </c>
      <c r="AX20" s="556">
        <f t="shared" ca="1" si="69"/>
        <v>0</v>
      </c>
      <c r="AY20" s="556">
        <f t="shared" ca="1" si="13"/>
        <v>0</v>
      </c>
      <c r="AZ20" s="552">
        <f ca="1">IFERROR(__xludf.DUMMYFUNCTION("IMPORTRANGE(""https://docs.google.com/spreadsheets/d/11923uPwbBZFjjGgGUA6NLw09EwE0CqkOc4q9oUmW1yo/edit?usp=sharing"",""นครสวรรค์!J397"")"),0)</f>
        <v>0</v>
      </c>
      <c r="BA20" s="552">
        <f ca="1">IFERROR(__xludf.DUMMYFUNCTION("IMPORTRANGE(""https://docs.google.com/spreadsheets/d/11923uPwbBZFjjGgGUA6NLw09EwE0CqkOc4q9oUmW1yo/edit?usp=sharing"",""นครสวรรค์!J398"")"),0)</f>
        <v>0</v>
      </c>
      <c r="BB20" s="552">
        <f ca="1">IFERROR(__xludf.DUMMYFUNCTION("IMPORTRANGE(""https://docs.google.com/spreadsheets/d/11923uPwbBZFjjGgGUA6NLw09EwE0CqkOc4q9oUmW1yo/edit?usp=sharing"",""นครสวรรค์!J399"")"),0)</f>
        <v>0</v>
      </c>
      <c r="BC20" s="552">
        <f ca="1">IFERROR(__xludf.DUMMYFUNCTION("IMPORTRANGE(""https://docs.google.com/spreadsheets/d/11923uPwbBZFjjGgGUA6NLw09EwE0CqkOc4q9oUmW1yo/edit?usp=sharing"",""นครสวรรค์!J400"")"),0)</f>
        <v>0</v>
      </c>
      <c r="BD20" s="552">
        <f ca="1">IFERROR(__xludf.DUMMYFUNCTION("IMPORTRANGE(""https://docs.google.com/spreadsheets/d/11923uPwbBZFjjGgGUA6NLw09EwE0CqkOc4q9oUmW1yo/edit?usp=sharing"",""นครสวรรค์!J401"")"),0)</f>
        <v>0</v>
      </c>
      <c r="BE20" s="552">
        <f ca="1">IFERROR(__xludf.DUMMYFUNCTION("IMPORTRANGE(""https://docs.google.com/spreadsheets/d/11923uPwbBZFjjGgGUA6NLw09EwE0CqkOc4q9oUmW1yo/edit?usp=sharing"",""นครสวรรค์!J402"")"),0)</f>
        <v>0</v>
      </c>
      <c r="BF20" s="552">
        <f ca="1">IFERROR(__xludf.DUMMYFUNCTION("IMPORTRANGE(""https://docs.google.com/spreadsheets/d/11923uPwbBZFjjGgGUA6NLw09EwE0CqkOc4q9oUmW1yo/edit?usp=sharing"",""นครสวรรค์!J405"")"),0)</f>
        <v>0</v>
      </c>
      <c r="BG20" s="552">
        <f ca="1">IFERROR(__xludf.DUMMYFUNCTION("IMPORTRANGE(""https://docs.google.com/spreadsheets/d/11923uPwbBZFjjGgGUA6NLw09EwE0CqkOc4q9oUmW1yo/edit?usp=sharing"",""นครสวรรค์!J406"")"),0)</f>
        <v>0</v>
      </c>
      <c r="BH20" s="552">
        <f ca="1">IFERROR(__xludf.DUMMYFUNCTION("IMPORTRANGE(""https://docs.google.com/spreadsheets/d/11923uPwbBZFjjGgGUA6NLw09EwE0CqkOc4q9oUmW1yo/edit?usp=sharing"",""นครสวรรค์!J407"")"),0)</f>
        <v>0</v>
      </c>
      <c r="BI20" s="552">
        <f ca="1">IFERROR(__xludf.DUMMYFUNCTION("IMPORTRANGE(""https://docs.google.com/spreadsheets/d/11923uPwbBZFjjGgGUA6NLw09EwE0CqkOc4q9oUmW1yo/edit?usp=sharing"",""นครสวรรค์!J408"")"),0)</f>
        <v>0</v>
      </c>
      <c r="BJ20" s="552">
        <f ca="1">IFERROR(__xludf.DUMMYFUNCTION("IMPORTRANGE(""https://docs.google.com/spreadsheets/d/11923uPwbBZFjjGgGUA6NLw09EwE0CqkOc4q9oUmW1yo/edit?usp=sharing"",""นครสวรรค์!J409"")"),0)</f>
        <v>0</v>
      </c>
      <c r="BK20" s="552">
        <f ca="1">IFERROR(__xludf.DUMMYFUNCTION("IMPORTRANGE(""https://docs.google.com/spreadsheets/d/11923uPwbBZFjjGgGUA6NLw09EwE0CqkOc4q9oUmW1yo/edit?usp=sharing"",""นครสวรรค์!J410"")"),0)</f>
        <v>0</v>
      </c>
      <c r="BL20" s="556">
        <f ca="1">IFERROR(__xludf.DUMMYFUNCTION("IMPORTRANGE(""https://docs.google.com/spreadsheets/d/1C3CXT74ZlgGe6_JY_1olB1XN4rF0dxEuIIF-xsYjHgg/edit?usp=sharing"",""งบกองทุน!CZ24"")"),0)</f>
        <v>0</v>
      </c>
      <c r="BM20" s="556">
        <f ca="1">IFERROR(__xludf.DUMMYFUNCTION("IMPORTRANGE(""https://docs.google.com/spreadsheets/d/1C3CXT74ZlgGe6_JY_1olB1XN4rF0dxEuIIF-xsYjHgg/edit?usp=sharing"",""งบกองทุน!CY24"")"),0)</f>
        <v>0</v>
      </c>
      <c r="BN20" s="556">
        <f t="shared" ca="1" si="70"/>
        <v>0</v>
      </c>
      <c r="BO20" s="557">
        <f t="shared" ca="1" si="15"/>
        <v>0</v>
      </c>
      <c r="BP20" s="556">
        <f t="shared" ca="1" si="71"/>
        <v>0</v>
      </c>
      <c r="BQ20" s="557">
        <f t="shared" ca="1" si="16"/>
        <v>0</v>
      </c>
      <c r="BR20" s="552">
        <f ca="1">IFERROR(__xludf.DUMMYFUNCTION("IMPORTRANGE(""https://docs.google.com/spreadsheets/d/11923uPwbBZFjjGgGUA6NLw09EwE0CqkOc4q9oUmW1yo/edit?usp=sharing"",""นครสวรรค์!J414"")"),0)</f>
        <v>0</v>
      </c>
      <c r="BS20" s="552">
        <f ca="1">IFERROR(__xludf.DUMMYFUNCTION("IMPORTRANGE(""https://docs.google.com/spreadsheets/d/11923uPwbBZFjjGgGUA6NLw09EwE0CqkOc4q9oUmW1yo/edit?usp=sharing"",""นครสวรรค์!J415"")"),0)</f>
        <v>0</v>
      </c>
      <c r="BT20" s="552">
        <f ca="1">IFERROR(__xludf.DUMMYFUNCTION("IMPORTRANGE(""https://docs.google.com/spreadsheets/d/11923uPwbBZFjjGgGUA6NLw09EwE0CqkOc4q9oUmW1yo/edit?usp=sharing"",""นครสวรรค์!J416"")"),0)</f>
        <v>0</v>
      </c>
      <c r="BU20" s="552">
        <f ca="1">IFERROR(__xludf.DUMMYFUNCTION("IMPORTRANGE(""https://docs.google.com/spreadsheets/d/11923uPwbBZFjjGgGUA6NLw09EwE0CqkOc4q9oUmW1yo/edit?usp=sharing"",""นครสวรรค์!J417"")"),0)</f>
        <v>0</v>
      </c>
      <c r="BV20" s="552">
        <f ca="1">IFERROR(__xludf.DUMMYFUNCTION("IMPORTRANGE(""https://docs.google.com/spreadsheets/d/11923uPwbBZFjjGgGUA6NLw09EwE0CqkOc4q9oUmW1yo/edit?usp=sharing"",""นครสวรรค์!J418"")"),0)</f>
        <v>0</v>
      </c>
      <c r="BW20" s="552">
        <f ca="1">IFERROR(__xludf.DUMMYFUNCTION("IMPORTRANGE(""https://docs.google.com/spreadsheets/d/11923uPwbBZFjjGgGUA6NLw09EwE0CqkOc4q9oUmW1yo/edit?usp=sharing"",""นครสวรรค์!J419"")"),0)</f>
        <v>0</v>
      </c>
      <c r="BX20" s="556">
        <f t="shared" ca="1" si="72"/>
        <v>0</v>
      </c>
      <c r="BY20" s="557">
        <f t="shared" ca="1" si="18"/>
        <v>0</v>
      </c>
      <c r="BZ20" s="556">
        <f t="shared" ca="1" si="73"/>
        <v>0</v>
      </c>
      <c r="CA20" s="557">
        <f t="shared" ca="1" si="19"/>
        <v>0</v>
      </c>
      <c r="CB20" s="552">
        <f ca="1">IFERROR(__xludf.DUMMYFUNCTION("IMPORTRANGE(""https://docs.google.com/spreadsheets/d/11923uPwbBZFjjGgGUA6NLw09EwE0CqkOc4q9oUmW1yo/edit?usp=sharing"",""นครสวรรค์!J422"")"),0)</f>
        <v>0</v>
      </c>
      <c r="CC20" s="552">
        <f ca="1">IFERROR(__xludf.DUMMYFUNCTION("IMPORTRANGE(""https://docs.google.com/spreadsheets/d/11923uPwbBZFjjGgGUA6NLw09EwE0CqkOc4q9oUmW1yo/edit?usp=sharing"",""นครสวรรค์!J423"")"),0)</f>
        <v>0</v>
      </c>
      <c r="CD20" s="552">
        <f ca="1">IFERROR(__xludf.DUMMYFUNCTION("IMPORTRANGE(""https://docs.google.com/spreadsheets/d/11923uPwbBZFjjGgGUA6NLw09EwE0CqkOc4q9oUmW1yo/edit?usp=sharing"",""นครสวรรค์!J424"")"),0)</f>
        <v>0</v>
      </c>
      <c r="CE20" s="552">
        <f ca="1">IFERROR(__xludf.DUMMYFUNCTION("IMPORTRANGE(""https://docs.google.com/spreadsheets/d/11923uPwbBZFjjGgGUA6NLw09EwE0CqkOc4q9oUmW1yo/edit?usp=sharing"",""นครสวรรค์!J425"")"),0)</f>
        <v>0</v>
      </c>
      <c r="CF20" s="552">
        <f ca="1">IFERROR(__xludf.DUMMYFUNCTION("IMPORTRANGE(""https://docs.google.com/spreadsheets/d/11923uPwbBZFjjGgGUA6NLw09EwE0CqkOc4q9oUmW1yo/edit?usp=sharing"",""นครสวรรค์!J426"")"),0)</f>
        <v>0</v>
      </c>
      <c r="CG20" s="558">
        <f ca="1">IFERROR(__xludf.DUMMYFUNCTION("IMPORTRANGE(""https://docs.google.com/spreadsheets/d/11923uPwbBZFjjGgGUA6NLw09EwE0CqkOc4q9oUmW1yo/edit?usp=sharing"",""นครสวรรค์!J427"")"),0)</f>
        <v>0</v>
      </c>
    </row>
    <row r="21" spans="1:85" ht="21" customHeight="1">
      <c r="A21" s="549">
        <v>6</v>
      </c>
      <c r="B21" s="550" t="s">
        <v>45</v>
      </c>
      <c r="C21" s="551">
        <f t="shared" ca="1" si="61"/>
        <v>611754</v>
      </c>
      <c r="D21" s="552">
        <f ca="1">IFERROR(__xludf.DUMMYFUNCTION("IMPORTRANGE(""https://docs.google.com/spreadsheets/d/1C3CXT74ZlgGe6_JY_1olB1XN4rF0dxEuIIF-xsYjHgg/edit?usp=sharing"",""งบกองทุน!BC25"")"),0)</f>
        <v>0</v>
      </c>
      <c r="E21" s="553">
        <f ca="1">IFERROR(__xludf.DUMMYFUNCTION("IMPORTRANGE(""https://docs.google.com/spreadsheets/d/1C3CXT74ZlgGe6_JY_1olB1XN4rF0dxEuIIF-xsYjHgg/edit?usp=sharing"",""งบกองทุน!BD25"")"),611754)</f>
        <v>611754</v>
      </c>
      <c r="F21" s="554">
        <f ca="1">IFERROR(__xludf.DUMMYFUNCTION("IMPORTRANGE(""https://docs.google.com/spreadsheets/d/11923uPwbBZFjjGgGUA6NLw09EwE0CqkOc4q9oUmW1yo/edit?usp=sharing"",""น่าน!M352"")"),106786)</f>
        <v>106786</v>
      </c>
      <c r="G21" s="554">
        <f t="shared" ca="1" si="1"/>
        <v>17.455709321066966</v>
      </c>
      <c r="H21" s="555">
        <f ca="1">IFERROR(__xludf.DUMMYFUNCTION("IMPORTRANGE(""https://docs.google.com/spreadsheets/d/1C3CXT74ZlgGe6_JY_1olB1XN4rF0dxEuIIF-xsYjHgg/edit?usp=sharing"",""งบกองทุน!BE25"")"),56567)</f>
        <v>56567</v>
      </c>
      <c r="I21" s="555">
        <f ca="1">IFERROR(__xludf.DUMMYFUNCTION("IMPORTRANGE(""https://docs.google.com/spreadsheets/d/1C3CXT74ZlgGe6_JY_1olB1XN4rF0dxEuIIF-xsYjHgg/edit?usp=sharing"",""งบกองทุน!BF25"")"),9077)</f>
        <v>9077</v>
      </c>
      <c r="J21" s="552">
        <f t="shared" ca="1" si="62"/>
        <v>56592</v>
      </c>
      <c r="K21" s="554">
        <f t="shared" ca="1" si="3"/>
        <v>100.04419537893118</v>
      </c>
      <c r="L21" s="552">
        <f t="shared" ca="1" si="63"/>
        <v>9077</v>
      </c>
      <c r="M21" s="554">
        <f t="shared" ca="1" si="4"/>
        <v>100</v>
      </c>
      <c r="N21" s="552">
        <f ca="1">IFERROR(__xludf.DUMMYFUNCTION("IMPORTRANGE(""https://docs.google.com/spreadsheets/d/11923uPwbBZFjjGgGUA6NLw09EwE0CqkOc4q9oUmW1yo/edit?usp=sharing"",""น่าน!J362"")"),52724)</f>
        <v>52724</v>
      </c>
      <c r="O21" s="552">
        <f ca="1">IFERROR(__xludf.DUMMYFUNCTION("IMPORTRANGE(""https://docs.google.com/spreadsheets/d/11923uPwbBZFjjGgGUA6NLw09EwE0CqkOc4q9oUmW1yo/edit?usp=sharing"",""น่าน!J363"")"),8617)</f>
        <v>8617</v>
      </c>
      <c r="P21" s="552">
        <f ca="1">IFERROR(__xludf.DUMMYFUNCTION("IMPORTRANGE(""https://docs.google.com/spreadsheets/d/11923uPwbBZFjjGgGUA6NLw09EwE0CqkOc4q9oUmW1yo/edit?usp=sharing"",""น่าน!J364"")"),3269)</f>
        <v>3269</v>
      </c>
      <c r="Q21" s="552">
        <f ca="1">IFERROR(__xludf.DUMMYFUNCTION("IMPORTRANGE(""https://docs.google.com/spreadsheets/d/11923uPwbBZFjjGgGUA6NLw09EwE0CqkOc4q9oUmW1yo/edit?usp=sharing"",""น่าน!J365"")"),345)</f>
        <v>345</v>
      </c>
      <c r="R21" s="552">
        <f ca="1">IFERROR(__xludf.DUMMYFUNCTION("IMPORTRANGE(""https://docs.google.com/spreadsheets/d/11923uPwbBZFjjGgGUA6NLw09EwE0CqkOc4q9oUmW1yo/edit?usp=sharing"",""น่าน!J366"")"),599)</f>
        <v>599</v>
      </c>
      <c r="S21" s="552">
        <f ca="1">IFERROR(__xludf.DUMMYFUNCTION("IMPORTRANGE(""https://docs.google.com/spreadsheets/d/11923uPwbBZFjjGgGUA6NLw09EwE0CqkOc4q9oUmW1yo/edit?usp=sharing"",""น่าน!J367"")"),115)</f>
        <v>115</v>
      </c>
      <c r="T21" s="552">
        <f t="shared" ca="1" si="64"/>
        <v>56593</v>
      </c>
      <c r="U21" s="552">
        <f t="shared" ca="1" si="6"/>
        <v>100.04596319408843</v>
      </c>
      <c r="V21" s="552">
        <f t="shared" ca="1" si="65"/>
        <v>9077</v>
      </c>
      <c r="W21" s="552">
        <f t="shared" ca="1" si="7"/>
        <v>100</v>
      </c>
      <c r="X21" s="552">
        <f ca="1">IFERROR(__xludf.DUMMYFUNCTION("IMPORTRANGE(""https://docs.google.com/spreadsheets/d/11923uPwbBZFjjGgGUA6NLw09EwE0CqkOc4q9oUmW1yo/edit?usp=sharing"",""น่าน!J370"")"),53084)</f>
        <v>53084</v>
      </c>
      <c r="Y21" s="552">
        <f ca="1">IFERROR(__xludf.DUMMYFUNCTION("IMPORTRANGE(""https://docs.google.com/spreadsheets/d/11923uPwbBZFjjGgGUA6NLw09EwE0CqkOc4q9oUmW1yo/edit?usp=sharing"",""น่าน!J371"")"),8656)</f>
        <v>8656</v>
      </c>
      <c r="Z21" s="552">
        <f ca="1">IFERROR(__xludf.DUMMYFUNCTION("IMPORTRANGE(""https://docs.google.com/spreadsheets/d/11923uPwbBZFjjGgGUA6NLw09EwE0CqkOc4q9oUmW1yo/edit?usp=sharing"",""น่าน!J372"")"),2899)</f>
        <v>2899</v>
      </c>
      <c r="AA21" s="552">
        <f ca="1">IFERROR(__xludf.DUMMYFUNCTION("IMPORTRANGE(""https://docs.google.com/spreadsheets/d/11923uPwbBZFjjGgGUA6NLw09EwE0CqkOc4q9oUmW1yo/edit?usp=sharing"",""น่าน!J373"")"),305)</f>
        <v>305</v>
      </c>
      <c r="AB21" s="552">
        <f ca="1">IFERROR(__xludf.DUMMYFUNCTION("IMPORTRANGE(""https://docs.google.com/spreadsheets/d/11923uPwbBZFjjGgGUA6NLw09EwE0CqkOc4q9oUmW1yo/edit?usp=sharing"",""น่าน!J374"")"),610)</f>
        <v>610</v>
      </c>
      <c r="AC21" s="552">
        <f ca="1">IFERROR(__xludf.DUMMYFUNCTION("IMPORTRANGE(""https://docs.google.com/spreadsheets/d/11923uPwbBZFjjGgGUA6NLw09EwE0CqkOc4q9oUmW1yo/edit?usp=sharing"",""น่าน!J375"")"),116)</f>
        <v>116</v>
      </c>
      <c r="AD21" s="552">
        <f t="shared" ca="1" si="66"/>
        <v>56595.72</v>
      </c>
      <c r="AE21" s="554">
        <f t="shared" ca="1" si="9"/>
        <v>100.05077165131614</v>
      </c>
      <c r="AF21" s="552">
        <f t="shared" ca="1" si="67"/>
        <v>9077</v>
      </c>
      <c r="AG21" s="554">
        <f t="shared" ca="1" si="10"/>
        <v>100</v>
      </c>
      <c r="AH21" s="552">
        <f ca="1">IFERROR(__xludf.DUMMYFUNCTION("IMPORTRANGE(""https://docs.google.com/spreadsheets/d/11923uPwbBZFjjGgGUA6NLw09EwE0CqkOc4q9oUmW1yo/edit?usp=sharing"",""น่าน!J378"")"),53083.61)</f>
        <v>53083.61</v>
      </c>
      <c r="AI21" s="552">
        <f ca="1">IFERROR(__xludf.DUMMYFUNCTION("IMPORTRANGE(""https://docs.google.com/spreadsheets/d/11923uPwbBZFjjGgGUA6NLw09EwE0CqkOc4q9oUmW1yo/edit?usp=sharing"",""น่าน!J379"")"),8656)</f>
        <v>8656</v>
      </c>
      <c r="AJ21" s="552">
        <f ca="1">IFERROR(__xludf.DUMMYFUNCTION("IMPORTRANGE(""https://docs.google.com/spreadsheets/d/11923uPwbBZFjjGgGUA6NLw09EwE0CqkOc4q9oUmW1yo/edit?usp=sharing"",""น่าน!J380"")"),2899)</f>
        <v>2899</v>
      </c>
      <c r="AK21" s="552">
        <f ca="1">IFERROR(__xludf.DUMMYFUNCTION("IMPORTRANGE(""https://docs.google.com/spreadsheets/d/11923uPwbBZFjjGgGUA6NLw09EwE0CqkOc4q9oUmW1yo/edit?usp=sharing"",""น่าน!J381"")"),305)</f>
        <v>305</v>
      </c>
      <c r="AL21" s="552">
        <f ca="1">IFERROR(__xludf.DUMMYFUNCTION("IMPORTRANGE(""https://docs.google.com/spreadsheets/d/11923uPwbBZFjjGgGUA6NLw09EwE0CqkOc4q9oUmW1yo/edit?usp=sharing"",""น่าน!J384"")"),583.11)</f>
        <v>583.11</v>
      </c>
      <c r="AM21" s="552">
        <f ca="1">IFERROR(__xludf.DUMMYFUNCTION("IMPORTRANGE(""https://docs.google.com/spreadsheets/d/11923uPwbBZFjjGgGUA6NLw09EwE0CqkOc4q9oUmW1yo/edit?usp=sharing"",""น่าน!J385"")"),112)</f>
        <v>112</v>
      </c>
      <c r="AN21" s="552">
        <f ca="1">IFERROR(__xludf.DUMMYFUNCTION("IMPORTRANGE(""https://docs.google.com/spreadsheets/d/11923uPwbBZFjjGgGUA6NLw09EwE0CqkOc4q9oUmW1yo/edit?usp=sharing"",""น่าน!J386"")"),30)</f>
        <v>30</v>
      </c>
      <c r="AO21" s="552">
        <f ca="1">IFERROR(__xludf.DUMMYFUNCTION("IMPORTRANGE(""https://docs.google.com/spreadsheets/d/11923uPwbBZFjjGgGUA6NLw09EwE0CqkOc4q9oUmW1yo/edit?usp=sharing"",""น่าน!J387"")"),4)</f>
        <v>4</v>
      </c>
      <c r="AP21" s="552">
        <f ca="1">IFERROR(__xludf.DUMMYFUNCTION("IMPORTRANGE(""https://docs.google.com/spreadsheets/d/11923uPwbBZFjjGgGUA6NLw09EwE0CqkOc4q9oUmW1yo/edit?usp=sharing"",""น่าน!J388"")"),0)</f>
        <v>0</v>
      </c>
      <c r="AQ21" s="552">
        <f ca="1">IFERROR(__xludf.DUMMYFUNCTION("IMPORTRANGE(""https://docs.google.com/spreadsheets/d/11923uPwbBZFjjGgGUA6NLw09EwE0CqkOc4q9oUmW1yo/edit?usp=sharing"",""น่าน!J389"")"),0)</f>
        <v>0</v>
      </c>
      <c r="AR21" s="552">
        <f ca="1">IFERROR(__xludf.DUMMYFUNCTION("IMPORTRANGE(""https://docs.google.com/spreadsheets/d/11923uPwbBZFjjGgGUA6NLw09EwE0CqkOc4q9oUmW1yo/edit?usp=sharing"",""น่าน!J390"")"),0)</f>
        <v>0</v>
      </c>
      <c r="AS21" s="552">
        <f ca="1">IFERROR(__xludf.DUMMYFUNCTION("IMPORTRANGE(""https://docs.google.com/spreadsheets/d/11923uPwbBZFjjGgGUA6NLw09EwE0CqkOc4q9oUmW1yo/edit?usp=sharing"",""น่าน!J391"")"),0)</f>
        <v>0</v>
      </c>
      <c r="AT21" s="556">
        <f ca="1">IFERROR(__xludf.DUMMYFUNCTION("IMPORTRANGE(""https://docs.google.com/spreadsheets/d/1C3CXT74ZlgGe6_JY_1olB1XN4rF0dxEuIIF-xsYjHgg/edit?usp=sharing"",""งบกองทุน!CD25"")"),575)</f>
        <v>575</v>
      </c>
      <c r="AU21" s="556">
        <f ca="1">IFERROR(__xludf.DUMMYFUNCTION("IMPORTRANGE(""https://docs.google.com/spreadsheets/d/1C3CXT74ZlgGe6_JY_1olB1XN4rF0dxEuIIF-xsYjHgg/edit?usp=sharing"",""งบกองทุน!CC25"")"),187)</f>
        <v>187</v>
      </c>
      <c r="AV21" s="556">
        <f t="shared" ca="1" si="68"/>
        <v>0</v>
      </c>
      <c r="AW21" s="556">
        <f t="shared" ca="1" si="12"/>
        <v>0</v>
      </c>
      <c r="AX21" s="556">
        <f t="shared" ca="1" si="69"/>
        <v>0</v>
      </c>
      <c r="AY21" s="556">
        <f t="shared" ca="1" si="13"/>
        <v>0</v>
      </c>
      <c r="AZ21" s="552">
        <f ca="1">IFERROR(__xludf.DUMMYFUNCTION("IMPORTRANGE(""https://docs.google.com/spreadsheets/d/11923uPwbBZFjjGgGUA6NLw09EwE0CqkOc4q9oUmW1yo/edit?usp=sharing"",""น่าน!J397"")"),0)</f>
        <v>0</v>
      </c>
      <c r="BA21" s="552">
        <f ca="1">IFERROR(__xludf.DUMMYFUNCTION("IMPORTRANGE(""https://docs.google.com/spreadsheets/d/11923uPwbBZFjjGgGUA6NLw09EwE0CqkOc4q9oUmW1yo/edit?usp=sharing"",""น่าน!J398"")"),0)</f>
        <v>0</v>
      </c>
      <c r="BB21" s="552">
        <f ca="1">IFERROR(__xludf.DUMMYFUNCTION("IMPORTRANGE(""https://docs.google.com/spreadsheets/d/11923uPwbBZFjjGgGUA6NLw09EwE0CqkOc4q9oUmW1yo/edit?usp=sharing"",""น่าน!J399"")"),0)</f>
        <v>0</v>
      </c>
      <c r="BC21" s="552">
        <f ca="1">IFERROR(__xludf.DUMMYFUNCTION("IMPORTRANGE(""https://docs.google.com/spreadsheets/d/11923uPwbBZFjjGgGUA6NLw09EwE0CqkOc4q9oUmW1yo/edit?usp=sharing"",""น่าน!J400"")"),0)</f>
        <v>0</v>
      </c>
      <c r="BD21" s="552">
        <f ca="1">IFERROR(__xludf.DUMMYFUNCTION("IMPORTRANGE(""https://docs.google.com/spreadsheets/d/11923uPwbBZFjjGgGUA6NLw09EwE0CqkOc4q9oUmW1yo/edit?usp=sharing"",""น่าน!J401"")"),0)</f>
        <v>0</v>
      </c>
      <c r="BE21" s="552">
        <f ca="1">IFERROR(__xludf.DUMMYFUNCTION("IMPORTRANGE(""https://docs.google.com/spreadsheets/d/11923uPwbBZFjjGgGUA6NLw09EwE0CqkOc4q9oUmW1yo/edit?usp=sharing"",""น่าน!J402"")"),0)</f>
        <v>0</v>
      </c>
      <c r="BF21" s="552">
        <f ca="1">IFERROR(__xludf.DUMMYFUNCTION("IMPORTRANGE(""https://docs.google.com/spreadsheets/d/11923uPwbBZFjjGgGUA6NLw09EwE0CqkOc4q9oUmW1yo/edit?usp=sharing"",""น่าน!J405"")"),0)</f>
        <v>0</v>
      </c>
      <c r="BG21" s="552">
        <f ca="1">IFERROR(__xludf.DUMMYFUNCTION("IMPORTRANGE(""https://docs.google.com/spreadsheets/d/11923uPwbBZFjjGgGUA6NLw09EwE0CqkOc4q9oUmW1yo/edit?usp=sharing"",""น่าน!J406"")"),0)</f>
        <v>0</v>
      </c>
      <c r="BH21" s="552">
        <f ca="1">IFERROR(__xludf.DUMMYFUNCTION("IMPORTRANGE(""https://docs.google.com/spreadsheets/d/11923uPwbBZFjjGgGUA6NLw09EwE0CqkOc4q9oUmW1yo/edit?usp=sharing"",""น่าน!J407"")"),0)</f>
        <v>0</v>
      </c>
      <c r="BI21" s="552">
        <f ca="1">IFERROR(__xludf.DUMMYFUNCTION("IMPORTRANGE(""https://docs.google.com/spreadsheets/d/11923uPwbBZFjjGgGUA6NLw09EwE0CqkOc4q9oUmW1yo/edit?usp=sharing"",""น่าน!J408"")"),0)</f>
        <v>0</v>
      </c>
      <c r="BJ21" s="552">
        <f ca="1">IFERROR(__xludf.DUMMYFUNCTION("IMPORTRANGE(""https://docs.google.com/spreadsheets/d/11923uPwbBZFjjGgGUA6NLw09EwE0CqkOc4q9oUmW1yo/edit?usp=sharing"",""น่าน!J409"")"),0)</f>
        <v>0</v>
      </c>
      <c r="BK21" s="552">
        <f ca="1">IFERROR(__xludf.DUMMYFUNCTION("IMPORTRANGE(""https://docs.google.com/spreadsheets/d/11923uPwbBZFjjGgGUA6NLw09EwE0CqkOc4q9oUmW1yo/edit?usp=sharing"",""น่าน!J410"")"),0)</f>
        <v>0</v>
      </c>
      <c r="BL21" s="556">
        <f ca="1">IFERROR(__xludf.DUMMYFUNCTION("IMPORTRANGE(""https://docs.google.com/spreadsheets/d/1C3CXT74ZlgGe6_JY_1olB1XN4rF0dxEuIIF-xsYjHgg/edit?usp=sharing"",""งบกองทุน!CZ25"")"),0)</f>
        <v>0</v>
      </c>
      <c r="BM21" s="556">
        <f ca="1">IFERROR(__xludf.DUMMYFUNCTION("IMPORTRANGE(""https://docs.google.com/spreadsheets/d/1C3CXT74ZlgGe6_JY_1olB1XN4rF0dxEuIIF-xsYjHgg/edit?usp=sharing"",""งบกองทุน!CY25"")"),0)</f>
        <v>0</v>
      </c>
      <c r="BN21" s="556">
        <f t="shared" ca="1" si="70"/>
        <v>0</v>
      </c>
      <c r="BO21" s="557">
        <f t="shared" ca="1" si="15"/>
        <v>0</v>
      </c>
      <c r="BP21" s="556">
        <f t="shared" ca="1" si="71"/>
        <v>0</v>
      </c>
      <c r="BQ21" s="557">
        <f t="shared" ca="1" si="16"/>
        <v>0</v>
      </c>
      <c r="BR21" s="552">
        <f ca="1">IFERROR(__xludf.DUMMYFUNCTION("IMPORTRANGE(""https://docs.google.com/spreadsheets/d/11923uPwbBZFjjGgGUA6NLw09EwE0CqkOc4q9oUmW1yo/edit?usp=sharing"",""น่าน!J414"")"),0)</f>
        <v>0</v>
      </c>
      <c r="BS21" s="552">
        <f ca="1">IFERROR(__xludf.DUMMYFUNCTION("IMPORTRANGE(""https://docs.google.com/spreadsheets/d/11923uPwbBZFjjGgGUA6NLw09EwE0CqkOc4q9oUmW1yo/edit?usp=sharing"",""น่าน!J415"")"),0)</f>
        <v>0</v>
      </c>
      <c r="BT21" s="552">
        <f ca="1">IFERROR(__xludf.DUMMYFUNCTION("IMPORTRANGE(""https://docs.google.com/spreadsheets/d/11923uPwbBZFjjGgGUA6NLw09EwE0CqkOc4q9oUmW1yo/edit?usp=sharing"",""น่าน!J416"")"),0)</f>
        <v>0</v>
      </c>
      <c r="BU21" s="552">
        <f ca="1">IFERROR(__xludf.DUMMYFUNCTION("IMPORTRANGE(""https://docs.google.com/spreadsheets/d/11923uPwbBZFjjGgGUA6NLw09EwE0CqkOc4q9oUmW1yo/edit?usp=sharing"",""น่าน!J417"")"),0)</f>
        <v>0</v>
      </c>
      <c r="BV21" s="552">
        <f ca="1">IFERROR(__xludf.DUMMYFUNCTION("IMPORTRANGE(""https://docs.google.com/spreadsheets/d/11923uPwbBZFjjGgGUA6NLw09EwE0CqkOc4q9oUmW1yo/edit?usp=sharing"",""น่าน!J418"")"),13)</f>
        <v>13</v>
      </c>
      <c r="BW21" s="552">
        <f ca="1">IFERROR(__xludf.DUMMYFUNCTION("IMPORTRANGE(""https://docs.google.com/spreadsheets/d/11923uPwbBZFjjGgGUA6NLw09EwE0CqkOc4q9oUmW1yo/edit?usp=sharing"",""น่าน!J419"")"),4)</f>
        <v>4</v>
      </c>
      <c r="BX21" s="556">
        <f t="shared" ca="1" si="72"/>
        <v>0</v>
      </c>
      <c r="BY21" s="557">
        <f t="shared" ca="1" si="18"/>
        <v>0</v>
      </c>
      <c r="BZ21" s="556">
        <f t="shared" ca="1" si="73"/>
        <v>0</v>
      </c>
      <c r="CA21" s="557">
        <f t="shared" ca="1" si="19"/>
        <v>0</v>
      </c>
      <c r="CB21" s="552">
        <f ca="1">IFERROR(__xludf.DUMMYFUNCTION("IMPORTRANGE(""https://docs.google.com/spreadsheets/d/11923uPwbBZFjjGgGUA6NLw09EwE0CqkOc4q9oUmW1yo/edit?usp=sharing"",""น่าน!J422"")"),0)</f>
        <v>0</v>
      </c>
      <c r="CC21" s="552">
        <f ca="1">IFERROR(__xludf.DUMMYFUNCTION("IMPORTRANGE(""https://docs.google.com/spreadsheets/d/11923uPwbBZFjjGgGUA6NLw09EwE0CqkOc4q9oUmW1yo/edit?usp=sharing"",""น่าน!J423"")"),0)</f>
        <v>0</v>
      </c>
      <c r="CD21" s="552">
        <f ca="1">IFERROR(__xludf.DUMMYFUNCTION("IMPORTRANGE(""https://docs.google.com/spreadsheets/d/11923uPwbBZFjjGgGUA6NLw09EwE0CqkOc4q9oUmW1yo/edit?usp=sharing"",""น่าน!J424"")"),0)</f>
        <v>0</v>
      </c>
      <c r="CE21" s="552">
        <f ca="1">IFERROR(__xludf.DUMMYFUNCTION("IMPORTRANGE(""https://docs.google.com/spreadsheets/d/11923uPwbBZFjjGgGUA6NLw09EwE0CqkOc4q9oUmW1yo/edit?usp=sharing"",""น่าน!J425"")"),0)</f>
        <v>0</v>
      </c>
      <c r="CF21" s="552">
        <f ca="1">IFERROR(__xludf.DUMMYFUNCTION("IMPORTRANGE(""https://docs.google.com/spreadsheets/d/11923uPwbBZFjjGgGUA6NLw09EwE0CqkOc4q9oUmW1yo/edit?usp=sharing"",""น่าน!J426"")"),0)</f>
        <v>0</v>
      </c>
      <c r="CG21" s="558">
        <f ca="1">IFERROR(__xludf.DUMMYFUNCTION("IMPORTRANGE(""https://docs.google.com/spreadsheets/d/11923uPwbBZFjjGgGUA6NLw09EwE0CqkOc4q9oUmW1yo/edit?usp=sharing"",""น่าน!J427"")"),0)</f>
        <v>0</v>
      </c>
    </row>
    <row r="22" spans="1:85" ht="21" customHeight="1">
      <c r="A22" s="549">
        <v>7</v>
      </c>
      <c r="B22" s="550" t="s">
        <v>46</v>
      </c>
      <c r="C22" s="551">
        <f t="shared" ca="1" si="61"/>
        <v>396346</v>
      </c>
      <c r="D22" s="552">
        <f ca="1">IFERROR(__xludf.DUMMYFUNCTION("IMPORTRANGE(""https://docs.google.com/spreadsheets/d/1C3CXT74ZlgGe6_JY_1olB1XN4rF0dxEuIIF-xsYjHgg/edit?usp=sharing"",""งบกองทุน!BC26"")"),0)</f>
        <v>0</v>
      </c>
      <c r="E22" s="553">
        <f ca="1">IFERROR(__xludf.DUMMYFUNCTION("IMPORTRANGE(""https://docs.google.com/spreadsheets/d/1C3CXT74ZlgGe6_JY_1olB1XN4rF0dxEuIIF-xsYjHgg/edit?usp=sharing"",""งบกองทุน!BD26"")"),396346)</f>
        <v>396346</v>
      </c>
      <c r="F22" s="554">
        <f ca="1">IFERROR(__xludf.DUMMYFUNCTION("IMPORTRANGE(""https://docs.google.com/spreadsheets/d/11923uPwbBZFjjGgGUA6NLw09EwE0CqkOc4q9oUmW1yo/edit?usp=sharing"",""พะเยา!M352"")"),195983.85)</f>
        <v>195983.85</v>
      </c>
      <c r="G22" s="554">
        <f t="shared" ca="1" si="1"/>
        <v>49.447666937473826</v>
      </c>
      <c r="H22" s="555">
        <f ca="1">IFERROR(__xludf.DUMMYFUNCTION("IMPORTRANGE(""https://docs.google.com/spreadsheets/d/1C3CXT74ZlgGe6_JY_1olB1XN4rF0dxEuIIF-xsYjHgg/edit?usp=sharing"",""งบกองทุน!BE26"")"),31127)</f>
        <v>31127</v>
      </c>
      <c r="I22" s="555">
        <f ca="1">IFERROR(__xludf.DUMMYFUNCTION("IMPORTRANGE(""https://docs.google.com/spreadsheets/d/1C3CXT74ZlgGe6_JY_1olB1XN4rF0dxEuIIF-xsYjHgg/edit?usp=sharing"",""งบกองทุน!BF26"")"),5512)</f>
        <v>5512</v>
      </c>
      <c r="J22" s="552">
        <f t="shared" ca="1" si="62"/>
        <v>31127</v>
      </c>
      <c r="K22" s="554">
        <f t="shared" ca="1" si="3"/>
        <v>100</v>
      </c>
      <c r="L22" s="552">
        <f t="shared" ca="1" si="63"/>
        <v>5512</v>
      </c>
      <c r="M22" s="554">
        <f t="shared" ca="1" si="4"/>
        <v>100</v>
      </c>
      <c r="N22" s="552">
        <f ca="1">IFERROR(__xludf.DUMMYFUNCTION("IMPORTRANGE(""https://docs.google.com/spreadsheets/d/11923uPwbBZFjjGgGUA6NLw09EwE0CqkOc4q9oUmW1yo/edit?usp=sharing"",""พะเยา!J362"")"),22933)</f>
        <v>22933</v>
      </c>
      <c r="O22" s="552">
        <f ca="1">IFERROR(__xludf.DUMMYFUNCTION("IMPORTRANGE(""https://docs.google.com/spreadsheets/d/11923uPwbBZFjjGgGUA6NLw09EwE0CqkOc4q9oUmW1yo/edit?usp=sharing"",""พะเยา!J363"")"),4298)</f>
        <v>4298</v>
      </c>
      <c r="P22" s="552">
        <f ca="1">IFERROR(__xludf.DUMMYFUNCTION("IMPORTRANGE(""https://docs.google.com/spreadsheets/d/11923uPwbBZFjjGgGUA6NLw09EwE0CqkOc4q9oUmW1yo/edit?usp=sharing"",""พะเยา!J364"")"),7504)</f>
        <v>7504</v>
      </c>
      <c r="Q22" s="552">
        <f ca="1">IFERROR(__xludf.DUMMYFUNCTION("IMPORTRANGE(""https://docs.google.com/spreadsheets/d/11923uPwbBZFjjGgGUA6NLw09EwE0CqkOc4q9oUmW1yo/edit?usp=sharing"",""พะเยา!J365"")"),1088)</f>
        <v>1088</v>
      </c>
      <c r="R22" s="552">
        <f ca="1">IFERROR(__xludf.DUMMYFUNCTION("IMPORTRANGE(""https://docs.google.com/spreadsheets/d/11923uPwbBZFjjGgGUA6NLw09EwE0CqkOc4q9oUmW1yo/edit?usp=sharing"",""พะเยา!J366"")"),690)</f>
        <v>690</v>
      </c>
      <c r="S22" s="552">
        <f ca="1">IFERROR(__xludf.DUMMYFUNCTION("IMPORTRANGE(""https://docs.google.com/spreadsheets/d/11923uPwbBZFjjGgGUA6NLw09EwE0CqkOc4q9oUmW1yo/edit?usp=sharing"",""พะเยา!J367"")"),126)</f>
        <v>126</v>
      </c>
      <c r="T22" s="552">
        <f t="shared" ca="1" si="64"/>
        <v>31126</v>
      </c>
      <c r="U22" s="552">
        <f t="shared" ca="1" si="6"/>
        <v>99.996787355029397</v>
      </c>
      <c r="V22" s="552">
        <f t="shared" ca="1" si="65"/>
        <v>5512</v>
      </c>
      <c r="W22" s="552">
        <f t="shared" ca="1" si="7"/>
        <v>100</v>
      </c>
      <c r="X22" s="552">
        <f ca="1">IFERROR(__xludf.DUMMYFUNCTION("IMPORTRANGE(""https://docs.google.com/spreadsheets/d/11923uPwbBZFjjGgGUA6NLw09EwE0CqkOc4q9oUmW1yo/edit?usp=sharing"",""พะเยา!J370"")"),23921)</f>
        <v>23921</v>
      </c>
      <c r="Y22" s="552">
        <f ca="1">IFERROR(__xludf.DUMMYFUNCTION("IMPORTRANGE(""https://docs.google.com/spreadsheets/d/11923uPwbBZFjjGgGUA6NLw09EwE0CqkOc4q9oUmW1yo/edit?usp=sharing"",""พะเยา!J371"")"),4453)</f>
        <v>4453</v>
      </c>
      <c r="Z22" s="552">
        <f ca="1">IFERROR(__xludf.DUMMYFUNCTION("IMPORTRANGE(""https://docs.google.com/spreadsheets/d/11923uPwbBZFjjGgGUA6NLw09EwE0CqkOc4q9oUmW1yo/edit?usp=sharing"",""พะเยา!J372"")"),6752)</f>
        <v>6752</v>
      </c>
      <c r="AA22" s="552">
        <f ca="1">IFERROR(__xludf.DUMMYFUNCTION("IMPORTRANGE(""https://docs.google.com/spreadsheets/d/11923uPwbBZFjjGgGUA6NLw09EwE0CqkOc4q9oUmW1yo/edit?usp=sharing"",""พะเยา!J373"")"),989)</f>
        <v>989</v>
      </c>
      <c r="AB22" s="552">
        <f ca="1">IFERROR(__xludf.DUMMYFUNCTION("IMPORTRANGE(""https://docs.google.com/spreadsheets/d/11923uPwbBZFjjGgGUA6NLw09EwE0CqkOc4q9oUmW1yo/edit?usp=sharing"",""พะเยา!J374"")"),453)</f>
        <v>453</v>
      </c>
      <c r="AC22" s="552">
        <f ca="1">IFERROR(__xludf.DUMMYFUNCTION("IMPORTRANGE(""https://docs.google.com/spreadsheets/d/11923uPwbBZFjjGgGUA6NLw09EwE0CqkOc4q9oUmW1yo/edit?usp=sharing"",""พะเยา!J375"")"),70)</f>
        <v>70</v>
      </c>
      <c r="AD22" s="552">
        <f t="shared" ca="1" si="66"/>
        <v>0</v>
      </c>
      <c r="AE22" s="554">
        <f t="shared" ca="1" si="9"/>
        <v>0</v>
      </c>
      <c r="AF22" s="552">
        <f t="shared" ca="1" si="67"/>
        <v>0</v>
      </c>
      <c r="AG22" s="554">
        <f t="shared" ca="1" si="10"/>
        <v>0</v>
      </c>
      <c r="AH22" s="552">
        <f ca="1">IFERROR(__xludf.DUMMYFUNCTION("IMPORTRANGE(""https://docs.google.com/spreadsheets/d/11923uPwbBZFjjGgGUA6NLw09EwE0CqkOc4q9oUmW1yo/edit?usp=sharing"",""พะเยา!J378"")"),0)</f>
        <v>0</v>
      </c>
      <c r="AI22" s="552">
        <f ca="1">IFERROR(__xludf.DUMMYFUNCTION("IMPORTRANGE(""https://docs.google.com/spreadsheets/d/11923uPwbBZFjjGgGUA6NLw09EwE0CqkOc4q9oUmW1yo/edit?usp=sharing"",""พะเยา!J379"")"),0)</f>
        <v>0</v>
      </c>
      <c r="AJ22" s="552">
        <f ca="1">IFERROR(__xludf.DUMMYFUNCTION("IMPORTRANGE(""https://docs.google.com/spreadsheets/d/11923uPwbBZFjjGgGUA6NLw09EwE0CqkOc4q9oUmW1yo/edit?usp=sharing"",""พะเยา!J380"")"),0)</f>
        <v>0</v>
      </c>
      <c r="AK22" s="552">
        <f ca="1">IFERROR(__xludf.DUMMYFUNCTION("IMPORTRANGE(""https://docs.google.com/spreadsheets/d/11923uPwbBZFjjGgGUA6NLw09EwE0CqkOc4q9oUmW1yo/edit?usp=sharing"",""พะเยา!J381"")"),0)</f>
        <v>0</v>
      </c>
      <c r="AL22" s="552">
        <f ca="1">IFERROR(__xludf.DUMMYFUNCTION("IMPORTRANGE(""https://docs.google.com/spreadsheets/d/11923uPwbBZFjjGgGUA6NLw09EwE0CqkOc4q9oUmW1yo/edit?usp=sharing"",""พะเยา!J384"")"),0)</f>
        <v>0</v>
      </c>
      <c r="AM22" s="552">
        <f ca="1">IFERROR(__xludf.DUMMYFUNCTION("IMPORTRANGE(""https://docs.google.com/spreadsheets/d/11923uPwbBZFjjGgGUA6NLw09EwE0CqkOc4q9oUmW1yo/edit?usp=sharing"",""พะเยา!J385"")"),0)</f>
        <v>0</v>
      </c>
      <c r="AN22" s="552">
        <f ca="1">IFERROR(__xludf.DUMMYFUNCTION("IMPORTRANGE(""https://docs.google.com/spreadsheets/d/11923uPwbBZFjjGgGUA6NLw09EwE0CqkOc4q9oUmW1yo/edit?usp=sharing"",""พะเยา!J386"")"),0)</f>
        <v>0</v>
      </c>
      <c r="AO22" s="552">
        <f ca="1">IFERROR(__xludf.DUMMYFUNCTION("IMPORTRANGE(""https://docs.google.com/spreadsheets/d/11923uPwbBZFjjGgGUA6NLw09EwE0CqkOc4q9oUmW1yo/edit?usp=sharing"",""พะเยา!J387"")"),0)</f>
        <v>0</v>
      </c>
      <c r="AP22" s="552">
        <f ca="1">IFERROR(__xludf.DUMMYFUNCTION("IMPORTRANGE(""https://docs.google.com/spreadsheets/d/11923uPwbBZFjjGgGUA6NLw09EwE0CqkOc4q9oUmW1yo/edit?usp=sharing"",""พะเยา!J388"")"),0)</f>
        <v>0</v>
      </c>
      <c r="AQ22" s="552">
        <f ca="1">IFERROR(__xludf.DUMMYFUNCTION("IMPORTRANGE(""https://docs.google.com/spreadsheets/d/11923uPwbBZFjjGgGUA6NLw09EwE0CqkOc4q9oUmW1yo/edit?usp=sharing"",""พะเยา!J389"")"),0)</f>
        <v>0</v>
      </c>
      <c r="AR22" s="552">
        <f ca="1">IFERROR(__xludf.DUMMYFUNCTION("IMPORTRANGE(""https://docs.google.com/spreadsheets/d/11923uPwbBZFjjGgGUA6NLw09EwE0CqkOc4q9oUmW1yo/edit?usp=sharing"",""พะเยา!J390"")"),0)</f>
        <v>0</v>
      </c>
      <c r="AS22" s="552">
        <f ca="1">IFERROR(__xludf.DUMMYFUNCTION("IMPORTRANGE(""https://docs.google.com/spreadsheets/d/11923uPwbBZFjjGgGUA6NLw09EwE0CqkOc4q9oUmW1yo/edit?usp=sharing"",""พะเยา!J391"")"),0)</f>
        <v>0</v>
      </c>
      <c r="AT22" s="556">
        <f ca="1">IFERROR(__xludf.DUMMYFUNCTION("IMPORTRANGE(""https://docs.google.com/spreadsheets/d/1C3CXT74ZlgGe6_JY_1olB1XN4rF0dxEuIIF-xsYjHgg/edit?usp=sharing"",""งบกองทุน!CD26"")"),100)</f>
        <v>100</v>
      </c>
      <c r="AU22" s="556">
        <f ca="1">IFERROR(__xludf.DUMMYFUNCTION("IMPORTRANGE(""https://docs.google.com/spreadsheets/d/1C3CXT74ZlgGe6_JY_1olB1XN4rF0dxEuIIF-xsYjHgg/edit?usp=sharing"",""งบกองทุน!CC26"")"),20)</f>
        <v>20</v>
      </c>
      <c r="AV22" s="556">
        <f t="shared" ca="1" si="68"/>
        <v>6</v>
      </c>
      <c r="AW22" s="556">
        <f t="shared" ca="1" si="12"/>
        <v>6</v>
      </c>
      <c r="AX22" s="556">
        <f t="shared" ca="1" si="69"/>
        <v>2</v>
      </c>
      <c r="AY22" s="556">
        <f t="shared" ca="1" si="13"/>
        <v>10</v>
      </c>
      <c r="AZ22" s="552">
        <f ca="1">IFERROR(__xludf.DUMMYFUNCTION("IMPORTRANGE(""https://docs.google.com/spreadsheets/d/11923uPwbBZFjjGgGUA6NLw09EwE0CqkOc4q9oUmW1yo/edit?usp=sharing"",""พะเยา!J397"")"),0)</f>
        <v>0</v>
      </c>
      <c r="BA22" s="552">
        <f ca="1">IFERROR(__xludf.DUMMYFUNCTION("IMPORTRANGE(""https://docs.google.com/spreadsheets/d/11923uPwbBZFjjGgGUA6NLw09EwE0CqkOc4q9oUmW1yo/edit?usp=sharing"",""พะเยา!J398"")"),0)</f>
        <v>0</v>
      </c>
      <c r="BB22" s="552">
        <f ca="1">IFERROR(__xludf.DUMMYFUNCTION("IMPORTRANGE(""https://docs.google.com/spreadsheets/d/11923uPwbBZFjjGgGUA6NLw09EwE0CqkOc4q9oUmW1yo/edit?usp=sharing"",""พะเยา!J399"")"),0)</f>
        <v>0</v>
      </c>
      <c r="BC22" s="552">
        <f ca="1">IFERROR(__xludf.DUMMYFUNCTION("IMPORTRANGE(""https://docs.google.com/spreadsheets/d/11923uPwbBZFjjGgGUA6NLw09EwE0CqkOc4q9oUmW1yo/edit?usp=sharing"",""พะเยา!J400"")"),0)</f>
        <v>0</v>
      </c>
      <c r="BD22" s="552">
        <f ca="1">IFERROR(__xludf.DUMMYFUNCTION("IMPORTRANGE(""https://docs.google.com/spreadsheets/d/11923uPwbBZFjjGgGUA6NLw09EwE0CqkOc4q9oUmW1yo/edit?usp=sharing"",""พะเยา!J401"")"),0)</f>
        <v>0</v>
      </c>
      <c r="BE22" s="552">
        <f ca="1">IFERROR(__xludf.DUMMYFUNCTION("IMPORTRANGE(""https://docs.google.com/spreadsheets/d/11923uPwbBZFjjGgGUA6NLw09EwE0CqkOc4q9oUmW1yo/edit?usp=sharing"",""พะเยา!J402"")"),0)</f>
        <v>0</v>
      </c>
      <c r="BF22" s="552">
        <f ca="1">IFERROR(__xludf.DUMMYFUNCTION("IMPORTRANGE(""https://docs.google.com/spreadsheets/d/11923uPwbBZFjjGgGUA6NLw09EwE0CqkOc4q9oUmW1yo/edit?usp=sharing"",""พะเยา!J405"")"),6)</f>
        <v>6</v>
      </c>
      <c r="BG22" s="552">
        <f ca="1">IFERROR(__xludf.DUMMYFUNCTION("IMPORTRANGE(""https://docs.google.com/spreadsheets/d/11923uPwbBZFjjGgGUA6NLw09EwE0CqkOc4q9oUmW1yo/edit?usp=sharing"",""พะเยา!J406"")"),2)</f>
        <v>2</v>
      </c>
      <c r="BH22" s="552">
        <f ca="1">IFERROR(__xludf.DUMMYFUNCTION("IMPORTRANGE(""https://docs.google.com/spreadsheets/d/11923uPwbBZFjjGgGUA6NLw09EwE0CqkOc4q9oUmW1yo/edit?usp=sharing"",""พะเยา!J407"")"),0)</f>
        <v>0</v>
      </c>
      <c r="BI22" s="552">
        <f ca="1">IFERROR(__xludf.DUMMYFUNCTION("IMPORTRANGE(""https://docs.google.com/spreadsheets/d/11923uPwbBZFjjGgGUA6NLw09EwE0CqkOc4q9oUmW1yo/edit?usp=sharing"",""พะเยา!J408"")"),0)</f>
        <v>0</v>
      </c>
      <c r="BJ22" s="552">
        <f ca="1">IFERROR(__xludf.DUMMYFUNCTION("IMPORTRANGE(""https://docs.google.com/spreadsheets/d/11923uPwbBZFjjGgGUA6NLw09EwE0CqkOc4q9oUmW1yo/edit?usp=sharing"",""พะเยา!J409"")"),0)</f>
        <v>0</v>
      </c>
      <c r="BK22" s="552">
        <f ca="1">IFERROR(__xludf.DUMMYFUNCTION("IMPORTRANGE(""https://docs.google.com/spreadsheets/d/11923uPwbBZFjjGgGUA6NLw09EwE0CqkOc4q9oUmW1yo/edit?usp=sharing"",""พะเยา!J410"")"),0)</f>
        <v>0</v>
      </c>
      <c r="BL22" s="556">
        <f ca="1">IFERROR(__xludf.DUMMYFUNCTION("IMPORTRANGE(""https://docs.google.com/spreadsheets/d/1C3CXT74ZlgGe6_JY_1olB1XN4rF0dxEuIIF-xsYjHgg/edit?usp=sharing"",""งบกองทุน!CZ26"")"),0)</f>
        <v>0</v>
      </c>
      <c r="BM22" s="556">
        <f ca="1">IFERROR(__xludf.DUMMYFUNCTION("IMPORTRANGE(""https://docs.google.com/spreadsheets/d/1C3CXT74ZlgGe6_JY_1olB1XN4rF0dxEuIIF-xsYjHgg/edit?usp=sharing"",""งบกองทุน!CY26"")"),0)</f>
        <v>0</v>
      </c>
      <c r="BN22" s="556">
        <f t="shared" ca="1" si="70"/>
        <v>0</v>
      </c>
      <c r="BO22" s="557">
        <f t="shared" ca="1" si="15"/>
        <v>0</v>
      </c>
      <c r="BP22" s="556">
        <f t="shared" ca="1" si="71"/>
        <v>0</v>
      </c>
      <c r="BQ22" s="557">
        <f t="shared" ca="1" si="16"/>
        <v>0</v>
      </c>
      <c r="BR22" s="552">
        <f ca="1">IFERROR(__xludf.DUMMYFUNCTION("IMPORTRANGE(""https://docs.google.com/spreadsheets/d/11923uPwbBZFjjGgGUA6NLw09EwE0CqkOc4q9oUmW1yo/edit?usp=sharing"",""พะเยา!J414"")"),0)</f>
        <v>0</v>
      </c>
      <c r="BS22" s="552">
        <f ca="1">IFERROR(__xludf.DUMMYFUNCTION("IMPORTRANGE(""https://docs.google.com/spreadsheets/d/11923uPwbBZFjjGgGUA6NLw09EwE0CqkOc4q9oUmW1yo/edit?usp=sharing"",""พะเยา!J415"")"),0)</f>
        <v>0</v>
      </c>
      <c r="BT22" s="552">
        <f ca="1">IFERROR(__xludf.DUMMYFUNCTION("IMPORTRANGE(""https://docs.google.com/spreadsheets/d/11923uPwbBZFjjGgGUA6NLw09EwE0CqkOc4q9oUmW1yo/edit?usp=sharing"",""พะเยา!J416"")"),0)</f>
        <v>0</v>
      </c>
      <c r="BU22" s="552">
        <f ca="1">IFERROR(__xludf.DUMMYFUNCTION("IMPORTRANGE(""https://docs.google.com/spreadsheets/d/11923uPwbBZFjjGgGUA6NLw09EwE0CqkOc4q9oUmW1yo/edit?usp=sharing"",""พะเยา!J417"")"),0)</f>
        <v>0</v>
      </c>
      <c r="BV22" s="552">
        <f ca="1">IFERROR(__xludf.DUMMYFUNCTION("IMPORTRANGE(""https://docs.google.com/spreadsheets/d/11923uPwbBZFjjGgGUA6NLw09EwE0CqkOc4q9oUmW1yo/edit?usp=sharing"",""พะเยา!J418"")"),6)</f>
        <v>6</v>
      </c>
      <c r="BW22" s="552">
        <f ca="1">IFERROR(__xludf.DUMMYFUNCTION("IMPORTRANGE(""https://docs.google.com/spreadsheets/d/11923uPwbBZFjjGgGUA6NLw09EwE0CqkOc4q9oUmW1yo/edit?usp=sharing"",""พะเยา!J419"")"),4)</f>
        <v>4</v>
      </c>
      <c r="BX22" s="556">
        <f t="shared" ca="1" si="72"/>
        <v>0</v>
      </c>
      <c r="BY22" s="557">
        <f t="shared" ca="1" si="18"/>
        <v>0</v>
      </c>
      <c r="BZ22" s="556">
        <f t="shared" ca="1" si="73"/>
        <v>0</v>
      </c>
      <c r="CA22" s="557">
        <f t="shared" ca="1" si="19"/>
        <v>0</v>
      </c>
      <c r="CB22" s="552">
        <f ca="1">IFERROR(__xludf.DUMMYFUNCTION("IMPORTRANGE(""https://docs.google.com/spreadsheets/d/11923uPwbBZFjjGgGUA6NLw09EwE0CqkOc4q9oUmW1yo/edit?usp=sharing"",""พะเยา!J422"")"),0)</f>
        <v>0</v>
      </c>
      <c r="CC22" s="552">
        <f ca="1">IFERROR(__xludf.DUMMYFUNCTION("IMPORTRANGE(""https://docs.google.com/spreadsheets/d/11923uPwbBZFjjGgGUA6NLw09EwE0CqkOc4q9oUmW1yo/edit?usp=sharing"",""พะเยา!J423"")"),0)</f>
        <v>0</v>
      </c>
      <c r="CD22" s="552">
        <f ca="1">IFERROR(__xludf.DUMMYFUNCTION("IMPORTRANGE(""https://docs.google.com/spreadsheets/d/11923uPwbBZFjjGgGUA6NLw09EwE0CqkOc4q9oUmW1yo/edit?usp=sharing"",""พะเยา!J424"")"),0)</f>
        <v>0</v>
      </c>
      <c r="CE22" s="552">
        <f ca="1">IFERROR(__xludf.DUMMYFUNCTION("IMPORTRANGE(""https://docs.google.com/spreadsheets/d/11923uPwbBZFjjGgGUA6NLw09EwE0CqkOc4q9oUmW1yo/edit?usp=sharing"",""พะเยา!J425"")"),0)</f>
        <v>0</v>
      </c>
      <c r="CF22" s="552">
        <f ca="1">IFERROR(__xludf.DUMMYFUNCTION("IMPORTRANGE(""https://docs.google.com/spreadsheets/d/11923uPwbBZFjjGgGUA6NLw09EwE0CqkOc4q9oUmW1yo/edit?usp=sharing"",""พะเยา!J426"")"),0)</f>
        <v>0</v>
      </c>
      <c r="CG22" s="558">
        <f ca="1">IFERROR(__xludf.DUMMYFUNCTION("IMPORTRANGE(""https://docs.google.com/spreadsheets/d/11923uPwbBZFjjGgGUA6NLw09EwE0CqkOc4q9oUmW1yo/edit?usp=sharing"",""พะเยา!J427"")"),0)</f>
        <v>0</v>
      </c>
    </row>
    <row r="23" spans="1:85" ht="21" customHeight="1">
      <c r="A23" s="549">
        <v>8</v>
      </c>
      <c r="B23" s="550" t="s">
        <v>47</v>
      </c>
      <c r="C23" s="551">
        <f t="shared" ca="1" si="61"/>
        <v>579537</v>
      </c>
      <c r="D23" s="552">
        <f ca="1">IFERROR(__xludf.DUMMYFUNCTION("IMPORTRANGE(""https://docs.google.com/spreadsheets/d/1C3CXT74ZlgGe6_JY_1olB1XN4rF0dxEuIIF-xsYjHgg/edit?usp=sharing"",""งบกองทุน!BC27"")"),0)</f>
        <v>0</v>
      </c>
      <c r="E23" s="553">
        <f ca="1">IFERROR(__xludf.DUMMYFUNCTION("IMPORTRANGE(""https://docs.google.com/spreadsheets/d/1C3CXT74ZlgGe6_JY_1olB1XN4rF0dxEuIIF-xsYjHgg/edit?usp=sharing"",""งบกองทุน!BD27"")"),579537)</f>
        <v>579537</v>
      </c>
      <c r="F23" s="554">
        <f ca="1">IFERROR(__xludf.DUMMYFUNCTION("IMPORTRANGE(""https://docs.google.com/spreadsheets/d/11923uPwbBZFjjGgGUA6NLw09EwE0CqkOc4q9oUmW1yo/edit?usp=sharing"",""พิจิตร!M352"")"),99996.78)</f>
        <v>99996.78</v>
      </c>
      <c r="G23" s="554">
        <f t="shared" ca="1" si="1"/>
        <v>17.254598067077684</v>
      </c>
      <c r="H23" s="555">
        <f ca="1">IFERROR(__xludf.DUMMYFUNCTION("IMPORTRANGE(""https://docs.google.com/spreadsheets/d/1C3CXT74ZlgGe6_JY_1olB1XN4rF0dxEuIIF-xsYjHgg/edit?usp=sharing"",""งบกองทุน!BE27"")"),77223)</f>
        <v>77223</v>
      </c>
      <c r="I23" s="555">
        <f ca="1">IFERROR(__xludf.DUMMYFUNCTION("IMPORTRANGE(""https://docs.google.com/spreadsheets/d/1C3CXT74ZlgGe6_JY_1olB1XN4rF0dxEuIIF-xsYjHgg/edit?usp=sharing"",""งบกองทุน!BF27"")"),7854)</f>
        <v>7854</v>
      </c>
      <c r="J23" s="552">
        <f t="shared" ca="1" si="62"/>
        <v>77224</v>
      </c>
      <c r="K23" s="554">
        <f t="shared" ca="1" si="3"/>
        <v>100.00129495098611</v>
      </c>
      <c r="L23" s="552">
        <f t="shared" ca="1" si="63"/>
        <v>7854</v>
      </c>
      <c r="M23" s="554">
        <f t="shared" ca="1" si="4"/>
        <v>100</v>
      </c>
      <c r="N23" s="552">
        <f ca="1">IFERROR(__xludf.DUMMYFUNCTION("IMPORTRANGE(""https://docs.google.com/spreadsheets/d/11923uPwbBZFjjGgGUA6NLw09EwE0CqkOc4q9oUmW1yo/edit?usp=sharing"",""พิจิตร!J362"")"),59899)</f>
        <v>59899</v>
      </c>
      <c r="O23" s="552">
        <f ca="1">IFERROR(__xludf.DUMMYFUNCTION("IMPORTRANGE(""https://docs.google.com/spreadsheets/d/11923uPwbBZFjjGgGUA6NLw09EwE0CqkOc4q9oUmW1yo/edit?usp=sharing"",""พิจิตร!J363"")"),6624)</f>
        <v>6624</v>
      </c>
      <c r="P23" s="552">
        <f ca="1">IFERROR(__xludf.DUMMYFUNCTION("IMPORTRANGE(""https://docs.google.com/spreadsheets/d/11923uPwbBZFjjGgGUA6NLw09EwE0CqkOc4q9oUmW1yo/edit?usp=sharing"",""พิจิตร!J364"")"),14730)</f>
        <v>14730</v>
      </c>
      <c r="Q23" s="552">
        <f ca="1">IFERROR(__xludf.DUMMYFUNCTION("IMPORTRANGE(""https://docs.google.com/spreadsheets/d/11923uPwbBZFjjGgGUA6NLw09EwE0CqkOc4q9oUmW1yo/edit?usp=sharing"",""พิจิตร!J365"")"),1018)</f>
        <v>1018</v>
      </c>
      <c r="R23" s="552">
        <f ca="1">IFERROR(__xludf.DUMMYFUNCTION("IMPORTRANGE(""https://docs.google.com/spreadsheets/d/11923uPwbBZFjjGgGUA6NLw09EwE0CqkOc4q9oUmW1yo/edit?usp=sharing"",""พิจิตร!J366"")"),2595)</f>
        <v>2595</v>
      </c>
      <c r="S23" s="552">
        <f ca="1">IFERROR(__xludf.DUMMYFUNCTION("IMPORTRANGE(""https://docs.google.com/spreadsheets/d/11923uPwbBZFjjGgGUA6NLw09EwE0CqkOc4q9oUmW1yo/edit?usp=sharing"",""พิจิตร!J367"")"),212)</f>
        <v>212</v>
      </c>
      <c r="T23" s="552">
        <f t="shared" ca="1" si="64"/>
        <v>77224</v>
      </c>
      <c r="U23" s="552">
        <f t="shared" ca="1" si="6"/>
        <v>100.00129495098611</v>
      </c>
      <c r="V23" s="552">
        <f t="shared" ca="1" si="65"/>
        <v>7854</v>
      </c>
      <c r="W23" s="552">
        <f t="shared" ca="1" si="7"/>
        <v>100</v>
      </c>
      <c r="X23" s="552">
        <f ca="1">IFERROR(__xludf.DUMMYFUNCTION("IMPORTRANGE(""https://docs.google.com/spreadsheets/d/11923uPwbBZFjjGgGUA6NLw09EwE0CqkOc4q9oUmW1yo/edit?usp=sharing"",""พิจิตร!J370"")"),59899)</f>
        <v>59899</v>
      </c>
      <c r="Y23" s="552">
        <f ca="1">IFERROR(__xludf.DUMMYFUNCTION("IMPORTRANGE(""https://docs.google.com/spreadsheets/d/11923uPwbBZFjjGgGUA6NLw09EwE0CqkOc4q9oUmW1yo/edit?usp=sharing"",""พิจิตร!J371"")"),6624)</f>
        <v>6624</v>
      </c>
      <c r="Z23" s="552">
        <f ca="1">IFERROR(__xludf.DUMMYFUNCTION("IMPORTRANGE(""https://docs.google.com/spreadsheets/d/11923uPwbBZFjjGgGUA6NLw09EwE0CqkOc4q9oUmW1yo/edit?usp=sharing"",""พิจิตร!J372"")"),14730)</f>
        <v>14730</v>
      </c>
      <c r="AA23" s="552">
        <f ca="1">IFERROR(__xludf.DUMMYFUNCTION("IMPORTRANGE(""https://docs.google.com/spreadsheets/d/11923uPwbBZFjjGgGUA6NLw09EwE0CqkOc4q9oUmW1yo/edit?usp=sharing"",""พิจิตร!J373"")"),1018)</f>
        <v>1018</v>
      </c>
      <c r="AB23" s="552">
        <f ca="1">IFERROR(__xludf.DUMMYFUNCTION("IMPORTRANGE(""https://docs.google.com/spreadsheets/d/11923uPwbBZFjjGgGUA6NLw09EwE0CqkOc4q9oUmW1yo/edit?usp=sharing"",""พิจิตร!J374"")"),2595)</f>
        <v>2595</v>
      </c>
      <c r="AC23" s="552">
        <f ca="1">IFERROR(__xludf.DUMMYFUNCTION("IMPORTRANGE(""https://docs.google.com/spreadsheets/d/11923uPwbBZFjjGgGUA6NLw09EwE0CqkOc4q9oUmW1yo/edit?usp=sharing"",""พิจิตร!J375"")"),212)</f>
        <v>212</v>
      </c>
      <c r="AD23" s="552">
        <f t="shared" ca="1" si="66"/>
        <v>77224</v>
      </c>
      <c r="AE23" s="554">
        <f t="shared" ca="1" si="9"/>
        <v>100.00129495098611</v>
      </c>
      <c r="AF23" s="552">
        <f t="shared" ca="1" si="67"/>
        <v>7854</v>
      </c>
      <c r="AG23" s="554">
        <f t="shared" ca="1" si="10"/>
        <v>100</v>
      </c>
      <c r="AH23" s="552">
        <f ca="1">IFERROR(__xludf.DUMMYFUNCTION("IMPORTRANGE(""https://docs.google.com/spreadsheets/d/11923uPwbBZFjjGgGUA6NLw09EwE0CqkOc4q9oUmW1yo/edit?usp=sharing"",""พิจิตร!J378"")"),59899)</f>
        <v>59899</v>
      </c>
      <c r="AI23" s="552">
        <f ca="1">IFERROR(__xludf.DUMMYFUNCTION("IMPORTRANGE(""https://docs.google.com/spreadsheets/d/11923uPwbBZFjjGgGUA6NLw09EwE0CqkOc4q9oUmW1yo/edit?usp=sharing"",""พิจิตร!J379"")"),6624)</f>
        <v>6624</v>
      </c>
      <c r="AJ23" s="552">
        <f ca="1">IFERROR(__xludf.DUMMYFUNCTION("IMPORTRANGE(""https://docs.google.com/spreadsheets/d/11923uPwbBZFjjGgGUA6NLw09EwE0CqkOc4q9oUmW1yo/edit?usp=sharing"",""พิจิตร!J380"")"),14730)</f>
        <v>14730</v>
      </c>
      <c r="AK23" s="552">
        <f ca="1">IFERROR(__xludf.DUMMYFUNCTION("IMPORTRANGE(""https://docs.google.com/spreadsheets/d/11923uPwbBZFjjGgGUA6NLw09EwE0CqkOc4q9oUmW1yo/edit?usp=sharing"",""พิจิตร!J381"")"),1018)</f>
        <v>1018</v>
      </c>
      <c r="AL23" s="552">
        <f ca="1">IFERROR(__xludf.DUMMYFUNCTION("IMPORTRANGE(""https://docs.google.com/spreadsheets/d/11923uPwbBZFjjGgGUA6NLw09EwE0CqkOc4q9oUmW1yo/edit?usp=sharing"",""พิจิตร!J384"")"),2552)</f>
        <v>2552</v>
      </c>
      <c r="AM23" s="552">
        <f ca="1">IFERROR(__xludf.DUMMYFUNCTION("IMPORTRANGE(""https://docs.google.com/spreadsheets/d/11923uPwbBZFjjGgGUA6NLw09EwE0CqkOc4q9oUmW1yo/edit?usp=sharing"",""พิจิตร!J385"")"),207)</f>
        <v>207</v>
      </c>
      <c r="AN23" s="552">
        <f ca="1">IFERROR(__xludf.DUMMYFUNCTION("IMPORTRANGE(""https://docs.google.com/spreadsheets/d/11923uPwbBZFjjGgGUA6NLw09EwE0CqkOc4q9oUmW1yo/edit?usp=sharing"",""พิจิตร!J386"")"),43)</f>
        <v>43</v>
      </c>
      <c r="AO23" s="552">
        <f ca="1">IFERROR(__xludf.DUMMYFUNCTION("IMPORTRANGE(""https://docs.google.com/spreadsheets/d/11923uPwbBZFjjGgGUA6NLw09EwE0CqkOc4q9oUmW1yo/edit?usp=sharing"",""พิจิตร!J387"")"),5)</f>
        <v>5</v>
      </c>
      <c r="AP23" s="552">
        <f ca="1">IFERROR(__xludf.DUMMYFUNCTION("IMPORTRANGE(""https://docs.google.com/spreadsheets/d/11923uPwbBZFjjGgGUA6NLw09EwE0CqkOc4q9oUmW1yo/edit?usp=sharing"",""พิจิตร!J388"")"),0)</f>
        <v>0</v>
      </c>
      <c r="AQ23" s="552">
        <f ca="1">IFERROR(__xludf.DUMMYFUNCTION("IMPORTRANGE(""https://docs.google.com/spreadsheets/d/11923uPwbBZFjjGgGUA6NLw09EwE0CqkOc4q9oUmW1yo/edit?usp=sharing"",""พิจิตร!J389"")"),0)</f>
        <v>0</v>
      </c>
      <c r="AR23" s="552">
        <f ca="1">IFERROR(__xludf.DUMMYFUNCTION("IMPORTRANGE(""https://docs.google.com/spreadsheets/d/11923uPwbBZFjjGgGUA6NLw09EwE0CqkOc4q9oUmW1yo/edit?usp=sharing"",""พิจิตร!J390"")"),0)</f>
        <v>0</v>
      </c>
      <c r="AS23" s="552">
        <f ca="1">IFERROR(__xludf.DUMMYFUNCTION("IMPORTRANGE(""https://docs.google.com/spreadsheets/d/11923uPwbBZFjjGgGUA6NLw09EwE0CqkOc4q9oUmW1yo/edit?usp=sharing"",""พิจิตร!J391"")"),0)</f>
        <v>0</v>
      </c>
      <c r="AT23" s="556">
        <f ca="1">IFERROR(__xludf.DUMMYFUNCTION("IMPORTRANGE(""https://docs.google.com/spreadsheets/d/1C3CXT74ZlgGe6_JY_1olB1XN4rF0dxEuIIF-xsYjHgg/edit?usp=sharing"",""งบกองทุน!CD27"")"),1124)</f>
        <v>1124</v>
      </c>
      <c r="AU23" s="556">
        <f ca="1">IFERROR(__xludf.DUMMYFUNCTION("IMPORTRANGE(""https://docs.google.com/spreadsheets/d/1C3CXT74ZlgGe6_JY_1olB1XN4rF0dxEuIIF-xsYjHgg/edit?usp=sharing"",""งบกองทุน!CC27"")"),58)</f>
        <v>58</v>
      </c>
      <c r="AV23" s="556">
        <f t="shared" ca="1" si="68"/>
        <v>0</v>
      </c>
      <c r="AW23" s="556">
        <f t="shared" ca="1" si="12"/>
        <v>0</v>
      </c>
      <c r="AX23" s="556">
        <f t="shared" ca="1" si="69"/>
        <v>0</v>
      </c>
      <c r="AY23" s="556">
        <f t="shared" ca="1" si="13"/>
        <v>0</v>
      </c>
      <c r="AZ23" s="552">
        <f ca="1">IFERROR(__xludf.DUMMYFUNCTION("IMPORTRANGE(""https://docs.google.com/spreadsheets/d/11923uPwbBZFjjGgGUA6NLw09EwE0CqkOc4q9oUmW1yo/edit?usp=sharing"",""พิจิตร!J397"")"),0)</f>
        <v>0</v>
      </c>
      <c r="BA23" s="552">
        <f ca="1">IFERROR(__xludf.DUMMYFUNCTION("IMPORTRANGE(""https://docs.google.com/spreadsheets/d/11923uPwbBZFjjGgGUA6NLw09EwE0CqkOc4q9oUmW1yo/edit?usp=sharing"",""พิจิตร!J398"")"),0)</f>
        <v>0</v>
      </c>
      <c r="BB23" s="552">
        <f ca="1">IFERROR(__xludf.DUMMYFUNCTION("IMPORTRANGE(""https://docs.google.com/spreadsheets/d/11923uPwbBZFjjGgGUA6NLw09EwE0CqkOc4q9oUmW1yo/edit?usp=sharing"",""พิจิตร!J399"")"),0)</f>
        <v>0</v>
      </c>
      <c r="BC23" s="552">
        <f ca="1">IFERROR(__xludf.DUMMYFUNCTION("IMPORTRANGE(""https://docs.google.com/spreadsheets/d/11923uPwbBZFjjGgGUA6NLw09EwE0CqkOc4q9oUmW1yo/edit?usp=sharing"",""พิจิตร!J400"")"),0)</f>
        <v>0</v>
      </c>
      <c r="BD23" s="552">
        <f ca="1">IFERROR(__xludf.DUMMYFUNCTION("IMPORTRANGE(""https://docs.google.com/spreadsheets/d/11923uPwbBZFjjGgGUA6NLw09EwE0CqkOc4q9oUmW1yo/edit?usp=sharing"",""พิจิตร!J401"")"),0)</f>
        <v>0</v>
      </c>
      <c r="BE23" s="552">
        <f ca="1">IFERROR(__xludf.DUMMYFUNCTION("IMPORTRANGE(""https://docs.google.com/spreadsheets/d/11923uPwbBZFjjGgGUA6NLw09EwE0CqkOc4q9oUmW1yo/edit?usp=sharing"",""พิจิตร!J402"")"),0)</f>
        <v>0</v>
      </c>
      <c r="BF23" s="552">
        <f ca="1">IFERROR(__xludf.DUMMYFUNCTION("IMPORTRANGE(""https://docs.google.com/spreadsheets/d/11923uPwbBZFjjGgGUA6NLw09EwE0CqkOc4q9oUmW1yo/edit?usp=sharing"",""พิจิตร!J405"")"),0)</f>
        <v>0</v>
      </c>
      <c r="BG23" s="552">
        <f ca="1">IFERROR(__xludf.DUMMYFUNCTION("IMPORTRANGE(""https://docs.google.com/spreadsheets/d/11923uPwbBZFjjGgGUA6NLw09EwE0CqkOc4q9oUmW1yo/edit?usp=sharing"",""พิจิตร!J406"")"),0)</f>
        <v>0</v>
      </c>
      <c r="BH23" s="552">
        <f ca="1">IFERROR(__xludf.DUMMYFUNCTION("IMPORTRANGE(""https://docs.google.com/spreadsheets/d/11923uPwbBZFjjGgGUA6NLw09EwE0CqkOc4q9oUmW1yo/edit?usp=sharing"",""พิจิตร!J407"")"),0)</f>
        <v>0</v>
      </c>
      <c r="BI23" s="552">
        <f ca="1">IFERROR(__xludf.DUMMYFUNCTION("IMPORTRANGE(""https://docs.google.com/spreadsheets/d/11923uPwbBZFjjGgGUA6NLw09EwE0CqkOc4q9oUmW1yo/edit?usp=sharing"",""พิจิตร!J408"")"),0)</f>
        <v>0</v>
      </c>
      <c r="BJ23" s="552">
        <f ca="1">IFERROR(__xludf.DUMMYFUNCTION("IMPORTRANGE(""https://docs.google.com/spreadsheets/d/11923uPwbBZFjjGgGUA6NLw09EwE0CqkOc4q9oUmW1yo/edit?usp=sharing"",""พิจิตร!J409"")"),0)</f>
        <v>0</v>
      </c>
      <c r="BK23" s="552">
        <f ca="1">IFERROR(__xludf.DUMMYFUNCTION("IMPORTRANGE(""https://docs.google.com/spreadsheets/d/11923uPwbBZFjjGgGUA6NLw09EwE0CqkOc4q9oUmW1yo/edit?usp=sharing"",""พิจิตร!J410"")"),0)</f>
        <v>0</v>
      </c>
      <c r="BL23" s="556">
        <f ca="1">IFERROR(__xludf.DUMMYFUNCTION("IMPORTRANGE(""https://docs.google.com/spreadsheets/d/1C3CXT74ZlgGe6_JY_1olB1XN4rF0dxEuIIF-xsYjHgg/edit?usp=sharing"",""งบกองทุน!CZ27"")"),0)</f>
        <v>0</v>
      </c>
      <c r="BM23" s="556">
        <f ca="1">IFERROR(__xludf.DUMMYFUNCTION("IMPORTRANGE(""https://docs.google.com/spreadsheets/d/1C3CXT74ZlgGe6_JY_1olB1XN4rF0dxEuIIF-xsYjHgg/edit?usp=sharing"",""งบกองทุน!CY27"")"),0)</f>
        <v>0</v>
      </c>
      <c r="BN23" s="556">
        <f t="shared" ca="1" si="70"/>
        <v>0</v>
      </c>
      <c r="BO23" s="557">
        <f t="shared" ca="1" si="15"/>
        <v>0</v>
      </c>
      <c r="BP23" s="556">
        <f t="shared" ca="1" si="71"/>
        <v>0</v>
      </c>
      <c r="BQ23" s="557">
        <f t="shared" ca="1" si="16"/>
        <v>0</v>
      </c>
      <c r="BR23" s="552">
        <f ca="1">IFERROR(__xludf.DUMMYFUNCTION("IMPORTRANGE(""https://docs.google.com/spreadsheets/d/11923uPwbBZFjjGgGUA6NLw09EwE0CqkOc4q9oUmW1yo/edit?usp=sharing"",""พิจิตร!J414"")"),0)</f>
        <v>0</v>
      </c>
      <c r="BS23" s="552">
        <f ca="1">IFERROR(__xludf.DUMMYFUNCTION("IMPORTRANGE(""https://docs.google.com/spreadsheets/d/11923uPwbBZFjjGgGUA6NLw09EwE0CqkOc4q9oUmW1yo/edit?usp=sharing"",""พิจิตร!J415"")"),0)</f>
        <v>0</v>
      </c>
      <c r="BT23" s="552">
        <f ca="1">IFERROR(__xludf.DUMMYFUNCTION("IMPORTRANGE(""https://docs.google.com/spreadsheets/d/11923uPwbBZFjjGgGUA6NLw09EwE0CqkOc4q9oUmW1yo/edit?usp=sharing"",""พิจิตร!J416"")"),0)</f>
        <v>0</v>
      </c>
      <c r="BU23" s="552">
        <f ca="1">IFERROR(__xludf.DUMMYFUNCTION("IMPORTRANGE(""https://docs.google.com/spreadsheets/d/11923uPwbBZFjjGgGUA6NLw09EwE0CqkOc4q9oUmW1yo/edit?usp=sharing"",""พิจิตร!J417"")"),0)</f>
        <v>0</v>
      </c>
      <c r="BV23" s="552">
        <f ca="1">IFERROR(__xludf.DUMMYFUNCTION("IMPORTRANGE(""https://docs.google.com/spreadsheets/d/11923uPwbBZFjjGgGUA6NLw09EwE0CqkOc4q9oUmW1yo/edit?usp=sharing"",""พิจิตร!J418"")"),106)</f>
        <v>106</v>
      </c>
      <c r="BW23" s="552">
        <f ca="1">IFERROR(__xludf.DUMMYFUNCTION("IMPORTRANGE(""https://docs.google.com/spreadsheets/d/11923uPwbBZFjjGgGUA6NLw09EwE0CqkOc4q9oUmW1yo/edit?usp=sharing"",""พิจิตร!J419"")"),30)</f>
        <v>30</v>
      </c>
      <c r="BX23" s="556">
        <f t="shared" ca="1" si="72"/>
        <v>0</v>
      </c>
      <c r="BY23" s="557">
        <f t="shared" ca="1" si="18"/>
        <v>0</v>
      </c>
      <c r="BZ23" s="556">
        <f t="shared" ca="1" si="73"/>
        <v>0</v>
      </c>
      <c r="CA23" s="557">
        <f t="shared" ca="1" si="19"/>
        <v>0</v>
      </c>
      <c r="CB23" s="552">
        <f ca="1">IFERROR(__xludf.DUMMYFUNCTION("IMPORTRANGE(""https://docs.google.com/spreadsheets/d/11923uPwbBZFjjGgGUA6NLw09EwE0CqkOc4q9oUmW1yo/edit?usp=sharing"",""พิจิตร!J422"")"),0)</f>
        <v>0</v>
      </c>
      <c r="CC23" s="552">
        <f ca="1">IFERROR(__xludf.DUMMYFUNCTION("IMPORTRANGE(""https://docs.google.com/spreadsheets/d/11923uPwbBZFjjGgGUA6NLw09EwE0CqkOc4q9oUmW1yo/edit?usp=sharing"",""พิจิตร!J423"")"),0)</f>
        <v>0</v>
      </c>
      <c r="CD23" s="552">
        <f ca="1">IFERROR(__xludf.DUMMYFUNCTION("IMPORTRANGE(""https://docs.google.com/spreadsheets/d/11923uPwbBZFjjGgGUA6NLw09EwE0CqkOc4q9oUmW1yo/edit?usp=sharing"",""พิจิตร!J424"")"),0)</f>
        <v>0</v>
      </c>
      <c r="CE23" s="552">
        <f ca="1">IFERROR(__xludf.DUMMYFUNCTION("IMPORTRANGE(""https://docs.google.com/spreadsheets/d/11923uPwbBZFjjGgGUA6NLw09EwE0CqkOc4q9oUmW1yo/edit?usp=sharing"",""พิจิตร!J425"")"),0)</f>
        <v>0</v>
      </c>
      <c r="CF23" s="552">
        <f ca="1">IFERROR(__xludf.DUMMYFUNCTION("IMPORTRANGE(""https://docs.google.com/spreadsheets/d/11923uPwbBZFjjGgGUA6NLw09EwE0CqkOc4q9oUmW1yo/edit?usp=sharing"",""พิจิตร!J426"")"),0)</f>
        <v>0</v>
      </c>
      <c r="CG23" s="558">
        <f ca="1">IFERROR(__xludf.DUMMYFUNCTION("IMPORTRANGE(""https://docs.google.com/spreadsheets/d/11923uPwbBZFjjGgGUA6NLw09EwE0CqkOc4q9oUmW1yo/edit?usp=sharing"",""พิจิตร!J427"")"),0)</f>
        <v>0</v>
      </c>
    </row>
    <row r="24" spans="1:85" ht="21" customHeight="1">
      <c r="A24" s="549">
        <v>9</v>
      </c>
      <c r="B24" s="550" t="s">
        <v>48</v>
      </c>
      <c r="C24" s="551">
        <f t="shared" ca="1" si="61"/>
        <v>513545</v>
      </c>
      <c r="D24" s="552">
        <f ca="1">IFERROR(__xludf.DUMMYFUNCTION("IMPORTRANGE(""https://docs.google.com/spreadsheets/d/1C3CXT74ZlgGe6_JY_1olB1XN4rF0dxEuIIF-xsYjHgg/edit?usp=sharing"",""งบกองทุน!BC28"")"),0)</f>
        <v>0</v>
      </c>
      <c r="E24" s="553">
        <f ca="1">IFERROR(__xludf.DUMMYFUNCTION("IMPORTRANGE(""https://docs.google.com/spreadsheets/d/1C3CXT74ZlgGe6_JY_1olB1XN4rF0dxEuIIF-xsYjHgg/edit?usp=sharing"",""งบกองทุน!BD28"")"),513545)</f>
        <v>513545</v>
      </c>
      <c r="F24" s="554">
        <f ca="1">IFERROR(__xludf.DUMMYFUNCTION("IMPORTRANGE(""https://docs.google.com/spreadsheets/d/11923uPwbBZFjjGgGUA6NLw09EwE0CqkOc4q9oUmW1yo/edit?usp=sharing"",""พิษณุโลก!M352"")"),130828.25)</f>
        <v>130828.25</v>
      </c>
      <c r="G24" s="554">
        <f t="shared" ca="1" si="1"/>
        <v>25.475518211646495</v>
      </c>
      <c r="H24" s="555">
        <f ca="1">IFERROR(__xludf.DUMMYFUNCTION("IMPORTRANGE(""https://docs.google.com/spreadsheets/d/1C3CXT74ZlgGe6_JY_1olB1XN4rF0dxEuIIF-xsYjHgg/edit?usp=sharing"",""งบกองทุน!BE28"")"),63132)</f>
        <v>63132</v>
      </c>
      <c r="I24" s="555">
        <f ca="1">IFERROR(__xludf.DUMMYFUNCTION("IMPORTRANGE(""https://docs.google.com/spreadsheets/d/1C3CXT74ZlgGe6_JY_1olB1XN4rF0dxEuIIF-xsYjHgg/edit?usp=sharing"",""งบกองทุน!BF28"")"),5640)</f>
        <v>5640</v>
      </c>
      <c r="J24" s="552">
        <f t="shared" ca="1" si="62"/>
        <v>63131.95</v>
      </c>
      <c r="K24" s="554">
        <f t="shared" ca="1" si="3"/>
        <v>99.999920800861688</v>
      </c>
      <c r="L24" s="552">
        <f t="shared" ca="1" si="63"/>
        <v>5640</v>
      </c>
      <c r="M24" s="554">
        <f t="shared" ca="1" si="4"/>
        <v>100</v>
      </c>
      <c r="N24" s="552">
        <f ca="1">IFERROR(__xludf.DUMMYFUNCTION("IMPORTRANGE(""https://docs.google.com/spreadsheets/d/11923uPwbBZFjjGgGUA6NLw09EwE0CqkOc4q9oUmW1yo/edit?usp=sharing"",""พิษณุโลก!J362"")"),51945.1)</f>
        <v>51945.1</v>
      </c>
      <c r="O24" s="552">
        <f ca="1">IFERROR(__xludf.DUMMYFUNCTION("IMPORTRANGE(""https://docs.google.com/spreadsheets/d/11923uPwbBZFjjGgGUA6NLw09EwE0CqkOc4q9oUmW1yo/edit?usp=sharing"",""พิษณุโลก!J363"")"),4914)</f>
        <v>4914</v>
      </c>
      <c r="P24" s="552">
        <f ca="1">IFERROR(__xludf.DUMMYFUNCTION("IMPORTRANGE(""https://docs.google.com/spreadsheets/d/11923uPwbBZFjjGgGUA6NLw09EwE0CqkOc4q9oUmW1yo/edit?usp=sharing"",""พิษณุโลก!J364"")"),10408.85)</f>
        <v>10408.85</v>
      </c>
      <c r="Q24" s="552">
        <f ca="1">IFERROR(__xludf.DUMMYFUNCTION("IMPORTRANGE(""https://docs.google.com/spreadsheets/d/11923uPwbBZFjjGgGUA6NLw09EwE0CqkOc4q9oUmW1yo/edit?usp=sharing"",""พิษณุโลก!J365"")"),655)</f>
        <v>655</v>
      </c>
      <c r="R24" s="552">
        <f ca="1">IFERROR(__xludf.DUMMYFUNCTION("IMPORTRANGE(""https://docs.google.com/spreadsheets/d/11923uPwbBZFjjGgGUA6NLw09EwE0CqkOc4q9oUmW1yo/edit?usp=sharing"",""พิษณุโลก!J366"")"),778)</f>
        <v>778</v>
      </c>
      <c r="S24" s="552">
        <f ca="1">IFERROR(__xludf.DUMMYFUNCTION("IMPORTRANGE(""https://docs.google.com/spreadsheets/d/11923uPwbBZFjjGgGUA6NLw09EwE0CqkOc4q9oUmW1yo/edit?usp=sharing"",""พิษณุโลก!J367"")"),71)</f>
        <v>71</v>
      </c>
      <c r="T24" s="552">
        <f t="shared" ca="1" si="64"/>
        <v>63134</v>
      </c>
      <c r="U24" s="552">
        <f t="shared" ca="1" si="6"/>
        <v>100.00316796553254</v>
      </c>
      <c r="V24" s="552">
        <f t="shared" ca="1" si="65"/>
        <v>5640</v>
      </c>
      <c r="W24" s="552">
        <f t="shared" ca="1" si="7"/>
        <v>100</v>
      </c>
      <c r="X24" s="552">
        <f ca="1">IFERROR(__xludf.DUMMYFUNCTION("IMPORTRANGE(""https://docs.google.com/spreadsheets/d/11923uPwbBZFjjGgGUA6NLw09EwE0CqkOc4q9oUmW1yo/edit?usp=sharing"",""พิษณุโลก!J370"")"),53483)</f>
        <v>53483</v>
      </c>
      <c r="Y24" s="552">
        <f ca="1">IFERROR(__xludf.DUMMYFUNCTION("IMPORTRANGE(""https://docs.google.com/spreadsheets/d/11923uPwbBZFjjGgGUA6NLw09EwE0CqkOc4q9oUmW1yo/edit?usp=sharing"",""พิษณุโลก!J371"")"),5014)</f>
        <v>5014</v>
      </c>
      <c r="Z24" s="552">
        <f ca="1">IFERROR(__xludf.DUMMYFUNCTION("IMPORTRANGE(""https://docs.google.com/spreadsheets/d/11923uPwbBZFjjGgGUA6NLw09EwE0CqkOc4q9oUmW1yo/edit?usp=sharing"",""พิษณุโลก!J372"")"),8691)</f>
        <v>8691</v>
      </c>
      <c r="AA24" s="552">
        <f ca="1">IFERROR(__xludf.DUMMYFUNCTION("IMPORTRANGE(""https://docs.google.com/spreadsheets/d/11923uPwbBZFjjGgGUA6NLw09EwE0CqkOc4q9oUmW1yo/edit?usp=sharing"",""พิษณุโลก!J373"")"),529)</f>
        <v>529</v>
      </c>
      <c r="AB24" s="552">
        <f ca="1">IFERROR(__xludf.DUMMYFUNCTION("IMPORTRANGE(""https://docs.google.com/spreadsheets/d/11923uPwbBZFjjGgGUA6NLw09EwE0CqkOc4q9oUmW1yo/edit?usp=sharing"",""พิษณุโลก!J374"")"),960)</f>
        <v>960</v>
      </c>
      <c r="AC24" s="552">
        <f ca="1">IFERROR(__xludf.DUMMYFUNCTION("IMPORTRANGE(""https://docs.google.com/spreadsheets/d/11923uPwbBZFjjGgGUA6NLw09EwE0CqkOc4q9oUmW1yo/edit?usp=sharing"",""พิษณุโลก!J375"")"),97)</f>
        <v>97</v>
      </c>
      <c r="AD24" s="552">
        <f t="shared" ca="1" si="66"/>
        <v>0</v>
      </c>
      <c r="AE24" s="554">
        <f t="shared" ca="1" si="9"/>
        <v>0</v>
      </c>
      <c r="AF24" s="552">
        <f t="shared" ca="1" si="67"/>
        <v>0</v>
      </c>
      <c r="AG24" s="554">
        <f t="shared" ca="1" si="10"/>
        <v>0</v>
      </c>
      <c r="AH24" s="552">
        <f ca="1">IFERROR(__xludf.DUMMYFUNCTION("IMPORTRANGE(""https://docs.google.com/spreadsheets/d/11923uPwbBZFjjGgGUA6NLw09EwE0CqkOc4q9oUmW1yo/edit?usp=sharing"",""พิษณุโลก!J378"")"),0)</f>
        <v>0</v>
      </c>
      <c r="AI24" s="552">
        <f ca="1">IFERROR(__xludf.DUMMYFUNCTION("IMPORTRANGE(""https://docs.google.com/spreadsheets/d/11923uPwbBZFjjGgGUA6NLw09EwE0CqkOc4q9oUmW1yo/edit?usp=sharing"",""พิษณุโลก!J379"")"),0)</f>
        <v>0</v>
      </c>
      <c r="AJ24" s="552">
        <f ca="1">IFERROR(__xludf.DUMMYFUNCTION("IMPORTRANGE(""https://docs.google.com/spreadsheets/d/11923uPwbBZFjjGgGUA6NLw09EwE0CqkOc4q9oUmW1yo/edit?usp=sharing"",""พิษณุโลก!J380"")"),0)</f>
        <v>0</v>
      </c>
      <c r="AK24" s="552">
        <f ca="1">IFERROR(__xludf.DUMMYFUNCTION("IMPORTRANGE(""https://docs.google.com/spreadsheets/d/11923uPwbBZFjjGgGUA6NLw09EwE0CqkOc4q9oUmW1yo/edit?usp=sharing"",""พิษณุโลก!J381"")"),0)</f>
        <v>0</v>
      </c>
      <c r="AL24" s="552">
        <f ca="1">IFERROR(__xludf.DUMMYFUNCTION("IMPORTRANGE(""https://docs.google.com/spreadsheets/d/11923uPwbBZFjjGgGUA6NLw09EwE0CqkOc4q9oUmW1yo/edit?usp=sharing"",""พิษณุโลก!J384"")"),0)</f>
        <v>0</v>
      </c>
      <c r="AM24" s="552">
        <f ca="1">IFERROR(__xludf.DUMMYFUNCTION("IMPORTRANGE(""https://docs.google.com/spreadsheets/d/11923uPwbBZFjjGgGUA6NLw09EwE0CqkOc4q9oUmW1yo/edit?usp=sharing"",""พิษณุโลก!J385"")"),0)</f>
        <v>0</v>
      </c>
      <c r="AN24" s="552">
        <f ca="1">IFERROR(__xludf.DUMMYFUNCTION("IMPORTRANGE(""https://docs.google.com/spreadsheets/d/11923uPwbBZFjjGgGUA6NLw09EwE0CqkOc4q9oUmW1yo/edit?usp=sharing"",""พิษณุโลก!J386"")"),0)</f>
        <v>0</v>
      </c>
      <c r="AO24" s="552">
        <f ca="1">IFERROR(__xludf.DUMMYFUNCTION("IMPORTRANGE(""https://docs.google.com/spreadsheets/d/11923uPwbBZFjjGgGUA6NLw09EwE0CqkOc4q9oUmW1yo/edit?usp=sharing"",""พิษณุโลก!J387"")"),0)</f>
        <v>0</v>
      </c>
      <c r="AP24" s="552">
        <f ca="1">IFERROR(__xludf.DUMMYFUNCTION("IMPORTRANGE(""https://docs.google.com/spreadsheets/d/11923uPwbBZFjjGgGUA6NLw09EwE0CqkOc4q9oUmW1yo/edit?usp=sharing"",""พิษณุโลก!J388"")"),0)</f>
        <v>0</v>
      </c>
      <c r="AQ24" s="552">
        <f ca="1">IFERROR(__xludf.DUMMYFUNCTION("IMPORTRANGE(""https://docs.google.com/spreadsheets/d/11923uPwbBZFjjGgGUA6NLw09EwE0CqkOc4q9oUmW1yo/edit?usp=sharing"",""พิษณุโลก!J389"")"),0)</f>
        <v>0</v>
      </c>
      <c r="AR24" s="552">
        <f ca="1">IFERROR(__xludf.DUMMYFUNCTION("IMPORTRANGE(""https://docs.google.com/spreadsheets/d/11923uPwbBZFjjGgGUA6NLw09EwE0CqkOc4q9oUmW1yo/edit?usp=sharing"",""พิษณุโลก!J390"")"),0)</f>
        <v>0</v>
      </c>
      <c r="AS24" s="552">
        <f ca="1">IFERROR(__xludf.DUMMYFUNCTION("IMPORTRANGE(""https://docs.google.com/spreadsheets/d/11923uPwbBZFjjGgGUA6NLw09EwE0CqkOc4q9oUmW1yo/edit?usp=sharing"",""พิษณุโลก!J391"")"),0)</f>
        <v>0</v>
      </c>
      <c r="AT24" s="556">
        <f ca="1">IFERROR(__xludf.DUMMYFUNCTION("IMPORTRANGE(""https://docs.google.com/spreadsheets/d/1C3CXT74ZlgGe6_JY_1olB1XN4rF0dxEuIIF-xsYjHgg/edit?usp=sharing"",""งบกองทุน!CD28"")"),1774)</f>
        <v>1774</v>
      </c>
      <c r="AU24" s="556">
        <f ca="1">IFERROR(__xludf.DUMMYFUNCTION("IMPORTRANGE(""https://docs.google.com/spreadsheets/d/1C3CXT74ZlgGe6_JY_1olB1XN4rF0dxEuIIF-xsYjHgg/edit?usp=sharing"",""งบกองทุน!CC28"")"),106)</f>
        <v>106</v>
      </c>
      <c r="AV24" s="556">
        <f t="shared" ca="1" si="68"/>
        <v>1025</v>
      </c>
      <c r="AW24" s="556">
        <f t="shared" ca="1" si="12"/>
        <v>57.779030439684327</v>
      </c>
      <c r="AX24" s="556">
        <f t="shared" ca="1" si="69"/>
        <v>64</v>
      </c>
      <c r="AY24" s="556">
        <f t="shared" ca="1" si="13"/>
        <v>60.377358490566039</v>
      </c>
      <c r="AZ24" s="552">
        <f ca="1">IFERROR(__xludf.DUMMYFUNCTION("IMPORTRANGE(""https://docs.google.com/spreadsheets/d/11923uPwbBZFjjGgGUA6NLw09EwE0CqkOc4q9oUmW1yo/edit?usp=sharing"",""พิษณุโลก!J397"")"),919)</f>
        <v>919</v>
      </c>
      <c r="BA24" s="552">
        <f ca="1">IFERROR(__xludf.DUMMYFUNCTION("IMPORTRANGE(""https://docs.google.com/spreadsheets/d/11923uPwbBZFjjGgGUA6NLw09EwE0CqkOc4q9oUmW1yo/edit?usp=sharing"",""พิษณุโลก!J398"")"),60)</f>
        <v>60</v>
      </c>
      <c r="BB24" s="552">
        <f ca="1">IFERROR(__xludf.DUMMYFUNCTION("IMPORTRANGE(""https://docs.google.com/spreadsheets/d/11923uPwbBZFjjGgGUA6NLw09EwE0CqkOc4q9oUmW1yo/edit?usp=sharing"",""พิษณุโลก!J399"")"),0)</f>
        <v>0</v>
      </c>
      <c r="BC24" s="552">
        <f ca="1">IFERROR(__xludf.DUMMYFUNCTION("IMPORTRANGE(""https://docs.google.com/spreadsheets/d/11923uPwbBZFjjGgGUA6NLw09EwE0CqkOc4q9oUmW1yo/edit?usp=sharing"",""พิษณุโลก!J400"")"),0)</f>
        <v>0</v>
      </c>
      <c r="BD24" s="552">
        <f ca="1">IFERROR(__xludf.DUMMYFUNCTION("IMPORTRANGE(""https://docs.google.com/spreadsheets/d/11923uPwbBZFjjGgGUA6NLw09EwE0CqkOc4q9oUmW1yo/edit?usp=sharing"",""พิษณุโลก!J401"")"),0)</f>
        <v>0</v>
      </c>
      <c r="BE24" s="552">
        <f ca="1">IFERROR(__xludf.DUMMYFUNCTION("IMPORTRANGE(""https://docs.google.com/spreadsheets/d/11923uPwbBZFjjGgGUA6NLw09EwE0CqkOc4q9oUmW1yo/edit?usp=sharing"",""พิษณุโลก!J402"")"),0)</f>
        <v>0</v>
      </c>
      <c r="BF24" s="552">
        <f ca="1">IFERROR(__xludf.DUMMYFUNCTION("IMPORTRANGE(""https://docs.google.com/spreadsheets/d/11923uPwbBZFjjGgGUA6NLw09EwE0CqkOc4q9oUmW1yo/edit?usp=sharing"",""พิษณุโลก!J405"")"),106)</f>
        <v>106</v>
      </c>
      <c r="BG24" s="552">
        <f ca="1">IFERROR(__xludf.DUMMYFUNCTION("IMPORTRANGE(""https://docs.google.com/spreadsheets/d/11923uPwbBZFjjGgGUA6NLw09EwE0CqkOc4q9oUmW1yo/edit?usp=sharing"",""พิษณุโลก!J406"")"),4)</f>
        <v>4</v>
      </c>
      <c r="BH24" s="552">
        <f ca="1">IFERROR(__xludf.DUMMYFUNCTION("IMPORTRANGE(""https://docs.google.com/spreadsheets/d/11923uPwbBZFjjGgGUA6NLw09EwE0CqkOc4q9oUmW1yo/edit?usp=sharing"",""พิษณุโลก!J407"")"),0)</f>
        <v>0</v>
      </c>
      <c r="BI24" s="552">
        <f ca="1">IFERROR(__xludf.DUMMYFUNCTION("IMPORTRANGE(""https://docs.google.com/spreadsheets/d/11923uPwbBZFjjGgGUA6NLw09EwE0CqkOc4q9oUmW1yo/edit?usp=sharing"",""พิษณุโลก!J408"")"),0)</f>
        <v>0</v>
      </c>
      <c r="BJ24" s="552">
        <f ca="1">IFERROR(__xludf.DUMMYFUNCTION("IMPORTRANGE(""https://docs.google.com/spreadsheets/d/11923uPwbBZFjjGgGUA6NLw09EwE0CqkOc4q9oUmW1yo/edit?usp=sharing"",""พิษณุโลก!J409"")"),0)</f>
        <v>0</v>
      </c>
      <c r="BK24" s="552">
        <f ca="1">IFERROR(__xludf.DUMMYFUNCTION("IMPORTRANGE(""https://docs.google.com/spreadsheets/d/11923uPwbBZFjjGgGUA6NLw09EwE0CqkOc4q9oUmW1yo/edit?usp=sharing"",""พิษณุโลก!J410"")"),0)</f>
        <v>0</v>
      </c>
      <c r="BL24" s="556">
        <f ca="1">IFERROR(__xludf.DUMMYFUNCTION("IMPORTRANGE(""https://docs.google.com/spreadsheets/d/1C3CXT74ZlgGe6_JY_1olB1XN4rF0dxEuIIF-xsYjHgg/edit?usp=sharing"",""งบกองทุน!CZ28"")"),0)</f>
        <v>0</v>
      </c>
      <c r="BM24" s="556">
        <f ca="1">IFERROR(__xludf.DUMMYFUNCTION("IMPORTRANGE(""https://docs.google.com/spreadsheets/d/1C3CXT74ZlgGe6_JY_1olB1XN4rF0dxEuIIF-xsYjHgg/edit?usp=sharing"",""งบกองทุน!CY28"")"),0)</f>
        <v>0</v>
      </c>
      <c r="BN24" s="556">
        <f t="shared" ca="1" si="70"/>
        <v>0</v>
      </c>
      <c r="BO24" s="557">
        <f t="shared" ca="1" si="15"/>
        <v>0</v>
      </c>
      <c r="BP24" s="556">
        <f t="shared" ca="1" si="71"/>
        <v>0</v>
      </c>
      <c r="BQ24" s="557">
        <f t="shared" ca="1" si="16"/>
        <v>0</v>
      </c>
      <c r="BR24" s="552">
        <f ca="1">IFERROR(__xludf.DUMMYFUNCTION("IMPORTRANGE(""https://docs.google.com/spreadsheets/d/11923uPwbBZFjjGgGUA6NLw09EwE0CqkOc4q9oUmW1yo/edit?usp=sharing"",""พิษณุโลก!J414"")"),0)</f>
        <v>0</v>
      </c>
      <c r="BS24" s="552">
        <f ca="1">IFERROR(__xludf.DUMMYFUNCTION("IMPORTRANGE(""https://docs.google.com/spreadsheets/d/11923uPwbBZFjjGgGUA6NLw09EwE0CqkOc4q9oUmW1yo/edit?usp=sharing"",""พิษณุโลก!J415"")"),0)</f>
        <v>0</v>
      </c>
      <c r="BT24" s="552">
        <f ca="1">IFERROR(__xludf.DUMMYFUNCTION("IMPORTRANGE(""https://docs.google.com/spreadsheets/d/11923uPwbBZFjjGgGUA6NLw09EwE0CqkOc4q9oUmW1yo/edit?usp=sharing"",""พิษณุโลก!J416"")"),0)</f>
        <v>0</v>
      </c>
      <c r="BU24" s="552">
        <f ca="1">IFERROR(__xludf.DUMMYFUNCTION("IMPORTRANGE(""https://docs.google.com/spreadsheets/d/11923uPwbBZFjjGgGUA6NLw09EwE0CqkOc4q9oUmW1yo/edit?usp=sharing"",""พิษณุโลก!J417"")"),0)</f>
        <v>0</v>
      </c>
      <c r="BV24" s="552">
        <f ca="1">IFERROR(__xludf.DUMMYFUNCTION("IMPORTRANGE(""https://docs.google.com/spreadsheets/d/11923uPwbBZFjjGgGUA6NLw09EwE0CqkOc4q9oUmW1yo/edit?usp=sharing"",""พิษณุโลก!J418"")"),22)</f>
        <v>22</v>
      </c>
      <c r="BW24" s="552">
        <f ca="1">IFERROR(__xludf.DUMMYFUNCTION("IMPORTRANGE(""https://docs.google.com/spreadsheets/d/11923uPwbBZFjjGgGUA6NLw09EwE0CqkOc4q9oUmW1yo/edit?usp=sharing"",""พิษณุโลก!J419"")"),2)</f>
        <v>2</v>
      </c>
      <c r="BX24" s="556">
        <f t="shared" ca="1" si="72"/>
        <v>0</v>
      </c>
      <c r="BY24" s="557">
        <f t="shared" ca="1" si="18"/>
        <v>0</v>
      </c>
      <c r="BZ24" s="556">
        <f t="shared" ca="1" si="73"/>
        <v>0</v>
      </c>
      <c r="CA24" s="557">
        <f t="shared" ca="1" si="19"/>
        <v>0</v>
      </c>
      <c r="CB24" s="552">
        <f ca="1">IFERROR(__xludf.DUMMYFUNCTION("IMPORTRANGE(""https://docs.google.com/spreadsheets/d/11923uPwbBZFjjGgGUA6NLw09EwE0CqkOc4q9oUmW1yo/edit?usp=sharing"",""พิษณุโลก!J422"")"),0)</f>
        <v>0</v>
      </c>
      <c r="CC24" s="552">
        <f ca="1">IFERROR(__xludf.DUMMYFUNCTION("IMPORTRANGE(""https://docs.google.com/spreadsheets/d/11923uPwbBZFjjGgGUA6NLw09EwE0CqkOc4q9oUmW1yo/edit?usp=sharing"",""พิษณุโลก!J423"")"),0)</f>
        <v>0</v>
      </c>
      <c r="CD24" s="552">
        <f ca="1">IFERROR(__xludf.DUMMYFUNCTION("IMPORTRANGE(""https://docs.google.com/spreadsheets/d/11923uPwbBZFjjGgGUA6NLw09EwE0CqkOc4q9oUmW1yo/edit?usp=sharing"",""พิษณุโลก!J424"")"),0)</f>
        <v>0</v>
      </c>
      <c r="CE24" s="552">
        <f ca="1">IFERROR(__xludf.DUMMYFUNCTION("IMPORTRANGE(""https://docs.google.com/spreadsheets/d/11923uPwbBZFjjGgGUA6NLw09EwE0CqkOc4q9oUmW1yo/edit?usp=sharing"",""พิษณุโลก!J425"")"),0)</f>
        <v>0</v>
      </c>
      <c r="CF24" s="552">
        <f ca="1">IFERROR(__xludf.DUMMYFUNCTION("IMPORTRANGE(""https://docs.google.com/spreadsheets/d/11923uPwbBZFjjGgGUA6NLw09EwE0CqkOc4q9oUmW1yo/edit?usp=sharing"",""พิษณุโลก!J426"")"),0)</f>
        <v>0</v>
      </c>
      <c r="CG24" s="558">
        <f ca="1">IFERROR(__xludf.DUMMYFUNCTION("IMPORTRANGE(""https://docs.google.com/spreadsheets/d/11923uPwbBZFjjGgGUA6NLw09EwE0CqkOc4q9oUmW1yo/edit?usp=sharing"",""พิษณุโลก!J427"")"),0)</f>
        <v>0</v>
      </c>
    </row>
    <row r="25" spans="1:85" ht="21" customHeight="1">
      <c r="A25" s="549">
        <v>10</v>
      </c>
      <c r="B25" s="550" t="s">
        <v>49</v>
      </c>
      <c r="C25" s="551">
        <f t="shared" ca="1" si="61"/>
        <v>527976</v>
      </c>
      <c r="D25" s="552">
        <f ca="1">IFERROR(__xludf.DUMMYFUNCTION("IMPORTRANGE(""https://docs.google.com/spreadsheets/d/1C3CXT74ZlgGe6_JY_1olB1XN4rF0dxEuIIF-xsYjHgg/edit?usp=sharing"",""งบกองทุน!BC29"")"),0)</f>
        <v>0</v>
      </c>
      <c r="E25" s="553">
        <f ca="1">IFERROR(__xludf.DUMMYFUNCTION("IMPORTRANGE(""https://docs.google.com/spreadsheets/d/1C3CXT74ZlgGe6_JY_1olB1XN4rF0dxEuIIF-xsYjHgg/edit?usp=sharing"",""งบกองทุน!BD29"")"),527976)</f>
        <v>527976</v>
      </c>
      <c r="F25" s="554">
        <f ca="1">IFERROR(__xludf.DUMMYFUNCTION("IMPORTRANGE(""https://docs.google.com/spreadsheets/d/11923uPwbBZFjjGgGUA6NLw09EwE0CqkOc4q9oUmW1yo/edit?usp=sharing"",""เพชรบูรณ์!M352"")"),100490)</f>
        <v>100490</v>
      </c>
      <c r="G25" s="554">
        <f t="shared" ca="1" si="1"/>
        <v>19.033062108883737</v>
      </c>
      <c r="H25" s="555">
        <f ca="1">IFERROR(__xludf.DUMMYFUNCTION("IMPORTRANGE(""https://docs.google.com/spreadsheets/d/1C3CXT74ZlgGe6_JY_1olB1XN4rF0dxEuIIF-xsYjHgg/edit?usp=sharing"",""งบกองทุน!BE29"")"),55704)</f>
        <v>55704</v>
      </c>
      <c r="I25" s="555">
        <f ca="1">IFERROR(__xludf.DUMMYFUNCTION("IMPORTRANGE(""https://docs.google.com/spreadsheets/d/1C3CXT74ZlgGe6_JY_1olB1XN4rF0dxEuIIF-xsYjHgg/edit?usp=sharing"",""งบกองทุน!BF29"")"),3219)</f>
        <v>3219</v>
      </c>
      <c r="J25" s="552">
        <f t="shared" ca="1" si="62"/>
        <v>55710</v>
      </c>
      <c r="K25" s="554">
        <f t="shared" ca="1" si="3"/>
        <v>100.01077121930203</v>
      </c>
      <c r="L25" s="552">
        <f t="shared" ca="1" si="63"/>
        <v>3219</v>
      </c>
      <c r="M25" s="554">
        <f t="shared" ca="1" si="4"/>
        <v>100</v>
      </c>
      <c r="N25" s="552">
        <f ca="1">IFERROR(__xludf.DUMMYFUNCTION("IMPORTRANGE(""https://docs.google.com/spreadsheets/d/11923uPwbBZFjjGgGUA6NLw09EwE0CqkOc4q9oUmW1yo/edit?usp=sharing"",""เพชรบูรณ์!J362"")"),34722)</f>
        <v>34722</v>
      </c>
      <c r="O25" s="552">
        <f ca="1">IFERROR(__xludf.DUMMYFUNCTION("IMPORTRANGE(""https://docs.google.com/spreadsheets/d/11923uPwbBZFjjGgGUA6NLw09EwE0CqkOc4q9oUmW1yo/edit?usp=sharing"",""เพชรบูรณ์!J363"")"),2238)</f>
        <v>2238</v>
      </c>
      <c r="P25" s="552">
        <f ca="1">IFERROR(__xludf.DUMMYFUNCTION("IMPORTRANGE(""https://docs.google.com/spreadsheets/d/11923uPwbBZFjjGgGUA6NLw09EwE0CqkOc4q9oUmW1yo/edit?usp=sharing"",""เพชรบูรณ์!J364"")"),19289)</f>
        <v>19289</v>
      </c>
      <c r="Q25" s="552">
        <f ca="1">IFERROR(__xludf.DUMMYFUNCTION("IMPORTRANGE(""https://docs.google.com/spreadsheets/d/11923uPwbBZFjjGgGUA6NLw09EwE0CqkOc4q9oUmW1yo/edit?usp=sharing"",""เพชรบูรณ์!J365"")"),896)</f>
        <v>896</v>
      </c>
      <c r="R25" s="552">
        <f ca="1">IFERROR(__xludf.DUMMYFUNCTION("IMPORTRANGE(""https://docs.google.com/spreadsheets/d/11923uPwbBZFjjGgGUA6NLw09EwE0CqkOc4q9oUmW1yo/edit?usp=sharing"",""เพชรบูรณ์!J366"")"),1699)</f>
        <v>1699</v>
      </c>
      <c r="S25" s="552">
        <f ca="1">IFERROR(__xludf.DUMMYFUNCTION("IMPORTRANGE(""https://docs.google.com/spreadsheets/d/11923uPwbBZFjjGgGUA6NLw09EwE0CqkOc4q9oUmW1yo/edit?usp=sharing"",""เพชรบูรณ์!J367"")"),85)</f>
        <v>85</v>
      </c>
      <c r="T25" s="552">
        <f t="shared" ca="1" si="64"/>
        <v>55710</v>
      </c>
      <c r="U25" s="552">
        <f t="shared" ca="1" si="6"/>
        <v>100.01077121930203</v>
      </c>
      <c r="V25" s="552">
        <f t="shared" ca="1" si="65"/>
        <v>3219</v>
      </c>
      <c r="W25" s="552">
        <f t="shared" ca="1" si="7"/>
        <v>100</v>
      </c>
      <c r="X25" s="552">
        <f ca="1">IFERROR(__xludf.DUMMYFUNCTION("IMPORTRANGE(""https://docs.google.com/spreadsheets/d/11923uPwbBZFjjGgGUA6NLw09EwE0CqkOc4q9oUmW1yo/edit?usp=sharing"",""เพชรบูรณ์!J370"")"),35956)</f>
        <v>35956</v>
      </c>
      <c r="Y25" s="552">
        <f ca="1">IFERROR(__xludf.DUMMYFUNCTION("IMPORTRANGE(""https://docs.google.com/spreadsheets/d/11923uPwbBZFjjGgGUA6NLw09EwE0CqkOc4q9oUmW1yo/edit?usp=sharing"",""เพชรบูรณ์!J371"")"),2315)</f>
        <v>2315</v>
      </c>
      <c r="Z25" s="552">
        <f ca="1">IFERROR(__xludf.DUMMYFUNCTION("IMPORTRANGE(""https://docs.google.com/spreadsheets/d/11923uPwbBZFjjGgGUA6NLw09EwE0CqkOc4q9oUmW1yo/edit?usp=sharing"",""เพชรบูรณ์!J372"")"),18014)</f>
        <v>18014</v>
      </c>
      <c r="AA25" s="552">
        <f ca="1">IFERROR(__xludf.DUMMYFUNCTION("IMPORTRANGE(""https://docs.google.com/spreadsheets/d/11923uPwbBZFjjGgGUA6NLw09EwE0CqkOc4q9oUmW1yo/edit?usp=sharing"",""เพชรบูรณ์!J373"")"),820)</f>
        <v>820</v>
      </c>
      <c r="AB25" s="552">
        <f ca="1">IFERROR(__xludf.DUMMYFUNCTION("IMPORTRANGE(""https://docs.google.com/spreadsheets/d/11923uPwbBZFjjGgGUA6NLw09EwE0CqkOc4q9oUmW1yo/edit?usp=sharing"",""เพชรบูรณ์!J374"")"),1740)</f>
        <v>1740</v>
      </c>
      <c r="AC25" s="552">
        <f ca="1">IFERROR(__xludf.DUMMYFUNCTION("IMPORTRANGE(""https://docs.google.com/spreadsheets/d/11923uPwbBZFjjGgGUA6NLw09EwE0CqkOc4q9oUmW1yo/edit?usp=sharing"",""เพชรบูรณ์!J375"")"),84)</f>
        <v>84</v>
      </c>
      <c r="AD25" s="552">
        <f t="shared" ca="1" si="66"/>
        <v>0</v>
      </c>
      <c r="AE25" s="554">
        <f t="shared" ca="1" si="9"/>
        <v>0</v>
      </c>
      <c r="AF25" s="552">
        <f t="shared" ca="1" si="67"/>
        <v>0</v>
      </c>
      <c r="AG25" s="554">
        <f t="shared" ca="1" si="10"/>
        <v>0</v>
      </c>
      <c r="AH25" s="552">
        <f ca="1">IFERROR(__xludf.DUMMYFUNCTION("IMPORTRANGE(""https://docs.google.com/spreadsheets/d/11923uPwbBZFjjGgGUA6NLw09EwE0CqkOc4q9oUmW1yo/edit?usp=sharing"",""เพชรบูรณ์!J378"")"),0)</f>
        <v>0</v>
      </c>
      <c r="AI25" s="552">
        <f ca="1">IFERROR(__xludf.DUMMYFUNCTION("IMPORTRANGE(""https://docs.google.com/spreadsheets/d/11923uPwbBZFjjGgGUA6NLw09EwE0CqkOc4q9oUmW1yo/edit?usp=sharing"",""เพชรบูรณ์!J379"")"),0)</f>
        <v>0</v>
      </c>
      <c r="AJ25" s="552">
        <f ca="1">IFERROR(__xludf.DUMMYFUNCTION("IMPORTRANGE(""https://docs.google.com/spreadsheets/d/11923uPwbBZFjjGgGUA6NLw09EwE0CqkOc4q9oUmW1yo/edit?usp=sharing"",""เพชรบูรณ์!J380"")"),0)</f>
        <v>0</v>
      </c>
      <c r="AK25" s="552">
        <f ca="1">IFERROR(__xludf.DUMMYFUNCTION("IMPORTRANGE(""https://docs.google.com/spreadsheets/d/11923uPwbBZFjjGgGUA6NLw09EwE0CqkOc4q9oUmW1yo/edit?usp=sharing"",""เพชรบูรณ์!J381"")"),0)</f>
        <v>0</v>
      </c>
      <c r="AL25" s="552">
        <f ca="1">IFERROR(__xludf.DUMMYFUNCTION("IMPORTRANGE(""https://docs.google.com/spreadsheets/d/11923uPwbBZFjjGgGUA6NLw09EwE0CqkOc4q9oUmW1yo/edit?usp=sharing"",""เพชรบูรณ์!J384"")"),0)</f>
        <v>0</v>
      </c>
      <c r="AM25" s="552">
        <f ca="1">IFERROR(__xludf.DUMMYFUNCTION("IMPORTRANGE(""https://docs.google.com/spreadsheets/d/11923uPwbBZFjjGgGUA6NLw09EwE0CqkOc4q9oUmW1yo/edit?usp=sharing"",""เพชรบูรณ์!J385"")"),0)</f>
        <v>0</v>
      </c>
      <c r="AN25" s="552">
        <f ca="1">IFERROR(__xludf.DUMMYFUNCTION("IMPORTRANGE(""https://docs.google.com/spreadsheets/d/11923uPwbBZFjjGgGUA6NLw09EwE0CqkOc4q9oUmW1yo/edit?usp=sharing"",""เพชรบูรณ์!J386"")"),0)</f>
        <v>0</v>
      </c>
      <c r="AO25" s="552">
        <f ca="1">IFERROR(__xludf.DUMMYFUNCTION("IMPORTRANGE(""https://docs.google.com/spreadsheets/d/11923uPwbBZFjjGgGUA6NLw09EwE0CqkOc4q9oUmW1yo/edit?usp=sharing"",""เพชรบูรณ์!J387"")"),0)</f>
        <v>0</v>
      </c>
      <c r="AP25" s="552">
        <f ca="1">IFERROR(__xludf.DUMMYFUNCTION("IMPORTRANGE(""https://docs.google.com/spreadsheets/d/11923uPwbBZFjjGgGUA6NLw09EwE0CqkOc4q9oUmW1yo/edit?usp=sharing"",""เพชรบูรณ์!J388"")"),0)</f>
        <v>0</v>
      </c>
      <c r="AQ25" s="552">
        <f ca="1">IFERROR(__xludf.DUMMYFUNCTION("IMPORTRANGE(""https://docs.google.com/spreadsheets/d/11923uPwbBZFjjGgGUA6NLw09EwE0CqkOc4q9oUmW1yo/edit?usp=sharing"",""เพชรบูรณ์!J389"")"),0)</f>
        <v>0</v>
      </c>
      <c r="AR25" s="552">
        <f ca="1">IFERROR(__xludf.DUMMYFUNCTION("IMPORTRANGE(""https://docs.google.com/spreadsheets/d/11923uPwbBZFjjGgGUA6NLw09EwE0CqkOc4q9oUmW1yo/edit?usp=sharing"",""เพชรบูรณ์!J390"")"),0)</f>
        <v>0</v>
      </c>
      <c r="AS25" s="552">
        <f ca="1">IFERROR(__xludf.DUMMYFUNCTION("IMPORTRANGE(""https://docs.google.com/spreadsheets/d/11923uPwbBZFjjGgGUA6NLw09EwE0CqkOc4q9oUmW1yo/edit?usp=sharing"",""เพชรบูรณ์!J391"")"),0)</f>
        <v>0</v>
      </c>
      <c r="AT25" s="556">
        <f ca="1">IFERROR(__xludf.DUMMYFUNCTION("IMPORTRANGE(""https://docs.google.com/spreadsheets/d/1C3CXT74ZlgGe6_JY_1olB1XN4rF0dxEuIIF-xsYjHgg/edit?usp=sharing"",""งบกองทุน!CD29"")"),3349)</f>
        <v>3349</v>
      </c>
      <c r="AU25" s="556">
        <f ca="1">IFERROR(__xludf.DUMMYFUNCTION("IMPORTRANGE(""https://docs.google.com/spreadsheets/d/1C3CXT74ZlgGe6_JY_1olB1XN4rF0dxEuIIF-xsYjHgg/edit?usp=sharing"",""งบกองทุน!CC29"")"),281)</f>
        <v>281</v>
      </c>
      <c r="AV25" s="556">
        <f t="shared" ca="1" si="68"/>
        <v>1140</v>
      </c>
      <c r="AW25" s="556">
        <f t="shared" ca="1" si="12"/>
        <v>34.040011943863838</v>
      </c>
      <c r="AX25" s="556">
        <f t="shared" ca="1" si="69"/>
        <v>92</v>
      </c>
      <c r="AY25" s="556">
        <f t="shared" ca="1" si="13"/>
        <v>32.740213523131672</v>
      </c>
      <c r="AZ25" s="552">
        <f ca="1">IFERROR(__xludf.DUMMYFUNCTION("IMPORTRANGE(""https://docs.google.com/spreadsheets/d/11923uPwbBZFjjGgGUA6NLw09EwE0CqkOc4q9oUmW1yo/edit?usp=sharing"",""เพชรบูรณ์!J397"")"),1025)</f>
        <v>1025</v>
      </c>
      <c r="BA25" s="552">
        <f ca="1">IFERROR(__xludf.DUMMYFUNCTION("IMPORTRANGE(""https://docs.google.com/spreadsheets/d/11923uPwbBZFjjGgGUA6NLw09EwE0CqkOc4q9oUmW1yo/edit?usp=sharing"",""เพชรบูรณ์!J398"")"),80)</f>
        <v>80</v>
      </c>
      <c r="BB25" s="552">
        <f ca="1">IFERROR(__xludf.DUMMYFUNCTION("IMPORTRANGE(""https://docs.google.com/spreadsheets/d/11923uPwbBZFjjGgGUA6NLw09EwE0CqkOc4q9oUmW1yo/edit?usp=sharing"",""เพชรบูรณ์!J399"")"),81)</f>
        <v>81</v>
      </c>
      <c r="BC25" s="552">
        <f ca="1">IFERROR(__xludf.DUMMYFUNCTION("IMPORTRANGE(""https://docs.google.com/spreadsheets/d/11923uPwbBZFjjGgGUA6NLw09EwE0CqkOc4q9oUmW1yo/edit?usp=sharing"",""เพชรบูรณ์!J400"")"),7)</f>
        <v>7</v>
      </c>
      <c r="BD25" s="552">
        <f ca="1">IFERROR(__xludf.DUMMYFUNCTION("IMPORTRANGE(""https://docs.google.com/spreadsheets/d/11923uPwbBZFjjGgGUA6NLw09EwE0CqkOc4q9oUmW1yo/edit?usp=sharing"",""เพชรบูรณ์!J401"")"),0)</f>
        <v>0</v>
      </c>
      <c r="BE25" s="552">
        <f ca="1">IFERROR(__xludf.DUMMYFUNCTION("IMPORTRANGE(""https://docs.google.com/spreadsheets/d/11923uPwbBZFjjGgGUA6NLw09EwE0CqkOc4q9oUmW1yo/edit?usp=sharing"",""เพชรบูรณ์!J402"")"),0)</f>
        <v>0</v>
      </c>
      <c r="BF25" s="552">
        <f ca="1">IFERROR(__xludf.DUMMYFUNCTION("IMPORTRANGE(""https://docs.google.com/spreadsheets/d/11923uPwbBZFjjGgGUA6NLw09EwE0CqkOc4q9oUmW1yo/edit?usp=sharing"",""เพชรบูรณ์!J405"")"),20)</f>
        <v>20</v>
      </c>
      <c r="BG25" s="552">
        <f ca="1">IFERROR(__xludf.DUMMYFUNCTION("IMPORTRANGE(""https://docs.google.com/spreadsheets/d/11923uPwbBZFjjGgGUA6NLw09EwE0CqkOc4q9oUmW1yo/edit?usp=sharing"",""เพชรบูรณ์!J406"")"),4)</f>
        <v>4</v>
      </c>
      <c r="BH25" s="552">
        <f ca="1">IFERROR(__xludf.DUMMYFUNCTION("IMPORTRANGE(""https://docs.google.com/spreadsheets/d/11923uPwbBZFjjGgGUA6NLw09EwE0CqkOc4q9oUmW1yo/edit?usp=sharing"",""เพชรบูรณ์!J407"")"),0)</f>
        <v>0</v>
      </c>
      <c r="BI25" s="552">
        <f ca="1">IFERROR(__xludf.DUMMYFUNCTION("IMPORTRANGE(""https://docs.google.com/spreadsheets/d/11923uPwbBZFjjGgGUA6NLw09EwE0CqkOc4q9oUmW1yo/edit?usp=sharing"",""เพชรบูรณ์!J408"")"),0)</f>
        <v>0</v>
      </c>
      <c r="BJ25" s="552">
        <f ca="1">IFERROR(__xludf.DUMMYFUNCTION("IMPORTRANGE(""https://docs.google.com/spreadsheets/d/11923uPwbBZFjjGgGUA6NLw09EwE0CqkOc4q9oUmW1yo/edit?usp=sharing"",""เพชรบูรณ์!J409"")"),14)</f>
        <v>14</v>
      </c>
      <c r="BK25" s="552">
        <f ca="1">IFERROR(__xludf.DUMMYFUNCTION("IMPORTRANGE(""https://docs.google.com/spreadsheets/d/11923uPwbBZFjjGgGUA6NLw09EwE0CqkOc4q9oUmW1yo/edit?usp=sharing"",""เพชรบูรณ์!J410"")"),1)</f>
        <v>1</v>
      </c>
      <c r="BL25" s="556">
        <f ca="1">IFERROR(__xludf.DUMMYFUNCTION("IMPORTRANGE(""https://docs.google.com/spreadsheets/d/1C3CXT74ZlgGe6_JY_1olB1XN4rF0dxEuIIF-xsYjHgg/edit?usp=sharing"",""งบกองทุน!CZ29"")"),0)</f>
        <v>0</v>
      </c>
      <c r="BM25" s="556">
        <f ca="1">IFERROR(__xludf.DUMMYFUNCTION("IMPORTRANGE(""https://docs.google.com/spreadsheets/d/1C3CXT74ZlgGe6_JY_1olB1XN4rF0dxEuIIF-xsYjHgg/edit?usp=sharing"",""งบกองทุน!CY29"")"),0)</f>
        <v>0</v>
      </c>
      <c r="BN25" s="556">
        <f t="shared" ca="1" si="70"/>
        <v>0</v>
      </c>
      <c r="BO25" s="557">
        <f t="shared" ca="1" si="15"/>
        <v>0</v>
      </c>
      <c r="BP25" s="556">
        <f t="shared" ca="1" si="71"/>
        <v>0</v>
      </c>
      <c r="BQ25" s="557">
        <f t="shared" ca="1" si="16"/>
        <v>0</v>
      </c>
      <c r="BR25" s="552">
        <f ca="1">IFERROR(__xludf.DUMMYFUNCTION("IMPORTRANGE(""https://docs.google.com/spreadsheets/d/11923uPwbBZFjjGgGUA6NLw09EwE0CqkOc4q9oUmW1yo/edit?usp=sharing"",""เพชรบูรณ์!J414"")"),0)</f>
        <v>0</v>
      </c>
      <c r="BS25" s="552">
        <f ca="1">IFERROR(__xludf.DUMMYFUNCTION("IMPORTRANGE(""https://docs.google.com/spreadsheets/d/11923uPwbBZFjjGgGUA6NLw09EwE0CqkOc4q9oUmW1yo/edit?usp=sharing"",""เพชรบูรณ์!J415"")"),0)</f>
        <v>0</v>
      </c>
      <c r="BT25" s="552">
        <f ca="1">IFERROR(__xludf.DUMMYFUNCTION("IMPORTRANGE(""https://docs.google.com/spreadsheets/d/11923uPwbBZFjjGgGUA6NLw09EwE0CqkOc4q9oUmW1yo/edit?usp=sharing"",""เพชรบูรณ์!J416"")"),0)</f>
        <v>0</v>
      </c>
      <c r="BU25" s="552">
        <f ca="1">IFERROR(__xludf.DUMMYFUNCTION("IMPORTRANGE(""https://docs.google.com/spreadsheets/d/11923uPwbBZFjjGgGUA6NLw09EwE0CqkOc4q9oUmW1yo/edit?usp=sharing"",""เพชรบูรณ์!J417"")"),0)</f>
        <v>0</v>
      </c>
      <c r="BV25" s="552">
        <f ca="1">IFERROR(__xludf.DUMMYFUNCTION("IMPORTRANGE(""https://docs.google.com/spreadsheets/d/11923uPwbBZFjjGgGUA6NLw09EwE0CqkOc4q9oUmW1yo/edit?usp=sharing"",""เพชรบูรณ์!J418"")"),0)</f>
        <v>0</v>
      </c>
      <c r="BW25" s="552">
        <f ca="1">IFERROR(__xludf.DUMMYFUNCTION("IMPORTRANGE(""https://docs.google.com/spreadsheets/d/11923uPwbBZFjjGgGUA6NLw09EwE0CqkOc4q9oUmW1yo/edit?usp=sharing"",""เพชรบูรณ์!J419"")"),0)</f>
        <v>0</v>
      </c>
      <c r="BX25" s="556">
        <f t="shared" ca="1" si="72"/>
        <v>0</v>
      </c>
      <c r="BY25" s="557">
        <f t="shared" ca="1" si="18"/>
        <v>0</v>
      </c>
      <c r="BZ25" s="556">
        <f t="shared" ca="1" si="73"/>
        <v>0</v>
      </c>
      <c r="CA25" s="557">
        <f t="shared" ca="1" si="19"/>
        <v>0</v>
      </c>
      <c r="CB25" s="552">
        <f ca="1">IFERROR(__xludf.DUMMYFUNCTION("IMPORTRANGE(""https://docs.google.com/spreadsheets/d/11923uPwbBZFjjGgGUA6NLw09EwE0CqkOc4q9oUmW1yo/edit?usp=sharing"",""เพชรบูรณ์!J422"")"),0)</f>
        <v>0</v>
      </c>
      <c r="CC25" s="552">
        <f ca="1">IFERROR(__xludf.DUMMYFUNCTION("IMPORTRANGE(""https://docs.google.com/spreadsheets/d/11923uPwbBZFjjGgGUA6NLw09EwE0CqkOc4q9oUmW1yo/edit?usp=sharing"",""เพชรบูรณ์!J423"")"),0)</f>
        <v>0</v>
      </c>
      <c r="CD25" s="552">
        <f ca="1">IFERROR(__xludf.DUMMYFUNCTION("IMPORTRANGE(""https://docs.google.com/spreadsheets/d/11923uPwbBZFjjGgGUA6NLw09EwE0CqkOc4q9oUmW1yo/edit?usp=sharing"",""เพชรบูรณ์!J424"")"),0)</f>
        <v>0</v>
      </c>
      <c r="CE25" s="552">
        <f ca="1">IFERROR(__xludf.DUMMYFUNCTION("IMPORTRANGE(""https://docs.google.com/spreadsheets/d/11923uPwbBZFjjGgGUA6NLw09EwE0CqkOc4q9oUmW1yo/edit?usp=sharing"",""เพชรบูรณ์!J425"")"),0)</f>
        <v>0</v>
      </c>
      <c r="CF25" s="552">
        <f ca="1">IFERROR(__xludf.DUMMYFUNCTION("IMPORTRANGE(""https://docs.google.com/spreadsheets/d/11923uPwbBZFjjGgGUA6NLw09EwE0CqkOc4q9oUmW1yo/edit?usp=sharing"",""เพชรบูรณ์!J426"")"),0)</f>
        <v>0</v>
      </c>
      <c r="CG25" s="558">
        <f ca="1">IFERROR(__xludf.DUMMYFUNCTION("IMPORTRANGE(""https://docs.google.com/spreadsheets/d/11923uPwbBZFjjGgGUA6NLw09EwE0CqkOc4q9oUmW1yo/edit?usp=sharing"",""เพชรบูรณ์!J427"")"),0)</f>
        <v>0</v>
      </c>
    </row>
    <row r="26" spans="1:85" ht="21" customHeight="1">
      <c r="A26" s="549">
        <v>11</v>
      </c>
      <c r="B26" s="550" t="s">
        <v>50</v>
      </c>
      <c r="C26" s="551">
        <f t="shared" ca="1" si="61"/>
        <v>87020</v>
      </c>
      <c r="D26" s="552">
        <f ca="1">IFERROR(__xludf.DUMMYFUNCTION("IMPORTRANGE(""https://docs.google.com/spreadsheets/d/1C3CXT74ZlgGe6_JY_1olB1XN4rF0dxEuIIF-xsYjHgg/edit?usp=sharing"",""งบกองทุน!BC30"")"),0)</f>
        <v>0</v>
      </c>
      <c r="E26" s="553">
        <f ca="1">IFERROR(__xludf.DUMMYFUNCTION("IMPORTRANGE(""https://docs.google.com/spreadsheets/d/1C3CXT74ZlgGe6_JY_1olB1XN4rF0dxEuIIF-xsYjHgg/edit?usp=sharing"",""งบกองทุน!BD30"")"),87020)</f>
        <v>87020</v>
      </c>
      <c r="F26" s="554">
        <f ca="1">IFERROR(__xludf.DUMMYFUNCTION("IMPORTRANGE(""https://docs.google.com/spreadsheets/d/11923uPwbBZFjjGgGUA6NLw09EwE0CqkOc4q9oUmW1yo/edit?usp=sharing"",""แพร่!M352"")"),31125)</f>
        <v>31125</v>
      </c>
      <c r="G26" s="554">
        <f t="shared" ca="1" si="1"/>
        <v>35.767639623075155</v>
      </c>
      <c r="H26" s="555">
        <f ca="1">IFERROR(__xludf.DUMMYFUNCTION("IMPORTRANGE(""https://docs.google.com/spreadsheets/d/1C3CXT74ZlgGe6_JY_1olB1XN4rF0dxEuIIF-xsYjHgg/edit?usp=sharing"",""งบกองทุน!BE30"")"),5092)</f>
        <v>5092</v>
      </c>
      <c r="I26" s="555">
        <f ca="1">IFERROR(__xludf.DUMMYFUNCTION("IMPORTRANGE(""https://docs.google.com/spreadsheets/d/1C3CXT74ZlgGe6_JY_1olB1XN4rF0dxEuIIF-xsYjHgg/edit?usp=sharing"",""งบกองทุน!BF30"")"),1189)</f>
        <v>1189</v>
      </c>
      <c r="J26" s="552">
        <f t="shared" ca="1" si="62"/>
        <v>5092.71</v>
      </c>
      <c r="K26" s="554">
        <f t="shared" ca="1" si="3"/>
        <v>100.01394344069128</v>
      </c>
      <c r="L26" s="552">
        <f t="shared" ca="1" si="63"/>
        <v>1189</v>
      </c>
      <c r="M26" s="554">
        <f t="shared" ca="1" si="4"/>
        <v>100</v>
      </c>
      <c r="N26" s="552">
        <f ca="1">IFERROR(__xludf.DUMMYFUNCTION("IMPORTRANGE(""https://docs.google.com/spreadsheets/d/11923uPwbBZFjjGgGUA6NLw09EwE0CqkOc4q9oUmW1yo/edit?usp=sharing"",""แพร่!J362"")"),3693)</f>
        <v>3693</v>
      </c>
      <c r="O26" s="552">
        <f ca="1">IFERROR(__xludf.DUMMYFUNCTION("IMPORTRANGE(""https://docs.google.com/spreadsheets/d/11923uPwbBZFjjGgGUA6NLw09EwE0CqkOc4q9oUmW1yo/edit?usp=sharing"",""แพร่!J363"")"),860)</f>
        <v>860</v>
      </c>
      <c r="P26" s="552">
        <f ca="1">IFERROR(__xludf.DUMMYFUNCTION("IMPORTRANGE(""https://docs.google.com/spreadsheets/d/11923uPwbBZFjjGgGUA6NLw09EwE0CqkOc4q9oUmW1yo/edit?usp=sharing"",""แพร่!J364"")"),1312)</f>
        <v>1312</v>
      </c>
      <c r="Q26" s="552">
        <f ca="1">IFERROR(__xludf.DUMMYFUNCTION("IMPORTRANGE(""https://docs.google.com/spreadsheets/d/11923uPwbBZFjjGgGUA6NLw09EwE0CqkOc4q9oUmW1yo/edit?usp=sharing"",""แพร่!J365"")"),308)</f>
        <v>308</v>
      </c>
      <c r="R26" s="552">
        <f ca="1">IFERROR(__xludf.DUMMYFUNCTION("IMPORTRANGE(""https://docs.google.com/spreadsheets/d/11923uPwbBZFjjGgGUA6NLw09EwE0CqkOc4q9oUmW1yo/edit?usp=sharing"",""แพร่!J366"")"),87.71)</f>
        <v>87.71</v>
      </c>
      <c r="S26" s="552">
        <f ca="1">IFERROR(__xludf.DUMMYFUNCTION("IMPORTRANGE(""https://docs.google.com/spreadsheets/d/11923uPwbBZFjjGgGUA6NLw09EwE0CqkOc4q9oUmW1yo/edit?usp=sharing"",""แพร่!J367"")"),21)</f>
        <v>21</v>
      </c>
      <c r="T26" s="552">
        <f t="shared" ca="1" si="64"/>
        <v>5092</v>
      </c>
      <c r="U26" s="552">
        <f t="shared" ca="1" si="6"/>
        <v>100</v>
      </c>
      <c r="V26" s="552">
        <f t="shared" ca="1" si="65"/>
        <v>1189</v>
      </c>
      <c r="W26" s="552">
        <f t="shared" ca="1" si="7"/>
        <v>100</v>
      </c>
      <c r="X26" s="552">
        <f ca="1">IFERROR(__xludf.DUMMYFUNCTION("IMPORTRANGE(""https://docs.google.com/spreadsheets/d/11923uPwbBZFjjGgGUA6NLw09EwE0CqkOc4q9oUmW1yo/edit?usp=sharing"",""แพร่!J370"")"),3890)</f>
        <v>3890</v>
      </c>
      <c r="Y26" s="552">
        <f ca="1">IFERROR(__xludf.DUMMYFUNCTION("IMPORTRANGE(""https://docs.google.com/spreadsheets/d/11923uPwbBZFjjGgGUA6NLw09EwE0CqkOc4q9oUmW1yo/edit?usp=sharing"",""แพร่!J371"")"),903)</f>
        <v>903</v>
      </c>
      <c r="Z26" s="552">
        <f ca="1">IFERROR(__xludf.DUMMYFUNCTION("IMPORTRANGE(""https://docs.google.com/spreadsheets/d/11923uPwbBZFjjGgGUA6NLw09EwE0CqkOc4q9oUmW1yo/edit?usp=sharing"",""แพร่!J372"")"),1089)</f>
        <v>1089</v>
      </c>
      <c r="AA26" s="552">
        <f ca="1">IFERROR(__xludf.DUMMYFUNCTION("IMPORTRANGE(""https://docs.google.com/spreadsheets/d/11923uPwbBZFjjGgGUA6NLw09EwE0CqkOc4q9oUmW1yo/edit?usp=sharing"",""แพร่!J373"")"),258)</f>
        <v>258</v>
      </c>
      <c r="AB26" s="552">
        <f ca="1">IFERROR(__xludf.DUMMYFUNCTION("IMPORTRANGE(""https://docs.google.com/spreadsheets/d/11923uPwbBZFjjGgGUA6NLw09EwE0CqkOc4q9oUmW1yo/edit?usp=sharing"",""แพร่!J374"")"),113)</f>
        <v>113</v>
      </c>
      <c r="AC26" s="552">
        <f ca="1">IFERROR(__xludf.DUMMYFUNCTION("IMPORTRANGE(""https://docs.google.com/spreadsheets/d/11923uPwbBZFjjGgGUA6NLw09EwE0CqkOc4q9oUmW1yo/edit?usp=sharing"",""แพร่!J375"")"),28)</f>
        <v>28</v>
      </c>
      <c r="AD26" s="552">
        <f t="shared" ca="1" si="66"/>
        <v>5092</v>
      </c>
      <c r="AE26" s="554">
        <f t="shared" ca="1" si="9"/>
        <v>100</v>
      </c>
      <c r="AF26" s="552">
        <f t="shared" ca="1" si="67"/>
        <v>1189</v>
      </c>
      <c r="AG26" s="554">
        <f t="shared" ca="1" si="10"/>
        <v>100</v>
      </c>
      <c r="AH26" s="552">
        <f ca="1">IFERROR(__xludf.DUMMYFUNCTION("IMPORTRANGE(""https://docs.google.com/spreadsheets/d/11923uPwbBZFjjGgGUA6NLw09EwE0CqkOc4q9oUmW1yo/edit?usp=sharing"",""แพร่!J378"")"),3579)</f>
        <v>3579</v>
      </c>
      <c r="AI26" s="552">
        <f ca="1">IFERROR(__xludf.DUMMYFUNCTION("IMPORTRANGE(""https://docs.google.com/spreadsheets/d/11923uPwbBZFjjGgGUA6NLw09EwE0CqkOc4q9oUmW1yo/edit?usp=sharing"",""แพร่!J379"")"),848)</f>
        <v>848</v>
      </c>
      <c r="AJ26" s="552">
        <f ca="1">IFERROR(__xludf.DUMMYFUNCTION("IMPORTRANGE(""https://docs.google.com/spreadsheets/d/11923uPwbBZFjjGgGUA6NLw09EwE0CqkOc4q9oUmW1yo/edit?usp=sharing"",""แพร่!J380"")"),1400)</f>
        <v>1400</v>
      </c>
      <c r="AK26" s="552">
        <f ca="1">IFERROR(__xludf.DUMMYFUNCTION("IMPORTRANGE(""https://docs.google.com/spreadsheets/d/11923uPwbBZFjjGgGUA6NLw09EwE0CqkOc4q9oUmW1yo/edit?usp=sharing"",""แพร่!J381"")"),313)</f>
        <v>313</v>
      </c>
      <c r="AL26" s="552">
        <f ca="1">IFERROR(__xludf.DUMMYFUNCTION("IMPORTRANGE(""https://docs.google.com/spreadsheets/d/11923uPwbBZFjjGgGUA6NLw09EwE0CqkOc4q9oUmW1yo/edit?usp=sharing"",""แพร่!J384"")"),113)</f>
        <v>113</v>
      </c>
      <c r="AM26" s="552">
        <f ca="1">IFERROR(__xludf.DUMMYFUNCTION("IMPORTRANGE(""https://docs.google.com/spreadsheets/d/11923uPwbBZFjjGgGUA6NLw09EwE0CqkOc4q9oUmW1yo/edit?usp=sharing"",""แพร่!J385"")"),28)</f>
        <v>28</v>
      </c>
      <c r="AN26" s="552">
        <f ca="1">IFERROR(__xludf.DUMMYFUNCTION("IMPORTRANGE(""https://docs.google.com/spreadsheets/d/11923uPwbBZFjjGgGUA6NLw09EwE0CqkOc4q9oUmW1yo/edit?usp=sharing"",""แพร่!J386"")"),0)</f>
        <v>0</v>
      </c>
      <c r="AO26" s="552">
        <f ca="1">IFERROR(__xludf.DUMMYFUNCTION("IMPORTRANGE(""https://docs.google.com/spreadsheets/d/11923uPwbBZFjjGgGUA6NLw09EwE0CqkOc4q9oUmW1yo/edit?usp=sharing"",""แพร่!J387"")"),0)</f>
        <v>0</v>
      </c>
      <c r="AP26" s="552">
        <f ca="1">IFERROR(__xludf.DUMMYFUNCTION("IMPORTRANGE(""https://docs.google.com/spreadsheets/d/11923uPwbBZFjjGgGUA6NLw09EwE0CqkOc4q9oUmW1yo/edit?usp=sharing"",""แพร่!J388"")"),0)</f>
        <v>0</v>
      </c>
      <c r="AQ26" s="552">
        <f ca="1">IFERROR(__xludf.DUMMYFUNCTION("IMPORTRANGE(""https://docs.google.com/spreadsheets/d/11923uPwbBZFjjGgGUA6NLw09EwE0CqkOc4q9oUmW1yo/edit?usp=sharing"",""แพร่!J389"")"),0)</f>
        <v>0</v>
      </c>
      <c r="AR26" s="552">
        <f ca="1">IFERROR(__xludf.DUMMYFUNCTION("IMPORTRANGE(""https://docs.google.com/spreadsheets/d/11923uPwbBZFjjGgGUA6NLw09EwE0CqkOc4q9oUmW1yo/edit?usp=sharing"",""แพร่!J390"")"),0)</f>
        <v>0</v>
      </c>
      <c r="AS26" s="552">
        <f ca="1">IFERROR(__xludf.DUMMYFUNCTION("IMPORTRANGE(""https://docs.google.com/spreadsheets/d/11923uPwbBZFjjGgGUA6NLw09EwE0CqkOc4q9oUmW1yo/edit?usp=sharing"",""แพร่!J391"")"),0)</f>
        <v>0</v>
      </c>
      <c r="AT26" s="556">
        <f ca="1">IFERROR(__xludf.DUMMYFUNCTION("IMPORTRANGE(""https://docs.google.com/spreadsheets/d/1C3CXT74ZlgGe6_JY_1olB1XN4rF0dxEuIIF-xsYjHgg/edit?usp=sharing"",""งบกองทุน!CD30"")"),139)</f>
        <v>139</v>
      </c>
      <c r="AU26" s="556">
        <f ca="1">IFERROR(__xludf.DUMMYFUNCTION("IMPORTRANGE(""https://docs.google.com/spreadsheets/d/1C3CXT74ZlgGe6_JY_1olB1XN4rF0dxEuIIF-xsYjHgg/edit?usp=sharing"",""งบกองทุน!CC30"")"),32)</f>
        <v>32</v>
      </c>
      <c r="AV26" s="556">
        <f t="shared" ca="1" si="68"/>
        <v>0</v>
      </c>
      <c r="AW26" s="556">
        <f t="shared" ca="1" si="12"/>
        <v>0</v>
      </c>
      <c r="AX26" s="556">
        <f t="shared" ca="1" si="69"/>
        <v>0</v>
      </c>
      <c r="AY26" s="556">
        <f t="shared" ca="1" si="13"/>
        <v>0</v>
      </c>
      <c r="AZ26" s="552">
        <f ca="1">IFERROR(__xludf.DUMMYFUNCTION("IMPORTRANGE(""https://docs.google.com/spreadsheets/d/11923uPwbBZFjjGgGUA6NLw09EwE0CqkOc4q9oUmW1yo/edit?usp=sharing"",""แพร่!J397"")"),0)</f>
        <v>0</v>
      </c>
      <c r="BA26" s="552">
        <f ca="1">IFERROR(__xludf.DUMMYFUNCTION("IMPORTRANGE(""https://docs.google.com/spreadsheets/d/11923uPwbBZFjjGgGUA6NLw09EwE0CqkOc4q9oUmW1yo/edit?usp=sharing"",""แพร่!J398"")"),0)</f>
        <v>0</v>
      </c>
      <c r="BB26" s="552">
        <f ca="1">IFERROR(__xludf.DUMMYFUNCTION("IMPORTRANGE(""https://docs.google.com/spreadsheets/d/11923uPwbBZFjjGgGUA6NLw09EwE0CqkOc4q9oUmW1yo/edit?usp=sharing"",""แพร่!J399"")"),0)</f>
        <v>0</v>
      </c>
      <c r="BC26" s="552">
        <f ca="1">IFERROR(__xludf.DUMMYFUNCTION("IMPORTRANGE(""https://docs.google.com/spreadsheets/d/11923uPwbBZFjjGgGUA6NLw09EwE0CqkOc4q9oUmW1yo/edit?usp=sharing"",""แพร่!J400"")"),0)</f>
        <v>0</v>
      </c>
      <c r="BD26" s="552">
        <f ca="1">IFERROR(__xludf.DUMMYFUNCTION("IMPORTRANGE(""https://docs.google.com/spreadsheets/d/11923uPwbBZFjjGgGUA6NLw09EwE0CqkOc4q9oUmW1yo/edit?usp=sharing"",""แพร่!J401"")"),0)</f>
        <v>0</v>
      </c>
      <c r="BE26" s="552">
        <f ca="1">IFERROR(__xludf.DUMMYFUNCTION("IMPORTRANGE(""https://docs.google.com/spreadsheets/d/11923uPwbBZFjjGgGUA6NLw09EwE0CqkOc4q9oUmW1yo/edit?usp=sharing"",""แพร่!J402"")"),0)</f>
        <v>0</v>
      </c>
      <c r="BF26" s="552">
        <f ca="1">IFERROR(__xludf.DUMMYFUNCTION("IMPORTRANGE(""https://docs.google.com/spreadsheets/d/11923uPwbBZFjjGgGUA6NLw09EwE0CqkOc4q9oUmW1yo/edit?usp=sharing"",""แพร่!J405"")"),0)</f>
        <v>0</v>
      </c>
      <c r="BG26" s="552">
        <f ca="1">IFERROR(__xludf.DUMMYFUNCTION("IMPORTRANGE(""https://docs.google.com/spreadsheets/d/11923uPwbBZFjjGgGUA6NLw09EwE0CqkOc4q9oUmW1yo/edit?usp=sharing"",""แพร่!J406"")"),0)</f>
        <v>0</v>
      </c>
      <c r="BH26" s="552">
        <f ca="1">IFERROR(__xludf.DUMMYFUNCTION("IMPORTRANGE(""https://docs.google.com/spreadsheets/d/11923uPwbBZFjjGgGUA6NLw09EwE0CqkOc4q9oUmW1yo/edit?usp=sharing"",""แพร่!J407"")"),0)</f>
        <v>0</v>
      </c>
      <c r="BI26" s="552">
        <f ca="1">IFERROR(__xludf.DUMMYFUNCTION("IMPORTRANGE(""https://docs.google.com/spreadsheets/d/11923uPwbBZFjjGgGUA6NLw09EwE0CqkOc4q9oUmW1yo/edit?usp=sharing"",""แพร่!J408"")"),0)</f>
        <v>0</v>
      </c>
      <c r="BJ26" s="552">
        <f ca="1">IFERROR(__xludf.DUMMYFUNCTION("IMPORTRANGE(""https://docs.google.com/spreadsheets/d/11923uPwbBZFjjGgGUA6NLw09EwE0CqkOc4q9oUmW1yo/edit?usp=sharing"",""แพร่!J409"")"),0)</f>
        <v>0</v>
      </c>
      <c r="BK26" s="552">
        <f ca="1">IFERROR(__xludf.DUMMYFUNCTION("IMPORTRANGE(""https://docs.google.com/spreadsheets/d/11923uPwbBZFjjGgGUA6NLw09EwE0CqkOc4q9oUmW1yo/edit?usp=sharing"",""แพร่!J410"")"),0)</f>
        <v>0</v>
      </c>
      <c r="BL26" s="556">
        <f ca="1">IFERROR(__xludf.DUMMYFUNCTION("IMPORTRANGE(""https://docs.google.com/spreadsheets/d/1C3CXT74ZlgGe6_JY_1olB1XN4rF0dxEuIIF-xsYjHgg/edit?usp=sharing"",""งบกองทุน!CZ30"")"),0)</f>
        <v>0</v>
      </c>
      <c r="BM26" s="556">
        <f ca="1">IFERROR(__xludf.DUMMYFUNCTION("IMPORTRANGE(""https://docs.google.com/spreadsheets/d/1C3CXT74ZlgGe6_JY_1olB1XN4rF0dxEuIIF-xsYjHgg/edit?usp=sharing"",""งบกองทุน!CY30"")"),0)</f>
        <v>0</v>
      </c>
      <c r="BN26" s="556">
        <f t="shared" ca="1" si="70"/>
        <v>0</v>
      </c>
      <c r="BO26" s="557">
        <f t="shared" ca="1" si="15"/>
        <v>0</v>
      </c>
      <c r="BP26" s="556">
        <f t="shared" ca="1" si="71"/>
        <v>0</v>
      </c>
      <c r="BQ26" s="557">
        <f t="shared" ca="1" si="16"/>
        <v>0</v>
      </c>
      <c r="BR26" s="552">
        <f ca="1">IFERROR(__xludf.DUMMYFUNCTION("IMPORTRANGE(""https://docs.google.com/spreadsheets/d/11923uPwbBZFjjGgGUA6NLw09EwE0CqkOc4q9oUmW1yo/edit?usp=sharing"",""แพร่!J414"")"),0)</f>
        <v>0</v>
      </c>
      <c r="BS26" s="552">
        <f ca="1">IFERROR(__xludf.DUMMYFUNCTION("IMPORTRANGE(""https://docs.google.com/spreadsheets/d/11923uPwbBZFjjGgGUA6NLw09EwE0CqkOc4q9oUmW1yo/edit?usp=sharing"",""แพร่!J415"")"),0)</f>
        <v>0</v>
      </c>
      <c r="BT26" s="552">
        <f ca="1">IFERROR(__xludf.DUMMYFUNCTION("IMPORTRANGE(""https://docs.google.com/spreadsheets/d/11923uPwbBZFjjGgGUA6NLw09EwE0CqkOc4q9oUmW1yo/edit?usp=sharing"",""แพร่!J416"")"),0)</f>
        <v>0</v>
      </c>
      <c r="BU26" s="552">
        <f ca="1">IFERROR(__xludf.DUMMYFUNCTION("IMPORTRANGE(""https://docs.google.com/spreadsheets/d/11923uPwbBZFjjGgGUA6NLw09EwE0CqkOc4q9oUmW1yo/edit?usp=sharing"",""แพร่!J417"")"),0)</f>
        <v>0</v>
      </c>
      <c r="BV26" s="552">
        <f ca="1">IFERROR(__xludf.DUMMYFUNCTION("IMPORTRANGE(""https://docs.google.com/spreadsheets/d/11923uPwbBZFjjGgGUA6NLw09EwE0CqkOc4q9oUmW1yo/edit?usp=sharing"",""แพร่!J418"")"),14)</f>
        <v>14</v>
      </c>
      <c r="BW26" s="552">
        <f ca="1">IFERROR(__xludf.DUMMYFUNCTION("IMPORTRANGE(""https://docs.google.com/spreadsheets/d/11923uPwbBZFjjGgGUA6NLw09EwE0CqkOc4q9oUmW1yo/edit?usp=sharing"",""แพร่!J419"")"),5)</f>
        <v>5</v>
      </c>
      <c r="BX26" s="556">
        <f t="shared" ca="1" si="72"/>
        <v>0</v>
      </c>
      <c r="BY26" s="557">
        <f t="shared" ca="1" si="18"/>
        <v>0</v>
      </c>
      <c r="BZ26" s="556">
        <f t="shared" ca="1" si="73"/>
        <v>0</v>
      </c>
      <c r="CA26" s="557">
        <f t="shared" ca="1" si="19"/>
        <v>0</v>
      </c>
      <c r="CB26" s="552">
        <f ca="1">IFERROR(__xludf.DUMMYFUNCTION("IMPORTRANGE(""https://docs.google.com/spreadsheets/d/11923uPwbBZFjjGgGUA6NLw09EwE0CqkOc4q9oUmW1yo/edit?usp=sharing"",""แพร่!J422"")"),0)</f>
        <v>0</v>
      </c>
      <c r="CC26" s="552">
        <f ca="1">IFERROR(__xludf.DUMMYFUNCTION("IMPORTRANGE(""https://docs.google.com/spreadsheets/d/11923uPwbBZFjjGgGUA6NLw09EwE0CqkOc4q9oUmW1yo/edit?usp=sharing"",""แพร่!J423"")"),0)</f>
        <v>0</v>
      </c>
      <c r="CD26" s="552">
        <f ca="1">IFERROR(__xludf.DUMMYFUNCTION("IMPORTRANGE(""https://docs.google.com/spreadsheets/d/11923uPwbBZFjjGgGUA6NLw09EwE0CqkOc4q9oUmW1yo/edit?usp=sharing"",""แพร่!J424"")"),0)</f>
        <v>0</v>
      </c>
      <c r="CE26" s="552">
        <f ca="1">IFERROR(__xludf.DUMMYFUNCTION("IMPORTRANGE(""https://docs.google.com/spreadsheets/d/11923uPwbBZFjjGgGUA6NLw09EwE0CqkOc4q9oUmW1yo/edit?usp=sharing"",""แพร่!J425"")"),0)</f>
        <v>0</v>
      </c>
      <c r="CF26" s="552">
        <f ca="1">IFERROR(__xludf.DUMMYFUNCTION("IMPORTRANGE(""https://docs.google.com/spreadsheets/d/11923uPwbBZFjjGgGUA6NLw09EwE0CqkOc4q9oUmW1yo/edit?usp=sharing"",""แพร่!J426"")"),0)</f>
        <v>0</v>
      </c>
      <c r="CG26" s="558">
        <f ca="1">IFERROR(__xludf.DUMMYFUNCTION("IMPORTRANGE(""https://docs.google.com/spreadsheets/d/11923uPwbBZFjjGgGUA6NLw09EwE0CqkOc4q9oUmW1yo/edit?usp=sharing"",""แพร่!J427"")"),0)</f>
        <v>0</v>
      </c>
    </row>
    <row r="27" spans="1:85" ht="21" customHeight="1">
      <c r="A27" s="549">
        <v>12</v>
      </c>
      <c r="B27" s="550" t="s">
        <v>51</v>
      </c>
      <c r="C27" s="551">
        <f t="shared" ca="1" si="61"/>
        <v>96393</v>
      </c>
      <c r="D27" s="552">
        <f ca="1">IFERROR(__xludf.DUMMYFUNCTION("IMPORTRANGE(""https://docs.google.com/spreadsheets/d/1C3CXT74ZlgGe6_JY_1olB1XN4rF0dxEuIIF-xsYjHgg/edit?usp=sharing"",""งบกองทุน!BC31"")"),0)</f>
        <v>0</v>
      </c>
      <c r="E27" s="553">
        <f ca="1">IFERROR(__xludf.DUMMYFUNCTION("IMPORTRANGE(""https://docs.google.com/spreadsheets/d/1C3CXT74ZlgGe6_JY_1olB1XN4rF0dxEuIIF-xsYjHgg/edit?usp=sharing"",""งบกองทุน!BD31"")"),96393)</f>
        <v>96393</v>
      </c>
      <c r="F27" s="554">
        <f ca="1">IFERROR(__xludf.DUMMYFUNCTION("IMPORTRANGE(""https://docs.google.com/spreadsheets/d/11923uPwbBZFjjGgGUA6NLw09EwE0CqkOc4q9oUmW1yo/edit?usp=sharing"",""แม่ฮ่องสอน!M352"")"),40595)</f>
        <v>40595</v>
      </c>
      <c r="G27" s="554">
        <f t="shared" ca="1" si="1"/>
        <v>42.114053925077549</v>
      </c>
      <c r="H27" s="555">
        <f ca="1">IFERROR(__xludf.DUMMYFUNCTION("IMPORTRANGE(""https://docs.google.com/spreadsheets/d/1C3CXT74ZlgGe6_JY_1olB1XN4rF0dxEuIIF-xsYjHgg/edit?usp=sharing"",""งบกองทุน!BE31"")"),4665)</f>
        <v>4665</v>
      </c>
      <c r="I27" s="555">
        <f ca="1">IFERROR(__xludf.DUMMYFUNCTION("IMPORTRANGE(""https://docs.google.com/spreadsheets/d/1C3CXT74ZlgGe6_JY_1olB1XN4rF0dxEuIIF-xsYjHgg/edit?usp=sharing"",""งบกองทุน!BF31"")"),1134)</f>
        <v>1134</v>
      </c>
      <c r="J27" s="552">
        <f t="shared" ca="1" si="62"/>
        <v>4665</v>
      </c>
      <c r="K27" s="554">
        <f t="shared" ca="1" si="3"/>
        <v>100</v>
      </c>
      <c r="L27" s="552">
        <f t="shared" ca="1" si="63"/>
        <v>1134</v>
      </c>
      <c r="M27" s="554">
        <f t="shared" ca="1" si="4"/>
        <v>100</v>
      </c>
      <c r="N27" s="552">
        <f ca="1">IFERROR(__xludf.DUMMYFUNCTION("IMPORTRANGE(""https://docs.google.com/spreadsheets/d/11923uPwbBZFjjGgGUA6NLw09EwE0CqkOc4q9oUmW1yo/edit?usp=sharing"",""แม่ฮ่องสอน!J362"")"),4581)</f>
        <v>4581</v>
      </c>
      <c r="O27" s="552">
        <f ca="1">IFERROR(__xludf.DUMMYFUNCTION("IMPORTRANGE(""https://docs.google.com/spreadsheets/d/11923uPwbBZFjjGgGUA6NLw09EwE0CqkOc4q9oUmW1yo/edit?usp=sharing"",""แม่ฮ่องสอน!J363"")"),1123)</f>
        <v>1123</v>
      </c>
      <c r="P27" s="552">
        <f ca="1">IFERROR(__xludf.DUMMYFUNCTION("IMPORTRANGE(""https://docs.google.com/spreadsheets/d/11923uPwbBZFjjGgGUA6NLw09EwE0CqkOc4q9oUmW1yo/edit?usp=sharing"",""แม่ฮ่องสอน!J364"")"),66)</f>
        <v>66</v>
      </c>
      <c r="Q27" s="552">
        <f ca="1">IFERROR(__xludf.DUMMYFUNCTION("IMPORTRANGE(""https://docs.google.com/spreadsheets/d/11923uPwbBZFjjGgGUA6NLw09EwE0CqkOc4q9oUmW1yo/edit?usp=sharing"",""แม่ฮ่องสอน!J365"")"),7)</f>
        <v>7</v>
      </c>
      <c r="R27" s="552">
        <f ca="1">IFERROR(__xludf.DUMMYFUNCTION("IMPORTRANGE(""https://docs.google.com/spreadsheets/d/11923uPwbBZFjjGgGUA6NLw09EwE0CqkOc4q9oUmW1yo/edit?usp=sharing"",""แม่ฮ่องสอน!J366"")"),18)</f>
        <v>18</v>
      </c>
      <c r="S27" s="552">
        <f ca="1">IFERROR(__xludf.DUMMYFUNCTION("IMPORTRANGE(""https://docs.google.com/spreadsheets/d/11923uPwbBZFjjGgGUA6NLw09EwE0CqkOc4q9oUmW1yo/edit?usp=sharing"",""แม่ฮ่องสอน!J367"")"),4)</f>
        <v>4</v>
      </c>
      <c r="T27" s="552">
        <f t="shared" ca="1" si="64"/>
        <v>4665</v>
      </c>
      <c r="U27" s="552">
        <f t="shared" ca="1" si="6"/>
        <v>100</v>
      </c>
      <c r="V27" s="552">
        <f t="shared" ca="1" si="65"/>
        <v>1134</v>
      </c>
      <c r="W27" s="552">
        <f t="shared" ca="1" si="7"/>
        <v>100</v>
      </c>
      <c r="X27" s="552">
        <f ca="1">IFERROR(__xludf.DUMMYFUNCTION("IMPORTRANGE(""https://docs.google.com/spreadsheets/d/11923uPwbBZFjjGgGUA6NLw09EwE0CqkOc4q9oUmW1yo/edit?usp=sharing"",""แม่ฮ่องสอน!J370"")"),4634)</f>
        <v>4634</v>
      </c>
      <c r="Y27" s="552">
        <f ca="1">IFERROR(__xludf.DUMMYFUNCTION("IMPORTRANGE(""https://docs.google.com/spreadsheets/d/11923uPwbBZFjjGgGUA6NLw09EwE0CqkOc4q9oUmW1yo/edit?usp=sharing"",""แม่ฮ่องสอน!J371"")"),1122)</f>
        <v>1122</v>
      </c>
      <c r="Z27" s="552">
        <f ca="1">IFERROR(__xludf.DUMMYFUNCTION("IMPORTRANGE(""https://docs.google.com/spreadsheets/d/11923uPwbBZFjjGgGUA6NLw09EwE0CqkOc4q9oUmW1yo/edit?usp=sharing"",""แม่ฮ่องสอน!J372"")"),13)</f>
        <v>13</v>
      </c>
      <c r="AA27" s="552">
        <f ca="1">IFERROR(__xludf.DUMMYFUNCTION("IMPORTRANGE(""https://docs.google.com/spreadsheets/d/11923uPwbBZFjjGgGUA6NLw09EwE0CqkOc4q9oUmW1yo/edit?usp=sharing"",""แม่ฮ่องสอน!J373"")"),8)</f>
        <v>8</v>
      </c>
      <c r="AB27" s="552">
        <f ca="1">IFERROR(__xludf.DUMMYFUNCTION("IMPORTRANGE(""https://docs.google.com/spreadsheets/d/11923uPwbBZFjjGgGUA6NLw09EwE0CqkOc4q9oUmW1yo/edit?usp=sharing"",""แม่ฮ่องสอน!J374"")"),18)</f>
        <v>18</v>
      </c>
      <c r="AC27" s="552">
        <f ca="1">IFERROR(__xludf.DUMMYFUNCTION("IMPORTRANGE(""https://docs.google.com/spreadsheets/d/11923uPwbBZFjjGgGUA6NLw09EwE0CqkOc4q9oUmW1yo/edit?usp=sharing"",""แม่ฮ่องสอน!J375"")"),4)</f>
        <v>4</v>
      </c>
      <c r="AD27" s="552">
        <f t="shared" ca="1" si="66"/>
        <v>4665</v>
      </c>
      <c r="AE27" s="554">
        <f t="shared" ca="1" si="9"/>
        <v>100</v>
      </c>
      <c r="AF27" s="552">
        <f t="shared" ca="1" si="67"/>
        <v>1134</v>
      </c>
      <c r="AG27" s="554">
        <f t="shared" ca="1" si="10"/>
        <v>100</v>
      </c>
      <c r="AH27" s="552">
        <f ca="1">IFERROR(__xludf.DUMMYFUNCTION("IMPORTRANGE(""https://docs.google.com/spreadsheets/d/11923uPwbBZFjjGgGUA6NLw09EwE0CqkOc4q9oUmW1yo/edit?usp=sharing"",""แม่ฮ่องสอน!J378"")"),4634)</f>
        <v>4634</v>
      </c>
      <c r="AI27" s="552">
        <f ca="1">IFERROR(__xludf.DUMMYFUNCTION("IMPORTRANGE(""https://docs.google.com/spreadsheets/d/11923uPwbBZFjjGgGUA6NLw09EwE0CqkOc4q9oUmW1yo/edit?usp=sharing"",""แม่ฮ่องสอน!J379"")"),1122)</f>
        <v>1122</v>
      </c>
      <c r="AJ27" s="552">
        <f ca="1">IFERROR(__xludf.DUMMYFUNCTION("IMPORTRANGE(""https://docs.google.com/spreadsheets/d/11923uPwbBZFjjGgGUA6NLw09EwE0CqkOc4q9oUmW1yo/edit?usp=sharing"",""แม่ฮ่องสอน!J380"")"),13)</f>
        <v>13</v>
      </c>
      <c r="AK27" s="552">
        <f ca="1">IFERROR(__xludf.DUMMYFUNCTION("IMPORTRANGE(""https://docs.google.com/spreadsheets/d/11923uPwbBZFjjGgGUA6NLw09EwE0CqkOc4q9oUmW1yo/edit?usp=sharing"",""แม่ฮ่องสอน!J381"")"),8)</f>
        <v>8</v>
      </c>
      <c r="AL27" s="552">
        <f ca="1">IFERROR(__xludf.DUMMYFUNCTION("IMPORTRANGE(""https://docs.google.com/spreadsheets/d/11923uPwbBZFjjGgGUA6NLw09EwE0CqkOc4q9oUmW1yo/edit?usp=sharing"",""แม่ฮ่องสอน!J384"")"),18)</f>
        <v>18</v>
      </c>
      <c r="AM27" s="552">
        <f ca="1">IFERROR(__xludf.DUMMYFUNCTION("IMPORTRANGE(""https://docs.google.com/spreadsheets/d/11923uPwbBZFjjGgGUA6NLw09EwE0CqkOc4q9oUmW1yo/edit?usp=sharing"",""แม่ฮ่องสอน!J385"")"),4)</f>
        <v>4</v>
      </c>
      <c r="AN27" s="552">
        <f ca="1">IFERROR(__xludf.DUMMYFUNCTION("IMPORTRANGE(""https://docs.google.com/spreadsheets/d/11923uPwbBZFjjGgGUA6NLw09EwE0CqkOc4q9oUmW1yo/edit?usp=sharing"",""แม่ฮ่องสอน!J386"")"),0)</f>
        <v>0</v>
      </c>
      <c r="AO27" s="552">
        <f ca="1">IFERROR(__xludf.DUMMYFUNCTION("IMPORTRANGE(""https://docs.google.com/spreadsheets/d/11923uPwbBZFjjGgGUA6NLw09EwE0CqkOc4q9oUmW1yo/edit?usp=sharing"",""แม่ฮ่องสอน!J387"")"),0)</f>
        <v>0</v>
      </c>
      <c r="AP27" s="552">
        <f ca="1">IFERROR(__xludf.DUMMYFUNCTION("IMPORTRANGE(""https://docs.google.com/spreadsheets/d/11923uPwbBZFjjGgGUA6NLw09EwE0CqkOc4q9oUmW1yo/edit?usp=sharing"",""แม่ฮ่องสอน!J388"")"),0)</f>
        <v>0</v>
      </c>
      <c r="AQ27" s="552">
        <f ca="1">IFERROR(__xludf.DUMMYFUNCTION("IMPORTRANGE(""https://docs.google.com/spreadsheets/d/11923uPwbBZFjjGgGUA6NLw09EwE0CqkOc4q9oUmW1yo/edit?usp=sharing"",""แม่ฮ่องสอน!J389"")"),0)</f>
        <v>0</v>
      </c>
      <c r="AR27" s="552">
        <f ca="1">IFERROR(__xludf.DUMMYFUNCTION("IMPORTRANGE(""https://docs.google.com/spreadsheets/d/11923uPwbBZFjjGgGUA6NLw09EwE0CqkOc4q9oUmW1yo/edit?usp=sharing"",""แม่ฮ่องสอน!J390"")"),0)</f>
        <v>0</v>
      </c>
      <c r="AS27" s="552">
        <f ca="1">IFERROR(__xludf.DUMMYFUNCTION("IMPORTRANGE(""https://docs.google.com/spreadsheets/d/11923uPwbBZFjjGgGUA6NLw09EwE0CqkOc4q9oUmW1yo/edit?usp=sharing"",""แม่ฮ่องสอน!J391"")"),0)</f>
        <v>0</v>
      </c>
      <c r="AT27" s="556">
        <f ca="1">IFERROR(__xludf.DUMMYFUNCTION("IMPORTRANGE(""https://docs.google.com/spreadsheets/d/1C3CXT74ZlgGe6_JY_1olB1XN4rF0dxEuIIF-xsYjHgg/edit?usp=sharing"",""งบกองทุน!CD31"")"),21)</f>
        <v>21</v>
      </c>
      <c r="AU27" s="556">
        <f ca="1">IFERROR(__xludf.DUMMYFUNCTION("IMPORTRANGE(""https://docs.google.com/spreadsheets/d/1C3CXT74ZlgGe6_JY_1olB1XN4rF0dxEuIIF-xsYjHgg/edit?usp=sharing"",""งบกองทุน!CC31"")"),7)</f>
        <v>7</v>
      </c>
      <c r="AV27" s="556">
        <f t="shared" ca="1" si="68"/>
        <v>21</v>
      </c>
      <c r="AW27" s="556">
        <f t="shared" ca="1" si="12"/>
        <v>100</v>
      </c>
      <c r="AX27" s="556">
        <f t="shared" ca="1" si="69"/>
        <v>7</v>
      </c>
      <c r="AY27" s="556">
        <f t="shared" ca="1" si="13"/>
        <v>100</v>
      </c>
      <c r="AZ27" s="552">
        <f ca="1">IFERROR(__xludf.DUMMYFUNCTION("IMPORTRANGE(""https://docs.google.com/spreadsheets/d/11923uPwbBZFjjGgGUA6NLw09EwE0CqkOc4q9oUmW1yo/edit?usp=sharing"",""แม่ฮ่องสอน!J397"")"),4)</f>
        <v>4</v>
      </c>
      <c r="BA27" s="552">
        <f ca="1">IFERROR(__xludf.DUMMYFUNCTION("IMPORTRANGE(""https://docs.google.com/spreadsheets/d/11923uPwbBZFjjGgGUA6NLw09EwE0CqkOc4q9oUmW1yo/edit?usp=sharing"",""แม่ฮ่องสอน!J398"")"),1)</f>
        <v>1</v>
      </c>
      <c r="BB27" s="552">
        <f ca="1">IFERROR(__xludf.DUMMYFUNCTION("IMPORTRANGE(""https://docs.google.com/spreadsheets/d/11923uPwbBZFjjGgGUA6NLw09EwE0CqkOc4q9oUmW1yo/edit?usp=sharing"",""แม่ฮ่องสอน!J399"")"),12)</f>
        <v>12</v>
      </c>
      <c r="BC27" s="552">
        <f ca="1">IFERROR(__xludf.DUMMYFUNCTION("IMPORTRANGE(""https://docs.google.com/spreadsheets/d/11923uPwbBZFjjGgGUA6NLw09EwE0CqkOc4q9oUmW1yo/edit?usp=sharing"",""แม่ฮ่องสอน!J400"")"),3)</f>
        <v>3</v>
      </c>
      <c r="BD27" s="552">
        <f ca="1">IFERROR(__xludf.DUMMYFUNCTION("IMPORTRANGE(""https://docs.google.com/spreadsheets/d/11923uPwbBZFjjGgGUA6NLw09EwE0CqkOc4q9oUmW1yo/edit?usp=sharing"",""แม่ฮ่องสอน!J401"")"),0)</f>
        <v>0</v>
      </c>
      <c r="BE27" s="552">
        <f ca="1">IFERROR(__xludf.DUMMYFUNCTION("IMPORTRANGE(""https://docs.google.com/spreadsheets/d/11923uPwbBZFjjGgGUA6NLw09EwE0CqkOc4q9oUmW1yo/edit?usp=sharing"",""แม่ฮ่องสอน!J402"")"),0)</f>
        <v>0</v>
      </c>
      <c r="BF27" s="552">
        <f ca="1">IFERROR(__xludf.DUMMYFUNCTION("IMPORTRANGE(""https://docs.google.com/spreadsheets/d/11923uPwbBZFjjGgGUA6NLw09EwE0CqkOc4q9oUmW1yo/edit?usp=sharing"",""แม่ฮ่องสอน!J405"")"),0)</f>
        <v>0</v>
      </c>
      <c r="BG27" s="552">
        <f ca="1">IFERROR(__xludf.DUMMYFUNCTION("IMPORTRANGE(""https://docs.google.com/spreadsheets/d/11923uPwbBZFjjGgGUA6NLw09EwE0CqkOc4q9oUmW1yo/edit?usp=sharing"",""แม่ฮ่องสอน!J406"")"),0)</f>
        <v>0</v>
      </c>
      <c r="BH27" s="552">
        <f ca="1">IFERROR(__xludf.DUMMYFUNCTION("IMPORTRANGE(""https://docs.google.com/spreadsheets/d/11923uPwbBZFjjGgGUA6NLw09EwE0CqkOc4q9oUmW1yo/edit?usp=sharing"",""แม่ฮ่องสอน!J407"")"),5)</f>
        <v>5</v>
      </c>
      <c r="BI27" s="552">
        <f ca="1">IFERROR(__xludf.DUMMYFUNCTION("IMPORTRANGE(""https://docs.google.com/spreadsheets/d/11923uPwbBZFjjGgGUA6NLw09EwE0CqkOc4q9oUmW1yo/edit?usp=sharing"",""แม่ฮ่องสอน!J408"")"),3)</f>
        <v>3</v>
      </c>
      <c r="BJ27" s="552">
        <f ca="1">IFERROR(__xludf.DUMMYFUNCTION("IMPORTRANGE(""https://docs.google.com/spreadsheets/d/11923uPwbBZFjjGgGUA6NLw09EwE0CqkOc4q9oUmW1yo/edit?usp=sharing"",""แม่ฮ่องสอน!J409"")"),0)</f>
        <v>0</v>
      </c>
      <c r="BK27" s="552">
        <f ca="1">IFERROR(__xludf.DUMMYFUNCTION("IMPORTRANGE(""https://docs.google.com/spreadsheets/d/11923uPwbBZFjjGgGUA6NLw09EwE0CqkOc4q9oUmW1yo/edit?usp=sharing"",""แม่ฮ่องสอน!J410"")"),0)</f>
        <v>0</v>
      </c>
      <c r="BL27" s="556">
        <f ca="1">IFERROR(__xludf.DUMMYFUNCTION("IMPORTRANGE(""https://docs.google.com/spreadsheets/d/1C3CXT74ZlgGe6_JY_1olB1XN4rF0dxEuIIF-xsYjHgg/edit?usp=sharing"",""งบกองทุน!CZ31"")"),0)</f>
        <v>0</v>
      </c>
      <c r="BM27" s="556">
        <f ca="1">IFERROR(__xludf.DUMMYFUNCTION("IMPORTRANGE(""https://docs.google.com/spreadsheets/d/1C3CXT74ZlgGe6_JY_1olB1XN4rF0dxEuIIF-xsYjHgg/edit?usp=sharing"",""งบกองทุน!CY31"")"),0)</f>
        <v>0</v>
      </c>
      <c r="BN27" s="556">
        <f t="shared" ca="1" si="70"/>
        <v>0</v>
      </c>
      <c r="BO27" s="557">
        <f t="shared" ca="1" si="15"/>
        <v>0</v>
      </c>
      <c r="BP27" s="556">
        <f t="shared" ca="1" si="71"/>
        <v>0</v>
      </c>
      <c r="BQ27" s="557">
        <f t="shared" ca="1" si="16"/>
        <v>0</v>
      </c>
      <c r="BR27" s="552">
        <f ca="1">IFERROR(__xludf.DUMMYFUNCTION("IMPORTRANGE(""https://docs.google.com/spreadsheets/d/11923uPwbBZFjjGgGUA6NLw09EwE0CqkOc4q9oUmW1yo/edit?usp=sharing"",""แม่ฮ่องสอน!J414"")"),0)</f>
        <v>0</v>
      </c>
      <c r="BS27" s="552">
        <f ca="1">IFERROR(__xludf.DUMMYFUNCTION("IMPORTRANGE(""https://docs.google.com/spreadsheets/d/11923uPwbBZFjjGgGUA6NLw09EwE0CqkOc4q9oUmW1yo/edit?usp=sharing"",""แม่ฮ่องสอน!J415"")"),0)</f>
        <v>0</v>
      </c>
      <c r="BT27" s="552">
        <f ca="1">IFERROR(__xludf.DUMMYFUNCTION("IMPORTRANGE(""https://docs.google.com/spreadsheets/d/11923uPwbBZFjjGgGUA6NLw09EwE0CqkOc4q9oUmW1yo/edit?usp=sharing"",""แม่ฮ่องสอน!J416"")"),0)</f>
        <v>0</v>
      </c>
      <c r="BU27" s="552">
        <f ca="1">IFERROR(__xludf.DUMMYFUNCTION("IMPORTRANGE(""https://docs.google.com/spreadsheets/d/11923uPwbBZFjjGgGUA6NLw09EwE0CqkOc4q9oUmW1yo/edit?usp=sharing"",""แม่ฮ่องสอน!J417"")"),0)</f>
        <v>0</v>
      </c>
      <c r="BV27" s="552">
        <f ca="1">IFERROR(__xludf.DUMMYFUNCTION("IMPORTRANGE(""https://docs.google.com/spreadsheets/d/11923uPwbBZFjjGgGUA6NLw09EwE0CqkOc4q9oUmW1yo/edit?usp=sharing"",""แม่ฮ่องสอน!J418"")"),24)</f>
        <v>24</v>
      </c>
      <c r="BW27" s="552">
        <f ca="1">IFERROR(__xludf.DUMMYFUNCTION("IMPORTRANGE(""https://docs.google.com/spreadsheets/d/11923uPwbBZFjjGgGUA6NLw09EwE0CqkOc4q9oUmW1yo/edit?usp=sharing"",""แม่ฮ่องสอน!J419"")"),4)</f>
        <v>4</v>
      </c>
      <c r="BX27" s="556">
        <f t="shared" ca="1" si="72"/>
        <v>24</v>
      </c>
      <c r="BY27" s="557">
        <f t="shared" ca="1" si="18"/>
        <v>100</v>
      </c>
      <c r="BZ27" s="556">
        <f t="shared" ca="1" si="73"/>
        <v>4</v>
      </c>
      <c r="CA27" s="557">
        <f t="shared" ca="1" si="19"/>
        <v>100</v>
      </c>
      <c r="CB27" s="552">
        <f ca="1">IFERROR(__xludf.DUMMYFUNCTION("IMPORTRANGE(""https://docs.google.com/spreadsheets/d/11923uPwbBZFjjGgGUA6NLw09EwE0CqkOc4q9oUmW1yo/edit?usp=sharing"",""แม่ฮ่องสอน!J422"")"),2.75)</f>
        <v>2.75</v>
      </c>
      <c r="CC27" s="552">
        <f ca="1">IFERROR(__xludf.DUMMYFUNCTION("IMPORTRANGE(""https://docs.google.com/spreadsheets/d/11923uPwbBZFjjGgGUA6NLw09EwE0CqkOc4q9oUmW1yo/edit?usp=sharing"",""แม่ฮ่องสอน!J423"")"),1)</f>
        <v>1</v>
      </c>
      <c r="CD27" s="552">
        <f ca="1">IFERROR(__xludf.DUMMYFUNCTION("IMPORTRANGE(""https://docs.google.com/spreadsheets/d/11923uPwbBZFjjGgGUA6NLw09EwE0CqkOc4q9oUmW1yo/edit?usp=sharing"",""แม่ฮ่องสอน!J424"")"),21.25)</f>
        <v>21.25</v>
      </c>
      <c r="CE27" s="552">
        <f ca="1">IFERROR(__xludf.DUMMYFUNCTION("IMPORTRANGE(""https://docs.google.com/spreadsheets/d/11923uPwbBZFjjGgGUA6NLw09EwE0CqkOc4q9oUmW1yo/edit?usp=sharing"",""แม่ฮ่องสอน!J425"")"),3)</f>
        <v>3</v>
      </c>
      <c r="CF27" s="552">
        <f ca="1">IFERROR(__xludf.DUMMYFUNCTION("IMPORTRANGE(""https://docs.google.com/spreadsheets/d/11923uPwbBZFjjGgGUA6NLw09EwE0CqkOc4q9oUmW1yo/edit?usp=sharing"",""แม่ฮ่องสอน!J426"")"),0)</f>
        <v>0</v>
      </c>
      <c r="CG27" s="558">
        <f ca="1">IFERROR(__xludf.DUMMYFUNCTION("IMPORTRANGE(""https://docs.google.com/spreadsheets/d/11923uPwbBZFjjGgGUA6NLw09EwE0CqkOc4q9oUmW1yo/edit?usp=sharing"",""แม่ฮ่องสอน!J427"")"),0)</f>
        <v>0</v>
      </c>
    </row>
    <row r="28" spans="1:85" ht="21" customHeight="1">
      <c r="A28" s="549">
        <v>13</v>
      </c>
      <c r="B28" s="550" t="s">
        <v>52</v>
      </c>
      <c r="C28" s="551">
        <f t="shared" ca="1" si="61"/>
        <v>615200</v>
      </c>
      <c r="D28" s="552">
        <f ca="1">IFERROR(__xludf.DUMMYFUNCTION("IMPORTRANGE(""https://docs.google.com/spreadsheets/d/1C3CXT74ZlgGe6_JY_1olB1XN4rF0dxEuIIF-xsYjHgg/edit?usp=sharing"",""งบกองทุน!BC32"")"),0)</f>
        <v>0</v>
      </c>
      <c r="E28" s="553">
        <f ca="1">IFERROR(__xludf.DUMMYFUNCTION("IMPORTRANGE(""https://docs.google.com/spreadsheets/d/1C3CXT74ZlgGe6_JY_1olB1XN4rF0dxEuIIF-xsYjHgg/edit?usp=sharing"",""งบกองทุน!BD32"")"),615200)</f>
        <v>615200</v>
      </c>
      <c r="F28" s="554">
        <f ca="1">IFERROR(__xludf.DUMMYFUNCTION("IMPORTRANGE(""https://docs.google.com/spreadsheets/d/11923uPwbBZFjjGgGUA6NLw09EwE0CqkOc4q9oUmW1yo/edit?usp=sharing"",""ลำปาง!M352"")"),190440.04)</f>
        <v>190440.04</v>
      </c>
      <c r="G28" s="554">
        <f t="shared" ca="1" si="1"/>
        <v>30.955793237971392</v>
      </c>
      <c r="H28" s="555">
        <f ca="1">IFERROR(__xludf.DUMMYFUNCTION("IMPORTRANGE(""https://docs.google.com/spreadsheets/d/1C3CXT74ZlgGe6_JY_1olB1XN4rF0dxEuIIF-xsYjHgg/edit?usp=sharing"",""งบกองทุน!BE32"")"),44744)</f>
        <v>44744</v>
      </c>
      <c r="I28" s="555">
        <f ca="1">IFERROR(__xludf.DUMMYFUNCTION("IMPORTRANGE(""https://docs.google.com/spreadsheets/d/1C3CXT74ZlgGe6_JY_1olB1XN4rF0dxEuIIF-xsYjHgg/edit?usp=sharing"",""งบกองทุน!BF32"")"),10122)</f>
        <v>10122</v>
      </c>
      <c r="J28" s="552">
        <f t="shared" ca="1" si="62"/>
        <v>44745.86</v>
      </c>
      <c r="K28" s="554">
        <f t="shared" ca="1" si="3"/>
        <v>100.00415698194172</v>
      </c>
      <c r="L28" s="552">
        <f t="shared" ca="1" si="63"/>
        <v>10122</v>
      </c>
      <c r="M28" s="554">
        <f t="shared" ca="1" si="4"/>
        <v>100</v>
      </c>
      <c r="N28" s="552">
        <f ca="1">IFERROR(__xludf.DUMMYFUNCTION("IMPORTRANGE(""https://docs.google.com/spreadsheets/d/11923uPwbBZFjjGgGUA6NLw09EwE0CqkOc4q9oUmW1yo/edit?usp=sharing"",""ลำปาง!J362"")"),39549.86)</f>
        <v>39549.86</v>
      </c>
      <c r="O28" s="552">
        <f ca="1">IFERROR(__xludf.DUMMYFUNCTION("IMPORTRANGE(""https://docs.google.com/spreadsheets/d/11923uPwbBZFjjGgGUA6NLw09EwE0CqkOc4q9oUmW1yo/edit?usp=sharing"",""ลำปาง!J363"")"),9246)</f>
        <v>9246</v>
      </c>
      <c r="P28" s="552">
        <f ca="1">IFERROR(__xludf.DUMMYFUNCTION("IMPORTRANGE(""https://docs.google.com/spreadsheets/d/11923uPwbBZFjjGgGUA6NLw09EwE0CqkOc4q9oUmW1yo/edit?usp=sharing"",""ลำปาง!J364"")"),3960)</f>
        <v>3960</v>
      </c>
      <c r="Q28" s="552">
        <f ca="1">IFERROR(__xludf.DUMMYFUNCTION("IMPORTRANGE(""https://docs.google.com/spreadsheets/d/11923uPwbBZFjjGgGUA6NLw09EwE0CqkOc4q9oUmW1yo/edit?usp=sharing"",""ลำปาง!J365"")"),619)</f>
        <v>619</v>
      </c>
      <c r="R28" s="552">
        <f ca="1">IFERROR(__xludf.DUMMYFUNCTION("IMPORTRANGE(""https://docs.google.com/spreadsheets/d/11923uPwbBZFjjGgGUA6NLw09EwE0CqkOc4q9oUmW1yo/edit?usp=sharing"",""ลำปาง!J366"")"),1236)</f>
        <v>1236</v>
      </c>
      <c r="S28" s="552">
        <f ca="1">IFERROR(__xludf.DUMMYFUNCTION("IMPORTRANGE(""https://docs.google.com/spreadsheets/d/11923uPwbBZFjjGgGUA6NLw09EwE0CqkOc4q9oUmW1yo/edit?usp=sharing"",""ลำปาง!J367"")"),257)</f>
        <v>257</v>
      </c>
      <c r="T28" s="552">
        <f t="shared" ca="1" si="64"/>
        <v>44745.86</v>
      </c>
      <c r="U28" s="552">
        <f t="shared" ca="1" si="6"/>
        <v>100.00415698194172</v>
      </c>
      <c r="V28" s="552">
        <f t="shared" ca="1" si="65"/>
        <v>10122</v>
      </c>
      <c r="W28" s="552">
        <f t="shared" ca="1" si="7"/>
        <v>100</v>
      </c>
      <c r="X28" s="552">
        <f ca="1">IFERROR(__xludf.DUMMYFUNCTION("IMPORTRANGE(""https://docs.google.com/spreadsheets/d/11923uPwbBZFjjGgGUA6NLw09EwE0CqkOc4q9oUmW1yo/edit?usp=sharing"",""ลำปาง!J370"")"),39169.86)</f>
        <v>39169.86</v>
      </c>
      <c r="Y28" s="552">
        <f ca="1">IFERROR(__xludf.DUMMYFUNCTION("IMPORTRANGE(""https://docs.google.com/spreadsheets/d/11923uPwbBZFjjGgGUA6NLw09EwE0CqkOc4q9oUmW1yo/edit?usp=sharing"",""ลำปาง!J371"")"),9220)</f>
        <v>9220</v>
      </c>
      <c r="Z28" s="552">
        <f ca="1">IFERROR(__xludf.DUMMYFUNCTION("IMPORTRANGE(""https://docs.google.com/spreadsheets/d/11923uPwbBZFjjGgGUA6NLw09EwE0CqkOc4q9oUmW1yo/edit?usp=sharing"",""ลำปาง!J372"")"),4086)</f>
        <v>4086</v>
      </c>
      <c r="AA28" s="552">
        <f ca="1">IFERROR(__xludf.DUMMYFUNCTION("IMPORTRANGE(""https://docs.google.com/spreadsheets/d/11923uPwbBZFjjGgGUA6NLw09EwE0CqkOc4q9oUmW1yo/edit?usp=sharing"",""ลำปาง!J373"")"),596)</f>
        <v>596</v>
      </c>
      <c r="AB28" s="552">
        <f ca="1">IFERROR(__xludf.DUMMYFUNCTION("IMPORTRANGE(""https://docs.google.com/spreadsheets/d/11923uPwbBZFjjGgGUA6NLw09EwE0CqkOc4q9oUmW1yo/edit?usp=sharing"",""ลำปาง!J374"")"),1490)</f>
        <v>1490</v>
      </c>
      <c r="AC28" s="552">
        <f ca="1">IFERROR(__xludf.DUMMYFUNCTION("IMPORTRANGE(""https://docs.google.com/spreadsheets/d/11923uPwbBZFjjGgGUA6NLw09EwE0CqkOc4q9oUmW1yo/edit?usp=sharing"",""ลำปาง!J375"")"),306)</f>
        <v>306</v>
      </c>
      <c r="AD28" s="552">
        <f t="shared" ca="1" si="66"/>
        <v>0</v>
      </c>
      <c r="AE28" s="554">
        <f t="shared" ca="1" si="9"/>
        <v>0</v>
      </c>
      <c r="AF28" s="552">
        <f t="shared" ca="1" si="67"/>
        <v>0</v>
      </c>
      <c r="AG28" s="554">
        <f t="shared" ca="1" si="10"/>
        <v>0</v>
      </c>
      <c r="AH28" s="552">
        <f ca="1">IFERROR(__xludf.DUMMYFUNCTION("IMPORTRANGE(""https://docs.google.com/spreadsheets/d/11923uPwbBZFjjGgGUA6NLw09EwE0CqkOc4q9oUmW1yo/edit?usp=sharing"",""ลำปาง!J378"")"),0)</f>
        <v>0</v>
      </c>
      <c r="AI28" s="552">
        <f ca="1">IFERROR(__xludf.DUMMYFUNCTION("IMPORTRANGE(""https://docs.google.com/spreadsheets/d/11923uPwbBZFjjGgGUA6NLw09EwE0CqkOc4q9oUmW1yo/edit?usp=sharing"",""ลำปาง!J379"")"),0)</f>
        <v>0</v>
      </c>
      <c r="AJ28" s="552">
        <f ca="1">IFERROR(__xludf.DUMMYFUNCTION("IMPORTRANGE(""https://docs.google.com/spreadsheets/d/11923uPwbBZFjjGgGUA6NLw09EwE0CqkOc4q9oUmW1yo/edit?usp=sharing"",""ลำปาง!J380"")"),0)</f>
        <v>0</v>
      </c>
      <c r="AK28" s="552">
        <f ca="1">IFERROR(__xludf.DUMMYFUNCTION("IMPORTRANGE(""https://docs.google.com/spreadsheets/d/11923uPwbBZFjjGgGUA6NLw09EwE0CqkOc4q9oUmW1yo/edit?usp=sharing"",""ลำปาง!J381"")"),0)</f>
        <v>0</v>
      </c>
      <c r="AL28" s="552">
        <f ca="1">IFERROR(__xludf.DUMMYFUNCTION("IMPORTRANGE(""https://docs.google.com/spreadsheets/d/11923uPwbBZFjjGgGUA6NLw09EwE0CqkOc4q9oUmW1yo/edit?usp=sharing"",""ลำปาง!J384"")"),0)</f>
        <v>0</v>
      </c>
      <c r="AM28" s="552">
        <f ca="1">IFERROR(__xludf.DUMMYFUNCTION("IMPORTRANGE(""https://docs.google.com/spreadsheets/d/11923uPwbBZFjjGgGUA6NLw09EwE0CqkOc4q9oUmW1yo/edit?usp=sharing"",""ลำปาง!J385"")"),0)</f>
        <v>0</v>
      </c>
      <c r="AN28" s="552">
        <f ca="1">IFERROR(__xludf.DUMMYFUNCTION("IMPORTRANGE(""https://docs.google.com/spreadsheets/d/11923uPwbBZFjjGgGUA6NLw09EwE0CqkOc4q9oUmW1yo/edit?usp=sharing"",""ลำปาง!J386"")"),0)</f>
        <v>0</v>
      </c>
      <c r="AO28" s="552">
        <f ca="1">IFERROR(__xludf.DUMMYFUNCTION("IMPORTRANGE(""https://docs.google.com/spreadsheets/d/11923uPwbBZFjjGgGUA6NLw09EwE0CqkOc4q9oUmW1yo/edit?usp=sharing"",""ลำปาง!J387"")"),0)</f>
        <v>0</v>
      </c>
      <c r="AP28" s="552">
        <f ca="1">IFERROR(__xludf.DUMMYFUNCTION("IMPORTRANGE(""https://docs.google.com/spreadsheets/d/11923uPwbBZFjjGgGUA6NLw09EwE0CqkOc4q9oUmW1yo/edit?usp=sharing"",""ลำปาง!J388"")"),0)</f>
        <v>0</v>
      </c>
      <c r="AQ28" s="552">
        <f ca="1">IFERROR(__xludf.DUMMYFUNCTION("IMPORTRANGE(""https://docs.google.com/spreadsheets/d/11923uPwbBZFjjGgGUA6NLw09EwE0CqkOc4q9oUmW1yo/edit?usp=sharing"",""ลำปาง!J389"")"),0)</f>
        <v>0</v>
      </c>
      <c r="AR28" s="552">
        <f ca="1">IFERROR(__xludf.DUMMYFUNCTION("IMPORTRANGE(""https://docs.google.com/spreadsheets/d/11923uPwbBZFjjGgGUA6NLw09EwE0CqkOc4q9oUmW1yo/edit?usp=sharing"",""ลำปาง!J390"")"),0)</f>
        <v>0</v>
      </c>
      <c r="AS28" s="552">
        <f ca="1">IFERROR(__xludf.DUMMYFUNCTION("IMPORTRANGE(""https://docs.google.com/spreadsheets/d/11923uPwbBZFjjGgGUA6NLw09EwE0CqkOc4q9oUmW1yo/edit?usp=sharing"",""ลำปาง!J391"")"),0)</f>
        <v>0</v>
      </c>
      <c r="AT28" s="556">
        <f ca="1">IFERROR(__xludf.DUMMYFUNCTION("IMPORTRANGE(""https://docs.google.com/spreadsheets/d/1C3CXT74ZlgGe6_JY_1olB1XN4rF0dxEuIIF-xsYjHgg/edit?usp=sharing"",""งบกองทุน!CD32"")"),2837)</f>
        <v>2837</v>
      </c>
      <c r="AU28" s="556">
        <f ca="1">IFERROR(__xludf.DUMMYFUNCTION("IMPORTRANGE(""https://docs.google.com/spreadsheets/d/1C3CXT74ZlgGe6_JY_1olB1XN4rF0dxEuIIF-xsYjHgg/edit?usp=sharing"",""งบกองทุน!CC32"")"),353)</f>
        <v>353</v>
      </c>
      <c r="AV28" s="556">
        <f t="shared" ca="1" si="68"/>
        <v>730</v>
      </c>
      <c r="AW28" s="556">
        <f t="shared" ca="1" si="12"/>
        <v>25.731406415227355</v>
      </c>
      <c r="AX28" s="556">
        <f t="shared" ca="1" si="69"/>
        <v>97</v>
      </c>
      <c r="AY28" s="556">
        <f t="shared" ca="1" si="13"/>
        <v>27.478753541076486</v>
      </c>
      <c r="AZ28" s="552">
        <f ca="1">IFERROR(__xludf.DUMMYFUNCTION("IMPORTRANGE(""https://docs.google.com/spreadsheets/d/11923uPwbBZFjjGgGUA6NLw09EwE0CqkOc4q9oUmW1yo/edit?usp=sharing"",""ลำปาง!J397"")"),730)</f>
        <v>730</v>
      </c>
      <c r="BA28" s="552">
        <f ca="1">IFERROR(__xludf.DUMMYFUNCTION("IMPORTRANGE(""https://docs.google.com/spreadsheets/d/11923uPwbBZFjjGgGUA6NLw09EwE0CqkOc4q9oUmW1yo/edit?usp=sharing"",""ลำปาง!J398"")"),97)</f>
        <v>97</v>
      </c>
      <c r="BB28" s="552">
        <f ca="1">IFERROR(__xludf.DUMMYFUNCTION("IMPORTRANGE(""https://docs.google.com/spreadsheets/d/11923uPwbBZFjjGgGUA6NLw09EwE0CqkOc4q9oUmW1yo/edit?usp=sharing"",""ลำปาง!J399"")"),0)</f>
        <v>0</v>
      </c>
      <c r="BC28" s="552">
        <f ca="1">IFERROR(__xludf.DUMMYFUNCTION("IMPORTRANGE(""https://docs.google.com/spreadsheets/d/11923uPwbBZFjjGgGUA6NLw09EwE0CqkOc4q9oUmW1yo/edit?usp=sharing"",""ลำปาง!J400"")"),0)</f>
        <v>0</v>
      </c>
      <c r="BD28" s="552">
        <f ca="1">IFERROR(__xludf.DUMMYFUNCTION("IMPORTRANGE(""https://docs.google.com/spreadsheets/d/11923uPwbBZFjjGgGUA6NLw09EwE0CqkOc4q9oUmW1yo/edit?usp=sharing"",""ลำปาง!J401"")"),0)</f>
        <v>0</v>
      </c>
      <c r="BE28" s="552">
        <f ca="1">IFERROR(__xludf.DUMMYFUNCTION("IMPORTRANGE(""https://docs.google.com/spreadsheets/d/11923uPwbBZFjjGgGUA6NLw09EwE0CqkOc4q9oUmW1yo/edit?usp=sharing"",""ลำปาง!J402"")"),0)</f>
        <v>0</v>
      </c>
      <c r="BF28" s="552">
        <f ca="1">IFERROR(__xludf.DUMMYFUNCTION("IMPORTRANGE(""https://docs.google.com/spreadsheets/d/11923uPwbBZFjjGgGUA6NLw09EwE0CqkOc4q9oUmW1yo/edit?usp=sharing"",""ลำปาง!J405"")"),0)</f>
        <v>0</v>
      </c>
      <c r="BG28" s="552">
        <f ca="1">IFERROR(__xludf.DUMMYFUNCTION("IMPORTRANGE(""https://docs.google.com/spreadsheets/d/11923uPwbBZFjjGgGUA6NLw09EwE0CqkOc4q9oUmW1yo/edit?usp=sharing"",""ลำปาง!J406"")"),0)</f>
        <v>0</v>
      </c>
      <c r="BH28" s="552">
        <f ca="1">IFERROR(__xludf.DUMMYFUNCTION("IMPORTRANGE(""https://docs.google.com/spreadsheets/d/11923uPwbBZFjjGgGUA6NLw09EwE0CqkOc4q9oUmW1yo/edit?usp=sharing"",""ลำปาง!J407"")"),0)</f>
        <v>0</v>
      </c>
      <c r="BI28" s="552">
        <f ca="1">IFERROR(__xludf.DUMMYFUNCTION("IMPORTRANGE(""https://docs.google.com/spreadsheets/d/11923uPwbBZFjjGgGUA6NLw09EwE0CqkOc4q9oUmW1yo/edit?usp=sharing"",""ลำปาง!J408"")"),0)</f>
        <v>0</v>
      </c>
      <c r="BJ28" s="552">
        <f ca="1">IFERROR(__xludf.DUMMYFUNCTION("IMPORTRANGE(""https://docs.google.com/spreadsheets/d/11923uPwbBZFjjGgGUA6NLw09EwE0CqkOc4q9oUmW1yo/edit?usp=sharing"",""ลำปาง!J409"")"),0)</f>
        <v>0</v>
      </c>
      <c r="BK28" s="552">
        <f ca="1">IFERROR(__xludf.DUMMYFUNCTION("IMPORTRANGE(""https://docs.google.com/spreadsheets/d/11923uPwbBZFjjGgGUA6NLw09EwE0CqkOc4q9oUmW1yo/edit?usp=sharing"",""ลำปาง!J410"")"),0)</f>
        <v>0</v>
      </c>
      <c r="BL28" s="556">
        <f ca="1">IFERROR(__xludf.DUMMYFUNCTION("IMPORTRANGE(""https://docs.google.com/spreadsheets/d/1C3CXT74ZlgGe6_JY_1olB1XN4rF0dxEuIIF-xsYjHgg/edit?usp=sharing"",""งบกองทุน!CZ32"")"),0)</f>
        <v>0</v>
      </c>
      <c r="BM28" s="556">
        <f ca="1">IFERROR(__xludf.DUMMYFUNCTION("IMPORTRANGE(""https://docs.google.com/spreadsheets/d/1C3CXT74ZlgGe6_JY_1olB1XN4rF0dxEuIIF-xsYjHgg/edit?usp=sharing"",""งบกองทุน!CY32"")"),0)</f>
        <v>0</v>
      </c>
      <c r="BN28" s="556">
        <f t="shared" ca="1" si="70"/>
        <v>0</v>
      </c>
      <c r="BO28" s="557">
        <f t="shared" ca="1" si="15"/>
        <v>0</v>
      </c>
      <c r="BP28" s="556">
        <f t="shared" ca="1" si="71"/>
        <v>0</v>
      </c>
      <c r="BQ28" s="557">
        <f t="shared" ca="1" si="16"/>
        <v>0</v>
      </c>
      <c r="BR28" s="552">
        <f ca="1">IFERROR(__xludf.DUMMYFUNCTION("IMPORTRANGE(""https://docs.google.com/spreadsheets/d/11923uPwbBZFjjGgGUA6NLw09EwE0CqkOc4q9oUmW1yo/edit?usp=sharing"",""ลำปาง!J414"")"),0)</f>
        <v>0</v>
      </c>
      <c r="BS28" s="552">
        <f ca="1">IFERROR(__xludf.DUMMYFUNCTION("IMPORTRANGE(""https://docs.google.com/spreadsheets/d/11923uPwbBZFjjGgGUA6NLw09EwE0CqkOc4q9oUmW1yo/edit?usp=sharing"",""ลำปาง!J415"")"),0)</f>
        <v>0</v>
      </c>
      <c r="BT28" s="552">
        <f ca="1">IFERROR(__xludf.DUMMYFUNCTION("IMPORTRANGE(""https://docs.google.com/spreadsheets/d/11923uPwbBZFjjGgGUA6NLw09EwE0CqkOc4q9oUmW1yo/edit?usp=sharing"",""ลำปาง!J416"")"),0)</f>
        <v>0</v>
      </c>
      <c r="BU28" s="552">
        <f ca="1">IFERROR(__xludf.DUMMYFUNCTION("IMPORTRANGE(""https://docs.google.com/spreadsheets/d/11923uPwbBZFjjGgGUA6NLw09EwE0CqkOc4q9oUmW1yo/edit?usp=sharing"",""ลำปาง!J417"")"),0)</f>
        <v>0</v>
      </c>
      <c r="BV28" s="552">
        <f ca="1">IFERROR(__xludf.DUMMYFUNCTION("IMPORTRANGE(""https://docs.google.com/spreadsheets/d/11923uPwbBZFjjGgGUA6NLw09EwE0CqkOc4q9oUmW1yo/edit?usp=sharing"",""ลำปาง!J418"")"),54)</f>
        <v>54</v>
      </c>
      <c r="BW28" s="552">
        <f ca="1">IFERROR(__xludf.DUMMYFUNCTION("IMPORTRANGE(""https://docs.google.com/spreadsheets/d/11923uPwbBZFjjGgGUA6NLw09EwE0CqkOc4q9oUmW1yo/edit?usp=sharing"",""ลำปาง!J419"")"),6)</f>
        <v>6</v>
      </c>
      <c r="BX28" s="556">
        <f t="shared" ca="1" si="72"/>
        <v>0</v>
      </c>
      <c r="BY28" s="557">
        <f t="shared" ca="1" si="18"/>
        <v>0</v>
      </c>
      <c r="BZ28" s="556">
        <f t="shared" ca="1" si="73"/>
        <v>0</v>
      </c>
      <c r="CA28" s="557">
        <f t="shared" ca="1" si="19"/>
        <v>0</v>
      </c>
      <c r="CB28" s="552">
        <f ca="1">IFERROR(__xludf.DUMMYFUNCTION("IMPORTRANGE(""https://docs.google.com/spreadsheets/d/11923uPwbBZFjjGgGUA6NLw09EwE0CqkOc4q9oUmW1yo/edit?usp=sharing"",""ลำปาง!J422"")"),0)</f>
        <v>0</v>
      </c>
      <c r="CC28" s="552">
        <f ca="1">IFERROR(__xludf.DUMMYFUNCTION("IMPORTRANGE(""https://docs.google.com/spreadsheets/d/11923uPwbBZFjjGgGUA6NLw09EwE0CqkOc4q9oUmW1yo/edit?usp=sharing"",""ลำปาง!J423"")"),0)</f>
        <v>0</v>
      </c>
      <c r="CD28" s="552">
        <f ca="1">IFERROR(__xludf.DUMMYFUNCTION("IMPORTRANGE(""https://docs.google.com/spreadsheets/d/11923uPwbBZFjjGgGUA6NLw09EwE0CqkOc4q9oUmW1yo/edit?usp=sharing"",""ลำปาง!J424"")"),0)</f>
        <v>0</v>
      </c>
      <c r="CE28" s="552">
        <f ca="1">IFERROR(__xludf.DUMMYFUNCTION("IMPORTRANGE(""https://docs.google.com/spreadsheets/d/11923uPwbBZFjjGgGUA6NLw09EwE0CqkOc4q9oUmW1yo/edit?usp=sharing"",""ลำปาง!J425"")"),0)</f>
        <v>0</v>
      </c>
      <c r="CF28" s="552">
        <f ca="1">IFERROR(__xludf.DUMMYFUNCTION("IMPORTRANGE(""https://docs.google.com/spreadsheets/d/11923uPwbBZFjjGgGUA6NLw09EwE0CqkOc4q9oUmW1yo/edit?usp=sharing"",""ลำปาง!J426"")"),0)</f>
        <v>0</v>
      </c>
      <c r="CG28" s="558">
        <f ca="1">IFERROR(__xludf.DUMMYFUNCTION("IMPORTRANGE(""https://docs.google.com/spreadsheets/d/11923uPwbBZFjjGgGUA6NLw09EwE0CqkOc4q9oUmW1yo/edit?usp=sharing"",""ลำปาง!J427"")"),0)</f>
        <v>0</v>
      </c>
    </row>
    <row r="29" spans="1:85" ht="21" customHeight="1">
      <c r="A29" s="549">
        <v>14</v>
      </c>
      <c r="B29" s="550" t="s">
        <v>53</v>
      </c>
      <c r="C29" s="551">
        <f t="shared" ca="1" si="61"/>
        <v>447250</v>
      </c>
      <c r="D29" s="552">
        <f ca="1">IFERROR(__xludf.DUMMYFUNCTION("IMPORTRANGE(""https://docs.google.com/spreadsheets/d/1C3CXT74ZlgGe6_JY_1olB1XN4rF0dxEuIIF-xsYjHgg/edit?usp=sharing"",""งบกองทุน!BC33"")"),0)</f>
        <v>0</v>
      </c>
      <c r="E29" s="553">
        <f ca="1">IFERROR(__xludf.DUMMYFUNCTION("IMPORTRANGE(""https://docs.google.com/spreadsheets/d/1C3CXT74ZlgGe6_JY_1olB1XN4rF0dxEuIIF-xsYjHgg/edit?usp=sharing"",""งบกองทุน!BD33"")"),447250)</f>
        <v>447250</v>
      </c>
      <c r="F29" s="554">
        <f ca="1">IFERROR(__xludf.DUMMYFUNCTION("IMPORTRANGE(""https://docs.google.com/spreadsheets/d/11923uPwbBZFjjGgGUA6NLw09EwE0CqkOc4q9oUmW1yo/edit?usp=sharing"",""ลำพูน!M352"")"),145824)</f>
        <v>145824</v>
      </c>
      <c r="G29" s="554">
        <f t="shared" ca="1" si="1"/>
        <v>32.604583566238119</v>
      </c>
      <c r="H29" s="555">
        <f ca="1">IFERROR(__xludf.DUMMYFUNCTION("IMPORTRANGE(""https://docs.google.com/spreadsheets/d/1C3CXT74ZlgGe6_JY_1olB1XN4rF0dxEuIIF-xsYjHgg/edit?usp=sharing"",""งบกองทุน!BE33"")"),41345)</f>
        <v>41345</v>
      </c>
      <c r="I29" s="555">
        <f ca="1">IFERROR(__xludf.DUMMYFUNCTION("IMPORTRANGE(""https://docs.google.com/spreadsheets/d/1C3CXT74ZlgGe6_JY_1olB1XN4rF0dxEuIIF-xsYjHgg/edit?usp=sharing"",""งบกองทุน!BF33"")"),6424)</f>
        <v>6424</v>
      </c>
      <c r="J29" s="552">
        <f t="shared" ca="1" si="62"/>
        <v>41345</v>
      </c>
      <c r="K29" s="554">
        <f t="shared" ca="1" si="3"/>
        <v>100</v>
      </c>
      <c r="L29" s="552">
        <f t="shared" ca="1" si="63"/>
        <v>6424</v>
      </c>
      <c r="M29" s="554">
        <f t="shared" ca="1" si="4"/>
        <v>100</v>
      </c>
      <c r="N29" s="552">
        <f ca="1">IFERROR(__xludf.DUMMYFUNCTION("IMPORTRANGE(""https://docs.google.com/spreadsheets/d/11923uPwbBZFjjGgGUA6NLw09EwE0CqkOc4q9oUmW1yo/edit?usp=sharing"",""ลำพูน!J362"")"),30456)</f>
        <v>30456</v>
      </c>
      <c r="O29" s="552">
        <f ca="1">IFERROR(__xludf.DUMMYFUNCTION("IMPORTRANGE(""https://docs.google.com/spreadsheets/d/11923uPwbBZFjjGgGUA6NLw09EwE0CqkOc4q9oUmW1yo/edit?usp=sharing"",""ลำพูน!J363"")"),4984)</f>
        <v>4984</v>
      </c>
      <c r="P29" s="552">
        <f ca="1">IFERROR(__xludf.DUMMYFUNCTION("IMPORTRANGE(""https://docs.google.com/spreadsheets/d/11923uPwbBZFjjGgGUA6NLw09EwE0CqkOc4q9oUmW1yo/edit?usp=sharing"",""ลำพูน!J364"")"),10287)</f>
        <v>10287</v>
      </c>
      <c r="Q29" s="552">
        <f ca="1">IFERROR(__xludf.DUMMYFUNCTION("IMPORTRANGE(""https://docs.google.com/spreadsheets/d/11923uPwbBZFjjGgGUA6NLw09EwE0CqkOc4q9oUmW1yo/edit?usp=sharing"",""ลำพูน!J365"")"),1333)</f>
        <v>1333</v>
      </c>
      <c r="R29" s="552">
        <f ca="1">IFERROR(__xludf.DUMMYFUNCTION("IMPORTRANGE(""https://docs.google.com/spreadsheets/d/11923uPwbBZFjjGgGUA6NLw09EwE0CqkOc4q9oUmW1yo/edit?usp=sharing"",""ลำพูน!J366"")"),602)</f>
        <v>602</v>
      </c>
      <c r="S29" s="552">
        <f ca="1">IFERROR(__xludf.DUMMYFUNCTION("IMPORTRANGE(""https://docs.google.com/spreadsheets/d/11923uPwbBZFjjGgGUA6NLw09EwE0CqkOc4q9oUmW1yo/edit?usp=sharing"",""ลำพูน!J367"")"),107)</f>
        <v>107</v>
      </c>
      <c r="T29" s="552">
        <f t="shared" ca="1" si="64"/>
        <v>41345</v>
      </c>
      <c r="U29" s="552">
        <f t="shared" ca="1" si="6"/>
        <v>100</v>
      </c>
      <c r="V29" s="552">
        <f t="shared" ca="1" si="65"/>
        <v>6424</v>
      </c>
      <c r="W29" s="552">
        <f t="shared" ca="1" si="7"/>
        <v>100</v>
      </c>
      <c r="X29" s="552">
        <f ca="1">IFERROR(__xludf.DUMMYFUNCTION("IMPORTRANGE(""https://docs.google.com/spreadsheets/d/11923uPwbBZFjjGgGUA6NLw09EwE0CqkOc4q9oUmW1yo/edit?usp=sharing"",""ลำพูน!J370"")"),30456)</f>
        <v>30456</v>
      </c>
      <c r="Y29" s="552">
        <f ca="1">IFERROR(__xludf.DUMMYFUNCTION("IMPORTRANGE(""https://docs.google.com/spreadsheets/d/11923uPwbBZFjjGgGUA6NLw09EwE0CqkOc4q9oUmW1yo/edit?usp=sharing"",""ลำพูน!J371"")"),4984)</f>
        <v>4984</v>
      </c>
      <c r="Z29" s="552">
        <f ca="1">IFERROR(__xludf.DUMMYFUNCTION("IMPORTRANGE(""https://docs.google.com/spreadsheets/d/11923uPwbBZFjjGgGUA6NLw09EwE0CqkOc4q9oUmW1yo/edit?usp=sharing"",""ลำพูน!J372"")"),10287)</f>
        <v>10287</v>
      </c>
      <c r="AA29" s="552">
        <f ca="1">IFERROR(__xludf.DUMMYFUNCTION("IMPORTRANGE(""https://docs.google.com/spreadsheets/d/11923uPwbBZFjjGgGUA6NLw09EwE0CqkOc4q9oUmW1yo/edit?usp=sharing"",""ลำพูน!J373"")"),1333)</f>
        <v>1333</v>
      </c>
      <c r="AB29" s="552">
        <f ca="1">IFERROR(__xludf.DUMMYFUNCTION("IMPORTRANGE(""https://docs.google.com/spreadsheets/d/11923uPwbBZFjjGgGUA6NLw09EwE0CqkOc4q9oUmW1yo/edit?usp=sharing"",""ลำพูน!J374"")"),602)</f>
        <v>602</v>
      </c>
      <c r="AC29" s="552">
        <f ca="1">IFERROR(__xludf.DUMMYFUNCTION("IMPORTRANGE(""https://docs.google.com/spreadsheets/d/11923uPwbBZFjjGgGUA6NLw09EwE0CqkOc4q9oUmW1yo/edit?usp=sharing"",""ลำพูน!J375"")"),107)</f>
        <v>107</v>
      </c>
      <c r="AD29" s="552">
        <f t="shared" ca="1" si="66"/>
        <v>0</v>
      </c>
      <c r="AE29" s="554">
        <f t="shared" ca="1" si="9"/>
        <v>0</v>
      </c>
      <c r="AF29" s="552">
        <f t="shared" ca="1" si="67"/>
        <v>0</v>
      </c>
      <c r="AG29" s="554">
        <f t="shared" ca="1" si="10"/>
        <v>0</v>
      </c>
      <c r="AH29" s="552">
        <f ca="1">IFERROR(__xludf.DUMMYFUNCTION("IMPORTRANGE(""https://docs.google.com/spreadsheets/d/11923uPwbBZFjjGgGUA6NLw09EwE0CqkOc4q9oUmW1yo/edit?usp=sharing"",""ลำพูน!J378"")"),0)</f>
        <v>0</v>
      </c>
      <c r="AI29" s="552">
        <f ca="1">IFERROR(__xludf.DUMMYFUNCTION("IMPORTRANGE(""https://docs.google.com/spreadsheets/d/11923uPwbBZFjjGgGUA6NLw09EwE0CqkOc4q9oUmW1yo/edit?usp=sharing"",""ลำพูน!J379"")"),0)</f>
        <v>0</v>
      </c>
      <c r="AJ29" s="552">
        <f ca="1">IFERROR(__xludf.DUMMYFUNCTION("IMPORTRANGE(""https://docs.google.com/spreadsheets/d/11923uPwbBZFjjGgGUA6NLw09EwE0CqkOc4q9oUmW1yo/edit?usp=sharing"",""ลำพูน!J380"")"),0)</f>
        <v>0</v>
      </c>
      <c r="AK29" s="552">
        <f ca="1">IFERROR(__xludf.DUMMYFUNCTION("IMPORTRANGE(""https://docs.google.com/spreadsheets/d/11923uPwbBZFjjGgGUA6NLw09EwE0CqkOc4q9oUmW1yo/edit?usp=sharing"",""ลำพูน!J381"")"),0)</f>
        <v>0</v>
      </c>
      <c r="AL29" s="552">
        <f ca="1">IFERROR(__xludf.DUMMYFUNCTION("IMPORTRANGE(""https://docs.google.com/spreadsheets/d/11923uPwbBZFjjGgGUA6NLw09EwE0CqkOc4q9oUmW1yo/edit?usp=sharing"",""ลำพูน!J384"")"),0)</f>
        <v>0</v>
      </c>
      <c r="AM29" s="552">
        <f ca="1">IFERROR(__xludf.DUMMYFUNCTION("IMPORTRANGE(""https://docs.google.com/spreadsheets/d/11923uPwbBZFjjGgGUA6NLw09EwE0CqkOc4q9oUmW1yo/edit?usp=sharing"",""ลำพูน!J385"")"),0)</f>
        <v>0</v>
      </c>
      <c r="AN29" s="552">
        <f ca="1">IFERROR(__xludf.DUMMYFUNCTION("IMPORTRANGE(""https://docs.google.com/spreadsheets/d/11923uPwbBZFjjGgGUA6NLw09EwE0CqkOc4q9oUmW1yo/edit?usp=sharing"",""ลำพูน!J386"")"),0)</f>
        <v>0</v>
      </c>
      <c r="AO29" s="552">
        <f ca="1">IFERROR(__xludf.DUMMYFUNCTION("IMPORTRANGE(""https://docs.google.com/spreadsheets/d/11923uPwbBZFjjGgGUA6NLw09EwE0CqkOc4q9oUmW1yo/edit?usp=sharing"",""ลำพูน!J387"")"),0)</f>
        <v>0</v>
      </c>
      <c r="AP29" s="552">
        <f ca="1">IFERROR(__xludf.DUMMYFUNCTION("IMPORTRANGE(""https://docs.google.com/spreadsheets/d/11923uPwbBZFjjGgGUA6NLw09EwE0CqkOc4q9oUmW1yo/edit?usp=sharing"",""ลำพูน!J388"")"),0)</f>
        <v>0</v>
      </c>
      <c r="AQ29" s="552">
        <f ca="1">IFERROR(__xludf.DUMMYFUNCTION("IMPORTRANGE(""https://docs.google.com/spreadsheets/d/11923uPwbBZFjjGgGUA6NLw09EwE0CqkOc4q9oUmW1yo/edit?usp=sharing"",""ลำพูน!J389"")"),0)</f>
        <v>0</v>
      </c>
      <c r="AR29" s="552">
        <f ca="1">IFERROR(__xludf.DUMMYFUNCTION("IMPORTRANGE(""https://docs.google.com/spreadsheets/d/11923uPwbBZFjjGgGUA6NLw09EwE0CqkOc4q9oUmW1yo/edit?usp=sharing"",""ลำพูน!J390"")"),0)</f>
        <v>0</v>
      </c>
      <c r="AS29" s="552">
        <f ca="1">IFERROR(__xludf.DUMMYFUNCTION("IMPORTRANGE(""https://docs.google.com/spreadsheets/d/11923uPwbBZFjjGgGUA6NLw09EwE0CqkOc4q9oUmW1yo/edit?usp=sharing"",""ลำพูน!J391"")"),0)</f>
        <v>0</v>
      </c>
      <c r="AT29" s="556">
        <f ca="1">IFERROR(__xludf.DUMMYFUNCTION("IMPORTRANGE(""https://docs.google.com/spreadsheets/d/1C3CXT74ZlgGe6_JY_1olB1XN4rF0dxEuIIF-xsYjHgg/edit?usp=sharing"",""งบกองทุน!CD33"")"),138)</f>
        <v>138</v>
      </c>
      <c r="AU29" s="556">
        <f ca="1">IFERROR(__xludf.DUMMYFUNCTION("IMPORTRANGE(""https://docs.google.com/spreadsheets/d/1C3CXT74ZlgGe6_JY_1olB1XN4rF0dxEuIIF-xsYjHgg/edit?usp=sharing"",""งบกองทุน!CC33"")"),17)</f>
        <v>17</v>
      </c>
      <c r="AV29" s="556">
        <f t="shared" ca="1" si="68"/>
        <v>138</v>
      </c>
      <c r="AW29" s="556">
        <f t="shared" ca="1" si="12"/>
        <v>100</v>
      </c>
      <c r="AX29" s="556">
        <f t="shared" ca="1" si="69"/>
        <v>17</v>
      </c>
      <c r="AY29" s="556">
        <f t="shared" ca="1" si="13"/>
        <v>100</v>
      </c>
      <c r="AZ29" s="552">
        <f ca="1">IFERROR(__xludf.DUMMYFUNCTION("IMPORTRANGE(""https://docs.google.com/spreadsheets/d/11923uPwbBZFjjGgGUA6NLw09EwE0CqkOc4q9oUmW1yo/edit?usp=sharing"",""ลำพูน!J397"")"),138)</f>
        <v>138</v>
      </c>
      <c r="BA29" s="552">
        <f ca="1">IFERROR(__xludf.DUMMYFUNCTION("IMPORTRANGE(""https://docs.google.com/spreadsheets/d/11923uPwbBZFjjGgGUA6NLw09EwE0CqkOc4q9oUmW1yo/edit?usp=sharing"",""ลำพูน!J398"")"),17)</f>
        <v>17</v>
      </c>
      <c r="BB29" s="552">
        <f ca="1">IFERROR(__xludf.DUMMYFUNCTION("IMPORTRANGE(""https://docs.google.com/spreadsheets/d/11923uPwbBZFjjGgGUA6NLw09EwE0CqkOc4q9oUmW1yo/edit?usp=sharing"",""ลำพูน!J399"")"),0)</f>
        <v>0</v>
      </c>
      <c r="BC29" s="552">
        <f ca="1">IFERROR(__xludf.DUMMYFUNCTION("IMPORTRANGE(""https://docs.google.com/spreadsheets/d/11923uPwbBZFjjGgGUA6NLw09EwE0CqkOc4q9oUmW1yo/edit?usp=sharing"",""ลำพูน!J400"")"),0)</f>
        <v>0</v>
      </c>
      <c r="BD29" s="552">
        <f ca="1">IFERROR(__xludf.DUMMYFUNCTION("IMPORTRANGE(""https://docs.google.com/spreadsheets/d/11923uPwbBZFjjGgGUA6NLw09EwE0CqkOc4q9oUmW1yo/edit?usp=sharing"",""ลำพูน!J401"")"),0)</f>
        <v>0</v>
      </c>
      <c r="BE29" s="552">
        <f ca="1">IFERROR(__xludf.DUMMYFUNCTION("IMPORTRANGE(""https://docs.google.com/spreadsheets/d/11923uPwbBZFjjGgGUA6NLw09EwE0CqkOc4q9oUmW1yo/edit?usp=sharing"",""ลำพูน!J402"")"),0)</f>
        <v>0</v>
      </c>
      <c r="BF29" s="552">
        <f ca="1">IFERROR(__xludf.DUMMYFUNCTION("IMPORTRANGE(""https://docs.google.com/spreadsheets/d/11923uPwbBZFjjGgGUA6NLw09EwE0CqkOc4q9oUmW1yo/edit?usp=sharing"",""ลำพูน!J405"")"),0)</f>
        <v>0</v>
      </c>
      <c r="BG29" s="552">
        <f ca="1">IFERROR(__xludf.DUMMYFUNCTION("IMPORTRANGE(""https://docs.google.com/spreadsheets/d/11923uPwbBZFjjGgGUA6NLw09EwE0CqkOc4q9oUmW1yo/edit?usp=sharing"",""ลำพูน!J406"")"),0)</f>
        <v>0</v>
      </c>
      <c r="BH29" s="552">
        <f ca="1">IFERROR(__xludf.DUMMYFUNCTION("IMPORTRANGE(""https://docs.google.com/spreadsheets/d/11923uPwbBZFjjGgGUA6NLw09EwE0CqkOc4q9oUmW1yo/edit?usp=sharing"",""ลำพูน!J407"")"),0)</f>
        <v>0</v>
      </c>
      <c r="BI29" s="552">
        <f ca="1">IFERROR(__xludf.DUMMYFUNCTION("IMPORTRANGE(""https://docs.google.com/spreadsheets/d/11923uPwbBZFjjGgGUA6NLw09EwE0CqkOc4q9oUmW1yo/edit?usp=sharing"",""ลำพูน!J408"")"),0)</f>
        <v>0</v>
      </c>
      <c r="BJ29" s="552">
        <f ca="1">IFERROR(__xludf.DUMMYFUNCTION("IMPORTRANGE(""https://docs.google.com/spreadsheets/d/11923uPwbBZFjjGgGUA6NLw09EwE0CqkOc4q9oUmW1yo/edit?usp=sharing"",""ลำพูน!J409"")"),0)</f>
        <v>0</v>
      </c>
      <c r="BK29" s="552">
        <f ca="1">IFERROR(__xludf.DUMMYFUNCTION("IMPORTRANGE(""https://docs.google.com/spreadsheets/d/11923uPwbBZFjjGgGUA6NLw09EwE0CqkOc4q9oUmW1yo/edit?usp=sharing"",""ลำพูน!J410"")"),0)</f>
        <v>0</v>
      </c>
      <c r="BL29" s="556">
        <f ca="1">IFERROR(__xludf.DUMMYFUNCTION("IMPORTRANGE(""https://docs.google.com/spreadsheets/d/1C3CXT74ZlgGe6_JY_1olB1XN4rF0dxEuIIF-xsYjHgg/edit?usp=sharing"",""งบกองทุน!CZ33"")"),0)</f>
        <v>0</v>
      </c>
      <c r="BM29" s="556">
        <f ca="1">IFERROR(__xludf.DUMMYFUNCTION("IMPORTRANGE(""https://docs.google.com/spreadsheets/d/1C3CXT74ZlgGe6_JY_1olB1XN4rF0dxEuIIF-xsYjHgg/edit?usp=sharing"",""งบกองทุน!CY33"")"),0)</f>
        <v>0</v>
      </c>
      <c r="BN29" s="556">
        <f t="shared" ca="1" si="70"/>
        <v>0</v>
      </c>
      <c r="BO29" s="557">
        <f t="shared" ca="1" si="15"/>
        <v>0</v>
      </c>
      <c r="BP29" s="556">
        <f t="shared" ca="1" si="71"/>
        <v>0</v>
      </c>
      <c r="BQ29" s="557">
        <f t="shared" ca="1" si="16"/>
        <v>0</v>
      </c>
      <c r="BR29" s="552">
        <f ca="1">IFERROR(__xludf.DUMMYFUNCTION("IMPORTRANGE(""https://docs.google.com/spreadsheets/d/11923uPwbBZFjjGgGUA6NLw09EwE0CqkOc4q9oUmW1yo/edit?usp=sharing"",""ลำพูน!J414"")"),0)</f>
        <v>0</v>
      </c>
      <c r="BS29" s="552">
        <f ca="1">IFERROR(__xludf.DUMMYFUNCTION("IMPORTRANGE(""https://docs.google.com/spreadsheets/d/11923uPwbBZFjjGgGUA6NLw09EwE0CqkOc4q9oUmW1yo/edit?usp=sharing"",""ลำพูน!J415"")"),0)</f>
        <v>0</v>
      </c>
      <c r="BT29" s="552">
        <f ca="1">IFERROR(__xludf.DUMMYFUNCTION("IMPORTRANGE(""https://docs.google.com/spreadsheets/d/11923uPwbBZFjjGgGUA6NLw09EwE0CqkOc4q9oUmW1yo/edit?usp=sharing"",""ลำพูน!J416"")"),0)</f>
        <v>0</v>
      </c>
      <c r="BU29" s="552">
        <f ca="1">IFERROR(__xludf.DUMMYFUNCTION("IMPORTRANGE(""https://docs.google.com/spreadsheets/d/11923uPwbBZFjjGgGUA6NLw09EwE0CqkOc4q9oUmW1yo/edit?usp=sharing"",""ลำพูน!J417"")"),0)</f>
        <v>0</v>
      </c>
      <c r="BV29" s="552">
        <f ca="1">IFERROR(__xludf.DUMMYFUNCTION("IMPORTRANGE(""https://docs.google.com/spreadsheets/d/11923uPwbBZFjjGgGUA6NLw09EwE0CqkOc4q9oUmW1yo/edit?usp=sharing"",""ลำพูน!J418"")"),157)</f>
        <v>157</v>
      </c>
      <c r="BW29" s="552">
        <f ca="1">IFERROR(__xludf.DUMMYFUNCTION("IMPORTRANGE(""https://docs.google.com/spreadsheets/d/11923uPwbBZFjjGgGUA6NLw09EwE0CqkOc4q9oUmW1yo/edit?usp=sharing"",""ลำพูน!J419"")"),18)</f>
        <v>18</v>
      </c>
      <c r="BX29" s="556">
        <f t="shared" ca="1" si="72"/>
        <v>157</v>
      </c>
      <c r="BY29" s="557">
        <f t="shared" ca="1" si="18"/>
        <v>100</v>
      </c>
      <c r="BZ29" s="556">
        <f t="shared" ca="1" si="73"/>
        <v>18</v>
      </c>
      <c r="CA29" s="557">
        <f t="shared" ca="1" si="19"/>
        <v>100</v>
      </c>
      <c r="CB29" s="552">
        <f ca="1">IFERROR(__xludf.DUMMYFUNCTION("IMPORTRANGE(""https://docs.google.com/spreadsheets/d/11923uPwbBZFjjGgGUA6NLw09EwE0CqkOc4q9oUmW1yo/edit?usp=sharing"",""ลำพูน!J422"")"),19)</f>
        <v>19</v>
      </c>
      <c r="CC29" s="552">
        <f ca="1">IFERROR(__xludf.DUMMYFUNCTION("IMPORTRANGE(""https://docs.google.com/spreadsheets/d/11923uPwbBZFjjGgGUA6NLw09EwE0CqkOc4q9oUmW1yo/edit?usp=sharing"",""ลำพูน!J423"")"),2)</f>
        <v>2</v>
      </c>
      <c r="CD29" s="552">
        <f ca="1">IFERROR(__xludf.DUMMYFUNCTION("IMPORTRANGE(""https://docs.google.com/spreadsheets/d/11923uPwbBZFjjGgGUA6NLw09EwE0CqkOc4q9oUmW1yo/edit?usp=sharing"",""ลำพูน!J424"")"),0)</f>
        <v>0</v>
      </c>
      <c r="CE29" s="552">
        <f ca="1">IFERROR(__xludf.DUMMYFUNCTION("IMPORTRANGE(""https://docs.google.com/spreadsheets/d/11923uPwbBZFjjGgGUA6NLw09EwE0CqkOc4q9oUmW1yo/edit?usp=sharing"",""ลำพูน!J425"")"),16)</f>
        <v>16</v>
      </c>
      <c r="CF29" s="552">
        <f ca="1">IFERROR(__xludf.DUMMYFUNCTION("IMPORTRANGE(""https://docs.google.com/spreadsheets/d/11923uPwbBZFjjGgGUA6NLw09EwE0CqkOc4q9oUmW1yo/edit?usp=sharing"",""ลำพูน!J426"")"),138)</f>
        <v>138</v>
      </c>
      <c r="CG29" s="558">
        <f ca="1">IFERROR(__xludf.DUMMYFUNCTION("IMPORTRANGE(""https://docs.google.com/spreadsheets/d/11923uPwbBZFjjGgGUA6NLw09EwE0CqkOc4q9oUmW1yo/edit?usp=sharing"",""ลำพูน!J427"")"),0)</f>
        <v>0</v>
      </c>
    </row>
    <row r="30" spans="1:85" ht="21" customHeight="1">
      <c r="A30" s="549">
        <v>15</v>
      </c>
      <c r="B30" s="550" t="s">
        <v>54</v>
      </c>
      <c r="C30" s="551">
        <f t="shared" ca="1" si="61"/>
        <v>382323</v>
      </c>
      <c r="D30" s="552">
        <f ca="1">IFERROR(__xludf.DUMMYFUNCTION("IMPORTRANGE(""https://docs.google.com/spreadsheets/d/1C3CXT74ZlgGe6_JY_1olB1XN4rF0dxEuIIF-xsYjHgg/edit?usp=sharing"",""งบกองทุน!BC34"")"),0)</f>
        <v>0</v>
      </c>
      <c r="E30" s="553">
        <f ca="1">IFERROR(__xludf.DUMMYFUNCTION("IMPORTRANGE(""https://docs.google.com/spreadsheets/d/1C3CXT74ZlgGe6_JY_1olB1XN4rF0dxEuIIF-xsYjHgg/edit?usp=sharing"",""งบกองทุน!BD34"")"),382323)</f>
        <v>382323</v>
      </c>
      <c r="F30" s="554">
        <f ca="1">IFERROR(__xludf.DUMMYFUNCTION("IMPORTRANGE(""https://docs.google.com/spreadsheets/d/11923uPwbBZFjjGgGUA6NLw09EwE0CqkOc4q9oUmW1yo/edit?usp=sharing"",""สุโขทัย!M352"")"),90223.19)</f>
        <v>90223.19</v>
      </c>
      <c r="G30" s="554">
        <f t="shared" ca="1" si="1"/>
        <v>23.598682266042065</v>
      </c>
      <c r="H30" s="555">
        <f ca="1">IFERROR(__xludf.DUMMYFUNCTION("IMPORTRANGE(""https://docs.google.com/spreadsheets/d/1C3CXT74ZlgGe6_JY_1olB1XN4rF0dxEuIIF-xsYjHgg/edit?usp=sharing"",""งบกองทุน!BE34"")"),35801)</f>
        <v>35801</v>
      </c>
      <c r="I30" s="555">
        <f ca="1">IFERROR(__xludf.DUMMYFUNCTION("IMPORTRANGE(""https://docs.google.com/spreadsheets/d/1C3CXT74ZlgGe6_JY_1olB1XN4rF0dxEuIIF-xsYjHgg/edit?usp=sharing"",""งบกองทุน!BF34"")"),4578)</f>
        <v>4578</v>
      </c>
      <c r="J30" s="552">
        <f t="shared" ca="1" si="62"/>
        <v>35801</v>
      </c>
      <c r="K30" s="554">
        <f t="shared" ca="1" si="3"/>
        <v>100</v>
      </c>
      <c r="L30" s="552">
        <f t="shared" ca="1" si="63"/>
        <v>4578</v>
      </c>
      <c r="M30" s="554">
        <f t="shared" ca="1" si="4"/>
        <v>100</v>
      </c>
      <c r="N30" s="552">
        <f ca="1">IFERROR(__xludf.DUMMYFUNCTION("IMPORTRANGE(""https://docs.google.com/spreadsheets/d/11923uPwbBZFjjGgGUA6NLw09EwE0CqkOc4q9oUmW1yo/edit?usp=sharing"",""สุโขทัย!J362"")"),22957)</f>
        <v>22957</v>
      </c>
      <c r="O30" s="552">
        <f ca="1">IFERROR(__xludf.DUMMYFUNCTION("IMPORTRANGE(""https://docs.google.com/spreadsheets/d/11923uPwbBZFjjGgGUA6NLw09EwE0CqkOc4q9oUmW1yo/edit?usp=sharing"",""สุโขทัย!J363"")"),2801)</f>
        <v>2801</v>
      </c>
      <c r="P30" s="552">
        <f ca="1">IFERROR(__xludf.DUMMYFUNCTION("IMPORTRANGE(""https://docs.google.com/spreadsheets/d/11923uPwbBZFjjGgGUA6NLw09EwE0CqkOc4q9oUmW1yo/edit?usp=sharing"",""สุโขทัย!J364"")"),12109)</f>
        <v>12109</v>
      </c>
      <c r="Q30" s="552">
        <f ca="1">IFERROR(__xludf.DUMMYFUNCTION("IMPORTRANGE(""https://docs.google.com/spreadsheets/d/11923uPwbBZFjjGgGUA6NLw09EwE0CqkOc4q9oUmW1yo/edit?usp=sharing"",""สุโขทัย!J365"")"),1697)</f>
        <v>1697</v>
      </c>
      <c r="R30" s="552">
        <f ca="1">IFERROR(__xludf.DUMMYFUNCTION("IMPORTRANGE(""https://docs.google.com/spreadsheets/d/11923uPwbBZFjjGgGUA6NLw09EwE0CqkOc4q9oUmW1yo/edit?usp=sharing"",""สุโขทัย!J366"")"),735)</f>
        <v>735</v>
      </c>
      <c r="S30" s="552">
        <f ca="1">IFERROR(__xludf.DUMMYFUNCTION("IMPORTRANGE(""https://docs.google.com/spreadsheets/d/11923uPwbBZFjjGgGUA6NLw09EwE0CqkOc4q9oUmW1yo/edit?usp=sharing"",""สุโขทัย!J367"")"),80)</f>
        <v>80</v>
      </c>
      <c r="T30" s="552">
        <f t="shared" ca="1" si="64"/>
        <v>35802</v>
      </c>
      <c r="U30" s="552">
        <f t="shared" ca="1" si="6"/>
        <v>100.00279321806653</v>
      </c>
      <c r="V30" s="552">
        <f t="shared" ca="1" si="65"/>
        <v>4578</v>
      </c>
      <c r="W30" s="552">
        <f t="shared" ca="1" si="7"/>
        <v>100</v>
      </c>
      <c r="X30" s="552">
        <f ca="1">IFERROR(__xludf.DUMMYFUNCTION("IMPORTRANGE(""https://docs.google.com/spreadsheets/d/11923uPwbBZFjjGgGUA6NLw09EwE0CqkOc4q9oUmW1yo/edit?usp=sharing"",""สุโขทัย!J370"")"),30832)</f>
        <v>30832</v>
      </c>
      <c r="Y30" s="552">
        <f ca="1">IFERROR(__xludf.DUMMYFUNCTION("IMPORTRANGE(""https://docs.google.com/spreadsheets/d/11923uPwbBZFjjGgGUA6NLw09EwE0CqkOc4q9oUmW1yo/edit?usp=sharing"",""สุโขทัย!J371"")"),4045)</f>
        <v>4045</v>
      </c>
      <c r="Z30" s="552">
        <f ca="1">IFERROR(__xludf.DUMMYFUNCTION("IMPORTRANGE(""https://docs.google.com/spreadsheets/d/11923uPwbBZFjjGgGUA6NLw09EwE0CqkOc4q9oUmW1yo/edit?usp=sharing"",""สุโขทัย!J372"")"),4158)</f>
        <v>4158</v>
      </c>
      <c r="AA30" s="552">
        <f ca="1">IFERROR(__xludf.DUMMYFUNCTION("IMPORTRANGE(""https://docs.google.com/spreadsheets/d/11923uPwbBZFjjGgGUA6NLw09EwE0CqkOc4q9oUmW1yo/edit?usp=sharing"",""สุโขทัย!J373"")"),444)</f>
        <v>444</v>
      </c>
      <c r="AB30" s="552">
        <f ca="1">IFERROR(__xludf.DUMMYFUNCTION("IMPORTRANGE(""https://docs.google.com/spreadsheets/d/11923uPwbBZFjjGgGUA6NLw09EwE0CqkOc4q9oUmW1yo/edit?usp=sharing"",""สุโขทัย!J374"")"),812)</f>
        <v>812</v>
      </c>
      <c r="AC30" s="552">
        <f ca="1">IFERROR(__xludf.DUMMYFUNCTION("IMPORTRANGE(""https://docs.google.com/spreadsheets/d/11923uPwbBZFjjGgGUA6NLw09EwE0CqkOc4q9oUmW1yo/edit?usp=sharing"",""สุโขทัย!J375"")"),89)</f>
        <v>89</v>
      </c>
      <c r="AD30" s="552">
        <f t="shared" ca="1" si="66"/>
        <v>30832</v>
      </c>
      <c r="AE30" s="554">
        <f t="shared" ca="1" si="9"/>
        <v>86.1204994273903</v>
      </c>
      <c r="AF30" s="552">
        <f t="shared" ca="1" si="67"/>
        <v>4045</v>
      </c>
      <c r="AG30" s="554">
        <f t="shared" ca="1" si="10"/>
        <v>88.357361293141111</v>
      </c>
      <c r="AH30" s="552">
        <f ca="1">IFERROR(__xludf.DUMMYFUNCTION("IMPORTRANGE(""https://docs.google.com/spreadsheets/d/11923uPwbBZFjjGgGUA6NLw09EwE0CqkOc4q9oUmW1yo/edit?usp=sharing"",""สุโขทัย!J378"")"),30832)</f>
        <v>30832</v>
      </c>
      <c r="AI30" s="552">
        <f ca="1">IFERROR(__xludf.DUMMYFUNCTION("IMPORTRANGE(""https://docs.google.com/spreadsheets/d/11923uPwbBZFjjGgGUA6NLw09EwE0CqkOc4q9oUmW1yo/edit?usp=sharing"",""สุโขทัย!J379"")"),4045)</f>
        <v>4045</v>
      </c>
      <c r="AJ30" s="552">
        <f ca="1">IFERROR(__xludf.DUMMYFUNCTION("IMPORTRANGE(""https://docs.google.com/spreadsheets/d/11923uPwbBZFjjGgGUA6NLw09EwE0CqkOc4q9oUmW1yo/edit?usp=sharing"",""สุโขทัย!J380"")"),0)</f>
        <v>0</v>
      </c>
      <c r="AK30" s="552">
        <f ca="1">IFERROR(__xludf.DUMMYFUNCTION("IMPORTRANGE(""https://docs.google.com/spreadsheets/d/11923uPwbBZFjjGgGUA6NLw09EwE0CqkOc4q9oUmW1yo/edit?usp=sharing"",""สุโขทัย!J381"")"),0)</f>
        <v>0</v>
      </c>
      <c r="AL30" s="552">
        <f ca="1">IFERROR(__xludf.DUMMYFUNCTION("IMPORTRANGE(""https://docs.google.com/spreadsheets/d/11923uPwbBZFjjGgGUA6NLw09EwE0CqkOc4q9oUmW1yo/edit?usp=sharing"",""สุโขทัย!J384"")"),0)</f>
        <v>0</v>
      </c>
      <c r="AM30" s="552">
        <f ca="1">IFERROR(__xludf.DUMMYFUNCTION("IMPORTRANGE(""https://docs.google.com/spreadsheets/d/11923uPwbBZFjjGgGUA6NLw09EwE0CqkOc4q9oUmW1yo/edit?usp=sharing"",""สุโขทัย!J385"")"),0)</f>
        <v>0</v>
      </c>
      <c r="AN30" s="552">
        <f ca="1">IFERROR(__xludf.DUMMYFUNCTION("IMPORTRANGE(""https://docs.google.com/spreadsheets/d/11923uPwbBZFjjGgGUA6NLw09EwE0CqkOc4q9oUmW1yo/edit?usp=sharing"",""สุโขทัย!J386"")"),0)</f>
        <v>0</v>
      </c>
      <c r="AO30" s="552">
        <f ca="1">IFERROR(__xludf.DUMMYFUNCTION("IMPORTRANGE(""https://docs.google.com/spreadsheets/d/11923uPwbBZFjjGgGUA6NLw09EwE0CqkOc4q9oUmW1yo/edit?usp=sharing"",""สุโขทัย!J387"")"),0)</f>
        <v>0</v>
      </c>
      <c r="AP30" s="552">
        <f ca="1">IFERROR(__xludf.DUMMYFUNCTION("IMPORTRANGE(""https://docs.google.com/spreadsheets/d/11923uPwbBZFjjGgGUA6NLw09EwE0CqkOc4q9oUmW1yo/edit?usp=sharing"",""สุโขทัย!J388"")"),0)</f>
        <v>0</v>
      </c>
      <c r="AQ30" s="552">
        <f ca="1">IFERROR(__xludf.DUMMYFUNCTION("IMPORTRANGE(""https://docs.google.com/spreadsheets/d/11923uPwbBZFjjGgGUA6NLw09EwE0CqkOc4q9oUmW1yo/edit?usp=sharing"",""สุโขทัย!J389"")"),0)</f>
        <v>0</v>
      </c>
      <c r="AR30" s="552">
        <f ca="1">IFERROR(__xludf.DUMMYFUNCTION("IMPORTRANGE(""https://docs.google.com/spreadsheets/d/11923uPwbBZFjjGgGUA6NLw09EwE0CqkOc4q9oUmW1yo/edit?usp=sharing"",""สุโขทัย!J390"")"),0)</f>
        <v>0</v>
      </c>
      <c r="AS30" s="552">
        <f ca="1">IFERROR(__xludf.DUMMYFUNCTION("IMPORTRANGE(""https://docs.google.com/spreadsheets/d/11923uPwbBZFjjGgGUA6NLw09EwE0CqkOc4q9oUmW1yo/edit?usp=sharing"",""สุโขทัย!J391"")"),0)</f>
        <v>0</v>
      </c>
      <c r="AT30" s="556">
        <f ca="1">IFERROR(__xludf.DUMMYFUNCTION("IMPORTRANGE(""https://docs.google.com/spreadsheets/d/1C3CXT74ZlgGe6_JY_1olB1XN4rF0dxEuIIF-xsYjHgg/edit?usp=sharing"",""งบกองทุน!CD34"")"),1851)</f>
        <v>1851</v>
      </c>
      <c r="AU30" s="556">
        <f ca="1">IFERROR(__xludf.DUMMYFUNCTION("IMPORTRANGE(""https://docs.google.com/spreadsheets/d/1C3CXT74ZlgGe6_JY_1olB1XN4rF0dxEuIIF-xsYjHgg/edit?usp=sharing"",""งบกองทุน!CC34"")"),138)</f>
        <v>138</v>
      </c>
      <c r="AV30" s="556">
        <f t="shared" ca="1" si="68"/>
        <v>0</v>
      </c>
      <c r="AW30" s="556">
        <f t="shared" ca="1" si="12"/>
        <v>0</v>
      </c>
      <c r="AX30" s="556">
        <f t="shared" ca="1" si="69"/>
        <v>0</v>
      </c>
      <c r="AY30" s="556">
        <f t="shared" ca="1" si="13"/>
        <v>0</v>
      </c>
      <c r="AZ30" s="552">
        <f ca="1">IFERROR(__xludf.DUMMYFUNCTION("IMPORTRANGE(""https://docs.google.com/spreadsheets/d/11923uPwbBZFjjGgGUA6NLw09EwE0CqkOc4q9oUmW1yo/edit?usp=sharing"",""สุโขทัย!J397"")"),0)</f>
        <v>0</v>
      </c>
      <c r="BA30" s="552">
        <f ca="1">IFERROR(__xludf.DUMMYFUNCTION("IMPORTRANGE(""https://docs.google.com/spreadsheets/d/11923uPwbBZFjjGgGUA6NLw09EwE0CqkOc4q9oUmW1yo/edit?usp=sharing"",""สุโขทัย!J398"")"),0)</f>
        <v>0</v>
      </c>
      <c r="BB30" s="552">
        <f ca="1">IFERROR(__xludf.DUMMYFUNCTION("IMPORTRANGE(""https://docs.google.com/spreadsheets/d/11923uPwbBZFjjGgGUA6NLw09EwE0CqkOc4q9oUmW1yo/edit?usp=sharing"",""สุโขทัย!J399"")"),0)</f>
        <v>0</v>
      </c>
      <c r="BC30" s="552">
        <f ca="1">IFERROR(__xludf.DUMMYFUNCTION("IMPORTRANGE(""https://docs.google.com/spreadsheets/d/11923uPwbBZFjjGgGUA6NLw09EwE0CqkOc4q9oUmW1yo/edit?usp=sharing"",""สุโขทัย!J400"")"),0)</f>
        <v>0</v>
      </c>
      <c r="BD30" s="552">
        <f ca="1">IFERROR(__xludf.DUMMYFUNCTION("IMPORTRANGE(""https://docs.google.com/spreadsheets/d/11923uPwbBZFjjGgGUA6NLw09EwE0CqkOc4q9oUmW1yo/edit?usp=sharing"",""สุโขทัย!J401"")"),0)</f>
        <v>0</v>
      </c>
      <c r="BE30" s="552">
        <f ca="1">IFERROR(__xludf.DUMMYFUNCTION("IMPORTRANGE(""https://docs.google.com/spreadsheets/d/11923uPwbBZFjjGgGUA6NLw09EwE0CqkOc4q9oUmW1yo/edit?usp=sharing"",""สุโขทัย!J402"")"),0)</f>
        <v>0</v>
      </c>
      <c r="BF30" s="552">
        <f ca="1">IFERROR(__xludf.DUMMYFUNCTION("IMPORTRANGE(""https://docs.google.com/spreadsheets/d/11923uPwbBZFjjGgGUA6NLw09EwE0CqkOc4q9oUmW1yo/edit?usp=sharing"",""สุโขทัย!J405"")"),0)</f>
        <v>0</v>
      </c>
      <c r="BG30" s="552">
        <f ca="1">IFERROR(__xludf.DUMMYFUNCTION("IMPORTRANGE(""https://docs.google.com/spreadsheets/d/11923uPwbBZFjjGgGUA6NLw09EwE0CqkOc4q9oUmW1yo/edit?usp=sharing"",""สุโขทัย!J406"")"),0)</f>
        <v>0</v>
      </c>
      <c r="BH30" s="552">
        <f ca="1">IFERROR(__xludf.DUMMYFUNCTION("IMPORTRANGE(""https://docs.google.com/spreadsheets/d/11923uPwbBZFjjGgGUA6NLw09EwE0CqkOc4q9oUmW1yo/edit?usp=sharing"",""สุโขทัย!J407"")"),0)</f>
        <v>0</v>
      </c>
      <c r="BI30" s="552">
        <f ca="1">IFERROR(__xludf.DUMMYFUNCTION("IMPORTRANGE(""https://docs.google.com/spreadsheets/d/11923uPwbBZFjjGgGUA6NLw09EwE0CqkOc4q9oUmW1yo/edit?usp=sharing"",""สุโขทัย!J408"")"),0)</f>
        <v>0</v>
      </c>
      <c r="BJ30" s="552">
        <f ca="1">IFERROR(__xludf.DUMMYFUNCTION("IMPORTRANGE(""https://docs.google.com/spreadsheets/d/11923uPwbBZFjjGgGUA6NLw09EwE0CqkOc4q9oUmW1yo/edit?usp=sharing"",""สุโขทัย!J409"")"),0)</f>
        <v>0</v>
      </c>
      <c r="BK30" s="552">
        <f ca="1">IFERROR(__xludf.DUMMYFUNCTION("IMPORTRANGE(""https://docs.google.com/spreadsheets/d/11923uPwbBZFjjGgGUA6NLw09EwE0CqkOc4q9oUmW1yo/edit?usp=sharing"",""สุโขทัย!J410"")"),0)</f>
        <v>0</v>
      </c>
      <c r="BL30" s="556">
        <f ca="1">IFERROR(__xludf.DUMMYFUNCTION("IMPORTRANGE(""https://docs.google.com/spreadsheets/d/1C3CXT74ZlgGe6_JY_1olB1XN4rF0dxEuIIF-xsYjHgg/edit?usp=sharing"",""งบกองทุน!CZ34"")"),0)</f>
        <v>0</v>
      </c>
      <c r="BM30" s="556">
        <f ca="1">IFERROR(__xludf.DUMMYFUNCTION("IMPORTRANGE(""https://docs.google.com/spreadsheets/d/1C3CXT74ZlgGe6_JY_1olB1XN4rF0dxEuIIF-xsYjHgg/edit?usp=sharing"",""งบกองทุน!CY34"")"),0)</f>
        <v>0</v>
      </c>
      <c r="BN30" s="556">
        <f t="shared" ca="1" si="70"/>
        <v>0</v>
      </c>
      <c r="BO30" s="557">
        <f t="shared" ca="1" si="15"/>
        <v>0</v>
      </c>
      <c r="BP30" s="556">
        <f t="shared" ca="1" si="71"/>
        <v>0</v>
      </c>
      <c r="BQ30" s="557">
        <f t="shared" ca="1" si="16"/>
        <v>0</v>
      </c>
      <c r="BR30" s="552">
        <f ca="1">IFERROR(__xludf.DUMMYFUNCTION("IMPORTRANGE(""https://docs.google.com/spreadsheets/d/11923uPwbBZFjjGgGUA6NLw09EwE0CqkOc4q9oUmW1yo/edit?usp=sharing"",""สุโขทัย!J414"")"),0)</f>
        <v>0</v>
      </c>
      <c r="BS30" s="552">
        <f ca="1">IFERROR(__xludf.DUMMYFUNCTION("IMPORTRANGE(""https://docs.google.com/spreadsheets/d/11923uPwbBZFjjGgGUA6NLw09EwE0CqkOc4q9oUmW1yo/edit?usp=sharing"",""สุโขทัย!J415"")"),0)</f>
        <v>0</v>
      </c>
      <c r="BT30" s="552">
        <f ca="1">IFERROR(__xludf.DUMMYFUNCTION("IMPORTRANGE(""https://docs.google.com/spreadsheets/d/11923uPwbBZFjjGgGUA6NLw09EwE0CqkOc4q9oUmW1yo/edit?usp=sharing"",""สุโขทัย!J416"")"),0)</f>
        <v>0</v>
      </c>
      <c r="BU30" s="552">
        <f ca="1">IFERROR(__xludf.DUMMYFUNCTION("IMPORTRANGE(""https://docs.google.com/spreadsheets/d/11923uPwbBZFjjGgGUA6NLw09EwE0CqkOc4q9oUmW1yo/edit?usp=sharing"",""สุโขทัย!J417"")"),0)</f>
        <v>0</v>
      </c>
      <c r="BV30" s="552">
        <f ca="1">IFERROR(__xludf.DUMMYFUNCTION("IMPORTRANGE(""https://docs.google.com/spreadsheets/d/11923uPwbBZFjjGgGUA6NLw09EwE0CqkOc4q9oUmW1yo/edit?usp=sharing"",""สุโขทัย!J418"")"),12)</f>
        <v>12</v>
      </c>
      <c r="BW30" s="552">
        <f ca="1">IFERROR(__xludf.DUMMYFUNCTION("IMPORTRANGE(""https://docs.google.com/spreadsheets/d/11923uPwbBZFjjGgGUA6NLw09EwE0CqkOc4q9oUmW1yo/edit?usp=sharing"",""สุโขทัย!J419"")"),2)</f>
        <v>2</v>
      </c>
      <c r="BX30" s="556">
        <f t="shared" ca="1" si="72"/>
        <v>12</v>
      </c>
      <c r="BY30" s="557">
        <f t="shared" ca="1" si="18"/>
        <v>100</v>
      </c>
      <c r="BZ30" s="556">
        <f t="shared" ca="1" si="73"/>
        <v>2</v>
      </c>
      <c r="CA30" s="557">
        <f t="shared" ca="1" si="19"/>
        <v>100</v>
      </c>
      <c r="CB30" s="552">
        <f ca="1">IFERROR(__xludf.DUMMYFUNCTION("IMPORTRANGE(""https://docs.google.com/spreadsheets/d/11923uPwbBZFjjGgGUA6NLw09EwE0CqkOc4q9oUmW1yo/edit?usp=sharing"",""สุโขทัย!J422"")"),0)</f>
        <v>0</v>
      </c>
      <c r="CC30" s="552">
        <f ca="1">IFERROR(__xludf.DUMMYFUNCTION("IMPORTRANGE(""https://docs.google.com/spreadsheets/d/11923uPwbBZFjjGgGUA6NLw09EwE0CqkOc4q9oUmW1yo/edit?usp=sharing"",""สุโขทัย!J423"")"),0)</f>
        <v>0</v>
      </c>
      <c r="CD30" s="552">
        <f ca="1">IFERROR(__xludf.DUMMYFUNCTION("IMPORTRANGE(""https://docs.google.com/spreadsheets/d/11923uPwbBZFjjGgGUA6NLw09EwE0CqkOc4q9oUmW1yo/edit?usp=sharing"",""สุโขทัย!J424"")"),12)</f>
        <v>12</v>
      </c>
      <c r="CE30" s="552">
        <f ca="1">IFERROR(__xludf.DUMMYFUNCTION("IMPORTRANGE(""https://docs.google.com/spreadsheets/d/11923uPwbBZFjjGgGUA6NLw09EwE0CqkOc4q9oUmW1yo/edit?usp=sharing"",""สุโขทัย!J425"")"),2)</f>
        <v>2</v>
      </c>
      <c r="CF30" s="552">
        <f ca="1">IFERROR(__xludf.DUMMYFUNCTION("IMPORTRANGE(""https://docs.google.com/spreadsheets/d/11923uPwbBZFjjGgGUA6NLw09EwE0CqkOc4q9oUmW1yo/edit?usp=sharing"",""สุโขทัย!J426"")"),0)</f>
        <v>0</v>
      </c>
      <c r="CG30" s="558">
        <f ca="1">IFERROR(__xludf.DUMMYFUNCTION("IMPORTRANGE(""https://docs.google.com/spreadsheets/d/11923uPwbBZFjjGgGUA6NLw09EwE0CqkOc4q9oUmW1yo/edit?usp=sharing"",""สุโขทัย!J427"")"),0)</f>
        <v>0</v>
      </c>
    </row>
    <row r="31" spans="1:85" ht="21" customHeight="1">
      <c r="A31" s="549">
        <v>16</v>
      </c>
      <c r="B31" s="550" t="s">
        <v>55</v>
      </c>
      <c r="C31" s="551">
        <f t="shared" ca="1" si="61"/>
        <v>191927</v>
      </c>
      <c r="D31" s="552">
        <f ca="1">IFERROR(__xludf.DUMMYFUNCTION("IMPORTRANGE(""https://docs.google.com/spreadsheets/d/1C3CXT74ZlgGe6_JY_1olB1XN4rF0dxEuIIF-xsYjHgg/edit?usp=sharing"",""งบกองทุน!BC35"")"),0)</f>
        <v>0</v>
      </c>
      <c r="E31" s="553">
        <f ca="1">IFERROR(__xludf.DUMMYFUNCTION("IMPORTRANGE(""https://docs.google.com/spreadsheets/d/1C3CXT74ZlgGe6_JY_1olB1XN4rF0dxEuIIF-xsYjHgg/edit?usp=sharing"",""งบกองทุน!BD35"")"),191927)</f>
        <v>191927</v>
      </c>
      <c r="F31" s="554">
        <f ca="1">IFERROR(__xludf.DUMMYFUNCTION("IMPORTRANGE(""https://docs.google.com/spreadsheets/d/11923uPwbBZFjjGgGUA6NLw09EwE0CqkOc4q9oUmW1yo/edit?usp=sharing"",""อุตรดิตถ์!M352"")"),41034.5)</f>
        <v>41034.5</v>
      </c>
      <c r="G31" s="554">
        <f t="shared" ca="1" si="1"/>
        <v>21.380264371349522</v>
      </c>
      <c r="H31" s="555">
        <f ca="1">IFERROR(__xludf.DUMMYFUNCTION("IMPORTRANGE(""https://docs.google.com/spreadsheets/d/1C3CXT74ZlgGe6_JY_1olB1XN4rF0dxEuIIF-xsYjHgg/edit?usp=sharing"",""งบกองทุน!BE35"")"),27138)</f>
        <v>27138</v>
      </c>
      <c r="I31" s="555">
        <f ca="1">IFERROR(__xludf.DUMMYFUNCTION("IMPORTRANGE(""https://docs.google.com/spreadsheets/d/1C3CXT74ZlgGe6_JY_1olB1XN4rF0dxEuIIF-xsYjHgg/edit?usp=sharing"",""งบกองทุน!BF35"")"),2764)</f>
        <v>2764</v>
      </c>
      <c r="J31" s="552">
        <f t="shared" ca="1" si="62"/>
        <v>27156.34</v>
      </c>
      <c r="K31" s="554">
        <f t="shared" ca="1" si="3"/>
        <v>100.06758051440784</v>
      </c>
      <c r="L31" s="552">
        <f t="shared" ca="1" si="63"/>
        <v>2764</v>
      </c>
      <c r="M31" s="554">
        <f t="shared" ca="1" si="4"/>
        <v>100</v>
      </c>
      <c r="N31" s="552">
        <f ca="1">IFERROR(__xludf.DUMMYFUNCTION("IMPORTRANGE(""https://docs.google.com/spreadsheets/d/11923uPwbBZFjjGgGUA6NLw09EwE0CqkOc4q9oUmW1yo/edit?usp=sharing"",""อุตรดิตถ์!J362"")"),25214)</f>
        <v>25214</v>
      </c>
      <c r="O31" s="552">
        <f ca="1">IFERROR(__xludf.DUMMYFUNCTION("IMPORTRANGE(""https://docs.google.com/spreadsheets/d/11923uPwbBZFjjGgGUA6NLw09EwE0CqkOc4q9oUmW1yo/edit?usp=sharing"",""อุตรดิตถ์!J363"")"),2565)</f>
        <v>2565</v>
      </c>
      <c r="P31" s="552">
        <f ca="1">IFERROR(__xludf.DUMMYFUNCTION("IMPORTRANGE(""https://docs.google.com/spreadsheets/d/11923uPwbBZFjjGgGUA6NLw09EwE0CqkOc4q9oUmW1yo/edit?usp=sharing"",""อุตรดิตถ์!J364"")"),1492.34)</f>
        <v>1492.34</v>
      </c>
      <c r="Q31" s="552">
        <f ca="1">IFERROR(__xludf.DUMMYFUNCTION("IMPORTRANGE(""https://docs.google.com/spreadsheets/d/11923uPwbBZFjjGgGUA6NLw09EwE0CqkOc4q9oUmW1yo/edit?usp=sharing"",""อุตรดิตถ์!J365"")"),151)</f>
        <v>151</v>
      </c>
      <c r="R31" s="552">
        <f ca="1">IFERROR(__xludf.DUMMYFUNCTION("IMPORTRANGE(""https://docs.google.com/spreadsheets/d/11923uPwbBZFjjGgGUA6NLw09EwE0CqkOc4q9oUmW1yo/edit?usp=sharing"",""อุตรดิตถ์!J366"")"),450)</f>
        <v>450</v>
      </c>
      <c r="S31" s="552">
        <f ca="1">IFERROR(__xludf.DUMMYFUNCTION("IMPORTRANGE(""https://docs.google.com/spreadsheets/d/11923uPwbBZFjjGgGUA6NLw09EwE0CqkOc4q9oUmW1yo/edit?usp=sharing"",""อุตรดิตถ์!J367"")"),48)</f>
        <v>48</v>
      </c>
      <c r="T31" s="552">
        <f t="shared" ca="1" si="64"/>
        <v>27142.65</v>
      </c>
      <c r="U31" s="552">
        <f t="shared" ca="1" si="6"/>
        <v>100.01713464514702</v>
      </c>
      <c r="V31" s="552">
        <f t="shared" ca="1" si="65"/>
        <v>2765</v>
      </c>
      <c r="W31" s="552">
        <f t="shared" ca="1" si="7"/>
        <v>100.03617945007235</v>
      </c>
      <c r="X31" s="552">
        <f ca="1">IFERROR(__xludf.DUMMYFUNCTION("IMPORTRANGE(""https://docs.google.com/spreadsheets/d/11923uPwbBZFjjGgGUA6NLw09EwE0CqkOc4q9oUmW1yo/edit?usp=sharing"",""อุตรดิตถ์!J370"")"),25677.4)</f>
        <v>25677.4</v>
      </c>
      <c r="Y31" s="552">
        <f ca="1">IFERROR(__xludf.DUMMYFUNCTION("IMPORTRANGE(""https://docs.google.com/spreadsheets/d/11923uPwbBZFjjGgGUA6NLw09EwE0CqkOc4q9oUmW1yo/edit?usp=sharing"",""อุตรดิตถ์!J371"")"),2618)</f>
        <v>2618</v>
      </c>
      <c r="Z31" s="552">
        <f ca="1">IFERROR(__xludf.DUMMYFUNCTION("IMPORTRANGE(""https://docs.google.com/spreadsheets/d/11923uPwbBZFjjGgGUA6NLw09EwE0CqkOc4q9oUmW1yo/edit?usp=sharing"",""อุตรดิตถ์!J372"")"),994.25)</f>
        <v>994.25</v>
      </c>
      <c r="AA31" s="552">
        <f ca="1">IFERROR(__xludf.DUMMYFUNCTION("IMPORTRANGE(""https://docs.google.com/spreadsheets/d/11923uPwbBZFjjGgGUA6NLw09EwE0CqkOc4q9oUmW1yo/edit?usp=sharing"",""อุตรดิตถ์!J373"")"),94)</f>
        <v>94</v>
      </c>
      <c r="AB31" s="552">
        <f ca="1">IFERROR(__xludf.DUMMYFUNCTION("IMPORTRANGE(""https://docs.google.com/spreadsheets/d/11923uPwbBZFjjGgGUA6NLw09EwE0CqkOc4q9oUmW1yo/edit?usp=sharing"",""อุตรดิตถ์!J374"")"),471)</f>
        <v>471</v>
      </c>
      <c r="AC31" s="552">
        <f ca="1">IFERROR(__xludf.DUMMYFUNCTION("IMPORTRANGE(""https://docs.google.com/spreadsheets/d/11923uPwbBZFjjGgGUA6NLw09EwE0CqkOc4q9oUmW1yo/edit?usp=sharing"",""อุตรดิตถ์!J375"")"),53)</f>
        <v>53</v>
      </c>
      <c r="AD31" s="552">
        <f t="shared" ca="1" si="66"/>
        <v>0</v>
      </c>
      <c r="AE31" s="554">
        <f t="shared" ca="1" si="9"/>
        <v>0</v>
      </c>
      <c r="AF31" s="552">
        <f t="shared" ca="1" si="67"/>
        <v>0</v>
      </c>
      <c r="AG31" s="554">
        <f t="shared" ca="1" si="10"/>
        <v>0</v>
      </c>
      <c r="AH31" s="552">
        <f ca="1">IFERROR(__xludf.DUMMYFUNCTION("IMPORTRANGE(""https://docs.google.com/spreadsheets/d/11923uPwbBZFjjGgGUA6NLw09EwE0CqkOc4q9oUmW1yo/edit?usp=sharing"",""อุตรดิตถ์!J378"")"),0)</f>
        <v>0</v>
      </c>
      <c r="AI31" s="552">
        <f ca="1">IFERROR(__xludf.DUMMYFUNCTION("IMPORTRANGE(""https://docs.google.com/spreadsheets/d/11923uPwbBZFjjGgGUA6NLw09EwE0CqkOc4q9oUmW1yo/edit?usp=sharing"",""อุตรดิตถ์!J379"")"),0)</f>
        <v>0</v>
      </c>
      <c r="AJ31" s="552">
        <f ca="1">IFERROR(__xludf.DUMMYFUNCTION("IMPORTRANGE(""https://docs.google.com/spreadsheets/d/11923uPwbBZFjjGgGUA6NLw09EwE0CqkOc4q9oUmW1yo/edit?usp=sharing"",""อุตรดิตถ์!J380"")"),0)</f>
        <v>0</v>
      </c>
      <c r="AK31" s="552">
        <f ca="1">IFERROR(__xludf.DUMMYFUNCTION("IMPORTRANGE(""https://docs.google.com/spreadsheets/d/11923uPwbBZFjjGgGUA6NLw09EwE0CqkOc4q9oUmW1yo/edit?usp=sharing"",""อุตรดิตถ์!J381"")"),0)</f>
        <v>0</v>
      </c>
      <c r="AL31" s="552">
        <f ca="1">IFERROR(__xludf.DUMMYFUNCTION("IMPORTRANGE(""https://docs.google.com/spreadsheets/d/11923uPwbBZFjjGgGUA6NLw09EwE0CqkOc4q9oUmW1yo/edit?usp=sharing"",""อุตรดิตถ์!J384"")"),0)</f>
        <v>0</v>
      </c>
      <c r="AM31" s="552">
        <f ca="1">IFERROR(__xludf.DUMMYFUNCTION("IMPORTRANGE(""https://docs.google.com/spreadsheets/d/11923uPwbBZFjjGgGUA6NLw09EwE0CqkOc4q9oUmW1yo/edit?usp=sharing"",""อุตรดิตถ์!J385"")"),0)</f>
        <v>0</v>
      </c>
      <c r="AN31" s="552">
        <f ca="1">IFERROR(__xludf.DUMMYFUNCTION("IMPORTRANGE(""https://docs.google.com/spreadsheets/d/11923uPwbBZFjjGgGUA6NLw09EwE0CqkOc4q9oUmW1yo/edit?usp=sharing"",""อุตรดิตถ์!J386"")"),0)</f>
        <v>0</v>
      </c>
      <c r="AO31" s="552">
        <f ca="1">IFERROR(__xludf.DUMMYFUNCTION("IMPORTRANGE(""https://docs.google.com/spreadsheets/d/11923uPwbBZFjjGgGUA6NLw09EwE0CqkOc4q9oUmW1yo/edit?usp=sharing"",""อุตรดิตถ์!J387"")"),0)</f>
        <v>0</v>
      </c>
      <c r="AP31" s="552">
        <f ca="1">IFERROR(__xludf.DUMMYFUNCTION("IMPORTRANGE(""https://docs.google.com/spreadsheets/d/11923uPwbBZFjjGgGUA6NLw09EwE0CqkOc4q9oUmW1yo/edit?usp=sharing"",""อุตรดิตถ์!J388"")"),0)</f>
        <v>0</v>
      </c>
      <c r="AQ31" s="552">
        <f ca="1">IFERROR(__xludf.DUMMYFUNCTION("IMPORTRANGE(""https://docs.google.com/spreadsheets/d/11923uPwbBZFjjGgGUA6NLw09EwE0CqkOc4q9oUmW1yo/edit?usp=sharing"",""อุตรดิตถ์!J389"")"),0)</f>
        <v>0</v>
      </c>
      <c r="AR31" s="552">
        <f ca="1">IFERROR(__xludf.DUMMYFUNCTION("IMPORTRANGE(""https://docs.google.com/spreadsheets/d/11923uPwbBZFjjGgGUA6NLw09EwE0CqkOc4q9oUmW1yo/edit?usp=sharing"",""อุตรดิตถ์!J390"")"),0)</f>
        <v>0</v>
      </c>
      <c r="AS31" s="552">
        <f ca="1">IFERROR(__xludf.DUMMYFUNCTION("IMPORTRANGE(""https://docs.google.com/spreadsheets/d/11923uPwbBZFjjGgGUA6NLw09EwE0CqkOc4q9oUmW1yo/edit?usp=sharing"",""อุตรดิตถ์!J391"")"),0)</f>
        <v>0</v>
      </c>
      <c r="AT31" s="556">
        <f ca="1">IFERROR(__xludf.DUMMYFUNCTION("IMPORTRANGE(""https://docs.google.com/spreadsheets/d/1C3CXT74ZlgGe6_JY_1olB1XN4rF0dxEuIIF-xsYjHgg/edit?usp=sharing"",""งบกองทุน!CD35"")"),12)</f>
        <v>12</v>
      </c>
      <c r="AU31" s="556">
        <f ca="1">IFERROR(__xludf.DUMMYFUNCTION("IMPORTRANGE(""https://docs.google.com/spreadsheets/d/1C3CXT74ZlgGe6_JY_1olB1XN4rF0dxEuIIF-xsYjHgg/edit?usp=sharing"",""งบกองทุน!CC35"")"),4)</f>
        <v>4</v>
      </c>
      <c r="AV31" s="556">
        <f t="shared" ca="1" si="68"/>
        <v>0</v>
      </c>
      <c r="AW31" s="556">
        <f t="shared" ca="1" si="12"/>
        <v>0</v>
      </c>
      <c r="AX31" s="556">
        <f t="shared" ca="1" si="69"/>
        <v>0</v>
      </c>
      <c r="AY31" s="556">
        <f t="shared" ca="1" si="13"/>
        <v>0</v>
      </c>
      <c r="AZ31" s="552">
        <f ca="1">IFERROR(__xludf.DUMMYFUNCTION("IMPORTRANGE(""https://docs.google.com/spreadsheets/d/11923uPwbBZFjjGgGUA6NLw09EwE0CqkOc4q9oUmW1yo/edit?usp=sharing"",""อุตรดิตถ์!J397"")"),0)</f>
        <v>0</v>
      </c>
      <c r="BA31" s="552">
        <f ca="1">IFERROR(__xludf.DUMMYFUNCTION("IMPORTRANGE(""https://docs.google.com/spreadsheets/d/11923uPwbBZFjjGgGUA6NLw09EwE0CqkOc4q9oUmW1yo/edit?usp=sharing"",""อุตรดิตถ์!J398"")"),0)</f>
        <v>0</v>
      </c>
      <c r="BB31" s="552">
        <f ca="1">IFERROR(__xludf.DUMMYFUNCTION("IMPORTRANGE(""https://docs.google.com/spreadsheets/d/11923uPwbBZFjjGgGUA6NLw09EwE0CqkOc4q9oUmW1yo/edit?usp=sharing"",""อุตรดิตถ์!J399"")"),0)</f>
        <v>0</v>
      </c>
      <c r="BC31" s="552">
        <f ca="1">IFERROR(__xludf.DUMMYFUNCTION("IMPORTRANGE(""https://docs.google.com/spreadsheets/d/11923uPwbBZFjjGgGUA6NLw09EwE0CqkOc4q9oUmW1yo/edit?usp=sharing"",""อุตรดิตถ์!J400"")"),0)</f>
        <v>0</v>
      </c>
      <c r="BD31" s="552">
        <f ca="1">IFERROR(__xludf.DUMMYFUNCTION("IMPORTRANGE(""https://docs.google.com/spreadsheets/d/11923uPwbBZFjjGgGUA6NLw09EwE0CqkOc4q9oUmW1yo/edit?usp=sharing"",""อุตรดิตถ์!J401"")"),0)</f>
        <v>0</v>
      </c>
      <c r="BE31" s="552">
        <f ca="1">IFERROR(__xludf.DUMMYFUNCTION("IMPORTRANGE(""https://docs.google.com/spreadsheets/d/11923uPwbBZFjjGgGUA6NLw09EwE0CqkOc4q9oUmW1yo/edit?usp=sharing"",""อุตรดิตถ์!J402"")"),0)</f>
        <v>0</v>
      </c>
      <c r="BF31" s="552">
        <f ca="1">IFERROR(__xludf.DUMMYFUNCTION("IMPORTRANGE(""https://docs.google.com/spreadsheets/d/11923uPwbBZFjjGgGUA6NLw09EwE0CqkOc4q9oUmW1yo/edit?usp=sharing"",""อุตรดิตถ์!J405"")"),0)</f>
        <v>0</v>
      </c>
      <c r="BG31" s="552">
        <f ca="1">IFERROR(__xludf.DUMMYFUNCTION("IMPORTRANGE(""https://docs.google.com/spreadsheets/d/11923uPwbBZFjjGgGUA6NLw09EwE0CqkOc4q9oUmW1yo/edit?usp=sharing"",""อุตรดิตถ์!J406"")"),0)</f>
        <v>0</v>
      </c>
      <c r="BH31" s="552">
        <f ca="1">IFERROR(__xludf.DUMMYFUNCTION("IMPORTRANGE(""https://docs.google.com/spreadsheets/d/11923uPwbBZFjjGgGUA6NLw09EwE0CqkOc4q9oUmW1yo/edit?usp=sharing"",""อุตรดิตถ์!J407"")"),0)</f>
        <v>0</v>
      </c>
      <c r="BI31" s="552">
        <f ca="1">IFERROR(__xludf.DUMMYFUNCTION("IMPORTRANGE(""https://docs.google.com/spreadsheets/d/11923uPwbBZFjjGgGUA6NLw09EwE0CqkOc4q9oUmW1yo/edit?usp=sharing"",""อุตรดิตถ์!J408"")"),0)</f>
        <v>0</v>
      </c>
      <c r="BJ31" s="552">
        <f ca="1">IFERROR(__xludf.DUMMYFUNCTION("IMPORTRANGE(""https://docs.google.com/spreadsheets/d/11923uPwbBZFjjGgGUA6NLw09EwE0CqkOc4q9oUmW1yo/edit?usp=sharing"",""อุตรดิตถ์!J409"")"),0)</f>
        <v>0</v>
      </c>
      <c r="BK31" s="552">
        <f ca="1">IFERROR(__xludf.DUMMYFUNCTION("IMPORTRANGE(""https://docs.google.com/spreadsheets/d/11923uPwbBZFjjGgGUA6NLw09EwE0CqkOc4q9oUmW1yo/edit?usp=sharing"",""อุตรดิตถ์!J410"")"),0)</f>
        <v>0</v>
      </c>
      <c r="BL31" s="556">
        <f ca="1">IFERROR(__xludf.DUMMYFUNCTION("IMPORTRANGE(""https://docs.google.com/spreadsheets/d/1C3CXT74ZlgGe6_JY_1olB1XN4rF0dxEuIIF-xsYjHgg/edit?usp=sharing"",""งบกองทุน!CZ35"")"),0)</f>
        <v>0</v>
      </c>
      <c r="BM31" s="556">
        <f ca="1">IFERROR(__xludf.DUMMYFUNCTION("IMPORTRANGE(""https://docs.google.com/spreadsheets/d/1C3CXT74ZlgGe6_JY_1olB1XN4rF0dxEuIIF-xsYjHgg/edit?usp=sharing"",""งบกองทุน!CY35"")"),0)</f>
        <v>0</v>
      </c>
      <c r="BN31" s="556">
        <f t="shared" ca="1" si="70"/>
        <v>0</v>
      </c>
      <c r="BO31" s="557">
        <f t="shared" ca="1" si="15"/>
        <v>0</v>
      </c>
      <c r="BP31" s="556">
        <f t="shared" ca="1" si="71"/>
        <v>0</v>
      </c>
      <c r="BQ31" s="557">
        <f t="shared" ca="1" si="16"/>
        <v>0</v>
      </c>
      <c r="BR31" s="552">
        <f ca="1">IFERROR(__xludf.DUMMYFUNCTION("IMPORTRANGE(""https://docs.google.com/spreadsheets/d/11923uPwbBZFjjGgGUA6NLw09EwE0CqkOc4q9oUmW1yo/edit?usp=sharing"",""อุตรดิตถ์!J414"")"),0)</f>
        <v>0</v>
      </c>
      <c r="BS31" s="552">
        <f ca="1">IFERROR(__xludf.DUMMYFUNCTION("IMPORTRANGE(""https://docs.google.com/spreadsheets/d/11923uPwbBZFjjGgGUA6NLw09EwE0CqkOc4q9oUmW1yo/edit?usp=sharing"",""อุตรดิตถ์!J415"")"),0)</f>
        <v>0</v>
      </c>
      <c r="BT31" s="552">
        <f ca="1">IFERROR(__xludf.DUMMYFUNCTION("IMPORTRANGE(""https://docs.google.com/spreadsheets/d/11923uPwbBZFjjGgGUA6NLw09EwE0CqkOc4q9oUmW1yo/edit?usp=sharing"",""อุตรดิตถ์!J416"")"),0)</f>
        <v>0</v>
      </c>
      <c r="BU31" s="552">
        <f ca="1">IFERROR(__xludf.DUMMYFUNCTION("IMPORTRANGE(""https://docs.google.com/spreadsheets/d/11923uPwbBZFjjGgGUA6NLw09EwE0CqkOc4q9oUmW1yo/edit?usp=sharing"",""อุตรดิตถ์!J417"")"),0)</f>
        <v>0</v>
      </c>
      <c r="BV31" s="552">
        <f ca="1">IFERROR(__xludf.DUMMYFUNCTION("IMPORTRANGE(""https://docs.google.com/spreadsheets/d/11923uPwbBZFjjGgGUA6NLw09EwE0CqkOc4q9oUmW1yo/edit?usp=sharing"",""อุตรดิตถ์!J418"")"),0)</f>
        <v>0</v>
      </c>
      <c r="BW31" s="552">
        <f ca="1">IFERROR(__xludf.DUMMYFUNCTION("IMPORTRANGE(""https://docs.google.com/spreadsheets/d/11923uPwbBZFjjGgGUA6NLw09EwE0CqkOc4q9oUmW1yo/edit?usp=sharing"",""อุตรดิตถ์!J419"")"),0)</f>
        <v>0</v>
      </c>
      <c r="BX31" s="556">
        <f t="shared" ca="1" si="72"/>
        <v>0</v>
      </c>
      <c r="BY31" s="557">
        <f t="shared" ca="1" si="18"/>
        <v>0</v>
      </c>
      <c r="BZ31" s="556">
        <f t="shared" ca="1" si="73"/>
        <v>0</v>
      </c>
      <c r="CA31" s="557">
        <f t="shared" ca="1" si="19"/>
        <v>0</v>
      </c>
      <c r="CB31" s="552">
        <f ca="1">IFERROR(__xludf.DUMMYFUNCTION("IMPORTRANGE(""https://docs.google.com/spreadsheets/d/11923uPwbBZFjjGgGUA6NLw09EwE0CqkOc4q9oUmW1yo/edit?usp=sharing"",""อุตรดิตถ์!J422"")"),0)</f>
        <v>0</v>
      </c>
      <c r="CC31" s="552">
        <f ca="1">IFERROR(__xludf.DUMMYFUNCTION("IMPORTRANGE(""https://docs.google.com/spreadsheets/d/11923uPwbBZFjjGgGUA6NLw09EwE0CqkOc4q9oUmW1yo/edit?usp=sharing"",""อุตรดิตถ์!J423"")"),0)</f>
        <v>0</v>
      </c>
      <c r="CD31" s="552">
        <f ca="1">IFERROR(__xludf.DUMMYFUNCTION("IMPORTRANGE(""https://docs.google.com/spreadsheets/d/11923uPwbBZFjjGgGUA6NLw09EwE0CqkOc4q9oUmW1yo/edit?usp=sharing"",""อุตรดิตถ์!J424"")"),0)</f>
        <v>0</v>
      </c>
      <c r="CE31" s="552">
        <f ca="1">IFERROR(__xludf.DUMMYFUNCTION("IMPORTRANGE(""https://docs.google.com/spreadsheets/d/11923uPwbBZFjjGgGUA6NLw09EwE0CqkOc4q9oUmW1yo/edit?usp=sharing"",""อุตรดิตถ์!J425"")"),0)</f>
        <v>0</v>
      </c>
      <c r="CF31" s="552">
        <f ca="1">IFERROR(__xludf.DUMMYFUNCTION("IMPORTRANGE(""https://docs.google.com/spreadsheets/d/11923uPwbBZFjjGgGUA6NLw09EwE0CqkOc4q9oUmW1yo/edit?usp=sharing"",""อุตรดิตถ์!J426"")"),0)</f>
        <v>0</v>
      </c>
      <c r="CG31" s="558">
        <f ca="1">IFERROR(__xludf.DUMMYFUNCTION("IMPORTRANGE(""https://docs.google.com/spreadsheets/d/11923uPwbBZFjjGgGUA6NLw09EwE0CqkOc4q9oUmW1yo/edit?usp=sharing"",""อุตรดิตถ์!J427"")"),0)</f>
        <v>0</v>
      </c>
    </row>
    <row r="32" spans="1:85" ht="21" customHeight="1">
      <c r="A32" s="559">
        <v>17</v>
      </c>
      <c r="B32" s="560" t="s">
        <v>56</v>
      </c>
      <c r="C32" s="561">
        <f t="shared" ca="1" si="61"/>
        <v>296488</v>
      </c>
      <c r="D32" s="562">
        <f ca="1">IFERROR(__xludf.DUMMYFUNCTION("IMPORTRANGE(""https://docs.google.com/spreadsheets/d/1C3CXT74ZlgGe6_JY_1olB1XN4rF0dxEuIIF-xsYjHgg/edit?usp=sharing"",""งบกองทุน!BC36"")"),0)</f>
        <v>0</v>
      </c>
      <c r="E32" s="563">
        <f ca="1">IFERROR(__xludf.DUMMYFUNCTION("IMPORTRANGE(""https://docs.google.com/spreadsheets/d/1C3CXT74ZlgGe6_JY_1olB1XN4rF0dxEuIIF-xsYjHgg/edit?usp=sharing"",""งบกองทุน!BD36"")"),296488)</f>
        <v>296488</v>
      </c>
      <c r="F32" s="564">
        <f ca="1">IFERROR(__xludf.DUMMYFUNCTION("IMPORTRANGE(""https://docs.google.com/spreadsheets/d/11923uPwbBZFjjGgGUA6NLw09EwE0CqkOc4q9oUmW1yo/edit?usp=sharing"",""อุทัยธานี!M352"")"),29545)</f>
        <v>29545</v>
      </c>
      <c r="G32" s="564">
        <f t="shared" ca="1" si="1"/>
        <v>9.9649901513720618</v>
      </c>
      <c r="H32" s="565">
        <f ca="1">IFERROR(__xludf.DUMMYFUNCTION("IMPORTRANGE(""https://docs.google.com/spreadsheets/d/1C3CXT74ZlgGe6_JY_1olB1XN4rF0dxEuIIF-xsYjHgg/edit?usp=sharing"",""งบกองทุน!BE36"")"),24034)</f>
        <v>24034</v>
      </c>
      <c r="I32" s="565">
        <f ca="1">IFERROR(__xludf.DUMMYFUNCTION("IMPORTRANGE(""https://docs.google.com/spreadsheets/d/1C3CXT74ZlgGe6_JY_1olB1XN4rF0dxEuIIF-xsYjHgg/edit?usp=sharing"",""งบกองทุน!BF36"")"),2600)</f>
        <v>2600</v>
      </c>
      <c r="J32" s="562">
        <f t="shared" ca="1" si="62"/>
        <v>24034.400000000001</v>
      </c>
      <c r="K32" s="564">
        <f t="shared" ca="1" si="3"/>
        <v>100.00166430889573</v>
      </c>
      <c r="L32" s="562">
        <f t="shared" ca="1" si="63"/>
        <v>2600</v>
      </c>
      <c r="M32" s="564">
        <f t="shared" ca="1" si="4"/>
        <v>100</v>
      </c>
      <c r="N32" s="562">
        <f ca="1">IFERROR(__xludf.DUMMYFUNCTION("IMPORTRANGE(""https://docs.google.com/spreadsheets/d/11923uPwbBZFjjGgGUA6NLw09EwE0CqkOc4q9oUmW1yo/edit?usp=sharing"",""อุทัยธานี!J362"")"),17524)</f>
        <v>17524</v>
      </c>
      <c r="O32" s="562">
        <f ca="1">IFERROR(__xludf.DUMMYFUNCTION("IMPORTRANGE(""https://docs.google.com/spreadsheets/d/11923uPwbBZFjjGgGUA6NLw09EwE0CqkOc4q9oUmW1yo/edit?usp=sharing"",""อุทัยธานี!J363"")"),2103)</f>
        <v>2103</v>
      </c>
      <c r="P32" s="562">
        <f ca="1">IFERROR(__xludf.DUMMYFUNCTION("IMPORTRANGE(""https://docs.google.com/spreadsheets/d/11923uPwbBZFjjGgGUA6NLw09EwE0CqkOc4q9oUmW1yo/edit?usp=sharing"",""อุทัยธานี!J364"")"),5310.4)</f>
        <v>5310.4</v>
      </c>
      <c r="Q32" s="562">
        <f ca="1">IFERROR(__xludf.DUMMYFUNCTION("IMPORTRANGE(""https://docs.google.com/spreadsheets/d/11923uPwbBZFjjGgGUA6NLw09EwE0CqkOc4q9oUmW1yo/edit?usp=sharing"",""อุทัยธานี!J365"")"),368)</f>
        <v>368</v>
      </c>
      <c r="R32" s="562">
        <f ca="1">IFERROR(__xludf.DUMMYFUNCTION("IMPORTRANGE(""https://docs.google.com/spreadsheets/d/11923uPwbBZFjjGgGUA6NLw09EwE0CqkOc4q9oUmW1yo/edit?usp=sharing"",""อุทัยธานี!J366"")"),1200)</f>
        <v>1200</v>
      </c>
      <c r="S32" s="562">
        <f ca="1">IFERROR(__xludf.DUMMYFUNCTION("IMPORTRANGE(""https://docs.google.com/spreadsheets/d/11923uPwbBZFjjGgGUA6NLw09EwE0CqkOc4q9oUmW1yo/edit?usp=sharing"",""อุทัยธานี!J367"")"),129)</f>
        <v>129</v>
      </c>
      <c r="T32" s="562">
        <f t="shared" ca="1" si="64"/>
        <v>24034.489999999998</v>
      </c>
      <c r="U32" s="562">
        <f t="shared" ca="1" si="6"/>
        <v>100.00203877839726</v>
      </c>
      <c r="V32" s="562">
        <f t="shared" ca="1" si="65"/>
        <v>2600</v>
      </c>
      <c r="W32" s="562">
        <f t="shared" ca="1" si="7"/>
        <v>100</v>
      </c>
      <c r="X32" s="562">
        <f ca="1">IFERROR(__xludf.DUMMYFUNCTION("IMPORTRANGE(""https://docs.google.com/spreadsheets/d/11923uPwbBZFjjGgGUA6NLw09EwE0CqkOc4q9oUmW1yo/edit?usp=sharing"",""อุทัยธานี!J370"")"),17811.8)</f>
        <v>17811.8</v>
      </c>
      <c r="Y32" s="562">
        <f ca="1">IFERROR(__xludf.DUMMYFUNCTION("IMPORTRANGE(""https://docs.google.com/spreadsheets/d/11923uPwbBZFjjGgGUA6NLw09EwE0CqkOc4q9oUmW1yo/edit?usp=sharing"",""อุทัยธานี!J371"")"),2124)</f>
        <v>2124</v>
      </c>
      <c r="Z32" s="562">
        <f ca="1">IFERROR(__xludf.DUMMYFUNCTION("IMPORTRANGE(""https://docs.google.com/spreadsheets/d/11923uPwbBZFjjGgGUA6NLw09EwE0CqkOc4q9oUmW1yo/edit?usp=sharing"",""อุทัยธานี!J372"")"),5020.41)</f>
        <v>5020.41</v>
      </c>
      <c r="AA32" s="562">
        <f ca="1">IFERROR(__xludf.DUMMYFUNCTION("IMPORTRANGE(""https://docs.google.com/spreadsheets/d/11923uPwbBZFjjGgGUA6NLw09EwE0CqkOc4q9oUmW1yo/edit?usp=sharing"",""อุทัยธานี!J373"")"),346)</f>
        <v>346</v>
      </c>
      <c r="AB32" s="562">
        <f ca="1">IFERROR(__xludf.DUMMYFUNCTION("IMPORTRANGE(""https://docs.google.com/spreadsheets/d/11923uPwbBZFjjGgGUA6NLw09EwE0CqkOc4q9oUmW1yo/edit?usp=sharing"",""อุทัยธานี!J374"")"),1202.28)</f>
        <v>1202.28</v>
      </c>
      <c r="AC32" s="562">
        <f ca="1">IFERROR(__xludf.DUMMYFUNCTION("IMPORTRANGE(""https://docs.google.com/spreadsheets/d/11923uPwbBZFjjGgGUA6NLw09EwE0CqkOc4q9oUmW1yo/edit?usp=sharing"",""อุทัยธานี!J375"")"),130)</f>
        <v>130</v>
      </c>
      <c r="AD32" s="562">
        <f t="shared" ca="1" si="66"/>
        <v>24034.489999999998</v>
      </c>
      <c r="AE32" s="564">
        <f t="shared" ca="1" si="9"/>
        <v>100.00203877839726</v>
      </c>
      <c r="AF32" s="562">
        <f t="shared" ca="1" si="67"/>
        <v>2600</v>
      </c>
      <c r="AG32" s="564">
        <f t="shared" ca="1" si="10"/>
        <v>100</v>
      </c>
      <c r="AH32" s="562">
        <f ca="1">IFERROR(__xludf.DUMMYFUNCTION("IMPORTRANGE(""https://docs.google.com/spreadsheets/d/11923uPwbBZFjjGgGUA6NLw09EwE0CqkOc4q9oUmW1yo/edit?usp=sharing"",""อุทัยธานี!J378"")"),17811.8)</f>
        <v>17811.8</v>
      </c>
      <c r="AI32" s="562">
        <f ca="1">IFERROR(__xludf.DUMMYFUNCTION("IMPORTRANGE(""https://docs.google.com/spreadsheets/d/11923uPwbBZFjjGgGUA6NLw09EwE0CqkOc4q9oUmW1yo/edit?usp=sharing"",""อุทัยธานี!J379"")"),2124)</f>
        <v>2124</v>
      </c>
      <c r="AJ32" s="562">
        <f ca="1">IFERROR(__xludf.DUMMYFUNCTION("IMPORTRANGE(""https://docs.google.com/spreadsheets/d/11923uPwbBZFjjGgGUA6NLw09EwE0CqkOc4q9oUmW1yo/edit?usp=sharing"",""อุทัยธานี!J380"")"),5020.41)</f>
        <v>5020.41</v>
      </c>
      <c r="AK32" s="562">
        <f ca="1">IFERROR(__xludf.DUMMYFUNCTION("IMPORTRANGE(""https://docs.google.com/spreadsheets/d/11923uPwbBZFjjGgGUA6NLw09EwE0CqkOc4q9oUmW1yo/edit?usp=sharing"",""อุทัยธานี!J381"")"),346)</f>
        <v>346</v>
      </c>
      <c r="AL32" s="562">
        <f ca="1">IFERROR(__xludf.DUMMYFUNCTION("IMPORTRANGE(""https://docs.google.com/spreadsheets/d/11923uPwbBZFjjGgGUA6NLw09EwE0CqkOc4q9oUmW1yo/edit?usp=sharing"",""อุทัยธานี!J384"")"),1104.28)</f>
        <v>1104.28</v>
      </c>
      <c r="AM32" s="562">
        <f ca="1">IFERROR(__xludf.DUMMYFUNCTION("IMPORTRANGE(""https://docs.google.com/spreadsheets/d/11923uPwbBZFjjGgGUA6NLw09EwE0CqkOc4q9oUmW1yo/edit?usp=sharing"",""อุทัยธานี!J385"")"),119)</f>
        <v>119</v>
      </c>
      <c r="AN32" s="562">
        <f ca="1">IFERROR(__xludf.DUMMYFUNCTION("IMPORTRANGE(""https://docs.google.com/spreadsheets/d/11923uPwbBZFjjGgGUA6NLw09EwE0CqkOc4q9oUmW1yo/edit?usp=sharing"",""อุทัยธานี!J386"")"),98)</f>
        <v>98</v>
      </c>
      <c r="AO32" s="562">
        <f ca="1">IFERROR(__xludf.DUMMYFUNCTION("IMPORTRANGE(""https://docs.google.com/spreadsheets/d/11923uPwbBZFjjGgGUA6NLw09EwE0CqkOc4q9oUmW1yo/edit?usp=sharing"",""อุทัยธานี!J387"")"),11)</f>
        <v>11</v>
      </c>
      <c r="AP32" s="562">
        <f ca="1">IFERROR(__xludf.DUMMYFUNCTION("IMPORTRANGE(""https://docs.google.com/spreadsheets/d/11923uPwbBZFjjGgGUA6NLw09EwE0CqkOc4q9oUmW1yo/edit?usp=sharing"",""อุทัยธานี!J388"")"),0)</f>
        <v>0</v>
      </c>
      <c r="AQ32" s="562">
        <f ca="1">IFERROR(__xludf.DUMMYFUNCTION("IMPORTRANGE(""https://docs.google.com/spreadsheets/d/11923uPwbBZFjjGgGUA6NLw09EwE0CqkOc4q9oUmW1yo/edit?usp=sharing"",""อุทัยธานี!J389"")"),0)</f>
        <v>0</v>
      </c>
      <c r="AR32" s="562">
        <f ca="1">IFERROR(__xludf.DUMMYFUNCTION("IMPORTRANGE(""https://docs.google.com/spreadsheets/d/11923uPwbBZFjjGgGUA6NLw09EwE0CqkOc4q9oUmW1yo/edit?usp=sharing"",""อุทัยธานี!J390"")"),0)</f>
        <v>0</v>
      </c>
      <c r="AS32" s="562">
        <f ca="1">IFERROR(__xludf.DUMMYFUNCTION("IMPORTRANGE(""https://docs.google.com/spreadsheets/d/11923uPwbBZFjjGgGUA6NLw09EwE0CqkOc4q9oUmW1yo/edit?usp=sharing"",""อุทัยธานี!J391"")"),0)</f>
        <v>0</v>
      </c>
      <c r="AT32" s="566">
        <f ca="1">IFERROR(__xludf.DUMMYFUNCTION("IMPORTRANGE(""https://docs.google.com/spreadsheets/d/1C3CXT74ZlgGe6_JY_1olB1XN4rF0dxEuIIF-xsYjHgg/edit?usp=sharing"",""งบกองทุน!CD36"")"),7373)</f>
        <v>7373</v>
      </c>
      <c r="AU32" s="566">
        <f ca="1">IFERROR(__xludf.DUMMYFUNCTION("IMPORTRANGE(""https://docs.google.com/spreadsheets/d/1C3CXT74ZlgGe6_JY_1olB1XN4rF0dxEuIIF-xsYjHgg/edit?usp=sharing"",""งบกองทุน!CC36"")"),412)</f>
        <v>412</v>
      </c>
      <c r="AV32" s="566">
        <f t="shared" ca="1" si="68"/>
        <v>303</v>
      </c>
      <c r="AW32" s="566">
        <f t="shared" ca="1" si="12"/>
        <v>4.1095890410958908</v>
      </c>
      <c r="AX32" s="566">
        <f t="shared" ca="1" si="69"/>
        <v>21</v>
      </c>
      <c r="AY32" s="566">
        <f t="shared" ca="1" si="13"/>
        <v>5.0970873786407767</v>
      </c>
      <c r="AZ32" s="562">
        <f ca="1">IFERROR(__xludf.DUMMYFUNCTION("IMPORTRANGE(""https://docs.google.com/spreadsheets/d/11923uPwbBZFjjGgGUA6NLw09EwE0CqkOc4q9oUmW1yo/edit?usp=sharing"",""อุทัยธานี!J397"")"),277)</f>
        <v>277</v>
      </c>
      <c r="BA32" s="562">
        <f ca="1">IFERROR(__xludf.DUMMYFUNCTION("IMPORTRANGE(""https://docs.google.com/spreadsheets/d/11923uPwbBZFjjGgGUA6NLw09EwE0CqkOc4q9oUmW1yo/edit?usp=sharing"",""อุทัยธานี!J398"")"),20)</f>
        <v>20</v>
      </c>
      <c r="BB32" s="562">
        <f ca="1">IFERROR(__xludf.DUMMYFUNCTION("IMPORTRANGE(""https://docs.google.com/spreadsheets/d/11923uPwbBZFjjGgGUA6NLw09EwE0CqkOc4q9oUmW1yo/edit?usp=sharing"",""อุทัยธานี!J399"")"),0)</f>
        <v>0</v>
      </c>
      <c r="BC32" s="562">
        <f ca="1">IFERROR(__xludf.DUMMYFUNCTION("IMPORTRANGE(""https://docs.google.com/spreadsheets/d/11923uPwbBZFjjGgGUA6NLw09EwE0CqkOc4q9oUmW1yo/edit?usp=sharing"",""อุทัยธานี!J400"")"),0)</f>
        <v>0</v>
      </c>
      <c r="BD32" s="562">
        <f ca="1">IFERROR(__xludf.DUMMYFUNCTION("IMPORTRANGE(""https://docs.google.com/spreadsheets/d/11923uPwbBZFjjGgGUA6NLw09EwE0CqkOc4q9oUmW1yo/edit?usp=sharing"",""อุทัยธานี!J401"")"),26)</f>
        <v>26</v>
      </c>
      <c r="BE32" s="562">
        <f ca="1">IFERROR(__xludf.DUMMYFUNCTION("IMPORTRANGE(""https://docs.google.com/spreadsheets/d/11923uPwbBZFjjGgGUA6NLw09EwE0CqkOc4q9oUmW1yo/edit?usp=sharing"",""อุทัยธานี!J402"")"),1)</f>
        <v>1</v>
      </c>
      <c r="BF32" s="562">
        <f ca="1">IFERROR(__xludf.DUMMYFUNCTION("IMPORTRANGE(""https://docs.google.com/spreadsheets/d/11923uPwbBZFjjGgGUA6NLw09EwE0CqkOc4q9oUmW1yo/edit?usp=sharing"",""อุทัยธานี!J405"")"),0)</f>
        <v>0</v>
      </c>
      <c r="BG32" s="562">
        <f ca="1">IFERROR(__xludf.DUMMYFUNCTION("IMPORTRANGE(""https://docs.google.com/spreadsheets/d/11923uPwbBZFjjGgGUA6NLw09EwE0CqkOc4q9oUmW1yo/edit?usp=sharing"",""อุทัยธานี!J406"")"),0)</f>
        <v>0</v>
      </c>
      <c r="BH32" s="562">
        <f ca="1">IFERROR(__xludf.DUMMYFUNCTION("IMPORTRANGE(""https://docs.google.com/spreadsheets/d/11923uPwbBZFjjGgGUA6NLw09EwE0CqkOc4q9oUmW1yo/edit?usp=sharing"",""อุทัยธานี!J407"")"),0)</f>
        <v>0</v>
      </c>
      <c r="BI32" s="562">
        <f ca="1">IFERROR(__xludf.DUMMYFUNCTION("IMPORTRANGE(""https://docs.google.com/spreadsheets/d/11923uPwbBZFjjGgGUA6NLw09EwE0CqkOc4q9oUmW1yo/edit?usp=sharing"",""อุทัยธานี!J408"")"),0)</f>
        <v>0</v>
      </c>
      <c r="BJ32" s="562">
        <f ca="1">IFERROR(__xludf.DUMMYFUNCTION("IMPORTRANGE(""https://docs.google.com/spreadsheets/d/11923uPwbBZFjjGgGUA6NLw09EwE0CqkOc4q9oUmW1yo/edit?usp=sharing"",""อุทัยธานี!J409"")"),0)</f>
        <v>0</v>
      </c>
      <c r="BK32" s="562">
        <f ca="1">IFERROR(__xludf.DUMMYFUNCTION("IMPORTRANGE(""https://docs.google.com/spreadsheets/d/11923uPwbBZFjjGgGUA6NLw09EwE0CqkOc4q9oUmW1yo/edit?usp=sharing"",""อุทัยธานี!J410"")"),0)</f>
        <v>0</v>
      </c>
      <c r="BL32" s="566">
        <f ca="1">IFERROR(__xludf.DUMMYFUNCTION("IMPORTRANGE(""https://docs.google.com/spreadsheets/d/1C3CXT74ZlgGe6_JY_1olB1XN4rF0dxEuIIF-xsYjHgg/edit?usp=sharing"",""งบกองทุน!CZ36"")"),0)</f>
        <v>0</v>
      </c>
      <c r="BM32" s="566">
        <f ca="1">IFERROR(__xludf.DUMMYFUNCTION("IMPORTRANGE(""https://docs.google.com/spreadsheets/d/1C3CXT74ZlgGe6_JY_1olB1XN4rF0dxEuIIF-xsYjHgg/edit?usp=sharing"",""งบกองทุน!CY36"")"),0)</f>
        <v>0</v>
      </c>
      <c r="BN32" s="566">
        <f t="shared" ca="1" si="70"/>
        <v>0</v>
      </c>
      <c r="BO32" s="567">
        <f t="shared" ca="1" si="15"/>
        <v>0</v>
      </c>
      <c r="BP32" s="566">
        <f t="shared" ca="1" si="71"/>
        <v>0</v>
      </c>
      <c r="BQ32" s="567">
        <f t="shared" ca="1" si="16"/>
        <v>0</v>
      </c>
      <c r="BR32" s="562">
        <f ca="1">IFERROR(__xludf.DUMMYFUNCTION("IMPORTRANGE(""https://docs.google.com/spreadsheets/d/11923uPwbBZFjjGgGUA6NLw09EwE0CqkOc4q9oUmW1yo/edit?usp=sharing"",""อุทัยธานี!J414"")"),0)</f>
        <v>0</v>
      </c>
      <c r="BS32" s="562">
        <f ca="1">IFERROR(__xludf.DUMMYFUNCTION("IMPORTRANGE(""https://docs.google.com/spreadsheets/d/11923uPwbBZFjjGgGUA6NLw09EwE0CqkOc4q9oUmW1yo/edit?usp=sharing"",""อุทัยธานี!J415"")"),0)</f>
        <v>0</v>
      </c>
      <c r="BT32" s="562">
        <f ca="1">IFERROR(__xludf.DUMMYFUNCTION("IMPORTRANGE(""https://docs.google.com/spreadsheets/d/11923uPwbBZFjjGgGUA6NLw09EwE0CqkOc4q9oUmW1yo/edit?usp=sharing"",""อุทัยธานี!J416"")"),0)</f>
        <v>0</v>
      </c>
      <c r="BU32" s="562">
        <f ca="1">IFERROR(__xludf.DUMMYFUNCTION("IMPORTRANGE(""https://docs.google.com/spreadsheets/d/11923uPwbBZFjjGgGUA6NLw09EwE0CqkOc4q9oUmW1yo/edit?usp=sharing"",""อุทัยธานี!J417"")"),0)</f>
        <v>0</v>
      </c>
      <c r="BV32" s="562">
        <f ca="1">IFERROR(__xludf.DUMMYFUNCTION("IMPORTRANGE(""https://docs.google.com/spreadsheets/d/11923uPwbBZFjjGgGUA6NLw09EwE0CqkOc4q9oUmW1yo/edit?usp=sharing"",""อุทัยธานี!J418"")"),843)</f>
        <v>843</v>
      </c>
      <c r="BW32" s="562">
        <f ca="1">IFERROR(__xludf.DUMMYFUNCTION("IMPORTRANGE(""https://docs.google.com/spreadsheets/d/11923uPwbBZFjjGgGUA6NLw09EwE0CqkOc4q9oUmW1yo/edit?usp=sharing"",""อุทัยธานี!J419"")"),80)</f>
        <v>80</v>
      </c>
      <c r="BX32" s="566">
        <f t="shared" ca="1" si="72"/>
        <v>0</v>
      </c>
      <c r="BY32" s="567">
        <f t="shared" ca="1" si="18"/>
        <v>0</v>
      </c>
      <c r="BZ32" s="566">
        <f t="shared" ca="1" si="73"/>
        <v>0</v>
      </c>
      <c r="CA32" s="567">
        <f t="shared" ca="1" si="19"/>
        <v>0</v>
      </c>
      <c r="CB32" s="562">
        <f ca="1">IFERROR(__xludf.DUMMYFUNCTION("IMPORTRANGE(""https://docs.google.com/spreadsheets/d/11923uPwbBZFjjGgGUA6NLw09EwE0CqkOc4q9oUmW1yo/edit?usp=sharing"",""อุทัยธานี!J422"")"),0)</f>
        <v>0</v>
      </c>
      <c r="CC32" s="562">
        <f ca="1">IFERROR(__xludf.DUMMYFUNCTION("IMPORTRANGE(""https://docs.google.com/spreadsheets/d/11923uPwbBZFjjGgGUA6NLw09EwE0CqkOc4q9oUmW1yo/edit?usp=sharing"",""อุทัยธานี!J423"")"),0)</f>
        <v>0</v>
      </c>
      <c r="CD32" s="562">
        <f ca="1">IFERROR(__xludf.DUMMYFUNCTION("IMPORTRANGE(""https://docs.google.com/spreadsheets/d/11923uPwbBZFjjGgGUA6NLw09EwE0CqkOc4q9oUmW1yo/edit?usp=sharing"",""อุทัยธานี!J424"")"),0)</f>
        <v>0</v>
      </c>
      <c r="CE32" s="562">
        <f ca="1">IFERROR(__xludf.DUMMYFUNCTION("IMPORTRANGE(""https://docs.google.com/spreadsheets/d/11923uPwbBZFjjGgGUA6NLw09EwE0CqkOc4q9oUmW1yo/edit?usp=sharing"",""อุทัยธานี!J425"")"),0)</f>
        <v>0</v>
      </c>
      <c r="CF32" s="562">
        <f ca="1">IFERROR(__xludf.DUMMYFUNCTION("IMPORTRANGE(""https://docs.google.com/spreadsheets/d/11923uPwbBZFjjGgGUA6NLw09EwE0CqkOc4q9oUmW1yo/edit?usp=sharing"",""อุทัยธานี!J426"")"),0)</f>
        <v>0</v>
      </c>
      <c r="CG32" s="568">
        <f ca="1">IFERROR(__xludf.DUMMYFUNCTION("IMPORTRANGE(""https://docs.google.com/spreadsheets/d/11923uPwbBZFjjGgGUA6NLw09EwE0CqkOc4q9oUmW1yo/edit?usp=sharing"",""อุทัยธานี!J427"")"),0)</f>
        <v>0</v>
      </c>
    </row>
    <row r="33" spans="1:85" ht="21" customHeight="1">
      <c r="A33" s="854" t="s">
        <v>57</v>
      </c>
      <c r="B33" s="678"/>
      <c r="C33" s="536">
        <f t="shared" ref="C33:F33" ca="1" si="74">SUM(C34:C53)</f>
        <v>10836169</v>
      </c>
      <c r="D33" s="520">
        <f t="shared" ca="1" si="74"/>
        <v>0</v>
      </c>
      <c r="E33" s="537">
        <f t="shared" ca="1" si="74"/>
        <v>10836169</v>
      </c>
      <c r="F33" s="521">
        <f t="shared" ca="1" si="74"/>
        <v>2542275.69</v>
      </c>
      <c r="G33" s="521">
        <f t="shared" ca="1" si="1"/>
        <v>23.461019203373443</v>
      </c>
      <c r="H33" s="520">
        <f t="shared" ref="H33:J33" ca="1" si="75">SUM(H34:H53)</f>
        <v>854990</v>
      </c>
      <c r="I33" s="520">
        <f t="shared" ca="1" si="75"/>
        <v>102853</v>
      </c>
      <c r="J33" s="520">
        <f t="shared" ca="1" si="75"/>
        <v>857538.83399999992</v>
      </c>
      <c r="K33" s="521">
        <f t="shared" ca="1" si="3"/>
        <v>100.29811272646462</v>
      </c>
      <c r="L33" s="520">
        <f ca="1">SUM(L34:L53)</f>
        <v>102854</v>
      </c>
      <c r="M33" s="521">
        <f t="shared" ca="1" si="4"/>
        <v>100.00097226138276</v>
      </c>
      <c r="N33" s="520">
        <f t="shared" ref="N33:T33" ca="1" si="76">SUM(N34:N53)</f>
        <v>694650.39350000001</v>
      </c>
      <c r="O33" s="520">
        <f t="shared" ca="1" si="76"/>
        <v>86479</v>
      </c>
      <c r="P33" s="520">
        <f t="shared" ca="1" si="76"/>
        <v>137890.5025</v>
      </c>
      <c r="Q33" s="520">
        <f t="shared" ca="1" si="76"/>
        <v>13851</v>
      </c>
      <c r="R33" s="520">
        <f t="shared" ca="1" si="76"/>
        <v>24997.937999999998</v>
      </c>
      <c r="S33" s="520">
        <f t="shared" ca="1" si="76"/>
        <v>2524</v>
      </c>
      <c r="T33" s="520">
        <f t="shared" ca="1" si="76"/>
        <v>839100.89750000008</v>
      </c>
      <c r="U33" s="520">
        <f t="shared" ca="1" si="6"/>
        <v>98.141603702967302</v>
      </c>
      <c r="V33" s="520">
        <f ca="1">SUM(V34:V53)</f>
        <v>99940</v>
      </c>
      <c r="W33" s="520">
        <f t="shared" ca="1" si="7"/>
        <v>97.167802592048844</v>
      </c>
      <c r="X33" s="520">
        <f t="shared" ref="X33:AD33" ca="1" si="77">SUM(X34:X53)</f>
        <v>702435.78999999992</v>
      </c>
      <c r="Y33" s="520">
        <f t="shared" ca="1" si="77"/>
        <v>86389</v>
      </c>
      <c r="Z33" s="520">
        <f t="shared" ca="1" si="77"/>
        <v>112712.85250000001</v>
      </c>
      <c r="AA33" s="520">
        <f t="shared" ca="1" si="77"/>
        <v>11131</v>
      </c>
      <c r="AB33" s="520">
        <f t="shared" ca="1" si="77"/>
        <v>23952.254999999997</v>
      </c>
      <c r="AC33" s="520">
        <f t="shared" ca="1" si="77"/>
        <v>2420</v>
      </c>
      <c r="AD33" s="520">
        <f t="shared" ca="1" si="77"/>
        <v>469604.40750000003</v>
      </c>
      <c r="AE33" s="521">
        <f t="shared" ca="1" si="9"/>
        <v>54.92513450449713</v>
      </c>
      <c r="AF33" s="520">
        <f ca="1">SUM(AF34:AF53)</f>
        <v>56118</v>
      </c>
      <c r="AG33" s="521">
        <f t="shared" ca="1" si="10"/>
        <v>54.561364277172274</v>
      </c>
      <c r="AH33" s="520">
        <f t="shared" ref="AH33:AV33" ca="1" si="78">SUM(AH34:AH53)</f>
        <v>408316.82500000001</v>
      </c>
      <c r="AI33" s="520">
        <f t="shared" ca="1" si="78"/>
        <v>49525</v>
      </c>
      <c r="AJ33" s="520">
        <f t="shared" ca="1" si="78"/>
        <v>51489.462500000001</v>
      </c>
      <c r="AK33" s="520">
        <f t="shared" ca="1" si="78"/>
        <v>5523</v>
      </c>
      <c r="AL33" s="520">
        <f t="shared" ca="1" si="78"/>
        <v>9535.6625000000004</v>
      </c>
      <c r="AM33" s="520">
        <f t="shared" ca="1" si="78"/>
        <v>1048</v>
      </c>
      <c r="AN33" s="520">
        <f t="shared" ca="1" si="78"/>
        <v>262.45750000000004</v>
      </c>
      <c r="AO33" s="520">
        <f t="shared" ca="1" si="78"/>
        <v>22</v>
      </c>
      <c r="AP33" s="520">
        <f t="shared" ca="1" si="78"/>
        <v>0</v>
      </c>
      <c r="AQ33" s="520">
        <f t="shared" ca="1" si="78"/>
        <v>0</v>
      </c>
      <c r="AR33" s="520">
        <f t="shared" ca="1" si="78"/>
        <v>0</v>
      </c>
      <c r="AS33" s="520">
        <f t="shared" ca="1" si="78"/>
        <v>0</v>
      </c>
      <c r="AT33" s="520">
        <f t="shared" ca="1" si="78"/>
        <v>98190</v>
      </c>
      <c r="AU33" s="520">
        <f t="shared" ca="1" si="78"/>
        <v>10097</v>
      </c>
      <c r="AV33" s="520">
        <f t="shared" ca="1" si="78"/>
        <v>25673.077499999999</v>
      </c>
      <c r="AW33" s="520">
        <f t="shared" ca="1" si="12"/>
        <v>26.146326000611062</v>
      </c>
      <c r="AX33" s="520">
        <f ca="1">SUM(AX34:AX53)</f>
        <v>3054</v>
      </c>
      <c r="AY33" s="520">
        <f t="shared" ca="1" si="13"/>
        <v>30.246607903337626</v>
      </c>
      <c r="AZ33" s="520">
        <f t="shared" ref="AZ33:BN33" ca="1" si="79">SUM(AZ34:AZ53)</f>
        <v>12322.98</v>
      </c>
      <c r="BA33" s="520">
        <f t="shared" ca="1" si="79"/>
        <v>1559</v>
      </c>
      <c r="BB33" s="520">
        <f t="shared" ca="1" si="79"/>
        <v>9710.380000000001</v>
      </c>
      <c r="BC33" s="520">
        <f t="shared" ca="1" si="79"/>
        <v>909</v>
      </c>
      <c r="BD33" s="520">
        <f t="shared" ca="1" si="79"/>
        <v>0</v>
      </c>
      <c r="BE33" s="520">
        <f t="shared" ca="1" si="79"/>
        <v>0</v>
      </c>
      <c r="BF33" s="520">
        <f t="shared" ca="1" si="79"/>
        <v>2320.0950000000003</v>
      </c>
      <c r="BG33" s="520">
        <f t="shared" ca="1" si="79"/>
        <v>281</v>
      </c>
      <c r="BH33" s="520">
        <f t="shared" ca="1" si="79"/>
        <v>265.79250000000002</v>
      </c>
      <c r="BI33" s="520">
        <f t="shared" ca="1" si="79"/>
        <v>30</v>
      </c>
      <c r="BJ33" s="520">
        <f t="shared" ca="1" si="79"/>
        <v>1053.83</v>
      </c>
      <c r="BK33" s="520">
        <f t="shared" ca="1" si="79"/>
        <v>275</v>
      </c>
      <c r="BL33" s="520">
        <f t="shared" ca="1" si="79"/>
        <v>0</v>
      </c>
      <c r="BM33" s="520">
        <f t="shared" ca="1" si="79"/>
        <v>0</v>
      </c>
      <c r="BN33" s="520">
        <f t="shared" ca="1" si="79"/>
        <v>0</v>
      </c>
      <c r="BO33" s="521">
        <f t="shared" ca="1" si="15"/>
        <v>0</v>
      </c>
      <c r="BP33" s="520">
        <f ca="1">SUM(BP34:BP53)</f>
        <v>0</v>
      </c>
      <c r="BQ33" s="521">
        <f t="shared" ca="1" si="16"/>
        <v>0</v>
      </c>
      <c r="BR33" s="520">
        <f t="shared" ref="BR33:BY33" ca="1" si="80">SUM(BR34:BR53)</f>
        <v>0</v>
      </c>
      <c r="BS33" s="520">
        <f t="shared" ca="1" si="80"/>
        <v>0</v>
      </c>
      <c r="BT33" s="520">
        <f t="shared" ca="1" si="80"/>
        <v>0</v>
      </c>
      <c r="BU33" s="520">
        <f t="shared" ca="1" si="80"/>
        <v>0</v>
      </c>
      <c r="BV33" s="520">
        <f t="shared" ca="1" si="80"/>
        <v>1584</v>
      </c>
      <c r="BW33" s="520">
        <f t="shared" ca="1" si="80"/>
        <v>90</v>
      </c>
      <c r="BX33" s="520">
        <f t="shared" ca="1" si="80"/>
        <v>14</v>
      </c>
      <c r="BY33" s="521">
        <f t="shared" ca="1" si="80"/>
        <v>100</v>
      </c>
      <c r="BZ33" s="520"/>
      <c r="CA33" s="521"/>
      <c r="CB33" s="520">
        <f t="shared" ref="CB33:CG33" ca="1" si="81">SUM(CB34:CB53)</f>
        <v>0</v>
      </c>
      <c r="CC33" s="520">
        <f t="shared" ca="1" si="81"/>
        <v>0</v>
      </c>
      <c r="CD33" s="520">
        <f t="shared" ca="1" si="81"/>
        <v>0</v>
      </c>
      <c r="CE33" s="520">
        <f t="shared" ca="1" si="81"/>
        <v>0</v>
      </c>
      <c r="CF33" s="520">
        <f t="shared" ca="1" si="81"/>
        <v>14</v>
      </c>
      <c r="CG33" s="538">
        <f t="shared" ca="1" si="81"/>
        <v>1</v>
      </c>
    </row>
    <row r="34" spans="1:85" ht="21" customHeight="1">
      <c r="A34" s="539">
        <v>1</v>
      </c>
      <c r="B34" s="540" t="s">
        <v>58</v>
      </c>
      <c r="C34" s="541">
        <f t="shared" ref="C34:C53" ca="1" si="82">+D34+E34</f>
        <v>211610</v>
      </c>
      <c r="D34" s="542">
        <f ca="1">IFERROR(__xludf.DUMMYFUNCTION("IMPORTRANGE(""https://docs.google.com/spreadsheets/d/1C3CXT74ZlgGe6_JY_1olB1XN4rF0dxEuIIF-xsYjHgg/edit?usp=sharing"",""งบกองทุน!BC38"")"),0)</f>
        <v>0</v>
      </c>
      <c r="E34" s="543">
        <f ca="1">IFERROR(__xludf.DUMMYFUNCTION("IMPORTRANGE(""https://docs.google.com/spreadsheets/d/1C3CXT74ZlgGe6_JY_1olB1XN4rF0dxEuIIF-xsYjHgg/edit?usp=sharing"",""งบกองทุน!BD38"")"),211610)</f>
        <v>211610</v>
      </c>
      <c r="F34" s="544">
        <f ca="1">IFERROR(__xludf.DUMMYFUNCTION("IMPORTRANGE(""https://docs.google.com/spreadsheets/d/1XL5vhW3sbDhbH9Cz0tuDiY8C3ctxq1tqvaCgkFb8cCA/edit?usp=sharing"",""กาฬสินธุ์!M352"")"),55780)</f>
        <v>55780</v>
      </c>
      <c r="G34" s="544">
        <f t="shared" ca="1" si="1"/>
        <v>26.359812863286233</v>
      </c>
      <c r="H34" s="545">
        <f ca="1">IFERROR(__xludf.DUMMYFUNCTION("IMPORTRANGE(""https://docs.google.com/spreadsheets/d/1C3CXT74ZlgGe6_JY_1olB1XN4rF0dxEuIIF-xsYjHgg/edit?usp=sharing"",""งบกองทุน!BE38"")"),26881)</f>
        <v>26881</v>
      </c>
      <c r="I34" s="545">
        <f ca="1">IFERROR(__xludf.DUMMYFUNCTION("IMPORTRANGE(""https://docs.google.com/spreadsheets/d/1C3CXT74ZlgGe6_JY_1olB1XN4rF0dxEuIIF-xsYjHgg/edit?usp=sharing"",""งบกองทุน!BF38"")"),3192)</f>
        <v>3192</v>
      </c>
      <c r="J34" s="542">
        <f t="shared" ref="J34:J53" ca="1" si="83">SUM(N34,P34,R34)</f>
        <v>29120</v>
      </c>
      <c r="K34" s="544">
        <f t="shared" ca="1" si="3"/>
        <v>108.32930322532644</v>
      </c>
      <c r="L34" s="542">
        <f t="shared" ref="L34:L53" ca="1" si="84">SUM(O34,Q34,S34)</f>
        <v>3193</v>
      </c>
      <c r="M34" s="544">
        <f t="shared" ca="1" si="4"/>
        <v>100.031328320802</v>
      </c>
      <c r="N34" s="542">
        <f ca="1">IFERROR(__xludf.DUMMYFUNCTION("IMPORTRANGE(""https://docs.google.com/spreadsheets/d/1XL5vhW3sbDhbH9Cz0tuDiY8C3ctxq1tqvaCgkFb8cCA/edit?usp=sharing"",""กาฬสินธุ์!J362"")"),25400)</f>
        <v>25400</v>
      </c>
      <c r="O34" s="542">
        <f ca="1">IFERROR(__xludf.DUMMYFUNCTION("IMPORTRANGE(""https://docs.google.com/spreadsheets/d/1XL5vhW3sbDhbH9Cz0tuDiY8C3ctxq1tqvaCgkFb8cCA/edit?usp=sharing"",""กาฬสินธุ์!J363"")"),2859)</f>
        <v>2859</v>
      </c>
      <c r="P34" s="542">
        <f ca="1">IFERROR(__xludf.DUMMYFUNCTION("IMPORTRANGE(""https://docs.google.com/spreadsheets/d/1XL5vhW3sbDhbH9Cz0tuDiY8C3ctxq1tqvaCgkFb8cCA/edit?usp=sharing"",""กาฬสินธุ์!J364"")"),2410)</f>
        <v>2410</v>
      </c>
      <c r="Q34" s="542">
        <f ca="1">IFERROR(__xludf.DUMMYFUNCTION("IMPORTRANGE(""https://docs.google.com/spreadsheets/d/1XL5vhW3sbDhbH9Cz0tuDiY8C3ctxq1tqvaCgkFb8cCA/edit?usp=sharing"",""กาฬสินธุ์!J365"")"),234)</f>
        <v>234</v>
      </c>
      <c r="R34" s="542">
        <f ca="1">IFERROR(__xludf.DUMMYFUNCTION("IMPORTRANGE(""https://docs.google.com/spreadsheets/d/1XL5vhW3sbDhbH9Cz0tuDiY8C3ctxq1tqvaCgkFb8cCA/edit?usp=sharing"",""กาฬสินธุ์!J366"")"),1310)</f>
        <v>1310</v>
      </c>
      <c r="S34" s="542">
        <f ca="1">IFERROR(__xludf.DUMMYFUNCTION("IMPORTRANGE(""https://docs.google.com/spreadsheets/d/1XL5vhW3sbDhbH9Cz0tuDiY8C3ctxq1tqvaCgkFb8cCA/edit?usp=sharing"",""กาฬสินธุ์!J367"")"),100)</f>
        <v>100</v>
      </c>
      <c r="T34" s="542">
        <f t="shared" ref="T34:T53" ca="1" si="85">SUM(X34,Z34,AB34)</f>
        <v>2465</v>
      </c>
      <c r="U34" s="542">
        <f t="shared" ca="1" si="6"/>
        <v>9.1700457572262941</v>
      </c>
      <c r="V34" s="542">
        <f t="shared" ref="V34:V53" ca="1" si="86">SUM(Y34,AA34,AC34)</f>
        <v>281</v>
      </c>
      <c r="W34" s="542">
        <f t="shared" ca="1" si="7"/>
        <v>8.803258145363408</v>
      </c>
      <c r="X34" s="542">
        <f ca="1">IFERROR(__xludf.DUMMYFUNCTION("IMPORTRANGE(""https://docs.google.com/spreadsheets/d/1XL5vhW3sbDhbH9Cz0tuDiY8C3ctxq1tqvaCgkFb8cCA/edit?usp=sharing"",""กาฬสินธุ์!J370"")"),2272)</f>
        <v>2272</v>
      </c>
      <c r="Y34" s="542">
        <f ca="1">IFERROR(__xludf.DUMMYFUNCTION("IMPORTRANGE(""https://docs.google.com/spreadsheets/d/1XL5vhW3sbDhbH9Cz0tuDiY8C3ctxq1tqvaCgkFb8cCA/edit?usp=sharing"",""กาฬสินธุ์!J371"")"),263)</f>
        <v>263</v>
      </c>
      <c r="Z34" s="542">
        <f ca="1">IFERROR(__xludf.DUMMYFUNCTION("IMPORTRANGE(""https://docs.google.com/spreadsheets/d/1XL5vhW3sbDhbH9Cz0tuDiY8C3ctxq1tqvaCgkFb8cCA/edit?usp=sharing"",""กาฬสินธุ์!J372"")"),88)</f>
        <v>88</v>
      </c>
      <c r="AA34" s="542">
        <f ca="1">IFERROR(__xludf.DUMMYFUNCTION("IMPORTRANGE(""https://docs.google.com/spreadsheets/d/1XL5vhW3sbDhbH9Cz0tuDiY8C3ctxq1tqvaCgkFb8cCA/edit?usp=sharing"",""กาฬสินธุ์!J373"")"),6)</f>
        <v>6</v>
      </c>
      <c r="AB34" s="542">
        <f ca="1">IFERROR(__xludf.DUMMYFUNCTION("IMPORTRANGE(""https://docs.google.com/spreadsheets/d/1XL5vhW3sbDhbH9Cz0tuDiY8C3ctxq1tqvaCgkFb8cCA/edit?usp=sharing"",""กาฬสินธุ์!J374"")"),105)</f>
        <v>105</v>
      </c>
      <c r="AC34" s="542">
        <f ca="1">IFERROR(__xludf.DUMMYFUNCTION("IMPORTRANGE(""https://docs.google.com/spreadsheets/d/1XL5vhW3sbDhbH9Cz0tuDiY8C3ctxq1tqvaCgkFb8cCA/edit?usp=sharing"",""กาฬสินธุ์!J375"")"),12)</f>
        <v>12</v>
      </c>
      <c r="AD34" s="542">
        <f t="shared" ref="AD34:AD53" ca="1" si="87">SUM(AH34,AJ34,AL34,AN34,AP34)</f>
        <v>0</v>
      </c>
      <c r="AE34" s="544">
        <f t="shared" ca="1" si="9"/>
        <v>0</v>
      </c>
      <c r="AF34" s="542">
        <f t="shared" ref="AF34:AF53" ca="1" si="88">SUM(AI34,AK34,AM34,AO34,AQ34)</f>
        <v>0</v>
      </c>
      <c r="AG34" s="544">
        <f t="shared" ca="1" si="10"/>
        <v>0</v>
      </c>
      <c r="AH34" s="542">
        <f ca="1">IFERROR(__xludf.DUMMYFUNCTION("IMPORTRANGE(""https://docs.google.com/spreadsheets/d/1XL5vhW3sbDhbH9Cz0tuDiY8C3ctxq1tqvaCgkFb8cCA/edit?usp=sharing"",""กาฬสินธุ์!J378"")"),0)</f>
        <v>0</v>
      </c>
      <c r="AI34" s="542">
        <f ca="1">IFERROR(__xludf.DUMMYFUNCTION("IMPORTRANGE(""https://docs.google.com/spreadsheets/d/1XL5vhW3sbDhbH9Cz0tuDiY8C3ctxq1tqvaCgkFb8cCA/edit?usp=sharing"",""กาฬสินธุ์!J379"")"),0)</f>
        <v>0</v>
      </c>
      <c r="AJ34" s="542">
        <f ca="1">IFERROR(__xludf.DUMMYFUNCTION("IMPORTRANGE(""https://docs.google.com/spreadsheets/d/1XL5vhW3sbDhbH9Cz0tuDiY8C3ctxq1tqvaCgkFb8cCA/edit?usp=sharing"",""กาฬสินธุ์!J380"")"),0)</f>
        <v>0</v>
      </c>
      <c r="AK34" s="542">
        <f ca="1">IFERROR(__xludf.DUMMYFUNCTION("IMPORTRANGE(""https://docs.google.com/spreadsheets/d/1XL5vhW3sbDhbH9Cz0tuDiY8C3ctxq1tqvaCgkFb8cCA/edit?usp=sharing"",""กาฬสินธุ์!J381"")"),0)</f>
        <v>0</v>
      </c>
      <c r="AL34" s="542">
        <f ca="1">IFERROR(__xludf.DUMMYFUNCTION("IMPORTRANGE(""https://docs.google.com/spreadsheets/d/1XL5vhW3sbDhbH9Cz0tuDiY8C3ctxq1tqvaCgkFb8cCA/edit?usp=sharing"",""กาฬสินธุ์!J384"")"),0)</f>
        <v>0</v>
      </c>
      <c r="AM34" s="542">
        <f ca="1">IFERROR(__xludf.DUMMYFUNCTION("IMPORTRANGE(""https://docs.google.com/spreadsheets/d/1XL5vhW3sbDhbH9Cz0tuDiY8C3ctxq1tqvaCgkFb8cCA/edit?usp=sharing"",""กาฬสินธุ์!J385"")"),0)</f>
        <v>0</v>
      </c>
      <c r="AN34" s="542">
        <f ca="1">IFERROR(__xludf.DUMMYFUNCTION("IMPORTRANGE(""https://docs.google.com/spreadsheets/d/1XL5vhW3sbDhbH9Cz0tuDiY8C3ctxq1tqvaCgkFb8cCA/edit?usp=sharing"",""กาฬสินธุ์!J386"")"),0)</f>
        <v>0</v>
      </c>
      <c r="AO34" s="542">
        <f ca="1">IFERROR(__xludf.DUMMYFUNCTION("IMPORTRANGE(""https://docs.google.com/spreadsheets/d/1XL5vhW3sbDhbH9Cz0tuDiY8C3ctxq1tqvaCgkFb8cCA/edit?usp=sharing"",""กาฬสินธุ์!J387"")"),0)</f>
        <v>0</v>
      </c>
      <c r="AP34" s="542">
        <f ca="1">IFERROR(__xludf.DUMMYFUNCTION("IMPORTRANGE(""https://docs.google.com/spreadsheets/d/1XL5vhW3sbDhbH9Cz0tuDiY8C3ctxq1tqvaCgkFb8cCA/edit?usp=sharing"",""กาฬสินธุ์!J388"")"),0)</f>
        <v>0</v>
      </c>
      <c r="AQ34" s="542">
        <f ca="1">IFERROR(__xludf.DUMMYFUNCTION("IMPORTRANGE(""https://docs.google.com/spreadsheets/d/1XL5vhW3sbDhbH9Cz0tuDiY8C3ctxq1tqvaCgkFb8cCA/edit?usp=sharing"",""กาฬสินธุ์!J389"")"),0)</f>
        <v>0</v>
      </c>
      <c r="AR34" s="542">
        <f ca="1">IFERROR(__xludf.DUMMYFUNCTION("IMPORTRANGE(""https://docs.google.com/spreadsheets/d/1XL5vhW3sbDhbH9Cz0tuDiY8C3ctxq1tqvaCgkFb8cCA/edit?usp=sharing"",""กาฬสินธุ์!J390"")"),0)</f>
        <v>0</v>
      </c>
      <c r="AS34" s="542">
        <f ca="1">IFERROR(__xludf.DUMMYFUNCTION("IMPORTRANGE(""https://docs.google.com/spreadsheets/d/1XL5vhW3sbDhbH9Cz0tuDiY8C3ctxq1tqvaCgkFb8cCA/edit?usp=sharing"",""กาฬสินธุ์!J391"")"),0)</f>
        <v>0</v>
      </c>
      <c r="AT34" s="546">
        <f ca="1">IFERROR(__xludf.DUMMYFUNCTION("IMPORTRANGE(""https://docs.google.com/spreadsheets/d/1C3CXT74ZlgGe6_JY_1olB1XN4rF0dxEuIIF-xsYjHgg/edit?usp=sharing"",""งบกองทุน!CD38"")"),1765)</f>
        <v>1765</v>
      </c>
      <c r="AU34" s="546">
        <f ca="1">IFERROR(__xludf.DUMMYFUNCTION("IMPORTRANGE(""https://docs.google.com/spreadsheets/d/1C3CXT74ZlgGe6_JY_1olB1XN4rF0dxEuIIF-xsYjHgg/edit?usp=sharing"",""งบกองทุน!CC38"")"),172)</f>
        <v>172</v>
      </c>
      <c r="AV34" s="546">
        <f t="shared" ref="AV34:AV53" ca="1" si="89">SUM(AZ34,BB34,BD34,BF34,BH34,BJ34)</f>
        <v>641</v>
      </c>
      <c r="AW34" s="546">
        <f t="shared" ca="1" si="12"/>
        <v>36.317280453257787</v>
      </c>
      <c r="AX34" s="546">
        <f t="shared" ref="AX34:AX53" ca="1" si="90">SUM(BA34,BC34,BE34,BG34,BI34,BK34)</f>
        <v>67</v>
      </c>
      <c r="AY34" s="546">
        <f t="shared" ca="1" si="13"/>
        <v>38.953488372093027</v>
      </c>
      <c r="AZ34" s="542">
        <f ca="1">IFERROR(__xludf.DUMMYFUNCTION("IMPORTRANGE(""https://docs.google.com/spreadsheets/d/1XL5vhW3sbDhbH9Cz0tuDiY8C3ctxq1tqvaCgkFb8cCA/edit?usp=sharing"",""กาฬสินธุ์!J397"")"),371)</f>
        <v>371</v>
      </c>
      <c r="BA34" s="542">
        <f ca="1">IFERROR(__xludf.DUMMYFUNCTION("IMPORTRANGE(""https://docs.google.com/spreadsheets/d/1XL5vhW3sbDhbH9Cz0tuDiY8C3ctxq1tqvaCgkFb8cCA/edit?usp=sharing"",""กาฬสินธุ์!J398"")"),34)</f>
        <v>34</v>
      </c>
      <c r="BB34" s="542">
        <f ca="1">IFERROR(__xludf.DUMMYFUNCTION("IMPORTRANGE(""https://docs.google.com/spreadsheets/d/1XL5vhW3sbDhbH9Cz0tuDiY8C3ctxq1tqvaCgkFb8cCA/edit?usp=sharing"",""กาฬสินธุ์!J399"")"),0)</f>
        <v>0</v>
      </c>
      <c r="BC34" s="542">
        <f ca="1">IFERROR(__xludf.DUMMYFUNCTION("IMPORTRANGE(""https://docs.google.com/spreadsheets/d/1XL5vhW3sbDhbH9Cz0tuDiY8C3ctxq1tqvaCgkFb8cCA/edit?usp=sharing"",""กาฬสินธุ์!J400"")"),0)</f>
        <v>0</v>
      </c>
      <c r="BD34" s="542">
        <f ca="1">IFERROR(__xludf.DUMMYFUNCTION("IMPORTRANGE(""https://docs.google.com/spreadsheets/d/1XL5vhW3sbDhbH9Cz0tuDiY8C3ctxq1tqvaCgkFb8cCA/edit?usp=sharing"",""กาฬสินธุ์!J401"")"),0)</f>
        <v>0</v>
      </c>
      <c r="BE34" s="542">
        <f ca="1">IFERROR(__xludf.DUMMYFUNCTION("IMPORTRANGE(""https://docs.google.com/spreadsheets/d/1XL5vhW3sbDhbH9Cz0tuDiY8C3ctxq1tqvaCgkFb8cCA/edit?usp=sharing"",""กาฬสินธุ์!J402"")"),0)</f>
        <v>0</v>
      </c>
      <c r="BF34" s="542">
        <f ca="1">IFERROR(__xludf.DUMMYFUNCTION("IMPORTRANGE(""https://docs.google.com/spreadsheets/d/1XL5vhW3sbDhbH9Cz0tuDiY8C3ctxq1tqvaCgkFb8cCA/edit?usp=sharing"",""กาฬสินธุ์!J405"")"),75)</f>
        <v>75</v>
      </c>
      <c r="BG34" s="542">
        <f ca="1">IFERROR(__xludf.DUMMYFUNCTION("IMPORTRANGE(""https://docs.google.com/spreadsheets/d/1XL5vhW3sbDhbH9Cz0tuDiY8C3ctxq1tqvaCgkFb8cCA/edit?usp=sharing"",""กาฬสินธุ์!J406"")"),9)</f>
        <v>9</v>
      </c>
      <c r="BH34" s="542">
        <f ca="1">IFERROR(__xludf.DUMMYFUNCTION("IMPORTRANGE(""https://docs.google.com/spreadsheets/d/1XL5vhW3sbDhbH9Cz0tuDiY8C3ctxq1tqvaCgkFb8cCA/edit?usp=sharing"",""กาฬสินธุ์!J407"")"),5)</f>
        <v>5</v>
      </c>
      <c r="BI34" s="542">
        <f ca="1">IFERROR(__xludf.DUMMYFUNCTION("IMPORTRANGE(""https://docs.google.com/spreadsheets/d/1XL5vhW3sbDhbH9Cz0tuDiY8C3ctxq1tqvaCgkFb8cCA/edit?usp=sharing"",""กาฬสินธุ์!J408"")"),1)</f>
        <v>1</v>
      </c>
      <c r="BJ34" s="542">
        <f ca="1">IFERROR(__xludf.DUMMYFUNCTION("IMPORTRANGE(""https://docs.google.com/spreadsheets/d/1XL5vhW3sbDhbH9Cz0tuDiY8C3ctxq1tqvaCgkFb8cCA/edit?usp=sharing"",""กาฬสินธุ์!J409"")"),190)</f>
        <v>190</v>
      </c>
      <c r="BK34" s="542">
        <f ca="1">IFERROR(__xludf.DUMMYFUNCTION("IMPORTRANGE(""https://docs.google.com/spreadsheets/d/1XL5vhW3sbDhbH9Cz0tuDiY8C3ctxq1tqvaCgkFb8cCA/edit?usp=sharing"",""กาฬสินธุ์!J410"")"),23)</f>
        <v>23</v>
      </c>
      <c r="BL34" s="546">
        <f ca="1">IFERROR(__xludf.DUMMYFUNCTION("IMPORTRANGE(""https://docs.google.com/spreadsheets/d/1C3CXT74ZlgGe6_JY_1olB1XN4rF0dxEuIIF-xsYjHgg/edit?usp=sharing"",""งบกองทุน!CZ38"")"),0)</f>
        <v>0</v>
      </c>
      <c r="BM34" s="546">
        <f ca="1">IFERROR(__xludf.DUMMYFUNCTION("IMPORTRANGE(""https://docs.google.com/spreadsheets/d/1C3CXT74ZlgGe6_JY_1olB1XN4rF0dxEuIIF-xsYjHgg/edit?usp=sharing"",""งบกองทุน!CY38"")"),0)</f>
        <v>0</v>
      </c>
      <c r="BN34" s="546">
        <f t="shared" ref="BN34:BN53" ca="1" si="91">SUM(BR34,BT34)</f>
        <v>0</v>
      </c>
      <c r="BO34" s="547">
        <f t="shared" ca="1" si="15"/>
        <v>0</v>
      </c>
      <c r="BP34" s="546">
        <f t="shared" ref="BP34:BP53" ca="1" si="92">SUM(BS34,BU34)</f>
        <v>0</v>
      </c>
      <c r="BQ34" s="547">
        <f t="shared" ca="1" si="16"/>
        <v>0</v>
      </c>
      <c r="BR34" s="542">
        <f ca="1">IFERROR(__xludf.DUMMYFUNCTION("IMPORTRANGE(""https://docs.google.com/spreadsheets/d/1XL5vhW3sbDhbH9Cz0tuDiY8C3ctxq1tqvaCgkFb8cCA/edit?usp=sharing"",""กาฬสินธุ์!J414"")"),0)</f>
        <v>0</v>
      </c>
      <c r="BS34" s="542">
        <f ca="1">IFERROR(__xludf.DUMMYFUNCTION("IMPORTRANGE(""https://docs.google.com/spreadsheets/d/1XL5vhW3sbDhbH9Cz0tuDiY8C3ctxq1tqvaCgkFb8cCA/edit?usp=sharing"",""กาฬสินธุ์!J415"")"),0)</f>
        <v>0</v>
      </c>
      <c r="BT34" s="542">
        <f ca="1">IFERROR(__xludf.DUMMYFUNCTION("IMPORTRANGE(""https://docs.google.com/spreadsheets/d/1XL5vhW3sbDhbH9Cz0tuDiY8C3ctxq1tqvaCgkFb8cCA/edit?usp=sharing"",""กาฬสินธุ์!J416"")"),0)</f>
        <v>0</v>
      </c>
      <c r="BU34" s="542">
        <f ca="1">IFERROR(__xludf.DUMMYFUNCTION("IMPORTRANGE(""https://docs.google.com/spreadsheets/d/1XL5vhW3sbDhbH9Cz0tuDiY8C3ctxq1tqvaCgkFb8cCA/edit?usp=sharing"",""กาฬสินธุ์!J417"")"),0)</f>
        <v>0</v>
      </c>
      <c r="BV34" s="542">
        <f ca="1">IFERROR(__xludf.DUMMYFUNCTION("IMPORTRANGE(""https://docs.google.com/spreadsheets/d/1XL5vhW3sbDhbH9Cz0tuDiY8C3ctxq1tqvaCgkFb8cCA/edit?usp=sharing"",""กาฬสินธุ์!J418"")"),0)</f>
        <v>0</v>
      </c>
      <c r="BW34" s="542">
        <f ca="1">IFERROR(__xludf.DUMMYFUNCTION("IMPORTRANGE(""https://docs.google.com/spreadsheets/d/1XL5vhW3sbDhbH9Cz0tuDiY8C3ctxq1tqvaCgkFb8cCA/edit?usp=sharing"",""กาฬสินธุ์!J419"")"),0)</f>
        <v>0</v>
      </c>
      <c r="BX34" s="546">
        <f t="shared" ref="BX34:BX53" ca="1" si="93">SUM(CB34,CD34,CF34)</f>
        <v>0</v>
      </c>
      <c r="BY34" s="547">
        <f t="shared" ref="BY34:BY53" ca="1" si="94">IF(BV34&gt;0,BX34*100/BV34,0)</f>
        <v>0</v>
      </c>
      <c r="BZ34" s="546">
        <f t="shared" ref="BZ34:BZ53" ca="1" si="95">SUM(CC34,CE34,CG34)</f>
        <v>0</v>
      </c>
      <c r="CA34" s="547">
        <f t="shared" ref="CA34:CA53" ca="1" si="96">IF(BW34&gt;0,BZ34*100/BW34,0)</f>
        <v>0</v>
      </c>
      <c r="CB34" s="542">
        <f ca="1">IFERROR(__xludf.DUMMYFUNCTION("IMPORTRANGE(""https://docs.google.com/spreadsheets/d/1XL5vhW3sbDhbH9Cz0tuDiY8C3ctxq1tqvaCgkFb8cCA/edit?usp=sharing"",""กาฬสินธุ์!J422"")"),0)</f>
        <v>0</v>
      </c>
      <c r="CC34" s="542">
        <f ca="1">IFERROR(__xludf.DUMMYFUNCTION("IMPORTRANGE(""https://docs.google.com/spreadsheets/d/1XL5vhW3sbDhbH9Cz0tuDiY8C3ctxq1tqvaCgkFb8cCA/edit?usp=sharing"",""กาฬสินธุ์!J423"")"),0)</f>
        <v>0</v>
      </c>
      <c r="CD34" s="542">
        <f ca="1">IFERROR(__xludf.DUMMYFUNCTION("IMPORTRANGE(""https://docs.google.com/spreadsheets/d/1XL5vhW3sbDhbH9Cz0tuDiY8C3ctxq1tqvaCgkFb8cCA/edit?usp=sharing"",""กาฬสินธุ์!J424"")"),0)</f>
        <v>0</v>
      </c>
      <c r="CE34" s="542">
        <f ca="1">IFERROR(__xludf.DUMMYFUNCTION("IMPORTRANGE(""https://docs.google.com/spreadsheets/d/1XL5vhW3sbDhbH9Cz0tuDiY8C3ctxq1tqvaCgkFb8cCA/edit?usp=sharing"",""กาฬสินธุ์!J425"")"),0)</f>
        <v>0</v>
      </c>
      <c r="CF34" s="542">
        <f ca="1">IFERROR(__xludf.DUMMYFUNCTION("IMPORTRANGE(""https://docs.google.com/spreadsheets/d/1XL5vhW3sbDhbH9Cz0tuDiY8C3ctxq1tqvaCgkFb8cCA/edit?usp=sharing"",""กาฬสินธุ์!J426"")"),0)</f>
        <v>0</v>
      </c>
      <c r="CG34" s="548">
        <f ca="1">IFERROR(__xludf.DUMMYFUNCTION("IMPORTRANGE(""https://docs.google.com/spreadsheets/d/1XL5vhW3sbDhbH9Cz0tuDiY8C3ctxq1tqvaCgkFb8cCA/edit?usp=sharing"",""กาฬสินธุ์!J427"")"),0)</f>
        <v>0</v>
      </c>
    </row>
    <row r="35" spans="1:85" ht="21" customHeight="1">
      <c r="A35" s="549">
        <v>2</v>
      </c>
      <c r="B35" s="550" t="s">
        <v>59</v>
      </c>
      <c r="C35" s="551">
        <f t="shared" ca="1" si="82"/>
        <v>597051</v>
      </c>
      <c r="D35" s="552">
        <f ca="1">IFERROR(__xludf.DUMMYFUNCTION("IMPORTRANGE(""https://docs.google.com/spreadsheets/d/1C3CXT74ZlgGe6_JY_1olB1XN4rF0dxEuIIF-xsYjHgg/edit?usp=sharing"",""งบกองทุน!BC39"")"),0)</f>
        <v>0</v>
      </c>
      <c r="E35" s="553">
        <f ca="1">IFERROR(__xludf.DUMMYFUNCTION("IMPORTRANGE(""https://docs.google.com/spreadsheets/d/1C3CXT74ZlgGe6_JY_1olB1XN4rF0dxEuIIF-xsYjHgg/edit?usp=sharing"",""งบกองทุน!BD39"")"),597051)</f>
        <v>597051</v>
      </c>
      <c r="F35" s="554">
        <f ca="1">IFERROR(__xludf.DUMMYFUNCTION("IMPORTRANGE(""https://docs.google.com/spreadsheets/d/1XL5vhW3sbDhbH9Cz0tuDiY8C3ctxq1tqvaCgkFb8cCA/edit?usp=sharing"",""ขอนแก่น!M352"")"),215575)</f>
        <v>215575</v>
      </c>
      <c r="G35" s="554">
        <f t="shared" ca="1" si="1"/>
        <v>36.106630756836516</v>
      </c>
      <c r="H35" s="555">
        <f ca="1">IFERROR(__xludf.DUMMYFUNCTION("IMPORTRANGE(""https://docs.google.com/spreadsheets/d/1C3CXT74ZlgGe6_JY_1olB1XN4rF0dxEuIIF-xsYjHgg/edit?usp=sharing"",""งบกองทุน!BE39"")"),62293)</f>
        <v>62293</v>
      </c>
      <c r="I35" s="555">
        <f ca="1">IFERROR(__xludf.DUMMYFUNCTION("IMPORTRANGE(""https://docs.google.com/spreadsheets/d/1C3CXT74ZlgGe6_JY_1olB1XN4rF0dxEuIIF-xsYjHgg/edit?usp=sharing"",""งบกองทุน!BF39"")"),6562)</f>
        <v>6562</v>
      </c>
      <c r="J35" s="552">
        <f t="shared" ca="1" si="83"/>
        <v>62293.11</v>
      </c>
      <c r="K35" s="554">
        <f t="shared" ca="1" si="3"/>
        <v>100.00017658484902</v>
      </c>
      <c r="L35" s="552">
        <f t="shared" ca="1" si="84"/>
        <v>6562</v>
      </c>
      <c r="M35" s="554">
        <f t="shared" ca="1" si="4"/>
        <v>100</v>
      </c>
      <c r="N35" s="552">
        <f ca="1">IFERROR(__xludf.DUMMYFUNCTION("IMPORTRANGE(""https://docs.google.com/spreadsheets/d/1XL5vhW3sbDhbH9Cz0tuDiY8C3ctxq1tqvaCgkFb8cCA/edit?usp=sharing"",""ขอนแก่น!J362"")"),53578)</f>
        <v>53578</v>
      </c>
      <c r="O35" s="552">
        <f ca="1">IFERROR(__xludf.DUMMYFUNCTION("IMPORTRANGE(""https://docs.google.com/spreadsheets/d/1XL5vhW3sbDhbH9Cz0tuDiY8C3ctxq1tqvaCgkFb8cCA/edit?usp=sharing"",""ขอนแก่น!J363"")"),5708)</f>
        <v>5708</v>
      </c>
      <c r="P35" s="552">
        <f ca="1">IFERROR(__xludf.DUMMYFUNCTION("IMPORTRANGE(""https://docs.google.com/spreadsheets/d/1XL5vhW3sbDhbH9Cz0tuDiY8C3ctxq1tqvaCgkFb8cCA/edit?usp=sharing"",""ขอนแก่น!J364"")"),5889.11)</f>
        <v>5889.11</v>
      </c>
      <c r="Q35" s="552">
        <f ca="1">IFERROR(__xludf.DUMMYFUNCTION("IMPORTRANGE(""https://docs.google.com/spreadsheets/d/1XL5vhW3sbDhbH9Cz0tuDiY8C3ctxq1tqvaCgkFb8cCA/edit?usp=sharing"",""ขอนแก่น!J365"")"),621)</f>
        <v>621</v>
      </c>
      <c r="R35" s="552">
        <f ca="1">IFERROR(__xludf.DUMMYFUNCTION("IMPORTRANGE(""https://docs.google.com/spreadsheets/d/1XL5vhW3sbDhbH9Cz0tuDiY8C3ctxq1tqvaCgkFb8cCA/edit?usp=sharing"",""ขอนแก่น!J366"")"),2826)</f>
        <v>2826</v>
      </c>
      <c r="S35" s="552">
        <f ca="1">IFERROR(__xludf.DUMMYFUNCTION("IMPORTRANGE(""https://docs.google.com/spreadsheets/d/1XL5vhW3sbDhbH9Cz0tuDiY8C3ctxq1tqvaCgkFb8cCA/edit?usp=sharing"",""ขอนแก่น!J367"")"),233)</f>
        <v>233</v>
      </c>
      <c r="T35" s="552">
        <f t="shared" ca="1" si="85"/>
        <v>62294</v>
      </c>
      <c r="U35" s="552">
        <f t="shared" ca="1" si="6"/>
        <v>100.00160531680928</v>
      </c>
      <c r="V35" s="552">
        <f t="shared" ca="1" si="86"/>
        <v>6562</v>
      </c>
      <c r="W35" s="552">
        <f t="shared" ca="1" si="7"/>
        <v>100</v>
      </c>
      <c r="X35" s="552">
        <f ca="1">IFERROR(__xludf.DUMMYFUNCTION("IMPORTRANGE(""https://docs.google.com/spreadsheets/d/1XL5vhW3sbDhbH9Cz0tuDiY8C3ctxq1tqvaCgkFb8cCA/edit?usp=sharing"",""ขอนแก่น!J370"")"),56622)</f>
        <v>56622</v>
      </c>
      <c r="Y35" s="552">
        <f ca="1">IFERROR(__xludf.DUMMYFUNCTION("IMPORTRANGE(""https://docs.google.com/spreadsheets/d/1XL5vhW3sbDhbH9Cz0tuDiY8C3ctxq1tqvaCgkFb8cCA/edit?usp=sharing"",""ขอนแก่น!J371"")"),6042)</f>
        <v>6042</v>
      </c>
      <c r="Z35" s="552">
        <f ca="1">IFERROR(__xludf.DUMMYFUNCTION("IMPORTRANGE(""https://docs.google.com/spreadsheets/d/1XL5vhW3sbDhbH9Cz0tuDiY8C3ctxq1tqvaCgkFb8cCA/edit?usp=sharing"",""ขอนแก่น!J372"")"),2577)</f>
        <v>2577</v>
      </c>
      <c r="AA35" s="552">
        <f ca="1">IFERROR(__xludf.DUMMYFUNCTION("IMPORTRANGE(""https://docs.google.com/spreadsheets/d/1XL5vhW3sbDhbH9Cz0tuDiY8C3ctxq1tqvaCgkFb8cCA/edit?usp=sharing"",""ขอนแก่น!J373"")"),260)</f>
        <v>260</v>
      </c>
      <c r="AB35" s="552">
        <f ca="1">IFERROR(__xludf.DUMMYFUNCTION("IMPORTRANGE(""https://docs.google.com/spreadsheets/d/1XL5vhW3sbDhbH9Cz0tuDiY8C3ctxq1tqvaCgkFb8cCA/edit?usp=sharing"",""ขอนแก่น!J374"")"),3095)</f>
        <v>3095</v>
      </c>
      <c r="AC35" s="552">
        <f ca="1">IFERROR(__xludf.DUMMYFUNCTION("IMPORTRANGE(""https://docs.google.com/spreadsheets/d/1XL5vhW3sbDhbH9Cz0tuDiY8C3ctxq1tqvaCgkFb8cCA/edit?usp=sharing"",""ขอนแก่น!J375"")"),260)</f>
        <v>260</v>
      </c>
      <c r="AD35" s="552">
        <f t="shared" ca="1" si="87"/>
        <v>56622</v>
      </c>
      <c r="AE35" s="554">
        <f t="shared" ca="1" si="9"/>
        <v>90.896248374616732</v>
      </c>
      <c r="AF35" s="552">
        <f t="shared" ca="1" si="88"/>
        <v>6042</v>
      </c>
      <c r="AG35" s="554">
        <f t="shared" ca="1" si="10"/>
        <v>92.075586711368487</v>
      </c>
      <c r="AH35" s="552">
        <f ca="1">IFERROR(__xludf.DUMMYFUNCTION("IMPORTRANGE(""https://docs.google.com/spreadsheets/d/1XL5vhW3sbDhbH9Cz0tuDiY8C3ctxq1tqvaCgkFb8cCA/edit?usp=sharing"",""ขอนแก่น!J378"")"),56622)</f>
        <v>56622</v>
      </c>
      <c r="AI35" s="552">
        <f ca="1">IFERROR(__xludf.DUMMYFUNCTION("IMPORTRANGE(""https://docs.google.com/spreadsheets/d/1XL5vhW3sbDhbH9Cz0tuDiY8C3ctxq1tqvaCgkFb8cCA/edit?usp=sharing"",""ขอนแก่น!J379"")"),6042)</f>
        <v>6042</v>
      </c>
      <c r="AJ35" s="552">
        <f ca="1">IFERROR(__xludf.DUMMYFUNCTION("IMPORTRANGE(""https://docs.google.com/spreadsheets/d/1XL5vhW3sbDhbH9Cz0tuDiY8C3ctxq1tqvaCgkFb8cCA/edit?usp=sharing"",""ขอนแก่น!J380"")"),0)</f>
        <v>0</v>
      </c>
      <c r="AK35" s="552">
        <f ca="1">IFERROR(__xludf.DUMMYFUNCTION("IMPORTRANGE(""https://docs.google.com/spreadsheets/d/1XL5vhW3sbDhbH9Cz0tuDiY8C3ctxq1tqvaCgkFb8cCA/edit?usp=sharing"",""ขอนแก่น!J381"")"),0)</f>
        <v>0</v>
      </c>
      <c r="AL35" s="552">
        <f ca="1">IFERROR(__xludf.DUMMYFUNCTION("IMPORTRANGE(""https://docs.google.com/spreadsheets/d/1XL5vhW3sbDhbH9Cz0tuDiY8C3ctxq1tqvaCgkFb8cCA/edit?usp=sharing"",""ขอนแก่น!J384"")"),0)</f>
        <v>0</v>
      </c>
      <c r="AM35" s="552">
        <f ca="1">IFERROR(__xludf.DUMMYFUNCTION("IMPORTRANGE(""https://docs.google.com/spreadsheets/d/1XL5vhW3sbDhbH9Cz0tuDiY8C3ctxq1tqvaCgkFb8cCA/edit?usp=sharing"",""ขอนแก่น!J385"")"),0)</f>
        <v>0</v>
      </c>
      <c r="AN35" s="552">
        <f ca="1">IFERROR(__xludf.DUMMYFUNCTION("IMPORTRANGE(""https://docs.google.com/spreadsheets/d/1XL5vhW3sbDhbH9Cz0tuDiY8C3ctxq1tqvaCgkFb8cCA/edit?usp=sharing"",""ขอนแก่น!J386"")"),0)</f>
        <v>0</v>
      </c>
      <c r="AO35" s="552">
        <f ca="1">IFERROR(__xludf.DUMMYFUNCTION("IMPORTRANGE(""https://docs.google.com/spreadsheets/d/1XL5vhW3sbDhbH9Cz0tuDiY8C3ctxq1tqvaCgkFb8cCA/edit?usp=sharing"",""ขอนแก่น!J387"")"),0)</f>
        <v>0</v>
      </c>
      <c r="AP35" s="552">
        <f ca="1">IFERROR(__xludf.DUMMYFUNCTION("IMPORTRANGE(""https://docs.google.com/spreadsheets/d/1XL5vhW3sbDhbH9Cz0tuDiY8C3ctxq1tqvaCgkFb8cCA/edit?usp=sharing"",""ขอนแก่น!J388"")"),0)</f>
        <v>0</v>
      </c>
      <c r="AQ35" s="552">
        <f ca="1">IFERROR(__xludf.DUMMYFUNCTION("IMPORTRANGE(""https://docs.google.com/spreadsheets/d/1XL5vhW3sbDhbH9Cz0tuDiY8C3ctxq1tqvaCgkFb8cCA/edit?usp=sharing"",""ขอนแก่น!J389"")"),0)</f>
        <v>0</v>
      </c>
      <c r="AR35" s="552">
        <f ca="1">IFERROR(__xludf.DUMMYFUNCTION("IMPORTRANGE(""https://docs.google.com/spreadsheets/d/1XL5vhW3sbDhbH9Cz0tuDiY8C3ctxq1tqvaCgkFb8cCA/edit?usp=sharing"",""ขอนแก่น!J390"")"),0)</f>
        <v>0</v>
      </c>
      <c r="AS35" s="552">
        <f ca="1">IFERROR(__xludf.DUMMYFUNCTION("IMPORTRANGE(""https://docs.google.com/spreadsheets/d/1XL5vhW3sbDhbH9Cz0tuDiY8C3ctxq1tqvaCgkFb8cCA/edit?usp=sharing"",""ขอนแก่น!J391"")"),0)</f>
        <v>0</v>
      </c>
      <c r="AT35" s="556">
        <f ca="1">IFERROR(__xludf.DUMMYFUNCTION("IMPORTRANGE(""https://docs.google.com/spreadsheets/d/1C3CXT74ZlgGe6_JY_1olB1XN4rF0dxEuIIF-xsYjHgg/edit?usp=sharing"",""งบกองทุน!CD39"")"),195)</f>
        <v>195</v>
      </c>
      <c r="AU35" s="556">
        <f ca="1">IFERROR(__xludf.DUMMYFUNCTION("IMPORTRANGE(""https://docs.google.com/spreadsheets/d/1C3CXT74ZlgGe6_JY_1olB1XN4rF0dxEuIIF-xsYjHgg/edit?usp=sharing"",""งบกองทุน!CC39"")"),21)</f>
        <v>21</v>
      </c>
      <c r="AV35" s="556">
        <f t="shared" ca="1" si="89"/>
        <v>196</v>
      </c>
      <c r="AW35" s="556">
        <f t="shared" ca="1" si="12"/>
        <v>100.51282051282051</v>
      </c>
      <c r="AX35" s="556">
        <f t="shared" ca="1" si="90"/>
        <v>21</v>
      </c>
      <c r="AY35" s="556">
        <f t="shared" ca="1" si="13"/>
        <v>100</v>
      </c>
      <c r="AZ35" s="552">
        <f ca="1">IFERROR(__xludf.DUMMYFUNCTION("IMPORTRANGE(""https://docs.google.com/spreadsheets/d/1XL5vhW3sbDhbH9Cz0tuDiY8C3ctxq1tqvaCgkFb8cCA/edit?usp=sharing"",""ขอนแก่น!J397"")"),155)</f>
        <v>155</v>
      </c>
      <c r="BA35" s="552">
        <f ca="1">IFERROR(__xludf.DUMMYFUNCTION("IMPORTRANGE(""https://docs.google.com/spreadsheets/d/1XL5vhW3sbDhbH9Cz0tuDiY8C3ctxq1tqvaCgkFb8cCA/edit?usp=sharing"",""ขอนแก่น!J398"")"),17)</f>
        <v>17</v>
      </c>
      <c r="BB35" s="552">
        <f ca="1">IFERROR(__xludf.DUMMYFUNCTION("IMPORTRANGE(""https://docs.google.com/spreadsheets/d/1XL5vhW3sbDhbH9Cz0tuDiY8C3ctxq1tqvaCgkFb8cCA/edit?usp=sharing"",""ขอนแก่น!J399"")"),39)</f>
        <v>39</v>
      </c>
      <c r="BC35" s="552">
        <f ca="1">IFERROR(__xludf.DUMMYFUNCTION("IMPORTRANGE(""https://docs.google.com/spreadsheets/d/1XL5vhW3sbDhbH9Cz0tuDiY8C3ctxq1tqvaCgkFb8cCA/edit?usp=sharing"",""ขอนแก่น!J400"")"),3)</f>
        <v>3</v>
      </c>
      <c r="BD35" s="552">
        <f ca="1">IFERROR(__xludf.DUMMYFUNCTION("IMPORTRANGE(""https://docs.google.com/spreadsheets/d/1XL5vhW3sbDhbH9Cz0tuDiY8C3ctxq1tqvaCgkFb8cCA/edit?usp=sharing"",""ขอนแก่น!J401"")"),0)</f>
        <v>0</v>
      </c>
      <c r="BE35" s="552">
        <f ca="1">IFERROR(__xludf.DUMMYFUNCTION("IMPORTRANGE(""https://docs.google.com/spreadsheets/d/1XL5vhW3sbDhbH9Cz0tuDiY8C3ctxq1tqvaCgkFb8cCA/edit?usp=sharing"",""ขอนแก่น!J402"")"),0)</f>
        <v>0</v>
      </c>
      <c r="BF35" s="552">
        <f ca="1">IFERROR(__xludf.DUMMYFUNCTION("IMPORTRANGE(""https://docs.google.com/spreadsheets/d/1XL5vhW3sbDhbH9Cz0tuDiY8C3ctxq1tqvaCgkFb8cCA/edit?usp=sharing"",""ขอนแก่น!J405"")"),0)</f>
        <v>0</v>
      </c>
      <c r="BG35" s="552">
        <f ca="1">IFERROR(__xludf.DUMMYFUNCTION("IMPORTRANGE(""https://docs.google.com/spreadsheets/d/1XL5vhW3sbDhbH9Cz0tuDiY8C3ctxq1tqvaCgkFb8cCA/edit?usp=sharing"",""ขอนแก่น!J406"")"),0)</f>
        <v>0</v>
      </c>
      <c r="BH35" s="552">
        <f ca="1">IFERROR(__xludf.DUMMYFUNCTION("IMPORTRANGE(""https://docs.google.com/spreadsheets/d/1XL5vhW3sbDhbH9Cz0tuDiY8C3ctxq1tqvaCgkFb8cCA/edit?usp=sharing"",""ขอนแก่น!J407"")"),0)</f>
        <v>0</v>
      </c>
      <c r="BI35" s="552">
        <f ca="1">IFERROR(__xludf.DUMMYFUNCTION("IMPORTRANGE(""https://docs.google.com/spreadsheets/d/1XL5vhW3sbDhbH9Cz0tuDiY8C3ctxq1tqvaCgkFb8cCA/edit?usp=sharing"",""ขอนแก่น!J408"")"),0)</f>
        <v>0</v>
      </c>
      <c r="BJ35" s="552">
        <f ca="1">IFERROR(__xludf.DUMMYFUNCTION("IMPORTRANGE(""https://docs.google.com/spreadsheets/d/1XL5vhW3sbDhbH9Cz0tuDiY8C3ctxq1tqvaCgkFb8cCA/edit?usp=sharing"",""ขอนแก่น!J409"")"),2)</f>
        <v>2</v>
      </c>
      <c r="BK35" s="552">
        <f ca="1">IFERROR(__xludf.DUMMYFUNCTION("IMPORTRANGE(""https://docs.google.com/spreadsheets/d/1XL5vhW3sbDhbH9Cz0tuDiY8C3ctxq1tqvaCgkFb8cCA/edit?usp=sharing"",""ขอนแก่น!J410"")"),1)</f>
        <v>1</v>
      </c>
      <c r="BL35" s="556">
        <f ca="1">IFERROR(__xludf.DUMMYFUNCTION("IMPORTRANGE(""https://docs.google.com/spreadsheets/d/1C3CXT74ZlgGe6_JY_1olB1XN4rF0dxEuIIF-xsYjHgg/edit?usp=sharing"",""งบกองทุน!CZ39"")"),0)</f>
        <v>0</v>
      </c>
      <c r="BM35" s="556">
        <f ca="1">IFERROR(__xludf.DUMMYFUNCTION("IMPORTRANGE(""https://docs.google.com/spreadsheets/d/1C3CXT74ZlgGe6_JY_1olB1XN4rF0dxEuIIF-xsYjHgg/edit?usp=sharing"",""งบกองทุน!CY39"")"),0)</f>
        <v>0</v>
      </c>
      <c r="BN35" s="556">
        <f t="shared" ca="1" si="91"/>
        <v>0</v>
      </c>
      <c r="BO35" s="557">
        <f t="shared" ca="1" si="15"/>
        <v>0</v>
      </c>
      <c r="BP35" s="556">
        <f t="shared" ca="1" si="92"/>
        <v>0</v>
      </c>
      <c r="BQ35" s="557">
        <f t="shared" ca="1" si="16"/>
        <v>0</v>
      </c>
      <c r="BR35" s="552">
        <f ca="1">IFERROR(__xludf.DUMMYFUNCTION("IMPORTRANGE(""https://docs.google.com/spreadsheets/d/1XL5vhW3sbDhbH9Cz0tuDiY8C3ctxq1tqvaCgkFb8cCA/edit?usp=sharing"",""ขอนแก่น!J414"")"),0)</f>
        <v>0</v>
      </c>
      <c r="BS35" s="552">
        <f ca="1">IFERROR(__xludf.DUMMYFUNCTION("IMPORTRANGE(""https://docs.google.com/spreadsheets/d/1XL5vhW3sbDhbH9Cz0tuDiY8C3ctxq1tqvaCgkFb8cCA/edit?usp=sharing"",""ขอนแก่น!J415"")"),0)</f>
        <v>0</v>
      </c>
      <c r="BT35" s="552">
        <f ca="1">IFERROR(__xludf.DUMMYFUNCTION("IMPORTRANGE(""https://docs.google.com/spreadsheets/d/1XL5vhW3sbDhbH9Cz0tuDiY8C3ctxq1tqvaCgkFb8cCA/edit?usp=sharing"",""ขอนแก่น!J416"")"),0)</f>
        <v>0</v>
      </c>
      <c r="BU35" s="552">
        <f ca="1">IFERROR(__xludf.DUMMYFUNCTION("IMPORTRANGE(""https://docs.google.com/spreadsheets/d/1XL5vhW3sbDhbH9Cz0tuDiY8C3ctxq1tqvaCgkFb8cCA/edit?usp=sharing"",""ขอนแก่น!J417"")"),0)</f>
        <v>0</v>
      </c>
      <c r="BV35" s="552">
        <f ca="1">IFERROR(__xludf.DUMMYFUNCTION("IMPORTRANGE(""https://docs.google.com/spreadsheets/d/1XL5vhW3sbDhbH9Cz0tuDiY8C3ctxq1tqvaCgkFb8cCA/edit?usp=sharing"",""ขอนแก่น!J418"")"),14)</f>
        <v>14</v>
      </c>
      <c r="BW35" s="552">
        <f ca="1">IFERROR(__xludf.DUMMYFUNCTION("IMPORTRANGE(""https://docs.google.com/spreadsheets/d/1XL5vhW3sbDhbH9Cz0tuDiY8C3ctxq1tqvaCgkFb8cCA/edit?usp=sharing"",""ขอนแก่น!J419"")"),1)</f>
        <v>1</v>
      </c>
      <c r="BX35" s="556">
        <f t="shared" ca="1" si="93"/>
        <v>14</v>
      </c>
      <c r="BY35" s="557">
        <f t="shared" ca="1" si="94"/>
        <v>100</v>
      </c>
      <c r="BZ35" s="556">
        <f t="shared" ca="1" si="95"/>
        <v>1</v>
      </c>
      <c r="CA35" s="557">
        <f t="shared" ca="1" si="96"/>
        <v>100</v>
      </c>
      <c r="CB35" s="552">
        <f ca="1">IFERROR(__xludf.DUMMYFUNCTION("IMPORTRANGE(""https://docs.google.com/spreadsheets/d/1XL5vhW3sbDhbH9Cz0tuDiY8C3ctxq1tqvaCgkFb8cCA/edit?usp=sharing"",""ขอนแก่น!J422"")"),0)</f>
        <v>0</v>
      </c>
      <c r="CC35" s="552">
        <f ca="1">IFERROR(__xludf.DUMMYFUNCTION("IMPORTRANGE(""https://docs.google.com/spreadsheets/d/1XL5vhW3sbDhbH9Cz0tuDiY8C3ctxq1tqvaCgkFb8cCA/edit?usp=sharing"",""ขอนแก่น!J423"")"),0)</f>
        <v>0</v>
      </c>
      <c r="CD35" s="552">
        <f ca="1">IFERROR(__xludf.DUMMYFUNCTION("IMPORTRANGE(""https://docs.google.com/spreadsheets/d/1XL5vhW3sbDhbH9Cz0tuDiY8C3ctxq1tqvaCgkFb8cCA/edit?usp=sharing"",""ขอนแก่น!J424"")"),0)</f>
        <v>0</v>
      </c>
      <c r="CE35" s="552">
        <f ca="1">IFERROR(__xludf.DUMMYFUNCTION("IMPORTRANGE(""https://docs.google.com/spreadsheets/d/1XL5vhW3sbDhbH9Cz0tuDiY8C3ctxq1tqvaCgkFb8cCA/edit?usp=sharing"",""ขอนแก่น!J425"")"),0)</f>
        <v>0</v>
      </c>
      <c r="CF35" s="552">
        <f ca="1">IFERROR(__xludf.DUMMYFUNCTION("IMPORTRANGE(""https://docs.google.com/spreadsheets/d/1XL5vhW3sbDhbH9Cz0tuDiY8C3ctxq1tqvaCgkFb8cCA/edit?usp=sharing"",""ขอนแก่น!J426"")"),14)</f>
        <v>14</v>
      </c>
      <c r="CG35" s="558">
        <f ca="1">IFERROR(__xludf.DUMMYFUNCTION("IMPORTRANGE(""https://docs.google.com/spreadsheets/d/1XL5vhW3sbDhbH9Cz0tuDiY8C3ctxq1tqvaCgkFb8cCA/edit?usp=sharing"",""ขอนแก่น!J427"")"),1)</f>
        <v>1</v>
      </c>
    </row>
    <row r="36" spans="1:85" ht="21" customHeight="1">
      <c r="A36" s="549">
        <v>3</v>
      </c>
      <c r="B36" s="550" t="s">
        <v>60</v>
      </c>
      <c r="C36" s="551">
        <f t="shared" ca="1" si="82"/>
        <v>613203</v>
      </c>
      <c r="D36" s="552">
        <f ca="1">IFERROR(__xludf.DUMMYFUNCTION("IMPORTRANGE(""https://docs.google.com/spreadsheets/d/1C3CXT74ZlgGe6_JY_1olB1XN4rF0dxEuIIF-xsYjHgg/edit?usp=sharing"",""งบกองทุน!BC40"")"),0)</f>
        <v>0</v>
      </c>
      <c r="E36" s="553">
        <f ca="1">IFERROR(__xludf.DUMMYFUNCTION("IMPORTRANGE(""https://docs.google.com/spreadsheets/d/1C3CXT74ZlgGe6_JY_1olB1XN4rF0dxEuIIF-xsYjHgg/edit?usp=sharing"",""งบกองทุน!BD40"")"),613203)</f>
        <v>613203</v>
      </c>
      <c r="F36" s="554">
        <f ca="1">IFERROR(__xludf.DUMMYFUNCTION("IMPORTRANGE(""https://docs.google.com/spreadsheets/d/1XL5vhW3sbDhbH9Cz0tuDiY8C3ctxq1tqvaCgkFb8cCA/edit?usp=sharing"",""ชัยภูมิ!M352"")"),159311.1)</f>
        <v>159311.1</v>
      </c>
      <c r="G36" s="554">
        <f t="shared" ca="1" si="1"/>
        <v>25.98015665285395</v>
      </c>
      <c r="H36" s="555">
        <f ca="1">IFERROR(__xludf.DUMMYFUNCTION("IMPORTRANGE(""https://docs.google.com/spreadsheets/d/1C3CXT74ZlgGe6_JY_1olB1XN4rF0dxEuIIF-xsYjHgg/edit?usp=sharing"",""งบกองทุน!BE40"")"),60118)</f>
        <v>60118</v>
      </c>
      <c r="I36" s="555">
        <f ca="1">IFERROR(__xludf.DUMMYFUNCTION("IMPORTRANGE(""https://docs.google.com/spreadsheets/d/1C3CXT74ZlgGe6_JY_1olB1XN4rF0dxEuIIF-xsYjHgg/edit?usp=sharing"",""งบกองทุน!BF40"")"),6678)</f>
        <v>6678</v>
      </c>
      <c r="J36" s="552">
        <f t="shared" ca="1" si="83"/>
        <v>60119</v>
      </c>
      <c r="K36" s="554">
        <f t="shared" ca="1" si="3"/>
        <v>100.00166339532254</v>
      </c>
      <c r="L36" s="552">
        <f t="shared" ca="1" si="84"/>
        <v>6678</v>
      </c>
      <c r="M36" s="554">
        <f t="shared" ca="1" si="4"/>
        <v>100</v>
      </c>
      <c r="N36" s="552">
        <f ca="1">IFERROR(__xludf.DUMMYFUNCTION("IMPORTRANGE(""https://docs.google.com/spreadsheets/d/1XL5vhW3sbDhbH9Cz0tuDiY8C3ctxq1tqvaCgkFb8cCA/edit?usp=sharing"",""ชัยภูมิ!J362"")"),47784)</f>
        <v>47784</v>
      </c>
      <c r="O36" s="552">
        <f ca="1">IFERROR(__xludf.DUMMYFUNCTION("IMPORTRANGE(""https://docs.google.com/spreadsheets/d/1XL5vhW3sbDhbH9Cz0tuDiY8C3ctxq1tqvaCgkFb8cCA/edit?usp=sharing"",""ชัยภูมิ!J363"")"),5619)</f>
        <v>5619</v>
      </c>
      <c r="P36" s="552">
        <f ca="1">IFERROR(__xludf.DUMMYFUNCTION("IMPORTRANGE(""https://docs.google.com/spreadsheets/d/1XL5vhW3sbDhbH9Cz0tuDiY8C3ctxq1tqvaCgkFb8cCA/edit?usp=sharing"",""ชัยภูมิ!J364"")"),10583)</f>
        <v>10583</v>
      </c>
      <c r="Q36" s="552">
        <f ca="1">IFERROR(__xludf.DUMMYFUNCTION("IMPORTRANGE(""https://docs.google.com/spreadsheets/d/1XL5vhW3sbDhbH9Cz0tuDiY8C3ctxq1tqvaCgkFb8cCA/edit?usp=sharing"",""ชัยภูมิ!J365"")"),880)</f>
        <v>880</v>
      </c>
      <c r="R36" s="552">
        <f ca="1">IFERROR(__xludf.DUMMYFUNCTION("IMPORTRANGE(""https://docs.google.com/spreadsheets/d/1XL5vhW3sbDhbH9Cz0tuDiY8C3ctxq1tqvaCgkFb8cCA/edit?usp=sharing"",""ชัยภูมิ!J366"")"),1752)</f>
        <v>1752</v>
      </c>
      <c r="S36" s="552">
        <f ca="1">IFERROR(__xludf.DUMMYFUNCTION("IMPORTRANGE(""https://docs.google.com/spreadsheets/d/1XL5vhW3sbDhbH9Cz0tuDiY8C3ctxq1tqvaCgkFb8cCA/edit?usp=sharing"",""ชัยภูมิ!J367"")"),179)</f>
        <v>179</v>
      </c>
      <c r="T36" s="552">
        <f t="shared" ca="1" si="85"/>
        <v>60119</v>
      </c>
      <c r="U36" s="552">
        <f t="shared" ca="1" si="6"/>
        <v>100.00166339532254</v>
      </c>
      <c r="V36" s="552">
        <f t="shared" ca="1" si="86"/>
        <v>6678</v>
      </c>
      <c r="W36" s="552">
        <f t="shared" ca="1" si="7"/>
        <v>100</v>
      </c>
      <c r="X36" s="552">
        <f ca="1">IFERROR(__xludf.DUMMYFUNCTION("IMPORTRANGE(""https://docs.google.com/spreadsheets/d/1XL5vhW3sbDhbH9Cz0tuDiY8C3ctxq1tqvaCgkFb8cCA/edit?usp=sharing"",""ชัยภูมิ!J370"")"),47784)</f>
        <v>47784</v>
      </c>
      <c r="Y36" s="552">
        <f ca="1">IFERROR(__xludf.DUMMYFUNCTION("IMPORTRANGE(""https://docs.google.com/spreadsheets/d/1XL5vhW3sbDhbH9Cz0tuDiY8C3ctxq1tqvaCgkFb8cCA/edit?usp=sharing"",""ชัยภูมิ!J371"")"),5619)</f>
        <v>5619</v>
      </c>
      <c r="Z36" s="552">
        <f ca="1">IFERROR(__xludf.DUMMYFUNCTION("IMPORTRANGE(""https://docs.google.com/spreadsheets/d/1XL5vhW3sbDhbH9Cz0tuDiY8C3ctxq1tqvaCgkFb8cCA/edit?usp=sharing"",""ชัยภูมิ!J372"")"),10583)</f>
        <v>10583</v>
      </c>
      <c r="AA36" s="552">
        <f ca="1">IFERROR(__xludf.DUMMYFUNCTION("IMPORTRANGE(""https://docs.google.com/spreadsheets/d/1XL5vhW3sbDhbH9Cz0tuDiY8C3ctxq1tqvaCgkFb8cCA/edit?usp=sharing"",""ชัยภูมิ!J373"")"),880)</f>
        <v>880</v>
      </c>
      <c r="AB36" s="552">
        <f ca="1">IFERROR(__xludf.DUMMYFUNCTION("IMPORTRANGE(""https://docs.google.com/spreadsheets/d/1XL5vhW3sbDhbH9Cz0tuDiY8C3ctxq1tqvaCgkFb8cCA/edit?usp=sharing"",""ชัยภูมิ!J374"")"),1752)</f>
        <v>1752</v>
      </c>
      <c r="AC36" s="552">
        <f ca="1">IFERROR(__xludf.DUMMYFUNCTION("IMPORTRANGE(""https://docs.google.com/spreadsheets/d/1XL5vhW3sbDhbH9Cz0tuDiY8C3ctxq1tqvaCgkFb8cCA/edit?usp=sharing"",""ชัยภูมิ!J375"")"),179)</f>
        <v>179</v>
      </c>
      <c r="AD36" s="552">
        <f t="shared" ca="1" si="87"/>
        <v>60119</v>
      </c>
      <c r="AE36" s="554">
        <f t="shared" ca="1" si="9"/>
        <v>100.00166339532254</v>
      </c>
      <c r="AF36" s="552">
        <f t="shared" ca="1" si="88"/>
        <v>6678</v>
      </c>
      <c r="AG36" s="554">
        <f t="shared" ca="1" si="10"/>
        <v>100</v>
      </c>
      <c r="AH36" s="552">
        <f ca="1">IFERROR(__xludf.DUMMYFUNCTION("IMPORTRANGE(""https://docs.google.com/spreadsheets/d/1XL5vhW3sbDhbH9Cz0tuDiY8C3ctxq1tqvaCgkFb8cCA/edit?usp=sharing"",""ชัยภูมิ!J378"")"),49791)</f>
        <v>49791</v>
      </c>
      <c r="AI36" s="552">
        <f ca="1">IFERROR(__xludf.DUMMYFUNCTION("IMPORTRANGE(""https://docs.google.com/spreadsheets/d/1XL5vhW3sbDhbH9Cz0tuDiY8C3ctxq1tqvaCgkFb8cCA/edit?usp=sharing"",""ชัยภูมิ!J379"")"),5788)</f>
        <v>5788</v>
      </c>
      <c r="AJ36" s="552">
        <f ca="1">IFERROR(__xludf.DUMMYFUNCTION("IMPORTRANGE(""https://docs.google.com/spreadsheets/d/1XL5vhW3sbDhbH9Cz0tuDiY8C3ctxq1tqvaCgkFb8cCA/edit?usp=sharing"",""ชัยภูมิ!J380"")"),8431)</f>
        <v>8431</v>
      </c>
      <c r="AK36" s="552">
        <f ca="1">IFERROR(__xludf.DUMMYFUNCTION("IMPORTRANGE(""https://docs.google.com/spreadsheets/d/1XL5vhW3sbDhbH9Cz0tuDiY8C3ctxq1tqvaCgkFb8cCA/edit?usp=sharing"",""ชัยภูมิ!J381"")"),697)</f>
        <v>697</v>
      </c>
      <c r="AL36" s="552">
        <f ca="1">IFERROR(__xludf.DUMMYFUNCTION("IMPORTRANGE(""https://docs.google.com/spreadsheets/d/1XL5vhW3sbDhbH9Cz0tuDiY8C3ctxq1tqvaCgkFb8cCA/edit?usp=sharing"",""ชัยภูมิ!J384"")"),1864)</f>
        <v>1864</v>
      </c>
      <c r="AM36" s="552">
        <f ca="1">IFERROR(__xludf.DUMMYFUNCTION("IMPORTRANGE(""https://docs.google.com/spreadsheets/d/1XL5vhW3sbDhbH9Cz0tuDiY8C3ctxq1tqvaCgkFb8cCA/edit?usp=sharing"",""ชัยภูมิ!J385"")"),191)</f>
        <v>191</v>
      </c>
      <c r="AN36" s="552">
        <f ca="1">IFERROR(__xludf.DUMMYFUNCTION("IMPORTRANGE(""https://docs.google.com/spreadsheets/d/1XL5vhW3sbDhbH9Cz0tuDiY8C3ctxq1tqvaCgkFb8cCA/edit?usp=sharing"",""ชัยภูมิ!J386"")"),33)</f>
        <v>33</v>
      </c>
      <c r="AO36" s="552">
        <f ca="1">IFERROR(__xludf.DUMMYFUNCTION("IMPORTRANGE(""https://docs.google.com/spreadsheets/d/1XL5vhW3sbDhbH9Cz0tuDiY8C3ctxq1tqvaCgkFb8cCA/edit?usp=sharing"",""ชัยภูมิ!J387"")"),2)</f>
        <v>2</v>
      </c>
      <c r="AP36" s="552">
        <f ca="1">IFERROR(__xludf.DUMMYFUNCTION("IMPORTRANGE(""https://docs.google.com/spreadsheets/d/1XL5vhW3sbDhbH9Cz0tuDiY8C3ctxq1tqvaCgkFb8cCA/edit?usp=sharing"",""ชัยภูมิ!J388"")"),0)</f>
        <v>0</v>
      </c>
      <c r="AQ36" s="552">
        <f ca="1">IFERROR(__xludf.DUMMYFUNCTION("IMPORTRANGE(""https://docs.google.com/spreadsheets/d/1XL5vhW3sbDhbH9Cz0tuDiY8C3ctxq1tqvaCgkFb8cCA/edit?usp=sharing"",""ชัยภูมิ!J389"")"),0)</f>
        <v>0</v>
      </c>
      <c r="AR36" s="552">
        <f ca="1">IFERROR(__xludf.DUMMYFUNCTION("IMPORTRANGE(""https://docs.google.com/spreadsheets/d/1XL5vhW3sbDhbH9Cz0tuDiY8C3ctxq1tqvaCgkFb8cCA/edit?usp=sharing"",""ชัยภูมิ!J390"")"),0)</f>
        <v>0</v>
      </c>
      <c r="AS36" s="552">
        <f ca="1">IFERROR(__xludf.DUMMYFUNCTION("IMPORTRANGE(""https://docs.google.com/spreadsheets/d/1XL5vhW3sbDhbH9Cz0tuDiY8C3ctxq1tqvaCgkFb8cCA/edit?usp=sharing"",""ชัยภูมิ!J391"")"),0)</f>
        <v>0</v>
      </c>
      <c r="AT36" s="556">
        <f ca="1">IFERROR(__xludf.DUMMYFUNCTION("IMPORTRANGE(""https://docs.google.com/spreadsheets/d/1C3CXT74ZlgGe6_JY_1olB1XN4rF0dxEuIIF-xsYjHgg/edit?usp=sharing"",""งบกองทุน!CD40"")"),1176)</f>
        <v>1176</v>
      </c>
      <c r="AU36" s="556">
        <f ca="1">IFERROR(__xludf.DUMMYFUNCTION("IMPORTRANGE(""https://docs.google.com/spreadsheets/d/1C3CXT74ZlgGe6_JY_1olB1XN4rF0dxEuIIF-xsYjHgg/edit?usp=sharing"",""งบกองทุน!CC40"")"),151)</f>
        <v>151</v>
      </c>
      <c r="AV36" s="556">
        <f t="shared" ca="1" si="89"/>
        <v>0</v>
      </c>
      <c r="AW36" s="556">
        <f t="shared" ca="1" si="12"/>
        <v>0</v>
      </c>
      <c r="AX36" s="556">
        <f t="shared" ca="1" si="90"/>
        <v>0</v>
      </c>
      <c r="AY36" s="556">
        <f t="shared" ca="1" si="13"/>
        <v>0</v>
      </c>
      <c r="AZ36" s="552">
        <f ca="1">IFERROR(__xludf.DUMMYFUNCTION("IMPORTRANGE(""https://docs.google.com/spreadsheets/d/1XL5vhW3sbDhbH9Cz0tuDiY8C3ctxq1tqvaCgkFb8cCA/edit?usp=sharing"",""ชัยภูมิ!J397"")"),0)</f>
        <v>0</v>
      </c>
      <c r="BA36" s="552">
        <f ca="1">IFERROR(__xludf.DUMMYFUNCTION("IMPORTRANGE(""https://docs.google.com/spreadsheets/d/1XL5vhW3sbDhbH9Cz0tuDiY8C3ctxq1tqvaCgkFb8cCA/edit?usp=sharing"",""ชัยภูมิ!J398"")"),0)</f>
        <v>0</v>
      </c>
      <c r="BB36" s="552">
        <f ca="1">IFERROR(__xludf.DUMMYFUNCTION("IMPORTRANGE(""https://docs.google.com/spreadsheets/d/1XL5vhW3sbDhbH9Cz0tuDiY8C3ctxq1tqvaCgkFb8cCA/edit?usp=sharing"",""ชัยภูมิ!J399"")"),0)</f>
        <v>0</v>
      </c>
      <c r="BC36" s="552">
        <f ca="1">IFERROR(__xludf.DUMMYFUNCTION("IMPORTRANGE(""https://docs.google.com/spreadsheets/d/1XL5vhW3sbDhbH9Cz0tuDiY8C3ctxq1tqvaCgkFb8cCA/edit?usp=sharing"",""ชัยภูมิ!J400"")"),0)</f>
        <v>0</v>
      </c>
      <c r="BD36" s="552">
        <f ca="1">IFERROR(__xludf.DUMMYFUNCTION("IMPORTRANGE(""https://docs.google.com/spreadsheets/d/1XL5vhW3sbDhbH9Cz0tuDiY8C3ctxq1tqvaCgkFb8cCA/edit?usp=sharing"",""ชัยภูมิ!J401"")"),0)</f>
        <v>0</v>
      </c>
      <c r="BE36" s="552">
        <f ca="1">IFERROR(__xludf.DUMMYFUNCTION("IMPORTRANGE(""https://docs.google.com/spreadsheets/d/1XL5vhW3sbDhbH9Cz0tuDiY8C3ctxq1tqvaCgkFb8cCA/edit?usp=sharing"",""ชัยภูมิ!J402"")"),0)</f>
        <v>0</v>
      </c>
      <c r="BF36" s="552">
        <f ca="1">IFERROR(__xludf.DUMMYFUNCTION("IMPORTRANGE(""https://docs.google.com/spreadsheets/d/1XL5vhW3sbDhbH9Cz0tuDiY8C3ctxq1tqvaCgkFb8cCA/edit?usp=sharing"",""ชัยภูมิ!J405"")"),0)</f>
        <v>0</v>
      </c>
      <c r="BG36" s="552">
        <f ca="1">IFERROR(__xludf.DUMMYFUNCTION("IMPORTRANGE(""https://docs.google.com/spreadsheets/d/1XL5vhW3sbDhbH9Cz0tuDiY8C3ctxq1tqvaCgkFb8cCA/edit?usp=sharing"",""ชัยภูมิ!J406"")"),0)</f>
        <v>0</v>
      </c>
      <c r="BH36" s="552">
        <f ca="1">IFERROR(__xludf.DUMMYFUNCTION("IMPORTRANGE(""https://docs.google.com/spreadsheets/d/1XL5vhW3sbDhbH9Cz0tuDiY8C3ctxq1tqvaCgkFb8cCA/edit?usp=sharing"",""ชัยภูมิ!J407"")"),0)</f>
        <v>0</v>
      </c>
      <c r="BI36" s="552">
        <f ca="1">IFERROR(__xludf.DUMMYFUNCTION("IMPORTRANGE(""https://docs.google.com/spreadsheets/d/1XL5vhW3sbDhbH9Cz0tuDiY8C3ctxq1tqvaCgkFb8cCA/edit?usp=sharing"",""ชัยภูมิ!J408"")"),0)</f>
        <v>0</v>
      </c>
      <c r="BJ36" s="552">
        <f ca="1">IFERROR(__xludf.DUMMYFUNCTION("IMPORTRANGE(""https://docs.google.com/spreadsheets/d/1XL5vhW3sbDhbH9Cz0tuDiY8C3ctxq1tqvaCgkFb8cCA/edit?usp=sharing"",""ชัยภูมิ!J409"")"),0)</f>
        <v>0</v>
      </c>
      <c r="BK36" s="552">
        <f ca="1">IFERROR(__xludf.DUMMYFUNCTION("IMPORTRANGE(""https://docs.google.com/spreadsheets/d/1XL5vhW3sbDhbH9Cz0tuDiY8C3ctxq1tqvaCgkFb8cCA/edit?usp=sharing"",""ชัยภูมิ!J410"")"),0)</f>
        <v>0</v>
      </c>
      <c r="BL36" s="556">
        <f ca="1">IFERROR(__xludf.DUMMYFUNCTION("IMPORTRANGE(""https://docs.google.com/spreadsheets/d/1C3CXT74ZlgGe6_JY_1olB1XN4rF0dxEuIIF-xsYjHgg/edit?usp=sharing"",""งบกองทุน!CZ40"")"),0)</f>
        <v>0</v>
      </c>
      <c r="BM36" s="556">
        <f ca="1">IFERROR(__xludf.DUMMYFUNCTION("IMPORTRANGE(""https://docs.google.com/spreadsheets/d/1C3CXT74ZlgGe6_JY_1olB1XN4rF0dxEuIIF-xsYjHgg/edit?usp=sharing"",""งบกองทุน!CY40"")"),0)</f>
        <v>0</v>
      </c>
      <c r="BN36" s="556">
        <f t="shared" ca="1" si="91"/>
        <v>0</v>
      </c>
      <c r="BO36" s="557">
        <f t="shared" ca="1" si="15"/>
        <v>0</v>
      </c>
      <c r="BP36" s="556">
        <f t="shared" ca="1" si="92"/>
        <v>0</v>
      </c>
      <c r="BQ36" s="557">
        <f t="shared" ca="1" si="16"/>
        <v>0</v>
      </c>
      <c r="BR36" s="552">
        <f ca="1">IFERROR(__xludf.DUMMYFUNCTION("IMPORTRANGE(""https://docs.google.com/spreadsheets/d/1XL5vhW3sbDhbH9Cz0tuDiY8C3ctxq1tqvaCgkFb8cCA/edit?usp=sharing"",""ชัยภูมิ!J414"")"),0)</f>
        <v>0</v>
      </c>
      <c r="BS36" s="552">
        <f ca="1">IFERROR(__xludf.DUMMYFUNCTION("IMPORTRANGE(""https://docs.google.com/spreadsheets/d/1XL5vhW3sbDhbH9Cz0tuDiY8C3ctxq1tqvaCgkFb8cCA/edit?usp=sharing"",""ชัยภูมิ!J415"")"),0)</f>
        <v>0</v>
      </c>
      <c r="BT36" s="552">
        <f ca="1">IFERROR(__xludf.DUMMYFUNCTION("IMPORTRANGE(""https://docs.google.com/spreadsheets/d/1XL5vhW3sbDhbH9Cz0tuDiY8C3ctxq1tqvaCgkFb8cCA/edit?usp=sharing"",""ชัยภูมิ!J416"")"),0)</f>
        <v>0</v>
      </c>
      <c r="BU36" s="552">
        <f ca="1">IFERROR(__xludf.DUMMYFUNCTION("IMPORTRANGE(""https://docs.google.com/spreadsheets/d/1XL5vhW3sbDhbH9Cz0tuDiY8C3ctxq1tqvaCgkFb8cCA/edit?usp=sharing"",""ชัยภูมิ!J417"")"),0)</f>
        <v>0</v>
      </c>
      <c r="BV36" s="552">
        <f ca="1">IFERROR(__xludf.DUMMYFUNCTION("IMPORTRANGE(""https://docs.google.com/spreadsheets/d/1XL5vhW3sbDhbH9Cz0tuDiY8C3ctxq1tqvaCgkFb8cCA/edit?usp=sharing"",""ชัยภูมิ!J418"")"),0)</f>
        <v>0</v>
      </c>
      <c r="BW36" s="552">
        <f ca="1">IFERROR(__xludf.DUMMYFUNCTION("IMPORTRANGE(""https://docs.google.com/spreadsheets/d/1XL5vhW3sbDhbH9Cz0tuDiY8C3ctxq1tqvaCgkFb8cCA/edit?usp=sharing"",""ชัยภูมิ!J419"")"),0)</f>
        <v>0</v>
      </c>
      <c r="BX36" s="556">
        <f t="shared" ca="1" si="93"/>
        <v>0</v>
      </c>
      <c r="BY36" s="557">
        <f t="shared" ca="1" si="94"/>
        <v>0</v>
      </c>
      <c r="BZ36" s="556">
        <f t="shared" ca="1" si="95"/>
        <v>0</v>
      </c>
      <c r="CA36" s="557">
        <f t="shared" ca="1" si="96"/>
        <v>0</v>
      </c>
      <c r="CB36" s="552">
        <f ca="1">IFERROR(__xludf.DUMMYFUNCTION("IMPORTRANGE(""https://docs.google.com/spreadsheets/d/1XL5vhW3sbDhbH9Cz0tuDiY8C3ctxq1tqvaCgkFb8cCA/edit?usp=sharing"",""ชัยภูมิ!J422"")"),0)</f>
        <v>0</v>
      </c>
      <c r="CC36" s="552">
        <f ca="1">IFERROR(__xludf.DUMMYFUNCTION("IMPORTRANGE(""https://docs.google.com/spreadsheets/d/1XL5vhW3sbDhbH9Cz0tuDiY8C3ctxq1tqvaCgkFb8cCA/edit?usp=sharing"",""ชัยภูมิ!J423"")"),0)</f>
        <v>0</v>
      </c>
      <c r="CD36" s="552">
        <f ca="1">IFERROR(__xludf.DUMMYFUNCTION("IMPORTRANGE(""https://docs.google.com/spreadsheets/d/1XL5vhW3sbDhbH9Cz0tuDiY8C3ctxq1tqvaCgkFb8cCA/edit?usp=sharing"",""ชัยภูมิ!J424"")"),0)</f>
        <v>0</v>
      </c>
      <c r="CE36" s="552">
        <f ca="1">IFERROR(__xludf.DUMMYFUNCTION("IMPORTRANGE(""https://docs.google.com/spreadsheets/d/1XL5vhW3sbDhbH9Cz0tuDiY8C3ctxq1tqvaCgkFb8cCA/edit?usp=sharing"",""ชัยภูมิ!J425"")"),0)</f>
        <v>0</v>
      </c>
      <c r="CF36" s="552">
        <f ca="1">IFERROR(__xludf.DUMMYFUNCTION("IMPORTRANGE(""https://docs.google.com/spreadsheets/d/1XL5vhW3sbDhbH9Cz0tuDiY8C3ctxq1tqvaCgkFb8cCA/edit?usp=sharing"",""ชัยภูมิ!J426"")"),0)</f>
        <v>0</v>
      </c>
      <c r="CG36" s="558">
        <f ca="1">IFERROR(__xludf.DUMMYFUNCTION("IMPORTRANGE(""https://docs.google.com/spreadsheets/d/1XL5vhW3sbDhbH9Cz0tuDiY8C3ctxq1tqvaCgkFb8cCA/edit?usp=sharing"",""ชัยภูมิ!J427"")"),0)</f>
        <v>0</v>
      </c>
    </row>
    <row r="37" spans="1:85" ht="21" customHeight="1">
      <c r="A37" s="549">
        <v>4</v>
      </c>
      <c r="B37" s="550" t="s">
        <v>61</v>
      </c>
      <c r="C37" s="551">
        <f t="shared" ca="1" si="82"/>
        <v>273699</v>
      </c>
      <c r="D37" s="552">
        <f ca="1">IFERROR(__xludf.DUMMYFUNCTION("IMPORTRANGE(""https://docs.google.com/spreadsheets/d/1C3CXT74ZlgGe6_JY_1olB1XN4rF0dxEuIIF-xsYjHgg/edit?usp=sharing"",""งบกองทุน!BC41"")"),0)</f>
        <v>0</v>
      </c>
      <c r="E37" s="553">
        <f ca="1">IFERROR(__xludf.DUMMYFUNCTION("IMPORTRANGE(""https://docs.google.com/spreadsheets/d/1C3CXT74ZlgGe6_JY_1olB1XN4rF0dxEuIIF-xsYjHgg/edit?usp=sharing"",""งบกองทุน!BD41"")"),273699)</f>
        <v>273699</v>
      </c>
      <c r="F37" s="554">
        <f ca="1">IFERROR(__xludf.DUMMYFUNCTION("IMPORTRANGE(""https://docs.google.com/spreadsheets/d/1XL5vhW3sbDhbH9Cz0tuDiY8C3ctxq1tqvaCgkFb8cCA/edit?usp=sharing"",""นครพนม!M352"")"),65330)</f>
        <v>65330</v>
      </c>
      <c r="G37" s="554">
        <f t="shared" ca="1" si="1"/>
        <v>23.869287063525991</v>
      </c>
      <c r="H37" s="555">
        <f ca="1">IFERROR(__xludf.DUMMYFUNCTION("IMPORTRANGE(""https://docs.google.com/spreadsheets/d/1C3CXT74ZlgGe6_JY_1olB1XN4rF0dxEuIIF-xsYjHgg/edit?usp=sharing"",""งบกองทุน!BE41"")"),29744)</f>
        <v>29744</v>
      </c>
      <c r="I37" s="555">
        <f ca="1">IFERROR(__xludf.DUMMYFUNCTION("IMPORTRANGE(""https://docs.google.com/spreadsheets/d/1C3CXT74ZlgGe6_JY_1olB1XN4rF0dxEuIIF-xsYjHgg/edit?usp=sharing"",""งบกองทุน!BF41"")"),2630)</f>
        <v>2630</v>
      </c>
      <c r="J37" s="552">
        <f t="shared" ca="1" si="83"/>
        <v>29745</v>
      </c>
      <c r="K37" s="554">
        <f t="shared" ca="1" si="3"/>
        <v>100.0033620225928</v>
      </c>
      <c r="L37" s="552">
        <f t="shared" ca="1" si="84"/>
        <v>2630</v>
      </c>
      <c r="M37" s="554">
        <f t="shared" ca="1" si="4"/>
        <v>100</v>
      </c>
      <c r="N37" s="552">
        <f ca="1">IFERROR(__xludf.DUMMYFUNCTION("IMPORTRANGE(""https://docs.google.com/spreadsheets/d/1XL5vhW3sbDhbH9Cz0tuDiY8C3ctxq1tqvaCgkFb8cCA/edit?usp=sharing"",""นครพนม!J362"")"),24858)</f>
        <v>24858</v>
      </c>
      <c r="O37" s="552">
        <f ca="1">IFERROR(__xludf.DUMMYFUNCTION("IMPORTRANGE(""https://docs.google.com/spreadsheets/d/1XL5vhW3sbDhbH9Cz0tuDiY8C3ctxq1tqvaCgkFb8cCA/edit?usp=sharing"",""นครพนม!J363"")"),2246)</f>
        <v>2246</v>
      </c>
      <c r="P37" s="552">
        <f ca="1">IFERROR(__xludf.DUMMYFUNCTION("IMPORTRANGE(""https://docs.google.com/spreadsheets/d/1XL5vhW3sbDhbH9Cz0tuDiY8C3ctxq1tqvaCgkFb8cCA/edit?usp=sharing"",""นครพนม!J364"")"),4457)</f>
        <v>4457</v>
      </c>
      <c r="Q37" s="552">
        <f ca="1">IFERROR(__xludf.DUMMYFUNCTION("IMPORTRANGE(""https://docs.google.com/spreadsheets/d/1XL5vhW3sbDhbH9Cz0tuDiY8C3ctxq1tqvaCgkFb8cCA/edit?usp=sharing"",""นครพนม!J365"")"),347)</f>
        <v>347</v>
      </c>
      <c r="R37" s="552">
        <f ca="1">IFERROR(__xludf.DUMMYFUNCTION("IMPORTRANGE(""https://docs.google.com/spreadsheets/d/1XL5vhW3sbDhbH9Cz0tuDiY8C3ctxq1tqvaCgkFb8cCA/edit?usp=sharing"",""นครพนม!J366"")"),430)</f>
        <v>430</v>
      </c>
      <c r="S37" s="552">
        <f ca="1">IFERROR(__xludf.DUMMYFUNCTION("IMPORTRANGE(""https://docs.google.com/spreadsheets/d/1XL5vhW3sbDhbH9Cz0tuDiY8C3ctxq1tqvaCgkFb8cCA/edit?usp=sharing"",""นครพนม!J367"")"),37)</f>
        <v>37</v>
      </c>
      <c r="T37" s="552">
        <f t="shared" ca="1" si="85"/>
        <v>29745</v>
      </c>
      <c r="U37" s="552">
        <f t="shared" ca="1" si="6"/>
        <v>100.0033620225928</v>
      </c>
      <c r="V37" s="552">
        <f t="shared" ca="1" si="86"/>
        <v>2630</v>
      </c>
      <c r="W37" s="552">
        <f t="shared" ca="1" si="7"/>
        <v>100</v>
      </c>
      <c r="X37" s="552">
        <f ca="1">IFERROR(__xludf.DUMMYFUNCTION("IMPORTRANGE(""https://docs.google.com/spreadsheets/d/1XL5vhW3sbDhbH9Cz0tuDiY8C3ctxq1tqvaCgkFb8cCA/edit?usp=sharing"",""นครพนม!J370"")"),24858)</f>
        <v>24858</v>
      </c>
      <c r="Y37" s="552">
        <f ca="1">IFERROR(__xludf.DUMMYFUNCTION("IMPORTRANGE(""https://docs.google.com/spreadsheets/d/1XL5vhW3sbDhbH9Cz0tuDiY8C3ctxq1tqvaCgkFb8cCA/edit?usp=sharing"",""นครพนม!J371"")"),2246)</f>
        <v>2246</v>
      </c>
      <c r="Z37" s="552">
        <f ca="1">IFERROR(__xludf.DUMMYFUNCTION("IMPORTRANGE(""https://docs.google.com/spreadsheets/d/1XL5vhW3sbDhbH9Cz0tuDiY8C3ctxq1tqvaCgkFb8cCA/edit?usp=sharing"",""นครพนม!J372"")"),4457)</f>
        <v>4457</v>
      </c>
      <c r="AA37" s="552">
        <f ca="1">IFERROR(__xludf.DUMMYFUNCTION("IMPORTRANGE(""https://docs.google.com/spreadsheets/d/1XL5vhW3sbDhbH9Cz0tuDiY8C3ctxq1tqvaCgkFb8cCA/edit?usp=sharing"",""นครพนม!J373"")"),347)</f>
        <v>347</v>
      </c>
      <c r="AB37" s="552">
        <f ca="1">IFERROR(__xludf.DUMMYFUNCTION("IMPORTRANGE(""https://docs.google.com/spreadsheets/d/1XL5vhW3sbDhbH9Cz0tuDiY8C3ctxq1tqvaCgkFb8cCA/edit?usp=sharing"",""นครพนม!J374"")"),430)</f>
        <v>430</v>
      </c>
      <c r="AC37" s="552">
        <f ca="1">IFERROR(__xludf.DUMMYFUNCTION("IMPORTRANGE(""https://docs.google.com/spreadsheets/d/1XL5vhW3sbDhbH9Cz0tuDiY8C3ctxq1tqvaCgkFb8cCA/edit?usp=sharing"",""นครพนม!J375"")"),37)</f>
        <v>37</v>
      </c>
      <c r="AD37" s="552">
        <f t="shared" ca="1" si="87"/>
        <v>24858</v>
      </c>
      <c r="AE37" s="554">
        <f t="shared" ca="1" si="9"/>
        <v>83.573157611619152</v>
      </c>
      <c r="AF37" s="552">
        <f t="shared" ca="1" si="88"/>
        <v>2246</v>
      </c>
      <c r="AG37" s="554">
        <f t="shared" ca="1" si="10"/>
        <v>85.399239543726239</v>
      </c>
      <c r="AH37" s="552">
        <f ca="1">IFERROR(__xludf.DUMMYFUNCTION("IMPORTRANGE(""https://docs.google.com/spreadsheets/d/1XL5vhW3sbDhbH9Cz0tuDiY8C3ctxq1tqvaCgkFb8cCA/edit?usp=sharing"",""นครพนม!J378"")"),24858)</f>
        <v>24858</v>
      </c>
      <c r="AI37" s="552">
        <f ca="1">IFERROR(__xludf.DUMMYFUNCTION("IMPORTRANGE(""https://docs.google.com/spreadsheets/d/1XL5vhW3sbDhbH9Cz0tuDiY8C3ctxq1tqvaCgkFb8cCA/edit?usp=sharing"",""นครพนม!J379"")"),2246)</f>
        <v>2246</v>
      </c>
      <c r="AJ37" s="552">
        <f ca="1">IFERROR(__xludf.DUMMYFUNCTION("IMPORTRANGE(""https://docs.google.com/spreadsheets/d/1XL5vhW3sbDhbH9Cz0tuDiY8C3ctxq1tqvaCgkFb8cCA/edit?usp=sharing"",""นครพนม!J380"")"),0)</f>
        <v>0</v>
      </c>
      <c r="AK37" s="552">
        <f ca="1">IFERROR(__xludf.DUMMYFUNCTION("IMPORTRANGE(""https://docs.google.com/spreadsheets/d/1XL5vhW3sbDhbH9Cz0tuDiY8C3ctxq1tqvaCgkFb8cCA/edit?usp=sharing"",""นครพนม!J381"")"),0)</f>
        <v>0</v>
      </c>
      <c r="AL37" s="552">
        <f ca="1">IFERROR(__xludf.DUMMYFUNCTION("IMPORTRANGE(""https://docs.google.com/spreadsheets/d/1XL5vhW3sbDhbH9Cz0tuDiY8C3ctxq1tqvaCgkFb8cCA/edit?usp=sharing"",""นครพนม!J384"")"),0)</f>
        <v>0</v>
      </c>
      <c r="AM37" s="552">
        <f ca="1">IFERROR(__xludf.DUMMYFUNCTION("IMPORTRANGE(""https://docs.google.com/spreadsheets/d/1XL5vhW3sbDhbH9Cz0tuDiY8C3ctxq1tqvaCgkFb8cCA/edit?usp=sharing"",""นครพนม!J385"")"),0)</f>
        <v>0</v>
      </c>
      <c r="AN37" s="552">
        <f ca="1">IFERROR(__xludf.DUMMYFUNCTION("IMPORTRANGE(""https://docs.google.com/spreadsheets/d/1XL5vhW3sbDhbH9Cz0tuDiY8C3ctxq1tqvaCgkFb8cCA/edit?usp=sharing"",""นครพนม!J386"")"),0)</f>
        <v>0</v>
      </c>
      <c r="AO37" s="552">
        <f ca="1">IFERROR(__xludf.DUMMYFUNCTION("IMPORTRANGE(""https://docs.google.com/spreadsheets/d/1XL5vhW3sbDhbH9Cz0tuDiY8C3ctxq1tqvaCgkFb8cCA/edit?usp=sharing"",""นครพนม!J387"")"),0)</f>
        <v>0</v>
      </c>
      <c r="AP37" s="552">
        <f ca="1">IFERROR(__xludf.DUMMYFUNCTION("IMPORTRANGE(""https://docs.google.com/spreadsheets/d/1XL5vhW3sbDhbH9Cz0tuDiY8C3ctxq1tqvaCgkFb8cCA/edit?usp=sharing"",""นครพนม!J388"")"),0)</f>
        <v>0</v>
      </c>
      <c r="AQ37" s="552">
        <f ca="1">IFERROR(__xludf.DUMMYFUNCTION("IMPORTRANGE(""https://docs.google.com/spreadsheets/d/1XL5vhW3sbDhbH9Cz0tuDiY8C3ctxq1tqvaCgkFb8cCA/edit?usp=sharing"",""นครพนม!J389"")"),0)</f>
        <v>0</v>
      </c>
      <c r="AR37" s="552">
        <f ca="1">IFERROR(__xludf.DUMMYFUNCTION("IMPORTRANGE(""https://docs.google.com/spreadsheets/d/1XL5vhW3sbDhbH9Cz0tuDiY8C3ctxq1tqvaCgkFb8cCA/edit?usp=sharing"",""นครพนม!J390"")"),0)</f>
        <v>0</v>
      </c>
      <c r="AS37" s="552">
        <f ca="1">IFERROR(__xludf.DUMMYFUNCTION("IMPORTRANGE(""https://docs.google.com/spreadsheets/d/1XL5vhW3sbDhbH9Cz0tuDiY8C3ctxq1tqvaCgkFb8cCA/edit?usp=sharing"",""นครพนม!J391"")"),0)</f>
        <v>0</v>
      </c>
      <c r="AT37" s="556">
        <f ca="1">IFERROR(__xludf.DUMMYFUNCTION("IMPORTRANGE(""https://docs.google.com/spreadsheets/d/1C3CXT74ZlgGe6_JY_1olB1XN4rF0dxEuIIF-xsYjHgg/edit?usp=sharing"",""งบกองทุน!CD41"")"),2078)</f>
        <v>2078</v>
      </c>
      <c r="AU37" s="556">
        <f ca="1">IFERROR(__xludf.DUMMYFUNCTION("IMPORTRANGE(""https://docs.google.com/spreadsheets/d/1C3CXT74ZlgGe6_JY_1olB1XN4rF0dxEuIIF-xsYjHgg/edit?usp=sharing"",""งบกองทุน!CC41"")"),268)</f>
        <v>268</v>
      </c>
      <c r="AV37" s="556">
        <f t="shared" ca="1" si="89"/>
        <v>662</v>
      </c>
      <c r="AW37" s="556">
        <f t="shared" ca="1" si="12"/>
        <v>31.857555341674686</v>
      </c>
      <c r="AX37" s="556">
        <f t="shared" ca="1" si="90"/>
        <v>107</v>
      </c>
      <c r="AY37" s="556">
        <f t="shared" ca="1" si="13"/>
        <v>39.92537313432836</v>
      </c>
      <c r="AZ37" s="552">
        <f ca="1">IFERROR(__xludf.DUMMYFUNCTION("IMPORTRANGE(""https://docs.google.com/spreadsheets/d/1XL5vhW3sbDhbH9Cz0tuDiY8C3ctxq1tqvaCgkFb8cCA/edit?usp=sharing"",""นครพนม!J397"")"),641)</f>
        <v>641</v>
      </c>
      <c r="BA37" s="552">
        <f ca="1">IFERROR(__xludf.DUMMYFUNCTION("IMPORTRANGE(""https://docs.google.com/spreadsheets/d/1XL5vhW3sbDhbH9Cz0tuDiY8C3ctxq1tqvaCgkFb8cCA/edit?usp=sharing"",""นครพนม!J398"")"),103)</f>
        <v>103</v>
      </c>
      <c r="BB37" s="552">
        <f ca="1">IFERROR(__xludf.DUMMYFUNCTION("IMPORTRANGE(""https://docs.google.com/spreadsheets/d/1XL5vhW3sbDhbH9Cz0tuDiY8C3ctxq1tqvaCgkFb8cCA/edit?usp=sharing"",""นครพนม!J399"")"),21)</f>
        <v>21</v>
      </c>
      <c r="BC37" s="552">
        <f ca="1">IFERROR(__xludf.DUMMYFUNCTION("IMPORTRANGE(""https://docs.google.com/spreadsheets/d/1XL5vhW3sbDhbH9Cz0tuDiY8C3ctxq1tqvaCgkFb8cCA/edit?usp=sharing"",""นครพนม!J400"")"),4)</f>
        <v>4</v>
      </c>
      <c r="BD37" s="552">
        <f ca="1">IFERROR(__xludf.DUMMYFUNCTION("IMPORTRANGE(""https://docs.google.com/spreadsheets/d/1XL5vhW3sbDhbH9Cz0tuDiY8C3ctxq1tqvaCgkFb8cCA/edit?usp=sharing"",""นครพนม!J401"")"),0)</f>
        <v>0</v>
      </c>
      <c r="BE37" s="552">
        <f ca="1">IFERROR(__xludf.DUMMYFUNCTION("IMPORTRANGE(""https://docs.google.com/spreadsheets/d/1XL5vhW3sbDhbH9Cz0tuDiY8C3ctxq1tqvaCgkFb8cCA/edit?usp=sharing"",""นครพนม!J402"")"),0)</f>
        <v>0</v>
      </c>
      <c r="BF37" s="552">
        <f ca="1">IFERROR(__xludf.DUMMYFUNCTION("IMPORTRANGE(""https://docs.google.com/spreadsheets/d/1XL5vhW3sbDhbH9Cz0tuDiY8C3ctxq1tqvaCgkFb8cCA/edit?usp=sharing"",""นครพนม!J405"")"),0)</f>
        <v>0</v>
      </c>
      <c r="BG37" s="552">
        <f ca="1">IFERROR(__xludf.DUMMYFUNCTION("IMPORTRANGE(""https://docs.google.com/spreadsheets/d/1XL5vhW3sbDhbH9Cz0tuDiY8C3ctxq1tqvaCgkFb8cCA/edit?usp=sharing"",""นครพนม!J406"")"),0)</f>
        <v>0</v>
      </c>
      <c r="BH37" s="552">
        <f ca="1">IFERROR(__xludf.DUMMYFUNCTION("IMPORTRANGE(""https://docs.google.com/spreadsheets/d/1XL5vhW3sbDhbH9Cz0tuDiY8C3ctxq1tqvaCgkFb8cCA/edit?usp=sharing"",""นครพนม!J407"")"),0)</f>
        <v>0</v>
      </c>
      <c r="BI37" s="552">
        <f ca="1">IFERROR(__xludf.DUMMYFUNCTION("IMPORTRANGE(""https://docs.google.com/spreadsheets/d/1XL5vhW3sbDhbH9Cz0tuDiY8C3ctxq1tqvaCgkFb8cCA/edit?usp=sharing"",""นครพนม!J408"")"),0)</f>
        <v>0</v>
      </c>
      <c r="BJ37" s="552">
        <f ca="1">IFERROR(__xludf.DUMMYFUNCTION("IMPORTRANGE(""https://docs.google.com/spreadsheets/d/1XL5vhW3sbDhbH9Cz0tuDiY8C3ctxq1tqvaCgkFb8cCA/edit?usp=sharing"",""นครพนม!J409"")"),0)</f>
        <v>0</v>
      </c>
      <c r="BK37" s="552">
        <f ca="1">IFERROR(__xludf.DUMMYFUNCTION("IMPORTRANGE(""https://docs.google.com/spreadsheets/d/1XL5vhW3sbDhbH9Cz0tuDiY8C3ctxq1tqvaCgkFb8cCA/edit?usp=sharing"",""นครพนม!J410"")"),0)</f>
        <v>0</v>
      </c>
      <c r="BL37" s="556">
        <f ca="1">IFERROR(__xludf.DUMMYFUNCTION("IMPORTRANGE(""https://docs.google.com/spreadsheets/d/1C3CXT74ZlgGe6_JY_1olB1XN4rF0dxEuIIF-xsYjHgg/edit?usp=sharing"",""งบกองทุน!CZ41"")"),0)</f>
        <v>0</v>
      </c>
      <c r="BM37" s="556">
        <f ca="1">IFERROR(__xludf.DUMMYFUNCTION("IMPORTRANGE(""https://docs.google.com/spreadsheets/d/1C3CXT74ZlgGe6_JY_1olB1XN4rF0dxEuIIF-xsYjHgg/edit?usp=sharing"",""งบกองทุน!CY41"")"),0)</f>
        <v>0</v>
      </c>
      <c r="BN37" s="556">
        <f t="shared" ca="1" si="91"/>
        <v>0</v>
      </c>
      <c r="BO37" s="557">
        <f t="shared" ca="1" si="15"/>
        <v>0</v>
      </c>
      <c r="BP37" s="556">
        <f t="shared" ca="1" si="92"/>
        <v>0</v>
      </c>
      <c r="BQ37" s="557">
        <f t="shared" ca="1" si="16"/>
        <v>0</v>
      </c>
      <c r="BR37" s="552">
        <f ca="1">IFERROR(__xludf.DUMMYFUNCTION("IMPORTRANGE(""https://docs.google.com/spreadsheets/d/1XL5vhW3sbDhbH9Cz0tuDiY8C3ctxq1tqvaCgkFb8cCA/edit?usp=sharing"",""นครพนม!J414"")"),0)</f>
        <v>0</v>
      </c>
      <c r="BS37" s="552">
        <f ca="1">IFERROR(__xludf.DUMMYFUNCTION("IMPORTRANGE(""https://docs.google.com/spreadsheets/d/1XL5vhW3sbDhbH9Cz0tuDiY8C3ctxq1tqvaCgkFb8cCA/edit?usp=sharing"",""นครพนม!J415"")"),0)</f>
        <v>0</v>
      </c>
      <c r="BT37" s="552">
        <f ca="1">IFERROR(__xludf.DUMMYFUNCTION("IMPORTRANGE(""https://docs.google.com/spreadsheets/d/1XL5vhW3sbDhbH9Cz0tuDiY8C3ctxq1tqvaCgkFb8cCA/edit?usp=sharing"",""นครพนม!J416"")"),0)</f>
        <v>0</v>
      </c>
      <c r="BU37" s="552">
        <f ca="1">IFERROR(__xludf.DUMMYFUNCTION("IMPORTRANGE(""https://docs.google.com/spreadsheets/d/1XL5vhW3sbDhbH9Cz0tuDiY8C3ctxq1tqvaCgkFb8cCA/edit?usp=sharing"",""นครพนม!J417"")"),0)</f>
        <v>0</v>
      </c>
      <c r="BV37" s="552">
        <f ca="1">IFERROR(__xludf.DUMMYFUNCTION("IMPORTRANGE(""https://docs.google.com/spreadsheets/d/1XL5vhW3sbDhbH9Cz0tuDiY8C3ctxq1tqvaCgkFb8cCA/edit?usp=sharing"",""นครพนม!J418"")"),0)</f>
        <v>0</v>
      </c>
      <c r="BW37" s="552">
        <f ca="1">IFERROR(__xludf.DUMMYFUNCTION("IMPORTRANGE(""https://docs.google.com/spreadsheets/d/1XL5vhW3sbDhbH9Cz0tuDiY8C3ctxq1tqvaCgkFb8cCA/edit?usp=sharing"",""นครพนม!J419"")"),0)</f>
        <v>0</v>
      </c>
      <c r="BX37" s="556">
        <f t="shared" ca="1" si="93"/>
        <v>0</v>
      </c>
      <c r="BY37" s="557">
        <f t="shared" ca="1" si="94"/>
        <v>0</v>
      </c>
      <c r="BZ37" s="556">
        <f t="shared" ca="1" si="95"/>
        <v>0</v>
      </c>
      <c r="CA37" s="557">
        <f t="shared" ca="1" si="96"/>
        <v>0</v>
      </c>
      <c r="CB37" s="552">
        <f ca="1">IFERROR(__xludf.DUMMYFUNCTION("IMPORTRANGE(""https://docs.google.com/spreadsheets/d/1XL5vhW3sbDhbH9Cz0tuDiY8C3ctxq1tqvaCgkFb8cCA/edit?usp=sharing"",""นครพนม!J422"")"),0)</f>
        <v>0</v>
      </c>
      <c r="CC37" s="552">
        <f ca="1">IFERROR(__xludf.DUMMYFUNCTION("IMPORTRANGE(""https://docs.google.com/spreadsheets/d/1XL5vhW3sbDhbH9Cz0tuDiY8C3ctxq1tqvaCgkFb8cCA/edit?usp=sharing"",""นครพนม!J423"")"),0)</f>
        <v>0</v>
      </c>
      <c r="CD37" s="552">
        <f ca="1">IFERROR(__xludf.DUMMYFUNCTION("IMPORTRANGE(""https://docs.google.com/spreadsheets/d/1XL5vhW3sbDhbH9Cz0tuDiY8C3ctxq1tqvaCgkFb8cCA/edit?usp=sharing"",""นครพนม!J424"")"),0)</f>
        <v>0</v>
      </c>
      <c r="CE37" s="552">
        <f ca="1">IFERROR(__xludf.DUMMYFUNCTION("IMPORTRANGE(""https://docs.google.com/spreadsheets/d/1XL5vhW3sbDhbH9Cz0tuDiY8C3ctxq1tqvaCgkFb8cCA/edit?usp=sharing"",""นครพนม!J425"")"),0)</f>
        <v>0</v>
      </c>
      <c r="CF37" s="552">
        <f ca="1">IFERROR(__xludf.DUMMYFUNCTION("IMPORTRANGE(""https://docs.google.com/spreadsheets/d/1XL5vhW3sbDhbH9Cz0tuDiY8C3ctxq1tqvaCgkFb8cCA/edit?usp=sharing"",""นครพนม!J426"")"),0)</f>
        <v>0</v>
      </c>
      <c r="CG37" s="558">
        <f ca="1">IFERROR(__xludf.DUMMYFUNCTION("IMPORTRANGE(""https://docs.google.com/spreadsheets/d/1XL5vhW3sbDhbH9Cz0tuDiY8C3ctxq1tqvaCgkFb8cCA/edit?usp=sharing"",""นครพนม!J427"")"),0)</f>
        <v>0</v>
      </c>
    </row>
    <row r="38" spans="1:85" ht="21" customHeight="1">
      <c r="A38" s="549">
        <v>5</v>
      </c>
      <c r="B38" s="550" t="s">
        <v>62</v>
      </c>
      <c r="C38" s="551">
        <f t="shared" ca="1" si="82"/>
        <v>607341</v>
      </c>
      <c r="D38" s="552">
        <f ca="1">IFERROR(__xludf.DUMMYFUNCTION("IMPORTRANGE(""https://docs.google.com/spreadsheets/d/1C3CXT74ZlgGe6_JY_1olB1XN4rF0dxEuIIF-xsYjHgg/edit?usp=sharing"",""งบกองทุน!BC42"")"),0)</f>
        <v>0</v>
      </c>
      <c r="E38" s="553">
        <f ca="1">IFERROR(__xludf.DUMMYFUNCTION("IMPORTRANGE(""https://docs.google.com/spreadsheets/d/1C3CXT74ZlgGe6_JY_1olB1XN4rF0dxEuIIF-xsYjHgg/edit?usp=sharing"",""งบกองทุน!BD42"")"),607341)</f>
        <v>607341</v>
      </c>
      <c r="F38" s="554">
        <f ca="1">IFERROR(__xludf.DUMMYFUNCTION("IMPORTRANGE(""https://docs.google.com/spreadsheets/d/1XL5vhW3sbDhbH9Cz0tuDiY8C3ctxq1tqvaCgkFb8cCA/edit?usp=sharing"",""นครราชสีมา!M352"")"),197234.75)</f>
        <v>197234.75</v>
      </c>
      <c r="G38" s="554">
        <f t="shared" ca="1" si="1"/>
        <v>32.475125176795245</v>
      </c>
      <c r="H38" s="555">
        <f ca="1">IFERROR(__xludf.DUMMYFUNCTION("IMPORTRANGE(""https://docs.google.com/spreadsheets/d/1C3CXT74ZlgGe6_JY_1olB1XN4rF0dxEuIIF-xsYjHgg/edit?usp=sharing"",""งบกองทุน!BE42"")"),59004)</f>
        <v>59004</v>
      </c>
      <c r="I38" s="555">
        <f ca="1">IFERROR(__xludf.DUMMYFUNCTION("IMPORTRANGE(""https://docs.google.com/spreadsheets/d/1C3CXT74ZlgGe6_JY_1olB1XN4rF0dxEuIIF-xsYjHgg/edit?usp=sharing"",""งบกองทุน!BF42"")"),6719)</f>
        <v>6719</v>
      </c>
      <c r="J38" s="552">
        <f t="shared" ca="1" si="83"/>
        <v>59004</v>
      </c>
      <c r="K38" s="554">
        <f t="shared" ca="1" si="3"/>
        <v>100</v>
      </c>
      <c r="L38" s="552">
        <f t="shared" ca="1" si="84"/>
        <v>6719</v>
      </c>
      <c r="M38" s="554">
        <f t="shared" ca="1" si="4"/>
        <v>100</v>
      </c>
      <c r="N38" s="552">
        <f ca="1">IFERROR(__xludf.DUMMYFUNCTION("IMPORTRANGE(""https://docs.google.com/spreadsheets/d/1XL5vhW3sbDhbH9Cz0tuDiY8C3ctxq1tqvaCgkFb8cCA/edit?usp=sharing"",""นครราชสีมา!J362"")"),36732)</f>
        <v>36732</v>
      </c>
      <c r="O38" s="552">
        <f ca="1">IFERROR(__xludf.DUMMYFUNCTION("IMPORTRANGE(""https://docs.google.com/spreadsheets/d/1XL5vhW3sbDhbH9Cz0tuDiY8C3ctxq1tqvaCgkFb8cCA/edit?usp=sharing"",""นครราชสีมา!J363"")"),4944)</f>
        <v>4944</v>
      </c>
      <c r="P38" s="552">
        <f ca="1">IFERROR(__xludf.DUMMYFUNCTION("IMPORTRANGE(""https://docs.google.com/spreadsheets/d/1XL5vhW3sbDhbH9Cz0tuDiY8C3ctxq1tqvaCgkFb8cCA/edit?usp=sharing"",""นครราชสีมา!J364"")"),20496)</f>
        <v>20496</v>
      </c>
      <c r="Q38" s="552">
        <f ca="1">IFERROR(__xludf.DUMMYFUNCTION("IMPORTRANGE(""https://docs.google.com/spreadsheets/d/1XL5vhW3sbDhbH9Cz0tuDiY8C3ctxq1tqvaCgkFb8cCA/edit?usp=sharing"",""นครราชสีมา!J365"")"),1626)</f>
        <v>1626</v>
      </c>
      <c r="R38" s="552">
        <f ca="1">IFERROR(__xludf.DUMMYFUNCTION("IMPORTRANGE(""https://docs.google.com/spreadsheets/d/1XL5vhW3sbDhbH9Cz0tuDiY8C3ctxq1tqvaCgkFb8cCA/edit?usp=sharing"",""นครราชสีมา!J366"")"),1776)</f>
        <v>1776</v>
      </c>
      <c r="S38" s="552">
        <f ca="1">IFERROR(__xludf.DUMMYFUNCTION("IMPORTRANGE(""https://docs.google.com/spreadsheets/d/1XL5vhW3sbDhbH9Cz0tuDiY8C3ctxq1tqvaCgkFb8cCA/edit?usp=sharing"",""นครราชสีมา!J367"")"),149)</f>
        <v>149</v>
      </c>
      <c r="T38" s="552">
        <f t="shared" ca="1" si="85"/>
        <v>59004</v>
      </c>
      <c r="U38" s="552">
        <f t="shared" ca="1" si="6"/>
        <v>100</v>
      </c>
      <c r="V38" s="552">
        <f t="shared" ca="1" si="86"/>
        <v>6719</v>
      </c>
      <c r="W38" s="552">
        <f t="shared" ca="1" si="7"/>
        <v>100</v>
      </c>
      <c r="X38" s="552">
        <f ca="1">IFERROR(__xludf.DUMMYFUNCTION("IMPORTRANGE(""https://docs.google.com/spreadsheets/d/1XL5vhW3sbDhbH9Cz0tuDiY8C3ctxq1tqvaCgkFb8cCA/edit?usp=sharing"",""นครราชสีมา!J370"")"),36708)</f>
        <v>36708</v>
      </c>
      <c r="Y38" s="552">
        <f ca="1">IFERROR(__xludf.DUMMYFUNCTION("IMPORTRANGE(""https://docs.google.com/spreadsheets/d/1XL5vhW3sbDhbH9Cz0tuDiY8C3ctxq1tqvaCgkFb8cCA/edit?usp=sharing"",""นครราชสีมา!J371"")"),4963)</f>
        <v>4963</v>
      </c>
      <c r="Z38" s="552">
        <f ca="1">IFERROR(__xludf.DUMMYFUNCTION("IMPORTRANGE(""https://docs.google.com/spreadsheets/d/1XL5vhW3sbDhbH9Cz0tuDiY8C3ctxq1tqvaCgkFb8cCA/edit?usp=sharing"",""นครราชสีมา!J372"")"),20569)</f>
        <v>20569</v>
      </c>
      <c r="AA38" s="552">
        <f ca="1">IFERROR(__xludf.DUMMYFUNCTION("IMPORTRANGE(""https://docs.google.com/spreadsheets/d/1XL5vhW3sbDhbH9Cz0tuDiY8C3ctxq1tqvaCgkFb8cCA/edit?usp=sharing"",""นครราชสีมา!J373"")"),1608)</f>
        <v>1608</v>
      </c>
      <c r="AB38" s="552">
        <f ca="1">IFERROR(__xludf.DUMMYFUNCTION("IMPORTRANGE(""https://docs.google.com/spreadsheets/d/1XL5vhW3sbDhbH9Cz0tuDiY8C3ctxq1tqvaCgkFb8cCA/edit?usp=sharing"",""นครราชสีมา!J374"")"),1727)</f>
        <v>1727</v>
      </c>
      <c r="AC38" s="552">
        <f ca="1">IFERROR(__xludf.DUMMYFUNCTION("IMPORTRANGE(""https://docs.google.com/spreadsheets/d/1XL5vhW3sbDhbH9Cz0tuDiY8C3ctxq1tqvaCgkFb8cCA/edit?usp=sharing"",""นครราชสีมา!J375"")"),148)</f>
        <v>148</v>
      </c>
      <c r="AD38" s="552">
        <f t="shared" ca="1" si="87"/>
        <v>0</v>
      </c>
      <c r="AE38" s="554">
        <f t="shared" ca="1" si="9"/>
        <v>0</v>
      </c>
      <c r="AF38" s="552">
        <f t="shared" ca="1" si="88"/>
        <v>0</v>
      </c>
      <c r="AG38" s="554">
        <f t="shared" ca="1" si="10"/>
        <v>0</v>
      </c>
      <c r="AH38" s="552">
        <f ca="1">IFERROR(__xludf.DUMMYFUNCTION("IMPORTRANGE(""https://docs.google.com/spreadsheets/d/1XL5vhW3sbDhbH9Cz0tuDiY8C3ctxq1tqvaCgkFb8cCA/edit?usp=sharing"",""นครราชสีมา!J378"")"),0)</f>
        <v>0</v>
      </c>
      <c r="AI38" s="552">
        <f ca="1">IFERROR(__xludf.DUMMYFUNCTION("IMPORTRANGE(""https://docs.google.com/spreadsheets/d/1XL5vhW3sbDhbH9Cz0tuDiY8C3ctxq1tqvaCgkFb8cCA/edit?usp=sharing"",""นครราชสีมา!J379"")"),0)</f>
        <v>0</v>
      </c>
      <c r="AJ38" s="552">
        <f ca="1">IFERROR(__xludf.DUMMYFUNCTION("IMPORTRANGE(""https://docs.google.com/spreadsheets/d/1XL5vhW3sbDhbH9Cz0tuDiY8C3ctxq1tqvaCgkFb8cCA/edit?usp=sharing"",""นครราชสีมา!J380"")"),0)</f>
        <v>0</v>
      </c>
      <c r="AK38" s="552">
        <f ca="1">IFERROR(__xludf.DUMMYFUNCTION("IMPORTRANGE(""https://docs.google.com/spreadsheets/d/1XL5vhW3sbDhbH9Cz0tuDiY8C3ctxq1tqvaCgkFb8cCA/edit?usp=sharing"",""นครราชสีมา!J381"")"),0)</f>
        <v>0</v>
      </c>
      <c r="AL38" s="552">
        <f ca="1">IFERROR(__xludf.DUMMYFUNCTION("IMPORTRANGE(""https://docs.google.com/spreadsheets/d/1XL5vhW3sbDhbH9Cz0tuDiY8C3ctxq1tqvaCgkFb8cCA/edit?usp=sharing"",""นครราชสีมา!J384"")"),0)</f>
        <v>0</v>
      </c>
      <c r="AM38" s="552">
        <f ca="1">IFERROR(__xludf.DUMMYFUNCTION("IMPORTRANGE(""https://docs.google.com/spreadsheets/d/1XL5vhW3sbDhbH9Cz0tuDiY8C3ctxq1tqvaCgkFb8cCA/edit?usp=sharing"",""นครราชสีมา!J385"")"),0)</f>
        <v>0</v>
      </c>
      <c r="AN38" s="552">
        <f ca="1">IFERROR(__xludf.DUMMYFUNCTION("IMPORTRANGE(""https://docs.google.com/spreadsheets/d/1XL5vhW3sbDhbH9Cz0tuDiY8C3ctxq1tqvaCgkFb8cCA/edit?usp=sharing"",""นครราชสีมา!J386"")"),0)</f>
        <v>0</v>
      </c>
      <c r="AO38" s="552">
        <f ca="1">IFERROR(__xludf.DUMMYFUNCTION("IMPORTRANGE(""https://docs.google.com/spreadsheets/d/1XL5vhW3sbDhbH9Cz0tuDiY8C3ctxq1tqvaCgkFb8cCA/edit?usp=sharing"",""นครราชสีมา!J387"")"),0)</f>
        <v>0</v>
      </c>
      <c r="AP38" s="552">
        <f ca="1">IFERROR(__xludf.DUMMYFUNCTION("IMPORTRANGE(""https://docs.google.com/spreadsheets/d/1XL5vhW3sbDhbH9Cz0tuDiY8C3ctxq1tqvaCgkFb8cCA/edit?usp=sharing"",""นครราชสีมา!J388"")"),0)</f>
        <v>0</v>
      </c>
      <c r="AQ38" s="552">
        <f ca="1">IFERROR(__xludf.DUMMYFUNCTION("IMPORTRANGE(""https://docs.google.com/spreadsheets/d/1XL5vhW3sbDhbH9Cz0tuDiY8C3ctxq1tqvaCgkFb8cCA/edit?usp=sharing"",""นครราชสีมา!J389"")"),0)</f>
        <v>0</v>
      </c>
      <c r="AR38" s="552">
        <f ca="1">IFERROR(__xludf.DUMMYFUNCTION("IMPORTRANGE(""https://docs.google.com/spreadsheets/d/1XL5vhW3sbDhbH9Cz0tuDiY8C3ctxq1tqvaCgkFb8cCA/edit?usp=sharing"",""นครราชสีมา!J390"")"),0)</f>
        <v>0</v>
      </c>
      <c r="AS38" s="552">
        <f ca="1">IFERROR(__xludf.DUMMYFUNCTION("IMPORTRANGE(""https://docs.google.com/spreadsheets/d/1XL5vhW3sbDhbH9Cz0tuDiY8C3ctxq1tqvaCgkFb8cCA/edit?usp=sharing"",""นครราชสีมา!J391"")"),0)</f>
        <v>0</v>
      </c>
      <c r="AT38" s="556">
        <f ca="1">IFERROR(__xludf.DUMMYFUNCTION("IMPORTRANGE(""https://docs.google.com/spreadsheets/d/1C3CXT74ZlgGe6_JY_1olB1XN4rF0dxEuIIF-xsYjHgg/edit?usp=sharing"",""งบกองทุน!CD42"")"),5980)</f>
        <v>5980</v>
      </c>
      <c r="AU38" s="556">
        <f ca="1">IFERROR(__xludf.DUMMYFUNCTION("IMPORTRANGE(""https://docs.google.com/spreadsheets/d/1C3CXT74ZlgGe6_JY_1olB1XN4rF0dxEuIIF-xsYjHgg/edit?usp=sharing"",""งบกองทุน!CC42"")"),450)</f>
        <v>450</v>
      </c>
      <c r="AV38" s="556">
        <f t="shared" ca="1" si="89"/>
        <v>0</v>
      </c>
      <c r="AW38" s="556">
        <f t="shared" ca="1" si="12"/>
        <v>0</v>
      </c>
      <c r="AX38" s="556">
        <f t="shared" ca="1" si="90"/>
        <v>0</v>
      </c>
      <c r="AY38" s="556">
        <f t="shared" ca="1" si="13"/>
        <v>0</v>
      </c>
      <c r="AZ38" s="552">
        <f ca="1">IFERROR(__xludf.DUMMYFUNCTION("IMPORTRANGE(""https://docs.google.com/spreadsheets/d/1XL5vhW3sbDhbH9Cz0tuDiY8C3ctxq1tqvaCgkFb8cCA/edit?usp=sharing"",""นครราชสีมา!J397"")"),0)</f>
        <v>0</v>
      </c>
      <c r="BA38" s="552">
        <f ca="1">IFERROR(__xludf.DUMMYFUNCTION("IMPORTRANGE(""https://docs.google.com/spreadsheets/d/1XL5vhW3sbDhbH9Cz0tuDiY8C3ctxq1tqvaCgkFb8cCA/edit?usp=sharing"",""นครราชสีมา!J398"")"),0)</f>
        <v>0</v>
      </c>
      <c r="BB38" s="552">
        <f ca="1">IFERROR(__xludf.DUMMYFUNCTION("IMPORTRANGE(""https://docs.google.com/spreadsheets/d/1XL5vhW3sbDhbH9Cz0tuDiY8C3ctxq1tqvaCgkFb8cCA/edit?usp=sharing"",""นครราชสีมา!J399"")"),0)</f>
        <v>0</v>
      </c>
      <c r="BC38" s="552">
        <f ca="1">IFERROR(__xludf.DUMMYFUNCTION("IMPORTRANGE(""https://docs.google.com/spreadsheets/d/1XL5vhW3sbDhbH9Cz0tuDiY8C3ctxq1tqvaCgkFb8cCA/edit?usp=sharing"",""นครราชสีมา!J400"")"),0)</f>
        <v>0</v>
      </c>
      <c r="BD38" s="552">
        <f ca="1">IFERROR(__xludf.DUMMYFUNCTION("IMPORTRANGE(""https://docs.google.com/spreadsheets/d/1XL5vhW3sbDhbH9Cz0tuDiY8C3ctxq1tqvaCgkFb8cCA/edit?usp=sharing"",""นครราชสีมา!J401"")"),0)</f>
        <v>0</v>
      </c>
      <c r="BE38" s="552">
        <f ca="1">IFERROR(__xludf.DUMMYFUNCTION("IMPORTRANGE(""https://docs.google.com/spreadsheets/d/1XL5vhW3sbDhbH9Cz0tuDiY8C3ctxq1tqvaCgkFb8cCA/edit?usp=sharing"",""นครราชสีมา!J402"")"),0)</f>
        <v>0</v>
      </c>
      <c r="BF38" s="552">
        <f ca="1">IFERROR(__xludf.DUMMYFUNCTION("IMPORTRANGE(""https://docs.google.com/spreadsheets/d/1XL5vhW3sbDhbH9Cz0tuDiY8C3ctxq1tqvaCgkFb8cCA/edit?usp=sharing"",""นครราชสีมา!J405"")"),0)</f>
        <v>0</v>
      </c>
      <c r="BG38" s="552">
        <f ca="1">IFERROR(__xludf.DUMMYFUNCTION("IMPORTRANGE(""https://docs.google.com/spreadsheets/d/1XL5vhW3sbDhbH9Cz0tuDiY8C3ctxq1tqvaCgkFb8cCA/edit?usp=sharing"",""นครราชสีมา!J406"")"),0)</f>
        <v>0</v>
      </c>
      <c r="BH38" s="552">
        <f ca="1">IFERROR(__xludf.DUMMYFUNCTION("IMPORTRANGE(""https://docs.google.com/spreadsheets/d/1XL5vhW3sbDhbH9Cz0tuDiY8C3ctxq1tqvaCgkFb8cCA/edit?usp=sharing"",""นครราชสีมา!J407"")"),0)</f>
        <v>0</v>
      </c>
      <c r="BI38" s="552">
        <f ca="1">IFERROR(__xludf.DUMMYFUNCTION("IMPORTRANGE(""https://docs.google.com/spreadsheets/d/1XL5vhW3sbDhbH9Cz0tuDiY8C3ctxq1tqvaCgkFb8cCA/edit?usp=sharing"",""นครราชสีมา!J408"")"),0)</f>
        <v>0</v>
      </c>
      <c r="BJ38" s="552">
        <f ca="1">IFERROR(__xludf.DUMMYFUNCTION("IMPORTRANGE(""https://docs.google.com/spreadsheets/d/1XL5vhW3sbDhbH9Cz0tuDiY8C3ctxq1tqvaCgkFb8cCA/edit?usp=sharing"",""นครราชสีมา!J409"")"),0)</f>
        <v>0</v>
      </c>
      <c r="BK38" s="552">
        <f ca="1">IFERROR(__xludf.DUMMYFUNCTION("IMPORTRANGE(""https://docs.google.com/spreadsheets/d/1XL5vhW3sbDhbH9Cz0tuDiY8C3ctxq1tqvaCgkFb8cCA/edit?usp=sharing"",""นครราชสีมา!J410"")"),0)</f>
        <v>0</v>
      </c>
      <c r="BL38" s="556">
        <f ca="1">IFERROR(__xludf.DUMMYFUNCTION("IMPORTRANGE(""https://docs.google.com/spreadsheets/d/1C3CXT74ZlgGe6_JY_1olB1XN4rF0dxEuIIF-xsYjHgg/edit?usp=sharing"",""งบกองทุน!CZ42"")"),0)</f>
        <v>0</v>
      </c>
      <c r="BM38" s="556">
        <f ca="1">IFERROR(__xludf.DUMMYFUNCTION("IMPORTRANGE(""https://docs.google.com/spreadsheets/d/1C3CXT74ZlgGe6_JY_1olB1XN4rF0dxEuIIF-xsYjHgg/edit?usp=sharing"",""งบกองทุน!CY42"")"),0)</f>
        <v>0</v>
      </c>
      <c r="BN38" s="556">
        <f t="shared" ca="1" si="91"/>
        <v>0</v>
      </c>
      <c r="BO38" s="557">
        <f t="shared" ca="1" si="15"/>
        <v>0</v>
      </c>
      <c r="BP38" s="556">
        <f t="shared" ca="1" si="92"/>
        <v>0</v>
      </c>
      <c r="BQ38" s="557">
        <f t="shared" ca="1" si="16"/>
        <v>0</v>
      </c>
      <c r="BR38" s="552">
        <f ca="1">IFERROR(__xludf.DUMMYFUNCTION("IMPORTRANGE(""https://docs.google.com/spreadsheets/d/1XL5vhW3sbDhbH9Cz0tuDiY8C3ctxq1tqvaCgkFb8cCA/edit?usp=sharing"",""นครราชสีมา!J414"")"),0)</f>
        <v>0</v>
      </c>
      <c r="BS38" s="552">
        <f ca="1">IFERROR(__xludf.DUMMYFUNCTION("IMPORTRANGE(""https://docs.google.com/spreadsheets/d/1XL5vhW3sbDhbH9Cz0tuDiY8C3ctxq1tqvaCgkFb8cCA/edit?usp=sharing"",""นครราชสีมา!J415"")"),0)</f>
        <v>0</v>
      </c>
      <c r="BT38" s="552">
        <f ca="1">IFERROR(__xludf.DUMMYFUNCTION("IMPORTRANGE(""https://docs.google.com/spreadsheets/d/1XL5vhW3sbDhbH9Cz0tuDiY8C3ctxq1tqvaCgkFb8cCA/edit?usp=sharing"",""นครราชสีมา!J416"")"),0)</f>
        <v>0</v>
      </c>
      <c r="BU38" s="552">
        <f ca="1">IFERROR(__xludf.DUMMYFUNCTION("IMPORTRANGE(""https://docs.google.com/spreadsheets/d/1XL5vhW3sbDhbH9Cz0tuDiY8C3ctxq1tqvaCgkFb8cCA/edit?usp=sharing"",""นครราชสีมา!J417"")"),0)</f>
        <v>0</v>
      </c>
      <c r="BV38" s="552">
        <f ca="1">IFERROR(__xludf.DUMMYFUNCTION("IMPORTRANGE(""https://docs.google.com/spreadsheets/d/1XL5vhW3sbDhbH9Cz0tuDiY8C3ctxq1tqvaCgkFb8cCA/edit?usp=sharing"",""นครราชสีมา!J418"")"),887)</f>
        <v>887</v>
      </c>
      <c r="BW38" s="552">
        <f ca="1">IFERROR(__xludf.DUMMYFUNCTION("IMPORTRANGE(""https://docs.google.com/spreadsheets/d/1XL5vhW3sbDhbH9Cz0tuDiY8C3ctxq1tqvaCgkFb8cCA/edit?usp=sharing"",""นครราชสีมา!J419"")"),57)</f>
        <v>57</v>
      </c>
      <c r="BX38" s="556">
        <f t="shared" ca="1" si="93"/>
        <v>0</v>
      </c>
      <c r="BY38" s="557">
        <f t="shared" ca="1" si="94"/>
        <v>0</v>
      </c>
      <c r="BZ38" s="556">
        <f t="shared" ca="1" si="95"/>
        <v>0</v>
      </c>
      <c r="CA38" s="557">
        <f t="shared" ca="1" si="96"/>
        <v>0</v>
      </c>
      <c r="CB38" s="552">
        <f ca="1">IFERROR(__xludf.DUMMYFUNCTION("IMPORTRANGE(""https://docs.google.com/spreadsheets/d/1XL5vhW3sbDhbH9Cz0tuDiY8C3ctxq1tqvaCgkFb8cCA/edit?usp=sharing"",""นครราชสีมา!J422"")"),0)</f>
        <v>0</v>
      </c>
      <c r="CC38" s="552">
        <f ca="1">IFERROR(__xludf.DUMMYFUNCTION("IMPORTRANGE(""https://docs.google.com/spreadsheets/d/1XL5vhW3sbDhbH9Cz0tuDiY8C3ctxq1tqvaCgkFb8cCA/edit?usp=sharing"",""นครราชสีมา!J423"")"),0)</f>
        <v>0</v>
      </c>
      <c r="CD38" s="552">
        <f ca="1">IFERROR(__xludf.DUMMYFUNCTION("IMPORTRANGE(""https://docs.google.com/spreadsheets/d/1XL5vhW3sbDhbH9Cz0tuDiY8C3ctxq1tqvaCgkFb8cCA/edit?usp=sharing"",""นครราชสีมา!J424"")"),0)</f>
        <v>0</v>
      </c>
      <c r="CE38" s="552">
        <f ca="1">IFERROR(__xludf.DUMMYFUNCTION("IMPORTRANGE(""https://docs.google.com/spreadsheets/d/1XL5vhW3sbDhbH9Cz0tuDiY8C3ctxq1tqvaCgkFb8cCA/edit?usp=sharing"",""นครราชสีมา!J425"")"),0)</f>
        <v>0</v>
      </c>
      <c r="CF38" s="552">
        <f ca="1">IFERROR(__xludf.DUMMYFUNCTION("IMPORTRANGE(""https://docs.google.com/spreadsheets/d/1XL5vhW3sbDhbH9Cz0tuDiY8C3ctxq1tqvaCgkFb8cCA/edit?usp=sharing"",""นครราชสีมา!J426"")"),0)</f>
        <v>0</v>
      </c>
      <c r="CG38" s="558">
        <f ca="1">IFERROR(__xludf.DUMMYFUNCTION("IMPORTRANGE(""https://docs.google.com/spreadsheets/d/1XL5vhW3sbDhbH9Cz0tuDiY8C3ctxq1tqvaCgkFb8cCA/edit?usp=sharing"",""นครราชสีมา!J427"")"),0)</f>
        <v>0</v>
      </c>
    </row>
    <row r="39" spans="1:85" ht="21" customHeight="1">
      <c r="A39" s="549">
        <v>6</v>
      </c>
      <c r="B39" s="550" t="s">
        <v>63</v>
      </c>
      <c r="C39" s="551">
        <f t="shared" ca="1" si="82"/>
        <v>381845</v>
      </c>
      <c r="D39" s="552">
        <f ca="1">IFERROR(__xludf.DUMMYFUNCTION("IMPORTRANGE(""https://docs.google.com/spreadsheets/d/1C3CXT74ZlgGe6_JY_1olB1XN4rF0dxEuIIF-xsYjHgg/edit?usp=sharing"",""งบกองทุน!BC43"")"),0)</f>
        <v>0</v>
      </c>
      <c r="E39" s="553">
        <f ca="1">IFERROR(__xludf.DUMMYFUNCTION("IMPORTRANGE(""https://docs.google.com/spreadsheets/d/1C3CXT74ZlgGe6_JY_1olB1XN4rF0dxEuIIF-xsYjHgg/edit?usp=sharing"",""งบกองทุน!BD43"")"),381845)</f>
        <v>381845</v>
      </c>
      <c r="F39" s="554">
        <f ca="1">IFERROR(__xludf.DUMMYFUNCTION("IMPORTRANGE(""https://docs.google.com/spreadsheets/d/1XL5vhW3sbDhbH9Cz0tuDiY8C3ctxq1tqvaCgkFb8cCA/edit?usp=sharing"",""บึงกาฬ!M352"")"),28886)</f>
        <v>28886</v>
      </c>
      <c r="G39" s="554">
        <f t="shared" ca="1" si="1"/>
        <v>7.56484961175346</v>
      </c>
      <c r="H39" s="555">
        <f ca="1">IFERROR(__xludf.DUMMYFUNCTION("IMPORTRANGE(""https://docs.google.com/spreadsheets/d/1C3CXT74ZlgGe6_JY_1olB1XN4rF0dxEuIIF-xsYjHgg/edit?usp=sharing"",""งบกองทุน!BE43"")"),38688)</f>
        <v>38688</v>
      </c>
      <c r="I39" s="555">
        <f ca="1">IFERROR(__xludf.DUMMYFUNCTION("IMPORTRANGE(""https://docs.google.com/spreadsheets/d/1C3CXT74ZlgGe6_JY_1olB1XN4rF0dxEuIIF-xsYjHgg/edit?usp=sharing"",""งบกองทุน!BF43"")"),2619)</f>
        <v>2619</v>
      </c>
      <c r="J39" s="552">
        <f t="shared" ca="1" si="83"/>
        <v>38688</v>
      </c>
      <c r="K39" s="554">
        <f t="shared" ca="1" si="3"/>
        <v>100</v>
      </c>
      <c r="L39" s="552">
        <f t="shared" ca="1" si="84"/>
        <v>2619</v>
      </c>
      <c r="M39" s="554">
        <f t="shared" ca="1" si="4"/>
        <v>100</v>
      </c>
      <c r="N39" s="552">
        <f ca="1">IFERROR(__xludf.DUMMYFUNCTION("IMPORTRANGE(""https://docs.google.com/spreadsheets/d/1XL5vhW3sbDhbH9Cz0tuDiY8C3ctxq1tqvaCgkFb8cCA/edit?usp=sharing"",""บึงกาฬ!J362"")"),32472)</f>
        <v>32472</v>
      </c>
      <c r="O39" s="552">
        <f ca="1">IFERROR(__xludf.DUMMYFUNCTION("IMPORTRANGE(""https://docs.google.com/spreadsheets/d/1XL5vhW3sbDhbH9Cz0tuDiY8C3ctxq1tqvaCgkFb8cCA/edit?usp=sharing"",""บึงกาฬ!J363"")"),2246)</f>
        <v>2246</v>
      </c>
      <c r="P39" s="552">
        <f ca="1">IFERROR(__xludf.DUMMYFUNCTION("IMPORTRANGE(""https://docs.google.com/spreadsheets/d/1XL5vhW3sbDhbH9Cz0tuDiY8C3ctxq1tqvaCgkFb8cCA/edit?usp=sharing"",""บึงกาฬ!J364"")"),6043)</f>
        <v>6043</v>
      </c>
      <c r="Q39" s="552">
        <f ca="1">IFERROR(__xludf.DUMMYFUNCTION("IMPORTRANGE(""https://docs.google.com/spreadsheets/d/1XL5vhW3sbDhbH9Cz0tuDiY8C3ctxq1tqvaCgkFb8cCA/edit?usp=sharing"",""บึงกาฬ!J365"")"),363)</f>
        <v>363</v>
      </c>
      <c r="R39" s="552">
        <f ca="1">IFERROR(__xludf.DUMMYFUNCTION("IMPORTRANGE(""https://docs.google.com/spreadsheets/d/1XL5vhW3sbDhbH9Cz0tuDiY8C3ctxq1tqvaCgkFb8cCA/edit?usp=sharing"",""บึงกาฬ!J366"")"),173)</f>
        <v>173</v>
      </c>
      <c r="S39" s="552">
        <f ca="1">IFERROR(__xludf.DUMMYFUNCTION("IMPORTRANGE(""https://docs.google.com/spreadsheets/d/1XL5vhW3sbDhbH9Cz0tuDiY8C3ctxq1tqvaCgkFb8cCA/edit?usp=sharing"",""บึงกาฬ!J367"")"),10)</f>
        <v>10</v>
      </c>
      <c r="T39" s="552">
        <f t="shared" ca="1" si="85"/>
        <v>38688</v>
      </c>
      <c r="U39" s="552">
        <f t="shared" ca="1" si="6"/>
        <v>100</v>
      </c>
      <c r="V39" s="552">
        <f t="shared" ca="1" si="86"/>
        <v>2619</v>
      </c>
      <c r="W39" s="552">
        <f t="shared" ca="1" si="7"/>
        <v>100</v>
      </c>
      <c r="X39" s="552">
        <f ca="1">IFERROR(__xludf.DUMMYFUNCTION("IMPORTRANGE(""https://docs.google.com/spreadsheets/d/1XL5vhW3sbDhbH9Cz0tuDiY8C3ctxq1tqvaCgkFb8cCA/edit?usp=sharing"",""บึงกาฬ!J370"")"),35707)</f>
        <v>35707</v>
      </c>
      <c r="Y39" s="552">
        <f ca="1">IFERROR(__xludf.DUMMYFUNCTION("IMPORTRANGE(""https://docs.google.com/spreadsheets/d/1XL5vhW3sbDhbH9Cz0tuDiY8C3ctxq1tqvaCgkFb8cCA/edit?usp=sharing"",""บึงกาฬ!J371"")"),2433)</f>
        <v>2433</v>
      </c>
      <c r="Z39" s="552">
        <f ca="1">IFERROR(__xludf.DUMMYFUNCTION("IMPORTRANGE(""https://docs.google.com/spreadsheets/d/1XL5vhW3sbDhbH9Cz0tuDiY8C3ctxq1tqvaCgkFb8cCA/edit?usp=sharing"",""บึงกาฬ!J372"")"),2756)</f>
        <v>2756</v>
      </c>
      <c r="AA39" s="552">
        <f ca="1">IFERROR(__xludf.DUMMYFUNCTION("IMPORTRANGE(""https://docs.google.com/spreadsheets/d/1XL5vhW3sbDhbH9Cz0tuDiY8C3ctxq1tqvaCgkFb8cCA/edit?usp=sharing"",""บึงกาฬ!J373"")"),171)</f>
        <v>171</v>
      </c>
      <c r="AB39" s="552">
        <f ca="1">IFERROR(__xludf.DUMMYFUNCTION("IMPORTRANGE(""https://docs.google.com/spreadsheets/d/1XL5vhW3sbDhbH9Cz0tuDiY8C3ctxq1tqvaCgkFb8cCA/edit?usp=sharing"",""บึงกาฬ!J374"")"),225)</f>
        <v>225</v>
      </c>
      <c r="AC39" s="552">
        <f ca="1">IFERROR(__xludf.DUMMYFUNCTION("IMPORTRANGE(""https://docs.google.com/spreadsheets/d/1XL5vhW3sbDhbH9Cz0tuDiY8C3ctxq1tqvaCgkFb8cCA/edit?usp=sharing"",""บึงกาฬ!J375"")"),15)</f>
        <v>15</v>
      </c>
      <c r="AD39" s="552">
        <f t="shared" ca="1" si="87"/>
        <v>38688</v>
      </c>
      <c r="AE39" s="554">
        <f t="shared" ca="1" si="9"/>
        <v>100</v>
      </c>
      <c r="AF39" s="552">
        <f t="shared" ca="1" si="88"/>
        <v>2619</v>
      </c>
      <c r="AG39" s="554">
        <f t="shared" ca="1" si="10"/>
        <v>100</v>
      </c>
      <c r="AH39" s="552">
        <f ca="1">IFERROR(__xludf.DUMMYFUNCTION("IMPORTRANGE(""https://docs.google.com/spreadsheets/d/1XL5vhW3sbDhbH9Cz0tuDiY8C3ctxq1tqvaCgkFb8cCA/edit?usp=sharing"",""บึงกาฬ!J378"")"),35707)</f>
        <v>35707</v>
      </c>
      <c r="AI39" s="552">
        <f ca="1">IFERROR(__xludf.DUMMYFUNCTION("IMPORTRANGE(""https://docs.google.com/spreadsheets/d/1XL5vhW3sbDhbH9Cz0tuDiY8C3ctxq1tqvaCgkFb8cCA/edit?usp=sharing"",""บึงกาฬ!J379"")"),2433)</f>
        <v>2433</v>
      </c>
      <c r="AJ39" s="552">
        <f ca="1">IFERROR(__xludf.DUMMYFUNCTION("IMPORTRANGE(""https://docs.google.com/spreadsheets/d/1XL5vhW3sbDhbH9Cz0tuDiY8C3ctxq1tqvaCgkFb8cCA/edit?usp=sharing"",""บึงกาฬ!J380"")"),2756)</f>
        <v>2756</v>
      </c>
      <c r="AK39" s="552">
        <f ca="1">IFERROR(__xludf.DUMMYFUNCTION("IMPORTRANGE(""https://docs.google.com/spreadsheets/d/1XL5vhW3sbDhbH9Cz0tuDiY8C3ctxq1tqvaCgkFb8cCA/edit?usp=sharing"",""บึงกาฬ!J381"")"),171)</f>
        <v>171</v>
      </c>
      <c r="AL39" s="552">
        <f ca="1">IFERROR(__xludf.DUMMYFUNCTION("IMPORTRANGE(""https://docs.google.com/spreadsheets/d/1XL5vhW3sbDhbH9Cz0tuDiY8C3ctxq1tqvaCgkFb8cCA/edit?usp=sharing"",""บึงกาฬ!J384"")"),225)</f>
        <v>225</v>
      </c>
      <c r="AM39" s="552">
        <f ca="1">IFERROR(__xludf.DUMMYFUNCTION("IMPORTRANGE(""https://docs.google.com/spreadsheets/d/1XL5vhW3sbDhbH9Cz0tuDiY8C3ctxq1tqvaCgkFb8cCA/edit?usp=sharing"",""บึงกาฬ!J385"")"),15)</f>
        <v>15</v>
      </c>
      <c r="AN39" s="552">
        <f ca="1">IFERROR(__xludf.DUMMYFUNCTION("IMPORTRANGE(""https://docs.google.com/spreadsheets/d/1XL5vhW3sbDhbH9Cz0tuDiY8C3ctxq1tqvaCgkFb8cCA/edit?usp=sharing"",""บึงกาฬ!J386"")"),0)</f>
        <v>0</v>
      </c>
      <c r="AO39" s="552">
        <f ca="1">IFERROR(__xludf.DUMMYFUNCTION("IMPORTRANGE(""https://docs.google.com/spreadsheets/d/1XL5vhW3sbDhbH9Cz0tuDiY8C3ctxq1tqvaCgkFb8cCA/edit?usp=sharing"",""บึงกาฬ!J387"")"),0)</f>
        <v>0</v>
      </c>
      <c r="AP39" s="552">
        <f ca="1">IFERROR(__xludf.DUMMYFUNCTION("IMPORTRANGE(""https://docs.google.com/spreadsheets/d/1XL5vhW3sbDhbH9Cz0tuDiY8C3ctxq1tqvaCgkFb8cCA/edit?usp=sharing"",""บึงกาฬ!J388"")"),0)</f>
        <v>0</v>
      </c>
      <c r="AQ39" s="552">
        <f ca="1">IFERROR(__xludf.DUMMYFUNCTION("IMPORTRANGE(""https://docs.google.com/spreadsheets/d/1XL5vhW3sbDhbH9Cz0tuDiY8C3ctxq1tqvaCgkFb8cCA/edit?usp=sharing"",""บึงกาฬ!J389"")"),0)</f>
        <v>0</v>
      </c>
      <c r="AR39" s="552">
        <f ca="1">IFERROR(__xludf.DUMMYFUNCTION("IMPORTRANGE(""https://docs.google.com/spreadsheets/d/1XL5vhW3sbDhbH9Cz0tuDiY8C3ctxq1tqvaCgkFb8cCA/edit?usp=sharing"",""บึงกาฬ!J390"")"),0)</f>
        <v>0</v>
      </c>
      <c r="AS39" s="552">
        <f ca="1">IFERROR(__xludf.DUMMYFUNCTION("IMPORTRANGE(""https://docs.google.com/spreadsheets/d/1XL5vhW3sbDhbH9Cz0tuDiY8C3ctxq1tqvaCgkFb8cCA/edit?usp=sharing"",""บึงกาฬ!J391"")"),0)</f>
        <v>0</v>
      </c>
      <c r="AT39" s="556">
        <f ca="1">IFERROR(__xludf.DUMMYFUNCTION("IMPORTRANGE(""https://docs.google.com/spreadsheets/d/1C3CXT74ZlgGe6_JY_1olB1XN4rF0dxEuIIF-xsYjHgg/edit?usp=sharing"",""งบกองทุน!CD43"")"),6120)</f>
        <v>6120</v>
      </c>
      <c r="AU39" s="556">
        <f ca="1">IFERROR(__xludf.DUMMYFUNCTION("IMPORTRANGE(""https://docs.google.com/spreadsheets/d/1C3CXT74ZlgGe6_JY_1olB1XN4rF0dxEuIIF-xsYjHgg/edit?usp=sharing"",""งบกองทุน!CC43"")"),422)</f>
        <v>422</v>
      </c>
      <c r="AV39" s="556">
        <f t="shared" ca="1" si="89"/>
        <v>2297</v>
      </c>
      <c r="AW39" s="556">
        <f t="shared" ca="1" si="12"/>
        <v>37.532679738562095</v>
      </c>
      <c r="AX39" s="556">
        <f t="shared" ca="1" si="90"/>
        <v>166</v>
      </c>
      <c r="AY39" s="556">
        <f t="shared" ca="1" si="13"/>
        <v>39.33649289099526</v>
      </c>
      <c r="AZ39" s="552">
        <f ca="1">IFERROR(__xludf.DUMMYFUNCTION("IMPORTRANGE(""https://docs.google.com/spreadsheets/d/1XL5vhW3sbDhbH9Cz0tuDiY8C3ctxq1tqvaCgkFb8cCA/edit?usp=sharing"",""บึงกาฬ!J397"")"),2296)</f>
        <v>2296</v>
      </c>
      <c r="BA39" s="552">
        <f ca="1">IFERROR(__xludf.DUMMYFUNCTION("IMPORTRANGE(""https://docs.google.com/spreadsheets/d/1XL5vhW3sbDhbH9Cz0tuDiY8C3ctxq1tqvaCgkFb8cCA/edit?usp=sharing"",""บึงกาฬ!J398"")"),165)</f>
        <v>165</v>
      </c>
      <c r="BB39" s="552">
        <f ca="1">IFERROR(__xludf.DUMMYFUNCTION("IMPORTRANGE(""https://docs.google.com/spreadsheets/d/1XL5vhW3sbDhbH9Cz0tuDiY8C3ctxq1tqvaCgkFb8cCA/edit?usp=sharing"",""บึงกาฬ!J399"")"),0)</f>
        <v>0</v>
      </c>
      <c r="BC39" s="552">
        <f ca="1">IFERROR(__xludf.DUMMYFUNCTION("IMPORTRANGE(""https://docs.google.com/spreadsheets/d/1XL5vhW3sbDhbH9Cz0tuDiY8C3ctxq1tqvaCgkFb8cCA/edit?usp=sharing"",""บึงกาฬ!J400"")"),0)</f>
        <v>0</v>
      </c>
      <c r="BD39" s="552">
        <f ca="1">IFERROR(__xludf.DUMMYFUNCTION("IMPORTRANGE(""https://docs.google.com/spreadsheets/d/1XL5vhW3sbDhbH9Cz0tuDiY8C3ctxq1tqvaCgkFb8cCA/edit?usp=sharing"",""บึงกาฬ!J401"")"),0)</f>
        <v>0</v>
      </c>
      <c r="BE39" s="552">
        <f ca="1">IFERROR(__xludf.DUMMYFUNCTION("IMPORTRANGE(""https://docs.google.com/spreadsheets/d/1XL5vhW3sbDhbH9Cz0tuDiY8C3ctxq1tqvaCgkFb8cCA/edit?usp=sharing"",""บึงกาฬ!J402"")"),0)</f>
        <v>0</v>
      </c>
      <c r="BF39" s="552">
        <f ca="1">IFERROR(__xludf.DUMMYFUNCTION("IMPORTRANGE(""https://docs.google.com/spreadsheets/d/1XL5vhW3sbDhbH9Cz0tuDiY8C3ctxq1tqvaCgkFb8cCA/edit?usp=sharing"",""บึงกาฬ!J405"")"),1)</f>
        <v>1</v>
      </c>
      <c r="BG39" s="552">
        <f ca="1">IFERROR(__xludf.DUMMYFUNCTION("IMPORTRANGE(""https://docs.google.com/spreadsheets/d/1XL5vhW3sbDhbH9Cz0tuDiY8C3ctxq1tqvaCgkFb8cCA/edit?usp=sharing"",""บึงกาฬ!J406"")"),1)</f>
        <v>1</v>
      </c>
      <c r="BH39" s="552">
        <f ca="1">IFERROR(__xludf.DUMMYFUNCTION("IMPORTRANGE(""https://docs.google.com/spreadsheets/d/1XL5vhW3sbDhbH9Cz0tuDiY8C3ctxq1tqvaCgkFb8cCA/edit?usp=sharing"",""บึงกาฬ!J407"")"),0)</f>
        <v>0</v>
      </c>
      <c r="BI39" s="552">
        <f ca="1">IFERROR(__xludf.DUMMYFUNCTION("IMPORTRANGE(""https://docs.google.com/spreadsheets/d/1XL5vhW3sbDhbH9Cz0tuDiY8C3ctxq1tqvaCgkFb8cCA/edit?usp=sharing"",""บึงกาฬ!J408"")"),0)</f>
        <v>0</v>
      </c>
      <c r="BJ39" s="552">
        <f ca="1">IFERROR(__xludf.DUMMYFUNCTION("IMPORTRANGE(""https://docs.google.com/spreadsheets/d/1XL5vhW3sbDhbH9Cz0tuDiY8C3ctxq1tqvaCgkFb8cCA/edit?usp=sharing"",""บึงกาฬ!J409"")"),0)</f>
        <v>0</v>
      </c>
      <c r="BK39" s="552">
        <f ca="1">IFERROR(__xludf.DUMMYFUNCTION("IMPORTRANGE(""https://docs.google.com/spreadsheets/d/1XL5vhW3sbDhbH9Cz0tuDiY8C3ctxq1tqvaCgkFb8cCA/edit?usp=sharing"",""บึงกาฬ!J410"")"),0)</f>
        <v>0</v>
      </c>
      <c r="BL39" s="556">
        <f ca="1">IFERROR(__xludf.DUMMYFUNCTION("IMPORTRANGE(""https://docs.google.com/spreadsheets/d/1C3CXT74ZlgGe6_JY_1olB1XN4rF0dxEuIIF-xsYjHgg/edit?usp=sharing"",""งบกองทุน!CZ43"")"),0)</f>
        <v>0</v>
      </c>
      <c r="BM39" s="556">
        <f ca="1">IFERROR(__xludf.DUMMYFUNCTION("IMPORTRANGE(""https://docs.google.com/spreadsheets/d/1C3CXT74ZlgGe6_JY_1olB1XN4rF0dxEuIIF-xsYjHgg/edit?usp=sharing"",""งบกองทุน!CY43"")"),0)</f>
        <v>0</v>
      </c>
      <c r="BN39" s="556">
        <f t="shared" ca="1" si="91"/>
        <v>0</v>
      </c>
      <c r="BO39" s="557">
        <f t="shared" ca="1" si="15"/>
        <v>0</v>
      </c>
      <c r="BP39" s="556">
        <f t="shared" ca="1" si="92"/>
        <v>0</v>
      </c>
      <c r="BQ39" s="557">
        <f t="shared" ca="1" si="16"/>
        <v>0</v>
      </c>
      <c r="BR39" s="552">
        <f ca="1">IFERROR(__xludf.DUMMYFUNCTION("IMPORTRANGE(""https://docs.google.com/spreadsheets/d/1XL5vhW3sbDhbH9Cz0tuDiY8C3ctxq1tqvaCgkFb8cCA/edit?usp=sharing"",""บึงกาฬ!J414"")"),0)</f>
        <v>0</v>
      </c>
      <c r="BS39" s="552">
        <f ca="1">IFERROR(__xludf.DUMMYFUNCTION("IMPORTRANGE(""https://docs.google.com/spreadsheets/d/1XL5vhW3sbDhbH9Cz0tuDiY8C3ctxq1tqvaCgkFb8cCA/edit?usp=sharing"",""บึงกาฬ!J415"")"),0)</f>
        <v>0</v>
      </c>
      <c r="BT39" s="552">
        <f ca="1">IFERROR(__xludf.DUMMYFUNCTION("IMPORTRANGE(""https://docs.google.com/spreadsheets/d/1XL5vhW3sbDhbH9Cz0tuDiY8C3ctxq1tqvaCgkFb8cCA/edit?usp=sharing"",""บึงกาฬ!J416"")"),0)</f>
        <v>0</v>
      </c>
      <c r="BU39" s="552">
        <f ca="1">IFERROR(__xludf.DUMMYFUNCTION("IMPORTRANGE(""https://docs.google.com/spreadsheets/d/1XL5vhW3sbDhbH9Cz0tuDiY8C3ctxq1tqvaCgkFb8cCA/edit?usp=sharing"",""บึงกาฬ!J417"")"),0)</f>
        <v>0</v>
      </c>
      <c r="BV39" s="552">
        <f ca="1">IFERROR(__xludf.DUMMYFUNCTION("IMPORTRANGE(""https://docs.google.com/spreadsheets/d/1XL5vhW3sbDhbH9Cz0tuDiY8C3ctxq1tqvaCgkFb8cCA/edit?usp=sharing"",""บึงกาฬ!J418"")"),625)</f>
        <v>625</v>
      </c>
      <c r="BW39" s="552">
        <f ca="1">IFERROR(__xludf.DUMMYFUNCTION("IMPORTRANGE(""https://docs.google.com/spreadsheets/d/1XL5vhW3sbDhbH9Cz0tuDiY8C3ctxq1tqvaCgkFb8cCA/edit?usp=sharing"",""บึงกาฬ!J419"")"),20)</f>
        <v>20</v>
      </c>
      <c r="BX39" s="556">
        <f t="shared" ca="1" si="93"/>
        <v>0</v>
      </c>
      <c r="BY39" s="557">
        <f t="shared" ca="1" si="94"/>
        <v>0</v>
      </c>
      <c r="BZ39" s="556">
        <f t="shared" ca="1" si="95"/>
        <v>0</v>
      </c>
      <c r="CA39" s="557">
        <f t="shared" ca="1" si="96"/>
        <v>0</v>
      </c>
      <c r="CB39" s="552">
        <f ca="1">IFERROR(__xludf.DUMMYFUNCTION("IMPORTRANGE(""https://docs.google.com/spreadsheets/d/1XL5vhW3sbDhbH9Cz0tuDiY8C3ctxq1tqvaCgkFb8cCA/edit?usp=sharing"",""บึงกาฬ!J422"")"),0)</f>
        <v>0</v>
      </c>
      <c r="CC39" s="552">
        <f ca="1">IFERROR(__xludf.DUMMYFUNCTION("IMPORTRANGE(""https://docs.google.com/spreadsheets/d/1XL5vhW3sbDhbH9Cz0tuDiY8C3ctxq1tqvaCgkFb8cCA/edit?usp=sharing"",""บึงกาฬ!J423"")"),0)</f>
        <v>0</v>
      </c>
      <c r="CD39" s="552">
        <f ca="1">IFERROR(__xludf.DUMMYFUNCTION("IMPORTRANGE(""https://docs.google.com/spreadsheets/d/1XL5vhW3sbDhbH9Cz0tuDiY8C3ctxq1tqvaCgkFb8cCA/edit?usp=sharing"",""บึงกาฬ!J424"")"),0)</f>
        <v>0</v>
      </c>
      <c r="CE39" s="552">
        <f ca="1">IFERROR(__xludf.DUMMYFUNCTION("IMPORTRANGE(""https://docs.google.com/spreadsheets/d/1XL5vhW3sbDhbH9Cz0tuDiY8C3ctxq1tqvaCgkFb8cCA/edit?usp=sharing"",""บึงกาฬ!J425"")"),0)</f>
        <v>0</v>
      </c>
      <c r="CF39" s="552">
        <f ca="1">IFERROR(__xludf.DUMMYFUNCTION("IMPORTRANGE(""https://docs.google.com/spreadsheets/d/1XL5vhW3sbDhbH9Cz0tuDiY8C3ctxq1tqvaCgkFb8cCA/edit?usp=sharing"",""บึงกาฬ!J426"")"),0)</f>
        <v>0</v>
      </c>
      <c r="CG39" s="558">
        <f ca="1">IFERROR(__xludf.DUMMYFUNCTION("IMPORTRANGE(""https://docs.google.com/spreadsheets/d/1XL5vhW3sbDhbH9Cz0tuDiY8C3ctxq1tqvaCgkFb8cCA/edit?usp=sharing"",""บึงกาฬ!J427"")"),0)</f>
        <v>0</v>
      </c>
    </row>
    <row r="40" spans="1:85" ht="21" customHeight="1">
      <c r="A40" s="549">
        <v>7</v>
      </c>
      <c r="B40" s="550" t="s">
        <v>64</v>
      </c>
      <c r="C40" s="551">
        <f t="shared" ca="1" si="82"/>
        <v>1347897</v>
      </c>
      <c r="D40" s="552">
        <f ca="1">IFERROR(__xludf.DUMMYFUNCTION("IMPORTRANGE(""https://docs.google.com/spreadsheets/d/1C3CXT74ZlgGe6_JY_1olB1XN4rF0dxEuIIF-xsYjHgg/edit?usp=sharing"",""งบกองทุน!BC44"")"),0)</f>
        <v>0</v>
      </c>
      <c r="E40" s="553">
        <f ca="1">IFERROR(__xludf.DUMMYFUNCTION("IMPORTRANGE(""https://docs.google.com/spreadsheets/d/1C3CXT74ZlgGe6_JY_1olB1XN4rF0dxEuIIF-xsYjHgg/edit?usp=sharing"",""งบกองทุน!BD44"")"),1347897)</f>
        <v>1347897</v>
      </c>
      <c r="F40" s="554">
        <f ca="1">IFERROR(__xludf.DUMMYFUNCTION("IMPORTRANGE(""https://docs.google.com/spreadsheets/d/1XL5vhW3sbDhbH9Cz0tuDiY8C3ctxq1tqvaCgkFb8cCA/edit?usp=sharing"",""บุรีรัมย์!M352"")"),161277.07)</f>
        <v>161277.07</v>
      </c>
      <c r="G40" s="554">
        <f t="shared" ca="1" si="1"/>
        <v>11.965088578726712</v>
      </c>
      <c r="H40" s="555">
        <f ca="1">IFERROR(__xludf.DUMMYFUNCTION("IMPORTRANGE(""https://docs.google.com/spreadsheets/d/1C3CXT74ZlgGe6_JY_1olB1XN4rF0dxEuIIF-xsYjHgg/edit?usp=sharing"",""งบกองทุน!BE44"")"),32922)</f>
        <v>32922</v>
      </c>
      <c r="I40" s="555">
        <f ca="1">IFERROR(__xludf.DUMMYFUNCTION("IMPORTRANGE(""https://docs.google.com/spreadsheets/d/1C3CXT74ZlgGe6_JY_1olB1XN4rF0dxEuIIF-xsYjHgg/edit?usp=sharing"",""งบกองทุน!BF44"")"),5104)</f>
        <v>5104</v>
      </c>
      <c r="J40" s="552">
        <f t="shared" ca="1" si="83"/>
        <v>32923</v>
      </c>
      <c r="K40" s="554">
        <f t="shared" ca="1" si="3"/>
        <v>100.00303748253448</v>
      </c>
      <c r="L40" s="552">
        <f t="shared" ca="1" si="84"/>
        <v>5104</v>
      </c>
      <c r="M40" s="554">
        <f t="shared" ca="1" si="4"/>
        <v>100</v>
      </c>
      <c r="N40" s="552">
        <f ca="1">IFERROR(__xludf.DUMMYFUNCTION("IMPORTRANGE(""https://docs.google.com/spreadsheets/d/1XL5vhW3sbDhbH9Cz0tuDiY8C3ctxq1tqvaCgkFb8cCA/edit?usp=sharing"",""บุรีรัมย์!J362"")"),21664)</f>
        <v>21664</v>
      </c>
      <c r="O40" s="552">
        <f ca="1">IFERROR(__xludf.DUMMYFUNCTION("IMPORTRANGE(""https://docs.google.com/spreadsheets/d/1XL5vhW3sbDhbH9Cz0tuDiY8C3ctxq1tqvaCgkFb8cCA/edit?usp=sharing"",""บุรีรัมย์!J363"")"),4043)</f>
        <v>4043</v>
      </c>
      <c r="P40" s="552">
        <f ca="1">IFERROR(__xludf.DUMMYFUNCTION("IMPORTRANGE(""https://docs.google.com/spreadsheets/d/1XL5vhW3sbDhbH9Cz0tuDiY8C3ctxq1tqvaCgkFb8cCA/edit?usp=sharing"",""บุรีรัมย์!J364"")"),10349)</f>
        <v>10349</v>
      </c>
      <c r="Q40" s="552">
        <f ca="1">IFERROR(__xludf.DUMMYFUNCTION("IMPORTRANGE(""https://docs.google.com/spreadsheets/d/1XL5vhW3sbDhbH9Cz0tuDiY8C3ctxq1tqvaCgkFb8cCA/edit?usp=sharing"",""บุรีรัมย์!J365"")"),946)</f>
        <v>946</v>
      </c>
      <c r="R40" s="552">
        <f ca="1">IFERROR(__xludf.DUMMYFUNCTION("IMPORTRANGE(""https://docs.google.com/spreadsheets/d/1XL5vhW3sbDhbH9Cz0tuDiY8C3ctxq1tqvaCgkFb8cCA/edit?usp=sharing"",""บุรีรัมย์!J366"")"),910)</f>
        <v>910</v>
      </c>
      <c r="S40" s="552">
        <f ca="1">IFERROR(__xludf.DUMMYFUNCTION("IMPORTRANGE(""https://docs.google.com/spreadsheets/d/1XL5vhW3sbDhbH9Cz0tuDiY8C3ctxq1tqvaCgkFb8cCA/edit?usp=sharing"",""บุรีรัมย์!J367"")"),115)</f>
        <v>115</v>
      </c>
      <c r="T40" s="552">
        <f t="shared" ca="1" si="85"/>
        <v>41138</v>
      </c>
      <c r="U40" s="552">
        <f t="shared" ca="1" si="6"/>
        <v>124.95595650325011</v>
      </c>
      <c r="V40" s="552">
        <f t="shared" ca="1" si="86"/>
        <v>5102</v>
      </c>
      <c r="W40" s="552">
        <f t="shared" ca="1" si="7"/>
        <v>99.960815047021939</v>
      </c>
      <c r="X40" s="552">
        <f ca="1">IFERROR(__xludf.DUMMYFUNCTION("IMPORTRANGE(""https://docs.google.com/spreadsheets/d/1XL5vhW3sbDhbH9Cz0tuDiY8C3ctxq1tqvaCgkFb8cCA/edit?usp=sharing"",""บุรีรัมย์!J370"")"),32923)</f>
        <v>32923</v>
      </c>
      <c r="Y40" s="552">
        <f ca="1">IFERROR(__xludf.DUMMYFUNCTION("IMPORTRANGE(""https://docs.google.com/spreadsheets/d/1XL5vhW3sbDhbH9Cz0tuDiY8C3ctxq1tqvaCgkFb8cCA/edit?usp=sharing"",""บุรีรัมย์!J371"")"),4341)</f>
        <v>4341</v>
      </c>
      <c r="Z40" s="552">
        <f ca="1">IFERROR(__xludf.DUMMYFUNCTION("IMPORTRANGE(""https://docs.google.com/spreadsheets/d/1XL5vhW3sbDhbH9Cz0tuDiY8C3ctxq1tqvaCgkFb8cCA/edit?usp=sharing"",""บุรีรัมย์!J372"")"),7279)</f>
        <v>7279</v>
      </c>
      <c r="AA40" s="552">
        <f ca="1">IFERROR(__xludf.DUMMYFUNCTION("IMPORTRANGE(""https://docs.google.com/spreadsheets/d/1XL5vhW3sbDhbH9Cz0tuDiY8C3ctxq1tqvaCgkFb8cCA/edit?usp=sharing"",""บุรีรัมย์!J373"")"),657)</f>
        <v>657</v>
      </c>
      <c r="AB40" s="552">
        <f ca="1">IFERROR(__xludf.DUMMYFUNCTION("IMPORTRANGE(""https://docs.google.com/spreadsheets/d/1XL5vhW3sbDhbH9Cz0tuDiY8C3ctxq1tqvaCgkFb8cCA/edit?usp=sharing"",""บุรีรัมย์!J374"")"),936)</f>
        <v>936</v>
      </c>
      <c r="AC40" s="552">
        <f ca="1">IFERROR(__xludf.DUMMYFUNCTION("IMPORTRANGE(""https://docs.google.com/spreadsheets/d/1XL5vhW3sbDhbH9Cz0tuDiY8C3ctxq1tqvaCgkFb8cCA/edit?usp=sharing"",""บุรีรัมย์!J375"")"),104)</f>
        <v>104</v>
      </c>
      <c r="AD40" s="552">
        <f t="shared" ca="1" si="87"/>
        <v>40310</v>
      </c>
      <c r="AE40" s="554">
        <f t="shared" ca="1" si="9"/>
        <v>122.44092096470445</v>
      </c>
      <c r="AF40" s="552">
        <f t="shared" ca="1" si="88"/>
        <v>5015</v>
      </c>
      <c r="AG40" s="554">
        <f t="shared" ca="1" si="10"/>
        <v>98.256269592476485</v>
      </c>
      <c r="AH40" s="552">
        <f ca="1">IFERROR(__xludf.DUMMYFUNCTION("IMPORTRANGE(""https://docs.google.com/spreadsheets/d/1XL5vhW3sbDhbH9Cz0tuDiY8C3ctxq1tqvaCgkFb8cCA/edit?usp=sharing"",""บุรีรัมย์!J378"")"),32923)</f>
        <v>32923</v>
      </c>
      <c r="AI40" s="552">
        <f ca="1">IFERROR(__xludf.DUMMYFUNCTION("IMPORTRANGE(""https://docs.google.com/spreadsheets/d/1XL5vhW3sbDhbH9Cz0tuDiY8C3ctxq1tqvaCgkFb8cCA/edit?usp=sharing"",""บุรีรัมย์!J379"")"),4341)</f>
        <v>4341</v>
      </c>
      <c r="AJ40" s="552">
        <f ca="1">IFERROR(__xludf.DUMMYFUNCTION("IMPORTRANGE(""https://docs.google.com/spreadsheets/d/1XL5vhW3sbDhbH9Cz0tuDiY8C3ctxq1tqvaCgkFb8cCA/edit?usp=sharing"",""บุรีรัมย์!J380"")"),7279)</f>
        <v>7279</v>
      </c>
      <c r="AK40" s="552">
        <f ca="1">IFERROR(__xludf.DUMMYFUNCTION("IMPORTRANGE(""https://docs.google.com/spreadsheets/d/1XL5vhW3sbDhbH9Cz0tuDiY8C3ctxq1tqvaCgkFb8cCA/edit?usp=sharing"",""บุรีรัมย์!J381"")"),657)</f>
        <v>657</v>
      </c>
      <c r="AL40" s="552">
        <f ca="1">IFERROR(__xludf.DUMMYFUNCTION("IMPORTRANGE(""https://docs.google.com/spreadsheets/d/1XL5vhW3sbDhbH9Cz0tuDiY8C3ctxq1tqvaCgkFb8cCA/edit?usp=sharing"",""บุรีรัมย์!J384"")"),108)</f>
        <v>108</v>
      </c>
      <c r="AM40" s="552">
        <f ca="1">IFERROR(__xludf.DUMMYFUNCTION("IMPORTRANGE(""https://docs.google.com/spreadsheets/d/1XL5vhW3sbDhbH9Cz0tuDiY8C3ctxq1tqvaCgkFb8cCA/edit?usp=sharing"",""บุรีรัมย์!J385"")"),17)</f>
        <v>17</v>
      </c>
      <c r="AN40" s="552">
        <f ca="1">IFERROR(__xludf.DUMMYFUNCTION("IMPORTRANGE(""https://docs.google.com/spreadsheets/d/1XL5vhW3sbDhbH9Cz0tuDiY8C3ctxq1tqvaCgkFb8cCA/edit?usp=sharing"",""บุรีรัมย์!J386"")"),0)</f>
        <v>0</v>
      </c>
      <c r="AO40" s="552">
        <f ca="1">IFERROR(__xludf.DUMMYFUNCTION("IMPORTRANGE(""https://docs.google.com/spreadsheets/d/1XL5vhW3sbDhbH9Cz0tuDiY8C3ctxq1tqvaCgkFb8cCA/edit?usp=sharing"",""บุรีรัมย์!J387"")"),0)</f>
        <v>0</v>
      </c>
      <c r="AP40" s="552">
        <f ca="1">IFERROR(__xludf.DUMMYFUNCTION("IMPORTRANGE(""https://docs.google.com/spreadsheets/d/1XL5vhW3sbDhbH9Cz0tuDiY8C3ctxq1tqvaCgkFb8cCA/edit?usp=sharing"",""บุรีรัมย์!J388"")"),0)</f>
        <v>0</v>
      </c>
      <c r="AQ40" s="552">
        <f ca="1">IFERROR(__xludf.DUMMYFUNCTION("IMPORTRANGE(""https://docs.google.com/spreadsheets/d/1XL5vhW3sbDhbH9Cz0tuDiY8C3ctxq1tqvaCgkFb8cCA/edit?usp=sharing"",""บุรีรัมย์!J389"")"),0)</f>
        <v>0</v>
      </c>
      <c r="AR40" s="552">
        <f ca="1">IFERROR(__xludf.DUMMYFUNCTION("IMPORTRANGE(""https://docs.google.com/spreadsheets/d/1XL5vhW3sbDhbH9Cz0tuDiY8C3ctxq1tqvaCgkFb8cCA/edit?usp=sharing"",""บุรีรัมย์!J390"")"),0)</f>
        <v>0</v>
      </c>
      <c r="AS40" s="552">
        <f ca="1">IFERROR(__xludf.DUMMYFUNCTION("IMPORTRANGE(""https://docs.google.com/spreadsheets/d/1XL5vhW3sbDhbH9Cz0tuDiY8C3ctxq1tqvaCgkFb8cCA/edit?usp=sharing"",""บุรีรัมย์!J391"")"),0)</f>
        <v>0</v>
      </c>
      <c r="AT40" s="556">
        <f ca="1">IFERROR(__xludf.DUMMYFUNCTION("IMPORTRANGE(""https://docs.google.com/spreadsheets/d/1C3CXT74ZlgGe6_JY_1olB1XN4rF0dxEuIIF-xsYjHgg/edit?usp=sharing"",""งบกองทุน!CD44"")"),29499)</f>
        <v>29499</v>
      </c>
      <c r="AU40" s="556">
        <f ca="1">IFERROR(__xludf.DUMMYFUNCTION("IMPORTRANGE(""https://docs.google.com/spreadsheets/d/1C3CXT74ZlgGe6_JY_1olB1XN4rF0dxEuIIF-xsYjHgg/edit?usp=sharing"",""งบกองทุน!CC44"")"),3017)</f>
        <v>3017</v>
      </c>
      <c r="AV40" s="556">
        <f t="shared" ca="1" si="89"/>
        <v>3156</v>
      </c>
      <c r="AW40" s="556">
        <f t="shared" ca="1" si="12"/>
        <v>10.698667751449202</v>
      </c>
      <c r="AX40" s="556">
        <f t="shared" ca="1" si="90"/>
        <v>422</v>
      </c>
      <c r="AY40" s="556">
        <f t="shared" ca="1" si="13"/>
        <v>13.987404706662247</v>
      </c>
      <c r="AZ40" s="552">
        <f ca="1">IFERROR(__xludf.DUMMYFUNCTION("IMPORTRANGE(""https://docs.google.com/spreadsheets/d/1XL5vhW3sbDhbH9Cz0tuDiY8C3ctxq1tqvaCgkFb8cCA/edit?usp=sharing"",""บุรีรัมย์!J397"")"),3028)</f>
        <v>3028</v>
      </c>
      <c r="BA40" s="552">
        <f ca="1">IFERROR(__xludf.DUMMYFUNCTION("IMPORTRANGE(""https://docs.google.com/spreadsheets/d/1XL5vhW3sbDhbH9Cz0tuDiY8C3ctxq1tqvaCgkFb8cCA/edit?usp=sharing"",""บุรีรัมย์!J398"")"),400)</f>
        <v>400</v>
      </c>
      <c r="BB40" s="552">
        <f ca="1">IFERROR(__xludf.DUMMYFUNCTION("IMPORTRANGE(""https://docs.google.com/spreadsheets/d/1XL5vhW3sbDhbH9Cz0tuDiY8C3ctxq1tqvaCgkFb8cCA/edit?usp=sharing"",""บุรีรัมย์!J399"")"),20)</f>
        <v>20</v>
      </c>
      <c r="BC40" s="552">
        <f ca="1">IFERROR(__xludf.DUMMYFUNCTION("IMPORTRANGE(""https://docs.google.com/spreadsheets/d/1XL5vhW3sbDhbH9Cz0tuDiY8C3ctxq1tqvaCgkFb8cCA/edit?usp=sharing"",""บุรีรัมย์!J400"")"),5)</f>
        <v>5</v>
      </c>
      <c r="BD40" s="552">
        <f ca="1">IFERROR(__xludf.DUMMYFUNCTION("IMPORTRANGE(""https://docs.google.com/spreadsheets/d/1XL5vhW3sbDhbH9Cz0tuDiY8C3ctxq1tqvaCgkFb8cCA/edit?usp=sharing"",""บุรีรัมย์!J401"")"),0)</f>
        <v>0</v>
      </c>
      <c r="BE40" s="552">
        <f ca="1">IFERROR(__xludf.DUMMYFUNCTION("IMPORTRANGE(""https://docs.google.com/spreadsheets/d/1XL5vhW3sbDhbH9Cz0tuDiY8C3ctxq1tqvaCgkFb8cCA/edit?usp=sharing"",""บุรีรัมย์!J402"")"),0)</f>
        <v>0</v>
      </c>
      <c r="BF40" s="552">
        <f ca="1">IFERROR(__xludf.DUMMYFUNCTION("IMPORTRANGE(""https://docs.google.com/spreadsheets/d/1XL5vhW3sbDhbH9Cz0tuDiY8C3ctxq1tqvaCgkFb8cCA/edit?usp=sharing"",""บุรีรัมย์!J405"")"),108)</f>
        <v>108</v>
      </c>
      <c r="BG40" s="552">
        <f ca="1">IFERROR(__xludf.DUMMYFUNCTION("IMPORTRANGE(""https://docs.google.com/spreadsheets/d/1XL5vhW3sbDhbH9Cz0tuDiY8C3ctxq1tqvaCgkFb8cCA/edit?usp=sharing"",""บุรีรัมย์!J406"")"),17)</f>
        <v>17</v>
      </c>
      <c r="BH40" s="552">
        <f ca="1">IFERROR(__xludf.DUMMYFUNCTION("IMPORTRANGE(""https://docs.google.com/spreadsheets/d/1XL5vhW3sbDhbH9Cz0tuDiY8C3ctxq1tqvaCgkFb8cCA/edit?usp=sharing"",""บุรีรัมย์!J407"")"),0)</f>
        <v>0</v>
      </c>
      <c r="BI40" s="552">
        <f ca="1">IFERROR(__xludf.DUMMYFUNCTION("IMPORTRANGE(""https://docs.google.com/spreadsheets/d/1XL5vhW3sbDhbH9Cz0tuDiY8C3ctxq1tqvaCgkFb8cCA/edit?usp=sharing"",""บุรีรัมย์!J408"")"),0)</f>
        <v>0</v>
      </c>
      <c r="BJ40" s="552">
        <f ca="1">IFERROR(__xludf.DUMMYFUNCTION("IMPORTRANGE(""https://docs.google.com/spreadsheets/d/1XL5vhW3sbDhbH9Cz0tuDiY8C3ctxq1tqvaCgkFb8cCA/edit?usp=sharing"",""บุรีรัมย์!J409"")"),0)</f>
        <v>0</v>
      </c>
      <c r="BK40" s="552">
        <f ca="1">IFERROR(__xludf.DUMMYFUNCTION("IMPORTRANGE(""https://docs.google.com/spreadsheets/d/1XL5vhW3sbDhbH9Cz0tuDiY8C3ctxq1tqvaCgkFb8cCA/edit?usp=sharing"",""บุรีรัมย์!J410"")"),0)</f>
        <v>0</v>
      </c>
      <c r="BL40" s="556">
        <f ca="1">IFERROR(__xludf.DUMMYFUNCTION("IMPORTRANGE(""https://docs.google.com/spreadsheets/d/1C3CXT74ZlgGe6_JY_1olB1XN4rF0dxEuIIF-xsYjHgg/edit?usp=sharing"",""งบกองทุน!CZ44"")"),0)</f>
        <v>0</v>
      </c>
      <c r="BM40" s="556">
        <f ca="1">IFERROR(__xludf.DUMMYFUNCTION("IMPORTRANGE(""https://docs.google.com/spreadsheets/d/1C3CXT74ZlgGe6_JY_1olB1XN4rF0dxEuIIF-xsYjHgg/edit?usp=sharing"",""งบกองทุน!CY44"")"),0)</f>
        <v>0</v>
      </c>
      <c r="BN40" s="556">
        <f t="shared" ca="1" si="91"/>
        <v>0</v>
      </c>
      <c r="BO40" s="557">
        <f t="shared" ca="1" si="15"/>
        <v>0</v>
      </c>
      <c r="BP40" s="556">
        <f t="shared" ca="1" si="92"/>
        <v>0</v>
      </c>
      <c r="BQ40" s="557">
        <f t="shared" ca="1" si="16"/>
        <v>0</v>
      </c>
      <c r="BR40" s="552">
        <f ca="1">IFERROR(__xludf.DUMMYFUNCTION("IMPORTRANGE(""https://docs.google.com/spreadsheets/d/1XL5vhW3sbDhbH9Cz0tuDiY8C3ctxq1tqvaCgkFb8cCA/edit?usp=sharing"",""บุรีรัมย์!J414"")"),0)</f>
        <v>0</v>
      </c>
      <c r="BS40" s="552">
        <f ca="1">IFERROR(__xludf.DUMMYFUNCTION("IMPORTRANGE(""https://docs.google.com/spreadsheets/d/1XL5vhW3sbDhbH9Cz0tuDiY8C3ctxq1tqvaCgkFb8cCA/edit?usp=sharing"",""บุรีรัมย์!J415"")"),0)</f>
        <v>0</v>
      </c>
      <c r="BT40" s="552">
        <f ca="1">IFERROR(__xludf.DUMMYFUNCTION("IMPORTRANGE(""https://docs.google.com/spreadsheets/d/1XL5vhW3sbDhbH9Cz0tuDiY8C3ctxq1tqvaCgkFb8cCA/edit?usp=sharing"",""บุรีรัมย์!J416"")"),0)</f>
        <v>0</v>
      </c>
      <c r="BU40" s="552">
        <f ca="1">IFERROR(__xludf.DUMMYFUNCTION("IMPORTRANGE(""https://docs.google.com/spreadsheets/d/1XL5vhW3sbDhbH9Cz0tuDiY8C3ctxq1tqvaCgkFb8cCA/edit?usp=sharing"",""บุรีรัมย์!J417"")"),0)</f>
        <v>0</v>
      </c>
      <c r="BV40" s="552">
        <f ca="1">IFERROR(__xludf.DUMMYFUNCTION("IMPORTRANGE(""https://docs.google.com/spreadsheets/d/1XL5vhW3sbDhbH9Cz0tuDiY8C3ctxq1tqvaCgkFb8cCA/edit?usp=sharing"",""บุรีรัมย์!J418"")"),18)</f>
        <v>18</v>
      </c>
      <c r="BW40" s="552">
        <f ca="1">IFERROR(__xludf.DUMMYFUNCTION("IMPORTRANGE(""https://docs.google.com/spreadsheets/d/1XL5vhW3sbDhbH9Cz0tuDiY8C3ctxq1tqvaCgkFb8cCA/edit?usp=sharing"",""บุรีรัมย์!J419"")"),8)</f>
        <v>8</v>
      </c>
      <c r="BX40" s="556">
        <f t="shared" ca="1" si="93"/>
        <v>0</v>
      </c>
      <c r="BY40" s="557">
        <f t="shared" ca="1" si="94"/>
        <v>0</v>
      </c>
      <c r="BZ40" s="556">
        <f t="shared" ca="1" si="95"/>
        <v>0</v>
      </c>
      <c r="CA40" s="557">
        <f t="shared" ca="1" si="96"/>
        <v>0</v>
      </c>
      <c r="CB40" s="552">
        <f ca="1">IFERROR(__xludf.DUMMYFUNCTION("IMPORTRANGE(""https://docs.google.com/spreadsheets/d/1XL5vhW3sbDhbH9Cz0tuDiY8C3ctxq1tqvaCgkFb8cCA/edit?usp=sharing"",""บุรีรัมย์!J422"")"),0)</f>
        <v>0</v>
      </c>
      <c r="CC40" s="552">
        <f ca="1">IFERROR(__xludf.DUMMYFUNCTION("IMPORTRANGE(""https://docs.google.com/spreadsheets/d/1XL5vhW3sbDhbH9Cz0tuDiY8C3ctxq1tqvaCgkFb8cCA/edit?usp=sharing"",""บุรีรัมย์!J423"")"),0)</f>
        <v>0</v>
      </c>
      <c r="CD40" s="552">
        <f ca="1">IFERROR(__xludf.DUMMYFUNCTION("IMPORTRANGE(""https://docs.google.com/spreadsheets/d/1XL5vhW3sbDhbH9Cz0tuDiY8C3ctxq1tqvaCgkFb8cCA/edit?usp=sharing"",""บุรีรัมย์!J424"")"),0)</f>
        <v>0</v>
      </c>
      <c r="CE40" s="552">
        <f ca="1">IFERROR(__xludf.DUMMYFUNCTION("IMPORTRANGE(""https://docs.google.com/spreadsheets/d/1XL5vhW3sbDhbH9Cz0tuDiY8C3ctxq1tqvaCgkFb8cCA/edit?usp=sharing"",""บุรีรัมย์!J425"")"),0)</f>
        <v>0</v>
      </c>
      <c r="CF40" s="552">
        <f ca="1">IFERROR(__xludf.DUMMYFUNCTION("IMPORTRANGE(""https://docs.google.com/spreadsheets/d/1XL5vhW3sbDhbH9Cz0tuDiY8C3ctxq1tqvaCgkFb8cCA/edit?usp=sharing"",""บุรีรัมย์!J426"")"),0)</f>
        <v>0</v>
      </c>
      <c r="CG40" s="558">
        <f ca="1">IFERROR(__xludf.DUMMYFUNCTION("IMPORTRANGE(""https://docs.google.com/spreadsheets/d/1XL5vhW3sbDhbH9Cz0tuDiY8C3ctxq1tqvaCgkFb8cCA/edit?usp=sharing"",""บุรีรัมย์!J427"")"),0)</f>
        <v>0</v>
      </c>
    </row>
    <row r="41" spans="1:85" ht="21" customHeight="1">
      <c r="A41" s="549">
        <v>8</v>
      </c>
      <c r="B41" s="550" t="s">
        <v>65</v>
      </c>
      <c r="C41" s="551">
        <f t="shared" ca="1" si="82"/>
        <v>209637</v>
      </c>
      <c r="D41" s="552">
        <f ca="1">IFERROR(__xludf.DUMMYFUNCTION("IMPORTRANGE(""https://docs.google.com/spreadsheets/d/1C3CXT74ZlgGe6_JY_1olB1XN4rF0dxEuIIF-xsYjHgg/edit?usp=sharing"",""งบกองทุน!BC45"")"),0)</f>
        <v>0</v>
      </c>
      <c r="E41" s="553">
        <f ca="1">IFERROR(__xludf.DUMMYFUNCTION("IMPORTRANGE(""https://docs.google.com/spreadsheets/d/1C3CXT74ZlgGe6_JY_1olB1XN4rF0dxEuIIF-xsYjHgg/edit?usp=sharing"",""งบกองทุน!BD45"")"),209637)</f>
        <v>209637</v>
      </c>
      <c r="F41" s="554">
        <f ca="1">IFERROR(__xludf.DUMMYFUNCTION("IMPORTRANGE(""https://docs.google.com/spreadsheets/d/1XL5vhW3sbDhbH9Cz0tuDiY8C3ctxq1tqvaCgkFb8cCA/edit?usp=sharing"",""มหาสารคาม!M352"")"),56035.5)</f>
        <v>56035.5</v>
      </c>
      <c r="G41" s="554">
        <f t="shared" ca="1" si="1"/>
        <v>26.729775755234048</v>
      </c>
      <c r="H41" s="555">
        <f ca="1">IFERROR(__xludf.DUMMYFUNCTION("IMPORTRANGE(""https://docs.google.com/spreadsheets/d/1C3CXT74ZlgGe6_JY_1olB1XN4rF0dxEuIIF-xsYjHgg/edit?usp=sharing"",""งบกองทุน!BE45"")"),24987)</f>
        <v>24987</v>
      </c>
      <c r="I41" s="555">
        <f ca="1">IFERROR(__xludf.DUMMYFUNCTION("IMPORTRANGE(""https://docs.google.com/spreadsheets/d/1C3CXT74ZlgGe6_JY_1olB1XN4rF0dxEuIIF-xsYjHgg/edit?usp=sharing"",""งบกองทุน!BF45"")"),3166)</f>
        <v>3166</v>
      </c>
      <c r="J41" s="552">
        <f t="shared" ca="1" si="83"/>
        <v>24987.14</v>
      </c>
      <c r="K41" s="554">
        <f t="shared" ca="1" si="3"/>
        <v>100.0005602913515</v>
      </c>
      <c r="L41" s="552">
        <f t="shared" ca="1" si="84"/>
        <v>3166</v>
      </c>
      <c r="M41" s="554">
        <f t="shared" ca="1" si="4"/>
        <v>100</v>
      </c>
      <c r="N41" s="552">
        <f ca="1">IFERROR(__xludf.DUMMYFUNCTION("IMPORTRANGE(""https://docs.google.com/spreadsheets/d/1XL5vhW3sbDhbH9Cz0tuDiY8C3ctxq1tqvaCgkFb8cCA/edit?usp=sharing"",""มหาสารคาม!J362"")"),22506.46)</f>
        <v>22506.46</v>
      </c>
      <c r="O41" s="552">
        <f ca="1">IFERROR(__xludf.DUMMYFUNCTION("IMPORTRANGE(""https://docs.google.com/spreadsheets/d/1XL5vhW3sbDhbH9Cz0tuDiY8C3ctxq1tqvaCgkFb8cCA/edit?usp=sharing"",""มหาสารคาม!J363"")"),2853)</f>
        <v>2853</v>
      </c>
      <c r="P41" s="552">
        <f ca="1">IFERROR(__xludf.DUMMYFUNCTION("IMPORTRANGE(""https://docs.google.com/spreadsheets/d/1XL5vhW3sbDhbH9Cz0tuDiY8C3ctxq1tqvaCgkFb8cCA/edit?usp=sharing"",""มหาสารคาม!J364"")"),1126.68)</f>
        <v>1126.68</v>
      </c>
      <c r="Q41" s="552">
        <f ca="1">IFERROR(__xludf.DUMMYFUNCTION("IMPORTRANGE(""https://docs.google.com/spreadsheets/d/1XL5vhW3sbDhbH9Cz0tuDiY8C3ctxq1tqvaCgkFb8cCA/edit?usp=sharing"",""มหาสารคาม!J365"")"),156)</f>
        <v>156</v>
      </c>
      <c r="R41" s="552">
        <f ca="1">IFERROR(__xludf.DUMMYFUNCTION("IMPORTRANGE(""https://docs.google.com/spreadsheets/d/1XL5vhW3sbDhbH9Cz0tuDiY8C3ctxq1tqvaCgkFb8cCA/edit?usp=sharing"",""มหาสารคาม!J366"")"),1354)</f>
        <v>1354</v>
      </c>
      <c r="S41" s="552">
        <f ca="1">IFERROR(__xludf.DUMMYFUNCTION("IMPORTRANGE(""https://docs.google.com/spreadsheets/d/1XL5vhW3sbDhbH9Cz0tuDiY8C3ctxq1tqvaCgkFb8cCA/edit?usp=sharing"",""มหาสารคาม!J367"")"),157)</f>
        <v>157</v>
      </c>
      <c r="T41" s="552">
        <f t="shared" ca="1" si="85"/>
        <v>24987</v>
      </c>
      <c r="U41" s="552">
        <f t="shared" ca="1" si="6"/>
        <v>100</v>
      </c>
      <c r="V41" s="552">
        <f t="shared" ca="1" si="86"/>
        <v>3166</v>
      </c>
      <c r="W41" s="552">
        <f t="shared" ca="1" si="7"/>
        <v>100</v>
      </c>
      <c r="X41" s="552">
        <f ca="1">IFERROR(__xludf.DUMMYFUNCTION("IMPORTRANGE(""https://docs.google.com/spreadsheets/d/1XL5vhW3sbDhbH9Cz0tuDiY8C3ctxq1tqvaCgkFb8cCA/edit?usp=sharing"",""มหาสารคาม!J370"")"),23199)</f>
        <v>23199</v>
      </c>
      <c r="Y41" s="552">
        <f ca="1">IFERROR(__xludf.DUMMYFUNCTION("IMPORTRANGE(""https://docs.google.com/spreadsheets/d/1XL5vhW3sbDhbH9Cz0tuDiY8C3ctxq1tqvaCgkFb8cCA/edit?usp=sharing"",""มหาสารคาม!J371"")"),2949)</f>
        <v>2949</v>
      </c>
      <c r="Z41" s="552">
        <f ca="1">IFERROR(__xludf.DUMMYFUNCTION("IMPORTRANGE(""https://docs.google.com/spreadsheets/d/1XL5vhW3sbDhbH9Cz0tuDiY8C3ctxq1tqvaCgkFb8cCA/edit?usp=sharing"",""มหาสารคาม!J372"")"),533)</f>
        <v>533</v>
      </c>
      <c r="AA41" s="552">
        <f ca="1">IFERROR(__xludf.DUMMYFUNCTION("IMPORTRANGE(""https://docs.google.com/spreadsheets/d/1XL5vhW3sbDhbH9Cz0tuDiY8C3ctxq1tqvaCgkFb8cCA/edit?usp=sharing"",""มหาสารคาม!J373"")"),69)</f>
        <v>69</v>
      </c>
      <c r="AB41" s="552">
        <f ca="1">IFERROR(__xludf.DUMMYFUNCTION("IMPORTRANGE(""https://docs.google.com/spreadsheets/d/1XL5vhW3sbDhbH9Cz0tuDiY8C3ctxq1tqvaCgkFb8cCA/edit?usp=sharing"",""มหาสารคาม!J374"")"),1255)</f>
        <v>1255</v>
      </c>
      <c r="AC41" s="552">
        <f ca="1">IFERROR(__xludf.DUMMYFUNCTION("IMPORTRANGE(""https://docs.google.com/spreadsheets/d/1XL5vhW3sbDhbH9Cz0tuDiY8C3ctxq1tqvaCgkFb8cCA/edit?usp=sharing"",""มหาสารคาม!J375"")"),148)</f>
        <v>148</v>
      </c>
      <c r="AD41" s="552">
        <f t="shared" ca="1" si="87"/>
        <v>0</v>
      </c>
      <c r="AE41" s="554">
        <f t="shared" ca="1" si="9"/>
        <v>0</v>
      </c>
      <c r="AF41" s="552">
        <f t="shared" ca="1" si="88"/>
        <v>0</v>
      </c>
      <c r="AG41" s="554">
        <f t="shared" ca="1" si="10"/>
        <v>0</v>
      </c>
      <c r="AH41" s="552">
        <f ca="1">IFERROR(__xludf.DUMMYFUNCTION("IMPORTRANGE(""https://docs.google.com/spreadsheets/d/1XL5vhW3sbDhbH9Cz0tuDiY8C3ctxq1tqvaCgkFb8cCA/edit?usp=sharing"",""มหาสารคาม!J378"")"),0)</f>
        <v>0</v>
      </c>
      <c r="AI41" s="552">
        <f ca="1">IFERROR(__xludf.DUMMYFUNCTION("IMPORTRANGE(""https://docs.google.com/spreadsheets/d/1XL5vhW3sbDhbH9Cz0tuDiY8C3ctxq1tqvaCgkFb8cCA/edit?usp=sharing"",""มหาสารคาม!J379"")"),0)</f>
        <v>0</v>
      </c>
      <c r="AJ41" s="552">
        <f ca="1">IFERROR(__xludf.DUMMYFUNCTION("IMPORTRANGE(""https://docs.google.com/spreadsheets/d/1XL5vhW3sbDhbH9Cz0tuDiY8C3ctxq1tqvaCgkFb8cCA/edit?usp=sharing"",""มหาสารคาม!J380"")"),0)</f>
        <v>0</v>
      </c>
      <c r="AK41" s="552">
        <f ca="1">IFERROR(__xludf.DUMMYFUNCTION("IMPORTRANGE(""https://docs.google.com/spreadsheets/d/1XL5vhW3sbDhbH9Cz0tuDiY8C3ctxq1tqvaCgkFb8cCA/edit?usp=sharing"",""มหาสารคาม!J381"")"),0)</f>
        <v>0</v>
      </c>
      <c r="AL41" s="552">
        <f ca="1">IFERROR(__xludf.DUMMYFUNCTION("IMPORTRANGE(""https://docs.google.com/spreadsheets/d/1XL5vhW3sbDhbH9Cz0tuDiY8C3ctxq1tqvaCgkFb8cCA/edit?usp=sharing"",""มหาสารคาม!J384"")"),0)</f>
        <v>0</v>
      </c>
      <c r="AM41" s="552">
        <f ca="1">IFERROR(__xludf.DUMMYFUNCTION("IMPORTRANGE(""https://docs.google.com/spreadsheets/d/1XL5vhW3sbDhbH9Cz0tuDiY8C3ctxq1tqvaCgkFb8cCA/edit?usp=sharing"",""มหาสารคาม!J385"")"),0)</f>
        <v>0</v>
      </c>
      <c r="AN41" s="552">
        <f ca="1">IFERROR(__xludf.DUMMYFUNCTION("IMPORTRANGE(""https://docs.google.com/spreadsheets/d/1XL5vhW3sbDhbH9Cz0tuDiY8C3ctxq1tqvaCgkFb8cCA/edit?usp=sharing"",""มหาสารคาม!J386"")"),0)</f>
        <v>0</v>
      </c>
      <c r="AO41" s="552">
        <f ca="1">IFERROR(__xludf.DUMMYFUNCTION("IMPORTRANGE(""https://docs.google.com/spreadsheets/d/1XL5vhW3sbDhbH9Cz0tuDiY8C3ctxq1tqvaCgkFb8cCA/edit?usp=sharing"",""มหาสารคาม!J387"")"),0)</f>
        <v>0</v>
      </c>
      <c r="AP41" s="552">
        <f ca="1">IFERROR(__xludf.DUMMYFUNCTION("IMPORTRANGE(""https://docs.google.com/spreadsheets/d/1XL5vhW3sbDhbH9Cz0tuDiY8C3ctxq1tqvaCgkFb8cCA/edit?usp=sharing"",""มหาสารคาม!J388"")"),0)</f>
        <v>0</v>
      </c>
      <c r="AQ41" s="552">
        <f ca="1">IFERROR(__xludf.DUMMYFUNCTION("IMPORTRANGE(""https://docs.google.com/spreadsheets/d/1XL5vhW3sbDhbH9Cz0tuDiY8C3ctxq1tqvaCgkFb8cCA/edit?usp=sharing"",""มหาสารคาม!J389"")"),0)</f>
        <v>0</v>
      </c>
      <c r="AR41" s="552">
        <f ca="1">IFERROR(__xludf.DUMMYFUNCTION("IMPORTRANGE(""https://docs.google.com/spreadsheets/d/1XL5vhW3sbDhbH9Cz0tuDiY8C3ctxq1tqvaCgkFb8cCA/edit?usp=sharing"",""มหาสารคาม!J390"")"),0)</f>
        <v>0</v>
      </c>
      <c r="AS41" s="552">
        <f ca="1">IFERROR(__xludf.DUMMYFUNCTION("IMPORTRANGE(""https://docs.google.com/spreadsheets/d/1XL5vhW3sbDhbH9Cz0tuDiY8C3ctxq1tqvaCgkFb8cCA/edit?usp=sharing"",""มหาสารคาม!J391"")"),0)</f>
        <v>0</v>
      </c>
      <c r="AT41" s="556">
        <f ca="1">IFERROR(__xludf.DUMMYFUNCTION("IMPORTRANGE(""https://docs.google.com/spreadsheets/d/1C3CXT74ZlgGe6_JY_1olB1XN4rF0dxEuIIF-xsYjHgg/edit?usp=sharing"",""งบกองทุน!CD45"")"),408)</f>
        <v>408</v>
      </c>
      <c r="AU41" s="556">
        <f ca="1">IFERROR(__xludf.DUMMYFUNCTION("IMPORTRANGE(""https://docs.google.com/spreadsheets/d/1C3CXT74ZlgGe6_JY_1olB1XN4rF0dxEuIIF-xsYjHgg/edit?usp=sharing"",""งบกองทุน!CC45"")"),36)</f>
        <v>36</v>
      </c>
      <c r="AV41" s="556">
        <f t="shared" ca="1" si="89"/>
        <v>76</v>
      </c>
      <c r="AW41" s="556">
        <f t="shared" ca="1" si="12"/>
        <v>18.627450980392158</v>
      </c>
      <c r="AX41" s="556">
        <f t="shared" ca="1" si="90"/>
        <v>10</v>
      </c>
      <c r="AY41" s="556">
        <f t="shared" ca="1" si="13"/>
        <v>27.777777777777779</v>
      </c>
      <c r="AZ41" s="552">
        <f ca="1">IFERROR(__xludf.DUMMYFUNCTION("IMPORTRANGE(""https://docs.google.com/spreadsheets/d/1XL5vhW3sbDhbH9Cz0tuDiY8C3ctxq1tqvaCgkFb8cCA/edit?usp=sharing"",""มหาสารคาม!J397"")"),67)</f>
        <v>67</v>
      </c>
      <c r="BA41" s="552">
        <f ca="1">IFERROR(__xludf.DUMMYFUNCTION("IMPORTRANGE(""https://docs.google.com/spreadsheets/d/1XL5vhW3sbDhbH9Cz0tuDiY8C3ctxq1tqvaCgkFb8cCA/edit?usp=sharing"",""มหาสารคาม!J398"")"),9)</f>
        <v>9</v>
      </c>
      <c r="BB41" s="552">
        <f ca="1">IFERROR(__xludf.DUMMYFUNCTION("IMPORTRANGE(""https://docs.google.com/spreadsheets/d/1XL5vhW3sbDhbH9Cz0tuDiY8C3ctxq1tqvaCgkFb8cCA/edit?usp=sharing"",""มหาสารคาม!J399"")"),0)</f>
        <v>0</v>
      </c>
      <c r="BC41" s="552">
        <f ca="1">IFERROR(__xludf.DUMMYFUNCTION("IMPORTRANGE(""https://docs.google.com/spreadsheets/d/1XL5vhW3sbDhbH9Cz0tuDiY8C3ctxq1tqvaCgkFb8cCA/edit?usp=sharing"",""มหาสารคาม!J400"")"),0)</f>
        <v>0</v>
      </c>
      <c r="BD41" s="552">
        <f ca="1">IFERROR(__xludf.DUMMYFUNCTION("IMPORTRANGE(""https://docs.google.com/spreadsheets/d/1XL5vhW3sbDhbH9Cz0tuDiY8C3ctxq1tqvaCgkFb8cCA/edit?usp=sharing"",""มหาสารคาม!J401"")"),0)</f>
        <v>0</v>
      </c>
      <c r="BE41" s="552">
        <f ca="1">IFERROR(__xludf.DUMMYFUNCTION("IMPORTRANGE(""https://docs.google.com/spreadsheets/d/1XL5vhW3sbDhbH9Cz0tuDiY8C3ctxq1tqvaCgkFb8cCA/edit?usp=sharing"",""มหาสารคาม!J402"")"),0)</f>
        <v>0</v>
      </c>
      <c r="BF41" s="552">
        <f ca="1">IFERROR(__xludf.DUMMYFUNCTION("IMPORTRANGE(""https://docs.google.com/spreadsheets/d/1XL5vhW3sbDhbH9Cz0tuDiY8C3ctxq1tqvaCgkFb8cCA/edit?usp=sharing"",""มหาสารคาม!J405"")"),9)</f>
        <v>9</v>
      </c>
      <c r="BG41" s="552">
        <f ca="1">IFERROR(__xludf.DUMMYFUNCTION("IMPORTRANGE(""https://docs.google.com/spreadsheets/d/1XL5vhW3sbDhbH9Cz0tuDiY8C3ctxq1tqvaCgkFb8cCA/edit?usp=sharing"",""มหาสารคาม!J406"")"),1)</f>
        <v>1</v>
      </c>
      <c r="BH41" s="552">
        <f ca="1">IFERROR(__xludf.DUMMYFUNCTION("IMPORTRANGE(""https://docs.google.com/spreadsheets/d/1XL5vhW3sbDhbH9Cz0tuDiY8C3ctxq1tqvaCgkFb8cCA/edit?usp=sharing"",""มหาสารคาม!J407"")"),0)</f>
        <v>0</v>
      </c>
      <c r="BI41" s="552">
        <f ca="1">IFERROR(__xludf.DUMMYFUNCTION("IMPORTRANGE(""https://docs.google.com/spreadsheets/d/1XL5vhW3sbDhbH9Cz0tuDiY8C3ctxq1tqvaCgkFb8cCA/edit?usp=sharing"",""มหาสารคาม!J408"")"),0)</f>
        <v>0</v>
      </c>
      <c r="BJ41" s="552">
        <f ca="1">IFERROR(__xludf.DUMMYFUNCTION("IMPORTRANGE(""https://docs.google.com/spreadsheets/d/1XL5vhW3sbDhbH9Cz0tuDiY8C3ctxq1tqvaCgkFb8cCA/edit?usp=sharing"",""มหาสารคาม!J409"")"),0)</f>
        <v>0</v>
      </c>
      <c r="BK41" s="552">
        <f ca="1">IFERROR(__xludf.DUMMYFUNCTION("IMPORTRANGE(""https://docs.google.com/spreadsheets/d/1XL5vhW3sbDhbH9Cz0tuDiY8C3ctxq1tqvaCgkFb8cCA/edit?usp=sharing"",""มหาสารคาม!J410"")"),0)</f>
        <v>0</v>
      </c>
      <c r="BL41" s="556">
        <f ca="1">IFERROR(__xludf.DUMMYFUNCTION("IMPORTRANGE(""https://docs.google.com/spreadsheets/d/1C3CXT74ZlgGe6_JY_1olB1XN4rF0dxEuIIF-xsYjHgg/edit?usp=sharing"",""งบกองทุน!CZ45"")"),0)</f>
        <v>0</v>
      </c>
      <c r="BM41" s="556">
        <f ca="1">IFERROR(__xludf.DUMMYFUNCTION("IMPORTRANGE(""https://docs.google.com/spreadsheets/d/1C3CXT74ZlgGe6_JY_1olB1XN4rF0dxEuIIF-xsYjHgg/edit?usp=sharing"",""งบกองทุน!CY45"")"),0)</f>
        <v>0</v>
      </c>
      <c r="BN41" s="556">
        <f t="shared" ca="1" si="91"/>
        <v>0</v>
      </c>
      <c r="BO41" s="557">
        <f t="shared" ca="1" si="15"/>
        <v>0</v>
      </c>
      <c r="BP41" s="556">
        <f t="shared" ca="1" si="92"/>
        <v>0</v>
      </c>
      <c r="BQ41" s="557">
        <f t="shared" ca="1" si="16"/>
        <v>0</v>
      </c>
      <c r="BR41" s="552">
        <f ca="1">IFERROR(__xludf.DUMMYFUNCTION("IMPORTRANGE(""https://docs.google.com/spreadsheets/d/1XL5vhW3sbDhbH9Cz0tuDiY8C3ctxq1tqvaCgkFb8cCA/edit?usp=sharing"",""มหาสารคาม!J414"")"),0)</f>
        <v>0</v>
      </c>
      <c r="BS41" s="552">
        <f ca="1">IFERROR(__xludf.DUMMYFUNCTION("IMPORTRANGE(""https://docs.google.com/spreadsheets/d/1XL5vhW3sbDhbH9Cz0tuDiY8C3ctxq1tqvaCgkFb8cCA/edit?usp=sharing"",""มหาสารคาม!J415"")"),0)</f>
        <v>0</v>
      </c>
      <c r="BT41" s="552">
        <f ca="1">IFERROR(__xludf.DUMMYFUNCTION("IMPORTRANGE(""https://docs.google.com/spreadsheets/d/1XL5vhW3sbDhbH9Cz0tuDiY8C3ctxq1tqvaCgkFb8cCA/edit?usp=sharing"",""มหาสารคาม!J416"")"),0)</f>
        <v>0</v>
      </c>
      <c r="BU41" s="552">
        <f ca="1">IFERROR(__xludf.DUMMYFUNCTION("IMPORTRANGE(""https://docs.google.com/spreadsheets/d/1XL5vhW3sbDhbH9Cz0tuDiY8C3ctxq1tqvaCgkFb8cCA/edit?usp=sharing"",""มหาสารคาม!J417"")"),0)</f>
        <v>0</v>
      </c>
      <c r="BV41" s="552">
        <f ca="1">IFERROR(__xludf.DUMMYFUNCTION("IMPORTRANGE(""https://docs.google.com/spreadsheets/d/1XL5vhW3sbDhbH9Cz0tuDiY8C3ctxq1tqvaCgkFb8cCA/edit?usp=sharing"",""มหาสารคาม!J418"")"),0)</f>
        <v>0</v>
      </c>
      <c r="BW41" s="552">
        <f ca="1">IFERROR(__xludf.DUMMYFUNCTION("IMPORTRANGE(""https://docs.google.com/spreadsheets/d/1XL5vhW3sbDhbH9Cz0tuDiY8C3ctxq1tqvaCgkFb8cCA/edit?usp=sharing"",""มหาสารคาม!J419"")"),0)</f>
        <v>0</v>
      </c>
      <c r="BX41" s="556">
        <f t="shared" ca="1" si="93"/>
        <v>0</v>
      </c>
      <c r="BY41" s="557">
        <f t="shared" ca="1" si="94"/>
        <v>0</v>
      </c>
      <c r="BZ41" s="556">
        <f t="shared" ca="1" si="95"/>
        <v>0</v>
      </c>
      <c r="CA41" s="557">
        <f t="shared" ca="1" si="96"/>
        <v>0</v>
      </c>
      <c r="CB41" s="552">
        <f ca="1">IFERROR(__xludf.DUMMYFUNCTION("IMPORTRANGE(""https://docs.google.com/spreadsheets/d/1XL5vhW3sbDhbH9Cz0tuDiY8C3ctxq1tqvaCgkFb8cCA/edit?usp=sharing"",""มหาสารคาม!J422"")"),0)</f>
        <v>0</v>
      </c>
      <c r="CC41" s="552">
        <f ca="1">IFERROR(__xludf.DUMMYFUNCTION("IMPORTRANGE(""https://docs.google.com/spreadsheets/d/1XL5vhW3sbDhbH9Cz0tuDiY8C3ctxq1tqvaCgkFb8cCA/edit?usp=sharing"",""มหาสารคาม!J423"")"),0)</f>
        <v>0</v>
      </c>
      <c r="CD41" s="552">
        <f ca="1">IFERROR(__xludf.DUMMYFUNCTION("IMPORTRANGE(""https://docs.google.com/spreadsheets/d/1XL5vhW3sbDhbH9Cz0tuDiY8C3ctxq1tqvaCgkFb8cCA/edit?usp=sharing"",""มหาสารคาม!J424"")"),0)</f>
        <v>0</v>
      </c>
      <c r="CE41" s="552">
        <f ca="1">IFERROR(__xludf.DUMMYFUNCTION("IMPORTRANGE(""https://docs.google.com/spreadsheets/d/1XL5vhW3sbDhbH9Cz0tuDiY8C3ctxq1tqvaCgkFb8cCA/edit?usp=sharing"",""มหาสารคาม!J425"")"),0)</f>
        <v>0</v>
      </c>
      <c r="CF41" s="552">
        <f ca="1">IFERROR(__xludf.DUMMYFUNCTION("IMPORTRANGE(""https://docs.google.com/spreadsheets/d/1XL5vhW3sbDhbH9Cz0tuDiY8C3ctxq1tqvaCgkFb8cCA/edit?usp=sharing"",""มหาสารคาม!J426"")"),0)</f>
        <v>0</v>
      </c>
      <c r="CG41" s="558">
        <f ca="1">IFERROR(__xludf.DUMMYFUNCTION("IMPORTRANGE(""https://docs.google.com/spreadsheets/d/1XL5vhW3sbDhbH9Cz0tuDiY8C3ctxq1tqvaCgkFb8cCA/edit?usp=sharing"",""มหาสารคาม!J427"")"),0)</f>
        <v>0</v>
      </c>
    </row>
    <row r="42" spans="1:85" ht="21" customHeight="1">
      <c r="A42" s="549">
        <v>9</v>
      </c>
      <c r="B42" s="550" t="s">
        <v>66</v>
      </c>
      <c r="C42" s="551">
        <f t="shared" ca="1" si="82"/>
        <v>447718</v>
      </c>
      <c r="D42" s="552">
        <f ca="1">IFERROR(__xludf.DUMMYFUNCTION("IMPORTRANGE(""https://docs.google.com/spreadsheets/d/1C3CXT74ZlgGe6_JY_1olB1XN4rF0dxEuIIF-xsYjHgg/edit?usp=sharing"",""งบกองทุน!BC46"")"),0)</f>
        <v>0</v>
      </c>
      <c r="E42" s="553">
        <f ca="1">IFERROR(__xludf.DUMMYFUNCTION("IMPORTRANGE(""https://docs.google.com/spreadsheets/d/1C3CXT74ZlgGe6_JY_1olB1XN4rF0dxEuIIF-xsYjHgg/edit?usp=sharing"",""งบกองทุน!BD46"")"),447718)</f>
        <v>447718</v>
      </c>
      <c r="F42" s="554">
        <f ca="1">IFERROR(__xludf.DUMMYFUNCTION("IMPORTRANGE(""https://docs.google.com/spreadsheets/d/1XL5vhW3sbDhbH9Cz0tuDiY8C3ctxq1tqvaCgkFb8cCA/edit?usp=sharing"",""มุกดาหาร!M352"")"),156369)</f>
        <v>156369</v>
      </c>
      <c r="G42" s="554">
        <f t="shared" ca="1" si="1"/>
        <v>34.925779173497602</v>
      </c>
      <c r="H42" s="555">
        <f ca="1">IFERROR(__xludf.DUMMYFUNCTION("IMPORTRANGE(""https://docs.google.com/spreadsheets/d/1C3CXT74ZlgGe6_JY_1olB1XN4rF0dxEuIIF-xsYjHgg/edit?usp=sharing"",""งบกองทุน!BE46"")"),38745)</f>
        <v>38745</v>
      </c>
      <c r="I42" s="555">
        <f ca="1">IFERROR(__xludf.DUMMYFUNCTION("IMPORTRANGE(""https://docs.google.com/spreadsheets/d/1C3CXT74ZlgGe6_JY_1olB1XN4rF0dxEuIIF-xsYjHgg/edit?usp=sharing"",""งบกองทุน!BF46"")"),4715)</f>
        <v>4715</v>
      </c>
      <c r="J42" s="552">
        <f t="shared" ca="1" si="83"/>
        <v>38745</v>
      </c>
      <c r="K42" s="554">
        <f t="shared" ca="1" si="3"/>
        <v>100</v>
      </c>
      <c r="L42" s="552">
        <f t="shared" ca="1" si="84"/>
        <v>4715</v>
      </c>
      <c r="M42" s="554">
        <f t="shared" ca="1" si="4"/>
        <v>100</v>
      </c>
      <c r="N42" s="552">
        <f ca="1">IFERROR(__xludf.DUMMYFUNCTION("IMPORTRANGE(""https://docs.google.com/spreadsheets/d/1XL5vhW3sbDhbH9Cz0tuDiY8C3ctxq1tqvaCgkFb8cCA/edit?usp=sharing"",""มุกดาหาร!J362"")"),31673)</f>
        <v>31673</v>
      </c>
      <c r="O42" s="552">
        <f ca="1">IFERROR(__xludf.DUMMYFUNCTION("IMPORTRANGE(""https://docs.google.com/spreadsheets/d/1XL5vhW3sbDhbH9Cz0tuDiY8C3ctxq1tqvaCgkFb8cCA/edit?usp=sharing"",""มุกดาหาร!J363"")"),4063)</f>
        <v>4063</v>
      </c>
      <c r="P42" s="552">
        <f ca="1">IFERROR(__xludf.DUMMYFUNCTION("IMPORTRANGE(""https://docs.google.com/spreadsheets/d/1XL5vhW3sbDhbH9Cz0tuDiY8C3ctxq1tqvaCgkFb8cCA/edit?usp=sharing"",""มุกดาหาร!J364"")"),6062)</f>
        <v>6062</v>
      </c>
      <c r="Q42" s="552">
        <f ca="1">IFERROR(__xludf.DUMMYFUNCTION("IMPORTRANGE(""https://docs.google.com/spreadsheets/d/1XL5vhW3sbDhbH9Cz0tuDiY8C3ctxq1tqvaCgkFb8cCA/edit?usp=sharing"",""มุกดาหาร!J365"")"),540)</f>
        <v>540</v>
      </c>
      <c r="R42" s="552">
        <f ca="1">IFERROR(__xludf.DUMMYFUNCTION("IMPORTRANGE(""https://docs.google.com/spreadsheets/d/1XL5vhW3sbDhbH9Cz0tuDiY8C3ctxq1tqvaCgkFb8cCA/edit?usp=sharing"",""มุกดาหาร!J366"")"),1010)</f>
        <v>1010</v>
      </c>
      <c r="S42" s="552">
        <f ca="1">IFERROR(__xludf.DUMMYFUNCTION("IMPORTRANGE(""https://docs.google.com/spreadsheets/d/1XL5vhW3sbDhbH9Cz0tuDiY8C3ctxq1tqvaCgkFb8cCA/edit?usp=sharing"",""มุกดาหาร!J367"")"),112)</f>
        <v>112</v>
      </c>
      <c r="T42" s="552">
        <f t="shared" ca="1" si="85"/>
        <v>38743.68</v>
      </c>
      <c r="U42" s="552">
        <f t="shared" ca="1" si="6"/>
        <v>99.996593108788232</v>
      </c>
      <c r="V42" s="552">
        <f t="shared" ca="1" si="86"/>
        <v>4715</v>
      </c>
      <c r="W42" s="552">
        <f t="shared" ca="1" si="7"/>
        <v>100</v>
      </c>
      <c r="X42" s="552">
        <f ca="1">IFERROR(__xludf.DUMMYFUNCTION("IMPORTRANGE(""https://docs.google.com/spreadsheets/d/1XL5vhW3sbDhbH9Cz0tuDiY8C3ctxq1tqvaCgkFb8cCA/edit?usp=sharing"",""มุกดาหาร!J370"")"),33987.35)</f>
        <v>33987.35</v>
      </c>
      <c r="Y42" s="552">
        <f ca="1">IFERROR(__xludf.DUMMYFUNCTION("IMPORTRANGE(""https://docs.google.com/spreadsheets/d/1XL5vhW3sbDhbH9Cz0tuDiY8C3ctxq1tqvaCgkFb8cCA/edit?usp=sharing"",""มุกดาหาร!J371"")"),4285)</f>
        <v>4285</v>
      </c>
      <c r="Z42" s="552">
        <f ca="1">IFERROR(__xludf.DUMMYFUNCTION("IMPORTRANGE(""https://docs.google.com/spreadsheets/d/1XL5vhW3sbDhbH9Cz0tuDiY8C3ctxq1tqvaCgkFb8cCA/edit?usp=sharing"",""มุกดาหาร!J372"")"),3728.33)</f>
        <v>3728.33</v>
      </c>
      <c r="AA42" s="552">
        <f ca="1">IFERROR(__xludf.DUMMYFUNCTION("IMPORTRANGE(""https://docs.google.com/spreadsheets/d/1XL5vhW3sbDhbH9Cz0tuDiY8C3ctxq1tqvaCgkFb8cCA/edit?usp=sharing"",""มุกดาหาร!J373"")"),316)</f>
        <v>316</v>
      </c>
      <c r="AB42" s="552">
        <f ca="1">IFERROR(__xludf.DUMMYFUNCTION("IMPORTRANGE(""https://docs.google.com/spreadsheets/d/1XL5vhW3sbDhbH9Cz0tuDiY8C3ctxq1tqvaCgkFb8cCA/edit?usp=sharing"",""มุกดาหาร!J374"")"),1028)</f>
        <v>1028</v>
      </c>
      <c r="AC42" s="552">
        <f ca="1">IFERROR(__xludf.DUMMYFUNCTION("IMPORTRANGE(""https://docs.google.com/spreadsheets/d/1XL5vhW3sbDhbH9Cz0tuDiY8C3ctxq1tqvaCgkFb8cCA/edit?usp=sharing"",""มุกดาหาร!J375"")"),114)</f>
        <v>114</v>
      </c>
      <c r="AD42" s="552">
        <f t="shared" ca="1" si="87"/>
        <v>0</v>
      </c>
      <c r="AE42" s="554">
        <f t="shared" ca="1" si="9"/>
        <v>0</v>
      </c>
      <c r="AF42" s="552">
        <f t="shared" ca="1" si="88"/>
        <v>0</v>
      </c>
      <c r="AG42" s="554">
        <f t="shared" ca="1" si="10"/>
        <v>0</v>
      </c>
      <c r="AH42" s="552">
        <f ca="1">IFERROR(__xludf.DUMMYFUNCTION("IMPORTRANGE(""https://docs.google.com/spreadsheets/d/1XL5vhW3sbDhbH9Cz0tuDiY8C3ctxq1tqvaCgkFb8cCA/edit?usp=sharing"",""มุกดาหาร!J378"")"),0)</f>
        <v>0</v>
      </c>
      <c r="AI42" s="552">
        <f ca="1">IFERROR(__xludf.DUMMYFUNCTION("IMPORTRANGE(""https://docs.google.com/spreadsheets/d/1XL5vhW3sbDhbH9Cz0tuDiY8C3ctxq1tqvaCgkFb8cCA/edit?usp=sharing"",""มุกดาหาร!J379"")"),0)</f>
        <v>0</v>
      </c>
      <c r="AJ42" s="552">
        <f ca="1">IFERROR(__xludf.DUMMYFUNCTION("IMPORTRANGE(""https://docs.google.com/spreadsheets/d/1XL5vhW3sbDhbH9Cz0tuDiY8C3ctxq1tqvaCgkFb8cCA/edit?usp=sharing"",""มุกดาหาร!J380"")"),0)</f>
        <v>0</v>
      </c>
      <c r="AK42" s="552">
        <f ca="1">IFERROR(__xludf.DUMMYFUNCTION("IMPORTRANGE(""https://docs.google.com/spreadsheets/d/1XL5vhW3sbDhbH9Cz0tuDiY8C3ctxq1tqvaCgkFb8cCA/edit?usp=sharing"",""มุกดาหาร!J381"")"),0)</f>
        <v>0</v>
      </c>
      <c r="AL42" s="552">
        <f ca="1">IFERROR(__xludf.DUMMYFUNCTION("IMPORTRANGE(""https://docs.google.com/spreadsheets/d/1XL5vhW3sbDhbH9Cz0tuDiY8C3ctxq1tqvaCgkFb8cCA/edit?usp=sharing"",""มุกดาหาร!J384"")"),0)</f>
        <v>0</v>
      </c>
      <c r="AM42" s="552">
        <f ca="1">IFERROR(__xludf.DUMMYFUNCTION("IMPORTRANGE(""https://docs.google.com/spreadsheets/d/1XL5vhW3sbDhbH9Cz0tuDiY8C3ctxq1tqvaCgkFb8cCA/edit?usp=sharing"",""มุกดาหาร!J385"")"),0)</f>
        <v>0</v>
      </c>
      <c r="AN42" s="552">
        <f ca="1">IFERROR(__xludf.DUMMYFUNCTION("IMPORTRANGE(""https://docs.google.com/spreadsheets/d/1XL5vhW3sbDhbH9Cz0tuDiY8C3ctxq1tqvaCgkFb8cCA/edit?usp=sharing"",""มุกดาหาร!J386"")"),0)</f>
        <v>0</v>
      </c>
      <c r="AO42" s="552">
        <f ca="1">IFERROR(__xludf.DUMMYFUNCTION("IMPORTRANGE(""https://docs.google.com/spreadsheets/d/1XL5vhW3sbDhbH9Cz0tuDiY8C3ctxq1tqvaCgkFb8cCA/edit?usp=sharing"",""มุกดาหาร!J387"")"),0)</f>
        <v>0</v>
      </c>
      <c r="AP42" s="552">
        <f ca="1">IFERROR(__xludf.DUMMYFUNCTION("IMPORTRANGE(""https://docs.google.com/spreadsheets/d/1XL5vhW3sbDhbH9Cz0tuDiY8C3ctxq1tqvaCgkFb8cCA/edit?usp=sharing"",""มุกดาหาร!J388"")"),0)</f>
        <v>0</v>
      </c>
      <c r="AQ42" s="552">
        <f ca="1">IFERROR(__xludf.DUMMYFUNCTION("IMPORTRANGE(""https://docs.google.com/spreadsheets/d/1XL5vhW3sbDhbH9Cz0tuDiY8C3ctxq1tqvaCgkFb8cCA/edit?usp=sharing"",""มุกดาหาร!J389"")"),0)</f>
        <v>0</v>
      </c>
      <c r="AR42" s="552">
        <f ca="1">IFERROR(__xludf.DUMMYFUNCTION("IMPORTRANGE(""https://docs.google.com/spreadsheets/d/1XL5vhW3sbDhbH9Cz0tuDiY8C3ctxq1tqvaCgkFb8cCA/edit?usp=sharing"",""มุกดาหาร!J390"")"),0)</f>
        <v>0</v>
      </c>
      <c r="AS42" s="552">
        <f ca="1">IFERROR(__xludf.DUMMYFUNCTION("IMPORTRANGE(""https://docs.google.com/spreadsheets/d/1XL5vhW3sbDhbH9Cz0tuDiY8C3ctxq1tqvaCgkFb8cCA/edit?usp=sharing"",""มุกดาหาร!J391"")"),0)</f>
        <v>0</v>
      </c>
      <c r="AT42" s="556">
        <f ca="1">IFERROR(__xludf.DUMMYFUNCTION("IMPORTRANGE(""https://docs.google.com/spreadsheets/d/1C3CXT74ZlgGe6_JY_1olB1XN4rF0dxEuIIF-xsYjHgg/edit?usp=sharing"",""งบกองทุน!CD46"")"),2279)</f>
        <v>2279</v>
      </c>
      <c r="AU42" s="556">
        <f ca="1">IFERROR(__xludf.DUMMYFUNCTION("IMPORTRANGE(""https://docs.google.com/spreadsheets/d/1C3CXT74ZlgGe6_JY_1olB1XN4rF0dxEuIIF-xsYjHgg/edit?usp=sharing"",""งบกองทุน!CC46"")"),188)</f>
        <v>188</v>
      </c>
      <c r="AV42" s="556">
        <f t="shared" ca="1" si="89"/>
        <v>391.58000000000004</v>
      </c>
      <c r="AW42" s="556">
        <f t="shared" ca="1" si="12"/>
        <v>17.182097411145243</v>
      </c>
      <c r="AX42" s="556">
        <f t="shared" ca="1" si="90"/>
        <v>34</v>
      </c>
      <c r="AY42" s="556">
        <f t="shared" ca="1" si="13"/>
        <v>18.085106382978722</v>
      </c>
      <c r="AZ42" s="552">
        <f ca="1">IFERROR(__xludf.DUMMYFUNCTION("IMPORTRANGE(""https://docs.google.com/spreadsheets/d/1XL5vhW3sbDhbH9Cz0tuDiY8C3ctxq1tqvaCgkFb8cCA/edit?usp=sharing"",""มุกดาหาร!J397"")"),182.08)</f>
        <v>182.08</v>
      </c>
      <c r="BA42" s="552">
        <f ca="1">IFERROR(__xludf.DUMMYFUNCTION("IMPORTRANGE(""https://docs.google.com/spreadsheets/d/1XL5vhW3sbDhbH9Cz0tuDiY8C3ctxq1tqvaCgkFb8cCA/edit?usp=sharing"",""มุกดาหาร!J398"")"),13)</f>
        <v>13</v>
      </c>
      <c r="BB42" s="552">
        <f ca="1">IFERROR(__xludf.DUMMYFUNCTION("IMPORTRANGE(""https://docs.google.com/spreadsheets/d/1XL5vhW3sbDhbH9Cz0tuDiY8C3ctxq1tqvaCgkFb8cCA/edit?usp=sharing"",""มุกดาหาร!J399"")"),143.75)</f>
        <v>143.75</v>
      </c>
      <c r="BC42" s="552">
        <f ca="1">IFERROR(__xludf.DUMMYFUNCTION("IMPORTRANGE(""https://docs.google.com/spreadsheets/d/1XL5vhW3sbDhbH9Cz0tuDiY8C3ctxq1tqvaCgkFb8cCA/edit?usp=sharing"",""มุกดาหาร!J400"")"),19)</f>
        <v>19</v>
      </c>
      <c r="BD42" s="552">
        <f ca="1">IFERROR(__xludf.DUMMYFUNCTION("IMPORTRANGE(""https://docs.google.com/spreadsheets/d/1XL5vhW3sbDhbH9Cz0tuDiY8C3ctxq1tqvaCgkFb8cCA/edit?usp=sharing"",""มุกดาหาร!J401"")"),0)</f>
        <v>0</v>
      </c>
      <c r="BE42" s="552">
        <f ca="1">IFERROR(__xludf.DUMMYFUNCTION("IMPORTRANGE(""https://docs.google.com/spreadsheets/d/1XL5vhW3sbDhbH9Cz0tuDiY8C3ctxq1tqvaCgkFb8cCA/edit?usp=sharing"",""มุกดาหาร!J402"")"),0)</f>
        <v>0</v>
      </c>
      <c r="BF42" s="552">
        <f ca="1">IFERROR(__xludf.DUMMYFUNCTION("IMPORTRANGE(""https://docs.google.com/spreadsheets/d/1XL5vhW3sbDhbH9Cz0tuDiY8C3ctxq1tqvaCgkFb8cCA/edit?usp=sharing"",""มุกดาหาร!J405"")"),65.75)</f>
        <v>65.75</v>
      </c>
      <c r="BG42" s="552">
        <f ca="1">IFERROR(__xludf.DUMMYFUNCTION("IMPORTRANGE(""https://docs.google.com/spreadsheets/d/1XL5vhW3sbDhbH9Cz0tuDiY8C3ctxq1tqvaCgkFb8cCA/edit?usp=sharing"",""มุกดาหาร!J406"")"),2)</f>
        <v>2</v>
      </c>
      <c r="BH42" s="552">
        <f ca="1">IFERROR(__xludf.DUMMYFUNCTION("IMPORTRANGE(""https://docs.google.com/spreadsheets/d/1XL5vhW3sbDhbH9Cz0tuDiY8C3ctxq1tqvaCgkFb8cCA/edit?usp=sharing"",""มุกดาหาร!J407"")"),0)</f>
        <v>0</v>
      </c>
      <c r="BI42" s="552">
        <f ca="1">IFERROR(__xludf.DUMMYFUNCTION("IMPORTRANGE(""https://docs.google.com/spreadsheets/d/1XL5vhW3sbDhbH9Cz0tuDiY8C3ctxq1tqvaCgkFb8cCA/edit?usp=sharing"",""มุกดาหาร!J408"")"),0)</f>
        <v>0</v>
      </c>
      <c r="BJ42" s="552">
        <f ca="1">IFERROR(__xludf.DUMMYFUNCTION("IMPORTRANGE(""https://docs.google.com/spreadsheets/d/1XL5vhW3sbDhbH9Cz0tuDiY8C3ctxq1tqvaCgkFb8cCA/edit?usp=sharing"",""มุกดาหาร!J409"")"),0)</f>
        <v>0</v>
      </c>
      <c r="BK42" s="552">
        <f ca="1">IFERROR(__xludf.DUMMYFUNCTION("IMPORTRANGE(""https://docs.google.com/spreadsheets/d/1XL5vhW3sbDhbH9Cz0tuDiY8C3ctxq1tqvaCgkFb8cCA/edit?usp=sharing"",""มุกดาหาร!J410"")"),0)</f>
        <v>0</v>
      </c>
      <c r="BL42" s="556">
        <f ca="1">IFERROR(__xludf.DUMMYFUNCTION("IMPORTRANGE(""https://docs.google.com/spreadsheets/d/1C3CXT74ZlgGe6_JY_1olB1XN4rF0dxEuIIF-xsYjHgg/edit?usp=sharing"",""งบกองทุน!CZ46"")"),0)</f>
        <v>0</v>
      </c>
      <c r="BM42" s="556">
        <f ca="1">IFERROR(__xludf.DUMMYFUNCTION("IMPORTRANGE(""https://docs.google.com/spreadsheets/d/1C3CXT74ZlgGe6_JY_1olB1XN4rF0dxEuIIF-xsYjHgg/edit?usp=sharing"",""งบกองทุน!CY46"")"),0)</f>
        <v>0</v>
      </c>
      <c r="BN42" s="556">
        <f t="shared" ca="1" si="91"/>
        <v>0</v>
      </c>
      <c r="BO42" s="557">
        <f t="shared" ca="1" si="15"/>
        <v>0</v>
      </c>
      <c r="BP42" s="556">
        <f t="shared" ca="1" si="92"/>
        <v>0</v>
      </c>
      <c r="BQ42" s="557">
        <f t="shared" ca="1" si="16"/>
        <v>0</v>
      </c>
      <c r="BR42" s="552">
        <f ca="1">IFERROR(__xludf.DUMMYFUNCTION("IMPORTRANGE(""https://docs.google.com/spreadsheets/d/1XL5vhW3sbDhbH9Cz0tuDiY8C3ctxq1tqvaCgkFb8cCA/edit?usp=sharing"",""มุกดาหาร!J414"")"),0)</f>
        <v>0</v>
      </c>
      <c r="BS42" s="552">
        <f ca="1">IFERROR(__xludf.DUMMYFUNCTION("IMPORTRANGE(""https://docs.google.com/spreadsheets/d/1XL5vhW3sbDhbH9Cz0tuDiY8C3ctxq1tqvaCgkFb8cCA/edit?usp=sharing"",""มุกดาหาร!J415"")"),0)</f>
        <v>0</v>
      </c>
      <c r="BT42" s="552">
        <f ca="1">IFERROR(__xludf.DUMMYFUNCTION("IMPORTRANGE(""https://docs.google.com/spreadsheets/d/1XL5vhW3sbDhbH9Cz0tuDiY8C3ctxq1tqvaCgkFb8cCA/edit?usp=sharing"",""มุกดาหาร!J416"")"),0)</f>
        <v>0</v>
      </c>
      <c r="BU42" s="552">
        <f ca="1">IFERROR(__xludf.DUMMYFUNCTION("IMPORTRANGE(""https://docs.google.com/spreadsheets/d/1XL5vhW3sbDhbH9Cz0tuDiY8C3ctxq1tqvaCgkFb8cCA/edit?usp=sharing"",""มุกดาหาร!J417"")"),0)</f>
        <v>0</v>
      </c>
      <c r="BV42" s="552">
        <f ca="1">IFERROR(__xludf.DUMMYFUNCTION("IMPORTRANGE(""https://docs.google.com/spreadsheets/d/1XL5vhW3sbDhbH9Cz0tuDiY8C3ctxq1tqvaCgkFb8cCA/edit?usp=sharing"",""มุกดาหาร!J418"")"),0)</f>
        <v>0</v>
      </c>
      <c r="BW42" s="552">
        <f ca="1">IFERROR(__xludf.DUMMYFUNCTION("IMPORTRANGE(""https://docs.google.com/spreadsheets/d/1XL5vhW3sbDhbH9Cz0tuDiY8C3ctxq1tqvaCgkFb8cCA/edit?usp=sharing"",""มุกดาหาร!J419"")"),0)</f>
        <v>0</v>
      </c>
      <c r="BX42" s="556">
        <f t="shared" ca="1" si="93"/>
        <v>0</v>
      </c>
      <c r="BY42" s="557">
        <f t="shared" ca="1" si="94"/>
        <v>0</v>
      </c>
      <c r="BZ42" s="556">
        <f t="shared" ca="1" si="95"/>
        <v>0</v>
      </c>
      <c r="CA42" s="557">
        <f t="shared" ca="1" si="96"/>
        <v>0</v>
      </c>
      <c r="CB42" s="552">
        <f ca="1">IFERROR(__xludf.DUMMYFUNCTION("IMPORTRANGE(""https://docs.google.com/spreadsheets/d/1XL5vhW3sbDhbH9Cz0tuDiY8C3ctxq1tqvaCgkFb8cCA/edit?usp=sharing"",""มุกดาหาร!J422"")"),0)</f>
        <v>0</v>
      </c>
      <c r="CC42" s="552">
        <f ca="1">IFERROR(__xludf.DUMMYFUNCTION("IMPORTRANGE(""https://docs.google.com/spreadsheets/d/1XL5vhW3sbDhbH9Cz0tuDiY8C3ctxq1tqvaCgkFb8cCA/edit?usp=sharing"",""มุกดาหาร!J423"")"),0)</f>
        <v>0</v>
      </c>
      <c r="CD42" s="552">
        <f ca="1">IFERROR(__xludf.DUMMYFUNCTION("IMPORTRANGE(""https://docs.google.com/spreadsheets/d/1XL5vhW3sbDhbH9Cz0tuDiY8C3ctxq1tqvaCgkFb8cCA/edit?usp=sharing"",""มุกดาหาร!J424"")"),0)</f>
        <v>0</v>
      </c>
      <c r="CE42" s="552">
        <f ca="1">IFERROR(__xludf.DUMMYFUNCTION("IMPORTRANGE(""https://docs.google.com/spreadsheets/d/1XL5vhW3sbDhbH9Cz0tuDiY8C3ctxq1tqvaCgkFb8cCA/edit?usp=sharing"",""มุกดาหาร!J425"")"),0)</f>
        <v>0</v>
      </c>
      <c r="CF42" s="552">
        <f ca="1">IFERROR(__xludf.DUMMYFUNCTION("IMPORTRANGE(""https://docs.google.com/spreadsheets/d/1XL5vhW3sbDhbH9Cz0tuDiY8C3ctxq1tqvaCgkFb8cCA/edit?usp=sharing"",""มุกดาหาร!J426"")"),0)</f>
        <v>0</v>
      </c>
      <c r="CG42" s="558">
        <f ca="1">IFERROR(__xludf.DUMMYFUNCTION("IMPORTRANGE(""https://docs.google.com/spreadsheets/d/1XL5vhW3sbDhbH9Cz0tuDiY8C3ctxq1tqvaCgkFb8cCA/edit?usp=sharing"",""มุกดาหาร!J427"")"),0)</f>
        <v>0</v>
      </c>
    </row>
    <row r="43" spans="1:85" ht="21" customHeight="1">
      <c r="A43" s="549">
        <v>10</v>
      </c>
      <c r="B43" s="550" t="s">
        <v>67</v>
      </c>
      <c r="C43" s="551">
        <f t="shared" ca="1" si="82"/>
        <v>452063</v>
      </c>
      <c r="D43" s="552">
        <f ca="1">IFERROR(__xludf.DUMMYFUNCTION("IMPORTRANGE(""https://docs.google.com/spreadsheets/d/1C3CXT74ZlgGe6_JY_1olB1XN4rF0dxEuIIF-xsYjHgg/edit?usp=sharing"",""งบกองทุน!BC47"")"),0)</f>
        <v>0</v>
      </c>
      <c r="E43" s="553">
        <f ca="1">IFERROR(__xludf.DUMMYFUNCTION("IMPORTRANGE(""https://docs.google.com/spreadsheets/d/1C3CXT74ZlgGe6_JY_1olB1XN4rF0dxEuIIF-xsYjHgg/edit?usp=sharing"",""งบกองทุน!BD47"")"),452063)</f>
        <v>452063</v>
      </c>
      <c r="F43" s="554">
        <f ca="1">IFERROR(__xludf.DUMMYFUNCTION("IMPORTRANGE(""https://docs.google.com/spreadsheets/d/1XL5vhW3sbDhbH9Cz0tuDiY8C3ctxq1tqvaCgkFb8cCA/edit?usp=sharing"",""ยโสธร!M352"")"),89443)</f>
        <v>89443</v>
      </c>
      <c r="G43" s="554">
        <f t="shared" ca="1" si="1"/>
        <v>19.785516620471039</v>
      </c>
      <c r="H43" s="555">
        <f ca="1">IFERROR(__xludf.DUMMYFUNCTION("IMPORTRANGE(""https://docs.google.com/spreadsheets/d/1C3CXT74ZlgGe6_JY_1olB1XN4rF0dxEuIIF-xsYjHgg/edit?usp=sharing"",""งบกองทุน!BE47"")"),46348)</f>
        <v>46348</v>
      </c>
      <c r="I43" s="555">
        <f ca="1">IFERROR(__xludf.DUMMYFUNCTION("IMPORTRANGE(""https://docs.google.com/spreadsheets/d/1C3CXT74ZlgGe6_JY_1olB1XN4rF0dxEuIIF-xsYjHgg/edit?usp=sharing"",""งบกองทุน!BF47"")"),4858)</f>
        <v>4858</v>
      </c>
      <c r="J43" s="552">
        <f t="shared" ca="1" si="83"/>
        <v>46327</v>
      </c>
      <c r="K43" s="554">
        <f t="shared" ca="1" si="3"/>
        <v>99.9546906015362</v>
      </c>
      <c r="L43" s="552">
        <f t="shared" ca="1" si="84"/>
        <v>4858</v>
      </c>
      <c r="M43" s="554">
        <f t="shared" ca="1" si="4"/>
        <v>100</v>
      </c>
      <c r="N43" s="552">
        <f ca="1">IFERROR(__xludf.DUMMYFUNCTION("IMPORTRANGE(""https://docs.google.com/spreadsheets/d/1XL5vhW3sbDhbH9Cz0tuDiY8C3ctxq1tqvaCgkFb8cCA/edit?usp=sharing"",""ยโสธร!J362"")"),34786)</f>
        <v>34786</v>
      </c>
      <c r="O43" s="552">
        <f ca="1">IFERROR(__xludf.DUMMYFUNCTION("IMPORTRANGE(""https://docs.google.com/spreadsheets/d/1XL5vhW3sbDhbH9Cz0tuDiY8C3ctxq1tqvaCgkFb8cCA/edit?usp=sharing"",""ยโสธร!J363"")"),3976)</f>
        <v>3976</v>
      </c>
      <c r="P43" s="552">
        <f ca="1">IFERROR(__xludf.DUMMYFUNCTION("IMPORTRANGE(""https://docs.google.com/spreadsheets/d/1XL5vhW3sbDhbH9Cz0tuDiY8C3ctxq1tqvaCgkFb8cCA/edit?usp=sharing"",""ยโสธร!J364"")"),10837)</f>
        <v>10837</v>
      </c>
      <c r="Q43" s="552">
        <f ca="1">IFERROR(__xludf.DUMMYFUNCTION("IMPORTRANGE(""https://docs.google.com/spreadsheets/d/1XL5vhW3sbDhbH9Cz0tuDiY8C3ctxq1tqvaCgkFb8cCA/edit?usp=sharing"",""ยโสธร!J365"")"),820)</f>
        <v>820</v>
      </c>
      <c r="R43" s="552">
        <f ca="1">IFERROR(__xludf.DUMMYFUNCTION("IMPORTRANGE(""https://docs.google.com/spreadsheets/d/1XL5vhW3sbDhbH9Cz0tuDiY8C3ctxq1tqvaCgkFb8cCA/edit?usp=sharing"",""ยโสธร!J366"")"),704)</f>
        <v>704</v>
      </c>
      <c r="S43" s="552">
        <f ca="1">IFERROR(__xludf.DUMMYFUNCTION("IMPORTRANGE(""https://docs.google.com/spreadsheets/d/1XL5vhW3sbDhbH9Cz0tuDiY8C3ctxq1tqvaCgkFb8cCA/edit?usp=sharing"",""ยโสธร!J367"")"),62)</f>
        <v>62</v>
      </c>
      <c r="T43" s="552">
        <f t="shared" ca="1" si="85"/>
        <v>46327</v>
      </c>
      <c r="U43" s="552">
        <f t="shared" ca="1" si="6"/>
        <v>99.9546906015362</v>
      </c>
      <c r="V43" s="552">
        <f t="shared" ca="1" si="86"/>
        <v>4858</v>
      </c>
      <c r="W43" s="552">
        <f t="shared" ca="1" si="7"/>
        <v>100</v>
      </c>
      <c r="X43" s="552">
        <f ca="1">IFERROR(__xludf.DUMMYFUNCTION("IMPORTRANGE(""https://docs.google.com/spreadsheets/d/1XL5vhW3sbDhbH9Cz0tuDiY8C3ctxq1tqvaCgkFb8cCA/edit?usp=sharing"",""ยโสธร!J370"")"),44435)</f>
        <v>44435</v>
      </c>
      <c r="Y43" s="552">
        <f ca="1">IFERROR(__xludf.DUMMYFUNCTION("IMPORTRANGE(""https://docs.google.com/spreadsheets/d/1XL5vhW3sbDhbH9Cz0tuDiY8C3ctxq1tqvaCgkFb8cCA/edit?usp=sharing"",""ยโสธร!J371"")"),4709)</f>
        <v>4709</v>
      </c>
      <c r="Z43" s="552">
        <f ca="1">IFERROR(__xludf.DUMMYFUNCTION("IMPORTRANGE(""https://docs.google.com/spreadsheets/d/1XL5vhW3sbDhbH9Cz0tuDiY8C3ctxq1tqvaCgkFb8cCA/edit?usp=sharing"",""ยโสธร!J372"")"),1183)</f>
        <v>1183</v>
      </c>
      <c r="AA43" s="552">
        <f ca="1">IFERROR(__xludf.DUMMYFUNCTION("IMPORTRANGE(""https://docs.google.com/spreadsheets/d/1XL5vhW3sbDhbH9Cz0tuDiY8C3ctxq1tqvaCgkFb8cCA/edit?usp=sharing"",""ยโสธร!J373"")"),86)</f>
        <v>86</v>
      </c>
      <c r="AB43" s="552">
        <f ca="1">IFERROR(__xludf.DUMMYFUNCTION("IMPORTRANGE(""https://docs.google.com/spreadsheets/d/1XL5vhW3sbDhbH9Cz0tuDiY8C3ctxq1tqvaCgkFb8cCA/edit?usp=sharing"",""ยโสธร!J374"")"),709)</f>
        <v>709</v>
      </c>
      <c r="AC43" s="552">
        <f ca="1">IFERROR(__xludf.DUMMYFUNCTION("IMPORTRANGE(""https://docs.google.com/spreadsheets/d/1XL5vhW3sbDhbH9Cz0tuDiY8C3ctxq1tqvaCgkFb8cCA/edit?usp=sharing"",""ยโสธร!J375"")"),63)</f>
        <v>63</v>
      </c>
      <c r="AD43" s="552">
        <f t="shared" ca="1" si="87"/>
        <v>0</v>
      </c>
      <c r="AE43" s="554">
        <f t="shared" ca="1" si="9"/>
        <v>0</v>
      </c>
      <c r="AF43" s="552">
        <f t="shared" ca="1" si="88"/>
        <v>0</v>
      </c>
      <c r="AG43" s="554">
        <f t="shared" ca="1" si="10"/>
        <v>0</v>
      </c>
      <c r="AH43" s="552">
        <f ca="1">IFERROR(__xludf.DUMMYFUNCTION("IMPORTRANGE(""https://docs.google.com/spreadsheets/d/1XL5vhW3sbDhbH9Cz0tuDiY8C3ctxq1tqvaCgkFb8cCA/edit?usp=sharing"",""ยโสธร!J378"")"),0)</f>
        <v>0</v>
      </c>
      <c r="AI43" s="552">
        <f ca="1">IFERROR(__xludf.DUMMYFUNCTION("IMPORTRANGE(""https://docs.google.com/spreadsheets/d/1XL5vhW3sbDhbH9Cz0tuDiY8C3ctxq1tqvaCgkFb8cCA/edit?usp=sharing"",""ยโสธร!J379"")"),0)</f>
        <v>0</v>
      </c>
      <c r="AJ43" s="552">
        <f ca="1">IFERROR(__xludf.DUMMYFUNCTION("IMPORTRANGE(""https://docs.google.com/spreadsheets/d/1XL5vhW3sbDhbH9Cz0tuDiY8C3ctxq1tqvaCgkFb8cCA/edit?usp=sharing"",""ยโสธร!J380"")"),0)</f>
        <v>0</v>
      </c>
      <c r="AK43" s="552">
        <f ca="1">IFERROR(__xludf.DUMMYFUNCTION("IMPORTRANGE(""https://docs.google.com/spreadsheets/d/1XL5vhW3sbDhbH9Cz0tuDiY8C3ctxq1tqvaCgkFb8cCA/edit?usp=sharing"",""ยโสธร!J381"")"),0)</f>
        <v>0</v>
      </c>
      <c r="AL43" s="552">
        <f ca="1">IFERROR(__xludf.DUMMYFUNCTION("IMPORTRANGE(""https://docs.google.com/spreadsheets/d/1XL5vhW3sbDhbH9Cz0tuDiY8C3ctxq1tqvaCgkFb8cCA/edit?usp=sharing"",""ยโสธร!J384"")"),0)</f>
        <v>0</v>
      </c>
      <c r="AM43" s="552">
        <f ca="1">IFERROR(__xludf.DUMMYFUNCTION("IMPORTRANGE(""https://docs.google.com/spreadsheets/d/1XL5vhW3sbDhbH9Cz0tuDiY8C3ctxq1tqvaCgkFb8cCA/edit?usp=sharing"",""ยโสธร!J385"")"),0)</f>
        <v>0</v>
      </c>
      <c r="AN43" s="552">
        <f ca="1">IFERROR(__xludf.DUMMYFUNCTION("IMPORTRANGE(""https://docs.google.com/spreadsheets/d/1XL5vhW3sbDhbH9Cz0tuDiY8C3ctxq1tqvaCgkFb8cCA/edit?usp=sharing"",""ยโสธร!J386"")"),0)</f>
        <v>0</v>
      </c>
      <c r="AO43" s="552">
        <f ca="1">IFERROR(__xludf.DUMMYFUNCTION("IMPORTRANGE(""https://docs.google.com/spreadsheets/d/1XL5vhW3sbDhbH9Cz0tuDiY8C3ctxq1tqvaCgkFb8cCA/edit?usp=sharing"",""ยโสธร!J387"")"),0)</f>
        <v>0</v>
      </c>
      <c r="AP43" s="552">
        <f ca="1">IFERROR(__xludf.DUMMYFUNCTION("IMPORTRANGE(""https://docs.google.com/spreadsheets/d/1XL5vhW3sbDhbH9Cz0tuDiY8C3ctxq1tqvaCgkFb8cCA/edit?usp=sharing"",""ยโสธร!J388"")"),0)</f>
        <v>0</v>
      </c>
      <c r="AQ43" s="552">
        <f ca="1">IFERROR(__xludf.DUMMYFUNCTION("IMPORTRANGE(""https://docs.google.com/spreadsheets/d/1XL5vhW3sbDhbH9Cz0tuDiY8C3ctxq1tqvaCgkFb8cCA/edit?usp=sharing"",""ยโสธร!J389"")"),0)</f>
        <v>0</v>
      </c>
      <c r="AR43" s="552">
        <f ca="1">IFERROR(__xludf.DUMMYFUNCTION("IMPORTRANGE(""https://docs.google.com/spreadsheets/d/1XL5vhW3sbDhbH9Cz0tuDiY8C3ctxq1tqvaCgkFb8cCA/edit?usp=sharing"",""ยโสธร!J390"")"),0)</f>
        <v>0</v>
      </c>
      <c r="AS43" s="552">
        <f ca="1">IFERROR(__xludf.DUMMYFUNCTION("IMPORTRANGE(""https://docs.google.com/spreadsheets/d/1XL5vhW3sbDhbH9Cz0tuDiY8C3ctxq1tqvaCgkFb8cCA/edit?usp=sharing"",""ยโสธร!J391"")"),0)</f>
        <v>0</v>
      </c>
      <c r="AT43" s="556">
        <f ca="1">IFERROR(__xludf.DUMMYFUNCTION("IMPORTRANGE(""https://docs.google.com/spreadsheets/d/1C3CXT74ZlgGe6_JY_1olB1XN4rF0dxEuIIF-xsYjHgg/edit?usp=sharing"",""งบกองทุน!CD47"")"),1563)</f>
        <v>1563</v>
      </c>
      <c r="AU43" s="556">
        <f ca="1">IFERROR(__xludf.DUMMYFUNCTION("IMPORTRANGE(""https://docs.google.com/spreadsheets/d/1C3CXT74ZlgGe6_JY_1olB1XN4rF0dxEuIIF-xsYjHgg/edit?usp=sharing"",""งบกองทุน!CC47"")"),128)</f>
        <v>128</v>
      </c>
      <c r="AV43" s="556">
        <f t="shared" ca="1" si="89"/>
        <v>0</v>
      </c>
      <c r="AW43" s="556">
        <f t="shared" ca="1" si="12"/>
        <v>0</v>
      </c>
      <c r="AX43" s="556">
        <f t="shared" ca="1" si="90"/>
        <v>0</v>
      </c>
      <c r="AY43" s="556">
        <f t="shared" ca="1" si="13"/>
        <v>0</v>
      </c>
      <c r="AZ43" s="552">
        <f ca="1">IFERROR(__xludf.DUMMYFUNCTION("IMPORTRANGE(""https://docs.google.com/spreadsheets/d/1XL5vhW3sbDhbH9Cz0tuDiY8C3ctxq1tqvaCgkFb8cCA/edit?usp=sharing"",""ยโสธร!J397"")"),0)</f>
        <v>0</v>
      </c>
      <c r="BA43" s="552">
        <f ca="1">IFERROR(__xludf.DUMMYFUNCTION("IMPORTRANGE(""https://docs.google.com/spreadsheets/d/1XL5vhW3sbDhbH9Cz0tuDiY8C3ctxq1tqvaCgkFb8cCA/edit?usp=sharing"",""ยโสธร!J398"")"),0)</f>
        <v>0</v>
      </c>
      <c r="BB43" s="552">
        <f ca="1">IFERROR(__xludf.DUMMYFUNCTION("IMPORTRANGE(""https://docs.google.com/spreadsheets/d/1XL5vhW3sbDhbH9Cz0tuDiY8C3ctxq1tqvaCgkFb8cCA/edit?usp=sharing"",""ยโสธร!J399"")"),0)</f>
        <v>0</v>
      </c>
      <c r="BC43" s="552">
        <f ca="1">IFERROR(__xludf.DUMMYFUNCTION("IMPORTRANGE(""https://docs.google.com/spreadsheets/d/1XL5vhW3sbDhbH9Cz0tuDiY8C3ctxq1tqvaCgkFb8cCA/edit?usp=sharing"",""ยโสธร!J400"")"),0)</f>
        <v>0</v>
      </c>
      <c r="BD43" s="552">
        <f ca="1">IFERROR(__xludf.DUMMYFUNCTION("IMPORTRANGE(""https://docs.google.com/spreadsheets/d/1XL5vhW3sbDhbH9Cz0tuDiY8C3ctxq1tqvaCgkFb8cCA/edit?usp=sharing"",""ยโสธร!J401"")"),0)</f>
        <v>0</v>
      </c>
      <c r="BE43" s="552">
        <f ca="1">IFERROR(__xludf.DUMMYFUNCTION("IMPORTRANGE(""https://docs.google.com/spreadsheets/d/1XL5vhW3sbDhbH9Cz0tuDiY8C3ctxq1tqvaCgkFb8cCA/edit?usp=sharing"",""ยโสธร!J402"")"),0)</f>
        <v>0</v>
      </c>
      <c r="BF43" s="552">
        <f ca="1">IFERROR(__xludf.DUMMYFUNCTION("IMPORTRANGE(""https://docs.google.com/spreadsheets/d/1XL5vhW3sbDhbH9Cz0tuDiY8C3ctxq1tqvaCgkFb8cCA/edit?usp=sharing"",""ยโสธร!J405"")"),0)</f>
        <v>0</v>
      </c>
      <c r="BG43" s="552">
        <f ca="1">IFERROR(__xludf.DUMMYFUNCTION("IMPORTRANGE(""https://docs.google.com/spreadsheets/d/1XL5vhW3sbDhbH9Cz0tuDiY8C3ctxq1tqvaCgkFb8cCA/edit?usp=sharing"",""ยโสธร!J406"")"),0)</f>
        <v>0</v>
      </c>
      <c r="BH43" s="552">
        <f ca="1">IFERROR(__xludf.DUMMYFUNCTION("IMPORTRANGE(""https://docs.google.com/spreadsheets/d/1XL5vhW3sbDhbH9Cz0tuDiY8C3ctxq1tqvaCgkFb8cCA/edit?usp=sharing"",""ยโสธร!J407"")"),0)</f>
        <v>0</v>
      </c>
      <c r="BI43" s="552">
        <f ca="1">IFERROR(__xludf.DUMMYFUNCTION("IMPORTRANGE(""https://docs.google.com/spreadsheets/d/1XL5vhW3sbDhbH9Cz0tuDiY8C3ctxq1tqvaCgkFb8cCA/edit?usp=sharing"",""ยโสธร!J408"")"),0)</f>
        <v>0</v>
      </c>
      <c r="BJ43" s="552">
        <f ca="1">IFERROR(__xludf.DUMMYFUNCTION("IMPORTRANGE(""https://docs.google.com/spreadsheets/d/1XL5vhW3sbDhbH9Cz0tuDiY8C3ctxq1tqvaCgkFb8cCA/edit?usp=sharing"",""ยโสธร!J409"")"),0)</f>
        <v>0</v>
      </c>
      <c r="BK43" s="552">
        <f ca="1">IFERROR(__xludf.DUMMYFUNCTION("IMPORTRANGE(""https://docs.google.com/spreadsheets/d/1XL5vhW3sbDhbH9Cz0tuDiY8C3ctxq1tqvaCgkFb8cCA/edit?usp=sharing"",""ยโสธร!J410"")"),0)</f>
        <v>0</v>
      </c>
      <c r="BL43" s="556">
        <f ca="1">IFERROR(__xludf.DUMMYFUNCTION("IMPORTRANGE(""https://docs.google.com/spreadsheets/d/1C3CXT74ZlgGe6_JY_1olB1XN4rF0dxEuIIF-xsYjHgg/edit?usp=sharing"",""งบกองทุน!CZ47"")"),0)</f>
        <v>0</v>
      </c>
      <c r="BM43" s="556">
        <f ca="1">IFERROR(__xludf.DUMMYFUNCTION("IMPORTRANGE(""https://docs.google.com/spreadsheets/d/1C3CXT74ZlgGe6_JY_1olB1XN4rF0dxEuIIF-xsYjHgg/edit?usp=sharing"",""งบกองทุน!CY47"")"),0)</f>
        <v>0</v>
      </c>
      <c r="BN43" s="556">
        <f t="shared" ca="1" si="91"/>
        <v>0</v>
      </c>
      <c r="BO43" s="557">
        <f t="shared" ca="1" si="15"/>
        <v>0</v>
      </c>
      <c r="BP43" s="556">
        <f t="shared" ca="1" si="92"/>
        <v>0</v>
      </c>
      <c r="BQ43" s="557">
        <f t="shared" ca="1" si="16"/>
        <v>0</v>
      </c>
      <c r="BR43" s="552">
        <f ca="1">IFERROR(__xludf.DUMMYFUNCTION("IMPORTRANGE(""https://docs.google.com/spreadsheets/d/1XL5vhW3sbDhbH9Cz0tuDiY8C3ctxq1tqvaCgkFb8cCA/edit?usp=sharing"",""ยโสธร!J414"")"),0)</f>
        <v>0</v>
      </c>
      <c r="BS43" s="552">
        <f ca="1">IFERROR(__xludf.DUMMYFUNCTION("IMPORTRANGE(""https://docs.google.com/spreadsheets/d/1XL5vhW3sbDhbH9Cz0tuDiY8C3ctxq1tqvaCgkFb8cCA/edit?usp=sharing"",""ยโสธร!J415"")"),0)</f>
        <v>0</v>
      </c>
      <c r="BT43" s="552">
        <f ca="1">IFERROR(__xludf.DUMMYFUNCTION("IMPORTRANGE(""https://docs.google.com/spreadsheets/d/1XL5vhW3sbDhbH9Cz0tuDiY8C3ctxq1tqvaCgkFb8cCA/edit?usp=sharing"",""ยโสธร!J416"")"),0)</f>
        <v>0</v>
      </c>
      <c r="BU43" s="552">
        <f ca="1">IFERROR(__xludf.DUMMYFUNCTION("IMPORTRANGE(""https://docs.google.com/spreadsheets/d/1XL5vhW3sbDhbH9Cz0tuDiY8C3ctxq1tqvaCgkFb8cCA/edit?usp=sharing"",""ยโสธร!J417"")"),0)</f>
        <v>0</v>
      </c>
      <c r="BV43" s="552">
        <f ca="1">IFERROR(__xludf.DUMMYFUNCTION("IMPORTRANGE(""https://docs.google.com/spreadsheets/d/1XL5vhW3sbDhbH9Cz0tuDiY8C3ctxq1tqvaCgkFb8cCA/edit?usp=sharing"",""ยโสธร!J418"")"),0)</f>
        <v>0</v>
      </c>
      <c r="BW43" s="552">
        <f ca="1">IFERROR(__xludf.DUMMYFUNCTION("IMPORTRANGE(""https://docs.google.com/spreadsheets/d/1XL5vhW3sbDhbH9Cz0tuDiY8C3ctxq1tqvaCgkFb8cCA/edit?usp=sharing"",""ยโสธร!J419"")"),0)</f>
        <v>0</v>
      </c>
      <c r="BX43" s="556">
        <f t="shared" ca="1" si="93"/>
        <v>0</v>
      </c>
      <c r="BY43" s="557">
        <f t="shared" ca="1" si="94"/>
        <v>0</v>
      </c>
      <c r="BZ43" s="556">
        <f t="shared" ca="1" si="95"/>
        <v>0</v>
      </c>
      <c r="CA43" s="557">
        <f t="shared" ca="1" si="96"/>
        <v>0</v>
      </c>
      <c r="CB43" s="552">
        <f ca="1">IFERROR(__xludf.DUMMYFUNCTION("IMPORTRANGE(""https://docs.google.com/spreadsheets/d/1XL5vhW3sbDhbH9Cz0tuDiY8C3ctxq1tqvaCgkFb8cCA/edit?usp=sharing"",""ยโสธร!J422"")"),0)</f>
        <v>0</v>
      </c>
      <c r="CC43" s="552">
        <f ca="1">IFERROR(__xludf.DUMMYFUNCTION("IMPORTRANGE(""https://docs.google.com/spreadsheets/d/1XL5vhW3sbDhbH9Cz0tuDiY8C3ctxq1tqvaCgkFb8cCA/edit?usp=sharing"",""ยโสธร!J423"")"),0)</f>
        <v>0</v>
      </c>
      <c r="CD43" s="552">
        <f ca="1">IFERROR(__xludf.DUMMYFUNCTION("IMPORTRANGE(""https://docs.google.com/spreadsheets/d/1XL5vhW3sbDhbH9Cz0tuDiY8C3ctxq1tqvaCgkFb8cCA/edit?usp=sharing"",""ยโสธร!J424"")"),0)</f>
        <v>0</v>
      </c>
      <c r="CE43" s="552">
        <f ca="1">IFERROR(__xludf.DUMMYFUNCTION("IMPORTRANGE(""https://docs.google.com/spreadsheets/d/1XL5vhW3sbDhbH9Cz0tuDiY8C3ctxq1tqvaCgkFb8cCA/edit?usp=sharing"",""ยโสธร!J425"")"),0)</f>
        <v>0</v>
      </c>
      <c r="CF43" s="552">
        <f ca="1">IFERROR(__xludf.DUMMYFUNCTION("IMPORTRANGE(""https://docs.google.com/spreadsheets/d/1XL5vhW3sbDhbH9Cz0tuDiY8C3ctxq1tqvaCgkFb8cCA/edit?usp=sharing"",""ยโสธร!J426"")"),0)</f>
        <v>0</v>
      </c>
      <c r="CG43" s="558">
        <f ca="1">IFERROR(__xludf.DUMMYFUNCTION("IMPORTRANGE(""https://docs.google.com/spreadsheets/d/1XL5vhW3sbDhbH9Cz0tuDiY8C3ctxq1tqvaCgkFb8cCA/edit?usp=sharing"",""ยโสธร!J427"")"),0)</f>
        <v>0</v>
      </c>
    </row>
    <row r="44" spans="1:85" ht="21" customHeight="1">
      <c r="A44" s="549">
        <v>11</v>
      </c>
      <c r="B44" s="550" t="s">
        <v>68</v>
      </c>
      <c r="C44" s="551">
        <f t="shared" ca="1" si="82"/>
        <v>467053</v>
      </c>
      <c r="D44" s="552">
        <f ca="1">IFERROR(__xludf.DUMMYFUNCTION("IMPORTRANGE(""https://docs.google.com/spreadsheets/d/1C3CXT74ZlgGe6_JY_1olB1XN4rF0dxEuIIF-xsYjHgg/edit?usp=sharing"",""งบกองทุน!BC48"")"),0)</f>
        <v>0</v>
      </c>
      <c r="E44" s="553">
        <f ca="1">IFERROR(__xludf.DUMMYFUNCTION("IMPORTRANGE(""https://docs.google.com/spreadsheets/d/1C3CXT74ZlgGe6_JY_1olB1XN4rF0dxEuIIF-xsYjHgg/edit?usp=sharing"",""งบกองทุน!BD48"")"),467053)</f>
        <v>467053</v>
      </c>
      <c r="F44" s="554">
        <f ca="1">IFERROR(__xludf.DUMMYFUNCTION("IMPORTRANGE(""https://docs.google.com/spreadsheets/d/1XL5vhW3sbDhbH9Cz0tuDiY8C3ctxq1tqvaCgkFb8cCA/edit?usp=sharing"",""ร้อยเอ็ด!M352"")"),175012.02)</f>
        <v>175012.02</v>
      </c>
      <c r="G44" s="554">
        <f t="shared" ca="1" si="1"/>
        <v>37.471554620139472</v>
      </c>
      <c r="H44" s="555">
        <f ca="1">IFERROR(__xludf.DUMMYFUNCTION("IMPORTRANGE(""https://docs.google.com/spreadsheets/d/1C3CXT74ZlgGe6_JY_1olB1XN4rF0dxEuIIF-xsYjHgg/edit?usp=sharing"",""งบกองทุน!BE48"")"),50037)</f>
        <v>50037</v>
      </c>
      <c r="I44" s="555">
        <f ca="1">IFERROR(__xludf.DUMMYFUNCTION("IMPORTRANGE(""https://docs.google.com/spreadsheets/d/1C3CXT74ZlgGe6_JY_1olB1XN4rF0dxEuIIF-xsYjHgg/edit?usp=sharing"",""งบกองทุน!BF48"")"),5144)</f>
        <v>5144</v>
      </c>
      <c r="J44" s="552">
        <f t="shared" ca="1" si="83"/>
        <v>50037</v>
      </c>
      <c r="K44" s="554">
        <f t="shared" ca="1" si="3"/>
        <v>100</v>
      </c>
      <c r="L44" s="552">
        <f t="shared" ca="1" si="84"/>
        <v>5144</v>
      </c>
      <c r="M44" s="554">
        <f t="shared" ca="1" si="4"/>
        <v>100</v>
      </c>
      <c r="N44" s="552">
        <f ca="1">IFERROR(__xludf.DUMMYFUNCTION("IMPORTRANGE(""https://docs.google.com/spreadsheets/d/1XL5vhW3sbDhbH9Cz0tuDiY8C3ctxq1tqvaCgkFb8cCA/edit?usp=sharing"",""ร้อยเอ็ด!J362"")"),47279)</f>
        <v>47279</v>
      </c>
      <c r="O44" s="552">
        <f ca="1">IFERROR(__xludf.DUMMYFUNCTION("IMPORTRANGE(""https://docs.google.com/spreadsheets/d/1XL5vhW3sbDhbH9Cz0tuDiY8C3ctxq1tqvaCgkFb8cCA/edit?usp=sharing"",""ร้อยเอ็ด!J363"")"),4852)</f>
        <v>4852</v>
      </c>
      <c r="P44" s="552">
        <f ca="1">IFERROR(__xludf.DUMMYFUNCTION("IMPORTRANGE(""https://docs.google.com/spreadsheets/d/1XL5vhW3sbDhbH9Cz0tuDiY8C3ctxq1tqvaCgkFb8cCA/edit?usp=sharing"",""ร้อยเอ็ด!J364"")"),1708)</f>
        <v>1708</v>
      </c>
      <c r="Q44" s="552">
        <f ca="1">IFERROR(__xludf.DUMMYFUNCTION("IMPORTRANGE(""https://docs.google.com/spreadsheets/d/1XL5vhW3sbDhbH9Cz0tuDiY8C3ctxq1tqvaCgkFb8cCA/edit?usp=sharing"",""ร้อยเอ็ด!J365"")"),171)</f>
        <v>171</v>
      </c>
      <c r="R44" s="552">
        <f ca="1">IFERROR(__xludf.DUMMYFUNCTION("IMPORTRANGE(""https://docs.google.com/spreadsheets/d/1XL5vhW3sbDhbH9Cz0tuDiY8C3ctxq1tqvaCgkFb8cCA/edit?usp=sharing"",""ร้อยเอ็ด!J366"")"),1050)</f>
        <v>1050</v>
      </c>
      <c r="S44" s="552">
        <f ca="1">IFERROR(__xludf.DUMMYFUNCTION("IMPORTRANGE(""https://docs.google.com/spreadsheets/d/1XL5vhW3sbDhbH9Cz0tuDiY8C3ctxq1tqvaCgkFb8cCA/edit?usp=sharing"",""ร้อยเอ็ด!J367"")"),121)</f>
        <v>121</v>
      </c>
      <c r="T44" s="552">
        <f t="shared" ca="1" si="85"/>
        <v>50037</v>
      </c>
      <c r="U44" s="552">
        <f t="shared" ca="1" si="6"/>
        <v>100</v>
      </c>
      <c r="V44" s="552">
        <f t="shared" ca="1" si="86"/>
        <v>5144</v>
      </c>
      <c r="W44" s="552">
        <f t="shared" ca="1" si="7"/>
        <v>100</v>
      </c>
      <c r="X44" s="552">
        <f ca="1">IFERROR(__xludf.DUMMYFUNCTION("IMPORTRANGE(""https://docs.google.com/spreadsheets/d/1XL5vhW3sbDhbH9Cz0tuDiY8C3ctxq1tqvaCgkFb8cCA/edit?usp=sharing"",""ร้อยเอ็ด!J370"")"),38865)</f>
        <v>38865</v>
      </c>
      <c r="Y44" s="552">
        <f ca="1">IFERROR(__xludf.DUMMYFUNCTION("IMPORTRANGE(""https://docs.google.com/spreadsheets/d/1XL5vhW3sbDhbH9Cz0tuDiY8C3ctxq1tqvaCgkFb8cCA/edit?usp=sharing"",""ร้อยเอ็ด!J371"")"),4143)</f>
        <v>4143</v>
      </c>
      <c r="Z44" s="552">
        <f ca="1">IFERROR(__xludf.DUMMYFUNCTION("IMPORTRANGE(""https://docs.google.com/spreadsheets/d/1XL5vhW3sbDhbH9Cz0tuDiY8C3ctxq1tqvaCgkFb8cCA/edit?usp=sharing"",""ร้อยเอ็ด!J372"")"),10972)</f>
        <v>10972</v>
      </c>
      <c r="AA44" s="552">
        <f ca="1">IFERROR(__xludf.DUMMYFUNCTION("IMPORTRANGE(""https://docs.google.com/spreadsheets/d/1XL5vhW3sbDhbH9Cz0tuDiY8C3ctxq1tqvaCgkFb8cCA/edit?usp=sharing"",""ร้อยเอ็ด!J373"")"),983)</f>
        <v>983</v>
      </c>
      <c r="AB44" s="552">
        <f ca="1">IFERROR(__xludf.DUMMYFUNCTION("IMPORTRANGE(""https://docs.google.com/spreadsheets/d/1XL5vhW3sbDhbH9Cz0tuDiY8C3ctxq1tqvaCgkFb8cCA/edit?usp=sharing"",""ร้อยเอ็ด!J374"")"),200)</f>
        <v>200</v>
      </c>
      <c r="AC44" s="552">
        <f ca="1">IFERROR(__xludf.DUMMYFUNCTION("IMPORTRANGE(""https://docs.google.com/spreadsheets/d/1XL5vhW3sbDhbH9Cz0tuDiY8C3ctxq1tqvaCgkFb8cCA/edit?usp=sharing"",""ร้อยเอ็ด!J375"")"),18)</f>
        <v>18</v>
      </c>
      <c r="AD44" s="552">
        <f t="shared" ca="1" si="87"/>
        <v>0</v>
      </c>
      <c r="AE44" s="554">
        <f t="shared" ca="1" si="9"/>
        <v>0</v>
      </c>
      <c r="AF44" s="552">
        <f t="shared" ca="1" si="88"/>
        <v>0</v>
      </c>
      <c r="AG44" s="554">
        <f t="shared" ca="1" si="10"/>
        <v>0</v>
      </c>
      <c r="AH44" s="552">
        <f ca="1">IFERROR(__xludf.DUMMYFUNCTION("IMPORTRANGE(""https://docs.google.com/spreadsheets/d/1XL5vhW3sbDhbH9Cz0tuDiY8C3ctxq1tqvaCgkFb8cCA/edit?usp=sharing"",""ร้อยเอ็ด!J378"")"),0)</f>
        <v>0</v>
      </c>
      <c r="AI44" s="552">
        <f ca="1">IFERROR(__xludf.DUMMYFUNCTION("IMPORTRANGE(""https://docs.google.com/spreadsheets/d/1XL5vhW3sbDhbH9Cz0tuDiY8C3ctxq1tqvaCgkFb8cCA/edit?usp=sharing"",""ร้อยเอ็ด!J379"")"),0)</f>
        <v>0</v>
      </c>
      <c r="AJ44" s="552">
        <f ca="1">IFERROR(__xludf.DUMMYFUNCTION("IMPORTRANGE(""https://docs.google.com/spreadsheets/d/1XL5vhW3sbDhbH9Cz0tuDiY8C3ctxq1tqvaCgkFb8cCA/edit?usp=sharing"",""ร้อยเอ็ด!J380"")"),0)</f>
        <v>0</v>
      </c>
      <c r="AK44" s="552">
        <f ca="1">IFERROR(__xludf.DUMMYFUNCTION("IMPORTRANGE(""https://docs.google.com/spreadsheets/d/1XL5vhW3sbDhbH9Cz0tuDiY8C3ctxq1tqvaCgkFb8cCA/edit?usp=sharing"",""ร้อยเอ็ด!J381"")"),0)</f>
        <v>0</v>
      </c>
      <c r="AL44" s="552">
        <f ca="1">IFERROR(__xludf.DUMMYFUNCTION("IMPORTRANGE(""https://docs.google.com/spreadsheets/d/1XL5vhW3sbDhbH9Cz0tuDiY8C3ctxq1tqvaCgkFb8cCA/edit?usp=sharing"",""ร้อยเอ็ด!J384"")"),0)</f>
        <v>0</v>
      </c>
      <c r="AM44" s="552">
        <f ca="1">IFERROR(__xludf.DUMMYFUNCTION("IMPORTRANGE(""https://docs.google.com/spreadsheets/d/1XL5vhW3sbDhbH9Cz0tuDiY8C3ctxq1tqvaCgkFb8cCA/edit?usp=sharing"",""ร้อยเอ็ด!J385"")"),0)</f>
        <v>0</v>
      </c>
      <c r="AN44" s="552">
        <f ca="1">IFERROR(__xludf.DUMMYFUNCTION("IMPORTRANGE(""https://docs.google.com/spreadsheets/d/1XL5vhW3sbDhbH9Cz0tuDiY8C3ctxq1tqvaCgkFb8cCA/edit?usp=sharing"",""ร้อยเอ็ด!J386"")"),0)</f>
        <v>0</v>
      </c>
      <c r="AO44" s="552">
        <f ca="1">IFERROR(__xludf.DUMMYFUNCTION("IMPORTRANGE(""https://docs.google.com/spreadsheets/d/1XL5vhW3sbDhbH9Cz0tuDiY8C3ctxq1tqvaCgkFb8cCA/edit?usp=sharing"",""ร้อยเอ็ด!J387"")"),0)</f>
        <v>0</v>
      </c>
      <c r="AP44" s="552">
        <f ca="1">IFERROR(__xludf.DUMMYFUNCTION("IMPORTRANGE(""https://docs.google.com/spreadsheets/d/1XL5vhW3sbDhbH9Cz0tuDiY8C3ctxq1tqvaCgkFb8cCA/edit?usp=sharing"",""ร้อยเอ็ด!J388"")"),0)</f>
        <v>0</v>
      </c>
      <c r="AQ44" s="552">
        <f ca="1">IFERROR(__xludf.DUMMYFUNCTION("IMPORTRANGE(""https://docs.google.com/spreadsheets/d/1XL5vhW3sbDhbH9Cz0tuDiY8C3ctxq1tqvaCgkFb8cCA/edit?usp=sharing"",""ร้อยเอ็ด!J389"")"),0)</f>
        <v>0</v>
      </c>
      <c r="AR44" s="552">
        <f ca="1">IFERROR(__xludf.DUMMYFUNCTION("IMPORTRANGE(""https://docs.google.com/spreadsheets/d/1XL5vhW3sbDhbH9Cz0tuDiY8C3ctxq1tqvaCgkFb8cCA/edit?usp=sharing"",""ร้อยเอ็ด!J390"")"),0)</f>
        <v>0</v>
      </c>
      <c r="AS44" s="552">
        <f ca="1">IFERROR(__xludf.DUMMYFUNCTION("IMPORTRANGE(""https://docs.google.com/spreadsheets/d/1XL5vhW3sbDhbH9Cz0tuDiY8C3ctxq1tqvaCgkFb8cCA/edit?usp=sharing"",""ร้อยเอ็ด!J391"")"),0)</f>
        <v>0</v>
      </c>
      <c r="AT44" s="556">
        <f ca="1">IFERROR(__xludf.DUMMYFUNCTION("IMPORTRANGE(""https://docs.google.com/spreadsheets/d/1C3CXT74ZlgGe6_JY_1olB1XN4rF0dxEuIIF-xsYjHgg/edit?usp=sharing"",""งบกองทุน!CD48"")"),572)</f>
        <v>572</v>
      </c>
      <c r="AU44" s="556">
        <f ca="1">IFERROR(__xludf.DUMMYFUNCTION("IMPORTRANGE(""https://docs.google.com/spreadsheets/d/1C3CXT74ZlgGe6_JY_1olB1XN4rF0dxEuIIF-xsYjHgg/edit?usp=sharing"",""งบกองทุน!CC48"")"),60)</f>
        <v>60</v>
      </c>
      <c r="AV44" s="556">
        <f t="shared" ca="1" si="89"/>
        <v>207</v>
      </c>
      <c r="AW44" s="556">
        <f t="shared" ca="1" si="12"/>
        <v>36.188811188811187</v>
      </c>
      <c r="AX44" s="556">
        <f t="shared" ca="1" si="90"/>
        <v>20</v>
      </c>
      <c r="AY44" s="556">
        <f t="shared" ca="1" si="13"/>
        <v>33.333333333333336</v>
      </c>
      <c r="AZ44" s="552">
        <f ca="1">IFERROR(__xludf.DUMMYFUNCTION("IMPORTRANGE(""https://docs.google.com/spreadsheets/d/1XL5vhW3sbDhbH9Cz0tuDiY8C3ctxq1tqvaCgkFb8cCA/edit?usp=sharing"",""ร้อยเอ็ด!J397"")"),207)</f>
        <v>207</v>
      </c>
      <c r="BA44" s="552">
        <f ca="1">IFERROR(__xludf.DUMMYFUNCTION("IMPORTRANGE(""https://docs.google.com/spreadsheets/d/1XL5vhW3sbDhbH9Cz0tuDiY8C3ctxq1tqvaCgkFb8cCA/edit?usp=sharing"",""ร้อยเอ็ด!J398"")"),20)</f>
        <v>20</v>
      </c>
      <c r="BB44" s="552">
        <f ca="1">IFERROR(__xludf.DUMMYFUNCTION("IMPORTRANGE(""https://docs.google.com/spreadsheets/d/1XL5vhW3sbDhbH9Cz0tuDiY8C3ctxq1tqvaCgkFb8cCA/edit?usp=sharing"",""ร้อยเอ็ด!J399"")"),0)</f>
        <v>0</v>
      </c>
      <c r="BC44" s="552">
        <f ca="1">IFERROR(__xludf.DUMMYFUNCTION("IMPORTRANGE(""https://docs.google.com/spreadsheets/d/1XL5vhW3sbDhbH9Cz0tuDiY8C3ctxq1tqvaCgkFb8cCA/edit?usp=sharing"",""ร้อยเอ็ด!J400"")"),0)</f>
        <v>0</v>
      </c>
      <c r="BD44" s="552">
        <f ca="1">IFERROR(__xludf.DUMMYFUNCTION("IMPORTRANGE(""https://docs.google.com/spreadsheets/d/1XL5vhW3sbDhbH9Cz0tuDiY8C3ctxq1tqvaCgkFb8cCA/edit?usp=sharing"",""ร้อยเอ็ด!J401"")"),0)</f>
        <v>0</v>
      </c>
      <c r="BE44" s="552">
        <f ca="1">IFERROR(__xludf.DUMMYFUNCTION("IMPORTRANGE(""https://docs.google.com/spreadsheets/d/1XL5vhW3sbDhbH9Cz0tuDiY8C3ctxq1tqvaCgkFb8cCA/edit?usp=sharing"",""ร้อยเอ็ด!J402"")"),0)</f>
        <v>0</v>
      </c>
      <c r="BF44" s="552">
        <f ca="1">IFERROR(__xludf.DUMMYFUNCTION("IMPORTRANGE(""https://docs.google.com/spreadsheets/d/1XL5vhW3sbDhbH9Cz0tuDiY8C3ctxq1tqvaCgkFb8cCA/edit?usp=sharing"",""ร้อยเอ็ด!J405"")"),0)</f>
        <v>0</v>
      </c>
      <c r="BG44" s="552">
        <f ca="1">IFERROR(__xludf.DUMMYFUNCTION("IMPORTRANGE(""https://docs.google.com/spreadsheets/d/1XL5vhW3sbDhbH9Cz0tuDiY8C3ctxq1tqvaCgkFb8cCA/edit?usp=sharing"",""ร้อยเอ็ด!J406"")"),0)</f>
        <v>0</v>
      </c>
      <c r="BH44" s="552">
        <f ca="1">IFERROR(__xludf.DUMMYFUNCTION("IMPORTRANGE(""https://docs.google.com/spreadsheets/d/1XL5vhW3sbDhbH9Cz0tuDiY8C3ctxq1tqvaCgkFb8cCA/edit?usp=sharing"",""ร้อยเอ็ด!J407"")"),0)</f>
        <v>0</v>
      </c>
      <c r="BI44" s="552">
        <f ca="1">IFERROR(__xludf.DUMMYFUNCTION("IMPORTRANGE(""https://docs.google.com/spreadsheets/d/1XL5vhW3sbDhbH9Cz0tuDiY8C3ctxq1tqvaCgkFb8cCA/edit?usp=sharing"",""ร้อยเอ็ด!J408"")"),0)</f>
        <v>0</v>
      </c>
      <c r="BJ44" s="552">
        <f ca="1">IFERROR(__xludf.DUMMYFUNCTION("IMPORTRANGE(""https://docs.google.com/spreadsheets/d/1XL5vhW3sbDhbH9Cz0tuDiY8C3ctxq1tqvaCgkFb8cCA/edit?usp=sharing"",""ร้อยเอ็ด!J409"")"),0)</f>
        <v>0</v>
      </c>
      <c r="BK44" s="552">
        <f ca="1">IFERROR(__xludf.DUMMYFUNCTION("IMPORTRANGE(""https://docs.google.com/spreadsheets/d/1XL5vhW3sbDhbH9Cz0tuDiY8C3ctxq1tqvaCgkFb8cCA/edit?usp=sharing"",""ร้อยเอ็ด!J410"")"),0)</f>
        <v>0</v>
      </c>
      <c r="BL44" s="556">
        <f ca="1">IFERROR(__xludf.DUMMYFUNCTION("IMPORTRANGE(""https://docs.google.com/spreadsheets/d/1C3CXT74ZlgGe6_JY_1olB1XN4rF0dxEuIIF-xsYjHgg/edit?usp=sharing"",""งบกองทุน!CZ48"")"),0)</f>
        <v>0</v>
      </c>
      <c r="BM44" s="556">
        <f ca="1">IFERROR(__xludf.DUMMYFUNCTION("IMPORTRANGE(""https://docs.google.com/spreadsheets/d/1C3CXT74ZlgGe6_JY_1olB1XN4rF0dxEuIIF-xsYjHgg/edit?usp=sharing"",""งบกองทุน!CY48"")"),0)</f>
        <v>0</v>
      </c>
      <c r="BN44" s="556">
        <f t="shared" ca="1" si="91"/>
        <v>0</v>
      </c>
      <c r="BO44" s="557">
        <f t="shared" ca="1" si="15"/>
        <v>0</v>
      </c>
      <c r="BP44" s="556">
        <f t="shared" ca="1" si="92"/>
        <v>0</v>
      </c>
      <c r="BQ44" s="557">
        <f t="shared" ca="1" si="16"/>
        <v>0</v>
      </c>
      <c r="BR44" s="552">
        <f ca="1">IFERROR(__xludf.DUMMYFUNCTION("IMPORTRANGE(""https://docs.google.com/spreadsheets/d/1XL5vhW3sbDhbH9Cz0tuDiY8C3ctxq1tqvaCgkFb8cCA/edit?usp=sharing"",""ร้อยเอ็ด!J414"")"),0)</f>
        <v>0</v>
      </c>
      <c r="BS44" s="552">
        <f ca="1">IFERROR(__xludf.DUMMYFUNCTION("IMPORTRANGE(""https://docs.google.com/spreadsheets/d/1XL5vhW3sbDhbH9Cz0tuDiY8C3ctxq1tqvaCgkFb8cCA/edit?usp=sharing"",""ร้อยเอ็ด!J415"")"),0)</f>
        <v>0</v>
      </c>
      <c r="BT44" s="552">
        <f ca="1">IFERROR(__xludf.DUMMYFUNCTION("IMPORTRANGE(""https://docs.google.com/spreadsheets/d/1XL5vhW3sbDhbH9Cz0tuDiY8C3ctxq1tqvaCgkFb8cCA/edit?usp=sharing"",""ร้อยเอ็ด!J416"")"),0)</f>
        <v>0</v>
      </c>
      <c r="BU44" s="552">
        <f ca="1">IFERROR(__xludf.DUMMYFUNCTION("IMPORTRANGE(""https://docs.google.com/spreadsheets/d/1XL5vhW3sbDhbH9Cz0tuDiY8C3ctxq1tqvaCgkFb8cCA/edit?usp=sharing"",""ร้อยเอ็ด!J417"")"),0)</f>
        <v>0</v>
      </c>
      <c r="BV44" s="552">
        <f ca="1">IFERROR(__xludf.DUMMYFUNCTION("IMPORTRANGE(""https://docs.google.com/spreadsheets/d/1XL5vhW3sbDhbH9Cz0tuDiY8C3ctxq1tqvaCgkFb8cCA/edit?usp=sharing"",""ร้อยเอ็ด!J418"")"),0)</f>
        <v>0</v>
      </c>
      <c r="BW44" s="552">
        <f ca="1">IFERROR(__xludf.DUMMYFUNCTION("IMPORTRANGE(""https://docs.google.com/spreadsheets/d/1XL5vhW3sbDhbH9Cz0tuDiY8C3ctxq1tqvaCgkFb8cCA/edit?usp=sharing"",""ร้อยเอ็ด!J419"")"),0)</f>
        <v>0</v>
      </c>
      <c r="BX44" s="556">
        <f t="shared" ca="1" si="93"/>
        <v>0</v>
      </c>
      <c r="BY44" s="557">
        <f t="shared" ca="1" si="94"/>
        <v>0</v>
      </c>
      <c r="BZ44" s="556">
        <f t="shared" ca="1" si="95"/>
        <v>0</v>
      </c>
      <c r="CA44" s="557">
        <f t="shared" ca="1" si="96"/>
        <v>0</v>
      </c>
      <c r="CB44" s="552">
        <f ca="1">IFERROR(__xludf.DUMMYFUNCTION("IMPORTRANGE(""https://docs.google.com/spreadsheets/d/1XL5vhW3sbDhbH9Cz0tuDiY8C3ctxq1tqvaCgkFb8cCA/edit?usp=sharing"",""ร้อยเอ็ด!J422"")"),0)</f>
        <v>0</v>
      </c>
      <c r="CC44" s="552">
        <f ca="1">IFERROR(__xludf.DUMMYFUNCTION("IMPORTRANGE(""https://docs.google.com/spreadsheets/d/1XL5vhW3sbDhbH9Cz0tuDiY8C3ctxq1tqvaCgkFb8cCA/edit?usp=sharing"",""ร้อยเอ็ด!J423"")"),0)</f>
        <v>0</v>
      </c>
      <c r="CD44" s="552">
        <f ca="1">IFERROR(__xludf.DUMMYFUNCTION("IMPORTRANGE(""https://docs.google.com/spreadsheets/d/1XL5vhW3sbDhbH9Cz0tuDiY8C3ctxq1tqvaCgkFb8cCA/edit?usp=sharing"",""ร้อยเอ็ด!J424"")"),0)</f>
        <v>0</v>
      </c>
      <c r="CE44" s="552">
        <f ca="1">IFERROR(__xludf.DUMMYFUNCTION("IMPORTRANGE(""https://docs.google.com/spreadsheets/d/1XL5vhW3sbDhbH9Cz0tuDiY8C3ctxq1tqvaCgkFb8cCA/edit?usp=sharing"",""ร้อยเอ็ด!J425"")"),0)</f>
        <v>0</v>
      </c>
      <c r="CF44" s="552">
        <f ca="1">IFERROR(__xludf.DUMMYFUNCTION("IMPORTRANGE(""https://docs.google.com/spreadsheets/d/1XL5vhW3sbDhbH9Cz0tuDiY8C3ctxq1tqvaCgkFb8cCA/edit?usp=sharing"",""ร้อยเอ็ด!J426"")"),0)</f>
        <v>0</v>
      </c>
      <c r="CG44" s="558">
        <f ca="1">IFERROR(__xludf.DUMMYFUNCTION("IMPORTRANGE(""https://docs.google.com/spreadsheets/d/1XL5vhW3sbDhbH9Cz0tuDiY8C3ctxq1tqvaCgkFb8cCA/edit?usp=sharing"",""ร้อยเอ็ด!J427"")"),0)</f>
        <v>0</v>
      </c>
    </row>
    <row r="45" spans="1:85" ht="21" customHeight="1">
      <c r="A45" s="549">
        <v>12</v>
      </c>
      <c r="B45" s="550" t="s">
        <v>69</v>
      </c>
      <c r="C45" s="551">
        <f t="shared" ca="1" si="82"/>
        <v>489836</v>
      </c>
      <c r="D45" s="552">
        <f ca="1">IFERROR(__xludf.DUMMYFUNCTION("IMPORTRANGE(""https://docs.google.com/spreadsheets/d/1C3CXT74ZlgGe6_JY_1olB1XN4rF0dxEuIIF-xsYjHgg/edit?usp=sharing"",""งบกองทุน!BC49"")"),0)</f>
        <v>0</v>
      </c>
      <c r="E45" s="553">
        <f ca="1">IFERROR(__xludf.DUMMYFUNCTION("IMPORTRANGE(""https://docs.google.com/spreadsheets/d/1C3CXT74ZlgGe6_JY_1olB1XN4rF0dxEuIIF-xsYjHgg/edit?usp=sharing"",""งบกองทุน!BD49"")"),489836)</f>
        <v>489836</v>
      </c>
      <c r="F45" s="554">
        <f ca="1">IFERROR(__xludf.DUMMYFUNCTION("IMPORTRANGE(""https://docs.google.com/spreadsheets/d/1XL5vhW3sbDhbH9Cz0tuDiY8C3ctxq1tqvaCgkFb8cCA/edit?usp=sharing"",""เลย!M352"")"),133780)</f>
        <v>133780</v>
      </c>
      <c r="G45" s="554">
        <f t="shared" ca="1" si="1"/>
        <v>27.311181701630751</v>
      </c>
      <c r="H45" s="555">
        <f ca="1">IFERROR(__xludf.DUMMYFUNCTION("IMPORTRANGE(""https://docs.google.com/spreadsheets/d/1C3CXT74ZlgGe6_JY_1olB1XN4rF0dxEuIIF-xsYjHgg/edit?usp=sharing"",""งบกองทุน!BE49"")"),57180)</f>
        <v>57180</v>
      </c>
      <c r="I45" s="555">
        <f ca="1">IFERROR(__xludf.DUMMYFUNCTION("IMPORTRANGE(""https://docs.google.com/spreadsheets/d/1C3CXT74ZlgGe6_JY_1olB1XN4rF0dxEuIIF-xsYjHgg/edit?usp=sharing"",""งบกองทุน!BF49"")"),5802)</f>
        <v>5802</v>
      </c>
      <c r="J45" s="552">
        <f t="shared" ca="1" si="83"/>
        <v>57180.577999999994</v>
      </c>
      <c r="K45" s="554">
        <f t="shared" ca="1" si="3"/>
        <v>100.00101084295208</v>
      </c>
      <c r="L45" s="552">
        <f t="shared" ca="1" si="84"/>
        <v>5802</v>
      </c>
      <c r="M45" s="554">
        <f t="shared" ca="1" si="4"/>
        <v>100</v>
      </c>
      <c r="N45" s="552">
        <f ca="1">IFERROR(__xludf.DUMMYFUNCTION("IMPORTRANGE(""https://docs.google.com/spreadsheets/d/1XL5vhW3sbDhbH9Cz0tuDiY8C3ctxq1tqvaCgkFb8cCA/edit?usp=sharing"",""เลย!J362"")"),53746.2155)</f>
        <v>53746.215499999998</v>
      </c>
      <c r="O45" s="552">
        <f ca="1">IFERROR(__xludf.DUMMYFUNCTION("IMPORTRANGE(""https://docs.google.com/spreadsheets/d/1XL5vhW3sbDhbH9Cz0tuDiY8C3ctxq1tqvaCgkFb8cCA/edit?usp=sharing"",""เลย!J363"")"),5569)</f>
        <v>5569</v>
      </c>
      <c r="P45" s="552">
        <f ca="1">IFERROR(__xludf.DUMMYFUNCTION("IMPORTRANGE(""https://docs.google.com/spreadsheets/d/1XL5vhW3sbDhbH9Cz0tuDiY8C3ctxq1tqvaCgkFb8cCA/edit?usp=sharing"",""เลย!J364"")"),2197.0225)</f>
        <v>2197.0225</v>
      </c>
      <c r="Q45" s="552">
        <f ca="1">IFERROR(__xludf.DUMMYFUNCTION("IMPORTRANGE(""https://docs.google.com/spreadsheets/d/1XL5vhW3sbDhbH9Cz0tuDiY8C3ctxq1tqvaCgkFb8cCA/edit?usp=sharing"",""เลย!J365"")"),99)</f>
        <v>99</v>
      </c>
      <c r="R45" s="552">
        <f ca="1">IFERROR(__xludf.DUMMYFUNCTION("IMPORTRANGE(""https://docs.google.com/spreadsheets/d/1XL5vhW3sbDhbH9Cz0tuDiY8C3ctxq1tqvaCgkFb8cCA/edit?usp=sharing"",""เลย!J366"")"),1237.34)</f>
        <v>1237.3399999999999</v>
      </c>
      <c r="S45" s="552">
        <f ca="1">IFERROR(__xludf.DUMMYFUNCTION("IMPORTRANGE(""https://docs.google.com/spreadsheets/d/1XL5vhW3sbDhbH9Cz0tuDiY8C3ctxq1tqvaCgkFb8cCA/edit?usp=sharing"",""เลย!J367"")"),134)</f>
        <v>134</v>
      </c>
      <c r="T45" s="552">
        <f t="shared" ca="1" si="85"/>
        <v>57180.577499999999</v>
      </c>
      <c r="U45" s="552">
        <f t="shared" ca="1" si="6"/>
        <v>100.00100996852046</v>
      </c>
      <c r="V45" s="552">
        <f t="shared" ca="1" si="86"/>
        <v>5802</v>
      </c>
      <c r="W45" s="552">
        <f t="shared" ca="1" si="7"/>
        <v>100</v>
      </c>
      <c r="X45" s="552">
        <f ca="1">IFERROR(__xludf.DUMMYFUNCTION("IMPORTRANGE(""https://docs.google.com/spreadsheets/d/1XL5vhW3sbDhbH9Cz0tuDiY8C3ctxq1tqvaCgkFb8cCA/edit?usp=sharing"",""เลย!J370"")"),53698.67)</f>
        <v>53698.67</v>
      </c>
      <c r="Y45" s="552">
        <f ca="1">IFERROR(__xludf.DUMMYFUNCTION("IMPORTRANGE(""https://docs.google.com/spreadsheets/d/1XL5vhW3sbDhbH9Cz0tuDiY8C3ctxq1tqvaCgkFb8cCA/edit?usp=sharing"",""เลย!J371"")"),5562)</f>
        <v>5562</v>
      </c>
      <c r="Z45" s="552">
        <f ca="1">IFERROR(__xludf.DUMMYFUNCTION("IMPORTRANGE(""https://docs.google.com/spreadsheets/d/1XL5vhW3sbDhbH9Cz0tuDiY8C3ctxq1tqvaCgkFb8cCA/edit?usp=sharing"",""เลย!J372"")"),2206.8025)</f>
        <v>2206.8024999999998</v>
      </c>
      <c r="AA45" s="552">
        <f ca="1">IFERROR(__xludf.DUMMYFUNCTION("IMPORTRANGE(""https://docs.google.com/spreadsheets/d/1XL5vhW3sbDhbH9Cz0tuDiY8C3ctxq1tqvaCgkFb8cCA/edit?usp=sharing"",""เลย!J373"")"),102)</f>
        <v>102</v>
      </c>
      <c r="AB45" s="552">
        <f ca="1">IFERROR(__xludf.DUMMYFUNCTION("IMPORTRANGE(""https://docs.google.com/spreadsheets/d/1XL5vhW3sbDhbH9Cz0tuDiY8C3ctxq1tqvaCgkFb8cCA/edit?usp=sharing"",""เลย!J374"")"),1275.105)</f>
        <v>1275.105</v>
      </c>
      <c r="AC45" s="552">
        <f ca="1">IFERROR(__xludf.DUMMYFUNCTION("IMPORTRANGE(""https://docs.google.com/spreadsheets/d/1XL5vhW3sbDhbH9Cz0tuDiY8C3ctxq1tqvaCgkFb8cCA/edit?usp=sharing"",""เลย!J375"")"),138)</f>
        <v>138</v>
      </c>
      <c r="AD45" s="552">
        <f t="shared" ca="1" si="87"/>
        <v>57216.577499999992</v>
      </c>
      <c r="AE45" s="554">
        <f t="shared" ca="1" si="9"/>
        <v>100.06396904512066</v>
      </c>
      <c r="AF45" s="552">
        <f t="shared" ca="1" si="88"/>
        <v>5802</v>
      </c>
      <c r="AG45" s="554">
        <f t="shared" ca="1" si="10"/>
        <v>100</v>
      </c>
      <c r="AH45" s="552">
        <f ca="1">IFERROR(__xludf.DUMMYFUNCTION("IMPORTRANGE(""https://docs.google.com/spreadsheets/d/1XL5vhW3sbDhbH9Cz0tuDiY8C3ctxq1tqvaCgkFb8cCA/edit?usp=sharing"",""เลย!J378"")"),53782.215)</f>
        <v>53782.214999999997</v>
      </c>
      <c r="AI45" s="552">
        <f ca="1">IFERROR(__xludf.DUMMYFUNCTION("IMPORTRANGE(""https://docs.google.com/spreadsheets/d/1XL5vhW3sbDhbH9Cz0tuDiY8C3ctxq1tqvaCgkFb8cCA/edit?usp=sharing"",""เลย!J379"")"),5569)</f>
        <v>5569</v>
      </c>
      <c r="AJ45" s="552">
        <f ca="1">IFERROR(__xludf.DUMMYFUNCTION("IMPORTRANGE(""https://docs.google.com/spreadsheets/d/1XL5vhW3sbDhbH9Cz0tuDiY8C3ctxq1tqvaCgkFb8cCA/edit?usp=sharing"",""เลย!J380"")"),2197.0225)</f>
        <v>2197.0225</v>
      </c>
      <c r="AK45" s="552">
        <f ca="1">IFERROR(__xludf.DUMMYFUNCTION("IMPORTRANGE(""https://docs.google.com/spreadsheets/d/1XL5vhW3sbDhbH9Cz0tuDiY8C3ctxq1tqvaCgkFb8cCA/edit?usp=sharing"",""เลย!J381"")"),99)</f>
        <v>99</v>
      </c>
      <c r="AL45" s="552">
        <f ca="1">IFERROR(__xludf.DUMMYFUNCTION("IMPORTRANGE(""https://docs.google.com/spreadsheets/d/1XL5vhW3sbDhbH9Cz0tuDiY8C3ctxq1tqvaCgkFb8cCA/edit?usp=sharing"",""เลย!J384"")"),1220.8725)</f>
        <v>1220.8724999999999</v>
      </c>
      <c r="AM45" s="552">
        <f ca="1">IFERROR(__xludf.DUMMYFUNCTION("IMPORTRANGE(""https://docs.google.com/spreadsheets/d/1XL5vhW3sbDhbH9Cz0tuDiY8C3ctxq1tqvaCgkFb8cCA/edit?usp=sharing"",""เลย!J385"")"),133)</f>
        <v>133</v>
      </c>
      <c r="AN45" s="552">
        <f ca="1">IFERROR(__xludf.DUMMYFUNCTION("IMPORTRANGE(""https://docs.google.com/spreadsheets/d/1XL5vhW3sbDhbH9Cz0tuDiY8C3ctxq1tqvaCgkFb8cCA/edit?usp=sharing"",""เลย!J386"")"),16.4675)</f>
        <v>16.467500000000001</v>
      </c>
      <c r="AO45" s="552">
        <f ca="1">IFERROR(__xludf.DUMMYFUNCTION("IMPORTRANGE(""https://docs.google.com/spreadsheets/d/1XL5vhW3sbDhbH9Cz0tuDiY8C3ctxq1tqvaCgkFb8cCA/edit?usp=sharing"",""เลย!J387"")"),1)</f>
        <v>1</v>
      </c>
      <c r="AP45" s="552">
        <f ca="1">IFERROR(__xludf.DUMMYFUNCTION("IMPORTRANGE(""https://docs.google.com/spreadsheets/d/1XL5vhW3sbDhbH9Cz0tuDiY8C3ctxq1tqvaCgkFb8cCA/edit?usp=sharing"",""เลย!J388"")"),0)</f>
        <v>0</v>
      </c>
      <c r="AQ45" s="552">
        <f ca="1">IFERROR(__xludf.DUMMYFUNCTION("IMPORTRANGE(""https://docs.google.com/spreadsheets/d/1XL5vhW3sbDhbH9Cz0tuDiY8C3ctxq1tqvaCgkFb8cCA/edit?usp=sharing"",""เลย!J389"")"),0)</f>
        <v>0</v>
      </c>
      <c r="AR45" s="552">
        <f ca="1">IFERROR(__xludf.DUMMYFUNCTION("IMPORTRANGE(""https://docs.google.com/spreadsheets/d/1XL5vhW3sbDhbH9Cz0tuDiY8C3ctxq1tqvaCgkFb8cCA/edit?usp=sharing"",""เลย!J390"")"),0)</f>
        <v>0</v>
      </c>
      <c r="AS45" s="552">
        <f ca="1">IFERROR(__xludf.DUMMYFUNCTION("IMPORTRANGE(""https://docs.google.com/spreadsheets/d/1XL5vhW3sbDhbH9Cz0tuDiY8C3ctxq1tqvaCgkFb8cCA/edit?usp=sharing"",""เลย!J391"")"),0)</f>
        <v>0</v>
      </c>
      <c r="AT45" s="556">
        <f ca="1">IFERROR(__xludf.DUMMYFUNCTION("IMPORTRANGE(""https://docs.google.com/spreadsheets/d/1C3CXT74ZlgGe6_JY_1olB1XN4rF0dxEuIIF-xsYjHgg/edit?usp=sharing"",""งบกองทุน!CD49"")"),1642)</f>
        <v>1642</v>
      </c>
      <c r="AU45" s="556">
        <f ca="1">IFERROR(__xludf.DUMMYFUNCTION("IMPORTRANGE(""https://docs.google.com/spreadsheets/d/1C3CXT74ZlgGe6_JY_1olB1XN4rF0dxEuIIF-xsYjHgg/edit?usp=sharing"",""งบกองทุน!CC49"")"),123)</f>
        <v>123</v>
      </c>
      <c r="AV45" s="556">
        <f t="shared" ca="1" si="89"/>
        <v>1643.14</v>
      </c>
      <c r="AW45" s="556">
        <f t="shared" ca="1" si="12"/>
        <v>100.06942752740561</v>
      </c>
      <c r="AX45" s="556">
        <f t="shared" ca="1" si="90"/>
        <v>123</v>
      </c>
      <c r="AY45" s="556">
        <f t="shared" ca="1" si="13"/>
        <v>100</v>
      </c>
      <c r="AZ45" s="552">
        <f ca="1">IFERROR(__xludf.DUMMYFUNCTION("IMPORTRANGE(""https://docs.google.com/spreadsheets/d/1XL5vhW3sbDhbH9Cz0tuDiY8C3ctxq1tqvaCgkFb8cCA/edit?usp=sharing"",""เลย!J397"")"),110)</f>
        <v>110</v>
      </c>
      <c r="BA45" s="552">
        <f ca="1">IFERROR(__xludf.DUMMYFUNCTION("IMPORTRANGE(""https://docs.google.com/spreadsheets/d/1XL5vhW3sbDhbH9Cz0tuDiY8C3ctxq1tqvaCgkFb8cCA/edit?usp=sharing"",""เลย!J398"")"),13)</f>
        <v>13</v>
      </c>
      <c r="BB45" s="552">
        <f ca="1">IFERROR(__xludf.DUMMYFUNCTION("IMPORTRANGE(""https://docs.google.com/spreadsheets/d/1XL5vhW3sbDhbH9Cz0tuDiY8C3ctxq1tqvaCgkFb8cCA/edit?usp=sharing"",""เลย!J399"")"),1532)</f>
        <v>1532</v>
      </c>
      <c r="BC45" s="552">
        <f ca="1">IFERROR(__xludf.DUMMYFUNCTION("IMPORTRANGE(""https://docs.google.com/spreadsheets/d/1XL5vhW3sbDhbH9Cz0tuDiY8C3ctxq1tqvaCgkFb8cCA/edit?usp=sharing"",""เลย!J400"")"),108)</f>
        <v>108</v>
      </c>
      <c r="BD45" s="552">
        <f ca="1">IFERROR(__xludf.DUMMYFUNCTION("IMPORTRANGE(""https://docs.google.com/spreadsheets/d/1XL5vhW3sbDhbH9Cz0tuDiY8C3ctxq1tqvaCgkFb8cCA/edit?usp=sharing"",""เลย!J401"")"),0)</f>
        <v>0</v>
      </c>
      <c r="BE45" s="552">
        <f ca="1">IFERROR(__xludf.DUMMYFUNCTION("IMPORTRANGE(""https://docs.google.com/spreadsheets/d/1XL5vhW3sbDhbH9Cz0tuDiY8C3ctxq1tqvaCgkFb8cCA/edit?usp=sharing"",""เลย!J402"")"),0)</f>
        <v>0</v>
      </c>
      <c r="BF45" s="552">
        <f ca="1">IFERROR(__xludf.DUMMYFUNCTION("IMPORTRANGE(""https://docs.google.com/spreadsheets/d/1XL5vhW3sbDhbH9Cz0tuDiY8C3ctxq1tqvaCgkFb8cCA/edit?usp=sharing"",""เลย!J405"")"),0)</f>
        <v>0</v>
      </c>
      <c r="BG45" s="552">
        <f ca="1">IFERROR(__xludf.DUMMYFUNCTION("IMPORTRANGE(""https://docs.google.com/spreadsheets/d/1XL5vhW3sbDhbH9Cz0tuDiY8C3ctxq1tqvaCgkFb8cCA/edit?usp=sharing"",""เลย!J406"")"),0)</f>
        <v>0</v>
      </c>
      <c r="BH45" s="552">
        <f ca="1">IFERROR(__xludf.DUMMYFUNCTION("IMPORTRANGE(""https://docs.google.com/spreadsheets/d/1XL5vhW3sbDhbH9Cz0tuDiY8C3ctxq1tqvaCgkFb8cCA/edit?usp=sharing"",""เลย!J407"")"),0.38)</f>
        <v>0.38</v>
      </c>
      <c r="BI45" s="552">
        <f ca="1">IFERROR(__xludf.DUMMYFUNCTION("IMPORTRANGE(""https://docs.google.com/spreadsheets/d/1XL5vhW3sbDhbH9Cz0tuDiY8C3ctxq1tqvaCgkFb8cCA/edit?usp=sharing"",""เลย!J408"")"),1)</f>
        <v>1</v>
      </c>
      <c r="BJ45" s="552">
        <f ca="1">IFERROR(__xludf.DUMMYFUNCTION("IMPORTRANGE(""https://docs.google.com/spreadsheets/d/1XL5vhW3sbDhbH9Cz0tuDiY8C3ctxq1tqvaCgkFb8cCA/edit?usp=sharing"",""เลย!J409"")"),0.76)</f>
        <v>0.76</v>
      </c>
      <c r="BK45" s="552">
        <f ca="1">IFERROR(__xludf.DUMMYFUNCTION("IMPORTRANGE(""https://docs.google.com/spreadsheets/d/1XL5vhW3sbDhbH9Cz0tuDiY8C3ctxq1tqvaCgkFb8cCA/edit?usp=sharing"",""เลย!J410"")"),1)</f>
        <v>1</v>
      </c>
      <c r="BL45" s="556">
        <f ca="1">IFERROR(__xludf.DUMMYFUNCTION("IMPORTRANGE(""https://docs.google.com/spreadsheets/d/1C3CXT74ZlgGe6_JY_1olB1XN4rF0dxEuIIF-xsYjHgg/edit?usp=sharing"",""งบกองทุน!CZ49"")"),0)</f>
        <v>0</v>
      </c>
      <c r="BM45" s="556">
        <f ca="1">IFERROR(__xludf.DUMMYFUNCTION("IMPORTRANGE(""https://docs.google.com/spreadsheets/d/1C3CXT74ZlgGe6_JY_1olB1XN4rF0dxEuIIF-xsYjHgg/edit?usp=sharing"",""งบกองทุน!CY49"")"),0)</f>
        <v>0</v>
      </c>
      <c r="BN45" s="556">
        <f t="shared" ca="1" si="91"/>
        <v>0</v>
      </c>
      <c r="BO45" s="557">
        <f t="shared" ca="1" si="15"/>
        <v>0</v>
      </c>
      <c r="BP45" s="556">
        <f t="shared" ca="1" si="92"/>
        <v>0</v>
      </c>
      <c r="BQ45" s="557">
        <f t="shared" ca="1" si="16"/>
        <v>0</v>
      </c>
      <c r="BR45" s="552">
        <f ca="1">IFERROR(__xludf.DUMMYFUNCTION("IMPORTRANGE(""https://docs.google.com/spreadsheets/d/1XL5vhW3sbDhbH9Cz0tuDiY8C3ctxq1tqvaCgkFb8cCA/edit?usp=sharing"",""เลย!J414"")"),0)</f>
        <v>0</v>
      </c>
      <c r="BS45" s="552">
        <f ca="1">IFERROR(__xludf.DUMMYFUNCTION("IMPORTRANGE(""https://docs.google.com/spreadsheets/d/1XL5vhW3sbDhbH9Cz0tuDiY8C3ctxq1tqvaCgkFb8cCA/edit?usp=sharing"",""เลย!J415"")"),0)</f>
        <v>0</v>
      </c>
      <c r="BT45" s="552">
        <f ca="1">IFERROR(__xludf.DUMMYFUNCTION("IMPORTRANGE(""https://docs.google.com/spreadsheets/d/1XL5vhW3sbDhbH9Cz0tuDiY8C3ctxq1tqvaCgkFb8cCA/edit?usp=sharing"",""เลย!J416"")"),0)</f>
        <v>0</v>
      </c>
      <c r="BU45" s="552">
        <f ca="1">IFERROR(__xludf.DUMMYFUNCTION("IMPORTRANGE(""https://docs.google.com/spreadsheets/d/1XL5vhW3sbDhbH9Cz0tuDiY8C3ctxq1tqvaCgkFb8cCA/edit?usp=sharing"",""เลย!J417"")"),0)</f>
        <v>0</v>
      </c>
      <c r="BV45" s="552">
        <f ca="1">IFERROR(__xludf.DUMMYFUNCTION("IMPORTRANGE(""https://docs.google.com/spreadsheets/d/1XL5vhW3sbDhbH9Cz0tuDiY8C3ctxq1tqvaCgkFb8cCA/edit?usp=sharing"",""เลย!J418"")"),0)</f>
        <v>0</v>
      </c>
      <c r="BW45" s="552">
        <f ca="1">IFERROR(__xludf.DUMMYFUNCTION("IMPORTRANGE(""https://docs.google.com/spreadsheets/d/1XL5vhW3sbDhbH9Cz0tuDiY8C3ctxq1tqvaCgkFb8cCA/edit?usp=sharing"",""เลย!J419"")"),0)</f>
        <v>0</v>
      </c>
      <c r="BX45" s="556">
        <f t="shared" ca="1" si="93"/>
        <v>0</v>
      </c>
      <c r="BY45" s="557">
        <f t="shared" ca="1" si="94"/>
        <v>0</v>
      </c>
      <c r="BZ45" s="556">
        <f t="shared" ca="1" si="95"/>
        <v>0</v>
      </c>
      <c r="CA45" s="557">
        <f t="shared" ca="1" si="96"/>
        <v>0</v>
      </c>
      <c r="CB45" s="552">
        <f ca="1">IFERROR(__xludf.DUMMYFUNCTION("IMPORTRANGE(""https://docs.google.com/spreadsheets/d/1XL5vhW3sbDhbH9Cz0tuDiY8C3ctxq1tqvaCgkFb8cCA/edit?usp=sharing"",""เลย!J422"")"),0)</f>
        <v>0</v>
      </c>
      <c r="CC45" s="552">
        <f ca="1">IFERROR(__xludf.DUMMYFUNCTION("IMPORTRANGE(""https://docs.google.com/spreadsheets/d/1XL5vhW3sbDhbH9Cz0tuDiY8C3ctxq1tqvaCgkFb8cCA/edit?usp=sharing"",""เลย!J423"")"),0)</f>
        <v>0</v>
      </c>
      <c r="CD45" s="552">
        <f ca="1">IFERROR(__xludf.DUMMYFUNCTION("IMPORTRANGE(""https://docs.google.com/spreadsheets/d/1XL5vhW3sbDhbH9Cz0tuDiY8C3ctxq1tqvaCgkFb8cCA/edit?usp=sharing"",""เลย!J424"")"),0)</f>
        <v>0</v>
      </c>
      <c r="CE45" s="552">
        <f ca="1">IFERROR(__xludf.DUMMYFUNCTION("IMPORTRANGE(""https://docs.google.com/spreadsheets/d/1XL5vhW3sbDhbH9Cz0tuDiY8C3ctxq1tqvaCgkFb8cCA/edit?usp=sharing"",""เลย!J425"")"),0)</f>
        <v>0</v>
      </c>
      <c r="CF45" s="552">
        <f ca="1">IFERROR(__xludf.DUMMYFUNCTION("IMPORTRANGE(""https://docs.google.com/spreadsheets/d/1XL5vhW3sbDhbH9Cz0tuDiY8C3ctxq1tqvaCgkFb8cCA/edit?usp=sharing"",""เลย!J426"")"),0)</f>
        <v>0</v>
      </c>
      <c r="CG45" s="558">
        <f ca="1">IFERROR(__xludf.DUMMYFUNCTION("IMPORTRANGE(""https://docs.google.com/spreadsheets/d/1XL5vhW3sbDhbH9Cz0tuDiY8C3ctxq1tqvaCgkFb8cCA/edit?usp=sharing"",""เลย!J427"")"),0)</f>
        <v>0</v>
      </c>
    </row>
    <row r="46" spans="1:85" ht="21" customHeight="1">
      <c r="A46" s="549">
        <v>13</v>
      </c>
      <c r="B46" s="550" t="s">
        <v>70</v>
      </c>
      <c r="C46" s="551">
        <f t="shared" ca="1" si="82"/>
        <v>853421</v>
      </c>
      <c r="D46" s="552">
        <f ca="1">IFERROR(__xludf.DUMMYFUNCTION("IMPORTRANGE(""https://docs.google.com/spreadsheets/d/1C3CXT74ZlgGe6_JY_1olB1XN4rF0dxEuIIF-xsYjHgg/edit?usp=sharing"",""งบกองทุน!BC50"")"),0)</f>
        <v>0</v>
      </c>
      <c r="E46" s="553">
        <f ca="1">IFERROR(__xludf.DUMMYFUNCTION("IMPORTRANGE(""https://docs.google.com/spreadsheets/d/1C3CXT74ZlgGe6_JY_1olB1XN4rF0dxEuIIF-xsYjHgg/edit?usp=sharing"",""งบกองทุน!BD50"")"),853421)</f>
        <v>853421</v>
      </c>
      <c r="F46" s="554">
        <f ca="1">IFERROR(__xludf.DUMMYFUNCTION("IMPORTRANGE(""https://docs.google.com/spreadsheets/d/1XL5vhW3sbDhbH9Cz0tuDiY8C3ctxq1tqvaCgkFb8cCA/edit?usp=sharing"",""ศรีสะเกษ!M352"")"),18451.64)</f>
        <v>18451.64</v>
      </c>
      <c r="G46" s="554">
        <f t="shared" ca="1" si="1"/>
        <v>2.162079442619762</v>
      </c>
      <c r="H46" s="555">
        <f ca="1">IFERROR(__xludf.DUMMYFUNCTION("IMPORTRANGE(""https://docs.google.com/spreadsheets/d/1C3CXT74ZlgGe6_JY_1olB1XN4rF0dxEuIIF-xsYjHgg/edit?usp=sharing"",""งบกองทุน!BE50"")"),51444)</f>
        <v>51444</v>
      </c>
      <c r="I46" s="555">
        <f ca="1">IFERROR(__xludf.DUMMYFUNCTION("IMPORTRANGE(""https://docs.google.com/spreadsheets/d/1C3CXT74ZlgGe6_JY_1olB1XN4rF0dxEuIIF-xsYjHgg/edit?usp=sharing"",""งบกองทุน!BF50"")"),11134)</f>
        <v>11134</v>
      </c>
      <c r="J46" s="552">
        <f t="shared" ca="1" si="83"/>
        <v>51444</v>
      </c>
      <c r="K46" s="554">
        <f t="shared" ca="1" si="3"/>
        <v>100</v>
      </c>
      <c r="L46" s="552">
        <f t="shared" ca="1" si="84"/>
        <v>11134</v>
      </c>
      <c r="M46" s="554">
        <f t="shared" ca="1" si="4"/>
        <v>100</v>
      </c>
      <c r="N46" s="552">
        <f ca="1">IFERROR(__xludf.DUMMYFUNCTION("IMPORTRANGE(""https://docs.google.com/spreadsheets/d/1XL5vhW3sbDhbH9Cz0tuDiY8C3ctxq1tqvaCgkFb8cCA/edit?usp=sharing"",""ศรีสะเกษ!J362"")"),37203)</f>
        <v>37203</v>
      </c>
      <c r="O46" s="552">
        <f ca="1">IFERROR(__xludf.DUMMYFUNCTION("IMPORTRANGE(""https://docs.google.com/spreadsheets/d/1XL5vhW3sbDhbH9Cz0tuDiY8C3ctxq1tqvaCgkFb8cCA/edit?usp=sharing"",""ศรีสะเกษ!J363"")"),8531)</f>
        <v>8531</v>
      </c>
      <c r="P46" s="552">
        <f ca="1">IFERROR(__xludf.DUMMYFUNCTION("IMPORTRANGE(""https://docs.google.com/spreadsheets/d/1XL5vhW3sbDhbH9Cz0tuDiY8C3ctxq1tqvaCgkFb8cCA/edit?usp=sharing"",""ศรีสะเกษ!J364"")"),13054)</f>
        <v>13054</v>
      </c>
      <c r="Q46" s="552">
        <f ca="1">IFERROR(__xludf.DUMMYFUNCTION("IMPORTRANGE(""https://docs.google.com/spreadsheets/d/1XL5vhW3sbDhbH9Cz0tuDiY8C3ctxq1tqvaCgkFb8cCA/edit?usp=sharing"",""ศรีสะเกษ!J365"")"),2345)</f>
        <v>2345</v>
      </c>
      <c r="R46" s="552">
        <f ca="1">IFERROR(__xludf.DUMMYFUNCTION("IMPORTRANGE(""https://docs.google.com/spreadsheets/d/1XL5vhW3sbDhbH9Cz0tuDiY8C3ctxq1tqvaCgkFb8cCA/edit?usp=sharing"",""ศรีสะเกษ!J366"")"),1187)</f>
        <v>1187</v>
      </c>
      <c r="S46" s="552">
        <f ca="1">IFERROR(__xludf.DUMMYFUNCTION("IMPORTRANGE(""https://docs.google.com/spreadsheets/d/1XL5vhW3sbDhbH9Cz0tuDiY8C3ctxq1tqvaCgkFb8cCA/edit?usp=sharing"",""ศรีสะเกษ!J367"")"),258)</f>
        <v>258</v>
      </c>
      <c r="T46" s="552">
        <f t="shared" ca="1" si="85"/>
        <v>51444</v>
      </c>
      <c r="U46" s="552">
        <f t="shared" ca="1" si="6"/>
        <v>100</v>
      </c>
      <c r="V46" s="552">
        <f t="shared" ca="1" si="86"/>
        <v>11134</v>
      </c>
      <c r="W46" s="552">
        <f t="shared" ca="1" si="7"/>
        <v>100</v>
      </c>
      <c r="X46" s="552">
        <f ca="1">IFERROR(__xludf.DUMMYFUNCTION("IMPORTRANGE(""https://docs.google.com/spreadsheets/d/1XL5vhW3sbDhbH9Cz0tuDiY8C3ctxq1tqvaCgkFb8cCA/edit?usp=sharing"",""ศรีสะเกษ!J370"")"),39085)</f>
        <v>39085</v>
      </c>
      <c r="Y46" s="552">
        <f ca="1">IFERROR(__xludf.DUMMYFUNCTION("IMPORTRANGE(""https://docs.google.com/spreadsheets/d/1XL5vhW3sbDhbH9Cz0tuDiY8C3ctxq1tqvaCgkFb8cCA/edit?usp=sharing"",""ศรีสะเกษ!J371"")"),8882)</f>
        <v>8882</v>
      </c>
      <c r="Z46" s="552">
        <f ca="1">IFERROR(__xludf.DUMMYFUNCTION("IMPORTRANGE(""https://docs.google.com/spreadsheets/d/1XL5vhW3sbDhbH9Cz0tuDiY8C3ctxq1tqvaCgkFb8cCA/edit?usp=sharing"",""ศรีสะเกษ!J372"")"),10965)</f>
        <v>10965</v>
      </c>
      <c r="AA46" s="552">
        <f ca="1">IFERROR(__xludf.DUMMYFUNCTION("IMPORTRANGE(""https://docs.google.com/spreadsheets/d/1XL5vhW3sbDhbH9Cz0tuDiY8C3ctxq1tqvaCgkFb8cCA/edit?usp=sharing"",""ศรีสะเกษ!J373"")"),1965)</f>
        <v>1965</v>
      </c>
      <c r="AB46" s="552">
        <f ca="1">IFERROR(__xludf.DUMMYFUNCTION("IMPORTRANGE(""https://docs.google.com/spreadsheets/d/1XL5vhW3sbDhbH9Cz0tuDiY8C3ctxq1tqvaCgkFb8cCA/edit?usp=sharing"",""ศรีสะเกษ!J374"")"),1394)</f>
        <v>1394</v>
      </c>
      <c r="AC46" s="552">
        <f ca="1">IFERROR(__xludf.DUMMYFUNCTION("IMPORTRANGE(""https://docs.google.com/spreadsheets/d/1XL5vhW3sbDhbH9Cz0tuDiY8C3ctxq1tqvaCgkFb8cCA/edit?usp=sharing"",""ศรีสะเกษ!J375"")"),287)</f>
        <v>287</v>
      </c>
      <c r="AD46" s="552">
        <f t="shared" ca="1" si="87"/>
        <v>51444</v>
      </c>
      <c r="AE46" s="554">
        <f t="shared" ca="1" si="9"/>
        <v>100</v>
      </c>
      <c r="AF46" s="552">
        <f t="shared" ca="1" si="88"/>
        <v>11134</v>
      </c>
      <c r="AG46" s="554">
        <f t="shared" ca="1" si="10"/>
        <v>100</v>
      </c>
      <c r="AH46" s="552">
        <f ca="1">IFERROR(__xludf.DUMMYFUNCTION("IMPORTRANGE(""https://docs.google.com/spreadsheets/d/1XL5vhW3sbDhbH9Cz0tuDiY8C3ctxq1tqvaCgkFb8cCA/edit?usp=sharing"",""ศรีสะเกษ!J378"")"),39085)</f>
        <v>39085</v>
      </c>
      <c r="AI46" s="552">
        <f ca="1">IFERROR(__xludf.DUMMYFUNCTION("IMPORTRANGE(""https://docs.google.com/spreadsheets/d/1XL5vhW3sbDhbH9Cz0tuDiY8C3ctxq1tqvaCgkFb8cCA/edit?usp=sharing"",""ศรีสะเกษ!J379"")"),8882)</f>
        <v>8882</v>
      </c>
      <c r="AJ46" s="552">
        <f ca="1">IFERROR(__xludf.DUMMYFUNCTION("IMPORTRANGE(""https://docs.google.com/spreadsheets/d/1XL5vhW3sbDhbH9Cz0tuDiY8C3ctxq1tqvaCgkFb8cCA/edit?usp=sharing"",""ศรีสะเกษ!J380"")"),10965)</f>
        <v>10965</v>
      </c>
      <c r="AK46" s="552">
        <f ca="1">IFERROR(__xludf.DUMMYFUNCTION("IMPORTRANGE(""https://docs.google.com/spreadsheets/d/1XL5vhW3sbDhbH9Cz0tuDiY8C3ctxq1tqvaCgkFb8cCA/edit?usp=sharing"",""ศรีสะเกษ!J381"")"),1965)</f>
        <v>1965</v>
      </c>
      <c r="AL46" s="552">
        <f ca="1">IFERROR(__xludf.DUMMYFUNCTION("IMPORTRANGE(""https://docs.google.com/spreadsheets/d/1XL5vhW3sbDhbH9Cz0tuDiY8C3ctxq1tqvaCgkFb8cCA/edit?usp=sharing"",""ศรีสะเกษ!J384"")"),1394)</f>
        <v>1394</v>
      </c>
      <c r="AM46" s="552">
        <f ca="1">IFERROR(__xludf.DUMMYFUNCTION("IMPORTRANGE(""https://docs.google.com/spreadsheets/d/1XL5vhW3sbDhbH9Cz0tuDiY8C3ctxq1tqvaCgkFb8cCA/edit?usp=sharing"",""ศรีสะเกษ!J385"")"),287)</f>
        <v>287</v>
      </c>
      <c r="AN46" s="552">
        <f ca="1">IFERROR(__xludf.DUMMYFUNCTION("IMPORTRANGE(""https://docs.google.com/spreadsheets/d/1XL5vhW3sbDhbH9Cz0tuDiY8C3ctxq1tqvaCgkFb8cCA/edit?usp=sharing"",""ศรีสะเกษ!J386"")"),0)</f>
        <v>0</v>
      </c>
      <c r="AO46" s="552">
        <f ca="1">IFERROR(__xludf.DUMMYFUNCTION("IMPORTRANGE(""https://docs.google.com/spreadsheets/d/1XL5vhW3sbDhbH9Cz0tuDiY8C3ctxq1tqvaCgkFb8cCA/edit?usp=sharing"",""ศรีสะเกษ!J387"")"),0)</f>
        <v>0</v>
      </c>
      <c r="AP46" s="552">
        <f ca="1">IFERROR(__xludf.DUMMYFUNCTION("IMPORTRANGE(""https://docs.google.com/spreadsheets/d/1XL5vhW3sbDhbH9Cz0tuDiY8C3ctxq1tqvaCgkFb8cCA/edit?usp=sharing"",""ศรีสะเกษ!J388"")"),0)</f>
        <v>0</v>
      </c>
      <c r="AQ46" s="552">
        <f ca="1">IFERROR(__xludf.DUMMYFUNCTION("IMPORTRANGE(""https://docs.google.com/spreadsheets/d/1XL5vhW3sbDhbH9Cz0tuDiY8C3ctxq1tqvaCgkFb8cCA/edit?usp=sharing"",""ศรีสะเกษ!J389"")"),0)</f>
        <v>0</v>
      </c>
      <c r="AR46" s="552">
        <f ca="1">IFERROR(__xludf.DUMMYFUNCTION("IMPORTRANGE(""https://docs.google.com/spreadsheets/d/1XL5vhW3sbDhbH9Cz0tuDiY8C3ctxq1tqvaCgkFb8cCA/edit?usp=sharing"",""ศรีสะเกษ!J390"")"),0)</f>
        <v>0</v>
      </c>
      <c r="AS46" s="552">
        <f ca="1">IFERROR(__xludf.DUMMYFUNCTION("IMPORTRANGE(""https://docs.google.com/spreadsheets/d/1XL5vhW3sbDhbH9Cz0tuDiY8C3ctxq1tqvaCgkFb8cCA/edit?usp=sharing"",""ศรีสะเกษ!J391"")"),0)</f>
        <v>0</v>
      </c>
      <c r="AT46" s="556">
        <f ca="1">IFERROR(__xludf.DUMMYFUNCTION("IMPORTRANGE(""https://docs.google.com/spreadsheets/d/1C3CXT74ZlgGe6_JY_1olB1XN4rF0dxEuIIF-xsYjHgg/edit?usp=sharing"",""งบกองทุน!CD50"")"),3328)</f>
        <v>3328</v>
      </c>
      <c r="AU46" s="556">
        <f ca="1">IFERROR(__xludf.DUMMYFUNCTION("IMPORTRANGE(""https://docs.google.com/spreadsheets/d/1C3CXT74ZlgGe6_JY_1olB1XN4rF0dxEuIIF-xsYjHgg/edit?usp=sharing"",""งบกองทุน!CC50"")"),726)</f>
        <v>726</v>
      </c>
      <c r="AV46" s="556">
        <f t="shared" ca="1" si="89"/>
        <v>890</v>
      </c>
      <c r="AW46" s="556">
        <f t="shared" ca="1" si="12"/>
        <v>26.74278846153846</v>
      </c>
      <c r="AX46" s="556">
        <f t="shared" ca="1" si="90"/>
        <v>278</v>
      </c>
      <c r="AY46" s="556">
        <f t="shared" ca="1" si="13"/>
        <v>38.292011019283748</v>
      </c>
      <c r="AZ46" s="552">
        <f ca="1">IFERROR(__xludf.DUMMYFUNCTION("IMPORTRANGE(""https://docs.google.com/spreadsheets/d/1XL5vhW3sbDhbH9Cz0tuDiY8C3ctxq1tqvaCgkFb8cCA/edit?usp=sharing"",""ศรีสะเกษ!J397"")"),46)</f>
        <v>46</v>
      </c>
      <c r="BA46" s="552">
        <f ca="1">IFERROR(__xludf.DUMMYFUNCTION("IMPORTRANGE(""https://docs.google.com/spreadsheets/d/1XL5vhW3sbDhbH9Cz0tuDiY8C3ctxq1tqvaCgkFb8cCA/edit?usp=sharing"",""ศรีสะเกษ!J398"")"),18)</f>
        <v>18</v>
      </c>
      <c r="BB46" s="552">
        <f ca="1">IFERROR(__xludf.DUMMYFUNCTION("IMPORTRANGE(""https://docs.google.com/spreadsheets/d/1XL5vhW3sbDhbH9Cz0tuDiY8C3ctxq1tqvaCgkFb8cCA/edit?usp=sharing"",""ศรีสะเกษ!J399"")"),34)</f>
        <v>34</v>
      </c>
      <c r="BC46" s="552">
        <f ca="1">IFERROR(__xludf.DUMMYFUNCTION("IMPORTRANGE(""https://docs.google.com/spreadsheets/d/1XL5vhW3sbDhbH9Cz0tuDiY8C3ctxq1tqvaCgkFb8cCA/edit?usp=sharing"",""ศรีสะเกษ!J400"")"),11)</f>
        <v>11</v>
      </c>
      <c r="BD46" s="552">
        <f ca="1">IFERROR(__xludf.DUMMYFUNCTION("IMPORTRANGE(""https://docs.google.com/spreadsheets/d/1XL5vhW3sbDhbH9Cz0tuDiY8C3ctxq1tqvaCgkFb8cCA/edit?usp=sharing"",""ศรีสะเกษ!J401"")"),0)</f>
        <v>0</v>
      </c>
      <c r="BE46" s="552">
        <f ca="1">IFERROR(__xludf.DUMMYFUNCTION("IMPORTRANGE(""https://docs.google.com/spreadsheets/d/1XL5vhW3sbDhbH9Cz0tuDiY8C3ctxq1tqvaCgkFb8cCA/edit?usp=sharing"",""ศรีสะเกษ!J402"")"),0)</f>
        <v>0</v>
      </c>
      <c r="BF46" s="552">
        <f ca="1">IFERROR(__xludf.DUMMYFUNCTION("IMPORTRANGE(""https://docs.google.com/spreadsheets/d/1XL5vhW3sbDhbH9Cz0tuDiY8C3ctxq1tqvaCgkFb8cCA/edit?usp=sharing"",""ศรีสะเกษ!J405"")"),0)</f>
        <v>0</v>
      </c>
      <c r="BG46" s="552">
        <f ca="1">IFERROR(__xludf.DUMMYFUNCTION("IMPORTRANGE(""https://docs.google.com/spreadsheets/d/1XL5vhW3sbDhbH9Cz0tuDiY8C3ctxq1tqvaCgkFb8cCA/edit?usp=sharing"",""ศรีสะเกษ!J406"")"),0)</f>
        <v>0</v>
      </c>
      <c r="BH46" s="552">
        <f ca="1">IFERROR(__xludf.DUMMYFUNCTION("IMPORTRANGE(""https://docs.google.com/spreadsheets/d/1XL5vhW3sbDhbH9Cz0tuDiY8C3ctxq1tqvaCgkFb8cCA/edit?usp=sharing"",""ศรีสะเกษ!J407"")"),5)</f>
        <v>5</v>
      </c>
      <c r="BI46" s="552">
        <f ca="1">IFERROR(__xludf.DUMMYFUNCTION("IMPORTRANGE(""https://docs.google.com/spreadsheets/d/1XL5vhW3sbDhbH9Cz0tuDiY8C3ctxq1tqvaCgkFb8cCA/edit?usp=sharing"",""ศรีสะเกษ!J408"")"),2)</f>
        <v>2</v>
      </c>
      <c r="BJ46" s="552">
        <f ca="1">IFERROR(__xludf.DUMMYFUNCTION("IMPORTRANGE(""https://docs.google.com/spreadsheets/d/1XL5vhW3sbDhbH9Cz0tuDiY8C3ctxq1tqvaCgkFb8cCA/edit?usp=sharing"",""ศรีสะเกษ!J409"")"),805)</f>
        <v>805</v>
      </c>
      <c r="BK46" s="552">
        <f ca="1">IFERROR(__xludf.DUMMYFUNCTION("IMPORTRANGE(""https://docs.google.com/spreadsheets/d/1XL5vhW3sbDhbH9Cz0tuDiY8C3ctxq1tqvaCgkFb8cCA/edit?usp=sharing"",""ศรีสะเกษ!J410"")"),247)</f>
        <v>247</v>
      </c>
      <c r="BL46" s="556">
        <f ca="1">IFERROR(__xludf.DUMMYFUNCTION("IMPORTRANGE(""https://docs.google.com/spreadsheets/d/1C3CXT74ZlgGe6_JY_1olB1XN4rF0dxEuIIF-xsYjHgg/edit?usp=sharing"",""งบกองทุน!CZ50"")"),0)</f>
        <v>0</v>
      </c>
      <c r="BM46" s="556">
        <f ca="1">IFERROR(__xludf.DUMMYFUNCTION("IMPORTRANGE(""https://docs.google.com/spreadsheets/d/1C3CXT74ZlgGe6_JY_1olB1XN4rF0dxEuIIF-xsYjHgg/edit?usp=sharing"",""งบกองทุน!CY50"")"),0)</f>
        <v>0</v>
      </c>
      <c r="BN46" s="556">
        <f t="shared" ca="1" si="91"/>
        <v>0</v>
      </c>
      <c r="BO46" s="557">
        <f t="shared" ca="1" si="15"/>
        <v>0</v>
      </c>
      <c r="BP46" s="556">
        <f t="shared" ca="1" si="92"/>
        <v>0</v>
      </c>
      <c r="BQ46" s="557">
        <f t="shared" ca="1" si="16"/>
        <v>0</v>
      </c>
      <c r="BR46" s="552">
        <f ca="1">IFERROR(__xludf.DUMMYFUNCTION("IMPORTRANGE(""https://docs.google.com/spreadsheets/d/1XL5vhW3sbDhbH9Cz0tuDiY8C3ctxq1tqvaCgkFb8cCA/edit?usp=sharing"",""ศรีสะเกษ!J414"")"),0)</f>
        <v>0</v>
      </c>
      <c r="BS46" s="552">
        <f ca="1">IFERROR(__xludf.DUMMYFUNCTION("IMPORTRANGE(""https://docs.google.com/spreadsheets/d/1XL5vhW3sbDhbH9Cz0tuDiY8C3ctxq1tqvaCgkFb8cCA/edit?usp=sharing"",""ศรีสะเกษ!J415"")"),0)</f>
        <v>0</v>
      </c>
      <c r="BT46" s="552">
        <f ca="1">IFERROR(__xludf.DUMMYFUNCTION("IMPORTRANGE(""https://docs.google.com/spreadsheets/d/1XL5vhW3sbDhbH9Cz0tuDiY8C3ctxq1tqvaCgkFb8cCA/edit?usp=sharing"",""ศรีสะเกษ!J416"")"),0)</f>
        <v>0</v>
      </c>
      <c r="BU46" s="552">
        <f ca="1">IFERROR(__xludf.DUMMYFUNCTION("IMPORTRANGE(""https://docs.google.com/spreadsheets/d/1XL5vhW3sbDhbH9Cz0tuDiY8C3ctxq1tqvaCgkFb8cCA/edit?usp=sharing"",""ศรีสะเกษ!J417"")"),0)</f>
        <v>0</v>
      </c>
      <c r="BV46" s="552">
        <f ca="1">IFERROR(__xludf.DUMMYFUNCTION("IMPORTRANGE(""https://docs.google.com/spreadsheets/d/1XL5vhW3sbDhbH9Cz0tuDiY8C3ctxq1tqvaCgkFb8cCA/edit?usp=sharing"",""ศรีสะเกษ!J418"")"),0)</f>
        <v>0</v>
      </c>
      <c r="BW46" s="552">
        <f ca="1">IFERROR(__xludf.DUMMYFUNCTION("IMPORTRANGE(""https://docs.google.com/spreadsheets/d/1XL5vhW3sbDhbH9Cz0tuDiY8C3ctxq1tqvaCgkFb8cCA/edit?usp=sharing"",""ศรีสะเกษ!J419"")"),0)</f>
        <v>0</v>
      </c>
      <c r="BX46" s="556">
        <f t="shared" ca="1" si="93"/>
        <v>0</v>
      </c>
      <c r="BY46" s="557">
        <f t="shared" ca="1" si="94"/>
        <v>0</v>
      </c>
      <c r="BZ46" s="556">
        <f t="shared" ca="1" si="95"/>
        <v>0</v>
      </c>
      <c r="CA46" s="557">
        <f t="shared" ca="1" si="96"/>
        <v>0</v>
      </c>
      <c r="CB46" s="552">
        <f ca="1">IFERROR(__xludf.DUMMYFUNCTION("IMPORTRANGE(""https://docs.google.com/spreadsheets/d/1XL5vhW3sbDhbH9Cz0tuDiY8C3ctxq1tqvaCgkFb8cCA/edit?usp=sharing"",""ศรีสะเกษ!J422"")"),0)</f>
        <v>0</v>
      </c>
      <c r="CC46" s="552">
        <f ca="1">IFERROR(__xludf.DUMMYFUNCTION("IMPORTRANGE(""https://docs.google.com/spreadsheets/d/1XL5vhW3sbDhbH9Cz0tuDiY8C3ctxq1tqvaCgkFb8cCA/edit?usp=sharing"",""ศรีสะเกษ!J423"")"),0)</f>
        <v>0</v>
      </c>
      <c r="CD46" s="552">
        <f ca="1">IFERROR(__xludf.DUMMYFUNCTION("IMPORTRANGE(""https://docs.google.com/spreadsheets/d/1XL5vhW3sbDhbH9Cz0tuDiY8C3ctxq1tqvaCgkFb8cCA/edit?usp=sharing"",""ศรีสะเกษ!J424"")"),0)</f>
        <v>0</v>
      </c>
      <c r="CE46" s="552">
        <f ca="1">IFERROR(__xludf.DUMMYFUNCTION("IMPORTRANGE(""https://docs.google.com/spreadsheets/d/1XL5vhW3sbDhbH9Cz0tuDiY8C3ctxq1tqvaCgkFb8cCA/edit?usp=sharing"",""ศรีสะเกษ!J425"")"),0)</f>
        <v>0</v>
      </c>
      <c r="CF46" s="552">
        <f ca="1">IFERROR(__xludf.DUMMYFUNCTION("IMPORTRANGE(""https://docs.google.com/spreadsheets/d/1XL5vhW3sbDhbH9Cz0tuDiY8C3ctxq1tqvaCgkFb8cCA/edit?usp=sharing"",""ศรีสะเกษ!J426"")"),0)</f>
        <v>0</v>
      </c>
      <c r="CG46" s="558">
        <f ca="1">IFERROR(__xludf.DUMMYFUNCTION("IMPORTRANGE(""https://docs.google.com/spreadsheets/d/1XL5vhW3sbDhbH9Cz0tuDiY8C3ctxq1tqvaCgkFb8cCA/edit?usp=sharing"",""ศรีสะเกษ!J427"")"),0)</f>
        <v>0</v>
      </c>
    </row>
    <row r="47" spans="1:85" ht="21" customHeight="1">
      <c r="A47" s="549">
        <v>14</v>
      </c>
      <c r="B47" s="550" t="s">
        <v>71</v>
      </c>
      <c r="C47" s="551">
        <f t="shared" ca="1" si="82"/>
        <v>585768</v>
      </c>
      <c r="D47" s="552">
        <f ca="1">IFERROR(__xludf.DUMMYFUNCTION("IMPORTRANGE(""https://docs.google.com/spreadsheets/d/1C3CXT74ZlgGe6_JY_1olB1XN4rF0dxEuIIF-xsYjHgg/edit?usp=sharing"",""งบกองทุน!BC51"")"),0)</f>
        <v>0</v>
      </c>
      <c r="E47" s="553">
        <f ca="1">IFERROR(__xludf.DUMMYFUNCTION("IMPORTRANGE(""https://docs.google.com/spreadsheets/d/1C3CXT74ZlgGe6_JY_1olB1XN4rF0dxEuIIF-xsYjHgg/edit?usp=sharing"",""งบกองทุน!BD51"")"),585768)</f>
        <v>585768</v>
      </c>
      <c r="F47" s="554">
        <f ca="1">IFERROR(__xludf.DUMMYFUNCTION("IMPORTRANGE(""https://docs.google.com/spreadsheets/d/1XL5vhW3sbDhbH9Cz0tuDiY8C3ctxq1tqvaCgkFb8cCA/edit?usp=sharing"",""สกลนคร!M352"")"),145602.13)</f>
        <v>145602.13</v>
      </c>
      <c r="G47" s="554">
        <f t="shared" ca="1" si="1"/>
        <v>24.856620709905627</v>
      </c>
      <c r="H47" s="555">
        <f ca="1">IFERROR(__xludf.DUMMYFUNCTION("IMPORTRANGE(""https://docs.google.com/spreadsheets/d/1C3CXT74ZlgGe6_JY_1olB1XN4rF0dxEuIIF-xsYjHgg/edit?usp=sharing"",""งบกองทุน!BE51"")"),45964)</f>
        <v>45964</v>
      </c>
      <c r="I47" s="555">
        <f ca="1">IFERROR(__xludf.DUMMYFUNCTION("IMPORTRANGE(""https://docs.google.com/spreadsheets/d/1C3CXT74ZlgGe6_JY_1olB1XN4rF0dxEuIIF-xsYjHgg/edit?usp=sharing"",""งบกองทุน!BF51"")"),5754)</f>
        <v>5754</v>
      </c>
      <c r="J47" s="552">
        <f t="shared" ca="1" si="83"/>
        <v>46276.34</v>
      </c>
      <c r="K47" s="554">
        <f t="shared" ca="1" si="3"/>
        <v>100.67953180750152</v>
      </c>
      <c r="L47" s="552">
        <f t="shared" ca="1" si="84"/>
        <v>5754</v>
      </c>
      <c r="M47" s="554">
        <f t="shared" ca="1" si="4"/>
        <v>100</v>
      </c>
      <c r="N47" s="552">
        <f ca="1">IFERROR(__xludf.DUMMYFUNCTION("IMPORTRANGE(""https://docs.google.com/spreadsheets/d/1XL5vhW3sbDhbH9Cz0tuDiY8C3ctxq1tqvaCgkFb8cCA/edit?usp=sharing"",""สกลนคร!J362"")"),37711.09)</f>
        <v>37711.089999999997</v>
      </c>
      <c r="O47" s="552">
        <f ca="1">IFERROR(__xludf.DUMMYFUNCTION("IMPORTRANGE(""https://docs.google.com/spreadsheets/d/1XL5vhW3sbDhbH9Cz0tuDiY8C3ctxq1tqvaCgkFb8cCA/edit?usp=sharing"",""สกลนคร!J363"")"),4991)</f>
        <v>4991</v>
      </c>
      <c r="P47" s="552">
        <f ca="1">IFERROR(__xludf.DUMMYFUNCTION("IMPORTRANGE(""https://docs.google.com/spreadsheets/d/1XL5vhW3sbDhbH9Cz0tuDiY8C3ctxq1tqvaCgkFb8cCA/edit?usp=sharing"",""สกลนคร!J364"")"),7757.18)</f>
        <v>7757.18</v>
      </c>
      <c r="Q47" s="552">
        <f ca="1">IFERROR(__xludf.DUMMYFUNCTION("IMPORTRANGE(""https://docs.google.com/spreadsheets/d/1XL5vhW3sbDhbH9Cz0tuDiY8C3ctxq1tqvaCgkFb8cCA/edit?usp=sharing"",""สกลนคร!J365"")"),666)</f>
        <v>666</v>
      </c>
      <c r="R47" s="552">
        <f ca="1">IFERROR(__xludf.DUMMYFUNCTION("IMPORTRANGE(""https://docs.google.com/spreadsheets/d/1XL5vhW3sbDhbH9Cz0tuDiY8C3ctxq1tqvaCgkFb8cCA/edit?usp=sharing"",""สกลนคร!J366"")"),808.07)</f>
        <v>808.07</v>
      </c>
      <c r="S47" s="552">
        <f ca="1">IFERROR(__xludf.DUMMYFUNCTION("IMPORTRANGE(""https://docs.google.com/spreadsheets/d/1XL5vhW3sbDhbH9Cz0tuDiY8C3ctxq1tqvaCgkFb8cCA/edit?usp=sharing"",""สกลนคร!J367"")"),97)</f>
        <v>97</v>
      </c>
      <c r="T47" s="552">
        <f t="shared" ca="1" si="85"/>
        <v>46277.11</v>
      </c>
      <c r="U47" s="552">
        <f t="shared" ca="1" si="6"/>
        <v>100.68120703158993</v>
      </c>
      <c r="V47" s="552">
        <f t="shared" ca="1" si="86"/>
        <v>5754</v>
      </c>
      <c r="W47" s="552">
        <f t="shared" ca="1" si="7"/>
        <v>100</v>
      </c>
      <c r="X47" s="552">
        <f ca="1">IFERROR(__xludf.DUMMYFUNCTION("IMPORTRANGE(""https://docs.google.com/spreadsheets/d/1XL5vhW3sbDhbH9Cz0tuDiY8C3ctxq1tqvaCgkFb8cCA/edit?usp=sharing"",""สกลนคร!J370"")"),40850.19)</f>
        <v>40850.19</v>
      </c>
      <c r="Y47" s="552">
        <f ca="1">IFERROR(__xludf.DUMMYFUNCTION("IMPORTRANGE(""https://docs.google.com/spreadsheets/d/1XL5vhW3sbDhbH9Cz0tuDiY8C3ctxq1tqvaCgkFb8cCA/edit?usp=sharing"",""สกลนคร!J371"")"),5277)</f>
        <v>5277</v>
      </c>
      <c r="Z47" s="552">
        <f ca="1">IFERROR(__xludf.DUMMYFUNCTION("IMPORTRANGE(""https://docs.google.com/spreadsheets/d/1XL5vhW3sbDhbH9Cz0tuDiY8C3ctxq1tqvaCgkFb8cCA/edit?usp=sharing"",""สกลนคร!J372"")"),4618.85)</f>
        <v>4618.8500000000004</v>
      </c>
      <c r="AA47" s="552">
        <f ca="1">IFERROR(__xludf.DUMMYFUNCTION("IMPORTRANGE(""https://docs.google.com/spreadsheets/d/1XL5vhW3sbDhbH9Cz0tuDiY8C3ctxq1tqvaCgkFb8cCA/edit?usp=sharing"",""สกลนคร!J373"")"),380)</f>
        <v>380</v>
      </c>
      <c r="AB47" s="552">
        <f ca="1">IFERROR(__xludf.DUMMYFUNCTION("IMPORTRANGE(""https://docs.google.com/spreadsheets/d/1XL5vhW3sbDhbH9Cz0tuDiY8C3ctxq1tqvaCgkFb8cCA/edit?usp=sharing"",""สกลนคร!J374"")"),808.07)</f>
        <v>808.07</v>
      </c>
      <c r="AC47" s="552">
        <f ca="1">IFERROR(__xludf.DUMMYFUNCTION("IMPORTRANGE(""https://docs.google.com/spreadsheets/d/1XL5vhW3sbDhbH9Cz0tuDiY8C3ctxq1tqvaCgkFb8cCA/edit?usp=sharing"",""สกลนคร!J375"")"),97)</f>
        <v>97</v>
      </c>
      <c r="AD47" s="552">
        <f t="shared" ca="1" si="87"/>
        <v>0</v>
      </c>
      <c r="AE47" s="554">
        <f t="shared" ca="1" si="9"/>
        <v>0</v>
      </c>
      <c r="AF47" s="552">
        <f t="shared" ca="1" si="88"/>
        <v>0</v>
      </c>
      <c r="AG47" s="554">
        <f t="shared" ca="1" si="10"/>
        <v>0</v>
      </c>
      <c r="AH47" s="552">
        <f ca="1">IFERROR(__xludf.DUMMYFUNCTION("IMPORTRANGE(""https://docs.google.com/spreadsheets/d/1XL5vhW3sbDhbH9Cz0tuDiY8C3ctxq1tqvaCgkFb8cCA/edit?usp=sharing"",""สกลนคร!J378"")"),0)</f>
        <v>0</v>
      </c>
      <c r="AI47" s="552">
        <f ca="1">IFERROR(__xludf.DUMMYFUNCTION("IMPORTRANGE(""https://docs.google.com/spreadsheets/d/1XL5vhW3sbDhbH9Cz0tuDiY8C3ctxq1tqvaCgkFb8cCA/edit?usp=sharing"",""สกลนคร!J379"")"),0)</f>
        <v>0</v>
      </c>
      <c r="AJ47" s="552">
        <f ca="1">IFERROR(__xludf.DUMMYFUNCTION("IMPORTRANGE(""https://docs.google.com/spreadsheets/d/1XL5vhW3sbDhbH9Cz0tuDiY8C3ctxq1tqvaCgkFb8cCA/edit?usp=sharing"",""สกลนคร!J380"")"),0)</f>
        <v>0</v>
      </c>
      <c r="AK47" s="552">
        <f ca="1">IFERROR(__xludf.DUMMYFUNCTION("IMPORTRANGE(""https://docs.google.com/spreadsheets/d/1XL5vhW3sbDhbH9Cz0tuDiY8C3ctxq1tqvaCgkFb8cCA/edit?usp=sharing"",""สกลนคร!J381"")"),0)</f>
        <v>0</v>
      </c>
      <c r="AL47" s="552">
        <f ca="1">IFERROR(__xludf.DUMMYFUNCTION("IMPORTRANGE(""https://docs.google.com/spreadsheets/d/1XL5vhW3sbDhbH9Cz0tuDiY8C3ctxq1tqvaCgkFb8cCA/edit?usp=sharing"",""สกลนคร!J384"")"),0)</f>
        <v>0</v>
      </c>
      <c r="AM47" s="552">
        <f ca="1">IFERROR(__xludf.DUMMYFUNCTION("IMPORTRANGE(""https://docs.google.com/spreadsheets/d/1XL5vhW3sbDhbH9Cz0tuDiY8C3ctxq1tqvaCgkFb8cCA/edit?usp=sharing"",""สกลนคร!J385"")"),0)</f>
        <v>0</v>
      </c>
      <c r="AN47" s="552">
        <f ca="1">IFERROR(__xludf.DUMMYFUNCTION("IMPORTRANGE(""https://docs.google.com/spreadsheets/d/1XL5vhW3sbDhbH9Cz0tuDiY8C3ctxq1tqvaCgkFb8cCA/edit?usp=sharing"",""สกลนคร!J386"")"),0)</f>
        <v>0</v>
      </c>
      <c r="AO47" s="552">
        <f ca="1">IFERROR(__xludf.DUMMYFUNCTION("IMPORTRANGE(""https://docs.google.com/spreadsheets/d/1XL5vhW3sbDhbH9Cz0tuDiY8C3ctxq1tqvaCgkFb8cCA/edit?usp=sharing"",""สกลนคร!J387"")"),0)</f>
        <v>0</v>
      </c>
      <c r="AP47" s="552">
        <f ca="1">IFERROR(__xludf.DUMMYFUNCTION("IMPORTRANGE(""https://docs.google.com/spreadsheets/d/1XL5vhW3sbDhbH9Cz0tuDiY8C3ctxq1tqvaCgkFb8cCA/edit?usp=sharing"",""สกลนคร!J388"")"),0)</f>
        <v>0</v>
      </c>
      <c r="AQ47" s="552">
        <f ca="1">IFERROR(__xludf.DUMMYFUNCTION("IMPORTRANGE(""https://docs.google.com/spreadsheets/d/1XL5vhW3sbDhbH9Cz0tuDiY8C3ctxq1tqvaCgkFb8cCA/edit?usp=sharing"",""สกลนคร!J389"")"),0)</f>
        <v>0</v>
      </c>
      <c r="AR47" s="552">
        <f ca="1">IFERROR(__xludf.DUMMYFUNCTION("IMPORTRANGE(""https://docs.google.com/spreadsheets/d/1XL5vhW3sbDhbH9Cz0tuDiY8C3ctxq1tqvaCgkFb8cCA/edit?usp=sharing"",""สกลนคร!J390"")"),0)</f>
        <v>0</v>
      </c>
      <c r="AS47" s="552">
        <f ca="1">IFERROR(__xludf.DUMMYFUNCTION("IMPORTRANGE(""https://docs.google.com/spreadsheets/d/1XL5vhW3sbDhbH9Cz0tuDiY8C3ctxq1tqvaCgkFb8cCA/edit?usp=sharing"",""สกลนคร!J391"")"),0)</f>
        <v>0</v>
      </c>
      <c r="AT47" s="556">
        <f ca="1">IFERROR(__xludf.DUMMYFUNCTION("IMPORTRANGE(""https://docs.google.com/spreadsheets/d/1C3CXT74ZlgGe6_JY_1olB1XN4rF0dxEuIIF-xsYjHgg/edit?usp=sharing"",""งบกองทุน!CD51"")"),3350)</f>
        <v>3350</v>
      </c>
      <c r="AU47" s="556">
        <f ca="1">IFERROR(__xludf.DUMMYFUNCTION("IMPORTRANGE(""https://docs.google.com/spreadsheets/d/1C3CXT74ZlgGe6_JY_1olB1XN4rF0dxEuIIF-xsYjHgg/edit?usp=sharing"",""งบกองทุน!CC51"")"),366)</f>
        <v>366</v>
      </c>
      <c r="AV47" s="556">
        <f t="shared" ca="1" si="89"/>
        <v>2196</v>
      </c>
      <c r="AW47" s="556">
        <f t="shared" ca="1" si="12"/>
        <v>65.552238805970148</v>
      </c>
      <c r="AX47" s="556">
        <f t="shared" ca="1" si="90"/>
        <v>230</v>
      </c>
      <c r="AY47" s="556">
        <f t="shared" ca="1" si="13"/>
        <v>62.841530054644807</v>
      </c>
      <c r="AZ47" s="552">
        <f ca="1">IFERROR(__xludf.DUMMYFUNCTION("IMPORTRANGE(""https://docs.google.com/spreadsheets/d/1XL5vhW3sbDhbH9Cz0tuDiY8C3ctxq1tqvaCgkFb8cCA/edit?usp=sharing"",""สกลนคร!J397"")"),2124)</f>
        <v>2124</v>
      </c>
      <c r="BA47" s="552">
        <f ca="1">IFERROR(__xludf.DUMMYFUNCTION("IMPORTRANGE(""https://docs.google.com/spreadsheets/d/1XL5vhW3sbDhbH9Cz0tuDiY8C3ctxq1tqvaCgkFb8cCA/edit?usp=sharing"",""สกลนคร!J398"")"),215)</f>
        <v>215</v>
      </c>
      <c r="BB47" s="552">
        <f ca="1">IFERROR(__xludf.DUMMYFUNCTION("IMPORTRANGE(""https://docs.google.com/spreadsheets/d/1XL5vhW3sbDhbH9Cz0tuDiY8C3ctxq1tqvaCgkFb8cCA/edit?usp=sharing"",""สกลนคร!J399"")"),72)</f>
        <v>72</v>
      </c>
      <c r="BC47" s="552">
        <f ca="1">IFERROR(__xludf.DUMMYFUNCTION("IMPORTRANGE(""https://docs.google.com/spreadsheets/d/1XL5vhW3sbDhbH9Cz0tuDiY8C3ctxq1tqvaCgkFb8cCA/edit?usp=sharing"",""สกลนคร!J400"")"),15)</f>
        <v>15</v>
      </c>
      <c r="BD47" s="552">
        <f ca="1">IFERROR(__xludf.DUMMYFUNCTION("IMPORTRANGE(""https://docs.google.com/spreadsheets/d/1XL5vhW3sbDhbH9Cz0tuDiY8C3ctxq1tqvaCgkFb8cCA/edit?usp=sharing"",""สกลนคร!J401"")"),0)</f>
        <v>0</v>
      </c>
      <c r="BE47" s="552">
        <f ca="1">IFERROR(__xludf.DUMMYFUNCTION("IMPORTRANGE(""https://docs.google.com/spreadsheets/d/1XL5vhW3sbDhbH9Cz0tuDiY8C3ctxq1tqvaCgkFb8cCA/edit?usp=sharing"",""สกลนคร!J402"")"),0)</f>
        <v>0</v>
      </c>
      <c r="BF47" s="552">
        <f ca="1">IFERROR(__xludf.DUMMYFUNCTION("IMPORTRANGE(""https://docs.google.com/spreadsheets/d/1XL5vhW3sbDhbH9Cz0tuDiY8C3ctxq1tqvaCgkFb8cCA/edit?usp=sharing"",""สกลนคร!J405"")"),0)</f>
        <v>0</v>
      </c>
      <c r="BG47" s="552">
        <f ca="1">IFERROR(__xludf.DUMMYFUNCTION("IMPORTRANGE(""https://docs.google.com/spreadsheets/d/1XL5vhW3sbDhbH9Cz0tuDiY8C3ctxq1tqvaCgkFb8cCA/edit?usp=sharing"",""สกลนคร!J406"")"),0)</f>
        <v>0</v>
      </c>
      <c r="BH47" s="552">
        <f ca="1">IFERROR(__xludf.DUMMYFUNCTION("IMPORTRANGE(""https://docs.google.com/spreadsheets/d/1XL5vhW3sbDhbH9Cz0tuDiY8C3ctxq1tqvaCgkFb8cCA/edit?usp=sharing"",""สกลนคร!J407"")"),0)</f>
        <v>0</v>
      </c>
      <c r="BI47" s="552">
        <f ca="1">IFERROR(__xludf.DUMMYFUNCTION("IMPORTRANGE(""https://docs.google.com/spreadsheets/d/1XL5vhW3sbDhbH9Cz0tuDiY8C3ctxq1tqvaCgkFb8cCA/edit?usp=sharing"",""สกลนคร!J408"")"),0)</f>
        <v>0</v>
      </c>
      <c r="BJ47" s="552">
        <f ca="1">IFERROR(__xludf.DUMMYFUNCTION("IMPORTRANGE(""https://docs.google.com/spreadsheets/d/1XL5vhW3sbDhbH9Cz0tuDiY8C3ctxq1tqvaCgkFb8cCA/edit?usp=sharing"",""สกลนคร!J409"")"),0)</f>
        <v>0</v>
      </c>
      <c r="BK47" s="552">
        <f ca="1">IFERROR(__xludf.DUMMYFUNCTION("IMPORTRANGE(""https://docs.google.com/spreadsheets/d/1XL5vhW3sbDhbH9Cz0tuDiY8C3ctxq1tqvaCgkFb8cCA/edit?usp=sharing"",""สกลนคร!J410"")"),0)</f>
        <v>0</v>
      </c>
      <c r="BL47" s="556">
        <f ca="1">IFERROR(__xludf.DUMMYFUNCTION("IMPORTRANGE(""https://docs.google.com/spreadsheets/d/1C3CXT74ZlgGe6_JY_1olB1XN4rF0dxEuIIF-xsYjHgg/edit?usp=sharing"",""งบกองทุน!CZ51"")"),0)</f>
        <v>0</v>
      </c>
      <c r="BM47" s="556">
        <f ca="1">IFERROR(__xludf.DUMMYFUNCTION("IMPORTRANGE(""https://docs.google.com/spreadsheets/d/1C3CXT74ZlgGe6_JY_1olB1XN4rF0dxEuIIF-xsYjHgg/edit?usp=sharing"",""งบกองทุน!CY51"")"),0)</f>
        <v>0</v>
      </c>
      <c r="BN47" s="556">
        <f t="shared" ca="1" si="91"/>
        <v>0</v>
      </c>
      <c r="BO47" s="557">
        <f t="shared" ca="1" si="15"/>
        <v>0</v>
      </c>
      <c r="BP47" s="556">
        <f t="shared" ca="1" si="92"/>
        <v>0</v>
      </c>
      <c r="BQ47" s="557">
        <f t="shared" ca="1" si="16"/>
        <v>0</v>
      </c>
      <c r="BR47" s="552">
        <f ca="1">IFERROR(__xludf.DUMMYFUNCTION("IMPORTRANGE(""https://docs.google.com/spreadsheets/d/1XL5vhW3sbDhbH9Cz0tuDiY8C3ctxq1tqvaCgkFb8cCA/edit?usp=sharing"",""สกลนคร!J414"")"),0)</f>
        <v>0</v>
      </c>
      <c r="BS47" s="552">
        <f ca="1">IFERROR(__xludf.DUMMYFUNCTION("IMPORTRANGE(""https://docs.google.com/spreadsheets/d/1XL5vhW3sbDhbH9Cz0tuDiY8C3ctxq1tqvaCgkFb8cCA/edit?usp=sharing"",""สกลนคร!J415"")"),0)</f>
        <v>0</v>
      </c>
      <c r="BT47" s="552">
        <f ca="1">IFERROR(__xludf.DUMMYFUNCTION("IMPORTRANGE(""https://docs.google.com/spreadsheets/d/1XL5vhW3sbDhbH9Cz0tuDiY8C3ctxq1tqvaCgkFb8cCA/edit?usp=sharing"",""สกลนคร!J416"")"),0)</f>
        <v>0</v>
      </c>
      <c r="BU47" s="552">
        <f ca="1">IFERROR(__xludf.DUMMYFUNCTION("IMPORTRANGE(""https://docs.google.com/spreadsheets/d/1XL5vhW3sbDhbH9Cz0tuDiY8C3ctxq1tqvaCgkFb8cCA/edit?usp=sharing"",""สกลนคร!J417"")"),0)</f>
        <v>0</v>
      </c>
      <c r="BV47" s="552">
        <f ca="1">IFERROR(__xludf.DUMMYFUNCTION("IMPORTRANGE(""https://docs.google.com/spreadsheets/d/1XL5vhW3sbDhbH9Cz0tuDiY8C3ctxq1tqvaCgkFb8cCA/edit?usp=sharing"",""สกลนคร!J418"")"),0)</f>
        <v>0</v>
      </c>
      <c r="BW47" s="552">
        <f ca="1">IFERROR(__xludf.DUMMYFUNCTION("IMPORTRANGE(""https://docs.google.com/spreadsheets/d/1XL5vhW3sbDhbH9Cz0tuDiY8C3ctxq1tqvaCgkFb8cCA/edit?usp=sharing"",""สกลนคร!J419"")"),0)</f>
        <v>0</v>
      </c>
      <c r="BX47" s="556">
        <f t="shared" ca="1" si="93"/>
        <v>0</v>
      </c>
      <c r="BY47" s="557">
        <f t="shared" ca="1" si="94"/>
        <v>0</v>
      </c>
      <c r="BZ47" s="556">
        <f t="shared" ca="1" si="95"/>
        <v>0</v>
      </c>
      <c r="CA47" s="557">
        <f t="shared" ca="1" si="96"/>
        <v>0</v>
      </c>
      <c r="CB47" s="552">
        <f ca="1">IFERROR(__xludf.DUMMYFUNCTION("IMPORTRANGE(""https://docs.google.com/spreadsheets/d/1XL5vhW3sbDhbH9Cz0tuDiY8C3ctxq1tqvaCgkFb8cCA/edit?usp=sharing"",""สกลนคร!J422"")"),0)</f>
        <v>0</v>
      </c>
      <c r="CC47" s="552">
        <f ca="1">IFERROR(__xludf.DUMMYFUNCTION("IMPORTRANGE(""https://docs.google.com/spreadsheets/d/1XL5vhW3sbDhbH9Cz0tuDiY8C3ctxq1tqvaCgkFb8cCA/edit?usp=sharing"",""สกลนคร!J423"")"),0)</f>
        <v>0</v>
      </c>
      <c r="CD47" s="552">
        <f ca="1">IFERROR(__xludf.DUMMYFUNCTION("IMPORTRANGE(""https://docs.google.com/spreadsheets/d/1XL5vhW3sbDhbH9Cz0tuDiY8C3ctxq1tqvaCgkFb8cCA/edit?usp=sharing"",""สกลนคร!J424"")"),0)</f>
        <v>0</v>
      </c>
      <c r="CE47" s="552">
        <f ca="1">IFERROR(__xludf.DUMMYFUNCTION("IMPORTRANGE(""https://docs.google.com/spreadsheets/d/1XL5vhW3sbDhbH9Cz0tuDiY8C3ctxq1tqvaCgkFb8cCA/edit?usp=sharing"",""สกลนคร!J425"")"),0)</f>
        <v>0</v>
      </c>
      <c r="CF47" s="552">
        <f ca="1">IFERROR(__xludf.DUMMYFUNCTION("IMPORTRANGE(""https://docs.google.com/spreadsheets/d/1XL5vhW3sbDhbH9Cz0tuDiY8C3ctxq1tqvaCgkFb8cCA/edit?usp=sharing"",""สกลนคร!J426"")"),0)</f>
        <v>0</v>
      </c>
      <c r="CG47" s="558">
        <f ca="1">IFERROR(__xludf.DUMMYFUNCTION("IMPORTRANGE(""https://docs.google.com/spreadsheets/d/1XL5vhW3sbDhbH9Cz0tuDiY8C3ctxq1tqvaCgkFb8cCA/edit?usp=sharing"",""สกลนคร!J427"")"),0)</f>
        <v>0</v>
      </c>
    </row>
    <row r="48" spans="1:85" ht="21" customHeight="1">
      <c r="A48" s="549">
        <v>15</v>
      </c>
      <c r="B48" s="550" t="s">
        <v>72</v>
      </c>
      <c r="C48" s="551">
        <f t="shared" ca="1" si="82"/>
        <v>699661</v>
      </c>
      <c r="D48" s="552">
        <f ca="1">IFERROR(__xludf.DUMMYFUNCTION("IMPORTRANGE(""https://docs.google.com/spreadsheets/d/1C3CXT74ZlgGe6_JY_1olB1XN4rF0dxEuIIF-xsYjHgg/edit?usp=sharing"",""งบกองทุน!BC52"")"),0)</f>
        <v>0</v>
      </c>
      <c r="E48" s="553">
        <f ca="1">IFERROR(__xludf.DUMMYFUNCTION("IMPORTRANGE(""https://docs.google.com/spreadsheets/d/1C3CXT74ZlgGe6_JY_1olB1XN4rF0dxEuIIF-xsYjHgg/edit?usp=sharing"",""งบกองทุน!BD52"")"),699661)</f>
        <v>699661</v>
      </c>
      <c r="F48" s="554">
        <f ca="1">IFERROR(__xludf.DUMMYFUNCTION("IMPORTRANGE(""https://docs.google.com/spreadsheets/d/1XL5vhW3sbDhbH9Cz0tuDiY8C3ctxq1tqvaCgkFb8cCA/edit?usp=sharing"",""สุรินทร์!M352"")"),186787.07)</f>
        <v>186787.07</v>
      </c>
      <c r="G48" s="554">
        <f t="shared" ca="1" si="1"/>
        <v>26.696796019786724</v>
      </c>
      <c r="H48" s="555">
        <f ca="1">IFERROR(__xludf.DUMMYFUNCTION("IMPORTRANGE(""https://docs.google.com/spreadsheets/d/1C3CXT74ZlgGe6_JY_1olB1XN4rF0dxEuIIF-xsYjHgg/edit?usp=sharing"",""งบกองทุน!BE52"")"),45339)</f>
        <v>45339</v>
      </c>
      <c r="I48" s="555">
        <f ca="1">IFERROR(__xludf.DUMMYFUNCTION("IMPORTRANGE(""https://docs.google.com/spreadsheets/d/1C3CXT74ZlgGe6_JY_1olB1XN4rF0dxEuIIF-xsYjHgg/edit?usp=sharing"",""งบกองทุน!BF52"")"),6353)</f>
        <v>6353</v>
      </c>
      <c r="J48" s="552">
        <f t="shared" ca="1" si="83"/>
        <v>45340</v>
      </c>
      <c r="K48" s="554">
        <f t="shared" ca="1" si="3"/>
        <v>100.00220560665211</v>
      </c>
      <c r="L48" s="552">
        <f t="shared" ca="1" si="84"/>
        <v>6353</v>
      </c>
      <c r="M48" s="554">
        <f t="shared" ca="1" si="4"/>
        <v>100</v>
      </c>
      <c r="N48" s="552">
        <f ca="1">IFERROR(__xludf.DUMMYFUNCTION("IMPORTRANGE(""https://docs.google.com/spreadsheets/d/1XL5vhW3sbDhbH9Cz0tuDiY8C3ctxq1tqvaCgkFb8cCA/edit?usp=sharing"",""สุรินทร์!J362"")"),33268)</f>
        <v>33268</v>
      </c>
      <c r="O48" s="552">
        <f ca="1">IFERROR(__xludf.DUMMYFUNCTION("IMPORTRANGE(""https://docs.google.com/spreadsheets/d/1XL5vhW3sbDhbH9Cz0tuDiY8C3ctxq1tqvaCgkFb8cCA/edit?usp=sharing"",""สุรินทร์!J363"")"),5166)</f>
        <v>5166</v>
      </c>
      <c r="P48" s="552">
        <f ca="1">IFERROR(__xludf.DUMMYFUNCTION("IMPORTRANGE(""https://docs.google.com/spreadsheets/d/1XL5vhW3sbDhbH9Cz0tuDiY8C3ctxq1tqvaCgkFb8cCA/edit?usp=sharing"",""สุรินทร์!J364"")"),10051)</f>
        <v>10051</v>
      </c>
      <c r="Q48" s="552">
        <f ca="1">IFERROR(__xludf.DUMMYFUNCTION("IMPORTRANGE(""https://docs.google.com/spreadsheets/d/1XL5vhW3sbDhbH9Cz0tuDiY8C3ctxq1tqvaCgkFb8cCA/edit?usp=sharing"",""สุรินทร์!J365"")"),999)</f>
        <v>999</v>
      </c>
      <c r="R48" s="552">
        <f ca="1">IFERROR(__xludf.DUMMYFUNCTION("IMPORTRANGE(""https://docs.google.com/spreadsheets/d/1XL5vhW3sbDhbH9Cz0tuDiY8C3ctxq1tqvaCgkFb8cCA/edit?usp=sharing"",""สุรินทร์!J366"")"),2021)</f>
        <v>2021</v>
      </c>
      <c r="S48" s="552">
        <f ca="1">IFERROR(__xludf.DUMMYFUNCTION("IMPORTRANGE(""https://docs.google.com/spreadsheets/d/1XL5vhW3sbDhbH9Cz0tuDiY8C3ctxq1tqvaCgkFb8cCA/edit?usp=sharing"",""สุรินทร์!J367"")"),188)</f>
        <v>188</v>
      </c>
      <c r="T48" s="552">
        <f t="shared" ca="1" si="85"/>
        <v>45340.87</v>
      </c>
      <c r="U48" s="552">
        <f t="shared" ca="1" si="6"/>
        <v>100.00412448443944</v>
      </c>
      <c r="V48" s="552">
        <f t="shared" ca="1" si="86"/>
        <v>6353</v>
      </c>
      <c r="W48" s="552">
        <f t="shared" ca="1" si="7"/>
        <v>100</v>
      </c>
      <c r="X48" s="552">
        <f ca="1">IFERROR(__xludf.DUMMYFUNCTION("IMPORTRANGE(""https://docs.google.com/spreadsheets/d/1XL5vhW3sbDhbH9Cz0tuDiY8C3ctxq1tqvaCgkFb8cCA/edit?usp=sharing"",""สุรินทร์!J370"")"),36158.87)</f>
        <v>36158.870000000003</v>
      </c>
      <c r="Y48" s="552">
        <f ca="1">IFERROR(__xludf.DUMMYFUNCTION("IMPORTRANGE(""https://docs.google.com/spreadsheets/d/1XL5vhW3sbDhbH9Cz0tuDiY8C3ctxq1tqvaCgkFb8cCA/edit?usp=sharing"",""สุรินทร์!J371"")"),5442)</f>
        <v>5442</v>
      </c>
      <c r="Z48" s="552">
        <f ca="1">IFERROR(__xludf.DUMMYFUNCTION("IMPORTRANGE(""https://docs.google.com/spreadsheets/d/1XL5vhW3sbDhbH9Cz0tuDiY8C3ctxq1tqvaCgkFb8cCA/edit?usp=sharing"",""สุรินทร์!J372"")"),6777)</f>
        <v>6777</v>
      </c>
      <c r="AA48" s="552">
        <f ca="1">IFERROR(__xludf.DUMMYFUNCTION("IMPORTRANGE(""https://docs.google.com/spreadsheets/d/1XL5vhW3sbDhbH9Cz0tuDiY8C3ctxq1tqvaCgkFb8cCA/edit?usp=sharing"",""สุรินทร์!J373"")"),693)</f>
        <v>693</v>
      </c>
      <c r="AB48" s="552">
        <f ca="1">IFERROR(__xludf.DUMMYFUNCTION("IMPORTRANGE(""https://docs.google.com/spreadsheets/d/1XL5vhW3sbDhbH9Cz0tuDiY8C3ctxq1tqvaCgkFb8cCA/edit?usp=sharing"",""สุรินทร์!J374"")"),2405)</f>
        <v>2405</v>
      </c>
      <c r="AC48" s="552">
        <f ca="1">IFERROR(__xludf.DUMMYFUNCTION("IMPORTRANGE(""https://docs.google.com/spreadsheets/d/1XL5vhW3sbDhbH9Cz0tuDiY8C3ctxq1tqvaCgkFb8cCA/edit?usp=sharing"",""สุรินทร์!J375"")"),218)</f>
        <v>218</v>
      </c>
      <c r="AD48" s="552">
        <f t="shared" ca="1" si="87"/>
        <v>0</v>
      </c>
      <c r="AE48" s="554">
        <f t="shared" ca="1" si="9"/>
        <v>0</v>
      </c>
      <c r="AF48" s="552">
        <f t="shared" ca="1" si="88"/>
        <v>0</v>
      </c>
      <c r="AG48" s="554">
        <f t="shared" ca="1" si="10"/>
        <v>0</v>
      </c>
      <c r="AH48" s="552">
        <f ca="1">IFERROR(__xludf.DUMMYFUNCTION("IMPORTRANGE(""https://docs.google.com/spreadsheets/d/1XL5vhW3sbDhbH9Cz0tuDiY8C3ctxq1tqvaCgkFb8cCA/edit?usp=sharing"",""สุรินทร์!J378"")"),0)</f>
        <v>0</v>
      </c>
      <c r="AI48" s="552">
        <f ca="1">IFERROR(__xludf.DUMMYFUNCTION("IMPORTRANGE(""https://docs.google.com/spreadsheets/d/1XL5vhW3sbDhbH9Cz0tuDiY8C3ctxq1tqvaCgkFb8cCA/edit?usp=sharing"",""สุรินทร์!J379"")"),0)</f>
        <v>0</v>
      </c>
      <c r="AJ48" s="552">
        <f ca="1">IFERROR(__xludf.DUMMYFUNCTION("IMPORTRANGE(""https://docs.google.com/spreadsheets/d/1XL5vhW3sbDhbH9Cz0tuDiY8C3ctxq1tqvaCgkFb8cCA/edit?usp=sharing"",""สุรินทร์!J380"")"),0)</f>
        <v>0</v>
      </c>
      <c r="AK48" s="552">
        <f ca="1">IFERROR(__xludf.DUMMYFUNCTION("IMPORTRANGE(""https://docs.google.com/spreadsheets/d/1XL5vhW3sbDhbH9Cz0tuDiY8C3ctxq1tqvaCgkFb8cCA/edit?usp=sharing"",""สุรินทร์!J381"")"),0)</f>
        <v>0</v>
      </c>
      <c r="AL48" s="552">
        <f ca="1">IFERROR(__xludf.DUMMYFUNCTION("IMPORTRANGE(""https://docs.google.com/spreadsheets/d/1XL5vhW3sbDhbH9Cz0tuDiY8C3ctxq1tqvaCgkFb8cCA/edit?usp=sharing"",""สุรินทร์!J384"")"),0)</f>
        <v>0</v>
      </c>
      <c r="AM48" s="552">
        <f ca="1">IFERROR(__xludf.DUMMYFUNCTION("IMPORTRANGE(""https://docs.google.com/spreadsheets/d/1XL5vhW3sbDhbH9Cz0tuDiY8C3ctxq1tqvaCgkFb8cCA/edit?usp=sharing"",""สุรินทร์!J385"")"),0)</f>
        <v>0</v>
      </c>
      <c r="AN48" s="552">
        <f ca="1">IFERROR(__xludf.DUMMYFUNCTION("IMPORTRANGE(""https://docs.google.com/spreadsheets/d/1XL5vhW3sbDhbH9Cz0tuDiY8C3ctxq1tqvaCgkFb8cCA/edit?usp=sharing"",""สุรินทร์!J386"")"),0)</f>
        <v>0</v>
      </c>
      <c r="AO48" s="552">
        <f ca="1">IFERROR(__xludf.DUMMYFUNCTION("IMPORTRANGE(""https://docs.google.com/spreadsheets/d/1XL5vhW3sbDhbH9Cz0tuDiY8C3ctxq1tqvaCgkFb8cCA/edit?usp=sharing"",""สุรินทร์!J387"")"),0)</f>
        <v>0</v>
      </c>
      <c r="AP48" s="552">
        <f ca="1">IFERROR(__xludf.DUMMYFUNCTION("IMPORTRANGE(""https://docs.google.com/spreadsheets/d/1XL5vhW3sbDhbH9Cz0tuDiY8C3ctxq1tqvaCgkFb8cCA/edit?usp=sharing"",""สุรินทร์!J388"")"),0)</f>
        <v>0</v>
      </c>
      <c r="AQ48" s="552">
        <f ca="1">IFERROR(__xludf.DUMMYFUNCTION("IMPORTRANGE(""https://docs.google.com/spreadsheets/d/1XL5vhW3sbDhbH9Cz0tuDiY8C3ctxq1tqvaCgkFb8cCA/edit?usp=sharing"",""สุรินทร์!J389"")"),0)</f>
        <v>0</v>
      </c>
      <c r="AR48" s="552">
        <f ca="1">IFERROR(__xludf.DUMMYFUNCTION("IMPORTRANGE(""https://docs.google.com/spreadsheets/d/1XL5vhW3sbDhbH9Cz0tuDiY8C3ctxq1tqvaCgkFb8cCA/edit?usp=sharing"",""สุรินทร์!J390"")"),0)</f>
        <v>0</v>
      </c>
      <c r="AS48" s="552">
        <f ca="1">IFERROR(__xludf.DUMMYFUNCTION("IMPORTRANGE(""https://docs.google.com/spreadsheets/d/1XL5vhW3sbDhbH9Cz0tuDiY8C3ctxq1tqvaCgkFb8cCA/edit?usp=sharing"",""สุรินทร์!J391"")"),0)</f>
        <v>0</v>
      </c>
      <c r="AT48" s="556">
        <f ca="1">IFERROR(__xludf.DUMMYFUNCTION("IMPORTRANGE(""https://docs.google.com/spreadsheets/d/1C3CXT74ZlgGe6_JY_1olB1XN4rF0dxEuIIF-xsYjHgg/edit?usp=sharing"",""งบกองทุน!CD52"")"),4565)</f>
        <v>4565</v>
      </c>
      <c r="AU48" s="556">
        <f ca="1">IFERROR(__xludf.DUMMYFUNCTION("IMPORTRANGE(""https://docs.google.com/spreadsheets/d/1C3CXT74ZlgGe6_JY_1olB1XN4rF0dxEuIIF-xsYjHgg/edit?usp=sharing"",""งบกองทุน!CC52"")"),899)</f>
        <v>899</v>
      </c>
      <c r="AV48" s="556">
        <f t="shared" ca="1" si="89"/>
        <v>2205.42</v>
      </c>
      <c r="AW48" s="556">
        <f t="shared" ca="1" si="12"/>
        <v>48.311500547645124</v>
      </c>
      <c r="AX48" s="556">
        <f t="shared" ca="1" si="90"/>
        <v>424</v>
      </c>
      <c r="AY48" s="556">
        <f t="shared" ca="1" si="13"/>
        <v>47.163515016685203</v>
      </c>
      <c r="AZ48" s="552">
        <f ca="1">IFERROR(__xludf.DUMMYFUNCTION("IMPORTRANGE(""https://docs.google.com/spreadsheets/d/1XL5vhW3sbDhbH9Cz0tuDiY8C3ctxq1tqvaCgkFb8cCA/edit?usp=sharing"",""สุรินทร์!J397"")"),1590.42)</f>
        <v>1590.42</v>
      </c>
      <c r="BA48" s="552">
        <f ca="1">IFERROR(__xludf.DUMMYFUNCTION("IMPORTRANGE(""https://docs.google.com/spreadsheets/d/1XL5vhW3sbDhbH9Cz0tuDiY8C3ctxq1tqvaCgkFb8cCA/edit?usp=sharing"",""สุรินทร์!J398"")"),313)</f>
        <v>313</v>
      </c>
      <c r="BB48" s="552">
        <f ca="1">IFERROR(__xludf.DUMMYFUNCTION("IMPORTRANGE(""https://docs.google.com/spreadsheets/d/1XL5vhW3sbDhbH9Cz0tuDiY8C3ctxq1tqvaCgkFb8cCA/edit?usp=sharing"",""สุรินทร์!J399"")"),190)</f>
        <v>190</v>
      </c>
      <c r="BC48" s="552">
        <f ca="1">IFERROR(__xludf.DUMMYFUNCTION("IMPORTRANGE(""https://docs.google.com/spreadsheets/d/1XL5vhW3sbDhbH9Cz0tuDiY8C3ctxq1tqvaCgkFb8cCA/edit?usp=sharing"",""สุรินทร์!J400"")"),46)</f>
        <v>46</v>
      </c>
      <c r="BD48" s="552">
        <f ca="1">IFERROR(__xludf.DUMMYFUNCTION("IMPORTRANGE(""https://docs.google.com/spreadsheets/d/1XL5vhW3sbDhbH9Cz0tuDiY8C3ctxq1tqvaCgkFb8cCA/edit?usp=sharing"",""สุรินทร์!J401"")"),0)</f>
        <v>0</v>
      </c>
      <c r="BE48" s="552">
        <f ca="1">IFERROR(__xludf.DUMMYFUNCTION("IMPORTRANGE(""https://docs.google.com/spreadsheets/d/1XL5vhW3sbDhbH9Cz0tuDiY8C3ctxq1tqvaCgkFb8cCA/edit?usp=sharing"",""สุรินทร์!J402"")"),0)</f>
        <v>0</v>
      </c>
      <c r="BF48" s="552">
        <f ca="1">IFERROR(__xludf.DUMMYFUNCTION("IMPORTRANGE(""https://docs.google.com/spreadsheets/d/1XL5vhW3sbDhbH9Cz0tuDiY8C3ctxq1tqvaCgkFb8cCA/edit?usp=sharing"",""สุรินทร์!J405"")"),425)</f>
        <v>425</v>
      </c>
      <c r="BG48" s="552">
        <f ca="1">IFERROR(__xludf.DUMMYFUNCTION("IMPORTRANGE(""https://docs.google.com/spreadsheets/d/1XL5vhW3sbDhbH9Cz0tuDiY8C3ctxq1tqvaCgkFb8cCA/edit?usp=sharing"",""สุรินทร์!J406"")"),65)</f>
        <v>65</v>
      </c>
      <c r="BH48" s="552">
        <f ca="1">IFERROR(__xludf.DUMMYFUNCTION("IMPORTRANGE(""https://docs.google.com/spreadsheets/d/1XL5vhW3sbDhbH9Cz0tuDiY8C3ctxq1tqvaCgkFb8cCA/edit?usp=sharing"",""สุรินทร์!J407"")"),0)</f>
        <v>0</v>
      </c>
      <c r="BI48" s="552">
        <f ca="1">IFERROR(__xludf.DUMMYFUNCTION("IMPORTRANGE(""https://docs.google.com/spreadsheets/d/1XL5vhW3sbDhbH9Cz0tuDiY8C3ctxq1tqvaCgkFb8cCA/edit?usp=sharing"",""สุรินทร์!J408"")"),0)</f>
        <v>0</v>
      </c>
      <c r="BJ48" s="552">
        <f ca="1">IFERROR(__xludf.DUMMYFUNCTION("IMPORTRANGE(""https://docs.google.com/spreadsheets/d/1XL5vhW3sbDhbH9Cz0tuDiY8C3ctxq1tqvaCgkFb8cCA/edit?usp=sharing"",""สุรินทร์!J409"")"),0)</f>
        <v>0</v>
      </c>
      <c r="BK48" s="552">
        <f ca="1">IFERROR(__xludf.DUMMYFUNCTION("IMPORTRANGE(""https://docs.google.com/spreadsheets/d/1XL5vhW3sbDhbH9Cz0tuDiY8C3ctxq1tqvaCgkFb8cCA/edit?usp=sharing"",""สุรินทร์!J410"")"),0)</f>
        <v>0</v>
      </c>
      <c r="BL48" s="556">
        <f ca="1">IFERROR(__xludf.DUMMYFUNCTION("IMPORTRANGE(""https://docs.google.com/spreadsheets/d/1C3CXT74ZlgGe6_JY_1olB1XN4rF0dxEuIIF-xsYjHgg/edit?usp=sharing"",""งบกองทุน!CZ52"")"),0)</f>
        <v>0</v>
      </c>
      <c r="BM48" s="556">
        <f ca="1">IFERROR(__xludf.DUMMYFUNCTION("IMPORTRANGE(""https://docs.google.com/spreadsheets/d/1C3CXT74ZlgGe6_JY_1olB1XN4rF0dxEuIIF-xsYjHgg/edit?usp=sharing"",""งบกองทุน!CY52"")"),0)</f>
        <v>0</v>
      </c>
      <c r="BN48" s="556">
        <f t="shared" ca="1" si="91"/>
        <v>0</v>
      </c>
      <c r="BO48" s="557">
        <f t="shared" ca="1" si="15"/>
        <v>0</v>
      </c>
      <c r="BP48" s="556">
        <f t="shared" ca="1" si="92"/>
        <v>0</v>
      </c>
      <c r="BQ48" s="557">
        <f t="shared" ca="1" si="16"/>
        <v>0</v>
      </c>
      <c r="BR48" s="552">
        <f ca="1">IFERROR(__xludf.DUMMYFUNCTION("IMPORTRANGE(""https://docs.google.com/spreadsheets/d/1XL5vhW3sbDhbH9Cz0tuDiY8C3ctxq1tqvaCgkFb8cCA/edit?usp=sharing"",""สุรินทร์!J414"")"),0)</f>
        <v>0</v>
      </c>
      <c r="BS48" s="552">
        <f ca="1">IFERROR(__xludf.DUMMYFUNCTION("IMPORTRANGE(""https://docs.google.com/spreadsheets/d/1XL5vhW3sbDhbH9Cz0tuDiY8C3ctxq1tqvaCgkFb8cCA/edit?usp=sharing"",""สุรินทร์!J415"")"),0)</f>
        <v>0</v>
      </c>
      <c r="BT48" s="552">
        <f ca="1">IFERROR(__xludf.DUMMYFUNCTION("IMPORTRANGE(""https://docs.google.com/spreadsheets/d/1XL5vhW3sbDhbH9Cz0tuDiY8C3ctxq1tqvaCgkFb8cCA/edit?usp=sharing"",""สุรินทร์!J416"")"),0)</f>
        <v>0</v>
      </c>
      <c r="BU48" s="552">
        <f ca="1">IFERROR(__xludf.DUMMYFUNCTION("IMPORTRANGE(""https://docs.google.com/spreadsheets/d/1XL5vhW3sbDhbH9Cz0tuDiY8C3ctxq1tqvaCgkFb8cCA/edit?usp=sharing"",""สุรินทร์!J417"")"),0)</f>
        <v>0</v>
      </c>
      <c r="BV48" s="552">
        <f ca="1">IFERROR(__xludf.DUMMYFUNCTION("IMPORTRANGE(""https://docs.google.com/spreadsheets/d/1XL5vhW3sbDhbH9Cz0tuDiY8C3ctxq1tqvaCgkFb8cCA/edit?usp=sharing"",""สุรินทร์!J418"")"),40)</f>
        <v>40</v>
      </c>
      <c r="BW48" s="552">
        <f ca="1">IFERROR(__xludf.DUMMYFUNCTION("IMPORTRANGE(""https://docs.google.com/spreadsheets/d/1XL5vhW3sbDhbH9Cz0tuDiY8C3ctxq1tqvaCgkFb8cCA/edit?usp=sharing"",""สุรินทร์!J419"")"),4)</f>
        <v>4</v>
      </c>
      <c r="BX48" s="556">
        <f t="shared" ca="1" si="93"/>
        <v>0</v>
      </c>
      <c r="BY48" s="557">
        <f t="shared" ca="1" si="94"/>
        <v>0</v>
      </c>
      <c r="BZ48" s="556">
        <f t="shared" ca="1" si="95"/>
        <v>0</v>
      </c>
      <c r="CA48" s="557">
        <f t="shared" ca="1" si="96"/>
        <v>0</v>
      </c>
      <c r="CB48" s="552">
        <f ca="1">IFERROR(__xludf.DUMMYFUNCTION("IMPORTRANGE(""https://docs.google.com/spreadsheets/d/1XL5vhW3sbDhbH9Cz0tuDiY8C3ctxq1tqvaCgkFb8cCA/edit?usp=sharing"",""สุรินทร์!J422"")"),0)</f>
        <v>0</v>
      </c>
      <c r="CC48" s="552">
        <f ca="1">IFERROR(__xludf.DUMMYFUNCTION("IMPORTRANGE(""https://docs.google.com/spreadsheets/d/1XL5vhW3sbDhbH9Cz0tuDiY8C3ctxq1tqvaCgkFb8cCA/edit?usp=sharing"",""สุรินทร์!J423"")"),0)</f>
        <v>0</v>
      </c>
      <c r="CD48" s="552">
        <f ca="1">IFERROR(__xludf.DUMMYFUNCTION("IMPORTRANGE(""https://docs.google.com/spreadsheets/d/1XL5vhW3sbDhbH9Cz0tuDiY8C3ctxq1tqvaCgkFb8cCA/edit?usp=sharing"",""สุรินทร์!J424"")"),0)</f>
        <v>0</v>
      </c>
      <c r="CE48" s="552">
        <f ca="1">IFERROR(__xludf.DUMMYFUNCTION("IMPORTRANGE(""https://docs.google.com/spreadsheets/d/1XL5vhW3sbDhbH9Cz0tuDiY8C3ctxq1tqvaCgkFb8cCA/edit?usp=sharing"",""สุรินทร์!J425"")"),0)</f>
        <v>0</v>
      </c>
      <c r="CF48" s="552">
        <f ca="1">IFERROR(__xludf.DUMMYFUNCTION("IMPORTRANGE(""https://docs.google.com/spreadsheets/d/1XL5vhW3sbDhbH9Cz0tuDiY8C3ctxq1tqvaCgkFb8cCA/edit?usp=sharing"",""สุรินทร์!J426"")"),0)</f>
        <v>0</v>
      </c>
      <c r="CG48" s="558">
        <f ca="1">IFERROR(__xludf.DUMMYFUNCTION("IMPORTRANGE(""https://docs.google.com/spreadsheets/d/1XL5vhW3sbDhbH9Cz0tuDiY8C3ctxq1tqvaCgkFb8cCA/edit?usp=sharing"",""สุรินทร์!J427"")"),0)</f>
        <v>0</v>
      </c>
    </row>
    <row r="49" spans="1:85" ht="21" customHeight="1">
      <c r="A49" s="549">
        <v>16</v>
      </c>
      <c r="B49" s="550" t="s">
        <v>73</v>
      </c>
      <c r="C49" s="551">
        <f t="shared" ca="1" si="82"/>
        <v>861860</v>
      </c>
      <c r="D49" s="552">
        <f ca="1">IFERROR(__xludf.DUMMYFUNCTION("IMPORTRANGE(""https://docs.google.com/spreadsheets/d/1C3CXT74ZlgGe6_JY_1olB1XN4rF0dxEuIIF-xsYjHgg/edit?usp=sharing"",""งบกองทุน!BC53"")"),0)</f>
        <v>0</v>
      </c>
      <c r="E49" s="553">
        <f ca="1">IFERROR(__xludf.DUMMYFUNCTION("IMPORTRANGE(""https://docs.google.com/spreadsheets/d/1C3CXT74ZlgGe6_JY_1olB1XN4rF0dxEuIIF-xsYjHgg/edit?usp=sharing"",""งบกองทุน!BD53"")"),861860)</f>
        <v>861860</v>
      </c>
      <c r="F49" s="554">
        <f ca="1">IFERROR(__xludf.DUMMYFUNCTION("IMPORTRANGE(""https://docs.google.com/spreadsheets/d/1XL5vhW3sbDhbH9Cz0tuDiY8C3ctxq1tqvaCgkFb8cCA/edit?usp=sharing"",""หนองคาย!M352"")"),225441.35)</f>
        <v>225441.35</v>
      </c>
      <c r="G49" s="554">
        <f t="shared" ca="1" si="1"/>
        <v>26.157537187014132</v>
      </c>
      <c r="H49" s="555">
        <f ca="1">IFERROR(__xludf.DUMMYFUNCTION("IMPORTRANGE(""https://docs.google.com/spreadsheets/d/1C3CXT74ZlgGe6_JY_1olB1XN4rF0dxEuIIF-xsYjHgg/edit?usp=sharing"",""งบกองทุน!BE53"")"),52883)</f>
        <v>52883</v>
      </c>
      <c r="I49" s="555">
        <f ca="1">IFERROR(__xludf.DUMMYFUNCTION("IMPORTRANGE(""https://docs.google.com/spreadsheets/d/1C3CXT74ZlgGe6_JY_1olB1XN4rF0dxEuIIF-xsYjHgg/edit?usp=sharing"",""งบกองทุน!BF53"")"),6542)</f>
        <v>6542</v>
      </c>
      <c r="J49" s="552">
        <f t="shared" ca="1" si="83"/>
        <v>52883.665999999997</v>
      </c>
      <c r="K49" s="554">
        <f t="shared" ca="1" si="3"/>
        <v>100.001259383923</v>
      </c>
      <c r="L49" s="552">
        <f t="shared" ca="1" si="84"/>
        <v>6542</v>
      </c>
      <c r="M49" s="554">
        <f t="shared" ca="1" si="4"/>
        <v>100</v>
      </c>
      <c r="N49" s="552">
        <f ca="1">IFERROR(__xludf.DUMMYFUNCTION("IMPORTRANGE(""https://docs.google.com/spreadsheets/d/1XL5vhW3sbDhbH9Cz0tuDiY8C3ctxq1tqvaCgkFb8cCA/edit?usp=sharing"",""หนองคาย!J362"")"),39126.628)</f>
        <v>39126.627999999997</v>
      </c>
      <c r="O49" s="552">
        <f ca="1">IFERROR(__xludf.DUMMYFUNCTION("IMPORTRANGE(""https://docs.google.com/spreadsheets/d/1XL5vhW3sbDhbH9Cz0tuDiY8C3ctxq1tqvaCgkFb8cCA/edit?usp=sharing"",""หนองคาย!J363"")"),5130)</f>
        <v>5130</v>
      </c>
      <c r="P49" s="552">
        <f ca="1">IFERROR(__xludf.DUMMYFUNCTION("IMPORTRANGE(""https://docs.google.com/spreadsheets/d/1XL5vhW3sbDhbH9Cz0tuDiY8C3ctxq1tqvaCgkFb8cCA/edit?usp=sharing"",""หนองคาย!J364"")"),11653.51)</f>
        <v>11653.51</v>
      </c>
      <c r="Q49" s="552">
        <f ca="1">IFERROR(__xludf.DUMMYFUNCTION("IMPORTRANGE(""https://docs.google.com/spreadsheets/d/1XL5vhW3sbDhbH9Cz0tuDiY8C3ctxq1tqvaCgkFb8cCA/edit?usp=sharing"",""หนองคาย!J365"")"),1214)</f>
        <v>1214</v>
      </c>
      <c r="R49" s="552">
        <f ca="1">IFERROR(__xludf.DUMMYFUNCTION("IMPORTRANGE(""https://docs.google.com/spreadsheets/d/1XL5vhW3sbDhbH9Cz0tuDiY8C3ctxq1tqvaCgkFb8cCA/edit?usp=sharing"",""หนองคาย!J366"")"),2103.528)</f>
        <v>2103.5279999999998</v>
      </c>
      <c r="S49" s="552">
        <f ca="1">IFERROR(__xludf.DUMMYFUNCTION("IMPORTRANGE(""https://docs.google.com/spreadsheets/d/1XL5vhW3sbDhbH9Cz0tuDiY8C3ctxq1tqvaCgkFb8cCA/edit?usp=sharing"",""หนองคาย!J367"")"),198)</f>
        <v>198</v>
      </c>
      <c r="T49" s="552">
        <f t="shared" ca="1" si="85"/>
        <v>52883.66</v>
      </c>
      <c r="U49" s="552">
        <f t="shared" ca="1" si="6"/>
        <v>100.00124803812189</v>
      </c>
      <c r="V49" s="552">
        <f t="shared" ca="1" si="86"/>
        <v>6542</v>
      </c>
      <c r="W49" s="552">
        <f t="shared" ca="1" si="7"/>
        <v>100</v>
      </c>
      <c r="X49" s="552">
        <f ca="1">IFERROR(__xludf.DUMMYFUNCTION("IMPORTRANGE(""https://docs.google.com/spreadsheets/d/1XL5vhW3sbDhbH9Cz0tuDiY8C3ctxq1tqvaCgkFb8cCA/edit?usp=sharing"",""หนองคาย!J370"")"),37655.71)</f>
        <v>37655.71</v>
      </c>
      <c r="Y49" s="552">
        <f ca="1">IFERROR(__xludf.DUMMYFUNCTION("IMPORTRANGE(""https://docs.google.com/spreadsheets/d/1XL5vhW3sbDhbH9Cz0tuDiY8C3ctxq1tqvaCgkFb8cCA/edit?usp=sharing"",""หนองคาย!J371"")"),5163)</f>
        <v>5163</v>
      </c>
      <c r="Z49" s="552">
        <f ca="1">IFERROR(__xludf.DUMMYFUNCTION("IMPORTRANGE(""https://docs.google.com/spreadsheets/d/1XL5vhW3sbDhbH9Cz0tuDiY8C3ctxq1tqvaCgkFb8cCA/edit?usp=sharing"",""หนองคาย!J372"")"),13158.87)</f>
        <v>13158.87</v>
      </c>
      <c r="AA49" s="552">
        <f ca="1">IFERROR(__xludf.DUMMYFUNCTION("IMPORTRANGE(""https://docs.google.com/spreadsheets/d/1XL5vhW3sbDhbH9Cz0tuDiY8C3ctxq1tqvaCgkFb8cCA/edit?usp=sharing"",""หนองคาย!J373"")"),1193)</f>
        <v>1193</v>
      </c>
      <c r="AB49" s="552">
        <f ca="1">IFERROR(__xludf.DUMMYFUNCTION("IMPORTRANGE(""https://docs.google.com/spreadsheets/d/1XL5vhW3sbDhbH9Cz0tuDiY8C3ctxq1tqvaCgkFb8cCA/edit?usp=sharing"",""หนองคาย!J374"")"),2069.08)</f>
        <v>2069.08</v>
      </c>
      <c r="AC49" s="552">
        <f ca="1">IFERROR(__xludf.DUMMYFUNCTION("IMPORTRANGE(""https://docs.google.com/spreadsheets/d/1XL5vhW3sbDhbH9Cz0tuDiY8C3ctxq1tqvaCgkFb8cCA/edit?usp=sharing"",""หนองคาย!J375"")"),186)</f>
        <v>186</v>
      </c>
      <c r="AD49" s="552">
        <f t="shared" ca="1" si="87"/>
        <v>52883.66</v>
      </c>
      <c r="AE49" s="554">
        <f t="shared" ca="1" si="9"/>
        <v>100.00124803812189</v>
      </c>
      <c r="AF49" s="552">
        <f t="shared" ca="1" si="88"/>
        <v>6542</v>
      </c>
      <c r="AG49" s="554">
        <f t="shared" ca="1" si="10"/>
        <v>100</v>
      </c>
      <c r="AH49" s="552">
        <f ca="1">IFERROR(__xludf.DUMMYFUNCTION("IMPORTRANGE(""https://docs.google.com/spreadsheets/d/1XL5vhW3sbDhbH9Cz0tuDiY8C3ctxq1tqvaCgkFb8cCA/edit?usp=sharing"",""หนองคาย!J378"")"),37655.71)</f>
        <v>37655.71</v>
      </c>
      <c r="AI49" s="552">
        <f ca="1">IFERROR(__xludf.DUMMYFUNCTION("IMPORTRANGE(""https://docs.google.com/spreadsheets/d/1XL5vhW3sbDhbH9Cz0tuDiY8C3ctxq1tqvaCgkFb8cCA/edit?usp=sharing"",""หนองคาย!J379"")"),5163)</f>
        <v>5163</v>
      </c>
      <c r="AJ49" s="552">
        <f ca="1">IFERROR(__xludf.DUMMYFUNCTION("IMPORTRANGE(""https://docs.google.com/spreadsheets/d/1XL5vhW3sbDhbH9Cz0tuDiY8C3ctxq1tqvaCgkFb8cCA/edit?usp=sharing"",""หนองคาย!J380"")"),13158.87)</f>
        <v>13158.87</v>
      </c>
      <c r="AK49" s="552">
        <f ca="1">IFERROR(__xludf.DUMMYFUNCTION("IMPORTRANGE(""https://docs.google.com/spreadsheets/d/1XL5vhW3sbDhbH9Cz0tuDiY8C3ctxq1tqvaCgkFb8cCA/edit?usp=sharing"",""หนองคาย!J381"")"),1193)</f>
        <v>1193</v>
      </c>
      <c r="AL49" s="552">
        <f ca="1">IFERROR(__xludf.DUMMYFUNCTION("IMPORTRANGE(""https://docs.google.com/spreadsheets/d/1XL5vhW3sbDhbH9Cz0tuDiY8C3ctxq1tqvaCgkFb8cCA/edit?usp=sharing"",""หนองคาย!J384"")"),1862.14)</f>
        <v>1862.14</v>
      </c>
      <c r="AM49" s="552">
        <f ca="1">IFERROR(__xludf.DUMMYFUNCTION("IMPORTRANGE(""https://docs.google.com/spreadsheets/d/1XL5vhW3sbDhbH9Cz0tuDiY8C3ctxq1tqvaCgkFb8cCA/edit?usp=sharing"",""หนองคาย!J385"")"),169)</f>
        <v>169</v>
      </c>
      <c r="AN49" s="552">
        <f ca="1">IFERROR(__xludf.DUMMYFUNCTION("IMPORTRANGE(""https://docs.google.com/spreadsheets/d/1XL5vhW3sbDhbH9Cz0tuDiY8C3ctxq1tqvaCgkFb8cCA/edit?usp=sharing"",""หนองคาย!J386"")"),206.94)</f>
        <v>206.94</v>
      </c>
      <c r="AO49" s="552">
        <f ca="1">IFERROR(__xludf.DUMMYFUNCTION("IMPORTRANGE(""https://docs.google.com/spreadsheets/d/1XL5vhW3sbDhbH9Cz0tuDiY8C3ctxq1tqvaCgkFb8cCA/edit?usp=sharing"",""หนองคาย!J387"")"),17)</f>
        <v>17</v>
      </c>
      <c r="AP49" s="552">
        <f ca="1">IFERROR(__xludf.DUMMYFUNCTION("IMPORTRANGE(""https://docs.google.com/spreadsheets/d/1XL5vhW3sbDhbH9Cz0tuDiY8C3ctxq1tqvaCgkFb8cCA/edit?usp=sharing"",""หนองคาย!J388"")"),0)</f>
        <v>0</v>
      </c>
      <c r="AQ49" s="552">
        <f ca="1">IFERROR(__xludf.DUMMYFUNCTION("IMPORTRANGE(""https://docs.google.com/spreadsheets/d/1XL5vhW3sbDhbH9Cz0tuDiY8C3ctxq1tqvaCgkFb8cCA/edit?usp=sharing"",""หนองคาย!J389"")"),0)</f>
        <v>0</v>
      </c>
      <c r="AR49" s="552">
        <f ca="1">IFERROR(__xludf.DUMMYFUNCTION("IMPORTRANGE(""https://docs.google.com/spreadsheets/d/1XL5vhW3sbDhbH9Cz0tuDiY8C3ctxq1tqvaCgkFb8cCA/edit?usp=sharing"",""หนองคาย!J390"")"),0)</f>
        <v>0</v>
      </c>
      <c r="AS49" s="552">
        <f ca="1">IFERROR(__xludf.DUMMYFUNCTION("IMPORTRANGE(""https://docs.google.com/spreadsheets/d/1XL5vhW3sbDhbH9Cz0tuDiY8C3ctxq1tqvaCgkFb8cCA/edit?usp=sharing"",""หนองคาย!J391"")"),0)</f>
        <v>0</v>
      </c>
      <c r="AT49" s="556">
        <f ca="1">IFERROR(__xludf.DUMMYFUNCTION("IMPORTRANGE(""https://docs.google.com/spreadsheets/d/1C3CXT74ZlgGe6_JY_1olB1XN4rF0dxEuIIF-xsYjHgg/edit?usp=sharing"",""งบกองทุน!CD53"")"),10700)</f>
        <v>10700</v>
      </c>
      <c r="AU49" s="556">
        <f ca="1">IFERROR(__xludf.DUMMYFUNCTION("IMPORTRANGE(""https://docs.google.com/spreadsheets/d/1C3CXT74ZlgGe6_JY_1olB1XN4rF0dxEuIIF-xsYjHgg/edit?usp=sharing"",""งบกองทุน!CC53"")"),892)</f>
        <v>892</v>
      </c>
      <c r="AV49" s="556">
        <f t="shared" ca="1" si="89"/>
        <v>0</v>
      </c>
      <c r="AW49" s="556">
        <f t="shared" ca="1" si="12"/>
        <v>0</v>
      </c>
      <c r="AX49" s="556">
        <f t="shared" ca="1" si="90"/>
        <v>0</v>
      </c>
      <c r="AY49" s="556">
        <f t="shared" ca="1" si="13"/>
        <v>0</v>
      </c>
      <c r="AZ49" s="552">
        <f ca="1">IFERROR(__xludf.DUMMYFUNCTION("IMPORTRANGE(""https://docs.google.com/spreadsheets/d/1XL5vhW3sbDhbH9Cz0tuDiY8C3ctxq1tqvaCgkFb8cCA/edit?usp=sharing"",""หนองคาย!J397"")"),0)</f>
        <v>0</v>
      </c>
      <c r="BA49" s="552">
        <f ca="1">IFERROR(__xludf.DUMMYFUNCTION("IMPORTRANGE(""https://docs.google.com/spreadsheets/d/1XL5vhW3sbDhbH9Cz0tuDiY8C3ctxq1tqvaCgkFb8cCA/edit?usp=sharing"",""หนองคาย!J398"")"),0)</f>
        <v>0</v>
      </c>
      <c r="BB49" s="552">
        <f ca="1">IFERROR(__xludf.DUMMYFUNCTION("IMPORTRANGE(""https://docs.google.com/spreadsheets/d/1XL5vhW3sbDhbH9Cz0tuDiY8C3ctxq1tqvaCgkFb8cCA/edit?usp=sharing"",""หนองคาย!J399"")"),0)</f>
        <v>0</v>
      </c>
      <c r="BC49" s="552">
        <f ca="1">IFERROR(__xludf.DUMMYFUNCTION("IMPORTRANGE(""https://docs.google.com/spreadsheets/d/1XL5vhW3sbDhbH9Cz0tuDiY8C3ctxq1tqvaCgkFb8cCA/edit?usp=sharing"",""หนองคาย!J400"")"),0)</f>
        <v>0</v>
      </c>
      <c r="BD49" s="552">
        <f ca="1">IFERROR(__xludf.DUMMYFUNCTION("IMPORTRANGE(""https://docs.google.com/spreadsheets/d/1XL5vhW3sbDhbH9Cz0tuDiY8C3ctxq1tqvaCgkFb8cCA/edit?usp=sharing"",""หนองคาย!J401"")"),0)</f>
        <v>0</v>
      </c>
      <c r="BE49" s="552">
        <f ca="1">IFERROR(__xludf.DUMMYFUNCTION("IMPORTRANGE(""https://docs.google.com/spreadsheets/d/1XL5vhW3sbDhbH9Cz0tuDiY8C3ctxq1tqvaCgkFb8cCA/edit?usp=sharing"",""หนองคาย!J402"")"),0)</f>
        <v>0</v>
      </c>
      <c r="BF49" s="552">
        <f ca="1">IFERROR(__xludf.DUMMYFUNCTION("IMPORTRANGE(""https://docs.google.com/spreadsheets/d/1XL5vhW3sbDhbH9Cz0tuDiY8C3ctxq1tqvaCgkFb8cCA/edit?usp=sharing"",""หนองคาย!J405"")"),0)</f>
        <v>0</v>
      </c>
      <c r="BG49" s="552">
        <f ca="1">IFERROR(__xludf.DUMMYFUNCTION("IMPORTRANGE(""https://docs.google.com/spreadsheets/d/1XL5vhW3sbDhbH9Cz0tuDiY8C3ctxq1tqvaCgkFb8cCA/edit?usp=sharing"",""หนองคาย!J406"")"),0)</f>
        <v>0</v>
      </c>
      <c r="BH49" s="552">
        <f ca="1">IFERROR(__xludf.DUMMYFUNCTION("IMPORTRANGE(""https://docs.google.com/spreadsheets/d/1XL5vhW3sbDhbH9Cz0tuDiY8C3ctxq1tqvaCgkFb8cCA/edit?usp=sharing"",""หนองคาย!J407"")"),0)</f>
        <v>0</v>
      </c>
      <c r="BI49" s="552">
        <f ca="1">IFERROR(__xludf.DUMMYFUNCTION("IMPORTRANGE(""https://docs.google.com/spreadsheets/d/1XL5vhW3sbDhbH9Cz0tuDiY8C3ctxq1tqvaCgkFb8cCA/edit?usp=sharing"",""หนองคาย!J408"")"),0)</f>
        <v>0</v>
      </c>
      <c r="BJ49" s="552">
        <f ca="1">IFERROR(__xludf.DUMMYFUNCTION("IMPORTRANGE(""https://docs.google.com/spreadsheets/d/1XL5vhW3sbDhbH9Cz0tuDiY8C3ctxq1tqvaCgkFb8cCA/edit?usp=sharing"",""หนองคาย!J409"")"),0)</f>
        <v>0</v>
      </c>
      <c r="BK49" s="552">
        <f ca="1">IFERROR(__xludf.DUMMYFUNCTION("IMPORTRANGE(""https://docs.google.com/spreadsheets/d/1XL5vhW3sbDhbH9Cz0tuDiY8C3ctxq1tqvaCgkFb8cCA/edit?usp=sharing"",""หนองคาย!J410"")"),0)</f>
        <v>0</v>
      </c>
      <c r="BL49" s="556">
        <f ca="1">IFERROR(__xludf.DUMMYFUNCTION("IMPORTRANGE(""https://docs.google.com/spreadsheets/d/1C3CXT74ZlgGe6_JY_1olB1XN4rF0dxEuIIF-xsYjHgg/edit?usp=sharing"",""งบกองทุน!CZ53"")"),0)</f>
        <v>0</v>
      </c>
      <c r="BM49" s="556">
        <f ca="1">IFERROR(__xludf.DUMMYFUNCTION("IMPORTRANGE(""https://docs.google.com/spreadsheets/d/1C3CXT74ZlgGe6_JY_1olB1XN4rF0dxEuIIF-xsYjHgg/edit?usp=sharing"",""งบกองทุน!CY53"")"),0)</f>
        <v>0</v>
      </c>
      <c r="BN49" s="556">
        <f t="shared" ca="1" si="91"/>
        <v>0</v>
      </c>
      <c r="BO49" s="557">
        <f t="shared" ca="1" si="15"/>
        <v>0</v>
      </c>
      <c r="BP49" s="556">
        <f t="shared" ca="1" si="92"/>
        <v>0</v>
      </c>
      <c r="BQ49" s="557">
        <f t="shared" ca="1" si="16"/>
        <v>0</v>
      </c>
      <c r="BR49" s="552">
        <f ca="1">IFERROR(__xludf.DUMMYFUNCTION("IMPORTRANGE(""https://docs.google.com/spreadsheets/d/1XL5vhW3sbDhbH9Cz0tuDiY8C3ctxq1tqvaCgkFb8cCA/edit?usp=sharing"",""หนองคาย!J414"")"),0)</f>
        <v>0</v>
      </c>
      <c r="BS49" s="552">
        <f ca="1">IFERROR(__xludf.DUMMYFUNCTION("IMPORTRANGE(""https://docs.google.com/spreadsheets/d/1XL5vhW3sbDhbH9Cz0tuDiY8C3ctxq1tqvaCgkFb8cCA/edit?usp=sharing"",""หนองคาย!J415"")"),0)</f>
        <v>0</v>
      </c>
      <c r="BT49" s="552">
        <f ca="1">IFERROR(__xludf.DUMMYFUNCTION("IMPORTRANGE(""https://docs.google.com/spreadsheets/d/1XL5vhW3sbDhbH9Cz0tuDiY8C3ctxq1tqvaCgkFb8cCA/edit?usp=sharing"",""หนองคาย!J416"")"),0)</f>
        <v>0</v>
      </c>
      <c r="BU49" s="552">
        <f ca="1">IFERROR(__xludf.DUMMYFUNCTION("IMPORTRANGE(""https://docs.google.com/spreadsheets/d/1XL5vhW3sbDhbH9Cz0tuDiY8C3ctxq1tqvaCgkFb8cCA/edit?usp=sharing"",""หนองคาย!J417"")"),0)</f>
        <v>0</v>
      </c>
      <c r="BV49" s="552">
        <f ca="1">IFERROR(__xludf.DUMMYFUNCTION("IMPORTRANGE(""https://docs.google.com/spreadsheets/d/1XL5vhW3sbDhbH9Cz0tuDiY8C3ctxq1tqvaCgkFb8cCA/edit?usp=sharing"",""หนองคาย!J418"")"),0)</f>
        <v>0</v>
      </c>
      <c r="BW49" s="552">
        <f ca="1">IFERROR(__xludf.DUMMYFUNCTION("IMPORTRANGE(""https://docs.google.com/spreadsheets/d/1XL5vhW3sbDhbH9Cz0tuDiY8C3ctxq1tqvaCgkFb8cCA/edit?usp=sharing"",""หนองคาย!J419"")"),0)</f>
        <v>0</v>
      </c>
      <c r="BX49" s="556">
        <f t="shared" ca="1" si="93"/>
        <v>0</v>
      </c>
      <c r="BY49" s="557">
        <f t="shared" ca="1" si="94"/>
        <v>0</v>
      </c>
      <c r="BZ49" s="556">
        <f t="shared" ca="1" si="95"/>
        <v>0</v>
      </c>
      <c r="CA49" s="557">
        <f t="shared" ca="1" si="96"/>
        <v>0</v>
      </c>
      <c r="CB49" s="552">
        <f ca="1">IFERROR(__xludf.DUMMYFUNCTION("IMPORTRANGE(""https://docs.google.com/spreadsheets/d/1XL5vhW3sbDhbH9Cz0tuDiY8C3ctxq1tqvaCgkFb8cCA/edit?usp=sharing"",""หนองคาย!J422"")"),0)</f>
        <v>0</v>
      </c>
      <c r="CC49" s="552">
        <f ca="1">IFERROR(__xludf.DUMMYFUNCTION("IMPORTRANGE(""https://docs.google.com/spreadsheets/d/1XL5vhW3sbDhbH9Cz0tuDiY8C3ctxq1tqvaCgkFb8cCA/edit?usp=sharing"",""หนองคาย!J423"")"),0)</f>
        <v>0</v>
      </c>
      <c r="CD49" s="552">
        <f ca="1">IFERROR(__xludf.DUMMYFUNCTION("IMPORTRANGE(""https://docs.google.com/spreadsheets/d/1XL5vhW3sbDhbH9Cz0tuDiY8C3ctxq1tqvaCgkFb8cCA/edit?usp=sharing"",""หนองคาย!J424"")"),0)</f>
        <v>0</v>
      </c>
      <c r="CE49" s="552">
        <f ca="1">IFERROR(__xludf.DUMMYFUNCTION("IMPORTRANGE(""https://docs.google.com/spreadsheets/d/1XL5vhW3sbDhbH9Cz0tuDiY8C3ctxq1tqvaCgkFb8cCA/edit?usp=sharing"",""หนองคาย!J425"")"),0)</f>
        <v>0</v>
      </c>
      <c r="CF49" s="552">
        <f ca="1">IFERROR(__xludf.DUMMYFUNCTION("IMPORTRANGE(""https://docs.google.com/spreadsheets/d/1XL5vhW3sbDhbH9Cz0tuDiY8C3ctxq1tqvaCgkFb8cCA/edit?usp=sharing"",""หนองคาย!J426"")"),0)</f>
        <v>0</v>
      </c>
      <c r="CG49" s="558">
        <f ca="1">IFERROR(__xludf.DUMMYFUNCTION("IMPORTRANGE(""https://docs.google.com/spreadsheets/d/1XL5vhW3sbDhbH9Cz0tuDiY8C3ctxq1tqvaCgkFb8cCA/edit?usp=sharing"",""หนองคาย!J427"")"),0)</f>
        <v>0</v>
      </c>
    </row>
    <row r="50" spans="1:85" ht="21" customHeight="1">
      <c r="A50" s="549">
        <v>17</v>
      </c>
      <c r="B50" s="550" t="s">
        <v>74</v>
      </c>
      <c r="C50" s="551">
        <f t="shared" ca="1" si="82"/>
        <v>733096</v>
      </c>
      <c r="D50" s="552">
        <f ca="1">IFERROR(__xludf.DUMMYFUNCTION("IMPORTRANGE(""https://docs.google.com/spreadsheets/d/1C3CXT74ZlgGe6_JY_1olB1XN4rF0dxEuIIF-xsYjHgg/edit?usp=sharing"",""งบกองทุน!BC54"")"),0)</f>
        <v>0</v>
      </c>
      <c r="E50" s="553">
        <f ca="1">IFERROR(__xludf.DUMMYFUNCTION("IMPORTRANGE(""https://docs.google.com/spreadsheets/d/1C3CXT74ZlgGe6_JY_1olB1XN4rF0dxEuIIF-xsYjHgg/edit?usp=sharing"",""งบกองทุน!BD54"")"),733096)</f>
        <v>733096</v>
      </c>
      <c r="F50" s="554">
        <f ca="1">IFERROR(__xludf.DUMMYFUNCTION("IMPORTRANGE(""https://docs.google.com/spreadsheets/d/1XL5vhW3sbDhbH9Cz0tuDiY8C3ctxq1tqvaCgkFb8cCA/edit?usp=sharing"",""หนองบัวลำภู!M352"")"),190937.06)</f>
        <v>190937.06</v>
      </c>
      <c r="G50" s="554">
        <f t="shared" ca="1" si="1"/>
        <v>26.045301024695267</v>
      </c>
      <c r="H50" s="555">
        <f ca="1">IFERROR(__xludf.DUMMYFUNCTION("IMPORTRANGE(""https://docs.google.com/spreadsheets/d/1C3CXT74ZlgGe6_JY_1olB1XN4rF0dxEuIIF-xsYjHgg/edit?usp=sharing"",""งบกองทุน!BE54"")"),42886)</f>
        <v>42886</v>
      </c>
      <c r="I50" s="555">
        <f ca="1">IFERROR(__xludf.DUMMYFUNCTION("IMPORTRANGE(""https://docs.google.com/spreadsheets/d/1C3CXT74ZlgGe6_JY_1olB1XN4rF0dxEuIIF-xsYjHgg/edit?usp=sharing"",""งบกองทุน!BF54"")"),4224)</f>
        <v>4224</v>
      </c>
      <c r="J50" s="552">
        <f t="shared" ca="1" si="83"/>
        <v>42888</v>
      </c>
      <c r="K50" s="554">
        <f t="shared" ca="1" si="3"/>
        <v>100.00466352655879</v>
      </c>
      <c r="L50" s="552">
        <f t="shared" ca="1" si="84"/>
        <v>4224</v>
      </c>
      <c r="M50" s="554">
        <f t="shared" ca="1" si="4"/>
        <v>100</v>
      </c>
      <c r="N50" s="552">
        <f ca="1">IFERROR(__xludf.DUMMYFUNCTION("IMPORTRANGE(""https://docs.google.com/spreadsheets/d/1XL5vhW3sbDhbH9Cz0tuDiY8C3ctxq1tqvaCgkFb8cCA/edit?usp=sharing"",""หนองบัวลำภู!J362"")"),36013)</f>
        <v>36013</v>
      </c>
      <c r="O50" s="552">
        <f ca="1">IFERROR(__xludf.DUMMYFUNCTION("IMPORTRANGE(""https://docs.google.com/spreadsheets/d/1XL5vhW3sbDhbH9Cz0tuDiY8C3ctxq1tqvaCgkFb8cCA/edit?usp=sharing"",""หนองบัวลำภู!J363"")"),3483)</f>
        <v>3483</v>
      </c>
      <c r="P50" s="552">
        <f ca="1">IFERROR(__xludf.DUMMYFUNCTION("IMPORTRANGE(""https://docs.google.com/spreadsheets/d/1XL5vhW3sbDhbH9Cz0tuDiY8C3ctxq1tqvaCgkFb8cCA/edit?usp=sharing"",""หนองบัวลำภู!J364"")"),5328)</f>
        <v>5328</v>
      </c>
      <c r="Q50" s="552">
        <f ca="1">IFERROR(__xludf.DUMMYFUNCTION("IMPORTRANGE(""https://docs.google.com/spreadsheets/d/1XL5vhW3sbDhbH9Cz0tuDiY8C3ctxq1tqvaCgkFb8cCA/edit?usp=sharing"",""หนองบัวลำภู!J365"")"),631)</f>
        <v>631</v>
      </c>
      <c r="R50" s="552">
        <f ca="1">IFERROR(__xludf.DUMMYFUNCTION("IMPORTRANGE(""https://docs.google.com/spreadsheets/d/1XL5vhW3sbDhbH9Cz0tuDiY8C3ctxq1tqvaCgkFb8cCA/edit?usp=sharing"",""หนองบัวลำภู!J366"")"),1547)</f>
        <v>1547</v>
      </c>
      <c r="S50" s="552">
        <f ca="1">IFERROR(__xludf.DUMMYFUNCTION("IMPORTRANGE(""https://docs.google.com/spreadsheets/d/1XL5vhW3sbDhbH9Cz0tuDiY8C3ctxq1tqvaCgkFb8cCA/edit?usp=sharing"",""หนองบัวลำภู!J367"")"),110)</f>
        <v>110</v>
      </c>
      <c r="T50" s="552">
        <f t="shared" ca="1" si="85"/>
        <v>42888</v>
      </c>
      <c r="U50" s="552">
        <f t="shared" ca="1" si="6"/>
        <v>100.00466352655879</v>
      </c>
      <c r="V50" s="552">
        <f t="shared" ca="1" si="86"/>
        <v>4224</v>
      </c>
      <c r="W50" s="552">
        <f t="shared" ca="1" si="7"/>
        <v>100</v>
      </c>
      <c r="X50" s="552">
        <f ca="1">IFERROR(__xludf.DUMMYFUNCTION("IMPORTRANGE(""https://docs.google.com/spreadsheets/d/1XL5vhW3sbDhbH9Cz0tuDiY8C3ctxq1tqvaCgkFb8cCA/edit?usp=sharing"",""หนองบัวลำภู!J370"")"),36014)</f>
        <v>36014</v>
      </c>
      <c r="Y50" s="552">
        <f ca="1">IFERROR(__xludf.DUMMYFUNCTION("IMPORTRANGE(""https://docs.google.com/spreadsheets/d/1XL5vhW3sbDhbH9Cz0tuDiY8C3ctxq1tqvaCgkFb8cCA/edit?usp=sharing"",""หนองบัวลำภู!J371"")"),3484)</f>
        <v>3484</v>
      </c>
      <c r="Z50" s="552">
        <f ca="1">IFERROR(__xludf.DUMMYFUNCTION("IMPORTRANGE(""https://docs.google.com/spreadsheets/d/1XL5vhW3sbDhbH9Cz0tuDiY8C3ctxq1tqvaCgkFb8cCA/edit?usp=sharing"",""หนองบัวลำภู!J372"")"),5328)</f>
        <v>5328</v>
      </c>
      <c r="AA50" s="552">
        <f ca="1">IFERROR(__xludf.DUMMYFUNCTION("IMPORTRANGE(""https://docs.google.com/spreadsheets/d/1XL5vhW3sbDhbH9Cz0tuDiY8C3ctxq1tqvaCgkFb8cCA/edit?usp=sharing"",""หนองบัวลำภู!J373"")"),631)</f>
        <v>631</v>
      </c>
      <c r="AB50" s="552">
        <f ca="1">IFERROR(__xludf.DUMMYFUNCTION("IMPORTRANGE(""https://docs.google.com/spreadsheets/d/1XL5vhW3sbDhbH9Cz0tuDiY8C3ctxq1tqvaCgkFb8cCA/edit?usp=sharing"",""หนองบัวลำภู!J374"")"),1546)</f>
        <v>1546</v>
      </c>
      <c r="AC50" s="552">
        <f ca="1">IFERROR(__xludf.DUMMYFUNCTION("IMPORTRANGE(""https://docs.google.com/spreadsheets/d/1XL5vhW3sbDhbH9Cz0tuDiY8C3ctxq1tqvaCgkFb8cCA/edit?usp=sharing"",""หนองบัวลำภู!J375"")"),109)</f>
        <v>109</v>
      </c>
      <c r="AD50" s="552">
        <f t="shared" ca="1" si="87"/>
        <v>42886.170000000006</v>
      </c>
      <c r="AE50" s="554">
        <f t="shared" ca="1" si="9"/>
        <v>100.00039639975752</v>
      </c>
      <c r="AF50" s="552">
        <f t="shared" ca="1" si="88"/>
        <v>4224</v>
      </c>
      <c r="AG50" s="554">
        <f t="shared" ca="1" si="10"/>
        <v>100</v>
      </c>
      <c r="AH50" s="552">
        <f ca="1">IFERROR(__xludf.DUMMYFUNCTION("IMPORTRANGE(""https://docs.google.com/spreadsheets/d/1XL5vhW3sbDhbH9Cz0tuDiY8C3ctxq1tqvaCgkFb8cCA/edit?usp=sharing"",""หนองบัวลำภู!J378"")"),36012.9)</f>
        <v>36012.9</v>
      </c>
      <c r="AI50" s="552">
        <f ca="1">IFERROR(__xludf.DUMMYFUNCTION("IMPORTRANGE(""https://docs.google.com/spreadsheets/d/1XL5vhW3sbDhbH9Cz0tuDiY8C3ctxq1tqvaCgkFb8cCA/edit?usp=sharing"",""หนองบัวลำภู!J379"")"),3484)</f>
        <v>3484</v>
      </c>
      <c r="AJ50" s="552">
        <f ca="1">IFERROR(__xludf.DUMMYFUNCTION("IMPORTRANGE(""https://docs.google.com/spreadsheets/d/1XL5vhW3sbDhbH9Cz0tuDiY8C3ctxq1tqvaCgkFb8cCA/edit?usp=sharing"",""หนองบัวลำภู!J380"")"),5327.57)</f>
        <v>5327.57</v>
      </c>
      <c r="AK50" s="552">
        <f ca="1">IFERROR(__xludf.DUMMYFUNCTION("IMPORTRANGE(""https://docs.google.com/spreadsheets/d/1XL5vhW3sbDhbH9Cz0tuDiY8C3ctxq1tqvaCgkFb8cCA/edit?usp=sharing"",""หนองบัวลำภู!J381"")"),631)</f>
        <v>631</v>
      </c>
      <c r="AL50" s="552">
        <f ca="1">IFERROR(__xludf.DUMMYFUNCTION("IMPORTRANGE(""https://docs.google.com/spreadsheets/d/1XL5vhW3sbDhbH9Cz0tuDiY8C3ctxq1tqvaCgkFb8cCA/edit?usp=sharing"",""หนองบัวลำภู!J384"")"),1539.65)</f>
        <v>1539.65</v>
      </c>
      <c r="AM50" s="552">
        <f ca="1">IFERROR(__xludf.DUMMYFUNCTION("IMPORTRANGE(""https://docs.google.com/spreadsheets/d/1XL5vhW3sbDhbH9Cz0tuDiY8C3ctxq1tqvaCgkFb8cCA/edit?usp=sharing"",""หนองบัวลำภู!J385"")"),107)</f>
        <v>107</v>
      </c>
      <c r="AN50" s="552">
        <f ca="1">IFERROR(__xludf.DUMMYFUNCTION("IMPORTRANGE(""https://docs.google.com/spreadsheets/d/1XL5vhW3sbDhbH9Cz0tuDiY8C3ctxq1tqvaCgkFb8cCA/edit?usp=sharing"",""หนองบัวลำภู!J386"")"),6.05)</f>
        <v>6.05</v>
      </c>
      <c r="AO50" s="552">
        <f ca="1">IFERROR(__xludf.DUMMYFUNCTION("IMPORTRANGE(""https://docs.google.com/spreadsheets/d/1XL5vhW3sbDhbH9Cz0tuDiY8C3ctxq1tqvaCgkFb8cCA/edit?usp=sharing"",""หนองบัวลำภู!J387"")"),2)</f>
        <v>2</v>
      </c>
      <c r="AP50" s="552">
        <f ca="1">IFERROR(__xludf.DUMMYFUNCTION("IMPORTRANGE(""https://docs.google.com/spreadsheets/d/1XL5vhW3sbDhbH9Cz0tuDiY8C3ctxq1tqvaCgkFb8cCA/edit?usp=sharing"",""หนองบัวลำภู!J388"")"),0)</f>
        <v>0</v>
      </c>
      <c r="AQ50" s="552">
        <f ca="1">IFERROR(__xludf.DUMMYFUNCTION("IMPORTRANGE(""https://docs.google.com/spreadsheets/d/1XL5vhW3sbDhbH9Cz0tuDiY8C3ctxq1tqvaCgkFb8cCA/edit?usp=sharing"",""หนองบัวลำภู!J389"")"),0)</f>
        <v>0</v>
      </c>
      <c r="AR50" s="552">
        <f ca="1">IFERROR(__xludf.DUMMYFUNCTION("IMPORTRANGE(""https://docs.google.com/spreadsheets/d/1XL5vhW3sbDhbH9Cz0tuDiY8C3ctxq1tqvaCgkFb8cCA/edit?usp=sharing"",""หนองบัวลำภู!J390"")"),0)</f>
        <v>0</v>
      </c>
      <c r="AS50" s="552">
        <f ca="1">IFERROR(__xludf.DUMMYFUNCTION("IMPORTRANGE(""https://docs.google.com/spreadsheets/d/1XL5vhW3sbDhbH9Cz0tuDiY8C3ctxq1tqvaCgkFb8cCA/edit?usp=sharing"",""หนองบัวลำภู!J391"")"),0)</f>
        <v>0</v>
      </c>
      <c r="AT50" s="556">
        <f ca="1">IFERROR(__xludf.DUMMYFUNCTION("IMPORTRANGE(""https://docs.google.com/spreadsheets/d/1C3CXT74ZlgGe6_JY_1olB1XN4rF0dxEuIIF-xsYjHgg/edit?usp=sharing"",""งบกองทุน!CD54"")"),10125)</f>
        <v>10125</v>
      </c>
      <c r="AU50" s="556">
        <f ca="1">IFERROR(__xludf.DUMMYFUNCTION("IMPORTRANGE(""https://docs.google.com/spreadsheets/d/1C3CXT74ZlgGe6_JY_1olB1XN4rF0dxEuIIF-xsYjHgg/edit?usp=sharing"",""งบกองทุน!CC54"")"),1062)</f>
        <v>1062</v>
      </c>
      <c r="AV50" s="556">
        <f t="shared" ca="1" si="89"/>
        <v>10125.9375</v>
      </c>
      <c r="AW50" s="556">
        <f t="shared" ca="1" si="12"/>
        <v>100.00925925925925</v>
      </c>
      <c r="AX50" s="556">
        <f t="shared" ca="1" si="90"/>
        <v>1062</v>
      </c>
      <c r="AY50" s="556">
        <f t="shared" ca="1" si="13"/>
        <v>100</v>
      </c>
      <c r="AZ50" s="552">
        <f ca="1">IFERROR(__xludf.DUMMYFUNCTION("IMPORTRANGE(""https://docs.google.com/spreadsheets/d/1XL5vhW3sbDhbH9Cz0tuDiY8C3ctxq1tqvaCgkFb8cCA/edit?usp=sharing"",""หนองบัวลำภู!J397"")"),552.48)</f>
        <v>552.48</v>
      </c>
      <c r="BA50" s="552">
        <f ca="1">IFERROR(__xludf.DUMMYFUNCTION("IMPORTRANGE(""https://docs.google.com/spreadsheets/d/1XL5vhW3sbDhbH9Cz0tuDiY8C3ctxq1tqvaCgkFb8cCA/edit?usp=sharing"",""หนองบัวลำภู!J398"")"),154)</f>
        <v>154</v>
      </c>
      <c r="BB50" s="552">
        <f ca="1">IFERROR(__xludf.DUMMYFUNCTION("IMPORTRANGE(""https://docs.google.com/spreadsheets/d/1XL5vhW3sbDhbH9Cz0tuDiY8C3ctxq1tqvaCgkFb8cCA/edit?usp=sharing"",""หนองบัวลำภู!J399"")"),7640.63)</f>
        <v>7640.63</v>
      </c>
      <c r="BC50" s="552">
        <f ca="1">IFERROR(__xludf.DUMMYFUNCTION("IMPORTRANGE(""https://docs.google.com/spreadsheets/d/1XL5vhW3sbDhbH9Cz0tuDiY8C3ctxq1tqvaCgkFb8cCA/edit?usp=sharing"",""หนองบัวลำภู!J400"")"),696)</f>
        <v>696</v>
      </c>
      <c r="BD50" s="552">
        <f ca="1">IFERROR(__xludf.DUMMYFUNCTION("IMPORTRANGE(""https://docs.google.com/spreadsheets/d/1XL5vhW3sbDhbH9Cz0tuDiY8C3ctxq1tqvaCgkFb8cCA/edit?usp=sharing"",""หนองบัวลำภู!J401"")"),0)</f>
        <v>0</v>
      </c>
      <c r="BE50" s="552">
        <f ca="1">IFERROR(__xludf.DUMMYFUNCTION("IMPORTRANGE(""https://docs.google.com/spreadsheets/d/1XL5vhW3sbDhbH9Cz0tuDiY8C3ctxq1tqvaCgkFb8cCA/edit?usp=sharing"",""หนองบัวลำภู!J402"")"),0)</f>
        <v>0</v>
      </c>
      <c r="BF50" s="552">
        <f ca="1">IFERROR(__xludf.DUMMYFUNCTION("IMPORTRANGE(""https://docs.google.com/spreadsheets/d/1XL5vhW3sbDhbH9Cz0tuDiY8C3ctxq1tqvaCgkFb8cCA/edit?usp=sharing"",""หนองบัวลำภู!J405"")"),1631.345)</f>
        <v>1631.345</v>
      </c>
      <c r="BG50" s="552">
        <f ca="1">IFERROR(__xludf.DUMMYFUNCTION("IMPORTRANGE(""https://docs.google.com/spreadsheets/d/1XL5vhW3sbDhbH9Cz0tuDiY8C3ctxq1tqvaCgkFb8cCA/edit?usp=sharing"",""หนองบัวลำภู!J406"")"),184)</f>
        <v>184</v>
      </c>
      <c r="BH50" s="552">
        <f ca="1">IFERROR(__xludf.DUMMYFUNCTION("IMPORTRANGE(""https://docs.google.com/spreadsheets/d/1XL5vhW3sbDhbH9Cz0tuDiY8C3ctxq1tqvaCgkFb8cCA/edit?usp=sharing"",""หนองบัวลำภู!J407"")"),245.4125)</f>
        <v>245.41249999999999</v>
      </c>
      <c r="BI50" s="552">
        <f ca="1">IFERROR(__xludf.DUMMYFUNCTION("IMPORTRANGE(""https://docs.google.com/spreadsheets/d/1XL5vhW3sbDhbH9Cz0tuDiY8C3ctxq1tqvaCgkFb8cCA/edit?usp=sharing"",""หนองบัวลำภู!J408"")"),25)</f>
        <v>25</v>
      </c>
      <c r="BJ50" s="552">
        <f ca="1">IFERROR(__xludf.DUMMYFUNCTION("IMPORTRANGE(""https://docs.google.com/spreadsheets/d/1XL5vhW3sbDhbH9Cz0tuDiY8C3ctxq1tqvaCgkFb8cCA/edit?usp=sharing"",""หนองบัวลำภู!J409"")"),56.07)</f>
        <v>56.07</v>
      </c>
      <c r="BK50" s="552">
        <f ca="1">IFERROR(__xludf.DUMMYFUNCTION("IMPORTRANGE(""https://docs.google.com/spreadsheets/d/1XL5vhW3sbDhbH9Cz0tuDiY8C3ctxq1tqvaCgkFb8cCA/edit?usp=sharing"",""หนองบัวลำภู!J410"")"),3)</f>
        <v>3</v>
      </c>
      <c r="BL50" s="556">
        <f ca="1">IFERROR(__xludf.DUMMYFUNCTION("IMPORTRANGE(""https://docs.google.com/spreadsheets/d/1C3CXT74ZlgGe6_JY_1olB1XN4rF0dxEuIIF-xsYjHgg/edit?usp=sharing"",""งบกองทุน!CZ54"")"),0)</f>
        <v>0</v>
      </c>
      <c r="BM50" s="556">
        <f ca="1">IFERROR(__xludf.DUMMYFUNCTION("IMPORTRANGE(""https://docs.google.com/spreadsheets/d/1C3CXT74ZlgGe6_JY_1olB1XN4rF0dxEuIIF-xsYjHgg/edit?usp=sharing"",""งบกองทุน!CY54"")"),0)</f>
        <v>0</v>
      </c>
      <c r="BN50" s="556">
        <f t="shared" ca="1" si="91"/>
        <v>0</v>
      </c>
      <c r="BO50" s="557">
        <f t="shared" ca="1" si="15"/>
        <v>0</v>
      </c>
      <c r="BP50" s="556">
        <f t="shared" ca="1" si="92"/>
        <v>0</v>
      </c>
      <c r="BQ50" s="557">
        <f t="shared" ca="1" si="16"/>
        <v>0</v>
      </c>
      <c r="BR50" s="552">
        <f ca="1">IFERROR(__xludf.DUMMYFUNCTION("IMPORTRANGE(""https://docs.google.com/spreadsheets/d/1XL5vhW3sbDhbH9Cz0tuDiY8C3ctxq1tqvaCgkFb8cCA/edit?usp=sharing"",""หนองบัวลำภู!J414"")"),0)</f>
        <v>0</v>
      </c>
      <c r="BS50" s="552">
        <f ca="1">IFERROR(__xludf.DUMMYFUNCTION("IMPORTRANGE(""https://docs.google.com/spreadsheets/d/1XL5vhW3sbDhbH9Cz0tuDiY8C3ctxq1tqvaCgkFb8cCA/edit?usp=sharing"",""หนองบัวลำภู!J415"")"),0)</f>
        <v>0</v>
      </c>
      <c r="BT50" s="552">
        <f ca="1">IFERROR(__xludf.DUMMYFUNCTION("IMPORTRANGE(""https://docs.google.com/spreadsheets/d/1XL5vhW3sbDhbH9Cz0tuDiY8C3ctxq1tqvaCgkFb8cCA/edit?usp=sharing"",""หนองบัวลำภู!J416"")"),0)</f>
        <v>0</v>
      </c>
      <c r="BU50" s="552">
        <f ca="1">IFERROR(__xludf.DUMMYFUNCTION("IMPORTRANGE(""https://docs.google.com/spreadsheets/d/1XL5vhW3sbDhbH9Cz0tuDiY8C3ctxq1tqvaCgkFb8cCA/edit?usp=sharing"",""หนองบัวลำภู!J417"")"),0)</f>
        <v>0</v>
      </c>
      <c r="BV50" s="552">
        <f ca="1">IFERROR(__xludf.DUMMYFUNCTION("IMPORTRANGE(""https://docs.google.com/spreadsheets/d/1XL5vhW3sbDhbH9Cz0tuDiY8C3ctxq1tqvaCgkFb8cCA/edit?usp=sharing"",""หนองบัวลำภู!J418"")"),0)</f>
        <v>0</v>
      </c>
      <c r="BW50" s="552">
        <f ca="1">IFERROR(__xludf.DUMMYFUNCTION("IMPORTRANGE(""https://docs.google.com/spreadsheets/d/1XL5vhW3sbDhbH9Cz0tuDiY8C3ctxq1tqvaCgkFb8cCA/edit?usp=sharing"",""หนองบัวลำภู!J419"")"),0)</f>
        <v>0</v>
      </c>
      <c r="BX50" s="556">
        <f t="shared" ca="1" si="93"/>
        <v>0</v>
      </c>
      <c r="BY50" s="557">
        <f t="shared" ca="1" si="94"/>
        <v>0</v>
      </c>
      <c r="BZ50" s="556">
        <f t="shared" ca="1" si="95"/>
        <v>0</v>
      </c>
      <c r="CA50" s="557">
        <f t="shared" ca="1" si="96"/>
        <v>0</v>
      </c>
      <c r="CB50" s="552">
        <f ca="1">IFERROR(__xludf.DUMMYFUNCTION("IMPORTRANGE(""https://docs.google.com/spreadsheets/d/1XL5vhW3sbDhbH9Cz0tuDiY8C3ctxq1tqvaCgkFb8cCA/edit?usp=sharing"",""หนองบัวลำภู!J422"")"),0)</f>
        <v>0</v>
      </c>
      <c r="CC50" s="552">
        <f ca="1">IFERROR(__xludf.DUMMYFUNCTION("IMPORTRANGE(""https://docs.google.com/spreadsheets/d/1XL5vhW3sbDhbH9Cz0tuDiY8C3ctxq1tqvaCgkFb8cCA/edit?usp=sharing"",""หนองบัวลำภู!J423"")"),0)</f>
        <v>0</v>
      </c>
      <c r="CD50" s="552">
        <f ca="1">IFERROR(__xludf.DUMMYFUNCTION("IMPORTRANGE(""https://docs.google.com/spreadsheets/d/1XL5vhW3sbDhbH9Cz0tuDiY8C3ctxq1tqvaCgkFb8cCA/edit?usp=sharing"",""หนองบัวลำภู!J424"")"),0)</f>
        <v>0</v>
      </c>
      <c r="CE50" s="552">
        <f ca="1">IFERROR(__xludf.DUMMYFUNCTION("IMPORTRANGE(""https://docs.google.com/spreadsheets/d/1XL5vhW3sbDhbH9Cz0tuDiY8C3ctxq1tqvaCgkFb8cCA/edit?usp=sharing"",""หนองบัวลำภู!J425"")"),0)</f>
        <v>0</v>
      </c>
      <c r="CF50" s="552">
        <f ca="1">IFERROR(__xludf.DUMMYFUNCTION("IMPORTRANGE(""https://docs.google.com/spreadsheets/d/1XL5vhW3sbDhbH9Cz0tuDiY8C3ctxq1tqvaCgkFb8cCA/edit?usp=sharing"",""หนองบัวลำภู!J426"")"),0)</f>
        <v>0</v>
      </c>
      <c r="CG50" s="558">
        <f ca="1">IFERROR(__xludf.DUMMYFUNCTION("IMPORTRANGE(""https://docs.google.com/spreadsheets/d/1XL5vhW3sbDhbH9Cz0tuDiY8C3ctxq1tqvaCgkFb8cCA/edit?usp=sharing"",""หนองบัวลำภู!J427"")"),0)</f>
        <v>0</v>
      </c>
    </row>
    <row r="51" spans="1:85" ht="21" customHeight="1">
      <c r="A51" s="549">
        <v>18</v>
      </c>
      <c r="B51" s="550" t="s">
        <v>75</v>
      </c>
      <c r="C51" s="551">
        <f t="shared" ca="1" si="82"/>
        <v>173484</v>
      </c>
      <c r="D51" s="552">
        <f ca="1">IFERROR(__xludf.DUMMYFUNCTION("IMPORTRANGE(""https://docs.google.com/spreadsheets/d/1C3CXT74ZlgGe6_JY_1olB1XN4rF0dxEuIIF-xsYjHgg/edit?usp=sharing"",""งบกองทุน!BC55"")"),0)</f>
        <v>0</v>
      </c>
      <c r="E51" s="553">
        <f ca="1">IFERROR(__xludf.DUMMYFUNCTION("IMPORTRANGE(""https://docs.google.com/spreadsheets/d/1C3CXT74ZlgGe6_JY_1olB1XN4rF0dxEuIIF-xsYjHgg/edit?usp=sharing"",""งบกองทุน!BD55"")"),173484)</f>
        <v>173484</v>
      </c>
      <c r="F51" s="554">
        <f ca="1">IFERROR(__xludf.DUMMYFUNCTION("IMPORTRANGE(""https://docs.google.com/spreadsheets/d/1XL5vhW3sbDhbH9Cz0tuDiY8C3ctxq1tqvaCgkFb8cCA/edit?usp=sharing"",""อำนาจเจริญ!M352"")"),19505)</f>
        <v>19505</v>
      </c>
      <c r="G51" s="554">
        <f t="shared" ca="1" si="1"/>
        <v>11.243111756703788</v>
      </c>
      <c r="H51" s="555">
        <f ca="1">IFERROR(__xludf.DUMMYFUNCTION("IMPORTRANGE(""https://docs.google.com/spreadsheets/d/1C3CXT74ZlgGe6_JY_1olB1XN4rF0dxEuIIF-xsYjHgg/edit?usp=sharing"",""งบกองทุน!BE55"")"),13513)</f>
        <v>13513</v>
      </c>
      <c r="I51" s="555">
        <f ca="1">IFERROR(__xludf.DUMMYFUNCTION("IMPORTRANGE(""https://docs.google.com/spreadsheets/d/1C3CXT74ZlgGe6_JY_1olB1XN4rF0dxEuIIF-xsYjHgg/edit?usp=sharing"",""งบกองทุน!BF55"")"),3403)</f>
        <v>3403</v>
      </c>
      <c r="J51" s="552">
        <f t="shared" ca="1" si="83"/>
        <v>13512</v>
      </c>
      <c r="K51" s="554">
        <f t="shared" ca="1" si="3"/>
        <v>99.992599718789307</v>
      </c>
      <c r="L51" s="552">
        <f t="shared" ca="1" si="84"/>
        <v>3403</v>
      </c>
      <c r="M51" s="554">
        <f t="shared" ca="1" si="4"/>
        <v>100</v>
      </c>
      <c r="N51" s="552">
        <f ca="1">IFERROR(__xludf.DUMMYFUNCTION("IMPORTRANGE(""https://docs.google.com/spreadsheets/d/1XL5vhW3sbDhbH9Cz0tuDiY8C3ctxq1tqvaCgkFb8cCA/edit?usp=sharing"",""อำนาจเจริญ!J362"")"),10197)</f>
        <v>10197</v>
      </c>
      <c r="O51" s="552">
        <f ca="1">IFERROR(__xludf.DUMMYFUNCTION("IMPORTRANGE(""https://docs.google.com/spreadsheets/d/1XL5vhW3sbDhbH9Cz0tuDiY8C3ctxq1tqvaCgkFb8cCA/edit?usp=sharing"",""อำนาจเจริญ!J363"")"),2542)</f>
        <v>2542</v>
      </c>
      <c r="P51" s="552">
        <f ca="1">IFERROR(__xludf.DUMMYFUNCTION("IMPORTRANGE(""https://docs.google.com/spreadsheets/d/1XL5vhW3sbDhbH9Cz0tuDiY8C3ctxq1tqvaCgkFb8cCA/edit?usp=sharing"",""อำนาจเจริญ!J364"")"),3120)</f>
        <v>3120</v>
      </c>
      <c r="Q51" s="552">
        <f ca="1">IFERROR(__xludf.DUMMYFUNCTION("IMPORTRANGE(""https://docs.google.com/spreadsheets/d/1XL5vhW3sbDhbH9Cz0tuDiY8C3ctxq1tqvaCgkFb8cCA/edit?usp=sharing"",""อำนาจเจริญ!J365"")"),804)</f>
        <v>804</v>
      </c>
      <c r="R51" s="552">
        <f ca="1">IFERROR(__xludf.DUMMYFUNCTION("IMPORTRANGE(""https://docs.google.com/spreadsheets/d/1XL5vhW3sbDhbH9Cz0tuDiY8C3ctxq1tqvaCgkFb8cCA/edit?usp=sharing"",""อำนาจเจริญ!J366"")"),195)</f>
        <v>195</v>
      </c>
      <c r="S51" s="552">
        <f ca="1">IFERROR(__xludf.DUMMYFUNCTION("IMPORTRANGE(""https://docs.google.com/spreadsheets/d/1XL5vhW3sbDhbH9Cz0tuDiY8C3ctxq1tqvaCgkFb8cCA/edit?usp=sharing"",""อำนาจเจริญ!J367"")"),57)</f>
        <v>57</v>
      </c>
      <c r="T51" s="552">
        <f t="shared" ca="1" si="85"/>
        <v>13513</v>
      </c>
      <c r="U51" s="552">
        <f t="shared" ca="1" si="6"/>
        <v>100</v>
      </c>
      <c r="V51" s="552">
        <f t="shared" ca="1" si="86"/>
        <v>3403</v>
      </c>
      <c r="W51" s="552">
        <f t="shared" ca="1" si="7"/>
        <v>100</v>
      </c>
      <c r="X51" s="552">
        <f ca="1">IFERROR(__xludf.DUMMYFUNCTION("IMPORTRANGE(""https://docs.google.com/spreadsheets/d/1XL5vhW3sbDhbH9Cz0tuDiY8C3ctxq1tqvaCgkFb8cCA/edit?usp=sharing"",""อำนาจเจริญ!J370"")"),11365)</f>
        <v>11365</v>
      </c>
      <c r="Y51" s="552">
        <f ca="1">IFERROR(__xludf.DUMMYFUNCTION("IMPORTRANGE(""https://docs.google.com/spreadsheets/d/1XL5vhW3sbDhbH9Cz0tuDiY8C3ctxq1tqvaCgkFb8cCA/edit?usp=sharing"",""อำนาจเจริญ!J371"")"),2764)</f>
        <v>2764</v>
      </c>
      <c r="Z51" s="552">
        <f ca="1">IFERROR(__xludf.DUMMYFUNCTION("IMPORTRANGE(""https://docs.google.com/spreadsheets/d/1XL5vhW3sbDhbH9Cz0tuDiY8C3ctxq1tqvaCgkFb8cCA/edit?usp=sharing"",""อำนาจเจริญ!J372"")"),1911)</f>
        <v>1911</v>
      </c>
      <c r="AA51" s="552">
        <f ca="1">IFERROR(__xludf.DUMMYFUNCTION("IMPORTRANGE(""https://docs.google.com/spreadsheets/d/1XL5vhW3sbDhbH9Cz0tuDiY8C3ctxq1tqvaCgkFb8cCA/edit?usp=sharing"",""อำนาจเจริญ!J373"")"),572)</f>
        <v>572</v>
      </c>
      <c r="AB51" s="552">
        <f ca="1">IFERROR(__xludf.DUMMYFUNCTION("IMPORTRANGE(""https://docs.google.com/spreadsheets/d/1XL5vhW3sbDhbH9Cz0tuDiY8C3ctxq1tqvaCgkFb8cCA/edit?usp=sharing"",""อำนาจเจริญ!J374"")"),237)</f>
        <v>237</v>
      </c>
      <c r="AC51" s="552">
        <f ca="1">IFERROR(__xludf.DUMMYFUNCTION("IMPORTRANGE(""https://docs.google.com/spreadsheets/d/1XL5vhW3sbDhbH9Cz0tuDiY8C3ctxq1tqvaCgkFb8cCA/edit?usp=sharing"",""อำนาจเจริญ!J375"")"),67)</f>
        <v>67</v>
      </c>
      <c r="AD51" s="552">
        <f t="shared" ca="1" si="87"/>
        <v>0</v>
      </c>
      <c r="AE51" s="554">
        <f t="shared" ca="1" si="9"/>
        <v>0</v>
      </c>
      <c r="AF51" s="552">
        <f t="shared" ca="1" si="88"/>
        <v>0</v>
      </c>
      <c r="AG51" s="554">
        <f t="shared" ca="1" si="10"/>
        <v>0</v>
      </c>
      <c r="AH51" s="552">
        <f ca="1">IFERROR(__xludf.DUMMYFUNCTION("IMPORTRANGE(""https://docs.google.com/spreadsheets/d/1XL5vhW3sbDhbH9Cz0tuDiY8C3ctxq1tqvaCgkFb8cCA/edit?usp=sharing"",""อำนาจเจริญ!J378"")"),0)</f>
        <v>0</v>
      </c>
      <c r="AI51" s="552">
        <f ca="1">IFERROR(__xludf.DUMMYFUNCTION("IMPORTRANGE(""https://docs.google.com/spreadsheets/d/1XL5vhW3sbDhbH9Cz0tuDiY8C3ctxq1tqvaCgkFb8cCA/edit?usp=sharing"",""อำนาจเจริญ!J379"")"),0)</f>
        <v>0</v>
      </c>
      <c r="AJ51" s="552">
        <f ca="1">IFERROR(__xludf.DUMMYFUNCTION("IMPORTRANGE(""https://docs.google.com/spreadsheets/d/1XL5vhW3sbDhbH9Cz0tuDiY8C3ctxq1tqvaCgkFb8cCA/edit?usp=sharing"",""อำนาจเจริญ!J380"")"),0)</f>
        <v>0</v>
      </c>
      <c r="AK51" s="552">
        <f ca="1">IFERROR(__xludf.DUMMYFUNCTION("IMPORTRANGE(""https://docs.google.com/spreadsheets/d/1XL5vhW3sbDhbH9Cz0tuDiY8C3ctxq1tqvaCgkFb8cCA/edit?usp=sharing"",""อำนาจเจริญ!J381"")"),0)</f>
        <v>0</v>
      </c>
      <c r="AL51" s="552">
        <f ca="1">IFERROR(__xludf.DUMMYFUNCTION("IMPORTRANGE(""https://docs.google.com/spreadsheets/d/1XL5vhW3sbDhbH9Cz0tuDiY8C3ctxq1tqvaCgkFb8cCA/edit?usp=sharing"",""อำนาจเจริญ!J384"")"),0)</f>
        <v>0</v>
      </c>
      <c r="AM51" s="552">
        <f ca="1">IFERROR(__xludf.DUMMYFUNCTION("IMPORTRANGE(""https://docs.google.com/spreadsheets/d/1XL5vhW3sbDhbH9Cz0tuDiY8C3ctxq1tqvaCgkFb8cCA/edit?usp=sharing"",""อำนาจเจริญ!J385"")"),0)</f>
        <v>0</v>
      </c>
      <c r="AN51" s="552">
        <f ca="1">IFERROR(__xludf.DUMMYFUNCTION("IMPORTRANGE(""https://docs.google.com/spreadsheets/d/1XL5vhW3sbDhbH9Cz0tuDiY8C3ctxq1tqvaCgkFb8cCA/edit?usp=sharing"",""อำนาจเจริญ!J386"")"),0)</f>
        <v>0</v>
      </c>
      <c r="AO51" s="552">
        <f ca="1">IFERROR(__xludf.DUMMYFUNCTION("IMPORTRANGE(""https://docs.google.com/spreadsheets/d/1XL5vhW3sbDhbH9Cz0tuDiY8C3ctxq1tqvaCgkFb8cCA/edit?usp=sharing"",""อำนาจเจริญ!J387"")"),0)</f>
        <v>0</v>
      </c>
      <c r="AP51" s="552">
        <f ca="1">IFERROR(__xludf.DUMMYFUNCTION("IMPORTRANGE(""https://docs.google.com/spreadsheets/d/1XL5vhW3sbDhbH9Cz0tuDiY8C3ctxq1tqvaCgkFb8cCA/edit?usp=sharing"",""อำนาจเจริญ!J388"")"),0)</f>
        <v>0</v>
      </c>
      <c r="AQ51" s="552">
        <f ca="1">IFERROR(__xludf.DUMMYFUNCTION("IMPORTRANGE(""https://docs.google.com/spreadsheets/d/1XL5vhW3sbDhbH9Cz0tuDiY8C3ctxq1tqvaCgkFb8cCA/edit?usp=sharing"",""อำนาจเจริญ!J389"")"),0)</f>
        <v>0</v>
      </c>
      <c r="AR51" s="552">
        <f ca="1">IFERROR(__xludf.DUMMYFUNCTION("IMPORTRANGE(""https://docs.google.com/spreadsheets/d/1XL5vhW3sbDhbH9Cz0tuDiY8C3ctxq1tqvaCgkFb8cCA/edit?usp=sharing"",""อำนาจเจริญ!J390"")"),0)</f>
        <v>0</v>
      </c>
      <c r="AS51" s="552">
        <f ca="1">IFERROR(__xludf.DUMMYFUNCTION("IMPORTRANGE(""https://docs.google.com/spreadsheets/d/1XL5vhW3sbDhbH9Cz0tuDiY8C3ctxq1tqvaCgkFb8cCA/edit?usp=sharing"",""อำนาจเจริญ!J391"")"),0)</f>
        <v>0</v>
      </c>
      <c r="AT51" s="556">
        <f ca="1">IFERROR(__xludf.DUMMYFUNCTION("IMPORTRANGE(""https://docs.google.com/spreadsheets/d/1C3CXT74ZlgGe6_JY_1olB1XN4rF0dxEuIIF-xsYjHgg/edit?usp=sharing"",""งบกองทุน!CD55"")"),1217)</f>
        <v>1217</v>
      </c>
      <c r="AU51" s="556">
        <f ca="1">IFERROR(__xludf.DUMMYFUNCTION("IMPORTRANGE(""https://docs.google.com/spreadsheets/d/1C3CXT74ZlgGe6_JY_1olB1XN4rF0dxEuIIF-xsYjHgg/edit?usp=sharing"",""งบกองทุน!CC55"")"),106)</f>
        <v>106</v>
      </c>
      <c r="AV51" s="556">
        <f t="shared" ca="1" si="89"/>
        <v>904</v>
      </c>
      <c r="AW51" s="556">
        <f t="shared" ca="1" si="12"/>
        <v>74.281018898931805</v>
      </c>
      <c r="AX51" s="556">
        <f t="shared" ca="1" si="90"/>
        <v>69</v>
      </c>
      <c r="AY51" s="556">
        <f t="shared" ca="1" si="13"/>
        <v>65.094339622641513</v>
      </c>
      <c r="AZ51" s="552">
        <f ca="1">IFERROR(__xludf.DUMMYFUNCTION("IMPORTRANGE(""https://docs.google.com/spreadsheets/d/1XL5vhW3sbDhbH9Cz0tuDiY8C3ctxq1tqvaCgkFb8cCA/edit?usp=sharing"",""อำนาจเจริญ!J397"")"),871)</f>
        <v>871</v>
      </c>
      <c r="BA51" s="552">
        <f ca="1">IFERROR(__xludf.DUMMYFUNCTION("IMPORTRANGE(""https://docs.google.com/spreadsheets/d/1XL5vhW3sbDhbH9Cz0tuDiY8C3ctxq1tqvaCgkFb8cCA/edit?usp=sharing"",""อำนาจเจริญ!J398"")"),64)</f>
        <v>64</v>
      </c>
      <c r="BB51" s="552">
        <f ca="1">IFERROR(__xludf.DUMMYFUNCTION("IMPORTRANGE(""https://docs.google.com/spreadsheets/d/1XL5vhW3sbDhbH9Cz0tuDiY8C3ctxq1tqvaCgkFb8cCA/edit?usp=sharing"",""อำนาจเจริญ!J399"")"),18)</f>
        <v>18</v>
      </c>
      <c r="BC51" s="552">
        <f ca="1">IFERROR(__xludf.DUMMYFUNCTION("IMPORTRANGE(""https://docs.google.com/spreadsheets/d/1XL5vhW3sbDhbH9Cz0tuDiY8C3ctxq1tqvaCgkFb8cCA/edit?usp=sharing"",""อำนาจเจริญ!J400"")"),2)</f>
        <v>2</v>
      </c>
      <c r="BD51" s="552">
        <f ca="1">IFERROR(__xludf.DUMMYFUNCTION("IMPORTRANGE(""https://docs.google.com/spreadsheets/d/1XL5vhW3sbDhbH9Cz0tuDiY8C3ctxq1tqvaCgkFb8cCA/edit?usp=sharing"",""อำนาจเจริญ!J401"")"),0)</f>
        <v>0</v>
      </c>
      <c r="BE51" s="552">
        <f ca="1">IFERROR(__xludf.DUMMYFUNCTION("IMPORTRANGE(""https://docs.google.com/spreadsheets/d/1XL5vhW3sbDhbH9Cz0tuDiY8C3ctxq1tqvaCgkFb8cCA/edit?usp=sharing"",""อำนาจเจริญ!J402"")"),0)</f>
        <v>0</v>
      </c>
      <c r="BF51" s="552">
        <f ca="1">IFERROR(__xludf.DUMMYFUNCTION("IMPORTRANGE(""https://docs.google.com/spreadsheets/d/1XL5vhW3sbDhbH9Cz0tuDiY8C3ctxq1tqvaCgkFb8cCA/edit?usp=sharing"",""อำนาจเจริญ!J405"")"),5)</f>
        <v>5</v>
      </c>
      <c r="BG51" s="552">
        <f ca="1">IFERROR(__xludf.DUMMYFUNCTION("IMPORTRANGE(""https://docs.google.com/spreadsheets/d/1XL5vhW3sbDhbH9Cz0tuDiY8C3ctxq1tqvaCgkFb8cCA/edit?usp=sharing"",""อำนาจเจริญ!J406"")"),2)</f>
        <v>2</v>
      </c>
      <c r="BH51" s="552">
        <f ca="1">IFERROR(__xludf.DUMMYFUNCTION("IMPORTRANGE(""https://docs.google.com/spreadsheets/d/1XL5vhW3sbDhbH9Cz0tuDiY8C3ctxq1tqvaCgkFb8cCA/edit?usp=sharing"",""อำนาจเจริญ!J407"")"),10)</f>
        <v>10</v>
      </c>
      <c r="BI51" s="552">
        <f ca="1">IFERROR(__xludf.DUMMYFUNCTION("IMPORTRANGE(""https://docs.google.com/spreadsheets/d/1XL5vhW3sbDhbH9Cz0tuDiY8C3ctxq1tqvaCgkFb8cCA/edit?usp=sharing"",""อำนาจเจริญ!J408"")"),1)</f>
        <v>1</v>
      </c>
      <c r="BJ51" s="552">
        <f ca="1">IFERROR(__xludf.DUMMYFUNCTION("IMPORTRANGE(""https://docs.google.com/spreadsheets/d/1XL5vhW3sbDhbH9Cz0tuDiY8C3ctxq1tqvaCgkFb8cCA/edit?usp=sharing"",""อำนาจเจริญ!J409"")"),0)</f>
        <v>0</v>
      </c>
      <c r="BK51" s="552">
        <f ca="1">IFERROR(__xludf.DUMMYFUNCTION("IMPORTRANGE(""https://docs.google.com/spreadsheets/d/1XL5vhW3sbDhbH9Cz0tuDiY8C3ctxq1tqvaCgkFb8cCA/edit?usp=sharing"",""อำนาจเจริญ!J410"")"),0)</f>
        <v>0</v>
      </c>
      <c r="BL51" s="556">
        <f ca="1">IFERROR(__xludf.DUMMYFUNCTION("IMPORTRANGE(""https://docs.google.com/spreadsheets/d/1C3CXT74ZlgGe6_JY_1olB1XN4rF0dxEuIIF-xsYjHgg/edit?usp=sharing"",""งบกองทุน!CZ55"")"),0)</f>
        <v>0</v>
      </c>
      <c r="BM51" s="556">
        <f ca="1">IFERROR(__xludf.DUMMYFUNCTION("IMPORTRANGE(""https://docs.google.com/spreadsheets/d/1C3CXT74ZlgGe6_JY_1olB1XN4rF0dxEuIIF-xsYjHgg/edit?usp=sharing"",""งบกองทุน!CY55"")"),0)</f>
        <v>0</v>
      </c>
      <c r="BN51" s="556">
        <f t="shared" ca="1" si="91"/>
        <v>0</v>
      </c>
      <c r="BO51" s="557">
        <f t="shared" ca="1" si="15"/>
        <v>0</v>
      </c>
      <c r="BP51" s="556">
        <f t="shared" ca="1" si="92"/>
        <v>0</v>
      </c>
      <c r="BQ51" s="557">
        <f t="shared" ca="1" si="16"/>
        <v>0</v>
      </c>
      <c r="BR51" s="552">
        <f ca="1">IFERROR(__xludf.DUMMYFUNCTION("IMPORTRANGE(""https://docs.google.com/spreadsheets/d/1XL5vhW3sbDhbH9Cz0tuDiY8C3ctxq1tqvaCgkFb8cCA/edit?usp=sharing"",""อำนาจเจริญ!J414"")"),0)</f>
        <v>0</v>
      </c>
      <c r="BS51" s="552">
        <f ca="1">IFERROR(__xludf.DUMMYFUNCTION("IMPORTRANGE(""https://docs.google.com/spreadsheets/d/1XL5vhW3sbDhbH9Cz0tuDiY8C3ctxq1tqvaCgkFb8cCA/edit?usp=sharing"",""อำนาจเจริญ!J415"")"),0)</f>
        <v>0</v>
      </c>
      <c r="BT51" s="552">
        <f ca="1">IFERROR(__xludf.DUMMYFUNCTION("IMPORTRANGE(""https://docs.google.com/spreadsheets/d/1XL5vhW3sbDhbH9Cz0tuDiY8C3ctxq1tqvaCgkFb8cCA/edit?usp=sharing"",""อำนาจเจริญ!J416"")"),0)</f>
        <v>0</v>
      </c>
      <c r="BU51" s="552">
        <f ca="1">IFERROR(__xludf.DUMMYFUNCTION("IMPORTRANGE(""https://docs.google.com/spreadsheets/d/1XL5vhW3sbDhbH9Cz0tuDiY8C3ctxq1tqvaCgkFb8cCA/edit?usp=sharing"",""อำนาจเจริญ!J417"")"),0)</f>
        <v>0</v>
      </c>
      <c r="BV51" s="552">
        <f ca="1">IFERROR(__xludf.DUMMYFUNCTION("IMPORTRANGE(""https://docs.google.com/spreadsheets/d/1XL5vhW3sbDhbH9Cz0tuDiY8C3ctxq1tqvaCgkFb8cCA/edit?usp=sharing"",""อำนาจเจริญ!J418"")"),0)</f>
        <v>0</v>
      </c>
      <c r="BW51" s="552">
        <f ca="1">IFERROR(__xludf.DUMMYFUNCTION("IMPORTRANGE(""https://docs.google.com/spreadsheets/d/1XL5vhW3sbDhbH9Cz0tuDiY8C3ctxq1tqvaCgkFb8cCA/edit?usp=sharing"",""อำนาจเจริญ!J419"")"),0)</f>
        <v>0</v>
      </c>
      <c r="BX51" s="556">
        <f t="shared" ca="1" si="93"/>
        <v>0</v>
      </c>
      <c r="BY51" s="557">
        <f t="shared" ca="1" si="94"/>
        <v>0</v>
      </c>
      <c r="BZ51" s="556">
        <f t="shared" ca="1" si="95"/>
        <v>0</v>
      </c>
      <c r="CA51" s="557">
        <f t="shared" ca="1" si="96"/>
        <v>0</v>
      </c>
      <c r="CB51" s="552">
        <f ca="1">IFERROR(__xludf.DUMMYFUNCTION("IMPORTRANGE(""https://docs.google.com/spreadsheets/d/1XL5vhW3sbDhbH9Cz0tuDiY8C3ctxq1tqvaCgkFb8cCA/edit?usp=sharing"",""อำนาจเจริญ!J422"")"),0)</f>
        <v>0</v>
      </c>
      <c r="CC51" s="552">
        <f ca="1">IFERROR(__xludf.DUMMYFUNCTION("IMPORTRANGE(""https://docs.google.com/spreadsheets/d/1XL5vhW3sbDhbH9Cz0tuDiY8C3ctxq1tqvaCgkFb8cCA/edit?usp=sharing"",""อำนาจเจริญ!J423"")"),0)</f>
        <v>0</v>
      </c>
      <c r="CD51" s="552">
        <f ca="1">IFERROR(__xludf.DUMMYFUNCTION("IMPORTRANGE(""https://docs.google.com/spreadsheets/d/1XL5vhW3sbDhbH9Cz0tuDiY8C3ctxq1tqvaCgkFb8cCA/edit?usp=sharing"",""อำนาจเจริญ!J424"")"),0)</f>
        <v>0</v>
      </c>
      <c r="CE51" s="552">
        <f ca="1">IFERROR(__xludf.DUMMYFUNCTION("IMPORTRANGE(""https://docs.google.com/spreadsheets/d/1XL5vhW3sbDhbH9Cz0tuDiY8C3ctxq1tqvaCgkFb8cCA/edit?usp=sharing"",""อำนาจเจริญ!J425"")"),0)</f>
        <v>0</v>
      </c>
      <c r="CF51" s="552">
        <f ca="1">IFERROR(__xludf.DUMMYFUNCTION("IMPORTRANGE(""https://docs.google.com/spreadsheets/d/1XL5vhW3sbDhbH9Cz0tuDiY8C3ctxq1tqvaCgkFb8cCA/edit?usp=sharing"",""อำนาจเจริญ!J426"")"),0)</f>
        <v>0</v>
      </c>
      <c r="CG51" s="558">
        <f ca="1">IFERROR(__xludf.DUMMYFUNCTION("IMPORTRANGE(""https://docs.google.com/spreadsheets/d/1XL5vhW3sbDhbH9Cz0tuDiY8C3ctxq1tqvaCgkFb8cCA/edit?usp=sharing"",""อำนาจเจริญ!J427"")"),0)</f>
        <v>0</v>
      </c>
    </row>
    <row r="52" spans="1:85" ht="21" customHeight="1">
      <c r="A52" s="549">
        <v>19</v>
      </c>
      <c r="B52" s="550" t="s">
        <v>76</v>
      </c>
      <c r="C52" s="551">
        <f t="shared" ca="1" si="82"/>
        <v>310551</v>
      </c>
      <c r="D52" s="552">
        <f ca="1">IFERROR(__xludf.DUMMYFUNCTION("IMPORTRANGE(""https://docs.google.com/spreadsheets/d/1C3CXT74ZlgGe6_JY_1olB1XN4rF0dxEuIIF-xsYjHgg/edit?usp=sharing"",""งบกองทุน!BC56"")"),0)</f>
        <v>0</v>
      </c>
      <c r="E52" s="553">
        <f ca="1">IFERROR(__xludf.DUMMYFUNCTION("IMPORTRANGE(""https://docs.google.com/spreadsheets/d/1C3CXT74ZlgGe6_JY_1olB1XN4rF0dxEuIIF-xsYjHgg/edit?usp=sharing"",""งบกองทุน!BD56"")"),310551)</f>
        <v>310551</v>
      </c>
      <c r="F52" s="554">
        <f ca="1">IFERROR(__xludf.DUMMYFUNCTION("IMPORTRANGE(""https://docs.google.com/spreadsheets/d/1XL5vhW3sbDhbH9Cz0tuDiY8C3ctxq1tqvaCgkFb8cCA/edit?usp=sharing"",""อุดรธานี!M352"")"),141972)</f>
        <v>141972</v>
      </c>
      <c r="G52" s="554">
        <f t="shared" ca="1" si="1"/>
        <v>45.716162562670867</v>
      </c>
      <c r="H52" s="555">
        <f ca="1">IFERROR(__xludf.DUMMYFUNCTION("IMPORTRANGE(""https://docs.google.com/spreadsheets/d/1C3CXT74ZlgGe6_JY_1olB1XN4rF0dxEuIIF-xsYjHgg/edit?usp=sharing"",""งบกองทุน!BE56"")"),31437)</f>
        <v>31437</v>
      </c>
      <c r="I52" s="555">
        <f ca="1">IFERROR(__xludf.DUMMYFUNCTION("IMPORTRANGE(""https://docs.google.com/spreadsheets/d/1C3CXT74ZlgGe6_JY_1olB1XN4rF0dxEuIIF-xsYjHgg/edit?usp=sharing"",""งบกองทุน!BF56"")"),2438)</f>
        <v>2438</v>
      </c>
      <c r="J52" s="552">
        <f t="shared" ca="1" si="83"/>
        <v>31449</v>
      </c>
      <c r="K52" s="554">
        <f t="shared" ca="1" si="3"/>
        <v>100.03817158125776</v>
      </c>
      <c r="L52" s="552">
        <f t="shared" ca="1" si="84"/>
        <v>2438</v>
      </c>
      <c r="M52" s="554">
        <f t="shared" ca="1" si="4"/>
        <v>100</v>
      </c>
      <c r="N52" s="552">
        <f ca="1">IFERROR(__xludf.DUMMYFUNCTION("IMPORTRANGE(""https://docs.google.com/spreadsheets/d/1XL5vhW3sbDhbH9Cz0tuDiY8C3ctxq1tqvaCgkFb8cCA/edit?usp=sharing"",""อุดรธานี!J362"")"),28368)</f>
        <v>28368</v>
      </c>
      <c r="O52" s="552">
        <f ca="1">IFERROR(__xludf.DUMMYFUNCTION("IMPORTRANGE(""https://docs.google.com/spreadsheets/d/1XL5vhW3sbDhbH9Cz0tuDiY8C3ctxq1tqvaCgkFb8cCA/edit?usp=sharing"",""อุดรธานี!J363"")"),2245)</f>
        <v>2245</v>
      </c>
      <c r="P52" s="552">
        <f ca="1">IFERROR(__xludf.DUMMYFUNCTION("IMPORTRANGE(""https://docs.google.com/spreadsheets/d/1XL5vhW3sbDhbH9Cz0tuDiY8C3ctxq1tqvaCgkFb8cCA/edit?usp=sharing"",""อุดรธานี!J364"")"),1647)</f>
        <v>1647</v>
      </c>
      <c r="Q52" s="552">
        <f ca="1">IFERROR(__xludf.DUMMYFUNCTION("IMPORTRANGE(""https://docs.google.com/spreadsheets/d/1XL5vhW3sbDhbH9Cz0tuDiY8C3ctxq1tqvaCgkFb8cCA/edit?usp=sharing"",""อุดรธานี!J365"")"),102)</f>
        <v>102</v>
      </c>
      <c r="R52" s="552">
        <f ca="1">IFERROR(__xludf.DUMMYFUNCTION("IMPORTRANGE(""https://docs.google.com/spreadsheets/d/1XL5vhW3sbDhbH9Cz0tuDiY8C3ctxq1tqvaCgkFb8cCA/edit?usp=sharing"",""อุดรธานี!J366"")"),1434)</f>
        <v>1434</v>
      </c>
      <c r="S52" s="552">
        <f ca="1">IFERROR(__xludf.DUMMYFUNCTION("IMPORTRANGE(""https://docs.google.com/spreadsheets/d/1XL5vhW3sbDhbH9Cz0tuDiY8C3ctxq1tqvaCgkFb8cCA/edit?usp=sharing"",""อุดรธานี!J367"")"),91)</f>
        <v>91</v>
      </c>
      <c r="T52" s="552">
        <f t="shared" ca="1" si="85"/>
        <v>31449</v>
      </c>
      <c r="U52" s="552">
        <f t="shared" ca="1" si="6"/>
        <v>100.03817158125776</v>
      </c>
      <c r="V52" s="552">
        <f t="shared" ca="1" si="86"/>
        <v>2438</v>
      </c>
      <c r="W52" s="552">
        <f t="shared" ca="1" si="7"/>
        <v>100</v>
      </c>
      <c r="X52" s="552">
        <f ca="1">IFERROR(__xludf.DUMMYFUNCTION("IMPORTRANGE(""https://docs.google.com/spreadsheets/d/1XL5vhW3sbDhbH9Cz0tuDiY8C3ctxq1tqvaCgkFb8cCA/edit?usp=sharing"",""อุดรธานี!J370"")"),28368)</f>
        <v>28368</v>
      </c>
      <c r="Y52" s="552">
        <f ca="1">IFERROR(__xludf.DUMMYFUNCTION("IMPORTRANGE(""https://docs.google.com/spreadsheets/d/1XL5vhW3sbDhbH9Cz0tuDiY8C3ctxq1tqvaCgkFb8cCA/edit?usp=sharing"",""อุดรธานี!J371"")"),2245)</f>
        <v>2245</v>
      </c>
      <c r="Z52" s="552">
        <f ca="1">IFERROR(__xludf.DUMMYFUNCTION("IMPORTRANGE(""https://docs.google.com/spreadsheets/d/1XL5vhW3sbDhbH9Cz0tuDiY8C3ctxq1tqvaCgkFb8cCA/edit?usp=sharing"",""อุดรธานี!J372"")"),1647)</f>
        <v>1647</v>
      </c>
      <c r="AA52" s="552">
        <f ca="1">IFERROR(__xludf.DUMMYFUNCTION("IMPORTRANGE(""https://docs.google.com/spreadsheets/d/1XL5vhW3sbDhbH9Cz0tuDiY8C3ctxq1tqvaCgkFb8cCA/edit?usp=sharing"",""อุดรธานี!J373"")"),102)</f>
        <v>102</v>
      </c>
      <c r="AB52" s="552">
        <f ca="1">IFERROR(__xludf.DUMMYFUNCTION("IMPORTRANGE(""https://docs.google.com/spreadsheets/d/1XL5vhW3sbDhbH9Cz0tuDiY8C3ctxq1tqvaCgkFb8cCA/edit?usp=sharing"",""อุดรธานี!J374"")"),1434)</f>
        <v>1434</v>
      </c>
      <c r="AC52" s="552">
        <f ca="1">IFERROR(__xludf.DUMMYFUNCTION("IMPORTRANGE(""https://docs.google.com/spreadsheets/d/1XL5vhW3sbDhbH9Cz0tuDiY8C3ctxq1tqvaCgkFb8cCA/edit?usp=sharing"",""อุดรธานี!J375"")"),91)</f>
        <v>91</v>
      </c>
      <c r="AD52" s="552">
        <f t="shared" ca="1" si="87"/>
        <v>0</v>
      </c>
      <c r="AE52" s="554">
        <f t="shared" ca="1" si="9"/>
        <v>0</v>
      </c>
      <c r="AF52" s="552">
        <f t="shared" ca="1" si="88"/>
        <v>0</v>
      </c>
      <c r="AG52" s="554">
        <f t="shared" ca="1" si="10"/>
        <v>0</v>
      </c>
      <c r="AH52" s="552">
        <f ca="1">IFERROR(__xludf.DUMMYFUNCTION("IMPORTRANGE(""https://docs.google.com/spreadsheets/d/1XL5vhW3sbDhbH9Cz0tuDiY8C3ctxq1tqvaCgkFb8cCA/edit?usp=sharing"",""อุดรธานี!J378"")"),0)</f>
        <v>0</v>
      </c>
      <c r="AI52" s="552">
        <f ca="1">IFERROR(__xludf.DUMMYFUNCTION("IMPORTRANGE(""https://docs.google.com/spreadsheets/d/1XL5vhW3sbDhbH9Cz0tuDiY8C3ctxq1tqvaCgkFb8cCA/edit?usp=sharing"",""อุดรธานี!J379"")"),0)</f>
        <v>0</v>
      </c>
      <c r="AJ52" s="552">
        <f ca="1">IFERROR(__xludf.DUMMYFUNCTION("IMPORTRANGE(""https://docs.google.com/spreadsheets/d/1XL5vhW3sbDhbH9Cz0tuDiY8C3ctxq1tqvaCgkFb8cCA/edit?usp=sharing"",""อุดรธานี!J380"")"),0)</f>
        <v>0</v>
      </c>
      <c r="AK52" s="552">
        <f ca="1">IFERROR(__xludf.DUMMYFUNCTION("IMPORTRANGE(""https://docs.google.com/spreadsheets/d/1XL5vhW3sbDhbH9Cz0tuDiY8C3ctxq1tqvaCgkFb8cCA/edit?usp=sharing"",""อุดรธานี!J381"")"),0)</f>
        <v>0</v>
      </c>
      <c r="AL52" s="552">
        <f ca="1">IFERROR(__xludf.DUMMYFUNCTION("IMPORTRANGE(""https://docs.google.com/spreadsheets/d/1XL5vhW3sbDhbH9Cz0tuDiY8C3ctxq1tqvaCgkFb8cCA/edit?usp=sharing"",""อุดรธานี!J384"")"),0)</f>
        <v>0</v>
      </c>
      <c r="AM52" s="552">
        <f ca="1">IFERROR(__xludf.DUMMYFUNCTION("IMPORTRANGE(""https://docs.google.com/spreadsheets/d/1XL5vhW3sbDhbH9Cz0tuDiY8C3ctxq1tqvaCgkFb8cCA/edit?usp=sharing"",""อุดรธานี!J385"")"),0)</f>
        <v>0</v>
      </c>
      <c r="AN52" s="552">
        <f ca="1">IFERROR(__xludf.DUMMYFUNCTION("IMPORTRANGE(""https://docs.google.com/spreadsheets/d/1XL5vhW3sbDhbH9Cz0tuDiY8C3ctxq1tqvaCgkFb8cCA/edit?usp=sharing"",""อุดรธานี!J386"")"),0)</f>
        <v>0</v>
      </c>
      <c r="AO52" s="552">
        <f ca="1">IFERROR(__xludf.DUMMYFUNCTION("IMPORTRANGE(""https://docs.google.com/spreadsheets/d/1XL5vhW3sbDhbH9Cz0tuDiY8C3ctxq1tqvaCgkFb8cCA/edit?usp=sharing"",""อุดรธานี!J387"")"),0)</f>
        <v>0</v>
      </c>
      <c r="AP52" s="552">
        <f ca="1">IFERROR(__xludf.DUMMYFUNCTION("IMPORTRANGE(""https://docs.google.com/spreadsheets/d/1XL5vhW3sbDhbH9Cz0tuDiY8C3ctxq1tqvaCgkFb8cCA/edit?usp=sharing"",""อุดรธานี!J388"")"),0)</f>
        <v>0</v>
      </c>
      <c r="AQ52" s="552">
        <f ca="1">IFERROR(__xludf.DUMMYFUNCTION("IMPORTRANGE(""https://docs.google.com/spreadsheets/d/1XL5vhW3sbDhbH9Cz0tuDiY8C3ctxq1tqvaCgkFb8cCA/edit?usp=sharing"",""อุดรธานี!J389"")"),0)</f>
        <v>0</v>
      </c>
      <c r="AR52" s="552">
        <f ca="1">IFERROR(__xludf.DUMMYFUNCTION("IMPORTRANGE(""https://docs.google.com/spreadsheets/d/1XL5vhW3sbDhbH9Cz0tuDiY8C3ctxq1tqvaCgkFb8cCA/edit?usp=sharing"",""อุดรธานี!J390"")"),0)</f>
        <v>0</v>
      </c>
      <c r="AS52" s="552">
        <f ca="1">IFERROR(__xludf.DUMMYFUNCTION("IMPORTRANGE(""https://docs.google.com/spreadsheets/d/1XL5vhW3sbDhbH9Cz0tuDiY8C3ctxq1tqvaCgkFb8cCA/edit?usp=sharing"",""อุดรธานี!J391"")"),0)</f>
        <v>0</v>
      </c>
      <c r="AT52" s="556">
        <f ca="1">IFERROR(__xludf.DUMMYFUNCTION("IMPORTRANGE(""https://docs.google.com/spreadsheets/d/1C3CXT74ZlgGe6_JY_1olB1XN4rF0dxEuIIF-xsYjHgg/edit?usp=sharing"",""งบกองทุน!CD56"")"),10261)</f>
        <v>10261</v>
      </c>
      <c r="AU52" s="556">
        <f ca="1">IFERROR(__xludf.DUMMYFUNCTION("IMPORTRANGE(""https://docs.google.com/spreadsheets/d/1C3CXT74ZlgGe6_JY_1olB1XN4rF0dxEuIIF-xsYjHgg/edit?usp=sharing"",""งบกองทุน!CC56"")"),731)</f>
        <v>731</v>
      </c>
      <c r="AV52" s="556">
        <f t="shared" ca="1" si="89"/>
        <v>0</v>
      </c>
      <c r="AW52" s="556">
        <f t="shared" ca="1" si="12"/>
        <v>0</v>
      </c>
      <c r="AX52" s="556">
        <f t="shared" ca="1" si="90"/>
        <v>0</v>
      </c>
      <c r="AY52" s="556">
        <f t="shared" ca="1" si="13"/>
        <v>0</v>
      </c>
      <c r="AZ52" s="552">
        <f ca="1">IFERROR(__xludf.DUMMYFUNCTION("IMPORTRANGE(""https://docs.google.com/spreadsheets/d/1XL5vhW3sbDhbH9Cz0tuDiY8C3ctxq1tqvaCgkFb8cCA/edit?usp=sharing"",""อุดรธานี!J397"")"),0)</f>
        <v>0</v>
      </c>
      <c r="BA52" s="552">
        <f ca="1">IFERROR(__xludf.DUMMYFUNCTION("IMPORTRANGE(""https://docs.google.com/spreadsheets/d/1XL5vhW3sbDhbH9Cz0tuDiY8C3ctxq1tqvaCgkFb8cCA/edit?usp=sharing"",""อุดรธานี!J398"")"),0)</f>
        <v>0</v>
      </c>
      <c r="BB52" s="552">
        <f ca="1">IFERROR(__xludf.DUMMYFUNCTION("IMPORTRANGE(""https://docs.google.com/spreadsheets/d/1XL5vhW3sbDhbH9Cz0tuDiY8C3ctxq1tqvaCgkFb8cCA/edit?usp=sharing"",""อุดรธานี!J399"")"),0)</f>
        <v>0</v>
      </c>
      <c r="BC52" s="552">
        <f ca="1">IFERROR(__xludf.DUMMYFUNCTION("IMPORTRANGE(""https://docs.google.com/spreadsheets/d/1XL5vhW3sbDhbH9Cz0tuDiY8C3ctxq1tqvaCgkFb8cCA/edit?usp=sharing"",""อุดรธานี!J400"")"),0)</f>
        <v>0</v>
      </c>
      <c r="BD52" s="552">
        <f ca="1">IFERROR(__xludf.DUMMYFUNCTION("IMPORTRANGE(""https://docs.google.com/spreadsheets/d/1XL5vhW3sbDhbH9Cz0tuDiY8C3ctxq1tqvaCgkFb8cCA/edit?usp=sharing"",""อุดรธานี!J401"")"),0)</f>
        <v>0</v>
      </c>
      <c r="BE52" s="552">
        <f ca="1">IFERROR(__xludf.DUMMYFUNCTION("IMPORTRANGE(""https://docs.google.com/spreadsheets/d/1XL5vhW3sbDhbH9Cz0tuDiY8C3ctxq1tqvaCgkFb8cCA/edit?usp=sharing"",""อุดรธานี!J402"")"),0)</f>
        <v>0</v>
      </c>
      <c r="BF52" s="552">
        <f ca="1">IFERROR(__xludf.DUMMYFUNCTION("IMPORTRANGE(""https://docs.google.com/spreadsheets/d/1XL5vhW3sbDhbH9Cz0tuDiY8C3ctxq1tqvaCgkFb8cCA/edit?usp=sharing"",""อุดรธานี!J405"")"),0)</f>
        <v>0</v>
      </c>
      <c r="BG52" s="552">
        <f ca="1">IFERROR(__xludf.DUMMYFUNCTION("IMPORTRANGE(""https://docs.google.com/spreadsheets/d/1XL5vhW3sbDhbH9Cz0tuDiY8C3ctxq1tqvaCgkFb8cCA/edit?usp=sharing"",""อุดรธานี!J406"")"),0)</f>
        <v>0</v>
      </c>
      <c r="BH52" s="552">
        <f ca="1">IFERROR(__xludf.DUMMYFUNCTION("IMPORTRANGE(""https://docs.google.com/spreadsheets/d/1XL5vhW3sbDhbH9Cz0tuDiY8C3ctxq1tqvaCgkFb8cCA/edit?usp=sharing"",""อุดรธานี!J407"")"),0)</f>
        <v>0</v>
      </c>
      <c r="BI52" s="552">
        <f ca="1">IFERROR(__xludf.DUMMYFUNCTION("IMPORTRANGE(""https://docs.google.com/spreadsheets/d/1XL5vhW3sbDhbH9Cz0tuDiY8C3ctxq1tqvaCgkFb8cCA/edit?usp=sharing"",""อุดรธานี!J408"")"),0)</f>
        <v>0</v>
      </c>
      <c r="BJ52" s="552">
        <f ca="1">IFERROR(__xludf.DUMMYFUNCTION("IMPORTRANGE(""https://docs.google.com/spreadsheets/d/1XL5vhW3sbDhbH9Cz0tuDiY8C3ctxq1tqvaCgkFb8cCA/edit?usp=sharing"",""อุดรธานี!J409"")"),0)</f>
        <v>0</v>
      </c>
      <c r="BK52" s="552">
        <f ca="1">IFERROR(__xludf.DUMMYFUNCTION("IMPORTRANGE(""https://docs.google.com/spreadsheets/d/1XL5vhW3sbDhbH9Cz0tuDiY8C3ctxq1tqvaCgkFb8cCA/edit?usp=sharing"",""อุดรธานี!J410"")"),0)</f>
        <v>0</v>
      </c>
      <c r="BL52" s="556">
        <f ca="1">IFERROR(__xludf.DUMMYFUNCTION("IMPORTRANGE(""https://docs.google.com/spreadsheets/d/1C3CXT74ZlgGe6_JY_1olB1XN4rF0dxEuIIF-xsYjHgg/edit?usp=sharing"",""งบกองทุน!CZ56"")"),0)</f>
        <v>0</v>
      </c>
      <c r="BM52" s="556">
        <f ca="1">IFERROR(__xludf.DUMMYFUNCTION("IMPORTRANGE(""https://docs.google.com/spreadsheets/d/1C3CXT74ZlgGe6_JY_1olB1XN4rF0dxEuIIF-xsYjHgg/edit?usp=sharing"",""งบกองทุน!CY56"")"),0)</f>
        <v>0</v>
      </c>
      <c r="BN52" s="556">
        <f t="shared" ca="1" si="91"/>
        <v>0</v>
      </c>
      <c r="BO52" s="557">
        <f t="shared" ca="1" si="15"/>
        <v>0</v>
      </c>
      <c r="BP52" s="556">
        <f t="shared" ca="1" si="92"/>
        <v>0</v>
      </c>
      <c r="BQ52" s="557">
        <f t="shared" ca="1" si="16"/>
        <v>0</v>
      </c>
      <c r="BR52" s="552">
        <f ca="1">IFERROR(__xludf.DUMMYFUNCTION("IMPORTRANGE(""https://docs.google.com/spreadsheets/d/1XL5vhW3sbDhbH9Cz0tuDiY8C3ctxq1tqvaCgkFb8cCA/edit?usp=sharing"",""อุดรธานี!J414"")"),0)</f>
        <v>0</v>
      </c>
      <c r="BS52" s="552">
        <f ca="1">IFERROR(__xludf.DUMMYFUNCTION("IMPORTRANGE(""https://docs.google.com/spreadsheets/d/1XL5vhW3sbDhbH9Cz0tuDiY8C3ctxq1tqvaCgkFb8cCA/edit?usp=sharing"",""อุดรธานี!J415"")"),0)</f>
        <v>0</v>
      </c>
      <c r="BT52" s="552">
        <f ca="1">IFERROR(__xludf.DUMMYFUNCTION("IMPORTRANGE(""https://docs.google.com/spreadsheets/d/1XL5vhW3sbDhbH9Cz0tuDiY8C3ctxq1tqvaCgkFb8cCA/edit?usp=sharing"",""อุดรธานี!J416"")"),0)</f>
        <v>0</v>
      </c>
      <c r="BU52" s="552">
        <f ca="1">IFERROR(__xludf.DUMMYFUNCTION("IMPORTRANGE(""https://docs.google.com/spreadsheets/d/1XL5vhW3sbDhbH9Cz0tuDiY8C3ctxq1tqvaCgkFb8cCA/edit?usp=sharing"",""อุดรธานี!J417"")"),0)</f>
        <v>0</v>
      </c>
      <c r="BV52" s="552">
        <f ca="1">IFERROR(__xludf.DUMMYFUNCTION("IMPORTRANGE(""https://docs.google.com/spreadsheets/d/1XL5vhW3sbDhbH9Cz0tuDiY8C3ctxq1tqvaCgkFb8cCA/edit?usp=sharing"",""อุดรธานี!J418"")"),0)</f>
        <v>0</v>
      </c>
      <c r="BW52" s="552">
        <f ca="1">IFERROR(__xludf.DUMMYFUNCTION("IMPORTRANGE(""https://docs.google.com/spreadsheets/d/1XL5vhW3sbDhbH9Cz0tuDiY8C3ctxq1tqvaCgkFb8cCA/edit?usp=sharing"",""อุดรธานี!J419"")"),0)</f>
        <v>0</v>
      </c>
      <c r="BX52" s="556">
        <f t="shared" ca="1" si="93"/>
        <v>0</v>
      </c>
      <c r="BY52" s="557">
        <f t="shared" ca="1" si="94"/>
        <v>0</v>
      </c>
      <c r="BZ52" s="556">
        <f t="shared" ca="1" si="95"/>
        <v>0</v>
      </c>
      <c r="CA52" s="557">
        <f t="shared" ca="1" si="96"/>
        <v>0</v>
      </c>
      <c r="CB52" s="552">
        <f ca="1">IFERROR(__xludf.DUMMYFUNCTION("IMPORTRANGE(""https://docs.google.com/spreadsheets/d/1XL5vhW3sbDhbH9Cz0tuDiY8C3ctxq1tqvaCgkFb8cCA/edit?usp=sharing"",""อุดรธานี!J422"")"),0)</f>
        <v>0</v>
      </c>
      <c r="CC52" s="552">
        <f ca="1">IFERROR(__xludf.DUMMYFUNCTION("IMPORTRANGE(""https://docs.google.com/spreadsheets/d/1XL5vhW3sbDhbH9Cz0tuDiY8C3ctxq1tqvaCgkFb8cCA/edit?usp=sharing"",""อุดรธานี!J423"")"),0)</f>
        <v>0</v>
      </c>
      <c r="CD52" s="552">
        <f ca="1">IFERROR(__xludf.DUMMYFUNCTION("IMPORTRANGE(""https://docs.google.com/spreadsheets/d/1XL5vhW3sbDhbH9Cz0tuDiY8C3ctxq1tqvaCgkFb8cCA/edit?usp=sharing"",""อุดรธานี!J424"")"),0)</f>
        <v>0</v>
      </c>
      <c r="CE52" s="552">
        <f ca="1">IFERROR(__xludf.DUMMYFUNCTION("IMPORTRANGE(""https://docs.google.com/spreadsheets/d/1XL5vhW3sbDhbH9Cz0tuDiY8C3ctxq1tqvaCgkFb8cCA/edit?usp=sharing"",""อุดรธานี!J425"")"),0)</f>
        <v>0</v>
      </c>
      <c r="CF52" s="552">
        <f ca="1">IFERROR(__xludf.DUMMYFUNCTION("IMPORTRANGE(""https://docs.google.com/spreadsheets/d/1XL5vhW3sbDhbH9Cz0tuDiY8C3ctxq1tqvaCgkFb8cCA/edit?usp=sharing"",""อุดรธานี!J426"")"),0)</f>
        <v>0</v>
      </c>
      <c r="CG52" s="558">
        <f ca="1">IFERROR(__xludf.DUMMYFUNCTION("IMPORTRANGE(""https://docs.google.com/spreadsheets/d/1XL5vhW3sbDhbH9Cz0tuDiY8C3ctxq1tqvaCgkFb8cCA/edit?usp=sharing"",""อุดรธานี!J427"")"),0)</f>
        <v>0</v>
      </c>
    </row>
    <row r="53" spans="1:85" ht="21" customHeight="1">
      <c r="A53" s="559">
        <v>20</v>
      </c>
      <c r="B53" s="560" t="s">
        <v>77</v>
      </c>
      <c r="C53" s="561">
        <f t="shared" ca="1" si="82"/>
        <v>519375</v>
      </c>
      <c r="D53" s="562">
        <f ca="1">IFERROR(__xludf.DUMMYFUNCTION("IMPORTRANGE(""https://docs.google.com/spreadsheets/d/1C3CXT74ZlgGe6_JY_1olB1XN4rF0dxEuIIF-xsYjHgg/edit?usp=sharing"",""งบกองทุน!BC57"")"),0)</f>
        <v>0</v>
      </c>
      <c r="E53" s="563">
        <f ca="1">IFERROR(__xludf.DUMMYFUNCTION("IMPORTRANGE(""https://docs.google.com/spreadsheets/d/1C3CXT74ZlgGe6_JY_1olB1XN4rF0dxEuIIF-xsYjHgg/edit?usp=sharing"",""งบกองทุน!BD57"")"),519375)</f>
        <v>519375</v>
      </c>
      <c r="F53" s="564">
        <f ca="1">IFERROR(__xludf.DUMMYFUNCTION("IMPORTRANGE(""https://docs.google.com/spreadsheets/d/1XL5vhW3sbDhbH9Cz0tuDiY8C3ctxq1tqvaCgkFb8cCA/edit?usp=sharing"",""อุบลราชธานี!M352"")"),119546)</f>
        <v>119546</v>
      </c>
      <c r="G53" s="564">
        <f t="shared" ca="1" si="1"/>
        <v>23.017280385078219</v>
      </c>
      <c r="H53" s="565">
        <f ca="1">IFERROR(__xludf.DUMMYFUNCTION("IMPORTRANGE(""https://docs.google.com/spreadsheets/d/1C3CXT74ZlgGe6_JY_1olB1XN4rF0dxEuIIF-xsYjHgg/edit?usp=sharing"",""งบกองทุน!BE57"")"),44577)</f>
        <v>44577</v>
      </c>
      <c r="I53" s="565">
        <f ca="1">IFERROR(__xludf.DUMMYFUNCTION("IMPORTRANGE(""https://docs.google.com/spreadsheets/d/1C3CXT74ZlgGe6_JY_1olB1XN4rF0dxEuIIF-xsYjHgg/edit?usp=sharing"",""งบกองทุน!BF57"")"),5816)</f>
        <v>5816</v>
      </c>
      <c r="J53" s="562">
        <f t="shared" ca="1" si="83"/>
        <v>44577</v>
      </c>
      <c r="K53" s="564">
        <f t="shared" ca="1" si="3"/>
        <v>100</v>
      </c>
      <c r="L53" s="562">
        <f t="shared" ca="1" si="84"/>
        <v>5816</v>
      </c>
      <c r="M53" s="564">
        <f t="shared" ca="1" si="4"/>
        <v>100</v>
      </c>
      <c r="N53" s="562">
        <f ca="1">IFERROR(__xludf.DUMMYFUNCTION("IMPORTRANGE(""https://docs.google.com/spreadsheets/d/1XL5vhW3sbDhbH9Cz0tuDiY8C3ctxq1tqvaCgkFb8cCA/edit?usp=sharing"",""อุบลราชธานี!J362"")"),40285)</f>
        <v>40285</v>
      </c>
      <c r="O53" s="562">
        <f ca="1">IFERROR(__xludf.DUMMYFUNCTION("IMPORTRANGE(""https://docs.google.com/spreadsheets/d/1XL5vhW3sbDhbH9Cz0tuDiY8C3ctxq1tqvaCgkFb8cCA/edit?usp=sharing"",""อุบลราชธานี!J363"")"),5413)</f>
        <v>5413</v>
      </c>
      <c r="P53" s="562">
        <f ca="1">IFERROR(__xludf.DUMMYFUNCTION("IMPORTRANGE(""https://docs.google.com/spreadsheets/d/1XL5vhW3sbDhbH9Cz0tuDiY8C3ctxq1tqvaCgkFb8cCA/edit?usp=sharing"",""อุบลราชธานี!J364"")"),3122)</f>
        <v>3122</v>
      </c>
      <c r="Q53" s="562">
        <f ca="1">IFERROR(__xludf.DUMMYFUNCTION("IMPORTRANGE(""https://docs.google.com/spreadsheets/d/1XL5vhW3sbDhbH9Cz0tuDiY8C3ctxq1tqvaCgkFb8cCA/edit?usp=sharing"",""อุบลราชธานี!J365"")"),287)</f>
        <v>287</v>
      </c>
      <c r="R53" s="562">
        <f ca="1">IFERROR(__xludf.DUMMYFUNCTION("IMPORTRANGE(""https://docs.google.com/spreadsheets/d/1XL5vhW3sbDhbH9Cz0tuDiY8C3ctxq1tqvaCgkFb8cCA/edit?usp=sharing"",""อุบลราชธานี!J366"")"),1170)</f>
        <v>1170</v>
      </c>
      <c r="S53" s="562">
        <f ca="1">IFERROR(__xludf.DUMMYFUNCTION("IMPORTRANGE(""https://docs.google.com/spreadsheets/d/1XL5vhW3sbDhbH9Cz0tuDiY8C3ctxq1tqvaCgkFb8cCA/edit?usp=sharing"",""อุบลราชธานี!J367"")"),116)</f>
        <v>116</v>
      </c>
      <c r="T53" s="562">
        <f t="shared" ca="1" si="85"/>
        <v>44577</v>
      </c>
      <c r="U53" s="562">
        <f t="shared" ca="1" si="6"/>
        <v>100</v>
      </c>
      <c r="V53" s="562">
        <f t="shared" ca="1" si="86"/>
        <v>5816</v>
      </c>
      <c r="W53" s="562">
        <f t="shared" ca="1" si="7"/>
        <v>100</v>
      </c>
      <c r="X53" s="562">
        <f ca="1">IFERROR(__xludf.DUMMYFUNCTION("IMPORTRANGE(""https://docs.google.com/spreadsheets/d/1XL5vhW3sbDhbH9Cz0tuDiY8C3ctxq1tqvaCgkFb8cCA/edit?usp=sharing"",""อุบลราชธานี!J370"")"),41880)</f>
        <v>41880</v>
      </c>
      <c r="Y53" s="562">
        <f ca="1">IFERROR(__xludf.DUMMYFUNCTION("IMPORTRANGE(""https://docs.google.com/spreadsheets/d/1XL5vhW3sbDhbH9Cz0tuDiY8C3ctxq1tqvaCgkFb8cCA/edit?usp=sharing"",""อุบลราชธานี!J371"")"),5577)</f>
        <v>5577</v>
      </c>
      <c r="Z53" s="562">
        <f ca="1">IFERROR(__xludf.DUMMYFUNCTION("IMPORTRANGE(""https://docs.google.com/spreadsheets/d/1XL5vhW3sbDhbH9Cz0tuDiY8C3ctxq1tqvaCgkFb8cCA/edit?usp=sharing"",""อุบลราชธานี!J372"")"),1375)</f>
        <v>1375</v>
      </c>
      <c r="AA53" s="562">
        <f ca="1">IFERROR(__xludf.DUMMYFUNCTION("IMPORTRANGE(""https://docs.google.com/spreadsheets/d/1XL5vhW3sbDhbH9Cz0tuDiY8C3ctxq1tqvaCgkFb8cCA/edit?usp=sharing"",""อุบลราชธานี!J373"")"),110)</f>
        <v>110</v>
      </c>
      <c r="AB53" s="562">
        <f ca="1">IFERROR(__xludf.DUMMYFUNCTION("IMPORTRANGE(""https://docs.google.com/spreadsheets/d/1XL5vhW3sbDhbH9Cz0tuDiY8C3ctxq1tqvaCgkFb8cCA/edit?usp=sharing"",""อุบลราชธานี!J374"")"),1322)</f>
        <v>1322</v>
      </c>
      <c r="AC53" s="562">
        <f ca="1">IFERROR(__xludf.DUMMYFUNCTION("IMPORTRANGE(""https://docs.google.com/spreadsheets/d/1XL5vhW3sbDhbH9Cz0tuDiY8C3ctxq1tqvaCgkFb8cCA/edit?usp=sharing"",""อุบลราชธานี!J375"")"),129)</f>
        <v>129</v>
      </c>
      <c r="AD53" s="562">
        <f t="shared" ca="1" si="87"/>
        <v>44577</v>
      </c>
      <c r="AE53" s="564">
        <f t="shared" ca="1" si="9"/>
        <v>100</v>
      </c>
      <c r="AF53" s="562">
        <f t="shared" ca="1" si="88"/>
        <v>5816</v>
      </c>
      <c r="AG53" s="564">
        <f t="shared" ca="1" si="10"/>
        <v>100</v>
      </c>
      <c r="AH53" s="562">
        <f ca="1">IFERROR(__xludf.DUMMYFUNCTION("IMPORTRANGE(""https://docs.google.com/spreadsheets/d/1XL5vhW3sbDhbH9Cz0tuDiY8C3ctxq1tqvaCgkFb8cCA/edit?usp=sharing"",""อุบลราชธานี!J378"")"),41880)</f>
        <v>41880</v>
      </c>
      <c r="AI53" s="562">
        <f ca="1">IFERROR(__xludf.DUMMYFUNCTION("IMPORTRANGE(""https://docs.google.com/spreadsheets/d/1XL5vhW3sbDhbH9Cz0tuDiY8C3ctxq1tqvaCgkFb8cCA/edit?usp=sharing"",""อุบลราชธานี!J379"")"),5577)</f>
        <v>5577</v>
      </c>
      <c r="AJ53" s="562">
        <f ca="1">IFERROR(__xludf.DUMMYFUNCTION("IMPORTRANGE(""https://docs.google.com/spreadsheets/d/1XL5vhW3sbDhbH9Cz0tuDiY8C3ctxq1tqvaCgkFb8cCA/edit?usp=sharing"",""อุบลราชธานี!J380"")"),1375)</f>
        <v>1375</v>
      </c>
      <c r="AK53" s="562">
        <f ca="1">IFERROR(__xludf.DUMMYFUNCTION("IMPORTRANGE(""https://docs.google.com/spreadsheets/d/1XL5vhW3sbDhbH9Cz0tuDiY8C3ctxq1tqvaCgkFb8cCA/edit?usp=sharing"",""อุบลราชธานี!J381"")"),110)</f>
        <v>110</v>
      </c>
      <c r="AL53" s="562">
        <f ca="1">IFERROR(__xludf.DUMMYFUNCTION("IMPORTRANGE(""https://docs.google.com/spreadsheets/d/1XL5vhW3sbDhbH9Cz0tuDiY8C3ctxq1tqvaCgkFb8cCA/edit?usp=sharing"",""อุบลราชธานี!J384"")"),1322)</f>
        <v>1322</v>
      </c>
      <c r="AM53" s="562">
        <f ca="1">IFERROR(__xludf.DUMMYFUNCTION("IMPORTRANGE(""https://docs.google.com/spreadsheets/d/1XL5vhW3sbDhbH9Cz0tuDiY8C3ctxq1tqvaCgkFb8cCA/edit?usp=sharing"",""อุบลราชธานี!J385"")"),129)</f>
        <v>129</v>
      </c>
      <c r="AN53" s="562">
        <f ca="1">IFERROR(__xludf.DUMMYFUNCTION("IMPORTRANGE(""https://docs.google.com/spreadsheets/d/1XL5vhW3sbDhbH9Cz0tuDiY8C3ctxq1tqvaCgkFb8cCA/edit?usp=sharing"",""อุบลราชธานี!J386"")"),0)</f>
        <v>0</v>
      </c>
      <c r="AO53" s="562">
        <f ca="1">IFERROR(__xludf.DUMMYFUNCTION("IMPORTRANGE(""https://docs.google.com/spreadsheets/d/1XL5vhW3sbDhbH9Cz0tuDiY8C3ctxq1tqvaCgkFb8cCA/edit?usp=sharing"",""อุบลราชธานี!J387"")"),0)</f>
        <v>0</v>
      </c>
      <c r="AP53" s="562">
        <f ca="1">IFERROR(__xludf.DUMMYFUNCTION("IMPORTRANGE(""https://docs.google.com/spreadsheets/d/1XL5vhW3sbDhbH9Cz0tuDiY8C3ctxq1tqvaCgkFb8cCA/edit?usp=sharing"",""อุบลราชธานี!J388"")"),0)</f>
        <v>0</v>
      </c>
      <c r="AQ53" s="562">
        <f ca="1">IFERROR(__xludf.DUMMYFUNCTION("IMPORTRANGE(""https://docs.google.com/spreadsheets/d/1XL5vhW3sbDhbH9Cz0tuDiY8C3ctxq1tqvaCgkFb8cCA/edit?usp=sharing"",""อุบลราชธานี!J389"")"),0)</f>
        <v>0</v>
      </c>
      <c r="AR53" s="562">
        <f ca="1">IFERROR(__xludf.DUMMYFUNCTION("IMPORTRANGE(""https://docs.google.com/spreadsheets/d/1XL5vhW3sbDhbH9Cz0tuDiY8C3ctxq1tqvaCgkFb8cCA/edit?usp=sharing"",""อุบลราชธานี!J390"")"),0)</f>
        <v>0</v>
      </c>
      <c r="AS53" s="562">
        <f ca="1">IFERROR(__xludf.DUMMYFUNCTION("IMPORTRANGE(""https://docs.google.com/spreadsheets/d/1XL5vhW3sbDhbH9Cz0tuDiY8C3ctxq1tqvaCgkFb8cCA/edit?usp=sharing"",""อุบลราชธานี!J391"")"),0)</f>
        <v>0</v>
      </c>
      <c r="AT53" s="566">
        <f ca="1">IFERROR(__xludf.DUMMYFUNCTION("IMPORTRANGE(""https://docs.google.com/spreadsheets/d/1C3CXT74ZlgGe6_JY_1olB1XN4rF0dxEuIIF-xsYjHgg/edit?usp=sharing"",""งบกองทุน!CD57"")"),1367)</f>
        <v>1367</v>
      </c>
      <c r="AU53" s="566">
        <f ca="1">IFERROR(__xludf.DUMMYFUNCTION("IMPORTRANGE(""https://docs.google.com/spreadsheets/d/1C3CXT74ZlgGe6_JY_1olB1XN4rF0dxEuIIF-xsYjHgg/edit?usp=sharing"",""งบกองทุน!CC57"")"),279)</f>
        <v>279</v>
      </c>
      <c r="AV53" s="566">
        <f t="shared" ca="1" si="89"/>
        <v>82</v>
      </c>
      <c r="AW53" s="566">
        <f t="shared" ca="1" si="12"/>
        <v>5.998536942209217</v>
      </c>
      <c r="AX53" s="566">
        <f t="shared" ca="1" si="90"/>
        <v>21</v>
      </c>
      <c r="AY53" s="566">
        <f t="shared" ca="1" si="13"/>
        <v>7.5268817204301079</v>
      </c>
      <c r="AZ53" s="562">
        <f ca="1">IFERROR(__xludf.DUMMYFUNCTION("IMPORTRANGE(""https://docs.google.com/spreadsheets/d/1XL5vhW3sbDhbH9Cz0tuDiY8C3ctxq1tqvaCgkFb8cCA/edit?usp=sharing"",""อุบลราชธานี!J397"")"),82)</f>
        <v>82</v>
      </c>
      <c r="BA53" s="562">
        <f ca="1">IFERROR(__xludf.DUMMYFUNCTION("IMPORTRANGE(""https://docs.google.com/spreadsheets/d/1XL5vhW3sbDhbH9Cz0tuDiY8C3ctxq1tqvaCgkFb8cCA/edit?usp=sharing"",""อุบลราชธานี!J398"")"),21)</f>
        <v>21</v>
      </c>
      <c r="BB53" s="562">
        <f ca="1">IFERROR(__xludf.DUMMYFUNCTION("IMPORTRANGE(""https://docs.google.com/spreadsheets/d/1XL5vhW3sbDhbH9Cz0tuDiY8C3ctxq1tqvaCgkFb8cCA/edit?usp=sharing"",""อุบลราชธานี!J399"")"),0)</f>
        <v>0</v>
      </c>
      <c r="BC53" s="562">
        <f ca="1">IFERROR(__xludf.DUMMYFUNCTION("IMPORTRANGE(""https://docs.google.com/spreadsheets/d/1XL5vhW3sbDhbH9Cz0tuDiY8C3ctxq1tqvaCgkFb8cCA/edit?usp=sharing"",""อุบลราชธานี!J400"")"),0)</f>
        <v>0</v>
      </c>
      <c r="BD53" s="562">
        <f ca="1">IFERROR(__xludf.DUMMYFUNCTION("IMPORTRANGE(""https://docs.google.com/spreadsheets/d/1XL5vhW3sbDhbH9Cz0tuDiY8C3ctxq1tqvaCgkFb8cCA/edit?usp=sharing"",""อุบลราชธานี!J401"")"),0)</f>
        <v>0</v>
      </c>
      <c r="BE53" s="562">
        <f ca="1">IFERROR(__xludf.DUMMYFUNCTION("IMPORTRANGE(""https://docs.google.com/spreadsheets/d/1XL5vhW3sbDhbH9Cz0tuDiY8C3ctxq1tqvaCgkFb8cCA/edit?usp=sharing"",""อุบลราชธานี!J402"")"),0)</f>
        <v>0</v>
      </c>
      <c r="BF53" s="562">
        <f ca="1">IFERROR(__xludf.DUMMYFUNCTION("IMPORTRANGE(""https://docs.google.com/spreadsheets/d/1XL5vhW3sbDhbH9Cz0tuDiY8C3ctxq1tqvaCgkFb8cCA/edit?usp=sharing"",""อุบลราชธานี!J405"")"),0)</f>
        <v>0</v>
      </c>
      <c r="BG53" s="562">
        <f ca="1">IFERROR(__xludf.DUMMYFUNCTION("IMPORTRANGE(""https://docs.google.com/spreadsheets/d/1XL5vhW3sbDhbH9Cz0tuDiY8C3ctxq1tqvaCgkFb8cCA/edit?usp=sharing"",""อุบลราชธานี!J406"")"),0)</f>
        <v>0</v>
      </c>
      <c r="BH53" s="562">
        <f ca="1">IFERROR(__xludf.DUMMYFUNCTION("IMPORTRANGE(""https://docs.google.com/spreadsheets/d/1XL5vhW3sbDhbH9Cz0tuDiY8C3ctxq1tqvaCgkFb8cCA/edit?usp=sharing"",""อุบลราชธานี!J407"")"),0)</f>
        <v>0</v>
      </c>
      <c r="BI53" s="562">
        <f ca="1">IFERROR(__xludf.DUMMYFUNCTION("IMPORTRANGE(""https://docs.google.com/spreadsheets/d/1XL5vhW3sbDhbH9Cz0tuDiY8C3ctxq1tqvaCgkFb8cCA/edit?usp=sharing"",""อุบลราชธานี!J408"")"),0)</f>
        <v>0</v>
      </c>
      <c r="BJ53" s="562">
        <f ca="1">IFERROR(__xludf.DUMMYFUNCTION("IMPORTRANGE(""https://docs.google.com/spreadsheets/d/1XL5vhW3sbDhbH9Cz0tuDiY8C3ctxq1tqvaCgkFb8cCA/edit?usp=sharing"",""อุบลราชธานี!J409"")"),0)</f>
        <v>0</v>
      </c>
      <c r="BK53" s="562">
        <f ca="1">IFERROR(__xludf.DUMMYFUNCTION("IMPORTRANGE(""https://docs.google.com/spreadsheets/d/1XL5vhW3sbDhbH9Cz0tuDiY8C3ctxq1tqvaCgkFb8cCA/edit?usp=sharing"",""อุบลราชธานี!J410"")"),0)</f>
        <v>0</v>
      </c>
      <c r="BL53" s="566">
        <f ca="1">IFERROR(__xludf.DUMMYFUNCTION("IMPORTRANGE(""https://docs.google.com/spreadsheets/d/1C3CXT74ZlgGe6_JY_1olB1XN4rF0dxEuIIF-xsYjHgg/edit?usp=sharing"",""งบกองทุน!CZ57"")"),0)</f>
        <v>0</v>
      </c>
      <c r="BM53" s="566">
        <f ca="1">IFERROR(__xludf.DUMMYFUNCTION("IMPORTRANGE(""https://docs.google.com/spreadsheets/d/1C3CXT74ZlgGe6_JY_1olB1XN4rF0dxEuIIF-xsYjHgg/edit?usp=sharing"",""งบกองทุน!CY57"")"),0)</f>
        <v>0</v>
      </c>
      <c r="BN53" s="566">
        <f t="shared" ca="1" si="91"/>
        <v>0</v>
      </c>
      <c r="BO53" s="567">
        <f t="shared" ca="1" si="15"/>
        <v>0</v>
      </c>
      <c r="BP53" s="566">
        <f t="shared" ca="1" si="92"/>
        <v>0</v>
      </c>
      <c r="BQ53" s="567">
        <f t="shared" ca="1" si="16"/>
        <v>0</v>
      </c>
      <c r="BR53" s="562">
        <f ca="1">IFERROR(__xludf.DUMMYFUNCTION("IMPORTRANGE(""https://docs.google.com/spreadsheets/d/1XL5vhW3sbDhbH9Cz0tuDiY8C3ctxq1tqvaCgkFb8cCA/edit?usp=sharing"",""อุบลราชธานี!J414"")"),0)</f>
        <v>0</v>
      </c>
      <c r="BS53" s="562">
        <f ca="1">IFERROR(__xludf.DUMMYFUNCTION("IMPORTRANGE(""https://docs.google.com/spreadsheets/d/1XL5vhW3sbDhbH9Cz0tuDiY8C3ctxq1tqvaCgkFb8cCA/edit?usp=sharing"",""อุบลราชธานี!J415"")"),0)</f>
        <v>0</v>
      </c>
      <c r="BT53" s="562">
        <f ca="1">IFERROR(__xludf.DUMMYFUNCTION("IMPORTRANGE(""https://docs.google.com/spreadsheets/d/1XL5vhW3sbDhbH9Cz0tuDiY8C3ctxq1tqvaCgkFb8cCA/edit?usp=sharing"",""อุบลราชธานี!J416"")"),0)</f>
        <v>0</v>
      </c>
      <c r="BU53" s="562">
        <f ca="1">IFERROR(__xludf.DUMMYFUNCTION("IMPORTRANGE(""https://docs.google.com/spreadsheets/d/1XL5vhW3sbDhbH9Cz0tuDiY8C3ctxq1tqvaCgkFb8cCA/edit?usp=sharing"",""อุบลราชธานี!J417"")"),0)</f>
        <v>0</v>
      </c>
      <c r="BV53" s="562">
        <f ca="1">IFERROR(__xludf.DUMMYFUNCTION("IMPORTRANGE(""https://docs.google.com/spreadsheets/d/1XL5vhW3sbDhbH9Cz0tuDiY8C3ctxq1tqvaCgkFb8cCA/edit?usp=sharing"",""อุบลราชธานี!J418"")"),0)</f>
        <v>0</v>
      </c>
      <c r="BW53" s="562">
        <f ca="1">IFERROR(__xludf.DUMMYFUNCTION("IMPORTRANGE(""https://docs.google.com/spreadsheets/d/1XL5vhW3sbDhbH9Cz0tuDiY8C3ctxq1tqvaCgkFb8cCA/edit?usp=sharing"",""อุบลราชธานี!J419"")"),0)</f>
        <v>0</v>
      </c>
      <c r="BX53" s="566">
        <f t="shared" ca="1" si="93"/>
        <v>0</v>
      </c>
      <c r="BY53" s="567">
        <f t="shared" ca="1" si="94"/>
        <v>0</v>
      </c>
      <c r="BZ53" s="566">
        <f t="shared" ca="1" si="95"/>
        <v>0</v>
      </c>
      <c r="CA53" s="567">
        <f t="shared" ca="1" si="96"/>
        <v>0</v>
      </c>
      <c r="CB53" s="562">
        <f ca="1">IFERROR(__xludf.DUMMYFUNCTION("IMPORTRANGE(""https://docs.google.com/spreadsheets/d/1XL5vhW3sbDhbH9Cz0tuDiY8C3ctxq1tqvaCgkFb8cCA/edit?usp=sharing"",""อุบลราชธานี!J422"")"),0)</f>
        <v>0</v>
      </c>
      <c r="CC53" s="562">
        <f ca="1">IFERROR(__xludf.DUMMYFUNCTION("IMPORTRANGE(""https://docs.google.com/spreadsheets/d/1XL5vhW3sbDhbH9Cz0tuDiY8C3ctxq1tqvaCgkFb8cCA/edit?usp=sharing"",""อุบลราชธานี!J423"")"),0)</f>
        <v>0</v>
      </c>
      <c r="CD53" s="562">
        <f ca="1">IFERROR(__xludf.DUMMYFUNCTION("IMPORTRANGE(""https://docs.google.com/spreadsheets/d/1XL5vhW3sbDhbH9Cz0tuDiY8C3ctxq1tqvaCgkFb8cCA/edit?usp=sharing"",""อุบลราชธานี!J424"")"),0)</f>
        <v>0</v>
      </c>
      <c r="CE53" s="562">
        <f ca="1">IFERROR(__xludf.DUMMYFUNCTION("IMPORTRANGE(""https://docs.google.com/spreadsheets/d/1XL5vhW3sbDhbH9Cz0tuDiY8C3ctxq1tqvaCgkFb8cCA/edit?usp=sharing"",""อุบลราชธานี!J425"")"),0)</f>
        <v>0</v>
      </c>
      <c r="CF53" s="562">
        <f ca="1">IFERROR(__xludf.DUMMYFUNCTION("IMPORTRANGE(""https://docs.google.com/spreadsheets/d/1XL5vhW3sbDhbH9Cz0tuDiY8C3ctxq1tqvaCgkFb8cCA/edit?usp=sharing"",""อุบลราชธานี!J426"")"),0)</f>
        <v>0</v>
      </c>
      <c r="CG53" s="568">
        <f ca="1">IFERROR(__xludf.DUMMYFUNCTION("IMPORTRANGE(""https://docs.google.com/spreadsheets/d/1XL5vhW3sbDhbH9Cz0tuDiY8C3ctxq1tqvaCgkFb8cCA/edit?usp=sharing"",""อุบลราชธานี!J427"")"),0)</f>
        <v>0</v>
      </c>
    </row>
    <row r="54" spans="1:85" ht="21" customHeight="1">
      <c r="A54" s="844" t="s">
        <v>78</v>
      </c>
      <c r="B54" s="678"/>
      <c r="C54" s="536">
        <f t="shared" ref="C54:F54" ca="1" si="97">SUM(C55:C75)</f>
        <v>5513963</v>
      </c>
      <c r="D54" s="520">
        <f t="shared" ca="1" si="97"/>
        <v>0</v>
      </c>
      <c r="E54" s="537">
        <f t="shared" ca="1" si="97"/>
        <v>5513963</v>
      </c>
      <c r="F54" s="521">
        <f t="shared" ca="1" si="97"/>
        <v>1037962.3599999999</v>
      </c>
      <c r="G54" s="521">
        <f t="shared" ca="1" si="1"/>
        <v>18.824253263941014</v>
      </c>
      <c r="H54" s="520">
        <f t="shared" ref="H54:J54" ca="1" si="98">SUM(H55:H75)</f>
        <v>556255</v>
      </c>
      <c r="I54" s="520">
        <f t="shared" ca="1" si="98"/>
        <v>45637</v>
      </c>
      <c r="J54" s="520">
        <f t="shared" ca="1" si="98"/>
        <v>464251.52549999999</v>
      </c>
      <c r="K54" s="521">
        <f t="shared" ca="1" si="3"/>
        <v>83.460198200465612</v>
      </c>
      <c r="L54" s="520">
        <f ca="1">SUM(L55:L75)</f>
        <v>39433</v>
      </c>
      <c r="M54" s="521">
        <f t="shared" ca="1" si="4"/>
        <v>86.405767250257469</v>
      </c>
      <c r="N54" s="520">
        <f t="shared" ref="N54:T54" ca="1" si="99">SUM(N55:N75)</f>
        <v>359496.04500000004</v>
      </c>
      <c r="O54" s="520">
        <f t="shared" ca="1" si="99"/>
        <v>31959</v>
      </c>
      <c r="P54" s="520">
        <f t="shared" ca="1" si="99"/>
        <v>88294.032999999996</v>
      </c>
      <c r="Q54" s="520">
        <f t="shared" ca="1" si="99"/>
        <v>6163</v>
      </c>
      <c r="R54" s="520">
        <f t="shared" ca="1" si="99"/>
        <v>16461.447500000002</v>
      </c>
      <c r="S54" s="520">
        <f t="shared" ca="1" si="99"/>
        <v>1311</v>
      </c>
      <c r="T54" s="520">
        <f t="shared" ca="1" si="99"/>
        <v>349574.67499999999</v>
      </c>
      <c r="U54" s="520">
        <f t="shared" ca="1" si="6"/>
        <v>62.844320500489886</v>
      </c>
      <c r="V54" s="520">
        <f ca="1">SUM(V55:V75)</f>
        <v>30227</v>
      </c>
      <c r="W54" s="520">
        <f t="shared" ca="1" si="7"/>
        <v>66.233538576155311</v>
      </c>
      <c r="X54" s="520">
        <f t="shared" ref="X54:AD54" ca="1" si="100">SUM(X55:X75)</f>
        <v>275252.07250000001</v>
      </c>
      <c r="Y54" s="520">
        <f t="shared" ca="1" si="100"/>
        <v>25238</v>
      </c>
      <c r="Z54" s="520">
        <f t="shared" ca="1" si="100"/>
        <v>61798.13</v>
      </c>
      <c r="AA54" s="520">
        <f t="shared" ca="1" si="100"/>
        <v>3963</v>
      </c>
      <c r="AB54" s="520">
        <f t="shared" ca="1" si="100"/>
        <v>12524.4725</v>
      </c>
      <c r="AC54" s="520">
        <f t="shared" ca="1" si="100"/>
        <v>1026</v>
      </c>
      <c r="AD54" s="520">
        <f t="shared" ca="1" si="100"/>
        <v>60163.79</v>
      </c>
      <c r="AE54" s="521">
        <f t="shared" ca="1" si="9"/>
        <v>10.815865025932352</v>
      </c>
      <c r="AF54" s="520">
        <f ca="1">SUM(AF55:AF75)</f>
        <v>7366</v>
      </c>
      <c r="AG54" s="521">
        <f t="shared" ca="1" si="10"/>
        <v>16.140412384687863</v>
      </c>
      <c r="AH54" s="520">
        <f t="shared" ref="AH54:AV54" ca="1" si="101">SUM(AH55:AH75)</f>
        <v>52015.56</v>
      </c>
      <c r="AI54" s="520">
        <f t="shared" ca="1" si="101"/>
        <v>6401</v>
      </c>
      <c r="AJ54" s="520">
        <f t="shared" ca="1" si="101"/>
        <v>6291.53</v>
      </c>
      <c r="AK54" s="520">
        <f t="shared" ca="1" si="101"/>
        <v>718</v>
      </c>
      <c r="AL54" s="520">
        <f t="shared" ca="1" si="101"/>
        <v>1834.7</v>
      </c>
      <c r="AM54" s="520">
        <f t="shared" ca="1" si="101"/>
        <v>244</v>
      </c>
      <c r="AN54" s="520">
        <f t="shared" ca="1" si="101"/>
        <v>22</v>
      </c>
      <c r="AO54" s="520">
        <f t="shared" ca="1" si="101"/>
        <v>3</v>
      </c>
      <c r="AP54" s="520">
        <f t="shared" ca="1" si="101"/>
        <v>0</v>
      </c>
      <c r="AQ54" s="520">
        <f t="shared" ca="1" si="101"/>
        <v>0</v>
      </c>
      <c r="AR54" s="520">
        <f t="shared" ca="1" si="101"/>
        <v>0</v>
      </c>
      <c r="AS54" s="520">
        <f t="shared" ca="1" si="101"/>
        <v>0</v>
      </c>
      <c r="AT54" s="520">
        <f t="shared" ca="1" si="101"/>
        <v>58622</v>
      </c>
      <c r="AU54" s="520">
        <f t="shared" ca="1" si="101"/>
        <v>3783</v>
      </c>
      <c r="AV54" s="520">
        <f t="shared" ca="1" si="101"/>
        <v>6973</v>
      </c>
      <c r="AW54" s="520">
        <f t="shared" ca="1" si="12"/>
        <v>11.894851762137082</v>
      </c>
      <c r="AX54" s="520">
        <f ca="1">SUM(AX55:AX75)</f>
        <v>511</v>
      </c>
      <c r="AY54" s="520">
        <f t="shared" ca="1" si="13"/>
        <v>13.507798043880518</v>
      </c>
      <c r="AZ54" s="520">
        <f t="shared" ref="AZ54:BN54" ca="1" si="102">SUM(AZ55:AZ75)</f>
        <v>6282</v>
      </c>
      <c r="BA54" s="520">
        <f t="shared" ca="1" si="102"/>
        <v>400</v>
      </c>
      <c r="BB54" s="520">
        <f t="shared" ca="1" si="102"/>
        <v>5</v>
      </c>
      <c r="BC54" s="520">
        <f t="shared" ca="1" si="102"/>
        <v>1</v>
      </c>
      <c r="BD54" s="520">
        <f t="shared" ca="1" si="102"/>
        <v>0</v>
      </c>
      <c r="BE54" s="520">
        <f t="shared" ca="1" si="102"/>
        <v>0</v>
      </c>
      <c r="BF54" s="520">
        <f t="shared" ca="1" si="102"/>
        <v>182</v>
      </c>
      <c r="BG54" s="520">
        <f t="shared" ca="1" si="102"/>
        <v>9</v>
      </c>
      <c r="BH54" s="520">
        <f t="shared" ca="1" si="102"/>
        <v>0</v>
      </c>
      <c r="BI54" s="520">
        <f t="shared" ca="1" si="102"/>
        <v>0</v>
      </c>
      <c r="BJ54" s="520">
        <f t="shared" ca="1" si="102"/>
        <v>504</v>
      </c>
      <c r="BK54" s="520">
        <f t="shared" ca="1" si="102"/>
        <v>101</v>
      </c>
      <c r="BL54" s="520">
        <f t="shared" ca="1" si="102"/>
        <v>0</v>
      </c>
      <c r="BM54" s="520">
        <f t="shared" ca="1" si="102"/>
        <v>0</v>
      </c>
      <c r="BN54" s="520">
        <f t="shared" ca="1" si="102"/>
        <v>0</v>
      </c>
      <c r="BO54" s="521">
        <f t="shared" ca="1" si="15"/>
        <v>0</v>
      </c>
      <c r="BP54" s="520">
        <f ca="1">SUM(BP55:BP75)</f>
        <v>0</v>
      </c>
      <c r="BQ54" s="521">
        <f t="shared" ca="1" si="16"/>
        <v>0</v>
      </c>
      <c r="BR54" s="520">
        <f t="shared" ref="BR54:BY54" ca="1" si="103">SUM(BR55:BR75)</f>
        <v>0</v>
      </c>
      <c r="BS54" s="520">
        <f t="shared" ca="1" si="103"/>
        <v>0</v>
      </c>
      <c r="BT54" s="520">
        <f t="shared" ca="1" si="103"/>
        <v>0</v>
      </c>
      <c r="BU54" s="520">
        <f t="shared" ca="1" si="103"/>
        <v>0</v>
      </c>
      <c r="BV54" s="520">
        <f t="shared" ca="1" si="103"/>
        <v>5531</v>
      </c>
      <c r="BW54" s="520">
        <f t="shared" ca="1" si="103"/>
        <v>175</v>
      </c>
      <c r="BX54" s="520">
        <f t="shared" ca="1" si="103"/>
        <v>4522.41</v>
      </c>
      <c r="BY54" s="521">
        <f t="shared" ca="1" si="103"/>
        <v>157.15198041833557</v>
      </c>
      <c r="BZ54" s="520"/>
      <c r="CA54" s="521"/>
      <c r="CB54" s="520">
        <f t="shared" ref="CB54:CG54" ca="1" si="104">SUM(CB55:CB75)</f>
        <v>4372.76</v>
      </c>
      <c r="CC54" s="520">
        <f t="shared" ca="1" si="104"/>
        <v>106</v>
      </c>
      <c r="CD54" s="520">
        <f t="shared" ca="1" si="104"/>
        <v>149.65</v>
      </c>
      <c r="CE54" s="520">
        <f t="shared" ca="1" si="104"/>
        <v>11</v>
      </c>
      <c r="CF54" s="520">
        <f t="shared" ca="1" si="104"/>
        <v>0</v>
      </c>
      <c r="CG54" s="538">
        <f t="shared" ca="1" si="104"/>
        <v>0</v>
      </c>
    </row>
    <row r="55" spans="1:85" ht="21" customHeight="1">
      <c r="A55" s="539">
        <v>1</v>
      </c>
      <c r="B55" s="540" t="s">
        <v>79</v>
      </c>
      <c r="C55" s="541">
        <f t="shared" ref="C55:C75" ca="1" si="105">+D55+E55</f>
        <v>1031428</v>
      </c>
      <c r="D55" s="542">
        <f ca="1">IFERROR(__xludf.DUMMYFUNCTION("IMPORTRANGE(""https://docs.google.com/spreadsheets/d/1C3CXT74ZlgGe6_JY_1olB1XN4rF0dxEuIIF-xsYjHgg/edit?usp=sharing"",""งบกองทุน!BC59"")"),0)</f>
        <v>0</v>
      </c>
      <c r="E55" s="543">
        <f ca="1">IFERROR(__xludf.DUMMYFUNCTION("IMPORTRANGE(""https://docs.google.com/spreadsheets/d/1C3CXT74ZlgGe6_JY_1olB1XN4rF0dxEuIIF-xsYjHgg/edit?usp=sharing"",""งบกองทุน!BD59"")"),1031428)</f>
        <v>1031428</v>
      </c>
      <c r="F55" s="544">
        <f ca="1">IFERROR(__xludf.DUMMYFUNCTION("IMPORTRANGE(""https://docs.google.com/spreadsheets/d/1SX6NBoVAgQJ6U1MVXOaj8PK2l7WJ3RER9xtqwdhxkhw/edit?usp=sharing"",""กาญจนบุรี!M352"")"),137668.36)</f>
        <v>137668.35999999999</v>
      </c>
      <c r="G55" s="544">
        <f t="shared" ca="1" si="1"/>
        <v>13.347355317094356</v>
      </c>
      <c r="H55" s="545">
        <f ca="1">IFERROR(__xludf.DUMMYFUNCTION("IMPORTRANGE(""https://docs.google.com/spreadsheets/d/1C3CXT74ZlgGe6_JY_1olB1XN4rF0dxEuIIF-xsYjHgg/edit?usp=sharing"",""งบกองทุน!BE59"")"),186125)</f>
        <v>186125</v>
      </c>
      <c r="I55" s="545">
        <f ca="1">IFERROR(__xludf.DUMMYFUNCTION("IMPORTRANGE(""https://docs.google.com/spreadsheets/d/1C3CXT74ZlgGe6_JY_1olB1XN4rF0dxEuIIF-xsYjHgg/edit?usp=sharing"",""งบกองทุน!BF59"")"),13419)</f>
        <v>13419</v>
      </c>
      <c r="J55" s="542">
        <f t="shared" ref="J55:J75" ca="1" si="106">SUM(N55,P55,R55)</f>
        <v>104205</v>
      </c>
      <c r="K55" s="544">
        <f t="shared" ca="1" si="3"/>
        <v>55.986568166554733</v>
      </c>
      <c r="L55" s="542">
        <f t="shared" ref="L55:L75" ca="1" si="107">SUM(O55,Q55,S55)</f>
        <v>7847</v>
      </c>
      <c r="M55" s="544">
        <f t="shared" ca="1" si="4"/>
        <v>58.476786645800729</v>
      </c>
      <c r="N55" s="542">
        <f ca="1">IFERROR(__xludf.DUMMYFUNCTION("IMPORTRANGE(""https://docs.google.com/spreadsheets/d/1SX6NBoVAgQJ6U1MVXOaj8PK2l7WJ3RER9xtqwdhxkhw/edit?usp=sharing"",""กาญจนบุรี!J362"")"),83703)</f>
        <v>83703</v>
      </c>
      <c r="O55" s="542">
        <f ca="1">IFERROR(__xludf.DUMMYFUNCTION("IMPORTRANGE(""https://docs.google.com/spreadsheets/d/1SX6NBoVAgQJ6U1MVXOaj8PK2l7WJ3RER9xtqwdhxkhw/edit?usp=sharing"",""กาญจนบุรี!J363"")"),6563)</f>
        <v>6563</v>
      </c>
      <c r="P55" s="542">
        <f ca="1">IFERROR(__xludf.DUMMYFUNCTION("IMPORTRANGE(""https://docs.google.com/spreadsheets/d/1SX6NBoVAgQJ6U1MVXOaj8PK2l7WJ3RER9xtqwdhxkhw/edit?usp=sharing"",""กาญจนบุรี!J364"")"),17050)</f>
        <v>17050</v>
      </c>
      <c r="Q55" s="542">
        <f ca="1">IFERROR(__xludf.DUMMYFUNCTION("IMPORTRANGE(""https://docs.google.com/spreadsheets/d/1SX6NBoVAgQJ6U1MVXOaj8PK2l7WJ3RER9xtqwdhxkhw/edit?usp=sharing"",""กาญจนบุรี!J365"")"),1022)</f>
        <v>1022</v>
      </c>
      <c r="R55" s="542">
        <f ca="1">IFERROR(__xludf.DUMMYFUNCTION("IMPORTRANGE(""https://docs.google.com/spreadsheets/d/1SX6NBoVAgQJ6U1MVXOaj8PK2l7WJ3RER9xtqwdhxkhw/edit?usp=sharing"",""กาญจนบุรี!J366"")"),3452)</f>
        <v>3452</v>
      </c>
      <c r="S55" s="542">
        <f ca="1">IFERROR(__xludf.DUMMYFUNCTION("IMPORTRANGE(""https://docs.google.com/spreadsheets/d/1SX6NBoVAgQJ6U1MVXOaj8PK2l7WJ3RER9xtqwdhxkhw/edit?usp=sharing"",""กาญจนบุรี!J367"")"),262)</f>
        <v>262</v>
      </c>
      <c r="T55" s="542">
        <f t="shared" ref="T55:T75" ca="1" si="108">SUM(X55,Z55,AB55)</f>
        <v>0</v>
      </c>
      <c r="U55" s="542">
        <f t="shared" ca="1" si="6"/>
        <v>0</v>
      </c>
      <c r="V55" s="542">
        <f t="shared" ref="V55:V75" ca="1" si="109">SUM(Y55,AA55,AC55)</f>
        <v>0</v>
      </c>
      <c r="W55" s="542">
        <f t="shared" ca="1" si="7"/>
        <v>0</v>
      </c>
      <c r="X55" s="542">
        <f ca="1">IFERROR(__xludf.DUMMYFUNCTION("IMPORTRANGE(""https://docs.google.com/spreadsheets/d/1SX6NBoVAgQJ6U1MVXOaj8PK2l7WJ3RER9xtqwdhxkhw/edit?usp=sharing"",""กาญจนบุรี!J370"")"),0)</f>
        <v>0</v>
      </c>
      <c r="Y55" s="542">
        <f ca="1">IFERROR(__xludf.DUMMYFUNCTION("IMPORTRANGE(""https://docs.google.com/spreadsheets/d/1SX6NBoVAgQJ6U1MVXOaj8PK2l7WJ3RER9xtqwdhxkhw/edit?usp=sharing"",""กาญจนบุรี!J371"")"),0)</f>
        <v>0</v>
      </c>
      <c r="Z55" s="542">
        <f ca="1">IFERROR(__xludf.DUMMYFUNCTION("IMPORTRANGE(""https://docs.google.com/spreadsheets/d/1SX6NBoVAgQJ6U1MVXOaj8PK2l7WJ3RER9xtqwdhxkhw/edit?usp=sharing"",""กาญจนบุรี!J372"")"),0)</f>
        <v>0</v>
      </c>
      <c r="AA55" s="542">
        <f ca="1">IFERROR(__xludf.DUMMYFUNCTION("IMPORTRANGE(""https://docs.google.com/spreadsheets/d/1SX6NBoVAgQJ6U1MVXOaj8PK2l7WJ3RER9xtqwdhxkhw/edit?usp=sharing"",""กาญจนบุรี!J373"")"),0)</f>
        <v>0</v>
      </c>
      <c r="AB55" s="542">
        <f ca="1">IFERROR(__xludf.DUMMYFUNCTION("IMPORTRANGE(""https://docs.google.com/spreadsheets/d/1SX6NBoVAgQJ6U1MVXOaj8PK2l7WJ3RER9xtqwdhxkhw/edit?usp=sharing"",""กาญจนบุรี!J374"")"),0)</f>
        <v>0</v>
      </c>
      <c r="AC55" s="542">
        <f ca="1">IFERROR(__xludf.DUMMYFUNCTION("IMPORTRANGE(""https://docs.google.com/spreadsheets/d/1SX6NBoVAgQJ6U1MVXOaj8PK2l7WJ3RER9xtqwdhxkhw/edit?usp=sharing"",""กาญจนบุรี!J375"")"),0)</f>
        <v>0</v>
      </c>
      <c r="AD55" s="542">
        <f t="shared" ref="AD55:AD75" ca="1" si="110">SUM(AH55,AJ55,AL55,AN55,AP55)</f>
        <v>0</v>
      </c>
      <c r="AE55" s="544">
        <f t="shared" ca="1" si="9"/>
        <v>0</v>
      </c>
      <c r="AF55" s="542">
        <f t="shared" ref="AF55:AF75" ca="1" si="111">SUM(AI55,AK55,AM55,AO55,AQ55)</f>
        <v>0</v>
      </c>
      <c r="AG55" s="544">
        <f t="shared" ca="1" si="10"/>
        <v>0</v>
      </c>
      <c r="AH55" s="542">
        <f ca="1">IFERROR(__xludf.DUMMYFUNCTION("IMPORTRANGE(""https://docs.google.com/spreadsheets/d/1SX6NBoVAgQJ6U1MVXOaj8PK2l7WJ3RER9xtqwdhxkhw/edit?usp=sharing"",""กาญจนบุรี!J378"")"),0)</f>
        <v>0</v>
      </c>
      <c r="AI55" s="542">
        <f ca="1">IFERROR(__xludf.DUMMYFUNCTION("IMPORTRANGE(""https://docs.google.com/spreadsheets/d/1SX6NBoVAgQJ6U1MVXOaj8PK2l7WJ3RER9xtqwdhxkhw/edit?usp=sharing"",""กาญจนบุรี!J379"")"),0)</f>
        <v>0</v>
      </c>
      <c r="AJ55" s="542">
        <f ca="1">IFERROR(__xludf.DUMMYFUNCTION("IMPORTRANGE(""https://docs.google.com/spreadsheets/d/1SX6NBoVAgQJ6U1MVXOaj8PK2l7WJ3RER9xtqwdhxkhw/edit?usp=sharing"",""กาญจนบุรี!J380"")"),0)</f>
        <v>0</v>
      </c>
      <c r="AK55" s="542">
        <f ca="1">IFERROR(__xludf.DUMMYFUNCTION("IMPORTRANGE(""https://docs.google.com/spreadsheets/d/1SX6NBoVAgQJ6U1MVXOaj8PK2l7WJ3RER9xtqwdhxkhw/edit?usp=sharing"",""กาญจนบุรี!J381"")"),0)</f>
        <v>0</v>
      </c>
      <c r="AL55" s="542">
        <f ca="1">IFERROR(__xludf.DUMMYFUNCTION("IMPORTRANGE(""https://docs.google.com/spreadsheets/d/1SX6NBoVAgQJ6U1MVXOaj8PK2l7WJ3RER9xtqwdhxkhw/edit?usp=sharing"",""กาญจนบุรี!J384"")"),0)</f>
        <v>0</v>
      </c>
      <c r="AM55" s="542">
        <f ca="1">IFERROR(__xludf.DUMMYFUNCTION("IMPORTRANGE(""https://docs.google.com/spreadsheets/d/1SX6NBoVAgQJ6U1MVXOaj8PK2l7WJ3RER9xtqwdhxkhw/edit?usp=sharing"",""กาญจนบุรี!J385"")"),0)</f>
        <v>0</v>
      </c>
      <c r="AN55" s="542">
        <f ca="1">IFERROR(__xludf.DUMMYFUNCTION("IMPORTRANGE(""https://docs.google.com/spreadsheets/d/1SX6NBoVAgQJ6U1MVXOaj8PK2l7WJ3RER9xtqwdhxkhw/edit?usp=sharing"",""กาญจนบุรี!J386"")"),0)</f>
        <v>0</v>
      </c>
      <c r="AO55" s="542">
        <f ca="1">IFERROR(__xludf.DUMMYFUNCTION("IMPORTRANGE(""https://docs.google.com/spreadsheets/d/1SX6NBoVAgQJ6U1MVXOaj8PK2l7WJ3RER9xtqwdhxkhw/edit?usp=sharing"",""กาญจนบุรี!J387"")"),0)</f>
        <v>0</v>
      </c>
      <c r="AP55" s="542">
        <f ca="1">IFERROR(__xludf.DUMMYFUNCTION("IMPORTRANGE(""https://docs.google.com/spreadsheets/d/1SX6NBoVAgQJ6U1MVXOaj8PK2l7WJ3RER9xtqwdhxkhw/edit?usp=sharing"",""กาญจนบุรี!J388"")"),0)</f>
        <v>0</v>
      </c>
      <c r="AQ55" s="542">
        <f ca="1">IFERROR(__xludf.DUMMYFUNCTION("IMPORTRANGE(""https://docs.google.com/spreadsheets/d/1SX6NBoVAgQJ6U1MVXOaj8PK2l7WJ3RER9xtqwdhxkhw/edit?usp=sharing"",""กาญจนบุรี!J389"")"),0)</f>
        <v>0</v>
      </c>
      <c r="AR55" s="542">
        <f ca="1">IFERROR(__xludf.DUMMYFUNCTION("IMPORTRANGE(""https://docs.google.com/spreadsheets/d/1SX6NBoVAgQJ6U1MVXOaj8PK2l7WJ3RER9xtqwdhxkhw/edit?usp=sharing"",""กาญจนบุรี!J390"")"),0)</f>
        <v>0</v>
      </c>
      <c r="AS55" s="542">
        <f ca="1">IFERROR(__xludf.DUMMYFUNCTION("IMPORTRANGE(""https://docs.google.com/spreadsheets/d/1SX6NBoVAgQJ6U1MVXOaj8PK2l7WJ3RER9xtqwdhxkhw/edit?usp=sharing"",""กาญจนบุรี!J391"")"),0)</f>
        <v>0</v>
      </c>
      <c r="AT55" s="546">
        <f ca="1">IFERROR(__xludf.DUMMYFUNCTION("IMPORTRANGE(""https://docs.google.com/spreadsheets/d/1C3CXT74ZlgGe6_JY_1olB1XN4rF0dxEuIIF-xsYjHgg/edit?usp=sharing"",""งบกองทุน!CD59"")"),4217)</f>
        <v>4217</v>
      </c>
      <c r="AU55" s="546">
        <f ca="1">IFERROR(__xludf.DUMMYFUNCTION("IMPORTRANGE(""https://docs.google.com/spreadsheets/d/1C3CXT74ZlgGe6_JY_1olB1XN4rF0dxEuIIF-xsYjHgg/edit?usp=sharing"",""งบกองทุน!CC59"")"),232)</f>
        <v>232</v>
      </c>
      <c r="AV55" s="546">
        <f t="shared" ref="AV55:AV75" ca="1" si="112">SUM(AZ55,BB55,BD55,BF55,BH55,BJ55)</f>
        <v>0</v>
      </c>
      <c r="AW55" s="546">
        <f t="shared" ca="1" si="12"/>
        <v>0</v>
      </c>
      <c r="AX55" s="546">
        <f t="shared" ref="AX55:AX75" ca="1" si="113">SUM(BA55,BC55,BE55,BG55,BI55,BK55)</f>
        <v>0</v>
      </c>
      <c r="AY55" s="546">
        <f t="shared" ca="1" si="13"/>
        <v>0</v>
      </c>
      <c r="AZ55" s="542">
        <f ca="1">IFERROR(__xludf.DUMMYFUNCTION("IMPORTRANGE(""https://docs.google.com/spreadsheets/d/1SX6NBoVAgQJ6U1MVXOaj8PK2l7WJ3RER9xtqwdhxkhw/edit?usp=sharing"",""กาญจนบุรี!J397"")"),0)</f>
        <v>0</v>
      </c>
      <c r="BA55" s="542">
        <f ca="1">IFERROR(__xludf.DUMMYFUNCTION("IMPORTRANGE(""https://docs.google.com/spreadsheets/d/1SX6NBoVAgQJ6U1MVXOaj8PK2l7WJ3RER9xtqwdhxkhw/edit?usp=sharing"",""กาญจนบุรี!J398"")"),0)</f>
        <v>0</v>
      </c>
      <c r="BB55" s="542">
        <f ca="1">IFERROR(__xludf.DUMMYFUNCTION("IMPORTRANGE(""https://docs.google.com/spreadsheets/d/1SX6NBoVAgQJ6U1MVXOaj8PK2l7WJ3RER9xtqwdhxkhw/edit?usp=sharing"",""กาญจนบุรี!J399"")"),0)</f>
        <v>0</v>
      </c>
      <c r="BC55" s="542">
        <f ca="1">IFERROR(__xludf.DUMMYFUNCTION("IMPORTRANGE(""https://docs.google.com/spreadsheets/d/1SX6NBoVAgQJ6U1MVXOaj8PK2l7WJ3RER9xtqwdhxkhw/edit?usp=sharing"",""กาญจนบุรี!J400"")"),0)</f>
        <v>0</v>
      </c>
      <c r="BD55" s="542">
        <f ca="1">IFERROR(__xludf.DUMMYFUNCTION("IMPORTRANGE(""https://docs.google.com/spreadsheets/d/1SX6NBoVAgQJ6U1MVXOaj8PK2l7WJ3RER9xtqwdhxkhw/edit?usp=sharing"",""กาญจนบุรี!J401"")"),0)</f>
        <v>0</v>
      </c>
      <c r="BE55" s="542">
        <f ca="1">IFERROR(__xludf.DUMMYFUNCTION("IMPORTRANGE(""https://docs.google.com/spreadsheets/d/1SX6NBoVAgQJ6U1MVXOaj8PK2l7WJ3RER9xtqwdhxkhw/edit?usp=sharing"",""กาญจนบุรี!J402"")"),0)</f>
        <v>0</v>
      </c>
      <c r="BF55" s="542">
        <f ca="1">IFERROR(__xludf.DUMMYFUNCTION("IMPORTRANGE(""https://docs.google.com/spreadsheets/d/1SX6NBoVAgQJ6U1MVXOaj8PK2l7WJ3RER9xtqwdhxkhw/edit?usp=sharing"",""กาญจนบุรี!J405"")"),0)</f>
        <v>0</v>
      </c>
      <c r="BG55" s="542">
        <f ca="1">IFERROR(__xludf.DUMMYFUNCTION("IMPORTRANGE(""https://docs.google.com/spreadsheets/d/1SX6NBoVAgQJ6U1MVXOaj8PK2l7WJ3RER9xtqwdhxkhw/edit?usp=sharing"",""กาญจนบุรี!J406"")"),0)</f>
        <v>0</v>
      </c>
      <c r="BH55" s="542">
        <f ca="1">IFERROR(__xludf.DUMMYFUNCTION("IMPORTRANGE(""https://docs.google.com/spreadsheets/d/1SX6NBoVAgQJ6U1MVXOaj8PK2l7WJ3RER9xtqwdhxkhw/edit?usp=sharing"",""กาญจนบุรี!J407"")"),0)</f>
        <v>0</v>
      </c>
      <c r="BI55" s="542">
        <f ca="1">IFERROR(__xludf.DUMMYFUNCTION("IMPORTRANGE(""https://docs.google.com/spreadsheets/d/1SX6NBoVAgQJ6U1MVXOaj8PK2l7WJ3RER9xtqwdhxkhw/edit?usp=sharing"",""กาญจนบุรี!J408"")"),0)</f>
        <v>0</v>
      </c>
      <c r="BJ55" s="542">
        <f ca="1">IFERROR(__xludf.DUMMYFUNCTION("IMPORTRANGE(""https://docs.google.com/spreadsheets/d/1SX6NBoVAgQJ6U1MVXOaj8PK2l7WJ3RER9xtqwdhxkhw/edit?usp=sharing"",""กาญจนบุรี!J409"")"),0)</f>
        <v>0</v>
      </c>
      <c r="BK55" s="542">
        <f ca="1">IFERROR(__xludf.DUMMYFUNCTION("IMPORTRANGE(""https://docs.google.com/spreadsheets/d/1SX6NBoVAgQJ6U1MVXOaj8PK2l7WJ3RER9xtqwdhxkhw/edit?usp=sharing"",""กาญจนบุรี!J410"")"),0)</f>
        <v>0</v>
      </c>
      <c r="BL55" s="546">
        <f ca="1">IFERROR(__xludf.DUMMYFUNCTION("IMPORTRANGE(""https://docs.google.com/spreadsheets/d/1C3CXT74ZlgGe6_JY_1olB1XN4rF0dxEuIIF-xsYjHgg/edit?usp=sharing"",""งบกองทุน!CZ59"")"),0)</f>
        <v>0</v>
      </c>
      <c r="BM55" s="546">
        <f ca="1">IFERROR(__xludf.DUMMYFUNCTION("IMPORTRANGE(""https://docs.google.com/spreadsheets/d/1C3CXT74ZlgGe6_JY_1olB1XN4rF0dxEuIIF-xsYjHgg/edit?usp=sharing"",""งบกองทุน!CY59"")"),0)</f>
        <v>0</v>
      </c>
      <c r="BN55" s="546">
        <f t="shared" ref="BN55:BN75" ca="1" si="114">SUM(BR55,BT55)</f>
        <v>0</v>
      </c>
      <c r="BO55" s="547">
        <f t="shared" ca="1" si="15"/>
        <v>0</v>
      </c>
      <c r="BP55" s="546">
        <f t="shared" ref="BP55:BP75" ca="1" si="115">SUM(BS55,BU55)</f>
        <v>0</v>
      </c>
      <c r="BQ55" s="547">
        <f t="shared" ca="1" si="16"/>
        <v>0</v>
      </c>
      <c r="BR55" s="542">
        <f ca="1">IFERROR(__xludf.DUMMYFUNCTION("IMPORTRANGE(""https://docs.google.com/spreadsheets/d/1SX6NBoVAgQJ6U1MVXOaj8PK2l7WJ3RER9xtqwdhxkhw/edit?usp=sharing"",""กาญจนบุรี!J414"")"),0)</f>
        <v>0</v>
      </c>
      <c r="BS55" s="542">
        <f ca="1">IFERROR(__xludf.DUMMYFUNCTION("IMPORTRANGE(""https://docs.google.com/spreadsheets/d/1SX6NBoVAgQJ6U1MVXOaj8PK2l7WJ3RER9xtqwdhxkhw/edit?usp=sharing"",""กาญจนบุรี!J415"")"),0)</f>
        <v>0</v>
      </c>
      <c r="BT55" s="542">
        <f ca="1">IFERROR(__xludf.DUMMYFUNCTION("IMPORTRANGE(""https://docs.google.com/spreadsheets/d/1SX6NBoVAgQJ6U1MVXOaj8PK2l7WJ3RER9xtqwdhxkhw/edit?usp=sharing"",""กาญจนบุรี!J416"")"),0)</f>
        <v>0</v>
      </c>
      <c r="BU55" s="542">
        <f ca="1">IFERROR(__xludf.DUMMYFUNCTION("IMPORTRANGE(""https://docs.google.com/spreadsheets/d/1SX6NBoVAgQJ6U1MVXOaj8PK2l7WJ3RER9xtqwdhxkhw/edit?usp=sharing"",""กาญจนบุรี!J417"")"),0)</f>
        <v>0</v>
      </c>
      <c r="BV55" s="542">
        <f ca="1">IFERROR(__xludf.DUMMYFUNCTION("IMPORTRANGE(""https://docs.google.com/spreadsheets/d/1SX6NBoVAgQJ6U1MVXOaj8PK2l7WJ3RER9xtqwdhxkhw/edit?usp=sharing"",""กาญจนบุรี!J418"")"),988)</f>
        <v>988</v>
      </c>
      <c r="BW55" s="542">
        <f ca="1">IFERROR(__xludf.DUMMYFUNCTION("IMPORTRANGE(""https://docs.google.com/spreadsheets/d/1SX6NBoVAgQJ6U1MVXOaj8PK2l7WJ3RER9xtqwdhxkhw/edit?usp=sharing"",""กาญจนบุรี!J419"")"),56)</f>
        <v>56</v>
      </c>
      <c r="BX55" s="546">
        <f t="shared" ref="BX55:BX75" ca="1" si="116">SUM(CB55,CD55,CF55)</f>
        <v>0</v>
      </c>
      <c r="BY55" s="547">
        <f t="shared" ref="BY55:BY75" ca="1" si="117">IF(BV55&gt;0,BX55*100/BV55,0)</f>
        <v>0</v>
      </c>
      <c r="BZ55" s="546">
        <f t="shared" ref="BZ55:BZ75" ca="1" si="118">SUM(CC55,CE55,CG55)</f>
        <v>0</v>
      </c>
      <c r="CA55" s="547">
        <f t="shared" ref="CA55:CA75" ca="1" si="119">IF(BW55&gt;0,BZ55*100/BW55,0)</f>
        <v>0</v>
      </c>
      <c r="CB55" s="542">
        <f ca="1">IFERROR(__xludf.DUMMYFUNCTION("IMPORTRANGE(""https://docs.google.com/spreadsheets/d/1SX6NBoVAgQJ6U1MVXOaj8PK2l7WJ3RER9xtqwdhxkhw/edit?usp=sharing"",""กาญจนบุรี!J422"")"),0)</f>
        <v>0</v>
      </c>
      <c r="CC55" s="542">
        <f ca="1">IFERROR(__xludf.DUMMYFUNCTION("IMPORTRANGE(""https://docs.google.com/spreadsheets/d/1SX6NBoVAgQJ6U1MVXOaj8PK2l7WJ3RER9xtqwdhxkhw/edit?usp=sharing"",""กาญจนบุรี!J423"")"),0)</f>
        <v>0</v>
      </c>
      <c r="CD55" s="542">
        <f ca="1">IFERROR(__xludf.DUMMYFUNCTION("IMPORTRANGE(""https://docs.google.com/spreadsheets/d/1SX6NBoVAgQJ6U1MVXOaj8PK2l7WJ3RER9xtqwdhxkhw/edit?usp=sharing"",""กาญจนบุรี!J424"")"),0)</f>
        <v>0</v>
      </c>
      <c r="CE55" s="542">
        <f ca="1">IFERROR(__xludf.DUMMYFUNCTION("IMPORTRANGE(""https://docs.google.com/spreadsheets/d/1SX6NBoVAgQJ6U1MVXOaj8PK2l7WJ3RER9xtqwdhxkhw/edit?usp=sharing"",""กาญจนบุรี!J425"")"),0)</f>
        <v>0</v>
      </c>
      <c r="CF55" s="542">
        <f ca="1">IFERROR(__xludf.DUMMYFUNCTION("IMPORTRANGE(""https://docs.google.com/spreadsheets/d/1SX6NBoVAgQJ6U1MVXOaj8PK2l7WJ3RER9xtqwdhxkhw/edit?usp=sharing"",""กาญจนบุรี!J426"")"),0)</f>
        <v>0</v>
      </c>
      <c r="CG55" s="548">
        <f ca="1">IFERROR(__xludf.DUMMYFUNCTION("IMPORTRANGE(""https://docs.google.com/spreadsheets/d/1SX6NBoVAgQJ6U1MVXOaj8PK2l7WJ3RER9xtqwdhxkhw/edit?usp=sharing"",""กาญจนบุรี!J427"")"),0)</f>
        <v>0</v>
      </c>
    </row>
    <row r="56" spans="1:85" ht="21" customHeight="1">
      <c r="A56" s="549">
        <v>2</v>
      </c>
      <c r="B56" s="550" t="s">
        <v>80</v>
      </c>
      <c r="C56" s="551">
        <f t="shared" ca="1" si="105"/>
        <v>162553</v>
      </c>
      <c r="D56" s="552">
        <f ca="1">IFERROR(__xludf.DUMMYFUNCTION("IMPORTRANGE(""https://docs.google.com/spreadsheets/d/1C3CXT74ZlgGe6_JY_1olB1XN4rF0dxEuIIF-xsYjHgg/edit?usp=sharing"",""งบกองทุน!BC60"")"),0)</f>
        <v>0</v>
      </c>
      <c r="E56" s="553">
        <f ca="1">IFERROR(__xludf.DUMMYFUNCTION("IMPORTRANGE(""https://docs.google.com/spreadsheets/d/1C3CXT74ZlgGe6_JY_1olB1XN4rF0dxEuIIF-xsYjHgg/edit?usp=sharing"",""งบกองทุน!BD60"")"),162553)</f>
        <v>162553</v>
      </c>
      <c r="F56" s="554">
        <f ca="1">IFERROR(__xludf.DUMMYFUNCTION("IMPORTRANGE(""https://docs.google.com/spreadsheets/d/1SX6NBoVAgQJ6U1MVXOaj8PK2l7WJ3RER9xtqwdhxkhw/edit?usp=sharing"",""จันทบุรี!M352"")"),34860)</f>
        <v>34860</v>
      </c>
      <c r="G56" s="554">
        <f t="shared" ca="1" si="1"/>
        <v>21.445313220918717</v>
      </c>
      <c r="H56" s="555">
        <f ca="1">IFERROR(__xludf.DUMMYFUNCTION("IMPORTRANGE(""https://docs.google.com/spreadsheets/d/1C3CXT74ZlgGe6_JY_1olB1XN4rF0dxEuIIF-xsYjHgg/edit?usp=sharing"",""งบกองทุน!BE60"")"),18211)</f>
        <v>18211</v>
      </c>
      <c r="I56" s="555">
        <f ca="1">IFERROR(__xludf.DUMMYFUNCTION("IMPORTRANGE(""https://docs.google.com/spreadsheets/d/1C3CXT74ZlgGe6_JY_1olB1XN4rF0dxEuIIF-xsYjHgg/edit?usp=sharing"",""งบกองทุน!BF60"")"),1421)</f>
        <v>1421</v>
      </c>
      <c r="J56" s="552">
        <f t="shared" ca="1" si="106"/>
        <v>18210.739999999998</v>
      </c>
      <c r="K56" s="554">
        <f t="shared" ca="1" si="3"/>
        <v>99.998572291472172</v>
      </c>
      <c r="L56" s="552">
        <f t="shared" ca="1" si="107"/>
        <v>1421</v>
      </c>
      <c r="M56" s="554">
        <f t="shared" ca="1" si="4"/>
        <v>100</v>
      </c>
      <c r="N56" s="552">
        <f ca="1">IFERROR(__xludf.DUMMYFUNCTION("IMPORTRANGE(""https://docs.google.com/spreadsheets/d/1SX6NBoVAgQJ6U1MVXOaj8PK2l7WJ3RER9xtqwdhxkhw/edit?usp=sharing"",""จันทบุรี!J362"")"),11017)</f>
        <v>11017</v>
      </c>
      <c r="O56" s="552">
        <f ca="1">IFERROR(__xludf.DUMMYFUNCTION("IMPORTRANGE(""https://docs.google.com/spreadsheets/d/1SX6NBoVAgQJ6U1MVXOaj8PK2l7WJ3RER9xtqwdhxkhw/edit?usp=sharing"",""จันทบุรี!J363"")"),883)</f>
        <v>883</v>
      </c>
      <c r="P56" s="552">
        <f ca="1">IFERROR(__xludf.DUMMYFUNCTION("IMPORTRANGE(""https://docs.google.com/spreadsheets/d/1SX6NBoVAgQJ6U1MVXOaj8PK2l7WJ3RER9xtqwdhxkhw/edit?usp=sharing"",""จันทบุรี!J364"")"),6212.74)</f>
        <v>6212.74</v>
      </c>
      <c r="Q56" s="552">
        <f ca="1">IFERROR(__xludf.DUMMYFUNCTION("IMPORTRANGE(""https://docs.google.com/spreadsheets/d/1SX6NBoVAgQJ6U1MVXOaj8PK2l7WJ3RER9xtqwdhxkhw/edit?usp=sharing"",""จันทบุรี!J365"")"),447)</f>
        <v>447</v>
      </c>
      <c r="R56" s="552">
        <f ca="1">IFERROR(__xludf.DUMMYFUNCTION("IMPORTRANGE(""https://docs.google.com/spreadsheets/d/1SX6NBoVAgQJ6U1MVXOaj8PK2l7WJ3RER9xtqwdhxkhw/edit?usp=sharing"",""จันทบุรี!J366"")"),981)</f>
        <v>981</v>
      </c>
      <c r="S56" s="552">
        <f ca="1">IFERROR(__xludf.DUMMYFUNCTION("IMPORTRANGE(""https://docs.google.com/spreadsheets/d/1SX6NBoVAgQJ6U1MVXOaj8PK2l7WJ3RER9xtqwdhxkhw/edit?usp=sharing"",""จันทบุรี!J367"")"),91)</f>
        <v>91</v>
      </c>
      <c r="T56" s="552">
        <f t="shared" ca="1" si="108"/>
        <v>18211</v>
      </c>
      <c r="U56" s="552">
        <f t="shared" ca="1" si="6"/>
        <v>100</v>
      </c>
      <c r="V56" s="552">
        <f t="shared" ca="1" si="109"/>
        <v>1421</v>
      </c>
      <c r="W56" s="552">
        <f t="shared" ca="1" si="7"/>
        <v>100</v>
      </c>
      <c r="X56" s="552">
        <f ca="1">IFERROR(__xludf.DUMMYFUNCTION("IMPORTRANGE(""https://docs.google.com/spreadsheets/d/1SX6NBoVAgQJ6U1MVXOaj8PK2l7WJ3RER9xtqwdhxkhw/edit?usp=sharing"",""จันทบุรี!J370"")"),11154)</f>
        <v>11154</v>
      </c>
      <c r="Y56" s="552">
        <f ca="1">IFERROR(__xludf.DUMMYFUNCTION("IMPORTRANGE(""https://docs.google.com/spreadsheets/d/1SX6NBoVAgQJ6U1MVXOaj8PK2l7WJ3RER9xtqwdhxkhw/edit?usp=sharing"",""จันทบุรี!J371"")"),890)</f>
        <v>890</v>
      </c>
      <c r="Z56" s="552">
        <f ca="1">IFERROR(__xludf.DUMMYFUNCTION("IMPORTRANGE(""https://docs.google.com/spreadsheets/d/1SX6NBoVAgQJ6U1MVXOaj8PK2l7WJ3RER9xtqwdhxkhw/edit?usp=sharing"",""จันทบุรี!J372"")"),6076)</f>
        <v>6076</v>
      </c>
      <c r="AA56" s="552">
        <f ca="1">IFERROR(__xludf.DUMMYFUNCTION("IMPORTRANGE(""https://docs.google.com/spreadsheets/d/1SX6NBoVAgQJ6U1MVXOaj8PK2l7WJ3RER9xtqwdhxkhw/edit?usp=sharing"",""จันทบุรี!J373"")"),440)</f>
        <v>440</v>
      </c>
      <c r="AB56" s="552">
        <f ca="1">IFERROR(__xludf.DUMMYFUNCTION("IMPORTRANGE(""https://docs.google.com/spreadsheets/d/1SX6NBoVAgQJ6U1MVXOaj8PK2l7WJ3RER9xtqwdhxkhw/edit?usp=sharing"",""จันทบุรี!J374"")"),981)</f>
        <v>981</v>
      </c>
      <c r="AC56" s="552">
        <f ca="1">IFERROR(__xludf.DUMMYFUNCTION("IMPORTRANGE(""https://docs.google.com/spreadsheets/d/1SX6NBoVAgQJ6U1MVXOaj8PK2l7WJ3RER9xtqwdhxkhw/edit?usp=sharing"",""จันทบุรี!J375"")"),91)</f>
        <v>91</v>
      </c>
      <c r="AD56" s="552">
        <f t="shared" ca="1" si="110"/>
        <v>0</v>
      </c>
      <c r="AE56" s="554">
        <f t="shared" ca="1" si="9"/>
        <v>0</v>
      </c>
      <c r="AF56" s="552">
        <f t="shared" ca="1" si="111"/>
        <v>0</v>
      </c>
      <c r="AG56" s="554">
        <f t="shared" ca="1" si="10"/>
        <v>0</v>
      </c>
      <c r="AH56" s="552">
        <f ca="1">IFERROR(__xludf.DUMMYFUNCTION("IMPORTRANGE(""https://docs.google.com/spreadsheets/d/1SX6NBoVAgQJ6U1MVXOaj8PK2l7WJ3RER9xtqwdhxkhw/edit?usp=sharing"",""จันทบุรี!J378"")"),0)</f>
        <v>0</v>
      </c>
      <c r="AI56" s="552">
        <f ca="1">IFERROR(__xludf.DUMMYFUNCTION("IMPORTRANGE(""https://docs.google.com/spreadsheets/d/1SX6NBoVAgQJ6U1MVXOaj8PK2l7WJ3RER9xtqwdhxkhw/edit?usp=sharing"",""จันทบุรี!J379"")"),0)</f>
        <v>0</v>
      </c>
      <c r="AJ56" s="552">
        <f ca="1">IFERROR(__xludf.DUMMYFUNCTION("IMPORTRANGE(""https://docs.google.com/spreadsheets/d/1SX6NBoVAgQJ6U1MVXOaj8PK2l7WJ3RER9xtqwdhxkhw/edit?usp=sharing"",""จันทบุรี!J380"")"),0)</f>
        <v>0</v>
      </c>
      <c r="AK56" s="552">
        <f ca="1">IFERROR(__xludf.DUMMYFUNCTION("IMPORTRANGE(""https://docs.google.com/spreadsheets/d/1SX6NBoVAgQJ6U1MVXOaj8PK2l7WJ3RER9xtqwdhxkhw/edit?usp=sharing"",""จันทบุรี!J381"")"),0)</f>
        <v>0</v>
      </c>
      <c r="AL56" s="552">
        <f ca="1">IFERROR(__xludf.DUMMYFUNCTION("IMPORTRANGE(""https://docs.google.com/spreadsheets/d/1SX6NBoVAgQJ6U1MVXOaj8PK2l7WJ3RER9xtqwdhxkhw/edit?usp=sharing"",""จันทบุรี!J384"")"),0)</f>
        <v>0</v>
      </c>
      <c r="AM56" s="552">
        <f ca="1">IFERROR(__xludf.DUMMYFUNCTION("IMPORTRANGE(""https://docs.google.com/spreadsheets/d/1SX6NBoVAgQJ6U1MVXOaj8PK2l7WJ3RER9xtqwdhxkhw/edit?usp=sharing"",""จันทบุรี!J385"")"),0)</f>
        <v>0</v>
      </c>
      <c r="AN56" s="552">
        <f ca="1">IFERROR(__xludf.DUMMYFUNCTION("IMPORTRANGE(""https://docs.google.com/spreadsheets/d/1SX6NBoVAgQJ6U1MVXOaj8PK2l7WJ3RER9xtqwdhxkhw/edit?usp=sharing"",""จันทบุรี!J386"")"),0)</f>
        <v>0</v>
      </c>
      <c r="AO56" s="552">
        <f ca="1">IFERROR(__xludf.DUMMYFUNCTION("IMPORTRANGE(""https://docs.google.com/spreadsheets/d/1SX6NBoVAgQJ6U1MVXOaj8PK2l7WJ3RER9xtqwdhxkhw/edit?usp=sharing"",""จันทบุรี!J387"")"),0)</f>
        <v>0</v>
      </c>
      <c r="AP56" s="552">
        <f ca="1">IFERROR(__xludf.DUMMYFUNCTION("IMPORTRANGE(""https://docs.google.com/spreadsheets/d/1SX6NBoVAgQJ6U1MVXOaj8PK2l7WJ3RER9xtqwdhxkhw/edit?usp=sharing"",""จันทบุรี!J388"")"),0)</f>
        <v>0</v>
      </c>
      <c r="AQ56" s="552">
        <f ca="1">IFERROR(__xludf.DUMMYFUNCTION("IMPORTRANGE(""https://docs.google.com/spreadsheets/d/1SX6NBoVAgQJ6U1MVXOaj8PK2l7WJ3RER9xtqwdhxkhw/edit?usp=sharing"",""จันทบุรี!J389"")"),0)</f>
        <v>0</v>
      </c>
      <c r="AR56" s="552">
        <f ca="1">IFERROR(__xludf.DUMMYFUNCTION("IMPORTRANGE(""https://docs.google.com/spreadsheets/d/1SX6NBoVAgQJ6U1MVXOaj8PK2l7WJ3RER9xtqwdhxkhw/edit?usp=sharing"",""จันทบุรี!J390"")"),0)</f>
        <v>0</v>
      </c>
      <c r="AS56" s="552">
        <f ca="1">IFERROR(__xludf.DUMMYFUNCTION("IMPORTRANGE(""https://docs.google.com/spreadsheets/d/1SX6NBoVAgQJ6U1MVXOaj8PK2l7WJ3RER9xtqwdhxkhw/edit?usp=sharing"",""จันทบุรี!J391"")"),0)</f>
        <v>0</v>
      </c>
      <c r="AT56" s="556">
        <f ca="1">IFERROR(__xludf.DUMMYFUNCTION("IMPORTRANGE(""https://docs.google.com/spreadsheets/d/1C3CXT74ZlgGe6_JY_1olB1XN4rF0dxEuIIF-xsYjHgg/edit?usp=sharing"",""งบกองทุน!CD60"")"),783)</f>
        <v>783</v>
      </c>
      <c r="AU56" s="556">
        <f ca="1">IFERROR(__xludf.DUMMYFUNCTION("IMPORTRANGE(""https://docs.google.com/spreadsheets/d/1C3CXT74ZlgGe6_JY_1olB1XN4rF0dxEuIIF-xsYjHgg/edit?usp=sharing"",""งบกองทุน!CC60"")"),73)</f>
        <v>73</v>
      </c>
      <c r="AV56" s="556">
        <f t="shared" ca="1" si="112"/>
        <v>290</v>
      </c>
      <c r="AW56" s="556">
        <f t="shared" ca="1" si="12"/>
        <v>37.037037037037038</v>
      </c>
      <c r="AX56" s="556">
        <f t="shared" ca="1" si="113"/>
        <v>34</v>
      </c>
      <c r="AY56" s="556">
        <f t="shared" ca="1" si="13"/>
        <v>46.575342465753423</v>
      </c>
      <c r="AZ56" s="552">
        <f ca="1">IFERROR(__xludf.DUMMYFUNCTION("IMPORTRANGE(""https://docs.google.com/spreadsheets/d/1SX6NBoVAgQJ6U1MVXOaj8PK2l7WJ3RER9xtqwdhxkhw/edit?usp=sharing"",""จันทบุรี!J397"")"),290)</f>
        <v>290</v>
      </c>
      <c r="BA56" s="552">
        <f ca="1">IFERROR(__xludf.DUMMYFUNCTION("IMPORTRANGE(""https://docs.google.com/spreadsheets/d/1SX6NBoVAgQJ6U1MVXOaj8PK2l7WJ3RER9xtqwdhxkhw/edit?usp=sharing"",""จันทบุรี!J398"")"),34)</f>
        <v>34</v>
      </c>
      <c r="BB56" s="552">
        <f ca="1">IFERROR(__xludf.DUMMYFUNCTION("IMPORTRANGE(""https://docs.google.com/spreadsheets/d/1SX6NBoVAgQJ6U1MVXOaj8PK2l7WJ3RER9xtqwdhxkhw/edit?usp=sharing"",""จันทบุรี!J399"")"),0)</f>
        <v>0</v>
      </c>
      <c r="BC56" s="552">
        <f ca="1">IFERROR(__xludf.DUMMYFUNCTION("IMPORTRANGE(""https://docs.google.com/spreadsheets/d/1SX6NBoVAgQJ6U1MVXOaj8PK2l7WJ3RER9xtqwdhxkhw/edit?usp=sharing"",""จันทบุรี!J400"")"),0)</f>
        <v>0</v>
      </c>
      <c r="BD56" s="552">
        <f ca="1">IFERROR(__xludf.DUMMYFUNCTION("IMPORTRANGE(""https://docs.google.com/spreadsheets/d/1SX6NBoVAgQJ6U1MVXOaj8PK2l7WJ3RER9xtqwdhxkhw/edit?usp=sharing"",""จันทบุรี!J401"")"),0)</f>
        <v>0</v>
      </c>
      <c r="BE56" s="552">
        <f ca="1">IFERROR(__xludf.DUMMYFUNCTION("IMPORTRANGE(""https://docs.google.com/spreadsheets/d/1SX6NBoVAgQJ6U1MVXOaj8PK2l7WJ3RER9xtqwdhxkhw/edit?usp=sharing"",""จันทบุรี!J402"")"),0)</f>
        <v>0</v>
      </c>
      <c r="BF56" s="552">
        <f ca="1">IFERROR(__xludf.DUMMYFUNCTION("IMPORTRANGE(""https://docs.google.com/spreadsheets/d/1SX6NBoVAgQJ6U1MVXOaj8PK2l7WJ3RER9xtqwdhxkhw/edit?usp=sharing"",""จันทบุรี!J405"")"),0)</f>
        <v>0</v>
      </c>
      <c r="BG56" s="552">
        <f ca="1">IFERROR(__xludf.DUMMYFUNCTION("IMPORTRANGE(""https://docs.google.com/spreadsheets/d/1SX6NBoVAgQJ6U1MVXOaj8PK2l7WJ3RER9xtqwdhxkhw/edit?usp=sharing"",""จันทบุรี!J406"")"),0)</f>
        <v>0</v>
      </c>
      <c r="BH56" s="552">
        <f ca="1">IFERROR(__xludf.DUMMYFUNCTION("IMPORTRANGE(""https://docs.google.com/spreadsheets/d/1SX6NBoVAgQJ6U1MVXOaj8PK2l7WJ3RER9xtqwdhxkhw/edit?usp=sharing"",""จันทบุรี!J407"")"),0)</f>
        <v>0</v>
      </c>
      <c r="BI56" s="552">
        <f ca="1">IFERROR(__xludf.DUMMYFUNCTION("IMPORTRANGE(""https://docs.google.com/spreadsheets/d/1SX6NBoVAgQJ6U1MVXOaj8PK2l7WJ3RER9xtqwdhxkhw/edit?usp=sharing"",""จันทบุรี!J408"")"),0)</f>
        <v>0</v>
      </c>
      <c r="BJ56" s="552">
        <f ca="1">IFERROR(__xludf.DUMMYFUNCTION("IMPORTRANGE(""https://docs.google.com/spreadsheets/d/1SX6NBoVAgQJ6U1MVXOaj8PK2l7WJ3RER9xtqwdhxkhw/edit?usp=sharing"",""จันทบุรี!J409"")"),0)</f>
        <v>0</v>
      </c>
      <c r="BK56" s="552">
        <f ca="1">IFERROR(__xludf.DUMMYFUNCTION("IMPORTRANGE(""https://docs.google.com/spreadsheets/d/1SX6NBoVAgQJ6U1MVXOaj8PK2l7WJ3RER9xtqwdhxkhw/edit?usp=sharing"",""จันทบุรี!J410"")"),0)</f>
        <v>0</v>
      </c>
      <c r="BL56" s="556">
        <f ca="1">IFERROR(__xludf.DUMMYFUNCTION("IMPORTRANGE(""https://docs.google.com/spreadsheets/d/1C3CXT74ZlgGe6_JY_1olB1XN4rF0dxEuIIF-xsYjHgg/edit?usp=sharing"",""งบกองทุน!CZ60"")"),0)</f>
        <v>0</v>
      </c>
      <c r="BM56" s="556">
        <f ca="1">IFERROR(__xludf.DUMMYFUNCTION("IMPORTRANGE(""https://docs.google.com/spreadsheets/d/1C3CXT74ZlgGe6_JY_1olB1XN4rF0dxEuIIF-xsYjHgg/edit?usp=sharing"",""งบกองทุน!CY60"")"),0)</f>
        <v>0</v>
      </c>
      <c r="BN56" s="556">
        <f t="shared" ca="1" si="114"/>
        <v>0</v>
      </c>
      <c r="BO56" s="557">
        <f t="shared" ca="1" si="15"/>
        <v>0</v>
      </c>
      <c r="BP56" s="556">
        <f t="shared" ca="1" si="115"/>
        <v>0</v>
      </c>
      <c r="BQ56" s="557">
        <f t="shared" ca="1" si="16"/>
        <v>0</v>
      </c>
      <c r="BR56" s="552">
        <f ca="1">IFERROR(__xludf.DUMMYFUNCTION("IMPORTRANGE(""https://docs.google.com/spreadsheets/d/1SX6NBoVAgQJ6U1MVXOaj8PK2l7WJ3RER9xtqwdhxkhw/edit?usp=sharing"",""จันทบุรี!J414"")"),0)</f>
        <v>0</v>
      </c>
      <c r="BS56" s="552">
        <f ca="1">IFERROR(__xludf.DUMMYFUNCTION("IMPORTRANGE(""https://docs.google.com/spreadsheets/d/1SX6NBoVAgQJ6U1MVXOaj8PK2l7WJ3RER9xtqwdhxkhw/edit?usp=sharing"",""จันทบุรี!J415"")"),0)</f>
        <v>0</v>
      </c>
      <c r="BT56" s="552">
        <f ca="1">IFERROR(__xludf.DUMMYFUNCTION("IMPORTRANGE(""https://docs.google.com/spreadsheets/d/1SX6NBoVAgQJ6U1MVXOaj8PK2l7WJ3RER9xtqwdhxkhw/edit?usp=sharing"",""จันทบุรี!J416"")"),0)</f>
        <v>0</v>
      </c>
      <c r="BU56" s="552">
        <f ca="1">IFERROR(__xludf.DUMMYFUNCTION("IMPORTRANGE(""https://docs.google.com/spreadsheets/d/1SX6NBoVAgQJ6U1MVXOaj8PK2l7WJ3RER9xtqwdhxkhw/edit?usp=sharing"",""จันทบุรี!J417"")"),0)</f>
        <v>0</v>
      </c>
      <c r="BV56" s="552">
        <f ca="1">IFERROR(__xludf.DUMMYFUNCTION("IMPORTRANGE(""https://docs.google.com/spreadsheets/d/1SX6NBoVAgQJ6U1MVXOaj8PK2l7WJ3RER9xtqwdhxkhw/edit?usp=sharing"",""จันทบุรี!J418"")"),0)</f>
        <v>0</v>
      </c>
      <c r="BW56" s="552">
        <f ca="1">IFERROR(__xludf.DUMMYFUNCTION("IMPORTRANGE(""https://docs.google.com/spreadsheets/d/1SX6NBoVAgQJ6U1MVXOaj8PK2l7WJ3RER9xtqwdhxkhw/edit?usp=sharing"",""จันทบุรี!J419"")"),0)</f>
        <v>0</v>
      </c>
      <c r="BX56" s="556">
        <f t="shared" ca="1" si="116"/>
        <v>0</v>
      </c>
      <c r="BY56" s="557">
        <f t="shared" ca="1" si="117"/>
        <v>0</v>
      </c>
      <c r="BZ56" s="556">
        <f t="shared" ca="1" si="118"/>
        <v>0</v>
      </c>
      <c r="CA56" s="557">
        <f t="shared" ca="1" si="119"/>
        <v>0</v>
      </c>
      <c r="CB56" s="552">
        <f ca="1">IFERROR(__xludf.DUMMYFUNCTION("IMPORTRANGE(""https://docs.google.com/spreadsheets/d/1SX6NBoVAgQJ6U1MVXOaj8PK2l7WJ3RER9xtqwdhxkhw/edit?usp=sharing"",""จันทบุรี!J422"")"),0)</f>
        <v>0</v>
      </c>
      <c r="CC56" s="552">
        <f ca="1">IFERROR(__xludf.DUMMYFUNCTION("IMPORTRANGE(""https://docs.google.com/spreadsheets/d/1SX6NBoVAgQJ6U1MVXOaj8PK2l7WJ3RER9xtqwdhxkhw/edit?usp=sharing"",""จันทบุรี!J423"")"),0)</f>
        <v>0</v>
      </c>
      <c r="CD56" s="552">
        <f ca="1">IFERROR(__xludf.DUMMYFUNCTION("IMPORTRANGE(""https://docs.google.com/spreadsheets/d/1SX6NBoVAgQJ6U1MVXOaj8PK2l7WJ3RER9xtqwdhxkhw/edit?usp=sharing"",""จันทบุรี!J424"")"),0)</f>
        <v>0</v>
      </c>
      <c r="CE56" s="552">
        <f ca="1">IFERROR(__xludf.DUMMYFUNCTION("IMPORTRANGE(""https://docs.google.com/spreadsheets/d/1SX6NBoVAgQJ6U1MVXOaj8PK2l7WJ3RER9xtqwdhxkhw/edit?usp=sharing"",""จันทบุรี!J425"")"),0)</f>
        <v>0</v>
      </c>
      <c r="CF56" s="552">
        <f ca="1">IFERROR(__xludf.DUMMYFUNCTION("IMPORTRANGE(""https://docs.google.com/spreadsheets/d/1SX6NBoVAgQJ6U1MVXOaj8PK2l7WJ3RER9xtqwdhxkhw/edit?usp=sharing"",""จันทบุรี!J426"")"),0)</f>
        <v>0</v>
      </c>
      <c r="CG56" s="558">
        <f ca="1">IFERROR(__xludf.DUMMYFUNCTION("IMPORTRANGE(""https://docs.google.com/spreadsheets/d/1SX6NBoVAgQJ6U1MVXOaj8PK2l7WJ3RER9xtqwdhxkhw/edit?usp=sharing"",""จันทบุรี!J427"")"),0)</f>
        <v>0</v>
      </c>
    </row>
    <row r="57" spans="1:85" ht="21" customHeight="1">
      <c r="A57" s="549">
        <v>3</v>
      </c>
      <c r="B57" s="550" t="s">
        <v>81</v>
      </c>
      <c r="C57" s="551">
        <f t="shared" ca="1" si="105"/>
        <v>369379</v>
      </c>
      <c r="D57" s="552">
        <f ca="1">IFERROR(__xludf.DUMMYFUNCTION("IMPORTRANGE(""https://docs.google.com/spreadsheets/d/1C3CXT74ZlgGe6_JY_1olB1XN4rF0dxEuIIF-xsYjHgg/edit?usp=sharing"",""งบกองทุน!BC61"")"),0)</f>
        <v>0</v>
      </c>
      <c r="E57" s="553">
        <f ca="1">IFERROR(__xludf.DUMMYFUNCTION("IMPORTRANGE(""https://docs.google.com/spreadsheets/d/1C3CXT74ZlgGe6_JY_1olB1XN4rF0dxEuIIF-xsYjHgg/edit?usp=sharing"",""งบกองทุน!BD61"")"),369379)</f>
        <v>369379</v>
      </c>
      <c r="F57" s="554">
        <f ca="1">IFERROR(__xludf.DUMMYFUNCTION("IMPORTRANGE(""https://docs.google.com/spreadsheets/d/1SX6NBoVAgQJ6U1MVXOaj8PK2l7WJ3RER9xtqwdhxkhw/edit?usp=sharing"",""ฉะเชิงเทรา!M352"")"),101481)</f>
        <v>101481</v>
      </c>
      <c r="G57" s="554">
        <f t="shared" ca="1" si="1"/>
        <v>27.473408071384675</v>
      </c>
      <c r="H57" s="555">
        <f ca="1">IFERROR(__xludf.DUMMYFUNCTION("IMPORTRANGE(""https://docs.google.com/spreadsheets/d/1C3CXT74ZlgGe6_JY_1olB1XN4rF0dxEuIIF-xsYjHgg/edit?usp=sharing"",""งบกองทุน!BE61"")"),24902)</f>
        <v>24902</v>
      </c>
      <c r="I57" s="555">
        <f ca="1">IFERROR(__xludf.DUMMYFUNCTION("IMPORTRANGE(""https://docs.google.com/spreadsheets/d/1C3CXT74ZlgGe6_JY_1olB1XN4rF0dxEuIIF-xsYjHgg/edit?usp=sharing"",""งบกองทุน!BF61"")"),2367)</f>
        <v>2367</v>
      </c>
      <c r="J57" s="552">
        <f t="shared" ca="1" si="106"/>
        <v>24888.515500000001</v>
      </c>
      <c r="K57" s="554">
        <f t="shared" ca="1" si="3"/>
        <v>99.945849730945312</v>
      </c>
      <c r="L57" s="552">
        <f t="shared" ca="1" si="107"/>
        <v>2366</v>
      </c>
      <c r="M57" s="554">
        <f t="shared" ca="1" si="4"/>
        <v>99.957752429235313</v>
      </c>
      <c r="N57" s="552">
        <f ca="1">IFERROR(__xludf.DUMMYFUNCTION("IMPORTRANGE(""https://docs.google.com/spreadsheets/d/1SX6NBoVAgQJ6U1MVXOaj8PK2l7WJ3RER9xtqwdhxkhw/edit?usp=sharing"",""ฉะเชิงเทรา!J362"")"),19699.075)</f>
        <v>19699.075000000001</v>
      </c>
      <c r="O57" s="552">
        <f ca="1">IFERROR(__xludf.DUMMYFUNCTION("IMPORTRANGE(""https://docs.google.com/spreadsheets/d/1SX6NBoVAgQJ6U1MVXOaj8PK2l7WJ3RER9xtqwdhxkhw/edit?usp=sharing"",""ฉะเชิงเทรา!J363"")"),1818)</f>
        <v>1818</v>
      </c>
      <c r="P57" s="552">
        <f ca="1">IFERROR(__xludf.DUMMYFUNCTION("IMPORTRANGE(""https://docs.google.com/spreadsheets/d/1SX6NBoVAgQJ6U1MVXOaj8PK2l7WJ3RER9xtqwdhxkhw/edit?usp=sharing"",""ฉะเชิงเทรา!J364"")"),2329.423)</f>
        <v>2329.4229999999998</v>
      </c>
      <c r="Q57" s="552">
        <f ca="1">IFERROR(__xludf.DUMMYFUNCTION("IMPORTRANGE(""https://docs.google.com/spreadsheets/d/1SX6NBoVAgQJ6U1MVXOaj8PK2l7WJ3RER9xtqwdhxkhw/edit?usp=sharing"",""ฉะเชิงเทรา!J365"")"),319)</f>
        <v>319</v>
      </c>
      <c r="R57" s="552">
        <f ca="1">IFERROR(__xludf.DUMMYFUNCTION("IMPORTRANGE(""https://docs.google.com/spreadsheets/d/1SX6NBoVAgQJ6U1MVXOaj8PK2l7WJ3RER9xtqwdhxkhw/edit?usp=sharing"",""ฉะเชิงเทรา!J366"")"),2860.0175)</f>
        <v>2860.0174999999999</v>
      </c>
      <c r="S57" s="552">
        <f ca="1">IFERROR(__xludf.DUMMYFUNCTION("IMPORTRANGE(""https://docs.google.com/spreadsheets/d/1SX6NBoVAgQJ6U1MVXOaj8PK2l7WJ3RER9xtqwdhxkhw/edit?usp=sharing"",""ฉะเชิงเทรา!J367"")"),229)</f>
        <v>229</v>
      </c>
      <c r="T57" s="552">
        <f t="shared" ca="1" si="108"/>
        <v>24888.504999999997</v>
      </c>
      <c r="U57" s="552">
        <f t="shared" ca="1" si="6"/>
        <v>99.945807565657361</v>
      </c>
      <c r="V57" s="552">
        <f t="shared" ca="1" si="109"/>
        <v>2366</v>
      </c>
      <c r="W57" s="552">
        <f t="shared" ca="1" si="7"/>
        <v>99.957752429235313</v>
      </c>
      <c r="X57" s="552">
        <f ca="1">IFERROR(__xludf.DUMMYFUNCTION("IMPORTRANGE(""https://docs.google.com/spreadsheets/d/1SX6NBoVAgQJ6U1MVXOaj8PK2l7WJ3RER9xtqwdhxkhw/edit?usp=sharing"",""ฉะเชิงเทรา!J370"")"),19769.5025)</f>
        <v>19769.502499999999</v>
      </c>
      <c r="Y57" s="552">
        <f ca="1">IFERROR(__xludf.DUMMYFUNCTION("IMPORTRANGE(""https://docs.google.com/spreadsheets/d/1SX6NBoVAgQJ6U1MVXOaj8PK2l7WJ3RER9xtqwdhxkhw/edit?usp=sharing"",""ฉะเชิงเทรา!J371"")"),1841)</f>
        <v>1841</v>
      </c>
      <c r="Z57" s="552">
        <f ca="1">IFERROR(__xludf.DUMMYFUNCTION("IMPORTRANGE(""https://docs.google.com/spreadsheets/d/1SX6NBoVAgQJ6U1MVXOaj8PK2l7WJ3RER9xtqwdhxkhw/edit?usp=sharing"",""ฉะเชิงเทรา!J372"")"),2211.09)</f>
        <v>2211.09</v>
      </c>
      <c r="AA57" s="552">
        <f ca="1">IFERROR(__xludf.DUMMYFUNCTION("IMPORTRANGE(""https://docs.google.com/spreadsheets/d/1SX6NBoVAgQJ6U1MVXOaj8PK2l7WJ3RER9xtqwdhxkhw/edit?usp=sharing"",""ฉะเชิงเทรา!J373"")"),294)</f>
        <v>294</v>
      </c>
      <c r="AB57" s="552">
        <f ca="1">IFERROR(__xludf.DUMMYFUNCTION("IMPORTRANGE(""https://docs.google.com/spreadsheets/d/1SX6NBoVAgQJ6U1MVXOaj8PK2l7WJ3RER9xtqwdhxkhw/edit?usp=sharing"",""ฉะเชิงเทรา!J374"")"),2907.9125)</f>
        <v>2907.9124999999999</v>
      </c>
      <c r="AC57" s="552">
        <f ca="1">IFERROR(__xludf.DUMMYFUNCTION("IMPORTRANGE(""https://docs.google.com/spreadsheets/d/1SX6NBoVAgQJ6U1MVXOaj8PK2l7WJ3RER9xtqwdhxkhw/edit?usp=sharing"",""ฉะเชิงเทรา!J375"")"),231)</f>
        <v>231</v>
      </c>
      <c r="AD57" s="552">
        <f t="shared" ca="1" si="110"/>
        <v>0</v>
      </c>
      <c r="AE57" s="554">
        <f t="shared" ca="1" si="9"/>
        <v>0</v>
      </c>
      <c r="AF57" s="552">
        <f t="shared" ca="1" si="111"/>
        <v>0</v>
      </c>
      <c r="AG57" s="554">
        <f t="shared" ca="1" si="10"/>
        <v>0</v>
      </c>
      <c r="AH57" s="552">
        <f ca="1">IFERROR(__xludf.DUMMYFUNCTION("IMPORTRANGE(""https://docs.google.com/spreadsheets/d/1SX6NBoVAgQJ6U1MVXOaj8PK2l7WJ3RER9xtqwdhxkhw/edit?usp=sharing"",""ฉะเชิงเทรา!J378"")"),0)</f>
        <v>0</v>
      </c>
      <c r="AI57" s="552">
        <f ca="1">IFERROR(__xludf.DUMMYFUNCTION("IMPORTRANGE(""https://docs.google.com/spreadsheets/d/1SX6NBoVAgQJ6U1MVXOaj8PK2l7WJ3RER9xtqwdhxkhw/edit?usp=sharing"",""ฉะเชิงเทรา!J379"")"),0)</f>
        <v>0</v>
      </c>
      <c r="AJ57" s="552">
        <f ca="1">IFERROR(__xludf.DUMMYFUNCTION("IMPORTRANGE(""https://docs.google.com/spreadsheets/d/1SX6NBoVAgQJ6U1MVXOaj8PK2l7WJ3RER9xtqwdhxkhw/edit?usp=sharing"",""ฉะเชิงเทรา!J380"")"),0)</f>
        <v>0</v>
      </c>
      <c r="AK57" s="552">
        <f ca="1">IFERROR(__xludf.DUMMYFUNCTION("IMPORTRANGE(""https://docs.google.com/spreadsheets/d/1SX6NBoVAgQJ6U1MVXOaj8PK2l7WJ3RER9xtqwdhxkhw/edit?usp=sharing"",""ฉะเชิงเทรา!J381"")"),0)</f>
        <v>0</v>
      </c>
      <c r="AL57" s="552">
        <f ca="1">IFERROR(__xludf.DUMMYFUNCTION("IMPORTRANGE(""https://docs.google.com/spreadsheets/d/1SX6NBoVAgQJ6U1MVXOaj8PK2l7WJ3RER9xtqwdhxkhw/edit?usp=sharing"",""ฉะเชิงเทรา!J384"")"),0)</f>
        <v>0</v>
      </c>
      <c r="AM57" s="552">
        <f ca="1">IFERROR(__xludf.DUMMYFUNCTION("IMPORTRANGE(""https://docs.google.com/spreadsheets/d/1SX6NBoVAgQJ6U1MVXOaj8PK2l7WJ3RER9xtqwdhxkhw/edit?usp=sharing"",""ฉะเชิงเทรา!J385"")"),0)</f>
        <v>0</v>
      </c>
      <c r="AN57" s="552">
        <f ca="1">IFERROR(__xludf.DUMMYFUNCTION("IMPORTRANGE(""https://docs.google.com/spreadsheets/d/1SX6NBoVAgQJ6U1MVXOaj8PK2l7WJ3RER9xtqwdhxkhw/edit?usp=sharing"",""ฉะเชิงเทรา!J386"")"),0)</f>
        <v>0</v>
      </c>
      <c r="AO57" s="552">
        <f ca="1">IFERROR(__xludf.DUMMYFUNCTION("IMPORTRANGE(""https://docs.google.com/spreadsheets/d/1SX6NBoVAgQJ6U1MVXOaj8PK2l7WJ3RER9xtqwdhxkhw/edit?usp=sharing"",""ฉะเชิงเทรา!J387"")"),0)</f>
        <v>0</v>
      </c>
      <c r="AP57" s="552">
        <f ca="1">IFERROR(__xludf.DUMMYFUNCTION("IMPORTRANGE(""https://docs.google.com/spreadsheets/d/1SX6NBoVAgQJ6U1MVXOaj8PK2l7WJ3RER9xtqwdhxkhw/edit?usp=sharing"",""ฉะเชิงเทรา!J388"")"),0)</f>
        <v>0</v>
      </c>
      <c r="AQ57" s="552">
        <f ca="1">IFERROR(__xludf.DUMMYFUNCTION("IMPORTRANGE(""https://docs.google.com/spreadsheets/d/1SX6NBoVAgQJ6U1MVXOaj8PK2l7WJ3RER9xtqwdhxkhw/edit?usp=sharing"",""ฉะเชิงเทรา!J389"")"),0)</f>
        <v>0</v>
      </c>
      <c r="AR57" s="552">
        <f ca="1">IFERROR(__xludf.DUMMYFUNCTION("IMPORTRANGE(""https://docs.google.com/spreadsheets/d/1SX6NBoVAgQJ6U1MVXOaj8PK2l7WJ3RER9xtqwdhxkhw/edit?usp=sharing"",""ฉะเชิงเทรา!J390"")"),0)</f>
        <v>0</v>
      </c>
      <c r="AS57" s="552">
        <f ca="1">IFERROR(__xludf.DUMMYFUNCTION("IMPORTRANGE(""https://docs.google.com/spreadsheets/d/1SX6NBoVAgQJ6U1MVXOaj8PK2l7WJ3RER9xtqwdhxkhw/edit?usp=sharing"",""ฉะเชิงเทรา!J391"")"),0)</f>
        <v>0</v>
      </c>
      <c r="AT57" s="556">
        <f ca="1">IFERROR(__xludf.DUMMYFUNCTION("IMPORTRANGE(""https://docs.google.com/spreadsheets/d/1C3CXT74ZlgGe6_JY_1olB1XN4rF0dxEuIIF-xsYjHgg/edit?usp=sharing"",""งบกองทุน!CD61"")"),1801)</f>
        <v>1801</v>
      </c>
      <c r="AU57" s="556">
        <f ca="1">IFERROR(__xludf.DUMMYFUNCTION("IMPORTRANGE(""https://docs.google.com/spreadsheets/d/1C3CXT74ZlgGe6_JY_1olB1XN4rF0dxEuIIF-xsYjHgg/edit?usp=sharing"",""งบกองทุน!CC61"")"),160)</f>
        <v>160</v>
      </c>
      <c r="AV57" s="556">
        <f t="shared" ca="1" si="112"/>
        <v>453</v>
      </c>
      <c r="AW57" s="556">
        <f t="shared" ca="1" si="12"/>
        <v>25.15269294836202</v>
      </c>
      <c r="AX57" s="556">
        <f t="shared" ca="1" si="113"/>
        <v>50</v>
      </c>
      <c r="AY57" s="556">
        <f t="shared" ca="1" si="13"/>
        <v>31.25</v>
      </c>
      <c r="AZ57" s="552">
        <f ca="1">IFERROR(__xludf.DUMMYFUNCTION("IMPORTRANGE(""https://docs.google.com/spreadsheets/d/1SX6NBoVAgQJ6U1MVXOaj8PK2l7WJ3RER9xtqwdhxkhw/edit?usp=sharing"",""ฉะเชิงเทรา!J397"")"),453)</f>
        <v>453</v>
      </c>
      <c r="BA57" s="552">
        <f ca="1">IFERROR(__xludf.DUMMYFUNCTION("IMPORTRANGE(""https://docs.google.com/spreadsheets/d/1SX6NBoVAgQJ6U1MVXOaj8PK2l7WJ3RER9xtqwdhxkhw/edit?usp=sharing"",""ฉะเชิงเทรา!J398"")"),50)</f>
        <v>50</v>
      </c>
      <c r="BB57" s="552">
        <f ca="1">IFERROR(__xludf.DUMMYFUNCTION("IMPORTRANGE(""https://docs.google.com/spreadsheets/d/1SX6NBoVAgQJ6U1MVXOaj8PK2l7WJ3RER9xtqwdhxkhw/edit?usp=sharing"",""ฉะเชิงเทรา!J399"")"),0)</f>
        <v>0</v>
      </c>
      <c r="BC57" s="552">
        <f ca="1">IFERROR(__xludf.DUMMYFUNCTION("IMPORTRANGE(""https://docs.google.com/spreadsheets/d/1SX6NBoVAgQJ6U1MVXOaj8PK2l7WJ3RER9xtqwdhxkhw/edit?usp=sharing"",""ฉะเชิงเทรา!J400"")"),0)</f>
        <v>0</v>
      </c>
      <c r="BD57" s="552">
        <f ca="1">IFERROR(__xludf.DUMMYFUNCTION("IMPORTRANGE(""https://docs.google.com/spreadsheets/d/1SX6NBoVAgQJ6U1MVXOaj8PK2l7WJ3RER9xtqwdhxkhw/edit?usp=sharing"",""ฉะเชิงเทรา!J401"")"),0)</f>
        <v>0</v>
      </c>
      <c r="BE57" s="552">
        <f ca="1">IFERROR(__xludf.DUMMYFUNCTION("IMPORTRANGE(""https://docs.google.com/spreadsheets/d/1SX6NBoVAgQJ6U1MVXOaj8PK2l7WJ3RER9xtqwdhxkhw/edit?usp=sharing"",""ฉะเชิงเทรา!J402"")"),0)</f>
        <v>0</v>
      </c>
      <c r="BF57" s="552">
        <f ca="1">IFERROR(__xludf.DUMMYFUNCTION("IMPORTRANGE(""https://docs.google.com/spreadsheets/d/1SX6NBoVAgQJ6U1MVXOaj8PK2l7WJ3RER9xtqwdhxkhw/edit?usp=sharing"",""ฉะเชิงเทรา!J405"")"),0)</f>
        <v>0</v>
      </c>
      <c r="BG57" s="552">
        <f ca="1">IFERROR(__xludf.DUMMYFUNCTION("IMPORTRANGE(""https://docs.google.com/spreadsheets/d/1SX6NBoVAgQJ6U1MVXOaj8PK2l7WJ3RER9xtqwdhxkhw/edit?usp=sharing"",""ฉะเชิงเทรา!J406"")"),0)</f>
        <v>0</v>
      </c>
      <c r="BH57" s="552">
        <f ca="1">IFERROR(__xludf.DUMMYFUNCTION("IMPORTRANGE(""https://docs.google.com/spreadsheets/d/1SX6NBoVAgQJ6U1MVXOaj8PK2l7WJ3RER9xtqwdhxkhw/edit?usp=sharing"",""ฉะเชิงเทรา!J407"")"),0)</f>
        <v>0</v>
      </c>
      <c r="BI57" s="552">
        <f ca="1">IFERROR(__xludf.DUMMYFUNCTION("IMPORTRANGE(""https://docs.google.com/spreadsheets/d/1SX6NBoVAgQJ6U1MVXOaj8PK2l7WJ3RER9xtqwdhxkhw/edit?usp=sharing"",""ฉะเชิงเทรา!J408"")"),0)</f>
        <v>0</v>
      </c>
      <c r="BJ57" s="552">
        <f ca="1">IFERROR(__xludf.DUMMYFUNCTION("IMPORTRANGE(""https://docs.google.com/spreadsheets/d/1SX6NBoVAgQJ6U1MVXOaj8PK2l7WJ3RER9xtqwdhxkhw/edit?usp=sharing"",""ฉะเชิงเทรา!J409"")"),0)</f>
        <v>0</v>
      </c>
      <c r="BK57" s="552">
        <f ca="1">IFERROR(__xludf.DUMMYFUNCTION("IMPORTRANGE(""https://docs.google.com/spreadsheets/d/1SX6NBoVAgQJ6U1MVXOaj8PK2l7WJ3RER9xtqwdhxkhw/edit?usp=sharing"",""ฉะเชิงเทรา!J410"")"),0)</f>
        <v>0</v>
      </c>
      <c r="BL57" s="556">
        <f ca="1">IFERROR(__xludf.DUMMYFUNCTION("IMPORTRANGE(""https://docs.google.com/spreadsheets/d/1C3CXT74ZlgGe6_JY_1olB1XN4rF0dxEuIIF-xsYjHgg/edit?usp=sharing"",""งบกองทุน!CZ61"")"),0)</f>
        <v>0</v>
      </c>
      <c r="BM57" s="556">
        <f ca="1">IFERROR(__xludf.DUMMYFUNCTION("IMPORTRANGE(""https://docs.google.com/spreadsheets/d/1C3CXT74ZlgGe6_JY_1olB1XN4rF0dxEuIIF-xsYjHgg/edit?usp=sharing"",""งบกองทุน!CY61"")"),0)</f>
        <v>0</v>
      </c>
      <c r="BN57" s="556">
        <f t="shared" ca="1" si="114"/>
        <v>0</v>
      </c>
      <c r="BO57" s="557">
        <f t="shared" ca="1" si="15"/>
        <v>0</v>
      </c>
      <c r="BP57" s="556">
        <f t="shared" ca="1" si="115"/>
        <v>0</v>
      </c>
      <c r="BQ57" s="557">
        <f t="shared" ca="1" si="16"/>
        <v>0</v>
      </c>
      <c r="BR57" s="552">
        <f ca="1">IFERROR(__xludf.DUMMYFUNCTION("IMPORTRANGE(""https://docs.google.com/spreadsheets/d/1SX6NBoVAgQJ6U1MVXOaj8PK2l7WJ3RER9xtqwdhxkhw/edit?usp=sharing"",""ฉะเชิงเทรา!J414"")"),0)</f>
        <v>0</v>
      </c>
      <c r="BS57" s="552">
        <f ca="1">IFERROR(__xludf.DUMMYFUNCTION("IMPORTRANGE(""https://docs.google.com/spreadsheets/d/1SX6NBoVAgQJ6U1MVXOaj8PK2l7WJ3RER9xtqwdhxkhw/edit?usp=sharing"",""ฉะเชิงเทรา!J415"")"),0)</f>
        <v>0</v>
      </c>
      <c r="BT57" s="552">
        <f ca="1">IFERROR(__xludf.DUMMYFUNCTION("IMPORTRANGE(""https://docs.google.com/spreadsheets/d/1SX6NBoVAgQJ6U1MVXOaj8PK2l7WJ3RER9xtqwdhxkhw/edit?usp=sharing"",""ฉะเชิงเทรา!J416"")"),0)</f>
        <v>0</v>
      </c>
      <c r="BU57" s="552">
        <f ca="1">IFERROR(__xludf.DUMMYFUNCTION("IMPORTRANGE(""https://docs.google.com/spreadsheets/d/1SX6NBoVAgQJ6U1MVXOaj8PK2l7WJ3RER9xtqwdhxkhw/edit?usp=sharing"",""ฉะเชิงเทรา!J417"")"),0)</f>
        <v>0</v>
      </c>
      <c r="BV57" s="552">
        <f ca="1">IFERROR(__xludf.DUMMYFUNCTION("IMPORTRANGE(""https://docs.google.com/spreadsheets/d/1SX6NBoVAgQJ6U1MVXOaj8PK2l7WJ3RER9xtqwdhxkhw/edit?usp=sharing"",""ฉะเชิงเทรา!J418"")"),0)</f>
        <v>0</v>
      </c>
      <c r="BW57" s="552">
        <f ca="1">IFERROR(__xludf.DUMMYFUNCTION("IMPORTRANGE(""https://docs.google.com/spreadsheets/d/1SX6NBoVAgQJ6U1MVXOaj8PK2l7WJ3RER9xtqwdhxkhw/edit?usp=sharing"",""ฉะเชิงเทรา!J419"")"),0)</f>
        <v>0</v>
      </c>
      <c r="BX57" s="556">
        <f t="shared" ca="1" si="116"/>
        <v>0</v>
      </c>
      <c r="BY57" s="557">
        <f t="shared" ca="1" si="117"/>
        <v>0</v>
      </c>
      <c r="BZ57" s="556">
        <f t="shared" ca="1" si="118"/>
        <v>0</v>
      </c>
      <c r="CA57" s="557">
        <f t="shared" ca="1" si="119"/>
        <v>0</v>
      </c>
      <c r="CB57" s="552">
        <f ca="1">IFERROR(__xludf.DUMMYFUNCTION("IMPORTRANGE(""https://docs.google.com/spreadsheets/d/1SX6NBoVAgQJ6U1MVXOaj8PK2l7WJ3RER9xtqwdhxkhw/edit?usp=sharing"",""ฉะเชิงเทรา!J422"")"),0)</f>
        <v>0</v>
      </c>
      <c r="CC57" s="552">
        <f ca="1">IFERROR(__xludf.DUMMYFUNCTION("IMPORTRANGE(""https://docs.google.com/spreadsheets/d/1SX6NBoVAgQJ6U1MVXOaj8PK2l7WJ3RER9xtqwdhxkhw/edit?usp=sharing"",""ฉะเชิงเทรา!J423"")"),0)</f>
        <v>0</v>
      </c>
      <c r="CD57" s="552">
        <f ca="1">IFERROR(__xludf.DUMMYFUNCTION("IMPORTRANGE(""https://docs.google.com/spreadsheets/d/1SX6NBoVAgQJ6U1MVXOaj8PK2l7WJ3RER9xtqwdhxkhw/edit?usp=sharing"",""ฉะเชิงเทรา!J424"")"),0)</f>
        <v>0</v>
      </c>
      <c r="CE57" s="552">
        <f ca="1">IFERROR(__xludf.DUMMYFUNCTION("IMPORTRANGE(""https://docs.google.com/spreadsheets/d/1SX6NBoVAgQJ6U1MVXOaj8PK2l7WJ3RER9xtqwdhxkhw/edit?usp=sharing"",""ฉะเชิงเทรา!J425"")"),0)</f>
        <v>0</v>
      </c>
      <c r="CF57" s="552">
        <f ca="1">IFERROR(__xludf.DUMMYFUNCTION("IMPORTRANGE(""https://docs.google.com/spreadsheets/d/1SX6NBoVAgQJ6U1MVXOaj8PK2l7WJ3RER9xtqwdhxkhw/edit?usp=sharing"",""ฉะเชิงเทรา!J426"")"),0)</f>
        <v>0</v>
      </c>
      <c r="CG57" s="558">
        <f ca="1">IFERROR(__xludf.DUMMYFUNCTION("IMPORTRANGE(""https://docs.google.com/spreadsheets/d/1SX6NBoVAgQJ6U1MVXOaj8PK2l7WJ3RER9xtqwdhxkhw/edit?usp=sharing"",""ฉะเชิงเทรา!J427"")"),0)</f>
        <v>0</v>
      </c>
    </row>
    <row r="58" spans="1:85" ht="21" customHeight="1">
      <c r="A58" s="549">
        <v>4</v>
      </c>
      <c r="B58" s="550" t="s">
        <v>82</v>
      </c>
      <c r="C58" s="551">
        <f t="shared" ca="1" si="105"/>
        <v>577044</v>
      </c>
      <c r="D58" s="552">
        <f ca="1">IFERROR(__xludf.DUMMYFUNCTION("IMPORTRANGE(""https://docs.google.com/spreadsheets/d/1C3CXT74ZlgGe6_JY_1olB1XN4rF0dxEuIIF-xsYjHgg/edit?usp=sharing"",""งบกองทุน!BC62"")"),0)</f>
        <v>0</v>
      </c>
      <c r="E58" s="553">
        <f ca="1">IFERROR(__xludf.DUMMYFUNCTION("IMPORTRANGE(""https://docs.google.com/spreadsheets/d/1C3CXT74ZlgGe6_JY_1olB1XN4rF0dxEuIIF-xsYjHgg/edit?usp=sharing"",""งบกองทุน!BD62"")"),577044)</f>
        <v>577044</v>
      </c>
      <c r="F58" s="554">
        <f ca="1">IFERROR(__xludf.DUMMYFUNCTION("IMPORTRANGE(""https://docs.google.com/spreadsheets/d/1SX6NBoVAgQJ6U1MVXOaj8PK2l7WJ3RER9xtqwdhxkhw/edit?usp=sharing"",""ชลบุรี!M352"")"),58428)</f>
        <v>58428</v>
      </c>
      <c r="G58" s="554">
        <f t="shared" ca="1" si="1"/>
        <v>10.125397716638593</v>
      </c>
      <c r="H58" s="555">
        <f ca="1">IFERROR(__xludf.DUMMYFUNCTION("IMPORTRANGE(""https://docs.google.com/spreadsheets/d/1C3CXT74ZlgGe6_JY_1olB1XN4rF0dxEuIIF-xsYjHgg/edit?usp=sharing"",""งบกองทุน!BE62"")"),71038)</f>
        <v>71038</v>
      </c>
      <c r="I58" s="555">
        <f ca="1">IFERROR(__xludf.DUMMYFUNCTION("IMPORTRANGE(""https://docs.google.com/spreadsheets/d/1C3CXT74ZlgGe6_JY_1olB1XN4rF0dxEuIIF-xsYjHgg/edit?usp=sharing"",""งบกองทุน!BF62"")"),5288)</f>
        <v>5288</v>
      </c>
      <c r="J58" s="552">
        <f t="shared" ca="1" si="106"/>
        <v>60803</v>
      </c>
      <c r="K58" s="554">
        <f t="shared" ca="1" si="3"/>
        <v>85.592218249387656</v>
      </c>
      <c r="L58" s="552">
        <f t="shared" ca="1" si="107"/>
        <v>4627</v>
      </c>
      <c r="M58" s="554">
        <f t="shared" ca="1" si="4"/>
        <v>87.5</v>
      </c>
      <c r="N58" s="552">
        <f ca="1">IFERROR(__xludf.DUMMYFUNCTION("IMPORTRANGE(""https://docs.google.com/spreadsheets/d/1SX6NBoVAgQJ6U1MVXOaj8PK2l7WJ3RER9xtqwdhxkhw/edit?usp=sharing"",""ชลบุรี!J362"")"),53723)</f>
        <v>53723</v>
      </c>
      <c r="O58" s="552">
        <f ca="1">IFERROR(__xludf.DUMMYFUNCTION("IMPORTRANGE(""https://docs.google.com/spreadsheets/d/1SX6NBoVAgQJ6U1MVXOaj8PK2l7WJ3RER9xtqwdhxkhw/edit?usp=sharing"",""ชลบุรี!J363"")"),4151)</f>
        <v>4151</v>
      </c>
      <c r="P58" s="552">
        <f ca="1">IFERROR(__xludf.DUMMYFUNCTION("IMPORTRANGE(""https://docs.google.com/spreadsheets/d/1SX6NBoVAgQJ6U1MVXOaj8PK2l7WJ3RER9xtqwdhxkhw/edit?usp=sharing"",""ชลบุรี!J364"")"),6502)</f>
        <v>6502</v>
      </c>
      <c r="Q58" s="552">
        <f ca="1">IFERROR(__xludf.DUMMYFUNCTION("IMPORTRANGE(""https://docs.google.com/spreadsheets/d/1SX6NBoVAgQJ6U1MVXOaj8PK2l7WJ3RER9xtqwdhxkhw/edit?usp=sharing"",""ชลบุรี!J365"")"),425)</f>
        <v>425</v>
      </c>
      <c r="R58" s="552">
        <f ca="1">IFERROR(__xludf.DUMMYFUNCTION("IMPORTRANGE(""https://docs.google.com/spreadsheets/d/1SX6NBoVAgQJ6U1MVXOaj8PK2l7WJ3RER9xtqwdhxkhw/edit?usp=sharing"",""ชลบุรี!J366"")"),578)</f>
        <v>578</v>
      </c>
      <c r="S58" s="552">
        <f ca="1">IFERROR(__xludf.DUMMYFUNCTION("IMPORTRANGE(""https://docs.google.com/spreadsheets/d/1SX6NBoVAgQJ6U1MVXOaj8PK2l7WJ3RER9xtqwdhxkhw/edit?usp=sharing"",""ชลบุรี!J367"")"),51)</f>
        <v>51</v>
      </c>
      <c r="T58" s="552">
        <f t="shared" ca="1" si="108"/>
        <v>71037.45</v>
      </c>
      <c r="U58" s="552">
        <f t="shared" ca="1" si="6"/>
        <v>99.999225766491179</v>
      </c>
      <c r="V58" s="552">
        <f t="shared" ca="1" si="109"/>
        <v>5288</v>
      </c>
      <c r="W58" s="552">
        <f t="shared" ca="1" si="7"/>
        <v>100</v>
      </c>
      <c r="X58" s="552">
        <f ca="1">IFERROR(__xludf.DUMMYFUNCTION("IMPORTRANGE(""https://docs.google.com/spreadsheets/d/1SX6NBoVAgQJ6U1MVXOaj8PK2l7WJ3RER9xtqwdhxkhw/edit?usp=sharing"",""ชลบุรี!J370"")"),62571.45)</f>
        <v>62571.45</v>
      </c>
      <c r="Y58" s="552">
        <f ca="1">IFERROR(__xludf.DUMMYFUNCTION("IMPORTRANGE(""https://docs.google.com/spreadsheets/d/1SX6NBoVAgQJ6U1MVXOaj8PK2l7WJ3RER9xtqwdhxkhw/edit?usp=sharing"",""ชลบุรี!J371"")"),4769)</f>
        <v>4769</v>
      </c>
      <c r="Z58" s="552">
        <f ca="1">IFERROR(__xludf.DUMMYFUNCTION("IMPORTRANGE(""https://docs.google.com/spreadsheets/d/1SX6NBoVAgQJ6U1MVXOaj8PK2l7WJ3RER9xtqwdhxkhw/edit?usp=sharing"",""ชลบุรี!J372"")"),7888)</f>
        <v>7888</v>
      </c>
      <c r="AA58" s="552">
        <f ca="1">IFERROR(__xludf.DUMMYFUNCTION("IMPORTRANGE(""https://docs.google.com/spreadsheets/d/1SX6NBoVAgQJ6U1MVXOaj8PK2l7WJ3RER9xtqwdhxkhw/edit?usp=sharing"",""ชลบุรี!J373"")"),468)</f>
        <v>468</v>
      </c>
      <c r="AB58" s="552">
        <f ca="1">IFERROR(__xludf.DUMMYFUNCTION("IMPORTRANGE(""https://docs.google.com/spreadsheets/d/1SX6NBoVAgQJ6U1MVXOaj8PK2l7WJ3RER9xtqwdhxkhw/edit?usp=sharing"",""ชลบุรี!J374"")"),578)</f>
        <v>578</v>
      </c>
      <c r="AC58" s="552">
        <f ca="1">IFERROR(__xludf.DUMMYFUNCTION("IMPORTRANGE(""https://docs.google.com/spreadsheets/d/1SX6NBoVAgQJ6U1MVXOaj8PK2l7WJ3RER9xtqwdhxkhw/edit?usp=sharing"",""ชลบุรี!J375"")"),51)</f>
        <v>51</v>
      </c>
      <c r="AD58" s="552">
        <f t="shared" ca="1" si="110"/>
        <v>0</v>
      </c>
      <c r="AE58" s="554">
        <f t="shared" ca="1" si="9"/>
        <v>0</v>
      </c>
      <c r="AF58" s="552">
        <f t="shared" ca="1" si="111"/>
        <v>0</v>
      </c>
      <c r="AG58" s="554">
        <f t="shared" ca="1" si="10"/>
        <v>0</v>
      </c>
      <c r="AH58" s="552">
        <f ca="1">IFERROR(__xludf.DUMMYFUNCTION("IMPORTRANGE(""https://docs.google.com/spreadsheets/d/1SX6NBoVAgQJ6U1MVXOaj8PK2l7WJ3RER9xtqwdhxkhw/edit?usp=sharing"",""ชลบุรี!J378"")"),0)</f>
        <v>0</v>
      </c>
      <c r="AI58" s="552">
        <f ca="1">IFERROR(__xludf.DUMMYFUNCTION("IMPORTRANGE(""https://docs.google.com/spreadsheets/d/1SX6NBoVAgQJ6U1MVXOaj8PK2l7WJ3RER9xtqwdhxkhw/edit?usp=sharing"",""ชลบุรี!J379"")"),0)</f>
        <v>0</v>
      </c>
      <c r="AJ58" s="552">
        <f ca="1">IFERROR(__xludf.DUMMYFUNCTION("IMPORTRANGE(""https://docs.google.com/spreadsheets/d/1SX6NBoVAgQJ6U1MVXOaj8PK2l7WJ3RER9xtqwdhxkhw/edit?usp=sharing"",""ชลบุรี!J380"")"),0)</f>
        <v>0</v>
      </c>
      <c r="AK58" s="552">
        <f ca="1">IFERROR(__xludf.DUMMYFUNCTION("IMPORTRANGE(""https://docs.google.com/spreadsheets/d/1SX6NBoVAgQJ6U1MVXOaj8PK2l7WJ3RER9xtqwdhxkhw/edit?usp=sharing"",""ชลบุรี!J381"")"),0)</f>
        <v>0</v>
      </c>
      <c r="AL58" s="552">
        <f ca="1">IFERROR(__xludf.DUMMYFUNCTION("IMPORTRANGE(""https://docs.google.com/spreadsheets/d/1SX6NBoVAgQJ6U1MVXOaj8PK2l7WJ3RER9xtqwdhxkhw/edit?usp=sharing"",""ชลบุรี!J384"")"),0)</f>
        <v>0</v>
      </c>
      <c r="AM58" s="552">
        <f ca="1">IFERROR(__xludf.DUMMYFUNCTION("IMPORTRANGE(""https://docs.google.com/spreadsheets/d/1SX6NBoVAgQJ6U1MVXOaj8PK2l7WJ3RER9xtqwdhxkhw/edit?usp=sharing"",""ชลบุรี!J385"")"),0)</f>
        <v>0</v>
      </c>
      <c r="AN58" s="552">
        <f ca="1">IFERROR(__xludf.DUMMYFUNCTION("IMPORTRANGE(""https://docs.google.com/spreadsheets/d/1SX6NBoVAgQJ6U1MVXOaj8PK2l7WJ3RER9xtqwdhxkhw/edit?usp=sharing"",""ชลบุรี!J386"")"),0)</f>
        <v>0</v>
      </c>
      <c r="AO58" s="552">
        <f ca="1">IFERROR(__xludf.DUMMYFUNCTION("IMPORTRANGE(""https://docs.google.com/spreadsheets/d/1SX6NBoVAgQJ6U1MVXOaj8PK2l7WJ3RER9xtqwdhxkhw/edit?usp=sharing"",""ชลบุรี!J387"")"),0)</f>
        <v>0</v>
      </c>
      <c r="AP58" s="552">
        <f ca="1">IFERROR(__xludf.DUMMYFUNCTION("IMPORTRANGE(""https://docs.google.com/spreadsheets/d/1SX6NBoVAgQJ6U1MVXOaj8PK2l7WJ3RER9xtqwdhxkhw/edit?usp=sharing"",""ชลบุรี!J388"")"),0)</f>
        <v>0</v>
      </c>
      <c r="AQ58" s="552">
        <f ca="1">IFERROR(__xludf.DUMMYFUNCTION("IMPORTRANGE(""https://docs.google.com/spreadsheets/d/1SX6NBoVAgQJ6U1MVXOaj8PK2l7WJ3RER9xtqwdhxkhw/edit?usp=sharing"",""ชลบุรี!J389"")"),0)</f>
        <v>0</v>
      </c>
      <c r="AR58" s="552">
        <f ca="1">IFERROR(__xludf.DUMMYFUNCTION("IMPORTRANGE(""https://docs.google.com/spreadsheets/d/1SX6NBoVAgQJ6U1MVXOaj8PK2l7WJ3RER9xtqwdhxkhw/edit?usp=sharing"",""ชลบุรี!J390"")"),0)</f>
        <v>0</v>
      </c>
      <c r="AS58" s="552">
        <f ca="1">IFERROR(__xludf.DUMMYFUNCTION("IMPORTRANGE(""https://docs.google.com/spreadsheets/d/1SX6NBoVAgQJ6U1MVXOaj8PK2l7WJ3RER9xtqwdhxkhw/edit?usp=sharing"",""ชลบุรี!J391"")"),0)</f>
        <v>0</v>
      </c>
      <c r="AT58" s="556">
        <f ca="1">IFERROR(__xludf.DUMMYFUNCTION("IMPORTRANGE(""https://docs.google.com/spreadsheets/d/1C3CXT74ZlgGe6_JY_1olB1XN4rF0dxEuIIF-xsYjHgg/edit?usp=sharing"",""งบกองทุน!CD62"")"),1843)</f>
        <v>1843</v>
      </c>
      <c r="AU58" s="556">
        <f ca="1">IFERROR(__xludf.DUMMYFUNCTION("IMPORTRANGE(""https://docs.google.com/spreadsheets/d/1C3CXT74ZlgGe6_JY_1olB1XN4rF0dxEuIIF-xsYjHgg/edit?usp=sharing"",""งบกองทุน!CC62"")"),118)</f>
        <v>118</v>
      </c>
      <c r="AV58" s="556">
        <f t="shared" ca="1" si="112"/>
        <v>0</v>
      </c>
      <c r="AW58" s="556">
        <f t="shared" ca="1" si="12"/>
        <v>0</v>
      </c>
      <c r="AX58" s="556">
        <f t="shared" ca="1" si="113"/>
        <v>0</v>
      </c>
      <c r="AY58" s="556">
        <f t="shared" ca="1" si="13"/>
        <v>0</v>
      </c>
      <c r="AZ58" s="552">
        <f ca="1">IFERROR(__xludf.DUMMYFUNCTION("IMPORTRANGE(""https://docs.google.com/spreadsheets/d/1SX6NBoVAgQJ6U1MVXOaj8PK2l7WJ3RER9xtqwdhxkhw/edit?usp=sharing"",""ชลบุรี!J397"")"),0)</f>
        <v>0</v>
      </c>
      <c r="BA58" s="552">
        <f ca="1">IFERROR(__xludf.DUMMYFUNCTION("IMPORTRANGE(""https://docs.google.com/spreadsheets/d/1SX6NBoVAgQJ6U1MVXOaj8PK2l7WJ3RER9xtqwdhxkhw/edit?usp=sharing"",""ชลบุรี!J398"")"),0)</f>
        <v>0</v>
      </c>
      <c r="BB58" s="552">
        <f ca="1">IFERROR(__xludf.DUMMYFUNCTION("IMPORTRANGE(""https://docs.google.com/spreadsheets/d/1SX6NBoVAgQJ6U1MVXOaj8PK2l7WJ3RER9xtqwdhxkhw/edit?usp=sharing"",""ชลบุรี!J399"")"),0)</f>
        <v>0</v>
      </c>
      <c r="BC58" s="552">
        <f ca="1">IFERROR(__xludf.DUMMYFUNCTION("IMPORTRANGE(""https://docs.google.com/spreadsheets/d/1SX6NBoVAgQJ6U1MVXOaj8PK2l7WJ3RER9xtqwdhxkhw/edit?usp=sharing"",""ชลบุรี!J400"")"),0)</f>
        <v>0</v>
      </c>
      <c r="BD58" s="552">
        <f ca="1">IFERROR(__xludf.DUMMYFUNCTION("IMPORTRANGE(""https://docs.google.com/spreadsheets/d/1SX6NBoVAgQJ6U1MVXOaj8PK2l7WJ3RER9xtqwdhxkhw/edit?usp=sharing"",""ชลบุรี!J401"")"),0)</f>
        <v>0</v>
      </c>
      <c r="BE58" s="552">
        <f ca="1">IFERROR(__xludf.DUMMYFUNCTION("IMPORTRANGE(""https://docs.google.com/spreadsheets/d/1SX6NBoVAgQJ6U1MVXOaj8PK2l7WJ3RER9xtqwdhxkhw/edit?usp=sharing"",""ชลบุรี!J402"")"),0)</f>
        <v>0</v>
      </c>
      <c r="BF58" s="552">
        <f ca="1">IFERROR(__xludf.DUMMYFUNCTION("IMPORTRANGE(""https://docs.google.com/spreadsheets/d/1SX6NBoVAgQJ6U1MVXOaj8PK2l7WJ3RER9xtqwdhxkhw/edit?usp=sharing"",""ชลบุรี!J405"")"),0)</f>
        <v>0</v>
      </c>
      <c r="BG58" s="552">
        <f ca="1">IFERROR(__xludf.DUMMYFUNCTION("IMPORTRANGE(""https://docs.google.com/spreadsheets/d/1SX6NBoVAgQJ6U1MVXOaj8PK2l7WJ3RER9xtqwdhxkhw/edit?usp=sharing"",""ชลบุรี!J406"")"),0)</f>
        <v>0</v>
      </c>
      <c r="BH58" s="552">
        <f ca="1">IFERROR(__xludf.DUMMYFUNCTION("IMPORTRANGE(""https://docs.google.com/spreadsheets/d/1SX6NBoVAgQJ6U1MVXOaj8PK2l7WJ3RER9xtqwdhxkhw/edit?usp=sharing"",""ชลบุรี!J407"")"),0)</f>
        <v>0</v>
      </c>
      <c r="BI58" s="552">
        <f ca="1">IFERROR(__xludf.DUMMYFUNCTION("IMPORTRANGE(""https://docs.google.com/spreadsheets/d/1SX6NBoVAgQJ6U1MVXOaj8PK2l7WJ3RER9xtqwdhxkhw/edit?usp=sharing"",""ชลบุรี!J408"")"),0)</f>
        <v>0</v>
      </c>
      <c r="BJ58" s="552">
        <f ca="1">IFERROR(__xludf.DUMMYFUNCTION("IMPORTRANGE(""https://docs.google.com/spreadsheets/d/1SX6NBoVAgQJ6U1MVXOaj8PK2l7WJ3RER9xtqwdhxkhw/edit?usp=sharing"",""ชลบุรี!J409"")"),0)</f>
        <v>0</v>
      </c>
      <c r="BK58" s="552">
        <f ca="1">IFERROR(__xludf.DUMMYFUNCTION("IMPORTRANGE(""https://docs.google.com/spreadsheets/d/1SX6NBoVAgQJ6U1MVXOaj8PK2l7WJ3RER9xtqwdhxkhw/edit?usp=sharing"",""ชลบุรี!J410"")"),0)</f>
        <v>0</v>
      </c>
      <c r="BL58" s="556">
        <f ca="1">IFERROR(__xludf.DUMMYFUNCTION("IMPORTRANGE(""https://docs.google.com/spreadsheets/d/1C3CXT74ZlgGe6_JY_1olB1XN4rF0dxEuIIF-xsYjHgg/edit?usp=sharing"",""งบกองทุน!CZ62"")"),0)</f>
        <v>0</v>
      </c>
      <c r="BM58" s="556">
        <f ca="1">IFERROR(__xludf.DUMMYFUNCTION("IMPORTRANGE(""https://docs.google.com/spreadsheets/d/1C3CXT74ZlgGe6_JY_1olB1XN4rF0dxEuIIF-xsYjHgg/edit?usp=sharing"",""งบกองทุน!CY62"")"),0)</f>
        <v>0</v>
      </c>
      <c r="BN58" s="556">
        <f t="shared" ca="1" si="114"/>
        <v>0</v>
      </c>
      <c r="BO58" s="557">
        <f t="shared" ca="1" si="15"/>
        <v>0</v>
      </c>
      <c r="BP58" s="556">
        <f t="shared" ca="1" si="115"/>
        <v>0</v>
      </c>
      <c r="BQ58" s="557">
        <f t="shared" ca="1" si="16"/>
        <v>0</v>
      </c>
      <c r="BR58" s="552">
        <f ca="1">IFERROR(__xludf.DUMMYFUNCTION("IMPORTRANGE(""https://docs.google.com/spreadsheets/d/1SX6NBoVAgQJ6U1MVXOaj8PK2l7WJ3RER9xtqwdhxkhw/edit?usp=sharing"",""ชลบุรี!J414"")"),0)</f>
        <v>0</v>
      </c>
      <c r="BS58" s="552">
        <f ca="1">IFERROR(__xludf.DUMMYFUNCTION("IMPORTRANGE(""https://docs.google.com/spreadsheets/d/1SX6NBoVAgQJ6U1MVXOaj8PK2l7WJ3RER9xtqwdhxkhw/edit?usp=sharing"",""ชลบุรี!J415"")"),0)</f>
        <v>0</v>
      </c>
      <c r="BT58" s="552">
        <f ca="1">IFERROR(__xludf.DUMMYFUNCTION("IMPORTRANGE(""https://docs.google.com/spreadsheets/d/1SX6NBoVAgQJ6U1MVXOaj8PK2l7WJ3RER9xtqwdhxkhw/edit?usp=sharing"",""ชลบุรี!J416"")"),0)</f>
        <v>0</v>
      </c>
      <c r="BU58" s="552">
        <f ca="1">IFERROR(__xludf.DUMMYFUNCTION("IMPORTRANGE(""https://docs.google.com/spreadsheets/d/1SX6NBoVAgQJ6U1MVXOaj8PK2l7WJ3RER9xtqwdhxkhw/edit?usp=sharing"",""ชลบุรี!J417"")"),0)</f>
        <v>0</v>
      </c>
      <c r="BV58" s="552">
        <f ca="1">IFERROR(__xludf.DUMMYFUNCTION("IMPORTRANGE(""https://docs.google.com/spreadsheets/d/1SX6NBoVAgQJ6U1MVXOaj8PK2l7WJ3RER9xtqwdhxkhw/edit?usp=sharing"",""ชลบุรี!J418"")"),4494)</f>
        <v>4494</v>
      </c>
      <c r="BW58" s="552">
        <f ca="1">IFERROR(__xludf.DUMMYFUNCTION("IMPORTRANGE(""https://docs.google.com/spreadsheets/d/1SX6NBoVAgQJ6U1MVXOaj8PK2l7WJ3RER9xtqwdhxkhw/edit?usp=sharing"",""ชลบุรี!J419"")"),115)</f>
        <v>115</v>
      </c>
      <c r="BX58" s="556">
        <f t="shared" ca="1" si="116"/>
        <v>4494.41</v>
      </c>
      <c r="BY58" s="557">
        <f t="shared" ca="1" si="117"/>
        <v>100.00912327547842</v>
      </c>
      <c r="BZ58" s="556">
        <f t="shared" ca="1" si="118"/>
        <v>115</v>
      </c>
      <c r="CA58" s="557">
        <f t="shared" ca="1" si="119"/>
        <v>100</v>
      </c>
      <c r="CB58" s="552">
        <f ca="1">IFERROR(__xludf.DUMMYFUNCTION("IMPORTRANGE(""https://docs.google.com/spreadsheets/d/1SX6NBoVAgQJ6U1MVXOaj8PK2l7WJ3RER9xtqwdhxkhw/edit?usp=sharing"",""ชลบุรี!J422"")"),4344.76)</f>
        <v>4344.76</v>
      </c>
      <c r="CC58" s="552">
        <f ca="1">IFERROR(__xludf.DUMMYFUNCTION("IMPORTRANGE(""https://docs.google.com/spreadsheets/d/1SX6NBoVAgQJ6U1MVXOaj8PK2l7WJ3RER9xtqwdhxkhw/edit?usp=sharing"",""ชลบุรี!J423"")"),104)</f>
        <v>104</v>
      </c>
      <c r="CD58" s="552">
        <f ca="1">IFERROR(__xludf.DUMMYFUNCTION("IMPORTRANGE(""https://docs.google.com/spreadsheets/d/1SX6NBoVAgQJ6U1MVXOaj8PK2l7WJ3RER9xtqwdhxkhw/edit?usp=sharing"",""ชลบุรี!J424"")"),149.65)</f>
        <v>149.65</v>
      </c>
      <c r="CE58" s="552">
        <f ca="1">IFERROR(__xludf.DUMMYFUNCTION("IMPORTRANGE(""https://docs.google.com/spreadsheets/d/1SX6NBoVAgQJ6U1MVXOaj8PK2l7WJ3RER9xtqwdhxkhw/edit?usp=sharing"",""ชลบุรี!J425"")"),11)</f>
        <v>11</v>
      </c>
      <c r="CF58" s="552">
        <f ca="1">IFERROR(__xludf.DUMMYFUNCTION("IMPORTRANGE(""https://docs.google.com/spreadsheets/d/1SX6NBoVAgQJ6U1MVXOaj8PK2l7WJ3RER9xtqwdhxkhw/edit?usp=sharing"",""ชลบุรี!J426"")"),0)</f>
        <v>0</v>
      </c>
      <c r="CG58" s="558">
        <f ca="1">IFERROR(__xludf.DUMMYFUNCTION("IMPORTRANGE(""https://docs.google.com/spreadsheets/d/1SX6NBoVAgQJ6U1MVXOaj8PK2l7WJ3RER9xtqwdhxkhw/edit?usp=sharing"",""ชลบุรี!J427"")"),0)</f>
        <v>0</v>
      </c>
    </row>
    <row r="59" spans="1:85" ht="21" customHeight="1">
      <c r="A59" s="549">
        <v>5</v>
      </c>
      <c r="B59" s="550" t="s">
        <v>83</v>
      </c>
      <c r="C59" s="551">
        <f t="shared" ca="1" si="105"/>
        <v>98174</v>
      </c>
      <c r="D59" s="552">
        <f ca="1">IFERROR(__xludf.DUMMYFUNCTION("IMPORTRANGE(""https://docs.google.com/spreadsheets/d/1C3CXT74ZlgGe6_JY_1olB1XN4rF0dxEuIIF-xsYjHgg/edit?usp=sharing"",""งบกองทุน!BC63"")"),0)</f>
        <v>0</v>
      </c>
      <c r="E59" s="553">
        <f ca="1">IFERROR(__xludf.DUMMYFUNCTION("IMPORTRANGE(""https://docs.google.com/spreadsheets/d/1C3CXT74ZlgGe6_JY_1olB1XN4rF0dxEuIIF-xsYjHgg/edit?usp=sharing"",""งบกองทุน!BD63"")"),98174)</f>
        <v>98174</v>
      </c>
      <c r="F59" s="554">
        <f ca="1">IFERROR(__xludf.DUMMYFUNCTION("IMPORTRANGE(""https://docs.google.com/spreadsheets/d/1SX6NBoVAgQJ6U1MVXOaj8PK2l7WJ3RER9xtqwdhxkhw/edit?usp=sharing"",""ชัยนาท!M352"")"),35460)</f>
        <v>35460</v>
      </c>
      <c r="G59" s="554">
        <f t="shared" ca="1" si="1"/>
        <v>36.119542852486404</v>
      </c>
      <c r="H59" s="555">
        <f ca="1">IFERROR(__xludf.DUMMYFUNCTION("IMPORTRANGE(""https://docs.google.com/spreadsheets/d/1C3CXT74ZlgGe6_JY_1olB1XN4rF0dxEuIIF-xsYjHgg/edit?usp=sharing"",""งบกองทุน!BE63"")"),5989)</f>
        <v>5989</v>
      </c>
      <c r="I59" s="555">
        <f ca="1">IFERROR(__xludf.DUMMYFUNCTION("IMPORTRANGE(""https://docs.google.com/spreadsheets/d/1C3CXT74ZlgGe6_JY_1olB1XN4rF0dxEuIIF-xsYjHgg/edit?usp=sharing"",""งบกองทุน!BF63"")"),321)</f>
        <v>321</v>
      </c>
      <c r="J59" s="552">
        <f t="shared" ca="1" si="106"/>
        <v>5989</v>
      </c>
      <c r="K59" s="554">
        <f t="shared" ca="1" si="3"/>
        <v>100</v>
      </c>
      <c r="L59" s="552">
        <f t="shared" ca="1" si="107"/>
        <v>321</v>
      </c>
      <c r="M59" s="554">
        <f t="shared" ca="1" si="4"/>
        <v>100</v>
      </c>
      <c r="N59" s="552">
        <f ca="1">IFERROR(__xludf.DUMMYFUNCTION("IMPORTRANGE(""https://docs.google.com/spreadsheets/d/1SX6NBoVAgQJ6U1MVXOaj8PK2l7WJ3RER9xtqwdhxkhw/edit?usp=sharing"",""ชัยนาท!J362"")"),5731)</f>
        <v>5731</v>
      </c>
      <c r="O59" s="552">
        <f ca="1">IFERROR(__xludf.DUMMYFUNCTION("IMPORTRANGE(""https://docs.google.com/spreadsheets/d/1SX6NBoVAgQJ6U1MVXOaj8PK2l7WJ3RER9xtqwdhxkhw/edit?usp=sharing"",""ชัยนาท!J363"")"),300)</f>
        <v>300</v>
      </c>
      <c r="P59" s="552">
        <f ca="1">IFERROR(__xludf.DUMMYFUNCTION("IMPORTRANGE(""https://docs.google.com/spreadsheets/d/1SX6NBoVAgQJ6U1MVXOaj8PK2l7WJ3RER9xtqwdhxkhw/edit?usp=sharing"",""ชัยนาท!J364"")"),180)</f>
        <v>180</v>
      </c>
      <c r="Q59" s="552">
        <f ca="1">IFERROR(__xludf.DUMMYFUNCTION("IMPORTRANGE(""https://docs.google.com/spreadsheets/d/1SX6NBoVAgQJ6U1MVXOaj8PK2l7WJ3RER9xtqwdhxkhw/edit?usp=sharing"",""ชัยนาท!J365"")"),17)</f>
        <v>17</v>
      </c>
      <c r="R59" s="552">
        <f ca="1">IFERROR(__xludf.DUMMYFUNCTION("IMPORTRANGE(""https://docs.google.com/spreadsheets/d/1SX6NBoVAgQJ6U1MVXOaj8PK2l7WJ3RER9xtqwdhxkhw/edit?usp=sharing"",""ชัยนาท!J366"")"),78)</f>
        <v>78</v>
      </c>
      <c r="S59" s="552">
        <f ca="1">IFERROR(__xludf.DUMMYFUNCTION("IMPORTRANGE(""https://docs.google.com/spreadsheets/d/1SX6NBoVAgQJ6U1MVXOaj8PK2l7WJ3RER9xtqwdhxkhw/edit?usp=sharing"",""ชัยนาท!J367"")"),4)</f>
        <v>4</v>
      </c>
      <c r="T59" s="552">
        <f t="shared" ca="1" si="108"/>
        <v>5989</v>
      </c>
      <c r="U59" s="552">
        <f t="shared" ca="1" si="6"/>
        <v>100</v>
      </c>
      <c r="V59" s="552">
        <f t="shared" ca="1" si="109"/>
        <v>321</v>
      </c>
      <c r="W59" s="552">
        <f t="shared" ca="1" si="7"/>
        <v>100</v>
      </c>
      <c r="X59" s="552">
        <f ca="1">IFERROR(__xludf.DUMMYFUNCTION("IMPORTRANGE(""https://docs.google.com/spreadsheets/d/1SX6NBoVAgQJ6U1MVXOaj8PK2l7WJ3RER9xtqwdhxkhw/edit?usp=sharing"",""ชัยนาท!J370"")"),5731)</f>
        <v>5731</v>
      </c>
      <c r="Y59" s="552">
        <f ca="1">IFERROR(__xludf.DUMMYFUNCTION("IMPORTRANGE(""https://docs.google.com/spreadsheets/d/1SX6NBoVAgQJ6U1MVXOaj8PK2l7WJ3RER9xtqwdhxkhw/edit?usp=sharing"",""ชัยนาท!J371"")"),300)</f>
        <v>300</v>
      </c>
      <c r="Z59" s="552">
        <f ca="1">IFERROR(__xludf.DUMMYFUNCTION("IMPORTRANGE(""https://docs.google.com/spreadsheets/d/1SX6NBoVAgQJ6U1MVXOaj8PK2l7WJ3RER9xtqwdhxkhw/edit?usp=sharing"",""ชัยนาท!J372"")"),180)</f>
        <v>180</v>
      </c>
      <c r="AA59" s="552">
        <f ca="1">IFERROR(__xludf.DUMMYFUNCTION("IMPORTRANGE(""https://docs.google.com/spreadsheets/d/1SX6NBoVAgQJ6U1MVXOaj8PK2l7WJ3RER9xtqwdhxkhw/edit?usp=sharing"",""ชัยนาท!J373"")"),17)</f>
        <v>17</v>
      </c>
      <c r="AB59" s="552">
        <f ca="1">IFERROR(__xludf.DUMMYFUNCTION("IMPORTRANGE(""https://docs.google.com/spreadsheets/d/1SX6NBoVAgQJ6U1MVXOaj8PK2l7WJ3RER9xtqwdhxkhw/edit?usp=sharing"",""ชัยนาท!J374"")"),78)</f>
        <v>78</v>
      </c>
      <c r="AC59" s="552">
        <f ca="1">IFERROR(__xludf.DUMMYFUNCTION("IMPORTRANGE(""https://docs.google.com/spreadsheets/d/1SX6NBoVAgQJ6U1MVXOaj8PK2l7WJ3RER9xtqwdhxkhw/edit?usp=sharing"",""ชัยนาท!J375"")"),4)</f>
        <v>4</v>
      </c>
      <c r="AD59" s="552">
        <f t="shared" ca="1" si="110"/>
        <v>5989</v>
      </c>
      <c r="AE59" s="554">
        <f t="shared" ca="1" si="9"/>
        <v>100</v>
      </c>
      <c r="AF59" s="552">
        <f t="shared" ca="1" si="111"/>
        <v>321</v>
      </c>
      <c r="AG59" s="554">
        <f t="shared" ca="1" si="10"/>
        <v>100</v>
      </c>
      <c r="AH59" s="552">
        <f ca="1">IFERROR(__xludf.DUMMYFUNCTION("IMPORTRANGE(""https://docs.google.com/spreadsheets/d/1SX6NBoVAgQJ6U1MVXOaj8PK2l7WJ3RER9xtqwdhxkhw/edit?usp=sharing"",""ชัยนาท!J378"")"),5731)</f>
        <v>5731</v>
      </c>
      <c r="AI59" s="552">
        <f ca="1">IFERROR(__xludf.DUMMYFUNCTION("IMPORTRANGE(""https://docs.google.com/spreadsheets/d/1SX6NBoVAgQJ6U1MVXOaj8PK2l7WJ3RER9xtqwdhxkhw/edit?usp=sharing"",""ชัยนาท!J379"")"),300)</f>
        <v>300</v>
      </c>
      <c r="AJ59" s="552">
        <f ca="1">IFERROR(__xludf.DUMMYFUNCTION("IMPORTRANGE(""https://docs.google.com/spreadsheets/d/1SX6NBoVAgQJ6U1MVXOaj8PK2l7WJ3RER9xtqwdhxkhw/edit?usp=sharing"",""ชัยนาท!J380"")"),180)</f>
        <v>180</v>
      </c>
      <c r="AK59" s="552">
        <f ca="1">IFERROR(__xludf.DUMMYFUNCTION("IMPORTRANGE(""https://docs.google.com/spreadsheets/d/1SX6NBoVAgQJ6U1MVXOaj8PK2l7WJ3RER9xtqwdhxkhw/edit?usp=sharing"",""ชัยนาท!J381"")"),17)</f>
        <v>17</v>
      </c>
      <c r="AL59" s="552">
        <f ca="1">IFERROR(__xludf.DUMMYFUNCTION("IMPORTRANGE(""https://docs.google.com/spreadsheets/d/1SX6NBoVAgQJ6U1MVXOaj8PK2l7WJ3RER9xtqwdhxkhw/edit?usp=sharing"",""ชัยนาท!J384"")"),78)</f>
        <v>78</v>
      </c>
      <c r="AM59" s="552">
        <f ca="1">IFERROR(__xludf.DUMMYFUNCTION("IMPORTRANGE(""https://docs.google.com/spreadsheets/d/1SX6NBoVAgQJ6U1MVXOaj8PK2l7WJ3RER9xtqwdhxkhw/edit?usp=sharing"",""ชัยนาท!J385"")"),4)</f>
        <v>4</v>
      </c>
      <c r="AN59" s="552">
        <f ca="1">IFERROR(__xludf.DUMMYFUNCTION("IMPORTRANGE(""https://docs.google.com/spreadsheets/d/1SX6NBoVAgQJ6U1MVXOaj8PK2l7WJ3RER9xtqwdhxkhw/edit?usp=sharing"",""ชัยนาท!J386"")"),0)</f>
        <v>0</v>
      </c>
      <c r="AO59" s="552">
        <f ca="1">IFERROR(__xludf.DUMMYFUNCTION("IMPORTRANGE(""https://docs.google.com/spreadsheets/d/1SX6NBoVAgQJ6U1MVXOaj8PK2l7WJ3RER9xtqwdhxkhw/edit?usp=sharing"",""ชัยนาท!J387"")"),0)</f>
        <v>0</v>
      </c>
      <c r="AP59" s="552">
        <f ca="1">IFERROR(__xludf.DUMMYFUNCTION("IMPORTRANGE(""https://docs.google.com/spreadsheets/d/1SX6NBoVAgQJ6U1MVXOaj8PK2l7WJ3RER9xtqwdhxkhw/edit?usp=sharing"",""ชัยนาท!J388"")"),0)</f>
        <v>0</v>
      </c>
      <c r="AQ59" s="552">
        <f ca="1">IFERROR(__xludf.DUMMYFUNCTION("IMPORTRANGE(""https://docs.google.com/spreadsheets/d/1SX6NBoVAgQJ6U1MVXOaj8PK2l7WJ3RER9xtqwdhxkhw/edit?usp=sharing"",""ชัยนาท!J389"")"),0)</f>
        <v>0</v>
      </c>
      <c r="AR59" s="552">
        <f ca="1">IFERROR(__xludf.DUMMYFUNCTION("IMPORTRANGE(""https://docs.google.com/spreadsheets/d/1SX6NBoVAgQJ6U1MVXOaj8PK2l7WJ3RER9xtqwdhxkhw/edit?usp=sharing"",""ชัยนาท!J390"")"),0)</f>
        <v>0</v>
      </c>
      <c r="AS59" s="552">
        <f ca="1">IFERROR(__xludf.DUMMYFUNCTION("IMPORTRANGE(""https://docs.google.com/spreadsheets/d/1SX6NBoVAgQJ6U1MVXOaj8PK2l7WJ3RER9xtqwdhxkhw/edit?usp=sharing"",""ชัยนาท!J391"")"),0)</f>
        <v>0</v>
      </c>
      <c r="AT59" s="556">
        <f ca="1">IFERROR(__xludf.DUMMYFUNCTION("IMPORTRANGE(""https://docs.google.com/spreadsheets/d/1C3CXT74ZlgGe6_JY_1olB1XN4rF0dxEuIIF-xsYjHgg/edit?usp=sharing"",""งบกองทุน!CD63"")"),115)</f>
        <v>115</v>
      </c>
      <c r="AU59" s="556">
        <f ca="1">IFERROR(__xludf.DUMMYFUNCTION("IMPORTRANGE(""https://docs.google.com/spreadsheets/d/1C3CXT74ZlgGe6_JY_1olB1XN4rF0dxEuIIF-xsYjHgg/edit?usp=sharing"",""งบกองทุน!CC63"")"),6)</f>
        <v>6</v>
      </c>
      <c r="AV59" s="556">
        <f t="shared" ca="1" si="112"/>
        <v>115</v>
      </c>
      <c r="AW59" s="556">
        <f t="shared" ca="1" si="12"/>
        <v>100</v>
      </c>
      <c r="AX59" s="556">
        <f t="shared" ca="1" si="113"/>
        <v>6</v>
      </c>
      <c r="AY59" s="556">
        <f t="shared" ca="1" si="13"/>
        <v>100</v>
      </c>
      <c r="AZ59" s="552">
        <f ca="1">IFERROR(__xludf.DUMMYFUNCTION("IMPORTRANGE(""https://docs.google.com/spreadsheets/d/1SX6NBoVAgQJ6U1MVXOaj8PK2l7WJ3RER9xtqwdhxkhw/edit?usp=sharing"",""ชัยนาท!J397"")"),115)</f>
        <v>115</v>
      </c>
      <c r="BA59" s="552">
        <f ca="1">IFERROR(__xludf.DUMMYFUNCTION("IMPORTRANGE(""https://docs.google.com/spreadsheets/d/1SX6NBoVAgQJ6U1MVXOaj8PK2l7WJ3RER9xtqwdhxkhw/edit?usp=sharing"",""ชัยนาท!J398"")"),6)</f>
        <v>6</v>
      </c>
      <c r="BB59" s="552">
        <f ca="1">IFERROR(__xludf.DUMMYFUNCTION("IMPORTRANGE(""https://docs.google.com/spreadsheets/d/1SX6NBoVAgQJ6U1MVXOaj8PK2l7WJ3RER9xtqwdhxkhw/edit?usp=sharing"",""ชัยนาท!J399"")"),0)</f>
        <v>0</v>
      </c>
      <c r="BC59" s="552">
        <f ca="1">IFERROR(__xludf.DUMMYFUNCTION("IMPORTRANGE(""https://docs.google.com/spreadsheets/d/1SX6NBoVAgQJ6U1MVXOaj8PK2l7WJ3RER9xtqwdhxkhw/edit?usp=sharing"",""ชัยนาท!J400"")"),0)</f>
        <v>0</v>
      </c>
      <c r="BD59" s="552">
        <f ca="1">IFERROR(__xludf.DUMMYFUNCTION("IMPORTRANGE(""https://docs.google.com/spreadsheets/d/1SX6NBoVAgQJ6U1MVXOaj8PK2l7WJ3RER9xtqwdhxkhw/edit?usp=sharing"",""ชัยนาท!J401"")"),0)</f>
        <v>0</v>
      </c>
      <c r="BE59" s="552">
        <f ca="1">IFERROR(__xludf.DUMMYFUNCTION("IMPORTRANGE(""https://docs.google.com/spreadsheets/d/1SX6NBoVAgQJ6U1MVXOaj8PK2l7WJ3RER9xtqwdhxkhw/edit?usp=sharing"",""ชัยนาท!J402"")"),0)</f>
        <v>0</v>
      </c>
      <c r="BF59" s="552">
        <f ca="1">IFERROR(__xludf.DUMMYFUNCTION("IMPORTRANGE(""https://docs.google.com/spreadsheets/d/1SX6NBoVAgQJ6U1MVXOaj8PK2l7WJ3RER9xtqwdhxkhw/edit?usp=sharing"",""ชัยนาท!J405"")"),0)</f>
        <v>0</v>
      </c>
      <c r="BG59" s="552">
        <f ca="1">IFERROR(__xludf.DUMMYFUNCTION("IMPORTRANGE(""https://docs.google.com/spreadsheets/d/1SX6NBoVAgQJ6U1MVXOaj8PK2l7WJ3RER9xtqwdhxkhw/edit?usp=sharing"",""ชัยนาท!J406"")"),0)</f>
        <v>0</v>
      </c>
      <c r="BH59" s="552">
        <f ca="1">IFERROR(__xludf.DUMMYFUNCTION("IMPORTRANGE(""https://docs.google.com/spreadsheets/d/1SX6NBoVAgQJ6U1MVXOaj8PK2l7WJ3RER9xtqwdhxkhw/edit?usp=sharing"",""ชัยนาท!J407"")"),0)</f>
        <v>0</v>
      </c>
      <c r="BI59" s="552">
        <f ca="1">IFERROR(__xludf.DUMMYFUNCTION("IMPORTRANGE(""https://docs.google.com/spreadsheets/d/1SX6NBoVAgQJ6U1MVXOaj8PK2l7WJ3RER9xtqwdhxkhw/edit?usp=sharing"",""ชัยนาท!J408"")"),0)</f>
        <v>0</v>
      </c>
      <c r="BJ59" s="552">
        <f ca="1">IFERROR(__xludf.DUMMYFUNCTION("IMPORTRANGE(""https://docs.google.com/spreadsheets/d/1SX6NBoVAgQJ6U1MVXOaj8PK2l7WJ3RER9xtqwdhxkhw/edit?usp=sharing"",""ชัยนาท!J409"")"),0)</f>
        <v>0</v>
      </c>
      <c r="BK59" s="552">
        <f ca="1">IFERROR(__xludf.DUMMYFUNCTION("IMPORTRANGE(""https://docs.google.com/spreadsheets/d/1SX6NBoVAgQJ6U1MVXOaj8PK2l7WJ3RER9xtqwdhxkhw/edit?usp=sharing"",""ชัยนาท!J410"")"),0)</f>
        <v>0</v>
      </c>
      <c r="BL59" s="556">
        <f ca="1">IFERROR(__xludf.DUMMYFUNCTION("IMPORTRANGE(""https://docs.google.com/spreadsheets/d/1C3CXT74ZlgGe6_JY_1olB1XN4rF0dxEuIIF-xsYjHgg/edit?usp=sharing"",""งบกองทุน!CZ63"")"),0)</f>
        <v>0</v>
      </c>
      <c r="BM59" s="556">
        <f ca="1">IFERROR(__xludf.DUMMYFUNCTION("IMPORTRANGE(""https://docs.google.com/spreadsheets/d/1C3CXT74ZlgGe6_JY_1olB1XN4rF0dxEuIIF-xsYjHgg/edit?usp=sharing"",""งบกองทุน!CY63"")"),0)</f>
        <v>0</v>
      </c>
      <c r="BN59" s="556">
        <f t="shared" ca="1" si="114"/>
        <v>0</v>
      </c>
      <c r="BO59" s="557">
        <f t="shared" ca="1" si="15"/>
        <v>0</v>
      </c>
      <c r="BP59" s="556">
        <f t="shared" ca="1" si="115"/>
        <v>0</v>
      </c>
      <c r="BQ59" s="557">
        <f t="shared" ca="1" si="16"/>
        <v>0</v>
      </c>
      <c r="BR59" s="552">
        <f ca="1">IFERROR(__xludf.DUMMYFUNCTION("IMPORTRANGE(""https://docs.google.com/spreadsheets/d/1SX6NBoVAgQJ6U1MVXOaj8PK2l7WJ3RER9xtqwdhxkhw/edit?usp=sharing"",""ชัยนาท!J414"")"),0)</f>
        <v>0</v>
      </c>
      <c r="BS59" s="552">
        <f ca="1">IFERROR(__xludf.DUMMYFUNCTION("IMPORTRANGE(""https://docs.google.com/spreadsheets/d/1SX6NBoVAgQJ6U1MVXOaj8PK2l7WJ3RER9xtqwdhxkhw/edit?usp=sharing"",""ชัยนาท!J415"")"),0)</f>
        <v>0</v>
      </c>
      <c r="BT59" s="552">
        <f ca="1">IFERROR(__xludf.DUMMYFUNCTION("IMPORTRANGE(""https://docs.google.com/spreadsheets/d/1SX6NBoVAgQJ6U1MVXOaj8PK2l7WJ3RER9xtqwdhxkhw/edit?usp=sharing"",""ชัยนาท!J416"")"),0)</f>
        <v>0</v>
      </c>
      <c r="BU59" s="552">
        <f ca="1">IFERROR(__xludf.DUMMYFUNCTION("IMPORTRANGE(""https://docs.google.com/spreadsheets/d/1SX6NBoVAgQJ6U1MVXOaj8PK2l7WJ3RER9xtqwdhxkhw/edit?usp=sharing"",""ชัยนาท!J417"")"),0)</f>
        <v>0</v>
      </c>
      <c r="BV59" s="552">
        <f ca="1">IFERROR(__xludf.DUMMYFUNCTION("IMPORTRANGE(""https://docs.google.com/spreadsheets/d/1SX6NBoVAgQJ6U1MVXOaj8PK2l7WJ3RER9xtqwdhxkhw/edit?usp=sharing"",""ชัยนาท!J418"")"),0)</f>
        <v>0</v>
      </c>
      <c r="BW59" s="552">
        <f ca="1">IFERROR(__xludf.DUMMYFUNCTION("IMPORTRANGE(""https://docs.google.com/spreadsheets/d/1SX6NBoVAgQJ6U1MVXOaj8PK2l7WJ3RER9xtqwdhxkhw/edit?usp=sharing"",""ชัยนาท!J419"")"),0)</f>
        <v>0</v>
      </c>
      <c r="BX59" s="556">
        <f t="shared" ca="1" si="116"/>
        <v>0</v>
      </c>
      <c r="BY59" s="557">
        <f t="shared" ca="1" si="117"/>
        <v>0</v>
      </c>
      <c r="BZ59" s="556">
        <f t="shared" ca="1" si="118"/>
        <v>0</v>
      </c>
      <c r="CA59" s="557">
        <f t="shared" ca="1" si="119"/>
        <v>0</v>
      </c>
      <c r="CB59" s="552">
        <f ca="1">IFERROR(__xludf.DUMMYFUNCTION("IMPORTRANGE(""https://docs.google.com/spreadsheets/d/1SX6NBoVAgQJ6U1MVXOaj8PK2l7WJ3RER9xtqwdhxkhw/edit?usp=sharing"",""ชัยนาท!J422"")"),0)</f>
        <v>0</v>
      </c>
      <c r="CC59" s="552">
        <f ca="1">IFERROR(__xludf.DUMMYFUNCTION("IMPORTRANGE(""https://docs.google.com/spreadsheets/d/1SX6NBoVAgQJ6U1MVXOaj8PK2l7WJ3RER9xtqwdhxkhw/edit?usp=sharing"",""ชัยนาท!J423"")"),0)</f>
        <v>0</v>
      </c>
      <c r="CD59" s="552">
        <f ca="1">IFERROR(__xludf.DUMMYFUNCTION("IMPORTRANGE(""https://docs.google.com/spreadsheets/d/1SX6NBoVAgQJ6U1MVXOaj8PK2l7WJ3RER9xtqwdhxkhw/edit?usp=sharing"",""ชัยนาท!J424"")"),0)</f>
        <v>0</v>
      </c>
      <c r="CE59" s="552">
        <f ca="1">IFERROR(__xludf.DUMMYFUNCTION("IMPORTRANGE(""https://docs.google.com/spreadsheets/d/1SX6NBoVAgQJ6U1MVXOaj8PK2l7WJ3RER9xtqwdhxkhw/edit?usp=sharing"",""ชัยนาท!J425"")"),0)</f>
        <v>0</v>
      </c>
      <c r="CF59" s="552">
        <f ca="1">IFERROR(__xludf.DUMMYFUNCTION("IMPORTRANGE(""https://docs.google.com/spreadsheets/d/1SX6NBoVAgQJ6U1MVXOaj8PK2l7WJ3RER9xtqwdhxkhw/edit?usp=sharing"",""ชัยนาท!J426"")"),0)</f>
        <v>0</v>
      </c>
      <c r="CG59" s="558">
        <f ca="1">IFERROR(__xludf.DUMMYFUNCTION("IMPORTRANGE(""https://docs.google.com/spreadsheets/d/1SX6NBoVAgQJ6U1MVXOaj8PK2l7WJ3RER9xtqwdhxkhw/edit?usp=sharing"",""ชัยนาท!J427"")"),0)</f>
        <v>0</v>
      </c>
    </row>
    <row r="60" spans="1:85" ht="21" customHeight="1">
      <c r="A60" s="549">
        <v>6</v>
      </c>
      <c r="B60" s="550" t="s">
        <v>84</v>
      </c>
      <c r="C60" s="551">
        <f t="shared" ca="1" si="105"/>
        <v>66252</v>
      </c>
      <c r="D60" s="552">
        <f ca="1">IFERROR(__xludf.DUMMYFUNCTION("IMPORTRANGE(""https://docs.google.com/spreadsheets/d/1C3CXT74ZlgGe6_JY_1olB1XN4rF0dxEuIIF-xsYjHgg/edit?usp=sharing"",""งบกองทุน!BC64"")"),0)</f>
        <v>0</v>
      </c>
      <c r="E60" s="553">
        <f ca="1">IFERROR(__xludf.DUMMYFUNCTION("IMPORTRANGE(""https://docs.google.com/spreadsheets/d/1C3CXT74ZlgGe6_JY_1olB1XN4rF0dxEuIIF-xsYjHgg/edit?usp=sharing"",""งบกองทุน!BD64"")"),66252)</f>
        <v>66252</v>
      </c>
      <c r="F60" s="554">
        <f ca="1">IFERROR(__xludf.DUMMYFUNCTION("IMPORTRANGE(""https://docs.google.com/spreadsheets/d/1SX6NBoVAgQJ6U1MVXOaj8PK2l7WJ3RER9xtqwdhxkhw/edit?usp=sharing"",""ตราด!M352"")"),4920)</f>
        <v>4920</v>
      </c>
      <c r="G60" s="554">
        <f t="shared" ca="1" si="1"/>
        <v>7.4261909074443038</v>
      </c>
      <c r="H60" s="555">
        <f ca="1">IFERROR(__xludf.DUMMYFUNCTION("IMPORTRANGE(""https://docs.google.com/spreadsheets/d/1C3CXT74ZlgGe6_JY_1olB1XN4rF0dxEuIIF-xsYjHgg/edit?usp=sharing"",""งบกองทุน!BE64"")"),0)</f>
        <v>0</v>
      </c>
      <c r="I60" s="555">
        <f ca="1">IFERROR(__xludf.DUMMYFUNCTION("IMPORTRANGE(""https://docs.google.com/spreadsheets/d/1C3CXT74ZlgGe6_JY_1olB1XN4rF0dxEuIIF-xsYjHgg/edit?usp=sharing"",""งบกองทุน!BF64"")"),0)</f>
        <v>0</v>
      </c>
      <c r="J60" s="552">
        <f t="shared" ca="1" si="106"/>
        <v>0</v>
      </c>
      <c r="K60" s="554">
        <f t="shared" ca="1" si="3"/>
        <v>0</v>
      </c>
      <c r="L60" s="552">
        <f t="shared" ca="1" si="107"/>
        <v>0</v>
      </c>
      <c r="M60" s="554">
        <f t="shared" ca="1" si="4"/>
        <v>0</v>
      </c>
      <c r="N60" s="552">
        <f ca="1">IFERROR(__xludf.DUMMYFUNCTION("IMPORTRANGE(""https://docs.google.com/spreadsheets/d/1SX6NBoVAgQJ6U1MVXOaj8PK2l7WJ3RER9xtqwdhxkhw/edit?usp=sharing"",""ตราด!J362"")"),0)</f>
        <v>0</v>
      </c>
      <c r="O60" s="552">
        <f ca="1">IFERROR(__xludf.DUMMYFUNCTION("IMPORTRANGE(""https://docs.google.com/spreadsheets/d/1SX6NBoVAgQJ6U1MVXOaj8PK2l7WJ3RER9xtqwdhxkhw/edit?usp=sharing"",""ตราด!J363"")"),0)</f>
        <v>0</v>
      </c>
      <c r="P60" s="552">
        <f ca="1">IFERROR(__xludf.DUMMYFUNCTION("IMPORTRANGE(""https://docs.google.com/spreadsheets/d/1SX6NBoVAgQJ6U1MVXOaj8PK2l7WJ3RER9xtqwdhxkhw/edit?usp=sharing"",""ตราด!J364"")"),0)</f>
        <v>0</v>
      </c>
      <c r="Q60" s="552">
        <f ca="1">IFERROR(__xludf.DUMMYFUNCTION("IMPORTRANGE(""https://docs.google.com/spreadsheets/d/1SX6NBoVAgQJ6U1MVXOaj8PK2l7WJ3RER9xtqwdhxkhw/edit?usp=sharing"",""ตราด!J365"")"),0)</f>
        <v>0</v>
      </c>
      <c r="R60" s="552">
        <f ca="1">IFERROR(__xludf.DUMMYFUNCTION("IMPORTRANGE(""https://docs.google.com/spreadsheets/d/1SX6NBoVAgQJ6U1MVXOaj8PK2l7WJ3RER9xtqwdhxkhw/edit?usp=sharing"",""ตราด!J366"")"),0)</f>
        <v>0</v>
      </c>
      <c r="S60" s="552">
        <f ca="1">IFERROR(__xludf.DUMMYFUNCTION("IMPORTRANGE(""https://docs.google.com/spreadsheets/d/1SX6NBoVAgQJ6U1MVXOaj8PK2l7WJ3RER9xtqwdhxkhw/edit?usp=sharing"",""ตราด!J367"")"),0)</f>
        <v>0</v>
      </c>
      <c r="T60" s="552">
        <f t="shared" ca="1" si="108"/>
        <v>0</v>
      </c>
      <c r="U60" s="552">
        <f t="shared" ca="1" si="6"/>
        <v>0</v>
      </c>
      <c r="V60" s="552">
        <f t="shared" ca="1" si="109"/>
        <v>0</v>
      </c>
      <c r="W60" s="552">
        <f t="shared" ca="1" si="7"/>
        <v>0</v>
      </c>
      <c r="X60" s="552">
        <f ca="1">IFERROR(__xludf.DUMMYFUNCTION("IMPORTRANGE(""https://docs.google.com/spreadsheets/d/1SX6NBoVAgQJ6U1MVXOaj8PK2l7WJ3RER9xtqwdhxkhw/edit?usp=sharing"",""ตราด!J370"")"),0)</f>
        <v>0</v>
      </c>
      <c r="Y60" s="552">
        <f ca="1">IFERROR(__xludf.DUMMYFUNCTION("IMPORTRANGE(""https://docs.google.com/spreadsheets/d/1SX6NBoVAgQJ6U1MVXOaj8PK2l7WJ3RER9xtqwdhxkhw/edit?usp=sharing"",""ตราด!J371"")"),0)</f>
        <v>0</v>
      </c>
      <c r="Z60" s="552">
        <f ca="1">IFERROR(__xludf.DUMMYFUNCTION("IMPORTRANGE(""https://docs.google.com/spreadsheets/d/1SX6NBoVAgQJ6U1MVXOaj8PK2l7WJ3RER9xtqwdhxkhw/edit?usp=sharing"",""ตราด!J372"")"),0)</f>
        <v>0</v>
      </c>
      <c r="AA60" s="552">
        <f ca="1">IFERROR(__xludf.DUMMYFUNCTION("IMPORTRANGE(""https://docs.google.com/spreadsheets/d/1SX6NBoVAgQJ6U1MVXOaj8PK2l7WJ3RER9xtqwdhxkhw/edit?usp=sharing"",""ตราด!J373"")"),0)</f>
        <v>0</v>
      </c>
      <c r="AB60" s="552">
        <f ca="1">IFERROR(__xludf.DUMMYFUNCTION("IMPORTRANGE(""https://docs.google.com/spreadsheets/d/1SX6NBoVAgQJ6U1MVXOaj8PK2l7WJ3RER9xtqwdhxkhw/edit?usp=sharing"",""ตราด!J374"")"),0)</f>
        <v>0</v>
      </c>
      <c r="AC60" s="552">
        <f ca="1">IFERROR(__xludf.DUMMYFUNCTION("IMPORTRANGE(""https://docs.google.com/spreadsheets/d/1SX6NBoVAgQJ6U1MVXOaj8PK2l7WJ3RER9xtqwdhxkhw/edit?usp=sharing"",""ตราด!J375"")"),0)</f>
        <v>0</v>
      </c>
      <c r="AD60" s="552">
        <f t="shared" ca="1" si="110"/>
        <v>0</v>
      </c>
      <c r="AE60" s="554">
        <f t="shared" ca="1" si="9"/>
        <v>0</v>
      </c>
      <c r="AF60" s="552">
        <f t="shared" ca="1" si="111"/>
        <v>0</v>
      </c>
      <c r="AG60" s="554">
        <f t="shared" ca="1" si="10"/>
        <v>0</v>
      </c>
      <c r="AH60" s="552">
        <f ca="1">IFERROR(__xludf.DUMMYFUNCTION("IMPORTRANGE(""https://docs.google.com/spreadsheets/d/1SX6NBoVAgQJ6U1MVXOaj8PK2l7WJ3RER9xtqwdhxkhw/edit?usp=sharing"",""ตราด!J378"")"),0)</f>
        <v>0</v>
      </c>
      <c r="AI60" s="552">
        <f ca="1">IFERROR(__xludf.DUMMYFUNCTION("IMPORTRANGE(""https://docs.google.com/spreadsheets/d/1SX6NBoVAgQJ6U1MVXOaj8PK2l7WJ3RER9xtqwdhxkhw/edit?usp=sharing"",""ตราด!J379"")"),0)</f>
        <v>0</v>
      </c>
      <c r="AJ60" s="552">
        <f ca="1">IFERROR(__xludf.DUMMYFUNCTION("IMPORTRANGE(""https://docs.google.com/spreadsheets/d/1SX6NBoVAgQJ6U1MVXOaj8PK2l7WJ3RER9xtqwdhxkhw/edit?usp=sharing"",""ตราด!J380"")"),0)</f>
        <v>0</v>
      </c>
      <c r="AK60" s="552">
        <f ca="1">IFERROR(__xludf.DUMMYFUNCTION("IMPORTRANGE(""https://docs.google.com/spreadsheets/d/1SX6NBoVAgQJ6U1MVXOaj8PK2l7WJ3RER9xtqwdhxkhw/edit?usp=sharing"",""ตราด!J381"")"),0)</f>
        <v>0</v>
      </c>
      <c r="AL60" s="552">
        <f ca="1">IFERROR(__xludf.DUMMYFUNCTION("IMPORTRANGE(""https://docs.google.com/spreadsheets/d/1SX6NBoVAgQJ6U1MVXOaj8PK2l7WJ3RER9xtqwdhxkhw/edit?usp=sharing"",""ตราด!J384"")"),0)</f>
        <v>0</v>
      </c>
      <c r="AM60" s="552">
        <f ca="1">IFERROR(__xludf.DUMMYFUNCTION("IMPORTRANGE(""https://docs.google.com/spreadsheets/d/1SX6NBoVAgQJ6U1MVXOaj8PK2l7WJ3RER9xtqwdhxkhw/edit?usp=sharing"",""ตราด!J385"")"),0)</f>
        <v>0</v>
      </c>
      <c r="AN60" s="552">
        <f ca="1">IFERROR(__xludf.DUMMYFUNCTION("IMPORTRANGE(""https://docs.google.com/spreadsheets/d/1SX6NBoVAgQJ6U1MVXOaj8PK2l7WJ3RER9xtqwdhxkhw/edit?usp=sharing"",""ตราด!J386"")"),0)</f>
        <v>0</v>
      </c>
      <c r="AO60" s="552">
        <f ca="1">IFERROR(__xludf.DUMMYFUNCTION("IMPORTRANGE(""https://docs.google.com/spreadsheets/d/1SX6NBoVAgQJ6U1MVXOaj8PK2l7WJ3RER9xtqwdhxkhw/edit?usp=sharing"",""ตราด!J387"")"),0)</f>
        <v>0</v>
      </c>
      <c r="AP60" s="552">
        <f ca="1">IFERROR(__xludf.DUMMYFUNCTION("IMPORTRANGE(""https://docs.google.com/spreadsheets/d/1SX6NBoVAgQJ6U1MVXOaj8PK2l7WJ3RER9xtqwdhxkhw/edit?usp=sharing"",""ตราด!J388"")"),0)</f>
        <v>0</v>
      </c>
      <c r="AQ60" s="552">
        <f ca="1">IFERROR(__xludf.DUMMYFUNCTION("IMPORTRANGE(""https://docs.google.com/spreadsheets/d/1SX6NBoVAgQJ6U1MVXOaj8PK2l7WJ3RER9xtqwdhxkhw/edit?usp=sharing"",""ตราด!J389"")"),0)</f>
        <v>0</v>
      </c>
      <c r="AR60" s="552">
        <f ca="1">IFERROR(__xludf.DUMMYFUNCTION("IMPORTRANGE(""https://docs.google.com/spreadsheets/d/1SX6NBoVAgQJ6U1MVXOaj8PK2l7WJ3RER9xtqwdhxkhw/edit?usp=sharing"",""ตราด!J390"")"),0)</f>
        <v>0</v>
      </c>
      <c r="AS60" s="552">
        <f ca="1">IFERROR(__xludf.DUMMYFUNCTION("IMPORTRANGE(""https://docs.google.com/spreadsheets/d/1SX6NBoVAgQJ6U1MVXOaj8PK2l7WJ3RER9xtqwdhxkhw/edit?usp=sharing"",""ตราด!J391"")"),0)</f>
        <v>0</v>
      </c>
      <c r="AT60" s="556">
        <f ca="1">IFERROR(__xludf.DUMMYFUNCTION("IMPORTRANGE(""https://docs.google.com/spreadsheets/d/1C3CXT74ZlgGe6_JY_1olB1XN4rF0dxEuIIF-xsYjHgg/edit?usp=sharing"",""งบกองทุน!CD64"")"),1394)</f>
        <v>1394</v>
      </c>
      <c r="AU60" s="556">
        <f ca="1">IFERROR(__xludf.DUMMYFUNCTION("IMPORTRANGE(""https://docs.google.com/spreadsheets/d/1C3CXT74ZlgGe6_JY_1olB1XN4rF0dxEuIIF-xsYjHgg/edit?usp=sharing"",""งบกองทุน!CC64"")"),89)</f>
        <v>89</v>
      </c>
      <c r="AV60" s="556">
        <f t="shared" ca="1" si="112"/>
        <v>666</v>
      </c>
      <c r="AW60" s="556">
        <f t="shared" ca="1" si="12"/>
        <v>47.776183644189381</v>
      </c>
      <c r="AX60" s="556">
        <f t="shared" ca="1" si="113"/>
        <v>41</v>
      </c>
      <c r="AY60" s="556">
        <f t="shared" ca="1" si="13"/>
        <v>46.067415730337082</v>
      </c>
      <c r="AZ60" s="552">
        <f ca="1">IFERROR(__xludf.DUMMYFUNCTION("IMPORTRANGE(""https://docs.google.com/spreadsheets/d/1SX6NBoVAgQJ6U1MVXOaj8PK2l7WJ3RER9xtqwdhxkhw/edit?usp=sharing"",""ตราด!J397"")"),666)</f>
        <v>666</v>
      </c>
      <c r="BA60" s="552">
        <f ca="1">IFERROR(__xludf.DUMMYFUNCTION("IMPORTRANGE(""https://docs.google.com/spreadsheets/d/1SX6NBoVAgQJ6U1MVXOaj8PK2l7WJ3RER9xtqwdhxkhw/edit?usp=sharing"",""ตราด!J398"")"),41)</f>
        <v>41</v>
      </c>
      <c r="BB60" s="552">
        <f ca="1">IFERROR(__xludf.DUMMYFUNCTION("IMPORTRANGE(""https://docs.google.com/spreadsheets/d/1SX6NBoVAgQJ6U1MVXOaj8PK2l7WJ3RER9xtqwdhxkhw/edit?usp=sharing"",""ตราด!J399"")"),0)</f>
        <v>0</v>
      </c>
      <c r="BC60" s="552">
        <f ca="1">IFERROR(__xludf.DUMMYFUNCTION("IMPORTRANGE(""https://docs.google.com/spreadsheets/d/1SX6NBoVAgQJ6U1MVXOaj8PK2l7WJ3RER9xtqwdhxkhw/edit?usp=sharing"",""ตราด!J400"")"),0)</f>
        <v>0</v>
      </c>
      <c r="BD60" s="552">
        <f ca="1">IFERROR(__xludf.DUMMYFUNCTION("IMPORTRANGE(""https://docs.google.com/spreadsheets/d/1SX6NBoVAgQJ6U1MVXOaj8PK2l7WJ3RER9xtqwdhxkhw/edit?usp=sharing"",""ตราด!J401"")"),0)</f>
        <v>0</v>
      </c>
      <c r="BE60" s="552">
        <f ca="1">IFERROR(__xludf.DUMMYFUNCTION("IMPORTRANGE(""https://docs.google.com/spreadsheets/d/1SX6NBoVAgQJ6U1MVXOaj8PK2l7WJ3RER9xtqwdhxkhw/edit?usp=sharing"",""ตราด!J402"")"),0)</f>
        <v>0</v>
      </c>
      <c r="BF60" s="552">
        <f ca="1">IFERROR(__xludf.DUMMYFUNCTION("IMPORTRANGE(""https://docs.google.com/spreadsheets/d/1SX6NBoVAgQJ6U1MVXOaj8PK2l7WJ3RER9xtqwdhxkhw/edit?usp=sharing"",""ตราด!J405"")"),0)</f>
        <v>0</v>
      </c>
      <c r="BG60" s="552">
        <f ca="1">IFERROR(__xludf.DUMMYFUNCTION("IMPORTRANGE(""https://docs.google.com/spreadsheets/d/1SX6NBoVAgQJ6U1MVXOaj8PK2l7WJ3RER9xtqwdhxkhw/edit?usp=sharing"",""ตราด!J406"")"),0)</f>
        <v>0</v>
      </c>
      <c r="BH60" s="552">
        <f ca="1">IFERROR(__xludf.DUMMYFUNCTION("IMPORTRANGE(""https://docs.google.com/spreadsheets/d/1SX6NBoVAgQJ6U1MVXOaj8PK2l7WJ3RER9xtqwdhxkhw/edit?usp=sharing"",""ตราด!J407"")"),0)</f>
        <v>0</v>
      </c>
      <c r="BI60" s="552">
        <f ca="1">IFERROR(__xludf.DUMMYFUNCTION("IMPORTRANGE(""https://docs.google.com/spreadsheets/d/1SX6NBoVAgQJ6U1MVXOaj8PK2l7WJ3RER9xtqwdhxkhw/edit?usp=sharing"",""ตราด!J408"")"),0)</f>
        <v>0</v>
      </c>
      <c r="BJ60" s="552">
        <f ca="1">IFERROR(__xludf.DUMMYFUNCTION("IMPORTRANGE(""https://docs.google.com/spreadsheets/d/1SX6NBoVAgQJ6U1MVXOaj8PK2l7WJ3RER9xtqwdhxkhw/edit?usp=sharing"",""ตราด!J409"")"),0)</f>
        <v>0</v>
      </c>
      <c r="BK60" s="552">
        <f ca="1">IFERROR(__xludf.DUMMYFUNCTION("IMPORTRANGE(""https://docs.google.com/spreadsheets/d/1SX6NBoVAgQJ6U1MVXOaj8PK2l7WJ3RER9xtqwdhxkhw/edit?usp=sharing"",""ตราด!J410"")"),0)</f>
        <v>0</v>
      </c>
      <c r="BL60" s="556">
        <f ca="1">IFERROR(__xludf.DUMMYFUNCTION("IMPORTRANGE(""https://docs.google.com/spreadsheets/d/1C3CXT74ZlgGe6_JY_1olB1XN4rF0dxEuIIF-xsYjHgg/edit?usp=sharing"",""งบกองทุน!CZ64"")"),0)</f>
        <v>0</v>
      </c>
      <c r="BM60" s="556">
        <f ca="1">IFERROR(__xludf.DUMMYFUNCTION("IMPORTRANGE(""https://docs.google.com/spreadsheets/d/1C3CXT74ZlgGe6_JY_1olB1XN4rF0dxEuIIF-xsYjHgg/edit?usp=sharing"",""งบกองทุน!CY64"")"),0)</f>
        <v>0</v>
      </c>
      <c r="BN60" s="556">
        <f t="shared" ca="1" si="114"/>
        <v>0</v>
      </c>
      <c r="BO60" s="557">
        <f t="shared" ca="1" si="15"/>
        <v>0</v>
      </c>
      <c r="BP60" s="556">
        <f t="shared" ca="1" si="115"/>
        <v>0</v>
      </c>
      <c r="BQ60" s="557">
        <f t="shared" ca="1" si="16"/>
        <v>0</v>
      </c>
      <c r="BR60" s="552">
        <f ca="1">IFERROR(__xludf.DUMMYFUNCTION("IMPORTRANGE(""https://docs.google.com/spreadsheets/d/1SX6NBoVAgQJ6U1MVXOaj8PK2l7WJ3RER9xtqwdhxkhw/edit?usp=sharing"",""ตราด!J414"")"),0)</f>
        <v>0</v>
      </c>
      <c r="BS60" s="552">
        <f ca="1">IFERROR(__xludf.DUMMYFUNCTION("IMPORTRANGE(""https://docs.google.com/spreadsheets/d/1SX6NBoVAgQJ6U1MVXOaj8PK2l7WJ3RER9xtqwdhxkhw/edit?usp=sharing"",""ตราด!J415"")"),0)</f>
        <v>0</v>
      </c>
      <c r="BT60" s="552">
        <f ca="1">IFERROR(__xludf.DUMMYFUNCTION("IMPORTRANGE(""https://docs.google.com/spreadsheets/d/1SX6NBoVAgQJ6U1MVXOaj8PK2l7WJ3RER9xtqwdhxkhw/edit?usp=sharing"",""ตราด!J416"")"),0)</f>
        <v>0</v>
      </c>
      <c r="BU60" s="552">
        <f ca="1">IFERROR(__xludf.DUMMYFUNCTION("IMPORTRANGE(""https://docs.google.com/spreadsheets/d/1SX6NBoVAgQJ6U1MVXOaj8PK2l7WJ3RER9xtqwdhxkhw/edit?usp=sharing"",""ตราด!J417"")"),0)</f>
        <v>0</v>
      </c>
      <c r="BV60" s="552">
        <f ca="1">IFERROR(__xludf.DUMMYFUNCTION("IMPORTRANGE(""https://docs.google.com/spreadsheets/d/1SX6NBoVAgQJ6U1MVXOaj8PK2l7WJ3RER9xtqwdhxkhw/edit?usp=sharing"",""ตราด!J418"")"),0)</f>
        <v>0</v>
      </c>
      <c r="BW60" s="552">
        <f ca="1">IFERROR(__xludf.DUMMYFUNCTION("IMPORTRANGE(""https://docs.google.com/spreadsheets/d/1SX6NBoVAgQJ6U1MVXOaj8PK2l7WJ3RER9xtqwdhxkhw/edit?usp=sharing"",""ตราด!J419"")"),0)</f>
        <v>0</v>
      </c>
      <c r="BX60" s="556">
        <f t="shared" ca="1" si="116"/>
        <v>0</v>
      </c>
      <c r="BY60" s="557">
        <f t="shared" ca="1" si="117"/>
        <v>0</v>
      </c>
      <c r="BZ60" s="556">
        <f t="shared" ca="1" si="118"/>
        <v>0</v>
      </c>
      <c r="CA60" s="557">
        <f t="shared" ca="1" si="119"/>
        <v>0</v>
      </c>
      <c r="CB60" s="552">
        <f ca="1">IFERROR(__xludf.DUMMYFUNCTION("IMPORTRANGE(""https://docs.google.com/spreadsheets/d/1SX6NBoVAgQJ6U1MVXOaj8PK2l7WJ3RER9xtqwdhxkhw/edit?usp=sharing"",""ตราด!J422"")"),0)</f>
        <v>0</v>
      </c>
      <c r="CC60" s="552">
        <f ca="1">IFERROR(__xludf.DUMMYFUNCTION("IMPORTRANGE(""https://docs.google.com/spreadsheets/d/1SX6NBoVAgQJ6U1MVXOaj8PK2l7WJ3RER9xtqwdhxkhw/edit?usp=sharing"",""ตราด!J423"")"),0)</f>
        <v>0</v>
      </c>
      <c r="CD60" s="552">
        <f ca="1">IFERROR(__xludf.DUMMYFUNCTION("IMPORTRANGE(""https://docs.google.com/spreadsheets/d/1SX6NBoVAgQJ6U1MVXOaj8PK2l7WJ3RER9xtqwdhxkhw/edit?usp=sharing"",""ตราด!J424"")"),0)</f>
        <v>0</v>
      </c>
      <c r="CE60" s="552">
        <f ca="1">IFERROR(__xludf.DUMMYFUNCTION("IMPORTRANGE(""https://docs.google.com/spreadsheets/d/1SX6NBoVAgQJ6U1MVXOaj8PK2l7WJ3RER9xtqwdhxkhw/edit?usp=sharing"",""ตราด!J425"")"),0)</f>
        <v>0</v>
      </c>
      <c r="CF60" s="552">
        <f ca="1">IFERROR(__xludf.DUMMYFUNCTION("IMPORTRANGE(""https://docs.google.com/spreadsheets/d/1SX6NBoVAgQJ6U1MVXOaj8PK2l7WJ3RER9xtqwdhxkhw/edit?usp=sharing"",""ตราด!J426"")"),0)</f>
        <v>0</v>
      </c>
      <c r="CG60" s="558">
        <f ca="1">IFERROR(__xludf.DUMMYFUNCTION("IMPORTRANGE(""https://docs.google.com/spreadsheets/d/1SX6NBoVAgQJ6U1MVXOaj8PK2l7WJ3RER9xtqwdhxkhw/edit?usp=sharing"",""ตราด!J427"")"),0)</f>
        <v>0</v>
      </c>
    </row>
    <row r="61" spans="1:85" ht="21" customHeight="1">
      <c r="A61" s="549">
        <v>7</v>
      </c>
      <c r="B61" s="550" t="s">
        <v>85</v>
      </c>
      <c r="C61" s="551">
        <f t="shared" ca="1" si="105"/>
        <v>0</v>
      </c>
      <c r="D61" s="552">
        <f ca="1">IFERROR(__xludf.DUMMYFUNCTION("IMPORTRANGE(""https://docs.google.com/spreadsheets/d/1C3CXT74ZlgGe6_JY_1olB1XN4rF0dxEuIIF-xsYjHgg/edit?usp=sharing"",""งบกองทุน!BC65"")"),0)</f>
        <v>0</v>
      </c>
      <c r="E61" s="553">
        <f ca="1">IFERROR(__xludf.DUMMYFUNCTION("IMPORTRANGE(""https://docs.google.com/spreadsheets/d/1C3CXT74ZlgGe6_JY_1olB1XN4rF0dxEuIIF-xsYjHgg/edit?usp=sharing"",""งบกองทุน!BD65"")"),0)</f>
        <v>0</v>
      </c>
      <c r="F61" s="554">
        <f ca="1">IFERROR(__xludf.DUMMYFUNCTION("IMPORTRANGE(""https://docs.google.com/spreadsheets/d/1SX6NBoVAgQJ6U1MVXOaj8PK2l7WJ3RER9xtqwdhxkhw/edit?usp=sharing"",""นครนายก!M352"")"),0)</f>
        <v>0</v>
      </c>
      <c r="G61" s="554">
        <f t="shared" ca="1" si="1"/>
        <v>0</v>
      </c>
      <c r="H61" s="555">
        <f ca="1">IFERROR(__xludf.DUMMYFUNCTION("IMPORTRANGE(""https://docs.google.com/spreadsheets/d/1C3CXT74ZlgGe6_JY_1olB1XN4rF0dxEuIIF-xsYjHgg/edit?usp=sharing"",""งบกองทุน!BE65"")"),0)</f>
        <v>0</v>
      </c>
      <c r="I61" s="555">
        <f ca="1">IFERROR(__xludf.DUMMYFUNCTION("IMPORTRANGE(""https://docs.google.com/spreadsheets/d/1C3CXT74ZlgGe6_JY_1olB1XN4rF0dxEuIIF-xsYjHgg/edit?usp=sharing"",""งบกองทุน!BF65"")"),0)</f>
        <v>0</v>
      </c>
      <c r="J61" s="552">
        <f t="shared" ca="1" si="106"/>
        <v>0</v>
      </c>
      <c r="K61" s="554">
        <f t="shared" ca="1" si="3"/>
        <v>0</v>
      </c>
      <c r="L61" s="552">
        <f t="shared" ca="1" si="107"/>
        <v>0</v>
      </c>
      <c r="M61" s="554">
        <f t="shared" ca="1" si="4"/>
        <v>0</v>
      </c>
      <c r="N61" s="552">
        <f ca="1">IFERROR(__xludf.DUMMYFUNCTION("IMPORTRANGE(""https://docs.google.com/spreadsheets/d/1SX6NBoVAgQJ6U1MVXOaj8PK2l7WJ3RER9xtqwdhxkhw/edit?usp=sharing"",""นครนายก!J362"")"),0)</f>
        <v>0</v>
      </c>
      <c r="O61" s="552">
        <f ca="1">IFERROR(__xludf.DUMMYFUNCTION("IMPORTRANGE(""https://docs.google.com/spreadsheets/d/1SX6NBoVAgQJ6U1MVXOaj8PK2l7WJ3RER9xtqwdhxkhw/edit?usp=sharing"",""นครนายก!J363"")"),0)</f>
        <v>0</v>
      </c>
      <c r="P61" s="552">
        <f ca="1">IFERROR(__xludf.DUMMYFUNCTION("IMPORTRANGE(""https://docs.google.com/spreadsheets/d/1SX6NBoVAgQJ6U1MVXOaj8PK2l7WJ3RER9xtqwdhxkhw/edit?usp=sharing"",""นครนายก!J364"")"),0)</f>
        <v>0</v>
      </c>
      <c r="Q61" s="552">
        <f ca="1">IFERROR(__xludf.DUMMYFUNCTION("IMPORTRANGE(""https://docs.google.com/spreadsheets/d/1SX6NBoVAgQJ6U1MVXOaj8PK2l7WJ3RER9xtqwdhxkhw/edit?usp=sharing"",""นครนายก!J365"")"),0)</f>
        <v>0</v>
      </c>
      <c r="R61" s="552">
        <f ca="1">IFERROR(__xludf.DUMMYFUNCTION("IMPORTRANGE(""https://docs.google.com/spreadsheets/d/1SX6NBoVAgQJ6U1MVXOaj8PK2l7WJ3RER9xtqwdhxkhw/edit?usp=sharing"",""นครนายก!J366"")"),0)</f>
        <v>0</v>
      </c>
      <c r="S61" s="552">
        <f ca="1">IFERROR(__xludf.DUMMYFUNCTION("IMPORTRANGE(""https://docs.google.com/spreadsheets/d/1SX6NBoVAgQJ6U1MVXOaj8PK2l7WJ3RER9xtqwdhxkhw/edit?usp=sharing"",""นครนายก!J367"")"),0)</f>
        <v>0</v>
      </c>
      <c r="T61" s="552">
        <f t="shared" ca="1" si="108"/>
        <v>0</v>
      </c>
      <c r="U61" s="552">
        <f t="shared" ca="1" si="6"/>
        <v>0</v>
      </c>
      <c r="V61" s="552">
        <f t="shared" ca="1" si="109"/>
        <v>0</v>
      </c>
      <c r="W61" s="552">
        <f t="shared" ca="1" si="7"/>
        <v>0</v>
      </c>
      <c r="X61" s="552">
        <f ca="1">IFERROR(__xludf.DUMMYFUNCTION("IMPORTRANGE(""https://docs.google.com/spreadsheets/d/1SX6NBoVAgQJ6U1MVXOaj8PK2l7WJ3RER9xtqwdhxkhw/edit?usp=sharing"",""นครนายก!J370"")"),0)</f>
        <v>0</v>
      </c>
      <c r="Y61" s="552">
        <f ca="1">IFERROR(__xludf.DUMMYFUNCTION("IMPORTRANGE(""https://docs.google.com/spreadsheets/d/1SX6NBoVAgQJ6U1MVXOaj8PK2l7WJ3RER9xtqwdhxkhw/edit?usp=sharing"",""นครนายก!J371"")"),0)</f>
        <v>0</v>
      </c>
      <c r="Z61" s="552">
        <f ca="1">IFERROR(__xludf.DUMMYFUNCTION("IMPORTRANGE(""https://docs.google.com/spreadsheets/d/1SX6NBoVAgQJ6U1MVXOaj8PK2l7WJ3RER9xtqwdhxkhw/edit?usp=sharing"",""นครนายก!J372"")"),0)</f>
        <v>0</v>
      </c>
      <c r="AA61" s="552">
        <f ca="1">IFERROR(__xludf.DUMMYFUNCTION("IMPORTRANGE(""https://docs.google.com/spreadsheets/d/1SX6NBoVAgQJ6U1MVXOaj8PK2l7WJ3RER9xtqwdhxkhw/edit?usp=sharing"",""นครนายก!J373"")"),0)</f>
        <v>0</v>
      </c>
      <c r="AB61" s="552">
        <f ca="1">IFERROR(__xludf.DUMMYFUNCTION("IMPORTRANGE(""https://docs.google.com/spreadsheets/d/1SX6NBoVAgQJ6U1MVXOaj8PK2l7WJ3RER9xtqwdhxkhw/edit?usp=sharing"",""นครนายก!J374"")"),0)</f>
        <v>0</v>
      </c>
      <c r="AC61" s="552">
        <f ca="1">IFERROR(__xludf.DUMMYFUNCTION("IMPORTRANGE(""https://docs.google.com/spreadsheets/d/1SX6NBoVAgQJ6U1MVXOaj8PK2l7WJ3RER9xtqwdhxkhw/edit?usp=sharing"",""นครนายก!J375"")"),0)</f>
        <v>0</v>
      </c>
      <c r="AD61" s="552">
        <f t="shared" ca="1" si="110"/>
        <v>0</v>
      </c>
      <c r="AE61" s="554">
        <f t="shared" ca="1" si="9"/>
        <v>0</v>
      </c>
      <c r="AF61" s="552">
        <f t="shared" ca="1" si="111"/>
        <v>0</v>
      </c>
      <c r="AG61" s="554">
        <f t="shared" ca="1" si="10"/>
        <v>0</v>
      </c>
      <c r="AH61" s="552">
        <f ca="1">IFERROR(__xludf.DUMMYFUNCTION("IMPORTRANGE(""https://docs.google.com/spreadsheets/d/1SX6NBoVAgQJ6U1MVXOaj8PK2l7WJ3RER9xtqwdhxkhw/edit?usp=sharing"",""นครนายก!J378"")"),0)</f>
        <v>0</v>
      </c>
      <c r="AI61" s="552">
        <f ca="1">IFERROR(__xludf.DUMMYFUNCTION("IMPORTRANGE(""https://docs.google.com/spreadsheets/d/1SX6NBoVAgQJ6U1MVXOaj8PK2l7WJ3RER9xtqwdhxkhw/edit?usp=sharing"",""นครนายก!J379"")"),0)</f>
        <v>0</v>
      </c>
      <c r="AJ61" s="552">
        <f ca="1">IFERROR(__xludf.DUMMYFUNCTION("IMPORTRANGE(""https://docs.google.com/spreadsheets/d/1SX6NBoVAgQJ6U1MVXOaj8PK2l7WJ3RER9xtqwdhxkhw/edit?usp=sharing"",""นครนายก!J380"")"),0)</f>
        <v>0</v>
      </c>
      <c r="AK61" s="552">
        <f ca="1">IFERROR(__xludf.DUMMYFUNCTION("IMPORTRANGE(""https://docs.google.com/spreadsheets/d/1SX6NBoVAgQJ6U1MVXOaj8PK2l7WJ3RER9xtqwdhxkhw/edit?usp=sharing"",""นครนายก!J381"")"),0)</f>
        <v>0</v>
      </c>
      <c r="AL61" s="552">
        <f ca="1">IFERROR(__xludf.DUMMYFUNCTION("IMPORTRANGE(""https://docs.google.com/spreadsheets/d/1SX6NBoVAgQJ6U1MVXOaj8PK2l7WJ3RER9xtqwdhxkhw/edit?usp=sharing"",""นครนายก!J384"")"),0)</f>
        <v>0</v>
      </c>
      <c r="AM61" s="552">
        <f ca="1">IFERROR(__xludf.DUMMYFUNCTION("IMPORTRANGE(""https://docs.google.com/spreadsheets/d/1SX6NBoVAgQJ6U1MVXOaj8PK2l7WJ3RER9xtqwdhxkhw/edit?usp=sharing"",""นครนายก!J385"")"),0)</f>
        <v>0</v>
      </c>
      <c r="AN61" s="552">
        <f ca="1">IFERROR(__xludf.DUMMYFUNCTION("IMPORTRANGE(""https://docs.google.com/spreadsheets/d/1SX6NBoVAgQJ6U1MVXOaj8PK2l7WJ3RER9xtqwdhxkhw/edit?usp=sharing"",""นครนายก!J386"")"),0)</f>
        <v>0</v>
      </c>
      <c r="AO61" s="552">
        <f ca="1">IFERROR(__xludf.DUMMYFUNCTION("IMPORTRANGE(""https://docs.google.com/spreadsheets/d/1SX6NBoVAgQJ6U1MVXOaj8PK2l7WJ3RER9xtqwdhxkhw/edit?usp=sharing"",""นครนายก!J387"")"),0)</f>
        <v>0</v>
      </c>
      <c r="AP61" s="552">
        <f ca="1">IFERROR(__xludf.DUMMYFUNCTION("IMPORTRANGE(""https://docs.google.com/spreadsheets/d/1SX6NBoVAgQJ6U1MVXOaj8PK2l7WJ3RER9xtqwdhxkhw/edit?usp=sharing"",""นครนายก!J388"")"),0)</f>
        <v>0</v>
      </c>
      <c r="AQ61" s="552">
        <f ca="1">IFERROR(__xludf.DUMMYFUNCTION("IMPORTRANGE(""https://docs.google.com/spreadsheets/d/1SX6NBoVAgQJ6U1MVXOaj8PK2l7WJ3RER9xtqwdhxkhw/edit?usp=sharing"",""นครนายก!J389"")"),0)</f>
        <v>0</v>
      </c>
      <c r="AR61" s="552">
        <f ca="1">IFERROR(__xludf.DUMMYFUNCTION("IMPORTRANGE(""https://docs.google.com/spreadsheets/d/1SX6NBoVAgQJ6U1MVXOaj8PK2l7WJ3RER9xtqwdhxkhw/edit?usp=sharing"",""นครนายก!J390"")"),0)</f>
        <v>0</v>
      </c>
      <c r="AS61" s="552">
        <f ca="1">IFERROR(__xludf.DUMMYFUNCTION("IMPORTRANGE(""https://docs.google.com/spreadsheets/d/1SX6NBoVAgQJ6U1MVXOaj8PK2l7WJ3RER9xtqwdhxkhw/edit?usp=sharing"",""นครนายก!J391"")"),0)</f>
        <v>0</v>
      </c>
      <c r="AT61" s="556">
        <f ca="1">IFERROR(__xludf.DUMMYFUNCTION("IMPORTRANGE(""https://docs.google.com/spreadsheets/d/1C3CXT74ZlgGe6_JY_1olB1XN4rF0dxEuIIF-xsYjHgg/edit?usp=sharing"",""งบกองทุน!CD65"")"),0)</f>
        <v>0</v>
      </c>
      <c r="AU61" s="556">
        <f ca="1">IFERROR(__xludf.DUMMYFUNCTION("IMPORTRANGE(""https://docs.google.com/spreadsheets/d/1C3CXT74ZlgGe6_JY_1olB1XN4rF0dxEuIIF-xsYjHgg/edit?usp=sharing"",""งบกองทุน!CC65"")"),0)</f>
        <v>0</v>
      </c>
      <c r="AV61" s="556">
        <f t="shared" ca="1" si="112"/>
        <v>0</v>
      </c>
      <c r="AW61" s="556">
        <f t="shared" ca="1" si="12"/>
        <v>0</v>
      </c>
      <c r="AX61" s="556">
        <f t="shared" ca="1" si="113"/>
        <v>0</v>
      </c>
      <c r="AY61" s="556">
        <f t="shared" ca="1" si="13"/>
        <v>0</v>
      </c>
      <c r="AZ61" s="552">
        <f ca="1">IFERROR(__xludf.DUMMYFUNCTION("IMPORTRANGE(""https://docs.google.com/spreadsheets/d/1SX6NBoVAgQJ6U1MVXOaj8PK2l7WJ3RER9xtqwdhxkhw/edit?usp=sharing"",""นครนายก!J397"")"),0)</f>
        <v>0</v>
      </c>
      <c r="BA61" s="552">
        <f ca="1">IFERROR(__xludf.DUMMYFUNCTION("IMPORTRANGE(""https://docs.google.com/spreadsheets/d/1SX6NBoVAgQJ6U1MVXOaj8PK2l7WJ3RER9xtqwdhxkhw/edit?usp=sharing"",""นครนายก!J398"")"),0)</f>
        <v>0</v>
      </c>
      <c r="BB61" s="552">
        <f ca="1">IFERROR(__xludf.DUMMYFUNCTION("IMPORTRANGE(""https://docs.google.com/spreadsheets/d/1SX6NBoVAgQJ6U1MVXOaj8PK2l7WJ3RER9xtqwdhxkhw/edit?usp=sharing"",""นครนายก!J399"")"),0)</f>
        <v>0</v>
      </c>
      <c r="BC61" s="552">
        <f ca="1">IFERROR(__xludf.DUMMYFUNCTION("IMPORTRANGE(""https://docs.google.com/spreadsheets/d/1SX6NBoVAgQJ6U1MVXOaj8PK2l7WJ3RER9xtqwdhxkhw/edit?usp=sharing"",""นครนายก!J400"")"),0)</f>
        <v>0</v>
      </c>
      <c r="BD61" s="552">
        <f ca="1">IFERROR(__xludf.DUMMYFUNCTION("IMPORTRANGE(""https://docs.google.com/spreadsheets/d/1SX6NBoVAgQJ6U1MVXOaj8PK2l7WJ3RER9xtqwdhxkhw/edit?usp=sharing"",""นครนายก!J401"")"),0)</f>
        <v>0</v>
      </c>
      <c r="BE61" s="552">
        <f ca="1">IFERROR(__xludf.DUMMYFUNCTION("IMPORTRANGE(""https://docs.google.com/spreadsheets/d/1SX6NBoVAgQJ6U1MVXOaj8PK2l7WJ3RER9xtqwdhxkhw/edit?usp=sharing"",""นครนายก!J402"")"),0)</f>
        <v>0</v>
      </c>
      <c r="BF61" s="552">
        <f ca="1">IFERROR(__xludf.DUMMYFUNCTION("IMPORTRANGE(""https://docs.google.com/spreadsheets/d/1SX6NBoVAgQJ6U1MVXOaj8PK2l7WJ3RER9xtqwdhxkhw/edit?usp=sharing"",""นครนายก!J405"")"),0)</f>
        <v>0</v>
      </c>
      <c r="BG61" s="552">
        <f ca="1">IFERROR(__xludf.DUMMYFUNCTION("IMPORTRANGE(""https://docs.google.com/spreadsheets/d/1SX6NBoVAgQJ6U1MVXOaj8PK2l7WJ3RER9xtqwdhxkhw/edit?usp=sharing"",""นครนายก!J406"")"),0)</f>
        <v>0</v>
      </c>
      <c r="BH61" s="552">
        <f ca="1">IFERROR(__xludf.DUMMYFUNCTION("IMPORTRANGE(""https://docs.google.com/spreadsheets/d/1SX6NBoVAgQJ6U1MVXOaj8PK2l7WJ3RER9xtqwdhxkhw/edit?usp=sharing"",""นครนายก!J407"")"),0)</f>
        <v>0</v>
      </c>
      <c r="BI61" s="552">
        <f ca="1">IFERROR(__xludf.DUMMYFUNCTION("IMPORTRANGE(""https://docs.google.com/spreadsheets/d/1SX6NBoVAgQJ6U1MVXOaj8PK2l7WJ3RER9xtqwdhxkhw/edit?usp=sharing"",""นครนายก!J408"")"),0)</f>
        <v>0</v>
      </c>
      <c r="BJ61" s="552">
        <f ca="1">IFERROR(__xludf.DUMMYFUNCTION("IMPORTRANGE(""https://docs.google.com/spreadsheets/d/1SX6NBoVAgQJ6U1MVXOaj8PK2l7WJ3RER9xtqwdhxkhw/edit?usp=sharing"",""นครนายก!J409"")"),0)</f>
        <v>0</v>
      </c>
      <c r="BK61" s="552">
        <f ca="1">IFERROR(__xludf.DUMMYFUNCTION("IMPORTRANGE(""https://docs.google.com/spreadsheets/d/1SX6NBoVAgQJ6U1MVXOaj8PK2l7WJ3RER9xtqwdhxkhw/edit?usp=sharing"",""นครนายก!J410"")"),0)</f>
        <v>0</v>
      </c>
      <c r="BL61" s="556">
        <f ca="1">IFERROR(__xludf.DUMMYFUNCTION("IMPORTRANGE(""https://docs.google.com/spreadsheets/d/1C3CXT74ZlgGe6_JY_1olB1XN4rF0dxEuIIF-xsYjHgg/edit?usp=sharing"",""งบกองทุน!CZ65"")"),0)</f>
        <v>0</v>
      </c>
      <c r="BM61" s="556">
        <f ca="1">IFERROR(__xludf.DUMMYFUNCTION("IMPORTRANGE(""https://docs.google.com/spreadsheets/d/1C3CXT74ZlgGe6_JY_1olB1XN4rF0dxEuIIF-xsYjHgg/edit?usp=sharing"",""งบกองทุน!CY65"")"),0)</f>
        <v>0</v>
      </c>
      <c r="BN61" s="556">
        <f t="shared" ca="1" si="114"/>
        <v>0</v>
      </c>
      <c r="BO61" s="557">
        <f t="shared" ca="1" si="15"/>
        <v>0</v>
      </c>
      <c r="BP61" s="556">
        <f t="shared" ca="1" si="115"/>
        <v>0</v>
      </c>
      <c r="BQ61" s="557">
        <f t="shared" ca="1" si="16"/>
        <v>0</v>
      </c>
      <c r="BR61" s="552">
        <f ca="1">IFERROR(__xludf.DUMMYFUNCTION("IMPORTRANGE(""https://docs.google.com/spreadsheets/d/1SX6NBoVAgQJ6U1MVXOaj8PK2l7WJ3RER9xtqwdhxkhw/edit?usp=sharing"",""นครนายก!J414"")"),0)</f>
        <v>0</v>
      </c>
      <c r="BS61" s="552">
        <f ca="1">IFERROR(__xludf.DUMMYFUNCTION("IMPORTRANGE(""https://docs.google.com/spreadsheets/d/1SX6NBoVAgQJ6U1MVXOaj8PK2l7WJ3RER9xtqwdhxkhw/edit?usp=sharing"",""นครนายก!J415"")"),0)</f>
        <v>0</v>
      </c>
      <c r="BT61" s="552">
        <f ca="1">IFERROR(__xludf.DUMMYFUNCTION("IMPORTRANGE(""https://docs.google.com/spreadsheets/d/1SX6NBoVAgQJ6U1MVXOaj8PK2l7WJ3RER9xtqwdhxkhw/edit?usp=sharing"",""นครนายก!J416"")"),0)</f>
        <v>0</v>
      </c>
      <c r="BU61" s="552">
        <f ca="1">IFERROR(__xludf.DUMMYFUNCTION("IMPORTRANGE(""https://docs.google.com/spreadsheets/d/1SX6NBoVAgQJ6U1MVXOaj8PK2l7WJ3RER9xtqwdhxkhw/edit?usp=sharing"",""นครนายก!J417"")"),0)</f>
        <v>0</v>
      </c>
      <c r="BV61" s="552">
        <f ca="1">IFERROR(__xludf.DUMMYFUNCTION("IMPORTRANGE(""https://docs.google.com/spreadsheets/d/1SX6NBoVAgQJ6U1MVXOaj8PK2l7WJ3RER9xtqwdhxkhw/edit?usp=sharing"",""นครนายก!J418"")"),0)</f>
        <v>0</v>
      </c>
      <c r="BW61" s="552">
        <f ca="1">IFERROR(__xludf.DUMMYFUNCTION("IMPORTRANGE(""https://docs.google.com/spreadsheets/d/1SX6NBoVAgQJ6U1MVXOaj8PK2l7WJ3RER9xtqwdhxkhw/edit?usp=sharing"",""นครนายก!J419"")"),0)</f>
        <v>0</v>
      </c>
      <c r="BX61" s="556">
        <f t="shared" ca="1" si="116"/>
        <v>0</v>
      </c>
      <c r="BY61" s="557">
        <f t="shared" ca="1" si="117"/>
        <v>0</v>
      </c>
      <c r="BZ61" s="556">
        <f t="shared" ca="1" si="118"/>
        <v>0</v>
      </c>
      <c r="CA61" s="557">
        <f t="shared" ca="1" si="119"/>
        <v>0</v>
      </c>
      <c r="CB61" s="552">
        <f ca="1">IFERROR(__xludf.DUMMYFUNCTION("IMPORTRANGE(""https://docs.google.com/spreadsheets/d/1SX6NBoVAgQJ6U1MVXOaj8PK2l7WJ3RER9xtqwdhxkhw/edit?usp=sharing"",""นครนายก!J422"")"),0)</f>
        <v>0</v>
      </c>
      <c r="CC61" s="552">
        <f ca="1">IFERROR(__xludf.DUMMYFUNCTION("IMPORTRANGE(""https://docs.google.com/spreadsheets/d/1SX6NBoVAgQJ6U1MVXOaj8PK2l7WJ3RER9xtqwdhxkhw/edit?usp=sharing"",""นครนายก!J423"")"),0)</f>
        <v>0</v>
      </c>
      <c r="CD61" s="552">
        <f ca="1">IFERROR(__xludf.DUMMYFUNCTION("IMPORTRANGE(""https://docs.google.com/spreadsheets/d/1SX6NBoVAgQJ6U1MVXOaj8PK2l7WJ3RER9xtqwdhxkhw/edit?usp=sharing"",""นครนายก!J424"")"),0)</f>
        <v>0</v>
      </c>
      <c r="CE61" s="552">
        <f ca="1">IFERROR(__xludf.DUMMYFUNCTION("IMPORTRANGE(""https://docs.google.com/spreadsheets/d/1SX6NBoVAgQJ6U1MVXOaj8PK2l7WJ3RER9xtqwdhxkhw/edit?usp=sharing"",""นครนายก!J425"")"),0)</f>
        <v>0</v>
      </c>
      <c r="CF61" s="552">
        <f ca="1">IFERROR(__xludf.DUMMYFUNCTION("IMPORTRANGE(""https://docs.google.com/spreadsheets/d/1SX6NBoVAgQJ6U1MVXOaj8PK2l7WJ3RER9xtqwdhxkhw/edit?usp=sharing"",""นครนายก!J426"")"),0)</f>
        <v>0</v>
      </c>
      <c r="CG61" s="558">
        <f ca="1">IFERROR(__xludf.DUMMYFUNCTION("IMPORTRANGE(""https://docs.google.com/spreadsheets/d/1SX6NBoVAgQJ6U1MVXOaj8PK2l7WJ3RER9xtqwdhxkhw/edit?usp=sharing"",""นครนายก!J427"")"),0)</f>
        <v>0</v>
      </c>
    </row>
    <row r="62" spans="1:85" ht="21" customHeight="1">
      <c r="A62" s="549">
        <v>8</v>
      </c>
      <c r="B62" s="550" t="s">
        <v>86</v>
      </c>
      <c r="C62" s="551">
        <f t="shared" ca="1" si="105"/>
        <v>0</v>
      </c>
      <c r="D62" s="552">
        <f ca="1">IFERROR(__xludf.DUMMYFUNCTION("IMPORTRANGE(""https://docs.google.com/spreadsheets/d/1C3CXT74ZlgGe6_JY_1olB1XN4rF0dxEuIIF-xsYjHgg/edit?usp=sharing"",""งบกองทุน!BC66"")"),0)</f>
        <v>0</v>
      </c>
      <c r="E62" s="553">
        <f ca="1">IFERROR(__xludf.DUMMYFUNCTION("IMPORTRANGE(""https://docs.google.com/spreadsheets/d/1C3CXT74ZlgGe6_JY_1olB1XN4rF0dxEuIIF-xsYjHgg/edit?usp=sharing"",""งบกองทุน!BD66"")"),0)</f>
        <v>0</v>
      </c>
      <c r="F62" s="554">
        <f ca="1">IFERROR(__xludf.DUMMYFUNCTION("IMPORTRANGE(""https://docs.google.com/spreadsheets/d/1SX6NBoVAgQJ6U1MVXOaj8PK2l7WJ3RER9xtqwdhxkhw/edit?usp=sharing"",""นครปฐม!M352"")"),0)</f>
        <v>0</v>
      </c>
      <c r="G62" s="554">
        <f t="shared" ca="1" si="1"/>
        <v>0</v>
      </c>
      <c r="H62" s="555">
        <f ca="1">IFERROR(__xludf.DUMMYFUNCTION("IMPORTRANGE(""https://docs.google.com/spreadsheets/d/1C3CXT74ZlgGe6_JY_1olB1XN4rF0dxEuIIF-xsYjHgg/edit?usp=sharing"",""งบกองทุน!BE66"")"),0)</f>
        <v>0</v>
      </c>
      <c r="I62" s="555">
        <f ca="1">IFERROR(__xludf.DUMMYFUNCTION("IMPORTRANGE(""https://docs.google.com/spreadsheets/d/1C3CXT74ZlgGe6_JY_1olB1XN4rF0dxEuIIF-xsYjHgg/edit?usp=sharing"",""งบกองทุน!BF66"")"),0)</f>
        <v>0</v>
      </c>
      <c r="J62" s="552">
        <f t="shared" ca="1" si="106"/>
        <v>0</v>
      </c>
      <c r="K62" s="554">
        <f t="shared" ca="1" si="3"/>
        <v>0</v>
      </c>
      <c r="L62" s="552">
        <f t="shared" ca="1" si="107"/>
        <v>0</v>
      </c>
      <c r="M62" s="554">
        <f t="shared" ca="1" si="4"/>
        <v>0</v>
      </c>
      <c r="N62" s="552">
        <f ca="1">IFERROR(__xludf.DUMMYFUNCTION("IMPORTRANGE(""https://docs.google.com/spreadsheets/d/1SX6NBoVAgQJ6U1MVXOaj8PK2l7WJ3RER9xtqwdhxkhw/edit?usp=sharing"",""นครปฐม!J362"")"),0)</f>
        <v>0</v>
      </c>
      <c r="O62" s="552">
        <f ca="1">IFERROR(__xludf.DUMMYFUNCTION("IMPORTRANGE(""https://docs.google.com/spreadsheets/d/1SX6NBoVAgQJ6U1MVXOaj8PK2l7WJ3RER9xtqwdhxkhw/edit?usp=sharing"",""นครปฐม!J363"")"),0)</f>
        <v>0</v>
      </c>
      <c r="P62" s="552">
        <f ca="1">IFERROR(__xludf.DUMMYFUNCTION("IMPORTRANGE(""https://docs.google.com/spreadsheets/d/1SX6NBoVAgQJ6U1MVXOaj8PK2l7WJ3RER9xtqwdhxkhw/edit?usp=sharing"",""นครปฐม!J364"")"),0)</f>
        <v>0</v>
      </c>
      <c r="Q62" s="552">
        <f ca="1">IFERROR(__xludf.DUMMYFUNCTION("IMPORTRANGE(""https://docs.google.com/spreadsheets/d/1SX6NBoVAgQJ6U1MVXOaj8PK2l7WJ3RER9xtqwdhxkhw/edit?usp=sharing"",""นครปฐม!J365"")"),0)</f>
        <v>0</v>
      </c>
      <c r="R62" s="552">
        <f ca="1">IFERROR(__xludf.DUMMYFUNCTION("IMPORTRANGE(""https://docs.google.com/spreadsheets/d/1SX6NBoVAgQJ6U1MVXOaj8PK2l7WJ3RER9xtqwdhxkhw/edit?usp=sharing"",""นครปฐม!J366"")"),0)</f>
        <v>0</v>
      </c>
      <c r="S62" s="552">
        <f ca="1">IFERROR(__xludf.DUMMYFUNCTION("IMPORTRANGE(""https://docs.google.com/spreadsheets/d/1SX6NBoVAgQJ6U1MVXOaj8PK2l7WJ3RER9xtqwdhxkhw/edit?usp=sharing"",""นครปฐม!J367"")"),0)</f>
        <v>0</v>
      </c>
      <c r="T62" s="552">
        <f t="shared" ca="1" si="108"/>
        <v>0</v>
      </c>
      <c r="U62" s="552">
        <f t="shared" ca="1" si="6"/>
        <v>0</v>
      </c>
      <c r="V62" s="552">
        <f t="shared" ca="1" si="109"/>
        <v>0</v>
      </c>
      <c r="W62" s="552">
        <f t="shared" ca="1" si="7"/>
        <v>0</v>
      </c>
      <c r="X62" s="552">
        <f ca="1">IFERROR(__xludf.DUMMYFUNCTION("IMPORTRANGE(""https://docs.google.com/spreadsheets/d/1SX6NBoVAgQJ6U1MVXOaj8PK2l7WJ3RER9xtqwdhxkhw/edit?usp=sharing"",""นครปฐม!J370"")"),0)</f>
        <v>0</v>
      </c>
      <c r="Y62" s="552">
        <f ca="1">IFERROR(__xludf.DUMMYFUNCTION("IMPORTRANGE(""https://docs.google.com/spreadsheets/d/1SX6NBoVAgQJ6U1MVXOaj8PK2l7WJ3RER9xtqwdhxkhw/edit?usp=sharing"",""นครปฐม!J371"")"),0)</f>
        <v>0</v>
      </c>
      <c r="Z62" s="552">
        <f ca="1">IFERROR(__xludf.DUMMYFUNCTION("IMPORTRANGE(""https://docs.google.com/spreadsheets/d/1SX6NBoVAgQJ6U1MVXOaj8PK2l7WJ3RER9xtqwdhxkhw/edit?usp=sharing"",""นครปฐม!J372"")"),0)</f>
        <v>0</v>
      </c>
      <c r="AA62" s="552">
        <f ca="1">IFERROR(__xludf.DUMMYFUNCTION("IMPORTRANGE(""https://docs.google.com/spreadsheets/d/1SX6NBoVAgQJ6U1MVXOaj8PK2l7WJ3RER9xtqwdhxkhw/edit?usp=sharing"",""นครปฐม!J373"")"),0)</f>
        <v>0</v>
      </c>
      <c r="AB62" s="552">
        <f ca="1">IFERROR(__xludf.DUMMYFUNCTION("IMPORTRANGE(""https://docs.google.com/spreadsheets/d/1SX6NBoVAgQJ6U1MVXOaj8PK2l7WJ3RER9xtqwdhxkhw/edit?usp=sharing"",""นครปฐม!J374"")"),0)</f>
        <v>0</v>
      </c>
      <c r="AC62" s="552">
        <f ca="1">IFERROR(__xludf.DUMMYFUNCTION("IMPORTRANGE(""https://docs.google.com/spreadsheets/d/1SX6NBoVAgQJ6U1MVXOaj8PK2l7WJ3RER9xtqwdhxkhw/edit?usp=sharing"",""นครปฐม!J375"")"),0)</f>
        <v>0</v>
      </c>
      <c r="AD62" s="552">
        <f t="shared" ca="1" si="110"/>
        <v>0</v>
      </c>
      <c r="AE62" s="554">
        <f t="shared" ca="1" si="9"/>
        <v>0</v>
      </c>
      <c r="AF62" s="552">
        <f t="shared" ca="1" si="111"/>
        <v>0</v>
      </c>
      <c r="AG62" s="554">
        <f t="shared" ca="1" si="10"/>
        <v>0</v>
      </c>
      <c r="AH62" s="552">
        <f ca="1">IFERROR(__xludf.DUMMYFUNCTION("IMPORTRANGE(""https://docs.google.com/spreadsheets/d/1SX6NBoVAgQJ6U1MVXOaj8PK2l7WJ3RER9xtqwdhxkhw/edit?usp=sharing"",""นครปฐม!J378"")"),0)</f>
        <v>0</v>
      </c>
      <c r="AI62" s="552">
        <f ca="1">IFERROR(__xludf.DUMMYFUNCTION("IMPORTRANGE(""https://docs.google.com/spreadsheets/d/1SX6NBoVAgQJ6U1MVXOaj8PK2l7WJ3RER9xtqwdhxkhw/edit?usp=sharing"",""นครปฐม!J379"")"),0)</f>
        <v>0</v>
      </c>
      <c r="AJ62" s="552">
        <f ca="1">IFERROR(__xludf.DUMMYFUNCTION("IMPORTRANGE(""https://docs.google.com/spreadsheets/d/1SX6NBoVAgQJ6U1MVXOaj8PK2l7WJ3RER9xtqwdhxkhw/edit?usp=sharing"",""นครปฐม!J380"")"),0)</f>
        <v>0</v>
      </c>
      <c r="AK62" s="552">
        <f ca="1">IFERROR(__xludf.DUMMYFUNCTION("IMPORTRANGE(""https://docs.google.com/spreadsheets/d/1SX6NBoVAgQJ6U1MVXOaj8PK2l7WJ3RER9xtqwdhxkhw/edit?usp=sharing"",""นครปฐม!J381"")"),0)</f>
        <v>0</v>
      </c>
      <c r="AL62" s="552">
        <f ca="1">IFERROR(__xludf.DUMMYFUNCTION("IMPORTRANGE(""https://docs.google.com/spreadsheets/d/1SX6NBoVAgQJ6U1MVXOaj8PK2l7WJ3RER9xtqwdhxkhw/edit?usp=sharing"",""นครปฐม!J384"")"),0)</f>
        <v>0</v>
      </c>
      <c r="AM62" s="552">
        <f ca="1">IFERROR(__xludf.DUMMYFUNCTION("IMPORTRANGE(""https://docs.google.com/spreadsheets/d/1SX6NBoVAgQJ6U1MVXOaj8PK2l7WJ3RER9xtqwdhxkhw/edit?usp=sharing"",""นครปฐม!J385"")"),0)</f>
        <v>0</v>
      </c>
      <c r="AN62" s="552">
        <f ca="1">IFERROR(__xludf.DUMMYFUNCTION("IMPORTRANGE(""https://docs.google.com/spreadsheets/d/1SX6NBoVAgQJ6U1MVXOaj8PK2l7WJ3RER9xtqwdhxkhw/edit?usp=sharing"",""นครปฐม!J386"")"),0)</f>
        <v>0</v>
      </c>
      <c r="AO62" s="552">
        <f ca="1">IFERROR(__xludf.DUMMYFUNCTION("IMPORTRANGE(""https://docs.google.com/spreadsheets/d/1SX6NBoVAgQJ6U1MVXOaj8PK2l7WJ3RER9xtqwdhxkhw/edit?usp=sharing"",""นครปฐม!J387"")"),0)</f>
        <v>0</v>
      </c>
      <c r="AP62" s="552">
        <f ca="1">IFERROR(__xludf.DUMMYFUNCTION("IMPORTRANGE(""https://docs.google.com/spreadsheets/d/1SX6NBoVAgQJ6U1MVXOaj8PK2l7WJ3RER9xtqwdhxkhw/edit?usp=sharing"",""นครปฐม!J388"")"),0)</f>
        <v>0</v>
      </c>
      <c r="AQ62" s="552">
        <f ca="1">IFERROR(__xludf.DUMMYFUNCTION("IMPORTRANGE(""https://docs.google.com/spreadsheets/d/1SX6NBoVAgQJ6U1MVXOaj8PK2l7WJ3RER9xtqwdhxkhw/edit?usp=sharing"",""นครปฐม!J389"")"),0)</f>
        <v>0</v>
      </c>
      <c r="AR62" s="552">
        <f ca="1">IFERROR(__xludf.DUMMYFUNCTION("IMPORTRANGE(""https://docs.google.com/spreadsheets/d/1SX6NBoVAgQJ6U1MVXOaj8PK2l7WJ3RER9xtqwdhxkhw/edit?usp=sharing"",""นครปฐม!J390"")"),0)</f>
        <v>0</v>
      </c>
      <c r="AS62" s="552">
        <f ca="1">IFERROR(__xludf.DUMMYFUNCTION("IMPORTRANGE(""https://docs.google.com/spreadsheets/d/1SX6NBoVAgQJ6U1MVXOaj8PK2l7WJ3RER9xtqwdhxkhw/edit?usp=sharing"",""นครปฐม!J391"")"),0)</f>
        <v>0</v>
      </c>
      <c r="AT62" s="556">
        <f ca="1">IFERROR(__xludf.DUMMYFUNCTION("IMPORTRANGE(""https://docs.google.com/spreadsheets/d/1C3CXT74ZlgGe6_JY_1olB1XN4rF0dxEuIIF-xsYjHgg/edit?usp=sharing"",""งบกองทุน!CD66"")"),0)</f>
        <v>0</v>
      </c>
      <c r="AU62" s="556">
        <f ca="1">IFERROR(__xludf.DUMMYFUNCTION("IMPORTRANGE(""https://docs.google.com/spreadsheets/d/1C3CXT74ZlgGe6_JY_1olB1XN4rF0dxEuIIF-xsYjHgg/edit?usp=sharing"",""งบกองทุน!CC66"")"),0)</f>
        <v>0</v>
      </c>
      <c r="AV62" s="556">
        <f t="shared" ca="1" si="112"/>
        <v>0</v>
      </c>
      <c r="AW62" s="556">
        <f t="shared" ca="1" si="12"/>
        <v>0</v>
      </c>
      <c r="AX62" s="556">
        <f t="shared" ca="1" si="113"/>
        <v>0</v>
      </c>
      <c r="AY62" s="556">
        <f t="shared" ca="1" si="13"/>
        <v>0</v>
      </c>
      <c r="AZ62" s="552">
        <f ca="1">IFERROR(__xludf.DUMMYFUNCTION("IMPORTRANGE(""https://docs.google.com/spreadsheets/d/1SX6NBoVAgQJ6U1MVXOaj8PK2l7WJ3RER9xtqwdhxkhw/edit?usp=sharing"",""นครปฐม!J397"")"),0)</f>
        <v>0</v>
      </c>
      <c r="BA62" s="552">
        <f ca="1">IFERROR(__xludf.DUMMYFUNCTION("IMPORTRANGE(""https://docs.google.com/spreadsheets/d/1SX6NBoVAgQJ6U1MVXOaj8PK2l7WJ3RER9xtqwdhxkhw/edit?usp=sharing"",""นครปฐม!J398"")"),0)</f>
        <v>0</v>
      </c>
      <c r="BB62" s="552">
        <f ca="1">IFERROR(__xludf.DUMMYFUNCTION("IMPORTRANGE(""https://docs.google.com/spreadsheets/d/1SX6NBoVAgQJ6U1MVXOaj8PK2l7WJ3RER9xtqwdhxkhw/edit?usp=sharing"",""นครปฐม!J399"")"),0)</f>
        <v>0</v>
      </c>
      <c r="BC62" s="552">
        <f ca="1">IFERROR(__xludf.DUMMYFUNCTION("IMPORTRANGE(""https://docs.google.com/spreadsheets/d/1SX6NBoVAgQJ6U1MVXOaj8PK2l7WJ3RER9xtqwdhxkhw/edit?usp=sharing"",""นครปฐม!J400"")"),0)</f>
        <v>0</v>
      </c>
      <c r="BD62" s="552">
        <f ca="1">IFERROR(__xludf.DUMMYFUNCTION("IMPORTRANGE(""https://docs.google.com/spreadsheets/d/1SX6NBoVAgQJ6U1MVXOaj8PK2l7WJ3RER9xtqwdhxkhw/edit?usp=sharing"",""นครปฐม!J401"")"),0)</f>
        <v>0</v>
      </c>
      <c r="BE62" s="552">
        <f ca="1">IFERROR(__xludf.DUMMYFUNCTION("IMPORTRANGE(""https://docs.google.com/spreadsheets/d/1SX6NBoVAgQJ6U1MVXOaj8PK2l7WJ3RER9xtqwdhxkhw/edit?usp=sharing"",""นครปฐม!J402"")"),0)</f>
        <v>0</v>
      </c>
      <c r="BF62" s="552">
        <f ca="1">IFERROR(__xludf.DUMMYFUNCTION("IMPORTRANGE(""https://docs.google.com/spreadsheets/d/1SX6NBoVAgQJ6U1MVXOaj8PK2l7WJ3RER9xtqwdhxkhw/edit?usp=sharing"",""นครปฐม!J405"")"),0)</f>
        <v>0</v>
      </c>
      <c r="BG62" s="552">
        <f ca="1">IFERROR(__xludf.DUMMYFUNCTION("IMPORTRANGE(""https://docs.google.com/spreadsheets/d/1SX6NBoVAgQJ6U1MVXOaj8PK2l7WJ3RER9xtqwdhxkhw/edit?usp=sharing"",""นครปฐม!J406"")"),0)</f>
        <v>0</v>
      </c>
      <c r="BH62" s="552">
        <f ca="1">IFERROR(__xludf.DUMMYFUNCTION("IMPORTRANGE(""https://docs.google.com/spreadsheets/d/1SX6NBoVAgQJ6U1MVXOaj8PK2l7WJ3RER9xtqwdhxkhw/edit?usp=sharing"",""นครปฐม!J407"")"),0)</f>
        <v>0</v>
      </c>
      <c r="BI62" s="552">
        <f ca="1">IFERROR(__xludf.DUMMYFUNCTION("IMPORTRANGE(""https://docs.google.com/spreadsheets/d/1SX6NBoVAgQJ6U1MVXOaj8PK2l7WJ3RER9xtqwdhxkhw/edit?usp=sharing"",""นครปฐม!J408"")"),0)</f>
        <v>0</v>
      </c>
      <c r="BJ62" s="552">
        <f ca="1">IFERROR(__xludf.DUMMYFUNCTION("IMPORTRANGE(""https://docs.google.com/spreadsheets/d/1SX6NBoVAgQJ6U1MVXOaj8PK2l7WJ3RER9xtqwdhxkhw/edit?usp=sharing"",""นครปฐม!J409"")"),0)</f>
        <v>0</v>
      </c>
      <c r="BK62" s="552">
        <f ca="1">IFERROR(__xludf.DUMMYFUNCTION("IMPORTRANGE(""https://docs.google.com/spreadsheets/d/1SX6NBoVAgQJ6U1MVXOaj8PK2l7WJ3RER9xtqwdhxkhw/edit?usp=sharing"",""นครปฐม!J410"")"),0)</f>
        <v>0</v>
      </c>
      <c r="BL62" s="556">
        <f ca="1">IFERROR(__xludf.DUMMYFUNCTION("IMPORTRANGE(""https://docs.google.com/spreadsheets/d/1C3CXT74ZlgGe6_JY_1olB1XN4rF0dxEuIIF-xsYjHgg/edit?usp=sharing"",""งบกองทุน!CZ66"")"),0)</f>
        <v>0</v>
      </c>
      <c r="BM62" s="556">
        <f ca="1">IFERROR(__xludf.DUMMYFUNCTION("IMPORTRANGE(""https://docs.google.com/spreadsheets/d/1C3CXT74ZlgGe6_JY_1olB1XN4rF0dxEuIIF-xsYjHgg/edit?usp=sharing"",""งบกองทุน!CY66"")"),0)</f>
        <v>0</v>
      </c>
      <c r="BN62" s="556">
        <f t="shared" ca="1" si="114"/>
        <v>0</v>
      </c>
      <c r="BO62" s="557">
        <f t="shared" ca="1" si="15"/>
        <v>0</v>
      </c>
      <c r="BP62" s="556">
        <f t="shared" ca="1" si="115"/>
        <v>0</v>
      </c>
      <c r="BQ62" s="557">
        <f t="shared" ca="1" si="16"/>
        <v>0</v>
      </c>
      <c r="BR62" s="552">
        <f ca="1">IFERROR(__xludf.DUMMYFUNCTION("IMPORTRANGE(""https://docs.google.com/spreadsheets/d/1SX6NBoVAgQJ6U1MVXOaj8PK2l7WJ3RER9xtqwdhxkhw/edit?usp=sharing"",""นครปฐม!J414"")"),0)</f>
        <v>0</v>
      </c>
      <c r="BS62" s="552">
        <f ca="1">IFERROR(__xludf.DUMMYFUNCTION("IMPORTRANGE(""https://docs.google.com/spreadsheets/d/1SX6NBoVAgQJ6U1MVXOaj8PK2l7WJ3RER9xtqwdhxkhw/edit?usp=sharing"",""นครปฐม!J415"")"),0)</f>
        <v>0</v>
      </c>
      <c r="BT62" s="552">
        <f ca="1">IFERROR(__xludf.DUMMYFUNCTION("IMPORTRANGE(""https://docs.google.com/spreadsheets/d/1SX6NBoVAgQJ6U1MVXOaj8PK2l7WJ3RER9xtqwdhxkhw/edit?usp=sharing"",""นครปฐม!J416"")"),0)</f>
        <v>0</v>
      </c>
      <c r="BU62" s="552">
        <f ca="1">IFERROR(__xludf.DUMMYFUNCTION("IMPORTRANGE(""https://docs.google.com/spreadsheets/d/1SX6NBoVAgQJ6U1MVXOaj8PK2l7WJ3RER9xtqwdhxkhw/edit?usp=sharing"",""นครปฐม!J417"")"),0)</f>
        <v>0</v>
      </c>
      <c r="BV62" s="552">
        <f ca="1">IFERROR(__xludf.DUMMYFUNCTION("IMPORTRANGE(""https://docs.google.com/spreadsheets/d/1SX6NBoVAgQJ6U1MVXOaj8PK2l7WJ3RER9xtqwdhxkhw/edit?usp=sharing"",""นครปฐม!J418"")"),0)</f>
        <v>0</v>
      </c>
      <c r="BW62" s="552">
        <f ca="1">IFERROR(__xludf.DUMMYFUNCTION("IMPORTRANGE(""https://docs.google.com/spreadsheets/d/1SX6NBoVAgQJ6U1MVXOaj8PK2l7WJ3RER9xtqwdhxkhw/edit?usp=sharing"",""นครปฐม!J419"")"),0)</f>
        <v>0</v>
      </c>
      <c r="BX62" s="556">
        <f t="shared" ca="1" si="116"/>
        <v>0</v>
      </c>
      <c r="BY62" s="557">
        <f t="shared" ca="1" si="117"/>
        <v>0</v>
      </c>
      <c r="BZ62" s="556">
        <f t="shared" ca="1" si="118"/>
        <v>0</v>
      </c>
      <c r="CA62" s="557">
        <f t="shared" ca="1" si="119"/>
        <v>0</v>
      </c>
      <c r="CB62" s="552">
        <f ca="1">IFERROR(__xludf.DUMMYFUNCTION("IMPORTRANGE(""https://docs.google.com/spreadsheets/d/1SX6NBoVAgQJ6U1MVXOaj8PK2l7WJ3RER9xtqwdhxkhw/edit?usp=sharing"",""นครปฐม!J422"")"),0)</f>
        <v>0</v>
      </c>
      <c r="CC62" s="552">
        <f ca="1">IFERROR(__xludf.DUMMYFUNCTION("IMPORTRANGE(""https://docs.google.com/spreadsheets/d/1SX6NBoVAgQJ6U1MVXOaj8PK2l7WJ3RER9xtqwdhxkhw/edit?usp=sharing"",""นครปฐม!J423"")"),0)</f>
        <v>0</v>
      </c>
      <c r="CD62" s="552">
        <f ca="1">IFERROR(__xludf.DUMMYFUNCTION("IMPORTRANGE(""https://docs.google.com/spreadsheets/d/1SX6NBoVAgQJ6U1MVXOaj8PK2l7WJ3RER9xtqwdhxkhw/edit?usp=sharing"",""นครปฐม!J424"")"),0)</f>
        <v>0</v>
      </c>
      <c r="CE62" s="552">
        <f ca="1">IFERROR(__xludf.DUMMYFUNCTION("IMPORTRANGE(""https://docs.google.com/spreadsheets/d/1SX6NBoVAgQJ6U1MVXOaj8PK2l7WJ3RER9xtqwdhxkhw/edit?usp=sharing"",""นครปฐม!J425"")"),0)</f>
        <v>0</v>
      </c>
      <c r="CF62" s="552">
        <f ca="1">IFERROR(__xludf.DUMMYFUNCTION("IMPORTRANGE(""https://docs.google.com/spreadsheets/d/1SX6NBoVAgQJ6U1MVXOaj8PK2l7WJ3RER9xtqwdhxkhw/edit?usp=sharing"",""นครปฐม!J426"")"),0)</f>
        <v>0</v>
      </c>
      <c r="CG62" s="558">
        <f ca="1">IFERROR(__xludf.DUMMYFUNCTION("IMPORTRANGE(""https://docs.google.com/spreadsheets/d/1SX6NBoVAgQJ6U1MVXOaj8PK2l7WJ3RER9xtqwdhxkhw/edit?usp=sharing"",""นครปฐม!J427"")"),0)</f>
        <v>0</v>
      </c>
    </row>
    <row r="63" spans="1:85" ht="21" customHeight="1">
      <c r="A63" s="549">
        <v>9</v>
      </c>
      <c r="B63" s="550" t="s">
        <v>87</v>
      </c>
      <c r="C63" s="551">
        <f t="shared" ca="1" si="105"/>
        <v>0</v>
      </c>
      <c r="D63" s="552">
        <f ca="1">IFERROR(__xludf.DUMMYFUNCTION("IMPORTRANGE(""https://docs.google.com/spreadsheets/d/1C3CXT74ZlgGe6_JY_1olB1XN4rF0dxEuIIF-xsYjHgg/edit?usp=sharing"",""งบกองทุน!BC67"")"),0)</f>
        <v>0</v>
      </c>
      <c r="E63" s="553">
        <f ca="1">IFERROR(__xludf.DUMMYFUNCTION("IMPORTRANGE(""https://docs.google.com/spreadsheets/d/1C3CXT74ZlgGe6_JY_1olB1XN4rF0dxEuIIF-xsYjHgg/edit?usp=sharing"",""งบกองทุน!BD67"")"),0)</f>
        <v>0</v>
      </c>
      <c r="F63" s="554">
        <f ca="1">IFERROR(__xludf.DUMMYFUNCTION("IMPORTRANGE(""https://docs.google.com/spreadsheets/d/1SX6NBoVAgQJ6U1MVXOaj8PK2l7WJ3RER9xtqwdhxkhw/edit?usp=sharing"",""ปทุมธานี!M352"")"),0)</f>
        <v>0</v>
      </c>
      <c r="G63" s="554">
        <f t="shared" ca="1" si="1"/>
        <v>0</v>
      </c>
      <c r="H63" s="555">
        <f ca="1">IFERROR(__xludf.DUMMYFUNCTION("IMPORTRANGE(""https://docs.google.com/spreadsheets/d/1C3CXT74ZlgGe6_JY_1olB1XN4rF0dxEuIIF-xsYjHgg/edit?usp=sharing"",""งบกองทุน!BE67"")"),0)</f>
        <v>0</v>
      </c>
      <c r="I63" s="555">
        <f ca="1">IFERROR(__xludf.DUMMYFUNCTION("IMPORTRANGE(""https://docs.google.com/spreadsheets/d/1C3CXT74ZlgGe6_JY_1olB1XN4rF0dxEuIIF-xsYjHgg/edit?usp=sharing"",""งบกองทุน!BF67"")"),0)</f>
        <v>0</v>
      </c>
      <c r="J63" s="552">
        <f t="shared" ca="1" si="106"/>
        <v>0</v>
      </c>
      <c r="K63" s="554">
        <f t="shared" ca="1" si="3"/>
        <v>0</v>
      </c>
      <c r="L63" s="552">
        <f t="shared" ca="1" si="107"/>
        <v>0</v>
      </c>
      <c r="M63" s="554">
        <f t="shared" ca="1" si="4"/>
        <v>0</v>
      </c>
      <c r="N63" s="552">
        <f ca="1">IFERROR(__xludf.DUMMYFUNCTION("IMPORTRANGE(""https://docs.google.com/spreadsheets/d/1SX6NBoVAgQJ6U1MVXOaj8PK2l7WJ3RER9xtqwdhxkhw/edit?usp=sharing"",""ปทุมธานี!J362"")"),0)</f>
        <v>0</v>
      </c>
      <c r="O63" s="552">
        <f ca="1">IFERROR(__xludf.DUMMYFUNCTION("IMPORTRANGE(""https://docs.google.com/spreadsheets/d/1SX6NBoVAgQJ6U1MVXOaj8PK2l7WJ3RER9xtqwdhxkhw/edit?usp=sharing"",""ปทุมธานี!J363"")"),0)</f>
        <v>0</v>
      </c>
      <c r="P63" s="552">
        <f ca="1">IFERROR(__xludf.DUMMYFUNCTION("IMPORTRANGE(""https://docs.google.com/spreadsheets/d/1SX6NBoVAgQJ6U1MVXOaj8PK2l7WJ3RER9xtqwdhxkhw/edit?usp=sharing"",""ปทุมธานี!J364"")"),0)</f>
        <v>0</v>
      </c>
      <c r="Q63" s="552">
        <f ca="1">IFERROR(__xludf.DUMMYFUNCTION("IMPORTRANGE(""https://docs.google.com/spreadsheets/d/1SX6NBoVAgQJ6U1MVXOaj8PK2l7WJ3RER9xtqwdhxkhw/edit?usp=sharing"",""ปทุมธานี!J365"")"),0)</f>
        <v>0</v>
      </c>
      <c r="R63" s="552">
        <f ca="1">IFERROR(__xludf.DUMMYFUNCTION("IMPORTRANGE(""https://docs.google.com/spreadsheets/d/1SX6NBoVAgQJ6U1MVXOaj8PK2l7WJ3RER9xtqwdhxkhw/edit?usp=sharing"",""ปทุมธานี!J366"")"),0)</f>
        <v>0</v>
      </c>
      <c r="S63" s="552">
        <f ca="1">IFERROR(__xludf.DUMMYFUNCTION("IMPORTRANGE(""https://docs.google.com/spreadsheets/d/1SX6NBoVAgQJ6U1MVXOaj8PK2l7WJ3RER9xtqwdhxkhw/edit?usp=sharing"",""ปทุมธานี!J367"")"),0)</f>
        <v>0</v>
      </c>
      <c r="T63" s="552">
        <f t="shared" ca="1" si="108"/>
        <v>0</v>
      </c>
      <c r="U63" s="552">
        <f t="shared" ca="1" si="6"/>
        <v>0</v>
      </c>
      <c r="V63" s="552">
        <f t="shared" ca="1" si="109"/>
        <v>0</v>
      </c>
      <c r="W63" s="552">
        <f t="shared" ca="1" si="7"/>
        <v>0</v>
      </c>
      <c r="X63" s="552">
        <f ca="1">IFERROR(__xludf.DUMMYFUNCTION("IMPORTRANGE(""https://docs.google.com/spreadsheets/d/1SX6NBoVAgQJ6U1MVXOaj8PK2l7WJ3RER9xtqwdhxkhw/edit?usp=sharing"",""ปทุมธานี!J370"")"),0)</f>
        <v>0</v>
      </c>
      <c r="Y63" s="552">
        <f ca="1">IFERROR(__xludf.DUMMYFUNCTION("IMPORTRANGE(""https://docs.google.com/spreadsheets/d/1SX6NBoVAgQJ6U1MVXOaj8PK2l7WJ3RER9xtqwdhxkhw/edit?usp=sharing"",""ปทุมธานี!J371"")"),0)</f>
        <v>0</v>
      </c>
      <c r="Z63" s="552">
        <f ca="1">IFERROR(__xludf.DUMMYFUNCTION("IMPORTRANGE(""https://docs.google.com/spreadsheets/d/1SX6NBoVAgQJ6U1MVXOaj8PK2l7WJ3RER9xtqwdhxkhw/edit?usp=sharing"",""ปทุมธานี!J372"")"),0)</f>
        <v>0</v>
      </c>
      <c r="AA63" s="552">
        <f ca="1">IFERROR(__xludf.DUMMYFUNCTION("IMPORTRANGE(""https://docs.google.com/spreadsheets/d/1SX6NBoVAgQJ6U1MVXOaj8PK2l7WJ3RER9xtqwdhxkhw/edit?usp=sharing"",""ปทุมธานี!J373"")"),0)</f>
        <v>0</v>
      </c>
      <c r="AB63" s="552">
        <f ca="1">IFERROR(__xludf.DUMMYFUNCTION("IMPORTRANGE(""https://docs.google.com/spreadsheets/d/1SX6NBoVAgQJ6U1MVXOaj8PK2l7WJ3RER9xtqwdhxkhw/edit?usp=sharing"",""ปทุมธานี!J374"")"),0)</f>
        <v>0</v>
      </c>
      <c r="AC63" s="552">
        <f ca="1">IFERROR(__xludf.DUMMYFUNCTION("IMPORTRANGE(""https://docs.google.com/spreadsheets/d/1SX6NBoVAgQJ6U1MVXOaj8PK2l7WJ3RER9xtqwdhxkhw/edit?usp=sharing"",""ปทุมธานี!J375"")"),0)</f>
        <v>0</v>
      </c>
      <c r="AD63" s="552">
        <f t="shared" ca="1" si="110"/>
        <v>0</v>
      </c>
      <c r="AE63" s="554">
        <f t="shared" ca="1" si="9"/>
        <v>0</v>
      </c>
      <c r="AF63" s="552">
        <f t="shared" ca="1" si="111"/>
        <v>0</v>
      </c>
      <c r="AG63" s="554">
        <f t="shared" ca="1" si="10"/>
        <v>0</v>
      </c>
      <c r="AH63" s="552">
        <f ca="1">IFERROR(__xludf.DUMMYFUNCTION("IMPORTRANGE(""https://docs.google.com/spreadsheets/d/1SX6NBoVAgQJ6U1MVXOaj8PK2l7WJ3RER9xtqwdhxkhw/edit?usp=sharing"",""ปทุมธานี!J378"")"),0)</f>
        <v>0</v>
      </c>
      <c r="AI63" s="552">
        <f ca="1">IFERROR(__xludf.DUMMYFUNCTION("IMPORTRANGE(""https://docs.google.com/spreadsheets/d/1SX6NBoVAgQJ6U1MVXOaj8PK2l7WJ3RER9xtqwdhxkhw/edit?usp=sharing"",""ปทุมธานี!J379"")"),0)</f>
        <v>0</v>
      </c>
      <c r="AJ63" s="552">
        <f ca="1">IFERROR(__xludf.DUMMYFUNCTION("IMPORTRANGE(""https://docs.google.com/spreadsheets/d/1SX6NBoVAgQJ6U1MVXOaj8PK2l7WJ3RER9xtqwdhxkhw/edit?usp=sharing"",""ปทุมธานี!J380"")"),0)</f>
        <v>0</v>
      </c>
      <c r="AK63" s="552">
        <f ca="1">IFERROR(__xludf.DUMMYFUNCTION("IMPORTRANGE(""https://docs.google.com/spreadsheets/d/1SX6NBoVAgQJ6U1MVXOaj8PK2l7WJ3RER9xtqwdhxkhw/edit?usp=sharing"",""ปทุมธานี!J381"")"),0)</f>
        <v>0</v>
      </c>
      <c r="AL63" s="552">
        <f ca="1">IFERROR(__xludf.DUMMYFUNCTION("IMPORTRANGE(""https://docs.google.com/spreadsheets/d/1SX6NBoVAgQJ6U1MVXOaj8PK2l7WJ3RER9xtqwdhxkhw/edit?usp=sharing"",""ปทุมธานี!J384"")"),0)</f>
        <v>0</v>
      </c>
      <c r="AM63" s="552">
        <f ca="1">IFERROR(__xludf.DUMMYFUNCTION("IMPORTRANGE(""https://docs.google.com/spreadsheets/d/1SX6NBoVAgQJ6U1MVXOaj8PK2l7WJ3RER9xtqwdhxkhw/edit?usp=sharing"",""ปทุมธานี!J385"")"),0)</f>
        <v>0</v>
      </c>
      <c r="AN63" s="552">
        <f ca="1">IFERROR(__xludf.DUMMYFUNCTION("IMPORTRANGE(""https://docs.google.com/spreadsheets/d/1SX6NBoVAgQJ6U1MVXOaj8PK2l7WJ3RER9xtqwdhxkhw/edit?usp=sharing"",""ปทุมธานี!J386"")"),0)</f>
        <v>0</v>
      </c>
      <c r="AO63" s="552">
        <f ca="1">IFERROR(__xludf.DUMMYFUNCTION("IMPORTRANGE(""https://docs.google.com/spreadsheets/d/1SX6NBoVAgQJ6U1MVXOaj8PK2l7WJ3RER9xtqwdhxkhw/edit?usp=sharing"",""ปทุมธานี!J387"")"),0)</f>
        <v>0</v>
      </c>
      <c r="AP63" s="552">
        <f ca="1">IFERROR(__xludf.DUMMYFUNCTION("IMPORTRANGE(""https://docs.google.com/spreadsheets/d/1SX6NBoVAgQJ6U1MVXOaj8PK2l7WJ3RER9xtqwdhxkhw/edit?usp=sharing"",""ปทุมธานี!J388"")"),0)</f>
        <v>0</v>
      </c>
      <c r="AQ63" s="552">
        <f ca="1">IFERROR(__xludf.DUMMYFUNCTION("IMPORTRANGE(""https://docs.google.com/spreadsheets/d/1SX6NBoVAgQJ6U1MVXOaj8PK2l7WJ3RER9xtqwdhxkhw/edit?usp=sharing"",""ปทุมธานี!J389"")"),0)</f>
        <v>0</v>
      </c>
      <c r="AR63" s="552">
        <f ca="1">IFERROR(__xludf.DUMMYFUNCTION("IMPORTRANGE(""https://docs.google.com/spreadsheets/d/1SX6NBoVAgQJ6U1MVXOaj8PK2l7WJ3RER9xtqwdhxkhw/edit?usp=sharing"",""ปทุมธานี!J390"")"),0)</f>
        <v>0</v>
      </c>
      <c r="AS63" s="552">
        <f ca="1">IFERROR(__xludf.DUMMYFUNCTION("IMPORTRANGE(""https://docs.google.com/spreadsheets/d/1SX6NBoVAgQJ6U1MVXOaj8PK2l7WJ3RER9xtqwdhxkhw/edit?usp=sharing"",""ปทุมธานี!J391"")"),0)</f>
        <v>0</v>
      </c>
      <c r="AT63" s="556">
        <f ca="1">IFERROR(__xludf.DUMMYFUNCTION("IMPORTRANGE(""https://docs.google.com/spreadsheets/d/1C3CXT74ZlgGe6_JY_1olB1XN4rF0dxEuIIF-xsYjHgg/edit?usp=sharing"",""งบกองทุน!CD67"")"),0)</f>
        <v>0</v>
      </c>
      <c r="AU63" s="556">
        <f ca="1">IFERROR(__xludf.DUMMYFUNCTION("IMPORTRANGE(""https://docs.google.com/spreadsheets/d/1C3CXT74ZlgGe6_JY_1olB1XN4rF0dxEuIIF-xsYjHgg/edit?usp=sharing"",""งบกองทุน!CC67"")"),0)</f>
        <v>0</v>
      </c>
      <c r="AV63" s="556">
        <f t="shared" ca="1" si="112"/>
        <v>0</v>
      </c>
      <c r="AW63" s="556">
        <f t="shared" ca="1" si="12"/>
        <v>0</v>
      </c>
      <c r="AX63" s="556">
        <f t="shared" ca="1" si="113"/>
        <v>0</v>
      </c>
      <c r="AY63" s="556">
        <f t="shared" ca="1" si="13"/>
        <v>0</v>
      </c>
      <c r="AZ63" s="552">
        <f ca="1">IFERROR(__xludf.DUMMYFUNCTION("IMPORTRANGE(""https://docs.google.com/spreadsheets/d/1SX6NBoVAgQJ6U1MVXOaj8PK2l7WJ3RER9xtqwdhxkhw/edit?usp=sharing"",""ปทุมธานี!J397"")"),0)</f>
        <v>0</v>
      </c>
      <c r="BA63" s="552">
        <f ca="1">IFERROR(__xludf.DUMMYFUNCTION("IMPORTRANGE(""https://docs.google.com/spreadsheets/d/1SX6NBoVAgQJ6U1MVXOaj8PK2l7WJ3RER9xtqwdhxkhw/edit?usp=sharing"",""ปทุมธานี!J398"")"),0)</f>
        <v>0</v>
      </c>
      <c r="BB63" s="552">
        <f ca="1">IFERROR(__xludf.DUMMYFUNCTION("IMPORTRANGE(""https://docs.google.com/spreadsheets/d/1SX6NBoVAgQJ6U1MVXOaj8PK2l7WJ3RER9xtqwdhxkhw/edit?usp=sharing"",""ปทุมธานี!J399"")"),0)</f>
        <v>0</v>
      </c>
      <c r="BC63" s="552">
        <f ca="1">IFERROR(__xludf.DUMMYFUNCTION("IMPORTRANGE(""https://docs.google.com/spreadsheets/d/1SX6NBoVAgQJ6U1MVXOaj8PK2l7WJ3RER9xtqwdhxkhw/edit?usp=sharing"",""ปทุมธานี!J400"")"),0)</f>
        <v>0</v>
      </c>
      <c r="BD63" s="552">
        <f ca="1">IFERROR(__xludf.DUMMYFUNCTION("IMPORTRANGE(""https://docs.google.com/spreadsheets/d/1SX6NBoVAgQJ6U1MVXOaj8PK2l7WJ3RER9xtqwdhxkhw/edit?usp=sharing"",""ปทุมธานี!J401"")"),0)</f>
        <v>0</v>
      </c>
      <c r="BE63" s="552">
        <f ca="1">IFERROR(__xludf.DUMMYFUNCTION("IMPORTRANGE(""https://docs.google.com/spreadsheets/d/1SX6NBoVAgQJ6U1MVXOaj8PK2l7WJ3RER9xtqwdhxkhw/edit?usp=sharing"",""ปทุมธานี!J402"")"),0)</f>
        <v>0</v>
      </c>
      <c r="BF63" s="552">
        <f ca="1">IFERROR(__xludf.DUMMYFUNCTION("IMPORTRANGE(""https://docs.google.com/spreadsheets/d/1SX6NBoVAgQJ6U1MVXOaj8PK2l7WJ3RER9xtqwdhxkhw/edit?usp=sharing"",""ปทุมธานี!J405"")"),0)</f>
        <v>0</v>
      </c>
      <c r="BG63" s="552">
        <f ca="1">IFERROR(__xludf.DUMMYFUNCTION("IMPORTRANGE(""https://docs.google.com/spreadsheets/d/1SX6NBoVAgQJ6U1MVXOaj8PK2l7WJ3RER9xtqwdhxkhw/edit?usp=sharing"",""ปทุมธานี!J406"")"),0)</f>
        <v>0</v>
      </c>
      <c r="BH63" s="552">
        <f ca="1">IFERROR(__xludf.DUMMYFUNCTION("IMPORTRANGE(""https://docs.google.com/spreadsheets/d/1SX6NBoVAgQJ6U1MVXOaj8PK2l7WJ3RER9xtqwdhxkhw/edit?usp=sharing"",""ปทุมธานี!J407"")"),0)</f>
        <v>0</v>
      </c>
      <c r="BI63" s="552">
        <f ca="1">IFERROR(__xludf.DUMMYFUNCTION("IMPORTRANGE(""https://docs.google.com/spreadsheets/d/1SX6NBoVAgQJ6U1MVXOaj8PK2l7WJ3RER9xtqwdhxkhw/edit?usp=sharing"",""ปทุมธานี!J408"")"),0)</f>
        <v>0</v>
      </c>
      <c r="BJ63" s="552">
        <f ca="1">IFERROR(__xludf.DUMMYFUNCTION("IMPORTRANGE(""https://docs.google.com/spreadsheets/d/1SX6NBoVAgQJ6U1MVXOaj8PK2l7WJ3RER9xtqwdhxkhw/edit?usp=sharing"",""ปทุมธานี!J409"")"),0)</f>
        <v>0</v>
      </c>
      <c r="BK63" s="552">
        <f ca="1">IFERROR(__xludf.DUMMYFUNCTION("IMPORTRANGE(""https://docs.google.com/spreadsheets/d/1SX6NBoVAgQJ6U1MVXOaj8PK2l7WJ3RER9xtqwdhxkhw/edit?usp=sharing"",""ปทุมธานี!J410"")"),0)</f>
        <v>0</v>
      </c>
      <c r="BL63" s="556">
        <f ca="1">IFERROR(__xludf.DUMMYFUNCTION("IMPORTRANGE(""https://docs.google.com/spreadsheets/d/1C3CXT74ZlgGe6_JY_1olB1XN4rF0dxEuIIF-xsYjHgg/edit?usp=sharing"",""งบกองทุน!CZ67"")"),0)</f>
        <v>0</v>
      </c>
      <c r="BM63" s="556">
        <f ca="1">IFERROR(__xludf.DUMMYFUNCTION("IMPORTRANGE(""https://docs.google.com/spreadsheets/d/1C3CXT74ZlgGe6_JY_1olB1XN4rF0dxEuIIF-xsYjHgg/edit?usp=sharing"",""งบกองทุน!CY67"")"),0)</f>
        <v>0</v>
      </c>
      <c r="BN63" s="556">
        <f t="shared" ca="1" si="114"/>
        <v>0</v>
      </c>
      <c r="BO63" s="557">
        <f t="shared" ca="1" si="15"/>
        <v>0</v>
      </c>
      <c r="BP63" s="556">
        <f t="shared" ca="1" si="115"/>
        <v>0</v>
      </c>
      <c r="BQ63" s="557">
        <f t="shared" ca="1" si="16"/>
        <v>0</v>
      </c>
      <c r="BR63" s="552">
        <f ca="1">IFERROR(__xludf.DUMMYFUNCTION("IMPORTRANGE(""https://docs.google.com/spreadsheets/d/1SX6NBoVAgQJ6U1MVXOaj8PK2l7WJ3RER9xtqwdhxkhw/edit?usp=sharing"",""ปทุมธานี!J414"")"),0)</f>
        <v>0</v>
      </c>
      <c r="BS63" s="552">
        <f ca="1">IFERROR(__xludf.DUMMYFUNCTION("IMPORTRANGE(""https://docs.google.com/spreadsheets/d/1SX6NBoVAgQJ6U1MVXOaj8PK2l7WJ3RER9xtqwdhxkhw/edit?usp=sharing"",""ปทุมธานี!J415"")"),0)</f>
        <v>0</v>
      </c>
      <c r="BT63" s="552">
        <f ca="1">IFERROR(__xludf.DUMMYFUNCTION("IMPORTRANGE(""https://docs.google.com/spreadsheets/d/1SX6NBoVAgQJ6U1MVXOaj8PK2l7WJ3RER9xtqwdhxkhw/edit?usp=sharing"",""ปทุมธานี!J416"")"),0)</f>
        <v>0</v>
      </c>
      <c r="BU63" s="552">
        <f ca="1">IFERROR(__xludf.DUMMYFUNCTION("IMPORTRANGE(""https://docs.google.com/spreadsheets/d/1SX6NBoVAgQJ6U1MVXOaj8PK2l7WJ3RER9xtqwdhxkhw/edit?usp=sharing"",""ปทุมธานี!J417"")"),0)</f>
        <v>0</v>
      </c>
      <c r="BV63" s="552">
        <f ca="1">IFERROR(__xludf.DUMMYFUNCTION("IMPORTRANGE(""https://docs.google.com/spreadsheets/d/1SX6NBoVAgQJ6U1MVXOaj8PK2l7WJ3RER9xtqwdhxkhw/edit?usp=sharing"",""ปทุมธานี!J418"")"),0)</f>
        <v>0</v>
      </c>
      <c r="BW63" s="552">
        <f ca="1">IFERROR(__xludf.DUMMYFUNCTION("IMPORTRANGE(""https://docs.google.com/spreadsheets/d/1SX6NBoVAgQJ6U1MVXOaj8PK2l7WJ3RER9xtqwdhxkhw/edit?usp=sharing"",""ปทุมธานี!J419"")"),0)</f>
        <v>0</v>
      </c>
      <c r="BX63" s="556">
        <f t="shared" ca="1" si="116"/>
        <v>0</v>
      </c>
      <c r="BY63" s="557">
        <f t="shared" ca="1" si="117"/>
        <v>0</v>
      </c>
      <c r="BZ63" s="556">
        <f t="shared" ca="1" si="118"/>
        <v>0</v>
      </c>
      <c r="CA63" s="557">
        <f t="shared" ca="1" si="119"/>
        <v>0</v>
      </c>
      <c r="CB63" s="552">
        <f ca="1">IFERROR(__xludf.DUMMYFUNCTION("IMPORTRANGE(""https://docs.google.com/spreadsheets/d/1SX6NBoVAgQJ6U1MVXOaj8PK2l7WJ3RER9xtqwdhxkhw/edit?usp=sharing"",""ปทุมธานี!J422"")"),0)</f>
        <v>0</v>
      </c>
      <c r="CC63" s="552">
        <f ca="1">IFERROR(__xludf.DUMMYFUNCTION("IMPORTRANGE(""https://docs.google.com/spreadsheets/d/1SX6NBoVAgQJ6U1MVXOaj8PK2l7WJ3RER9xtqwdhxkhw/edit?usp=sharing"",""ปทุมธานี!J423"")"),0)</f>
        <v>0</v>
      </c>
      <c r="CD63" s="552">
        <f ca="1">IFERROR(__xludf.DUMMYFUNCTION("IMPORTRANGE(""https://docs.google.com/spreadsheets/d/1SX6NBoVAgQJ6U1MVXOaj8PK2l7WJ3RER9xtqwdhxkhw/edit?usp=sharing"",""ปทุมธานี!J424"")"),0)</f>
        <v>0</v>
      </c>
      <c r="CE63" s="552">
        <f ca="1">IFERROR(__xludf.DUMMYFUNCTION("IMPORTRANGE(""https://docs.google.com/spreadsheets/d/1SX6NBoVAgQJ6U1MVXOaj8PK2l7WJ3RER9xtqwdhxkhw/edit?usp=sharing"",""ปทุมธานี!J425"")"),0)</f>
        <v>0</v>
      </c>
      <c r="CF63" s="552">
        <f ca="1">IFERROR(__xludf.DUMMYFUNCTION("IMPORTRANGE(""https://docs.google.com/spreadsheets/d/1SX6NBoVAgQJ6U1MVXOaj8PK2l7WJ3RER9xtqwdhxkhw/edit?usp=sharing"",""ปทุมธานี!J426"")"),0)</f>
        <v>0</v>
      </c>
      <c r="CG63" s="558">
        <f ca="1">IFERROR(__xludf.DUMMYFUNCTION("IMPORTRANGE(""https://docs.google.com/spreadsheets/d/1SX6NBoVAgQJ6U1MVXOaj8PK2l7WJ3RER9xtqwdhxkhw/edit?usp=sharing"",""ปทุมธานี!J427"")"),0)</f>
        <v>0</v>
      </c>
    </row>
    <row r="64" spans="1:85" ht="21" customHeight="1">
      <c r="A64" s="549">
        <v>10</v>
      </c>
      <c r="B64" s="550" t="s">
        <v>88</v>
      </c>
      <c r="C64" s="551">
        <f t="shared" ca="1" si="105"/>
        <v>155069</v>
      </c>
      <c r="D64" s="552">
        <f ca="1">IFERROR(__xludf.DUMMYFUNCTION("IMPORTRANGE(""https://docs.google.com/spreadsheets/d/1C3CXT74ZlgGe6_JY_1olB1XN4rF0dxEuIIF-xsYjHgg/edit?usp=sharing"",""งบกองทุน!BC68"")"),0)</f>
        <v>0</v>
      </c>
      <c r="E64" s="553">
        <f ca="1">IFERROR(__xludf.DUMMYFUNCTION("IMPORTRANGE(""https://docs.google.com/spreadsheets/d/1C3CXT74ZlgGe6_JY_1olB1XN4rF0dxEuIIF-xsYjHgg/edit?usp=sharing"",""งบกองทุน!BD68"")"),155069)</f>
        <v>155069</v>
      </c>
      <c r="F64" s="554">
        <f ca="1">IFERROR(__xludf.DUMMYFUNCTION("IMPORTRANGE(""https://docs.google.com/spreadsheets/d/1SX6NBoVAgQJ6U1MVXOaj8PK2l7WJ3RER9xtqwdhxkhw/edit?usp=sharing"",""ประจวบคีรีขันธ์!M352"")"),21459)</f>
        <v>21459</v>
      </c>
      <c r="G64" s="554">
        <f t="shared" ca="1" si="1"/>
        <v>13.838355828695613</v>
      </c>
      <c r="H64" s="555">
        <f ca="1">IFERROR(__xludf.DUMMYFUNCTION("IMPORTRANGE(""https://docs.google.com/spreadsheets/d/1C3CXT74ZlgGe6_JY_1olB1XN4rF0dxEuIIF-xsYjHgg/edit?usp=sharing"",""งบกองทุน!BE68"")"),20755)</f>
        <v>20755</v>
      </c>
      <c r="I64" s="555">
        <f ca="1">IFERROR(__xludf.DUMMYFUNCTION("IMPORTRANGE(""https://docs.google.com/spreadsheets/d/1C3CXT74ZlgGe6_JY_1olB1XN4rF0dxEuIIF-xsYjHgg/edit?usp=sharing"",""งบกองทุน!BF68"")"),2020)</f>
        <v>2020</v>
      </c>
      <c r="J64" s="552">
        <f t="shared" ca="1" si="106"/>
        <v>20755</v>
      </c>
      <c r="K64" s="554">
        <f t="shared" ca="1" si="3"/>
        <v>100</v>
      </c>
      <c r="L64" s="552">
        <f t="shared" ca="1" si="107"/>
        <v>2020</v>
      </c>
      <c r="M64" s="554">
        <f t="shared" ca="1" si="4"/>
        <v>100</v>
      </c>
      <c r="N64" s="552">
        <f ca="1">IFERROR(__xludf.DUMMYFUNCTION("IMPORTRANGE(""https://docs.google.com/spreadsheets/d/1SX6NBoVAgQJ6U1MVXOaj8PK2l7WJ3RER9xtqwdhxkhw/edit?usp=sharing"",""ประจวบคีรีขันธ์!J362"")"),14932)</f>
        <v>14932</v>
      </c>
      <c r="O64" s="552">
        <f ca="1">IFERROR(__xludf.DUMMYFUNCTION("IMPORTRANGE(""https://docs.google.com/spreadsheets/d/1SX6NBoVAgQJ6U1MVXOaj8PK2l7WJ3RER9xtqwdhxkhw/edit?usp=sharing"",""ประจวบคีรีขันธ์!J363"")"),1508)</f>
        <v>1508</v>
      </c>
      <c r="P64" s="552">
        <f ca="1">IFERROR(__xludf.DUMMYFUNCTION("IMPORTRANGE(""https://docs.google.com/spreadsheets/d/1SX6NBoVAgQJ6U1MVXOaj8PK2l7WJ3RER9xtqwdhxkhw/edit?usp=sharing"",""ประจวบคีรีขันธ์!J364"")"),5461)</f>
        <v>5461</v>
      </c>
      <c r="Q64" s="552">
        <f ca="1">IFERROR(__xludf.DUMMYFUNCTION("IMPORTRANGE(""https://docs.google.com/spreadsheets/d/1SX6NBoVAgQJ6U1MVXOaj8PK2l7WJ3RER9xtqwdhxkhw/edit?usp=sharing"",""ประจวบคีรีขันธ์!J365"")"),466)</f>
        <v>466</v>
      </c>
      <c r="R64" s="552">
        <f ca="1">IFERROR(__xludf.DUMMYFUNCTION("IMPORTRANGE(""https://docs.google.com/spreadsheets/d/1SX6NBoVAgQJ6U1MVXOaj8PK2l7WJ3RER9xtqwdhxkhw/edit?usp=sharing"",""ประจวบคีรีขันธ์!J366"")"),362)</f>
        <v>362</v>
      </c>
      <c r="S64" s="552">
        <f ca="1">IFERROR(__xludf.DUMMYFUNCTION("IMPORTRANGE(""https://docs.google.com/spreadsheets/d/1SX6NBoVAgQJ6U1MVXOaj8PK2l7WJ3RER9xtqwdhxkhw/edit?usp=sharing"",""ประจวบคีรีขันธ์!J367"")"),46)</f>
        <v>46</v>
      </c>
      <c r="T64" s="552">
        <f t="shared" ca="1" si="108"/>
        <v>0</v>
      </c>
      <c r="U64" s="552">
        <f t="shared" ca="1" si="6"/>
        <v>0</v>
      </c>
      <c r="V64" s="552">
        <f t="shared" ca="1" si="109"/>
        <v>0</v>
      </c>
      <c r="W64" s="552">
        <f t="shared" ca="1" si="7"/>
        <v>0</v>
      </c>
      <c r="X64" s="552">
        <f ca="1">IFERROR(__xludf.DUMMYFUNCTION("IMPORTRANGE(""https://docs.google.com/spreadsheets/d/1SX6NBoVAgQJ6U1MVXOaj8PK2l7WJ3RER9xtqwdhxkhw/edit?usp=sharing"",""ประจวบคีรีขันธ์!J370"")"),0)</f>
        <v>0</v>
      </c>
      <c r="Y64" s="552">
        <f ca="1">IFERROR(__xludf.DUMMYFUNCTION("IMPORTRANGE(""https://docs.google.com/spreadsheets/d/1SX6NBoVAgQJ6U1MVXOaj8PK2l7WJ3RER9xtqwdhxkhw/edit?usp=sharing"",""ประจวบคีรีขันธ์!J371"")"),0)</f>
        <v>0</v>
      </c>
      <c r="Z64" s="552">
        <f ca="1">IFERROR(__xludf.DUMMYFUNCTION("IMPORTRANGE(""https://docs.google.com/spreadsheets/d/1SX6NBoVAgQJ6U1MVXOaj8PK2l7WJ3RER9xtqwdhxkhw/edit?usp=sharing"",""ประจวบคีรีขันธ์!J372"")"),0)</f>
        <v>0</v>
      </c>
      <c r="AA64" s="552">
        <f ca="1">IFERROR(__xludf.DUMMYFUNCTION("IMPORTRANGE(""https://docs.google.com/spreadsheets/d/1SX6NBoVAgQJ6U1MVXOaj8PK2l7WJ3RER9xtqwdhxkhw/edit?usp=sharing"",""ประจวบคีรีขันธ์!J373"")"),0)</f>
        <v>0</v>
      </c>
      <c r="AB64" s="552">
        <f ca="1">IFERROR(__xludf.DUMMYFUNCTION("IMPORTRANGE(""https://docs.google.com/spreadsheets/d/1SX6NBoVAgQJ6U1MVXOaj8PK2l7WJ3RER9xtqwdhxkhw/edit?usp=sharing"",""ประจวบคีรีขันธ์!J374"")"),0)</f>
        <v>0</v>
      </c>
      <c r="AC64" s="552">
        <f ca="1">IFERROR(__xludf.DUMMYFUNCTION("IMPORTRANGE(""https://docs.google.com/spreadsheets/d/1SX6NBoVAgQJ6U1MVXOaj8PK2l7WJ3RER9xtqwdhxkhw/edit?usp=sharing"",""ประจวบคีรีขันธ์!J375"")"),0)</f>
        <v>0</v>
      </c>
      <c r="AD64" s="552">
        <f t="shared" ca="1" si="110"/>
        <v>0</v>
      </c>
      <c r="AE64" s="554">
        <f t="shared" ca="1" si="9"/>
        <v>0</v>
      </c>
      <c r="AF64" s="552">
        <f t="shared" ca="1" si="111"/>
        <v>0</v>
      </c>
      <c r="AG64" s="554">
        <f t="shared" ca="1" si="10"/>
        <v>0</v>
      </c>
      <c r="AH64" s="552">
        <f ca="1">IFERROR(__xludf.DUMMYFUNCTION("IMPORTRANGE(""https://docs.google.com/spreadsheets/d/1SX6NBoVAgQJ6U1MVXOaj8PK2l7WJ3RER9xtqwdhxkhw/edit?usp=sharing"",""ประจวบคีรีขันธ์!J378"")"),0)</f>
        <v>0</v>
      </c>
      <c r="AI64" s="552">
        <f ca="1">IFERROR(__xludf.DUMMYFUNCTION("IMPORTRANGE(""https://docs.google.com/spreadsheets/d/1SX6NBoVAgQJ6U1MVXOaj8PK2l7WJ3RER9xtqwdhxkhw/edit?usp=sharing"",""ประจวบคีรีขันธ์!J379"")"),0)</f>
        <v>0</v>
      </c>
      <c r="AJ64" s="552">
        <f ca="1">IFERROR(__xludf.DUMMYFUNCTION("IMPORTRANGE(""https://docs.google.com/spreadsheets/d/1SX6NBoVAgQJ6U1MVXOaj8PK2l7WJ3RER9xtqwdhxkhw/edit?usp=sharing"",""ประจวบคีรีขันธ์!J380"")"),0)</f>
        <v>0</v>
      </c>
      <c r="AK64" s="552">
        <f ca="1">IFERROR(__xludf.DUMMYFUNCTION("IMPORTRANGE(""https://docs.google.com/spreadsheets/d/1SX6NBoVAgQJ6U1MVXOaj8PK2l7WJ3RER9xtqwdhxkhw/edit?usp=sharing"",""ประจวบคีรีขันธ์!J381"")"),0)</f>
        <v>0</v>
      </c>
      <c r="AL64" s="552">
        <f ca="1">IFERROR(__xludf.DUMMYFUNCTION("IMPORTRANGE(""https://docs.google.com/spreadsheets/d/1SX6NBoVAgQJ6U1MVXOaj8PK2l7WJ3RER9xtqwdhxkhw/edit?usp=sharing"",""ประจวบคีรีขันธ์!J384"")"),0)</f>
        <v>0</v>
      </c>
      <c r="AM64" s="552">
        <f ca="1">IFERROR(__xludf.DUMMYFUNCTION("IMPORTRANGE(""https://docs.google.com/spreadsheets/d/1SX6NBoVAgQJ6U1MVXOaj8PK2l7WJ3RER9xtqwdhxkhw/edit?usp=sharing"",""ประจวบคีรีขันธ์!J385"")"),0)</f>
        <v>0</v>
      </c>
      <c r="AN64" s="552">
        <f ca="1">IFERROR(__xludf.DUMMYFUNCTION("IMPORTRANGE(""https://docs.google.com/spreadsheets/d/1SX6NBoVAgQJ6U1MVXOaj8PK2l7WJ3RER9xtqwdhxkhw/edit?usp=sharing"",""ประจวบคีรีขันธ์!J386"")"),0)</f>
        <v>0</v>
      </c>
      <c r="AO64" s="552">
        <f ca="1">IFERROR(__xludf.DUMMYFUNCTION("IMPORTRANGE(""https://docs.google.com/spreadsheets/d/1SX6NBoVAgQJ6U1MVXOaj8PK2l7WJ3RER9xtqwdhxkhw/edit?usp=sharing"",""ประจวบคีรีขันธ์!J387"")"),0)</f>
        <v>0</v>
      </c>
      <c r="AP64" s="552">
        <f ca="1">IFERROR(__xludf.DUMMYFUNCTION("IMPORTRANGE(""https://docs.google.com/spreadsheets/d/1SX6NBoVAgQJ6U1MVXOaj8PK2l7WJ3RER9xtqwdhxkhw/edit?usp=sharing"",""ประจวบคีรีขันธ์!J388"")"),0)</f>
        <v>0</v>
      </c>
      <c r="AQ64" s="552">
        <f ca="1">IFERROR(__xludf.DUMMYFUNCTION("IMPORTRANGE(""https://docs.google.com/spreadsheets/d/1SX6NBoVAgQJ6U1MVXOaj8PK2l7WJ3RER9xtqwdhxkhw/edit?usp=sharing"",""ประจวบคีรีขันธ์!J389"")"),0)</f>
        <v>0</v>
      </c>
      <c r="AR64" s="552">
        <f ca="1">IFERROR(__xludf.DUMMYFUNCTION("IMPORTRANGE(""https://docs.google.com/spreadsheets/d/1SX6NBoVAgQJ6U1MVXOaj8PK2l7WJ3RER9xtqwdhxkhw/edit?usp=sharing"",""ประจวบคีรีขันธ์!J390"")"),0)</f>
        <v>0</v>
      </c>
      <c r="AS64" s="552">
        <f ca="1">IFERROR(__xludf.DUMMYFUNCTION("IMPORTRANGE(""https://docs.google.com/spreadsheets/d/1SX6NBoVAgQJ6U1MVXOaj8PK2l7WJ3RER9xtqwdhxkhw/edit?usp=sharing"",""ประจวบคีรีขันธ์!J391"")"),0)</f>
        <v>0</v>
      </c>
      <c r="AT64" s="556">
        <f ca="1">IFERROR(__xludf.DUMMYFUNCTION("IMPORTRANGE(""https://docs.google.com/spreadsheets/d/1C3CXT74ZlgGe6_JY_1olB1XN4rF0dxEuIIF-xsYjHgg/edit?usp=sharing"",""งบกองทุน!CD68"")"),3739)</f>
        <v>3739</v>
      </c>
      <c r="AU64" s="556">
        <f ca="1">IFERROR(__xludf.DUMMYFUNCTION("IMPORTRANGE(""https://docs.google.com/spreadsheets/d/1C3CXT74ZlgGe6_JY_1olB1XN4rF0dxEuIIF-xsYjHgg/edit?usp=sharing"",""งบกองทุน!CC68"")"),330)</f>
        <v>330</v>
      </c>
      <c r="AV64" s="556">
        <f t="shared" ca="1" si="112"/>
        <v>0</v>
      </c>
      <c r="AW64" s="556">
        <f t="shared" ca="1" si="12"/>
        <v>0</v>
      </c>
      <c r="AX64" s="556">
        <f t="shared" ca="1" si="113"/>
        <v>0</v>
      </c>
      <c r="AY64" s="556">
        <f t="shared" ca="1" si="13"/>
        <v>0</v>
      </c>
      <c r="AZ64" s="552">
        <f ca="1">IFERROR(__xludf.DUMMYFUNCTION("IMPORTRANGE(""https://docs.google.com/spreadsheets/d/1SX6NBoVAgQJ6U1MVXOaj8PK2l7WJ3RER9xtqwdhxkhw/edit?usp=sharing"",""ประจวบคีรีขันธ์!J397"")"),0)</f>
        <v>0</v>
      </c>
      <c r="BA64" s="552">
        <f ca="1">IFERROR(__xludf.DUMMYFUNCTION("IMPORTRANGE(""https://docs.google.com/spreadsheets/d/1SX6NBoVAgQJ6U1MVXOaj8PK2l7WJ3RER9xtqwdhxkhw/edit?usp=sharing"",""ประจวบคีรีขันธ์!J398"")"),0)</f>
        <v>0</v>
      </c>
      <c r="BB64" s="552">
        <f ca="1">IFERROR(__xludf.DUMMYFUNCTION("IMPORTRANGE(""https://docs.google.com/spreadsheets/d/1SX6NBoVAgQJ6U1MVXOaj8PK2l7WJ3RER9xtqwdhxkhw/edit?usp=sharing"",""ประจวบคีรีขันธ์!J399"")"),0)</f>
        <v>0</v>
      </c>
      <c r="BC64" s="552">
        <f ca="1">IFERROR(__xludf.DUMMYFUNCTION("IMPORTRANGE(""https://docs.google.com/spreadsheets/d/1SX6NBoVAgQJ6U1MVXOaj8PK2l7WJ3RER9xtqwdhxkhw/edit?usp=sharing"",""ประจวบคีรีขันธ์!J400"")"),0)</f>
        <v>0</v>
      </c>
      <c r="BD64" s="552">
        <f ca="1">IFERROR(__xludf.DUMMYFUNCTION("IMPORTRANGE(""https://docs.google.com/spreadsheets/d/1SX6NBoVAgQJ6U1MVXOaj8PK2l7WJ3RER9xtqwdhxkhw/edit?usp=sharing"",""ประจวบคีรีขันธ์!J401"")"),0)</f>
        <v>0</v>
      </c>
      <c r="BE64" s="552">
        <f ca="1">IFERROR(__xludf.DUMMYFUNCTION("IMPORTRANGE(""https://docs.google.com/spreadsheets/d/1SX6NBoVAgQJ6U1MVXOaj8PK2l7WJ3RER9xtqwdhxkhw/edit?usp=sharing"",""ประจวบคีรีขันธ์!J402"")"),0)</f>
        <v>0</v>
      </c>
      <c r="BF64" s="552">
        <f ca="1">IFERROR(__xludf.DUMMYFUNCTION("IMPORTRANGE(""https://docs.google.com/spreadsheets/d/1SX6NBoVAgQJ6U1MVXOaj8PK2l7WJ3RER9xtqwdhxkhw/edit?usp=sharing"",""ประจวบคีรีขันธ์!J405"")"),0)</f>
        <v>0</v>
      </c>
      <c r="BG64" s="552">
        <f ca="1">IFERROR(__xludf.DUMMYFUNCTION("IMPORTRANGE(""https://docs.google.com/spreadsheets/d/1SX6NBoVAgQJ6U1MVXOaj8PK2l7WJ3RER9xtqwdhxkhw/edit?usp=sharing"",""ประจวบคีรีขันธ์!J406"")"),0)</f>
        <v>0</v>
      </c>
      <c r="BH64" s="552">
        <f ca="1">IFERROR(__xludf.DUMMYFUNCTION("IMPORTRANGE(""https://docs.google.com/spreadsheets/d/1SX6NBoVAgQJ6U1MVXOaj8PK2l7WJ3RER9xtqwdhxkhw/edit?usp=sharing"",""ประจวบคีรีขันธ์!J407"")"),0)</f>
        <v>0</v>
      </c>
      <c r="BI64" s="552">
        <f ca="1">IFERROR(__xludf.DUMMYFUNCTION("IMPORTRANGE(""https://docs.google.com/spreadsheets/d/1SX6NBoVAgQJ6U1MVXOaj8PK2l7WJ3RER9xtqwdhxkhw/edit?usp=sharing"",""ประจวบคีรีขันธ์!J408"")"),0)</f>
        <v>0</v>
      </c>
      <c r="BJ64" s="552">
        <f ca="1">IFERROR(__xludf.DUMMYFUNCTION("IMPORTRANGE(""https://docs.google.com/spreadsheets/d/1SX6NBoVAgQJ6U1MVXOaj8PK2l7WJ3RER9xtqwdhxkhw/edit?usp=sharing"",""ประจวบคีรีขันธ์!J409"")"),0)</f>
        <v>0</v>
      </c>
      <c r="BK64" s="552">
        <f ca="1">IFERROR(__xludf.DUMMYFUNCTION("IMPORTRANGE(""https://docs.google.com/spreadsheets/d/1SX6NBoVAgQJ6U1MVXOaj8PK2l7WJ3RER9xtqwdhxkhw/edit?usp=sharing"",""ประจวบคีรีขันธ์!J410"")"),0)</f>
        <v>0</v>
      </c>
      <c r="BL64" s="556">
        <f ca="1">IFERROR(__xludf.DUMMYFUNCTION("IMPORTRANGE(""https://docs.google.com/spreadsheets/d/1C3CXT74ZlgGe6_JY_1olB1XN4rF0dxEuIIF-xsYjHgg/edit?usp=sharing"",""งบกองทุน!CZ68"")"),0)</f>
        <v>0</v>
      </c>
      <c r="BM64" s="556">
        <f ca="1">IFERROR(__xludf.DUMMYFUNCTION("IMPORTRANGE(""https://docs.google.com/spreadsheets/d/1C3CXT74ZlgGe6_JY_1olB1XN4rF0dxEuIIF-xsYjHgg/edit?usp=sharing"",""งบกองทุน!CY68"")"),0)</f>
        <v>0</v>
      </c>
      <c r="BN64" s="556">
        <f t="shared" ca="1" si="114"/>
        <v>0</v>
      </c>
      <c r="BO64" s="557">
        <f t="shared" ca="1" si="15"/>
        <v>0</v>
      </c>
      <c r="BP64" s="556">
        <f t="shared" ca="1" si="115"/>
        <v>0</v>
      </c>
      <c r="BQ64" s="557">
        <f t="shared" ca="1" si="16"/>
        <v>0</v>
      </c>
      <c r="BR64" s="552">
        <f ca="1">IFERROR(__xludf.DUMMYFUNCTION("IMPORTRANGE(""https://docs.google.com/spreadsheets/d/1SX6NBoVAgQJ6U1MVXOaj8PK2l7WJ3RER9xtqwdhxkhw/edit?usp=sharing"",""ประจวบคีรีขันธ์!J414"")"),0)</f>
        <v>0</v>
      </c>
      <c r="BS64" s="552">
        <f ca="1">IFERROR(__xludf.DUMMYFUNCTION("IMPORTRANGE(""https://docs.google.com/spreadsheets/d/1SX6NBoVAgQJ6U1MVXOaj8PK2l7WJ3RER9xtqwdhxkhw/edit?usp=sharing"",""ประจวบคีรีขันธ์!J415"")"),0)</f>
        <v>0</v>
      </c>
      <c r="BT64" s="552">
        <f ca="1">IFERROR(__xludf.DUMMYFUNCTION("IMPORTRANGE(""https://docs.google.com/spreadsheets/d/1SX6NBoVAgQJ6U1MVXOaj8PK2l7WJ3RER9xtqwdhxkhw/edit?usp=sharing"",""ประจวบคีรีขันธ์!J416"")"),0)</f>
        <v>0</v>
      </c>
      <c r="BU64" s="552">
        <f ca="1">IFERROR(__xludf.DUMMYFUNCTION("IMPORTRANGE(""https://docs.google.com/spreadsheets/d/1SX6NBoVAgQJ6U1MVXOaj8PK2l7WJ3RER9xtqwdhxkhw/edit?usp=sharing"",""ประจวบคีรีขันธ์!J417"")"),0)</f>
        <v>0</v>
      </c>
      <c r="BV64" s="552">
        <f ca="1">IFERROR(__xludf.DUMMYFUNCTION("IMPORTRANGE(""https://docs.google.com/spreadsheets/d/1SX6NBoVAgQJ6U1MVXOaj8PK2l7WJ3RER9xtqwdhxkhw/edit?usp=sharing"",""ประจวบคีรีขันธ์!J418"")"),49)</f>
        <v>49</v>
      </c>
      <c r="BW64" s="552">
        <f ca="1">IFERROR(__xludf.DUMMYFUNCTION("IMPORTRANGE(""https://docs.google.com/spreadsheets/d/1SX6NBoVAgQJ6U1MVXOaj8PK2l7WJ3RER9xtqwdhxkhw/edit?usp=sharing"",""ประจวบคีรีขันธ์!J419"")"),4)</f>
        <v>4</v>
      </c>
      <c r="BX64" s="556">
        <f t="shared" ca="1" si="116"/>
        <v>28</v>
      </c>
      <c r="BY64" s="557">
        <f t="shared" ca="1" si="117"/>
        <v>57.142857142857146</v>
      </c>
      <c r="BZ64" s="556">
        <f t="shared" ca="1" si="118"/>
        <v>2</v>
      </c>
      <c r="CA64" s="557">
        <f t="shared" ca="1" si="119"/>
        <v>50</v>
      </c>
      <c r="CB64" s="552">
        <f ca="1">IFERROR(__xludf.DUMMYFUNCTION("IMPORTRANGE(""https://docs.google.com/spreadsheets/d/1SX6NBoVAgQJ6U1MVXOaj8PK2l7WJ3RER9xtqwdhxkhw/edit?usp=sharing"",""ประจวบคีรีขันธ์!J422"")"),28)</f>
        <v>28</v>
      </c>
      <c r="CC64" s="552">
        <f ca="1">IFERROR(__xludf.DUMMYFUNCTION("IMPORTRANGE(""https://docs.google.com/spreadsheets/d/1SX6NBoVAgQJ6U1MVXOaj8PK2l7WJ3RER9xtqwdhxkhw/edit?usp=sharing"",""ประจวบคีรีขันธ์!J423"")"),2)</f>
        <v>2</v>
      </c>
      <c r="CD64" s="552">
        <f ca="1">IFERROR(__xludf.DUMMYFUNCTION("IMPORTRANGE(""https://docs.google.com/spreadsheets/d/1SX6NBoVAgQJ6U1MVXOaj8PK2l7WJ3RER9xtqwdhxkhw/edit?usp=sharing"",""ประจวบคีรีขันธ์!J424"")"),0)</f>
        <v>0</v>
      </c>
      <c r="CE64" s="552">
        <f ca="1">IFERROR(__xludf.DUMMYFUNCTION("IMPORTRANGE(""https://docs.google.com/spreadsheets/d/1SX6NBoVAgQJ6U1MVXOaj8PK2l7WJ3RER9xtqwdhxkhw/edit?usp=sharing"",""ประจวบคีรีขันธ์!J425"")"),0)</f>
        <v>0</v>
      </c>
      <c r="CF64" s="552">
        <f ca="1">IFERROR(__xludf.DUMMYFUNCTION("IMPORTRANGE(""https://docs.google.com/spreadsheets/d/1SX6NBoVAgQJ6U1MVXOaj8PK2l7WJ3RER9xtqwdhxkhw/edit?usp=sharing"",""ประจวบคีรีขันธ์!J426"")"),0)</f>
        <v>0</v>
      </c>
      <c r="CG64" s="558">
        <f ca="1">IFERROR(__xludf.DUMMYFUNCTION("IMPORTRANGE(""https://docs.google.com/spreadsheets/d/1SX6NBoVAgQJ6U1MVXOaj8PK2l7WJ3RER9xtqwdhxkhw/edit?usp=sharing"",""ประจวบคีรีขันธ์!J427"")"),0)</f>
        <v>0</v>
      </c>
    </row>
    <row r="65" spans="1:85" ht="21" customHeight="1">
      <c r="A65" s="549">
        <v>11</v>
      </c>
      <c r="B65" s="550" t="s">
        <v>89</v>
      </c>
      <c r="C65" s="551">
        <f t="shared" ca="1" si="105"/>
        <v>57554</v>
      </c>
      <c r="D65" s="552">
        <f ca="1">IFERROR(__xludf.DUMMYFUNCTION("IMPORTRANGE(""https://docs.google.com/spreadsheets/d/1C3CXT74ZlgGe6_JY_1olB1XN4rF0dxEuIIF-xsYjHgg/edit?usp=sharing"",""งบกองทุน!BC69"")"),0)</f>
        <v>0</v>
      </c>
      <c r="E65" s="553">
        <f ca="1">IFERROR(__xludf.DUMMYFUNCTION("IMPORTRANGE(""https://docs.google.com/spreadsheets/d/1C3CXT74ZlgGe6_JY_1olB1XN4rF0dxEuIIF-xsYjHgg/edit?usp=sharing"",""งบกองทุน!BD69"")"),57554)</f>
        <v>57554</v>
      </c>
      <c r="F65" s="554">
        <f ca="1">IFERROR(__xludf.DUMMYFUNCTION("IMPORTRANGE(""https://docs.google.com/spreadsheets/d/1SX6NBoVAgQJ6U1MVXOaj8PK2l7WJ3RER9xtqwdhxkhw/edit?usp=sharing"",""ปราจีนบุรี!M352"")"),15145)</f>
        <v>15145</v>
      </c>
      <c r="G65" s="554">
        <f t="shared" ca="1" si="1"/>
        <v>26.314417764186675</v>
      </c>
      <c r="H65" s="555">
        <f ca="1">IFERROR(__xludf.DUMMYFUNCTION("IMPORTRANGE(""https://docs.google.com/spreadsheets/d/1C3CXT74ZlgGe6_JY_1olB1XN4rF0dxEuIIF-xsYjHgg/edit?usp=sharing"",""งบกองทุน!BE69"")"),2314)</f>
        <v>2314</v>
      </c>
      <c r="I65" s="555">
        <f ca="1">IFERROR(__xludf.DUMMYFUNCTION("IMPORTRANGE(""https://docs.google.com/spreadsheets/d/1C3CXT74ZlgGe6_JY_1olB1XN4rF0dxEuIIF-xsYjHgg/edit?usp=sharing"",""งบกองทุน!BF69"")"),142)</f>
        <v>142</v>
      </c>
      <c r="J65" s="552">
        <f t="shared" ca="1" si="106"/>
        <v>2257.0499999999997</v>
      </c>
      <c r="K65" s="554">
        <f t="shared" ca="1" si="3"/>
        <v>97.538893690579073</v>
      </c>
      <c r="L65" s="552">
        <f t="shared" ca="1" si="107"/>
        <v>141</v>
      </c>
      <c r="M65" s="554">
        <f t="shared" ca="1" si="4"/>
        <v>99.295774647887328</v>
      </c>
      <c r="N65" s="552">
        <f ca="1">IFERROR(__xludf.DUMMYFUNCTION("IMPORTRANGE(""https://docs.google.com/spreadsheets/d/1SX6NBoVAgQJ6U1MVXOaj8PK2l7WJ3RER9xtqwdhxkhw/edit?usp=sharing"",""ปราจีนบุรี!J362"")"),1901.55)</f>
        <v>1901.55</v>
      </c>
      <c r="O65" s="552">
        <f ca="1">IFERROR(__xludf.DUMMYFUNCTION("IMPORTRANGE(""https://docs.google.com/spreadsheets/d/1SX6NBoVAgQJ6U1MVXOaj8PK2l7WJ3RER9xtqwdhxkhw/edit?usp=sharing"",""ปราจีนบุรี!J363"")"),113)</f>
        <v>113</v>
      </c>
      <c r="P65" s="552">
        <f ca="1">IFERROR(__xludf.DUMMYFUNCTION("IMPORTRANGE(""https://docs.google.com/spreadsheets/d/1SX6NBoVAgQJ6U1MVXOaj8PK2l7WJ3RER9xtqwdhxkhw/edit?usp=sharing"",""ปราจีนบุรี!J364"")"),189.09)</f>
        <v>189.09</v>
      </c>
      <c r="Q65" s="552">
        <f ca="1">IFERROR(__xludf.DUMMYFUNCTION("IMPORTRANGE(""https://docs.google.com/spreadsheets/d/1SX6NBoVAgQJ6U1MVXOaj8PK2l7WJ3RER9xtqwdhxkhw/edit?usp=sharing"",""ปราจีนบุรี!J365"")"),14)</f>
        <v>14</v>
      </c>
      <c r="R65" s="552">
        <f ca="1">IFERROR(__xludf.DUMMYFUNCTION("IMPORTRANGE(""https://docs.google.com/spreadsheets/d/1SX6NBoVAgQJ6U1MVXOaj8PK2l7WJ3RER9xtqwdhxkhw/edit?usp=sharing"",""ปราจีนบุรี!J366"")"),166.41)</f>
        <v>166.41</v>
      </c>
      <c r="S65" s="552">
        <f ca="1">IFERROR(__xludf.DUMMYFUNCTION("IMPORTRANGE(""https://docs.google.com/spreadsheets/d/1SX6NBoVAgQJ6U1MVXOaj8PK2l7WJ3RER9xtqwdhxkhw/edit?usp=sharing"",""ปราจีนบุรี!J367"")"),14)</f>
        <v>14</v>
      </c>
      <c r="T65" s="552">
        <f t="shared" ca="1" si="108"/>
        <v>2314.09</v>
      </c>
      <c r="U65" s="552">
        <f t="shared" ca="1" si="6"/>
        <v>100.0038893690579</v>
      </c>
      <c r="V65" s="552">
        <f t="shared" ca="1" si="109"/>
        <v>141</v>
      </c>
      <c r="W65" s="552">
        <f t="shared" ca="1" si="7"/>
        <v>99.295774647887328</v>
      </c>
      <c r="X65" s="552">
        <f ca="1">IFERROR(__xludf.DUMMYFUNCTION("IMPORTRANGE(""https://docs.google.com/spreadsheets/d/1SX6NBoVAgQJ6U1MVXOaj8PK2l7WJ3RER9xtqwdhxkhw/edit?usp=sharing"",""ปราจีนบุรี!J370"")"),1901.56)</f>
        <v>1901.56</v>
      </c>
      <c r="Y65" s="552">
        <f ca="1">IFERROR(__xludf.DUMMYFUNCTION("IMPORTRANGE(""https://docs.google.com/spreadsheets/d/1SX6NBoVAgQJ6U1MVXOaj8PK2l7WJ3RER9xtqwdhxkhw/edit?usp=sharing"",""ปราจีนบุรี!J371"")"),113)</f>
        <v>113</v>
      </c>
      <c r="Z65" s="552">
        <f ca="1">IFERROR(__xludf.DUMMYFUNCTION("IMPORTRANGE(""https://docs.google.com/spreadsheets/d/1SX6NBoVAgQJ6U1MVXOaj8PK2l7WJ3RER9xtqwdhxkhw/edit?usp=sharing"",""ปราจีนบุรี!J372"")"),246.53)</f>
        <v>246.53</v>
      </c>
      <c r="AA65" s="552">
        <f ca="1">IFERROR(__xludf.DUMMYFUNCTION("IMPORTRANGE(""https://docs.google.com/spreadsheets/d/1SX6NBoVAgQJ6U1MVXOaj8PK2l7WJ3RER9xtqwdhxkhw/edit?usp=sharing"",""ปราจีนบุรี!J373"")"),14)</f>
        <v>14</v>
      </c>
      <c r="AB65" s="552">
        <f ca="1">IFERROR(__xludf.DUMMYFUNCTION("IMPORTRANGE(""https://docs.google.com/spreadsheets/d/1SX6NBoVAgQJ6U1MVXOaj8PK2l7WJ3RER9xtqwdhxkhw/edit?usp=sharing"",""ปราจีนบุรี!J374"")"),166)</f>
        <v>166</v>
      </c>
      <c r="AC65" s="552">
        <f ca="1">IFERROR(__xludf.DUMMYFUNCTION("IMPORTRANGE(""https://docs.google.com/spreadsheets/d/1SX6NBoVAgQJ6U1MVXOaj8PK2l7WJ3RER9xtqwdhxkhw/edit?usp=sharing"",""ปราจีนบุรี!J375"")"),14)</f>
        <v>14</v>
      </c>
      <c r="AD65" s="552">
        <f t="shared" ca="1" si="110"/>
        <v>2309.79</v>
      </c>
      <c r="AE65" s="554">
        <f t="shared" ca="1" si="9"/>
        <v>99.818063958513392</v>
      </c>
      <c r="AF65" s="552">
        <f t="shared" ca="1" si="111"/>
        <v>142</v>
      </c>
      <c r="AG65" s="554">
        <f t="shared" ca="1" si="10"/>
        <v>100</v>
      </c>
      <c r="AH65" s="552">
        <f ca="1">IFERROR(__xludf.DUMMYFUNCTION("IMPORTRANGE(""https://docs.google.com/spreadsheets/d/1SX6NBoVAgQJ6U1MVXOaj8PK2l7WJ3RER9xtqwdhxkhw/edit?usp=sharing"",""ปราจีนบุรี!J378"")"),1901.56)</f>
        <v>1901.56</v>
      </c>
      <c r="AI65" s="552">
        <f ca="1">IFERROR(__xludf.DUMMYFUNCTION("IMPORTRANGE(""https://docs.google.com/spreadsheets/d/1SX6NBoVAgQJ6U1MVXOaj8PK2l7WJ3RER9xtqwdhxkhw/edit?usp=sharing"",""ปราจีนบุรี!J379"")"),113)</f>
        <v>113</v>
      </c>
      <c r="AJ65" s="552">
        <f ca="1">IFERROR(__xludf.DUMMYFUNCTION("IMPORTRANGE(""https://docs.google.com/spreadsheets/d/1SX6NBoVAgQJ6U1MVXOaj8PK2l7WJ3RER9xtqwdhxkhw/edit?usp=sharing"",""ปราจีนบุรี!J380"")"),246.53)</f>
        <v>246.53</v>
      </c>
      <c r="AK65" s="552">
        <f ca="1">IFERROR(__xludf.DUMMYFUNCTION("IMPORTRANGE(""https://docs.google.com/spreadsheets/d/1SX6NBoVAgQJ6U1MVXOaj8PK2l7WJ3RER9xtqwdhxkhw/edit?usp=sharing"",""ปราจีนบุรี!J381"")"),14)</f>
        <v>14</v>
      </c>
      <c r="AL65" s="552">
        <f ca="1">IFERROR(__xludf.DUMMYFUNCTION("IMPORTRANGE(""https://docs.google.com/spreadsheets/d/1SX6NBoVAgQJ6U1MVXOaj8PK2l7WJ3RER9xtqwdhxkhw/edit?usp=sharing"",""ปราจีนบุรี!J384"")"),161.7)</f>
        <v>161.69999999999999</v>
      </c>
      <c r="AM65" s="552">
        <f ca="1">IFERROR(__xludf.DUMMYFUNCTION("IMPORTRANGE(""https://docs.google.com/spreadsheets/d/1SX6NBoVAgQJ6U1MVXOaj8PK2l7WJ3RER9xtqwdhxkhw/edit?usp=sharing"",""ปราจีนบุรี!J385"")"),15)</f>
        <v>15</v>
      </c>
      <c r="AN65" s="552">
        <f ca="1">IFERROR(__xludf.DUMMYFUNCTION("IMPORTRANGE(""https://docs.google.com/spreadsheets/d/1SX6NBoVAgQJ6U1MVXOaj8PK2l7WJ3RER9xtqwdhxkhw/edit?usp=sharing"",""ปราจีนบุรี!J386"")"),0)</f>
        <v>0</v>
      </c>
      <c r="AO65" s="552">
        <f ca="1">IFERROR(__xludf.DUMMYFUNCTION("IMPORTRANGE(""https://docs.google.com/spreadsheets/d/1SX6NBoVAgQJ6U1MVXOaj8PK2l7WJ3RER9xtqwdhxkhw/edit?usp=sharing"",""ปราจีนบุรี!J387"")"),0)</f>
        <v>0</v>
      </c>
      <c r="AP65" s="552">
        <f ca="1">IFERROR(__xludf.DUMMYFUNCTION("IMPORTRANGE(""https://docs.google.com/spreadsheets/d/1SX6NBoVAgQJ6U1MVXOaj8PK2l7WJ3RER9xtqwdhxkhw/edit?usp=sharing"",""ปราจีนบุรี!J388"")"),0)</f>
        <v>0</v>
      </c>
      <c r="AQ65" s="552">
        <f ca="1">IFERROR(__xludf.DUMMYFUNCTION("IMPORTRANGE(""https://docs.google.com/spreadsheets/d/1SX6NBoVAgQJ6U1MVXOaj8PK2l7WJ3RER9xtqwdhxkhw/edit?usp=sharing"",""ปราจีนบุรี!J389"")"),0)</f>
        <v>0</v>
      </c>
      <c r="AR65" s="552">
        <f ca="1">IFERROR(__xludf.DUMMYFUNCTION("IMPORTRANGE(""https://docs.google.com/spreadsheets/d/1SX6NBoVAgQJ6U1MVXOaj8PK2l7WJ3RER9xtqwdhxkhw/edit?usp=sharing"",""ปราจีนบุรี!J390"")"),0)</f>
        <v>0</v>
      </c>
      <c r="AS65" s="552">
        <f ca="1">IFERROR(__xludf.DUMMYFUNCTION("IMPORTRANGE(""https://docs.google.com/spreadsheets/d/1SX6NBoVAgQJ6U1MVXOaj8PK2l7WJ3RER9xtqwdhxkhw/edit?usp=sharing"",""ปราจีนบุรี!J391"")"),0)</f>
        <v>0</v>
      </c>
      <c r="AT65" s="556">
        <f ca="1">IFERROR(__xludf.DUMMYFUNCTION("IMPORTRANGE(""https://docs.google.com/spreadsheets/d/1C3CXT74ZlgGe6_JY_1olB1XN4rF0dxEuIIF-xsYjHgg/edit?usp=sharing"",""งบกองทุน!CD69"")"),20)</f>
        <v>20</v>
      </c>
      <c r="AU65" s="556">
        <f ca="1">IFERROR(__xludf.DUMMYFUNCTION("IMPORTRANGE(""https://docs.google.com/spreadsheets/d/1C3CXT74ZlgGe6_JY_1olB1XN4rF0dxEuIIF-xsYjHgg/edit?usp=sharing"",""งบกองทุน!CC69"")"),1)</f>
        <v>1</v>
      </c>
      <c r="AV65" s="556">
        <f t="shared" ca="1" si="112"/>
        <v>0</v>
      </c>
      <c r="AW65" s="556">
        <f t="shared" ca="1" si="12"/>
        <v>0</v>
      </c>
      <c r="AX65" s="556">
        <f t="shared" ca="1" si="113"/>
        <v>0</v>
      </c>
      <c r="AY65" s="556">
        <f t="shared" ca="1" si="13"/>
        <v>0</v>
      </c>
      <c r="AZ65" s="552">
        <f ca="1">IFERROR(__xludf.DUMMYFUNCTION("IMPORTRANGE(""https://docs.google.com/spreadsheets/d/1SX6NBoVAgQJ6U1MVXOaj8PK2l7WJ3RER9xtqwdhxkhw/edit?usp=sharing"",""ปราจีนบุรี!J397"")"),0)</f>
        <v>0</v>
      </c>
      <c r="BA65" s="552">
        <f ca="1">IFERROR(__xludf.DUMMYFUNCTION("IMPORTRANGE(""https://docs.google.com/spreadsheets/d/1SX6NBoVAgQJ6U1MVXOaj8PK2l7WJ3RER9xtqwdhxkhw/edit?usp=sharing"",""ปราจีนบุรี!J398"")"),0)</f>
        <v>0</v>
      </c>
      <c r="BB65" s="552">
        <f ca="1">IFERROR(__xludf.DUMMYFUNCTION("IMPORTRANGE(""https://docs.google.com/spreadsheets/d/1SX6NBoVAgQJ6U1MVXOaj8PK2l7WJ3RER9xtqwdhxkhw/edit?usp=sharing"",""ปราจีนบุรี!J399"")"),0)</f>
        <v>0</v>
      </c>
      <c r="BC65" s="552">
        <f ca="1">IFERROR(__xludf.DUMMYFUNCTION("IMPORTRANGE(""https://docs.google.com/spreadsheets/d/1SX6NBoVAgQJ6U1MVXOaj8PK2l7WJ3RER9xtqwdhxkhw/edit?usp=sharing"",""ปราจีนบุรี!J400"")"),0)</f>
        <v>0</v>
      </c>
      <c r="BD65" s="552">
        <f ca="1">IFERROR(__xludf.DUMMYFUNCTION("IMPORTRANGE(""https://docs.google.com/spreadsheets/d/1SX6NBoVAgQJ6U1MVXOaj8PK2l7WJ3RER9xtqwdhxkhw/edit?usp=sharing"",""ปราจีนบุรี!J401"")"),0)</f>
        <v>0</v>
      </c>
      <c r="BE65" s="552">
        <f ca="1">IFERROR(__xludf.DUMMYFUNCTION("IMPORTRANGE(""https://docs.google.com/spreadsheets/d/1SX6NBoVAgQJ6U1MVXOaj8PK2l7WJ3RER9xtqwdhxkhw/edit?usp=sharing"",""ปราจีนบุรี!J402"")"),0)</f>
        <v>0</v>
      </c>
      <c r="BF65" s="552">
        <f ca="1">IFERROR(__xludf.DUMMYFUNCTION("IMPORTRANGE(""https://docs.google.com/spreadsheets/d/1SX6NBoVAgQJ6U1MVXOaj8PK2l7WJ3RER9xtqwdhxkhw/edit?usp=sharing"",""ปราจีนบุรี!J405"")"),0)</f>
        <v>0</v>
      </c>
      <c r="BG65" s="552">
        <f ca="1">IFERROR(__xludf.DUMMYFUNCTION("IMPORTRANGE(""https://docs.google.com/spreadsheets/d/1SX6NBoVAgQJ6U1MVXOaj8PK2l7WJ3RER9xtqwdhxkhw/edit?usp=sharing"",""ปราจีนบุรี!J406"")"),0)</f>
        <v>0</v>
      </c>
      <c r="BH65" s="552">
        <f ca="1">IFERROR(__xludf.DUMMYFUNCTION("IMPORTRANGE(""https://docs.google.com/spreadsheets/d/1SX6NBoVAgQJ6U1MVXOaj8PK2l7WJ3RER9xtqwdhxkhw/edit?usp=sharing"",""ปราจีนบุรี!J407"")"),0)</f>
        <v>0</v>
      </c>
      <c r="BI65" s="552">
        <f ca="1">IFERROR(__xludf.DUMMYFUNCTION("IMPORTRANGE(""https://docs.google.com/spreadsheets/d/1SX6NBoVAgQJ6U1MVXOaj8PK2l7WJ3RER9xtqwdhxkhw/edit?usp=sharing"",""ปราจีนบุรี!J408"")"),0)</f>
        <v>0</v>
      </c>
      <c r="BJ65" s="552">
        <f ca="1">IFERROR(__xludf.DUMMYFUNCTION("IMPORTRANGE(""https://docs.google.com/spreadsheets/d/1SX6NBoVAgQJ6U1MVXOaj8PK2l7WJ3RER9xtqwdhxkhw/edit?usp=sharing"",""ปราจีนบุรี!J409"")"),0)</f>
        <v>0</v>
      </c>
      <c r="BK65" s="552">
        <f ca="1">IFERROR(__xludf.DUMMYFUNCTION("IMPORTRANGE(""https://docs.google.com/spreadsheets/d/1SX6NBoVAgQJ6U1MVXOaj8PK2l7WJ3RER9xtqwdhxkhw/edit?usp=sharing"",""ปราจีนบุรี!J410"")"),0)</f>
        <v>0</v>
      </c>
      <c r="BL65" s="556">
        <f ca="1">IFERROR(__xludf.DUMMYFUNCTION("IMPORTRANGE(""https://docs.google.com/spreadsheets/d/1C3CXT74ZlgGe6_JY_1olB1XN4rF0dxEuIIF-xsYjHgg/edit?usp=sharing"",""งบกองทุน!CZ69"")"),0)</f>
        <v>0</v>
      </c>
      <c r="BM65" s="556">
        <f ca="1">IFERROR(__xludf.DUMMYFUNCTION("IMPORTRANGE(""https://docs.google.com/spreadsheets/d/1C3CXT74ZlgGe6_JY_1olB1XN4rF0dxEuIIF-xsYjHgg/edit?usp=sharing"",""งบกองทุน!CY69"")"),0)</f>
        <v>0</v>
      </c>
      <c r="BN65" s="556">
        <f t="shared" ca="1" si="114"/>
        <v>0</v>
      </c>
      <c r="BO65" s="557">
        <f t="shared" ca="1" si="15"/>
        <v>0</v>
      </c>
      <c r="BP65" s="556">
        <f t="shared" ca="1" si="115"/>
        <v>0</v>
      </c>
      <c r="BQ65" s="557">
        <f t="shared" ca="1" si="16"/>
        <v>0</v>
      </c>
      <c r="BR65" s="552">
        <f ca="1">IFERROR(__xludf.DUMMYFUNCTION("IMPORTRANGE(""https://docs.google.com/spreadsheets/d/1SX6NBoVAgQJ6U1MVXOaj8PK2l7WJ3RER9xtqwdhxkhw/edit?usp=sharing"",""ปราจีนบุรี!J414"")"),0)</f>
        <v>0</v>
      </c>
      <c r="BS65" s="552">
        <f ca="1">IFERROR(__xludf.DUMMYFUNCTION("IMPORTRANGE(""https://docs.google.com/spreadsheets/d/1SX6NBoVAgQJ6U1MVXOaj8PK2l7WJ3RER9xtqwdhxkhw/edit?usp=sharing"",""ปราจีนบุรี!J415"")"),0)</f>
        <v>0</v>
      </c>
      <c r="BT65" s="552">
        <f ca="1">IFERROR(__xludf.DUMMYFUNCTION("IMPORTRANGE(""https://docs.google.com/spreadsheets/d/1SX6NBoVAgQJ6U1MVXOaj8PK2l7WJ3RER9xtqwdhxkhw/edit?usp=sharing"",""ปราจีนบุรี!J416"")"),0)</f>
        <v>0</v>
      </c>
      <c r="BU65" s="552">
        <f ca="1">IFERROR(__xludf.DUMMYFUNCTION("IMPORTRANGE(""https://docs.google.com/spreadsheets/d/1SX6NBoVAgQJ6U1MVXOaj8PK2l7WJ3RER9xtqwdhxkhw/edit?usp=sharing"",""ปราจีนบุรี!J417"")"),0)</f>
        <v>0</v>
      </c>
      <c r="BV65" s="552">
        <f ca="1">IFERROR(__xludf.DUMMYFUNCTION("IMPORTRANGE(""https://docs.google.com/spreadsheets/d/1SX6NBoVAgQJ6U1MVXOaj8PK2l7WJ3RER9xtqwdhxkhw/edit?usp=sharing"",""ปราจีนบุรี!J418"")"),0)</f>
        <v>0</v>
      </c>
      <c r="BW65" s="552">
        <f ca="1">IFERROR(__xludf.DUMMYFUNCTION("IMPORTRANGE(""https://docs.google.com/spreadsheets/d/1SX6NBoVAgQJ6U1MVXOaj8PK2l7WJ3RER9xtqwdhxkhw/edit?usp=sharing"",""ปราจีนบุรี!J419"")"),0)</f>
        <v>0</v>
      </c>
      <c r="BX65" s="556">
        <f t="shared" ca="1" si="116"/>
        <v>0</v>
      </c>
      <c r="BY65" s="557">
        <f t="shared" ca="1" si="117"/>
        <v>0</v>
      </c>
      <c r="BZ65" s="556">
        <f t="shared" ca="1" si="118"/>
        <v>0</v>
      </c>
      <c r="CA65" s="557">
        <f t="shared" ca="1" si="119"/>
        <v>0</v>
      </c>
      <c r="CB65" s="552">
        <f ca="1">IFERROR(__xludf.DUMMYFUNCTION("IMPORTRANGE(""https://docs.google.com/spreadsheets/d/1SX6NBoVAgQJ6U1MVXOaj8PK2l7WJ3RER9xtqwdhxkhw/edit?usp=sharing"",""ปราจีนบุรี!J422"")"),0)</f>
        <v>0</v>
      </c>
      <c r="CC65" s="552">
        <f ca="1">IFERROR(__xludf.DUMMYFUNCTION("IMPORTRANGE(""https://docs.google.com/spreadsheets/d/1SX6NBoVAgQJ6U1MVXOaj8PK2l7WJ3RER9xtqwdhxkhw/edit?usp=sharing"",""ปราจีนบุรี!J423"")"),0)</f>
        <v>0</v>
      </c>
      <c r="CD65" s="552">
        <f ca="1">IFERROR(__xludf.DUMMYFUNCTION("IMPORTRANGE(""https://docs.google.com/spreadsheets/d/1SX6NBoVAgQJ6U1MVXOaj8PK2l7WJ3RER9xtqwdhxkhw/edit?usp=sharing"",""ปราจีนบุรี!J424"")"),0)</f>
        <v>0</v>
      </c>
      <c r="CE65" s="552">
        <f ca="1">IFERROR(__xludf.DUMMYFUNCTION("IMPORTRANGE(""https://docs.google.com/spreadsheets/d/1SX6NBoVAgQJ6U1MVXOaj8PK2l7WJ3RER9xtqwdhxkhw/edit?usp=sharing"",""ปราจีนบุรี!J425"")"),0)</f>
        <v>0</v>
      </c>
      <c r="CF65" s="552">
        <f ca="1">IFERROR(__xludf.DUMMYFUNCTION("IMPORTRANGE(""https://docs.google.com/spreadsheets/d/1SX6NBoVAgQJ6U1MVXOaj8PK2l7WJ3RER9xtqwdhxkhw/edit?usp=sharing"",""ปราจีนบุรี!J426"")"),0)</f>
        <v>0</v>
      </c>
      <c r="CG65" s="558">
        <f ca="1">IFERROR(__xludf.DUMMYFUNCTION("IMPORTRANGE(""https://docs.google.com/spreadsheets/d/1SX6NBoVAgQJ6U1MVXOaj8PK2l7WJ3RER9xtqwdhxkhw/edit?usp=sharing"",""ปราจีนบุรี!J427"")"),0)</f>
        <v>0</v>
      </c>
    </row>
    <row r="66" spans="1:85" ht="21" customHeight="1">
      <c r="A66" s="549">
        <v>12</v>
      </c>
      <c r="B66" s="550" t="s">
        <v>90</v>
      </c>
      <c r="C66" s="551">
        <f t="shared" ca="1" si="105"/>
        <v>103457</v>
      </c>
      <c r="D66" s="552">
        <f ca="1">IFERROR(__xludf.DUMMYFUNCTION("IMPORTRANGE(""https://docs.google.com/spreadsheets/d/1C3CXT74ZlgGe6_JY_1olB1XN4rF0dxEuIIF-xsYjHgg/edit?usp=sharing"",""งบกองทุน!BC70"")"),0)</f>
        <v>0</v>
      </c>
      <c r="E66" s="553">
        <f ca="1">IFERROR(__xludf.DUMMYFUNCTION("IMPORTRANGE(""https://docs.google.com/spreadsheets/d/1C3CXT74ZlgGe6_JY_1olB1XN4rF0dxEuIIF-xsYjHgg/edit?usp=sharing"",""งบกองทุน!BD70"")"),103457)</f>
        <v>103457</v>
      </c>
      <c r="F66" s="554">
        <f ca="1">IFERROR(__xludf.DUMMYFUNCTION("IMPORTRANGE(""https://docs.google.com/spreadsheets/d/1SX6NBoVAgQJ6U1MVXOaj8PK2l7WJ3RER9xtqwdhxkhw/edit?usp=sharing"",""พระนครศรีอยุธยา!M352"")"),26475)</f>
        <v>26475</v>
      </c>
      <c r="G66" s="554">
        <f t="shared" ca="1" si="1"/>
        <v>25.590341881168023</v>
      </c>
      <c r="H66" s="555">
        <f ca="1">IFERROR(__xludf.DUMMYFUNCTION("IMPORTRANGE(""https://docs.google.com/spreadsheets/d/1C3CXT74ZlgGe6_JY_1olB1XN4rF0dxEuIIF-xsYjHgg/edit?usp=sharing"",""งบกองทุน!BE70"")"),2217)</f>
        <v>2217</v>
      </c>
      <c r="I66" s="555">
        <f ca="1">IFERROR(__xludf.DUMMYFUNCTION("IMPORTRANGE(""https://docs.google.com/spreadsheets/d/1C3CXT74ZlgGe6_JY_1olB1XN4rF0dxEuIIF-xsYjHgg/edit?usp=sharing"",""งบกองทุน!BF70"")"),227)</f>
        <v>227</v>
      </c>
      <c r="J66" s="552">
        <f t="shared" ca="1" si="106"/>
        <v>2426.62</v>
      </c>
      <c r="K66" s="554">
        <f t="shared" ca="1" si="3"/>
        <v>109.4551195308976</v>
      </c>
      <c r="L66" s="552">
        <f t="shared" ca="1" si="107"/>
        <v>258</v>
      </c>
      <c r="M66" s="554">
        <f t="shared" ca="1" si="4"/>
        <v>113.65638766519824</v>
      </c>
      <c r="N66" s="552">
        <f ca="1">IFERROR(__xludf.DUMMYFUNCTION("IMPORTRANGE(""https://docs.google.com/spreadsheets/d/1SX6NBoVAgQJ6U1MVXOaj8PK2l7WJ3RER9xtqwdhxkhw/edit?usp=sharing"",""พระนครศรีอยุธยา!J362"")"),2019.42)</f>
        <v>2019.42</v>
      </c>
      <c r="O66" s="552">
        <f ca="1">IFERROR(__xludf.DUMMYFUNCTION("IMPORTRANGE(""https://docs.google.com/spreadsheets/d/1SX6NBoVAgQJ6U1MVXOaj8PK2l7WJ3RER9xtqwdhxkhw/edit?usp=sharing"",""พระนครศรีอยุธยา!J363"")"),198)</f>
        <v>198</v>
      </c>
      <c r="P66" s="552">
        <f ca="1">IFERROR(__xludf.DUMMYFUNCTION("IMPORTRANGE(""https://docs.google.com/spreadsheets/d/1SX6NBoVAgQJ6U1MVXOaj8PK2l7WJ3RER9xtqwdhxkhw/edit?usp=sharing"",""พระนครศรีอยุธยา!J364"")"),41.68)</f>
        <v>41.68</v>
      </c>
      <c r="Q66" s="552">
        <f ca="1">IFERROR(__xludf.DUMMYFUNCTION("IMPORTRANGE(""https://docs.google.com/spreadsheets/d/1SX6NBoVAgQJ6U1MVXOaj8PK2l7WJ3RER9xtqwdhxkhw/edit?usp=sharing"",""พระนครศรีอยุธยา!J365"")"),11)</f>
        <v>11</v>
      </c>
      <c r="R66" s="552">
        <f ca="1">IFERROR(__xludf.DUMMYFUNCTION("IMPORTRANGE(""https://docs.google.com/spreadsheets/d/1SX6NBoVAgQJ6U1MVXOaj8PK2l7WJ3RER9xtqwdhxkhw/edit?usp=sharing"",""พระนครศรีอยุธยา!J366"")"),365.52)</f>
        <v>365.52</v>
      </c>
      <c r="S66" s="552">
        <f ca="1">IFERROR(__xludf.DUMMYFUNCTION("IMPORTRANGE(""https://docs.google.com/spreadsheets/d/1SX6NBoVAgQJ6U1MVXOaj8PK2l7WJ3RER9xtqwdhxkhw/edit?usp=sharing"",""พระนครศรีอยุธยา!J367"")"),49)</f>
        <v>49</v>
      </c>
      <c r="T66" s="552">
        <f t="shared" ca="1" si="108"/>
        <v>2426.6299999999997</v>
      </c>
      <c r="U66" s="552">
        <f t="shared" ca="1" si="6"/>
        <v>109.45557059088857</v>
      </c>
      <c r="V66" s="552">
        <f t="shared" ca="1" si="109"/>
        <v>258</v>
      </c>
      <c r="W66" s="552">
        <f t="shared" ca="1" si="7"/>
        <v>113.65638766519824</v>
      </c>
      <c r="X66" s="552">
        <f ca="1">IFERROR(__xludf.DUMMYFUNCTION("IMPORTRANGE(""https://docs.google.com/spreadsheets/d/1SX6NBoVAgQJ6U1MVXOaj8PK2l7WJ3RER9xtqwdhxkhw/edit?usp=sharing"",""พระนครศรีอยุธยา!J370"")"),1817.56)</f>
        <v>1817.56</v>
      </c>
      <c r="Y66" s="552">
        <f ca="1">IFERROR(__xludf.DUMMYFUNCTION("IMPORTRANGE(""https://docs.google.com/spreadsheets/d/1SX6NBoVAgQJ6U1MVXOaj8PK2l7WJ3RER9xtqwdhxkhw/edit?usp=sharing"",""พระนครศรีอยุธยา!J371"")"),178)</f>
        <v>178</v>
      </c>
      <c r="Z66" s="552">
        <f ca="1">IFERROR(__xludf.DUMMYFUNCTION("IMPORTRANGE(""https://docs.google.com/spreadsheets/d/1SX6NBoVAgQJ6U1MVXOaj8PK2l7WJ3RER9xtqwdhxkhw/edit?usp=sharing"",""พระนครศรีอยุธยา!J372"")"),375.51)</f>
        <v>375.51</v>
      </c>
      <c r="AA66" s="552">
        <f ca="1">IFERROR(__xludf.DUMMYFUNCTION("IMPORTRANGE(""https://docs.google.com/spreadsheets/d/1SX6NBoVAgQJ6U1MVXOaj8PK2l7WJ3RER9xtqwdhxkhw/edit?usp=sharing"",""พระนครศรีอยุธยา!J373"")"),52)</f>
        <v>52</v>
      </c>
      <c r="AB66" s="552">
        <f ca="1">IFERROR(__xludf.DUMMYFUNCTION("IMPORTRANGE(""https://docs.google.com/spreadsheets/d/1SX6NBoVAgQJ6U1MVXOaj8PK2l7WJ3RER9xtqwdhxkhw/edit?usp=sharing"",""พระนครศรีอยุธยา!J374"")"),233.56)</f>
        <v>233.56</v>
      </c>
      <c r="AC66" s="552">
        <f ca="1">IFERROR(__xludf.DUMMYFUNCTION("IMPORTRANGE(""https://docs.google.com/spreadsheets/d/1SX6NBoVAgQJ6U1MVXOaj8PK2l7WJ3RER9xtqwdhxkhw/edit?usp=sharing"",""พระนครศรีอยุธยา!J375"")"),28)</f>
        <v>28</v>
      </c>
      <c r="AD66" s="552">
        <f t="shared" ca="1" si="110"/>
        <v>0</v>
      </c>
      <c r="AE66" s="554">
        <f t="shared" ca="1" si="9"/>
        <v>0</v>
      </c>
      <c r="AF66" s="552">
        <f t="shared" ca="1" si="111"/>
        <v>0</v>
      </c>
      <c r="AG66" s="554">
        <f t="shared" ca="1" si="10"/>
        <v>0</v>
      </c>
      <c r="AH66" s="552">
        <f ca="1">IFERROR(__xludf.DUMMYFUNCTION("IMPORTRANGE(""https://docs.google.com/spreadsheets/d/1SX6NBoVAgQJ6U1MVXOaj8PK2l7WJ3RER9xtqwdhxkhw/edit?usp=sharing"",""พระนครศรีอยุธยา!J378"")"),0)</f>
        <v>0</v>
      </c>
      <c r="AI66" s="552">
        <f ca="1">IFERROR(__xludf.DUMMYFUNCTION("IMPORTRANGE(""https://docs.google.com/spreadsheets/d/1SX6NBoVAgQJ6U1MVXOaj8PK2l7WJ3RER9xtqwdhxkhw/edit?usp=sharing"",""พระนครศรีอยุธยา!J379"")"),0)</f>
        <v>0</v>
      </c>
      <c r="AJ66" s="552">
        <f ca="1">IFERROR(__xludf.DUMMYFUNCTION("IMPORTRANGE(""https://docs.google.com/spreadsheets/d/1SX6NBoVAgQJ6U1MVXOaj8PK2l7WJ3RER9xtqwdhxkhw/edit?usp=sharing"",""พระนครศรีอยุธยา!J380"")"),0)</f>
        <v>0</v>
      </c>
      <c r="AK66" s="552">
        <f ca="1">IFERROR(__xludf.DUMMYFUNCTION("IMPORTRANGE(""https://docs.google.com/spreadsheets/d/1SX6NBoVAgQJ6U1MVXOaj8PK2l7WJ3RER9xtqwdhxkhw/edit?usp=sharing"",""พระนครศรีอยุธยา!J381"")"),0)</f>
        <v>0</v>
      </c>
      <c r="AL66" s="552">
        <f ca="1">IFERROR(__xludf.DUMMYFUNCTION("IMPORTRANGE(""https://docs.google.com/spreadsheets/d/1SX6NBoVAgQJ6U1MVXOaj8PK2l7WJ3RER9xtqwdhxkhw/edit?usp=sharing"",""พระนครศรีอยุธยา!J384"")"),0)</f>
        <v>0</v>
      </c>
      <c r="AM66" s="552">
        <f ca="1">IFERROR(__xludf.DUMMYFUNCTION("IMPORTRANGE(""https://docs.google.com/spreadsheets/d/1SX6NBoVAgQJ6U1MVXOaj8PK2l7WJ3RER9xtqwdhxkhw/edit?usp=sharing"",""พระนครศรีอยุธยา!J385"")"),0)</f>
        <v>0</v>
      </c>
      <c r="AN66" s="552">
        <f ca="1">IFERROR(__xludf.DUMMYFUNCTION("IMPORTRANGE(""https://docs.google.com/spreadsheets/d/1SX6NBoVAgQJ6U1MVXOaj8PK2l7WJ3RER9xtqwdhxkhw/edit?usp=sharing"",""พระนครศรีอยุธยา!J386"")"),0)</f>
        <v>0</v>
      </c>
      <c r="AO66" s="552">
        <f ca="1">IFERROR(__xludf.DUMMYFUNCTION("IMPORTRANGE(""https://docs.google.com/spreadsheets/d/1SX6NBoVAgQJ6U1MVXOaj8PK2l7WJ3RER9xtqwdhxkhw/edit?usp=sharing"",""พระนครศรีอยุธยา!J387"")"),0)</f>
        <v>0</v>
      </c>
      <c r="AP66" s="552">
        <f ca="1">IFERROR(__xludf.DUMMYFUNCTION("IMPORTRANGE(""https://docs.google.com/spreadsheets/d/1SX6NBoVAgQJ6U1MVXOaj8PK2l7WJ3RER9xtqwdhxkhw/edit?usp=sharing"",""พระนครศรีอยุธยา!J388"")"),0)</f>
        <v>0</v>
      </c>
      <c r="AQ66" s="552">
        <f ca="1">IFERROR(__xludf.DUMMYFUNCTION("IMPORTRANGE(""https://docs.google.com/spreadsheets/d/1SX6NBoVAgQJ6U1MVXOaj8PK2l7WJ3RER9xtqwdhxkhw/edit?usp=sharing"",""พระนครศรีอยุธยา!J389"")"),0)</f>
        <v>0</v>
      </c>
      <c r="AR66" s="552">
        <f ca="1">IFERROR(__xludf.DUMMYFUNCTION("IMPORTRANGE(""https://docs.google.com/spreadsheets/d/1SX6NBoVAgQJ6U1MVXOaj8PK2l7WJ3RER9xtqwdhxkhw/edit?usp=sharing"",""พระนครศรีอยุธยา!J390"")"),0)</f>
        <v>0</v>
      </c>
      <c r="AS66" s="552">
        <f ca="1">IFERROR(__xludf.DUMMYFUNCTION("IMPORTRANGE(""https://docs.google.com/spreadsheets/d/1SX6NBoVAgQJ6U1MVXOaj8PK2l7WJ3RER9xtqwdhxkhw/edit?usp=sharing"",""พระนครศรีอยุธยา!J391"")"),0)</f>
        <v>0</v>
      </c>
      <c r="AT66" s="556">
        <f ca="1">IFERROR(__xludf.DUMMYFUNCTION("IMPORTRANGE(""https://docs.google.com/spreadsheets/d/1C3CXT74ZlgGe6_JY_1olB1XN4rF0dxEuIIF-xsYjHgg/edit?usp=sharing"",""งบกองทุน!CD70"")"),311)</f>
        <v>311</v>
      </c>
      <c r="AU66" s="556">
        <f ca="1">IFERROR(__xludf.DUMMYFUNCTION("IMPORTRANGE(""https://docs.google.com/spreadsheets/d/1C3CXT74ZlgGe6_JY_1olB1XN4rF0dxEuIIF-xsYjHgg/edit?usp=sharing"",""งบกองทุน!CC70"")"),57)</f>
        <v>57</v>
      </c>
      <c r="AV66" s="556">
        <f t="shared" ca="1" si="112"/>
        <v>0</v>
      </c>
      <c r="AW66" s="556">
        <f t="shared" ca="1" si="12"/>
        <v>0</v>
      </c>
      <c r="AX66" s="556">
        <f t="shared" ca="1" si="113"/>
        <v>0</v>
      </c>
      <c r="AY66" s="556">
        <f t="shared" ca="1" si="13"/>
        <v>0</v>
      </c>
      <c r="AZ66" s="552">
        <f ca="1">IFERROR(__xludf.DUMMYFUNCTION("IMPORTRANGE(""https://docs.google.com/spreadsheets/d/1SX6NBoVAgQJ6U1MVXOaj8PK2l7WJ3RER9xtqwdhxkhw/edit?usp=sharing"",""พระนครศรีอยุธยา!J397"")"),0)</f>
        <v>0</v>
      </c>
      <c r="BA66" s="552">
        <f ca="1">IFERROR(__xludf.DUMMYFUNCTION("IMPORTRANGE(""https://docs.google.com/spreadsheets/d/1SX6NBoVAgQJ6U1MVXOaj8PK2l7WJ3RER9xtqwdhxkhw/edit?usp=sharing"",""พระนครศรีอยุธยา!J398"")"),0)</f>
        <v>0</v>
      </c>
      <c r="BB66" s="552">
        <f ca="1">IFERROR(__xludf.DUMMYFUNCTION("IMPORTRANGE(""https://docs.google.com/spreadsheets/d/1SX6NBoVAgQJ6U1MVXOaj8PK2l7WJ3RER9xtqwdhxkhw/edit?usp=sharing"",""พระนครศรีอยุธยา!J399"")"),0)</f>
        <v>0</v>
      </c>
      <c r="BC66" s="552">
        <f ca="1">IFERROR(__xludf.DUMMYFUNCTION("IMPORTRANGE(""https://docs.google.com/spreadsheets/d/1SX6NBoVAgQJ6U1MVXOaj8PK2l7WJ3RER9xtqwdhxkhw/edit?usp=sharing"",""พระนครศรีอยุธยา!J400"")"),0)</f>
        <v>0</v>
      </c>
      <c r="BD66" s="552">
        <f ca="1">IFERROR(__xludf.DUMMYFUNCTION("IMPORTRANGE(""https://docs.google.com/spreadsheets/d/1SX6NBoVAgQJ6U1MVXOaj8PK2l7WJ3RER9xtqwdhxkhw/edit?usp=sharing"",""พระนครศรีอยุธยา!J401"")"),0)</f>
        <v>0</v>
      </c>
      <c r="BE66" s="552">
        <f ca="1">IFERROR(__xludf.DUMMYFUNCTION("IMPORTRANGE(""https://docs.google.com/spreadsheets/d/1SX6NBoVAgQJ6U1MVXOaj8PK2l7WJ3RER9xtqwdhxkhw/edit?usp=sharing"",""พระนครศรีอยุธยา!J402"")"),0)</f>
        <v>0</v>
      </c>
      <c r="BF66" s="552">
        <f ca="1">IFERROR(__xludf.DUMMYFUNCTION("IMPORTRANGE(""https://docs.google.com/spreadsheets/d/1SX6NBoVAgQJ6U1MVXOaj8PK2l7WJ3RER9xtqwdhxkhw/edit?usp=sharing"",""พระนครศรีอยุธยา!J405"")"),0)</f>
        <v>0</v>
      </c>
      <c r="BG66" s="552">
        <f ca="1">IFERROR(__xludf.DUMMYFUNCTION("IMPORTRANGE(""https://docs.google.com/spreadsheets/d/1SX6NBoVAgQJ6U1MVXOaj8PK2l7WJ3RER9xtqwdhxkhw/edit?usp=sharing"",""พระนครศรีอยุธยา!J406"")"),0)</f>
        <v>0</v>
      </c>
      <c r="BH66" s="552">
        <f ca="1">IFERROR(__xludf.DUMMYFUNCTION("IMPORTRANGE(""https://docs.google.com/spreadsheets/d/1SX6NBoVAgQJ6U1MVXOaj8PK2l7WJ3RER9xtqwdhxkhw/edit?usp=sharing"",""พระนครศรีอยุธยา!J407"")"),0)</f>
        <v>0</v>
      </c>
      <c r="BI66" s="552">
        <f ca="1">IFERROR(__xludf.DUMMYFUNCTION("IMPORTRANGE(""https://docs.google.com/spreadsheets/d/1SX6NBoVAgQJ6U1MVXOaj8PK2l7WJ3RER9xtqwdhxkhw/edit?usp=sharing"",""พระนครศรีอยุธยา!J408"")"),0)</f>
        <v>0</v>
      </c>
      <c r="BJ66" s="552">
        <f ca="1">IFERROR(__xludf.DUMMYFUNCTION("IMPORTRANGE(""https://docs.google.com/spreadsheets/d/1SX6NBoVAgQJ6U1MVXOaj8PK2l7WJ3RER9xtqwdhxkhw/edit?usp=sharing"",""พระนครศรีอยุธยา!J409"")"),0)</f>
        <v>0</v>
      </c>
      <c r="BK66" s="552">
        <f ca="1">IFERROR(__xludf.DUMMYFUNCTION("IMPORTRANGE(""https://docs.google.com/spreadsheets/d/1SX6NBoVAgQJ6U1MVXOaj8PK2l7WJ3RER9xtqwdhxkhw/edit?usp=sharing"",""พระนครศรีอยุธยา!J410"")"),0)</f>
        <v>0</v>
      </c>
      <c r="BL66" s="556">
        <f ca="1">IFERROR(__xludf.DUMMYFUNCTION("IMPORTRANGE(""https://docs.google.com/spreadsheets/d/1C3CXT74ZlgGe6_JY_1olB1XN4rF0dxEuIIF-xsYjHgg/edit?usp=sharing"",""งบกองทุน!CZ70"")"),0)</f>
        <v>0</v>
      </c>
      <c r="BM66" s="556">
        <f ca="1">IFERROR(__xludf.DUMMYFUNCTION("IMPORTRANGE(""https://docs.google.com/spreadsheets/d/1C3CXT74ZlgGe6_JY_1olB1XN4rF0dxEuIIF-xsYjHgg/edit?usp=sharing"",""งบกองทุน!CY70"")"),0)</f>
        <v>0</v>
      </c>
      <c r="BN66" s="556">
        <f t="shared" ca="1" si="114"/>
        <v>0</v>
      </c>
      <c r="BO66" s="557">
        <f t="shared" ca="1" si="15"/>
        <v>0</v>
      </c>
      <c r="BP66" s="556">
        <f t="shared" ca="1" si="115"/>
        <v>0</v>
      </c>
      <c r="BQ66" s="557">
        <f t="shared" ca="1" si="16"/>
        <v>0</v>
      </c>
      <c r="BR66" s="552">
        <f ca="1">IFERROR(__xludf.DUMMYFUNCTION("IMPORTRANGE(""https://docs.google.com/spreadsheets/d/1SX6NBoVAgQJ6U1MVXOaj8PK2l7WJ3RER9xtqwdhxkhw/edit?usp=sharing"",""พระนครศรีอยุธยา!J414"")"),0)</f>
        <v>0</v>
      </c>
      <c r="BS66" s="552">
        <f ca="1">IFERROR(__xludf.DUMMYFUNCTION("IMPORTRANGE(""https://docs.google.com/spreadsheets/d/1SX6NBoVAgQJ6U1MVXOaj8PK2l7WJ3RER9xtqwdhxkhw/edit?usp=sharing"",""พระนครศรีอยุธยา!J415"")"),0)</f>
        <v>0</v>
      </c>
      <c r="BT66" s="552">
        <f ca="1">IFERROR(__xludf.DUMMYFUNCTION("IMPORTRANGE(""https://docs.google.com/spreadsheets/d/1SX6NBoVAgQJ6U1MVXOaj8PK2l7WJ3RER9xtqwdhxkhw/edit?usp=sharing"",""พระนครศรีอยุธยา!J416"")"),0)</f>
        <v>0</v>
      </c>
      <c r="BU66" s="552">
        <f ca="1">IFERROR(__xludf.DUMMYFUNCTION("IMPORTRANGE(""https://docs.google.com/spreadsheets/d/1SX6NBoVAgQJ6U1MVXOaj8PK2l7WJ3RER9xtqwdhxkhw/edit?usp=sharing"",""พระนครศรีอยุธยา!J417"")"),0)</f>
        <v>0</v>
      </c>
      <c r="BV66" s="552">
        <f ca="1">IFERROR(__xludf.DUMMYFUNCTION("IMPORTRANGE(""https://docs.google.com/spreadsheets/d/1SX6NBoVAgQJ6U1MVXOaj8PK2l7WJ3RER9xtqwdhxkhw/edit?usp=sharing"",""พระนครศรีอยุธยา!J418"")"),0)</f>
        <v>0</v>
      </c>
      <c r="BW66" s="552">
        <f ca="1">IFERROR(__xludf.DUMMYFUNCTION("IMPORTRANGE(""https://docs.google.com/spreadsheets/d/1SX6NBoVAgQJ6U1MVXOaj8PK2l7WJ3RER9xtqwdhxkhw/edit?usp=sharing"",""พระนครศรีอยุธยา!J419"")"),0)</f>
        <v>0</v>
      </c>
      <c r="BX66" s="556">
        <f t="shared" ca="1" si="116"/>
        <v>0</v>
      </c>
      <c r="BY66" s="557">
        <f t="shared" ca="1" si="117"/>
        <v>0</v>
      </c>
      <c r="BZ66" s="556">
        <f t="shared" ca="1" si="118"/>
        <v>0</v>
      </c>
      <c r="CA66" s="557">
        <f t="shared" ca="1" si="119"/>
        <v>0</v>
      </c>
      <c r="CB66" s="552">
        <f ca="1">IFERROR(__xludf.DUMMYFUNCTION("IMPORTRANGE(""https://docs.google.com/spreadsheets/d/1SX6NBoVAgQJ6U1MVXOaj8PK2l7WJ3RER9xtqwdhxkhw/edit?usp=sharing"",""พระนครศรีอยุธยา!J422"")"),0)</f>
        <v>0</v>
      </c>
      <c r="CC66" s="552">
        <f ca="1">IFERROR(__xludf.DUMMYFUNCTION("IMPORTRANGE(""https://docs.google.com/spreadsheets/d/1SX6NBoVAgQJ6U1MVXOaj8PK2l7WJ3RER9xtqwdhxkhw/edit?usp=sharing"",""พระนครศรีอยุธยา!J423"")"),0)</f>
        <v>0</v>
      </c>
      <c r="CD66" s="552">
        <f ca="1">IFERROR(__xludf.DUMMYFUNCTION("IMPORTRANGE(""https://docs.google.com/spreadsheets/d/1SX6NBoVAgQJ6U1MVXOaj8PK2l7WJ3RER9xtqwdhxkhw/edit?usp=sharing"",""พระนครศรีอยุธยา!J424"")"),0)</f>
        <v>0</v>
      </c>
      <c r="CE66" s="552">
        <f ca="1">IFERROR(__xludf.DUMMYFUNCTION("IMPORTRANGE(""https://docs.google.com/spreadsheets/d/1SX6NBoVAgQJ6U1MVXOaj8PK2l7WJ3RER9xtqwdhxkhw/edit?usp=sharing"",""พระนครศรีอยุธยา!J425"")"),0)</f>
        <v>0</v>
      </c>
      <c r="CF66" s="552">
        <f ca="1">IFERROR(__xludf.DUMMYFUNCTION("IMPORTRANGE(""https://docs.google.com/spreadsheets/d/1SX6NBoVAgQJ6U1MVXOaj8PK2l7WJ3RER9xtqwdhxkhw/edit?usp=sharing"",""พระนครศรีอยุธยา!J426"")"),0)</f>
        <v>0</v>
      </c>
      <c r="CG66" s="558">
        <f ca="1">IFERROR(__xludf.DUMMYFUNCTION("IMPORTRANGE(""https://docs.google.com/spreadsheets/d/1SX6NBoVAgQJ6U1MVXOaj8PK2l7WJ3RER9xtqwdhxkhw/edit?usp=sharing"",""พระนครศรีอยุธยา!J427"")"),0)</f>
        <v>0</v>
      </c>
    </row>
    <row r="67" spans="1:85" ht="21" customHeight="1">
      <c r="A67" s="549">
        <v>13</v>
      </c>
      <c r="B67" s="550" t="s">
        <v>91</v>
      </c>
      <c r="C67" s="551">
        <f t="shared" ca="1" si="105"/>
        <v>95347</v>
      </c>
      <c r="D67" s="552">
        <f ca="1">IFERROR(__xludf.DUMMYFUNCTION("IMPORTRANGE(""https://docs.google.com/spreadsheets/d/1C3CXT74ZlgGe6_JY_1olB1XN4rF0dxEuIIF-xsYjHgg/edit?usp=sharing"",""งบกองทุน!BC71"")"),0)</f>
        <v>0</v>
      </c>
      <c r="E67" s="553">
        <f ca="1">IFERROR(__xludf.DUMMYFUNCTION("IMPORTRANGE(""https://docs.google.com/spreadsheets/d/1C3CXT74ZlgGe6_JY_1olB1XN4rF0dxEuIIF-xsYjHgg/edit?usp=sharing"",""งบกองทุน!BD71"")"),95347)</f>
        <v>95347</v>
      </c>
      <c r="F67" s="554">
        <f ca="1">IFERROR(__xludf.DUMMYFUNCTION("IMPORTRANGE(""https://docs.google.com/spreadsheets/d/1SX6NBoVAgQJ6U1MVXOaj8PK2l7WJ3RER9xtqwdhxkhw/edit?usp=sharing"",""เพชรบุรี!M352"")"),21430)</f>
        <v>21430</v>
      </c>
      <c r="G67" s="554">
        <f t="shared" ca="1" si="1"/>
        <v>22.475798923930487</v>
      </c>
      <c r="H67" s="555">
        <f ca="1">IFERROR(__xludf.DUMMYFUNCTION("IMPORTRANGE(""https://docs.google.com/spreadsheets/d/1C3CXT74ZlgGe6_JY_1olB1XN4rF0dxEuIIF-xsYjHgg/edit?usp=sharing"",""งบกองทุน!BE71"")"),2359)</f>
        <v>2359</v>
      </c>
      <c r="I67" s="555">
        <f ca="1">IFERROR(__xludf.DUMMYFUNCTION("IMPORTRANGE(""https://docs.google.com/spreadsheets/d/1C3CXT74ZlgGe6_JY_1olB1XN4rF0dxEuIIF-xsYjHgg/edit?usp=sharing"",""งบกองทุน!BF71"")"),311)</f>
        <v>311</v>
      </c>
      <c r="J67" s="552">
        <f t="shared" ca="1" si="106"/>
        <v>2359</v>
      </c>
      <c r="K67" s="554">
        <f t="shared" ca="1" si="3"/>
        <v>100</v>
      </c>
      <c r="L67" s="552">
        <f t="shared" ca="1" si="107"/>
        <v>311</v>
      </c>
      <c r="M67" s="554">
        <f t="shared" ca="1" si="4"/>
        <v>100</v>
      </c>
      <c r="N67" s="552">
        <f ca="1">IFERROR(__xludf.DUMMYFUNCTION("IMPORTRANGE(""https://docs.google.com/spreadsheets/d/1SX6NBoVAgQJ6U1MVXOaj8PK2l7WJ3RER9xtqwdhxkhw/edit?usp=sharing"",""เพชรบุรี!J362"")"),2042)</f>
        <v>2042</v>
      </c>
      <c r="O67" s="552">
        <f ca="1">IFERROR(__xludf.DUMMYFUNCTION("IMPORTRANGE(""https://docs.google.com/spreadsheets/d/1SX6NBoVAgQJ6U1MVXOaj8PK2l7WJ3RER9xtqwdhxkhw/edit?usp=sharing"",""เพชรบุรี!J363"")"),271)</f>
        <v>271</v>
      </c>
      <c r="P67" s="552">
        <f ca="1">IFERROR(__xludf.DUMMYFUNCTION("IMPORTRANGE(""https://docs.google.com/spreadsheets/d/1SX6NBoVAgQJ6U1MVXOaj8PK2l7WJ3RER9xtqwdhxkhw/edit?usp=sharing"",""เพชรบุรี!J364"")"),305)</f>
        <v>305</v>
      </c>
      <c r="Q67" s="552">
        <f ca="1">IFERROR(__xludf.DUMMYFUNCTION("IMPORTRANGE(""https://docs.google.com/spreadsheets/d/1SX6NBoVAgQJ6U1MVXOaj8PK2l7WJ3RER9xtqwdhxkhw/edit?usp=sharing"",""เพชรบุรี!J365"")"),38)</f>
        <v>38</v>
      </c>
      <c r="R67" s="552">
        <f ca="1">IFERROR(__xludf.DUMMYFUNCTION("IMPORTRANGE(""https://docs.google.com/spreadsheets/d/1SX6NBoVAgQJ6U1MVXOaj8PK2l7WJ3RER9xtqwdhxkhw/edit?usp=sharing"",""เพชรบุรี!J366"")"),12)</f>
        <v>12</v>
      </c>
      <c r="S67" s="552">
        <f ca="1">IFERROR(__xludf.DUMMYFUNCTION("IMPORTRANGE(""https://docs.google.com/spreadsheets/d/1SX6NBoVAgQJ6U1MVXOaj8PK2l7WJ3RER9xtqwdhxkhw/edit?usp=sharing"",""เพชรบุรี!J367"")"),2)</f>
        <v>2</v>
      </c>
      <c r="T67" s="552">
        <f t="shared" ca="1" si="108"/>
        <v>2359</v>
      </c>
      <c r="U67" s="552">
        <f t="shared" ca="1" si="6"/>
        <v>100</v>
      </c>
      <c r="V67" s="552">
        <f t="shared" ca="1" si="109"/>
        <v>311</v>
      </c>
      <c r="W67" s="552">
        <f t="shared" ca="1" si="7"/>
        <v>100</v>
      </c>
      <c r="X67" s="552">
        <f ca="1">IFERROR(__xludf.DUMMYFUNCTION("IMPORTRANGE(""https://docs.google.com/spreadsheets/d/1SX6NBoVAgQJ6U1MVXOaj8PK2l7WJ3RER9xtqwdhxkhw/edit?usp=sharing"",""เพชรบุรี!J370"")"),2042)</f>
        <v>2042</v>
      </c>
      <c r="Y67" s="552">
        <f ca="1">IFERROR(__xludf.DUMMYFUNCTION("IMPORTRANGE(""https://docs.google.com/spreadsheets/d/1SX6NBoVAgQJ6U1MVXOaj8PK2l7WJ3RER9xtqwdhxkhw/edit?usp=sharing"",""เพชรบุรี!J371"")"),272)</f>
        <v>272</v>
      </c>
      <c r="Z67" s="552">
        <f ca="1">IFERROR(__xludf.DUMMYFUNCTION("IMPORTRANGE(""https://docs.google.com/spreadsheets/d/1SX6NBoVAgQJ6U1MVXOaj8PK2l7WJ3RER9xtqwdhxkhw/edit?usp=sharing"",""เพชรบุรี!J372"")"),301)</f>
        <v>301</v>
      </c>
      <c r="AA67" s="552">
        <f ca="1">IFERROR(__xludf.DUMMYFUNCTION("IMPORTRANGE(""https://docs.google.com/spreadsheets/d/1SX6NBoVAgQJ6U1MVXOaj8PK2l7WJ3RER9xtqwdhxkhw/edit?usp=sharing"",""เพชรบุรี!J373"")"),36)</f>
        <v>36</v>
      </c>
      <c r="AB67" s="552">
        <f ca="1">IFERROR(__xludf.DUMMYFUNCTION("IMPORTRANGE(""https://docs.google.com/spreadsheets/d/1SX6NBoVAgQJ6U1MVXOaj8PK2l7WJ3RER9xtqwdhxkhw/edit?usp=sharing"",""เพชรบุรี!J374"")"),16)</f>
        <v>16</v>
      </c>
      <c r="AC67" s="552">
        <f ca="1">IFERROR(__xludf.DUMMYFUNCTION("IMPORTRANGE(""https://docs.google.com/spreadsheets/d/1SX6NBoVAgQJ6U1MVXOaj8PK2l7WJ3RER9xtqwdhxkhw/edit?usp=sharing"",""เพชรบุรี!J375"")"),3)</f>
        <v>3</v>
      </c>
      <c r="AD67" s="552">
        <f t="shared" ca="1" si="110"/>
        <v>2169</v>
      </c>
      <c r="AE67" s="554">
        <f t="shared" ca="1" si="9"/>
        <v>91.945739720220431</v>
      </c>
      <c r="AF67" s="552">
        <f t="shared" ca="1" si="111"/>
        <v>289</v>
      </c>
      <c r="AG67" s="554">
        <f t="shared" ca="1" si="10"/>
        <v>92.926045016077168</v>
      </c>
      <c r="AH67" s="552">
        <f ca="1">IFERROR(__xludf.DUMMYFUNCTION("IMPORTRANGE(""https://docs.google.com/spreadsheets/d/1SX6NBoVAgQJ6U1MVXOaj8PK2l7WJ3RER9xtqwdhxkhw/edit?usp=sharing"",""เพชรบุรี!J378"")"),2148)</f>
        <v>2148</v>
      </c>
      <c r="AI67" s="552">
        <f ca="1">IFERROR(__xludf.DUMMYFUNCTION("IMPORTRANGE(""https://docs.google.com/spreadsheets/d/1SX6NBoVAgQJ6U1MVXOaj8PK2l7WJ3RER9xtqwdhxkhw/edit?usp=sharing"",""เพชรบุรี!J379"")"),285)</f>
        <v>285</v>
      </c>
      <c r="AJ67" s="552">
        <f ca="1">IFERROR(__xludf.DUMMYFUNCTION("IMPORTRANGE(""https://docs.google.com/spreadsheets/d/1SX6NBoVAgQJ6U1MVXOaj8PK2l7WJ3RER9xtqwdhxkhw/edit?usp=sharing"",""เพชรบุรี!J380"")"),0)</f>
        <v>0</v>
      </c>
      <c r="AK67" s="552">
        <f ca="1">IFERROR(__xludf.DUMMYFUNCTION("IMPORTRANGE(""https://docs.google.com/spreadsheets/d/1SX6NBoVAgQJ6U1MVXOaj8PK2l7WJ3RER9xtqwdhxkhw/edit?usp=sharing"",""เพชรบุรี!J381"")"),0)</f>
        <v>0</v>
      </c>
      <c r="AL67" s="552">
        <f ca="1">IFERROR(__xludf.DUMMYFUNCTION("IMPORTRANGE(""https://docs.google.com/spreadsheets/d/1SX6NBoVAgQJ6U1MVXOaj8PK2l7WJ3RER9xtqwdhxkhw/edit?usp=sharing"",""เพชรบุรี!J384"")"),21)</f>
        <v>21</v>
      </c>
      <c r="AM67" s="552">
        <f ca="1">IFERROR(__xludf.DUMMYFUNCTION("IMPORTRANGE(""https://docs.google.com/spreadsheets/d/1SX6NBoVAgQJ6U1MVXOaj8PK2l7WJ3RER9xtqwdhxkhw/edit?usp=sharing"",""เพชรบุรี!J385"")"),4)</f>
        <v>4</v>
      </c>
      <c r="AN67" s="552">
        <f ca="1">IFERROR(__xludf.DUMMYFUNCTION("IMPORTRANGE(""https://docs.google.com/spreadsheets/d/1SX6NBoVAgQJ6U1MVXOaj8PK2l7WJ3RER9xtqwdhxkhw/edit?usp=sharing"",""เพชรบุรี!J386"")"),0)</f>
        <v>0</v>
      </c>
      <c r="AO67" s="552">
        <f ca="1">IFERROR(__xludf.DUMMYFUNCTION("IMPORTRANGE(""https://docs.google.com/spreadsheets/d/1SX6NBoVAgQJ6U1MVXOaj8PK2l7WJ3RER9xtqwdhxkhw/edit?usp=sharing"",""เพชรบุรี!J387"")"),0)</f>
        <v>0</v>
      </c>
      <c r="AP67" s="552">
        <f ca="1">IFERROR(__xludf.DUMMYFUNCTION("IMPORTRANGE(""https://docs.google.com/spreadsheets/d/1SX6NBoVAgQJ6U1MVXOaj8PK2l7WJ3RER9xtqwdhxkhw/edit?usp=sharing"",""เพชรบุรี!J388"")"),0)</f>
        <v>0</v>
      </c>
      <c r="AQ67" s="552">
        <f ca="1">IFERROR(__xludf.DUMMYFUNCTION("IMPORTRANGE(""https://docs.google.com/spreadsheets/d/1SX6NBoVAgQJ6U1MVXOaj8PK2l7WJ3RER9xtqwdhxkhw/edit?usp=sharing"",""เพชรบุรี!J389"")"),0)</f>
        <v>0</v>
      </c>
      <c r="AR67" s="552">
        <f ca="1">IFERROR(__xludf.DUMMYFUNCTION("IMPORTRANGE(""https://docs.google.com/spreadsheets/d/1SX6NBoVAgQJ6U1MVXOaj8PK2l7WJ3RER9xtqwdhxkhw/edit?usp=sharing"",""เพชรบุรี!J390"")"),0)</f>
        <v>0</v>
      </c>
      <c r="AS67" s="552">
        <f ca="1">IFERROR(__xludf.DUMMYFUNCTION("IMPORTRANGE(""https://docs.google.com/spreadsheets/d/1SX6NBoVAgQJ6U1MVXOaj8PK2l7WJ3RER9xtqwdhxkhw/edit?usp=sharing"",""เพชรบุรี!J391"")"),0)</f>
        <v>0</v>
      </c>
      <c r="AT67" s="556">
        <f ca="1">IFERROR(__xludf.DUMMYFUNCTION("IMPORTRANGE(""https://docs.google.com/spreadsheets/d/1C3CXT74ZlgGe6_JY_1olB1XN4rF0dxEuIIF-xsYjHgg/edit?usp=sharing"",""งบกองทุน!CD71"")"),533)</f>
        <v>533</v>
      </c>
      <c r="AU67" s="556">
        <f ca="1">IFERROR(__xludf.DUMMYFUNCTION("IMPORTRANGE(""https://docs.google.com/spreadsheets/d/1C3CXT74ZlgGe6_JY_1olB1XN4rF0dxEuIIF-xsYjHgg/edit?usp=sharing"",""งบกองทุน!CC71"")"),136)</f>
        <v>136</v>
      </c>
      <c r="AV67" s="556">
        <f t="shared" ca="1" si="112"/>
        <v>504</v>
      </c>
      <c r="AW67" s="556">
        <f t="shared" ca="1" si="12"/>
        <v>94.55909943714822</v>
      </c>
      <c r="AX67" s="556">
        <f t="shared" ca="1" si="113"/>
        <v>101</v>
      </c>
      <c r="AY67" s="556">
        <f t="shared" ca="1" si="13"/>
        <v>74.264705882352942</v>
      </c>
      <c r="AZ67" s="552">
        <f ca="1">IFERROR(__xludf.DUMMYFUNCTION("IMPORTRANGE(""https://docs.google.com/spreadsheets/d/1SX6NBoVAgQJ6U1MVXOaj8PK2l7WJ3RER9xtqwdhxkhw/edit?usp=sharing"",""เพชรบุรี!J397"")"),0)</f>
        <v>0</v>
      </c>
      <c r="BA67" s="552">
        <f ca="1">IFERROR(__xludf.DUMMYFUNCTION("IMPORTRANGE(""https://docs.google.com/spreadsheets/d/1SX6NBoVAgQJ6U1MVXOaj8PK2l7WJ3RER9xtqwdhxkhw/edit?usp=sharing"",""เพชรบุรี!J398"")"),0)</f>
        <v>0</v>
      </c>
      <c r="BB67" s="552">
        <f ca="1">IFERROR(__xludf.DUMMYFUNCTION("IMPORTRANGE(""https://docs.google.com/spreadsheets/d/1SX6NBoVAgQJ6U1MVXOaj8PK2l7WJ3RER9xtqwdhxkhw/edit?usp=sharing"",""เพชรบุรี!J399"")"),0)</f>
        <v>0</v>
      </c>
      <c r="BC67" s="552">
        <f ca="1">IFERROR(__xludf.DUMMYFUNCTION("IMPORTRANGE(""https://docs.google.com/spreadsheets/d/1SX6NBoVAgQJ6U1MVXOaj8PK2l7WJ3RER9xtqwdhxkhw/edit?usp=sharing"",""เพชรบุรี!J400"")"),0)</f>
        <v>0</v>
      </c>
      <c r="BD67" s="552">
        <f ca="1">IFERROR(__xludf.DUMMYFUNCTION("IMPORTRANGE(""https://docs.google.com/spreadsheets/d/1SX6NBoVAgQJ6U1MVXOaj8PK2l7WJ3RER9xtqwdhxkhw/edit?usp=sharing"",""เพชรบุรี!J401"")"),0)</f>
        <v>0</v>
      </c>
      <c r="BE67" s="552">
        <f ca="1">IFERROR(__xludf.DUMMYFUNCTION("IMPORTRANGE(""https://docs.google.com/spreadsheets/d/1SX6NBoVAgQJ6U1MVXOaj8PK2l7WJ3RER9xtqwdhxkhw/edit?usp=sharing"",""เพชรบุรี!J402"")"),0)</f>
        <v>0</v>
      </c>
      <c r="BF67" s="552">
        <f ca="1">IFERROR(__xludf.DUMMYFUNCTION("IMPORTRANGE(""https://docs.google.com/spreadsheets/d/1SX6NBoVAgQJ6U1MVXOaj8PK2l7WJ3RER9xtqwdhxkhw/edit?usp=sharing"",""เพชรบุรี!J405"")"),0)</f>
        <v>0</v>
      </c>
      <c r="BG67" s="552">
        <f ca="1">IFERROR(__xludf.DUMMYFUNCTION("IMPORTRANGE(""https://docs.google.com/spreadsheets/d/1SX6NBoVAgQJ6U1MVXOaj8PK2l7WJ3RER9xtqwdhxkhw/edit?usp=sharing"",""เพชรบุรี!J406"")"),0)</f>
        <v>0</v>
      </c>
      <c r="BH67" s="552">
        <f ca="1">IFERROR(__xludf.DUMMYFUNCTION("IMPORTRANGE(""https://docs.google.com/spreadsheets/d/1SX6NBoVAgQJ6U1MVXOaj8PK2l7WJ3RER9xtqwdhxkhw/edit?usp=sharing"",""เพชรบุรี!J407"")"),0)</f>
        <v>0</v>
      </c>
      <c r="BI67" s="552">
        <f ca="1">IFERROR(__xludf.DUMMYFUNCTION("IMPORTRANGE(""https://docs.google.com/spreadsheets/d/1SX6NBoVAgQJ6U1MVXOaj8PK2l7WJ3RER9xtqwdhxkhw/edit?usp=sharing"",""เพชรบุรี!J408"")"),0)</f>
        <v>0</v>
      </c>
      <c r="BJ67" s="552">
        <f ca="1">IFERROR(__xludf.DUMMYFUNCTION("IMPORTRANGE(""https://docs.google.com/spreadsheets/d/1SX6NBoVAgQJ6U1MVXOaj8PK2l7WJ3RER9xtqwdhxkhw/edit?usp=sharing"",""เพชรบุรี!J409"")"),504)</f>
        <v>504</v>
      </c>
      <c r="BK67" s="552">
        <f ca="1">IFERROR(__xludf.DUMMYFUNCTION("IMPORTRANGE(""https://docs.google.com/spreadsheets/d/1SX6NBoVAgQJ6U1MVXOaj8PK2l7WJ3RER9xtqwdhxkhw/edit?usp=sharing"",""เพชรบุรี!J410"")"),101)</f>
        <v>101</v>
      </c>
      <c r="BL67" s="556">
        <f ca="1">IFERROR(__xludf.DUMMYFUNCTION("IMPORTRANGE(""https://docs.google.com/spreadsheets/d/1C3CXT74ZlgGe6_JY_1olB1XN4rF0dxEuIIF-xsYjHgg/edit?usp=sharing"",""งบกองทุน!CZ71"")"),0)</f>
        <v>0</v>
      </c>
      <c r="BM67" s="556">
        <f ca="1">IFERROR(__xludf.DUMMYFUNCTION("IMPORTRANGE(""https://docs.google.com/spreadsheets/d/1C3CXT74ZlgGe6_JY_1olB1XN4rF0dxEuIIF-xsYjHgg/edit?usp=sharing"",""งบกองทุน!CY71"")"),0)</f>
        <v>0</v>
      </c>
      <c r="BN67" s="556">
        <f t="shared" ca="1" si="114"/>
        <v>0</v>
      </c>
      <c r="BO67" s="557">
        <f t="shared" ca="1" si="15"/>
        <v>0</v>
      </c>
      <c r="BP67" s="556">
        <f t="shared" ca="1" si="115"/>
        <v>0</v>
      </c>
      <c r="BQ67" s="557">
        <f t="shared" ca="1" si="16"/>
        <v>0</v>
      </c>
      <c r="BR67" s="552">
        <f ca="1">IFERROR(__xludf.DUMMYFUNCTION("IMPORTRANGE(""https://docs.google.com/spreadsheets/d/1SX6NBoVAgQJ6U1MVXOaj8PK2l7WJ3RER9xtqwdhxkhw/edit?usp=sharing"",""เพชรบุรี!J414"")"),0)</f>
        <v>0</v>
      </c>
      <c r="BS67" s="552">
        <f ca="1">IFERROR(__xludf.DUMMYFUNCTION("IMPORTRANGE(""https://docs.google.com/spreadsheets/d/1SX6NBoVAgQJ6U1MVXOaj8PK2l7WJ3RER9xtqwdhxkhw/edit?usp=sharing"",""เพชรบุรี!J415"")"),0)</f>
        <v>0</v>
      </c>
      <c r="BT67" s="552">
        <f ca="1">IFERROR(__xludf.DUMMYFUNCTION("IMPORTRANGE(""https://docs.google.com/spreadsheets/d/1SX6NBoVAgQJ6U1MVXOaj8PK2l7WJ3RER9xtqwdhxkhw/edit?usp=sharing"",""เพชรบุรี!J416"")"),0)</f>
        <v>0</v>
      </c>
      <c r="BU67" s="552">
        <f ca="1">IFERROR(__xludf.DUMMYFUNCTION("IMPORTRANGE(""https://docs.google.com/spreadsheets/d/1SX6NBoVAgQJ6U1MVXOaj8PK2l7WJ3RER9xtqwdhxkhw/edit?usp=sharing"",""เพชรบุรี!J417"")"),0)</f>
        <v>0</v>
      </c>
      <c r="BV67" s="552">
        <f ca="1">IFERROR(__xludf.DUMMYFUNCTION("IMPORTRANGE(""https://docs.google.com/spreadsheets/d/1SX6NBoVAgQJ6U1MVXOaj8PK2l7WJ3RER9xtqwdhxkhw/edit?usp=sharing"",""เพชรบุรี!J418"")"),0)</f>
        <v>0</v>
      </c>
      <c r="BW67" s="552">
        <f ca="1">IFERROR(__xludf.DUMMYFUNCTION("IMPORTRANGE(""https://docs.google.com/spreadsheets/d/1SX6NBoVAgQJ6U1MVXOaj8PK2l7WJ3RER9xtqwdhxkhw/edit?usp=sharing"",""เพชรบุรี!J419"")"),0)</f>
        <v>0</v>
      </c>
      <c r="BX67" s="556">
        <f t="shared" ca="1" si="116"/>
        <v>0</v>
      </c>
      <c r="BY67" s="557">
        <f t="shared" ca="1" si="117"/>
        <v>0</v>
      </c>
      <c r="BZ67" s="556">
        <f t="shared" ca="1" si="118"/>
        <v>0</v>
      </c>
      <c r="CA67" s="557">
        <f t="shared" ca="1" si="119"/>
        <v>0</v>
      </c>
      <c r="CB67" s="552">
        <f ca="1">IFERROR(__xludf.DUMMYFUNCTION("IMPORTRANGE(""https://docs.google.com/spreadsheets/d/1SX6NBoVAgQJ6U1MVXOaj8PK2l7WJ3RER9xtqwdhxkhw/edit?usp=sharing"",""เพชรบุรี!J422"")"),0)</f>
        <v>0</v>
      </c>
      <c r="CC67" s="552">
        <f ca="1">IFERROR(__xludf.DUMMYFUNCTION("IMPORTRANGE(""https://docs.google.com/spreadsheets/d/1SX6NBoVAgQJ6U1MVXOaj8PK2l7WJ3RER9xtqwdhxkhw/edit?usp=sharing"",""เพชรบุรี!J423"")"),0)</f>
        <v>0</v>
      </c>
      <c r="CD67" s="552">
        <f ca="1">IFERROR(__xludf.DUMMYFUNCTION("IMPORTRANGE(""https://docs.google.com/spreadsheets/d/1SX6NBoVAgQJ6U1MVXOaj8PK2l7WJ3RER9xtqwdhxkhw/edit?usp=sharing"",""เพชรบุรี!J424"")"),0)</f>
        <v>0</v>
      </c>
      <c r="CE67" s="552">
        <f ca="1">IFERROR(__xludf.DUMMYFUNCTION("IMPORTRANGE(""https://docs.google.com/spreadsheets/d/1SX6NBoVAgQJ6U1MVXOaj8PK2l7WJ3RER9xtqwdhxkhw/edit?usp=sharing"",""เพชรบุรี!J425"")"),0)</f>
        <v>0</v>
      </c>
      <c r="CF67" s="552">
        <f ca="1">IFERROR(__xludf.DUMMYFUNCTION("IMPORTRANGE(""https://docs.google.com/spreadsheets/d/1SX6NBoVAgQJ6U1MVXOaj8PK2l7WJ3RER9xtqwdhxkhw/edit?usp=sharing"",""เพชรบุรี!J426"")"),0)</f>
        <v>0</v>
      </c>
      <c r="CG67" s="558">
        <f ca="1">IFERROR(__xludf.DUMMYFUNCTION("IMPORTRANGE(""https://docs.google.com/spreadsheets/d/1SX6NBoVAgQJ6U1MVXOaj8PK2l7WJ3RER9xtqwdhxkhw/edit?usp=sharing"",""เพชรบุรี!J427"")"),0)</f>
        <v>0</v>
      </c>
    </row>
    <row r="68" spans="1:85" ht="21" customHeight="1">
      <c r="A68" s="549">
        <v>14</v>
      </c>
      <c r="B68" s="550" t="s">
        <v>92</v>
      </c>
      <c r="C68" s="551">
        <f t="shared" ca="1" si="105"/>
        <v>94119</v>
      </c>
      <c r="D68" s="552">
        <f ca="1">IFERROR(__xludf.DUMMYFUNCTION("IMPORTRANGE(""https://docs.google.com/spreadsheets/d/1C3CXT74ZlgGe6_JY_1olB1XN4rF0dxEuIIF-xsYjHgg/edit?usp=sharing"",""งบกองทุน!BC72"")"),0)</f>
        <v>0</v>
      </c>
      <c r="E68" s="553">
        <f ca="1">IFERROR(__xludf.DUMMYFUNCTION("IMPORTRANGE(""https://docs.google.com/spreadsheets/d/1C3CXT74ZlgGe6_JY_1olB1XN4rF0dxEuIIF-xsYjHgg/edit?usp=sharing"",""งบกองทุน!BD72"")"),94119)</f>
        <v>94119</v>
      </c>
      <c r="F68" s="554">
        <f ca="1">IFERROR(__xludf.DUMMYFUNCTION("IMPORTRANGE(""https://docs.google.com/spreadsheets/d/1SX6NBoVAgQJ6U1MVXOaj8PK2l7WJ3RER9xtqwdhxkhw/edit?usp=sharing"",""ระยอง!M352"")"),24300)</f>
        <v>24300</v>
      </c>
      <c r="G68" s="554">
        <f t="shared" ca="1" si="1"/>
        <v>25.818378860803875</v>
      </c>
      <c r="H68" s="555">
        <f ca="1">IFERROR(__xludf.DUMMYFUNCTION("IMPORTRANGE(""https://docs.google.com/spreadsheets/d/1C3CXT74ZlgGe6_JY_1olB1XN4rF0dxEuIIF-xsYjHgg/edit?usp=sharing"",""งบกองทุน!BE72"")"),7395)</f>
        <v>7395</v>
      </c>
      <c r="I68" s="555">
        <f ca="1">IFERROR(__xludf.DUMMYFUNCTION("IMPORTRANGE(""https://docs.google.com/spreadsheets/d/1C3CXT74ZlgGe6_JY_1olB1XN4rF0dxEuIIF-xsYjHgg/edit?usp=sharing"",""งบกองทุน!BF72"")"),645)</f>
        <v>645</v>
      </c>
      <c r="J68" s="552">
        <f t="shared" ca="1" si="106"/>
        <v>7396</v>
      </c>
      <c r="K68" s="554">
        <f t="shared" ca="1" si="3"/>
        <v>100.01352265043948</v>
      </c>
      <c r="L68" s="552">
        <f t="shared" ca="1" si="107"/>
        <v>645</v>
      </c>
      <c r="M68" s="554">
        <f t="shared" ca="1" si="4"/>
        <v>100</v>
      </c>
      <c r="N68" s="552">
        <f ca="1">IFERROR(__xludf.DUMMYFUNCTION("IMPORTRANGE(""https://docs.google.com/spreadsheets/d/1SX6NBoVAgQJ6U1MVXOaj8PK2l7WJ3RER9xtqwdhxkhw/edit?usp=sharing"",""ระยอง!J362"")"),5753)</f>
        <v>5753</v>
      </c>
      <c r="O68" s="552">
        <f ca="1">IFERROR(__xludf.DUMMYFUNCTION("IMPORTRANGE(""https://docs.google.com/spreadsheets/d/1SX6NBoVAgQJ6U1MVXOaj8PK2l7WJ3RER9xtqwdhxkhw/edit?usp=sharing"",""ระยอง!J363"")"),528)</f>
        <v>528</v>
      </c>
      <c r="P68" s="552">
        <f ca="1">IFERROR(__xludf.DUMMYFUNCTION("IMPORTRANGE(""https://docs.google.com/spreadsheets/d/1SX6NBoVAgQJ6U1MVXOaj8PK2l7WJ3RER9xtqwdhxkhw/edit?usp=sharing"",""ระยอง!J364"")"),1488)</f>
        <v>1488</v>
      </c>
      <c r="Q68" s="552">
        <f ca="1">IFERROR(__xludf.DUMMYFUNCTION("IMPORTRANGE(""https://docs.google.com/spreadsheets/d/1SX6NBoVAgQJ6U1MVXOaj8PK2l7WJ3RER9xtqwdhxkhw/edit?usp=sharing"",""ระยอง!J365"")"),103)</f>
        <v>103</v>
      </c>
      <c r="R68" s="552">
        <f ca="1">IFERROR(__xludf.DUMMYFUNCTION("IMPORTRANGE(""https://docs.google.com/spreadsheets/d/1SX6NBoVAgQJ6U1MVXOaj8PK2l7WJ3RER9xtqwdhxkhw/edit?usp=sharing"",""ระยอง!J366"")"),155)</f>
        <v>155</v>
      </c>
      <c r="S68" s="552">
        <f ca="1">IFERROR(__xludf.DUMMYFUNCTION("IMPORTRANGE(""https://docs.google.com/spreadsheets/d/1SX6NBoVAgQJ6U1MVXOaj8PK2l7WJ3RER9xtqwdhxkhw/edit?usp=sharing"",""ระยอง!J367"")"),14)</f>
        <v>14</v>
      </c>
      <c r="T68" s="552">
        <f t="shared" ca="1" si="108"/>
        <v>7396</v>
      </c>
      <c r="U68" s="552">
        <f t="shared" ca="1" si="6"/>
        <v>100.01352265043948</v>
      </c>
      <c r="V68" s="552">
        <f t="shared" ca="1" si="109"/>
        <v>645</v>
      </c>
      <c r="W68" s="552">
        <f t="shared" ca="1" si="7"/>
        <v>100</v>
      </c>
      <c r="X68" s="552">
        <f ca="1">IFERROR(__xludf.DUMMYFUNCTION("IMPORTRANGE(""https://docs.google.com/spreadsheets/d/1SX6NBoVAgQJ6U1MVXOaj8PK2l7WJ3RER9xtqwdhxkhw/edit?usp=sharing"",""ระยอง!J370"")"),6092)</f>
        <v>6092</v>
      </c>
      <c r="Y68" s="552">
        <f ca="1">IFERROR(__xludf.DUMMYFUNCTION("IMPORTRANGE(""https://docs.google.com/spreadsheets/d/1SX6NBoVAgQJ6U1MVXOaj8PK2l7WJ3RER9xtqwdhxkhw/edit?usp=sharing"",""ระยอง!J371"")"),551)</f>
        <v>551</v>
      </c>
      <c r="Z68" s="552">
        <f ca="1">IFERROR(__xludf.DUMMYFUNCTION("IMPORTRANGE(""https://docs.google.com/spreadsheets/d/1SX6NBoVAgQJ6U1MVXOaj8PK2l7WJ3RER9xtqwdhxkhw/edit?usp=sharing"",""ระยอง!J372"")"),1149)</f>
        <v>1149</v>
      </c>
      <c r="AA68" s="552">
        <f ca="1">IFERROR(__xludf.DUMMYFUNCTION("IMPORTRANGE(""https://docs.google.com/spreadsheets/d/1SX6NBoVAgQJ6U1MVXOaj8PK2l7WJ3RER9xtqwdhxkhw/edit?usp=sharing"",""ระยอง!J373"")"),80)</f>
        <v>80</v>
      </c>
      <c r="AB68" s="552">
        <f ca="1">IFERROR(__xludf.DUMMYFUNCTION("IMPORTRANGE(""https://docs.google.com/spreadsheets/d/1SX6NBoVAgQJ6U1MVXOaj8PK2l7WJ3RER9xtqwdhxkhw/edit?usp=sharing"",""ระยอง!J374"")"),155)</f>
        <v>155</v>
      </c>
      <c r="AC68" s="552">
        <f ca="1">IFERROR(__xludf.DUMMYFUNCTION("IMPORTRANGE(""https://docs.google.com/spreadsheets/d/1SX6NBoVAgQJ6U1MVXOaj8PK2l7WJ3RER9xtqwdhxkhw/edit?usp=sharing"",""ระยอง!J375"")"),14)</f>
        <v>14</v>
      </c>
      <c r="AD68" s="552">
        <f t="shared" ca="1" si="110"/>
        <v>7396</v>
      </c>
      <c r="AE68" s="554">
        <f t="shared" ca="1" si="9"/>
        <v>100.01352265043948</v>
      </c>
      <c r="AF68" s="552">
        <f t="shared" ca="1" si="111"/>
        <v>645</v>
      </c>
      <c r="AG68" s="554">
        <f t="shared" ca="1" si="10"/>
        <v>100</v>
      </c>
      <c r="AH68" s="552">
        <f ca="1">IFERROR(__xludf.DUMMYFUNCTION("IMPORTRANGE(""https://docs.google.com/spreadsheets/d/1SX6NBoVAgQJ6U1MVXOaj8PK2l7WJ3RER9xtqwdhxkhw/edit?usp=sharing"",""ระยอง!J378"")"),6092)</f>
        <v>6092</v>
      </c>
      <c r="AI68" s="552">
        <f ca="1">IFERROR(__xludf.DUMMYFUNCTION("IMPORTRANGE(""https://docs.google.com/spreadsheets/d/1SX6NBoVAgQJ6U1MVXOaj8PK2l7WJ3RER9xtqwdhxkhw/edit?usp=sharing"",""ระยอง!J379"")"),551)</f>
        <v>551</v>
      </c>
      <c r="AJ68" s="552">
        <f ca="1">IFERROR(__xludf.DUMMYFUNCTION("IMPORTRANGE(""https://docs.google.com/spreadsheets/d/1SX6NBoVAgQJ6U1MVXOaj8PK2l7WJ3RER9xtqwdhxkhw/edit?usp=sharing"",""ระยอง!J380"")"),1149)</f>
        <v>1149</v>
      </c>
      <c r="AK68" s="552">
        <f ca="1">IFERROR(__xludf.DUMMYFUNCTION("IMPORTRANGE(""https://docs.google.com/spreadsheets/d/1SX6NBoVAgQJ6U1MVXOaj8PK2l7WJ3RER9xtqwdhxkhw/edit?usp=sharing"",""ระยอง!J381"")"),80)</f>
        <v>80</v>
      </c>
      <c r="AL68" s="552">
        <f ca="1">IFERROR(__xludf.DUMMYFUNCTION("IMPORTRANGE(""https://docs.google.com/spreadsheets/d/1SX6NBoVAgQJ6U1MVXOaj8PK2l7WJ3RER9xtqwdhxkhw/edit?usp=sharing"",""ระยอง!J384"")"),155)</f>
        <v>155</v>
      </c>
      <c r="AM68" s="552">
        <f ca="1">IFERROR(__xludf.DUMMYFUNCTION("IMPORTRANGE(""https://docs.google.com/spreadsheets/d/1SX6NBoVAgQJ6U1MVXOaj8PK2l7WJ3RER9xtqwdhxkhw/edit?usp=sharing"",""ระยอง!J385"")"),14)</f>
        <v>14</v>
      </c>
      <c r="AN68" s="552">
        <f ca="1">IFERROR(__xludf.DUMMYFUNCTION("IMPORTRANGE(""https://docs.google.com/spreadsheets/d/1SX6NBoVAgQJ6U1MVXOaj8PK2l7WJ3RER9xtqwdhxkhw/edit?usp=sharing"",""ระยอง!J386"")"),0)</f>
        <v>0</v>
      </c>
      <c r="AO68" s="552">
        <f ca="1">IFERROR(__xludf.DUMMYFUNCTION("IMPORTRANGE(""https://docs.google.com/spreadsheets/d/1SX6NBoVAgQJ6U1MVXOaj8PK2l7WJ3RER9xtqwdhxkhw/edit?usp=sharing"",""ระยอง!J387"")"),0)</f>
        <v>0</v>
      </c>
      <c r="AP68" s="552">
        <f ca="1">IFERROR(__xludf.DUMMYFUNCTION("IMPORTRANGE(""https://docs.google.com/spreadsheets/d/1SX6NBoVAgQJ6U1MVXOaj8PK2l7WJ3RER9xtqwdhxkhw/edit?usp=sharing"",""ระยอง!J388"")"),0)</f>
        <v>0</v>
      </c>
      <c r="AQ68" s="552">
        <f ca="1">IFERROR(__xludf.DUMMYFUNCTION("IMPORTRANGE(""https://docs.google.com/spreadsheets/d/1SX6NBoVAgQJ6U1MVXOaj8PK2l7WJ3RER9xtqwdhxkhw/edit?usp=sharing"",""ระยอง!J389"")"),0)</f>
        <v>0</v>
      </c>
      <c r="AR68" s="552">
        <f ca="1">IFERROR(__xludf.DUMMYFUNCTION("IMPORTRANGE(""https://docs.google.com/spreadsheets/d/1SX6NBoVAgQJ6U1MVXOaj8PK2l7WJ3RER9xtqwdhxkhw/edit?usp=sharing"",""ระยอง!J390"")"),0)</f>
        <v>0</v>
      </c>
      <c r="AS68" s="552">
        <f ca="1">IFERROR(__xludf.DUMMYFUNCTION("IMPORTRANGE(""https://docs.google.com/spreadsheets/d/1SX6NBoVAgQJ6U1MVXOaj8PK2l7WJ3RER9xtqwdhxkhw/edit?usp=sharing"",""ระยอง!J391"")"),0)</f>
        <v>0</v>
      </c>
      <c r="AT68" s="556">
        <f ca="1">IFERROR(__xludf.DUMMYFUNCTION("IMPORTRANGE(""https://docs.google.com/spreadsheets/d/1C3CXT74ZlgGe6_JY_1olB1XN4rF0dxEuIIF-xsYjHgg/edit?usp=sharing"",""งบกองทุน!CD72"")"),9)</f>
        <v>9</v>
      </c>
      <c r="AU68" s="556">
        <f ca="1">IFERROR(__xludf.DUMMYFUNCTION("IMPORTRANGE(""https://docs.google.com/spreadsheets/d/1C3CXT74ZlgGe6_JY_1olB1XN4rF0dxEuIIF-xsYjHgg/edit?usp=sharing"",""งบกองทุน!CC72"")"),4)</f>
        <v>4</v>
      </c>
      <c r="AV68" s="556">
        <f t="shared" ca="1" si="112"/>
        <v>0</v>
      </c>
      <c r="AW68" s="556">
        <f t="shared" ca="1" si="12"/>
        <v>0</v>
      </c>
      <c r="AX68" s="556">
        <f t="shared" ca="1" si="113"/>
        <v>0</v>
      </c>
      <c r="AY68" s="556">
        <f t="shared" ca="1" si="13"/>
        <v>0</v>
      </c>
      <c r="AZ68" s="552">
        <f ca="1">IFERROR(__xludf.DUMMYFUNCTION("IMPORTRANGE(""https://docs.google.com/spreadsheets/d/1SX6NBoVAgQJ6U1MVXOaj8PK2l7WJ3RER9xtqwdhxkhw/edit?usp=sharing"",""ระยอง!J397"")"),0)</f>
        <v>0</v>
      </c>
      <c r="BA68" s="552">
        <f ca="1">IFERROR(__xludf.DUMMYFUNCTION("IMPORTRANGE(""https://docs.google.com/spreadsheets/d/1SX6NBoVAgQJ6U1MVXOaj8PK2l7WJ3RER9xtqwdhxkhw/edit?usp=sharing"",""ระยอง!J398"")"),0)</f>
        <v>0</v>
      </c>
      <c r="BB68" s="552">
        <f ca="1">IFERROR(__xludf.DUMMYFUNCTION("IMPORTRANGE(""https://docs.google.com/spreadsheets/d/1SX6NBoVAgQJ6U1MVXOaj8PK2l7WJ3RER9xtqwdhxkhw/edit?usp=sharing"",""ระยอง!J399"")"),0)</f>
        <v>0</v>
      </c>
      <c r="BC68" s="552">
        <f ca="1">IFERROR(__xludf.DUMMYFUNCTION("IMPORTRANGE(""https://docs.google.com/spreadsheets/d/1SX6NBoVAgQJ6U1MVXOaj8PK2l7WJ3RER9xtqwdhxkhw/edit?usp=sharing"",""ระยอง!J400"")"),0)</f>
        <v>0</v>
      </c>
      <c r="BD68" s="552">
        <f ca="1">IFERROR(__xludf.DUMMYFUNCTION("IMPORTRANGE(""https://docs.google.com/spreadsheets/d/1SX6NBoVAgQJ6U1MVXOaj8PK2l7WJ3RER9xtqwdhxkhw/edit?usp=sharing"",""ระยอง!J401"")"),0)</f>
        <v>0</v>
      </c>
      <c r="BE68" s="552">
        <f ca="1">IFERROR(__xludf.DUMMYFUNCTION("IMPORTRANGE(""https://docs.google.com/spreadsheets/d/1SX6NBoVAgQJ6U1MVXOaj8PK2l7WJ3RER9xtqwdhxkhw/edit?usp=sharing"",""ระยอง!J402"")"),0)</f>
        <v>0</v>
      </c>
      <c r="BF68" s="552">
        <f ca="1">IFERROR(__xludf.DUMMYFUNCTION("IMPORTRANGE(""https://docs.google.com/spreadsheets/d/1SX6NBoVAgQJ6U1MVXOaj8PK2l7WJ3RER9xtqwdhxkhw/edit?usp=sharing"",""ระยอง!J405"")"),0)</f>
        <v>0</v>
      </c>
      <c r="BG68" s="552">
        <f ca="1">IFERROR(__xludf.DUMMYFUNCTION("IMPORTRANGE(""https://docs.google.com/spreadsheets/d/1SX6NBoVAgQJ6U1MVXOaj8PK2l7WJ3RER9xtqwdhxkhw/edit?usp=sharing"",""ระยอง!J406"")"),0)</f>
        <v>0</v>
      </c>
      <c r="BH68" s="552">
        <f ca="1">IFERROR(__xludf.DUMMYFUNCTION("IMPORTRANGE(""https://docs.google.com/spreadsheets/d/1SX6NBoVAgQJ6U1MVXOaj8PK2l7WJ3RER9xtqwdhxkhw/edit?usp=sharing"",""ระยอง!J407"")"),0)</f>
        <v>0</v>
      </c>
      <c r="BI68" s="552">
        <f ca="1">IFERROR(__xludf.DUMMYFUNCTION("IMPORTRANGE(""https://docs.google.com/spreadsheets/d/1SX6NBoVAgQJ6U1MVXOaj8PK2l7WJ3RER9xtqwdhxkhw/edit?usp=sharing"",""ระยอง!J408"")"),0)</f>
        <v>0</v>
      </c>
      <c r="BJ68" s="552">
        <f ca="1">IFERROR(__xludf.DUMMYFUNCTION("IMPORTRANGE(""https://docs.google.com/spreadsheets/d/1SX6NBoVAgQJ6U1MVXOaj8PK2l7WJ3RER9xtqwdhxkhw/edit?usp=sharing"",""ระยอง!J409"")"),0)</f>
        <v>0</v>
      </c>
      <c r="BK68" s="552">
        <f ca="1">IFERROR(__xludf.DUMMYFUNCTION("IMPORTRANGE(""https://docs.google.com/spreadsheets/d/1SX6NBoVAgQJ6U1MVXOaj8PK2l7WJ3RER9xtqwdhxkhw/edit?usp=sharing"",""ระยอง!J410"")"),0)</f>
        <v>0</v>
      </c>
      <c r="BL68" s="556">
        <f ca="1">IFERROR(__xludf.DUMMYFUNCTION("IMPORTRANGE(""https://docs.google.com/spreadsheets/d/1C3CXT74ZlgGe6_JY_1olB1XN4rF0dxEuIIF-xsYjHgg/edit?usp=sharing"",""งบกองทุน!CZ72"")"),0)</f>
        <v>0</v>
      </c>
      <c r="BM68" s="556">
        <f ca="1">IFERROR(__xludf.DUMMYFUNCTION("IMPORTRANGE(""https://docs.google.com/spreadsheets/d/1C3CXT74ZlgGe6_JY_1olB1XN4rF0dxEuIIF-xsYjHgg/edit?usp=sharing"",""งบกองทุน!CY72"")"),0)</f>
        <v>0</v>
      </c>
      <c r="BN68" s="556">
        <f t="shared" ca="1" si="114"/>
        <v>0</v>
      </c>
      <c r="BO68" s="557">
        <f t="shared" ca="1" si="15"/>
        <v>0</v>
      </c>
      <c r="BP68" s="556">
        <f t="shared" ca="1" si="115"/>
        <v>0</v>
      </c>
      <c r="BQ68" s="557">
        <f t="shared" ca="1" si="16"/>
        <v>0</v>
      </c>
      <c r="BR68" s="552">
        <f ca="1">IFERROR(__xludf.DUMMYFUNCTION("IMPORTRANGE(""https://docs.google.com/spreadsheets/d/1SX6NBoVAgQJ6U1MVXOaj8PK2l7WJ3RER9xtqwdhxkhw/edit?usp=sharing"",""ระยอง!J414"")"),0)</f>
        <v>0</v>
      </c>
      <c r="BS68" s="552">
        <f ca="1">IFERROR(__xludf.DUMMYFUNCTION("IMPORTRANGE(""https://docs.google.com/spreadsheets/d/1SX6NBoVAgQJ6U1MVXOaj8PK2l7WJ3RER9xtqwdhxkhw/edit?usp=sharing"",""ระยอง!J415"")"),0)</f>
        <v>0</v>
      </c>
      <c r="BT68" s="552">
        <f ca="1">IFERROR(__xludf.DUMMYFUNCTION("IMPORTRANGE(""https://docs.google.com/spreadsheets/d/1SX6NBoVAgQJ6U1MVXOaj8PK2l7WJ3RER9xtqwdhxkhw/edit?usp=sharing"",""ระยอง!J416"")"),0)</f>
        <v>0</v>
      </c>
      <c r="BU68" s="552">
        <f ca="1">IFERROR(__xludf.DUMMYFUNCTION("IMPORTRANGE(""https://docs.google.com/spreadsheets/d/1SX6NBoVAgQJ6U1MVXOaj8PK2l7WJ3RER9xtqwdhxkhw/edit?usp=sharing"",""ระยอง!J417"")"),0)</f>
        <v>0</v>
      </c>
      <c r="BV68" s="552">
        <f ca="1">IFERROR(__xludf.DUMMYFUNCTION("IMPORTRANGE(""https://docs.google.com/spreadsheets/d/1SX6NBoVAgQJ6U1MVXOaj8PK2l7WJ3RER9xtqwdhxkhw/edit?usp=sharing"",""ระยอง!J418"")"),0)</f>
        <v>0</v>
      </c>
      <c r="BW68" s="552">
        <f ca="1">IFERROR(__xludf.DUMMYFUNCTION("IMPORTRANGE(""https://docs.google.com/spreadsheets/d/1SX6NBoVAgQJ6U1MVXOaj8PK2l7WJ3RER9xtqwdhxkhw/edit?usp=sharing"",""ระยอง!J419"")"),0)</f>
        <v>0</v>
      </c>
      <c r="BX68" s="556">
        <f t="shared" ca="1" si="116"/>
        <v>0</v>
      </c>
      <c r="BY68" s="557">
        <f t="shared" ca="1" si="117"/>
        <v>0</v>
      </c>
      <c r="BZ68" s="556">
        <f t="shared" ca="1" si="118"/>
        <v>0</v>
      </c>
      <c r="CA68" s="557">
        <f t="shared" ca="1" si="119"/>
        <v>0</v>
      </c>
      <c r="CB68" s="552">
        <f ca="1">IFERROR(__xludf.DUMMYFUNCTION("IMPORTRANGE(""https://docs.google.com/spreadsheets/d/1SX6NBoVAgQJ6U1MVXOaj8PK2l7WJ3RER9xtqwdhxkhw/edit?usp=sharing"",""ระยอง!J422"")"),0)</f>
        <v>0</v>
      </c>
      <c r="CC68" s="552">
        <f ca="1">IFERROR(__xludf.DUMMYFUNCTION("IMPORTRANGE(""https://docs.google.com/spreadsheets/d/1SX6NBoVAgQJ6U1MVXOaj8PK2l7WJ3RER9xtqwdhxkhw/edit?usp=sharing"",""ระยอง!J423"")"),0)</f>
        <v>0</v>
      </c>
      <c r="CD68" s="552">
        <f ca="1">IFERROR(__xludf.DUMMYFUNCTION("IMPORTRANGE(""https://docs.google.com/spreadsheets/d/1SX6NBoVAgQJ6U1MVXOaj8PK2l7WJ3RER9xtqwdhxkhw/edit?usp=sharing"",""ระยอง!J424"")"),0)</f>
        <v>0</v>
      </c>
      <c r="CE68" s="552">
        <f ca="1">IFERROR(__xludf.DUMMYFUNCTION("IMPORTRANGE(""https://docs.google.com/spreadsheets/d/1SX6NBoVAgQJ6U1MVXOaj8PK2l7WJ3RER9xtqwdhxkhw/edit?usp=sharing"",""ระยอง!J425"")"),0)</f>
        <v>0</v>
      </c>
      <c r="CF68" s="552">
        <f ca="1">IFERROR(__xludf.DUMMYFUNCTION("IMPORTRANGE(""https://docs.google.com/spreadsheets/d/1SX6NBoVAgQJ6U1MVXOaj8PK2l7WJ3RER9xtqwdhxkhw/edit?usp=sharing"",""ระยอง!J426"")"),0)</f>
        <v>0</v>
      </c>
      <c r="CG68" s="558">
        <f ca="1">IFERROR(__xludf.DUMMYFUNCTION("IMPORTRANGE(""https://docs.google.com/spreadsheets/d/1SX6NBoVAgQJ6U1MVXOaj8PK2l7WJ3RER9xtqwdhxkhw/edit?usp=sharing"",""ระยอง!J427"")"),0)</f>
        <v>0</v>
      </c>
    </row>
    <row r="69" spans="1:85" ht="21" customHeight="1">
      <c r="A69" s="549">
        <v>15</v>
      </c>
      <c r="B69" s="550" t="s">
        <v>93</v>
      </c>
      <c r="C69" s="551">
        <f t="shared" ca="1" si="105"/>
        <v>79312</v>
      </c>
      <c r="D69" s="552">
        <f ca="1">IFERROR(__xludf.DUMMYFUNCTION("IMPORTRANGE(""https://docs.google.com/spreadsheets/d/1C3CXT74ZlgGe6_JY_1olB1XN4rF0dxEuIIF-xsYjHgg/edit?usp=sharing"",""งบกองทุน!BC73"")"),0)</f>
        <v>0</v>
      </c>
      <c r="E69" s="553">
        <f ca="1">IFERROR(__xludf.DUMMYFUNCTION("IMPORTRANGE(""https://docs.google.com/spreadsheets/d/1C3CXT74ZlgGe6_JY_1olB1XN4rF0dxEuIIF-xsYjHgg/edit?usp=sharing"",""งบกองทุน!BD73"")"),79312)</f>
        <v>79312</v>
      </c>
      <c r="F69" s="554">
        <f ca="1">IFERROR(__xludf.DUMMYFUNCTION("IMPORTRANGE(""https://docs.google.com/spreadsheets/d/1SX6NBoVAgQJ6U1MVXOaj8PK2l7WJ3RER9xtqwdhxkhw/edit?usp=sharing"",""ราชบุรี!M352"")"),26114.54)</f>
        <v>26114.54</v>
      </c>
      <c r="G69" s="554">
        <f t="shared" ca="1" si="1"/>
        <v>32.92634153722009</v>
      </c>
      <c r="H69" s="555">
        <f ca="1">IFERROR(__xludf.DUMMYFUNCTION("IMPORTRANGE(""https://docs.google.com/spreadsheets/d/1C3CXT74ZlgGe6_JY_1olB1XN4rF0dxEuIIF-xsYjHgg/edit?usp=sharing"",""งบกองทุน!BE73"")"),0)</f>
        <v>0</v>
      </c>
      <c r="I69" s="555">
        <f ca="1">IFERROR(__xludf.DUMMYFUNCTION("IMPORTRANGE(""https://docs.google.com/spreadsheets/d/1C3CXT74ZlgGe6_JY_1olB1XN4rF0dxEuIIF-xsYjHgg/edit?usp=sharing"",""งบกองทุน!BF73"")"),0)</f>
        <v>0</v>
      </c>
      <c r="J69" s="552">
        <f t="shared" ca="1" si="106"/>
        <v>0</v>
      </c>
      <c r="K69" s="554">
        <f t="shared" ca="1" si="3"/>
        <v>0</v>
      </c>
      <c r="L69" s="552">
        <f t="shared" ca="1" si="107"/>
        <v>0</v>
      </c>
      <c r="M69" s="554">
        <f t="shared" ca="1" si="4"/>
        <v>0</v>
      </c>
      <c r="N69" s="552">
        <f ca="1">IFERROR(__xludf.DUMMYFUNCTION("IMPORTRANGE(""https://docs.google.com/spreadsheets/d/1SX6NBoVAgQJ6U1MVXOaj8PK2l7WJ3RER9xtqwdhxkhw/edit?usp=sharing"",""ราชบุรี!J362"")"),0)</f>
        <v>0</v>
      </c>
      <c r="O69" s="552">
        <f ca="1">IFERROR(__xludf.DUMMYFUNCTION("IMPORTRANGE(""https://docs.google.com/spreadsheets/d/1SX6NBoVAgQJ6U1MVXOaj8PK2l7WJ3RER9xtqwdhxkhw/edit?usp=sharing"",""ราชบุรี!J363"")"),0)</f>
        <v>0</v>
      </c>
      <c r="P69" s="552">
        <f ca="1">IFERROR(__xludf.DUMMYFUNCTION("IMPORTRANGE(""https://docs.google.com/spreadsheets/d/1SX6NBoVAgQJ6U1MVXOaj8PK2l7WJ3RER9xtqwdhxkhw/edit?usp=sharing"",""ราชบุรี!J364"")"),0)</f>
        <v>0</v>
      </c>
      <c r="Q69" s="552">
        <f ca="1">IFERROR(__xludf.DUMMYFUNCTION("IMPORTRANGE(""https://docs.google.com/spreadsheets/d/1SX6NBoVAgQJ6U1MVXOaj8PK2l7WJ3RER9xtqwdhxkhw/edit?usp=sharing"",""ราชบุรี!J365"")"),0)</f>
        <v>0</v>
      </c>
      <c r="R69" s="552">
        <f ca="1">IFERROR(__xludf.DUMMYFUNCTION("IMPORTRANGE(""https://docs.google.com/spreadsheets/d/1SX6NBoVAgQJ6U1MVXOaj8PK2l7WJ3RER9xtqwdhxkhw/edit?usp=sharing"",""ราชบุรี!J366"")"),0)</f>
        <v>0</v>
      </c>
      <c r="S69" s="552">
        <f ca="1">IFERROR(__xludf.DUMMYFUNCTION("IMPORTRANGE(""https://docs.google.com/spreadsheets/d/1SX6NBoVAgQJ6U1MVXOaj8PK2l7WJ3RER9xtqwdhxkhw/edit?usp=sharing"",""ราชบุรี!J367"")"),0)</f>
        <v>0</v>
      </c>
      <c r="T69" s="552">
        <f t="shared" ca="1" si="108"/>
        <v>0</v>
      </c>
      <c r="U69" s="552">
        <f t="shared" ca="1" si="6"/>
        <v>0</v>
      </c>
      <c r="V69" s="552">
        <f t="shared" ca="1" si="109"/>
        <v>0</v>
      </c>
      <c r="W69" s="552">
        <f t="shared" ca="1" si="7"/>
        <v>0</v>
      </c>
      <c r="X69" s="552">
        <f ca="1">IFERROR(__xludf.DUMMYFUNCTION("IMPORTRANGE(""https://docs.google.com/spreadsheets/d/1SX6NBoVAgQJ6U1MVXOaj8PK2l7WJ3RER9xtqwdhxkhw/edit?usp=sharing"",""ราชบุรี!J370"")"),0)</f>
        <v>0</v>
      </c>
      <c r="Y69" s="552">
        <f ca="1">IFERROR(__xludf.DUMMYFUNCTION("IMPORTRANGE(""https://docs.google.com/spreadsheets/d/1SX6NBoVAgQJ6U1MVXOaj8PK2l7WJ3RER9xtqwdhxkhw/edit?usp=sharing"",""ราชบุรี!J371"")"),0)</f>
        <v>0</v>
      </c>
      <c r="Z69" s="552">
        <f ca="1">IFERROR(__xludf.DUMMYFUNCTION("IMPORTRANGE(""https://docs.google.com/spreadsheets/d/1SX6NBoVAgQJ6U1MVXOaj8PK2l7WJ3RER9xtqwdhxkhw/edit?usp=sharing"",""ราชบุรี!J372"")"),0)</f>
        <v>0</v>
      </c>
      <c r="AA69" s="552">
        <f ca="1">IFERROR(__xludf.DUMMYFUNCTION("IMPORTRANGE(""https://docs.google.com/spreadsheets/d/1SX6NBoVAgQJ6U1MVXOaj8PK2l7WJ3RER9xtqwdhxkhw/edit?usp=sharing"",""ราชบุรี!J373"")"),0)</f>
        <v>0</v>
      </c>
      <c r="AB69" s="552">
        <f ca="1">IFERROR(__xludf.DUMMYFUNCTION("IMPORTRANGE(""https://docs.google.com/spreadsheets/d/1SX6NBoVAgQJ6U1MVXOaj8PK2l7WJ3RER9xtqwdhxkhw/edit?usp=sharing"",""ราชบุรี!J374"")"),0)</f>
        <v>0</v>
      </c>
      <c r="AC69" s="552">
        <f ca="1">IFERROR(__xludf.DUMMYFUNCTION("IMPORTRANGE(""https://docs.google.com/spreadsheets/d/1SX6NBoVAgQJ6U1MVXOaj8PK2l7WJ3RER9xtqwdhxkhw/edit?usp=sharing"",""ราชบุรี!J375"")"),0)</f>
        <v>0</v>
      </c>
      <c r="AD69" s="552">
        <f t="shared" ca="1" si="110"/>
        <v>0</v>
      </c>
      <c r="AE69" s="554">
        <f t="shared" ca="1" si="9"/>
        <v>0</v>
      </c>
      <c r="AF69" s="552">
        <f t="shared" ca="1" si="111"/>
        <v>0</v>
      </c>
      <c r="AG69" s="554">
        <f t="shared" ca="1" si="10"/>
        <v>0</v>
      </c>
      <c r="AH69" s="552">
        <f ca="1">IFERROR(__xludf.DUMMYFUNCTION("IMPORTRANGE(""https://docs.google.com/spreadsheets/d/1SX6NBoVAgQJ6U1MVXOaj8PK2l7WJ3RER9xtqwdhxkhw/edit?usp=sharing"",""ราชบุรี!J378"")"),0)</f>
        <v>0</v>
      </c>
      <c r="AI69" s="552">
        <f ca="1">IFERROR(__xludf.DUMMYFUNCTION("IMPORTRANGE(""https://docs.google.com/spreadsheets/d/1SX6NBoVAgQJ6U1MVXOaj8PK2l7WJ3RER9xtqwdhxkhw/edit?usp=sharing"",""ราชบุรี!J379"")"),0)</f>
        <v>0</v>
      </c>
      <c r="AJ69" s="552">
        <f ca="1">IFERROR(__xludf.DUMMYFUNCTION("IMPORTRANGE(""https://docs.google.com/spreadsheets/d/1SX6NBoVAgQJ6U1MVXOaj8PK2l7WJ3RER9xtqwdhxkhw/edit?usp=sharing"",""ราชบุรี!J380"")"),0)</f>
        <v>0</v>
      </c>
      <c r="AK69" s="552">
        <f ca="1">IFERROR(__xludf.DUMMYFUNCTION("IMPORTRANGE(""https://docs.google.com/spreadsheets/d/1SX6NBoVAgQJ6U1MVXOaj8PK2l7WJ3RER9xtqwdhxkhw/edit?usp=sharing"",""ราชบุรี!J381"")"),0)</f>
        <v>0</v>
      </c>
      <c r="AL69" s="552">
        <f ca="1">IFERROR(__xludf.DUMMYFUNCTION("IMPORTRANGE(""https://docs.google.com/spreadsheets/d/1SX6NBoVAgQJ6U1MVXOaj8PK2l7WJ3RER9xtqwdhxkhw/edit?usp=sharing"",""ราชบุรี!J384"")"),0)</f>
        <v>0</v>
      </c>
      <c r="AM69" s="552">
        <f ca="1">IFERROR(__xludf.DUMMYFUNCTION("IMPORTRANGE(""https://docs.google.com/spreadsheets/d/1SX6NBoVAgQJ6U1MVXOaj8PK2l7WJ3RER9xtqwdhxkhw/edit?usp=sharing"",""ราชบุรี!J385"")"),0)</f>
        <v>0</v>
      </c>
      <c r="AN69" s="552">
        <f ca="1">IFERROR(__xludf.DUMMYFUNCTION("IMPORTRANGE(""https://docs.google.com/spreadsheets/d/1SX6NBoVAgQJ6U1MVXOaj8PK2l7WJ3RER9xtqwdhxkhw/edit?usp=sharing"",""ราชบุรี!J386"")"),0)</f>
        <v>0</v>
      </c>
      <c r="AO69" s="552">
        <f ca="1">IFERROR(__xludf.DUMMYFUNCTION("IMPORTRANGE(""https://docs.google.com/spreadsheets/d/1SX6NBoVAgQJ6U1MVXOaj8PK2l7WJ3RER9xtqwdhxkhw/edit?usp=sharing"",""ราชบุรี!J387"")"),0)</f>
        <v>0</v>
      </c>
      <c r="AP69" s="552">
        <f ca="1">IFERROR(__xludf.DUMMYFUNCTION("IMPORTRANGE(""https://docs.google.com/spreadsheets/d/1SX6NBoVAgQJ6U1MVXOaj8PK2l7WJ3RER9xtqwdhxkhw/edit?usp=sharing"",""ราชบุรี!J388"")"),0)</f>
        <v>0</v>
      </c>
      <c r="AQ69" s="552">
        <f ca="1">IFERROR(__xludf.DUMMYFUNCTION("IMPORTRANGE(""https://docs.google.com/spreadsheets/d/1SX6NBoVAgQJ6U1MVXOaj8PK2l7WJ3RER9xtqwdhxkhw/edit?usp=sharing"",""ราชบุรี!J389"")"),0)</f>
        <v>0</v>
      </c>
      <c r="AR69" s="552">
        <f ca="1">IFERROR(__xludf.DUMMYFUNCTION("IMPORTRANGE(""https://docs.google.com/spreadsheets/d/1SX6NBoVAgQJ6U1MVXOaj8PK2l7WJ3RER9xtqwdhxkhw/edit?usp=sharing"",""ราชบุรี!J390"")"),0)</f>
        <v>0</v>
      </c>
      <c r="AS69" s="552">
        <f ca="1">IFERROR(__xludf.DUMMYFUNCTION("IMPORTRANGE(""https://docs.google.com/spreadsheets/d/1SX6NBoVAgQJ6U1MVXOaj8PK2l7WJ3RER9xtqwdhxkhw/edit?usp=sharing"",""ราชบุรี!J391"")"),0)</f>
        <v>0</v>
      </c>
      <c r="AT69" s="556">
        <f ca="1">IFERROR(__xludf.DUMMYFUNCTION("IMPORTRANGE(""https://docs.google.com/spreadsheets/d/1C3CXT74ZlgGe6_JY_1olB1XN4rF0dxEuIIF-xsYjHgg/edit?usp=sharing"",""งบกองทุน!CD73"")"),1712)</f>
        <v>1712</v>
      </c>
      <c r="AU69" s="556">
        <f ca="1">IFERROR(__xludf.DUMMYFUNCTION("IMPORTRANGE(""https://docs.google.com/spreadsheets/d/1C3CXT74ZlgGe6_JY_1olB1XN4rF0dxEuIIF-xsYjHgg/edit?usp=sharing"",""งบกองทุน!CC73"")"),117)</f>
        <v>117</v>
      </c>
      <c r="AV69" s="556">
        <f t="shared" ca="1" si="112"/>
        <v>342</v>
      </c>
      <c r="AW69" s="556">
        <f t="shared" ca="1" si="12"/>
        <v>19.976635514018692</v>
      </c>
      <c r="AX69" s="556">
        <f t="shared" ca="1" si="113"/>
        <v>23</v>
      </c>
      <c r="AY69" s="556">
        <f t="shared" ca="1" si="13"/>
        <v>19.658119658119659</v>
      </c>
      <c r="AZ69" s="552">
        <f ca="1">IFERROR(__xludf.DUMMYFUNCTION("IMPORTRANGE(""https://docs.google.com/spreadsheets/d/1SX6NBoVAgQJ6U1MVXOaj8PK2l7WJ3RER9xtqwdhxkhw/edit?usp=sharing"",""ราชบุรี!J397"")"),342)</f>
        <v>342</v>
      </c>
      <c r="BA69" s="552">
        <f ca="1">IFERROR(__xludf.DUMMYFUNCTION("IMPORTRANGE(""https://docs.google.com/spreadsheets/d/1SX6NBoVAgQJ6U1MVXOaj8PK2l7WJ3RER9xtqwdhxkhw/edit?usp=sharing"",""ราชบุรี!J398"")"),23)</f>
        <v>23</v>
      </c>
      <c r="BB69" s="552">
        <f ca="1">IFERROR(__xludf.DUMMYFUNCTION("IMPORTRANGE(""https://docs.google.com/spreadsheets/d/1SX6NBoVAgQJ6U1MVXOaj8PK2l7WJ3RER9xtqwdhxkhw/edit?usp=sharing"",""ราชบุรี!J399"")"),0)</f>
        <v>0</v>
      </c>
      <c r="BC69" s="552">
        <f ca="1">IFERROR(__xludf.DUMMYFUNCTION("IMPORTRANGE(""https://docs.google.com/spreadsheets/d/1SX6NBoVAgQJ6U1MVXOaj8PK2l7WJ3RER9xtqwdhxkhw/edit?usp=sharing"",""ราชบุรี!J400"")"),0)</f>
        <v>0</v>
      </c>
      <c r="BD69" s="552">
        <f ca="1">IFERROR(__xludf.DUMMYFUNCTION("IMPORTRANGE(""https://docs.google.com/spreadsheets/d/1SX6NBoVAgQJ6U1MVXOaj8PK2l7WJ3RER9xtqwdhxkhw/edit?usp=sharing"",""ราชบุรี!J401"")"),0)</f>
        <v>0</v>
      </c>
      <c r="BE69" s="552">
        <f ca="1">IFERROR(__xludf.DUMMYFUNCTION("IMPORTRANGE(""https://docs.google.com/spreadsheets/d/1SX6NBoVAgQJ6U1MVXOaj8PK2l7WJ3RER9xtqwdhxkhw/edit?usp=sharing"",""ราชบุรี!J402"")"),0)</f>
        <v>0</v>
      </c>
      <c r="BF69" s="552">
        <f ca="1">IFERROR(__xludf.DUMMYFUNCTION("IMPORTRANGE(""https://docs.google.com/spreadsheets/d/1SX6NBoVAgQJ6U1MVXOaj8PK2l7WJ3RER9xtqwdhxkhw/edit?usp=sharing"",""ราชบุรี!J405"")"),0)</f>
        <v>0</v>
      </c>
      <c r="BG69" s="552">
        <f ca="1">IFERROR(__xludf.DUMMYFUNCTION("IMPORTRANGE(""https://docs.google.com/spreadsheets/d/1SX6NBoVAgQJ6U1MVXOaj8PK2l7WJ3RER9xtqwdhxkhw/edit?usp=sharing"",""ราชบุรี!J406"")"),0)</f>
        <v>0</v>
      </c>
      <c r="BH69" s="552">
        <f ca="1">IFERROR(__xludf.DUMMYFUNCTION("IMPORTRANGE(""https://docs.google.com/spreadsheets/d/1SX6NBoVAgQJ6U1MVXOaj8PK2l7WJ3RER9xtqwdhxkhw/edit?usp=sharing"",""ราชบุรี!J407"")"),0)</f>
        <v>0</v>
      </c>
      <c r="BI69" s="552">
        <f ca="1">IFERROR(__xludf.DUMMYFUNCTION("IMPORTRANGE(""https://docs.google.com/spreadsheets/d/1SX6NBoVAgQJ6U1MVXOaj8PK2l7WJ3RER9xtqwdhxkhw/edit?usp=sharing"",""ราชบุรี!J408"")"),0)</f>
        <v>0</v>
      </c>
      <c r="BJ69" s="552">
        <f ca="1">IFERROR(__xludf.DUMMYFUNCTION("IMPORTRANGE(""https://docs.google.com/spreadsheets/d/1SX6NBoVAgQJ6U1MVXOaj8PK2l7WJ3RER9xtqwdhxkhw/edit?usp=sharing"",""ราชบุรี!J409"")"),0)</f>
        <v>0</v>
      </c>
      <c r="BK69" s="552">
        <f ca="1">IFERROR(__xludf.DUMMYFUNCTION("IMPORTRANGE(""https://docs.google.com/spreadsheets/d/1SX6NBoVAgQJ6U1MVXOaj8PK2l7WJ3RER9xtqwdhxkhw/edit?usp=sharing"",""ราชบุรี!J410"")"),0)</f>
        <v>0</v>
      </c>
      <c r="BL69" s="556">
        <f ca="1">IFERROR(__xludf.DUMMYFUNCTION("IMPORTRANGE(""https://docs.google.com/spreadsheets/d/1C3CXT74ZlgGe6_JY_1olB1XN4rF0dxEuIIF-xsYjHgg/edit?usp=sharing"",""งบกองทุน!CZ73"")"),0)</f>
        <v>0</v>
      </c>
      <c r="BM69" s="556">
        <f ca="1">IFERROR(__xludf.DUMMYFUNCTION("IMPORTRANGE(""https://docs.google.com/spreadsheets/d/1C3CXT74ZlgGe6_JY_1olB1XN4rF0dxEuIIF-xsYjHgg/edit?usp=sharing"",""งบกองทุน!CY73"")"),0)</f>
        <v>0</v>
      </c>
      <c r="BN69" s="556">
        <f t="shared" ca="1" si="114"/>
        <v>0</v>
      </c>
      <c r="BO69" s="557">
        <f t="shared" ca="1" si="15"/>
        <v>0</v>
      </c>
      <c r="BP69" s="556">
        <f t="shared" ca="1" si="115"/>
        <v>0</v>
      </c>
      <c r="BQ69" s="557">
        <f t="shared" ca="1" si="16"/>
        <v>0</v>
      </c>
      <c r="BR69" s="552">
        <f ca="1">IFERROR(__xludf.DUMMYFUNCTION("IMPORTRANGE(""https://docs.google.com/spreadsheets/d/1SX6NBoVAgQJ6U1MVXOaj8PK2l7WJ3RER9xtqwdhxkhw/edit?usp=sharing"",""ราชบุรี!J414"")"),0)</f>
        <v>0</v>
      </c>
      <c r="BS69" s="552">
        <f ca="1">IFERROR(__xludf.DUMMYFUNCTION("IMPORTRANGE(""https://docs.google.com/spreadsheets/d/1SX6NBoVAgQJ6U1MVXOaj8PK2l7WJ3RER9xtqwdhxkhw/edit?usp=sharing"",""ราชบุรี!J415"")"),0)</f>
        <v>0</v>
      </c>
      <c r="BT69" s="552">
        <f ca="1">IFERROR(__xludf.DUMMYFUNCTION("IMPORTRANGE(""https://docs.google.com/spreadsheets/d/1SX6NBoVAgQJ6U1MVXOaj8PK2l7WJ3RER9xtqwdhxkhw/edit?usp=sharing"",""ราชบุรี!J416"")"),0)</f>
        <v>0</v>
      </c>
      <c r="BU69" s="552">
        <f ca="1">IFERROR(__xludf.DUMMYFUNCTION("IMPORTRANGE(""https://docs.google.com/spreadsheets/d/1SX6NBoVAgQJ6U1MVXOaj8PK2l7WJ3RER9xtqwdhxkhw/edit?usp=sharing"",""ราชบุรี!J417"")"),0)</f>
        <v>0</v>
      </c>
      <c r="BV69" s="552">
        <f ca="1">IFERROR(__xludf.DUMMYFUNCTION("IMPORTRANGE(""https://docs.google.com/spreadsheets/d/1SX6NBoVAgQJ6U1MVXOaj8PK2l7WJ3RER9xtqwdhxkhw/edit?usp=sharing"",""ราชบุรี!J418"")"),0)</f>
        <v>0</v>
      </c>
      <c r="BW69" s="552">
        <f ca="1">IFERROR(__xludf.DUMMYFUNCTION("IMPORTRANGE(""https://docs.google.com/spreadsheets/d/1SX6NBoVAgQJ6U1MVXOaj8PK2l7WJ3RER9xtqwdhxkhw/edit?usp=sharing"",""ราชบุรี!J419"")"),0)</f>
        <v>0</v>
      </c>
      <c r="BX69" s="556">
        <f t="shared" ca="1" si="116"/>
        <v>0</v>
      </c>
      <c r="BY69" s="557">
        <f t="shared" ca="1" si="117"/>
        <v>0</v>
      </c>
      <c r="BZ69" s="556">
        <f t="shared" ca="1" si="118"/>
        <v>0</v>
      </c>
      <c r="CA69" s="557">
        <f t="shared" ca="1" si="119"/>
        <v>0</v>
      </c>
      <c r="CB69" s="552">
        <f ca="1">IFERROR(__xludf.DUMMYFUNCTION("IMPORTRANGE(""https://docs.google.com/spreadsheets/d/1SX6NBoVAgQJ6U1MVXOaj8PK2l7WJ3RER9xtqwdhxkhw/edit?usp=sharing"",""ราชบุรี!J422"")"),0)</f>
        <v>0</v>
      </c>
      <c r="CC69" s="552">
        <f ca="1">IFERROR(__xludf.DUMMYFUNCTION("IMPORTRANGE(""https://docs.google.com/spreadsheets/d/1SX6NBoVAgQJ6U1MVXOaj8PK2l7WJ3RER9xtqwdhxkhw/edit?usp=sharing"",""ราชบุรี!J423"")"),0)</f>
        <v>0</v>
      </c>
      <c r="CD69" s="552">
        <f ca="1">IFERROR(__xludf.DUMMYFUNCTION("IMPORTRANGE(""https://docs.google.com/spreadsheets/d/1SX6NBoVAgQJ6U1MVXOaj8PK2l7WJ3RER9xtqwdhxkhw/edit?usp=sharing"",""ราชบุรี!J424"")"),0)</f>
        <v>0</v>
      </c>
      <c r="CE69" s="552">
        <f ca="1">IFERROR(__xludf.DUMMYFUNCTION("IMPORTRANGE(""https://docs.google.com/spreadsheets/d/1SX6NBoVAgQJ6U1MVXOaj8PK2l7WJ3RER9xtqwdhxkhw/edit?usp=sharing"",""ราชบุรี!J425"")"),0)</f>
        <v>0</v>
      </c>
      <c r="CF69" s="552">
        <f ca="1">IFERROR(__xludf.DUMMYFUNCTION("IMPORTRANGE(""https://docs.google.com/spreadsheets/d/1SX6NBoVAgQJ6U1MVXOaj8PK2l7WJ3RER9xtqwdhxkhw/edit?usp=sharing"",""ราชบุรี!J426"")"),0)</f>
        <v>0</v>
      </c>
      <c r="CG69" s="558">
        <f ca="1">IFERROR(__xludf.DUMMYFUNCTION("IMPORTRANGE(""https://docs.google.com/spreadsheets/d/1SX6NBoVAgQJ6U1MVXOaj8PK2l7WJ3RER9xtqwdhxkhw/edit?usp=sharing"",""ราชบุรี!J427"")"),0)</f>
        <v>0</v>
      </c>
    </row>
    <row r="70" spans="1:85" ht="24" customHeight="1">
      <c r="A70" s="549">
        <v>16</v>
      </c>
      <c r="B70" s="550" t="s">
        <v>94</v>
      </c>
      <c r="C70" s="551">
        <f t="shared" ca="1" si="105"/>
        <v>794001</v>
      </c>
      <c r="D70" s="552">
        <f ca="1">IFERROR(__xludf.DUMMYFUNCTION("IMPORTRANGE(""https://docs.google.com/spreadsheets/d/1C3CXT74ZlgGe6_JY_1olB1XN4rF0dxEuIIF-xsYjHgg/edit?usp=sharing"",""งบกองทุน!BC74"")"),0)</f>
        <v>0</v>
      </c>
      <c r="E70" s="553">
        <f ca="1">IFERROR(__xludf.DUMMYFUNCTION("IMPORTRANGE(""https://docs.google.com/spreadsheets/d/1C3CXT74ZlgGe6_JY_1olB1XN4rF0dxEuIIF-xsYjHgg/edit?usp=sharing"",""งบกองทุน!BD74"")"),794001)</f>
        <v>794001</v>
      </c>
      <c r="F70" s="554">
        <f ca="1">IFERROR(__xludf.DUMMYFUNCTION("IMPORTRANGE(""https://docs.google.com/spreadsheets/d/1SX6NBoVAgQJ6U1MVXOaj8PK2l7WJ3RER9xtqwdhxkhw/edit?usp=sharing"",""ลพบุรี!M352"")"),94365.15)</f>
        <v>94365.15</v>
      </c>
      <c r="G70" s="554">
        <f t="shared" ca="1" si="1"/>
        <v>11.884764628759914</v>
      </c>
      <c r="H70" s="555">
        <f ca="1">IFERROR(__xludf.DUMMYFUNCTION("IMPORTRANGE(""https://docs.google.com/spreadsheets/d/1C3CXT74ZlgGe6_JY_1olB1XN4rF0dxEuIIF-xsYjHgg/edit?usp=sharing"",""งบกองทุน!BE74"")"),109020)</f>
        <v>109020</v>
      </c>
      <c r="I70" s="555">
        <f ca="1">IFERROR(__xludf.DUMMYFUNCTION("IMPORTRANGE(""https://docs.google.com/spreadsheets/d/1C3CXT74ZlgGe6_JY_1olB1XN4rF0dxEuIIF-xsYjHgg/edit?usp=sharing"",""งบกองทุน!BF74"")"),6394)</f>
        <v>6394</v>
      </c>
      <c r="J70" s="552">
        <f t="shared" ca="1" si="106"/>
        <v>109022</v>
      </c>
      <c r="K70" s="554">
        <f t="shared" ca="1" si="3"/>
        <v>100.00183452577508</v>
      </c>
      <c r="L70" s="552">
        <f t="shared" ca="1" si="107"/>
        <v>6394</v>
      </c>
      <c r="M70" s="554">
        <f t="shared" ca="1" si="4"/>
        <v>100</v>
      </c>
      <c r="N70" s="552">
        <f ca="1">IFERROR(__xludf.DUMMYFUNCTION("IMPORTRANGE(""https://docs.google.com/spreadsheets/d/1SX6NBoVAgQJ6U1MVXOaj8PK2l7WJ3RER9xtqwdhxkhw/edit?usp=sharing"",""ลพบุรี!J362"")"),76932)</f>
        <v>76932</v>
      </c>
      <c r="O70" s="552">
        <f ca="1">IFERROR(__xludf.DUMMYFUNCTION("IMPORTRANGE(""https://docs.google.com/spreadsheets/d/1SX6NBoVAgQJ6U1MVXOaj8PK2l7WJ3RER9xtqwdhxkhw/edit?usp=sharing"",""ลพบุรี!J363"")"),4807)</f>
        <v>4807</v>
      </c>
      <c r="P70" s="552">
        <f ca="1">IFERROR(__xludf.DUMMYFUNCTION("IMPORTRANGE(""https://docs.google.com/spreadsheets/d/1SX6NBoVAgQJ6U1MVXOaj8PK2l7WJ3RER9xtqwdhxkhw/edit?usp=sharing"",""ลพบุรี!J364"")"),28032)</f>
        <v>28032</v>
      </c>
      <c r="Q70" s="552">
        <f ca="1">IFERROR(__xludf.DUMMYFUNCTION("IMPORTRANGE(""https://docs.google.com/spreadsheets/d/1SX6NBoVAgQJ6U1MVXOaj8PK2l7WJ3RER9xtqwdhxkhw/edit?usp=sharing"",""ลพบุรี!J365"")"),1369)</f>
        <v>1369</v>
      </c>
      <c r="R70" s="552">
        <f ca="1">IFERROR(__xludf.DUMMYFUNCTION("IMPORTRANGE(""https://docs.google.com/spreadsheets/d/1SX6NBoVAgQJ6U1MVXOaj8PK2l7WJ3RER9xtqwdhxkhw/edit?usp=sharing"",""ลพบุรี!J366"")"),4058)</f>
        <v>4058</v>
      </c>
      <c r="S70" s="552">
        <f ca="1">IFERROR(__xludf.DUMMYFUNCTION("IMPORTRANGE(""https://docs.google.com/spreadsheets/d/1SX6NBoVAgQJ6U1MVXOaj8PK2l7WJ3RER9xtqwdhxkhw/edit?usp=sharing"",""ลพบุรี!J367"")"),218)</f>
        <v>218</v>
      </c>
      <c r="T70" s="552">
        <f t="shared" ca="1" si="108"/>
        <v>109022</v>
      </c>
      <c r="U70" s="552">
        <f t="shared" ca="1" si="6"/>
        <v>100.00183452577508</v>
      </c>
      <c r="V70" s="552">
        <f t="shared" ca="1" si="109"/>
        <v>6394</v>
      </c>
      <c r="W70" s="552">
        <f t="shared" ca="1" si="7"/>
        <v>100</v>
      </c>
      <c r="X70" s="552">
        <f ca="1">IFERROR(__xludf.DUMMYFUNCTION("IMPORTRANGE(""https://docs.google.com/spreadsheets/d/1SX6NBoVAgQJ6U1MVXOaj8PK2l7WJ3RER9xtqwdhxkhw/edit?usp=sharing"",""ลพบุรี!J370"")"),76932)</f>
        <v>76932</v>
      </c>
      <c r="Y70" s="552">
        <f ca="1">IFERROR(__xludf.DUMMYFUNCTION("IMPORTRANGE(""https://docs.google.com/spreadsheets/d/1SX6NBoVAgQJ6U1MVXOaj8PK2l7WJ3RER9xtqwdhxkhw/edit?usp=sharing"",""ลพบุรี!J371"")"),4812)</f>
        <v>4812</v>
      </c>
      <c r="Z70" s="552">
        <f ca="1">IFERROR(__xludf.DUMMYFUNCTION("IMPORTRANGE(""https://docs.google.com/spreadsheets/d/1SX6NBoVAgQJ6U1MVXOaj8PK2l7WJ3RER9xtqwdhxkhw/edit?usp=sharing"",""ลพบุรี!J372"")"),28032)</f>
        <v>28032</v>
      </c>
      <c r="AA70" s="552">
        <f ca="1">IFERROR(__xludf.DUMMYFUNCTION("IMPORTRANGE(""https://docs.google.com/spreadsheets/d/1SX6NBoVAgQJ6U1MVXOaj8PK2l7WJ3RER9xtqwdhxkhw/edit?usp=sharing"",""ลพบุรี!J373"")"),1366)</f>
        <v>1366</v>
      </c>
      <c r="AB70" s="552">
        <f ca="1">IFERROR(__xludf.DUMMYFUNCTION("IMPORTRANGE(""https://docs.google.com/spreadsheets/d/1SX6NBoVAgQJ6U1MVXOaj8PK2l7WJ3RER9xtqwdhxkhw/edit?usp=sharing"",""ลพบุรี!J374"")"),4058)</f>
        <v>4058</v>
      </c>
      <c r="AC70" s="552">
        <f ca="1">IFERROR(__xludf.DUMMYFUNCTION("IMPORTRANGE(""https://docs.google.com/spreadsheets/d/1SX6NBoVAgQJ6U1MVXOaj8PK2l7WJ3RER9xtqwdhxkhw/edit?usp=sharing"",""ลพบุรี!J375"")"),216)</f>
        <v>216</v>
      </c>
      <c r="AD70" s="552">
        <f t="shared" ca="1" si="110"/>
        <v>0</v>
      </c>
      <c r="AE70" s="554">
        <f t="shared" ca="1" si="9"/>
        <v>0</v>
      </c>
      <c r="AF70" s="552">
        <f t="shared" ca="1" si="111"/>
        <v>0</v>
      </c>
      <c r="AG70" s="554">
        <f t="shared" ca="1" si="10"/>
        <v>0</v>
      </c>
      <c r="AH70" s="552">
        <f ca="1">IFERROR(__xludf.DUMMYFUNCTION("IMPORTRANGE(""https://docs.google.com/spreadsheets/d/1SX6NBoVAgQJ6U1MVXOaj8PK2l7WJ3RER9xtqwdhxkhw/edit?usp=sharing"",""ลพบุรี!J378"")"),0)</f>
        <v>0</v>
      </c>
      <c r="AI70" s="552">
        <f ca="1">IFERROR(__xludf.DUMMYFUNCTION("IMPORTRANGE(""https://docs.google.com/spreadsheets/d/1SX6NBoVAgQJ6U1MVXOaj8PK2l7WJ3RER9xtqwdhxkhw/edit?usp=sharing"",""ลพบุรี!J379"")"),0)</f>
        <v>0</v>
      </c>
      <c r="AJ70" s="552">
        <f ca="1">IFERROR(__xludf.DUMMYFUNCTION("IMPORTRANGE(""https://docs.google.com/spreadsheets/d/1SX6NBoVAgQJ6U1MVXOaj8PK2l7WJ3RER9xtqwdhxkhw/edit?usp=sharing"",""ลพบุรี!J380"")"),0)</f>
        <v>0</v>
      </c>
      <c r="AK70" s="552">
        <f ca="1">IFERROR(__xludf.DUMMYFUNCTION("IMPORTRANGE(""https://docs.google.com/spreadsheets/d/1SX6NBoVAgQJ6U1MVXOaj8PK2l7WJ3RER9xtqwdhxkhw/edit?usp=sharing"",""ลพบุรี!J381"")"),0)</f>
        <v>0</v>
      </c>
      <c r="AL70" s="552">
        <f ca="1">IFERROR(__xludf.DUMMYFUNCTION("IMPORTRANGE(""https://docs.google.com/spreadsheets/d/1SX6NBoVAgQJ6U1MVXOaj8PK2l7WJ3RER9xtqwdhxkhw/edit?usp=sharing"",""ลพบุรี!J384"")"),0)</f>
        <v>0</v>
      </c>
      <c r="AM70" s="552">
        <f ca="1">IFERROR(__xludf.DUMMYFUNCTION("IMPORTRANGE(""https://docs.google.com/spreadsheets/d/1SX6NBoVAgQJ6U1MVXOaj8PK2l7WJ3RER9xtqwdhxkhw/edit?usp=sharing"",""ลพบุรี!J385"")"),0)</f>
        <v>0</v>
      </c>
      <c r="AN70" s="552">
        <f ca="1">IFERROR(__xludf.DUMMYFUNCTION("IMPORTRANGE(""https://docs.google.com/spreadsheets/d/1SX6NBoVAgQJ6U1MVXOaj8PK2l7WJ3RER9xtqwdhxkhw/edit?usp=sharing"",""ลพบุรี!J386"")"),0)</f>
        <v>0</v>
      </c>
      <c r="AO70" s="552">
        <f ca="1">IFERROR(__xludf.DUMMYFUNCTION("IMPORTRANGE(""https://docs.google.com/spreadsheets/d/1SX6NBoVAgQJ6U1MVXOaj8PK2l7WJ3RER9xtqwdhxkhw/edit?usp=sharing"",""ลพบุรี!J387"")"),0)</f>
        <v>0</v>
      </c>
      <c r="AP70" s="552">
        <f ca="1">IFERROR(__xludf.DUMMYFUNCTION("IMPORTRANGE(""https://docs.google.com/spreadsheets/d/1SX6NBoVAgQJ6U1MVXOaj8PK2l7WJ3RER9xtqwdhxkhw/edit?usp=sharing"",""ลพบุรี!J388"")"),0)</f>
        <v>0</v>
      </c>
      <c r="AQ70" s="552">
        <f ca="1">IFERROR(__xludf.DUMMYFUNCTION("IMPORTRANGE(""https://docs.google.com/spreadsheets/d/1SX6NBoVAgQJ6U1MVXOaj8PK2l7WJ3RER9xtqwdhxkhw/edit?usp=sharing"",""ลพบุรี!J389"")"),0)</f>
        <v>0</v>
      </c>
      <c r="AR70" s="552">
        <f ca="1">IFERROR(__xludf.DUMMYFUNCTION("IMPORTRANGE(""https://docs.google.com/spreadsheets/d/1SX6NBoVAgQJ6U1MVXOaj8PK2l7WJ3RER9xtqwdhxkhw/edit?usp=sharing"",""ลพบุรี!J390"")"),0)</f>
        <v>0</v>
      </c>
      <c r="AS70" s="552">
        <f ca="1">IFERROR(__xludf.DUMMYFUNCTION("IMPORTRANGE(""https://docs.google.com/spreadsheets/d/1SX6NBoVAgQJ6U1MVXOaj8PK2l7WJ3RER9xtqwdhxkhw/edit?usp=sharing"",""ลพบุรี!J391"")"),0)</f>
        <v>0</v>
      </c>
      <c r="AT70" s="556">
        <f ca="1">IFERROR(__xludf.DUMMYFUNCTION("IMPORTRANGE(""https://docs.google.com/spreadsheets/d/1C3CXT74ZlgGe6_JY_1olB1XN4rF0dxEuIIF-xsYjHgg/edit?usp=sharing"",""งบกองทุน!CD74"")"),5606)</f>
        <v>5606</v>
      </c>
      <c r="AU70" s="556">
        <f ca="1">IFERROR(__xludf.DUMMYFUNCTION("IMPORTRANGE(""https://docs.google.com/spreadsheets/d/1C3CXT74ZlgGe6_JY_1olB1XN4rF0dxEuIIF-xsYjHgg/edit?usp=sharing"",""งบกองทุน!CC74"")"),328)</f>
        <v>328</v>
      </c>
      <c r="AV70" s="556">
        <f t="shared" ca="1" si="112"/>
        <v>0</v>
      </c>
      <c r="AW70" s="556">
        <f t="shared" ca="1" si="12"/>
        <v>0</v>
      </c>
      <c r="AX70" s="556">
        <f t="shared" ca="1" si="113"/>
        <v>0</v>
      </c>
      <c r="AY70" s="556">
        <f t="shared" ca="1" si="13"/>
        <v>0</v>
      </c>
      <c r="AZ70" s="552">
        <f ca="1">IFERROR(__xludf.DUMMYFUNCTION("IMPORTRANGE(""https://docs.google.com/spreadsheets/d/1SX6NBoVAgQJ6U1MVXOaj8PK2l7WJ3RER9xtqwdhxkhw/edit?usp=sharing"",""ลพบุรี!J397"")"),0)</f>
        <v>0</v>
      </c>
      <c r="BA70" s="552">
        <f ca="1">IFERROR(__xludf.DUMMYFUNCTION("IMPORTRANGE(""https://docs.google.com/spreadsheets/d/1SX6NBoVAgQJ6U1MVXOaj8PK2l7WJ3RER9xtqwdhxkhw/edit?usp=sharing"",""ลพบุรี!J398"")"),0)</f>
        <v>0</v>
      </c>
      <c r="BB70" s="552">
        <f ca="1">IFERROR(__xludf.DUMMYFUNCTION("IMPORTRANGE(""https://docs.google.com/spreadsheets/d/1SX6NBoVAgQJ6U1MVXOaj8PK2l7WJ3RER9xtqwdhxkhw/edit?usp=sharing"",""ลพบุรี!J399"")"),0)</f>
        <v>0</v>
      </c>
      <c r="BC70" s="552">
        <f ca="1">IFERROR(__xludf.DUMMYFUNCTION("IMPORTRANGE(""https://docs.google.com/spreadsheets/d/1SX6NBoVAgQJ6U1MVXOaj8PK2l7WJ3RER9xtqwdhxkhw/edit?usp=sharing"",""ลพบุรี!J400"")"),0)</f>
        <v>0</v>
      </c>
      <c r="BD70" s="552">
        <f ca="1">IFERROR(__xludf.DUMMYFUNCTION("IMPORTRANGE(""https://docs.google.com/spreadsheets/d/1SX6NBoVAgQJ6U1MVXOaj8PK2l7WJ3RER9xtqwdhxkhw/edit?usp=sharing"",""ลพบุรี!J401"")"),0)</f>
        <v>0</v>
      </c>
      <c r="BE70" s="552">
        <f ca="1">IFERROR(__xludf.DUMMYFUNCTION("IMPORTRANGE(""https://docs.google.com/spreadsheets/d/1SX6NBoVAgQJ6U1MVXOaj8PK2l7WJ3RER9xtqwdhxkhw/edit?usp=sharing"",""ลพบุรี!J402"")"),0)</f>
        <v>0</v>
      </c>
      <c r="BF70" s="552">
        <f ca="1">IFERROR(__xludf.DUMMYFUNCTION("IMPORTRANGE(""https://docs.google.com/spreadsheets/d/1SX6NBoVAgQJ6U1MVXOaj8PK2l7WJ3RER9xtqwdhxkhw/edit?usp=sharing"",""ลพบุรี!J405"")"),0)</f>
        <v>0</v>
      </c>
      <c r="BG70" s="552">
        <f ca="1">IFERROR(__xludf.DUMMYFUNCTION("IMPORTRANGE(""https://docs.google.com/spreadsheets/d/1SX6NBoVAgQJ6U1MVXOaj8PK2l7WJ3RER9xtqwdhxkhw/edit?usp=sharing"",""ลพบุรี!J406"")"),0)</f>
        <v>0</v>
      </c>
      <c r="BH70" s="552">
        <f ca="1">IFERROR(__xludf.DUMMYFUNCTION("IMPORTRANGE(""https://docs.google.com/spreadsheets/d/1SX6NBoVAgQJ6U1MVXOaj8PK2l7WJ3RER9xtqwdhxkhw/edit?usp=sharing"",""ลพบุรี!J407"")"),0)</f>
        <v>0</v>
      </c>
      <c r="BI70" s="552">
        <f ca="1">IFERROR(__xludf.DUMMYFUNCTION("IMPORTRANGE(""https://docs.google.com/spreadsheets/d/1SX6NBoVAgQJ6U1MVXOaj8PK2l7WJ3RER9xtqwdhxkhw/edit?usp=sharing"",""ลพบุรี!J408"")"),0)</f>
        <v>0</v>
      </c>
      <c r="BJ70" s="552">
        <f ca="1">IFERROR(__xludf.DUMMYFUNCTION("IMPORTRANGE(""https://docs.google.com/spreadsheets/d/1SX6NBoVAgQJ6U1MVXOaj8PK2l7WJ3RER9xtqwdhxkhw/edit?usp=sharing"",""ลพบุรี!J409"")"),0)</f>
        <v>0</v>
      </c>
      <c r="BK70" s="552">
        <f ca="1">IFERROR(__xludf.DUMMYFUNCTION("IMPORTRANGE(""https://docs.google.com/spreadsheets/d/1SX6NBoVAgQJ6U1MVXOaj8PK2l7WJ3RER9xtqwdhxkhw/edit?usp=sharing"",""ลพบุรี!J410"")"),0)</f>
        <v>0</v>
      </c>
      <c r="BL70" s="556">
        <f ca="1">IFERROR(__xludf.DUMMYFUNCTION("IMPORTRANGE(""https://docs.google.com/spreadsheets/d/1C3CXT74ZlgGe6_JY_1olB1XN4rF0dxEuIIF-xsYjHgg/edit?usp=sharing"",""งบกองทุน!CZ74"")"),0)</f>
        <v>0</v>
      </c>
      <c r="BM70" s="556">
        <f ca="1">IFERROR(__xludf.DUMMYFUNCTION("IMPORTRANGE(""https://docs.google.com/spreadsheets/d/1C3CXT74ZlgGe6_JY_1olB1XN4rF0dxEuIIF-xsYjHgg/edit?usp=sharing"",""งบกองทุน!CY74"")"),0)</f>
        <v>0</v>
      </c>
      <c r="BN70" s="556">
        <f t="shared" ca="1" si="114"/>
        <v>0</v>
      </c>
      <c r="BO70" s="557">
        <f t="shared" ca="1" si="15"/>
        <v>0</v>
      </c>
      <c r="BP70" s="556">
        <f t="shared" ca="1" si="115"/>
        <v>0</v>
      </c>
      <c r="BQ70" s="557">
        <f t="shared" ca="1" si="16"/>
        <v>0</v>
      </c>
      <c r="BR70" s="552">
        <f ca="1">IFERROR(__xludf.DUMMYFUNCTION("IMPORTRANGE(""https://docs.google.com/spreadsheets/d/1SX6NBoVAgQJ6U1MVXOaj8PK2l7WJ3RER9xtqwdhxkhw/edit?usp=sharing"",""ลพบุรี!J414"")"),0)</f>
        <v>0</v>
      </c>
      <c r="BS70" s="552">
        <f ca="1">IFERROR(__xludf.DUMMYFUNCTION("IMPORTRANGE(""https://docs.google.com/spreadsheets/d/1SX6NBoVAgQJ6U1MVXOaj8PK2l7WJ3RER9xtqwdhxkhw/edit?usp=sharing"",""ลพบุรี!J415"")"),0)</f>
        <v>0</v>
      </c>
      <c r="BT70" s="552">
        <f ca="1">IFERROR(__xludf.DUMMYFUNCTION("IMPORTRANGE(""https://docs.google.com/spreadsheets/d/1SX6NBoVAgQJ6U1MVXOaj8PK2l7WJ3RER9xtqwdhxkhw/edit?usp=sharing"",""ลพบุรี!J416"")"),0)</f>
        <v>0</v>
      </c>
      <c r="BU70" s="552">
        <f ca="1">IFERROR(__xludf.DUMMYFUNCTION("IMPORTRANGE(""https://docs.google.com/spreadsheets/d/1SX6NBoVAgQJ6U1MVXOaj8PK2l7WJ3RER9xtqwdhxkhw/edit?usp=sharing"",""ลพบุรี!J417"")"),0)</f>
        <v>0</v>
      </c>
      <c r="BV70" s="552">
        <f ca="1">IFERROR(__xludf.DUMMYFUNCTION("IMPORTRANGE(""https://docs.google.com/spreadsheets/d/1SX6NBoVAgQJ6U1MVXOaj8PK2l7WJ3RER9xtqwdhxkhw/edit?usp=sharing"",""ลพบุรี!J418"")"),0)</f>
        <v>0</v>
      </c>
      <c r="BW70" s="552">
        <f ca="1">IFERROR(__xludf.DUMMYFUNCTION("IMPORTRANGE(""https://docs.google.com/spreadsheets/d/1SX6NBoVAgQJ6U1MVXOaj8PK2l7WJ3RER9xtqwdhxkhw/edit?usp=sharing"",""ลพบุรี!J419"")"),0)</f>
        <v>0</v>
      </c>
      <c r="BX70" s="556">
        <f t="shared" ca="1" si="116"/>
        <v>0</v>
      </c>
      <c r="BY70" s="557">
        <f t="shared" ca="1" si="117"/>
        <v>0</v>
      </c>
      <c r="BZ70" s="556">
        <f t="shared" ca="1" si="118"/>
        <v>0</v>
      </c>
      <c r="CA70" s="557">
        <f t="shared" ca="1" si="119"/>
        <v>0</v>
      </c>
      <c r="CB70" s="552">
        <f ca="1">IFERROR(__xludf.DUMMYFUNCTION("IMPORTRANGE(""https://docs.google.com/spreadsheets/d/1SX6NBoVAgQJ6U1MVXOaj8PK2l7WJ3RER9xtqwdhxkhw/edit?usp=sharing"",""ลพบุรี!J422"")"),0)</f>
        <v>0</v>
      </c>
      <c r="CC70" s="552">
        <f ca="1">IFERROR(__xludf.DUMMYFUNCTION("IMPORTRANGE(""https://docs.google.com/spreadsheets/d/1SX6NBoVAgQJ6U1MVXOaj8PK2l7WJ3RER9xtqwdhxkhw/edit?usp=sharing"",""ลพบุรี!J423"")"),0)</f>
        <v>0</v>
      </c>
      <c r="CD70" s="552">
        <f ca="1">IFERROR(__xludf.DUMMYFUNCTION("IMPORTRANGE(""https://docs.google.com/spreadsheets/d/1SX6NBoVAgQJ6U1MVXOaj8PK2l7WJ3RER9xtqwdhxkhw/edit?usp=sharing"",""ลพบุรี!J424"")"),0)</f>
        <v>0</v>
      </c>
      <c r="CE70" s="552">
        <f ca="1">IFERROR(__xludf.DUMMYFUNCTION("IMPORTRANGE(""https://docs.google.com/spreadsheets/d/1SX6NBoVAgQJ6U1MVXOaj8PK2l7WJ3RER9xtqwdhxkhw/edit?usp=sharing"",""ลพบุรี!J425"")"),0)</f>
        <v>0</v>
      </c>
      <c r="CF70" s="552">
        <f ca="1">IFERROR(__xludf.DUMMYFUNCTION("IMPORTRANGE(""https://docs.google.com/spreadsheets/d/1SX6NBoVAgQJ6U1MVXOaj8PK2l7WJ3RER9xtqwdhxkhw/edit?usp=sharing"",""ลพบุรี!J426"")"),0)</f>
        <v>0</v>
      </c>
      <c r="CG70" s="558">
        <f ca="1">IFERROR(__xludf.DUMMYFUNCTION("IMPORTRANGE(""https://docs.google.com/spreadsheets/d/1SX6NBoVAgQJ6U1MVXOaj8PK2l7WJ3RER9xtqwdhxkhw/edit?usp=sharing"",""ลพบุรี!J427"")"),0)</f>
        <v>0</v>
      </c>
    </row>
    <row r="71" spans="1:85" ht="21" customHeight="1">
      <c r="A71" s="549">
        <v>17</v>
      </c>
      <c r="B71" s="550" t="s">
        <v>95</v>
      </c>
      <c r="C71" s="551">
        <f t="shared" ca="1" si="105"/>
        <v>1071935</v>
      </c>
      <c r="D71" s="552">
        <f ca="1">IFERROR(__xludf.DUMMYFUNCTION("IMPORTRANGE(""https://docs.google.com/spreadsheets/d/1C3CXT74ZlgGe6_JY_1olB1XN4rF0dxEuIIF-xsYjHgg/edit?usp=sharing"",""งบกองทุน!BC75"")"),0)</f>
        <v>0</v>
      </c>
      <c r="E71" s="553">
        <f ca="1">IFERROR(__xludf.DUMMYFUNCTION("IMPORTRANGE(""https://docs.google.com/spreadsheets/d/1C3CXT74ZlgGe6_JY_1olB1XN4rF0dxEuIIF-xsYjHgg/edit?usp=sharing"",""งบกองทุน!BD75"")"),1071935)</f>
        <v>1071935</v>
      </c>
      <c r="F71" s="554">
        <f ca="1">IFERROR(__xludf.DUMMYFUNCTION("IMPORTRANGE(""https://docs.google.com/spreadsheets/d/1SX6NBoVAgQJ6U1MVXOaj8PK2l7WJ3RER9xtqwdhxkhw/edit?usp=sharing"",""สระแก้ว!M352"")"),221545.58)</f>
        <v>221545.58</v>
      </c>
      <c r="G71" s="554">
        <f t="shared" ca="1" si="1"/>
        <v>20.667818477799493</v>
      </c>
      <c r="H71" s="555">
        <f ca="1">IFERROR(__xludf.DUMMYFUNCTION("IMPORTRANGE(""https://docs.google.com/spreadsheets/d/1C3CXT74ZlgGe6_JY_1olB1XN4rF0dxEuIIF-xsYjHgg/edit?usp=sharing"",""งบกองทุน!BE75"")"),63631)</f>
        <v>63631</v>
      </c>
      <c r="I71" s="555">
        <f ca="1">IFERROR(__xludf.DUMMYFUNCTION("IMPORTRANGE(""https://docs.google.com/spreadsheets/d/1C3CXT74ZlgGe6_JY_1olB1XN4rF0dxEuIIF-xsYjHgg/edit?usp=sharing"",""งบกองทุน!BF75"")"),7113)</f>
        <v>7113</v>
      </c>
      <c r="J71" s="552">
        <f t="shared" ca="1" si="106"/>
        <v>63631</v>
      </c>
      <c r="K71" s="554">
        <f t="shared" ca="1" si="3"/>
        <v>100</v>
      </c>
      <c r="L71" s="552">
        <f t="shared" ca="1" si="107"/>
        <v>7113</v>
      </c>
      <c r="M71" s="554">
        <f t="shared" ca="1" si="4"/>
        <v>100</v>
      </c>
      <c r="N71" s="552">
        <f ca="1">IFERROR(__xludf.DUMMYFUNCTION("IMPORTRANGE(""https://docs.google.com/spreadsheets/d/1SX6NBoVAgQJ6U1MVXOaj8PK2l7WJ3RER9xtqwdhxkhw/edit?usp=sharing"",""สระแก้ว!J362"")"),47572)</f>
        <v>47572</v>
      </c>
      <c r="O71" s="552">
        <f ca="1">IFERROR(__xludf.DUMMYFUNCTION("IMPORTRANGE(""https://docs.google.com/spreadsheets/d/1SX6NBoVAgQJ6U1MVXOaj8PK2l7WJ3RER9xtqwdhxkhw/edit?usp=sharing"",""สระแก้ว!J363"")"),5852)</f>
        <v>5852</v>
      </c>
      <c r="P71" s="552">
        <f ca="1">IFERROR(__xludf.DUMMYFUNCTION("IMPORTRANGE(""https://docs.google.com/spreadsheets/d/1SX6NBoVAgQJ6U1MVXOaj8PK2l7WJ3RER9xtqwdhxkhw/edit?usp=sharing"",""สระแก้ว!J364"")"),13997)</f>
        <v>13997</v>
      </c>
      <c r="Q71" s="552">
        <f ca="1">IFERROR(__xludf.DUMMYFUNCTION("IMPORTRANGE(""https://docs.google.com/spreadsheets/d/1SX6NBoVAgQJ6U1MVXOaj8PK2l7WJ3RER9xtqwdhxkhw/edit?usp=sharing"",""สระแก้ว!J365"")"),1110)</f>
        <v>1110</v>
      </c>
      <c r="R71" s="552">
        <f ca="1">IFERROR(__xludf.DUMMYFUNCTION("IMPORTRANGE(""https://docs.google.com/spreadsheets/d/1SX6NBoVAgQJ6U1MVXOaj8PK2l7WJ3RER9xtqwdhxkhw/edit?usp=sharing"",""สระแก้ว!J366"")"),2062)</f>
        <v>2062</v>
      </c>
      <c r="S71" s="552">
        <f ca="1">IFERROR(__xludf.DUMMYFUNCTION("IMPORTRANGE(""https://docs.google.com/spreadsheets/d/1SX6NBoVAgQJ6U1MVXOaj8PK2l7WJ3RER9xtqwdhxkhw/edit?usp=sharing"",""สระแก้ว!J367"")"),151)</f>
        <v>151</v>
      </c>
      <c r="T71" s="552">
        <f t="shared" ca="1" si="108"/>
        <v>63631</v>
      </c>
      <c r="U71" s="552">
        <f t="shared" ca="1" si="6"/>
        <v>100</v>
      </c>
      <c r="V71" s="552">
        <f t="shared" ca="1" si="109"/>
        <v>7113</v>
      </c>
      <c r="W71" s="552">
        <f t="shared" ca="1" si="7"/>
        <v>100</v>
      </c>
      <c r="X71" s="552">
        <f ca="1">IFERROR(__xludf.DUMMYFUNCTION("IMPORTRANGE(""https://docs.google.com/spreadsheets/d/1SX6NBoVAgQJ6U1MVXOaj8PK2l7WJ3RER9xtqwdhxkhw/edit?usp=sharing"",""สระแก้ว!J370"")"),51098)</f>
        <v>51098</v>
      </c>
      <c r="Y71" s="552">
        <f ca="1">IFERROR(__xludf.DUMMYFUNCTION("IMPORTRANGE(""https://docs.google.com/spreadsheets/d/1SX6NBoVAgQJ6U1MVXOaj8PK2l7WJ3RER9xtqwdhxkhw/edit?usp=sharing"",""สระแก้ว!J371"")"),6360)</f>
        <v>6360</v>
      </c>
      <c r="Z71" s="552">
        <f ca="1">IFERROR(__xludf.DUMMYFUNCTION("IMPORTRANGE(""https://docs.google.com/spreadsheets/d/1SX6NBoVAgQJ6U1MVXOaj8PK2l7WJ3RER9xtqwdhxkhw/edit?usp=sharing"",""สระแก้ว!J372"")"),10623)</f>
        <v>10623</v>
      </c>
      <c r="AA71" s="552">
        <f ca="1">IFERROR(__xludf.DUMMYFUNCTION("IMPORTRANGE(""https://docs.google.com/spreadsheets/d/1SX6NBoVAgQJ6U1MVXOaj8PK2l7WJ3RER9xtqwdhxkhw/edit?usp=sharing"",""สระแก้ว!J373"")"),589)</f>
        <v>589</v>
      </c>
      <c r="AB71" s="552">
        <f ca="1">IFERROR(__xludf.DUMMYFUNCTION("IMPORTRANGE(""https://docs.google.com/spreadsheets/d/1SX6NBoVAgQJ6U1MVXOaj8PK2l7WJ3RER9xtqwdhxkhw/edit?usp=sharing"",""สระแก้ว!J374"")"),1910)</f>
        <v>1910</v>
      </c>
      <c r="AC71" s="552">
        <f ca="1">IFERROR(__xludf.DUMMYFUNCTION("IMPORTRANGE(""https://docs.google.com/spreadsheets/d/1SX6NBoVAgQJ6U1MVXOaj8PK2l7WJ3RER9xtqwdhxkhw/edit?usp=sharing"",""สระแก้ว!J375"")"),164)</f>
        <v>164</v>
      </c>
      <c r="AD71" s="552">
        <f t="shared" ca="1" si="110"/>
        <v>0</v>
      </c>
      <c r="AE71" s="554">
        <f t="shared" ca="1" si="9"/>
        <v>0</v>
      </c>
      <c r="AF71" s="552">
        <f t="shared" ca="1" si="111"/>
        <v>0</v>
      </c>
      <c r="AG71" s="554">
        <f t="shared" ca="1" si="10"/>
        <v>0</v>
      </c>
      <c r="AH71" s="552">
        <f ca="1">IFERROR(__xludf.DUMMYFUNCTION("IMPORTRANGE(""https://docs.google.com/spreadsheets/d/1SX6NBoVAgQJ6U1MVXOaj8PK2l7WJ3RER9xtqwdhxkhw/edit?usp=sharing"",""สระแก้ว!J378"")"),0)</f>
        <v>0</v>
      </c>
      <c r="AI71" s="552">
        <f ca="1">IFERROR(__xludf.DUMMYFUNCTION("IMPORTRANGE(""https://docs.google.com/spreadsheets/d/1SX6NBoVAgQJ6U1MVXOaj8PK2l7WJ3RER9xtqwdhxkhw/edit?usp=sharing"",""สระแก้ว!J379"")"),0)</f>
        <v>0</v>
      </c>
      <c r="AJ71" s="552">
        <f ca="1">IFERROR(__xludf.DUMMYFUNCTION("IMPORTRANGE(""https://docs.google.com/spreadsheets/d/1SX6NBoVAgQJ6U1MVXOaj8PK2l7WJ3RER9xtqwdhxkhw/edit?usp=sharing"",""สระแก้ว!J380"")"),0)</f>
        <v>0</v>
      </c>
      <c r="AK71" s="552">
        <f ca="1">IFERROR(__xludf.DUMMYFUNCTION("IMPORTRANGE(""https://docs.google.com/spreadsheets/d/1SX6NBoVAgQJ6U1MVXOaj8PK2l7WJ3RER9xtqwdhxkhw/edit?usp=sharing"",""สระแก้ว!J381"")"),0)</f>
        <v>0</v>
      </c>
      <c r="AL71" s="552">
        <f ca="1">IFERROR(__xludf.DUMMYFUNCTION("IMPORTRANGE(""https://docs.google.com/spreadsheets/d/1SX6NBoVAgQJ6U1MVXOaj8PK2l7WJ3RER9xtqwdhxkhw/edit?usp=sharing"",""สระแก้ว!J384"")"),0)</f>
        <v>0</v>
      </c>
      <c r="AM71" s="552">
        <f ca="1">IFERROR(__xludf.DUMMYFUNCTION("IMPORTRANGE(""https://docs.google.com/spreadsheets/d/1SX6NBoVAgQJ6U1MVXOaj8PK2l7WJ3RER9xtqwdhxkhw/edit?usp=sharing"",""สระแก้ว!J385"")"),0)</f>
        <v>0</v>
      </c>
      <c r="AN71" s="552">
        <f ca="1">IFERROR(__xludf.DUMMYFUNCTION("IMPORTRANGE(""https://docs.google.com/spreadsheets/d/1SX6NBoVAgQJ6U1MVXOaj8PK2l7WJ3RER9xtqwdhxkhw/edit?usp=sharing"",""สระแก้ว!J386"")"),0)</f>
        <v>0</v>
      </c>
      <c r="AO71" s="552">
        <f ca="1">IFERROR(__xludf.DUMMYFUNCTION("IMPORTRANGE(""https://docs.google.com/spreadsheets/d/1SX6NBoVAgQJ6U1MVXOaj8PK2l7WJ3RER9xtqwdhxkhw/edit?usp=sharing"",""สระแก้ว!J387"")"),0)</f>
        <v>0</v>
      </c>
      <c r="AP71" s="552">
        <f ca="1">IFERROR(__xludf.DUMMYFUNCTION("IMPORTRANGE(""https://docs.google.com/spreadsheets/d/1SX6NBoVAgQJ6U1MVXOaj8PK2l7WJ3RER9xtqwdhxkhw/edit?usp=sharing"",""สระแก้ว!J388"")"),0)</f>
        <v>0</v>
      </c>
      <c r="AQ71" s="552">
        <f ca="1">IFERROR(__xludf.DUMMYFUNCTION("IMPORTRANGE(""https://docs.google.com/spreadsheets/d/1SX6NBoVAgQJ6U1MVXOaj8PK2l7WJ3RER9xtqwdhxkhw/edit?usp=sharing"",""สระแก้ว!J389"")"),0)</f>
        <v>0</v>
      </c>
      <c r="AR71" s="552">
        <f ca="1">IFERROR(__xludf.DUMMYFUNCTION("IMPORTRANGE(""https://docs.google.com/spreadsheets/d/1SX6NBoVAgQJ6U1MVXOaj8PK2l7WJ3RER9xtqwdhxkhw/edit?usp=sharing"",""สระแก้ว!J390"")"),0)</f>
        <v>0</v>
      </c>
      <c r="AS71" s="552">
        <f ca="1">IFERROR(__xludf.DUMMYFUNCTION("IMPORTRANGE(""https://docs.google.com/spreadsheets/d/1SX6NBoVAgQJ6U1MVXOaj8PK2l7WJ3RER9xtqwdhxkhw/edit?usp=sharing"",""สระแก้ว!J391"")"),0)</f>
        <v>0</v>
      </c>
      <c r="AT71" s="556">
        <f ca="1">IFERROR(__xludf.DUMMYFUNCTION("IMPORTRANGE(""https://docs.google.com/spreadsheets/d/1C3CXT74ZlgGe6_JY_1olB1XN4rF0dxEuIIF-xsYjHgg/edit?usp=sharing"",""งบกองทุน!CD75"")"),22372)</f>
        <v>22372</v>
      </c>
      <c r="AU71" s="556">
        <f ca="1">IFERROR(__xludf.DUMMYFUNCTION("IMPORTRANGE(""https://docs.google.com/spreadsheets/d/1C3CXT74ZlgGe6_JY_1olB1XN4rF0dxEuIIF-xsYjHgg/edit?usp=sharing"",""งบกองทุน!CC75"")"),1398)</f>
        <v>1398</v>
      </c>
      <c r="AV71" s="556">
        <f t="shared" ca="1" si="112"/>
        <v>4603</v>
      </c>
      <c r="AW71" s="556">
        <f t="shared" ca="1" si="12"/>
        <v>20.57482567495083</v>
      </c>
      <c r="AX71" s="556">
        <f t="shared" ca="1" si="113"/>
        <v>256</v>
      </c>
      <c r="AY71" s="556">
        <f t="shared" ca="1" si="13"/>
        <v>18.311874105865524</v>
      </c>
      <c r="AZ71" s="552">
        <f ca="1">IFERROR(__xludf.DUMMYFUNCTION("IMPORTRANGE(""https://docs.google.com/spreadsheets/d/1SX6NBoVAgQJ6U1MVXOaj8PK2l7WJ3RER9xtqwdhxkhw/edit?usp=sharing"",""สระแก้ว!J397"")"),4416)</f>
        <v>4416</v>
      </c>
      <c r="BA71" s="552">
        <f ca="1">IFERROR(__xludf.DUMMYFUNCTION("IMPORTRANGE(""https://docs.google.com/spreadsheets/d/1SX6NBoVAgQJ6U1MVXOaj8PK2l7WJ3RER9xtqwdhxkhw/edit?usp=sharing"",""สระแก้ว!J398"")"),246)</f>
        <v>246</v>
      </c>
      <c r="BB71" s="552">
        <f ca="1">IFERROR(__xludf.DUMMYFUNCTION("IMPORTRANGE(""https://docs.google.com/spreadsheets/d/1SX6NBoVAgQJ6U1MVXOaj8PK2l7WJ3RER9xtqwdhxkhw/edit?usp=sharing"",""สระแก้ว!J399"")"),5)</f>
        <v>5</v>
      </c>
      <c r="BC71" s="552">
        <f ca="1">IFERROR(__xludf.DUMMYFUNCTION("IMPORTRANGE(""https://docs.google.com/spreadsheets/d/1SX6NBoVAgQJ6U1MVXOaj8PK2l7WJ3RER9xtqwdhxkhw/edit?usp=sharing"",""สระแก้ว!J400"")"),1)</f>
        <v>1</v>
      </c>
      <c r="BD71" s="552">
        <f ca="1">IFERROR(__xludf.DUMMYFUNCTION("IMPORTRANGE(""https://docs.google.com/spreadsheets/d/1SX6NBoVAgQJ6U1MVXOaj8PK2l7WJ3RER9xtqwdhxkhw/edit?usp=sharing"",""สระแก้ว!J401"")"),0)</f>
        <v>0</v>
      </c>
      <c r="BE71" s="552">
        <f ca="1">IFERROR(__xludf.DUMMYFUNCTION("IMPORTRANGE(""https://docs.google.com/spreadsheets/d/1SX6NBoVAgQJ6U1MVXOaj8PK2l7WJ3RER9xtqwdhxkhw/edit?usp=sharing"",""สระแก้ว!J402"")"),0)</f>
        <v>0</v>
      </c>
      <c r="BF71" s="552">
        <f ca="1">IFERROR(__xludf.DUMMYFUNCTION("IMPORTRANGE(""https://docs.google.com/spreadsheets/d/1SX6NBoVAgQJ6U1MVXOaj8PK2l7WJ3RER9xtqwdhxkhw/edit?usp=sharing"",""สระแก้ว!J405"")"),182)</f>
        <v>182</v>
      </c>
      <c r="BG71" s="552">
        <f ca="1">IFERROR(__xludf.DUMMYFUNCTION("IMPORTRANGE(""https://docs.google.com/spreadsheets/d/1SX6NBoVAgQJ6U1MVXOaj8PK2l7WJ3RER9xtqwdhxkhw/edit?usp=sharing"",""สระแก้ว!J406"")"),9)</f>
        <v>9</v>
      </c>
      <c r="BH71" s="552">
        <f ca="1">IFERROR(__xludf.DUMMYFUNCTION("IMPORTRANGE(""https://docs.google.com/spreadsheets/d/1SX6NBoVAgQJ6U1MVXOaj8PK2l7WJ3RER9xtqwdhxkhw/edit?usp=sharing"",""สระแก้ว!J407"")"),0)</f>
        <v>0</v>
      </c>
      <c r="BI71" s="552">
        <f ca="1">IFERROR(__xludf.DUMMYFUNCTION("IMPORTRANGE(""https://docs.google.com/spreadsheets/d/1SX6NBoVAgQJ6U1MVXOaj8PK2l7WJ3RER9xtqwdhxkhw/edit?usp=sharing"",""สระแก้ว!J408"")"),0)</f>
        <v>0</v>
      </c>
      <c r="BJ71" s="552">
        <f ca="1">IFERROR(__xludf.DUMMYFUNCTION("IMPORTRANGE(""https://docs.google.com/spreadsheets/d/1SX6NBoVAgQJ6U1MVXOaj8PK2l7WJ3RER9xtqwdhxkhw/edit?usp=sharing"",""สระแก้ว!J409"")"),0)</f>
        <v>0</v>
      </c>
      <c r="BK71" s="552">
        <f ca="1">IFERROR(__xludf.DUMMYFUNCTION("IMPORTRANGE(""https://docs.google.com/spreadsheets/d/1SX6NBoVAgQJ6U1MVXOaj8PK2l7WJ3RER9xtqwdhxkhw/edit?usp=sharing"",""สระแก้ว!J410"")"),0)</f>
        <v>0</v>
      </c>
      <c r="BL71" s="556">
        <f ca="1">IFERROR(__xludf.DUMMYFUNCTION("IMPORTRANGE(""https://docs.google.com/spreadsheets/d/1C3CXT74ZlgGe6_JY_1olB1XN4rF0dxEuIIF-xsYjHgg/edit?usp=sharing"",""งบกองทุน!CZ75"")"),0)</f>
        <v>0</v>
      </c>
      <c r="BM71" s="556">
        <f ca="1">IFERROR(__xludf.DUMMYFUNCTION("IMPORTRANGE(""https://docs.google.com/spreadsheets/d/1C3CXT74ZlgGe6_JY_1olB1XN4rF0dxEuIIF-xsYjHgg/edit?usp=sharing"",""งบกองทุน!CY75"")"),0)</f>
        <v>0</v>
      </c>
      <c r="BN71" s="556">
        <f t="shared" ca="1" si="114"/>
        <v>0</v>
      </c>
      <c r="BO71" s="557">
        <f t="shared" ca="1" si="15"/>
        <v>0</v>
      </c>
      <c r="BP71" s="556">
        <f t="shared" ca="1" si="115"/>
        <v>0</v>
      </c>
      <c r="BQ71" s="557">
        <f t="shared" ca="1" si="16"/>
        <v>0</v>
      </c>
      <c r="BR71" s="552">
        <f ca="1">IFERROR(__xludf.DUMMYFUNCTION("IMPORTRANGE(""https://docs.google.com/spreadsheets/d/1SX6NBoVAgQJ6U1MVXOaj8PK2l7WJ3RER9xtqwdhxkhw/edit?usp=sharing"",""สระแก้ว!J414"")"),0)</f>
        <v>0</v>
      </c>
      <c r="BS71" s="552">
        <f ca="1">IFERROR(__xludf.DUMMYFUNCTION("IMPORTRANGE(""https://docs.google.com/spreadsheets/d/1SX6NBoVAgQJ6U1MVXOaj8PK2l7WJ3RER9xtqwdhxkhw/edit?usp=sharing"",""สระแก้ว!J415"")"),0)</f>
        <v>0</v>
      </c>
      <c r="BT71" s="552">
        <f ca="1">IFERROR(__xludf.DUMMYFUNCTION("IMPORTRANGE(""https://docs.google.com/spreadsheets/d/1SX6NBoVAgQJ6U1MVXOaj8PK2l7WJ3RER9xtqwdhxkhw/edit?usp=sharing"",""สระแก้ว!J416"")"),0)</f>
        <v>0</v>
      </c>
      <c r="BU71" s="552">
        <f ca="1">IFERROR(__xludf.DUMMYFUNCTION("IMPORTRANGE(""https://docs.google.com/spreadsheets/d/1SX6NBoVAgQJ6U1MVXOaj8PK2l7WJ3RER9xtqwdhxkhw/edit?usp=sharing"",""สระแก้ว!J417"")"),0)</f>
        <v>0</v>
      </c>
      <c r="BV71" s="552">
        <f ca="1">IFERROR(__xludf.DUMMYFUNCTION("IMPORTRANGE(""https://docs.google.com/spreadsheets/d/1SX6NBoVAgQJ6U1MVXOaj8PK2l7WJ3RER9xtqwdhxkhw/edit?usp=sharing"",""สระแก้ว!J418"")"),0)</f>
        <v>0</v>
      </c>
      <c r="BW71" s="552">
        <f ca="1">IFERROR(__xludf.DUMMYFUNCTION("IMPORTRANGE(""https://docs.google.com/spreadsheets/d/1SX6NBoVAgQJ6U1MVXOaj8PK2l7WJ3RER9xtqwdhxkhw/edit?usp=sharing"",""สระแก้ว!J419"")"),0)</f>
        <v>0</v>
      </c>
      <c r="BX71" s="556">
        <f t="shared" ca="1" si="116"/>
        <v>0</v>
      </c>
      <c r="BY71" s="557">
        <f t="shared" ca="1" si="117"/>
        <v>0</v>
      </c>
      <c r="BZ71" s="556">
        <f t="shared" ca="1" si="118"/>
        <v>0</v>
      </c>
      <c r="CA71" s="557">
        <f t="shared" ca="1" si="119"/>
        <v>0</v>
      </c>
      <c r="CB71" s="552">
        <f ca="1">IFERROR(__xludf.DUMMYFUNCTION("IMPORTRANGE(""https://docs.google.com/spreadsheets/d/1SX6NBoVAgQJ6U1MVXOaj8PK2l7WJ3RER9xtqwdhxkhw/edit?usp=sharing"",""สระแก้ว!J422"")"),0)</f>
        <v>0</v>
      </c>
      <c r="CC71" s="552">
        <f ca="1">IFERROR(__xludf.DUMMYFUNCTION("IMPORTRANGE(""https://docs.google.com/spreadsheets/d/1SX6NBoVAgQJ6U1MVXOaj8PK2l7WJ3RER9xtqwdhxkhw/edit?usp=sharing"",""สระแก้ว!J423"")"),0)</f>
        <v>0</v>
      </c>
      <c r="CD71" s="552">
        <f ca="1">IFERROR(__xludf.DUMMYFUNCTION("IMPORTRANGE(""https://docs.google.com/spreadsheets/d/1SX6NBoVAgQJ6U1MVXOaj8PK2l7WJ3RER9xtqwdhxkhw/edit?usp=sharing"",""สระแก้ว!J424"")"),0)</f>
        <v>0</v>
      </c>
      <c r="CE71" s="552">
        <f ca="1">IFERROR(__xludf.DUMMYFUNCTION("IMPORTRANGE(""https://docs.google.com/spreadsheets/d/1SX6NBoVAgQJ6U1MVXOaj8PK2l7WJ3RER9xtqwdhxkhw/edit?usp=sharing"",""สระแก้ว!J425"")"),0)</f>
        <v>0</v>
      </c>
      <c r="CF71" s="552">
        <f ca="1">IFERROR(__xludf.DUMMYFUNCTION("IMPORTRANGE(""https://docs.google.com/spreadsheets/d/1SX6NBoVAgQJ6U1MVXOaj8PK2l7WJ3RER9xtqwdhxkhw/edit?usp=sharing"",""สระแก้ว!J426"")"),0)</f>
        <v>0</v>
      </c>
      <c r="CG71" s="558">
        <f ca="1">IFERROR(__xludf.DUMMYFUNCTION("IMPORTRANGE(""https://docs.google.com/spreadsheets/d/1SX6NBoVAgQJ6U1MVXOaj8PK2l7WJ3RER9xtqwdhxkhw/edit?usp=sharing"",""สระแก้ว!J427"")"),0)</f>
        <v>0</v>
      </c>
    </row>
    <row r="72" spans="1:85" ht="21" customHeight="1">
      <c r="A72" s="549">
        <v>18</v>
      </c>
      <c r="B72" s="550" t="s">
        <v>96</v>
      </c>
      <c r="C72" s="551">
        <f t="shared" ca="1" si="105"/>
        <v>285044</v>
      </c>
      <c r="D72" s="552">
        <f ca="1">IFERROR(__xludf.DUMMYFUNCTION("IMPORTRANGE(""https://docs.google.com/spreadsheets/d/1C3CXT74ZlgGe6_JY_1olB1XN4rF0dxEuIIF-xsYjHgg/edit?usp=sharing"",""งบกองทุน!BC76"")"),0)</f>
        <v>0</v>
      </c>
      <c r="E72" s="553">
        <f ca="1">IFERROR(__xludf.DUMMYFUNCTION("IMPORTRANGE(""https://docs.google.com/spreadsheets/d/1C3CXT74ZlgGe6_JY_1olB1XN4rF0dxEuIIF-xsYjHgg/edit?usp=sharing"",""งบกองทุน!BD76"")"),285044)</f>
        <v>285044</v>
      </c>
      <c r="F72" s="554">
        <f ca="1">IFERROR(__xludf.DUMMYFUNCTION("IMPORTRANGE(""https://docs.google.com/spreadsheets/d/1SX6NBoVAgQJ6U1MVXOaj8PK2l7WJ3RER9xtqwdhxkhw/edit?usp=sharing"",""สระบุรี!M352"")"),104234)</f>
        <v>104234</v>
      </c>
      <c r="G72" s="554">
        <f t="shared" ca="1" si="1"/>
        <v>36.567687795568403</v>
      </c>
      <c r="H72" s="555">
        <f ca="1">IFERROR(__xludf.DUMMYFUNCTION("IMPORTRANGE(""https://docs.google.com/spreadsheets/d/1C3CXT74ZlgGe6_JY_1olB1XN4rF0dxEuIIF-xsYjHgg/edit?usp=sharing"",""งบกองทุน!BE76"")"),4949)</f>
        <v>4949</v>
      </c>
      <c r="I72" s="555">
        <f ca="1">IFERROR(__xludf.DUMMYFUNCTION("IMPORTRANGE(""https://docs.google.com/spreadsheets/d/1C3CXT74ZlgGe6_JY_1olB1XN4rF0dxEuIIF-xsYjHgg/edit?usp=sharing"",""งบกองทุน!BF76"")"),856)</f>
        <v>856</v>
      </c>
      <c r="J72" s="552">
        <f t="shared" ca="1" si="106"/>
        <v>4959</v>
      </c>
      <c r="K72" s="554">
        <f t="shared" ca="1" si="3"/>
        <v>100.20206102242878</v>
      </c>
      <c r="L72" s="552">
        <f t="shared" ca="1" si="107"/>
        <v>856</v>
      </c>
      <c r="M72" s="554">
        <f t="shared" ca="1" si="4"/>
        <v>100</v>
      </c>
      <c r="N72" s="552">
        <f ca="1">IFERROR(__xludf.DUMMYFUNCTION("IMPORTRANGE(""https://docs.google.com/spreadsheets/d/1SX6NBoVAgQJ6U1MVXOaj8PK2l7WJ3RER9xtqwdhxkhw/edit?usp=sharing"",""สระบุรี!J362"")"),3371)</f>
        <v>3371</v>
      </c>
      <c r="O72" s="552">
        <f ca="1">IFERROR(__xludf.DUMMYFUNCTION("IMPORTRANGE(""https://docs.google.com/spreadsheets/d/1SX6NBoVAgQJ6U1MVXOaj8PK2l7WJ3RER9xtqwdhxkhw/edit?usp=sharing"",""สระบุรี!J363"")"),600)</f>
        <v>600</v>
      </c>
      <c r="P72" s="552">
        <f ca="1">IFERROR(__xludf.DUMMYFUNCTION("IMPORTRANGE(""https://docs.google.com/spreadsheets/d/1SX6NBoVAgQJ6U1MVXOaj8PK2l7WJ3RER9xtqwdhxkhw/edit?usp=sharing"",""สระบุรี!J364"")"),599)</f>
        <v>599</v>
      </c>
      <c r="Q72" s="552">
        <f ca="1">IFERROR(__xludf.DUMMYFUNCTION("IMPORTRANGE(""https://docs.google.com/spreadsheets/d/1SX6NBoVAgQJ6U1MVXOaj8PK2l7WJ3RER9xtqwdhxkhw/edit?usp=sharing"",""สระบุรี!J365"")"),123)</f>
        <v>123</v>
      </c>
      <c r="R72" s="552">
        <f ca="1">IFERROR(__xludf.DUMMYFUNCTION("IMPORTRANGE(""https://docs.google.com/spreadsheets/d/1SX6NBoVAgQJ6U1MVXOaj8PK2l7WJ3RER9xtqwdhxkhw/edit?usp=sharing"",""สระบุรี!J366"")"),989)</f>
        <v>989</v>
      </c>
      <c r="S72" s="552">
        <f ca="1">IFERROR(__xludf.DUMMYFUNCTION("IMPORTRANGE(""https://docs.google.com/spreadsheets/d/1SX6NBoVAgQJ6U1MVXOaj8PK2l7WJ3RER9xtqwdhxkhw/edit?usp=sharing"",""สระบุรี!J367"")"),133)</f>
        <v>133</v>
      </c>
      <c r="T72" s="552">
        <f t="shared" ca="1" si="108"/>
        <v>4950</v>
      </c>
      <c r="U72" s="552">
        <f t="shared" ca="1" si="6"/>
        <v>100.02020610224288</v>
      </c>
      <c r="V72" s="552">
        <f t="shared" ca="1" si="109"/>
        <v>856</v>
      </c>
      <c r="W72" s="552">
        <f t="shared" ca="1" si="7"/>
        <v>100</v>
      </c>
      <c r="X72" s="552">
        <f ca="1">IFERROR(__xludf.DUMMYFUNCTION("IMPORTRANGE(""https://docs.google.com/spreadsheets/d/1SX6NBoVAgQJ6U1MVXOaj8PK2l7WJ3RER9xtqwdhxkhw/edit?usp=sharing"",""สระบุรี!J370"")"),3351)</f>
        <v>3351</v>
      </c>
      <c r="Y72" s="552">
        <f ca="1">IFERROR(__xludf.DUMMYFUNCTION("IMPORTRANGE(""https://docs.google.com/spreadsheets/d/1SX6NBoVAgQJ6U1MVXOaj8PK2l7WJ3RER9xtqwdhxkhw/edit?usp=sharing"",""สระบุรี!J371"")"),605)</f>
        <v>605</v>
      </c>
      <c r="Z72" s="552">
        <f ca="1">IFERROR(__xludf.DUMMYFUNCTION("IMPORTRANGE(""https://docs.google.com/spreadsheets/d/1SX6NBoVAgQJ6U1MVXOaj8PK2l7WJ3RER9xtqwdhxkhw/edit?usp=sharing"",""สระบุรี!J372"")"),619)</f>
        <v>619</v>
      </c>
      <c r="AA72" s="552">
        <f ca="1">IFERROR(__xludf.DUMMYFUNCTION("IMPORTRANGE(""https://docs.google.com/spreadsheets/d/1SX6NBoVAgQJ6U1MVXOaj8PK2l7WJ3RER9xtqwdhxkhw/edit?usp=sharing"",""สระบุรี!J373"")"),118)</f>
        <v>118</v>
      </c>
      <c r="AB72" s="552">
        <f ca="1">IFERROR(__xludf.DUMMYFUNCTION("IMPORTRANGE(""https://docs.google.com/spreadsheets/d/1SX6NBoVAgQJ6U1MVXOaj8PK2l7WJ3RER9xtqwdhxkhw/edit?usp=sharing"",""สระบุรี!J374"")"),980)</f>
        <v>980</v>
      </c>
      <c r="AC72" s="552">
        <f ca="1">IFERROR(__xludf.DUMMYFUNCTION("IMPORTRANGE(""https://docs.google.com/spreadsheets/d/1SX6NBoVAgQJ6U1MVXOaj8PK2l7WJ3RER9xtqwdhxkhw/edit?usp=sharing"",""สระบุรี!J375"")"),133)</f>
        <v>133</v>
      </c>
      <c r="AD72" s="552">
        <f t="shared" ca="1" si="110"/>
        <v>4950</v>
      </c>
      <c r="AE72" s="554">
        <f t="shared" ca="1" si="9"/>
        <v>100.02020610224288</v>
      </c>
      <c r="AF72" s="552">
        <f t="shared" ca="1" si="111"/>
        <v>856</v>
      </c>
      <c r="AG72" s="554">
        <f t="shared" ca="1" si="10"/>
        <v>100</v>
      </c>
      <c r="AH72" s="552">
        <f ca="1">IFERROR(__xludf.DUMMYFUNCTION("IMPORTRANGE(""https://docs.google.com/spreadsheets/d/1SX6NBoVAgQJ6U1MVXOaj8PK2l7WJ3RER9xtqwdhxkhw/edit?usp=sharing"",""สระบุรี!J378"")"),3351)</f>
        <v>3351</v>
      </c>
      <c r="AI72" s="552">
        <f ca="1">IFERROR(__xludf.DUMMYFUNCTION("IMPORTRANGE(""https://docs.google.com/spreadsheets/d/1SX6NBoVAgQJ6U1MVXOaj8PK2l7WJ3RER9xtqwdhxkhw/edit?usp=sharing"",""สระบุรี!J379"")"),605)</f>
        <v>605</v>
      </c>
      <c r="AJ72" s="552">
        <f ca="1">IFERROR(__xludf.DUMMYFUNCTION("IMPORTRANGE(""https://docs.google.com/spreadsheets/d/1SX6NBoVAgQJ6U1MVXOaj8PK2l7WJ3RER9xtqwdhxkhw/edit?usp=sharing"",""สระบุรี!J380"")"),619)</f>
        <v>619</v>
      </c>
      <c r="AK72" s="552">
        <f ca="1">IFERROR(__xludf.DUMMYFUNCTION("IMPORTRANGE(""https://docs.google.com/spreadsheets/d/1SX6NBoVAgQJ6U1MVXOaj8PK2l7WJ3RER9xtqwdhxkhw/edit?usp=sharing"",""สระบุรี!J381"")"),118)</f>
        <v>118</v>
      </c>
      <c r="AL72" s="552">
        <f ca="1">IFERROR(__xludf.DUMMYFUNCTION("IMPORTRANGE(""https://docs.google.com/spreadsheets/d/1SX6NBoVAgQJ6U1MVXOaj8PK2l7WJ3RER9xtqwdhxkhw/edit?usp=sharing"",""สระบุรี!J384"")"),958)</f>
        <v>958</v>
      </c>
      <c r="AM72" s="552">
        <f ca="1">IFERROR(__xludf.DUMMYFUNCTION("IMPORTRANGE(""https://docs.google.com/spreadsheets/d/1SX6NBoVAgQJ6U1MVXOaj8PK2l7WJ3RER9xtqwdhxkhw/edit?usp=sharing"",""สระบุรี!J385"")"),130)</f>
        <v>130</v>
      </c>
      <c r="AN72" s="552">
        <f ca="1">IFERROR(__xludf.DUMMYFUNCTION("IMPORTRANGE(""https://docs.google.com/spreadsheets/d/1SX6NBoVAgQJ6U1MVXOaj8PK2l7WJ3RER9xtqwdhxkhw/edit?usp=sharing"",""สระบุรี!J386"")"),22)</f>
        <v>22</v>
      </c>
      <c r="AO72" s="552">
        <f ca="1">IFERROR(__xludf.DUMMYFUNCTION("IMPORTRANGE(""https://docs.google.com/spreadsheets/d/1SX6NBoVAgQJ6U1MVXOaj8PK2l7WJ3RER9xtqwdhxkhw/edit?usp=sharing"",""สระบุรี!J387"")"),3)</f>
        <v>3</v>
      </c>
      <c r="AP72" s="552">
        <f ca="1">IFERROR(__xludf.DUMMYFUNCTION("IMPORTRANGE(""https://docs.google.com/spreadsheets/d/1SX6NBoVAgQJ6U1MVXOaj8PK2l7WJ3RER9xtqwdhxkhw/edit?usp=sharing"",""สระบุรี!J388"")"),0)</f>
        <v>0</v>
      </c>
      <c r="AQ72" s="552">
        <f ca="1">IFERROR(__xludf.DUMMYFUNCTION("IMPORTRANGE(""https://docs.google.com/spreadsheets/d/1SX6NBoVAgQJ6U1MVXOaj8PK2l7WJ3RER9xtqwdhxkhw/edit?usp=sharing"",""สระบุรี!J389"")"),0)</f>
        <v>0</v>
      </c>
      <c r="AR72" s="552">
        <f ca="1">IFERROR(__xludf.DUMMYFUNCTION("IMPORTRANGE(""https://docs.google.com/spreadsheets/d/1SX6NBoVAgQJ6U1MVXOaj8PK2l7WJ3RER9xtqwdhxkhw/edit?usp=sharing"",""สระบุรี!J390"")"),0)</f>
        <v>0</v>
      </c>
      <c r="AS72" s="552">
        <f ca="1">IFERROR(__xludf.DUMMYFUNCTION("IMPORTRANGE(""https://docs.google.com/spreadsheets/d/1SX6NBoVAgQJ6U1MVXOaj8PK2l7WJ3RER9xtqwdhxkhw/edit?usp=sharing"",""สระบุรี!J391"")"),0)</f>
        <v>0</v>
      </c>
      <c r="AT72" s="556">
        <f ca="1">IFERROR(__xludf.DUMMYFUNCTION("IMPORTRANGE(""https://docs.google.com/spreadsheets/d/1C3CXT74ZlgGe6_JY_1olB1XN4rF0dxEuIIF-xsYjHgg/edit?usp=sharing"",""งบกองทุน!CD76"")"),11105)</f>
        <v>11105</v>
      </c>
      <c r="AU72" s="556">
        <f ca="1">IFERROR(__xludf.DUMMYFUNCTION("IMPORTRANGE(""https://docs.google.com/spreadsheets/d/1C3CXT74ZlgGe6_JY_1olB1XN4rF0dxEuIIF-xsYjHgg/edit?usp=sharing"",""งบกองทุน!CC76"")"),515)</f>
        <v>515</v>
      </c>
      <c r="AV72" s="556">
        <f t="shared" ca="1" si="112"/>
        <v>0</v>
      </c>
      <c r="AW72" s="556">
        <f t="shared" ca="1" si="12"/>
        <v>0</v>
      </c>
      <c r="AX72" s="556">
        <f t="shared" ca="1" si="113"/>
        <v>0</v>
      </c>
      <c r="AY72" s="556">
        <f t="shared" ca="1" si="13"/>
        <v>0</v>
      </c>
      <c r="AZ72" s="552">
        <f ca="1">IFERROR(__xludf.DUMMYFUNCTION("IMPORTRANGE(""https://docs.google.com/spreadsheets/d/1SX6NBoVAgQJ6U1MVXOaj8PK2l7WJ3RER9xtqwdhxkhw/edit?usp=sharing"",""สระบุรี!J397"")"),0)</f>
        <v>0</v>
      </c>
      <c r="BA72" s="552">
        <f ca="1">IFERROR(__xludf.DUMMYFUNCTION("IMPORTRANGE(""https://docs.google.com/spreadsheets/d/1SX6NBoVAgQJ6U1MVXOaj8PK2l7WJ3RER9xtqwdhxkhw/edit?usp=sharing"",""สระบุรี!J398"")"),0)</f>
        <v>0</v>
      </c>
      <c r="BB72" s="552">
        <f ca="1">IFERROR(__xludf.DUMMYFUNCTION("IMPORTRANGE(""https://docs.google.com/spreadsheets/d/1SX6NBoVAgQJ6U1MVXOaj8PK2l7WJ3RER9xtqwdhxkhw/edit?usp=sharing"",""สระบุรี!J399"")"),0)</f>
        <v>0</v>
      </c>
      <c r="BC72" s="552">
        <f ca="1">IFERROR(__xludf.DUMMYFUNCTION("IMPORTRANGE(""https://docs.google.com/spreadsheets/d/1SX6NBoVAgQJ6U1MVXOaj8PK2l7WJ3RER9xtqwdhxkhw/edit?usp=sharing"",""สระบุรี!J400"")"),0)</f>
        <v>0</v>
      </c>
      <c r="BD72" s="552">
        <f ca="1">IFERROR(__xludf.DUMMYFUNCTION("IMPORTRANGE(""https://docs.google.com/spreadsheets/d/1SX6NBoVAgQJ6U1MVXOaj8PK2l7WJ3RER9xtqwdhxkhw/edit?usp=sharing"",""สระบุรี!J401"")"),0)</f>
        <v>0</v>
      </c>
      <c r="BE72" s="552">
        <f ca="1">IFERROR(__xludf.DUMMYFUNCTION("IMPORTRANGE(""https://docs.google.com/spreadsheets/d/1SX6NBoVAgQJ6U1MVXOaj8PK2l7WJ3RER9xtqwdhxkhw/edit?usp=sharing"",""สระบุรี!J402"")"),0)</f>
        <v>0</v>
      </c>
      <c r="BF72" s="552">
        <f ca="1">IFERROR(__xludf.DUMMYFUNCTION("IMPORTRANGE(""https://docs.google.com/spreadsheets/d/1SX6NBoVAgQJ6U1MVXOaj8PK2l7WJ3RER9xtqwdhxkhw/edit?usp=sharing"",""สระบุรี!J405"")"),0)</f>
        <v>0</v>
      </c>
      <c r="BG72" s="552">
        <f ca="1">IFERROR(__xludf.DUMMYFUNCTION("IMPORTRANGE(""https://docs.google.com/spreadsheets/d/1SX6NBoVAgQJ6U1MVXOaj8PK2l7WJ3RER9xtqwdhxkhw/edit?usp=sharing"",""สระบุรี!J406"")"),0)</f>
        <v>0</v>
      </c>
      <c r="BH72" s="552">
        <f ca="1">IFERROR(__xludf.DUMMYFUNCTION("IMPORTRANGE(""https://docs.google.com/spreadsheets/d/1SX6NBoVAgQJ6U1MVXOaj8PK2l7WJ3RER9xtqwdhxkhw/edit?usp=sharing"",""สระบุรี!J407"")"),0)</f>
        <v>0</v>
      </c>
      <c r="BI72" s="552">
        <f ca="1">IFERROR(__xludf.DUMMYFUNCTION("IMPORTRANGE(""https://docs.google.com/spreadsheets/d/1SX6NBoVAgQJ6U1MVXOaj8PK2l7WJ3RER9xtqwdhxkhw/edit?usp=sharing"",""สระบุรี!J408"")"),0)</f>
        <v>0</v>
      </c>
      <c r="BJ72" s="552">
        <f ca="1">IFERROR(__xludf.DUMMYFUNCTION("IMPORTRANGE(""https://docs.google.com/spreadsheets/d/1SX6NBoVAgQJ6U1MVXOaj8PK2l7WJ3RER9xtqwdhxkhw/edit?usp=sharing"",""สระบุรี!J409"")"),0)</f>
        <v>0</v>
      </c>
      <c r="BK72" s="552">
        <f ca="1">IFERROR(__xludf.DUMMYFUNCTION("IMPORTRANGE(""https://docs.google.com/spreadsheets/d/1SX6NBoVAgQJ6U1MVXOaj8PK2l7WJ3RER9xtqwdhxkhw/edit?usp=sharing"",""สระบุรี!J410"")"),0)</f>
        <v>0</v>
      </c>
      <c r="BL72" s="556">
        <f ca="1">IFERROR(__xludf.DUMMYFUNCTION("IMPORTRANGE(""https://docs.google.com/spreadsheets/d/1C3CXT74ZlgGe6_JY_1olB1XN4rF0dxEuIIF-xsYjHgg/edit?usp=sharing"",""งบกองทุน!CZ76"")"),0)</f>
        <v>0</v>
      </c>
      <c r="BM72" s="556">
        <f ca="1">IFERROR(__xludf.DUMMYFUNCTION("IMPORTRANGE(""https://docs.google.com/spreadsheets/d/1C3CXT74ZlgGe6_JY_1olB1XN4rF0dxEuIIF-xsYjHgg/edit?usp=sharing"",""งบกองทุน!CY76"")"),0)</f>
        <v>0</v>
      </c>
      <c r="BN72" s="556">
        <f t="shared" ca="1" si="114"/>
        <v>0</v>
      </c>
      <c r="BO72" s="557">
        <f t="shared" ca="1" si="15"/>
        <v>0</v>
      </c>
      <c r="BP72" s="556">
        <f t="shared" ca="1" si="115"/>
        <v>0</v>
      </c>
      <c r="BQ72" s="557">
        <f t="shared" ca="1" si="16"/>
        <v>0</v>
      </c>
      <c r="BR72" s="552">
        <f ca="1">IFERROR(__xludf.DUMMYFUNCTION("IMPORTRANGE(""https://docs.google.com/spreadsheets/d/1SX6NBoVAgQJ6U1MVXOaj8PK2l7WJ3RER9xtqwdhxkhw/edit?usp=sharing"",""สระบุรี!J414"")"),0)</f>
        <v>0</v>
      </c>
      <c r="BS72" s="552">
        <f ca="1">IFERROR(__xludf.DUMMYFUNCTION("IMPORTRANGE(""https://docs.google.com/spreadsheets/d/1SX6NBoVAgQJ6U1MVXOaj8PK2l7WJ3RER9xtqwdhxkhw/edit?usp=sharing"",""สระบุรี!J415"")"),0)</f>
        <v>0</v>
      </c>
      <c r="BT72" s="552">
        <f ca="1">IFERROR(__xludf.DUMMYFUNCTION("IMPORTRANGE(""https://docs.google.com/spreadsheets/d/1SX6NBoVAgQJ6U1MVXOaj8PK2l7WJ3RER9xtqwdhxkhw/edit?usp=sharing"",""สระบุรี!J416"")"),0)</f>
        <v>0</v>
      </c>
      <c r="BU72" s="552">
        <f ca="1">IFERROR(__xludf.DUMMYFUNCTION("IMPORTRANGE(""https://docs.google.com/spreadsheets/d/1SX6NBoVAgQJ6U1MVXOaj8PK2l7WJ3RER9xtqwdhxkhw/edit?usp=sharing"",""สระบุรี!J417"")"),0)</f>
        <v>0</v>
      </c>
      <c r="BV72" s="552">
        <f ca="1">IFERROR(__xludf.DUMMYFUNCTION("IMPORTRANGE(""https://docs.google.com/spreadsheets/d/1SX6NBoVAgQJ6U1MVXOaj8PK2l7WJ3RER9xtqwdhxkhw/edit?usp=sharing"",""สระบุรี!J418"")"),0)</f>
        <v>0</v>
      </c>
      <c r="BW72" s="552">
        <f ca="1">IFERROR(__xludf.DUMMYFUNCTION("IMPORTRANGE(""https://docs.google.com/spreadsheets/d/1SX6NBoVAgQJ6U1MVXOaj8PK2l7WJ3RER9xtqwdhxkhw/edit?usp=sharing"",""สระบุรี!J419"")"),0)</f>
        <v>0</v>
      </c>
      <c r="BX72" s="556">
        <f t="shared" ca="1" si="116"/>
        <v>0</v>
      </c>
      <c r="BY72" s="557">
        <f t="shared" ca="1" si="117"/>
        <v>0</v>
      </c>
      <c r="BZ72" s="556">
        <f t="shared" ca="1" si="118"/>
        <v>0</v>
      </c>
      <c r="CA72" s="557">
        <f t="shared" ca="1" si="119"/>
        <v>0</v>
      </c>
      <c r="CB72" s="552">
        <f ca="1">IFERROR(__xludf.DUMMYFUNCTION("IMPORTRANGE(""https://docs.google.com/spreadsheets/d/1SX6NBoVAgQJ6U1MVXOaj8PK2l7WJ3RER9xtqwdhxkhw/edit?usp=sharing"",""สระบุรี!J422"")"),0)</f>
        <v>0</v>
      </c>
      <c r="CC72" s="552">
        <f ca="1">IFERROR(__xludf.DUMMYFUNCTION("IMPORTRANGE(""https://docs.google.com/spreadsheets/d/1SX6NBoVAgQJ6U1MVXOaj8PK2l7WJ3RER9xtqwdhxkhw/edit?usp=sharing"",""สระบุรี!J423"")"),0)</f>
        <v>0</v>
      </c>
      <c r="CD72" s="552">
        <f ca="1">IFERROR(__xludf.DUMMYFUNCTION("IMPORTRANGE(""https://docs.google.com/spreadsheets/d/1SX6NBoVAgQJ6U1MVXOaj8PK2l7WJ3RER9xtqwdhxkhw/edit?usp=sharing"",""สระบุรี!J424"")"),0)</f>
        <v>0</v>
      </c>
      <c r="CE72" s="552">
        <f ca="1">IFERROR(__xludf.DUMMYFUNCTION("IMPORTRANGE(""https://docs.google.com/spreadsheets/d/1SX6NBoVAgQJ6U1MVXOaj8PK2l7WJ3RER9xtqwdhxkhw/edit?usp=sharing"",""สระบุรี!J425"")"),0)</f>
        <v>0</v>
      </c>
      <c r="CF72" s="552">
        <f ca="1">IFERROR(__xludf.DUMMYFUNCTION("IMPORTRANGE(""https://docs.google.com/spreadsheets/d/1SX6NBoVAgQJ6U1MVXOaj8PK2l7WJ3RER9xtqwdhxkhw/edit?usp=sharing"",""สระบุรี!J426"")"),0)</f>
        <v>0</v>
      </c>
      <c r="CG72" s="558">
        <f ca="1">IFERROR(__xludf.DUMMYFUNCTION("IMPORTRANGE(""https://docs.google.com/spreadsheets/d/1SX6NBoVAgQJ6U1MVXOaj8PK2l7WJ3RER9xtqwdhxkhw/edit?usp=sharing"",""สระบุรี!J427"")"),0)</f>
        <v>0</v>
      </c>
    </row>
    <row r="73" spans="1:85" ht="21" customHeight="1">
      <c r="A73" s="549">
        <v>19</v>
      </c>
      <c r="B73" s="550" t="s">
        <v>97</v>
      </c>
      <c r="C73" s="551">
        <f t="shared" ca="1" si="105"/>
        <v>0</v>
      </c>
      <c r="D73" s="552">
        <f ca="1">IFERROR(__xludf.DUMMYFUNCTION("IMPORTRANGE(""https://docs.google.com/spreadsheets/d/1C3CXT74ZlgGe6_JY_1olB1XN4rF0dxEuIIF-xsYjHgg/edit?usp=sharing"",""งบกองทุน!BC77"")"),0)</f>
        <v>0</v>
      </c>
      <c r="E73" s="553">
        <f ca="1">IFERROR(__xludf.DUMMYFUNCTION("IMPORTRANGE(""https://docs.google.com/spreadsheets/d/1C3CXT74ZlgGe6_JY_1olB1XN4rF0dxEuIIF-xsYjHgg/edit?usp=sharing"",""งบกองทุน!BD77"")"),0)</f>
        <v>0</v>
      </c>
      <c r="F73" s="554">
        <f ca="1">IFERROR(__xludf.DUMMYFUNCTION("IMPORTRANGE(""https://docs.google.com/spreadsheets/d/1SX6NBoVAgQJ6U1MVXOaj8PK2l7WJ3RER9xtqwdhxkhw/edit?usp=sharing"",""สิงห์บุรี!M352"")"),0)</f>
        <v>0</v>
      </c>
      <c r="G73" s="554">
        <f t="shared" ca="1" si="1"/>
        <v>0</v>
      </c>
      <c r="H73" s="555">
        <f ca="1">IFERROR(__xludf.DUMMYFUNCTION("IMPORTRANGE(""https://docs.google.com/spreadsheets/d/1C3CXT74ZlgGe6_JY_1olB1XN4rF0dxEuIIF-xsYjHgg/edit?usp=sharing"",""งบกองทุน!BE77"")"),0)</f>
        <v>0</v>
      </c>
      <c r="I73" s="555">
        <f ca="1">IFERROR(__xludf.DUMMYFUNCTION("IMPORTRANGE(""https://docs.google.com/spreadsheets/d/1C3CXT74ZlgGe6_JY_1olB1XN4rF0dxEuIIF-xsYjHgg/edit?usp=sharing"",""งบกองทุน!BF77"")"),0)</f>
        <v>0</v>
      </c>
      <c r="J73" s="552">
        <f t="shared" ca="1" si="106"/>
        <v>0</v>
      </c>
      <c r="K73" s="554">
        <f t="shared" ca="1" si="3"/>
        <v>0</v>
      </c>
      <c r="L73" s="552">
        <f t="shared" ca="1" si="107"/>
        <v>0</v>
      </c>
      <c r="M73" s="554">
        <f t="shared" ca="1" si="4"/>
        <v>0</v>
      </c>
      <c r="N73" s="552">
        <f ca="1">IFERROR(__xludf.DUMMYFUNCTION("IMPORTRANGE(""https://docs.google.com/spreadsheets/d/1SX6NBoVAgQJ6U1MVXOaj8PK2l7WJ3RER9xtqwdhxkhw/edit?usp=sharing"",""สิงห์บุรี!J362"")"),0)</f>
        <v>0</v>
      </c>
      <c r="O73" s="552">
        <f ca="1">IFERROR(__xludf.DUMMYFUNCTION("IMPORTRANGE(""https://docs.google.com/spreadsheets/d/1SX6NBoVAgQJ6U1MVXOaj8PK2l7WJ3RER9xtqwdhxkhw/edit?usp=sharing"",""สิงห์บุรี!J363"")"),0)</f>
        <v>0</v>
      </c>
      <c r="P73" s="552">
        <f ca="1">IFERROR(__xludf.DUMMYFUNCTION("IMPORTRANGE(""https://docs.google.com/spreadsheets/d/1SX6NBoVAgQJ6U1MVXOaj8PK2l7WJ3RER9xtqwdhxkhw/edit?usp=sharing"",""สิงห์บุรี!J364"")"),0)</f>
        <v>0</v>
      </c>
      <c r="Q73" s="552">
        <f ca="1">IFERROR(__xludf.DUMMYFUNCTION("IMPORTRANGE(""https://docs.google.com/spreadsheets/d/1SX6NBoVAgQJ6U1MVXOaj8PK2l7WJ3RER9xtqwdhxkhw/edit?usp=sharing"",""สิงห์บุรี!J365"")"),0)</f>
        <v>0</v>
      </c>
      <c r="R73" s="552">
        <f ca="1">IFERROR(__xludf.DUMMYFUNCTION("IMPORTRANGE(""https://docs.google.com/spreadsheets/d/1SX6NBoVAgQJ6U1MVXOaj8PK2l7WJ3RER9xtqwdhxkhw/edit?usp=sharing"",""สิงห์บุรี!J366"")"),0)</f>
        <v>0</v>
      </c>
      <c r="S73" s="552">
        <f ca="1">IFERROR(__xludf.DUMMYFUNCTION("IMPORTRANGE(""https://docs.google.com/spreadsheets/d/1SX6NBoVAgQJ6U1MVXOaj8PK2l7WJ3RER9xtqwdhxkhw/edit?usp=sharing"",""สิงห์บุรี!J367"")"),0)</f>
        <v>0</v>
      </c>
      <c r="T73" s="552">
        <f t="shared" ca="1" si="108"/>
        <v>0</v>
      </c>
      <c r="U73" s="552">
        <f t="shared" ca="1" si="6"/>
        <v>0</v>
      </c>
      <c r="V73" s="552">
        <f t="shared" ca="1" si="109"/>
        <v>0</v>
      </c>
      <c r="W73" s="552">
        <f t="shared" ca="1" si="7"/>
        <v>0</v>
      </c>
      <c r="X73" s="552">
        <f ca="1">IFERROR(__xludf.DUMMYFUNCTION("IMPORTRANGE(""https://docs.google.com/spreadsheets/d/1SX6NBoVAgQJ6U1MVXOaj8PK2l7WJ3RER9xtqwdhxkhw/edit?usp=sharing"",""สิงห์บุรี!J370"")"),0)</f>
        <v>0</v>
      </c>
      <c r="Y73" s="552">
        <f ca="1">IFERROR(__xludf.DUMMYFUNCTION("IMPORTRANGE(""https://docs.google.com/spreadsheets/d/1SX6NBoVAgQJ6U1MVXOaj8PK2l7WJ3RER9xtqwdhxkhw/edit?usp=sharing"",""สิงห์บุรี!J371"")"),0)</f>
        <v>0</v>
      </c>
      <c r="Z73" s="552">
        <f ca="1">IFERROR(__xludf.DUMMYFUNCTION("IMPORTRANGE(""https://docs.google.com/spreadsheets/d/1SX6NBoVAgQJ6U1MVXOaj8PK2l7WJ3RER9xtqwdhxkhw/edit?usp=sharing"",""สิงห์บุรี!J372"")"),0)</f>
        <v>0</v>
      </c>
      <c r="AA73" s="552">
        <f ca="1">IFERROR(__xludf.DUMMYFUNCTION("IMPORTRANGE(""https://docs.google.com/spreadsheets/d/1SX6NBoVAgQJ6U1MVXOaj8PK2l7WJ3RER9xtqwdhxkhw/edit?usp=sharing"",""สิงห์บุรี!J373"")"),0)</f>
        <v>0</v>
      </c>
      <c r="AB73" s="552">
        <f ca="1">IFERROR(__xludf.DUMMYFUNCTION("IMPORTRANGE(""https://docs.google.com/spreadsheets/d/1SX6NBoVAgQJ6U1MVXOaj8PK2l7WJ3RER9xtqwdhxkhw/edit?usp=sharing"",""สิงห์บุรี!J374"")"),0)</f>
        <v>0</v>
      </c>
      <c r="AC73" s="552">
        <f ca="1">IFERROR(__xludf.DUMMYFUNCTION("IMPORTRANGE(""https://docs.google.com/spreadsheets/d/1SX6NBoVAgQJ6U1MVXOaj8PK2l7WJ3RER9xtqwdhxkhw/edit?usp=sharing"",""สิงห์บุรี!J375"")"),0)</f>
        <v>0</v>
      </c>
      <c r="AD73" s="552">
        <f t="shared" ca="1" si="110"/>
        <v>0</v>
      </c>
      <c r="AE73" s="554">
        <f t="shared" ca="1" si="9"/>
        <v>0</v>
      </c>
      <c r="AF73" s="552">
        <f t="shared" ca="1" si="111"/>
        <v>0</v>
      </c>
      <c r="AG73" s="554">
        <f t="shared" ca="1" si="10"/>
        <v>0</v>
      </c>
      <c r="AH73" s="552">
        <f ca="1">IFERROR(__xludf.DUMMYFUNCTION("IMPORTRANGE(""https://docs.google.com/spreadsheets/d/1SX6NBoVAgQJ6U1MVXOaj8PK2l7WJ3RER9xtqwdhxkhw/edit?usp=sharing"",""สิงห์บุรี!J378"")"),0)</f>
        <v>0</v>
      </c>
      <c r="AI73" s="552">
        <f ca="1">IFERROR(__xludf.DUMMYFUNCTION("IMPORTRANGE(""https://docs.google.com/spreadsheets/d/1SX6NBoVAgQJ6U1MVXOaj8PK2l7WJ3RER9xtqwdhxkhw/edit?usp=sharing"",""สิงห์บุรี!J379"")"),0)</f>
        <v>0</v>
      </c>
      <c r="AJ73" s="552">
        <f ca="1">IFERROR(__xludf.DUMMYFUNCTION("IMPORTRANGE(""https://docs.google.com/spreadsheets/d/1SX6NBoVAgQJ6U1MVXOaj8PK2l7WJ3RER9xtqwdhxkhw/edit?usp=sharing"",""สิงห์บุรี!J380"")"),0)</f>
        <v>0</v>
      </c>
      <c r="AK73" s="552">
        <f ca="1">IFERROR(__xludf.DUMMYFUNCTION("IMPORTRANGE(""https://docs.google.com/spreadsheets/d/1SX6NBoVAgQJ6U1MVXOaj8PK2l7WJ3RER9xtqwdhxkhw/edit?usp=sharing"",""สิงห์บุรี!J381"")"),0)</f>
        <v>0</v>
      </c>
      <c r="AL73" s="552">
        <f ca="1">IFERROR(__xludf.DUMMYFUNCTION("IMPORTRANGE(""https://docs.google.com/spreadsheets/d/1SX6NBoVAgQJ6U1MVXOaj8PK2l7WJ3RER9xtqwdhxkhw/edit?usp=sharing"",""สิงห์บุรี!J384"")"),0)</f>
        <v>0</v>
      </c>
      <c r="AM73" s="552">
        <f ca="1">IFERROR(__xludf.DUMMYFUNCTION("IMPORTRANGE(""https://docs.google.com/spreadsheets/d/1SX6NBoVAgQJ6U1MVXOaj8PK2l7WJ3RER9xtqwdhxkhw/edit?usp=sharing"",""สิงห์บุรี!J385"")"),0)</f>
        <v>0</v>
      </c>
      <c r="AN73" s="552">
        <f ca="1">IFERROR(__xludf.DUMMYFUNCTION("IMPORTRANGE(""https://docs.google.com/spreadsheets/d/1SX6NBoVAgQJ6U1MVXOaj8PK2l7WJ3RER9xtqwdhxkhw/edit?usp=sharing"",""สิงห์บุรี!J386"")"),0)</f>
        <v>0</v>
      </c>
      <c r="AO73" s="552">
        <f ca="1">IFERROR(__xludf.DUMMYFUNCTION("IMPORTRANGE(""https://docs.google.com/spreadsheets/d/1SX6NBoVAgQJ6U1MVXOaj8PK2l7WJ3RER9xtqwdhxkhw/edit?usp=sharing"",""สิงห์บุรี!J387"")"),0)</f>
        <v>0</v>
      </c>
      <c r="AP73" s="552">
        <f ca="1">IFERROR(__xludf.DUMMYFUNCTION("IMPORTRANGE(""https://docs.google.com/spreadsheets/d/1SX6NBoVAgQJ6U1MVXOaj8PK2l7WJ3RER9xtqwdhxkhw/edit?usp=sharing"",""สิงห์บุรี!J388"")"),0)</f>
        <v>0</v>
      </c>
      <c r="AQ73" s="552">
        <f ca="1">IFERROR(__xludf.DUMMYFUNCTION("IMPORTRANGE(""https://docs.google.com/spreadsheets/d/1SX6NBoVAgQJ6U1MVXOaj8PK2l7WJ3RER9xtqwdhxkhw/edit?usp=sharing"",""สิงห์บุรี!J389"")"),0)</f>
        <v>0</v>
      </c>
      <c r="AR73" s="552">
        <f ca="1">IFERROR(__xludf.DUMMYFUNCTION("IMPORTRANGE(""https://docs.google.com/spreadsheets/d/1SX6NBoVAgQJ6U1MVXOaj8PK2l7WJ3RER9xtqwdhxkhw/edit?usp=sharing"",""สิงห์บุรี!J390"")"),0)</f>
        <v>0</v>
      </c>
      <c r="AS73" s="552">
        <f ca="1">IFERROR(__xludf.DUMMYFUNCTION("IMPORTRANGE(""https://docs.google.com/spreadsheets/d/1SX6NBoVAgQJ6U1MVXOaj8PK2l7WJ3RER9xtqwdhxkhw/edit?usp=sharing"",""สิงห์บุรี!J391"")"),0)</f>
        <v>0</v>
      </c>
      <c r="AT73" s="556">
        <f ca="1">IFERROR(__xludf.DUMMYFUNCTION("IMPORTRANGE(""https://docs.google.com/spreadsheets/d/1C3CXT74ZlgGe6_JY_1olB1XN4rF0dxEuIIF-xsYjHgg/edit?usp=sharing"",""งบกองทุน!CD77"")"),0)</f>
        <v>0</v>
      </c>
      <c r="AU73" s="556">
        <f ca="1">IFERROR(__xludf.DUMMYFUNCTION("IMPORTRANGE(""https://docs.google.com/spreadsheets/d/1C3CXT74ZlgGe6_JY_1olB1XN4rF0dxEuIIF-xsYjHgg/edit?usp=sharing"",""งบกองทุน!CC77"")"),0)</f>
        <v>0</v>
      </c>
      <c r="AV73" s="556">
        <f t="shared" ca="1" si="112"/>
        <v>0</v>
      </c>
      <c r="AW73" s="556">
        <f t="shared" ca="1" si="12"/>
        <v>0</v>
      </c>
      <c r="AX73" s="556">
        <f t="shared" ca="1" si="113"/>
        <v>0</v>
      </c>
      <c r="AY73" s="556">
        <f t="shared" ca="1" si="13"/>
        <v>0</v>
      </c>
      <c r="AZ73" s="552">
        <f ca="1">IFERROR(__xludf.DUMMYFUNCTION("IMPORTRANGE(""https://docs.google.com/spreadsheets/d/1SX6NBoVAgQJ6U1MVXOaj8PK2l7WJ3RER9xtqwdhxkhw/edit?usp=sharing"",""สิงห์บุรี!J397"")"),0)</f>
        <v>0</v>
      </c>
      <c r="BA73" s="552">
        <f ca="1">IFERROR(__xludf.DUMMYFUNCTION("IMPORTRANGE(""https://docs.google.com/spreadsheets/d/1SX6NBoVAgQJ6U1MVXOaj8PK2l7WJ3RER9xtqwdhxkhw/edit?usp=sharing"",""สิงห์บุรี!J398"")"),0)</f>
        <v>0</v>
      </c>
      <c r="BB73" s="552">
        <f ca="1">IFERROR(__xludf.DUMMYFUNCTION("IMPORTRANGE(""https://docs.google.com/spreadsheets/d/1SX6NBoVAgQJ6U1MVXOaj8PK2l7WJ3RER9xtqwdhxkhw/edit?usp=sharing"",""สิงห์บุรี!J399"")"),0)</f>
        <v>0</v>
      </c>
      <c r="BC73" s="552">
        <f ca="1">IFERROR(__xludf.DUMMYFUNCTION("IMPORTRANGE(""https://docs.google.com/spreadsheets/d/1SX6NBoVAgQJ6U1MVXOaj8PK2l7WJ3RER9xtqwdhxkhw/edit?usp=sharing"",""สิงห์บุรี!J400"")"),0)</f>
        <v>0</v>
      </c>
      <c r="BD73" s="552">
        <f ca="1">IFERROR(__xludf.DUMMYFUNCTION("IMPORTRANGE(""https://docs.google.com/spreadsheets/d/1SX6NBoVAgQJ6U1MVXOaj8PK2l7WJ3RER9xtqwdhxkhw/edit?usp=sharing"",""สิงห์บุรี!J401"")"),0)</f>
        <v>0</v>
      </c>
      <c r="BE73" s="552">
        <f ca="1">IFERROR(__xludf.DUMMYFUNCTION("IMPORTRANGE(""https://docs.google.com/spreadsheets/d/1SX6NBoVAgQJ6U1MVXOaj8PK2l7WJ3RER9xtqwdhxkhw/edit?usp=sharing"",""สิงห์บุรี!J402"")"),0)</f>
        <v>0</v>
      </c>
      <c r="BF73" s="552">
        <f ca="1">IFERROR(__xludf.DUMMYFUNCTION("IMPORTRANGE(""https://docs.google.com/spreadsheets/d/1SX6NBoVAgQJ6U1MVXOaj8PK2l7WJ3RER9xtqwdhxkhw/edit?usp=sharing"",""สิงห์บุรี!J405"")"),0)</f>
        <v>0</v>
      </c>
      <c r="BG73" s="552">
        <f ca="1">IFERROR(__xludf.DUMMYFUNCTION("IMPORTRANGE(""https://docs.google.com/spreadsheets/d/1SX6NBoVAgQJ6U1MVXOaj8PK2l7WJ3RER9xtqwdhxkhw/edit?usp=sharing"",""สิงห์บุรี!J406"")"),0)</f>
        <v>0</v>
      </c>
      <c r="BH73" s="552">
        <f ca="1">IFERROR(__xludf.DUMMYFUNCTION("IMPORTRANGE(""https://docs.google.com/spreadsheets/d/1SX6NBoVAgQJ6U1MVXOaj8PK2l7WJ3RER9xtqwdhxkhw/edit?usp=sharing"",""สิงห์บุรี!J407"")"),0)</f>
        <v>0</v>
      </c>
      <c r="BI73" s="552">
        <f ca="1">IFERROR(__xludf.DUMMYFUNCTION("IMPORTRANGE(""https://docs.google.com/spreadsheets/d/1SX6NBoVAgQJ6U1MVXOaj8PK2l7WJ3RER9xtqwdhxkhw/edit?usp=sharing"",""สิงห์บุรี!J408"")"),0)</f>
        <v>0</v>
      </c>
      <c r="BJ73" s="552">
        <f ca="1">IFERROR(__xludf.DUMMYFUNCTION("IMPORTRANGE(""https://docs.google.com/spreadsheets/d/1SX6NBoVAgQJ6U1MVXOaj8PK2l7WJ3RER9xtqwdhxkhw/edit?usp=sharing"",""สิงห์บุรี!J409"")"),0)</f>
        <v>0</v>
      </c>
      <c r="BK73" s="552">
        <f ca="1">IFERROR(__xludf.DUMMYFUNCTION("IMPORTRANGE(""https://docs.google.com/spreadsheets/d/1SX6NBoVAgQJ6U1MVXOaj8PK2l7WJ3RER9xtqwdhxkhw/edit?usp=sharing"",""สิงห์บุรี!J410"")"),0)</f>
        <v>0</v>
      </c>
      <c r="BL73" s="556">
        <f ca="1">IFERROR(__xludf.DUMMYFUNCTION("IMPORTRANGE(""https://docs.google.com/spreadsheets/d/1C3CXT74ZlgGe6_JY_1olB1XN4rF0dxEuIIF-xsYjHgg/edit?usp=sharing"",""งบกองทุน!CZ77"")"),0)</f>
        <v>0</v>
      </c>
      <c r="BM73" s="556">
        <f ca="1">IFERROR(__xludf.DUMMYFUNCTION("IMPORTRANGE(""https://docs.google.com/spreadsheets/d/1C3CXT74ZlgGe6_JY_1olB1XN4rF0dxEuIIF-xsYjHgg/edit?usp=sharing"",""งบกองทุน!CY77"")"),0)</f>
        <v>0</v>
      </c>
      <c r="BN73" s="556">
        <f t="shared" ca="1" si="114"/>
        <v>0</v>
      </c>
      <c r="BO73" s="557">
        <f t="shared" ca="1" si="15"/>
        <v>0</v>
      </c>
      <c r="BP73" s="556">
        <f t="shared" ca="1" si="115"/>
        <v>0</v>
      </c>
      <c r="BQ73" s="557">
        <f t="shared" ca="1" si="16"/>
        <v>0</v>
      </c>
      <c r="BR73" s="552">
        <f ca="1">IFERROR(__xludf.DUMMYFUNCTION("IMPORTRANGE(""https://docs.google.com/spreadsheets/d/1SX6NBoVAgQJ6U1MVXOaj8PK2l7WJ3RER9xtqwdhxkhw/edit?usp=sharing"",""สิงห์บุรี!J414"")"),0)</f>
        <v>0</v>
      </c>
      <c r="BS73" s="552">
        <f ca="1">IFERROR(__xludf.DUMMYFUNCTION("IMPORTRANGE(""https://docs.google.com/spreadsheets/d/1SX6NBoVAgQJ6U1MVXOaj8PK2l7WJ3RER9xtqwdhxkhw/edit?usp=sharing"",""สิงห์บุรี!J415"")"),0)</f>
        <v>0</v>
      </c>
      <c r="BT73" s="552">
        <f ca="1">IFERROR(__xludf.DUMMYFUNCTION("IMPORTRANGE(""https://docs.google.com/spreadsheets/d/1SX6NBoVAgQJ6U1MVXOaj8PK2l7WJ3RER9xtqwdhxkhw/edit?usp=sharing"",""สิงห์บุรี!J416"")"),0)</f>
        <v>0</v>
      </c>
      <c r="BU73" s="552">
        <f ca="1">IFERROR(__xludf.DUMMYFUNCTION("IMPORTRANGE(""https://docs.google.com/spreadsheets/d/1SX6NBoVAgQJ6U1MVXOaj8PK2l7WJ3RER9xtqwdhxkhw/edit?usp=sharing"",""สิงห์บุรี!J417"")"),0)</f>
        <v>0</v>
      </c>
      <c r="BV73" s="552">
        <f ca="1">IFERROR(__xludf.DUMMYFUNCTION("IMPORTRANGE(""https://docs.google.com/spreadsheets/d/1SX6NBoVAgQJ6U1MVXOaj8PK2l7WJ3RER9xtqwdhxkhw/edit?usp=sharing"",""สิงห์บุรี!J418"")"),0)</f>
        <v>0</v>
      </c>
      <c r="BW73" s="552">
        <f ca="1">IFERROR(__xludf.DUMMYFUNCTION("IMPORTRANGE(""https://docs.google.com/spreadsheets/d/1SX6NBoVAgQJ6U1MVXOaj8PK2l7WJ3RER9xtqwdhxkhw/edit?usp=sharing"",""สิงห์บุรี!J419"")"),0)</f>
        <v>0</v>
      </c>
      <c r="BX73" s="556">
        <f t="shared" ca="1" si="116"/>
        <v>0</v>
      </c>
      <c r="BY73" s="557">
        <f t="shared" ca="1" si="117"/>
        <v>0</v>
      </c>
      <c r="BZ73" s="556">
        <f t="shared" ca="1" si="118"/>
        <v>0</v>
      </c>
      <c r="CA73" s="557">
        <f t="shared" ca="1" si="119"/>
        <v>0</v>
      </c>
      <c r="CB73" s="552">
        <f ca="1">IFERROR(__xludf.DUMMYFUNCTION("IMPORTRANGE(""https://docs.google.com/spreadsheets/d/1SX6NBoVAgQJ6U1MVXOaj8PK2l7WJ3RER9xtqwdhxkhw/edit?usp=sharing"",""สิงห์บุรี!J422"")"),0)</f>
        <v>0</v>
      </c>
      <c r="CC73" s="552">
        <f ca="1">IFERROR(__xludf.DUMMYFUNCTION("IMPORTRANGE(""https://docs.google.com/spreadsheets/d/1SX6NBoVAgQJ6U1MVXOaj8PK2l7WJ3RER9xtqwdhxkhw/edit?usp=sharing"",""สิงห์บุรี!J423"")"),0)</f>
        <v>0</v>
      </c>
      <c r="CD73" s="552">
        <f ca="1">IFERROR(__xludf.DUMMYFUNCTION("IMPORTRANGE(""https://docs.google.com/spreadsheets/d/1SX6NBoVAgQJ6U1MVXOaj8PK2l7WJ3RER9xtqwdhxkhw/edit?usp=sharing"",""สิงห์บุรี!J424"")"),0)</f>
        <v>0</v>
      </c>
      <c r="CE73" s="552">
        <f ca="1">IFERROR(__xludf.DUMMYFUNCTION("IMPORTRANGE(""https://docs.google.com/spreadsheets/d/1SX6NBoVAgQJ6U1MVXOaj8PK2l7WJ3RER9xtqwdhxkhw/edit?usp=sharing"",""สิงห์บุรี!J425"")"),0)</f>
        <v>0</v>
      </c>
      <c r="CF73" s="552">
        <f ca="1">IFERROR(__xludf.DUMMYFUNCTION("IMPORTRANGE(""https://docs.google.com/spreadsheets/d/1SX6NBoVAgQJ6U1MVXOaj8PK2l7WJ3RER9xtqwdhxkhw/edit?usp=sharing"",""สิงห์บุรี!J426"")"),0)</f>
        <v>0</v>
      </c>
      <c r="CG73" s="558">
        <f ca="1">IFERROR(__xludf.DUMMYFUNCTION("IMPORTRANGE(""https://docs.google.com/spreadsheets/d/1SX6NBoVAgQJ6U1MVXOaj8PK2l7WJ3RER9xtqwdhxkhw/edit?usp=sharing"",""สิงห์บุรี!J427"")"),0)</f>
        <v>0</v>
      </c>
    </row>
    <row r="74" spans="1:85" ht="21" customHeight="1">
      <c r="A74" s="549">
        <v>20</v>
      </c>
      <c r="B74" s="550" t="s">
        <v>98</v>
      </c>
      <c r="C74" s="551">
        <f t="shared" ca="1" si="105"/>
        <v>473295</v>
      </c>
      <c r="D74" s="552">
        <f ca="1">IFERROR(__xludf.DUMMYFUNCTION("IMPORTRANGE(""https://docs.google.com/spreadsheets/d/1C3CXT74ZlgGe6_JY_1olB1XN4rF0dxEuIIF-xsYjHgg/edit?usp=sharing"",""งบกองทุน!BC78"")"),0)</f>
        <v>0</v>
      </c>
      <c r="E74" s="553">
        <f ca="1">IFERROR(__xludf.DUMMYFUNCTION("IMPORTRANGE(""https://docs.google.com/spreadsheets/d/1C3CXT74ZlgGe6_JY_1olB1XN4rF0dxEuIIF-xsYjHgg/edit?usp=sharing"",""งบกองทุน!BD78"")"),473295)</f>
        <v>473295</v>
      </c>
      <c r="F74" s="554">
        <f ca="1">IFERROR(__xludf.DUMMYFUNCTION("IMPORTRANGE(""https://docs.google.com/spreadsheets/d/1SX6NBoVAgQJ6U1MVXOaj8PK2l7WJ3RER9xtqwdhxkhw/edit?usp=sharing"",""สุพรรณบุรี!M352"")"),110076.73)</f>
        <v>110076.73</v>
      </c>
      <c r="G74" s="554">
        <f t="shared" ca="1" si="1"/>
        <v>23.257530715515692</v>
      </c>
      <c r="H74" s="555">
        <f ca="1">IFERROR(__xludf.DUMMYFUNCTION("IMPORTRANGE(""https://docs.google.com/spreadsheets/d/1C3CXT74ZlgGe6_JY_1olB1XN4rF0dxEuIIF-xsYjHgg/edit?usp=sharing"",""งบกองทุน!BE78"")"),37350)</f>
        <v>37350</v>
      </c>
      <c r="I74" s="555">
        <f ca="1">IFERROR(__xludf.DUMMYFUNCTION("IMPORTRANGE(""https://docs.google.com/spreadsheets/d/1C3CXT74ZlgGe6_JY_1olB1XN4rF0dxEuIIF-xsYjHgg/edit?usp=sharing"",""งบกองทุน!BF78"")"),5113)</f>
        <v>5113</v>
      </c>
      <c r="J74" s="552">
        <f t="shared" ca="1" si="106"/>
        <v>37349.599999999999</v>
      </c>
      <c r="K74" s="554">
        <f t="shared" ca="1" si="3"/>
        <v>99.998929049531455</v>
      </c>
      <c r="L74" s="552">
        <f t="shared" ca="1" si="107"/>
        <v>5113</v>
      </c>
      <c r="M74" s="554">
        <f t="shared" ca="1" si="4"/>
        <v>100</v>
      </c>
      <c r="N74" s="552">
        <f ca="1">IFERROR(__xludf.DUMMYFUNCTION("IMPORTRANGE(""https://docs.google.com/spreadsheets/d/1SX6NBoVAgQJ6U1MVXOaj8PK2l7WJ3RER9xtqwdhxkhw/edit?usp=sharing"",""สุพรรณบุรี!J362"")"),31100)</f>
        <v>31100</v>
      </c>
      <c r="O74" s="552">
        <f ca="1">IFERROR(__xludf.DUMMYFUNCTION("IMPORTRANGE(""https://docs.google.com/spreadsheets/d/1SX6NBoVAgQJ6U1MVXOaj8PK2l7WJ3RER9xtqwdhxkhw/edit?usp=sharing"",""สุพรรณบุรี!J363"")"),4367)</f>
        <v>4367</v>
      </c>
      <c r="P74" s="552">
        <f ca="1">IFERROR(__xludf.DUMMYFUNCTION("IMPORTRANGE(""https://docs.google.com/spreadsheets/d/1SX6NBoVAgQJ6U1MVXOaj8PK2l7WJ3RER9xtqwdhxkhw/edit?usp=sharing"",""สุพรรณบุรี!J364"")"),5907.1)</f>
        <v>5907.1</v>
      </c>
      <c r="Q74" s="552">
        <f ca="1">IFERROR(__xludf.DUMMYFUNCTION("IMPORTRANGE(""https://docs.google.com/spreadsheets/d/1SX6NBoVAgQJ6U1MVXOaj8PK2l7WJ3RER9xtqwdhxkhw/edit?usp=sharing"",""สุพรรณบุรี!J365"")"),699)</f>
        <v>699</v>
      </c>
      <c r="R74" s="552">
        <f ca="1">IFERROR(__xludf.DUMMYFUNCTION("IMPORTRANGE(""https://docs.google.com/spreadsheets/d/1SX6NBoVAgQJ6U1MVXOaj8PK2l7WJ3RER9xtqwdhxkhw/edit?usp=sharing"",""สุพรรณบุรี!J366"")"),342.5)</f>
        <v>342.5</v>
      </c>
      <c r="S74" s="552">
        <f ca="1">IFERROR(__xludf.DUMMYFUNCTION("IMPORTRANGE(""https://docs.google.com/spreadsheets/d/1SX6NBoVAgQJ6U1MVXOaj8PK2l7WJ3RER9xtqwdhxkhw/edit?usp=sharing"",""สุพรรณบุรี!J367"")"),47)</f>
        <v>47</v>
      </c>
      <c r="T74" s="552">
        <f t="shared" ca="1" si="108"/>
        <v>37350</v>
      </c>
      <c r="U74" s="552">
        <f t="shared" ca="1" si="6"/>
        <v>100</v>
      </c>
      <c r="V74" s="552">
        <f t="shared" ca="1" si="109"/>
        <v>5113</v>
      </c>
      <c r="W74" s="552">
        <f t="shared" ca="1" si="7"/>
        <v>100</v>
      </c>
      <c r="X74" s="552">
        <f ca="1">IFERROR(__xludf.DUMMYFUNCTION("IMPORTRANGE(""https://docs.google.com/spreadsheets/d/1SX6NBoVAgQJ6U1MVXOaj8PK2l7WJ3RER9xtqwdhxkhw/edit?usp=sharing"",""สุพรรณบุรี!J370"")"),32792)</f>
        <v>32792</v>
      </c>
      <c r="Y74" s="552">
        <f ca="1">IFERROR(__xludf.DUMMYFUNCTION("IMPORTRANGE(""https://docs.google.com/spreadsheets/d/1SX6NBoVAgQJ6U1MVXOaj8PK2l7WJ3RER9xtqwdhxkhw/edit?usp=sharing"",""สุพรรณบุรี!J371"")"),4547)</f>
        <v>4547</v>
      </c>
      <c r="Z74" s="552">
        <f ca="1">IFERROR(__xludf.DUMMYFUNCTION("IMPORTRANGE(""https://docs.google.com/spreadsheets/d/1SX6NBoVAgQJ6U1MVXOaj8PK2l7WJ3RER9xtqwdhxkhw/edit?usp=sharing"",""สุพรรณบุรี!J372"")"),4097)</f>
        <v>4097</v>
      </c>
      <c r="AA74" s="552">
        <f ca="1">IFERROR(__xludf.DUMMYFUNCTION("IMPORTRANGE(""https://docs.google.com/spreadsheets/d/1SX6NBoVAgQJ6U1MVXOaj8PK2l7WJ3RER9xtqwdhxkhw/edit?usp=sharing"",""สุพรรณบุรี!J373"")"),489)</f>
        <v>489</v>
      </c>
      <c r="AB74" s="552">
        <f ca="1">IFERROR(__xludf.DUMMYFUNCTION("IMPORTRANGE(""https://docs.google.com/spreadsheets/d/1SX6NBoVAgQJ6U1MVXOaj8PK2l7WJ3RER9xtqwdhxkhw/edit?usp=sharing"",""สุพรรณบุรี!J374"")"),461)</f>
        <v>461</v>
      </c>
      <c r="AC74" s="552">
        <f ca="1">IFERROR(__xludf.DUMMYFUNCTION("IMPORTRANGE(""https://docs.google.com/spreadsheets/d/1SX6NBoVAgQJ6U1MVXOaj8PK2l7WJ3RER9xtqwdhxkhw/edit?usp=sharing"",""สุพรรณบุรี!J375"")"),77)</f>
        <v>77</v>
      </c>
      <c r="AD74" s="552">
        <f t="shared" ca="1" si="110"/>
        <v>37350</v>
      </c>
      <c r="AE74" s="554">
        <f t="shared" ca="1" si="9"/>
        <v>100</v>
      </c>
      <c r="AF74" s="552">
        <f t="shared" ca="1" si="111"/>
        <v>5113</v>
      </c>
      <c r="AG74" s="554">
        <f t="shared" ca="1" si="10"/>
        <v>100</v>
      </c>
      <c r="AH74" s="552">
        <f ca="1">IFERROR(__xludf.DUMMYFUNCTION("IMPORTRANGE(""https://docs.google.com/spreadsheets/d/1SX6NBoVAgQJ6U1MVXOaj8PK2l7WJ3RER9xtqwdhxkhw/edit?usp=sharing"",""สุพรรณบุรี!J378"")"),32792)</f>
        <v>32792</v>
      </c>
      <c r="AI74" s="552">
        <f ca="1">IFERROR(__xludf.DUMMYFUNCTION("IMPORTRANGE(""https://docs.google.com/spreadsheets/d/1SX6NBoVAgQJ6U1MVXOaj8PK2l7WJ3RER9xtqwdhxkhw/edit?usp=sharing"",""สุพรรณบุรี!J379"")"),4547)</f>
        <v>4547</v>
      </c>
      <c r="AJ74" s="552">
        <f ca="1">IFERROR(__xludf.DUMMYFUNCTION("IMPORTRANGE(""https://docs.google.com/spreadsheets/d/1SX6NBoVAgQJ6U1MVXOaj8PK2l7WJ3RER9xtqwdhxkhw/edit?usp=sharing"",""สุพรรณบุรี!J380"")"),4097)</f>
        <v>4097</v>
      </c>
      <c r="AK74" s="552">
        <f ca="1">IFERROR(__xludf.DUMMYFUNCTION("IMPORTRANGE(""https://docs.google.com/spreadsheets/d/1SX6NBoVAgQJ6U1MVXOaj8PK2l7WJ3RER9xtqwdhxkhw/edit?usp=sharing"",""สุพรรณบุรี!J381"")"),489)</f>
        <v>489</v>
      </c>
      <c r="AL74" s="552">
        <f ca="1">IFERROR(__xludf.DUMMYFUNCTION("IMPORTRANGE(""https://docs.google.com/spreadsheets/d/1SX6NBoVAgQJ6U1MVXOaj8PK2l7WJ3RER9xtqwdhxkhw/edit?usp=sharing"",""สุพรรณบุรี!J384"")"),461)</f>
        <v>461</v>
      </c>
      <c r="AM74" s="552">
        <f ca="1">IFERROR(__xludf.DUMMYFUNCTION("IMPORTRANGE(""https://docs.google.com/spreadsheets/d/1SX6NBoVAgQJ6U1MVXOaj8PK2l7WJ3RER9xtqwdhxkhw/edit?usp=sharing"",""สุพรรณบุรี!J385"")"),77)</f>
        <v>77</v>
      </c>
      <c r="AN74" s="552">
        <f ca="1">IFERROR(__xludf.DUMMYFUNCTION("IMPORTRANGE(""https://docs.google.com/spreadsheets/d/1SX6NBoVAgQJ6U1MVXOaj8PK2l7WJ3RER9xtqwdhxkhw/edit?usp=sharing"",""สุพรรณบุรี!J386"")"),0)</f>
        <v>0</v>
      </c>
      <c r="AO74" s="552">
        <f ca="1">IFERROR(__xludf.DUMMYFUNCTION("IMPORTRANGE(""https://docs.google.com/spreadsheets/d/1SX6NBoVAgQJ6U1MVXOaj8PK2l7WJ3RER9xtqwdhxkhw/edit?usp=sharing"",""สุพรรณบุรี!J387"")"),0)</f>
        <v>0</v>
      </c>
      <c r="AP74" s="552">
        <f ca="1">IFERROR(__xludf.DUMMYFUNCTION("IMPORTRANGE(""https://docs.google.com/spreadsheets/d/1SX6NBoVAgQJ6U1MVXOaj8PK2l7WJ3RER9xtqwdhxkhw/edit?usp=sharing"",""สุพรรณบุรี!J388"")"),0)</f>
        <v>0</v>
      </c>
      <c r="AQ74" s="552">
        <f ca="1">IFERROR(__xludf.DUMMYFUNCTION("IMPORTRANGE(""https://docs.google.com/spreadsheets/d/1SX6NBoVAgQJ6U1MVXOaj8PK2l7WJ3RER9xtqwdhxkhw/edit?usp=sharing"",""สุพรรณบุรี!J389"")"),0)</f>
        <v>0</v>
      </c>
      <c r="AR74" s="552">
        <f ca="1">IFERROR(__xludf.DUMMYFUNCTION("IMPORTRANGE(""https://docs.google.com/spreadsheets/d/1SX6NBoVAgQJ6U1MVXOaj8PK2l7WJ3RER9xtqwdhxkhw/edit?usp=sharing"",""สุพรรณบุรี!J390"")"),0)</f>
        <v>0</v>
      </c>
      <c r="AS74" s="552">
        <f ca="1">IFERROR(__xludf.DUMMYFUNCTION("IMPORTRANGE(""https://docs.google.com/spreadsheets/d/1SX6NBoVAgQJ6U1MVXOaj8PK2l7WJ3RER9xtqwdhxkhw/edit?usp=sharing"",""สุพรรณบุรี!J391"")"),0)</f>
        <v>0</v>
      </c>
      <c r="AT74" s="556">
        <f ca="1">IFERROR(__xludf.DUMMYFUNCTION("IMPORTRANGE(""https://docs.google.com/spreadsheets/d/1C3CXT74ZlgGe6_JY_1olB1XN4rF0dxEuIIF-xsYjHgg/edit?usp=sharing"",""งบกองทุน!CD78"")"),3062)</f>
        <v>3062</v>
      </c>
      <c r="AU74" s="556">
        <f ca="1">IFERROR(__xludf.DUMMYFUNCTION("IMPORTRANGE(""https://docs.google.com/spreadsheets/d/1C3CXT74ZlgGe6_JY_1olB1XN4rF0dxEuIIF-xsYjHgg/edit?usp=sharing"",""งบกองทุน!CC78"")"),219)</f>
        <v>219</v>
      </c>
      <c r="AV74" s="556">
        <f t="shared" ca="1" si="112"/>
        <v>0</v>
      </c>
      <c r="AW74" s="556">
        <f t="shared" ca="1" si="12"/>
        <v>0</v>
      </c>
      <c r="AX74" s="556">
        <f t="shared" ca="1" si="113"/>
        <v>0</v>
      </c>
      <c r="AY74" s="556">
        <f t="shared" ca="1" si="13"/>
        <v>0</v>
      </c>
      <c r="AZ74" s="552">
        <f ca="1">IFERROR(__xludf.DUMMYFUNCTION("IMPORTRANGE(""https://docs.google.com/spreadsheets/d/1SX6NBoVAgQJ6U1MVXOaj8PK2l7WJ3RER9xtqwdhxkhw/edit?usp=sharing"",""สุพรรณบุรี!J397"")"),0)</f>
        <v>0</v>
      </c>
      <c r="BA74" s="552">
        <f ca="1">IFERROR(__xludf.DUMMYFUNCTION("IMPORTRANGE(""https://docs.google.com/spreadsheets/d/1SX6NBoVAgQJ6U1MVXOaj8PK2l7WJ3RER9xtqwdhxkhw/edit?usp=sharing"",""สุพรรณบุรี!J398"")"),0)</f>
        <v>0</v>
      </c>
      <c r="BB74" s="552">
        <f ca="1">IFERROR(__xludf.DUMMYFUNCTION("IMPORTRANGE(""https://docs.google.com/spreadsheets/d/1SX6NBoVAgQJ6U1MVXOaj8PK2l7WJ3RER9xtqwdhxkhw/edit?usp=sharing"",""สุพรรณบุรี!J399"")"),0)</f>
        <v>0</v>
      </c>
      <c r="BC74" s="552">
        <f ca="1">IFERROR(__xludf.DUMMYFUNCTION("IMPORTRANGE(""https://docs.google.com/spreadsheets/d/1SX6NBoVAgQJ6U1MVXOaj8PK2l7WJ3RER9xtqwdhxkhw/edit?usp=sharing"",""สุพรรณบุรี!J400"")"),0)</f>
        <v>0</v>
      </c>
      <c r="BD74" s="552">
        <f ca="1">IFERROR(__xludf.DUMMYFUNCTION("IMPORTRANGE(""https://docs.google.com/spreadsheets/d/1SX6NBoVAgQJ6U1MVXOaj8PK2l7WJ3RER9xtqwdhxkhw/edit?usp=sharing"",""สุพรรณบุรี!J401"")"),0)</f>
        <v>0</v>
      </c>
      <c r="BE74" s="552">
        <f ca="1">IFERROR(__xludf.DUMMYFUNCTION("IMPORTRANGE(""https://docs.google.com/spreadsheets/d/1SX6NBoVAgQJ6U1MVXOaj8PK2l7WJ3RER9xtqwdhxkhw/edit?usp=sharing"",""สุพรรณบุรี!J402"")"),0)</f>
        <v>0</v>
      </c>
      <c r="BF74" s="552">
        <f ca="1">IFERROR(__xludf.DUMMYFUNCTION("IMPORTRANGE(""https://docs.google.com/spreadsheets/d/1SX6NBoVAgQJ6U1MVXOaj8PK2l7WJ3RER9xtqwdhxkhw/edit?usp=sharing"",""สุพรรณบุรี!J405"")"),0)</f>
        <v>0</v>
      </c>
      <c r="BG74" s="552">
        <f ca="1">IFERROR(__xludf.DUMMYFUNCTION("IMPORTRANGE(""https://docs.google.com/spreadsheets/d/1SX6NBoVAgQJ6U1MVXOaj8PK2l7WJ3RER9xtqwdhxkhw/edit?usp=sharing"",""สุพรรณบุรี!J406"")"),0)</f>
        <v>0</v>
      </c>
      <c r="BH74" s="552">
        <f ca="1">IFERROR(__xludf.DUMMYFUNCTION("IMPORTRANGE(""https://docs.google.com/spreadsheets/d/1SX6NBoVAgQJ6U1MVXOaj8PK2l7WJ3RER9xtqwdhxkhw/edit?usp=sharing"",""สุพรรณบุรี!J407"")"),0)</f>
        <v>0</v>
      </c>
      <c r="BI74" s="552">
        <f ca="1">IFERROR(__xludf.DUMMYFUNCTION("IMPORTRANGE(""https://docs.google.com/spreadsheets/d/1SX6NBoVAgQJ6U1MVXOaj8PK2l7WJ3RER9xtqwdhxkhw/edit?usp=sharing"",""สุพรรณบุรี!J408"")"),0)</f>
        <v>0</v>
      </c>
      <c r="BJ74" s="552">
        <f ca="1">IFERROR(__xludf.DUMMYFUNCTION("IMPORTRANGE(""https://docs.google.com/spreadsheets/d/1SX6NBoVAgQJ6U1MVXOaj8PK2l7WJ3RER9xtqwdhxkhw/edit?usp=sharing"",""สุพรรณบุรี!J409"")"),0)</f>
        <v>0</v>
      </c>
      <c r="BK74" s="552">
        <f ca="1">IFERROR(__xludf.DUMMYFUNCTION("IMPORTRANGE(""https://docs.google.com/spreadsheets/d/1SX6NBoVAgQJ6U1MVXOaj8PK2l7WJ3RER9xtqwdhxkhw/edit?usp=sharing"",""สุพรรณบุรี!J410"")"),0)</f>
        <v>0</v>
      </c>
      <c r="BL74" s="556">
        <f ca="1">IFERROR(__xludf.DUMMYFUNCTION("IMPORTRANGE(""https://docs.google.com/spreadsheets/d/1C3CXT74ZlgGe6_JY_1olB1XN4rF0dxEuIIF-xsYjHgg/edit?usp=sharing"",""งบกองทุน!CZ78"")"),0)</f>
        <v>0</v>
      </c>
      <c r="BM74" s="556">
        <f ca="1">IFERROR(__xludf.DUMMYFUNCTION("IMPORTRANGE(""https://docs.google.com/spreadsheets/d/1C3CXT74ZlgGe6_JY_1olB1XN4rF0dxEuIIF-xsYjHgg/edit?usp=sharing"",""งบกองทุน!CY78"")"),0)</f>
        <v>0</v>
      </c>
      <c r="BN74" s="556">
        <f t="shared" ca="1" si="114"/>
        <v>0</v>
      </c>
      <c r="BO74" s="557">
        <f t="shared" ca="1" si="15"/>
        <v>0</v>
      </c>
      <c r="BP74" s="556">
        <f t="shared" ca="1" si="115"/>
        <v>0</v>
      </c>
      <c r="BQ74" s="557">
        <f t="shared" ca="1" si="16"/>
        <v>0</v>
      </c>
      <c r="BR74" s="552">
        <f ca="1">IFERROR(__xludf.DUMMYFUNCTION("IMPORTRANGE(""https://docs.google.com/spreadsheets/d/1SX6NBoVAgQJ6U1MVXOaj8PK2l7WJ3RER9xtqwdhxkhw/edit?usp=sharing"",""สุพรรณบุรี!J414"")"),0)</f>
        <v>0</v>
      </c>
      <c r="BS74" s="552">
        <f ca="1">IFERROR(__xludf.DUMMYFUNCTION("IMPORTRANGE(""https://docs.google.com/spreadsheets/d/1SX6NBoVAgQJ6U1MVXOaj8PK2l7WJ3RER9xtqwdhxkhw/edit?usp=sharing"",""สุพรรณบุรี!J415"")"),0)</f>
        <v>0</v>
      </c>
      <c r="BT74" s="552">
        <f ca="1">IFERROR(__xludf.DUMMYFUNCTION("IMPORTRANGE(""https://docs.google.com/spreadsheets/d/1SX6NBoVAgQJ6U1MVXOaj8PK2l7WJ3RER9xtqwdhxkhw/edit?usp=sharing"",""สุพรรณบุรี!J416"")"),0)</f>
        <v>0</v>
      </c>
      <c r="BU74" s="552">
        <f ca="1">IFERROR(__xludf.DUMMYFUNCTION("IMPORTRANGE(""https://docs.google.com/spreadsheets/d/1SX6NBoVAgQJ6U1MVXOaj8PK2l7WJ3RER9xtqwdhxkhw/edit?usp=sharing"",""สุพรรณบุรี!J417"")"),0)</f>
        <v>0</v>
      </c>
      <c r="BV74" s="552">
        <f ca="1">IFERROR(__xludf.DUMMYFUNCTION("IMPORTRANGE(""https://docs.google.com/spreadsheets/d/1SX6NBoVAgQJ6U1MVXOaj8PK2l7WJ3RER9xtqwdhxkhw/edit?usp=sharing"",""สุพรรณบุรี!J418"")"),0)</f>
        <v>0</v>
      </c>
      <c r="BW74" s="552">
        <f ca="1">IFERROR(__xludf.DUMMYFUNCTION("IMPORTRANGE(""https://docs.google.com/spreadsheets/d/1SX6NBoVAgQJ6U1MVXOaj8PK2l7WJ3RER9xtqwdhxkhw/edit?usp=sharing"",""สุพรรณบุรี!J419"")"),0)</f>
        <v>0</v>
      </c>
      <c r="BX74" s="556">
        <f t="shared" ca="1" si="116"/>
        <v>0</v>
      </c>
      <c r="BY74" s="557">
        <f t="shared" ca="1" si="117"/>
        <v>0</v>
      </c>
      <c r="BZ74" s="556">
        <f t="shared" ca="1" si="118"/>
        <v>0</v>
      </c>
      <c r="CA74" s="557">
        <f t="shared" ca="1" si="119"/>
        <v>0</v>
      </c>
      <c r="CB74" s="552">
        <f ca="1">IFERROR(__xludf.DUMMYFUNCTION("IMPORTRANGE(""https://docs.google.com/spreadsheets/d/1SX6NBoVAgQJ6U1MVXOaj8PK2l7WJ3RER9xtqwdhxkhw/edit?usp=sharing"",""สุพรรณบุรี!J422"")"),0)</f>
        <v>0</v>
      </c>
      <c r="CC74" s="552">
        <f ca="1">IFERROR(__xludf.DUMMYFUNCTION("IMPORTRANGE(""https://docs.google.com/spreadsheets/d/1SX6NBoVAgQJ6U1MVXOaj8PK2l7WJ3RER9xtqwdhxkhw/edit?usp=sharing"",""สุพรรณบุรี!J423"")"),0)</f>
        <v>0</v>
      </c>
      <c r="CD74" s="552">
        <f ca="1">IFERROR(__xludf.DUMMYFUNCTION("IMPORTRANGE(""https://docs.google.com/spreadsheets/d/1SX6NBoVAgQJ6U1MVXOaj8PK2l7WJ3RER9xtqwdhxkhw/edit?usp=sharing"",""สุพรรณบุรี!J424"")"),0)</f>
        <v>0</v>
      </c>
      <c r="CE74" s="552">
        <f ca="1">IFERROR(__xludf.DUMMYFUNCTION("IMPORTRANGE(""https://docs.google.com/spreadsheets/d/1SX6NBoVAgQJ6U1MVXOaj8PK2l7WJ3RER9xtqwdhxkhw/edit?usp=sharing"",""สุพรรณบุรี!J425"")"),0)</f>
        <v>0</v>
      </c>
      <c r="CF74" s="552">
        <f ca="1">IFERROR(__xludf.DUMMYFUNCTION("IMPORTRANGE(""https://docs.google.com/spreadsheets/d/1SX6NBoVAgQJ6U1MVXOaj8PK2l7WJ3RER9xtqwdhxkhw/edit?usp=sharing"",""สุพรรณบุรี!J426"")"),0)</f>
        <v>0</v>
      </c>
      <c r="CG74" s="558">
        <f ca="1">IFERROR(__xludf.DUMMYFUNCTION("IMPORTRANGE(""https://docs.google.com/spreadsheets/d/1SX6NBoVAgQJ6U1MVXOaj8PK2l7WJ3RER9xtqwdhxkhw/edit?usp=sharing"",""สุพรรณบุรี!J427"")"),0)</f>
        <v>0</v>
      </c>
    </row>
    <row r="75" spans="1:85" ht="21" customHeight="1">
      <c r="A75" s="559">
        <v>21</v>
      </c>
      <c r="B75" s="560" t="s">
        <v>99</v>
      </c>
      <c r="C75" s="561">
        <f t="shared" ca="1" si="105"/>
        <v>0</v>
      </c>
      <c r="D75" s="562">
        <f ca="1">IFERROR(__xludf.DUMMYFUNCTION("IMPORTRANGE(""https://docs.google.com/spreadsheets/d/1C3CXT74ZlgGe6_JY_1olB1XN4rF0dxEuIIF-xsYjHgg/edit?usp=sharing"",""งบกองทุน!BC79"")"),0)</f>
        <v>0</v>
      </c>
      <c r="E75" s="563">
        <f ca="1">IFERROR(__xludf.DUMMYFUNCTION("IMPORTRANGE(""https://docs.google.com/spreadsheets/d/1C3CXT74ZlgGe6_JY_1olB1XN4rF0dxEuIIF-xsYjHgg/edit?usp=sharing"",""งบกองทุน!BD79"")"),0)</f>
        <v>0</v>
      </c>
      <c r="F75" s="564">
        <f ca="1">IFERROR(__xludf.DUMMYFUNCTION("IMPORTRANGE(""https://docs.google.com/spreadsheets/d/1SX6NBoVAgQJ6U1MVXOaj8PK2l7WJ3RER9xtqwdhxkhw/edit?usp=sharing"",""อ่างทอง!M352"")"),0)</f>
        <v>0</v>
      </c>
      <c r="G75" s="564">
        <f t="shared" ca="1" si="1"/>
        <v>0</v>
      </c>
      <c r="H75" s="565">
        <f ca="1">IFERROR(__xludf.DUMMYFUNCTION("IMPORTRANGE(""https://docs.google.com/spreadsheets/d/1C3CXT74ZlgGe6_JY_1olB1XN4rF0dxEuIIF-xsYjHgg/edit?usp=sharing"",""งบกองทุน!BE79"")"),0)</f>
        <v>0</v>
      </c>
      <c r="I75" s="565">
        <f ca="1">IFERROR(__xludf.DUMMYFUNCTION("IMPORTRANGE(""https://docs.google.com/spreadsheets/d/1C3CXT74ZlgGe6_JY_1olB1XN4rF0dxEuIIF-xsYjHgg/edit?usp=sharing"",""งบกองทุน!BF79"")"),0)</f>
        <v>0</v>
      </c>
      <c r="J75" s="562">
        <f t="shared" ca="1" si="106"/>
        <v>0</v>
      </c>
      <c r="K75" s="564">
        <f t="shared" ca="1" si="3"/>
        <v>0</v>
      </c>
      <c r="L75" s="562">
        <f t="shared" ca="1" si="107"/>
        <v>0</v>
      </c>
      <c r="M75" s="564">
        <f t="shared" ca="1" si="4"/>
        <v>0</v>
      </c>
      <c r="N75" s="562">
        <f ca="1">IFERROR(__xludf.DUMMYFUNCTION("IMPORTRANGE(""https://docs.google.com/spreadsheets/d/1SX6NBoVAgQJ6U1MVXOaj8PK2l7WJ3RER9xtqwdhxkhw/edit?usp=sharing"",""อ่างทอง!J362"")"),0)</f>
        <v>0</v>
      </c>
      <c r="O75" s="562">
        <f ca="1">IFERROR(__xludf.DUMMYFUNCTION("IMPORTRANGE(""https://docs.google.com/spreadsheets/d/1SX6NBoVAgQJ6U1MVXOaj8PK2l7WJ3RER9xtqwdhxkhw/edit?usp=sharing"",""อ่างทอง!J363"")"),0)</f>
        <v>0</v>
      </c>
      <c r="P75" s="562">
        <f ca="1">IFERROR(__xludf.DUMMYFUNCTION("IMPORTRANGE(""https://docs.google.com/spreadsheets/d/1SX6NBoVAgQJ6U1MVXOaj8PK2l7WJ3RER9xtqwdhxkhw/edit?usp=sharing"",""อ่างทอง!J364"")"),0)</f>
        <v>0</v>
      </c>
      <c r="Q75" s="562">
        <f ca="1">IFERROR(__xludf.DUMMYFUNCTION("IMPORTRANGE(""https://docs.google.com/spreadsheets/d/1SX6NBoVAgQJ6U1MVXOaj8PK2l7WJ3RER9xtqwdhxkhw/edit?usp=sharing"",""อ่างทอง!J365"")"),0)</f>
        <v>0</v>
      </c>
      <c r="R75" s="562">
        <f ca="1">IFERROR(__xludf.DUMMYFUNCTION("IMPORTRANGE(""https://docs.google.com/spreadsheets/d/1SX6NBoVAgQJ6U1MVXOaj8PK2l7WJ3RER9xtqwdhxkhw/edit?usp=sharing"",""อ่างทอง!J366"")"),0)</f>
        <v>0</v>
      </c>
      <c r="S75" s="562">
        <f ca="1">IFERROR(__xludf.DUMMYFUNCTION("IMPORTRANGE(""https://docs.google.com/spreadsheets/d/1SX6NBoVAgQJ6U1MVXOaj8PK2l7WJ3RER9xtqwdhxkhw/edit?usp=sharing"",""อ่างทอง!J367"")"),0)</f>
        <v>0</v>
      </c>
      <c r="T75" s="562">
        <f t="shared" ca="1" si="108"/>
        <v>0</v>
      </c>
      <c r="U75" s="562">
        <f t="shared" ca="1" si="6"/>
        <v>0</v>
      </c>
      <c r="V75" s="562">
        <f t="shared" ca="1" si="109"/>
        <v>0</v>
      </c>
      <c r="W75" s="562">
        <f t="shared" ca="1" si="7"/>
        <v>0</v>
      </c>
      <c r="X75" s="562">
        <f ca="1">IFERROR(__xludf.DUMMYFUNCTION("IMPORTRANGE(""https://docs.google.com/spreadsheets/d/1SX6NBoVAgQJ6U1MVXOaj8PK2l7WJ3RER9xtqwdhxkhw/edit?usp=sharing"",""อ่างทอง!J370"")"),0)</f>
        <v>0</v>
      </c>
      <c r="Y75" s="562">
        <f ca="1">IFERROR(__xludf.DUMMYFUNCTION("IMPORTRANGE(""https://docs.google.com/spreadsheets/d/1SX6NBoVAgQJ6U1MVXOaj8PK2l7WJ3RER9xtqwdhxkhw/edit?usp=sharing"",""อ่างทอง!J371"")"),0)</f>
        <v>0</v>
      </c>
      <c r="Z75" s="562">
        <f ca="1">IFERROR(__xludf.DUMMYFUNCTION("IMPORTRANGE(""https://docs.google.com/spreadsheets/d/1SX6NBoVAgQJ6U1MVXOaj8PK2l7WJ3RER9xtqwdhxkhw/edit?usp=sharing"",""อ่างทอง!J372"")"),0)</f>
        <v>0</v>
      </c>
      <c r="AA75" s="562">
        <f ca="1">IFERROR(__xludf.DUMMYFUNCTION("IMPORTRANGE(""https://docs.google.com/spreadsheets/d/1SX6NBoVAgQJ6U1MVXOaj8PK2l7WJ3RER9xtqwdhxkhw/edit?usp=sharing"",""อ่างทอง!J373"")"),0)</f>
        <v>0</v>
      </c>
      <c r="AB75" s="562">
        <f ca="1">IFERROR(__xludf.DUMMYFUNCTION("IMPORTRANGE(""https://docs.google.com/spreadsheets/d/1SX6NBoVAgQJ6U1MVXOaj8PK2l7WJ3RER9xtqwdhxkhw/edit?usp=sharing"",""อ่างทอง!J374"")"),0)</f>
        <v>0</v>
      </c>
      <c r="AC75" s="562">
        <f ca="1">IFERROR(__xludf.DUMMYFUNCTION("IMPORTRANGE(""https://docs.google.com/spreadsheets/d/1SX6NBoVAgQJ6U1MVXOaj8PK2l7WJ3RER9xtqwdhxkhw/edit?usp=sharing"",""อ่างทอง!J375"")"),0)</f>
        <v>0</v>
      </c>
      <c r="AD75" s="562">
        <f t="shared" ca="1" si="110"/>
        <v>0</v>
      </c>
      <c r="AE75" s="564">
        <f t="shared" ca="1" si="9"/>
        <v>0</v>
      </c>
      <c r="AF75" s="562">
        <f t="shared" ca="1" si="111"/>
        <v>0</v>
      </c>
      <c r="AG75" s="564">
        <f t="shared" ca="1" si="10"/>
        <v>0</v>
      </c>
      <c r="AH75" s="562">
        <f ca="1">IFERROR(__xludf.DUMMYFUNCTION("IMPORTRANGE(""https://docs.google.com/spreadsheets/d/1SX6NBoVAgQJ6U1MVXOaj8PK2l7WJ3RER9xtqwdhxkhw/edit?usp=sharing"",""อ่างทอง!J378"")"),0)</f>
        <v>0</v>
      </c>
      <c r="AI75" s="562">
        <f ca="1">IFERROR(__xludf.DUMMYFUNCTION("IMPORTRANGE(""https://docs.google.com/spreadsheets/d/1SX6NBoVAgQJ6U1MVXOaj8PK2l7WJ3RER9xtqwdhxkhw/edit?usp=sharing"",""อ่างทอง!J379"")"),0)</f>
        <v>0</v>
      </c>
      <c r="AJ75" s="562">
        <f ca="1">IFERROR(__xludf.DUMMYFUNCTION("IMPORTRANGE(""https://docs.google.com/spreadsheets/d/1SX6NBoVAgQJ6U1MVXOaj8PK2l7WJ3RER9xtqwdhxkhw/edit?usp=sharing"",""อ่างทอง!J380"")"),0)</f>
        <v>0</v>
      </c>
      <c r="AK75" s="562">
        <f ca="1">IFERROR(__xludf.DUMMYFUNCTION("IMPORTRANGE(""https://docs.google.com/spreadsheets/d/1SX6NBoVAgQJ6U1MVXOaj8PK2l7WJ3RER9xtqwdhxkhw/edit?usp=sharing"",""อ่างทอง!J381"")"),0)</f>
        <v>0</v>
      </c>
      <c r="AL75" s="562">
        <f ca="1">IFERROR(__xludf.DUMMYFUNCTION("IMPORTRANGE(""https://docs.google.com/spreadsheets/d/1SX6NBoVAgQJ6U1MVXOaj8PK2l7WJ3RER9xtqwdhxkhw/edit?usp=sharing"",""อ่างทอง!J384"")"),0)</f>
        <v>0</v>
      </c>
      <c r="AM75" s="562">
        <f ca="1">IFERROR(__xludf.DUMMYFUNCTION("IMPORTRANGE(""https://docs.google.com/spreadsheets/d/1SX6NBoVAgQJ6U1MVXOaj8PK2l7WJ3RER9xtqwdhxkhw/edit?usp=sharing"",""อ่างทอง!J385"")"),0)</f>
        <v>0</v>
      </c>
      <c r="AN75" s="562">
        <f ca="1">IFERROR(__xludf.DUMMYFUNCTION("IMPORTRANGE(""https://docs.google.com/spreadsheets/d/1SX6NBoVAgQJ6U1MVXOaj8PK2l7WJ3RER9xtqwdhxkhw/edit?usp=sharing"",""อ่างทอง!J386"")"),0)</f>
        <v>0</v>
      </c>
      <c r="AO75" s="562">
        <f ca="1">IFERROR(__xludf.DUMMYFUNCTION("IMPORTRANGE(""https://docs.google.com/spreadsheets/d/1SX6NBoVAgQJ6U1MVXOaj8PK2l7WJ3RER9xtqwdhxkhw/edit?usp=sharing"",""อ่างทอง!J387"")"),0)</f>
        <v>0</v>
      </c>
      <c r="AP75" s="562">
        <f ca="1">IFERROR(__xludf.DUMMYFUNCTION("IMPORTRANGE(""https://docs.google.com/spreadsheets/d/1SX6NBoVAgQJ6U1MVXOaj8PK2l7WJ3RER9xtqwdhxkhw/edit?usp=sharing"",""อ่างทอง!J388"")"),0)</f>
        <v>0</v>
      </c>
      <c r="AQ75" s="562">
        <f ca="1">IFERROR(__xludf.DUMMYFUNCTION("IMPORTRANGE(""https://docs.google.com/spreadsheets/d/1SX6NBoVAgQJ6U1MVXOaj8PK2l7WJ3RER9xtqwdhxkhw/edit?usp=sharing"",""อ่างทอง!J389"")"),0)</f>
        <v>0</v>
      </c>
      <c r="AR75" s="562">
        <f ca="1">IFERROR(__xludf.DUMMYFUNCTION("IMPORTRANGE(""https://docs.google.com/spreadsheets/d/1SX6NBoVAgQJ6U1MVXOaj8PK2l7WJ3RER9xtqwdhxkhw/edit?usp=sharing"",""อ่างทอง!J390"")"),0)</f>
        <v>0</v>
      </c>
      <c r="AS75" s="562">
        <f ca="1">IFERROR(__xludf.DUMMYFUNCTION("IMPORTRANGE(""https://docs.google.com/spreadsheets/d/1SX6NBoVAgQJ6U1MVXOaj8PK2l7WJ3RER9xtqwdhxkhw/edit?usp=sharing"",""อ่างทอง!J391"")"),0)</f>
        <v>0</v>
      </c>
      <c r="AT75" s="566">
        <f ca="1">IFERROR(__xludf.DUMMYFUNCTION("IMPORTRANGE(""https://docs.google.com/spreadsheets/d/1C3CXT74ZlgGe6_JY_1olB1XN4rF0dxEuIIF-xsYjHgg/edit?usp=sharing"",""งบกองทุน!CD79"")"),0)</f>
        <v>0</v>
      </c>
      <c r="AU75" s="566">
        <f ca="1">IFERROR(__xludf.DUMMYFUNCTION("IMPORTRANGE(""https://docs.google.com/spreadsheets/d/1C3CXT74ZlgGe6_JY_1olB1XN4rF0dxEuIIF-xsYjHgg/edit?usp=sharing"",""งบกองทุน!CC79"")"),0)</f>
        <v>0</v>
      </c>
      <c r="AV75" s="566">
        <f t="shared" ca="1" si="112"/>
        <v>0</v>
      </c>
      <c r="AW75" s="566">
        <f t="shared" ca="1" si="12"/>
        <v>0</v>
      </c>
      <c r="AX75" s="566">
        <f t="shared" ca="1" si="113"/>
        <v>0</v>
      </c>
      <c r="AY75" s="566">
        <f t="shared" ca="1" si="13"/>
        <v>0</v>
      </c>
      <c r="AZ75" s="562">
        <f ca="1">IFERROR(__xludf.DUMMYFUNCTION("IMPORTRANGE(""https://docs.google.com/spreadsheets/d/1SX6NBoVAgQJ6U1MVXOaj8PK2l7WJ3RER9xtqwdhxkhw/edit?usp=sharing"",""อ่างทอง!J397"")"),0)</f>
        <v>0</v>
      </c>
      <c r="BA75" s="562">
        <f ca="1">IFERROR(__xludf.DUMMYFUNCTION("IMPORTRANGE(""https://docs.google.com/spreadsheets/d/1SX6NBoVAgQJ6U1MVXOaj8PK2l7WJ3RER9xtqwdhxkhw/edit?usp=sharing"",""อ่างทอง!J398"")"),0)</f>
        <v>0</v>
      </c>
      <c r="BB75" s="562">
        <f ca="1">IFERROR(__xludf.DUMMYFUNCTION("IMPORTRANGE(""https://docs.google.com/spreadsheets/d/1SX6NBoVAgQJ6U1MVXOaj8PK2l7WJ3RER9xtqwdhxkhw/edit?usp=sharing"",""อ่างทอง!J399"")"),0)</f>
        <v>0</v>
      </c>
      <c r="BC75" s="562">
        <f ca="1">IFERROR(__xludf.DUMMYFUNCTION("IMPORTRANGE(""https://docs.google.com/spreadsheets/d/1SX6NBoVAgQJ6U1MVXOaj8PK2l7WJ3RER9xtqwdhxkhw/edit?usp=sharing"",""อ่างทอง!J400"")"),0)</f>
        <v>0</v>
      </c>
      <c r="BD75" s="562">
        <f ca="1">IFERROR(__xludf.DUMMYFUNCTION("IMPORTRANGE(""https://docs.google.com/spreadsheets/d/1SX6NBoVAgQJ6U1MVXOaj8PK2l7WJ3RER9xtqwdhxkhw/edit?usp=sharing"",""อ่างทอง!J401"")"),0)</f>
        <v>0</v>
      </c>
      <c r="BE75" s="562">
        <f ca="1">IFERROR(__xludf.DUMMYFUNCTION("IMPORTRANGE(""https://docs.google.com/spreadsheets/d/1SX6NBoVAgQJ6U1MVXOaj8PK2l7WJ3RER9xtqwdhxkhw/edit?usp=sharing"",""อ่างทอง!J402"")"),0)</f>
        <v>0</v>
      </c>
      <c r="BF75" s="562">
        <f ca="1">IFERROR(__xludf.DUMMYFUNCTION("IMPORTRANGE(""https://docs.google.com/spreadsheets/d/1SX6NBoVAgQJ6U1MVXOaj8PK2l7WJ3RER9xtqwdhxkhw/edit?usp=sharing"",""อ่างทอง!J405"")"),0)</f>
        <v>0</v>
      </c>
      <c r="BG75" s="562">
        <f ca="1">IFERROR(__xludf.DUMMYFUNCTION("IMPORTRANGE(""https://docs.google.com/spreadsheets/d/1SX6NBoVAgQJ6U1MVXOaj8PK2l7WJ3RER9xtqwdhxkhw/edit?usp=sharing"",""อ่างทอง!J406"")"),0)</f>
        <v>0</v>
      </c>
      <c r="BH75" s="562">
        <f ca="1">IFERROR(__xludf.DUMMYFUNCTION("IMPORTRANGE(""https://docs.google.com/spreadsheets/d/1SX6NBoVAgQJ6U1MVXOaj8PK2l7WJ3RER9xtqwdhxkhw/edit?usp=sharing"",""อ่างทอง!J407"")"),0)</f>
        <v>0</v>
      </c>
      <c r="BI75" s="562">
        <f ca="1">IFERROR(__xludf.DUMMYFUNCTION("IMPORTRANGE(""https://docs.google.com/spreadsheets/d/1SX6NBoVAgQJ6U1MVXOaj8PK2l7WJ3RER9xtqwdhxkhw/edit?usp=sharing"",""อ่างทอง!J408"")"),0)</f>
        <v>0</v>
      </c>
      <c r="BJ75" s="562">
        <f ca="1">IFERROR(__xludf.DUMMYFUNCTION("IMPORTRANGE(""https://docs.google.com/spreadsheets/d/1SX6NBoVAgQJ6U1MVXOaj8PK2l7WJ3RER9xtqwdhxkhw/edit?usp=sharing"",""อ่างทอง!J409"")"),0)</f>
        <v>0</v>
      </c>
      <c r="BK75" s="562">
        <f ca="1">IFERROR(__xludf.DUMMYFUNCTION("IMPORTRANGE(""https://docs.google.com/spreadsheets/d/1SX6NBoVAgQJ6U1MVXOaj8PK2l7WJ3RER9xtqwdhxkhw/edit?usp=sharing"",""อ่างทอง!J410"")"),0)</f>
        <v>0</v>
      </c>
      <c r="BL75" s="566">
        <f ca="1">IFERROR(__xludf.DUMMYFUNCTION("IMPORTRANGE(""https://docs.google.com/spreadsheets/d/1C3CXT74ZlgGe6_JY_1olB1XN4rF0dxEuIIF-xsYjHgg/edit?usp=sharing"",""งบกองทุน!CZ79"")"),0)</f>
        <v>0</v>
      </c>
      <c r="BM75" s="566">
        <f ca="1">IFERROR(__xludf.DUMMYFUNCTION("IMPORTRANGE(""https://docs.google.com/spreadsheets/d/1C3CXT74ZlgGe6_JY_1olB1XN4rF0dxEuIIF-xsYjHgg/edit?usp=sharing"",""งบกองทุน!CY79"")"),0)</f>
        <v>0</v>
      </c>
      <c r="BN75" s="566">
        <f t="shared" ca="1" si="114"/>
        <v>0</v>
      </c>
      <c r="BO75" s="567">
        <f t="shared" ca="1" si="15"/>
        <v>0</v>
      </c>
      <c r="BP75" s="566">
        <f t="shared" ca="1" si="115"/>
        <v>0</v>
      </c>
      <c r="BQ75" s="567">
        <f t="shared" ca="1" si="16"/>
        <v>0</v>
      </c>
      <c r="BR75" s="562">
        <f ca="1">IFERROR(__xludf.DUMMYFUNCTION("IMPORTRANGE(""https://docs.google.com/spreadsheets/d/1SX6NBoVAgQJ6U1MVXOaj8PK2l7WJ3RER9xtqwdhxkhw/edit?usp=sharing"",""อ่างทอง!J414"")"),0)</f>
        <v>0</v>
      </c>
      <c r="BS75" s="562">
        <f ca="1">IFERROR(__xludf.DUMMYFUNCTION("IMPORTRANGE(""https://docs.google.com/spreadsheets/d/1SX6NBoVAgQJ6U1MVXOaj8PK2l7WJ3RER9xtqwdhxkhw/edit?usp=sharing"",""อ่างทอง!J415"")"),0)</f>
        <v>0</v>
      </c>
      <c r="BT75" s="562">
        <f ca="1">IFERROR(__xludf.DUMMYFUNCTION("IMPORTRANGE(""https://docs.google.com/spreadsheets/d/1SX6NBoVAgQJ6U1MVXOaj8PK2l7WJ3RER9xtqwdhxkhw/edit?usp=sharing"",""อ่างทอง!J416"")"),0)</f>
        <v>0</v>
      </c>
      <c r="BU75" s="562">
        <f ca="1">IFERROR(__xludf.DUMMYFUNCTION("IMPORTRANGE(""https://docs.google.com/spreadsheets/d/1SX6NBoVAgQJ6U1MVXOaj8PK2l7WJ3RER9xtqwdhxkhw/edit?usp=sharing"",""อ่างทอง!J417"")"),0)</f>
        <v>0</v>
      </c>
      <c r="BV75" s="562">
        <f ca="1">IFERROR(__xludf.DUMMYFUNCTION("IMPORTRANGE(""https://docs.google.com/spreadsheets/d/1SX6NBoVAgQJ6U1MVXOaj8PK2l7WJ3RER9xtqwdhxkhw/edit?usp=sharing"",""อ่างทอง!J418"")"),0)</f>
        <v>0</v>
      </c>
      <c r="BW75" s="562">
        <f ca="1">IFERROR(__xludf.DUMMYFUNCTION("IMPORTRANGE(""https://docs.google.com/spreadsheets/d/1SX6NBoVAgQJ6U1MVXOaj8PK2l7WJ3RER9xtqwdhxkhw/edit?usp=sharing"",""อ่างทอง!J419"")"),0)</f>
        <v>0</v>
      </c>
      <c r="BX75" s="566">
        <f t="shared" ca="1" si="116"/>
        <v>0</v>
      </c>
      <c r="BY75" s="567">
        <f t="shared" ca="1" si="117"/>
        <v>0</v>
      </c>
      <c r="BZ75" s="566">
        <f t="shared" ca="1" si="118"/>
        <v>0</v>
      </c>
      <c r="CA75" s="567">
        <f t="shared" ca="1" si="119"/>
        <v>0</v>
      </c>
      <c r="CB75" s="562">
        <f ca="1">IFERROR(__xludf.DUMMYFUNCTION("IMPORTRANGE(""https://docs.google.com/spreadsheets/d/1SX6NBoVAgQJ6U1MVXOaj8PK2l7WJ3RER9xtqwdhxkhw/edit?usp=sharing"",""อ่างทอง!J422"")"),0)</f>
        <v>0</v>
      </c>
      <c r="CC75" s="562">
        <f ca="1">IFERROR(__xludf.DUMMYFUNCTION("IMPORTRANGE(""https://docs.google.com/spreadsheets/d/1SX6NBoVAgQJ6U1MVXOaj8PK2l7WJ3RER9xtqwdhxkhw/edit?usp=sharing"",""อ่างทอง!J423"")"),0)</f>
        <v>0</v>
      </c>
      <c r="CD75" s="562">
        <f ca="1">IFERROR(__xludf.DUMMYFUNCTION("IMPORTRANGE(""https://docs.google.com/spreadsheets/d/1SX6NBoVAgQJ6U1MVXOaj8PK2l7WJ3RER9xtqwdhxkhw/edit?usp=sharing"",""อ่างทอง!J424"")"),0)</f>
        <v>0</v>
      </c>
      <c r="CE75" s="562">
        <f ca="1">IFERROR(__xludf.DUMMYFUNCTION("IMPORTRANGE(""https://docs.google.com/spreadsheets/d/1SX6NBoVAgQJ6U1MVXOaj8PK2l7WJ3RER9xtqwdhxkhw/edit?usp=sharing"",""อ่างทอง!J425"")"),0)</f>
        <v>0</v>
      </c>
      <c r="CF75" s="562">
        <f ca="1">IFERROR(__xludf.DUMMYFUNCTION("IMPORTRANGE(""https://docs.google.com/spreadsheets/d/1SX6NBoVAgQJ6U1MVXOaj8PK2l7WJ3RER9xtqwdhxkhw/edit?usp=sharing"",""อ่างทอง!J426"")"),0)</f>
        <v>0</v>
      </c>
      <c r="CG75" s="568">
        <f ca="1">IFERROR(__xludf.DUMMYFUNCTION("IMPORTRANGE(""https://docs.google.com/spreadsheets/d/1SX6NBoVAgQJ6U1MVXOaj8PK2l7WJ3RER9xtqwdhxkhw/edit?usp=sharing"",""อ่างทอง!J427"")"),0)</f>
        <v>0</v>
      </c>
    </row>
    <row r="76" spans="1:85" ht="21" customHeight="1">
      <c r="A76" s="845" t="s">
        <v>100</v>
      </c>
      <c r="B76" s="652"/>
      <c r="C76" s="536">
        <f t="shared" ref="C76:F76" ca="1" si="120">SUM(C77:C90)</f>
        <v>4025062</v>
      </c>
      <c r="D76" s="520">
        <f t="shared" ca="1" si="120"/>
        <v>0</v>
      </c>
      <c r="E76" s="537">
        <f t="shared" ca="1" si="120"/>
        <v>4025062</v>
      </c>
      <c r="F76" s="521">
        <f t="shared" ca="1" si="120"/>
        <v>890839.29999999993</v>
      </c>
      <c r="G76" s="521">
        <f t="shared" ca="1" si="1"/>
        <v>22.13231249605596</v>
      </c>
      <c r="H76" s="520">
        <f t="shared" ref="H76:J76" ca="1" si="121">SUM(H77:H90)</f>
        <v>514474</v>
      </c>
      <c r="I76" s="520">
        <f t="shared" ca="1" si="121"/>
        <v>51591</v>
      </c>
      <c r="J76" s="520">
        <f t="shared" ca="1" si="121"/>
        <v>514481.41000000003</v>
      </c>
      <c r="K76" s="521">
        <f t="shared" ca="1" si="3"/>
        <v>100.00144030602129</v>
      </c>
      <c r="L76" s="520">
        <f ca="1">SUM(L77:L90)</f>
        <v>51590</v>
      </c>
      <c r="M76" s="521">
        <f t="shared" ca="1" si="4"/>
        <v>99.99806167742436</v>
      </c>
      <c r="N76" s="520">
        <f t="shared" ref="N76:T76" ca="1" si="122">SUM(N77:N90)</f>
        <v>451194.12</v>
      </c>
      <c r="O76" s="520">
        <f t="shared" ca="1" si="122"/>
        <v>46175</v>
      </c>
      <c r="P76" s="520">
        <f t="shared" ca="1" si="122"/>
        <v>55646.1</v>
      </c>
      <c r="Q76" s="520">
        <f t="shared" ca="1" si="122"/>
        <v>4665</v>
      </c>
      <c r="R76" s="520">
        <f t="shared" ca="1" si="122"/>
        <v>7641.1900000000005</v>
      </c>
      <c r="S76" s="520">
        <f t="shared" ca="1" si="122"/>
        <v>750</v>
      </c>
      <c r="T76" s="520">
        <f t="shared" ca="1" si="122"/>
        <v>406391.67</v>
      </c>
      <c r="U76" s="520">
        <f t="shared" ca="1" si="6"/>
        <v>78.99168276725355</v>
      </c>
      <c r="V76" s="520">
        <f ca="1">SUM(V77:V90)</f>
        <v>40948</v>
      </c>
      <c r="W76" s="520">
        <f t="shared" ca="1" si="7"/>
        <v>79.370432827431145</v>
      </c>
      <c r="X76" s="520">
        <f t="shared" ref="X76:AD76" ca="1" si="123">SUM(X77:X90)</f>
        <v>386937.38</v>
      </c>
      <c r="Y76" s="520">
        <f t="shared" ca="1" si="123"/>
        <v>39164</v>
      </c>
      <c r="Z76" s="520">
        <f t="shared" ca="1" si="123"/>
        <v>13424</v>
      </c>
      <c r="AA76" s="520">
        <f t="shared" ca="1" si="123"/>
        <v>1181</v>
      </c>
      <c r="AB76" s="520">
        <f t="shared" ca="1" si="123"/>
        <v>6030.29</v>
      </c>
      <c r="AC76" s="520">
        <f t="shared" ca="1" si="123"/>
        <v>603</v>
      </c>
      <c r="AD76" s="520">
        <f t="shared" ca="1" si="123"/>
        <v>299780.08</v>
      </c>
      <c r="AE76" s="521">
        <f t="shared" ca="1" si="9"/>
        <v>58.26923809560833</v>
      </c>
      <c r="AF76" s="520">
        <f ca="1">SUM(AF77:AF90)</f>
        <v>28486</v>
      </c>
      <c r="AG76" s="521">
        <f t="shared" ca="1" si="10"/>
        <v>55.215056889767595</v>
      </c>
      <c r="AH76" s="520">
        <f t="shared" ref="AH76:AV76" ca="1" si="124">SUM(AH77:AH90)</f>
        <v>268127.66000000003</v>
      </c>
      <c r="AI76" s="520">
        <f t="shared" ca="1" si="124"/>
        <v>25999</v>
      </c>
      <c r="AJ76" s="520">
        <f t="shared" ca="1" si="124"/>
        <v>28860</v>
      </c>
      <c r="AK76" s="520">
        <f t="shared" ca="1" si="124"/>
        <v>2185</v>
      </c>
      <c r="AL76" s="520">
        <f t="shared" ca="1" si="124"/>
        <v>2731.42</v>
      </c>
      <c r="AM76" s="520">
        <f t="shared" ca="1" si="124"/>
        <v>296</v>
      </c>
      <c r="AN76" s="520">
        <f t="shared" ca="1" si="124"/>
        <v>61</v>
      </c>
      <c r="AO76" s="520">
        <f t="shared" ca="1" si="124"/>
        <v>6</v>
      </c>
      <c r="AP76" s="520">
        <f t="shared" ca="1" si="124"/>
        <v>0</v>
      </c>
      <c r="AQ76" s="520">
        <f t="shared" ca="1" si="124"/>
        <v>0</v>
      </c>
      <c r="AR76" s="520">
        <f t="shared" ca="1" si="124"/>
        <v>2.11</v>
      </c>
      <c r="AS76" s="520">
        <f t="shared" ca="1" si="124"/>
        <v>1</v>
      </c>
      <c r="AT76" s="520">
        <f t="shared" ca="1" si="124"/>
        <v>9523</v>
      </c>
      <c r="AU76" s="520">
        <f t="shared" ca="1" si="124"/>
        <v>935</v>
      </c>
      <c r="AV76" s="520">
        <f t="shared" ca="1" si="124"/>
        <v>1469.1100000000001</v>
      </c>
      <c r="AW76" s="520">
        <f t="shared" ca="1" si="12"/>
        <v>15.426966292134832</v>
      </c>
      <c r="AX76" s="520">
        <f ca="1">SUM(AX77:AX90)</f>
        <v>172</v>
      </c>
      <c r="AY76" s="520">
        <f t="shared" ca="1" si="13"/>
        <v>18.395721925133689</v>
      </c>
      <c r="AZ76" s="520">
        <f t="shared" ref="AZ76:BN76" ca="1" si="125">SUM(AZ77:AZ90)</f>
        <v>1235.55</v>
      </c>
      <c r="BA76" s="520">
        <f t="shared" ca="1" si="125"/>
        <v>136</v>
      </c>
      <c r="BB76" s="520">
        <f t="shared" ca="1" si="125"/>
        <v>188.67</v>
      </c>
      <c r="BC76" s="520">
        <f t="shared" ca="1" si="125"/>
        <v>27</v>
      </c>
      <c r="BD76" s="520">
        <f t="shared" ca="1" si="125"/>
        <v>0</v>
      </c>
      <c r="BE76" s="520">
        <f t="shared" ca="1" si="125"/>
        <v>0</v>
      </c>
      <c r="BF76" s="520">
        <f t="shared" ca="1" si="125"/>
        <v>30</v>
      </c>
      <c r="BG76" s="520">
        <f t="shared" ca="1" si="125"/>
        <v>8</v>
      </c>
      <c r="BH76" s="520">
        <f t="shared" ca="1" si="125"/>
        <v>14.89</v>
      </c>
      <c r="BI76" s="520">
        <f t="shared" ca="1" si="125"/>
        <v>1</v>
      </c>
      <c r="BJ76" s="520">
        <f t="shared" ca="1" si="125"/>
        <v>0</v>
      </c>
      <c r="BK76" s="520">
        <f t="shared" ca="1" si="125"/>
        <v>0</v>
      </c>
      <c r="BL76" s="520">
        <f t="shared" ca="1" si="125"/>
        <v>0</v>
      </c>
      <c r="BM76" s="520">
        <f t="shared" ca="1" si="125"/>
        <v>0</v>
      </c>
      <c r="BN76" s="520">
        <f t="shared" ca="1" si="125"/>
        <v>0</v>
      </c>
      <c r="BO76" s="521">
        <f t="shared" ca="1" si="15"/>
        <v>0</v>
      </c>
      <c r="BP76" s="520">
        <f ca="1">SUM(BP77:BP90)</f>
        <v>0</v>
      </c>
      <c r="BQ76" s="521">
        <f t="shared" ca="1" si="16"/>
        <v>0</v>
      </c>
      <c r="BR76" s="520">
        <f t="shared" ref="BR76:BY76" ca="1" si="126">SUM(BR77:BR90)</f>
        <v>0</v>
      </c>
      <c r="BS76" s="520">
        <f t="shared" ca="1" si="126"/>
        <v>0</v>
      </c>
      <c r="BT76" s="520">
        <f t="shared" ca="1" si="126"/>
        <v>0</v>
      </c>
      <c r="BU76" s="520">
        <f t="shared" ca="1" si="126"/>
        <v>0</v>
      </c>
      <c r="BV76" s="520">
        <f t="shared" ca="1" si="126"/>
        <v>358</v>
      </c>
      <c r="BW76" s="520">
        <f t="shared" ca="1" si="126"/>
        <v>39</v>
      </c>
      <c r="BX76" s="520">
        <f t="shared" ca="1" si="126"/>
        <v>225</v>
      </c>
      <c r="BY76" s="521">
        <f t="shared" ca="1" si="126"/>
        <v>78.125</v>
      </c>
      <c r="BZ76" s="520"/>
      <c r="CA76" s="521"/>
      <c r="CB76" s="520">
        <f t="shared" ref="CB76:CG76" ca="1" si="127">SUM(CB77:CB90)</f>
        <v>0</v>
      </c>
      <c r="CC76" s="520">
        <f t="shared" ca="1" si="127"/>
        <v>0</v>
      </c>
      <c r="CD76" s="520">
        <f t="shared" ca="1" si="127"/>
        <v>0</v>
      </c>
      <c r="CE76" s="520">
        <f t="shared" ca="1" si="127"/>
        <v>0</v>
      </c>
      <c r="CF76" s="520">
        <f t="shared" ca="1" si="127"/>
        <v>225</v>
      </c>
      <c r="CG76" s="538">
        <f t="shared" ca="1" si="127"/>
        <v>18</v>
      </c>
    </row>
    <row r="77" spans="1:85" ht="21" customHeight="1">
      <c r="A77" s="539">
        <v>1</v>
      </c>
      <c r="B77" s="540" t="s">
        <v>101</v>
      </c>
      <c r="C77" s="541">
        <f t="shared" ref="C77:C90" ca="1" si="128">+D77+E77</f>
        <v>519283</v>
      </c>
      <c r="D77" s="542">
        <f ca="1">IFERROR(__xludf.DUMMYFUNCTION("IMPORTRANGE(""https://docs.google.com/spreadsheets/d/1C3CXT74ZlgGe6_JY_1olB1XN4rF0dxEuIIF-xsYjHgg/edit?usp=sharing"",""งบกองทุน!BC81"")"),0)</f>
        <v>0</v>
      </c>
      <c r="E77" s="543">
        <f ca="1">IFERROR(__xludf.DUMMYFUNCTION("IMPORTRANGE(""https://docs.google.com/spreadsheets/d/1C3CXT74ZlgGe6_JY_1olB1XN4rF0dxEuIIF-xsYjHgg/edit?usp=sharing"",""งบกองทุน!BD81"")"),519283)</f>
        <v>519283</v>
      </c>
      <c r="F77" s="544">
        <f ca="1">IFERROR(__xludf.DUMMYFUNCTION("IMPORTRANGE(""https://docs.google.com/spreadsheets/d/1IYY_tgx_IHuhSq3AJ5eI5OnqOPBNLWSHKh2a30DoXe8/edit?usp=sharing"",""กระบี่!M352"")"),142869.36)</f>
        <v>142869.35999999999</v>
      </c>
      <c r="G77" s="544">
        <f t="shared" ca="1" si="1"/>
        <v>27.512812859269413</v>
      </c>
      <c r="H77" s="545">
        <f ca="1">IFERROR(__xludf.DUMMYFUNCTION("IMPORTRANGE(""https://docs.google.com/spreadsheets/d/1C3CXT74ZlgGe6_JY_1olB1XN4rF0dxEuIIF-xsYjHgg/edit?usp=sharing"",""งบกองทุน!BE81"")"),66369)</f>
        <v>66369</v>
      </c>
      <c r="I77" s="545">
        <f ca="1">IFERROR(__xludf.DUMMYFUNCTION("IMPORTRANGE(""https://docs.google.com/spreadsheets/d/1C3CXT74ZlgGe6_JY_1olB1XN4rF0dxEuIIF-xsYjHgg/edit?usp=sharing"",""งบกองทุน!BF81"")"),4051)</f>
        <v>4051</v>
      </c>
      <c r="J77" s="542">
        <f t="shared" ref="J77:J90" ca="1" si="129">SUM(N77,P77,R77)</f>
        <v>66370</v>
      </c>
      <c r="K77" s="544">
        <f t="shared" ca="1" si="3"/>
        <v>100.00150672753846</v>
      </c>
      <c r="L77" s="542">
        <f t="shared" ref="L77:L90" ca="1" si="130">SUM(O77,Q77,S77)</f>
        <v>4051</v>
      </c>
      <c r="M77" s="544">
        <f t="shared" ca="1" si="4"/>
        <v>100</v>
      </c>
      <c r="N77" s="542">
        <f ca="1">IFERROR(__xludf.DUMMYFUNCTION("IMPORTRANGE(""https://docs.google.com/spreadsheets/d/1IYY_tgx_IHuhSq3AJ5eI5OnqOPBNLWSHKh2a30DoXe8/edit?usp=sharing"",""กระบี่!J362"")"),59840)</f>
        <v>59840</v>
      </c>
      <c r="O77" s="542">
        <f ca="1">IFERROR(__xludf.DUMMYFUNCTION("IMPORTRANGE(""https://docs.google.com/spreadsheets/d/1IYY_tgx_IHuhSq3AJ5eI5OnqOPBNLWSHKh2a30DoXe8/edit?usp=sharing"",""กระบี่!J363"")"),3657)</f>
        <v>3657</v>
      </c>
      <c r="P77" s="542">
        <f ca="1">IFERROR(__xludf.DUMMYFUNCTION("IMPORTRANGE(""https://docs.google.com/spreadsheets/d/1IYY_tgx_IHuhSq3AJ5eI5OnqOPBNLWSHKh2a30DoXe8/edit?usp=sharing"",""กระบี่!J364"")"),6036)</f>
        <v>6036</v>
      </c>
      <c r="Q77" s="542">
        <f ca="1">IFERROR(__xludf.DUMMYFUNCTION("IMPORTRANGE(""https://docs.google.com/spreadsheets/d/1IYY_tgx_IHuhSq3AJ5eI5OnqOPBNLWSHKh2a30DoXe8/edit?usp=sharing"",""กระบี่!J365"")"),361)</f>
        <v>361</v>
      </c>
      <c r="R77" s="542">
        <f ca="1">IFERROR(__xludf.DUMMYFUNCTION("IMPORTRANGE(""https://docs.google.com/spreadsheets/d/1IYY_tgx_IHuhSq3AJ5eI5OnqOPBNLWSHKh2a30DoXe8/edit?usp=sharing"",""กระบี่!J366"")"),494)</f>
        <v>494</v>
      </c>
      <c r="S77" s="542">
        <f ca="1">IFERROR(__xludf.DUMMYFUNCTION("IMPORTRANGE(""https://docs.google.com/spreadsheets/d/1IYY_tgx_IHuhSq3AJ5eI5OnqOPBNLWSHKh2a30DoXe8/edit?usp=sharing"",""กระบี่!J367"")"),33)</f>
        <v>33</v>
      </c>
      <c r="T77" s="542">
        <f t="shared" ref="T77:T90" ca="1" si="131">SUM(X77,Z77,AB77)</f>
        <v>66369</v>
      </c>
      <c r="U77" s="542">
        <f t="shared" ca="1" si="6"/>
        <v>100</v>
      </c>
      <c r="V77" s="542">
        <f t="shared" ref="V77:V90" ca="1" si="132">SUM(Y77,AA77,AC77)</f>
        <v>4051</v>
      </c>
      <c r="W77" s="542">
        <f t="shared" ca="1" si="7"/>
        <v>100</v>
      </c>
      <c r="X77" s="542">
        <f ca="1">IFERROR(__xludf.DUMMYFUNCTION("IMPORTRANGE(""https://docs.google.com/spreadsheets/d/1IYY_tgx_IHuhSq3AJ5eI5OnqOPBNLWSHKh2a30DoXe8/edit?usp=sharing"",""กระบี่!J370"")"),60503)</f>
        <v>60503</v>
      </c>
      <c r="Y77" s="542">
        <f ca="1">IFERROR(__xludf.DUMMYFUNCTION("IMPORTRANGE(""https://docs.google.com/spreadsheets/d/1IYY_tgx_IHuhSq3AJ5eI5OnqOPBNLWSHKh2a30DoXe8/edit?usp=sharing"",""กระบี่!J371"")"),3706)</f>
        <v>3706</v>
      </c>
      <c r="Z77" s="542">
        <f ca="1">IFERROR(__xludf.DUMMYFUNCTION("IMPORTRANGE(""https://docs.google.com/spreadsheets/d/1IYY_tgx_IHuhSq3AJ5eI5OnqOPBNLWSHKh2a30DoXe8/edit?usp=sharing"",""กระบี่!J372"")"),5309)</f>
        <v>5309</v>
      </c>
      <c r="AA77" s="542">
        <f ca="1">IFERROR(__xludf.DUMMYFUNCTION("IMPORTRANGE(""https://docs.google.com/spreadsheets/d/1IYY_tgx_IHuhSq3AJ5eI5OnqOPBNLWSHKh2a30DoXe8/edit?usp=sharing"",""กระบี่!J373"")"),303)</f>
        <v>303</v>
      </c>
      <c r="AB77" s="542">
        <f ca="1">IFERROR(__xludf.DUMMYFUNCTION("IMPORTRANGE(""https://docs.google.com/spreadsheets/d/1IYY_tgx_IHuhSq3AJ5eI5OnqOPBNLWSHKh2a30DoXe8/edit?usp=sharing"",""กระบี่!J374"")"),557)</f>
        <v>557</v>
      </c>
      <c r="AC77" s="542">
        <f ca="1">IFERROR(__xludf.DUMMYFUNCTION("IMPORTRANGE(""https://docs.google.com/spreadsheets/d/1IYY_tgx_IHuhSq3AJ5eI5OnqOPBNLWSHKh2a30DoXe8/edit?usp=sharing"",""กระบี่!J375"")"),42)</f>
        <v>42</v>
      </c>
      <c r="AD77" s="542">
        <f t="shared" ref="AD77:AD90" ca="1" si="133">SUM(AH77,AJ77,AL77,AN77,AP77)</f>
        <v>61026</v>
      </c>
      <c r="AE77" s="544">
        <f t="shared" ca="1" si="9"/>
        <v>91.949554762012383</v>
      </c>
      <c r="AF77" s="542">
        <f t="shared" ref="AF77:AF90" ca="1" si="134">SUM(AI77,AK77,AM77,AO77,AQ77)</f>
        <v>3746</v>
      </c>
      <c r="AG77" s="544">
        <f t="shared" ca="1" si="10"/>
        <v>92.470994816094787</v>
      </c>
      <c r="AH77" s="542">
        <f ca="1">IFERROR(__xludf.DUMMYFUNCTION("IMPORTRANGE(""https://docs.google.com/spreadsheets/d/1IYY_tgx_IHuhSq3AJ5eI5OnqOPBNLWSHKh2a30DoXe8/edit?usp=sharing"",""กระบี่!J378"")"),60503)</f>
        <v>60503</v>
      </c>
      <c r="AI77" s="542">
        <f ca="1">IFERROR(__xludf.DUMMYFUNCTION("IMPORTRANGE(""https://docs.google.com/spreadsheets/d/1IYY_tgx_IHuhSq3AJ5eI5OnqOPBNLWSHKh2a30DoXe8/edit?usp=sharing"",""กระบี่!J379"")"),3706)</f>
        <v>3706</v>
      </c>
      <c r="AJ77" s="542">
        <f ca="1">IFERROR(__xludf.DUMMYFUNCTION("IMPORTRANGE(""https://docs.google.com/spreadsheets/d/1IYY_tgx_IHuhSq3AJ5eI5OnqOPBNLWSHKh2a30DoXe8/edit?usp=sharing"",""กระบี่!J380"")"),0)</f>
        <v>0</v>
      </c>
      <c r="AK77" s="542">
        <f ca="1">IFERROR(__xludf.DUMMYFUNCTION("IMPORTRANGE(""https://docs.google.com/spreadsheets/d/1IYY_tgx_IHuhSq3AJ5eI5OnqOPBNLWSHKh2a30DoXe8/edit?usp=sharing"",""กระบี่!J381"")"),0)</f>
        <v>0</v>
      </c>
      <c r="AL77" s="542">
        <f ca="1">IFERROR(__xludf.DUMMYFUNCTION("IMPORTRANGE(""https://docs.google.com/spreadsheets/d/1IYY_tgx_IHuhSq3AJ5eI5OnqOPBNLWSHKh2a30DoXe8/edit?usp=sharing"",""กระบี่!J384"")"),523)</f>
        <v>523</v>
      </c>
      <c r="AM77" s="542">
        <f ca="1">IFERROR(__xludf.DUMMYFUNCTION("IMPORTRANGE(""https://docs.google.com/spreadsheets/d/1IYY_tgx_IHuhSq3AJ5eI5OnqOPBNLWSHKh2a30DoXe8/edit?usp=sharing"",""กระบี่!J385"")"),40)</f>
        <v>40</v>
      </c>
      <c r="AN77" s="542">
        <f ca="1">IFERROR(__xludf.DUMMYFUNCTION("IMPORTRANGE(""https://docs.google.com/spreadsheets/d/1IYY_tgx_IHuhSq3AJ5eI5OnqOPBNLWSHKh2a30DoXe8/edit?usp=sharing"",""กระบี่!J386"")"),0)</f>
        <v>0</v>
      </c>
      <c r="AO77" s="542">
        <f ca="1">IFERROR(__xludf.DUMMYFUNCTION("IMPORTRANGE(""https://docs.google.com/spreadsheets/d/1IYY_tgx_IHuhSq3AJ5eI5OnqOPBNLWSHKh2a30DoXe8/edit?usp=sharing"",""กระบี่!J387"")"),0)</f>
        <v>0</v>
      </c>
      <c r="AP77" s="542">
        <f ca="1">IFERROR(__xludf.DUMMYFUNCTION("IMPORTRANGE(""https://docs.google.com/spreadsheets/d/1IYY_tgx_IHuhSq3AJ5eI5OnqOPBNLWSHKh2a30DoXe8/edit?usp=sharing"",""กระบี่!J388"")"),0)</f>
        <v>0</v>
      </c>
      <c r="AQ77" s="542">
        <f ca="1">IFERROR(__xludf.DUMMYFUNCTION("IMPORTRANGE(""https://docs.google.com/spreadsheets/d/1IYY_tgx_IHuhSq3AJ5eI5OnqOPBNLWSHKh2a30DoXe8/edit?usp=sharing"",""กระบี่!J389"")"),0)</f>
        <v>0</v>
      </c>
      <c r="AR77" s="542">
        <f ca="1">IFERROR(__xludf.DUMMYFUNCTION("IMPORTRANGE(""https://docs.google.com/spreadsheets/d/1IYY_tgx_IHuhSq3AJ5eI5OnqOPBNLWSHKh2a30DoXe8/edit?usp=sharing"",""กระบี่!J390"")"),0)</f>
        <v>0</v>
      </c>
      <c r="AS77" s="542">
        <f ca="1">IFERROR(__xludf.DUMMYFUNCTION("IMPORTRANGE(""https://docs.google.com/spreadsheets/d/1IYY_tgx_IHuhSq3AJ5eI5OnqOPBNLWSHKh2a30DoXe8/edit?usp=sharing"",""กระบี่!J391"")"),0)</f>
        <v>0</v>
      </c>
      <c r="AT77" s="546">
        <f ca="1">IFERROR(__xludf.DUMMYFUNCTION("IMPORTRANGE(""https://docs.google.com/spreadsheets/d/1C3CXT74ZlgGe6_JY_1olB1XN4rF0dxEuIIF-xsYjHgg/edit?usp=sharing"",""งบกองทุน!CD81"")"),497)</f>
        <v>497</v>
      </c>
      <c r="AU77" s="546">
        <f ca="1">IFERROR(__xludf.DUMMYFUNCTION("IMPORTRANGE(""https://docs.google.com/spreadsheets/d/1C3CXT74ZlgGe6_JY_1olB1XN4rF0dxEuIIF-xsYjHgg/edit?usp=sharing"",""งบกองทุน!CC81"")"),55)</f>
        <v>55</v>
      </c>
      <c r="AV77" s="546">
        <f t="shared" ref="AV77:AV90" ca="1" si="135">SUM(AZ77,BB77,BD77,BF77,BH77,BJ77)</f>
        <v>0</v>
      </c>
      <c r="AW77" s="546">
        <f t="shared" ca="1" si="12"/>
        <v>0</v>
      </c>
      <c r="AX77" s="546">
        <f t="shared" ref="AX77:AX90" ca="1" si="136">SUM(BA77,BC77,BE77,BG77,BI77,BK77)</f>
        <v>0</v>
      </c>
      <c r="AY77" s="546">
        <f t="shared" ca="1" si="13"/>
        <v>0</v>
      </c>
      <c r="AZ77" s="542">
        <f ca="1">IFERROR(__xludf.DUMMYFUNCTION("IMPORTRANGE(""https://docs.google.com/spreadsheets/d/1IYY_tgx_IHuhSq3AJ5eI5OnqOPBNLWSHKh2a30DoXe8/edit?usp=sharing"",""กระบี่!J397"")"),0)</f>
        <v>0</v>
      </c>
      <c r="BA77" s="542">
        <f ca="1">IFERROR(__xludf.DUMMYFUNCTION("IMPORTRANGE(""https://docs.google.com/spreadsheets/d/1IYY_tgx_IHuhSq3AJ5eI5OnqOPBNLWSHKh2a30DoXe8/edit?usp=sharing"",""กระบี่!J398"")"),0)</f>
        <v>0</v>
      </c>
      <c r="BB77" s="542">
        <f ca="1">IFERROR(__xludf.DUMMYFUNCTION("IMPORTRANGE(""https://docs.google.com/spreadsheets/d/1IYY_tgx_IHuhSq3AJ5eI5OnqOPBNLWSHKh2a30DoXe8/edit?usp=sharing"",""กระบี่!J399"")"),0)</f>
        <v>0</v>
      </c>
      <c r="BC77" s="542">
        <f ca="1">IFERROR(__xludf.DUMMYFUNCTION("IMPORTRANGE(""https://docs.google.com/spreadsheets/d/1IYY_tgx_IHuhSq3AJ5eI5OnqOPBNLWSHKh2a30DoXe8/edit?usp=sharing"",""กระบี่!J400"")"),0)</f>
        <v>0</v>
      </c>
      <c r="BD77" s="542">
        <f ca="1">IFERROR(__xludf.DUMMYFUNCTION("IMPORTRANGE(""https://docs.google.com/spreadsheets/d/1IYY_tgx_IHuhSq3AJ5eI5OnqOPBNLWSHKh2a30DoXe8/edit?usp=sharing"",""กระบี่!J401"")"),0)</f>
        <v>0</v>
      </c>
      <c r="BE77" s="542">
        <f ca="1">IFERROR(__xludf.DUMMYFUNCTION("IMPORTRANGE(""https://docs.google.com/spreadsheets/d/1IYY_tgx_IHuhSq3AJ5eI5OnqOPBNLWSHKh2a30DoXe8/edit?usp=sharing"",""กระบี่!J402"")"),0)</f>
        <v>0</v>
      </c>
      <c r="BF77" s="542">
        <f ca="1">IFERROR(__xludf.DUMMYFUNCTION("IMPORTRANGE(""https://docs.google.com/spreadsheets/d/1IYY_tgx_IHuhSq3AJ5eI5OnqOPBNLWSHKh2a30DoXe8/edit?usp=sharing"",""กระบี่!J405"")"),0)</f>
        <v>0</v>
      </c>
      <c r="BG77" s="542">
        <f ca="1">IFERROR(__xludf.DUMMYFUNCTION("IMPORTRANGE(""https://docs.google.com/spreadsheets/d/1IYY_tgx_IHuhSq3AJ5eI5OnqOPBNLWSHKh2a30DoXe8/edit?usp=sharing"",""กระบี่!J406"")"),0)</f>
        <v>0</v>
      </c>
      <c r="BH77" s="542">
        <f ca="1">IFERROR(__xludf.DUMMYFUNCTION("IMPORTRANGE(""https://docs.google.com/spreadsheets/d/1IYY_tgx_IHuhSq3AJ5eI5OnqOPBNLWSHKh2a30DoXe8/edit?usp=sharing"",""กระบี่!J407"")"),0)</f>
        <v>0</v>
      </c>
      <c r="BI77" s="542">
        <f ca="1">IFERROR(__xludf.DUMMYFUNCTION("IMPORTRANGE(""https://docs.google.com/spreadsheets/d/1IYY_tgx_IHuhSq3AJ5eI5OnqOPBNLWSHKh2a30DoXe8/edit?usp=sharing"",""กระบี่!J408"")"),0)</f>
        <v>0</v>
      </c>
      <c r="BJ77" s="542">
        <f ca="1">IFERROR(__xludf.DUMMYFUNCTION("IMPORTRANGE(""https://docs.google.com/spreadsheets/d/1IYY_tgx_IHuhSq3AJ5eI5OnqOPBNLWSHKh2a30DoXe8/edit?usp=sharing"",""กระบี่!J409"")"),0)</f>
        <v>0</v>
      </c>
      <c r="BK77" s="542">
        <f ca="1">IFERROR(__xludf.DUMMYFUNCTION("IMPORTRANGE(""https://docs.google.com/spreadsheets/d/1IYY_tgx_IHuhSq3AJ5eI5OnqOPBNLWSHKh2a30DoXe8/edit?usp=sharing"",""กระบี่!J410"")"),0)</f>
        <v>0</v>
      </c>
      <c r="BL77" s="546">
        <f ca="1">IFERROR(__xludf.DUMMYFUNCTION("IMPORTRANGE(""https://docs.google.com/spreadsheets/d/1C3CXT74ZlgGe6_JY_1olB1XN4rF0dxEuIIF-xsYjHgg/edit?usp=sharing"",""งบกองทุน!CZ81"")"),0)</f>
        <v>0</v>
      </c>
      <c r="BM77" s="546">
        <f ca="1">IFERROR(__xludf.DUMMYFUNCTION("IMPORTRANGE(""https://docs.google.com/spreadsheets/d/1C3CXT74ZlgGe6_JY_1olB1XN4rF0dxEuIIF-xsYjHgg/edit?usp=sharing"",""งบกองทุน!CY81"")"),0)</f>
        <v>0</v>
      </c>
      <c r="BN77" s="546">
        <f t="shared" ref="BN77:BN105" ca="1" si="137">SUM(BR77,BT77)</f>
        <v>0</v>
      </c>
      <c r="BO77" s="547">
        <f t="shared" ca="1" si="15"/>
        <v>0</v>
      </c>
      <c r="BP77" s="546">
        <f t="shared" ref="BP77:BP90" ca="1" si="138">SUM(BS77,BU77)</f>
        <v>0</v>
      </c>
      <c r="BQ77" s="547">
        <f t="shared" ca="1" si="16"/>
        <v>0</v>
      </c>
      <c r="BR77" s="542">
        <f ca="1">IFERROR(__xludf.DUMMYFUNCTION("IMPORTRANGE(""https://docs.google.com/spreadsheets/d/1IYY_tgx_IHuhSq3AJ5eI5OnqOPBNLWSHKh2a30DoXe8/edit?usp=sharing"",""กระบี่!J414"")"),0)</f>
        <v>0</v>
      </c>
      <c r="BS77" s="542">
        <f ca="1">IFERROR(__xludf.DUMMYFUNCTION("IMPORTRANGE(""https://docs.google.com/spreadsheets/d/1IYY_tgx_IHuhSq3AJ5eI5OnqOPBNLWSHKh2a30DoXe8/edit?usp=sharing"",""กระบี่!J415"")"),0)</f>
        <v>0</v>
      </c>
      <c r="BT77" s="542">
        <f ca="1">IFERROR(__xludf.DUMMYFUNCTION("IMPORTRANGE(""https://docs.google.com/spreadsheets/d/1IYY_tgx_IHuhSq3AJ5eI5OnqOPBNLWSHKh2a30DoXe8/edit?usp=sharing"",""กระบี่!J416"")"),0)</f>
        <v>0</v>
      </c>
      <c r="BU77" s="542">
        <f ca="1">IFERROR(__xludf.DUMMYFUNCTION("IMPORTRANGE(""https://docs.google.com/spreadsheets/d/1IYY_tgx_IHuhSq3AJ5eI5OnqOPBNLWSHKh2a30DoXe8/edit?usp=sharing"",""กระบี่!J417"")"),0)</f>
        <v>0</v>
      </c>
      <c r="BV77" s="542">
        <f ca="1">IFERROR(__xludf.DUMMYFUNCTION("IMPORTRANGE(""https://docs.google.com/spreadsheets/d/1IYY_tgx_IHuhSq3AJ5eI5OnqOPBNLWSHKh2a30DoXe8/edit?usp=sharing"",""กระบี่!J418"")"),288)</f>
        <v>288</v>
      </c>
      <c r="BW77" s="542">
        <f ca="1">IFERROR(__xludf.DUMMYFUNCTION("IMPORTRANGE(""https://docs.google.com/spreadsheets/d/1IYY_tgx_IHuhSq3AJ5eI5OnqOPBNLWSHKh2a30DoXe8/edit?usp=sharing"",""กระบี่!J419"")"),22)</f>
        <v>22</v>
      </c>
      <c r="BX77" s="546">
        <f t="shared" ref="BX77:BX90" ca="1" si="139">SUM(CB77,CD77,CF77)</f>
        <v>225</v>
      </c>
      <c r="BY77" s="547">
        <f t="shared" ref="BY77:BY90" ca="1" si="140">IF(BV77&gt;0,BX77*100/BV77,0)</f>
        <v>78.125</v>
      </c>
      <c r="BZ77" s="546">
        <f t="shared" ref="BZ77:BZ90" ca="1" si="141">SUM(CC77,CE77,CG77)</f>
        <v>18</v>
      </c>
      <c r="CA77" s="547">
        <f t="shared" ref="CA77:CA90" ca="1" si="142">IF(BW77&gt;0,BZ77*100/BW77,0)</f>
        <v>81.818181818181813</v>
      </c>
      <c r="CB77" s="542">
        <f ca="1">IFERROR(__xludf.DUMMYFUNCTION("IMPORTRANGE(""https://docs.google.com/spreadsheets/d/1IYY_tgx_IHuhSq3AJ5eI5OnqOPBNLWSHKh2a30DoXe8/edit?usp=sharing"",""กระบี่!J422"")"),0)</f>
        <v>0</v>
      </c>
      <c r="CC77" s="542">
        <f ca="1">IFERROR(__xludf.DUMMYFUNCTION("IMPORTRANGE(""https://docs.google.com/spreadsheets/d/1IYY_tgx_IHuhSq3AJ5eI5OnqOPBNLWSHKh2a30DoXe8/edit?usp=sharing"",""กระบี่!J423"")"),0)</f>
        <v>0</v>
      </c>
      <c r="CD77" s="542">
        <f ca="1">IFERROR(__xludf.DUMMYFUNCTION("IMPORTRANGE(""https://docs.google.com/spreadsheets/d/1IYY_tgx_IHuhSq3AJ5eI5OnqOPBNLWSHKh2a30DoXe8/edit?usp=sharing"",""กระบี่!J424"")"),0)</f>
        <v>0</v>
      </c>
      <c r="CE77" s="542">
        <f ca="1">IFERROR(__xludf.DUMMYFUNCTION("IMPORTRANGE(""https://docs.google.com/spreadsheets/d/1IYY_tgx_IHuhSq3AJ5eI5OnqOPBNLWSHKh2a30DoXe8/edit?usp=sharing"",""กระบี่!J425"")"),0)</f>
        <v>0</v>
      </c>
      <c r="CF77" s="542">
        <f ca="1">IFERROR(__xludf.DUMMYFUNCTION("IMPORTRANGE(""https://docs.google.com/spreadsheets/d/1IYY_tgx_IHuhSq3AJ5eI5OnqOPBNLWSHKh2a30DoXe8/edit?usp=sharing"",""กระบี่!J426"")"),225)</f>
        <v>225</v>
      </c>
      <c r="CG77" s="548">
        <f ca="1">IFERROR(__xludf.DUMMYFUNCTION("IMPORTRANGE(""https://docs.google.com/spreadsheets/d/1IYY_tgx_IHuhSq3AJ5eI5OnqOPBNLWSHKh2a30DoXe8/edit?usp=sharing"",""กระบี่!J427"")"),18)</f>
        <v>18</v>
      </c>
    </row>
    <row r="78" spans="1:85" ht="21" customHeight="1">
      <c r="A78" s="549">
        <v>2</v>
      </c>
      <c r="B78" s="550" t="s">
        <v>102</v>
      </c>
      <c r="C78" s="551">
        <f t="shared" ca="1" si="128"/>
        <v>710357</v>
      </c>
      <c r="D78" s="552">
        <f ca="1">IFERROR(__xludf.DUMMYFUNCTION("IMPORTRANGE(""https://docs.google.com/spreadsheets/d/1C3CXT74ZlgGe6_JY_1olB1XN4rF0dxEuIIF-xsYjHgg/edit?usp=sharing"",""งบกองทุน!BC82"")"),0)</f>
        <v>0</v>
      </c>
      <c r="E78" s="553">
        <f ca="1">IFERROR(__xludf.DUMMYFUNCTION("IMPORTRANGE(""https://docs.google.com/spreadsheets/d/1C3CXT74ZlgGe6_JY_1olB1XN4rF0dxEuIIF-xsYjHgg/edit?usp=sharing"",""งบกองทุน!BD82"")"),710357)</f>
        <v>710357</v>
      </c>
      <c r="F78" s="554">
        <f ca="1">IFERROR(__xludf.DUMMYFUNCTION("IMPORTRANGE(""https://docs.google.com/spreadsheets/d/1IYY_tgx_IHuhSq3AJ5eI5OnqOPBNLWSHKh2a30DoXe8/edit?usp=sharing"",""ชุมพร!M352"")"),140134.73)</f>
        <v>140134.73000000001</v>
      </c>
      <c r="G78" s="554">
        <f t="shared" ca="1" si="1"/>
        <v>19.727366662114967</v>
      </c>
      <c r="H78" s="555">
        <f ca="1">IFERROR(__xludf.DUMMYFUNCTION("IMPORTRANGE(""https://docs.google.com/spreadsheets/d/1C3CXT74ZlgGe6_JY_1olB1XN4rF0dxEuIIF-xsYjHgg/edit?usp=sharing"",""งบกองทุน!BE82"")"),108087)</f>
        <v>108087</v>
      </c>
      <c r="I78" s="555">
        <f ca="1">IFERROR(__xludf.DUMMYFUNCTION("IMPORTRANGE(""https://docs.google.com/spreadsheets/d/1C3CXT74ZlgGe6_JY_1olB1XN4rF0dxEuIIF-xsYjHgg/edit?usp=sharing"",""งบกองทุน!BF82"")"),10641)</f>
        <v>10641</v>
      </c>
      <c r="J78" s="552">
        <f t="shared" ca="1" si="129"/>
        <v>108088</v>
      </c>
      <c r="K78" s="554">
        <f t="shared" ca="1" si="3"/>
        <v>100.00092518064152</v>
      </c>
      <c r="L78" s="552">
        <f t="shared" ca="1" si="130"/>
        <v>10641</v>
      </c>
      <c r="M78" s="554">
        <f t="shared" ca="1" si="4"/>
        <v>100</v>
      </c>
      <c r="N78" s="552">
        <f ca="1">IFERROR(__xludf.DUMMYFUNCTION("IMPORTRANGE(""https://docs.google.com/spreadsheets/d/1IYY_tgx_IHuhSq3AJ5eI5OnqOPBNLWSHKh2a30DoXe8/edit?usp=sharing"",""ชุมพร!J362"")"),90777)</f>
        <v>90777</v>
      </c>
      <c r="O78" s="552">
        <f ca="1">IFERROR(__xludf.DUMMYFUNCTION("IMPORTRANGE(""https://docs.google.com/spreadsheets/d/1IYY_tgx_IHuhSq3AJ5eI5OnqOPBNLWSHKh2a30DoXe8/edit?usp=sharing"",""ชุมพร!J363"")"),8917)</f>
        <v>8917</v>
      </c>
      <c r="P78" s="552">
        <f ca="1">IFERROR(__xludf.DUMMYFUNCTION("IMPORTRANGE(""https://docs.google.com/spreadsheets/d/1IYY_tgx_IHuhSq3AJ5eI5OnqOPBNLWSHKh2a30DoXe8/edit?usp=sharing"",""ชุมพร!J364"")"),15323)</f>
        <v>15323</v>
      </c>
      <c r="Q78" s="552">
        <f ca="1">IFERROR(__xludf.DUMMYFUNCTION("IMPORTRANGE(""https://docs.google.com/spreadsheets/d/1IYY_tgx_IHuhSq3AJ5eI5OnqOPBNLWSHKh2a30DoXe8/edit?usp=sharing"",""ชุมพร!J365"")"),1533)</f>
        <v>1533</v>
      </c>
      <c r="R78" s="552">
        <f ca="1">IFERROR(__xludf.DUMMYFUNCTION("IMPORTRANGE(""https://docs.google.com/spreadsheets/d/1IYY_tgx_IHuhSq3AJ5eI5OnqOPBNLWSHKh2a30DoXe8/edit?usp=sharing"",""ชุมพร!J366"")"),1988)</f>
        <v>1988</v>
      </c>
      <c r="S78" s="552">
        <f ca="1">IFERROR(__xludf.DUMMYFUNCTION("IMPORTRANGE(""https://docs.google.com/spreadsheets/d/1IYY_tgx_IHuhSq3AJ5eI5OnqOPBNLWSHKh2a30DoXe8/edit?usp=sharing"",""ชุมพร!J367"")"),191)</f>
        <v>191</v>
      </c>
      <c r="T78" s="552">
        <f t="shared" ca="1" si="131"/>
        <v>0</v>
      </c>
      <c r="U78" s="552">
        <f t="shared" ca="1" si="6"/>
        <v>0</v>
      </c>
      <c r="V78" s="552">
        <f t="shared" ca="1" si="132"/>
        <v>0</v>
      </c>
      <c r="W78" s="552">
        <f t="shared" ca="1" si="7"/>
        <v>0</v>
      </c>
      <c r="X78" s="552">
        <f ca="1">IFERROR(__xludf.DUMMYFUNCTION("IMPORTRANGE(""https://docs.google.com/spreadsheets/d/1IYY_tgx_IHuhSq3AJ5eI5OnqOPBNLWSHKh2a30DoXe8/edit?usp=sharing"",""ชุมพร!J370"")"),0)</f>
        <v>0</v>
      </c>
      <c r="Y78" s="552">
        <f ca="1">IFERROR(__xludf.DUMMYFUNCTION("IMPORTRANGE(""https://docs.google.com/spreadsheets/d/1IYY_tgx_IHuhSq3AJ5eI5OnqOPBNLWSHKh2a30DoXe8/edit?usp=sharing"",""ชุมพร!J371"")"),0)</f>
        <v>0</v>
      </c>
      <c r="Z78" s="552">
        <f ca="1">IFERROR(__xludf.DUMMYFUNCTION("IMPORTRANGE(""https://docs.google.com/spreadsheets/d/1IYY_tgx_IHuhSq3AJ5eI5OnqOPBNLWSHKh2a30DoXe8/edit?usp=sharing"",""ชุมพร!J372"")"),0)</f>
        <v>0</v>
      </c>
      <c r="AA78" s="552">
        <f ca="1">IFERROR(__xludf.DUMMYFUNCTION("IMPORTRANGE(""https://docs.google.com/spreadsheets/d/1IYY_tgx_IHuhSq3AJ5eI5OnqOPBNLWSHKh2a30DoXe8/edit?usp=sharing"",""ชุมพร!J373"")"),0)</f>
        <v>0</v>
      </c>
      <c r="AB78" s="552">
        <f ca="1">IFERROR(__xludf.DUMMYFUNCTION("IMPORTRANGE(""https://docs.google.com/spreadsheets/d/1IYY_tgx_IHuhSq3AJ5eI5OnqOPBNLWSHKh2a30DoXe8/edit?usp=sharing"",""ชุมพร!J374"")"),0)</f>
        <v>0</v>
      </c>
      <c r="AC78" s="552">
        <f ca="1">IFERROR(__xludf.DUMMYFUNCTION("IMPORTRANGE(""https://docs.google.com/spreadsheets/d/1IYY_tgx_IHuhSq3AJ5eI5OnqOPBNLWSHKh2a30DoXe8/edit?usp=sharing"",""ชุมพร!J375"")"),0)</f>
        <v>0</v>
      </c>
      <c r="AD78" s="552">
        <f t="shared" ca="1" si="133"/>
        <v>0</v>
      </c>
      <c r="AE78" s="554">
        <f t="shared" ca="1" si="9"/>
        <v>0</v>
      </c>
      <c r="AF78" s="552">
        <f t="shared" ca="1" si="134"/>
        <v>0</v>
      </c>
      <c r="AG78" s="554">
        <f t="shared" ca="1" si="10"/>
        <v>0</v>
      </c>
      <c r="AH78" s="552">
        <f ca="1">IFERROR(__xludf.DUMMYFUNCTION("IMPORTRANGE(""https://docs.google.com/spreadsheets/d/1IYY_tgx_IHuhSq3AJ5eI5OnqOPBNLWSHKh2a30DoXe8/edit?usp=sharing"",""ชุมพร!J378"")"),0)</f>
        <v>0</v>
      </c>
      <c r="AI78" s="552">
        <f ca="1">IFERROR(__xludf.DUMMYFUNCTION("IMPORTRANGE(""https://docs.google.com/spreadsheets/d/1IYY_tgx_IHuhSq3AJ5eI5OnqOPBNLWSHKh2a30DoXe8/edit?usp=sharing"",""ชุมพร!J379"")"),0)</f>
        <v>0</v>
      </c>
      <c r="AJ78" s="552">
        <f ca="1">IFERROR(__xludf.DUMMYFUNCTION("IMPORTRANGE(""https://docs.google.com/spreadsheets/d/1IYY_tgx_IHuhSq3AJ5eI5OnqOPBNLWSHKh2a30DoXe8/edit?usp=sharing"",""ชุมพร!J380"")"),0)</f>
        <v>0</v>
      </c>
      <c r="AK78" s="552">
        <f ca="1">IFERROR(__xludf.DUMMYFUNCTION("IMPORTRANGE(""https://docs.google.com/spreadsheets/d/1IYY_tgx_IHuhSq3AJ5eI5OnqOPBNLWSHKh2a30DoXe8/edit?usp=sharing"",""ชุมพร!J381"")"),0)</f>
        <v>0</v>
      </c>
      <c r="AL78" s="552">
        <f ca="1">IFERROR(__xludf.DUMMYFUNCTION("IMPORTRANGE(""https://docs.google.com/spreadsheets/d/1IYY_tgx_IHuhSq3AJ5eI5OnqOPBNLWSHKh2a30DoXe8/edit?usp=sharing"",""ชุมพร!J384"")"),0)</f>
        <v>0</v>
      </c>
      <c r="AM78" s="552">
        <f ca="1">IFERROR(__xludf.DUMMYFUNCTION("IMPORTRANGE(""https://docs.google.com/spreadsheets/d/1IYY_tgx_IHuhSq3AJ5eI5OnqOPBNLWSHKh2a30DoXe8/edit?usp=sharing"",""ชุมพร!J385"")"),0)</f>
        <v>0</v>
      </c>
      <c r="AN78" s="552">
        <f ca="1">IFERROR(__xludf.DUMMYFUNCTION("IMPORTRANGE(""https://docs.google.com/spreadsheets/d/1IYY_tgx_IHuhSq3AJ5eI5OnqOPBNLWSHKh2a30DoXe8/edit?usp=sharing"",""ชุมพร!J386"")"),0)</f>
        <v>0</v>
      </c>
      <c r="AO78" s="552">
        <f ca="1">IFERROR(__xludf.DUMMYFUNCTION("IMPORTRANGE(""https://docs.google.com/spreadsheets/d/1IYY_tgx_IHuhSq3AJ5eI5OnqOPBNLWSHKh2a30DoXe8/edit?usp=sharing"",""ชุมพร!J387"")"),0)</f>
        <v>0</v>
      </c>
      <c r="AP78" s="552">
        <f ca="1">IFERROR(__xludf.DUMMYFUNCTION("IMPORTRANGE(""https://docs.google.com/spreadsheets/d/1IYY_tgx_IHuhSq3AJ5eI5OnqOPBNLWSHKh2a30DoXe8/edit?usp=sharing"",""ชุมพร!J388"")"),0)</f>
        <v>0</v>
      </c>
      <c r="AQ78" s="552">
        <f ca="1">IFERROR(__xludf.DUMMYFUNCTION("IMPORTRANGE(""https://docs.google.com/spreadsheets/d/1IYY_tgx_IHuhSq3AJ5eI5OnqOPBNLWSHKh2a30DoXe8/edit?usp=sharing"",""ชุมพร!J389"")"),0)</f>
        <v>0</v>
      </c>
      <c r="AR78" s="552">
        <f ca="1">IFERROR(__xludf.DUMMYFUNCTION("IMPORTRANGE(""https://docs.google.com/spreadsheets/d/1IYY_tgx_IHuhSq3AJ5eI5OnqOPBNLWSHKh2a30DoXe8/edit?usp=sharing"",""ชุมพร!J390"")"),0)</f>
        <v>0</v>
      </c>
      <c r="AS78" s="552">
        <f ca="1">IFERROR(__xludf.DUMMYFUNCTION("IMPORTRANGE(""https://docs.google.com/spreadsheets/d/1IYY_tgx_IHuhSq3AJ5eI5OnqOPBNLWSHKh2a30DoXe8/edit?usp=sharing"",""ชุมพร!J391"")"),0)</f>
        <v>0</v>
      </c>
      <c r="AT78" s="556">
        <f ca="1">IFERROR(__xludf.DUMMYFUNCTION("IMPORTRANGE(""https://docs.google.com/spreadsheets/d/1C3CXT74ZlgGe6_JY_1olB1XN4rF0dxEuIIF-xsYjHgg/edit?usp=sharing"",""งบกองทุน!CD82"")"),659)</f>
        <v>659</v>
      </c>
      <c r="AU78" s="556">
        <f ca="1">IFERROR(__xludf.DUMMYFUNCTION("IMPORTRANGE(""https://docs.google.com/spreadsheets/d/1C3CXT74ZlgGe6_JY_1olB1XN4rF0dxEuIIF-xsYjHgg/edit?usp=sharing"",""งบกองทุน!CC82"")"),94)</f>
        <v>94</v>
      </c>
      <c r="AV78" s="556">
        <f t="shared" ca="1" si="135"/>
        <v>660</v>
      </c>
      <c r="AW78" s="556">
        <f t="shared" ca="1" si="12"/>
        <v>100.15174506828528</v>
      </c>
      <c r="AX78" s="556">
        <f t="shared" ca="1" si="136"/>
        <v>94</v>
      </c>
      <c r="AY78" s="556">
        <f t="shared" ca="1" si="13"/>
        <v>100</v>
      </c>
      <c r="AZ78" s="552">
        <f ca="1">IFERROR(__xludf.DUMMYFUNCTION("IMPORTRANGE(""https://docs.google.com/spreadsheets/d/1IYY_tgx_IHuhSq3AJ5eI5OnqOPBNLWSHKh2a30DoXe8/edit?usp=sharing"",""ชุมพร!J397"")"),623)</f>
        <v>623</v>
      </c>
      <c r="BA78" s="552">
        <f ca="1">IFERROR(__xludf.DUMMYFUNCTION("IMPORTRANGE(""https://docs.google.com/spreadsheets/d/1IYY_tgx_IHuhSq3AJ5eI5OnqOPBNLWSHKh2a30DoXe8/edit?usp=sharing"",""ชุมพร!J398"")"),85)</f>
        <v>85</v>
      </c>
      <c r="BB78" s="552">
        <f ca="1">IFERROR(__xludf.DUMMYFUNCTION("IMPORTRANGE(""https://docs.google.com/spreadsheets/d/1IYY_tgx_IHuhSq3AJ5eI5OnqOPBNLWSHKh2a30DoXe8/edit?usp=sharing"",""ชุมพร!J399"")"),25)</f>
        <v>25</v>
      </c>
      <c r="BC78" s="552">
        <f ca="1">IFERROR(__xludf.DUMMYFUNCTION("IMPORTRANGE(""https://docs.google.com/spreadsheets/d/1IYY_tgx_IHuhSq3AJ5eI5OnqOPBNLWSHKh2a30DoXe8/edit?usp=sharing"",""ชุมพร!J400"")"),4)</f>
        <v>4</v>
      </c>
      <c r="BD78" s="552">
        <f ca="1">IFERROR(__xludf.DUMMYFUNCTION("IMPORTRANGE(""https://docs.google.com/spreadsheets/d/1IYY_tgx_IHuhSq3AJ5eI5OnqOPBNLWSHKh2a30DoXe8/edit?usp=sharing"",""ชุมพร!J401"")"),0)</f>
        <v>0</v>
      </c>
      <c r="BE78" s="552">
        <f ca="1">IFERROR(__xludf.DUMMYFUNCTION("IMPORTRANGE(""https://docs.google.com/spreadsheets/d/1IYY_tgx_IHuhSq3AJ5eI5OnqOPBNLWSHKh2a30DoXe8/edit?usp=sharing"",""ชุมพร!J402"")"),0)</f>
        <v>0</v>
      </c>
      <c r="BF78" s="552">
        <f ca="1">IFERROR(__xludf.DUMMYFUNCTION("IMPORTRANGE(""https://docs.google.com/spreadsheets/d/1IYY_tgx_IHuhSq3AJ5eI5OnqOPBNLWSHKh2a30DoXe8/edit?usp=sharing"",""ชุมพร!J405"")"),12)</f>
        <v>12</v>
      </c>
      <c r="BG78" s="552">
        <f ca="1">IFERROR(__xludf.DUMMYFUNCTION("IMPORTRANGE(""https://docs.google.com/spreadsheets/d/1IYY_tgx_IHuhSq3AJ5eI5OnqOPBNLWSHKh2a30DoXe8/edit?usp=sharing"",""ชุมพร!J406"")"),5)</f>
        <v>5</v>
      </c>
      <c r="BH78" s="552">
        <f ca="1">IFERROR(__xludf.DUMMYFUNCTION("IMPORTRANGE(""https://docs.google.com/spreadsheets/d/1IYY_tgx_IHuhSq3AJ5eI5OnqOPBNLWSHKh2a30DoXe8/edit?usp=sharing"",""ชุมพร!J407"")"),0)</f>
        <v>0</v>
      </c>
      <c r="BI78" s="552">
        <f ca="1">IFERROR(__xludf.DUMMYFUNCTION("IMPORTRANGE(""https://docs.google.com/spreadsheets/d/1IYY_tgx_IHuhSq3AJ5eI5OnqOPBNLWSHKh2a30DoXe8/edit?usp=sharing"",""ชุมพร!J408"")"),0)</f>
        <v>0</v>
      </c>
      <c r="BJ78" s="552">
        <f ca="1">IFERROR(__xludf.DUMMYFUNCTION("IMPORTRANGE(""https://docs.google.com/spreadsheets/d/1IYY_tgx_IHuhSq3AJ5eI5OnqOPBNLWSHKh2a30DoXe8/edit?usp=sharing"",""ชุมพร!J409"")"),0)</f>
        <v>0</v>
      </c>
      <c r="BK78" s="552">
        <f ca="1">IFERROR(__xludf.DUMMYFUNCTION("IMPORTRANGE(""https://docs.google.com/spreadsheets/d/1IYY_tgx_IHuhSq3AJ5eI5OnqOPBNLWSHKh2a30DoXe8/edit?usp=sharing"",""ชุมพร!J410"")"),0)</f>
        <v>0</v>
      </c>
      <c r="BL78" s="556">
        <f ca="1">IFERROR(__xludf.DUMMYFUNCTION("IMPORTRANGE(""https://docs.google.com/spreadsheets/d/1C3CXT74ZlgGe6_JY_1olB1XN4rF0dxEuIIF-xsYjHgg/edit?usp=sharing"",""งบกองทุน!CZ82"")"),0)</f>
        <v>0</v>
      </c>
      <c r="BM78" s="556">
        <f ca="1">IFERROR(__xludf.DUMMYFUNCTION("IMPORTRANGE(""https://docs.google.com/spreadsheets/d/1C3CXT74ZlgGe6_JY_1olB1XN4rF0dxEuIIF-xsYjHgg/edit?usp=sharing"",""งบกองทุน!CY82"")"),0)</f>
        <v>0</v>
      </c>
      <c r="BN78" s="556">
        <f t="shared" ca="1" si="137"/>
        <v>0</v>
      </c>
      <c r="BO78" s="557">
        <f t="shared" ca="1" si="15"/>
        <v>0</v>
      </c>
      <c r="BP78" s="556">
        <f t="shared" ca="1" si="138"/>
        <v>0</v>
      </c>
      <c r="BQ78" s="557">
        <f t="shared" ca="1" si="16"/>
        <v>0</v>
      </c>
      <c r="BR78" s="552">
        <f ca="1">IFERROR(__xludf.DUMMYFUNCTION("IMPORTRANGE(""https://docs.google.com/spreadsheets/d/1IYY_tgx_IHuhSq3AJ5eI5OnqOPBNLWSHKh2a30DoXe8/edit?usp=sharing"",""ชุมพร!J414"")"),0)</f>
        <v>0</v>
      </c>
      <c r="BS78" s="552">
        <f ca="1">IFERROR(__xludf.DUMMYFUNCTION("IMPORTRANGE(""https://docs.google.com/spreadsheets/d/1IYY_tgx_IHuhSq3AJ5eI5OnqOPBNLWSHKh2a30DoXe8/edit?usp=sharing"",""ชุมพร!J415"")"),0)</f>
        <v>0</v>
      </c>
      <c r="BT78" s="552">
        <f ca="1">IFERROR(__xludf.DUMMYFUNCTION("IMPORTRANGE(""https://docs.google.com/spreadsheets/d/1IYY_tgx_IHuhSq3AJ5eI5OnqOPBNLWSHKh2a30DoXe8/edit?usp=sharing"",""ชุมพร!J416"")"),0)</f>
        <v>0</v>
      </c>
      <c r="BU78" s="552">
        <f ca="1">IFERROR(__xludf.DUMMYFUNCTION("IMPORTRANGE(""https://docs.google.com/spreadsheets/d/1IYY_tgx_IHuhSq3AJ5eI5OnqOPBNLWSHKh2a30DoXe8/edit?usp=sharing"",""ชุมพร!J417"")"),0)</f>
        <v>0</v>
      </c>
      <c r="BV78" s="552">
        <f ca="1">IFERROR(__xludf.DUMMYFUNCTION("IMPORTRANGE(""https://docs.google.com/spreadsheets/d/1IYY_tgx_IHuhSq3AJ5eI5OnqOPBNLWSHKh2a30DoXe8/edit?usp=sharing"",""ชุมพร!J418"")"),0)</f>
        <v>0</v>
      </c>
      <c r="BW78" s="552">
        <f ca="1">IFERROR(__xludf.DUMMYFUNCTION("IMPORTRANGE(""https://docs.google.com/spreadsheets/d/1IYY_tgx_IHuhSq3AJ5eI5OnqOPBNLWSHKh2a30DoXe8/edit?usp=sharing"",""ชุมพร!J419"")"),0)</f>
        <v>0</v>
      </c>
      <c r="BX78" s="556">
        <f t="shared" ca="1" si="139"/>
        <v>0</v>
      </c>
      <c r="BY78" s="557">
        <f t="shared" ca="1" si="140"/>
        <v>0</v>
      </c>
      <c r="BZ78" s="556">
        <f t="shared" ca="1" si="141"/>
        <v>0</v>
      </c>
      <c r="CA78" s="557">
        <f t="shared" ca="1" si="142"/>
        <v>0</v>
      </c>
      <c r="CB78" s="552">
        <f ca="1">IFERROR(__xludf.DUMMYFUNCTION("IMPORTRANGE(""https://docs.google.com/spreadsheets/d/1IYY_tgx_IHuhSq3AJ5eI5OnqOPBNLWSHKh2a30DoXe8/edit?usp=sharing"",""ชุมพร!J422"")"),0)</f>
        <v>0</v>
      </c>
      <c r="CC78" s="552">
        <f ca="1">IFERROR(__xludf.DUMMYFUNCTION("IMPORTRANGE(""https://docs.google.com/spreadsheets/d/1IYY_tgx_IHuhSq3AJ5eI5OnqOPBNLWSHKh2a30DoXe8/edit?usp=sharing"",""ชุมพร!J423"")"),0)</f>
        <v>0</v>
      </c>
      <c r="CD78" s="552">
        <f ca="1">IFERROR(__xludf.DUMMYFUNCTION("IMPORTRANGE(""https://docs.google.com/spreadsheets/d/1IYY_tgx_IHuhSq3AJ5eI5OnqOPBNLWSHKh2a30DoXe8/edit?usp=sharing"",""ชุมพร!J424"")"),0)</f>
        <v>0</v>
      </c>
      <c r="CE78" s="552">
        <f ca="1">IFERROR(__xludf.DUMMYFUNCTION("IMPORTRANGE(""https://docs.google.com/spreadsheets/d/1IYY_tgx_IHuhSq3AJ5eI5OnqOPBNLWSHKh2a30DoXe8/edit?usp=sharing"",""ชุมพร!J425"")"),0)</f>
        <v>0</v>
      </c>
      <c r="CF78" s="552">
        <f ca="1">IFERROR(__xludf.DUMMYFUNCTION("IMPORTRANGE(""https://docs.google.com/spreadsheets/d/1IYY_tgx_IHuhSq3AJ5eI5OnqOPBNLWSHKh2a30DoXe8/edit?usp=sharing"",""ชุมพร!J426"")"),0)</f>
        <v>0</v>
      </c>
      <c r="CG78" s="558">
        <f ca="1">IFERROR(__xludf.DUMMYFUNCTION("IMPORTRANGE(""https://docs.google.com/spreadsheets/d/1IYY_tgx_IHuhSq3AJ5eI5OnqOPBNLWSHKh2a30DoXe8/edit?usp=sharing"",""ชุมพร!J427"")"),0)</f>
        <v>0</v>
      </c>
    </row>
    <row r="79" spans="1:85" ht="21" customHeight="1">
      <c r="A79" s="549">
        <v>3</v>
      </c>
      <c r="B79" s="550" t="s">
        <v>103</v>
      </c>
      <c r="C79" s="551">
        <f t="shared" ca="1" si="128"/>
        <v>235518</v>
      </c>
      <c r="D79" s="552">
        <f ca="1">IFERROR(__xludf.DUMMYFUNCTION("IMPORTRANGE(""https://docs.google.com/spreadsheets/d/1C3CXT74ZlgGe6_JY_1olB1XN4rF0dxEuIIF-xsYjHgg/edit?usp=sharing"",""งบกองทุน!BC83"")"),0)</f>
        <v>0</v>
      </c>
      <c r="E79" s="553">
        <f ca="1">IFERROR(__xludf.DUMMYFUNCTION("IMPORTRANGE(""https://docs.google.com/spreadsheets/d/1C3CXT74ZlgGe6_JY_1olB1XN4rF0dxEuIIF-xsYjHgg/edit?usp=sharing"",""งบกองทุน!BD83"")"),235518)</f>
        <v>235518</v>
      </c>
      <c r="F79" s="554">
        <f ca="1">IFERROR(__xludf.DUMMYFUNCTION("IMPORTRANGE(""https://docs.google.com/spreadsheets/d/1IYY_tgx_IHuhSq3AJ5eI5OnqOPBNLWSHKh2a30DoXe8/edit?usp=sharing"",""ตรัง!M352"")"),60209.38)</f>
        <v>60209.38</v>
      </c>
      <c r="G79" s="554">
        <f t="shared" ca="1" si="1"/>
        <v>25.564661724369262</v>
      </c>
      <c r="H79" s="555">
        <f ca="1">IFERROR(__xludf.DUMMYFUNCTION("IMPORTRANGE(""https://docs.google.com/spreadsheets/d/1C3CXT74ZlgGe6_JY_1olB1XN4rF0dxEuIIF-xsYjHgg/edit?usp=sharing"",""งบกองทุน!BE83"")"),39755)</f>
        <v>39755</v>
      </c>
      <c r="I79" s="555">
        <f ca="1">IFERROR(__xludf.DUMMYFUNCTION("IMPORTRANGE(""https://docs.google.com/spreadsheets/d/1C3CXT74ZlgGe6_JY_1olB1XN4rF0dxEuIIF-xsYjHgg/edit?usp=sharing"",""งบกองทุน!BF83"")"),3513)</f>
        <v>3513</v>
      </c>
      <c r="J79" s="552">
        <f t="shared" ca="1" si="129"/>
        <v>39755</v>
      </c>
      <c r="K79" s="554">
        <f t="shared" ca="1" si="3"/>
        <v>100</v>
      </c>
      <c r="L79" s="552">
        <f t="shared" ca="1" si="130"/>
        <v>3512</v>
      </c>
      <c r="M79" s="554">
        <f t="shared" ca="1" si="4"/>
        <v>99.971534301167097</v>
      </c>
      <c r="N79" s="552">
        <f ca="1">IFERROR(__xludf.DUMMYFUNCTION("IMPORTRANGE(""https://docs.google.com/spreadsheets/d/1IYY_tgx_IHuhSq3AJ5eI5OnqOPBNLWSHKh2a30DoXe8/edit?usp=sharing"",""ตรัง!J362"")"),36628)</f>
        <v>36628</v>
      </c>
      <c r="O79" s="552">
        <f ca="1">IFERROR(__xludf.DUMMYFUNCTION("IMPORTRANGE(""https://docs.google.com/spreadsheets/d/1IYY_tgx_IHuhSq3AJ5eI5OnqOPBNLWSHKh2a30DoXe8/edit?usp=sharing"",""ตรัง!J363"")"),3274)</f>
        <v>3274</v>
      </c>
      <c r="P79" s="552">
        <f ca="1">IFERROR(__xludf.DUMMYFUNCTION("IMPORTRANGE(""https://docs.google.com/spreadsheets/d/1IYY_tgx_IHuhSq3AJ5eI5OnqOPBNLWSHKh2a30DoXe8/edit?usp=sharing"",""ตรัง!J364"")"),1659)</f>
        <v>1659</v>
      </c>
      <c r="Q79" s="552">
        <f ca="1">IFERROR(__xludf.DUMMYFUNCTION("IMPORTRANGE(""https://docs.google.com/spreadsheets/d/1IYY_tgx_IHuhSq3AJ5eI5OnqOPBNLWSHKh2a30DoXe8/edit?usp=sharing"",""ตรัง!J365"")"),133)</f>
        <v>133</v>
      </c>
      <c r="R79" s="552">
        <f ca="1">IFERROR(__xludf.DUMMYFUNCTION("IMPORTRANGE(""https://docs.google.com/spreadsheets/d/1IYY_tgx_IHuhSq3AJ5eI5OnqOPBNLWSHKh2a30DoXe8/edit?usp=sharing"",""ตรัง!J366"")"),1468)</f>
        <v>1468</v>
      </c>
      <c r="S79" s="552">
        <f ca="1">IFERROR(__xludf.DUMMYFUNCTION("IMPORTRANGE(""https://docs.google.com/spreadsheets/d/1IYY_tgx_IHuhSq3AJ5eI5OnqOPBNLWSHKh2a30DoXe8/edit?usp=sharing"",""ตรัง!J367"")"),105)</f>
        <v>105</v>
      </c>
      <c r="T79" s="552">
        <f t="shared" ca="1" si="131"/>
        <v>39755</v>
      </c>
      <c r="U79" s="552">
        <f t="shared" ca="1" si="6"/>
        <v>100</v>
      </c>
      <c r="V79" s="552">
        <f t="shared" ca="1" si="132"/>
        <v>3512</v>
      </c>
      <c r="W79" s="552">
        <f t="shared" ca="1" si="7"/>
        <v>99.971534301167097</v>
      </c>
      <c r="X79" s="552">
        <f ca="1">IFERROR(__xludf.DUMMYFUNCTION("IMPORTRANGE(""https://docs.google.com/spreadsheets/d/1IYY_tgx_IHuhSq3AJ5eI5OnqOPBNLWSHKh2a30DoXe8/edit?usp=sharing"",""ตรัง!J370"")"),36628)</f>
        <v>36628</v>
      </c>
      <c r="Y79" s="552">
        <f ca="1">IFERROR(__xludf.DUMMYFUNCTION("IMPORTRANGE(""https://docs.google.com/spreadsheets/d/1IYY_tgx_IHuhSq3AJ5eI5OnqOPBNLWSHKh2a30DoXe8/edit?usp=sharing"",""ตรัง!J371"")"),3274)</f>
        <v>3274</v>
      </c>
      <c r="Z79" s="552">
        <f ca="1">IFERROR(__xludf.DUMMYFUNCTION("IMPORTRANGE(""https://docs.google.com/spreadsheets/d/1IYY_tgx_IHuhSq3AJ5eI5OnqOPBNLWSHKh2a30DoXe8/edit?usp=sharing"",""ตรัง!J372"")"),1659)</f>
        <v>1659</v>
      </c>
      <c r="AA79" s="552">
        <f ca="1">IFERROR(__xludf.DUMMYFUNCTION("IMPORTRANGE(""https://docs.google.com/spreadsheets/d/1IYY_tgx_IHuhSq3AJ5eI5OnqOPBNLWSHKh2a30DoXe8/edit?usp=sharing"",""ตรัง!J373"")"),133)</f>
        <v>133</v>
      </c>
      <c r="AB79" s="552">
        <f ca="1">IFERROR(__xludf.DUMMYFUNCTION("IMPORTRANGE(""https://docs.google.com/spreadsheets/d/1IYY_tgx_IHuhSq3AJ5eI5OnqOPBNLWSHKh2a30DoXe8/edit?usp=sharing"",""ตรัง!J374"")"),1468)</f>
        <v>1468</v>
      </c>
      <c r="AC79" s="552">
        <f ca="1">IFERROR(__xludf.DUMMYFUNCTION("IMPORTRANGE(""https://docs.google.com/spreadsheets/d/1IYY_tgx_IHuhSq3AJ5eI5OnqOPBNLWSHKh2a30DoXe8/edit?usp=sharing"",""ตรัง!J375"")"),105)</f>
        <v>105</v>
      </c>
      <c r="AD79" s="552">
        <f t="shared" ca="1" si="133"/>
        <v>36628</v>
      </c>
      <c r="AE79" s="554">
        <f t="shared" ca="1" si="9"/>
        <v>92.134322726701043</v>
      </c>
      <c r="AF79" s="552">
        <f t="shared" ca="1" si="134"/>
        <v>3274</v>
      </c>
      <c r="AG79" s="554">
        <f t="shared" ca="1" si="10"/>
        <v>93.196697978935376</v>
      </c>
      <c r="AH79" s="552">
        <f ca="1">IFERROR(__xludf.DUMMYFUNCTION("IMPORTRANGE(""https://docs.google.com/spreadsheets/d/1IYY_tgx_IHuhSq3AJ5eI5OnqOPBNLWSHKh2a30DoXe8/edit?usp=sharing"",""ตรัง!J378"")"),36628)</f>
        <v>36628</v>
      </c>
      <c r="AI79" s="552">
        <f ca="1">IFERROR(__xludf.DUMMYFUNCTION("IMPORTRANGE(""https://docs.google.com/spreadsheets/d/1IYY_tgx_IHuhSq3AJ5eI5OnqOPBNLWSHKh2a30DoXe8/edit?usp=sharing"",""ตรัง!J379"")"),3274)</f>
        <v>3274</v>
      </c>
      <c r="AJ79" s="552">
        <f ca="1">IFERROR(__xludf.DUMMYFUNCTION("IMPORTRANGE(""https://docs.google.com/spreadsheets/d/1IYY_tgx_IHuhSq3AJ5eI5OnqOPBNLWSHKh2a30DoXe8/edit?usp=sharing"",""ตรัง!J380"")"),0)</f>
        <v>0</v>
      </c>
      <c r="AK79" s="552">
        <f ca="1">IFERROR(__xludf.DUMMYFUNCTION("IMPORTRANGE(""https://docs.google.com/spreadsheets/d/1IYY_tgx_IHuhSq3AJ5eI5OnqOPBNLWSHKh2a30DoXe8/edit?usp=sharing"",""ตรัง!J381"")"),0)</f>
        <v>0</v>
      </c>
      <c r="AL79" s="552">
        <f ca="1">IFERROR(__xludf.DUMMYFUNCTION("IMPORTRANGE(""https://docs.google.com/spreadsheets/d/1IYY_tgx_IHuhSq3AJ5eI5OnqOPBNLWSHKh2a30DoXe8/edit?usp=sharing"",""ตรัง!J384"")"),0)</f>
        <v>0</v>
      </c>
      <c r="AM79" s="552">
        <f ca="1">IFERROR(__xludf.DUMMYFUNCTION("IMPORTRANGE(""https://docs.google.com/spreadsheets/d/1IYY_tgx_IHuhSq3AJ5eI5OnqOPBNLWSHKh2a30DoXe8/edit?usp=sharing"",""ตรัง!J385"")"),0)</f>
        <v>0</v>
      </c>
      <c r="AN79" s="552">
        <f ca="1">IFERROR(__xludf.DUMMYFUNCTION("IMPORTRANGE(""https://docs.google.com/spreadsheets/d/1IYY_tgx_IHuhSq3AJ5eI5OnqOPBNLWSHKh2a30DoXe8/edit?usp=sharing"",""ตรัง!J386"")"),0)</f>
        <v>0</v>
      </c>
      <c r="AO79" s="552">
        <f ca="1">IFERROR(__xludf.DUMMYFUNCTION("IMPORTRANGE(""https://docs.google.com/spreadsheets/d/1IYY_tgx_IHuhSq3AJ5eI5OnqOPBNLWSHKh2a30DoXe8/edit?usp=sharing"",""ตรัง!J387"")"),0)</f>
        <v>0</v>
      </c>
      <c r="AP79" s="552">
        <f ca="1">IFERROR(__xludf.DUMMYFUNCTION("IMPORTRANGE(""https://docs.google.com/spreadsheets/d/1IYY_tgx_IHuhSq3AJ5eI5OnqOPBNLWSHKh2a30DoXe8/edit?usp=sharing"",""ตรัง!J388"")"),0)</f>
        <v>0</v>
      </c>
      <c r="AQ79" s="552">
        <f ca="1">IFERROR(__xludf.DUMMYFUNCTION("IMPORTRANGE(""https://docs.google.com/spreadsheets/d/1IYY_tgx_IHuhSq3AJ5eI5OnqOPBNLWSHKh2a30DoXe8/edit?usp=sharing"",""ตรัง!J389"")"),0)</f>
        <v>0</v>
      </c>
      <c r="AR79" s="552">
        <f ca="1">IFERROR(__xludf.DUMMYFUNCTION("IMPORTRANGE(""https://docs.google.com/spreadsheets/d/1IYY_tgx_IHuhSq3AJ5eI5OnqOPBNLWSHKh2a30DoXe8/edit?usp=sharing"",""ตรัง!J390"")"),0)</f>
        <v>0</v>
      </c>
      <c r="AS79" s="552">
        <f ca="1">IFERROR(__xludf.DUMMYFUNCTION("IMPORTRANGE(""https://docs.google.com/spreadsheets/d/1IYY_tgx_IHuhSq3AJ5eI5OnqOPBNLWSHKh2a30DoXe8/edit?usp=sharing"",""ตรัง!J391"")"),0)</f>
        <v>0</v>
      </c>
      <c r="AT79" s="556">
        <f ca="1">IFERROR(__xludf.DUMMYFUNCTION("IMPORTRANGE(""https://docs.google.com/spreadsheets/d/1C3CXT74ZlgGe6_JY_1olB1XN4rF0dxEuIIF-xsYjHgg/edit?usp=sharing"",""งบกองทุน!CD83"")"),1066)</f>
        <v>1066</v>
      </c>
      <c r="AU79" s="556">
        <f ca="1">IFERROR(__xludf.DUMMYFUNCTION("IMPORTRANGE(""https://docs.google.com/spreadsheets/d/1C3CXT74ZlgGe6_JY_1olB1XN4rF0dxEuIIF-xsYjHgg/edit?usp=sharing"",""งบกองทุน!CC83"")"),164)</f>
        <v>164</v>
      </c>
      <c r="AV79" s="556">
        <f t="shared" ca="1" si="135"/>
        <v>0</v>
      </c>
      <c r="AW79" s="556">
        <f t="shared" ca="1" si="12"/>
        <v>0</v>
      </c>
      <c r="AX79" s="556">
        <f t="shared" ca="1" si="136"/>
        <v>0</v>
      </c>
      <c r="AY79" s="556">
        <f t="shared" ca="1" si="13"/>
        <v>0</v>
      </c>
      <c r="AZ79" s="552">
        <f ca="1">IFERROR(__xludf.DUMMYFUNCTION("IMPORTRANGE(""https://docs.google.com/spreadsheets/d/1IYY_tgx_IHuhSq3AJ5eI5OnqOPBNLWSHKh2a30DoXe8/edit?usp=sharing"",""ตรัง!J397"")"),0)</f>
        <v>0</v>
      </c>
      <c r="BA79" s="552">
        <f ca="1">IFERROR(__xludf.DUMMYFUNCTION("IMPORTRANGE(""https://docs.google.com/spreadsheets/d/1IYY_tgx_IHuhSq3AJ5eI5OnqOPBNLWSHKh2a30DoXe8/edit?usp=sharing"",""ตรัง!J398"")"),0)</f>
        <v>0</v>
      </c>
      <c r="BB79" s="552">
        <f ca="1">IFERROR(__xludf.DUMMYFUNCTION("IMPORTRANGE(""https://docs.google.com/spreadsheets/d/1IYY_tgx_IHuhSq3AJ5eI5OnqOPBNLWSHKh2a30DoXe8/edit?usp=sharing"",""ตรัง!J399"")"),0)</f>
        <v>0</v>
      </c>
      <c r="BC79" s="552">
        <f ca="1">IFERROR(__xludf.DUMMYFUNCTION("IMPORTRANGE(""https://docs.google.com/spreadsheets/d/1IYY_tgx_IHuhSq3AJ5eI5OnqOPBNLWSHKh2a30DoXe8/edit?usp=sharing"",""ตรัง!J400"")"),0)</f>
        <v>0</v>
      </c>
      <c r="BD79" s="552">
        <f ca="1">IFERROR(__xludf.DUMMYFUNCTION("IMPORTRANGE(""https://docs.google.com/spreadsheets/d/1IYY_tgx_IHuhSq3AJ5eI5OnqOPBNLWSHKh2a30DoXe8/edit?usp=sharing"",""ตรัง!J401"")"),0)</f>
        <v>0</v>
      </c>
      <c r="BE79" s="552">
        <f ca="1">IFERROR(__xludf.DUMMYFUNCTION("IMPORTRANGE(""https://docs.google.com/spreadsheets/d/1IYY_tgx_IHuhSq3AJ5eI5OnqOPBNLWSHKh2a30DoXe8/edit?usp=sharing"",""ตรัง!J402"")"),0)</f>
        <v>0</v>
      </c>
      <c r="BF79" s="552">
        <f ca="1">IFERROR(__xludf.DUMMYFUNCTION("IMPORTRANGE(""https://docs.google.com/spreadsheets/d/1IYY_tgx_IHuhSq3AJ5eI5OnqOPBNLWSHKh2a30DoXe8/edit?usp=sharing"",""ตรัง!J405"")"),0)</f>
        <v>0</v>
      </c>
      <c r="BG79" s="552">
        <f ca="1">IFERROR(__xludf.DUMMYFUNCTION("IMPORTRANGE(""https://docs.google.com/spreadsheets/d/1IYY_tgx_IHuhSq3AJ5eI5OnqOPBNLWSHKh2a30DoXe8/edit?usp=sharing"",""ตรัง!J406"")"),0)</f>
        <v>0</v>
      </c>
      <c r="BH79" s="552">
        <f ca="1">IFERROR(__xludf.DUMMYFUNCTION("IMPORTRANGE(""https://docs.google.com/spreadsheets/d/1IYY_tgx_IHuhSq3AJ5eI5OnqOPBNLWSHKh2a30DoXe8/edit?usp=sharing"",""ตรัง!J407"")"),0)</f>
        <v>0</v>
      </c>
      <c r="BI79" s="552">
        <f ca="1">IFERROR(__xludf.DUMMYFUNCTION("IMPORTRANGE(""https://docs.google.com/spreadsheets/d/1IYY_tgx_IHuhSq3AJ5eI5OnqOPBNLWSHKh2a30DoXe8/edit?usp=sharing"",""ตรัง!J408"")"),0)</f>
        <v>0</v>
      </c>
      <c r="BJ79" s="552">
        <f ca="1">IFERROR(__xludf.DUMMYFUNCTION("IMPORTRANGE(""https://docs.google.com/spreadsheets/d/1IYY_tgx_IHuhSq3AJ5eI5OnqOPBNLWSHKh2a30DoXe8/edit?usp=sharing"",""ตรัง!J409"")"),0)</f>
        <v>0</v>
      </c>
      <c r="BK79" s="552">
        <f ca="1">IFERROR(__xludf.DUMMYFUNCTION("IMPORTRANGE(""https://docs.google.com/spreadsheets/d/1IYY_tgx_IHuhSq3AJ5eI5OnqOPBNLWSHKh2a30DoXe8/edit?usp=sharing"",""ตรัง!J410"")"),0)</f>
        <v>0</v>
      </c>
      <c r="BL79" s="556">
        <f ca="1">IFERROR(__xludf.DUMMYFUNCTION("IMPORTRANGE(""https://docs.google.com/spreadsheets/d/1C3CXT74ZlgGe6_JY_1olB1XN4rF0dxEuIIF-xsYjHgg/edit?usp=sharing"",""งบกองทุน!CZ83"")"),0)</f>
        <v>0</v>
      </c>
      <c r="BM79" s="556">
        <f ca="1">IFERROR(__xludf.DUMMYFUNCTION("IMPORTRANGE(""https://docs.google.com/spreadsheets/d/1C3CXT74ZlgGe6_JY_1olB1XN4rF0dxEuIIF-xsYjHgg/edit?usp=sharing"",""งบกองทุน!CY83"")"),0)</f>
        <v>0</v>
      </c>
      <c r="BN79" s="556">
        <f t="shared" ca="1" si="137"/>
        <v>0</v>
      </c>
      <c r="BO79" s="557">
        <f t="shared" ca="1" si="15"/>
        <v>0</v>
      </c>
      <c r="BP79" s="556">
        <f t="shared" ca="1" si="138"/>
        <v>0</v>
      </c>
      <c r="BQ79" s="557">
        <f t="shared" ca="1" si="16"/>
        <v>0</v>
      </c>
      <c r="BR79" s="552">
        <f ca="1">IFERROR(__xludf.DUMMYFUNCTION("IMPORTRANGE(""https://docs.google.com/spreadsheets/d/1IYY_tgx_IHuhSq3AJ5eI5OnqOPBNLWSHKh2a30DoXe8/edit?usp=sharing"",""ตรัง!J414"")"),0)</f>
        <v>0</v>
      </c>
      <c r="BS79" s="552">
        <f ca="1">IFERROR(__xludf.DUMMYFUNCTION("IMPORTRANGE(""https://docs.google.com/spreadsheets/d/1IYY_tgx_IHuhSq3AJ5eI5OnqOPBNLWSHKh2a30DoXe8/edit?usp=sharing"",""ตรัง!J415"")"),0)</f>
        <v>0</v>
      </c>
      <c r="BT79" s="552">
        <f ca="1">IFERROR(__xludf.DUMMYFUNCTION("IMPORTRANGE(""https://docs.google.com/spreadsheets/d/1IYY_tgx_IHuhSq3AJ5eI5OnqOPBNLWSHKh2a30DoXe8/edit?usp=sharing"",""ตรัง!J416"")"),0)</f>
        <v>0</v>
      </c>
      <c r="BU79" s="552">
        <f ca="1">IFERROR(__xludf.DUMMYFUNCTION("IMPORTRANGE(""https://docs.google.com/spreadsheets/d/1IYY_tgx_IHuhSq3AJ5eI5OnqOPBNLWSHKh2a30DoXe8/edit?usp=sharing"",""ตรัง!J417"")"),0)</f>
        <v>0</v>
      </c>
      <c r="BV79" s="552">
        <f ca="1">IFERROR(__xludf.DUMMYFUNCTION("IMPORTRANGE(""https://docs.google.com/spreadsheets/d/1IYY_tgx_IHuhSq3AJ5eI5OnqOPBNLWSHKh2a30DoXe8/edit?usp=sharing"",""ตรัง!J418"")"),0)</f>
        <v>0</v>
      </c>
      <c r="BW79" s="552">
        <f ca="1">IFERROR(__xludf.DUMMYFUNCTION("IMPORTRANGE(""https://docs.google.com/spreadsheets/d/1IYY_tgx_IHuhSq3AJ5eI5OnqOPBNLWSHKh2a30DoXe8/edit?usp=sharing"",""ตรัง!J419"")"),0)</f>
        <v>0</v>
      </c>
      <c r="BX79" s="556">
        <f t="shared" ca="1" si="139"/>
        <v>0</v>
      </c>
      <c r="BY79" s="557">
        <f t="shared" ca="1" si="140"/>
        <v>0</v>
      </c>
      <c r="BZ79" s="556">
        <f t="shared" ca="1" si="141"/>
        <v>0</v>
      </c>
      <c r="CA79" s="557">
        <f t="shared" ca="1" si="142"/>
        <v>0</v>
      </c>
      <c r="CB79" s="552">
        <f ca="1">IFERROR(__xludf.DUMMYFUNCTION("IMPORTRANGE(""https://docs.google.com/spreadsheets/d/1IYY_tgx_IHuhSq3AJ5eI5OnqOPBNLWSHKh2a30DoXe8/edit?usp=sharing"",""ตรัง!J422"")"),0)</f>
        <v>0</v>
      </c>
      <c r="CC79" s="552">
        <f ca="1">IFERROR(__xludf.DUMMYFUNCTION("IMPORTRANGE(""https://docs.google.com/spreadsheets/d/1IYY_tgx_IHuhSq3AJ5eI5OnqOPBNLWSHKh2a30DoXe8/edit?usp=sharing"",""ตรัง!J423"")"),0)</f>
        <v>0</v>
      </c>
      <c r="CD79" s="552">
        <f ca="1">IFERROR(__xludf.DUMMYFUNCTION("IMPORTRANGE(""https://docs.google.com/spreadsheets/d/1IYY_tgx_IHuhSq3AJ5eI5OnqOPBNLWSHKh2a30DoXe8/edit?usp=sharing"",""ตรัง!J424"")"),0)</f>
        <v>0</v>
      </c>
      <c r="CE79" s="552">
        <f ca="1">IFERROR(__xludf.DUMMYFUNCTION("IMPORTRANGE(""https://docs.google.com/spreadsheets/d/1IYY_tgx_IHuhSq3AJ5eI5OnqOPBNLWSHKh2a30DoXe8/edit?usp=sharing"",""ตรัง!J425"")"),0)</f>
        <v>0</v>
      </c>
      <c r="CF79" s="552">
        <f ca="1">IFERROR(__xludf.DUMMYFUNCTION("IMPORTRANGE(""https://docs.google.com/spreadsheets/d/1IYY_tgx_IHuhSq3AJ5eI5OnqOPBNLWSHKh2a30DoXe8/edit?usp=sharing"",""ตรัง!J426"")"),0)</f>
        <v>0</v>
      </c>
      <c r="CG79" s="558">
        <f ca="1">IFERROR(__xludf.DUMMYFUNCTION("IMPORTRANGE(""https://docs.google.com/spreadsheets/d/1IYY_tgx_IHuhSq3AJ5eI5OnqOPBNLWSHKh2a30DoXe8/edit?usp=sharing"",""ตรัง!J427"")"),0)</f>
        <v>0</v>
      </c>
    </row>
    <row r="80" spans="1:85" ht="21" customHeight="1">
      <c r="A80" s="549">
        <v>4</v>
      </c>
      <c r="B80" s="550" t="s">
        <v>104</v>
      </c>
      <c r="C80" s="551">
        <f t="shared" ca="1" si="128"/>
        <v>452204</v>
      </c>
      <c r="D80" s="552">
        <f ca="1">IFERROR(__xludf.DUMMYFUNCTION("IMPORTRANGE(""https://docs.google.com/spreadsheets/d/1C3CXT74ZlgGe6_JY_1olB1XN4rF0dxEuIIF-xsYjHgg/edit?usp=sharing"",""งบกองทุน!BC84"")"),0)</f>
        <v>0</v>
      </c>
      <c r="E80" s="553">
        <f ca="1">IFERROR(__xludf.DUMMYFUNCTION("IMPORTRANGE(""https://docs.google.com/spreadsheets/d/1C3CXT74ZlgGe6_JY_1olB1XN4rF0dxEuIIF-xsYjHgg/edit?usp=sharing"",""งบกองทุน!BD84"")"),452204)</f>
        <v>452204</v>
      </c>
      <c r="F80" s="554">
        <f ca="1">IFERROR(__xludf.DUMMYFUNCTION("IMPORTRANGE(""https://docs.google.com/spreadsheets/d/1IYY_tgx_IHuhSq3AJ5eI5OnqOPBNLWSHKh2a30DoXe8/edit?usp=sharing"",""นครศรีธรรมราช!M352"")"),138480.37)</f>
        <v>138480.37</v>
      </c>
      <c r="G80" s="554">
        <f t="shared" ca="1" si="1"/>
        <v>30.623428806467878</v>
      </c>
      <c r="H80" s="555">
        <f ca="1">IFERROR(__xludf.DUMMYFUNCTION("IMPORTRANGE(""https://docs.google.com/spreadsheets/d/1C3CXT74ZlgGe6_JY_1olB1XN4rF0dxEuIIF-xsYjHgg/edit?usp=sharing"",""งบกองทุน!BE84"")"),49838)</f>
        <v>49838</v>
      </c>
      <c r="I80" s="555">
        <f ca="1">IFERROR(__xludf.DUMMYFUNCTION("IMPORTRANGE(""https://docs.google.com/spreadsheets/d/1C3CXT74ZlgGe6_JY_1olB1XN4rF0dxEuIIF-xsYjHgg/edit?usp=sharing"",""งบกองทุน!BF84"")"),6576)</f>
        <v>6576</v>
      </c>
      <c r="J80" s="552">
        <f t="shared" ca="1" si="129"/>
        <v>49838</v>
      </c>
      <c r="K80" s="554">
        <f t="shared" ca="1" si="3"/>
        <v>100</v>
      </c>
      <c r="L80" s="552">
        <f t="shared" ca="1" si="130"/>
        <v>6576</v>
      </c>
      <c r="M80" s="554">
        <f t="shared" ca="1" si="4"/>
        <v>100</v>
      </c>
      <c r="N80" s="552">
        <f ca="1">IFERROR(__xludf.DUMMYFUNCTION("IMPORTRANGE(""https://docs.google.com/spreadsheets/d/1IYY_tgx_IHuhSq3AJ5eI5OnqOPBNLWSHKh2a30DoXe8/edit?usp=sharing"",""นครศรีธรรมราช!J362"")"),48142)</f>
        <v>48142</v>
      </c>
      <c r="O80" s="552">
        <f ca="1">IFERROR(__xludf.DUMMYFUNCTION("IMPORTRANGE(""https://docs.google.com/spreadsheets/d/1IYY_tgx_IHuhSq3AJ5eI5OnqOPBNLWSHKh2a30DoXe8/edit?usp=sharing"",""นครศรีธรรมราช!J363"")"),6368)</f>
        <v>6368</v>
      </c>
      <c r="P80" s="552">
        <f ca="1">IFERROR(__xludf.DUMMYFUNCTION("IMPORTRANGE(""https://docs.google.com/spreadsheets/d/1IYY_tgx_IHuhSq3AJ5eI5OnqOPBNLWSHKh2a30DoXe8/edit?usp=sharing"",""นครศรีธรรมราช!J364"")"),1097)</f>
        <v>1097</v>
      </c>
      <c r="Q80" s="552">
        <f ca="1">IFERROR(__xludf.DUMMYFUNCTION("IMPORTRANGE(""https://docs.google.com/spreadsheets/d/1IYY_tgx_IHuhSq3AJ5eI5OnqOPBNLWSHKh2a30DoXe8/edit?usp=sharing"",""นครศรีธรรมราช!J365"")"),143)</f>
        <v>143</v>
      </c>
      <c r="R80" s="552">
        <f ca="1">IFERROR(__xludf.DUMMYFUNCTION("IMPORTRANGE(""https://docs.google.com/spreadsheets/d/1IYY_tgx_IHuhSq3AJ5eI5OnqOPBNLWSHKh2a30DoXe8/edit?usp=sharing"",""นครศรีธรรมราช!J366"")"),599)</f>
        <v>599</v>
      </c>
      <c r="S80" s="552">
        <f ca="1">IFERROR(__xludf.DUMMYFUNCTION("IMPORTRANGE(""https://docs.google.com/spreadsheets/d/1IYY_tgx_IHuhSq3AJ5eI5OnqOPBNLWSHKh2a30DoXe8/edit?usp=sharing"",""นครศรีธรรมราช!J367"")"),65)</f>
        <v>65</v>
      </c>
      <c r="T80" s="552">
        <f t="shared" ca="1" si="131"/>
        <v>49838</v>
      </c>
      <c r="U80" s="552">
        <f t="shared" ca="1" si="6"/>
        <v>100</v>
      </c>
      <c r="V80" s="552">
        <f t="shared" ca="1" si="132"/>
        <v>6576</v>
      </c>
      <c r="W80" s="552">
        <f t="shared" ca="1" si="7"/>
        <v>100</v>
      </c>
      <c r="X80" s="552">
        <f ca="1">IFERROR(__xludf.DUMMYFUNCTION("IMPORTRANGE(""https://docs.google.com/spreadsheets/d/1IYY_tgx_IHuhSq3AJ5eI5OnqOPBNLWSHKh2a30DoXe8/edit?usp=sharing"",""นครศรีธรรมราช!J370"")"),48243)</f>
        <v>48243</v>
      </c>
      <c r="Y80" s="552">
        <f ca="1">IFERROR(__xludf.DUMMYFUNCTION("IMPORTRANGE(""https://docs.google.com/spreadsheets/d/1IYY_tgx_IHuhSq3AJ5eI5OnqOPBNLWSHKh2a30DoXe8/edit?usp=sharing"",""นครศรีธรรมราช!J371"")"),6380)</f>
        <v>6380</v>
      </c>
      <c r="Z80" s="552">
        <f ca="1">IFERROR(__xludf.DUMMYFUNCTION("IMPORTRANGE(""https://docs.google.com/spreadsheets/d/1IYY_tgx_IHuhSq3AJ5eI5OnqOPBNLWSHKh2a30DoXe8/edit?usp=sharing"",""นครศรีธรรมราช!J372"")"),952)</f>
        <v>952</v>
      </c>
      <c r="AA80" s="552">
        <f ca="1">IFERROR(__xludf.DUMMYFUNCTION("IMPORTRANGE(""https://docs.google.com/spreadsheets/d/1IYY_tgx_IHuhSq3AJ5eI5OnqOPBNLWSHKh2a30DoXe8/edit?usp=sharing"",""นครศรีธรรมราช!J373"")"),128)</f>
        <v>128</v>
      </c>
      <c r="AB80" s="552">
        <f ca="1">IFERROR(__xludf.DUMMYFUNCTION("IMPORTRANGE(""https://docs.google.com/spreadsheets/d/1IYY_tgx_IHuhSq3AJ5eI5OnqOPBNLWSHKh2a30DoXe8/edit?usp=sharing"",""นครศรีธรรมราช!J374"")"),643)</f>
        <v>643</v>
      </c>
      <c r="AC80" s="552">
        <f ca="1">IFERROR(__xludf.DUMMYFUNCTION("IMPORTRANGE(""https://docs.google.com/spreadsheets/d/1IYY_tgx_IHuhSq3AJ5eI5OnqOPBNLWSHKh2a30DoXe8/edit?usp=sharing"",""นครศรีธรรมราช!J375"")"),68)</f>
        <v>68</v>
      </c>
      <c r="AD80" s="552">
        <f t="shared" ca="1" si="133"/>
        <v>0</v>
      </c>
      <c r="AE80" s="554">
        <f t="shared" ca="1" si="9"/>
        <v>0</v>
      </c>
      <c r="AF80" s="552">
        <f t="shared" ca="1" si="134"/>
        <v>0</v>
      </c>
      <c r="AG80" s="554">
        <f t="shared" ca="1" si="10"/>
        <v>0</v>
      </c>
      <c r="AH80" s="552">
        <f ca="1">IFERROR(__xludf.DUMMYFUNCTION("IMPORTRANGE(""https://docs.google.com/spreadsheets/d/1IYY_tgx_IHuhSq3AJ5eI5OnqOPBNLWSHKh2a30DoXe8/edit?usp=sharing"",""นครศรีธรรมราช!J378"")"),0)</f>
        <v>0</v>
      </c>
      <c r="AI80" s="552">
        <f ca="1">IFERROR(__xludf.DUMMYFUNCTION("IMPORTRANGE(""https://docs.google.com/spreadsheets/d/1IYY_tgx_IHuhSq3AJ5eI5OnqOPBNLWSHKh2a30DoXe8/edit?usp=sharing"",""นครศรีธรรมราช!J379"")"),0)</f>
        <v>0</v>
      </c>
      <c r="AJ80" s="552">
        <f ca="1">IFERROR(__xludf.DUMMYFUNCTION("IMPORTRANGE(""https://docs.google.com/spreadsheets/d/1IYY_tgx_IHuhSq3AJ5eI5OnqOPBNLWSHKh2a30DoXe8/edit?usp=sharing"",""นครศรีธรรมราช!J380"")"),0)</f>
        <v>0</v>
      </c>
      <c r="AK80" s="552">
        <f ca="1">IFERROR(__xludf.DUMMYFUNCTION("IMPORTRANGE(""https://docs.google.com/spreadsheets/d/1IYY_tgx_IHuhSq3AJ5eI5OnqOPBNLWSHKh2a30DoXe8/edit?usp=sharing"",""นครศรีธรรมราช!J381"")"),0)</f>
        <v>0</v>
      </c>
      <c r="AL80" s="552">
        <f ca="1">IFERROR(__xludf.DUMMYFUNCTION("IMPORTRANGE(""https://docs.google.com/spreadsheets/d/1IYY_tgx_IHuhSq3AJ5eI5OnqOPBNLWSHKh2a30DoXe8/edit?usp=sharing"",""นครศรีธรรมราช!J384"")"),0)</f>
        <v>0</v>
      </c>
      <c r="AM80" s="552">
        <f ca="1">IFERROR(__xludf.DUMMYFUNCTION("IMPORTRANGE(""https://docs.google.com/spreadsheets/d/1IYY_tgx_IHuhSq3AJ5eI5OnqOPBNLWSHKh2a30DoXe8/edit?usp=sharing"",""นครศรีธรรมราช!J385"")"),0)</f>
        <v>0</v>
      </c>
      <c r="AN80" s="552">
        <f ca="1">IFERROR(__xludf.DUMMYFUNCTION("IMPORTRANGE(""https://docs.google.com/spreadsheets/d/1IYY_tgx_IHuhSq3AJ5eI5OnqOPBNLWSHKh2a30DoXe8/edit?usp=sharing"",""นครศรีธรรมราช!J386"")"),0)</f>
        <v>0</v>
      </c>
      <c r="AO80" s="552">
        <f ca="1">IFERROR(__xludf.DUMMYFUNCTION("IMPORTRANGE(""https://docs.google.com/spreadsheets/d/1IYY_tgx_IHuhSq3AJ5eI5OnqOPBNLWSHKh2a30DoXe8/edit?usp=sharing"",""นครศรีธรรมราช!J387"")"),0)</f>
        <v>0</v>
      </c>
      <c r="AP80" s="552">
        <f ca="1">IFERROR(__xludf.DUMMYFUNCTION("IMPORTRANGE(""https://docs.google.com/spreadsheets/d/1IYY_tgx_IHuhSq3AJ5eI5OnqOPBNLWSHKh2a30DoXe8/edit?usp=sharing"",""นครศรีธรรมราช!J388"")"),0)</f>
        <v>0</v>
      </c>
      <c r="AQ80" s="552">
        <f ca="1">IFERROR(__xludf.DUMMYFUNCTION("IMPORTRANGE(""https://docs.google.com/spreadsheets/d/1IYY_tgx_IHuhSq3AJ5eI5OnqOPBNLWSHKh2a30DoXe8/edit?usp=sharing"",""นครศรีธรรมราช!J389"")"),0)</f>
        <v>0</v>
      </c>
      <c r="AR80" s="552">
        <f ca="1">IFERROR(__xludf.DUMMYFUNCTION("IMPORTRANGE(""https://docs.google.com/spreadsheets/d/1IYY_tgx_IHuhSq3AJ5eI5OnqOPBNLWSHKh2a30DoXe8/edit?usp=sharing"",""นครศรีธรรมราช!J390"")"),0)</f>
        <v>0</v>
      </c>
      <c r="AS80" s="552">
        <f ca="1">IFERROR(__xludf.DUMMYFUNCTION("IMPORTRANGE(""https://docs.google.com/spreadsheets/d/1IYY_tgx_IHuhSq3AJ5eI5OnqOPBNLWSHKh2a30DoXe8/edit?usp=sharing"",""นครศรีธรรมราช!J391"")"),0)</f>
        <v>0</v>
      </c>
      <c r="AT80" s="556">
        <f ca="1">IFERROR(__xludf.DUMMYFUNCTION("IMPORTRANGE(""https://docs.google.com/spreadsheets/d/1C3CXT74ZlgGe6_JY_1olB1XN4rF0dxEuIIF-xsYjHgg/edit?usp=sharing"",""งบกองทุน!CD84"")"),0)</f>
        <v>0</v>
      </c>
      <c r="AU80" s="556">
        <f ca="1">IFERROR(__xludf.DUMMYFUNCTION("IMPORTRANGE(""https://docs.google.com/spreadsheets/d/1C3CXT74ZlgGe6_JY_1olB1XN4rF0dxEuIIF-xsYjHgg/edit?usp=sharing"",""งบกองทุน!CC84"")"),0)</f>
        <v>0</v>
      </c>
      <c r="AV80" s="556">
        <f t="shared" ca="1" si="135"/>
        <v>0</v>
      </c>
      <c r="AW80" s="556">
        <f t="shared" ca="1" si="12"/>
        <v>0</v>
      </c>
      <c r="AX80" s="556">
        <f t="shared" ca="1" si="136"/>
        <v>0</v>
      </c>
      <c r="AY80" s="556">
        <f t="shared" ca="1" si="13"/>
        <v>0</v>
      </c>
      <c r="AZ80" s="552">
        <f ca="1">IFERROR(__xludf.DUMMYFUNCTION("IMPORTRANGE(""https://docs.google.com/spreadsheets/d/1IYY_tgx_IHuhSq3AJ5eI5OnqOPBNLWSHKh2a30DoXe8/edit?usp=sharing"",""นครศรีธรรมราช!J397"")"),0)</f>
        <v>0</v>
      </c>
      <c r="BA80" s="552">
        <f ca="1">IFERROR(__xludf.DUMMYFUNCTION("IMPORTRANGE(""https://docs.google.com/spreadsheets/d/1IYY_tgx_IHuhSq3AJ5eI5OnqOPBNLWSHKh2a30DoXe8/edit?usp=sharing"",""นครศรีธรรมราช!J398"")"),0)</f>
        <v>0</v>
      </c>
      <c r="BB80" s="552">
        <f ca="1">IFERROR(__xludf.DUMMYFUNCTION("IMPORTRANGE(""https://docs.google.com/spreadsheets/d/1IYY_tgx_IHuhSq3AJ5eI5OnqOPBNLWSHKh2a30DoXe8/edit?usp=sharing"",""นครศรีธรรมราช!J399"")"),0)</f>
        <v>0</v>
      </c>
      <c r="BC80" s="552">
        <f ca="1">IFERROR(__xludf.DUMMYFUNCTION("IMPORTRANGE(""https://docs.google.com/spreadsheets/d/1IYY_tgx_IHuhSq3AJ5eI5OnqOPBNLWSHKh2a30DoXe8/edit?usp=sharing"",""นครศรีธรรมราช!J400"")"),0)</f>
        <v>0</v>
      </c>
      <c r="BD80" s="552">
        <f ca="1">IFERROR(__xludf.DUMMYFUNCTION("IMPORTRANGE(""https://docs.google.com/spreadsheets/d/1IYY_tgx_IHuhSq3AJ5eI5OnqOPBNLWSHKh2a30DoXe8/edit?usp=sharing"",""นครศรีธรรมราช!J401"")"),0)</f>
        <v>0</v>
      </c>
      <c r="BE80" s="552">
        <f ca="1">IFERROR(__xludf.DUMMYFUNCTION("IMPORTRANGE(""https://docs.google.com/spreadsheets/d/1IYY_tgx_IHuhSq3AJ5eI5OnqOPBNLWSHKh2a30DoXe8/edit?usp=sharing"",""นครศรีธรรมราช!J402"")"),0)</f>
        <v>0</v>
      </c>
      <c r="BF80" s="552">
        <f ca="1">IFERROR(__xludf.DUMMYFUNCTION("IMPORTRANGE(""https://docs.google.com/spreadsheets/d/1IYY_tgx_IHuhSq3AJ5eI5OnqOPBNLWSHKh2a30DoXe8/edit?usp=sharing"",""นครศรีธรรมราช!J405"")"),0)</f>
        <v>0</v>
      </c>
      <c r="BG80" s="552">
        <f ca="1">IFERROR(__xludf.DUMMYFUNCTION("IMPORTRANGE(""https://docs.google.com/spreadsheets/d/1IYY_tgx_IHuhSq3AJ5eI5OnqOPBNLWSHKh2a30DoXe8/edit?usp=sharing"",""นครศรีธรรมราช!J406"")"),0)</f>
        <v>0</v>
      </c>
      <c r="BH80" s="552">
        <f ca="1">IFERROR(__xludf.DUMMYFUNCTION("IMPORTRANGE(""https://docs.google.com/spreadsheets/d/1IYY_tgx_IHuhSq3AJ5eI5OnqOPBNLWSHKh2a30DoXe8/edit?usp=sharing"",""นครศรีธรรมราช!J407"")"),0)</f>
        <v>0</v>
      </c>
      <c r="BI80" s="552">
        <f ca="1">IFERROR(__xludf.DUMMYFUNCTION("IMPORTRANGE(""https://docs.google.com/spreadsheets/d/1IYY_tgx_IHuhSq3AJ5eI5OnqOPBNLWSHKh2a30DoXe8/edit?usp=sharing"",""นครศรีธรรมราช!J408"")"),0)</f>
        <v>0</v>
      </c>
      <c r="BJ80" s="552">
        <f ca="1">IFERROR(__xludf.DUMMYFUNCTION("IMPORTRANGE(""https://docs.google.com/spreadsheets/d/1IYY_tgx_IHuhSq3AJ5eI5OnqOPBNLWSHKh2a30DoXe8/edit?usp=sharing"",""นครศรีธรรมราช!J409"")"),0)</f>
        <v>0</v>
      </c>
      <c r="BK80" s="552">
        <f ca="1">IFERROR(__xludf.DUMMYFUNCTION("IMPORTRANGE(""https://docs.google.com/spreadsheets/d/1IYY_tgx_IHuhSq3AJ5eI5OnqOPBNLWSHKh2a30DoXe8/edit?usp=sharing"",""นครศรีธรรมราช!J410"")"),0)</f>
        <v>0</v>
      </c>
      <c r="BL80" s="556">
        <f ca="1">IFERROR(__xludf.DUMMYFUNCTION("IMPORTRANGE(""https://docs.google.com/spreadsheets/d/1C3CXT74ZlgGe6_JY_1olB1XN4rF0dxEuIIF-xsYjHgg/edit?usp=sharing"",""งบกองทุน!CZ84"")"),0)</f>
        <v>0</v>
      </c>
      <c r="BM80" s="556">
        <f ca="1">IFERROR(__xludf.DUMMYFUNCTION("IMPORTRANGE(""https://docs.google.com/spreadsheets/d/1C3CXT74ZlgGe6_JY_1olB1XN4rF0dxEuIIF-xsYjHgg/edit?usp=sharing"",""งบกองทุน!CY84"")"),0)</f>
        <v>0</v>
      </c>
      <c r="BN80" s="556">
        <f t="shared" ca="1" si="137"/>
        <v>0</v>
      </c>
      <c r="BO80" s="557">
        <f t="shared" ca="1" si="15"/>
        <v>0</v>
      </c>
      <c r="BP80" s="556">
        <f t="shared" ca="1" si="138"/>
        <v>0</v>
      </c>
      <c r="BQ80" s="557">
        <f t="shared" ca="1" si="16"/>
        <v>0</v>
      </c>
      <c r="BR80" s="552">
        <f ca="1">IFERROR(__xludf.DUMMYFUNCTION("IMPORTRANGE(""https://docs.google.com/spreadsheets/d/1IYY_tgx_IHuhSq3AJ5eI5OnqOPBNLWSHKh2a30DoXe8/edit?usp=sharing"",""นครศรีธรรมราช!J414"")"),0)</f>
        <v>0</v>
      </c>
      <c r="BS80" s="552">
        <f ca="1">IFERROR(__xludf.DUMMYFUNCTION("IMPORTRANGE(""https://docs.google.com/spreadsheets/d/1IYY_tgx_IHuhSq3AJ5eI5OnqOPBNLWSHKh2a30DoXe8/edit?usp=sharing"",""นครศรีธรรมราช!J415"")"),0)</f>
        <v>0</v>
      </c>
      <c r="BT80" s="552">
        <f ca="1">IFERROR(__xludf.DUMMYFUNCTION("IMPORTRANGE(""https://docs.google.com/spreadsheets/d/1IYY_tgx_IHuhSq3AJ5eI5OnqOPBNLWSHKh2a30DoXe8/edit?usp=sharing"",""นครศรีธรรมราช!J416"")"),0)</f>
        <v>0</v>
      </c>
      <c r="BU80" s="552">
        <f ca="1">IFERROR(__xludf.DUMMYFUNCTION("IMPORTRANGE(""https://docs.google.com/spreadsheets/d/1IYY_tgx_IHuhSq3AJ5eI5OnqOPBNLWSHKh2a30DoXe8/edit?usp=sharing"",""นครศรีธรรมราช!J417"")"),0)</f>
        <v>0</v>
      </c>
      <c r="BV80" s="552">
        <f ca="1">IFERROR(__xludf.DUMMYFUNCTION("IMPORTRANGE(""https://docs.google.com/spreadsheets/d/1IYY_tgx_IHuhSq3AJ5eI5OnqOPBNLWSHKh2a30DoXe8/edit?usp=sharing"",""นครศรีธรรมราช!J418"")"),0)</f>
        <v>0</v>
      </c>
      <c r="BW80" s="552">
        <f ca="1">IFERROR(__xludf.DUMMYFUNCTION("IMPORTRANGE(""https://docs.google.com/spreadsheets/d/1IYY_tgx_IHuhSq3AJ5eI5OnqOPBNLWSHKh2a30DoXe8/edit?usp=sharing"",""นครศรีธรรมราช!J419"")"),0)</f>
        <v>0</v>
      </c>
      <c r="BX80" s="556">
        <f t="shared" ca="1" si="139"/>
        <v>0</v>
      </c>
      <c r="BY80" s="557">
        <f t="shared" ca="1" si="140"/>
        <v>0</v>
      </c>
      <c r="BZ80" s="556">
        <f t="shared" ca="1" si="141"/>
        <v>0</v>
      </c>
      <c r="CA80" s="557">
        <f t="shared" ca="1" si="142"/>
        <v>0</v>
      </c>
      <c r="CB80" s="552">
        <f ca="1">IFERROR(__xludf.DUMMYFUNCTION("IMPORTRANGE(""https://docs.google.com/spreadsheets/d/1IYY_tgx_IHuhSq3AJ5eI5OnqOPBNLWSHKh2a30DoXe8/edit?usp=sharing"",""นครศรีธรรมราช!J422"")"),0)</f>
        <v>0</v>
      </c>
      <c r="CC80" s="552">
        <f ca="1">IFERROR(__xludf.DUMMYFUNCTION("IMPORTRANGE(""https://docs.google.com/spreadsheets/d/1IYY_tgx_IHuhSq3AJ5eI5OnqOPBNLWSHKh2a30DoXe8/edit?usp=sharing"",""นครศรีธรรมราช!J423"")"),0)</f>
        <v>0</v>
      </c>
      <c r="CD80" s="552">
        <f ca="1">IFERROR(__xludf.DUMMYFUNCTION("IMPORTRANGE(""https://docs.google.com/spreadsheets/d/1IYY_tgx_IHuhSq3AJ5eI5OnqOPBNLWSHKh2a30DoXe8/edit?usp=sharing"",""นครศรีธรรมราช!J424"")"),0)</f>
        <v>0</v>
      </c>
      <c r="CE80" s="552">
        <f ca="1">IFERROR(__xludf.DUMMYFUNCTION("IMPORTRANGE(""https://docs.google.com/spreadsheets/d/1IYY_tgx_IHuhSq3AJ5eI5OnqOPBNLWSHKh2a30DoXe8/edit?usp=sharing"",""นครศรีธรรมราช!J425"")"),0)</f>
        <v>0</v>
      </c>
      <c r="CF80" s="552">
        <f ca="1">IFERROR(__xludf.DUMMYFUNCTION("IMPORTRANGE(""https://docs.google.com/spreadsheets/d/1IYY_tgx_IHuhSq3AJ5eI5OnqOPBNLWSHKh2a30DoXe8/edit?usp=sharing"",""นครศรีธรรมราช!J426"")"),0)</f>
        <v>0</v>
      </c>
      <c r="CG80" s="558">
        <f ca="1">IFERROR(__xludf.DUMMYFUNCTION("IMPORTRANGE(""https://docs.google.com/spreadsheets/d/1IYY_tgx_IHuhSq3AJ5eI5OnqOPBNLWSHKh2a30DoXe8/edit?usp=sharing"",""นครศรีธรรมราช!J427"")"),0)</f>
        <v>0</v>
      </c>
    </row>
    <row r="81" spans="1:85" ht="21" customHeight="1">
      <c r="A81" s="549">
        <v>5</v>
      </c>
      <c r="B81" s="550" t="s">
        <v>105</v>
      </c>
      <c r="C81" s="551">
        <f t="shared" ca="1" si="128"/>
        <v>54258</v>
      </c>
      <c r="D81" s="552">
        <f ca="1">IFERROR(__xludf.DUMMYFUNCTION("IMPORTRANGE(""https://docs.google.com/spreadsheets/d/1C3CXT74ZlgGe6_JY_1olB1XN4rF0dxEuIIF-xsYjHgg/edit?usp=sharing"",""งบกองทุน!BC85"")"),0)</f>
        <v>0</v>
      </c>
      <c r="E81" s="553">
        <f ca="1">IFERROR(__xludf.DUMMYFUNCTION("IMPORTRANGE(""https://docs.google.com/spreadsheets/d/1C3CXT74ZlgGe6_JY_1olB1XN4rF0dxEuIIF-xsYjHgg/edit?usp=sharing"",""งบกองทุน!BD85"")"),54258)</f>
        <v>54258</v>
      </c>
      <c r="F81" s="554">
        <f ca="1">IFERROR(__xludf.DUMMYFUNCTION("IMPORTRANGE(""https://docs.google.com/spreadsheets/d/1IYY_tgx_IHuhSq3AJ5eI5OnqOPBNLWSHKh2a30DoXe8/edit?usp=sharing"",""นราธิวาส!M352"")"),24624)</f>
        <v>24624</v>
      </c>
      <c r="G81" s="554">
        <f t="shared" ca="1" si="1"/>
        <v>45.383169302222711</v>
      </c>
      <c r="H81" s="555">
        <f ca="1">IFERROR(__xludf.DUMMYFUNCTION("IMPORTRANGE(""https://docs.google.com/spreadsheets/d/1C3CXT74ZlgGe6_JY_1olB1XN4rF0dxEuIIF-xsYjHgg/edit?usp=sharing"",""งบกองทุน!BE85"")"),3019)</f>
        <v>3019</v>
      </c>
      <c r="I81" s="555">
        <f ca="1">IFERROR(__xludf.DUMMYFUNCTION("IMPORTRANGE(""https://docs.google.com/spreadsheets/d/1C3CXT74ZlgGe6_JY_1olB1XN4rF0dxEuIIF-xsYjHgg/edit?usp=sharing"",""งบกองทุน!BF85"")"),902)</f>
        <v>902</v>
      </c>
      <c r="J81" s="552">
        <f t="shared" ca="1" si="129"/>
        <v>3020</v>
      </c>
      <c r="K81" s="554">
        <f t="shared" ca="1" si="3"/>
        <v>100.03312355084465</v>
      </c>
      <c r="L81" s="552">
        <f t="shared" ca="1" si="130"/>
        <v>902</v>
      </c>
      <c r="M81" s="554">
        <f t="shared" ca="1" si="4"/>
        <v>100</v>
      </c>
      <c r="N81" s="552">
        <f ca="1">IFERROR(__xludf.DUMMYFUNCTION("IMPORTRANGE(""https://docs.google.com/spreadsheets/d/1IYY_tgx_IHuhSq3AJ5eI5OnqOPBNLWSHKh2a30DoXe8/edit?usp=sharing"",""นราธิวาส!J362"")"),2999)</f>
        <v>2999</v>
      </c>
      <c r="O81" s="552">
        <f ca="1">IFERROR(__xludf.DUMMYFUNCTION("IMPORTRANGE(""https://docs.google.com/spreadsheets/d/1IYY_tgx_IHuhSq3AJ5eI5OnqOPBNLWSHKh2a30DoXe8/edit?usp=sharing"",""นราธิวาส!J363"")"),894)</f>
        <v>894</v>
      </c>
      <c r="P81" s="552">
        <f ca="1">IFERROR(__xludf.DUMMYFUNCTION("IMPORTRANGE(""https://docs.google.com/spreadsheets/d/1IYY_tgx_IHuhSq3AJ5eI5OnqOPBNLWSHKh2a30DoXe8/edit?usp=sharing"",""นราธิวาส!J364"")"),0)</f>
        <v>0</v>
      </c>
      <c r="Q81" s="552">
        <f ca="1">IFERROR(__xludf.DUMMYFUNCTION("IMPORTRANGE(""https://docs.google.com/spreadsheets/d/1IYY_tgx_IHuhSq3AJ5eI5OnqOPBNLWSHKh2a30DoXe8/edit?usp=sharing"",""นราธิวาส!J365"")"),0)</f>
        <v>0</v>
      </c>
      <c r="R81" s="552">
        <f ca="1">IFERROR(__xludf.DUMMYFUNCTION("IMPORTRANGE(""https://docs.google.com/spreadsheets/d/1IYY_tgx_IHuhSq3AJ5eI5OnqOPBNLWSHKh2a30DoXe8/edit?usp=sharing"",""นราธิวาส!J366"")"),21)</f>
        <v>21</v>
      </c>
      <c r="S81" s="552">
        <f ca="1">IFERROR(__xludf.DUMMYFUNCTION("IMPORTRANGE(""https://docs.google.com/spreadsheets/d/1IYY_tgx_IHuhSq3AJ5eI5OnqOPBNLWSHKh2a30DoXe8/edit?usp=sharing"",""นราธิวาส!J367"")"),8)</f>
        <v>8</v>
      </c>
      <c r="T81" s="552">
        <f t="shared" ca="1" si="131"/>
        <v>3020</v>
      </c>
      <c r="U81" s="552">
        <f t="shared" ca="1" si="6"/>
        <v>100.03312355084465</v>
      </c>
      <c r="V81" s="552">
        <f t="shared" ca="1" si="132"/>
        <v>902</v>
      </c>
      <c r="W81" s="552">
        <f t="shared" ca="1" si="7"/>
        <v>100</v>
      </c>
      <c r="X81" s="552">
        <f ca="1">IFERROR(__xludf.DUMMYFUNCTION("IMPORTRANGE(""https://docs.google.com/spreadsheets/d/1IYY_tgx_IHuhSq3AJ5eI5OnqOPBNLWSHKh2a30DoXe8/edit?usp=sharing"",""นราธิวาส!J370"")"),2999)</f>
        <v>2999</v>
      </c>
      <c r="Y81" s="552">
        <f ca="1">IFERROR(__xludf.DUMMYFUNCTION("IMPORTRANGE(""https://docs.google.com/spreadsheets/d/1IYY_tgx_IHuhSq3AJ5eI5OnqOPBNLWSHKh2a30DoXe8/edit?usp=sharing"",""นราธิวาส!J371"")"),894)</f>
        <v>894</v>
      </c>
      <c r="Z81" s="552">
        <f ca="1">IFERROR(__xludf.DUMMYFUNCTION("IMPORTRANGE(""https://docs.google.com/spreadsheets/d/1IYY_tgx_IHuhSq3AJ5eI5OnqOPBNLWSHKh2a30DoXe8/edit?usp=sharing"",""นราธิวาส!J372"")"),0)</f>
        <v>0</v>
      </c>
      <c r="AA81" s="552">
        <f ca="1">IFERROR(__xludf.DUMMYFUNCTION("IMPORTRANGE(""https://docs.google.com/spreadsheets/d/1IYY_tgx_IHuhSq3AJ5eI5OnqOPBNLWSHKh2a30DoXe8/edit?usp=sharing"",""นราธิวาส!J373"")"),0)</f>
        <v>0</v>
      </c>
      <c r="AB81" s="552">
        <f ca="1">IFERROR(__xludf.DUMMYFUNCTION("IMPORTRANGE(""https://docs.google.com/spreadsheets/d/1IYY_tgx_IHuhSq3AJ5eI5OnqOPBNLWSHKh2a30DoXe8/edit?usp=sharing"",""นราธิวาส!J374"")"),21)</f>
        <v>21</v>
      </c>
      <c r="AC81" s="552">
        <f ca="1">IFERROR(__xludf.DUMMYFUNCTION("IMPORTRANGE(""https://docs.google.com/spreadsheets/d/1IYY_tgx_IHuhSq3AJ5eI5OnqOPBNLWSHKh2a30DoXe8/edit?usp=sharing"",""นราธิวาส!J375"")"),8)</f>
        <v>8</v>
      </c>
      <c r="AD81" s="552">
        <f t="shared" ca="1" si="133"/>
        <v>3020</v>
      </c>
      <c r="AE81" s="554">
        <f t="shared" ca="1" si="9"/>
        <v>100.03312355084465</v>
      </c>
      <c r="AF81" s="552">
        <f t="shared" ca="1" si="134"/>
        <v>902</v>
      </c>
      <c r="AG81" s="554">
        <f t="shared" ca="1" si="10"/>
        <v>100</v>
      </c>
      <c r="AH81" s="552">
        <f ca="1">IFERROR(__xludf.DUMMYFUNCTION("IMPORTRANGE(""https://docs.google.com/spreadsheets/d/1IYY_tgx_IHuhSq3AJ5eI5OnqOPBNLWSHKh2a30DoXe8/edit?usp=sharing"",""นราธิวาส!J378"")"),2999)</f>
        <v>2999</v>
      </c>
      <c r="AI81" s="552">
        <f ca="1">IFERROR(__xludf.DUMMYFUNCTION("IMPORTRANGE(""https://docs.google.com/spreadsheets/d/1IYY_tgx_IHuhSq3AJ5eI5OnqOPBNLWSHKh2a30DoXe8/edit?usp=sharing"",""นราธิวาส!J379"")"),894)</f>
        <v>894</v>
      </c>
      <c r="AJ81" s="552">
        <f ca="1">IFERROR(__xludf.DUMMYFUNCTION("IMPORTRANGE(""https://docs.google.com/spreadsheets/d/1IYY_tgx_IHuhSq3AJ5eI5OnqOPBNLWSHKh2a30DoXe8/edit?usp=sharing"",""นราธิวาส!J380"")"),0)</f>
        <v>0</v>
      </c>
      <c r="AK81" s="552">
        <f ca="1">IFERROR(__xludf.DUMMYFUNCTION("IMPORTRANGE(""https://docs.google.com/spreadsheets/d/1IYY_tgx_IHuhSq3AJ5eI5OnqOPBNLWSHKh2a30DoXe8/edit?usp=sharing"",""นราธิวาส!J381"")"),0)</f>
        <v>0</v>
      </c>
      <c r="AL81" s="552">
        <f ca="1">IFERROR(__xludf.DUMMYFUNCTION("IMPORTRANGE(""https://docs.google.com/spreadsheets/d/1IYY_tgx_IHuhSq3AJ5eI5OnqOPBNLWSHKh2a30DoXe8/edit?usp=sharing"",""นราธิวาส!J384"")"),21)</f>
        <v>21</v>
      </c>
      <c r="AM81" s="552">
        <f ca="1">IFERROR(__xludf.DUMMYFUNCTION("IMPORTRANGE(""https://docs.google.com/spreadsheets/d/1IYY_tgx_IHuhSq3AJ5eI5OnqOPBNLWSHKh2a30DoXe8/edit?usp=sharing"",""นราธิวาส!J385"")"),8)</f>
        <v>8</v>
      </c>
      <c r="AN81" s="552">
        <f ca="1">IFERROR(__xludf.DUMMYFUNCTION("IMPORTRANGE(""https://docs.google.com/spreadsheets/d/1IYY_tgx_IHuhSq3AJ5eI5OnqOPBNLWSHKh2a30DoXe8/edit?usp=sharing"",""นราธิวาส!J386"")"),0)</f>
        <v>0</v>
      </c>
      <c r="AO81" s="552">
        <f ca="1">IFERROR(__xludf.DUMMYFUNCTION("IMPORTRANGE(""https://docs.google.com/spreadsheets/d/1IYY_tgx_IHuhSq3AJ5eI5OnqOPBNLWSHKh2a30DoXe8/edit?usp=sharing"",""นราธิวาส!J387"")"),0)</f>
        <v>0</v>
      </c>
      <c r="AP81" s="552">
        <f ca="1">IFERROR(__xludf.DUMMYFUNCTION("IMPORTRANGE(""https://docs.google.com/spreadsheets/d/1IYY_tgx_IHuhSq3AJ5eI5OnqOPBNLWSHKh2a30DoXe8/edit?usp=sharing"",""นราธิวาส!J388"")"),0)</f>
        <v>0</v>
      </c>
      <c r="AQ81" s="552">
        <f ca="1">IFERROR(__xludf.DUMMYFUNCTION("IMPORTRANGE(""https://docs.google.com/spreadsheets/d/1IYY_tgx_IHuhSq3AJ5eI5OnqOPBNLWSHKh2a30DoXe8/edit?usp=sharing"",""นราธิวาส!J389"")"),0)</f>
        <v>0</v>
      </c>
      <c r="AR81" s="552">
        <f ca="1">IFERROR(__xludf.DUMMYFUNCTION("IMPORTRANGE(""https://docs.google.com/spreadsheets/d/1IYY_tgx_IHuhSq3AJ5eI5OnqOPBNLWSHKh2a30DoXe8/edit?usp=sharing"",""นราธิวาส!J390"")"),0)</f>
        <v>0</v>
      </c>
      <c r="AS81" s="552">
        <f ca="1">IFERROR(__xludf.DUMMYFUNCTION("IMPORTRANGE(""https://docs.google.com/spreadsheets/d/1IYY_tgx_IHuhSq3AJ5eI5OnqOPBNLWSHKh2a30DoXe8/edit?usp=sharing"",""นราธิวาส!J391"")"),0)</f>
        <v>0</v>
      </c>
      <c r="AT81" s="556">
        <f ca="1">IFERROR(__xludf.DUMMYFUNCTION("IMPORTRANGE(""https://docs.google.com/spreadsheets/d/1C3CXT74ZlgGe6_JY_1olB1XN4rF0dxEuIIF-xsYjHgg/edit?usp=sharing"",""งบกองทุน!CD85"")"),0)</f>
        <v>0</v>
      </c>
      <c r="AU81" s="556">
        <f ca="1">IFERROR(__xludf.DUMMYFUNCTION("IMPORTRANGE(""https://docs.google.com/spreadsheets/d/1C3CXT74ZlgGe6_JY_1olB1XN4rF0dxEuIIF-xsYjHgg/edit?usp=sharing"",""งบกองทุน!CC85"")"),0)</f>
        <v>0</v>
      </c>
      <c r="AV81" s="556">
        <f t="shared" ca="1" si="135"/>
        <v>0</v>
      </c>
      <c r="AW81" s="556">
        <f t="shared" ca="1" si="12"/>
        <v>0</v>
      </c>
      <c r="AX81" s="556">
        <f t="shared" ca="1" si="136"/>
        <v>0</v>
      </c>
      <c r="AY81" s="556">
        <f t="shared" ca="1" si="13"/>
        <v>0</v>
      </c>
      <c r="AZ81" s="552">
        <f ca="1">IFERROR(__xludf.DUMMYFUNCTION("IMPORTRANGE(""https://docs.google.com/spreadsheets/d/1IYY_tgx_IHuhSq3AJ5eI5OnqOPBNLWSHKh2a30DoXe8/edit?usp=sharing"",""นราธิวาส!J397"")"),0)</f>
        <v>0</v>
      </c>
      <c r="BA81" s="552">
        <f ca="1">IFERROR(__xludf.DUMMYFUNCTION("IMPORTRANGE(""https://docs.google.com/spreadsheets/d/1IYY_tgx_IHuhSq3AJ5eI5OnqOPBNLWSHKh2a30DoXe8/edit?usp=sharing"",""นราธิวาส!J398"")"),0)</f>
        <v>0</v>
      </c>
      <c r="BB81" s="552">
        <f ca="1">IFERROR(__xludf.DUMMYFUNCTION("IMPORTRANGE(""https://docs.google.com/spreadsheets/d/1IYY_tgx_IHuhSq3AJ5eI5OnqOPBNLWSHKh2a30DoXe8/edit?usp=sharing"",""นราธิวาส!J399"")"),0)</f>
        <v>0</v>
      </c>
      <c r="BC81" s="552">
        <f ca="1">IFERROR(__xludf.DUMMYFUNCTION("IMPORTRANGE(""https://docs.google.com/spreadsheets/d/1IYY_tgx_IHuhSq3AJ5eI5OnqOPBNLWSHKh2a30DoXe8/edit?usp=sharing"",""นราธิวาส!J400"")"),0)</f>
        <v>0</v>
      </c>
      <c r="BD81" s="552">
        <f ca="1">IFERROR(__xludf.DUMMYFUNCTION("IMPORTRANGE(""https://docs.google.com/spreadsheets/d/1IYY_tgx_IHuhSq3AJ5eI5OnqOPBNLWSHKh2a30DoXe8/edit?usp=sharing"",""นราธิวาส!J401"")"),0)</f>
        <v>0</v>
      </c>
      <c r="BE81" s="552">
        <f ca="1">IFERROR(__xludf.DUMMYFUNCTION("IMPORTRANGE(""https://docs.google.com/spreadsheets/d/1IYY_tgx_IHuhSq3AJ5eI5OnqOPBNLWSHKh2a30DoXe8/edit?usp=sharing"",""นราธิวาส!J402"")"),0)</f>
        <v>0</v>
      </c>
      <c r="BF81" s="552">
        <f ca="1">IFERROR(__xludf.DUMMYFUNCTION("IMPORTRANGE(""https://docs.google.com/spreadsheets/d/1IYY_tgx_IHuhSq3AJ5eI5OnqOPBNLWSHKh2a30DoXe8/edit?usp=sharing"",""นราธิวาส!J405"")"),0)</f>
        <v>0</v>
      </c>
      <c r="BG81" s="552">
        <f ca="1">IFERROR(__xludf.DUMMYFUNCTION("IMPORTRANGE(""https://docs.google.com/spreadsheets/d/1IYY_tgx_IHuhSq3AJ5eI5OnqOPBNLWSHKh2a30DoXe8/edit?usp=sharing"",""นราธิวาส!J406"")"),0)</f>
        <v>0</v>
      </c>
      <c r="BH81" s="552">
        <f ca="1">IFERROR(__xludf.DUMMYFUNCTION("IMPORTRANGE(""https://docs.google.com/spreadsheets/d/1IYY_tgx_IHuhSq3AJ5eI5OnqOPBNLWSHKh2a30DoXe8/edit?usp=sharing"",""นราธิวาส!J407"")"),0)</f>
        <v>0</v>
      </c>
      <c r="BI81" s="552">
        <f ca="1">IFERROR(__xludf.DUMMYFUNCTION("IMPORTRANGE(""https://docs.google.com/spreadsheets/d/1IYY_tgx_IHuhSq3AJ5eI5OnqOPBNLWSHKh2a30DoXe8/edit?usp=sharing"",""นราธิวาส!J408"")"),0)</f>
        <v>0</v>
      </c>
      <c r="BJ81" s="552">
        <f ca="1">IFERROR(__xludf.DUMMYFUNCTION("IMPORTRANGE(""https://docs.google.com/spreadsheets/d/1IYY_tgx_IHuhSq3AJ5eI5OnqOPBNLWSHKh2a30DoXe8/edit?usp=sharing"",""นราธิวาส!J409"")"),0)</f>
        <v>0</v>
      </c>
      <c r="BK81" s="552">
        <f ca="1">IFERROR(__xludf.DUMMYFUNCTION("IMPORTRANGE(""https://docs.google.com/spreadsheets/d/1IYY_tgx_IHuhSq3AJ5eI5OnqOPBNLWSHKh2a30DoXe8/edit?usp=sharing"",""นราธิวาส!J410"")"),0)</f>
        <v>0</v>
      </c>
      <c r="BL81" s="556">
        <f ca="1">IFERROR(__xludf.DUMMYFUNCTION("IMPORTRANGE(""https://docs.google.com/spreadsheets/d/1C3CXT74ZlgGe6_JY_1olB1XN4rF0dxEuIIF-xsYjHgg/edit?usp=sharing"",""งบกองทุน!CZ85"")"),0)</f>
        <v>0</v>
      </c>
      <c r="BM81" s="556">
        <f ca="1">IFERROR(__xludf.DUMMYFUNCTION("IMPORTRANGE(""https://docs.google.com/spreadsheets/d/1C3CXT74ZlgGe6_JY_1olB1XN4rF0dxEuIIF-xsYjHgg/edit?usp=sharing"",""งบกองทุน!CY85"")"),0)</f>
        <v>0</v>
      </c>
      <c r="BN81" s="556">
        <f t="shared" ca="1" si="137"/>
        <v>0</v>
      </c>
      <c r="BO81" s="557">
        <f t="shared" ca="1" si="15"/>
        <v>0</v>
      </c>
      <c r="BP81" s="556">
        <f t="shared" ca="1" si="138"/>
        <v>0</v>
      </c>
      <c r="BQ81" s="557">
        <f t="shared" ca="1" si="16"/>
        <v>0</v>
      </c>
      <c r="BR81" s="552">
        <f ca="1">IFERROR(__xludf.DUMMYFUNCTION("IMPORTRANGE(""https://docs.google.com/spreadsheets/d/1IYY_tgx_IHuhSq3AJ5eI5OnqOPBNLWSHKh2a30DoXe8/edit?usp=sharing"",""นราธิวาส!J414"")"),0)</f>
        <v>0</v>
      </c>
      <c r="BS81" s="552">
        <f ca="1">IFERROR(__xludf.DUMMYFUNCTION("IMPORTRANGE(""https://docs.google.com/spreadsheets/d/1IYY_tgx_IHuhSq3AJ5eI5OnqOPBNLWSHKh2a30DoXe8/edit?usp=sharing"",""นราธิวาส!J415"")"),0)</f>
        <v>0</v>
      </c>
      <c r="BT81" s="552">
        <f ca="1">IFERROR(__xludf.DUMMYFUNCTION("IMPORTRANGE(""https://docs.google.com/spreadsheets/d/1IYY_tgx_IHuhSq3AJ5eI5OnqOPBNLWSHKh2a30DoXe8/edit?usp=sharing"",""นราธิวาส!J416"")"),0)</f>
        <v>0</v>
      </c>
      <c r="BU81" s="552">
        <f ca="1">IFERROR(__xludf.DUMMYFUNCTION("IMPORTRANGE(""https://docs.google.com/spreadsheets/d/1IYY_tgx_IHuhSq3AJ5eI5OnqOPBNLWSHKh2a30DoXe8/edit?usp=sharing"",""นราธิวาส!J417"")"),0)</f>
        <v>0</v>
      </c>
      <c r="BV81" s="552">
        <f ca="1">IFERROR(__xludf.DUMMYFUNCTION("IMPORTRANGE(""https://docs.google.com/spreadsheets/d/1IYY_tgx_IHuhSq3AJ5eI5OnqOPBNLWSHKh2a30DoXe8/edit?usp=sharing"",""นราธิวาส!J418"")"),0)</f>
        <v>0</v>
      </c>
      <c r="BW81" s="552">
        <f ca="1">IFERROR(__xludf.DUMMYFUNCTION("IMPORTRANGE(""https://docs.google.com/spreadsheets/d/1IYY_tgx_IHuhSq3AJ5eI5OnqOPBNLWSHKh2a30DoXe8/edit?usp=sharing"",""นราธิวาส!J419"")"),0)</f>
        <v>0</v>
      </c>
      <c r="BX81" s="556">
        <f t="shared" ca="1" si="139"/>
        <v>0</v>
      </c>
      <c r="BY81" s="557">
        <f t="shared" ca="1" si="140"/>
        <v>0</v>
      </c>
      <c r="BZ81" s="556">
        <f t="shared" ca="1" si="141"/>
        <v>0</v>
      </c>
      <c r="CA81" s="557">
        <f t="shared" ca="1" si="142"/>
        <v>0</v>
      </c>
      <c r="CB81" s="552">
        <f ca="1">IFERROR(__xludf.DUMMYFUNCTION("IMPORTRANGE(""https://docs.google.com/spreadsheets/d/1IYY_tgx_IHuhSq3AJ5eI5OnqOPBNLWSHKh2a30DoXe8/edit?usp=sharing"",""นราธิวาส!J422"")"),0)</f>
        <v>0</v>
      </c>
      <c r="CC81" s="552">
        <f ca="1">IFERROR(__xludf.DUMMYFUNCTION("IMPORTRANGE(""https://docs.google.com/spreadsheets/d/1IYY_tgx_IHuhSq3AJ5eI5OnqOPBNLWSHKh2a30DoXe8/edit?usp=sharing"",""นราธิวาส!J423"")"),0)</f>
        <v>0</v>
      </c>
      <c r="CD81" s="552">
        <f ca="1">IFERROR(__xludf.DUMMYFUNCTION("IMPORTRANGE(""https://docs.google.com/spreadsheets/d/1IYY_tgx_IHuhSq3AJ5eI5OnqOPBNLWSHKh2a30DoXe8/edit?usp=sharing"",""นราธิวาส!J424"")"),0)</f>
        <v>0</v>
      </c>
      <c r="CE81" s="552">
        <f ca="1">IFERROR(__xludf.DUMMYFUNCTION("IMPORTRANGE(""https://docs.google.com/spreadsheets/d/1IYY_tgx_IHuhSq3AJ5eI5OnqOPBNLWSHKh2a30DoXe8/edit?usp=sharing"",""นราธิวาส!J425"")"),0)</f>
        <v>0</v>
      </c>
      <c r="CF81" s="552">
        <f ca="1">IFERROR(__xludf.DUMMYFUNCTION("IMPORTRANGE(""https://docs.google.com/spreadsheets/d/1IYY_tgx_IHuhSq3AJ5eI5OnqOPBNLWSHKh2a30DoXe8/edit?usp=sharing"",""นราธิวาส!J426"")"),0)</f>
        <v>0</v>
      </c>
      <c r="CG81" s="558">
        <f ca="1">IFERROR(__xludf.DUMMYFUNCTION("IMPORTRANGE(""https://docs.google.com/spreadsheets/d/1IYY_tgx_IHuhSq3AJ5eI5OnqOPBNLWSHKh2a30DoXe8/edit?usp=sharing"",""นราธิวาส!J427"")"),0)</f>
        <v>0</v>
      </c>
    </row>
    <row r="82" spans="1:85" ht="21" customHeight="1">
      <c r="A82" s="549">
        <v>6</v>
      </c>
      <c r="B82" s="550" t="s">
        <v>106</v>
      </c>
      <c r="C82" s="551">
        <f t="shared" ca="1" si="128"/>
        <v>53226</v>
      </c>
      <c r="D82" s="552">
        <f ca="1">IFERROR(__xludf.DUMMYFUNCTION("IMPORTRANGE(""https://docs.google.com/spreadsheets/d/1C3CXT74ZlgGe6_JY_1olB1XN4rF0dxEuIIF-xsYjHgg/edit?usp=sharing"",""งบกองทุน!BC86"")"),0)</f>
        <v>0</v>
      </c>
      <c r="E82" s="553">
        <f ca="1">IFERROR(__xludf.DUMMYFUNCTION("IMPORTRANGE(""https://docs.google.com/spreadsheets/d/1C3CXT74ZlgGe6_JY_1olB1XN4rF0dxEuIIF-xsYjHgg/edit?usp=sharing"",""งบกองทุน!BD86"")"),53226)</f>
        <v>53226</v>
      </c>
      <c r="F82" s="554">
        <f ca="1">IFERROR(__xludf.DUMMYFUNCTION("IMPORTRANGE(""https://docs.google.com/spreadsheets/d/1IYY_tgx_IHuhSq3AJ5eI5OnqOPBNLWSHKh2a30DoXe8/edit?usp=sharing"",""ปัตตานี!M352"")"),22105)</f>
        <v>22105</v>
      </c>
      <c r="G82" s="554">
        <f t="shared" ca="1" si="1"/>
        <v>41.530455040769546</v>
      </c>
      <c r="H82" s="555">
        <f ca="1">IFERROR(__xludf.DUMMYFUNCTION("IMPORTRANGE(""https://docs.google.com/spreadsheets/d/1C3CXT74ZlgGe6_JY_1olB1XN4rF0dxEuIIF-xsYjHgg/edit?usp=sharing"",""งบกองทุน!BE86"")"),2341)</f>
        <v>2341</v>
      </c>
      <c r="I82" s="555">
        <f ca="1">IFERROR(__xludf.DUMMYFUNCTION("IMPORTRANGE(""https://docs.google.com/spreadsheets/d/1C3CXT74ZlgGe6_JY_1olB1XN4rF0dxEuIIF-xsYjHgg/edit?usp=sharing"",""งบกองทุน!BF86"")"),396)</f>
        <v>396</v>
      </c>
      <c r="J82" s="552">
        <f t="shared" ca="1" si="129"/>
        <v>2341.08</v>
      </c>
      <c r="K82" s="554">
        <f t="shared" ca="1" si="3"/>
        <v>100.00341734301581</v>
      </c>
      <c r="L82" s="552">
        <f t="shared" ca="1" si="130"/>
        <v>396</v>
      </c>
      <c r="M82" s="554">
        <f t="shared" ca="1" si="4"/>
        <v>100</v>
      </c>
      <c r="N82" s="552">
        <f ca="1">IFERROR(__xludf.DUMMYFUNCTION("IMPORTRANGE(""https://docs.google.com/spreadsheets/d/1IYY_tgx_IHuhSq3AJ5eI5OnqOPBNLWSHKh2a30DoXe8/edit?usp=sharing"",""ปัตตานี!J362"")"),2216.29)</f>
        <v>2216.29</v>
      </c>
      <c r="O82" s="552">
        <f ca="1">IFERROR(__xludf.DUMMYFUNCTION("IMPORTRANGE(""https://docs.google.com/spreadsheets/d/1IYY_tgx_IHuhSq3AJ5eI5OnqOPBNLWSHKh2a30DoXe8/edit?usp=sharing"",""ปัตตานี!J363"")"),379)</f>
        <v>379</v>
      </c>
      <c r="P82" s="552">
        <f ca="1">IFERROR(__xludf.DUMMYFUNCTION("IMPORTRANGE(""https://docs.google.com/spreadsheets/d/1IYY_tgx_IHuhSq3AJ5eI5OnqOPBNLWSHKh2a30DoXe8/edit?usp=sharing"",""ปัตตานี!J364"")"),10.37)</f>
        <v>10.37</v>
      </c>
      <c r="Q82" s="552">
        <f ca="1">IFERROR(__xludf.DUMMYFUNCTION("IMPORTRANGE(""https://docs.google.com/spreadsheets/d/1IYY_tgx_IHuhSq3AJ5eI5OnqOPBNLWSHKh2a30DoXe8/edit?usp=sharing"",""ปัตตานี!J365"")"),2)</f>
        <v>2</v>
      </c>
      <c r="R82" s="552">
        <f ca="1">IFERROR(__xludf.DUMMYFUNCTION("IMPORTRANGE(""https://docs.google.com/spreadsheets/d/1IYY_tgx_IHuhSq3AJ5eI5OnqOPBNLWSHKh2a30DoXe8/edit?usp=sharing"",""ปัตตานี!J366"")"),114.42)</f>
        <v>114.42</v>
      </c>
      <c r="S82" s="552">
        <f ca="1">IFERROR(__xludf.DUMMYFUNCTION("IMPORTRANGE(""https://docs.google.com/spreadsheets/d/1IYY_tgx_IHuhSq3AJ5eI5OnqOPBNLWSHKh2a30DoXe8/edit?usp=sharing"",""ปัตตานี!J367"")"),15)</f>
        <v>15</v>
      </c>
      <c r="T82" s="552">
        <f t="shared" ca="1" si="131"/>
        <v>2341.08</v>
      </c>
      <c r="U82" s="552">
        <f t="shared" ca="1" si="6"/>
        <v>100.00341734301581</v>
      </c>
      <c r="V82" s="552">
        <f t="shared" ca="1" si="132"/>
        <v>396</v>
      </c>
      <c r="W82" s="552">
        <f t="shared" ca="1" si="7"/>
        <v>100</v>
      </c>
      <c r="X82" s="552">
        <f ca="1">IFERROR(__xludf.DUMMYFUNCTION("IMPORTRANGE(""https://docs.google.com/spreadsheets/d/1IYY_tgx_IHuhSq3AJ5eI5OnqOPBNLWSHKh2a30DoXe8/edit?usp=sharing"",""ปัตตานี!J370"")"),2226.66)</f>
        <v>2226.66</v>
      </c>
      <c r="Y82" s="552">
        <f ca="1">IFERROR(__xludf.DUMMYFUNCTION("IMPORTRANGE(""https://docs.google.com/spreadsheets/d/1IYY_tgx_IHuhSq3AJ5eI5OnqOPBNLWSHKh2a30DoXe8/edit?usp=sharing"",""ปัตตานี!J371"")"),381)</f>
        <v>381</v>
      </c>
      <c r="Z82" s="552">
        <f ca="1">IFERROR(__xludf.DUMMYFUNCTION("IMPORTRANGE(""https://docs.google.com/spreadsheets/d/1IYY_tgx_IHuhSq3AJ5eI5OnqOPBNLWSHKh2a30DoXe8/edit?usp=sharing"",""ปัตตานี!J372"")"),0)</f>
        <v>0</v>
      </c>
      <c r="AA82" s="552">
        <f ca="1">IFERROR(__xludf.DUMMYFUNCTION("IMPORTRANGE(""https://docs.google.com/spreadsheets/d/1IYY_tgx_IHuhSq3AJ5eI5OnqOPBNLWSHKh2a30DoXe8/edit?usp=sharing"",""ปัตตานี!J373"")"),0)</f>
        <v>0</v>
      </c>
      <c r="AB82" s="552">
        <f ca="1">IFERROR(__xludf.DUMMYFUNCTION("IMPORTRANGE(""https://docs.google.com/spreadsheets/d/1IYY_tgx_IHuhSq3AJ5eI5OnqOPBNLWSHKh2a30DoXe8/edit?usp=sharing"",""ปัตตานี!J374"")"),114.42)</f>
        <v>114.42</v>
      </c>
      <c r="AC82" s="552">
        <f ca="1">IFERROR(__xludf.DUMMYFUNCTION("IMPORTRANGE(""https://docs.google.com/spreadsheets/d/1IYY_tgx_IHuhSq3AJ5eI5OnqOPBNLWSHKh2a30DoXe8/edit?usp=sharing"",""ปัตตานี!J375"")"),15)</f>
        <v>15</v>
      </c>
      <c r="AD82" s="552">
        <f t="shared" ca="1" si="133"/>
        <v>2341.08</v>
      </c>
      <c r="AE82" s="554">
        <f t="shared" ca="1" si="9"/>
        <v>100.00341734301581</v>
      </c>
      <c r="AF82" s="552">
        <f t="shared" ca="1" si="134"/>
        <v>396</v>
      </c>
      <c r="AG82" s="554">
        <f t="shared" ca="1" si="10"/>
        <v>100</v>
      </c>
      <c r="AH82" s="552">
        <f ca="1">IFERROR(__xludf.DUMMYFUNCTION("IMPORTRANGE(""https://docs.google.com/spreadsheets/d/1IYY_tgx_IHuhSq3AJ5eI5OnqOPBNLWSHKh2a30DoXe8/edit?usp=sharing"",""ปัตตานี!J378"")"),2226.66)</f>
        <v>2226.66</v>
      </c>
      <c r="AI82" s="552">
        <f ca="1">IFERROR(__xludf.DUMMYFUNCTION("IMPORTRANGE(""https://docs.google.com/spreadsheets/d/1IYY_tgx_IHuhSq3AJ5eI5OnqOPBNLWSHKh2a30DoXe8/edit?usp=sharing"",""ปัตตานี!J379"")"),381)</f>
        <v>381</v>
      </c>
      <c r="AJ82" s="552">
        <f ca="1">IFERROR(__xludf.DUMMYFUNCTION("IMPORTRANGE(""https://docs.google.com/spreadsheets/d/1IYY_tgx_IHuhSq3AJ5eI5OnqOPBNLWSHKh2a30DoXe8/edit?usp=sharing"",""ปัตตานี!J380"")"),0)</f>
        <v>0</v>
      </c>
      <c r="AK82" s="552">
        <f ca="1">IFERROR(__xludf.DUMMYFUNCTION("IMPORTRANGE(""https://docs.google.com/spreadsheets/d/1IYY_tgx_IHuhSq3AJ5eI5OnqOPBNLWSHKh2a30DoXe8/edit?usp=sharing"",""ปัตตานี!J381"")"),0)</f>
        <v>0</v>
      </c>
      <c r="AL82" s="552">
        <f ca="1">IFERROR(__xludf.DUMMYFUNCTION("IMPORTRANGE(""https://docs.google.com/spreadsheets/d/1IYY_tgx_IHuhSq3AJ5eI5OnqOPBNLWSHKh2a30DoXe8/edit?usp=sharing"",""ปัตตานี!J384"")"),114.42)</f>
        <v>114.42</v>
      </c>
      <c r="AM82" s="552">
        <f ca="1">IFERROR(__xludf.DUMMYFUNCTION("IMPORTRANGE(""https://docs.google.com/spreadsheets/d/1IYY_tgx_IHuhSq3AJ5eI5OnqOPBNLWSHKh2a30DoXe8/edit?usp=sharing"",""ปัตตานี!J385"")"),15)</f>
        <v>15</v>
      </c>
      <c r="AN82" s="552">
        <f ca="1">IFERROR(__xludf.DUMMYFUNCTION("IMPORTRANGE(""https://docs.google.com/spreadsheets/d/1IYY_tgx_IHuhSq3AJ5eI5OnqOPBNLWSHKh2a30DoXe8/edit?usp=sharing"",""ปัตตานี!J386"")"),0)</f>
        <v>0</v>
      </c>
      <c r="AO82" s="552">
        <f ca="1">IFERROR(__xludf.DUMMYFUNCTION("IMPORTRANGE(""https://docs.google.com/spreadsheets/d/1IYY_tgx_IHuhSq3AJ5eI5OnqOPBNLWSHKh2a30DoXe8/edit?usp=sharing"",""ปัตตานี!J387"")"),0)</f>
        <v>0</v>
      </c>
      <c r="AP82" s="552">
        <f ca="1">IFERROR(__xludf.DUMMYFUNCTION("IMPORTRANGE(""https://docs.google.com/spreadsheets/d/1IYY_tgx_IHuhSq3AJ5eI5OnqOPBNLWSHKh2a30DoXe8/edit?usp=sharing"",""ปัตตานี!J388"")"),0)</f>
        <v>0</v>
      </c>
      <c r="AQ82" s="552">
        <f ca="1">IFERROR(__xludf.DUMMYFUNCTION("IMPORTRANGE(""https://docs.google.com/spreadsheets/d/1IYY_tgx_IHuhSq3AJ5eI5OnqOPBNLWSHKh2a30DoXe8/edit?usp=sharing"",""ปัตตานี!J389"")"),0)</f>
        <v>0</v>
      </c>
      <c r="AR82" s="552">
        <f ca="1">IFERROR(__xludf.DUMMYFUNCTION("IMPORTRANGE(""https://docs.google.com/spreadsheets/d/1IYY_tgx_IHuhSq3AJ5eI5OnqOPBNLWSHKh2a30DoXe8/edit?usp=sharing"",""ปัตตานี!J390"")"),0)</f>
        <v>0</v>
      </c>
      <c r="AS82" s="552">
        <f ca="1">IFERROR(__xludf.DUMMYFUNCTION("IMPORTRANGE(""https://docs.google.com/spreadsheets/d/1IYY_tgx_IHuhSq3AJ5eI5OnqOPBNLWSHKh2a30DoXe8/edit?usp=sharing"",""ปัตตานี!J391"")"),0)</f>
        <v>0</v>
      </c>
      <c r="AT82" s="556">
        <f ca="1">IFERROR(__xludf.DUMMYFUNCTION("IMPORTRANGE(""https://docs.google.com/spreadsheets/d/1C3CXT74ZlgGe6_JY_1olB1XN4rF0dxEuIIF-xsYjHgg/edit?usp=sharing"",""งบกองทุน!CD86"")"),0)</f>
        <v>0</v>
      </c>
      <c r="AU82" s="556">
        <f ca="1">IFERROR(__xludf.DUMMYFUNCTION("IMPORTRANGE(""https://docs.google.com/spreadsheets/d/1C3CXT74ZlgGe6_JY_1olB1XN4rF0dxEuIIF-xsYjHgg/edit?usp=sharing"",""งบกองทุน!CC86"")"),0)</f>
        <v>0</v>
      </c>
      <c r="AV82" s="556">
        <f t="shared" ca="1" si="135"/>
        <v>0</v>
      </c>
      <c r="AW82" s="556">
        <f t="shared" ca="1" si="12"/>
        <v>0</v>
      </c>
      <c r="AX82" s="556">
        <f t="shared" ca="1" si="136"/>
        <v>0</v>
      </c>
      <c r="AY82" s="556">
        <f t="shared" ca="1" si="13"/>
        <v>0</v>
      </c>
      <c r="AZ82" s="552">
        <f ca="1">IFERROR(__xludf.DUMMYFUNCTION("IMPORTRANGE(""https://docs.google.com/spreadsheets/d/1IYY_tgx_IHuhSq3AJ5eI5OnqOPBNLWSHKh2a30DoXe8/edit?usp=sharing"",""ปัตตานี!J397"")"),0)</f>
        <v>0</v>
      </c>
      <c r="BA82" s="552">
        <f ca="1">IFERROR(__xludf.DUMMYFUNCTION("IMPORTRANGE(""https://docs.google.com/spreadsheets/d/1IYY_tgx_IHuhSq3AJ5eI5OnqOPBNLWSHKh2a30DoXe8/edit?usp=sharing"",""ปัตตานี!J398"")"),0)</f>
        <v>0</v>
      </c>
      <c r="BB82" s="552">
        <f ca="1">IFERROR(__xludf.DUMMYFUNCTION("IMPORTRANGE(""https://docs.google.com/spreadsheets/d/1IYY_tgx_IHuhSq3AJ5eI5OnqOPBNLWSHKh2a30DoXe8/edit?usp=sharing"",""ปัตตานี!J399"")"),0)</f>
        <v>0</v>
      </c>
      <c r="BC82" s="552">
        <f ca="1">IFERROR(__xludf.DUMMYFUNCTION("IMPORTRANGE(""https://docs.google.com/spreadsheets/d/1IYY_tgx_IHuhSq3AJ5eI5OnqOPBNLWSHKh2a30DoXe8/edit?usp=sharing"",""ปัตตานี!J400"")"),0)</f>
        <v>0</v>
      </c>
      <c r="BD82" s="552">
        <f ca="1">IFERROR(__xludf.DUMMYFUNCTION("IMPORTRANGE(""https://docs.google.com/spreadsheets/d/1IYY_tgx_IHuhSq3AJ5eI5OnqOPBNLWSHKh2a30DoXe8/edit?usp=sharing"",""ปัตตานี!J401"")"),0)</f>
        <v>0</v>
      </c>
      <c r="BE82" s="552">
        <f ca="1">IFERROR(__xludf.DUMMYFUNCTION("IMPORTRANGE(""https://docs.google.com/spreadsheets/d/1IYY_tgx_IHuhSq3AJ5eI5OnqOPBNLWSHKh2a30DoXe8/edit?usp=sharing"",""ปัตตานี!J402"")"),0)</f>
        <v>0</v>
      </c>
      <c r="BF82" s="552">
        <f ca="1">IFERROR(__xludf.DUMMYFUNCTION("IMPORTRANGE(""https://docs.google.com/spreadsheets/d/1IYY_tgx_IHuhSq3AJ5eI5OnqOPBNLWSHKh2a30DoXe8/edit?usp=sharing"",""ปัตตานี!J405"")"),0)</f>
        <v>0</v>
      </c>
      <c r="BG82" s="552">
        <f ca="1">IFERROR(__xludf.DUMMYFUNCTION("IMPORTRANGE(""https://docs.google.com/spreadsheets/d/1IYY_tgx_IHuhSq3AJ5eI5OnqOPBNLWSHKh2a30DoXe8/edit?usp=sharing"",""ปัตตานี!J406"")"),0)</f>
        <v>0</v>
      </c>
      <c r="BH82" s="552">
        <f ca="1">IFERROR(__xludf.DUMMYFUNCTION("IMPORTRANGE(""https://docs.google.com/spreadsheets/d/1IYY_tgx_IHuhSq3AJ5eI5OnqOPBNLWSHKh2a30DoXe8/edit?usp=sharing"",""ปัตตานี!J407"")"),0)</f>
        <v>0</v>
      </c>
      <c r="BI82" s="552">
        <f ca="1">IFERROR(__xludf.DUMMYFUNCTION("IMPORTRANGE(""https://docs.google.com/spreadsheets/d/1IYY_tgx_IHuhSq3AJ5eI5OnqOPBNLWSHKh2a30DoXe8/edit?usp=sharing"",""ปัตตานี!J408"")"),0)</f>
        <v>0</v>
      </c>
      <c r="BJ82" s="552">
        <f ca="1">IFERROR(__xludf.DUMMYFUNCTION("IMPORTRANGE(""https://docs.google.com/spreadsheets/d/1IYY_tgx_IHuhSq3AJ5eI5OnqOPBNLWSHKh2a30DoXe8/edit?usp=sharing"",""ปัตตานี!J409"")"),0)</f>
        <v>0</v>
      </c>
      <c r="BK82" s="552">
        <f ca="1">IFERROR(__xludf.DUMMYFUNCTION("IMPORTRANGE(""https://docs.google.com/spreadsheets/d/1IYY_tgx_IHuhSq3AJ5eI5OnqOPBNLWSHKh2a30DoXe8/edit?usp=sharing"",""ปัตตานี!J410"")"),0)</f>
        <v>0</v>
      </c>
      <c r="BL82" s="556">
        <f ca="1">IFERROR(__xludf.DUMMYFUNCTION("IMPORTRANGE(""https://docs.google.com/spreadsheets/d/1C3CXT74ZlgGe6_JY_1olB1XN4rF0dxEuIIF-xsYjHgg/edit?usp=sharing"",""งบกองทุน!CZ86"")"),0)</f>
        <v>0</v>
      </c>
      <c r="BM82" s="556">
        <f ca="1">IFERROR(__xludf.DUMMYFUNCTION("IMPORTRANGE(""https://docs.google.com/spreadsheets/d/1C3CXT74ZlgGe6_JY_1olB1XN4rF0dxEuIIF-xsYjHgg/edit?usp=sharing"",""งบกองทุน!CY86"")"),0)</f>
        <v>0</v>
      </c>
      <c r="BN82" s="556">
        <f t="shared" ca="1" si="137"/>
        <v>0</v>
      </c>
      <c r="BO82" s="557">
        <f t="shared" ca="1" si="15"/>
        <v>0</v>
      </c>
      <c r="BP82" s="556">
        <f t="shared" ca="1" si="138"/>
        <v>0</v>
      </c>
      <c r="BQ82" s="557">
        <f t="shared" ca="1" si="16"/>
        <v>0</v>
      </c>
      <c r="BR82" s="552">
        <f ca="1">IFERROR(__xludf.DUMMYFUNCTION("IMPORTRANGE(""https://docs.google.com/spreadsheets/d/1IYY_tgx_IHuhSq3AJ5eI5OnqOPBNLWSHKh2a30DoXe8/edit?usp=sharing"",""ปัตตานี!J414"")"),0)</f>
        <v>0</v>
      </c>
      <c r="BS82" s="552">
        <f ca="1">IFERROR(__xludf.DUMMYFUNCTION("IMPORTRANGE(""https://docs.google.com/spreadsheets/d/1IYY_tgx_IHuhSq3AJ5eI5OnqOPBNLWSHKh2a30DoXe8/edit?usp=sharing"",""ปัตตานี!J415"")"),0)</f>
        <v>0</v>
      </c>
      <c r="BT82" s="552">
        <f ca="1">IFERROR(__xludf.DUMMYFUNCTION("IMPORTRANGE(""https://docs.google.com/spreadsheets/d/1IYY_tgx_IHuhSq3AJ5eI5OnqOPBNLWSHKh2a30DoXe8/edit?usp=sharing"",""ปัตตานี!J416"")"),0)</f>
        <v>0</v>
      </c>
      <c r="BU82" s="552">
        <f ca="1">IFERROR(__xludf.DUMMYFUNCTION("IMPORTRANGE(""https://docs.google.com/spreadsheets/d/1IYY_tgx_IHuhSq3AJ5eI5OnqOPBNLWSHKh2a30DoXe8/edit?usp=sharing"",""ปัตตานี!J417"")"),0)</f>
        <v>0</v>
      </c>
      <c r="BV82" s="552">
        <f ca="1">IFERROR(__xludf.DUMMYFUNCTION("IMPORTRANGE(""https://docs.google.com/spreadsheets/d/1IYY_tgx_IHuhSq3AJ5eI5OnqOPBNLWSHKh2a30DoXe8/edit?usp=sharing"",""ปัตตานี!J418"")"),0)</f>
        <v>0</v>
      </c>
      <c r="BW82" s="552">
        <f ca="1">IFERROR(__xludf.DUMMYFUNCTION("IMPORTRANGE(""https://docs.google.com/spreadsheets/d/1IYY_tgx_IHuhSq3AJ5eI5OnqOPBNLWSHKh2a30DoXe8/edit?usp=sharing"",""ปัตตานี!J419"")"),0)</f>
        <v>0</v>
      </c>
      <c r="BX82" s="556">
        <f t="shared" ca="1" si="139"/>
        <v>0</v>
      </c>
      <c r="BY82" s="557">
        <f t="shared" ca="1" si="140"/>
        <v>0</v>
      </c>
      <c r="BZ82" s="556">
        <f t="shared" ca="1" si="141"/>
        <v>0</v>
      </c>
      <c r="CA82" s="557">
        <f t="shared" ca="1" si="142"/>
        <v>0</v>
      </c>
      <c r="CB82" s="552">
        <f ca="1">IFERROR(__xludf.DUMMYFUNCTION("IMPORTRANGE(""https://docs.google.com/spreadsheets/d/1IYY_tgx_IHuhSq3AJ5eI5OnqOPBNLWSHKh2a30DoXe8/edit?usp=sharing"",""ปัตตานี!J422"")"),0)</f>
        <v>0</v>
      </c>
      <c r="CC82" s="552">
        <f ca="1">IFERROR(__xludf.DUMMYFUNCTION("IMPORTRANGE(""https://docs.google.com/spreadsheets/d/1IYY_tgx_IHuhSq3AJ5eI5OnqOPBNLWSHKh2a30DoXe8/edit?usp=sharing"",""ปัตตานี!J423"")"),0)</f>
        <v>0</v>
      </c>
      <c r="CD82" s="552">
        <f ca="1">IFERROR(__xludf.DUMMYFUNCTION("IMPORTRANGE(""https://docs.google.com/spreadsheets/d/1IYY_tgx_IHuhSq3AJ5eI5OnqOPBNLWSHKh2a30DoXe8/edit?usp=sharing"",""ปัตตานี!J424"")"),0)</f>
        <v>0</v>
      </c>
      <c r="CE82" s="552">
        <f ca="1">IFERROR(__xludf.DUMMYFUNCTION("IMPORTRANGE(""https://docs.google.com/spreadsheets/d/1IYY_tgx_IHuhSq3AJ5eI5OnqOPBNLWSHKh2a30DoXe8/edit?usp=sharing"",""ปัตตานี!J425"")"),0)</f>
        <v>0</v>
      </c>
      <c r="CF82" s="552">
        <f ca="1">IFERROR(__xludf.DUMMYFUNCTION("IMPORTRANGE(""https://docs.google.com/spreadsheets/d/1IYY_tgx_IHuhSq3AJ5eI5OnqOPBNLWSHKh2a30DoXe8/edit?usp=sharing"",""ปัตตานี!J426"")"),0)</f>
        <v>0</v>
      </c>
      <c r="CG82" s="558">
        <f ca="1">IFERROR(__xludf.DUMMYFUNCTION("IMPORTRANGE(""https://docs.google.com/spreadsheets/d/1IYY_tgx_IHuhSq3AJ5eI5OnqOPBNLWSHKh2a30DoXe8/edit?usp=sharing"",""ปัตตานี!J427"")"),0)</f>
        <v>0</v>
      </c>
    </row>
    <row r="83" spans="1:85" ht="21" customHeight="1">
      <c r="A83" s="549">
        <v>7</v>
      </c>
      <c r="B83" s="550" t="s">
        <v>107</v>
      </c>
      <c r="C83" s="551">
        <f t="shared" ca="1" si="128"/>
        <v>163622</v>
      </c>
      <c r="D83" s="552">
        <f ca="1">IFERROR(__xludf.DUMMYFUNCTION("IMPORTRANGE(""https://docs.google.com/spreadsheets/d/1C3CXT74ZlgGe6_JY_1olB1XN4rF0dxEuIIF-xsYjHgg/edit?usp=sharing"",""งบกองทุน!BC87"")"),0)</f>
        <v>0</v>
      </c>
      <c r="E83" s="553">
        <f ca="1">IFERROR(__xludf.DUMMYFUNCTION("IMPORTRANGE(""https://docs.google.com/spreadsheets/d/1C3CXT74ZlgGe6_JY_1olB1XN4rF0dxEuIIF-xsYjHgg/edit?usp=sharing"",""งบกองทุน!BD87"")"),163622)</f>
        <v>163622</v>
      </c>
      <c r="F83" s="554">
        <f ca="1">IFERROR(__xludf.DUMMYFUNCTION("IMPORTRANGE(""https://docs.google.com/spreadsheets/d/1IYY_tgx_IHuhSq3AJ5eI5OnqOPBNLWSHKh2a30DoXe8/edit?usp=sharing"",""พังงา!M352"")"),11520)</f>
        <v>11520</v>
      </c>
      <c r="G83" s="554">
        <f t="shared" ca="1" si="1"/>
        <v>7.0406180098030831</v>
      </c>
      <c r="H83" s="555">
        <f ca="1">IFERROR(__xludf.DUMMYFUNCTION("IMPORTRANGE(""https://docs.google.com/spreadsheets/d/1C3CXT74ZlgGe6_JY_1olB1XN4rF0dxEuIIF-xsYjHgg/edit?usp=sharing"",""งบกองทุน!BE87"")"),20879)</f>
        <v>20879</v>
      </c>
      <c r="I83" s="555">
        <f ca="1">IFERROR(__xludf.DUMMYFUNCTION("IMPORTRANGE(""https://docs.google.com/spreadsheets/d/1C3CXT74ZlgGe6_JY_1olB1XN4rF0dxEuIIF-xsYjHgg/edit?usp=sharing"",""งบกองทุน!BF87"")"),2093)</f>
        <v>2093</v>
      </c>
      <c r="J83" s="552">
        <f t="shared" ca="1" si="129"/>
        <v>20879.330000000002</v>
      </c>
      <c r="K83" s="554">
        <f t="shared" ca="1" si="3"/>
        <v>100.00158053546627</v>
      </c>
      <c r="L83" s="552">
        <f t="shared" ca="1" si="130"/>
        <v>2093</v>
      </c>
      <c r="M83" s="554">
        <f t="shared" ca="1" si="4"/>
        <v>100</v>
      </c>
      <c r="N83" s="552">
        <f ca="1">IFERROR(__xludf.DUMMYFUNCTION("IMPORTRANGE(""https://docs.google.com/spreadsheets/d/1IYY_tgx_IHuhSq3AJ5eI5OnqOPBNLWSHKh2a30DoXe8/edit?usp=sharing"",""พังงา!J362"")"),19998.83)</f>
        <v>19998.830000000002</v>
      </c>
      <c r="O83" s="552">
        <f ca="1">IFERROR(__xludf.DUMMYFUNCTION("IMPORTRANGE(""https://docs.google.com/spreadsheets/d/1IYY_tgx_IHuhSq3AJ5eI5OnqOPBNLWSHKh2a30DoXe8/edit?usp=sharing"",""พังงา!J363"")"),1988)</f>
        <v>1988</v>
      </c>
      <c r="P83" s="552">
        <f ca="1">IFERROR(__xludf.DUMMYFUNCTION("IMPORTRANGE(""https://docs.google.com/spreadsheets/d/1IYY_tgx_IHuhSq3AJ5eI5OnqOPBNLWSHKh2a30DoXe8/edit?usp=sharing"",""พังงา!J364"")"),539.73)</f>
        <v>539.73</v>
      </c>
      <c r="Q83" s="552">
        <f ca="1">IFERROR(__xludf.DUMMYFUNCTION("IMPORTRANGE(""https://docs.google.com/spreadsheets/d/1IYY_tgx_IHuhSq3AJ5eI5OnqOPBNLWSHKh2a30DoXe8/edit?usp=sharing"",""พังงา!J365"")"),57)</f>
        <v>57</v>
      </c>
      <c r="R83" s="552">
        <f ca="1">IFERROR(__xludf.DUMMYFUNCTION("IMPORTRANGE(""https://docs.google.com/spreadsheets/d/1IYY_tgx_IHuhSq3AJ5eI5OnqOPBNLWSHKh2a30DoXe8/edit?usp=sharing"",""พังงา!J366"")"),340.77)</f>
        <v>340.77</v>
      </c>
      <c r="S83" s="552">
        <f ca="1">IFERROR(__xludf.DUMMYFUNCTION("IMPORTRANGE(""https://docs.google.com/spreadsheets/d/1IYY_tgx_IHuhSq3AJ5eI5OnqOPBNLWSHKh2a30DoXe8/edit?usp=sharing"",""พังงา!J367"")"),48)</f>
        <v>48</v>
      </c>
      <c r="T83" s="552">
        <f t="shared" ca="1" si="131"/>
        <v>20877.59</v>
      </c>
      <c r="U83" s="552">
        <f t="shared" ca="1" si="6"/>
        <v>99.993246803007807</v>
      </c>
      <c r="V83" s="552">
        <f t="shared" ca="1" si="132"/>
        <v>2092</v>
      </c>
      <c r="W83" s="552">
        <f t="shared" ca="1" si="7"/>
        <v>99.952221691352122</v>
      </c>
      <c r="X83" s="552">
        <f ca="1">IFERROR(__xludf.DUMMYFUNCTION("IMPORTRANGE(""https://docs.google.com/spreadsheets/d/1IYY_tgx_IHuhSq3AJ5eI5OnqOPBNLWSHKh2a30DoXe8/edit?usp=sharing"",""พังงา!J370"")"),20185.72)</f>
        <v>20185.72</v>
      </c>
      <c r="Y83" s="552">
        <f ca="1">IFERROR(__xludf.DUMMYFUNCTION("IMPORTRANGE(""https://docs.google.com/spreadsheets/d/1IYY_tgx_IHuhSq3AJ5eI5OnqOPBNLWSHKh2a30DoXe8/edit?usp=sharing"",""พังงา!J371"")"),1998)</f>
        <v>1998</v>
      </c>
      <c r="Z83" s="552">
        <f ca="1">IFERROR(__xludf.DUMMYFUNCTION("IMPORTRANGE(""https://docs.google.com/spreadsheets/d/1IYY_tgx_IHuhSq3AJ5eI5OnqOPBNLWSHKh2a30DoXe8/edit?usp=sharing"",""พังงา!J372"")"),336)</f>
        <v>336</v>
      </c>
      <c r="AA83" s="552">
        <f ca="1">IFERROR(__xludf.DUMMYFUNCTION("IMPORTRANGE(""https://docs.google.com/spreadsheets/d/1IYY_tgx_IHuhSq3AJ5eI5OnqOPBNLWSHKh2a30DoXe8/edit?usp=sharing"",""พังงา!J373"")"),41)</f>
        <v>41</v>
      </c>
      <c r="AB83" s="552">
        <f ca="1">IFERROR(__xludf.DUMMYFUNCTION("IMPORTRANGE(""https://docs.google.com/spreadsheets/d/1IYY_tgx_IHuhSq3AJ5eI5OnqOPBNLWSHKh2a30DoXe8/edit?usp=sharing"",""พังงา!J374"")"),355.87)</f>
        <v>355.87</v>
      </c>
      <c r="AC83" s="552">
        <f ca="1">IFERROR(__xludf.DUMMYFUNCTION("IMPORTRANGE(""https://docs.google.com/spreadsheets/d/1IYY_tgx_IHuhSq3AJ5eI5OnqOPBNLWSHKh2a30DoXe8/edit?usp=sharing"",""พังงา!J375"")"),53)</f>
        <v>53</v>
      </c>
      <c r="AD83" s="552">
        <f t="shared" ca="1" si="133"/>
        <v>0</v>
      </c>
      <c r="AE83" s="554">
        <f t="shared" ca="1" si="9"/>
        <v>0</v>
      </c>
      <c r="AF83" s="552">
        <f t="shared" ca="1" si="134"/>
        <v>0</v>
      </c>
      <c r="AG83" s="554">
        <f t="shared" ca="1" si="10"/>
        <v>0</v>
      </c>
      <c r="AH83" s="552">
        <f ca="1">IFERROR(__xludf.DUMMYFUNCTION("IMPORTRANGE(""https://docs.google.com/spreadsheets/d/1IYY_tgx_IHuhSq3AJ5eI5OnqOPBNLWSHKh2a30DoXe8/edit?usp=sharing"",""พังงา!J378"")"),0)</f>
        <v>0</v>
      </c>
      <c r="AI83" s="552">
        <f ca="1">IFERROR(__xludf.DUMMYFUNCTION("IMPORTRANGE(""https://docs.google.com/spreadsheets/d/1IYY_tgx_IHuhSq3AJ5eI5OnqOPBNLWSHKh2a30DoXe8/edit?usp=sharing"",""พังงา!J379"")"),0)</f>
        <v>0</v>
      </c>
      <c r="AJ83" s="552">
        <f ca="1">IFERROR(__xludf.DUMMYFUNCTION("IMPORTRANGE(""https://docs.google.com/spreadsheets/d/1IYY_tgx_IHuhSq3AJ5eI5OnqOPBNLWSHKh2a30DoXe8/edit?usp=sharing"",""พังงา!J380"")"),0)</f>
        <v>0</v>
      </c>
      <c r="AK83" s="552">
        <f ca="1">IFERROR(__xludf.DUMMYFUNCTION("IMPORTRANGE(""https://docs.google.com/spreadsheets/d/1IYY_tgx_IHuhSq3AJ5eI5OnqOPBNLWSHKh2a30DoXe8/edit?usp=sharing"",""พังงา!J381"")"),0)</f>
        <v>0</v>
      </c>
      <c r="AL83" s="552">
        <f ca="1">IFERROR(__xludf.DUMMYFUNCTION("IMPORTRANGE(""https://docs.google.com/spreadsheets/d/1IYY_tgx_IHuhSq3AJ5eI5OnqOPBNLWSHKh2a30DoXe8/edit?usp=sharing"",""พังงา!J384"")"),0)</f>
        <v>0</v>
      </c>
      <c r="AM83" s="552">
        <f ca="1">IFERROR(__xludf.DUMMYFUNCTION("IMPORTRANGE(""https://docs.google.com/spreadsheets/d/1IYY_tgx_IHuhSq3AJ5eI5OnqOPBNLWSHKh2a30DoXe8/edit?usp=sharing"",""พังงา!J385"")"),0)</f>
        <v>0</v>
      </c>
      <c r="AN83" s="552">
        <f ca="1">IFERROR(__xludf.DUMMYFUNCTION("IMPORTRANGE(""https://docs.google.com/spreadsheets/d/1IYY_tgx_IHuhSq3AJ5eI5OnqOPBNLWSHKh2a30DoXe8/edit?usp=sharing"",""พังงา!J386"")"),0)</f>
        <v>0</v>
      </c>
      <c r="AO83" s="552">
        <f ca="1">IFERROR(__xludf.DUMMYFUNCTION("IMPORTRANGE(""https://docs.google.com/spreadsheets/d/1IYY_tgx_IHuhSq3AJ5eI5OnqOPBNLWSHKh2a30DoXe8/edit?usp=sharing"",""พังงา!J387"")"),0)</f>
        <v>0</v>
      </c>
      <c r="AP83" s="552">
        <f ca="1">IFERROR(__xludf.DUMMYFUNCTION("IMPORTRANGE(""https://docs.google.com/spreadsheets/d/1IYY_tgx_IHuhSq3AJ5eI5OnqOPBNLWSHKh2a30DoXe8/edit?usp=sharing"",""พังงา!J388"")"),0)</f>
        <v>0</v>
      </c>
      <c r="AQ83" s="552">
        <f ca="1">IFERROR(__xludf.DUMMYFUNCTION("IMPORTRANGE(""https://docs.google.com/spreadsheets/d/1IYY_tgx_IHuhSq3AJ5eI5OnqOPBNLWSHKh2a30DoXe8/edit?usp=sharing"",""พังงา!J389"")"),0)</f>
        <v>0</v>
      </c>
      <c r="AR83" s="552">
        <f ca="1">IFERROR(__xludf.DUMMYFUNCTION("IMPORTRANGE(""https://docs.google.com/spreadsheets/d/1IYY_tgx_IHuhSq3AJ5eI5OnqOPBNLWSHKh2a30DoXe8/edit?usp=sharing"",""พังงา!J390"")"),2.11)</f>
        <v>2.11</v>
      </c>
      <c r="AS83" s="552">
        <f ca="1">IFERROR(__xludf.DUMMYFUNCTION("IMPORTRANGE(""https://docs.google.com/spreadsheets/d/1IYY_tgx_IHuhSq3AJ5eI5OnqOPBNLWSHKh2a30DoXe8/edit?usp=sharing"",""พังงา!J391"")"),1)</f>
        <v>1</v>
      </c>
      <c r="AT83" s="556">
        <f ca="1">IFERROR(__xludf.DUMMYFUNCTION("IMPORTRANGE(""https://docs.google.com/spreadsheets/d/1C3CXT74ZlgGe6_JY_1olB1XN4rF0dxEuIIF-xsYjHgg/edit?usp=sharing"",""งบกองทุน!CD87"")"),80)</f>
        <v>80</v>
      </c>
      <c r="AU83" s="556">
        <f ca="1">IFERROR(__xludf.DUMMYFUNCTION("IMPORTRANGE(""https://docs.google.com/spreadsheets/d/1C3CXT74ZlgGe6_JY_1olB1XN4rF0dxEuIIF-xsYjHgg/edit?usp=sharing"",""งบกองทุน!CC87"")"),10)</f>
        <v>10</v>
      </c>
      <c r="AV83" s="556">
        <f t="shared" ca="1" si="135"/>
        <v>0</v>
      </c>
      <c r="AW83" s="556">
        <f t="shared" ca="1" si="12"/>
        <v>0</v>
      </c>
      <c r="AX83" s="556">
        <f t="shared" ca="1" si="136"/>
        <v>0</v>
      </c>
      <c r="AY83" s="556">
        <f t="shared" ca="1" si="13"/>
        <v>0</v>
      </c>
      <c r="AZ83" s="552">
        <f ca="1">IFERROR(__xludf.DUMMYFUNCTION("IMPORTRANGE(""https://docs.google.com/spreadsheets/d/1IYY_tgx_IHuhSq3AJ5eI5OnqOPBNLWSHKh2a30DoXe8/edit?usp=sharing"",""พังงา!J397"")"),0)</f>
        <v>0</v>
      </c>
      <c r="BA83" s="552">
        <f ca="1">IFERROR(__xludf.DUMMYFUNCTION("IMPORTRANGE(""https://docs.google.com/spreadsheets/d/1IYY_tgx_IHuhSq3AJ5eI5OnqOPBNLWSHKh2a30DoXe8/edit?usp=sharing"",""พังงา!J398"")"),0)</f>
        <v>0</v>
      </c>
      <c r="BB83" s="552">
        <f ca="1">IFERROR(__xludf.DUMMYFUNCTION("IMPORTRANGE(""https://docs.google.com/spreadsheets/d/1IYY_tgx_IHuhSq3AJ5eI5OnqOPBNLWSHKh2a30DoXe8/edit?usp=sharing"",""พังงา!J399"")"),0)</f>
        <v>0</v>
      </c>
      <c r="BC83" s="552">
        <f ca="1">IFERROR(__xludf.DUMMYFUNCTION("IMPORTRANGE(""https://docs.google.com/spreadsheets/d/1IYY_tgx_IHuhSq3AJ5eI5OnqOPBNLWSHKh2a30DoXe8/edit?usp=sharing"",""พังงา!J400"")"),0)</f>
        <v>0</v>
      </c>
      <c r="BD83" s="552">
        <f ca="1">IFERROR(__xludf.DUMMYFUNCTION("IMPORTRANGE(""https://docs.google.com/spreadsheets/d/1IYY_tgx_IHuhSq3AJ5eI5OnqOPBNLWSHKh2a30DoXe8/edit?usp=sharing"",""พังงา!J401"")"),0)</f>
        <v>0</v>
      </c>
      <c r="BE83" s="552">
        <f ca="1">IFERROR(__xludf.DUMMYFUNCTION("IMPORTRANGE(""https://docs.google.com/spreadsheets/d/1IYY_tgx_IHuhSq3AJ5eI5OnqOPBNLWSHKh2a30DoXe8/edit?usp=sharing"",""พังงา!J402"")"),0)</f>
        <v>0</v>
      </c>
      <c r="BF83" s="552">
        <f ca="1">IFERROR(__xludf.DUMMYFUNCTION("IMPORTRANGE(""https://docs.google.com/spreadsheets/d/1IYY_tgx_IHuhSq3AJ5eI5OnqOPBNLWSHKh2a30DoXe8/edit?usp=sharing"",""พังงา!J405"")"),0)</f>
        <v>0</v>
      </c>
      <c r="BG83" s="552">
        <f ca="1">IFERROR(__xludf.DUMMYFUNCTION("IMPORTRANGE(""https://docs.google.com/spreadsheets/d/1IYY_tgx_IHuhSq3AJ5eI5OnqOPBNLWSHKh2a30DoXe8/edit?usp=sharing"",""พังงา!J406"")"),0)</f>
        <v>0</v>
      </c>
      <c r="BH83" s="552">
        <f ca="1">IFERROR(__xludf.DUMMYFUNCTION("IMPORTRANGE(""https://docs.google.com/spreadsheets/d/1IYY_tgx_IHuhSq3AJ5eI5OnqOPBNLWSHKh2a30DoXe8/edit?usp=sharing"",""พังงา!J407"")"),0)</f>
        <v>0</v>
      </c>
      <c r="BI83" s="552">
        <f ca="1">IFERROR(__xludf.DUMMYFUNCTION("IMPORTRANGE(""https://docs.google.com/spreadsheets/d/1IYY_tgx_IHuhSq3AJ5eI5OnqOPBNLWSHKh2a30DoXe8/edit?usp=sharing"",""พังงา!J408"")"),0)</f>
        <v>0</v>
      </c>
      <c r="BJ83" s="552">
        <f ca="1">IFERROR(__xludf.DUMMYFUNCTION("IMPORTRANGE(""https://docs.google.com/spreadsheets/d/1IYY_tgx_IHuhSq3AJ5eI5OnqOPBNLWSHKh2a30DoXe8/edit?usp=sharing"",""พังงา!J409"")"),0)</f>
        <v>0</v>
      </c>
      <c r="BK83" s="552">
        <f ca="1">IFERROR(__xludf.DUMMYFUNCTION("IMPORTRANGE(""https://docs.google.com/spreadsheets/d/1IYY_tgx_IHuhSq3AJ5eI5OnqOPBNLWSHKh2a30DoXe8/edit?usp=sharing"",""พังงา!J410"")"),0)</f>
        <v>0</v>
      </c>
      <c r="BL83" s="556">
        <f ca="1">IFERROR(__xludf.DUMMYFUNCTION("IMPORTRANGE(""https://docs.google.com/spreadsheets/d/1C3CXT74ZlgGe6_JY_1olB1XN4rF0dxEuIIF-xsYjHgg/edit?usp=sharing"",""งบกองทุน!CZ87"")"),0)</f>
        <v>0</v>
      </c>
      <c r="BM83" s="556">
        <f ca="1">IFERROR(__xludf.DUMMYFUNCTION("IMPORTRANGE(""https://docs.google.com/spreadsheets/d/1C3CXT74ZlgGe6_JY_1olB1XN4rF0dxEuIIF-xsYjHgg/edit?usp=sharing"",""งบกองทุน!CY87"")"),0)</f>
        <v>0</v>
      </c>
      <c r="BN83" s="556">
        <f t="shared" ca="1" si="137"/>
        <v>0</v>
      </c>
      <c r="BO83" s="557">
        <f t="shared" ca="1" si="15"/>
        <v>0</v>
      </c>
      <c r="BP83" s="556">
        <f t="shared" ca="1" si="138"/>
        <v>0</v>
      </c>
      <c r="BQ83" s="557">
        <f t="shared" ca="1" si="16"/>
        <v>0</v>
      </c>
      <c r="BR83" s="552">
        <f ca="1">IFERROR(__xludf.DUMMYFUNCTION("IMPORTRANGE(""https://docs.google.com/spreadsheets/d/1IYY_tgx_IHuhSq3AJ5eI5OnqOPBNLWSHKh2a30DoXe8/edit?usp=sharing"",""พังงา!J414"")"),0)</f>
        <v>0</v>
      </c>
      <c r="BS83" s="552">
        <f ca="1">IFERROR(__xludf.DUMMYFUNCTION("IMPORTRANGE(""https://docs.google.com/spreadsheets/d/1IYY_tgx_IHuhSq3AJ5eI5OnqOPBNLWSHKh2a30DoXe8/edit?usp=sharing"",""พังงา!J415"")"),0)</f>
        <v>0</v>
      </c>
      <c r="BT83" s="552">
        <f ca="1">IFERROR(__xludf.DUMMYFUNCTION("IMPORTRANGE(""https://docs.google.com/spreadsheets/d/1IYY_tgx_IHuhSq3AJ5eI5OnqOPBNLWSHKh2a30DoXe8/edit?usp=sharing"",""พังงา!J416"")"),0)</f>
        <v>0</v>
      </c>
      <c r="BU83" s="552">
        <f ca="1">IFERROR(__xludf.DUMMYFUNCTION("IMPORTRANGE(""https://docs.google.com/spreadsheets/d/1IYY_tgx_IHuhSq3AJ5eI5OnqOPBNLWSHKh2a30DoXe8/edit?usp=sharing"",""พังงา!J417"")"),0)</f>
        <v>0</v>
      </c>
      <c r="BV83" s="552">
        <f ca="1">IFERROR(__xludf.DUMMYFUNCTION("IMPORTRANGE(""https://docs.google.com/spreadsheets/d/1IYY_tgx_IHuhSq3AJ5eI5OnqOPBNLWSHKh2a30DoXe8/edit?usp=sharing"",""พังงา!J418"")"),36)</f>
        <v>36</v>
      </c>
      <c r="BW83" s="552">
        <f ca="1">IFERROR(__xludf.DUMMYFUNCTION("IMPORTRANGE(""https://docs.google.com/spreadsheets/d/1IYY_tgx_IHuhSq3AJ5eI5OnqOPBNLWSHKh2a30DoXe8/edit?usp=sharing"",""พังงา!J419"")"),4)</f>
        <v>4</v>
      </c>
      <c r="BX83" s="556">
        <f t="shared" ca="1" si="139"/>
        <v>0</v>
      </c>
      <c r="BY83" s="557">
        <f t="shared" ca="1" si="140"/>
        <v>0</v>
      </c>
      <c r="BZ83" s="556">
        <f t="shared" ca="1" si="141"/>
        <v>0</v>
      </c>
      <c r="CA83" s="557">
        <f t="shared" ca="1" si="142"/>
        <v>0</v>
      </c>
      <c r="CB83" s="552">
        <f ca="1">IFERROR(__xludf.DUMMYFUNCTION("IMPORTRANGE(""https://docs.google.com/spreadsheets/d/1IYY_tgx_IHuhSq3AJ5eI5OnqOPBNLWSHKh2a30DoXe8/edit?usp=sharing"",""พังงา!J422"")"),0)</f>
        <v>0</v>
      </c>
      <c r="CC83" s="552">
        <f ca="1">IFERROR(__xludf.DUMMYFUNCTION("IMPORTRANGE(""https://docs.google.com/spreadsheets/d/1IYY_tgx_IHuhSq3AJ5eI5OnqOPBNLWSHKh2a30DoXe8/edit?usp=sharing"",""พังงา!J423"")"),0)</f>
        <v>0</v>
      </c>
      <c r="CD83" s="552">
        <f ca="1">IFERROR(__xludf.DUMMYFUNCTION("IMPORTRANGE(""https://docs.google.com/spreadsheets/d/1IYY_tgx_IHuhSq3AJ5eI5OnqOPBNLWSHKh2a30DoXe8/edit?usp=sharing"",""พังงา!J424"")"),0)</f>
        <v>0</v>
      </c>
      <c r="CE83" s="552">
        <f ca="1">IFERROR(__xludf.DUMMYFUNCTION("IMPORTRANGE(""https://docs.google.com/spreadsheets/d/1IYY_tgx_IHuhSq3AJ5eI5OnqOPBNLWSHKh2a30DoXe8/edit?usp=sharing"",""พังงา!J425"")"),0)</f>
        <v>0</v>
      </c>
      <c r="CF83" s="552">
        <f ca="1">IFERROR(__xludf.DUMMYFUNCTION("IMPORTRANGE(""https://docs.google.com/spreadsheets/d/1IYY_tgx_IHuhSq3AJ5eI5OnqOPBNLWSHKh2a30DoXe8/edit?usp=sharing"",""พังงา!J426"")"),0)</f>
        <v>0</v>
      </c>
      <c r="CG83" s="558">
        <f ca="1">IFERROR(__xludf.DUMMYFUNCTION("IMPORTRANGE(""https://docs.google.com/spreadsheets/d/1IYY_tgx_IHuhSq3AJ5eI5OnqOPBNLWSHKh2a30DoXe8/edit?usp=sharing"",""พังงา!J427"")"),0)</f>
        <v>0</v>
      </c>
    </row>
    <row r="84" spans="1:85" ht="21" customHeight="1">
      <c r="A84" s="549">
        <v>8</v>
      </c>
      <c r="B84" s="550" t="s">
        <v>108</v>
      </c>
      <c r="C84" s="551">
        <f t="shared" ca="1" si="128"/>
        <v>361252</v>
      </c>
      <c r="D84" s="552">
        <f ca="1">IFERROR(__xludf.DUMMYFUNCTION("IMPORTRANGE(""https://docs.google.com/spreadsheets/d/1C3CXT74ZlgGe6_JY_1olB1XN4rF0dxEuIIF-xsYjHgg/edit?usp=sharing"",""งบกองทุน!BC88"")"),0)</f>
        <v>0</v>
      </c>
      <c r="E84" s="553">
        <f ca="1">IFERROR(__xludf.DUMMYFUNCTION("IMPORTRANGE(""https://docs.google.com/spreadsheets/d/1C3CXT74ZlgGe6_JY_1olB1XN4rF0dxEuIIF-xsYjHgg/edit?usp=sharing"",""งบกองทุน!BD88"")"),361252)</f>
        <v>361252</v>
      </c>
      <c r="F84" s="554">
        <f ca="1">IFERROR(__xludf.DUMMYFUNCTION("IMPORTRANGE(""https://docs.google.com/spreadsheets/d/1IYY_tgx_IHuhSq3AJ5eI5OnqOPBNLWSHKh2a30DoXe8/edit?usp=sharing"",""พัทลุง!M352"")"),93631.47)</f>
        <v>93631.47</v>
      </c>
      <c r="G84" s="554">
        <f t="shared" ca="1" si="1"/>
        <v>25.918602526768019</v>
      </c>
      <c r="H84" s="555">
        <f ca="1">IFERROR(__xludf.DUMMYFUNCTION("IMPORTRANGE(""https://docs.google.com/spreadsheets/d/1C3CXT74ZlgGe6_JY_1olB1XN4rF0dxEuIIF-xsYjHgg/edit?usp=sharing"",""งบกองทุน!BE88"")"),29774)</f>
        <v>29774</v>
      </c>
      <c r="I84" s="555">
        <f ca="1">IFERROR(__xludf.DUMMYFUNCTION("IMPORTRANGE(""https://docs.google.com/spreadsheets/d/1C3CXT74ZlgGe6_JY_1olB1XN4rF0dxEuIIF-xsYjHgg/edit?usp=sharing"",""งบกองทุน!BF88"")"),5540)</f>
        <v>5540</v>
      </c>
      <c r="J84" s="552">
        <f t="shared" ca="1" si="129"/>
        <v>29776</v>
      </c>
      <c r="K84" s="554">
        <f t="shared" ca="1" si="3"/>
        <v>100.00671727010143</v>
      </c>
      <c r="L84" s="552">
        <f t="shared" ca="1" si="130"/>
        <v>5540</v>
      </c>
      <c r="M84" s="554">
        <f t="shared" ca="1" si="4"/>
        <v>100</v>
      </c>
      <c r="N84" s="552">
        <f ca="1">IFERROR(__xludf.DUMMYFUNCTION("IMPORTRANGE(""https://docs.google.com/spreadsheets/d/1IYY_tgx_IHuhSq3AJ5eI5OnqOPBNLWSHKh2a30DoXe8/edit?usp=sharing"",""พัทลุง!J362"")"),25982)</f>
        <v>25982</v>
      </c>
      <c r="O84" s="552">
        <f ca="1">IFERROR(__xludf.DUMMYFUNCTION("IMPORTRANGE(""https://docs.google.com/spreadsheets/d/1IYY_tgx_IHuhSq3AJ5eI5OnqOPBNLWSHKh2a30DoXe8/edit?usp=sharing"",""พัทลุง!J363"")"),4969)</f>
        <v>4969</v>
      </c>
      <c r="P84" s="552">
        <f ca="1">IFERROR(__xludf.DUMMYFUNCTION("IMPORTRANGE(""https://docs.google.com/spreadsheets/d/1IYY_tgx_IHuhSq3AJ5eI5OnqOPBNLWSHKh2a30DoXe8/edit?usp=sharing"",""พัทลุง!J364"")"),3524)</f>
        <v>3524</v>
      </c>
      <c r="Q84" s="552">
        <f ca="1">IFERROR(__xludf.DUMMYFUNCTION("IMPORTRANGE(""https://docs.google.com/spreadsheets/d/1IYY_tgx_IHuhSq3AJ5eI5OnqOPBNLWSHKh2a30DoXe8/edit?usp=sharing"",""พัทลุง!J365"")"),521)</f>
        <v>521</v>
      </c>
      <c r="R84" s="552">
        <f ca="1">IFERROR(__xludf.DUMMYFUNCTION("IMPORTRANGE(""https://docs.google.com/spreadsheets/d/1IYY_tgx_IHuhSq3AJ5eI5OnqOPBNLWSHKh2a30DoXe8/edit?usp=sharing"",""พัทลุง!J366"")"),270)</f>
        <v>270</v>
      </c>
      <c r="S84" s="552">
        <f ca="1">IFERROR(__xludf.DUMMYFUNCTION("IMPORTRANGE(""https://docs.google.com/spreadsheets/d/1IYY_tgx_IHuhSq3AJ5eI5OnqOPBNLWSHKh2a30DoXe8/edit?usp=sharing"",""พัทลุง!J367"")"),50)</f>
        <v>50</v>
      </c>
      <c r="T84" s="552">
        <f t="shared" ca="1" si="131"/>
        <v>29775</v>
      </c>
      <c r="U84" s="552">
        <f t="shared" ca="1" si="6"/>
        <v>100.00335863505072</v>
      </c>
      <c r="V84" s="552">
        <f t="shared" ca="1" si="132"/>
        <v>5540</v>
      </c>
      <c r="W84" s="552">
        <f t="shared" ca="1" si="7"/>
        <v>100</v>
      </c>
      <c r="X84" s="552">
        <f ca="1">IFERROR(__xludf.DUMMYFUNCTION("IMPORTRANGE(""https://docs.google.com/spreadsheets/d/1IYY_tgx_IHuhSq3AJ5eI5OnqOPBNLWSHKh2a30DoXe8/edit?usp=sharing"",""พัทลุง!J370"")"),28752)</f>
        <v>28752</v>
      </c>
      <c r="Y84" s="552">
        <f ca="1">IFERROR(__xludf.DUMMYFUNCTION("IMPORTRANGE(""https://docs.google.com/spreadsheets/d/1IYY_tgx_IHuhSq3AJ5eI5OnqOPBNLWSHKh2a30DoXe8/edit?usp=sharing"",""พัทลุง!J371"")"),5349)</f>
        <v>5349</v>
      </c>
      <c r="Z84" s="552">
        <f ca="1">IFERROR(__xludf.DUMMYFUNCTION("IMPORTRANGE(""https://docs.google.com/spreadsheets/d/1IYY_tgx_IHuhSq3AJ5eI5OnqOPBNLWSHKh2a30DoXe8/edit?usp=sharing"",""พัทลุง!J372"")"),589)</f>
        <v>589</v>
      </c>
      <c r="AA84" s="552">
        <f ca="1">IFERROR(__xludf.DUMMYFUNCTION("IMPORTRANGE(""https://docs.google.com/spreadsheets/d/1IYY_tgx_IHuhSq3AJ5eI5OnqOPBNLWSHKh2a30DoXe8/edit?usp=sharing"",""พัทลุง!J373"")"),123)</f>
        <v>123</v>
      </c>
      <c r="AB84" s="552">
        <f ca="1">IFERROR(__xludf.DUMMYFUNCTION("IMPORTRANGE(""https://docs.google.com/spreadsheets/d/1IYY_tgx_IHuhSq3AJ5eI5OnqOPBNLWSHKh2a30DoXe8/edit?usp=sharing"",""พัทลุง!J374"")"),434)</f>
        <v>434</v>
      </c>
      <c r="AC84" s="552">
        <f ca="1">IFERROR(__xludf.DUMMYFUNCTION("IMPORTRANGE(""https://docs.google.com/spreadsheets/d/1IYY_tgx_IHuhSq3AJ5eI5OnqOPBNLWSHKh2a30DoXe8/edit?usp=sharing"",""พัทลุง!J375"")"),68)</f>
        <v>68</v>
      </c>
      <c r="AD84" s="552">
        <f t="shared" ca="1" si="133"/>
        <v>29775</v>
      </c>
      <c r="AE84" s="554">
        <f t="shared" ca="1" si="9"/>
        <v>100.00335863505072</v>
      </c>
      <c r="AF84" s="552">
        <f t="shared" ca="1" si="134"/>
        <v>5540</v>
      </c>
      <c r="AG84" s="554">
        <f t="shared" ca="1" si="10"/>
        <v>100</v>
      </c>
      <c r="AH84" s="552">
        <f ca="1">IFERROR(__xludf.DUMMYFUNCTION("IMPORTRANGE(""https://docs.google.com/spreadsheets/d/1IYY_tgx_IHuhSq3AJ5eI5OnqOPBNLWSHKh2a30DoXe8/edit?usp=sharing"",""พัทลุง!J378"")"),26399)</f>
        <v>26399</v>
      </c>
      <c r="AI84" s="552">
        <f ca="1">IFERROR(__xludf.DUMMYFUNCTION("IMPORTRANGE(""https://docs.google.com/spreadsheets/d/1IYY_tgx_IHuhSq3AJ5eI5OnqOPBNLWSHKh2a30DoXe8/edit?usp=sharing"",""พัทลุง!J379"")"),5068)</f>
        <v>5068</v>
      </c>
      <c r="AJ84" s="552">
        <f ca="1">IFERROR(__xludf.DUMMYFUNCTION("IMPORTRANGE(""https://docs.google.com/spreadsheets/d/1IYY_tgx_IHuhSq3AJ5eI5OnqOPBNLWSHKh2a30DoXe8/edit?usp=sharing"",""พัทลุง!J380"")"),2942)</f>
        <v>2942</v>
      </c>
      <c r="AK84" s="552">
        <f ca="1">IFERROR(__xludf.DUMMYFUNCTION("IMPORTRANGE(""https://docs.google.com/spreadsheets/d/1IYY_tgx_IHuhSq3AJ5eI5OnqOPBNLWSHKh2a30DoXe8/edit?usp=sharing"",""พัทลุง!J381"")"),404)</f>
        <v>404</v>
      </c>
      <c r="AL84" s="552">
        <f ca="1">IFERROR(__xludf.DUMMYFUNCTION("IMPORTRANGE(""https://docs.google.com/spreadsheets/d/1IYY_tgx_IHuhSq3AJ5eI5OnqOPBNLWSHKh2a30DoXe8/edit?usp=sharing"",""พัทลุง!J384"")"),434)</f>
        <v>434</v>
      </c>
      <c r="AM84" s="552">
        <f ca="1">IFERROR(__xludf.DUMMYFUNCTION("IMPORTRANGE(""https://docs.google.com/spreadsheets/d/1IYY_tgx_IHuhSq3AJ5eI5OnqOPBNLWSHKh2a30DoXe8/edit?usp=sharing"",""พัทลุง!J385"")"),68)</f>
        <v>68</v>
      </c>
      <c r="AN84" s="552">
        <f ca="1">IFERROR(__xludf.DUMMYFUNCTION("IMPORTRANGE(""https://docs.google.com/spreadsheets/d/1IYY_tgx_IHuhSq3AJ5eI5OnqOPBNLWSHKh2a30DoXe8/edit?usp=sharing"",""พัทลุง!J386"")"),0)</f>
        <v>0</v>
      </c>
      <c r="AO84" s="552">
        <f ca="1">IFERROR(__xludf.DUMMYFUNCTION("IMPORTRANGE(""https://docs.google.com/spreadsheets/d/1IYY_tgx_IHuhSq3AJ5eI5OnqOPBNLWSHKh2a30DoXe8/edit?usp=sharing"",""พัทลุง!J387"")"),0)</f>
        <v>0</v>
      </c>
      <c r="AP84" s="552">
        <f ca="1">IFERROR(__xludf.DUMMYFUNCTION("IMPORTRANGE(""https://docs.google.com/spreadsheets/d/1IYY_tgx_IHuhSq3AJ5eI5OnqOPBNLWSHKh2a30DoXe8/edit?usp=sharing"",""พัทลุง!J388"")"),0)</f>
        <v>0</v>
      </c>
      <c r="AQ84" s="552">
        <f ca="1">IFERROR(__xludf.DUMMYFUNCTION("IMPORTRANGE(""https://docs.google.com/spreadsheets/d/1IYY_tgx_IHuhSq3AJ5eI5OnqOPBNLWSHKh2a30DoXe8/edit?usp=sharing"",""พัทลุง!J389"")"),0)</f>
        <v>0</v>
      </c>
      <c r="AR84" s="552">
        <f ca="1">IFERROR(__xludf.DUMMYFUNCTION("IMPORTRANGE(""https://docs.google.com/spreadsheets/d/1IYY_tgx_IHuhSq3AJ5eI5OnqOPBNLWSHKh2a30DoXe8/edit?usp=sharing"",""พัทลุง!J390"")"),0)</f>
        <v>0</v>
      </c>
      <c r="AS84" s="552">
        <f ca="1">IFERROR(__xludf.DUMMYFUNCTION("IMPORTRANGE(""https://docs.google.com/spreadsheets/d/1IYY_tgx_IHuhSq3AJ5eI5OnqOPBNLWSHKh2a30DoXe8/edit?usp=sharing"",""พัทลุง!J391"")"),0)</f>
        <v>0</v>
      </c>
      <c r="AT84" s="556">
        <f ca="1">IFERROR(__xludf.DUMMYFUNCTION("IMPORTRANGE(""https://docs.google.com/spreadsheets/d/1C3CXT74ZlgGe6_JY_1olB1XN4rF0dxEuIIF-xsYjHgg/edit?usp=sharing"",""งบกองทุน!CD88"")"),185)</f>
        <v>185</v>
      </c>
      <c r="AU84" s="556">
        <f ca="1">IFERROR(__xludf.DUMMYFUNCTION("IMPORTRANGE(""https://docs.google.com/spreadsheets/d/1C3CXT74ZlgGe6_JY_1olB1XN4rF0dxEuIIF-xsYjHgg/edit?usp=sharing"",""งบกองทุน!CC88"")"),48)</f>
        <v>48</v>
      </c>
      <c r="AV84" s="556">
        <f t="shared" ca="1" si="135"/>
        <v>0</v>
      </c>
      <c r="AW84" s="556">
        <f t="shared" ca="1" si="12"/>
        <v>0</v>
      </c>
      <c r="AX84" s="556">
        <f t="shared" ca="1" si="136"/>
        <v>0</v>
      </c>
      <c r="AY84" s="556">
        <f t="shared" ca="1" si="13"/>
        <v>0</v>
      </c>
      <c r="AZ84" s="552">
        <f ca="1">IFERROR(__xludf.DUMMYFUNCTION("IMPORTRANGE(""https://docs.google.com/spreadsheets/d/1IYY_tgx_IHuhSq3AJ5eI5OnqOPBNLWSHKh2a30DoXe8/edit?usp=sharing"",""พัทลุง!J397"")"),0)</f>
        <v>0</v>
      </c>
      <c r="BA84" s="552">
        <f ca="1">IFERROR(__xludf.DUMMYFUNCTION("IMPORTRANGE(""https://docs.google.com/spreadsheets/d/1IYY_tgx_IHuhSq3AJ5eI5OnqOPBNLWSHKh2a30DoXe8/edit?usp=sharing"",""พัทลุง!J398"")"),0)</f>
        <v>0</v>
      </c>
      <c r="BB84" s="552">
        <f ca="1">IFERROR(__xludf.DUMMYFUNCTION("IMPORTRANGE(""https://docs.google.com/spreadsheets/d/1IYY_tgx_IHuhSq3AJ5eI5OnqOPBNLWSHKh2a30DoXe8/edit?usp=sharing"",""พัทลุง!J399"")"),0)</f>
        <v>0</v>
      </c>
      <c r="BC84" s="552">
        <f ca="1">IFERROR(__xludf.DUMMYFUNCTION("IMPORTRANGE(""https://docs.google.com/spreadsheets/d/1IYY_tgx_IHuhSq3AJ5eI5OnqOPBNLWSHKh2a30DoXe8/edit?usp=sharing"",""พัทลุง!J400"")"),0)</f>
        <v>0</v>
      </c>
      <c r="BD84" s="552">
        <f ca="1">IFERROR(__xludf.DUMMYFUNCTION("IMPORTRANGE(""https://docs.google.com/spreadsheets/d/1IYY_tgx_IHuhSq3AJ5eI5OnqOPBNLWSHKh2a30DoXe8/edit?usp=sharing"",""พัทลุง!J401"")"),0)</f>
        <v>0</v>
      </c>
      <c r="BE84" s="552">
        <f ca="1">IFERROR(__xludf.DUMMYFUNCTION("IMPORTRANGE(""https://docs.google.com/spreadsheets/d/1IYY_tgx_IHuhSq3AJ5eI5OnqOPBNLWSHKh2a30DoXe8/edit?usp=sharing"",""พัทลุง!J402"")"),0)</f>
        <v>0</v>
      </c>
      <c r="BF84" s="552">
        <f ca="1">IFERROR(__xludf.DUMMYFUNCTION("IMPORTRANGE(""https://docs.google.com/spreadsheets/d/1IYY_tgx_IHuhSq3AJ5eI5OnqOPBNLWSHKh2a30DoXe8/edit?usp=sharing"",""พัทลุง!J405"")"),0)</f>
        <v>0</v>
      </c>
      <c r="BG84" s="552">
        <f ca="1">IFERROR(__xludf.DUMMYFUNCTION("IMPORTRANGE(""https://docs.google.com/spreadsheets/d/1IYY_tgx_IHuhSq3AJ5eI5OnqOPBNLWSHKh2a30DoXe8/edit?usp=sharing"",""พัทลุง!J406"")"),0)</f>
        <v>0</v>
      </c>
      <c r="BH84" s="552">
        <f ca="1">IFERROR(__xludf.DUMMYFUNCTION("IMPORTRANGE(""https://docs.google.com/spreadsheets/d/1IYY_tgx_IHuhSq3AJ5eI5OnqOPBNLWSHKh2a30DoXe8/edit?usp=sharing"",""พัทลุง!J407"")"),0)</f>
        <v>0</v>
      </c>
      <c r="BI84" s="552">
        <f ca="1">IFERROR(__xludf.DUMMYFUNCTION("IMPORTRANGE(""https://docs.google.com/spreadsheets/d/1IYY_tgx_IHuhSq3AJ5eI5OnqOPBNLWSHKh2a30DoXe8/edit?usp=sharing"",""พัทลุง!J408"")"),0)</f>
        <v>0</v>
      </c>
      <c r="BJ84" s="552">
        <f ca="1">IFERROR(__xludf.DUMMYFUNCTION("IMPORTRANGE(""https://docs.google.com/spreadsheets/d/1IYY_tgx_IHuhSq3AJ5eI5OnqOPBNLWSHKh2a30DoXe8/edit?usp=sharing"",""พัทลุง!J409"")"),0)</f>
        <v>0</v>
      </c>
      <c r="BK84" s="552">
        <f ca="1">IFERROR(__xludf.DUMMYFUNCTION("IMPORTRANGE(""https://docs.google.com/spreadsheets/d/1IYY_tgx_IHuhSq3AJ5eI5OnqOPBNLWSHKh2a30DoXe8/edit?usp=sharing"",""พัทลุง!J410"")"),0)</f>
        <v>0</v>
      </c>
      <c r="BL84" s="556">
        <f ca="1">IFERROR(__xludf.DUMMYFUNCTION("IMPORTRANGE(""https://docs.google.com/spreadsheets/d/1C3CXT74ZlgGe6_JY_1olB1XN4rF0dxEuIIF-xsYjHgg/edit?usp=sharing"",""งบกองทุน!CZ88"")"),0)</f>
        <v>0</v>
      </c>
      <c r="BM84" s="556">
        <f ca="1">IFERROR(__xludf.DUMMYFUNCTION("IMPORTRANGE(""https://docs.google.com/spreadsheets/d/1C3CXT74ZlgGe6_JY_1olB1XN4rF0dxEuIIF-xsYjHgg/edit?usp=sharing"",""งบกองทุน!CY88"")"),0)</f>
        <v>0</v>
      </c>
      <c r="BN84" s="556">
        <f t="shared" ca="1" si="137"/>
        <v>0</v>
      </c>
      <c r="BO84" s="557">
        <f t="shared" ca="1" si="15"/>
        <v>0</v>
      </c>
      <c r="BP84" s="556">
        <f t="shared" ca="1" si="138"/>
        <v>0</v>
      </c>
      <c r="BQ84" s="557">
        <f t="shared" ca="1" si="16"/>
        <v>0</v>
      </c>
      <c r="BR84" s="552">
        <f ca="1">IFERROR(__xludf.DUMMYFUNCTION("IMPORTRANGE(""https://docs.google.com/spreadsheets/d/1IYY_tgx_IHuhSq3AJ5eI5OnqOPBNLWSHKh2a30DoXe8/edit?usp=sharing"",""พัทลุง!J414"")"),0)</f>
        <v>0</v>
      </c>
      <c r="BS84" s="552">
        <f ca="1">IFERROR(__xludf.DUMMYFUNCTION("IMPORTRANGE(""https://docs.google.com/spreadsheets/d/1IYY_tgx_IHuhSq3AJ5eI5OnqOPBNLWSHKh2a30DoXe8/edit?usp=sharing"",""พัทลุง!J415"")"),0)</f>
        <v>0</v>
      </c>
      <c r="BT84" s="552">
        <f ca="1">IFERROR(__xludf.DUMMYFUNCTION("IMPORTRANGE(""https://docs.google.com/spreadsheets/d/1IYY_tgx_IHuhSq3AJ5eI5OnqOPBNLWSHKh2a30DoXe8/edit?usp=sharing"",""พัทลุง!J416"")"),0)</f>
        <v>0</v>
      </c>
      <c r="BU84" s="552">
        <f ca="1">IFERROR(__xludf.DUMMYFUNCTION("IMPORTRANGE(""https://docs.google.com/spreadsheets/d/1IYY_tgx_IHuhSq3AJ5eI5OnqOPBNLWSHKh2a30DoXe8/edit?usp=sharing"",""พัทลุง!J417"")"),0)</f>
        <v>0</v>
      </c>
      <c r="BV84" s="552">
        <f ca="1">IFERROR(__xludf.DUMMYFUNCTION("IMPORTRANGE(""https://docs.google.com/spreadsheets/d/1IYY_tgx_IHuhSq3AJ5eI5OnqOPBNLWSHKh2a30DoXe8/edit?usp=sharing"",""พัทลุง!J418"")"),29)</f>
        <v>29</v>
      </c>
      <c r="BW84" s="552">
        <f ca="1">IFERROR(__xludf.DUMMYFUNCTION("IMPORTRANGE(""https://docs.google.com/spreadsheets/d/1IYY_tgx_IHuhSq3AJ5eI5OnqOPBNLWSHKh2a30DoXe8/edit?usp=sharing"",""พัทลุง!J419"")"),10)</f>
        <v>10</v>
      </c>
      <c r="BX84" s="556">
        <f t="shared" ca="1" si="139"/>
        <v>0</v>
      </c>
      <c r="BY84" s="557">
        <f t="shared" ca="1" si="140"/>
        <v>0</v>
      </c>
      <c r="BZ84" s="556">
        <f t="shared" ca="1" si="141"/>
        <v>0</v>
      </c>
      <c r="CA84" s="557">
        <f t="shared" ca="1" si="142"/>
        <v>0</v>
      </c>
      <c r="CB84" s="552">
        <f ca="1">IFERROR(__xludf.DUMMYFUNCTION("IMPORTRANGE(""https://docs.google.com/spreadsheets/d/1IYY_tgx_IHuhSq3AJ5eI5OnqOPBNLWSHKh2a30DoXe8/edit?usp=sharing"",""พัทลุง!J422"")"),0)</f>
        <v>0</v>
      </c>
      <c r="CC84" s="552">
        <f ca="1">IFERROR(__xludf.DUMMYFUNCTION("IMPORTRANGE(""https://docs.google.com/spreadsheets/d/1IYY_tgx_IHuhSq3AJ5eI5OnqOPBNLWSHKh2a30DoXe8/edit?usp=sharing"",""พัทลุง!J423"")"),0)</f>
        <v>0</v>
      </c>
      <c r="CD84" s="552">
        <f ca="1">IFERROR(__xludf.DUMMYFUNCTION("IMPORTRANGE(""https://docs.google.com/spreadsheets/d/1IYY_tgx_IHuhSq3AJ5eI5OnqOPBNLWSHKh2a30DoXe8/edit?usp=sharing"",""พัทลุง!J424"")"),0)</f>
        <v>0</v>
      </c>
      <c r="CE84" s="552">
        <f ca="1">IFERROR(__xludf.DUMMYFUNCTION("IMPORTRANGE(""https://docs.google.com/spreadsheets/d/1IYY_tgx_IHuhSq3AJ5eI5OnqOPBNLWSHKh2a30DoXe8/edit?usp=sharing"",""พัทลุง!J425"")"),0)</f>
        <v>0</v>
      </c>
      <c r="CF84" s="552">
        <f ca="1">IFERROR(__xludf.DUMMYFUNCTION("IMPORTRANGE(""https://docs.google.com/spreadsheets/d/1IYY_tgx_IHuhSq3AJ5eI5OnqOPBNLWSHKh2a30DoXe8/edit?usp=sharing"",""พัทลุง!J426"")"),0)</f>
        <v>0</v>
      </c>
      <c r="CG84" s="558">
        <f ca="1">IFERROR(__xludf.DUMMYFUNCTION("IMPORTRANGE(""https://docs.google.com/spreadsheets/d/1IYY_tgx_IHuhSq3AJ5eI5OnqOPBNLWSHKh2a30DoXe8/edit?usp=sharing"",""พัทลุง!J427"")"),0)</f>
        <v>0</v>
      </c>
    </row>
    <row r="85" spans="1:85" ht="21" customHeight="1">
      <c r="A85" s="549">
        <v>9</v>
      </c>
      <c r="B85" s="550" t="s">
        <v>109</v>
      </c>
      <c r="C85" s="551">
        <f t="shared" ca="1" si="128"/>
        <v>0</v>
      </c>
      <c r="D85" s="552">
        <f ca="1">IFERROR(__xludf.DUMMYFUNCTION("IMPORTRANGE(""https://docs.google.com/spreadsheets/d/1C3CXT74ZlgGe6_JY_1olB1XN4rF0dxEuIIF-xsYjHgg/edit?usp=sharing"",""งบกองทุน!BC89"")"),0)</f>
        <v>0</v>
      </c>
      <c r="E85" s="553">
        <f ca="1">IFERROR(__xludf.DUMMYFUNCTION("IMPORTRANGE(""https://docs.google.com/spreadsheets/d/1C3CXT74ZlgGe6_JY_1olB1XN4rF0dxEuIIF-xsYjHgg/edit?usp=sharing"",""งบกองทุน!BD89"")"),0)</f>
        <v>0</v>
      </c>
      <c r="F85" s="554">
        <f ca="1">IFERROR(__xludf.DUMMYFUNCTION("IMPORTRANGE(""https://docs.google.com/spreadsheets/d/1IYY_tgx_IHuhSq3AJ5eI5OnqOPBNLWSHKh2a30DoXe8/edit?usp=sharing"",""ภูเก็ต!M352"")"),0)</f>
        <v>0</v>
      </c>
      <c r="G85" s="554">
        <f t="shared" ca="1" si="1"/>
        <v>0</v>
      </c>
      <c r="H85" s="555">
        <f ca="1">IFERROR(__xludf.DUMMYFUNCTION("IMPORTRANGE(""https://docs.google.com/spreadsheets/d/1C3CXT74ZlgGe6_JY_1olB1XN4rF0dxEuIIF-xsYjHgg/edit?usp=sharing"",""งบกองทุน!BE89"")"),0)</f>
        <v>0</v>
      </c>
      <c r="I85" s="555">
        <f ca="1">IFERROR(__xludf.DUMMYFUNCTION("IMPORTRANGE(""https://docs.google.com/spreadsheets/d/1C3CXT74ZlgGe6_JY_1olB1XN4rF0dxEuIIF-xsYjHgg/edit?usp=sharing"",""งบกองทุน!BF89"")"),0)</f>
        <v>0</v>
      </c>
      <c r="J85" s="552">
        <f t="shared" ca="1" si="129"/>
        <v>0</v>
      </c>
      <c r="K85" s="554">
        <f t="shared" ca="1" si="3"/>
        <v>0</v>
      </c>
      <c r="L85" s="552">
        <f t="shared" ca="1" si="130"/>
        <v>0</v>
      </c>
      <c r="M85" s="554">
        <f t="shared" ca="1" si="4"/>
        <v>0</v>
      </c>
      <c r="N85" s="552">
        <f ca="1">IFERROR(__xludf.DUMMYFUNCTION("IMPORTRANGE(""https://docs.google.com/spreadsheets/d/1IYY_tgx_IHuhSq3AJ5eI5OnqOPBNLWSHKh2a30DoXe8/edit?usp=sharing"",""ภูเก็ต!J362"")"),0)</f>
        <v>0</v>
      </c>
      <c r="O85" s="552">
        <f ca="1">IFERROR(__xludf.DUMMYFUNCTION("IMPORTRANGE(""https://docs.google.com/spreadsheets/d/1IYY_tgx_IHuhSq3AJ5eI5OnqOPBNLWSHKh2a30DoXe8/edit?usp=sharing"",""ภูเก็ต!J363"")"),0)</f>
        <v>0</v>
      </c>
      <c r="P85" s="552">
        <f ca="1">IFERROR(__xludf.DUMMYFUNCTION("IMPORTRANGE(""https://docs.google.com/spreadsheets/d/1IYY_tgx_IHuhSq3AJ5eI5OnqOPBNLWSHKh2a30DoXe8/edit?usp=sharing"",""ภูเก็ต!J364"")"),0)</f>
        <v>0</v>
      </c>
      <c r="Q85" s="552">
        <f ca="1">IFERROR(__xludf.DUMMYFUNCTION("IMPORTRANGE(""https://docs.google.com/spreadsheets/d/1IYY_tgx_IHuhSq3AJ5eI5OnqOPBNLWSHKh2a30DoXe8/edit?usp=sharing"",""ภูเก็ต!J365"")"),0)</f>
        <v>0</v>
      </c>
      <c r="R85" s="552">
        <f ca="1">IFERROR(__xludf.DUMMYFUNCTION("IMPORTRANGE(""https://docs.google.com/spreadsheets/d/1IYY_tgx_IHuhSq3AJ5eI5OnqOPBNLWSHKh2a30DoXe8/edit?usp=sharing"",""ภูเก็ต!J366"")"),0)</f>
        <v>0</v>
      </c>
      <c r="S85" s="552">
        <f ca="1">IFERROR(__xludf.DUMMYFUNCTION("IMPORTRANGE(""https://docs.google.com/spreadsheets/d/1IYY_tgx_IHuhSq3AJ5eI5OnqOPBNLWSHKh2a30DoXe8/edit?usp=sharing"",""ภูเก็ต!J367"")"),0)</f>
        <v>0</v>
      </c>
      <c r="T85" s="552">
        <f t="shared" ca="1" si="131"/>
        <v>0</v>
      </c>
      <c r="U85" s="552">
        <f t="shared" ca="1" si="6"/>
        <v>0</v>
      </c>
      <c r="V85" s="552">
        <f t="shared" ca="1" si="132"/>
        <v>0</v>
      </c>
      <c r="W85" s="552">
        <f t="shared" ca="1" si="7"/>
        <v>0</v>
      </c>
      <c r="X85" s="552">
        <f ca="1">IFERROR(__xludf.DUMMYFUNCTION("IMPORTRANGE(""https://docs.google.com/spreadsheets/d/1IYY_tgx_IHuhSq3AJ5eI5OnqOPBNLWSHKh2a30DoXe8/edit?usp=sharing"",""ภูเก็ต!J370"")"),0)</f>
        <v>0</v>
      </c>
      <c r="Y85" s="552">
        <f ca="1">IFERROR(__xludf.DUMMYFUNCTION("IMPORTRANGE(""https://docs.google.com/spreadsheets/d/1IYY_tgx_IHuhSq3AJ5eI5OnqOPBNLWSHKh2a30DoXe8/edit?usp=sharing"",""ภูเก็ต!J371"")"),0)</f>
        <v>0</v>
      </c>
      <c r="Z85" s="552">
        <f ca="1">IFERROR(__xludf.DUMMYFUNCTION("IMPORTRANGE(""https://docs.google.com/spreadsheets/d/1IYY_tgx_IHuhSq3AJ5eI5OnqOPBNLWSHKh2a30DoXe8/edit?usp=sharing"",""ภูเก็ต!J372"")"),0)</f>
        <v>0</v>
      </c>
      <c r="AA85" s="552">
        <f ca="1">IFERROR(__xludf.DUMMYFUNCTION("IMPORTRANGE(""https://docs.google.com/spreadsheets/d/1IYY_tgx_IHuhSq3AJ5eI5OnqOPBNLWSHKh2a30DoXe8/edit?usp=sharing"",""ภูเก็ต!J373"")"),0)</f>
        <v>0</v>
      </c>
      <c r="AB85" s="552">
        <f ca="1">IFERROR(__xludf.DUMMYFUNCTION("IMPORTRANGE(""https://docs.google.com/spreadsheets/d/1IYY_tgx_IHuhSq3AJ5eI5OnqOPBNLWSHKh2a30DoXe8/edit?usp=sharing"",""ภูเก็ต!J374"")"),0)</f>
        <v>0</v>
      </c>
      <c r="AC85" s="552">
        <f ca="1">IFERROR(__xludf.DUMMYFUNCTION("IMPORTRANGE(""https://docs.google.com/spreadsheets/d/1IYY_tgx_IHuhSq3AJ5eI5OnqOPBNLWSHKh2a30DoXe8/edit?usp=sharing"",""ภูเก็ต!J375"")"),0)</f>
        <v>0</v>
      </c>
      <c r="AD85" s="552">
        <f t="shared" ca="1" si="133"/>
        <v>0</v>
      </c>
      <c r="AE85" s="554">
        <f t="shared" ca="1" si="9"/>
        <v>0</v>
      </c>
      <c r="AF85" s="552">
        <f t="shared" ca="1" si="134"/>
        <v>0</v>
      </c>
      <c r="AG85" s="554">
        <f t="shared" ca="1" si="10"/>
        <v>0</v>
      </c>
      <c r="AH85" s="552">
        <f ca="1">IFERROR(__xludf.DUMMYFUNCTION("IMPORTRANGE(""https://docs.google.com/spreadsheets/d/1IYY_tgx_IHuhSq3AJ5eI5OnqOPBNLWSHKh2a30DoXe8/edit?usp=sharing"",""ภูเก็ต!J378"")"),0)</f>
        <v>0</v>
      </c>
      <c r="AI85" s="552">
        <f ca="1">IFERROR(__xludf.DUMMYFUNCTION("IMPORTRANGE(""https://docs.google.com/spreadsheets/d/1IYY_tgx_IHuhSq3AJ5eI5OnqOPBNLWSHKh2a30DoXe8/edit?usp=sharing"",""ภูเก็ต!J379"")"),0)</f>
        <v>0</v>
      </c>
      <c r="AJ85" s="552">
        <f ca="1">IFERROR(__xludf.DUMMYFUNCTION("IMPORTRANGE(""https://docs.google.com/spreadsheets/d/1IYY_tgx_IHuhSq3AJ5eI5OnqOPBNLWSHKh2a30DoXe8/edit?usp=sharing"",""ภูเก็ต!J380"")"),0)</f>
        <v>0</v>
      </c>
      <c r="AK85" s="552">
        <f ca="1">IFERROR(__xludf.DUMMYFUNCTION("IMPORTRANGE(""https://docs.google.com/spreadsheets/d/1IYY_tgx_IHuhSq3AJ5eI5OnqOPBNLWSHKh2a30DoXe8/edit?usp=sharing"",""ภูเก็ต!J381"")"),0)</f>
        <v>0</v>
      </c>
      <c r="AL85" s="552">
        <f ca="1">IFERROR(__xludf.DUMMYFUNCTION("IMPORTRANGE(""https://docs.google.com/spreadsheets/d/1IYY_tgx_IHuhSq3AJ5eI5OnqOPBNLWSHKh2a30DoXe8/edit?usp=sharing"",""ภูเก็ต!J384"")"),0)</f>
        <v>0</v>
      </c>
      <c r="AM85" s="552">
        <f ca="1">IFERROR(__xludf.DUMMYFUNCTION("IMPORTRANGE(""https://docs.google.com/spreadsheets/d/1IYY_tgx_IHuhSq3AJ5eI5OnqOPBNLWSHKh2a30DoXe8/edit?usp=sharing"",""ภูเก็ต!J385"")"),0)</f>
        <v>0</v>
      </c>
      <c r="AN85" s="552">
        <f ca="1">IFERROR(__xludf.DUMMYFUNCTION("IMPORTRANGE(""https://docs.google.com/spreadsheets/d/1IYY_tgx_IHuhSq3AJ5eI5OnqOPBNLWSHKh2a30DoXe8/edit?usp=sharing"",""ภูเก็ต!J386"")"),0)</f>
        <v>0</v>
      </c>
      <c r="AO85" s="552">
        <f ca="1">IFERROR(__xludf.DUMMYFUNCTION("IMPORTRANGE(""https://docs.google.com/spreadsheets/d/1IYY_tgx_IHuhSq3AJ5eI5OnqOPBNLWSHKh2a30DoXe8/edit?usp=sharing"",""ภูเก็ต!J387"")"),0)</f>
        <v>0</v>
      </c>
      <c r="AP85" s="552">
        <f ca="1">IFERROR(__xludf.DUMMYFUNCTION("IMPORTRANGE(""https://docs.google.com/spreadsheets/d/1IYY_tgx_IHuhSq3AJ5eI5OnqOPBNLWSHKh2a30DoXe8/edit?usp=sharing"",""ภูเก็ต!J388"")"),0)</f>
        <v>0</v>
      </c>
      <c r="AQ85" s="552">
        <f ca="1">IFERROR(__xludf.DUMMYFUNCTION("IMPORTRANGE(""https://docs.google.com/spreadsheets/d/1IYY_tgx_IHuhSq3AJ5eI5OnqOPBNLWSHKh2a30DoXe8/edit?usp=sharing"",""ภูเก็ต!J389"")"),0)</f>
        <v>0</v>
      </c>
      <c r="AR85" s="552">
        <f ca="1">IFERROR(__xludf.DUMMYFUNCTION("IMPORTRANGE(""https://docs.google.com/spreadsheets/d/1IYY_tgx_IHuhSq3AJ5eI5OnqOPBNLWSHKh2a30DoXe8/edit?usp=sharing"",""ภูเก็ต!J390"")"),0)</f>
        <v>0</v>
      </c>
      <c r="AS85" s="552">
        <f ca="1">IFERROR(__xludf.DUMMYFUNCTION("IMPORTRANGE(""https://docs.google.com/spreadsheets/d/1IYY_tgx_IHuhSq3AJ5eI5OnqOPBNLWSHKh2a30DoXe8/edit?usp=sharing"",""ภูเก็ต!J391"")"),0)</f>
        <v>0</v>
      </c>
      <c r="AT85" s="556">
        <f ca="1">IFERROR(__xludf.DUMMYFUNCTION("IMPORTRANGE(""https://docs.google.com/spreadsheets/d/1C3CXT74ZlgGe6_JY_1olB1XN4rF0dxEuIIF-xsYjHgg/edit?usp=sharing"",""งบกองทุน!CD89"")"),0)</f>
        <v>0</v>
      </c>
      <c r="AU85" s="556">
        <f ca="1">IFERROR(__xludf.DUMMYFUNCTION("IMPORTRANGE(""https://docs.google.com/spreadsheets/d/1C3CXT74ZlgGe6_JY_1olB1XN4rF0dxEuIIF-xsYjHgg/edit?usp=sharing"",""งบกองทุน!CC89"")"),0)</f>
        <v>0</v>
      </c>
      <c r="AV85" s="556">
        <f t="shared" ca="1" si="135"/>
        <v>0</v>
      </c>
      <c r="AW85" s="556">
        <f t="shared" ca="1" si="12"/>
        <v>0</v>
      </c>
      <c r="AX85" s="556">
        <f t="shared" ca="1" si="136"/>
        <v>0</v>
      </c>
      <c r="AY85" s="556">
        <f t="shared" ca="1" si="13"/>
        <v>0</v>
      </c>
      <c r="AZ85" s="552">
        <f ca="1">IFERROR(__xludf.DUMMYFUNCTION("IMPORTRANGE(""https://docs.google.com/spreadsheets/d/1IYY_tgx_IHuhSq3AJ5eI5OnqOPBNLWSHKh2a30DoXe8/edit?usp=sharing"",""ภูเก็ต!J397"")"),0)</f>
        <v>0</v>
      </c>
      <c r="BA85" s="552">
        <f ca="1">IFERROR(__xludf.DUMMYFUNCTION("IMPORTRANGE(""https://docs.google.com/spreadsheets/d/1IYY_tgx_IHuhSq3AJ5eI5OnqOPBNLWSHKh2a30DoXe8/edit?usp=sharing"",""ภูเก็ต!J398"")"),0)</f>
        <v>0</v>
      </c>
      <c r="BB85" s="552">
        <f ca="1">IFERROR(__xludf.DUMMYFUNCTION("IMPORTRANGE(""https://docs.google.com/spreadsheets/d/1IYY_tgx_IHuhSq3AJ5eI5OnqOPBNLWSHKh2a30DoXe8/edit?usp=sharing"",""ภูเก็ต!J399"")"),0)</f>
        <v>0</v>
      </c>
      <c r="BC85" s="552">
        <f ca="1">IFERROR(__xludf.DUMMYFUNCTION("IMPORTRANGE(""https://docs.google.com/spreadsheets/d/1IYY_tgx_IHuhSq3AJ5eI5OnqOPBNLWSHKh2a30DoXe8/edit?usp=sharing"",""ภูเก็ต!J400"")"),0)</f>
        <v>0</v>
      </c>
      <c r="BD85" s="552">
        <f ca="1">IFERROR(__xludf.DUMMYFUNCTION("IMPORTRANGE(""https://docs.google.com/spreadsheets/d/1IYY_tgx_IHuhSq3AJ5eI5OnqOPBNLWSHKh2a30DoXe8/edit?usp=sharing"",""ภูเก็ต!J401"")"),0)</f>
        <v>0</v>
      </c>
      <c r="BE85" s="552">
        <f ca="1">IFERROR(__xludf.DUMMYFUNCTION("IMPORTRANGE(""https://docs.google.com/spreadsheets/d/1IYY_tgx_IHuhSq3AJ5eI5OnqOPBNLWSHKh2a30DoXe8/edit?usp=sharing"",""ภูเก็ต!J402"")"),0)</f>
        <v>0</v>
      </c>
      <c r="BF85" s="552">
        <f ca="1">IFERROR(__xludf.DUMMYFUNCTION("IMPORTRANGE(""https://docs.google.com/spreadsheets/d/1IYY_tgx_IHuhSq3AJ5eI5OnqOPBNLWSHKh2a30DoXe8/edit?usp=sharing"",""ภูเก็ต!J405"")"),0)</f>
        <v>0</v>
      </c>
      <c r="BG85" s="552">
        <f ca="1">IFERROR(__xludf.DUMMYFUNCTION("IMPORTRANGE(""https://docs.google.com/spreadsheets/d/1IYY_tgx_IHuhSq3AJ5eI5OnqOPBNLWSHKh2a30DoXe8/edit?usp=sharing"",""ภูเก็ต!J406"")"),0)</f>
        <v>0</v>
      </c>
      <c r="BH85" s="552">
        <f ca="1">IFERROR(__xludf.DUMMYFUNCTION("IMPORTRANGE(""https://docs.google.com/spreadsheets/d/1IYY_tgx_IHuhSq3AJ5eI5OnqOPBNLWSHKh2a30DoXe8/edit?usp=sharing"",""ภูเก็ต!J407"")"),0)</f>
        <v>0</v>
      </c>
      <c r="BI85" s="552">
        <f ca="1">IFERROR(__xludf.DUMMYFUNCTION("IMPORTRANGE(""https://docs.google.com/spreadsheets/d/1IYY_tgx_IHuhSq3AJ5eI5OnqOPBNLWSHKh2a30DoXe8/edit?usp=sharing"",""ภูเก็ต!J408"")"),0)</f>
        <v>0</v>
      </c>
      <c r="BJ85" s="552">
        <f ca="1">IFERROR(__xludf.DUMMYFUNCTION("IMPORTRANGE(""https://docs.google.com/spreadsheets/d/1IYY_tgx_IHuhSq3AJ5eI5OnqOPBNLWSHKh2a30DoXe8/edit?usp=sharing"",""ภูเก็ต!J409"")"),0)</f>
        <v>0</v>
      </c>
      <c r="BK85" s="552">
        <f ca="1">IFERROR(__xludf.DUMMYFUNCTION("IMPORTRANGE(""https://docs.google.com/spreadsheets/d/1IYY_tgx_IHuhSq3AJ5eI5OnqOPBNLWSHKh2a30DoXe8/edit?usp=sharing"",""ภูเก็ต!J410"")"),0)</f>
        <v>0</v>
      </c>
      <c r="BL85" s="556">
        <f ca="1">IFERROR(__xludf.DUMMYFUNCTION("IMPORTRANGE(""https://docs.google.com/spreadsheets/d/1C3CXT74ZlgGe6_JY_1olB1XN4rF0dxEuIIF-xsYjHgg/edit?usp=sharing"",""งบกองทุน!CZ89"")"),0)</f>
        <v>0</v>
      </c>
      <c r="BM85" s="556">
        <f ca="1">IFERROR(__xludf.DUMMYFUNCTION("IMPORTRANGE(""https://docs.google.com/spreadsheets/d/1C3CXT74ZlgGe6_JY_1olB1XN4rF0dxEuIIF-xsYjHgg/edit?usp=sharing"",""งบกองทุน!CY89"")"),0)</f>
        <v>0</v>
      </c>
      <c r="BN85" s="556">
        <f t="shared" ca="1" si="137"/>
        <v>0</v>
      </c>
      <c r="BO85" s="557">
        <f t="shared" ca="1" si="15"/>
        <v>0</v>
      </c>
      <c r="BP85" s="556">
        <f t="shared" ca="1" si="138"/>
        <v>0</v>
      </c>
      <c r="BQ85" s="557">
        <f t="shared" ca="1" si="16"/>
        <v>0</v>
      </c>
      <c r="BR85" s="552">
        <f ca="1">IFERROR(__xludf.DUMMYFUNCTION("IMPORTRANGE(""https://docs.google.com/spreadsheets/d/1IYY_tgx_IHuhSq3AJ5eI5OnqOPBNLWSHKh2a30DoXe8/edit?usp=sharing"",""ภูเก็ต!J414"")"),0)</f>
        <v>0</v>
      </c>
      <c r="BS85" s="552">
        <f ca="1">IFERROR(__xludf.DUMMYFUNCTION("IMPORTRANGE(""https://docs.google.com/spreadsheets/d/1IYY_tgx_IHuhSq3AJ5eI5OnqOPBNLWSHKh2a30DoXe8/edit?usp=sharing"",""ภูเก็ต!J415"")"),0)</f>
        <v>0</v>
      </c>
      <c r="BT85" s="552">
        <f ca="1">IFERROR(__xludf.DUMMYFUNCTION("IMPORTRANGE(""https://docs.google.com/spreadsheets/d/1IYY_tgx_IHuhSq3AJ5eI5OnqOPBNLWSHKh2a30DoXe8/edit?usp=sharing"",""ภูเก็ต!J416"")"),0)</f>
        <v>0</v>
      </c>
      <c r="BU85" s="552">
        <f ca="1">IFERROR(__xludf.DUMMYFUNCTION("IMPORTRANGE(""https://docs.google.com/spreadsheets/d/1IYY_tgx_IHuhSq3AJ5eI5OnqOPBNLWSHKh2a30DoXe8/edit?usp=sharing"",""ภูเก็ต!J417"")"),0)</f>
        <v>0</v>
      </c>
      <c r="BV85" s="552">
        <f ca="1">IFERROR(__xludf.DUMMYFUNCTION("IMPORTRANGE(""https://docs.google.com/spreadsheets/d/1IYY_tgx_IHuhSq3AJ5eI5OnqOPBNLWSHKh2a30DoXe8/edit?usp=sharing"",""ภูเก็ต!J418"")"),0)</f>
        <v>0</v>
      </c>
      <c r="BW85" s="552">
        <f ca="1">IFERROR(__xludf.DUMMYFUNCTION("IMPORTRANGE(""https://docs.google.com/spreadsheets/d/1IYY_tgx_IHuhSq3AJ5eI5OnqOPBNLWSHKh2a30DoXe8/edit?usp=sharing"",""ภูเก็ต!J419"")"),0)</f>
        <v>0</v>
      </c>
      <c r="BX85" s="556">
        <f t="shared" ca="1" si="139"/>
        <v>0</v>
      </c>
      <c r="BY85" s="557">
        <f t="shared" ca="1" si="140"/>
        <v>0</v>
      </c>
      <c r="BZ85" s="556">
        <f t="shared" ca="1" si="141"/>
        <v>0</v>
      </c>
      <c r="CA85" s="557">
        <f t="shared" ca="1" si="142"/>
        <v>0</v>
      </c>
      <c r="CB85" s="552">
        <f ca="1">IFERROR(__xludf.DUMMYFUNCTION("IMPORTRANGE(""https://docs.google.com/spreadsheets/d/1IYY_tgx_IHuhSq3AJ5eI5OnqOPBNLWSHKh2a30DoXe8/edit?usp=sharing"",""ภูเก็ต!J422"")"),0)</f>
        <v>0</v>
      </c>
      <c r="CC85" s="552">
        <f ca="1">IFERROR(__xludf.DUMMYFUNCTION("IMPORTRANGE(""https://docs.google.com/spreadsheets/d/1IYY_tgx_IHuhSq3AJ5eI5OnqOPBNLWSHKh2a30DoXe8/edit?usp=sharing"",""ภูเก็ต!J423"")"),0)</f>
        <v>0</v>
      </c>
      <c r="CD85" s="552">
        <f ca="1">IFERROR(__xludf.DUMMYFUNCTION("IMPORTRANGE(""https://docs.google.com/spreadsheets/d/1IYY_tgx_IHuhSq3AJ5eI5OnqOPBNLWSHKh2a30DoXe8/edit?usp=sharing"",""ภูเก็ต!J424"")"),0)</f>
        <v>0</v>
      </c>
      <c r="CE85" s="552">
        <f ca="1">IFERROR(__xludf.DUMMYFUNCTION("IMPORTRANGE(""https://docs.google.com/spreadsheets/d/1IYY_tgx_IHuhSq3AJ5eI5OnqOPBNLWSHKh2a30DoXe8/edit?usp=sharing"",""ภูเก็ต!J425"")"),0)</f>
        <v>0</v>
      </c>
      <c r="CF85" s="552">
        <f ca="1">IFERROR(__xludf.DUMMYFUNCTION("IMPORTRANGE(""https://docs.google.com/spreadsheets/d/1IYY_tgx_IHuhSq3AJ5eI5OnqOPBNLWSHKh2a30DoXe8/edit?usp=sharing"",""ภูเก็ต!J426"")"),0)</f>
        <v>0</v>
      </c>
      <c r="CG85" s="558">
        <f ca="1">IFERROR(__xludf.DUMMYFUNCTION("IMPORTRANGE(""https://docs.google.com/spreadsheets/d/1IYY_tgx_IHuhSq3AJ5eI5OnqOPBNLWSHKh2a30DoXe8/edit?usp=sharing"",""ภูเก็ต!J427"")"),0)</f>
        <v>0</v>
      </c>
    </row>
    <row r="86" spans="1:85" ht="21" customHeight="1">
      <c r="A86" s="549">
        <v>10</v>
      </c>
      <c r="B86" s="550" t="s">
        <v>110</v>
      </c>
      <c r="C86" s="551">
        <f t="shared" ca="1" si="128"/>
        <v>77877</v>
      </c>
      <c r="D86" s="552">
        <f ca="1">IFERROR(__xludf.DUMMYFUNCTION("IMPORTRANGE(""https://docs.google.com/spreadsheets/d/1C3CXT74ZlgGe6_JY_1olB1XN4rF0dxEuIIF-xsYjHgg/edit?usp=sharing"",""งบกองทุน!BC90"")"),0)</f>
        <v>0</v>
      </c>
      <c r="E86" s="553">
        <f ca="1">IFERROR(__xludf.DUMMYFUNCTION("IMPORTRANGE(""https://docs.google.com/spreadsheets/d/1C3CXT74ZlgGe6_JY_1olB1XN4rF0dxEuIIF-xsYjHgg/edit?usp=sharing"",""งบกองทุน!BD90"")"),77877)</f>
        <v>77877</v>
      </c>
      <c r="F86" s="554">
        <f ca="1">IFERROR(__xludf.DUMMYFUNCTION("IMPORTRANGE(""https://docs.google.com/spreadsheets/d/1IYY_tgx_IHuhSq3AJ5eI5OnqOPBNLWSHKh2a30DoXe8/edit?usp=sharing"",""ยะลา!M352"")"),6515)</f>
        <v>6515</v>
      </c>
      <c r="G86" s="554">
        <f t="shared" ca="1" si="1"/>
        <v>8.365756256661145</v>
      </c>
      <c r="H86" s="555">
        <f ca="1">IFERROR(__xludf.DUMMYFUNCTION("IMPORTRANGE(""https://docs.google.com/spreadsheets/d/1C3CXT74ZlgGe6_JY_1olB1XN4rF0dxEuIIF-xsYjHgg/edit?usp=sharing"",""งบกองทุน!BE90"")"),5390)</f>
        <v>5390</v>
      </c>
      <c r="I86" s="555">
        <f ca="1">IFERROR(__xludf.DUMMYFUNCTION("IMPORTRANGE(""https://docs.google.com/spreadsheets/d/1C3CXT74ZlgGe6_JY_1olB1XN4rF0dxEuIIF-xsYjHgg/edit?usp=sharing"",""งบกองทุน!BF90"")"),1357)</f>
        <v>1357</v>
      </c>
      <c r="J86" s="552">
        <f t="shared" ca="1" si="129"/>
        <v>5391</v>
      </c>
      <c r="K86" s="554">
        <f t="shared" ca="1" si="3"/>
        <v>100.01855287569573</v>
      </c>
      <c r="L86" s="552">
        <f t="shared" ca="1" si="130"/>
        <v>1357</v>
      </c>
      <c r="M86" s="554">
        <f t="shared" ca="1" si="4"/>
        <v>100</v>
      </c>
      <c r="N86" s="552">
        <f ca="1">IFERROR(__xludf.DUMMYFUNCTION("IMPORTRANGE(""https://docs.google.com/spreadsheets/d/1IYY_tgx_IHuhSq3AJ5eI5OnqOPBNLWSHKh2a30DoXe8/edit?usp=sharing"",""ยะลา!J362"")"),4970)</f>
        <v>4970</v>
      </c>
      <c r="O86" s="552">
        <f ca="1">IFERROR(__xludf.DUMMYFUNCTION("IMPORTRANGE(""https://docs.google.com/spreadsheets/d/1IYY_tgx_IHuhSq3AJ5eI5OnqOPBNLWSHKh2a30DoXe8/edit?usp=sharing"",""ยะลา!J363"")"),1290)</f>
        <v>1290</v>
      </c>
      <c r="P86" s="552">
        <f ca="1">IFERROR(__xludf.DUMMYFUNCTION("IMPORTRANGE(""https://docs.google.com/spreadsheets/d/1IYY_tgx_IHuhSq3AJ5eI5OnqOPBNLWSHKh2a30DoXe8/edit?usp=sharing"",""ยะลา!J364"")"),237)</f>
        <v>237</v>
      </c>
      <c r="Q86" s="552">
        <f ca="1">IFERROR(__xludf.DUMMYFUNCTION("IMPORTRANGE(""https://docs.google.com/spreadsheets/d/1IYY_tgx_IHuhSq3AJ5eI5OnqOPBNLWSHKh2a30DoXe8/edit?usp=sharing"",""ยะลา!J365"")"),32)</f>
        <v>32</v>
      </c>
      <c r="R86" s="552">
        <f ca="1">IFERROR(__xludf.DUMMYFUNCTION("IMPORTRANGE(""https://docs.google.com/spreadsheets/d/1IYY_tgx_IHuhSq3AJ5eI5OnqOPBNLWSHKh2a30DoXe8/edit?usp=sharing"",""ยะลา!J366"")"),184)</f>
        <v>184</v>
      </c>
      <c r="S86" s="552">
        <f ca="1">IFERROR(__xludf.DUMMYFUNCTION("IMPORTRANGE(""https://docs.google.com/spreadsheets/d/1IYY_tgx_IHuhSq3AJ5eI5OnqOPBNLWSHKh2a30DoXe8/edit?usp=sharing"",""ยะลา!J367"")"),35)</f>
        <v>35</v>
      </c>
      <c r="T86" s="552">
        <f t="shared" ca="1" si="131"/>
        <v>5391</v>
      </c>
      <c r="U86" s="552">
        <f t="shared" ca="1" si="6"/>
        <v>100.01855287569573</v>
      </c>
      <c r="V86" s="552">
        <f t="shared" ca="1" si="132"/>
        <v>1357</v>
      </c>
      <c r="W86" s="552">
        <f t="shared" ca="1" si="7"/>
        <v>100</v>
      </c>
      <c r="X86" s="552">
        <f ca="1">IFERROR(__xludf.DUMMYFUNCTION("IMPORTRANGE(""https://docs.google.com/spreadsheets/d/1IYY_tgx_IHuhSq3AJ5eI5OnqOPBNLWSHKh2a30DoXe8/edit?usp=sharing"",""ยะลา!J370"")"),4970)</f>
        <v>4970</v>
      </c>
      <c r="Y86" s="552">
        <f ca="1">IFERROR(__xludf.DUMMYFUNCTION("IMPORTRANGE(""https://docs.google.com/spreadsheets/d/1IYY_tgx_IHuhSq3AJ5eI5OnqOPBNLWSHKh2a30DoXe8/edit?usp=sharing"",""ยะลา!J371"")"),1290)</f>
        <v>1290</v>
      </c>
      <c r="Z86" s="552">
        <f ca="1">IFERROR(__xludf.DUMMYFUNCTION("IMPORTRANGE(""https://docs.google.com/spreadsheets/d/1IYY_tgx_IHuhSq3AJ5eI5OnqOPBNLWSHKh2a30DoXe8/edit?usp=sharing"",""ยะลา!J372"")"),237)</f>
        <v>237</v>
      </c>
      <c r="AA86" s="552">
        <f ca="1">IFERROR(__xludf.DUMMYFUNCTION("IMPORTRANGE(""https://docs.google.com/spreadsheets/d/1IYY_tgx_IHuhSq3AJ5eI5OnqOPBNLWSHKh2a30DoXe8/edit?usp=sharing"",""ยะลา!J373"")"),32)</f>
        <v>32</v>
      </c>
      <c r="AB86" s="552">
        <f ca="1">IFERROR(__xludf.DUMMYFUNCTION("IMPORTRANGE(""https://docs.google.com/spreadsheets/d/1IYY_tgx_IHuhSq3AJ5eI5OnqOPBNLWSHKh2a30DoXe8/edit?usp=sharing"",""ยะลา!J374"")"),184)</f>
        <v>184</v>
      </c>
      <c r="AC86" s="552">
        <f ca="1">IFERROR(__xludf.DUMMYFUNCTION("IMPORTRANGE(""https://docs.google.com/spreadsheets/d/1IYY_tgx_IHuhSq3AJ5eI5OnqOPBNLWSHKh2a30DoXe8/edit?usp=sharing"",""ยะลา!J375"")"),35)</f>
        <v>35</v>
      </c>
      <c r="AD86" s="552">
        <f t="shared" ca="1" si="133"/>
        <v>5391</v>
      </c>
      <c r="AE86" s="554">
        <f t="shared" ca="1" si="9"/>
        <v>100.01855287569573</v>
      </c>
      <c r="AF86" s="552">
        <f t="shared" ca="1" si="134"/>
        <v>1357</v>
      </c>
      <c r="AG86" s="554">
        <f t="shared" ca="1" si="10"/>
        <v>100</v>
      </c>
      <c r="AH86" s="552">
        <f ca="1">IFERROR(__xludf.DUMMYFUNCTION("IMPORTRANGE(""https://docs.google.com/spreadsheets/d/1IYY_tgx_IHuhSq3AJ5eI5OnqOPBNLWSHKh2a30DoXe8/edit?usp=sharing"",""ยะลา!J378"")"),4970)</f>
        <v>4970</v>
      </c>
      <c r="AI86" s="552">
        <f ca="1">IFERROR(__xludf.DUMMYFUNCTION("IMPORTRANGE(""https://docs.google.com/spreadsheets/d/1IYY_tgx_IHuhSq3AJ5eI5OnqOPBNLWSHKh2a30DoXe8/edit?usp=sharing"",""ยะลา!J379"")"),1290)</f>
        <v>1290</v>
      </c>
      <c r="AJ86" s="552">
        <f ca="1">IFERROR(__xludf.DUMMYFUNCTION("IMPORTRANGE(""https://docs.google.com/spreadsheets/d/1IYY_tgx_IHuhSq3AJ5eI5OnqOPBNLWSHKh2a30DoXe8/edit?usp=sharing"",""ยะลา!J380"")"),237)</f>
        <v>237</v>
      </c>
      <c r="AK86" s="552">
        <f ca="1">IFERROR(__xludf.DUMMYFUNCTION("IMPORTRANGE(""https://docs.google.com/spreadsheets/d/1IYY_tgx_IHuhSq3AJ5eI5OnqOPBNLWSHKh2a30DoXe8/edit?usp=sharing"",""ยะลา!J381"")"),32)</f>
        <v>32</v>
      </c>
      <c r="AL86" s="552">
        <f ca="1">IFERROR(__xludf.DUMMYFUNCTION("IMPORTRANGE(""https://docs.google.com/spreadsheets/d/1IYY_tgx_IHuhSq3AJ5eI5OnqOPBNLWSHKh2a30DoXe8/edit?usp=sharing"",""ยะลา!J384"")"),184)</f>
        <v>184</v>
      </c>
      <c r="AM86" s="552">
        <f ca="1">IFERROR(__xludf.DUMMYFUNCTION("IMPORTRANGE(""https://docs.google.com/spreadsheets/d/1IYY_tgx_IHuhSq3AJ5eI5OnqOPBNLWSHKh2a30DoXe8/edit?usp=sharing"",""ยะลา!J385"")"),35)</f>
        <v>35</v>
      </c>
      <c r="AN86" s="552">
        <f ca="1">IFERROR(__xludf.DUMMYFUNCTION("IMPORTRANGE(""https://docs.google.com/spreadsheets/d/1IYY_tgx_IHuhSq3AJ5eI5OnqOPBNLWSHKh2a30DoXe8/edit?usp=sharing"",""ยะลา!J386"")"),0)</f>
        <v>0</v>
      </c>
      <c r="AO86" s="552">
        <f ca="1">IFERROR(__xludf.DUMMYFUNCTION("IMPORTRANGE(""https://docs.google.com/spreadsheets/d/1IYY_tgx_IHuhSq3AJ5eI5OnqOPBNLWSHKh2a30DoXe8/edit?usp=sharing"",""ยะลา!J387"")"),0)</f>
        <v>0</v>
      </c>
      <c r="AP86" s="552">
        <f ca="1">IFERROR(__xludf.DUMMYFUNCTION("IMPORTRANGE(""https://docs.google.com/spreadsheets/d/1IYY_tgx_IHuhSq3AJ5eI5OnqOPBNLWSHKh2a30DoXe8/edit?usp=sharing"",""ยะลา!J388"")"),0)</f>
        <v>0</v>
      </c>
      <c r="AQ86" s="552">
        <f ca="1">IFERROR(__xludf.DUMMYFUNCTION("IMPORTRANGE(""https://docs.google.com/spreadsheets/d/1IYY_tgx_IHuhSq3AJ5eI5OnqOPBNLWSHKh2a30DoXe8/edit?usp=sharing"",""ยะลา!J389"")"),0)</f>
        <v>0</v>
      </c>
      <c r="AR86" s="552">
        <f ca="1">IFERROR(__xludf.DUMMYFUNCTION("IMPORTRANGE(""https://docs.google.com/spreadsheets/d/1IYY_tgx_IHuhSq3AJ5eI5OnqOPBNLWSHKh2a30DoXe8/edit?usp=sharing"",""ยะลา!J390"")"),0)</f>
        <v>0</v>
      </c>
      <c r="AS86" s="552">
        <f ca="1">IFERROR(__xludf.DUMMYFUNCTION("IMPORTRANGE(""https://docs.google.com/spreadsheets/d/1IYY_tgx_IHuhSq3AJ5eI5OnqOPBNLWSHKh2a30DoXe8/edit?usp=sharing"",""ยะลา!J391"")"),0)</f>
        <v>0</v>
      </c>
      <c r="AT86" s="556">
        <f ca="1">IFERROR(__xludf.DUMMYFUNCTION("IMPORTRANGE(""https://docs.google.com/spreadsheets/d/1C3CXT74ZlgGe6_JY_1olB1XN4rF0dxEuIIF-xsYjHgg/edit?usp=sharing"",""งบกองทุน!CD90"")"),0)</f>
        <v>0</v>
      </c>
      <c r="AU86" s="556">
        <f ca="1">IFERROR(__xludf.DUMMYFUNCTION("IMPORTRANGE(""https://docs.google.com/spreadsheets/d/1C3CXT74ZlgGe6_JY_1olB1XN4rF0dxEuIIF-xsYjHgg/edit?usp=sharing"",""งบกองทุน!CC90"")"),0)</f>
        <v>0</v>
      </c>
      <c r="AV86" s="556">
        <f t="shared" ca="1" si="135"/>
        <v>0</v>
      </c>
      <c r="AW86" s="556">
        <f t="shared" ca="1" si="12"/>
        <v>0</v>
      </c>
      <c r="AX86" s="556">
        <f t="shared" ca="1" si="136"/>
        <v>0</v>
      </c>
      <c r="AY86" s="556">
        <f t="shared" ca="1" si="13"/>
        <v>0</v>
      </c>
      <c r="AZ86" s="552">
        <f ca="1">IFERROR(__xludf.DUMMYFUNCTION("IMPORTRANGE(""https://docs.google.com/spreadsheets/d/1IYY_tgx_IHuhSq3AJ5eI5OnqOPBNLWSHKh2a30DoXe8/edit?usp=sharing"",""ยะลา!J397"")"),0)</f>
        <v>0</v>
      </c>
      <c r="BA86" s="552">
        <f ca="1">IFERROR(__xludf.DUMMYFUNCTION("IMPORTRANGE(""https://docs.google.com/spreadsheets/d/1IYY_tgx_IHuhSq3AJ5eI5OnqOPBNLWSHKh2a30DoXe8/edit?usp=sharing"",""ยะลา!J398"")"),0)</f>
        <v>0</v>
      </c>
      <c r="BB86" s="552">
        <f ca="1">IFERROR(__xludf.DUMMYFUNCTION("IMPORTRANGE(""https://docs.google.com/spreadsheets/d/1IYY_tgx_IHuhSq3AJ5eI5OnqOPBNLWSHKh2a30DoXe8/edit?usp=sharing"",""ยะลา!J399"")"),0)</f>
        <v>0</v>
      </c>
      <c r="BC86" s="552">
        <f ca="1">IFERROR(__xludf.DUMMYFUNCTION("IMPORTRANGE(""https://docs.google.com/spreadsheets/d/1IYY_tgx_IHuhSq3AJ5eI5OnqOPBNLWSHKh2a30DoXe8/edit?usp=sharing"",""ยะลา!J400"")"),0)</f>
        <v>0</v>
      </c>
      <c r="BD86" s="552">
        <f ca="1">IFERROR(__xludf.DUMMYFUNCTION("IMPORTRANGE(""https://docs.google.com/spreadsheets/d/1IYY_tgx_IHuhSq3AJ5eI5OnqOPBNLWSHKh2a30DoXe8/edit?usp=sharing"",""ยะลา!J401"")"),0)</f>
        <v>0</v>
      </c>
      <c r="BE86" s="552">
        <f ca="1">IFERROR(__xludf.DUMMYFUNCTION("IMPORTRANGE(""https://docs.google.com/spreadsheets/d/1IYY_tgx_IHuhSq3AJ5eI5OnqOPBNLWSHKh2a30DoXe8/edit?usp=sharing"",""ยะลา!J402"")"),0)</f>
        <v>0</v>
      </c>
      <c r="BF86" s="552">
        <f ca="1">IFERROR(__xludf.DUMMYFUNCTION("IMPORTRANGE(""https://docs.google.com/spreadsheets/d/1IYY_tgx_IHuhSq3AJ5eI5OnqOPBNLWSHKh2a30DoXe8/edit?usp=sharing"",""ยะลา!J405"")"),0)</f>
        <v>0</v>
      </c>
      <c r="BG86" s="552">
        <f ca="1">IFERROR(__xludf.DUMMYFUNCTION("IMPORTRANGE(""https://docs.google.com/spreadsheets/d/1IYY_tgx_IHuhSq3AJ5eI5OnqOPBNLWSHKh2a30DoXe8/edit?usp=sharing"",""ยะลา!J406"")"),0)</f>
        <v>0</v>
      </c>
      <c r="BH86" s="552">
        <f ca="1">IFERROR(__xludf.DUMMYFUNCTION("IMPORTRANGE(""https://docs.google.com/spreadsheets/d/1IYY_tgx_IHuhSq3AJ5eI5OnqOPBNLWSHKh2a30DoXe8/edit?usp=sharing"",""ยะลา!J407"")"),0)</f>
        <v>0</v>
      </c>
      <c r="BI86" s="552">
        <f ca="1">IFERROR(__xludf.DUMMYFUNCTION("IMPORTRANGE(""https://docs.google.com/spreadsheets/d/1IYY_tgx_IHuhSq3AJ5eI5OnqOPBNLWSHKh2a30DoXe8/edit?usp=sharing"",""ยะลา!J408"")"),0)</f>
        <v>0</v>
      </c>
      <c r="BJ86" s="552">
        <f ca="1">IFERROR(__xludf.DUMMYFUNCTION("IMPORTRANGE(""https://docs.google.com/spreadsheets/d/1IYY_tgx_IHuhSq3AJ5eI5OnqOPBNLWSHKh2a30DoXe8/edit?usp=sharing"",""ยะลา!J409"")"),0)</f>
        <v>0</v>
      </c>
      <c r="BK86" s="552">
        <f ca="1">IFERROR(__xludf.DUMMYFUNCTION("IMPORTRANGE(""https://docs.google.com/spreadsheets/d/1IYY_tgx_IHuhSq3AJ5eI5OnqOPBNLWSHKh2a30DoXe8/edit?usp=sharing"",""ยะลา!J410"")"),0)</f>
        <v>0</v>
      </c>
      <c r="BL86" s="556">
        <f ca="1">IFERROR(__xludf.DUMMYFUNCTION("IMPORTRANGE(""https://docs.google.com/spreadsheets/d/1C3CXT74ZlgGe6_JY_1olB1XN4rF0dxEuIIF-xsYjHgg/edit?usp=sharing"",""งบกองทุน!CZ90"")"),0)</f>
        <v>0</v>
      </c>
      <c r="BM86" s="556">
        <f ca="1">IFERROR(__xludf.DUMMYFUNCTION("IMPORTRANGE(""https://docs.google.com/spreadsheets/d/1C3CXT74ZlgGe6_JY_1olB1XN4rF0dxEuIIF-xsYjHgg/edit?usp=sharing"",""งบกองทุน!CY90"")"),0)</f>
        <v>0</v>
      </c>
      <c r="BN86" s="556">
        <f t="shared" ca="1" si="137"/>
        <v>0</v>
      </c>
      <c r="BO86" s="557">
        <f t="shared" ca="1" si="15"/>
        <v>0</v>
      </c>
      <c r="BP86" s="556">
        <f t="shared" ca="1" si="138"/>
        <v>0</v>
      </c>
      <c r="BQ86" s="557">
        <f t="shared" ca="1" si="16"/>
        <v>0</v>
      </c>
      <c r="BR86" s="552">
        <f ca="1">IFERROR(__xludf.DUMMYFUNCTION("IMPORTRANGE(""https://docs.google.com/spreadsheets/d/1IYY_tgx_IHuhSq3AJ5eI5OnqOPBNLWSHKh2a30DoXe8/edit?usp=sharing"",""ยะลา!J414"")"),0)</f>
        <v>0</v>
      </c>
      <c r="BS86" s="552">
        <f ca="1">IFERROR(__xludf.DUMMYFUNCTION("IMPORTRANGE(""https://docs.google.com/spreadsheets/d/1IYY_tgx_IHuhSq3AJ5eI5OnqOPBNLWSHKh2a30DoXe8/edit?usp=sharing"",""ยะลา!J415"")"),0)</f>
        <v>0</v>
      </c>
      <c r="BT86" s="552">
        <f ca="1">IFERROR(__xludf.DUMMYFUNCTION("IMPORTRANGE(""https://docs.google.com/spreadsheets/d/1IYY_tgx_IHuhSq3AJ5eI5OnqOPBNLWSHKh2a30DoXe8/edit?usp=sharing"",""ยะลา!J416"")"),0)</f>
        <v>0</v>
      </c>
      <c r="BU86" s="552">
        <f ca="1">IFERROR(__xludf.DUMMYFUNCTION("IMPORTRANGE(""https://docs.google.com/spreadsheets/d/1IYY_tgx_IHuhSq3AJ5eI5OnqOPBNLWSHKh2a30DoXe8/edit?usp=sharing"",""ยะลา!J417"")"),0)</f>
        <v>0</v>
      </c>
      <c r="BV86" s="552">
        <f ca="1">IFERROR(__xludf.DUMMYFUNCTION("IMPORTRANGE(""https://docs.google.com/spreadsheets/d/1IYY_tgx_IHuhSq3AJ5eI5OnqOPBNLWSHKh2a30DoXe8/edit?usp=sharing"",""ยะลา!J418"")"),0)</f>
        <v>0</v>
      </c>
      <c r="BW86" s="552">
        <f ca="1">IFERROR(__xludf.DUMMYFUNCTION("IMPORTRANGE(""https://docs.google.com/spreadsheets/d/1IYY_tgx_IHuhSq3AJ5eI5OnqOPBNLWSHKh2a30DoXe8/edit?usp=sharing"",""ยะลา!J419"")"),0)</f>
        <v>0</v>
      </c>
      <c r="BX86" s="556">
        <f t="shared" ca="1" si="139"/>
        <v>0</v>
      </c>
      <c r="BY86" s="557">
        <f t="shared" ca="1" si="140"/>
        <v>0</v>
      </c>
      <c r="BZ86" s="556">
        <f t="shared" ca="1" si="141"/>
        <v>0</v>
      </c>
      <c r="CA86" s="557">
        <f t="shared" ca="1" si="142"/>
        <v>0</v>
      </c>
      <c r="CB86" s="552">
        <f ca="1">IFERROR(__xludf.DUMMYFUNCTION("IMPORTRANGE(""https://docs.google.com/spreadsheets/d/1IYY_tgx_IHuhSq3AJ5eI5OnqOPBNLWSHKh2a30DoXe8/edit?usp=sharing"",""ยะลา!J422"")"),0)</f>
        <v>0</v>
      </c>
      <c r="CC86" s="552">
        <f ca="1">IFERROR(__xludf.DUMMYFUNCTION("IMPORTRANGE(""https://docs.google.com/spreadsheets/d/1IYY_tgx_IHuhSq3AJ5eI5OnqOPBNLWSHKh2a30DoXe8/edit?usp=sharing"",""ยะลา!J423"")"),0)</f>
        <v>0</v>
      </c>
      <c r="CD86" s="552">
        <f ca="1">IFERROR(__xludf.DUMMYFUNCTION("IMPORTRANGE(""https://docs.google.com/spreadsheets/d/1IYY_tgx_IHuhSq3AJ5eI5OnqOPBNLWSHKh2a30DoXe8/edit?usp=sharing"",""ยะลา!J424"")"),0)</f>
        <v>0</v>
      </c>
      <c r="CE86" s="552">
        <f ca="1">IFERROR(__xludf.DUMMYFUNCTION("IMPORTRANGE(""https://docs.google.com/spreadsheets/d/1IYY_tgx_IHuhSq3AJ5eI5OnqOPBNLWSHKh2a30DoXe8/edit?usp=sharing"",""ยะลา!J425"")"),0)</f>
        <v>0</v>
      </c>
      <c r="CF86" s="552">
        <f ca="1">IFERROR(__xludf.DUMMYFUNCTION("IMPORTRANGE(""https://docs.google.com/spreadsheets/d/1IYY_tgx_IHuhSq3AJ5eI5OnqOPBNLWSHKh2a30DoXe8/edit?usp=sharing"",""ยะลา!J426"")"),0)</f>
        <v>0</v>
      </c>
      <c r="CG86" s="558">
        <f ca="1">IFERROR(__xludf.DUMMYFUNCTION("IMPORTRANGE(""https://docs.google.com/spreadsheets/d/1IYY_tgx_IHuhSq3AJ5eI5OnqOPBNLWSHKh2a30DoXe8/edit?usp=sharing"",""ยะลา!J427"")"),0)</f>
        <v>0</v>
      </c>
    </row>
    <row r="87" spans="1:85" ht="21" customHeight="1">
      <c r="A87" s="549">
        <v>11</v>
      </c>
      <c r="B87" s="550" t="s">
        <v>111</v>
      </c>
      <c r="C87" s="551">
        <f t="shared" ca="1" si="128"/>
        <v>61427</v>
      </c>
      <c r="D87" s="552">
        <f ca="1">IFERROR(__xludf.DUMMYFUNCTION("IMPORTRANGE(""https://docs.google.com/spreadsheets/d/1C3CXT74ZlgGe6_JY_1olB1XN4rF0dxEuIIF-xsYjHgg/edit?usp=sharing"",""งบกองทุน!BC91"")"),0)</f>
        <v>0</v>
      </c>
      <c r="E87" s="553">
        <f ca="1">IFERROR(__xludf.DUMMYFUNCTION("IMPORTRANGE(""https://docs.google.com/spreadsheets/d/1C3CXT74ZlgGe6_JY_1olB1XN4rF0dxEuIIF-xsYjHgg/edit?usp=sharing"",""งบกองทุน!BD91"")"),61427)</f>
        <v>61427</v>
      </c>
      <c r="F87" s="554">
        <f ca="1">IFERROR(__xludf.DUMMYFUNCTION("IMPORTRANGE(""https://docs.google.com/spreadsheets/d/1IYY_tgx_IHuhSq3AJ5eI5OnqOPBNLWSHKh2a30DoXe8/edit?usp=sharing"",""ระนอง!M352"")"),15000)</f>
        <v>15000</v>
      </c>
      <c r="G87" s="554">
        <f t="shared" ca="1" si="1"/>
        <v>24.419229329122373</v>
      </c>
      <c r="H87" s="555">
        <f ca="1">IFERROR(__xludf.DUMMYFUNCTION("IMPORTRANGE(""https://docs.google.com/spreadsheets/d/1C3CXT74ZlgGe6_JY_1olB1XN4rF0dxEuIIF-xsYjHgg/edit?usp=sharing"",""งบกองทุน!BE91"")"),0)</f>
        <v>0</v>
      </c>
      <c r="I87" s="555">
        <f ca="1">IFERROR(__xludf.DUMMYFUNCTION("IMPORTRANGE(""https://docs.google.com/spreadsheets/d/1C3CXT74ZlgGe6_JY_1olB1XN4rF0dxEuIIF-xsYjHgg/edit?usp=sharing"",""งบกองทุน!BF91"")"),0)</f>
        <v>0</v>
      </c>
      <c r="J87" s="552">
        <f t="shared" ca="1" si="129"/>
        <v>0</v>
      </c>
      <c r="K87" s="554">
        <f t="shared" ca="1" si="3"/>
        <v>0</v>
      </c>
      <c r="L87" s="552">
        <f t="shared" ca="1" si="130"/>
        <v>0</v>
      </c>
      <c r="M87" s="554">
        <f t="shared" ca="1" si="4"/>
        <v>0</v>
      </c>
      <c r="N87" s="552">
        <f ca="1">IFERROR(__xludf.DUMMYFUNCTION("IMPORTRANGE(""https://docs.google.com/spreadsheets/d/1IYY_tgx_IHuhSq3AJ5eI5OnqOPBNLWSHKh2a30DoXe8/edit?usp=sharing"",""ระนอง!J362"")"),0)</f>
        <v>0</v>
      </c>
      <c r="O87" s="552">
        <f ca="1">IFERROR(__xludf.DUMMYFUNCTION("IMPORTRANGE(""https://docs.google.com/spreadsheets/d/1IYY_tgx_IHuhSq3AJ5eI5OnqOPBNLWSHKh2a30DoXe8/edit?usp=sharing"",""ระนอง!J363"")"),0)</f>
        <v>0</v>
      </c>
      <c r="P87" s="552">
        <f ca="1">IFERROR(__xludf.DUMMYFUNCTION("IMPORTRANGE(""https://docs.google.com/spreadsheets/d/1IYY_tgx_IHuhSq3AJ5eI5OnqOPBNLWSHKh2a30DoXe8/edit?usp=sharing"",""ระนอง!J364"")"),0)</f>
        <v>0</v>
      </c>
      <c r="Q87" s="552">
        <f ca="1">IFERROR(__xludf.DUMMYFUNCTION("IMPORTRANGE(""https://docs.google.com/spreadsheets/d/1IYY_tgx_IHuhSq3AJ5eI5OnqOPBNLWSHKh2a30DoXe8/edit?usp=sharing"",""ระนอง!J365"")"),0)</f>
        <v>0</v>
      </c>
      <c r="R87" s="552">
        <f ca="1">IFERROR(__xludf.DUMMYFUNCTION("IMPORTRANGE(""https://docs.google.com/spreadsheets/d/1IYY_tgx_IHuhSq3AJ5eI5OnqOPBNLWSHKh2a30DoXe8/edit?usp=sharing"",""ระนอง!J366"")"),0)</f>
        <v>0</v>
      </c>
      <c r="S87" s="552">
        <f ca="1">IFERROR(__xludf.DUMMYFUNCTION("IMPORTRANGE(""https://docs.google.com/spreadsheets/d/1IYY_tgx_IHuhSq3AJ5eI5OnqOPBNLWSHKh2a30DoXe8/edit?usp=sharing"",""ระนอง!J367"")"),0)</f>
        <v>0</v>
      </c>
      <c r="T87" s="552">
        <f t="shared" ca="1" si="131"/>
        <v>0</v>
      </c>
      <c r="U87" s="552">
        <f t="shared" ca="1" si="6"/>
        <v>0</v>
      </c>
      <c r="V87" s="552">
        <f t="shared" ca="1" si="132"/>
        <v>0</v>
      </c>
      <c r="W87" s="552">
        <f t="shared" ca="1" si="7"/>
        <v>0</v>
      </c>
      <c r="X87" s="552">
        <f ca="1">IFERROR(__xludf.DUMMYFUNCTION("IMPORTRANGE(""https://docs.google.com/spreadsheets/d/1IYY_tgx_IHuhSq3AJ5eI5OnqOPBNLWSHKh2a30DoXe8/edit?usp=sharing"",""ระนอง!J370"")"),0)</f>
        <v>0</v>
      </c>
      <c r="Y87" s="552">
        <f ca="1">IFERROR(__xludf.DUMMYFUNCTION("IMPORTRANGE(""https://docs.google.com/spreadsheets/d/1IYY_tgx_IHuhSq3AJ5eI5OnqOPBNLWSHKh2a30DoXe8/edit?usp=sharing"",""ระนอง!J371"")"),0)</f>
        <v>0</v>
      </c>
      <c r="Z87" s="552">
        <f ca="1">IFERROR(__xludf.DUMMYFUNCTION("IMPORTRANGE(""https://docs.google.com/spreadsheets/d/1IYY_tgx_IHuhSq3AJ5eI5OnqOPBNLWSHKh2a30DoXe8/edit?usp=sharing"",""ระนอง!J372"")"),0)</f>
        <v>0</v>
      </c>
      <c r="AA87" s="552">
        <f ca="1">IFERROR(__xludf.DUMMYFUNCTION("IMPORTRANGE(""https://docs.google.com/spreadsheets/d/1IYY_tgx_IHuhSq3AJ5eI5OnqOPBNLWSHKh2a30DoXe8/edit?usp=sharing"",""ระนอง!J373"")"),0)</f>
        <v>0</v>
      </c>
      <c r="AB87" s="552">
        <f ca="1">IFERROR(__xludf.DUMMYFUNCTION("IMPORTRANGE(""https://docs.google.com/spreadsheets/d/1IYY_tgx_IHuhSq3AJ5eI5OnqOPBNLWSHKh2a30DoXe8/edit?usp=sharing"",""ระนอง!J374"")"),0)</f>
        <v>0</v>
      </c>
      <c r="AC87" s="552">
        <f ca="1">IFERROR(__xludf.DUMMYFUNCTION("IMPORTRANGE(""https://docs.google.com/spreadsheets/d/1IYY_tgx_IHuhSq3AJ5eI5OnqOPBNLWSHKh2a30DoXe8/edit?usp=sharing"",""ระนอง!J375"")"),0)</f>
        <v>0</v>
      </c>
      <c r="AD87" s="552">
        <f t="shared" ca="1" si="133"/>
        <v>0</v>
      </c>
      <c r="AE87" s="554">
        <f t="shared" ca="1" si="9"/>
        <v>0</v>
      </c>
      <c r="AF87" s="552">
        <f t="shared" ca="1" si="134"/>
        <v>0</v>
      </c>
      <c r="AG87" s="554">
        <f t="shared" ca="1" si="10"/>
        <v>0</v>
      </c>
      <c r="AH87" s="552">
        <f ca="1">IFERROR(__xludf.DUMMYFUNCTION("IMPORTRANGE(""https://docs.google.com/spreadsheets/d/1IYY_tgx_IHuhSq3AJ5eI5OnqOPBNLWSHKh2a30DoXe8/edit?usp=sharing"",""ระนอง!J378"")"),0)</f>
        <v>0</v>
      </c>
      <c r="AI87" s="552">
        <f ca="1">IFERROR(__xludf.DUMMYFUNCTION("IMPORTRANGE(""https://docs.google.com/spreadsheets/d/1IYY_tgx_IHuhSq3AJ5eI5OnqOPBNLWSHKh2a30DoXe8/edit?usp=sharing"",""ระนอง!J379"")"),0)</f>
        <v>0</v>
      </c>
      <c r="AJ87" s="552">
        <f ca="1">IFERROR(__xludf.DUMMYFUNCTION("IMPORTRANGE(""https://docs.google.com/spreadsheets/d/1IYY_tgx_IHuhSq3AJ5eI5OnqOPBNLWSHKh2a30DoXe8/edit?usp=sharing"",""ระนอง!J380"")"),0)</f>
        <v>0</v>
      </c>
      <c r="AK87" s="552">
        <f ca="1">IFERROR(__xludf.DUMMYFUNCTION("IMPORTRANGE(""https://docs.google.com/spreadsheets/d/1IYY_tgx_IHuhSq3AJ5eI5OnqOPBNLWSHKh2a30DoXe8/edit?usp=sharing"",""ระนอง!J381"")"),0)</f>
        <v>0</v>
      </c>
      <c r="AL87" s="552">
        <f ca="1">IFERROR(__xludf.DUMMYFUNCTION("IMPORTRANGE(""https://docs.google.com/spreadsheets/d/1IYY_tgx_IHuhSq3AJ5eI5OnqOPBNLWSHKh2a30DoXe8/edit?usp=sharing"",""ระนอง!J384"")"),0)</f>
        <v>0</v>
      </c>
      <c r="AM87" s="552">
        <f ca="1">IFERROR(__xludf.DUMMYFUNCTION("IMPORTRANGE(""https://docs.google.com/spreadsheets/d/1IYY_tgx_IHuhSq3AJ5eI5OnqOPBNLWSHKh2a30DoXe8/edit?usp=sharing"",""ระนอง!J385"")"),0)</f>
        <v>0</v>
      </c>
      <c r="AN87" s="552">
        <f ca="1">IFERROR(__xludf.DUMMYFUNCTION("IMPORTRANGE(""https://docs.google.com/spreadsheets/d/1IYY_tgx_IHuhSq3AJ5eI5OnqOPBNLWSHKh2a30DoXe8/edit?usp=sharing"",""ระนอง!J386"")"),0)</f>
        <v>0</v>
      </c>
      <c r="AO87" s="552">
        <f ca="1">IFERROR(__xludf.DUMMYFUNCTION("IMPORTRANGE(""https://docs.google.com/spreadsheets/d/1IYY_tgx_IHuhSq3AJ5eI5OnqOPBNLWSHKh2a30DoXe8/edit?usp=sharing"",""ระนอง!J387"")"),0)</f>
        <v>0</v>
      </c>
      <c r="AP87" s="552">
        <f ca="1">IFERROR(__xludf.DUMMYFUNCTION("IMPORTRANGE(""https://docs.google.com/spreadsheets/d/1IYY_tgx_IHuhSq3AJ5eI5OnqOPBNLWSHKh2a30DoXe8/edit?usp=sharing"",""ระนอง!J388"")"),0)</f>
        <v>0</v>
      </c>
      <c r="AQ87" s="552">
        <f ca="1">IFERROR(__xludf.DUMMYFUNCTION("IMPORTRANGE(""https://docs.google.com/spreadsheets/d/1IYY_tgx_IHuhSq3AJ5eI5OnqOPBNLWSHKh2a30DoXe8/edit?usp=sharing"",""ระนอง!J389"")"),0)</f>
        <v>0</v>
      </c>
      <c r="AR87" s="552">
        <f ca="1">IFERROR(__xludf.DUMMYFUNCTION("IMPORTRANGE(""https://docs.google.com/spreadsheets/d/1IYY_tgx_IHuhSq3AJ5eI5OnqOPBNLWSHKh2a30DoXe8/edit?usp=sharing"",""ระนอง!J390"")"),0)</f>
        <v>0</v>
      </c>
      <c r="AS87" s="552">
        <f ca="1">IFERROR(__xludf.DUMMYFUNCTION("IMPORTRANGE(""https://docs.google.com/spreadsheets/d/1IYY_tgx_IHuhSq3AJ5eI5OnqOPBNLWSHKh2a30DoXe8/edit?usp=sharing"",""ระนอง!J391"")"),0)</f>
        <v>0</v>
      </c>
      <c r="AT87" s="556">
        <f ca="1">IFERROR(__xludf.DUMMYFUNCTION("IMPORTRANGE(""https://docs.google.com/spreadsheets/d/1C3CXT74ZlgGe6_JY_1olB1XN4rF0dxEuIIF-xsYjHgg/edit?usp=sharing"",""งบกองทุน!CD91"")"),563)</f>
        <v>563</v>
      </c>
      <c r="AU87" s="556">
        <f ca="1">IFERROR(__xludf.DUMMYFUNCTION("IMPORTRANGE(""https://docs.google.com/spreadsheets/d/1C3CXT74ZlgGe6_JY_1olB1XN4rF0dxEuIIF-xsYjHgg/edit?usp=sharing"",""งบกองทุน!CC91"")"),72)</f>
        <v>72</v>
      </c>
      <c r="AV87" s="556">
        <f t="shared" ca="1" si="135"/>
        <v>360.11</v>
      </c>
      <c r="AW87" s="556">
        <f t="shared" ca="1" si="12"/>
        <v>63.96269982238011</v>
      </c>
      <c r="AX87" s="556">
        <f t="shared" ca="1" si="136"/>
        <v>44</v>
      </c>
      <c r="AY87" s="556">
        <f t="shared" ca="1" si="13"/>
        <v>61.111111111111114</v>
      </c>
      <c r="AZ87" s="552">
        <f ca="1">IFERROR(__xludf.DUMMYFUNCTION("IMPORTRANGE(""https://docs.google.com/spreadsheets/d/1IYY_tgx_IHuhSq3AJ5eI5OnqOPBNLWSHKh2a30DoXe8/edit?usp=sharing"",""ระนอง!J397"")"),181.55)</f>
        <v>181.55</v>
      </c>
      <c r="BA87" s="552">
        <f ca="1">IFERROR(__xludf.DUMMYFUNCTION("IMPORTRANGE(""https://docs.google.com/spreadsheets/d/1IYY_tgx_IHuhSq3AJ5eI5OnqOPBNLWSHKh2a30DoXe8/edit?usp=sharing"",""ระนอง!J398"")"),20)</f>
        <v>20</v>
      </c>
      <c r="BB87" s="552">
        <f ca="1">IFERROR(__xludf.DUMMYFUNCTION("IMPORTRANGE(""https://docs.google.com/spreadsheets/d/1IYY_tgx_IHuhSq3AJ5eI5OnqOPBNLWSHKh2a30DoXe8/edit?usp=sharing"",""ระนอง!J399"")"),163.67)</f>
        <v>163.66999999999999</v>
      </c>
      <c r="BC87" s="552">
        <f ca="1">IFERROR(__xludf.DUMMYFUNCTION("IMPORTRANGE(""https://docs.google.com/spreadsheets/d/1IYY_tgx_IHuhSq3AJ5eI5OnqOPBNLWSHKh2a30DoXe8/edit?usp=sharing"",""ระนอง!J400"")"),23)</f>
        <v>23</v>
      </c>
      <c r="BD87" s="552">
        <f ca="1">IFERROR(__xludf.DUMMYFUNCTION("IMPORTRANGE(""https://docs.google.com/spreadsheets/d/1IYY_tgx_IHuhSq3AJ5eI5OnqOPBNLWSHKh2a30DoXe8/edit?usp=sharing"",""ระนอง!J401"")"),0)</f>
        <v>0</v>
      </c>
      <c r="BE87" s="552">
        <f ca="1">IFERROR(__xludf.DUMMYFUNCTION("IMPORTRANGE(""https://docs.google.com/spreadsheets/d/1IYY_tgx_IHuhSq3AJ5eI5OnqOPBNLWSHKh2a30DoXe8/edit?usp=sharing"",""ระนอง!J402"")"),0)</f>
        <v>0</v>
      </c>
      <c r="BF87" s="552">
        <f ca="1">IFERROR(__xludf.DUMMYFUNCTION("IMPORTRANGE(""https://docs.google.com/spreadsheets/d/1IYY_tgx_IHuhSq3AJ5eI5OnqOPBNLWSHKh2a30DoXe8/edit?usp=sharing"",""ระนอง!J405"")"),0)</f>
        <v>0</v>
      </c>
      <c r="BG87" s="552">
        <f ca="1">IFERROR(__xludf.DUMMYFUNCTION("IMPORTRANGE(""https://docs.google.com/spreadsheets/d/1IYY_tgx_IHuhSq3AJ5eI5OnqOPBNLWSHKh2a30DoXe8/edit?usp=sharing"",""ระนอง!J406"")"),0)</f>
        <v>0</v>
      </c>
      <c r="BH87" s="552">
        <f ca="1">IFERROR(__xludf.DUMMYFUNCTION("IMPORTRANGE(""https://docs.google.com/spreadsheets/d/1IYY_tgx_IHuhSq3AJ5eI5OnqOPBNLWSHKh2a30DoXe8/edit?usp=sharing"",""ระนอง!J407"")"),14.89)</f>
        <v>14.89</v>
      </c>
      <c r="BI87" s="552">
        <f ca="1">IFERROR(__xludf.DUMMYFUNCTION("IMPORTRANGE(""https://docs.google.com/spreadsheets/d/1IYY_tgx_IHuhSq3AJ5eI5OnqOPBNLWSHKh2a30DoXe8/edit?usp=sharing"",""ระนอง!J408"")"),1)</f>
        <v>1</v>
      </c>
      <c r="BJ87" s="552">
        <f ca="1">IFERROR(__xludf.DUMMYFUNCTION("IMPORTRANGE(""https://docs.google.com/spreadsheets/d/1IYY_tgx_IHuhSq3AJ5eI5OnqOPBNLWSHKh2a30DoXe8/edit?usp=sharing"",""ระนอง!J409"")"),0)</f>
        <v>0</v>
      </c>
      <c r="BK87" s="552">
        <f ca="1">IFERROR(__xludf.DUMMYFUNCTION("IMPORTRANGE(""https://docs.google.com/spreadsheets/d/1IYY_tgx_IHuhSq3AJ5eI5OnqOPBNLWSHKh2a30DoXe8/edit?usp=sharing"",""ระนอง!J410"")"),0)</f>
        <v>0</v>
      </c>
      <c r="BL87" s="556">
        <f ca="1">IFERROR(__xludf.DUMMYFUNCTION("IMPORTRANGE(""https://docs.google.com/spreadsheets/d/1C3CXT74ZlgGe6_JY_1olB1XN4rF0dxEuIIF-xsYjHgg/edit?usp=sharing"",""งบกองทุน!CZ91"")"),0)</f>
        <v>0</v>
      </c>
      <c r="BM87" s="556">
        <f ca="1">IFERROR(__xludf.DUMMYFUNCTION("IMPORTRANGE(""https://docs.google.com/spreadsheets/d/1C3CXT74ZlgGe6_JY_1olB1XN4rF0dxEuIIF-xsYjHgg/edit?usp=sharing"",""งบกองทุน!CY91"")"),0)</f>
        <v>0</v>
      </c>
      <c r="BN87" s="556">
        <f t="shared" ca="1" si="137"/>
        <v>0</v>
      </c>
      <c r="BO87" s="557">
        <f t="shared" ca="1" si="15"/>
        <v>0</v>
      </c>
      <c r="BP87" s="556">
        <f t="shared" ca="1" si="138"/>
        <v>0</v>
      </c>
      <c r="BQ87" s="557">
        <f t="shared" ca="1" si="16"/>
        <v>0</v>
      </c>
      <c r="BR87" s="552">
        <f ca="1">IFERROR(__xludf.DUMMYFUNCTION("IMPORTRANGE(""https://docs.google.com/spreadsheets/d/1IYY_tgx_IHuhSq3AJ5eI5OnqOPBNLWSHKh2a30DoXe8/edit?usp=sharing"",""ระนอง!J414"")"),0)</f>
        <v>0</v>
      </c>
      <c r="BS87" s="552">
        <f ca="1">IFERROR(__xludf.DUMMYFUNCTION("IMPORTRANGE(""https://docs.google.com/spreadsheets/d/1IYY_tgx_IHuhSq3AJ5eI5OnqOPBNLWSHKh2a30DoXe8/edit?usp=sharing"",""ระนอง!J415"")"),0)</f>
        <v>0</v>
      </c>
      <c r="BT87" s="552">
        <f ca="1">IFERROR(__xludf.DUMMYFUNCTION("IMPORTRANGE(""https://docs.google.com/spreadsheets/d/1IYY_tgx_IHuhSq3AJ5eI5OnqOPBNLWSHKh2a30DoXe8/edit?usp=sharing"",""ระนอง!J416"")"),0)</f>
        <v>0</v>
      </c>
      <c r="BU87" s="552">
        <f ca="1">IFERROR(__xludf.DUMMYFUNCTION("IMPORTRANGE(""https://docs.google.com/spreadsheets/d/1IYY_tgx_IHuhSq3AJ5eI5OnqOPBNLWSHKh2a30DoXe8/edit?usp=sharing"",""ระนอง!J417"")"),0)</f>
        <v>0</v>
      </c>
      <c r="BV87" s="552">
        <f ca="1">IFERROR(__xludf.DUMMYFUNCTION("IMPORTRANGE(""https://docs.google.com/spreadsheets/d/1IYY_tgx_IHuhSq3AJ5eI5OnqOPBNLWSHKh2a30DoXe8/edit?usp=sharing"",""ระนอง!J418"")"),0)</f>
        <v>0</v>
      </c>
      <c r="BW87" s="552">
        <f ca="1">IFERROR(__xludf.DUMMYFUNCTION("IMPORTRANGE(""https://docs.google.com/spreadsheets/d/1IYY_tgx_IHuhSq3AJ5eI5OnqOPBNLWSHKh2a30DoXe8/edit?usp=sharing"",""ระนอง!J419"")"),0)</f>
        <v>0</v>
      </c>
      <c r="BX87" s="556">
        <f t="shared" ca="1" si="139"/>
        <v>0</v>
      </c>
      <c r="BY87" s="557">
        <f t="shared" ca="1" si="140"/>
        <v>0</v>
      </c>
      <c r="BZ87" s="556">
        <f t="shared" ca="1" si="141"/>
        <v>0</v>
      </c>
      <c r="CA87" s="557">
        <f t="shared" ca="1" si="142"/>
        <v>0</v>
      </c>
      <c r="CB87" s="552">
        <f ca="1">IFERROR(__xludf.DUMMYFUNCTION("IMPORTRANGE(""https://docs.google.com/spreadsheets/d/1IYY_tgx_IHuhSq3AJ5eI5OnqOPBNLWSHKh2a30DoXe8/edit?usp=sharing"",""ระนอง!J422"")"),0)</f>
        <v>0</v>
      </c>
      <c r="CC87" s="552">
        <f ca="1">IFERROR(__xludf.DUMMYFUNCTION("IMPORTRANGE(""https://docs.google.com/spreadsheets/d/1IYY_tgx_IHuhSq3AJ5eI5OnqOPBNLWSHKh2a30DoXe8/edit?usp=sharing"",""ระนอง!J423"")"),0)</f>
        <v>0</v>
      </c>
      <c r="CD87" s="552">
        <f ca="1">IFERROR(__xludf.DUMMYFUNCTION("IMPORTRANGE(""https://docs.google.com/spreadsheets/d/1IYY_tgx_IHuhSq3AJ5eI5OnqOPBNLWSHKh2a30DoXe8/edit?usp=sharing"",""ระนอง!J424"")"),0)</f>
        <v>0</v>
      </c>
      <c r="CE87" s="552">
        <f ca="1">IFERROR(__xludf.DUMMYFUNCTION("IMPORTRANGE(""https://docs.google.com/spreadsheets/d/1IYY_tgx_IHuhSq3AJ5eI5OnqOPBNLWSHKh2a30DoXe8/edit?usp=sharing"",""ระนอง!J425"")"),0)</f>
        <v>0</v>
      </c>
      <c r="CF87" s="552">
        <f ca="1">IFERROR(__xludf.DUMMYFUNCTION("IMPORTRANGE(""https://docs.google.com/spreadsheets/d/1IYY_tgx_IHuhSq3AJ5eI5OnqOPBNLWSHKh2a30DoXe8/edit?usp=sharing"",""ระนอง!J426"")"),0)</f>
        <v>0</v>
      </c>
      <c r="CG87" s="558">
        <f ca="1">IFERROR(__xludf.DUMMYFUNCTION("IMPORTRANGE(""https://docs.google.com/spreadsheets/d/1IYY_tgx_IHuhSq3AJ5eI5OnqOPBNLWSHKh2a30DoXe8/edit?usp=sharing"",""ระนอง!J427"")"),0)</f>
        <v>0</v>
      </c>
    </row>
    <row r="88" spans="1:85" ht="24" customHeight="1">
      <c r="A88" s="549">
        <v>12</v>
      </c>
      <c r="B88" s="550" t="s">
        <v>112</v>
      </c>
      <c r="C88" s="551">
        <f t="shared" ca="1" si="128"/>
        <v>189614</v>
      </c>
      <c r="D88" s="552">
        <f ca="1">IFERROR(__xludf.DUMMYFUNCTION("IMPORTRANGE(""https://docs.google.com/spreadsheets/d/1C3CXT74ZlgGe6_JY_1olB1XN4rF0dxEuIIF-xsYjHgg/edit?usp=sharing"",""งบกองทุน!BC92"")"),0)</f>
        <v>0</v>
      </c>
      <c r="E88" s="553">
        <f ca="1">IFERROR(__xludf.DUMMYFUNCTION("IMPORTRANGE(""https://docs.google.com/spreadsheets/d/1C3CXT74ZlgGe6_JY_1olB1XN4rF0dxEuIIF-xsYjHgg/edit?usp=sharing"",""งบกองทุน!BD92"")"),189614)</f>
        <v>189614</v>
      </c>
      <c r="F88" s="554">
        <f ca="1">IFERROR(__xludf.DUMMYFUNCTION("IMPORTRANGE(""https://docs.google.com/spreadsheets/d/1IYY_tgx_IHuhSq3AJ5eI5OnqOPBNLWSHKh2a30DoXe8/edit?usp=sharing"",""สงขลา!M352"")"),30564)</f>
        <v>30564</v>
      </c>
      <c r="G88" s="554">
        <f t="shared" ca="1" si="1"/>
        <v>16.119062938390623</v>
      </c>
      <c r="H88" s="555">
        <f ca="1">IFERROR(__xludf.DUMMYFUNCTION("IMPORTRANGE(""https://docs.google.com/spreadsheets/d/1C3CXT74ZlgGe6_JY_1olB1XN4rF0dxEuIIF-xsYjHgg/edit?usp=sharing"",""งบกองทุน!BE92"")"),27425)</f>
        <v>27425</v>
      </c>
      <c r="I88" s="555">
        <f ca="1">IFERROR(__xludf.DUMMYFUNCTION("IMPORTRANGE(""https://docs.google.com/spreadsheets/d/1C3CXT74ZlgGe6_JY_1olB1XN4rF0dxEuIIF-xsYjHgg/edit?usp=sharing"",""งบกองทุน!BF92"")"),3251)</f>
        <v>3251</v>
      </c>
      <c r="J88" s="552">
        <f t="shared" ca="1" si="129"/>
        <v>27426</v>
      </c>
      <c r="K88" s="554">
        <f t="shared" ca="1" si="3"/>
        <v>100.00364630811303</v>
      </c>
      <c r="L88" s="552">
        <f t="shared" ca="1" si="130"/>
        <v>3251</v>
      </c>
      <c r="M88" s="554">
        <f t="shared" ca="1" si="4"/>
        <v>100</v>
      </c>
      <c r="N88" s="552">
        <f ca="1">IFERROR(__xludf.DUMMYFUNCTION("IMPORTRANGE(""https://docs.google.com/spreadsheets/d/1IYY_tgx_IHuhSq3AJ5eI5OnqOPBNLWSHKh2a30DoXe8/edit?usp=sharing"",""สงขลา!J362"")"),25528)</f>
        <v>25528</v>
      </c>
      <c r="O88" s="552">
        <f ca="1">IFERROR(__xludf.DUMMYFUNCTION("IMPORTRANGE(""https://docs.google.com/spreadsheets/d/1IYY_tgx_IHuhSq3AJ5eI5OnqOPBNLWSHKh2a30DoXe8/edit?usp=sharing"",""สงขลา!J363"")"),3049)</f>
        <v>3049</v>
      </c>
      <c r="P88" s="552">
        <f ca="1">IFERROR(__xludf.DUMMYFUNCTION("IMPORTRANGE(""https://docs.google.com/spreadsheets/d/1IYY_tgx_IHuhSq3AJ5eI5OnqOPBNLWSHKh2a30DoXe8/edit?usp=sharing"",""สงขลา!J364"")"),1181)</f>
        <v>1181</v>
      </c>
      <c r="Q88" s="552">
        <f ca="1">IFERROR(__xludf.DUMMYFUNCTION("IMPORTRANGE(""https://docs.google.com/spreadsheets/d/1IYY_tgx_IHuhSq3AJ5eI5OnqOPBNLWSHKh2a30DoXe8/edit?usp=sharing"",""สงขลา!J365"")"),132)</f>
        <v>132</v>
      </c>
      <c r="R88" s="552">
        <f ca="1">IFERROR(__xludf.DUMMYFUNCTION("IMPORTRANGE(""https://docs.google.com/spreadsheets/d/1IYY_tgx_IHuhSq3AJ5eI5OnqOPBNLWSHKh2a30DoXe8/edit?usp=sharing"",""สงขลา!J366"")"),717)</f>
        <v>717</v>
      </c>
      <c r="S88" s="552">
        <f ca="1">IFERROR(__xludf.DUMMYFUNCTION("IMPORTRANGE(""https://docs.google.com/spreadsheets/d/1IYY_tgx_IHuhSq3AJ5eI5OnqOPBNLWSHKh2a30DoXe8/edit?usp=sharing"",""สงขลา!J367"")"),70)</f>
        <v>70</v>
      </c>
      <c r="T88" s="552">
        <f t="shared" ca="1" si="131"/>
        <v>27426</v>
      </c>
      <c r="U88" s="552">
        <f t="shared" ca="1" si="6"/>
        <v>100.00364630811303</v>
      </c>
      <c r="V88" s="552">
        <f t="shared" ca="1" si="132"/>
        <v>3251</v>
      </c>
      <c r="W88" s="552">
        <f t="shared" ca="1" si="7"/>
        <v>100</v>
      </c>
      <c r="X88" s="552">
        <f ca="1">IFERROR(__xludf.DUMMYFUNCTION("IMPORTRANGE(""https://docs.google.com/spreadsheets/d/1IYY_tgx_IHuhSq3AJ5eI5OnqOPBNLWSHKh2a30DoXe8/edit?usp=sharing"",""สงขลา!J370"")"),25991)</f>
        <v>25991</v>
      </c>
      <c r="Y88" s="552">
        <f ca="1">IFERROR(__xludf.DUMMYFUNCTION("IMPORTRANGE(""https://docs.google.com/spreadsheets/d/1IYY_tgx_IHuhSq3AJ5eI5OnqOPBNLWSHKh2a30DoXe8/edit?usp=sharing"",""สงขลา!J371"")"),3111)</f>
        <v>3111</v>
      </c>
      <c r="Z88" s="552">
        <f ca="1">IFERROR(__xludf.DUMMYFUNCTION("IMPORTRANGE(""https://docs.google.com/spreadsheets/d/1IYY_tgx_IHuhSq3AJ5eI5OnqOPBNLWSHKh2a30DoXe8/edit?usp=sharing"",""สงขลา!J372"")"),698)</f>
        <v>698</v>
      </c>
      <c r="AA88" s="552">
        <f ca="1">IFERROR(__xludf.DUMMYFUNCTION("IMPORTRANGE(""https://docs.google.com/spreadsheets/d/1IYY_tgx_IHuhSq3AJ5eI5OnqOPBNLWSHKh2a30DoXe8/edit?usp=sharing"",""สงขลา!J373"")"),67)</f>
        <v>67</v>
      </c>
      <c r="AB88" s="552">
        <f ca="1">IFERROR(__xludf.DUMMYFUNCTION("IMPORTRANGE(""https://docs.google.com/spreadsheets/d/1IYY_tgx_IHuhSq3AJ5eI5OnqOPBNLWSHKh2a30DoXe8/edit?usp=sharing"",""สงขลา!J374"")"),737)</f>
        <v>737</v>
      </c>
      <c r="AC88" s="552">
        <f ca="1">IFERROR(__xludf.DUMMYFUNCTION("IMPORTRANGE(""https://docs.google.com/spreadsheets/d/1IYY_tgx_IHuhSq3AJ5eI5OnqOPBNLWSHKh2a30DoXe8/edit?usp=sharing"",""สงขลา!J375"")"),73)</f>
        <v>73</v>
      </c>
      <c r="AD88" s="552">
        <f t="shared" ca="1" si="133"/>
        <v>0</v>
      </c>
      <c r="AE88" s="554">
        <f t="shared" ca="1" si="9"/>
        <v>0</v>
      </c>
      <c r="AF88" s="552">
        <f t="shared" ca="1" si="134"/>
        <v>0</v>
      </c>
      <c r="AG88" s="554">
        <f t="shared" ca="1" si="10"/>
        <v>0</v>
      </c>
      <c r="AH88" s="552">
        <f ca="1">IFERROR(__xludf.DUMMYFUNCTION("IMPORTRANGE(""https://docs.google.com/spreadsheets/d/1IYY_tgx_IHuhSq3AJ5eI5OnqOPBNLWSHKh2a30DoXe8/edit?usp=sharing"",""สงขลา!J378"")"),0)</f>
        <v>0</v>
      </c>
      <c r="AI88" s="552">
        <f ca="1">IFERROR(__xludf.DUMMYFUNCTION("IMPORTRANGE(""https://docs.google.com/spreadsheets/d/1IYY_tgx_IHuhSq3AJ5eI5OnqOPBNLWSHKh2a30DoXe8/edit?usp=sharing"",""สงขลา!J379"")"),0)</f>
        <v>0</v>
      </c>
      <c r="AJ88" s="552">
        <f ca="1">IFERROR(__xludf.DUMMYFUNCTION("IMPORTRANGE(""https://docs.google.com/spreadsheets/d/1IYY_tgx_IHuhSq3AJ5eI5OnqOPBNLWSHKh2a30DoXe8/edit?usp=sharing"",""สงขลา!J380"")"),0)</f>
        <v>0</v>
      </c>
      <c r="AK88" s="552">
        <f ca="1">IFERROR(__xludf.DUMMYFUNCTION("IMPORTRANGE(""https://docs.google.com/spreadsheets/d/1IYY_tgx_IHuhSq3AJ5eI5OnqOPBNLWSHKh2a30DoXe8/edit?usp=sharing"",""สงขลา!J381"")"),0)</f>
        <v>0</v>
      </c>
      <c r="AL88" s="552">
        <f ca="1">IFERROR(__xludf.DUMMYFUNCTION("IMPORTRANGE(""https://docs.google.com/spreadsheets/d/1IYY_tgx_IHuhSq3AJ5eI5OnqOPBNLWSHKh2a30DoXe8/edit?usp=sharing"",""สงขลา!J384"")"),0)</f>
        <v>0</v>
      </c>
      <c r="AM88" s="552">
        <f ca="1">IFERROR(__xludf.DUMMYFUNCTION("IMPORTRANGE(""https://docs.google.com/spreadsheets/d/1IYY_tgx_IHuhSq3AJ5eI5OnqOPBNLWSHKh2a30DoXe8/edit?usp=sharing"",""สงขลา!J385"")"),0)</f>
        <v>0</v>
      </c>
      <c r="AN88" s="552">
        <f ca="1">IFERROR(__xludf.DUMMYFUNCTION("IMPORTRANGE(""https://docs.google.com/spreadsheets/d/1IYY_tgx_IHuhSq3AJ5eI5OnqOPBNLWSHKh2a30DoXe8/edit?usp=sharing"",""สงขลา!J386"")"),0)</f>
        <v>0</v>
      </c>
      <c r="AO88" s="552">
        <f ca="1">IFERROR(__xludf.DUMMYFUNCTION("IMPORTRANGE(""https://docs.google.com/spreadsheets/d/1IYY_tgx_IHuhSq3AJ5eI5OnqOPBNLWSHKh2a30DoXe8/edit?usp=sharing"",""สงขลา!J387"")"),0)</f>
        <v>0</v>
      </c>
      <c r="AP88" s="552">
        <f ca="1">IFERROR(__xludf.DUMMYFUNCTION("IMPORTRANGE(""https://docs.google.com/spreadsheets/d/1IYY_tgx_IHuhSq3AJ5eI5OnqOPBNLWSHKh2a30DoXe8/edit?usp=sharing"",""สงขลา!J388"")"),0)</f>
        <v>0</v>
      </c>
      <c r="AQ88" s="552">
        <f ca="1">IFERROR(__xludf.DUMMYFUNCTION("IMPORTRANGE(""https://docs.google.com/spreadsheets/d/1IYY_tgx_IHuhSq3AJ5eI5OnqOPBNLWSHKh2a30DoXe8/edit?usp=sharing"",""สงขลา!J389"")"),0)</f>
        <v>0</v>
      </c>
      <c r="AR88" s="552">
        <f ca="1">IFERROR(__xludf.DUMMYFUNCTION("IMPORTRANGE(""https://docs.google.com/spreadsheets/d/1IYY_tgx_IHuhSq3AJ5eI5OnqOPBNLWSHKh2a30DoXe8/edit?usp=sharing"",""สงขลา!J390"")"),0)</f>
        <v>0</v>
      </c>
      <c r="AS88" s="552">
        <f ca="1">IFERROR(__xludf.DUMMYFUNCTION("IMPORTRANGE(""https://docs.google.com/spreadsheets/d/1IYY_tgx_IHuhSq3AJ5eI5OnqOPBNLWSHKh2a30DoXe8/edit?usp=sharing"",""สงขลา!J391"")"),0)</f>
        <v>0</v>
      </c>
      <c r="AT88" s="556">
        <f ca="1">IFERROR(__xludf.DUMMYFUNCTION("IMPORTRANGE(""https://docs.google.com/spreadsheets/d/1C3CXT74ZlgGe6_JY_1olB1XN4rF0dxEuIIF-xsYjHgg/edit?usp=sharing"",""งบกองทุน!CD92"")"),292)</f>
        <v>292</v>
      </c>
      <c r="AU88" s="556">
        <f ca="1">IFERROR(__xludf.DUMMYFUNCTION("IMPORTRANGE(""https://docs.google.com/spreadsheets/d/1C3CXT74ZlgGe6_JY_1olB1XN4rF0dxEuIIF-xsYjHgg/edit?usp=sharing"",""งบกองทุน!CC92"")"),26)</f>
        <v>26</v>
      </c>
      <c r="AV88" s="556">
        <f t="shared" ca="1" si="135"/>
        <v>174</v>
      </c>
      <c r="AW88" s="556">
        <f t="shared" ca="1" si="12"/>
        <v>59.589041095890408</v>
      </c>
      <c r="AX88" s="556">
        <f t="shared" ca="1" si="136"/>
        <v>16</v>
      </c>
      <c r="AY88" s="556">
        <f t="shared" ca="1" si="13"/>
        <v>61.53846153846154</v>
      </c>
      <c r="AZ88" s="552">
        <f ca="1">IFERROR(__xludf.DUMMYFUNCTION("IMPORTRANGE(""https://docs.google.com/spreadsheets/d/1IYY_tgx_IHuhSq3AJ5eI5OnqOPBNLWSHKh2a30DoXe8/edit?usp=sharing"",""สงขลา!J397"")"),156)</f>
        <v>156</v>
      </c>
      <c r="BA88" s="552">
        <f ca="1">IFERROR(__xludf.DUMMYFUNCTION("IMPORTRANGE(""https://docs.google.com/spreadsheets/d/1IYY_tgx_IHuhSq3AJ5eI5OnqOPBNLWSHKh2a30DoXe8/edit?usp=sharing"",""สงขลา!J398"")"),13)</f>
        <v>13</v>
      </c>
      <c r="BB88" s="552">
        <f ca="1">IFERROR(__xludf.DUMMYFUNCTION("IMPORTRANGE(""https://docs.google.com/spreadsheets/d/1IYY_tgx_IHuhSq3AJ5eI5OnqOPBNLWSHKh2a30DoXe8/edit?usp=sharing"",""สงขลา!J399"")"),0)</f>
        <v>0</v>
      </c>
      <c r="BC88" s="552">
        <f ca="1">IFERROR(__xludf.DUMMYFUNCTION("IMPORTRANGE(""https://docs.google.com/spreadsheets/d/1IYY_tgx_IHuhSq3AJ5eI5OnqOPBNLWSHKh2a30DoXe8/edit?usp=sharing"",""สงขลา!J400"")"),0)</f>
        <v>0</v>
      </c>
      <c r="BD88" s="552">
        <f ca="1">IFERROR(__xludf.DUMMYFUNCTION("IMPORTRANGE(""https://docs.google.com/spreadsheets/d/1IYY_tgx_IHuhSq3AJ5eI5OnqOPBNLWSHKh2a30DoXe8/edit?usp=sharing"",""สงขลา!J401"")"),0)</f>
        <v>0</v>
      </c>
      <c r="BE88" s="552">
        <f ca="1">IFERROR(__xludf.DUMMYFUNCTION("IMPORTRANGE(""https://docs.google.com/spreadsheets/d/1IYY_tgx_IHuhSq3AJ5eI5OnqOPBNLWSHKh2a30DoXe8/edit?usp=sharing"",""สงขลา!J402"")"),0)</f>
        <v>0</v>
      </c>
      <c r="BF88" s="552">
        <f ca="1">IFERROR(__xludf.DUMMYFUNCTION("IMPORTRANGE(""https://docs.google.com/spreadsheets/d/1IYY_tgx_IHuhSq3AJ5eI5OnqOPBNLWSHKh2a30DoXe8/edit?usp=sharing"",""สงขลา!J405"")"),18)</f>
        <v>18</v>
      </c>
      <c r="BG88" s="552">
        <f ca="1">IFERROR(__xludf.DUMMYFUNCTION("IMPORTRANGE(""https://docs.google.com/spreadsheets/d/1IYY_tgx_IHuhSq3AJ5eI5OnqOPBNLWSHKh2a30DoXe8/edit?usp=sharing"",""สงขลา!J406"")"),3)</f>
        <v>3</v>
      </c>
      <c r="BH88" s="552">
        <f ca="1">IFERROR(__xludf.DUMMYFUNCTION("IMPORTRANGE(""https://docs.google.com/spreadsheets/d/1IYY_tgx_IHuhSq3AJ5eI5OnqOPBNLWSHKh2a30DoXe8/edit?usp=sharing"",""สงขลา!J407"")"),0)</f>
        <v>0</v>
      </c>
      <c r="BI88" s="552">
        <f ca="1">IFERROR(__xludf.DUMMYFUNCTION("IMPORTRANGE(""https://docs.google.com/spreadsheets/d/1IYY_tgx_IHuhSq3AJ5eI5OnqOPBNLWSHKh2a30DoXe8/edit?usp=sharing"",""สงขลา!J408"")"),0)</f>
        <v>0</v>
      </c>
      <c r="BJ88" s="552">
        <f ca="1">IFERROR(__xludf.DUMMYFUNCTION("IMPORTRANGE(""https://docs.google.com/spreadsheets/d/1IYY_tgx_IHuhSq3AJ5eI5OnqOPBNLWSHKh2a30DoXe8/edit?usp=sharing"",""สงขลา!J409"")"),0)</f>
        <v>0</v>
      </c>
      <c r="BK88" s="552">
        <f ca="1">IFERROR(__xludf.DUMMYFUNCTION("IMPORTRANGE(""https://docs.google.com/spreadsheets/d/1IYY_tgx_IHuhSq3AJ5eI5OnqOPBNLWSHKh2a30DoXe8/edit?usp=sharing"",""สงขลา!J410"")"),0)</f>
        <v>0</v>
      </c>
      <c r="BL88" s="556">
        <f ca="1">IFERROR(__xludf.DUMMYFUNCTION("IMPORTRANGE(""https://docs.google.com/spreadsheets/d/1C3CXT74ZlgGe6_JY_1olB1XN4rF0dxEuIIF-xsYjHgg/edit?usp=sharing"",""งบกองทุน!CZ92"")"),0)</f>
        <v>0</v>
      </c>
      <c r="BM88" s="556">
        <f ca="1">IFERROR(__xludf.DUMMYFUNCTION("IMPORTRANGE(""https://docs.google.com/spreadsheets/d/1C3CXT74ZlgGe6_JY_1olB1XN4rF0dxEuIIF-xsYjHgg/edit?usp=sharing"",""งบกองทุน!CY92"")"),0)</f>
        <v>0</v>
      </c>
      <c r="BN88" s="556">
        <f t="shared" ca="1" si="137"/>
        <v>0</v>
      </c>
      <c r="BO88" s="557">
        <f t="shared" ca="1" si="15"/>
        <v>0</v>
      </c>
      <c r="BP88" s="556">
        <f t="shared" ca="1" si="138"/>
        <v>0</v>
      </c>
      <c r="BQ88" s="557">
        <f t="shared" ca="1" si="16"/>
        <v>0</v>
      </c>
      <c r="BR88" s="552">
        <f ca="1">IFERROR(__xludf.DUMMYFUNCTION("IMPORTRANGE(""https://docs.google.com/spreadsheets/d/1IYY_tgx_IHuhSq3AJ5eI5OnqOPBNLWSHKh2a30DoXe8/edit?usp=sharing"",""สงขลา!J414"")"),0)</f>
        <v>0</v>
      </c>
      <c r="BS88" s="552">
        <f ca="1">IFERROR(__xludf.DUMMYFUNCTION("IMPORTRANGE(""https://docs.google.com/spreadsheets/d/1IYY_tgx_IHuhSq3AJ5eI5OnqOPBNLWSHKh2a30DoXe8/edit?usp=sharing"",""สงขลา!J415"")"),0)</f>
        <v>0</v>
      </c>
      <c r="BT88" s="552">
        <f ca="1">IFERROR(__xludf.DUMMYFUNCTION("IMPORTRANGE(""https://docs.google.com/spreadsheets/d/1IYY_tgx_IHuhSq3AJ5eI5OnqOPBNLWSHKh2a30DoXe8/edit?usp=sharing"",""สงขลา!J416"")"),0)</f>
        <v>0</v>
      </c>
      <c r="BU88" s="552">
        <f ca="1">IFERROR(__xludf.DUMMYFUNCTION("IMPORTRANGE(""https://docs.google.com/spreadsheets/d/1IYY_tgx_IHuhSq3AJ5eI5OnqOPBNLWSHKh2a30DoXe8/edit?usp=sharing"",""สงขลา!J417"")"),0)</f>
        <v>0</v>
      </c>
      <c r="BV88" s="552">
        <f ca="1">IFERROR(__xludf.DUMMYFUNCTION("IMPORTRANGE(""https://docs.google.com/spreadsheets/d/1IYY_tgx_IHuhSq3AJ5eI5OnqOPBNLWSHKh2a30DoXe8/edit?usp=sharing"",""สงขลา!J418"")"),0)</f>
        <v>0</v>
      </c>
      <c r="BW88" s="552">
        <f ca="1">IFERROR(__xludf.DUMMYFUNCTION("IMPORTRANGE(""https://docs.google.com/spreadsheets/d/1IYY_tgx_IHuhSq3AJ5eI5OnqOPBNLWSHKh2a30DoXe8/edit?usp=sharing"",""สงขลา!J419"")"),0)</f>
        <v>0</v>
      </c>
      <c r="BX88" s="556">
        <f t="shared" ca="1" si="139"/>
        <v>0</v>
      </c>
      <c r="BY88" s="557">
        <f t="shared" ca="1" si="140"/>
        <v>0</v>
      </c>
      <c r="BZ88" s="556">
        <f t="shared" ca="1" si="141"/>
        <v>0</v>
      </c>
      <c r="CA88" s="557">
        <f t="shared" ca="1" si="142"/>
        <v>0</v>
      </c>
      <c r="CB88" s="552">
        <f ca="1">IFERROR(__xludf.DUMMYFUNCTION("IMPORTRANGE(""https://docs.google.com/spreadsheets/d/1IYY_tgx_IHuhSq3AJ5eI5OnqOPBNLWSHKh2a30DoXe8/edit?usp=sharing"",""สงขลา!J422"")"),0)</f>
        <v>0</v>
      </c>
      <c r="CC88" s="552">
        <f ca="1">IFERROR(__xludf.DUMMYFUNCTION("IMPORTRANGE(""https://docs.google.com/spreadsheets/d/1IYY_tgx_IHuhSq3AJ5eI5OnqOPBNLWSHKh2a30DoXe8/edit?usp=sharing"",""สงขลา!J423"")"),0)</f>
        <v>0</v>
      </c>
      <c r="CD88" s="552">
        <f ca="1">IFERROR(__xludf.DUMMYFUNCTION("IMPORTRANGE(""https://docs.google.com/spreadsheets/d/1IYY_tgx_IHuhSq3AJ5eI5OnqOPBNLWSHKh2a30DoXe8/edit?usp=sharing"",""สงขลา!J424"")"),0)</f>
        <v>0</v>
      </c>
      <c r="CE88" s="552">
        <f ca="1">IFERROR(__xludf.DUMMYFUNCTION("IMPORTRANGE(""https://docs.google.com/spreadsheets/d/1IYY_tgx_IHuhSq3AJ5eI5OnqOPBNLWSHKh2a30DoXe8/edit?usp=sharing"",""สงขลา!J425"")"),0)</f>
        <v>0</v>
      </c>
      <c r="CF88" s="552">
        <f ca="1">IFERROR(__xludf.DUMMYFUNCTION("IMPORTRANGE(""https://docs.google.com/spreadsheets/d/1IYY_tgx_IHuhSq3AJ5eI5OnqOPBNLWSHKh2a30DoXe8/edit?usp=sharing"",""สงขลา!J426"")"),0)</f>
        <v>0</v>
      </c>
      <c r="CG88" s="558">
        <f ca="1">IFERROR(__xludf.DUMMYFUNCTION("IMPORTRANGE(""https://docs.google.com/spreadsheets/d/1IYY_tgx_IHuhSq3AJ5eI5OnqOPBNLWSHKh2a30DoXe8/edit?usp=sharing"",""สงขลา!J427"")"),0)</f>
        <v>0</v>
      </c>
    </row>
    <row r="89" spans="1:85" ht="24" customHeight="1">
      <c r="A89" s="549">
        <v>13</v>
      </c>
      <c r="B89" s="550" t="s">
        <v>113</v>
      </c>
      <c r="C89" s="551">
        <f t="shared" ca="1" si="128"/>
        <v>90626</v>
      </c>
      <c r="D89" s="552">
        <f ca="1">IFERROR(__xludf.DUMMYFUNCTION("IMPORTRANGE(""https://docs.google.com/spreadsheets/d/1C3CXT74ZlgGe6_JY_1olB1XN4rF0dxEuIIF-xsYjHgg/edit?usp=sharing"",""งบกองทุน!BC93"")"),0)</f>
        <v>0</v>
      </c>
      <c r="E89" s="553">
        <f ca="1">IFERROR(__xludf.DUMMYFUNCTION("IMPORTRANGE(""https://docs.google.com/spreadsheets/d/1C3CXT74ZlgGe6_JY_1olB1XN4rF0dxEuIIF-xsYjHgg/edit?usp=sharing"",""งบกองทุน!BD93"")"),90626)</f>
        <v>90626</v>
      </c>
      <c r="F89" s="554">
        <f ca="1">IFERROR(__xludf.DUMMYFUNCTION("IMPORTRANGE(""https://docs.google.com/spreadsheets/d/1IYY_tgx_IHuhSq3AJ5eI5OnqOPBNLWSHKh2a30DoXe8/edit?usp=sharing"",""สตูล!M352"")"),50249)</f>
        <v>50249</v>
      </c>
      <c r="G89" s="554">
        <f t="shared" ca="1" si="1"/>
        <v>55.446560589676253</v>
      </c>
      <c r="H89" s="555">
        <f ca="1">IFERROR(__xludf.DUMMYFUNCTION("IMPORTRANGE(""https://docs.google.com/spreadsheets/d/1C3CXT74ZlgGe6_JY_1olB1XN4rF0dxEuIIF-xsYjHgg/edit?usp=sharing"",""งบกองทุน!BE93"")"),9865)</f>
        <v>9865</v>
      </c>
      <c r="I89" s="555">
        <f ca="1">IFERROR(__xludf.DUMMYFUNCTION("IMPORTRANGE(""https://docs.google.com/spreadsheets/d/1C3CXT74ZlgGe6_JY_1olB1XN4rF0dxEuIIF-xsYjHgg/edit?usp=sharing"",""งบกองทุน!BF93"")"),1411)</f>
        <v>1411</v>
      </c>
      <c r="J89" s="552">
        <f t="shared" ca="1" si="129"/>
        <v>9865</v>
      </c>
      <c r="K89" s="554">
        <f t="shared" ca="1" si="3"/>
        <v>100</v>
      </c>
      <c r="L89" s="552">
        <f t="shared" ca="1" si="130"/>
        <v>1411</v>
      </c>
      <c r="M89" s="554">
        <f t="shared" ca="1" si="4"/>
        <v>100</v>
      </c>
      <c r="N89" s="552">
        <f ca="1">IFERROR(__xludf.DUMMYFUNCTION("IMPORTRANGE(""https://docs.google.com/spreadsheets/d/1IYY_tgx_IHuhSq3AJ5eI5OnqOPBNLWSHKh2a30DoXe8/edit?usp=sharing"",""สตูล!J362"")"),9292)</f>
        <v>9292</v>
      </c>
      <c r="O89" s="552">
        <f ca="1">IFERROR(__xludf.DUMMYFUNCTION("IMPORTRANGE(""https://docs.google.com/spreadsheets/d/1IYY_tgx_IHuhSq3AJ5eI5OnqOPBNLWSHKh2a30DoXe8/edit?usp=sharing"",""สตูล!J363"")"),1337)</f>
        <v>1337</v>
      </c>
      <c r="P89" s="552">
        <f ca="1">IFERROR(__xludf.DUMMYFUNCTION("IMPORTRANGE(""https://docs.google.com/spreadsheets/d/1IYY_tgx_IHuhSq3AJ5eI5OnqOPBNLWSHKh2a30DoXe8/edit?usp=sharing"",""สตูล!J364"")"),477)</f>
        <v>477</v>
      </c>
      <c r="Q89" s="552">
        <f ca="1">IFERROR(__xludf.DUMMYFUNCTION("IMPORTRANGE(""https://docs.google.com/spreadsheets/d/1IYY_tgx_IHuhSq3AJ5eI5OnqOPBNLWSHKh2a30DoXe8/edit?usp=sharing"",""สตูล!J365"")"),57)</f>
        <v>57</v>
      </c>
      <c r="R89" s="552">
        <f ca="1">IFERROR(__xludf.DUMMYFUNCTION("IMPORTRANGE(""https://docs.google.com/spreadsheets/d/1IYY_tgx_IHuhSq3AJ5eI5OnqOPBNLWSHKh2a30DoXe8/edit?usp=sharing"",""สตูล!J366"")"),96)</f>
        <v>96</v>
      </c>
      <c r="S89" s="552">
        <f ca="1">IFERROR(__xludf.DUMMYFUNCTION("IMPORTRANGE(""https://docs.google.com/spreadsheets/d/1IYY_tgx_IHuhSq3AJ5eI5OnqOPBNLWSHKh2a30DoXe8/edit?usp=sharing"",""สตูล!J367"")"),17)</f>
        <v>17</v>
      </c>
      <c r="T89" s="552">
        <f t="shared" ca="1" si="131"/>
        <v>9867</v>
      </c>
      <c r="U89" s="552">
        <f t="shared" ca="1" si="6"/>
        <v>100.0202736948809</v>
      </c>
      <c r="V89" s="552">
        <f t="shared" ca="1" si="132"/>
        <v>1411</v>
      </c>
      <c r="W89" s="552">
        <f t="shared" ca="1" si="7"/>
        <v>100</v>
      </c>
      <c r="X89" s="552">
        <f ca="1">IFERROR(__xludf.DUMMYFUNCTION("IMPORTRANGE(""https://docs.google.com/spreadsheets/d/1IYY_tgx_IHuhSq3AJ5eI5OnqOPBNLWSHKh2a30DoXe8/edit?usp=sharing"",""สตูล!J370"")"),9340)</f>
        <v>9340</v>
      </c>
      <c r="Y89" s="552">
        <f ca="1">IFERROR(__xludf.DUMMYFUNCTION("IMPORTRANGE(""https://docs.google.com/spreadsheets/d/1IYY_tgx_IHuhSq3AJ5eI5OnqOPBNLWSHKh2a30DoXe8/edit?usp=sharing"",""สตูล!J371"")"),1348)</f>
        <v>1348</v>
      </c>
      <c r="Z89" s="552">
        <f ca="1">IFERROR(__xludf.DUMMYFUNCTION("IMPORTRANGE(""https://docs.google.com/spreadsheets/d/1IYY_tgx_IHuhSq3AJ5eI5OnqOPBNLWSHKh2a30DoXe8/edit?usp=sharing"",""สตูล!J372"")"),403)</f>
        <v>403</v>
      </c>
      <c r="AA89" s="552">
        <f ca="1">IFERROR(__xludf.DUMMYFUNCTION("IMPORTRANGE(""https://docs.google.com/spreadsheets/d/1IYY_tgx_IHuhSq3AJ5eI5OnqOPBNLWSHKh2a30DoXe8/edit?usp=sharing"",""สตูล!J373"")"),43)</f>
        <v>43</v>
      </c>
      <c r="AB89" s="552">
        <f ca="1">IFERROR(__xludf.DUMMYFUNCTION("IMPORTRANGE(""https://docs.google.com/spreadsheets/d/1IYY_tgx_IHuhSq3AJ5eI5OnqOPBNLWSHKh2a30DoXe8/edit?usp=sharing"",""สตูล!J374"")"),124)</f>
        <v>124</v>
      </c>
      <c r="AC89" s="552">
        <f ca="1">IFERROR(__xludf.DUMMYFUNCTION("IMPORTRANGE(""https://docs.google.com/spreadsheets/d/1IYY_tgx_IHuhSq3AJ5eI5OnqOPBNLWSHKh2a30DoXe8/edit?usp=sharing"",""สตูล!J375"")"),20)</f>
        <v>20</v>
      </c>
      <c r="AD89" s="552">
        <f t="shared" ca="1" si="133"/>
        <v>9867</v>
      </c>
      <c r="AE89" s="554">
        <f t="shared" ca="1" si="9"/>
        <v>100.0202736948809</v>
      </c>
      <c r="AF89" s="552">
        <f t="shared" ca="1" si="134"/>
        <v>1411</v>
      </c>
      <c r="AG89" s="554">
        <f t="shared" ca="1" si="10"/>
        <v>100</v>
      </c>
      <c r="AH89" s="552">
        <f ca="1">IFERROR(__xludf.DUMMYFUNCTION("IMPORTRANGE(""https://docs.google.com/spreadsheets/d/1IYY_tgx_IHuhSq3AJ5eI5OnqOPBNLWSHKh2a30DoXe8/edit?usp=sharing"",""สตูล!J378"")"),9340)</f>
        <v>9340</v>
      </c>
      <c r="AI89" s="552">
        <f ca="1">IFERROR(__xludf.DUMMYFUNCTION("IMPORTRANGE(""https://docs.google.com/spreadsheets/d/1IYY_tgx_IHuhSq3AJ5eI5OnqOPBNLWSHKh2a30DoXe8/edit?usp=sharing"",""สตูล!J379"")"),1348)</f>
        <v>1348</v>
      </c>
      <c r="AJ89" s="552">
        <f ca="1">IFERROR(__xludf.DUMMYFUNCTION("IMPORTRANGE(""https://docs.google.com/spreadsheets/d/1IYY_tgx_IHuhSq3AJ5eI5OnqOPBNLWSHKh2a30DoXe8/edit?usp=sharing"",""สตูล!J380"")"),403)</f>
        <v>403</v>
      </c>
      <c r="AK89" s="552">
        <f ca="1">IFERROR(__xludf.DUMMYFUNCTION("IMPORTRANGE(""https://docs.google.com/spreadsheets/d/1IYY_tgx_IHuhSq3AJ5eI5OnqOPBNLWSHKh2a30DoXe8/edit?usp=sharing"",""สตูล!J381"")"),43)</f>
        <v>43</v>
      </c>
      <c r="AL89" s="552">
        <f ca="1">IFERROR(__xludf.DUMMYFUNCTION("IMPORTRANGE(""https://docs.google.com/spreadsheets/d/1IYY_tgx_IHuhSq3AJ5eI5OnqOPBNLWSHKh2a30DoXe8/edit?usp=sharing"",""สตูล!J384"")"),116)</f>
        <v>116</v>
      </c>
      <c r="AM89" s="552">
        <f ca="1">IFERROR(__xludf.DUMMYFUNCTION("IMPORTRANGE(""https://docs.google.com/spreadsheets/d/1IYY_tgx_IHuhSq3AJ5eI5OnqOPBNLWSHKh2a30DoXe8/edit?usp=sharing"",""สตูล!J385"")"),19)</f>
        <v>19</v>
      </c>
      <c r="AN89" s="552">
        <f ca="1">IFERROR(__xludf.DUMMYFUNCTION("IMPORTRANGE(""https://docs.google.com/spreadsheets/d/1IYY_tgx_IHuhSq3AJ5eI5OnqOPBNLWSHKh2a30DoXe8/edit?usp=sharing"",""สตูล!J386"")"),8)</f>
        <v>8</v>
      </c>
      <c r="AO89" s="552">
        <f ca="1">IFERROR(__xludf.DUMMYFUNCTION("IMPORTRANGE(""https://docs.google.com/spreadsheets/d/1IYY_tgx_IHuhSq3AJ5eI5OnqOPBNLWSHKh2a30DoXe8/edit?usp=sharing"",""สตูล!J387"")"),1)</f>
        <v>1</v>
      </c>
      <c r="AP89" s="552">
        <f ca="1">IFERROR(__xludf.DUMMYFUNCTION("IMPORTRANGE(""https://docs.google.com/spreadsheets/d/1IYY_tgx_IHuhSq3AJ5eI5OnqOPBNLWSHKh2a30DoXe8/edit?usp=sharing"",""สตูล!J388"")"),0)</f>
        <v>0</v>
      </c>
      <c r="AQ89" s="552">
        <f ca="1">IFERROR(__xludf.DUMMYFUNCTION("IMPORTRANGE(""https://docs.google.com/spreadsheets/d/1IYY_tgx_IHuhSq3AJ5eI5OnqOPBNLWSHKh2a30DoXe8/edit?usp=sharing"",""สตูล!J389"")"),0)</f>
        <v>0</v>
      </c>
      <c r="AR89" s="552">
        <f ca="1">IFERROR(__xludf.DUMMYFUNCTION("IMPORTRANGE(""https://docs.google.com/spreadsheets/d/1IYY_tgx_IHuhSq3AJ5eI5OnqOPBNLWSHKh2a30DoXe8/edit?usp=sharing"",""สตูล!J390"")"),0)</f>
        <v>0</v>
      </c>
      <c r="AS89" s="552">
        <f ca="1">IFERROR(__xludf.DUMMYFUNCTION("IMPORTRANGE(""https://docs.google.com/spreadsheets/d/1IYY_tgx_IHuhSq3AJ5eI5OnqOPBNLWSHKh2a30DoXe8/edit?usp=sharing"",""สตูล!J391"")"),0)</f>
        <v>0</v>
      </c>
      <c r="AT89" s="556">
        <f ca="1">IFERROR(__xludf.DUMMYFUNCTION("IMPORTRANGE(""https://docs.google.com/spreadsheets/d/1C3CXT74ZlgGe6_JY_1olB1XN4rF0dxEuIIF-xsYjHgg/edit?usp=sharing"",""งบกองทุน!CD93"")"),0)</f>
        <v>0</v>
      </c>
      <c r="AU89" s="556">
        <f ca="1">IFERROR(__xludf.DUMMYFUNCTION("IMPORTRANGE(""https://docs.google.com/spreadsheets/d/1C3CXT74ZlgGe6_JY_1olB1XN4rF0dxEuIIF-xsYjHgg/edit?usp=sharing"",""งบกองทุน!CC93"")"),0)</f>
        <v>0</v>
      </c>
      <c r="AV89" s="556">
        <f t="shared" ca="1" si="135"/>
        <v>0</v>
      </c>
      <c r="AW89" s="556">
        <f t="shared" ca="1" si="12"/>
        <v>0</v>
      </c>
      <c r="AX89" s="556">
        <f t="shared" ca="1" si="136"/>
        <v>0</v>
      </c>
      <c r="AY89" s="556">
        <f t="shared" ca="1" si="13"/>
        <v>0</v>
      </c>
      <c r="AZ89" s="552">
        <f ca="1">IFERROR(__xludf.DUMMYFUNCTION("IMPORTRANGE(""https://docs.google.com/spreadsheets/d/1IYY_tgx_IHuhSq3AJ5eI5OnqOPBNLWSHKh2a30DoXe8/edit?usp=sharing"",""สตูล!J397"")"),0)</f>
        <v>0</v>
      </c>
      <c r="BA89" s="552">
        <f ca="1">IFERROR(__xludf.DUMMYFUNCTION("IMPORTRANGE(""https://docs.google.com/spreadsheets/d/1IYY_tgx_IHuhSq3AJ5eI5OnqOPBNLWSHKh2a30DoXe8/edit?usp=sharing"",""สตูล!J398"")"),0)</f>
        <v>0</v>
      </c>
      <c r="BB89" s="552">
        <f ca="1">IFERROR(__xludf.DUMMYFUNCTION("IMPORTRANGE(""https://docs.google.com/spreadsheets/d/1IYY_tgx_IHuhSq3AJ5eI5OnqOPBNLWSHKh2a30DoXe8/edit?usp=sharing"",""สตูล!J399"")"),0)</f>
        <v>0</v>
      </c>
      <c r="BC89" s="552">
        <f ca="1">IFERROR(__xludf.DUMMYFUNCTION("IMPORTRANGE(""https://docs.google.com/spreadsheets/d/1IYY_tgx_IHuhSq3AJ5eI5OnqOPBNLWSHKh2a30DoXe8/edit?usp=sharing"",""สตูล!J400"")"),0)</f>
        <v>0</v>
      </c>
      <c r="BD89" s="552">
        <f ca="1">IFERROR(__xludf.DUMMYFUNCTION("IMPORTRANGE(""https://docs.google.com/spreadsheets/d/1IYY_tgx_IHuhSq3AJ5eI5OnqOPBNLWSHKh2a30DoXe8/edit?usp=sharing"",""สตูล!J401"")"),0)</f>
        <v>0</v>
      </c>
      <c r="BE89" s="552">
        <f ca="1">IFERROR(__xludf.DUMMYFUNCTION("IMPORTRANGE(""https://docs.google.com/spreadsheets/d/1IYY_tgx_IHuhSq3AJ5eI5OnqOPBNLWSHKh2a30DoXe8/edit?usp=sharing"",""สตูล!J402"")"),0)</f>
        <v>0</v>
      </c>
      <c r="BF89" s="552">
        <f ca="1">IFERROR(__xludf.DUMMYFUNCTION("IMPORTRANGE(""https://docs.google.com/spreadsheets/d/1IYY_tgx_IHuhSq3AJ5eI5OnqOPBNLWSHKh2a30DoXe8/edit?usp=sharing"",""สตูล!J405"")"),0)</f>
        <v>0</v>
      </c>
      <c r="BG89" s="552">
        <f ca="1">IFERROR(__xludf.DUMMYFUNCTION("IMPORTRANGE(""https://docs.google.com/spreadsheets/d/1IYY_tgx_IHuhSq3AJ5eI5OnqOPBNLWSHKh2a30DoXe8/edit?usp=sharing"",""สตูล!J406"")"),0)</f>
        <v>0</v>
      </c>
      <c r="BH89" s="552">
        <f ca="1">IFERROR(__xludf.DUMMYFUNCTION("IMPORTRANGE(""https://docs.google.com/spreadsheets/d/1IYY_tgx_IHuhSq3AJ5eI5OnqOPBNLWSHKh2a30DoXe8/edit?usp=sharing"",""สตูล!J407"")"),0)</f>
        <v>0</v>
      </c>
      <c r="BI89" s="552">
        <f ca="1">IFERROR(__xludf.DUMMYFUNCTION("IMPORTRANGE(""https://docs.google.com/spreadsheets/d/1IYY_tgx_IHuhSq3AJ5eI5OnqOPBNLWSHKh2a30DoXe8/edit?usp=sharing"",""สตูล!J408"")"),0)</f>
        <v>0</v>
      </c>
      <c r="BJ89" s="552">
        <f ca="1">IFERROR(__xludf.DUMMYFUNCTION("IMPORTRANGE(""https://docs.google.com/spreadsheets/d/1IYY_tgx_IHuhSq3AJ5eI5OnqOPBNLWSHKh2a30DoXe8/edit?usp=sharing"",""สตูล!J409"")"),0)</f>
        <v>0</v>
      </c>
      <c r="BK89" s="552">
        <f ca="1">IFERROR(__xludf.DUMMYFUNCTION("IMPORTRANGE(""https://docs.google.com/spreadsheets/d/1IYY_tgx_IHuhSq3AJ5eI5OnqOPBNLWSHKh2a30DoXe8/edit?usp=sharing"",""สตูล!J410"")"),0)</f>
        <v>0</v>
      </c>
      <c r="BL89" s="556">
        <f ca="1">IFERROR(__xludf.DUMMYFUNCTION("IMPORTRANGE(""https://docs.google.com/spreadsheets/d/1C3CXT74ZlgGe6_JY_1olB1XN4rF0dxEuIIF-xsYjHgg/edit?usp=sharing"",""งบกองทุน!CZ93"")"),0)</f>
        <v>0</v>
      </c>
      <c r="BM89" s="556">
        <f ca="1">IFERROR(__xludf.DUMMYFUNCTION("IMPORTRANGE(""https://docs.google.com/spreadsheets/d/1C3CXT74ZlgGe6_JY_1olB1XN4rF0dxEuIIF-xsYjHgg/edit?usp=sharing"",""งบกองทุน!CY93"")"),0)</f>
        <v>0</v>
      </c>
      <c r="BN89" s="556">
        <f t="shared" ca="1" si="137"/>
        <v>0</v>
      </c>
      <c r="BO89" s="557">
        <f t="shared" ca="1" si="15"/>
        <v>0</v>
      </c>
      <c r="BP89" s="556">
        <f t="shared" ca="1" si="138"/>
        <v>0</v>
      </c>
      <c r="BQ89" s="557">
        <f t="shared" ca="1" si="16"/>
        <v>0</v>
      </c>
      <c r="BR89" s="552">
        <f ca="1">IFERROR(__xludf.DUMMYFUNCTION("IMPORTRANGE(""https://docs.google.com/spreadsheets/d/1IYY_tgx_IHuhSq3AJ5eI5OnqOPBNLWSHKh2a30DoXe8/edit?usp=sharing"",""สตูล!J414"")"),0)</f>
        <v>0</v>
      </c>
      <c r="BS89" s="552">
        <f ca="1">IFERROR(__xludf.DUMMYFUNCTION("IMPORTRANGE(""https://docs.google.com/spreadsheets/d/1IYY_tgx_IHuhSq3AJ5eI5OnqOPBNLWSHKh2a30DoXe8/edit?usp=sharing"",""สตูล!J415"")"),0)</f>
        <v>0</v>
      </c>
      <c r="BT89" s="552">
        <f ca="1">IFERROR(__xludf.DUMMYFUNCTION("IMPORTRANGE(""https://docs.google.com/spreadsheets/d/1IYY_tgx_IHuhSq3AJ5eI5OnqOPBNLWSHKh2a30DoXe8/edit?usp=sharing"",""สตูล!J416"")"),0)</f>
        <v>0</v>
      </c>
      <c r="BU89" s="552">
        <f ca="1">IFERROR(__xludf.DUMMYFUNCTION("IMPORTRANGE(""https://docs.google.com/spreadsheets/d/1IYY_tgx_IHuhSq3AJ5eI5OnqOPBNLWSHKh2a30DoXe8/edit?usp=sharing"",""สตูล!J417"")"),0)</f>
        <v>0</v>
      </c>
      <c r="BV89" s="552">
        <f ca="1">IFERROR(__xludf.DUMMYFUNCTION("IMPORTRANGE(""https://docs.google.com/spreadsheets/d/1IYY_tgx_IHuhSq3AJ5eI5OnqOPBNLWSHKh2a30DoXe8/edit?usp=sharing"",""สตูล!J418"")"),2)</f>
        <v>2</v>
      </c>
      <c r="BW89" s="552">
        <f ca="1">IFERROR(__xludf.DUMMYFUNCTION("IMPORTRANGE(""https://docs.google.com/spreadsheets/d/1IYY_tgx_IHuhSq3AJ5eI5OnqOPBNLWSHKh2a30DoXe8/edit?usp=sharing"",""สตูล!J419"")"),1)</f>
        <v>1</v>
      </c>
      <c r="BX89" s="556">
        <f t="shared" ca="1" si="139"/>
        <v>0</v>
      </c>
      <c r="BY89" s="557">
        <f t="shared" ca="1" si="140"/>
        <v>0</v>
      </c>
      <c r="BZ89" s="556">
        <f t="shared" ca="1" si="141"/>
        <v>0</v>
      </c>
      <c r="CA89" s="557">
        <f t="shared" ca="1" si="142"/>
        <v>0</v>
      </c>
      <c r="CB89" s="552">
        <f ca="1">IFERROR(__xludf.DUMMYFUNCTION("IMPORTRANGE(""https://docs.google.com/spreadsheets/d/1IYY_tgx_IHuhSq3AJ5eI5OnqOPBNLWSHKh2a30DoXe8/edit?usp=sharing"",""สตูล!J422"")"),0)</f>
        <v>0</v>
      </c>
      <c r="CC89" s="552">
        <f ca="1">IFERROR(__xludf.DUMMYFUNCTION("IMPORTRANGE(""https://docs.google.com/spreadsheets/d/1IYY_tgx_IHuhSq3AJ5eI5OnqOPBNLWSHKh2a30DoXe8/edit?usp=sharing"",""สตูล!J423"")"),0)</f>
        <v>0</v>
      </c>
      <c r="CD89" s="552">
        <f ca="1">IFERROR(__xludf.DUMMYFUNCTION("IMPORTRANGE(""https://docs.google.com/spreadsheets/d/1IYY_tgx_IHuhSq3AJ5eI5OnqOPBNLWSHKh2a30DoXe8/edit?usp=sharing"",""สตูล!J424"")"),0)</f>
        <v>0</v>
      </c>
      <c r="CE89" s="552">
        <f ca="1">IFERROR(__xludf.DUMMYFUNCTION("IMPORTRANGE(""https://docs.google.com/spreadsheets/d/1IYY_tgx_IHuhSq3AJ5eI5OnqOPBNLWSHKh2a30DoXe8/edit?usp=sharing"",""สตูล!J425"")"),0)</f>
        <v>0</v>
      </c>
      <c r="CF89" s="552">
        <f ca="1">IFERROR(__xludf.DUMMYFUNCTION("IMPORTRANGE(""https://docs.google.com/spreadsheets/d/1IYY_tgx_IHuhSq3AJ5eI5OnqOPBNLWSHKh2a30DoXe8/edit?usp=sharing"",""สตูล!J426"")"),0)</f>
        <v>0</v>
      </c>
      <c r="CG89" s="558">
        <f ca="1">IFERROR(__xludf.DUMMYFUNCTION("IMPORTRANGE(""https://docs.google.com/spreadsheets/d/1IYY_tgx_IHuhSq3AJ5eI5OnqOPBNLWSHKh2a30DoXe8/edit?usp=sharing"",""สตูล!J427"")"),0)</f>
        <v>0</v>
      </c>
    </row>
    <row r="90" spans="1:85" ht="24" customHeight="1">
      <c r="A90" s="559">
        <v>14</v>
      </c>
      <c r="B90" s="560" t="s">
        <v>114</v>
      </c>
      <c r="C90" s="561">
        <f t="shared" ca="1" si="128"/>
        <v>1055798</v>
      </c>
      <c r="D90" s="562">
        <f ca="1">IFERROR(__xludf.DUMMYFUNCTION("IMPORTRANGE(""https://docs.google.com/spreadsheets/d/1C3CXT74ZlgGe6_JY_1olB1XN4rF0dxEuIIF-xsYjHgg/edit?usp=sharing"",""งบกองทุน!BC94"")"),0)</f>
        <v>0</v>
      </c>
      <c r="E90" s="563">
        <f ca="1">IFERROR(__xludf.DUMMYFUNCTION("IMPORTRANGE(""https://docs.google.com/spreadsheets/d/1C3CXT74ZlgGe6_JY_1olB1XN4rF0dxEuIIF-xsYjHgg/edit?usp=sharing"",""งบกองทุน!BD94"")"),1055798)</f>
        <v>1055798</v>
      </c>
      <c r="F90" s="564">
        <f ca="1">IFERROR(__xludf.DUMMYFUNCTION("IMPORTRANGE(""https://docs.google.com/spreadsheets/d/1IYY_tgx_IHuhSq3AJ5eI5OnqOPBNLWSHKh2a30DoXe8/edit?usp=sharing"",""สุราษฎร์ธานี!M352"")"),154936.99)</f>
        <v>154936.99</v>
      </c>
      <c r="G90" s="564">
        <f t="shared" ca="1" si="1"/>
        <v>14.674870571832869</v>
      </c>
      <c r="H90" s="565">
        <f ca="1">IFERROR(__xludf.DUMMYFUNCTION("IMPORTRANGE(""https://docs.google.com/spreadsheets/d/1C3CXT74ZlgGe6_JY_1olB1XN4rF0dxEuIIF-xsYjHgg/edit?usp=sharing"",""งบกองทุน!BE94"")"),151732)</f>
        <v>151732</v>
      </c>
      <c r="I90" s="565">
        <f ca="1">IFERROR(__xludf.DUMMYFUNCTION("IMPORTRANGE(""https://docs.google.com/spreadsheets/d/1C3CXT74ZlgGe6_JY_1olB1XN4rF0dxEuIIF-xsYjHgg/edit?usp=sharing"",""งบกองทุน!BF94"")"),11860)</f>
        <v>11860</v>
      </c>
      <c r="J90" s="562">
        <f t="shared" ca="1" si="129"/>
        <v>151732</v>
      </c>
      <c r="K90" s="564">
        <f t="shared" ca="1" si="3"/>
        <v>100</v>
      </c>
      <c r="L90" s="562">
        <f t="shared" ca="1" si="130"/>
        <v>11860</v>
      </c>
      <c r="M90" s="564">
        <f t="shared" ca="1" si="4"/>
        <v>100</v>
      </c>
      <c r="N90" s="562">
        <f ca="1">IFERROR(__xludf.DUMMYFUNCTION("IMPORTRANGE(""https://docs.google.com/spreadsheets/d/1IYY_tgx_IHuhSq3AJ5eI5OnqOPBNLWSHKh2a30DoXe8/edit?usp=sharing"",""สุราษฎร์ธานี!J362"")"),124821)</f>
        <v>124821</v>
      </c>
      <c r="O90" s="562">
        <f ca="1">IFERROR(__xludf.DUMMYFUNCTION("IMPORTRANGE(""https://docs.google.com/spreadsheets/d/1IYY_tgx_IHuhSq3AJ5eI5OnqOPBNLWSHKh2a30DoXe8/edit?usp=sharing"",""สุราษฎร์ธานี!J363"")"),10053)</f>
        <v>10053</v>
      </c>
      <c r="P90" s="562">
        <f ca="1">IFERROR(__xludf.DUMMYFUNCTION("IMPORTRANGE(""https://docs.google.com/spreadsheets/d/1IYY_tgx_IHuhSq3AJ5eI5OnqOPBNLWSHKh2a30DoXe8/edit?usp=sharing"",""สุราษฎร์ธานี!J364"")"),25562)</f>
        <v>25562</v>
      </c>
      <c r="Q90" s="562">
        <f ca="1">IFERROR(__xludf.DUMMYFUNCTION("IMPORTRANGE(""https://docs.google.com/spreadsheets/d/1IYY_tgx_IHuhSq3AJ5eI5OnqOPBNLWSHKh2a30DoXe8/edit?usp=sharing"",""สุราษฎร์ธานี!J365"")"),1694)</f>
        <v>1694</v>
      </c>
      <c r="R90" s="562">
        <f ca="1">IFERROR(__xludf.DUMMYFUNCTION("IMPORTRANGE(""https://docs.google.com/spreadsheets/d/1IYY_tgx_IHuhSq3AJ5eI5OnqOPBNLWSHKh2a30DoXe8/edit?usp=sharing"",""สุราษฎร์ธานี!J366"")"),1349)</f>
        <v>1349</v>
      </c>
      <c r="S90" s="562">
        <f ca="1">IFERROR(__xludf.DUMMYFUNCTION("IMPORTRANGE(""https://docs.google.com/spreadsheets/d/1IYY_tgx_IHuhSq3AJ5eI5OnqOPBNLWSHKh2a30DoXe8/edit?usp=sharing"",""สุราษฎร์ธานี!J367"")"),113)</f>
        <v>113</v>
      </c>
      <c r="T90" s="562">
        <f t="shared" ca="1" si="131"/>
        <v>151732</v>
      </c>
      <c r="U90" s="562">
        <f t="shared" ca="1" si="6"/>
        <v>100</v>
      </c>
      <c r="V90" s="562">
        <f t="shared" ca="1" si="132"/>
        <v>11860</v>
      </c>
      <c r="W90" s="562">
        <f t="shared" ca="1" si="7"/>
        <v>100</v>
      </c>
      <c r="X90" s="562">
        <f ca="1">IFERROR(__xludf.DUMMYFUNCTION("IMPORTRANGE(""https://docs.google.com/spreadsheets/d/1IYY_tgx_IHuhSq3AJ5eI5OnqOPBNLWSHKh2a30DoXe8/edit?usp=sharing"",""สุราษฎร์ธานี!J370"")"),147099)</f>
        <v>147099</v>
      </c>
      <c r="Y90" s="562">
        <f ca="1">IFERROR(__xludf.DUMMYFUNCTION("IMPORTRANGE(""https://docs.google.com/spreadsheets/d/1IYY_tgx_IHuhSq3AJ5eI5OnqOPBNLWSHKh2a30DoXe8/edit?usp=sharing"",""สุราษฎร์ธานี!J371"")"),11433)</f>
        <v>11433</v>
      </c>
      <c r="Z90" s="562">
        <f ca="1">IFERROR(__xludf.DUMMYFUNCTION("IMPORTRANGE(""https://docs.google.com/spreadsheets/d/1IYY_tgx_IHuhSq3AJ5eI5OnqOPBNLWSHKh2a30DoXe8/edit?usp=sharing"",""สุราษฎร์ธานี!J372"")"),3241)</f>
        <v>3241</v>
      </c>
      <c r="AA90" s="562">
        <f ca="1">IFERROR(__xludf.DUMMYFUNCTION("IMPORTRANGE(""https://docs.google.com/spreadsheets/d/1IYY_tgx_IHuhSq3AJ5eI5OnqOPBNLWSHKh2a30DoXe8/edit?usp=sharing"",""สุราษฎร์ธานี!J373"")"),311)</f>
        <v>311</v>
      </c>
      <c r="AB90" s="562">
        <f ca="1">IFERROR(__xludf.DUMMYFUNCTION("IMPORTRANGE(""https://docs.google.com/spreadsheets/d/1IYY_tgx_IHuhSq3AJ5eI5OnqOPBNLWSHKh2a30DoXe8/edit?usp=sharing"",""สุราษฎร์ธานี!J374"")"),1392)</f>
        <v>1392</v>
      </c>
      <c r="AC90" s="562">
        <f ca="1">IFERROR(__xludf.DUMMYFUNCTION("IMPORTRANGE(""https://docs.google.com/spreadsheets/d/1IYY_tgx_IHuhSq3AJ5eI5OnqOPBNLWSHKh2a30DoXe8/edit?usp=sharing"",""สุราษฎร์ธานี!J375"")"),116)</f>
        <v>116</v>
      </c>
      <c r="AD90" s="562">
        <f t="shared" ca="1" si="133"/>
        <v>151732</v>
      </c>
      <c r="AE90" s="564">
        <f t="shared" ca="1" si="9"/>
        <v>100</v>
      </c>
      <c r="AF90" s="562">
        <f t="shared" ca="1" si="134"/>
        <v>11860</v>
      </c>
      <c r="AG90" s="564">
        <f t="shared" ca="1" si="10"/>
        <v>100</v>
      </c>
      <c r="AH90" s="562">
        <f ca="1">IFERROR(__xludf.DUMMYFUNCTION("IMPORTRANGE(""https://docs.google.com/spreadsheets/d/1IYY_tgx_IHuhSq3AJ5eI5OnqOPBNLWSHKh2a30DoXe8/edit?usp=sharing"",""สุราษฎร์ธานี!J378"")"),125062)</f>
        <v>125062</v>
      </c>
      <c r="AI90" s="562">
        <f ca="1">IFERROR(__xludf.DUMMYFUNCTION("IMPORTRANGE(""https://docs.google.com/spreadsheets/d/1IYY_tgx_IHuhSq3AJ5eI5OnqOPBNLWSHKh2a30DoXe8/edit?usp=sharing"",""สุราษฎร์ธานี!J379"")"),10038)</f>
        <v>10038</v>
      </c>
      <c r="AJ90" s="562">
        <f ca="1">IFERROR(__xludf.DUMMYFUNCTION("IMPORTRANGE(""https://docs.google.com/spreadsheets/d/1IYY_tgx_IHuhSq3AJ5eI5OnqOPBNLWSHKh2a30DoXe8/edit?usp=sharing"",""สุราษฎร์ธานี!J380"")"),25278)</f>
        <v>25278</v>
      </c>
      <c r="AK90" s="562">
        <f ca="1">IFERROR(__xludf.DUMMYFUNCTION("IMPORTRANGE(""https://docs.google.com/spreadsheets/d/1IYY_tgx_IHuhSq3AJ5eI5OnqOPBNLWSHKh2a30DoXe8/edit?usp=sharing"",""สุราษฎร์ธานี!J381"")"),1706)</f>
        <v>1706</v>
      </c>
      <c r="AL90" s="562">
        <f ca="1">IFERROR(__xludf.DUMMYFUNCTION("IMPORTRANGE(""https://docs.google.com/spreadsheets/d/1IYY_tgx_IHuhSq3AJ5eI5OnqOPBNLWSHKh2a30DoXe8/edit?usp=sharing"",""สุราษฎร์ธานี!J384"")"),1339)</f>
        <v>1339</v>
      </c>
      <c r="AM90" s="562">
        <f ca="1">IFERROR(__xludf.DUMMYFUNCTION("IMPORTRANGE(""https://docs.google.com/spreadsheets/d/1IYY_tgx_IHuhSq3AJ5eI5OnqOPBNLWSHKh2a30DoXe8/edit?usp=sharing"",""สุราษฎร์ธานี!J385"")"),111)</f>
        <v>111</v>
      </c>
      <c r="AN90" s="562">
        <f ca="1">IFERROR(__xludf.DUMMYFUNCTION("IMPORTRANGE(""https://docs.google.com/spreadsheets/d/1IYY_tgx_IHuhSq3AJ5eI5OnqOPBNLWSHKh2a30DoXe8/edit?usp=sharing"",""สุราษฎร์ธานี!J386"")"),53)</f>
        <v>53</v>
      </c>
      <c r="AO90" s="562">
        <f ca="1">IFERROR(__xludf.DUMMYFUNCTION("IMPORTRANGE(""https://docs.google.com/spreadsheets/d/1IYY_tgx_IHuhSq3AJ5eI5OnqOPBNLWSHKh2a30DoXe8/edit?usp=sharing"",""สุราษฎร์ธานี!J387"")"),5)</f>
        <v>5</v>
      </c>
      <c r="AP90" s="562">
        <f ca="1">IFERROR(__xludf.DUMMYFUNCTION("IMPORTRANGE(""https://docs.google.com/spreadsheets/d/1IYY_tgx_IHuhSq3AJ5eI5OnqOPBNLWSHKh2a30DoXe8/edit?usp=sharing"",""สุราษฎร์ธานี!J388"")"),0)</f>
        <v>0</v>
      </c>
      <c r="AQ90" s="562">
        <f ca="1">IFERROR(__xludf.DUMMYFUNCTION("IMPORTRANGE(""https://docs.google.com/spreadsheets/d/1IYY_tgx_IHuhSq3AJ5eI5OnqOPBNLWSHKh2a30DoXe8/edit?usp=sharing"",""สุราษฎร์ธานี!J389"")"),0)</f>
        <v>0</v>
      </c>
      <c r="AR90" s="562">
        <f ca="1">IFERROR(__xludf.DUMMYFUNCTION("IMPORTRANGE(""https://docs.google.com/spreadsheets/d/1IYY_tgx_IHuhSq3AJ5eI5OnqOPBNLWSHKh2a30DoXe8/edit?usp=sharing"",""สุราษฎร์ธานี!J390"")"),0)</f>
        <v>0</v>
      </c>
      <c r="AS90" s="562">
        <f ca="1">IFERROR(__xludf.DUMMYFUNCTION("IMPORTRANGE(""https://docs.google.com/spreadsheets/d/1IYY_tgx_IHuhSq3AJ5eI5OnqOPBNLWSHKh2a30DoXe8/edit?usp=sharing"",""สุราษฎร์ธานี!J391"")"),0)</f>
        <v>0</v>
      </c>
      <c r="AT90" s="566">
        <f ca="1">IFERROR(__xludf.DUMMYFUNCTION("IMPORTRANGE(""https://docs.google.com/spreadsheets/d/1C3CXT74ZlgGe6_JY_1olB1XN4rF0dxEuIIF-xsYjHgg/edit?usp=sharing"",""งบกองทุน!CD94"")"),6181)</f>
        <v>6181</v>
      </c>
      <c r="AU90" s="566">
        <f ca="1">IFERROR(__xludf.DUMMYFUNCTION("IMPORTRANGE(""https://docs.google.com/spreadsheets/d/1C3CXT74ZlgGe6_JY_1olB1XN4rF0dxEuIIF-xsYjHgg/edit?usp=sharing"",""งบกองทุน!CC94"")"),466)</f>
        <v>466</v>
      </c>
      <c r="AV90" s="566">
        <f t="shared" ca="1" si="135"/>
        <v>275</v>
      </c>
      <c r="AW90" s="566">
        <f t="shared" ca="1" si="12"/>
        <v>4.4491182656528068</v>
      </c>
      <c r="AX90" s="566">
        <f t="shared" ca="1" si="136"/>
        <v>18</v>
      </c>
      <c r="AY90" s="566">
        <f t="shared" ca="1" si="13"/>
        <v>3.8626609442060085</v>
      </c>
      <c r="AZ90" s="562">
        <f ca="1">IFERROR(__xludf.DUMMYFUNCTION("IMPORTRANGE(""https://docs.google.com/spreadsheets/d/1IYY_tgx_IHuhSq3AJ5eI5OnqOPBNLWSHKh2a30DoXe8/edit?usp=sharing"",""สุราษฎร์ธานี!J397"")"),275)</f>
        <v>275</v>
      </c>
      <c r="BA90" s="562">
        <f ca="1">IFERROR(__xludf.DUMMYFUNCTION("IMPORTRANGE(""https://docs.google.com/spreadsheets/d/1IYY_tgx_IHuhSq3AJ5eI5OnqOPBNLWSHKh2a30DoXe8/edit?usp=sharing"",""สุราษฎร์ธานี!J398"")"),18)</f>
        <v>18</v>
      </c>
      <c r="BB90" s="562">
        <f ca="1">IFERROR(__xludf.DUMMYFUNCTION("IMPORTRANGE(""https://docs.google.com/spreadsheets/d/1IYY_tgx_IHuhSq3AJ5eI5OnqOPBNLWSHKh2a30DoXe8/edit?usp=sharing"",""สุราษฎร์ธานี!J399"")"),0)</f>
        <v>0</v>
      </c>
      <c r="BC90" s="562">
        <f ca="1">IFERROR(__xludf.DUMMYFUNCTION("IMPORTRANGE(""https://docs.google.com/spreadsheets/d/1IYY_tgx_IHuhSq3AJ5eI5OnqOPBNLWSHKh2a30DoXe8/edit?usp=sharing"",""สุราษฎร์ธานี!J400"")"),0)</f>
        <v>0</v>
      </c>
      <c r="BD90" s="562">
        <f ca="1">IFERROR(__xludf.DUMMYFUNCTION("IMPORTRANGE(""https://docs.google.com/spreadsheets/d/1IYY_tgx_IHuhSq3AJ5eI5OnqOPBNLWSHKh2a30DoXe8/edit?usp=sharing"",""สุราษฎร์ธานี!J401"")"),0)</f>
        <v>0</v>
      </c>
      <c r="BE90" s="562">
        <f ca="1">IFERROR(__xludf.DUMMYFUNCTION("IMPORTRANGE(""https://docs.google.com/spreadsheets/d/1IYY_tgx_IHuhSq3AJ5eI5OnqOPBNLWSHKh2a30DoXe8/edit?usp=sharing"",""สุราษฎร์ธานี!J402"")"),0)</f>
        <v>0</v>
      </c>
      <c r="BF90" s="562">
        <f ca="1">IFERROR(__xludf.DUMMYFUNCTION("IMPORTRANGE(""https://docs.google.com/spreadsheets/d/1IYY_tgx_IHuhSq3AJ5eI5OnqOPBNLWSHKh2a30DoXe8/edit?usp=sharing"",""สุราษฎร์ธานี!J405"")"),0)</f>
        <v>0</v>
      </c>
      <c r="BG90" s="562">
        <f ca="1">IFERROR(__xludf.DUMMYFUNCTION("IMPORTRANGE(""https://docs.google.com/spreadsheets/d/1IYY_tgx_IHuhSq3AJ5eI5OnqOPBNLWSHKh2a30DoXe8/edit?usp=sharing"",""สุราษฎร์ธานี!J406"")"),0)</f>
        <v>0</v>
      </c>
      <c r="BH90" s="562">
        <f ca="1">IFERROR(__xludf.DUMMYFUNCTION("IMPORTRANGE(""https://docs.google.com/spreadsheets/d/1IYY_tgx_IHuhSq3AJ5eI5OnqOPBNLWSHKh2a30DoXe8/edit?usp=sharing"",""สุราษฎร์ธานี!J407"")"),0)</f>
        <v>0</v>
      </c>
      <c r="BI90" s="562">
        <f ca="1">IFERROR(__xludf.DUMMYFUNCTION("IMPORTRANGE(""https://docs.google.com/spreadsheets/d/1IYY_tgx_IHuhSq3AJ5eI5OnqOPBNLWSHKh2a30DoXe8/edit?usp=sharing"",""สุราษฎร์ธานี!J408"")"),0)</f>
        <v>0</v>
      </c>
      <c r="BJ90" s="562">
        <f ca="1">IFERROR(__xludf.DUMMYFUNCTION("IMPORTRANGE(""https://docs.google.com/spreadsheets/d/1IYY_tgx_IHuhSq3AJ5eI5OnqOPBNLWSHKh2a30DoXe8/edit?usp=sharing"",""สุราษฎร์ธานี!J409"")"),0)</f>
        <v>0</v>
      </c>
      <c r="BK90" s="562">
        <f ca="1">IFERROR(__xludf.DUMMYFUNCTION("IMPORTRANGE(""https://docs.google.com/spreadsheets/d/1IYY_tgx_IHuhSq3AJ5eI5OnqOPBNLWSHKh2a30DoXe8/edit?usp=sharing"",""สุราษฎร์ธานี!J410"")"),0)</f>
        <v>0</v>
      </c>
      <c r="BL90" s="566">
        <f ca="1">IFERROR(__xludf.DUMMYFUNCTION("IMPORTRANGE(""https://docs.google.com/spreadsheets/d/1C3CXT74ZlgGe6_JY_1olB1XN4rF0dxEuIIF-xsYjHgg/edit?usp=sharing"",""งบกองทุน!CZ94"")"),0)</f>
        <v>0</v>
      </c>
      <c r="BM90" s="566">
        <f ca="1">IFERROR(__xludf.DUMMYFUNCTION("IMPORTRANGE(""https://docs.google.com/spreadsheets/d/1C3CXT74ZlgGe6_JY_1olB1XN4rF0dxEuIIF-xsYjHgg/edit?usp=sharing"",""งบกองทุน!CY94"")"),0)</f>
        <v>0</v>
      </c>
      <c r="BN90" s="566">
        <f t="shared" ca="1" si="137"/>
        <v>0</v>
      </c>
      <c r="BO90" s="567">
        <f t="shared" ca="1" si="15"/>
        <v>0</v>
      </c>
      <c r="BP90" s="566">
        <f t="shared" ca="1" si="138"/>
        <v>0</v>
      </c>
      <c r="BQ90" s="567">
        <f t="shared" ca="1" si="16"/>
        <v>0</v>
      </c>
      <c r="BR90" s="562">
        <f ca="1">IFERROR(__xludf.DUMMYFUNCTION("IMPORTRANGE(""https://docs.google.com/spreadsheets/d/1IYY_tgx_IHuhSq3AJ5eI5OnqOPBNLWSHKh2a30DoXe8/edit?usp=sharing"",""สุราษฎร์ธานี!J414"")"),0)</f>
        <v>0</v>
      </c>
      <c r="BS90" s="562">
        <f ca="1">IFERROR(__xludf.DUMMYFUNCTION("IMPORTRANGE(""https://docs.google.com/spreadsheets/d/1IYY_tgx_IHuhSq3AJ5eI5OnqOPBNLWSHKh2a30DoXe8/edit?usp=sharing"",""สุราษฎร์ธานี!J415"")"),0)</f>
        <v>0</v>
      </c>
      <c r="BT90" s="562">
        <f ca="1">IFERROR(__xludf.DUMMYFUNCTION("IMPORTRANGE(""https://docs.google.com/spreadsheets/d/1IYY_tgx_IHuhSq3AJ5eI5OnqOPBNLWSHKh2a30DoXe8/edit?usp=sharing"",""สุราษฎร์ธานี!J416"")"),0)</f>
        <v>0</v>
      </c>
      <c r="BU90" s="562">
        <f ca="1">IFERROR(__xludf.DUMMYFUNCTION("IMPORTRANGE(""https://docs.google.com/spreadsheets/d/1IYY_tgx_IHuhSq3AJ5eI5OnqOPBNLWSHKh2a30DoXe8/edit?usp=sharing"",""สุราษฎร์ธานี!J417"")"),0)</f>
        <v>0</v>
      </c>
      <c r="BV90" s="562">
        <f ca="1">IFERROR(__xludf.DUMMYFUNCTION("IMPORTRANGE(""https://docs.google.com/spreadsheets/d/1IYY_tgx_IHuhSq3AJ5eI5OnqOPBNLWSHKh2a30DoXe8/edit?usp=sharing"",""สุราษฎร์ธานี!J418"")"),3)</f>
        <v>3</v>
      </c>
      <c r="BW90" s="562">
        <f ca="1">IFERROR(__xludf.DUMMYFUNCTION("IMPORTRANGE(""https://docs.google.com/spreadsheets/d/1IYY_tgx_IHuhSq3AJ5eI5OnqOPBNLWSHKh2a30DoXe8/edit?usp=sharing"",""สุราษฎร์ธานี!J419"")"),2)</f>
        <v>2</v>
      </c>
      <c r="BX90" s="566">
        <f t="shared" ca="1" si="139"/>
        <v>0</v>
      </c>
      <c r="BY90" s="567">
        <f t="shared" ca="1" si="140"/>
        <v>0</v>
      </c>
      <c r="BZ90" s="566">
        <f t="shared" ca="1" si="141"/>
        <v>0</v>
      </c>
      <c r="CA90" s="567">
        <f t="shared" ca="1" si="142"/>
        <v>0</v>
      </c>
      <c r="CB90" s="562">
        <f ca="1">IFERROR(__xludf.DUMMYFUNCTION("IMPORTRANGE(""https://docs.google.com/spreadsheets/d/1IYY_tgx_IHuhSq3AJ5eI5OnqOPBNLWSHKh2a30DoXe8/edit?usp=sharing"",""สุราษฎร์ธานี!J422"")"),0)</f>
        <v>0</v>
      </c>
      <c r="CC90" s="562">
        <f ca="1">IFERROR(__xludf.DUMMYFUNCTION("IMPORTRANGE(""https://docs.google.com/spreadsheets/d/1IYY_tgx_IHuhSq3AJ5eI5OnqOPBNLWSHKh2a30DoXe8/edit?usp=sharing"",""สุราษฎร์ธานี!J423"")"),0)</f>
        <v>0</v>
      </c>
      <c r="CD90" s="562">
        <f ca="1">IFERROR(__xludf.DUMMYFUNCTION("IMPORTRANGE(""https://docs.google.com/spreadsheets/d/1IYY_tgx_IHuhSq3AJ5eI5OnqOPBNLWSHKh2a30DoXe8/edit?usp=sharing"",""สุราษฎร์ธานี!J424"")"),0)</f>
        <v>0</v>
      </c>
      <c r="CE90" s="562">
        <f ca="1">IFERROR(__xludf.DUMMYFUNCTION("IMPORTRANGE(""https://docs.google.com/spreadsheets/d/1IYY_tgx_IHuhSq3AJ5eI5OnqOPBNLWSHKh2a30DoXe8/edit?usp=sharing"",""สุราษฎร์ธานี!J425"")"),0)</f>
        <v>0</v>
      </c>
      <c r="CF90" s="562">
        <f ca="1">IFERROR(__xludf.DUMMYFUNCTION("IMPORTRANGE(""https://docs.google.com/spreadsheets/d/1IYY_tgx_IHuhSq3AJ5eI5OnqOPBNLWSHKh2a30DoXe8/edit?usp=sharing"",""สุราษฎร์ธานี!J426"")"),0)</f>
        <v>0</v>
      </c>
      <c r="CG90" s="568">
        <f ca="1">IFERROR(__xludf.DUMMYFUNCTION("IMPORTRANGE(""https://docs.google.com/spreadsheets/d/1IYY_tgx_IHuhSq3AJ5eI5OnqOPBNLWSHKh2a30DoXe8/edit?usp=sharing"",""สุราษฎร์ธานี!J427"")"),0)</f>
        <v>0</v>
      </c>
    </row>
    <row r="91" spans="1:85" ht="21" hidden="1" customHeight="1">
      <c r="A91" s="846" t="s">
        <v>115</v>
      </c>
      <c r="B91" s="652"/>
      <c r="C91" s="526">
        <f t="shared" ref="C91:F91" ca="1" si="143">+C92+C93+C94+C95+C96+C97+C98+C99+C100+C101+C102+C103+C104+C105</f>
        <v>10618950</v>
      </c>
      <c r="D91" s="527">
        <f t="shared" ca="1" si="143"/>
        <v>0</v>
      </c>
      <c r="E91" s="527">
        <f t="shared" ca="1" si="143"/>
        <v>10618950</v>
      </c>
      <c r="F91" s="527">
        <f t="shared" si="143"/>
        <v>0</v>
      </c>
      <c r="G91" s="528">
        <f t="shared" ca="1" si="1"/>
        <v>0</v>
      </c>
      <c r="H91" s="527">
        <f t="shared" ref="H91:J91" ca="1" si="144">+H92+H93+H94+H95+H96+H97+H98+H99+H100+H101+H102+H103+H104+H105</f>
        <v>0</v>
      </c>
      <c r="I91" s="527">
        <f t="shared" ca="1" si="144"/>
        <v>0</v>
      </c>
      <c r="J91" s="527">
        <f t="shared" si="144"/>
        <v>0</v>
      </c>
      <c r="K91" s="528">
        <f t="shared" ca="1" si="3"/>
        <v>0</v>
      </c>
      <c r="L91" s="527">
        <f>+L92+L93+L94+L95+L96+L97+L98+L99+L100+L101+L102+L103+L104+L105</f>
        <v>0</v>
      </c>
      <c r="M91" s="528">
        <f t="shared" ca="1" si="4"/>
        <v>0</v>
      </c>
      <c r="N91" s="527">
        <f t="shared" ref="N91:T91" si="145">+N92+N93+N94+N95+N96+N97+N98+N99+N100+N101+N102+N103+N104+N105</f>
        <v>0</v>
      </c>
      <c r="O91" s="527">
        <f t="shared" si="145"/>
        <v>0</v>
      </c>
      <c r="P91" s="527">
        <f t="shared" si="145"/>
        <v>0</v>
      </c>
      <c r="Q91" s="527">
        <f t="shared" si="145"/>
        <v>0</v>
      </c>
      <c r="R91" s="527">
        <f t="shared" si="145"/>
        <v>0</v>
      </c>
      <c r="S91" s="527">
        <f t="shared" si="145"/>
        <v>0</v>
      </c>
      <c r="T91" s="527">
        <f t="shared" si="145"/>
        <v>0</v>
      </c>
      <c r="U91" s="527">
        <f t="shared" ca="1" si="6"/>
        <v>0</v>
      </c>
      <c r="V91" s="527">
        <f>+V92+V93+V94+V95+V96+V97+V98+V99+V100+V101+V102+V103+V104+V105</f>
        <v>0</v>
      </c>
      <c r="W91" s="527">
        <f t="shared" ca="1" si="7"/>
        <v>0</v>
      </c>
      <c r="X91" s="527">
        <f t="shared" ref="X91:AD91" si="146">+X92+X93+X94+X95+X96+X97+X98+X99+X100+X101+X102+X103+X104+X105</f>
        <v>0</v>
      </c>
      <c r="Y91" s="527">
        <f t="shared" si="146"/>
        <v>0</v>
      </c>
      <c r="Z91" s="527">
        <f t="shared" si="146"/>
        <v>0</v>
      </c>
      <c r="AA91" s="527">
        <f t="shared" si="146"/>
        <v>0</v>
      </c>
      <c r="AB91" s="527">
        <f t="shared" si="146"/>
        <v>0</v>
      </c>
      <c r="AC91" s="527">
        <f t="shared" si="146"/>
        <v>0</v>
      </c>
      <c r="AD91" s="527">
        <f t="shared" si="146"/>
        <v>0</v>
      </c>
      <c r="AE91" s="528">
        <f t="shared" ca="1" si="9"/>
        <v>0</v>
      </c>
      <c r="AF91" s="527">
        <f>+AF92+AF93+AF94+AF95+AF96+AF97+AF98+AF99+AF100+AF101+AF102+AF103+AF104+AF105</f>
        <v>0</v>
      </c>
      <c r="AG91" s="528">
        <f t="shared" ca="1" si="10"/>
        <v>0</v>
      </c>
      <c r="AH91" s="527">
        <f t="shared" ref="AH91:AV91" si="147">+AH92+AH93+AH94+AH95+AH96+AH97+AH98+AH99+AH100+AH101+AH102+AH103+AH104+AH105</f>
        <v>0</v>
      </c>
      <c r="AI91" s="527">
        <f t="shared" si="147"/>
        <v>0</v>
      </c>
      <c r="AJ91" s="527">
        <f t="shared" si="147"/>
        <v>0</v>
      </c>
      <c r="AK91" s="527">
        <f t="shared" si="147"/>
        <v>0</v>
      </c>
      <c r="AL91" s="527">
        <f t="shared" si="147"/>
        <v>0</v>
      </c>
      <c r="AM91" s="527">
        <f t="shared" si="147"/>
        <v>0</v>
      </c>
      <c r="AN91" s="527">
        <f t="shared" si="147"/>
        <v>0</v>
      </c>
      <c r="AO91" s="527">
        <f t="shared" si="147"/>
        <v>0</v>
      </c>
      <c r="AP91" s="527">
        <f t="shared" si="147"/>
        <v>0</v>
      </c>
      <c r="AQ91" s="527">
        <f t="shared" si="147"/>
        <v>0</v>
      </c>
      <c r="AR91" s="527">
        <f t="shared" si="147"/>
        <v>0</v>
      </c>
      <c r="AS91" s="527">
        <f t="shared" si="147"/>
        <v>0</v>
      </c>
      <c r="AT91" s="527">
        <f t="shared" ca="1" si="147"/>
        <v>0</v>
      </c>
      <c r="AU91" s="527">
        <f t="shared" ca="1" si="147"/>
        <v>0</v>
      </c>
      <c r="AV91" s="527">
        <f t="shared" si="147"/>
        <v>0</v>
      </c>
      <c r="AW91" s="527">
        <f t="shared" ca="1" si="12"/>
        <v>0</v>
      </c>
      <c r="AX91" s="527">
        <f>+AX92+AX93+AX94+AX95+AX96+AX97+AX98+AX99+AX100+AX101+AX102+AX103+AX104+AX105</f>
        <v>0</v>
      </c>
      <c r="AY91" s="527">
        <f t="shared" ca="1" si="13"/>
        <v>0</v>
      </c>
      <c r="AZ91" s="527">
        <f t="shared" ref="AZ91:BM91" si="148">+AZ92+AZ93+AZ94+AZ95+AZ96+AZ97+AZ98+AZ99+AZ100+AZ101+AZ102+AZ103+AZ104+AZ105</f>
        <v>0</v>
      </c>
      <c r="BA91" s="527">
        <f t="shared" si="148"/>
        <v>0</v>
      </c>
      <c r="BB91" s="527">
        <f t="shared" si="148"/>
        <v>0</v>
      </c>
      <c r="BC91" s="527">
        <f t="shared" si="148"/>
        <v>0</v>
      </c>
      <c r="BD91" s="527">
        <f t="shared" si="148"/>
        <v>0</v>
      </c>
      <c r="BE91" s="527">
        <f t="shared" si="148"/>
        <v>0</v>
      </c>
      <c r="BF91" s="527">
        <f t="shared" si="148"/>
        <v>0</v>
      </c>
      <c r="BG91" s="527">
        <f t="shared" si="148"/>
        <v>0</v>
      </c>
      <c r="BH91" s="527">
        <f t="shared" si="148"/>
        <v>0</v>
      </c>
      <c r="BI91" s="527">
        <f t="shared" si="148"/>
        <v>0</v>
      </c>
      <c r="BJ91" s="527">
        <f t="shared" si="148"/>
        <v>0</v>
      </c>
      <c r="BK91" s="527">
        <f t="shared" si="148"/>
        <v>0</v>
      </c>
      <c r="BL91" s="527">
        <f t="shared" ca="1" si="148"/>
        <v>2500000</v>
      </c>
      <c r="BM91" s="527">
        <f t="shared" ca="1" si="148"/>
        <v>0</v>
      </c>
      <c r="BN91" s="527">
        <f t="shared" ca="1" si="137"/>
        <v>2179872</v>
      </c>
      <c r="BO91" s="528">
        <f t="shared" ref="BO91:BP91" ca="1" si="149">+BO92+BO93+BO94+BO95+BO96+BO97+BO98+BO99+BO100+BO101+BO102+BO103+BO104+BO105</f>
        <v>87.194879999999998</v>
      </c>
      <c r="BP91" s="527">
        <f t="shared" ca="1" si="149"/>
        <v>219479</v>
      </c>
      <c r="BQ91" s="528">
        <f t="shared" ca="1" si="16"/>
        <v>0</v>
      </c>
      <c r="BR91" s="527">
        <f t="shared" ref="BR91:BY91" ca="1" si="150">+BR92+BR93+BR94+BR95+BR96+BR97+BR98+BR99+BR100+BR101+BR102+BR103+BR104+BR105</f>
        <v>2168699</v>
      </c>
      <c r="BS91" s="527">
        <f t="shared" ca="1" si="150"/>
        <v>218881</v>
      </c>
      <c r="BT91" s="527">
        <f t="shared" ca="1" si="150"/>
        <v>11173</v>
      </c>
      <c r="BU91" s="527">
        <f t="shared" ca="1" si="150"/>
        <v>598</v>
      </c>
      <c r="BV91" s="527">
        <f t="shared" si="150"/>
        <v>0</v>
      </c>
      <c r="BW91" s="527">
        <f t="shared" si="150"/>
        <v>0</v>
      </c>
      <c r="BX91" s="527">
        <f t="shared" si="150"/>
        <v>0</v>
      </c>
      <c r="BY91" s="528">
        <f t="shared" si="150"/>
        <v>0</v>
      </c>
      <c r="BZ91" s="527"/>
      <c r="CA91" s="528"/>
      <c r="CB91" s="527"/>
      <c r="CC91" s="527"/>
      <c r="CD91" s="527">
        <f t="shared" ref="CD91:CG91" si="151">+CD92+CD93+CD94+CD95+CD96+CD97+CD98+CD99+CD100+CD101+CD102+CD103+CD104+CD105</f>
        <v>0</v>
      </c>
      <c r="CE91" s="527">
        <f t="shared" si="151"/>
        <v>0</v>
      </c>
      <c r="CF91" s="527">
        <f t="shared" si="151"/>
        <v>0</v>
      </c>
      <c r="CG91" s="529">
        <f t="shared" si="151"/>
        <v>0</v>
      </c>
    </row>
    <row r="92" spans="1:85" ht="24" hidden="1" customHeight="1">
      <c r="A92" s="569">
        <v>1</v>
      </c>
      <c r="B92" s="570" t="s">
        <v>116</v>
      </c>
      <c r="C92" s="541">
        <f t="shared" ref="C92:C105" ca="1" si="152">+D92+E92</f>
        <v>0</v>
      </c>
      <c r="D92" s="542">
        <f ca="1">IFERROR(__xludf.DUMMYFUNCTION("IMPORTRANGE(""https://docs.google.com/spreadsheets/d/1C3CXT74ZlgGe6_JY_1olB1XN4rF0dxEuIIF-xsYjHgg/edit?usp=sharing"",""งบกองทุน!BC96"")"),0)</f>
        <v>0</v>
      </c>
      <c r="E92" s="542">
        <f ca="1">IFERROR(__xludf.DUMMYFUNCTION("IMPORTRANGE(""https://docs.google.com/spreadsheets/d/1C3CXT74ZlgGe6_JY_1olB1XN4rF0dxEuIIF-xsYjHgg/edit?usp=sharing"",""งบกองทุน!BD96"")"),0)</f>
        <v>0</v>
      </c>
      <c r="F92" s="544">
        <v>0</v>
      </c>
      <c r="G92" s="544">
        <f t="shared" ca="1" si="1"/>
        <v>0</v>
      </c>
      <c r="H92" s="542">
        <f ca="1">IFERROR(__xludf.DUMMYFUNCTION("IMPORTRANGE(""https://docs.google.com/spreadsheets/d/1C3CXT74ZlgGe6_JY_1olB1XN4rF0dxEuIIF-xsYjHgg/edit?usp=sharing"",""งบกองทุน!BE96"")"),0)</f>
        <v>0</v>
      </c>
      <c r="I92" s="542">
        <f ca="1">IFERROR(__xludf.DUMMYFUNCTION("IMPORTRANGE(""https://docs.google.com/spreadsheets/d/1C3CXT74ZlgGe6_JY_1olB1XN4rF0dxEuIIF-xsYjHgg/edit?usp=sharing"",""งบกองทุน!BF96"")"),0)</f>
        <v>0</v>
      </c>
      <c r="J92" s="542">
        <f t="shared" ref="J92:J105" si="153">SUM(N92,P92,R92)</f>
        <v>0</v>
      </c>
      <c r="K92" s="544">
        <f t="shared" ca="1" si="3"/>
        <v>0</v>
      </c>
      <c r="L92" s="542">
        <f t="shared" ref="L92:L105" si="154">SUM(O92,Q92,S92)</f>
        <v>0</v>
      </c>
      <c r="M92" s="544">
        <f t="shared" ca="1" si="4"/>
        <v>0</v>
      </c>
      <c r="N92" s="542">
        <v>0</v>
      </c>
      <c r="O92" s="542">
        <v>0</v>
      </c>
      <c r="P92" s="542">
        <v>0</v>
      </c>
      <c r="Q92" s="542">
        <v>0</v>
      </c>
      <c r="R92" s="542">
        <v>0</v>
      </c>
      <c r="S92" s="542">
        <v>0</v>
      </c>
      <c r="T92" s="542">
        <f t="shared" ref="T92:T105" si="155">SUM(X92,Z92,AB92)</f>
        <v>0</v>
      </c>
      <c r="U92" s="542">
        <f t="shared" ca="1" si="6"/>
        <v>0</v>
      </c>
      <c r="V92" s="542">
        <f t="shared" ref="V92:V105" si="156">SUM(Y92,AA92,AC92)</f>
        <v>0</v>
      </c>
      <c r="W92" s="542">
        <f t="shared" ca="1" si="7"/>
        <v>0</v>
      </c>
      <c r="X92" s="542">
        <v>0</v>
      </c>
      <c r="Y92" s="542">
        <v>0</v>
      </c>
      <c r="Z92" s="542">
        <v>0</v>
      </c>
      <c r="AA92" s="542">
        <v>0</v>
      </c>
      <c r="AB92" s="542">
        <v>0</v>
      </c>
      <c r="AC92" s="542">
        <v>0</v>
      </c>
      <c r="AD92" s="542">
        <f t="shared" ref="AD92:AD105" si="157">SUM(AH92,AJ92,AL92,AN92,AP92)</f>
        <v>0</v>
      </c>
      <c r="AE92" s="544">
        <f t="shared" ca="1" si="9"/>
        <v>0</v>
      </c>
      <c r="AF92" s="542">
        <f t="shared" ref="AF92:AF105" si="158">SUM(AI92,AK92,AM92,AO92,AQ92)</f>
        <v>0</v>
      </c>
      <c r="AG92" s="544">
        <f t="shared" ca="1" si="10"/>
        <v>0</v>
      </c>
      <c r="AH92" s="542">
        <v>0</v>
      </c>
      <c r="AI92" s="542">
        <v>0</v>
      </c>
      <c r="AJ92" s="542">
        <v>0</v>
      </c>
      <c r="AK92" s="542">
        <v>0</v>
      </c>
      <c r="AL92" s="542">
        <v>0</v>
      </c>
      <c r="AM92" s="542">
        <v>0</v>
      </c>
      <c r="AN92" s="542">
        <v>0</v>
      </c>
      <c r="AO92" s="542">
        <v>0</v>
      </c>
      <c r="AP92" s="542">
        <v>0</v>
      </c>
      <c r="AQ92" s="542">
        <v>0</v>
      </c>
      <c r="AR92" s="542">
        <v>0</v>
      </c>
      <c r="AS92" s="542">
        <v>0</v>
      </c>
      <c r="AT92" s="542">
        <f ca="1">IFERROR(__xludf.DUMMYFUNCTION("IMPORTRANGE(""https://docs.google.com/spreadsheets/d/1C3CXT74ZlgGe6_JY_1olB1XN4rF0dxEuIIF-xsYjHgg/edit?usp=sharing"",""งบกองทุน!CD96"")"),0)</f>
        <v>0</v>
      </c>
      <c r="AU92" s="542">
        <f ca="1">IFERROR(__xludf.DUMMYFUNCTION("IMPORTRANGE(""https://docs.google.com/spreadsheets/d/1C3CXT74ZlgGe6_JY_1olB1XN4rF0dxEuIIF-xsYjHgg/edit?usp=sharing"",""งบกองทุน!CC96"")"),0)</f>
        <v>0</v>
      </c>
      <c r="AV92" s="542">
        <f t="shared" ref="AV92:AV105" si="159">SUM(AZ92,BB92,BD92,BF92,BH92,BJ92)</f>
        <v>0</v>
      </c>
      <c r="AW92" s="542">
        <f t="shared" ca="1" si="12"/>
        <v>0</v>
      </c>
      <c r="AX92" s="542">
        <f t="shared" ref="AX92:AX105" si="160">SUM(BA92,BC92,BE92,BG92,BI92,BK92)</f>
        <v>0</v>
      </c>
      <c r="AY92" s="542">
        <f t="shared" ca="1" si="13"/>
        <v>0</v>
      </c>
      <c r="AZ92" s="542">
        <v>0</v>
      </c>
      <c r="BA92" s="542">
        <v>0</v>
      </c>
      <c r="BB92" s="542">
        <v>0</v>
      </c>
      <c r="BC92" s="542">
        <v>0</v>
      </c>
      <c r="BD92" s="542">
        <v>0</v>
      </c>
      <c r="BE92" s="542">
        <v>0</v>
      </c>
      <c r="BF92" s="542">
        <v>0</v>
      </c>
      <c r="BG92" s="542">
        <v>0</v>
      </c>
      <c r="BH92" s="542">
        <v>0</v>
      </c>
      <c r="BI92" s="542">
        <v>0</v>
      </c>
      <c r="BJ92" s="542">
        <v>0</v>
      </c>
      <c r="BK92" s="542">
        <v>0</v>
      </c>
      <c r="BL92" s="542">
        <f ca="1">IFERROR(__xludf.DUMMYFUNCTION("IMPORTRANGE(""https://docs.google.com/spreadsheets/d/1C3CXT74ZlgGe6_JY_1olB1XN4rF0dxEuIIF-xsYjHgg/edit?usp=sharing"",""งบกองทุน!CZ96"")"),0)</f>
        <v>0</v>
      </c>
      <c r="BM92" s="542">
        <f ca="1">IFERROR(__xludf.DUMMYFUNCTION("IMPORTRANGE(""https://docs.google.com/spreadsheets/d/1C3CXT74ZlgGe6_JY_1olB1XN4rF0dxEuIIF-xsYjHgg/edit?usp=sharing"",""งบกองทุน!CY96"")"),0)</f>
        <v>0</v>
      </c>
      <c r="BN92" s="542">
        <f t="shared" si="137"/>
        <v>0</v>
      </c>
      <c r="BO92" s="544">
        <f t="shared" ref="BO92:BO114" ca="1" si="161">IF(BL92&gt;0,BN92*100/BL92,0)</f>
        <v>0</v>
      </c>
      <c r="BP92" s="542">
        <f t="shared" ref="BP92:BP105" si="162">SUM(BS92,BU92)</f>
        <v>0</v>
      </c>
      <c r="BQ92" s="544">
        <f t="shared" ca="1" si="16"/>
        <v>0</v>
      </c>
      <c r="BR92" s="542">
        <v>0</v>
      </c>
      <c r="BS92" s="542">
        <v>0</v>
      </c>
      <c r="BT92" s="542">
        <v>0</v>
      </c>
      <c r="BU92" s="542">
        <v>0</v>
      </c>
      <c r="BV92" s="542">
        <v>0</v>
      </c>
      <c r="BW92" s="542">
        <v>0</v>
      </c>
      <c r="BX92" s="542">
        <f t="shared" ref="BX92:BX105" si="163">SUM(CB92,CD92,CF92)</f>
        <v>0</v>
      </c>
      <c r="BY92" s="544">
        <f t="shared" ref="BY92:BY105" si="164">IF(BV92&gt;0,BX92*100/BV92,0)</f>
        <v>0</v>
      </c>
      <c r="BZ92" s="542">
        <f t="shared" ref="BZ92:BZ105" si="165">SUM(CC92,CE92,CG92)</f>
        <v>0</v>
      </c>
      <c r="CA92" s="544">
        <f t="shared" ref="CA92:CA105" si="166">IF(BW92&gt;0,BZ92*100/BW92,0)</f>
        <v>0</v>
      </c>
      <c r="CB92" s="542">
        <v>0</v>
      </c>
      <c r="CC92" s="542">
        <v>0</v>
      </c>
      <c r="CD92" s="542">
        <v>0</v>
      </c>
      <c r="CE92" s="542">
        <v>0</v>
      </c>
      <c r="CF92" s="542">
        <v>0</v>
      </c>
      <c r="CG92" s="548">
        <v>0</v>
      </c>
    </row>
    <row r="93" spans="1:85" ht="24" hidden="1" customHeight="1">
      <c r="A93" s="571">
        <v>2</v>
      </c>
      <c r="B93" s="572" t="s">
        <v>117</v>
      </c>
      <c r="C93" s="551">
        <f t="shared" ca="1" si="152"/>
        <v>0</v>
      </c>
      <c r="D93" s="552">
        <f ca="1">IFERROR(__xludf.DUMMYFUNCTION("IMPORTRANGE(""https://docs.google.com/spreadsheets/d/1C3CXT74ZlgGe6_JY_1olB1XN4rF0dxEuIIF-xsYjHgg/edit?usp=sharing"",""งบกองทุน!BC97"")"),0)</f>
        <v>0</v>
      </c>
      <c r="E93" s="552">
        <f ca="1">IFERROR(__xludf.DUMMYFUNCTION("IMPORTRANGE(""https://docs.google.com/spreadsheets/d/1C3CXT74ZlgGe6_JY_1olB1XN4rF0dxEuIIF-xsYjHgg/edit?usp=sharing"",""งบกองทุน!BD97"")"),0)</f>
        <v>0</v>
      </c>
      <c r="F93" s="554">
        <v>0</v>
      </c>
      <c r="G93" s="554">
        <f t="shared" ca="1" si="1"/>
        <v>0</v>
      </c>
      <c r="H93" s="552">
        <f ca="1">IFERROR(__xludf.DUMMYFUNCTION("IMPORTRANGE(""https://docs.google.com/spreadsheets/d/1C3CXT74ZlgGe6_JY_1olB1XN4rF0dxEuIIF-xsYjHgg/edit?usp=sharing"",""งบกองทุน!BE97"")"),0)</f>
        <v>0</v>
      </c>
      <c r="I93" s="552">
        <f ca="1">IFERROR(__xludf.DUMMYFUNCTION("IMPORTRANGE(""https://docs.google.com/spreadsheets/d/1C3CXT74ZlgGe6_JY_1olB1XN4rF0dxEuIIF-xsYjHgg/edit?usp=sharing"",""งบกองทุน!BF97"")"),0)</f>
        <v>0</v>
      </c>
      <c r="J93" s="552">
        <f t="shared" si="153"/>
        <v>0</v>
      </c>
      <c r="K93" s="554">
        <f t="shared" ca="1" si="3"/>
        <v>0</v>
      </c>
      <c r="L93" s="552">
        <f t="shared" si="154"/>
        <v>0</v>
      </c>
      <c r="M93" s="554">
        <f t="shared" ca="1" si="4"/>
        <v>0</v>
      </c>
      <c r="N93" s="552">
        <v>0</v>
      </c>
      <c r="O93" s="552">
        <v>0</v>
      </c>
      <c r="P93" s="552">
        <v>0</v>
      </c>
      <c r="Q93" s="552">
        <v>0</v>
      </c>
      <c r="R93" s="552">
        <v>0</v>
      </c>
      <c r="S93" s="552">
        <v>0</v>
      </c>
      <c r="T93" s="552">
        <f t="shared" si="155"/>
        <v>0</v>
      </c>
      <c r="U93" s="552">
        <f t="shared" ca="1" si="6"/>
        <v>0</v>
      </c>
      <c r="V93" s="552">
        <f t="shared" si="156"/>
        <v>0</v>
      </c>
      <c r="W93" s="552">
        <f t="shared" ca="1" si="7"/>
        <v>0</v>
      </c>
      <c r="X93" s="552">
        <v>0</v>
      </c>
      <c r="Y93" s="552">
        <v>0</v>
      </c>
      <c r="Z93" s="552">
        <v>0</v>
      </c>
      <c r="AA93" s="552">
        <v>0</v>
      </c>
      <c r="AB93" s="552">
        <v>0</v>
      </c>
      <c r="AC93" s="552">
        <v>0</v>
      </c>
      <c r="AD93" s="552">
        <f t="shared" si="157"/>
        <v>0</v>
      </c>
      <c r="AE93" s="554">
        <f t="shared" ca="1" si="9"/>
        <v>0</v>
      </c>
      <c r="AF93" s="552">
        <f t="shared" si="158"/>
        <v>0</v>
      </c>
      <c r="AG93" s="554">
        <f t="shared" ca="1" si="10"/>
        <v>0</v>
      </c>
      <c r="AH93" s="552">
        <v>0</v>
      </c>
      <c r="AI93" s="552">
        <v>0</v>
      </c>
      <c r="AJ93" s="552">
        <v>0</v>
      </c>
      <c r="AK93" s="552">
        <v>0</v>
      </c>
      <c r="AL93" s="552">
        <v>0</v>
      </c>
      <c r="AM93" s="552">
        <v>0</v>
      </c>
      <c r="AN93" s="552">
        <v>0</v>
      </c>
      <c r="AO93" s="552">
        <v>0</v>
      </c>
      <c r="AP93" s="552">
        <v>0</v>
      </c>
      <c r="AQ93" s="552">
        <v>0</v>
      </c>
      <c r="AR93" s="552">
        <v>0</v>
      </c>
      <c r="AS93" s="552">
        <v>0</v>
      </c>
      <c r="AT93" s="552">
        <f ca="1">IFERROR(__xludf.DUMMYFUNCTION("IMPORTRANGE(""https://docs.google.com/spreadsheets/d/1C3CXT74ZlgGe6_JY_1olB1XN4rF0dxEuIIF-xsYjHgg/edit?usp=sharing"",""งบกองทุน!CD97"")"),0)</f>
        <v>0</v>
      </c>
      <c r="AU93" s="552">
        <f ca="1">IFERROR(__xludf.DUMMYFUNCTION("IMPORTRANGE(""https://docs.google.com/spreadsheets/d/1C3CXT74ZlgGe6_JY_1olB1XN4rF0dxEuIIF-xsYjHgg/edit?usp=sharing"",""งบกองทุน!CC97"")"),0)</f>
        <v>0</v>
      </c>
      <c r="AV93" s="552">
        <f t="shared" si="159"/>
        <v>0</v>
      </c>
      <c r="AW93" s="552">
        <f t="shared" ca="1" si="12"/>
        <v>0</v>
      </c>
      <c r="AX93" s="552">
        <f t="shared" si="160"/>
        <v>0</v>
      </c>
      <c r="AY93" s="552">
        <f t="shared" ca="1" si="13"/>
        <v>0</v>
      </c>
      <c r="AZ93" s="552">
        <v>0</v>
      </c>
      <c r="BA93" s="552">
        <v>0</v>
      </c>
      <c r="BB93" s="552">
        <v>0</v>
      </c>
      <c r="BC93" s="552">
        <v>0</v>
      </c>
      <c r="BD93" s="552">
        <v>0</v>
      </c>
      <c r="BE93" s="552">
        <v>0</v>
      </c>
      <c r="BF93" s="552">
        <v>0</v>
      </c>
      <c r="BG93" s="552">
        <v>0</v>
      </c>
      <c r="BH93" s="552">
        <v>0</v>
      </c>
      <c r="BI93" s="552">
        <v>0</v>
      </c>
      <c r="BJ93" s="552">
        <v>0</v>
      </c>
      <c r="BK93" s="552">
        <v>0</v>
      </c>
      <c r="BL93" s="552">
        <f ca="1">IFERROR(__xludf.DUMMYFUNCTION("IMPORTRANGE(""https://docs.google.com/spreadsheets/d/1C3CXT74ZlgGe6_JY_1olB1XN4rF0dxEuIIF-xsYjHgg/edit?usp=sharing"",""งบกองทุน!CZ97"")"),0)</f>
        <v>0</v>
      </c>
      <c r="BM93" s="552">
        <f ca="1">IFERROR(__xludf.DUMMYFUNCTION("IMPORTRANGE(""https://docs.google.com/spreadsheets/d/1C3CXT74ZlgGe6_JY_1olB1XN4rF0dxEuIIF-xsYjHgg/edit?usp=sharing"",""งบกองทุน!CY97"")"),0)</f>
        <v>0</v>
      </c>
      <c r="BN93" s="552">
        <f t="shared" si="137"/>
        <v>0</v>
      </c>
      <c r="BO93" s="554">
        <f t="shared" ca="1" si="161"/>
        <v>0</v>
      </c>
      <c r="BP93" s="552">
        <f t="shared" si="162"/>
        <v>0</v>
      </c>
      <c r="BQ93" s="554">
        <f t="shared" ca="1" si="16"/>
        <v>0</v>
      </c>
      <c r="BR93" s="552">
        <v>0</v>
      </c>
      <c r="BS93" s="552">
        <v>0</v>
      </c>
      <c r="BT93" s="552">
        <v>0</v>
      </c>
      <c r="BU93" s="552">
        <v>0</v>
      </c>
      <c r="BV93" s="552">
        <v>0</v>
      </c>
      <c r="BW93" s="552">
        <v>0</v>
      </c>
      <c r="BX93" s="552">
        <f t="shared" si="163"/>
        <v>0</v>
      </c>
      <c r="BY93" s="554">
        <f t="shared" si="164"/>
        <v>0</v>
      </c>
      <c r="BZ93" s="552">
        <f t="shared" si="165"/>
        <v>0</v>
      </c>
      <c r="CA93" s="554">
        <f t="shared" si="166"/>
        <v>0</v>
      </c>
      <c r="CB93" s="552">
        <v>0</v>
      </c>
      <c r="CC93" s="552">
        <v>0</v>
      </c>
      <c r="CD93" s="552">
        <v>0</v>
      </c>
      <c r="CE93" s="552">
        <v>0</v>
      </c>
      <c r="CF93" s="552">
        <v>0</v>
      </c>
      <c r="CG93" s="558">
        <v>0</v>
      </c>
    </row>
    <row r="94" spans="1:85" ht="24" hidden="1" customHeight="1">
      <c r="A94" s="571">
        <v>3</v>
      </c>
      <c r="B94" s="572" t="s">
        <v>118</v>
      </c>
      <c r="C94" s="551">
        <f t="shared" ca="1" si="152"/>
        <v>0</v>
      </c>
      <c r="D94" s="552">
        <f ca="1">IFERROR(__xludf.DUMMYFUNCTION("IMPORTRANGE(""https://docs.google.com/spreadsheets/d/1C3CXT74ZlgGe6_JY_1olB1XN4rF0dxEuIIF-xsYjHgg/edit?usp=sharing"",""งบกองทุน!BC98"")"),0)</f>
        <v>0</v>
      </c>
      <c r="E94" s="552">
        <f ca="1">IFERROR(__xludf.DUMMYFUNCTION("IMPORTRANGE(""https://docs.google.com/spreadsheets/d/1C3CXT74ZlgGe6_JY_1olB1XN4rF0dxEuIIF-xsYjHgg/edit?usp=sharing"",""งบกองทุน!BD98"")"),0)</f>
        <v>0</v>
      </c>
      <c r="F94" s="554">
        <v>0</v>
      </c>
      <c r="G94" s="554">
        <f t="shared" ca="1" si="1"/>
        <v>0</v>
      </c>
      <c r="H94" s="552">
        <f ca="1">IFERROR(__xludf.DUMMYFUNCTION("IMPORTRANGE(""https://docs.google.com/spreadsheets/d/1C3CXT74ZlgGe6_JY_1olB1XN4rF0dxEuIIF-xsYjHgg/edit?usp=sharing"",""งบกองทุน!BE98"")"),0)</f>
        <v>0</v>
      </c>
      <c r="I94" s="552">
        <f ca="1">IFERROR(__xludf.DUMMYFUNCTION("IMPORTRANGE(""https://docs.google.com/spreadsheets/d/1C3CXT74ZlgGe6_JY_1olB1XN4rF0dxEuIIF-xsYjHgg/edit?usp=sharing"",""งบกองทุน!BF98"")"),0)</f>
        <v>0</v>
      </c>
      <c r="J94" s="552">
        <f t="shared" si="153"/>
        <v>0</v>
      </c>
      <c r="K94" s="554">
        <f t="shared" ca="1" si="3"/>
        <v>0</v>
      </c>
      <c r="L94" s="552">
        <f t="shared" si="154"/>
        <v>0</v>
      </c>
      <c r="M94" s="554">
        <f t="shared" ca="1" si="4"/>
        <v>0</v>
      </c>
      <c r="N94" s="552">
        <v>0</v>
      </c>
      <c r="O94" s="552">
        <v>0</v>
      </c>
      <c r="P94" s="552">
        <v>0</v>
      </c>
      <c r="Q94" s="552">
        <v>0</v>
      </c>
      <c r="R94" s="552">
        <v>0</v>
      </c>
      <c r="S94" s="552">
        <v>0</v>
      </c>
      <c r="T94" s="552">
        <f t="shared" si="155"/>
        <v>0</v>
      </c>
      <c r="U94" s="552">
        <f t="shared" ca="1" si="6"/>
        <v>0</v>
      </c>
      <c r="V94" s="552">
        <f t="shared" si="156"/>
        <v>0</v>
      </c>
      <c r="W94" s="552">
        <f t="shared" ca="1" si="7"/>
        <v>0</v>
      </c>
      <c r="X94" s="552">
        <v>0</v>
      </c>
      <c r="Y94" s="552">
        <v>0</v>
      </c>
      <c r="Z94" s="552">
        <v>0</v>
      </c>
      <c r="AA94" s="552">
        <v>0</v>
      </c>
      <c r="AB94" s="552">
        <v>0</v>
      </c>
      <c r="AC94" s="552">
        <v>0</v>
      </c>
      <c r="AD94" s="552">
        <f t="shared" si="157"/>
        <v>0</v>
      </c>
      <c r="AE94" s="554">
        <f t="shared" ca="1" si="9"/>
        <v>0</v>
      </c>
      <c r="AF94" s="552">
        <f t="shared" si="158"/>
        <v>0</v>
      </c>
      <c r="AG94" s="554">
        <f t="shared" ca="1" si="10"/>
        <v>0</v>
      </c>
      <c r="AH94" s="552">
        <v>0</v>
      </c>
      <c r="AI94" s="552">
        <v>0</v>
      </c>
      <c r="AJ94" s="552">
        <v>0</v>
      </c>
      <c r="AK94" s="552">
        <v>0</v>
      </c>
      <c r="AL94" s="552">
        <v>0</v>
      </c>
      <c r="AM94" s="552">
        <v>0</v>
      </c>
      <c r="AN94" s="552">
        <v>0</v>
      </c>
      <c r="AO94" s="552">
        <v>0</v>
      </c>
      <c r="AP94" s="552">
        <v>0</v>
      </c>
      <c r="AQ94" s="552">
        <v>0</v>
      </c>
      <c r="AR94" s="552">
        <v>0</v>
      </c>
      <c r="AS94" s="552">
        <v>0</v>
      </c>
      <c r="AT94" s="552">
        <f ca="1">IFERROR(__xludf.DUMMYFUNCTION("IMPORTRANGE(""https://docs.google.com/spreadsheets/d/1C3CXT74ZlgGe6_JY_1olB1XN4rF0dxEuIIF-xsYjHgg/edit?usp=sharing"",""งบกองทุน!CD98"")"),0)</f>
        <v>0</v>
      </c>
      <c r="AU94" s="552">
        <f ca="1">IFERROR(__xludf.DUMMYFUNCTION("IMPORTRANGE(""https://docs.google.com/spreadsheets/d/1C3CXT74ZlgGe6_JY_1olB1XN4rF0dxEuIIF-xsYjHgg/edit?usp=sharing"",""งบกองทุน!CC98"")"),0)</f>
        <v>0</v>
      </c>
      <c r="AV94" s="552">
        <f t="shared" si="159"/>
        <v>0</v>
      </c>
      <c r="AW94" s="552">
        <f t="shared" ca="1" si="12"/>
        <v>0</v>
      </c>
      <c r="AX94" s="552">
        <f t="shared" si="160"/>
        <v>0</v>
      </c>
      <c r="AY94" s="552">
        <f t="shared" ca="1" si="13"/>
        <v>0</v>
      </c>
      <c r="AZ94" s="552">
        <v>0</v>
      </c>
      <c r="BA94" s="552">
        <v>0</v>
      </c>
      <c r="BB94" s="552">
        <v>0</v>
      </c>
      <c r="BC94" s="552">
        <v>0</v>
      </c>
      <c r="BD94" s="552">
        <v>0</v>
      </c>
      <c r="BE94" s="552">
        <v>0</v>
      </c>
      <c r="BF94" s="552">
        <v>0</v>
      </c>
      <c r="BG94" s="552">
        <v>0</v>
      </c>
      <c r="BH94" s="552">
        <v>0</v>
      </c>
      <c r="BI94" s="552">
        <v>0</v>
      </c>
      <c r="BJ94" s="552">
        <v>0</v>
      </c>
      <c r="BK94" s="552">
        <v>0</v>
      </c>
      <c r="BL94" s="552">
        <f ca="1">IFERROR(__xludf.DUMMYFUNCTION("IMPORTRANGE(""https://docs.google.com/spreadsheets/d/1C3CXT74ZlgGe6_JY_1olB1XN4rF0dxEuIIF-xsYjHgg/edit?usp=sharing"",""งบกองทุน!CZ98"")"),0)</f>
        <v>0</v>
      </c>
      <c r="BM94" s="552">
        <f ca="1">IFERROR(__xludf.DUMMYFUNCTION("IMPORTRANGE(""https://docs.google.com/spreadsheets/d/1C3CXT74ZlgGe6_JY_1olB1XN4rF0dxEuIIF-xsYjHgg/edit?usp=sharing"",""งบกองทุน!CY98"")"),0)</f>
        <v>0</v>
      </c>
      <c r="BN94" s="552">
        <f t="shared" si="137"/>
        <v>0</v>
      </c>
      <c r="BO94" s="554">
        <f t="shared" ca="1" si="161"/>
        <v>0</v>
      </c>
      <c r="BP94" s="552">
        <f t="shared" si="162"/>
        <v>0</v>
      </c>
      <c r="BQ94" s="554">
        <f t="shared" ca="1" si="16"/>
        <v>0</v>
      </c>
      <c r="BR94" s="552">
        <v>0</v>
      </c>
      <c r="BS94" s="552">
        <v>0</v>
      </c>
      <c r="BT94" s="552">
        <v>0</v>
      </c>
      <c r="BU94" s="552">
        <v>0</v>
      </c>
      <c r="BV94" s="552">
        <v>0</v>
      </c>
      <c r="BW94" s="552">
        <v>0</v>
      </c>
      <c r="BX94" s="552">
        <f t="shared" si="163"/>
        <v>0</v>
      </c>
      <c r="BY94" s="554">
        <f t="shared" si="164"/>
        <v>0</v>
      </c>
      <c r="BZ94" s="552">
        <f t="shared" si="165"/>
        <v>0</v>
      </c>
      <c r="CA94" s="554">
        <f t="shared" si="166"/>
        <v>0</v>
      </c>
      <c r="CB94" s="552">
        <v>0</v>
      </c>
      <c r="CC94" s="552">
        <v>0</v>
      </c>
      <c r="CD94" s="552">
        <v>0</v>
      </c>
      <c r="CE94" s="552">
        <v>0</v>
      </c>
      <c r="CF94" s="552">
        <v>0</v>
      </c>
      <c r="CG94" s="558">
        <v>0</v>
      </c>
    </row>
    <row r="95" spans="1:85" ht="24" hidden="1" customHeight="1">
      <c r="A95" s="571">
        <f t="shared" ref="A95:A105" si="167">+A94+1</f>
        <v>4</v>
      </c>
      <c r="B95" s="572" t="s">
        <v>119</v>
      </c>
      <c r="C95" s="551">
        <f t="shared" ca="1" si="152"/>
        <v>0</v>
      </c>
      <c r="D95" s="552">
        <f ca="1">IFERROR(__xludf.DUMMYFUNCTION("IMPORTRANGE(""https://docs.google.com/spreadsheets/d/1C3CXT74ZlgGe6_JY_1olB1XN4rF0dxEuIIF-xsYjHgg/edit?usp=sharing"",""งบกองทุน!BC99"")"),0)</f>
        <v>0</v>
      </c>
      <c r="E95" s="552">
        <f ca="1">IFERROR(__xludf.DUMMYFUNCTION("IMPORTRANGE(""https://docs.google.com/spreadsheets/d/1C3CXT74ZlgGe6_JY_1olB1XN4rF0dxEuIIF-xsYjHgg/edit?usp=sharing"",""งบกองทุน!BD99"")"),0)</f>
        <v>0</v>
      </c>
      <c r="F95" s="554">
        <v>0</v>
      </c>
      <c r="G95" s="554">
        <f t="shared" ca="1" si="1"/>
        <v>0</v>
      </c>
      <c r="H95" s="552">
        <f ca="1">IFERROR(__xludf.DUMMYFUNCTION("IMPORTRANGE(""https://docs.google.com/spreadsheets/d/1C3CXT74ZlgGe6_JY_1olB1XN4rF0dxEuIIF-xsYjHgg/edit?usp=sharing"",""งบกองทุน!BE99"")"),0)</f>
        <v>0</v>
      </c>
      <c r="I95" s="552">
        <f ca="1">IFERROR(__xludf.DUMMYFUNCTION("IMPORTRANGE(""https://docs.google.com/spreadsheets/d/1C3CXT74ZlgGe6_JY_1olB1XN4rF0dxEuIIF-xsYjHgg/edit?usp=sharing"",""งบกองทุน!BF99"")"),0)</f>
        <v>0</v>
      </c>
      <c r="J95" s="552">
        <f t="shared" si="153"/>
        <v>0</v>
      </c>
      <c r="K95" s="554">
        <f t="shared" ca="1" si="3"/>
        <v>0</v>
      </c>
      <c r="L95" s="552">
        <f t="shared" si="154"/>
        <v>0</v>
      </c>
      <c r="M95" s="554">
        <f t="shared" ca="1" si="4"/>
        <v>0</v>
      </c>
      <c r="N95" s="552">
        <v>0</v>
      </c>
      <c r="O95" s="552">
        <v>0</v>
      </c>
      <c r="P95" s="552">
        <v>0</v>
      </c>
      <c r="Q95" s="552">
        <v>0</v>
      </c>
      <c r="R95" s="552">
        <v>0</v>
      </c>
      <c r="S95" s="552">
        <v>0</v>
      </c>
      <c r="T95" s="552">
        <f t="shared" si="155"/>
        <v>0</v>
      </c>
      <c r="U95" s="552">
        <f t="shared" ca="1" si="6"/>
        <v>0</v>
      </c>
      <c r="V95" s="552">
        <f t="shared" si="156"/>
        <v>0</v>
      </c>
      <c r="W95" s="552">
        <f t="shared" ca="1" si="7"/>
        <v>0</v>
      </c>
      <c r="X95" s="552">
        <v>0</v>
      </c>
      <c r="Y95" s="552">
        <v>0</v>
      </c>
      <c r="Z95" s="552">
        <v>0</v>
      </c>
      <c r="AA95" s="552">
        <v>0</v>
      </c>
      <c r="AB95" s="552">
        <v>0</v>
      </c>
      <c r="AC95" s="552">
        <v>0</v>
      </c>
      <c r="AD95" s="552">
        <f t="shared" si="157"/>
        <v>0</v>
      </c>
      <c r="AE95" s="554">
        <f t="shared" ca="1" si="9"/>
        <v>0</v>
      </c>
      <c r="AF95" s="552">
        <f t="shared" si="158"/>
        <v>0</v>
      </c>
      <c r="AG95" s="554">
        <f t="shared" ca="1" si="10"/>
        <v>0</v>
      </c>
      <c r="AH95" s="552">
        <v>0</v>
      </c>
      <c r="AI95" s="552">
        <v>0</v>
      </c>
      <c r="AJ95" s="552">
        <v>0</v>
      </c>
      <c r="AK95" s="552">
        <v>0</v>
      </c>
      <c r="AL95" s="552">
        <v>0</v>
      </c>
      <c r="AM95" s="552">
        <v>0</v>
      </c>
      <c r="AN95" s="552">
        <v>0</v>
      </c>
      <c r="AO95" s="552">
        <v>0</v>
      </c>
      <c r="AP95" s="552">
        <v>0</v>
      </c>
      <c r="AQ95" s="552">
        <v>0</v>
      </c>
      <c r="AR95" s="552">
        <v>0</v>
      </c>
      <c r="AS95" s="552">
        <v>0</v>
      </c>
      <c r="AT95" s="552">
        <f ca="1">IFERROR(__xludf.DUMMYFUNCTION("IMPORTRANGE(""https://docs.google.com/spreadsheets/d/1C3CXT74ZlgGe6_JY_1olB1XN4rF0dxEuIIF-xsYjHgg/edit?usp=sharing"",""งบกองทุน!CD99"")"),0)</f>
        <v>0</v>
      </c>
      <c r="AU95" s="552">
        <f ca="1">IFERROR(__xludf.DUMMYFUNCTION("IMPORTRANGE(""https://docs.google.com/spreadsheets/d/1C3CXT74ZlgGe6_JY_1olB1XN4rF0dxEuIIF-xsYjHgg/edit?usp=sharing"",""งบกองทุน!CC99"")"),0)</f>
        <v>0</v>
      </c>
      <c r="AV95" s="552">
        <f t="shared" si="159"/>
        <v>0</v>
      </c>
      <c r="AW95" s="552">
        <f t="shared" ca="1" si="12"/>
        <v>0</v>
      </c>
      <c r="AX95" s="552">
        <f t="shared" si="160"/>
        <v>0</v>
      </c>
      <c r="AY95" s="552">
        <f t="shared" ca="1" si="13"/>
        <v>0</v>
      </c>
      <c r="AZ95" s="552">
        <v>0</v>
      </c>
      <c r="BA95" s="552">
        <v>0</v>
      </c>
      <c r="BB95" s="552">
        <v>0</v>
      </c>
      <c r="BC95" s="552">
        <v>0</v>
      </c>
      <c r="BD95" s="552">
        <v>0</v>
      </c>
      <c r="BE95" s="552">
        <v>0</v>
      </c>
      <c r="BF95" s="552">
        <v>0</v>
      </c>
      <c r="BG95" s="552">
        <v>0</v>
      </c>
      <c r="BH95" s="552">
        <v>0</v>
      </c>
      <c r="BI95" s="552">
        <v>0</v>
      </c>
      <c r="BJ95" s="552">
        <v>0</v>
      </c>
      <c r="BK95" s="552">
        <v>0</v>
      </c>
      <c r="BL95" s="552">
        <f ca="1">IFERROR(__xludf.DUMMYFUNCTION("IMPORTRANGE(""https://docs.google.com/spreadsheets/d/1C3CXT74ZlgGe6_JY_1olB1XN4rF0dxEuIIF-xsYjHgg/edit?usp=sharing"",""งบกองทุน!CZ99"")"),0)</f>
        <v>0</v>
      </c>
      <c r="BM95" s="552">
        <f ca="1">IFERROR(__xludf.DUMMYFUNCTION("IMPORTRANGE(""https://docs.google.com/spreadsheets/d/1C3CXT74ZlgGe6_JY_1olB1XN4rF0dxEuIIF-xsYjHgg/edit?usp=sharing"",""งบกองทุน!CY99"")"),0)</f>
        <v>0</v>
      </c>
      <c r="BN95" s="552">
        <f t="shared" si="137"/>
        <v>0</v>
      </c>
      <c r="BO95" s="554">
        <f t="shared" ca="1" si="161"/>
        <v>0</v>
      </c>
      <c r="BP95" s="552">
        <f t="shared" si="162"/>
        <v>0</v>
      </c>
      <c r="BQ95" s="554">
        <f t="shared" ca="1" si="16"/>
        <v>0</v>
      </c>
      <c r="BR95" s="552">
        <v>0</v>
      </c>
      <c r="BS95" s="552">
        <v>0</v>
      </c>
      <c r="BT95" s="552">
        <v>0</v>
      </c>
      <c r="BU95" s="552">
        <v>0</v>
      </c>
      <c r="BV95" s="552">
        <v>0</v>
      </c>
      <c r="BW95" s="552">
        <v>0</v>
      </c>
      <c r="BX95" s="552">
        <f t="shared" si="163"/>
        <v>0</v>
      </c>
      <c r="BY95" s="554">
        <f t="shared" si="164"/>
        <v>0</v>
      </c>
      <c r="BZ95" s="552">
        <f t="shared" si="165"/>
        <v>0</v>
      </c>
      <c r="CA95" s="554">
        <f t="shared" si="166"/>
        <v>0</v>
      </c>
      <c r="CB95" s="552">
        <v>0</v>
      </c>
      <c r="CC95" s="552">
        <v>0</v>
      </c>
      <c r="CD95" s="552">
        <v>0</v>
      </c>
      <c r="CE95" s="552">
        <v>0</v>
      </c>
      <c r="CF95" s="552">
        <v>0</v>
      </c>
      <c r="CG95" s="558">
        <v>0</v>
      </c>
    </row>
    <row r="96" spans="1:85" ht="24" hidden="1" customHeight="1">
      <c r="A96" s="571">
        <f t="shared" si="167"/>
        <v>5</v>
      </c>
      <c r="B96" s="572" t="s">
        <v>120</v>
      </c>
      <c r="C96" s="551">
        <f t="shared" ca="1" si="152"/>
        <v>0</v>
      </c>
      <c r="D96" s="552">
        <f ca="1">IFERROR(__xludf.DUMMYFUNCTION("IMPORTRANGE(""https://docs.google.com/spreadsheets/d/1C3CXT74ZlgGe6_JY_1olB1XN4rF0dxEuIIF-xsYjHgg/edit?usp=sharing"",""งบกองทุน!BC100"")"),0)</f>
        <v>0</v>
      </c>
      <c r="E96" s="552">
        <f ca="1">IFERROR(__xludf.DUMMYFUNCTION("IMPORTRANGE(""https://docs.google.com/spreadsheets/d/1C3CXT74ZlgGe6_JY_1olB1XN4rF0dxEuIIF-xsYjHgg/edit?usp=sharing"",""งบกองทุน!BD100"")"),0)</f>
        <v>0</v>
      </c>
      <c r="F96" s="554">
        <v>0</v>
      </c>
      <c r="G96" s="554">
        <f t="shared" ca="1" si="1"/>
        <v>0</v>
      </c>
      <c r="H96" s="552">
        <f ca="1">IFERROR(__xludf.DUMMYFUNCTION("IMPORTRANGE(""https://docs.google.com/spreadsheets/d/1C3CXT74ZlgGe6_JY_1olB1XN4rF0dxEuIIF-xsYjHgg/edit?usp=sharing"",""งบกองทุน!BE100"")"),0)</f>
        <v>0</v>
      </c>
      <c r="I96" s="552">
        <f ca="1">IFERROR(__xludf.DUMMYFUNCTION("IMPORTRANGE(""https://docs.google.com/spreadsheets/d/1C3CXT74ZlgGe6_JY_1olB1XN4rF0dxEuIIF-xsYjHgg/edit?usp=sharing"",""งบกองทุน!BF100"")"),0)</f>
        <v>0</v>
      </c>
      <c r="J96" s="552">
        <f t="shared" si="153"/>
        <v>0</v>
      </c>
      <c r="K96" s="554">
        <f t="shared" ca="1" si="3"/>
        <v>0</v>
      </c>
      <c r="L96" s="552">
        <f t="shared" si="154"/>
        <v>0</v>
      </c>
      <c r="M96" s="554">
        <f t="shared" ca="1" si="4"/>
        <v>0</v>
      </c>
      <c r="N96" s="552">
        <v>0</v>
      </c>
      <c r="O96" s="552">
        <v>0</v>
      </c>
      <c r="P96" s="552">
        <v>0</v>
      </c>
      <c r="Q96" s="552">
        <v>0</v>
      </c>
      <c r="R96" s="552">
        <v>0</v>
      </c>
      <c r="S96" s="552">
        <v>0</v>
      </c>
      <c r="T96" s="552">
        <f t="shared" si="155"/>
        <v>0</v>
      </c>
      <c r="U96" s="552">
        <f t="shared" ca="1" si="6"/>
        <v>0</v>
      </c>
      <c r="V96" s="552">
        <f t="shared" si="156"/>
        <v>0</v>
      </c>
      <c r="W96" s="552">
        <f t="shared" ca="1" si="7"/>
        <v>0</v>
      </c>
      <c r="X96" s="552">
        <v>0</v>
      </c>
      <c r="Y96" s="552">
        <v>0</v>
      </c>
      <c r="Z96" s="552">
        <v>0</v>
      </c>
      <c r="AA96" s="552">
        <v>0</v>
      </c>
      <c r="AB96" s="552">
        <v>0</v>
      </c>
      <c r="AC96" s="552">
        <v>0</v>
      </c>
      <c r="AD96" s="552">
        <f t="shared" si="157"/>
        <v>0</v>
      </c>
      <c r="AE96" s="554">
        <f t="shared" ca="1" si="9"/>
        <v>0</v>
      </c>
      <c r="AF96" s="552">
        <f t="shared" si="158"/>
        <v>0</v>
      </c>
      <c r="AG96" s="554">
        <f t="shared" ca="1" si="10"/>
        <v>0</v>
      </c>
      <c r="AH96" s="552">
        <v>0</v>
      </c>
      <c r="AI96" s="552">
        <v>0</v>
      </c>
      <c r="AJ96" s="552">
        <v>0</v>
      </c>
      <c r="AK96" s="552">
        <v>0</v>
      </c>
      <c r="AL96" s="552">
        <v>0</v>
      </c>
      <c r="AM96" s="552">
        <v>0</v>
      </c>
      <c r="AN96" s="552">
        <v>0</v>
      </c>
      <c r="AO96" s="552">
        <v>0</v>
      </c>
      <c r="AP96" s="552">
        <v>0</v>
      </c>
      <c r="AQ96" s="552">
        <v>0</v>
      </c>
      <c r="AR96" s="552">
        <v>0</v>
      </c>
      <c r="AS96" s="552">
        <v>0</v>
      </c>
      <c r="AT96" s="552">
        <f ca="1">IFERROR(__xludf.DUMMYFUNCTION("IMPORTRANGE(""https://docs.google.com/spreadsheets/d/1C3CXT74ZlgGe6_JY_1olB1XN4rF0dxEuIIF-xsYjHgg/edit?usp=sharing"",""งบกองทุน!CD100"")"),0)</f>
        <v>0</v>
      </c>
      <c r="AU96" s="552">
        <f ca="1">IFERROR(__xludf.DUMMYFUNCTION("IMPORTRANGE(""https://docs.google.com/spreadsheets/d/1C3CXT74ZlgGe6_JY_1olB1XN4rF0dxEuIIF-xsYjHgg/edit?usp=sharing"",""งบกองทุน!CC100"")"),0)</f>
        <v>0</v>
      </c>
      <c r="AV96" s="552">
        <f t="shared" si="159"/>
        <v>0</v>
      </c>
      <c r="AW96" s="552">
        <f t="shared" ca="1" si="12"/>
        <v>0</v>
      </c>
      <c r="AX96" s="552">
        <f t="shared" si="160"/>
        <v>0</v>
      </c>
      <c r="AY96" s="552">
        <f t="shared" ca="1" si="13"/>
        <v>0</v>
      </c>
      <c r="AZ96" s="552">
        <v>0</v>
      </c>
      <c r="BA96" s="552">
        <v>0</v>
      </c>
      <c r="BB96" s="552">
        <v>0</v>
      </c>
      <c r="BC96" s="552">
        <v>0</v>
      </c>
      <c r="BD96" s="552">
        <v>0</v>
      </c>
      <c r="BE96" s="552">
        <v>0</v>
      </c>
      <c r="BF96" s="552">
        <v>0</v>
      </c>
      <c r="BG96" s="552">
        <v>0</v>
      </c>
      <c r="BH96" s="552">
        <v>0</v>
      </c>
      <c r="BI96" s="552">
        <v>0</v>
      </c>
      <c r="BJ96" s="552">
        <v>0</v>
      </c>
      <c r="BK96" s="552">
        <v>0</v>
      </c>
      <c r="BL96" s="552">
        <f ca="1">IFERROR(__xludf.DUMMYFUNCTION("IMPORTRANGE(""https://docs.google.com/spreadsheets/d/1C3CXT74ZlgGe6_JY_1olB1XN4rF0dxEuIIF-xsYjHgg/edit?usp=sharing"",""งบกองทุน!CZ100"")"),0)</f>
        <v>0</v>
      </c>
      <c r="BM96" s="552">
        <f ca="1">IFERROR(__xludf.DUMMYFUNCTION("IMPORTRANGE(""https://docs.google.com/spreadsheets/d/1C3CXT74ZlgGe6_JY_1olB1XN4rF0dxEuIIF-xsYjHgg/edit?usp=sharing"",""งบกองทุน!CY100"")"),0)</f>
        <v>0</v>
      </c>
      <c r="BN96" s="552">
        <f t="shared" si="137"/>
        <v>0</v>
      </c>
      <c r="BO96" s="554">
        <f t="shared" ca="1" si="161"/>
        <v>0</v>
      </c>
      <c r="BP96" s="552">
        <f t="shared" si="162"/>
        <v>0</v>
      </c>
      <c r="BQ96" s="554">
        <f t="shared" ca="1" si="16"/>
        <v>0</v>
      </c>
      <c r="BR96" s="552">
        <v>0</v>
      </c>
      <c r="BS96" s="552">
        <v>0</v>
      </c>
      <c r="BT96" s="552">
        <v>0</v>
      </c>
      <c r="BU96" s="552">
        <v>0</v>
      </c>
      <c r="BV96" s="552">
        <v>0</v>
      </c>
      <c r="BW96" s="552">
        <v>0</v>
      </c>
      <c r="BX96" s="552">
        <f t="shared" si="163"/>
        <v>0</v>
      </c>
      <c r="BY96" s="554">
        <f t="shared" si="164"/>
        <v>0</v>
      </c>
      <c r="BZ96" s="552">
        <f t="shared" si="165"/>
        <v>0</v>
      </c>
      <c r="CA96" s="554">
        <f t="shared" si="166"/>
        <v>0</v>
      </c>
      <c r="CB96" s="552">
        <v>0</v>
      </c>
      <c r="CC96" s="552">
        <v>0</v>
      </c>
      <c r="CD96" s="552">
        <v>0</v>
      </c>
      <c r="CE96" s="552">
        <v>0</v>
      </c>
      <c r="CF96" s="552">
        <v>0</v>
      </c>
      <c r="CG96" s="558">
        <v>0</v>
      </c>
    </row>
    <row r="97" spans="1:85" ht="24" hidden="1" customHeight="1">
      <c r="A97" s="571">
        <f t="shared" si="167"/>
        <v>6</v>
      </c>
      <c r="B97" s="572" t="s">
        <v>121</v>
      </c>
      <c r="C97" s="551">
        <f t="shared" ca="1" si="152"/>
        <v>1653800</v>
      </c>
      <c r="D97" s="552">
        <f ca="1">IFERROR(__xludf.DUMMYFUNCTION("IMPORTRANGE(""https://docs.google.com/spreadsheets/d/1C3CXT74ZlgGe6_JY_1olB1XN4rF0dxEuIIF-xsYjHgg/edit?usp=sharing"",""งบกองทุน!BC101"")"),0)</f>
        <v>0</v>
      </c>
      <c r="E97" s="552">
        <f ca="1">IFERROR(__xludf.DUMMYFUNCTION("IMPORTRANGE(""https://docs.google.com/spreadsheets/d/1C3CXT74ZlgGe6_JY_1olB1XN4rF0dxEuIIF-xsYjHgg/edit?usp=sharing"",""งบกองทุน!BD101"")"),1653800)</f>
        <v>1653800</v>
      </c>
      <c r="F97" s="554">
        <v>0</v>
      </c>
      <c r="G97" s="554">
        <f t="shared" ca="1" si="1"/>
        <v>0</v>
      </c>
      <c r="H97" s="552">
        <f ca="1">IFERROR(__xludf.DUMMYFUNCTION("IMPORTRANGE(""https://docs.google.com/spreadsheets/d/1C3CXT74ZlgGe6_JY_1olB1XN4rF0dxEuIIF-xsYjHgg/edit?usp=sharing"",""งบกองทุน!BE101"")"),0)</f>
        <v>0</v>
      </c>
      <c r="I97" s="552">
        <f ca="1">IFERROR(__xludf.DUMMYFUNCTION("IMPORTRANGE(""https://docs.google.com/spreadsheets/d/1C3CXT74ZlgGe6_JY_1olB1XN4rF0dxEuIIF-xsYjHgg/edit?usp=sharing"",""งบกองทุน!BF101"")"),0)</f>
        <v>0</v>
      </c>
      <c r="J97" s="552">
        <f t="shared" si="153"/>
        <v>0</v>
      </c>
      <c r="K97" s="554">
        <f t="shared" ca="1" si="3"/>
        <v>0</v>
      </c>
      <c r="L97" s="552">
        <f t="shared" si="154"/>
        <v>0</v>
      </c>
      <c r="M97" s="554">
        <f t="shared" ca="1" si="4"/>
        <v>0</v>
      </c>
      <c r="N97" s="552">
        <v>0</v>
      </c>
      <c r="O97" s="552">
        <v>0</v>
      </c>
      <c r="P97" s="552">
        <v>0</v>
      </c>
      <c r="Q97" s="552">
        <v>0</v>
      </c>
      <c r="R97" s="552">
        <v>0</v>
      </c>
      <c r="S97" s="552">
        <v>0</v>
      </c>
      <c r="T97" s="552">
        <f t="shared" si="155"/>
        <v>0</v>
      </c>
      <c r="U97" s="552">
        <f t="shared" ca="1" si="6"/>
        <v>0</v>
      </c>
      <c r="V97" s="552">
        <f t="shared" si="156"/>
        <v>0</v>
      </c>
      <c r="W97" s="552">
        <f t="shared" ca="1" si="7"/>
        <v>0</v>
      </c>
      <c r="X97" s="552">
        <v>0</v>
      </c>
      <c r="Y97" s="552">
        <v>0</v>
      </c>
      <c r="Z97" s="552">
        <v>0</v>
      </c>
      <c r="AA97" s="552">
        <v>0</v>
      </c>
      <c r="AB97" s="552">
        <v>0</v>
      </c>
      <c r="AC97" s="552">
        <v>0</v>
      </c>
      <c r="AD97" s="552">
        <f t="shared" si="157"/>
        <v>0</v>
      </c>
      <c r="AE97" s="554">
        <f t="shared" ca="1" si="9"/>
        <v>0</v>
      </c>
      <c r="AF97" s="552">
        <f t="shared" si="158"/>
        <v>0</v>
      </c>
      <c r="AG97" s="554">
        <f t="shared" ca="1" si="10"/>
        <v>0</v>
      </c>
      <c r="AH97" s="552">
        <v>0</v>
      </c>
      <c r="AI97" s="552">
        <v>0</v>
      </c>
      <c r="AJ97" s="552">
        <v>0</v>
      </c>
      <c r="AK97" s="552">
        <v>0</v>
      </c>
      <c r="AL97" s="552">
        <v>0</v>
      </c>
      <c r="AM97" s="552">
        <v>0</v>
      </c>
      <c r="AN97" s="552">
        <v>0</v>
      </c>
      <c r="AO97" s="552">
        <v>0</v>
      </c>
      <c r="AP97" s="552">
        <v>0</v>
      </c>
      <c r="AQ97" s="552">
        <v>0</v>
      </c>
      <c r="AR97" s="552">
        <v>0</v>
      </c>
      <c r="AS97" s="552">
        <v>0</v>
      </c>
      <c r="AT97" s="552">
        <f ca="1">IFERROR(__xludf.DUMMYFUNCTION("IMPORTRANGE(""https://docs.google.com/spreadsheets/d/1C3CXT74ZlgGe6_JY_1olB1XN4rF0dxEuIIF-xsYjHgg/edit?usp=sharing"",""งบกองทุน!CD101"")"),0)</f>
        <v>0</v>
      </c>
      <c r="AU97" s="552">
        <f ca="1">IFERROR(__xludf.DUMMYFUNCTION("IMPORTRANGE(""https://docs.google.com/spreadsheets/d/1C3CXT74ZlgGe6_JY_1olB1XN4rF0dxEuIIF-xsYjHgg/edit?usp=sharing"",""งบกองทุน!CC101"")"),0)</f>
        <v>0</v>
      </c>
      <c r="AV97" s="552">
        <f t="shared" si="159"/>
        <v>0</v>
      </c>
      <c r="AW97" s="552">
        <f t="shared" ca="1" si="12"/>
        <v>0</v>
      </c>
      <c r="AX97" s="552">
        <f t="shared" si="160"/>
        <v>0</v>
      </c>
      <c r="AY97" s="552">
        <f t="shared" ca="1" si="13"/>
        <v>0</v>
      </c>
      <c r="AZ97" s="552">
        <v>0</v>
      </c>
      <c r="BA97" s="552">
        <v>0</v>
      </c>
      <c r="BB97" s="552">
        <v>0</v>
      </c>
      <c r="BC97" s="552">
        <v>0</v>
      </c>
      <c r="BD97" s="552">
        <v>0</v>
      </c>
      <c r="BE97" s="552">
        <v>0</v>
      </c>
      <c r="BF97" s="552">
        <v>0</v>
      </c>
      <c r="BG97" s="552">
        <v>0</v>
      </c>
      <c r="BH97" s="552">
        <v>0</v>
      </c>
      <c r="BI97" s="552">
        <v>0</v>
      </c>
      <c r="BJ97" s="552">
        <v>0</v>
      </c>
      <c r="BK97" s="552">
        <v>0</v>
      </c>
      <c r="BL97" s="552">
        <f ca="1">IFERROR(__xludf.DUMMYFUNCTION("IMPORTRANGE(""https://docs.google.com/spreadsheets/d/1C3CXT74ZlgGe6_JY_1olB1XN4rF0dxEuIIF-xsYjHgg/edit?usp=sharing"",""งบกองทุน!CZ101"")"),0)</f>
        <v>0</v>
      </c>
      <c r="BM97" s="552">
        <f ca="1">IFERROR(__xludf.DUMMYFUNCTION("IMPORTRANGE(""https://docs.google.com/spreadsheets/d/1C3CXT74ZlgGe6_JY_1olB1XN4rF0dxEuIIF-xsYjHgg/edit?usp=sharing"",""งบกองทุน!CY101"")"),0)</f>
        <v>0</v>
      </c>
      <c r="BN97" s="552">
        <f t="shared" si="137"/>
        <v>0</v>
      </c>
      <c r="BO97" s="554">
        <f t="shared" ca="1" si="161"/>
        <v>0</v>
      </c>
      <c r="BP97" s="552">
        <f t="shared" si="162"/>
        <v>0</v>
      </c>
      <c r="BQ97" s="554">
        <f t="shared" ca="1" si="16"/>
        <v>0</v>
      </c>
      <c r="BR97" s="552">
        <v>0</v>
      </c>
      <c r="BS97" s="552">
        <v>0</v>
      </c>
      <c r="BT97" s="552">
        <v>0</v>
      </c>
      <c r="BU97" s="552">
        <v>0</v>
      </c>
      <c r="BV97" s="552">
        <v>0</v>
      </c>
      <c r="BW97" s="552">
        <v>0</v>
      </c>
      <c r="BX97" s="552">
        <f t="shared" si="163"/>
        <v>0</v>
      </c>
      <c r="BY97" s="554">
        <f t="shared" si="164"/>
        <v>0</v>
      </c>
      <c r="BZ97" s="552">
        <f t="shared" si="165"/>
        <v>0</v>
      </c>
      <c r="CA97" s="554">
        <f t="shared" si="166"/>
        <v>0</v>
      </c>
      <c r="CB97" s="552">
        <v>0</v>
      </c>
      <c r="CC97" s="552">
        <v>0</v>
      </c>
      <c r="CD97" s="552">
        <v>0</v>
      </c>
      <c r="CE97" s="552">
        <v>0</v>
      </c>
      <c r="CF97" s="552">
        <v>0</v>
      </c>
      <c r="CG97" s="558">
        <v>0</v>
      </c>
    </row>
    <row r="98" spans="1:85" ht="24" hidden="1" customHeight="1">
      <c r="A98" s="571">
        <f t="shared" si="167"/>
        <v>7</v>
      </c>
      <c r="B98" s="572" t="s">
        <v>122</v>
      </c>
      <c r="C98" s="551">
        <f t="shared" ca="1" si="152"/>
        <v>0</v>
      </c>
      <c r="D98" s="552">
        <f ca="1">IFERROR(__xludf.DUMMYFUNCTION("IMPORTRANGE(""https://docs.google.com/spreadsheets/d/1C3CXT74ZlgGe6_JY_1olB1XN4rF0dxEuIIF-xsYjHgg/edit?usp=sharing"",""งบกองทุน!BC102"")"),0)</f>
        <v>0</v>
      </c>
      <c r="E98" s="552">
        <f ca="1">IFERROR(__xludf.DUMMYFUNCTION("IMPORTRANGE(""https://docs.google.com/spreadsheets/d/1C3CXT74ZlgGe6_JY_1olB1XN4rF0dxEuIIF-xsYjHgg/edit?usp=sharing"",""งบกองทุน!BD102"")"),0)</f>
        <v>0</v>
      </c>
      <c r="F98" s="554">
        <v>0</v>
      </c>
      <c r="G98" s="554">
        <f t="shared" ca="1" si="1"/>
        <v>0</v>
      </c>
      <c r="H98" s="552">
        <f ca="1">IFERROR(__xludf.DUMMYFUNCTION("IMPORTRANGE(""https://docs.google.com/spreadsheets/d/1C3CXT74ZlgGe6_JY_1olB1XN4rF0dxEuIIF-xsYjHgg/edit?usp=sharing"",""งบกองทุน!BE102"")"),0)</f>
        <v>0</v>
      </c>
      <c r="I98" s="552">
        <f ca="1">IFERROR(__xludf.DUMMYFUNCTION("IMPORTRANGE(""https://docs.google.com/spreadsheets/d/1C3CXT74ZlgGe6_JY_1olB1XN4rF0dxEuIIF-xsYjHgg/edit?usp=sharing"",""งบกองทุน!BF102"")"),0)</f>
        <v>0</v>
      </c>
      <c r="J98" s="552">
        <f t="shared" si="153"/>
        <v>0</v>
      </c>
      <c r="K98" s="554">
        <f t="shared" ca="1" si="3"/>
        <v>0</v>
      </c>
      <c r="L98" s="552">
        <f t="shared" si="154"/>
        <v>0</v>
      </c>
      <c r="M98" s="554">
        <f t="shared" ca="1" si="4"/>
        <v>0</v>
      </c>
      <c r="N98" s="552">
        <v>0</v>
      </c>
      <c r="O98" s="552">
        <v>0</v>
      </c>
      <c r="P98" s="552">
        <v>0</v>
      </c>
      <c r="Q98" s="552">
        <v>0</v>
      </c>
      <c r="R98" s="552">
        <v>0</v>
      </c>
      <c r="S98" s="552">
        <v>0</v>
      </c>
      <c r="T98" s="552">
        <f t="shared" si="155"/>
        <v>0</v>
      </c>
      <c r="U98" s="552">
        <f t="shared" ca="1" si="6"/>
        <v>0</v>
      </c>
      <c r="V98" s="552">
        <f t="shared" si="156"/>
        <v>0</v>
      </c>
      <c r="W98" s="552">
        <f t="shared" ca="1" si="7"/>
        <v>0</v>
      </c>
      <c r="X98" s="552">
        <v>0</v>
      </c>
      <c r="Y98" s="552">
        <v>0</v>
      </c>
      <c r="Z98" s="552">
        <v>0</v>
      </c>
      <c r="AA98" s="552">
        <v>0</v>
      </c>
      <c r="AB98" s="552">
        <v>0</v>
      </c>
      <c r="AC98" s="552">
        <v>0</v>
      </c>
      <c r="AD98" s="552">
        <f t="shared" si="157"/>
        <v>0</v>
      </c>
      <c r="AE98" s="554">
        <f t="shared" ca="1" si="9"/>
        <v>0</v>
      </c>
      <c r="AF98" s="552">
        <f t="shared" si="158"/>
        <v>0</v>
      </c>
      <c r="AG98" s="554">
        <f t="shared" ca="1" si="10"/>
        <v>0</v>
      </c>
      <c r="AH98" s="552">
        <v>0</v>
      </c>
      <c r="AI98" s="552">
        <v>0</v>
      </c>
      <c r="AJ98" s="552">
        <v>0</v>
      </c>
      <c r="AK98" s="552">
        <v>0</v>
      </c>
      <c r="AL98" s="552">
        <v>0</v>
      </c>
      <c r="AM98" s="552">
        <v>0</v>
      </c>
      <c r="AN98" s="552">
        <v>0</v>
      </c>
      <c r="AO98" s="552">
        <v>0</v>
      </c>
      <c r="AP98" s="552">
        <v>0</v>
      </c>
      <c r="AQ98" s="552">
        <v>0</v>
      </c>
      <c r="AR98" s="552">
        <v>0</v>
      </c>
      <c r="AS98" s="552">
        <v>0</v>
      </c>
      <c r="AT98" s="552">
        <f ca="1">IFERROR(__xludf.DUMMYFUNCTION("IMPORTRANGE(""https://docs.google.com/spreadsheets/d/1C3CXT74ZlgGe6_JY_1olB1XN4rF0dxEuIIF-xsYjHgg/edit?usp=sharing"",""งบกองทุน!CD102"")"),0)</f>
        <v>0</v>
      </c>
      <c r="AU98" s="552">
        <f ca="1">IFERROR(__xludf.DUMMYFUNCTION("IMPORTRANGE(""https://docs.google.com/spreadsheets/d/1C3CXT74ZlgGe6_JY_1olB1XN4rF0dxEuIIF-xsYjHgg/edit?usp=sharing"",""งบกองทุน!CC102"")"),0)</f>
        <v>0</v>
      </c>
      <c r="AV98" s="552">
        <f t="shared" si="159"/>
        <v>0</v>
      </c>
      <c r="AW98" s="552">
        <f t="shared" ca="1" si="12"/>
        <v>0</v>
      </c>
      <c r="AX98" s="552">
        <f t="shared" si="160"/>
        <v>0</v>
      </c>
      <c r="AY98" s="552">
        <f t="shared" ca="1" si="13"/>
        <v>0</v>
      </c>
      <c r="AZ98" s="552">
        <v>0</v>
      </c>
      <c r="BA98" s="552">
        <v>0</v>
      </c>
      <c r="BB98" s="552">
        <v>0</v>
      </c>
      <c r="BC98" s="552">
        <v>0</v>
      </c>
      <c r="BD98" s="552">
        <v>0</v>
      </c>
      <c r="BE98" s="552">
        <v>0</v>
      </c>
      <c r="BF98" s="552">
        <v>0</v>
      </c>
      <c r="BG98" s="552">
        <v>0</v>
      </c>
      <c r="BH98" s="552">
        <v>0</v>
      </c>
      <c r="BI98" s="552">
        <v>0</v>
      </c>
      <c r="BJ98" s="552">
        <v>0</v>
      </c>
      <c r="BK98" s="552">
        <v>0</v>
      </c>
      <c r="BL98" s="552">
        <f ca="1">IFERROR(__xludf.DUMMYFUNCTION("IMPORTRANGE(""https://docs.google.com/spreadsheets/d/1C3CXT74ZlgGe6_JY_1olB1XN4rF0dxEuIIF-xsYjHgg/edit?usp=sharing"",""งบกองทุน!CZ102"")"),0)</f>
        <v>0</v>
      </c>
      <c r="BM98" s="552">
        <f ca="1">IFERROR(__xludf.DUMMYFUNCTION("IMPORTRANGE(""https://docs.google.com/spreadsheets/d/1C3CXT74ZlgGe6_JY_1olB1XN4rF0dxEuIIF-xsYjHgg/edit?usp=sharing"",""งบกองทุน!CY102"")"),0)</f>
        <v>0</v>
      </c>
      <c r="BN98" s="552">
        <f t="shared" si="137"/>
        <v>0</v>
      </c>
      <c r="BO98" s="554">
        <f t="shared" ca="1" si="161"/>
        <v>0</v>
      </c>
      <c r="BP98" s="552">
        <f t="shared" si="162"/>
        <v>0</v>
      </c>
      <c r="BQ98" s="554">
        <f t="shared" ca="1" si="16"/>
        <v>0</v>
      </c>
      <c r="BR98" s="552">
        <v>0</v>
      </c>
      <c r="BS98" s="552">
        <v>0</v>
      </c>
      <c r="BT98" s="552">
        <v>0</v>
      </c>
      <c r="BU98" s="552">
        <v>0</v>
      </c>
      <c r="BV98" s="552">
        <v>0</v>
      </c>
      <c r="BW98" s="552">
        <v>0</v>
      </c>
      <c r="BX98" s="552">
        <f t="shared" si="163"/>
        <v>0</v>
      </c>
      <c r="BY98" s="554">
        <f t="shared" si="164"/>
        <v>0</v>
      </c>
      <c r="BZ98" s="552">
        <f t="shared" si="165"/>
        <v>0</v>
      </c>
      <c r="CA98" s="554">
        <f t="shared" si="166"/>
        <v>0</v>
      </c>
      <c r="CB98" s="552">
        <v>0</v>
      </c>
      <c r="CC98" s="552">
        <v>0</v>
      </c>
      <c r="CD98" s="552">
        <v>0</v>
      </c>
      <c r="CE98" s="552">
        <v>0</v>
      </c>
      <c r="CF98" s="552">
        <v>0</v>
      </c>
      <c r="CG98" s="558">
        <v>0</v>
      </c>
    </row>
    <row r="99" spans="1:85" ht="24" hidden="1" customHeight="1">
      <c r="A99" s="571">
        <f t="shared" si="167"/>
        <v>8</v>
      </c>
      <c r="B99" s="572" t="s">
        <v>123</v>
      </c>
      <c r="C99" s="551">
        <f t="shared" ca="1" si="152"/>
        <v>0</v>
      </c>
      <c r="D99" s="552">
        <f ca="1">IFERROR(__xludf.DUMMYFUNCTION("IMPORTRANGE(""https://docs.google.com/spreadsheets/d/1C3CXT74ZlgGe6_JY_1olB1XN4rF0dxEuIIF-xsYjHgg/edit?usp=sharing"",""งบกองทุน!BC103"")"),0)</f>
        <v>0</v>
      </c>
      <c r="E99" s="552">
        <f ca="1">IFERROR(__xludf.DUMMYFUNCTION("IMPORTRANGE(""https://docs.google.com/spreadsheets/d/1C3CXT74ZlgGe6_JY_1olB1XN4rF0dxEuIIF-xsYjHgg/edit?usp=sharing"",""งบกองทุน!BD103"")"),0)</f>
        <v>0</v>
      </c>
      <c r="F99" s="554">
        <v>0</v>
      </c>
      <c r="G99" s="554">
        <f t="shared" ca="1" si="1"/>
        <v>0</v>
      </c>
      <c r="H99" s="552">
        <f ca="1">IFERROR(__xludf.DUMMYFUNCTION("IMPORTRANGE(""https://docs.google.com/spreadsheets/d/1C3CXT74ZlgGe6_JY_1olB1XN4rF0dxEuIIF-xsYjHgg/edit?usp=sharing"",""งบกองทุน!BE103"")"),0)</f>
        <v>0</v>
      </c>
      <c r="I99" s="552">
        <f ca="1">IFERROR(__xludf.DUMMYFUNCTION("IMPORTRANGE(""https://docs.google.com/spreadsheets/d/1C3CXT74ZlgGe6_JY_1olB1XN4rF0dxEuIIF-xsYjHgg/edit?usp=sharing"",""งบกองทุน!BF103"")"),0)</f>
        <v>0</v>
      </c>
      <c r="J99" s="552">
        <f t="shared" si="153"/>
        <v>0</v>
      </c>
      <c r="K99" s="554">
        <f t="shared" ca="1" si="3"/>
        <v>0</v>
      </c>
      <c r="L99" s="552">
        <f t="shared" si="154"/>
        <v>0</v>
      </c>
      <c r="M99" s="554">
        <f t="shared" ca="1" si="4"/>
        <v>0</v>
      </c>
      <c r="N99" s="552">
        <v>0</v>
      </c>
      <c r="O99" s="552">
        <v>0</v>
      </c>
      <c r="P99" s="552">
        <v>0</v>
      </c>
      <c r="Q99" s="552">
        <v>0</v>
      </c>
      <c r="R99" s="552">
        <v>0</v>
      </c>
      <c r="S99" s="552">
        <v>0</v>
      </c>
      <c r="T99" s="552">
        <f t="shared" si="155"/>
        <v>0</v>
      </c>
      <c r="U99" s="552">
        <f t="shared" ca="1" si="6"/>
        <v>0</v>
      </c>
      <c r="V99" s="552">
        <f t="shared" si="156"/>
        <v>0</v>
      </c>
      <c r="W99" s="552">
        <f t="shared" ca="1" si="7"/>
        <v>0</v>
      </c>
      <c r="X99" s="552">
        <v>0</v>
      </c>
      <c r="Y99" s="552">
        <v>0</v>
      </c>
      <c r="Z99" s="552">
        <v>0</v>
      </c>
      <c r="AA99" s="552">
        <v>0</v>
      </c>
      <c r="AB99" s="552">
        <v>0</v>
      </c>
      <c r="AC99" s="552">
        <v>0</v>
      </c>
      <c r="AD99" s="552">
        <f t="shared" si="157"/>
        <v>0</v>
      </c>
      <c r="AE99" s="554">
        <f t="shared" ca="1" si="9"/>
        <v>0</v>
      </c>
      <c r="AF99" s="552">
        <f t="shared" si="158"/>
        <v>0</v>
      </c>
      <c r="AG99" s="554">
        <f t="shared" ca="1" si="10"/>
        <v>0</v>
      </c>
      <c r="AH99" s="552">
        <v>0</v>
      </c>
      <c r="AI99" s="552">
        <v>0</v>
      </c>
      <c r="AJ99" s="552">
        <v>0</v>
      </c>
      <c r="AK99" s="552">
        <v>0</v>
      </c>
      <c r="AL99" s="552">
        <v>0</v>
      </c>
      <c r="AM99" s="552">
        <v>0</v>
      </c>
      <c r="AN99" s="552">
        <v>0</v>
      </c>
      <c r="AO99" s="552">
        <v>0</v>
      </c>
      <c r="AP99" s="552">
        <v>0</v>
      </c>
      <c r="AQ99" s="552">
        <v>0</v>
      </c>
      <c r="AR99" s="552">
        <v>0</v>
      </c>
      <c r="AS99" s="552">
        <v>0</v>
      </c>
      <c r="AT99" s="552">
        <f ca="1">IFERROR(__xludf.DUMMYFUNCTION("IMPORTRANGE(""https://docs.google.com/spreadsheets/d/1C3CXT74ZlgGe6_JY_1olB1XN4rF0dxEuIIF-xsYjHgg/edit?usp=sharing"",""งบกองทุน!CD103"")"),0)</f>
        <v>0</v>
      </c>
      <c r="AU99" s="552">
        <f ca="1">IFERROR(__xludf.DUMMYFUNCTION("IMPORTRANGE(""https://docs.google.com/spreadsheets/d/1C3CXT74ZlgGe6_JY_1olB1XN4rF0dxEuIIF-xsYjHgg/edit?usp=sharing"",""งบกองทุน!CC103"")"),0)</f>
        <v>0</v>
      </c>
      <c r="AV99" s="552">
        <f t="shared" si="159"/>
        <v>0</v>
      </c>
      <c r="AW99" s="552">
        <f t="shared" ca="1" si="12"/>
        <v>0</v>
      </c>
      <c r="AX99" s="552">
        <f t="shared" si="160"/>
        <v>0</v>
      </c>
      <c r="AY99" s="552">
        <f t="shared" ca="1" si="13"/>
        <v>0</v>
      </c>
      <c r="AZ99" s="552">
        <v>0</v>
      </c>
      <c r="BA99" s="552">
        <v>0</v>
      </c>
      <c r="BB99" s="552">
        <v>0</v>
      </c>
      <c r="BC99" s="552">
        <v>0</v>
      </c>
      <c r="BD99" s="552">
        <v>0</v>
      </c>
      <c r="BE99" s="552">
        <v>0</v>
      </c>
      <c r="BF99" s="552">
        <v>0</v>
      </c>
      <c r="BG99" s="552">
        <v>0</v>
      </c>
      <c r="BH99" s="552">
        <v>0</v>
      </c>
      <c r="BI99" s="552">
        <v>0</v>
      </c>
      <c r="BJ99" s="552">
        <v>0</v>
      </c>
      <c r="BK99" s="552">
        <v>0</v>
      </c>
      <c r="BL99" s="552">
        <f ca="1">IFERROR(__xludf.DUMMYFUNCTION("IMPORTRANGE(""https://docs.google.com/spreadsheets/d/1C3CXT74ZlgGe6_JY_1olB1XN4rF0dxEuIIF-xsYjHgg/edit?usp=sharing"",""งบกองทุน!CZ103"")"),0)</f>
        <v>0</v>
      </c>
      <c r="BM99" s="552">
        <f ca="1">IFERROR(__xludf.DUMMYFUNCTION("IMPORTRANGE(""https://docs.google.com/spreadsheets/d/1C3CXT74ZlgGe6_JY_1olB1XN4rF0dxEuIIF-xsYjHgg/edit?usp=sharing"",""งบกองทุน!CY103"")"),0)</f>
        <v>0</v>
      </c>
      <c r="BN99" s="552">
        <f t="shared" si="137"/>
        <v>0</v>
      </c>
      <c r="BO99" s="554">
        <f t="shared" ca="1" si="161"/>
        <v>0</v>
      </c>
      <c r="BP99" s="552">
        <f t="shared" si="162"/>
        <v>0</v>
      </c>
      <c r="BQ99" s="554">
        <f t="shared" ca="1" si="16"/>
        <v>0</v>
      </c>
      <c r="BR99" s="552">
        <v>0</v>
      </c>
      <c r="BS99" s="552">
        <v>0</v>
      </c>
      <c r="BT99" s="552">
        <v>0</v>
      </c>
      <c r="BU99" s="552">
        <v>0</v>
      </c>
      <c r="BV99" s="552">
        <v>0</v>
      </c>
      <c r="BW99" s="552">
        <v>0</v>
      </c>
      <c r="BX99" s="552">
        <f t="shared" si="163"/>
        <v>0</v>
      </c>
      <c r="BY99" s="554">
        <f t="shared" si="164"/>
        <v>0</v>
      </c>
      <c r="BZ99" s="552">
        <f t="shared" si="165"/>
        <v>0</v>
      </c>
      <c r="CA99" s="554">
        <f t="shared" si="166"/>
        <v>0</v>
      </c>
      <c r="CB99" s="552">
        <v>0</v>
      </c>
      <c r="CC99" s="552">
        <v>0</v>
      </c>
      <c r="CD99" s="552">
        <v>0</v>
      </c>
      <c r="CE99" s="552">
        <v>0</v>
      </c>
      <c r="CF99" s="552">
        <v>0</v>
      </c>
      <c r="CG99" s="558">
        <v>0</v>
      </c>
    </row>
    <row r="100" spans="1:85" ht="24" hidden="1" customHeight="1">
      <c r="A100" s="571">
        <f t="shared" si="167"/>
        <v>9</v>
      </c>
      <c r="B100" s="572" t="s">
        <v>124</v>
      </c>
      <c r="C100" s="551">
        <f t="shared" ca="1" si="152"/>
        <v>0</v>
      </c>
      <c r="D100" s="552">
        <f ca="1">IFERROR(__xludf.DUMMYFUNCTION("IMPORTRANGE(""https://docs.google.com/spreadsheets/d/1C3CXT74ZlgGe6_JY_1olB1XN4rF0dxEuIIF-xsYjHgg/edit?usp=sharing"",""งบกองทุน!BC104"")"),0)</f>
        <v>0</v>
      </c>
      <c r="E100" s="552">
        <f ca="1">IFERROR(__xludf.DUMMYFUNCTION("IMPORTRANGE(""https://docs.google.com/spreadsheets/d/1C3CXT74ZlgGe6_JY_1olB1XN4rF0dxEuIIF-xsYjHgg/edit?usp=sharing"",""งบกองทุน!BD104"")"),0)</f>
        <v>0</v>
      </c>
      <c r="F100" s="554">
        <v>0</v>
      </c>
      <c r="G100" s="554">
        <f t="shared" ca="1" si="1"/>
        <v>0</v>
      </c>
      <c r="H100" s="552">
        <f ca="1">IFERROR(__xludf.DUMMYFUNCTION("IMPORTRANGE(""https://docs.google.com/spreadsheets/d/1C3CXT74ZlgGe6_JY_1olB1XN4rF0dxEuIIF-xsYjHgg/edit?usp=sharing"",""งบกองทุน!BE104"")"),0)</f>
        <v>0</v>
      </c>
      <c r="I100" s="552">
        <f ca="1">IFERROR(__xludf.DUMMYFUNCTION("IMPORTRANGE(""https://docs.google.com/spreadsheets/d/1C3CXT74ZlgGe6_JY_1olB1XN4rF0dxEuIIF-xsYjHgg/edit?usp=sharing"",""งบกองทุน!BF104"")"),0)</f>
        <v>0</v>
      </c>
      <c r="J100" s="552">
        <f t="shared" si="153"/>
        <v>0</v>
      </c>
      <c r="K100" s="554">
        <f t="shared" ca="1" si="3"/>
        <v>0</v>
      </c>
      <c r="L100" s="552">
        <f t="shared" si="154"/>
        <v>0</v>
      </c>
      <c r="M100" s="554">
        <f t="shared" ca="1" si="4"/>
        <v>0</v>
      </c>
      <c r="N100" s="552">
        <v>0</v>
      </c>
      <c r="O100" s="552">
        <v>0</v>
      </c>
      <c r="P100" s="552">
        <v>0</v>
      </c>
      <c r="Q100" s="552">
        <v>0</v>
      </c>
      <c r="R100" s="552">
        <v>0</v>
      </c>
      <c r="S100" s="552">
        <v>0</v>
      </c>
      <c r="T100" s="552">
        <f t="shared" si="155"/>
        <v>0</v>
      </c>
      <c r="U100" s="552">
        <f t="shared" ca="1" si="6"/>
        <v>0</v>
      </c>
      <c r="V100" s="552">
        <f t="shared" si="156"/>
        <v>0</v>
      </c>
      <c r="W100" s="552">
        <f t="shared" ca="1" si="7"/>
        <v>0</v>
      </c>
      <c r="X100" s="552">
        <v>0</v>
      </c>
      <c r="Y100" s="552">
        <v>0</v>
      </c>
      <c r="Z100" s="552">
        <v>0</v>
      </c>
      <c r="AA100" s="552">
        <v>0</v>
      </c>
      <c r="AB100" s="552">
        <v>0</v>
      </c>
      <c r="AC100" s="552">
        <v>0</v>
      </c>
      <c r="AD100" s="552">
        <f t="shared" si="157"/>
        <v>0</v>
      </c>
      <c r="AE100" s="554">
        <f t="shared" ca="1" si="9"/>
        <v>0</v>
      </c>
      <c r="AF100" s="552">
        <f t="shared" si="158"/>
        <v>0</v>
      </c>
      <c r="AG100" s="554">
        <f t="shared" ca="1" si="10"/>
        <v>0</v>
      </c>
      <c r="AH100" s="552">
        <v>0</v>
      </c>
      <c r="AI100" s="552">
        <v>0</v>
      </c>
      <c r="AJ100" s="552">
        <v>0</v>
      </c>
      <c r="AK100" s="552">
        <v>0</v>
      </c>
      <c r="AL100" s="552">
        <v>0</v>
      </c>
      <c r="AM100" s="552">
        <v>0</v>
      </c>
      <c r="AN100" s="552">
        <v>0</v>
      </c>
      <c r="AO100" s="552">
        <v>0</v>
      </c>
      <c r="AP100" s="552">
        <v>0</v>
      </c>
      <c r="AQ100" s="552">
        <v>0</v>
      </c>
      <c r="AR100" s="552">
        <v>0</v>
      </c>
      <c r="AS100" s="552">
        <v>0</v>
      </c>
      <c r="AT100" s="552">
        <f ca="1">IFERROR(__xludf.DUMMYFUNCTION("IMPORTRANGE(""https://docs.google.com/spreadsheets/d/1C3CXT74ZlgGe6_JY_1olB1XN4rF0dxEuIIF-xsYjHgg/edit?usp=sharing"",""งบกองทุน!CD104"")"),0)</f>
        <v>0</v>
      </c>
      <c r="AU100" s="552">
        <f ca="1">IFERROR(__xludf.DUMMYFUNCTION("IMPORTRANGE(""https://docs.google.com/spreadsheets/d/1C3CXT74ZlgGe6_JY_1olB1XN4rF0dxEuIIF-xsYjHgg/edit?usp=sharing"",""งบกองทุน!CC104"")"),0)</f>
        <v>0</v>
      </c>
      <c r="AV100" s="552">
        <f t="shared" si="159"/>
        <v>0</v>
      </c>
      <c r="AW100" s="552">
        <f t="shared" ca="1" si="12"/>
        <v>0</v>
      </c>
      <c r="AX100" s="552">
        <f t="shared" si="160"/>
        <v>0</v>
      </c>
      <c r="AY100" s="552">
        <f t="shared" ca="1" si="13"/>
        <v>0</v>
      </c>
      <c r="AZ100" s="552">
        <v>0</v>
      </c>
      <c r="BA100" s="552">
        <v>0</v>
      </c>
      <c r="BB100" s="552">
        <v>0</v>
      </c>
      <c r="BC100" s="552">
        <v>0</v>
      </c>
      <c r="BD100" s="552">
        <v>0</v>
      </c>
      <c r="BE100" s="552">
        <v>0</v>
      </c>
      <c r="BF100" s="552">
        <v>0</v>
      </c>
      <c r="BG100" s="552">
        <v>0</v>
      </c>
      <c r="BH100" s="552">
        <v>0</v>
      </c>
      <c r="BI100" s="552">
        <v>0</v>
      </c>
      <c r="BJ100" s="552">
        <v>0</v>
      </c>
      <c r="BK100" s="552">
        <v>0</v>
      </c>
      <c r="BL100" s="552">
        <f ca="1">IFERROR(__xludf.DUMMYFUNCTION("IMPORTRANGE(""https://docs.google.com/spreadsheets/d/1C3CXT74ZlgGe6_JY_1olB1XN4rF0dxEuIIF-xsYjHgg/edit?usp=sharing"",""งบกองทุน!CZ104"")"),0)</f>
        <v>0</v>
      </c>
      <c r="BM100" s="552">
        <f ca="1">IFERROR(__xludf.DUMMYFUNCTION("IMPORTRANGE(""https://docs.google.com/spreadsheets/d/1C3CXT74ZlgGe6_JY_1olB1XN4rF0dxEuIIF-xsYjHgg/edit?usp=sharing"",""งบกองทุน!CY104"")"),0)</f>
        <v>0</v>
      </c>
      <c r="BN100" s="552">
        <f t="shared" si="137"/>
        <v>0</v>
      </c>
      <c r="BO100" s="554">
        <f t="shared" ca="1" si="161"/>
        <v>0</v>
      </c>
      <c r="BP100" s="552">
        <f t="shared" si="162"/>
        <v>0</v>
      </c>
      <c r="BQ100" s="554">
        <f t="shared" ca="1" si="16"/>
        <v>0</v>
      </c>
      <c r="BR100" s="552">
        <v>0</v>
      </c>
      <c r="BS100" s="552">
        <v>0</v>
      </c>
      <c r="BT100" s="552">
        <v>0</v>
      </c>
      <c r="BU100" s="552">
        <v>0</v>
      </c>
      <c r="BV100" s="552">
        <v>0</v>
      </c>
      <c r="BW100" s="552">
        <v>0</v>
      </c>
      <c r="BX100" s="552">
        <f t="shared" si="163"/>
        <v>0</v>
      </c>
      <c r="BY100" s="554">
        <f t="shared" si="164"/>
        <v>0</v>
      </c>
      <c r="BZ100" s="552">
        <f t="shared" si="165"/>
        <v>0</v>
      </c>
      <c r="CA100" s="554">
        <f t="shared" si="166"/>
        <v>0</v>
      </c>
      <c r="CB100" s="552">
        <v>0</v>
      </c>
      <c r="CC100" s="552">
        <v>0</v>
      </c>
      <c r="CD100" s="552">
        <v>0</v>
      </c>
      <c r="CE100" s="552">
        <v>0</v>
      </c>
      <c r="CF100" s="552">
        <v>0</v>
      </c>
      <c r="CG100" s="558">
        <v>0</v>
      </c>
    </row>
    <row r="101" spans="1:85" ht="24" hidden="1" customHeight="1">
      <c r="A101" s="571">
        <f t="shared" si="167"/>
        <v>10</v>
      </c>
      <c r="B101" s="572" t="s">
        <v>125</v>
      </c>
      <c r="C101" s="551">
        <f t="shared" ca="1" si="152"/>
        <v>2870000</v>
      </c>
      <c r="D101" s="552">
        <f ca="1">IFERROR(__xludf.DUMMYFUNCTION("IMPORTRANGE(""https://docs.google.com/spreadsheets/d/1C3CXT74ZlgGe6_JY_1olB1XN4rF0dxEuIIF-xsYjHgg/edit?usp=sharing"",""งบกองทุน!BC105"")"),0)</f>
        <v>0</v>
      </c>
      <c r="E101" s="552">
        <f ca="1">IFERROR(__xludf.DUMMYFUNCTION("IMPORTRANGE(""https://docs.google.com/spreadsheets/d/1C3CXT74ZlgGe6_JY_1olB1XN4rF0dxEuIIF-xsYjHgg/edit?usp=sharing"",""งบกองทุน!BD105"")"),2870000)</f>
        <v>2870000</v>
      </c>
      <c r="F101" s="554">
        <v>0</v>
      </c>
      <c r="G101" s="554">
        <f t="shared" ca="1" si="1"/>
        <v>0</v>
      </c>
      <c r="H101" s="552">
        <f ca="1">IFERROR(__xludf.DUMMYFUNCTION("IMPORTRANGE(""https://docs.google.com/spreadsheets/d/1C3CXT74ZlgGe6_JY_1olB1XN4rF0dxEuIIF-xsYjHgg/edit?usp=sharing"",""งบกองทุน!BE105"")"),0)</f>
        <v>0</v>
      </c>
      <c r="I101" s="552">
        <f ca="1">IFERROR(__xludf.DUMMYFUNCTION("IMPORTRANGE(""https://docs.google.com/spreadsheets/d/1C3CXT74ZlgGe6_JY_1olB1XN4rF0dxEuIIF-xsYjHgg/edit?usp=sharing"",""งบกองทุน!BF105"")"),0)</f>
        <v>0</v>
      </c>
      <c r="J101" s="552">
        <f t="shared" si="153"/>
        <v>0</v>
      </c>
      <c r="K101" s="554">
        <f t="shared" ca="1" si="3"/>
        <v>0</v>
      </c>
      <c r="L101" s="552">
        <f t="shared" si="154"/>
        <v>0</v>
      </c>
      <c r="M101" s="554">
        <f t="shared" ca="1" si="4"/>
        <v>0</v>
      </c>
      <c r="N101" s="552">
        <v>0</v>
      </c>
      <c r="O101" s="552">
        <v>0</v>
      </c>
      <c r="P101" s="552">
        <v>0</v>
      </c>
      <c r="Q101" s="552">
        <v>0</v>
      </c>
      <c r="R101" s="552">
        <v>0</v>
      </c>
      <c r="S101" s="552">
        <v>0</v>
      </c>
      <c r="T101" s="552">
        <f t="shared" si="155"/>
        <v>0</v>
      </c>
      <c r="U101" s="552">
        <f t="shared" ca="1" si="6"/>
        <v>0</v>
      </c>
      <c r="V101" s="552">
        <f t="shared" si="156"/>
        <v>0</v>
      </c>
      <c r="W101" s="552">
        <f t="shared" ca="1" si="7"/>
        <v>0</v>
      </c>
      <c r="X101" s="552">
        <v>0</v>
      </c>
      <c r="Y101" s="552">
        <v>0</v>
      </c>
      <c r="Z101" s="552">
        <v>0</v>
      </c>
      <c r="AA101" s="552">
        <v>0</v>
      </c>
      <c r="AB101" s="552">
        <v>0</v>
      </c>
      <c r="AC101" s="552">
        <v>0</v>
      </c>
      <c r="AD101" s="552">
        <f t="shared" si="157"/>
        <v>0</v>
      </c>
      <c r="AE101" s="554">
        <f t="shared" ca="1" si="9"/>
        <v>0</v>
      </c>
      <c r="AF101" s="552">
        <f t="shared" si="158"/>
        <v>0</v>
      </c>
      <c r="AG101" s="554">
        <f t="shared" ca="1" si="10"/>
        <v>0</v>
      </c>
      <c r="AH101" s="552">
        <v>0</v>
      </c>
      <c r="AI101" s="552">
        <v>0</v>
      </c>
      <c r="AJ101" s="552">
        <v>0</v>
      </c>
      <c r="AK101" s="552">
        <v>0</v>
      </c>
      <c r="AL101" s="552">
        <v>0</v>
      </c>
      <c r="AM101" s="552">
        <v>0</v>
      </c>
      <c r="AN101" s="552">
        <v>0</v>
      </c>
      <c r="AO101" s="552">
        <v>0</v>
      </c>
      <c r="AP101" s="552">
        <v>0</v>
      </c>
      <c r="AQ101" s="552">
        <v>0</v>
      </c>
      <c r="AR101" s="552">
        <v>0</v>
      </c>
      <c r="AS101" s="552">
        <v>0</v>
      </c>
      <c r="AT101" s="552">
        <f ca="1">IFERROR(__xludf.DUMMYFUNCTION("IMPORTRANGE(""https://docs.google.com/spreadsheets/d/1C3CXT74ZlgGe6_JY_1olB1XN4rF0dxEuIIF-xsYjHgg/edit?usp=sharing"",""งบกองทุน!CD105"")"),0)</f>
        <v>0</v>
      </c>
      <c r="AU101" s="552">
        <f ca="1">IFERROR(__xludf.DUMMYFUNCTION("IMPORTRANGE(""https://docs.google.com/spreadsheets/d/1C3CXT74ZlgGe6_JY_1olB1XN4rF0dxEuIIF-xsYjHgg/edit?usp=sharing"",""งบกองทุน!CC105"")"),0)</f>
        <v>0</v>
      </c>
      <c r="AV101" s="552">
        <f t="shared" si="159"/>
        <v>0</v>
      </c>
      <c r="AW101" s="552">
        <f t="shared" ca="1" si="12"/>
        <v>0</v>
      </c>
      <c r="AX101" s="552">
        <f t="shared" si="160"/>
        <v>0</v>
      </c>
      <c r="AY101" s="552">
        <f t="shared" ca="1" si="13"/>
        <v>0</v>
      </c>
      <c r="AZ101" s="552">
        <v>0</v>
      </c>
      <c r="BA101" s="552">
        <v>0</v>
      </c>
      <c r="BB101" s="552">
        <v>0</v>
      </c>
      <c r="BC101" s="552">
        <v>0</v>
      </c>
      <c r="BD101" s="552">
        <v>0</v>
      </c>
      <c r="BE101" s="552">
        <v>0</v>
      </c>
      <c r="BF101" s="552">
        <v>0</v>
      </c>
      <c r="BG101" s="552">
        <v>0</v>
      </c>
      <c r="BH101" s="552">
        <v>0</v>
      </c>
      <c r="BI101" s="552">
        <v>0</v>
      </c>
      <c r="BJ101" s="552">
        <v>0</v>
      </c>
      <c r="BK101" s="552">
        <v>0</v>
      </c>
      <c r="BL101" s="573">
        <v>2500000</v>
      </c>
      <c r="BM101" s="552">
        <f ca="1">IFERROR(__xludf.DUMMYFUNCTION("IMPORTRANGE(""https://docs.google.com/spreadsheets/d/1C3CXT74ZlgGe6_JY_1olB1XN4rF0dxEuIIF-xsYjHgg/edit?usp=sharing"",""งบกองทุน!CY105"")"),0)</f>
        <v>0</v>
      </c>
      <c r="BN101" s="552">
        <f t="shared" ca="1" si="137"/>
        <v>2179872</v>
      </c>
      <c r="BO101" s="554">
        <f t="shared" ca="1" si="161"/>
        <v>87.194879999999998</v>
      </c>
      <c r="BP101" s="552">
        <f t="shared" ca="1" si="162"/>
        <v>219479</v>
      </c>
      <c r="BQ101" s="554">
        <f t="shared" ca="1" si="16"/>
        <v>0</v>
      </c>
      <c r="BR101" s="573">
        <f ca="1">IFERROR(__xludf.DUMMYFUNCTION("IMPORTRANGE(""https://docs.google.com/spreadsheets/d/1-fhVXPMm30suWK0-eslVgeT9cTVfCsDeUsq7Bk5UZE8/edit?usp=sharing"",""ทั้งประเทศ!J414"")"),2168699)</f>
        <v>2168699</v>
      </c>
      <c r="BS101" s="573">
        <f ca="1">IFERROR(__xludf.DUMMYFUNCTION("IMPORTRANGE(""https://docs.google.com/spreadsheets/d/1-fhVXPMm30suWK0-eslVgeT9cTVfCsDeUsq7Bk5UZE8/edit?usp=sharing"",""ทั้งประเทศ!J415"")"),218881)</f>
        <v>218881</v>
      </c>
      <c r="BT101" s="573">
        <f ca="1">IFERROR(__xludf.DUMMYFUNCTION("IMPORTRANGE(""https://docs.google.com/spreadsheets/d/1-fhVXPMm30suWK0-eslVgeT9cTVfCsDeUsq7Bk5UZE8/edit?usp=sharing"",""ทั้งประเทศ!J416"")"),11173)</f>
        <v>11173</v>
      </c>
      <c r="BU101" s="573">
        <f ca="1">IFERROR(__xludf.DUMMYFUNCTION("IMPORTRANGE(""https://docs.google.com/spreadsheets/d/1-fhVXPMm30suWK0-eslVgeT9cTVfCsDeUsq7Bk5UZE8/edit?usp=sharing"",""ทั้งประเทศ!J417"")"),598)</f>
        <v>598</v>
      </c>
      <c r="BV101" s="552">
        <v>0</v>
      </c>
      <c r="BW101" s="552">
        <v>0</v>
      </c>
      <c r="BX101" s="552">
        <f t="shared" si="163"/>
        <v>0</v>
      </c>
      <c r="BY101" s="554">
        <f t="shared" si="164"/>
        <v>0</v>
      </c>
      <c r="BZ101" s="552">
        <f t="shared" si="165"/>
        <v>0</v>
      </c>
      <c r="CA101" s="554">
        <f t="shared" si="166"/>
        <v>0</v>
      </c>
      <c r="CB101" s="552">
        <v>0</v>
      </c>
      <c r="CC101" s="552">
        <v>0</v>
      </c>
      <c r="CD101" s="552">
        <v>0</v>
      </c>
      <c r="CE101" s="552">
        <v>0</v>
      </c>
      <c r="CF101" s="552">
        <v>0</v>
      </c>
      <c r="CG101" s="558">
        <v>0</v>
      </c>
    </row>
    <row r="102" spans="1:85" ht="24" hidden="1" customHeight="1">
      <c r="A102" s="571">
        <f t="shared" si="167"/>
        <v>11</v>
      </c>
      <c r="B102" s="572" t="s">
        <v>126</v>
      </c>
      <c r="C102" s="551">
        <f t="shared" ca="1" si="152"/>
        <v>0</v>
      </c>
      <c r="D102" s="552">
        <f ca="1">IFERROR(__xludf.DUMMYFUNCTION("IMPORTRANGE(""https://docs.google.com/spreadsheets/d/1C3CXT74ZlgGe6_JY_1olB1XN4rF0dxEuIIF-xsYjHgg/edit?usp=sharing"",""งบกองทุน!BC106"")"),0)</f>
        <v>0</v>
      </c>
      <c r="E102" s="552">
        <f ca="1">IFERROR(__xludf.DUMMYFUNCTION("IMPORTRANGE(""https://docs.google.com/spreadsheets/d/1C3CXT74ZlgGe6_JY_1olB1XN4rF0dxEuIIF-xsYjHgg/edit?usp=sharing"",""งบกองทุน!BD106"")"),0)</f>
        <v>0</v>
      </c>
      <c r="F102" s="554">
        <v>0</v>
      </c>
      <c r="G102" s="554">
        <f t="shared" ca="1" si="1"/>
        <v>0</v>
      </c>
      <c r="H102" s="552">
        <f ca="1">IFERROR(__xludf.DUMMYFUNCTION("IMPORTRANGE(""https://docs.google.com/spreadsheets/d/1C3CXT74ZlgGe6_JY_1olB1XN4rF0dxEuIIF-xsYjHgg/edit?usp=sharing"",""งบกองทุน!BE106"")"),0)</f>
        <v>0</v>
      </c>
      <c r="I102" s="552">
        <f ca="1">IFERROR(__xludf.DUMMYFUNCTION("IMPORTRANGE(""https://docs.google.com/spreadsheets/d/1C3CXT74ZlgGe6_JY_1olB1XN4rF0dxEuIIF-xsYjHgg/edit?usp=sharing"",""งบกองทุน!BF106"")"),0)</f>
        <v>0</v>
      </c>
      <c r="J102" s="552">
        <f t="shared" si="153"/>
        <v>0</v>
      </c>
      <c r="K102" s="554">
        <f t="shared" ca="1" si="3"/>
        <v>0</v>
      </c>
      <c r="L102" s="552">
        <f t="shared" si="154"/>
        <v>0</v>
      </c>
      <c r="M102" s="554">
        <f t="shared" ca="1" si="4"/>
        <v>0</v>
      </c>
      <c r="N102" s="552">
        <v>0</v>
      </c>
      <c r="O102" s="552">
        <v>0</v>
      </c>
      <c r="P102" s="552">
        <v>0</v>
      </c>
      <c r="Q102" s="552">
        <v>0</v>
      </c>
      <c r="R102" s="552">
        <v>0</v>
      </c>
      <c r="S102" s="552">
        <v>0</v>
      </c>
      <c r="T102" s="552">
        <f t="shared" si="155"/>
        <v>0</v>
      </c>
      <c r="U102" s="552">
        <f t="shared" ca="1" si="6"/>
        <v>0</v>
      </c>
      <c r="V102" s="552">
        <f t="shared" si="156"/>
        <v>0</v>
      </c>
      <c r="W102" s="552">
        <f t="shared" ca="1" si="7"/>
        <v>0</v>
      </c>
      <c r="X102" s="552">
        <v>0</v>
      </c>
      <c r="Y102" s="552">
        <v>0</v>
      </c>
      <c r="Z102" s="552">
        <v>0</v>
      </c>
      <c r="AA102" s="552">
        <v>0</v>
      </c>
      <c r="AB102" s="552">
        <v>0</v>
      </c>
      <c r="AC102" s="552">
        <v>0</v>
      </c>
      <c r="AD102" s="552">
        <f t="shared" si="157"/>
        <v>0</v>
      </c>
      <c r="AE102" s="554">
        <f t="shared" ca="1" si="9"/>
        <v>0</v>
      </c>
      <c r="AF102" s="552">
        <f t="shared" si="158"/>
        <v>0</v>
      </c>
      <c r="AG102" s="554">
        <f t="shared" ca="1" si="10"/>
        <v>0</v>
      </c>
      <c r="AH102" s="552">
        <v>0</v>
      </c>
      <c r="AI102" s="552">
        <v>0</v>
      </c>
      <c r="AJ102" s="552">
        <v>0</v>
      </c>
      <c r="AK102" s="552">
        <v>0</v>
      </c>
      <c r="AL102" s="552">
        <v>0</v>
      </c>
      <c r="AM102" s="552">
        <v>0</v>
      </c>
      <c r="AN102" s="552">
        <v>0</v>
      </c>
      <c r="AO102" s="552">
        <v>0</v>
      </c>
      <c r="AP102" s="552">
        <v>0</v>
      </c>
      <c r="AQ102" s="552">
        <v>0</v>
      </c>
      <c r="AR102" s="552">
        <v>0</v>
      </c>
      <c r="AS102" s="552">
        <v>0</v>
      </c>
      <c r="AT102" s="552">
        <f ca="1">IFERROR(__xludf.DUMMYFUNCTION("IMPORTRANGE(""https://docs.google.com/spreadsheets/d/1C3CXT74ZlgGe6_JY_1olB1XN4rF0dxEuIIF-xsYjHgg/edit?usp=sharing"",""งบกองทุน!CD106"")"),0)</f>
        <v>0</v>
      </c>
      <c r="AU102" s="552">
        <f ca="1">IFERROR(__xludf.DUMMYFUNCTION("IMPORTRANGE(""https://docs.google.com/spreadsheets/d/1C3CXT74ZlgGe6_JY_1olB1XN4rF0dxEuIIF-xsYjHgg/edit?usp=sharing"",""งบกองทุน!CC106"")"),0)</f>
        <v>0</v>
      </c>
      <c r="AV102" s="552">
        <f t="shared" si="159"/>
        <v>0</v>
      </c>
      <c r="AW102" s="552">
        <f t="shared" ca="1" si="12"/>
        <v>0</v>
      </c>
      <c r="AX102" s="552">
        <f t="shared" si="160"/>
        <v>0</v>
      </c>
      <c r="AY102" s="552">
        <f t="shared" ca="1" si="13"/>
        <v>0</v>
      </c>
      <c r="AZ102" s="552">
        <v>0</v>
      </c>
      <c r="BA102" s="552">
        <v>0</v>
      </c>
      <c r="BB102" s="552">
        <v>0</v>
      </c>
      <c r="BC102" s="552">
        <v>0</v>
      </c>
      <c r="BD102" s="552">
        <v>0</v>
      </c>
      <c r="BE102" s="552">
        <v>0</v>
      </c>
      <c r="BF102" s="552">
        <v>0</v>
      </c>
      <c r="BG102" s="552">
        <v>0</v>
      </c>
      <c r="BH102" s="552">
        <v>0</v>
      </c>
      <c r="BI102" s="552">
        <v>0</v>
      </c>
      <c r="BJ102" s="552">
        <v>0</v>
      </c>
      <c r="BK102" s="552">
        <v>0</v>
      </c>
      <c r="BL102" s="552">
        <f ca="1">IFERROR(__xludf.DUMMYFUNCTION("IMPORTRANGE(""https://docs.google.com/spreadsheets/d/1C3CXT74ZlgGe6_JY_1olB1XN4rF0dxEuIIF-xsYjHgg/edit?usp=sharing"",""งบกองทุน!CZ106"")"),0)</f>
        <v>0</v>
      </c>
      <c r="BM102" s="552">
        <f ca="1">IFERROR(__xludf.DUMMYFUNCTION("IMPORTRANGE(""https://docs.google.com/spreadsheets/d/1C3CXT74ZlgGe6_JY_1olB1XN4rF0dxEuIIF-xsYjHgg/edit?usp=sharing"",""งบกองทุน!CY106"")"),0)</f>
        <v>0</v>
      </c>
      <c r="BN102" s="552">
        <f t="shared" si="137"/>
        <v>0</v>
      </c>
      <c r="BO102" s="554">
        <f t="shared" ca="1" si="161"/>
        <v>0</v>
      </c>
      <c r="BP102" s="552">
        <f t="shared" si="162"/>
        <v>0</v>
      </c>
      <c r="BQ102" s="554">
        <f t="shared" ca="1" si="16"/>
        <v>0</v>
      </c>
      <c r="BR102" s="552">
        <v>0</v>
      </c>
      <c r="BS102" s="552">
        <v>0</v>
      </c>
      <c r="BT102" s="552">
        <v>0</v>
      </c>
      <c r="BU102" s="552">
        <v>0</v>
      </c>
      <c r="BV102" s="552">
        <v>0</v>
      </c>
      <c r="BW102" s="552">
        <v>0</v>
      </c>
      <c r="BX102" s="552">
        <f t="shared" si="163"/>
        <v>0</v>
      </c>
      <c r="BY102" s="554">
        <f t="shared" si="164"/>
        <v>0</v>
      </c>
      <c r="BZ102" s="552">
        <f t="shared" si="165"/>
        <v>0</v>
      </c>
      <c r="CA102" s="554">
        <f t="shared" si="166"/>
        <v>0</v>
      </c>
      <c r="CB102" s="552">
        <v>0</v>
      </c>
      <c r="CC102" s="552">
        <v>0</v>
      </c>
      <c r="CD102" s="552">
        <v>0</v>
      </c>
      <c r="CE102" s="552">
        <v>0</v>
      </c>
      <c r="CF102" s="552">
        <v>0</v>
      </c>
      <c r="CG102" s="558">
        <v>0</v>
      </c>
    </row>
    <row r="103" spans="1:85" ht="24" hidden="1" customHeight="1">
      <c r="A103" s="571">
        <f t="shared" si="167"/>
        <v>12</v>
      </c>
      <c r="B103" s="572" t="s">
        <v>127</v>
      </c>
      <c r="C103" s="551">
        <f t="shared" ca="1" si="152"/>
        <v>6095150</v>
      </c>
      <c r="D103" s="552">
        <f ca="1">IFERROR(__xludf.DUMMYFUNCTION("IMPORTRANGE(""https://docs.google.com/spreadsheets/d/1C3CXT74ZlgGe6_JY_1olB1XN4rF0dxEuIIF-xsYjHgg/edit?usp=sharing"",""งบกองทุน!BC107"")"),0)</f>
        <v>0</v>
      </c>
      <c r="E103" s="552">
        <f ca="1">IFERROR(__xludf.DUMMYFUNCTION("IMPORTRANGE(""https://docs.google.com/spreadsheets/d/1C3CXT74ZlgGe6_JY_1olB1XN4rF0dxEuIIF-xsYjHgg/edit?usp=sharing"",""งบกองทุน!BD107"")"),6095150)</f>
        <v>6095150</v>
      </c>
      <c r="F103" s="554">
        <v>0</v>
      </c>
      <c r="G103" s="554">
        <f t="shared" ca="1" si="1"/>
        <v>0</v>
      </c>
      <c r="H103" s="552">
        <f ca="1">IFERROR(__xludf.DUMMYFUNCTION("IMPORTRANGE(""https://docs.google.com/spreadsheets/d/1C3CXT74ZlgGe6_JY_1olB1XN4rF0dxEuIIF-xsYjHgg/edit?usp=sharing"",""งบกองทุน!BE107"")"),0)</f>
        <v>0</v>
      </c>
      <c r="I103" s="552">
        <f ca="1">IFERROR(__xludf.DUMMYFUNCTION("IMPORTRANGE(""https://docs.google.com/spreadsheets/d/1C3CXT74ZlgGe6_JY_1olB1XN4rF0dxEuIIF-xsYjHgg/edit?usp=sharing"",""งบกองทุน!BF107"")"),0)</f>
        <v>0</v>
      </c>
      <c r="J103" s="552">
        <f t="shared" si="153"/>
        <v>0</v>
      </c>
      <c r="K103" s="554">
        <f t="shared" ca="1" si="3"/>
        <v>0</v>
      </c>
      <c r="L103" s="552">
        <f t="shared" si="154"/>
        <v>0</v>
      </c>
      <c r="M103" s="554">
        <f t="shared" ca="1" si="4"/>
        <v>0</v>
      </c>
      <c r="N103" s="552">
        <v>0</v>
      </c>
      <c r="O103" s="552">
        <v>0</v>
      </c>
      <c r="P103" s="552">
        <v>0</v>
      </c>
      <c r="Q103" s="552">
        <v>0</v>
      </c>
      <c r="R103" s="552">
        <v>0</v>
      </c>
      <c r="S103" s="552">
        <v>0</v>
      </c>
      <c r="T103" s="552">
        <f t="shared" si="155"/>
        <v>0</v>
      </c>
      <c r="U103" s="552">
        <f t="shared" ca="1" si="6"/>
        <v>0</v>
      </c>
      <c r="V103" s="552">
        <f t="shared" si="156"/>
        <v>0</v>
      </c>
      <c r="W103" s="552">
        <f t="shared" ca="1" si="7"/>
        <v>0</v>
      </c>
      <c r="X103" s="552">
        <v>0</v>
      </c>
      <c r="Y103" s="552">
        <v>0</v>
      </c>
      <c r="Z103" s="552">
        <v>0</v>
      </c>
      <c r="AA103" s="552">
        <v>0</v>
      </c>
      <c r="AB103" s="552">
        <v>0</v>
      </c>
      <c r="AC103" s="552">
        <v>0</v>
      </c>
      <c r="AD103" s="552">
        <f t="shared" si="157"/>
        <v>0</v>
      </c>
      <c r="AE103" s="554">
        <f t="shared" ca="1" si="9"/>
        <v>0</v>
      </c>
      <c r="AF103" s="552">
        <f t="shared" si="158"/>
        <v>0</v>
      </c>
      <c r="AG103" s="554">
        <f t="shared" ca="1" si="10"/>
        <v>0</v>
      </c>
      <c r="AH103" s="552">
        <v>0</v>
      </c>
      <c r="AI103" s="552">
        <v>0</v>
      </c>
      <c r="AJ103" s="552">
        <v>0</v>
      </c>
      <c r="AK103" s="552">
        <v>0</v>
      </c>
      <c r="AL103" s="552">
        <v>0</v>
      </c>
      <c r="AM103" s="552">
        <v>0</v>
      </c>
      <c r="AN103" s="552">
        <v>0</v>
      </c>
      <c r="AO103" s="552">
        <v>0</v>
      </c>
      <c r="AP103" s="552">
        <v>0</v>
      </c>
      <c r="AQ103" s="552">
        <v>0</v>
      </c>
      <c r="AR103" s="552">
        <v>0</v>
      </c>
      <c r="AS103" s="552">
        <v>0</v>
      </c>
      <c r="AT103" s="552">
        <f ca="1">IFERROR(__xludf.DUMMYFUNCTION("IMPORTRANGE(""https://docs.google.com/spreadsheets/d/1C3CXT74ZlgGe6_JY_1olB1XN4rF0dxEuIIF-xsYjHgg/edit?usp=sharing"",""งบกองทุน!CD107"")"),0)</f>
        <v>0</v>
      </c>
      <c r="AU103" s="552">
        <f ca="1">IFERROR(__xludf.DUMMYFUNCTION("IMPORTRANGE(""https://docs.google.com/spreadsheets/d/1C3CXT74ZlgGe6_JY_1olB1XN4rF0dxEuIIF-xsYjHgg/edit?usp=sharing"",""งบกองทุน!CC107"")"),0)</f>
        <v>0</v>
      </c>
      <c r="AV103" s="552">
        <f t="shared" si="159"/>
        <v>0</v>
      </c>
      <c r="AW103" s="552">
        <f t="shared" ca="1" si="12"/>
        <v>0</v>
      </c>
      <c r="AX103" s="552">
        <f t="shared" si="160"/>
        <v>0</v>
      </c>
      <c r="AY103" s="552">
        <f t="shared" ca="1" si="13"/>
        <v>0</v>
      </c>
      <c r="AZ103" s="552">
        <v>0</v>
      </c>
      <c r="BA103" s="552">
        <v>0</v>
      </c>
      <c r="BB103" s="552">
        <v>0</v>
      </c>
      <c r="BC103" s="552">
        <v>0</v>
      </c>
      <c r="BD103" s="552">
        <v>0</v>
      </c>
      <c r="BE103" s="552">
        <v>0</v>
      </c>
      <c r="BF103" s="552">
        <v>0</v>
      </c>
      <c r="BG103" s="552">
        <v>0</v>
      </c>
      <c r="BH103" s="552">
        <v>0</v>
      </c>
      <c r="BI103" s="552">
        <v>0</v>
      </c>
      <c r="BJ103" s="552">
        <v>0</v>
      </c>
      <c r="BK103" s="552">
        <v>0</v>
      </c>
      <c r="BL103" s="552">
        <f ca="1">IFERROR(__xludf.DUMMYFUNCTION("IMPORTRANGE(""https://docs.google.com/spreadsheets/d/1C3CXT74ZlgGe6_JY_1olB1XN4rF0dxEuIIF-xsYjHgg/edit?usp=sharing"",""งบกองทุน!CZ107"")"),0)</f>
        <v>0</v>
      </c>
      <c r="BM103" s="552">
        <f ca="1">IFERROR(__xludf.DUMMYFUNCTION("IMPORTRANGE(""https://docs.google.com/spreadsheets/d/1C3CXT74ZlgGe6_JY_1olB1XN4rF0dxEuIIF-xsYjHgg/edit?usp=sharing"",""งบกองทุน!CY107"")"),0)</f>
        <v>0</v>
      </c>
      <c r="BN103" s="552">
        <f t="shared" si="137"/>
        <v>0</v>
      </c>
      <c r="BO103" s="554">
        <f t="shared" ca="1" si="161"/>
        <v>0</v>
      </c>
      <c r="BP103" s="552">
        <f t="shared" si="162"/>
        <v>0</v>
      </c>
      <c r="BQ103" s="554">
        <f t="shared" ca="1" si="16"/>
        <v>0</v>
      </c>
      <c r="BR103" s="552">
        <v>0</v>
      </c>
      <c r="BS103" s="552">
        <v>0</v>
      </c>
      <c r="BT103" s="552">
        <v>0</v>
      </c>
      <c r="BU103" s="552">
        <v>0</v>
      </c>
      <c r="BV103" s="552">
        <v>0</v>
      </c>
      <c r="BW103" s="552">
        <v>0</v>
      </c>
      <c r="BX103" s="552">
        <f t="shared" si="163"/>
        <v>0</v>
      </c>
      <c r="BY103" s="554">
        <f t="shared" si="164"/>
        <v>0</v>
      </c>
      <c r="BZ103" s="552">
        <f t="shared" si="165"/>
        <v>0</v>
      </c>
      <c r="CA103" s="554">
        <f t="shared" si="166"/>
        <v>0</v>
      </c>
      <c r="CB103" s="552">
        <v>0</v>
      </c>
      <c r="CC103" s="552">
        <v>0</v>
      </c>
      <c r="CD103" s="552">
        <v>0</v>
      </c>
      <c r="CE103" s="552">
        <v>0</v>
      </c>
      <c r="CF103" s="552">
        <v>0</v>
      </c>
      <c r="CG103" s="558">
        <v>0</v>
      </c>
    </row>
    <row r="104" spans="1:85" ht="24" hidden="1" customHeight="1">
      <c r="A104" s="571">
        <f t="shared" si="167"/>
        <v>13</v>
      </c>
      <c r="B104" s="572" t="s">
        <v>128</v>
      </c>
      <c r="C104" s="551">
        <f t="shared" ca="1" si="152"/>
        <v>0</v>
      </c>
      <c r="D104" s="552">
        <f ca="1">IFERROR(__xludf.DUMMYFUNCTION("IMPORTRANGE(""https://docs.google.com/spreadsheets/d/1C3CXT74ZlgGe6_JY_1olB1XN4rF0dxEuIIF-xsYjHgg/edit?usp=sharing"",""งบกองทุน!BC108"")"),0)</f>
        <v>0</v>
      </c>
      <c r="E104" s="552">
        <f ca="1">IFERROR(__xludf.DUMMYFUNCTION("IMPORTRANGE(""https://docs.google.com/spreadsheets/d/1C3CXT74ZlgGe6_JY_1olB1XN4rF0dxEuIIF-xsYjHgg/edit?usp=sharing"",""งบกองทุน!BD108"")"),0)</f>
        <v>0</v>
      </c>
      <c r="F104" s="554">
        <v>0</v>
      </c>
      <c r="G104" s="554">
        <f t="shared" ca="1" si="1"/>
        <v>0</v>
      </c>
      <c r="H104" s="552">
        <f ca="1">IFERROR(__xludf.DUMMYFUNCTION("IMPORTRANGE(""https://docs.google.com/spreadsheets/d/1C3CXT74ZlgGe6_JY_1olB1XN4rF0dxEuIIF-xsYjHgg/edit?usp=sharing"",""งบกองทุน!BE108"")"),0)</f>
        <v>0</v>
      </c>
      <c r="I104" s="552">
        <f ca="1">IFERROR(__xludf.DUMMYFUNCTION("IMPORTRANGE(""https://docs.google.com/spreadsheets/d/1C3CXT74ZlgGe6_JY_1olB1XN4rF0dxEuIIF-xsYjHgg/edit?usp=sharing"",""งบกองทุน!BF108"")"),0)</f>
        <v>0</v>
      </c>
      <c r="J104" s="552">
        <f t="shared" si="153"/>
        <v>0</v>
      </c>
      <c r="K104" s="554">
        <f t="shared" ca="1" si="3"/>
        <v>0</v>
      </c>
      <c r="L104" s="552">
        <f t="shared" si="154"/>
        <v>0</v>
      </c>
      <c r="M104" s="554">
        <f t="shared" ca="1" si="4"/>
        <v>0</v>
      </c>
      <c r="N104" s="552">
        <v>0</v>
      </c>
      <c r="O104" s="552">
        <v>0</v>
      </c>
      <c r="P104" s="552">
        <v>0</v>
      </c>
      <c r="Q104" s="552">
        <v>0</v>
      </c>
      <c r="R104" s="552">
        <v>0</v>
      </c>
      <c r="S104" s="552">
        <v>0</v>
      </c>
      <c r="T104" s="552">
        <f t="shared" si="155"/>
        <v>0</v>
      </c>
      <c r="U104" s="552">
        <f t="shared" ca="1" si="6"/>
        <v>0</v>
      </c>
      <c r="V104" s="552">
        <f t="shared" si="156"/>
        <v>0</v>
      </c>
      <c r="W104" s="552">
        <f t="shared" ca="1" si="7"/>
        <v>0</v>
      </c>
      <c r="X104" s="552">
        <v>0</v>
      </c>
      <c r="Y104" s="552">
        <v>0</v>
      </c>
      <c r="Z104" s="552">
        <v>0</v>
      </c>
      <c r="AA104" s="552">
        <v>0</v>
      </c>
      <c r="AB104" s="552">
        <v>0</v>
      </c>
      <c r="AC104" s="552">
        <v>0</v>
      </c>
      <c r="AD104" s="552">
        <f t="shared" si="157"/>
        <v>0</v>
      </c>
      <c r="AE104" s="554">
        <f t="shared" ca="1" si="9"/>
        <v>0</v>
      </c>
      <c r="AF104" s="552">
        <f t="shared" si="158"/>
        <v>0</v>
      </c>
      <c r="AG104" s="554">
        <f t="shared" ca="1" si="10"/>
        <v>0</v>
      </c>
      <c r="AH104" s="552">
        <v>0</v>
      </c>
      <c r="AI104" s="552">
        <v>0</v>
      </c>
      <c r="AJ104" s="552">
        <v>0</v>
      </c>
      <c r="AK104" s="552">
        <v>0</v>
      </c>
      <c r="AL104" s="552">
        <v>0</v>
      </c>
      <c r="AM104" s="552">
        <v>0</v>
      </c>
      <c r="AN104" s="552">
        <v>0</v>
      </c>
      <c r="AO104" s="552">
        <v>0</v>
      </c>
      <c r="AP104" s="552">
        <v>0</v>
      </c>
      <c r="AQ104" s="552">
        <v>0</v>
      </c>
      <c r="AR104" s="552">
        <v>0</v>
      </c>
      <c r="AS104" s="552">
        <v>0</v>
      </c>
      <c r="AT104" s="552">
        <f ca="1">IFERROR(__xludf.DUMMYFUNCTION("IMPORTRANGE(""https://docs.google.com/spreadsheets/d/1C3CXT74ZlgGe6_JY_1olB1XN4rF0dxEuIIF-xsYjHgg/edit?usp=sharing"",""งบกองทุน!CD108"")"),0)</f>
        <v>0</v>
      </c>
      <c r="AU104" s="552">
        <f ca="1">IFERROR(__xludf.DUMMYFUNCTION("IMPORTRANGE(""https://docs.google.com/spreadsheets/d/1C3CXT74ZlgGe6_JY_1olB1XN4rF0dxEuIIF-xsYjHgg/edit?usp=sharing"",""งบกองทุน!CC108"")"),0)</f>
        <v>0</v>
      </c>
      <c r="AV104" s="552">
        <f t="shared" si="159"/>
        <v>0</v>
      </c>
      <c r="AW104" s="552">
        <f t="shared" ca="1" si="12"/>
        <v>0</v>
      </c>
      <c r="AX104" s="552">
        <f t="shared" si="160"/>
        <v>0</v>
      </c>
      <c r="AY104" s="552">
        <f t="shared" ca="1" si="13"/>
        <v>0</v>
      </c>
      <c r="AZ104" s="552">
        <v>0</v>
      </c>
      <c r="BA104" s="552">
        <v>0</v>
      </c>
      <c r="BB104" s="552">
        <v>0</v>
      </c>
      <c r="BC104" s="552">
        <v>0</v>
      </c>
      <c r="BD104" s="552">
        <v>0</v>
      </c>
      <c r="BE104" s="552">
        <v>0</v>
      </c>
      <c r="BF104" s="552">
        <v>0</v>
      </c>
      <c r="BG104" s="552">
        <v>0</v>
      </c>
      <c r="BH104" s="552">
        <v>0</v>
      </c>
      <c r="BI104" s="552">
        <v>0</v>
      </c>
      <c r="BJ104" s="552">
        <v>0</v>
      </c>
      <c r="BK104" s="552">
        <v>0</v>
      </c>
      <c r="BL104" s="552">
        <f ca="1">IFERROR(__xludf.DUMMYFUNCTION("IMPORTRANGE(""https://docs.google.com/spreadsheets/d/1C3CXT74ZlgGe6_JY_1olB1XN4rF0dxEuIIF-xsYjHgg/edit?usp=sharing"",""งบกองทุน!CZ108"")"),0)</f>
        <v>0</v>
      </c>
      <c r="BM104" s="552">
        <f ca="1">IFERROR(__xludf.DUMMYFUNCTION("IMPORTRANGE(""https://docs.google.com/spreadsheets/d/1C3CXT74ZlgGe6_JY_1olB1XN4rF0dxEuIIF-xsYjHgg/edit?usp=sharing"",""งบกองทุน!CY108"")"),0)</f>
        <v>0</v>
      </c>
      <c r="BN104" s="552">
        <f t="shared" si="137"/>
        <v>0</v>
      </c>
      <c r="BO104" s="554">
        <f t="shared" ca="1" si="161"/>
        <v>0</v>
      </c>
      <c r="BP104" s="552">
        <f t="shared" si="162"/>
        <v>0</v>
      </c>
      <c r="BQ104" s="554">
        <f t="shared" ca="1" si="16"/>
        <v>0</v>
      </c>
      <c r="BR104" s="552">
        <v>0</v>
      </c>
      <c r="BS104" s="552">
        <v>0</v>
      </c>
      <c r="BT104" s="552">
        <v>0</v>
      </c>
      <c r="BU104" s="552">
        <v>0</v>
      </c>
      <c r="BV104" s="552">
        <v>0</v>
      </c>
      <c r="BW104" s="552">
        <v>0</v>
      </c>
      <c r="BX104" s="552">
        <f t="shared" si="163"/>
        <v>0</v>
      </c>
      <c r="BY104" s="554">
        <f t="shared" si="164"/>
        <v>0</v>
      </c>
      <c r="BZ104" s="552">
        <f t="shared" si="165"/>
        <v>0</v>
      </c>
      <c r="CA104" s="554">
        <f t="shared" si="166"/>
        <v>0</v>
      </c>
      <c r="CB104" s="552">
        <v>0</v>
      </c>
      <c r="CC104" s="552">
        <v>0</v>
      </c>
      <c r="CD104" s="552">
        <v>0</v>
      </c>
      <c r="CE104" s="552">
        <v>0</v>
      </c>
      <c r="CF104" s="552">
        <v>0</v>
      </c>
      <c r="CG104" s="558">
        <v>0</v>
      </c>
    </row>
    <row r="105" spans="1:85" ht="24" hidden="1" customHeight="1">
      <c r="A105" s="574">
        <f t="shared" si="167"/>
        <v>14</v>
      </c>
      <c r="B105" s="575" t="s">
        <v>129</v>
      </c>
      <c r="C105" s="561">
        <f t="shared" ca="1" si="152"/>
        <v>0</v>
      </c>
      <c r="D105" s="562">
        <f ca="1">IFERROR(__xludf.DUMMYFUNCTION("IMPORTRANGE(""https://docs.google.com/spreadsheets/d/1C3CXT74ZlgGe6_JY_1olB1XN4rF0dxEuIIF-xsYjHgg/edit?usp=sharing"",""งบกองทุน!BC109"")"),0)</f>
        <v>0</v>
      </c>
      <c r="E105" s="562">
        <f ca="1">IFERROR(__xludf.DUMMYFUNCTION("IMPORTRANGE(""https://docs.google.com/spreadsheets/d/1C3CXT74ZlgGe6_JY_1olB1XN4rF0dxEuIIF-xsYjHgg/edit?usp=sharing"",""งบกองทุน!BD109"")"),0)</f>
        <v>0</v>
      </c>
      <c r="F105" s="564">
        <v>0</v>
      </c>
      <c r="G105" s="564">
        <f t="shared" ca="1" si="1"/>
        <v>0</v>
      </c>
      <c r="H105" s="562">
        <f ca="1">IFERROR(__xludf.DUMMYFUNCTION("IMPORTRANGE(""https://docs.google.com/spreadsheets/d/1C3CXT74ZlgGe6_JY_1olB1XN4rF0dxEuIIF-xsYjHgg/edit?usp=sharing"",""งบกองทุน!BE109"")"),0)</f>
        <v>0</v>
      </c>
      <c r="I105" s="562">
        <f ca="1">IFERROR(__xludf.DUMMYFUNCTION("IMPORTRANGE(""https://docs.google.com/spreadsheets/d/1C3CXT74ZlgGe6_JY_1olB1XN4rF0dxEuIIF-xsYjHgg/edit?usp=sharing"",""งบกองทุน!BF109"")"),0)</f>
        <v>0</v>
      </c>
      <c r="J105" s="562">
        <f t="shared" si="153"/>
        <v>0</v>
      </c>
      <c r="K105" s="564">
        <f t="shared" ca="1" si="3"/>
        <v>0</v>
      </c>
      <c r="L105" s="562">
        <f t="shared" si="154"/>
        <v>0</v>
      </c>
      <c r="M105" s="564">
        <f t="shared" ca="1" si="4"/>
        <v>0</v>
      </c>
      <c r="N105" s="562">
        <v>0</v>
      </c>
      <c r="O105" s="562">
        <v>0</v>
      </c>
      <c r="P105" s="562">
        <v>0</v>
      </c>
      <c r="Q105" s="562">
        <v>0</v>
      </c>
      <c r="R105" s="562">
        <v>0</v>
      </c>
      <c r="S105" s="562">
        <v>0</v>
      </c>
      <c r="T105" s="562">
        <f t="shared" si="155"/>
        <v>0</v>
      </c>
      <c r="U105" s="562">
        <f t="shared" ca="1" si="6"/>
        <v>0</v>
      </c>
      <c r="V105" s="562">
        <f t="shared" si="156"/>
        <v>0</v>
      </c>
      <c r="W105" s="562">
        <f t="shared" ca="1" si="7"/>
        <v>0</v>
      </c>
      <c r="X105" s="562">
        <v>0</v>
      </c>
      <c r="Y105" s="562">
        <v>0</v>
      </c>
      <c r="Z105" s="562">
        <v>0</v>
      </c>
      <c r="AA105" s="562">
        <v>0</v>
      </c>
      <c r="AB105" s="562">
        <v>0</v>
      </c>
      <c r="AC105" s="562">
        <v>0</v>
      </c>
      <c r="AD105" s="562">
        <f t="shared" si="157"/>
        <v>0</v>
      </c>
      <c r="AE105" s="564">
        <f t="shared" ca="1" si="9"/>
        <v>0</v>
      </c>
      <c r="AF105" s="562">
        <f t="shared" si="158"/>
        <v>0</v>
      </c>
      <c r="AG105" s="564">
        <f t="shared" ca="1" si="10"/>
        <v>0</v>
      </c>
      <c r="AH105" s="562">
        <v>0</v>
      </c>
      <c r="AI105" s="562">
        <v>0</v>
      </c>
      <c r="AJ105" s="562">
        <v>0</v>
      </c>
      <c r="AK105" s="562">
        <v>0</v>
      </c>
      <c r="AL105" s="562">
        <v>0</v>
      </c>
      <c r="AM105" s="562">
        <v>0</v>
      </c>
      <c r="AN105" s="562">
        <v>0</v>
      </c>
      <c r="AO105" s="562">
        <v>0</v>
      </c>
      <c r="AP105" s="562">
        <v>0</v>
      </c>
      <c r="AQ105" s="562">
        <v>0</v>
      </c>
      <c r="AR105" s="562">
        <v>0</v>
      </c>
      <c r="AS105" s="562">
        <v>0</v>
      </c>
      <c r="AT105" s="562">
        <f ca="1">IFERROR(__xludf.DUMMYFUNCTION("IMPORTRANGE(""https://docs.google.com/spreadsheets/d/1C3CXT74ZlgGe6_JY_1olB1XN4rF0dxEuIIF-xsYjHgg/edit?usp=sharing"",""งบกองทุน!CD109"")"),0)</f>
        <v>0</v>
      </c>
      <c r="AU105" s="562">
        <f ca="1">IFERROR(__xludf.DUMMYFUNCTION("IMPORTRANGE(""https://docs.google.com/spreadsheets/d/1C3CXT74ZlgGe6_JY_1olB1XN4rF0dxEuIIF-xsYjHgg/edit?usp=sharing"",""งบกองทุน!CC109"")"),0)</f>
        <v>0</v>
      </c>
      <c r="AV105" s="562">
        <f t="shared" si="159"/>
        <v>0</v>
      </c>
      <c r="AW105" s="562">
        <f t="shared" ca="1" si="12"/>
        <v>0</v>
      </c>
      <c r="AX105" s="562">
        <f t="shared" si="160"/>
        <v>0</v>
      </c>
      <c r="AY105" s="562">
        <f t="shared" ca="1" si="13"/>
        <v>0</v>
      </c>
      <c r="AZ105" s="562">
        <v>0</v>
      </c>
      <c r="BA105" s="562">
        <v>0</v>
      </c>
      <c r="BB105" s="562">
        <v>0</v>
      </c>
      <c r="BC105" s="562">
        <v>0</v>
      </c>
      <c r="BD105" s="562">
        <v>0</v>
      </c>
      <c r="BE105" s="562">
        <v>0</v>
      </c>
      <c r="BF105" s="562">
        <v>0</v>
      </c>
      <c r="BG105" s="562">
        <v>0</v>
      </c>
      <c r="BH105" s="562">
        <v>0</v>
      </c>
      <c r="BI105" s="562">
        <v>0</v>
      </c>
      <c r="BJ105" s="562">
        <v>0</v>
      </c>
      <c r="BK105" s="562">
        <v>0</v>
      </c>
      <c r="BL105" s="562">
        <f ca="1">IFERROR(__xludf.DUMMYFUNCTION("IMPORTRANGE(""https://docs.google.com/spreadsheets/d/1C3CXT74ZlgGe6_JY_1olB1XN4rF0dxEuIIF-xsYjHgg/edit?usp=sharing"",""งบกองทุน!CZ109"")"),0)</f>
        <v>0</v>
      </c>
      <c r="BM105" s="562">
        <f ca="1">IFERROR(__xludf.DUMMYFUNCTION("IMPORTRANGE(""https://docs.google.com/spreadsheets/d/1C3CXT74ZlgGe6_JY_1olB1XN4rF0dxEuIIF-xsYjHgg/edit?usp=sharing"",""งบกองทุน!CY109"")"),0)</f>
        <v>0</v>
      </c>
      <c r="BN105" s="562">
        <f t="shared" si="137"/>
        <v>0</v>
      </c>
      <c r="BO105" s="564">
        <f t="shared" ca="1" si="161"/>
        <v>0</v>
      </c>
      <c r="BP105" s="562">
        <f t="shared" si="162"/>
        <v>0</v>
      </c>
      <c r="BQ105" s="564">
        <f t="shared" ca="1" si="16"/>
        <v>0</v>
      </c>
      <c r="BR105" s="562">
        <v>0</v>
      </c>
      <c r="BS105" s="562">
        <v>0</v>
      </c>
      <c r="BT105" s="562">
        <v>0</v>
      </c>
      <c r="BU105" s="562">
        <v>0</v>
      </c>
      <c r="BV105" s="562">
        <v>0</v>
      </c>
      <c r="BW105" s="562">
        <v>0</v>
      </c>
      <c r="BX105" s="562">
        <f t="shared" si="163"/>
        <v>0</v>
      </c>
      <c r="BY105" s="564">
        <f t="shared" si="164"/>
        <v>0</v>
      </c>
      <c r="BZ105" s="562">
        <f t="shared" si="165"/>
        <v>0</v>
      </c>
      <c r="CA105" s="564">
        <f t="shared" si="166"/>
        <v>0</v>
      </c>
      <c r="CB105" s="562">
        <v>0</v>
      </c>
      <c r="CC105" s="562">
        <v>0</v>
      </c>
      <c r="CD105" s="562">
        <v>0</v>
      </c>
      <c r="CE105" s="562">
        <v>0</v>
      </c>
      <c r="CF105" s="562">
        <v>0</v>
      </c>
      <c r="CG105" s="568">
        <v>0</v>
      </c>
    </row>
    <row r="106" spans="1:85" ht="27.75" hidden="1" customHeight="1">
      <c r="A106" s="846" t="s">
        <v>130</v>
      </c>
      <c r="B106" s="652"/>
      <c r="C106" s="526">
        <f t="shared" ref="C106:F106" ca="1" si="168">+C107+C108+C109+C110+C111+C112+C113+C114</f>
        <v>0</v>
      </c>
      <c r="D106" s="527">
        <f t="shared" ca="1" si="168"/>
        <v>0</v>
      </c>
      <c r="E106" s="527">
        <f t="shared" ca="1" si="168"/>
        <v>0</v>
      </c>
      <c r="F106" s="527">
        <f t="shared" si="168"/>
        <v>0</v>
      </c>
      <c r="G106" s="528">
        <f t="shared" ca="1" si="1"/>
        <v>0</v>
      </c>
      <c r="H106" s="527">
        <f t="shared" ref="H106:J106" ca="1" si="169">+H107+H108+H109+H110+H111+H112+H113+H114</f>
        <v>0</v>
      </c>
      <c r="I106" s="527">
        <f t="shared" ca="1" si="169"/>
        <v>0</v>
      </c>
      <c r="J106" s="527">
        <f t="shared" si="169"/>
        <v>0</v>
      </c>
      <c r="K106" s="528">
        <f t="shared" ca="1" si="3"/>
        <v>0</v>
      </c>
      <c r="L106" s="527">
        <f>+L107+L108+L109+L110+L111+L112+L113+L114</f>
        <v>0</v>
      </c>
      <c r="M106" s="528">
        <f t="shared" ca="1" si="4"/>
        <v>0</v>
      </c>
      <c r="N106" s="527">
        <f t="shared" ref="N106:T106" si="170">+N107+N108+N109+N110+N111+N112+N113+N114</f>
        <v>0</v>
      </c>
      <c r="O106" s="527">
        <f t="shared" si="170"/>
        <v>0</v>
      </c>
      <c r="P106" s="527">
        <f t="shared" si="170"/>
        <v>0</v>
      </c>
      <c r="Q106" s="527">
        <f t="shared" si="170"/>
        <v>0</v>
      </c>
      <c r="R106" s="527">
        <f t="shared" si="170"/>
        <v>0</v>
      </c>
      <c r="S106" s="527">
        <f t="shared" si="170"/>
        <v>0</v>
      </c>
      <c r="T106" s="527">
        <f t="shared" si="170"/>
        <v>0</v>
      </c>
      <c r="U106" s="527">
        <f t="shared" ca="1" si="6"/>
        <v>0</v>
      </c>
      <c r="V106" s="527">
        <f>+V107+V108+V109+V110+V111+V112+V113+V114</f>
        <v>0</v>
      </c>
      <c r="W106" s="527">
        <f t="shared" ca="1" si="7"/>
        <v>0</v>
      </c>
      <c r="X106" s="527">
        <f t="shared" ref="X106:AD106" si="171">+X107+X108+X109+X110+X111+X112+X113+X114</f>
        <v>0</v>
      </c>
      <c r="Y106" s="527">
        <f t="shared" si="171"/>
        <v>0</v>
      </c>
      <c r="Z106" s="527">
        <f t="shared" si="171"/>
        <v>0</v>
      </c>
      <c r="AA106" s="527">
        <f t="shared" si="171"/>
        <v>0</v>
      </c>
      <c r="AB106" s="527">
        <f t="shared" si="171"/>
        <v>0</v>
      </c>
      <c r="AC106" s="527">
        <f t="shared" si="171"/>
        <v>0</v>
      </c>
      <c r="AD106" s="527">
        <f t="shared" si="171"/>
        <v>0</v>
      </c>
      <c r="AE106" s="528">
        <f t="shared" ca="1" si="9"/>
        <v>0</v>
      </c>
      <c r="AF106" s="527">
        <f>+AF107+AF108+AF109+AF110+AF111+AF112+AF113+AF114</f>
        <v>0</v>
      </c>
      <c r="AG106" s="528">
        <f t="shared" ca="1" si="10"/>
        <v>0</v>
      </c>
      <c r="AH106" s="527">
        <f t="shared" ref="AH106:AV106" si="172">+AH107+AH108+AH109+AH110+AH111+AH112+AH113+AH114</f>
        <v>0</v>
      </c>
      <c r="AI106" s="527">
        <f t="shared" si="172"/>
        <v>0</v>
      </c>
      <c r="AJ106" s="527">
        <f t="shared" si="172"/>
        <v>0</v>
      </c>
      <c r="AK106" s="527">
        <f t="shared" si="172"/>
        <v>0</v>
      </c>
      <c r="AL106" s="527">
        <f t="shared" si="172"/>
        <v>0</v>
      </c>
      <c r="AM106" s="527">
        <f t="shared" si="172"/>
        <v>0</v>
      </c>
      <c r="AN106" s="527">
        <f t="shared" si="172"/>
        <v>0</v>
      </c>
      <c r="AO106" s="527">
        <f t="shared" si="172"/>
        <v>0</v>
      </c>
      <c r="AP106" s="527">
        <f t="shared" si="172"/>
        <v>0</v>
      </c>
      <c r="AQ106" s="527">
        <f t="shared" si="172"/>
        <v>0</v>
      </c>
      <c r="AR106" s="527">
        <f t="shared" si="172"/>
        <v>0</v>
      </c>
      <c r="AS106" s="527">
        <f t="shared" si="172"/>
        <v>0</v>
      </c>
      <c r="AT106" s="527">
        <f t="shared" ca="1" si="172"/>
        <v>0</v>
      </c>
      <c r="AU106" s="527">
        <f t="shared" ca="1" si="172"/>
        <v>0</v>
      </c>
      <c r="AV106" s="527">
        <f t="shared" si="172"/>
        <v>0</v>
      </c>
      <c r="AW106" s="527">
        <f t="shared" ca="1" si="12"/>
        <v>0</v>
      </c>
      <c r="AX106" s="527">
        <f>+AX107+AX108+AX109+AX110+AX111+AX112+AX113+AX114</f>
        <v>0</v>
      </c>
      <c r="AY106" s="527">
        <f t="shared" ca="1" si="13"/>
        <v>0</v>
      </c>
      <c r="AZ106" s="527">
        <f t="shared" ref="AZ106:BN106" si="173">+AZ107+AZ108+AZ109+AZ110+AZ111+AZ112+AZ113+AZ114</f>
        <v>0</v>
      </c>
      <c r="BA106" s="527">
        <f t="shared" si="173"/>
        <v>0</v>
      </c>
      <c r="BB106" s="527">
        <f t="shared" si="173"/>
        <v>0</v>
      </c>
      <c r="BC106" s="527">
        <f t="shared" si="173"/>
        <v>0</v>
      </c>
      <c r="BD106" s="527">
        <f t="shared" si="173"/>
        <v>0</v>
      </c>
      <c r="BE106" s="527">
        <f t="shared" si="173"/>
        <v>0</v>
      </c>
      <c r="BF106" s="527">
        <f t="shared" si="173"/>
        <v>0</v>
      </c>
      <c r="BG106" s="527">
        <f t="shared" si="173"/>
        <v>0</v>
      </c>
      <c r="BH106" s="527">
        <f t="shared" si="173"/>
        <v>0</v>
      </c>
      <c r="BI106" s="527">
        <f t="shared" si="173"/>
        <v>0</v>
      </c>
      <c r="BJ106" s="527">
        <f t="shared" si="173"/>
        <v>0</v>
      </c>
      <c r="BK106" s="527">
        <f t="shared" si="173"/>
        <v>0</v>
      </c>
      <c r="BL106" s="527">
        <f t="shared" ca="1" si="173"/>
        <v>0</v>
      </c>
      <c r="BM106" s="527">
        <f t="shared" ca="1" si="173"/>
        <v>0</v>
      </c>
      <c r="BN106" s="527">
        <f t="shared" si="173"/>
        <v>0</v>
      </c>
      <c r="BO106" s="528">
        <f t="shared" ca="1" si="161"/>
        <v>0</v>
      </c>
      <c r="BP106" s="527">
        <f>+BP107+BP108+BP109+BP110+BP111+BP112+BP113+BP114</f>
        <v>0</v>
      </c>
      <c r="BQ106" s="528">
        <f t="shared" ca="1" si="16"/>
        <v>0</v>
      </c>
      <c r="BR106" s="527">
        <f t="shared" ref="BR106:BY106" si="174">+BR107+BR108+BR109+BR110+BR111+BR112+BR113+BR114</f>
        <v>0</v>
      </c>
      <c r="BS106" s="527">
        <f t="shared" si="174"/>
        <v>0</v>
      </c>
      <c r="BT106" s="527">
        <f t="shared" si="174"/>
        <v>0</v>
      </c>
      <c r="BU106" s="527">
        <f t="shared" si="174"/>
        <v>0</v>
      </c>
      <c r="BV106" s="527">
        <f t="shared" si="174"/>
        <v>0</v>
      </c>
      <c r="BW106" s="527">
        <f t="shared" si="174"/>
        <v>0</v>
      </c>
      <c r="BX106" s="527">
        <f t="shared" si="174"/>
        <v>0</v>
      </c>
      <c r="BY106" s="528">
        <f t="shared" si="174"/>
        <v>0</v>
      </c>
      <c r="BZ106" s="527"/>
      <c r="CA106" s="528"/>
      <c r="CB106" s="527"/>
      <c r="CC106" s="527"/>
      <c r="CD106" s="527">
        <f t="shared" ref="CD106:CG106" si="175">+CD107+CD108+CD109+CD110+CD111+CD112+CD113+CD114</f>
        <v>0</v>
      </c>
      <c r="CE106" s="527">
        <f t="shared" si="175"/>
        <v>0</v>
      </c>
      <c r="CF106" s="527">
        <f t="shared" si="175"/>
        <v>0</v>
      </c>
      <c r="CG106" s="529">
        <f t="shared" si="175"/>
        <v>0</v>
      </c>
    </row>
    <row r="107" spans="1:85" ht="24" hidden="1" customHeight="1">
      <c r="A107" s="569">
        <v>1</v>
      </c>
      <c r="B107" s="570" t="s">
        <v>131</v>
      </c>
      <c r="C107" s="541">
        <f t="shared" ref="C107:C114" ca="1" si="176">+D107+E107</f>
        <v>0</v>
      </c>
      <c r="D107" s="542">
        <f ca="1">IFERROR(__xludf.DUMMYFUNCTION("IMPORTRANGE(""https://docs.google.com/spreadsheets/d/1C3CXT74ZlgGe6_JY_1olB1XN4rF0dxEuIIF-xsYjHgg/edit?usp=sharing"",""งบกองทุน!BC111"")"),0)</f>
        <v>0</v>
      </c>
      <c r="E107" s="542">
        <f ca="1">IFERROR(__xludf.DUMMYFUNCTION("IMPORTRANGE(""https://docs.google.com/spreadsheets/d/1C3CXT74ZlgGe6_JY_1olB1XN4rF0dxEuIIF-xsYjHgg/edit?usp=sharing"",""งบกองทุน!BD111"")"),0)</f>
        <v>0</v>
      </c>
      <c r="F107" s="544">
        <v>0</v>
      </c>
      <c r="G107" s="544">
        <f t="shared" ca="1" si="1"/>
        <v>0</v>
      </c>
      <c r="H107" s="542">
        <f ca="1">IFERROR(__xludf.DUMMYFUNCTION("IMPORTRANGE(""https://docs.google.com/spreadsheets/d/1C3CXT74ZlgGe6_JY_1olB1XN4rF0dxEuIIF-xsYjHgg/edit?usp=sharing"",""งบกองทุน!BE111"")"),0)</f>
        <v>0</v>
      </c>
      <c r="I107" s="542">
        <f ca="1">IFERROR(__xludf.DUMMYFUNCTION("IMPORTRANGE(""https://docs.google.com/spreadsheets/d/1C3CXT74ZlgGe6_JY_1olB1XN4rF0dxEuIIF-xsYjHgg/edit?usp=sharing"",""งบกองทุน!BF111"")"),0)</f>
        <v>0</v>
      </c>
      <c r="J107" s="542">
        <f t="shared" ref="J107:J114" si="177">SUM(N107,P107,R107)</f>
        <v>0</v>
      </c>
      <c r="K107" s="544">
        <f t="shared" ca="1" si="3"/>
        <v>0</v>
      </c>
      <c r="L107" s="542">
        <f t="shared" ref="L107:L114" si="178">SUM(O107,Q107,S107)</f>
        <v>0</v>
      </c>
      <c r="M107" s="544">
        <f t="shared" ca="1" si="4"/>
        <v>0</v>
      </c>
      <c r="N107" s="542">
        <v>0</v>
      </c>
      <c r="O107" s="542">
        <v>0</v>
      </c>
      <c r="P107" s="542">
        <v>0</v>
      </c>
      <c r="Q107" s="542">
        <v>0</v>
      </c>
      <c r="R107" s="542">
        <v>0</v>
      </c>
      <c r="S107" s="542">
        <v>0</v>
      </c>
      <c r="T107" s="542">
        <f t="shared" ref="T107:T114" si="179">SUM(X107,Z107,AB107)</f>
        <v>0</v>
      </c>
      <c r="U107" s="542">
        <f t="shared" ca="1" si="6"/>
        <v>0</v>
      </c>
      <c r="V107" s="542">
        <f t="shared" ref="V107:V114" si="180">SUM(Y107,AA107,AC107)</f>
        <v>0</v>
      </c>
      <c r="W107" s="542">
        <f t="shared" ca="1" si="7"/>
        <v>0</v>
      </c>
      <c r="X107" s="542">
        <v>0</v>
      </c>
      <c r="Y107" s="542">
        <v>0</v>
      </c>
      <c r="Z107" s="542">
        <v>0</v>
      </c>
      <c r="AA107" s="542">
        <v>0</v>
      </c>
      <c r="AB107" s="542">
        <v>0</v>
      </c>
      <c r="AC107" s="542">
        <v>0</v>
      </c>
      <c r="AD107" s="542">
        <f t="shared" ref="AD107:AD114" si="181">SUM(AH107,AJ107,AL107,AN107,AP107)</f>
        <v>0</v>
      </c>
      <c r="AE107" s="544">
        <f t="shared" ca="1" si="9"/>
        <v>0</v>
      </c>
      <c r="AF107" s="542">
        <f t="shared" ref="AF107:AF114" si="182">SUM(AI107,AK107,AM107,AO107,AQ107)</f>
        <v>0</v>
      </c>
      <c r="AG107" s="544">
        <f t="shared" ca="1" si="10"/>
        <v>0</v>
      </c>
      <c r="AH107" s="542">
        <v>0</v>
      </c>
      <c r="AI107" s="542">
        <v>0</v>
      </c>
      <c r="AJ107" s="542">
        <v>0</v>
      </c>
      <c r="AK107" s="542">
        <v>0</v>
      </c>
      <c r="AL107" s="542">
        <v>0</v>
      </c>
      <c r="AM107" s="542">
        <v>0</v>
      </c>
      <c r="AN107" s="542">
        <v>0</v>
      </c>
      <c r="AO107" s="542">
        <v>0</v>
      </c>
      <c r="AP107" s="542">
        <v>0</v>
      </c>
      <c r="AQ107" s="542">
        <v>0</v>
      </c>
      <c r="AR107" s="542">
        <v>0</v>
      </c>
      <c r="AS107" s="542">
        <v>0</v>
      </c>
      <c r="AT107" s="542">
        <f ca="1">IFERROR(__xludf.DUMMYFUNCTION("IMPORTRANGE(""https://docs.google.com/spreadsheets/d/1C3CXT74ZlgGe6_JY_1olB1XN4rF0dxEuIIF-xsYjHgg/edit?usp=sharing"",""งบกองทุน!CD111"")"),0)</f>
        <v>0</v>
      </c>
      <c r="AU107" s="542">
        <f ca="1">IFERROR(__xludf.DUMMYFUNCTION("IMPORTRANGE(""https://docs.google.com/spreadsheets/d/1C3CXT74ZlgGe6_JY_1olB1XN4rF0dxEuIIF-xsYjHgg/edit?usp=sharing"",""งบกองทุน!CC111"")"),0)</f>
        <v>0</v>
      </c>
      <c r="AV107" s="542">
        <f t="shared" ref="AV107:AV114" si="183">SUM(AZ107,BB107,BD107,BF107,BH107,BJ107)</f>
        <v>0</v>
      </c>
      <c r="AW107" s="542">
        <f t="shared" ca="1" si="12"/>
        <v>0</v>
      </c>
      <c r="AX107" s="542">
        <f t="shared" ref="AX107:AX114" si="184">SUM(BA107,BC107,BE107,BG107,BI107,BK107)</f>
        <v>0</v>
      </c>
      <c r="AY107" s="542">
        <f t="shared" ca="1" si="13"/>
        <v>0</v>
      </c>
      <c r="AZ107" s="542">
        <v>0</v>
      </c>
      <c r="BA107" s="542">
        <v>0</v>
      </c>
      <c r="BB107" s="542">
        <v>0</v>
      </c>
      <c r="BC107" s="542">
        <v>0</v>
      </c>
      <c r="BD107" s="542">
        <v>0</v>
      </c>
      <c r="BE107" s="542">
        <v>0</v>
      </c>
      <c r="BF107" s="542">
        <v>0</v>
      </c>
      <c r="BG107" s="542">
        <v>0</v>
      </c>
      <c r="BH107" s="542">
        <v>0</v>
      </c>
      <c r="BI107" s="542">
        <v>0</v>
      </c>
      <c r="BJ107" s="542">
        <v>0</v>
      </c>
      <c r="BK107" s="542">
        <v>0</v>
      </c>
      <c r="BL107" s="542">
        <f ca="1">IFERROR(__xludf.DUMMYFUNCTION("IMPORTRANGE(""https://docs.google.com/spreadsheets/d/1C3CXT74ZlgGe6_JY_1olB1XN4rF0dxEuIIF-xsYjHgg/edit?usp=sharing"",""งบกองทุน!CZ111"")"),0)</f>
        <v>0</v>
      </c>
      <c r="BM107" s="542">
        <f ca="1">IFERROR(__xludf.DUMMYFUNCTION("IMPORTRANGE(""https://docs.google.com/spreadsheets/d/1C3CXT74ZlgGe6_JY_1olB1XN4rF0dxEuIIF-xsYjHgg/edit?usp=sharing"",""งบกองทุน!CY111"")"),0)</f>
        <v>0</v>
      </c>
      <c r="BN107" s="542">
        <f t="shared" ref="BN107:BN114" si="185">SUM(BR107,BT107)</f>
        <v>0</v>
      </c>
      <c r="BO107" s="544">
        <f t="shared" ca="1" si="161"/>
        <v>0</v>
      </c>
      <c r="BP107" s="542">
        <f t="shared" ref="BP107:BP114" si="186">SUM(BS107,BU107)</f>
        <v>0</v>
      </c>
      <c r="BQ107" s="544">
        <f t="shared" ca="1" si="16"/>
        <v>0</v>
      </c>
      <c r="BR107" s="542">
        <v>0</v>
      </c>
      <c r="BS107" s="542">
        <v>0</v>
      </c>
      <c r="BT107" s="542">
        <v>0</v>
      </c>
      <c r="BU107" s="542">
        <v>0</v>
      </c>
      <c r="BV107" s="542">
        <v>0</v>
      </c>
      <c r="BW107" s="542">
        <v>0</v>
      </c>
      <c r="BX107" s="542">
        <f t="shared" ref="BX107:BX114" si="187">SUM(CB107,CD107,CF107)</f>
        <v>0</v>
      </c>
      <c r="BY107" s="544">
        <f t="shared" ref="BY107:BY114" si="188">IF(BV107&gt;0,BX107*100/BV107,0)</f>
        <v>0</v>
      </c>
      <c r="BZ107" s="542">
        <f t="shared" ref="BZ107:BZ114" si="189">SUM(CC107,CE107,CG107)</f>
        <v>0</v>
      </c>
      <c r="CA107" s="544">
        <f t="shared" ref="CA107:CA114" si="190">IF(BW107&gt;0,BZ107*100/BW107,0)</f>
        <v>0</v>
      </c>
      <c r="CB107" s="542">
        <v>0</v>
      </c>
      <c r="CC107" s="542">
        <v>0</v>
      </c>
      <c r="CD107" s="542">
        <v>0</v>
      </c>
      <c r="CE107" s="542">
        <v>0</v>
      </c>
      <c r="CF107" s="542">
        <v>0</v>
      </c>
      <c r="CG107" s="548">
        <v>0</v>
      </c>
    </row>
    <row r="108" spans="1:85" ht="24" hidden="1" customHeight="1">
      <c r="A108" s="571">
        <v>2</v>
      </c>
      <c r="B108" s="572" t="s">
        <v>132</v>
      </c>
      <c r="C108" s="551">
        <f t="shared" ca="1" si="176"/>
        <v>0</v>
      </c>
      <c r="D108" s="552">
        <f ca="1">IFERROR(__xludf.DUMMYFUNCTION("IMPORTRANGE(""https://docs.google.com/spreadsheets/d/1C3CXT74ZlgGe6_JY_1olB1XN4rF0dxEuIIF-xsYjHgg/edit?usp=sharing"",""งบกองทุน!BC112"")"),0)</f>
        <v>0</v>
      </c>
      <c r="E108" s="552">
        <f ca="1">IFERROR(__xludf.DUMMYFUNCTION("IMPORTRANGE(""https://docs.google.com/spreadsheets/d/1C3CXT74ZlgGe6_JY_1olB1XN4rF0dxEuIIF-xsYjHgg/edit?usp=sharing"",""งบกองทุน!BD112"")"),0)</f>
        <v>0</v>
      </c>
      <c r="F108" s="554">
        <v>0</v>
      </c>
      <c r="G108" s="554">
        <f t="shared" ca="1" si="1"/>
        <v>0</v>
      </c>
      <c r="H108" s="552">
        <f ca="1">IFERROR(__xludf.DUMMYFUNCTION("IMPORTRANGE(""https://docs.google.com/spreadsheets/d/1C3CXT74ZlgGe6_JY_1olB1XN4rF0dxEuIIF-xsYjHgg/edit?usp=sharing"",""งบกองทุน!BE112"")"),0)</f>
        <v>0</v>
      </c>
      <c r="I108" s="552">
        <f ca="1">IFERROR(__xludf.DUMMYFUNCTION("IMPORTRANGE(""https://docs.google.com/spreadsheets/d/1C3CXT74ZlgGe6_JY_1olB1XN4rF0dxEuIIF-xsYjHgg/edit?usp=sharing"",""งบกองทุน!BF112"")"),0)</f>
        <v>0</v>
      </c>
      <c r="J108" s="552">
        <f t="shared" si="177"/>
        <v>0</v>
      </c>
      <c r="K108" s="554">
        <f t="shared" ca="1" si="3"/>
        <v>0</v>
      </c>
      <c r="L108" s="552">
        <f t="shared" si="178"/>
        <v>0</v>
      </c>
      <c r="M108" s="554">
        <f t="shared" ca="1" si="4"/>
        <v>0</v>
      </c>
      <c r="N108" s="552">
        <v>0</v>
      </c>
      <c r="O108" s="552">
        <v>0</v>
      </c>
      <c r="P108" s="552">
        <v>0</v>
      </c>
      <c r="Q108" s="552">
        <v>0</v>
      </c>
      <c r="R108" s="552">
        <v>0</v>
      </c>
      <c r="S108" s="552">
        <v>0</v>
      </c>
      <c r="T108" s="552">
        <f t="shared" si="179"/>
        <v>0</v>
      </c>
      <c r="U108" s="552">
        <f t="shared" ca="1" si="6"/>
        <v>0</v>
      </c>
      <c r="V108" s="552">
        <f t="shared" si="180"/>
        <v>0</v>
      </c>
      <c r="W108" s="552">
        <f t="shared" ca="1" si="7"/>
        <v>0</v>
      </c>
      <c r="X108" s="552">
        <v>0</v>
      </c>
      <c r="Y108" s="552">
        <v>0</v>
      </c>
      <c r="Z108" s="552">
        <v>0</v>
      </c>
      <c r="AA108" s="552">
        <v>0</v>
      </c>
      <c r="AB108" s="552">
        <v>0</v>
      </c>
      <c r="AC108" s="552">
        <v>0</v>
      </c>
      <c r="AD108" s="552">
        <f t="shared" si="181"/>
        <v>0</v>
      </c>
      <c r="AE108" s="554">
        <f t="shared" ca="1" si="9"/>
        <v>0</v>
      </c>
      <c r="AF108" s="552">
        <f t="shared" si="182"/>
        <v>0</v>
      </c>
      <c r="AG108" s="554">
        <f t="shared" ca="1" si="10"/>
        <v>0</v>
      </c>
      <c r="AH108" s="552">
        <v>0</v>
      </c>
      <c r="AI108" s="552">
        <v>0</v>
      </c>
      <c r="AJ108" s="552">
        <v>0</v>
      </c>
      <c r="AK108" s="552">
        <v>0</v>
      </c>
      <c r="AL108" s="552">
        <v>0</v>
      </c>
      <c r="AM108" s="552">
        <v>0</v>
      </c>
      <c r="AN108" s="552">
        <v>0</v>
      </c>
      <c r="AO108" s="552">
        <v>0</v>
      </c>
      <c r="AP108" s="552">
        <v>0</v>
      </c>
      <c r="AQ108" s="552">
        <v>0</v>
      </c>
      <c r="AR108" s="552">
        <v>0</v>
      </c>
      <c r="AS108" s="552">
        <v>0</v>
      </c>
      <c r="AT108" s="552">
        <f ca="1">IFERROR(__xludf.DUMMYFUNCTION("IMPORTRANGE(""https://docs.google.com/spreadsheets/d/1C3CXT74ZlgGe6_JY_1olB1XN4rF0dxEuIIF-xsYjHgg/edit?usp=sharing"",""งบกองทุน!CD112"")"),0)</f>
        <v>0</v>
      </c>
      <c r="AU108" s="552">
        <f ca="1">IFERROR(__xludf.DUMMYFUNCTION("IMPORTRANGE(""https://docs.google.com/spreadsheets/d/1C3CXT74ZlgGe6_JY_1olB1XN4rF0dxEuIIF-xsYjHgg/edit?usp=sharing"",""งบกองทุน!CC112"")"),0)</f>
        <v>0</v>
      </c>
      <c r="AV108" s="552">
        <f t="shared" si="183"/>
        <v>0</v>
      </c>
      <c r="AW108" s="552">
        <f t="shared" ca="1" si="12"/>
        <v>0</v>
      </c>
      <c r="AX108" s="552">
        <f t="shared" si="184"/>
        <v>0</v>
      </c>
      <c r="AY108" s="552">
        <f t="shared" ca="1" si="13"/>
        <v>0</v>
      </c>
      <c r="AZ108" s="552">
        <v>0</v>
      </c>
      <c r="BA108" s="552">
        <v>0</v>
      </c>
      <c r="BB108" s="552">
        <v>0</v>
      </c>
      <c r="BC108" s="552">
        <v>0</v>
      </c>
      <c r="BD108" s="552">
        <v>0</v>
      </c>
      <c r="BE108" s="552">
        <v>0</v>
      </c>
      <c r="BF108" s="552">
        <v>0</v>
      </c>
      <c r="BG108" s="552">
        <v>0</v>
      </c>
      <c r="BH108" s="552">
        <v>0</v>
      </c>
      <c r="BI108" s="552">
        <v>0</v>
      </c>
      <c r="BJ108" s="552">
        <v>0</v>
      </c>
      <c r="BK108" s="552">
        <v>0</v>
      </c>
      <c r="BL108" s="552">
        <f ca="1">IFERROR(__xludf.DUMMYFUNCTION("IMPORTRANGE(""https://docs.google.com/spreadsheets/d/1C3CXT74ZlgGe6_JY_1olB1XN4rF0dxEuIIF-xsYjHgg/edit?usp=sharing"",""งบกองทุน!CZ112"")"),0)</f>
        <v>0</v>
      </c>
      <c r="BM108" s="552">
        <f ca="1">IFERROR(__xludf.DUMMYFUNCTION("IMPORTRANGE(""https://docs.google.com/spreadsheets/d/1C3CXT74ZlgGe6_JY_1olB1XN4rF0dxEuIIF-xsYjHgg/edit?usp=sharing"",""งบกองทุน!CY112"")"),0)</f>
        <v>0</v>
      </c>
      <c r="BN108" s="552">
        <f t="shared" si="185"/>
        <v>0</v>
      </c>
      <c r="BO108" s="554">
        <f t="shared" ca="1" si="161"/>
        <v>0</v>
      </c>
      <c r="BP108" s="552">
        <f t="shared" si="186"/>
        <v>0</v>
      </c>
      <c r="BQ108" s="554">
        <f t="shared" ca="1" si="16"/>
        <v>0</v>
      </c>
      <c r="BR108" s="552">
        <v>0</v>
      </c>
      <c r="BS108" s="552">
        <v>0</v>
      </c>
      <c r="BT108" s="552">
        <v>0</v>
      </c>
      <c r="BU108" s="552">
        <v>0</v>
      </c>
      <c r="BV108" s="552">
        <v>0</v>
      </c>
      <c r="BW108" s="552">
        <v>0</v>
      </c>
      <c r="BX108" s="552">
        <f t="shared" si="187"/>
        <v>0</v>
      </c>
      <c r="BY108" s="554">
        <f t="shared" si="188"/>
        <v>0</v>
      </c>
      <c r="BZ108" s="552">
        <f t="shared" si="189"/>
        <v>0</v>
      </c>
      <c r="CA108" s="554">
        <f t="shared" si="190"/>
        <v>0</v>
      </c>
      <c r="CB108" s="552">
        <v>0</v>
      </c>
      <c r="CC108" s="552">
        <v>0</v>
      </c>
      <c r="CD108" s="552">
        <v>0</v>
      </c>
      <c r="CE108" s="552">
        <v>0</v>
      </c>
      <c r="CF108" s="552">
        <v>0</v>
      </c>
      <c r="CG108" s="558">
        <v>0</v>
      </c>
    </row>
    <row r="109" spans="1:85" ht="24" hidden="1" customHeight="1">
      <c r="A109" s="571">
        <v>3</v>
      </c>
      <c r="B109" s="572" t="s">
        <v>133</v>
      </c>
      <c r="C109" s="551">
        <f t="shared" ca="1" si="176"/>
        <v>0</v>
      </c>
      <c r="D109" s="552">
        <f ca="1">IFERROR(__xludf.DUMMYFUNCTION("IMPORTRANGE(""https://docs.google.com/spreadsheets/d/1C3CXT74ZlgGe6_JY_1olB1XN4rF0dxEuIIF-xsYjHgg/edit?usp=sharing"",""งบกองทุน!BC113"")"),0)</f>
        <v>0</v>
      </c>
      <c r="E109" s="552">
        <f ca="1">IFERROR(__xludf.DUMMYFUNCTION("IMPORTRANGE(""https://docs.google.com/spreadsheets/d/1C3CXT74ZlgGe6_JY_1olB1XN4rF0dxEuIIF-xsYjHgg/edit?usp=sharing"",""งบกองทุน!BD113"")"),0)</f>
        <v>0</v>
      </c>
      <c r="F109" s="554">
        <v>0</v>
      </c>
      <c r="G109" s="554">
        <f t="shared" ca="1" si="1"/>
        <v>0</v>
      </c>
      <c r="H109" s="552">
        <f ca="1">IFERROR(__xludf.DUMMYFUNCTION("IMPORTRANGE(""https://docs.google.com/spreadsheets/d/1C3CXT74ZlgGe6_JY_1olB1XN4rF0dxEuIIF-xsYjHgg/edit?usp=sharing"",""งบกองทุน!BE113"")"),0)</f>
        <v>0</v>
      </c>
      <c r="I109" s="552">
        <f ca="1">IFERROR(__xludf.DUMMYFUNCTION("IMPORTRANGE(""https://docs.google.com/spreadsheets/d/1C3CXT74ZlgGe6_JY_1olB1XN4rF0dxEuIIF-xsYjHgg/edit?usp=sharing"",""งบกองทุน!BF113"")"),0)</f>
        <v>0</v>
      </c>
      <c r="J109" s="552">
        <f t="shared" si="177"/>
        <v>0</v>
      </c>
      <c r="K109" s="554">
        <f t="shared" ca="1" si="3"/>
        <v>0</v>
      </c>
      <c r="L109" s="552">
        <f t="shared" si="178"/>
        <v>0</v>
      </c>
      <c r="M109" s="554">
        <f t="shared" ca="1" si="4"/>
        <v>0</v>
      </c>
      <c r="N109" s="552">
        <v>0</v>
      </c>
      <c r="O109" s="552">
        <v>0</v>
      </c>
      <c r="P109" s="552">
        <v>0</v>
      </c>
      <c r="Q109" s="552">
        <v>0</v>
      </c>
      <c r="R109" s="552">
        <v>0</v>
      </c>
      <c r="S109" s="552">
        <v>0</v>
      </c>
      <c r="T109" s="552">
        <f t="shared" si="179"/>
        <v>0</v>
      </c>
      <c r="U109" s="552">
        <f t="shared" ca="1" si="6"/>
        <v>0</v>
      </c>
      <c r="V109" s="552">
        <f t="shared" si="180"/>
        <v>0</v>
      </c>
      <c r="W109" s="552">
        <f t="shared" ca="1" si="7"/>
        <v>0</v>
      </c>
      <c r="X109" s="552">
        <v>0</v>
      </c>
      <c r="Y109" s="552">
        <v>0</v>
      </c>
      <c r="Z109" s="552">
        <v>0</v>
      </c>
      <c r="AA109" s="552">
        <v>0</v>
      </c>
      <c r="AB109" s="552">
        <v>0</v>
      </c>
      <c r="AC109" s="552">
        <v>0</v>
      </c>
      <c r="AD109" s="552">
        <f t="shared" si="181"/>
        <v>0</v>
      </c>
      <c r="AE109" s="554">
        <f t="shared" ca="1" si="9"/>
        <v>0</v>
      </c>
      <c r="AF109" s="552">
        <f t="shared" si="182"/>
        <v>0</v>
      </c>
      <c r="AG109" s="554">
        <f t="shared" ca="1" si="10"/>
        <v>0</v>
      </c>
      <c r="AH109" s="552">
        <v>0</v>
      </c>
      <c r="AI109" s="552">
        <v>0</v>
      </c>
      <c r="AJ109" s="552">
        <v>0</v>
      </c>
      <c r="AK109" s="552">
        <v>0</v>
      </c>
      <c r="AL109" s="552">
        <v>0</v>
      </c>
      <c r="AM109" s="552">
        <v>0</v>
      </c>
      <c r="AN109" s="552">
        <v>0</v>
      </c>
      <c r="AO109" s="552">
        <v>0</v>
      </c>
      <c r="AP109" s="552">
        <v>0</v>
      </c>
      <c r="AQ109" s="552">
        <v>0</v>
      </c>
      <c r="AR109" s="552">
        <v>0</v>
      </c>
      <c r="AS109" s="552">
        <v>0</v>
      </c>
      <c r="AT109" s="552">
        <f ca="1">IFERROR(__xludf.DUMMYFUNCTION("IMPORTRANGE(""https://docs.google.com/spreadsheets/d/1C3CXT74ZlgGe6_JY_1olB1XN4rF0dxEuIIF-xsYjHgg/edit?usp=sharing"",""งบกองทุน!CD113"")"),0)</f>
        <v>0</v>
      </c>
      <c r="AU109" s="552">
        <f ca="1">IFERROR(__xludf.DUMMYFUNCTION("IMPORTRANGE(""https://docs.google.com/spreadsheets/d/1C3CXT74ZlgGe6_JY_1olB1XN4rF0dxEuIIF-xsYjHgg/edit?usp=sharing"",""งบกองทุน!CC113"")"),0)</f>
        <v>0</v>
      </c>
      <c r="AV109" s="552">
        <f t="shared" si="183"/>
        <v>0</v>
      </c>
      <c r="AW109" s="552">
        <f t="shared" ca="1" si="12"/>
        <v>0</v>
      </c>
      <c r="AX109" s="552">
        <f t="shared" si="184"/>
        <v>0</v>
      </c>
      <c r="AY109" s="552">
        <f t="shared" ca="1" si="13"/>
        <v>0</v>
      </c>
      <c r="AZ109" s="552">
        <v>0</v>
      </c>
      <c r="BA109" s="552">
        <v>0</v>
      </c>
      <c r="BB109" s="552">
        <v>0</v>
      </c>
      <c r="BC109" s="552">
        <v>0</v>
      </c>
      <c r="BD109" s="552">
        <v>0</v>
      </c>
      <c r="BE109" s="552">
        <v>0</v>
      </c>
      <c r="BF109" s="552">
        <v>0</v>
      </c>
      <c r="BG109" s="552">
        <v>0</v>
      </c>
      <c r="BH109" s="552">
        <v>0</v>
      </c>
      <c r="BI109" s="552">
        <v>0</v>
      </c>
      <c r="BJ109" s="552">
        <v>0</v>
      </c>
      <c r="BK109" s="552">
        <v>0</v>
      </c>
      <c r="BL109" s="552">
        <f ca="1">IFERROR(__xludf.DUMMYFUNCTION("IMPORTRANGE(""https://docs.google.com/spreadsheets/d/1C3CXT74ZlgGe6_JY_1olB1XN4rF0dxEuIIF-xsYjHgg/edit?usp=sharing"",""งบกองทุน!CZ113"")"),0)</f>
        <v>0</v>
      </c>
      <c r="BM109" s="552">
        <f ca="1">IFERROR(__xludf.DUMMYFUNCTION("IMPORTRANGE(""https://docs.google.com/spreadsheets/d/1C3CXT74ZlgGe6_JY_1olB1XN4rF0dxEuIIF-xsYjHgg/edit?usp=sharing"",""งบกองทุน!CY113"")"),0)</f>
        <v>0</v>
      </c>
      <c r="BN109" s="552">
        <f t="shared" si="185"/>
        <v>0</v>
      </c>
      <c r="BO109" s="554">
        <f t="shared" ca="1" si="161"/>
        <v>0</v>
      </c>
      <c r="BP109" s="552">
        <f t="shared" si="186"/>
        <v>0</v>
      </c>
      <c r="BQ109" s="554">
        <f t="shared" ca="1" si="16"/>
        <v>0</v>
      </c>
      <c r="BR109" s="552">
        <v>0</v>
      </c>
      <c r="BS109" s="552">
        <v>0</v>
      </c>
      <c r="BT109" s="552">
        <v>0</v>
      </c>
      <c r="BU109" s="552">
        <v>0</v>
      </c>
      <c r="BV109" s="552">
        <v>0</v>
      </c>
      <c r="BW109" s="552">
        <v>0</v>
      </c>
      <c r="BX109" s="552">
        <f t="shared" si="187"/>
        <v>0</v>
      </c>
      <c r="BY109" s="554">
        <f t="shared" si="188"/>
        <v>0</v>
      </c>
      <c r="BZ109" s="552">
        <f t="shared" si="189"/>
        <v>0</v>
      </c>
      <c r="CA109" s="554">
        <f t="shared" si="190"/>
        <v>0</v>
      </c>
      <c r="CB109" s="552">
        <v>0</v>
      </c>
      <c r="CC109" s="552">
        <v>0</v>
      </c>
      <c r="CD109" s="552">
        <v>0</v>
      </c>
      <c r="CE109" s="552">
        <v>0</v>
      </c>
      <c r="CF109" s="552">
        <v>0</v>
      </c>
      <c r="CG109" s="558">
        <v>0</v>
      </c>
    </row>
    <row r="110" spans="1:85" ht="24" hidden="1" customHeight="1">
      <c r="A110" s="571">
        <f t="shared" ref="A110:A112" si="191">+A109+1</f>
        <v>4</v>
      </c>
      <c r="B110" s="572" t="s">
        <v>134</v>
      </c>
      <c r="C110" s="551">
        <f t="shared" ca="1" si="176"/>
        <v>0</v>
      </c>
      <c r="D110" s="552">
        <f ca="1">IFERROR(__xludf.DUMMYFUNCTION("IMPORTRANGE(""https://docs.google.com/spreadsheets/d/1C3CXT74ZlgGe6_JY_1olB1XN4rF0dxEuIIF-xsYjHgg/edit?usp=sharing"",""งบกองทุน!BC114"")"),0)</f>
        <v>0</v>
      </c>
      <c r="E110" s="552">
        <f ca="1">IFERROR(__xludf.DUMMYFUNCTION("IMPORTRANGE(""https://docs.google.com/spreadsheets/d/1C3CXT74ZlgGe6_JY_1olB1XN4rF0dxEuIIF-xsYjHgg/edit?usp=sharing"",""งบกองทุน!BD114"")"),0)</f>
        <v>0</v>
      </c>
      <c r="F110" s="554">
        <v>0</v>
      </c>
      <c r="G110" s="554">
        <f t="shared" ca="1" si="1"/>
        <v>0</v>
      </c>
      <c r="H110" s="552">
        <f ca="1">IFERROR(__xludf.DUMMYFUNCTION("IMPORTRANGE(""https://docs.google.com/spreadsheets/d/1C3CXT74ZlgGe6_JY_1olB1XN4rF0dxEuIIF-xsYjHgg/edit?usp=sharing"",""งบกองทุน!BE114"")"),0)</f>
        <v>0</v>
      </c>
      <c r="I110" s="552">
        <f ca="1">IFERROR(__xludf.DUMMYFUNCTION("IMPORTRANGE(""https://docs.google.com/spreadsheets/d/1C3CXT74ZlgGe6_JY_1olB1XN4rF0dxEuIIF-xsYjHgg/edit?usp=sharing"",""งบกองทุน!BF114"")"),0)</f>
        <v>0</v>
      </c>
      <c r="J110" s="552">
        <f t="shared" si="177"/>
        <v>0</v>
      </c>
      <c r="K110" s="554">
        <f t="shared" ca="1" si="3"/>
        <v>0</v>
      </c>
      <c r="L110" s="552">
        <f t="shared" si="178"/>
        <v>0</v>
      </c>
      <c r="M110" s="554">
        <f t="shared" ca="1" si="4"/>
        <v>0</v>
      </c>
      <c r="N110" s="552">
        <v>0</v>
      </c>
      <c r="O110" s="552">
        <v>0</v>
      </c>
      <c r="P110" s="552">
        <v>0</v>
      </c>
      <c r="Q110" s="552">
        <v>0</v>
      </c>
      <c r="R110" s="552">
        <v>0</v>
      </c>
      <c r="S110" s="552">
        <v>0</v>
      </c>
      <c r="T110" s="552">
        <f t="shared" si="179"/>
        <v>0</v>
      </c>
      <c r="U110" s="552">
        <f t="shared" ca="1" si="6"/>
        <v>0</v>
      </c>
      <c r="V110" s="552">
        <f t="shared" si="180"/>
        <v>0</v>
      </c>
      <c r="W110" s="552">
        <f t="shared" ca="1" si="7"/>
        <v>0</v>
      </c>
      <c r="X110" s="552">
        <v>0</v>
      </c>
      <c r="Y110" s="552">
        <v>0</v>
      </c>
      <c r="Z110" s="552">
        <v>0</v>
      </c>
      <c r="AA110" s="552">
        <v>0</v>
      </c>
      <c r="AB110" s="552">
        <v>0</v>
      </c>
      <c r="AC110" s="552">
        <v>0</v>
      </c>
      <c r="AD110" s="552">
        <f t="shared" si="181"/>
        <v>0</v>
      </c>
      <c r="AE110" s="554">
        <f t="shared" ca="1" si="9"/>
        <v>0</v>
      </c>
      <c r="AF110" s="552">
        <f t="shared" si="182"/>
        <v>0</v>
      </c>
      <c r="AG110" s="554">
        <f t="shared" ca="1" si="10"/>
        <v>0</v>
      </c>
      <c r="AH110" s="552">
        <v>0</v>
      </c>
      <c r="AI110" s="552">
        <v>0</v>
      </c>
      <c r="AJ110" s="552">
        <v>0</v>
      </c>
      <c r="AK110" s="552">
        <v>0</v>
      </c>
      <c r="AL110" s="552">
        <v>0</v>
      </c>
      <c r="AM110" s="552">
        <v>0</v>
      </c>
      <c r="AN110" s="552">
        <v>0</v>
      </c>
      <c r="AO110" s="552">
        <v>0</v>
      </c>
      <c r="AP110" s="552">
        <v>0</v>
      </c>
      <c r="AQ110" s="552">
        <v>0</v>
      </c>
      <c r="AR110" s="552">
        <v>0</v>
      </c>
      <c r="AS110" s="552">
        <v>0</v>
      </c>
      <c r="AT110" s="552">
        <f ca="1">IFERROR(__xludf.DUMMYFUNCTION("IMPORTRANGE(""https://docs.google.com/spreadsheets/d/1C3CXT74ZlgGe6_JY_1olB1XN4rF0dxEuIIF-xsYjHgg/edit?usp=sharing"",""งบกองทุน!CD114"")"),0)</f>
        <v>0</v>
      </c>
      <c r="AU110" s="552">
        <f ca="1">IFERROR(__xludf.DUMMYFUNCTION("IMPORTRANGE(""https://docs.google.com/spreadsheets/d/1C3CXT74ZlgGe6_JY_1olB1XN4rF0dxEuIIF-xsYjHgg/edit?usp=sharing"",""งบกองทุน!CC114"")"),0)</f>
        <v>0</v>
      </c>
      <c r="AV110" s="552">
        <f t="shared" si="183"/>
        <v>0</v>
      </c>
      <c r="AW110" s="552">
        <f t="shared" ca="1" si="12"/>
        <v>0</v>
      </c>
      <c r="AX110" s="552">
        <f t="shared" si="184"/>
        <v>0</v>
      </c>
      <c r="AY110" s="552">
        <f t="shared" ca="1" si="13"/>
        <v>0</v>
      </c>
      <c r="AZ110" s="552">
        <v>0</v>
      </c>
      <c r="BA110" s="552">
        <v>0</v>
      </c>
      <c r="BB110" s="552">
        <v>0</v>
      </c>
      <c r="BC110" s="552">
        <v>0</v>
      </c>
      <c r="BD110" s="552">
        <v>0</v>
      </c>
      <c r="BE110" s="552">
        <v>0</v>
      </c>
      <c r="BF110" s="552">
        <v>0</v>
      </c>
      <c r="BG110" s="552">
        <v>0</v>
      </c>
      <c r="BH110" s="552">
        <v>0</v>
      </c>
      <c r="BI110" s="552">
        <v>0</v>
      </c>
      <c r="BJ110" s="552">
        <v>0</v>
      </c>
      <c r="BK110" s="552">
        <v>0</v>
      </c>
      <c r="BL110" s="552">
        <f ca="1">IFERROR(__xludf.DUMMYFUNCTION("IMPORTRANGE(""https://docs.google.com/spreadsheets/d/1C3CXT74ZlgGe6_JY_1olB1XN4rF0dxEuIIF-xsYjHgg/edit?usp=sharing"",""งบกองทุน!CZ114"")"),0)</f>
        <v>0</v>
      </c>
      <c r="BM110" s="552">
        <f ca="1">IFERROR(__xludf.DUMMYFUNCTION("IMPORTRANGE(""https://docs.google.com/spreadsheets/d/1C3CXT74ZlgGe6_JY_1olB1XN4rF0dxEuIIF-xsYjHgg/edit?usp=sharing"",""งบกองทุน!CY114"")"),0)</f>
        <v>0</v>
      </c>
      <c r="BN110" s="552">
        <f t="shared" si="185"/>
        <v>0</v>
      </c>
      <c r="BO110" s="554">
        <f t="shared" ca="1" si="161"/>
        <v>0</v>
      </c>
      <c r="BP110" s="552">
        <f t="shared" si="186"/>
        <v>0</v>
      </c>
      <c r="BQ110" s="554">
        <f t="shared" ca="1" si="16"/>
        <v>0</v>
      </c>
      <c r="BR110" s="552">
        <v>0</v>
      </c>
      <c r="BS110" s="552">
        <v>0</v>
      </c>
      <c r="BT110" s="552">
        <v>0</v>
      </c>
      <c r="BU110" s="552">
        <v>0</v>
      </c>
      <c r="BV110" s="552">
        <v>0</v>
      </c>
      <c r="BW110" s="552">
        <v>0</v>
      </c>
      <c r="BX110" s="552">
        <f t="shared" si="187"/>
        <v>0</v>
      </c>
      <c r="BY110" s="554">
        <f t="shared" si="188"/>
        <v>0</v>
      </c>
      <c r="BZ110" s="552">
        <f t="shared" si="189"/>
        <v>0</v>
      </c>
      <c r="CA110" s="554">
        <f t="shared" si="190"/>
        <v>0</v>
      </c>
      <c r="CB110" s="552">
        <v>0</v>
      </c>
      <c r="CC110" s="552">
        <v>0</v>
      </c>
      <c r="CD110" s="552">
        <v>0</v>
      </c>
      <c r="CE110" s="552">
        <v>0</v>
      </c>
      <c r="CF110" s="552">
        <v>0</v>
      </c>
      <c r="CG110" s="558">
        <v>0</v>
      </c>
    </row>
    <row r="111" spans="1:85" ht="24" hidden="1" customHeight="1">
      <c r="A111" s="571">
        <f t="shared" si="191"/>
        <v>5</v>
      </c>
      <c r="B111" s="572" t="s">
        <v>135</v>
      </c>
      <c r="C111" s="551">
        <f t="shared" ca="1" si="176"/>
        <v>0</v>
      </c>
      <c r="D111" s="552">
        <f ca="1">IFERROR(__xludf.DUMMYFUNCTION("IMPORTRANGE(""https://docs.google.com/spreadsheets/d/1C3CXT74ZlgGe6_JY_1olB1XN4rF0dxEuIIF-xsYjHgg/edit?usp=sharing"",""งบกองทุน!BC115"")"),0)</f>
        <v>0</v>
      </c>
      <c r="E111" s="552">
        <f ca="1">IFERROR(__xludf.DUMMYFUNCTION("IMPORTRANGE(""https://docs.google.com/spreadsheets/d/1C3CXT74ZlgGe6_JY_1olB1XN4rF0dxEuIIF-xsYjHgg/edit?usp=sharing"",""งบกองทุน!BD115"")"),0)</f>
        <v>0</v>
      </c>
      <c r="F111" s="554">
        <v>0</v>
      </c>
      <c r="G111" s="554">
        <f t="shared" ca="1" si="1"/>
        <v>0</v>
      </c>
      <c r="H111" s="552">
        <f ca="1">IFERROR(__xludf.DUMMYFUNCTION("IMPORTRANGE(""https://docs.google.com/spreadsheets/d/1C3CXT74ZlgGe6_JY_1olB1XN4rF0dxEuIIF-xsYjHgg/edit?usp=sharing"",""งบกองทุน!BE115"")"),0)</f>
        <v>0</v>
      </c>
      <c r="I111" s="552">
        <f ca="1">IFERROR(__xludf.DUMMYFUNCTION("IMPORTRANGE(""https://docs.google.com/spreadsheets/d/1C3CXT74ZlgGe6_JY_1olB1XN4rF0dxEuIIF-xsYjHgg/edit?usp=sharing"",""งบกองทุน!BF115"")"),0)</f>
        <v>0</v>
      </c>
      <c r="J111" s="552">
        <f t="shared" si="177"/>
        <v>0</v>
      </c>
      <c r="K111" s="554">
        <f t="shared" ca="1" si="3"/>
        <v>0</v>
      </c>
      <c r="L111" s="552">
        <f t="shared" si="178"/>
        <v>0</v>
      </c>
      <c r="M111" s="554">
        <f t="shared" ca="1" si="4"/>
        <v>0</v>
      </c>
      <c r="N111" s="552">
        <v>0</v>
      </c>
      <c r="O111" s="552">
        <v>0</v>
      </c>
      <c r="P111" s="552">
        <v>0</v>
      </c>
      <c r="Q111" s="552">
        <v>0</v>
      </c>
      <c r="R111" s="552">
        <v>0</v>
      </c>
      <c r="S111" s="552">
        <v>0</v>
      </c>
      <c r="T111" s="552">
        <f t="shared" si="179"/>
        <v>0</v>
      </c>
      <c r="U111" s="552">
        <f t="shared" ca="1" si="6"/>
        <v>0</v>
      </c>
      <c r="V111" s="552">
        <f t="shared" si="180"/>
        <v>0</v>
      </c>
      <c r="W111" s="552">
        <f t="shared" ca="1" si="7"/>
        <v>0</v>
      </c>
      <c r="X111" s="552">
        <v>0</v>
      </c>
      <c r="Y111" s="552">
        <v>0</v>
      </c>
      <c r="Z111" s="552">
        <v>0</v>
      </c>
      <c r="AA111" s="552">
        <v>0</v>
      </c>
      <c r="AB111" s="552">
        <v>0</v>
      </c>
      <c r="AC111" s="552">
        <v>0</v>
      </c>
      <c r="AD111" s="552">
        <f t="shared" si="181"/>
        <v>0</v>
      </c>
      <c r="AE111" s="554">
        <f t="shared" ca="1" si="9"/>
        <v>0</v>
      </c>
      <c r="AF111" s="552">
        <f t="shared" si="182"/>
        <v>0</v>
      </c>
      <c r="AG111" s="554">
        <f t="shared" ca="1" si="10"/>
        <v>0</v>
      </c>
      <c r="AH111" s="552">
        <v>0</v>
      </c>
      <c r="AI111" s="552">
        <v>0</v>
      </c>
      <c r="AJ111" s="552">
        <v>0</v>
      </c>
      <c r="AK111" s="552">
        <v>0</v>
      </c>
      <c r="AL111" s="552">
        <v>0</v>
      </c>
      <c r="AM111" s="552">
        <v>0</v>
      </c>
      <c r="AN111" s="552">
        <v>0</v>
      </c>
      <c r="AO111" s="552">
        <v>0</v>
      </c>
      <c r="AP111" s="552">
        <v>0</v>
      </c>
      <c r="AQ111" s="552">
        <v>0</v>
      </c>
      <c r="AR111" s="552">
        <v>0</v>
      </c>
      <c r="AS111" s="552">
        <v>0</v>
      </c>
      <c r="AT111" s="552">
        <f ca="1">IFERROR(__xludf.DUMMYFUNCTION("IMPORTRANGE(""https://docs.google.com/spreadsheets/d/1C3CXT74ZlgGe6_JY_1olB1XN4rF0dxEuIIF-xsYjHgg/edit?usp=sharing"",""งบกองทุน!CD115"")"),0)</f>
        <v>0</v>
      </c>
      <c r="AU111" s="552">
        <f ca="1">IFERROR(__xludf.DUMMYFUNCTION("IMPORTRANGE(""https://docs.google.com/spreadsheets/d/1C3CXT74ZlgGe6_JY_1olB1XN4rF0dxEuIIF-xsYjHgg/edit?usp=sharing"",""งบกองทุน!CC115"")"),0)</f>
        <v>0</v>
      </c>
      <c r="AV111" s="552">
        <f t="shared" si="183"/>
        <v>0</v>
      </c>
      <c r="AW111" s="552">
        <f t="shared" ca="1" si="12"/>
        <v>0</v>
      </c>
      <c r="AX111" s="552">
        <f t="shared" si="184"/>
        <v>0</v>
      </c>
      <c r="AY111" s="552">
        <f t="shared" ca="1" si="13"/>
        <v>0</v>
      </c>
      <c r="AZ111" s="552">
        <v>0</v>
      </c>
      <c r="BA111" s="552">
        <v>0</v>
      </c>
      <c r="BB111" s="552">
        <v>0</v>
      </c>
      <c r="BC111" s="552">
        <v>0</v>
      </c>
      <c r="BD111" s="552">
        <v>0</v>
      </c>
      <c r="BE111" s="552">
        <v>0</v>
      </c>
      <c r="BF111" s="552">
        <v>0</v>
      </c>
      <c r="BG111" s="552">
        <v>0</v>
      </c>
      <c r="BH111" s="552">
        <v>0</v>
      </c>
      <c r="BI111" s="552">
        <v>0</v>
      </c>
      <c r="BJ111" s="552">
        <v>0</v>
      </c>
      <c r="BK111" s="552">
        <v>0</v>
      </c>
      <c r="BL111" s="552">
        <f ca="1">IFERROR(__xludf.DUMMYFUNCTION("IMPORTRANGE(""https://docs.google.com/spreadsheets/d/1C3CXT74ZlgGe6_JY_1olB1XN4rF0dxEuIIF-xsYjHgg/edit?usp=sharing"",""งบกองทุน!CZ115"")"),0)</f>
        <v>0</v>
      </c>
      <c r="BM111" s="552">
        <f ca="1">IFERROR(__xludf.DUMMYFUNCTION("IMPORTRANGE(""https://docs.google.com/spreadsheets/d/1C3CXT74ZlgGe6_JY_1olB1XN4rF0dxEuIIF-xsYjHgg/edit?usp=sharing"",""งบกองทุน!CY115"")"),0)</f>
        <v>0</v>
      </c>
      <c r="BN111" s="552">
        <f t="shared" si="185"/>
        <v>0</v>
      </c>
      <c r="BO111" s="554">
        <f t="shared" ca="1" si="161"/>
        <v>0</v>
      </c>
      <c r="BP111" s="552">
        <f t="shared" si="186"/>
        <v>0</v>
      </c>
      <c r="BQ111" s="554">
        <f t="shared" ca="1" si="16"/>
        <v>0</v>
      </c>
      <c r="BR111" s="552">
        <v>0</v>
      </c>
      <c r="BS111" s="552">
        <v>0</v>
      </c>
      <c r="BT111" s="552">
        <v>0</v>
      </c>
      <c r="BU111" s="552">
        <v>0</v>
      </c>
      <c r="BV111" s="552">
        <v>0</v>
      </c>
      <c r="BW111" s="552">
        <v>0</v>
      </c>
      <c r="BX111" s="552">
        <f t="shared" si="187"/>
        <v>0</v>
      </c>
      <c r="BY111" s="554">
        <f t="shared" si="188"/>
        <v>0</v>
      </c>
      <c r="BZ111" s="552">
        <f t="shared" si="189"/>
        <v>0</v>
      </c>
      <c r="CA111" s="554">
        <f t="shared" si="190"/>
        <v>0</v>
      </c>
      <c r="CB111" s="552">
        <v>0</v>
      </c>
      <c r="CC111" s="552">
        <v>0</v>
      </c>
      <c r="CD111" s="552">
        <v>0</v>
      </c>
      <c r="CE111" s="552">
        <v>0</v>
      </c>
      <c r="CF111" s="552">
        <v>0</v>
      </c>
      <c r="CG111" s="558">
        <v>0</v>
      </c>
    </row>
    <row r="112" spans="1:85" ht="24" hidden="1" customHeight="1">
      <c r="A112" s="571">
        <f t="shared" si="191"/>
        <v>6</v>
      </c>
      <c r="B112" s="572" t="s">
        <v>136</v>
      </c>
      <c r="C112" s="551">
        <f t="shared" ca="1" si="176"/>
        <v>0</v>
      </c>
      <c r="D112" s="552">
        <f ca="1">IFERROR(__xludf.DUMMYFUNCTION("IMPORTRANGE(""https://docs.google.com/spreadsheets/d/1C3CXT74ZlgGe6_JY_1olB1XN4rF0dxEuIIF-xsYjHgg/edit?usp=sharing"",""งบกองทุน!BC116"")"),0)</f>
        <v>0</v>
      </c>
      <c r="E112" s="552">
        <f ca="1">IFERROR(__xludf.DUMMYFUNCTION("IMPORTRANGE(""https://docs.google.com/spreadsheets/d/1C3CXT74ZlgGe6_JY_1olB1XN4rF0dxEuIIF-xsYjHgg/edit?usp=sharing"",""งบกองทุน!BD116"")"),0)</f>
        <v>0</v>
      </c>
      <c r="F112" s="554">
        <v>0</v>
      </c>
      <c r="G112" s="554">
        <f t="shared" ca="1" si="1"/>
        <v>0</v>
      </c>
      <c r="H112" s="552">
        <f ca="1">IFERROR(__xludf.DUMMYFUNCTION("IMPORTRANGE(""https://docs.google.com/spreadsheets/d/1C3CXT74ZlgGe6_JY_1olB1XN4rF0dxEuIIF-xsYjHgg/edit?usp=sharing"",""งบกองทุน!BE116"")"),0)</f>
        <v>0</v>
      </c>
      <c r="I112" s="552">
        <f ca="1">IFERROR(__xludf.DUMMYFUNCTION("IMPORTRANGE(""https://docs.google.com/spreadsheets/d/1C3CXT74ZlgGe6_JY_1olB1XN4rF0dxEuIIF-xsYjHgg/edit?usp=sharing"",""งบกองทุน!BF116"")"),0)</f>
        <v>0</v>
      </c>
      <c r="J112" s="552">
        <f t="shared" si="177"/>
        <v>0</v>
      </c>
      <c r="K112" s="554">
        <f t="shared" ca="1" si="3"/>
        <v>0</v>
      </c>
      <c r="L112" s="552">
        <f t="shared" si="178"/>
        <v>0</v>
      </c>
      <c r="M112" s="554">
        <f t="shared" ca="1" si="4"/>
        <v>0</v>
      </c>
      <c r="N112" s="552">
        <v>0</v>
      </c>
      <c r="O112" s="552">
        <v>0</v>
      </c>
      <c r="P112" s="552">
        <v>0</v>
      </c>
      <c r="Q112" s="552">
        <v>0</v>
      </c>
      <c r="R112" s="552">
        <v>0</v>
      </c>
      <c r="S112" s="552">
        <v>0</v>
      </c>
      <c r="T112" s="552">
        <f t="shared" si="179"/>
        <v>0</v>
      </c>
      <c r="U112" s="552">
        <f t="shared" ca="1" si="6"/>
        <v>0</v>
      </c>
      <c r="V112" s="552">
        <f t="shared" si="180"/>
        <v>0</v>
      </c>
      <c r="W112" s="552">
        <f t="shared" ca="1" si="7"/>
        <v>0</v>
      </c>
      <c r="X112" s="552">
        <v>0</v>
      </c>
      <c r="Y112" s="552">
        <v>0</v>
      </c>
      <c r="Z112" s="552">
        <v>0</v>
      </c>
      <c r="AA112" s="552">
        <v>0</v>
      </c>
      <c r="AB112" s="552">
        <v>0</v>
      </c>
      <c r="AC112" s="552">
        <v>0</v>
      </c>
      <c r="AD112" s="552">
        <f t="shared" si="181"/>
        <v>0</v>
      </c>
      <c r="AE112" s="554">
        <f t="shared" ca="1" si="9"/>
        <v>0</v>
      </c>
      <c r="AF112" s="552">
        <f t="shared" si="182"/>
        <v>0</v>
      </c>
      <c r="AG112" s="554">
        <f t="shared" ca="1" si="10"/>
        <v>0</v>
      </c>
      <c r="AH112" s="552">
        <v>0</v>
      </c>
      <c r="AI112" s="552">
        <v>0</v>
      </c>
      <c r="AJ112" s="552">
        <v>0</v>
      </c>
      <c r="AK112" s="552">
        <v>0</v>
      </c>
      <c r="AL112" s="552">
        <v>0</v>
      </c>
      <c r="AM112" s="552">
        <v>0</v>
      </c>
      <c r="AN112" s="552">
        <v>0</v>
      </c>
      <c r="AO112" s="552">
        <v>0</v>
      </c>
      <c r="AP112" s="552">
        <v>0</v>
      </c>
      <c r="AQ112" s="552">
        <v>0</v>
      </c>
      <c r="AR112" s="552">
        <v>0</v>
      </c>
      <c r="AS112" s="552">
        <v>0</v>
      </c>
      <c r="AT112" s="552">
        <f ca="1">IFERROR(__xludf.DUMMYFUNCTION("IMPORTRANGE(""https://docs.google.com/spreadsheets/d/1C3CXT74ZlgGe6_JY_1olB1XN4rF0dxEuIIF-xsYjHgg/edit?usp=sharing"",""งบกองทุน!CD116"")"),0)</f>
        <v>0</v>
      </c>
      <c r="AU112" s="552">
        <f ca="1">IFERROR(__xludf.DUMMYFUNCTION("IMPORTRANGE(""https://docs.google.com/spreadsheets/d/1C3CXT74ZlgGe6_JY_1olB1XN4rF0dxEuIIF-xsYjHgg/edit?usp=sharing"",""งบกองทุน!CC116"")"),0)</f>
        <v>0</v>
      </c>
      <c r="AV112" s="552">
        <f t="shared" si="183"/>
        <v>0</v>
      </c>
      <c r="AW112" s="552">
        <f t="shared" ca="1" si="12"/>
        <v>0</v>
      </c>
      <c r="AX112" s="552">
        <f t="shared" si="184"/>
        <v>0</v>
      </c>
      <c r="AY112" s="552">
        <f t="shared" ca="1" si="13"/>
        <v>0</v>
      </c>
      <c r="AZ112" s="552">
        <v>0</v>
      </c>
      <c r="BA112" s="552">
        <v>0</v>
      </c>
      <c r="BB112" s="552">
        <v>0</v>
      </c>
      <c r="BC112" s="552">
        <v>0</v>
      </c>
      <c r="BD112" s="552">
        <v>0</v>
      </c>
      <c r="BE112" s="552">
        <v>0</v>
      </c>
      <c r="BF112" s="552">
        <v>0</v>
      </c>
      <c r="BG112" s="552">
        <v>0</v>
      </c>
      <c r="BH112" s="552">
        <v>0</v>
      </c>
      <c r="BI112" s="552">
        <v>0</v>
      </c>
      <c r="BJ112" s="552">
        <v>0</v>
      </c>
      <c r="BK112" s="552">
        <v>0</v>
      </c>
      <c r="BL112" s="552">
        <f ca="1">IFERROR(__xludf.DUMMYFUNCTION("IMPORTRANGE(""https://docs.google.com/spreadsheets/d/1C3CXT74ZlgGe6_JY_1olB1XN4rF0dxEuIIF-xsYjHgg/edit?usp=sharing"",""งบกองทุน!CZ116"")"),0)</f>
        <v>0</v>
      </c>
      <c r="BM112" s="552">
        <f ca="1">IFERROR(__xludf.DUMMYFUNCTION("IMPORTRANGE(""https://docs.google.com/spreadsheets/d/1C3CXT74ZlgGe6_JY_1olB1XN4rF0dxEuIIF-xsYjHgg/edit?usp=sharing"",""งบกองทุน!CY116"")"),0)</f>
        <v>0</v>
      </c>
      <c r="BN112" s="552">
        <f t="shared" si="185"/>
        <v>0</v>
      </c>
      <c r="BO112" s="554">
        <f t="shared" ca="1" si="161"/>
        <v>0</v>
      </c>
      <c r="BP112" s="552">
        <f t="shared" si="186"/>
        <v>0</v>
      </c>
      <c r="BQ112" s="554">
        <f t="shared" ca="1" si="16"/>
        <v>0</v>
      </c>
      <c r="BR112" s="552">
        <v>0</v>
      </c>
      <c r="BS112" s="552">
        <v>0</v>
      </c>
      <c r="BT112" s="552">
        <v>0</v>
      </c>
      <c r="BU112" s="552">
        <v>0</v>
      </c>
      <c r="BV112" s="552">
        <v>0</v>
      </c>
      <c r="BW112" s="552">
        <v>0</v>
      </c>
      <c r="BX112" s="552">
        <f t="shared" si="187"/>
        <v>0</v>
      </c>
      <c r="BY112" s="554">
        <f t="shared" si="188"/>
        <v>0</v>
      </c>
      <c r="BZ112" s="552">
        <f t="shared" si="189"/>
        <v>0</v>
      </c>
      <c r="CA112" s="554">
        <f t="shared" si="190"/>
        <v>0</v>
      </c>
      <c r="CB112" s="552">
        <v>0</v>
      </c>
      <c r="CC112" s="552">
        <v>0</v>
      </c>
      <c r="CD112" s="552">
        <v>0</v>
      </c>
      <c r="CE112" s="552">
        <v>0</v>
      </c>
      <c r="CF112" s="552">
        <v>0</v>
      </c>
      <c r="CG112" s="558">
        <v>0</v>
      </c>
    </row>
    <row r="113" spans="1:85" ht="24" hidden="1" customHeight="1">
      <c r="A113" s="571">
        <v>7</v>
      </c>
      <c r="B113" s="572" t="s">
        <v>140</v>
      </c>
      <c r="C113" s="551">
        <f t="shared" ca="1" si="176"/>
        <v>0</v>
      </c>
      <c r="D113" s="552">
        <f ca="1">IFERROR(__xludf.DUMMYFUNCTION("IMPORTRANGE(""https://docs.google.com/spreadsheets/d/1C3CXT74ZlgGe6_JY_1olB1XN4rF0dxEuIIF-xsYjHgg/edit?usp=sharing"",""งบกองทุน!BC117"")"),0)</f>
        <v>0</v>
      </c>
      <c r="E113" s="552">
        <f ca="1">IFERROR(__xludf.DUMMYFUNCTION("IMPORTRANGE(""https://docs.google.com/spreadsheets/d/1C3CXT74ZlgGe6_JY_1olB1XN4rF0dxEuIIF-xsYjHgg/edit?usp=sharing"",""งบกองทุน!BD117"")"),0)</f>
        <v>0</v>
      </c>
      <c r="F113" s="554">
        <v>0</v>
      </c>
      <c r="G113" s="554">
        <f t="shared" ca="1" si="1"/>
        <v>0</v>
      </c>
      <c r="H113" s="552">
        <f ca="1">IFERROR(__xludf.DUMMYFUNCTION("IMPORTRANGE(""https://docs.google.com/spreadsheets/d/1C3CXT74ZlgGe6_JY_1olB1XN4rF0dxEuIIF-xsYjHgg/edit?usp=sharing"",""งบกองทุน!BE117"")"),0)</f>
        <v>0</v>
      </c>
      <c r="I113" s="552">
        <f ca="1">IFERROR(__xludf.DUMMYFUNCTION("IMPORTRANGE(""https://docs.google.com/spreadsheets/d/1C3CXT74ZlgGe6_JY_1olB1XN4rF0dxEuIIF-xsYjHgg/edit?usp=sharing"",""งบกองทุน!BF117"")"),0)</f>
        <v>0</v>
      </c>
      <c r="J113" s="552">
        <f t="shared" si="177"/>
        <v>0</v>
      </c>
      <c r="K113" s="554">
        <f t="shared" ca="1" si="3"/>
        <v>0</v>
      </c>
      <c r="L113" s="552">
        <f t="shared" si="178"/>
        <v>0</v>
      </c>
      <c r="M113" s="554">
        <f t="shared" ca="1" si="4"/>
        <v>0</v>
      </c>
      <c r="N113" s="552">
        <v>0</v>
      </c>
      <c r="O113" s="552">
        <v>0</v>
      </c>
      <c r="P113" s="552">
        <v>0</v>
      </c>
      <c r="Q113" s="552">
        <v>0</v>
      </c>
      <c r="R113" s="552">
        <v>0</v>
      </c>
      <c r="S113" s="552">
        <v>0</v>
      </c>
      <c r="T113" s="552">
        <f t="shared" si="179"/>
        <v>0</v>
      </c>
      <c r="U113" s="552">
        <f t="shared" ca="1" si="6"/>
        <v>0</v>
      </c>
      <c r="V113" s="552">
        <f t="shared" si="180"/>
        <v>0</v>
      </c>
      <c r="W113" s="552">
        <f t="shared" ca="1" si="7"/>
        <v>0</v>
      </c>
      <c r="X113" s="552">
        <v>0</v>
      </c>
      <c r="Y113" s="552">
        <v>0</v>
      </c>
      <c r="Z113" s="552">
        <v>0</v>
      </c>
      <c r="AA113" s="552">
        <v>0</v>
      </c>
      <c r="AB113" s="552">
        <v>0</v>
      </c>
      <c r="AC113" s="552">
        <v>0</v>
      </c>
      <c r="AD113" s="552">
        <f t="shared" si="181"/>
        <v>0</v>
      </c>
      <c r="AE113" s="554">
        <f t="shared" ca="1" si="9"/>
        <v>0</v>
      </c>
      <c r="AF113" s="552">
        <f t="shared" si="182"/>
        <v>0</v>
      </c>
      <c r="AG113" s="554">
        <f t="shared" ca="1" si="10"/>
        <v>0</v>
      </c>
      <c r="AH113" s="552">
        <v>0</v>
      </c>
      <c r="AI113" s="552">
        <v>0</v>
      </c>
      <c r="AJ113" s="552">
        <v>0</v>
      </c>
      <c r="AK113" s="552">
        <v>0</v>
      </c>
      <c r="AL113" s="552">
        <v>0</v>
      </c>
      <c r="AM113" s="552">
        <v>0</v>
      </c>
      <c r="AN113" s="552">
        <v>0</v>
      </c>
      <c r="AO113" s="552">
        <v>0</v>
      </c>
      <c r="AP113" s="552">
        <v>0</v>
      </c>
      <c r="AQ113" s="552">
        <v>0</v>
      </c>
      <c r="AR113" s="552">
        <v>0</v>
      </c>
      <c r="AS113" s="552">
        <v>0</v>
      </c>
      <c r="AT113" s="552">
        <f ca="1">IFERROR(__xludf.DUMMYFUNCTION("IMPORTRANGE(""https://docs.google.com/spreadsheets/d/1C3CXT74ZlgGe6_JY_1olB1XN4rF0dxEuIIF-xsYjHgg/edit?usp=sharing"",""งบกองทุน!CD117"")"),0)</f>
        <v>0</v>
      </c>
      <c r="AU113" s="552">
        <f ca="1">IFERROR(__xludf.DUMMYFUNCTION("IMPORTRANGE(""https://docs.google.com/spreadsheets/d/1C3CXT74ZlgGe6_JY_1olB1XN4rF0dxEuIIF-xsYjHgg/edit?usp=sharing"",""งบกองทุน!CC117"")"),0)</f>
        <v>0</v>
      </c>
      <c r="AV113" s="552">
        <f t="shared" si="183"/>
        <v>0</v>
      </c>
      <c r="AW113" s="552">
        <f t="shared" ca="1" si="12"/>
        <v>0</v>
      </c>
      <c r="AX113" s="552">
        <f t="shared" si="184"/>
        <v>0</v>
      </c>
      <c r="AY113" s="552">
        <f t="shared" ca="1" si="13"/>
        <v>0</v>
      </c>
      <c r="AZ113" s="552">
        <v>0</v>
      </c>
      <c r="BA113" s="552">
        <v>0</v>
      </c>
      <c r="BB113" s="552">
        <v>0</v>
      </c>
      <c r="BC113" s="552">
        <v>0</v>
      </c>
      <c r="BD113" s="552">
        <v>0</v>
      </c>
      <c r="BE113" s="552">
        <v>0</v>
      </c>
      <c r="BF113" s="552">
        <v>0</v>
      </c>
      <c r="BG113" s="552">
        <v>0</v>
      </c>
      <c r="BH113" s="552">
        <v>0</v>
      </c>
      <c r="BI113" s="552">
        <v>0</v>
      </c>
      <c r="BJ113" s="552">
        <v>0</v>
      </c>
      <c r="BK113" s="552">
        <v>0</v>
      </c>
      <c r="BL113" s="552">
        <f ca="1">IFERROR(__xludf.DUMMYFUNCTION("IMPORTRANGE(""https://docs.google.com/spreadsheets/d/1C3CXT74ZlgGe6_JY_1olB1XN4rF0dxEuIIF-xsYjHgg/edit?usp=sharing"",""งบกองทุน!CZ117"")"),0)</f>
        <v>0</v>
      </c>
      <c r="BM113" s="552">
        <f ca="1">IFERROR(__xludf.DUMMYFUNCTION("IMPORTRANGE(""https://docs.google.com/spreadsheets/d/1C3CXT74ZlgGe6_JY_1olB1XN4rF0dxEuIIF-xsYjHgg/edit?usp=sharing"",""งบกองทุน!CY117"")"),0)</f>
        <v>0</v>
      </c>
      <c r="BN113" s="552">
        <f t="shared" si="185"/>
        <v>0</v>
      </c>
      <c r="BO113" s="554">
        <f t="shared" ca="1" si="161"/>
        <v>0</v>
      </c>
      <c r="BP113" s="552">
        <f t="shared" si="186"/>
        <v>0</v>
      </c>
      <c r="BQ113" s="554">
        <f t="shared" ca="1" si="16"/>
        <v>0</v>
      </c>
      <c r="BR113" s="552">
        <v>0</v>
      </c>
      <c r="BS113" s="552">
        <v>0</v>
      </c>
      <c r="BT113" s="552">
        <v>0</v>
      </c>
      <c r="BU113" s="552">
        <v>0</v>
      </c>
      <c r="BV113" s="552">
        <v>0</v>
      </c>
      <c r="BW113" s="552">
        <v>0</v>
      </c>
      <c r="BX113" s="552">
        <f t="shared" si="187"/>
        <v>0</v>
      </c>
      <c r="BY113" s="554">
        <f t="shared" si="188"/>
        <v>0</v>
      </c>
      <c r="BZ113" s="552">
        <f t="shared" si="189"/>
        <v>0</v>
      </c>
      <c r="CA113" s="554">
        <f t="shared" si="190"/>
        <v>0</v>
      </c>
      <c r="CB113" s="552">
        <v>0</v>
      </c>
      <c r="CC113" s="552">
        <v>0</v>
      </c>
      <c r="CD113" s="552">
        <v>0</v>
      </c>
      <c r="CE113" s="552">
        <v>0</v>
      </c>
      <c r="CF113" s="552">
        <v>0</v>
      </c>
      <c r="CG113" s="558">
        <v>0</v>
      </c>
    </row>
    <row r="114" spans="1:85" ht="24" hidden="1" customHeight="1">
      <c r="A114" s="574">
        <v>8</v>
      </c>
      <c r="B114" s="575" t="s">
        <v>141</v>
      </c>
      <c r="C114" s="576">
        <f t="shared" ca="1" si="176"/>
        <v>0</v>
      </c>
      <c r="D114" s="577">
        <f ca="1">IFERROR(__xludf.DUMMYFUNCTION("IMPORTRANGE(""https://docs.google.com/spreadsheets/d/1C3CXT74ZlgGe6_JY_1olB1XN4rF0dxEuIIF-xsYjHgg/edit?usp=sharing"",""งบกองทุน!BC118"")"),0)</f>
        <v>0</v>
      </c>
      <c r="E114" s="577">
        <f ca="1">IFERROR(__xludf.DUMMYFUNCTION("IMPORTRANGE(""https://docs.google.com/spreadsheets/d/1C3CXT74ZlgGe6_JY_1olB1XN4rF0dxEuIIF-xsYjHgg/edit?usp=sharing"",""งบกองทุน!BD118"")"),0)</f>
        <v>0</v>
      </c>
      <c r="F114" s="578">
        <v>0</v>
      </c>
      <c r="G114" s="578">
        <f t="shared" ca="1" si="1"/>
        <v>0</v>
      </c>
      <c r="H114" s="577">
        <f ca="1">IFERROR(__xludf.DUMMYFUNCTION("IMPORTRANGE(""https://docs.google.com/spreadsheets/d/1C3CXT74ZlgGe6_JY_1olB1XN4rF0dxEuIIF-xsYjHgg/edit?usp=sharing"",""งบกองทุน!BE118"")"),0)</f>
        <v>0</v>
      </c>
      <c r="I114" s="577">
        <f ca="1">IFERROR(__xludf.DUMMYFUNCTION("IMPORTRANGE(""https://docs.google.com/spreadsheets/d/1C3CXT74ZlgGe6_JY_1olB1XN4rF0dxEuIIF-xsYjHgg/edit?usp=sharing"",""งบกองทุน!BF118"")"),0)</f>
        <v>0</v>
      </c>
      <c r="J114" s="577">
        <f t="shared" si="177"/>
        <v>0</v>
      </c>
      <c r="K114" s="578">
        <f t="shared" ca="1" si="3"/>
        <v>0</v>
      </c>
      <c r="L114" s="577">
        <f t="shared" si="178"/>
        <v>0</v>
      </c>
      <c r="M114" s="578">
        <f t="shared" ca="1" si="4"/>
        <v>0</v>
      </c>
      <c r="N114" s="577">
        <v>0</v>
      </c>
      <c r="O114" s="577">
        <v>0</v>
      </c>
      <c r="P114" s="577">
        <v>0</v>
      </c>
      <c r="Q114" s="577">
        <v>0</v>
      </c>
      <c r="R114" s="577">
        <v>0</v>
      </c>
      <c r="S114" s="577">
        <v>0</v>
      </c>
      <c r="T114" s="577">
        <f t="shared" si="179"/>
        <v>0</v>
      </c>
      <c r="U114" s="577">
        <f t="shared" ca="1" si="6"/>
        <v>0</v>
      </c>
      <c r="V114" s="577">
        <f t="shared" si="180"/>
        <v>0</v>
      </c>
      <c r="W114" s="577">
        <f t="shared" ca="1" si="7"/>
        <v>0</v>
      </c>
      <c r="X114" s="577">
        <v>0</v>
      </c>
      <c r="Y114" s="577">
        <v>0</v>
      </c>
      <c r="Z114" s="577">
        <v>0</v>
      </c>
      <c r="AA114" s="577">
        <v>0</v>
      </c>
      <c r="AB114" s="577">
        <v>0</v>
      </c>
      <c r="AC114" s="577">
        <v>0</v>
      </c>
      <c r="AD114" s="577">
        <f t="shared" si="181"/>
        <v>0</v>
      </c>
      <c r="AE114" s="578">
        <f t="shared" ca="1" si="9"/>
        <v>0</v>
      </c>
      <c r="AF114" s="577">
        <f t="shared" si="182"/>
        <v>0</v>
      </c>
      <c r="AG114" s="578">
        <f t="shared" ca="1" si="10"/>
        <v>0</v>
      </c>
      <c r="AH114" s="577">
        <v>0</v>
      </c>
      <c r="AI114" s="577">
        <v>0</v>
      </c>
      <c r="AJ114" s="577">
        <v>0</v>
      </c>
      <c r="AK114" s="577">
        <v>0</v>
      </c>
      <c r="AL114" s="577">
        <v>0</v>
      </c>
      <c r="AM114" s="577">
        <v>0</v>
      </c>
      <c r="AN114" s="577">
        <v>0</v>
      </c>
      <c r="AO114" s="577">
        <v>0</v>
      </c>
      <c r="AP114" s="577">
        <v>0</v>
      </c>
      <c r="AQ114" s="577">
        <v>0</v>
      </c>
      <c r="AR114" s="577">
        <v>0</v>
      </c>
      <c r="AS114" s="577">
        <v>0</v>
      </c>
      <c r="AT114" s="577">
        <f ca="1">IFERROR(__xludf.DUMMYFUNCTION("IMPORTRANGE(""https://docs.google.com/spreadsheets/d/1C3CXT74ZlgGe6_JY_1olB1XN4rF0dxEuIIF-xsYjHgg/edit?usp=sharing"",""งบกองทุน!CD118"")"),0)</f>
        <v>0</v>
      </c>
      <c r="AU114" s="577">
        <f ca="1">IFERROR(__xludf.DUMMYFUNCTION("IMPORTRANGE(""https://docs.google.com/spreadsheets/d/1C3CXT74ZlgGe6_JY_1olB1XN4rF0dxEuIIF-xsYjHgg/edit?usp=sharing"",""งบกองทุน!CC118"")"),0)</f>
        <v>0</v>
      </c>
      <c r="AV114" s="577">
        <f t="shared" si="183"/>
        <v>0</v>
      </c>
      <c r="AW114" s="577">
        <f t="shared" ca="1" si="12"/>
        <v>0</v>
      </c>
      <c r="AX114" s="577">
        <f t="shared" si="184"/>
        <v>0</v>
      </c>
      <c r="AY114" s="577">
        <f t="shared" ca="1" si="13"/>
        <v>0</v>
      </c>
      <c r="AZ114" s="577">
        <v>0</v>
      </c>
      <c r="BA114" s="577">
        <v>0</v>
      </c>
      <c r="BB114" s="577">
        <v>0</v>
      </c>
      <c r="BC114" s="577">
        <v>0</v>
      </c>
      <c r="BD114" s="577">
        <v>0</v>
      </c>
      <c r="BE114" s="577">
        <v>0</v>
      </c>
      <c r="BF114" s="577">
        <v>0</v>
      </c>
      <c r="BG114" s="577">
        <v>0</v>
      </c>
      <c r="BH114" s="577">
        <v>0</v>
      </c>
      <c r="BI114" s="577">
        <v>0</v>
      </c>
      <c r="BJ114" s="577">
        <v>0</v>
      </c>
      <c r="BK114" s="577">
        <v>0</v>
      </c>
      <c r="BL114" s="577">
        <f ca="1">IFERROR(__xludf.DUMMYFUNCTION("IMPORTRANGE(""https://docs.google.com/spreadsheets/d/1C3CXT74ZlgGe6_JY_1olB1XN4rF0dxEuIIF-xsYjHgg/edit?usp=sharing"",""งบกองทุน!CZ118"")"),0)</f>
        <v>0</v>
      </c>
      <c r="BM114" s="577">
        <f ca="1">IFERROR(__xludf.DUMMYFUNCTION("IMPORTRANGE(""https://docs.google.com/spreadsheets/d/1C3CXT74ZlgGe6_JY_1olB1XN4rF0dxEuIIF-xsYjHgg/edit?usp=sharing"",""งบกองทุน!CY118"")"),0)</f>
        <v>0</v>
      </c>
      <c r="BN114" s="577">
        <f t="shared" si="185"/>
        <v>0</v>
      </c>
      <c r="BO114" s="578">
        <f t="shared" ca="1" si="161"/>
        <v>0</v>
      </c>
      <c r="BP114" s="577">
        <f t="shared" si="186"/>
        <v>0</v>
      </c>
      <c r="BQ114" s="578">
        <f t="shared" ca="1" si="16"/>
        <v>0</v>
      </c>
      <c r="BR114" s="577">
        <v>0</v>
      </c>
      <c r="BS114" s="577">
        <v>0</v>
      </c>
      <c r="BT114" s="577">
        <v>0</v>
      </c>
      <c r="BU114" s="577">
        <v>0</v>
      </c>
      <c r="BV114" s="577">
        <v>0</v>
      </c>
      <c r="BW114" s="577">
        <v>0</v>
      </c>
      <c r="BX114" s="577">
        <f t="shared" si="187"/>
        <v>0</v>
      </c>
      <c r="BY114" s="578">
        <f t="shared" si="188"/>
        <v>0</v>
      </c>
      <c r="BZ114" s="577">
        <f t="shared" si="189"/>
        <v>0</v>
      </c>
      <c r="CA114" s="578">
        <f t="shared" si="190"/>
        <v>0</v>
      </c>
      <c r="CB114" s="577">
        <v>0</v>
      </c>
      <c r="CC114" s="577">
        <v>0</v>
      </c>
      <c r="CD114" s="577">
        <v>0</v>
      </c>
      <c r="CE114" s="577">
        <v>0</v>
      </c>
      <c r="CF114" s="577">
        <v>0</v>
      </c>
      <c r="CG114" s="579">
        <v>0</v>
      </c>
    </row>
    <row r="115" spans="1:85" ht="24" customHeight="1">
      <c r="A115" s="580"/>
      <c r="B115" s="580"/>
      <c r="C115" s="580"/>
      <c r="D115" s="580"/>
      <c r="E115" s="580"/>
      <c r="F115" s="580"/>
      <c r="G115" s="580"/>
      <c r="H115" s="580"/>
      <c r="I115" s="580"/>
      <c r="J115" s="580"/>
      <c r="K115" s="581"/>
      <c r="L115" s="580"/>
      <c r="M115" s="580"/>
      <c r="N115" s="580"/>
      <c r="O115" s="580"/>
      <c r="P115" s="580"/>
      <c r="Q115" s="580"/>
      <c r="R115" s="580"/>
      <c r="S115" s="580"/>
      <c r="T115" s="580"/>
      <c r="U115" s="580"/>
      <c r="V115" s="580"/>
      <c r="W115" s="580"/>
      <c r="X115" s="580"/>
      <c r="Y115" s="580"/>
      <c r="Z115" s="580"/>
      <c r="AA115" s="580"/>
      <c r="AB115" s="580"/>
      <c r="AC115" s="580"/>
      <c r="AD115" s="580"/>
      <c r="AE115" s="581"/>
      <c r="AF115" s="580"/>
      <c r="AG115" s="581"/>
      <c r="AH115" s="580"/>
      <c r="AI115" s="580"/>
      <c r="AJ115" s="580"/>
      <c r="AK115" s="580"/>
      <c r="AL115" s="580"/>
      <c r="AM115" s="580"/>
      <c r="AN115" s="580"/>
      <c r="AO115" s="580"/>
      <c r="AP115" s="580"/>
      <c r="AQ115" s="580"/>
      <c r="AR115" s="580"/>
      <c r="AS115" s="580"/>
      <c r="AT115" s="580"/>
      <c r="AU115" s="580"/>
      <c r="AV115" s="580"/>
      <c r="AW115" s="580"/>
      <c r="AX115" s="580"/>
      <c r="AY115" s="580"/>
      <c r="AZ115" s="580"/>
      <c r="BA115" s="580"/>
      <c r="BB115" s="580"/>
      <c r="BC115" s="580"/>
      <c r="BD115" s="580"/>
      <c r="BE115" s="580"/>
      <c r="BF115" s="580"/>
      <c r="BG115" s="580"/>
      <c r="BH115" s="580"/>
      <c r="BI115" s="580"/>
      <c r="BJ115" s="580"/>
      <c r="BK115" s="580"/>
      <c r="BL115" s="580"/>
      <c r="BM115" s="580"/>
      <c r="BN115" s="580"/>
      <c r="BO115" s="581"/>
      <c r="BP115" s="580"/>
      <c r="BQ115" s="581"/>
      <c r="BR115" s="580"/>
      <c r="BS115" s="580"/>
      <c r="BT115" s="580"/>
      <c r="BU115" s="580"/>
      <c r="BV115" s="580"/>
      <c r="BW115" s="580"/>
      <c r="BX115" s="580"/>
      <c r="BY115" s="581"/>
      <c r="BZ115" s="580"/>
      <c r="CA115" s="581"/>
      <c r="CB115" s="580"/>
      <c r="CC115" s="580"/>
      <c r="CD115" s="580"/>
      <c r="CE115" s="580"/>
      <c r="CF115" s="580"/>
      <c r="CG115" s="580"/>
    </row>
    <row r="116" spans="1:85" ht="24" customHeight="1">
      <c r="A116" s="580"/>
      <c r="B116" s="580"/>
      <c r="C116" s="580"/>
      <c r="D116" s="580"/>
      <c r="E116" s="580"/>
      <c r="F116" s="580"/>
      <c r="G116" s="580"/>
      <c r="H116" s="580"/>
      <c r="I116" s="580"/>
      <c r="J116" s="580"/>
      <c r="K116" s="581"/>
      <c r="L116" s="580"/>
      <c r="M116" s="580"/>
      <c r="N116" s="580"/>
      <c r="O116" s="580"/>
      <c r="P116" s="580"/>
      <c r="Q116" s="580"/>
      <c r="R116" s="580"/>
      <c r="S116" s="580"/>
      <c r="T116" s="580"/>
      <c r="U116" s="580"/>
      <c r="V116" s="580"/>
      <c r="W116" s="580"/>
      <c r="X116" s="580"/>
      <c r="Y116" s="580"/>
      <c r="Z116" s="580"/>
      <c r="AA116" s="580"/>
      <c r="AB116" s="580"/>
      <c r="AC116" s="580"/>
      <c r="AD116" s="580"/>
      <c r="AE116" s="581"/>
      <c r="AF116" s="580"/>
      <c r="AG116" s="581"/>
      <c r="AH116" s="580"/>
      <c r="AI116" s="580"/>
      <c r="AJ116" s="580"/>
      <c r="AK116" s="580"/>
      <c r="AL116" s="580"/>
      <c r="AM116" s="580"/>
      <c r="AN116" s="580"/>
      <c r="AO116" s="580"/>
      <c r="AP116" s="580"/>
      <c r="AQ116" s="580"/>
      <c r="AR116" s="580"/>
      <c r="AS116" s="580"/>
      <c r="AT116" s="580"/>
      <c r="AU116" s="580"/>
      <c r="AV116" s="580"/>
      <c r="AW116" s="580"/>
      <c r="AX116" s="580"/>
      <c r="AY116" s="580"/>
      <c r="AZ116" s="580"/>
      <c r="BA116" s="580"/>
      <c r="BB116" s="580"/>
      <c r="BC116" s="580"/>
      <c r="BD116" s="580"/>
      <c r="BE116" s="580"/>
      <c r="BF116" s="580"/>
      <c r="BG116" s="580"/>
      <c r="BH116" s="580"/>
      <c r="BI116" s="580"/>
      <c r="BJ116" s="580"/>
      <c r="BK116" s="580"/>
      <c r="BL116" s="580"/>
      <c r="BM116" s="580"/>
      <c r="BN116" s="580"/>
      <c r="BO116" s="581"/>
      <c r="BP116" s="580"/>
      <c r="BQ116" s="581"/>
      <c r="BR116" s="580"/>
      <c r="BS116" s="580"/>
      <c r="BT116" s="580"/>
      <c r="BU116" s="580"/>
      <c r="BV116" s="580"/>
      <c r="BW116" s="580"/>
      <c r="BX116" s="580"/>
      <c r="BY116" s="581"/>
      <c r="BZ116" s="580"/>
      <c r="CA116" s="581"/>
      <c r="CB116" s="580"/>
      <c r="CC116" s="580"/>
      <c r="CD116" s="580"/>
      <c r="CE116" s="580"/>
      <c r="CF116" s="580"/>
      <c r="CG116" s="580"/>
    </row>
    <row r="117" spans="1:85" ht="24" customHeight="1">
      <c r="A117" s="580"/>
      <c r="B117" s="580"/>
      <c r="C117" s="580"/>
      <c r="D117" s="580"/>
      <c r="E117" s="580"/>
      <c r="F117" s="580"/>
      <c r="G117" s="580"/>
      <c r="H117" s="580"/>
      <c r="I117" s="580"/>
      <c r="J117" s="580"/>
      <c r="K117" s="581"/>
      <c r="L117" s="580"/>
      <c r="M117" s="580"/>
      <c r="N117" s="580"/>
      <c r="O117" s="580"/>
      <c r="P117" s="580"/>
      <c r="Q117" s="580"/>
      <c r="R117" s="580"/>
      <c r="S117" s="580"/>
      <c r="T117" s="580"/>
      <c r="U117" s="580"/>
      <c r="V117" s="580"/>
      <c r="W117" s="580"/>
      <c r="X117" s="580"/>
      <c r="Y117" s="580"/>
      <c r="Z117" s="580"/>
      <c r="AA117" s="580"/>
      <c r="AB117" s="580"/>
      <c r="AC117" s="580"/>
      <c r="AD117" s="580"/>
      <c r="AE117" s="581"/>
      <c r="AF117" s="580"/>
      <c r="AG117" s="581"/>
      <c r="AH117" s="580"/>
      <c r="AI117" s="580"/>
      <c r="AJ117" s="580"/>
      <c r="AK117" s="580"/>
      <c r="AL117" s="580"/>
      <c r="AM117" s="580"/>
      <c r="AN117" s="580"/>
      <c r="AO117" s="580"/>
      <c r="AP117" s="580"/>
      <c r="AQ117" s="580"/>
      <c r="AR117" s="580"/>
      <c r="AS117" s="580"/>
      <c r="AT117" s="580"/>
      <c r="AU117" s="580"/>
      <c r="AV117" s="580"/>
      <c r="AW117" s="580"/>
      <c r="AX117" s="580"/>
      <c r="AY117" s="580"/>
      <c r="AZ117" s="580"/>
      <c r="BA117" s="580"/>
      <c r="BB117" s="580"/>
      <c r="BC117" s="580"/>
      <c r="BD117" s="580"/>
      <c r="BE117" s="580"/>
      <c r="BF117" s="580"/>
      <c r="BG117" s="580"/>
      <c r="BH117" s="580"/>
      <c r="BI117" s="580"/>
      <c r="BJ117" s="580"/>
      <c r="BK117" s="580"/>
      <c r="BL117" s="580"/>
      <c r="BM117" s="580"/>
      <c r="BN117" s="580"/>
      <c r="BO117" s="581"/>
      <c r="BP117" s="580"/>
      <c r="BQ117" s="581"/>
      <c r="BR117" s="580"/>
      <c r="BS117" s="580"/>
      <c r="BT117" s="580"/>
      <c r="BU117" s="580"/>
      <c r="BV117" s="580"/>
      <c r="BW117" s="580"/>
      <c r="BX117" s="580"/>
      <c r="BY117" s="581"/>
      <c r="BZ117" s="580"/>
      <c r="CA117" s="581"/>
      <c r="CB117" s="580"/>
      <c r="CC117" s="580"/>
      <c r="CD117" s="580"/>
      <c r="CE117" s="580"/>
      <c r="CF117" s="580"/>
      <c r="CG117" s="580"/>
    </row>
    <row r="118" spans="1:85" ht="24" customHeight="1">
      <c r="A118" s="580"/>
      <c r="B118" s="580"/>
      <c r="C118" s="580"/>
      <c r="D118" s="580"/>
      <c r="E118" s="580"/>
      <c r="F118" s="580"/>
      <c r="G118" s="580"/>
      <c r="H118" s="580"/>
      <c r="I118" s="580"/>
      <c r="J118" s="580"/>
      <c r="K118" s="581"/>
      <c r="L118" s="580"/>
      <c r="M118" s="580"/>
      <c r="N118" s="580"/>
      <c r="O118" s="580"/>
      <c r="P118" s="580"/>
      <c r="Q118" s="580"/>
      <c r="R118" s="580"/>
      <c r="S118" s="580"/>
      <c r="T118" s="580"/>
      <c r="U118" s="580"/>
      <c r="V118" s="580"/>
      <c r="W118" s="580"/>
      <c r="X118" s="580"/>
      <c r="Y118" s="580"/>
      <c r="Z118" s="580"/>
      <c r="AA118" s="580"/>
      <c r="AB118" s="580"/>
      <c r="AC118" s="580"/>
      <c r="AD118" s="580"/>
      <c r="AE118" s="581"/>
      <c r="AF118" s="580"/>
      <c r="AG118" s="581"/>
      <c r="AH118" s="580"/>
      <c r="AI118" s="580"/>
      <c r="AJ118" s="580"/>
      <c r="AK118" s="580"/>
      <c r="AL118" s="580"/>
      <c r="AM118" s="580"/>
      <c r="AN118" s="580"/>
      <c r="AO118" s="580"/>
      <c r="AP118" s="580"/>
      <c r="AQ118" s="580"/>
      <c r="AR118" s="580"/>
      <c r="AS118" s="580"/>
      <c r="AT118" s="580"/>
      <c r="AU118" s="580"/>
      <c r="AV118" s="580"/>
      <c r="AW118" s="580"/>
      <c r="AX118" s="580"/>
      <c r="AY118" s="580"/>
      <c r="AZ118" s="580"/>
      <c r="BA118" s="580"/>
      <c r="BB118" s="580"/>
      <c r="BC118" s="580"/>
      <c r="BD118" s="580"/>
      <c r="BE118" s="580"/>
      <c r="BF118" s="580"/>
      <c r="BG118" s="580"/>
      <c r="BH118" s="580"/>
      <c r="BI118" s="580"/>
      <c r="BJ118" s="580"/>
      <c r="BK118" s="580"/>
      <c r="BL118" s="580"/>
      <c r="BM118" s="580"/>
      <c r="BN118" s="580"/>
      <c r="BO118" s="581"/>
      <c r="BP118" s="580"/>
      <c r="BQ118" s="581"/>
      <c r="BR118" s="580"/>
      <c r="BS118" s="580"/>
      <c r="BT118" s="580"/>
      <c r="BU118" s="580"/>
      <c r="BV118" s="580"/>
      <c r="BW118" s="580"/>
      <c r="BX118" s="580"/>
      <c r="BY118" s="581"/>
      <c r="BZ118" s="580"/>
      <c r="CA118" s="581"/>
      <c r="CB118" s="580"/>
      <c r="CC118" s="580"/>
      <c r="CD118" s="580"/>
      <c r="CE118" s="580"/>
      <c r="CF118" s="580"/>
      <c r="CG118" s="580"/>
    </row>
    <row r="119" spans="1:85" ht="24" customHeight="1">
      <c r="A119" s="580"/>
      <c r="B119" s="580"/>
      <c r="C119" s="580"/>
      <c r="D119" s="580"/>
      <c r="E119" s="580"/>
      <c r="F119" s="580"/>
      <c r="G119" s="580"/>
      <c r="H119" s="580"/>
      <c r="I119" s="580"/>
      <c r="J119" s="580"/>
      <c r="K119" s="581"/>
      <c r="L119" s="580"/>
      <c r="M119" s="580"/>
      <c r="N119" s="580"/>
      <c r="O119" s="580"/>
      <c r="P119" s="580"/>
      <c r="Q119" s="580"/>
      <c r="R119" s="580"/>
      <c r="S119" s="580"/>
      <c r="T119" s="580"/>
      <c r="U119" s="580"/>
      <c r="V119" s="580"/>
      <c r="W119" s="580"/>
      <c r="X119" s="580"/>
      <c r="Y119" s="580"/>
      <c r="Z119" s="580"/>
      <c r="AA119" s="580"/>
      <c r="AB119" s="580"/>
      <c r="AC119" s="580"/>
      <c r="AD119" s="580"/>
      <c r="AE119" s="581"/>
      <c r="AF119" s="580"/>
      <c r="AG119" s="581"/>
      <c r="AH119" s="580"/>
      <c r="AI119" s="580"/>
      <c r="AJ119" s="580"/>
      <c r="AK119" s="580"/>
      <c r="AL119" s="580"/>
      <c r="AM119" s="580"/>
      <c r="AN119" s="580"/>
      <c r="AO119" s="580"/>
      <c r="AP119" s="580"/>
      <c r="AQ119" s="580"/>
      <c r="AR119" s="580"/>
      <c r="AS119" s="580"/>
      <c r="AT119" s="580"/>
      <c r="AU119" s="580"/>
      <c r="AV119" s="580"/>
      <c r="AW119" s="580"/>
      <c r="AX119" s="580"/>
      <c r="AY119" s="580"/>
      <c r="AZ119" s="580"/>
      <c r="BA119" s="580"/>
      <c r="BB119" s="580"/>
      <c r="BC119" s="580"/>
      <c r="BD119" s="580"/>
      <c r="BE119" s="580"/>
      <c r="BF119" s="580"/>
      <c r="BG119" s="580"/>
      <c r="BH119" s="580"/>
      <c r="BI119" s="580"/>
      <c r="BJ119" s="580"/>
      <c r="BK119" s="580"/>
      <c r="BL119" s="580"/>
      <c r="BM119" s="580"/>
      <c r="BN119" s="580"/>
      <c r="BO119" s="581"/>
      <c r="BP119" s="580"/>
      <c r="BQ119" s="581"/>
      <c r="BR119" s="580"/>
      <c r="BS119" s="580"/>
      <c r="BT119" s="580"/>
      <c r="BU119" s="580"/>
      <c r="BV119" s="580"/>
      <c r="BW119" s="580"/>
      <c r="BX119" s="580"/>
      <c r="BY119" s="581"/>
      <c r="BZ119" s="580"/>
      <c r="CA119" s="581"/>
      <c r="CB119" s="580"/>
      <c r="CC119" s="580"/>
      <c r="CD119" s="580"/>
      <c r="CE119" s="580"/>
      <c r="CF119" s="580"/>
      <c r="CG119" s="580"/>
    </row>
    <row r="120" spans="1:85" ht="24" customHeight="1">
      <c r="A120" s="580"/>
      <c r="B120" s="580"/>
      <c r="C120" s="580"/>
      <c r="D120" s="580"/>
      <c r="E120" s="580"/>
      <c r="F120" s="580"/>
      <c r="G120" s="580"/>
      <c r="H120" s="580"/>
      <c r="I120" s="580"/>
      <c r="J120" s="580"/>
      <c r="K120" s="581"/>
      <c r="L120" s="580"/>
      <c r="M120" s="580"/>
      <c r="N120" s="580"/>
      <c r="O120" s="580"/>
      <c r="P120" s="580"/>
      <c r="Q120" s="580"/>
      <c r="R120" s="580"/>
      <c r="S120" s="580"/>
      <c r="T120" s="580"/>
      <c r="U120" s="580"/>
      <c r="V120" s="580"/>
      <c r="W120" s="580"/>
      <c r="X120" s="580"/>
      <c r="Y120" s="580"/>
      <c r="Z120" s="580"/>
      <c r="AA120" s="580"/>
      <c r="AB120" s="580"/>
      <c r="AC120" s="580"/>
      <c r="AD120" s="580"/>
      <c r="AE120" s="581"/>
      <c r="AF120" s="580"/>
      <c r="AG120" s="581"/>
      <c r="AH120" s="580"/>
      <c r="AI120" s="580"/>
      <c r="AJ120" s="580"/>
      <c r="AK120" s="580"/>
      <c r="AL120" s="580"/>
      <c r="AM120" s="580"/>
      <c r="AN120" s="580"/>
      <c r="AO120" s="580"/>
      <c r="AP120" s="580"/>
      <c r="AQ120" s="580"/>
      <c r="AR120" s="580"/>
      <c r="AS120" s="580"/>
      <c r="AT120" s="580"/>
      <c r="AU120" s="580"/>
      <c r="AV120" s="580"/>
      <c r="AW120" s="580"/>
      <c r="AX120" s="580"/>
      <c r="AY120" s="580"/>
      <c r="AZ120" s="580"/>
      <c r="BA120" s="580"/>
      <c r="BB120" s="580"/>
      <c r="BC120" s="580"/>
      <c r="BD120" s="580"/>
      <c r="BE120" s="580"/>
      <c r="BF120" s="580"/>
      <c r="BG120" s="580"/>
      <c r="BH120" s="580"/>
      <c r="BI120" s="580"/>
      <c r="BJ120" s="580"/>
      <c r="BK120" s="580"/>
      <c r="BL120" s="580"/>
      <c r="BM120" s="580"/>
      <c r="BN120" s="580"/>
      <c r="BO120" s="581"/>
      <c r="BP120" s="580"/>
      <c r="BQ120" s="581"/>
      <c r="BR120" s="580"/>
      <c r="BS120" s="580"/>
      <c r="BT120" s="580"/>
      <c r="BU120" s="580"/>
      <c r="BV120" s="580"/>
      <c r="BW120" s="580"/>
      <c r="BX120" s="580"/>
      <c r="BY120" s="581"/>
      <c r="BZ120" s="580"/>
      <c r="CA120" s="581"/>
      <c r="CB120" s="580"/>
      <c r="CC120" s="580"/>
      <c r="CD120" s="580"/>
      <c r="CE120" s="580"/>
      <c r="CF120" s="580"/>
      <c r="CG120" s="580"/>
    </row>
    <row r="121" spans="1:85" ht="24" customHeight="1">
      <c r="A121" s="580"/>
      <c r="B121" s="580"/>
      <c r="C121" s="580"/>
      <c r="D121" s="580"/>
      <c r="E121" s="580"/>
      <c r="F121" s="580"/>
      <c r="G121" s="580"/>
      <c r="H121" s="580"/>
      <c r="I121" s="580"/>
      <c r="J121" s="580"/>
      <c r="K121" s="581"/>
      <c r="L121" s="580"/>
      <c r="M121" s="580"/>
      <c r="N121" s="580"/>
      <c r="O121" s="580"/>
      <c r="P121" s="580"/>
      <c r="Q121" s="580"/>
      <c r="R121" s="580"/>
      <c r="S121" s="580"/>
      <c r="T121" s="580"/>
      <c r="U121" s="580"/>
      <c r="V121" s="580"/>
      <c r="W121" s="580"/>
      <c r="X121" s="580"/>
      <c r="Y121" s="580"/>
      <c r="Z121" s="580"/>
      <c r="AA121" s="580"/>
      <c r="AB121" s="580"/>
      <c r="AC121" s="580"/>
      <c r="AD121" s="580"/>
      <c r="AE121" s="581"/>
      <c r="AF121" s="580"/>
      <c r="AG121" s="581"/>
      <c r="AH121" s="580"/>
      <c r="AI121" s="580"/>
      <c r="AJ121" s="580"/>
      <c r="AK121" s="580"/>
      <c r="AL121" s="580"/>
      <c r="AM121" s="580"/>
      <c r="AN121" s="580"/>
      <c r="AO121" s="580"/>
      <c r="AP121" s="580"/>
      <c r="AQ121" s="580"/>
      <c r="AR121" s="580"/>
      <c r="AS121" s="580"/>
      <c r="AT121" s="580"/>
      <c r="AU121" s="580"/>
      <c r="AV121" s="580"/>
      <c r="AW121" s="580"/>
      <c r="AX121" s="580"/>
      <c r="AY121" s="580"/>
      <c r="AZ121" s="580"/>
      <c r="BA121" s="580"/>
      <c r="BB121" s="580"/>
      <c r="BC121" s="580"/>
      <c r="BD121" s="580"/>
      <c r="BE121" s="580"/>
      <c r="BF121" s="580"/>
      <c r="BG121" s="580"/>
      <c r="BH121" s="580"/>
      <c r="BI121" s="580"/>
      <c r="BJ121" s="580"/>
      <c r="BK121" s="580"/>
      <c r="BL121" s="580"/>
      <c r="BM121" s="580"/>
      <c r="BN121" s="580"/>
      <c r="BO121" s="581"/>
      <c r="BP121" s="580"/>
      <c r="BQ121" s="581"/>
      <c r="BR121" s="580"/>
      <c r="BS121" s="580"/>
      <c r="BT121" s="580"/>
      <c r="BU121" s="580"/>
      <c r="BV121" s="580"/>
      <c r="BW121" s="580"/>
      <c r="BX121" s="580"/>
      <c r="BY121" s="581"/>
      <c r="BZ121" s="580"/>
      <c r="CA121" s="581"/>
      <c r="CB121" s="580"/>
      <c r="CC121" s="580"/>
      <c r="CD121" s="580"/>
      <c r="CE121" s="580"/>
      <c r="CF121" s="580"/>
      <c r="CG121" s="580"/>
    </row>
    <row r="122" spans="1:85" ht="24" customHeight="1">
      <c r="A122" s="580"/>
      <c r="B122" s="580"/>
      <c r="C122" s="580"/>
      <c r="D122" s="580"/>
      <c r="E122" s="580"/>
      <c r="F122" s="580"/>
      <c r="G122" s="580"/>
      <c r="H122" s="580"/>
      <c r="I122" s="580"/>
      <c r="J122" s="580"/>
      <c r="K122" s="581"/>
      <c r="L122" s="580"/>
      <c r="M122" s="580"/>
      <c r="N122" s="580"/>
      <c r="O122" s="580"/>
      <c r="P122" s="580"/>
      <c r="Q122" s="580"/>
      <c r="R122" s="580"/>
      <c r="S122" s="580"/>
      <c r="T122" s="580"/>
      <c r="U122" s="580"/>
      <c r="V122" s="580"/>
      <c r="W122" s="580"/>
      <c r="X122" s="580"/>
      <c r="Y122" s="580"/>
      <c r="Z122" s="580"/>
      <c r="AA122" s="580"/>
      <c r="AB122" s="580"/>
      <c r="AC122" s="580"/>
      <c r="AD122" s="580"/>
      <c r="AE122" s="581"/>
      <c r="AF122" s="580"/>
      <c r="AG122" s="581"/>
      <c r="AH122" s="580"/>
      <c r="AI122" s="580"/>
      <c r="AJ122" s="580"/>
      <c r="AK122" s="580"/>
      <c r="AL122" s="580"/>
      <c r="AM122" s="580"/>
      <c r="AN122" s="580"/>
      <c r="AO122" s="580"/>
      <c r="AP122" s="580"/>
      <c r="AQ122" s="580"/>
      <c r="AR122" s="580"/>
      <c r="AS122" s="580"/>
      <c r="AT122" s="580"/>
      <c r="AU122" s="580"/>
      <c r="AV122" s="580"/>
      <c r="AW122" s="580"/>
      <c r="AX122" s="580"/>
      <c r="AY122" s="580"/>
      <c r="AZ122" s="580"/>
      <c r="BA122" s="580"/>
      <c r="BB122" s="580"/>
      <c r="BC122" s="580"/>
      <c r="BD122" s="580"/>
      <c r="BE122" s="580"/>
      <c r="BF122" s="580"/>
      <c r="BG122" s="580"/>
      <c r="BH122" s="580"/>
      <c r="BI122" s="580"/>
      <c r="BJ122" s="580"/>
      <c r="BK122" s="580"/>
      <c r="BL122" s="580"/>
      <c r="BM122" s="580"/>
      <c r="BN122" s="580"/>
      <c r="BO122" s="581"/>
      <c r="BP122" s="580"/>
      <c r="BQ122" s="581"/>
      <c r="BR122" s="580"/>
      <c r="BS122" s="580"/>
      <c r="BT122" s="580"/>
      <c r="BU122" s="580"/>
      <c r="BV122" s="580"/>
      <c r="BW122" s="580"/>
      <c r="BX122" s="580"/>
      <c r="BY122" s="581"/>
      <c r="BZ122" s="580"/>
      <c r="CA122" s="581"/>
      <c r="CB122" s="580"/>
      <c r="CC122" s="580"/>
      <c r="CD122" s="580"/>
      <c r="CE122" s="580"/>
      <c r="CF122" s="580"/>
      <c r="CG122" s="580"/>
    </row>
    <row r="123" spans="1:85" ht="24" customHeight="1">
      <c r="A123" s="580"/>
      <c r="B123" s="580"/>
      <c r="C123" s="580"/>
      <c r="D123" s="580"/>
      <c r="E123" s="580"/>
      <c r="F123" s="580"/>
      <c r="G123" s="580"/>
      <c r="H123" s="580"/>
      <c r="I123" s="580"/>
      <c r="J123" s="580"/>
      <c r="K123" s="581"/>
      <c r="L123" s="580"/>
      <c r="M123" s="580"/>
      <c r="N123" s="580"/>
      <c r="O123" s="580"/>
      <c r="P123" s="580"/>
      <c r="Q123" s="580"/>
      <c r="R123" s="580"/>
      <c r="S123" s="580"/>
      <c r="T123" s="580"/>
      <c r="U123" s="580"/>
      <c r="V123" s="580"/>
      <c r="W123" s="580"/>
      <c r="X123" s="580"/>
      <c r="Y123" s="580"/>
      <c r="Z123" s="580"/>
      <c r="AA123" s="580"/>
      <c r="AB123" s="580"/>
      <c r="AC123" s="580"/>
      <c r="AD123" s="580"/>
      <c r="AE123" s="581"/>
      <c r="AF123" s="580"/>
      <c r="AG123" s="581"/>
      <c r="AH123" s="580"/>
      <c r="AI123" s="580"/>
      <c r="AJ123" s="580"/>
      <c r="AK123" s="580"/>
      <c r="AL123" s="580"/>
      <c r="AM123" s="580"/>
      <c r="AN123" s="580"/>
      <c r="AO123" s="580"/>
      <c r="AP123" s="580"/>
      <c r="AQ123" s="580"/>
      <c r="AR123" s="580"/>
      <c r="AS123" s="580"/>
      <c r="AT123" s="580"/>
      <c r="AU123" s="580"/>
      <c r="AV123" s="580"/>
      <c r="AW123" s="580"/>
      <c r="AX123" s="580"/>
      <c r="AY123" s="580"/>
      <c r="AZ123" s="580"/>
      <c r="BA123" s="580"/>
      <c r="BB123" s="580"/>
      <c r="BC123" s="580"/>
      <c r="BD123" s="580"/>
      <c r="BE123" s="580"/>
      <c r="BF123" s="580"/>
      <c r="BG123" s="580"/>
      <c r="BH123" s="580"/>
      <c r="BI123" s="580"/>
      <c r="BJ123" s="580"/>
      <c r="BK123" s="580"/>
      <c r="BL123" s="580"/>
      <c r="BM123" s="580"/>
      <c r="BN123" s="580"/>
      <c r="BO123" s="581"/>
      <c r="BP123" s="580"/>
      <c r="BQ123" s="581"/>
      <c r="BR123" s="580"/>
      <c r="BS123" s="580"/>
      <c r="BT123" s="580"/>
      <c r="BU123" s="580"/>
      <c r="BV123" s="580"/>
      <c r="BW123" s="580"/>
      <c r="BX123" s="580"/>
      <c r="BY123" s="581"/>
      <c r="BZ123" s="580"/>
      <c r="CA123" s="581"/>
      <c r="CB123" s="580"/>
      <c r="CC123" s="580"/>
      <c r="CD123" s="580"/>
      <c r="CE123" s="580"/>
      <c r="CF123" s="580"/>
      <c r="CG123" s="580"/>
    </row>
    <row r="124" spans="1:85" ht="24" customHeight="1">
      <c r="A124" s="580"/>
      <c r="B124" s="580"/>
      <c r="C124" s="580"/>
      <c r="D124" s="580"/>
      <c r="E124" s="580"/>
      <c r="F124" s="580"/>
      <c r="G124" s="580"/>
      <c r="H124" s="580"/>
      <c r="I124" s="580"/>
      <c r="J124" s="580"/>
      <c r="K124" s="581"/>
      <c r="L124" s="580"/>
      <c r="M124" s="580"/>
      <c r="N124" s="580"/>
      <c r="O124" s="580"/>
      <c r="P124" s="580"/>
      <c r="Q124" s="580"/>
      <c r="R124" s="580"/>
      <c r="S124" s="580"/>
      <c r="T124" s="580"/>
      <c r="U124" s="580"/>
      <c r="V124" s="580"/>
      <c r="W124" s="580"/>
      <c r="X124" s="580"/>
      <c r="Y124" s="580"/>
      <c r="Z124" s="580"/>
      <c r="AA124" s="580"/>
      <c r="AB124" s="580"/>
      <c r="AC124" s="580"/>
      <c r="AD124" s="580"/>
      <c r="AE124" s="581"/>
      <c r="AF124" s="580"/>
      <c r="AG124" s="581"/>
      <c r="AH124" s="580"/>
      <c r="AI124" s="580"/>
      <c r="AJ124" s="580"/>
      <c r="AK124" s="580"/>
      <c r="AL124" s="580"/>
      <c r="AM124" s="580"/>
      <c r="AN124" s="580"/>
      <c r="AO124" s="580"/>
      <c r="AP124" s="580"/>
      <c r="AQ124" s="580"/>
      <c r="AR124" s="580"/>
      <c r="AS124" s="580"/>
      <c r="AT124" s="580"/>
      <c r="AU124" s="580"/>
      <c r="AV124" s="580"/>
      <c r="AW124" s="580"/>
      <c r="AX124" s="580"/>
      <c r="AY124" s="580"/>
      <c r="AZ124" s="580"/>
      <c r="BA124" s="580"/>
      <c r="BB124" s="580"/>
      <c r="BC124" s="580"/>
      <c r="BD124" s="580"/>
      <c r="BE124" s="580"/>
      <c r="BF124" s="580"/>
      <c r="BG124" s="580"/>
      <c r="BH124" s="580"/>
      <c r="BI124" s="580"/>
      <c r="BJ124" s="580"/>
      <c r="BK124" s="580"/>
      <c r="BL124" s="580"/>
      <c r="BM124" s="580"/>
      <c r="BN124" s="580"/>
      <c r="BO124" s="581"/>
      <c r="BP124" s="580"/>
      <c r="BQ124" s="581"/>
      <c r="BR124" s="580"/>
      <c r="BS124" s="580"/>
      <c r="BT124" s="580"/>
      <c r="BU124" s="580"/>
      <c r="BV124" s="580"/>
      <c r="BW124" s="580"/>
      <c r="BX124" s="580"/>
      <c r="BY124" s="581"/>
      <c r="BZ124" s="580"/>
      <c r="CA124" s="581"/>
      <c r="CB124" s="580"/>
      <c r="CC124" s="580"/>
      <c r="CD124" s="580"/>
      <c r="CE124" s="580"/>
      <c r="CF124" s="580"/>
      <c r="CG124" s="580"/>
    </row>
    <row r="125" spans="1:85" ht="24" customHeight="1">
      <c r="A125" s="580"/>
      <c r="B125" s="580"/>
      <c r="C125" s="580"/>
      <c r="D125" s="580"/>
      <c r="E125" s="580"/>
      <c r="F125" s="580"/>
      <c r="G125" s="580"/>
      <c r="H125" s="580"/>
      <c r="I125" s="580"/>
      <c r="J125" s="580"/>
      <c r="K125" s="581"/>
      <c r="L125" s="580"/>
      <c r="M125" s="580"/>
      <c r="N125" s="580"/>
      <c r="O125" s="580"/>
      <c r="P125" s="580"/>
      <c r="Q125" s="580"/>
      <c r="R125" s="580"/>
      <c r="S125" s="580"/>
      <c r="T125" s="580"/>
      <c r="U125" s="580"/>
      <c r="V125" s="580"/>
      <c r="W125" s="580"/>
      <c r="X125" s="580"/>
      <c r="Y125" s="580"/>
      <c r="Z125" s="580"/>
      <c r="AA125" s="580"/>
      <c r="AB125" s="580"/>
      <c r="AC125" s="580"/>
      <c r="AD125" s="580"/>
      <c r="AE125" s="581"/>
      <c r="AF125" s="580"/>
      <c r="AG125" s="581"/>
      <c r="AH125" s="580"/>
      <c r="AI125" s="580"/>
      <c r="AJ125" s="580"/>
      <c r="AK125" s="580"/>
      <c r="AL125" s="580"/>
      <c r="AM125" s="580"/>
      <c r="AN125" s="580"/>
      <c r="AO125" s="580"/>
      <c r="AP125" s="580"/>
      <c r="AQ125" s="580"/>
      <c r="AR125" s="580"/>
      <c r="AS125" s="580"/>
      <c r="AT125" s="580"/>
      <c r="AU125" s="580"/>
      <c r="AV125" s="580"/>
      <c r="AW125" s="580"/>
      <c r="AX125" s="580"/>
      <c r="AY125" s="580"/>
      <c r="AZ125" s="580"/>
      <c r="BA125" s="580"/>
      <c r="BB125" s="580"/>
      <c r="BC125" s="580"/>
      <c r="BD125" s="580"/>
      <c r="BE125" s="580"/>
      <c r="BF125" s="580"/>
      <c r="BG125" s="580"/>
      <c r="BH125" s="580"/>
      <c r="BI125" s="580"/>
      <c r="BJ125" s="580"/>
      <c r="BK125" s="580"/>
      <c r="BL125" s="580"/>
      <c r="BM125" s="580"/>
      <c r="BN125" s="580"/>
      <c r="BO125" s="581"/>
      <c r="BP125" s="580"/>
      <c r="BQ125" s="581"/>
      <c r="BR125" s="580"/>
      <c r="BS125" s="580"/>
      <c r="BT125" s="580"/>
      <c r="BU125" s="580"/>
      <c r="BV125" s="580"/>
      <c r="BW125" s="580"/>
      <c r="BX125" s="580"/>
      <c r="BY125" s="581"/>
      <c r="BZ125" s="580"/>
      <c r="CA125" s="581"/>
      <c r="CB125" s="580"/>
      <c r="CC125" s="580"/>
      <c r="CD125" s="580"/>
      <c r="CE125" s="580"/>
      <c r="CF125" s="580"/>
      <c r="CG125" s="580"/>
    </row>
    <row r="126" spans="1:85" ht="24" customHeight="1">
      <c r="A126" s="580"/>
      <c r="B126" s="580"/>
      <c r="C126" s="580"/>
      <c r="D126" s="580"/>
      <c r="E126" s="580"/>
      <c r="F126" s="580"/>
      <c r="G126" s="580"/>
      <c r="H126" s="580"/>
      <c r="I126" s="580"/>
      <c r="J126" s="580"/>
      <c r="K126" s="581"/>
      <c r="L126" s="580"/>
      <c r="M126" s="580"/>
      <c r="N126" s="580"/>
      <c r="O126" s="580"/>
      <c r="P126" s="580"/>
      <c r="Q126" s="580"/>
      <c r="R126" s="580"/>
      <c r="S126" s="580"/>
      <c r="T126" s="580"/>
      <c r="U126" s="580"/>
      <c r="V126" s="580"/>
      <c r="W126" s="580"/>
      <c r="X126" s="580"/>
      <c r="Y126" s="580"/>
      <c r="Z126" s="580"/>
      <c r="AA126" s="580"/>
      <c r="AB126" s="580"/>
      <c r="AC126" s="580"/>
      <c r="AD126" s="580"/>
      <c r="AE126" s="581"/>
      <c r="AF126" s="580"/>
      <c r="AG126" s="581"/>
      <c r="AH126" s="580"/>
      <c r="AI126" s="580"/>
      <c r="AJ126" s="580"/>
      <c r="AK126" s="580"/>
      <c r="AL126" s="580"/>
      <c r="AM126" s="580"/>
      <c r="AN126" s="580"/>
      <c r="AO126" s="580"/>
      <c r="AP126" s="580"/>
      <c r="AQ126" s="580"/>
      <c r="AR126" s="580"/>
      <c r="AS126" s="580"/>
      <c r="AT126" s="580"/>
      <c r="AU126" s="580"/>
      <c r="AV126" s="580"/>
      <c r="AW126" s="580"/>
      <c r="AX126" s="580"/>
      <c r="AY126" s="580"/>
      <c r="AZ126" s="580"/>
      <c r="BA126" s="580"/>
      <c r="BB126" s="580"/>
      <c r="BC126" s="580"/>
      <c r="BD126" s="580"/>
      <c r="BE126" s="580"/>
      <c r="BF126" s="580"/>
      <c r="BG126" s="580"/>
      <c r="BH126" s="580"/>
      <c r="BI126" s="580"/>
      <c r="BJ126" s="580"/>
      <c r="BK126" s="580"/>
      <c r="BL126" s="580"/>
      <c r="BM126" s="580"/>
      <c r="BN126" s="580"/>
      <c r="BO126" s="581"/>
      <c r="BP126" s="580"/>
      <c r="BQ126" s="581"/>
      <c r="BR126" s="580"/>
      <c r="BS126" s="580"/>
      <c r="BT126" s="580"/>
      <c r="BU126" s="580"/>
      <c r="BV126" s="580"/>
      <c r="BW126" s="580"/>
      <c r="BX126" s="580"/>
      <c r="BY126" s="581"/>
      <c r="BZ126" s="580"/>
      <c r="CA126" s="581"/>
      <c r="CB126" s="580"/>
      <c r="CC126" s="580"/>
      <c r="CD126" s="580"/>
      <c r="CE126" s="580"/>
      <c r="CF126" s="580"/>
      <c r="CG126" s="580"/>
    </row>
    <row r="127" spans="1:85" ht="24" customHeight="1">
      <c r="A127" s="580"/>
      <c r="B127" s="580"/>
      <c r="C127" s="580"/>
      <c r="D127" s="580"/>
      <c r="E127" s="580"/>
      <c r="F127" s="580"/>
      <c r="G127" s="580"/>
      <c r="H127" s="580"/>
      <c r="I127" s="580"/>
      <c r="J127" s="580"/>
      <c r="K127" s="581"/>
      <c r="L127" s="580"/>
      <c r="M127" s="580"/>
      <c r="N127" s="580"/>
      <c r="O127" s="580"/>
      <c r="P127" s="580"/>
      <c r="Q127" s="580"/>
      <c r="R127" s="580"/>
      <c r="S127" s="580"/>
      <c r="T127" s="580"/>
      <c r="U127" s="580"/>
      <c r="V127" s="580"/>
      <c r="W127" s="580"/>
      <c r="X127" s="580"/>
      <c r="Y127" s="580"/>
      <c r="Z127" s="580"/>
      <c r="AA127" s="580"/>
      <c r="AB127" s="580"/>
      <c r="AC127" s="580"/>
      <c r="AD127" s="580"/>
      <c r="AE127" s="581"/>
      <c r="AF127" s="580"/>
      <c r="AG127" s="581"/>
      <c r="AH127" s="580"/>
      <c r="AI127" s="580"/>
      <c r="AJ127" s="580"/>
      <c r="AK127" s="580"/>
      <c r="AL127" s="580"/>
      <c r="AM127" s="580"/>
      <c r="AN127" s="580"/>
      <c r="AO127" s="580"/>
      <c r="AP127" s="580"/>
      <c r="AQ127" s="580"/>
      <c r="AR127" s="580"/>
      <c r="AS127" s="580"/>
      <c r="AT127" s="580"/>
      <c r="AU127" s="580"/>
      <c r="AV127" s="580"/>
      <c r="AW127" s="580"/>
      <c r="AX127" s="580"/>
      <c r="AY127" s="580"/>
      <c r="AZ127" s="580"/>
      <c r="BA127" s="580"/>
      <c r="BB127" s="580"/>
      <c r="BC127" s="580"/>
      <c r="BD127" s="580"/>
      <c r="BE127" s="580"/>
      <c r="BF127" s="580"/>
      <c r="BG127" s="580"/>
      <c r="BH127" s="580"/>
      <c r="BI127" s="580"/>
      <c r="BJ127" s="580"/>
      <c r="BK127" s="580"/>
      <c r="BL127" s="580"/>
      <c r="BM127" s="580"/>
      <c r="BN127" s="580"/>
      <c r="BO127" s="581"/>
      <c r="BP127" s="580"/>
      <c r="BQ127" s="581"/>
      <c r="BR127" s="580"/>
      <c r="BS127" s="580"/>
      <c r="BT127" s="580"/>
      <c r="BU127" s="580"/>
      <c r="BV127" s="580"/>
      <c r="BW127" s="580"/>
      <c r="BX127" s="580"/>
      <c r="BY127" s="581"/>
      <c r="BZ127" s="580"/>
      <c r="CA127" s="581"/>
      <c r="CB127" s="580"/>
      <c r="CC127" s="580"/>
      <c r="CD127" s="580"/>
      <c r="CE127" s="580"/>
      <c r="CF127" s="580"/>
      <c r="CG127" s="580"/>
    </row>
    <row r="128" spans="1:85" ht="24" customHeight="1">
      <c r="A128" s="580"/>
      <c r="B128" s="580"/>
      <c r="C128" s="580"/>
      <c r="D128" s="580"/>
      <c r="E128" s="580"/>
      <c r="F128" s="580"/>
      <c r="G128" s="580"/>
      <c r="H128" s="580"/>
      <c r="I128" s="580"/>
      <c r="J128" s="580"/>
      <c r="K128" s="581"/>
      <c r="L128" s="580"/>
      <c r="M128" s="580"/>
      <c r="N128" s="580"/>
      <c r="O128" s="580"/>
      <c r="P128" s="580"/>
      <c r="Q128" s="580"/>
      <c r="R128" s="580"/>
      <c r="S128" s="580"/>
      <c r="T128" s="580"/>
      <c r="U128" s="580"/>
      <c r="V128" s="580"/>
      <c r="W128" s="580"/>
      <c r="X128" s="580"/>
      <c r="Y128" s="580"/>
      <c r="Z128" s="580"/>
      <c r="AA128" s="580"/>
      <c r="AB128" s="580"/>
      <c r="AC128" s="580"/>
      <c r="AD128" s="580"/>
      <c r="AE128" s="581"/>
      <c r="AF128" s="580"/>
      <c r="AG128" s="581"/>
      <c r="AH128" s="580"/>
      <c r="AI128" s="580"/>
      <c r="AJ128" s="580"/>
      <c r="AK128" s="580"/>
      <c r="AL128" s="580"/>
      <c r="AM128" s="580"/>
      <c r="AN128" s="580"/>
      <c r="AO128" s="580"/>
      <c r="AP128" s="580"/>
      <c r="AQ128" s="580"/>
      <c r="AR128" s="580"/>
      <c r="AS128" s="580"/>
      <c r="AT128" s="580"/>
      <c r="AU128" s="580"/>
      <c r="AV128" s="580"/>
      <c r="AW128" s="580"/>
      <c r="AX128" s="580"/>
      <c r="AY128" s="580"/>
      <c r="AZ128" s="580"/>
      <c r="BA128" s="580"/>
      <c r="BB128" s="580"/>
      <c r="BC128" s="580"/>
      <c r="BD128" s="580"/>
      <c r="BE128" s="580"/>
      <c r="BF128" s="580"/>
      <c r="BG128" s="580"/>
      <c r="BH128" s="580"/>
      <c r="BI128" s="580"/>
      <c r="BJ128" s="580"/>
      <c r="BK128" s="580"/>
      <c r="BL128" s="580"/>
      <c r="BM128" s="580"/>
      <c r="BN128" s="580"/>
      <c r="BO128" s="581"/>
      <c r="BP128" s="580"/>
      <c r="BQ128" s="581"/>
      <c r="BR128" s="580"/>
      <c r="BS128" s="580"/>
      <c r="BT128" s="580"/>
      <c r="BU128" s="580"/>
      <c r="BV128" s="580"/>
      <c r="BW128" s="580"/>
      <c r="BX128" s="580"/>
      <c r="BY128" s="581"/>
      <c r="BZ128" s="580"/>
      <c r="CA128" s="581"/>
      <c r="CB128" s="580"/>
      <c r="CC128" s="580"/>
      <c r="CD128" s="580"/>
      <c r="CE128" s="580"/>
      <c r="CF128" s="580"/>
      <c r="CG128" s="580"/>
    </row>
    <row r="129" spans="1:85" ht="24" customHeight="1">
      <c r="A129" s="580"/>
      <c r="B129" s="580"/>
      <c r="C129" s="580"/>
      <c r="D129" s="580"/>
      <c r="E129" s="580"/>
      <c r="F129" s="580"/>
      <c r="G129" s="580"/>
      <c r="H129" s="580"/>
      <c r="I129" s="580"/>
      <c r="J129" s="580"/>
      <c r="K129" s="581"/>
      <c r="L129" s="580"/>
      <c r="M129" s="580"/>
      <c r="N129" s="580"/>
      <c r="O129" s="580"/>
      <c r="P129" s="580"/>
      <c r="Q129" s="580"/>
      <c r="R129" s="580"/>
      <c r="S129" s="580"/>
      <c r="T129" s="580"/>
      <c r="U129" s="580"/>
      <c r="V129" s="580"/>
      <c r="W129" s="580"/>
      <c r="X129" s="580"/>
      <c r="Y129" s="580"/>
      <c r="Z129" s="580"/>
      <c r="AA129" s="580"/>
      <c r="AB129" s="580"/>
      <c r="AC129" s="580"/>
      <c r="AD129" s="580"/>
      <c r="AE129" s="581"/>
      <c r="AF129" s="580"/>
      <c r="AG129" s="581"/>
      <c r="AH129" s="580"/>
      <c r="AI129" s="580"/>
      <c r="AJ129" s="580"/>
      <c r="AK129" s="580"/>
      <c r="AL129" s="580"/>
      <c r="AM129" s="580"/>
      <c r="AN129" s="580"/>
      <c r="AO129" s="580"/>
      <c r="AP129" s="580"/>
      <c r="AQ129" s="580"/>
      <c r="AR129" s="580"/>
      <c r="AS129" s="580"/>
      <c r="AT129" s="580"/>
      <c r="AU129" s="580"/>
      <c r="AV129" s="580"/>
      <c r="AW129" s="580"/>
      <c r="AX129" s="580"/>
      <c r="AY129" s="580"/>
      <c r="AZ129" s="580"/>
      <c r="BA129" s="580"/>
      <c r="BB129" s="580"/>
      <c r="BC129" s="580"/>
      <c r="BD129" s="580"/>
      <c r="BE129" s="580"/>
      <c r="BF129" s="580"/>
      <c r="BG129" s="580"/>
      <c r="BH129" s="580"/>
      <c r="BI129" s="580"/>
      <c r="BJ129" s="580"/>
      <c r="BK129" s="580"/>
      <c r="BL129" s="580"/>
      <c r="BM129" s="580"/>
      <c r="BN129" s="580"/>
      <c r="BO129" s="581"/>
      <c r="BP129" s="580"/>
      <c r="BQ129" s="581"/>
      <c r="BR129" s="580"/>
      <c r="BS129" s="580"/>
      <c r="BT129" s="580"/>
      <c r="BU129" s="580"/>
      <c r="BV129" s="580"/>
      <c r="BW129" s="580"/>
      <c r="BX129" s="580"/>
      <c r="BY129" s="581"/>
      <c r="BZ129" s="580"/>
      <c r="CA129" s="581"/>
      <c r="CB129" s="580"/>
      <c r="CC129" s="580"/>
      <c r="CD129" s="580"/>
      <c r="CE129" s="580"/>
      <c r="CF129" s="580"/>
      <c r="CG129" s="580"/>
    </row>
    <row r="130" spans="1:85" ht="24" customHeight="1">
      <c r="A130" s="580"/>
      <c r="B130" s="580"/>
      <c r="C130" s="580"/>
      <c r="D130" s="580"/>
      <c r="E130" s="580"/>
      <c r="F130" s="580"/>
      <c r="G130" s="580"/>
      <c r="H130" s="580"/>
      <c r="I130" s="580"/>
      <c r="J130" s="580"/>
      <c r="K130" s="581"/>
      <c r="L130" s="580"/>
      <c r="M130" s="580"/>
      <c r="N130" s="580"/>
      <c r="O130" s="580"/>
      <c r="P130" s="580"/>
      <c r="Q130" s="580"/>
      <c r="R130" s="580"/>
      <c r="S130" s="580"/>
      <c r="T130" s="580"/>
      <c r="U130" s="580"/>
      <c r="V130" s="580"/>
      <c r="W130" s="580"/>
      <c r="X130" s="580"/>
      <c r="Y130" s="580"/>
      <c r="Z130" s="580"/>
      <c r="AA130" s="580"/>
      <c r="AB130" s="580"/>
      <c r="AC130" s="580"/>
      <c r="AD130" s="580"/>
      <c r="AE130" s="581"/>
      <c r="AF130" s="580"/>
      <c r="AG130" s="581"/>
      <c r="AH130" s="580"/>
      <c r="AI130" s="580"/>
      <c r="AJ130" s="580"/>
      <c r="AK130" s="580"/>
      <c r="AL130" s="580"/>
      <c r="AM130" s="580"/>
      <c r="AN130" s="580"/>
      <c r="AO130" s="580"/>
      <c r="AP130" s="580"/>
      <c r="AQ130" s="580"/>
      <c r="AR130" s="580"/>
      <c r="AS130" s="580"/>
      <c r="AT130" s="580"/>
      <c r="AU130" s="580"/>
      <c r="AV130" s="580"/>
      <c r="AW130" s="580"/>
      <c r="AX130" s="580"/>
      <c r="AY130" s="580"/>
      <c r="AZ130" s="580"/>
      <c r="BA130" s="580"/>
      <c r="BB130" s="580"/>
      <c r="BC130" s="580"/>
      <c r="BD130" s="580"/>
      <c r="BE130" s="580"/>
      <c r="BF130" s="580"/>
      <c r="BG130" s="580"/>
      <c r="BH130" s="580"/>
      <c r="BI130" s="580"/>
      <c r="BJ130" s="580"/>
      <c r="BK130" s="580"/>
      <c r="BL130" s="580"/>
      <c r="BM130" s="580"/>
      <c r="BN130" s="580"/>
      <c r="BO130" s="581"/>
      <c r="BP130" s="580"/>
      <c r="BQ130" s="581"/>
      <c r="BR130" s="580"/>
      <c r="BS130" s="580"/>
      <c r="BT130" s="580"/>
      <c r="BU130" s="580"/>
      <c r="BV130" s="580"/>
      <c r="BW130" s="580"/>
      <c r="BX130" s="580"/>
      <c r="BY130" s="581"/>
      <c r="BZ130" s="580"/>
      <c r="CA130" s="581"/>
      <c r="CB130" s="580"/>
      <c r="CC130" s="580"/>
      <c r="CD130" s="580"/>
      <c r="CE130" s="580"/>
      <c r="CF130" s="580"/>
      <c r="CG130" s="580"/>
    </row>
    <row r="131" spans="1:85" ht="24" customHeight="1">
      <c r="A131" s="580"/>
      <c r="B131" s="580"/>
      <c r="C131" s="580"/>
      <c r="D131" s="580"/>
      <c r="E131" s="580"/>
      <c r="F131" s="580"/>
      <c r="G131" s="580"/>
      <c r="H131" s="580"/>
      <c r="I131" s="580"/>
      <c r="J131" s="580"/>
      <c r="K131" s="581"/>
      <c r="L131" s="580"/>
      <c r="M131" s="580"/>
      <c r="N131" s="580"/>
      <c r="O131" s="580"/>
      <c r="P131" s="580"/>
      <c r="Q131" s="580"/>
      <c r="R131" s="580"/>
      <c r="S131" s="580"/>
      <c r="T131" s="580"/>
      <c r="U131" s="580"/>
      <c r="V131" s="580"/>
      <c r="W131" s="580"/>
      <c r="X131" s="580"/>
      <c r="Y131" s="580"/>
      <c r="Z131" s="580"/>
      <c r="AA131" s="580"/>
      <c r="AB131" s="580"/>
      <c r="AC131" s="580"/>
      <c r="AD131" s="580"/>
      <c r="AE131" s="581"/>
      <c r="AF131" s="580"/>
      <c r="AG131" s="581"/>
      <c r="AH131" s="580"/>
      <c r="AI131" s="580"/>
      <c r="AJ131" s="580"/>
      <c r="AK131" s="580"/>
      <c r="AL131" s="580"/>
      <c r="AM131" s="580"/>
      <c r="AN131" s="580"/>
      <c r="AO131" s="580"/>
      <c r="AP131" s="580"/>
      <c r="AQ131" s="580"/>
      <c r="AR131" s="580"/>
      <c r="AS131" s="580"/>
      <c r="AT131" s="580"/>
      <c r="AU131" s="580"/>
      <c r="AV131" s="580"/>
      <c r="AW131" s="580"/>
      <c r="AX131" s="580"/>
      <c r="AY131" s="580"/>
      <c r="AZ131" s="580"/>
      <c r="BA131" s="580"/>
      <c r="BB131" s="580"/>
      <c r="BC131" s="580"/>
      <c r="BD131" s="580"/>
      <c r="BE131" s="580"/>
      <c r="BF131" s="580"/>
      <c r="BG131" s="580"/>
      <c r="BH131" s="580"/>
      <c r="BI131" s="580"/>
      <c r="BJ131" s="580"/>
      <c r="BK131" s="580"/>
      <c r="BL131" s="580"/>
      <c r="BM131" s="580"/>
      <c r="BN131" s="580"/>
      <c r="BO131" s="581"/>
      <c r="BP131" s="580"/>
      <c r="BQ131" s="581"/>
      <c r="BR131" s="580"/>
      <c r="BS131" s="580"/>
      <c r="BT131" s="580"/>
      <c r="BU131" s="580"/>
      <c r="BV131" s="580"/>
      <c r="BW131" s="580"/>
      <c r="BX131" s="580"/>
      <c r="BY131" s="581"/>
      <c r="BZ131" s="580"/>
      <c r="CA131" s="581"/>
      <c r="CB131" s="580"/>
      <c r="CC131" s="580"/>
      <c r="CD131" s="580"/>
      <c r="CE131" s="580"/>
      <c r="CF131" s="580"/>
      <c r="CG131" s="580"/>
    </row>
    <row r="132" spans="1:85" ht="24" customHeight="1">
      <c r="A132" s="580"/>
      <c r="B132" s="580"/>
      <c r="C132" s="580"/>
      <c r="D132" s="580"/>
      <c r="E132" s="580"/>
      <c r="F132" s="580"/>
      <c r="G132" s="580"/>
      <c r="H132" s="580"/>
      <c r="I132" s="580"/>
      <c r="J132" s="580"/>
      <c r="K132" s="581"/>
      <c r="L132" s="580"/>
      <c r="M132" s="580"/>
      <c r="N132" s="580"/>
      <c r="O132" s="580"/>
      <c r="P132" s="580"/>
      <c r="Q132" s="580"/>
      <c r="R132" s="580"/>
      <c r="S132" s="580"/>
      <c r="T132" s="580"/>
      <c r="U132" s="580"/>
      <c r="V132" s="580"/>
      <c r="W132" s="580"/>
      <c r="X132" s="580"/>
      <c r="Y132" s="580"/>
      <c r="Z132" s="580"/>
      <c r="AA132" s="580"/>
      <c r="AB132" s="580"/>
      <c r="AC132" s="580"/>
      <c r="AD132" s="580"/>
      <c r="AE132" s="581"/>
      <c r="AF132" s="580"/>
      <c r="AG132" s="581"/>
      <c r="AH132" s="580"/>
      <c r="AI132" s="580"/>
      <c r="AJ132" s="580"/>
      <c r="AK132" s="580"/>
      <c r="AL132" s="580"/>
      <c r="AM132" s="580"/>
      <c r="AN132" s="580"/>
      <c r="AO132" s="580"/>
      <c r="AP132" s="580"/>
      <c r="AQ132" s="580"/>
      <c r="AR132" s="580"/>
      <c r="AS132" s="580"/>
      <c r="AT132" s="580"/>
      <c r="AU132" s="580"/>
      <c r="AV132" s="580"/>
      <c r="AW132" s="580"/>
      <c r="AX132" s="580"/>
      <c r="AY132" s="580"/>
      <c r="AZ132" s="580"/>
      <c r="BA132" s="580"/>
      <c r="BB132" s="580"/>
      <c r="BC132" s="580"/>
      <c r="BD132" s="580"/>
      <c r="BE132" s="580"/>
      <c r="BF132" s="580"/>
      <c r="BG132" s="580"/>
      <c r="BH132" s="580"/>
      <c r="BI132" s="580"/>
      <c r="BJ132" s="580"/>
      <c r="BK132" s="580"/>
      <c r="BL132" s="580"/>
      <c r="BM132" s="580"/>
      <c r="BN132" s="580"/>
      <c r="BO132" s="581"/>
      <c r="BP132" s="580"/>
      <c r="BQ132" s="581"/>
      <c r="BR132" s="580"/>
      <c r="BS132" s="580"/>
      <c r="BT132" s="580"/>
      <c r="BU132" s="580"/>
      <c r="BV132" s="580"/>
      <c r="BW132" s="580"/>
      <c r="BX132" s="580"/>
      <c r="BY132" s="581"/>
      <c r="BZ132" s="580"/>
      <c r="CA132" s="581"/>
      <c r="CB132" s="580"/>
      <c r="CC132" s="580"/>
      <c r="CD132" s="580"/>
      <c r="CE132" s="580"/>
      <c r="CF132" s="580"/>
      <c r="CG132" s="580"/>
    </row>
    <row r="133" spans="1:85" ht="24" customHeight="1">
      <c r="A133" s="580"/>
      <c r="B133" s="580"/>
      <c r="C133" s="580"/>
      <c r="D133" s="580"/>
      <c r="E133" s="580"/>
      <c r="F133" s="580"/>
      <c r="G133" s="580"/>
      <c r="H133" s="580"/>
      <c r="I133" s="580"/>
      <c r="J133" s="580"/>
      <c r="K133" s="581"/>
      <c r="L133" s="580"/>
      <c r="M133" s="580"/>
      <c r="N133" s="580"/>
      <c r="O133" s="580"/>
      <c r="P133" s="580"/>
      <c r="Q133" s="580"/>
      <c r="R133" s="580"/>
      <c r="S133" s="580"/>
      <c r="T133" s="580"/>
      <c r="U133" s="580"/>
      <c r="V133" s="580"/>
      <c r="W133" s="580"/>
      <c r="X133" s="580"/>
      <c r="Y133" s="580"/>
      <c r="Z133" s="580"/>
      <c r="AA133" s="580"/>
      <c r="AB133" s="580"/>
      <c r="AC133" s="580"/>
      <c r="AD133" s="580"/>
      <c r="AE133" s="581"/>
      <c r="AF133" s="580"/>
      <c r="AG133" s="581"/>
      <c r="AH133" s="580"/>
      <c r="AI133" s="580"/>
      <c r="AJ133" s="580"/>
      <c r="AK133" s="580"/>
      <c r="AL133" s="580"/>
      <c r="AM133" s="580"/>
      <c r="AN133" s="580"/>
      <c r="AO133" s="580"/>
      <c r="AP133" s="580"/>
      <c r="AQ133" s="580"/>
      <c r="AR133" s="580"/>
      <c r="AS133" s="580"/>
      <c r="AT133" s="580"/>
      <c r="AU133" s="580"/>
      <c r="AV133" s="580"/>
      <c r="AW133" s="580"/>
      <c r="AX133" s="580"/>
      <c r="AY133" s="580"/>
      <c r="AZ133" s="580"/>
      <c r="BA133" s="580"/>
      <c r="BB133" s="580"/>
      <c r="BC133" s="580"/>
      <c r="BD133" s="580"/>
      <c r="BE133" s="580"/>
      <c r="BF133" s="580"/>
      <c r="BG133" s="580"/>
      <c r="BH133" s="580"/>
      <c r="BI133" s="580"/>
      <c r="BJ133" s="580"/>
      <c r="BK133" s="580"/>
      <c r="BL133" s="580"/>
      <c r="BM133" s="580"/>
      <c r="BN133" s="580"/>
      <c r="BO133" s="581"/>
      <c r="BP133" s="580"/>
      <c r="BQ133" s="581"/>
      <c r="BR133" s="580"/>
      <c r="BS133" s="580"/>
      <c r="BT133" s="580"/>
      <c r="BU133" s="580"/>
      <c r="BV133" s="580"/>
      <c r="BW133" s="580"/>
      <c r="BX133" s="580"/>
      <c r="BY133" s="581"/>
      <c r="BZ133" s="580"/>
      <c r="CA133" s="581"/>
      <c r="CB133" s="580"/>
      <c r="CC133" s="580"/>
      <c r="CD133" s="580"/>
      <c r="CE133" s="580"/>
      <c r="CF133" s="580"/>
      <c r="CG133" s="580"/>
    </row>
    <row r="134" spans="1:85" ht="24" customHeight="1">
      <c r="A134" s="580"/>
      <c r="B134" s="580"/>
      <c r="C134" s="580"/>
      <c r="D134" s="580"/>
      <c r="E134" s="580"/>
      <c r="F134" s="580"/>
      <c r="G134" s="580"/>
      <c r="H134" s="580"/>
      <c r="I134" s="580"/>
      <c r="J134" s="580"/>
      <c r="K134" s="581"/>
      <c r="L134" s="580"/>
      <c r="M134" s="580"/>
      <c r="N134" s="580"/>
      <c r="O134" s="580"/>
      <c r="P134" s="580"/>
      <c r="Q134" s="580"/>
      <c r="R134" s="580"/>
      <c r="S134" s="580"/>
      <c r="T134" s="580"/>
      <c r="U134" s="580"/>
      <c r="V134" s="580"/>
      <c r="W134" s="580"/>
      <c r="X134" s="580"/>
      <c r="Y134" s="580"/>
      <c r="Z134" s="580"/>
      <c r="AA134" s="580"/>
      <c r="AB134" s="580"/>
      <c r="AC134" s="580"/>
      <c r="AD134" s="580"/>
      <c r="AE134" s="581"/>
      <c r="AF134" s="580"/>
      <c r="AG134" s="581"/>
      <c r="AH134" s="580"/>
      <c r="AI134" s="580"/>
      <c r="AJ134" s="580"/>
      <c r="AK134" s="580"/>
      <c r="AL134" s="580"/>
      <c r="AM134" s="580"/>
      <c r="AN134" s="580"/>
      <c r="AO134" s="580"/>
      <c r="AP134" s="580"/>
      <c r="AQ134" s="580"/>
      <c r="AR134" s="580"/>
      <c r="AS134" s="580"/>
      <c r="AT134" s="580"/>
      <c r="AU134" s="580"/>
      <c r="AV134" s="580"/>
      <c r="AW134" s="580"/>
      <c r="AX134" s="580"/>
      <c r="AY134" s="580"/>
      <c r="AZ134" s="580"/>
      <c r="BA134" s="580"/>
      <c r="BB134" s="580"/>
      <c r="BC134" s="580"/>
      <c r="BD134" s="580"/>
      <c r="BE134" s="580"/>
      <c r="BF134" s="580"/>
      <c r="BG134" s="580"/>
      <c r="BH134" s="580"/>
      <c r="BI134" s="580"/>
      <c r="BJ134" s="580"/>
      <c r="BK134" s="580"/>
      <c r="BL134" s="580"/>
      <c r="BM134" s="580"/>
      <c r="BN134" s="580"/>
      <c r="BO134" s="581"/>
      <c r="BP134" s="580"/>
      <c r="BQ134" s="581"/>
      <c r="BR134" s="580"/>
      <c r="BS134" s="580"/>
      <c r="BT134" s="580"/>
      <c r="BU134" s="580"/>
      <c r="BV134" s="580"/>
      <c r="BW134" s="580"/>
      <c r="BX134" s="580"/>
      <c r="BY134" s="581"/>
      <c r="BZ134" s="580"/>
      <c r="CA134" s="581"/>
      <c r="CB134" s="580"/>
      <c r="CC134" s="580"/>
      <c r="CD134" s="580"/>
      <c r="CE134" s="580"/>
      <c r="CF134" s="580"/>
      <c r="CG134" s="580"/>
    </row>
    <row r="135" spans="1:85" ht="24" customHeight="1">
      <c r="A135" s="580"/>
      <c r="B135" s="580"/>
      <c r="C135" s="580"/>
      <c r="D135" s="580"/>
      <c r="E135" s="580"/>
      <c r="F135" s="580"/>
      <c r="G135" s="580"/>
      <c r="H135" s="580"/>
      <c r="I135" s="580"/>
      <c r="J135" s="580"/>
      <c r="K135" s="581"/>
      <c r="L135" s="580"/>
      <c r="M135" s="580"/>
      <c r="N135" s="580"/>
      <c r="O135" s="580"/>
      <c r="P135" s="580"/>
      <c r="Q135" s="580"/>
      <c r="R135" s="580"/>
      <c r="S135" s="580"/>
      <c r="T135" s="580"/>
      <c r="U135" s="580"/>
      <c r="V135" s="580"/>
      <c r="W135" s="580"/>
      <c r="X135" s="580"/>
      <c r="Y135" s="580"/>
      <c r="Z135" s="580"/>
      <c r="AA135" s="580"/>
      <c r="AB135" s="580"/>
      <c r="AC135" s="580"/>
      <c r="AD135" s="580"/>
      <c r="AE135" s="581"/>
      <c r="AF135" s="580"/>
      <c r="AG135" s="581"/>
      <c r="AH135" s="580"/>
      <c r="AI135" s="580"/>
      <c r="AJ135" s="580"/>
      <c r="AK135" s="580"/>
      <c r="AL135" s="580"/>
      <c r="AM135" s="580"/>
      <c r="AN135" s="580"/>
      <c r="AO135" s="580"/>
      <c r="AP135" s="580"/>
      <c r="AQ135" s="580"/>
      <c r="AR135" s="580"/>
      <c r="AS135" s="580"/>
      <c r="AT135" s="580"/>
      <c r="AU135" s="580"/>
      <c r="AV135" s="580"/>
      <c r="AW135" s="580"/>
      <c r="AX135" s="580"/>
      <c r="AY135" s="580"/>
      <c r="AZ135" s="580"/>
      <c r="BA135" s="580"/>
      <c r="BB135" s="580"/>
      <c r="BC135" s="580"/>
      <c r="BD135" s="580"/>
      <c r="BE135" s="580"/>
      <c r="BF135" s="580"/>
      <c r="BG135" s="580"/>
      <c r="BH135" s="580"/>
      <c r="BI135" s="580"/>
      <c r="BJ135" s="580"/>
      <c r="BK135" s="580"/>
      <c r="BL135" s="580"/>
      <c r="BM135" s="580"/>
      <c r="BN135" s="580"/>
      <c r="BO135" s="581"/>
      <c r="BP135" s="580"/>
      <c r="BQ135" s="581"/>
      <c r="BR135" s="580"/>
      <c r="BS135" s="580"/>
      <c r="BT135" s="580"/>
      <c r="BU135" s="580"/>
      <c r="BV135" s="580"/>
      <c r="BW135" s="580"/>
      <c r="BX135" s="580"/>
      <c r="BY135" s="581"/>
      <c r="BZ135" s="580"/>
      <c r="CA135" s="581"/>
      <c r="CB135" s="580"/>
      <c r="CC135" s="580"/>
      <c r="CD135" s="580"/>
      <c r="CE135" s="580"/>
      <c r="CF135" s="580"/>
      <c r="CG135" s="580"/>
    </row>
    <row r="136" spans="1:85" ht="24" customHeight="1">
      <c r="A136" s="580"/>
      <c r="B136" s="580"/>
      <c r="C136" s="580"/>
      <c r="D136" s="580"/>
      <c r="E136" s="580"/>
      <c r="F136" s="580"/>
      <c r="G136" s="580"/>
      <c r="H136" s="580"/>
      <c r="I136" s="580"/>
      <c r="J136" s="580"/>
      <c r="K136" s="581"/>
      <c r="L136" s="580"/>
      <c r="M136" s="580"/>
      <c r="N136" s="580"/>
      <c r="O136" s="580"/>
      <c r="P136" s="580"/>
      <c r="Q136" s="580"/>
      <c r="R136" s="580"/>
      <c r="S136" s="580"/>
      <c r="T136" s="580"/>
      <c r="U136" s="580"/>
      <c r="V136" s="580"/>
      <c r="W136" s="580"/>
      <c r="X136" s="580"/>
      <c r="Y136" s="580"/>
      <c r="Z136" s="580"/>
      <c r="AA136" s="580"/>
      <c r="AB136" s="580"/>
      <c r="AC136" s="580"/>
      <c r="AD136" s="580"/>
      <c r="AE136" s="581"/>
      <c r="AF136" s="580"/>
      <c r="AG136" s="581"/>
      <c r="AH136" s="580"/>
      <c r="AI136" s="580"/>
      <c r="AJ136" s="580"/>
      <c r="AK136" s="580"/>
      <c r="AL136" s="580"/>
      <c r="AM136" s="580"/>
      <c r="AN136" s="580"/>
      <c r="AO136" s="580"/>
      <c r="AP136" s="580"/>
      <c r="AQ136" s="580"/>
      <c r="AR136" s="580"/>
      <c r="AS136" s="580"/>
      <c r="AT136" s="580"/>
      <c r="AU136" s="580"/>
      <c r="AV136" s="580"/>
      <c r="AW136" s="580"/>
      <c r="AX136" s="580"/>
      <c r="AY136" s="580"/>
      <c r="AZ136" s="580"/>
      <c r="BA136" s="580"/>
      <c r="BB136" s="580"/>
      <c r="BC136" s="580"/>
      <c r="BD136" s="580"/>
      <c r="BE136" s="580"/>
      <c r="BF136" s="580"/>
      <c r="BG136" s="580"/>
      <c r="BH136" s="580"/>
      <c r="BI136" s="580"/>
      <c r="BJ136" s="580"/>
      <c r="BK136" s="580"/>
      <c r="BL136" s="580"/>
      <c r="BM136" s="580"/>
      <c r="BN136" s="580"/>
      <c r="BO136" s="581"/>
      <c r="BP136" s="580"/>
      <c r="BQ136" s="581"/>
      <c r="BR136" s="580"/>
      <c r="BS136" s="580"/>
      <c r="BT136" s="580"/>
      <c r="BU136" s="580"/>
      <c r="BV136" s="580"/>
      <c r="BW136" s="580"/>
      <c r="BX136" s="580"/>
      <c r="BY136" s="581"/>
      <c r="BZ136" s="580"/>
      <c r="CA136" s="581"/>
      <c r="CB136" s="580"/>
      <c r="CC136" s="580"/>
      <c r="CD136" s="580"/>
      <c r="CE136" s="580"/>
      <c r="CF136" s="580"/>
      <c r="CG136" s="580"/>
    </row>
    <row r="137" spans="1:85" ht="24" customHeight="1">
      <c r="A137" s="580"/>
      <c r="B137" s="580"/>
      <c r="C137" s="580"/>
      <c r="D137" s="580"/>
      <c r="E137" s="580"/>
      <c r="F137" s="580"/>
      <c r="G137" s="580"/>
      <c r="H137" s="580"/>
      <c r="I137" s="580"/>
      <c r="J137" s="580"/>
      <c r="K137" s="581"/>
      <c r="L137" s="580"/>
      <c r="M137" s="580"/>
      <c r="N137" s="580"/>
      <c r="O137" s="580"/>
      <c r="P137" s="580"/>
      <c r="Q137" s="580"/>
      <c r="R137" s="580"/>
      <c r="S137" s="580"/>
      <c r="T137" s="580"/>
      <c r="U137" s="580"/>
      <c r="V137" s="580"/>
      <c r="W137" s="580"/>
      <c r="X137" s="580"/>
      <c r="Y137" s="580"/>
      <c r="Z137" s="580"/>
      <c r="AA137" s="580"/>
      <c r="AB137" s="580"/>
      <c r="AC137" s="580"/>
      <c r="AD137" s="580"/>
      <c r="AE137" s="581"/>
      <c r="AF137" s="580"/>
      <c r="AG137" s="581"/>
      <c r="AH137" s="580"/>
      <c r="AI137" s="580"/>
      <c r="AJ137" s="580"/>
      <c r="AK137" s="580"/>
      <c r="AL137" s="580"/>
      <c r="AM137" s="580"/>
      <c r="AN137" s="580"/>
      <c r="AO137" s="580"/>
      <c r="AP137" s="580"/>
      <c r="AQ137" s="580"/>
      <c r="AR137" s="580"/>
      <c r="AS137" s="580"/>
      <c r="AT137" s="580"/>
      <c r="AU137" s="580"/>
      <c r="AV137" s="580"/>
      <c r="AW137" s="580"/>
      <c r="AX137" s="580"/>
      <c r="AY137" s="580"/>
      <c r="AZ137" s="580"/>
      <c r="BA137" s="580"/>
      <c r="BB137" s="580"/>
      <c r="BC137" s="580"/>
      <c r="BD137" s="580"/>
      <c r="BE137" s="580"/>
      <c r="BF137" s="580"/>
      <c r="BG137" s="580"/>
      <c r="BH137" s="580"/>
      <c r="BI137" s="580"/>
      <c r="BJ137" s="580"/>
      <c r="BK137" s="580"/>
      <c r="BL137" s="580"/>
      <c r="BM137" s="580"/>
      <c r="BN137" s="580"/>
      <c r="BO137" s="581"/>
      <c r="BP137" s="580"/>
      <c r="BQ137" s="581"/>
      <c r="BR137" s="580"/>
      <c r="BS137" s="580"/>
      <c r="BT137" s="580"/>
      <c r="BU137" s="580"/>
      <c r="BV137" s="580"/>
      <c r="BW137" s="580"/>
      <c r="BX137" s="580"/>
      <c r="BY137" s="581"/>
      <c r="BZ137" s="580"/>
      <c r="CA137" s="581"/>
      <c r="CB137" s="580"/>
      <c r="CC137" s="580"/>
      <c r="CD137" s="580"/>
      <c r="CE137" s="580"/>
      <c r="CF137" s="580"/>
      <c r="CG137" s="580"/>
    </row>
    <row r="138" spans="1:85" ht="24" customHeight="1">
      <c r="A138" s="580"/>
      <c r="B138" s="580"/>
      <c r="C138" s="580"/>
      <c r="D138" s="580"/>
      <c r="E138" s="580"/>
      <c r="F138" s="580"/>
      <c r="G138" s="580"/>
      <c r="H138" s="580"/>
      <c r="I138" s="580"/>
      <c r="J138" s="580"/>
      <c r="K138" s="581"/>
      <c r="L138" s="580"/>
      <c r="M138" s="580"/>
      <c r="N138" s="580"/>
      <c r="O138" s="580"/>
      <c r="P138" s="580"/>
      <c r="Q138" s="580"/>
      <c r="R138" s="580"/>
      <c r="S138" s="580"/>
      <c r="T138" s="580"/>
      <c r="U138" s="580"/>
      <c r="V138" s="580"/>
      <c r="W138" s="580"/>
      <c r="X138" s="580"/>
      <c r="Y138" s="580"/>
      <c r="Z138" s="580"/>
      <c r="AA138" s="580"/>
      <c r="AB138" s="580"/>
      <c r="AC138" s="580"/>
      <c r="AD138" s="580"/>
      <c r="AE138" s="581"/>
      <c r="AF138" s="580"/>
      <c r="AG138" s="581"/>
      <c r="AH138" s="580"/>
      <c r="AI138" s="580"/>
      <c r="AJ138" s="580"/>
      <c r="AK138" s="580"/>
      <c r="AL138" s="580"/>
      <c r="AM138" s="580"/>
      <c r="AN138" s="580"/>
      <c r="AO138" s="580"/>
      <c r="AP138" s="580"/>
      <c r="AQ138" s="580"/>
      <c r="AR138" s="580"/>
      <c r="AS138" s="580"/>
      <c r="AT138" s="580"/>
      <c r="AU138" s="580"/>
      <c r="AV138" s="580"/>
      <c r="AW138" s="580"/>
      <c r="AX138" s="580"/>
      <c r="AY138" s="580"/>
      <c r="AZ138" s="580"/>
      <c r="BA138" s="580"/>
      <c r="BB138" s="580"/>
      <c r="BC138" s="580"/>
      <c r="BD138" s="580"/>
      <c r="BE138" s="580"/>
      <c r="BF138" s="580"/>
      <c r="BG138" s="580"/>
      <c r="BH138" s="580"/>
      <c r="BI138" s="580"/>
      <c r="BJ138" s="580"/>
      <c r="BK138" s="580"/>
      <c r="BL138" s="580"/>
      <c r="BM138" s="580"/>
      <c r="BN138" s="580"/>
      <c r="BO138" s="581"/>
      <c r="BP138" s="580"/>
      <c r="BQ138" s="581"/>
      <c r="BR138" s="580"/>
      <c r="BS138" s="580"/>
      <c r="BT138" s="580"/>
      <c r="BU138" s="580"/>
      <c r="BV138" s="580"/>
      <c r="BW138" s="580"/>
      <c r="BX138" s="580"/>
      <c r="BY138" s="581"/>
      <c r="BZ138" s="580"/>
      <c r="CA138" s="581"/>
      <c r="CB138" s="580"/>
      <c r="CC138" s="580"/>
      <c r="CD138" s="580"/>
      <c r="CE138" s="580"/>
      <c r="CF138" s="580"/>
      <c r="CG138" s="580"/>
    </row>
    <row r="139" spans="1:85" ht="24" customHeight="1">
      <c r="A139" s="580"/>
      <c r="B139" s="580"/>
      <c r="C139" s="580"/>
      <c r="D139" s="580"/>
      <c r="E139" s="580"/>
      <c r="F139" s="580"/>
      <c r="G139" s="580"/>
      <c r="H139" s="580"/>
      <c r="I139" s="580"/>
      <c r="J139" s="580"/>
      <c r="K139" s="581"/>
      <c r="L139" s="580"/>
      <c r="M139" s="580"/>
      <c r="N139" s="580"/>
      <c r="O139" s="580"/>
      <c r="P139" s="580"/>
      <c r="Q139" s="580"/>
      <c r="R139" s="580"/>
      <c r="S139" s="580"/>
      <c r="T139" s="580"/>
      <c r="U139" s="580"/>
      <c r="V139" s="580"/>
      <c r="W139" s="580"/>
      <c r="X139" s="580"/>
      <c r="Y139" s="580"/>
      <c r="Z139" s="580"/>
      <c r="AA139" s="580"/>
      <c r="AB139" s="580"/>
      <c r="AC139" s="580"/>
      <c r="AD139" s="580"/>
      <c r="AE139" s="581"/>
      <c r="AF139" s="580"/>
      <c r="AG139" s="581"/>
      <c r="AH139" s="580"/>
      <c r="AI139" s="580"/>
      <c r="AJ139" s="580"/>
      <c r="AK139" s="580"/>
      <c r="AL139" s="580"/>
      <c r="AM139" s="580"/>
      <c r="AN139" s="580"/>
      <c r="AO139" s="580"/>
      <c r="AP139" s="580"/>
      <c r="AQ139" s="580"/>
      <c r="AR139" s="580"/>
      <c r="AS139" s="580"/>
      <c r="AT139" s="580"/>
      <c r="AU139" s="580"/>
      <c r="AV139" s="580"/>
      <c r="AW139" s="580"/>
      <c r="AX139" s="580"/>
      <c r="AY139" s="580"/>
      <c r="AZ139" s="580"/>
      <c r="BA139" s="580"/>
      <c r="BB139" s="580"/>
      <c r="BC139" s="580"/>
      <c r="BD139" s="580"/>
      <c r="BE139" s="580"/>
      <c r="BF139" s="580"/>
      <c r="BG139" s="580"/>
      <c r="BH139" s="580"/>
      <c r="BI139" s="580"/>
      <c r="BJ139" s="580"/>
      <c r="BK139" s="580"/>
      <c r="BL139" s="580"/>
      <c r="BM139" s="580"/>
      <c r="BN139" s="580"/>
      <c r="BO139" s="581"/>
      <c r="BP139" s="580"/>
      <c r="BQ139" s="581"/>
      <c r="BR139" s="580"/>
      <c r="BS139" s="580"/>
      <c r="BT139" s="580"/>
      <c r="BU139" s="580"/>
      <c r="BV139" s="580"/>
      <c r="BW139" s="580"/>
      <c r="BX139" s="580"/>
      <c r="BY139" s="581"/>
      <c r="BZ139" s="580"/>
      <c r="CA139" s="581"/>
      <c r="CB139" s="580"/>
      <c r="CC139" s="580"/>
      <c r="CD139" s="580"/>
      <c r="CE139" s="580"/>
      <c r="CF139" s="580"/>
      <c r="CG139" s="580"/>
    </row>
    <row r="140" spans="1:85" ht="24" customHeight="1">
      <c r="A140" s="580"/>
      <c r="B140" s="580"/>
      <c r="C140" s="580"/>
      <c r="D140" s="580"/>
      <c r="E140" s="580"/>
      <c r="F140" s="580"/>
      <c r="G140" s="580"/>
      <c r="H140" s="580"/>
      <c r="I140" s="580"/>
      <c r="J140" s="580"/>
      <c r="K140" s="581"/>
      <c r="L140" s="580"/>
      <c r="M140" s="580"/>
      <c r="N140" s="580"/>
      <c r="O140" s="580"/>
      <c r="P140" s="580"/>
      <c r="Q140" s="580"/>
      <c r="R140" s="580"/>
      <c r="S140" s="580"/>
      <c r="T140" s="580"/>
      <c r="U140" s="580"/>
      <c r="V140" s="580"/>
      <c r="W140" s="580"/>
      <c r="X140" s="580"/>
      <c r="Y140" s="580"/>
      <c r="Z140" s="580"/>
      <c r="AA140" s="580"/>
      <c r="AB140" s="580"/>
      <c r="AC140" s="580"/>
      <c r="AD140" s="580"/>
      <c r="AE140" s="581"/>
      <c r="AF140" s="580"/>
      <c r="AG140" s="581"/>
      <c r="AH140" s="580"/>
      <c r="AI140" s="580"/>
      <c r="AJ140" s="580"/>
      <c r="AK140" s="580"/>
      <c r="AL140" s="580"/>
      <c r="AM140" s="580"/>
      <c r="AN140" s="580"/>
      <c r="AO140" s="580"/>
      <c r="AP140" s="580"/>
      <c r="AQ140" s="580"/>
      <c r="AR140" s="580"/>
      <c r="AS140" s="580"/>
      <c r="AT140" s="580"/>
      <c r="AU140" s="580"/>
      <c r="AV140" s="580"/>
      <c r="AW140" s="580"/>
      <c r="AX140" s="580"/>
      <c r="AY140" s="580"/>
      <c r="AZ140" s="580"/>
      <c r="BA140" s="580"/>
      <c r="BB140" s="580"/>
      <c r="BC140" s="580"/>
      <c r="BD140" s="580"/>
      <c r="BE140" s="580"/>
      <c r="BF140" s="580"/>
      <c r="BG140" s="580"/>
      <c r="BH140" s="580"/>
      <c r="BI140" s="580"/>
      <c r="BJ140" s="580"/>
      <c r="BK140" s="580"/>
      <c r="BL140" s="580"/>
      <c r="BM140" s="580"/>
      <c r="BN140" s="580"/>
      <c r="BO140" s="581"/>
      <c r="BP140" s="580"/>
      <c r="BQ140" s="581"/>
      <c r="BR140" s="580"/>
      <c r="BS140" s="580"/>
      <c r="BT140" s="580"/>
      <c r="BU140" s="580"/>
      <c r="BV140" s="580"/>
      <c r="BW140" s="580"/>
      <c r="BX140" s="580"/>
      <c r="BY140" s="581"/>
      <c r="BZ140" s="580"/>
      <c r="CA140" s="581"/>
      <c r="CB140" s="580"/>
      <c r="CC140" s="580"/>
      <c r="CD140" s="580"/>
      <c r="CE140" s="580"/>
      <c r="CF140" s="580"/>
      <c r="CG140" s="580"/>
    </row>
    <row r="141" spans="1:85" ht="24" customHeight="1">
      <c r="A141" s="580"/>
      <c r="B141" s="580"/>
      <c r="C141" s="580"/>
      <c r="D141" s="580"/>
      <c r="E141" s="580"/>
      <c r="F141" s="580"/>
      <c r="G141" s="580"/>
      <c r="H141" s="580"/>
      <c r="I141" s="580"/>
      <c r="J141" s="580"/>
      <c r="K141" s="581"/>
      <c r="L141" s="580"/>
      <c r="M141" s="580"/>
      <c r="N141" s="580"/>
      <c r="O141" s="580"/>
      <c r="P141" s="580"/>
      <c r="Q141" s="580"/>
      <c r="R141" s="580"/>
      <c r="S141" s="580"/>
      <c r="T141" s="580"/>
      <c r="U141" s="580"/>
      <c r="V141" s="580"/>
      <c r="W141" s="580"/>
      <c r="X141" s="580"/>
      <c r="Y141" s="580"/>
      <c r="Z141" s="580"/>
      <c r="AA141" s="580"/>
      <c r="AB141" s="580"/>
      <c r="AC141" s="580"/>
      <c r="AD141" s="580"/>
      <c r="AE141" s="581"/>
      <c r="AF141" s="580"/>
      <c r="AG141" s="581"/>
      <c r="AH141" s="580"/>
      <c r="AI141" s="580"/>
      <c r="AJ141" s="580"/>
      <c r="AK141" s="580"/>
      <c r="AL141" s="580"/>
      <c r="AM141" s="580"/>
      <c r="AN141" s="580"/>
      <c r="AO141" s="580"/>
      <c r="AP141" s="580"/>
      <c r="AQ141" s="580"/>
      <c r="AR141" s="580"/>
      <c r="AS141" s="580"/>
      <c r="AT141" s="580"/>
      <c r="AU141" s="580"/>
      <c r="AV141" s="580"/>
      <c r="AW141" s="580"/>
      <c r="AX141" s="580"/>
      <c r="AY141" s="580"/>
      <c r="AZ141" s="580"/>
      <c r="BA141" s="580"/>
      <c r="BB141" s="580"/>
      <c r="BC141" s="580"/>
      <c r="BD141" s="580"/>
      <c r="BE141" s="580"/>
      <c r="BF141" s="580"/>
      <c r="BG141" s="580"/>
      <c r="BH141" s="580"/>
      <c r="BI141" s="580"/>
      <c r="BJ141" s="580"/>
      <c r="BK141" s="580"/>
      <c r="BL141" s="580"/>
      <c r="BM141" s="580"/>
      <c r="BN141" s="580"/>
      <c r="BO141" s="581"/>
      <c r="BP141" s="580"/>
      <c r="BQ141" s="581"/>
      <c r="BR141" s="580"/>
      <c r="BS141" s="580"/>
      <c r="BT141" s="580"/>
      <c r="BU141" s="580"/>
      <c r="BV141" s="580"/>
      <c r="BW141" s="580"/>
      <c r="BX141" s="580"/>
      <c r="BY141" s="581"/>
      <c r="BZ141" s="580"/>
      <c r="CA141" s="581"/>
      <c r="CB141" s="580"/>
      <c r="CC141" s="580"/>
      <c r="CD141" s="580"/>
      <c r="CE141" s="580"/>
      <c r="CF141" s="580"/>
      <c r="CG141" s="580"/>
    </row>
    <row r="142" spans="1:85" ht="24" customHeight="1">
      <c r="A142" s="580"/>
      <c r="B142" s="580"/>
      <c r="C142" s="580"/>
      <c r="D142" s="580"/>
      <c r="E142" s="580"/>
      <c r="F142" s="580"/>
      <c r="G142" s="580"/>
      <c r="H142" s="580"/>
      <c r="I142" s="580"/>
      <c r="J142" s="580"/>
      <c r="K142" s="581"/>
      <c r="L142" s="580"/>
      <c r="M142" s="580"/>
      <c r="N142" s="580"/>
      <c r="O142" s="580"/>
      <c r="P142" s="580"/>
      <c r="Q142" s="580"/>
      <c r="R142" s="580"/>
      <c r="S142" s="580"/>
      <c r="T142" s="580"/>
      <c r="U142" s="580"/>
      <c r="V142" s="580"/>
      <c r="W142" s="580"/>
      <c r="X142" s="580"/>
      <c r="Y142" s="580"/>
      <c r="Z142" s="580"/>
      <c r="AA142" s="580"/>
      <c r="AB142" s="580"/>
      <c r="AC142" s="580"/>
      <c r="AD142" s="580"/>
      <c r="AE142" s="581"/>
      <c r="AF142" s="580"/>
      <c r="AG142" s="581"/>
      <c r="AH142" s="580"/>
      <c r="AI142" s="580"/>
      <c r="AJ142" s="580"/>
      <c r="AK142" s="580"/>
      <c r="AL142" s="580"/>
      <c r="AM142" s="580"/>
      <c r="AN142" s="580"/>
      <c r="AO142" s="580"/>
      <c r="AP142" s="580"/>
      <c r="AQ142" s="580"/>
      <c r="AR142" s="580"/>
      <c r="AS142" s="580"/>
      <c r="AT142" s="580"/>
      <c r="AU142" s="580"/>
      <c r="AV142" s="580"/>
      <c r="AW142" s="580"/>
      <c r="AX142" s="580"/>
      <c r="AY142" s="580"/>
      <c r="AZ142" s="580"/>
      <c r="BA142" s="580"/>
      <c r="BB142" s="580"/>
      <c r="BC142" s="580"/>
      <c r="BD142" s="580"/>
      <c r="BE142" s="580"/>
      <c r="BF142" s="580"/>
      <c r="BG142" s="580"/>
      <c r="BH142" s="580"/>
      <c r="BI142" s="580"/>
      <c r="BJ142" s="580"/>
      <c r="BK142" s="580"/>
      <c r="BL142" s="580"/>
      <c r="BM142" s="580"/>
      <c r="BN142" s="580"/>
      <c r="BO142" s="581"/>
      <c r="BP142" s="580"/>
      <c r="BQ142" s="581"/>
      <c r="BR142" s="580"/>
      <c r="BS142" s="580"/>
      <c r="BT142" s="580"/>
      <c r="BU142" s="580"/>
      <c r="BV142" s="580"/>
      <c r="BW142" s="580"/>
      <c r="BX142" s="580"/>
      <c r="BY142" s="581"/>
      <c r="BZ142" s="580"/>
      <c r="CA142" s="581"/>
      <c r="CB142" s="580"/>
      <c r="CC142" s="580"/>
      <c r="CD142" s="580"/>
      <c r="CE142" s="580"/>
      <c r="CF142" s="580"/>
      <c r="CG142" s="580"/>
    </row>
    <row r="143" spans="1:85" ht="24" customHeight="1">
      <c r="A143" s="580"/>
      <c r="B143" s="580"/>
      <c r="C143" s="580"/>
      <c r="D143" s="580"/>
      <c r="E143" s="580"/>
      <c r="F143" s="580"/>
      <c r="G143" s="580"/>
      <c r="H143" s="580"/>
      <c r="I143" s="580"/>
      <c r="J143" s="580"/>
      <c r="K143" s="581"/>
      <c r="L143" s="580"/>
      <c r="M143" s="580"/>
      <c r="N143" s="580"/>
      <c r="O143" s="580"/>
      <c r="P143" s="580"/>
      <c r="Q143" s="580"/>
      <c r="R143" s="580"/>
      <c r="S143" s="580"/>
      <c r="T143" s="580"/>
      <c r="U143" s="580"/>
      <c r="V143" s="580"/>
      <c r="W143" s="580"/>
      <c r="X143" s="580"/>
      <c r="Y143" s="580"/>
      <c r="Z143" s="580"/>
      <c r="AA143" s="580"/>
      <c r="AB143" s="580"/>
      <c r="AC143" s="580"/>
      <c r="AD143" s="580"/>
      <c r="AE143" s="581"/>
      <c r="AF143" s="580"/>
      <c r="AG143" s="581"/>
      <c r="AH143" s="580"/>
      <c r="AI143" s="580"/>
      <c r="AJ143" s="580"/>
      <c r="AK143" s="580"/>
      <c r="AL143" s="580"/>
      <c r="AM143" s="580"/>
      <c r="AN143" s="580"/>
      <c r="AO143" s="580"/>
      <c r="AP143" s="580"/>
      <c r="AQ143" s="580"/>
      <c r="AR143" s="580"/>
      <c r="AS143" s="580"/>
      <c r="AT143" s="580"/>
      <c r="AU143" s="580"/>
      <c r="AV143" s="580"/>
      <c r="AW143" s="580"/>
      <c r="AX143" s="580"/>
      <c r="AY143" s="580"/>
      <c r="AZ143" s="580"/>
      <c r="BA143" s="580"/>
      <c r="BB143" s="580"/>
      <c r="BC143" s="580"/>
      <c r="BD143" s="580"/>
      <c r="BE143" s="580"/>
      <c r="BF143" s="580"/>
      <c r="BG143" s="580"/>
      <c r="BH143" s="580"/>
      <c r="BI143" s="580"/>
      <c r="BJ143" s="580"/>
      <c r="BK143" s="580"/>
      <c r="BL143" s="580"/>
      <c r="BM143" s="580"/>
      <c r="BN143" s="580"/>
      <c r="BO143" s="581"/>
      <c r="BP143" s="580"/>
      <c r="BQ143" s="581"/>
      <c r="BR143" s="580"/>
      <c r="BS143" s="580"/>
      <c r="BT143" s="580"/>
      <c r="BU143" s="580"/>
      <c r="BV143" s="580"/>
      <c r="BW143" s="580"/>
      <c r="BX143" s="580"/>
      <c r="BY143" s="581"/>
      <c r="BZ143" s="580"/>
      <c r="CA143" s="581"/>
      <c r="CB143" s="580"/>
      <c r="CC143" s="580"/>
      <c r="CD143" s="580"/>
      <c r="CE143" s="580"/>
      <c r="CF143" s="580"/>
      <c r="CG143" s="580"/>
    </row>
    <row r="144" spans="1:85" ht="24" customHeight="1">
      <c r="A144" s="580"/>
      <c r="B144" s="580"/>
      <c r="C144" s="580"/>
      <c r="D144" s="580"/>
      <c r="E144" s="580"/>
      <c r="F144" s="580"/>
      <c r="G144" s="580"/>
      <c r="H144" s="580"/>
      <c r="I144" s="580"/>
      <c r="J144" s="580"/>
      <c r="K144" s="581"/>
      <c r="L144" s="580"/>
      <c r="M144" s="580"/>
      <c r="N144" s="580"/>
      <c r="O144" s="580"/>
      <c r="P144" s="580"/>
      <c r="Q144" s="580"/>
      <c r="R144" s="580"/>
      <c r="S144" s="580"/>
      <c r="T144" s="580"/>
      <c r="U144" s="580"/>
      <c r="V144" s="580"/>
      <c r="W144" s="580"/>
      <c r="X144" s="580"/>
      <c r="Y144" s="580"/>
      <c r="Z144" s="580"/>
      <c r="AA144" s="580"/>
      <c r="AB144" s="580"/>
      <c r="AC144" s="580"/>
      <c r="AD144" s="580"/>
      <c r="AE144" s="581"/>
      <c r="AF144" s="580"/>
      <c r="AG144" s="581"/>
      <c r="AH144" s="580"/>
      <c r="AI144" s="580"/>
      <c r="AJ144" s="580"/>
      <c r="AK144" s="580"/>
      <c r="AL144" s="580"/>
      <c r="AM144" s="580"/>
      <c r="AN144" s="580"/>
      <c r="AO144" s="580"/>
      <c r="AP144" s="580"/>
      <c r="AQ144" s="580"/>
      <c r="AR144" s="580"/>
      <c r="AS144" s="580"/>
      <c r="AT144" s="580"/>
      <c r="AU144" s="580"/>
      <c r="AV144" s="580"/>
      <c r="AW144" s="580"/>
      <c r="AX144" s="580"/>
      <c r="AY144" s="580"/>
      <c r="AZ144" s="580"/>
      <c r="BA144" s="580"/>
      <c r="BB144" s="580"/>
      <c r="BC144" s="580"/>
      <c r="BD144" s="580"/>
      <c r="BE144" s="580"/>
      <c r="BF144" s="580"/>
      <c r="BG144" s="580"/>
      <c r="BH144" s="580"/>
      <c r="BI144" s="580"/>
      <c r="BJ144" s="580"/>
      <c r="BK144" s="580"/>
      <c r="BL144" s="580"/>
      <c r="BM144" s="580"/>
      <c r="BN144" s="580"/>
      <c r="BO144" s="581"/>
      <c r="BP144" s="580"/>
      <c r="BQ144" s="581"/>
      <c r="BR144" s="580"/>
      <c r="BS144" s="580"/>
      <c r="BT144" s="580"/>
      <c r="BU144" s="580"/>
      <c r="BV144" s="580"/>
      <c r="BW144" s="580"/>
      <c r="BX144" s="580"/>
      <c r="BY144" s="581"/>
      <c r="BZ144" s="580"/>
      <c r="CA144" s="581"/>
      <c r="CB144" s="580"/>
      <c r="CC144" s="580"/>
      <c r="CD144" s="580"/>
      <c r="CE144" s="580"/>
      <c r="CF144" s="580"/>
      <c r="CG144" s="580"/>
    </row>
    <row r="145" spans="1:85" ht="24" customHeight="1">
      <c r="A145" s="580"/>
      <c r="B145" s="580"/>
      <c r="C145" s="580"/>
      <c r="D145" s="580"/>
      <c r="E145" s="580"/>
      <c r="F145" s="580"/>
      <c r="G145" s="580"/>
      <c r="H145" s="580"/>
      <c r="I145" s="580"/>
      <c r="J145" s="580"/>
      <c r="K145" s="581"/>
      <c r="L145" s="580"/>
      <c r="M145" s="580"/>
      <c r="N145" s="580"/>
      <c r="O145" s="580"/>
      <c r="P145" s="580"/>
      <c r="Q145" s="580"/>
      <c r="R145" s="580"/>
      <c r="S145" s="580"/>
      <c r="T145" s="580"/>
      <c r="U145" s="580"/>
      <c r="V145" s="580"/>
      <c r="W145" s="580"/>
      <c r="X145" s="580"/>
      <c r="Y145" s="580"/>
      <c r="Z145" s="580"/>
      <c r="AA145" s="580"/>
      <c r="AB145" s="580"/>
      <c r="AC145" s="580"/>
      <c r="AD145" s="580"/>
      <c r="AE145" s="581"/>
      <c r="AF145" s="580"/>
      <c r="AG145" s="581"/>
      <c r="AH145" s="580"/>
      <c r="AI145" s="580"/>
      <c r="AJ145" s="580"/>
      <c r="AK145" s="580"/>
      <c r="AL145" s="580"/>
      <c r="AM145" s="580"/>
      <c r="AN145" s="580"/>
      <c r="AO145" s="580"/>
      <c r="AP145" s="580"/>
      <c r="AQ145" s="580"/>
      <c r="AR145" s="580"/>
      <c r="AS145" s="580"/>
      <c r="AT145" s="580"/>
      <c r="AU145" s="580"/>
      <c r="AV145" s="580"/>
      <c r="AW145" s="580"/>
      <c r="AX145" s="580"/>
      <c r="AY145" s="580"/>
      <c r="AZ145" s="580"/>
      <c r="BA145" s="580"/>
      <c r="BB145" s="580"/>
      <c r="BC145" s="580"/>
      <c r="BD145" s="580"/>
      <c r="BE145" s="580"/>
      <c r="BF145" s="580"/>
      <c r="BG145" s="580"/>
      <c r="BH145" s="580"/>
      <c r="BI145" s="580"/>
      <c r="BJ145" s="580"/>
      <c r="BK145" s="580"/>
      <c r="BL145" s="580"/>
      <c r="BM145" s="580"/>
      <c r="BN145" s="580"/>
      <c r="BO145" s="581"/>
      <c r="BP145" s="580"/>
      <c r="BQ145" s="581"/>
      <c r="BR145" s="580"/>
      <c r="BS145" s="580"/>
      <c r="BT145" s="580"/>
      <c r="BU145" s="580"/>
      <c r="BV145" s="580"/>
      <c r="BW145" s="580"/>
      <c r="BX145" s="580"/>
      <c r="BY145" s="581"/>
      <c r="BZ145" s="580"/>
      <c r="CA145" s="581"/>
      <c r="CB145" s="580"/>
      <c r="CC145" s="580"/>
      <c r="CD145" s="580"/>
      <c r="CE145" s="580"/>
      <c r="CF145" s="580"/>
      <c r="CG145" s="580"/>
    </row>
    <row r="146" spans="1:85" ht="24" customHeight="1">
      <c r="A146" s="580"/>
      <c r="B146" s="580"/>
      <c r="C146" s="580"/>
      <c r="D146" s="580"/>
      <c r="E146" s="580"/>
      <c r="F146" s="580"/>
      <c r="G146" s="580"/>
      <c r="H146" s="580"/>
      <c r="I146" s="580"/>
      <c r="J146" s="580"/>
      <c r="K146" s="581"/>
      <c r="L146" s="580"/>
      <c r="M146" s="580"/>
      <c r="N146" s="580"/>
      <c r="O146" s="580"/>
      <c r="P146" s="580"/>
      <c r="Q146" s="580"/>
      <c r="R146" s="580"/>
      <c r="S146" s="580"/>
      <c r="T146" s="580"/>
      <c r="U146" s="580"/>
      <c r="V146" s="580"/>
      <c r="W146" s="580"/>
      <c r="X146" s="580"/>
      <c r="Y146" s="580"/>
      <c r="Z146" s="580"/>
      <c r="AA146" s="580"/>
      <c r="AB146" s="580"/>
      <c r="AC146" s="580"/>
      <c r="AD146" s="580"/>
      <c r="AE146" s="581"/>
      <c r="AF146" s="580"/>
      <c r="AG146" s="581"/>
      <c r="AH146" s="580"/>
      <c r="AI146" s="580"/>
      <c r="AJ146" s="580"/>
      <c r="AK146" s="580"/>
      <c r="AL146" s="580"/>
      <c r="AM146" s="580"/>
      <c r="AN146" s="580"/>
      <c r="AO146" s="580"/>
      <c r="AP146" s="580"/>
      <c r="AQ146" s="580"/>
      <c r="AR146" s="580"/>
      <c r="AS146" s="580"/>
      <c r="AT146" s="580"/>
      <c r="AU146" s="580"/>
      <c r="AV146" s="580"/>
      <c r="AW146" s="580"/>
      <c r="AX146" s="580"/>
      <c r="AY146" s="580"/>
      <c r="AZ146" s="580"/>
      <c r="BA146" s="580"/>
      <c r="BB146" s="580"/>
      <c r="BC146" s="580"/>
      <c r="BD146" s="580"/>
      <c r="BE146" s="580"/>
      <c r="BF146" s="580"/>
      <c r="BG146" s="580"/>
      <c r="BH146" s="580"/>
      <c r="BI146" s="580"/>
      <c r="BJ146" s="580"/>
      <c r="BK146" s="580"/>
      <c r="BL146" s="580"/>
      <c r="BM146" s="580"/>
      <c r="BN146" s="580"/>
      <c r="BO146" s="581"/>
      <c r="BP146" s="580"/>
      <c r="BQ146" s="581"/>
      <c r="BR146" s="580"/>
      <c r="BS146" s="580"/>
      <c r="BT146" s="580"/>
      <c r="BU146" s="580"/>
      <c r="BV146" s="580"/>
      <c r="BW146" s="580"/>
      <c r="BX146" s="580"/>
      <c r="BY146" s="581"/>
      <c r="BZ146" s="580"/>
      <c r="CA146" s="581"/>
      <c r="CB146" s="580"/>
      <c r="CC146" s="580"/>
      <c r="CD146" s="580"/>
      <c r="CE146" s="580"/>
      <c r="CF146" s="580"/>
      <c r="CG146" s="580"/>
    </row>
    <row r="147" spans="1:85" ht="24" customHeight="1">
      <c r="A147" s="580"/>
      <c r="B147" s="580"/>
      <c r="C147" s="580"/>
      <c r="D147" s="580"/>
      <c r="E147" s="580"/>
      <c r="F147" s="580"/>
      <c r="G147" s="580"/>
      <c r="H147" s="580"/>
      <c r="I147" s="580"/>
      <c r="J147" s="580"/>
      <c r="K147" s="581"/>
      <c r="L147" s="580"/>
      <c r="M147" s="580"/>
      <c r="N147" s="580"/>
      <c r="O147" s="580"/>
      <c r="P147" s="580"/>
      <c r="Q147" s="580"/>
      <c r="R147" s="580"/>
      <c r="S147" s="580"/>
      <c r="T147" s="580"/>
      <c r="U147" s="580"/>
      <c r="V147" s="580"/>
      <c r="W147" s="580"/>
      <c r="X147" s="580"/>
      <c r="Y147" s="580"/>
      <c r="Z147" s="580"/>
      <c r="AA147" s="580"/>
      <c r="AB147" s="580"/>
      <c r="AC147" s="580"/>
      <c r="AD147" s="580"/>
      <c r="AE147" s="581"/>
      <c r="AF147" s="580"/>
      <c r="AG147" s="581"/>
      <c r="AH147" s="580"/>
      <c r="AI147" s="580"/>
      <c r="AJ147" s="580"/>
      <c r="AK147" s="580"/>
      <c r="AL147" s="580"/>
      <c r="AM147" s="580"/>
      <c r="AN147" s="580"/>
      <c r="AO147" s="580"/>
      <c r="AP147" s="580"/>
      <c r="AQ147" s="580"/>
      <c r="AR147" s="580"/>
      <c r="AS147" s="580"/>
      <c r="AT147" s="580"/>
      <c r="AU147" s="580"/>
      <c r="AV147" s="580"/>
      <c r="AW147" s="580"/>
      <c r="AX147" s="580"/>
      <c r="AY147" s="580"/>
      <c r="AZ147" s="580"/>
      <c r="BA147" s="580"/>
      <c r="BB147" s="580"/>
      <c r="BC147" s="580"/>
      <c r="BD147" s="580"/>
      <c r="BE147" s="580"/>
      <c r="BF147" s="580"/>
      <c r="BG147" s="580"/>
      <c r="BH147" s="580"/>
      <c r="BI147" s="580"/>
      <c r="BJ147" s="580"/>
      <c r="BK147" s="580"/>
      <c r="BL147" s="580"/>
      <c r="BM147" s="580"/>
      <c r="BN147" s="580"/>
      <c r="BO147" s="581"/>
      <c r="BP147" s="580"/>
      <c r="BQ147" s="581"/>
      <c r="BR147" s="580"/>
      <c r="BS147" s="580"/>
      <c r="BT147" s="580"/>
      <c r="BU147" s="580"/>
      <c r="BV147" s="580"/>
      <c r="BW147" s="580"/>
      <c r="BX147" s="580"/>
      <c r="BY147" s="581"/>
      <c r="BZ147" s="580"/>
      <c r="CA147" s="581"/>
      <c r="CB147" s="580"/>
      <c r="CC147" s="580"/>
      <c r="CD147" s="580"/>
      <c r="CE147" s="580"/>
      <c r="CF147" s="580"/>
      <c r="CG147" s="580"/>
    </row>
    <row r="148" spans="1:85" ht="24" customHeight="1">
      <c r="A148" s="580"/>
      <c r="B148" s="580"/>
      <c r="C148" s="580"/>
      <c r="D148" s="580"/>
      <c r="E148" s="580"/>
      <c r="F148" s="580"/>
      <c r="G148" s="580"/>
      <c r="H148" s="580"/>
      <c r="I148" s="580"/>
      <c r="J148" s="580"/>
      <c r="K148" s="581"/>
      <c r="L148" s="580"/>
      <c r="M148" s="580"/>
      <c r="N148" s="580"/>
      <c r="O148" s="580"/>
      <c r="P148" s="580"/>
      <c r="Q148" s="580"/>
      <c r="R148" s="580"/>
      <c r="S148" s="580"/>
      <c r="T148" s="580"/>
      <c r="U148" s="580"/>
      <c r="V148" s="580"/>
      <c r="W148" s="580"/>
      <c r="X148" s="580"/>
      <c r="Y148" s="580"/>
      <c r="Z148" s="580"/>
      <c r="AA148" s="580"/>
      <c r="AB148" s="580"/>
      <c r="AC148" s="580"/>
      <c r="AD148" s="580"/>
      <c r="AE148" s="581"/>
      <c r="AF148" s="580"/>
      <c r="AG148" s="581"/>
      <c r="AH148" s="580"/>
      <c r="AI148" s="580"/>
      <c r="AJ148" s="580"/>
      <c r="AK148" s="580"/>
      <c r="AL148" s="580"/>
      <c r="AM148" s="580"/>
      <c r="AN148" s="580"/>
      <c r="AO148" s="580"/>
      <c r="AP148" s="580"/>
      <c r="AQ148" s="580"/>
      <c r="AR148" s="580"/>
      <c r="AS148" s="580"/>
      <c r="AT148" s="580"/>
      <c r="AU148" s="580"/>
      <c r="AV148" s="580"/>
      <c r="AW148" s="580"/>
      <c r="AX148" s="580"/>
      <c r="AY148" s="580"/>
      <c r="AZ148" s="580"/>
      <c r="BA148" s="580"/>
      <c r="BB148" s="580"/>
      <c r="BC148" s="580"/>
      <c r="BD148" s="580"/>
      <c r="BE148" s="580"/>
      <c r="BF148" s="580"/>
      <c r="BG148" s="580"/>
      <c r="BH148" s="580"/>
      <c r="BI148" s="580"/>
      <c r="BJ148" s="580"/>
      <c r="BK148" s="580"/>
      <c r="BL148" s="580"/>
      <c r="BM148" s="580"/>
      <c r="BN148" s="580"/>
      <c r="BO148" s="581"/>
      <c r="BP148" s="580"/>
      <c r="BQ148" s="581"/>
      <c r="BR148" s="580"/>
      <c r="BS148" s="580"/>
      <c r="BT148" s="580"/>
      <c r="BU148" s="580"/>
      <c r="BV148" s="580"/>
      <c r="BW148" s="580"/>
      <c r="BX148" s="580"/>
      <c r="BY148" s="581"/>
      <c r="BZ148" s="580"/>
      <c r="CA148" s="581"/>
      <c r="CB148" s="580"/>
      <c r="CC148" s="580"/>
      <c r="CD148" s="580"/>
      <c r="CE148" s="580"/>
      <c r="CF148" s="580"/>
      <c r="CG148" s="580"/>
    </row>
    <row r="149" spans="1:85" ht="24" customHeight="1">
      <c r="A149" s="580"/>
      <c r="B149" s="580"/>
      <c r="C149" s="580"/>
      <c r="D149" s="580"/>
      <c r="E149" s="580"/>
      <c r="F149" s="580"/>
      <c r="G149" s="580"/>
      <c r="H149" s="580"/>
      <c r="I149" s="580"/>
      <c r="J149" s="580"/>
      <c r="K149" s="581"/>
      <c r="L149" s="580"/>
      <c r="M149" s="580"/>
      <c r="N149" s="580"/>
      <c r="O149" s="580"/>
      <c r="P149" s="580"/>
      <c r="Q149" s="580"/>
      <c r="R149" s="580"/>
      <c r="S149" s="580"/>
      <c r="T149" s="580"/>
      <c r="U149" s="580"/>
      <c r="V149" s="580"/>
      <c r="W149" s="580"/>
      <c r="X149" s="580"/>
      <c r="Y149" s="580"/>
      <c r="Z149" s="580"/>
      <c r="AA149" s="580"/>
      <c r="AB149" s="580"/>
      <c r="AC149" s="580"/>
      <c r="AD149" s="580"/>
      <c r="AE149" s="581"/>
      <c r="AF149" s="580"/>
      <c r="AG149" s="581"/>
      <c r="AH149" s="580"/>
      <c r="AI149" s="580"/>
      <c r="AJ149" s="580"/>
      <c r="AK149" s="580"/>
      <c r="AL149" s="580"/>
      <c r="AM149" s="580"/>
      <c r="AN149" s="580"/>
      <c r="AO149" s="580"/>
      <c r="AP149" s="580"/>
      <c r="AQ149" s="580"/>
      <c r="AR149" s="580"/>
      <c r="AS149" s="580"/>
      <c r="AT149" s="580"/>
      <c r="AU149" s="580"/>
      <c r="AV149" s="580"/>
      <c r="AW149" s="580"/>
      <c r="AX149" s="580"/>
      <c r="AY149" s="580"/>
      <c r="AZ149" s="580"/>
      <c r="BA149" s="580"/>
      <c r="BB149" s="580"/>
      <c r="BC149" s="580"/>
      <c r="BD149" s="580"/>
      <c r="BE149" s="580"/>
      <c r="BF149" s="580"/>
      <c r="BG149" s="580"/>
      <c r="BH149" s="580"/>
      <c r="BI149" s="580"/>
      <c r="BJ149" s="580"/>
      <c r="BK149" s="580"/>
      <c r="BL149" s="580"/>
      <c r="BM149" s="580"/>
      <c r="BN149" s="580"/>
      <c r="BO149" s="581"/>
      <c r="BP149" s="580"/>
      <c r="BQ149" s="581"/>
      <c r="BR149" s="580"/>
      <c r="BS149" s="580"/>
      <c r="BT149" s="580"/>
      <c r="BU149" s="580"/>
      <c r="BV149" s="580"/>
      <c r="BW149" s="580"/>
      <c r="BX149" s="580"/>
      <c r="BY149" s="581"/>
      <c r="BZ149" s="580"/>
      <c r="CA149" s="581"/>
      <c r="CB149" s="580"/>
      <c r="CC149" s="580"/>
      <c r="CD149" s="580"/>
      <c r="CE149" s="580"/>
      <c r="CF149" s="580"/>
      <c r="CG149" s="580"/>
    </row>
    <row r="150" spans="1:85" ht="24" customHeight="1">
      <c r="A150" s="580"/>
      <c r="B150" s="580"/>
      <c r="C150" s="580"/>
      <c r="D150" s="580"/>
      <c r="E150" s="580"/>
      <c r="F150" s="580"/>
      <c r="G150" s="580"/>
      <c r="H150" s="580"/>
      <c r="I150" s="580"/>
      <c r="J150" s="580"/>
      <c r="K150" s="581"/>
      <c r="L150" s="580"/>
      <c r="M150" s="580"/>
      <c r="N150" s="580"/>
      <c r="O150" s="580"/>
      <c r="P150" s="580"/>
      <c r="Q150" s="580"/>
      <c r="R150" s="580"/>
      <c r="S150" s="580"/>
      <c r="T150" s="580"/>
      <c r="U150" s="580"/>
      <c r="V150" s="580"/>
      <c r="W150" s="580"/>
      <c r="X150" s="580"/>
      <c r="Y150" s="580"/>
      <c r="Z150" s="580"/>
      <c r="AA150" s="580"/>
      <c r="AB150" s="580"/>
      <c r="AC150" s="580"/>
      <c r="AD150" s="580"/>
      <c r="AE150" s="581"/>
      <c r="AF150" s="580"/>
      <c r="AG150" s="581"/>
      <c r="AH150" s="580"/>
      <c r="AI150" s="580"/>
      <c r="AJ150" s="580"/>
      <c r="AK150" s="580"/>
      <c r="AL150" s="580"/>
      <c r="AM150" s="580"/>
      <c r="AN150" s="580"/>
      <c r="AO150" s="580"/>
      <c r="AP150" s="580"/>
      <c r="AQ150" s="580"/>
      <c r="AR150" s="580"/>
      <c r="AS150" s="580"/>
      <c r="AT150" s="580"/>
      <c r="AU150" s="580"/>
      <c r="AV150" s="580"/>
      <c r="AW150" s="580"/>
      <c r="AX150" s="580"/>
      <c r="AY150" s="580"/>
      <c r="AZ150" s="580"/>
      <c r="BA150" s="580"/>
      <c r="BB150" s="580"/>
      <c r="BC150" s="580"/>
      <c r="BD150" s="580"/>
      <c r="BE150" s="580"/>
      <c r="BF150" s="580"/>
      <c r="BG150" s="580"/>
      <c r="BH150" s="580"/>
      <c r="BI150" s="580"/>
      <c r="BJ150" s="580"/>
      <c r="BK150" s="580"/>
      <c r="BL150" s="580"/>
      <c r="BM150" s="580"/>
      <c r="BN150" s="580"/>
      <c r="BO150" s="581"/>
      <c r="BP150" s="580"/>
      <c r="BQ150" s="581"/>
      <c r="BR150" s="580"/>
      <c r="BS150" s="580"/>
      <c r="BT150" s="580"/>
      <c r="BU150" s="580"/>
      <c r="BV150" s="580"/>
      <c r="BW150" s="580"/>
      <c r="BX150" s="580"/>
      <c r="BY150" s="581"/>
      <c r="BZ150" s="580"/>
      <c r="CA150" s="581"/>
      <c r="CB150" s="580"/>
      <c r="CC150" s="580"/>
      <c r="CD150" s="580"/>
      <c r="CE150" s="580"/>
      <c r="CF150" s="580"/>
      <c r="CG150" s="580"/>
    </row>
    <row r="151" spans="1:85" ht="24" customHeight="1">
      <c r="A151" s="580"/>
      <c r="B151" s="580"/>
      <c r="C151" s="580"/>
      <c r="D151" s="580"/>
      <c r="E151" s="580"/>
      <c r="F151" s="580"/>
      <c r="G151" s="580"/>
      <c r="H151" s="580"/>
      <c r="I151" s="580"/>
      <c r="J151" s="580"/>
      <c r="K151" s="581"/>
      <c r="L151" s="580"/>
      <c r="M151" s="580"/>
      <c r="N151" s="580"/>
      <c r="O151" s="580"/>
      <c r="P151" s="580"/>
      <c r="Q151" s="580"/>
      <c r="R151" s="580"/>
      <c r="S151" s="580"/>
      <c r="T151" s="580"/>
      <c r="U151" s="580"/>
      <c r="V151" s="580"/>
      <c r="W151" s="580"/>
      <c r="X151" s="580"/>
      <c r="Y151" s="580"/>
      <c r="Z151" s="580"/>
      <c r="AA151" s="580"/>
      <c r="AB151" s="580"/>
      <c r="AC151" s="580"/>
      <c r="AD151" s="580"/>
      <c r="AE151" s="581"/>
      <c r="AF151" s="580"/>
      <c r="AG151" s="581"/>
      <c r="AH151" s="580"/>
      <c r="AI151" s="580"/>
      <c r="AJ151" s="580"/>
      <c r="AK151" s="580"/>
      <c r="AL151" s="580"/>
      <c r="AM151" s="580"/>
      <c r="AN151" s="580"/>
      <c r="AO151" s="580"/>
      <c r="AP151" s="580"/>
      <c r="AQ151" s="580"/>
      <c r="AR151" s="580"/>
      <c r="AS151" s="580"/>
      <c r="AT151" s="580"/>
      <c r="AU151" s="580"/>
      <c r="AV151" s="580"/>
      <c r="AW151" s="580"/>
      <c r="AX151" s="580"/>
      <c r="AY151" s="580"/>
      <c r="AZ151" s="580"/>
      <c r="BA151" s="580"/>
      <c r="BB151" s="580"/>
      <c r="BC151" s="580"/>
      <c r="BD151" s="580"/>
      <c r="BE151" s="580"/>
      <c r="BF151" s="580"/>
      <c r="BG151" s="580"/>
      <c r="BH151" s="580"/>
      <c r="BI151" s="580"/>
      <c r="BJ151" s="580"/>
      <c r="BK151" s="580"/>
      <c r="BL151" s="580"/>
      <c r="BM151" s="580"/>
      <c r="BN151" s="580"/>
      <c r="BO151" s="581"/>
      <c r="BP151" s="580"/>
      <c r="BQ151" s="581"/>
      <c r="BR151" s="580"/>
      <c r="BS151" s="580"/>
      <c r="BT151" s="580"/>
      <c r="BU151" s="580"/>
      <c r="BV151" s="580"/>
      <c r="BW151" s="580"/>
      <c r="BX151" s="580"/>
      <c r="BY151" s="581"/>
      <c r="BZ151" s="580"/>
      <c r="CA151" s="581"/>
      <c r="CB151" s="580"/>
      <c r="CC151" s="580"/>
      <c r="CD151" s="580"/>
      <c r="CE151" s="580"/>
      <c r="CF151" s="580"/>
      <c r="CG151" s="580"/>
    </row>
    <row r="152" spans="1:85" ht="24" customHeight="1">
      <c r="A152" s="580"/>
      <c r="B152" s="580"/>
      <c r="C152" s="580"/>
      <c r="D152" s="580"/>
      <c r="E152" s="580"/>
      <c r="F152" s="580"/>
      <c r="G152" s="580"/>
      <c r="H152" s="580"/>
      <c r="I152" s="580"/>
      <c r="J152" s="580"/>
      <c r="K152" s="581"/>
      <c r="L152" s="580"/>
      <c r="M152" s="580"/>
      <c r="N152" s="580"/>
      <c r="O152" s="580"/>
      <c r="P152" s="580"/>
      <c r="Q152" s="580"/>
      <c r="R152" s="580"/>
      <c r="S152" s="580"/>
      <c r="T152" s="580"/>
      <c r="U152" s="580"/>
      <c r="V152" s="580"/>
      <c r="W152" s="580"/>
      <c r="X152" s="580"/>
      <c r="Y152" s="580"/>
      <c r="Z152" s="580"/>
      <c r="AA152" s="580"/>
      <c r="AB152" s="580"/>
      <c r="AC152" s="580"/>
      <c r="AD152" s="580"/>
      <c r="AE152" s="581"/>
      <c r="AF152" s="580"/>
      <c r="AG152" s="581"/>
      <c r="AH152" s="580"/>
      <c r="AI152" s="580"/>
      <c r="AJ152" s="580"/>
      <c r="AK152" s="580"/>
      <c r="AL152" s="580"/>
      <c r="AM152" s="580"/>
      <c r="AN152" s="580"/>
      <c r="AO152" s="580"/>
      <c r="AP152" s="580"/>
      <c r="AQ152" s="580"/>
      <c r="AR152" s="580"/>
      <c r="AS152" s="580"/>
      <c r="AT152" s="580"/>
      <c r="AU152" s="580"/>
      <c r="AV152" s="580"/>
      <c r="AW152" s="580"/>
      <c r="AX152" s="580"/>
      <c r="AY152" s="580"/>
      <c r="AZ152" s="580"/>
      <c r="BA152" s="580"/>
      <c r="BB152" s="580"/>
      <c r="BC152" s="580"/>
      <c r="BD152" s="580"/>
      <c r="BE152" s="580"/>
      <c r="BF152" s="580"/>
      <c r="BG152" s="580"/>
      <c r="BH152" s="580"/>
      <c r="BI152" s="580"/>
      <c r="BJ152" s="580"/>
      <c r="BK152" s="580"/>
      <c r="BL152" s="580"/>
      <c r="BM152" s="580"/>
      <c r="BN152" s="580"/>
      <c r="BO152" s="581"/>
      <c r="BP152" s="580"/>
      <c r="BQ152" s="581"/>
      <c r="BR152" s="580"/>
      <c r="BS152" s="580"/>
      <c r="BT152" s="580"/>
      <c r="BU152" s="580"/>
      <c r="BV152" s="580"/>
      <c r="BW152" s="580"/>
      <c r="BX152" s="580"/>
      <c r="BY152" s="581"/>
      <c r="BZ152" s="580"/>
      <c r="CA152" s="581"/>
      <c r="CB152" s="580"/>
      <c r="CC152" s="580"/>
      <c r="CD152" s="580"/>
      <c r="CE152" s="580"/>
      <c r="CF152" s="580"/>
      <c r="CG152" s="580"/>
    </row>
    <row r="153" spans="1:85" ht="24" customHeight="1">
      <c r="A153" s="580"/>
      <c r="B153" s="580"/>
      <c r="C153" s="580"/>
      <c r="D153" s="580"/>
      <c r="E153" s="580"/>
      <c r="F153" s="580"/>
      <c r="G153" s="580"/>
      <c r="H153" s="580"/>
      <c r="I153" s="580"/>
      <c r="J153" s="580"/>
      <c r="K153" s="581"/>
      <c r="L153" s="580"/>
      <c r="M153" s="580"/>
      <c r="N153" s="580"/>
      <c r="O153" s="580"/>
      <c r="P153" s="580"/>
      <c r="Q153" s="580"/>
      <c r="R153" s="580"/>
      <c r="S153" s="580"/>
      <c r="T153" s="580"/>
      <c r="U153" s="580"/>
      <c r="V153" s="580"/>
      <c r="W153" s="580"/>
      <c r="X153" s="580"/>
      <c r="Y153" s="580"/>
      <c r="Z153" s="580"/>
      <c r="AA153" s="580"/>
      <c r="AB153" s="580"/>
      <c r="AC153" s="580"/>
      <c r="AD153" s="580"/>
      <c r="AE153" s="581"/>
      <c r="AF153" s="580"/>
      <c r="AG153" s="581"/>
      <c r="AH153" s="580"/>
      <c r="AI153" s="580"/>
      <c r="AJ153" s="580"/>
      <c r="AK153" s="580"/>
      <c r="AL153" s="580"/>
      <c r="AM153" s="580"/>
      <c r="AN153" s="580"/>
      <c r="AO153" s="580"/>
      <c r="AP153" s="580"/>
      <c r="AQ153" s="580"/>
      <c r="AR153" s="580"/>
      <c r="AS153" s="580"/>
      <c r="AT153" s="580"/>
      <c r="AU153" s="580"/>
      <c r="AV153" s="580"/>
      <c r="AW153" s="580"/>
      <c r="AX153" s="580"/>
      <c r="AY153" s="580"/>
      <c r="AZ153" s="580"/>
      <c r="BA153" s="580"/>
      <c r="BB153" s="580"/>
      <c r="BC153" s="580"/>
      <c r="BD153" s="580"/>
      <c r="BE153" s="580"/>
      <c r="BF153" s="580"/>
      <c r="BG153" s="580"/>
      <c r="BH153" s="580"/>
      <c r="BI153" s="580"/>
      <c r="BJ153" s="580"/>
      <c r="BK153" s="580"/>
      <c r="BL153" s="580"/>
      <c r="BM153" s="580"/>
      <c r="BN153" s="580"/>
      <c r="BO153" s="581"/>
      <c r="BP153" s="580"/>
      <c r="BQ153" s="581"/>
      <c r="BR153" s="580"/>
      <c r="BS153" s="580"/>
      <c r="BT153" s="580"/>
      <c r="BU153" s="580"/>
      <c r="BV153" s="580"/>
      <c r="BW153" s="580"/>
      <c r="BX153" s="580"/>
      <c r="BY153" s="581"/>
      <c r="BZ153" s="580"/>
      <c r="CA153" s="581"/>
      <c r="CB153" s="580"/>
      <c r="CC153" s="580"/>
      <c r="CD153" s="580"/>
      <c r="CE153" s="580"/>
      <c r="CF153" s="580"/>
      <c r="CG153" s="580"/>
    </row>
    <row r="154" spans="1:85" ht="24" customHeight="1">
      <c r="A154" s="580"/>
      <c r="B154" s="580"/>
      <c r="C154" s="580"/>
      <c r="D154" s="580"/>
      <c r="E154" s="580"/>
      <c r="F154" s="580"/>
      <c r="G154" s="580"/>
      <c r="H154" s="580"/>
      <c r="I154" s="580"/>
      <c r="J154" s="580"/>
      <c r="K154" s="581"/>
      <c r="L154" s="580"/>
      <c r="M154" s="580"/>
      <c r="N154" s="580"/>
      <c r="O154" s="580"/>
      <c r="P154" s="580"/>
      <c r="Q154" s="580"/>
      <c r="R154" s="580"/>
      <c r="S154" s="580"/>
      <c r="T154" s="580"/>
      <c r="U154" s="580"/>
      <c r="V154" s="580"/>
      <c r="W154" s="580"/>
      <c r="X154" s="580"/>
      <c r="Y154" s="580"/>
      <c r="Z154" s="580"/>
      <c r="AA154" s="580"/>
      <c r="AB154" s="580"/>
      <c r="AC154" s="580"/>
      <c r="AD154" s="580"/>
      <c r="AE154" s="581"/>
      <c r="AF154" s="580"/>
      <c r="AG154" s="581"/>
      <c r="AH154" s="580"/>
      <c r="AI154" s="580"/>
      <c r="AJ154" s="580"/>
      <c r="AK154" s="580"/>
      <c r="AL154" s="580"/>
      <c r="AM154" s="580"/>
      <c r="AN154" s="580"/>
      <c r="AO154" s="580"/>
      <c r="AP154" s="580"/>
      <c r="AQ154" s="580"/>
      <c r="AR154" s="580"/>
      <c r="AS154" s="580"/>
      <c r="AT154" s="580"/>
      <c r="AU154" s="580"/>
      <c r="AV154" s="580"/>
      <c r="AW154" s="580"/>
      <c r="AX154" s="580"/>
      <c r="AY154" s="580"/>
      <c r="AZ154" s="580"/>
      <c r="BA154" s="580"/>
      <c r="BB154" s="580"/>
      <c r="BC154" s="580"/>
      <c r="BD154" s="580"/>
      <c r="BE154" s="580"/>
      <c r="BF154" s="580"/>
      <c r="BG154" s="580"/>
      <c r="BH154" s="580"/>
      <c r="BI154" s="580"/>
      <c r="BJ154" s="580"/>
      <c r="BK154" s="580"/>
      <c r="BL154" s="580"/>
      <c r="BM154" s="580"/>
      <c r="BN154" s="580"/>
      <c r="BO154" s="581"/>
      <c r="BP154" s="580"/>
      <c r="BQ154" s="581"/>
      <c r="BR154" s="580"/>
      <c r="BS154" s="580"/>
      <c r="BT154" s="580"/>
      <c r="BU154" s="580"/>
      <c r="BV154" s="580"/>
      <c r="BW154" s="580"/>
      <c r="BX154" s="580"/>
      <c r="BY154" s="581"/>
      <c r="BZ154" s="580"/>
      <c r="CA154" s="581"/>
      <c r="CB154" s="580"/>
      <c r="CC154" s="580"/>
      <c r="CD154" s="580"/>
      <c r="CE154" s="580"/>
      <c r="CF154" s="580"/>
      <c r="CG154" s="580"/>
    </row>
    <row r="155" spans="1:85" ht="24" customHeight="1">
      <c r="A155" s="580"/>
      <c r="B155" s="580"/>
      <c r="C155" s="580"/>
      <c r="D155" s="580"/>
      <c r="E155" s="580"/>
      <c r="F155" s="580"/>
      <c r="G155" s="580"/>
      <c r="H155" s="580"/>
      <c r="I155" s="580"/>
      <c r="J155" s="580"/>
      <c r="K155" s="581"/>
      <c r="L155" s="580"/>
      <c r="M155" s="580"/>
      <c r="N155" s="580"/>
      <c r="O155" s="580"/>
      <c r="P155" s="580"/>
      <c r="Q155" s="580"/>
      <c r="R155" s="580"/>
      <c r="S155" s="580"/>
      <c r="T155" s="580"/>
      <c r="U155" s="580"/>
      <c r="V155" s="580"/>
      <c r="W155" s="580"/>
      <c r="X155" s="580"/>
      <c r="Y155" s="580"/>
      <c r="Z155" s="580"/>
      <c r="AA155" s="580"/>
      <c r="AB155" s="580"/>
      <c r="AC155" s="580"/>
      <c r="AD155" s="580"/>
      <c r="AE155" s="581"/>
      <c r="AF155" s="580"/>
      <c r="AG155" s="581"/>
      <c r="AH155" s="580"/>
      <c r="AI155" s="580"/>
      <c r="AJ155" s="580"/>
      <c r="AK155" s="580"/>
      <c r="AL155" s="580"/>
      <c r="AM155" s="580"/>
      <c r="AN155" s="580"/>
      <c r="AO155" s="580"/>
      <c r="AP155" s="580"/>
      <c r="AQ155" s="580"/>
      <c r="AR155" s="580"/>
      <c r="AS155" s="580"/>
      <c r="AT155" s="580"/>
      <c r="AU155" s="580"/>
      <c r="AV155" s="580"/>
      <c r="AW155" s="580"/>
      <c r="AX155" s="580"/>
      <c r="AY155" s="580"/>
      <c r="AZ155" s="580"/>
      <c r="BA155" s="580"/>
      <c r="BB155" s="580"/>
      <c r="BC155" s="580"/>
      <c r="BD155" s="580"/>
      <c r="BE155" s="580"/>
      <c r="BF155" s="580"/>
      <c r="BG155" s="580"/>
      <c r="BH155" s="580"/>
      <c r="BI155" s="580"/>
      <c r="BJ155" s="580"/>
      <c r="BK155" s="580"/>
      <c r="BL155" s="580"/>
      <c r="BM155" s="580"/>
      <c r="BN155" s="580"/>
      <c r="BO155" s="581"/>
      <c r="BP155" s="580"/>
      <c r="BQ155" s="581"/>
      <c r="BR155" s="580"/>
      <c r="BS155" s="580"/>
      <c r="BT155" s="580"/>
      <c r="BU155" s="580"/>
      <c r="BV155" s="580"/>
      <c r="BW155" s="580"/>
      <c r="BX155" s="580"/>
      <c r="BY155" s="581"/>
      <c r="BZ155" s="580"/>
      <c r="CA155" s="581"/>
      <c r="CB155" s="580"/>
      <c r="CC155" s="580"/>
      <c r="CD155" s="580"/>
      <c r="CE155" s="580"/>
      <c r="CF155" s="580"/>
      <c r="CG155" s="580"/>
    </row>
    <row r="156" spans="1:85" ht="24" customHeight="1">
      <c r="A156" s="580"/>
      <c r="B156" s="580"/>
      <c r="C156" s="580"/>
      <c r="D156" s="580"/>
      <c r="E156" s="580"/>
      <c r="F156" s="580"/>
      <c r="G156" s="580"/>
      <c r="H156" s="580"/>
      <c r="I156" s="580"/>
      <c r="J156" s="580"/>
      <c r="K156" s="581"/>
      <c r="L156" s="580"/>
      <c r="M156" s="580"/>
      <c r="N156" s="580"/>
      <c r="O156" s="580"/>
      <c r="P156" s="580"/>
      <c r="Q156" s="580"/>
      <c r="R156" s="580"/>
      <c r="S156" s="580"/>
      <c r="T156" s="580"/>
      <c r="U156" s="580"/>
      <c r="V156" s="580"/>
      <c r="W156" s="580"/>
      <c r="X156" s="580"/>
      <c r="Y156" s="580"/>
      <c r="Z156" s="580"/>
      <c r="AA156" s="580"/>
      <c r="AB156" s="580"/>
      <c r="AC156" s="580"/>
      <c r="AD156" s="580"/>
      <c r="AE156" s="581"/>
      <c r="AF156" s="580"/>
      <c r="AG156" s="581"/>
      <c r="AH156" s="580"/>
      <c r="AI156" s="580"/>
      <c r="AJ156" s="580"/>
      <c r="AK156" s="580"/>
      <c r="AL156" s="580"/>
      <c r="AM156" s="580"/>
      <c r="AN156" s="580"/>
      <c r="AO156" s="580"/>
      <c r="AP156" s="580"/>
      <c r="AQ156" s="580"/>
      <c r="AR156" s="580"/>
      <c r="AS156" s="580"/>
      <c r="AT156" s="580"/>
      <c r="AU156" s="580"/>
      <c r="AV156" s="580"/>
      <c r="AW156" s="580"/>
      <c r="AX156" s="580"/>
      <c r="AY156" s="580"/>
      <c r="AZ156" s="580"/>
      <c r="BA156" s="580"/>
      <c r="BB156" s="580"/>
      <c r="BC156" s="580"/>
      <c r="BD156" s="580"/>
      <c r="BE156" s="580"/>
      <c r="BF156" s="580"/>
      <c r="BG156" s="580"/>
      <c r="BH156" s="580"/>
      <c r="BI156" s="580"/>
      <c r="BJ156" s="580"/>
      <c r="BK156" s="580"/>
      <c r="BL156" s="580"/>
      <c r="BM156" s="580"/>
      <c r="BN156" s="580"/>
      <c r="BO156" s="581"/>
      <c r="BP156" s="580"/>
      <c r="BQ156" s="581"/>
      <c r="BR156" s="580"/>
      <c r="BS156" s="580"/>
      <c r="BT156" s="580"/>
      <c r="BU156" s="580"/>
      <c r="BV156" s="580"/>
      <c r="BW156" s="580"/>
      <c r="BX156" s="580"/>
      <c r="BY156" s="581"/>
      <c r="BZ156" s="580"/>
      <c r="CA156" s="581"/>
      <c r="CB156" s="580"/>
      <c r="CC156" s="580"/>
      <c r="CD156" s="580"/>
      <c r="CE156" s="580"/>
      <c r="CF156" s="580"/>
      <c r="CG156" s="580"/>
    </row>
    <row r="157" spans="1:85" ht="24" customHeight="1">
      <c r="A157" s="580"/>
      <c r="B157" s="580"/>
      <c r="C157" s="580"/>
      <c r="D157" s="580"/>
      <c r="E157" s="580"/>
      <c r="F157" s="580"/>
      <c r="G157" s="580"/>
      <c r="H157" s="580"/>
      <c r="I157" s="580"/>
      <c r="J157" s="580"/>
      <c r="K157" s="581"/>
      <c r="L157" s="580"/>
      <c r="M157" s="580"/>
      <c r="N157" s="580"/>
      <c r="O157" s="580"/>
      <c r="P157" s="580"/>
      <c r="Q157" s="580"/>
      <c r="R157" s="580"/>
      <c r="S157" s="580"/>
      <c r="T157" s="580"/>
      <c r="U157" s="580"/>
      <c r="V157" s="580"/>
      <c r="W157" s="580"/>
      <c r="X157" s="580"/>
      <c r="Y157" s="580"/>
      <c r="Z157" s="580"/>
      <c r="AA157" s="580"/>
      <c r="AB157" s="580"/>
      <c r="AC157" s="580"/>
      <c r="AD157" s="580"/>
      <c r="AE157" s="581"/>
      <c r="AF157" s="580"/>
      <c r="AG157" s="581"/>
      <c r="AH157" s="580"/>
      <c r="AI157" s="580"/>
      <c r="AJ157" s="580"/>
      <c r="AK157" s="580"/>
      <c r="AL157" s="580"/>
      <c r="AM157" s="580"/>
      <c r="AN157" s="580"/>
      <c r="AO157" s="580"/>
      <c r="AP157" s="580"/>
      <c r="AQ157" s="580"/>
      <c r="AR157" s="580"/>
      <c r="AS157" s="580"/>
      <c r="AT157" s="580"/>
      <c r="AU157" s="580"/>
      <c r="AV157" s="580"/>
      <c r="AW157" s="580"/>
      <c r="AX157" s="580"/>
      <c r="AY157" s="580"/>
      <c r="AZ157" s="580"/>
      <c r="BA157" s="580"/>
      <c r="BB157" s="580"/>
      <c r="BC157" s="580"/>
      <c r="BD157" s="580"/>
      <c r="BE157" s="580"/>
      <c r="BF157" s="580"/>
      <c r="BG157" s="580"/>
      <c r="BH157" s="580"/>
      <c r="BI157" s="580"/>
      <c r="BJ157" s="580"/>
      <c r="BK157" s="580"/>
      <c r="BL157" s="580"/>
      <c r="BM157" s="580"/>
      <c r="BN157" s="580"/>
      <c r="BO157" s="581"/>
      <c r="BP157" s="580"/>
      <c r="BQ157" s="581"/>
      <c r="BR157" s="580"/>
      <c r="BS157" s="580"/>
      <c r="BT157" s="580"/>
      <c r="BU157" s="580"/>
      <c r="BV157" s="580"/>
      <c r="BW157" s="580"/>
      <c r="BX157" s="580"/>
      <c r="BY157" s="581"/>
      <c r="BZ157" s="580"/>
      <c r="CA157" s="581"/>
      <c r="CB157" s="580"/>
      <c r="CC157" s="580"/>
      <c r="CD157" s="580"/>
      <c r="CE157" s="580"/>
      <c r="CF157" s="580"/>
      <c r="CG157" s="580"/>
    </row>
    <row r="158" spans="1:85" ht="24" customHeight="1">
      <c r="A158" s="580"/>
      <c r="B158" s="580"/>
      <c r="C158" s="580"/>
      <c r="D158" s="580"/>
      <c r="E158" s="580"/>
      <c r="F158" s="580"/>
      <c r="G158" s="580"/>
      <c r="H158" s="580"/>
      <c r="I158" s="580"/>
      <c r="J158" s="580"/>
      <c r="K158" s="581"/>
      <c r="L158" s="580"/>
      <c r="M158" s="580"/>
      <c r="N158" s="580"/>
      <c r="O158" s="580"/>
      <c r="P158" s="580"/>
      <c r="Q158" s="580"/>
      <c r="R158" s="580"/>
      <c r="S158" s="580"/>
      <c r="T158" s="580"/>
      <c r="U158" s="580"/>
      <c r="V158" s="580"/>
      <c r="W158" s="580"/>
      <c r="X158" s="580"/>
      <c r="Y158" s="580"/>
      <c r="Z158" s="580"/>
      <c r="AA158" s="580"/>
      <c r="AB158" s="580"/>
      <c r="AC158" s="580"/>
      <c r="AD158" s="580"/>
      <c r="AE158" s="581"/>
      <c r="AF158" s="580"/>
      <c r="AG158" s="581"/>
      <c r="AH158" s="580"/>
      <c r="AI158" s="580"/>
      <c r="AJ158" s="580"/>
      <c r="AK158" s="580"/>
      <c r="AL158" s="580"/>
      <c r="AM158" s="580"/>
      <c r="AN158" s="580"/>
      <c r="AO158" s="580"/>
      <c r="AP158" s="580"/>
      <c r="AQ158" s="580"/>
      <c r="AR158" s="580"/>
      <c r="AS158" s="580"/>
      <c r="AT158" s="580"/>
      <c r="AU158" s="580"/>
      <c r="AV158" s="580"/>
      <c r="AW158" s="580"/>
      <c r="AX158" s="580"/>
      <c r="AY158" s="580"/>
      <c r="AZ158" s="580"/>
      <c r="BA158" s="580"/>
      <c r="BB158" s="580"/>
      <c r="BC158" s="580"/>
      <c r="BD158" s="580"/>
      <c r="BE158" s="580"/>
      <c r="BF158" s="580"/>
      <c r="BG158" s="580"/>
      <c r="BH158" s="580"/>
      <c r="BI158" s="580"/>
      <c r="BJ158" s="580"/>
      <c r="BK158" s="580"/>
      <c r="BL158" s="580"/>
      <c r="BM158" s="580"/>
      <c r="BN158" s="580"/>
      <c r="BO158" s="581"/>
      <c r="BP158" s="580"/>
      <c r="BQ158" s="581"/>
      <c r="BR158" s="580"/>
      <c r="BS158" s="580"/>
      <c r="BT158" s="580"/>
      <c r="BU158" s="580"/>
      <c r="BV158" s="580"/>
      <c r="BW158" s="580"/>
      <c r="BX158" s="580"/>
      <c r="BY158" s="581"/>
      <c r="BZ158" s="580"/>
      <c r="CA158" s="581"/>
      <c r="CB158" s="580"/>
      <c r="CC158" s="580"/>
      <c r="CD158" s="580"/>
      <c r="CE158" s="580"/>
      <c r="CF158" s="580"/>
      <c r="CG158" s="580"/>
    </row>
    <row r="159" spans="1:85" ht="24" customHeight="1">
      <c r="A159" s="580"/>
      <c r="B159" s="580"/>
      <c r="C159" s="580"/>
      <c r="D159" s="580"/>
      <c r="E159" s="580"/>
      <c r="F159" s="580"/>
      <c r="G159" s="580"/>
      <c r="H159" s="580"/>
      <c r="I159" s="580"/>
      <c r="J159" s="580"/>
      <c r="K159" s="581"/>
      <c r="L159" s="580"/>
      <c r="M159" s="580"/>
      <c r="N159" s="580"/>
      <c r="O159" s="580"/>
      <c r="P159" s="580"/>
      <c r="Q159" s="580"/>
      <c r="R159" s="580"/>
      <c r="S159" s="580"/>
      <c r="T159" s="580"/>
      <c r="U159" s="580"/>
      <c r="V159" s="580"/>
      <c r="W159" s="580"/>
      <c r="X159" s="580"/>
      <c r="Y159" s="580"/>
      <c r="Z159" s="580"/>
      <c r="AA159" s="580"/>
      <c r="AB159" s="580"/>
      <c r="AC159" s="580"/>
      <c r="AD159" s="580"/>
      <c r="AE159" s="581"/>
      <c r="AF159" s="580"/>
      <c r="AG159" s="581"/>
      <c r="AH159" s="580"/>
      <c r="AI159" s="580"/>
      <c r="AJ159" s="580"/>
      <c r="AK159" s="580"/>
      <c r="AL159" s="580"/>
      <c r="AM159" s="580"/>
      <c r="AN159" s="580"/>
      <c r="AO159" s="580"/>
      <c r="AP159" s="580"/>
      <c r="AQ159" s="580"/>
      <c r="AR159" s="580"/>
      <c r="AS159" s="580"/>
      <c r="AT159" s="580"/>
      <c r="AU159" s="580"/>
      <c r="AV159" s="580"/>
      <c r="AW159" s="580"/>
      <c r="AX159" s="580"/>
      <c r="AY159" s="580"/>
      <c r="AZ159" s="580"/>
      <c r="BA159" s="580"/>
      <c r="BB159" s="580"/>
      <c r="BC159" s="580"/>
      <c r="BD159" s="580"/>
      <c r="BE159" s="580"/>
      <c r="BF159" s="580"/>
      <c r="BG159" s="580"/>
      <c r="BH159" s="580"/>
      <c r="BI159" s="580"/>
      <c r="BJ159" s="580"/>
      <c r="BK159" s="580"/>
      <c r="BL159" s="580"/>
      <c r="BM159" s="580"/>
      <c r="BN159" s="580"/>
      <c r="BO159" s="581"/>
      <c r="BP159" s="580"/>
      <c r="BQ159" s="581"/>
      <c r="BR159" s="580"/>
      <c r="BS159" s="580"/>
      <c r="BT159" s="580"/>
      <c r="BU159" s="580"/>
      <c r="BV159" s="580"/>
      <c r="BW159" s="580"/>
      <c r="BX159" s="580"/>
      <c r="BY159" s="581"/>
      <c r="BZ159" s="580"/>
      <c r="CA159" s="581"/>
      <c r="CB159" s="580"/>
      <c r="CC159" s="580"/>
      <c r="CD159" s="580"/>
      <c r="CE159" s="580"/>
      <c r="CF159" s="580"/>
      <c r="CG159" s="580"/>
    </row>
    <row r="160" spans="1:85" ht="24" customHeight="1">
      <c r="A160" s="580"/>
      <c r="B160" s="580"/>
      <c r="C160" s="580"/>
      <c r="D160" s="580"/>
      <c r="E160" s="580"/>
      <c r="F160" s="580"/>
      <c r="G160" s="580"/>
      <c r="H160" s="580"/>
      <c r="I160" s="580"/>
      <c r="J160" s="580"/>
      <c r="K160" s="581"/>
      <c r="L160" s="580"/>
      <c r="M160" s="580"/>
      <c r="N160" s="580"/>
      <c r="O160" s="580"/>
      <c r="P160" s="580"/>
      <c r="Q160" s="580"/>
      <c r="R160" s="580"/>
      <c r="S160" s="580"/>
      <c r="T160" s="580"/>
      <c r="U160" s="580"/>
      <c r="V160" s="580"/>
      <c r="W160" s="580"/>
      <c r="X160" s="580"/>
      <c r="Y160" s="580"/>
      <c r="Z160" s="580"/>
      <c r="AA160" s="580"/>
      <c r="AB160" s="580"/>
      <c r="AC160" s="580"/>
      <c r="AD160" s="580"/>
      <c r="AE160" s="581"/>
      <c r="AF160" s="580"/>
      <c r="AG160" s="581"/>
      <c r="AH160" s="580"/>
      <c r="AI160" s="580"/>
      <c r="AJ160" s="580"/>
      <c r="AK160" s="580"/>
      <c r="AL160" s="580"/>
      <c r="AM160" s="580"/>
      <c r="AN160" s="580"/>
      <c r="AO160" s="580"/>
      <c r="AP160" s="580"/>
      <c r="AQ160" s="580"/>
      <c r="AR160" s="580"/>
      <c r="AS160" s="580"/>
      <c r="AT160" s="580"/>
      <c r="AU160" s="580"/>
      <c r="AV160" s="580"/>
      <c r="AW160" s="580"/>
      <c r="AX160" s="580"/>
      <c r="AY160" s="580"/>
      <c r="AZ160" s="580"/>
      <c r="BA160" s="580"/>
      <c r="BB160" s="580"/>
      <c r="BC160" s="580"/>
      <c r="BD160" s="580"/>
      <c r="BE160" s="580"/>
      <c r="BF160" s="580"/>
      <c r="BG160" s="580"/>
      <c r="BH160" s="580"/>
      <c r="BI160" s="580"/>
      <c r="BJ160" s="580"/>
      <c r="BK160" s="580"/>
      <c r="BL160" s="580"/>
      <c r="BM160" s="580"/>
      <c r="BN160" s="580"/>
      <c r="BO160" s="581"/>
      <c r="BP160" s="580"/>
      <c r="BQ160" s="581"/>
      <c r="BR160" s="580"/>
      <c r="BS160" s="580"/>
      <c r="BT160" s="580"/>
      <c r="BU160" s="580"/>
      <c r="BV160" s="580"/>
      <c r="BW160" s="580"/>
      <c r="BX160" s="580"/>
      <c r="BY160" s="581"/>
      <c r="BZ160" s="580"/>
      <c r="CA160" s="581"/>
      <c r="CB160" s="580"/>
      <c r="CC160" s="580"/>
      <c r="CD160" s="580"/>
      <c r="CE160" s="580"/>
      <c r="CF160" s="580"/>
      <c r="CG160" s="580"/>
    </row>
    <row r="161" spans="1:85" ht="24" customHeight="1">
      <c r="A161" s="580"/>
      <c r="B161" s="580"/>
      <c r="C161" s="580"/>
      <c r="D161" s="580"/>
      <c r="E161" s="580"/>
      <c r="F161" s="580"/>
      <c r="G161" s="580"/>
      <c r="H161" s="580"/>
      <c r="I161" s="580"/>
      <c r="J161" s="580"/>
      <c r="K161" s="581"/>
      <c r="L161" s="580"/>
      <c r="M161" s="580"/>
      <c r="N161" s="580"/>
      <c r="O161" s="580"/>
      <c r="P161" s="580"/>
      <c r="Q161" s="580"/>
      <c r="R161" s="580"/>
      <c r="S161" s="580"/>
      <c r="T161" s="580"/>
      <c r="U161" s="580"/>
      <c r="V161" s="580"/>
      <c r="W161" s="580"/>
      <c r="X161" s="580"/>
      <c r="Y161" s="580"/>
      <c r="Z161" s="580"/>
      <c r="AA161" s="580"/>
      <c r="AB161" s="580"/>
      <c r="AC161" s="580"/>
      <c r="AD161" s="580"/>
      <c r="AE161" s="581"/>
      <c r="AF161" s="580"/>
      <c r="AG161" s="581"/>
      <c r="AH161" s="580"/>
      <c r="AI161" s="580"/>
      <c r="AJ161" s="580"/>
      <c r="AK161" s="580"/>
      <c r="AL161" s="580"/>
      <c r="AM161" s="580"/>
      <c r="AN161" s="580"/>
      <c r="AO161" s="580"/>
      <c r="AP161" s="580"/>
      <c r="AQ161" s="580"/>
      <c r="AR161" s="580"/>
      <c r="AS161" s="580"/>
      <c r="AT161" s="580"/>
      <c r="AU161" s="580"/>
      <c r="AV161" s="580"/>
      <c r="AW161" s="580"/>
      <c r="AX161" s="580"/>
      <c r="AY161" s="580"/>
      <c r="AZ161" s="580"/>
      <c r="BA161" s="580"/>
      <c r="BB161" s="580"/>
      <c r="BC161" s="580"/>
      <c r="BD161" s="580"/>
      <c r="BE161" s="580"/>
      <c r="BF161" s="580"/>
      <c r="BG161" s="580"/>
      <c r="BH161" s="580"/>
      <c r="BI161" s="580"/>
      <c r="BJ161" s="580"/>
      <c r="BK161" s="580"/>
      <c r="BL161" s="580"/>
      <c r="BM161" s="580"/>
      <c r="BN161" s="580"/>
      <c r="BO161" s="581"/>
      <c r="BP161" s="580"/>
      <c r="BQ161" s="581"/>
      <c r="BR161" s="580"/>
      <c r="BS161" s="580"/>
      <c r="BT161" s="580"/>
      <c r="BU161" s="580"/>
      <c r="BV161" s="580"/>
      <c r="BW161" s="580"/>
      <c r="BX161" s="580"/>
      <c r="BY161" s="581"/>
      <c r="BZ161" s="580"/>
      <c r="CA161" s="581"/>
      <c r="CB161" s="580"/>
      <c r="CC161" s="580"/>
      <c r="CD161" s="580"/>
      <c r="CE161" s="580"/>
      <c r="CF161" s="580"/>
      <c r="CG161" s="580"/>
    </row>
    <row r="162" spans="1:85" ht="24" customHeight="1">
      <c r="A162" s="580"/>
      <c r="B162" s="580"/>
      <c r="C162" s="580"/>
      <c r="D162" s="580"/>
      <c r="E162" s="580"/>
      <c r="F162" s="580"/>
      <c r="G162" s="580"/>
      <c r="H162" s="580"/>
      <c r="I162" s="580"/>
      <c r="J162" s="580"/>
      <c r="K162" s="581"/>
      <c r="L162" s="580"/>
      <c r="M162" s="580"/>
      <c r="N162" s="580"/>
      <c r="O162" s="580"/>
      <c r="P162" s="580"/>
      <c r="Q162" s="580"/>
      <c r="R162" s="580"/>
      <c r="S162" s="580"/>
      <c r="T162" s="580"/>
      <c r="U162" s="580"/>
      <c r="V162" s="580"/>
      <c r="W162" s="580"/>
      <c r="X162" s="580"/>
      <c r="Y162" s="580"/>
      <c r="Z162" s="580"/>
      <c r="AA162" s="580"/>
      <c r="AB162" s="580"/>
      <c r="AC162" s="580"/>
      <c r="AD162" s="580"/>
      <c r="AE162" s="581"/>
      <c r="AF162" s="580"/>
      <c r="AG162" s="581"/>
      <c r="AH162" s="580"/>
      <c r="AI162" s="580"/>
      <c r="AJ162" s="580"/>
      <c r="AK162" s="580"/>
      <c r="AL162" s="580"/>
      <c r="AM162" s="580"/>
      <c r="AN162" s="580"/>
      <c r="AO162" s="580"/>
      <c r="AP162" s="580"/>
      <c r="AQ162" s="580"/>
      <c r="AR162" s="580"/>
      <c r="AS162" s="580"/>
      <c r="AT162" s="580"/>
      <c r="AU162" s="580"/>
      <c r="AV162" s="580"/>
      <c r="AW162" s="580"/>
      <c r="AX162" s="580"/>
      <c r="AY162" s="580"/>
      <c r="AZ162" s="580"/>
      <c r="BA162" s="580"/>
      <c r="BB162" s="580"/>
      <c r="BC162" s="580"/>
      <c r="BD162" s="580"/>
      <c r="BE162" s="580"/>
      <c r="BF162" s="580"/>
      <c r="BG162" s="580"/>
      <c r="BH162" s="580"/>
      <c r="BI162" s="580"/>
      <c r="BJ162" s="580"/>
      <c r="BK162" s="580"/>
      <c r="BL162" s="580"/>
      <c r="BM162" s="580"/>
      <c r="BN162" s="580"/>
      <c r="BO162" s="581"/>
      <c r="BP162" s="580"/>
      <c r="BQ162" s="581"/>
      <c r="BR162" s="580"/>
      <c r="BS162" s="580"/>
      <c r="BT162" s="580"/>
      <c r="BU162" s="580"/>
      <c r="BV162" s="580"/>
      <c r="BW162" s="580"/>
      <c r="BX162" s="580"/>
      <c r="BY162" s="581"/>
      <c r="BZ162" s="580"/>
      <c r="CA162" s="581"/>
      <c r="CB162" s="580"/>
      <c r="CC162" s="580"/>
      <c r="CD162" s="580"/>
      <c r="CE162" s="580"/>
      <c r="CF162" s="580"/>
      <c r="CG162" s="580"/>
    </row>
    <row r="163" spans="1:85" ht="24" customHeight="1">
      <c r="A163" s="580"/>
      <c r="B163" s="580"/>
      <c r="C163" s="580"/>
      <c r="D163" s="580"/>
      <c r="E163" s="580"/>
      <c r="F163" s="580"/>
      <c r="G163" s="580"/>
      <c r="H163" s="580"/>
      <c r="I163" s="580"/>
      <c r="J163" s="580"/>
      <c r="K163" s="581"/>
      <c r="L163" s="580"/>
      <c r="M163" s="580"/>
      <c r="N163" s="580"/>
      <c r="O163" s="580"/>
      <c r="P163" s="580"/>
      <c r="Q163" s="580"/>
      <c r="R163" s="580"/>
      <c r="S163" s="580"/>
      <c r="T163" s="580"/>
      <c r="U163" s="580"/>
      <c r="V163" s="580"/>
      <c r="W163" s="580"/>
      <c r="X163" s="580"/>
      <c r="Y163" s="580"/>
      <c r="Z163" s="580"/>
      <c r="AA163" s="580"/>
      <c r="AB163" s="580"/>
      <c r="AC163" s="580"/>
      <c r="AD163" s="580"/>
      <c r="AE163" s="581"/>
      <c r="AF163" s="580"/>
      <c r="AG163" s="581"/>
      <c r="AH163" s="580"/>
      <c r="AI163" s="580"/>
      <c r="AJ163" s="580"/>
      <c r="AK163" s="580"/>
      <c r="AL163" s="580"/>
      <c r="AM163" s="580"/>
      <c r="AN163" s="580"/>
      <c r="AO163" s="580"/>
      <c r="AP163" s="580"/>
      <c r="AQ163" s="580"/>
      <c r="AR163" s="580"/>
      <c r="AS163" s="580"/>
      <c r="AT163" s="580"/>
      <c r="AU163" s="580"/>
      <c r="AV163" s="580"/>
      <c r="AW163" s="580"/>
      <c r="AX163" s="580"/>
      <c r="AY163" s="580"/>
      <c r="AZ163" s="580"/>
      <c r="BA163" s="580"/>
      <c r="BB163" s="580"/>
      <c r="BC163" s="580"/>
      <c r="BD163" s="580"/>
      <c r="BE163" s="580"/>
      <c r="BF163" s="580"/>
      <c r="BG163" s="580"/>
      <c r="BH163" s="580"/>
      <c r="BI163" s="580"/>
      <c r="BJ163" s="580"/>
      <c r="BK163" s="580"/>
      <c r="BL163" s="580"/>
      <c r="BM163" s="580"/>
      <c r="BN163" s="580"/>
      <c r="BO163" s="581"/>
      <c r="BP163" s="580"/>
      <c r="BQ163" s="581"/>
      <c r="BR163" s="580"/>
      <c r="BS163" s="580"/>
      <c r="BT163" s="580"/>
      <c r="BU163" s="580"/>
      <c r="BV163" s="580"/>
      <c r="BW163" s="580"/>
      <c r="BX163" s="580"/>
      <c r="BY163" s="581"/>
      <c r="BZ163" s="580"/>
      <c r="CA163" s="581"/>
      <c r="CB163" s="580"/>
      <c r="CC163" s="580"/>
      <c r="CD163" s="580"/>
      <c r="CE163" s="580"/>
      <c r="CF163" s="580"/>
      <c r="CG163" s="580"/>
    </row>
    <row r="164" spans="1:85" ht="24" customHeight="1">
      <c r="A164" s="580"/>
      <c r="B164" s="580"/>
      <c r="C164" s="580"/>
      <c r="D164" s="580"/>
      <c r="E164" s="580"/>
      <c r="F164" s="580"/>
      <c r="G164" s="580"/>
      <c r="H164" s="580"/>
      <c r="I164" s="580"/>
      <c r="J164" s="580"/>
      <c r="K164" s="581"/>
      <c r="L164" s="580"/>
      <c r="M164" s="580"/>
      <c r="N164" s="580"/>
      <c r="O164" s="580"/>
      <c r="P164" s="580"/>
      <c r="Q164" s="580"/>
      <c r="R164" s="580"/>
      <c r="S164" s="580"/>
      <c r="T164" s="580"/>
      <c r="U164" s="580"/>
      <c r="V164" s="580"/>
      <c r="W164" s="580"/>
      <c r="X164" s="580"/>
      <c r="Y164" s="580"/>
      <c r="Z164" s="580"/>
      <c r="AA164" s="580"/>
      <c r="AB164" s="580"/>
      <c r="AC164" s="580"/>
      <c r="AD164" s="580"/>
      <c r="AE164" s="581"/>
      <c r="AF164" s="580"/>
      <c r="AG164" s="581"/>
      <c r="AH164" s="580"/>
      <c r="AI164" s="580"/>
      <c r="AJ164" s="580"/>
      <c r="AK164" s="580"/>
      <c r="AL164" s="580"/>
      <c r="AM164" s="580"/>
      <c r="AN164" s="580"/>
      <c r="AO164" s="580"/>
      <c r="AP164" s="580"/>
      <c r="AQ164" s="580"/>
      <c r="AR164" s="580"/>
      <c r="AS164" s="580"/>
      <c r="AT164" s="580"/>
      <c r="AU164" s="580"/>
      <c r="AV164" s="580"/>
      <c r="AW164" s="580"/>
      <c r="AX164" s="580"/>
      <c r="AY164" s="580"/>
      <c r="AZ164" s="580"/>
      <c r="BA164" s="580"/>
      <c r="BB164" s="580"/>
      <c r="BC164" s="580"/>
      <c r="BD164" s="580"/>
      <c r="BE164" s="580"/>
      <c r="BF164" s="580"/>
      <c r="BG164" s="580"/>
      <c r="BH164" s="580"/>
      <c r="BI164" s="580"/>
      <c r="BJ164" s="580"/>
      <c r="BK164" s="580"/>
      <c r="BL164" s="580"/>
      <c r="BM164" s="580"/>
      <c r="BN164" s="580"/>
      <c r="BO164" s="581"/>
      <c r="BP164" s="580"/>
      <c r="BQ164" s="581"/>
      <c r="BR164" s="580"/>
      <c r="BS164" s="580"/>
      <c r="BT164" s="580"/>
      <c r="BU164" s="580"/>
      <c r="BV164" s="580"/>
      <c r="BW164" s="580"/>
      <c r="BX164" s="580"/>
      <c r="BY164" s="581"/>
      <c r="BZ164" s="580"/>
      <c r="CA164" s="581"/>
      <c r="CB164" s="580"/>
      <c r="CC164" s="580"/>
      <c r="CD164" s="580"/>
      <c r="CE164" s="580"/>
      <c r="CF164" s="580"/>
      <c r="CG164" s="580"/>
    </row>
    <row r="165" spans="1:85" ht="24" customHeight="1">
      <c r="A165" s="580"/>
      <c r="B165" s="580"/>
      <c r="C165" s="580"/>
      <c r="D165" s="580"/>
      <c r="E165" s="580"/>
      <c r="F165" s="580"/>
      <c r="G165" s="580"/>
      <c r="H165" s="580"/>
      <c r="I165" s="580"/>
      <c r="J165" s="580"/>
      <c r="K165" s="581"/>
      <c r="L165" s="580"/>
      <c r="M165" s="580"/>
      <c r="N165" s="580"/>
      <c r="O165" s="580"/>
      <c r="P165" s="580"/>
      <c r="Q165" s="580"/>
      <c r="R165" s="580"/>
      <c r="S165" s="580"/>
      <c r="T165" s="580"/>
      <c r="U165" s="580"/>
      <c r="V165" s="580"/>
      <c r="W165" s="580"/>
      <c r="X165" s="580"/>
      <c r="Y165" s="580"/>
      <c r="Z165" s="580"/>
      <c r="AA165" s="580"/>
      <c r="AB165" s="580"/>
      <c r="AC165" s="580"/>
      <c r="AD165" s="580"/>
      <c r="AE165" s="581"/>
      <c r="AF165" s="580"/>
      <c r="AG165" s="581"/>
      <c r="AH165" s="580"/>
      <c r="AI165" s="580"/>
      <c r="AJ165" s="580"/>
      <c r="AK165" s="580"/>
      <c r="AL165" s="580"/>
      <c r="AM165" s="580"/>
      <c r="AN165" s="580"/>
      <c r="AO165" s="580"/>
      <c r="AP165" s="580"/>
      <c r="AQ165" s="580"/>
      <c r="AR165" s="580"/>
      <c r="AS165" s="580"/>
      <c r="AT165" s="580"/>
      <c r="AU165" s="580"/>
      <c r="AV165" s="580"/>
      <c r="AW165" s="580"/>
      <c r="AX165" s="580"/>
      <c r="AY165" s="580"/>
      <c r="AZ165" s="580"/>
      <c r="BA165" s="580"/>
      <c r="BB165" s="580"/>
      <c r="BC165" s="580"/>
      <c r="BD165" s="580"/>
      <c r="BE165" s="580"/>
      <c r="BF165" s="580"/>
      <c r="BG165" s="580"/>
      <c r="BH165" s="580"/>
      <c r="BI165" s="580"/>
      <c r="BJ165" s="580"/>
      <c r="BK165" s="580"/>
      <c r="BL165" s="580"/>
      <c r="BM165" s="580"/>
      <c r="BN165" s="580"/>
      <c r="BO165" s="581"/>
      <c r="BP165" s="580"/>
      <c r="BQ165" s="581"/>
      <c r="BR165" s="580"/>
      <c r="BS165" s="580"/>
      <c r="BT165" s="580"/>
      <c r="BU165" s="580"/>
      <c r="BV165" s="580"/>
      <c r="BW165" s="580"/>
      <c r="BX165" s="580"/>
      <c r="BY165" s="581"/>
      <c r="BZ165" s="580"/>
      <c r="CA165" s="581"/>
      <c r="CB165" s="580"/>
      <c r="CC165" s="580"/>
      <c r="CD165" s="580"/>
      <c r="CE165" s="580"/>
      <c r="CF165" s="580"/>
      <c r="CG165" s="580"/>
    </row>
    <row r="166" spans="1:85" ht="24" customHeight="1">
      <c r="A166" s="580"/>
      <c r="B166" s="580"/>
      <c r="C166" s="580"/>
      <c r="D166" s="580"/>
      <c r="E166" s="580"/>
      <c r="F166" s="580"/>
      <c r="G166" s="580"/>
      <c r="H166" s="580"/>
      <c r="I166" s="580"/>
      <c r="J166" s="580"/>
      <c r="K166" s="581"/>
      <c r="L166" s="580"/>
      <c r="M166" s="580"/>
      <c r="N166" s="580"/>
      <c r="O166" s="580"/>
      <c r="P166" s="580"/>
      <c r="Q166" s="580"/>
      <c r="R166" s="580"/>
      <c r="S166" s="580"/>
      <c r="T166" s="580"/>
      <c r="U166" s="580"/>
      <c r="V166" s="580"/>
      <c r="W166" s="580"/>
      <c r="X166" s="580"/>
      <c r="Y166" s="580"/>
      <c r="Z166" s="580"/>
      <c r="AA166" s="580"/>
      <c r="AB166" s="580"/>
      <c r="AC166" s="580"/>
      <c r="AD166" s="580"/>
      <c r="AE166" s="581"/>
      <c r="AF166" s="580"/>
      <c r="AG166" s="581"/>
      <c r="AH166" s="580"/>
      <c r="AI166" s="580"/>
      <c r="AJ166" s="580"/>
      <c r="AK166" s="580"/>
      <c r="AL166" s="580"/>
      <c r="AM166" s="580"/>
      <c r="AN166" s="580"/>
      <c r="AO166" s="580"/>
      <c r="AP166" s="580"/>
      <c r="AQ166" s="580"/>
      <c r="AR166" s="580"/>
      <c r="AS166" s="580"/>
      <c r="AT166" s="580"/>
      <c r="AU166" s="580"/>
      <c r="AV166" s="580"/>
      <c r="AW166" s="580"/>
      <c r="AX166" s="580"/>
      <c r="AY166" s="580"/>
      <c r="AZ166" s="580"/>
      <c r="BA166" s="580"/>
      <c r="BB166" s="580"/>
      <c r="BC166" s="580"/>
      <c r="BD166" s="580"/>
      <c r="BE166" s="580"/>
      <c r="BF166" s="580"/>
      <c r="BG166" s="580"/>
      <c r="BH166" s="580"/>
      <c r="BI166" s="580"/>
      <c r="BJ166" s="580"/>
      <c r="BK166" s="580"/>
      <c r="BL166" s="580"/>
      <c r="BM166" s="580"/>
      <c r="BN166" s="580"/>
      <c r="BO166" s="581"/>
      <c r="BP166" s="580"/>
      <c r="BQ166" s="581"/>
      <c r="BR166" s="580"/>
      <c r="BS166" s="580"/>
      <c r="BT166" s="580"/>
      <c r="BU166" s="580"/>
      <c r="BV166" s="580"/>
      <c r="BW166" s="580"/>
      <c r="BX166" s="580"/>
      <c r="BY166" s="581"/>
      <c r="BZ166" s="580"/>
      <c r="CA166" s="581"/>
      <c r="CB166" s="580"/>
      <c r="CC166" s="580"/>
      <c r="CD166" s="580"/>
      <c r="CE166" s="580"/>
      <c r="CF166" s="580"/>
      <c r="CG166" s="580"/>
    </row>
    <row r="167" spans="1:85" ht="24" customHeight="1">
      <c r="A167" s="580"/>
      <c r="B167" s="580"/>
      <c r="C167" s="580"/>
      <c r="D167" s="580"/>
      <c r="E167" s="580"/>
      <c r="F167" s="580"/>
      <c r="G167" s="580"/>
      <c r="H167" s="580"/>
      <c r="I167" s="580"/>
      <c r="J167" s="580"/>
      <c r="K167" s="581"/>
      <c r="L167" s="580"/>
      <c r="M167" s="580"/>
      <c r="N167" s="580"/>
      <c r="O167" s="580"/>
      <c r="P167" s="580"/>
      <c r="Q167" s="580"/>
      <c r="R167" s="580"/>
      <c r="S167" s="580"/>
      <c r="T167" s="580"/>
      <c r="U167" s="580"/>
      <c r="V167" s="580"/>
      <c r="W167" s="580"/>
      <c r="X167" s="580"/>
      <c r="Y167" s="580"/>
      <c r="Z167" s="580"/>
      <c r="AA167" s="580"/>
      <c r="AB167" s="580"/>
      <c r="AC167" s="580"/>
      <c r="AD167" s="580"/>
      <c r="AE167" s="581"/>
      <c r="AF167" s="580"/>
      <c r="AG167" s="581"/>
      <c r="AH167" s="580"/>
      <c r="AI167" s="580"/>
      <c r="AJ167" s="580"/>
      <c r="AK167" s="580"/>
      <c r="AL167" s="580"/>
      <c r="AM167" s="580"/>
      <c r="AN167" s="580"/>
      <c r="AO167" s="580"/>
      <c r="AP167" s="580"/>
      <c r="AQ167" s="580"/>
      <c r="AR167" s="580"/>
      <c r="AS167" s="580"/>
      <c r="AT167" s="580"/>
      <c r="AU167" s="580"/>
      <c r="AV167" s="580"/>
      <c r="AW167" s="580"/>
      <c r="AX167" s="580"/>
      <c r="AY167" s="580"/>
      <c r="AZ167" s="580"/>
      <c r="BA167" s="580"/>
      <c r="BB167" s="580"/>
      <c r="BC167" s="580"/>
      <c r="BD167" s="580"/>
      <c r="BE167" s="580"/>
      <c r="BF167" s="580"/>
      <c r="BG167" s="580"/>
      <c r="BH167" s="580"/>
      <c r="BI167" s="580"/>
      <c r="BJ167" s="580"/>
      <c r="BK167" s="580"/>
      <c r="BL167" s="580"/>
      <c r="BM167" s="580"/>
      <c r="BN167" s="580"/>
      <c r="BO167" s="581"/>
      <c r="BP167" s="580"/>
      <c r="BQ167" s="581"/>
      <c r="BR167" s="580"/>
      <c r="BS167" s="580"/>
      <c r="BT167" s="580"/>
      <c r="BU167" s="580"/>
      <c r="BV167" s="580"/>
      <c r="BW167" s="580"/>
      <c r="BX167" s="580"/>
      <c r="BY167" s="581"/>
      <c r="BZ167" s="580"/>
      <c r="CA167" s="581"/>
      <c r="CB167" s="580"/>
      <c r="CC167" s="580"/>
      <c r="CD167" s="580"/>
      <c r="CE167" s="580"/>
      <c r="CF167" s="580"/>
      <c r="CG167" s="580"/>
    </row>
    <row r="168" spans="1:85" ht="24" customHeight="1">
      <c r="A168" s="580"/>
      <c r="B168" s="580"/>
      <c r="C168" s="580"/>
      <c r="D168" s="580"/>
      <c r="E168" s="580"/>
      <c r="F168" s="580"/>
      <c r="G168" s="580"/>
      <c r="H168" s="580"/>
      <c r="I168" s="580"/>
      <c r="J168" s="580"/>
      <c r="K168" s="581"/>
      <c r="L168" s="580"/>
      <c r="M168" s="580"/>
      <c r="N168" s="580"/>
      <c r="O168" s="580"/>
      <c r="P168" s="580"/>
      <c r="Q168" s="580"/>
      <c r="R168" s="580"/>
      <c r="S168" s="580"/>
      <c r="T168" s="580"/>
      <c r="U168" s="580"/>
      <c r="V168" s="580"/>
      <c r="W168" s="580"/>
      <c r="X168" s="580"/>
      <c r="Y168" s="580"/>
      <c r="Z168" s="580"/>
      <c r="AA168" s="580"/>
      <c r="AB168" s="580"/>
      <c r="AC168" s="580"/>
      <c r="AD168" s="580"/>
      <c r="AE168" s="581"/>
      <c r="AF168" s="580"/>
      <c r="AG168" s="581"/>
      <c r="AH168" s="580"/>
      <c r="AI168" s="580"/>
      <c r="AJ168" s="580"/>
      <c r="AK168" s="580"/>
      <c r="AL168" s="580"/>
      <c r="AM168" s="580"/>
      <c r="AN168" s="580"/>
      <c r="AO168" s="580"/>
      <c r="AP168" s="580"/>
      <c r="AQ168" s="580"/>
      <c r="AR168" s="580"/>
      <c r="AS168" s="580"/>
      <c r="AT168" s="580"/>
      <c r="AU168" s="580"/>
      <c r="AV168" s="580"/>
      <c r="AW168" s="580"/>
      <c r="AX168" s="580"/>
      <c r="AY168" s="580"/>
      <c r="AZ168" s="580"/>
      <c r="BA168" s="580"/>
      <c r="BB168" s="580"/>
      <c r="BC168" s="580"/>
      <c r="BD168" s="580"/>
      <c r="BE168" s="580"/>
      <c r="BF168" s="580"/>
      <c r="BG168" s="580"/>
      <c r="BH168" s="580"/>
      <c r="BI168" s="580"/>
      <c r="BJ168" s="580"/>
      <c r="BK168" s="580"/>
      <c r="BL168" s="580"/>
      <c r="BM168" s="580"/>
      <c r="BN168" s="580"/>
      <c r="BO168" s="581"/>
      <c r="BP168" s="580"/>
      <c r="BQ168" s="581"/>
      <c r="BR168" s="580"/>
      <c r="BS168" s="580"/>
      <c r="BT168" s="580"/>
      <c r="BU168" s="580"/>
      <c r="BV168" s="580"/>
      <c r="BW168" s="580"/>
      <c r="BX168" s="580"/>
      <c r="BY168" s="581"/>
      <c r="BZ168" s="580"/>
      <c r="CA168" s="581"/>
      <c r="CB168" s="580"/>
      <c r="CC168" s="580"/>
      <c r="CD168" s="580"/>
      <c r="CE168" s="580"/>
      <c r="CF168" s="580"/>
      <c r="CG168" s="580"/>
    </row>
    <row r="169" spans="1:85" ht="24" customHeight="1">
      <c r="A169" s="580"/>
      <c r="B169" s="580"/>
      <c r="C169" s="580"/>
      <c r="D169" s="580"/>
      <c r="E169" s="580"/>
      <c r="F169" s="580"/>
      <c r="G169" s="580"/>
      <c r="H169" s="580"/>
      <c r="I169" s="580"/>
      <c r="J169" s="580"/>
      <c r="K169" s="581"/>
      <c r="L169" s="580"/>
      <c r="M169" s="580"/>
      <c r="N169" s="580"/>
      <c r="O169" s="580"/>
      <c r="P169" s="580"/>
      <c r="Q169" s="580"/>
      <c r="R169" s="580"/>
      <c r="S169" s="580"/>
      <c r="T169" s="580"/>
      <c r="U169" s="580"/>
      <c r="V169" s="580"/>
      <c r="W169" s="580"/>
      <c r="X169" s="580"/>
      <c r="Y169" s="580"/>
      <c r="Z169" s="580"/>
      <c r="AA169" s="580"/>
      <c r="AB169" s="580"/>
      <c r="AC169" s="580"/>
      <c r="AD169" s="580"/>
      <c r="AE169" s="581"/>
      <c r="AF169" s="580"/>
      <c r="AG169" s="581"/>
      <c r="AH169" s="580"/>
      <c r="AI169" s="580"/>
      <c r="AJ169" s="580"/>
      <c r="AK169" s="580"/>
      <c r="AL169" s="580"/>
      <c r="AM169" s="580"/>
      <c r="AN169" s="580"/>
      <c r="AO169" s="580"/>
      <c r="AP169" s="580"/>
      <c r="AQ169" s="580"/>
      <c r="AR169" s="580"/>
      <c r="AS169" s="580"/>
      <c r="AT169" s="580"/>
      <c r="AU169" s="580"/>
      <c r="AV169" s="580"/>
      <c r="AW169" s="580"/>
      <c r="AX169" s="580"/>
      <c r="AY169" s="580"/>
      <c r="AZ169" s="580"/>
      <c r="BA169" s="580"/>
      <c r="BB169" s="580"/>
      <c r="BC169" s="580"/>
      <c r="BD169" s="580"/>
      <c r="BE169" s="580"/>
      <c r="BF169" s="580"/>
      <c r="BG169" s="580"/>
      <c r="BH169" s="580"/>
      <c r="BI169" s="580"/>
      <c r="BJ169" s="580"/>
      <c r="BK169" s="580"/>
      <c r="BL169" s="580"/>
      <c r="BM169" s="580"/>
      <c r="BN169" s="580"/>
      <c r="BO169" s="581"/>
      <c r="BP169" s="580"/>
      <c r="BQ169" s="581"/>
      <c r="BR169" s="580"/>
      <c r="BS169" s="580"/>
      <c r="BT169" s="580"/>
      <c r="BU169" s="580"/>
      <c r="BV169" s="580"/>
      <c r="BW169" s="580"/>
      <c r="BX169" s="580"/>
      <c r="BY169" s="581"/>
      <c r="BZ169" s="580"/>
      <c r="CA169" s="581"/>
      <c r="CB169" s="580"/>
      <c r="CC169" s="580"/>
      <c r="CD169" s="580"/>
      <c r="CE169" s="580"/>
      <c r="CF169" s="580"/>
      <c r="CG169" s="580"/>
    </row>
    <row r="170" spans="1:85" ht="24" customHeight="1">
      <c r="A170" s="580"/>
      <c r="B170" s="580"/>
      <c r="C170" s="580"/>
      <c r="D170" s="580"/>
      <c r="E170" s="580"/>
      <c r="F170" s="580"/>
      <c r="G170" s="580"/>
      <c r="H170" s="580"/>
      <c r="I170" s="580"/>
      <c r="J170" s="580"/>
      <c r="K170" s="581"/>
      <c r="L170" s="580"/>
      <c r="M170" s="580"/>
      <c r="N170" s="580"/>
      <c r="O170" s="580"/>
      <c r="P170" s="580"/>
      <c r="Q170" s="580"/>
      <c r="R170" s="580"/>
      <c r="S170" s="580"/>
      <c r="T170" s="580"/>
      <c r="U170" s="580"/>
      <c r="V170" s="580"/>
      <c r="W170" s="580"/>
      <c r="X170" s="580"/>
      <c r="Y170" s="580"/>
      <c r="Z170" s="580"/>
      <c r="AA170" s="580"/>
      <c r="AB170" s="580"/>
      <c r="AC170" s="580"/>
      <c r="AD170" s="580"/>
      <c r="AE170" s="581"/>
      <c r="AF170" s="580"/>
      <c r="AG170" s="581"/>
      <c r="AH170" s="580"/>
      <c r="AI170" s="580"/>
      <c r="AJ170" s="580"/>
      <c r="AK170" s="580"/>
      <c r="AL170" s="580"/>
      <c r="AM170" s="580"/>
      <c r="AN170" s="580"/>
      <c r="AO170" s="580"/>
      <c r="AP170" s="580"/>
      <c r="AQ170" s="580"/>
      <c r="AR170" s="580"/>
      <c r="AS170" s="580"/>
      <c r="AT170" s="580"/>
      <c r="AU170" s="580"/>
      <c r="AV170" s="580"/>
      <c r="AW170" s="580"/>
      <c r="AX170" s="580"/>
      <c r="AY170" s="580"/>
      <c r="AZ170" s="580"/>
      <c r="BA170" s="580"/>
      <c r="BB170" s="580"/>
      <c r="BC170" s="580"/>
      <c r="BD170" s="580"/>
      <c r="BE170" s="580"/>
      <c r="BF170" s="580"/>
      <c r="BG170" s="580"/>
      <c r="BH170" s="580"/>
      <c r="BI170" s="580"/>
      <c r="BJ170" s="580"/>
      <c r="BK170" s="580"/>
      <c r="BL170" s="580"/>
      <c r="BM170" s="580"/>
      <c r="BN170" s="580"/>
      <c r="BO170" s="581"/>
      <c r="BP170" s="580"/>
      <c r="BQ170" s="581"/>
      <c r="BR170" s="580"/>
      <c r="BS170" s="580"/>
      <c r="BT170" s="580"/>
      <c r="BU170" s="580"/>
      <c r="BV170" s="580"/>
      <c r="BW170" s="580"/>
      <c r="BX170" s="580"/>
      <c r="BY170" s="581"/>
      <c r="BZ170" s="580"/>
      <c r="CA170" s="581"/>
      <c r="CB170" s="580"/>
      <c r="CC170" s="580"/>
      <c r="CD170" s="580"/>
      <c r="CE170" s="580"/>
      <c r="CF170" s="580"/>
      <c r="CG170" s="580"/>
    </row>
    <row r="171" spans="1:85" ht="24" customHeight="1">
      <c r="A171" s="580"/>
      <c r="B171" s="580"/>
      <c r="C171" s="580"/>
      <c r="D171" s="580"/>
      <c r="E171" s="580"/>
      <c r="F171" s="580"/>
      <c r="G171" s="580"/>
      <c r="H171" s="580"/>
      <c r="I171" s="580"/>
      <c r="J171" s="580"/>
      <c r="K171" s="581"/>
      <c r="L171" s="580"/>
      <c r="M171" s="580"/>
      <c r="N171" s="580"/>
      <c r="O171" s="580"/>
      <c r="P171" s="580"/>
      <c r="Q171" s="580"/>
      <c r="R171" s="580"/>
      <c r="S171" s="580"/>
      <c r="T171" s="580"/>
      <c r="U171" s="580"/>
      <c r="V171" s="580"/>
      <c r="W171" s="580"/>
      <c r="X171" s="580"/>
      <c r="Y171" s="580"/>
      <c r="Z171" s="580"/>
      <c r="AA171" s="580"/>
      <c r="AB171" s="580"/>
      <c r="AC171" s="580"/>
      <c r="AD171" s="580"/>
      <c r="AE171" s="581"/>
      <c r="AF171" s="580"/>
      <c r="AG171" s="581"/>
      <c r="AH171" s="580"/>
      <c r="AI171" s="580"/>
      <c r="AJ171" s="580"/>
      <c r="AK171" s="580"/>
      <c r="AL171" s="580"/>
      <c r="AM171" s="580"/>
      <c r="AN171" s="580"/>
      <c r="AO171" s="580"/>
      <c r="AP171" s="580"/>
      <c r="AQ171" s="580"/>
      <c r="AR171" s="580"/>
      <c r="AS171" s="580"/>
      <c r="AT171" s="580"/>
      <c r="AU171" s="580"/>
      <c r="AV171" s="580"/>
      <c r="AW171" s="580"/>
      <c r="AX171" s="580"/>
      <c r="AY171" s="580"/>
      <c r="AZ171" s="580"/>
      <c r="BA171" s="580"/>
      <c r="BB171" s="580"/>
      <c r="BC171" s="580"/>
      <c r="BD171" s="580"/>
      <c r="BE171" s="580"/>
      <c r="BF171" s="580"/>
      <c r="BG171" s="580"/>
      <c r="BH171" s="580"/>
      <c r="BI171" s="580"/>
      <c r="BJ171" s="580"/>
      <c r="BK171" s="580"/>
      <c r="BL171" s="580"/>
      <c r="BM171" s="580"/>
      <c r="BN171" s="580"/>
      <c r="BO171" s="581"/>
      <c r="BP171" s="580"/>
      <c r="BQ171" s="581"/>
      <c r="BR171" s="580"/>
      <c r="BS171" s="580"/>
      <c r="BT171" s="580"/>
      <c r="BU171" s="580"/>
      <c r="BV171" s="580"/>
      <c r="BW171" s="580"/>
      <c r="BX171" s="580"/>
      <c r="BY171" s="581"/>
      <c r="BZ171" s="580"/>
      <c r="CA171" s="581"/>
      <c r="CB171" s="580"/>
      <c r="CC171" s="580"/>
      <c r="CD171" s="580"/>
      <c r="CE171" s="580"/>
      <c r="CF171" s="580"/>
      <c r="CG171" s="580"/>
    </row>
    <row r="172" spans="1:85" ht="24" customHeight="1">
      <c r="A172" s="580"/>
      <c r="B172" s="580"/>
      <c r="C172" s="580"/>
      <c r="D172" s="580"/>
      <c r="E172" s="580"/>
      <c r="F172" s="580"/>
      <c r="G172" s="580"/>
      <c r="H172" s="580"/>
      <c r="I172" s="580"/>
      <c r="J172" s="580"/>
      <c r="K172" s="581"/>
      <c r="L172" s="580"/>
      <c r="M172" s="580"/>
      <c r="N172" s="580"/>
      <c r="O172" s="580"/>
      <c r="P172" s="580"/>
      <c r="Q172" s="580"/>
      <c r="R172" s="580"/>
      <c r="S172" s="580"/>
      <c r="T172" s="580"/>
      <c r="U172" s="580"/>
      <c r="V172" s="580"/>
      <c r="W172" s="580"/>
      <c r="X172" s="580"/>
      <c r="Y172" s="580"/>
      <c r="Z172" s="580"/>
      <c r="AA172" s="580"/>
      <c r="AB172" s="580"/>
      <c r="AC172" s="580"/>
      <c r="AD172" s="580"/>
      <c r="AE172" s="581"/>
      <c r="AF172" s="580"/>
      <c r="AG172" s="581"/>
      <c r="AH172" s="580"/>
      <c r="AI172" s="580"/>
      <c r="AJ172" s="580"/>
      <c r="AK172" s="580"/>
      <c r="AL172" s="580"/>
      <c r="AM172" s="580"/>
      <c r="AN172" s="580"/>
      <c r="AO172" s="580"/>
      <c r="AP172" s="580"/>
      <c r="AQ172" s="580"/>
      <c r="AR172" s="580"/>
      <c r="AS172" s="580"/>
      <c r="AT172" s="580"/>
      <c r="AU172" s="580"/>
      <c r="AV172" s="580"/>
      <c r="AW172" s="580"/>
      <c r="AX172" s="580"/>
      <c r="AY172" s="580"/>
      <c r="AZ172" s="580"/>
      <c r="BA172" s="580"/>
      <c r="BB172" s="580"/>
      <c r="BC172" s="580"/>
      <c r="BD172" s="580"/>
      <c r="BE172" s="580"/>
      <c r="BF172" s="580"/>
      <c r="BG172" s="580"/>
      <c r="BH172" s="580"/>
      <c r="BI172" s="580"/>
      <c r="BJ172" s="580"/>
      <c r="BK172" s="580"/>
      <c r="BL172" s="580"/>
      <c r="BM172" s="580"/>
      <c r="BN172" s="580"/>
      <c r="BO172" s="581"/>
      <c r="BP172" s="580"/>
      <c r="BQ172" s="581"/>
      <c r="BR172" s="580"/>
      <c r="BS172" s="580"/>
      <c r="BT172" s="580"/>
      <c r="BU172" s="580"/>
      <c r="BV172" s="580"/>
      <c r="BW172" s="580"/>
      <c r="BX172" s="580"/>
      <c r="BY172" s="581"/>
      <c r="BZ172" s="580"/>
      <c r="CA172" s="581"/>
      <c r="CB172" s="580"/>
      <c r="CC172" s="580"/>
      <c r="CD172" s="580"/>
      <c r="CE172" s="580"/>
      <c r="CF172" s="580"/>
      <c r="CG172" s="580"/>
    </row>
    <row r="173" spans="1:85" ht="24" customHeight="1">
      <c r="A173" s="580"/>
      <c r="B173" s="580"/>
      <c r="C173" s="580"/>
      <c r="D173" s="580"/>
      <c r="E173" s="580"/>
      <c r="F173" s="580"/>
      <c r="G173" s="580"/>
      <c r="H173" s="580"/>
      <c r="I173" s="580"/>
      <c r="J173" s="580"/>
      <c r="K173" s="581"/>
      <c r="L173" s="580"/>
      <c r="M173" s="580"/>
      <c r="N173" s="580"/>
      <c r="O173" s="580"/>
      <c r="P173" s="580"/>
      <c r="Q173" s="580"/>
      <c r="R173" s="580"/>
      <c r="S173" s="580"/>
      <c r="T173" s="580"/>
      <c r="U173" s="580"/>
      <c r="V173" s="580"/>
      <c r="W173" s="580"/>
      <c r="X173" s="580"/>
      <c r="Y173" s="580"/>
      <c r="Z173" s="580"/>
      <c r="AA173" s="580"/>
      <c r="AB173" s="580"/>
      <c r="AC173" s="580"/>
      <c r="AD173" s="580"/>
      <c r="AE173" s="581"/>
      <c r="AF173" s="580"/>
      <c r="AG173" s="581"/>
      <c r="AH173" s="580"/>
      <c r="AI173" s="580"/>
      <c r="AJ173" s="580"/>
      <c r="AK173" s="580"/>
      <c r="AL173" s="580"/>
      <c r="AM173" s="580"/>
      <c r="AN173" s="580"/>
      <c r="AO173" s="580"/>
      <c r="AP173" s="580"/>
      <c r="AQ173" s="580"/>
      <c r="AR173" s="580"/>
      <c r="AS173" s="580"/>
      <c r="AT173" s="580"/>
      <c r="AU173" s="580"/>
      <c r="AV173" s="580"/>
      <c r="AW173" s="580"/>
      <c r="AX173" s="580"/>
      <c r="AY173" s="580"/>
      <c r="AZ173" s="580"/>
      <c r="BA173" s="580"/>
      <c r="BB173" s="580"/>
      <c r="BC173" s="580"/>
      <c r="BD173" s="580"/>
      <c r="BE173" s="580"/>
      <c r="BF173" s="580"/>
      <c r="BG173" s="580"/>
      <c r="BH173" s="580"/>
      <c r="BI173" s="580"/>
      <c r="BJ173" s="580"/>
      <c r="BK173" s="580"/>
      <c r="BL173" s="580"/>
      <c r="BM173" s="580"/>
      <c r="BN173" s="580"/>
      <c r="BO173" s="581"/>
      <c r="BP173" s="580"/>
      <c r="BQ173" s="581"/>
      <c r="BR173" s="580"/>
      <c r="BS173" s="580"/>
      <c r="BT173" s="580"/>
      <c r="BU173" s="580"/>
      <c r="BV173" s="580"/>
      <c r="BW173" s="580"/>
      <c r="BX173" s="580"/>
      <c r="BY173" s="581"/>
      <c r="BZ173" s="580"/>
      <c r="CA173" s="581"/>
      <c r="CB173" s="580"/>
      <c r="CC173" s="580"/>
      <c r="CD173" s="580"/>
      <c r="CE173" s="580"/>
      <c r="CF173" s="580"/>
      <c r="CG173" s="580"/>
    </row>
    <row r="174" spans="1:85" ht="24" customHeight="1">
      <c r="A174" s="580"/>
      <c r="B174" s="580"/>
      <c r="C174" s="580"/>
      <c r="D174" s="580"/>
      <c r="E174" s="580"/>
      <c r="F174" s="580"/>
      <c r="G174" s="580"/>
      <c r="H174" s="580"/>
      <c r="I174" s="580"/>
      <c r="J174" s="580"/>
      <c r="K174" s="581"/>
      <c r="L174" s="580"/>
      <c r="M174" s="580"/>
      <c r="N174" s="580"/>
      <c r="O174" s="580"/>
      <c r="P174" s="580"/>
      <c r="Q174" s="580"/>
      <c r="R174" s="580"/>
      <c r="S174" s="580"/>
      <c r="T174" s="580"/>
      <c r="U174" s="580"/>
      <c r="V174" s="580"/>
      <c r="W174" s="580"/>
      <c r="X174" s="580"/>
      <c r="Y174" s="580"/>
      <c r="Z174" s="580"/>
      <c r="AA174" s="580"/>
      <c r="AB174" s="580"/>
      <c r="AC174" s="580"/>
      <c r="AD174" s="580"/>
      <c r="AE174" s="581"/>
      <c r="AF174" s="580"/>
      <c r="AG174" s="581"/>
      <c r="AH174" s="580"/>
      <c r="AI174" s="580"/>
      <c r="AJ174" s="580"/>
      <c r="AK174" s="580"/>
      <c r="AL174" s="580"/>
      <c r="AM174" s="580"/>
      <c r="AN174" s="580"/>
      <c r="AO174" s="580"/>
      <c r="AP174" s="580"/>
      <c r="AQ174" s="580"/>
      <c r="AR174" s="580"/>
      <c r="AS174" s="580"/>
      <c r="AT174" s="580"/>
      <c r="AU174" s="580"/>
      <c r="AV174" s="580"/>
      <c r="AW174" s="580"/>
      <c r="AX174" s="580"/>
      <c r="AY174" s="580"/>
      <c r="AZ174" s="580"/>
      <c r="BA174" s="580"/>
      <c r="BB174" s="580"/>
      <c r="BC174" s="580"/>
      <c r="BD174" s="580"/>
      <c r="BE174" s="580"/>
      <c r="BF174" s="580"/>
      <c r="BG174" s="580"/>
      <c r="BH174" s="580"/>
      <c r="BI174" s="580"/>
      <c r="BJ174" s="580"/>
      <c r="BK174" s="580"/>
      <c r="BL174" s="580"/>
      <c r="BM174" s="580"/>
      <c r="BN174" s="580"/>
      <c r="BO174" s="581"/>
      <c r="BP174" s="580"/>
      <c r="BQ174" s="581"/>
      <c r="BR174" s="580"/>
      <c r="BS174" s="580"/>
      <c r="BT174" s="580"/>
      <c r="BU174" s="580"/>
      <c r="BV174" s="580"/>
      <c r="BW174" s="580"/>
      <c r="BX174" s="580"/>
      <c r="BY174" s="581"/>
      <c r="BZ174" s="580"/>
      <c r="CA174" s="581"/>
      <c r="CB174" s="580"/>
      <c r="CC174" s="580"/>
      <c r="CD174" s="580"/>
      <c r="CE174" s="580"/>
      <c r="CF174" s="580"/>
      <c r="CG174" s="580"/>
    </row>
    <row r="175" spans="1:85" ht="24" customHeight="1">
      <c r="A175" s="580"/>
      <c r="B175" s="580"/>
      <c r="C175" s="580"/>
      <c r="D175" s="580"/>
      <c r="E175" s="580"/>
      <c r="F175" s="580"/>
      <c r="G175" s="580"/>
      <c r="H175" s="580"/>
      <c r="I175" s="580"/>
      <c r="J175" s="580"/>
      <c r="K175" s="581"/>
      <c r="L175" s="580"/>
      <c r="M175" s="580"/>
      <c r="N175" s="580"/>
      <c r="O175" s="580"/>
      <c r="P175" s="580"/>
      <c r="Q175" s="580"/>
      <c r="R175" s="580"/>
      <c r="S175" s="580"/>
      <c r="T175" s="580"/>
      <c r="U175" s="580"/>
      <c r="V175" s="580"/>
      <c r="W175" s="580"/>
      <c r="X175" s="580"/>
      <c r="Y175" s="580"/>
      <c r="Z175" s="580"/>
      <c r="AA175" s="580"/>
      <c r="AB175" s="580"/>
      <c r="AC175" s="580"/>
      <c r="AD175" s="580"/>
      <c r="AE175" s="581"/>
      <c r="AF175" s="580"/>
      <c r="AG175" s="581"/>
      <c r="AH175" s="580"/>
      <c r="AI175" s="580"/>
      <c r="AJ175" s="580"/>
      <c r="AK175" s="580"/>
      <c r="AL175" s="580"/>
      <c r="AM175" s="580"/>
      <c r="AN175" s="580"/>
      <c r="AO175" s="580"/>
      <c r="AP175" s="580"/>
      <c r="AQ175" s="580"/>
      <c r="AR175" s="580"/>
      <c r="AS175" s="580"/>
      <c r="AT175" s="580"/>
      <c r="AU175" s="580"/>
      <c r="AV175" s="580"/>
      <c r="AW175" s="580"/>
      <c r="AX175" s="580"/>
      <c r="AY175" s="580"/>
      <c r="AZ175" s="580"/>
      <c r="BA175" s="580"/>
      <c r="BB175" s="580"/>
      <c r="BC175" s="580"/>
      <c r="BD175" s="580"/>
      <c r="BE175" s="580"/>
      <c r="BF175" s="580"/>
      <c r="BG175" s="580"/>
      <c r="BH175" s="580"/>
      <c r="BI175" s="580"/>
      <c r="BJ175" s="580"/>
      <c r="BK175" s="580"/>
      <c r="BL175" s="580"/>
      <c r="BM175" s="580"/>
      <c r="BN175" s="580"/>
      <c r="BO175" s="581"/>
      <c r="BP175" s="580"/>
      <c r="BQ175" s="581"/>
      <c r="BR175" s="580"/>
      <c r="BS175" s="580"/>
      <c r="BT175" s="580"/>
      <c r="BU175" s="580"/>
      <c r="BV175" s="580"/>
      <c r="BW175" s="580"/>
      <c r="BX175" s="580"/>
      <c r="BY175" s="581"/>
      <c r="BZ175" s="580"/>
      <c r="CA175" s="581"/>
      <c r="CB175" s="580"/>
      <c r="CC175" s="580"/>
      <c r="CD175" s="580"/>
      <c r="CE175" s="580"/>
      <c r="CF175" s="580"/>
      <c r="CG175" s="580"/>
    </row>
    <row r="176" spans="1:85" ht="24" customHeight="1">
      <c r="A176" s="580"/>
      <c r="B176" s="580"/>
      <c r="C176" s="580"/>
      <c r="D176" s="580"/>
      <c r="E176" s="580"/>
      <c r="F176" s="580"/>
      <c r="G176" s="580"/>
      <c r="H176" s="580"/>
      <c r="I176" s="580"/>
      <c r="J176" s="580"/>
      <c r="K176" s="581"/>
      <c r="L176" s="580"/>
      <c r="M176" s="580"/>
      <c r="N176" s="580"/>
      <c r="O176" s="580"/>
      <c r="P176" s="580"/>
      <c r="Q176" s="580"/>
      <c r="R176" s="580"/>
      <c r="S176" s="580"/>
      <c r="T176" s="580"/>
      <c r="U176" s="580"/>
      <c r="V176" s="580"/>
      <c r="W176" s="580"/>
      <c r="X176" s="580"/>
      <c r="Y176" s="580"/>
      <c r="Z176" s="580"/>
      <c r="AA176" s="580"/>
      <c r="AB176" s="580"/>
      <c r="AC176" s="580"/>
      <c r="AD176" s="580"/>
      <c r="AE176" s="581"/>
      <c r="AF176" s="580"/>
      <c r="AG176" s="581"/>
      <c r="AH176" s="580"/>
      <c r="AI176" s="580"/>
      <c r="AJ176" s="580"/>
      <c r="AK176" s="580"/>
      <c r="AL176" s="580"/>
      <c r="AM176" s="580"/>
      <c r="AN176" s="580"/>
      <c r="AO176" s="580"/>
      <c r="AP176" s="580"/>
      <c r="AQ176" s="580"/>
      <c r="AR176" s="580"/>
      <c r="AS176" s="580"/>
      <c r="AT176" s="580"/>
      <c r="AU176" s="580"/>
      <c r="AV176" s="580"/>
      <c r="AW176" s="580"/>
      <c r="AX176" s="580"/>
      <c r="AY176" s="580"/>
      <c r="AZ176" s="580"/>
      <c r="BA176" s="580"/>
      <c r="BB176" s="580"/>
      <c r="BC176" s="580"/>
      <c r="BD176" s="580"/>
      <c r="BE176" s="580"/>
      <c r="BF176" s="580"/>
      <c r="BG176" s="580"/>
      <c r="BH176" s="580"/>
      <c r="BI176" s="580"/>
      <c r="BJ176" s="580"/>
      <c r="BK176" s="580"/>
      <c r="BL176" s="580"/>
      <c r="BM176" s="580"/>
      <c r="BN176" s="580"/>
      <c r="BO176" s="581"/>
      <c r="BP176" s="580"/>
      <c r="BQ176" s="581"/>
      <c r="BR176" s="580"/>
      <c r="BS176" s="580"/>
      <c r="BT176" s="580"/>
      <c r="BU176" s="580"/>
      <c r="BV176" s="580"/>
      <c r="BW176" s="580"/>
      <c r="BX176" s="580"/>
      <c r="BY176" s="581"/>
      <c r="BZ176" s="580"/>
      <c r="CA176" s="581"/>
      <c r="CB176" s="580"/>
      <c r="CC176" s="580"/>
      <c r="CD176" s="580"/>
      <c r="CE176" s="580"/>
      <c r="CF176" s="580"/>
      <c r="CG176" s="580"/>
    </row>
    <row r="177" spans="1:85" ht="24" customHeight="1">
      <c r="A177" s="580"/>
      <c r="B177" s="580"/>
      <c r="C177" s="580"/>
      <c r="D177" s="580"/>
      <c r="E177" s="580"/>
      <c r="F177" s="580"/>
      <c r="G177" s="580"/>
      <c r="H177" s="580"/>
      <c r="I177" s="580"/>
      <c r="J177" s="580"/>
      <c r="K177" s="581"/>
      <c r="L177" s="580"/>
      <c r="M177" s="580"/>
      <c r="N177" s="580"/>
      <c r="O177" s="580"/>
      <c r="P177" s="580"/>
      <c r="Q177" s="580"/>
      <c r="R177" s="580"/>
      <c r="S177" s="580"/>
      <c r="T177" s="580"/>
      <c r="U177" s="580"/>
      <c r="V177" s="580"/>
      <c r="W177" s="580"/>
      <c r="X177" s="580"/>
      <c r="Y177" s="580"/>
      <c r="Z177" s="580"/>
      <c r="AA177" s="580"/>
      <c r="AB177" s="580"/>
      <c r="AC177" s="580"/>
      <c r="AD177" s="580"/>
      <c r="AE177" s="581"/>
      <c r="AF177" s="580"/>
      <c r="AG177" s="581"/>
      <c r="AH177" s="580"/>
      <c r="AI177" s="580"/>
      <c r="AJ177" s="580"/>
      <c r="AK177" s="580"/>
      <c r="AL177" s="580"/>
      <c r="AM177" s="580"/>
      <c r="AN177" s="580"/>
      <c r="AO177" s="580"/>
      <c r="AP177" s="580"/>
      <c r="AQ177" s="580"/>
      <c r="AR177" s="580"/>
      <c r="AS177" s="580"/>
      <c r="AT177" s="580"/>
      <c r="AU177" s="580"/>
      <c r="AV177" s="580"/>
      <c r="AW177" s="580"/>
      <c r="AX177" s="580"/>
      <c r="AY177" s="580"/>
      <c r="AZ177" s="580"/>
      <c r="BA177" s="580"/>
      <c r="BB177" s="580"/>
      <c r="BC177" s="580"/>
      <c r="BD177" s="580"/>
      <c r="BE177" s="580"/>
      <c r="BF177" s="580"/>
      <c r="BG177" s="580"/>
      <c r="BH177" s="580"/>
      <c r="BI177" s="580"/>
      <c r="BJ177" s="580"/>
      <c r="BK177" s="580"/>
      <c r="BL177" s="580"/>
      <c r="BM177" s="580"/>
      <c r="BN177" s="580"/>
      <c r="BO177" s="581"/>
      <c r="BP177" s="580"/>
      <c r="BQ177" s="581"/>
      <c r="BR177" s="580"/>
      <c r="BS177" s="580"/>
      <c r="BT177" s="580"/>
      <c r="BU177" s="580"/>
      <c r="BV177" s="580"/>
      <c r="BW177" s="580"/>
      <c r="BX177" s="580"/>
      <c r="BY177" s="581"/>
      <c r="BZ177" s="580"/>
      <c r="CA177" s="581"/>
      <c r="CB177" s="580"/>
      <c r="CC177" s="580"/>
      <c r="CD177" s="580"/>
      <c r="CE177" s="580"/>
      <c r="CF177" s="580"/>
      <c r="CG177" s="580"/>
    </row>
    <row r="178" spans="1:85" ht="24" customHeight="1">
      <c r="A178" s="580"/>
      <c r="B178" s="580"/>
      <c r="C178" s="580"/>
      <c r="D178" s="580"/>
      <c r="E178" s="580"/>
      <c r="F178" s="580"/>
      <c r="G178" s="580"/>
      <c r="H178" s="580"/>
      <c r="I178" s="580"/>
      <c r="J178" s="580"/>
      <c r="K178" s="581"/>
      <c r="L178" s="580"/>
      <c r="M178" s="580"/>
      <c r="N178" s="580"/>
      <c r="O178" s="580"/>
      <c r="P178" s="580"/>
      <c r="Q178" s="580"/>
      <c r="R178" s="580"/>
      <c r="S178" s="580"/>
      <c r="T178" s="580"/>
      <c r="U178" s="580"/>
      <c r="V178" s="580"/>
      <c r="W178" s="580"/>
      <c r="X178" s="580"/>
      <c r="Y178" s="580"/>
      <c r="Z178" s="580"/>
      <c r="AA178" s="580"/>
      <c r="AB178" s="580"/>
      <c r="AC178" s="580"/>
      <c r="AD178" s="580"/>
      <c r="AE178" s="581"/>
      <c r="AF178" s="580"/>
      <c r="AG178" s="581"/>
      <c r="AH178" s="580"/>
      <c r="AI178" s="580"/>
      <c r="AJ178" s="580"/>
      <c r="AK178" s="580"/>
      <c r="AL178" s="580"/>
      <c r="AM178" s="580"/>
      <c r="AN178" s="580"/>
      <c r="AO178" s="580"/>
      <c r="AP178" s="580"/>
      <c r="AQ178" s="580"/>
      <c r="AR178" s="580"/>
      <c r="AS178" s="580"/>
      <c r="AT178" s="580"/>
      <c r="AU178" s="580"/>
      <c r="AV178" s="580"/>
      <c r="AW178" s="580"/>
      <c r="AX178" s="580"/>
      <c r="AY178" s="580"/>
      <c r="AZ178" s="580"/>
      <c r="BA178" s="580"/>
      <c r="BB178" s="580"/>
      <c r="BC178" s="580"/>
      <c r="BD178" s="580"/>
      <c r="BE178" s="580"/>
      <c r="BF178" s="580"/>
      <c r="BG178" s="580"/>
      <c r="BH178" s="580"/>
      <c r="BI178" s="580"/>
      <c r="BJ178" s="580"/>
      <c r="BK178" s="580"/>
      <c r="BL178" s="580"/>
      <c r="BM178" s="580"/>
      <c r="BN178" s="580"/>
      <c r="BO178" s="581"/>
      <c r="BP178" s="580"/>
      <c r="BQ178" s="581"/>
      <c r="BR178" s="580"/>
      <c r="BS178" s="580"/>
      <c r="BT178" s="580"/>
      <c r="BU178" s="580"/>
      <c r="BV178" s="580"/>
      <c r="BW178" s="580"/>
      <c r="BX178" s="580"/>
      <c r="BY178" s="581"/>
      <c r="BZ178" s="580"/>
      <c r="CA178" s="581"/>
      <c r="CB178" s="580"/>
      <c r="CC178" s="580"/>
      <c r="CD178" s="580"/>
      <c r="CE178" s="580"/>
      <c r="CF178" s="580"/>
      <c r="CG178" s="580"/>
    </row>
    <row r="179" spans="1:85" ht="24" customHeight="1">
      <c r="A179" s="580"/>
      <c r="B179" s="580"/>
      <c r="C179" s="580"/>
      <c r="D179" s="580"/>
      <c r="E179" s="580"/>
      <c r="F179" s="580"/>
      <c r="G179" s="580"/>
      <c r="H179" s="580"/>
      <c r="I179" s="580"/>
      <c r="J179" s="580"/>
      <c r="K179" s="581"/>
      <c r="L179" s="580"/>
      <c r="M179" s="580"/>
      <c r="N179" s="580"/>
      <c r="O179" s="580"/>
      <c r="P179" s="580"/>
      <c r="Q179" s="580"/>
      <c r="R179" s="580"/>
      <c r="S179" s="580"/>
      <c r="T179" s="580"/>
      <c r="U179" s="580"/>
      <c r="V179" s="580"/>
      <c r="W179" s="580"/>
      <c r="X179" s="580"/>
      <c r="Y179" s="580"/>
      <c r="Z179" s="580"/>
      <c r="AA179" s="580"/>
      <c r="AB179" s="580"/>
      <c r="AC179" s="580"/>
      <c r="AD179" s="580"/>
      <c r="AE179" s="581"/>
      <c r="AF179" s="580"/>
      <c r="AG179" s="581"/>
      <c r="AH179" s="580"/>
      <c r="AI179" s="580"/>
      <c r="AJ179" s="580"/>
      <c r="AK179" s="580"/>
      <c r="AL179" s="580"/>
      <c r="AM179" s="580"/>
      <c r="AN179" s="580"/>
      <c r="AO179" s="580"/>
      <c r="AP179" s="580"/>
      <c r="AQ179" s="580"/>
      <c r="AR179" s="580"/>
      <c r="AS179" s="580"/>
      <c r="AT179" s="580"/>
      <c r="AU179" s="580"/>
      <c r="AV179" s="580"/>
      <c r="AW179" s="580"/>
      <c r="AX179" s="580"/>
      <c r="AY179" s="580"/>
      <c r="AZ179" s="580"/>
      <c r="BA179" s="580"/>
      <c r="BB179" s="580"/>
      <c r="BC179" s="580"/>
      <c r="BD179" s="580"/>
      <c r="BE179" s="580"/>
      <c r="BF179" s="580"/>
      <c r="BG179" s="580"/>
      <c r="BH179" s="580"/>
      <c r="BI179" s="580"/>
      <c r="BJ179" s="580"/>
      <c r="BK179" s="580"/>
      <c r="BL179" s="580"/>
      <c r="BM179" s="580"/>
      <c r="BN179" s="580"/>
      <c r="BO179" s="581"/>
      <c r="BP179" s="580"/>
      <c r="BQ179" s="581"/>
      <c r="BR179" s="580"/>
      <c r="BS179" s="580"/>
      <c r="BT179" s="580"/>
      <c r="BU179" s="580"/>
      <c r="BV179" s="580"/>
      <c r="BW179" s="580"/>
      <c r="BX179" s="580"/>
      <c r="BY179" s="581"/>
      <c r="BZ179" s="580"/>
      <c r="CA179" s="581"/>
      <c r="CB179" s="580"/>
      <c r="CC179" s="580"/>
      <c r="CD179" s="580"/>
      <c r="CE179" s="580"/>
      <c r="CF179" s="580"/>
      <c r="CG179" s="580"/>
    </row>
    <row r="180" spans="1:85" ht="24" customHeight="1">
      <c r="A180" s="580"/>
      <c r="B180" s="580"/>
      <c r="C180" s="580"/>
      <c r="D180" s="580"/>
      <c r="E180" s="580"/>
      <c r="F180" s="580"/>
      <c r="G180" s="580"/>
      <c r="H180" s="580"/>
      <c r="I180" s="580"/>
      <c r="J180" s="580"/>
      <c r="K180" s="581"/>
      <c r="L180" s="580"/>
      <c r="M180" s="580"/>
      <c r="N180" s="580"/>
      <c r="O180" s="580"/>
      <c r="P180" s="580"/>
      <c r="Q180" s="580"/>
      <c r="R180" s="580"/>
      <c r="S180" s="580"/>
      <c r="T180" s="580"/>
      <c r="U180" s="580"/>
      <c r="V180" s="580"/>
      <c r="W180" s="580"/>
      <c r="X180" s="580"/>
      <c r="Y180" s="580"/>
      <c r="Z180" s="580"/>
      <c r="AA180" s="580"/>
      <c r="AB180" s="580"/>
      <c r="AC180" s="580"/>
      <c r="AD180" s="580"/>
      <c r="AE180" s="581"/>
      <c r="AF180" s="580"/>
      <c r="AG180" s="581"/>
      <c r="AH180" s="580"/>
      <c r="AI180" s="580"/>
      <c r="AJ180" s="580"/>
      <c r="AK180" s="580"/>
      <c r="AL180" s="580"/>
      <c r="AM180" s="580"/>
      <c r="AN180" s="580"/>
      <c r="AO180" s="580"/>
      <c r="AP180" s="580"/>
      <c r="AQ180" s="580"/>
      <c r="AR180" s="580"/>
      <c r="AS180" s="580"/>
      <c r="AT180" s="580"/>
      <c r="AU180" s="580"/>
      <c r="AV180" s="580"/>
      <c r="AW180" s="580"/>
      <c r="AX180" s="580"/>
      <c r="AY180" s="580"/>
      <c r="AZ180" s="580"/>
      <c r="BA180" s="580"/>
      <c r="BB180" s="580"/>
      <c r="BC180" s="580"/>
      <c r="BD180" s="580"/>
      <c r="BE180" s="580"/>
      <c r="BF180" s="580"/>
      <c r="BG180" s="580"/>
      <c r="BH180" s="580"/>
      <c r="BI180" s="580"/>
      <c r="BJ180" s="580"/>
      <c r="BK180" s="580"/>
      <c r="BL180" s="580"/>
      <c r="BM180" s="580"/>
      <c r="BN180" s="580"/>
      <c r="BO180" s="581"/>
      <c r="BP180" s="580"/>
      <c r="BQ180" s="581"/>
      <c r="BR180" s="580"/>
      <c r="BS180" s="580"/>
      <c r="BT180" s="580"/>
      <c r="BU180" s="580"/>
      <c r="BV180" s="580"/>
      <c r="BW180" s="580"/>
      <c r="BX180" s="580"/>
      <c r="BY180" s="581"/>
      <c r="BZ180" s="580"/>
      <c r="CA180" s="581"/>
      <c r="CB180" s="580"/>
      <c r="CC180" s="580"/>
      <c r="CD180" s="580"/>
      <c r="CE180" s="580"/>
      <c r="CF180" s="580"/>
      <c r="CG180" s="580"/>
    </row>
    <row r="181" spans="1:85" ht="24" customHeight="1">
      <c r="A181" s="580"/>
      <c r="B181" s="580"/>
      <c r="C181" s="580"/>
      <c r="D181" s="580"/>
      <c r="E181" s="580"/>
      <c r="F181" s="580"/>
      <c r="G181" s="580"/>
      <c r="H181" s="580"/>
      <c r="I181" s="580"/>
      <c r="J181" s="580"/>
      <c r="K181" s="581"/>
      <c r="L181" s="580"/>
      <c r="M181" s="580"/>
      <c r="N181" s="580"/>
      <c r="O181" s="580"/>
      <c r="P181" s="580"/>
      <c r="Q181" s="580"/>
      <c r="R181" s="580"/>
      <c r="S181" s="580"/>
      <c r="T181" s="580"/>
      <c r="U181" s="580"/>
      <c r="V181" s="580"/>
      <c r="W181" s="580"/>
      <c r="X181" s="580"/>
      <c r="Y181" s="580"/>
      <c r="Z181" s="580"/>
      <c r="AA181" s="580"/>
      <c r="AB181" s="580"/>
      <c r="AC181" s="580"/>
      <c r="AD181" s="580"/>
      <c r="AE181" s="581"/>
      <c r="AF181" s="580"/>
      <c r="AG181" s="581"/>
      <c r="AH181" s="580"/>
      <c r="AI181" s="580"/>
      <c r="AJ181" s="580"/>
      <c r="AK181" s="580"/>
      <c r="AL181" s="580"/>
      <c r="AM181" s="580"/>
      <c r="AN181" s="580"/>
      <c r="AO181" s="580"/>
      <c r="AP181" s="580"/>
      <c r="AQ181" s="580"/>
      <c r="AR181" s="580"/>
      <c r="AS181" s="580"/>
      <c r="AT181" s="580"/>
      <c r="AU181" s="580"/>
      <c r="AV181" s="580"/>
      <c r="AW181" s="580"/>
      <c r="AX181" s="580"/>
      <c r="AY181" s="580"/>
      <c r="AZ181" s="580"/>
      <c r="BA181" s="580"/>
      <c r="BB181" s="580"/>
      <c r="BC181" s="580"/>
      <c r="BD181" s="580"/>
      <c r="BE181" s="580"/>
      <c r="BF181" s="580"/>
      <c r="BG181" s="580"/>
      <c r="BH181" s="580"/>
      <c r="BI181" s="580"/>
      <c r="BJ181" s="580"/>
      <c r="BK181" s="580"/>
      <c r="BL181" s="580"/>
      <c r="BM181" s="580"/>
      <c r="BN181" s="580"/>
      <c r="BO181" s="581"/>
      <c r="BP181" s="580"/>
      <c r="BQ181" s="581"/>
      <c r="BR181" s="580"/>
      <c r="BS181" s="580"/>
      <c r="BT181" s="580"/>
      <c r="BU181" s="580"/>
      <c r="BV181" s="580"/>
      <c r="BW181" s="580"/>
      <c r="BX181" s="580"/>
      <c r="BY181" s="581"/>
      <c r="BZ181" s="580"/>
      <c r="CA181" s="581"/>
      <c r="CB181" s="580"/>
      <c r="CC181" s="580"/>
      <c r="CD181" s="580"/>
      <c r="CE181" s="580"/>
      <c r="CF181" s="580"/>
      <c r="CG181" s="580"/>
    </row>
    <row r="182" spans="1:85" ht="24" customHeight="1">
      <c r="A182" s="580"/>
      <c r="B182" s="580"/>
      <c r="C182" s="580"/>
      <c r="D182" s="580"/>
      <c r="E182" s="580"/>
      <c r="F182" s="580"/>
      <c r="G182" s="580"/>
      <c r="H182" s="580"/>
      <c r="I182" s="580"/>
      <c r="J182" s="580"/>
      <c r="K182" s="581"/>
      <c r="L182" s="580"/>
      <c r="M182" s="580"/>
      <c r="N182" s="580"/>
      <c r="O182" s="580"/>
      <c r="P182" s="580"/>
      <c r="Q182" s="580"/>
      <c r="R182" s="580"/>
      <c r="S182" s="580"/>
      <c r="T182" s="580"/>
      <c r="U182" s="580"/>
      <c r="V182" s="580"/>
      <c r="W182" s="580"/>
      <c r="X182" s="580"/>
      <c r="Y182" s="580"/>
      <c r="Z182" s="580"/>
      <c r="AA182" s="580"/>
      <c r="AB182" s="580"/>
      <c r="AC182" s="580"/>
      <c r="AD182" s="580"/>
      <c r="AE182" s="581"/>
      <c r="AF182" s="580"/>
      <c r="AG182" s="581"/>
      <c r="AH182" s="580"/>
      <c r="AI182" s="580"/>
      <c r="AJ182" s="580"/>
      <c r="AK182" s="580"/>
      <c r="AL182" s="580"/>
      <c r="AM182" s="580"/>
      <c r="AN182" s="580"/>
      <c r="AO182" s="580"/>
      <c r="AP182" s="580"/>
      <c r="AQ182" s="580"/>
      <c r="AR182" s="580"/>
      <c r="AS182" s="580"/>
      <c r="AT182" s="580"/>
      <c r="AU182" s="580"/>
      <c r="AV182" s="580"/>
      <c r="AW182" s="580"/>
      <c r="AX182" s="580"/>
      <c r="AY182" s="580"/>
      <c r="AZ182" s="580"/>
      <c r="BA182" s="580"/>
      <c r="BB182" s="580"/>
      <c r="BC182" s="580"/>
      <c r="BD182" s="580"/>
      <c r="BE182" s="580"/>
      <c r="BF182" s="580"/>
      <c r="BG182" s="580"/>
      <c r="BH182" s="580"/>
      <c r="BI182" s="580"/>
      <c r="BJ182" s="580"/>
      <c r="BK182" s="580"/>
      <c r="BL182" s="580"/>
      <c r="BM182" s="580"/>
      <c r="BN182" s="580"/>
      <c r="BO182" s="581"/>
      <c r="BP182" s="580"/>
      <c r="BQ182" s="581"/>
      <c r="BR182" s="580"/>
      <c r="BS182" s="580"/>
      <c r="BT182" s="580"/>
      <c r="BU182" s="580"/>
      <c r="BV182" s="580"/>
      <c r="BW182" s="580"/>
      <c r="BX182" s="580"/>
      <c r="BY182" s="581"/>
      <c r="BZ182" s="580"/>
      <c r="CA182" s="581"/>
      <c r="CB182" s="580"/>
      <c r="CC182" s="580"/>
      <c r="CD182" s="580"/>
      <c r="CE182" s="580"/>
      <c r="CF182" s="580"/>
      <c r="CG182" s="580"/>
    </row>
    <row r="183" spans="1:85" ht="24" customHeight="1">
      <c r="A183" s="580"/>
      <c r="B183" s="580"/>
      <c r="C183" s="580"/>
      <c r="D183" s="580"/>
      <c r="E183" s="580"/>
      <c r="F183" s="580"/>
      <c r="G183" s="580"/>
      <c r="H183" s="580"/>
      <c r="I183" s="580"/>
      <c r="J183" s="580"/>
      <c r="K183" s="581"/>
      <c r="L183" s="580"/>
      <c r="M183" s="580"/>
      <c r="N183" s="580"/>
      <c r="O183" s="580"/>
      <c r="P183" s="580"/>
      <c r="Q183" s="580"/>
      <c r="R183" s="580"/>
      <c r="S183" s="580"/>
      <c r="T183" s="580"/>
      <c r="U183" s="580"/>
      <c r="V183" s="580"/>
      <c r="W183" s="580"/>
      <c r="X183" s="580"/>
      <c r="Y183" s="580"/>
      <c r="Z183" s="580"/>
      <c r="AA183" s="580"/>
      <c r="AB183" s="580"/>
      <c r="AC183" s="580"/>
      <c r="AD183" s="580"/>
      <c r="AE183" s="581"/>
      <c r="AF183" s="580"/>
      <c r="AG183" s="581"/>
      <c r="AH183" s="580"/>
      <c r="AI183" s="580"/>
      <c r="AJ183" s="580"/>
      <c r="AK183" s="580"/>
      <c r="AL183" s="580"/>
      <c r="AM183" s="580"/>
      <c r="AN183" s="580"/>
      <c r="AO183" s="580"/>
      <c r="AP183" s="580"/>
      <c r="AQ183" s="580"/>
      <c r="AR183" s="580"/>
      <c r="AS183" s="580"/>
      <c r="AT183" s="580"/>
      <c r="AU183" s="580"/>
      <c r="AV183" s="580"/>
      <c r="AW183" s="580"/>
      <c r="AX183" s="580"/>
      <c r="AY183" s="580"/>
      <c r="AZ183" s="580"/>
      <c r="BA183" s="580"/>
      <c r="BB183" s="580"/>
      <c r="BC183" s="580"/>
      <c r="BD183" s="580"/>
      <c r="BE183" s="580"/>
      <c r="BF183" s="580"/>
      <c r="BG183" s="580"/>
      <c r="BH183" s="580"/>
      <c r="BI183" s="580"/>
      <c r="BJ183" s="580"/>
      <c r="BK183" s="580"/>
      <c r="BL183" s="580"/>
      <c r="BM183" s="580"/>
      <c r="BN183" s="580"/>
      <c r="BO183" s="581"/>
      <c r="BP183" s="580"/>
      <c r="BQ183" s="581"/>
      <c r="BR183" s="580"/>
      <c r="BS183" s="580"/>
      <c r="BT183" s="580"/>
      <c r="BU183" s="580"/>
      <c r="BV183" s="580"/>
      <c r="BW183" s="580"/>
      <c r="BX183" s="580"/>
      <c r="BY183" s="581"/>
      <c r="BZ183" s="580"/>
      <c r="CA183" s="581"/>
      <c r="CB183" s="580"/>
      <c r="CC183" s="580"/>
      <c r="CD183" s="580"/>
      <c r="CE183" s="580"/>
      <c r="CF183" s="580"/>
      <c r="CG183" s="580"/>
    </row>
    <row r="184" spans="1:85" ht="24" customHeight="1">
      <c r="A184" s="580"/>
      <c r="B184" s="580"/>
      <c r="C184" s="580"/>
      <c r="D184" s="580"/>
      <c r="E184" s="580"/>
      <c r="F184" s="580"/>
      <c r="G184" s="580"/>
      <c r="H184" s="580"/>
      <c r="I184" s="580"/>
      <c r="J184" s="580"/>
      <c r="K184" s="581"/>
      <c r="L184" s="580"/>
      <c r="M184" s="580"/>
      <c r="N184" s="580"/>
      <c r="O184" s="580"/>
      <c r="P184" s="580"/>
      <c r="Q184" s="580"/>
      <c r="R184" s="580"/>
      <c r="S184" s="580"/>
      <c r="T184" s="580"/>
      <c r="U184" s="580"/>
      <c r="V184" s="580"/>
      <c r="W184" s="580"/>
      <c r="X184" s="580"/>
      <c r="Y184" s="580"/>
      <c r="Z184" s="580"/>
      <c r="AA184" s="580"/>
      <c r="AB184" s="580"/>
      <c r="AC184" s="580"/>
      <c r="AD184" s="580"/>
      <c r="AE184" s="581"/>
      <c r="AF184" s="580"/>
      <c r="AG184" s="581"/>
      <c r="AH184" s="580"/>
      <c r="AI184" s="580"/>
      <c r="AJ184" s="580"/>
      <c r="AK184" s="580"/>
      <c r="AL184" s="580"/>
      <c r="AM184" s="580"/>
      <c r="AN184" s="580"/>
      <c r="AO184" s="580"/>
      <c r="AP184" s="580"/>
      <c r="AQ184" s="580"/>
      <c r="AR184" s="580"/>
      <c r="AS184" s="580"/>
      <c r="AT184" s="580"/>
      <c r="AU184" s="580"/>
      <c r="AV184" s="580"/>
      <c r="AW184" s="580"/>
      <c r="AX184" s="580"/>
      <c r="AY184" s="580"/>
      <c r="AZ184" s="580"/>
      <c r="BA184" s="580"/>
      <c r="BB184" s="580"/>
      <c r="BC184" s="580"/>
      <c r="BD184" s="580"/>
      <c r="BE184" s="580"/>
      <c r="BF184" s="580"/>
      <c r="BG184" s="580"/>
      <c r="BH184" s="580"/>
      <c r="BI184" s="580"/>
      <c r="BJ184" s="580"/>
      <c r="BK184" s="580"/>
      <c r="BL184" s="580"/>
      <c r="BM184" s="580"/>
      <c r="BN184" s="580"/>
      <c r="BO184" s="581"/>
      <c r="BP184" s="580"/>
      <c r="BQ184" s="581"/>
      <c r="BR184" s="580"/>
      <c r="BS184" s="580"/>
      <c r="BT184" s="580"/>
      <c r="BU184" s="580"/>
      <c r="BV184" s="580"/>
      <c r="BW184" s="580"/>
      <c r="BX184" s="580"/>
      <c r="BY184" s="581"/>
      <c r="BZ184" s="580"/>
      <c r="CA184" s="581"/>
      <c r="CB184" s="580"/>
      <c r="CC184" s="580"/>
      <c r="CD184" s="580"/>
      <c r="CE184" s="580"/>
      <c r="CF184" s="580"/>
      <c r="CG184" s="580"/>
    </row>
    <row r="185" spans="1:85" ht="24" customHeight="1">
      <c r="A185" s="580"/>
      <c r="B185" s="580"/>
      <c r="C185" s="580"/>
      <c r="D185" s="580"/>
      <c r="E185" s="580"/>
      <c r="F185" s="580"/>
      <c r="G185" s="580"/>
      <c r="H185" s="580"/>
      <c r="I185" s="580"/>
      <c r="J185" s="580"/>
      <c r="K185" s="581"/>
      <c r="L185" s="580"/>
      <c r="M185" s="580"/>
      <c r="N185" s="580"/>
      <c r="O185" s="580"/>
      <c r="P185" s="580"/>
      <c r="Q185" s="580"/>
      <c r="R185" s="580"/>
      <c r="S185" s="580"/>
      <c r="T185" s="580"/>
      <c r="U185" s="580"/>
      <c r="V185" s="580"/>
      <c r="W185" s="580"/>
      <c r="X185" s="580"/>
      <c r="Y185" s="580"/>
      <c r="Z185" s="580"/>
      <c r="AA185" s="580"/>
      <c r="AB185" s="580"/>
      <c r="AC185" s="580"/>
      <c r="AD185" s="580"/>
      <c r="AE185" s="581"/>
      <c r="AF185" s="580"/>
      <c r="AG185" s="581"/>
      <c r="AH185" s="580"/>
      <c r="AI185" s="580"/>
      <c r="AJ185" s="580"/>
      <c r="AK185" s="580"/>
      <c r="AL185" s="580"/>
      <c r="AM185" s="580"/>
      <c r="AN185" s="580"/>
      <c r="AO185" s="580"/>
      <c r="AP185" s="580"/>
      <c r="AQ185" s="580"/>
      <c r="AR185" s="580"/>
      <c r="AS185" s="580"/>
      <c r="AT185" s="580"/>
      <c r="AU185" s="580"/>
      <c r="AV185" s="580"/>
      <c r="AW185" s="580"/>
      <c r="AX185" s="580"/>
      <c r="AY185" s="580"/>
      <c r="AZ185" s="580"/>
      <c r="BA185" s="580"/>
      <c r="BB185" s="580"/>
      <c r="BC185" s="580"/>
      <c r="BD185" s="580"/>
      <c r="BE185" s="580"/>
      <c r="BF185" s="580"/>
      <c r="BG185" s="580"/>
      <c r="BH185" s="580"/>
      <c r="BI185" s="580"/>
      <c r="BJ185" s="580"/>
      <c r="BK185" s="580"/>
      <c r="BL185" s="580"/>
      <c r="BM185" s="580"/>
      <c r="BN185" s="580"/>
      <c r="BO185" s="581"/>
      <c r="BP185" s="580"/>
      <c r="BQ185" s="581"/>
      <c r="BR185" s="580"/>
      <c r="BS185" s="580"/>
      <c r="BT185" s="580"/>
      <c r="BU185" s="580"/>
      <c r="BV185" s="580"/>
      <c r="BW185" s="580"/>
      <c r="BX185" s="580"/>
      <c r="BY185" s="581"/>
      <c r="BZ185" s="580"/>
      <c r="CA185" s="581"/>
      <c r="CB185" s="580"/>
      <c r="CC185" s="580"/>
      <c r="CD185" s="580"/>
      <c r="CE185" s="580"/>
      <c r="CF185" s="580"/>
      <c r="CG185" s="580"/>
    </row>
    <row r="186" spans="1:85" ht="24" customHeight="1">
      <c r="A186" s="580"/>
      <c r="B186" s="580"/>
      <c r="C186" s="580"/>
      <c r="D186" s="580"/>
      <c r="E186" s="580"/>
      <c r="F186" s="580"/>
      <c r="G186" s="580"/>
      <c r="H186" s="580"/>
      <c r="I186" s="580"/>
      <c r="J186" s="580"/>
      <c r="K186" s="581"/>
      <c r="L186" s="580"/>
      <c r="M186" s="580"/>
      <c r="N186" s="580"/>
      <c r="O186" s="580"/>
      <c r="P186" s="580"/>
      <c r="Q186" s="580"/>
      <c r="R186" s="580"/>
      <c r="S186" s="580"/>
      <c r="T186" s="580"/>
      <c r="U186" s="580"/>
      <c r="V186" s="580"/>
      <c r="W186" s="580"/>
      <c r="X186" s="580"/>
      <c r="Y186" s="580"/>
      <c r="Z186" s="580"/>
      <c r="AA186" s="580"/>
      <c r="AB186" s="580"/>
      <c r="AC186" s="580"/>
      <c r="AD186" s="580"/>
      <c r="AE186" s="581"/>
      <c r="AF186" s="580"/>
      <c r="AG186" s="581"/>
      <c r="AH186" s="580"/>
      <c r="AI186" s="580"/>
      <c r="AJ186" s="580"/>
      <c r="AK186" s="580"/>
      <c r="AL186" s="580"/>
      <c r="AM186" s="580"/>
      <c r="AN186" s="580"/>
      <c r="AO186" s="580"/>
      <c r="AP186" s="580"/>
      <c r="AQ186" s="580"/>
      <c r="AR186" s="580"/>
      <c r="AS186" s="580"/>
      <c r="AT186" s="580"/>
      <c r="AU186" s="580"/>
      <c r="AV186" s="580"/>
      <c r="AW186" s="580"/>
      <c r="AX186" s="580"/>
      <c r="AY186" s="580"/>
      <c r="AZ186" s="580"/>
      <c r="BA186" s="580"/>
      <c r="BB186" s="580"/>
      <c r="BC186" s="580"/>
      <c r="BD186" s="580"/>
      <c r="BE186" s="580"/>
      <c r="BF186" s="580"/>
      <c r="BG186" s="580"/>
      <c r="BH186" s="580"/>
      <c r="BI186" s="580"/>
      <c r="BJ186" s="580"/>
      <c r="BK186" s="580"/>
      <c r="BL186" s="580"/>
      <c r="BM186" s="580"/>
      <c r="BN186" s="580"/>
      <c r="BO186" s="581"/>
      <c r="BP186" s="580"/>
      <c r="BQ186" s="581"/>
      <c r="BR186" s="580"/>
      <c r="BS186" s="580"/>
      <c r="BT186" s="580"/>
      <c r="BU186" s="580"/>
      <c r="BV186" s="580"/>
      <c r="BW186" s="580"/>
      <c r="BX186" s="580"/>
      <c r="BY186" s="581"/>
      <c r="BZ186" s="580"/>
      <c r="CA186" s="581"/>
      <c r="CB186" s="580"/>
      <c r="CC186" s="580"/>
      <c r="CD186" s="580"/>
      <c r="CE186" s="580"/>
      <c r="CF186" s="580"/>
      <c r="CG186" s="580"/>
    </row>
    <row r="187" spans="1:85" ht="24" customHeight="1">
      <c r="A187" s="580"/>
      <c r="B187" s="580"/>
      <c r="C187" s="580"/>
      <c r="D187" s="580"/>
      <c r="E187" s="580"/>
      <c r="F187" s="580"/>
      <c r="G187" s="580"/>
      <c r="H187" s="580"/>
      <c r="I187" s="580"/>
      <c r="J187" s="580"/>
      <c r="K187" s="581"/>
      <c r="L187" s="580"/>
      <c r="M187" s="580"/>
      <c r="N187" s="580"/>
      <c r="O187" s="580"/>
      <c r="P187" s="580"/>
      <c r="Q187" s="580"/>
      <c r="R187" s="580"/>
      <c r="S187" s="580"/>
      <c r="T187" s="580"/>
      <c r="U187" s="580"/>
      <c r="V187" s="580"/>
      <c r="W187" s="580"/>
      <c r="X187" s="580"/>
      <c r="Y187" s="580"/>
      <c r="Z187" s="580"/>
      <c r="AA187" s="580"/>
      <c r="AB187" s="580"/>
      <c r="AC187" s="580"/>
      <c r="AD187" s="580"/>
      <c r="AE187" s="581"/>
      <c r="AF187" s="580"/>
      <c r="AG187" s="581"/>
      <c r="AH187" s="580"/>
      <c r="AI187" s="580"/>
      <c r="AJ187" s="580"/>
      <c r="AK187" s="580"/>
      <c r="AL187" s="580"/>
      <c r="AM187" s="580"/>
      <c r="AN187" s="580"/>
      <c r="AO187" s="580"/>
      <c r="AP187" s="580"/>
      <c r="AQ187" s="580"/>
      <c r="AR187" s="580"/>
      <c r="AS187" s="580"/>
      <c r="AT187" s="580"/>
      <c r="AU187" s="580"/>
      <c r="AV187" s="580"/>
      <c r="AW187" s="580"/>
      <c r="AX187" s="580"/>
      <c r="AY187" s="580"/>
      <c r="AZ187" s="580"/>
      <c r="BA187" s="580"/>
      <c r="BB187" s="580"/>
      <c r="BC187" s="580"/>
      <c r="BD187" s="580"/>
      <c r="BE187" s="580"/>
      <c r="BF187" s="580"/>
      <c r="BG187" s="580"/>
      <c r="BH187" s="580"/>
      <c r="BI187" s="580"/>
      <c r="BJ187" s="580"/>
      <c r="BK187" s="580"/>
      <c r="BL187" s="580"/>
      <c r="BM187" s="580"/>
      <c r="BN187" s="580"/>
      <c r="BO187" s="581"/>
      <c r="BP187" s="580"/>
      <c r="BQ187" s="581"/>
      <c r="BR187" s="580"/>
      <c r="BS187" s="580"/>
      <c r="BT187" s="580"/>
      <c r="BU187" s="580"/>
      <c r="BV187" s="580"/>
      <c r="BW187" s="580"/>
      <c r="BX187" s="580"/>
      <c r="BY187" s="581"/>
      <c r="BZ187" s="580"/>
      <c r="CA187" s="581"/>
      <c r="CB187" s="580"/>
      <c r="CC187" s="580"/>
      <c r="CD187" s="580"/>
      <c r="CE187" s="580"/>
      <c r="CF187" s="580"/>
      <c r="CG187" s="580"/>
    </row>
    <row r="188" spans="1:85" ht="24" customHeight="1">
      <c r="A188" s="580"/>
      <c r="B188" s="580"/>
      <c r="C188" s="580"/>
      <c r="D188" s="580"/>
      <c r="E188" s="580"/>
      <c r="F188" s="580"/>
      <c r="G188" s="580"/>
      <c r="H188" s="580"/>
      <c r="I188" s="580"/>
      <c r="J188" s="580"/>
      <c r="K188" s="581"/>
      <c r="L188" s="580"/>
      <c r="M188" s="580"/>
      <c r="N188" s="580"/>
      <c r="O188" s="580"/>
      <c r="P188" s="580"/>
      <c r="Q188" s="580"/>
      <c r="R188" s="580"/>
      <c r="S188" s="580"/>
      <c r="T188" s="580"/>
      <c r="U188" s="580"/>
      <c r="V188" s="580"/>
      <c r="W188" s="580"/>
      <c r="X188" s="580"/>
      <c r="Y188" s="580"/>
      <c r="Z188" s="580"/>
      <c r="AA188" s="580"/>
      <c r="AB188" s="580"/>
      <c r="AC188" s="580"/>
      <c r="AD188" s="580"/>
      <c r="AE188" s="581"/>
      <c r="AF188" s="580"/>
      <c r="AG188" s="581"/>
      <c r="AH188" s="580"/>
      <c r="AI188" s="580"/>
      <c r="AJ188" s="580"/>
      <c r="AK188" s="580"/>
      <c r="AL188" s="580"/>
      <c r="AM188" s="580"/>
      <c r="AN188" s="580"/>
      <c r="AO188" s="580"/>
      <c r="AP188" s="580"/>
      <c r="AQ188" s="580"/>
      <c r="AR188" s="580"/>
      <c r="AS188" s="580"/>
      <c r="AT188" s="580"/>
      <c r="AU188" s="580"/>
      <c r="AV188" s="580"/>
      <c r="AW188" s="580"/>
      <c r="AX188" s="580"/>
      <c r="AY188" s="580"/>
      <c r="AZ188" s="580"/>
      <c r="BA188" s="580"/>
      <c r="BB188" s="580"/>
      <c r="BC188" s="580"/>
      <c r="BD188" s="580"/>
      <c r="BE188" s="580"/>
      <c r="BF188" s="580"/>
      <c r="BG188" s="580"/>
      <c r="BH188" s="580"/>
      <c r="BI188" s="580"/>
      <c r="BJ188" s="580"/>
      <c r="BK188" s="580"/>
      <c r="BL188" s="580"/>
      <c r="BM188" s="580"/>
      <c r="BN188" s="580"/>
      <c r="BO188" s="581"/>
      <c r="BP188" s="580"/>
      <c r="BQ188" s="581"/>
      <c r="BR188" s="580"/>
      <c r="BS188" s="580"/>
      <c r="BT188" s="580"/>
      <c r="BU188" s="580"/>
      <c r="BV188" s="580"/>
      <c r="BW188" s="580"/>
      <c r="BX188" s="580"/>
      <c r="BY188" s="581"/>
      <c r="BZ188" s="580"/>
      <c r="CA188" s="581"/>
      <c r="CB188" s="580"/>
      <c r="CC188" s="580"/>
      <c r="CD188" s="580"/>
      <c r="CE188" s="580"/>
      <c r="CF188" s="580"/>
      <c r="CG188" s="580"/>
    </row>
    <row r="189" spans="1:85" ht="24" customHeight="1">
      <c r="A189" s="580"/>
      <c r="B189" s="580"/>
      <c r="C189" s="580"/>
      <c r="D189" s="580"/>
      <c r="E189" s="580"/>
      <c r="F189" s="580"/>
      <c r="G189" s="580"/>
      <c r="H189" s="580"/>
      <c r="I189" s="580"/>
      <c r="J189" s="580"/>
      <c r="K189" s="581"/>
      <c r="L189" s="580"/>
      <c r="M189" s="580"/>
      <c r="N189" s="580"/>
      <c r="O189" s="580"/>
      <c r="P189" s="580"/>
      <c r="Q189" s="580"/>
      <c r="R189" s="580"/>
      <c r="S189" s="580"/>
      <c r="T189" s="580"/>
      <c r="U189" s="580"/>
      <c r="V189" s="580"/>
      <c r="W189" s="580"/>
      <c r="X189" s="580"/>
      <c r="Y189" s="580"/>
      <c r="Z189" s="580"/>
      <c r="AA189" s="580"/>
      <c r="AB189" s="580"/>
      <c r="AC189" s="580"/>
      <c r="AD189" s="580"/>
      <c r="AE189" s="581"/>
      <c r="AF189" s="580"/>
      <c r="AG189" s="581"/>
      <c r="AH189" s="580"/>
      <c r="AI189" s="580"/>
      <c r="AJ189" s="580"/>
      <c r="AK189" s="580"/>
      <c r="AL189" s="580"/>
      <c r="AM189" s="580"/>
      <c r="AN189" s="580"/>
      <c r="AO189" s="580"/>
      <c r="AP189" s="580"/>
      <c r="AQ189" s="580"/>
      <c r="AR189" s="580"/>
      <c r="AS189" s="580"/>
      <c r="AT189" s="580"/>
      <c r="AU189" s="580"/>
      <c r="AV189" s="580"/>
      <c r="AW189" s="580"/>
      <c r="AX189" s="580"/>
      <c r="AY189" s="580"/>
      <c r="AZ189" s="580"/>
      <c r="BA189" s="580"/>
      <c r="BB189" s="580"/>
      <c r="BC189" s="580"/>
      <c r="BD189" s="580"/>
      <c r="BE189" s="580"/>
      <c r="BF189" s="580"/>
      <c r="BG189" s="580"/>
      <c r="BH189" s="580"/>
      <c r="BI189" s="580"/>
      <c r="BJ189" s="580"/>
      <c r="BK189" s="580"/>
      <c r="BL189" s="580"/>
      <c r="BM189" s="580"/>
      <c r="BN189" s="580"/>
      <c r="BO189" s="581"/>
      <c r="BP189" s="580"/>
      <c r="BQ189" s="581"/>
      <c r="BR189" s="580"/>
      <c r="BS189" s="580"/>
      <c r="BT189" s="580"/>
      <c r="BU189" s="580"/>
      <c r="BV189" s="580"/>
      <c r="BW189" s="580"/>
      <c r="BX189" s="580"/>
      <c r="BY189" s="581"/>
      <c r="BZ189" s="580"/>
      <c r="CA189" s="581"/>
      <c r="CB189" s="580"/>
      <c r="CC189" s="580"/>
      <c r="CD189" s="580"/>
      <c r="CE189" s="580"/>
      <c r="CF189" s="580"/>
      <c r="CG189" s="580"/>
    </row>
    <row r="190" spans="1:85" ht="24" customHeight="1">
      <c r="A190" s="580"/>
      <c r="B190" s="580"/>
      <c r="C190" s="580"/>
      <c r="D190" s="580"/>
      <c r="E190" s="580"/>
      <c r="F190" s="580"/>
      <c r="G190" s="580"/>
      <c r="H190" s="580"/>
      <c r="I190" s="580"/>
      <c r="J190" s="580"/>
      <c r="K190" s="581"/>
      <c r="L190" s="580"/>
      <c r="M190" s="580"/>
      <c r="N190" s="580"/>
      <c r="O190" s="580"/>
      <c r="P190" s="580"/>
      <c r="Q190" s="580"/>
      <c r="R190" s="580"/>
      <c r="S190" s="580"/>
      <c r="T190" s="580"/>
      <c r="U190" s="580"/>
      <c r="V190" s="580"/>
      <c r="W190" s="580"/>
      <c r="X190" s="580"/>
      <c r="Y190" s="580"/>
      <c r="Z190" s="580"/>
      <c r="AA190" s="580"/>
      <c r="AB190" s="580"/>
      <c r="AC190" s="580"/>
      <c r="AD190" s="580"/>
      <c r="AE190" s="581"/>
      <c r="AF190" s="580"/>
      <c r="AG190" s="581"/>
      <c r="AH190" s="580"/>
      <c r="AI190" s="580"/>
      <c r="AJ190" s="580"/>
      <c r="AK190" s="580"/>
      <c r="AL190" s="580"/>
      <c r="AM190" s="580"/>
      <c r="AN190" s="580"/>
      <c r="AO190" s="580"/>
      <c r="AP190" s="580"/>
      <c r="AQ190" s="580"/>
      <c r="AR190" s="580"/>
      <c r="AS190" s="580"/>
      <c r="AT190" s="580"/>
      <c r="AU190" s="580"/>
      <c r="AV190" s="580"/>
      <c r="AW190" s="580"/>
      <c r="AX190" s="580"/>
      <c r="AY190" s="580"/>
      <c r="AZ190" s="580"/>
      <c r="BA190" s="580"/>
      <c r="BB190" s="580"/>
      <c r="BC190" s="580"/>
      <c r="BD190" s="580"/>
      <c r="BE190" s="580"/>
      <c r="BF190" s="580"/>
      <c r="BG190" s="580"/>
      <c r="BH190" s="580"/>
      <c r="BI190" s="580"/>
      <c r="BJ190" s="580"/>
      <c r="BK190" s="580"/>
      <c r="BL190" s="580"/>
      <c r="BM190" s="580"/>
      <c r="BN190" s="580"/>
      <c r="BO190" s="581"/>
      <c r="BP190" s="580"/>
      <c r="BQ190" s="581"/>
      <c r="BR190" s="580"/>
      <c r="BS190" s="580"/>
      <c r="BT190" s="580"/>
      <c r="BU190" s="580"/>
      <c r="BV190" s="580"/>
      <c r="BW190" s="580"/>
      <c r="BX190" s="580"/>
      <c r="BY190" s="581"/>
      <c r="BZ190" s="580"/>
      <c r="CA190" s="581"/>
      <c r="CB190" s="580"/>
      <c r="CC190" s="580"/>
      <c r="CD190" s="580"/>
      <c r="CE190" s="580"/>
      <c r="CF190" s="580"/>
      <c r="CG190" s="580"/>
    </row>
    <row r="191" spans="1:85" ht="24" customHeight="1">
      <c r="A191" s="580"/>
      <c r="B191" s="580"/>
      <c r="C191" s="580"/>
      <c r="D191" s="580"/>
      <c r="E191" s="580"/>
      <c r="F191" s="580"/>
      <c r="G191" s="580"/>
      <c r="H191" s="580"/>
      <c r="I191" s="580"/>
      <c r="J191" s="580"/>
      <c r="K191" s="581"/>
      <c r="L191" s="580"/>
      <c r="M191" s="580"/>
      <c r="N191" s="580"/>
      <c r="O191" s="580"/>
      <c r="P191" s="580"/>
      <c r="Q191" s="580"/>
      <c r="R191" s="580"/>
      <c r="S191" s="580"/>
      <c r="T191" s="580"/>
      <c r="U191" s="580"/>
      <c r="V191" s="580"/>
      <c r="W191" s="580"/>
      <c r="X191" s="580"/>
      <c r="Y191" s="580"/>
      <c r="Z191" s="580"/>
      <c r="AA191" s="580"/>
      <c r="AB191" s="580"/>
      <c r="AC191" s="580"/>
      <c r="AD191" s="580"/>
      <c r="AE191" s="581"/>
      <c r="AF191" s="580"/>
      <c r="AG191" s="581"/>
      <c r="AH191" s="580"/>
      <c r="AI191" s="580"/>
      <c r="AJ191" s="580"/>
      <c r="AK191" s="580"/>
      <c r="AL191" s="580"/>
      <c r="AM191" s="580"/>
      <c r="AN191" s="580"/>
      <c r="AO191" s="580"/>
      <c r="AP191" s="580"/>
      <c r="AQ191" s="580"/>
      <c r="AR191" s="580"/>
      <c r="AS191" s="580"/>
      <c r="AT191" s="580"/>
      <c r="AU191" s="580"/>
      <c r="AV191" s="580"/>
      <c r="AW191" s="580"/>
      <c r="AX191" s="580"/>
      <c r="AY191" s="580"/>
      <c r="AZ191" s="580"/>
      <c r="BA191" s="580"/>
      <c r="BB191" s="580"/>
      <c r="BC191" s="580"/>
      <c r="BD191" s="580"/>
      <c r="BE191" s="580"/>
      <c r="BF191" s="580"/>
      <c r="BG191" s="580"/>
      <c r="BH191" s="580"/>
      <c r="BI191" s="580"/>
      <c r="BJ191" s="580"/>
      <c r="BK191" s="580"/>
      <c r="BL191" s="580"/>
      <c r="BM191" s="580"/>
      <c r="BN191" s="580"/>
      <c r="BO191" s="581"/>
      <c r="BP191" s="580"/>
      <c r="BQ191" s="581"/>
      <c r="BR191" s="580"/>
      <c r="BS191" s="580"/>
      <c r="BT191" s="580"/>
      <c r="BU191" s="580"/>
      <c r="BV191" s="580"/>
      <c r="BW191" s="580"/>
      <c r="BX191" s="580"/>
      <c r="BY191" s="581"/>
      <c r="BZ191" s="580"/>
      <c r="CA191" s="581"/>
      <c r="CB191" s="580"/>
      <c r="CC191" s="580"/>
      <c r="CD191" s="580"/>
      <c r="CE191" s="580"/>
      <c r="CF191" s="580"/>
      <c r="CG191" s="580"/>
    </row>
    <row r="192" spans="1:85" ht="24" customHeight="1">
      <c r="A192" s="580"/>
      <c r="B192" s="580"/>
      <c r="C192" s="580"/>
      <c r="D192" s="580"/>
      <c r="E192" s="580"/>
      <c r="F192" s="580"/>
      <c r="G192" s="580"/>
      <c r="H192" s="580"/>
      <c r="I192" s="580"/>
      <c r="J192" s="580"/>
      <c r="K192" s="581"/>
      <c r="L192" s="580"/>
      <c r="M192" s="580"/>
      <c r="N192" s="580"/>
      <c r="O192" s="580"/>
      <c r="P192" s="580"/>
      <c r="Q192" s="580"/>
      <c r="R192" s="580"/>
      <c r="S192" s="580"/>
      <c r="T192" s="580"/>
      <c r="U192" s="580"/>
      <c r="V192" s="580"/>
      <c r="W192" s="580"/>
      <c r="X192" s="580"/>
      <c r="Y192" s="580"/>
      <c r="Z192" s="580"/>
      <c r="AA192" s="580"/>
      <c r="AB192" s="580"/>
      <c r="AC192" s="580"/>
      <c r="AD192" s="580"/>
      <c r="AE192" s="581"/>
      <c r="AF192" s="580"/>
      <c r="AG192" s="581"/>
      <c r="AH192" s="580"/>
      <c r="AI192" s="580"/>
      <c r="AJ192" s="580"/>
      <c r="AK192" s="580"/>
      <c r="AL192" s="580"/>
      <c r="AM192" s="580"/>
      <c r="AN192" s="580"/>
      <c r="AO192" s="580"/>
      <c r="AP192" s="580"/>
      <c r="AQ192" s="580"/>
      <c r="AR192" s="580"/>
      <c r="AS192" s="580"/>
      <c r="AT192" s="580"/>
      <c r="AU192" s="580"/>
      <c r="AV192" s="580"/>
      <c r="AW192" s="580"/>
      <c r="AX192" s="580"/>
      <c r="AY192" s="580"/>
      <c r="AZ192" s="580"/>
      <c r="BA192" s="580"/>
      <c r="BB192" s="580"/>
      <c r="BC192" s="580"/>
      <c r="BD192" s="580"/>
      <c r="BE192" s="580"/>
      <c r="BF192" s="580"/>
      <c r="BG192" s="580"/>
      <c r="BH192" s="580"/>
      <c r="BI192" s="580"/>
      <c r="BJ192" s="580"/>
      <c r="BK192" s="580"/>
      <c r="BL192" s="580"/>
      <c r="BM192" s="580"/>
      <c r="BN192" s="580"/>
      <c r="BO192" s="581"/>
      <c r="BP192" s="580"/>
      <c r="BQ192" s="581"/>
      <c r="BR192" s="580"/>
      <c r="BS192" s="580"/>
      <c r="BT192" s="580"/>
      <c r="BU192" s="580"/>
      <c r="BV192" s="580"/>
      <c r="BW192" s="580"/>
      <c r="BX192" s="580"/>
      <c r="BY192" s="581"/>
      <c r="BZ192" s="580"/>
      <c r="CA192" s="581"/>
      <c r="CB192" s="580"/>
      <c r="CC192" s="580"/>
      <c r="CD192" s="580"/>
      <c r="CE192" s="580"/>
      <c r="CF192" s="580"/>
      <c r="CG192" s="580"/>
    </row>
    <row r="193" spans="1:85" ht="24" customHeight="1">
      <c r="A193" s="580"/>
      <c r="B193" s="580"/>
      <c r="C193" s="580"/>
      <c r="D193" s="580"/>
      <c r="E193" s="580"/>
      <c r="F193" s="580"/>
      <c r="G193" s="580"/>
      <c r="H193" s="580"/>
      <c r="I193" s="580"/>
      <c r="J193" s="580"/>
      <c r="K193" s="581"/>
      <c r="L193" s="580"/>
      <c r="M193" s="580"/>
      <c r="N193" s="580"/>
      <c r="O193" s="580"/>
      <c r="P193" s="580"/>
      <c r="Q193" s="580"/>
      <c r="R193" s="580"/>
      <c r="S193" s="580"/>
      <c r="T193" s="580"/>
      <c r="U193" s="580"/>
      <c r="V193" s="580"/>
      <c r="W193" s="580"/>
      <c r="X193" s="580"/>
      <c r="Y193" s="580"/>
      <c r="Z193" s="580"/>
      <c r="AA193" s="580"/>
      <c r="AB193" s="580"/>
      <c r="AC193" s="580"/>
      <c r="AD193" s="580"/>
      <c r="AE193" s="581"/>
      <c r="AF193" s="580"/>
      <c r="AG193" s="581"/>
      <c r="AH193" s="580"/>
      <c r="AI193" s="580"/>
      <c r="AJ193" s="580"/>
      <c r="AK193" s="580"/>
      <c r="AL193" s="580"/>
      <c r="AM193" s="580"/>
      <c r="AN193" s="580"/>
      <c r="AO193" s="580"/>
      <c r="AP193" s="580"/>
      <c r="AQ193" s="580"/>
      <c r="AR193" s="580"/>
      <c r="AS193" s="580"/>
      <c r="AT193" s="580"/>
      <c r="AU193" s="580"/>
      <c r="AV193" s="580"/>
      <c r="AW193" s="580"/>
      <c r="AX193" s="580"/>
      <c r="AY193" s="580"/>
      <c r="AZ193" s="580"/>
      <c r="BA193" s="580"/>
      <c r="BB193" s="580"/>
      <c r="BC193" s="580"/>
      <c r="BD193" s="580"/>
      <c r="BE193" s="580"/>
      <c r="BF193" s="580"/>
      <c r="BG193" s="580"/>
      <c r="BH193" s="580"/>
      <c r="BI193" s="580"/>
      <c r="BJ193" s="580"/>
      <c r="BK193" s="580"/>
      <c r="BL193" s="580"/>
      <c r="BM193" s="580"/>
      <c r="BN193" s="580"/>
      <c r="BO193" s="581"/>
      <c r="BP193" s="580"/>
      <c r="BQ193" s="581"/>
      <c r="BR193" s="580"/>
      <c r="BS193" s="580"/>
      <c r="BT193" s="580"/>
      <c r="BU193" s="580"/>
      <c r="BV193" s="580"/>
      <c r="BW193" s="580"/>
      <c r="BX193" s="580"/>
      <c r="BY193" s="581"/>
      <c r="BZ193" s="580"/>
      <c r="CA193" s="581"/>
      <c r="CB193" s="580"/>
      <c r="CC193" s="580"/>
      <c r="CD193" s="580"/>
      <c r="CE193" s="580"/>
      <c r="CF193" s="580"/>
      <c r="CG193" s="580"/>
    </row>
    <row r="194" spans="1:85" ht="24" customHeight="1">
      <c r="A194" s="580"/>
      <c r="B194" s="580"/>
      <c r="C194" s="580"/>
      <c r="D194" s="580"/>
      <c r="E194" s="580"/>
      <c r="F194" s="580"/>
      <c r="G194" s="580"/>
      <c r="H194" s="580"/>
      <c r="I194" s="580"/>
      <c r="J194" s="580"/>
      <c r="K194" s="581"/>
      <c r="L194" s="580"/>
      <c r="M194" s="580"/>
      <c r="N194" s="580"/>
      <c r="O194" s="580"/>
      <c r="P194" s="580"/>
      <c r="Q194" s="580"/>
      <c r="R194" s="580"/>
      <c r="S194" s="580"/>
      <c r="T194" s="580"/>
      <c r="U194" s="580"/>
      <c r="V194" s="580"/>
      <c r="W194" s="580"/>
      <c r="X194" s="580"/>
      <c r="Y194" s="580"/>
      <c r="Z194" s="580"/>
      <c r="AA194" s="580"/>
      <c r="AB194" s="580"/>
      <c r="AC194" s="580"/>
      <c r="AD194" s="580"/>
      <c r="AE194" s="581"/>
      <c r="AF194" s="580"/>
      <c r="AG194" s="581"/>
      <c r="AH194" s="580"/>
      <c r="AI194" s="580"/>
      <c r="AJ194" s="580"/>
      <c r="AK194" s="580"/>
      <c r="AL194" s="580"/>
      <c r="AM194" s="580"/>
      <c r="AN194" s="580"/>
      <c r="AO194" s="580"/>
      <c r="AP194" s="580"/>
      <c r="AQ194" s="580"/>
      <c r="AR194" s="580"/>
      <c r="AS194" s="580"/>
      <c r="AT194" s="580"/>
      <c r="AU194" s="580"/>
      <c r="AV194" s="580"/>
      <c r="AW194" s="580"/>
      <c r="AX194" s="580"/>
      <c r="AY194" s="580"/>
      <c r="AZ194" s="580"/>
      <c r="BA194" s="580"/>
      <c r="BB194" s="580"/>
      <c r="BC194" s="580"/>
      <c r="BD194" s="580"/>
      <c r="BE194" s="580"/>
      <c r="BF194" s="580"/>
      <c r="BG194" s="580"/>
      <c r="BH194" s="580"/>
      <c r="BI194" s="580"/>
      <c r="BJ194" s="580"/>
      <c r="BK194" s="580"/>
      <c r="BL194" s="580"/>
      <c r="BM194" s="580"/>
      <c r="BN194" s="580"/>
      <c r="BO194" s="581"/>
      <c r="BP194" s="580"/>
      <c r="BQ194" s="581"/>
      <c r="BR194" s="580"/>
      <c r="BS194" s="580"/>
      <c r="BT194" s="580"/>
      <c r="BU194" s="580"/>
      <c r="BV194" s="580"/>
      <c r="BW194" s="580"/>
      <c r="BX194" s="580"/>
      <c r="BY194" s="581"/>
      <c r="BZ194" s="580"/>
      <c r="CA194" s="581"/>
      <c r="CB194" s="580"/>
      <c r="CC194" s="580"/>
      <c r="CD194" s="580"/>
      <c r="CE194" s="580"/>
      <c r="CF194" s="580"/>
      <c r="CG194" s="580"/>
    </row>
    <row r="195" spans="1:85" ht="24" customHeight="1">
      <c r="A195" s="580"/>
      <c r="B195" s="580"/>
      <c r="C195" s="580"/>
      <c r="D195" s="580"/>
      <c r="E195" s="580"/>
      <c r="F195" s="580"/>
      <c r="G195" s="580"/>
      <c r="H195" s="580"/>
      <c r="I195" s="580"/>
      <c r="J195" s="580"/>
      <c r="K195" s="581"/>
      <c r="L195" s="580"/>
      <c r="M195" s="580"/>
      <c r="N195" s="580"/>
      <c r="O195" s="580"/>
      <c r="P195" s="580"/>
      <c r="Q195" s="580"/>
      <c r="R195" s="580"/>
      <c r="S195" s="580"/>
      <c r="T195" s="580"/>
      <c r="U195" s="580"/>
      <c r="V195" s="580"/>
      <c r="W195" s="580"/>
      <c r="X195" s="580"/>
      <c r="Y195" s="580"/>
      <c r="Z195" s="580"/>
      <c r="AA195" s="580"/>
      <c r="AB195" s="580"/>
      <c r="AC195" s="580"/>
      <c r="AD195" s="580"/>
      <c r="AE195" s="581"/>
      <c r="AF195" s="580"/>
      <c r="AG195" s="581"/>
      <c r="AH195" s="580"/>
      <c r="AI195" s="580"/>
      <c r="AJ195" s="580"/>
      <c r="AK195" s="580"/>
      <c r="AL195" s="580"/>
      <c r="AM195" s="580"/>
      <c r="AN195" s="580"/>
      <c r="AO195" s="580"/>
      <c r="AP195" s="580"/>
      <c r="AQ195" s="580"/>
      <c r="AR195" s="580"/>
      <c r="AS195" s="580"/>
      <c r="AT195" s="580"/>
      <c r="AU195" s="580"/>
      <c r="AV195" s="580"/>
      <c r="AW195" s="580"/>
      <c r="AX195" s="580"/>
      <c r="AY195" s="580"/>
      <c r="AZ195" s="580"/>
      <c r="BA195" s="580"/>
      <c r="BB195" s="580"/>
      <c r="BC195" s="580"/>
      <c r="BD195" s="580"/>
      <c r="BE195" s="580"/>
      <c r="BF195" s="580"/>
      <c r="BG195" s="580"/>
      <c r="BH195" s="580"/>
      <c r="BI195" s="580"/>
      <c r="BJ195" s="580"/>
      <c r="BK195" s="580"/>
      <c r="BL195" s="580"/>
      <c r="BM195" s="580"/>
      <c r="BN195" s="580"/>
      <c r="BO195" s="581"/>
      <c r="BP195" s="580"/>
      <c r="BQ195" s="581"/>
      <c r="BR195" s="580"/>
      <c r="BS195" s="580"/>
      <c r="BT195" s="580"/>
      <c r="BU195" s="580"/>
      <c r="BV195" s="580"/>
      <c r="BW195" s="580"/>
      <c r="BX195" s="580"/>
      <c r="BY195" s="581"/>
      <c r="BZ195" s="580"/>
      <c r="CA195" s="581"/>
      <c r="CB195" s="580"/>
      <c r="CC195" s="580"/>
      <c r="CD195" s="580"/>
      <c r="CE195" s="580"/>
      <c r="CF195" s="580"/>
      <c r="CG195" s="580"/>
    </row>
    <row r="196" spans="1:85" ht="24" customHeight="1">
      <c r="A196" s="580"/>
      <c r="B196" s="580"/>
      <c r="C196" s="580"/>
      <c r="D196" s="580"/>
      <c r="E196" s="580"/>
      <c r="F196" s="580"/>
      <c r="G196" s="580"/>
      <c r="H196" s="580"/>
      <c r="I196" s="580"/>
      <c r="J196" s="580"/>
      <c r="K196" s="581"/>
      <c r="L196" s="580"/>
      <c r="M196" s="580"/>
      <c r="N196" s="580"/>
      <c r="O196" s="580"/>
      <c r="P196" s="580"/>
      <c r="Q196" s="580"/>
      <c r="R196" s="580"/>
      <c r="S196" s="580"/>
      <c r="T196" s="580"/>
      <c r="U196" s="580"/>
      <c r="V196" s="580"/>
      <c r="W196" s="580"/>
      <c r="X196" s="580"/>
      <c r="Y196" s="580"/>
      <c r="Z196" s="580"/>
      <c r="AA196" s="580"/>
      <c r="AB196" s="580"/>
      <c r="AC196" s="580"/>
      <c r="AD196" s="580"/>
      <c r="AE196" s="581"/>
      <c r="AF196" s="580"/>
      <c r="AG196" s="581"/>
      <c r="AH196" s="580"/>
      <c r="AI196" s="580"/>
      <c r="AJ196" s="580"/>
      <c r="AK196" s="580"/>
      <c r="AL196" s="580"/>
      <c r="AM196" s="580"/>
      <c r="AN196" s="580"/>
      <c r="AO196" s="580"/>
      <c r="AP196" s="580"/>
      <c r="AQ196" s="580"/>
      <c r="AR196" s="580"/>
      <c r="AS196" s="580"/>
      <c r="AT196" s="580"/>
      <c r="AU196" s="580"/>
      <c r="AV196" s="580"/>
      <c r="AW196" s="580"/>
      <c r="AX196" s="580"/>
      <c r="AY196" s="580"/>
      <c r="AZ196" s="580"/>
      <c r="BA196" s="580"/>
      <c r="BB196" s="580"/>
      <c r="BC196" s="580"/>
      <c r="BD196" s="580"/>
      <c r="BE196" s="580"/>
      <c r="BF196" s="580"/>
      <c r="BG196" s="580"/>
      <c r="BH196" s="580"/>
      <c r="BI196" s="580"/>
      <c r="BJ196" s="580"/>
      <c r="BK196" s="580"/>
      <c r="BL196" s="580"/>
      <c r="BM196" s="580"/>
      <c r="BN196" s="580"/>
      <c r="BO196" s="581"/>
      <c r="BP196" s="580"/>
      <c r="BQ196" s="581"/>
      <c r="BR196" s="580"/>
      <c r="BS196" s="580"/>
      <c r="BT196" s="580"/>
      <c r="BU196" s="580"/>
      <c r="BV196" s="580"/>
      <c r="BW196" s="580"/>
      <c r="BX196" s="580"/>
      <c r="BY196" s="581"/>
      <c r="BZ196" s="580"/>
      <c r="CA196" s="581"/>
      <c r="CB196" s="580"/>
      <c r="CC196" s="580"/>
      <c r="CD196" s="580"/>
      <c r="CE196" s="580"/>
      <c r="CF196" s="580"/>
      <c r="CG196" s="580"/>
    </row>
    <row r="197" spans="1:85" ht="24" customHeight="1">
      <c r="A197" s="580"/>
      <c r="B197" s="580"/>
      <c r="C197" s="580"/>
      <c r="D197" s="580"/>
      <c r="E197" s="580"/>
      <c r="F197" s="580"/>
      <c r="G197" s="580"/>
      <c r="H197" s="580"/>
      <c r="I197" s="580"/>
      <c r="J197" s="580"/>
      <c r="K197" s="581"/>
      <c r="L197" s="580"/>
      <c r="M197" s="580"/>
      <c r="N197" s="580"/>
      <c r="O197" s="580"/>
      <c r="P197" s="580"/>
      <c r="Q197" s="580"/>
      <c r="R197" s="580"/>
      <c r="S197" s="580"/>
      <c r="T197" s="580"/>
      <c r="U197" s="580"/>
      <c r="V197" s="580"/>
      <c r="W197" s="580"/>
      <c r="X197" s="580"/>
      <c r="Y197" s="580"/>
      <c r="Z197" s="580"/>
      <c r="AA197" s="580"/>
      <c r="AB197" s="580"/>
      <c r="AC197" s="580"/>
      <c r="AD197" s="580"/>
      <c r="AE197" s="581"/>
      <c r="AF197" s="580"/>
      <c r="AG197" s="581"/>
      <c r="AH197" s="580"/>
      <c r="AI197" s="580"/>
      <c r="AJ197" s="580"/>
      <c r="AK197" s="580"/>
      <c r="AL197" s="580"/>
      <c r="AM197" s="580"/>
      <c r="AN197" s="580"/>
      <c r="AO197" s="580"/>
      <c r="AP197" s="580"/>
      <c r="AQ197" s="580"/>
      <c r="AR197" s="580"/>
      <c r="AS197" s="580"/>
      <c r="AT197" s="580"/>
      <c r="AU197" s="580"/>
      <c r="AV197" s="580"/>
      <c r="AW197" s="580"/>
      <c r="AX197" s="580"/>
      <c r="AY197" s="580"/>
      <c r="AZ197" s="580"/>
      <c r="BA197" s="580"/>
      <c r="BB197" s="580"/>
      <c r="BC197" s="580"/>
      <c r="BD197" s="580"/>
      <c r="BE197" s="580"/>
      <c r="BF197" s="580"/>
      <c r="BG197" s="580"/>
      <c r="BH197" s="580"/>
      <c r="BI197" s="580"/>
      <c r="BJ197" s="580"/>
      <c r="BK197" s="580"/>
      <c r="BL197" s="580"/>
      <c r="BM197" s="580"/>
      <c r="BN197" s="580"/>
      <c r="BO197" s="581"/>
      <c r="BP197" s="580"/>
      <c r="BQ197" s="581"/>
      <c r="BR197" s="580"/>
      <c r="BS197" s="580"/>
      <c r="BT197" s="580"/>
      <c r="BU197" s="580"/>
      <c r="BV197" s="580"/>
      <c r="BW197" s="580"/>
      <c r="BX197" s="580"/>
      <c r="BY197" s="581"/>
      <c r="BZ197" s="580"/>
      <c r="CA197" s="581"/>
      <c r="CB197" s="580"/>
      <c r="CC197" s="580"/>
      <c r="CD197" s="580"/>
      <c r="CE197" s="580"/>
      <c r="CF197" s="580"/>
      <c r="CG197" s="580"/>
    </row>
    <row r="198" spans="1:85" ht="24" customHeight="1">
      <c r="A198" s="580"/>
      <c r="B198" s="580"/>
      <c r="C198" s="580"/>
      <c r="D198" s="580"/>
      <c r="E198" s="580"/>
      <c r="F198" s="580"/>
      <c r="G198" s="580"/>
      <c r="H198" s="580"/>
      <c r="I198" s="580"/>
      <c r="J198" s="580"/>
      <c r="K198" s="581"/>
      <c r="L198" s="580"/>
      <c r="M198" s="580"/>
      <c r="N198" s="580"/>
      <c r="O198" s="580"/>
      <c r="P198" s="580"/>
      <c r="Q198" s="580"/>
      <c r="R198" s="580"/>
      <c r="S198" s="580"/>
      <c r="T198" s="580"/>
      <c r="U198" s="580"/>
      <c r="V198" s="580"/>
      <c r="W198" s="580"/>
      <c r="X198" s="580"/>
      <c r="Y198" s="580"/>
      <c r="Z198" s="580"/>
      <c r="AA198" s="580"/>
      <c r="AB198" s="580"/>
      <c r="AC198" s="580"/>
      <c r="AD198" s="580"/>
      <c r="AE198" s="581"/>
      <c r="AF198" s="580"/>
      <c r="AG198" s="581"/>
      <c r="AH198" s="580"/>
      <c r="AI198" s="580"/>
      <c r="AJ198" s="580"/>
      <c r="AK198" s="580"/>
      <c r="AL198" s="580"/>
      <c r="AM198" s="580"/>
      <c r="AN198" s="580"/>
      <c r="AO198" s="580"/>
      <c r="AP198" s="580"/>
      <c r="AQ198" s="580"/>
      <c r="AR198" s="580"/>
      <c r="AS198" s="580"/>
      <c r="AT198" s="580"/>
      <c r="AU198" s="580"/>
      <c r="AV198" s="580"/>
      <c r="AW198" s="580"/>
      <c r="AX198" s="580"/>
      <c r="AY198" s="580"/>
      <c r="AZ198" s="580"/>
      <c r="BA198" s="580"/>
      <c r="BB198" s="580"/>
      <c r="BC198" s="580"/>
      <c r="BD198" s="580"/>
      <c r="BE198" s="580"/>
      <c r="BF198" s="580"/>
      <c r="BG198" s="580"/>
      <c r="BH198" s="580"/>
      <c r="BI198" s="580"/>
      <c r="BJ198" s="580"/>
      <c r="BK198" s="580"/>
      <c r="BL198" s="580"/>
      <c r="BM198" s="580"/>
      <c r="BN198" s="580"/>
      <c r="BO198" s="581"/>
      <c r="BP198" s="580"/>
      <c r="BQ198" s="581"/>
      <c r="BR198" s="580"/>
      <c r="BS198" s="580"/>
      <c r="BT198" s="580"/>
      <c r="BU198" s="580"/>
      <c r="BV198" s="580"/>
      <c r="BW198" s="580"/>
      <c r="BX198" s="580"/>
      <c r="BY198" s="581"/>
      <c r="BZ198" s="580"/>
      <c r="CA198" s="581"/>
      <c r="CB198" s="580"/>
      <c r="CC198" s="580"/>
      <c r="CD198" s="580"/>
      <c r="CE198" s="580"/>
      <c r="CF198" s="580"/>
      <c r="CG198" s="580"/>
    </row>
    <row r="199" spans="1:85" ht="24" customHeight="1">
      <c r="A199" s="580"/>
      <c r="B199" s="580"/>
      <c r="C199" s="580"/>
      <c r="D199" s="580"/>
      <c r="E199" s="580"/>
      <c r="F199" s="580"/>
      <c r="G199" s="580"/>
      <c r="H199" s="580"/>
      <c r="I199" s="580"/>
      <c r="J199" s="580"/>
      <c r="K199" s="581"/>
      <c r="L199" s="580"/>
      <c r="M199" s="580"/>
      <c r="N199" s="580"/>
      <c r="O199" s="580"/>
      <c r="P199" s="580"/>
      <c r="Q199" s="580"/>
      <c r="R199" s="580"/>
      <c r="S199" s="580"/>
      <c r="T199" s="580"/>
      <c r="U199" s="580"/>
      <c r="V199" s="580"/>
      <c r="W199" s="580"/>
      <c r="X199" s="580"/>
      <c r="Y199" s="580"/>
      <c r="Z199" s="580"/>
      <c r="AA199" s="580"/>
      <c r="AB199" s="580"/>
      <c r="AC199" s="580"/>
      <c r="AD199" s="580"/>
      <c r="AE199" s="581"/>
      <c r="AF199" s="580"/>
      <c r="AG199" s="581"/>
      <c r="AH199" s="580"/>
      <c r="AI199" s="580"/>
      <c r="AJ199" s="580"/>
      <c r="AK199" s="580"/>
      <c r="AL199" s="580"/>
      <c r="AM199" s="580"/>
      <c r="AN199" s="580"/>
      <c r="AO199" s="580"/>
      <c r="AP199" s="580"/>
      <c r="AQ199" s="580"/>
      <c r="AR199" s="580"/>
      <c r="AS199" s="580"/>
      <c r="AT199" s="580"/>
      <c r="AU199" s="580"/>
      <c r="AV199" s="580"/>
      <c r="AW199" s="580"/>
      <c r="AX199" s="580"/>
      <c r="AY199" s="580"/>
      <c r="AZ199" s="580"/>
      <c r="BA199" s="580"/>
      <c r="BB199" s="580"/>
      <c r="BC199" s="580"/>
      <c r="BD199" s="580"/>
      <c r="BE199" s="580"/>
      <c r="BF199" s="580"/>
      <c r="BG199" s="580"/>
      <c r="BH199" s="580"/>
      <c r="BI199" s="580"/>
      <c r="BJ199" s="580"/>
      <c r="BK199" s="580"/>
      <c r="BL199" s="580"/>
      <c r="BM199" s="580"/>
      <c r="BN199" s="580"/>
      <c r="BO199" s="581"/>
      <c r="BP199" s="580"/>
      <c r="BQ199" s="581"/>
      <c r="BR199" s="580"/>
      <c r="BS199" s="580"/>
      <c r="BT199" s="580"/>
      <c r="BU199" s="580"/>
      <c r="BV199" s="580"/>
      <c r="BW199" s="580"/>
      <c r="BX199" s="580"/>
      <c r="BY199" s="581"/>
      <c r="BZ199" s="580"/>
      <c r="CA199" s="581"/>
      <c r="CB199" s="580"/>
      <c r="CC199" s="580"/>
      <c r="CD199" s="580"/>
      <c r="CE199" s="580"/>
      <c r="CF199" s="580"/>
      <c r="CG199" s="580"/>
    </row>
    <row r="200" spans="1:85" ht="24" customHeight="1">
      <c r="A200" s="580"/>
      <c r="B200" s="580"/>
      <c r="C200" s="580"/>
      <c r="D200" s="580"/>
      <c r="E200" s="580"/>
      <c r="F200" s="580"/>
      <c r="G200" s="580"/>
      <c r="H200" s="580"/>
      <c r="I200" s="580"/>
      <c r="J200" s="580"/>
      <c r="K200" s="581"/>
      <c r="L200" s="580"/>
      <c r="M200" s="580"/>
      <c r="N200" s="580"/>
      <c r="O200" s="580"/>
      <c r="P200" s="580"/>
      <c r="Q200" s="580"/>
      <c r="R200" s="580"/>
      <c r="S200" s="580"/>
      <c r="T200" s="580"/>
      <c r="U200" s="580"/>
      <c r="V200" s="580"/>
      <c r="W200" s="580"/>
      <c r="X200" s="580"/>
      <c r="Y200" s="580"/>
      <c r="Z200" s="580"/>
      <c r="AA200" s="580"/>
      <c r="AB200" s="580"/>
      <c r="AC200" s="580"/>
      <c r="AD200" s="580"/>
      <c r="AE200" s="581"/>
      <c r="AF200" s="580"/>
      <c r="AG200" s="581"/>
      <c r="AH200" s="580"/>
      <c r="AI200" s="580"/>
      <c r="AJ200" s="580"/>
      <c r="AK200" s="580"/>
      <c r="AL200" s="580"/>
      <c r="AM200" s="580"/>
      <c r="AN200" s="580"/>
      <c r="AO200" s="580"/>
      <c r="AP200" s="580"/>
      <c r="AQ200" s="580"/>
      <c r="AR200" s="580"/>
      <c r="AS200" s="580"/>
      <c r="AT200" s="580"/>
      <c r="AU200" s="580"/>
      <c r="AV200" s="580"/>
      <c r="AW200" s="580"/>
      <c r="AX200" s="580"/>
      <c r="AY200" s="580"/>
      <c r="AZ200" s="580"/>
      <c r="BA200" s="580"/>
      <c r="BB200" s="580"/>
      <c r="BC200" s="580"/>
      <c r="BD200" s="580"/>
      <c r="BE200" s="580"/>
      <c r="BF200" s="580"/>
      <c r="BG200" s="580"/>
      <c r="BH200" s="580"/>
      <c r="BI200" s="580"/>
      <c r="BJ200" s="580"/>
      <c r="BK200" s="580"/>
      <c r="BL200" s="580"/>
      <c r="BM200" s="580"/>
      <c r="BN200" s="580"/>
      <c r="BO200" s="581"/>
      <c r="BP200" s="580"/>
      <c r="BQ200" s="581"/>
      <c r="BR200" s="580"/>
      <c r="BS200" s="580"/>
      <c r="BT200" s="580"/>
      <c r="BU200" s="580"/>
      <c r="BV200" s="580"/>
      <c r="BW200" s="580"/>
      <c r="BX200" s="580"/>
      <c r="BY200" s="581"/>
      <c r="BZ200" s="580"/>
      <c r="CA200" s="581"/>
      <c r="CB200" s="580"/>
      <c r="CC200" s="580"/>
      <c r="CD200" s="580"/>
      <c r="CE200" s="580"/>
      <c r="CF200" s="580"/>
      <c r="CG200" s="580"/>
    </row>
    <row r="201" spans="1:85" ht="24" customHeight="1">
      <c r="A201" s="580"/>
      <c r="B201" s="580"/>
      <c r="C201" s="580"/>
      <c r="D201" s="580"/>
      <c r="E201" s="580"/>
      <c r="F201" s="580"/>
      <c r="G201" s="580"/>
      <c r="H201" s="580"/>
      <c r="I201" s="580"/>
      <c r="J201" s="580"/>
      <c r="K201" s="581"/>
      <c r="L201" s="580"/>
      <c r="M201" s="580"/>
      <c r="N201" s="580"/>
      <c r="O201" s="580"/>
      <c r="P201" s="580"/>
      <c r="Q201" s="580"/>
      <c r="R201" s="580"/>
      <c r="S201" s="580"/>
      <c r="T201" s="580"/>
      <c r="U201" s="580"/>
      <c r="V201" s="580"/>
      <c r="W201" s="580"/>
      <c r="X201" s="580"/>
      <c r="Y201" s="580"/>
      <c r="Z201" s="580"/>
      <c r="AA201" s="580"/>
      <c r="AB201" s="580"/>
      <c r="AC201" s="580"/>
      <c r="AD201" s="580"/>
      <c r="AE201" s="581"/>
      <c r="AF201" s="580"/>
      <c r="AG201" s="581"/>
      <c r="AH201" s="580"/>
      <c r="AI201" s="580"/>
      <c r="AJ201" s="580"/>
      <c r="AK201" s="580"/>
      <c r="AL201" s="580"/>
      <c r="AM201" s="580"/>
      <c r="AN201" s="580"/>
      <c r="AO201" s="580"/>
      <c r="AP201" s="580"/>
      <c r="AQ201" s="580"/>
      <c r="AR201" s="580"/>
      <c r="AS201" s="580"/>
      <c r="AT201" s="580"/>
      <c r="AU201" s="580"/>
      <c r="AV201" s="580"/>
      <c r="AW201" s="580"/>
      <c r="AX201" s="580"/>
      <c r="AY201" s="580"/>
      <c r="AZ201" s="580"/>
      <c r="BA201" s="580"/>
      <c r="BB201" s="580"/>
      <c r="BC201" s="580"/>
      <c r="BD201" s="580"/>
      <c r="BE201" s="580"/>
      <c r="BF201" s="580"/>
      <c r="BG201" s="580"/>
      <c r="BH201" s="580"/>
      <c r="BI201" s="580"/>
      <c r="BJ201" s="580"/>
      <c r="BK201" s="580"/>
      <c r="BL201" s="580"/>
      <c r="BM201" s="580"/>
      <c r="BN201" s="580"/>
      <c r="BO201" s="581"/>
      <c r="BP201" s="580"/>
      <c r="BQ201" s="581"/>
      <c r="BR201" s="580"/>
      <c r="BS201" s="580"/>
      <c r="BT201" s="580"/>
      <c r="BU201" s="580"/>
      <c r="BV201" s="580"/>
      <c r="BW201" s="580"/>
      <c r="BX201" s="580"/>
      <c r="BY201" s="581"/>
      <c r="BZ201" s="580"/>
      <c r="CA201" s="581"/>
      <c r="CB201" s="580"/>
      <c r="CC201" s="580"/>
      <c r="CD201" s="580"/>
      <c r="CE201" s="580"/>
      <c r="CF201" s="580"/>
      <c r="CG201" s="580"/>
    </row>
    <row r="202" spans="1:85" ht="24" customHeight="1">
      <c r="A202" s="580"/>
      <c r="B202" s="580"/>
      <c r="C202" s="580"/>
      <c r="D202" s="580"/>
      <c r="E202" s="580"/>
      <c r="F202" s="580"/>
      <c r="G202" s="580"/>
      <c r="H202" s="580"/>
      <c r="I202" s="580"/>
      <c r="J202" s="580"/>
      <c r="K202" s="581"/>
      <c r="L202" s="580"/>
      <c r="M202" s="580"/>
      <c r="N202" s="580"/>
      <c r="O202" s="580"/>
      <c r="P202" s="580"/>
      <c r="Q202" s="580"/>
      <c r="R202" s="580"/>
      <c r="S202" s="580"/>
      <c r="T202" s="580"/>
      <c r="U202" s="580"/>
      <c r="V202" s="580"/>
      <c r="W202" s="580"/>
      <c r="X202" s="580"/>
      <c r="Y202" s="580"/>
      <c r="Z202" s="580"/>
      <c r="AA202" s="580"/>
      <c r="AB202" s="580"/>
      <c r="AC202" s="580"/>
      <c r="AD202" s="580"/>
      <c r="AE202" s="581"/>
      <c r="AF202" s="580"/>
      <c r="AG202" s="581"/>
      <c r="AH202" s="580"/>
      <c r="AI202" s="580"/>
      <c r="AJ202" s="580"/>
      <c r="AK202" s="580"/>
      <c r="AL202" s="580"/>
      <c r="AM202" s="580"/>
      <c r="AN202" s="580"/>
      <c r="AO202" s="580"/>
      <c r="AP202" s="580"/>
      <c r="AQ202" s="580"/>
      <c r="AR202" s="580"/>
      <c r="AS202" s="580"/>
      <c r="AT202" s="580"/>
      <c r="AU202" s="580"/>
      <c r="AV202" s="580"/>
      <c r="AW202" s="580"/>
      <c r="AX202" s="580"/>
      <c r="AY202" s="580"/>
      <c r="AZ202" s="580"/>
      <c r="BA202" s="580"/>
      <c r="BB202" s="580"/>
      <c r="BC202" s="580"/>
      <c r="BD202" s="580"/>
      <c r="BE202" s="580"/>
      <c r="BF202" s="580"/>
      <c r="BG202" s="580"/>
      <c r="BH202" s="580"/>
      <c r="BI202" s="580"/>
      <c r="BJ202" s="580"/>
      <c r="BK202" s="580"/>
      <c r="BL202" s="580"/>
      <c r="BM202" s="580"/>
      <c r="BN202" s="580"/>
      <c r="BO202" s="581"/>
      <c r="BP202" s="580"/>
      <c r="BQ202" s="581"/>
      <c r="BR202" s="580"/>
      <c r="BS202" s="580"/>
      <c r="BT202" s="580"/>
      <c r="BU202" s="580"/>
      <c r="BV202" s="580"/>
      <c r="BW202" s="580"/>
      <c r="BX202" s="580"/>
      <c r="BY202" s="581"/>
      <c r="BZ202" s="580"/>
      <c r="CA202" s="581"/>
      <c r="CB202" s="580"/>
      <c r="CC202" s="580"/>
      <c r="CD202" s="580"/>
      <c r="CE202" s="580"/>
      <c r="CF202" s="580"/>
      <c r="CG202" s="580"/>
    </row>
    <row r="203" spans="1:85" ht="24" customHeight="1">
      <c r="A203" s="580"/>
      <c r="B203" s="580"/>
      <c r="C203" s="580"/>
      <c r="D203" s="580"/>
      <c r="E203" s="580"/>
      <c r="F203" s="580"/>
      <c r="G203" s="580"/>
      <c r="H203" s="580"/>
      <c r="I203" s="580"/>
      <c r="J203" s="580"/>
      <c r="K203" s="581"/>
      <c r="L203" s="580"/>
      <c r="M203" s="580"/>
      <c r="N203" s="580"/>
      <c r="O203" s="580"/>
      <c r="P203" s="580"/>
      <c r="Q203" s="580"/>
      <c r="R203" s="580"/>
      <c r="S203" s="580"/>
      <c r="T203" s="580"/>
      <c r="U203" s="580"/>
      <c r="V203" s="580"/>
      <c r="W203" s="580"/>
      <c r="X203" s="580"/>
      <c r="Y203" s="580"/>
      <c r="Z203" s="580"/>
      <c r="AA203" s="580"/>
      <c r="AB203" s="580"/>
      <c r="AC203" s="580"/>
      <c r="AD203" s="580"/>
      <c r="AE203" s="581"/>
      <c r="AF203" s="580"/>
      <c r="AG203" s="581"/>
      <c r="AH203" s="580"/>
      <c r="AI203" s="580"/>
      <c r="AJ203" s="580"/>
      <c r="AK203" s="580"/>
      <c r="AL203" s="580"/>
      <c r="AM203" s="580"/>
      <c r="AN203" s="580"/>
      <c r="AO203" s="580"/>
      <c r="AP203" s="580"/>
      <c r="AQ203" s="580"/>
      <c r="AR203" s="580"/>
      <c r="AS203" s="580"/>
      <c r="AT203" s="580"/>
      <c r="AU203" s="580"/>
      <c r="AV203" s="580"/>
      <c r="AW203" s="580"/>
      <c r="AX203" s="580"/>
      <c r="AY203" s="580"/>
      <c r="AZ203" s="580"/>
      <c r="BA203" s="580"/>
      <c r="BB203" s="580"/>
      <c r="BC203" s="580"/>
      <c r="BD203" s="580"/>
      <c r="BE203" s="580"/>
      <c r="BF203" s="580"/>
      <c r="BG203" s="580"/>
      <c r="BH203" s="580"/>
      <c r="BI203" s="580"/>
      <c r="BJ203" s="580"/>
      <c r="BK203" s="580"/>
      <c r="BL203" s="580"/>
      <c r="BM203" s="580"/>
      <c r="BN203" s="580"/>
      <c r="BO203" s="581"/>
      <c r="BP203" s="580"/>
      <c r="BQ203" s="581"/>
      <c r="BR203" s="580"/>
      <c r="BS203" s="580"/>
      <c r="BT203" s="580"/>
      <c r="BU203" s="580"/>
      <c r="BV203" s="580"/>
      <c r="BW203" s="580"/>
      <c r="BX203" s="580"/>
      <c r="BY203" s="581"/>
      <c r="BZ203" s="580"/>
      <c r="CA203" s="581"/>
      <c r="CB203" s="580"/>
      <c r="CC203" s="580"/>
      <c r="CD203" s="580"/>
      <c r="CE203" s="580"/>
      <c r="CF203" s="580"/>
      <c r="CG203" s="580"/>
    </row>
    <row r="204" spans="1:85" ht="24" customHeight="1">
      <c r="A204" s="580"/>
      <c r="B204" s="580"/>
      <c r="C204" s="580"/>
      <c r="D204" s="580"/>
      <c r="E204" s="580"/>
      <c r="F204" s="580"/>
      <c r="G204" s="580"/>
      <c r="H204" s="580"/>
      <c r="I204" s="580"/>
      <c r="J204" s="580"/>
      <c r="K204" s="581"/>
      <c r="L204" s="580"/>
      <c r="M204" s="580"/>
      <c r="N204" s="580"/>
      <c r="O204" s="580"/>
      <c r="P204" s="580"/>
      <c r="Q204" s="580"/>
      <c r="R204" s="580"/>
      <c r="S204" s="580"/>
      <c r="T204" s="580"/>
      <c r="U204" s="580"/>
      <c r="V204" s="580"/>
      <c r="W204" s="580"/>
      <c r="X204" s="580"/>
      <c r="Y204" s="580"/>
      <c r="Z204" s="580"/>
      <c r="AA204" s="580"/>
      <c r="AB204" s="580"/>
      <c r="AC204" s="580"/>
      <c r="AD204" s="580"/>
      <c r="AE204" s="581"/>
      <c r="AF204" s="580"/>
      <c r="AG204" s="581"/>
      <c r="AH204" s="580"/>
      <c r="AI204" s="580"/>
      <c r="AJ204" s="580"/>
      <c r="AK204" s="580"/>
      <c r="AL204" s="580"/>
      <c r="AM204" s="580"/>
      <c r="AN204" s="580"/>
      <c r="AO204" s="580"/>
      <c r="AP204" s="580"/>
      <c r="AQ204" s="580"/>
      <c r="AR204" s="580"/>
      <c r="AS204" s="580"/>
      <c r="AT204" s="580"/>
      <c r="AU204" s="580"/>
      <c r="AV204" s="580"/>
      <c r="AW204" s="580"/>
      <c r="AX204" s="580"/>
      <c r="AY204" s="580"/>
      <c r="AZ204" s="580"/>
      <c r="BA204" s="580"/>
      <c r="BB204" s="580"/>
      <c r="BC204" s="580"/>
      <c r="BD204" s="580"/>
      <c r="BE204" s="580"/>
      <c r="BF204" s="580"/>
      <c r="BG204" s="580"/>
      <c r="BH204" s="580"/>
      <c r="BI204" s="580"/>
      <c r="BJ204" s="580"/>
      <c r="BK204" s="580"/>
      <c r="BL204" s="580"/>
      <c r="BM204" s="580"/>
      <c r="BN204" s="580"/>
      <c r="BO204" s="581"/>
      <c r="BP204" s="580"/>
      <c r="BQ204" s="581"/>
      <c r="BR204" s="580"/>
      <c r="BS204" s="580"/>
      <c r="BT204" s="580"/>
      <c r="BU204" s="580"/>
      <c r="BV204" s="580"/>
      <c r="BW204" s="580"/>
      <c r="BX204" s="580"/>
      <c r="BY204" s="581"/>
      <c r="BZ204" s="580"/>
      <c r="CA204" s="581"/>
      <c r="CB204" s="580"/>
      <c r="CC204" s="580"/>
      <c r="CD204" s="580"/>
      <c r="CE204" s="580"/>
      <c r="CF204" s="580"/>
      <c r="CG204" s="580"/>
    </row>
    <row r="205" spans="1:85" ht="24" customHeight="1">
      <c r="A205" s="580"/>
      <c r="B205" s="580"/>
      <c r="C205" s="580"/>
      <c r="D205" s="580"/>
      <c r="E205" s="580"/>
      <c r="F205" s="580"/>
      <c r="G205" s="580"/>
      <c r="H205" s="580"/>
      <c r="I205" s="580"/>
      <c r="J205" s="580"/>
      <c r="K205" s="581"/>
      <c r="L205" s="580"/>
      <c r="M205" s="580"/>
      <c r="N205" s="580"/>
      <c r="O205" s="580"/>
      <c r="P205" s="580"/>
      <c r="Q205" s="580"/>
      <c r="R205" s="580"/>
      <c r="S205" s="580"/>
      <c r="T205" s="580"/>
      <c r="U205" s="580"/>
      <c r="V205" s="580"/>
      <c r="W205" s="580"/>
      <c r="X205" s="580"/>
      <c r="Y205" s="580"/>
      <c r="Z205" s="580"/>
      <c r="AA205" s="580"/>
      <c r="AB205" s="580"/>
      <c r="AC205" s="580"/>
      <c r="AD205" s="580"/>
      <c r="AE205" s="581"/>
      <c r="AF205" s="580"/>
      <c r="AG205" s="581"/>
      <c r="AH205" s="580"/>
      <c r="AI205" s="580"/>
      <c r="AJ205" s="580"/>
      <c r="AK205" s="580"/>
      <c r="AL205" s="580"/>
      <c r="AM205" s="580"/>
      <c r="AN205" s="580"/>
      <c r="AO205" s="580"/>
      <c r="AP205" s="580"/>
      <c r="AQ205" s="580"/>
      <c r="AR205" s="580"/>
      <c r="AS205" s="580"/>
      <c r="AT205" s="580"/>
      <c r="AU205" s="580"/>
      <c r="AV205" s="580"/>
      <c r="AW205" s="580"/>
      <c r="AX205" s="580"/>
      <c r="AY205" s="580"/>
      <c r="AZ205" s="580"/>
      <c r="BA205" s="580"/>
      <c r="BB205" s="580"/>
      <c r="BC205" s="580"/>
      <c r="BD205" s="580"/>
      <c r="BE205" s="580"/>
      <c r="BF205" s="580"/>
      <c r="BG205" s="580"/>
      <c r="BH205" s="580"/>
      <c r="BI205" s="580"/>
      <c r="BJ205" s="580"/>
      <c r="BK205" s="580"/>
      <c r="BL205" s="580"/>
      <c r="BM205" s="580"/>
      <c r="BN205" s="580"/>
      <c r="BO205" s="581"/>
      <c r="BP205" s="580"/>
      <c r="BQ205" s="581"/>
      <c r="BR205" s="580"/>
      <c r="BS205" s="580"/>
      <c r="BT205" s="580"/>
      <c r="BU205" s="580"/>
      <c r="BV205" s="580"/>
      <c r="BW205" s="580"/>
      <c r="BX205" s="580"/>
      <c r="BY205" s="581"/>
      <c r="BZ205" s="580"/>
      <c r="CA205" s="581"/>
      <c r="CB205" s="580"/>
      <c r="CC205" s="580"/>
      <c r="CD205" s="580"/>
      <c r="CE205" s="580"/>
      <c r="CF205" s="580"/>
      <c r="CG205" s="580"/>
    </row>
    <row r="206" spans="1:85" ht="24" customHeight="1">
      <c r="A206" s="580"/>
      <c r="B206" s="580"/>
      <c r="C206" s="580"/>
      <c r="D206" s="580"/>
      <c r="E206" s="580"/>
      <c r="F206" s="580"/>
      <c r="G206" s="580"/>
      <c r="H206" s="580"/>
      <c r="I206" s="580"/>
      <c r="J206" s="580"/>
      <c r="K206" s="581"/>
      <c r="L206" s="580"/>
      <c r="M206" s="580"/>
      <c r="N206" s="580"/>
      <c r="O206" s="580"/>
      <c r="P206" s="580"/>
      <c r="Q206" s="580"/>
      <c r="R206" s="580"/>
      <c r="S206" s="580"/>
      <c r="T206" s="580"/>
      <c r="U206" s="580"/>
      <c r="V206" s="580"/>
      <c r="W206" s="580"/>
      <c r="X206" s="580"/>
      <c r="Y206" s="580"/>
      <c r="Z206" s="580"/>
      <c r="AA206" s="580"/>
      <c r="AB206" s="580"/>
      <c r="AC206" s="580"/>
      <c r="AD206" s="580"/>
      <c r="AE206" s="581"/>
      <c r="AF206" s="580"/>
      <c r="AG206" s="581"/>
      <c r="AH206" s="580"/>
      <c r="AI206" s="580"/>
      <c r="AJ206" s="580"/>
      <c r="AK206" s="580"/>
      <c r="AL206" s="580"/>
      <c r="AM206" s="580"/>
      <c r="AN206" s="580"/>
      <c r="AO206" s="580"/>
      <c r="AP206" s="580"/>
      <c r="AQ206" s="580"/>
      <c r="AR206" s="580"/>
      <c r="AS206" s="580"/>
      <c r="AT206" s="580"/>
      <c r="AU206" s="580"/>
      <c r="AV206" s="580"/>
      <c r="AW206" s="580"/>
      <c r="AX206" s="580"/>
      <c r="AY206" s="580"/>
      <c r="AZ206" s="580"/>
      <c r="BA206" s="580"/>
      <c r="BB206" s="580"/>
      <c r="BC206" s="580"/>
      <c r="BD206" s="580"/>
      <c r="BE206" s="580"/>
      <c r="BF206" s="580"/>
      <c r="BG206" s="580"/>
      <c r="BH206" s="580"/>
      <c r="BI206" s="580"/>
      <c r="BJ206" s="580"/>
      <c r="BK206" s="580"/>
      <c r="BL206" s="580"/>
      <c r="BM206" s="580"/>
      <c r="BN206" s="580"/>
      <c r="BO206" s="581"/>
      <c r="BP206" s="580"/>
      <c r="BQ206" s="581"/>
      <c r="BR206" s="580"/>
      <c r="BS206" s="580"/>
      <c r="BT206" s="580"/>
      <c r="BU206" s="580"/>
      <c r="BV206" s="580"/>
      <c r="BW206" s="580"/>
      <c r="BX206" s="580"/>
      <c r="BY206" s="581"/>
      <c r="BZ206" s="580"/>
      <c r="CA206" s="581"/>
      <c r="CB206" s="580"/>
      <c r="CC206" s="580"/>
      <c r="CD206" s="580"/>
      <c r="CE206" s="580"/>
      <c r="CF206" s="580"/>
      <c r="CG206" s="580"/>
    </row>
    <row r="207" spans="1:85" ht="24" customHeight="1">
      <c r="A207" s="580"/>
      <c r="B207" s="580"/>
      <c r="C207" s="580"/>
      <c r="D207" s="580"/>
      <c r="E207" s="580"/>
      <c r="F207" s="580"/>
      <c r="G207" s="580"/>
      <c r="H207" s="580"/>
      <c r="I207" s="580"/>
      <c r="J207" s="580"/>
      <c r="K207" s="581"/>
      <c r="L207" s="580"/>
      <c r="M207" s="580"/>
      <c r="N207" s="580"/>
      <c r="O207" s="580"/>
      <c r="P207" s="580"/>
      <c r="Q207" s="580"/>
      <c r="R207" s="580"/>
      <c r="S207" s="580"/>
      <c r="T207" s="580"/>
      <c r="U207" s="580"/>
      <c r="V207" s="580"/>
      <c r="W207" s="580"/>
      <c r="X207" s="580"/>
      <c r="Y207" s="580"/>
      <c r="Z207" s="580"/>
      <c r="AA207" s="580"/>
      <c r="AB207" s="580"/>
      <c r="AC207" s="580"/>
      <c r="AD207" s="580"/>
      <c r="AE207" s="581"/>
      <c r="AF207" s="580"/>
      <c r="AG207" s="581"/>
      <c r="AH207" s="580"/>
      <c r="AI207" s="580"/>
      <c r="AJ207" s="580"/>
      <c r="AK207" s="580"/>
      <c r="AL207" s="580"/>
      <c r="AM207" s="580"/>
      <c r="AN207" s="580"/>
      <c r="AO207" s="580"/>
      <c r="AP207" s="580"/>
      <c r="AQ207" s="580"/>
      <c r="AR207" s="580"/>
      <c r="AS207" s="580"/>
      <c r="AT207" s="580"/>
      <c r="AU207" s="580"/>
      <c r="AV207" s="580"/>
      <c r="AW207" s="580"/>
      <c r="AX207" s="580"/>
      <c r="AY207" s="580"/>
      <c r="AZ207" s="580"/>
      <c r="BA207" s="580"/>
      <c r="BB207" s="580"/>
      <c r="BC207" s="580"/>
      <c r="BD207" s="580"/>
      <c r="BE207" s="580"/>
      <c r="BF207" s="580"/>
      <c r="BG207" s="580"/>
      <c r="BH207" s="580"/>
      <c r="BI207" s="580"/>
      <c r="BJ207" s="580"/>
      <c r="BK207" s="580"/>
      <c r="BL207" s="580"/>
      <c r="BM207" s="580"/>
      <c r="BN207" s="580"/>
      <c r="BO207" s="581"/>
      <c r="BP207" s="580"/>
      <c r="BQ207" s="581"/>
      <c r="BR207" s="580"/>
      <c r="BS207" s="580"/>
      <c r="BT207" s="580"/>
      <c r="BU207" s="580"/>
      <c r="BV207" s="580"/>
      <c r="BW207" s="580"/>
      <c r="BX207" s="580"/>
      <c r="BY207" s="581"/>
      <c r="BZ207" s="580"/>
      <c r="CA207" s="581"/>
      <c r="CB207" s="580"/>
      <c r="CC207" s="580"/>
      <c r="CD207" s="580"/>
      <c r="CE207" s="580"/>
      <c r="CF207" s="580"/>
      <c r="CG207" s="580"/>
    </row>
    <row r="208" spans="1:85" ht="24" customHeight="1">
      <c r="A208" s="580"/>
      <c r="B208" s="580"/>
      <c r="C208" s="580"/>
      <c r="D208" s="580"/>
      <c r="E208" s="580"/>
      <c r="F208" s="580"/>
      <c r="G208" s="580"/>
      <c r="H208" s="580"/>
      <c r="I208" s="580"/>
      <c r="J208" s="580"/>
      <c r="K208" s="581"/>
      <c r="L208" s="580"/>
      <c r="M208" s="580"/>
      <c r="N208" s="580"/>
      <c r="O208" s="580"/>
      <c r="P208" s="580"/>
      <c r="Q208" s="580"/>
      <c r="R208" s="580"/>
      <c r="S208" s="580"/>
      <c r="T208" s="580"/>
      <c r="U208" s="580"/>
      <c r="V208" s="580"/>
      <c r="W208" s="580"/>
      <c r="X208" s="580"/>
      <c r="Y208" s="580"/>
      <c r="Z208" s="580"/>
      <c r="AA208" s="580"/>
      <c r="AB208" s="580"/>
      <c r="AC208" s="580"/>
      <c r="AD208" s="580"/>
      <c r="AE208" s="581"/>
      <c r="AF208" s="580"/>
      <c r="AG208" s="581"/>
      <c r="AH208" s="580"/>
      <c r="AI208" s="580"/>
      <c r="AJ208" s="580"/>
      <c r="AK208" s="580"/>
      <c r="AL208" s="580"/>
      <c r="AM208" s="580"/>
      <c r="AN208" s="580"/>
      <c r="AO208" s="580"/>
      <c r="AP208" s="580"/>
      <c r="AQ208" s="580"/>
      <c r="AR208" s="580"/>
      <c r="AS208" s="580"/>
      <c r="AT208" s="580"/>
      <c r="AU208" s="580"/>
      <c r="AV208" s="580"/>
      <c r="AW208" s="580"/>
      <c r="AX208" s="580"/>
      <c r="AY208" s="580"/>
      <c r="AZ208" s="580"/>
      <c r="BA208" s="580"/>
      <c r="BB208" s="580"/>
      <c r="BC208" s="580"/>
      <c r="BD208" s="580"/>
      <c r="BE208" s="580"/>
      <c r="BF208" s="580"/>
      <c r="BG208" s="580"/>
      <c r="BH208" s="580"/>
      <c r="BI208" s="580"/>
      <c r="BJ208" s="580"/>
      <c r="BK208" s="580"/>
      <c r="BL208" s="580"/>
      <c r="BM208" s="580"/>
      <c r="BN208" s="580"/>
      <c r="BO208" s="581"/>
      <c r="BP208" s="580"/>
      <c r="BQ208" s="581"/>
      <c r="BR208" s="580"/>
      <c r="BS208" s="580"/>
      <c r="BT208" s="580"/>
      <c r="BU208" s="580"/>
      <c r="BV208" s="580"/>
      <c r="BW208" s="580"/>
      <c r="BX208" s="580"/>
      <c r="BY208" s="581"/>
      <c r="BZ208" s="580"/>
      <c r="CA208" s="581"/>
      <c r="CB208" s="580"/>
      <c r="CC208" s="580"/>
      <c r="CD208" s="580"/>
      <c r="CE208" s="580"/>
      <c r="CF208" s="580"/>
      <c r="CG208" s="580"/>
    </row>
    <row r="209" spans="1:85" ht="24" customHeight="1">
      <c r="A209" s="580"/>
      <c r="B209" s="580"/>
      <c r="C209" s="580"/>
      <c r="D209" s="580"/>
      <c r="E209" s="580"/>
      <c r="F209" s="580"/>
      <c r="G209" s="580"/>
      <c r="H209" s="580"/>
      <c r="I209" s="580"/>
      <c r="J209" s="580"/>
      <c r="K209" s="581"/>
      <c r="L209" s="580"/>
      <c r="M209" s="580"/>
      <c r="N209" s="580"/>
      <c r="O209" s="580"/>
      <c r="P209" s="580"/>
      <c r="Q209" s="580"/>
      <c r="R209" s="580"/>
      <c r="S209" s="580"/>
      <c r="T209" s="580"/>
      <c r="U209" s="580"/>
      <c r="V209" s="580"/>
      <c r="W209" s="580"/>
      <c r="X209" s="580"/>
      <c r="Y209" s="580"/>
      <c r="Z209" s="580"/>
      <c r="AA209" s="580"/>
      <c r="AB209" s="580"/>
      <c r="AC209" s="580"/>
      <c r="AD209" s="580"/>
      <c r="AE209" s="581"/>
      <c r="AF209" s="580"/>
      <c r="AG209" s="581"/>
      <c r="AH209" s="580"/>
      <c r="AI209" s="580"/>
      <c r="AJ209" s="580"/>
      <c r="AK209" s="580"/>
      <c r="AL209" s="580"/>
      <c r="AM209" s="580"/>
      <c r="AN209" s="580"/>
      <c r="AO209" s="580"/>
      <c r="AP209" s="580"/>
      <c r="AQ209" s="580"/>
      <c r="AR209" s="580"/>
      <c r="AS209" s="580"/>
      <c r="AT209" s="580"/>
      <c r="AU209" s="580"/>
      <c r="AV209" s="580"/>
      <c r="AW209" s="580"/>
      <c r="AX209" s="580"/>
      <c r="AY209" s="580"/>
      <c r="AZ209" s="580"/>
      <c r="BA209" s="580"/>
      <c r="BB209" s="580"/>
      <c r="BC209" s="580"/>
      <c r="BD209" s="580"/>
      <c r="BE209" s="580"/>
      <c r="BF209" s="580"/>
      <c r="BG209" s="580"/>
      <c r="BH209" s="580"/>
      <c r="BI209" s="580"/>
      <c r="BJ209" s="580"/>
      <c r="BK209" s="580"/>
      <c r="BL209" s="580"/>
      <c r="BM209" s="580"/>
      <c r="BN209" s="580"/>
      <c r="BO209" s="581"/>
      <c r="BP209" s="580"/>
      <c r="BQ209" s="581"/>
      <c r="BR209" s="580"/>
      <c r="BS209" s="580"/>
      <c r="BT209" s="580"/>
      <c r="BU209" s="580"/>
      <c r="BV209" s="580"/>
      <c r="BW209" s="580"/>
      <c r="BX209" s="580"/>
      <c r="BY209" s="581"/>
      <c r="BZ209" s="580"/>
      <c r="CA209" s="581"/>
      <c r="CB209" s="580"/>
      <c r="CC209" s="580"/>
      <c r="CD209" s="580"/>
      <c r="CE209" s="580"/>
      <c r="CF209" s="580"/>
      <c r="CG209" s="580"/>
    </row>
    <row r="210" spans="1:85" ht="24" customHeight="1">
      <c r="A210" s="580"/>
      <c r="B210" s="580"/>
      <c r="C210" s="580"/>
      <c r="D210" s="580"/>
      <c r="E210" s="580"/>
      <c r="F210" s="580"/>
      <c r="G210" s="580"/>
      <c r="H210" s="580"/>
      <c r="I210" s="580"/>
      <c r="J210" s="580"/>
      <c r="K210" s="581"/>
      <c r="L210" s="580"/>
      <c r="M210" s="580"/>
      <c r="N210" s="580"/>
      <c r="O210" s="580"/>
      <c r="P210" s="580"/>
      <c r="Q210" s="580"/>
      <c r="R210" s="580"/>
      <c r="S210" s="580"/>
      <c r="T210" s="580"/>
      <c r="U210" s="580"/>
      <c r="V210" s="580"/>
      <c r="W210" s="580"/>
      <c r="X210" s="580"/>
      <c r="Y210" s="580"/>
      <c r="Z210" s="580"/>
      <c r="AA210" s="580"/>
      <c r="AB210" s="580"/>
      <c r="AC210" s="580"/>
      <c r="AD210" s="580"/>
      <c r="AE210" s="581"/>
      <c r="AF210" s="580"/>
      <c r="AG210" s="581"/>
      <c r="AH210" s="580"/>
      <c r="AI210" s="580"/>
      <c r="AJ210" s="580"/>
      <c r="AK210" s="580"/>
      <c r="AL210" s="580"/>
      <c r="AM210" s="580"/>
      <c r="AN210" s="580"/>
      <c r="AO210" s="580"/>
      <c r="AP210" s="580"/>
      <c r="AQ210" s="580"/>
      <c r="AR210" s="580"/>
      <c r="AS210" s="580"/>
      <c r="AT210" s="580"/>
      <c r="AU210" s="580"/>
      <c r="AV210" s="580"/>
      <c r="AW210" s="580"/>
      <c r="AX210" s="580"/>
      <c r="AY210" s="580"/>
      <c r="AZ210" s="580"/>
      <c r="BA210" s="580"/>
      <c r="BB210" s="580"/>
      <c r="BC210" s="580"/>
      <c r="BD210" s="580"/>
      <c r="BE210" s="580"/>
      <c r="BF210" s="580"/>
      <c r="BG210" s="580"/>
      <c r="BH210" s="580"/>
      <c r="BI210" s="580"/>
      <c r="BJ210" s="580"/>
      <c r="BK210" s="580"/>
      <c r="BL210" s="580"/>
      <c r="BM210" s="580"/>
      <c r="BN210" s="580"/>
      <c r="BO210" s="581"/>
      <c r="BP210" s="580"/>
      <c r="BQ210" s="581"/>
      <c r="BR210" s="580"/>
      <c r="BS210" s="580"/>
      <c r="BT210" s="580"/>
      <c r="BU210" s="580"/>
      <c r="BV210" s="580"/>
      <c r="BW210" s="580"/>
      <c r="BX210" s="580"/>
      <c r="BY210" s="581"/>
      <c r="BZ210" s="580"/>
      <c r="CA210" s="581"/>
      <c r="CB210" s="580"/>
      <c r="CC210" s="580"/>
      <c r="CD210" s="580"/>
      <c r="CE210" s="580"/>
      <c r="CF210" s="580"/>
      <c r="CG210" s="580"/>
    </row>
    <row r="211" spans="1:85" ht="24" customHeight="1">
      <c r="A211" s="580"/>
      <c r="B211" s="580"/>
      <c r="C211" s="580"/>
      <c r="D211" s="580"/>
      <c r="E211" s="580"/>
      <c r="F211" s="580"/>
      <c r="G211" s="580"/>
      <c r="H211" s="580"/>
      <c r="I211" s="580"/>
      <c r="J211" s="580"/>
      <c r="K211" s="581"/>
      <c r="L211" s="580"/>
      <c r="M211" s="580"/>
      <c r="N211" s="580"/>
      <c r="O211" s="580"/>
      <c r="P211" s="580"/>
      <c r="Q211" s="580"/>
      <c r="R211" s="580"/>
      <c r="S211" s="580"/>
      <c r="T211" s="580"/>
      <c r="U211" s="580"/>
      <c r="V211" s="580"/>
      <c r="W211" s="580"/>
      <c r="X211" s="580"/>
      <c r="Y211" s="580"/>
      <c r="Z211" s="580"/>
      <c r="AA211" s="580"/>
      <c r="AB211" s="580"/>
      <c r="AC211" s="580"/>
      <c r="AD211" s="580"/>
      <c r="AE211" s="581"/>
      <c r="AF211" s="580"/>
      <c r="AG211" s="581"/>
      <c r="AH211" s="580"/>
      <c r="AI211" s="580"/>
      <c r="AJ211" s="580"/>
      <c r="AK211" s="580"/>
      <c r="AL211" s="580"/>
      <c r="AM211" s="580"/>
      <c r="AN211" s="580"/>
      <c r="AO211" s="580"/>
      <c r="AP211" s="580"/>
      <c r="AQ211" s="580"/>
      <c r="AR211" s="580"/>
      <c r="AS211" s="580"/>
      <c r="AT211" s="580"/>
      <c r="AU211" s="580"/>
      <c r="AV211" s="580"/>
      <c r="AW211" s="580"/>
      <c r="AX211" s="580"/>
      <c r="AY211" s="580"/>
      <c r="AZ211" s="580"/>
      <c r="BA211" s="580"/>
      <c r="BB211" s="580"/>
      <c r="BC211" s="580"/>
      <c r="BD211" s="580"/>
      <c r="BE211" s="580"/>
      <c r="BF211" s="580"/>
      <c r="BG211" s="580"/>
      <c r="BH211" s="580"/>
      <c r="BI211" s="580"/>
      <c r="BJ211" s="580"/>
      <c r="BK211" s="580"/>
      <c r="BL211" s="580"/>
      <c r="BM211" s="580"/>
      <c r="BN211" s="580"/>
      <c r="BO211" s="581"/>
      <c r="BP211" s="580"/>
      <c r="BQ211" s="581"/>
      <c r="BR211" s="580"/>
      <c r="BS211" s="580"/>
      <c r="BT211" s="580"/>
      <c r="BU211" s="580"/>
      <c r="BV211" s="580"/>
      <c r="BW211" s="580"/>
      <c r="BX211" s="580"/>
      <c r="BY211" s="581"/>
      <c r="BZ211" s="580"/>
      <c r="CA211" s="581"/>
      <c r="CB211" s="580"/>
      <c r="CC211" s="580"/>
      <c r="CD211" s="580"/>
      <c r="CE211" s="580"/>
      <c r="CF211" s="580"/>
      <c r="CG211" s="580"/>
    </row>
    <row r="212" spans="1:85" ht="24" customHeight="1">
      <c r="A212" s="580"/>
      <c r="B212" s="580"/>
      <c r="C212" s="580"/>
      <c r="D212" s="580"/>
      <c r="E212" s="580"/>
      <c r="F212" s="580"/>
      <c r="G212" s="580"/>
      <c r="H212" s="580"/>
      <c r="I212" s="580"/>
      <c r="J212" s="580"/>
      <c r="K212" s="581"/>
      <c r="L212" s="580"/>
      <c r="M212" s="580"/>
      <c r="N212" s="580"/>
      <c r="O212" s="580"/>
      <c r="P212" s="580"/>
      <c r="Q212" s="580"/>
      <c r="R212" s="580"/>
      <c r="S212" s="580"/>
      <c r="T212" s="580"/>
      <c r="U212" s="580"/>
      <c r="V212" s="580"/>
      <c r="W212" s="580"/>
      <c r="X212" s="580"/>
      <c r="Y212" s="580"/>
      <c r="Z212" s="580"/>
      <c r="AA212" s="580"/>
      <c r="AB212" s="580"/>
      <c r="AC212" s="580"/>
      <c r="AD212" s="580"/>
      <c r="AE212" s="581"/>
      <c r="AF212" s="580"/>
      <c r="AG212" s="581"/>
      <c r="AH212" s="580"/>
      <c r="AI212" s="580"/>
      <c r="AJ212" s="580"/>
      <c r="AK212" s="580"/>
      <c r="AL212" s="580"/>
      <c r="AM212" s="580"/>
      <c r="AN212" s="580"/>
      <c r="AO212" s="580"/>
      <c r="AP212" s="580"/>
      <c r="AQ212" s="580"/>
      <c r="AR212" s="580"/>
      <c r="AS212" s="580"/>
      <c r="AT212" s="580"/>
      <c r="AU212" s="580"/>
      <c r="AV212" s="580"/>
      <c r="AW212" s="580"/>
      <c r="AX212" s="580"/>
      <c r="AY212" s="580"/>
      <c r="AZ212" s="580"/>
      <c r="BA212" s="580"/>
      <c r="BB212" s="580"/>
      <c r="BC212" s="580"/>
      <c r="BD212" s="580"/>
      <c r="BE212" s="580"/>
      <c r="BF212" s="580"/>
      <c r="BG212" s="580"/>
      <c r="BH212" s="580"/>
      <c r="BI212" s="580"/>
      <c r="BJ212" s="580"/>
      <c r="BK212" s="580"/>
      <c r="BL212" s="580"/>
      <c r="BM212" s="580"/>
      <c r="BN212" s="580"/>
      <c r="BO212" s="581"/>
      <c r="BP212" s="580"/>
      <c r="BQ212" s="581"/>
      <c r="BR212" s="580"/>
      <c r="BS212" s="580"/>
      <c r="BT212" s="580"/>
      <c r="BU212" s="580"/>
      <c r="BV212" s="580"/>
      <c r="BW212" s="580"/>
      <c r="BX212" s="580"/>
      <c r="BY212" s="581"/>
      <c r="BZ212" s="580"/>
      <c r="CA212" s="581"/>
      <c r="CB212" s="580"/>
      <c r="CC212" s="580"/>
      <c r="CD212" s="580"/>
      <c r="CE212" s="580"/>
      <c r="CF212" s="580"/>
      <c r="CG212" s="580"/>
    </row>
    <row r="213" spans="1:85" ht="24" customHeight="1">
      <c r="A213" s="580"/>
      <c r="B213" s="580"/>
      <c r="C213" s="580"/>
      <c r="D213" s="580"/>
      <c r="E213" s="580"/>
      <c r="F213" s="580"/>
      <c r="G213" s="580"/>
      <c r="H213" s="580"/>
      <c r="I213" s="580"/>
      <c r="J213" s="580"/>
      <c r="K213" s="581"/>
      <c r="L213" s="580"/>
      <c r="M213" s="580"/>
      <c r="N213" s="580"/>
      <c r="O213" s="580"/>
      <c r="P213" s="580"/>
      <c r="Q213" s="580"/>
      <c r="R213" s="580"/>
      <c r="S213" s="580"/>
      <c r="T213" s="580"/>
      <c r="U213" s="580"/>
      <c r="V213" s="580"/>
      <c r="W213" s="580"/>
      <c r="X213" s="580"/>
      <c r="Y213" s="580"/>
      <c r="Z213" s="580"/>
      <c r="AA213" s="580"/>
      <c r="AB213" s="580"/>
      <c r="AC213" s="580"/>
      <c r="AD213" s="580"/>
      <c r="AE213" s="581"/>
      <c r="AF213" s="580"/>
      <c r="AG213" s="581"/>
      <c r="AH213" s="580"/>
      <c r="AI213" s="580"/>
      <c r="AJ213" s="580"/>
      <c r="AK213" s="580"/>
      <c r="AL213" s="580"/>
      <c r="AM213" s="580"/>
      <c r="AN213" s="580"/>
      <c r="AO213" s="580"/>
      <c r="AP213" s="580"/>
      <c r="AQ213" s="580"/>
      <c r="AR213" s="580"/>
      <c r="AS213" s="580"/>
      <c r="AT213" s="580"/>
      <c r="AU213" s="580"/>
      <c r="AV213" s="580"/>
      <c r="AW213" s="580"/>
      <c r="AX213" s="580"/>
      <c r="AY213" s="580"/>
      <c r="AZ213" s="580"/>
      <c r="BA213" s="580"/>
      <c r="BB213" s="580"/>
      <c r="BC213" s="580"/>
      <c r="BD213" s="580"/>
      <c r="BE213" s="580"/>
      <c r="BF213" s="580"/>
      <c r="BG213" s="580"/>
      <c r="BH213" s="580"/>
      <c r="BI213" s="580"/>
      <c r="BJ213" s="580"/>
      <c r="BK213" s="580"/>
      <c r="BL213" s="580"/>
      <c r="BM213" s="580"/>
      <c r="BN213" s="580"/>
      <c r="BO213" s="581"/>
      <c r="BP213" s="580"/>
      <c r="BQ213" s="581"/>
      <c r="BR213" s="580"/>
      <c r="BS213" s="580"/>
      <c r="BT213" s="580"/>
      <c r="BU213" s="580"/>
      <c r="BV213" s="580"/>
      <c r="BW213" s="580"/>
      <c r="BX213" s="580"/>
      <c r="BY213" s="581"/>
      <c r="BZ213" s="580"/>
      <c r="CA213" s="581"/>
      <c r="CB213" s="580"/>
      <c r="CC213" s="580"/>
      <c r="CD213" s="580"/>
      <c r="CE213" s="580"/>
      <c r="CF213" s="580"/>
      <c r="CG213" s="580"/>
    </row>
    <row r="214" spans="1:85" ht="24" customHeight="1">
      <c r="A214" s="580"/>
      <c r="B214" s="580"/>
      <c r="C214" s="580"/>
      <c r="D214" s="580"/>
      <c r="E214" s="580"/>
      <c r="F214" s="580"/>
      <c r="G214" s="580"/>
      <c r="H214" s="580"/>
      <c r="I214" s="580"/>
      <c r="J214" s="580"/>
      <c r="K214" s="581"/>
      <c r="L214" s="580"/>
      <c r="M214" s="580"/>
      <c r="N214" s="580"/>
      <c r="O214" s="580"/>
      <c r="P214" s="580"/>
      <c r="Q214" s="580"/>
      <c r="R214" s="580"/>
      <c r="S214" s="580"/>
      <c r="T214" s="580"/>
      <c r="U214" s="580"/>
      <c r="V214" s="580"/>
      <c r="W214" s="580"/>
      <c r="X214" s="580"/>
      <c r="Y214" s="580"/>
      <c r="Z214" s="580"/>
      <c r="AA214" s="580"/>
      <c r="AB214" s="580"/>
      <c r="AC214" s="580"/>
      <c r="AD214" s="580"/>
      <c r="AE214" s="581"/>
      <c r="AF214" s="580"/>
      <c r="AG214" s="581"/>
      <c r="AH214" s="580"/>
      <c r="AI214" s="580"/>
      <c r="AJ214" s="580"/>
      <c r="AK214" s="580"/>
      <c r="AL214" s="580"/>
      <c r="AM214" s="580"/>
      <c r="AN214" s="580"/>
      <c r="AO214" s="580"/>
      <c r="AP214" s="580"/>
      <c r="AQ214" s="580"/>
      <c r="AR214" s="580"/>
      <c r="AS214" s="580"/>
      <c r="AT214" s="580"/>
      <c r="AU214" s="580"/>
      <c r="AV214" s="580"/>
      <c r="AW214" s="580"/>
      <c r="AX214" s="580"/>
      <c r="AY214" s="580"/>
      <c r="AZ214" s="580"/>
      <c r="BA214" s="580"/>
      <c r="BB214" s="580"/>
      <c r="BC214" s="580"/>
      <c r="BD214" s="580"/>
      <c r="BE214" s="580"/>
      <c r="BF214" s="580"/>
      <c r="BG214" s="580"/>
      <c r="BH214" s="580"/>
      <c r="BI214" s="580"/>
      <c r="BJ214" s="580"/>
      <c r="BK214" s="580"/>
      <c r="BL214" s="580"/>
      <c r="BM214" s="580"/>
      <c r="BN214" s="580"/>
      <c r="BO214" s="581"/>
      <c r="BP214" s="580"/>
      <c r="BQ214" s="581"/>
      <c r="BR214" s="580"/>
      <c r="BS214" s="580"/>
      <c r="BT214" s="580"/>
      <c r="BU214" s="580"/>
      <c r="BV214" s="580"/>
      <c r="BW214" s="580"/>
      <c r="BX214" s="580"/>
      <c r="BY214" s="581"/>
      <c r="BZ214" s="580"/>
      <c r="CA214" s="581"/>
      <c r="CB214" s="580"/>
      <c r="CC214" s="580"/>
      <c r="CD214" s="580"/>
      <c r="CE214" s="580"/>
      <c r="CF214" s="580"/>
      <c r="CG214" s="580"/>
    </row>
    <row r="215" spans="1:85" ht="24" customHeight="1">
      <c r="A215" s="580"/>
      <c r="B215" s="580"/>
      <c r="C215" s="580"/>
      <c r="D215" s="580"/>
      <c r="E215" s="580"/>
      <c r="F215" s="580"/>
      <c r="G215" s="580"/>
      <c r="H215" s="580"/>
      <c r="I215" s="580"/>
      <c r="J215" s="580"/>
      <c r="K215" s="581"/>
      <c r="L215" s="580"/>
      <c r="M215" s="580"/>
      <c r="N215" s="580"/>
      <c r="O215" s="580"/>
      <c r="P215" s="580"/>
      <c r="Q215" s="580"/>
      <c r="R215" s="580"/>
      <c r="S215" s="580"/>
      <c r="T215" s="580"/>
      <c r="U215" s="580"/>
      <c r="V215" s="580"/>
      <c r="W215" s="580"/>
      <c r="X215" s="580"/>
      <c r="Y215" s="580"/>
      <c r="Z215" s="580"/>
      <c r="AA215" s="580"/>
      <c r="AB215" s="580"/>
      <c r="AC215" s="580"/>
      <c r="AD215" s="580"/>
      <c r="AE215" s="581"/>
      <c r="AF215" s="580"/>
      <c r="AG215" s="581"/>
      <c r="AH215" s="580"/>
      <c r="AI215" s="580"/>
      <c r="AJ215" s="580"/>
      <c r="AK215" s="580"/>
      <c r="AL215" s="580"/>
      <c r="AM215" s="580"/>
      <c r="AN215" s="580"/>
      <c r="AO215" s="580"/>
      <c r="AP215" s="580"/>
      <c r="AQ215" s="580"/>
      <c r="AR215" s="580"/>
      <c r="AS215" s="580"/>
      <c r="AT215" s="580"/>
      <c r="AU215" s="580"/>
      <c r="AV215" s="580"/>
      <c r="AW215" s="580"/>
      <c r="AX215" s="580"/>
      <c r="AY215" s="580"/>
      <c r="AZ215" s="580"/>
      <c r="BA215" s="580"/>
      <c r="BB215" s="580"/>
      <c r="BC215" s="580"/>
      <c r="BD215" s="580"/>
      <c r="BE215" s="580"/>
      <c r="BF215" s="580"/>
      <c r="BG215" s="580"/>
      <c r="BH215" s="580"/>
      <c r="BI215" s="580"/>
      <c r="BJ215" s="580"/>
      <c r="BK215" s="580"/>
      <c r="BL215" s="580"/>
      <c r="BM215" s="580"/>
      <c r="BN215" s="580"/>
      <c r="BO215" s="581"/>
      <c r="BP215" s="580"/>
      <c r="BQ215" s="581"/>
      <c r="BR215" s="580"/>
      <c r="BS215" s="580"/>
      <c r="BT215" s="580"/>
      <c r="BU215" s="580"/>
      <c r="BV215" s="580"/>
      <c r="BW215" s="580"/>
      <c r="BX215" s="580"/>
      <c r="BY215" s="581"/>
      <c r="BZ215" s="580"/>
      <c r="CA215" s="581"/>
      <c r="CB215" s="580"/>
      <c r="CC215" s="580"/>
      <c r="CD215" s="580"/>
      <c r="CE215" s="580"/>
      <c r="CF215" s="580"/>
      <c r="CG215" s="580"/>
    </row>
    <row r="216" spans="1:85" ht="24" customHeight="1">
      <c r="A216" s="580"/>
      <c r="B216" s="580"/>
      <c r="C216" s="580"/>
      <c r="D216" s="580"/>
      <c r="E216" s="580"/>
      <c r="F216" s="580"/>
      <c r="G216" s="580"/>
      <c r="H216" s="580"/>
      <c r="I216" s="580"/>
      <c r="J216" s="580"/>
      <c r="K216" s="581"/>
      <c r="L216" s="580"/>
      <c r="M216" s="580"/>
      <c r="N216" s="580"/>
      <c r="O216" s="580"/>
      <c r="P216" s="580"/>
      <c r="Q216" s="580"/>
      <c r="R216" s="580"/>
      <c r="S216" s="580"/>
      <c r="T216" s="580"/>
      <c r="U216" s="580"/>
      <c r="V216" s="580"/>
      <c r="W216" s="580"/>
      <c r="X216" s="580"/>
      <c r="Y216" s="580"/>
      <c r="Z216" s="580"/>
      <c r="AA216" s="580"/>
      <c r="AB216" s="580"/>
      <c r="AC216" s="580"/>
      <c r="AD216" s="580"/>
      <c r="AE216" s="581"/>
      <c r="AF216" s="580"/>
      <c r="AG216" s="581"/>
      <c r="AH216" s="580"/>
      <c r="AI216" s="580"/>
      <c r="AJ216" s="580"/>
      <c r="AK216" s="580"/>
      <c r="AL216" s="580"/>
      <c r="AM216" s="580"/>
      <c r="AN216" s="580"/>
      <c r="AO216" s="580"/>
      <c r="AP216" s="580"/>
      <c r="AQ216" s="580"/>
      <c r="AR216" s="580"/>
      <c r="AS216" s="580"/>
      <c r="AT216" s="580"/>
      <c r="AU216" s="580"/>
      <c r="AV216" s="580"/>
      <c r="AW216" s="580"/>
      <c r="AX216" s="580"/>
      <c r="AY216" s="580"/>
      <c r="AZ216" s="580"/>
      <c r="BA216" s="580"/>
      <c r="BB216" s="580"/>
      <c r="BC216" s="580"/>
      <c r="BD216" s="580"/>
      <c r="BE216" s="580"/>
      <c r="BF216" s="580"/>
      <c r="BG216" s="580"/>
      <c r="BH216" s="580"/>
      <c r="BI216" s="580"/>
      <c r="BJ216" s="580"/>
      <c r="BK216" s="580"/>
      <c r="BL216" s="580"/>
      <c r="BM216" s="580"/>
      <c r="BN216" s="580"/>
      <c r="BO216" s="581"/>
      <c r="BP216" s="580"/>
      <c r="BQ216" s="581"/>
      <c r="BR216" s="580"/>
      <c r="BS216" s="580"/>
      <c r="BT216" s="580"/>
      <c r="BU216" s="580"/>
      <c r="BV216" s="580"/>
      <c r="BW216" s="580"/>
      <c r="BX216" s="580"/>
      <c r="BY216" s="581"/>
      <c r="BZ216" s="580"/>
      <c r="CA216" s="581"/>
      <c r="CB216" s="580"/>
      <c r="CC216" s="580"/>
      <c r="CD216" s="580"/>
      <c r="CE216" s="580"/>
      <c r="CF216" s="580"/>
      <c r="CG216" s="580"/>
    </row>
    <row r="217" spans="1:85" ht="24" customHeight="1">
      <c r="A217" s="580"/>
      <c r="B217" s="580"/>
      <c r="C217" s="580"/>
      <c r="D217" s="580"/>
      <c r="E217" s="580"/>
      <c r="F217" s="580"/>
      <c r="G217" s="580"/>
      <c r="H217" s="580"/>
      <c r="I217" s="580"/>
      <c r="J217" s="580"/>
      <c r="K217" s="581"/>
      <c r="L217" s="580"/>
      <c r="M217" s="580"/>
      <c r="N217" s="580"/>
      <c r="O217" s="580"/>
      <c r="P217" s="580"/>
      <c r="Q217" s="580"/>
      <c r="R217" s="580"/>
      <c r="S217" s="580"/>
      <c r="T217" s="580"/>
      <c r="U217" s="580"/>
      <c r="V217" s="580"/>
      <c r="W217" s="580"/>
      <c r="X217" s="580"/>
      <c r="Y217" s="580"/>
      <c r="Z217" s="580"/>
      <c r="AA217" s="580"/>
      <c r="AB217" s="580"/>
      <c r="AC217" s="580"/>
      <c r="AD217" s="580"/>
      <c r="AE217" s="581"/>
      <c r="AF217" s="580"/>
      <c r="AG217" s="581"/>
      <c r="AH217" s="580"/>
      <c r="AI217" s="580"/>
      <c r="AJ217" s="580"/>
      <c r="AK217" s="580"/>
      <c r="AL217" s="580"/>
      <c r="AM217" s="580"/>
      <c r="AN217" s="580"/>
      <c r="AO217" s="580"/>
      <c r="AP217" s="580"/>
      <c r="AQ217" s="580"/>
      <c r="AR217" s="580"/>
      <c r="AS217" s="580"/>
      <c r="AT217" s="580"/>
      <c r="AU217" s="580"/>
      <c r="AV217" s="580"/>
      <c r="AW217" s="580"/>
      <c r="AX217" s="580"/>
      <c r="AY217" s="580"/>
      <c r="AZ217" s="580"/>
      <c r="BA217" s="580"/>
      <c r="BB217" s="580"/>
      <c r="BC217" s="580"/>
      <c r="BD217" s="580"/>
      <c r="BE217" s="580"/>
      <c r="BF217" s="580"/>
      <c r="BG217" s="580"/>
      <c r="BH217" s="580"/>
      <c r="BI217" s="580"/>
      <c r="BJ217" s="580"/>
      <c r="BK217" s="580"/>
      <c r="BL217" s="580"/>
      <c r="BM217" s="580"/>
      <c r="BN217" s="580"/>
      <c r="BO217" s="581"/>
      <c r="BP217" s="580"/>
      <c r="BQ217" s="581"/>
      <c r="BR217" s="580"/>
      <c r="BS217" s="580"/>
      <c r="BT217" s="580"/>
      <c r="BU217" s="580"/>
      <c r="BV217" s="580"/>
      <c r="BW217" s="580"/>
      <c r="BX217" s="580"/>
      <c r="BY217" s="581"/>
      <c r="BZ217" s="580"/>
      <c r="CA217" s="581"/>
      <c r="CB217" s="580"/>
      <c r="CC217" s="580"/>
      <c r="CD217" s="580"/>
      <c r="CE217" s="580"/>
      <c r="CF217" s="580"/>
      <c r="CG217" s="580"/>
    </row>
    <row r="218" spans="1:85" ht="24" customHeight="1">
      <c r="A218" s="580"/>
      <c r="B218" s="580"/>
      <c r="C218" s="580"/>
      <c r="D218" s="580"/>
      <c r="E218" s="580"/>
      <c r="F218" s="580"/>
      <c r="G218" s="580"/>
      <c r="H218" s="580"/>
      <c r="I218" s="580"/>
      <c r="J218" s="580"/>
      <c r="K218" s="581"/>
      <c r="L218" s="580"/>
      <c r="M218" s="580"/>
      <c r="N218" s="580"/>
      <c r="O218" s="580"/>
      <c r="P218" s="580"/>
      <c r="Q218" s="580"/>
      <c r="R218" s="580"/>
      <c r="S218" s="580"/>
      <c r="T218" s="580"/>
      <c r="U218" s="580"/>
      <c r="V218" s="580"/>
      <c r="W218" s="580"/>
      <c r="X218" s="580"/>
      <c r="Y218" s="580"/>
      <c r="Z218" s="580"/>
      <c r="AA218" s="580"/>
      <c r="AB218" s="580"/>
      <c r="AC218" s="580"/>
      <c r="AD218" s="580"/>
      <c r="AE218" s="581"/>
      <c r="AF218" s="580"/>
      <c r="AG218" s="581"/>
      <c r="AH218" s="580"/>
      <c r="AI218" s="580"/>
      <c r="AJ218" s="580"/>
      <c r="AK218" s="580"/>
      <c r="AL218" s="580"/>
      <c r="AM218" s="580"/>
      <c r="AN218" s="580"/>
      <c r="AO218" s="580"/>
      <c r="AP218" s="580"/>
      <c r="AQ218" s="580"/>
      <c r="AR218" s="580"/>
      <c r="AS218" s="580"/>
      <c r="AT218" s="580"/>
      <c r="AU218" s="580"/>
      <c r="AV218" s="580"/>
      <c r="AW218" s="580"/>
      <c r="AX218" s="580"/>
      <c r="AY218" s="580"/>
      <c r="AZ218" s="580"/>
      <c r="BA218" s="580"/>
      <c r="BB218" s="580"/>
      <c r="BC218" s="580"/>
      <c r="BD218" s="580"/>
      <c r="BE218" s="580"/>
      <c r="BF218" s="580"/>
      <c r="BG218" s="580"/>
      <c r="BH218" s="580"/>
      <c r="BI218" s="580"/>
      <c r="BJ218" s="580"/>
      <c r="BK218" s="580"/>
      <c r="BL218" s="580"/>
      <c r="BM218" s="580"/>
      <c r="BN218" s="580"/>
      <c r="BO218" s="581"/>
      <c r="BP218" s="580"/>
      <c r="BQ218" s="581"/>
      <c r="BR218" s="580"/>
      <c r="BS218" s="580"/>
      <c r="BT218" s="580"/>
      <c r="BU218" s="580"/>
      <c r="BV218" s="580"/>
      <c r="BW218" s="580"/>
      <c r="BX218" s="580"/>
      <c r="BY218" s="581"/>
      <c r="BZ218" s="580"/>
      <c r="CA218" s="581"/>
      <c r="CB218" s="580"/>
      <c r="CC218" s="580"/>
      <c r="CD218" s="580"/>
      <c r="CE218" s="580"/>
      <c r="CF218" s="580"/>
      <c r="CG218" s="580"/>
    </row>
    <row r="219" spans="1:85" ht="24" customHeight="1">
      <c r="A219" s="580"/>
      <c r="B219" s="580"/>
      <c r="C219" s="580"/>
      <c r="D219" s="580"/>
      <c r="E219" s="580"/>
      <c r="F219" s="580"/>
      <c r="G219" s="580"/>
      <c r="H219" s="580"/>
      <c r="I219" s="580"/>
      <c r="J219" s="580"/>
      <c r="K219" s="581"/>
      <c r="L219" s="580"/>
      <c r="M219" s="580"/>
      <c r="N219" s="580"/>
      <c r="O219" s="580"/>
      <c r="P219" s="580"/>
      <c r="Q219" s="580"/>
      <c r="R219" s="580"/>
      <c r="S219" s="580"/>
      <c r="T219" s="580"/>
      <c r="U219" s="580"/>
      <c r="V219" s="580"/>
      <c r="W219" s="580"/>
      <c r="X219" s="580"/>
      <c r="Y219" s="580"/>
      <c r="Z219" s="580"/>
      <c r="AA219" s="580"/>
      <c r="AB219" s="580"/>
      <c r="AC219" s="580"/>
      <c r="AD219" s="580"/>
      <c r="AE219" s="581"/>
      <c r="AF219" s="580"/>
      <c r="AG219" s="581"/>
      <c r="AH219" s="580"/>
      <c r="AI219" s="580"/>
      <c r="AJ219" s="580"/>
      <c r="AK219" s="580"/>
      <c r="AL219" s="580"/>
      <c r="AM219" s="580"/>
      <c r="AN219" s="580"/>
      <c r="AO219" s="580"/>
      <c r="AP219" s="580"/>
      <c r="AQ219" s="580"/>
      <c r="AR219" s="580"/>
      <c r="AS219" s="580"/>
      <c r="AT219" s="580"/>
      <c r="AU219" s="580"/>
      <c r="AV219" s="580"/>
      <c r="AW219" s="580"/>
      <c r="AX219" s="580"/>
      <c r="AY219" s="580"/>
      <c r="AZ219" s="580"/>
      <c r="BA219" s="580"/>
      <c r="BB219" s="580"/>
      <c r="BC219" s="580"/>
      <c r="BD219" s="580"/>
      <c r="BE219" s="580"/>
      <c r="BF219" s="580"/>
      <c r="BG219" s="580"/>
      <c r="BH219" s="580"/>
      <c r="BI219" s="580"/>
      <c r="BJ219" s="580"/>
      <c r="BK219" s="580"/>
      <c r="BL219" s="580"/>
      <c r="BM219" s="580"/>
      <c r="BN219" s="580"/>
      <c r="BO219" s="581"/>
      <c r="BP219" s="580"/>
      <c r="BQ219" s="581"/>
      <c r="BR219" s="580"/>
      <c r="BS219" s="580"/>
      <c r="BT219" s="580"/>
      <c r="BU219" s="580"/>
      <c r="BV219" s="580"/>
      <c r="BW219" s="580"/>
      <c r="BX219" s="580"/>
      <c r="BY219" s="581"/>
      <c r="BZ219" s="580"/>
      <c r="CA219" s="581"/>
      <c r="CB219" s="580"/>
      <c r="CC219" s="580"/>
      <c r="CD219" s="580"/>
      <c r="CE219" s="580"/>
      <c r="CF219" s="580"/>
      <c r="CG219" s="580"/>
    </row>
    <row r="220" spans="1:85" ht="24" customHeight="1">
      <c r="A220" s="580"/>
      <c r="B220" s="580"/>
      <c r="C220" s="580"/>
      <c r="D220" s="580"/>
      <c r="E220" s="580"/>
      <c r="F220" s="580"/>
      <c r="G220" s="580"/>
      <c r="H220" s="580"/>
      <c r="I220" s="580"/>
      <c r="J220" s="580"/>
      <c r="K220" s="581"/>
      <c r="L220" s="580"/>
      <c r="M220" s="580"/>
      <c r="N220" s="580"/>
      <c r="O220" s="580"/>
      <c r="P220" s="580"/>
      <c r="Q220" s="580"/>
      <c r="R220" s="580"/>
      <c r="S220" s="580"/>
      <c r="T220" s="580"/>
      <c r="U220" s="580"/>
      <c r="V220" s="580"/>
      <c r="W220" s="580"/>
      <c r="X220" s="580"/>
      <c r="Y220" s="580"/>
      <c r="Z220" s="580"/>
      <c r="AA220" s="580"/>
      <c r="AB220" s="580"/>
      <c r="AC220" s="580"/>
      <c r="AD220" s="580"/>
      <c r="AE220" s="581"/>
      <c r="AF220" s="580"/>
      <c r="AG220" s="581"/>
      <c r="AH220" s="580"/>
      <c r="AI220" s="580"/>
      <c r="AJ220" s="580"/>
      <c r="AK220" s="580"/>
      <c r="AL220" s="580"/>
      <c r="AM220" s="580"/>
      <c r="AN220" s="580"/>
      <c r="AO220" s="580"/>
      <c r="AP220" s="580"/>
      <c r="AQ220" s="580"/>
      <c r="AR220" s="580"/>
      <c r="AS220" s="580"/>
      <c r="AT220" s="580"/>
      <c r="AU220" s="580"/>
      <c r="AV220" s="580"/>
      <c r="AW220" s="580"/>
      <c r="AX220" s="580"/>
      <c r="AY220" s="580"/>
      <c r="AZ220" s="580"/>
      <c r="BA220" s="580"/>
      <c r="BB220" s="580"/>
      <c r="BC220" s="580"/>
      <c r="BD220" s="580"/>
      <c r="BE220" s="580"/>
      <c r="BF220" s="580"/>
      <c r="BG220" s="580"/>
      <c r="BH220" s="580"/>
      <c r="BI220" s="580"/>
      <c r="BJ220" s="580"/>
      <c r="BK220" s="580"/>
      <c r="BL220" s="580"/>
      <c r="BM220" s="580"/>
      <c r="BN220" s="580"/>
      <c r="BO220" s="581"/>
      <c r="BP220" s="580"/>
      <c r="BQ220" s="581"/>
      <c r="BR220" s="580"/>
      <c r="BS220" s="580"/>
      <c r="BT220" s="580"/>
      <c r="BU220" s="580"/>
      <c r="BV220" s="580"/>
      <c r="BW220" s="580"/>
      <c r="BX220" s="580"/>
      <c r="BY220" s="581"/>
      <c r="BZ220" s="580"/>
      <c r="CA220" s="581"/>
      <c r="CB220" s="580"/>
      <c r="CC220" s="580"/>
      <c r="CD220" s="580"/>
      <c r="CE220" s="580"/>
      <c r="CF220" s="580"/>
      <c r="CG220" s="580"/>
    </row>
    <row r="221" spans="1:85" ht="24" customHeight="1">
      <c r="A221" s="580"/>
      <c r="B221" s="580"/>
      <c r="C221" s="580"/>
      <c r="D221" s="580"/>
      <c r="E221" s="580"/>
      <c r="F221" s="580"/>
      <c r="G221" s="580"/>
      <c r="H221" s="580"/>
      <c r="I221" s="580"/>
      <c r="J221" s="580"/>
      <c r="K221" s="581"/>
      <c r="L221" s="580"/>
      <c r="M221" s="580"/>
      <c r="N221" s="580"/>
      <c r="O221" s="580"/>
      <c r="P221" s="580"/>
      <c r="Q221" s="580"/>
      <c r="R221" s="580"/>
      <c r="S221" s="580"/>
      <c r="T221" s="580"/>
      <c r="U221" s="580"/>
      <c r="V221" s="580"/>
      <c r="W221" s="580"/>
      <c r="X221" s="580"/>
      <c r="Y221" s="580"/>
      <c r="Z221" s="580"/>
      <c r="AA221" s="580"/>
      <c r="AB221" s="580"/>
      <c r="AC221" s="580"/>
      <c r="AD221" s="580"/>
      <c r="AE221" s="581"/>
      <c r="AF221" s="580"/>
      <c r="AG221" s="581"/>
      <c r="AH221" s="580"/>
      <c r="AI221" s="580"/>
      <c r="AJ221" s="580"/>
      <c r="AK221" s="580"/>
      <c r="AL221" s="580"/>
      <c r="AM221" s="580"/>
      <c r="AN221" s="580"/>
      <c r="AO221" s="580"/>
      <c r="AP221" s="580"/>
      <c r="AQ221" s="580"/>
      <c r="AR221" s="580"/>
      <c r="AS221" s="580"/>
      <c r="AT221" s="580"/>
      <c r="AU221" s="580"/>
      <c r="AV221" s="580"/>
      <c r="AW221" s="580"/>
      <c r="AX221" s="580"/>
      <c r="AY221" s="580"/>
      <c r="AZ221" s="580"/>
      <c r="BA221" s="580"/>
      <c r="BB221" s="580"/>
      <c r="BC221" s="580"/>
      <c r="BD221" s="580"/>
      <c r="BE221" s="580"/>
      <c r="BF221" s="580"/>
      <c r="BG221" s="580"/>
      <c r="BH221" s="580"/>
      <c r="BI221" s="580"/>
      <c r="BJ221" s="580"/>
      <c r="BK221" s="580"/>
      <c r="BL221" s="580"/>
      <c r="BM221" s="580"/>
      <c r="BN221" s="580"/>
      <c r="BO221" s="581"/>
      <c r="BP221" s="580"/>
      <c r="BQ221" s="581"/>
      <c r="BR221" s="580"/>
      <c r="BS221" s="580"/>
      <c r="BT221" s="580"/>
      <c r="BU221" s="580"/>
      <c r="BV221" s="580"/>
      <c r="BW221" s="580"/>
      <c r="BX221" s="580"/>
      <c r="BY221" s="581"/>
      <c r="BZ221" s="580"/>
      <c r="CA221" s="581"/>
      <c r="CB221" s="580"/>
      <c r="CC221" s="580"/>
      <c r="CD221" s="580"/>
      <c r="CE221" s="580"/>
      <c r="CF221" s="580"/>
      <c r="CG221" s="580"/>
    </row>
    <row r="222" spans="1:85" ht="24" customHeight="1">
      <c r="A222" s="580"/>
      <c r="B222" s="580"/>
      <c r="C222" s="580"/>
      <c r="D222" s="580"/>
      <c r="E222" s="580"/>
      <c r="F222" s="580"/>
      <c r="G222" s="580"/>
      <c r="H222" s="580"/>
      <c r="I222" s="580"/>
      <c r="J222" s="580"/>
      <c r="K222" s="581"/>
      <c r="L222" s="580"/>
      <c r="M222" s="580"/>
      <c r="N222" s="580"/>
      <c r="O222" s="580"/>
      <c r="P222" s="580"/>
      <c r="Q222" s="580"/>
      <c r="R222" s="580"/>
      <c r="S222" s="580"/>
      <c r="T222" s="580"/>
      <c r="U222" s="580"/>
      <c r="V222" s="580"/>
      <c r="W222" s="580"/>
      <c r="X222" s="580"/>
      <c r="Y222" s="580"/>
      <c r="Z222" s="580"/>
      <c r="AA222" s="580"/>
      <c r="AB222" s="580"/>
      <c r="AC222" s="580"/>
      <c r="AD222" s="580"/>
      <c r="AE222" s="581"/>
      <c r="AF222" s="580"/>
      <c r="AG222" s="581"/>
      <c r="AH222" s="580"/>
      <c r="AI222" s="580"/>
      <c r="AJ222" s="580"/>
      <c r="AK222" s="580"/>
      <c r="AL222" s="580"/>
      <c r="AM222" s="580"/>
      <c r="AN222" s="580"/>
      <c r="AO222" s="580"/>
      <c r="AP222" s="580"/>
      <c r="AQ222" s="580"/>
      <c r="AR222" s="580"/>
      <c r="AS222" s="580"/>
      <c r="AT222" s="580"/>
      <c r="AU222" s="580"/>
      <c r="AV222" s="580"/>
      <c r="AW222" s="580"/>
      <c r="AX222" s="580"/>
      <c r="AY222" s="580"/>
      <c r="AZ222" s="580"/>
      <c r="BA222" s="580"/>
      <c r="BB222" s="580"/>
      <c r="BC222" s="580"/>
      <c r="BD222" s="580"/>
      <c r="BE222" s="580"/>
      <c r="BF222" s="580"/>
      <c r="BG222" s="580"/>
      <c r="BH222" s="580"/>
      <c r="BI222" s="580"/>
      <c r="BJ222" s="580"/>
      <c r="BK222" s="580"/>
      <c r="BL222" s="580"/>
      <c r="BM222" s="580"/>
      <c r="BN222" s="580"/>
      <c r="BO222" s="581"/>
      <c r="BP222" s="580"/>
      <c r="BQ222" s="581"/>
      <c r="BR222" s="580"/>
      <c r="BS222" s="580"/>
      <c r="BT222" s="580"/>
      <c r="BU222" s="580"/>
      <c r="BV222" s="580"/>
      <c r="BW222" s="580"/>
      <c r="BX222" s="580"/>
      <c r="BY222" s="581"/>
      <c r="BZ222" s="580"/>
      <c r="CA222" s="581"/>
      <c r="CB222" s="580"/>
      <c r="CC222" s="580"/>
      <c r="CD222" s="580"/>
      <c r="CE222" s="580"/>
      <c r="CF222" s="580"/>
      <c r="CG222" s="580"/>
    </row>
    <row r="223" spans="1:85" ht="24" customHeight="1">
      <c r="A223" s="580"/>
      <c r="B223" s="580"/>
      <c r="C223" s="580"/>
      <c r="D223" s="580"/>
      <c r="E223" s="580"/>
      <c r="F223" s="580"/>
      <c r="G223" s="580"/>
      <c r="H223" s="580"/>
      <c r="I223" s="580"/>
      <c r="J223" s="580"/>
      <c r="K223" s="581"/>
      <c r="L223" s="580"/>
      <c r="M223" s="580"/>
      <c r="N223" s="580"/>
      <c r="O223" s="580"/>
      <c r="P223" s="580"/>
      <c r="Q223" s="580"/>
      <c r="R223" s="580"/>
      <c r="S223" s="580"/>
      <c r="T223" s="580"/>
      <c r="U223" s="580"/>
      <c r="V223" s="580"/>
      <c r="W223" s="580"/>
      <c r="X223" s="580"/>
      <c r="Y223" s="580"/>
      <c r="Z223" s="580"/>
      <c r="AA223" s="580"/>
      <c r="AB223" s="580"/>
      <c r="AC223" s="580"/>
      <c r="AD223" s="580"/>
      <c r="AE223" s="581"/>
      <c r="AF223" s="580"/>
      <c r="AG223" s="581"/>
      <c r="AH223" s="580"/>
      <c r="AI223" s="580"/>
      <c r="AJ223" s="580"/>
      <c r="AK223" s="580"/>
      <c r="AL223" s="580"/>
      <c r="AM223" s="580"/>
      <c r="AN223" s="580"/>
      <c r="AO223" s="580"/>
      <c r="AP223" s="580"/>
      <c r="AQ223" s="580"/>
      <c r="AR223" s="580"/>
      <c r="AS223" s="580"/>
      <c r="AT223" s="580"/>
      <c r="AU223" s="580"/>
      <c r="AV223" s="580"/>
      <c r="AW223" s="580"/>
      <c r="AX223" s="580"/>
      <c r="AY223" s="580"/>
      <c r="AZ223" s="580"/>
      <c r="BA223" s="580"/>
      <c r="BB223" s="580"/>
      <c r="BC223" s="580"/>
      <c r="BD223" s="580"/>
      <c r="BE223" s="580"/>
      <c r="BF223" s="580"/>
      <c r="BG223" s="580"/>
      <c r="BH223" s="580"/>
      <c r="BI223" s="580"/>
      <c r="BJ223" s="580"/>
      <c r="BK223" s="580"/>
      <c r="BL223" s="580"/>
      <c r="BM223" s="580"/>
      <c r="BN223" s="580"/>
      <c r="BO223" s="581"/>
      <c r="BP223" s="580"/>
      <c r="BQ223" s="581"/>
      <c r="BR223" s="580"/>
      <c r="BS223" s="580"/>
      <c r="BT223" s="580"/>
      <c r="BU223" s="580"/>
      <c r="BV223" s="580"/>
      <c r="BW223" s="580"/>
      <c r="BX223" s="580"/>
      <c r="BY223" s="581"/>
      <c r="BZ223" s="580"/>
      <c r="CA223" s="581"/>
      <c r="CB223" s="580"/>
      <c r="CC223" s="580"/>
      <c r="CD223" s="580"/>
      <c r="CE223" s="580"/>
      <c r="CF223" s="580"/>
      <c r="CG223" s="580"/>
    </row>
    <row r="224" spans="1:85" ht="24" customHeight="1">
      <c r="A224" s="580"/>
      <c r="B224" s="580"/>
      <c r="C224" s="580"/>
      <c r="D224" s="580"/>
      <c r="E224" s="580"/>
      <c r="F224" s="580"/>
      <c r="G224" s="580"/>
      <c r="H224" s="580"/>
      <c r="I224" s="580"/>
      <c r="J224" s="580"/>
      <c r="K224" s="581"/>
      <c r="L224" s="580"/>
      <c r="M224" s="580"/>
      <c r="N224" s="580"/>
      <c r="O224" s="580"/>
      <c r="P224" s="580"/>
      <c r="Q224" s="580"/>
      <c r="R224" s="580"/>
      <c r="S224" s="580"/>
      <c r="T224" s="580"/>
      <c r="U224" s="580"/>
      <c r="V224" s="580"/>
      <c r="W224" s="580"/>
      <c r="X224" s="580"/>
      <c r="Y224" s="580"/>
      <c r="Z224" s="580"/>
      <c r="AA224" s="580"/>
      <c r="AB224" s="580"/>
      <c r="AC224" s="580"/>
      <c r="AD224" s="580"/>
      <c r="AE224" s="581"/>
      <c r="AF224" s="580"/>
      <c r="AG224" s="581"/>
      <c r="AH224" s="580"/>
      <c r="AI224" s="580"/>
      <c r="AJ224" s="580"/>
      <c r="AK224" s="580"/>
      <c r="AL224" s="580"/>
      <c r="AM224" s="580"/>
      <c r="AN224" s="580"/>
      <c r="AO224" s="580"/>
      <c r="AP224" s="580"/>
      <c r="AQ224" s="580"/>
      <c r="AR224" s="580"/>
      <c r="AS224" s="580"/>
      <c r="AT224" s="580"/>
      <c r="AU224" s="580"/>
      <c r="AV224" s="580"/>
      <c r="AW224" s="580"/>
      <c r="AX224" s="580"/>
      <c r="AY224" s="580"/>
      <c r="AZ224" s="580"/>
      <c r="BA224" s="580"/>
      <c r="BB224" s="580"/>
      <c r="BC224" s="580"/>
      <c r="BD224" s="580"/>
      <c r="BE224" s="580"/>
      <c r="BF224" s="580"/>
      <c r="BG224" s="580"/>
      <c r="BH224" s="580"/>
      <c r="BI224" s="580"/>
      <c r="BJ224" s="580"/>
      <c r="BK224" s="580"/>
      <c r="BL224" s="580"/>
      <c r="BM224" s="580"/>
      <c r="BN224" s="580"/>
      <c r="BO224" s="581"/>
      <c r="BP224" s="580"/>
      <c r="BQ224" s="581"/>
      <c r="BR224" s="580"/>
      <c r="BS224" s="580"/>
      <c r="BT224" s="580"/>
      <c r="BU224" s="580"/>
      <c r="BV224" s="580"/>
      <c r="BW224" s="580"/>
      <c r="BX224" s="580"/>
      <c r="BY224" s="581"/>
      <c r="BZ224" s="580"/>
      <c r="CA224" s="581"/>
      <c r="CB224" s="580"/>
      <c r="CC224" s="580"/>
      <c r="CD224" s="580"/>
      <c r="CE224" s="580"/>
      <c r="CF224" s="580"/>
      <c r="CG224" s="580"/>
    </row>
    <row r="225" spans="1:85" ht="24" customHeight="1">
      <c r="A225" s="580"/>
      <c r="B225" s="580"/>
      <c r="C225" s="580"/>
      <c r="D225" s="580"/>
      <c r="E225" s="580"/>
      <c r="F225" s="580"/>
      <c r="G225" s="580"/>
      <c r="H225" s="580"/>
      <c r="I225" s="580"/>
      <c r="J225" s="580"/>
      <c r="K225" s="581"/>
      <c r="L225" s="580"/>
      <c r="M225" s="580"/>
      <c r="N225" s="580"/>
      <c r="O225" s="580"/>
      <c r="P225" s="580"/>
      <c r="Q225" s="580"/>
      <c r="R225" s="580"/>
      <c r="S225" s="580"/>
      <c r="T225" s="580"/>
      <c r="U225" s="580"/>
      <c r="V225" s="580"/>
      <c r="W225" s="580"/>
      <c r="X225" s="580"/>
      <c r="Y225" s="580"/>
      <c r="Z225" s="580"/>
      <c r="AA225" s="580"/>
      <c r="AB225" s="580"/>
      <c r="AC225" s="580"/>
      <c r="AD225" s="580"/>
      <c r="AE225" s="581"/>
      <c r="AF225" s="580"/>
      <c r="AG225" s="581"/>
      <c r="AH225" s="580"/>
      <c r="AI225" s="580"/>
      <c r="AJ225" s="580"/>
      <c r="AK225" s="580"/>
      <c r="AL225" s="580"/>
      <c r="AM225" s="580"/>
      <c r="AN225" s="580"/>
      <c r="AO225" s="580"/>
      <c r="AP225" s="580"/>
      <c r="AQ225" s="580"/>
      <c r="AR225" s="580"/>
      <c r="AS225" s="580"/>
      <c r="AT225" s="580"/>
      <c r="AU225" s="580"/>
      <c r="AV225" s="580"/>
      <c r="AW225" s="580"/>
      <c r="AX225" s="580"/>
      <c r="AY225" s="580"/>
      <c r="AZ225" s="580"/>
      <c r="BA225" s="580"/>
      <c r="BB225" s="580"/>
      <c r="BC225" s="580"/>
      <c r="BD225" s="580"/>
      <c r="BE225" s="580"/>
      <c r="BF225" s="580"/>
      <c r="BG225" s="580"/>
      <c r="BH225" s="580"/>
      <c r="BI225" s="580"/>
      <c r="BJ225" s="580"/>
      <c r="BK225" s="580"/>
      <c r="BL225" s="580"/>
      <c r="BM225" s="580"/>
      <c r="BN225" s="580"/>
      <c r="BO225" s="581"/>
      <c r="BP225" s="580"/>
      <c r="BQ225" s="581"/>
      <c r="BR225" s="580"/>
      <c r="BS225" s="580"/>
      <c r="BT225" s="580"/>
      <c r="BU225" s="580"/>
      <c r="BV225" s="580"/>
      <c r="BW225" s="580"/>
      <c r="BX225" s="580"/>
      <c r="BY225" s="581"/>
      <c r="BZ225" s="580"/>
      <c r="CA225" s="581"/>
      <c r="CB225" s="580"/>
      <c r="CC225" s="580"/>
      <c r="CD225" s="580"/>
      <c r="CE225" s="580"/>
      <c r="CF225" s="580"/>
      <c r="CG225" s="580"/>
    </row>
    <row r="226" spans="1:85" ht="24" customHeight="1">
      <c r="A226" s="580"/>
      <c r="B226" s="580"/>
      <c r="C226" s="580"/>
      <c r="D226" s="580"/>
      <c r="E226" s="580"/>
      <c r="F226" s="580"/>
      <c r="G226" s="580"/>
      <c r="H226" s="580"/>
      <c r="I226" s="580"/>
      <c r="J226" s="580"/>
      <c r="K226" s="581"/>
      <c r="L226" s="580"/>
      <c r="M226" s="580"/>
      <c r="N226" s="580"/>
      <c r="O226" s="580"/>
      <c r="P226" s="580"/>
      <c r="Q226" s="580"/>
      <c r="R226" s="580"/>
      <c r="S226" s="580"/>
      <c r="T226" s="580"/>
      <c r="U226" s="580"/>
      <c r="V226" s="580"/>
      <c r="W226" s="580"/>
      <c r="X226" s="580"/>
      <c r="Y226" s="580"/>
      <c r="Z226" s="580"/>
      <c r="AA226" s="580"/>
      <c r="AB226" s="580"/>
      <c r="AC226" s="580"/>
      <c r="AD226" s="580"/>
      <c r="AE226" s="581"/>
      <c r="AF226" s="580"/>
      <c r="AG226" s="581"/>
      <c r="AH226" s="580"/>
      <c r="AI226" s="580"/>
      <c r="AJ226" s="580"/>
      <c r="AK226" s="580"/>
      <c r="AL226" s="580"/>
      <c r="AM226" s="580"/>
      <c r="AN226" s="580"/>
      <c r="AO226" s="580"/>
      <c r="AP226" s="580"/>
      <c r="AQ226" s="580"/>
      <c r="AR226" s="580"/>
      <c r="AS226" s="580"/>
      <c r="AT226" s="580"/>
      <c r="AU226" s="580"/>
      <c r="AV226" s="580"/>
      <c r="AW226" s="580"/>
      <c r="AX226" s="580"/>
      <c r="AY226" s="580"/>
      <c r="AZ226" s="580"/>
      <c r="BA226" s="580"/>
      <c r="BB226" s="580"/>
      <c r="BC226" s="580"/>
      <c r="BD226" s="580"/>
      <c r="BE226" s="580"/>
      <c r="BF226" s="580"/>
      <c r="BG226" s="580"/>
      <c r="BH226" s="580"/>
      <c r="BI226" s="580"/>
      <c r="BJ226" s="580"/>
      <c r="BK226" s="580"/>
      <c r="BL226" s="580"/>
      <c r="BM226" s="580"/>
      <c r="BN226" s="580"/>
      <c r="BO226" s="581"/>
      <c r="BP226" s="580"/>
      <c r="BQ226" s="581"/>
      <c r="BR226" s="580"/>
      <c r="BS226" s="580"/>
      <c r="BT226" s="580"/>
      <c r="BU226" s="580"/>
      <c r="BV226" s="580"/>
      <c r="BW226" s="580"/>
      <c r="BX226" s="580"/>
      <c r="BY226" s="581"/>
      <c r="BZ226" s="580"/>
      <c r="CA226" s="581"/>
      <c r="CB226" s="580"/>
      <c r="CC226" s="580"/>
      <c r="CD226" s="580"/>
      <c r="CE226" s="580"/>
      <c r="CF226" s="580"/>
      <c r="CG226" s="580"/>
    </row>
    <row r="227" spans="1:85" ht="24" customHeight="1">
      <c r="A227" s="580"/>
      <c r="B227" s="580"/>
      <c r="C227" s="580"/>
      <c r="D227" s="580"/>
      <c r="E227" s="580"/>
      <c r="F227" s="580"/>
      <c r="G227" s="580"/>
      <c r="H227" s="580"/>
      <c r="I227" s="580"/>
      <c r="J227" s="580"/>
      <c r="K227" s="581"/>
      <c r="L227" s="580"/>
      <c r="M227" s="580"/>
      <c r="N227" s="580"/>
      <c r="O227" s="580"/>
      <c r="P227" s="580"/>
      <c r="Q227" s="580"/>
      <c r="R227" s="580"/>
      <c r="S227" s="580"/>
      <c r="T227" s="580"/>
      <c r="U227" s="580"/>
      <c r="V227" s="580"/>
      <c r="W227" s="580"/>
      <c r="X227" s="580"/>
      <c r="Y227" s="580"/>
      <c r="Z227" s="580"/>
      <c r="AA227" s="580"/>
      <c r="AB227" s="580"/>
      <c r="AC227" s="580"/>
      <c r="AD227" s="580"/>
      <c r="AE227" s="581"/>
      <c r="AF227" s="580"/>
      <c r="AG227" s="581"/>
      <c r="AH227" s="580"/>
      <c r="AI227" s="580"/>
      <c r="AJ227" s="580"/>
      <c r="AK227" s="580"/>
      <c r="AL227" s="580"/>
      <c r="AM227" s="580"/>
      <c r="AN227" s="580"/>
      <c r="AO227" s="580"/>
      <c r="AP227" s="580"/>
      <c r="AQ227" s="580"/>
      <c r="AR227" s="580"/>
      <c r="AS227" s="580"/>
      <c r="AT227" s="580"/>
      <c r="AU227" s="580"/>
      <c r="AV227" s="580"/>
      <c r="AW227" s="580"/>
      <c r="AX227" s="580"/>
      <c r="AY227" s="580"/>
      <c r="AZ227" s="580"/>
      <c r="BA227" s="580"/>
      <c r="BB227" s="580"/>
      <c r="BC227" s="580"/>
      <c r="BD227" s="580"/>
      <c r="BE227" s="580"/>
      <c r="BF227" s="580"/>
      <c r="BG227" s="580"/>
      <c r="BH227" s="580"/>
      <c r="BI227" s="580"/>
      <c r="BJ227" s="580"/>
      <c r="BK227" s="580"/>
      <c r="BL227" s="580"/>
      <c r="BM227" s="580"/>
      <c r="BN227" s="580"/>
      <c r="BO227" s="581"/>
      <c r="BP227" s="580"/>
      <c r="BQ227" s="581"/>
      <c r="BR227" s="580"/>
      <c r="BS227" s="580"/>
      <c r="BT227" s="580"/>
      <c r="BU227" s="580"/>
      <c r="BV227" s="580"/>
      <c r="BW227" s="580"/>
      <c r="BX227" s="580"/>
      <c r="BY227" s="581"/>
      <c r="BZ227" s="580"/>
      <c r="CA227" s="581"/>
      <c r="CB227" s="580"/>
      <c r="CC227" s="580"/>
      <c r="CD227" s="580"/>
      <c r="CE227" s="580"/>
      <c r="CF227" s="580"/>
      <c r="CG227" s="580"/>
    </row>
    <row r="228" spans="1:85" ht="24" customHeight="1">
      <c r="A228" s="580"/>
      <c r="B228" s="580"/>
      <c r="C228" s="580"/>
      <c r="D228" s="580"/>
      <c r="E228" s="580"/>
      <c r="F228" s="580"/>
      <c r="G228" s="580"/>
      <c r="H228" s="580"/>
      <c r="I228" s="580"/>
      <c r="J228" s="580"/>
      <c r="K228" s="581"/>
      <c r="L228" s="580"/>
      <c r="M228" s="580"/>
      <c r="N228" s="580"/>
      <c r="O228" s="580"/>
      <c r="P228" s="580"/>
      <c r="Q228" s="580"/>
      <c r="R228" s="580"/>
      <c r="S228" s="580"/>
      <c r="T228" s="580"/>
      <c r="U228" s="580"/>
      <c r="V228" s="580"/>
      <c r="W228" s="580"/>
      <c r="X228" s="580"/>
      <c r="Y228" s="580"/>
      <c r="Z228" s="580"/>
      <c r="AA228" s="580"/>
      <c r="AB228" s="580"/>
      <c r="AC228" s="580"/>
      <c r="AD228" s="580"/>
      <c r="AE228" s="581"/>
      <c r="AF228" s="580"/>
      <c r="AG228" s="581"/>
      <c r="AH228" s="580"/>
      <c r="AI228" s="580"/>
      <c r="AJ228" s="580"/>
      <c r="AK228" s="580"/>
      <c r="AL228" s="580"/>
      <c r="AM228" s="580"/>
      <c r="AN228" s="580"/>
      <c r="AO228" s="580"/>
      <c r="AP228" s="580"/>
      <c r="AQ228" s="580"/>
      <c r="AR228" s="580"/>
      <c r="AS228" s="580"/>
      <c r="AT228" s="580"/>
      <c r="AU228" s="580"/>
      <c r="AV228" s="580"/>
      <c r="AW228" s="580"/>
      <c r="AX228" s="580"/>
      <c r="AY228" s="580"/>
      <c r="AZ228" s="580"/>
      <c r="BA228" s="580"/>
      <c r="BB228" s="580"/>
      <c r="BC228" s="580"/>
      <c r="BD228" s="580"/>
      <c r="BE228" s="580"/>
      <c r="BF228" s="580"/>
      <c r="BG228" s="580"/>
      <c r="BH228" s="580"/>
      <c r="BI228" s="580"/>
      <c r="BJ228" s="580"/>
      <c r="BK228" s="580"/>
      <c r="BL228" s="580"/>
      <c r="BM228" s="580"/>
      <c r="BN228" s="580"/>
      <c r="BO228" s="581"/>
      <c r="BP228" s="580"/>
      <c r="BQ228" s="581"/>
      <c r="BR228" s="580"/>
      <c r="BS228" s="580"/>
      <c r="BT228" s="580"/>
      <c r="BU228" s="580"/>
      <c r="BV228" s="580"/>
      <c r="BW228" s="580"/>
      <c r="BX228" s="580"/>
      <c r="BY228" s="581"/>
      <c r="BZ228" s="580"/>
      <c r="CA228" s="581"/>
      <c r="CB228" s="580"/>
      <c r="CC228" s="580"/>
      <c r="CD228" s="580"/>
      <c r="CE228" s="580"/>
      <c r="CF228" s="580"/>
      <c r="CG228" s="580"/>
    </row>
    <row r="229" spans="1:85" ht="24" customHeight="1">
      <c r="A229" s="580"/>
      <c r="B229" s="580"/>
      <c r="C229" s="580"/>
      <c r="D229" s="580"/>
      <c r="E229" s="580"/>
      <c r="F229" s="580"/>
      <c r="G229" s="580"/>
      <c r="H229" s="580"/>
      <c r="I229" s="580"/>
      <c r="J229" s="580"/>
      <c r="K229" s="581"/>
      <c r="L229" s="580"/>
      <c r="M229" s="580"/>
      <c r="N229" s="580"/>
      <c r="O229" s="580"/>
      <c r="P229" s="580"/>
      <c r="Q229" s="580"/>
      <c r="R229" s="580"/>
      <c r="S229" s="580"/>
      <c r="T229" s="580"/>
      <c r="U229" s="580"/>
      <c r="V229" s="580"/>
      <c r="W229" s="580"/>
      <c r="X229" s="580"/>
      <c r="Y229" s="580"/>
      <c r="Z229" s="580"/>
      <c r="AA229" s="580"/>
      <c r="AB229" s="580"/>
      <c r="AC229" s="580"/>
      <c r="AD229" s="580"/>
      <c r="AE229" s="581"/>
      <c r="AF229" s="580"/>
      <c r="AG229" s="581"/>
      <c r="AH229" s="580"/>
      <c r="AI229" s="580"/>
      <c r="AJ229" s="580"/>
      <c r="AK229" s="580"/>
      <c r="AL229" s="580"/>
      <c r="AM229" s="580"/>
      <c r="AN229" s="580"/>
      <c r="AO229" s="580"/>
      <c r="AP229" s="580"/>
      <c r="AQ229" s="580"/>
      <c r="AR229" s="580"/>
      <c r="AS229" s="580"/>
      <c r="AT229" s="580"/>
      <c r="AU229" s="580"/>
      <c r="AV229" s="580"/>
      <c r="AW229" s="580"/>
      <c r="AX229" s="580"/>
      <c r="AY229" s="580"/>
      <c r="AZ229" s="580"/>
      <c r="BA229" s="580"/>
      <c r="BB229" s="580"/>
      <c r="BC229" s="580"/>
      <c r="BD229" s="580"/>
      <c r="BE229" s="580"/>
      <c r="BF229" s="580"/>
      <c r="BG229" s="580"/>
      <c r="BH229" s="580"/>
      <c r="BI229" s="580"/>
      <c r="BJ229" s="580"/>
      <c r="BK229" s="580"/>
      <c r="BL229" s="580"/>
      <c r="BM229" s="580"/>
      <c r="BN229" s="580"/>
      <c r="BO229" s="581"/>
      <c r="BP229" s="580"/>
      <c r="BQ229" s="581"/>
      <c r="BR229" s="580"/>
      <c r="BS229" s="580"/>
      <c r="BT229" s="580"/>
      <c r="BU229" s="580"/>
      <c r="BV229" s="580"/>
      <c r="BW229" s="580"/>
      <c r="BX229" s="580"/>
      <c r="BY229" s="581"/>
      <c r="BZ229" s="580"/>
      <c r="CA229" s="581"/>
      <c r="CB229" s="580"/>
      <c r="CC229" s="580"/>
      <c r="CD229" s="580"/>
      <c r="CE229" s="580"/>
      <c r="CF229" s="580"/>
      <c r="CG229" s="580"/>
    </row>
    <row r="230" spans="1:85" ht="24" customHeight="1">
      <c r="A230" s="580"/>
      <c r="B230" s="580"/>
      <c r="C230" s="580"/>
      <c r="D230" s="580"/>
      <c r="E230" s="580"/>
      <c r="F230" s="580"/>
      <c r="G230" s="580"/>
      <c r="H230" s="580"/>
      <c r="I230" s="580"/>
      <c r="J230" s="580"/>
      <c r="K230" s="581"/>
      <c r="L230" s="580"/>
      <c r="M230" s="580"/>
      <c r="N230" s="580"/>
      <c r="O230" s="580"/>
      <c r="P230" s="580"/>
      <c r="Q230" s="580"/>
      <c r="R230" s="580"/>
      <c r="S230" s="580"/>
      <c r="T230" s="580"/>
      <c r="U230" s="580"/>
      <c r="V230" s="580"/>
      <c r="W230" s="580"/>
      <c r="X230" s="580"/>
      <c r="Y230" s="580"/>
      <c r="Z230" s="580"/>
      <c r="AA230" s="580"/>
      <c r="AB230" s="580"/>
      <c r="AC230" s="580"/>
      <c r="AD230" s="580"/>
      <c r="AE230" s="581"/>
      <c r="AF230" s="580"/>
      <c r="AG230" s="581"/>
      <c r="AH230" s="580"/>
      <c r="AI230" s="580"/>
      <c r="AJ230" s="580"/>
      <c r="AK230" s="580"/>
      <c r="AL230" s="580"/>
      <c r="AM230" s="580"/>
      <c r="AN230" s="580"/>
      <c r="AO230" s="580"/>
      <c r="AP230" s="580"/>
      <c r="AQ230" s="580"/>
      <c r="AR230" s="580"/>
      <c r="AS230" s="580"/>
      <c r="AT230" s="580"/>
      <c r="AU230" s="580"/>
      <c r="AV230" s="580"/>
      <c r="AW230" s="580"/>
      <c r="AX230" s="580"/>
      <c r="AY230" s="580"/>
      <c r="AZ230" s="580"/>
      <c r="BA230" s="580"/>
      <c r="BB230" s="580"/>
      <c r="BC230" s="580"/>
      <c r="BD230" s="580"/>
      <c r="BE230" s="580"/>
      <c r="BF230" s="580"/>
      <c r="BG230" s="580"/>
      <c r="BH230" s="580"/>
      <c r="BI230" s="580"/>
      <c r="BJ230" s="580"/>
      <c r="BK230" s="580"/>
      <c r="BL230" s="580"/>
      <c r="BM230" s="580"/>
      <c r="BN230" s="580"/>
      <c r="BO230" s="581"/>
      <c r="BP230" s="580"/>
      <c r="BQ230" s="581"/>
      <c r="BR230" s="580"/>
      <c r="BS230" s="580"/>
      <c r="BT230" s="580"/>
      <c r="BU230" s="580"/>
      <c r="BV230" s="580"/>
      <c r="BW230" s="580"/>
      <c r="BX230" s="580"/>
      <c r="BY230" s="581"/>
      <c r="BZ230" s="580"/>
      <c r="CA230" s="581"/>
      <c r="CB230" s="580"/>
      <c r="CC230" s="580"/>
      <c r="CD230" s="580"/>
      <c r="CE230" s="580"/>
      <c r="CF230" s="580"/>
      <c r="CG230" s="580"/>
    </row>
    <row r="231" spans="1:85" ht="24" customHeight="1">
      <c r="A231" s="580"/>
      <c r="B231" s="580"/>
      <c r="C231" s="580"/>
      <c r="D231" s="580"/>
      <c r="E231" s="580"/>
      <c r="F231" s="580"/>
      <c r="G231" s="580"/>
      <c r="H231" s="580"/>
      <c r="I231" s="580"/>
      <c r="J231" s="580"/>
      <c r="K231" s="581"/>
      <c r="L231" s="580"/>
      <c r="M231" s="580"/>
      <c r="N231" s="580"/>
      <c r="O231" s="580"/>
      <c r="P231" s="580"/>
      <c r="Q231" s="580"/>
      <c r="R231" s="580"/>
      <c r="S231" s="580"/>
      <c r="T231" s="580"/>
      <c r="U231" s="580"/>
      <c r="V231" s="580"/>
      <c r="W231" s="580"/>
      <c r="X231" s="580"/>
      <c r="Y231" s="580"/>
      <c r="Z231" s="580"/>
      <c r="AA231" s="580"/>
      <c r="AB231" s="580"/>
      <c r="AC231" s="580"/>
      <c r="AD231" s="580"/>
      <c r="AE231" s="581"/>
      <c r="AF231" s="580"/>
      <c r="AG231" s="581"/>
      <c r="AH231" s="580"/>
      <c r="AI231" s="580"/>
      <c r="AJ231" s="580"/>
      <c r="AK231" s="580"/>
      <c r="AL231" s="580"/>
      <c r="AM231" s="580"/>
      <c r="AN231" s="580"/>
      <c r="AO231" s="580"/>
      <c r="AP231" s="580"/>
      <c r="AQ231" s="580"/>
      <c r="AR231" s="580"/>
      <c r="AS231" s="580"/>
      <c r="AT231" s="580"/>
      <c r="AU231" s="580"/>
      <c r="AV231" s="580"/>
      <c r="AW231" s="580"/>
      <c r="AX231" s="580"/>
      <c r="AY231" s="580"/>
      <c r="AZ231" s="580"/>
      <c r="BA231" s="580"/>
      <c r="BB231" s="580"/>
      <c r="BC231" s="580"/>
      <c r="BD231" s="580"/>
      <c r="BE231" s="580"/>
      <c r="BF231" s="580"/>
      <c r="BG231" s="580"/>
      <c r="BH231" s="580"/>
      <c r="BI231" s="580"/>
      <c r="BJ231" s="580"/>
      <c r="BK231" s="580"/>
      <c r="BL231" s="580"/>
      <c r="BM231" s="580"/>
      <c r="BN231" s="580"/>
      <c r="BO231" s="581"/>
      <c r="BP231" s="580"/>
      <c r="BQ231" s="581"/>
      <c r="BR231" s="580"/>
      <c r="BS231" s="580"/>
      <c r="BT231" s="580"/>
      <c r="BU231" s="580"/>
      <c r="BV231" s="580"/>
      <c r="BW231" s="580"/>
      <c r="BX231" s="580"/>
      <c r="BY231" s="581"/>
      <c r="BZ231" s="580"/>
      <c r="CA231" s="581"/>
      <c r="CB231" s="580"/>
      <c r="CC231" s="580"/>
      <c r="CD231" s="580"/>
      <c r="CE231" s="580"/>
      <c r="CF231" s="580"/>
      <c r="CG231" s="580"/>
    </row>
    <row r="232" spans="1:85" ht="24" customHeight="1">
      <c r="A232" s="580"/>
      <c r="B232" s="580"/>
      <c r="C232" s="580"/>
      <c r="D232" s="580"/>
      <c r="E232" s="580"/>
      <c r="F232" s="580"/>
      <c r="G232" s="580"/>
      <c r="H232" s="580"/>
      <c r="I232" s="580"/>
      <c r="J232" s="580"/>
      <c r="K232" s="581"/>
      <c r="L232" s="580"/>
      <c r="M232" s="580"/>
      <c r="N232" s="580"/>
      <c r="O232" s="580"/>
      <c r="P232" s="580"/>
      <c r="Q232" s="580"/>
      <c r="R232" s="580"/>
      <c r="S232" s="580"/>
      <c r="T232" s="580"/>
      <c r="U232" s="580"/>
      <c r="V232" s="580"/>
      <c r="W232" s="580"/>
      <c r="X232" s="580"/>
      <c r="Y232" s="580"/>
      <c r="Z232" s="580"/>
      <c r="AA232" s="580"/>
      <c r="AB232" s="580"/>
      <c r="AC232" s="580"/>
      <c r="AD232" s="580"/>
      <c r="AE232" s="581"/>
      <c r="AF232" s="580"/>
      <c r="AG232" s="581"/>
      <c r="AH232" s="580"/>
      <c r="AI232" s="580"/>
      <c r="AJ232" s="580"/>
      <c r="AK232" s="580"/>
      <c r="AL232" s="580"/>
      <c r="AM232" s="580"/>
      <c r="AN232" s="580"/>
      <c r="AO232" s="580"/>
      <c r="AP232" s="580"/>
      <c r="AQ232" s="580"/>
      <c r="AR232" s="580"/>
      <c r="AS232" s="580"/>
      <c r="AT232" s="580"/>
      <c r="AU232" s="580"/>
      <c r="AV232" s="580"/>
      <c r="AW232" s="580"/>
      <c r="AX232" s="580"/>
      <c r="AY232" s="580"/>
      <c r="AZ232" s="580"/>
      <c r="BA232" s="580"/>
      <c r="BB232" s="580"/>
      <c r="BC232" s="580"/>
      <c r="BD232" s="580"/>
      <c r="BE232" s="580"/>
      <c r="BF232" s="580"/>
      <c r="BG232" s="580"/>
      <c r="BH232" s="580"/>
      <c r="BI232" s="580"/>
      <c r="BJ232" s="580"/>
      <c r="BK232" s="580"/>
      <c r="BL232" s="580"/>
      <c r="BM232" s="580"/>
      <c r="BN232" s="580"/>
      <c r="BO232" s="581"/>
      <c r="BP232" s="580"/>
      <c r="BQ232" s="581"/>
      <c r="BR232" s="580"/>
      <c r="BS232" s="580"/>
      <c r="BT232" s="580"/>
      <c r="BU232" s="580"/>
      <c r="BV232" s="580"/>
      <c r="BW232" s="580"/>
      <c r="BX232" s="580"/>
      <c r="BY232" s="581"/>
      <c r="BZ232" s="580"/>
      <c r="CA232" s="581"/>
      <c r="CB232" s="580"/>
      <c r="CC232" s="580"/>
      <c r="CD232" s="580"/>
      <c r="CE232" s="580"/>
      <c r="CF232" s="580"/>
      <c r="CG232" s="580"/>
    </row>
    <row r="233" spans="1:85" ht="24" customHeight="1">
      <c r="A233" s="580"/>
      <c r="B233" s="580"/>
      <c r="C233" s="580"/>
      <c r="D233" s="580"/>
      <c r="E233" s="580"/>
      <c r="F233" s="580"/>
      <c r="G233" s="580"/>
      <c r="H233" s="580"/>
      <c r="I233" s="580"/>
      <c r="J233" s="580"/>
      <c r="K233" s="581"/>
      <c r="L233" s="580"/>
      <c r="M233" s="580"/>
      <c r="N233" s="580"/>
      <c r="O233" s="580"/>
      <c r="P233" s="580"/>
      <c r="Q233" s="580"/>
      <c r="R233" s="580"/>
      <c r="S233" s="580"/>
      <c r="T233" s="580"/>
      <c r="U233" s="580"/>
      <c r="V233" s="580"/>
      <c r="W233" s="580"/>
      <c r="X233" s="580"/>
      <c r="Y233" s="580"/>
      <c r="Z233" s="580"/>
      <c r="AA233" s="580"/>
      <c r="AB233" s="580"/>
      <c r="AC233" s="580"/>
      <c r="AD233" s="580"/>
      <c r="AE233" s="581"/>
      <c r="AF233" s="580"/>
      <c r="AG233" s="581"/>
      <c r="AH233" s="580"/>
      <c r="AI233" s="580"/>
      <c r="AJ233" s="580"/>
      <c r="AK233" s="580"/>
      <c r="AL233" s="580"/>
      <c r="AM233" s="580"/>
      <c r="AN233" s="580"/>
      <c r="AO233" s="580"/>
      <c r="AP233" s="580"/>
      <c r="AQ233" s="580"/>
      <c r="AR233" s="580"/>
      <c r="AS233" s="580"/>
      <c r="AT233" s="580"/>
      <c r="AU233" s="580"/>
      <c r="AV233" s="580"/>
      <c r="AW233" s="580"/>
      <c r="AX233" s="580"/>
      <c r="AY233" s="580"/>
      <c r="AZ233" s="580"/>
      <c r="BA233" s="580"/>
      <c r="BB233" s="580"/>
      <c r="BC233" s="580"/>
      <c r="BD233" s="580"/>
      <c r="BE233" s="580"/>
      <c r="BF233" s="580"/>
      <c r="BG233" s="580"/>
      <c r="BH233" s="580"/>
      <c r="BI233" s="580"/>
      <c r="BJ233" s="580"/>
      <c r="BK233" s="580"/>
      <c r="BL233" s="580"/>
      <c r="BM233" s="580"/>
      <c r="BN233" s="580"/>
      <c r="BO233" s="581"/>
      <c r="BP233" s="580"/>
      <c r="BQ233" s="581"/>
      <c r="BR233" s="580"/>
      <c r="BS233" s="580"/>
      <c r="BT233" s="580"/>
      <c r="BU233" s="580"/>
      <c r="BV233" s="580"/>
      <c r="BW233" s="580"/>
      <c r="BX233" s="580"/>
      <c r="BY233" s="581"/>
      <c r="BZ233" s="580"/>
      <c r="CA233" s="581"/>
      <c r="CB233" s="580"/>
      <c r="CC233" s="580"/>
      <c r="CD233" s="580"/>
      <c r="CE233" s="580"/>
      <c r="CF233" s="580"/>
      <c r="CG233" s="580"/>
    </row>
    <row r="234" spans="1:85" ht="24" customHeight="1">
      <c r="A234" s="580"/>
      <c r="B234" s="580"/>
      <c r="C234" s="580"/>
      <c r="D234" s="580"/>
      <c r="E234" s="580"/>
      <c r="F234" s="580"/>
      <c r="G234" s="580"/>
      <c r="H234" s="580"/>
      <c r="I234" s="580"/>
      <c r="J234" s="580"/>
      <c r="K234" s="581"/>
      <c r="L234" s="580"/>
      <c r="M234" s="580"/>
      <c r="N234" s="580"/>
      <c r="O234" s="580"/>
      <c r="P234" s="580"/>
      <c r="Q234" s="580"/>
      <c r="R234" s="580"/>
      <c r="S234" s="580"/>
      <c r="T234" s="580"/>
      <c r="U234" s="580"/>
      <c r="V234" s="580"/>
      <c r="W234" s="580"/>
      <c r="X234" s="580"/>
      <c r="Y234" s="580"/>
      <c r="Z234" s="580"/>
      <c r="AA234" s="580"/>
      <c r="AB234" s="580"/>
      <c r="AC234" s="580"/>
      <c r="AD234" s="580"/>
      <c r="AE234" s="581"/>
      <c r="AF234" s="580"/>
      <c r="AG234" s="581"/>
      <c r="AH234" s="580"/>
      <c r="AI234" s="580"/>
      <c r="AJ234" s="580"/>
      <c r="AK234" s="580"/>
      <c r="AL234" s="580"/>
      <c r="AM234" s="580"/>
      <c r="AN234" s="580"/>
      <c r="AO234" s="580"/>
      <c r="AP234" s="580"/>
      <c r="AQ234" s="580"/>
      <c r="AR234" s="580"/>
      <c r="AS234" s="580"/>
      <c r="AT234" s="580"/>
      <c r="AU234" s="580"/>
      <c r="AV234" s="580"/>
      <c r="AW234" s="580"/>
      <c r="AX234" s="580"/>
      <c r="AY234" s="580"/>
      <c r="AZ234" s="580"/>
      <c r="BA234" s="580"/>
      <c r="BB234" s="580"/>
      <c r="BC234" s="580"/>
      <c r="BD234" s="580"/>
      <c r="BE234" s="580"/>
      <c r="BF234" s="580"/>
      <c r="BG234" s="580"/>
      <c r="BH234" s="580"/>
      <c r="BI234" s="580"/>
      <c r="BJ234" s="580"/>
      <c r="BK234" s="580"/>
      <c r="BL234" s="580"/>
      <c r="BM234" s="580"/>
      <c r="BN234" s="580"/>
      <c r="BO234" s="581"/>
      <c r="BP234" s="580"/>
      <c r="BQ234" s="581"/>
      <c r="BR234" s="580"/>
      <c r="BS234" s="580"/>
      <c r="BT234" s="580"/>
      <c r="BU234" s="580"/>
      <c r="BV234" s="580"/>
      <c r="BW234" s="580"/>
      <c r="BX234" s="580"/>
      <c r="BY234" s="581"/>
      <c r="BZ234" s="580"/>
      <c r="CA234" s="581"/>
      <c r="CB234" s="580"/>
      <c r="CC234" s="580"/>
      <c r="CD234" s="580"/>
      <c r="CE234" s="580"/>
      <c r="CF234" s="580"/>
      <c r="CG234" s="580"/>
    </row>
    <row r="235" spans="1:85" ht="24" customHeight="1">
      <c r="A235" s="580"/>
      <c r="B235" s="580"/>
      <c r="C235" s="580"/>
      <c r="D235" s="580"/>
      <c r="E235" s="580"/>
      <c r="F235" s="580"/>
      <c r="G235" s="580"/>
      <c r="H235" s="580"/>
      <c r="I235" s="580"/>
      <c r="J235" s="580"/>
      <c r="K235" s="581"/>
      <c r="L235" s="580"/>
      <c r="M235" s="580"/>
      <c r="N235" s="580"/>
      <c r="O235" s="580"/>
      <c r="P235" s="580"/>
      <c r="Q235" s="580"/>
      <c r="R235" s="580"/>
      <c r="S235" s="580"/>
      <c r="T235" s="580"/>
      <c r="U235" s="580"/>
      <c r="V235" s="580"/>
      <c r="W235" s="580"/>
      <c r="X235" s="580"/>
      <c r="Y235" s="580"/>
      <c r="Z235" s="580"/>
      <c r="AA235" s="580"/>
      <c r="AB235" s="580"/>
      <c r="AC235" s="580"/>
      <c r="AD235" s="580"/>
      <c r="AE235" s="581"/>
      <c r="AF235" s="580"/>
      <c r="AG235" s="581"/>
      <c r="AH235" s="580"/>
      <c r="AI235" s="580"/>
      <c r="AJ235" s="580"/>
      <c r="AK235" s="580"/>
      <c r="AL235" s="580"/>
      <c r="AM235" s="580"/>
      <c r="AN235" s="580"/>
      <c r="AO235" s="580"/>
      <c r="AP235" s="580"/>
      <c r="AQ235" s="580"/>
      <c r="AR235" s="580"/>
      <c r="AS235" s="580"/>
      <c r="AT235" s="580"/>
      <c r="AU235" s="580"/>
      <c r="AV235" s="580"/>
      <c r="AW235" s="580"/>
      <c r="AX235" s="580"/>
      <c r="AY235" s="580"/>
      <c r="AZ235" s="580"/>
      <c r="BA235" s="580"/>
      <c r="BB235" s="580"/>
      <c r="BC235" s="580"/>
      <c r="BD235" s="580"/>
      <c r="BE235" s="580"/>
      <c r="BF235" s="580"/>
      <c r="BG235" s="580"/>
      <c r="BH235" s="580"/>
      <c r="BI235" s="580"/>
      <c r="BJ235" s="580"/>
      <c r="BK235" s="580"/>
      <c r="BL235" s="580"/>
      <c r="BM235" s="580"/>
      <c r="BN235" s="580"/>
      <c r="BO235" s="581"/>
      <c r="BP235" s="580"/>
      <c r="BQ235" s="581"/>
      <c r="BR235" s="580"/>
      <c r="BS235" s="580"/>
      <c r="BT235" s="580"/>
      <c r="BU235" s="580"/>
      <c r="BV235" s="580"/>
      <c r="BW235" s="580"/>
      <c r="BX235" s="580"/>
      <c r="BY235" s="581"/>
      <c r="BZ235" s="580"/>
      <c r="CA235" s="581"/>
      <c r="CB235" s="580"/>
      <c r="CC235" s="580"/>
      <c r="CD235" s="580"/>
      <c r="CE235" s="580"/>
      <c r="CF235" s="580"/>
      <c r="CG235" s="580"/>
    </row>
    <row r="236" spans="1:85" ht="24" customHeight="1">
      <c r="A236" s="580"/>
      <c r="B236" s="580"/>
      <c r="C236" s="580"/>
      <c r="D236" s="580"/>
      <c r="E236" s="580"/>
      <c r="F236" s="580"/>
      <c r="G236" s="580"/>
      <c r="H236" s="580"/>
      <c r="I236" s="580"/>
      <c r="J236" s="580"/>
      <c r="K236" s="581"/>
      <c r="L236" s="580"/>
      <c r="M236" s="580"/>
      <c r="N236" s="580"/>
      <c r="O236" s="580"/>
      <c r="P236" s="580"/>
      <c r="Q236" s="580"/>
      <c r="R236" s="580"/>
      <c r="S236" s="580"/>
      <c r="T236" s="580"/>
      <c r="U236" s="580"/>
      <c r="V236" s="580"/>
      <c r="W236" s="580"/>
      <c r="X236" s="580"/>
      <c r="Y236" s="580"/>
      <c r="Z236" s="580"/>
      <c r="AA236" s="580"/>
      <c r="AB236" s="580"/>
      <c r="AC236" s="580"/>
      <c r="AD236" s="580"/>
      <c r="AE236" s="581"/>
      <c r="AF236" s="580"/>
      <c r="AG236" s="581"/>
      <c r="AH236" s="580"/>
      <c r="AI236" s="580"/>
      <c r="AJ236" s="580"/>
      <c r="AK236" s="580"/>
      <c r="AL236" s="580"/>
      <c r="AM236" s="580"/>
      <c r="AN236" s="580"/>
      <c r="AO236" s="580"/>
      <c r="AP236" s="580"/>
      <c r="AQ236" s="580"/>
      <c r="AR236" s="580"/>
      <c r="AS236" s="580"/>
      <c r="AT236" s="580"/>
      <c r="AU236" s="580"/>
      <c r="AV236" s="580"/>
      <c r="AW236" s="580"/>
      <c r="AX236" s="580"/>
      <c r="AY236" s="580"/>
      <c r="AZ236" s="580"/>
      <c r="BA236" s="580"/>
      <c r="BB236" s="580"/>
      <c r="BC236" s="580"/>
      <c r="BD236" s="580"/>
      <c r="BE236" s="580"/>
      <c r="BF236" s="580"/>
      <c r="BG236" s="580"/>
      <c r="BH236" s="580"/>
      <c r="BI236" s="580"/>
      <c r="BJ236" s="580"/>
      <c r="BK236" s="580"/>
      <c r="BL236" s="580"/>
      <c r="BM236" s="580"/>
      <c r="BN236" s="580"/>
      <c r="BO236" s="581"/>
      <c r="BP236" s="580"/>
      <c r="BQ236" s="581"/>
      <c r="BR236" s="580"/>
      <c r="BS236" s="580"/>
      <c r="BT236" s="580"/>
      <c r="BU236" s="580"/>
      <c r="BV236" s="580"/>
      <c r="BW236" s="580"/>
      <c r="BX236" s="580"/>
      <c r="BY236" s="581"/>
      <c r="BZ236" s="580"/>
      <c r="CA236" s="581"/>
      <c r="CB236" s="580"/>
      <c r="CC236" s="580"/>
      <c r="CD236" s="580"/>
      <c r="CE236" s="580"/>
      <c r="CF236" s="580"/>
      <c r="CG236" s="580"/>
    </row>
    <row r="237" spans="1:85" ht="24" customHeight="1">
      <c r="A237" s="580"/>
      <c r="B237" s="580"/>
      <c r="C237" s="580"/>
      <c r="D237" s="580"/>
      <c r="E237" s="580"/>
      <c r="F237" s="580"/>
      <c r="G237" s="580"/>
      <c r="H237" s="580"/>
      <c r="I237" s="580"/>
      <c r="J237" s="580"/>
      <c r="K237" s="581"/>
      <c r="L237" s="580"/>
      <c r="M237" s="580"/>
      <c r="N237" s="580"/>
      <c r="O237" s="580"/>
      <c r="P237" s="580"/>
      <c r="Q237" s="580"/>
      <c r="R237" s="580"/>
      <c r="S237" s="580"/>
      <c r="T237" s="580"/>
      <c r="U237" s="580"/>
      <c r="V237" s="580"/>
      <c r="W237" s="580"/>
      <c r="X237" s="580"/>
      <c r="Y237" s="580"/>
      <c r="Z237" s="580"/>
      <c r="AA237" s="580"/>
      <c r="AB237" s="580"/>
      <c r="AC237" s="580"/>
      <c r="AD237" s="580"/>
      <c r="AE237" s="581"/>
      <c r="AF237" s="580"/>
      <c r="AG237" s="581"/>
      <c r="AH237" s="580"/>
      <c r="AI237" s="580"/>
      <c r="AJ237" s="580"/>
      <c r="AK237" s="580"/>
      <c r="AL237" s="580"/>
      <c r="AM237" s="580"/>
      <c r="AN237" s="580"/>
      <c r="AO237" s="580"/>
      <c r="AP237" s="580"/>
      <c r="AQ237" s="580"/>
      <c r="AR237" s="580"/>
      <c r="AS237" s="580"/>
      <c r="AT237" s="580"/>
      <c r="AU237" s="580"/>
      <c r="AV237" s="580"/>
      <c r="AW237" s="580"/>
      <c r="AX237" s="580"/>
      <c r="AY237" s="580"/>
      <c r="AZ237" s="580"/>
      <c r="BA237" s="580"/>
      <c r="BB237" s="580"/>
      <c r="BC237" s="580"/>
      <c r="BD237" s="580"/>
      <c r="BE237" s="580"/>
      <c r="BF237" s="580"/>
      <c r="BG237" s="580"/>
      <c r="BH237" s="580"/>
      <c r="BI237" s="580"/>
      <c r="BJ237" s="580"/>
      <c r="BK237" s="580"/>
      <c r="BL237" s="580"/>
      <c r="BM237" s="580"/>
      <c r="BN237" s="580"/>
      <c r="BO237" s="581"/>
      <c r="BP237" s="580"/>
      <c r="BQ237" s="581"/>
      <c r="BR237" s="580"/>
      <c r="BS237" s="580"/>
      <c r="BT237" s="580"/>
      <c r="BU237" s="580"/>
      <c r="BV237" s="580"/>
      <c r="BW237" s="580"/>
      <c r="BX237" s="580"/>
      <c r="BY237" s="581"/>
      <c r="BZ237" s="580"/>
      <c r="CA237" s="581"/>
      <c r="CB237" s="580"/>
      <c r="CC237" s="580"/>
      <c r="CD237" s="580"/>
      <c r="CE237" s="580"/>
      <c r="CF237" s="580"/>
      <c r="CG237" s="580"/>
    </row>
    <row r="238" spans="1:85" ht="24" customHeight="1">
      <c r="A238" s="580"/>
      <c r="B238" s="580"/>
      <c r="C238" s="580"/>
      <c r="D238" s="580"/>
      <c r="E238" s="580"/>
      <c r="F238" s="580"/>
      <c r="G238" s="580"/>
      <c r="H238" s="580"/>
      <c r="I238" s="580"/>
      <c r="J238" s="580"/>
      <c r="K238" s="581"/>
      <c r="L238" s="580"/>
      <c r="M238" s="580"/>
      <c r="N238" s="580"/>
      <c r="O238" s="580"/>
      <c r="P238" s="580"/>
      <c r="Q238" s="580"/>
      <c r="R238" s="580"/>
      <c r="S238" s="580"/>
      <c r="T238" s="580"/>
      <c r="U238" s="580"/>
      <c r="V238" s="580"/>
      <c r="W238" s="580"/>
      <c r="X238" s="580"/>
      <c r="Y238" s="580"/>
      <c r="Z238" s="580"/>
      <c r="AA238" s="580"/>
      <c r="AB238" s="580"/>
      <c r="AC238" s="580"/>
      <c r="AD238" s="580"/>
      <c r="AE238" s="581"/>
      <c r="AF238" s="580"/>
      <c r="AG238" s="581"/>
      <c r="AH238" s="580"/>
      <c r="AI238" s="580"/>
      <c r="AJ238" s="580"/>
      <c r="AK238" s="580"/>
      <c r="AL238" s="580"/>
      <c r="AM238" s="580"/>
      <c r="AN238" s="580"/>
      <c r="AO238" s="580"/>
      <c r="AP238" s="580"/>
      <c r="AQ238" s="580"/>
      <c r="AR238" s="580"/>
      <c r="AS238" s="580"/>
      <c r="AT238" s="580"/>
      <c r="AU238" s="580"/>
      <c r="AV238" s="580"/>
      <c r="AW238" s="580"/>
      <c r="AX238" s="580"/>
      <c r="AY238" s="580"/>
      <c r="AZ238" s="580"/>
      <c r="BA238" s="580"/>
      <c r="BB238" s="580"/>
      <c r="BC238" s="580"/>
      <c r="BD238" s="580"/>
      <c r="BE238" s="580"/>
      <c r="BF238" s="580"/>
      <c r="BG238" s="580"/>
      <c r="BH238" s="580"/>
      <c r="BI238" s="580"/>
      <c r="BJ238" s="580"/>
      <c r="BK238" s="580"/>
      <c r="BL238" s="580"/>
      <c r="BM238" s="580"/>
      <c r="BN238" s="580"/>
      <c r="BO238" s="581"/>
      <c r="BP238" s="580"/>
      <c r="BQ238" s="581"/>
      <c r="BR238" s="580"/>
      <c r="BS238" s="580"/>
      <c r="BT238" s="580"/>
      <c r="BU238" s="580"/>
      <c r="BV238" s="580"/>
      <c r="BW238" s="580"/>
      <c r="BX238" s="580"/>
      <c r="BY238" s="581"/>
      <c r="BZ238" s="580"/>
      <c r="CA238" s="581"/>
      <c r="CB238" s="580"/>
      <c r="CC238" s="580"/>
      <c r="CD238" s="580"/>
      <c r="CE238" s="580"/>
      <c r="CF238" s="580"/>
      <c r="CG238" s="580"/>
    </row>
    <row r="239" spans="1:85" ht="24" customHeight="1">
      <c r="A239" s="580"/>
      <c r="B239" s="580"/>
      <c r="C239" s="580"/>
      <c r="D239" s="580"/>
      <c r="E239" s="580"/>
      <c r="F239" s="580"/>
      <c r="G239" s="580"/>
      <c r="H239" s="580"/>
      <c r="I239" s="580"/>
      <c r="J239" s="580"/>
      <c r="K239" s="581"/>
      <c r="L239" s="580"/>
      <c r="M239" s="580"/>
      <c r="N239" s="580"/>
      <c r="O239" s="580"/>
      <c r="P239" s="580"/>
      <c r="Q239" s="580"/>
      <c r="R239" s="580"/>
      <c r="S239" s="580"/>
      <c r="T239" s="580"/>
      <c r="U239" s="580"/>
      <c r="V239" s="580"/>
      <c r="W239" s="580"/>
      <c r="X239" s="580"/>
      <c r="Y239" s="580"/>
      <c r="Z239" s="580"/>
      <c r="AA239" s="580"/>
      <c r="AB239" s="580"/>
      <c r="AC239" s="580"/>
      <c r="AD239" s="580"/>
      <c r="AE239" s="581"/>
      <c r="AF239" s="580"/>
      <c r="AG239" s="581"/>
      <c r="AH239" s="580"/>
      <c r="AI239" s="580"/>
      <c r="AJ239" s="580"/>
      <c r="AK239" s="580"/>
      <c r="AL239" s="580"/>
      <c r="AM239" s="580"/>
      <c r="AN239" s="580"/>
      <c r="AO239" s="580"/>
      <c r="AP239" s="580"/>
      <c r="AQ239" s="580"/>
      <c r="AR239" s="580"/>
      <c r="AS239" s="580"/>
      <c r="AT239" s="580"/>
      <c r="AU239" s="580"/>
      <c r="AV239" s="580"/>
      <c r="AW239" s="580"/>
      <c r="AX239" s="580"/>
      <c r="AY239" s="580"/>
      <c r="AZ239" s="580"/>
      <c r="BA239" s="580"/>
      <c r="BB239" s="580"/>
      <c r="BC239" s="580"/>
      <c r="BD239" s="580"/>
      <c r="BE239" s="580"/>
      <c r="BF239" s="580"/>
      <c r="BG239" s="580"/>
      <c r="BH239" s="580"/>
      <c r="BI239" s="580"/>
      <c r="BJ239" s="580"/>
      <c r="BK239" s="580"/>
      <c r="BL239" s="580"/>
      <c r="BM239" s="580"/>
      <c r="BN239" s="580"/>
      <c r="BO239" s="581"/>
      <c r="BP239" s="580"/>
      <c r="BQ239" s="581"/>
      <c r="BR239" s="580"/>
      <c r="BS239" s="580"/>
      <c r="BT239" s="580"/>
      <c r="BU239" s="580"/>
      <c r="BV239" s="580"/>
      <c r="BW239" s="580"/>
      <c r="BX239" s="580"/>
      <c r="BY239" s="581"/>
      <c r="BZ239" s="580"/>
      <c r="CA239" s="581"/>
      <c r="CB239" s="580"/>
      <c r="CC239" s="580"/>
      <c r="CD239" s="580"/>
      <c r="CE239" s="580"/>
      <c r="CF239" s="580"/>
      <c r="CG239" s="580"/>
    </row>
    <row r="240" spans="1:85" ht="24" customHeight="1">
      <c r="A240" s="580"/>
      <c r="B240" s="580"/>
      <c r="C240" s="580"/>
      <c r="D240" s="580"/>
      <c r="E240" s="580"/>
      <c r="F240" s="580"/>
      <c r="G240" s="580"/>
      <c r="H240" s="580"/>
      <c r="I240" s="580"/>
      <c r="J240" s="580"/>
      <c r="K240" s="581"/>
      <c r="L240" s="580"/>
      <c r="M240" s="580"/>
      <c r="N240" s="580"/>
      <c r="O240" s="580"/>
      <c r="P240" s="580"/>
      <c r="Q240" s="580"/>
      <c r="R240" s="580"/>
      <c r="S240" s="580"/>
      <c r="T240" s="580"/>
      <c r="U240" s="580"/>
      <c r="V240" s="580"/>
      <c r="W240" s="580"/>
      <c r="X240" s="580"/>
      <c r="Y240" s="580"/>
      <c r="Z240" s="580"/>
      <c r="AA240" s="580"/>
      <c r="AB240" s="580"/>
      <c r="AC240" s="580"/>
      <c r="AD240" s="580"/>
      <c r="AE240" s="581"/>
      <c r="AF240" s="580"/>
      <c r="AG240" s="581"/>
      <c r="AH240" s="580"/>
      <c r="AI240" s="580"/>
      <c r="AJ240" s="580"/>
      <c r="AK240" s="580"/>
      <c r="AL240" s="580"/>
      <c r="AM240" s="580"/>
      <c r="AN240" s="580"/>
      <c r="AO240" s="580"/>
      <c r="AP240" s="580"/>
      <c r="AQ240" s="580"/>
      <c r="AR240" s="580"/>
      <c r="AS240" s="580"/>
      <c r="AT240" s="580"/>
      <c r="AU240" s="580"/>
      <c r="AV240" s="580"/>
      <c r="AW240" s="580"/>
      <c r="AX240" s="580"/>
      <c r="AY240" s="580"/>
      <c r="AZ240" s="580"/>
      <c r="BA240" s="580"/>
      <c r="BB240" s="580"/>
      <c r="BC240" s="580"/>
      <c r="BD240" s="580"/>
      <c r="BE240" s="580"/>
      <c r="BF240" s="580"/>
      <c r="BG240" s="580"/>
      <c r="BH240" s="580"/>
      <c r="BI240" s="580"/>
      <c r="BJ240" s="580"/>
      <c r="BK240" s="580"/>
      <c r="BL240" s="580"/>
      <c r="BM240" s="580"/>
      <c r="BN240" s="580"/>
      <c r="BO240" s="581"/>
      <c r="BP240" s="580"/>
      <c r="BQ240" s="581"/>
      <c r="BR240" s="580"/>
      <c r="BS240" s="580"/>
      <c r="BT240" s="580"/>
      <c r="BU240" s="580"/>
      <c r="BV240" s="580"/>
      <c r="BW240" s="580"/>
      <c r="BX240" s="580"/>
      <c r="BY240" s="581"/>
      <c r="BZ240" s="580"/>
      <c r="CA240" s="581"/>
      <c r="CB240" s="580"/>
      <c r="CC240" s="580"/>
      <c r="CD240" s="580"/>
      <c r="CE240" s="580"/>
      <c r="CF240" s="580"/>
      <c r="CG240" s="580"/>
    </row>
    <row r="241" spans="1:85" ht="24" customHeight="1">
      <c r="A241" s="580"/>
      <c r="B241" s="580"/>
      <c r="C241" s="580"/>
      <c r="D241" s="580"/>
      <c r="E241" s="580"/>
      <c r="F241" s="580"/>
      <c r="G241" s="580"/>
      <c r="H241" s="580"/>
      <c r="I241" s="580"/>
      <c r="J241" s="580"/>
      <c r="K241" s="581"/>
      <c r="L241" s="580"/>
      <c r="M241" s="580"/>
      <c r="N241" s="580"/>
      <c r="O241" s="580"/>
      <c r="P241" s="580"/>
      <c r="Q241" s="580"/>
      <c r="R241" s="580"/>
      <c r="S241" s="580"/>
      <c r="T241" s="580"/>
      <c r="U241" s="580"/>
      <c r="V241" s="580"/>
      <c r="W241" s="580"/>
      <c r="X241" s="580"/>
      <c r="Y241" s="580"/>
      <c r="Z241" s="580"/>
      <c r="AA241" s="580"/>
      <c r="AB241" s="580"/>
      <c r="AC241" s="580"/>
      <c r="AD241" s="580"/>
      <c r="AE241" s="581"/>
      <c r="AF241" s="580"/>
      <c r="AG241" s="581"/>
      <c r="AH241" s="580"/>
      <c r="AI241" s="580"/>
      <c r="AJ241" s="580"/>
      <c r="AK241" s="580"/>
      <c r="AL241" s="580"/>
      <c r="AM241" s="580"/>
      <c r="AN241" s="580"/>
      <c r="AO241" s="580"/>
      <c r="AP241" s="580"/>
      <c r="AQ241" s="580"/>
      <c r="AR241" s="580"/>
      <c r="AS241" s="580"/>
      <c r="AT241" s="580"/>
      <c r="AU241" s="580"/>
      <c r="AV241" s="580"/>
      <c r="AW241" s="580"/>
      <c r="AX241" s="580"/>
      <c r="AY241" s="580"/>
      <c r="AZ241" s="580"/>
      <c r="BA241" s="580"/>
      <c r="BB241" s="580"/>
      <c r="BC241" s="580"/>
      <c r="BD241" s="580"/>
      <c r="BE241" s="580"/>
      <c r="BF241" s="580"/>
      <c r="BG241" s="580"/>
      <c r="BH241" s="580"/>
      <c r="BI241" s="580"/>
      <c r="BJ241" s="580"/>
      <c r="BK241" s="580"/>
      <c r="BL241" s="580"/>
      <c r="BM241" s="580"/>
      <c r="BN241" s="580"/>
      <c r="BO241" s="581"/>
      <c r="BP241" s="580"/>
      <c r="BQ241" s="581"/>
      <c r="BR241" s="580"/>
      <c r="BS241" s="580"/>
      <c r="BT241" s="580"/>
      <c r="BU241" s="580"/>
      <c r="BV241" s="580"/>
      <c r="BW241" s="580"/>
      <c r="BX241" s="580"/>
      <c r="BY241" s="581"/>
      <c r="BZ241" s="580"/>
      <c r="CA241" s="581"/>
      <c r="CB241" s="580"/>
      <c r="CC241" s="580"/>
      <c r="CD241" s="580"/>
      <c r="CE241" s="580"/>
      <c r="CF241" s="580"/>
      <c r="CG241" s="580"/>
    </row>
    <row r="242" spans="1:85" ht="24" customHeight="1">
      <c r="A242" s="580"/>
      <c r="B242" s="580"/>
      <c r="C242" s="580"/>
      <c r="D242" s="580"/>
      <c r="E242" s="580"/>
      <c r="F242" s="580"/>
      <c r="G242" s="580"/>
      <c r="H242" s="580"/>
      <c r="I242" s="580"/>
      <c r="J242" s="580"/>
      <c r="K242" s="581"/>
      <c r="L242" s="580"/>
      <c r="M242" s="580"/>
      <c r="N242" s="580"/>
      <c r="O242" s="580"/>
      <c r="P242" s="580"/>
      <c r="Q242" s="580"/>
      <c r="R242" s="580"/>
      <c r="S242" s="580"/>
      <c r="T242" s="580"/>
      <c r="U242" s="580"/>
      <c r="V242" s="580"/>
      <c r="W242" s="580"/>
      <c r="X242" s="580"/>
      <c r="Y242" s="580"/>
      <c r="Z242" s="580"/>
      <c r="AA242" s="580"/>
      <c r="AB242" s="580"/>
      <c r="AC242" s="580"/>
      <c r="AD242" s="580"/>
      <c r="AE242" s="581"/>
      <c r="AF242" s="580"/>
      <c r="AG242" s="581"/>
      <c r="AH242" s="580"/>
      <c r="AI242" s="580"/>
      <c r="AJ242" s="580"/>
      <c r="AK242" s="580"/>
      <c r="AL242" s="580"/>
      <c r="AM242" s="580"/>
      <c r="AN242" s="580"/>
      <c r="AO242" s="580"/>
      <c r="AP242" s="580"/>
      <c r="AQ242" s="580"/>
      <c r="AR242" s="580"/>
      <c r="AS242" s="580"/>
      <c r="AT242" s="580"/>
      <c r="AU242" s="580"/>
      <c r="AV242" s="580"/>
      <c r="AW242" s="580"/>
      <c r="AX242" s="580"/>
      <c r="AY242" s="580"/>
      <c r="AZ242" s="580"/>
      <c r="BA242" s="580"/>
      <c r="BB242" s="580"/>
      <c r="BC242" s="580"/>
      <c r="BD242" s="580"/>
      <c r="BE242" s="580"/>
      <c r="BF242" s="580"/>
      <c r="BG242" s="580"/>
      <c r="BH242" s="580"/>
      <c r="BI242" s="580"/>
      <c r="BJ242" s="580"/>
      <c r="BK242" s="580"/>
      <c r="BL242" s="580"/>
      <c r="BM242" s="580"/>
      <c r="BN242" s="580"/>
      <c r="BO242" s="581"/>
      <c r="BP242" s="580"/>
      <c r="BQ242" s="581"/>
      <c r="BR242" s="580"/>
      <c r="BS242" s="580"/>
      <c r="BT242" s="580"/>
      <c r="BU242" s="580"/>
      <c r="BV242" s="580"/>
      <c r="BW242" s="580"/>
      <c r="BX242" s="580"/>
      <c r="BY242" s="581"/>
      <c r="BZ242" s="580"/>
      <c r="CA242" s="581"/>
      <c r="CB242" s="580"/>
      <c r="CC242" s="580"/>
      <c r="CD242" s="580"/>
      <c r="CE242" s="580"/>
      <c r="CF242" s="580"/>
      <c r="CG242" s="580"/>
    </row>
    <row r="243" spans="1:85" ht="24" customHeight="1">
      <c r="A243" s="580"/>
      <c r="B243" s="580"/>
      <c r="C243" s="580"/>
      <c r="D243" s="580"/>
      <c r="E243" s="580"/>
      <c r="F243" s="580"/>
      <c r="G243" s="580"/>
      <c r="H243" s="580"/>
      <c r="I243" s="580"/>
      <c r="J243" s="580"/>
      <c r="K243" s="581"/>
      <c r="L243" s="580"/>
      <c r="M243" s="580"/>
      <c r="N243" s="580"/>
      <c r="O243" s="580"/>
      <c r="P243" s="580"/>
      <c r="Q243" s="580"/>
      <c r="R243" s="580"/>
      <c r="S243" s="580"/>
      <c r="T243" s="580"/>
      <c r="U243" s="580"/>
      <c r="V243" s="580"/>
      <c r="W243" s="580"/>
      <c r="X243" s="580"/>
      <c r="Y243" s="580"/>
      <c r="Z243" s="580"/>
      <c r="AA243" s="580"/>
      <c r="AB243" s="580"/>
      <c r="AC243" s="580"/>
      <c r="AD243" s="580"/>
      <c r="AE243" s="581"/>
      <c r="AF243" s="580"/>
      <c r="AG243" s="581"/>
      <c r="AH243" s="580"/>
      <c r="AI243" s="580"/>
      <c r="AJ243" s="580"/>
      <c r="AK243" s="580"/>
      <c r="AL243" s="580"/>
      <c r="AM243" s="580"/>
      <c r="AN243" s="580"/>
      <c r="AO243" s="580"/>
      <c r="AP243" s="580"/>
      <c r="AQ243" s="580"/>
      <c r="AR243" s="580"/>
      <c r="AS243" s="580"/>
      <c r="AT243" s="580"/>
      <c r="AU243" s="580"/>
      <c r="AV243" s="580"/>
      <c r="AW243" s="580"/>
      <c r="AX243" s="580"/>
      <c r="AY243" s="580"/>
      <c r="AZ243" s="580"/>
      <c r="BA243" s="580"/>
      <c r="BB243" s="580"/>
      <c r="BC243" s="580"/>
      <c r="BD243" s="580"/>
      <c r="BE243" s="580"/>
      <c r="BF243" s="580"/>
      <c r="BG243" s="580"/>
      <c r="BH243" s="580"/>
      <c r="BI243" s="580"/>
      <c r="BJ243" s="580"/>
      <c r="BK243" s="580"/>
      <c r="BL243" s="580"/>
      <c r="BM243" s="580"/>
      <c r="BN243" s="580"/>
      <c r="BO243" s="581"/>
      <c r="BP243" s="580"/>
      <c r="BQ243" s="581"/>
      <c r="BR243" s="580"/>
      <c r="BS243" s="580"/>
      <c r="BT243" s="580"/>
      <c r="BU243" s="580"/>
      <c r="BV243" s="580"/>
      <c r="BW243" s="580"/>
      <c r="BX243" s="580"/>
      <c r="BY243" s="581"/>
      <c r="BZ243" s="580"/>
      <c r="CA243" s="581"/>
      <c r="CB243" s="580"/>
      <c r="CC243" s="580"/>
      <c r="CD243" s="580"/>
      <c r="CE243" s="580"/>
      <c r="CF243" s="580"/>
      <c r="CG243" s="580"/>
    </row>
    <row r="244" spans="1:85" ht="24" customHeight="1">
      <c r="A244" s="580"/>
      <c r="B244" s="580"/>
      <c r="C244" s="580"/>
      <c r="D244" s="580"/>
      <c r="E244" s="580"/>
      <c r="F244" s="580"/>
      <c r="G244" s="580"/>
      <c r="H244" s="580"/>
      <c r="I244" s="580"/>
      <c r="J244" s="580"/>
      <c r="K244" s="581"/>
      <c r="L244" s="580"/>
      <c r="M244" s="580"/>
      <c r="N244" s="580"/>
      <c r="O244" s="580"/>
      <c r="P244" s="580"/>
      <c r="Q244" s="580"/>
      <c r="R244" s="580"/>
      <c r="S244" s="580"/>
      <c r="T244" s="580"/>
      <c r="U244" s="580"/>
      <c r="V244" s="580"/>
      <c r="W244" s="580"/>
      <c r="X244" s="580"/>
      <c r="Y244" s="580"/>
      <c r="Z244" s="580"/>
      <c r="AA244" s="580"/>
      <c r="AB244" s="580"/>
      <c r="AC244" s="580"/>
      <c r="AD244" s="580"/>
      <c r="AE244" s="581"/>
      <c r="AF244" s="580"/>
      <c r="AG244" s="581"/>
      <c r="AH244" s="580"/>
      <c r="AI244" s="580"/>
      <c r="AJ244" s="580"/>
      <c r="AK244" s="580"/>
      <c r="AL244" s="580"/>
      <c r="AM244" s="580"/>
      <c r="AN244" s="580"/>
      <c r="AO244" s="580"/>
      <c r="AP244" s="580"/>
      <c r="AQ244" s="580"/>
      <c r="AR244" s="580"/>
      <c r="AS244" s="580"/>
      <c r="AT244" s="580"/>
      <c r="AU244" s="580"/>
      <c r="AV244" s="580"/>
      <c r="AW244" s="580"/>
      <c r="AX244" s="580"/>
      <c r="AY244" s="580"/>
      <c r="AZ244" s="580"/>
      <c r="BA244" s="580"/>
      <c r="BB244" s="580"/>
      <c r="BC244" s="580"/>
      <c r="BD244" s="580"/>
      <c r="BE244" s="580"/>
      <c r="BF244" s="580"/>
      <c r="BG244" s="580"/>
      <c r="BH244" s="580"/>
      <c r="BI244" s="580"/>
      <c r="BJ244" s="580"/>
      <c r="BK244" s="580"/>
      <c r="BL244" s="580"/>
      <c r="BM244" s="580"/>
      <c r="BN244" s="580"/>
      <c r="BO244" s="581"/>
      <c r="BP244" s="580"/>
      <c r="BQ244" s="581"/>
      <c r="BR244" s="580"/>
      <c r="BS244" s="580"/>
      <c r="BT244" s="580"/>
      <c r="BU244" s="580"/>
      <c r="BV244" s="580"/>
      <c r="BW244" s="580"/>
      <c r="BX244" s="580"/>
      <c r="BY244" s="581"/>
      <c r="BZ244" s="580"/>
      <c r="CA244" s="581"/>
      <c r="CB244" s="580"/>
      <c r="CC244" s="580"/>
      <c r="CD244" s="580"/>
      <c r="CE244" s="580"/>
      <c r="CF244" s="580"/>
      <c r="CG244" s="580"/>
    </row>
    <row r="245" spans="1:85" ht="24" customHeight="1">
      <c r="A245" s="580"/>
      <c r="B245" s="580"/>
      <c r="C245" s="580"/>
      <c r="D245" s="580"/>
      <c r="E245" s="580"/>
      <c r="F245" s="580"/>
      <c r="G245" s="580"/>
      <c r="H245" s="580"/>
      <c r="I245" s="580"/>
      <c r="J245" s="580"/>
      <c r="K245" s="581"/>
      <c r="L245" s="580"/>
      <c r="M245" s="580"/>
      <c r="N245" s="580"/>
      <c r="O245" s="580"/>
      <c r="P245" s="580"/>
      <c r="Q245" s="580"/>
      <c r="R245" s="580"/>
      <c r="S245" s="580"/>
      <c r="T245" s="580"/>
      <c r="U245" s="580"/>
      <c r="V245" s="580"/>
      <c r="W245" s="580"/>
      <c r="X245" s="580"/>
      <c r="Y245" s="580"/>
      <c r="Z245" s="580"/>
      <c r="AA245" s="580"/>
      <c r="AB245" s="580"/>
      <c r="AC245" s="580"/>
      <c r="AD245" s="580"/>
      <c r="AE245" s="581"/>
      <c r="AF245" s="580"/>
      <c r="AG245" s="581"/>
      <c r="AH245" s="580"/>
      <c r="AI245" s="580"/>
      <c r="AJ245" s="580"/>
      <c r="AK245" s="580"/>
      <c r="AL245" s="580"/>
      <c r="AM245" s="580"/>
      <c r="AN245" s="580"/>
      <c r="AO245" s="580"/>
      <c r="AP245" s="580"/>
      <c r="AQ245" s="580"/>
      <c r="AR245" s="580"/>
      <c r="AS245" s="580"/>
      <c r="AT245" s="580"/>
      <c r="AU245" s="580"/>
      <c r="AV245" s="580"/>
      <c r="AW245" s="580"/>
      <c r="AX245" s="580"/>
      <c r="AY245" s="580"/>
      <c r="AZ245" s="580"/>
      <c r="BA245" s="580"/>
      <c r="BB245" s="580"/>
      <c r="BC245" s="580"/>
      <c r="BD245" s="580"/>
      <c r="BE245" s="580"/>
      <c r="BF245" s="580"/>
      <c r="BG245" s="580"/>
      <c r="BH245" s="580"/>
      <c r="BI245" s="580"/>
      <c r="BJ245" s="580"/>
      <c r="BK245" s="580"/>
      <c r="BL245" s="580"/>
      <c r="BM245" s="580"/>
      <c r="BN245" s="580"/>
      <c r="BO245" s="581"/>
      <c r="BP245" s="580"/>
      <c r="BQ245" s="581"/>
      <c r="BR245" s="580"/>
      <c r="BS245" s="580"/>
      <c r="BT245" s="580"/>
      <c r="BU245" s="580"/>
      <c r="BV245" s="580"/>
      <c r="BW245" s="580"/>
      <c r="BX245" s="580"/>
      <c r="BY245" s="581"/>
      <c r="BZ245" s="580"/>
      <c r="CA245" s="581"/>
      <c r="CB245" s="580"/>
      <c r="CC245" s="580"/>
      <c r="CD245" s="580"/>
      <c r="CE245" s="580"/>
      <c r="CF245" s="580"/>
      <c r="CG245" s="580"/>
    </row>
    <row r="246" spans="1:85" ht="24" customHeight="1">
      <c r="A246" s="580"/>
      <c r="B246" s="580"/>
      <c r="C246" s="580"/>
      <c r="D246" s="580"/>
      <c r="E246" s="580"/>
      <c r="F246" s="580"/>
      <c r="G246" s="580"/>
      <c r="H246" s="580"/>
      <c r="I246" s="580"/>
      <c r="J246" s="580"/>
      <c r="K246" s="581"/>
      <c r="L246" s="580"/>
      <c r="M246" s="580"/>
      <c r="N246" s="580"/>
      <c r="O246" s="580"/>
      <c r="P246" s="580"/>
      <c r="Q246" s="580"/>
      <c r="R246" s="580"/>
      <c r="S246" s="580"/>
      <c r="T246" s="580"/>
      <c r="U246" s="580"/>
      <c r="V246" s="580"/>
      <c r="W246" s="580"/>
      <c r="X246" s="580"/>
      <c r="Y246" s="580"/>
      <c r="Z246" s="580"/>
      <c r="AA246" s="580"/>
      <c r="AB246" s="580"/>
      <c r="AC246" s="580"/>
      <c r="AD246" s="580"/>
      <c r="AE246" s="581"/>
      <c r="AF246" s="580"/>
      <c r="AG246" s="581"/>
      <c r="AH246" s="580"/>
      <c r="AI246" s="580"/>
      <c r="AJ246" s="580"/>
      <c r="AK246" s="580"/>
      <c r="AL246" s="580"/>
      <c r="AM246" s="580"/>
      <c r="AN246" s="580"/>
      <c r="AO246" s="580"/>
      <c r="AP246" s="580"/>
      <c r="AQ246" s="580"/>
      <c r="AR246" s="580"/>
      <c r="AS246" s="580"/>
      <c r="AT246" s="580"/>
      <c r="AU246" s="580"/>
      <c r="AV246" s="580"/>
      <c r="AW246" s="580"/>
      <c r="AX246" s="580"/>
      <c r="AY246" s="580"/>
      <c r="AZ246" s="580"/>
      <c r="BA246" s="580"/>
      <c r="BB246" s="580"/>
      <c r="BC246" s="580"/>
      <c r="BD246" s="580"/>
      <c r="BE246" s="580"/>
      <c r="BF246" s="580"/>
      <c r="BG246" s="580"/>
      <c r="BH246" s="580"/>
      <c r="BI246" s="580"/>
      <c r="BJ246" s="580"/>
      <c r="BK246" s="580"/>
      <c r="BL246" s="580"/>
      <c r="BM246" s="580"/>
      <c r="BN246" s="580"/>
      <c r="BO246" s="581"/>
      <c r="BP246" s="580"/>
      <c r="BQ246" s="581"/>
      <c r="BR246" s="580"/>
      <c r="BS246" s="580"/>
      <c r="BT246" s="580"/>
      <c r="BU246" s="580"/>
      <c r="BV246" s="580"/>
      <c r="BW246" s="580"/>
      <c r="BX246" s="580"/>
      <c r="BY246" s="581"/>
      <c r="BZ246" s="580"/>
      <c r="CA246" s="581"/>
      <c r="CB246" s="580"/>
      <c r="CC246" s="580"/>
      <c r="CD246" s="580"/>
      <c r="CE246" s="580"/>
      <c r="CF246" s="580"/>
      <c r="CG246" s="580"/>
    </row>
    <row r="247" spans="1:85" ht="24" customHeight="1">
      <c r="A247" s="580"/>
      <c r="B247" s="580"/>
      <c r="C247" s="580"/>
      <c r="D247" s="580"/>
      <c r="E247" s="580"/>
      <c r="F247" s="580"/>
      <c r="G247" s="580"/>
      <c r="H247" s="580"/>
      <c r="I247" s="580"/>
      <c r="J247" s="580"/>
      <c r="K247" s="581"/>
      <c r="L247" s="580"/>
      <c r="M247" s="580"/>
      <c r="N247" s="580"/>
      <c r="O247" s="580"/>
      <c r="P247" s="580"/>
      <c r="Q247" s="580"/>
      <c r="R247" s="580"/>
      <c r="S247" s="580"/>
      <c r="T247" s="580"/>
      <c r="U247" s="580"/>
      <c r="V247" s="580"/>
      <c r="W247" s="580"/>
      <c r="X247" s="580"/>
      <c r="Y247" s="580"/>
      <c r="Z247" s="580"/>
      <c r="AA247" s="580"/>
      <c r="AB247" s="580"/>
      <c r="AC247" s="580"/>
      <c r="AD247" s="580"/>
      <c r="AE247" s="581"/>
      <c r="AF247" s="580"/>
      <c r="AG247" s="581"/>
      <c r="AH247" s="580"/>
      <c r="AI247" s="580"/>
      <c r="AJ247" s="580"/>
      <c r="AK247" s="580"/>
      <c r="AL247" s="580"/>
      <c r="AM247" s="580"/>
      <c r="AN247" s="580"/>
      <c r="AO247" s="580"/>
      <c r="AP247" s="580"/>
      <c r="AQ247" s="580"/>
      <c r="AR247" s="580"/>
      <c r="AS247" s="580"/>
      <c r="AT247" s="580"/>
      <c r="AU247" s="580"/>
      <c r="AV247" s="580"/>
      <c r="AW247" s="580"/>
      <c r="AX247" s="580"/>
      <c r="AY247" s="580"/>
      <c r="AZ247" s="580"/>
      <c r="BA247" s="580"/>
      <c r="BB247" s="580"/>
      <c r="BC247" s="580"/>
      <c r="BD247" s="580"/>
      <c r="BE247" s="580"/>
      <c r="BF247" s="580"/>
      <c r="BG247" s="580"/>
      <c r="BH247" s="580"/>
      <c r="BI247" s="580"/>
      <c r="BJ247" s="580"/>
      <c r="BK247" s="580"/>
      <c r="BL247" s="580"/>
      <c r="BM247" s="580"/>
      <c r="BN247" s="580"/>
      <c r="BO247" s="581"/>
      <c r="BP247" s="580"/>
      <c r="BQ247" s="581"/>
      <c r="BR247" s="580"/>
      <c r="BS247" s="580"/>
      <c r="BT247" s="580"/>
      <c r="BU247" s="580"/>
      <c r="BV247" s="580"/>
      <c r="BW247" s="580"/>
      <c r="BX247" s="580"/>
      <c r="BY247" s="581"/>
      <c r="BZ247" s="580"/>
      <c r="CA247" s="581"/>
      <c r="CB247" s="580"/>
      <c r="CC247" s="580"/>
      <c r="CD247" s="580"/>
      <c r="CE247" s="580"/>
      <c r="CF247" s="580"/>
      <c r="CG247" s="580"/>
    </row>
    <row r="248" spans="1:85" ht="24" customHeight="1">
      <c r="A248" s="580"/>
      <c r="B248" s="580"/>
      <c r="C248" s="580"/>
      <c r="D248" s="580"/>
      <c r="E248" s="580"/>
      <c r="F248" s="580"/>
      <c r="G248" s="580"/>
      <c r="H248" s="580"/>
      <c r="I248" s="580"/>
      <c r="J248" s="580"/>
      <c r="K248" s="581"/>
      <c r="L248" s="580"/>
      <c r="M248" s="580"/>
      <c r="N248" s="580"/>
      <c r="O248" s="580"/>
      <c r="P248" s="580"/>
      <c r="Q248" s="580"/>
      <c r="R248" s="580"/>
      <c r="S248" s="580"/>
      <c r="T248" s="580"/>
      <c r="U248" s="580"/>
      <c r="V248" s="580"/>
      <c r="W248" s="580"/>
      <c r="X248" s="580"/>
      <c r="Y248" s="580"/>
      <c r="Z248" s="580"/>
      <c r="AA248" s="580"/>
      <c r="AB248" s="580"/>
      <c r="AC248" s="580"/>
      <c r="AD248" s="580"/>
      <c r="AE248" s="581"/>
      <c r="AF248" s="580"/>
      <c r="AG248" s="581"/>
      <c r="AH248" s="580"/>
      <c r="AI248" s="580"/>
      <c r="AJ248" s="580"/>
      <c r="AK248" s="580"/>
      <c r="AL248" s="580"/>
      <c r="AM248" s="580"/>
      <c r="AN248" s="580"/>
      <c r="AO248" s="580"/>
      <c r="AP248" s="580"/>
      <c r="AQ248" s="580"/>
      <c r="AR248" s="580"/>
      <c r="AS248" s="580"/>
      <c r="AT248" s="580"/>
      <c r="AU248" s="580"/>
      <c r="AV248" s="580"/>
      <c r="AW248" s="580"/>
      <c r="AX248" s="580"/>
      <c r="AY248" s="580"/>
      <c r="AZ248" s="580"/>
      <c r="BA248" s="580"/>
      <c r="BB248" s="580"/>
      <c r="BC248" s="580"/>
      <c r="BD248" s="580"/>
      <c r="BE248" s="580"/>
      <c r="BF248" s="580"/>
      <c r="BG248" s="580"/>
      <c r="BH248" s="580"/>
      <c r="BI248" s="580"/>
      <c r="BJ248" s="580"/>
      <c r="BK248" s="580"/>
      <c r="BL248" s="580"/>
      <c r="BM248" s="580"/>
      <c r="BN248" s="580"/>
      <c r="BO248" s="581"/>
      <c r="BP248" s="580"/>
      <c r="BQ248" s="581"/>
      <c r="BR248" s="580"/>
      <c r="BS248" s="580"/>
      <c r="BT248" s="580"/>
      <c r="BU248" s="580"/>
      <c r="BV248" s="580"/>
      <c r="BW248" s="580"/>
      <c r="BX248" s="580"/>
      <c r="BY248" s="581"/>
      <c r="BZ248" s="580"/>
      <c r="CA248" s="581"/>
      <c r="CB248" s="580"/>
      <c r="CC248" s="580"/>
      <c r="CD248" s="580"/>
      <c r="CE248" s="580"/>
      <c r="CF248" s="580"/>
      <c r="CG248" s="580"/>
    </row>
    <row r="249" spans="1:85" ht="24" customHeight="1">
      <c r="A249" s="580"/>
      <c r="B249" s="580"/>
      <c r="C249" s="580"/>
      <c r="D249" s="580"/>
      <c r="E249" s="580"/>
      <c r="F249" s="580"/>
      <c r="G249" s="580"/>
      <c r="H249" s="580"/>
      <c r="I249" s="580"/>
      <c r="J249" s="580"/>
      <c r="K249" s="581"/>
      <c r="L249" s="580"/>
      <c r="M249" s="580"/>
      <c r="N249" s="580"/>
      <c r="O249" s="580"/>
      <c r="P249" s="580"/>
      <c r="Q249" s="580"/>
      <c r="R249" s="580"/>
      <c r="S249" s="580"/>
      <c r="T249" s="580"/>
      <c r="U249" s="580"/>
      <c r="V249" s="580"/>
      <c r="W249" s="580"/>
      <c r="X249" s="580"/>
      <c r="Y249" s="580"/>
      <c r="Z249" s="580"/>
      <c r="AA249" s="580"/>
      <c r="AB249" s="580"/>
      <c r="AC249" s="580"/>
      <c r="AD249" s="580"/>
      <c r="AE249" s="581"/>
      <c r="AF249" s="580"/>
      <c r="AG249" s="581"/>
      <c r="AH249" s="580"/>
      <c r="AI249" s="580"/>
      <c r="AJ249" s="580"/>
      <c r="AK249" s="580"/>
      <c r="AL249" s="580"/>
      <c r="AM249" s="580"/>
      <c r="AN249" s="580"/>
      <c r="AO249" s="580"/>
      <c r="AP249" s="580"/>
      <c r="AQ249" s="580"/>
      <c r="AR249" s="580"/>
      <c r="AS249" s="580"/>
      <c r="AT249" s="580"/>
      <c r="AU249" s="580"/>
      <c r="AV249" s="580"/>
      <c r="AW249" s="580"/>
      <c r="AX249" s="580"/>
      <c r="AY249" s="580"/>
      <c r="AZ249" s="580"/>
      <c r="BA249" s="580"/>
      <c r="BB249" s="580"/>
      <c r="BC249" s="580"/>
      <c r="BD249" s="580"/>
      <c r="BE249" s="580"/>
      <c r="BF249" s="580"/>
      <c r="BG249" s="580"/>
      <c r="BH249" s="580"/>
      <c r="BI249" s="580"/>
      <c r="BJ249" s="580"/>
      <c r="BK249" s="580"/>
      <c r="BL249" s="580"/>
      <c r="BM249" s="580"/>
      <c r="BN249" s="580"/>
      <c r="BO249" s="581"/>
      <c r="BP249" s="580"/>
      <c r="BQ249" s="581"/>
      <c r="BR249" s="580"/>
      <c r="BS249" s="580"/>
      <c r="BT249" s="580"/>
      <c r="BU249" s="580"/>
      <c r="BV249" s="580"/>
      <c r="BW249" s="580"/>
      <c r="BX249" s="580"/>
      <c r="BY249" s="581"/>
      <c r="BZ249" s="580"/>
      <c r="CA249" s="581"/>
      <c r="CB249" s="580"/>
      <c r="CC249" s="580"/>
      <c r="CD249" s="580"/>
      <c r="CE249" s="580"/>
      <c r="CF249" s="580"/>
      <c r="CG249" s="580"/>
    </row>
    <row r="250" spans="1:85" ht="24" customHeight="1">
      <c r="A250" s="580"/>
      <c r="B250" s="580"/>
      <c r="C250" s="580"/>
      <c r="D250" s="580"/>
      <c r="E250" s="580"/>
      <c r="F250" s="580"/>
      <c r="G250" s="580"/>
      <c r="H250" s="580"/>
      <c r="I250" s="580"/>
      <c r="J250" s="580"/>
      <c r="K250" s="581"/>
      <c r="L250" s="580"/>
      <c r="M250" s="580"/>
      <c r="N250" s="580"/>
      <c r="O250" s="580"/>
      <c r="P250" s="580"/>
      <c r="Q250" s="580"/>
      <c r="R250" s="580"/>
      <c r="S250" s="580"/>
      <c r="T250" s="580"/>
      <c r="U250" s="580"/>
      <c r="V250" s="580"/>
      <c r="W250" s="580"/>
      <c r="X250" s="580"/>
      <c r="Y250" s="580"/>
      <c r="Z250" s="580"/>
      <c r="AA250" s="580"/>
      <c r="AB250" s="580"/>
      <c r="AC250" s="580"/>
      <c r="AD250" s="580"/>
      <c r="AE250" s="581"/>
      <c r="AF250" s="580"/>
      <c r="AG250" s="581"/>
      <c r="AH250" s="580"/>
      <c r="AI250" s="580"/>
      <c r="AJ250" s="580"/>
      <c r="AK250" s="580"/>
      <c r="AL250" s="580"/>
      <c r="AM250" s="580"/>
      <c r="AN250" s="580"/>
      <c r="AO250" s="580"/>
      <c r="AP250" s="580"/>
      <c r="AQ250" s="580"/>
      <c r="AR250" s="580"/>
      <c r="AS250" s="580"/>
      <c r="AT250" s="580"/>
      <c r="AU250" s="580"/>
      <c r="AV250" s="580"/>
      <c r="AW250" s="580"/>
      <c r="AX250" s="580"/>
      <c r="AY250" s="580"/>
      <c r="AZ250" s="580"/>
      <c r="BA250" s="580"/>
      <c r="BB250" s="580"/>
      <c r="BC250" s="580"/>
      <c r="BD250" s="580"/>
      <c r="BE250" s="580"/>
      <c r="BF250" s="580"/>
      <c r="BG250" s="580"/>
      <c r="BH250" s="580"/>
      <c r="BI250" s="580"/>
      <c r="BJ250" s="580"/>
      <c r="BK250" s="580"/>
      <c r="BL250" s="580"/>
      <c r="BM250" s="580"/>
      <c r="BN250" s="580"/>
      <c r="BO250" s="581"/>
      <c r="BP250" s="580"/>
      <c r="BQ250" s="581"/>
      <c r="BR250" s="580"/>
      <c r="BS250" s="580"/>
      <c r="BT250" s="580"/>
      <c r="BU250" s="580"/>
      <c r="BV250" s="580"/>
      <c r="BW250" s="580"/>
      <c r="BX250" s="580"/>
      <c r="BY250" s="581"/>
      <c r="BZ250" s="580"/>
      <c r="CA250" s="581"/>
      <c r="CB250" s="580"/>
      <c r="CC250" s="580"/>
      <c r="CD250" s="580"/>
      <c r="CE250" s="580"/>
      <c r="CF250" s="580"/>
      <c r="CG250" s="580"/>
    </row>
    <row r="251" spans="1:85" ht="24" customHeight="1">
      <c r="A251" s="580"/>
      <c r="B251" s="580"/>
      <c r="C251" s="580"/>
      <c r="D251" s="580"/>
      <c r="E251" s="580"/>
      <c r="F251" s="580"/>
      <c r="G251" s="580"/>
      <c r="H251" s="580"/>
      <c r="I251" s="580"/>
      <c r="J251" s="580"/>
      <c r="K251" s="581"/>
      <c r="L251" s="580"/>
      <c r="M251" s="580"/>
      <c r="N251" s="580"/>
      <c r="O251" s="580"/>
      <c r="P251" s="580"/>
      <c r="Q251" s="580"/>
      <c r="R251" s="580"/>
      <c r="S251" s="580"/>
      <c r="T251" s="580"/>
      <c r="U251" s="580"/>
      <c r="V251" s="580"/>
      <c r="W251" s="580"/>
      <c r="X251" s="580"/>
      <c r="Y251" s="580"/>
      <c r="Z251" s="580"/>
      <c r="AA251" s="580"/>
      <c r="AB251" s="580"/>
      <c r="AC251" s="580"/>
      <c r="AD251" s="580"/>
      <c r="AE251" s="581"/>
      <c r="AF251" s="580"/>
      <c r="AG251" s="581"/>
      <c r="AH251" s="580"/>
      <c r="AI251" s="580"/>
      <c r="AJ251" s="580"/>
      <c r="AK251" s="580"/>
      <c r="AL251" s="580"/>
      <c r="AM251" s="580"/>
      <c r="AN251" s="580"/>
      <c r="AO251" s="580"/>
      <c r="AP251" s="580"/>
      <c r="AQ251" s="580"/>
      <c r="AR251" s="580"/>
      <c r="AS251" s="580"/>
      <c r="AT251" s="580"/>
      <c r="AU251" s="580"/>
      <c r="AV251" s="580"/>
      <c r="AW251" s="580"/>
      <c r="AX251" s="580"/>
      <c r="AY251" s="580"/>
      <c r="AZ251" s="580"/>
      <c r="BA251" s="580"/>
      <c r="BB251" s="580"/>
      <c r="BC251" s="580"/>
      <c r="BD251" s="580"/>
      <c r="BE251" s="580"/>
      <c r="BF251" s="580"/>
      <c r="BG251" s="580"/>
      <c r="BH251" s="580"/>
      <c r="BI251" s="580"/>
      <c r="BJ251" s="580"/>
      <c r="BK251" s="580"/>
      <c r="BL251" s="580"/>
      <c r="BM251" s="580"/>
      <c r="BN251" s="580"/>
      <c r="BO251" s="581"/>
      <c r="BP251" s="580"/>
      <c r="BQ251" s="581"/>
      <c r="BR251" s="580"/>
      <c r="BS251" s="580"/>
      <c r="BT251" s="580"/>
      <c r="BU251" s="580"/>
      <c r="BV251" s="580"/>
      <c r="BW251" s="580"/>
      <c r="BX251" s="580"/>
      <c r="BY251" s="581"/>
      <c r="BZ251" s="580"/>
      <c r="CA251" s="581"/>
      <c r="CB251" s="580"/>
      <c r="CC251" s="580"/>
      <c r="CD251" s="580"/>
      <c r="CE251" s="580"/>
      <c r="CF251" s="580"/>
      <c r="CG251" s="580"/>
    </row>
    <row r="252" spans="1:85" ht="24" customHeight="1">
      <c r="A252" s="580"/>
      <c r="B252" s="580"/>
      <c r="C252" s="580"/>
      <c r="D252" s="580"/>
      <c r="E252" s="580"/>
      <c r="F252" s="580"/>
      <c r="G252" s="580"/>
      <c r="H252" s="580"/>
      <c r="I252" s="580"/>
      <c r="J252" s="580"/>
      <c r="K252" s="581"/>
      <c r="L252" s="580"/>
      <c r="M252" s="580"/>
      <c r="N252" s="580"/>
      <c r="O252" s="580"/>
      <c r="P252" s="580"/>
      <c r="Q252" s="580"/>
      <c r="R252" s="580"/>
      <c r="S252" s="580"/>
      <c r="T252" s="580"/>
      <c r="U252" s="580"/>
      <c r="V252" s="580"/>
      <c r="W252" s="580"/>
      <c r="X252" s="580"/>
      <c r="Y252" s="580"/>
      <c r="Z252" s="580"/>
      <c r="AA252" s="580"/>
      <c r="AB252" s="580"/>
      <c r="AC252" s="580"/>
      <c r="AD252" s="580"/>
      <c r="AE252" s="581"/>
      <c r="AF252" s="580"/>
      <c r="AG252" s="581"/>
      <c r="AH252" s="580"/>
      <c r="AI252" s="580"/>
      <c r="AJ252" s="580"/>
      <c r="AK252" s="580"/>
      <c r="AL252" s="580"/>
      <c r="AM252" s="580"/>
      <c r="AN252" s="580"/>
      <c r="AO252" s="580"/>
      <c r="AP252" s="580"/>
      <c r="AQ252" s="580"/>
      <c r="AR252" s="580"/>
      <c r="AS252" s="580"/>
      <c r="AT252" s="580"/>
      <c r="AU252" s="580"/>
      <c r="AV252" s="580"/>
      <c r="AW252" s="580"/>
      <c r="AX252" s="580"/>
      <c r="AY252" s="580"/>
      <c r="AZ252" s="580"/>
      <c r="BA252" s="580"/>
      <c r="BB252" s="580"/>
      <c r="BC252" s="580"/>
      <c r="BD252" s="580"/>
      <c r="BE252" s="580"/>
      <c r="BF252" s="580"/>
      <c r="BG252" s="580"/>
      <c r="BH252" s="580"/>
      <c r="BI252" s="580"/>
      <c r="BJ252" s="580"/>
      <c r="BK252" s="580"/>
      <c r="BL252" s="580"/>
      <c r="BM252" s="580"/>
      <c r="BN252" s="580"/>
      <c r="BO252" s="581"/>
      <c r="BP252" s="580"/>
      <c r="BQ252" s="581"/>
      <c r="BR252" s="580"/>
      <c r="BS252" s="580"/>
      <c r="BT252" s="580"/>
      <c r="BU252" s="580"/>
      <c r="BV252" s="580"/>
      <c r="BW252" s="580"/>
      <c r="BX252" s="580"/>
      <c r="BY252" s="581"/>
      <c r="BZ252" s="580"/>
      <c r="CA252" s="581"/>
      <c r="CB252" s="580"/>
      <c r="CC252" s="580"/>
      <c r="CD252" s="580"/>
      <c r="CE252" s="580"/>
      <c r="CF252" s="580"/>
      <c r="CG252" s="580"/>
    </row>
    <row r="253" spans="1:85" ht="24" customHeight="1">
      <c r="A253" s="580"/>
      <c r="B253" s="580"/>
      <c r="C253" s="580"/>
      <c r="D253" s="580"/>
      <c r="E253" s="580"/>
      <c r="F253" s="580"/>
      <c r="G253" s="580"/>
      <c r="H253" s="580"/>
      <c r="I253" s="580"/>
      <c r="J253" s="580"/>
      <c r="K253" s="581"/>
      <c r="L253" s="580"/>
      <c r="M253" s="580"/>
      <c r="N253" s="580"/>
      <c r="O253" s="580"/>
      <c r="P253" s="580"/>
      <c r="Q253" s="580"/>
      <c r="R253" s="580"/>
      <c r="S253" s="580"/>
      <c r="T253" s="580"/>
      <c r="U253" s="580"/>
      <c r="V253" s="580"/>
      <c r="W253" s="580"/>
      <c r="X253" s="580"/>
      <c r="Y253" s="580"/>
      <c r="Z253" s="580"/>
      <c r="AA253" s="580"/>
      <c r="AB253" s="580"/>
      <c r="AC253" s="580"/>
      <c r="AD253" s="580"/>
      <c r="AE253" s="581"/>
      <c r="AF253" s="580"/>
      <c r="AG253" s="581"/>
      <c r="AH253" s="580"/>
      <c r="AI253" s="580"/>
      <c r="AJ253" s="580"/>
      <c r="AK253" s="580"/>
      <c r="AL253" s="580"/>
      <c r="AM253" s="580"/>
      <c r="AN253" s="580"/>
      <c r="AO253" s="580"/>
      <c r="AP253" s="580"/>
      <c r="AQ253" s="580"/>
      <c r="AR253" s="580"/>
      <c r="AS253" s="580"/>
      <c r="AT253" s="580"/>
      <c r="AU253" s="580"/>
      <c r="AV253" s="580"/>
      <c r="AW253" s="580"/>
      <c r="AX253" s="580"/>
      <c r="AY253" s="580"/>
      <c r="AZ253" s="580"/>
      <c r="BA253" s="580"/>
      <c r="BB253" s="580"/>
      <c r="BC253" s="580"/>
      <c r="BD253" s="580"/>
      <c r="BE253" s="580"/>
      <c r="BF253" s="580"/>
      <c r="BG253" s="580"/>
      <c r="BH253" s="580"/>
      <c r="BI253" s="580"/>
      <c r="BJ253" s="580"/>
      <c r="BK253" s="580"/>
      <c r="BL253" s="580"/>
      <c r="BM253" s="580"/>
      <c r="BN253" s="580"/>
      <c r="BO253" s="581"/>
      <c r="BP253" s="580"/>
      <c r="BQ253" s="581"/>
      <c r="BR253" s="580"/>
      <c r="BS253" s="580"/>
      <c r="BT253" s="580"/>
      <c r="BU253" s="580"/>
      <c r="BV253" s="580"/>
      <c r="BW253" s="580"/>
      <c r="BX253" s="580"/>
      <c r="BY253" s="581"/>
      <c r="BZ253" s="580"/>
      <c r="CA253" s="581"/>
      <c r="CB253" s="580"/>
      <c r="CC253" s="580"/>
      <c r="CD253" s="580"/>
      <c r="CE253" s="580"/>
      <c r="CF253" s="580"/>
      <c r="CG253" s="580"/>
    </row>
    <row r="254" spans="1:85" ht="24" customHeight="1">
      <c r="A254" s="580"/>
      <c r="B254" s="580"/>
      <c r="C254" s="580"/>
      <c r="D254" s="580"/>
      <c r="E254" s="580"/>
      <c r="F254" s="580"/>
      <c r="G254" s="580"/>
      <c r="H254" s="580"/>
      <c r="I254" s="580"/>
      <c r="J254" s="580"/>
      <c r="K254" s="581"/>
      <c r="L254" s="580"/>
      <c r="M254" s="580"/>
      <c r="N254" s="580"/>
      <c r="O254" s="580"/>
      <c r="P254" s="580"/>
      <c r="Q254" s="580"/>
      <c r="R254" s="580"/>
      <c r="S254" s="580"/>
      <c r="T254" s="580"/>
      <c r="U254" s="580"/>
      <c r="V254" s="580"/>
      <c r="W254" s="580"/>
      <c r="X254" s="580"/>
      <c r="Y254" s="580"/>
      <c r="Z254" s="580"/>
      <c r="AA254" s="580"/>
      <c r="AB254" s="580"/>
      <c r="AC254" s="580"/>
      <c r="AD254" s="580"/>
      <c r="AE254" s="581"/>
      <c r="AF254" s="580"/>
      <c r="AG254" s="581"/>
      <c r="AH254" s="580"/>
      <c r="AI254" s="580"/>
      <c r="AJ254" s="580"/>
      <c r="AK254" s="580"/>
      <c r="AL254" s="580"/>
      <c r="AM254" s="580"/>
      <c r="AN254" s="580"/>
      <c r="AO254" s="580"/>
      <c r="AP254" s="580"/>
      <c r="AQ254" s="580"/>
      <c r="AR254" s="580"/>
      <c r="AS254" s="580"/>
      <c r="AT254" s="580"/>
      <c r="AU254" s="580"/>
      <c r="AV254" s="580"/>
      <c r="AW254" s="580"/>
      <c r="AX254" s="580"/>
      <c r="AY254" s="580"/>
      <c r="AZ254" s="580"/>
      <c r="BA254" s="580"/>
      <c r="BB254" s="580"/>
      <c r="BC254" s="580"/>
      <c r="BD254" s="580"/>
      <c r="BE254" s="580"/>
      <c r="BF254" s="580"/>
      <c r="BG254" s="580"/>
      <c r="BH254" s="580"/>
      <c r="BI254" s="580"/>
      <c r="BJ254" s="580"/>
      <c r="BK254" s="580"/>
      <c r="BL254" s="580"/>
      <c r="BM254" s="580"/>
      <c r="BN254" s="580"/>
      <c r="BO254" s="581"/>
      <c r="BP254" s="580"/>
      <c r="BQ254" s="581"/>
      <c r="BR254" s="580"/>
      <c r="BS254" s="580"/>
      <c r="BT254" s="580"/>
      <c r="BU254" s="580"/>
      <c r="BV254" s="580"/>
      <c r="BW254" s="580"/>
      <c r="BX254" s="580"/>
      <c r="BY254" s="581"/>
      <c r="BZ254" s="580"/>
      <c r="CA254" s="581"/>
      <c r="CB254" s="580"/>
      <c r="CC254" s="580"/>
      <c r="CD254" s="580"/>
      <c r="CE254" s="580"/>
      <c r="CF254" s="580"/>
      <c r="CG254" s="580"/>
    </row>
    <row r="255" spans="1:85" ht="24" customHeight="1">
      <c r="A255" s="580"/>
      <c r="B255" s="580"/>
      <c r="C255" s="580"/>
      <c r="D255" s="580"/>
      <c r="E255" s="580"/>
      <c r="F255" s="580"/>
      <c r="G255" s="580"/>
      <c r="H255" s="580"/>
      <c r="I255" s="580"/>
      <c r="J255" s="580"/>
      <c r="K255" s="581"/>
      <c r="L255" s="580"/>
      <c r="M255" s="580"/>
      <c r="N255" s="580"/>
      <c r="O255" s="580"/>
      <c r="P255" s="580"/>
      <c r="Q255" s="580"/>
      <c r="R255" s="580"/>
      <c r="S255" s="580"/>
      <c r="T255" s="580"/>
      <c r="U255" s="580"/>
      <c r="V255" s="580"/>
      <c r="W255" s="580"/>
      <c r="X255" s="580"/>
      <c r="Y255" s="580"/>
      <c r="Z255" s="580"/>
      <c r="AA255" s="580"/>
      <c r="AB255" s="580"/>
      <c r="AC255" s="580"/>
      <c r="AD255" s="580"/>
      <c r="AE255" s="581"/>
      <c r="AF255" s="580"/>
      <c r="AG255" s="581"/>
      <c r="AH255" s="580"/>
      <c r="AI255" s="580"/>
      <c r="AJ255" s="580"/>
      <c r="AK255" s="580"/>
      <c r="AL255" s="580"/>
      <c r="AM255" s="580"/>
      <c r="AN255" s="580"/>
      <c r="AO255" s="580"/>
      <c r="AP255" s="580"/>
      <c r="AQ255" s="580"/>
      <c r="AR255" s="580"/>
      <c r="AS255" s="580"/>
      <c r="AT255" s="580"/>
      <c r="AU255" s="580"/>
      <c r="AV255" s="580"/>
      <c r="AW255" s="580"/>
      <c r="AX255" s="580"/>
      <c r="AY255" s="580"/>
      <c r="AZ255" s="580"/>
      <c r="BA255" s="580"/>
      <c r="BB255" s="580"/>
      <c r="BC255" s="580"/>
      <c r="BD255" s="580"/>
      <c r="BE255" s="580"/>
      <c r="BF255" s="580"/>
      <c r="BG255" s="580"/>
      <c r="BH255" s="580"/>
      <c r="BI255" s="580"/>
      <c r="BJ255" s="580"/>
      <c r="BK255" s="580"/>
      <c r="BL255" s="580"/>
      <c r="BM255" s="580"/>
      <c r="BN255" s="580"/>
      <c r="BO255" s="581"/>
      <c r="BP255" s="580"/>
      <c r="BQ255" s="581"/>
      <c r="BR255" s="580"/>
      <c r="BS255" s="580"/>
      <c r="BT255" s="580"/>
      <c r="BU255" s="580"/>
      <c r="BV255" s="580"/>
      <c r="BW255" s="580"/>
      <c r="BX255" s="580"/>
      <c r="BY255" s="581"/>
      <c r="BZ255" s="580"/>
      <c r="CA255" s="581"/>
      <c r="CB255" s="580"/>
      <c r="CC255" s="580"/>
      <c r="CD255" s="580"/>
      <c r="CE255" s="580"/>
      <c r="CF255" s="580"/>
      <c r="CG255" s="580"/>
    </row>
    <row r="256" spans="1:85" ht="24" customHeight="1">
      <c r="A256" s="580"/>
      <c r="B256" s="580"/>
      <c r="C256" s="580"/>
      <c r="D256" s="580"/>
      <c r="E256" s="580"/>
      <c r="F256" s="580"/>
      <c r="G256" s="580"/>
      <c r="H256" s="580"/>
      <c r="I256" s="580"/>
      <c r="J256" s="580"/>
      <c r="K256" s="581"/>
      <c r="L256" s="580"/>
      <c r="M256" s="580"/>
      <c r="N256" s="580"/>
      <c r="O256" s="580"/>
      <c r="P256" s="580"/>
      <c r="Q256" s="580"/>
      <c r="R256" s="580"/>
      <c r="S256" s="580"/>
      <c r="T256" s="580"/>
      <c r="U256" s="580"/>
      <c r="V256" s="580"/>
      <c r="W256" s="580"/>
      <c r="X256" s="580"/>
      <c r="Y256" s="580"/>
      <c r="Z256" s="580"/>
      <c r="AA256" s="580"/>
      <c r="AB256" s="580"/>
      <c r="AC256" s="580"/>
      <c r="AD256" s="580"/>
      <c r="AE256" s="581"/>
      <c r="AF256" s="580"/>
      <c r="AG256" s="581"/>
      <c r="AH256" s="580"/>
      <c r="AI256" s="580"/>
      <c r="AJ256" s="580"/>
      <c r="AK256" s="580"/>
      <c r="AL256" s="580"/>
      <c r="AM256" s="580"/>
      <c r="AN256" s="580"/>
      <c r="AO256" s="580"/>
      <c r="AP256" s="580"/>
      <c r="AQ256" s="580"/>
      <c r="AR256" s="580"/>
      <c r="AS256" s="580"/>
      <c r="AT256" s="580"/>
      <c r="AU256" s="580"/>
      <c r="AV256" s="580"/>
      <c r="AW256" s="580"/>
      <c r="AX256" s="580"/>
      <c r="AY256" s="580"/>
      <c r="AZ256" s="580"/>
      <c r="BA256" s="580"/>
      <c r="BB256" s="580"/>
      <c r="BC256" s="580"/>
      <c r="BD256" s="580"/>
      <c r="BE256" s="580"/>
      <c r="BF256" s="580"/>
      <c r="BG256" s="580"/>
      <c r="BH256" s="580"/>
      <c r="BI256" s="580"/>
      <c r="BJ256" s="580"/>
      <c r="BK256" s="580"/>
      <c r="BL256" s="580"/>
      <c r="BM256" s="580"/>
      <c r="BN256" s="580"/>
      <c r="BO256" s="581"/>
      <c r="BP256" s="580"/>
      <c r="BQ256" s="581"/>
      <c r="BR256" s="580"/>
      <c r="BS256" s="580"/>
      <c r="BT256" s="580"/>
      <c r="BU256" s="580"/>
      <c r="BV256" s="580"/>
      <c r="BW256" s="580"/>
      <c r="BX256" s="580"/>
      <c r="BY256" s="581"/>
      <c r="BZ256" s="580"/>
      <c r="CA256" s="581"/>
      <c r="CB256" s="580"/>
      <c r="CC256" s="580"/>
      <c r="CD256" s="580"/>
      <c r="CE256" s="580"/>
      <c r="CF256" s="580"/>
      <c r="CG256" s="580"/>
    </row>
    <row r="257" spans="1:85" ht="24" customHeight="1">
      <c r="A257" s="580"/>
      <c r="B257" s="580"/>
      <c r="C257" s="580"/>
      <c r="D257" s="580"/>
      <c r="E257" s="580"/>
      <c r="F257" s="580"/>
      <c r="G257" s="580"/>
      <c r="H257" s="580"/>
      <c r="I257" s="580"/>
      <c r="J257" s="580"/>
      <c r="K257" s="581"/>
      <c r="L257" s="580"/>
      <c r="M257" s="580"/>
      <c r="N257" s="580"/>
      <c r="O257" s="580"/>
      <c r="P257" s="580"/>
      <c r="Q257" s="580"/>
      <c r="R257" s="580"/>
      <c r="S257" s="580"/>
      <c r="T257" s="580"/>
      <c r="U257" s="580"/>
      <c r="V257" s="580"/>
      <c r="W257" s="580"/>
      <c r="X257" s="580"/>
      <c r="Y257" s="580"/>
      <c r="Z257" s="580"/>
      <c r="AA257" s="580"/>
      <c r="AB257" s="580"/>
      <c r="AC257" s="580"/>
      <c r="AD257" s="580"/>
      <c r="AE257" s="581"/>
      <c r="AF257" s="580"/>
      <c r="AG257" s="581"/>
      <c r="AH257" s="580"/>
      <c r="AI257" s="580"/>
      <c r="AJ257" s="580"/>
      <c r="AK257" s="580"/>
      <c r="AL257" s="580"/>
      <c r="AM257" s="580"/>
      <c r="AN257" s="580"/>
      <c r="AO257" s="580"/>
      <c r="AP257" s="580"/>
      <c r="AQ257" s="580"/>
      <c r="AR257" s="580"/>
      <c r="AS257" s="580"/>
      <c r="AT257" s="580"/>
      <c r="AU257" s="580"/>
      <c r="AV257" s="580"/>
      <c r="AW257" s="580"/>
      <c r="AX257" s="580"/>
      <c r="AY257" s="580"/>
      <c r="AZ257" s="580"/>
      <c r="BA257" s="580"/>
      <c r="BB257" s="580"/>
      <c r="BC257" s="580"/>
      <c r="BD257" s="580"/>
      <c r="BE257" s="580"/>
      <c r="BF257" s="580"/>
      <c r="BG257" s="580"/>
      <c r="BH257" s="580"/>
      <c r="BI257" s="580"/>
      <c r="BJ257" s="580"/>
      <c r="BK257" s="580"/>
      <c r="BL257" s="580"/>
      <c r="BM257" s="580"/>
      <c r="BN257" s="580"/>
      <c r="BO257" s="581"/>
      <c r="BP257" s="580"/>
      <c r="BQ257" s="581"/>
      <c r="BR257" s="580"/>
      <c r="BS257" s="580"/>
      <c r="BT257" s="580"/>
      <c r="BU257" s="580"/>
      <c r="BV257" s="580"/>
      <c r="BW257" s="580"/>
      <c r="BX257" s="580"/>
      <c r="BY257" s="581"/>
      <c r="BZ257" s="580"/>
      <c r="CA257" s="581"/>
      <c r="CB257" s="580"/>
      <c r="CC257" s="580"/>
      <c r="CD257" s="580"/>
      <c r="CE257" s="580"/>
      <c r="CF257" s="580"/>
      <c r="CG257" s="580"/>
    </row>
    <row r="258" spans="1:85" ht="24" customHeight="1">
      <c r="A258" s="580"/>
      <c r="B258" s="580"/>
      <c r="C258" s="580"/>
      <c r="D258" s="580"/>
      <c r="E258" s="580"/>
      <c r="F258" s="580"/>
      <c r="G258" s="580"/>
      <c r="H258" s="580"/>
      <c r="I258" s="580"/>
      <c r="J258" s="580"/>
      <c r="K258" s="581"/>
      <c r="L258" s="580"/>
      <c r="M258" s="580"/>
      <c r="N258" s="580"/>
      <c r="O258" s="580"/>
      <c r="P258" s="580"/>
      <c r="Q258" s="580"/>
      <c r="R258" s="580"/>
      <c r="S258" s="580"/>
      <c r="T258" s="580"/>
      <c r="U258" s="580"/>
      <c r="V258" s="580"/>
      <c r="W258" s="580"/>
      <c r="X258" s="580"/>
      <c r="Y258" s="580"/>
      <c r="Z258" s="580"/>
      <c r="AA258" s="580"/>
      <c r="AB258" s="580"/>
      <c r="AC258" s="580"/>
      <c r="AD258" s="580"/>
      <c r="AE258" s="581"/>
      <c r="AF258" s="580"/>
      <c r="AG258" s="581"/>
      <c r="AH258" s="580"/>
      <c r="AI258" s="580"/>
      <c r="AJ258" s="580"/>
      <c r="AK258" s="580"/>
      <c r="AL258" s="580"/>
      <c r="AM258" s="580"/>
      <c r="AN258" s="580"/>
      <c r="AO258" s="580"/>
      <c r="AP258" s="580"/>
      <c r="AQ258" s="580"/>
      <c r="AR258" s="580"/>
      <c r="AS258" s="580"/>
      <c r="AT258" s="580"/>
      <c r="AU258" s="580"/>
      <c r="AV258" s="580"/>
      <c r="AW258" s="580"/>
      <c r="AX258" s="580"/>
      <c r="AY258" s="580"/>
      <c r="AZ258" s="580"/>
      <c r="BA258" s="580"/>
      <c r="BB258" s="580"/>
      <c r="BC258" s="580"/>
      <c r="BD258" s="580"/>
      <c r="BE258" s="580"/>
      <c r="BF258" s="580"/>
      <c r="BG258" s="580"/>
      <c r="BH258" s="580"/>
      <c r="BI258" s="580"/>
      <c r="BJ258" s="580"/>
      <c r="BK258" s="580"/>
      <c r="BL258" s="580"/>
      <c r="BM258" s="580"/>
      <c r="BN258" s="580"/>
      <c r="BO258" s="581"/>
      <c r="BP258" s="580"/>
      <c r="BQ258" s="581"/>
      <c r="BR258" s="580"/>
      <c r="BS258" s="580"/>
      <c r="BT258" s="580"/>
      <c r="BU258" s="580"/>
      <c r="BV258" s="580"/>
      <c r="BW258" s="580"/>
      <c r="BX258" s="580"/>
      <c r="BY258" s="581"/>
      <c r="BZ258" s="580"/>
      <c r="CA258" s="581"/>
      <c r="CB258" s="580"/>
      <c r="CC258" s="580"/>
      <c r="CD258" s="580"/>
      <c r="CE258" s="580"/>
      <c r="CF258" s="580"/>
      <c r="CG258" s="580"/>
    </row>
    <row r="259" spans="1:85" ht="24" customHeight="1">
      <c r="A259" s="580"/>
      <c r="B259" s="580"/>
      <c r="C259" s="580"/>
      <c r="D259" s="580"/>
      <c r="E259" s="580"/>
      <c r="F259" s="580"/>
      <c r="G259" s="580"/>
      <c r="H259" s="580"/>
      <c r="I259" s="580"/>
      <c r="J259" s="580"/>
      <c r="K259" s="581"/>
      <c r="L259" s="580"/>
      <c r="M259" s="580"/>
      <c r="N259" s="580"/>
      <c r="O259" s="580"/>
      <c r="P259" s="580"/>
      <c r="Q259" s="580"/>
      <c r="R259" s="580"/>
      <c r="S259" s="580"/>
      <c r="T259" s="580"/>
      <c r="U259" s="580"/>
      <c r="V259" s="580"/>
      <c r="W259" s="580"/>
      <c r="X259" s="580"/>
      <c r="Y259" s="580"/>
      <c r="Z259" s="580"/>
      <c r="AA259" s="580"/>
      <c r="AB259" s="580"/>
      <c r="AC259" s="580"/>
      <c r="AD259" s="580"/>
      <c r="AE259" s="581"/>
      <c r="AF259" s="580"/>
      <c r="AG259" s="581"/>
      <c r="AH259" s="580"/>
      <c r="AI259" s="580"/>
      <c r="AJ259" s="580"/>
      <c r="AK259" s="580"/>
      <c r="AL259" s="580"/>
      <c r="AM259" s="580"/>
      <c r="AN259" s="580"/>
      <c r="AO259" s="580"/>
      <c r="AP259" s="580"/>
      <c r="AQ259" s="580"/>
      <c r="AR259" s="580"/>
      <c r="AS259" s="580"/>
      <c r="AT259" s="580"/>
      <c r="AU259" s="580"/>
      <c r="AV259" s="580"/>
      <c r="AW259" s="580"/>
      <c r="AX259" s="580"/>
      <c r="AY259" s="580"/>
      <c r="AZ259" s="580"/>
      <c r="BA259" s="580"/>
      <c r="BB259" s="580"/>
      <c r="BC259" s="580"/>
      <c r="BD259" s="580"/>
      <c r="BE259" s="580"/>
      <c r="BF259" s="580"/>
      <c r="BG259" s="580"/>
      <c r="BH259" s="580"/>
      <c r="BI259" s="580"/>
      <c r="BJ259" s="580"/>
      <c r="BK259" s="580"/>
      <c r="BL259" s="580"/>
      <c r="BM259" s="580"/>
      <c r="BN259" s="580"/>
      <c r="BO259" s="581"/>
      <c r="BP259" s="580"/>
      <c r="BQ259" s="581"/>
      <c r="BR259" s="580"/>
      <c r="BS259" s="580"/>
      <c r="BT259" s="580"/>
      <c r="BU259" s="580"/>
      <c r="BV259" s="580"/>
      <c r="BW259" s="580"/>
      <c r="BX259" s="580"/>
      <c r="BY259" s="581"/>
      <c r="BZ259" s="580"/>
      <c r="CA259" s="581"/>
      <c r="CB259" s="580"/>
      <c r="CC259" s="580"/>
      <c r="CD259" s="580"/>
      <c r="CE259" s="580"/>
      <c r="CF259" s="580"/>
      <c r="CG259" s="580"/>
    </row>
    <row r="260" spans="1:85" ht="24" customHeight="1">
      <c r="A260" s="580"/>
      <c r="B260" s="580"/>
      <c r="C260" s="580"/>
      <c r="D260" s="580"/>
      <c r="E260" s="580"/>
      <c r="F260" s="580"/>
      <c r="G260" s="580"/>
      <c r="H260" s="580"/>
      <c r="I260" s="580"/>
      <c r="J260" s="580"/>
      <c r="K260" s="581"/>
      <c r="L260" s="580"/>
      <c r="M260" s="580"/>
      <c r="N260" s="580"/>
      <c r="O260" s="580"/>
      <c r="P260" s="580"/>
      <c r="Q260" s="580"/>
      <c r="R260" s="580"/>
      <c r="S260" s="580"/>
      <c r="T260" s="580"/>
      <c r="U260" s="580"/>
      <c r="V260" s="580"/>
      <c r="W260" s="580"/>
      <c r="X260" s="580"/>
      <c r="Y260" s="580"/>
      <c r="Z260" s="580"/>
      <c r="AA260" s="580"/>
      <c r="AB260" s="580"/>
      <c r="AC260" s="580"/>
      <c r="AD260" s="580"/>
      <c r="AE260" s="581"/>
      <c r="AF260" s="580"/>
      <c r="AG260" s="581"/>
      <c r="AH260" s="580"/>
      <c r="AI260" s="580"/>
      <c r="AJ260" s="580"/>
      <c r="AK260" s="580"/>
      <c r="AL260" s="580"/>
      <c r="AM260" s="580"/>
      <c r="AN260" s="580"/>
      <c r="AO260" s="580"/>
      <c r="AP260" s="580"/>
      <c r="AQ260" s="580"/>
      <c r="AR260" s="580"/>
      <c r="AS260" s="580"/>
      <c r="AT260" s="580"/>
      <c r="AU260" s="580"/>
      <c r="AV260" s="580"/>
      <c r="AW260" s="580"/>
      <c r="AX260" s="580"/>
      <c r="AY260" s="580"/>
      <c r="AZ260" s="580"/>
      <c r="BA260" s="580"/>
      <c r="BB260" s="580"/>
      <c r="BC260" s="580"/>
      <c r="BD260" s="580"/>
      <c r="BE260" s="580"/>
      <c r="BF260" s="580"/>
      <c r="BG260" s="580"/>
      <c r="BH260" s="580"/>
      <c r="BI260" s="580"/>
      <c r="BJ260" s="580"/>
      <c r="BK260" s="580"/>
      <c r="BL260" s="580"/>
      <c r="BM260" s="580"/>
      <c r="BN260" s="580"/>
      <c r="BO260" s="581"/>
      <c r="BP260" s="580"/>
      <c r="BQ260" s="581"/>
      <c r="BR260" s="580"/>
      <c r="BS260" s="580"/>
      <c r="BT260" s="580"/>
      <c r="BU260" s="580"/>
      <c r="BV260" s="580"/>
      <c r="BW260" s="580"/>
      <c r="BX260" s="580"/>
      <c r="BY260" s="581"/>
      <c r="BZ260" s="580"/>
      <c r="CA260" s="581"/>
      <c r="CB260" s="580"/>
      <c r="CC260" s="580"/>
      <c r="CD260" s="580"/>
      <c r="CE260" s="580"/>
      <c r="CF260" s="580"/>
      <c r="CG260" s="580"/>
    </row>
    <row r="261" spans="1:85" ht="24" customHeight="1">
      <c r="A261" s="580"/>
      <c r="B261" s="580"/>
      <c r="C261" s="580"/>
      <c r="D261" s="580"/>
      <c r="E261" s="580"/>
      <c r="F261" s="580"/>
      <c r="G261" s="580"/>
      <c r="H261" s="580"/>
      <c r="I261" s="580"/>
      <c r="J261" s="580"/>
      <c r="K261" s="581"/>
      <c r="L261" s="580"/>
      <c r="M261" s="580"/>
      <c r="N261" s="580"/>
      <c r="O261" s="580"/>
      <c r="P261" s="580"/>
      <c r="Q261" s="580"/>
      <c r="R261" s="580"/>
      <c r="S261" s="580"/>
      <c r="T261" s="580"/>
      <c r="U261" s="580"/>
      <c r="V261" s="580"/>
      <c r="W261" s="580"/>
      <c r="X261" s="580"/>
      <c r="Y261" s="580"/>
      <c r="Z261" s="580"/>
      <c r="AA261" s="580"/>
      <c r="AB261" s="580"/>
      <c r="AC261" s="580"/>
      <c r="AD261" s="580"/>
      <c r="AE261" s="581"/>
      <c r="AF261" s="580"/>
      <c r="AG261" s="581"/>
      <c r="AH261" s="580"/>
      <c r="AI261" s="580"/>
      <c r="AJ261" s="580"/>
      <c r="AK261" s="580"/>
      <c r="AL261" s="580"/>
      <c r="AM261" s="580"/>
      <c r="AN261" s="580"/>
      <c r="AO261" s="580"/>
      <c r="AP261" s="580"/>
      <c r="AQ261" s="580"/>
      <c r="AR261" s="580"/>
      <c r="AS261" s="580"/>
      <c r="AT261" s="580"/>
      <c r="AU261" s="580"/>
      <c r="AV261" s="580"/>
      <c r="AW261" s="580"/>
      <c r="AX261" s="580"/>
      <c r="AY261" s="580"/>
      <c r="AZ261" s="580"/>
      <c r="BA261" s="580"/>
      <c r="BB261" s="580"/>
      <c r="BC261" s="580"/>
      <c r="BD261" s="580"/>
      <c r="BE261" s="580"/>
      <c r="BF261" s="580"/>
      <c r="BG261" s="580"/>
      <c r="BH261" s="580"/>
      <c r="BI261" s="580"/>
      <c r="BJ261" s="580"/>
      <c r="BK261" s="580"/>
      <c r="BL261" s="580"/>
      <c r="BM261" s="580"/>
      <c r="BN261" s="580"/>
      <c r="BO261" s="581"/>
      <c r="BP261" s="580"/>
      <c r="BQ261" s="581"/>
      <c r="BR261" s="580"/>
      <c r="BS261" s="580"/>
      <c r="BT261" s="580"/>
      <c r="BU261" s="580"/>
      <c r="BV261" s="580"/>
      <c r="BW261" s="580"/>
      <c r="BX261" s="580"/>
      <c r="BY261" s="581"/>
      <c r="BZ261" s="580"/>
      <c r="CA261" s="581"/>
      <c r="CB261" s="580"/>
      <c r="CC261" s="580"/>
      <c r="CD261" s="580"/>
      <c r="CE261" s="580"/>
      <c r="CF261" s="580"/>
      <c r="CG261" s="580"/>
    </row>
    <row r="262" spans="1:85" ht="24" customHeight="1">
      <c r="A262" s="580"/>
      <c r="B262" s="580"/>
      <c r="C262" s="580"/>
      <c r="D262" s="580"/>
      <c r="E262" s="580"/>
      <c r="F262" s="580"/>
      <c r="G262" s="580"/>
      <c r="H262" s="580"/>
      <c r="I262" s="580"/>
      <c r="J262" s="580"/>
      <c r="K262" s="581"/>
      <c r="L262" s="580"/>
      <c r="M262" s="580"/>
      <c r="N262" s="580"/>
      <c r="O262" s="580"/>
      <c r="P262" s="580"/>
      <c r="Q262" s="580"/>
      <c r="R262" s="580"/>
      <c r="S262" s="580"/>
      <c r="T262" s="580"/>
      <c r="U262" s="580"/>
      <c r="V262" s="580"/>
      <c r="W262" s="580"/>
      <c r="X262" s="580"/>
      <c r="Y262" s="580"/>
      <c r="Z262" s="580"/>
      <c r="AA262" s="580"/>
      <c r="AB262" s="580"/>
      <c r="AC262" s="580"/>
      <c r="AD262" s="580"/>
      <c r="AE262" s="581"/>
      <c r="AF262" s="580"/>
      <c r="AG262" s="581"/>
      <c r="AH262" s="580"/>
      <c r="AI262" s="580"/>
      <c r="AJ262" s="580"/>
      <c r="AK262" s="580"/>
      <c r="AL262" s="580"/>
      <c r="AM262" s="580"/>
      <c r="AN262" s="580"/>
      <c r="AO262" s="580"/>
      <c r="AP262" s="580"/>
      <c r="AQ262" s="580"/>
      <c r="AR262" s="580"/>
      <c r="AS262" s="580"/>
      <c r="AT262" s="580"/>
      <c r="AU262" s="580"/>
      <c r="AV262" s="580"/>
      <c r="AW262" s="580"/>
      <c r="AX262" s="580"/>
      <c r="AY262" s="580"/>
      <c r="AZ262" s="580"/>
      <c r="BA262" s="580"/>
      <c r="BB262" s="580"/>
      <c r="BC262" s="580"/>
      <c r="BD262" s="580"/>
      <c r="BE262" s="580"/>
      <c r="BF262" s="580"/>
      <c r="BG262" s="580"/>
      <c r="BH262" s="580"/>
      <c r="BI262" s="580"/>
      <c r="BJ262" s="580"/>
      <c r="BK262" s="580"/>
      <c r="BL262" s="580"/>
      <c r="BM262" s="580"/>
      <c r="BN262" s="580"/>
      <c r="BO262" s="581"/>
      <c r="BP262" s="580"/>
      <c r="BQ262" s="581"/>
      <c r="BR262" s="580"/>
      <c r="BS262" s="580"/>
      <c r="BT262" s="580"/>
      <c r="BU262" s="580"/>
      <c r="BV262" s="580"/>
      <c r="BW262" s="580"/>
      <c r="BX262" s="580"/>
      <c r="BY262" s="581"/>
      <c r="BZ262" s="580"/>
      <c r="CA262" s="581"/>
      <c r="CB262" s="580"/>
      <c r="CC262" s="580"/>
      <c r="CD262" s="580"/>
      <c r="CE262" s="580"/>
      <c r="CF262" s="580"/>
      <c r="CG262" s="580"/>
    </row>
    <row r="263" spans="1:85" ht="24" customHeight="1">
      <c r="A263" s="580"/>
      <c r="B263" s="580"/>
      <c r="C263" s="580"/>
      <c r="D263" s="580"/>
      <c r="E263" s="580"/>
      <c r="F263" s="580"/>
      <c r="G263" s="580"/>
      <c r="H263" s="580"/>
      <c r="I263" s="580"/>
      <c r="J263" s="580"/>
      <c r="K263" s="581"/>
      <c r="L263" s="580"/>
      <c r="M263" s="580"/>
      <c r="N263" s="580"/>
      <c r="O263" s="580"/>
      <c r="P263" s="580"/>
      <c r="Q263" s="580"/>
      <c r="R263" s="580"/>
      <c r="S263" s="580"/>
      <c r="T263" s="580"/>
      <c r="U263" s="580"/>
      <c r="V263" s="580"/>
      <c r="W263" s="580"/>
      <c r="X263" s="580"/>
      <c r="Y263" s="580"/>
      <c r="Z263" s="580"/>
      <c r="AA263" s="580"/>
      <c r="AB263" s="580"/>
      <c r="AC263" s="580"/>
      <c r="AD263" s="580"/>
      <c r="AE263" s="581"/>
      <c r="AF263" s="580"/>
      <c r="AG263" s="581"/>
      <c r="AH263" s="580"/>
      <c r="AI263" s="580"/>
      <c r="AJ263" s="580"/>
      <c r="AK263" s="580"/>
      <c r="AL263" s="580"/>
      <c r="AM263" s="580"/>
      <c r="AN263" s="580"/>
      <c r="AO263" s="580"/>
      <c r="AP263" s="580"/>
      <c r="AQ263" s="580"/>
      <c r="AR263" s="580"/>
      <c r="AS263" s="580"/>
      <c r="AT263" s="580"/>
      <c r="AU263" s="580"/>
      <c r="AV263" s="580"/>
      <c r="AW263" s="580"/>
      <c r="AX263" s="580"/>
      <c r="AY263" s="580"/>
      <c r="AZ263" s="580"/>
      <c r="BA263" s="580"/>
      <c r="BB263" s="580"/>
      <c r="BC263" s="580"/>
      <c r="BD263" s="580"/>
      <c r="BE263" s="580"/>
      <c r="BF263" s="580"/>
      <c r="BG263" s="580"/>
      <c r="BH263" s="580"/>
      <c r="BI263" s="580"/>
      <c r="BJ263" s="580"/>
      <c r="BK263" s="580"/>
      <c r="BL263" s="580"/>
      <c r="BM263" s="580"/>
      <c r="BN263" s="580"/>
      <c r="BO263" s="581"/>
      <c r="BP263" s="580"/>
      <c r="BQ263" s="581"/>
      <c r="BR263" s="580"/>
      <c r="BS263" s="580"/>
      <c r="BT263" s="580"/>
      <c r="BU263" s="580"/>
      <c r="BV263" s="580"/>
      <c r="BW263" s="580"/>
      <c r="BX263" s="580"/>
      <c r="BY263" s="581"/>
      <c r="BZ263" s="580"/>
      <c r="CA263" s="581"/>
      <c r="CB263" s="580"/>
      <c r="CC263" s="580"/>
      <c r="CD263" s="580"/>
      <c r="CE263" s="580"/>
      <c r="CF263" s="580"/>
      <c r="CG263" s="580"/>
    </row>
    <row r="264" spans="1:85" ht="24" customHeight="1">
      <c r="A264" s="580"/>
      <c r="B264" s="580"/>
      <c r="C264" s="580"/>
      <c r="D264" s="580"/>
      <c r="E264" s="580"/>
      <c r="F264" s="580"/>
      <c r="G264" s="580"/>
      <c r="H264" s="580"/>
      <c r="I264" s="580"/>
      <c r="J264" s="580"/>
      <c r="K264" s="581"/>
      <c r="L264" s="580"/>
      <c r="M264" s="580"/>
      <c r="N264" s="580"/>
      <c r="O264" s="580"/>
      <c r="P264" s="580"/>
      <c r="Q264" s="580"/>
      <c r="R264" s="580"/>
      <c r="S264" s="580"/>
      <c r="T264" s="580"/>
      <c r="U264" s="580"/>
      <c r="V264" s="580"/>
      <c r="W264" s="580"/>
      <c r="X264" s="580"/>
      <c r="Y264" s="580"/>
      <c r="Z264" s="580"/>
      <c r="AA264" s="580"/>
      <c r="AB264" s="580"/>
      <c r="AC264" s="580"/>
      <c r="AD264" s="580"/>
      <c r="AE264" s="581"/>
      <c r="AF264" s="580"/>
      <c r="AG264" s="581"/>
      <c r="AH264" s="580"/>
      <c r="AI264" s="580"/>
      <c r="AJ264" s="580"/>
      <c r="AK264" s="580"/>
      <c r="AL264" s="580"/>
      <c r="AM264" s="580"/>
      <c r="AN264" s="580"/>
      <c r="AO264" s="580"/>
      <c r="AP264" s="580"/>
      <c r="AQ264" s="580"/>
      <c r="AR264" s="580"/>
      <c r="AS264" s="580"/>
      <c r="AT264" s="580"/>
      <c r="AU264" s="580"/>
      <c r="AV264" s="580"/>
      <c r="AW264" s="580"/>
      <c r="AX264" s="580"/>
      <c r="AY264" s="580"/>
      <c r="AZ264" s="580"/>
      <c r="BA264" s="580"/>
      <c r="BB264" s="580"/>
      <c r="BC264" s="580"/>
      <c r="BD264" s="580"/>
      <c r="BE264" s="580"/>
      <c r="BF264" s="580"/>
      <c r="BG264" s="580"/>
      <c r="BH264" s="580"/>
      <c r="BI264" s="580"/>
      <c r="BJ264" s="580"/>
      <c r="BK264" s="580"/>
      <c r="BL264" s="580"/>
      <c r="BM264" s="580"/>
      <c r="BN264" s="580"/>
      <c r="BO264" s="581"/>
      <c r="BP264" s="580"/>
      <c r="BQ264" s="581"/>
      <c r="BR264" s="580"/>
      <c r="BS264" s="580"/>
      <c r="BT264" s="580"/>
      <c r="BU264" s="580"/>
      <c r="BV264" s="580"/>
      <c r="BW264" s="580"/>
      <c r="BX264" s="580"/>
      <c r="BY264" s="581"/>
      <c r="BZ264" s="580"/>
      <c r="CA264" s="581"/>
      <c r="CB264" s="580"/>
      <c r="CC264" s="580"/>
      <c r="CD264" s="580"/>
      <c r="CE264" s="580"/>
      <c r="CF264" s="580"/>
      <c r="CG264" s="580"/>
    </row>
    <row r="265" spans="1:85" ht="24" customHeight="1">
      <c r="A265" s="580"/>
      <c r="B265" s="580"/>
      <c r="C265" s="580"/>
      <c r="D265" s="580"/>
      <c r="E265" s="580"/>
      <c r="F265" s="580"/>
      <c r="G265" s="580"/>
      <c r="H265" s="580"/>
      <c r="I265" s="580"/>
      <c r="J265" s="580"/>
      <c r="K265" s="581"/>
      <c r="L265" s="580"/>
      <c r="M265" s="580"/>
      <c r="N265" s="580"/>
      <c r="O265" s="580"/>
      <c r="P265" s="580"/>
      <c r="Q265" s="580"/>
      <c r="R265" s="580"/>
      <c r="S265" s="580"/>
      <c r="T265" s="580"/>
      <c r="U265" s="580"/>
      <c r="V265" s="580"/>
      <c r="W265" s="580"/>
      <c r="X265" s="580"/>
      <c r="Y265" s="580"/>
      <c r="Z265" s="580"/>
      <c r="AA265" s="580"/>
      <c r="AB265" s="580"/>
      <c r="AC265" s="580"/>
      <c r="AD265" s="580"/>
      <c r="AE265" s="581"/>
      <c r="AF265" s="580"/>
      <c r="AG265" s="581"/>
      <c r="AH265" s="580"/>
      <c r="AI265" s="580"/>
      <c r="AJ265" s="580"/>
      <c r="AK265" s="580"/>
      <c r="AL265" s="580"/>
      <c r="AM265" s="580"/>
      <c r="AN265" s="580"/>
      <c r="AO265" s="580"/>
      <c r="AP265" s="580"/>
      <c r="AQ265" s="580"/>
      <c r="AR265" s="580"/>
      <c r="AS265" s="580"/>
      <c r="AT265" s="580"/>
      <c r="AU265" s="580"/>
      <c r="AV265" s="580"/>
      <c r="AW265" s="580"/>
      <c r="AX265" s="580"/>
      <c r="AY265" s="580"/>
      <c r="AZ265" s="580"/>
      <c r="BA265" s="580"/>
      <c r="BB265" s="580"/>
      <c r="BC265" s="580"/>
      <c r="BD265" s="580"/>
      <c r="BE265" s="580"/>
      <c r="BF265" s="580"/>
      <c r="BG265" s="580"/>
      <c r="BH265" s="580"/>
      <c r="BI265" s="580"/>
      <c r="BJ265" s="580"/>
      <c r="BK265" s="580"/>
      <c r="BL265" s="580"/>
      <c r="BM265" s="580"/>
      <c r="BN265" s="580"/>
      <c r="BO265" s="581"/>
      <c r="BP265" s="580"/>
      <c r="BQ265" s="581"/>
      <c r="BR265" s="580"/>
      <c r="BS265" s="580"/>
      <c r="BT265" s="580"/>
      <c r="BU265" s="580"/>
      <c r="BV265" s="580"/>
      <c r="BW265" s="580"/>
      <c r="BX265" s="580"/>
      <c r="BY265" s="581"/>
      <c r="BZ265" s="580"/>
      <c r="CA265" s="581"/>
      <c r="CB265" s="580"/>
      <c r="CC265" s="580"/>
      <c r="CD265" s="580"/>
      <c r="CE265" s="580"/>
      <c r="CF265" s="580"/>
      <c r="CG265" s="580"/>
    </row>
    <row r="266" spans="1:85" ht="24" customHeight="1">
      <c r="A266" s="580"/>
      <c r="B266" s="580"/>
      <c r="C266" s="580"/>
      <c r="D266" s="580"/>
      <c r="E266" s="580"/>
      <c r="F266" s="580"/>
      <c r="G266" s="580"/>
      <c r="H266" s="580"/>
      <c r="I266" s="580"/>
      <c r="J266" s="580"/>
      <c r="K266" s="581"/>
      <c r="L266" s="580"/>
      <c r="M266" s="580"/>
      <c r="N266" s="580"/>
      <c r="O266" s="580"/>
      <c r="P266" s="580"/>
      <c r="Q266" s="580"/>
      <c r="R266" s="580"/>
      <c r="S266" s="580"/>
      <c r="T266" s="580"/>
      <c r="U266" s="580"/>
      <c r="V266" s="580"/>
      <c r="W266" s="580"/>
      <c r="X266" s="580"/>
      <c r="Y266" s="580"/>
      <c r="Z266" s="580"/>
      <c r="AA266" s="580"/>
      <c r="AB266" s="580"/>
      <c r="AC266" s="580"/>
      <c r="AD266" s="580"/>
      <c r="AE266" s="581"/>
      <c r="AF266" s="580"/>
      <c r="AG266" s="581"/>
      <c r="AH266" s="580"/>
      <c r="AI266" s="580"/>
      <c r="AJ266" s="580"/>
      <c r="AK266" s="580"/>
      <c r="AL266" s="580"/>
      <c r="AM266" s="580"/>
      <c r="AN266" s="580"/>
      <c r="AO266" s="580"/>
      <c r="AP266" s="580"/>
      <c r="AQ266" s="580"/>
      <c r="AR266" s="580"/>
      <c r="AS266" s="580"/>
      <c r="AT266" s="580"/>
      <c r="AU266" s="580"/>
      <c r="AV266" s="580"/>
      <c r="AW266" s="580"/>
      <c r="AX266" s="580"/>
      <c r="AY266" s="580"/>
      <c r="AZ266" s="580"/>
      <c r="BA266" s="580"/>
      <c r="BB266" s="580"/>
      <c r="BC266" s="580"/>
      <c r="BD266" s="580"/>
      <c r="BE266" s="580"/>
      <c r="BF266" s="580"/>
      <c r="BG266" s="580"/>
      <c r="BH266" s="580"/>
      <c r="BI266" s="580"/>
      <c r="BJ266" s="580"/>
      <c r="BK266" s="580"/>
      <c r="BL266" s="580"/>
      <c r="BM266" s="580"/>
      <c r="BN266" s="580"/>
      <c r="BO266" s="581"/>
      <c r="BP266" s="580"/>
      <c r="BQ266" s="581"/>
      <c r="BR266" s="580"/>
      <c r="BS266" s="580"/>
      <c r="BT266" s="580"/>
      <c r="BU266" s="580"/>
      <c r="BV266" s="580"/>
      <c r="BW266" s="580"/>
      <c r="BX266" s="580"/>
      <c r="BY266" s="581"/>
      <c r="BZ266" s="580"/>
      <c r="CA266" s="581"/>
      <c r="CB266" s="580"/>
      <c r="CC266" s="580"/>
      <c r="CD266" s="580"/>
      <c r="CE266" s="580"/>
      <c r="CF266" s="580"/>
      <c r="CG266" s="580"/>
    </row>
    <row r="267" spans="1:85" ht="24" customHeight="1">
      <c r="A267" s="580"/>
      <c r="B267" s="580"/>
      <c r="C267" s="580"/>
      <c r="D267" s="580"/>
      <c r="E267" s="580"/>
      <c r="F267" s="580"/>
      <c r="G267" s="580"/>
      <c r="H267" s="580"/>
      <c r="I267" s="580"/>
      <c r="J267" s="580"/>
      <c r="K267" s="581"/>
      <c r="L267" s="580"/>
      <c r="M267" s="580"/>
      <c r="N267" s="580"/>
      <c r="O267" s="580"/>
      <c r="P267" s="580"/>
      <c r="Q267" s="580"/>
      <c r="R267" s="580"/>
      <c r="S267" s="580"/>
      <c r="T267" s="580"/>
      <c r="U267" s="580"/>
      <c r="V267" s="580"/>
      <c r="W267" s="580"/>
      <c r="X267" s="580"/>
      <c r="Y267" s="580"/>
      <c r="Z267" s="580"/>
      <c r="AA267" s="580"/>
      <c r="AB267" s="580"/>
      <c r="AC267" s="580"/>
      <c r="AD267" s="580"/>
      <c r="AE267" s="581"/>
      <c r="AF267" s="580"/>
      <c r="AG267" s="581"/>
      <c r="AH267" s="580"/>
      <c r="AI267" s="580"/>
      <c r="AJ267" s="580"/>
      <c r="AK267" s="580"/>
      <c r="AL267" s="580"/>
      <c r="AM267" s="580"/>
      <c r="AN267" s="580"/>
      <c r="AO267" s="580"/>
      <c r="AP267" s="580"/>
      <c r="AQ267" s="580"/>
      <c r="AR267" s="580"/>
      <c r="AS267" s="580"/>
      <c r="AT267" s="580"/>
      <c r="AU267" s="580"/>
      <c r="AV267" s="580"/>
      <c r="AW267" s="580"/>
      <c r="AX267" s="580"/>
      <c r="AY267" s="580"/>
      <c r="AZ267" s="580"/>
      <c r="BA267" s="580"/>
      <c r="BB267" s="580"/>
      <c r="BC267" s="580"/>
      <c r="BD267" s="580"/>
      <c r="BE267" s="580"/>
      <c r="BF267" s="580"/>
      <c r="BG267" s="580"/>
      <c r="BH267" s="580"/>
      <c r="BI267" s="580"/>
      <c r="BJ267" s="580"/>
      <c r="BK267" s="580"/>
      <c r="BL267" s="580"/>
      <c r="BM267" s="580"/>
      <c r="BN267" s="580"/>
      <c r="BO267" s="581"/>
      <c r="BP267" s="580"/>
      <c r="BQ267" s="581"/>
      <c r="BR267" s="580"/>
      <c r="BS267" s="580"/>
      <c r="BT267" s="580"/>
      <c r="BU267" s="580"/>
      <c r="BV267" s="580"/>
      <c r="BW267" s="580"/>
      <c r="BX267" s="580"/>
      <c r="BY267" s="581"/>
      <c r="BZ267" s="580"/>
      <c r="CA267" s="581"/>
      <c r="CB267" s="580"/>
      <c r="CC267" s="580"/>
      <c r="CD267" s="580"/>
      <c r="CE267" s="580"/>
      <c r="CF267" s="580"/>
      <c r="CG267" s="580"/>
    </row>
    <row r="268" spans="1:85" ht="24" customHeight="1">
      <c r="A268" s="580"/>
      <c r="B268" s="580"/>
      <c r="C268" s="580"/>
      <c r="D268" s="580"/>
      <c r="E268" s="580"/>
      <c r="F268" s="580"/>
      <c r="G268" s="580"/>
      <c r="H268" s="580"/>
      <c r="I268" s="580"/>
      <c r="J268" s="580"/>
      <c r="K268" s="581"/>
      <c r="L268" s="580"/>
      <c r="M268" s="580"/>
      <c r="N268" s="580"/>
      <c r="O268" s="580"/>
      <c r="P268" s="580"/>
      <c r="Q268" s="580"/>
      <c r="R268" s="580"/>
      <c r="S268" s="580"/>
      <c r="T268" s="580"/>
      <c r="U268" s="580"/>
      <c r="V268" s="580"/>
      <c r="W268" s="580"/>
      <c r="X268" s="580"/>
      <c r="Y268" s="580"/>
      <c r="Z268" s="580"/>
      <c r="AA268" s="580"/>
      <c r="AB268" s="580"/>
      <c r="AC268" s="580"/>
      <c r="AD268" s="580"/>
      <c r="AE268" s="581"/>
      <c r="AF268" s="580"/>
      <c r="AG268" s="581"/>
      <c r="AH268" s="580"/>
      <c r="AI268" s="580"/>
      <c r="AJ268" s="580"/>
      <c r="AK268" s="580"/>
      <c r="AL268" s="580"/>
      <c r="AM268" s="580"/>
      <c r="AN268" s="580"/>
      <c r="AO268" s="580"/>
      <c r="AP268" s="580"/>
      <c r="AQ268" s="580"/>
      <c r="AR268" s="580"/>
      <c r="AS268" s="580"/>
      <c r="AT268" s="580"/>
      <c r="AU268" s="580"/>
      <c r="AV268" s="580"/>
      <c r="AW268" s="580"/>
      <c r="AX268" s="580"/>
      <c r="AY268" s="580"/>
      <c r="AZ268" s="580"/>
      <c r="BA268" s="580"/>
      <c r="BB268" s="580"/>
      <c r="BC268" s="580"/>
      <c r="BD268" s="580"/>
      <c r="BE268" s="580"/>
      <c r="BF268" s="580"/>
      <c r="BG268" s="580"/>
      <c r="BH268" s="580"/>
      <c r="BI268" s="580"/>
      <c r="BJ268" s="580"/>
      <c r="BK268" s="580"/>
      <c r="BL268" s="580"/>
      <c r="BM268" s="580"/>
      <c r="BN268" s="580"/>
      <c r="BO268" s="581"/>
      <c r="BP268" s="580"/>
      <c r="BQ268" s="581"/>
      <c r="BR268" s="580"/>
      <c r="BS268" s="580"/>
      <c r="BT268" s="580"/>
      <c r="BU268" s="580"/>
      <c r="BV268" s="580"/>
      <c r="BW268" s="580"/>
      <c r="BX268" s="580"/>
      <c r="BY268" s="581"/>
      <c r="BZ268" s="580"/>
      <c r="CA268" s="581"/>
      <c r="CB268" s="580"/>
      <c r="CC268" s="580"/>
      <c r="CD268" s="580"/>
      <c r="CE268" s="580"/>
      <c r="CF268" s="580"/>
      <c r="CG268" s="580"/>
    </row>
    <row r="269" spans="1:85" ht="24" customHeight="1">
      <c r="A269" s="580"/>
      <c r="B269" s="580"/>
      <c r="C269" s="580"/>
      <c r="D269" s="580"/>
      <c r="E269" s="580"/>
      <c r="F269" s="580"/>
      <c r="G269" s="580"/>
      <c r="H269" s="580"/>
      <c r="I269" s="580"/>
      <c r="J269" s="580"/>
      <c r="K269" s="581"/>
      <c r="L269" s="580"/>
      <c r="M269" s="580"/>
      <c r="N269" s="580"/>
      <c r="O269" s="580"/>
      <c r="P269" s="580"/>
      <c r="Q269" s="580"/>
      <c r="R269" s="580"/>
      <c r="S269" s="580"/>
      <c r="T269" s="580"/>
      <c r="U269" s="580"/>
      <c r="V269" s="580"/>
      <c r="W269" s="580"/>
      <c r="X269" s="580"/>
      <c r="Y269" s="580"/>
      <c r="Z269" s="580"/>
      <c r="AA269" s="580"/>
      <c r="AB269" s="580"/>
      <c r="AC269" s="580"/>
      <c r="AD269" s="580"/>
      <c r="AE269" s="581"/>
      <c r="AF269" s="580"/>
      <c r="AG269" s="581"/>
      <c r="AH269" s="580"/>
      <c r="AI269" s="580"/>
      <c r="AJ269" s="580"/>
      <c r="AK269" s="580"/>
      <c r="AL269" s="580"/>
      <c r="AM269" s="580"/>
      <c r="AN269" s="580"/>
      <c r="AO269" s="580"/>
      <c r="AP269" s="580"/>
      <c r="AQ269" s="580"/>
      <c r="AR269" s="580"/>
      <c r="AS269" s="580"/>
      <c r="AT269" s="580"/>
      <c r="AU269" s="580"/>
      <c r="AV269" s="580"/>
      <c r="AW269" s="580"/>
      <c r="AX269" s="580"/>
      <c r="AY269" s="580"/>
      <c r="AZ269" s="580"/>
      <c r="BA269" s="580"/>
      <c r="BB269" s="580"/>
      <c r="BC269" s="580"/>
      <c r="BD269" s="580"/>
      <c r="BE269" s="580"/>
      <c r="BF269" s="580"/>
      <c r="BG269" s="580"/>
      <c r="BH269" s="580"/>
      <c r="BI269" s="580"/>
      <c r="BJ269" s="580"/>
      <c r="BK269" s="580"/>
      <c r="BL269" s="580"/>
      <c r="BM269" s="580"/>
      <c r="BN269" s="580"/>
      <c r="BO269" s="581"/>
      <c r="BP269" s="580"/>
      <c r="BQ269" s="581"/>
      <c r="BR269" s="580"/>
      <c r="BS269" s="580"/>
      <c r="BT269" s="580"/>
      <c r="BU269" s="580"/>
      <c r="BV269" s="580"/>
      <c r="BW269" s="580"/>
      <c r="BX269" s="580"/>
      <c r="BY269" s="581"/>
      <c r="BZ269" s="580"/>
      <c r="CA269" s="581"/>
      <c r="CB269" s="580"/>
      <c r="CC269" s="580"/>
      <c r="CD269" s="580"/>
      <c r="CE269" s="580"/>
      <c r="CF269" s="580"/>
      <c r="CG269" s="580"/>
    </row>
    <row r="270" spans="1:85" ht="24" customHeight="1">
      <c r="A270" s="580"/>
      <c r="B270" s="580"/>
      <c r="C270" s="580"/>
      <c r="D270" s="580"/>
      <c r="E270" s="580"/>
      <c r="F270" s="580"/>
      <c r="G270" s="580"/>
      <c r="H270" s="580"/>
      <c r="I270" s="580"/>
      <c r="J270" s="580"/>
      <c r="K270" s="581"/>
      <c r="L270" s="580"/>
      <c r="M270" s="580"/>
      <c r="N270" s="580"/>
      <c r="O270" s="580"/>
      <c r="P270" s="580"/>
      <c r="Q270" s="580"/>
      <c r="R270" s="580"/>
      <c r="S270" s="580"/>
      <c r="T270" s="580"/>
      <c r="U270" s="580"/>
      <c r="V270" s="580"/>
      <c r="W270" s="580"/>
      <c r="X270" s="580"/>
      <c r="Y270" s="580"/>
      <c r="Z270" s="580"/>
      <c r="AA270" s="580"/>
      <c r="AB270" s="580"/>
      <c r="AC270" s="580"/>
      <c r="AD270" s="580"/>
      <c r="AE270" s="581"/>
      <c r="AF270" s="580"/>
      <c r="AG270" s="581"/>
      <c r="AH270" s="580"/>
      <c r="AI270" s="580"/>
      <c r="AJ270" s="580"/>
      <c r="AK270" s="580"/>
      <c r="AL270" s="580"/>
      <c r="AM270" s="580"/>
      <c r="AN270" s="580"/>
      <c r="AO270" s="580"/>
      <c r="AP270" s="580"/>
      <c r="AQ270" s="580"/>
      <c r="AR270" s="580"/>
      <c r="AS270" s="580"/>
      <c r="AT270" s="580"/>
      <c r="AU270" s="580"/>
      <c r="AV270" s="580"/>
      <c r="AW270" s="580"/>
      <c r="AX270" s="580"/>
      <c r="AY270" s="580"/>
      <c r="AZ270" s="580"/>
      <c r="BA270" s="580"/>
      <c r="BB270" s="580"/>
      <c r="BC270" s="580"/>
      <c r="BD270" s="580"/>
      <c r="BE270" s="580"/>
      <c r="BF270" s="580"/>
      <c r="BG270" s="580"/>
      <c r="BH270" s="580"/>
      <c r="BI270" s="580"/>
      <c r="BJ270" s="580"/>
      <c r="BK270" s="580"/>
      <c r="BL270" s="580"/>
      <c r="BM270" s="580"/>
      <c r="BN270" s="580"/>
      <c r="BO270" s="581"/>
      <c r="BP270" s="580"/>
      <c r="BQ270" s="581"/>
      <c r="BR270" s="580"/>
      <c r="BS270" s="580"/>
      <c r="BT270" s="580"/>
      <c r="BU270" s="580"/>
      <c r="BV270" s="580"/>
      <c r="BW270" s="580"/>
      <c r="BX270" s="580"/>
      <c r="BY270" s="581"/>
      <c r="BZ270" s="580"/>
      <c r="CA270" s="581"/>
      <c r="CB270" s="580"/>
      <c r="CC270" s="580"/>
      <c r="CD270" s="580"/>
      <c r="CE270" s="580"/>
      <c r="CF270" s="580"/>
      <c r="CG270" s="580"/>
    </row>
    <row r="271" spans="1:85" ht="24" customHeight="1">
      <c r="A271" s="580"/>
      <c r="B271" s="580"/>
      <c r="C271" s="580"/>
      <c r="D271" s="580"/>
      <c r="E271" s="580"/>
      <c r="F271" s="580"/>
      <c r="G271" s="580"/>
      <c r="H271" s="580"/>
      <c r="I271" s="580"/>
      <c r="J271" s="580"/>
      <c r="K271" s="581"/>
      <c r="L271" s="580"/>
      <c r="M271" s="580"/>
      <c r="N271" s="580"/>
      <c r="O271" s="580"/>
      <c r="P271" s="580"/>
      <c r="Q271" s="580"/>
      <c r="R271" s="580"/>
      <c r="S271" s="580"/>
      <c r="T271" s="580"/>
      <c r="U271" s="580"/>
      <c r="V271" s="580"/>
      <c r="W271" s="580"/>
      <c r="X271" s="580"/>
      <c r="Y271" s="580"/>
      <c r="Z271" s="580"/>
      <c r="AA271" s="580"/>
      <c r="AB271" s="580"/>
      <c r="AC271" s="580"/>
      <c r="AD271" s="580"/>
      <c r="AE271" s="581"/>
      <c r="AF271" s="580"/>
      <c r="AG271" s="581"/>
      <c r="AH271" s="580"/>
      <c r="AI271" s="580"/>
      <c r="AJ271" s="580"/>
      <c r="AK271" s="580"/>
      <c r="AL271" s="580"/>
      <c r="AM271" s="580"/>
      <c r="AN271" s="580"/>
      <c r="AO271" s="580"/>
      <c r="AP271" s="580"/>
      <c r="AQ271" s="580"/>
      <c r="AR271" s="580"/>
      <c r="AS271" s="580"/>
      <c r="AT271" s="580"/>
      <c r="AU271" s="580"/>
      <c r="AV271" s="580"/>
      <c r="AW271" s="580"/>
      <c r="AX271" s="580"/>
      <c r="AY271" s="580"/>
      <c r="AZ271" s="580"/>
      <c r="BA271" s="580"/>
      <c r="BB271" s="580"/>
      <c r="BC271" s="580"/>
      <c r="BD271" s="580"/>
      <c r="BE271" s="580"/>
      <c r="BF271" s="580"/>
      <c r="BG271" s="580"/>
      <c r="BH271" s="580"/>
      <c r="BI271" s="580"/>
      <c r="BJ271" s="580"/>
      <c r="BK271" s="580"/>
      <c r="BL271" s="580"/>
      <c r="BM271" s="580"/>
      <c r="BN271" s="580"/>
      <c r="BO271" s="581"/>
      <c r="BP271" s="580"/>
      <c r="BQ271" s="581"/>
      <c r="BR271" s="580"/>
      <c r="BS271" s="580"/>
      <c r="BT271" s="580"/>
      <c r="BU271" s="580"/>
      <c r="BV271" s="580"/>
      <c r="BW271" s="580"/>
      <c r="BX271" s="580"/>
      <c r="BY271" s="581"/>
      <c r="BZ271" s="580"/>
      <c r="CA271" s="581"/>
      <c r="CB271" s="580"/>
      <c r="CC271" s="580"/>
      <c r="CD271" s="580"/>
      <c r="CE271" s="580"/>
      <c r="CF271" s="580"/>
      <c r="CG271" s="580"/>
    </row>
    <row r="272" spans="1:85" ht="24" customHeight="1">
      <c r="A272" s="580"/>
      <c r="B272" s="580"/>
      <c r="C272" s="580"/>
      <c r="D272" s="580"/>
      <c r="E272" s="580"/>
      <c r="F272" s="580"/>
      <c r="G272" s="580"/>
      <c r="H272" s="580"/>
      <c r="I272" s="580"/>
      <c r="J272" s="580"/>
      <c r="K272" s="581"/>
      <c r="L272" s="580"/>
      <c r="M272" s="580"/>
      <c r="N272" s="580"/>
      <c r="O272" s="580"/>
      <c r="P272" s="580"/>
      <c r="Q272" s="580"/>
      <c r="R272" s="580"/>
      <c r="S272" s="580"/>
      <c r="T272" s="580"/>
      <c r="U272" s="580"/>
      <c r="V272" s="580"/>
      <c r="W272" s="580"/>
      <c r="X272" s="580"/>
      <c r="Y272" s="580"/>
      <c r="Z272" s="580"/>
      <c r="AA272" s="580"/>
      <c r="AB272" s="580"/>
      <c r="AC272" s="580"/>
      <c r="AD272" s="580"/>
      <c r="AE272" s="581"/>
      <c r="AF272" s="580"/>
      <c r="AG272" s="581"/>
      <c r="AH272" s="580"/>
      <c r="AI272" s="580"/>
      <c r="AJ272" s="580"/>
      <c r="AK272" s="580"/>
      <c r="AL272" s="580"/>
      <c r="AM272" s="580"/>
      <c r="AN272" s="580"/>
      <c r="AO272" s="580"/>
      <c r="AP272" s="580"/>
      <c r="AQ272" s="580"/>
      <c r="AR272" s="580"/>
      <c r="AS272" s="580"/>
      <c r="AT272" s="580"/>
      <c r="AU272" s="580"/>
      <c r="AV272" s="580"/>
      <c r="AW272" s="580"/>
      <c r="AX272" s="580"/>
      <c r="AY272" s="580"/>
      <c r="AZ272" s="580"/>
      <c r="BA272" s="580"/>
      <c r="BB272" s="580"/>
      <c r="BC272" s="580"/>
      <c r="BD272" s="580"/>
      <c r="BE272" s="580"/>
      <c r="BF272" s="580"/>
      <c r="BG272" s="580"/>
      <c r="BH272" s="580"/>
      <c r="BI272" s="580"/>
      <c r="BJ272" s="580"/>
      <c r="BK272" s="580"/>
      <c r="BL272" s="580"/>
      <c r="BM272" s="580"/>
      <c r="BN272" s="580"/>
      <c r="BO272" s="581"/>
      <c r="BP272" s="580"/>
      <c r="BQ272" s="581"/>
      <c r="BR272" s="580"/>
      <c r="BS272" s="580"/>
      <c r="BT272" s="580"/>
      <c r="BU272" s="580"/>
      <c r="BV272" s="580"/>
      <c r="BW272" s="580"/>
      <c r="BX272" s="580"/>
      <c r="BY272" s="581"/>
      <c r="BZ272" s="580"/>
      <c r="CA272" s="581"/>
      <c r="CB272" s="580"/>
      <c r="CC272" s="580"/>
      <c r="CD272" s="580"/>
      <c r="CE272" s="580"/>
      <c r="CF272" s="580"/>
      <c r="CG272" s="580"/>
    </row>
    <row r="273" spans="1:85" ht="24" customHeight="1">
      <c r="A273" s="580"/>
      <c r="B273" s="580"/>
      <c r="C273" s="580"/>
      <c r="D273" s="580"/>
      <c r="E273" s="580"/>
      <c r="F273" s="580"/>
      <c r="G273" s="580"/>
      <c r="H273" s="580"/>
      <c r="I273" s="580"/>
      <c r="J273" s="580"/>
      <c r="K273" s="581"/>
      <c r="L273" s="580"/>
      <c r="M273" s="580"/>
      <c r="N273" s="580"/>
      <c r="O273" s="580"/>
      <c r="P273" s="580"/>
      <c r="Q273" s="580"/>
      <c r="R273" s="580"/>
      <c r="S273" s="580"/>
      <c r="T273" s="580"/>
      <c r="U273" s="580"/>
      <c r="V273" s="580"/>
      <c r="W273" s="580"/>
      <c r="X273" s="580"/>
      <c r="Y273" s="580"/>
      <c r="Z273" s="580"/>
      <c r="AA273" s="580"/>
      <c r="AB273" s="580"/>
      <c r="AC273" s="580"/>
      <c r="AD273" s="580"/>
      <c r="AE273" s="581"/>
      <c r="AF273" s="580"/>
      <c r="AG273" s="581"/>
      <c r="AH273" s="580"/>
      <c r="AI273" s="580"/>
      <c r="AJ273" s="580"/>
      <c r="AK273" s="580"/>
      <c r="AL273" s="580"/>
      <c r="AM273" s="580"/>
      <c r="AN273" s="580"/>
      <c r="AO273" s="580"/>
      <c r="AP273" s="580"/>
      <c r="AQ273" s="580"/>
      <c r="AR273" s="580"/>
      <c r="AS273" s="580"/>
      <c r="AT273" s="580"/>
      <c r="AU273" s="580"/>
      <c r="AV273" s="580"/>
      <c r="AW273" s="580"/>
      <c r="AX273" s="580"/>
      <c r="AY273" s="580"/>
      <c r="AZ273" s="580"/>
      <c r="BA273" s="580"/>
      <c r="BB273" s="580"/>
      <c r="BC273" s="580"/>
      <c r="BD273" s="580"/>
      <c r="BE273" s="580"/>
      <c r="BF273" s="580"/>
      <c r="BG273" s="580"/>
      <c r="BH273" s="580"/>
      <c r="BI273" s="580"/>
      <c r="BJ273" s="580"/>
      <c r="BK273" s="580"/>
      <c r="BL273" s="580"/>
      <c r="BM273" s="580"/>
      <c r="BN273" s="580"/>
      <c r="BO273" s="581"/>
      <c r="BP273" s="580"/>
      <c r="BQ273" s="581"/>
      <c r="BR273" s="580"/>
      <c r="BS273" s="580"/>
      <c r="BT273" s="580"/>
      <c r="BU273" s="580"/>
      <c r="BV273" s="580"/>
      <c r="BW273" s="580"/>
      <c r="BX273" s="580"/>
      <c r="BY273" s="581"/>
      <c r="BZ273" s="580"/>
      <c r="CA273" s="581"/>
      <c r="CB273" s="580"/>
      <c r="CC273" s="580"/>
      <c r="CD273" s="580"/>
      <c r="CE273" s="580"/>
      <c r="CF273" s="580"/>
      <c r="CG273" s="580"/>
    </row>
    <row r="274" spans="1:85" ht="24" customHeight="1">
      <c r="A274" s="580"/>
      <c r="B274" s="580"/>
      <c r="C274" s="580"/>
      <c r="D274" s="580"/>
      <c r="E274" s="580"/>
      <c r="F274" s="580"/>
      <c r="G274" s="580"/>
      <c r="H274" s="580"/>
      <c r="I274" s="580"/>
      <c r="J274" s="580"/>
      <c r="K274" s="581"/>
      <c r="L274" s="580"/>
      <c r="M274" s="580"/>
      <c r="N274" s="580"/>
      <c r="O274" s="580"/>
      <c r="P274" s="580"/>
      <c r="Q274" s="580"/>
      <c r="R274" s="580"/>
      <c r="S274" s="580"/>
      <c r="T274" s="580"/>
      <c r="U274" s="580"/>
      <c r="V274" s="580"/>
      <c r="W274" s="580"/>
      <c r="X274" s="580"/>
      <c r="Y274" s="580"/>
      <c r="Z274" s="580"/>
      <c r="AA274" s="580"/>
      <c r="AB274" s="580"/>
      <c r="AC274" s="580"/>
      <c r="AD274" s="580"/>
      <c r="AE274" s="581"/>
      <c r="AF274" s="580"/>
      <c r="AG274" s="581"/>
      <c r="AH274" s="580"/>
      <c r="AI274" s="580"/>
      <c r="AJ274" s="580"/>
      <c r="AK274" s="580"/>
      <c r="AL274" s="580"/>
      <c r="AM274" s="580"/>
      <c r="AN274" s="580"/>
      <c r="AO274" s="580"/>
      <c r="AP274" s="580"/>
      <c r="AQ274" s="580"/>
      <c r="AR274" s="580"/>
      <c r="AS274" s="580"/>
      <c r="AT274" s="580"/>
      <c r="AU274" s="580"/>
      <c r="AV274" s="580"/>
      <c r="AW274" s="580"/>
      <c r="AX274" s="580"/>
      <c r="AY274" s="580"/>
      <c r="AZ274" s="580"/>
      <c r="BA274" s="580"/>
      <c r="BB274" s="580"/>
      <c r="BC274" s="580"/>
      <c r="BD274" s="580"/>
      <c r="BE274" s="580"/>
      <c r="BF274" s="580"/>
      <c r="BG274" s="580"/>
      <c r="BH274" s="580"/>
      <c r="BI274" s="580"/>
      <c r="BJ274" s="580"/>
      <c r="BK274" s="580"/>
      <c r="BL274" s="580"/>
      <c r="BM274" s="580"/>
      <c r="BN274" s="580"/>
      <c r="BO274" s="581"/>
      <c r="BP274" s="580"/>
      <c r="BQ274" s="581"/>
      <c r="BR274" s="580"/>
      <c r="BS274" s="580"/>
      <c r="BT274" s="580"/>
      <c r="BU274" s="580"/>
      <c r="BV274" s="580"/>
      <c r="BW274" s="580"/>
      <c r="BX274" s="580"/>
      <c r="BY274" s="581"/>
      <c r="BZ274" s="580"/>
      <c r="CA274" s="581"/>
      <c r="CB274" s="580"/>
      <c r="CC274" s="580"/>
      <c r="CD274" s="580"/>
      <c r="CE274" s="580"/>
      <c r="CF274" s="580"/>
      <c r="CG274" s="580"/>
    </row>
    <row r="275" spans="1:85" ht="24" customHeight="1">
      <c r="A275" s="580"/>
      <c r="B275" s="580"/>
      <c r="C275" s="580"/>
      <c r="D275" s="580"/>
      <c r="E275" s="580"/>
      <c r="F275" s="580"/>
      <c r="G275" s="580"/>
      <c r="H275" s="580"/>
      <c r="I275" s="580"/>
      <c r="J275" s="580"/>
      <c r="K275" s="581"/>
      <c r="L275" s="580"/>
      <c r="M275" s="580"/>
      <c r="N275" s="580"/>
      <c r="O275" s="580"/>
      <c r="P275" s="580"/>
      <c r="Q275" s="580"/>
      <c r="R275" s="580"/>
      <c r="S275" s="580"/>
      <c r="T275" s="580"/>
      <c r="U275" s="580"/>
      <c r="V275" s="580"/>
      <c r="W275" s="580"/>
      <c r="X275" s="580"/>
      <c r="Y275" s="580"/>
      <c r="Z275" s="580"/>
      <c r="AA275" s="580"/>
      <c r="AB275" s="580"/>
      <c r="AC275" s="580"/>
      <c r="AD275" s="580"/>
      <c r="AE275" s="581"/>
      <c r="AF275" s="580"/>
      <c r="AG275" s="581"/>
      <c r="AH275" s="580"/>
      <c r="AI275" s="580"/>
      <c r="AJ275" s="580"/>
      <c r="AK275" s="580"/>
      <c r="AL275" s="580"/>
      <c r="AM275" s="580"/>
      <c r="AN275" s="580"/>
      <c r="AO275" s="580"/>
      <c r="AP275" s="580"/>
      <c r="AQ275" s="580"/>
      <c r="AR275" s="580"/>
      <c r="AS275" s="580"/>
      <c r="AT275" s="580"/>
      <c r="AU275" s="580"/>
      <c r="AV275" s="580"/>
      <c r="AW275" s="580"/>
      <c r="AX275" s="580"/>
      <c r="AY275" s="580"/>
      <c r="AZ275" s="580"/>
      <c r="BA275" s="580"/>
      <c r="BB275" s="580"/>
      <c r="BC275" s="580"/>
      <c r="BD275" s="580"/>
      <c r="BE275" s="580"/>
      <c r="BF275" s="580"/>
      <c r="BG275" s="580"/>
      <c r="BH275" s="580"/>
      <c r="BI275" s="580"/>
      <c r="BJ275" s="580"/>
      <c r="BK275" s="580"/>
      <c r="BL275" s="580"/>
      <c r="BM275" s="580"/>
      <c r="BN275" s="580"/>
      <c r="BO275" s="581"/>
      <c r="BP275" s="580"/>
      <c r="BQ275" s="581"/>
      <c r="BR275" s="580"/>
      <c r="BS275" s="580"/>
      <c r="BT275" s="580"/>
      <c r="BU275" s="580"/>
      <c r="BV275" s="580"/>
      <c r="BW275" s="580"/>
      <c r="BX275" s="580"/>
      <c r="BY275" s="581"/>
      <c r="BZ275" s="580"/>
      <c r="CA275" s="581"/>
      <c r="CB275" s="580"/>
      <c r="CC275" s="580"/>
      <c r="CD275" s="580"/>
      <c r="CE275" s="580"/>
      <c r="CF275" s="580"/>
      <c r="CG275" s="580"/>
    </row>
    <row r="276" spans="1:85" ht="24" customHeight="1">
      <c r="A276" s="580"/>
      <c r="B276" s="580"/>
      <c r="C276" s="580"/>
      <c r="D276" s="580"/>
      <c r="E276" s="580"/>
      <c r="F276" s="580"/>
      <c r="G276" s="580"/>
      <c r="H276" s="580"/>
      <c r="I276" s="580"/>
      <c r="J276" s="580"/>
      <c r="K276" s="581"/>
      <c r="L276" s="580"/>
      <c r="M276" s="580"/>
      <c r="N276" s="580"/>
      <c r="O276" s="580"/>
      <c r="P276" s="580"/>
      <c r="Q276" s="580"/>
      <c r="R276" s="580"/>
      <c r="S276" s="580"/>
      <c r="T276" s="580"/>
      <c r="U276" s="580"/>
      <c r="V276" s="580"/>
      <c r="W276" s="580"/>
      <c r="X276" s="580"/>
      <c r="Y276" s="580"/>
      <c r="Z276" s="580"/>
      <c r="AA276" s="580"/>
      <c r="AB276" s="580"/>
      <c r="AC276" s="580"/>
      <c r="AD276" s="580"/>
      <c r="AE276" s="581"/>
      <c r="AF276" s="580"/>
      <c r="AG276" s="581"/>
      <c r="AH276" s="580"/>
      <c r="AI276" s="580"/>
      <c r="AJ276" s="580"/>
      <c r="AK276" s="580"/>
      <c r="AL276" s="580"/>
      <c r="AM276" s="580"/>
      <c r="AN276" s="580"/>
      <c r="AO276" s="580"/>
      <c r="AP276" s="580"/>
      <c r="AQ276" s="580"/>
      <c r="AR276" s="580"/>
      <c r="AS276" s="580"/>
      <c r="AT276" s="580"/>
      <c r="AU276" s="580"/>
      <c r="AV276" s="580"/>
      <c r="AW276" s="580"/>
      <c r="AX276" s="580"/>
      <c r="AY276" s="580"/>
      <c r="AZ276" s="580"/>
      <c r="BA276" s="580"/>
      <c r="BB276" s="580"/>
      <c r="BC276" s="580"/>
      <c r="BD276" s="580"/>
      <c r="BE276" s="580"/>
      <c r="BF276" s="580"/>
      <c r="BG276" s="580"/>
      <c r="BH276" s="580"/>
      <c r="BI276" s="580"/>
      <c r="BJ276" s="580"/>
      <c r="BK276" s="580"/>
      <c r="BL276" s="580"/>
      <c r="BM276" s="580"/>
      <c r="BN276" s="580"/>
      <c r="BO276" s="581"/>
      <c r="BP276" s="580"/>
      <c r="BQ276" s="581"/>
      <c r="BR276" s="580"/>
      <c r="BS276" s="580"/>
      <c r="BT276" s="580"/>
      <c r="BU276" s="580"/>
      <c r="BV276" s="580"/>
      <c r="BW276" s="580"/>
      <c r="BX276" s="580"/>
      <c r="BY276" s="581"/>
      <c r="BZ276" s="580"/>
      <c r="CA276" s="581"/>
      <c r="CB276" s="580"/>
      <c r="CC276" s="580"/>
      <c r="CD276" s="580"/>
      <c r="CE276" s="580"/>
      <c r="CF276" s="580"/>
      <c r="CG276" s="580"/>
    </row>
    <row r="277" spans="1:85" ht="24" customHeight="1">
      <c r="A277" s="580"/>
      <c r="B277" s="580"/>
      <c r="C277" s="580"/>
      <c r="D277" s="580"/>
      <c r="E277" s="580"/>
      <c r="F277" s="580"/>
      <c r="G277" s="580"/>
      <c r="H277" s="580"/>
      <c r="I277" s="580"/>
      <c r="J277" s="580"/>
      <c r="K277" s="581"/>
      <c r="L277" s="580"/>
      <c r="M277" s="580"/>
      <c r="N277" s="580"/>
      <c r="O277" s="580"/>
      <c r="P277" s="580"/>
      <c r="Q277" s="580"/>
      <c r="R277" s="580"/>
      <c r="S277" s="580"/>
      <c r="T277" s="580"/>
      <c r="U277" s="580"/>
      <c r="V277" s="580"/>
      <c r="W277" s="580"/>
      <c r="X277" s="580"/>
      <c r="Y277" s="580"/>
      <c r="Z277" s="580"/>
      <c r="AA277" s="580"/>
      <c r="AB277" s="580"/>
      <c r="AC277" s="580"/>
      <c r="AD277" s="580"/>
      <c r="AE277" s="581"/>
      <c r="AF277" s="580"/>
      <c r="AG277" s="581"/>
      <c r="AH277" s="580"/>
      <c r="AI277" s="580"/>
      <c r="AJ277" s="580"/>
      <c r="AK277" s="580"/>
      <c r="AL277" s="580"/>
      <c r="AM277" s="580"/>
      <c r="AN277" s="580"/>
      <c r="AO277" s="580"/>
      <c r="AP277" s="580"/>
      <c r="AQ277" s="580"/>
      <c r="AR277" s="580"/>
      <c r="AS277" s="580"/>
      <c r="AT277" s="580"/>
      <c r="AU277" s="580"/>
      <c r="AV277" s="580"/>
      <c r="AW277" s="580"/>
      <c r="AX277" s="580"/>
      <c r="AY277" s="580"/>
      <c r="AZ277" s="580"/>
      <c r="BA277" s="580"/>
      <c r="BB277" s="580"/>
      <c r="BC277" s="580"/>
      <c r="BD277" s="580"/>
      <c r="BE277" s="580"/>
      <c r="BF277" s="580"/>
      <c r="BG277" s="580"/>
      <c r="BH277" s="580"/>
      <c r="BI277" s="580"/>
      <c r="BJ277" s="580"/>
      <c r="BK277" s="580"/>
      <c r="BL277" s="580"/>
      <c r="BM277" s="580"/>
      <c r="BN277" s="580"/>
      <c r="BO277" s="581"/>
      <c r="BP277" s="580"/>
      <c r="BQ277" s="581"/>
      <c r="BR277" s="580"/>
      <c r="BS277" s="580"/>
      <c r="BT277" s="580"/>
      <c r="BU277" s="580"/>
      <c r="BV277" s="580"/>
      <c r="BW277" s="580"/>
      <c r="BX277" s="580"/>
      <c r="BY277" s="581"/>
      <c r="BZ277" s="580"/>
      <c r="CA277" s="581"/>
      <c r="CB277" s="580"/>
      <c r="CC277" s="580"/>
      <c r="CD277" s="580"/>
      <c r="CE277" s="580"/>
      <c r="CF277" s="580"/>
      <c r="CG277" s="580"/>
    </row>
    <row r="278" spans="1:85" ht="24" customHeight="1">
      <c r="A278" s="580"/>
      <c r="B278" s="580"/>
      <c r="C278" s="580"/>
      <c r="D278" s="580"/>
      <c r="E278" s="580"/>
      <c r="F278" s="580"/>
      <c r="G278" s="580"/>
      <c r="H278" s="580"/>
      <c r="I278" s="580"/>
      <c r="J278" s="580"/>
      <c r="K278" s="581"/>
      <c r="L278" s="580"/>
      <c r="M278" s="580"/>
      <c r="N278" s="580"/>
      <c r="O278" s="580"/>
      <c r="P278" s="580"/>
      <c r="Q278" s="580"/>
      <c r="R278" s="580"/>
      <c r="S278" s="580"/>
      <c r="T278" s="580"/>
      <c r="U278" s="580"/>
      <c r="V278" s="580"/>
      <c r="W278" s="580"/>
      <c r="X278" s="580"/>
      <c r="Y278" s="580"/>
      <c r="Z278" s="580"/>
      <c r="AA278" s="580"/>
      <c r="AB278" s="580"/>
      <c r="AC278" s="580"/>
      <c r="AD278" s="580"/>
      <c r="AE278" s="581"/>
      <c r="AF278" s="580"/>
      <c r="AG278" s="581"/>
      <c r="AH278" s="580"/>
      <c r="AI278" s="580"/>
      <c r="AJ278" s="580"/>
      <c r="AK278" s="580"/>
      <c r="AL278" s="580"/>
      <c r="AM278" s="580"/>
      <c r="AN278" s="580"/>
      <c r="AO278" s="580"/>
      <c r="AP278" s="580"/>
      <c r="AQ278" s="580"/>
      <c r="AR278" s="580"/>
      <c r="AS278" s="580"/>
      <c r="AT278" s="580"/>
      <c r="AU278" s="580"/>
      <c r="AV278" s="580"/>
      <c r="AW278" s="580"/>
      <c r="AX278" s="580"/>
      <c r="AY278" s="580"/>
      <c r="AZ278" s="580"/>
      <c r="BA278" s="580"/>
      <c r="BB278" s="580"/>
      <c r="BC278" s="580"/>
      <c r="BD278" s="580"/>
      <c r="BE278" s="580"/>
      <c r="BF278" s="580"/>
      <c r="BG278" s="580"/>
      <c r="BH278" s="580"/>
      <c r="BI278" s="580"/>
      <c r="BJ278" s="580"/>
      <c r="BK278" s="580"/>
      <c r="BL278" s="580"/>
      <c r="BM278" s="580"/>
      <c r="BN278" s="580"/>
      <c r="BO278" s="581"/>
      <c r="BP278" s="580"/>
      <c r="BQ278" s="581"/>
      <c r="BR278" s="580"/>
      <c r="BS278" s="580"/>
      <c r="BT278" s="580"/>
      <c r="BU278" s="580"/>
      <c r="BV278" s="580"/>
      <c r="BW278" s="580"/>
      <c r="BX278" s="580"/>
      <c r="BY278" s="581"/>
      <c r="BZ278" s="580"/>
      <c r="CA278" s="581"/>
      <c r="CB278" s="580"/>
      <c r="CC278" s="580"/>
      <c r="CD278" s="580"/>
      <c r="CE278" s="580"/>
      <c r="CF278" s="580"/>
      <c r="CG278" s="580"/>
    </row>
    <row r="279" spans="1:85" ht="24" customHeight="1">
      <c r="A279" s="580"/>
      <c r="B279" s="580"/>
      <c r="C279" s="580"/>
      <c r="D279" s="580"/>
      <c r="E279" s="580"/>
      <c r="F279" s="580"/>
      <c r="G279" s="580"/>
      <c r="H279" s="580"/>
      <c r="I279" s="580"/>
      <c r="J279" s="580"/>
      <c r="K279" s="581"/>
      <c r="L279" s="580"/>
      <c r="M279" s="580"/>
      <c r="N279" s="580"/>
      <c r="O279" s="580"/>
      <c r="P279" s="580"/>
      <c r="Q279" s="580"/>
      <c r="R279" s="580"/>
      <c r="S279" s="580"/>
      <c r="T279" s="580"/>
      <c r="U279" s="580"/>
      <c r="V279" s="580"/>
      <c r="W279" s="580"/>
      <c r="X279" s="580"/>
      <c r="Y279" s="580"/>
      <c r="Z279" s="580"/>
      <c r="AA279" s="580"/>
      <c r="AB279" s="580"/>
      <c r="AC279" s="580"/>
      <c r="AD279" s="580"/>
      <c r="AE279" s="581"/>
      <c r="AF279" s="580"/>
      <c r="AG279" s="581"/>
      <c r="AH279" s="580"/>
      <c r="AI279" s="580"/>
      <c r="AJ279" s="580"/>
      <c r="AK279" s="580"/>
      <c r="AL279" s="580"/>
      <c r="AM279" s="580"/>
      <c r="AN279" s="580"/>
      <c r="AO279" s="580"/>
      <c r="AP279" s="580"/>
      <c r="AQ279" s="580"/>
      <c r="AR279" s="580"/>
      <c r="AS279" s="580"/>
      <c r="AT279" s="580"/>
      <c r="AU279" s="580"/>
      <c r="AV279" s="580"/>
      <c r="AW279" s="580"/>
      <c r="AX279" s="580"/>
      <c r="AY279" s="580"/>
      <c r="AZ279" s="580"/>
      <c r="BA279" s="580"/>
      <c r="BB279" s="580"/>
      <c r="BC279" s="580"/>
      <c r="BD279" s="580"/>
      <c r="BE279" s="580"/>
      <c r="BF279" s="580"/>
      <c r="BG279" s="580"/>
      <c r="BH279" s="580"/>
      <c r="BI279" s="580"/>
      <c r="BJ279" s="580"/>
      <c r="BK279" s="580"/>
      <c r="BL279" s="580"/>
      <c r="BM279" s="580"/>
      <c r="BN279" s="580"/>
      <c r="BO279" s="581"/>
      <c r="BP279" s="580"/>
      <c r="BQ279" s="581"/>
      <c r="BR279" s="580"/>
      <c r="BS279" s="580"/>
      <c r="BT279" s="580"/>
      <c r="BU279" s="580"/>
      <c r="BV279" s="580"/>
      <c r="BW279" s="580"/>
      <c r="BX279" s="580"/>
      <c r="BY279" s="581"/>
      <c r="BZ279" s="580"/>
      <c r="CA279" s="581"/>
      <c r="CB279" s="580"/>
      <c r="CC279" s="580"/>
      <c r="CD279" s="580"/>
      <c r="CE279" s="580"/>
      <c r="CF279" s="580"/>
      <c r="CG279" s="580"/>
    </row>
    <row r="280" spans="1:85" ht="24" customHeight="1">
      <c r="A280" s="580"/>
      <c r="B280" s="580"/>
      <c r="C280" s="580"/>
      <c r="D280" s="580"/>
      <c r="E280" s="580"/>
      <c r="F280" s="580"/>
      <c r="G280" s="580"/>
      <c r="H280" s="580"/>
      <c r="I280" s="580"/>
      <c r="J280" s="580"/>
      <c r="K280" s="581"/>
      <c r="L280" s="580"/>
      <c r="M280" s="580"/>
      <c r="N280" s="580"/>
      <c r="O280" s="580"/>
      <c r="P280" s="580"/>
      <c r="Q280" s="580"/>
      <c r="R280" s="580"/>
      <c r="S280" s="580"/>
      <c r="T280" s="580"/>
      <c r="U280" s="580"/>
      <c r="V280" s="580"/>
      <c r="W280" s="580"/>
      <c r="X280" s="580"/>
      <c r="Y280" s="580"/>
      <c r="Z280" s="580"/>
      <c r="AA280" s="580"/>
      <c r="AB280" s="580"/>
      <c r="AC280" s="580"/>
      <c r="AD280" s="580"/>
      <c r="AE280" s="581"/>
      <c r="AF280" s="580"/>
      <c r="AG280" s="581"/>
      <c r="AH280" s="580"/>
      <c r="AI280" s="580"/>
      <c r="AJ280" s="580"/>
      <c r="AK280" s="580"/>
      <c r="AL280" s="580"/>
      <c r="AM280" s="580"/>
      <c r="AN280" s="580"/>
      <c r="AO280" s="580"/>
      <c r="AP280" s="580"/>
      <c r="AQ280" s="580"/>
      <c r="AR280" s="580"/>
      <c r="AS280" s="580"/>
      <c r="AT280" s="580"/>
      <c r="AU280" s="580"/>
      <c r="AV280" s="580"/>
      <c r="AW280" s="580"/>
      <c r="AX280" s="580"/>
      <c r="AY280" s="580"/>
      <c r="AZ280" s="580"/>
      <c r="BA280" s="580"/>
      <c r="BB280" s="580"/>
      <c r="BC280" s="580"/>
      <c r="BD280" s="580"/>
      <c r="BE280" s="580"/>
      <c r="BF280" s="580"/>
      <c r="BG280" s="580"/>
      <c r="BH280" s="580"/>
      <c r="BI280" s="580"/>
      <c r="BJ280" s="580"/>
      <c r="BK280" s="580"/>
      <c r="BL280" s="580"/>
      <c r="BM280" s="580"/>
      <c r="BN280" s="580"/>
      <c r="BO280" s="581"/>
      <c r="BP280" s="580"/>
      <c r="BQ280" s="581"/>
      <c r="BR280" s="580"/>
      <c r="BS280" s="580"/>
      <c r="BT280" s="580"/>
      <c r="BU280" s="580"/>
      <c r="BV280" s="580"/>
      <c r="BW280" s="580"/>
      <c r="BX280" s="580"/>
      <c r="BY280" s="581"/>
      <c r="BZ280" s="580"/>
      <c r="CA280" s="581"/>
      <c r="CB280" s="580"/>
      <c r="CC280" s="580"/>
      <c r="CD280" s="580"/>
      <c r="CE280" s="580"/>
      <c r="CF280" s="580"/>
      <c r="CG280" s="580"/>
    </row>
    <row r="281" spans="1:85" ht="24" customHeight="1">
      <c r="A281" s="580"/>
      <c r="B281" s="580"/>
      <c r="C281" s="580"/>
      <c r="D281" s="580"/>
      <c r="E281" s="580"/>
      <c r="F281" s="580"/>
      <c r="G281" s="580"/>
      <c r="H281" s="580"/>
      <c r="I281" s="580"/>
      <c r="J281" s="580"/>
      <c r="K281" s="581"/>
      <c r="L281" s="580"/>
      <c r="M281" s="580"/>
      <c r="N281" s="580"/>
      <c r="O281" s="580"/>
      <c r="P281" s="580"/>
      <c r="Q281" s="580"/>
      <c r="R281" s="580"/>
      <c r="S281" s="580"/>
      <c r="T281" s="580"/>
      <c r="U281" s="580"/>
      <c r="V281" s="580"/>
      <c r="W281" s="580"/>
      <c r="X281" s="580"/>
      <c r="Y281" s="580"/>
      <c r="Z281" s="580"/>
      <c r="AA281" s="580"/>
      <c r="AB281" s="580"/>
      <c r="AC281" s="580"/>
      <c r="AD281" s="580"/>
      <c r="AE281" s="581"/>
      <c r="AF281" s="580"/>
      <c r="AG281" s="581"/>
      <c r="AH281" s="580"/>
      <c r="AI281" s="580"/>
      <c r="AJ281" s="580"/>
      <c r="AK281" s="580"/>
      <c r="AL281" s="580"/>
      <c r="AM281" s="580"/>
      <c r="AN281" s="580"/>
      <c r="AO281" s="580"/>
      <c r="AP281" s="580"/>
      <c r="AQ281" s="580"/>
      <c r="AR281" s="580"/>
      <c r="AS281" s="580"/>
      <c r="AT281" s="580"/>
      <c r="AU281" s="580"/>
      <c r="AV281" s="580"/>
      <c r="AW281" s="580"/>
      <c r="AX281" s="580"/>
      <c r="AY281" s="580"/>
      <c r="AZ281" s="580"/>
      <c r="BA281" s="580"/>
      <c r="BB281" s="580"/>
      <c r="BC281" s="580"/>
      <c r="BD281" s="580"/>
      <c r="BE281" s="580"/>
      <c r="BF281" s="580"/>
      <c r="BG281" s="580"/>
      <c r="BH281" s="580"/>
      <c r="BI281" s="580"/>
      <c r="BJ281" s="580"/>
      <c r="BK281" s="580"/>
      <c r="BL281" s="580"/>
      <c r="BM281" s="580"/>
      <c r="BN281" s="580"/>
      <c r="BO281" s="581"/>
      <c r="BP281" s="580"/>
      <c r="BQ281" s="581"/>
      <c r="BR281" s="580"/>
      <c r="BS281" s="580"/>
      <c r="BT281" s="580"/>
      <c r="BU281" s="580"/>
      <c r="BV281" s="580"/>
      <c r="BW281" s="580"/>
      <c r="BX281" s="580"/>
      <c r="BY281" s="581"/>
      <c r="BZ281" s="580"/>
      <c r="CA281" s="581"/>
      <c r="CB281" s="580"/>
      <c r="CC281" s="580"/>
      <c r="CD281" s="580"/>
      <c r="CE281" s="580"/>
      <c r="CF281" s="580"/>
      <c r="CG281" s="580"/>
    </row>
    <row r="282" spans="1:85" ht="24" customHeight="1">
      <c r="A282" s="580"/>
      <c r="B282" s="580"/>
      <c r="C282" s="580"/>
      <c r="D282" s="580"/>
      <c r="E282" s="580"/>
      <c r="F282" s="580"/>
      <c r="G282" s="580"/>
      <c r="H282" s="580"/>
      <c r="I282" s="580"/>
      <c r="J282" s="580"/>
      <c r="K282" s="581"/>
      <c r="L282" s="580"/>
      <c r="M282" s="580"/>
      <c r="N282" s="580"/>
      <c r="O282" s="580"/>
      <c r="P282" s="580"/>
      <c r="Q282" s="580"/>
      <c r="R282" s="580"/>
      <c r="S282" s="580"/>
      <c r="T282" s="580"/>
      <c r="U282" s="580"/>
      <c r="V282" s="580"/>
      <c r="W282" s="580"/>
      <c r="X282" s="580"/>
      <c r="Y282" s="580"/>
      <c r="Z282" s="580"/>
      <c r="AA282" s="580"/>
      <c r="AB282" s="580"/>
      <c r="AC282" s="580"/>
      <c r="AD282" s="580"/>
      <c r="AE282" s="581"/>
      <c r="AF282" s="580"/>
      <c r="AG282" s="581"/>
      <c r="AH282" s="580"/>
      <c r="AI282" s="580"/>
      <c r="AJ282" s="580"/>
      <c r="AK282" s="580"/>
      <c r="AL282" s="580"/>
      <c r="AM282" s="580"/>
      <c r="AN282" s="580"/>
      <c r="AO282" s="580"/>
      <c r="AP282" s="580"/>
      <c r="AQ282" s="580"/>
      <c r="AR282" s="580"/>
      <c r="AS282" s="580"/>
      <c r="AT282" s="580"/>
      <c r="AU282" s="580"/>
      <c r="AV282" s="580"/>
      <c r="AW282" s="580"/>
      <c r="AX282" s="580"/>
      <c r="AY282" s="580"/>
      <c r="AZ282" s="580"/>
      <c r="BA282" s="580"/>
      <c r="BB282" s="580"/>
      <c r="BC282" s="580"/>
      <c r="BD282" s="580"/>
      <c r="BE282" s="580"/>
      <c r="BF282" s="580"/>
      <c r="BG282" s="580"/>
      <c r="BH282" s="580"/>
      <c r="BI282" s="580"/>
      <c r="BJ282" s="580"/>
      <c r="BK282" s="580"/>
      <c r="BL282" s="580"/>
      <c r="BM282" s="580"/>
      <c r="BN282" s="580"/>
      <c r="BO282" s="581"/>
      <c r="BP282" s="580"/>
      <c r="BQ282" s="581"/>
      <c r="BR282" s="580"/>
      <c r="BS282" s="580"/>
      <c r="BT282" s="580"/>
      <c r="BU282" s="580"/>
      <c r="BV282" s="580"/>
      <c r="BW282" s="580"/>
      <c r="BX282" s="580"/>
      <c r="BY282" s="581"/>
      <c r="BZ282" s="580"/>
      <c r="CA282" s="581"/>
      <c r="CB282" s="580"/>
      <c r="CC282" s="580"/>
      <c r="CD282" s="580"/>
      <c r="CE282" s="580"/>
      <c r="CF282" s="580"/>
      <c r="CG282" s="580"/>
    </row>
    <row r="283" spans="1:85" ht="24" customHeight="1">
      <c r="A283" s="580"/>
      <c r="B283" s="580"/>
      <c r="C283" s="580"/>
      <c r="D283" s="580"/>
      <c r="E283" s="580"/>
      <c r="F283" s="580"/>
      <c r="G283" s="580"/>
      <c r="H283" s="580"/>
      <c r="I283" s="580"/>
      <c r="J283" s="580"/>
      <c r="K283" s="581"/>
      <c r="L283" s="580"/>
      <c r="M283" s="580"/>
      <c r="N283" s="580"/>
      <c r="O283" s="580"/>
      <c r="P283" s="580"/>
      <c r="Q283" s="580"/>
      <c r="R283" s="580"/>
      <c r="S283" s="580"/>
      <c r="T283" s="580"/>
      <c r="U283" s="580"/>
      <c r="V283" s="580"/>
      <c r="W283" s="580"/>
      <c r="X283" s="580"/>
      <c r="Y283" s="580"/>
      <c r="Z283" s="580"/>
      <c r="AA283" s="580"/>
      <c r="AB283" s="580"/>
      <c r="AC283" s="580"/>
      <c r="AD283" s="580"/>
      <c r="AE283" s="581"/>
      <c r="AF283" s="580"/>
      <c r="AG283" s="581"/>
      <c r="AH283" s="580"/>
      <c r="AI283" s="580"/>
      <c r="AJ283" s="580"/>
      <c r="AK283" s="580"/>
      <c r="AL283" s="580"/>
      <c r="AM283" s="580"/>
      <c r="AN283" s="580"/>
      <c r="AO283" s="580"/>
      <c r="AP283" s="580"/>
      <c r="AQ283" s="580"/>
      <c r="AR283" s="580"/>
      <c r="AS283" s="580"/>
      <c r="AT283" s="580"/>
      <c r="AU283" s="580"/>
      <c r="AV283" s="580"/>
      <c r="AW283" s="580"/>
      <c r="AX283" s="580"/>
      <c r="AY283" s="580"/>
      <c r="AZ283" s="580"/>
      <c r="BA283" s="580"/>
      <c r="BB283" s="580"/>
      <c r="BC283" s="580"/>
      <c r="BD283" s="580"/>
      <c r="BE283" s="580"/>
      <c r="BF283" s="580"/>
      <c r="BG283" s="580"/>
      <c r="BH283" s="580"/>
      <c r="BI283" s="580"/>
      <c r="BJ283" s="580"/>
      <c r="BK283" s="580"/>
      <c r="BL283" s="580"/>
      <c r="BM283" s="580"/>
      <c r="BN283" s="580"/>
      <c r="BO283" s="581"/>
      <c r="BP283" s="580"/>
      <c r="BQ283" s="581"/>
      <c r="BR283" s="580"/>
      <c r="BS283" s="580"/>
      <c r="BT283" s="580"/>
      <c r="BU283" s="580"/>
      <c r="BV283" s="580"/>
      <c r="BW283" s="580"/>
      <c r="BX283" s="580"/>
      <c r="BY283" s="581"/>
      <c r="BZ283" s="580"/>
      <c r="CA283" s="581"/>
      <c r="CB283" s="580"/>
      <c r="CC283" s="580"/>
      <c r="CD283" s="580"/>
      <c r="CE283" s="580"/>
      <c r="CF283" s="580"/>
      <c r="CG283" s="580"/>
    </row>
    <row r="284" spans="1:85" ht="24" customHeight="1">
      <c r="A284" s="580"/>
      <c r="B284" s="580"/>
      <c r="C284" s="580"/>
      <c r="D284" s="580"/>
      <c r="E284" s="580"/>
      <c r="F284" s="580"/>
      <c r="G284" s="580"/>
      <c r="H284" s="580"/>
      <c r="I284" s="580"/>
      <c r="J284" s="580"/>
      <c r="K284" s="581"/>
      <c r="L284" s="580"/>
      <c r="M284" s="580"/>
      <c r="N284" s="580"/>
      <c r="O284" s="580"/>
      <c r="P284" s="580"/>
      <c r="Q284" s="580"/>
      <c r="R284" s="580"/>
      <c r="S284" s="580"/>
      <c r="T284" s="580"/>
      <c r="U284" s="580"/>
      <c r="V284" s="580"/>
      <c r="W284" s="580"/>
      <c r="X284" s="580"/>
      <c r="Y284" s="580"/>
      <c r="Z284" s="580"/>
      <c r="AA284" s="580"/>
      <c r="AB284" s="580"/>
      <c r="AC284" s="580"/>
      <c r="AD284" s="580"/>
      <c r="AE284" s="581"/>
      <c r="AF284" s="580"/>
      <c r="AG284" s="581"/>
      <c r="AH284" s="580"/>
      <c r="AI284" s="580"/>
      <c r="AJ284" s="580"/>
      <c r="AK284" s="580"/>
      <c r="AL284" s="580"/>
      <c r="AM284" s="580"/>
      <c r="AN284" s="580"/>
      <c r="AO284" s="580"/>
      <c r="AP284" s="580"/>
      <c r="AQ284" s="580"/>
      <c r="AR284" s="580"/>
      <c r="AS284" s="580"/>
      <c r="AT284" s="580"/>
      <c r="AU284" s="580"/>
      <c r="AV284" s="580"/>
      <c r="AW284" s="580"/>
      <c r="AX284" s="580"/>
      <c r="AY284" s="580"/>
      <c r="AZ284" s="580"/>
      <c r="BA284" s="580"/>
      <c r="BB284" s="580"/>
      <c r="BC284" s="580"/>
      <c r="BD284" s="580"/>
      <c r="BE284" s="580"/>
      <c r="BF284" s="580"/>
      <c r="BG284" s="580"/>
      <c r="BH284" s="580"/>
      <c r="BI284" s="580"/>
      <c r="BJ284" s="580"/>
      <c r="BK284" s="580"/>
      <c r="BL284" s="580"/>
      <c r="BM284" s="580"/>
      <c r="BN284" s="580"/>
      <c r="BO284" s="581"/>
      <c r="BP284" s="580"/>
      <c r="BQ284" s="581"/>
      <c r="BR284" s="580"/>
      <c r="BS284" s="580"/>
      <c r="BT284" s="580"/>
      <c r="BU284" s="580"/>
      <c r="BV284" s="580"/>
      <c r="BW284" s="580"/>
      <c r="BX284" s="580"/>
      <c r="BY284" s="581"/>
      <c r="BZ284" s="580"/>
      <c r="CA284" s="581"/>
      <c r="CB284" s="580"/>
      <c r="CC284" s="580"/>
      <c r="CD284" s="580"/>
      <c r="CE284" s="580"/>
      <c r="CF284" s="580"/>
      <c r="CG284" s="580"/>
    </row>
    <row r="285" spans="1:85" ht="24" customHeight="1">
      <c r="A285" s="580"/>
      <c r="B285" s="580"/>
      <c r="C285" s="580"/>
      <c r="D285" s="580"/>
      <c r="E285" s="580"/>
      <c r="F285" s="580"/>
      <c r="G285" s="580"/>
      <c r="H285" s="580"/>
      <c r="I285" s="580"/>
      <c r="J285" s="580"/>
      <c r="K285" s="581"/>
      <c r="L285" s="580"/>
      <c r="M285" s="580"/>
      <c r="N285" s="580"/>
      <c r="O285" s="580"/>
      <c r="P285" s="580"/>
      <c r="Q285" s="580"/>
      <c r="R285" s="580"/>
      <c r="S285" s="580"/>
      <c r="T285" s="580"/>
      <c r="U285" s="580"/>
      <c r="V285" s="580"/>
      <c r="W285" s="580"/>
      <c r="X285" s="580"/>
      <c r="Y285" s="580"/>
      <c r="Z285" s="580"/>
      <c r="AA285" s="580"/>
      <c r="AB285" s="580"/>
      <c r="AC285" s="580"/>
      <c r="AD285" s="580"/>
      <c r="AE285" s="581"/>
      <c r="AF285" s="580"/>
      <c r="AG285" s="581"/>
      <c r="AH285" s="580"/>
      <c r="AI285" s="580"/>
      <c r="AJ285" s="580"/>
      <c r="AK285" s="580"/>
      <c r="AL285" s="580"/>
      <c r="AM285" s="580"/>
      <c r="AN285" s="580"/>
      <c r="AO285" s="580"/>
      <c r="AP285" s="580"/>
      <c r="AQ285" s="580"/>
      <c r="AR285" s="580"/>
      <c r="AS285" s="580"/>
      <c r="AT285" s="580"/>
      <c r="AU285" s="580"/>
      <c r="AV285" s="580"/>
      <c r="AW285" s="580"/>
      <c r="AX285" s="580"/>
      <c r="AY285" s="580"/>
      <c r="AZ285" s="580"/>
      <c r="BA285" s="580"/>
      <c r="BB285" s="580"/>
      <c r="BC285" s="580"/>
      <c r="BD285" s="580"/>
      <c r="BE285" s="580"/>
      <c r="BF285" s="580"/>
      <c r="BG285" s="580"/>
      <c r="BH285" s="580"/>
      <c r="BI285" s="580"/>
      <c r="BJ285" s="580"/>
      <c r="BK285" s="580"/>
      <c r="BL285" s="580"/>
      <c r="BM285" s="580"/>
      <c r="BN285" s="580"/>
      <c r="BO285" s="581"/>
      <c r="BP285" s="580"/>
      <c r="BQ285" s="581"/>
      <c r="BR285" s="580"/>
      <c r="BS285" s="580"/>
      <c r="BT285" s="580"/>
      <c r="BU285" s="580"/>
      <c r="BV285" s="580"/>
      <c r="BW285" s="580"/>
      <c r="BX285" s="580"/>
      <c r="BY285" s="581"/>
      <c r="BZ285" s="580"/>
      <c r="CA285" s="581"/>
      <c r="CB285" s="580"/>
      <c r="CC285" s="580"/>
      <c r="CD285" s="580"/>
      <c r="CE285" s="580"/>
      <c r="CF285" s="580"/>
      <c r="CG285" s="580"/>
    </row>
    <row r="286" spans="1:85" ht="24" customHeight="1">
      <c r="A286" s="580"/>
      <c r="B286" s="580"/>
      <c r="C286" s="580"/>
      <c r="D286" s="580"/>
      <c r="E286" s="580"/>
      <c r="F286" s="580"/>
      <c r="G286" s="580"/>
      <c r="H286" s="580"/>
      <c r="I286" s="580"/>
      <c r="J286" s="580"/>
      <c r="K286" s="581"/>
      <c r="L286" s="580"/>
      <c r="M286" s="580"/>
      <c r="N286" s="580"/>
      <c r="O286" s="580"/>
      <c r="P286" s="580"/>
      <c r="Q286" s="580"/>
      <c r="R286" s="580"/>
      <c r="S286" s="580"/>
      <c r="T286" s="580"/>
      <c r="U286" s="580"/>
      <c r="V286" s="580"/>
      <c r="W286" s="580"/>
      <c r="X286" s="580"/>
      <c r="Y286" s="580"/>
      <c r="Z286" s="580"/>
      <c r="AA286" s="580"/>
      <c r="AB286" s="580"/>
      <c r="AC286" s="580"/>
      <c r="AD286" s="580"/>
      <c r="AE286" s="581"/>
      <c r="AF286" s="580"/>
      <c r="AG286" s="581"/>
      <c r="AH286" s="580"/>
      <c r="AI286" s="580"/>
      <c r="AJ286" s="580"/>
      <c r="AK286" s="580"/>
      <c r="AL286" s="580"/>
      <c r="AM286" s="580"/>
      <c r="AN286" s="580"/>
      <c r="AO286" s="580"/>
      <c r="AP286" s="580"/>
      <c r="AQ286" s="580"/>
      <c r="AR286" s="580"/>
      <c r="AS286" s="580"/>
      <c r="AT286" s="580"/>
      <c r="AU286" s="580"/>
      <c r="AV286" s="580"/>
      <c r="AW286" s="580"/>
      <c r="AX286" s="580"/>
      <c r="AY286" s="580"/>
      <c r="AZ286" s="580"/>
      <c r="BA286" s="580"/>
      <c r="BB286" s="580"/>
      <c r="BC286" s="580"/>
      <c r="BD286" s="580"/>
      <c r="BE286" s="580"/>
      <c r="BF286" s="580"/>
      <c r="BG286" s="580"/>
      <c r="BH286" s="580"/>
      <c r="BI286" s="580"/>
      <c r="BJ286" s="580"/>
      <c r="BK286" s="580"/>
      <c r="BL286" s="580"/>
      <c r="BM286" s="580"/>
      <c r="BN286" s="580"/>
      <c r="BO286" s="581"/>
      <c r="BP286" s="580"/>
      <c r="BQ286" s="581"/>
      <c r="BR286" s="580"/>
      <c r="BS286" s="580"/>
      <c r="BT286" s="580"/>
      <c r="BU286" s="580"/>
      <c r="BV286" s="580"/>
      <c r="BW286" s="580"/>
      <c r="BX286" s="580"/>
      <c r="BY286" s="581"/>
      <c r="BZ286" s="580"/>
      <c r="CA286" s="581"/>
      <c r="CB286" s="580"/>
      <c r="CC286" s="580"/>
      <c r="CD286" s="580"/>
      <c r="CE286" s="580"/>
      <c r="CF286" s="580"/>
      <c r="CG286" s="580"/>
    </row>
    <row r="287" spans="1:85" ht="24" customHeight="1">
      <c r="A287" s="580"/>
      <c r="B287" s="580"/>
      <c r="C287" s="580"/>
      <c r="D287" s="580"/>
      <c r="E287" s="580"/>
      <c r="F287" s="580"/>
      <c r="G287" s="580"/>
      <c r="H287" s="580"/>
      <c r="I287" s="580"/>
      <c r="J287" s="580"/>
      <c r="K287" s="581"/>
      <c r="L287" s="580"/>
      <c r="M287" s="580"/>
      <c r="N287" s="580"/>
      <c r="O287" s="580"/>
      <c r="P287" s="580"/>
      <c r="Q287" s="580"/>
      <c r="R287" s="580"/>
      <c r="S287" s="580"/>
      <c r="T287" s="580"/>
      <c r="U287" s="580"/>
      <c r="V287" s="580"/>
      <c r="W287" s="580"/>
      <c r="X287" s="580"/>
      <c r="Y287" s="580"/>
      <c r="Z287" s="580"/>
      <c r="AA287" s="580"/>
      <c r="AB287" s="580"/>
      <c r="AC287" s="580"/>
      <c r="AD287" s="580"/>
      <c r="AE287" s="581"/>
      <c r="AF287" s="580"/>
      <c r="AG287" s="581"/>
      <c r="AH287" s="580"/>
      <c r="AI287" s="580"/>
      <c r="AJ287" s="580"/>
      <c r="AK287" s="580"/>
      <c r="AL287" s="580"/>
      <c r="AM287" s="580"/>
      <c r="AN287" s="580"/>
      <c r="AO287" s="580"/>
      <c r="AP287" s="580"/>
      <c r="AQ287" s="580"/>
      <c r="AR287" s="580"/>
      <c r="AS287" s="580"/>
      <c r="AT287" s="580"/>
      <c r="AU287" s="580"/>
      <c r="AV287" s="580"/>
      <c r="AW287" s="580"/>
      <c r="AX287" s="580"/>
      <c r="AY287" s="580"/>
      <c r="AZ287" s="580"/>
      <c r="BA287" s="580"/>
      <c r="BB287" s="580"/>
      <c r="BC287" s="580"/>
      <c r="BD287" s="580"/>
      <c r="BE287" s="580"/>
      <c r="BF287" s="580"/>
      <c r="BG287" s="580"/>
      <c r="BH287" s="580"/>
      <c r="BI287" s="580"/>
      <c r="BJ287" s="580"/>
      <c r="BK287" s="580"/>
      <c r="BL287" s="580"/>
      <c r="BM287" s="580"/>
      <c r="BN287" s="580"/>
      <c r="BO287" s="581"/>
      <c r="BP287" s="580"/>
      <c r="BQ287" s="581"/>
      <c r="BR287" s="580"/>
      <c r="BS287" s="580"/>
      <c r="BT287" s="580"/>
      <c r="BU287" s="580"/>
      <c r="BV287" s="580"/>
      <c r="BW287" s="580"/>
      <c r="BX287" s="580"/>
      <c r="BY287" s="581"/>
      <c r="BZ287" s="580"/>
      <c r="CA287" s="581"/>
      <c r="CB287" s="580"/>
      <c r="CC287" s="580"/>
      <c r="CD287" s="580"/>
      <c r="CE287" s="580"/>
      <c r="CF287" s="580"/>
      <c r="CG287" s="580"/>
    </row>
    <row r="288" spans="1:85" ht="24" customHeight="1">
      <c r="A288" s="580"/>
      <c r="B288" s="580"/>
      <c r="C288" s="580"/>
      <c r="D288" s="580"/>
      <c r="E288" s="580"/>
      <c r="F288" s="580"/>
      <c r="G288" s="580"/>
      <c r="H288" s="580"/>
      <c r="I288" s="580"/>
      <c r="J288" s="580"/>
      <c r="K288" s="581"/>
      <c r="L288" s="580"/>
      <c r="M288" s="580"/>
      <c r="N288" s="580"/>
      <c r="O288" s="580"/>
      <c r="P288" s="580"/>
      <c r="Q288" s="580"/>
      <c r="R288" s="580"/>
      <c r="S288" s="580"/>
      <c r="T288" s="580"/>
      <c r="U288" s="580"/>
      <c r="V288" s="580"/>
      <c r="W288" s="580"/>
      <c r="X288" s="580"/>
      <c r="Y288" s="580"/>
      <c r="Z288" s="580"/>
      <c r="AA288" s="580"/>
      <c r="AB288" s="580"/>
      <c r="AC288" s="580"/>
      <c r="AD288" s="580"/>
      <c r="AE288" s="581"/>
      <c r="AF288" s="580"/>
      <c r="AG288" s="581"/>
      <c r="AH288" s="580"/>
      <c r="AI288" s="580"/>
      <c r="AJ288" s="580"/>
      <c r="AK288" s="580"/>
      <c r="AL288" s="580"/>
      <c r="AM288" s="580"/>
      <c r="AN288" s="580"/>
      <c r="AO288" s="580"/>
      <c r="AP288" s="580"/>
      <c r="AQ288" s="580"/>
      <c r="AR288" s="580"/>
      <c r="AS288" s="580"/>
      <c r="AT288" s="580"/>
      <c r="AU288" s="580"/>
      <c r="AV288" s="580"/>
      <c r="AW288" s="580"/>
      <c r="AX288" s="580"/>
      <c r="AY288" s="580"/>
      <c r="AZ288" s="580"/>
      <c r="BA288" s="580"/>
      <c r="BB288" s="580"/>
      <c r="BC288" s="580"/>
      <c r="BD288" s="580"/>
      <c r="BE288" s="580"/>
      <c r="BF288" s="580"/>
      <c r="BG288" s="580"/>
      <c r="BH288" s="580"/>
      <c r="BI288" s="580"/>
      <c r="BJ288" s="580"/>
      <c r="BK288" s="580"/>
      <c r="BL288" s="580"/>
      <c r="BM288" s="580"/>
      <c r="BN288" s="580"/>
      <c r="BO288" s="581"/>
      <c r="BP288" s="580"/>
      <c r="BQ288" s="581"/>
      <c r="BR288" s="580"/>
      <c r="BS288" s="580"/>
      <c r="BT288" s="580"/>
      <c r="BU288" s="580"/>
      <c r="BV288" s="580"/>
      <c r="BW288" s="580"/>
      <c r="BX288" s="580"/>
      <c r="BY288" s="581"/>
      <c r="BZ288" s="580"/>
      <c r="CA288" s="581"/>
      <c r="CB288" s="580"/>
      <c r="CC288" s="580"/>
      <c r="CD288" s="580"/>
      <c r="CE288" s="580"/>
      <c r="CF288" s="580"/>
      <c r="CG288" s="580"/>
    </row>
    <row r="289" spans="1:85" ht="24" customHeight="1">
      <c r="A289" s="580"/>
      <c r="B289" s="580"/>
      <c r="C289" s="580"/>
      <c r="D289" s="580"/>
      <c r="E289" s="580"/>
      <c r="F289" s="580"/>
      <c r="G289" s="580"/>
      <c r="H289" s="580"/>
      <c r="I289" s="580"/>
      <c r="J289" s="580"/>
      <c r="K289" s="581"/>
      <c r="L289" s="580"/>
      <c r="M289" s="580"/>
      <c r="N289" s="580"/>
      <c r="O289" s="580"/>
      <c r="P289" s="580"/>
      <c r="Q289" s="580"/>
      <c r="R289" s="580"/>
      <c r="S289" s="580"/>
      <c r="T289" s="580"/>
      <c r="U289" s="580"/>
      <c r="V289" s="580"/>
      <c r="W289" s="580"/>
      <c r="X289" s="580"/>
      <c r="Y289" s="580"/>
      <c r="Z289" s="580"/>
      <c r="AA289" s="580"/>
      <c r="AB289" s="580"/>
      <c r="AC289" s="580"/>
      <c r="AD289" s="580"/>
      <c r="AE289" s="581"/>
      <c r="AF289" s="580"/>
      <c r="AG289" s="581"/>
      <c r="AH289" s="580"/>
      <c r="AI289" s="580"/>
      <c r="AJ289" s="580"/>
      <c r="AK289" s="580"/>
      <c r="AL289" s="580"/>
      <c r="AM289" s="580"/>
      <c r="AN289" s="580"/>
      <c r="AO289" s="580"/>
      <c r="AP289" s="580"/>
      <c r="AQ289" s="580"/>
      <c r="AR289" s="580"/>
      <c r="AS289" s="580"/>
      <c r="AT289" s="580"/>
      <c r="AU289" s="580"/>
      <c r="AV289" s="580"/>
      <c r="AW289" s="580"/>
      <c r="AX289" s="580"/>
      <c r="AY289" s="580"/>
      <c r="AZ289" s="580"/>
      <c r="BA289" s="580"/>
      <c r="BB289" s="580"/>
      <c r="BC289" s="580"/>
      <c r="BD289" s="580"/>
      <c r="BE289" s="580"/>
      <c r="BF289" s="580"/>
      <c r="BG289" s="580"/>
      <c r="BH289" s="580"/>
      <c r="BI289" s="580"/>
      <c r="BJ289" s="580"/>
      <c r="BK289" s="580"/>
      <c r="BL289" s="580"/>
      <c r="BM289" s="580"/>
      <c r="BN289" s="580"/>
      <c r="BO289" s="581"/>
      <c r="BP289" s="580"/>
      <c r="BQ289" s="581"/>
      <c r="BR289" s="580"/>
      <c r="BS289" s="580"/>
      <c r="BT289" s="580"/>
      <c r="BU289" s="580"/>
      <c r="BV289" s="580"/>
      <c r="BW289" s="580"/>
      <c r="BX289" s="580"/>
      <c r="BY289" s="581"/>
      <c r="BZ289" s="580"/>
      <c r="CA289" s="581"/>
      <c r="CB289" s="580"/>
      <c r="CC289" s="580"/>
      <c r="CD289" s="580"/>
      <c r="CE289" s="580"/>
      <c r="CF289" s="580"/>
      <c r="CG289" s="580"/>
    </row>
    <row r="290" spans="1:85" ht="24" customHeight="1">
      <c r="A290" s="580"/>
      <c r="B290" s="580"/>
      <c r="C290" s="580"/>
      <c r="D290" s="580"/>
      <c r="E290" s="580"/>
      <c r="F290" s="580"/>
      <c r="G290" s="580"/>
      <c r="H290" s="580"/>
      <c r="I290" s="580"/>
      <c r="J290" s="580"/>
      <c r="K290" s="581"/>
      <c r="L290" s="580"/>
      <c r="M290" s="580"/>
      <c r="N290" s="580"/>
      <c r="O290" s="580"/>
      <c r="P290" s="580"/>
      <c r="Q290" s="580"/>
      <c r="R290" s="580"/>
      <c r="S290" s="580"/>
      <c r="T290" s="580"/>
      <c r="U290" s="580"/>
      <c r="V290" s="580"/>
      <c r="W290" s="580"/>
      <c r="X290" s="580"/>
      <c r="Y290" s="580"/>
      <c r="Z290" s="580"/>
      <c r="AA290" s="580"/>
      <c r="AB290" s="580"/>
      <c r="AC290" s="580"/>
      <c r="AD290" s="580"/>
      <c r="AE290" s="581"/>
      <c r="AF290" s="580"/>
      <c r="AG290" s="581"/>
      <c r="AH290" s="580"/>
      <c r="AI290" s="580"/>
      <c r="AJ290" s="580"/>
      <c r="AK290" s="580"/>
      <c r="AL290" s="580"/>
      <c r="AM290" s="580"/>
      <c r="AN290" s="580"/>
      <c r="AO290" s="580"/>
      <c r="AP290" s="580"/>
      <c r="AQ290" s="580"/>
      <c r="AR290" s="580"/>
      <c r="AS290" s="580"/>
      <c r="AT290" s="580"/>
      <c r="AU290" s="580"/>
      <c r="AV290" s="580"/>
      <c r="AW290" s="580"/>
      <c r="AX290" s="580"/>
      <c r="AY290" s="580"/>
      <c r="AZ290" s="580"/>
      <c r="BA290" s="580"/>
      <c r="BB290" s="580"/>
      <c r="BC290" s="580"/>
      <c r="BD290" s="580"/>
      <c r="BE290" s="580"/>
      <c r="BF290" s="580"/>
      <c r="BG290" s="580"/>
      <c r="BH290" s="580"/>
      <c r="BI290" s="580"/>
      <c r="BJ290" s="580"/>
      <c r="BK290" s="580"/>
      <c r="BL290" s="580"/>
      <c r="BM290" s="580"/>
      <c r="BN290" s="580"/>
      <c r="BO290" s="581"/>
      <c r="BP290" s="580"/>
      <c r="BQ290" s="581"/>
      <c r="BR290" s="580"/>
      <c r="BS290" s="580"/>
      <c r="BT290" s="580"/>
      <c r="BU290" s="580"/>
      <c r="BV290" s="580"/>
      <c r="BW290" s="580"/>
      <c r="BX290" s="580"/>
      <c r="BY290" s="581"/>
      <c r="BZ290" s="580"/>
      <c r="CA290" s="581"/>
      <c r="CB290" s="580"/>
      <c r="CC290" s="580"/>
      <c r="CD290" s="580"/>
      <c r="CE290" s="580"/>
      <c r="CF290" s="580"/>
      <c r="CG290" s="580"/>
    </row>
    <row r="291" spans="1:85" ht="24" customHeight="1">
      <c r="A291" s="580"/>
      <c r="B291" s="580"/>
      <c r="C291" s="580"/>
      <c r="D291" s="580"/>
      <c r="E291" s="580"/>
      <c r="F291" s="580"/>
      <c r="G291" s="580"/>
      <c r="H291" s="580"/>
      <c r="I291" s="580"/>
      <c r="J291" s="580"/>
      <c r="K291" s="581"/>
      <c r="L291" s="580"/>
      <c r="M291" s="580"/>
      <c r="N291" s="580"/>
      <c r="O291" s="580"/>
      <c r="P291" s="580"/>
      <c r="Q291" s="580"/>
      <c r="R291" s="580"/>
      <c r="S291" s="580"/>
      <c r="T291" s="580"/>
      <c r="U291" s="580"/>
      <c r="V291" s="580"/>
      <c r="W291" s="580"/>
      <c r="X291" s="580"/>
      <c r="Y291" s="580"/>
      <c r="Z291" s="580"/>
      <c r="AA291" s="580"/>
      <c r="AB291" s="580"/>
      <c r="AC291" s="580"/>
      <c r="AD291" s="580"/>
      <c r="AE291" s="581"/>
      <c r="AF291" s="580"/>
      <c r="AG291" s="581"/>
      <c r="AH291" s="580"/>
      <c r="AI291" s="580"/>
      <c r="AJ291" s="580"/>
      <c r="AK291" s="580"/>
      <c r="AL291" s="580"/>
      <c r="AM291" s="580"/>
      <c r="AN291" s="580"/>
      <c r="AO291" s="580"/>
      <c r="AP291" s="580"/>
      <c r="AQ291" s="580"/>
      <c r="AR291" s="580"/>
      <c r="AS291" s="580"/>
      <c r="AT291" s="580"/>
      <c r="AU291" s="580"/>
      <c r="AV291" s="580"/>
      <c r="AW291" s="580"/>
      <c r="AX291" s="580"/>
      <c r="AY291" s="580"/>
      <c r="AZ291" s="580"/>
      <c r="BA291" s="580"/>
      <c r="BB291" s="580"/>
      <c r="BC291" s="580"/>
      <c r="BD291" s="580"/>
      <c r="BE291" s="580"/>
      <c r="BF291" s="580"/>
      <c r="BG291" s="580"/>
      <c r="BH291" s="580"/>
      <c r="BI291" s="580"/>
      <c r="BJ291" s="580"/>
      <c r="BK291" s="580"/>
      <c r="BL291" s="580"/>
      <c r="BM291" s="580"/>
      <c r="BN291" s="580"/>
      <c r="BO291" s="581"/>
      <c r="BP291" s="580"/>
      <c r="BQ291" s="581"/>
      <c r="BR291" s="580"/>
      <c r="BS291" s="580"/>
      <c r="BT291" s="580"/>
      <c r="BU291" s="580"/>
      <c r="BV291" s="580"/>
      <c r="BW291" s="580"/>
      <c r="BX291" s="580"/>
      <c r="BY291" s="581"/>
      <c r="BZ291" s="580"/>
      <c r="CA291" s="581"/>
      <c r="CB291" s="580"/>
      <c r="CC291" s="580"/>
      <c r="CD291" s="580"/>
      <c r="CE291" s="580"/>
      <c r="CF291" s="580"/>
      <c r="CG291" s="580"/>
    </row>
    <row r="292" spans="1:85" ht="24" customHeight="1">
      <c r="A292" s="580"/>
      <c r="B292" s="580"/>
      <c r="C292" s="580"/>
      <c r="D292" s="580"/>
      <c r="E292" s="580"/>
      <c r="F292" s="580"/>
      <c r="G292" s="580"/>
      <c r="H292" s="580"/>
      <c r="I292" s="580"/>
      <c r="J292" s="580"/>
      <c r="K292" s="581"/>
      <c r="L292" s="580"/>
      <c r="M292" s="580"/>
      <c r="N292" s="580"/>
      <c r="O292" s="580"/>
      <c r="P292" s="580"/>
      <c r="Q292" s="580"/>
      <c r="R292" s="580"/>
      <c r="S292" s="580"/>
      <c r="T292" s="580"/>
      <c r="U292" s="580"/>
      <c r="V292" s="580"/>
      <c r="W292" s="580"/>
      <c r="X292" s="580"/>
      <c r="Y292" s="580"/>
      <c r="Z292" s="580"/>
      <c r="AA292" s="580"/>
      <c r="AB292" s="580"/>
      <c r="AC292" s="580"/>
      <c r="AD292" s="580"/>
      <c r="AE292" s="581"/>
      <c r="AF292" s="580"/>
      <c r="AG292" s="581"/>
      <c r="AH292" s="580"/>
      <c r="AI292" s="580"/>
      <c r="AJ292" s="580"/>
      <c r="AK292" s="580"/>
      <c r="AL292" s="580"/>
      <c r="AM292" s="580"/>
      <c r="AN292" s="580"/>
      <c r="AO292" s="580"/>
      <c r="AP292" s="580"/>
      <c r="AQ292" s="580"/>
      <c r="AR292" s="580"/>
      <c r="AS292" s="580"/>
      <c r="AT292" s="580"/>
      <c r="AU292" s="580"/>
      <c r="AV292" s="580"/>
      <c r="AW292" s="580"/>
      <c r="AX292" s="580"/>
      <c r="AY292" s="580"/>
      <c r="AZ292" s="580"/>
      <c r="BA292" s="580"/>
      <c r="BB292" s="580"/>
      <c r="BC292" s="580"/>
      <c r="BD292" s="580"/>
      <c r="BE292" s="580"/>
      <c r="BF292" s="580"/>
      <c r="BG292" s="580"/>
      <c r="BH292" s="580"/>
      <c r="BI292" s="580"/>
      <c r="BJ292" s="580"/>
      <c r="BK292" s="580"/>
      <c r="BL292" s="580"/>
      <c r="BM292" s="580"/>
      <c r="BN292" s="580"/>
      <c r="BO292" s="581"/>
      <c r="BP292" s="580"/>
      <c r="BQ292" s="581"/>
      <c r="BR292" s="580"/>
      <c r="BS292" s="580"/>
      <c r="BT292" s="580"/>
      <c r="BU292" s="580"/>
      <c r="BV292" s="580"/>
      <c r="BW292" s="580"/>
      <c r="BX292" s="580"/>
      <c r="BY292" s="581"/>
      <c r="BZ292" s="580"/>
      <c r="CA292" s="581"/>
      <c r="CB292" s="580"/>
      <c r="CC292" s="580"/>
      <c r="CD292" s="580"/>
      <c r="CE292" s="580"/>
      <c r="CF292" s="580"/>
      <c r="CG292" s="580"/>
    </row>
    <row r="293" spans="1:85" ht="24" customHeight="1">
      <c r="A293" s="580"/>
      <c r="B293" s="580"/>
      <c r="C293" s="580"/>
      <c r="D293" s="580"/>
      <c r="E293" s="580"/>
      <c r="F293" s="580"/>
      <c r="G293" s="580"/>
      <c r="H293" s="580"/>
      <c r="I293" s="580"/>
      <c r="J293" s="580"/>
      <c r="K293" s="581"/>
      <c r="L293" s="580"/>
      <c r="M293" s="580"/>
      <c r="N293" s="580"/>
      <c r="O293" s="580"/>
      <c r="P293" s="580"/>
      <c r="Q293" s="580"/>
      <c r="R293" s="580"/>
      <c r="S293" s="580"/>
      <c r="T293" s="580"/>
      <c r="U293" s="580"/>
      <c r="V293" s="580"/>
      <c r="W293" s="580"/>
      <c r="X293" s="580"/>
      <c r="Y293" s="580"/>
      <c r="Z293" s="580"/>
      <c r="AA293" s="580"/>
      <c r="AB293" s="580"/>
      <c r="AC293" s="580"/>
      <c r="AD293" s="580"/>
      <c r="AE293" s="581"/>
      <c r="AF293" s="580"/>
      <c r="AG293" s="581"/>
      <c r="AH293" s="580"/>
      <c r="AI293" s="580"/>
      <c r="AJ293" s="580"/>
      <c r="AK293" s="580"/>
      <c r="AL293" s="580"/>
      <c r="AM293" s="580"/>
      <c r="AN293" s="580"/>
      <c r="AO293" s="580"/>
      <c r="AP293" s="580"/>
      <c r="AQ293" s="580"/>
      <c r="AR293" s="580"/>
      <c r="AS293" s="580"/>
      <c r="AT293" s="580"/>
      <c r="AU293" s="580"/>
      <c r="AV293" s="580"/>
      <c r="AW293" s="580"/>
      <c r="AX293" s="580"/>
      <c r="AY293" s="580"/>
      <c r="AZ293" s="580"/>
      <c r="BA293" s="580"/>
      <c r="BB293" s="580"/>
      <c r="BC293" s="580"/>
      <c r="BD293" s="580"/>
      <c r="BE293" s="580"/>
      <c r="BF293" s="580"/>
      <c r="BG293" s="580"/>
      <c r="BH293" s="580"/>
      <c r="BI293" s="580"/>
      <c r="BJ293" s="580"/>
      <c r="BK293" s="580"/>
      <c r="BL293" s="580"/>
      <c r="BM293" s="580"/>
      <c r="BN293" s="580"/>
      <c r="BO293" s="581"/>
      <c r="BP293" s="580"/>
      <c r="BQ293" s="581"/>
      <c r="BR293" s="580"/>
      <c r="BS293" s="580"/>
      <c r="BT293" s="580"/>
      <c r="BU293" s="580"/>
      <c r="BV293" s="580"/>
      <c r="BW293" s="580"/>
      <c r="BX293" s="580"/>
      <c r="BY293" s="581"/>
      <c r="BZ293" s="580"/>
      <c r="CA293" s="581"/>
      <c r="CB293" s="580"/>
      <c r="CC293" s="580"/>
      <c r="CD293" s="580"/>
      <c r="CE293" s="580"/>
      <c r="CF293" s="580"/>
      <c r="CG293" s="580"/>
    </row>
    <row r="294" spans="1:85" ht="24" customHeight="1">
      <c r="A294" s="580"/>
      <c r="B294" s="580"/>
      <c r="C294" s="580"/>
      <c r="D294" s="580"/>
      <c r="E294" s="580"/>
      <c r="F294" s="580"/>
      <c r="G294" s="580"/>
      <c r="H294" s="580"/>
      <c r="I294" s="580"/>
      <c r="J294" s="580"/>
      <c r="K294" s="581"/>
      <c r="L294" s="580"/>
      <c r="M294" s="580"/>
      <c r="N294" s="580"/>
      <c r="O294" s="580"/>
      <c r="P294" s="580"/>
      <c r="Q294" s="580"/>
      <c r="R294" s="580"/>
      <c r="S294" s="580"/>
      <c r="T294" s="580"/>
      <c r="U294" s="580"/>
      <c r="V294" s="580"/>
      <c r="W294" s="580"/>
      <c r="X294" s="580"/>
      <c r="Y294" s="580"/>
      <c r="Z294" s="580"/>
      <c r="AA294" s="580"/>
      <c r="AB294" s="580"/>
      <c r="AC294" s="580"/>
      <c r="AD294" s="580"/>
      <c r="AE294" s="581"/>
      <c r="AF294" s="580"/>
      <c r="AG294" s="581"/>
      <c r="AH294" s="580"/>
      <c r="AI294" s="580"/>
      <c r="AJ294" s="580"/>
      <c r="AK294" s="580"/>
      <c r="AL294" s="580"/>
      <c r="AM294" s="580"/>
      <c r="AN294" s="580"/>
      <c r="AO294" s="580"/>
      <c r="AP294" s="580"/>
      <c r="AQ294" s="580"/>
      <c r="AR294" s="580"/>
      <c r="AS294" s="580"/>
      <c r="AT294" s="580"/>
      <c r="AU294" s="580"/>
      <c r="AV294" s="580"/>
      <c r="AW294" s="580"/>
      <c r="AX294" s="580"/>
      <c r="AY294" s="580"/>
      <c r="AZ294" s="580"/>
      <c r="BA294" s="580"/>
      <c r="BB294" s="580"/>
      <c r="BC294" s="580"/>
      <c r="BD294" s="580"/>
      <c r="BE294" s="580"/>
      <c r="BF294" s="580"/>
      <c r="BG294" s="580"/>
      <c r="BH294" s="580"/>
      <c r="BI294" s="580"/>
      <c r="BJ294" s="580"/>
      <c r="BK294" s="580"/>
      <c r="BL294" s="580"/>
      <c r="BM294" s="580"/>
      <c r="BN294" s="580"/>
      <c r="BO294" s="581"/>
      <c r="BP294" s="580"/>
      <c r="BQ294" s="581"/>
      <c r="BR294" s="580"/>
      <c r="BS294" s="580"/>
      <c r="BT294" s="580"/>
      <c r="BU294" s="580"/>
      <c r="BV294" s="580"/>
      <c r="BW294" s="580"/>
      <c r="BX294" s="580"/>
      <c r="BY294" s="581"/>
      <c r="BZ294" s="580"/>
      <c r="CA294" s="581"/>
      <c r="CB294" s="580"/>
      <c r="CC294" s="580"/>
      <c r="CD294" s="580"/>
      <c r="CE294" s="580"/>
      <c r="CF294" s="580"/>
      <c r="CG294" s="580"/>
    </row>
    <row r="295" spans="1:85" ht="24" customHeight="1">
      <c r="A295" s="580"/>
      <c r="B295" s="580"/>
      <c r="C295" s="580"/>
      <c r="D295" s="580"/>
      <c r="E295" s="580"/>
      <c r="F295" s="580"/>
      <c r="G295" s="580"/>
      <c r="H295" s="580"/>
      <c r="I295" s="580"/>
      <c r="J295" s="580"/>
      <c r="K295" s="581"/>
      <c r="L295" s="580"/>
      <c r="M295" s="580"/>
      <c r="N295" s="580"/>
      <c r="O295" s="580"/>
      <c r="P295" s="580"/>
      <c r="Q295" s="580"/>
      <c r="R295" s="580"/>
      <c r="S295" s="580"/>
      <c r="T295" s="580"/>
      <c r="U295" s="580"/>
      <c r="V295" s="580"/>
      <c r="W295" s="580"/>
      <c r="X295" s="580"/>
      <c r="Y295" s="580"/>
      <c r="Z295" s="580"/>
      <c r="AA295" s="580"/>
      <c r="AB295" s="580"/>
      <c r="AC295" s="580"/>
      <c r="AD295" s="580"/>
      <c r="AE295" s="581"/>
      <c r="AF295" s="580"/>
      <c r="AG295" s="581"/>
      <c r="AH295" s="580"/>
      <c r="AI295" s="580"/>
      <c r="AJ295" s="580"/>
      <c r="AK295" s="580"/>
      <c r="AL295" s="580"/>
      <c r="AM295" s="580"/>
      <c r="AN295" s="580"/>
      <c r="AO295" s="580"/>
      <c r="AP295" s="580"/>
      <c r="AQ295" s="580"/>
      <c r="AR295" s="580"/>
      <c r="AS295" s="580"/>
      <c r="AT295" s="580"/>
      <c r="AU295" s="580"/>
      <c r="AV295" s="580"/>
      <c r="AW295" s="580"/>
      <c r="AX295" s="580"/>
      <c r="AY295" s="580"/>
      <c r="AZ295" s="580"/>
      <c r="BA295" s="580"/>
      <c r="BB295" s="580"/>
      <c r="BC295" s="580"/>
      <c r="BD295" s="580"/>
      <c r="BE295" s="580"/>
      <c r="BF295" s="580"/>
      <c r="BG295" s="580"/>
      <c r="BH295" s="580"/>
      <c r="BI295" s="580"/>
      <c r="BJ295" s="580"/>
      <c r="BK295" s="580"/>
      <c r="BL295" s="580"/>
      <c r="BM295" s="580"/>
      <c r="BN295" s="580"/>
      <c r="BO295" s="581"/>
      <c r="BP295" s="580"/>
      <c r="BQ295" s="581"/>
      <c r="BR295" s="580"/>
      <c r="BS295" s="580"/>
      <c r="BT295" s="580"/>
      <c r="BU295" s="580"/>
      <c r="BV295" s="580"/>
      <c r="BW295" s="580"/>
      <c r="BX295" s="580"/>
      <c r="BY295" s="581"/>
      <c r="BZ295" s="580"/>
      <c r="CA295" s="581"/>
      <c r="CB295" s="580"/>
      <c r="CC295" s="580"/>
      <c r="CD295" s="580"/>
      <c r="CE295" s="580"/>
      <c r="CF295" s="580"/>
      <c r="CG295" s="580"/>
    </row>
    <row r="296" spans="1:85" ht="24" customHeight="1">
      <c r="A296" s="580"/>
      <c r="B296" s="580"/>
      <c r="C296" s="580"/>
      <c r="D296" s="580"/>
      <c r="E296" s="580"/>
      <c r="F296" s="580"/>
      <c r="G296" s="580"/>
      <c r="H296" s="580"/>
      <c r="I296" s="580"/>
      <c r="J296" s="580"/>
      <c r="K296" s="581"/>
      <c r="L296" s="580"/>
      <c r="M296" s="580"/>
      <c r="N296" s="580"/>
      <c r="O296" s="580"/>
      <c r="P296" s="580"/>
      <c r="Q296" s="580"/>
      <c r="R296" s="580"/>
      <c r="S296" s="580"/>
      <c r="T296" s="580"/>
      <c r="U296" s="580"/>
      <c r="V296" s="580"/>
      <c r="W296" s="580"/>
      <c r="X296" s="580"/>
      <c r="Y296" s="580"/>
      <c r="Z296" s="580"/>
      <c r="AA296" s="580"/>
      <c r="AB296" s="580"/>
      <c r="AC296" s="580"/>
      <c r="AD296" s="580"/>
      <c r="AE296" s="581"/>
      <c r="AF296" s="580"/>
      <c r="AG296" s="581"/>
      <c r="AH296" s="580"/>
      <c r="AI296" s="580"/>
      <c r="AJ296" s="580"/>
      <c r="AK296" s="580"/>
      <c r="AL296" s="580"/>
      <c r="AM296" s="580"/>
      <c r="AN296" s="580"/>
      <c r="AO296" s="580"/>
      <c r="AP296" s="580"/>
      <c r="AQ296" s="580"/>
      <c r="AR296" s="580"/>
      <c r="AS296" s="580"/>
      <c r="AT296" s="580"/>
      <c r="AU296" s="580"/>
      <c r="AV296" s="580"/>
      <c r="AW296" s="580"/>
      <c r="AX296" s="580"/>
      <c r="AY296" s="580"/>
      <c r="AZ296" s="580"/>
      <c r="BA296" s="580"/>
      <c r="BB296" s="580"/>
      <c r="BC296" s="580"/>
      <c r="BD296" s="580"/>
      <c r="BE296" s="580"/>
      <c r="BF296" s="580"/>
      <c r="BG296" s="580"/>
      <c r="BH296" s="580"/>
      <c r="BI296" s="580"/>
      <c r="BJ296" s="580"/>
      <c r="BK296" s="580"/>
      <c r="BL296" s="580"/>
      <c r="BM296" s="580"/>
      <c r="BN296" s="580"/>
      <c r="BO296" s="581"/>
      <c r="BP296" s="580"/>
      <c r="BQ296" s="581"/>
      <c r="BR296" s="580"/>
      <c r="BS296" s="580"/>
      <c r="BT296" s="580"/>
      <c r="BU296" s="580"/>
      <c r="BV296" s="580"/>
      <c r="BW296" s="580"/>
      <c r="BX296" s="580"/>
      <c r="BY296" s="581"/>
      <c r="BZ296" s="580"/>
      <c r="CA296" s="581"/>
      <c r="CB296" s="580"/>
      <c r="CC296" s="580"/>
      <c r="CD296" s="580"/>
      <c r="CE296" s="580"/>
      <c r="CF296" s="580"/>
      <c r="CG296" s="580"/>
    </row>
    <row r="297" spans="1:85" ht="24" customHeight="1">
      <c r="A297" s="580"/>
      <c r="B297" s="580"/>
      <c r="C297" s="580"/>
      <c r="D297" s="580"/>
      <c r="E297" s="580"/>
      <c r="F297" s="580"/>
      <c r="G297" s="580"/>
      <c r="H297" s="580"/>
      <c r="I297" s="580"/>
      <c r="J297" s="580"/>
      <c r="K297" s="581"/>
      <c r="L297" s="580"/>
      <c r="M297" s="580"/>
      <c r="N297" s="580"/>
      <c r="O297" s="580"/>
      <c r="P297" s="580"/>
      <c r="Q297" s="580"/>
      <c r="R297" s="580"/>
      <c r="S297" s="580"/>
      <c r="T297" s="580"/>
      <c r="U297" s="580"/>
      <c r="V297" s="580"/>
      <c r="W297" s="580"/>
      <c r="X297" s="580"/>
      <c r="Y297" s="580"/>
      <c r="Z297" s="580"/>
      <c r="AA297" s="580"/>
      <c r="AB297" s="580"/>
      <c r="AC297" s="580"/>
      <c r="AD297" s="580"/>
      <c r="AE297" s="581"/>
      <c r="AF297" s="580"/>
      <c r="AG297" s="581"/>
      <c r="AH297" s="580"/>
      <c r="AI297" s="580"/>
      <c r="AJ297" s="580"/>
      <c r="AK297" s="580"/>
      <c r="AL297" s="580"/>
      <c r="AM297" s="580"/>
      <c r="AN297" s="580"/>
      <c r="AO297" s="580"/>
      <c r="AP297" s="580"/>
      <c r="AQ297" s="580"/>
      <c r="AR297" s="580"/>
      <c r="AS297" s="580"/>
      <c r="AT297" s="580"/>
      <c r="AU297" s="580"/>
      <c r="AV297" s="580"/>
      <c r="AW297" s="580"/>
      <c r="AX297" s="580"/>
      <c r="AY297" s="580"/>
      <c r="AZ297" s="580"/>
      <c r="BA297" s="580"/>
      <c r="BB297" s="580"/>
      <c r="BC297" s="580"/>
      <c r="BD297" s="580"/>
      <c r="BE297" s="580"/>
      <c r="BF297" s="580"/>
      <c r="BG297" s="580"/>
      <c r="BH297" s="580"/>
      <c r="BI297" s="580"/>
      <c r="BJ297" s="580"/>
      <c r="BK297" s="580"/>
      <c r="BL297" s="580"/>
      <c r="BM297" s="580"/>
      <c r="BN297" s="580"/>
      <c r="BO297" s="581"/>
      <c r="BP297" s="580"/>
      <c r="BQ297" s="581"/>
      <c r="BR297" s="580"/>
      <c r="BS297" s="580"/>
      <c r="BT297" s="580"/>
      <c r="BU297" s="580"/>
      <c r="BV297" s="580"/>
      <c r="BW297" s="580"/>
      <c r="BX297" s="580"/>
      <c r="BY297" s="581"/>
      <c r="BZ297" s="580"/>
      <c r="CA297" s="581"/>
      <c r="CB297" s="580"/>
      <c r="CC297" s="580"/>
      <c r="CD297" s="580"/>
      <c r="CE297" s="580"/>
      <c r="CF297" s="580"/>
      <c r="CG297" s="580"/>
    </row>
    <row r="298" spans="1:85" ht="24" customHeight="1">
      <c r="A298" s="580"/>
      <c r="B298" s="580"/>
      <c r="C298" s="580"/>
      <c r="D298" s="580"/>
      <c r="E298" s="580"/>
      <c r="F298" s="580"/>
      <c r="G298" s="580"/>
      <c r="H298" s="580"/>
      <c r="I298" s="580"/>
      <c r="J298" s="580"/>
      <c r="K298" s="581"/>
      <c r="L298" s="580"/>
      <c r="M298" s="580"/>
      <c r="N298" s="580"/>
      <c r="O298" s="580"/>
      <c r="P298" s="580"/>
      <c r="Q298" s="580"/>
      <c r="R298" s="580"/>
      <c r="S298" s="580"/>
      <c r="T298" s="580"/>
      <c r="U298" s="580"/>
      <c r="V298" s="580"/>
      <c r="W298" s="580"/>
      <c r="X298" s="580"/>
      <c r="Y298" s="580"/>
      <c r="Z298" s="580"/>
      <c r="AA298" s="580"/>
      <c r="AB298" s="580"/>
      <c r="AC298" s="580"/>
      <c r="AD298" s="580"/>
      <c r="AE298" s="581"/>
      <c r="AF298" s="580"/>
      <c r="AG298" s="581"/>
      <c r="AH298" s="580"/>
      <c r="AI298" s="580"/>
      <c r="AJ298" s="580"/>
      <c r="AK298" s="580"/>
      <c r="AL298" s="580"/>
      <c r="AM298" s="580"/>
      <c r="AN298" s="580"/>
      <c r="AO298" s="580"/>
      <c r="AP298" s="580"/>
      <c r="AQ298" s="580"/>
      <c r="AR298" s="580"/>
      <c r="AS298" s="580"/>
      <c r="AT298" s="580"/>
      <c r="AU298" s="580"/>
      <c r="AV298" s="580"/>
      <c r="AW298" s="580"/>
      <c r="AX298" s="580"/>
      <c r="AY298" s="580"/>
      <c r="AZ298" s="580"/>
      <c r="BA298" s="580"/>
      <c r="BB298" s="580"/>
      <c r="BC298" s="580"/>
      <c r="BD298" s="580"/>
      <c r="BE298" s="580"/>
      <c r="BF298" s="580"/>
      <c r="BG298" s="580"/>
      <c r="BH298" s="580"/>
      <c r="BI298" s="580"/>
      <c r="BJ298" s="580"/>
      <c r="BK298" s="580"/>
      <c r="BL298" s="580"/>
      <c r="BM298" s="580"/>
      <c r="BN298" s="580"/>
      <c r="BO298" s="581"/>
      <c r="BP298" s="580"/>
      <c r="BQ298" s="581"/>
      <c r="BR298" s="580"/>
      <c r="BS298" s="580"/>
      <c r="BT298" s="580"/>
      <c r="BU298" s="580"/>
      <c r="BV298" s="580"/>
      <c r="BW298" s="580"/>
      <c r="BX298" s="580"/>
      <c r="BY298" s="581"/>
      <c r="BZ298" s="580"/>
      <c r="CA298" s="581"/>
      <c r="CB298" s="580"/>
      <c r="CC298" s="580"/>
      <c r="CD298" s="580"/>
      <c r="CE298" s="580"/>
      <c r="CF298" s="580"/>
      <c r="CG298" s="580"/>
    </row>
    <row r="299" spans="1:85" ht="24" customHeight="1">
      <c r="A299" s="580"/>
      <c r="B299" s="580"/>
      <c r="C299" s="580"/>
      <c r="D299" s="580"/>
      <c r="E299" s="580"/>
      <c r="F299" s="580"/>
      <c r="G299" s="580"/>
      <c r="H299" s="580"/>
      <c r="I299" s="580"/>
      <c r="J299" s="580"/>
      <c r="K299" s="581"/>
      <c r="L299" s="580"/>
      <c r="M299" s="580"/>
      <c r="N299" s="580"/>
      <c r="O299" s="580"/>
      <c r="P299" s="580"/>
      <c r="Q299" s="580"/>
      <c r="R299" s="580"/>
      <c r="S299" s="580"/>
      <c r="T299" s="580"/>
      <c r="U299" s="580"/>
      <c r="V299" s="580"/>
      <c r="W299" s="580"/>
      <c r="X299" s="580"/>
      <c r="Y299" s="580"/>
      <c r="Z299" s="580"/>
      <c r="AA299" s="580"/>
      <c r="AB299" s="580"/>
      <c r="AC299" s="580"/>
      <c r="AD299" s="580"/>
      <c r="AE299" s="581"/>
      <c r="AF299" s="580"/>
      <c r="AG299" s="581"/>
      <c r="AH299" s="580"/>
      <c r="AI299" s="580"/>
      <c r="AJ299" s="580"/>
      <c r="AK299" s="580"/>
      <c r="AL299" s="580"/>
      <c r="AM299" s="580"/>
      <c r="AN299" s="580"/>
      <c r="AO299" s="580"/>
      <c r="AP299" s="580"/>
      <c r="AQ299" s="580"/>
      <c r="AR299" s="580"/>
      <c r="AS299" s="580"/>
      <c r="AT299" s="580"/>
      <c r="AU299" s="580"/>
      <c r="AV299" s="580"/>
      <c r="AW299" s="580"/>
      <c r="AX299" s="580"/>
      <c r="AY299" s="580"/>
      <c r="AZ299" s="580"/>
      <c r="BA299" s="580"/>
      <c r="BB299" s="580"/>
      <c r="BC299" s="580"/>
      <c r="BD299" s="580"/>
      <c r="BE299" s="580"/>
      <c r="BF299" s="580"/>
      <c r="BG299" s="580"/>
      <c r="BH299" s="580"/>
      <c r="BI299" s="580"/>
      <c r="BJ299" s="580"/>
      <c r="BK299" s="580"/>
      <c r="BL299" s="580"/>
      <c r="BM299" s="580"/>
      <c r="BN299" s="580"/>
      <c r="BO299" s="581"/>
      <c r="BP299" s="580"/>
      <c r="BQ299" s="581"/>
      <c r="BR299" s="580"/>
      <c r="BS299" s="580"/>
      <c r="BT299" s="580"/>
      <c r="BU299" s="580"/>
      <c r="BV299" s="580"/>
      <c r="BW299" s="580"/>
      <c r="BX299" s="580"/>
      <c r="BY299" s="581"/>
      <c r="BZ299" s="580"/>
      <c r="CA299" s="581"/>
      <c r="CB299" s="580"/>
      <c r="CC299" s="580"/>
      <c r="CD299" s="580"/>
      <c r="CE299" s="580"/>
      <c r="CF299" s="580"/>
      <c r="CG299" s="580"/>
    </row>
    <row r="300" spans="1:85" ht="24" customHeight="1">
      <c r="A300" s="580"/>
      <c r="B300" s="580"/>
      <c r="C300" s="580"/>
      <c r="D300" s="580"/>
      <c r="E300" s="580"/>
      <c r="F300" s="580"/>
      <c r="G300" s="580"/>
      <c r="H300" s="580"/>
      <c r="I300" s="580"/>
      <c r="J300" s="580"/>
      <c r="K300" s="581"/>
      <c r="L300" s="580"/>
      <c r="M300" s="580"/>
      <c r="N300" s="580"/>
      <c r="O300" s="580"/>
      <c r="P300" s="580"/>
      <c r="Q300" s="580"/>
      <c r="R300" s="580"/>
      <c r="S300" s="580"/>
      <c r="T300" s="580"/>
      <c r="U300" s="580"/>
      <c r="V300" s="580"/>
      <c r="W300" s="580"/>
      <c r="X300" s="580"/>
      <c r="Y300" s="580"/>
      <c r="Z300" s="580"/>
      <c r="AA300" s="580"/>
      <c r="AB300" s="580"/>
      <c r="AC300" s="580"/>
      <c r="AD300" s="580"/>
      <c r="AE300" s="581"/>
      <c r="AF300" s="580"/>
      <c r="AG300" s="581"/>
      <c r="AH300" s="580"/>
      <c r="AI300" s="580"/>
      <c r="AJ300" s="580"/>
      <c r="AK300" s="580"/>
      <c r="AL300" s="580"/>
      <c r="AM300" s="580"/>
      <c r="AN300" s="580"/>
      <c r="AO300" s="580"/>
      <c r="AP300" s="580"/>
      <c r="AQ300" s="580"/>
      <c r="AR300" s="580"/>
      <c r="AS300" s="580"/>
      <c r="AT300" s="580"/>
      <c r="AU300" s="580"/>
      <c r="AV300" s="580"/>
      <c r="AW300" s="580"/>
      <c r="AX300" s="580"/>
      <c r="AY300" s="580"/>
      <c r="AZ300" s="580"/>
      <c r="BA300" s="580"/>
      <c r="BB300" s="580"/>
      <c r="BC300" s="580"/>
      <c r="BD300" s="580"/>
      <c r="BE300" s="580"/>
      <c r="BF300" s="580"/>
      <c r="BG300" s="580"/>
      <c r="BH300" s="580"/>
      <c r="BI300" s="580"/>
      <c r="BJ300" s="580"/>
      <c r="BK300" s="580"/>
      <c r="BL300" s="580"/>
      <c r="BM300" s="580"/>
      <c r="BN300" s="580"/>
      <c r="BO300" s="581"/>
      <c r="BP300" s="580"/>
      <c r="BQ300" s="581"/>
      <c r="BR300" s="580"/>
      <c r="BS300" s="580"/>
      <c r="BT300" s="580"/>
      <c r="BU300" s="580"/>
      <c r="BV300" s="580"/>
      <c r="BW300" s="580"/>
      <c r="BX300" s="580"/>
      <c r="BY300" s="581"/>
      <c r="BZ300" s="580"/>
      <c r="CA300" s="581"/>
      <c r="CB300" s="580"/>
      <c r="CC300" s="580"/>
      <c r="CD300" s="580"/>
      <c r="CE300" s="580"/>
      <c r="CF300" s="580"/>
      <c r="CG300" s="580"/>
    </row>
    <row r="301" spans="1:85" ht="24" customHeight="1">
      <c r="A301" s="580"/>
      <c r="B301" s="580"/>
      <c r="C301" s="580"/>
      <c r="D301" s="580"/>
      <c r="E301" s="580"/>
      <c r="F301" s="580"/>
      <c r="G301" s="580"/>
      <c r="H301" s="580"/>
      <c r="I301" s="580"/>
      <c r="J301" s="580"/>
      <c r="K301" s="581"/>
      <c r="L301" s="580"/>
      <c r="M301" s="580"/>
      <c r="N301" s="580"/>
      <c r="O301" s="580"/>
      <c r="P301" s="580"/>
      <c r="Q301" s="580"/>
      <c r="R301" s="580"/>
      <c r="S301" s="580"/>
      <c r="T301" s="580"/>
      <c r="U301" s="580"/>
      <c r="V301" s="580"/>
      <c r="W301" s="580"/>
      <c r="X301" s="580"/>
      <c r="Y301" s="580"/>
      <c r="Z301" s="580"/>
      <c r="AA301" s="580"/>
      <c r="AB301" s="580"/>
      <c r="AC301" s="580"/>
      <c r="AD301" s="580"/>
      <c r="AE301" s="581"/>
      <c r="AF301" s="580"/>
      <c r="AG301" s="581"/>
      <c r="AH301" s="580"/>
      <c r="AI301" s="580"/>
      <c r="AJ301" s="580"/>
      <c r="AK301" s="580"/>
      <c r="AL301" s="580"/>
      <c r="AM301" s="580"/>
      <c r="AN301" s="580"/>
      <c r="AO301" s="580"/>
      <c r="AP301" s="580"/>
      <c r="AQ301" s="580"/>
      <c r="AR301" s="580"/>
      <c r="AS301" s="580"/>
      <c r="AT301" s="580"/>
      <c r="AU301" s="580"/>
      <c r="AV301" s="580"/>
      <c r="AW301" s="580"/>
      <c r="AX301" s="580"/>
      <c r="AY301" s="580"/>
      <c r="AZ301" s="580"/>
      <c r="BA301" s="580"/>
      <c r="BB301" s="580"/>
      <c r="BC301" s="580"/>
      <c r="BD301" s="580"/>
      <c r="BE301" s="580"/>
      <c r="BF301" s="580"/>
      <c r="BG301" s="580"/>
      <c r="BH301" s="580"/>
      <c r="BI301" s="580"/>
      <c r="BJ301" s="580"/>
      <c r="BK301" s="580"/>
      <c r="BL301" s="580"/>
      <c r="BM301" s="580"/>
      <c r="BN301" s="580"/>
      <c r="BO301" s="581"/>
      <c r="BP301" s="580"/>
      <c r="BQ301" s="581"/>
      <c r="BR301" s="580"/>
      <c r="BS301" s="580"/>
      <c r="BT301" s="580"/>
      <c r="BU301" s="580"/>
      <c r="BV301" s="580"/>
      <c r="BW301" s="580"/>
      <c r="BX301" s="580"/>
      <c r="BY301" s="581"/>
      <c r="BZ301" s="580"/>
      <c r="CA301" s="581"/>
      <c r="CB301" s="580"/>
      <c r="CC301" s="580"/>
      <c r="CD301" s="580"/>
      <c r="CE301" s="580"/>
      <c r="CF301" s="580"/>
      <c r="CG301" s="580"/>
    </row>
    <row r="302" spans="1:85" ht="24" customHeight="1">
      <c r="A302" s="580"/>
      <c r="B302" s="580"/>
      <c r="C302" s="580"/>
      <c r="D302" s="580"/>
      <c r="E302" s="580"/>
      <c r="F302" s="580"/>
      <c r="G302" s="580"/>
      <c r="H302" s="580"/>
      <c r="I302" s="580"/>
      <c r="J302" s="580"/>
      <c r="K302" s="581"/>
      <c r="L302" s="580"/>
      <c r="M302" s="580"/>
      <c r="N302" s="580"/>
      <c r="O302" s="580"/>
      <c r="P302" s="580"/>
      <c r="Q302" s="580"/>
      <c r="R302" s="580"/>
      <c r="S302" s="580"/>
      <c r="T302" s="580"/>
      <c r="U302" s="580"/>
      <c r="V302" s="580"/>
      <c r="W302" s="580"/>
      <c r="X302" s="580"/>
      <c r="Y302" s="580"/>
      <c r="Z302" s="580"/>
      <c r="AA302" s="580"/>
      <c r="AB302" s="580"/>
      <c r="AC302" s="580"/>
      <c r="AD302" s="580"/>
      <c r="AE302" s="581"/>
      <c r="AF302" s="580"/>
      <c r="AG302" s="581"/>
      <c r="AH302" s="580"/>
      <c r="AI302" s="580"/>
      <c r="AJ302" s="580"/>
      <c r="AK302" s="580"/>
      <c r="AL302" s="580"/>
      <c r="AM302" s="580"/>
      <c r="AN302" s="580"/>
      <c r="AO302" s="580"/>
      <c r="AP302" s="580"/>
      <c r="AQ302" s="580"/>
      <c r="AR302" s="580"/>
      <c r="AS302" s="580"/>
      <c r="AT302" s="580"/>
      <c r="AU302" s="580"/>
      <c r="AV302" s="580"/>
      <c r="AW302" s="580"/>
      <c r="AX302" s="580"/>
      <c r="AY302" s="580"/>
      <c r="AZ302" s="580"/>
      <c r="BA302" s="580"/>
      <c r="BB302" s="580"/>
      <c r="BC302" s="580"/>
      <c r="BD302" s="580"/>
      <c r="BE302" s="580"/>
      <c r="BF302" s="580"/>
      <c r="BG302" s="580"/>
      <c r="BH302" s="580"/>
      <c r="BI302" s="580"/>
      <c r="BJ302" s="580"/>
      <c r="BK302" s="580"/>
      <c r="BL302" s="580"/>
      <c r="BM302" s="580"/>
      <c r="BN302" s="580"/>
      <c r="BO302" s="581"/>
      <c r="BP302" s="580"/>
      <c r="BQ302" s="581"/>
      <c r="BR302" s="580"/>
      <c r="BS302" s="580"/>
      <c r="BT302" s="580"/>
      <c r="BU302" s="580"/>
      <c r="BV302" s="580"/>
      <c r="BW302" s="580"/>
      <c r="BX302" s="580"/>
      <c r="BY302" s="581"/>
      <c r="BZ302" s="580"/>
      <c r="CA302" s="581"/>
      <c r="CB302" s="580"/>
      <c r="CC302" s="580"/>
      <c r="CD302" s="580"/>
      <c r="CE302" s="580"/>
      <c r="CF302" s="580"/>
      <c r="CG302" s="580"/>
    </row>
    <row r="303" spans="1:85" ht="24" customHeight="1">
      <c r="A303" s="580"/>
      <c r="B303" s="580"/>
      <c r="C303" s="580"/>
      <c r="D303" s="580"/>
      <c r="E303" s="580"/>
      <c r="F303" s="580"/>
      <c r="G303" s="580"/>
      <c r="H303" s="580"/>
      <c r="I303" s="580"/>
      <c r="J303" s="580"/>
      <c r="K303" s="581"/>
      <c r="L303" s="580"/>
      <c r="M303" s="580"/>
      <c r="N303" s="580"/>
      <c r="O303" s="580"/>
      <c r="P303" s="580"/>
      <c r="Q303" s="580"/>
      <c r="R303" s="580"/>
      <c r="S303" s="580"/>
      <c r="T303" s="580"/>
      <c r="U303" s="580"/>
      <c r="V303" s="580"/>
      <c r="W303" s="580"/>
      <c r="X303" s="580"/>
      <c r="Y303" s="580"/>
      <c r="Z303" s="580"/>
      <c r="AA303" s="580"/>
      <c r="AB303" s="580"/>
      <c r="AC303" s="580"/>
      <c r="AD303" s="580"/>
      <c r="AE303" s="581"/>
      <c r="AF303" s="580"/>
      <c r="AG303" s="581"/>
      <c r="AH303" s="580"/>
      <c r="AI303" s="580"/>
      <c r="AJ303" s="580"/>
      <c r="AK303" s="580"/>
      <c r="AL303" s="580"/>
      <c r="AM303" s="580"/>
      <c r="AN303" s="580"/>
      <c r="AO303" s="580"/>
      <c r="AP303" s="580"/>
      <c r="AQ303" s="580"/>
      <c r="AR303" s="580"/>
      <c r="AS303" s="580"/>
      <c r="AT303" s="580"/>
      <c r="AU303" s="580"/>
      <c r="AV303" s="580"/>
      <c r="AW303" s="580"/>
      <c r="AX303" s="580"/>
      <c r="AY303" s="580"/>
      <c r="AZ303" s="580"/>
      <c r="BA303" s="580"/>
      <c r="BB303" s="580"/>
      <c r="BC303" s="580"/>
      <c r="BD303" s="580"/>
      <c r="BE303" s="580"/>
      <c r="BF303" s="580"/>
      <c r="BG303" s="580"/>
      <c r="BH303" s="580"/>
      <c r="BI303" s="580"/>
      <c r="BJ303" s="580"/>
      <c r="BK303" s="580"/>
      <c r="BL303" s="580"/>
      <c r="BM303" s="580"/>
      <c r="BN303" s="580"/>
      <c r="BO303" s="581"/>
      <c r="BP303" s="580"/>
      <c r="BQ303" s="581"/>
      <c r="BR303" s="580"/>
      <c r="BS303" s="580"/>
      <c r="BT303" s="580"/>
      <c r="BU303" s="580"/>
      <c r="BV303" s="580"/>
      <c r="BW303" s="580"/>
      <c r="BX303" s="580"/>
      <c r="BY303" s="581"/>
      <c r="BZ303" s="580"/>
      <c r="CA303" s="581"/>
      <c r="CB303" s="580"/>
      <c r="CC303" s="580"/>
      <c r="CD303" s="580"/>
      <c r="CE303" s="580"/>
      <c r="CF303" s="580"/>
      <c r="CG303" s="580"/>
    </row>
    <row r="304" spans="1:85" ht="24" customHeight="1">
      <c r="A304" s="580"/>
      <c r="B304" s="580"/>
      <c r="C304" s="580"/>
      <c r="D304" s="580"/>
      <c r="E304" s="580"/>
      <c r="F304" s="580"/>
      <c r="G304" s="580"/>
      <c r="H304" s="580"/>
      <c r="I304" s="580"/>
      <c r="J304" s="580"/>
      <c r="K304" s="581"/>
      <c r="L304" s="580"/>
      <c r="M304" s="580"/>
      <c r="N304" s="580"/>
      <c r="O304" s="580"/>
      <c r="P304" s="580"/>
      <c r="Q304" s="580"/>
      <c r="R304" s="580"/>
      <c r="S304" s="580"/>
      <c r="T304" s="580"/>
      <c r="U304" s="580"/>
      <c r="V304" s="580"/>
      <c r="W304" s="580"/>
      <c r="X304" s="580"/>
      <c r="Y304" s="580"/>
      <c r="Z304" s="580"/>
      <c r="AA304" s="580"/>
      <c r="AB304" s="580"/>
      <c r="AC304" s="580"/>
      <c r="AD304" s="580"/>
      <c r="AE304" s="581"/>
      <c r="AF304" s="580"/>
      <c r="AG304" s="581"/>
      <c r="AH304" s="580"/>
      <c r="AI304" s="580"/>
      <c r="AJ304" s="580"/>
      <c r="AK304" s="580"/>
      <c r="AL304" s="580"/>
      <c r="AM304" s="580"/>
      <c r="AN304" s="580"/>
      <c r="AO304" s="580"/>
      <c r="AP304" s="580"/>
      <c r="AQ304" s="580"/>
      <c r="AR304" s="580"/>
      <c r="AS304" s="580"/>
      <c r="AT304" s="580"/>
      <c r="AU304" s="580"/>
      <c r="AV304" s="580"/>
      <c r="AW304" s="580"/>
      <c r="AX304" s="580"/>
      <c r="AY304" s="580"/>
      <c r="AZ304" s="580"/>
      <c r="BA304" s="580"/>
      <c r="BB304" s="580"/>
      <c r="BC304" s="580"/>
      <c r="BD304" s="580"/>
      <c r="BE304" s="580"/>
      <c r="BF304" s="580"/>
      <c r="BG304" s="580"/>
      <c r="BH304" s="580"/>
      <c r="BI304" s="580"/>
      <c r="BJ304" s="580"/>
      <c r="BK304" s="580"/>
      <c r="BL304" s="580"/>
      <c r="BM304" s="580"/>
      <c r="BN304" s="580"/>
      <c r="BO304" s="581"/>
      <c r="BP304" s="580"/>
      <c r="BQ304" s="581"/>
      <c r="BR304" s="580"/>
      <c r="BS304" s="580"/>
      <c r="BT304" s="580"/>
      <c r="BU304" s="580"/>
      <c r="BV304" s="580"/>
      <c r="BW304" s="580"/>
      <c r="BX304" s="580"/>
      <c r="BY304" s="581"/>
      <c r="BZ304" s="580"/>
      <c r="CA304" s="581"/>
      <c r="CB304" s="580"/>
      <c r="CC304" s="580"/>
      <c r="CD304" s="580"/>
      <c r="CE304" s="580"/>
      <c r="CF304" s="580"/>
      <c r="CG304" s="580"/>
    </row>
    <row r="305" spans="1:85" ht="24" customHeight="1">
      <c r="A305" s="580"/>
      <c r="B305" s="580"/>
      <c r="C305" s="580"/>
      <c r="D305" s="580"/>
      <c r="E305" s="580"/>
      <c r="F305" s="580"/>
      <c r="G305" s="580"/>
      <c r="H305" s="580"/>
      <c r="I305" s="580"/>
      <c r="J305" s="580"/>
      <c r="K305" s="581"/>
      <c r="L305" s="580"/>
      <c r="M305" s="580"/>
      <c r="N305" s="580"/>
      <c r="O305" s="580"/>
      <c r="P305" s="580"/>
      <c r="Q305" s="580"/>
      <c r="R305" s="580"/>
      <c r="S305" s="580"/>
      <c r="T305" s="580"/>
      <c r="U305" s="580"/>
      <c r="V305" s="580"/>
      <c r="W305" s="580"/>
      <c r="X305" s="580"/>
      <c r="Y305" s="580"/>
      <c r="Z305" s="580"/>
      <c r="AA305" s="580"/>
      <c r="AB305" s="580"/>
      <c r="AC305" s="580"/>
      <c r="AD305" s="580"/>
      <c r="AE305" s="581"/>
      <c r="AF305" s="580"/>
      <c r="AG305" s="581"/>
      <c r="AH305" s="580"/>
      <c r="AI305" s="580"/>
      <c r="AJ305" s="580"/>
      <c r="AK305" s="580"/>
      <c r="AL305" s="580"/>
      <c r="AM305" s="580"/>
      <c r="AN305" s="580"/>
      <c r="AO305" s="580"/>
      <c r="AP305" s="580"/>
      <c r="AQ305" s="580"/>
      <c r="AR305" s="580"/>
      <c r="AS305" s="580"/>
      <c r="AT305" s="580"/>
      <c r="AU305" s="580"/>
      <c r="AV305" s="580"/>
      <c r="AW305" s="580"/>
      <c r="AX305" s="580"/>
      <c r="AY305" s="580"/>
      <c r="AZ305" s="580"/>
      <c r="BA305" s="580"/>
      <c r="BB305" s="580"/>
      <c r="BC305" s="580"/>
      <c r="BD305" s="580"/>
      <c r="BE305" s="580"/>
      <c r="BF305" s="580"/>
      <c r="BG305" s="580"/>
      <c r="BH305" s="580"/>
      <c r="BI305" s="580"/>
      <c r="BJ305" s="580"/>
      <c r="BK305" s="580"/>
      <c r="BL305" s="580"/>
      <c r="BM305" s="580"/>
      <c r="BN305" s="580"/>
      <c r="BO305" s="581"/>
      <c r="BP305" s="580"/>
      <c r="BQ305" s="581"/>
      <c r="BR305" s="580"/>
      <c r="BS305" s="580"/>
      <c r="BT305" s="580"/>
      <c r="BU305" s="580"/>
      <c r="BV305" s="580"/>
      <c r="BW305" s="580"/>
      <c r="BX305" s="580"/>
      <c r="BY305" s="581"/>
      <c r="BZ305" s="580"/>
      <c r="CA305" s="581"/>
      <c r="CB305" s="580"/>
      <c r="CC305" s="580"/>
      <c r="CD305" s="580"/>
      <c r="CE305" s="580"/>
      <c r="CF305" s="580"/>
      <c r="CG305" s="580"/>
    </row>
    <row r="306" spans="1:85" ht="24" customHeight="1">
      <c r="A306" s="580"/>
      <c r="B306" s="580"/>
      <c r="C306" s="580"/>
      <c r="D306" s="580"/>
      <c r="E306" s="580"/>
      <c r="F306" s="580"/>
      <c r="G306" s="580"/>
      <c r="H306" s="580"/>
      <c r="I306" s="580"/>
      <c r="J306" s="580"/>
      <c r="K306" s="581"/>
      <c r="L306" s="580"/>
      <c r="M306" s="580"/>
      <c r="N306" s="580"/>
      <c r="O306" s="580"/>
      <c r="P306" s="580"/>
      <c r="Q306" s="580"/>
      <c r="R306" s="580"/>
      <c r="S306" s="580"/>
      <c r="T306" s="580"/>
      <c r="U306" s="580"/>
      <c r="V306" s="580"/>
      <c r="W306" s="580"/>
      <c r="X306" s="580"/>
      <c r="Y306" s="580"/>
      <c r="Z306" s="580"/>
      <c r="AA306" s="580"/>
      <c r="AB306" s="580"/>
      <c r="AC306" s="580"/>
      <c r="AD306" s="580"/>
      <c r="AE306" s="581"/>
      <c r="AF306" s="580"/>
      <c r="AG306" s="581"/>
      <c r="AH306" s="580"/>
      <c r="AI306" s="580"/>
      <c r="AJ306" s="580"/>
      <c r="AK306" s="580"/>
      <c r="AL306" s="580"/>
      <c r="AM306" s="580"/>
      <c r="AN306" s="580"/>
      <c r="AO306" s="580"/>
      <c r="AP306" s="580"/>
      <c r="AQ306" s="580"/>
      <c r="AR306" s="580"/>
      <c r="AS306" s="580"/>
      <c r="AT306" s="580"/>
      <c r="AU306" s="580"/>
      <c r="AV306" s="580"/>
      <c r="AW306" s="580"/>
      <c r="AX306" s="580"/>
      <c r="AY306" s="580"/>
      <c r="AZ306" s="580"/>
      <c r="BA306" s="580"/>
      <c r="BB306" s="580"/>
      <c r="BC306" s="580"/>
      <c r="BD306" s="580"/>
      <c r="BE306" s="580"/>
      <c r="BF306" s="580"/>
      <c r="BG306" s="580"/>
      <c r="BH306" s="580"/>
      <c r="BI306" s="580"/>
      <c r="BJ306" s="580"/>
      <c r="BK306" s="580"/>
      <c r="BL306" s="580"/>
      <c r="BM306" s="580"/>
      <c r="BN306" s="580"/>
      <c r="BO306" s="581"/>
      <c r="BP306" s="580"/>
      <c r="BQ306" s="581"/>
      <c r="BR306" s="580"/>
      <c r="BS306" s="580"/>
      <c r="BT306" s="580"/>
      <c r="BU306" s="580"/>
      <c r="BV306" s="580"/>
      <c r="BW306" s="580"/>
      <c r="BX306" s="580"/>
      <c r="BY306" s="581"/>
      <c r="BZ306" s="580"/>
      <c r="CA306" s="581"/>
      <c r="CB306" s="580"/>
      <c r="CC306" s="580"/>
      <c r="CD306" s="580"/>
      <c r="CE306" s="580"/>
      <c r="CF306" s="580"/>
      <c r="CG306" s="580"/>
    </row>
    <row r="307" spans="1:85" ht="24" customHeight="1">
      <c r="A307" s="580"/>
      <c r="B307" s="580"/>
      <c r="C307" s="580"/>
      <c r="D307" s="580"/>
      <c r="E307" s="580"/>
      <c r="F307" s="580"/>
      <c r="G307" s="580"/>
      <c r="H307" s="580"/>
      <c r="I307" s="580"/>
      <c r="J307" s="580"/>
      <c r="K307" s="581"/>
      <c r="L307" s="580"/>
      <c r="M307" s="580"/>
      <c r="N307" s="580"/>
      <c r="O307" s="580"/>
      <c r="P307" s="580"/>
      <c r="Q307" s="580"/>
      <c r="R307" s="580"/>
      <c r="S307" s="580"/>
      <c r="T307" s="580"/>
      <c r="U307" s="580"/>
      <c r="V307" s="580"/>
      <c r="W307" s="580"/>
      <c r="X307" s="580"/>
      <c r="Y307" s="580"/>
      <c r="Z307" s="580"/>
      <c r="AA307" s="580"/>
      <c r="AB307" s="580"/>
      <c r="AC307" s="580"/>
      <c r="AD307" s="580"/>
      <c r="AE307" s="581"/>
      <c r="AF307" s="580"/>
      <c r="AG307" s="581"/>
      <c r="AH307" s="580"/>
      <c r="AI307" s="580"/>
      <c r="AJ307" s="580"/>
      <c r="AK307" s="580"/>
      <c r="AL307" s="580"/>
      <c r="AM307" s="580"/>
      <c r="AN307" s="580"/>
      <c r="AO307" s="580"/>
      <c r="AP307" s="580"/>
      <c r="AQ307" s="580"/>
      <c r="AR307" s="580"/>
      <c r="AS307" s="580"/>
      <c r="AT307" s="580"/>
      <c r="AU307" s="580"/>
      <c r="AV307" s="580"/>
      <c r="AW307" s="580"/>
      <c r="AX307" s="580"/>
      <c r="AY307" s="580"/>
      <c r="AZ307" s="580"/>
      <c r="BA307" s="580"/>
      <c r="BB307" s="580"/>
      <c r="BC307" s="580"/>
      <c r="BD307" s="580"/>
      <c r="BE307" s="580"/>
      <c r="BF307" s="580"/>
      <c r="BG307" s="580"/>
      <c r="BH307" s="580"/>
      <c r="BI307" s="580"/>
      <c r="BJ307" s="580"/>
      <c r="BK307" s="580"/>
      <c r="BL307" s="580"/>
      <c r="BM307" s="580"/>
      <c r="BN307" s="580"/>
      <c r="BO307" s="581"/>
      <c r="BP307" s="580"/>
      <c r="BQ307" s="581"/>
      <c r="BR307" s="580"/>
      <c r="BS307" s="580"/>
      <c r="BT307" s="580"/>
      <c r="BU307" s="580"/>
      <c r="BV307" s="580"/>
      <c r="BW307" s="580"/>
      <c r="BX307" s="580"/>
      <c r="BY307" s="581"/>
      <c r="BZ307" s="580"/>
      <c r="CA307" s="581"/>
      <c r="CB307" s="580"/>
      <c r="CC307" s="580"/>
      <c r="CD307" s="580"/>
      <c r="CE307" s="580"/>
      <c r="CF307" s="580"/>
      <c r="CG307" s="580"/>
    </row>
    <row r="308" spans="1:85" ht="24" customHeight="1">
      <c r="A308" s="580"/>
      <c r="B308" s="580"/>
      <c r="C308" s="580"/>
      <c r="D308" s="580"/>
      <c r="E308" s="580"/>
      <c r="F308" s="580"/>
      <c r="G308" s="580"/>
      <c r="H308" s="580"/>
      <c r="I308" s="580"/>
      <c r="J308" s="580"/>
      <c r="K308" s="581"/>
      <c r="L308" s="580"/>
      <c r="M308" s="580"/>
      <c r="N308" s="580"/>
      <c r="O308" s="580"/>
      <c r="P308" s="580"/>
      <c r="Q308" s="580"/>
      <c r="R308" s="580"/>
      <c r="S308" s="580"/>
      <c r="T308" s="580"/>
      <c r="U308" s="580"/>
      <c r="V308" s="580"/>
      <c r="W308" s="580"/>
      <c r="X308" s="580"/>
      <c r="Y308" s="580"/>
      <c r="Z308" s="580"/>
      <c r="AA308" s="580"/>
      <c r="AB308" s="580"/>
      <c r="AC308" s="580"/>
      <c r="AD308" s="580"/>
      <c r="AE308" s="581"/>
      <c r="AF308" s="580"/>
      <c r="AG308" s="581"/>
      <c r="AH308" s="580"/>
      <c r="AI308" s="580"/>
      <c r="AJ308" s="580"/>
      <c r="AK308" s="580"/>
      <c r="AL308" s="580"/>
      <c r="AM308" s="580"/>
      <c r="AN308" s="580"/>
      <c r="AO308" s="580"/>
      <c r="AP308" s="580"/>
      <c r="AQ308" s="580"/>
      <c r="AR308" s="580"/>
      <c r="AS308" s="580"/>
      <c r="AT308" s="580"/>
      <c r="AU308" s="580"/>
      <c r="AV308" s="580"/>
      <c r="AW308" s="580"/>
      <c r="AX308" s="580"/>
      <c r="AY308" s="580"/>
      <c r="AZ308" s="580"/>
      <c r="BA308" s="580"/>
      <c r="BB308" s="580"/>
      <c r="BC308" s="580"/>
      <c r="BD308" s="580"/>
      <c r="BE308" s="580"/>
      <c r="BF308" s="580"/>
      <c r="BG308" s="580"/>
      <c r="BH308" s="580"/>
      <c r="BI308" s="580"/>
      <c r="BJ308" s="580"/>
      <c r="BK308" s="580"/>
      <c r="BL308" s="580"/>
      <c r="BM308" s="580"/>
      <c r="BN308" s="580"/>
      <c r="BO308" s="581"/>
      <c r="BP308" s="580"/>
      <c r="BQ308" s="581"/>
      <c r="BR308" s="580"/>
      <c r="BS308" s="580"/>
      <c r="BT308" s="580"/>
      <c r="BU308" s="580"/>
      <c r="BV308" s="580"/>
      <c r="BW308" s="580"/>
      <c r="BX308" s="580"/>
      <c r="BY308" s="581"/>
      <c r="BZ308" s="580"/>
      <c r="CA308" s="581"/>
      <c r="CB308" s="580"/>
      <c r="CC308" s="580"/>
      <c r="CD308" s="580"/>
      <c r="CE308" s="580"/>
      <c r="CF308" s="580"/>
      <c r="CG308" s="580"/>
    </row>
    <row r="309" spans="1:85" ht="24" customHeight="1">
      <c r="A309" s="580"/>
      <c r="B309" s="580"/>
      <c r="C309" s="580"/>
      <c r="D309" s="580"/>
      <c r="E309" s="580"/>
      <c r="F309" s="580"/>
      <c r="G309" s="580"/>
      <c r="H309" s="580"/>
      <c r="I309" s="580"/>
      <c r="J309" s="580"/>
      <c r="K309" s="581"/>
      <c r="L309" s="580"/>
      <c r="M309" s="580"/>
      <c r="N309" s="580"/>
      <c r="O309" s="580"/>
      <c r="P309" s="580"/>
      <c r="Q309" s="580"/>
      <c r="R309" s="580"/>
      <c r="S309" s="580"/>
      <c r="T309" s="580"/>
      <c r="U309" s="580"/>
      <c r="V309" s="580"/>
      <c r="W309" s="580"/>
      <c r="X309" s="580"/>
      <c r="Y309" s="580"/>
      <c r="Z309" s="580"/>
      <c r="AA309" s="580"/>
      <c r="AB309" s="580"/>
      <c r="AC309" s="580"/>
      <c r="AD309" s="580"/>
      <c r="AE309" s="581"/>
      <c r="AF309" s="580"/>
      <c r="AG309" s="581"/>
      <c r="AH309" s="580"/>
      <c r="AI309" s="580"/>
      <c r="AJ309" s="580"/>
      <c r="AK309" s="580"/>
      <c r="AL309" s="580"/>
      <c r="AM309" s="580"/>
      <c r="AN309" s="580"/>
      <c r="AO309" s="580"/>
      <c r="AP309" s="580"/>
      <c r="AQ309" s="580"/>
      <c r="AR309" s="580"/>
      <c r="AS309" s="580"/>
      <c r="AT309" s="580"/>
      <c r="AU309" s="580"/>
      <c r="AV309" s="580"/>
      <c r="AW309" s="580"/>
      <c r="AX309" s="580"/>
      <c r="AY309" s="580"/>
      <c r="AZ309" s="580"/>
      <c r="BA309" s="580"/>
      <c r="BB309" s="580"/>
      <c r="BC309" s="580"/>
      <c r="BD309" s="580"/>
      <c r="BE309" s="580"/>
      <c r="BF309" s="580"/>
      <c r="BG309" s="580"/>
      <c r="BH309" s="580"/>
      <c r="BI309" s="580"/>
      <c r="BJ309" s="580"/>
      <c r="BK309" s="580"/>
      <c r="BL309" s="580"/>
      <c r="BM309" s="580"/>
      <c r="BN309" s="580"/>
      <c r="BO309" s="581"/>
      <c r="BP309" s="580"/>
      <c r="BQ309" s="581"/>
      <c r="BR309" s="580"/>
      <c r="BS309" s="580"/>
      <c r="BT309" s="580"/>
      <c r="BU309" s="580"/>
      <c r="BV309" s="580"/>
      <c r="BW309" s="580"/>
      <c r="BX309" s="580"/>
      <c r="BY309" s="581"/>
      <c r="BZ309" s="580"/>
      <c r="CA309" s="581"/>
      <c r="CB309" s="580"/>
      <c r="CC309" s="580"/>
      <c r="CD309" s="580"/>
      <c r="CE309" s="580"/>
      <c r="CF309" s="580"/>
      <c r="CG309" s="580"/>
    </row>
    <row r="310" spans="1:85" ht="24" customHeight="1">
      <c r="A310" s="580"/>
      <c r="B310" s="580"/>
      <c r="C310" s="580"/>
      <c r="D310" s="580"/>
      <c r="E310" s="580"/>
      <c r="F310" s="580"/>
      <c r="G310" s="580"/>
      <c r="H310" s="580"/>
      <c r="I310" s="580"/>
      <c r="J310" s="580"/>
      <c r="K310" s="581"/>
      <c r="L310" s="580"/>
      <c r="M310" s="580"/>
      <c r="N310" s="580"/>
      <c r="O310" s="580"/>
      <c r="P310" s="580"/>
      <c r="Q310" s="580"/>
      <c r="R310" s="580"/>
      <c r="S310" s="580"/>
      <c r="T310" s="580"/>
      <c r="U310" s="580"/>
      <c r="V310" s="580"/>
      <c r="W310" s="580"/>
      <c r="X310" s="580"/>
      <c r="Y310" s="580"/>
      <c r="Z310" s="580"/>
      <c r="AA310" s="580"/>
      <c r="AB310" s="580"/>
      <c r="AC310" s="580"/>
      <c r="AD310" s="580"/>
      <c r="AE310" s="581"/>
      <c r="AF310" s="580"/>
      <c r="AG310" s="581"/>
      <c r="AH310" s="580"/>
      <c r="AI310" s="580"/>
      <c r="AJ310" s="580"/>
      <c r="AK310" s="580"/>
      <c r="AL310" s="580"/>
      <c r="AM310" s="580"/>
      <c r="AN310" s="580"/>
      <c r="AO310" s="580"/>
      <c r="AP310" s="580"/>
      <c r="AQ310" s="580"/>
      <c r="AR310" s="580"/>
      <c r="AS310" s="580"/>
      <c r="AT310" s="580"/>
      <c r="AU310" s="580"/>
      <c r="AV310" s="580"/>
      <c r="AW310" s="580"/>
      <c r="AX310" s="580"/>
      <c r="AY310" s="580"/>
      <c r="AZ310" s="580"/>
      <c r="BA310" s="580"/>
      <c r="BB310" s="580"/>
      <c r="BC310" s="580"/>
      <c r="BD310" s="580"/>
      <c r="BE310" s="580"/>
      <c r="BF310" s="580"/>
      <c r="BG310" s="580"/>
      <c r="BH310" s="580"/>
      <c r="BI310" s="580"/>
      <c r="BJ310" s="580"/>
      <c r="BK310" s="580"/>
      <c r="BL310" s="580"/>
      <c r="BM310" s="580"/>
      <c r="BN310" s="580"/>
      <c r="BO310" s="581"/>
      <c r="BP310" s="580"/>
      <c r="BQ310" s="581"/>
      <c r="BR310" s="580"/>
      <c r="BS310" s="580"/>
      <c r="BT310" s="580"/>
      <c r="BU310" s="580"/>
      <c r="BV310" s="580"/>
      <c r="BW310" s="580"/>
      <c r="BX310" s="580"/>
      <c r="BY310" s="581"/>
      <c r="BZ310" s="580"/>
      <c r="CA310" s="581"/>
      <c r="CB310" s="580"/>
      <c r="CC310" s="580"/>
      <c r="CD310" s="580"/>
      <c r="CE310" s="580"/>
      <c r="CF310" s="580"/>
      <c r="CG310" s="580"/>
    </row>
    <row r="311" spans="1:85" ht="24" customHeight="1">
      <c r="A311" s="580"/>
      <c r="B311" s="580"/>
      <c r="C311" s="580"/>
      <c r="D311" s="580"/>
      <c r="E311" s="580"/>
      <c r="F311" s="580"/>
      <c r="G311" s="580"/>
      <c r="H311" s="580"/>
      <c r="I311" s="580"/>
      <c r="J311" s="580"/>
      <c r="K311" s="581"/>
      <c r="L311" s="580"/>
      <c r="M311" s="580"/>
      <c r="N311" s="580"/>
      <c r="O311" s="580"/>
      <c r="P311" s="580"/>
      <c r="Q311" s="580"/>
      <c r="R311" s="580"/>
      <c r="S311" s="580"/>
      <c r="T311" s="580"/>
      <c r="U311" s="580"/>
      <c r="V311" s="580"/>
      <c r="W311" s="580"/>
      <c r="X311" s="580"/>
      <c r="Y311" s="580"/>
      <c r="Z311" s="580"/>
      <c r="AA311" s="580"/>
      <c r="AB311" s="580"/>
      <c r="AC311" s="580"/>
      <c r="AD311" s="580"/>
      <c r="AE311" s="581"/>
      <c r="AF311" s="580"/>
      <c r="AG311" s="581"/>
      <c r="AH311" s="580"/>
      <c r="AI311" s="580"/>
      <c r="AJ311" s="580"/>
      <c r="AK311" s="580"/>
      <c r="AL311" s="580"/>
      <c r="AM311" s="580"/>
      <c r="AN311" s="580"/>
      <c r="AO311" s="580"/>
      <c r="AP311" s="580"/>
      <c r="AQ311" s="580"/>
      <c r="AR311" s="580"/>
      <c r="AS311" s="580"/>
      <c r="AT311" s="580"/>
      <c r="AU311" s="580"/>
      <c r="AV311" s="580"/>
      <c r="AW311" s="580"/>
      <c r="AX311" s="580"/>
      <c r="AY311" s="580"/>
      <c r="AZ311" s="580"/>
      <c r="BA311" s="580"/>
      <c r="BB311" s="580"/>
      <c r="BC311" s="580"/>
      <c r="BD311" s="580"/>
      <c r="BE311" s="580"/>
      <c r="BF311" s="580"/>
      <c r="BG311" s="580"/>
      <c r="BH311" s="580"/>
      <c r="BI311" s="580"/>
      <c r="BJ311" s="580"/>
      <c r="BK311" s="580"/>
      <c r="BL311" s="580"/>
      <c r="BM311" s="580"/>
      <c r="BN311" s="580"/>
      <c r="BO311" s="581"/>
      <c r="BP311" s="580"/>
      <c r="BQ311" s="581"/>
      <c r="BR311" s="580"/>
      <c r="BS311" s="580"/>
      <c r="BT311" s="580"/>
      <c r="BU311" s="580"/>
      <c r="BV311" s="580"/>
      <c r="BW311" s="580"/>
      <c r="BX311" s="580"/>
      <c r="BY311" s="581"/>
      <c r="BZ311" s="580"/>
      <c r="CA311" s="581"/>
      <c r="CB311" s="580"/>
      <c r="CC311" s="580"/>
      <c r="CD311" s="580"/>
      <c r="CE311" s="580"/>
      <c r="CF311" s="580"/>
      <c r="CG311" s="580"/>
    </row>
    <row r="312" spans="1:85" ht="24" customHeight="1">
      <c r="A312" s="580"/>
      <c r="B312" s="580"/>
      <c r="C312" s="580"/>
      <c r="D312" s="580"/>
      <c r="E312" s="580"/>
      <c r="F312" s="580"/>
      <c r="G312" s="580"/>
      <c r="H312" s="580"/>
      <c r="I312" s="580"/>
      <c r="J312" s="580"/>
      <c r="K312" s="581"/>
      <c r="L312" s="580"/>
      <c r="M312" s="580"/>
      <c r="N312" s="580"/>
      <c r="O312" s="580"/>
      <c r="P312" s="580"/>
      <c r="Q312" s="580"/>
      <c r="R312" s="580"/>
      <c r="S312" s="580"/>
      <c r="T312" s="580"/>
      <c r="U312" s="580"/>
      <c r="V312" s="580"/>
      <c r="W312" s="580"/>
      <c r="X312" s="580"/>
      <c r="Y312" s="580"/>
      <c r="Z312" s="580"/>
      <c r="AA312" s="580"/>
      <c r="AB312" s="580"/>
      <c r="AC312" s="580"/>
      <c r="AD312" s="580"/>
      <c r="AE312" s="581"/>
      <c r="AF312" s="580"/>
      <c r="AG312" s="581"/>
      <c r="AH312" s="580"/>
      <c r="AI312" s="580"/>
      <c r="AJ312" s="580"/>
      <c r="AK312" s="580"/>
      <c r="AL312" s="580"/>
      <c r="AM312" s="580"/>
      <c r="AN312" s="580"/>
      <c r="AO312" s="580"/>
      <c r="AP312" s="580"/>
      <c r="AQ312" s="580"/>
      <c r="AR312" s="580"/>
      <c r="AS312" s="580"/>
      <c r="AT312" s="580"/>
      <c r="AU312" s="580"/>
      <c r="AV312" s="580"/>
      <c r="AW312" s="580"/>
      <c r="AX312" s="580"/>
      <c r="AY312" s="580"/>
      <c r="AZ312" s="580"/>
      <c r="BA312" s="580"/>
      <c r="BB312" s="580"/>
      <c r="BC312" s="580"/>
      <c r="BD312" s="580"/>
      <c r="BE312" s="580"/>
      <c r="BF312" s="580"/>
      <c r="BG312" s="580"/>
      <c r="BH312" s="580"/>
      <c r="BI312" s="580"/>
      <c r="BJ312" s="580"/>
      <c r="BK312" s="580"/>
      <c r="BL312" s="580"/>
      <c r="BM312" s="580"/>
      <c r="BN312" s="580"/>
      <c r="BO312" s="581"/>
      <c r="BP312" s="580"/>
      <c r="BQ312" s="581"/>
      <c r="BR312" s="580"/>
      <c r="BS312" s="580"/>
      <c r="BT312" s="580"/>
      <c r="BU312" s="580"/>
      <c r="BV312" s="580"/>
      <c r="BW312" s="580"/>
      <c r="BX312" s="580"/>
      <c r="BY312" s="581"/>
      <c r="BZ312" s="580"/>
      <c r="CA312" s="581"/>
      <c r="CB312" s="580"/>
      <c r="CC312" s="580"/>
      <c r="CD312" s="580"/>
      <c r="CE312" s="580"/>
      <c r="CF312" s="580"/>
      <c r="CG312" s="580"/>
    </row>
    <row r="313" spans="1:85" ht="24" customHeight="1">
      <c r="A313" s="580"/>
      <c r="B313" s="580"/>
      <c r="C313" s="580"/>
      <c r="D313" s="580"/>
      <c r="E313" s="580"/>
      <c r="F313" s="580"/>
      <c r="G313" s="580"/>
      <c r="H313" s="580"/>
      <c r="I313" s="580"/>
      <c r="J313" s="580"/>
      <c r="K313" s="581"/>
      <c r="L313" s="580"/>
      <c r="M313" s="580"/>
      <c r="N313" s="580"/>
      <c r="O313" s="580"/>
      <c r="P313" s="580"/>
      <c r="Q313" s="580"/>
      <c r="R313" s="580"/>
      <c r="S313" s="580"/>
      <c r="T313" s="580"/>
      <c r="U313" s="580"/>
      <c r="V313" s="580"/>
      <c r="W313" s="580"/>
      <c r="X313" s="580"/>
      <c r="Y313" s="580"/>
      <c r="Z313" s="580"/>
      <c r="AA313" s="580"/>
      <c r="AB313" s="580"/>
      <c r="AC313" s="580"/>
      <c r="AD313" s="580"/>
      <c r="AE313" s="581"/>
      <c r="AF313" s="580"/>
      <c r="AG313" s="581"/>
      <c r="AH313" s="580"/>
      <c r="AI313" s="580"/>
      <c r="AJ313" s="580"/>
      <c r="AK313" s="580"/>
      <c r="AL313" s="580"/>
      <c r="AM313" s="580"/>
      <c r="AN313" s="580"/>
      <c r="AO313" s="580"/>
      <c r="AP313" s="580"/>
      <c r="AQ313" s="580"/>
      <c r="AR313" s="580"/>
      <c r="AS313" s="580"/>
      <c r="AT313" s="580"/>
      <c r="AU313" s="580"/>
      <c r="AV313" s="580"/>
      <c r="AW313" s="580"/>
      <c r="AX313" s="580"/>
      <c r="AY313" s="580"/>
      <c r="AZ313" s="580"/>
      <c r="BA313" s="580"/>
      <c r="BB313" s="580"/>
      <c r="BC313" s="580"/>
      <c r="BD313" s="580"/>
      <c r="BE313" s="580"/>
      <c r="BF313" s="580"/>
      <c r="BG313" s="580"/>
      <c r="BH313" s="580"/>
      <c r="BI313" s="580"/>
      <c r="BJ313" s="580"/>
      <c r="BK313" s="580"/>
      <c r="BL313" s="580"/>
      <c r="BM313" s="580"/>
      <c r="BN313" s="580"/>
      <c r="BO313" s="581"/>
      <c r="BP313" s="580"/>
      <c r="BQ313" s="581"/>
      <c r="BR313" s="580"/>
      <c r="BS313" s="580"/>
      <c r="BT313" s="580"/>
      <c r="BU313" s="580"/>
      <c r="BV313" s="580"/>
      <c r="BW313" s="580"/>
      <c r="BX313" s="580"/>
      <c r="BY313" s="581"/>
      <c r="BZ313" s="580"/>
      <c r="CA313" s="581"/>
      <c r="CB313" s="580"/>
      <c r="CC313" s="580"/>
      <c r="CD313" s="580"/>
      <c r="CE313" s="580"/>
      <c r="CF313" s="580"/>
      <c r="CG313" s="580"/>
    </row>
    <row r="314" spans="1:85" ht="24" customHeight="1">
      <c r="A314" s="580"/>
      <c r="B314" s="580"/>
      <c r="C314" s="580"/>
      <c r="D314" s="580"/>
      <c r="E314" s="580"/>
      <c r="F314" s="580"/>
      <c r="G314" s="580"/>
      <c r="H314" s="580"/>
      <c r="I314" s="580"/>
      <c r="J314" s="580"/>
      <c r="K314" s="581"/>
      <c r="L314" s="580"/>
      <c r="M314" s="580"/>
      <c r="N314" s="580"/>
      <c r="O314" s="580"/>
      <c r="P314" s="580"/>
      <c r="Q314" s="580"/>
      <c r="R314" s="580"/>
      <c r="S314" s="580"/>
      <c r="T314" s="580"/>
      <c r="U314" s="580"/>
      <c r="V314" s="580"/>
      <c r="W314" s="580"/>
      <c r="X314" s="580"/>
      <c r="Y314" s="580"/>
      <c r="Z314" s="580"/>
      <c r="AA314" s="580"/>
      <c r="AB314" s="580"/>
      <c r="AC314" s="580"/>
      <c r="AD314" s="580"/>
      <c r="AE314" s="581"/>
      <c r="AF314" s="580"/>
      <c r="AG314" s="581"/>
      <c r="AH314" s="580"/>
      <c r="AI314" s="580"/>
      <c r="AJ314" s="580"/>
      <c r="AK314" s="580"/>
      <c r="AL314" s="580"/>
      <c r="AM314" s="580"/>
      <c r="AN314" s="580"/>
      <c r="AO314" s="580"/>
      <c r="AP314" s="580"/>
      <c r="AQ314" s="580"/>
      <c r="AR314" s="580"/>
      <c r="AS314" s="580"/>
      <c r="AT314" s="580"/>
      <c r="AU314" s="580"/>
      <c r="AV314" s="580"/>
      <c r="AW314" s="580"/>
      <c r="AX314" s="580"/>
      <c r="AY314" s="580"/>
      <c r="AZ314" s="580"/>
      <c r="BA314" s="580"/>
      <c r="BB314" s="580"/>
      <c r="BC314" s="580"/>
      <c r="BD314" s="580"/>
      <c r="BE314" s="580"/>
      <c r="BF314" s="580"/>
      <c r="BG314" s="580"/>
      <c r="BH314" s="580"/>
      <c r="BI314" s="580"/>
      <c r="BJ314" s="580"/>
      <c r="BK314" s="580"/>
      <c r="BL314" s="580"/>
      <c r="BM314" s="580"/>
      <c r="BN314" s="580"/>
      <c r="BO314" s="581"/>
      <c r="BP314" s="580"/>
      <c r="BQ314" s="581"/>
      <c r="BR314" s="580"/>
      <c r="BS314" s="580"/>
      <c r="BT314" s="580"/>
      <c r="BU314" s="580"/>
      <c r="BV314" s="580"/>
      <c r="BW314" s="580"/>
      <c r="BX314" s="580"/>
      <c r="BY314" s="581"/>
      <c r="BZ314" s="580"/>
      <c r="CA314" s="581"/>
      <c r="CB314" s="580"/>
      <c r="CC314" s="580"/>
      <c r="CD314" s="580"/>
      <c r="CE314" s="580"/>
      <c r="CF314" s="580"/>
      <c r="CG314" s="580"/>
    </row>
  </sheetData>
  <mergeCells count="66">
    <mergeCell ref="CD7:CE7"/>
    <mergeCell ref="CF7:CG7"/>
    <mergeCell ref="BJ6:BK7"/>
    <mergeCell ref="BV6:BW7"/>
    <mergeCell ref="BN7:BQ7"/>
    <mergeCell ref="BR7:BS7"/>
    <mergeCell ref="BT7:BU7"/>
    <mergeCell ref="BX7:CA7"/>
    <mergeCell ref="CB7:CC7"/>
    <mergeCell ref="BN5:BW5"/>
    <mergeCell ref="BX5:CG5"/>
    <mergeCell ref="BX6:CG6"/>
    <mergeCell ref="A2:B6"/>
    <mergeCell ref="C2:AS3"/>
    <mergeCell ref="AT2:BK3"/>
    <mergeCell ref="BL2:CG3"/>
    <mergeCell ref="AT4:BK4"/>
    <mergeCell ref="BL4:CG4"/>
    <mergeCell ref="BN6:BU6"/>
    <mergeCell ref="BL5:BM7"/>
    <mergeCell ref="AD6:AS6"/>
    <mergeCell ref="AV6:AY7"/>
    <mergeCell ref="AZ6:BE6"/>
    <mergeCell ref="BF6:BI6"/>
    <mergeCell ref="BH7:BI7"/>
    <mergeCell ref="AV5:BK5"/>
    <mergeCell ref="AD7:AG7"/>
    <mergeCell ref="AH7:AI7"/>
    <mergeCell ref="AZ7:BA7"/>
    <mergeCell ref="BB7:BC7"/>
    <mergeCell ref="BD7:BE7"/>
    <mergeCell ref="BF7:BG7"/>
    <mergeCell ref="AD5:AS5"/>
    <mergeCell ref="AT5:AU7"/>
    <mergeCell ref="AJ7:AK7"/>
    <mergeCell ref="AL7:AM7"/>
    <mergeCell ref="AR7:AS7"/>
    <mergeCell ref="AN7:AO7"/>
    <mergeCell ref="AP7:AQ7"/>
    <mergeCell ref="J5:S5"/>
    <mergeCell ref="T5:AC5"/>
    <mergeCell ref="Z7:AA7"/>
    <mergeCell ref="AB7:AC7"/>
    <mergeCell ref="J7:M7"/>
    <mergeCell ref="N7:O7"/>
    <mergeCell ref="T6:AC6"/>
    <mergeCell ref="P7:Q7"/>
    <mergeCell ref="R7:S7"/>
    <mergeCell ref="T7:W7"/>
    <mergeCell ref="X7:Y7"/>
    <mergeCell ref="H5:I7"/>
    <mergeCell ref="A54:B54"/>
    <mergeCell ref="A76:B76"/>
    <mergeCell ref="A91:B91"/>
    <mergeCell ref="A106:B106"/>
    <mergeCell ref="C4:G5"/>
    <mergeCell ref="C6:E6"/>
    <mergeCell ref="F6:G6"/>
    <mergeCell ref="A7:B8"/>
    <mergeCell ref="D7:D8"/>
    <mergeCell ref="F7:G7"/>
    <mergeCell ref="A9:B9"/>
    <mergeCell ref="A15:B15"/>
    <mergeCell ref="A33:B33"/>
    <mergeCell ref="H4:AS4"/>
    <mergeCell ref="J6:S6"/>
  </mergeCells>
  <printOptions horizontalCentered="1"/>
  <pageMargins left="0.31496062992125984" right="0.31496062992125984" top="0.74803149606299213" bottom="0.74803149606299213" header="0" footer="0"/>
  <pageSetup paperSize="9" scale="40" fitToWidth="0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  <colBreaks count="5" manualBreakCount="5">
    <brk id="19" max="1048575" man="1"/>
    <brk id="29" max="1048575" man="1"/>
    <brk id="45" man="1"/>
    <brk id="29" man="1"/>
    <brk id="63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D965"/>
  </sheetPr>
  <dimension ref="A1:Y1000"/>
  <sheetViews>
    <sheetView view="pageBreakPreview" topLeftCell="A55" zoomScale="60" zoomScaleNormal="100" workbookViewId="0">
      <pane xSplit="2" topLeftCell="C1" activePane="topRight" state="frozen"/>
      <selection activeCell="A91" sqref="A91:XFD114"/>
      <selection pane="topRight" activeCell="A91" sqref="A91:XFD114"/>
    </sheetView>
  </sheetViews>
  <sheetFormatPr defaultColWidth="14.44140625" defaultRowHeight="15" customHeight="1"/>
  <cols>
    <col min="1" max="1" width="7.21875" customWidth="1"/>
    <col min="2" max="2" width="32.109375" customWidth="1"/>
    <col min="3" max="7" width="15.77734375" customWidth="1"/>
    <col min="8" max="11" width="17.21875" customWidth="1"/>
  </cols>
  <sheetData>
    <row r="1" spans="1:25" ht="24" customHeight="1">
      <c r="A1" s="1" t="s">
        <v>330</v>
      </c>
      <c r="B1" s="236"/>
      <c r="C1" s="405"/>
      <c r="D1" s="405"/>
      <c r="E1" s="405"/>
      <c r="F1" s="405"/>
      <c r="G1" s="405"/>
      <c r="H1" s="236"/>
      <c r="I1" s="582"/>
      <c r="J1" s="237"/>
      <c r="K1" s="58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</row>
    <row r="2" spans="1:25" ht="13.5" customHeight="1">
      <c r="A2" s="774" t="s">
        <v>1</v>
      </c>
      <c r="B2" s="682"/>
      <c r="C2" s="803" t="s">
        <v>331</v>
      </c>
      <c r="D2" s="776"/>
      <c r="E2" s="776"/>
      <c r="F2" s="776"/>
      <c r="G2" s="776"/>
      <c r="H2" s="776"/>
      <c r="I2" s="776"/>
      <c r="J2" s="776"/>
      <c r="K2" s="867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</row>
    <row r="3" spans="1:25" ht="13.5" customHeight="1">
      <c r="A3" s="660"/>
      <c r="B3" s="661"/>
      <c r="C3" s="793"/>
      <c r="D3" s="670"/>
      <c r="E3" s="670"/>
      <c r="F3" s="670"/>
      <c r="G3" s="670"/>
      <c r="H3" s="670"/>
      <c r="I3" s="670"/>
      <c r="J3" s="670"/>
      <c r="K3" s="671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</row>
    <row r="4" spans="1:25" ht="37.5" customHeight="1">
      <c r="A4" s="660"/>
      <c r="B4" s="661"/>
      <c r="C4" s="792" t="s">
        <v>246</v>
      </c>
      <c r="D4" s="694"/>
      <c r="E4" s="694"/>
      <c r="F4" s="694"/>
      <c r="G4" s="695"/>
      <c r="H4" s="883" t="s">
        <v>332</v>
      </c>
      <c r="I4" s="651"/>
      <c r="J4" s="651"/>
      <c r="K4" s="654"/>
      <c r="L4" s="343"/>
      <c r="M4" s="343"/>
      <c r="N4" s="343"/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/>
    </row>
    <row r="5" spans="1:25" ht="54.75" customHeight="1">
      <c r="A5" s="660"/>
      <c r="B5" s="661"/>
      <c r="C5" s="793"/>
      <c r="D5" s="670"/>
      <c r="E5" s="670"/>
      <c r="F5" s="670"/>
      <c r="G5" s="671"/>
      <c r="H5" s="884" t="s">
        <v>24</v>
      </c>
      <c r="I5" s="886" t="s">
        <v>333</v>
      </c>
      <c r="J5" s="817"/>
      <c r="K5" s="887" t="s">
        <v>334</v>
      </c>
      <c r="L5" s="343"/>
      <c r="M5" s="343"/>
      <c r="N5" s="343"/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3"/>
    </row>
    <row r="6" spans="1:25" ht="45" customHeight="1">
      <c r="A6" s="683"/>
      <c r="B6" s="684"/>
      <c r="C6" s="880" t="s">
        <v>9</v>
      </c>
      <c r="D6" s="651"/>
      <c r="E6" s="654"/>
      <c r="F6" s="881" t="s">
        <v>11</v>
      </c>
      <c r="G6" s="691"/>
      <c r="H6" s="759"/>
      <c r="I6" s="719"/>
      <c r="J6" s="671"/>
      <c r="K6" s="888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44"/>
      <c r="Y6" s="344"/>
    </row>
    <row r="7" spans="1:25" ht="33.75" customHeight="1">
      <c r="A7" s="889" t="s">
        <v>256</v>
      </c>
      <c r="B7" s="807"/>
      <c r="C7" s="583" t="s">
        <v>150</v>
      </c>
      <c r="D7" s="891" t="s">
        <v>257</v>
      </c>
      <c r="E7" s="584" t="s">
        <v>258</v>
      </c>
      <c r="F7" s="882" t="s">
        <v>259</v>
      </c>
      <c r="G7" s="699"/>
      <c r="H7" s="885"/>
      <c r="I7" s="790" t="s">
        <v>25</v>
      </c>
      <c r="J7" s="651"/>
      <c r="K7" s="654"/>
      <c r="L7" s="344"/>
      <c r="M7" s="344"/>
      <c r="N7" s="344"/>
      <c r="O7" s="344"/>
      <c r="P7" s="344"/>
      <c r="Q7" s="344"/>
      <c r="R7" s="344"/>
      <c r="S7" s="344"/>
      <c r="T7" s="344"/>
      <c r="U7" s="344"/>
      <c r="V7" s="344"/>
      <c r="W7" s="344"/>
      <c r="X7" s="344"/>
      <c r="Y7" s="344"/>
    </row>
    <row r="8" spans="1:25" ht="33.75" customHeight="1">
      <c r="A8" s="703"/>
      <c r="B8" s="890"/>
      <c r="C8" s="585"/>
      <c r="D8" s="665"/>
      <c r="E8" s="586"/>
      <c r="F8" s="253" t="s">
        <v>26</v>
      </c>
      <c r="G8" s="253" t="s">
        <v>27</v>
      </c>
      <c r="H8" s="258" t="s">
        <v>32</v>
      </c>
      <c r="I8" s="587" t="s">
        <v>31</v>
      </c>
      <c r="J8" s="588" t="s">
        <v>27</v>
      </c>
      <c r="K8" s="587" t="s">
        <v>31</v>
      </c>
      <c r="L8" s="349"/>
      <c r="M8" s="349"/>
      <c r="N8" s="349"/>
      <c r="O8" s="349"/>
      <c r="P8" s="349"/>
      <c r="Q8" s="349"/>
      <c r="R8" s="349"/>
      <c r="S8" s="349"/>
      <c r="T8" s="349"/>
      <c r="U8" s="349"/>
      <c r="V8" s="349"/>
      <c r="W8" s="349"/>
      <c r="X8" s="349"/>
      <c r="Y8" s="349"/>
    </row>
    <row r="9" spans="1:25" ht="27" customHeight="1">
      <c r="A9" s="892" t="s">
        <v>34</v>
      </c>
      <c r="B9" s="833"/>
      <c r="C9" s="419">
        <f t="shared" ref="C9:E9" ca="1" si="0">C10+C11</f>
        <v>4016300</v>
      </c>
      <c r="D9" s="589">
        <f t="shared" ca="1" si="0"/>
        <v>0</v>
      </c>
      <c r="E9" s="265">
        <f t="shared" ca="1" si="0"/>
        <v>4016300</v>
      </c>
      <c r="F9" s="266">
        <f ca="1">+F10+F11</f>
        <v>1932939.9699999997</v>
      </c>
      <c r="G9" s="267">
        <f t="shared" ref="G9:G114" ca="1" si="1">IF(C9&gt;0,F9*100/C9,0)</f>
        <v>48.127380175783671</v>
      </c>
      <c r="H9" s="270">
        <f t="shared" ref="H9:I9" ca="1" si="2">+H10</f>
        <v>1584</v>
      </c>
      <c r="I9" s="271">
        <f t="shared" ca="1" si="2"/>
        <v>1586</v>
      </c>
      <c r="J9" s="269">
        <f t="shared" ref="J9:J10" ca="1" si="3">IF(H9&gt;0,I9*100/H9,0)</f>
        <v>100.12626262626263</v>
      </c>
      <c r="K9" s="271">
        <f ca="1">+K10</f>
        <v>0</v>
      </c>
      <c r="L9" s="351"/>
      <c r="M9" s="351"/>
      <c r="N9" s="351"/>
      <c r="O9" s="351"/>
      <c r="P9" s="351"/>
      <c r="Q9" s="351"/>
      <c r="R9" s="351"/>
      <c r="S9" s="351"/>
      <c r="T9" s="351"/>
      <c r="U9" s="351"/>
      <c r="V9" s="351"/>
      <c r="W9" s="351"/>
      <c r="X9" s="351"/>
      <c r="Y9" s="351"/>
    </row>
    <row r="10" spans="1:25" ht="24" customHeight="1">
      <c r="A10" s="273" t="s">
        <v>35</v>
      </c>
      <c r="B10" s="274"/>
      <c r="C10" s="275">
        <f t="shared" ref="C10:F10" ca="1" si="4">+C15+C33+C54+C76</f>
        <v>2472520</v>
      </c>
      <c r="D10" s="276">
        <f t="shared" ca="1" si="4"/>
        <v>0</v>
      </c>
      <c r="E10" s="276">
        <f t="shared" ca="1" si="4"/>
        <v>2472520</v>
      </c>
      <c r="F10" s="276">
        <f t="shared" ca="1" si="4"/>
        <v>1807925.6099999996</v>
      </c>
      <c r="G10" s="277">
        <f t="shared" ca="1" si="1"/>
        <v>73.120767880542914</v>
      </c>
      <c r="H10" s="279">
        <f t="shared" ref="H10:I10" ca="1" si="5">+H15+H33+H54+H76</f>
        <v>1584</v>
      </c>
      <c r="I10" s="279">
        <f t="shared" ca="1" si="5"/>
        <v>1586</v>
      </c>
      <c r="J10" s="278">
        <f t="shared" ca="1" si="3"/>
        <v>100.12626262626263</v>
      </c>
      <c r="K10" s="279">
        <f ca="1">+K15+K33+K54+K76</f>
        <v>0</v>
      </c>
      <c r="L10" s="353"/>
      <c r="M10" s="353"/>
      <c r="N10" s="353"/>
      <c r="O10" s="353"/>
      <c r="P10" s="353"/>
      <c r="Q10" s="353"/>
      <c r="R10" s="353"/>
      <c r="S10" s="353"/>
      <c r="T10" s="353"/>
      <c r="U10" s="353"/>
      <c r="V10" s="353"/>
      <c r="W10" s="353"/>
      <c r="X10" s="353"/>
      <c r="Y10" s="353"/>
    </row>
    <row r="11" spans="1:25" ht="24" customHeight="1">
      <c r="A11" s="281" t="s">
        <v>373</v>
      </c>
      <c r="B11" s="282"/>
      <c r="C11" s="283">
        <f t="shared" ref="C11:F11" ca="1" si="6">+C12+C13</f>
        <v>1543780</v>
      </c>
      <c r="D11" s="284">
        <f t="shared" ca="1" si="6"/>
        <v>0</v>
      </c>
      <c r="E11" s="284">
        <f t="shared" ca="1" si="6"/>
        <v>1543780</v>
      </c>
      <c r="F11" s="284">
        <f t="shared" ca="1" si="6"/>
        <v>125014.36</v>
      </c>
      <c r="G11" s="285">
        <f t="shared" ca="1" si="1"/>
        <v>8.0979388254803144</v>
      </c>
      <c r="H11" s="284">
        <f t="shared" ref="H11:I11" ca="1" si="7">+H12+H13</f>
        <v>0</v>
      </c>
      <c r="I11" s="284">
        <f t="shared" si="7"/>
        <v>0</v>
      </c>
      <c r="J11" s="285">
        <f t="shared" ref="J11:J14" ca="1" si="8">IF(H11&gt;0,#REF!*100/H11,0)</f>
        <v>0</v>
      </c>
      <c r="K11" s="284">
        <f>+K12+K13</f>
        <v>0</v>
      </c>
      <c r="L11" s="353"/>
      <c r="M11" s="353"/>
      <c r="N11" s="353"/>
      <c r="O11" s="353"/>
      <c r="P11" s="353"/>
      <c r="Q11" s="353"/>
      <c r="R11" s="353"/>
      <c r="S11" s="353"/>
      <c r="T11" s="353"/>
      <c r="U11" s="353"/>
      <c r="V11" s="353"/>
      <c r="W11" s="353"/>
      <c r="X11" s="353"/>
      <c r="Y11" s="353"/>
    </row>
    <row r="12" spans="1:25" ht="24" hidden="1" customHeight="1">
      <c r="A12" s="281" t="s">
        <v>36</v>
      </c>
      <c r="B12" s="282"/>
      <c r="C12" s="283">
        <f t="shared" ref="C12:F12" ca="1" si="9">+C91</f>
        <v>1543780</v>
      </c>
      <c r="D12" s="284">
        <f t="shared" ca="1" si="9"/>
        <v>0</v>
      </c>
      <c r="E12" s="284">
        <f t="shared" ca="1" si="9"/>
        <v>1543780</v>
      </c>
      <c r="F12" s="284">
        <f t="shared" ca="1" si="9"/>
        <v>125014.36</v>
      </c>
      <c r="G12" s="285">
        <f t="shared" ca="1" si="1"/>
        <v>8.0979388254803144</v>
      </c>
      <c r="H12" s="284">
        <f t="shared" ref="H12:I12" ca="1" si="10">+H91</f>
        <v>0</v>
      </c>
      <c r="I12" s="284">
        <f t="shared" si="10"/>
        <v>0</v>
      </c>
      <c r="J12" s="285">
        <f t="shared" ca="1" si="8"/>
        <v>0</v>
      </c>
      <c r="K12" s="284">
        <f>+K91</f>
        <v>0</v>
      </c>
      <c r="L12" s="353"/>
      <c r="M12" s="353"/>
      <c r="N12" s="353"/>
      <c r="O12" s="353"/>
      <c r="P12" s="353"/>
      <c r="Q12" s="353"/>
      <c r="R12" s="353"/>
      <c r="S12" s="353"/>
      <c r="T12" s="353"/>
      <c r="U12" s="353"/>
      <c r="V12" s="353"/>
      <c r="W12" s="353"/>
      <c r="X12" s="353"/>
      <c r="Y12" s="353"/>
    </row>
    <row r="13" spans="1:25" ht="24" hidden="1" customHeight="1">
      <c r="A13" s="281" t="s">
        <v>37</v>
      </c>
      <c r="B13" s="282"/>
      <c r="C13" s="283">
        <f t="shared" ref="C13:E13" ca="1" si="11">+C106</f>
        <v>0</v>
      </c>
      <c r="D13" s="284">
        <f t="shared" ca="1" si="11"/>
        <v>0</v>
      </c>
      <c r="E13" s="284">
        <f t="shared" ca="1" si="11"/>
        <v>0</v>
      </c>
      <c r="F13" s="284"/>
      <c r="G13" s="285">
        <f t="shared" ca="1" si="1"/>
        <v>0</v>
      </c>
      <c r="H13" s="284">
        <f t="shared" ref="H13:I13" ca="1" si="12">+H106</f>
        <v>0</v>
      </c>
      <c r="I13" s="284">
        <f t="shared" si="12"/>
        <v>0</v>
      </c>
      <c r="J13" s="285">
        <f t="shared" ca="1" si="8"/>
        <v>0</v>
      </c>
      <c r="K13" s="284">
        <f>+K106</f>
        <v>0</v>
      </c>
      <c r="L13" s="353"/>
      <c r="M13" s="353"/>
      <c r="N13" s="353"/>
      <c r="O13" s="353"/>
      <c r="P13" s="353"/>
      <c r="Q13" s="353"/>
      <c r="R13" s="353"/>
      <c r="S13" s="353"/>
      <c r="T13" s="353"/>
      <c r="U13" s="353"/>
      <c r="V13" s="353"/>
      <c r="W13" s="353"/>
      <c r="X13" s="353"/>
      <c r="Y13" s="353"/>
    </row>
    <row r="14" spans="1:25" ht="24" hidden="1" customHeight="1">
      <c r="A14" s="287" t="s">
        <v>260</v>
      </c>
      <c r="B14" s="288"/>
      <c r="C14" s="289">
        <v>0</v>
      </c>
      <c r="D14" s="290">
        <v>0</v>
      </c>
      <c r="E14" s="290">
        <v>0</v>
      </c>
      <c r="F14" s="290"/>
      <c r="G14" s="291">
        <f t="shared" si="1"/>
        <v>0</v>
      </c>
      <c r="H14" s="290">
        <v>0</v>
      </c>
      <c r="I14" s="290">
        <v>0</v>
      </c>
      <c r="J14" s="291">
        <f t="shared" si="8"/>
        <v>0</v>
      </c>
      <c r="K14" s="290">
        <v>0</v>
      </c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</row>
    <row r="15" spans="1:25" ht="21" customHeight="1">
      <c r="A15" s="799" t="s">
        <v>39</v>
      </c>
      <c r="B15" s="652"/>
      <c r="C15" s="292">
        <f t="shared" ref="C15:F15" ca="1" si="13">SUM(C16:C32)</f>
        <v>595700</v>
      </c>
      <c r="D15" s="279">
        <f t="shared" ca="1" si="13"/>
        <v>0</v>
      </c>
      <c r="E15" s="279">
        <f t="shared" ca="1" si="13"/>
        <v>595700</v>
      </c>
      <c r="F15" s="278">
        <f t="shared" ca="1" si="13"/>
        <v>397619.23999999987</v>
      </c>
      <c r="G15" s="278">
        <f t="shared" ca="1" si="1"/>
        <v>66.748235689105229</v>
      </c>
      <c r="H15" s="279">
        <f t="shared" ref="H15:I15" ca="1" si="14">SUM(H16:H32)</f>
        <v>388</v>
      </c>
      <c r="I15" s="279">
        <f t="shared" ca="1" si="14"/>
        <v>388</v>
      </c>
      <c r="J15" s="278">
        <f t="shared" ref="J15:J90" ca="1" si="15">IF(H15&gt;0,I15*100/H15,0)</f>
        <v>100</v>
      </c>
      <c r="K15" s="279">
        <f ca="1">SUM(K16:K32)</f>
        <v>0</v>
      </c>
      <c r="L15" s="353"/>
      <c r="M15" s="353"/>
      <c r="N15" s="353"/>
      <c r="O15" s="353"/>
      <c r="P15" s="353"/>
      <c r="Q15" s="353"/>
      <c r="R15" s="353"/>
      <c r="S15" s="353"/>
      <c r="T15" s="353"/>
      <c r="U15" s="353"/>
      <c r="V15" s="353"/>
      <c r="W15" s="353"/>
      <c r="X15" s="353"/>
      <c r="Y15" s="353"/>
    </row>
    <row r="16" spans="1:25" ht="21" customHeight="1">
      <c r="A16" s="293">
        <v>1</v>
      </c>
      <c r="B16" s="357" t="s">
        <v>40</v>
      </c>
      <c r="C16" s="295">
        <f t="shared" ref="C16:C32" ca="1" si="16">+D16+E16</f>
        <v>34350</v>
      </c>
      <c r="D16" s="296">
        <f ca="1">IFERROR(__xludf.DUMMYFUNCTION("IMPORTRANGE(""https://docs.google.com/spreadsheets/d/1C3CXT74ZlgGe6_JY_1olB1XN4rF0dxEuIIF-xsYjHgg/edit?usp=sharing"",""งบกองทุน!DN20"")"),0)</f>
        <v>0</v>
      </c>
      <c r="E16" s="296">
        <f ca="1">IFERROR(__xludf.DUMMYFUNCTION("IMPORTRANGE(""https://docs.google.com/spreadsheets/d/1C3CXT74ZlgGe6_JY_1olB1XN4rF0dxEuIIF-xsYjHgg/edit?usp=sharing"",""งบกองทุน!DO20"")"),34350)</f>
        <v>34350</v>
      </c>
      <c r="F16" s="297">
        <f ca="1">IFERROR(__xludf.DUMMYFUNCTION("IMPORTRANGE(""https://docs.google.com/spreadsheets/d/11923uPwbBZFjjGgGUA6NLw09EwE0CqkOc4q9oUmW1yo/edit?usp=sharing"",""กำแพงเพชร!M428"")"),29825)</f>
        <v>29825</v>
      </c>
      <c r="G16" s="297">
        <f t="shared" ca="1" si="1"/>
        <v>86.826783114992722</v>
      </c>
      <c r="H16" s="299">
        <f ca="1">IFERROR(__xludf.DUMMYFUNCTION("IMPORTRANGE(""https://docs.google.com/spreadsheets/d/1C3CXT74ZlgGe6_JY_1olB1XN4rF0dxEuIIF-xsYjHgg/edit?usp=sharing"",""งบกองทุน!DQ20"")"),22)</f>
        <v>22</v>
      </c>
      <c r="I16" s="299">
        <f ca="1">IFERROR(__xludf.DUMMYFUNCTION("IMPORTRANGE(""https://docs.google.com/spreadsheets/d/11923uPwbBZFjjGgGUA6NLw09EwE0CqkOc4q9oUmW1yo/edit?usp=sharing"",""กำแพงเพชร!J442"")"),22)</f>
        <v>22</v>
      </c>
      <c r="J16" s="301">
        <f t="shared" ca="1" si="15"/>
        <v>100</v>
      </c>
      <c r="K16" s="296">
        <f ca="1">IFERROR(__xludf.DUMMYFUNCTION("IMPORTRANGE(""https://docs.google.com/spreadsheets/d/11923uPwbBZFjjGgGUA6NLw09EwE0CqkOc4q9oUmW1yo/edit?usp=sharing"",""กำแพงเพชร!J443"")"),0)</f>
        <v>0</v>
      </c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</row>
    <row r="17" spans="1:25" ht="24" customHeight="1">
      <c r="A17" s="303">
        <v>2</v>
      </c>
      <c r="B17" s="304" t="s">
        <v>41</v>
      </c>
      <c r="C17" s="305">
        <f t="shared" ca="1" si="16"/>
        <v>41150</v>
      </c>
      <c r="D17" s="306">
        <f ca="1">IFERROR(__xludf.DUMMYFUNCTION("IMPORTRANGE(""https://docs.google.com/spreadsheets/d/1C3CXT74ZlgGe6_JY_1olB1XN4rF0dxEuIIF-xsYjHgg/edit?usp=sharing"",""งบกองทุน!DN21"")"),0)</f>
        <v>0</v>
      </c>
      <c r="E17" s="306">
        <f ca="1">IFERROR(__xludf.DUMMYFUNCTION("IMPORTRANGE(""https://docs.google.com/spreadsheets/d/1C3CXT74ZlgGe6_JY_1olB1XN4rF0dxEuIIF-xsYjHgg/edit?usp=sharing"",""งบกองทุน!DO21"")"),41150)</f>
        <v>41150</v>
      </c>
      <c r="F17" s="307">
        <f ca="1">IFERROR(__xludf.DUMMYFUNCTION("IMPORTRANGE(""https://docs.google.com/spreadsheets/d/11923uPwbBZFjjGgGUA6NLw09EwE0CqkOc4q9oUmW1yo/edit?usp=sharing"",""เชียงราย!M428"")"),30893)</f>
        <v>30893</v>
      </c>
      <c r="G17" s="307">
        <f t="shared" ca="1" si="1"/>
        <v>75.074119076549209</v>
      </c>
      <c r="H17" s="308">
        <f ca="1">IFERROR(__xludf.DUMMYFUNCTION("IMPORTRANGE(""https://docs.google.com/spreadsheets/d/1C3CXT74ZlgGe6_JY_1olB1XN4rF0dxEuIIF-xsYjHgg/edit?usp=sharing"",""งบกองทุน!DQ21"")"),30)</f>
        <v>30</v>
      </c>
      <c r="I17" s="308">
        <f ca="1">IFERROR(__xludf.DUMMYFUNCTION("IMPORTRANGE(""https://docs.google.com/spreadsheets/d/11923uPwbBZFjjGgGUA6NLw09EwE0CqkOc4q9oUmW1yo/edit?usp=sharing"",""เชียงราย!J442"")"),30)</f>
        <v>30</v>
      </c>
      <c r="J17" s="309">
        <f t="shared" ca="1" si="15"/>
        <v>100</v>
      </c>
      <c r="K17" s="306">
        <f ca="1">IFERROR(__xludf.DUMMYFUNCTION("IMPORTRANGE(""https://docs.google.com/spreadsheets/d/11923uPwbBZFjjGgGUA6NLw09EwE0CqkOc4q9oUmW1yo/edit?usp=sharing"",""เชียงราย!J443"")"),0)</f>
        <v>0</v>
      </c>
      <c r="L17" s="339"/>
      <c r="M17" s="339"/>
      <c r="N17" s="339"/>
      <c r="O17" s="339"/>
      <c r="P17" s="339"/>
      <c r="Q17" s="339"/>
      <c r="R17" s="339"/>
      <c r="S17" s="339"/>
      <c r="T17" s="339"/>
      <c r="U17" s="339"/>
      <c r="V17" s="339"/>
      <c r="W17" s="339"/>
      <c r="X17" s="339"/>
      <c r="Y17" s="339"/>
    </row>
    <row r="18" spans="1:25" ht="21" customHeight="1">
      <c r="A18" s="303">
        <v>3</v>
      </c>
      <c r="B18" s="304" t="s">
        <v>42</v>
      </c>
      <c r="C18" s="305">
        <f t="shared" ca="1" si="16"/>
        <v>37740</v>
      </c>
      <c r="D18" s="306">
        <f ca="1">IFERROR(__xludf.DUMMYFUNCTION("IMPORTRANGE(""https://docs.google.com/spreadsheets/d/1C3CXT74ZlgGe6_JY_1olB1XN4rF0dxEuIIF-xsYjHgg/edit?usp=sharing"",""งบกองทุน!DN22"")"),0)</f>
        <v>0</v>
      </c>
      <c r="E18" s="306">
        <f ca="1">IFERROR(__xludf.DUMMYFUNCTION("IMPORTRANGE(""https://docs.google.com/spreadsheets/d/1C3CXT74ZlgGe6_JY_1olB1XN4rF0dxEuIIF-xsYjHgg/edit?usp=sharing"",""งบกองทุน!DO22"")"),37740)</f>
        <v>37740</v>
      </c>
      <c r="F18" s="307">
        <f ca="1">IFERROR(__xludf.DUMMYFUNCTION("IMPORTRANGE(""https://docs.google.com/spreadsheets/d/11923uPwbBZFjjGgGUA6NLw09EwE0CqkOc4q9oUmW1yo/edit?usp=sharing"",""เชียงใหม่!M428"")"),26444)</f>
        <v>26444</v>
      </c>
      <c r="G18" s="307">
        <f t="shared" ca="1" si="1"/>
        <v>70.068892421833596</v>
      </c>
      <c r="H18" s="308">
        <f ca="1">IFERROR(__xludf.DUMMYFUNCTION("IMPORTRANGE(""https://docs.google.com/spreadsheets/d/1C3CXT74ZlgGe6_JY_1olB1XN4rF0dxEuIIF-xsYjHgg/edit?usp=sharing"",""งบกองทุน!DQ22"")"),26)</f>
        <v>26</v>
      </c>
      <c r="I18" s="308">
        <f ca="1">IFERROR(__xludf.DUMMYFUNCTION("IMPORTRANGE(""https://docs.google.com/spreadsheets/d/11923uPwbBZFjjGgGUA6NLw09EwE0CqkOc4q9oUmW1yo/edit?usp=sharing"",""เชียงใหม่!J442"")"),26)</f>
        <v>26</v>
      </c>
      <c r="J18" s="309">
        <f t="shared" ca="1" si="15"/>
        <v>100</v>
      </c>
      <c r="K18" s="306">
        <f ca="1">IFERROR(__xludf.DUMMYFUNCTION("IMPORTRANGE(""https://docs.google.com/spreadsheets/d/11923uPwbBZFjjGgGUA6NLw09EwE0CqkOc4q9oUmW1yo/edit?usp=sharing"",""เชียงใหม่!J443"")"),0)</f>
        <v>0</v>
      </c>
      <c r="L18" s="339"/>
      <c r="M18" s="339"/>
      <c r="N18" s="339"/>
      <c r="O18" s="339"/>
      <c r="P18" s="339"/>
      <c r="Q18" s="339"/>
      <c r="R18" s="339"/>
      <c r="S18" s="339"/>
      <c r="T18" s="339"/>
      <c r="U18" s="339"/>
      <c r="V18" s="339"/>
      <c r="W18" s="339"/>
      <c r="X18" s="339"/>
      <c r="Y18" s="339"/>
    </row>
    <row r="19" spans="1:25" ht="24" customHeight="1">
      <c r="A19" s="303">
        <v>4</v>
      </c>
      <c r="B19" s="304" t="s">
        <v>43</v>
      </c>
      <c r="C19" s="305">
        <f t="shared" ca="1" si="16"/>
        <v>34340</v>
      </c>
      <c r="D19" s="306">
        <f ca="1">IFERROR(__xludf.DUMMYFUNCTION("IMPORTRANGE(""https://docs.google.com/spreadsheets/d/1C3CXT74ZlgGe6_JY_1olB1XN4rF0dxEuIIF-xsYjHgg/edit?usp=sharing"",""งบกองทุน!DN23"")"),0)</f>
        <v>0</v>
      </c>
      <c r="E19" s="306">
        <f ca="1">IFERROR(__xludf.DUMMYFUNCTION("IMPORTRANGE(""https://docs.google.com/spreadsheets/d/1C3CXT74ZlgGe6_JY_1olB1XN4rF0dxEuIIF-xsYjHgg/edit?usp=sharing"",""งบกองทุน!DO23"")"),34340)</f>
        <v>34340</v>
      </c>
      <c r="F19" s="307">
        <f ca="1">IFERROR(__xludf.DUMMYFUNCTION("IMPORTRANGE(""https://docs.google.com/spreadsheets/d/11923uPwbBZFjjGgGUA6NLw09EwE0CqkOc4q9oUmW1yo/edit?usp=sharing"",""ตาก!M428"")"),18740)</f>
        <v>18740</v>
      </c>
      <c r="G19" s="307">
        <f t="shared" ca="1" si="1"/>
        <v>54.571927781013393</v>
      </c>
      <c r="H19" s="308">
        <f ca="1">IFERROR(__xludf.DUMMYFUNCTION("IMPORTRANGE(""https://docs.google.com/spreadsheets/d/1C3CXT74ZlgGe6_JY_1olB1XN4rF0dxEuIIF-xsYjHgg/edit?usp=sharing"",""งบกองทุน!DQ23"")"),22)</f>
        <v>22</v>
      </c>
      <c r="I19" s="308">
        <f ca="1">IFERROR(__xludf.DUMMYFUNCTION("IMPORTRANGE(""https://docs.google.com/spreadsheets/d/11923uPwbBZFjjGgGUA6NLw09EwE0CqkOc4q9oUmW1yo/edit?usp=sharing"",""ตาก!J442"")"),22)</f>
        <v>22</v>
      </c>
      <c r="J19" s="309">
        <f t="shared" ca="1" si="15"/>
        <v>100</v>
      </c>
      <c r="K19" s="306">
        <f ca="1">IFERROR(__xludf.DUMMYFUNCTION("IMPORTRANGE(""https://docs.google.com/spreadsheets/d/11923uPwbBZFjjGgGUA6NLw09EwE0CqkOc4q9oUmW1yo/edit?usp=sharing"",""ตาก!J443"")"),0)</f>
        <v>0</v>
      </c>
      <c r="L19" s="339"/>
      <c r="M19" s="339"/>
      <c r="N19" s="339"/>
      <c r="O19" s="339"/>
      <c r="P19" s="339"/>
      <c r="Q19" s="339"/>
      <c r="R19" s="339"/>
      <c r="S19" s="339"/>
      <c r="T19" s="339"/>
      <c r="U19" s="339"/>
      <c r="V19" s="339"/>
      <c r="W19" s="339"/>
      <c r="X19" s="339"/>
      <c r="Y19" s="339"/>
    </row>
    <row r="20" spans="1:25" ht="21" customHeight="1">
      <c r="A20" s="303">
        <v>5</v>
      </c>
      <c r="B20" s="304" t="s">
        <v>44</v>
      </c>
      <c r="C20" s="305">
        <f t="shared" ca="1" si="16"/>
        <v>34340</v>
      </c>
      <c r="D20" s="306">
        <f ca="1">IFERROR(__xludf.DUMMYFUNCTION("IMPORTRANGE(""https://docs.google.com/spreadsheets/d/1C3CXT74ZlgGe6_JY_1olB1XN4rF0dxEuIIF-xsYjHgg/edit?usp=sharing"",""งบกองทุน!DN24"")"),0)</f>
        <v>0</v>
      </c>
      <c r="E20" s="306">
        <f ca="1">IFERROR(__xludf.DUMMYFUNCTION("IMPORTRANGE(""https://docs.google.com/spreadsheets/d/1C3CXT74ZlgGe6_JY_1olB1XN4rF0dxEuIIF-xsYjHgg/edit?usp=sharing"",""งบกองทุน!DO24"")"),34340)</f>
        <v>34340</v>
      </c>
      <c r="F20" s="307">
        <f ca="1">IFERROR(__xludf.DUMMYFUNCTION("IMPORTRANGE(""https://docs.google.com/spreadsheets/d/11923uPwbBZFjjGgGUA6NLw09EwE0CqkOc4q9oUmW1yo/edit?usp=sharing"",""นครสวรรค์!M428"")"),20765)</f>
        <v>20765</v>
      </c>
      <c r="G20" s="307">
        <f t="shared" ca="1" si="1"/>
        <v>60.468841001747236</v>
      </c>
      <c r="H20" s="308">
        <f ca="1">IFERROR(__xludf.DUMMYFUNCTION("IMPORTRANGE(""https://docs.google.com/spreadsheets/d/1C3CXT74ZlgGe6_JY_1olB1XN4rF0dxEuIIF-xsYjHgg/edit?usp=sharing"",""งบกองทุน!DQ24"")"),22)</f>
        <v>22</v>
      </c>
      <c r="I20" s="308">
        <f ca="1">IFERROR(__xludf.DUMMYFUNCTION("IMPORTRANGE(""https://docs.google.com/spreadsheets/d/11923uPwbBZFjjGgGUA6NLw09EwE0CqkOc4q9oUmW1yo/edit?usp=sharing"",""นครสวรรค์!J442"")"),22)</f>
        <v>22</v>
      </c>
      <c r="J20" s="309">
        <f t="shared" ca="1" si="15"/>
        <v>100</v>
      </c>
      <c r="K20" s="306">
        <f ca="1">IFERROR(__xludf.DUMMYFUNCTION("IMPORTRANGE(""https://docs.google.com/spreadsheets/d/11923uPwbBZFjjGgGUA6NLw09EwE0CqkOc4q9oUmW1yo/edit?usp=sharing"",""นครสวรรค์!J443"")"),0)</f>
        <v>0</v>
      </c>
      <c r="L20" s="339"/>
      <c r="M20" s="339"/>
      <c r="N20" s="339"/>
      <c r="O20" s="339"/>
      <c r="P20" s="339"/>
      <c r="Q20" s="339"/>
      <c r="R20" s="339"/>
      <c r="S20" s="339"/>
      <c r="T20" s="339"/>
      <c r="U20" s="339"/>
      <c r="V20" s="339"/>
      <c r="W20" s="339"/>
      <c r="X20" s="339"/>
      <c r="Y20" s="339"/>
    </row>
    <row r="21" spans="1:25" ht="21" customHeight="1">
      <c r="A21" s="303">
        <v>6</v>
      </c>
      <c r="B21" s="304" t="s">
        <v>45</v>
      </c>
      <c r="C21" s="305">
        <f t="shared" ca="1" si="16"/>
        <v>34340</v>
      </c>
      <c r="D21" s="306">
        <f ca="1">IFERROR(__xludf.DUMMYFUNCTION("IMPORTRANGE(""https://docs.google.com/spreadsheets/d/1C3CXT74ZlgGe6_JY_1olB1XN4rF0dxEuIIF-xsYjHgg/edit?usp=sharing"",""งบกองทุน!DN25"")"),0)</f>
        <v>0</v>
      </c>
      <c r="E21" s="306">
        <f ca="1">IFERROR(__xludf.DUMMYFUNCTION("IMPORTRANGE(""https://docs.google.com/spreadsheets/d/1C3CXT74ZlgGe6_JY_1olB1XN4rF0dxEuIIF-xsYjHgg/edit?usp=sharing"",""งบกองทุน!DO25"")"),34340)</f>
        <v>34340</v>
      </c>
      <c r="F21" s="307">
        <f ca="1">IFERROR(__xludf.DUMMYFUNCTION("IMPORTRANGE(""https://docs.google.com/spreadsheets/d/11923uPwbBZFjjGgGUA6NLw09EwE0CqkOc4q9oUmW1yo/edit?usp=sharing"",""น่าน!M428"")"),26076)</f>
        <v>26076</v>
      </c>
      <c r="G21" s="307">
        <f t="shared" ca="1" si="1"/>
        <v>75.934769947582993</v>
      </c>
      <c r="H21" s="308">
        <f ca="1">IFERROR(__xludf.DUMMYFUNCTION("IMPORTRANGE(""https://docs.google.com/spreadsheets/d/1C3CXT74ZlgGe6_JY_1olB1XN4rF0dxEuIIF-xsYjHgg/edit?usp=sharing"",""งบกองทุน!DQ25"")"),22)</f>
        <v>22</v>
      </c>
      <c r="I21" s="308">
        <f ca="1">IFERROR(__xludf.DUMMYFUNCTION("IMPORTRANGE(""https://docs.google.com/spreadsheets/d/11923uPwbBZFjjGgGUA6NLw09EwE0CqkOc4q9oUmW1yo/edit?usp=sharing"",""น่าน!J442"")"),22)</f>
        <v>22</v>
      </c>
      <c r="J21" s="309">
        <f t="shared" ca="1" si="15"/>
        <v>100</v>
      </c>
      <c r="K21" s="306">
        <f ca="1">IFERROR(__xludf.DUMMYFUNCTION("IMPORTRANGE(""https://docs.google.com/spreadsheets/d/11923uPwbBZFjjGgGUA6NLw09EwE0CqkOc4q9oUmW1yo/edit?usp=sharing"",""น่าน!J443"")"),0)</f>
        <v>0</v>
      </c>
      <c r="L21" s="339"/>
      <c r="M21" s="339"/>
      <c r="N21" s="339"/>
      <c r="O21" s="339"/>
      <c r="P21" s="339"/>
      <c r="Q21" s="339"/>
      <c r="R21" s="339"/>
      <c r="S21" s="339"/>
      <c r="T21" s="339"/>
      <c r="U21" s="339"/>
      <c r="V21" s="339"/>
      <c r="W21" s="339"/>
      <c r="X21" s="339"/>
      <c r="Y21" s="339"/>
    </row>
    <row r="22" spans="1:25" ht="21" customHeight="1">
      <c r="A22" s="303">
        <v>7</v>
      </c>
      <c r="B22" s="304" t="s">
        <v>46</v>
      </c>
      <c r="C22" s="305">
        <f t="shared" ca="1" si="16"/>
        <v>34340</v>
      </c>
      <c r="D22" s="306">
        <f ca="1">IFERROR(__xludf.DUMMYFUNCTION("IMPORTRANGE(""https://docs.google.com/spreadsheets/d/1C3CXT74ZlgGe6_JY_1olB1XN4rF0dxEuIIF-xsYjHgg/edit?usp=sharing"",""งบกองทุน!DN26"")"),0)</f>
        <v>0</v>
      </c>
      <c r="E22" s="306">
        <f ca="1">IFERROR(__xludf.DUMMYFUNCTION("IMPORTRANGE(""https://docs.google.com/spreadsheets/d/1C3CXT74ZlgGe6_JY_1olB1XN4rF0dxEuIIF-xsYjHgg/edit?usp=sharing"",""งบกองทุน!DO26"")"),34340)</f>
        <v>34340</v>
      </c>
      <c r="F22" s="307">
        <f ca="1">IFERROR(__xludf.DUMMYFUNCTION("IMPORTRANGE(""https://docs.google.com/spreadsheets/d/11923uPwbBZFjjGgGUA6NLw09EwE0CqkOc4q9oUmW1yo/edit?usp=sharing"",""พะเยา!M428"")"),18660)</f>
        <v>18660</v>
      </c>
      <c r="G22" s="307">
        <f t="shared" ca="1" si="1"/>
        <v>54.338963308095515</v>
      </c>
      <c r="H22" s="308">
        <f ca="1">IFERROR(__xludf.DUMMYFUNCTION("IMPORTRANGE(""https://docs.google.com/spreadsheets/d/1C3CXT74ZlgGe6_JY_1olB1XN4rF0dxEuIIF-xsYjHgg/edit?usp=sharing"",""งบกองทุน!DQ26"")"),22)</f>
        <v>22</v>
      </c>
      <c r="I22" s="308">
        <f ca="1">IFERROR(__xludf.DUMMYFUNCTION("IMPORTRANGE(""https://docs.google.com/spreadsheets/d/11923uPwbBZFjjGgGUA6NLw09EwE0CqkOc4q9oUmW1yo/edit?usp=sharing"",""พะเยา!J442"")"),22)</f>
        <v>22</v>
      </c>
      <c r="J22" s="309">
        <f t="shared" ca="1" si="15"/>
        <v>100</v>
      </c>
      <c r="K22" s="306">
        <f ca="1">IFERROR(__xludf.DUMMYFUNCTION("IMPORTRANGE(""https://docs.google.com/spreadsheets/d/11923uPwbBZFjjGgGUA6NLw09EwE0CqkOc4q9oUmW1yo/edit?usp=sharing"",""พะเยา!J443"")"),0)</f>
        <v>0</v>
      </c>
      <c r="L22" s="339"/>
      <c r="M22" s="339"/>
      <c r="N22" s="339"/>
      <c r="O22" s="339"/>
      <c r="P22" s="339"/>
      <c r="Q22" s="339"/>
      <c r="R22" s="339"/>
      <c r="S22" s="339"/>
      <c r="T22" s="339"/>
      <c r="U22" s="339"/>
      <c r="V22" s="339"/>
      <c r="W22" s="339"/>
      <c r="X22" s="339"/>
      <c r="Y22" s="339"/>
    </row>
    <row r="23" spans="1:25" ht="21" customHeight="1">
      <c r="A23" s="303">
        <v>8</v>
      </c>
      <c r="B23" s="304" t="s">
        <v>47</v>
      </c>
      <c r="C23" s="305">
        <f t="shared" ca="1" si="16"/>
        <v>34340</v>
      </c>
      <c r="D23" s="306">
        <f ca="1">IFERROR(__xludf.DUMMYFUNCTION("IMPORTRANGE(""https://docs.google.com/spreadsheets/d/1C3CXT74ZlgGe6_JY_1olB1XN4rF0dxEuIIF-xsYjHgg/edit?usp=sharing"",""งบกองทุน!DN27"")"),0)</f>
        <v>0</v>
      </c>
      <c r="E23" s="306">
        <f ca="1">IFERROR(__xludf.DUMMYFUNCTION("IMPORTRANGE(""https://docs.google.com/spreadsheets/d/1C3CXT74ZlgGe6_JY_1olB1XN4rF0dxEuIIF-xsYjHgg/edit?usp=sharing"",""งบกองทุน!DO27"")"),34340)</f>
        <v>34340</v>
      </c>
      <c r="F23" s="307">
        <f ca="1">IFERROR(__xludf.DUMMYFUNCTION("IMPORTRANGE(""https://docs.google.com/spreadsheets/d/11923uPwbBZFjjGgGUA6NLw09EwE0CqkOc4q9oUmW1yo/edit?usp=sharing"",""พิจิตร!M428"")"),18181)</f>
        <v>18181</v>
      </c>
      <c r="G23" s="307">
        <f t="shared" ca="1" si="1"/>
        <v>52.944088526499712</v>
      </c>
      <c r="H23" s="308">
        <f ca="1">IFERROR(__xludf.DUMMYFUNCTION("IMPORTRANGE(""https://docs.google.com/spreadsheets/d/1C3CXT74ZlgGe6_JY_1olB1XN4rF0dxEuIIF-xsYjHgg/edit?usp=sharing"",""งบกองทุน!DQ27"")"),22)</f>
        <v>22</v>
      </c>
      <c r="I23" s="308">
        <f ca="1">IFERROR(__xludf.DUMMYFUNCTION("IMPORTRANGE(""https://docs.google.com/spreadsheets/d/11923uPwbBZFjjGgGUA6NLw09EwE0CqkOc4q9oUmW1yo/edit?usp=sharing"",""พิจิตร!J442"")"),22)</f>
        <v>22</v>
      </c>
      <c r="J23" s="309">
        <f t="shared" ca="1" si="15"/>
        <v>100</v>
      </c>
      <c r="K23" s="306">
        <f ca="1">IFERROR(__xludf.DUMMYFUNCTION("IMPORTRANGE(""https://docs.google.com/spreadsheets/d/11923uPwbBZFjjGgGUA6NLw09EwE0CqkOc4q9oUmW1yo/edit?usp=sharing"",""พิจิตร!J443"")"),0)</f>
        <v>0</v>
      </c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39"/>
    </row>
    <row r="24" spans="1:25" ht="21" customHeight="1">
      <c r="A24" s="303">
        <v>9</v>
      </c>
      <c r="B24" s="304" t="s">
        <v>48</v>
      </c>
      <c r="C24" s="305">
        <f t="shared" ca="1" si="16"/>
        <v>34340</v>
      </c>
      <c r="D24" s="306">
        <f ca="1">IFERROR(__xludf.DUMMYFUNCTION("IMPORTRANGE(""https://docs.google.com/spreadsheets/d/1C3CXT74ZlgGe6_JY_1olB1XN4rF0dxEuIIF-xsYjHgg/edit?usp=sharing"",""งบกองทุน!DN28"")"),0)</f>
        <v>0</v>
      </c>
      <c r="E24" s="306">
        <f ca="1">IFERROR(__xludf.DUMMYFUNCTION("IMPORTRANGE(""https://docs.google.com/spreadsheets/d/1C3CXT74ZlgGe6_JY_1olB1XN4rF0dxEuIIF-xsYjHgg/edit?usp=sharing"",""งบกองทุน!DO28"")"),34340)</f>
        <v>34340</v>
      </c>
      <c r="F24" s="307">
        <f ca="1">IFERROR(__xludf.DUMMYFUNCTION("IMPORTRANGE(""https://docs.google.com/spreadsheets/d/11923uPwbBZFjjGgGUA6NLw09EwE0CqkOc4q9oUmW1yo/edit?usp=sharing"",""พิษณุโลก!M428"")"),21160)</f>
        <v>21160</v>
      </c>
      <c r="G24" s="307">
        <f t="shared" ca="1" si="1"/>
        <v>61.619103086779269</v>
      </c>
      <c r="H24" s="308">
        <f ca="1">IFERROR(__xludf.DUMMYFUNCTION("IMPORTRANGE(""https://docs.google.com/spreadsheets/d/1C3CXT74ZlgGe6_JY_1olB1XN4rF0dxEuIIF-xsYjHgg/edit?usp=sharing"",""งบกองทุน!DQ28"")"),22)</f>
        <v>22</v>
      </c>
      <c r="I24" s="308">
        <f ca="1">IFERROR(__xludf.DUMMYFUNCTION("IMPORTRANGE(""https://docs.google.com/spreadsheets/d/11923uPwbBZFjjGgGUA6NLw09EwE0CqkOc4q9oUmW1yo/edit?usp=sharing"",""พิษณุโลก!J442"")"),22)</f>
        <v>22</v>
      </c>
      <c r="J24" s="309">
        <f t="shared" ca="1" si="15"/>
        <v>100</v>
      </c>
      <c r="K24" s="306">
        <f ca="1">IFERROR(__xludf.DUMMYFUNCTION("IMPORTRANGE(""https://docs.google.com/spreadsheets/d/11923uPwbBZFjjGgGUA6NLw09EwE0CqkOc4q9oUmW1yo/edit?usp=sharing"",""พิษณุโลก!J443"")"),0)</f>
        <v>0</v>
      </c>
      <c r="L24" s="339"/>
      <c r="M24" s="339"/>
      <c r="N24" s="339"/>
      <c r="O24" s="339"/>
      <c r="P24" s="339"/>
      <c r="Q24" s="339"/>
      <c r="R24" s="339"/>
      <c r="S24" s="339"/>
      <c r="T24" s="339"/>
      <c r="U24" s="339"/>
      <c r="V24" s="339"/>
      <c r="W24" s="339"/>
      <c r="X24" s="339"/>
      <c r="Y24" s="339"/>
    </row>
    <row r="25" spans="1:25" ht="21" customHeight="1">
      <c r="A25" s="303">
        <v>10</v>
      </c>
      <c r="B25" s="304" t="s">
        <v>49</v>
      </c>
      <c r="C25" s="305">
        <f t="shared" ca="1" si="16"/>
        <v>34340</v>
      </c>
      <c r="D25" s="306">
        <f ca="1">IFERROR(__xludf.DUMMYFUNCTION("IMPORTRANGE(""https://docs.google.com/spreadsheets/d/1C3CXT74ZlgGe6_JY_1olB1XN4rF0dxEuIIF-xsYjHgg/edit?usp=sharing"",""งบกองทุน!DN29"")"),0)</f>
        <v>0</v>
      </c>
      <c r="E25" s="306">
        <f ca="1">IFERROR(__xludf.DUMMYFUNCTION("IMPORTRANGE(""https://docs.google.com/spreadsheets/d/1C3CXT74ZlgGe6_JY_1olB1XN4rF0dxEuIIF-xsYjHgg/edit?usp=sharing"",""งบกองทุน!DO29"")"),34340)</f>
        <v>34340</v>
      </c>
      <c r="F25" s="307">
        <f ca="1">IFERROR(__xludf.DUMMYFUNCTION("IMPORTRANGE(""https://docs.google.com/spreadsheets/d/11923uPwbBZFjjGgGUA6NLw09EwE0CqkOc4q9oUmW1yo/edit?usp=sharing"",""เพชรบูรณ์!M428"")"),17161)</f>
        <v>17161</v>
      </c>
      <c r="G25" s="307">
        <f t="shared" ca="1" si="1"/>
        <v>49.973791496796736</v>
      </c>
      <c r="H25" s="308">
        <f ca="1">IFERROR(__xludf.DUMMYFUNCTION("IMPORTRANGE(""https://docs.google.com/spreadsheets/d/1C3CXT74ZlgGe6_JY_1olB1XN4rF0dxEuIIF-xsYjHgg/edit?usp=sharing"",""งบกองทุน!DQ29"")"),22)</f>
        <v>22</v>
      </c>
      <c r="I25" s="308">
        <f ca="1">IFERROR(__xludf.DUMMYFUNCTION("IMPORTRANGE(""https://docs.google.com/spreadsheets/d/11923uPwbBZFjjGgGUA6NLw09EwE0CqkOc4q9oUmW1yo/edit?usp=sharing"",""เพชรบูรณ์!J442"")"),22)</f>
        <v>22</v>
      </c>
      <c r="J25" s="309">
        <f t="shared" ca="1" si="15"/>
        <v>100</v>
      </c>
      <c r="K25" s="306">
        <f ca="1">IFERROR(__xludf.DUMMYFUNCTION("IMPORTRANGE(""https://docs.google.com/spreadsheets/d/11923uPwbBZFjjGgGUA6NLw09EwE0CqkOc4q9oUmW1yo/edit?usp=sharing"",""เพชรบูรณ์!J443"")"),0)</f>
        <v>0</v>
      </c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39"/>
      <c r="W25" s="339"/>
      <c r="X25" s="339"/>
      <c r="Y25" s="339"/>
    </row>
    <row r="26" spans="1:25" ht="21" customHeight="1">
      <c r="A26" s="303">
        <v>11</v>
      </c>
      <c r="B26" s="304" t="s">
        <v>50</v>
      </c>
      <c r="C26" s="305">
        <f t="shared" ca="1" si="16"/>
        <v>34340</v>
      </c>
      <c r="D26" s="306">
        <f ca="1">IFERROR(__xludf.DUMMYFUNCTION("IMPORTRANGE(""https://docs.google.com/spreadsheets/d/1C3CXT74ZlgGe6_JY_1olB1XN4rF0dxEuIIF-xsYjHgg/edit?usp=sharing"",""งบกองทุน!DN30"")"),0)</f>
        <v>0</v>
      </c>
      <c r="E26" s="306">
        <f ca="1">IFERROR(__xludf.DUMMYFUNCTION("IMPORTRANGE(""https://docs.google.com/spreadsheets/d/1C3CXT74ZlgGe6_JY_1olB1XN4rF0dxEuIIF-xsYjHgg/edit?usp=sharing"",""งบกองทุน!DO30"")"),34340)</f>
        <v>34340</v>
      </c>
      <c r="F26" s="307">
        <f ca="1">IFERROR(__xludf.DUMMYFUNCTION("IMPORTRANGE(""https://docs.google.com/spreadsheets/d/11923uPwbBZFjjGgGUA6NLw09EwE0CqkOc4q9oUmW1yo/edit?usp=sharing"",""แพร่!M428"")"),21312)</f>
        <v>21312</v>
      </c>
      <c r="G26" s="307">
        <f t="shared" ca="1" si="1"/>
        <v>62.061735585323241</v>
      </c>
      <c r="H26" s="308">
        <f ca="1">IFERROR(__xludf.DUMMYFUNCTION("IMPORTRANGE(""https://docs.google.com/spreadsheets/d/1C3CXT74ZlgGe6_JY_1olB1XN4rF0dxEuIIF-xsYjHgg/edit?usp=sharing"",""งบกองทุน!DQ30"")"),22)</f>
        <v>22</v>
      </c>
      <c r="I26" s="308">
        <f ca="1">IFERROR(__xludf.DUMMYFUNCTION("IMPORTRANGE(""https://docs.google.com/spreadsheets/d/11923uPwbBZFjjGgGUA6NLw09EwE0CqkOc4q9oUmW1yo/edit?usp=sharing"",""แพร่!J442"")"),22)</f>
        <v>22</v>
      </c>
      <c r="J26" s="309">
        <f t="shared" ca="1" si="15"/>
        <v>100</v>
      </c>
      <c r="K26" s="306">
        <f ca="1">IFERROR(__xludf.DUMMYFUNCTION("IMPORTRANGE(""https://docs.google.com/spreadsheets/d/11923uPwbBZFjjGgGUA6NLw09EwE0CqkOc4q9oUmW1yo/edit?usp=sharing"",""แพร่!J443"")"),0)</f>
        <v>0</v>
      </c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39"/>
      <c r="W26" s="339"/>
      <c r="X26" s="339"/>
      <c r="Y26" s="339"/>
    </row>
    <row r="27" spans="1:25" ht="21" customHeight="1">
      <c r="A27" s="303">
        <v>12</v>
      </c>
      <c r="B27" s="304" t="s">
        <v>51</v>
      </c>
      <c r="C27" s="305">
        <f t="shared" ca="1" si="16"/>
        <v>34340</v>
      </c>
      <c r="D27" s="306">
        <f ca="1">IFERROR(__xludf.DUMMYFUNCTION("IMPORTRANGE(""https://docs.google.com/spreadsheets/d/1C3CXT74ZlgGe6_JY_1olB1XN4rF0dxEuIIF-xsYjHgg/edit?usp=sharing"",""งบกองทุน!DN31"")"),0)</f>
        <v>0</v>
      </c>
      <c r="E27" s="306">
        <f ca="1">IFERROR(__xludf.DUMMYFUNCTION("IMPORTRANGE(""https://docs.google.com/spreadsheets/d/1C3CXT74ZlgGe6_JY_1olB1XN4rF0dxEuIIF-xsYjHgg/edit?usp=sharing"",""งบกองทุน!DO31"")"),34340)</f>
        <v>34340</v>
      </c>
      <c r="F27" s="307">
        <f ca="1">IFERROR(__xludf.DUMMYFUNCTION("IMPORTRANGE(""https://docs.google.com/spreadsheets/d/11923uPwbBZFjjGgGUA6NLw09EwE0CqkOc4q9oUmW1yo/edit?usp=sharing"",""แม่ฮ่องสอน!M428"")"),30107)</f>
        <v>30107</v>
      </c>
      <c r="G27" s="307">
        <f t="shared" ca="1" si="1"/>
        <v>87.67326732673267</v>
      </c>
      <c r="H27" s="308">
        <f ca="1">IFERROR(__xludf.DUMMYFUNCTION("IMPORTRANGE(""https://docs.google.com/spreadsheets/d/1C3CXT74ZlgGe6_JY_1olB1XN4rF0dxEuIIF-xsYjHgg/edit?usp=sharing"",""งบกองทุน!DQ31"")"),22)</f>
        <v>22</v>
      </c>
      <c r="I27" s="308">
        <f ca="1">IFERROR(__xludf.DUMMYFUNCTION("IMPORTRANGE(""https://docs.google.com/spreadsheets/d/11923uPwbBZFjjGgGUA6NLw09EwE0CqkOc4q9oUmW1yo/edit?usp=sharing"",""แม่ฮ่องสอน!J442"")"),22)</f>
        <v>22</v>
      </c>
      <c r="J27" s="309">
        <f t="shared" ca="1" si="15"/>
        <v>100</v>
      </c>
      <c r="K27" s="306">
        <f ca="1">IFERROR(__xludf.DUMMYFUNCTION("IMPORTRANGE(""https://docs.google.com/spreadsheets/d/11923uPwbBZFjjGgGUA6NLw09EwE0CqkOc4q9oUmW1yo/edit?usp=sharing"",""แม่ฮ่องสอน!J443"")"),0)</f>
        <v>0</v>
      </c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39"/>
      <c r="W27" s="339"/>
      <c r="X27" s="339"/>
      <c r="Y27" s="339"/>
    </row>
    <row r="28" spans="1:25" ht="21" customHeight="1">
      <c r="A28" s="303">
        <v>13</v>
      </c>
      <c r="B28" s="304" t="s">
        <v>52</v>
      </c>
      <c r="C28" s="305">
        <f t="shared" ca="1" si="16"/>
        <v>34340</v>
      </c>
      <c r="D28" s="306">
        <f ca="1">IFERROR(__xludf.DUMMYFUNCTION("IMPORTRANGE(""https://docs.google.com/spreadsheets/d/1C3CXT74ZlgGe6_JY_1olB1XN4rF0dxEuIIF-xsYjHgg/edit?usp=sharing"",""งบกองทุน!DN32"")"),0)</f>
        <v>0</v>
      </c>
      <c r="E28" s="306">
        <f ca="1">IFERROR(__xludf.DUMMYFUNCTION("IMPORTRANGE(""https://docs.google.com/spreadsheets/d/1C3CXT74ZlgGe6_JY_1olB1XN4rF0dxEuIIF-xsYjHgg/edit?usp=sharing"",""งบกองทุน!DO32"")"),34340)</f>
        <v>34340</v>
      </c>
      <c r="F28" s="307">
        <f ca="1">IFERROR(__xludf.DUMMYFUNCTION("IMPORTRANGE(""https://docs.google.com/spreadsheets/d/11923uPwbBZFjjGgGUA6NLw09EwE0CqkOc4q9oUmW1yo/edit?usp=sharing"",""ลำปาง!M428"")"),28015.2399999999)</f>
        <v>28015.2399999999</v>
      </c>
      <c r="G28" s="307">
        <f t="shared" ca="1" si="1"/>
        <v>81.581945253348565</v>
      </c>
      <c r="H28" s="308">
        <f ca="1">IFERROR(__xludf.DUMMYFUNCTION("IMPORTRANGE(""https://docs.google.com/spreadsheets/d/1C3CXT74ZlgGe6_JY_1olB1XN4rF0dxEuIIF-xsYjHgg/edit?usp=sharing"",""งบกองทุน!DQ32"")"),22)</f>
        <v>22</v>
      </c>
      <c r="I28" s="308">
        <f ca="1">IFERROR(__xludf.DUMMYFUNCTION("IMPORTRANGE(""https://docs.google.com/spreadsheets/d/11923uPwbBZFjjGgGUA6NLw09EwE0CqkOc4q9oUmW1yo/edit?usp=sharing"",""ลำปาง!J442"")"),22)</f>
        <v>22</v>
      </c>
      <c r="J28" s="309">
        <f t="shared" ca="1" si="15"/>
        <v>100</v>
      </c>
      <c r="K28" s="306">
        <f ca="1">IFERROR(__xludf.DUMMYFUNCTION("IMPORTRANGE(""https://docs.google.com/spreadsheets/d/11923uPwbBZFjjGgGUA6NLw09EwE0CqkOc4q9oUmW1yo/edit?usp=sharing"",""ลำปาง!J443"")"),0)</f>
        <v>0</v>
      </c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339"/>
    </row>
    <row r="29" spans="1:25" ht="21" customHeight="1">
      <c r="A29" s="303">
        <v>14</v>
      </c>
      <c r="B29" s="304" t="s">
        <v>53</v>
      </c>
      <c r="C29" s="305">
        <f t="shared" ca="1" si="16"/>
        <v>34340</v>
      </c>
      <c r="D29" s="306">
        <f ca="1">IFERROR(__xludf.DUMMYFUNCTION("IMPORTRANGE(""https://docs.google.com/spreadsheets/d/1C3CXT74ZlgGe6_JY_1olB1XN4rF0dxEuIIF-xsYjHgg/edit?usp=sharing"",""งบกองทุน!DN33"")"),0)</f>
        <v>0</v>
      </c>
      <c r="E29" s="306">
        <f ca="1">IFERROR(__xludf.DUMMYFUNCTION("IMPORTRANGE(""https://docs.google.com/spreadsheets/d/1C3CXT74ZlgGe6_JY_1olB1XN4rF0dxEuIIF-xsYjHgg/edit?usp=sharing"",""งบกองทุน!DO33"")"),34340)</f>
        <v>34340</v>
      </c>
      <c r="F29" s="307">
        <f ca="1">IFERROR(__xludf.DUMMYFUNCTION("IMPORTRANGE(""https://docs.google.com/spreadsheets/d/11923uPwbBZFjjGgGUA6NLw09EwE0CqkOc4q9oUmW1yo/edit?usp=sharing"",""ลำพูน!M428"")"),17969)</f>
        <v>17969</v>
      </c>
      <c r="G29" s="307">
        <f t="shared" ca="1" si="1"/>
        <v>52.32673267326733</v>
      </c>
      <c r="H29" s="308">
        <f ca="1">IFERROR(__xludf.DUMMYFUNCTION("IMPORTRANGE(""https://docs.google.com/spreadsheets/d/1C3CXT74ZlgGe6_JY_1olB1XN4rF0dxEuIIF-xsYjHgg/edit?usp=sharing"",""งบกองทุน!DQ33"")"),22)</f>
        <v>22</v>
      </c>
      <c r="I29" s="308">
        <f ca="1">IFERROR(__xludf.DUMMYFUNCTION("IMPORTRANGE(""https://docs.google.com/spreadsheets/d/11923uPwbBZFjjGgGUA6NLw09EwE0CqkOc4q9oUmW1yo/edit?usp=sharing"",""ลำพูน!J442"")"),22)</f>
        <v>22</v>
      </c>
      <c r="J29" s="309">
        <f t="shared" ca="1" si="15"/>
        <v>100</v>
      </c>
      <c r="K29" s="306">
        <f ca="1">IFERROR(__xludf.DUMMYFUNCTION("IMPORTRANGE(""https://docs.google.com/spreadsheets/d/11923uPwbBZFjjGgGUA6NLw09EwE0CqkOc4q9oUmW1yo/edit?usp=sharing"",""ลำพูน!J443"")"),0)</f>
        <v>0</v>
      </c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339"/>
      <c r="W29" s="339"/>
      <c r="X29" s="339"/>
      <c r="Y29" s="339"/>
    </row>
    <row r="30" spans="1:25" ht="21" customHeight="1">
      <c r="A30" s="303">
        <v>15</v>
      </c>
      <c r="B30" s="304" t="s">
        <v>54</v>
      </c>
      <c r="C30" s="305">
        <f t="shared" ca="1" si="16"/>
        <v>34340</v>
      </c>
      <c r="D30" s="306">
        <f ca="1">IFERROR(__xludf.DUMMYFUNCTION("IMPORTRANGE(""https://docs.google.com/spreadsheets/d/1C3CXT74ZlgGe6_JY_1olB1XN4rF0dxEuIIF-xsYjHgg/edit?usp=sharing"",""งบกองทุน!DN34"")"),0)</f>
        <v>0</v>
      </c>
      <c r="E30" s="306">
        <f ca="1">IFERROR(__xludf.DUMMYFUNCTION("IMPORTRANGE(""https://docs.google.com/spreadsheets/d/1C3CXT74ZlgGe6_JY_1olB1XN4rF0dxEuIIF-xsYjHgg/edit?usp=sharing"",""งบกองทุน!DO34"")"),34340)</f>
        <v>34340</v>
      </c>
      <c r="F30" s="307">
        <f ca="1">IFERROR(__xludf.DUMMYFUNCTION("IMPORTRANGE(""https://docs.google.com/spreadsheets/d/11923uPwbBZFjjGgGUA6NLw09EwE0CqkOc4q9oUmW1yo/edit?usp=sharing"",""สุโขทัย!M428"")"),18740)</f>
        <v>18740</v>
      </c>
      <c r="G30" s="307">
        <f t="shared" ca="1" si="1"/>
        <v>54.571927781013393</v>
      </c>
      <c r="H30" s="308">
        <f ca="1">IFERROR(__xludf.DUMMYFUNCTION("IMPORTRANGE(""https://docs.google.com/spreadsheets/d/1C3CXT74ZlgGe6_JY_1olB1XN4rF0dxEuIIF-xsYjHgg/edit?usp=sharing"",""งบกองทุน!DQ34"")"),22)</f>
        <v>22</v>
      </c>
      <c r="I30" s="308">
        <f ca="1">IFERROR(__xludf.DUMMYFUNCTION("IMPORTRANGE(""https://docs.google.com/spreadsheets/d/11923uPwbBZFjjGgGUA6NLw09EwE0CqkOc4q9oUmW1yo/edit?usp=sharing"",""สุโขทัย!J442"")"),22)</f>
        <v>22</v>
      </c>
      <c r="J30" s="309">
        <f t="shared" ca="1" si="15"/>
        <v>100</v>
      </c>
      <c r="K30" s="306">
        <f ca="1">IFERROR(__xludf.DUMMYFUNCTION("IMPORTRANGE(""https://docs.google.com/spreadsheets/d/11923uPwbBZFjjGgGUA6NLw09EwE0CqkOc4q9oUmW1yo/edit?usp=sharing"",""สุโขทัย!J443"")"),0)</f>
        <v>0</v>
      </c>
      <c r="L30" s="339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</row>
    <row r="31" spans="1:25" ht="21" customHeight="1">
      <c r="A31" s="303">
        <v>16</v>
      </c>
      <c r="B31" s="304" t="s">
        <v>55</v>
      </c>
      <c r="C31" s="305">
        <f t="shared" ca="1" si="16"/>
        <v>34340</v>
      </c>
      <c r="D31" s="306">
        <f ca="1">IFERROR(__xludf.DUMMYFUNCTION("IMPORTRANGE(""https://docs.google.com/spreadsheets/d/1C3CXT74ZlgGe6_JY_1olB1XN4rF0dxEuIIF-xsYjHgg/edit?usp=sharing"",""งบกองทุน!DN35"")"),0)</f>
        <v>0</v>
      </c>
      <c r="E31" s="306">
        <f ca="1">IFERROR(__xludf.DUMMYFUNCTION("IMPORTRANGE(""https://docs.google.com/spreadsheets/d/1C3CXT74ZlgGe6_JY_1olB1XN4rF0dxEuIIF-xsYjHgg/edit?usp=sharing"",""งบกองทุน!DO35"")"),34340)</f>
        <v>34340</v>
      </c>
      <c r="F31" s="307">
        <f ca="1">IFERROR(__xludf.DUMMYFUNCTION("IMPORTRANGE(""https://docs.google.com/spreadsheets/d/11923uPwbBZFjjGgGUA6NLw09EwE0CqkOc4q9oUmW1yo/edit?usp=sharing"",""อุตรดิตถ์!M428"")"),23281)</f>
        <v>23281</v>
      </c>
      <c r="G31" s="307">
        <f t="shared" ca="1" si="1"/>
        <v>67.795573675014566</v>
      </c>
      <c r="H31" s="308">
        <f ca="1">IFERROR(__xludf.DUMMYFUNCTION("IMPORTRANGE(""https://docs.google.com/spreadsheets/d/1C3CXT74ZlgGe6_JY_1olB1XN4rF0dxEuIIF-xsYjHgg/edit?usp=sharing"",""งบกองทุน!DQ35"")"),22)</f>
        <v>22</v>
      </c>
      <c r="I31" s="308">
        <f ca="1">IFERROR(__xludf.DUMMYFUNCTION("IMPORTRANGE(""https://docs.google.com/spreadsheets/d/11923uPwbBZFjjGgGUA6NLw09EwE0CqkOc4q9oUmW1yo/edit?usp=sharing"",""อุตรดิตถ์!J442"")"),22)</f>
        <v>22</v>
      </c>
      <c r="J31" s="309">
        <f t="shared" ca="1" si="15"/>
        <v>100</v>
      </c>
      <c r="K31" s="306">
        <f ca="1">IFERROR(__xludf.DUMMYFUNCTION("IMPORTRANGE(""https://docs.google.com/spreadsheets/d/11923uPwbBZFjjGgGUA6NLw09EwE0CqkOc4q9oUmW1yo/edit?usp=sharing"",""อุตรดิตถ์!J443"")"),0)</f>
        <v>0</v>
      </c>
      <c r="L31" s="339"/>
      <c r="M31" s="339"/>
      <c r="N31" s="339"/>
      <c r="O31" s="339"/>
      <c r="P31" s="339"/>
      <c r="Q31" s="339"/>
      <c r="R31" s="339"/>
      <c r="S31" s="339"/>
      <c r="T31" s="339"/>
      <c r="U31" s="339"/>
      <c r="V31" s="339"/>
      <c r="W31" s="339"/>
      <c r="X31" s="339"/>
      <c r="Y31" s="339"/>
    </row>
    <row r="32" spans="1:25" ht="21" customHeight="1">
      <c r="A32" s="310">
        <v>17</v>
      </c>
      <c r="B32" s="311" t="s">
        <v>56</v>
      </c>
      <c r="C32" s="312">
        <f t="shared" ca="1" si="16"/>
        <v>36040</v>
      </c>
      <c r="D32" s="313">
        <f ca="1">IFERROR(__xludf.DUMMYFUNCTION("IMPORTRANGE(""https://docs.google.com/spreadsheets/d/1C3CXT74ZlgGe6_JY_1olB1XN4rF0dxEuIIF-xsYjHgg/edit?usp=sharing"",""งบกองทุน!DN36"")"),0)</f>
        <v>0</v>
      </c>
      <c r="E32" s="313">
        <f ca="1">IFERROR(__xludf.DUMMYFUNCTION("IMPORTRANGE(""https://docs.google.com/spreadsheets/d/1C3CXT74ZlgGe6_JY_1olB1XN4rF0dxEuIIF-xsYjHgg/edit?usp=sharing"",""งบกองทุน!DO36"")"),36040)</f>
        <v>36040</v>
      </c>
      <c r="F32" s="314">
        <f ca="1">IFERROR(__xludf.DUMMYFUNCTION("IMPORTRANGE(""https://docs.google.com/spreadsheets/d/11923uPwbBZFjjGgGUA6NLw09EwE0CqkOc4q9oUmW1yo/edit?usp=sharing"",""อุทัยธานี!M428"")"),30290)</f>
        <v>30290</v>
      </c>
      <c r="G32" s="314">
        <f t="shared" ca="1" si="1"/>
        <v>84.04550499445061</v>
      </c>
      <c r="H32" s="315">
        <f ca="1">IFERROR(__xludf.DUMMYFUNCTION("IMPORTRANGE(""https://docs.google.com/spreadsheets/d/1C3CXT74ZlgGe6_JY_1olB1XN4rF0dxEuIIF-xsYjHgg/edit?usp=sharing"",""งบกองทุน!DQ36"")"),24)</f>
        <v>24</v>
      </c>
      <c r="I32" s="315">
        <f ca="1">IFERROR(__xludf.DUMMYFUNCTION("IMPORTRANGE(""https://docs.google.com/spreadsheets/d/11923uPwbBZFjjGgGUA6NLw09EwE0CqkOc4q9oUmW1yo/edit?usp=sharing"",""อุทัยธานี!J442"")"),24)</f>
        <v>24</v>
      </c>
      <c r="J32" s="316">
        <f t="shared" ca="1" si="15"/>
        <v>100</v>
      </c>
      <c r="K32" s="313">
        <f ca="1">IFERROR(__xludf.DUMMYFUNCTION("IMPORTRANGE(""https://docs.google.com/spreadsheets/d/11923uPwbBZFjjGgGUA6NLw09EwE0CqkOc4q9oUmW1yo/edit?usp=sharing"",""อุทัยธานี!J443"")"),0)</f>
        <v>0</v>
      </c>
      <c r="L32" s="339"/>
      <c r="M32" s="339"/>
      <c r="N32" s="339"/>
      <c r="O32" s="339"/>
      <c r="P32" s="339"/>
      <c r="Q32" s="339"/>
      <c r="R32" s="339"/>
      <c r="S32" s="339"/>
      <c r="T32" s="339"/>
      <c r="U32" s="339"/>
      <c r="V32" s="339"/>
      <c r="W32" s="339"/>
      <c r="X32" s="339"/>
      <c r="Y32" s="339"/>
    </row>
    <row r="33" spans="1:25" ht="21" customHeight="1">
      <c r="A33" s="800" t="s">
        <v>57</v>
      </c>
      <c r="B33" s="678"/>
      <c r="C33" s="317">
        <f t="shared" ref="C33:F33" ca="1" si="17">SUM(C34:C53)</f>
        <v>705510</v>
      </c>
      <c r="D33" s="318">
        <f t="shared" ca="1" si="17"/>
        <v>0</v>
      </c>
      <c r="E33" s="318">
        <f t="shared" ca="1" si="17"/>
        <v>705510</v>
      </c>
      <c r="F33" s="319">
        <f t="shared" ca="1" si="17"/>
        <v>554334.69999999995</v>
      </c>
      <c r="G33" s="319">
        <f t="shared" ca="1" si="1"/>
        <v>78.572196000056692</v>
      </c>
      <c r="H33" s="318">
        <f t="shared" ref="H33:I33" ca="1" si="18">SUM(H34:H53)</f>
        <v>462</v>
      </c>
      <c r="I33" s="318">
        <f t="shared" ca="1" si="18"/>
        <v>462</v>
      </c>
      <c r="J33" s="319">
        <f t="shared" ca="1" si="15"/>
        <v>100</v>
      </c>
      <c r="K33" s="318">
        <f ca="1">SUM(K34:K53)</f>
        <v>0</v>
      </c>
      <c r="L33" s="339"/>
      <c r="M33" s="339"/>
      <c r="N33" s="339"/>
      <c r="O33" s="339"/>
      <c r="P33" s="339"/>
      <c r="Q33" s="339"/>
      <c r="R33" s="339"/>
      <c r="S33" s="339"/>
      <c r="T33" s="339"/>
      <c r="U33" s="339"/>
      <c r="V33" s="339"/>
      <c r="W33" s="339"/>
      <c r="X33" s="339"/>
      <c r="Y33" s="339"/>
    </row>
    <row r="34" spans="1:25" ht="21" customHeight="1">
      <c r="A34" s="293">
        <v>1</v>
      </c>
      <c r="B34" s="357" t="s">
        <v>58</v>
      </c>
      <c r="C34" s="295">
        <f t="shared" ref="C34:C53" ca="1" si="19">+D34+E34</f>
        <v>31800</v>
      </c>
      <c r="D34" s="296">
        <f ca="1">IFERROR(__xludf.DUMMYFUNCTION("IMPORTRANGE(""https://docs.google.com/spreadsheets/d/1C3CXT74ZlgGe6_JY_1olB1XN4rF0dxEuIIF-xsYjHgg/edit?usp=sharing"",""งบกองทุน!DN38"")"),0)</f>
        <v>0</v>
      </c>
      <c r="E34" s="296">
        <f ca="1">IFERROR(__xludf.DUMMYFUNCTION("IMPORTRANGE(""https://docs.google.com/spreadsheets/d/1C3CXT74ZlgGe6_JY_1olB1XN4rF0dxEuIIF-xsYjHgg/edit?usp=sharing"",""งบกองทุน!DO38"")"),31800)</f>
        <v>31800</v>
      </c>
      <c r="F34" s="297">
        <f ca="1">IFERROR(__xludf.DUMMYFUNCTION("IMPORTRANGE(""https://docs.google.com/spreadsheets/d/1XL5vhW3sbDhbH9Cz0tuDiY8C3ctxq1tqvaCgkFb8cCA/edit?usp=sharing"",""กาฬสินธุ์!M428"")"),24034)</f>
        <v>24034</v>
      </c>
      <c r="G34" s="297">
        <f t="shared" ca="1" si="1"/>
        <v>75.578616352201252</v>
      </c>
      <c r="H34" s="299">
        <f ca="1">IFERROR(__xludf.DUMMYFUNCTION("IMPORTRANGE(""https://docs.google.com/spreadsheets/d/1C3CXT74ZlgGe6_JY_1olB1XN4rF0dxEuIIF-xsYjHgg/edit?usp=sharing"",""งบกองทุน!DQ38"")"),19)</f>
        <v>19</v>
      </c>
      <c r="I34" s="299">
        <f ca="1">IFERROR(__xludf.DUMMYFUNCTION("IMPORTRANGE(""https://docs.google.com/spreadsheets/d/1XL5vhW3sbDhbH9Cz0tuDiY8C3ctxq1tqvaCgkFb8cCA/edit?usp=sharing"",""กาฬสินธุ์!J442"")"),19)</f>
        <v>19</v>
      </c>
      <c r="J34" s="301">
        <f t="shared" ca="1" si="15"/>
        <v>100</v>
      </c>
      <c r="K34" s="296">
        <f ca="1">IFERROR(__xludf.DUMMYFUNCTION("IMPORTRANGE(""https://docs.google.com/spreadsheets/d/1XL5vhW3sbDhbH9Cz0tuDiY8C3ctxq1tqvaCgkFb8cCA/edit?usp=sharing"",""กาฬสินธุ์!J443"")"),0)</f>
        <v>0</v>
      </c>
      <c r="L34" s="339"/>
      <c r="M34" s="339"/>
      <c r="N34" s="339"/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339"/>
    </row>
    <row r="35" spans="1:25" ht="21" customHeight="1">
      <c r="A35" s="303">
        <v>2</v>
      </c>
      <c r="B35" s="304" t="s">
        <v>59</v>
      </c>
      <c r="C35" s="305">
        <f t="shared" ca="1" si="19"/>
        <v>37740</v>
      </c>
      <c r="D35" s="306">
        <f ca="1">IFERROR(__xludf.DUMMYFUNCTION("IMPORTRANGE(""https://docs.google.com/spreadsheets/d/1C3CXT74ZlgGe6_JY_1olB1XN4rF0dxEuIIF-xsYjHgg/edit?usp=sharing"",""งบกองทุน!DN39"")"),0)</f>
        <v>0</v>
      </c>
      <c r="E35" s="306">
        <f ca="1">IFERROR(__xludf.DUMMYFUNCTION("IMPORTRANGE(""https://docs.google.com/spreadsheets/d/1C3CXT74ZlgGe6_JY_1olB1XN4rF0dxEuIIF-xsYjHgg/edit?usp=sharing"",""งบกองทุน!DO39"")"),37740)</f>
        <v>37740</v>
      </c>
      <c r="F35" s="307">
        <f ca="1">IFERROR(__xludf.DUMMYFUNCTION("IMPORTRANGE(""https://docs.google.com/spreadsheets/d/1XL5vhW3sbDhbH9Cz0tuDiY8C3ctxq1tqvaCgkFb8cCA/edit?usp=sharing"",""ขอนแก่น!M428"")"),21773)</f>
        <v>21773</v>
      </c>
      <c r="G35" s="307">
        <f t="shared" ca="1" si="1"/>
        <v>57.692103868574456</v>
      </c>
      <c r="H35" s="308">
        <f ca="1">IFERROR(__xludf.DUMMYFUNCTION("IMPORTRANGE(""https://docs.google.com/spreadsheets/d/1C3CXT74ZlgGe6_JY_1olB1XN4rF0dxEuIIF-xsYjHgg/edit?usp=sharing"",""งบกองทุน!DQ39"")"),26)</f>
        <v>26</v>
      </c>
      <c r="I35" s="308">
        <f ca="1">IFERROR(__xludf.DUMMYFUNCTION("IMPORTRANGE(""https://docs.google.com/spreadsheets/d/1XL5vhW3sbDhbH9Cz0tuDiY8C3ctxq1tqvaCgkFb8cCA/edit?usp=sharing"",""ขอนแก่น!J442"")"),26)</f>
        <v>26</v>
      </c>
      <c r="J35" s="309">
        <f t="shared" ca="1" si="15"/>
        <v>100</v>
      </c>
      <c r="K35" s="306">
        <f ca="1">IFERROR(__xludf.DUMMYFUNCTION("IMPORTRANGE(""https://docs.google.com/spreadsheets/d/1XL5vhW3sbDhbH9Cz0tuDiY8C3ctxq1tqvaCgkFb8cCA/edit?usp=sharing"",""ขอนแก่น!J443"")"),0)</f>
        <v>0</v>
      </c>
      <c r="L35" s="339"/>
      <c r="M35" s="339"/>
      <c r="N35" s="339"/>
      <c r="O35" s="339"/>
      <c r="P35" s="339"/>
      <c r="Q35" s="339"/>
      <c r="R35" s="339"/>
      <c r="S35" s="339"/>
      <c r="T35" s="339"/>
      <c r="U35" s="339"/>
      <c r="V35" s="339"/>
      <c r="W35" s="339"/>
      <c r="X35" s="339"/>
      <c r="Y35" s="339"/>
    </row>
    <row r="36" spans="1:25" ht="21" customHeight="1">
      <c r="A36" s="303">
        <v>3</v>
      </c>
      <c r="B36" s="304" t="s">
        <v>60</v>
      </c>
      <c r="C36" s="305">
        <f t="shared" ca="1" si="19"/>
        <v>37740</v>
      </c>
      <c r="D36" s="306">
        <f ca="1">IFERROR(__xludf.DUMMYFUNCTION("IMPORTRANGE(""https://docs.google.com/spreadsheets/d/1C3CXT74ZlgGe6_JY_1olB1XN4rF0dxEuIIF-xsYjHgg/edit?usp=sharing"",""งบกองทุน!DN40"")"),0)</f>
        <v>0</v>
      </c>
      <c r="E36" s="306">
        <f ca="1">IFERROR(__xludf.DUMMYFUNCTION("IMPORTRANGE(""https://docs.google.com/spreadsheets/d/1C3CXT74ZlgGe6_JY_1olB1XN4rF0dxEuIIF-xsYjHgg/edit?usp=sharing"",""งบกองทุน!DO40"")"),37740)</f>
        <v>37740</v>
      </c>
      <c r="F36" s="307">
        <f ca="1">IFERROR(__xludf.DUMMYFUNCTION("IMPORTRANGE(""https://docs.google.com/spreadsheets/d/1XL5vhW3sbDhbH9Cz0tuDiY8C3ctxq1tqvaCgkFb8cCA/edit?usp=sharing"",""ชัยภูมิ!M428"")"),27634)</f>
        <v>27634</v>
      </c>
      <c r="G36" s="307">
        <f t="shared" ca="1" si="1"/>
        <v>73.222045574986751</v>
      </c>
      <c r="H36" s="308">
        <f ca="1">IFERROR(__xludf.DUMMYFUNCTION("IMPORTRANGE(""https://docs.google.com/spreadsheets/d/1C3CXT74ZlgGe6_JY_1olB1XN4rF0dxEuIIF-xsYjHgg/edit?usp=sharing"",""งบกองทุน!DQ40"")"),26)</f>
        <v>26</v>
      </c>
      <c r="I36" s="308">
        <f ca="1">IFERROR(__xludf.DUMMYFUNCTION("IMPORTRANGE(""https://docs.google.com/spreadsheets/d/1XL5vhW3sbDhbH9Cz0tuDiY8C3ctxq1tqvaCgkFb8cCA/edit?usp=sharing"",""ชัยภูมิ!J442"")"),26)</f>
        <v>26</v>
      </c>
      <c r="J36" s="309">
        <f t="shared" ca="1" si="15"/>
        <v>100</v>
      </c>
      <c r="K36" s="306">
        <f ca="1">IFERROR(__xludf.DUMMYFUNCTION("IMPORTRANGE(""https://docs.google.com/spreadsheets/d/1XL5vhW3sbDhbH9Cz0tuDiY8C3ctxq1tqvaCgkFb8cCA/edit?usp=sharing"",""ชัยภูมิ!J443"")"),0)</f>
        <v>0</v>
      </c>
      <c r="L36" s="339"/>
      <c r="M36" s="339"/>
      <c r="N36" s="339"/>
      <c r="O36" s="339"/>
      <c r="P36" s="339"/>
      <c r="Q36" s="339"/>
      <c r="R36" s="339"/>
      <c r="S36" s="339"/>
      <c r="T36" s="339"/>
      <c r="U36" s="339"/>
      <c r="V36" s="339"/>
      <c r="W36" s="339"/>
      <c r="X36" s="339"/>
      <c r="Y36" s="339"/>
    </row>
    <row r="37" spans="1:25" ht="21" customHeight="1">
      <c r="A37" s="303">
        <v>4</v>
      </c>
      <c r="B37" s="304" t="s">
        <v>61</v>
      </c>
      <c r="C37" s="305">
        <f t="shared" ca="1" si="19"/>
        <v>34340</v>
      </c>
      <c r="D37" s="306">
        <f ca="1">IFERROR(__xludf.DUMMYFUNCTION("IMPORTRANGE(""https://docs.google.com/spreadsheets/d/1C3CXT74ZlgGe6_JY_1olB1XN4rF0dxEuIIF-xsYjHgg/edit?usp=sharing"",""งบกองทุน!DN41"")"),0)</f>
        <v>0</v>
      </c>
      <c r="E37" s="306">
        <f ca="1">IFERROR(__xludf.DUMMYFUNCTION("IMPORTRANGE(""https://docs.google.com/spreadsheets/d/1C3CXT74ZlgGe6_JY_1olB1XN4rF0dxEuIIF-xsYjHgg/edit?usp=sharing"",""งบกองทุน!DO41"")"),34340)</f>
        <v>34340</v>
      </c>
      <c r="F37" s="307">
        <f ca="1">IFERROR(__xludf.DUMMYFUNCTION("IMPORTRANGE(""https://docs.google.com/spreadsheets/d/1XL5vhW3sbDhbH9Cz0tuDiY8C3ctxq1tqvaCgkFb8cCA/edit?usp=sharing"",""นครพนม!M428"")"),32090.2)</f>
        <v>32090.2</v>
      </c>
      <c r="G37" s="307">
        <f t="shared" ca="1" si="1"/>
        <v>93.448456610366918</v>
      </c>
      <c r="H37" s="308">
        <f ca="1">IFERROR(__xludf.DUMMYFUNCTION("IMPORTRANGE(""https://docs.google.com/spreadsheets/d/1C3CXT74ZlgGe6_JY_1olB1XN4rF0dxEuIIF-xsYjHgg/edit?usp=sharing"",""งบกองทุน!DQ41"")"),22)</f>
        <v>22</v>
      </c>
      <c r="I37" s="308">
        <f ca="1">IFERROR(__xludf.DUMMYFUNCTION("IMPORTRANGE(""https://docs.google.com/spreadsheets/d/1XL5vhW3sbDhbH9Cz0tuDiY8C3ctxq1tqvaCgkFb8cCA/edit?usp=sharing"",""นครพนม!J442"")"),22)</f>
        <v>22</v>
      </c>
      <c r="J37" s="309">
        <f t="shared" ca="1" si="15"/>
        <v>100</v>
      </c>
      <c r="K37" s="306">
        <f ca="1">IFERROR(__xludf.DUMMYFUNCTION("IMPORTRANGE(""https://docs.google.com/spreadsheets/d/1XL5vhW3sbDhbH9Cz0tuDiY8C3ctxq1tqvaCgkFb8cCA/edit?usp=sharing"",""นครพนม!J443"")"),0)</f>
        <v>0</v>
      </c>
      <c r="L37" s="339"/>
      <c r="M37" s="339"/>
      <c r="N37" s="339"/>
      <c r="O37" s="339"/>
      <c r="P37" s="339"/>
      <c r="Q37" s="339"/>
      <c r="R37" s="339"/>
      <c r="S37" s="339"/>
      <c r="T37" s="339"/>
      <c r="U37" s="339"/>
      <c r="V37" s="339"/>
      <c r="W37" s="339"/>
      <c r="X37" s="339"/>
      <c r="Y37" s="339"/>
    </row>
    <row r="38" spans="1:25" ht="21" customHeight="1">
      <c r="A38" s="303">
        <v>5</v>
      </c>
      <c r="B38" s="304" t="s">
        <v>62</v>
      </c>
      <c r="C38" s="305">
        <f t="shared" ca="1" si="19"/>
        <v>36040</v>
      </c>
      <c r="D38" s="306">
        <f ca="1">IFERROR(__xludf.DUMMYFUNCTION("IMPORTRANGE(""https://docs.google.com/spreadsheets/d/1C3CXT74ZlgGe6_JY_1olB1XN4rF0dxEuIIF-xsYjHgg/edit?usp=sharing"",""งบกองทุน!DN42"")"),0)</f>
        <v>0</v>
      </c>
      <c r="E38" s="306">
        <f ca="1">IFERROR(__xludf.DUMMYFUNCTION("IMPORTRANGE(""https://docs.google.com/spreadsheets/d/1C3CXT74ZlgGe6_JY_1olB1XN4rF0dxEuIIF-xsYjHgg/edit?usp=sharing"",""งบกองทุน!DO42"")"),36040)</f>
        <v>36040</v>
      </c>
      <c r="F38" s="307">
        <f ca="1">IFERROR(__xludf.DUMMYFUNCTION("IMPORTRANGE(""https://docs.google.com/spreadsheets/d/1XL5vhW3sbDhbH9Cz0tuDiY8C3ctxq1tqvaCgkFb8cCA/edit?usp=sharing"",""นครราชสีมา!M428"")"),26450)</f>
        <v>26450</v>
      </c>
      <c r="G38" s="307">
        <f t="shared" ca="1" si="1"/>
        <v>73.390677025527197</v>
      </c>
      <c r="H38" s="308">
        <f ca="1">IFERROR(__xludf.DUMMYFUNCTION("IMPORTRANGE(""https://docs.google.com/spreadsheets/d/1C3CXT74ZlgGe6_JY_1olB1XN4rF0dxEuIIF-xsYjHgg/edit?usp=sharing"",""งบกองทุน!DQ42"")"),24)</f>
        <v>24</v>
      </c>
      <c r="I38" s="308">
        <f ca="1">IFERROR(__xludf.DUMMYFUNCTION("IMPORTRANGE(""https://docs.google.com/spreadsheets/d/1XL5vhW3sbDhbH9Cz0tuDiY8C3ctxq1tqvaCgkFb8cCA/edit?usp=sharing"",""นครราชสีมา!J442"")"),24)</f>
        <v>24</v>
      </c>
      <c r="J38" s="309">
        <f t="shared" ca="1" si="15"/>
        <v>100</v>
      </c>
      <c r="K38" s="306">
        <f ca="1">IFERROR(__xludf.DUMMYFUNCTION("IMPORTRANGE(""https://docs.google.com/spreadsheets/d/1XL5vhW3sbDhbH9Cz0tuDiY8C3ctxq1tqvaCgkFb8cCA/edit?usp=sharing"",""นครราชสีมา!J443"")"),0)</f>
        <v>0</v>
      </c>
      <c r="L38" s="339"/>
      <c r="M38" s="339"/>
      <c r="N38" s="339"/>
      <c r="O38" s="339"/>
      <c r="P38" s="339"/>
      <c r="Q38" s="339"/>
      <c r="R38" s="339"/>
      <c r="S38" s="339"/>
      <c r="T38" s="339"/>
      <c r="U38" s="339"/>
      <c r="V38" s="339"/>
      <c r="W38" s="339"/>
      <c r="X38" s="339"/>
      <c r="Y38" s="339"/>
    </row>
    <row r="39" spans="1:25" ht="21" customHeight="1">
      <c r="A39" s="303">
        <v>6</v>
      </c>
      <c r="B39" s="304" t="s">
        <v>63</v>
      </c>
      <c r="C39" s="305">
        <f t="shared" ca="1" si="19"/>
        <v>41140</v>
      </c>
      <c r="D39" s="306">
        <f ca="1">IFERROR(__xludf.DUMMYFUNCTION("IMPORTRANGE(""https://docs.google.com/spreadsheets/d/1C3CXT74ZlgGe6_JY_1olB1XN4rF0dxEuIIF-xsYjHgg/edit?usp=sharing"",""งบกองทุน!DN43"")"),0)</f>
        <v>0</v>
      </c>
      <c r="E39" s="306">
        <f ca="1">IFERROR(__xludf.DUMMYFUNCTION("IMPORTRANGE(""https://docs.google.com/spreadsheets/d/1C3CXT74ZlgGe6_JY_1olB1XN4rF0dxEuIIF-xsYjHgg/edit?usp=sharing"",""งบกองทุน!DO43"")"),41140)</f>
        <v>41140</v>
      </c>
      <c r="F39" s="307">
        <f ca="1">IFERROR(__xludf.DUMMYFUNCTION("IMPORTRANGE(""https://docs.google.com/spreadsheets/d/1XL5vhW3sbDhbH9Cz0tuDiY8C3ctxq1tqvaCgkFb8cCA/edit?usp=sharing"",""บึงกาฬ!M428"")"),34512)</f>
        <v>34512</v>
      </c>
      <c r="G39" s="307">
        <f t="shared" ca="1" si="1"/>
        <v>83.889158969372872</v>
      </c>
      <c r="H39" s="308">
        <f ca="1">IFERROR(__xludf.DUMMYFUNCTION("IMPORTRANGE(""https://docs.google.com/spreadsheets/d/1C3CXT74ZlgGe6_JY_1olB1XN4rF0dxEuIIF-xsYjHgg/edit?usp=sharing"",""งบกองทุน!DQ43"")"),30)</f>
        <v>30</v>
      </c>
      <c r="I39" s="308">
        <f ca="1">IFERROR(__xludf.DUMMYFUNCTION("IMPORTRANGE(""https://docs.google.com/spreadsheets/d/1XL5vhW3sbDhbH9Cz0tuDiY8C3ctxq1tqvaCgkFb8cCA/edit?usp=sharing"",""บึงกาฬ!J442"")"),30)</f>
        <v>30</v>
      </c>
      <c r="J39" s="309">
        <f t="shared" ca="1" si="15"/>
        <v>100</v>
      </c>
      <c r="K39" s="306">
        <f ca="1">IFERROR(__xludf.DUMMYFUNCTION("IMPORTRANGE(""https://docs.google.com/spreadsheets/d/1XL5vhW3sbDhbH9Cz0tuDiY8C3ctxq1tqvaCgkFb8cCA/edit?usp=sharing"",""บึงกาฬ!J443"")"),0)</f>
        <v>0</v>
      </c>
      <c r="L39" s="339"/>
      <c r="M39" s="339"/>
      <c r="N39" s="339"/>
      <c r="O39" s="339"/>
      <c r="P39" s="339"/>
      <c r="Q39" s="339"/>
      <c r="R39" s="339"/>
      <c r="S39" s="339"/>
      <c r="T39" s="339"/>
      <c r="U39" s="339"/>
      <c r="V39" s="339"/>
      <c r="W39" s="339"/>
      <c r="X39" s="339"/>
      <c r="Y39" s="339"/>
    </row>
    <row r="40" spans="1:25" ht="21" customHeight="1">
      <c r="A40" s="303">
        <v>7</v>
      </c>
      <c r="B40" s="304" t="s">
        <v>64</v>
      </c>
      <c r="C40" s="305">
        <f t="shared" ca="1" si="19"/>
        <v>34340</v>
      </c>
      <c r="D40" s="306">
        <f ca="1">IFERROR(__xludf.DUMMYFUNCTION("IMPORTRANGE(""https://docs.google.com/spreadsheets/d/1C3CXT74ZlgGe6_JY_1olB1XN4rF0dxEuIIF-xsYjHgg/edit?usp=sharing"",""งบกองทุน!DN44"")"),0)</f>
        <v>0</v>
      </c>
      <c r="E40" s="306">
        <f ca="1">IFERROR(__xludf.DUMMYFUNCTION("IMPORTRANGE(""https://docs.google.com/spreadsheets/d/1C3CXT74ZlgGe6_JY_1olB1XN4rF0dxEuIIF-xsYjHgg/edit?usp=sharing"",""งบกองทุน!DO44"")"),34340)</f>
        <v>34340</v>
      </c>
      <c r="F40" s="307">
        <f ca="1">IFERROR(__xludf.DUMMYFUNCTION("IMPORTRANGE(""https://docs.google.com/spreadsheets/d/1XL5vhW3sbDhbH9Cz0tuDiY8C3ctxq1tqvaCgkFb8cCA/edit?usp=sharing"",""บุรีรัมย์!M428"")"),20300)</f>
        <v>20300</v>
      </c>
      <c r="G40" s="307">
        <f t="shared" ca="1" si="1"/>
        <v>59.114735002912056</v>
      </c>
      <c r="H40" s="308">
        <f ca="1">IFERROR(__xludf.DUMMYFUNCTION("IMPORTRANGE(""https://docs.google.com/spreadsheets/d/1C3CXT74ZlgGe6_JY_1olB1XN4rF0dxEuIIF-xsYjHgg/edit?usp=sharing"",""งบกองทุน!DQ44"")"),22)</f>
        <v>22</v>
      </c>
      <c r="I40" s="308">
        <f ca="1">IFERROR(__xludf.DUMMYFUNCTION("IMPORTRANGE(""https://docs.google.com/spreadsheets/d/1XL5vhW3sbDhbH9Cz0tuDiY8C3ctxq1tqvaCgkFb8cCA/edit?usp=sharing"",""บุรีรัมย์!J442"")"),22)</f>
        <v>22</v>
      </c>
      <c r="J40" s="309">
        <f t="shared" ca="1" si="15"/>
        <v>100</v>
      </c>
      <c r="K40" s="306">
        <f ca="1">IFERROR(__xludf.DUMMYFUNCTION("IMPORTRANGE(""https://docs.google.com/spreadsheets/d/1XL5vhW3sbDhbH9Cz0tuDiY8C3ctxq1tqvaCgkFb8cCA/edit?usp=sharing"",""บุรีรัมย์!J443"")"),0)</f>
        <v>0</v>
      </c>
      <c r="L40" s="339"/>
      <c r="M40" s="339"/>
      <c r="N40" s="339"/>
      <c r="O40" s="339"/>
      <c r="P40" s="339"/>
      <c r="Q40" s="339"/>
      <c r="R40" s="339"/>
      <c r="S40" s="339"/>
      <c r="T40" s="339"/>
      <c r="U40" s="339"/>
      <c r="V40" s="339"/>
      <c r="W40" s="339"/>
      <c r="X40" s="339"/>
      <c r="Y40" s="339"/>
    </row>
    <row r="41" spans="1:25" ht="21" customHeight="1">
      <c r="A41" s="303">
        <v>8</v>
      </c>
      <c r="B41" s="304" t="s">
        <v>65</v>
      </c>
      <c r="C41" s="305">
        <f t="shared" ca="1" si="19"/>
        <v>34340</v>
      </c>
      <c r="D41" s="306">
        <f ca="1">IFERROR(__xludf.DUMMYFUNCTION("IMPORTRANGE(""https://docs.google.com/spreadsheets/d/1C3CXT74ZlgGe6_JY_1olB1XN4rF0dxEuIIF-xsYjHgg/edit?usp=sharing"",""งบกองทุน!DN45"")"),0)</f>
        <v>0</v>
      </c>
      <c r="E41" s="306">
        <f ca="1">IFERROR(__xludf.DUMMYFUNCTION("IMPORTRANGE(""https://docs.google.com/spreadsheets/d/1C3CXT74ZlgGe6_JY_1olB1XN4rF0dxEuIIF-xsYjHgg/edit?usp=sharing"",""งบกองทุน!DO45"")"),34340)</f>
        <v>34340</v>
      </c>
      <c r="F41" s="307">
        <f ca="1">IFERROR(__xludf.DUMMYFUNCTION("IMPORTRANGE(""https://docs.google.com/spreadsheets/d/1XL5vhW3sbDhbH9Cz0tuDiY8C3ctxq1tqvaCgkFb8cCA/edit?usp=sharing"",""มหาสารคาม!M428"")"),27480)</f>
        <v>27480</v>
      </c>
      <c r="G41" s="307">
        <f t="shared" ca="1" si="1"/>
        <v>80.023296447291784</v>
      </c>
      <c r="H41" s="308">
        <f ca="1">IFERROR(__xludf.DUMMYFUNCTION("IMPORTRANGE(""https://docs.google.com/spreadsheets/d/1C3CXT74ZlgGe6_JY_1olB1XN4rF0dxEuIIF-xsYjHgg/edit?usp=sharing"",""งบกองทุน!DQ45"")"),22)</f>
        <v>22</v>
      </c>
      <c r="I41" s="308">
        <f ca="1">IFERROR(__xludf.DUMMYFUNCTION("IMPORTRANGE(""https://docs.google.com/spreadsheets/d/1XL5vhW3sbDhbH9Cz0tuDiY8C3ctxq1tqvaCgkFb8cCA/edit?usp=sharing"",""มหาสารคาม!J442"")"),22)</f>
        <v>22</v>
      </c>
      <c r="J41" s="309">
        <f t="shared" ca="1" si="15"/>
        <v>100</v>
      </c>
      <c r="K41" s="306">
        <f ca="1">IFERROR(__xludf.DUMMYFUNCTION("IMPORTRANGE(""https://docs.google.com/spreadsheets/d/1XL5vhW3sbDhbH9Cz0tuDiY8C3ctxq1tqvaCgkFb8cCA/edit?usp=sharing"",""มหาสารคาม!J443"")"),0)</f>
        <v>0</v>
      </c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  <c r="W41" s="339"/>
      <c r="X41" s="339"/>
      <c r="Y41" s="339"/>
    </row>
    <row r="42" spans="1:25" ht="21" customHeight="1">
      <c r="A42" s="303">
        <v>9</v>
      </c>
      <c r="B42" s="304" t="s">
        <v>66</v>
      </c>
      <c r="C42" s="305">
        <f t="shared" ca="1" si="19"/>
        <v>34340</v>
      </c>
      <c r="D42" s="306">
        <f ca="1">IFERROR(__xludf.DUMMYFUNCTION("IMPORTRANGE(""https://docs.google.com/spreadsheets/d/1C3CXT74ZlgGe6_JY_1olB1XN4rF0dxEuIIF-xsYjHgg/edit?usp=sharing"",""งบกองทุน!DN46"")"),0)</f>
        <v>0</v>
      </c>
      <c r="E42" s="306">
        <f ca="1">IFERROR(__xludf.DUMMYFUNCTION("IMPORTRANGE(""https://docs.google.com/spreadsheets/d/1C3CXT74ZlgGe6_JY_1olB1XN4rF0dxEuIIF-xsYjHgg/edit?usp=sharing"",""งบกองทุน!DO46"")"),34340)</f>
        <v>34340</v>
      </c>
      <c r="F42" s="307">
        <f ca="1">IFERROR(__xludf.DUMMYFUNCTION("IMPORTRANGE(""https://docs.google.com/spreadsheets/d/1XL5vhW3sbDhbH9Cz0tuDiY8C3ctxq1tqvaCgkFb8cCA/edit?usp=sharing"",""มุกดาหาร!M428"")"),34340)</f>
        <v>34340</v>
      </c>
      <c r="G42" s="307">
        <f t="shared" ca="1" si="1"/>
        <v>100</v>
      </c>
      <c r="H42" s="308">
        <f ca="1">IFERROR(__xludf.DUMMYFUNCTION("IMPORTRANGE(""https://docs.google.com/spreadsheets/d/1C3CXT74ZlgGe6_JY_1olB1XN4rF0dxEuIIF-xsYjHgg/edit?usp=sharing"",""งบกองทุน!DQ46"")"),22)</f>
        <v>22</v>
      </c>
      <c r="I42" s="308">
        <f ca="1">IFERROR(__xludf.DUMMYFUNCTION("IMPORTRANGE(""https://docs.google.com/spreadsheets/d/1XL5vhW3sbDhbH9Cz0tuDiY8C3ctxq1tqvaCgkFb8cCA/edit?usp=sharing"",""มุกดาหาร!J442"")"),22)</f>
        <v>22</v>
      </c>
      <c r="J42" s="309">
        <f t="shared" ca="1" si="15"/>
        <v>100</v>
      </c>
      <c r="K42" s="306">
        <f ca="1">IFERROR(__xludf.DUMMYFUNCTION("IMPORTRANGE(""https://docs.google.com/spreadsheets/d/1XL5vhW3sbDhbH9Cz0tuDiY8C3ctxq1tqvaCgkFb8cCA/edit?usp=sharing"",""มุกดาหาร!J443"")"),0)</f>
        <v>0</v>
      </c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  <c r="W42" s="339"/>
      <c r="X42" s="339"/>
      <c r="Y42" s="339"/>
    </row>
    <row r="43" spans="1:25" ht="21" customHeight="1">
      <c r="A43" s="303">
        <v>10</v>
      </c>
      <c r="B43" s="304" t="s">
        <v>67</v>
      </c>
      <c r="C43" s="305">
        <f t="shared" ca="1" si="19"/>
        <v>34340</v>
      </c>
      <c r="D43" s="306">
        <f ca="1">IFERROR(__xludf.DUMMYFUNCTION("IMPORTRANGE(""https://docs.google.com/spreadsheets/d/1C3CXT74ZlgGe6_JY_1olB1XN4rF0dxEuIIF-xsYjHgg/edit?usp=sharing"",""งบกองทุน!DN47"")"),0)</f>
        <v>0</v>
      </c>
      <c r="E43" s="306">
        <f ca="1">IFERROR(__xludf.DUMMYFUNCTION("IMPORTRANGE(""https://docs.google.com/spreadsheets/d/1C3CXT74ZlgGe6_JY_1olB1XN4rF0dxEuIIF-xsYjHgg/edit?usp=sharing"",""งบกองทุน!DO47"")"),34340)</f>
        <v>34340</v>
      </c>
      <c r="F43" s="307">
        <f ca="1">IFERROR(__xludf.DUMMYFUNCTION("IMPORTRANGE(""https://docs.google.com/spreadsheets/d/1XL5vhW3sbDhbH9Cz0tuDiY8C3ctxq1tqvaCgkFb8cCA/edit?usp=sharing"",""ยโสธร!M428"")"),20800)</f>
        <v>20800</v>
      </c>
      <c r="G43" s="307">
        <f t="shared" ca="1" si="1"/>
        <v>60.570762958648807</v>
      </c>
      <c r="H43" s="308">
        <f ca="1">IFERROR(__xludf.DUMMYFUNCTION("IMPORTRANGE(""https://docs.google.com/spreadsheets/d/1C3CXT74ZlgGe6_JY_1olB1XN4rF0dxEuIIF-xsYjHgg/edit?usp=sharing"",""งบกองทุน!DQ47"")"),22)</f>
        <v>22</v>
      </c>
      <c r="I43" s="308">
        <f ca="1">IFERROR(__xludf.DUMMYFUNCTION("IMPORTRANGE(""https://docs.google.com/spreadsheets/d/1XL5vhW3sbDhbH9Cz0tuDiY8C3ctxq1tqvaCgkFb8cCA/edit?usp=sharing"",""ยโสธร!J442"")"),22)</f>
        <v>22</v>
      </c>
      <c r="J43" s="309">
        <f t="shared" ca="1" si="15"/>
        <v>100</v>
      </c>
      <c r="K43" s="306">
        <f ca="1">IFERROR(__xludf.DUMMYFUNCTION("IMPORTRANGE(""https://docs.google.com/spreadsheets/d/1XL5vhW3sbDhbH9Cz0tuDiY8C3ctxq1tqvaCgkFb8cCA/edit?usp=sharing"",""ยโสธร!J443"")"),0)</f>
        <v>0</v>
      </c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</row>
    <row r="44" spans="1:25" ht="21" customHeight="1">
      <c r="A44" s="303">
        <v>11</v>
      </c>
      <c r="B44" s="304" t="s">
        <v>68</v>
      </c>
      <c r="C44" s="305">
        <f t="shared" ca="1" si="19"/>
        <v>34340</v>
      </c>
      <c r="D44" s="306">
        <f ca="1">IFERROR(__xludf.DUMMYFUNCTION("IMPORTRANGE(""https://docs.google.com/spreadsheets/d/1C3CXT74ZlgGe6_JY_1olB1XN4rF0dxEuIIF-xsYjHgg/edit?usp=sharing"",""งบกองทุน!DN48"")"),0)</f>
        <v>0</v>
      </c>
      <c r="E44" s="306">
        <f ca="1">IFERROR(__xludf.DUMMYFUNCTION("IMPORTRANGE(""https://docs.google.com/spreadsheets/d/1C3CXT74ZlgGe6_JY_1olB1XN4rF0dxEuIIF-xsYjHgg/edit?usp=sharing"",""งบกองทุน!DO48"")"),34340)</f>
        <v>34340</v>
      </c>
      <c r="F44" s="307">
        <f ca="1">IFERROR(__xludf.DUMMYFUNCTION("IMPORTRANGE(""https://docs.google.com/spreadsheets/d/1XL5vhW3sbDhbH9Cz0tuDiY8C3ctxq1tqvaCgkFb8cCA/edit?usp=sharing"",""ร้อยเอ็ด!M428"")"),32300)</f>
        <v>32300</v>
      </c>
      <c r="G44" s="307">
        <f t="shared" ca="1" si="1"/>
        <v>94.059405940594061</v>
      </c>
      <c r="H44" s="308">
        <f ca="1">IFERROR(__xludf.DUMMYFUNCTION("IMPORTRANGE(""https://docs.google.com/spreadsheets/d/1C3CXT74ZlgGe6_JY_1olB1XN4rF0dxEuIIF-xsYjHgg/edit?usp=sharing"",""งบกองทุน!DQ48"")"),22)</f>
        <v>22</v>
      </c>
      <c r="I44" s="308">
        <f ca="1">IFERROR(__xludf.DUMMYFUNCTION("IMPORTRANGE(""https://docs.google.com/spreadsheets/d/1XL5vhW3sbDhbH9Cz0tuDiY8C3ctxq1tqvaCgkFb8cCA/edit?usp=sharing"",""ร้อยเอ็ด!J442"")"),22)</f>
        <v>22</v>
      </c>
      <c r="J44" s="309">
        <f t="shared" ca="1" si="15"/>
        <v>100</v>
      </c>
      <c r="K44" s="306">
        <f ca="1">IFERROR(__xludf.DUMMYFUNCTION("IMPORTRANGE(""https://docs.google.com/spreadsheets/d/1XL5vhW3sbDhbH9Cz0tuDiY8C3ctxq1tqvaCgkFb8cCA/edit?usp=sharing"",""ร้อยเอ็ด!J443"")"),0)</f>
        <v>0</v>
      </c>
      <c r="L44" s="339"/>
      <c r="M44" s="339"/>
      <c r="N44" s="339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</row>
    <row r="45" spans="1:25" ht="21" customHeight="1">
      <c r="A45" s="303">
        <v>12</v>
      </c>
      <c r="B45" s="304" t="s">
        <v>69</v>
      </c>
      <c r="C45" s="305">
        <f t="shared" ca="1" si="19"/>
        <v>34340</v>
      </c>
      <c r="D45" s="306">
        <f ca="1">IFERROR(__xludf.DUMMYFUNCTION("IMPORTRANGE(""https://docs.google.com/spreadsheets/d/1C3CXT74ZlgGe6_JY_1olB1XN4rF0dxEuIIF-xsYjHgg/edit?usp=sharing"",""งบกองทุน!DN49"")"),0)</f>
        <v>0</v>
      </c>
      <c r="E45" s="306">
        <f ca="1">IFERROR(__xludf.DUMMYFUNCTION("IMPORTRANGE(""https://docs.google.com/spreadsheets/d/1C3CXT74ZlgGe6_JY_1olB1XN4rF0dxEuIIF-xsYjHgg/edit?usp=sharing"",""งบกองทุน!DO49"")"),34340)</f>
        <v>34340</v>
      </c>
      <c r="F45" s="307">
        <f ca="1">IFERROR(__xludf.DUMMYFUNCTION("IMPORTRANGE(""https://docs.google.com/spreadsheets/d/1XL5vhW3sbDhbH9Cz0tuDiY8C3ctxq1tqvaCgkFb8cCA/edit?usp=sharing"",""เลย!M428"")"),21180)</f>
        <v>21180</v>
      </c>
      <c r="G45" s="307">
        <f t="shared" ca="1" si="1"/>
        <v>61.677344205008737</v>
      </c>
      <c r="H45" s="308">
        <f ca="1">IFERROR(__xludf.DUMMYFUNCTION("IMPORTRANGE(""https://docs.google.com/spreadsheets/d/1C3CXT74ZlgGe6_JY_1olB1XN4rF0dxEuIIF-xsYjHgg/edit?usp=sharing"",""งบกองทุน!DQ49"")"),22)</f>
        <v>22</v>
      </c>
      <c r="I45" s="308">
        <f ca="1">IFERROR(__xludf.DUMMYFUNCTION("IMPORTRANGE(""https://docs.google.com/spreadsheets/d/1XL5vhW3sbDhbH9Cz0tuDiY8C3ctxq1tqvaCgkFb8cCA/edit?usp=sharing"",""เลย!J442"")"),22)</f>
        <v>22</v>
      </c>
      <c r="J45" s="309">
        <f t="shared" ca="1" si="15"/>
        <v>100</v>
      </c>
      <c r="K45" s="306">
        <f ca="1">IFERROR(__xludf.DUMMYFUNCTION("IMPORTRANGE(""https://docs.google.com/spreadsheets/d/1XL5vhW3sbDhbH9Cz0tuDiY8C3ctxq1tqvaCgkFb8cCA/edit?usp=sharing"",""เลย!J443"")"),0)</f>
        <v>0</v>
      </c>
      <c r="L45" s="339"/>
      <c r="M45" s="339"/>
      <c r="N45" s="339"/>
      <c r="O45" s="339"/>
      <c r="P45" s="339"/>
      <c r="Q45" s="339"/>
      <c r="R45" s="339"/>
      <c r="S45" s="339"/>
      <c r="T45" s="339"/>
      <c r="U45" s="339"/>
      <c r="V45" s="339"/>
      <c r="W45" s="339"/>
      <c r="X45" s="339"/>
      <c r="Y45" s="339"/>
    </row>
    <row r="46" spans="1:25" ht="21" customHeight="1">
      <c r="A46" s="303">
        <v>13</v>
      </c>
      <c r="B46" s="304" t="s">
        <v>70</v>
      </c>
      <c r="C46" s="305">
        <f t="shared" ca="1" si="19"/>
        <v>32640</v>
      </c>
      <c r="D46" s="306">
        <f ca="1">IFERROR(__xludf.DUMMYFUNCTION("IMPORTRANGE(""https://docs.google.com/spreadsheets/d/1C3CXT74ZlgGe6_JY_1olB1XN4rF0dxEuIIF-xsYjHgg/edit?usp=sharing"",""งบกองทุน!DN50"")"),0)</f>
        <v>0</v>
      </c>
      <c r="E46" s="306">
        <f ca="1">IFERROR(__xludf.DUMMYFUNCTION("IMPORTRANGE(""https://docs.google.com/spreadsheets/d/1C3CXT74ZlgGe6_JY_1olB1XN4rF0dxEuIIF-xsYjHgg/edit?usp=sharing"",""งบกองทุน!DO50"")"),32640)</f>
        <v>32640</v>
      </c>
      <c r="F46" s="307">
        <f ca="1">IFERROR(__xludf.DUMMYFUNCTION("IMPORTRANGE(""https://docs.google.com/spreadsheets/d/1XL5vhW3sbDhbH9Cz0tuDiY8C3ctxq1tqvaCgkFb8cCA/edit?usp=sharing"",""ศรีสะเกษ!M428"")"),22610)</f>
        <v>22610</v>
      </c>
      <c r="G46" s="307">
        <f t="shared" ca="1" si="1"/>
        <v>69.270833333333329</v>
      </c>
      <c r="H46" s="308">
        <f ca="1">IFERROR(__xludf.DUMMYFUNCTION("IMPORTRANGE(""https://docs.google.com/spreadsheets/d/1C3CXT74ZlgGe6_JY_1olB1XN4rF0dxEuIIF-xsYjHgg/edit?usp=sharing"",""งบกองทุน!DQ50"")"),20)</f>
        <v>20</v>
      </c>
      <c r="I46" s="308">
        <f ca="1">IFERROR(__xludf.DUMMYFUNCTION("IMPORTRANGE(""https://docs.google.com/spreadsheets/d/1XL5vhW3sbDhbH9Cz0tuDiY8C3ctxq1tqvaCgkFb8cCA/edit?usp=sharing"",""ศรีสะเกษ!J442"")"),20)</f>
        <v>20</v>
      </c>
      <c r="J46" s="309">
        <f t="shared" ca="1" si="15"/>
        <v>100</v>
      </c>
      <c r="K46" s="306">
        <f ca="1">IFERROR(__xludf.DUMMYFUNCTION("IMPORTRANGE(""https://docs.google.com/spreadsheets/d/1XL5vhW3sbDhbH9Cz0tuDiY8C3ctxq1tqvaCgkFb8cCA/edit?usp=sharing"",""ศรีสะเกษ!J443"")"),0)</f>
        <v>0</v>
      </c>
      <c r="L46" s="339"/>
      <c r="M46" s="339"/>
      <c r="N46" s="339"/>
      <c r="O46" s="339"/>
      <c r="P46" s="339"/>
      <c r="Q46" s="339"/>
      <c r="R46" s="339"/>
      <c r="S46" s="339"/>
      <c r="T46" s="339"/>
      <c r="U46" s="339"/>
      <c r="V46" s="339"/>
      <c r="W46" s="339"/>
      <c r="X46" s="339"/>
      <c r="Y46" s="339"/>
    </row>
    <row r="47" spans="1:25" ht="21" customHeight="1">
      <c r="A47" s="303">
        <v>14</v>
      </c>
      <c r="B47" s="304" t="s">
        <v>71</v>
      </c>
      <c r="C47" s="305">
        <f t="shared" ca="1" si="19"/>
        <v>37740</v>
      </c>
      <c r="D47" s="306">
        <f ca="1">IFERROR(__xludf.DUMMYFUNCTION("IMPORTRANGE(""https://docs.google.com/spreadsheets/d/1C3CXT74ZlgGe6_JY_1olB1XN4rF0dxEuIIF-xsYjHgg/edit?usp=sharing"",""งบกองทุน!DN51"")"),0)</f>
        <v>0</v>
      </c>
      <c r="E47" s="306">
        <f ca="1">IFERROR(__xludf.DUMMYFUNCTION("IMPORTRANGE(""https://docs.google.com/spreadsheets/d/1C3CXT74ZlgGe6_JY_1olB1XN4rF0dxEuIIF-xsYjHgg/edit?usp=sharing"",""งบกองทุน!DO51"")"),37740)</f>
        <v>37740</v>
      </c>
      <c r="F47" s="307">
        <f ca="1">IFERROR(__xludf.DUMMYFUNCTION("IMPORTRANGE(""https://docs.google.com/spreadsheets/d/1XL5vhW3sbDhbH9Cz0tuDiY8C3ctxq1tqvaCgkFb8cCA/edit?usp=sharing"",""สกลนคร!M428"")"),33995)</f>
        <v>33995</v>
      </c>
      <c r="G47" s="307">
        <f t="shared" ca="1" si="1"/>
        <v>90.07684154742978</v>
      </c>
      <c r="H47" s="308">
        <f ca="1">IFERROR(__xludf.DUMMYFUNCTION("IMPORTRANGE(""https://docs.google.com/spreadsheets/d/1C3CXT74ZlgGe6_JY_1olB1XN4rF0dxEuIIF-xsYjHgg/edit?usp=sharing"",""งบกองทุน!DQ51"")"),26)</f>
        <v>26</v>
      </c>
      <c r="I47" s="308">
        <f ca="1">IFERROR(__xludf.DUMMYFUNCTION("IMPORTRANGE(""https://docs.google.com/spreadsheets/d/1XL5vhW3sbDhbH9Cz0tuDiY8C3ctxq1tqvaCgkFb8cCA/edit?usp=sharing"",""สกลนคร!J442"")"),26)</f>
        <v>26</v>
      </c>
      <c r="J47" s="309">
        <f t="shared" ca="1" si="15"/>
        <v>100</v>
      </c>
      <c r="K47" s="306">
        <f ca="1">IFERROR(__xludf.DUMMYFUNCTION("IMPORTRANGE(""https://docs.google.com/spreadsheets/d/1XL5vhW3sbDhbH9Cz0tuDiY8C3ctxq1tqvaCgkFb8cCA/edit?usp=sharing"",""สกลนคร!J443"")"),0)</f>
        <v>0</v>
      </c>
      <c r="L47" s="339"/>
      <c r="M47" s="339"/>
      <c r="N47" s="339"/>
      <c r="O47" s="339"/>
      <c r="P47" s="339"/>
      <c r="Q47" s="339"/>
      <c r="R47" s="339"/>
      <c r="S47" s="339"/>
      <c r="T47" s="339"/>
      <c r="U47" s="339"/>
      <c r="V47" s="339"/>
      <c r="W47" s="339"/>
      <c r="X47" s="339"/>
      <c r="Y47" s="339"/>
    </row>
    <row r="48" spans="1:25" ht="21" customHeight="1">
      <c r="A48" s="303">
        <v>15</v>
      </c>
      <c r="B48" s="304" t="s">
        <v>72</v>
      </c>
      <c r="C48" s="305">
        <f t="shared" ca="1" si="19"/>
        <v>34340</v>
      </c>
      <c r="D48" s="306">
        <f ca="1">IFERROR(__xludf.DUMMYFUNCTION("IMPORTRANGE(""https://docs.google.com/spreadsheets/d/1C3CXT74ZlgGe6_JY_1olB1XN4rF0dxEuIIF-xsYjHgg/edit?usp=sharing"",""งบกองทุน!DN52"")"),0)</f>
        <v>0</v>
      </c>
      <c r="E48" s="306">
        <f ca="1">IFERROR(__xludf.DUMMYFUNCTION("IMPORTRANGE(""https://docs.google.com/spreadsheets/d/1C3CXT74ZlgGe6_JY_1olB1XN4rF0dxEuIIF-xsYjHgg/edit?usp=sharing"",""งบกองทุน!DO52"")"),34340)</f>
        <v>34340</v>
      </c>
      <c r="F48" s="307">
        <f ca="1">IFERROR(__xludf.DUMMYFUNCTION("IMPORTRANGE(""https://docs.google.com/spreadsheets/d/1XL5vhW3sbDhbH9Cz0tuDiY8C3ctxq1tqvaCgkFb8cCA/edit?usp=sharing"",""สุรินทร์!M428"")"),31220)</f>
        <v>31220</v>
      </c>
      <c r="G48" s="307">
        <f t="shared" ca="1" si="1"/>
        <v>90.914385556202674</v>
      </c>
      <c r="H48" s="308">
        <f ca="1">IFERROR(__xludf.DUMMYFUNCTION("IMPORTRANGE(""https://docs.google.com/spreadsheets/d/1C3CXT74ZlgGe6_JY_1olB1XN4rF0dxEuIIF-xsYjHgg/edit?usp=sharing"",""งบกองทุน!DQ52"")"),22)</f>
        <v>22</v>
      </c>
      <c r="I48" s="308">
        <f ca="1">IFERROR(__xludf.DUMMYFUNCTION("IMPORTRANGE(""https://docs.google.com/spreadsheets/d/1XL5vhW3sbDhbH9Cz0tuDiY8C3ctxq1tqvaCgkFb8cCA/edit?usp=sharing"",""สุรินทร์!J442"")"),22)</f>
        <v>22</v>
      </c>
      <c r="J48" s="309">
        <f t="shared" ca="1" si="15"/>
        <v>100</v>
      </c>
      <c r="K48" s="306">
        <f ca="1">IFERROR(__xludf.DUMMYFUNCTION("IMPORTRANGE(""https://docs.google.com/spreadsheets/d/1XL5vhW3sbDhbH9Cz0tuDiY8C3ctxq1tqvaCgkFb8cCA/edit?usp=sharing"",""สุรินทร์!J443"")"),0)</f>
        <v>0</v>
      </c>
      <c r="L48" s="339"/>
      <c r="M48" s="339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</row>
    <row r="49" spans="1:25" ht="21" customHeight="1">
      <c r="A49" s="303">
        <v>16</v>
      </c>
      <c r="B49" s="304" t="s">
        <v>73</v>
      </c>
      <c r="C49" s="305">
        <f t="shared" ca="1" si="19"/>
        <v>34340</v>
      </c>
      <c r="D49" s="306">
        <f ca="1">IFERROR(__xludf.DUMMYFUNCTION("IMPORTRANGE(""https://docs.google.com/spreadsheets/d/1C3CXT74ZlgGe6_JY_1olB1XN4rF0dxEuIIF-xsYjHgg/edit?usp=sharing"",""งบกองทุน!DN53"")"),0)</f>
        <v>0</v>
      </c>
      <c r="E49" s="306">
        <f ca="1">IFERROR(__xludf.DUMMYFUNCTION("IMPORTRANGE(""https://docs.google.com/spreadsheets/d/1C3CXT74ZlgGe6_JY_1olB1XN4rF0dxEuIIF-xsYjHgg/edit?usp=sharing"",""งบกองทุน!DO53"")"),34340)</f>
        <v>34340</v>
      </c>
      <c r="F49" s="307">
        <f ca="1">IFERROR(__xludf.DUMMYFUNCTION("IMPORTRANGE(""https://docs.google.com/spreadsheets/d/1XL5vhW3sbDhbH9Cz0tuDiY8C3ctxq1tqvaCgkFb8cCA/edit?usp=sharing"",""หนองคาย!M428"")"),27980)</f>
        <v>27980</v>
      </c>
      <c r="G49" s="307">
        <f t="shared" ca="1" si="1"/>
        <v>81.479324403028542</v>
      </c>
      <c r="H49" s="308">
        <f ca="1">IFERROR(__xludf.DUMMYFUNCTION("IMPORTRANGE(""https://docs.google.com/spreadsheets/d/1C3CXT74ZlgGe6_JY_1olB1XN4rF0dxEuIIF-xsYjHgg/edit?usp=sharing"",""งบกองทุน!DQ53"")"),22)</f>
        <v>22</v>
      </c>
      <c r="I49" s="308">
        <f ca="1">IFERROR(__xludf.DUMMYFUNCTION("IMPORTRANGE(""https://docs.google.com/spreadsheets/d/1XL5vhW3sbDhbH9Cz0tuDiY8C3ctxq1tqvaCgkFb8cCA/edit?usp=sharing"",""หนองคาย!J442"")"),22)</f>
        <v>22</v>
      </c>
      <c r="J49" s="309">
        <f t="shared" ca="1" si="15"/>
        <v>100</v>
      </c>
      <c r="K49" s="306">
        <f ca="1">IFERROR(__xludf.DUMMYFUNCTION("IMPORTRANGE(""https://docs.google.com/spreadsheets/d/1XL5vhW3sbDhbH9Cz0tuDiY8C3ctxq1tqvaCgkFb8cCA/edit?usp=sharing"",""หนองคาย!J443"")"),0)</f>
        <v>0</v>
      </c>
      <c r="L49" s="339"/>
      <c r="M49" s="339"/>
      <c r="N49" s="339"/>
      <c r="O49" s="339"/>
      <c r="P49" s="339"/>
      <c r="Q49" s="339"/>
      <c r="R49" s="339"/>
      <c r="S49" s="339"/>
      <c r="T49" s="339"/>
      <c r="U49" s="339"/>
      <c r="V49" s="339"/>
      <c r="W49" s="339"/>
      <c r="X49" s="339"/>
      <c r="Y49" s="339"/>
    </row>
    <row r="50" spans="1:25" ht="21" customHeight="1">
      <c r="A50" s="303">
        <v>17</v>
      </c>
      <c r="B50" s="304" t="s">
        <v>74</v>
      </c>
      <c r="C50" s="305">
        <f t="shared" ca="1" si="19"/>
        <v>34340</v>
      </c>
      <c r="D50" s="306">
        <f ca="1">IFERROR(__xludf.DUMMYFUNCTION("IMPORTRANGE(""https://docs.google.com/spreadsheets/d/1C3CXT74ZlgGe6_JY_1olB1XN4rF0dxEuIIF-xsYjHgg/edit?usp=sharing"",""งบกองทุน!DN54"")"),0)</f>
        <v>0</v>
      </c>
      <c r="E50" s="306">
        <f ca="1">IFERROR(__xludf.DUMMYFUNCTION("IMPORTRANGE(""https://docs.google.com/spreadsheets/d/1C3CXT74ZlgGe6_JY_1olB1XN4rF0dxEuIIF-xsYjHgg/edit?usp=sharing"",""งบกองทุน!DO54"")"),34340)</f>
        <v>34340</v>
      </c>
      <c r="F50" s="307">
        <f ca="1">IFERROR(__xludf.DUMMYFUNCTION("IMPORTRANGE(""https://docs.google.com/spreadsheets/d/1XL5vhW3sbDhbH9Cz0tuDiY8C3ctxq1tqvaCgkFb8cCA/edit?usp=sharing"",""หนองบัวลำภู!M428"")"),30044)</f>
        <v>30044</v>
      </c>
      <c r="G50" s="307">
        <f t="shared" ca="1" si="1"/>
        <v>87.489807804309848</v>
      </c>
      <c r="H50" s="308">
        <f ca="1">IFERROR(__xludf.DUMMYFUNCTION("IMPORTRANGE(""https://docs.google.com/spreadsheets/d/1C3CXT74ZlgGe6_JY_1olB1XN4rF0dxEuIIF-xsYjHgg/edit?usp=sharing"",""งบกองทุน!DQ54"")"),22)</f>
        <v>22</v>
      </c>
      <c r="I50" s="308">
        <f ca="1">IFERROR(__xludf.DUMMYFUNCTION("IMPORTRANGE(""https://docs.google.com/spreadsheets/d/1XL5vhW3sbDhbH9Cz0tuDiY8C3ctxq1tqvaCgkFb8cCA/edit?usp=sharing"",""หนองบัวลำภู!J442"")"),22)</f>
        <v>22</v>
      </c>
      <c r="J50" s="309">
        <f t="shared" ca="1" si="15"/>
        <v>100</v>
      </c>
      <c r="K50" s="306">
        <f ca="1">IFERROR(__xludf.DUMMYFUNCTION("IMPORTRANGE(""https://docs.google.com/spreadsheets/d/1XL5vhW3sbDhbH9Cz0tuDiY8C3ctxq1tqvaCgkFb8cCA/edit?usp=sharing"",""หนองบัวลำภู!J443"")"),0)</f>
        <v>0</v>
      </c>
      <c r="L50" s="339"/>
      <c r="M50" s="339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/>
    </row>
    <row r="51" spans="1:25" ht="21" customHeight="1">
      <c r="A51" s="303">
        <v>18</v>
      </c>
      <c r="B51" s="304" t="s">
        <v>75</v>
      </c>
      <c r="C51" s="305">
        <f t="shared" ca="1" si="19"/>
        <v>34340</v>
      </c>
      <c r="D51" s="306">
        <f ca="1">IFERROR(__xludf.DUMMYFUNCTION("IMPORTRANGE(""https://docs.google.com/spreadsheets/d/1C3CXT74ZlgGe6_JY_1olB1XN4rF0dxEuIIF-xsYjHgg/edit?usp=sharing"",""งบกองทุน!DN55"")"),0)</f>
        <v>0</v>
      </c>
      <c r="E51" s="306">
        <f ca="1">IFERROR(__xludf.DUMMYFUNCTION("IMPORTRANGE(""https://docs.google.com/spreadsheets/d/1C3CXT74ZlgGe6_JY_1olB1XN4rF0dxEuIIF-xsYjHgg/edit?usp=sharing"",""งบกองทุน!DO55"")"),34340)</f>
        <v>34340</v>
      </c>
      <c r="F51" s="307">
        <f ca="1">IFERROR(__xludf.DUMMYFUNCTION("IMPORTRANGE(""https://docs.google.com/spreadsheets/d/1XL5vhW3sbDhbH9Cz0tuDiY8C3ctxq1tqvaCgkFb8cCA/edit?usp=sharing"",""อำนาจเจริญ!M428"")"),23700)</f>
        <v>23700</v>
      </c>
      <c r="G51" s="307">
        <f t="shared" ca="1" si="1"/>
        <v>69.015725101921959</v>
      </c>
      <c r="H51" s="308">
        <f ca="1">IFERROR(__xludf.DUMMYFUNCTION("IMPORTRANGE(""https://docs.google.com/spreadsheets/d/1C3CXT74ZlgGe6_JY_1olB1XN4rF0dxEuIIF-xsYjHgg/edit?usp=sharing"",""งบกองทุน!DQ55"")"),22)</f>
        <v>22</v>
      </c>
      <c r="I51" s="308">
        <f ca="1">IFERROR(__xludf.DUMMYFUNCTION("IMPORTRANGE(""https://docs.google.com/spreadsheets/d/1XL5vhW3sbDhbH9Cz0tuDiY8C3ctxq1tqvaCgkFb8cCA/edit?usp=sharing"",""อำนาจเจริญ!J442"")"),22)</f>
        <v>22</v>
      </c>
      <c r="J51" s="309">
        <f t="shared" ca="1" si="15"/>
        <v>100</v>
      </c>
      <c r="K51" s="306">
        <f ca="1">IFERROR(__xludf.DUMMYFUNCTION("IMPORTRANGE(""https://docs.google.com/spreadsheets/d/1XL5vhW3sbDhbH9Cz0tuDiY8C3ctxq1tqvaCgkFb8cCA/edit?usp=sharing"",""อำนาจเจริญ!J443"")"),0)</f>
        <v>0</v>
      </c>
      <c r="L51" s="339"/>
      <c r="M51" s="339"/>
      <c r="N51" s="339"/>
      <c r="O51" s="339"/>
      <c r="P51" s="339"/>
      <c r="Q51" s="339"/>
      <c r="R51" s="339"/>
      <c r="S51" s="339"/>
      <c r="T51" s="339"/>
      <c r="U51" s="339"/>
      <c r="V51" s="339"/>
      <c r="W51" s="339"/>
      <c r="X51" s="339"/>
      <c r="Y51" s="339"/>
    </row>
    <row r="52" spans="1:25" ht="21" customHeight="1">
      <c r="A52" s="303">
        <v>19</v>
      </c>
      <c r="B52" s="304" t="s">
        <v>76</v>
      </c>
      <c r="C52" s="305">
        <f t="shared" ca="1" si="19"/>
        <v>36890</v>
      </c>
      <c r="D52" s="306">
        <f ca="1">IFERROR(__xludf.DUMMYFUNCTION("IMPORTRANGE(""https://docs.google.com/spreadsheets/d/1C3CXT74ZlgGe6_JY_1olB1XN4rF0dxEuIIF-xsYjHgg/edit?usp=sharing"",""งบกองทุน!DN56"")"),0)</f>
        <v>0</v>
      </c>
      <c r="E52" s="306">
        <f ca="1">IFERROR(__xludf.DUMMYFUNCTION("IMPORTRANGE(""https://docs.google.com/spreadsheets/d/1C3CXT74ZlgGe6_JY_1olB1XN4rF0dxEuIIF-xsYjHgg/edit?usp=sharing"",""งบกองทุน!DO56"")"),36890)</f>
        <v>36890</v>
      </c>
      <c r="F52" s="307">
        <f ca="1">IFERROR(__xludf.DUMMYFUNCTION("IMPORTRANGE(""https://docs.google.com/spreadsheets/d/1XL5vhW3sbDhbH9Cz0tuDiY8C3ctxq1tqvaCgkFb8cCA/edit?usp=sharing"",""อุดรธานี!M428"")"),29609)</f>
        <v>29609</v>
      </c>
      <c r="G52" s="307">
        <f t="shared" ca="1" si="1"/>
        <v>80.262943887232311</v>
      </c>
      <c r="H52" s="308">
        <f ca="1">IFERROR(__xludf.DUMMYFUNCTION("IMPORTRANGE(""https://docs.google.com/spreadsheets/d/1C3CXT74ZlgGe6_JY_1olB1XN4rF0dxEuIIF-xsYjHgg/edit?usp=sharing"",""งบกองทุน!DQ56"")"),25)</f>
        <v>25</v>
      </c>
      <c r="I52" s="308">
        <f ca="1">IFERROR(__xludf.DUMMYFUNCTION("IMPORTRANGE(""https://docs.google.com/spreadsheets/d/1XL5vhW3sbDhbH9Cz0tuDiY8C3ctxq1tqvaCgkFb8cCA/edit?usp=sharing"",""อุดรธานี!J442"")"),25)</f>
        <v>25</v>
      </c>
      <c r="J52" s="309">
        <f t="shared" ca="1" si="15"/>
        <v>100</v>
      </c>
      <c r="K52" s="306">
        <f ca="1">IFERROR(__xludf.DUMMYFUNCTION("IMPORTRANGE(""https://docs.google.com/spreadsheets/d/1XL5vhW3sbDhbH9Cz0tuDiY8C3ctxq1tqvaCgkFb8cCA/edit?usp=sharing"",""อุดรธานี!J443"")"),0)</f>
        <v>0</v>
      </c>
      <c r="L52" s="339"/>
      <c r="M52" s="339"/>
      <c r="N52" s="339"/>
      <c r="O52" s="339"/>
      <c r="P52" s="339"/>
      <c r="Q52" s="339"/>
      <c r="R52" s="339"/>
      <c r="S52" s="339"/>
      <c r="T52" s="339"/>
      <c r="U52" s="339"/>
      <c r="V52" s="339"/>
      <c r="W52" s="339"/>
      <c r="X52" s="339"/>
      <c r="Y52" s="339"/>
    </row>
    <row r="53" spans="1:25" ht="21" customHeight="1">
      <c r="A53" s="310">
        <v>20</v>
      </c>
      <c r="B53" s="311" t="s">
        <v>77</v>
      </c>
      <c r="C53" s="312">
        <f t="shared" ca="1" si="19"/>
        <v>36040</v>
      </c>
      <c r="D53" s="313">
        <f ca="1">IFERROR(__xludf.DUMMYFUNCTION("IMPORTRANGE(""https://docs.google.com/spreadsheets/d/1C3CXT74ZlgGe6_JY_1olB1XN4rF0dxEuIIF-xsYjHgg/edit?usp=sharing"",""งบกองทุน!DN57"")"),0)</f>
        <v>0</v>
      </c>
      <c r="E53" s="313">
        <f ca="1">IFERROR(__xludf.DUMMYFUNCTION("IMPORTRANGE(""https://docs.google.com/spreadsheets/d/1C3CXT74ZlgGe6_JY_1olB1XN4rF0dxEuIIF-xsYjHgg/edit?usp=sharing"",""งบกองทุน!DO57"")"),36040)</f>
        <v>36040</v>
      </c>
      <c r="F53" s="314">
        <f ca="1">IFERROR(__xludf.DUMMYFUNCTION("IMPORTRANGE(""https://docs.google.com/spreadsheets/d/1XL5vhW3sbDhbH9Cz0tuDiY8C3ctxq1tqvaCgkFb8cCA/edit?usp=sharing"",""อุบลราชธานี!M428"")"),32283.5)</f>
        <v>32283.5</v>
      </c>
      <c r="G53" s="314">
        <f t="shared" ca="1" si="1"/>
        <v>89.576859045504989</v>
      </c>
      <c r="H53" s="315">
        <f ca="1">IFERROR(__xludf.DUMMYFUNCTION("IMPORTRANGE(""https://docs.google.com/spreadsheets/d/1C3CXT74ZlgGe6_JY_1olB1XN4rF0dxEuIIF-xsYjHgg/edit?usp=sharing"",""งบกองทุน!DQ57"")"),24)</f>
        <v>24</v>
      </c>
      <c r="I53" s="315">
        <f ca="1">IFERROR(__xludf.DUMMYFUNCTION("IMPORTRANGE(""https://docs.google.com/spreadsheets/d/1XL5vhW3sbDhbH9Cz0tuDiY8C3ctxq1tqvaCgkFb8cCA/edit?usp=sharing"",""อุบลราชธานี!J442"")"),24)</f>
        <v>24</v>
      </c>
      <c r="J53" s="316">
        <f t="shared" ca="1" si="15"/>
        <v>100</v>
      </c>
      <c r="K53" s="313">
        <f ca="1">IFERROR(__xludf.DUMMYFUNCTION("IMPORTRANGE(""https://docs.google.com/spreadsheets/d/1XL5vhW3sbDhbH9Cz0tuDiY8C3ctxq1tqvaCgkFb8cCA/edit?usp=sharing"",""อุบลราชธานี!J443"")"),0)</f>
        <v>0</v>
      </c>
      <c r="L53" s="339"/>
      <c r="M53" s="339"/>
      <c r="N53" s="339"/>
      <c r="O53" s="339"/>
      <c r="P53" s="339"/>
      <c r="Q53" s="339"/>
      <c r="R53" s="339"/>
      <c r="S53" s="339"/>
      <c r="T53" s="339"/>
      <c r="U53" s="339"/>
      <c r="V53" s="339"/>
      <c r="W53" s="339"/>
      <c r="X53" s="339"/>
      <c r="Y53" s="339"/>
    </row>
    <row r="54" spans="1:25" ht="21" customHeight="1">
      <c r="A54" s="801" t="s">
        <v>78</v>
      </c>
      <c r="B54" s="678"/>
      <c r="C54" s="317">
        <f t="shared" ref="C54:F54" ca="1" si="20">SUM(C55:C75)</f>
        <v>703290</v>
      </c>
      <c r="D54" s="318">
        <f t="shared" ca="1" si="20"/>
        <v>0</v>
      </c>
      <c r="E54" s="318">
        <f t="shared" ca="1" si="20"/>
        <v>703290</v>
      </c>
      <c r="F54" s="319">
        <f t="shared" ca="1" si="20"/>
        <v>501827.99</v>
      </c>
      <c r="G54" s="319">
        <f t="shared" ca="1" si="1"/>
        <v>71.354347424248886</v>
      </c>
      <c r="H54" s="318">
        <f t="shared" ref="H54:I54" ca="1" si="21">SUM(H55:H75)</f>
        <v>441</v>
      </c>
      <c r="I54" s="318">
        <f t="shared" ca="1" si="21"/>
        <v>438</v>
      </c>
      <c r="J54" s="319">
        <f t="shared" ca="1" si="15"/>
        <v>99.319727891156461</v>
      </c>
      <c r="K54" s="318">
        <f ca="1">SUM(K55:K75)</f>
        <v>0</v>
      </c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39"/>
      <c r="W54" s="339"/>
      <c r="X54" s="339"/>
      <c r="Y54" s="339"/>
    </row>
    <row r="55" spans="1:25" ht="21" customHeight="1">
      <c r="A55" s="293">
        <v>1</v>
      </c>
      <c r="B55" s="357" t="s">
        <v>79</v>
      </c>
      <c r="C55" s="295">
        <f t="shared" ref="C55:C75" ca="1" si="22">+D55+E55</f>
        <v>39440</v>
      </c>
      <c r="D55" s="296">
        <f ca="1">IFERROR(__xludf.DUMMYFUNCTION("IMPORTRANGE(""https://docs.google.com/spreadsheets/d/1C3CXT74ZlgGe6_JY_1olB1XN4rF0dxEuIIF-xsYjHgg/edit?usp=sharing"",""งบกองทุน!DN59"")"),0)</f>
        <v>0</v>
      </c>
      <c r="E55" s="296">
        <f ca="1">IFERROR(__xludf.DUMMYFUNCTION("IMPORTRANGE(""https://docs.google.com/spreadsheets/d/1C3CXT74ZlgGe6_JY_1olB1XN4rF0dxEuIIF-xsYjHgg/edit?usp=sharing"",""งบกองทุน!DO59"")"),39440)</f>
        <v>39440</v>
      </c>
      <c r="F55" s="297">
        <f ca="1">IFERROR(__xludf.DUMMYFUNCTION("IMPORTRANGE(""https://docs.google.com/spreadsheets/d/1SX6NBoVAgQJ6U1MVXOaj8PK2l7WJ3RER9xtqwdhxkhw/edit?usp=sharing"",""กาญจนบุรี!M428"")"),21310)</f>
        <v>21310</v>
      </c>
      <c r="G55" s="297">
        <f t="shared" ca="1" si="1"/>
        <v>54.031440162271807</v>
      </c>
      <c r="H55" s="299">
        <f ca="1">IFERROR(__xludf.DUMMYFUNCTION("IMPORTRANGE(""https://docs.google.com/spreadsheets/d/1C3CXT74ZlgGe6_JY_1olB1XN4rF0dxEuIIF-xsYjHgg/edit?usp=sharing"",""งบกองทุน!DQ59"")"),28)</f>
        <v>28</v>
      </c>
      <c r="I55" s="299">
        <f ca="1">IFERROR(__xludf.DUMMYFUNCTION("IMPORTRANGE(""https://docs.google.com/spreadsheets/d/1SX6NBoVAgQJ6U1MVXOaj8PK2l7WJ3RER9xtqwdhxkhw/edit?usp=sharing"",""กาญจนบุรี!J442"")"),25)</f>
        <v>25</v>
      </c>
      <c r="J55" s="301">
        <f t="shared" ca="1" si="15"/>
        <v>89.285714285714292</v>
      </c>
      <c r="K55" s="296">
        <f ca="1">IFERROR(__xludf.DUMMYFUNCTION("IMPORTRANGE(""https://docs.google.com/spreadsheets/d/1SX6NBoVAgQJ6U1MVXOaj8PK2l7WJ3RER9xtqwdhxkhw/edit?usp=sharing"",""กาญจนบุรี!J443"")"),0)</f>
        <v>0</v>
      </c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39"/>
      <c r="W55" s="339"/>
      <c r="X55" s="339"/>
      <c r="Y55" s="339"/>
    </row>
    <row r="56" spans="1:25" ht="21" customHeight="1">
      <c r="A56" s="303">
        <v>2</v>
      </c>
      <c r="B56" s="304" t="s">
        <v>80</v>
      </c>
      <c r="C56" s="305">
        <f t="shared" ca="1" si="22"/>
        <v>34340</v>
      </c>
      <c r="D56" s="306">
        <f ca="1">IFERROR(__xludf.DUMMYFUNCTION("IMPORTRANGE(""https://docs.google.com/spreadsheets/d/1C3CXT74ZlgGe6_JY_1olB1XN4rF0dxEuIIF-xsYjHgg/edit?usp=sharing"",""งบกองทุน!DN60"")"),0)</f>
        <v>0</v>
      </c>
      <c r="E56" s="306">
        <f ca="1">IFERROR(__xludf.DUMMYFUNCTION("IMPORTRANGE(""https://docs.google.com/spreadsheets/d/1C3CXT74ZlgGe6_JY_1olB1XN4rF0dxEuIIF-xsYjHgg/edit?usp=sharing"",""งบกองทุน!DO60"")"),34340)</f>
        <v>34340</v>
      </c>
      <c r="F56" s="307">
        <f ca="1">IFERROR(__xludf.DUMMYFUNCTION("IMPORTRANGE(""https://docs.google.com/spreadsheets/d/1SX6NBoVAgQJ6U1MVXOaj8PK2l7WJ3RER9xtqwdhxkhw/edit?usp=sharing"",""จันทบุรี!M428"")"),22816)</f>
        <v>22816</v>
      </c>
      <c r="G56" s="307">
        <f t="shared" ca="1" si="1"/>
        <v>66.441467676179386</v>
      </c>
      <c r="H56" s="308">
        <f ca="1">IFERROR(__xludf.DUMMYFUNCTION("IMPORTRANGE(""https://docs.google.com/spreadsheets/d/1C3CXT74ZlgGe6_JY_1olB1XN4rF0dxEuIIF-xsYjHgg/edit?usp=sharing"",""งบกองทุน!DQ60"")"),22)</f>
        <v>22</v>
      </c>
      <c r="I56" s="308">
        <f ca="1">IFERROR(__xludf.DUMMYFUNCTION("IMPORTRANGE(""https://docs.google.com/spreadsheets/d/1SX6NBoVAgQJ6U1MVXOaj8PK2l7WJ3RER9xtqwdhxkhw/edit?usp=sharing"",""จันทบุรี!J442"")"),22)</f>
        <v>22</v>
      </c>
      <c r="J56" s="309">
        <f t="shared" ca="1" si="15"/>
        <v>100</v>
      </c>
      <c r="K56" s="306">
        <f ca="1">IFERROR(__xludf.DUMMYFUNCTION("IMPORTRANGE(""https://docs.google.com/spreadsheets/d/1SX6NBoVAgQJ6U1MVXOaj8PK2l7WJ3RER9xtqwdhxkhw/edit?usp=sharing"",""จันทบุรี!J443"")"),0)</f>
        <v>0</v>
      </c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39"/>
      <c r="W56" s="339"/>
      <c r="X56" s="339"/>
      <c r="Y56" s="339"/>
    </row>
    <row r="57" spans="1:25" ht="21" customHeight="1">
      <c r="A57" s="303">
        <v>3</v>
      </c>
      <c r="B57" s="304" t="s">
        <v>81</v>
      </c>
      <c r="C57" s="305">
        <f t="shared" ca="1" si="22"/>
        <v>34340</v>
      </c>
      <c r="D57" s="306">
        <f ca="1">IFERROR(__xludf.DUMMYFUNCTION("IMPORTRANGE(""https://docs.google.com/spreadsheets/d/1C3CXT74ZlgGe6_JY_1olB1XN4rF0dxEuIIF-xsYjHgg/edit?usp=sharing"",""งบกองทุน!DN61"")"),0)</f>
        <v>0</v>
      </c>
      <c r="E57" s="306">
        <f ca="1">IFERROR(__xludf.DUMMYFUNCTION("IMPORTRANGE(""https://docs.google.com/spreadsheets/d/1C3CXT74ZlgGe6_JY_1olB1XN4rF0dxEuIIF-xsYjHgg/edit?usp=sharing"",""งบกองทุน!DO61"")"),34340)</f>
        <v>34340</v>
      </c>
      <c r="F57" s="307">
        <f ca="1">IFERROR(__xludf.DUMMYFUNCTION("IMPORTRANGE(""https://docs.google.com/spreadsheets/d/1SX6NBoVAgQJ6U1MVXOaj8PK2l7WJ3RER9xtqwdhxkhw/edit?usp=sharing"",""ฉะเชิงเทรา!M428"")"),30240)</f>
        <v>30240</v>
      </c>
      <c r="G57" s="307">
        <f t="shared" ca="1" si="1"/>
        <v>88.060570762958648</v>
      </c>
      <c r="H57" s="308">
        <f ca="1">IFERROR(__xludf.DUMMYFUNCTION("IMPORTRANGE(""https://docs.google.com/spreadsheets/d/1C3CXT74ZlgGe6_JY_1olB1XN4rF0dxEuIIF-xsYjHgg/edit?usp=sharing"",""งบกองทุน!DQ61"")"),22)</f>
        <v>22</v>
      </c>
      <c r="I57" s="308">
        <f ca="1">IFERROR(__xludf.DUMMYFUNCTION("IMPORTRANGE(""https://docs.google.com/spreadsheets/d/1SX6NBoVAgQJ6U1MVXOaj8PK2l7WJ3RER9xtqwdhxkhw/edit?usp=sharing"",""ฉะเชิงเทรา!J442"")"),22)</f>
        <v>22</v>
      </c>
      <c r="J57" s="309">
        <f t="shared" ca="1" si="15"/>
        <v>100</v>
      </c>
      <c r="K57" s="306">
        <f ca="1">IFERROR(__xludf.DUMMYFUNCTION("IMPORTRANGE(""https://docs.google.com/spreadsheets/d/1SX6NBoVAgQJ6U1MVXOaj8PK2l7WJ3RER9xtqwdhxkhw/edit?usp=sharing"",""ฉะเชิงเทรา!J443"")"),0)</f>
        <v>0</v>
      </c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39"/>
      <c r="W57" s="339"/>
      <c r="X57" s="339"/>
      <c r="Y57" s="339"/>
    </row>
    <row r="58" spans="1:25" ht="21" customHeight="1">
      <c r="A58" s="303">
        <v>4</v>
      </c>
      <c r="B58" s="304" t="s">
        <v>82</v>
      </c>
      <c r="C58" s="305">
        <f t="shared" ca="1" si="22"/>
        <v>32640</v>
      </c>
      <c r="D58" s="306">
        <f ca="1">IFERROR(__xludf.DUMMYFUNCTION("IMPORTRANGE(""https://docs.google.com/spreadsheets/d/1C3CXT74ZlgGe6_JY_1olB1XN4rF0dxEuIIF-xsYjHgg/edit?usp=sharing"",""งบกองทุน!DN62"")"),0)</f>
        <v>0</v>
      </c>
      <c r="E58" s="306">
        <f ca="1">IFERROR(__xludf.DUMMYFUNCTION("IMPORTRANGE(""https://docs.google.com/spreadsheets/d/1C3CXT74ZlgGe6_JY_1olB1XN4rF0dxEuIIF-xsYjHgg/edit?usp=sharing"",""งบกองทุน!DO62"")"),32640)</f>
        <v>32640</v>
      </c>
      <c r="F58" s="307">
        <f ca="1">IFERROR(__xludf.DUMMYFUNCTION("IMPORTRANGE(""https://docs.google.com/spreadsheets/d/1SX6NBoVAgQJ6U1MVXOaj8PK2l7WJ3RER9xtqwdhxkhw/edit?usp=sharing"",""ชลบุรี!M428"")"),14840)</f>
        <v>14840</v>
      </c>
      <c r="G58" s="307">
        <f t="shared" ca="1" si="1"/>
        <v>45.465686274509807</v>
      </c>
      <c r="H58" s="308">
        <f ca="1">IFERROR(__xludf.DUMMYFUNCTION("IMPORTRANGE(""https://docs.google.com/spreadsheets/d/1C3CXT74ZlgGe6_JY_1olB1XN4rF0dxEuIIF-xsYjHgg/edit?usp=sharing"",""งบกองทุน!DQ62"")"),20)</f>
        <v>20</v>
      </c>
      <c r="I58" s="308">
        <f ca="1">IFERROR(__xludf.DUMMYFUNCTION("IMPORTRANGE(""https://docs.google.com/spreadsheets/d/1SX6NBoVAgQJ6U1MVXOaj8PK2l7WJ3RER9xtqwdhxkhw/edit?usp=sharing"",""ชลบุรี!J442"")"),20)</f>
        <v>20</v>
      </c>
      <c r="J58" s="309">
        <f t="shared" ca="1" si="15"/>
        <v>100</v>
      </c>
      <c r="K58" s="306">
        <f ca="1">IFERROR(__xludf.DUMMYFUNCTION("IMPORTRANGE(""https://docs.google.com/spreadsheets/d/1SX6NBoVAgQJ6U1MVXOaj8PK2l7WJ3RER9xtqwdhxkhw/edit?usp=sharing"",""ชลบุรี!J443"")"),0)</f>
        <v>0</v>
      </c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339"/>
      <c r="W58" s="339"/>
      <c r="X58" s="339"/>
      <c r="Y58" s="339"/>
    </row>
    <row r="59" spans="1:25" ht="21" customHeight="1">
      <c r="A59" s="303">
        <v>5</v>
      </c>
      <c r="B59" s="304" t="s">
        <v>83</v>
      </c>
      <c r="C59" s="305">
        <f t="shared" ca="1" si="22"/>
        <v>34340</v>
      </c>
      <c r="D59" s="306">
        <f ca="1">IFERROR(__xludf.DUMMYFUNCTION("IMPORTRANGE(""https://docs.google.com/spreadsheets/d/1C3CXT74ZlgGe6_JY_1olB1XN4rF0dxEuIIF-xsYjHgg/edit?usp=sharing"",""งบกองทุน!DN63"")"),0)</f>
        <v>0</v>
      </c>
      <c r="E59" s="306">
        <f ca="1">IFERROR(__xludf.DUMMYFUNCTION("IMPORTRANGE(""https://docs.google.com/spreadsheets/d/1C3CXT74ZlgGe6_JY_1olB1XN4rF0dxEuIIF-xsYjHgg/edit?usp=sharing"",""งบกองทุน!DO63"")"),34340)</f>
        <v>34340</v>
      </c>
      <c r="F59" s="307">
        <f ca="1">IFERROR(__xludf.DUMMYFUNCTION("IMPORTRANGE(""https://docs.google.com/spreadsheets/d/1SX6NBoVAgQJ6U1MVXOaj8PK2l7WJ3RER9xtqwdhxkhw/edit?usp=sharing"",""ชัยนาท!M428"")"),26220)</f>
        <v>26220</v>
      </c>
      <c r="G59" s="307">
        <f t="shared" ca="1" si="1"/>
        <v>76.35410599883518</v>
      </c>
      <c r="H59" s="308">
        <f ca="1">IFERROR(__xludf.DUMMYFUNCTION("IMPORTRANGE(""https://docs.google.com/spreadsheets/d/1C3CXT74ZlgGe6_JY_1olB1XN4rF0dxEuIIF-xsYjHgg/edit?usp=sharing"",""งบกองทุน!DQ63"")"),22)</f>
        <v>22</v>
      </c>
      <c r="I59" s="308">
        <f ca="1">IFERROR(__xludf.DUMMYFUNCTION("IMPORTRANGE(""https://docs.google.com/spreadsheets/d/1SX6NBoVAgQJ6U1MVXOaj8PK2l7WJ3RER9xtqwdhxkhw/edit?usp=sharing"",""ชัยนาท!J442"")"),22)</f>
        <v>22</v>
      </c>
      <c r="J59" s="309">
        <f t="shared" ca="1" si="15"/>
        <v>100</v>
      </c>
      <c r="K59" s="306">
        <f ca="1">IFERROR(__xludf.DUMMYFUNCTION("IMPORTRANGE(""https://docs.google.com/spreadsheets/d/1SX6NBoVAgQJ6U1MVXOaj8PK2l7WJ3RER9xtqwdhxkhw/edit?usp=sharing"",""ชัยนาท!J443"")"),0)</f>
        <v>0</v>
      </c>
      <c r="L59" s="339"/>
      <c r="M59" s="339"/>
      <c r="N59" s="339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339"/>
    </row>
    <row r="60" spans="1:25" ht="21" customHeight="1">
      <c r="A60" s="303">
        <v>6</v>
      </c>
      <c r="B60" s="304" t="s">
        <v>84</v>
      </c>
      <c r="C60" s="305">
        <f t="shared" ca="1" si="22"/>
        <v>34340</v>
      </c>
      <c r="D60" s="306">
        <f ca="1">IFERROR(__xludf.DUMMYFUNCTION("IMPORTRANGE(""https://docs.google.com/spreadsheets/d/1C3CXT74ZlgGe6_JY_1olB1XN4rF0dxEuIIF-xsYjHgg/edit?usp=sharing"",""งบกองทุน!DN64"")"),0)</f>
        <v>0</v>
      </c>
      <c r="E60" s="306">
        <f ca="1">IFERROR(__xludf.DUMMYFUNCTION("IMPORTRANGE(""https://docs.google.com/spreadsheets/d/1C3CXT74ZlgGe6_JY_1olB1XN4rF0dxEuIIF-xsYjHgg/edit?usp=sharing"",""งบกองทุน!DO64"")"),34340)</f>
        <v>34340</v>
      </c>
      <c r="F60" s="307">
        <f ca="1">IFERROR(__xludf.DUMMYFUNCTION("IMPORTRANGE(""https://docs.google.com/spreadsheets/d/1SX6NBoVAgQJ6U1MVXOaj8PK2l7WJ3RER9xtqwdhxkhw/edit?usp=sharing"",""ตราด!M428"")"),23174)</f>
        <v>23174</v>
      </c>
      <c r="G60" s="307">
        <f t="shared" ca="1" si="1"/>
        <v>67.483983692486902</v>
      </c>
      <c r="H60" s="308">
        <f ca="1">IFERROR(__xludf.DUMMYFUNCTION("IMPORTRANGE(""https://docs.google.com/spreadsheets/d/1C3CXT74ZlgGe6_JY_1olB1XN4rF0dxEuIIF-xsYjHgg/edit?usp=sharing"",""งบกองทุน!DQ64"")"),22)</f>
        <v>22</v>
      </c>
      <c r="I60" s="308">
        <f ca="1">IFERROR(__xludf.DUMMYFUNCTION("IMPORTRANGE(""https://docs.google.com/spreadsheets/d/1SX6NBoVAgQJ6U1MVXOaj8PK2l7WJ3RER9xtqwdhxkhw/edit?usp=sharing"",""ตราด!J442"")"),22)</f>
        <v>22</v>
      </c>
      <c r="J60" s="309">
        <f t="shared" ca="1" si="15"/>
        <v>100</v>
      </c>
      <c r="K60" s="306">
        <f ca="1">IFERROR(__xludf.DUMMYFUNCTION("IMPORTRANGE(""https://docs.google.com/spreadsheets/d/1SX6NBoVAgQJ6U1MVXOaj8PK2l7WJ3RER9xtqwdhxkhw/edit?usp=sharing"",""ตราด!J443"")"),0)</f>
        <v>0</v>
      </c>
      <c r="L60" s="339"/>
      <c r="M60" s="339"/>
      <c r="N60" s="339"/>
      <c r="O60" s="339"/>
      <c r="P60" s="339"/>
      <c r="Q60" s="339"/>
      <c r="R60" s="339"/>
      <c r="S60" s="339"/>
      <c r="T60" s="339"/>
      <c r="U60" s="339"/>
      <c r="V60" s="339"/>
      <c r="W60" s="339"/>
      <c r="X60" s="339"/>
      <c r="Y60" s="339"/>
    </row>
    <row r="61" spans="1:25" ht="21" customHeight="1">
      <c r="A61" s="303">
        <v>7</v>
      </c>
      <c r="B61" s="304" t="s">
        <v>85</v>
      </c>
      <c r="C61" s="305">
        <f t="shared" ca="1" si="22"/>
        <v>34340</v>
      </c>
      <c r="D61" s="306">
        <f ca="1">IFERROR(__xludf.DUMMYFUNCTION("IMPORTRANGE(""https://docs.google.com/spreadsheets/d/1C3CXT74ZlgGe6_JY_1olB1XN4rF0dxEuIIF-xsYjHgg/edit?usp=sharing"",""งบกองทุน!DN65"")"),0)</f>
        <v>0</v>
      </c>
      <c r="E61" s="306">
        <f ca="1">IFERROR(__xludf.DUMMYFUNCTION("IMPORTRANGE(""https://docs.google.com/spreadsheets/d/1C3CXT74ZlgGe6_JY_1olB1XN4rF0dxEuIIF-xsYjHgg/edit?usp=sharing"",""งบกองทุน!DO65"")"),34340)</f>
        <v>34340</v>
      </c>
      <c r="F61" s="307">
        <f ca="1">IFERROR(__xludf.DUMMYFUNCTION("IMPORTRANGE(""https://docs.google.com/spreadsheets/d/1SX6NBoVAgQJ6U1MVXOaj8PK2l7WJ3RER9xtqwdhxkhw/edit?usp=sharing"",""นครนายก!M428"")"),7960)</f>
        <v>7960</v>
      </c>
      <c r="G61" s="307">
        <f t="shared" ca="1" si="1"/>
        <v>23.179965055329063</v>
      </c>
      <c r="H61" s="308">
        <f ca="1">IFERROR(__xludf.DUMMYFUNCTION("IMPORTRANGE(""https://docs.google.com/spreadsheets/d/1C3CXT74ZlgGe6_JY_1olB1XN4rF0dxEuIIF-xsYjHgg/edit?usp=sharing"",""งบกองทุน!DQ65"")"),22)</f>
        <v>22</v>
      </c>
      <c r="I61" s="308">
        <f ca="1">IFERROR(__xludf.DUMMYFUNCTION("IMPORTRANGE(""https://docs.google.com/spreadsheets/d/1SX6NBoVAgQJ6U1MVXOaj8PK2l7WJ3RER9xtqwdhxkhw/edit?usp=sharing"",""นครนายก!J442"")"),22)</f>
        <v>22</v>
      </c>
      <c r="J61" s="309">
        <f t="shared" ca="1" si="15"/>
        <v>100</v>
      </c>
      <c r="K61" s="306">
        <f ca="1">IFERROR(__xludf.DUMMYFUNCTION("IMPORTRANGE(""https://docs.google.com/spreadsheets/d/1SX6NBoVAgQJ6U1MVXOaj8PK2l7WJ3RER9xtqwdhxkhw/edit?usp=sharing"",""นครนายก!J443"")"),0)</f>
        <v>0</v>
      </c>
      <c r="L61" s="339"/>
      <c r="M61" s="339"/>
      <c r="N61" s="33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39"/>
    </row>
    <row r="62" spans="1:25" ht="21" customHeight="1">
      <c r="A62" s="303">
        <v>8</v>
      </c>
      <c r="B62" s="304" t="s">
        <v>86</v>
      </c>
      <c r="C62" s="305">
        <f t="shared" ca="1" si="22"/>
        <v>32640</v>
      </c>
      <c r="D62" s="306">
        <f ca="1">IFERROR(__xludf.DUMMYFUNCTION("IMPORTRANGE(""https://docs.google.com/spreadsheets/d/1C3CXT74ZlgGe6_JY_1olB1XN4rF0dxEuIIF-xsYjHgg/edit?usp=sharing"",""งบกองทุน!DN66"")"),0)</f>
        <v>0</v>
      </c>
      <c r="E62" s="306">
        <f ca="1">IFERROR(__xludf.DUMMYFUNCTION("IMPORTRANGE(""https://docs.google.com/spreadsheets/d/1C3CXT74ZlgGe6_JY_1olB1XN4rF0dxEuIIF-xsYjHgg/edit?usp=sharing"",""งบกองทุน!DO66"")"),32640)</f>
        <v>32640</v>
      </c>
      <c r="F62" s="307">
        <f ca="1">IFERROR(__xludf.DUMMYFUNCTION("IMPORTRANGE(""https://docs.google.com/spreadsheets/d/1SX6NBoVAgQJ6U1MVXOaj8PK2l7WJ3RER9xtqwdhxkhw/edit?usp=sharing"",""นครปฐม!M428"")"),28080)</f>
        <v>28080</v>
      </c>
      <c r="G62" s="307">
        <f t="shared" ca="1" si="1"/>
        <v>86.029411764705884</v>
      </c>
      <c r="H62" s="308">
        <f ca="1">IFERROR(__xludf.DUMMYFUNCTION("IMPORTRANGE(""https://docs.google.com/spreadsheets/d/1C3CXT74ZlgGe6_JY_1olB1XN4rF0dxEuIIF-xsYjHgg/edit?usp=sharing"",""งบกองทุน!DQ66"")"),20)</f>
        <v>20</v>
      </c>
      <c r="I62" s="308">
        <f ca="1">IFERROR(__xludf.DUMMYFUNCTION("IMPORTRANGE(""https://docs.google.com/spreadsheets/d/1SX6NBoVAgQJ6U1MVXOaj8PK2l7WJ3RER9xtqwdhxkhw/edit?usp=sharing"",""นครปฐม!J442"")"),20)</f>
        <v>20</v>
      </c>
      <c r="J62" s="309">
        <f t="shared" ca="1" si="15"/>
        <v>100</v>
      </c>
      <c r="K62" s="306">
        <f ca="1">IFERROR(__xludf.DUMMYFUNCTION("IMPORTRANGE(""https://docs.google.com/spreadsheets/d/1SX6NBoVAgQJ6U1MVXOaj8PK2l7WJ3RER9xtqwdhxkhw/edit?usp=sharing"",""นครปฐม!J443"")"),0)</f>
        <v>0</v>
      </c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</row>
    <row r="63" spans="1:25" ht="21" customHeight="1">
      <c r="A63" s="303">
        <v>9</v>
      </c>
      <c r="B63" s="304" t="s">
        <v>87</v>
      </c>
      <c r="C63" s="305">
        <f t="shared" ca="1" si="22"/>
        <v>34340</v>
      </c>
      <c r="D63" s="306">
        <f ca="1">IFERROR(__xludf.DUMMYFUNCTION("IMPORTRANGE(""https://docs.google.com/spreadsheets/d/1C3CXT74ZlgGe6_JY_1olB1XN4rF0dxEuIIF-xsYjHgg/edit?usp=sharing"",""งบกองทุน!DN67"")"),0)</f>
        <v>0</v>
      </c>
      <c r="E63" s="306">
        <f ca="1">IFERROR(__xludf.DUMMYFUNCTION("IMPORTRANGE(""https://docs.google.com/spreadsheets/d/1C3CXT74ZlgGe6_JY_1olB1XN4rF0dxEuIIF-xsYjHgg/edit?usp=sharing"",""งบกองทุน!DO67"")"),34340)</f>
        <v>34340</v>
      </c>
      <c r="F63" s="307">
        <f ca="1">IFERROR(__xludf.DUMMYFUNCTION("IMPORTRANGE(""https://docs.google.com/spreadsheets/d/1SX6NBoVAgQJ6U1MVXOaj8PK2l7WJ3RER9xtqwdhxkhw/edit?usp=sharing"",""ปทุมธานี!M428"")"),32607.02)</f>
        <v>32607.02</v>
      </c>
      <c r="G63" s="307">
        <f t="shared" ca="1" si="1"/>
        <v>94.953465346534657</v>
      </c>
      <c r="H63" s="308">
        <f ca="1">IFERROR(__xludf.DUMMYFUNCTION("IMPORTRANGE(""https://docs.google.com/spreadsheets/d/1C3CXT74ZlgGe6_JY_1olB1XN4rF0dxEuIIF-xsYjHgg/edit?usp=sharing"",""งบกองทุน!DQ67"")"),22)</f>
        <v>22</v>
      </c>
      <c r="I63" s="308">
        <f ca="1">IFERROR(__xludf.DUMMYFUNCTION("IMPORTRANGE(""https://docs.google.com/spreadsheets/d/1SX6NBoVAgQJ6U1MVXOaj8PK2l7WJ3RER9xtqwdhxkhw/edit?usp=sharing"",""ปทุมธานี!J442"")"),22)</f>
        <v>22</v>
      </c>
      <c r="J63" s="309">
        <f t="shared" ca="1" si="15"/>
        <v>100</v>
      </c>
      <c r="K63" s="306">
        <f ca="1">IFERROR(__xludf.DUMMYFUNCTION("IMPORTRANGE(""https://docs.google.com/spreadsheets/d/1SX6NBoVAgQJ6U1MVXOaj8PK2l7WJ3RER9xtqwdhxkhw/edit?usp=sharing"",""ปทุมธานี!J443"")"),0)</f>
        <v>0</v>
      </c>
      <c r="L63" s="339"/>
      <c r="M63" s="339"/>
      <c r="N63" s="33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39"/>
    </row>
    <row r="64" spans="1:25" ht="21" customHeight="1">
      <c r="A64" s="303">
        <v>10</v>
      </c>
      <c r="B64" s="304" t="s">
        <v>88</v>
      </c>
      <c r="C64" s="305">
        <f t="shared" ca="1" si="22"/>
        <v>34340</v>
      </c>
      <c r="D64" s="306">
        <f ca="1">IFERROR(__xludf.DUMMYFUNCTION("IMPORTRANGE(""https://docs.google.com/spreadsheets/d/1C3CXT74ZlgGe6_JY_1olB1XN4rF0dxEuIIF-xsYjHgg/edit?usp=sharing"",""งบกองทุน!DN68"")"),0)</f>
        <v>0</v>
      </c>
      <c r="E64" s="306">
        <f ca="1">IFERROR(__xludf.DUMMYFUNCTION("IMPORTRANGE(""https://docs.google.com/spreadsheets/d/1C3CXT74ZlgGe6_JY_1olB1XN4rF0dxEuIIF-xsYjHgg/edit?usp=sharing"",""งบกองทุน!DO68"")"),34340)</f>
        <v>34340</v>
      </c>
      <c r="F64" s="307">
        <f ca="1">IFERROR(__xludf.DUMMYFUNCTION("IMPORTRANGE(""https://docs.google.com/spreadsheets/d/1SX6NBoVAgQJ6U1MVXOaj8PK2l7WJ3RER9xtqwdhxkhw/edit?usp=sharing"",""ประจวบคีรีขันธ์!M428"")"),31910)</f>
        <v>31910</v>
      </c>
      <c r="G64" s="307">
        <f t="shared" ca="1" si="1"/>
        <v>92.923704135119394</v>
      </c>
      <c r="H64" s="308">
        <f ca="1">IFERROR(__xludf.DUMMYFUNCTION("IMPORTRANGE(""https://docs.google.com/spreadsheets/d/1C3CXT74ZlgGe6_JY_1olB1XN4rF0dxEuIIF-xsYjHgg/edit?usp=sharing"",""งบกองทุน!DQ68"")"),22)</f>
        <v>22</v>
      </c>
      <c r="I64" s="308">
        <f ca="1">IFERROR(__xludf.DUMMYFUNCTION("IMPORTRANGE(""https://docs.google.com/spreadsheets/d/1SX6NBoVAgQJ6U1MVXOaj8PK2l7WJ3RER9xtqwdhxkhw/edit?usp=sharing"",""ประจวบคีรีขันธ์!J442"")"),22)</f>
        <v>22</v>
      </c>
      <c r="J64" s="309">
        <f t="shared" ca="1" si="15"/>
        <v>100</v>
      </c>
      <c r="K64" s="306">
        <f ca="1">IFERROR(__xludf.DUMMYFUNCTION("IMPORTRANGE(""https://docs.google.com/spreadsheets/d/1SX6NBoVAgQJ6U1MVXOaj8PK2l7WJ3RER9xtqwdhxkhw/edit?usp=sharing"",""ประจวบคีรีขันธ์!J443"")"),0)</f>
        <v>0</v>
      </c>
      <c r="L64" s="339"/>
      <c r="M64" s="339"/>
      <c r="N64" s="339"/>
      <c r="O64" s="339"/>
      <c r="P64" s="339"/>
      <c r="Q64" s="339"/>
      <c r="R64" s="339"/>
      <c r="S64" s="339"/>
      <c r="T64" s="339"/>
      <c r="U64" s="339"/>
      <c r="V64" s="339"/>
      <c r="W64" s="339"/>
      <c r="X64" s="339"/>
      <c r="Y64" s="339"/>
    </row>
    <row r="65" spans="1:25" ht="21" customHeight="1">
      <c r="A65" s="303">
        <v>11</v>
      </c>
      <c r="B65" s="304" t="s">
        <v>89</v>
      </c>
      <c r="C65" s="305">
        <f t="shared" ca="1" si="22"/>
        <v>34340</v>
      </c>
      <c r="D65" s="306">
        <f ca="1">IFERROR(__xludf.DUMMYFUNCTION("IMPORTRANGE(""https://docs.google.com/spreadsheets/d/1C3CXT74ZlgGe6_JY_1olB1XN4rF0dxEuIIF-xsYjHgg/edit?usp=sharing"",""งบกองทุน!DN69"")"),0)</f>
        <v>0</v>
      </c>
      <c r="E65" s="306">
        <f ca="1">IFERROR(__xludf.DUMMYFUNCTION("IMPORTRANGE(""https://docs.google.com/spreadsheets/d/1C3CXT74ZlgGe6_JY_1olB1XN4rF0dxEuIIF-xsYjHgg/edit?usp=sharing"",""งบกองทุน!DO69"")"),34340)</f>
        <v>34340</v>
      </c>
      <c r="F65" s="307">
        <f ca="1">IFERROR(__xludf.DUMMYFUNCTION("IMPORTRANGE(""https://docs.google.com/spreadsheets/d/1SX6NBoVAgQJ6U1MVXOaj8PK2l7WJ3RER9xtqwdhxkhw/edit?usp=sharing"",""ปราจีนบุรี!M428"")"),26700)</f>
        <v>26700</v>
      </c>
      <c r="G65" s="307">
        <f t="shared" ca="1" si="1"/>
        <v>77.751892836342464</v>
      </c>
      <c r="H65" s="308">
        <f ca="1">IFERROR(__xludf.DUMMYFUNCTION("IMPORTRANGE(""https://docs.google.com/spreadsheets/d/1C3CXT74ZlgGe6_JY_1olB1XN4rF0dxEuIIF-xsYjHgg/edit?usp=sharing"",""งบกองทุน!DQ69"")"),22)</f>
        <v>22</v>
      </c>
      <c r="I65" s="308">
        <f ca="1">IFERROR(__xludf.DUMMYFUNCTION("IMPORTRANGE(""https://docs.google.com/spreadsheets/d/1SX6NBoVAgQJ6U1MVXOaj8PK2l7WJ3RER9xtqwdhxkhw/edit?usp=sharing"",""ปราจีนบุรี!J442"")"),22)</f>
        <v>22</v>
      </c>
      <c r="J65" s="309">
        <f t="shared" ca="1" si="15"/>
        <v>100</v>
      </c>
      <c r="K65" s="306">
        <f ca="1">IFERROR(__xludf.DUMMYFUNCTION("IMPORTRANGE(""https://docs.google.com/spreadsheets/d/1SX6NBoVAgQJ6U1MVXOaj8PK2l7WJ3RER9xtqwdhxkhw/edit?usp=sharing"",""ปราจีนบุรี!J443"")"),0)</f>
        <v>0</v>
      </c>
      <c r="L65" s="339"/>
      <c r="M65" s="339"/>
      <c r="N65" s="339"/>
      <c r="O65" s="339"/>
      <c r="P65" s="339"/>
      <c r="Q65" s="339"/>
      <c r="R65" s="339"/>
      <c r="S65" s="339"/>
      <c r="T65" s="339"/>
      <c r="U65" s="339"/>
      <c r="V65" s="339"/>
      <c r="W65" s="339"/>
      <c r="X65" s="339"/>
      <c r="Y65" s="339"/>
    </row>
    <row r="66" spans="1:25" ht="21" customHeight="1">
      <c r="A66" s="303">
        <v>12</v>
      </c>
      <c r="B66" s="304" t="s">
        <v>90</v>
      </c>
      <c r="C66" s="305">
        <f t="shared" ca="1" si="22"/>
        <v>34340</v>
      </c>
      <c r="D66" s="306">
        <f ca="1">IFERROR(__xludf.DUMMYFUNCTION("IMPORTRANGE(""https://docs.google.com/spreadsheets/d/1C3CXT74ZlgGe6_JY_1olB1XN4rF0dxEuIIF-xsYjHgg/edit?usp=sharing"",""งบกองทุน!DN70"")"),0)</f>
        <v>0</v>
      </c>
      <c r="E66" s="306">
        <f ca="1">IFERROR(__xludf.DUMMYFUNCTION("IMPORTRANGE(""https://docs.google.com/spreadsheets/d/1C3CXT74ZlgGe6_JY_1olB1XN4rF0dxEuIIF-xsYjHgg/edit?usp=sharing"",""งบกองทุน!DO70"")"),34340)</f>
        <v>34340</v>
      </c>
      <c r="F66" s="307">
        <f ca="1">IFERROR(__xludf.DUMMYFUNCTION("IMPORTRANGE(""https://docs.google.com/spreadsheets/d/1SX6NBoVAgQJ6U1MVXOaj8PK2l7WJ3RER9xtqwdhxkhw/edit?usp=sharing"",""พระนครศรีอยุธยา!M428"")"),31134)</f>
        <v>31134</v>
      </c>
      <c r="G66" s="307">
        <f t="shared" ca="1" si="1"/>
        <v>90.663948747815965</v>
      </c>
      <c r="H66" s="308">
        <f ca="1">IFERROR(__xludf.DUMMYFUNCTION("IMPORTRANGE(""https://docs.google.com/spreadsheets/d/1C3CXT74ZlgGe6_JY_1olB1XN4rF0dxEuIIF-xsYjHgg/edit?usp=sharing"",""งบกองทุน!DQ70"")"),22)</f>
        <v>22</v>
      </c>
      <c r="I66" s="308">
        <f ca="1">IFERROR(__xludf.DUMMYFUNCTION("IMPORTRANGE(""https://docs.google.com/spreadsheets/d/1SX6NBoVAgQJ6U1MVXOaj8PK2l7WJ3RER9xtqwdhxkhw/edit?usp=sharing"",""พระนครศรีอยุธยา!J442"")"),22)</f>
        <v>22</v>
      </c>
      <c r="J66" s="309">
        <f t="shared" ca="1" si="15"/>
        <v>100</v>
      </c>
      <c r="K66" s="306">
        <f ca="1">IFERROR(__xludf.DUMMYFUNCTION("IMPORTRANGE(""https://docs.google.com/spreadsheets/d/1SX6NBoVAgQJ6U1MVXOaj8PK2l7WJ3RER9xtqwdhxkhw/edit?usp=sharing"",""พระนครศรีอยุธยา!J443"")"),0)</f>
        <v>0</v>
      </c>
      <c r="L66" s="339"/>
      <c r="M66" s="339"/>
      <c r="N66" s="339"/>
      <c r="O66" s="339"/>
      <c r="P66" s="339"/>
      <c r="Q66" s="339"/>
      <c r="R66" s="339"/>
      <c r="S66" s="339"/>
      <c r="T66" s="339"/>
      <c r="U66" s="339"/>
      <c r="V66" s="339"/>
      <c r="W66" s="339"/>
      <c r="X66" s="339"/>
      <c r="Y66" s="339"/>
    </row>
    <row r="67" spans="1:25" ht="21" customHeight="1">
      <c r="A67" s="303">
        <v>13</v>
      </c>
      <c r="B67" s="304" t="s">
        <v>91</v>
      </c>
      <c r="C67" s="305">
        <f t="shared" ca="1" si="22"/>
        <v>34340</v>
      </c>
      <c r="D67" s="306">
        <f ca="1">IFERROR(__xludf.DUMMYFUNCTION("IMPORTRANGE(""https://docs.google.com/spreadsheets/d/1C3CXT74ZlgGe6_JY_1olB1XN4rF0dxEuIIF-xsYjHgg/edit?usp=sharing"",""งบกองทุน!DN71"")"),0)</f>
        <v>0</v>
      </c>
      <c r="E67" s="306">
        <f ca="1">IFERROR(__xludf.DUMMYFUNCTION("IMPORTRANGE(""https://docs.google.com/spreadsheets/d/1C3CXT74ZlgGe6_JY_1olB1XN4rF0dxEuIIF-xsYjHgg/edit?usp=sharing"",""งบกองทุน!DO71"")"),34340)</f>
        <v>34340</v>
      </c>
      <c r="F67" s="307">
        <f ca="1">IFERROR(__xludf.DUMMYFUNCTION("IMPORTRANGE(""https://docs.google.com/spreadsheets/d/1SX6NBoVAgQJ6U1MVXOaj8PK2l7WJ3RER9xtqwdhxkhw/edit?usp=sharing"",""เพชรบุรี!M428"")"),18805)</f>
        <v>18805</v>
      </c>
      <c r="G67" s="307">
        <f t="shared" ca="1" si="1"/>
        <v>54.761211415259176</v>
      </c>
      <c r="H67" s="308">
        <f ca="1">IFERROR(__xludf.DUMMYFUNCTION("IMPORTRANGE(""https://docs.google.com/spreadsheets/d/1C3CXT74ZlgGe6_JY_1olB1XN4rF0dxEuIIF-xsYjHgg/edit?usp=sharing"",""งบกองทุน!DQ71"")"),22)</f>
        <v>22</v>
      </c>
      <c r="I67" s="308">
        <f ca="1">IFERROR(__xludf.DUMMYFUNCTION("IMPORTRANGE(""https://docs.google.com/spreadsheets/d/1SX6NBoVAgQJ6U1MVXOaj8PK2l7WJ3RER9xtqwdhxkhw/edit?usp=sharing"",""เพชรบุรี!J442"")"),22)</f>
        <v>22</v>
      </c>
      <c r="J67" s="309">
        <f t="shared" ca="1" si="15"/>
        <v>100</v>
      </c>
      <c r="K67" s="306">
        <f ca="1">IFERROR(__xludf.DUMMYFUNCTION("IMPORTRANGE(""https://docs.google.com/spreadsheets/d/1SX6NBoVAgQJ6U1MVXOaj8PK2l7WJ3RER9xtqwdhxkhw/edit?usp=sharing"",""เพชรบุรี!J443"")"),0)</f>
        <v>0</v>
      </c>
      <c r="L67" s="339"/>
      <c r="M67" s="339"/>
      <c r="N67" s="339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39"/>
    </row>
    <row r="68" spans="1:25" ht="21" customHeight="1">
      <c r="A68" s="303">
        <v>14</v>
      </c>
      <c r="B68" s="304" t="s">
        <v>92</v>
      </c>
      <c r="C68" s="305">
        <f t="shared" ca="1" si="22"/>
        <v>34340</v>
      </c>
      <c r="D68" s="306">
        <f ca="1">IFERROR(__xludf.DUMMYFUNCTION("IMPORTRANGE(""https://docs.google.com/spreadsheets/d/1C3CXT74ZlgGe6_JY_1olB1XN4rF0dxEuIIF-xsYjHgg/edit?usp=sharing"",""งบกองทุน!DN72"")"),0)</f>
        <v>0</v>
      </c>
      <c r="E68" s="306">
        <f ca="1">IFERROR(__xludf.DUMMYFUNCTION("IMPORTRANGE(""https://docs.google.com/spreadsheets/d/1C3CXT74ZlgGe6_JY_1olB1XN4rF0dxEuIIF-xsYjHgg/edit?usp=sharing"",""งบกองทุน!DO72"")"),34340)</f>
        <v>34340</v>
      </c>
      <c r="F68" s="307">
        <f ca="1">IFERROR(__xludf.DUMMYFUNCTION("IMPORTRANGE(""https://docs.google.com/spreadsheets/d/1SX6NBoVAgQJ6U1MVXOaj8PK2l7WJ3RER9xtqwdhxkhw/edit?usp=sharing"",""ระยอง!M428"")"),29070)</f>
        <v>29070</v>
      </c>
      <c r="G68" s="307">
        <f t="shared" ca="1" si="1"/>
        <v>84.653465346534659</v>
      </c>
      <c r="H68" s="308">
        <f ca="1">IFERROR(__xludf.DUMMYFUNCTION("IMPORTRANGE(""https://docs.google.com/spreadsheets/d/1C3CXT74ZlgGe6_JY_1olB1XN4rF0dxEuIIF-xsYjHgg/edit?usp=sharing"",""งบกองทุน!DQ72"")"),22)</f>
        <v>22</v>
      </c>
      <c r="I68" s="308">
        <f ca="1">IFERROR(__xludf.DUMMYFUNCTION("IMPORTRANGE(""https://docs.google.com/spreadsheets/d/1SX6NBoVAgQJ6U1MVXOaj8PK2l7WJ3RER9xtqwdhxkhw/edit?usp=sharing"",""ระยอง!J442"")"),22)</f>
        <v>22</v>
      </c>
      <c r="J68" s="309">
        <f t="shared" ca="1" si="15"/>
        <v>100</v>
      </c>
      <c r="K68" s="306">
        <f ca="1">IFERROR(__xludf.DUMMYFUNCTION("IMPORTRANGE(""https://docs.google.com/spreadsheets/d/1SX6NBoVAgQJ6U1MVXOaj8PK2l7WJ3RER9xtqwdhxkhw/edit?usp=sharing"",""ระยอง!J443"")"),0)</f>
        <v>0</v>
      </c>
      <c r="L68" s="339"/>
      <c r="M68" s="339"/>
      <c r="N68" s="339"/>
      <c r="O68" s="339"/>
      <c r="P68" s="339"/>
      <c r="Q68" s="339"/>
      <c r="R68" s="339"/>
      <c r="S68" s="339"/>
      <c r="T68" s="339"/>
      <c r="U68" s="339"/>
      <c r="V68" s="339"/>
      <c r="W68" s="339"/>
      <c r="X68" s="339"/>
      <c r="Y68" s="339"/>
    </row>
    <row r="69" spans="1:25" ht="21" customHeight="1">
      <c r="A69" s="303">
        <v>15</v>
      </c>
      <c r="B69" s="304" t="s">
        <v>93</v>
      </c>
      <c r="C69" s="305">
        <f t="shared" ca="1" si="22"/>
        <v>34340</v>
      </c>
      <c r="D69" s="306">
        <f ca="1">IFERROR(__xludf.DUMMYFUNCTION("IMPORTRANGE(""https://docs.google.com/spreadsheets/d/1C3CXT74ZlgGe6_JY_1olB1XN4rF0dxEuIIF-xsYjHgg/edit?usp=sharing"",""งบกองทุน!DN73"")"),0)</f>
        <v>0</v>
      </c>
      <c r="E69" s="306">
        <f ca="1">IFERROR(__xludf.DUMMYFUNCTION("IMPORTRANGE(""https://docs.google.com/spreadsheets/d/1C3CXT74ZlgGe6_JY_1olB1XN4rF0dxEuIIF-xsYjHgg/edit?usp=sharing"",""งบกองทุน!DO73"")"),34340)</f>
        <v>34340</v>
      </c>
      <c r="F69" s="307">
        <f ca="1">IFERROR(__xludf.DUMMYFUNCTION("IMPORTRANGE(""https://docs.google.com/spreadsheets/d/1SX6NBoVAgQJ6U1MVXOaj8PK2l7WJ3RER9xtqwdhxkhw/edit?usp=sharing"",""ราชบุรี!M428"")"),22716.97)</f>
        <v>22716.97</v>
      </c>
      <c r="G69" s="307">
        <f t="shared" ca="1" si="1"/>
        <v>66.153086779266161</v>
      </c>
      <c r="H69" s="308">
        <f ca="1">IFERROR(__xludf.DUMMYFUNCTION("IMPORTRANGE(""https://docs.google.com/spreadsheets/d/1C3CXT74ZlgGe6_JY_1olB1XN4rF0dxEuIIF-xsYjHgg/edit?usp=sharing"",""งบกองทุน!DQ73"")"),22)</f>
        <v>22</v>
      </c>
      <c r="I69" s="308">
        <f ca="1">IFERROR(__xludf.DUMMYFUNCTION("IMPORTRANGE(""https://docs.google.com/spreadsheets/d/1SX6NBoVAgQJ6U1MVXOaj8PK2l7WJ3RER9xtqwdhxkhw/edit?usp=sharing"",""ราชบุรี!J442"")"),22)</f>
        <v>22</v>
      </c>
      <c r="J69" s="309">
        <f t="shared" ca="1" si="15"/>
        <v>100</v>
      </c>
      <c r="K69" s="306">
        <f ca="1">IFERROR(__xludf.DUMMYFUNCTION("IMPORTRANGE(""https://docs.google.com/spreadsheets/d/1SX6NBoVAgQJ6U1MVXOaj8PK2l7WJ3RER9xtqwdhxkhw/edit?usp=sharing"",""ราชบุรี!J443"")"),0)</f>
        <v>0</v>
      </c>
      <c r="L69" s="339"/>
      <c r="M69" s="339"/>
      <c r="N69" s="339"/>
      <c r="O69" s="339"/>
      <c r="P69" s="339"/>
      <c r="Q69" s="339"/>
      <c r="R69" s="339"/>
      <c r="S69" s="339"/>
      <c r="T69" s="339"/>
      <c r="U69" s="339"/>
      <c r="V69" s="339"/>
      <c r="W69" s="339"/>
      <c r="X69" s="339"/>
      <c r="Y69" s="339"/>
    </row>
    <row r="70" spans="1:25" ht="24" customHeight="1">
      <c r="A70" s="303">
        <v>16</v>
      </c>
      <c r="B70" s="304" t="s">
        <v>94</v>
      </c>
      <c r="C70" s="305">
        <f t="shared" ca="1" si="22"/>
        <v>34340</v>
      </c>
      <c r="D70" s="306">
        <f ca="1">IFERROR(__xludf.DUMMYFUNCTION("IMPORTRANGE(""https://docs.google.com/spreadsheets/d/1C3CXT74ZlgGe6_JY_1olB1XN4rF0dxEuIIF-xsYjHgg/edit?usp=sharing"",""งบกองทุน!DN74"")"),0)</f>
        <v>0</v>
      </c>
      <c r="E70" s="306">
        <f ca="1">IFERROR(__xludf.DUMMYFUNCTION("IMPORTRANGE(""https://docs.google.com/spreadsheets/d/1C3CXT74ZlgGe6_JY_1olB1XN4rF0dxEuIIF-xsYjHgg/edit?usp=sharing"",""งบกองทุน!DO74"")"),34340)</f>
        <v>34340</v>
      </c>
      <c r="F70" s="307">
        <f ca="1">IFERROR(__xludf.DUMMYFUNCTION("IMPORTRANGE(""https://docs.google.com/spreadsheets/d/1SX6NBoVAgQJ6U1MVXOaj8PK2l7WJ3RER9xtqwdhxkhw/edit?usp=sharing"",""ลพบุรี!M428"")"),27220)</f>
        <v>27220</v>
      </c>
      <c r="G70" s="307">
        <f t="shared" ca="1" si="1"/>
        <v>79.266161910308682</v>
      </c>
      <c r="H70" s="308">
        <f ca="1">IFERROR(__xludf.DUMMYFUNCTION("IMPORTRANGE(""https://docs.google.com/spreadsheets/d/1C3CXT74ZlgGe6_JY_1olB1XN4rF0dxEuIIF-xsYjHgg/edit?usp=sharing"",""งบกองทุน!DQ74"")"),22)</f>
        <v>22</v>
      </c>
      <c r="I70" s="308">
        <f ca="1">IFERROR(__xludf.DUMMYFUNCTION("IMPORTRANGE(""https://docs.google.com/spreadsheets/d/1SX6NBoVAgQJ6U1MVXOaj8PK2l7WJ3RER9xtqwdhxkhw/edit?usp=sharing"",""ลพบุรี!J442"")"),22)</f>
        <v>22</v>
      </c>
      <c r="J70" s="309">
        <f t="shared" ca="1" si="15"/>
        <v>100</v>
      </c>
      <c r="K70" s="306">
        <f ca="1">IFERROR(__xludf.DUMMYFUNCTION("IMPORTRANGE(""https://docs.google.com/spreadsheets/d/1SX6NBoVAgQJ6U1MVXOaj8PK2l7WJ3RER9xtqwdhxkhw/edit?usp=sharing"",""ลพบุรี!J443"")"),0)</f>
        <v>0</v>
      </c>
      <c r="L70" s="339"/>
      <c r="M70" s="339"/>
      <c r="N70" s="339"/>
      <c r="O70" s="339"/>
      <c r="P70" s="339"/>
      <c r="Q70" s="339"/>
      <c r="R70" s="339"/>
      <c r="S70" s="339"/>
      <c r="T70" s="339"/>
      <c r="U70" s="339"/>
      <c r="V70" s="339"/>
      <c r="W70" s="339"/>
      <c r="X70" s="339"/>
      <c r="Y70" s="339"/>
    </row>
    <row r="71" spans="1:25" ht="21" customHeight="1">
      <c r="A71" s="303">
        <v>17</v>
      </c>
      <c r="B71" s="304" t="s">
        <v>95</v>
      </c>
      <c r="C71" s="305">
        <f t="shared" ca="1" si="22"/>
        <v>34340</v>
      </c>
      <c r="D71" s="306">
        <f ca="1">IFERROR(__xludf.DUMMYFUNCTION("IMPORTRANGE(""https://docs.google.com/spreadsheets/d/1C3CXT74ZlgGe6_JY_1olB1XN4rF0dxEuIIF-xsYjHgg/edit?usp=sharing"",""งบกองทุน!DN75"")"),0)</f>
        <v>0</v>
      </c>
      <c r="E71" s="306">
        <f ca="1">IFERROR(__xludf.DUMMYFUNCTION("IMPORTRANGE(""https://docs.google.com/spreadsheets/d/1C3CXT74ZlgGe6_JY_1olB1XN4rF0dxEuIIF-xsYjHgg/edit?usp=sharing"",""งบกองทุน!DO75"")"),34340)</f>
        <v>34340</v>
      </c>
      <c r="F71" s="307">
        <f ca="1">IFERROR(__xludf.DUMMYFUNCTION("IMPORTRANGE(""https://docs.google.com/spreadsheets/d/1SX6NBoVAgQJ6U1MVXOaj8PK2l7WJ3RER9xtqwdhxkhw/edit?usp=sharing"",""สระแก้ว!M428"")"),27225)</f>
        <v>27225</v>
      </c>
      <c r="G71" s="307">
        <f t="shared" ca="1" si="1"/>
        <v>79.28072218986604</v>
      </c>
      <c r="H71" s="308">
        <f ca="1">IFERROR(__xludf.DUMMYFUNCTION("IMPORTRANGE(""https://docs.google.com/spreadsheets/d/1C3CXT74ZlgGe6_JY_1olB1XN4rF0dxEuIIF-xsYjHgg/edit?usp=sharing"",""งบกองทุน!DQ75"")"),22)</f>
        <v>22</v>
      </c>
      <c r="I71" s="308">
        <f ca="1">IFERROR(__xludf.DUMMYFUNCTION("IMPORTRANGE(""https://docs.google.com/spreadsheets/d/1SX6NBoVAgQJ6U1MVXOaj8PK2l7WJ3RER9xtqwdhxkhw/edit?usp=sharing"",""สระแก้ว!J442"")"),22)</f>
        <v>22</v>
      </c>
      <c r="J71" s="309">
        <f t="shared" ca="1" si="15"/>
        <v>100</v>
      </c>
      <c r="K71" s="306">
        <f ca="1">IFERROR(__xludf.DUMMYFUNCTION("IMPORTRANGE(""https://docs.google.com/spreadsheets/d/1SX6NBoVAgQJ6U1MVXOaj8PK2l7WJ3RER9xtqwdhxkhw/edit?usp=sharing"",""สระแก้ว!J443"")"),0)</f>
        <v>0</v>
      </c>
      <c r="L71" s="339"/>
      <c r="M71" s="339"/>
      <c r="N71" s="339"/>
      <c r="O71" s="339"/>
      <c r="P71" s="339"/>
      <c r="Q71" s="339"/>
      <c r="R71" s="339"/>
      <c r="S71" s="339"/>
      <c r="T71" s="339"/>
      <c r="U71" s="339"/>
      <c r="V71" s="339"/>
      <c r="W71" s="339"/>
      <c r="X71" s="339"/>
      <c r="Y71" s="339"/>
    </row>
    <row r="72" spans="1:25" ht="21" customHeight="1">
      <c r="A72" s="303">
        <v>18</v>
      </c>
      <c r="B72" s="304" t="s">
        <v>96</v>
      </c>
      <c r="C72" s="305">
        <f t="shared" ca="1" si="22"/>
        <v>35190</v>
      </c>
      <c r="D72" s="306">
        <f ca="1">IFERROR(__xludf.DUMMYFUNCTION("IMPORTRANGE(""https://docs.google.com/spreadsheets/d/1C3CXT74ZlgGe6_JY_1olB1XN4rF0dxEuIIF-xsYjHgg/edit?usp=sharing"",""งบกองทุน!DN76"")"),0)</f>
        <v>0</v>
      </c>
      <c r="E72" s="306">
        <f ca="1">IFERROR(__xludf.DUMMYFUNCTION("IMPORTRANGE(""https://docs.google.com/spreadsheets/d/1C3CXT74ZlgGe6_JY_1olB1XN4rF0dxEuIIF-xsYjHgg/edit?usp=sharing"",""งบกองทุน!DO76"")"),35190)</f>
        <v>35190</v>
      </c>
      <c r="F72" s="307">
        <f ca="1">IFERROR(__xludf.DUMMYFUNCTION("IMPORTRANGE(""https://docs.google.com/spreadsheets/d/1SX6NBoVAgQJ6U1MVXOaj8PK2l7WJ3RER9xtqwdhxkhw/edit?usp=sharing"",""สระบุรี!M428"")"),19810)</f>
        <v>19810</v>
      </c>
      <c r="G72" s="307">
        <f t="shared" ca="1" si="1"/>
        <v>56.294401818698496</v>
      </c>
      <c r="H72" s="308">
        <f ca="1">IFERROR(__xludf.DUMMYFUNCTION("IMPORTRANGE(""https://docs.google.com/spreadsheets/d/1C3CXT74ZlgGe6_JY_1olB1XN4rF0dxEuIIF-xsYjHgg/edit?usp=sharing"",""งบกองทุน!DQ76"")"),23)</f>
        <v>23</v>
      </c>
      <c r="I72" s="308">
        <f ca="1">IFERROR(__xludf.DUMMYFUNCTION("IMPORTRANGE(""https://docs.google.com/spreadsheets/d/1SX6NBoVAgQJ6U1MVXOaj8PK2l7WJ3RER9xtqwdhxkhw/edit?usp=sharing"",""สระบุรี!J442"")"),23)</f>
        <v>23</v>
      </c>
      <c r="J72" s="309">
        <f t="shared" ca="1" si="15"/>
        <v>100</v>
      </c>
      <c r="K72" s="306">
        <f ca="1">IFERROR(__xludf.DUMMYFUNCTION("IMPORTRANGE(""https://docs.google.com/spreadsheets/d/1SX6NBoVAgQJ6U1MVXOaj8PK2l7WJ3RER9xtqwdhxkhw/edit?usp=sharing"",""สระบุรี!J443"")"),0)</f>
        <v>0</v>
      </c>
      <c r="L72" s="339"/>
      <c r="M72" s="339"/>
      <c r="N72" s="339"/>
      <c r="O72" s="339"/>
      <c r="P72" s="339"/>
      <c r="Q72" s="339"/>
      <c r="R72" s="339"/>
      <c r="S72" s="339"/>
      <c r="T72" s="339"/>
      <c r="U72" s="339"/>
      <c r="V72" s="339"/>
      <c r="W72" s="339"/>
      <c r="X72" s="339"/>
      <c r="Y72" s="339"/>
    </row>
    <row r="73" spans="1:25" ht="21" customHeight="1">
      <c r="A73" s="303">
        <v>19</v>
      </c>
      <c r="B73" s="304" t="s">
        <v>97</v>
      </c>
      <c r="C73" s="305">
        <f t="shared" ca="1" si="22"/>
        <v>24140</v>
      </c>
      <c r="D73" s="306">
        <f ca="1">IFERROR(__xludf.DUMMYFUNCTION("IMPORTRANGE(""https://docs.google.com/spreadsheets/d/1C3CXT74ZlgGe6_JY_1olB1XN4rF0dxEuIIF-xsYjHgg/edit?usp=sharing"",""งบกองทุน!DN77"")"),0)</f>
        <v>0</v>
      </c>
      <c r="E73" s="306">
        <f ca="1">IFERROR(__xludf.DUMMYFUNCTION("IMPORTRANGE(""https://docs.google.com/spreadsheets/d/1C3CXT74ZlgGe6_JY_1olB1XN4rF0dxEuIIF-xsYjHgg/edit?usp=sharing"",""งบกองทุน!DO77"")"),24140)</f>
        <v>24140</v>
      </c>
      <c r="F73" s="307">
        <f ca="1">IFERROR(__xludf.DUMMYFUNCTION("IMPORTRANGE(""https://docs.google.com/spreadsheets/d/1SX6NBoVAgQJ6U1MVXOaj8PK2l7WJ3RER9xtqwdhxkhw/edit?usp=sharing"",""สิงห์บุรี!M428"")"),23055)</f>
        <v>23055</v>
      </c>
      <c r="G73" s="307">
        <f t="shared" ca="1" si="1"/>
        <v>95.505385252692619</v>
      </c>
      <c r="H73" s="308">
        <f ca="1">IFERROR(__xludf.DUMMYFUNCTION("IMPORTRANGE(""https://docs.google.com/spreadsheets/d/1C3CXT74ZlgGe6_JY_1olB1XN4rF0dxEuIIF-xsYjHgg/edit?usp=sharing"",""งบกองทุน!DQ77"")"),10)</f>
        <v>10</v>
      </c>
      <c r="I73" s="308">
        <f ca="1">IFERROR(__xludf.DUMMYFUNCTION("IMPORTRANGE(""https://docs.google.com/spreadsheets/d/1SX6NBoVAgQJ6U1MVXOaj8PK2l7WJ3RER9xtqwdhxkhw/edit?usp=sharing"",""สิงห์บุรี!J442"")"),10)</f>
        <v>10</v>
      </c>
      <c r="J73" s="309">
        <f t="shared" ca="1" si="15"/>
        <v>100</v>
      </c>
      <c r="K73" s="306">
        <f ca="1">IFERROR(__xludf.DUMMYFUNCTION("IMPORTRANGE(""https://docs.google.com/spreadsheets/d/1SX6NBoVAgQJ6U1MVXOaj8PK2l7WJ3RER9xtqwdhxkhw/edit?usp=sharing"",""สิงห์บุรี!J443"")"),0)</f>
        <v>0</v>
      </c>
      <c r="L73" s="339"/>
      <c r="M73" s="339"/>
      <c r="N73" s="339"/>
      <c r="O73" s="339"/>
      <c r="P73" s="339"/>
      <c r="Q73" s="339"/>
      <c r="R73" s="339"/>
      <c r="S73" s="339"/>
      <c r="T73" s="339"/>
      <c r="U73" s="339"/>
      <c r="V73" s="339"/>
      <c r="W73" s="339"/>
      <c r="X73" s="339"/>
      <c r="Y73" s="339"/>
    </row>
    <row r="74" spans="1:25" ht="21" customHeight="1">
      <c r="A74" s="303">
        <v>20</v>
      </c>
      <c r="B74" s="304" t="s">
        <v>98</v>
      </c>
      <c r="C74" s="305">
        <f t="shared" ca="1" si="22"/>
        <v>34340</v>
      </c>
      <c r="D74" s="306">
        <f ca="1">IFERROR(__xludf.DUMMYFUNCTION("IMPORTRANGE(""https://docs.google.com/spreadsheets/d/1C3CXT74ZlgGe6_JY_1olB1XN4rF0dxEuIIF-xsYjHgg/edit?usp=sharing"",""งบกองทุน!DN78"")"),0)</f>
        <v>0</v>
      </c>
      <c r="E74" s="306">
        <f ca="1">IFERROR(__xludf.DUMMYFUNCTION("IMPORTRANGE(""https://docs.google.com/spreadsheets/d/1C3CXT74ZlgGe6_JY_1olB1XN4rF0dxEuIIF-xsYjHgg/edit?usp=sharing"",""งบกองทุน!DO78"")"),34340)</f>
        <v>34340</v>
      </c>
      <c r="F74" s="307">
        <f ca="1">IFERROR(__xludf.DUMMYFUNCTION("IMPORTRANGE(""https://docs.google.com/spreadsheets/d/1SX6NBoVAgQJ6U1MVXOaj8PK2l7WJ3RER9xtqwdhxkhw/edit?usp=sharing"",""สุพรรณบุรี!M428"")"),30945)</f>
        <v>30945</v>
      </c>
      <c r="G74" s="307">
        <f t="shared" ca="1" si="1"/>
        <v>90.11357018054747</v>
      </c>
      <c r="H74" s="308">
        <f ca="1">IFERROR(__xludf.DUMMYFUNCTION("IMPORTRANGE(""https://docs.google.com/spreadsheets/d/1C3CXT74ZlgGe6_JY_1olB1XN4rF0dxEuIIF-xsYjHgg/edit?usp=sharing"",""งบกองทุน!DQ78"")"),22)</f>
        <v>22</v>
      </c>
      <c r="I74" s="308">
        <f ca="1">IFERROR(__xludf.DUMMYFUNCTION("IMPORTRANGE(""https://docs.google.com/spreadsheets/d/1SX6NBoVAgQJ6U1MVXOaj8PK2l7WJ3RER9xtqwdhxkhw/edit?usp=sharing"",""สุพรรณบุรี!J442"")"),22)</f>
        <v>22</v>
      </c>
      <c r="J74" s="309">
        <f t="shared" ca="1" si="15"/>
        <v>100</v>
      </c>
      <c r="K74" s="306">
        <f ca="1">IFERROR(__xludf.DUMMYFUNCTION("IMPORTRANGE(""https://docs.google.com/spreadsheets/d/1SX6NBoVAgQJ6U1MVXOaj8PK2l7WJ3RER9xtqwdhxkhw/edit?usp=sharing"",""สุพรรณบุรี!J443"")"),0)</f>
        <v>0</v>
      </c>
      <c r="L74" s="339"/>
      <c r="M74" s="339"/>
      <c r="N74" s="339"/>
      <c r="O74" s="339"/>
      <c r="P74" s="339"/>
      <c r="Q74" s="339"/>
      <c r="R74" s="339"/>
      <c r="S74" s="339"/>
      <c r="T74" s="339"/>
      <c r="U74" s="339"/>
      <c r="V74" s="339"/>
      <c r="W74" s="339"/>
      <c r="X74" s="339"/>
      <c r="Y74" s="339"/>
    </row>
    <row r="75" spans="1:25" ht="21" customHeight="1">
      <c r="A75" s="310">
        <v>21</v>
      </c>
      <c r="B75" s="311" t="s">
        <v>99</v>
      </c>
      <c r="C75" s="312">
        <f t="shared" ca="1" si="22"/>
        <v>24140</v>
      </c>
      <c r="D75" s="313">
        <f ca="1">IFERROR(__xludf.DUMMYFUNCTION("IMPORTRANGE(""https://docs.google.com/spreadsheets/d/1C3CXT74ZlgGe6_JY_1olB1XN4rF0dxEuIIF-xsYjHgg/edit?usp=sharing"",""งบกองทุน!DN79"")"),0)</f>
        <v>0</v>
      </c>
      <c r="E75" s="313">
        <f ca="1">IFERROR(__xludf.DUMMYFUNCTION("IMPORTRANGE(""https://docs.google.com/spreadsheets/d/1C3CXT74ZlgGe6_JY_1olB1XN4rF0dxEuIIF-xsYjHgg/edit?usp=sharing"",""งบกองทุน!DO79"")"),24140)</f>
        <v>24140</v>
      </c>
      <c r="F75" s="314">
        <f ca="1">IFERROR(__xludf.DUMMYFUNCTION("IMPORTRANGE(""https://docs.google.com/spreadsheets/d/1SX6NBoVAgQJ6U1MVXOaj8PK2l7WJ3RER9xtqwdhxkhw/edit?usp=sharing"",""อ่างทอง!M428"")"),5990)</f>
        <v>5990</v>
      </c>
      <c r="G75" s="314">
        <f t="shared" ca="1" si="1"/>
        <v>24.813587406793705</v>
      </c>
      <c r="H75" s="315">
        <f ca="1">IFERROR(__xludf.DUMMYFUNCTION("IMPORTRANGE(""https://docs.google.com/spreadsheets/d/1C3CXT74ZlgGe6_JY_1olB1XN4rF0dxEuIIF-xsYjHgg/edit?usp=sharing"",""งบกองทุน!DQ79"")"),10)</f>
        <v>10</v>
      </c>
      <c r="I75" s="315">
        <f ca="1">IFERROR(__xludf.DUMMYFUNCTION("IMPORTRANGE(""https://docs.google.com/spreadsheets/d/1SX6NBoVAgQJ6U1MVXOaj8PK2l7WJ3RER9xtqwdhxkhw/edit?usp=sharing"",""อ่างทอง!J442"")"),10)</f>
        <v>10</v>
      </c>
      <c r="J75" s="316">
        <f t="shared" ca="1" si="15"/>
        <v>100</v>
      </c>
      <c r="K75" s="313">
        <f ca="1">IFERROR(__xludf.DUMMYFUNCTION("IMPORTRANGE(""https://docs.google.com/spreadsheets/d/1SX6NBoVAgQJ6U1MVXOaj8PK2l7WJ3RER9xtqwdhxkhw/edit?usp=sharing"",""อ่างทอง!J443"")"),0)</f>
        <v>0</v>
      </c>
      <c r="L75" s="339"/>
      <c r="M75" s="339"/>
      <c r="N75" s="339"/>
      <c r="O75" s="339"/>
      <c r="P75" s="339"/>
      <c r="Q75" s="339"/>
      <c r="R75" s="339"/>
      <c r="S75" s="339"/>
      <c r="T75" s="339"/>
      <c r="U75" s="339"/>
      <c r="V75" s="339"/>
      <c r="W75" s="339"/>
      <c r="X75" s="339"/>
      <c r="Y75" s="339"/>
    </row>
    <row r="76" spans="1:25" ht="21" customHeight="1">
      <c r="A76" s="802" t="s">
        <v>100</v>
      </c>
      <c r="B76" s="652"/>
      <c r="C76" s="317">
        <f t="shared" ref="C76:F76" ca="1" si="23">SUM(C77:C90)</f>
        <v>468020</v>
      </c>
      <c r="D76" s="318">
        <f t="shared" ca="1" si="23"/>
        <v>0</v>
      </c>
      <c r="E76" s="318">
        <f t="shared" ca="1" si="23"/>
        <v>468020</v>
      </c>
      <c r="F76" s="319">
        <f t="shared" ca="1" si="23"/>
        <v>354143.68</v>
      </c>
      <c r="G76" s="319">
        <f t="shared" ca="1" si="1"/>
        <v>75.66849279945302</v>
      </c>
      <c r="H76" s="318">
        <f t="shared" ref="H76:I76" ca="1" si="24">SUM(H77:H90)</f>
        <v>293</v>
      </c>
      <c r="I76" s="318">
        <f t="shared" ca="1" si="24"/>
        <v>298</v>
      </c>
      <c r="J76" s="319">
        <f t="shared" ca="1" si="15"/>
        <v>101.70648464163823</v>
      </c>
      <c r="K76" s="318">
        <f ca="1">SUM(K77:K90)</f>
        <v>0</v>
      </c>
      <c r="L76" s="339"/>
      <c r="M76" s="339"/>
      <c r="N76" s="339"/>
      <c r="O76" s="339"/>
      <c r="P76" s="339"/>
      <c r="Q76" s="339"/>
      <c r="R76" s="339"/>
      <c r="S76" s="339"/>
      <c r="T76" s="339"/>
      <c r="U76" s="339"/>
      <c r="V76" s="339"/>
      <c r="W76" s="339"/>
      <c r="X76" s="339"/>
      <c r="Y76" s="339"/>
    </row>
    <row r="77" spans="1:25" ht="21" customHeight="1">
      <c r="A77" s="293">
        <v>1</v>
      </c>
      <c r="B77" s="357" t="s">
        <v>101</v>
      </c>
      <c r="C77" s="295">
        <f t="shared" ref="C77:C90" ca="1" si="25">+D77+E77</f>
        <v>34340</v>
      </c>
      <c r="D77" s="296">
        <f ca="1">IFERROR(__xludf.DUMMYFUNCTION("IMPORTRANGE(""https://docs.google.com/spreadsheets/d/1C3CXT74ZlgGe6_JY_1olB1XN4rF0dxEuIIF-xsYjHgg/edit?usp=sharing"",""งบกองทุน!DN81"")"),0)</f>
        <v>0</v>
      </c>
      <c r="E77" s="296">
        <f ca="1">IFERROR(__xludf.DUMMYFUNCTION("IMPORTRANGE(""https://docs.google.com/spreadsheets/d/1C3CXT74ZlgGe6_JY_1olB1XN4rF0dxEuIIF-xsYjHgg/edit?usp=sharing"",""งบกองทุน!DO81"")"),34340)</f>
        <v>34340</v>
      </c>
      <c r="F77" s="297">
        <f ca="1">IFERROR(__xludf.DUMMYFUNCTION("IMPORTRANGE(""https://docs.google.com/spreadsheets/d/1IYY_tgx_IHuhSq3AJ5eI5OnqOPBNLWSHKh2a30DoXe8/edit?usp=sharing"",""กระบี่!M428"")"),34340)</f>
        <v>34340</v>
      </c>
      <c r="G77" s="297">
        <f t="shared" ca="1" si="1"/>
        <v>100</v>
      </c>
      <c r="H77" s="299">
        <f ca="1">IFERROR(__xludf.DUMMYFUNCTION("IMPORTRANGE(""https://docs.google.com/spreadsheets/d/1C3CXT74ZlgGe6_JY_1olB1XN4rF0dxEuIIF-xsYjHgg/edit?usp=sharing"",""งบกองทุน!DQ81"")"),22)</f>
        <v>22</v>
      </c>
      <c r="I77" s="299">
        <f ca="1">IFERROR(__xludf.DUMMYFUNCTION("IMPORTRANGE(""https://docs.google.com/spreadsheets/d/1IYY_tgx_IHuhSq3AJ5eI5OnqOPBNLWSHKh2a30DoXe8/edit?usp=sharing"",""กระบี่!J442"")"),22)</f>
        <v>22</v>
      </c>
      <c r="J77" s="301">
        <f t="shared" ca="1" si="15"/>
        <v>100</v>
      </c>
      <c r="K77" s="296">
        <f ca="1">IFERROR(__xludf.DUMMYFUNCTION("IMPORTRANGE(""https://docs.google.com/spreadsheets/d/1IYY_tgx_IHuhSq3AJ5eI5OnqOPBNLWSHKh2a30DoXe8/edit?usp=sharing"",""กระบี่!J443"")"),0)</f>
        <v>0</v>
      </c>
      <c r="L77" s="339"/>
      <c r="M77" s="339"/>
      <c r="N77" s="339"/>
      <c r="O77" s="339"/>
      <c r="P77" s="339"/>
      <c r="Q77" s="339"/>
      <c r="R77" s="339"/>
      <c r="S77" s="339"/>
      <c r="T77" s="339"/>
      <c r="U77" s="339"/>
      <c r="V77" s="339"/>
      <c r="W77" s="339"/>
      <c r="X77" s="339"/>
      <c r="Y77" s="339"/>
    </row>
    <row r="78" spans="1:25" ht="21" customHeight="1">
      <c r="A78" s="303">
        <v>2</v>
      </c>
      <c r="B78" s="304" t="s">
        <v>102</v>
      </c>
      <c r="C78" s="305">
        <f t="shared" ca="1" si="25"/>
        <v>37740</v>
      </c>
      <c r="D78" s="306">
        <f ca="1">IFERROR(__xludf.DUMMYFUNCTION("IMPORTRANGE(""https://docs.google.com/spreadsheets/d/1C3CXT74ZlgGe6_JY_1olB1XN4rF0dxEuIIF-xsYjHgg/edit?usp=sharing"",""งบกองทุน!DN82"")"),0)</f>
        <v>0</v>
      </c>
      <c r="E78" s="306">
        <f ca="1">IFERROR(__xludf.DUMMYFUNCTION("IMPORTRANGE(""https://docs.google.com/spreadsheets/d/1C3CXT74ZlgGe6_JY_1olB1XN4rF0dxEuIIF-xsYjHgg/edit?usp=sharing"",""งบกองทุน!DO82"")"),37740)</f>
        <v>37740</v>
      </c>
      <c r="F78" s="307">
        <f ca="1">IFERROR(__xludf.DUMMYFUNCTION("IMPORTRANGE(""https://docs.google.com/spreadsheets/d/1IYY_tgx_IHuhSq3AJ5eI5OnqOPBNLWSHKh2a30DoXe8/edit?usp=sharing"",""ชุมพร!M428"")"),22200)</f>
        <v>22200</v>
      </c>
      <c r="G78" s="307">
        <f t="shared" ca="1" si="1"/>
        <v>58.823529411764703</v>
      </c>
      <c r="H78" s="308">
        <f ca="1">IFERROR(__xludf.DUMMYFUNCTION("IMPORTRANGE(""https://docs.google.com/spreadsheets/d/1C3CXT74ZlgGe6_JY_1olB1XN4rF0dxEuIIF-xsYjHgg/edit?usp=sharing"",""งบกองทุน!DQ82"")"),26)</f>
        <v>26</v>
      </c>
      <c r="I78" s="308">
        <f ca="1">IFERROR(__xludf.DUMMYFUNCTION("IMPORTRANGE(""https://docs.google.com/spreadsheets/d/1IYY_tgx_IHuhSq3AJ5eI5OnqOPBNLWSHKh2a30DoXe8/edit?usp=sharing"",""ชุมพร!J442"")"),26)</f>
        <v>26</v>
      </c>
      <c r="J78" s="309">
        <f t="shared" ca="1" si="15"/>
        <v>100</v>
      </c>
      <c r="K78" s="306">
        <f ca="1">IFERROR(__xludf.DUMMYFUNCTION("IMPORTRANGE(""https://docs.google.com/spreadsheets/d/1IYY_tgx_IHuhSq3AJ5eI5OnqOPBNLWSHKh2a30DoXe8/edit?usp=sharing"",""ชุมพร!J443"")"),0)</f>
        <v>0</v>
      </c>
      <c r="L78" s="339"/>
      <c r="M78" s="339"/>
      <c r="N78" s="339"/>
      <c r="O78" s="339"/>
      <c r="P78" s="339"/>
      <c r="Q78" s="339"/>
      <c r="R78" s="339"/>
      <c r="S78" s="339"/>
      <c r="T78" s="339"/>
      <c r="U78" s="339"/>
      <c r="V78" s="339"/>
      <c r="W78" s="339"/>
      <c r="X78" s="339"/>
      <c r="Y78" s="339"/>
    </row>
    <row r="79" spans="1:25" ht="21" customHeight="1">
      <c r="A79" s="303">
        <v>3</v>
      </c>
      <c r="B79" s="304" t="s">
        <v>103</v>
      </c>
      <c r="C79" s="305">
        <f t="shared" ca="1" si="25"/>
        <v>34340</v>
      </c>
      <c r="D79" s="306">
        <f ca="1">IFERROR(__xludf.DUMMYFUNCTION("IMPORTRANGE(""https://docs.google.com/spreadsheets/d/1C3CXT74ZlgGe6_JY_1olB1XN4rF0dxEuIIF-xsYjHgg/edit?usp=sharing"",""งบกองทุน!DN83"")"),0)</f>
        <v>0</v>
      </c>
      <c r="E79" s="306">
        <f ca="1">IFERROR(__xludf.DUMMYFUNCTION("IMPORTRANGE(""https://docs.google.com/spreadsheets/d/1C3CXT74ZlgGe6_JY_1olB1XN4rF0dxEuIIF-xsYjHgg/edit?usp=sharing"",""งบกองทุน!DO83"")"),34340)</f>
        <v>34340</v>
      </c>
      <c r="F79" s="307">
        <f ca="1">IFERROR(__xludf.DUMMYFUNCTION("IMPORTRANGE(""https://docs.google.com/spreadsheets/d/1IYY_tgx_IHuhSq3AJ5eI5OnqOPBNLWSHKh2a30DoXe8/edit?usp=sharing"",""ตรัง!M428"")"),21539.48)</f>
        <v>21539.48</v>
      </c>
      <c r="G79" s="307">
        <f t="shared" ca="1" si="1"/>
        <v>62.724170064065227</v>
      </c>
      <c r="H79" s="308">
        <f ca="1">IFERROR(__xludf.DUMMYFUNCTION("IMPORTRANGE(""https://docs.google.com/spreadsheets/d/1C3CXT74ZlgGe6_JY_1olB1XN4rF0dxEuIIF-xsYjHgg/edit?usp=sharing"",""งบกองทุน!DQ83"")"),22)</f>
        <v>22</v>
      </c>
      <c r="I79" s="308">
        <f ca="1">IFERROR(__xludf.DUMMYFUNCTION("IMPORTRANGE(""https://docs.google.com/spreadsheets/d/1IYY_tgx_IHuhSq3AJ5eI5OnqOPBNLWSHKh2a30DoXe8/edit?usp=sharing"",""ตรัง!J442"")"),22)</f>
        <v>22</v>
      </c>
      <c r="J79" s="309">
        <f t="shared" ca="1" si="15"/>
        <v>100</v>
      </c>
      <c r="K79" s="306">
        <f ca="1">IFERROR(__xludf.DUMMYFUNCTION("IMPORTRANGE(""https://docs.google.com/spreadsheets/d/1IYY_tgx_IHuhSq3AJ5eI5OnqOPBNLWSHKh2a30DoXe8/edit?usp=sharing"",""ตรัง!J443"")"),0)</f>
        <v>0</v>
      </c>
      <c r="L79" s="339"/>
      <c r="M79" s="339"/>
      <c r="N79" s="339"/>
      <c r="O79" s="339"/>
      <c r="P79" s="339"/>
      <c r="Q79" s="339"/>
      <c r="R79" s="339"/>
      <c r="S79" s="339"/>
      <c r="T79" s="339"/>
      <c r="U79" s="339"/>
      <c r="V79" s="339"/>
      <c r="W79" s="339"/>
      <c r="X79" s="339"/>
      <c r="Y79" s="339"/>
    </row>
    <row r="80" spans="1:25" ht="21" customHeight="1">
      <c r="A80" s="303">
        <v>4</v>
      </c>
      <c r="B80" s="304" t="s">
        <v>104</v>
      </c>
      <c r="C80" s="305">
        <f t="shared" ca="1" si="25"/>
        <v>37740</v>
      </c>
      <c r="D80" s="306">
        <f ca="1">IFERROR(__xludf.DUMMYFUNCTION("IMPORTRANGE(""https://docs.google.com/spreadsheets/d/1C3CXT74ZlgGe6_JY_1olB1XN4rF0dxEuIIF-xsYjHgg/edit?usp=sharing"",""งบกองทุน!DN84"")"),0)</f>
        <v>0</v>
      </c>
      <c r="E80" s="306">
        <f ca="1">IFERROR(__xludf.DUMMYFUNCTION("IMPORTRANGE(""https://docs.google.com/spreadsheets/d/1C3CXT74ZlgGe6_JY_1olB1XN4rF0dxEuIIF-xsYjHgg/edit?usp=sharing"",""งบกองทุน!DO84"")"),37740)</f>
        <v>37740</v>
      </c>
      <c r="F80" s="307">
        <f ca="1">IFERROR(__xludf.DUMMYFUNCTION("IMPORTRANGE(""https://docs.google.com/spreadsheets/d/1IYY_tgx_IHuhSq3AJ5eI5OnqOPBNLWSHKh2a30DoXe8/edit?usp=sharing"",""นครศรีธรรมราช!M428"")"),34639)</f>
        <v>34639</v>
      </c>
      <c r="G80" s="307">
        <f t="shared" ca="1" si="1"/>
        <v>91.783253842077372</v>
      </c>
      <c r="H80" s="308">
        <f ca="1">IFERROR(__xludf.DUMMYFUNCTION("IMPORTRANGE(""https://docs.google.com/spreadsheets/d/1C3CXT74ZlgGe6_JY_1olB1XN4rF0dxEuIIF-xsYjHgg/edit?usp=sharing"",""งบกองทุน!DQ84"")"),26)</f>
        <v>26</v>
      </c>
      <c r="I80" s="308">
        <f ca="1">IFERROR(__xludf.DUMMYFUNCTION("IMPORTRANGE(""https://docs.google.com/spreadsheets/d/1IYY_tgx_IHuhSq3AJ5eI5OnqOPBNLWSHKh2a30DoXe8/edit?usp=sharing"",""นครศรีธรรมราช!J442"")"),26)</f>
        <v>26</v>
      </c>
      <c r="J80" s="309">
        <f t="shared" ca="1" si="15"/>
        <v>100</v>
      </c>
      <c r="K80" s="306">
        <f ca="1">IFERROR(__xludf.DUMMYFUNCTION("IMPORTRANGE(""https://docs.google.com/spreadsheets/d/1IYY_tgx_IHuhSq3AJ5eI5OnqOPBNLWSHKh2a30DoXe8/edit?usp=sharing"",""นครศรีธรรมราช!J443"")"),0)</f>
        <v>0</v>
      </c>
      <c r="L80" s="339"/>
      <c r="M80" s="339"/>
      <c r="N80" s="339"/>
      <c r="O80" s="339"/>
      <c r="P80" s="339"/>
      <c r="Q80" s="339"/>
      <c r="R80" s="339"/>
      <c r="S80" s="339"/>
      <c r="T80" s="339"/>
      <c r="U80" s="339"/>
      <c r="V80" s="339"/>
      <c r="W80" s="339"/>
      <c r="X80" s="339"/>
      <c r="Y80" s="339"/>
    </row>
    <row r="81" spans="1:25" ht="21" customHeight="1">
      <c r="A81" s="303">
        <v>5</v>
      </c>
      <c r="B81" s="304" t="s">
        <v>105</v>
      </c>
      <c r="C81" s="305">
        <f t="shared" ca="1" si="25"/>
        <v>32640</v>
      </c>
      <c r="D81" s="306">
        <f ca="1">IFERROR(__xludf.DUMMYFUNCTION("IMPORTRANGE(""https://docs.google.com/spreadsheets/d/1C3CXT74ZlgGe6_JY_1olB1XN4rF0dxEuIIF-xsYjHgg/edit?usp=sharing"",""งบกองทุน!DN85"")"),0)</f>
        <v>0</v>
      </c>
      <c r="E81" s="306">
        <f ca="1">IFERROR(__xludf.DUMMYFUNCTION("IMPORTRANGE(""https://docs.google.com/spreadsheets/d/1C3CXT74ZlgGe6_JY_1olB1XN4rF0dxEuIIF-xsYjHgg/edit?usp=sharing"",""งบกองทุน!DO85"")"),32640)</f>
        <v>32640</v>
      </c>
      <c r="F81" s="307">
        <f ca="1">IFERROR(__xludf.DUMMYFUNCTION("IMPORTRANGE(""https://docs.google.com/spreadsheets/d/1IYY_tgx_IHuhSq3AJ5eI5OnqOPBNLWSHKh2a30DoXe8/edit?usp=sharing"",""นราธิวาส!M428"")"),32640)</f>
        <v>32640</v>
      </c>
      <c r="G81" s="307">
        <f t="shared" ca="1" si="1"/>
        <v>100</v>
      </c>
      <c r="H81" s="308">
        <f ca="1">IFERROR(__xludf.DUMMYFUNCTION("IMPORTRANGE(""https://docs.google.com/spreadsheets/d/1C3CXT74ZlgGe6_JY_1olB1XN4rF0dxEuIIF-xsYjHgg/edit?usp=sharing"",""งบกองทุน!DQ85"")"),20)</f>
        <v>20</v>
      </c>
      <c r="I81" s="308">
        <f ca="1">IFERROR(__xludf.DUMMYFUNCTION("IMPORTRANGE(""https://docs.google.com/spreadsheets/d/1IYY_tgx_IHuhSq3AJ5eI5OnqOPBNLWSHKh2a30DoXe8/edit?usp=sharing"",""นราธิวาส!J442"")"),20)</f>
        <v>20</v>
      </c>
      <c r="J81" s="309">
        <f t="shared" ca="1" si="15"/>
        <v>100</v>
      </c>
      <c r="K81" s="306">
        <f ca="1">IFERROR(__xludf.DUMMYFUNCTION("IMPORTRANGE(""https://docs.google.com/spreadsheets/d/1IYY_tgx_IHuhSq3AJ5eI5OnqOPBNLWSHKh2a30DoXe8/edit?usp=sharing"",""นราธิวาส!J443"")"),0)</f>
        <v>0</v>
      </c>
      <c r="L81" s="339"/>
      <c r="M81" s="339"/>
      <c r="N81" s="339"/>
      <c r="O81" s="339"/>
      <c r="P81" s="339"/>
      <c r="Q81" s="339"/>
      <c r="R81" s="339"/>
      <c r="S81" s="339"/>
      <c r="T81" s="339"/>
      <c r="U81" s="339"/>
      <c r="V81" s="339"/>
      <c r="W81" s="339"/>
      <c r="X81" s="339"/>
      <c r="Y81" s="339"/>
    </row>
    <row r="82" spans="1:25" ht="21" customHeight="1">
      <c r="A82" s="303">
        <v>6</v>
      </c>
      <c r="B82" s="304" t="s">
        <v>106</v>
      </c>
      <c r="C82" s="305">
        <f t="shared" ca="1" si="25"/>
        <v>32640</v>
      </c>
      <c r="D82" s="306">
        <f ca="1">IFERROR(__xludf.DUMMYFUNCTION("IMPORTRANGE(""https://docs.google.com/spreadsheets/d/1C3CXT74ZlgGe6_JY_1olB1XN4rF0dxEuIIF-xsYjHgg/edit?usp=sharing"",""งบกองทุน!DN86"")"),0)</f>
        <v>0</v>
      </c>
      <c r="E82" s="306">
        <f ca="1">IFERROR(__xludf.DUMMYFUNCTION("IMPORTRANGE(""https://docs.google.com/spreadsheets/d/1C3CXT74ZlgGe6_JY_1olB1XN4rF0dxEuIIF-xsYjHgg/edit?usp=sharing"",""งบกองทุน!DO86"")"),32640)</f>
        <v>32640</v>
      </c>
      <c r="F82" s="307">
        <f ca="1">IFERROR(__xludf.DUMMYFUNCTION("IMPORTRANGE(""https://docs.google.com/spreadsheets/d/1IYY_tgx_IHuhSq3AJ5eI5OnqOPBNLWSHKh2a30DoXe8/edit?usp=sharing"",""ปัตตานี!M428"")"),26889.2)</f>
        <v>26889.200000000001</v>
      </c>
      <c r="G82" s="307">
        <f t="shared" ca="1" si="1"/>
        <v>82.381127450980387</v>
      </c>
      <c r="H82" s="308">
        <f ca="1">IFERROR(__xludf.DUMMYFUNCTION("IMPORTRANGE(""https://docs.google.com/spreadsheets/d/1C3CXT74ZlgGe6_JY_1olB1XN4rF0dxEuIIF-xsYjHgg/edit?usp=sharing"",""งบกองทุน!DQ86"")"),20)</f>
        <v>20</v>
      </c>
      <c r="I82" s="308">
        <f ca="1">IFERROR(__xludf.DUMMYFUNCTION("IMPORTRANGE(""https://docs.google.com/spreadsheets/d/1IYY_tgx_IHuhSq3AJ5eI5OnqOPBNLWSHKh2a30DoXe8/edit?usp=sharing"",""ปัตตานี!J442"")"),25)</f>
        <v>25</v>
      </c>
      <c r="J82" s="309">
        <f t="shared" ca="1" si="15"/>
        <v>125</v>
      </c>
      <c r="K82" s="306">
        <f ca="1">IFERROR(__xludf.DUMMYFUNCTION("IMPORTRANGE(""https://docs.google.com/spreadsheets/d/1IYY_tgx_IHuhSq3AJ5eI5OnqOPBNLWSHKh2a30DoXe8/edit?usp=sharing"",""ปัตตานี!J443"")"),0)</f>
        <v>0</v>
      </c>
      <c r="L82" s="339"/>
      <c r="M82" s="339"/>
      <c r="N82" s="339"/>
      <c r="O82" s="339"/>
      <c r="P82" s="339"/>
      <c r="Q82" s="339"/>
      <c r="R82" s="339"/>
      <c r="S82" s="339"/>
      <c r="T82" s="339"/>
      <c r="U82" s="339"/>
      <c r="V82" s="339"/>
      <c r="W82" s="339"/>
      <c r="X82" s="339"/>
      <c r="Y82" s="339"/>
    </row>
    <row r="83" spans="1:25" ht="21" customHeight="1">
      <c r="A83" s="303">
        <v>7</v>
      </c>
      <c r="B83" s="304" t="s">
        <v>107</v>
      </c>
      <c r="C83" s="305">
        <f t="shared" ca="1" si="25"/>
        <v>36040</v>
      </c>
      <c r="D83" s="306">
        <f ca="1">IFERROR(__xludf.DUMMYFUNCTION("IMPORTRANGE(""https://docs.google.com/spreadsheets/d/1C3CXT74ZlgGe6_JY_1olB1XN4rF0dxEuIIF-xsYjHgg/edit?usp=sharing"",""งบกองทุน!DN87"")"),0)</f>
        <v>0</v>
      </c>
      <c r="E83" s="306">
        <f ca="1">IFERROR(__xludf.DUMMYFUNCTION("IMPORTRANGE(""https://docs.google.com/spreadsheets/d/1C3CXT74ZlgGe6_JY_1olB1XN4rF0dxEuIIF-xsYjHgg/edit?usp=sharing"",""งบกองทุน!DO87"")"),36040)</f>
        <v>36040</v>
      </c>
      <c r="F83" s="307">
        <f ca="1">IFERROR(__xludf.DUMMYFUNCTION("IMPORTRANGE(""https://docs.google.com/spreadsheets/d/1IYY_tgx_IHuhSq3AJ5eI5OnqOPBNLWSHKh2a30DoXe8/edit?usp=sharing"",""พังงา!M428"")"),29500)</f>
        <v>29500</v>
      </c>
      <c r="G83" s="307">
        <f t="shared" ca="1" si="1"/>
        <v>81.853496115427305</v>
      </c>
      <c r="H83" s="308">
        <f ca="1">IFERROR(__xludf.DUMMYFUNCTION("IMPORTRANGE(""https://docs.google.com/spreadsheets/d/1C3CXT74ZlgGe6_JY_1olB1XN4rF0dxEuIIF-xsYjHgg/edit?usp=sharing"",""งบกองทุน!DQ87"")"),24)</f>
        <v>24</v>
      </c>
      <c r="I83" s="308">
        <f ca="1">IFERROR(__xludf.DUMMYFUNCTION("IMPORTRANGE(""https://docs.google.com/spreadsheets/d/1IYY_tgx_IHuhSq3AJ5eI5OnqOPBNLWSHKh2a30DoXe8/edit?usp=sharing"",""พังงา!J442"")"),24)</f>
        <v>24</v>
      </c>
      <c r="J83" s="309">
        <f t="shared" ca="1" si="15"/>
        <v>100</v>
      </c>
      <c r="K83" s="306">
        <f ca="1">IFERROR(__xludf.DUMMYFUNCTION("IMPORTRANGE(""https://docs.google.com/spreadsheets/d/1IYY_tgx_IHuhSq3AJ5eI5OnqOPBNLWSHKh2a30DoXe8/edit?usp=sharing"",""พังงา!J443"")"),0)</f>
        <v>0</v>
      </c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39"/>
      <c r="W83" s="339"/>
      <c r="X83" s="339"/>
      <c r="Y83" s="339"/>
    </row>
    <row r="84" spans="1:25" ht="21" customHeight="1">
      <c r="A84" s="303">
        <v>8</v>
      </c>
      <c r="B84" s="304" t="s">
        <v>108</v>
      </c>
      <c r="C84" s="305">
        <f t="shared" ca="1" si="25"/>
        <v>32640</v>
      </c>
      <c r="D84" s="306">
        <f ca="1">IFERROR(__xludf.DUMMYFUNCTION("IMPORTRANGE(""https://docs.google.com/spreadsheets/d/1C3CXT74ZlgGe6_JY_1olB1XN4rF0dxEuIIF-xsYjHgg/edit?usp=sharing"",""งบกองทุน!DN88"")"),0)</f>
        <v>0</v>
      </c>
      <c r="E84" s="306">
        <f ca="1">IFERROR(__xludf.DUMMYFUNCTION("IMPORTRANGE(""https://docs.google.com/spreadsheets/d/1C3CXT74ZlgGe6_JY_1olB1XN4rF0dxEuIIF-xsYjHgg/edit?usp=sharing"",""งบกองทุน!DO88"")"),32640)</f>
        <v>32640</v>
      </c>
      <c r="F84" s="307">
        <f ca="1">IFERROR(__xludf.DUMMYFUNCTION("IMPORTRANGE(""https://docs.google.com/spreadsheets/d/1IYY_tgx_IHuhSq3AJ5eI5OnqOPBNLWSHKh2a30DoXe8/edit?usp=sharing"",""พัทลุง!M428"")"),22310)</f>
        <v>22310</v>
      </c>
      <c r="G84" s="307">
        <f t="shared" ca="1" si="1"/>
        <v>68.351715686274517</v>
      </c>
      <c r="H84" s="308">
        <f ca="1">IFERROR(__xludf.DUMMYFUNCTION("IMPORTRANGE(""https://docs.google.com/spreadsheets/d/1C3CXT74ZlgGe6_JY_1olB1XN4rF0dxEuIIF-xsYjHgg/edit?usp=sharing"",""งบกองทุน!DQ88"")"),20)</f>
        <v>20</v>
      </c>
      <c r="I84" s="308">
        <f ca="1">IFERROR(__xludf.DUMMYFUNCTION("IMPORTRANGE(""https://docs.google.com/spreadsheets/d/1IYY_tgx_IHuhSq3AJ5eI5OnqOPBNLWSHKh2a30DoXe8/edit?usp=sharing"",""พัทลุง!J442"")"),20)</f>
        <v>20</v>
      </c>
      <c r="J84" s="309">
        <f t="shared" ca="1" si="15"/>
        <v>100</v>
      </c>
      <c r="K84" s="306">
        <f ca="1">IFERROR(__xludf.DUMMYFUNCTION("IMPORTRANGE(""https://docs.google.com/spreadsheets/d/1IYY_tgx_IHuhSq3AJ5eI5OnqOPBNLWSHKh2a30DoXe8/edit?usp=sharing"",""พัทลุง!J443"")"),0)</f>
        <v>0</v>
      </c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39"/>
      <c r="W84" s="339"/>
      <c r="X84" s="339"/>
      <c r="Y84" s="339"/>
    </row>
    <row r="85" spans="1:25" ht="21" customHeight="1">
      <c r="A85" s="303">
        <v>9</v>
      </c>
      <c r="B85" s="304" t="s">
        <v>109</v>
      </c>
      <c r="C85" s="305">
        <f t="shared" ca="1" si="25"/>
        <v>26700</v>
      </c>
      <c r="D85" s="306">
        <f ca="1">IFERROR(__xludf.DUMMYFUNCTION("IMPORTRANGE(""https://docs.google.com/spreadsheets/d/1C3CXT74ZlgGe6_JY_1olB1XN4rF0dxEuIIF-xsYjHgg/edit?usp=sharing"",""งบกองทุน!DN89"")"),0)</f>
        <v>0</v>
      </c>
      <c r="E85" s="306">
        <f ca="1">IFERROR(__xludf.DUMMYFUNCTION("IMPORTRANGE(""https://docs.google.com/spreadsheets/d/1C3CXT74ZlgGe6_JY_1olB1XN4rF0dxEuIIF-xsYjHgg/edit?usp=sharing"",""งบกองทุน!DO89"")"),26700)</f>
        <v>26700</v>
      </c>
      <c r="F85" s="307">
        <f ca="1">IFERROR(__xludf.DUMMYFUNCTION("IMPORTRANGE(""https://docs.google.com/spreadsheets/d/1IYY_tgx_IHuhSq3AJ5eI5OnqOPBNLWSHKh2a30DoXe8/edit?usp=sharing"",""ภูเก็ต!M428"")"),11100)</f>
        <v>11100</v>
      </c>
      <c r="G85" s="307">
        <f t="shared" ca="1" si="1"/>
        <v>41.573033707865171</v>
      </c>
      <c r="H85" s="308">
        <f ca="1">IFERROR(__xludf.DUMMYFUNCTION("IMPORTRANGE(""https://docs.google.com/spreadsheets/d/1C3CXT74ZlgGe6_JY_1olB1XN4rF0dxEuIIF-xsYjHgg/edit?usp=sharing"",""งบกองทุน!DQ89"")"),13)</f>
        <v>13</v>
      </c>
      <c r="I85" s="308">
        <f ca="1">IFERROR(__xludf.DUMMYFUNCTION("IMPORTRANGE(""https://docs.google.com/spreadsheets/d/1IYY_tgx_IHuhSq3AJ5eI5OnqOPBNLWSHKh2a30DoXe8/edit?usp=sharing"",""ภูเก็ต!J442"")"),13)</f>
        <v>13</v>
      </c>
      <c r="J85" s="309">
        <f t="shared" ca="1" si="15"/>
        <v>100</v>
      </c>
      <c r="K85" s="306">
        <f ca="1">IFERROR(__xludf.DUMMYFUNCTION("IMPORTRANGE(""https://docs.google.com/spreadsheets/d/1IYY_tgx_IHuhSq3AJ5eI5OnqOPBNLWSHKh2a30DoXe8/edit?usp=sharing"",""ภูเก็ต!J443"")"),0)</f>
        <v>0</v>
      </c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39"/>
      <c r="W85" s="339"/>
      <c r="X85" s="339"/>
      <c r="Y85" s="339"/>
    </row>
    <row r="86" spans="1:25" ht="21" customHeight="1">
      <c r="A86" s="303">
        <v>10</v>
      </c>
      <c r="B86" s="304" t="s">
        <v>110</v>
      </c>
      <c r="C86" s="305">
        <f t="shared" ca="1" si="25"/>
        <v>29240</v>
      </c>
      <c r="D86" s="306">
        <f ca="1">IFERROR(__xludf.DUMMYFUNCTION("IMPORTRANGE(""https://docs.google.com/spreadsheets/d/1C3CXT74ZlgGe6_JY_1olB1XN4rF0dxEuIIF-xsYjHgg/edit?usp=sharing"",""งบกองทุน!DN90"")"),0)</f>
        <v>0</v>
      </c>
      <c r="E86" s="306">
        <f ca="1">IFERROR(__xludf.DUMMYFUNCTION("IMPORTRANGE(""https://docs.google.com/spreadsheets/d/1C3CXT74ZlgGe6_JY_1olB1XN4rF0dxEuIIF-xsYjHgg/edit?usp=sharing"",""งบกองทุน!DO90"")"),29240)</f>
        <v>29240</v>
      </c>
      <c r="F86" s="307">
        <f ca="1">IFERROR(__xludf.DUMMYFUNCTION("IMPORTRANGE(""https://docs.google.com/spreadsheets/d/1IYY_tgx_IHuhSq3AJ5eI5OnqOPBNLWSHKh2a30DoXe8/edit?usp=sharing"",""ยะลา!M428"")"),16350)</f>
        <v>16350</v>
      </c>
      <c r="G86" s="307">
        <f t="shared" ca="1" si="1"/>
        <v>55.916552667578657</v>
      </c>
      <c r="H86" s="308">
        <f ca="1">IFERROR(__xludf.DUMMYFUNCTION("IMPORTRANGE(""https://docs.google.com/spreadsheets/d/1C3CXT74ZlgGe6_JY_1olB1XN4rF0dxEuIIF-xsYjHgg/edit?usp=sharing"",""งบกองทุน!DQ90"")"),16)</f>
        <v>16</v>
      </c>
      <c r="I86" s="308">
        <f ca="1">IFERROR(__xludf.DUMMYFUNCTION("IMPORTRANGE(""https://docs.google.com/spreadsheets/d/1IYY_tgx_IHuhSq3AJ5eI5OnqOPBNLWSHKh2a30DoXe8/edit?usp=sharing"",""ยะลา!J442"")"),16)</f>
        <v>16</v>
      </c>
      <c r="J86" s="309">
        <f t="shared" ca="1" si="15"/>
        <v>100</v>
      </c>
      <c r="K86" s="306">
        <f ca="1">IFERROR(__xludf.DUMMYFUNCTION("IMPORTRANGE(""https://docs.google.com/spreadsheets/d/1IYY_tgx_IHuhSq3AJ5eI5OnqOPBNLWSHKh2a30DoXe8/edit?usp=sharing"",""ยะลา!J443"")"),0)</f>
        <v>0</v>
      </c>
      <c r="L86" s="339"/>
      <c r="M86" s="339"/>
      <c r="N86" s="339"/>
      <c r="O86" s="339"/>
      <c r="P86" s="339"/>
      <c r="Q86" s="339"/>
      <c r="R86" s="339"/>
      <c r="S86" s="339"/>
      <c r="T86" s="339"/>
      <c r="U86" s="339"/>
      <c r="V86" s="339"/>
      <c r="W86" s="339"/>
      <c r="X86" s="339"/>
      <c r="Y86" s="339"/>
    </row>
    <row r="87" spans="1:25" ht="21" customHeight="1">
      <c r="A87" s="303">
        <v>11</v>
      </c>
      <c r="B87" s="304" t="s">
        <v>111</v>
      </c>
      <c r="C87" s="305">
        <f t="shared" ca="1" si="25"/>
        <v>32640</v>
      </c>
      <c r="D87" s="306">
        <f ca="1">IFERROR(__xludf.DUMMYFUNCTION("IMPORTRANGE(""https://docs.google.com/spreadsheets/d/1C3CXT74ZlgGe6_JY_1olB1XN4rF0dxEuIIF-xsYjHgg/edit?usp=sharing"",""งบกองทุน!DN91"")"),0)</f>
        <v>0</v>
      </c>
      <c r="E87" s="306">
        <f ca="1">IFERROR(__xludf.DUMMYFUNCTION("IMPORTRANGE(""https://docs.google.com/spreadsheets/d/1C3CXT74ZlgGe6_JY_1olB1XN4rF0dxEuIIF-xsYjHgg/edit?usp=sharing"",""งบกองทุน!DO91"")"),32640)</f>
        <v>32640</v>
      </c>
      <c r="F87" s="307">
        <f ca="1">IFERROR(__xludf.DUMMYFUNCTION("IMPORTRANGE(""https://docs.google.com/spreadsheets/d/1IYY_tgx_IHuhSq3AJ5eI5OnqOPBNLWSHKh2a30DoXe8/edit?usp=sharing"",""ระนอง!M428"")"),29040)</f>
        <v>29040</v>
      </c>
      <c r="G87" s="307">
        <f t="shared" ca="1" si="1"/>
        <v>88.970588235294116</v>
      </c>
      <c r="H87" s="308">
        <f ca="1">IFERROR(__xludf.DUMMYFUNCTION("IMPORTRANGE(""https://docs.google.com/spreadsheets/d/1C3CXT74ZlgGe6_JY_1olB1XN4rF0dxEuIIF-xsYjHgg/edit?usp=sharing"",""งบกองทุน!DQ91"")"),20)</f>
        <v>20</v>
      </c>
      <c r="I87" s="308">
        <f ca="1">IFERROR(__xludf.DUMMYFUNCTION("IMPORTRANGE(""https://docs.google.com/spreadsheets/d/1IYY_tgx_IHuhSq3AJ5eI5OnqOPBNLWSHKh2a30DoXe8/edit?usp=sharing"",""ระนอง!J442"")"),20)</f>
        <v>20</v>
      </c>
      <c r="J87" s="309">
        <f t="shared" ca="1" si="15"/>
        <v>100</v>
      </c>
      <c r="K87" s="306">
        <f ca="1">IFERROR(__xludf.DUMMYFUNCTION("IMPORTRANGE(""https://docs.google.com/spreadsheets/d/1IYY_tgx_IHuhSq3AJ5eI5OnqOPBNLWSHKh2a30DoXe8/edit?usp=sharing"",""ระนอง!J443"")"),0)</f>
        <v>0</v>
      </c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339"/>
      <c r="W87" s="339"/>
      <c r="X87" s="339"/>
      <c r="Y87" s="339"/>
    </row>
    <row r="88" spans="1:25" ht="24" customHeight="1">
      <c r="A88" s="303">
        <v>12</v>
      </c>
      <c r="B88" s="304" t="s">
        <v>112</v>
      </c>
      <c r="C88" s="305">
        <f t="shared" ca="1" si="25"/>
        <v>32640</v>
      </c>
      <c r="D88" s="306">
        <f ca="1">IFERROR(__xludf.DUMMYFUNCTION("IMPORTRANGE(""https://docs.google.com/spreadsheets/d/1C3CXT74ZlgGe6_JY_1olB1XN4rF0dxEuIIF-xsYjHgg/edit?usp=sharing"",""งบกองทุน!DN92"")"),0)</f>
        <v>0</v>
      </c>
      <c r="E88" s="306">
        <f ca="1">IFERROR(__xludf.DUMMYFUNCTION("IMPORTRANGE(""https://docs.google.com/spreadsheets/d/1C3CXT74ZlgGe6_JY_1olB1XN4rF0dxEuIIF-xsYjHgg/edit?usp=sharing"",""งบกองทุน!DO92"")"),32640)</f>
        <v>32640</v>
      </c>
      <c r="F88" s="307">
        <f ca="1">IFERROR(__xludf.DUMMYFUNCTION("IMPORTRANGE(""https://docs.google.com/spreadsheets/d/1IYY_tgx_IHuhSq3AJ5eI5OnqOPBNLWSHKh2a30DoXe8/edit?usp=sharing"",""สงขลา!M428"")"),27090)</f>
        <v>27090</v>
      </c>
      <c r="G88" s="307">
        <f t="shared" ca="1" si="1"/>
        <v>82.996323529411768</v>
      </c>
      <c r="H88" s="308">
        <f ca="1">IFERROR(__xludf.DUMMYFUNCTION("IMPORTRANGE(""https://docs.google.com/spreadsheets/d/1C3CXT74ZlgGe6_JY_1olB1XN4rF0dxEuIIF-xsYjHgg/edit?usp=sharing"",""งบกองทุน!DQ92"")"),20)</f>
        <v>20</v>
      </c>
      <c r="I88" s="308">
        <f ca="1">IFERROR(__xludf.DUMMYFUNCTION("IMPORTRANGE(""https://docs.google.com/spreadsheets/d/1IYY_tgx_IHuhSq3AJ5eI5OnqOPBNLWSHKh2a30DoXe8/edit?usp=sharing"",""สงขลา!J442"")"),20)</f>
        <v>20</v>
      </c>
      <c r="J88" s="309">
        <f t="shared" ca="1" si="15"/>
        <v>100</v>
      </c>
      <c r="K88" s="306">
        <f ca="1">IFERROR(__xludf.DUMMYFUNCTION("IMPORTRANGE(""https://docs.google.com/spreadsheets/d/1IYY_tgx_IHuhSq3AJ5eI5OnqOPBNLWSHKh2a30DoXe8/edit?usp=sharing"",""สงขลา!J443"")"),0)</f>
        <v>0</v>
      </c>
      <c r="L88" s="339"/>
      <c r="M88" s="339"/>
      <c r="N88" s="339"/>
      <c r="O88" s="339"/>
      <c r="P88" s="339"/>
      <c r="Q88" s="339"/>
      <c r="R88" s="339"/>
      <c r="S88" s="339"/>
      <c r="T88" s="339"/>
      <c r="U88" s="339"/>
      <c r="V88" s="339"/>
      <c r="W88" s="339"/>
      <c r="X88" s="339"/>
      <c r="Y88" s="339"/>
    </row>
    <row r="89" spans="1:25" ht="24" customHeight="1">
      <c r="A89" s="303">
        <v>13</v>
      </c>
      <c r="B89" s="304" t="s">
        <v>113</v>
      </c>
      <c r="C89" s="305">
        <f t="shared" ca="1" si="25"/>
        <v>32640</v>
      </c>
      <c r="D89" s="306">
        <f ca="1">IFERROR(__xludf.DUMMYFUNCTION("IMPORTRANGE(""https://docs.google.com/spreadsheets/d/1C3CXT74ZlgGe6_JY_1olB1XN4rF0dxEuIIF-xsYjHgg/edit?usp=sharing"",""งบกองทุน!DN93"")"),0)</f>
        <v>0</v>
      </c>
      <c r="E89" s="306">
        <f ca="1">IFERROR(__xludf.DUMMYFUNCTION("IMPORTRANGE(""https://docs.google.com/spreadsheets/d/1C3CXT74ZlgGe6_JY_1olB1XN4rF0dxEuIIF-xsYjHgg/edit?usp=sharing"",""งบกองทุน!DO93"")"),32640)</f>
        <v>32640</v>
      </c>
      <c r="F89" s="307">
        <f ca="1">IFERROR(__xludf.DUMMYFUNCTION("IMPORTRANGE(""https://docs.google.com/spreadsheets/d/1IYY_tgx_IHuhSq3AJ5eI5OnqOPBNLWSHKh2a30DoXe8/edit?usp=sharing"",""สตูล!M428"")"),25360)</f>
        <v>25360</v>
      </c>
      <c r="G89" s="307">
        <f t="shared" ca="1" si="1"/>
        <v>77.696078431372555</v>
      </c>
      <c r="H89" s="308">
        <f ca="1">IFERROR(__xludf.DUMMYFUNCTION("IMPORTRANGE(""https://docs.google.com/spreadsheets/d/1C3CXT74ZlgGe6_JY_1olB1XN4rF0dxEuIIF-xsYjHgg/edit?usp=sharing"",""งบกองทุน!DQ93"")"),20)</f>
        <v>20</v>
      </c>
      <c r="I89" s="308">
        <f ca="1">IFERROR(__xludf.DUMMYFUNCTION("IMPORTRANGE(""https://docs.google.com/spreadsheets/d/1IYY_tgx_IHuhSq3AJ5eI5OnqOPBNLWSHKh2a30DoXe8/edit?usp=sharing"",""สตูล!J442"")"),20)</f>
        <v>20</v>
      </c>
      <c r="J89" s="309">
        <f t="shared" ca="1" si="15"/>
        <v>100</v>
      </c>
      <c r="K89" s="306">
        <f ca="1">IFERROR(__xludf.DUMMYFUNCTION("IMPORTRANGE(""https://docs.google.com/spreadsheets/d/1IYY_tgx_IHuhSq3AJ5eI5OnqOPBNLWSHKh2a30DoXe8/edit?usp=sharing"",""สตูล!J443"")"),0)</f>
        <v>0</v>
      </c>
      <c r="L89" s="339"/>
      <c r="M89" s="339"/>
      <c r="N89" s="339"/>
      <c r="O89" s="339"/>
      <c r="P89" s="339"/>
      <c r="Q89" s="339"/>
      <c r="R89" s="339"/>
      <c r="S89" s="339"/>
      <c r="T89" s="339"/>
      <c r="U89" s="339"/>
      <c r="V89" s="339"/>
      <c r="W89" s="339"/>
      <c r="X89" s="339"/>
      <c r="Y89" s="339"/>
    </row>
    <row r="90" spans="1:25" ht="24" customHeight="1">
      <c r="A90" s="310">
        <v>14</v>
      </c>
      <c r="B90" s="311" t="s">
        <v>114</v>
      </c>
      <c r="C90" s="312">
        <f t="shared" ca="1" si="25"/>
        <v>36040</v>
      </c>
      <c r="D90" s="313">
        <f ca="1">IFERROR(__xludf.DUMMYFUNCTION("IMPORTRANGE(""https://docs.google.com/spreadsheets/d/1C3CXT74ZlgGe6_JY_1olB1XN4rF0dxEuIIF-xsYjHgg/edit?usp=sharing"",""งบกองทุน!DN94"")"),0)</f>
        <v>0</v>
      </c>
      <c r="E90" s="313">
        <f ca="1">IFERROR(__xludf.DUMMYFUNCTION("IMPORTRANGE(""https://docs.google.com/spreadsheets/d/1C3CXT74ZlgGe6_JY_1olB1XN4rF0dxEuIIF-xsYjHgg/edit?usp=sharing"",""งบกองทุน!DO94"")"),36040)</f>
        <v>36040</v>
      </c>
      <c r="F90" s="314">
        <f ca="1">IFERROR(__xludf.DUMMYFUNCTION("IMPORTRANGE(""https://docs.google.com/spreadsheets/d/1IYY_tgx_IHuhSq3AJ5eI5OnqOPBNLWSHKh2a30DoXe8/edit?usp=sharing"",""สุราษฎร์ธานี!M428"")"),21146)</f>
        <v>21146</v>
      </c>
      <c r="G90" s="314">
        <f t="shared" ca="1" si="1"/>
        <v>58.673695893451722</v>
      </c>
      <c r="H90" s="315">
        <f ca="1">IFERROR(__xludf.DUMMYFUNCTION("IMPORTRANGE(""https://docs.google.com/spreadsheets/d/1C3CXT74ZlgGe6_JY_1olB1XN4rF0dxEuIIF-xsYjHgg/edit?usp=sharing"",""งบกองทุน!DQ94"")"),24)</f>
        <v>24</v>
      </c>
      <c r="I90" s="315">
        <f ca="1">IFERROR(__xludf.DUMMYFUNCTION("IMPORTRANGE(""https://docs.google.com/spreadsheets/d/1IYY_tgx_IHuhSq3AJ5eI5OnqOPBNLWSHKh2a30DoXe8/edit?usp=sharing"",""สุราษฎร์ธานี!J442"")"),24)</f>
        <v>24</v>
      </c>
      <c r="J90" s="316">
        <f t="shared" ca="1" si="15"/>
        <v>100</v>
      </c>
      <c r="K90" s="313">
        <f ca="1">IFERROR(__xludf.DUMMYFUNCTION("IMPORTRANGE(""https://docs.google.com/spreadsheets/d/1IYY_tgx_IHuhSq3AJ5eI5OnqOPBNLWSHKh2a30DoXe8/edit?usp=sharing"",""สุราษฎร์ธานี!J443"")"),0)</f>
        <v>0</v>
      </c>
      <c r="L90" s="339"/>
      <c r="M90" s="339"/>
      <c r="N90" s="339"/>
      <c r="O90" s="339"/>
      <c r="P90" s="339"/>
      <c r="Q90" s="339"/>
      <c r="R90" s="339"/>
      <c r="S90" s="339"/>
      <c r="T90" s="339"/>
      <c r="U90" s="339"/>
      <c r="V90" s="339"/>
      <c r="W90" s="339"/>
      <c r="X90" s="339"/>
      <c r="Y90" s="339"/>
    </row>
    <row r="91" spans="1:25" ht="21" hidden="1" customHeight="1">
      <c r="A91" s="791" t="s">
        <v>115</v>
      </c>
      <c r="B91" s="652"/>
      <c r="C91" s="322">
        <f t="shared" ref="C91:F91" ca="1" si="26">+C92+C93+C94+C95+C96+C97+C98+C99+C100+C101+C102+C103+C104+C105</f>
        <v>1543780</v>
      </c>
      <c r="D91" s="323">
        <f t="shared" ca="1" si="26"/>
        <v>0</v>
      </c>
      <c r="E91" s="323">
        <f t="shared" ca="1" si="26"/>
        <v>1543780</v>
      </c>
      <c r="F91" s="323">
        <f t="shared" ca="1" si="26"/>
        <v>125014.36</v>
      </c>
      <c r="G91" s="324">
        <f t="shared" ca="1" si="1"/>
        <v>8.0979388254803144</v>
      </c>
      <c r="H91" s="323">
        <f t="shared" ref="H91:I91" ca="1" si="27">+H92+H93+H94+H95+H96+H97+H98+H99+H100+H101+H102+H103+H104+H105</f>
        <v>0</v>
      </c>
      <c r="I91" s="323">
        <f t="shared" si="27"/>
        <v>0</v>
      </c>
      <c r="J91" s="324">
        <f ca="1">IF(H91&gt;0,#REF!*100/H91,0)</f>
        <v>0</v>
      </c>
      <c r="K91" s="323">
        <f>+K92+K93+K94+K95+K96+K97+K98+K99+K100+K101+K102+K103+K104+K105</f>
        <v>0</v>
      </c>
      <c r="L91" s="339"/>
      <c r="M91" s="339"/>
      <c r="N91" s="339"/>
      <c r="O91" s="339"/>
      <c r="P91" s="339"/>
      <c r="Q91" s="339"/>
      <c r="R91" s="339"/>
      <c r="S91" s="339"/>
      <c r="T91" s="339"/>
      <c r="U91" s="339"/>
      <c r="V91" s="339"/>
      <c r="W91" s="339"/>
      <c r="X91" s="339"/>
      <c r="Y91" s="339"/>
    </row>
    <row r="92" spans="1:25" ht="24" hidden="1" customHeight="1">
      <c r="A92" s="325">
        <v>1</v>
      </c>
      <c r="B92" s="326" t="s">
        <v>116</v>
      </c>
      <c r="C92" s="295">
        <f t="shared" ref="C92:C105" ca="1" si="28">+D92+E92</f>
        <v>0</v>
      </c>
      <c r="D92" s="296">
        <f ca="1">IFERROR(__xludf.DUMMYFUNCTION("IMPORTRANGE(""https://docs.google.com/spreadsheets/d/1C3CXT74ZlgGe6_JY_1olB1XN4rF0dxEuIIF-xsYjHgg/edit?usp=sharing"",""งบกองทุน!DN96"")"),0)</f>
        <v>0</v>
      </c>
      <c r="E92" s="296">
        <f ca="1">IFERROR(__xludf.DUMMYFUNCTION("IMPORTRANGE(""https://docs.google.com/spreadsheets/d/1C3CXT74ZlgGe6_JY_1olB1XN4rF0dxEuIIF-xsYjHgg/edit?usp=sharing"",""งบกองทุน!DO96"")"),0)</f>
        <v>0</v>
      </c>
      <c r="F92" s="297">
        <v>0</v>
      </c>
      <c r="G92" s="297">
        <f t="shared" ca="1" si="1"/>
        <v>0</v>
      </c>
      <c r="H92" s="299">
        <f ca="1">IFERROR(__xludf.DUMMYFUNCTION("IMPORTRANGE(""https://docs.google.com/spreadsheets/d/1C3CXT74ZlgGe6_JY_1olB1XN4rF0dxEuIIF-xsYjHgg/edit?usp=sharing"",""งบกองทุน!DQ96"")"),0)</f>
        <v>0</v>
      </c>
      <c r="I92" s="299">
        <v>0</v>
      </c>
      <c r="J92" s="301">
        <f t="shared" ref="J92:J105" ca="1" si="29">IF(H92&gt;0,I92*100/H92,0)</f>
        <v>0</v>
      </c>
      <c r="K92" s="296">
        <v>0</v>
      </c>
      <c r="L92" s="339"/>
      <c r="M92" s="339"/>
      <c r="N92" s="339"/>
      <c r="O92" s="339"/>
      <c r="P92" s="339"/>
      <c r="Q92" s="339"/>
      <c r="R92" s="339"/>
      <c r="S92" s="339"/>
      <c r="T92" s="339"/>
      <c r="U92" s="339"/>
      <c r="V92" s="339"/>
      <c r="W92" s="339"/>
      <c r="X92" s="339"/>
      <c r="Y92" s="339"/>
    </row>
    <row r="93" spans="1:25" ht="24" hidden="1" customHeight="1">
      <c r="A93" s="327">
        <v>2</v>
      </c>
      <c r="B93" s="328" t="s">
        <v>117</v>
      </c>
      <c r="C93" s="305">
        <f t="shared" ca="1" si="28"/>
        <v>0</v>
      </c>
      <c r="D93" s="306">
        <f ca="1">IFERROR(__xludf.DUMMYFUNCTION("IMPORTRANGE(""https://docs.google.com/spreadsheets/d/1C3CXT74ZlgGe6_JY_1olB1XN4rF0dxEuIIF-xsYjHgg/edit?usp=sharing"",""งบกองทุน!DN97"")"),0)</f>
        <v>0</v>
      </c>
      <c r="E93" s="306">
        <f ca="1">IFERROR(__xludf.DUMMYFUNCTION("IMPORTRANGE(""https://docs.google.com/spreadsheets/d/1C3CXT74ZlgGe6_JY_1olB1XN4rF0dxEuIIF-xsYjHgg/edit?usp=sharing"",""งบกองทุน!DO97"")"),0)</f>
        <v>0</v>
      </c>
      <c r="F93" s="307">
        <v>0</v>
      </c>
      <c r="G93" s="307">
        <f t="shared" ca="1" si="1"/>
        <v>0</v>
      </c>
      <c r="H93" s="308">
        <f ca="1">IFERROR(__xludf.DUMMYFUNCTION("IMPORTRANGE(""https://docs.google.com/spreadsheets/d/1C3CXT74ZlgGe6_JY_1olB1XN4rF0dxEuIIF-xsYjHgg/edit?usp=sharing"",""งบกองทุน!DQ97"")"),0)</f>
        <v>0</v>
      </c>
      <c r="I93" s="308">
        <v>0</v>
      </c>
      <c r="J93" s="309">
        <f t="shared" ca="1" si="29"/>
        <v>0</v>
      </c>
      <c r="K93" s="306">
        <v>0</v>
      </c>
      <c r="L93" s="339"/>
      <c r="M93" s="339"/>
      <c r="N93" s="339"/>
      <c r="O93" s="339"/>
      <c r="P93" s="339"/>
      <c r="Q93" s="339"/>
      <c r="R93" s="339"/>
      <c r="S93" s="339"/>
      <c r="T93" s="339"/>
      <c r="U93" s="339"/>
      <c r="V93" s="339"/>
      <c r="W93" s="339"/>
      <c r="X93" s="339"/>
      <c r="Y93" s="339"/>
    </row>
    <row r="94" spans="1:25" ht="24" hidden="1" customHeight="1">
      <c r="A94" s="327">
        <v>3</v>
      </c>
      <c r="B94" s="328" t="s">
        <v>118</v>
      </c>
      <c r="C94" s="305">
        <f t="shared" ca="1" si="28"/>
        <v>0</v>
      </c>
      <c r="D94" s="306">
        <f ca="1">IFERROR(__xludf.DUMMYFUNCTION("IMPORTRANGE(""https://docs.google.com/spreadsheets/d/1C3CXT74ZlgGe6_JY_1olB1XN4rF0dxEuIIF-xsYjHgg/edit?usp=sharing"",""งบกองทุน!DN98"")"),0)</f>
        <v>0</v>
      </c>
      <c r="E94" s="306">
        <f ca="1">IFERROR(__xludf.DUMMYFUNCTION("IMPORTRANGE(""https://docs.google.com/spreadsheets/d/1C3CXT74ZlgGe6_JY_1olB1XN4rF0dxEuIIF-xsYjHgg/edit?usp=sharing"",""งบกองทุน!DO98"")"),0)</f>
        <v>0</v>
      </c>
      <c r="F94" s="307">
        <v>0</v>
      </c>
      <c r="G94" s="307">
        <f t="shared" ca="1" si="1"/>
        <v>0</v>
      </c>
      <c r="H94" s="308">
        <f ca="1">IFERROR(__xludf.DUMMYFUNCTION("IMPORTRANGE(""https://docs.google.com/spreadsheets/d/1C3CXT74ZlgGe6_JY_1olB1XN4rF0dxEuIIF-xsYjHgg/edit?usp=sharing"",""งบกองทุน!DQ98"")"),0)</f>
        <v>0</v>
      </c>
      <c r="I94" s="308">
        <v>0</v>
      </c>
      <c r="J94" s="309">
        <f t="shared" ca="1" si="29"/>
        <v>0</v>
      </c>
      <c r="K94" s="306">
        <v>0</v>
      </c>
      <c r="L94" s="339"/>
      <c r="M94" s="339"/>
      <c r="N94" s="339"/>
      <c r="O94" s="339"/>
      <c r="P94" s="339"/>
      <c r="Q94" s="339"/>
      <c r="R94" s="339"/>
      <c r="S94" s="339"/>
      <c r="T94" s="339"/>
      <c r="U94" s="339"/>
      <c r="V94" s="339"/>
      <c r="W94" s="339"/>
      <c r="X94" s="339"/>
      <c r="Y94" s="339"/>
    </row>
    <row r="95" spans="1:25" ht="24" hidden="1" customHeight="1">
      <c r="A95" s="327">
        <f t="shared" ref="A95:A105" si="30">+A94+1</f>
        <v>4</v>
      </c>
      <c r="B95" s="328" t="s">
        <v>119</v>
      </c>
      <c r="C95" s="305">
        <f t="shared" ca="1" si="28"/>
        <v>0</v>
      </c>
      <c r="D95" s="306">
        <f ca="1">IFERROR(__xludf.DUMMYFUNCTION("IMPORTRANGE(""https://docs.google.com/spreadsheets/d/1C3CXT74ZlgGe6_JY_1olB1XN4rF0dxEuIIF-xsYjHgg/edit?usp=sharing"",""งบกองทุน!DN99"")"),0)</f>
        <v>0</v>
      </c>
      <c r="E95" s="306">
        <f ca="1">IFERROR(__xludf.DUMMYFUNCTION("IMPORTRANGE(""https://docs.google.com/spreadsheets/d/1C3CXT74ZlgGe6_JY_1olB1XN4rF0dxEuIIF-xsYjHgg/edit?usp=sharing"",""งบกองทุน!DO99"")"),0)</f>
        <v>0</v>
      </c>
      <c r="F95" s="307">
        <v>0</v>
      </c>
      <c r="G95" s="307">
        <f t="shared" ca="1" si="1"/>
        <v>0</v>
      </c>
      <c r="H95" s="308">
        <f ca="1">IFERROR(__xludf.DUMMYFUNCTION("IMPORTRANGE(""https://docs.google.com/spreadsheets/d/1C3CXT74ZlgGe6_JY_1olB1XN4rF0dxEuIIF-xsYjHgg/edit?usp=sharing"",""งบกองทุน!DQ99"")"),0)</f>
        <v>0</v>
      </c>
      <c r="I95" s="308">
        <v>0</v>
      </c>
      <c r="J95" s="309">
        <f t="shared" ca="1" si="29"/>
        <v>0</v>
      </c>
      <c r="K95" s="306">
        <v>0</v>
      </c>
      <c r="L95" s="339"/>
      <c r="M95" s="339"/>
      <c r="N95" s="339"/>
      <c r="O95" s="339"/>
      <c r="P95" s="339"/>
      <c r="Q95" s="339"/>
      <c r="R95" s="339"/>
      <c r="S95" s="339"/>
      <c r="T95" s="339"/>
      <c r="U95" s="339"/>
      <c r="V95" s="339"/>
      <c r="W95" s="339"/>
      <c r="X95" s="339"/>
      <c r="Y95" s="339"/>
    </row>
    <row r="96" spans="1:25" ht="24" hidden="1" customHeight="1">
      <c r="A96" s="327">
        <f t="shared" si="30"/>
        <v>5</v>
      </c>
      <c r="B96" s="328" t="s">
        <v>120</v>
      </c>
      <c r="C96" s="305">
        <f t="shared" ca="1" si="28"/>
        <v>0</v>
      </c>
      <c r="D96" s="306">
        <f ca="1">IFERROR(__xludf.DUMMYFUNCTION("IMPORTRANGE(""https://docs.google.com/spreadsheets/d/1C3CXT74ZlgGe6_JY_1olB1XN4rF0dxEuIIF-xsYjHgg/edit?usp=sharing"",""งบกองทุน!DN100"")"),0)</f>
        <v>0</v>
      </c>
      <c r="E96" s="306">
        <f ca="1">IFERROR(__xludf.DUMMYFUNCTION("IMPORTRANGE(""https://docs.google.com/spreadsheets/d/1C3CXT74ZlgGe6_JY_1olB1XN4rF0dxEuIIF-xsYjHgg/edit?usp=sharing"",""งบกองทุน!DO100"")"),0)</f>
        <v>0</v>
      </c>
      <c r="F96" s="307">
        <v>0</v>
      </c>
      <c r="G96" s="307">
        <f t="shared" ca="1" si="1"/>
        <v>0</v>
      </c>
      <c r="H96" s="308">
        <f ca="1">IFERROR(__xludf.DUMMYFUNCTION("IMPORTRANGE(""https://docs.google.com/spreadsheets/d/1C3CXT74ZlgGe6_JY_1olB1XN4rF0dxEuIIF-xsYjHgg/edit?usp=sharing"",""งบกองทุน!DQ100"")"),0)</f>
        <v>0</v>
      </c>
      <c r="I96" s="308">
        <v>0</v>
      </c>
      <c r="J96" s="309">
        <f t="shared" ca="1" si="29"/>
        <v>0</v>
      </c>
      <c r="K96" s="306">
        <v>0</v>
      </c>
      <c r="L96" s="339"/>
      <c r="M96" s="339"/>
      <c r="N96" s="339"/>
      <c r="O96" s="339"/>
      <c r="P96" s="339"/>
      <c r="Q96" s="339"/>
      <c r="R96" s="339"/>
      <c r="S96" s="339"/>
      <c r="T96" s="339"/>
      <c r="U96" s="339"/>
      <c r="V96" s="339"/>
      <c r="W96" s="339"/>
      <c r="X96" s="339"/>
      <c r="Y96" s="339"/>
    </row>
    <row r="97" spans="1:25" ht="24" hidden="1" customHeight="1">
      <c r="A97" s="327">
        <f t="shared" si="30"/>
        <v>6</v>
      </c>
      <c r="B97" s="328" t="s">
        <v>121</v>
      </c>
      <c r="C97" s="305">
        <f t="shared" ca="1" si="28"/>
        <v>0</v>
      </c>
      <c r="D97" s="306">
        <f ca="1">IFERROR(__xludf.DUMMYFUNCTION("IMPORTRANGE(""https://docs.google.com/spreadsheets/d/1C3CXT74ZlgGe6_JY_1olB1XN4rF0dxEuIIF-xsYjHgg/edit?usp=sharing"",""งบกองทุน!DN101"")"),0)</f>
        <v>0</v>
      </c>
      <c r="E97" s="306">
        <f ca="1">IFERROR(__xludf.DUMMYFUNCTION("IMPORTRANGE(""https://docs.google.com/spreadsheets/d/1C3CXT74ZlgGe6_JY_1olB1XN4rF0dxEuIIF-xsYjHgg/edit?usp=sharing"",""งบกองทุน!DO101"")"),0)</f>
        <v>0</v>
      </c>
      <c r="F97" s="307">
        <v>0</v>
      </c>
      <c r="G97" s="307">
        <f t="shared" ca="1" si="1"/>
        <v>0</v>
      </c>
      <c r="H97" s="308">
        <f ca="1">IFERROR(__xludf.DUMMYFUNCTION("IMPORTRANGE(""https://docs.google.com/spreadsheets/d/1C3CXT74ZlgGe6_JY_1olB1XN4rF0dxEuIIF-xsYjHgg/edit?usp=sharing"",""งบกองทุน!DQ101"")"),0)</f>
        <v>0</v>
      </c>
      <c r="I97" s="308">
        <v>0</v>
      </c>
      <c r="J97" s="309">
        <f t="shared" ca="1" si="29"/>
        <v>0</v>
      </c>
      <c r="K97" s="306">
        <v>0</v>
      </c>
      <c r="L97" s="339"/>
      <c r="M97" s="339"/>
      <c r="N97" s="339"/>
      <c r="O97" s="339"/>
      <c r="P97" s="339"/>
      <c r="Q97" s="339"/>
      <c r="R97" s="339"/>
      <c r="S97" s="339"/>
      <c r="T97" s="339"/>
      <c r="U97" s="339"/>
      <c r="V97" s="339"/>
      <c r="W97" s="339"/>
      <c r="X97" s="339"/>
      <c r="Y97" s="339"/>
    </row>
    <row r="98" spans="1:25" ht="24" hidden="1" customHeight="1">
      <c r="A98" s="327">
        <f t="shared" si="30"/>
        <v>7</v>
      </c>
      <c r="B98" s="328" t="s">
        <v>122</v>
      </c>
      <c r="C98" s="305">
        <f t="shared" ca="1" si="28"/>
        <v>1543780</v>
      </c>
      <c r="D98" s="306">
        <f ca="1">IFERROR(__xludf.DUMMYFUNCTION("IMPORTRANGE(""https://docs.google.com/spreadsheets/d/1C3CXT74ZlgGe6_JY_1olB1XN4rF0dxEuIIF-xsYjHgg/edit?usp=sharing"",""งบกองทุน!DN102"")"),0)</f>
        <v>0</v>
      </c>
      <c r="E98" s="306">
        <f ca="1">IFERROR(__xludf.DUMMYFUNCTION("IMPORTRANGE(""https://docs.google.com/spreadsheets/d/1C3CXT74ZlgGe6_JY_1olB1XN4rF0dxEuIIF-xsYjHgg/edit?usp=sharing"",""งบกองทุน!DO102"")"),1543780)</f>
        <v>1543780</v>
      </c>
      <c r="F98" s="307">
        <f ca="1">IFERROR(__xludf.DUMMYFUNCTION("IMPORTRANGE(""https://docs.google.com/spreadsheets/d/1muirlRDkqiswvy_NRZ3Yh955hx-PF6_HhssUYiSJj8o/edit?usp=sharing"",""กองทุนส่วนกลาง!AB10"")"),125014.36)</f>
        <v>125014.36</v>
      </c>
      <c r="G98" s="307">
        <f t="shared" ca="1" si="1"/>
        <v>8.0979388254803144</v>
      </c>
      <c r="H98" s="308">
        <f ca="1">IFERROR(__xludf.DUMMYFUNCTION("IMPORTRANGE(""https://docs.google.com/spreadsheets/d/1C3CXT74ZlgGe6_JY_1olB1XN4rF0dxEuIIF-xsYjHgg/edit?usp=sharing"",""งบกองทุน!DQ102"")"),0)</f>
        <v>0</v>
      </c>
      <c r="I98" s="308">
        <v>0</v>
      </c>
      <c r="J98" s="309">
        <f t="shared" ca="1" si="29"/>
        <v>0</v>
      </c>
      <c r="K98" s="306">
        <v>0</v>
      </c>
      <c r="L98" s="339"/>
      <c r="M98" s="339"/>
      <c r="N98" s="339"/>
      <c r="O98" s="339"/>
      <c r="P98" s="339"/>
      <c r="Q98" s="339"/>
      <c r="R98" s="339"/>
      <c r="S98" s="339"/>
      <c r="T98" s="339"/>
      <c r="U98" s="339"/>
      <c r="V98" s="339"/>
      <c r="W98" s="339"/>
      <c r="X98" s="339"/>
      <c r="Y98" s="339"/>
    </row>
    <row r="99" spans="1:25" ht="24" hidden="1" customHeight="1">
      <c r="A99" s="327">
        <f t="shared" si="30"/>
        <v>8</v>
      </c>
      <c r="B99" s="328" t="s">
        <v>123</v>
      </c>
      <c r="C99" s="305">
        <f t="shared" ca="1" si="28"/>
        <v>0</v>
      </c>
      <c r="D99" s="306">
        <f ca="1">IFERROR(__xludf.DUMMYFUNCTION("IMPORTRANGE(""https://docs.google.com/spreadsheets/d/1C3CXT74ZlgGe6_JY_1olB1XN4rF0dxEuIIF-xsYjHgg/edit?usp=sharing"",""งบกองทุน!DN103"")"),0)</f>
        <v>0</v>
      </c>
      <c r="E99" s="306">
        <f ca="1">IFERROR(__xludf.DUMMYFUNCTION("IMPORTRANGE(""https://docs.google.com/spreadsheets/d/1C3CXT74ZlgGe6_JY_1olB1XN4rF0dxEuIIF-xsYjHgg/edit?usp=sharing"",""งบกองทุน!DO103"")"),0)</f>
        <v>0</v>
      </c>
      <c r="F99" s="307">
        <v>0</v>
      </c>
      <c r="G99" s="307">
        <f t="shared" ca="1" si="1"/>
        <v>0</v>
      </c>
      <c r="H99" s="308">
        <f ca="1">IFERROR(__xludf.DUMMYFUNCTION("IMPORTRANGE(""https://docs.google.com/spreadsheets/d/1C3CXT74ZlgGe6_JY_1olB1XN4rF0dxEuIIF-xsYjHgg/edit?usp=sharing"",""งบกองทุน!DQ103"")"),0)</f>
        <v>0</v>
      </c>
      <c r="I99" s="308">
        <v>0</v>
      </c>
      <c r="J99" s="309">
        <f t="shared" ca="1" si="29"/>
        <v>0</v>
      </c>
      <c r="K99" s="306">
        <v>0</v>
      </c>
      <c r="L99" s="339"/>
      <c r="M99" s="339"/>
      <c r="N99" s="339"/>
      <c r="O99" s="339"/>
      <c r="P99" s="339"/>
      <c r="Q99" s="339"/>
      <c r="R99" s="339"/>
      <c r="S99" s="339"/>
      <c r="T99" s="339"/>
      <c r="U99" s="339"/>
      <c r="V99" s="339"/>
      <c r="W99" s="339"/>
      <c r="X99" s="339"/>
      <c r="Y99" s="339"/>
    </row>
    <row r="100" spans="1:25" ht="24" hidden="1" customHeight="1">
      <c r="A100" s="327">
        <f t="shared" si="30"/>
        <v>9</v>
      </c>
      <c r="B100" s="328" t="s">
        <v>124</v>
      </c>
      <c r="C100" s="305">
        <f t="shared" ca="1" si="28"/>
        <v>0</v>
      </c>
      <c r="D100" s="306">
        <f ca="1">IFERROR(__xludf.DUMMYFUNCTION("IMPORTRANGE(""https://docs.google.com/spreadsheets/d/1C3CXT74ZlgGe6_JY_1olB1XN4rF0dxEuIIF-xsYjHgg/edit?usp=sharing"",""งบกองทุน!DN104"")"),0)</f>
        <v>0</v>
      </c>
      <c r="E100" s="306">
        <f ca="1">IFERROR(__xludf.DUMMYFUNCTION("IMPORTRANGE(""https://docs.google.com/spreadsheets/d/1C3CXT74ZlgGe6_JY_1olB1XN4rF0dxEuIIF-xsYjHgg/edit?usp=sharing"",""งบกองทุน!DO104"")"),0)</f>
        <v>0</v>
      </c>
      <c r="F100" s="307">
        <v>0</v>
      </c>
      <c r="G100" s="307">
        <f t="shared" ca="1" si="1"/>
        <v>0</v>
      </c>
      <c r="H100" s="308">
        <f ca="1">IFERROR(__xludf.DUMMYFUNCTION("IMPORTRANGE(""https://docs.google.com/spreadsheets/d/1C3CXT74ZlgGe6_JY_1olB1XN4rF0dxEuIIF-xsYjHgg/edit?usp=sharing"",""งบกองทุน!DQ104"")"),0)</f>
        <v>0</v>
      </c>
      <c r="I100" s="308">
        <v>0</v>
      </c>
      <c r="J100" s="309">
        <f t="shared" ca="1" si="29"/>
        <v>0</v>
      </c>
      <c r="K100" s="306">
        <v>0</v>
      </c>
      <c r="L100" s="339"/>
      <c r="M100" s="339"/>
      <c r="N100" s="339"/>
      <c r="O100" s="339"/>
      <c r="P100" s="339"/>
      <c r="Q100" s="339"/>
      <c r="R100" s="339"/>
      <c r="S100" s="339"/>
      <c r="T100" s="339"/>
      <c r="U100" s="339"/>
      <c r="V100" s="339"/>
      <c r="W100" s="339"/>
      <c r="X100" s="339"/>
      <c r="Y100" s="339"/>
    </row>
    <row r="101" spans="1:25" ht="24" hidden="1" customHeight="1">
      <c r="A101" s="327">
        <f t="shared" si="30"/>
        <v>10</v>
      </c>
      <c r="B101" s="328" t="s">
        <v>125</v>
      </c>
      <c r="C101" s="305">
        <f t="shared" ca="1" si="28"/>
        <v>0</v>
      </c>
      <c r="D101" s="306">
        <f ca="1">IFERROR(__xludf.DUMMYFUNCTION("IMPORTRANGE(""https://docs.google.com/spreadsheets/d/1C3CXT74ZlgGe6_JY_1olB1XN4rF0dxEuIIF-xsYjHgg/edit?usp=sharing"",""งบกองทุน!DN105"")"),0)</f>
        <v>0</v>
      </c>
      <c r="E101" s="306">
        <f ca="1">IFERROR(__xludf.DUMMYFUNCTION("IMPORTRANGE(""https://docs.google.com/spreadsheets/d/1C3CXT74ZlgGe6_JY_1olB1XN4rF0dxEuIIF-xsYjHgg/edit?usp=sharing"",""งบกองทุน!DO105"")"),0)</f>
        <v>0</v>
      </c>
      <c r="F101" s="307">
        <v>0</v>
      </c>
      <c r="G101" s="307">
        <f t="shared" ca="1" si="1"/>
        <v>0</v>
      </c>
      <c r="H101" s="308">
        <f ca="1">IFERROR(__xludf.DUMMYFUNCTION("IMPORTRANGE(""https://docs.google.com/spreadsheets/d/1C3CXT74ZlgGe6_JY_1olB1XN4rF0dxEuIIF-xsYjHgg/edit?usp=sharing"",""งบกองทุน!DQ105"")"),0)</f>
        <v>0</v>
      </c>
      <c r="I101" s="308">
        <v>0</v>
      </c>
      <c r="J101" s="309">
        <f t="shared" ca="1" si="29"/>
        <v>0</v>
      </c>
      <c r="K101" s="306">
        <v>0</v>
      </c>
      <c r="L101" s="339"/>
      <c r="M101" s="339"/>
      <c r="N101" s="339"/>
      <c r="O101" s="339"/>
      <c r="P101" s="339"/>
      <c r="Q101" s="339"/>
      <c r="R101" s="339"/>
      <c r="S101" s="339"/>
      <c r="T101" s="339"/>
      <c r="U101" s="339"/>
      <c r="V101" s="339"/>
      <c r="W101" s="339"/>
      <c r="X101" s="339"/>
      <c r="Y101" s="339"/>
    </row>
    <row r="102" spans="1:25" ht="24" hidden="1" customHeight="1">
      <c r="A102" s="327">
        <f t="shared" si="30"/>
        <v>11</v>
      </c>
      <c r="B102" s="328" t="s">
        <v>126</v>
      </c>
      <c r="C102" s="305">
        <f t="shared" ca="1" si="28"/>
        <v>0</v>
      </c>
      <c r="D102" s="306">
        <f ca="1">IFERROR(__xludf.DUMMYFUNCTION("IMPORTRANGE(""https://docs.google.com/spreadsheets/d/1C3CXT74ZlgGe6_JY_1olB1XN4rF0dxEuIIF-xsYjHgg/edit?usp=sharing"",""งบกองทุน!DN106"")"),0)</f>
        <v>0</v>
      </c>
      <c r="E102" s="306">
        <f ca="1">IFERROR(__xludf.DUMMYFUNCTION("IMPORTRANGE(""https://docs.google.com/spreadsheets/d/1C3CXT74ZlgGe6_JY_1olB1XN4rF0dxEuIIF-xsYjHgg/edit?usp=sharing"",""งบกองทุน!DO106"")"),0)</f>
        <v>0</v>
      </c>
      <c r="F102" s="307">
        <v>0</v>
      </c>
      <c r="G102" s="307">
        <f t="shared" ca="1" si="1"/>
        <v>0</v>
      </c>
      <c r="H102" s="308">
        <f ca="1">IFERROR(__xludf.DUMMYFUNCTION("IMPORTRANGE(""https://docs.google.com/spreadsheets/d/1C3CXT74ZlgGe6_JY_1olB1XN4rF0dxEuIIF-xsYjHgg/edit?usp=sharing"",""งบกองทุน!DQ106"")"),0)</f>
        <v>0</v>
      </c>
      <c r="I102" s="308">
        <v>0</v>
      </c>
      <c r="J102" s="309">
        <f t="shared" ca="1" si="29"/>
        <v>0</v>
      </c>
      <c r="K102" s="306">
        <v>0</v>
      </c>
      <c r="L102" s="339"/>
      <c r="M102" s="339"/>
      <c r="N102" s="339"/>
      <c r="O102" s="339"/>
      <c r="P102" s="339"/>
      <c r="Q102" s="339"/>
      <c r="R102" s="339"/>
      <c r="S102" s="339"/>
      <c r="T102" s="339"/>
      <c r="U102" s="339"/>
      <c r="V102" s="339"/>
      <c r="W102" s="339"/>
      <c r="X102" s="339"/>
      <c r="Y102" s="339"/>
    </row>
    <row r="103" spans="1:25" ht="24" hidden="1" customHeight="1">
      <c r="A103" s="327">
        <f t="shared" si="30"/>
        <v>12</v>
      </c>
      <c r="B103" s="328" t="s">
        <v>127</v>
      </c>
      <c r="C103" s="305">
        <f t="shared" ca="1" si="28"/>
        <v>0</v>
      </c>
      <c r="D103" s="306">
        <f ca="1">IFERROR(__xludf.DUMMYFUNCTION("IMPORTRANGE(""https://docs.google.com/spreadsheets/d/1C3CXT74ZlgGe6_JY_1olB1XN4rF0dxEuIIF-xsYjHgg/edit?usp=sharing"",""งบกองทุน!DN107"")"),0)</f>
        <v>0</v>
      </c>
      <c r="E103" s="306">
        <f ca="1">IFERROR(__xludf.DUMMYFUNCTION("IMPORTRANGE(""https://docs.google.com/spreadsheets/d/1C3CXT74ZlgGe6_JY_1olB1XN4rF0dxEuIIF-xsYjHgg/edit?usp=sharing"",""งบกองทุน!DO107"")"),0)</f>
        <v>0</v>
      </c>
      <c r="F103" s="307">
        <v>0</v>
      </c>
      <c r="G103" s="307">
        <f t="shared" ca="1" si="1"/>
        <v>0</v>
      </c>
      <c r="H103" s="308">
        <f ca="1">IFERROR(__xludf.DUMMYFUNCTION("IMPORTRANGE(""https://docs.google.com/spreadsheets/d/1C3CXT74ZlgGe6_JY_1olB1XN4rF0dxEuIIF-xsYjHgg/edit?usp=sharing"",""งบกองทุน!DQ107"")"),0)</f>
        <v>0</v>
      </c>
      <c r="I103" s="308">
        <v>0</v>
      </c>
      <c r="J103" s="309">
        <f t="shared" ca="1" si="29"/>
        <v>0</v>
      </c>
      <c r="K103" s="306">
        <v>0</v>
      </c>
      <c r="L103" s="339"/>
      <c r="M103" s="339"/>
      <c r="N103" s="339"/>
      <c r="O103" s="339"/>
      <c r="P103" s="339"/>
      <c r="Q103" s="339"/>
      <c r="R103" s="339"/>
      <c r="S103" s="339"/>
      <c r="T103" s="339"/>
      <c r="U103" s="339"/>
      <c r="V103" s="339"/>
      <c r="W103" s="339"/>
      <c r="X103" s="339"/>
      <c r="Y103" s="339"/>
    </row>
    <row r="104" spans="1:25" ht="24" hidden="1" customHeight="1">
      <c r="A104" s="327">
        <f t="shared" si="30"/>
        <v>13</v>
      </c>
      <c r="B104" s="328" t="s">
        <v>128</v>
      </c>
      <c r="C104" s="305">
        <f t="shared" ca="1" si="28"/>
        <v>0</v>
      </c>
      <c r="D104" s="306">
        <f ca="1">IFERROR(__xludf.DUMMYFUNCTION("IMPORTRANGE(""https://docs.google.com/spreadsheets/d/1C3CXT74ZlgGe6_JY_1olB1XN4rF0dxEuIIF-xsYjHgg/edit?usp=sharing"",""งบกองทุน!DN108"")"),0)</f>
        <v>0</v>
      </c>
      <c r="E104" s="306">
        <f ca="1">IFERROR(__xludf.DUMMYFUNCTION("IMPORTRANGE(""https://docs.google.com/spreadsheets/d/1C3CXT74ZlgGe6_JY_1olB1XN4rF0dxEuIIF-xsYjHgg/edit?usp=sharing"",""งบกองทุน!DO108"")"),0)</f>
        <v>0</v>
      </c>
      <c r="F104" s="307">
        <v>0</v>
      </c>
      <c r="G104" s="307">
        <f t="shared" ca="1" si="1"/>
        <v>0</v>
      </c>
      <c r="H104" s="308">
        <f ca="1">IFERROR(__xludf.DUMMYFUNCTION("IMPORTRANGE(""https://docs.google.com/spreadsheets/d/1C3CXT74ZlgGe6_JY_1olB1XN4rF0dxEuIIF-xsYjHgg/edit?usp=sharing"",""งบกองทุน!DQ108"")"),0)</f>
        <v>0</v>
      </c>
      <c r="I104" s="308">
        <v>0</v>
      </c>
      <c r="J104" s="309">
        <f t="shared" ca="1" si="29"/>
        <v>0</v>
      </c>
      <c r="K104" s="306">
        <v>0</v>
      </c>
      <c r="L104" s="339"/>
      <c r="M104" s="339"/>
      <c r="N104" s="339"/>
      <c r="O104" s="339"/>
      <c r="P104" s="339"/>
      <c r="Q104" s="339"/>
      <c r="R104" s="339"/>
      <c r="S104" s="339"/>
      <c r="T104" s="339"/>
      <c r="U104" s="339"/>
      <c r="V104" s="339"/>
      <c r="W104" s="339"/>
      <c r="X104" s="339"/>
      <c r="Y104" s="339"/>
    </row>
    <row r="105" spans="1:25" ht="24" hidden="1" customHeight="1">
      <c r="A105" s="329">
        <f t="shared" si="30"/>
        <v>14</v>
      </c>
      <c r="B105" s="330" t="s">
        <v>129</v>
      </c>
      <c r="C105" s="312">
        <f t="shared" ca="1" si="28"/>
        <v>0</v>
      </c>
      <c r="D105" s="313">
        <f ca="1">IFERROR(__xludf.DUMMYFUNCTION("IMPORTRANGE(""https://docs.google.com/spreadsheets/d/1C3CXT74ZlgGe6_JY_1olB1XN4rF0dxEuIIF-xsYjHgg/edit?usp=sharing"",""งบกองทุน!DN109"")"),0)</f>
        <v>0</v>
      </c>
      <c r="E105" s="313">
        <f ca="1">IFERROR(__xludf.DUMMYFUNCTION("IMPORTRANGE(""https://docs.google.com/spreadsheets/d/1C3CXT74ZlgGe6_JY_1olB1XN4rF0dxEuIIF-xsYjHgg/edit?usp=sharing"",""งบกองทุน!DO109"")"),0)</f>
        <v>0</v>
      </c>
      <c r="F105" s="314">
        <v>0</v>
      </c>
      <c r="G105" s="314">
        <f t="shared" ca="1" si="1"/>
        <v>0</v>
      </c>
      <c r="H105" s="315">
        <f ca="1">IFERROR(__xludf.DUMMYFUNCTION("IMPORTRANGE(""https://docs.google.com/spreadsheets/d/1C3CXT74ZlgGe6_JY_1olB1XN4rF0dxEuIIF-xsYjHgg/edit?usp=sharing"",""งบกองทุน!DQ109"")"),0)</f>
        <v>0</v>
      </c>
      <c r="I105" s="315">
        <v>0</v>
      </c>
      <c r="J105" s="316">
        <f t="shared" ca="1" si="29"/>
        <v>0</v>
      </c>
      <c r="K105" s="313">
        <v>0</v>
      </c>
      <c r="L105" s="339"/>
      <c r="M105" s="339"/>
      <c r="N105" s="339"/>
      <c r="O105" s="339"/>
      <c r="P105" s="339"/>
      <c r="Q105" s="339"/>
      <c r="R105" s="339"/>
      <c r="S105" s="339"/>
      <c r="T105" s="339"/>
      <c r="U105" s="339"/>
      <c r="V105" s="339"/>
      <c r="W105" s="339"/>
      <c r="X105" s="339"/>
      <c r="Y105" s="339"/>
    </row>
    <row r="106" spans="1:25" ht="27.75" hidden="1" customHeight="1">
      <c r="A106" s="791" t="s">
        <v>130</v>
      </c>
      <c r="B106" s="652"/>
      <c r="C106" s="322">
        <f t="shared" ref="C106:F106" ca="1" si="31">+C107+C108+C109+C110+C111+C112+C113+C114</f>
        <v>0</v>
      </c>
      <c r="D106" s="323">
        <f t="shared" ca="1" si="31"/>
        <v>0</v>
      </c>
      <c r="E106" s="323">
        <f t="shared" ca="1" si="31"/>
        <v>0</v>
      </c>
      <c r="F106" s="323">
        <f t="shared" si="31"/>
        <v>0</v>
      </c>
      <c r="G106" s="324">
        <f t="shared" ca="1" si="1"/>
        <v>0</v>
      </c>
      <c r="H106" s="323">
        <f t="shared" ref="H106:I106" ca="1" si="32">+H107+H108+H109+H110+H111+H112+H113+H114</f>
        <v>0</v>
      </c>
      <c r="I106" s="323">
        <f t="shared" si="32"/>
        <v>0</v>
      </c>
      <c r="J106" s="324">
        <f ca="1">IF(H106&gt;0,#REF!*100/H106,0)</f>
        <v>0</v>
      </c>
      <c r="K106" s="323">
        <f>+K107+K108+K109+K110+K111+K112+K113+K114</f>
        <v>0</v>
      </c>
      <c r="L106" s="339"/>
      <c r="M106" s="339"/>
      <c r="N106" s="339"/>
      <c r="O106" s="339"/>
      <c r="P106" s="339"/>
      <c r="Q106" s="339"/>
      <c r="R106" s="339"/>
      <c r="S106" s="339"/>
      <c r="T106" s="339"/>
      <c r="U106" s="339"/>
      <c r="V106" s="339"/>
      <c r="W106" s="339"/>
      <c r="X106" s="339"/>
      <c r="Y106" s="339"/>
    </row>
    <row r="107" spans="1:25" ht="24" hidden="1" customHeight="1">
      <c r="A107" s="325">
        <v>1</v>
      </c>
      <c r="B107" s="326" t="s">
        <v>131</v>
      </c>
      <c r="C107" s="295">
        <f t="shared" ref="C107:C114" ca="1" si="33">+D107+E107</f>
        <v>0</v>
      </c>
      <c r="D107" s="296">
        <f ca="1">IFERROR(__xludf.DUMMYFUNCTION("IMPORTRANGE(""https://docs.google.com/spreadsheets/d/1C3CXT74ZlgGe6_JY_1olB1XN4rF0dxEuIIF-xsYjHgg/edit?usp=sharing"",""งบกองทุน!DN111"")"),0)</f>
        <v>0</v>
      </c>
      <c r="E107" s="296">
        <f ca="1">IFERROR(__xludf.DUMMYFUNCTION("IMPORTRANGE(""https://docs.google.com/spreadsheets/d/1C3CXT74ZlgGe6_JY_1olB1XN4rF0dxEuIIF-xsYjHgg/edit?usp=sharing"",""งบกองทุน!DO111"")"),0)</f>
        <v>0</v>
      </c>
      <c r="F107" s="297">
        <v>0</v>
      </c>
      <c r="G107" s="297">
        <f t="shared" ca="1" si="1"/>
        <v>0</v>
      </c>
      <c r="H107" s="299">
        <f ca="1">IFERROR(__xludf.DUMMYFUNCTION("IMPORTRANGE(""https://docs.google.com/spreadsheets/d/1C3CXT74ZlgGe6_JY_1olB1XN4rF0dxEuIIF-xsYjHgg/edit?usp=sharing"",""งบกองทุน!DQ111"")"),0)</f>
        <v>0</v>
      </c>
      <c r="I107" s="299">
        <v>0</v>
      </c>
      <c r="J107" s="301">
        <f t="shared" ref="J107:J114" ca="1" si="34">IF(H107&gt;0,I107*100/H107,0)</f>
        <v>0</v>
      </c>
      <c r="K107" s="296">
        <v>0</v>
      </c>
      <c r="L107" s="339"/>
      <c r="M107" s="339"/>
      <c r="N107" s="339"/>
      <c r="O107" s="339"/>
      <c r="P107" s="339"/>
      <c r="Q107" s="339"/>
      <c r="R107" s="339"/>
      <c r="S107" s="339"/>
      <c r="T107" s="339"/>
      <c r="U107" s="339"/>
      <c r="V107" s="339"/>
      <c r="W107" s="339"/>
      <c r="X107" s="339"/>
      <c r="Y107" s="339"/>
    </row>
    <row r="108" spans="1:25" ht="24" hidden="1" customHeight="1">
      <c r="A108" s="327">
        <v>2</v>
      </c>
      <c r="B108" s="328" t="s">
        <v>132</v>
      </c>
      <c r="C108" s="305">
        <f t="shared" ca="1" si="33"/>
        <v>0</v>
      </c>
      <c r="D108" s="306">
        <f ca="1">IFERROR(__xludf.DUMMYFUNCTION("IMPORTRANGE(""https://docs.google.com/spreadsheets/d/1C3CXT74ZlgGe6_JY_1olB1XN4rF0dxEuIIF-xsYjHgg/edit?usp=sharing"",""งบกองทุน!DN112"")"),0)</f>
        <v>0</v>
      </c>
      <c r="E108" s="306">
        <f ca="1">IFERROR(__xludf.DUMMYFUNCTION("IMPORTRANGE(""https://docs.google.com/spreadsheets/d/1C3CXT74ZlgGe6_JY_1olB1XN4rF0dxEuIIF-xsYjHgg/edit?usp=sharing"",""งบกองทุน!DO112"")"),0)</f>
        <v>0</v>
      </c>
      <c r="F108" s="307">
        <v>0</v>
      </c>
      <c r="G108" s="307">
        <f t="shared" ca="1" si="1"/>
        <v>0</v>
      </c>
      <c r="H108" s="308">
        <f ca="1">IFERROR(__xludf.DUMMYFUNCTION("IMPORTRANGE(""https://docs.google.com/spreadsheets/d/1C3CXT74ZlgGe6_JY_1olB1XN4rF0dxEuIIF-xsYjHgg/edit?usp=sharing"",""งบกองทุน!DQ112"")"),0)</f>
        <v>0</v>
      </c>
      <c r="I108" s="308">
        <v>0</v>
      </c>
      <c r="J108" s="309">
        <f t="shared" ca="1" si="34"/>
        <v>0</v>
      </c>
      <c r="K108" s="306">
        <v>0</v>
      </c>
      <c r="L108" s="339"/>
      <c r="M108" s="339"/>
      <c r="N108" s="339"/>
      <c r="O108" s="339"/>
      <c r="P108" s="339"/>
      <c r="Q108" s="339"/>
      <c r="R108" s="339"/>
      <c r="S108" s="339"/>
      <c r="T108" s="339"/>
      <c r="U108" s="339"/>
      <c r="V108" s="339"/>
      <c r="W108" s="339"/>
      <c r="X108" s="339"/>
      <c r="Y108" s="339"/>
    </row>
    <row r="109" spans="1:25" ht="24" hidden="1" customHeight="1">
      <c r="A109" s="327">
        <v>3</v>
      </c>
      <c r="B109" s="328" t="s">
        <v>133</v>
      </c>
      <c r="C109" s="305">
        <f t="shared" ca="1" si="33"/>
        <v>0</v>
      </c>
      <c r="D109" s="306">
        <f ca="1">IFERROR(__xludf.DUMMYFUNCTION("IMPORTRANGE(""https://docs.google.com/spreadsheets/d/1C3CXT74ZlgGe6_JY_1olB1XN4rF0dxEuIIF-xsYjHgg/edit?usp=sharing"",""งบกองทุน!DN113"")"),0)</f>
        <v>0</v>
      </c>
      <c r="E109" s="306">
        <f ca="1">IFERROR(__xludf.DUMMYFUNCTION("IMPORTRANGE(""https://docs.google.com/spreadsheets/d/1C3CXT74ZlgGe6_JY_1olB1XN4rF0dxEuIIF-xsYjHgg/edit?usp=sharing"",""งบกองทุน!DO113"")"),0)</f>
        <v>0</v>
      </c>
      <c r="F109" s="307">
        <v>0</v>
      </c>
      <c r="G109" s="307">
        <f t="shared" ca="1" si="1"/>
        <v>0</v>
      </c>
      <c r="H109" s="308">
        <f ca="1">IFERROR(__xludf.DUMMYFUNCTION("IMPORTRANGE(""https://docs.google.com/spreadsheets/d/1C3CXT74ZlgGe6_JY_1olB1XN4rF0dxEuIIF-xsYjHgg/edit?usp=sharing"",""งบกองทุน!DQ113"")"),0)</f>
        <v>0</v>
      </c>
      <c r="I109" s="308">
        <v>0</v>
      </c>
      <c r="J109" s="309">
        <f t="shared" ca="1" si="34"/>
        <v>0</v>
      </c>
      <c r="K109" s="306">
        <v>0</v>
      </c>
      <c r="L109" s="339"/>
      <c r="M109" s="339"/>
      <c r="N109" s="339"/>
      <c r="O109" s="339"/>
      <c r="P109" s="339"/>
      <c r="Q109" s="339"/>
      <c r="R109" s="339"/>
      <c r="S109" s="339"/>
      <c r="T109" s="339"/>
      <c r="U109" s="339"/>
      <c r="V109" s="339"/>
      <c r="W109" s="339"/>
      <c r="X109" s="339"/>
      <c r="Y109" s="339"/>
    </row>
    <row r="110" spans="1:25" ht="24" hidden="1" customHeight="1">
      <c r="A110" s="327">
        <f t="shared" ref="A110:A112" si="35">+A109+1</f>
        <v>4</v>
      </c>
      <c r="B110" s="328" t="s">
        <v>134</v>
      </c>
      <c r="C110" s="305">
        <f t="shared" ca="1" si="33"/>
        <v>0</v>
      </c>
      <c r="D110" s="306">
        <f ca="1">IFERROR(__xludf.DUMMYFUNCTION("IMPORTRANGE(""https://docs.google.com/spreadsheets/d/1C3CXT74ZlgGe6_JY_1olB1XN4rF0dxEuIIF-xsYjHgg/edit?usp=sharing"",""งบกองทุน!DN114"")"),0)</f>
        <v>0</v>
      </c>
      <c r="E110" s="306">
        <f ca="1">IFERROR(__xludf.DUMMYFUNCTION("IMPORTRANGE(""https://docs.google.com/spreadsheets/d/1C3CXT74ZlgGe6_JY_1olB1XN4rF0dxEuIIF-xsYjHgg/edit?usp=sharing"",""งบกองทุน!DO114"")"),0)</f>
        <v>0</v>
      </c>
      <c r="F110" s="307">
        <v>0</v>
      </c>
      <c r="G110" s="307">
        <f t="shared" ca="1" si="1"/>
        <v>0</v>
      </c>
      <c r="H110" s="308">
        <f ca="1">IFERROR(__xludf.DUMMYFUNCTION("IMPORTRANGE(""https://docs.google.com/spreadsheets/d/1C3CXT74ZlgGe6_JY_1olB1XN4rF0dxEuIIF-xsYjHgg/edit?usp=sharing"",""งบกองทุน!DQ114"")"),0)</f>
        <v>0</v>
      </c>
      <c r="I110" s="308">
        <v>0</v>
      </c>
      <c r="J110" s="309">
        <f t="shared" ca="1" si="34"/>
        <v>0</v>
      </c>
      <c r="K110" s="306">
        <v>0</v>
      </c>
      <c r="L110" s="339"/>
      <c r="M110" s="339"/>
      <c r="N110" s="339"/>
      <c r="O110" s="339"/>
      <c r="P110" s="339"/>
      <c r="Q110" s="339"/>
      <c r="R110" s="339"/>
      <c r="S110" s="339"/>
      <c r="T110" s="339"/>
      <c r="U110" s="339"/>
      <c r="V110" s="339"/>
      <c r="W110" s="339"/>
      <c r="X110" s="339"/>
      <c r="Y110" s="339"/>
    </row>
    <row r="111" spans="1:25" ht="24" hidden="1" customHeight="1">
      <c r="A111" s="327">
        <f t="shared" si="35"/>
        <v>5</v>
      </c>
      <c r="B111" s="328" t="s">
        <v>135</v>
      </c>
      <c r="C111" s="305">
        <f t="shared" ca="1" si="33"/>
        <v>0</v>
      </c>
      <c r="D111" s="306">
        <f ca="1">IFERROR(__xludf.DUMMYFUNCTION("IMPORTRANGE(""https://docs.google.com/spreadsheets/d/1C3CXT74ZlgGe6_JY_1olB1XN4rF0dxEuIIF-xsYjHgg/edit?usp=sharing"",""งบกองทุน!DN115"")"),0)</f>
        <v>0</v>
      </c>
      <c r="E111" s="306">
        <f ca="1">IFERROR(__xludf.DUMMYFUNCTION("IMPORTRANGE(""https://docs.google.com/spreadsheets/d/1C3CXT74ZlgGe6_JY_1olB1XN4rF0dxEuIIF-xsYjHgg/edit?usp=sharing"",""งบกองทุน!DO115"")"),0)</f>
        <v>0</v>
      </c>
      <c r="F111" s="307">
        <v>0</v>
      </c>
      <c r="G111" s="307">
        <f t="shared" ca="1" si="1"/>
        <v>0</v>
      </c>
      <c r="H111" s="308">
        <f ca="1">IFERROR(__xludf.DUMMYFUNCTION("IMPORTRANGE(""https://docs.google.com/spreadsheets/d/1C3CXT74ZlgGe6_JY_1olB1XN4rF0dxEuIIF-xsYjHgg/edit?usp=sharing"",""งบกองทุน!DQ115"")"),0)</f>
        <v>0</v>
      </c>
      <c r="I111" s="308">
        <v>0</v>
      </c>
      <c r="J111" s="309">
        <f t="shared" ca="1" si="34"/>
        <v>0</v>
      </c>
      <c r="K111" s="306">
        <v>0</v>
      </c>
      <c r="L111" s="339"/>
      <c r="M111" s="339"/>
      <c r="N111" s="339"/>
      <c r="O111" s="339"/>
      <c r="P111" s="339"/>
      <c r="Q111" s="339"/>
      <c r="R111" s="339"/>
      <c r="S111" s="339"/>
      <c r="T111" s="339"/>
      <c r="U111" s="339"/>
      <c r="V111" s="339"/>
      <c r="W111" s="339"/>
      <c r="X111" s="339"/>
      <c r="Y111" s="339"/>
    </row>
    <row r="112" spans="1:25" ht="24" hidden="1" customHeight="1">
      <c r="A112" s="327">
        <f t="shared" si="35"/>
        <v>6</v>
      </c>
      <c r="B112" s="328" t="s">
        <v>136</v>
      </c>
      <c r="C112" s="305">
        <f t="shared" ca="1" si="33"/>
        <v>0</v>
      </c>
      <c r="D112" s="306">
        <f ca="1">IFERROR(__xludf.DUMMYFUNCTION("IMPORTRANGE(""https://docs.google.com/spreadsheets/d/1C3CXT74ZlgGe6_JY_1olB1XN4rF0dxEuIIF-xsYjHgg/edit?usp=sharing"",""งบกองทุน!DN116"")"),0)</f>
        <v>0</v>
      </c>
      <c r="E112" s="306">
        <f ca="1">IFERROR(__xludf.DUMMYFUNCTION("IMPORTRANGE(""https://docs.google.com/spreadsheets/d/1C3CXT74ZlgGe6_JY_1olB1XN4rF0dxEuIIF-xsYjHgg/edit?usp=sharing"",""งบกองทุน!DO116"")"),0)</f>
        <v>0</v>
      </c>
      <c r="F112" s="307">
        <v>0</v>
      </c>
      <c r="G112" s="307">
        <f t="shared" ca="1" si="1"/>
        <v>0</v>
      </c>
      <c r="H112" s="308">
        <f ca="1">IFERROR(__xludf.DUMMYFUNCTION("IMPORTRANGE(""https://docs.google.com/spreadsheets/d/1C3CXT74ZlgGe6_JY_1olB1XN4rF0dxEuIIF-xsYjHgg/edit?usp=sharing"",""งบกองทุน!DQ116"")"),0)</f>
        <v>0</v>
      </c>
      <c r="I112" s="308">
        <v>0</v>
      </c>
      <c r="J112" s="309">
        <f t="shared" ca="1" si="34"/>
        <v>0</v>
      </c>
      <c r="K112" s="306">
        <v>0</v>
      </c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39"/>
      <c r="W112" s="339"/>
      <c r="X112" s="339"/>
      <c r="Y112" s="339"/>
    </row>
    <row r="113" spans="1:25" ht="24" hidden="1" customHeight="1">
      <c r="A113" s="327">
        <v>7</v>
      </c>
      <c r="B113" s="328" t="s">
        <v>140</v>
      </c>
      <c r="C113" s="305">
        <f t="shared" ca="1" si="33"/>
        <v>0</v>
      </c>
      <c r="D113" s="306">
        <f ca="1">IFERROR(__xludf.DUMMYFUNCTION("IMPORTRANGE(""https://docs.google.com/spreadsheets/d/1C3CXT74ZlgGe6_JY_1olB1XN4rF0dxEuIIF-xsYjHgg/edit?usp=sharing"",""งบกองทุน!DN117"")"),0)</f>
        <v>0</v>
      </c>
      <c r="E113" s="306">
        <f ca="1">IFERROR(__xludf.DUMMYFUNCTION("IMPORTRANGE(""https://docs.google.com/spreadsheets/d/1C3CXT74ZlgGe6_JY_1olB1XN4rF0dxEuIIF-xsYjHgg/edit?usp=sharing"",""งบกองทุน!DO117"")"),0)</f>
        <v>0</v>
      </c>
      <c r="F113" s="307">
        <v>0</v>
      </c>
      <c r="G113" s="307">
        <f t="shared" ca="1" si="1"/>
        <v>0</v>
      </c>
      <c r="H113" s="308">
        <f ca="1">IFERROR(__xludf.DUMMYFUNCTION("IMPORTRANGE(""https://docs.google.com/spreadsheets/d/1C3CXT74ZlgGe6_JY_1olB1XN4rF0dxEuIIF-xsYjHgg/edit?usp=sharing"",""งบกองทุน!DQ117"")"),0)</f>
        <v>0</v>
      </c>
      <c r="I113" s="308">
        <v>0</v>
      </c>
      <c r="J113" s="309">
        <f t="shared" ca="1" si="34"/>
        <v>0</v>
      </c>
      <c r="K113" s="306">
        <v>0</v>
      </c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39"/>
      <c r="W113" s="339"/>
      <c r="X113" s="339"/>
      <c r="Y113" s="339"/>
    </row>
    <row r="114" spans="1:25" ht="24" hidden="1" customHeight="1">
      <c r="A114" s="329">
        <v>8</v>
      </c>
      <c r="B114" s="330" t="s">
        <v>141</v>
      </c>
      <c r="C114" s="331">
        <f t="shared" ca="1" si="33"/>
        <v>0</v>
      </c>
      <c r="D114" s="332">
        <f ca="1">IFERROR(__xludf.DUMMYFUNCTION("IMPORTRANGE(""https://docs.google.com/spreadsheets/d/1C3CXT74ZlgGe6_JY_1olB1XN4rF0dxEuIIF-xsYjHgg/edit?usp=sharing"",""งบกองทุน!DN118"")"),0)</f>
        <v>0</v>
      </c>
      <c r="E114" s="332">
        <f ca="1">IFERROR(__xludf.DUMMYFUNCTION("IMPORTRANGE(""https://docs.google.com/spreadsheets/d/1C3CXT74ZlgGe6_JY_1olB1XN4rF0dxEuIIF-xsYjHgg/edit?usp=sharing"",""งบกองทุน!DO118"")"),0)</f>
        <v>0</v>
      </c>
      <c r="F114" s="333">
        <v>0</v>
      </c>
      <c r="G114" s="333">
        <f t="shared" ca="1" si="1"/>
        <v>0</v>
      </c>
      <c r="H114" s="334">
        <f ca="1">IFERROR(__xludf.DUMMYFUNCTION("IMPORTRANGE(""https://docs.google.com/spreadsheets/d/1C3CXT74ZlgGe6_JY_1olB1XN4rF0dxEuIIF-xsYjHgg/edit?usp=sharing"",""งบกองทุน!DQ118"")"),0)</f>
        <v>0</v>
      </c>
      <c r="I114" s="334">
        <v>0</v>
      </c>
      <c r="J114" s="335">
        <f t="shared" ca="1" si="34"/>
        <v>0</v>
      </c>
      <c r="K114" s="332">
        <v>0</v>
      </c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39"/>
      <c r="W114" s="339"/>
      <c r="X114" s="339"/>
      <c r="Y114" s="339"/>
    </row>
    <row r="115" spans="1:25" ht="24" customHeight="1">
      <c r="A115" s="336"/>
      <c r="B115" s="336"/>
      <c r="C115" s="336"/>
      <c r="D115" s="336"/>
      <c r="E115" s="336"/>
      <c r="F115" s="336"/>
      <c r="G115" s="336"/>
      <c r="H115" s="336"/>
      <c r="I115" s="590"/>
      <c r="J115" s="338"/>
      <c r="K115" s="590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39"/>
      <c r="W115" s="339"/>
      <c r="X115" s="339"/>
      <c r="Y115" s="339"/>
    </row>
    <row r="116" spans="1:25" ht="24" customHeight="1">
      <c r="A116" s="336"/>
      <c r="B116" s="336"/>
      <c r="C116" s="336"/>
      <c r="D116" s="336"/>
      <c r="E116" s="336"/>
      <c r="F116" s="336"/>
      <c r="G116" s="336"/>
      <c r="H116" s="336"/>
      <c r="I116" s="590"/>
      <c r="J116" s="338"/>
      <c r="K116" s="590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339"/>
      <c r="W116" s="339"/>
      <c r="X116" s="339"/>
      <c r="Y116" s="339"/>
    </row>
    <row r="117" spans="1:25" ht="24" customHeight="1">
      <c r="A117" s="336"/>
      <c r="B117" s="336"/>
      <c r="C117" s="336"/>
      <c r="D117" s="336"/>
      <c r="E117" s="336"/>
      <c r="F117" s="336"/>
      <c r="G117" s="336"/>
      <c r="H117" s="336"/>
      <c r="I117" s="590"/>
      <c r="J117" s="338"/>
      <c r="K117" s="590"/>
      <c r="L117" s="339"/>
      <c r="M117" s="339"/>
      <c r="N117" s="339"/>
      <c r="O117" s="339"/>
      <c r="P117" s="339"/>
      <c r="Q117" s="339"/>
      <c r="R117" s="339"/>
      <c r="S117" s="339"/>
      <c r="T117" s="339"/>
      <c r="U117" s="339"/>
      <c r="V117" s="339"/>
      <c r="W117" s="339"/>
      <c r="X117" s="339"/>
      <c r="Y117" s="339"/>
    </row>
    <row r="118" spans="1:25" ht="24" customHeight="1">
      <c r="A118" s="336"/>
      <c r="B118" s="336"/>
      <c r="C118" s="336"/>
      <c r="D118" s="336"/>
      <c r="E118" s="336"/>
      <c r="F118" s="336"/>
      <c r="G118" s="336"/>
      <c r="H118" s="336"/>
      <c r="I118" s="590"/>
      <c r="J118" s="338"/>
      <c r="K118" s="590"/>
      <c r="L118" s="339"/>
      <c r="M118" s="339"/>
      <c r="N118" s="339"/>
      <c r="O118" s="339"/>
      <c r="P118" s="339"/>
      <c r="Q118" s="339"/>
      <c r="R118" s="339"/>
      <c r="S118" s="339"/>
      <c r="T118" s="339"/>
      <c r="U118" s="339"/>
      <c r="V118" s="339"/>
      <c r="W118" s="339"/>
      <c r="X118" s="339"/>
      <c r="Y118" s="339"/>
    </row>
    <row r="119" spans="1:25" ht="24" customHeight="1">
      <c r="A119" s="336"/>
      <c r="B119" s="336"/>
      <c r="C119" s="336"/>
      <c r="D119" s="336"/>
      <c r="E119" s="336"/>
      <c r="F119" s="336"/>
      <c r="G119" s="336"/>
      <c r="H119" s="336"/>
      <c r="I119" s="590"/>
      <c r="J119" s="338"/>
      <c r="K119" s="590"/>
      <c r="L119" s="339"/>
      <c r="M119" s="339"/>
      <c r="N119" s="339"/>
      <c r="O119" s="339"/>
      <c r="P119" s="339"/>
      <c r="Q119" s="339"/>
      <c r="R119" s="339"/>
      <c r="S119" s="339"/>
      <c r="T119" s="339"/>
      <c r="U119" s="339"/>
      <c r="V119" s="339"/>
      <c r="W119" s="339"/>
      <c r="X119" s="339"/>
      <c r="Y119" s="339"/>
    </row>
    <row r="120" spans="1:25" ht="24" customHeight="1">
      <c r="A120" s="336"/>
      <c r="B120" s="336"/>
      <c r="C120" s="336"/>
      <c r="D120" s="336"/>
      <c r="E120" s="336"/>
      <c r="F120" s="336"/>
      <c r="G120" s="336"/>
      <c r="H120" s="336"/>
      <c r="I120" s="590"/>
      <c r="J120" s="338"/>
      <c r="K120" s="590"/>
      <c r="L120" s="339"/>
      <c r="M120" s="339"/>
      <c r="N120" s="339"/>
      <c r="O120" s="339"/>
      <c r="P120" s="339"/>
      <c r="Q120" s="339"/>
      <c r="R120" s="339"/>
      <c r="S120" s="339"/>
      <c r="T120" s="339"/>
      <c r="U120" s="339"/>
      <c r="V120" s="339"/>
      <c r="W120" s="339"/>
      <c r="X120" s="339"/>
      <c r="Y120" s="339"/>
    </row>
    <row r="121" spans="1:25" ht="24" customHeight="1">
      <c r="A121" s="336"/>
      <c r="B121" s="336"/>
      <c r="C121" s="336"/>
      <c r="D121" s="336"/>
      <c r="E121" s="336"/>
      <c r="F121" s="336"/>
      <c r="G121" s="336"/>
      <c r="H121" s="336"/>
      <c r="I121" s="590"/>
      <c r="J121" s="338"/>
      <c r="K121" s="590"/>
      <c r="L121" s="339"/>
      <c r="M121" s="339"/>
      <c r="N121" s="339"/>
      <c r="O121" s="339"/>
      <c r="P121" s="339"/>
      <c r="Q121" s="339"/>
      <c r="R121" s="339"/>
      <c r="S121" s="339"/>
      <c r="T121" s="339"/>
      <c r="U121" s="339"/>
      <c r="V121" s="339"/>
      <c r="W121" s="339"/>
      <c r="X121" s="339"/>
      <c r="Y121" s="339"/>
    </row>
    <row r="122" spans="1:25" ht="24" customHeight="1">
      <c r="A122" s="336"/>
      <c r="B122" s="336"/>
      <c r="C122" s="336"/>
      <c r="D122" s="336"/>
      <c r="E122" s="336"/>
      <c r="F122" s="336"/>
      <c r="G122" s="336"/>
      <c r="H122" s="336"/>
      <c r="I122" s="590"/>
      <c r="J122" s="338"/>
      <c r="K122" s="590"/>
      <c r="L122" s="339"/>
      <c r="M122" s="339"/>
      <c r="N122" s="339"/>
      <c r="O122" s="339"/>
      <c r="P122" s="339"/>
      <c r="Q122" s="339"/>
      <c r="R122" s="339"/>
      <c r="S122" s="339"/>
      <c r="T122" s="339"/>
      <c r="U122" s="339"/>
      <c r="V122" s="339"/>
      <c r="W122" s="339"/>
      <c r="X122" s="339"/>
      <c r="Y122" s="339"/>
    </row>
    <row r="123" spans="1:25" ht="24" customHeight="1">
      <c r="A123" s="336"/>
      <c r="B123" s="336"/>
      <c r="C123" s="336"/>
      <c r="D123" s="336"/>
      <c r="E123" s="336"/>
      <c r="F123" s="336"/>
      <c r="G123" s="336"/>
      <c r="H123" s="336"/>
      <c r="I123" s="590"/>
      <c r="J123" s="338"/>
      <c r="K123" s="590"/>
      <c r="L123" s="339"/>
      <c r="M123" s="339"/>
      <c r="N123" s="339"/>
      <c r="O123" s="339"/>
      <c r="P123" s="339"/>
      <c r="Q123" s="339"/>
      <c r="R123" s="339"/>
      <c r="S123" s="339"/>
      <c r="T123" s="339"/>
      <c r="U123" s="339"/>
      <c r="V123" s="339"/>
      <c r="W123" s="339"/>
      <c r="X123" s="339"/>
      <c r="Y123" s="339"/>
    </row>
    <row r="124" spans="1:25" ht="24" customHeight="1">
      <c r="A124" s="336"/>
      <c r="B124" s="336"/>
      <c r="C124" s="336"/>
      <c r="D124" s="336"/>
      <c r="E124" s="336"/>
      <c r="F124" s="336"/>
      <c r="G124" s="336"/>
      <c r="H124" s="336"/>
      <c r="I124" s="590"/>
      <c r="J124" s="338"/>
      <c r="K124" s="590"/>
      <c r="L124" s="339"/>
      <c r="M124" s="339"/>
      <c r="N124" s="339"/>
      <c r="O124" s="339"/>
      <c r="P124" s="339"/>
      <c r="Q124" s="339"/>
      <c r="R124" s="339"/>
      <c r="S124" s="339"/>
      <c r="T124" s="339"/>
      <c r="U124" s="339"/>
      <c r="V124" s="339"/>
      <c r="W124" s="339"/>
      <c r="X124" s="339"/>
      <c r="Y124" s="339"/>
    </row>
    <row r="125" spans="1:25" ht="24" customHeight="1">
      <c r="A125" s="336"/>
      <c r="B125" s="336"/>
      <c r="C125" s="336"/>
      <c r="D125" s="336"/>
      <c r="E125" s="336"/>
      <c r="F125" s="336"/>
      <c r="G125" s="336"/>
      <c r="H125" s="336"/>
      <c r="I125" s="590"/>
      <c r="J125" s="338"/>
      <c r="K125" s="590"/>
      <c r="L125" s="339"/>
      <c r="M125" s="339"/>
      <c r="N125" s="339"/>
      <c r="O125" s="339"/>
      <c r="P125" s="339"/>
      <c r="Q125" s="339"/>
      <c r="R125" s="339"/>
      <c r="S125" s="339"/>
      <c r="T125" s="339"/>
      <c r="U125" s="339"/>
      <c r="V125" s="339"/>
      <c r="W125" s="339"/>
      <c r="X125" s="339"/>
      <c r="Y125" s="339"/>
    </row>
    <row r="126" spans="1:25" ht="24" customHeight="1">
      <c r="A126" s="336"/>
      <c r="B126" s="336"/>
      <c r="C126" s="336"/>
      <c r="D126" s="336"/>
      <c r="E126" s="336"/>
      <c r="F126" s="336"/>
      <c r="G126" s="336"/>
      <c r="H126" s="336"/>
      <c r="I126" s="590"/>
      <c r="J126" s="338"/>
      <c r="K126" s="590"/>
      <c r="L126" s="339"/>
      <c r="M126" s="339"/>
      <c r="N126" s="339"/>
      <c r="O126" s="339"/>
      <c r="P126" s="339"/>
      <c r="Q126" s="339"/>
      <c r="R126" s="339"/>
      <c r="S126" s="339"/>
      <c r="T126" s="339"/>
      <c r="U126" s="339"/>
      <c r="V126" s="339"/>
      <c r="W126" s="339"/>
      <c r="X126" s="339"/>
      <c r="Y126" s="339"/>
    </row>
    <row r="127" spans="1:25" ht="24" customHeight="1">
      <c r="A127" s="336"/>
      <c r="B127" s="336"/>
      <c r="C127" s="336"/>
      <c r="D127" s="336"/>
      <c r="E127" s="336"/>
      <c r="F127" s="336"/>
      <c r="G127" s="336"/>
      <c r="H127" s="336"/>
      <c r="I127" s="590"/>
      <c r="J127" s="338"/>
      <c r="K127" s="590"/>
      <c r="L127" s="339"/>
      <c r="M127" s="339"/>
      <c r="N127" s="339"/>
      <c r="O127" s="339"/>
      <c r="P127" s="339"/>
      <c r="Q127" s="339"/>
      <c r="R127" s="339"/>
      <c r="S127" s="339"/>
      <c r="T127" s="339"/>
      <c r="U127" s="339"/>
      <c r="V127" s="339"/>
      <c r="W127" s="339"/>
      <c r="X127" s="339"/>
      <c r="Y127" s="339"/>
    </row>
    <row r="128" spans="1:25" ht="24" customHeight="1">
      <c r="A128" s="336"/>
      <c r="B128" s="336"/>
      <c r="C128" s="336"/>
      <c r="D128" s="336"/>
      <c r="E128" s="336"/>
      <c r="F128" s="336"/>
      <c r="G128" s="336"/>
      <c r="H128" s="336"/>
      <c r="I128" s="590"/>
      <c r="J128" s="338"/>
      <c r="K128" s="590"/>
      <c r="L128" s="339"/>
      <c r="M128" s="339"/>
      <c r="N128" s="339"/>
      <c r="O128" s="339"/>
      <c r="P128" s="339"/>
      <c r="Q128" s="339"/>
      <c r="R128" s="339"/>
      <c r="S128" s="339"/>
      <c r="T128" s="339"/>
      <c r="U128" s="339"/>
      <c r="V128" s="339"/>
      <c r="W128" s="339"/>
      <c r="X128" s="339"/>
      <c r="Y128" s="339"/>
    </row>
    <row r="129" spans="1:25" ht="24" customHeight="1">
      <c r="A129" s="336"/>
      <c r="B129" s="336"/>
      <c r="C129" s="336"/>
      <c r="D129" s="336"/>
      <c r="E129" s="336"/>
      <c r="F129" s="336"/>
      <c r="G129" s="336"/>
      <c r="H129" s="336"/>
      <c r="I129" s="590"/>
      <c r="J129" s="338"/>
      <c r="K129" s="590"/>
      <c r="L129" s="339"/>
      <c r="M129" s="339"/>
      <c r="N129" s="339"/>
      <c r="O129" s="339"/>
      <c r="P129" s="339"/>
      <c r="Q129" s="339"/>
      <c r="R129" s="339"/>
      <c r="S129" s="339"/>
      <c r="T129" s="339"/>
      <c r="U129" s="339"/>
      <c r="V129" s="339"/>
      <c r="W129" s="339"/>
      <c r="X129" s="339"/>
      <c r="Y129" s="339"/>
    </row>
    <row r="130" spans="1:25" ht="24" customHeight="1">
      <c r="A130" s="336"/>
      <c r="B130" s="336"/>
      <c r="C130" s="336"/>
      <c r="D130" s="336"/>
      <c r="E130" s="336"/>
      <c r="F130" s="336"/>
      <c r="G130" s="336"/>
      <c r="H130" s="336"/>
      <c r="I130" s="590"/>
      <c r="J130" s="338"/>
      <c r="K130" s="590"/>
      <c r="L130" s="339"/>
      <c r="M130" s="339"/>
      <c r="N130" s="339"/>
      <c r="O130" s="339"/>
      <c r="P130" s="339"/>
      <c r="Q130" s="339"/>
      <c r="R130" s="339"/>
      <c r="S130" s="339"/>
      <c r="T130" s="339"/>
      <c r="U130" s="339"/>
      <c r="V130" s="339"/>
      <c r="W130" s="339"/>
      <c r="X130" s="339"/>
      <c r="Y130" s="339"/>
    </row>
    <row r="131" spans="1:25" ht="24" customHeight="1">
      <c r="A131" s="336"/>
      <c r="B131" s="336"/>
      <c r="C131" s="336"/>
      <c r="D131" s="336"/>
      <c r="E131" s="336"/>
      <c r="F131" s="336"/>
      <c r="G131" s="336"/>
      <c r="H131" s="336"/>
      <c r="I131" s="590"/>
      <c r="J131" s="338"/>
      <c r="K131" s="590"/>
      <c r="L131" s="339"/>
      <c r="M131" s="339"/>
      <c r="N131" s="339"/>
      <c r="O131" s="339"/>
      <c r="P131" s="339"/>
      <c r="Q131" s="339"/>
      <c r="R131" s="339"/>
      <c r="S131" s="339"/>
      <c r="T131" s="339"/>
      <c r="U131" s="339"/>
      <c r="V131" s="339"/>
      <c r="W131" s="339"/>
      <c r="X131" s="339"/>
      <c r="Y131" s="339"/>
    </row>
    <row r="132" spans="1:25" ht="24" customHeight="1">
      <c r="A132" s="336"/>
      <c r="B132" s="336"/>
      <c r="C132" s="336"/>
      <c r="D132" s="336"/>
      <c r="E132" s="336"/>
      <c r="F132" s="336"/>
      <c r="G132" s="336"/>
      <c r="H132" s="336"/>
      <c r="I132" s="590"/>
      <c r="J132" s="338"/>
      <c r="K132" s="590"/>
      <c r="L132" s="339"/>
      <c r="M132" s="339"/>
      <c r="N132" s="339"/>
      <c r="O132" s="339"/>
      <c r="P132" s="339"/>
      <c r="Q132" s="339"/>
      <c r="R132" s="339"/>
      <c r="S132" s="339"/>
      <c r="T132" s="339"/>
      <c r="U132" s="339"/>
      <c r="V132" s="339"/>
      <c r="W132" s="339"/>
      <c r="X132" s="339"/>
      <c r="Y132" s="339"/>
    </row>
    <row r="133" spans="1:25" ht="24" customHeight="1">
      <c r="A133" s="336"/>
      <c r="B133" s="336"/>
      <c r="C133" s="336"/>
      <c r="D133" s="336"/>
      <c r="E133" s="336"/>
      <c r="F133" s="336"/>
      <c r="G133" s="336"/>
      <c r="H133" s="336"/>
      <c r="I133" s="590"/>
      <c r="J133" s="338"/>
      <c r="K133" s="590"/>
      <c r="L133" s="339"/>
      <c r="M133" s="339"/>
      <c r="N133" s="339"/>
      <c r="O133" s="339"/>
      <c r="P133" s="339"/>
      <c r="Q133" s="339"/>
      <c r="R133" s="339"/>
      <c r="S133" s="339"/>
      <c r="T133" s="339"/>
      <c r="U133" s="339"/>
      <c r="V133" s="339"/>
      <c r="W133" s="339"/>
      <c r="X133" s="339"/>
      <c r="Y133" s="339"/>
    </row>
    <row r="134" spans="1:25" ht="24" customHeight="1">
      <c r="A134" s="336"/>
      <c r="B134" s="336"/>
      <c r="C134" s="336"/>
      <c r="D134" s="336"/>
      <c r="E134" s="336"/>
      <c r="F134" s="336"/>
      <c r="G134" s="336"/>
      <c r="H134" s="336"/>
      <c r="I134" s="590"/>
      <c r="J134" s="338"/>
      <c r="K134" s="590"/>
      <c r="L134" s="339"/>
      <c r="M134" s="339"/>
      <c r="N134" s="339"/>
      <c r="O134" s="339"/>
      <c r="P134" s="339"/>
      <c r="Q134" s="339"/>
      <c r="R134" s="339"/>
      <c r="S134" s="339"/>
      <c r="T134" s="339"/>
      <c r="U134" s="339"/>
      <c r="V134" s="339"/>
      <c r="W134" s="339"/>
      <c r="X134" s="339"/>
      <c r="Y134" s="339"/>
    </row>
    <row r="135" spans="1:25" ht="24" customHeight="1">
      <c r="A135" s="336"/>
      <c r="B135" s="336"/>
      <c r="C135" s="336"/>
      <c r="D135" s="336"/>
      <c r="E135" s="336"/>
      <c r="F135" s="336"/>
      <c r="G135" s="336"/>
      <c r="H135" s="336"/>
      <c r="I135" s="590"/>
      <c r="J135" s="338"/>
      <c r="K135" s="590"/>
      <c r="L135" s="339"/>
      <c r="M135" s="339"/>
      <c r="N135" s="339"/>
      <c r="O135" s="339"/>
      <c r="P135" s="339"/>
      <c r="Q135" s="339"/>
      <c r="R135" s="339"/>
      <c r="S135" s="339"/>
      <c r="T135" s="339"/>
      <c r="U135" s="339"/>
      <c r="V135" s="339"/>
      <c r="W135" s="339"/>
      <c r="X135" s="339"/>
      <c r="Y135" s="339"/>
    </row>
    <row r="136" spans="1:25" ht="24" customHeight="1">
      <c r="A136" s="336"/>
      <c r="B136" s="336"/>
      <c r="C136" s="336"/>
      <c r="D136" s="336"/>
      <c r="E136" s="336"/>
      <c r="F136" s="336"/>
      <c r="G136" s="336"/>
      <c r="H136" s="336"/>
      <c r="I136" s="590"/>
      <c r="J136" s="338"/>
      <c r="K136" s="590"/>
      <c r="L136" s="339"/>
      <c r="M136" s="339"/>
      <c r="N136" s="339"/>
      <c r="O136" s="339"/>
      <c r="P136" s="339"/>
      <c r="Q136" s="339"/>
      <c r="R136" s="339"/>
      <c r="S136" s="339"/>
      <c r="T136" s="339"/>
      <c r="U136" s="339"/>
      <c r="V136" s="339"/>
      <c r="W136" s="339"/>
      <c r="X136" s="339"/>
      <c r="Y136" s="339"/>
    </row>
    <row r="137" spans="1:25" ht="24" customHeight="1">
      <c r="A137" s="336"/>
      <c r="B137" s="336"/>
      <c r="C137" s="336"/>
      <c r="D137" s="336"/>
      <c r="E137" s="336"/>
      <c r="F137" s="336"/>
      <c r="G137" s="336"/>
      <c r="H137" s="336"/>
      <c r="I137" s="590"/>
      <c r="J137" s="338"/>
      <c r="K137" s="590"/>
      <c r="L137" s="339"/>
      <c r="M137" s="339"/>
      <c r="N137" s="339"/>
      <c r="O137" s="339"/>
      <c r="P137" s="339"/>
      <c r="Q137" s="339"/>
      <c r="R137" s="339"/>
      <c r="S137" s="339"/>
      <c r="T137" s="339"/>
      <c r="U137" s="339"/>
      <c r="V137" s="339"/>
      <c r="W137" s="339"/>
      <c r="X137" s="339"/>
      <c r="Y137" s="339"/>
    </row>
    <row r="138" spans="1:25" ht="24" customHeight="1">
      <c r="A138" s="336"/>
      <c r="B138" s="336"/>
      <c r="C138" s="336"/>
      <c r="D138" s="336"/>
      <c r="E138" s="336"/>
      <c r="F138" s="336"/>
      <c r="G138" s="336"/>
      <c r="H138" s="336"/>
      <c r="I138" s="590"/>
      <c r="J138" s="338"/>
      <c r="K138" s="590"/>
      <c r="L138" s="339"/>
      <c r="M138" s="339"/>
      <c r="N138" s="339"/>
      <c r="O138" s="339"/>
      <c r="P138" s="339"/>
      <c r="Q138" s="339"/>
      <c r="R138" s="339"/>
      <c r="S138" s="339"/>
      <c r="T138" s="339"/>
      <c r="U138" s="339"/>
      <c r="V138" s="339"/>
      <c r="W138" s="339"/>
      <c r="X138" s="339"/>
      <c r="Y138" s="339"/>
    </row>
    <row r="139" spans="1:25" ht="24" customHeight="1">
      <c r="A139" s="336"/>
      <c r="B139" s="336"/>
      <c r="C139" s="336"/>
      <c r="D139" s="336"/>
      <c r="E139" s="336"/>
      <c r="F139" s="336"/>
      <c r="G139" s="336"/>
      <c r="H139" s="336"/>
      <c r="I139" s="590"/>
      <c r="J139" s="338"/>
      <c r="K139" s="590"/>
      <c r="L139" s="339"/>
      <c r="M139" s="339"/>
      <c r="N139" s="339"/>
      <c r="O139" s="339"/>
      <c r="P139" s="339"/>
      <c r="Q139" s="339"/>
      <c r="R139" s="339"/>
      <c r="S139" s="339"/>
      <c r="T139" s="339"/>
      <c r="U139" s="339"/>
      <c r="V139" s="339"/>
      <c r="W139" s="339"/>
      <c r="X139" s="339"/>
      <c r="Y139" s="339"/>
    </row>
    <row r="140" spans="1:25" ht="24" customHeight="1">
      <c r="A140" s="336"/>
      <c r="B140" s="336"/>
      <c r="C140" s="336"/>
      <c r="D140" s="336"/>
      <c r="E140" s="336"/>
      <c r="F140" s="336"/>
      <c r="G140" s="336"/>
      <c r="H140" s="336"/>
      <c r="I140" s="590"/>
      <c r="J140" s="338"/>
      <c r="K140" s="590"/>
      <c r="L140" s="339"/>
      <c r="M140" s="339"/>
      <c r="N140" s="339"/>
      <c r="O140" s="339"/>
      <c r="P140" s="339"/>
      <c r="Q140" s="339"/>
      <c r="R140" s="339"/>
      <c r="S140" s="339"/>
      <c r="T140" s="339"/>
      <c r="U140" s="339"/>
      <c r="V140" s="339"/>
      <c r="W140" s="339"/>
      <c r="X140" s="339"/>
      <c r="Y140" s="339"/>
    </row>
    <row r="141" spans="1:25" ht="24" customHeight="1">
      <c r="A141" s="336"/>
      <c r="B141" s="336"/>
      <c r="C141" s="336"/>
      <c r="D141" s="336"/>
      <c r="E141" s="336"/>
      <c r="F141" s="336"/>
      <c r="G141" s="336"/>
      <c r="H141" s="336"/>
      <c r="I141" s="590"/>
      <c r="J141" s="338"/>
      <c r="K141" s="590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39"/>
      <c r="W141" s="339"/>
      <c r="X141" s="339"/>
      <c r="Y141" s="339"/>
    </row>
    <row r="142" spans="1:25" ht="24" customHeight="1">
      <c r="A142" s="336"/>
      <c r="B142" s="336"/>
      <c r="C142" s="336"/>
      <c r="D142" s="336"/>
      <c r="E142" s="336"/>
      <c r="F142" s="336"/>
      <c r="G142" s="336"/>
      <c r="H142" s="336"/>
      <c r="I142" s="590"/>
      <c r="J142" s="338"/>
      <c r="K142" s="590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39"/>
      <c r="W142" s="339"/>
      <c r="X142" s="339"/>
      <c r="Y142" s="339"/>
    </row>
    <row r="143" spans="1:25" ht="24" customHeight="1">
      <c r="A143" s="336"/>
      <c r="B143" s="336"/>
      <c r="C143" s="336"/>
      <c r="D143" s="336"/>
      <c r="E143" s="336"/>
      <c r="F143" s="336"/>
      <c r="G143" s="336"/>
      <c r="H143" s="336"/>
      <c r="I143" s="590"/>
      <c r="J143" s="338"/>
      <c r="K143" s="590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39"/>
      <c r="W143" s="339"/>
      <c r="X143" s="339"/>
      <c r="Y143" s="339"/>
    </row>
    <row r="144" spans="1:25" ht="24" customHeight="1">
      <c r="A144" s="336"/>
      <c r="B144" s="336"/>
      <c r="C144" s="336"/>
      <c r="D144" s="336"/>
      <c r="E144" s="336"/>
      <c r="F144" s="336"/>
      <c r="G144" s="336"/>
      <c r="H144" s="336"/>
      <c r="I144" s="590"/>
      <c r="J144" s="338"/>
      <c r="K144" s="590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39"/>
      <c r="W144" s="339"/>
      <c r="X144" s="339"/>
      <c r="Y144" s="339"/>
    </row>
    <row r="145" spans="1:25" ht="24" customHeight="1">
      <c r="A145" s="336"/>
      <c r="B145" s="336"/>
      <c r="C145" s="336"/>
      <c r="D145" s="336"/>
      <c r="E145" s="336"/>
      <c r="F145" s="336"/>
      <c r="G145" s="336"/>
      <c r="H145" s="336"/>
      <c r="I145" s="590"/>
      <c r="J145" s="338"/>
      <c r="K145" s="590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339"/>
      <c r="W145" s="339"/>
      <c r="X145" s="339"/>
      <c r="Y145" s="339"/>
    </row>
    <row r="146" spans="1:25" ht="24" customHeight="1">
      <c r="A146" s="336"/>
      <c r="B146" s="336"/>
      <c r="C146" s="336"/>
      <c r="D146" s="336"/>
      <c r="E146" s="336"/>
      <c r="F146" s="336"/>
      <c r="G146" s="336"/>
      <c r="H146" s="336"/>
      <c r="I146" s="590"/>
      <c r="J146" s="338"/>
      <c r="K146" s="590"/>
      <c r="L146" s="339"/>
      <c r="M146" s="339"/>
      <c r="N146" s="339"/>
      <c r="O146" s="339"/>
      <c r="P146" s="339"/>
      <c r="Q146" s="339"/>
      <c r="R146" s="339"/>
      <c r="S146" s="339"/>
      <c r="T146" s="339"/>
      <c r="U146" s="339"/>
      <c r="V146" s="339"/>
      <c r="W146" s="339"/>
      <c r="X146" s="339"/>
      <c r="Y146" s="339"/>
    </row>
    <row r="147" spans="1:25" ht="24" customHeight="1">
      <c r="A147" s="336"/>
      <c r="B147" s="336"/>
      <c r="C147" s="336"/>
      <c r="D147" s="336"/>
      <c r="E147" s="336"/>
      <c r="F147" s="336"/>
      <c r="G147" s="336"/>
      <c r="H147" s="336"/>
      <c r="I147" s="590"/>
      <c r="J147" s="338"/>
      <c r="K147" s="590"/>
      <c r="L147" s="339"/>
      <c r="M147" s="339"/>
      <c r="N147" s="339"/>
      <c r="O147" s="339"/>
      <c r="P147" s="339"/>
      <c r="Q147" s="339"/>
      <c r="R147" s="339"/>
      <c r="S147" s="339"/>
      <c r="T147" s="339"/>
      <c r="U147" s="339"/>
      <c r="V147" s="339"/>
      <c r="W147" s="339"/>
      <c r="X147" s="339"/>
      <c r="Y147" s="339"/>
    </row>
    <row r="148" spans="1:25" ht="24" customHeight="1">
      <c r="A148" s="336"/>
      <c r="B148" s="336"/>
      <c r="C148" s="336"/>
      <c r="D148" s="336"/>
      <c r="E148" s="336"/>
      <c r="F148" s="336"/>
      <c r="G148" s="336"/>
      <c r="H148" s="336"/>
      <c r="I148" s="590"/>
      <c r="J148" s="338"/>
      <c r="K148" s="590"/>
      <c r="L148" s="339"/>
      <c r="M148" s="339"/>
      <c r="N148" s="339"/>
      <c r="O148" s="339"/>
      <c r="P148" s="339"/>
      <c r="Q148" s="339"/>
      <c r="R148" s="339"/>
      <c r="S148" s="339"/>
      <c r="T148" s="339"/>
      <c r="U148" s="339"/>
      <c r="V148" s="339"/>
      <c r="W148" s="339"/>
      <c r="X148" s="339"/>
      <c r="Y148" s="339"/>
    </row>
    <row r="149" spans="1:25" ht="24" customHeight="1">
      <c r="A149" s="336"/>
      <c r="B149" s="336"/>
      <c r="C149" s="336"/>
      <c r="D149" s="336"/>
      <c r="E149" s="336"/>
      <c r="F149" s="336"/>
      <c r="G149" s="336"/>
      <c r="H149" s="336"/>
      <c r="I149" s="590"/>
      <c r="J149" s="338"/>
      <c r="K149" s="590"/>
      <c r="L149" s="339"/>
      <c r="M149" s="339"/>
      <c r="N149" s="339"/>
      <c r="O149" s="339"/>
      <c r="P149" s="339"/>
      <c r="Q149" s="339"/>
      <c r="R149" s="339"/>
      <c r="S149" s="339"/>
      <c r="T149" s="339"/>
      <c r="U149" s="339"/>
      <c r="V149" s="339"/>
      <c r="W149" s="339"/>
      <c r="X149" s="339"/>
      <c r="Y149" s="339"/>
    </row>
    <row r="150" spans="1:25" ht="24" customHeight="1">
      <c r="A150" s="336"/>
      <c r="B150" s="336"/>
      <c r="C150" s="336"/>
      <c r="D150" s="336"/>
      <c r="E150" s="336"/>
      <c r="F150" s="336"/>
      <c r="G150" s="336"/>
      <c r="H150" s="336"/>
      <c r="I150" s="590"/>
      <c r="J150" s="338"/>
      <c r="K150" s="590"/>
      <c r="L150" s="339"/>
      <c r="M150" s="339"/>
      <c r="N150" s="339"/>
      <c r="O150" s="339"/>
      <c r="P150" s="339"/>
      <c r="Q150" s="339"/>
      <c r="R150" s="339"/>
      <c r="S150" s="339"/>
      <c r="T150" s="339"/>
      <c r="U150" s="339"/>
      <c r="V150" s="339"/>
      <c r="W150" s="339"/>
      <c r="X150" s="339"/>
      <c r="Y150" s="339"/>
    </row>
    <row r="151" spans="1:25" ht="24" customHeight="1">
      <c r="A151" s="336"/>
      <c r="B151" s="336"/>
      <c r="C151" s="336"/>
      <c r="D151" s="336"/>
      <c r="E151" s="336"/>
      <c r="F151" s="336"/>
      <c r="G151" s="336"/>
      <c r="H151" s="336"/>
      <c r="I151" s="590"/>
      <c r="J151" s="338"/>
      <c r="K151" s="590"/>
      <c r="L151" s="339"/>
      <c r="M151" s="339"/>
      <c r="N151" s="339"/>
      <c r="O151" s="339"/>
      <c r="P151" s="339"/>
      <c r="Q151" s="339"/>
      <c r="R151" s="339"/>
      <c r="S151" s="339"/>
      <c r="T151" s="339"/>
      <c r="U151" s="339"/>
      <c r="V151" s="339"/>
      <c r="W151" s="339"/>
      <c r="X151" s="339"/>
      <c r="Y151" s="339"/>
    </row>
    <row r="152" spans="1:25" ht="24" customHeight="1">
      <c r="A152" s="336"/>
      <c r="B152" s="336"/>
      <c r="C152" s="336"/>
      <c r="D152" s="336"/>
      <c r="E152" s="336"/>
      <c r="F152" s="336"/>
      <c r="G152" s="336"/>
      <c r="H152" s="336"/>
      <c r="I152" s="590"/>
      <c r="J152" s="338"/>
      <c r="K152" s="590"/>
      <c r="L152" s="339"/>
      <c r="M152" s="339"/>
      <c r="N152" s="339"/>
      <c r="O152" s="339"/>
      <c r="P152" s="339"/>
      <c r="Q152" s="339"/>
      <c r="R152" s="339"/>
      <c r="S152" s="339"/>
      <c r="T152" s="339"/>
      <c r="U152" s="339"/>
      <c r="V152" s="339"/>
      <c r="W152" s="339"/>
      <c r="X152" s="339"/>
      <c r="Y152" s="339"/>
    </row>
    <row r="153" spans="1:25" ht="24" customHeight="1">
      <c r="A153" s="336"/>
      <c r="B153" s="336"/>
      <c r="C153" s="336"/>
      <c r="D153" s="336"/>
      <c r="E153" s="336"/>
      <c r="F153" s="336"/>
      <c r="G153" s="336"/>
      <c r="H153" s="336"/>
      <c r="I153" s="590"/>
      <c r="J153" s="338"/>
      <c r="K153" s="590"/>
      <c r="L153" s="339"/>
      <c r="M153" s="339"/>
      <c r="N153" s="339"/>
      <c r="O153" s="339"/>
      <c r="P153" s="339"/>
      <c r="Q153" s="339"/>
      <c r="R153" s="339"/>
      <c r="S153" s="339"/>
      <c r="T153" s="339"/>
      <c r="U153" s="339"/>
      <c r="V153" s="339"/>
      <c r="W153" s="339"/>
      <c r="X153" s="339"/>
      <c r="Y153" s="339"/>
    </row>
    <row r="154" spans="1:25" ht="24" customHeight="1">
      <c r="A154" s="336"/>
      <c r="B154" s="336"/>
      <c r="C154" s="336"/>
      <c r="D154" s="336"/>
      <c r="E154" s="336"/>
      <c r="F154" s="336"/>
      <c r="G154" s="336"/>
      <c r="H154" s="336"/>
      <c r="I154" s="590"/>
      <c r="J154" s="338"/>
      <c r="K154" s="590"/>
      <c r="L154" s="339"/>
      <c r="M154" s="339"/>
      <c r="N154" s="339"/>
      <c r="O154" s="339"/>
      <c r="P154" s="339"/>
      <c r="Q154" s="339"/>
      <c r="R154" s="339"/>
      <c r="S154" s="339"/>
      <c r="T154" s="339"/>
      <c r="U154" s="339"/>
      <c r="V154" s="339"/>
      <c r="W154" s="339"/>
      <c r="X154" s="339"/>
      <c r="Y154" s="339"/>
    </row>
    <row r="155" spans="1:25" ht="24" customHeight="1">
      <c r="A155" s="336"/>
      <c r="B155" s="336"/>
      <c r="C155" s="336"/>
      <c r="D155" s="336"/>
      <c r="E155" s="336"/>
      <c r="F155" s="336"/>
      <c r="G155" s="336"/>
      <c r="H155" s="336"/>
      <c r="I155" s="590"/>
      <c r="J155" s="338"/>
      <c r="K155" s="590"/>
      <c r="L155" s="339"/>
      <c r="M155" s="339"/>
      <c r="N155" s="339"/>
      <c r="O155" s="339"/>
      <c r="P155" s="339"/>
      <c r="Q155" s="339"/>
      <c r="R155" s="339"/>
      <c r="S155" s="339"/>
      <c r="T155" s="339"/>
      <c r="U155" s="339"/>
      <c r="V155" s="339"/>
      <c r="W155" s="339"/>
      <c r="X155" s="339"/>
      <c r="Y155" s="339"/>
    </row>
    <row r="156" spans="1:25" ht="24" customHeight="1">
      <c r="A156" s="336"/>
      <c r="B156" s="336"/>
      <c r="C156" s="336"/>
      <c r="D156" s="336"/>
      <c r="E156" s="336"/>
      <c r="F156" s="336"/>
      <c r="G156" s="336"/>
      <c r="H156" s="336"/>
      <c r="I156" s="590"/>
      <c r="J156" s="338"/>
      <c r="K156" s="590"/>
      <c r="L156" s="339"/>
      <c r="M156" s="339"/>
      <c r="N156" s="339"/>
      <c r="O156" s="339"/>
      <c r="P156" s="339"/>
      <c r="Q156" s="339"/>
      <c r="R156" s="339"/>
      <c r="S156" s="339"/>
      <c r="T156" s="339"/>
      <c r="U156" s="339"/>
      <c r="V156" s="339"/>
      <c r="W156" s="339"/>
      <c r="X156" s="339"/>
      <c r="Y156" s="339"/>
    </row>
    <row r="157" spans="1:25" ht="24" customHeight="1">
      <c r="A157" s="336"/>
      <c r="B157" s="336"/>
      <c r="C157" s="336"/>
      <c r="D157" s="336"/>
      <c r="E157" s="336"/>
      <c r="F157" s="336"/>
      <c r="G157" s="336"/>
      <c r="H157" s="336"/>
      <c r="I157" s="590"/>
      <c r="J157" s="338"/>
      <c r="K157" s="590"/>
      <c r="L157" s="339"/>
      <c r="M157" s="339"/>
      <c r="N157" s="339"/>
      <c r="O157" s="339"/>
      <c r="P157" s="339"/>
      <c r="Q157" s="339"/>
      <c r="R157" s="339"/>
      <c r="S157" s="339"/>
      <c r="T157" s="339"/>
      <c r="U157" s="339"/>
      <c r="V157" s="339"/>
      <c r="W157" s="339"/>
      <c r="X157" s="339"/>
      <c r="Y157" s="339"/>
    </row>
    <row r="158" spans="1:25" ht="24" customHeight="1">
      <c r="A158" s="336"/>
      <c r="B158" s="336"/>
      <c r="C158" s="336"/>
      <c r="D158" s="336"/>
      <c r="E158" s="336"/>
      <c r="F158" s="336"/>
      <c r="G158" s="336"/>
      <c r="H158" s="336"/>
      <c r="I158" s="590"/>
      <c r="J158" s="338"/>
      <c r="K158" s="590"/>
      <c r="L158" s="339"/>
      <c r="M158" s="339"/>
      <c r="N158" s="339"/>
      <c r="O158" s="339"/>
      <c r="P158" s="339"/>
      <c r="Q158" s="339"/>
      <c r="R158" s="339"/>
      <c r="S158" s="339"/>
      <c r="T158" s="339"/>
      <c r="U158" s="339"/>
      <c r="V158" s="339"/>
      <c r="W158" s="339"/>
      <c r="X158" s="339"/>
      <c r="Y158" s="339"/>
    </row>
    <row r="159" spans="1:25" ht="24" customHeight="1">
      <c r="A159" s="336"/>
      <c r="B159" s="336"/>
      <c r="C159" s="336"/>
      <c r="D159" s="336"/>
      <c r="E159" s="336"/>
      <c r="F159" s="336"/>
      <c r="G159" s="336"/>
      <c r="H159" s="336"/>
      <c r="I159" s="590"/>
      <c r="J159" s="338"/>
      <c r="K159" s="590"/>
      <c r="L159" s="339"/>
      <c r="M159" s="339"/>
      <c r="N159" s="339"/>
      <c r="O159" s="339"/>
      <c r="P159" s="339"/>
      <c r="Q159" s="339"/>
      <c r="R159" s="339"/>
      <c r="S159" s="339"/>
      <c r="T159" s="339"/>
      <c r="U159" s="339"/>
      <c r="V159" s="339"/>
      <c r="W159" s="339"/>
      <c r="X159" s="339"/>
      <c r="Y159" s="339"/>
    </row>
    <row r="160" spans="1:25" ht="24" customHeight="1">
      <c r="A160" s="336"/>
      <c r="B160" s="336"/>
      <c r="C160" s="336"/>
      <c r="D160" s="336"/>
      <c r="E160" s="336"/>
      <c r="F160" s="336"/>
      <c r="G160" s="336"/>
      <c r="H160" s="336"/>
      <c r="I160" s="590"/>
      <c r="J160" s="338"/>
      <c r="K160" s="590"/>
      <c r="L160" s="339"/>
      <c r="M160" s="339"/>
      <c r="N160" s="339"/>
      <c r="O160" s="339"/>
      <c r="P160" s="339"/>
      <c r="Q160" s="339"/>
      <c r="R160" s="339"/>
      <c r="S160" s="339"/>
      <c r="T160" s="339"/>
      <c r="U160" s="339"/>
      <c r="V160" s="339"/>
      <c r="W160" s="339"/>
      <c r="X160" s="339"/>
      <c r="Y160" s="339"/>
    </row>
    <row r="161" spans="1:25" ht="24" customHeight="1">
      <c r="A161" s="336"/>
      <c r="B161" s="336"/>
      <c r="C161" s="336"/>
      <c r="D161" s="336"/>
      <c r="E161" s="336"/>
      <c r="F161" s="336"/>
      <c r="G161" s="336"/>
      <c r="H161" s="336"/>
      <c r="I161" s="590"/>
      <c r="J161" s="338"/>
      <c r="K161" s="590"/>
      <c r="L161" s="339"/>
      <c r="M161" s="339"/>
      <c r="N161" s="339"/>
      <c r="O161" s="339"/>
      <c r="P161" s="339"/>
      <c r="Q161" s="339"/>
      <c r="R161" s="339"/>
      <c r="S161" s="339"/>
      <c r="T161" s="339"/>
      <c r="U161" s="339"/>
      <c r="V161" s="339"/>
      <c r="W161" s="339"/>
      <c r="X161" s="339"/>
      <c r="Y161" s="339"/>
    </row>
    <row r="162" spans="1:25" ht="24" customHeight="1">
      <c r="A162" s="336"/>
      <c r="B162" s="336"/>
      <c r="C162" s="336"/>
      <c r="D162" s="336"/>
      <c r="E162" s="336"/>
      <c r="F162" s="336"/>
      <c r="G162" s="336"/>
      <c r="H162" s="336"/>
      <c r="I162" s="590"/>
      <c r="J162" s="338"/>
      <c r="K162" s="590"/>
      <c r="L162" s="339"/>
      <c r="M162" s="339"/>
      <c r="N162" s="339"/>
      <c r="O162" s="339"/>
      <c r="P162" s="339"/>
      <c r="Q162" s="339"/>
      <c r="R162" s="339"/>
      <c r="S162" s="339"/>
      <c r="T162" s="339"/>
      <c r="U162" s="339"/>
      <c r="V162" s="339"/>
      <c r="W162" s="339"/>
      <c r="X162" s="339"/>
      <c r="Y162" s="339"/>
    </row>
    <row r="163" spans="1:25" ht="24" customHeight="1">
      <c r="A163" s="336"/>
      <c r="B163" s="336"/>
      <c r="C163" s="336"/>
      <c r="D163" s="336"/>
      <c r="E163" s="336"/>
      <c r="F163" s="336"/>
      <c r="G163" s="336"/>
      <c r="H163" s="336"/>
      <c r="I163" s="590"/>
      <c r="J163" s="338"/>
      <c r="K163" s="590"/>
      <c r="L163" s="339"/>
      <c r="M163" s="339"/>
      <c r="N163" s="339"/>
      <c r="O163" s="339"/>
      <c r="P163" s="339"/>
      <c r="Q163" s="339"/>
      <c r="R163" s="339"/>
      <c r="S163" s="339"/>
      <c r="T163" s="339"/>
      <c r="U163" s="339"/>
      <c r="V163" s="339"/>
      <c r="W163" s="339"/>
      <c r="X163" s="339"/>
      <c r="Y163" s="339"/>
    </row>
    <row r="164" spans="1:25" ht="24" customHeight="1">
      <c r="A164" s="336"/>
      <c r="B164" s="336"/>
      <c r="C164" s="336"/>
      <c r="D164" s="336"/>
      <c r="E164" s="336"/>
      <c r="F164" s="336"/>
      <c r="G164" s="336"/>
      <c r="H164" s="336"/>
      <c r="I164" s="590"/>
      <c r="J164" s="338"/>
      <c r="K164" s="590"/>
      <c r="L164" s="339"/>
      <c r="M164" s="339"/>
      <c r="N164" s="339"/>
      <c r="O164" s="339"/>
      <c r="P164" s="339"/>
      <c r="Q164" s="339"/>
      <c r="R164" s="339"/>
      <c r="S164" s="339"/>
      <c r="T164" s="339"/>
      <c r="U164" s="339"/>
      <c r="V164" s="339"/>
      <c r="W164" s="339"/>
      <c r="X164" s="339"/>
      <c r="Y164" s="339"/>
    </row>
    <row r="165" spans="1:25" ht="24" customHeight="1">
      <c r="A165" s="336"/>
      <c r="B165" s="336"/>
      <c r="C165" s="336"/>
      <c r="D165" s="336"/>
      <c r="E165" s="336"/>
      <c r="F165" s="336"/>
      <c r="G165" s="336"/>
      <c r="H165" s="336"/>
      <c r="I165" s="590"/>
      <c r="J165" s="338"/>
      <c r="K165" s="590"/>
      <c r="L165" s="339"/>
      <c r="M165" s="339"/>
      <c r="N165" s="339"/>
      <c r="O165" s="339"/>
      <c r="P165" s="339"/>
      <c r="Q165" s="339"/>
      <c r="R165" s="339"/>
      <c r="S165" s="339"/>
      <c r="T165" s="339"/>
      <c r="U165" s="339"/>
      <c r="V165" s="339"/>
      <c r="W165" s="339"/>
      <c r="X165" s="339"/>
      <c r="Y165" s="339"/>
    </row>
    <row r="166" spans="1:25" ht="24" customHeight="1">
      <c r="A166" s="336"/>
      <c r="B166" s="336"/>
      <c r="C166" s="336"/>
      <c r="D166" s="336"/>
      <c r="E166" s="336"/>
      <c r="F166" s="336"/>
      <c r="G166" s="336"/>
      <c r="H166" s="336"/>
      <c r="I166" s="590"/>
      <c r="J166" s="338"/>
      <c r="K166" s="590"/>
      <c r="L166" s="339"/>
      <c r="M166" s="339"/>
      <c r="N166" s="339"/>
      <c r="O166" s="339"/>
      <c r="P166" s="339"/>
      <c r="Q166" s="339"/>
      <c r="R166" s="339"/>
      <c r="S166" s="339"/>
      <c r="T166" s="339"/>
      <c r="U166" s="339"/>
      <c r="V166" s="339"/>
      <c r="W166" s="339"/>
      <c r="X166" s="339"/>
      <c r="Y166" s="339"/>
    </row>
    <row r="167" spans="1:25" ht="24" customHeight="1">
      <c r="A167" s="336"/>
      <c r="B167" s="336"/>
      <c r="C167" s="336"/>
      <c r="D167" s="336"/>
      <c r="E167" s="336"/>
      <c r="F167" s="336"/>
      <c r="G167" s="336"/>
      <c r="H167" s="336"/>
      <c r="I167" s="590"/>
      <c r="J167" s="338"/>
      <c r="K167" s="590"/>
      <c r="L167" s="339"/>
      <c r="M167" s="339"/>
      <c r="N167" s="339"/>
      <c r="O167" s="339"/>
      <c r="P167" s="339"/>
      <c r="Q167" s="339"/>
      <c r="R167" s="339"/>
      <c r="S167" s="339"/>
      <c r="T167" s="339"/>
      <c r="U167" s="339"/>
      <c r="V167" s="339"/>
      <c r="W167" s="339"/>
      <c r="X167" s="339"/>
      <c r="Y167" s="339"/>
    </row>
    <row r="168" spans="1:25" ht="24" customHeight="1">
      <c r="A168" s="336"/>
      <c r="B168" s="336"/>
      <c r="C168" s="336"/>
      <c r="D168" s="336"/>
      <c r="E168" s="336"/>
      <c r="F168" s="336"/>
      <c r="G168" s="336"/>
      <c r="H168" s="336"/>
      <c r="I168" s="590"/>
      <c r="J168" s="338"/>
      <c r="K168" s="590"/>
      <c r="L168" s="339"/>
      <c r="M168" s="339"/>
      <c r="N168" s="339"/>
      <c r="O168" s="339"/>
      <c r="P168" s="339"/>
      <c r="Q168" s="339"/>
      <c r="R168" s="339"/>
      <c r="S168" s="339"/>
      <c r="T168" s="339"/>
      <c r="U168" s="339"/>
      <c r="V168" s="339"/>
      <c r="W168" s="339"/>
      <c r="X168" s="339"/>
      <c r="Y168" s="339"/>
    </row>
    <row r="169" spans="1:25" ht="24" customHeight="1">
      <c r="A169" s="336"/>
      <c r="B169" s="336"/>
      <c r="C169" s="336"/>
      <c r="D169" s="336"/>
      <c r="E169" s="336"/>
      <c r="F169" s="336"/>
      <c r="G169" s="336"/>
      <c r="H169" s="336"/>
      <c r="I169" s="590"/>
      <c r="J169" s="338"/>
      <c r="K169" s="590"/>
      <c r="L169" s="339"/>
      <c r="M169" s="339"/>
      <c r="N169" s="339"/>
      <c r="O169" s="339"/>
      <c r="P169" s="339"/>
      <c r="Q169" s="339"/>
      <c r="R169" s="339"/>
      <c r="S169" s="339"/>
      <c r="T169" s="339"/>
      <c r="U169" s="339"/>
      <c r="V169" s="339"/>
      <c r="W169" s="339"/>
      <c r="X169" s="339"/>
      <c r="Y169" s="339"/>
    </row>
    <row r="170" spans="1:25" ht="24" customHeight="1">
      <c r="A170" s="336"/>
      <c r="B170" s="336"/>
      <c r="C170" s="336"/>
      <c r="D170" s="336"/>
      <c r="E170" s="336"/>
      <c r="F170" s="336"/>
      <c r="G170" s="336"/>
      <c r="H170" s="336"/>
      <c r="I170" s="590"/>
      <c r="J170" s="338"/>
      <c r="K170" s="590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39"/>
      <c r="W170" s="339"/>
      <c r="X170" s="339"/>
      <c r="Y170" s="339"/>
    </row>
    <row r="171" spans="1:25" ht="24" customHeight="1">
      <c r="A171" s="336"/>
      <c r="B171" s="336"/>
      <c r="C171" s="336"/>
      <c r="D171" s="336"/>
      <c r="E171" s="336"/>
      <c r="F171" s="336"/>
      <c r="G171" s="336"/>
      <c r="H171" s="336"/>
      <c r="I171" s="590"/>
      <c r="J171" s="338"/>
      <c r="K171" s="590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39"/>
      <c r="W171" s="339"/>
      <c r="X171" s="339"/>
      <c r="Y171" s="339"/>
    </row>
    <row r="172" spans="1:25" ht="24" customHeight="1">
      <c r="A172" s="336"/>
      <c r="B172" s="336"/>
      <c r="C172" s="336"/>
      <c r="D172" s="336"/>
      <c r="E172" s="336"/>
      <c r="F172" s="336"/>
      <c r="G172" s="336"/>
      <c r="H172" s="336"/>
      <c r="I172" s="590"/>
      <c r="J172" s="338"/>
      <c r="K172" s="590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39"/>
      <c r="W172" s="339"/>
      <c r="X172" s="339"/>
      <c r="Y172" s="339"/>
    </row>
    <row r="173" spans="1:25" ht="24" customHeight="1">
      <c r="A173" s="336"/>
      <c r="B173" s="336"/>
      <c r="C173" s="336"/>
      <c r="D173" s="336"/>
      <c r="E173" s="336"/>
      <c r="F173" s="336"/>
      <c r="G173" s="336"/>
      <c r="H173" s="336"/>
      <c r="I173" s="590"/>
      <c r="J173" s="338"/>
      <c r="K173" s="590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39"/>
      <c r="W173" s="339"/>
      <c r="X173" s="339"/>
      <c r="Y173" s="339"/>
    </row>
    <row r="174" spans="1:25" ht="24" customHeight="1">
      <c r="A174" s="336"/>
      <c r="B174" s="336"/>
      <c r="C174" s="336"/>
      <c r="D174" s="336"/>
      <c r="E174" s="336"/>
      <c r="F174" s="336"/>
      <c r="G174" s="336"/>
      <c r="H174" s="336"/>
      <c r="I174" s="590"/>
      <c r="J174" s="338"/>
      <c r="K174" s="590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339"/>
      <c r="W174" s="339"/>
      <c r="X174" s="339"/>
      <c r="Y174" s="339"/>
    </row>
    <row r="175" spans="1:25" ht="24" customHeight="1">
      <c r="A175" s="336"/>
      <c r="B175" s="336"/>
      <c r="C175" s="336"/>
      <c r="D175" s="336"/>
      <c r="E175" s="336"/>
      <c r="F175" s="336"/>
      <c r="G175" s="336"/>
      <c r="H175" s="336"/>
      <c r="I175" s="590"/>
      <c r="J175" s="338"/>
      <c r="K175" s="590"/>
      <c r="L175" s="339"/>
      <c r="M175" s="339"/>
      <c r="N175" s="339"/>
      <c r="O175" s="339"/>
      <c r="P175" s="339"/>
      <c r="Q175" s="339"/>
      <c r="R175" s="339"/>
      <c r="S175" s="339"/>
      <c r="T175" s="339"/>
      <c r="U175" s="339"/>
      <c r="V175" s="339"/>
      <c r="W175" s="339"/>
      <c r="X175" s="339"/>
      <c r="Y175" s="339"/>
    </row>
    <row r="176" spans="1:25" ht="24" customHeight="1">
      <c r="A176" s="336"/>
      <c r="B176" s="336"/>
      <c r="C176" s="336"/>
      <c r="D176" s="336"/>
      <c r="E176" s="336"/>
      <c r="F176" s="336"/>
      <c r="G176" s="336"/>
      <c r="H176" s="336"/>
      <c r="I176" s="590"/>
      <c r="J176" s="338"/>
      <c r="K176" s="590"/>
      <c r="L176" s="339"/>
      <c r="M176" s="339"/>
      <c r="N176" s="339"/>
      <c r="O176" s="339"/>
      <c r="P176" s="339"/>
      <c r="Q176" s="339"/>
      <c r="R176" s="339"/>
      <c r="S176" s="339"/>
      <c r="T176" s="339"/>
      <c r="U176" s="339"/>
      <c r="V176" s="339"/>
      <c r="W176" s="339"/>
      <c r="X176" s="339"/>
      <c r="Y176" s="339"/>
    </row>
    <row r="177" spans="1:25" ht="24" customHeight="1">
      <c r="A177" s="336"/>
      <c r="B177" s="336"/>
      <c r="C177" s="336"/>
      <c r="D177" s="336"/>
      <c r="E177" s="336"/>
      <c r="F177" s="336"/>
      <c r="G177" s="336"/>
      <c r="H177" s="336"/>
      <c r="I177" s="590"/>
      <c r="J177" s="338"/>
      <c r="K177" s="590"/>
      <c r="L177" s="339"/>
      <c r="M177" s="339"/>
      <c r="N177" s="339"/>
      <c r="O177" s="339"/>
      <c r="P177" s="339"/>
      <c r="Q177" s="339"/>
      <c r="R177" s="339"/>
      <c r="S177" s="339"/>
      <c r="T177" s="339"/>
      <c r="U177" s="339"/>
      <c r="V177" s="339"/>
      <c r="W177" s="339"/>
      <c r="X177" s="339"/>
      <c r="Y177" s="339"/>
    </row>
    <row r="178" spans="1:25" ht="24" customHeight="1">
      <c r="A178" s="336"/>
      <c r="B178" s="336"/>
      <c r="C178" s="336"/>
      <c r="D178" s="336"/>
      <c r="E178" s="336"/>
      <c r="F178" s="336"/>
      <c r="G178" s="336"/>
      <c r="H178" s="336"/>
      <c r="I178" s="590"/>
      <c r="J178" s="338"/>
      <c r="K178" s="590"/>
      <c r="L178" s="339"/>
      <c r="M178" s="339"/>
      <c r="N178" s="339"/>
      <c r="O178" s="339"/>
      <c r="P178" s="339"/>
      <c r="Q178" s="339"/>
      <c r="R178" s="339"/>
      <c r="S178" s="339"/>
      <c r="T178" s="339"/>
      <c r="U178" s="339"/>
      <c r="V178" s="339"/>
      <c r="W178" s="339"/>
      <c r="X178" s="339"/>
      <c r="Y178" s="339"/>
    </row>
    <row r="179" spans="1:25" ht="24" customHeight="1">
      <c r="A179" s="336"/>
      <c r="B179" s="336"/>
      <c r="C179" s="336"/>
      <c r="D179" s="336"/>
      <c r="E179" s="336"/>
      <c r="F179" s="336"/>
      <c r="G179" s="336"/>
      <c r="H179" s="336"/>
      <c r="I179" s="590"/>
      <c r="J179" s="338"/>
      <c r="K179" s="590"/>
      <c r="L179" s="339"/>
      <c r="M179" s="339"/>
      <c r="N179" s="339"/>
      <c r="O179" s="339"/>
      <c r="P179" s="339"/>
      <c r="Q179" s="339"/>
      <c r="R179" s="339"/>
      <c r="S179" s="339"/>
      <c r="T179" s="339"/>
      <c r="U179" s="339"/>
      <c r="V179" s="339"/>
      <c r="W179" s="339"/>
      <c r="X179" s="339"/>
      <c r="Y179" s="339"/>
    </row>
    <row r="180" spans="1:25" ht="24" customHeight="1">
      <c r="A180" s="336"/>
      <c r="B180" s="336"/>
      <c r="C180" s="336"/>
      <c r="D180" s="336"/>
      <c r="E180" s="336"/>
      <c r="F180" s="336"/>
      <c r="G180" s="336"/>
      <c r="H180" s="336"/>
      <c r="I180" s="590"/>
      <c r="J180" s="338"/>
      <c r="K180" s="590"/>
      <c r="L180" s="339"/>
      <c r="M180" s="339"/>
      <c r="N180" s="339"/>
      <c r="O180" s="339"/>
      <c r="P180" s="339"/>
      <c r="Q180" s="339"/>
      <c r="R180" s="339"/>
      <c r="S180" s="339"/>
      <c r="T180" s="339"/>
      <c r="U180" s="339"/>
      <c r="V180" s="339"/>
      <c r="W180" s="339"/>
      <c r="X180" s="339"/>
      <c r="Y180" s="339"/>
    </row>
    <row r="181" spans="1:25" ht="24" customHeight="1">
      <c r="A181" s="336"/>
      <c r="B181" s="336"/>
      <c r="C181" s="336"/>
      <c r="D181" s="336"/>
      <c r="E181" s="336"/>
      <c r="F181" s="336"/>
      <c r="G181" s="336"/>
      <c r="H181" s="336"/>
      <c r="I181" s="590"/>
      <c r="J181" s="338"/>
      <c r="K181" s="590"/>
      <c r="L181" s="339"/>
      <c r="M181" s="339"/>
      <c r="N181" s="339"/>
      <c r="O181" s="339"/>
      <c r="P181" s="339"/>
      <c r="Q181" s="339"/>
      <c r="R181" s="339"/>
      <c r="S181" s="339"/>
      <c r="T181" s="339"/>
      <c r="U181" s="339"/>
      <c r="V181" s="339"/>
      <c r="W181" s="339"/>
      <c r="X181" s="339"/>
      <c r="Y181" s="339"/>
    </row>
    <row r="182" spans="1:25" ht="24" customHeight="1">
      <c r="A182" s="336"/>
      <c r="B182" s="336"/>
      <c r="C182" s="336"/>
      <c r="D182" s="336"/>
      <c r="E182" s="336"/>
      <c r="F182" s="336"/>
      <c r="G182" s="336"/>
      <c r="H182" s="336"/>
      <c r="I182" s="590"/>
      <c r="J182" s="338"/>
      <c r="K182" s="590"/>
      <c r="L182" s="339"/>
      <c r="M182" s="339"/>
      <c r="N182" s="339"/>
      <c r="O182" s="339"/>
      <c r="P182" s="339"/>
      <c r="Q182" s="339"/>
      <c r="R182" s="339"/>
      <c r="S182" s="339"/>
      <c r="T182" s="339"/>
      <c r="U182" s="339"/>
      <c r="V182" s="339"/>
      <c r="W182" s="339"/>
      <c r="X182" s="339"/>
      <c r="Y182" s="339"/>
    </row>
    <row r="183" spans="1:25" ht="24" customHeight="1">
      <c r="A183" s="336"/>
      <c r="B183" s="336"/>
      <c r="C183" s="336"/>
      <c r="D183" s="336"/>
      <c r="E183" s="336"/>
      <c r="F183" s="336"/>
      <c r="G183" s="336"/>
      <c r="H183" s="336"/>
      <c r="I183" s="590"/>
      <c r="J183" s="338"/>
      <c r="K183" s="590"/>
      <c r="L183" s="339"/>
      <c r="M183" s="339"/>
      <c r="N183" s="339"/>
      <c r="O183" s="339"/>
      <c r="P183" s="339"/>
      <c r="Q183" s="339"/>
      <c r="R183" s="339"/>
      <c r="S183" s="339"/>
      <c r="T183" s="339"/>
      <c r="U183" s="339"/>
      <c r="V183" s="339"/>
      <c r="W183" s="339"/>
      <c r="X183" s="339"/>
      <c r="Y183" s="339"/>
    </row>
    <row r="184" spans="1:25" ht="24" customHeight="1">
      <c r="A184" s="336"/>
      <c r="B184" s="336"/>
      <c r="C184" s="336"/>
      <c r="D184" s="336"/>
      <c r="E184" s="336"/>
      <c r="F184" s="336"/>
      <c r="G184" s="336"/>
      <c r="H184" s="336"/>
      <c r="I184" s="590"/>
      <c r="J184" s="338"/>
      <c r="K184" s="590"/>
      <c r="L184" s="339"/>
      <c r="M184" s="339"/>
      <c r="N184" s="339"/>
      <c r="O184" s="339"/>
      <c r="P184" s="339"/>
      <c r="Q184" s="339"/>
      <c r="R184" s="339"/>
      <c r="S184" s="339"/>
      <c r="T184" s="339"/>
      <c r="U184" s="339"/>
      <c r="V184" s="339"/>
      <c r="W184" s="339"/>
      <c r="X184" s="339"/>
      <c r="Y184" s="339"/>
    </row>
    <row r="185" spans="1:25" ht="24" customHeight="1">
      <c r="A185" s="336"/>
      <c r="B185" s="336"/>
      <c r="C185" s="336"/>
      <c r="D185" s="336"/>
      <c r="E185" s="336"/>
      <c r="F185" s="336"/>
      <c r="G185" s="336"/>
      <c r="H185" s="336"/>
      <c r="I185" s="590"/>
      <c r="J185" s="338"/>
      <c r="K185" s="590"/>
      <c r="L185" s="339"/>
      <c r="M185" s="339"/>
      <c r="N185" s="339"/>
      <c r="O185" s="339"/>
      <c r="P185" s="339"/>
      <c r="Q185" s="339"/>
      <c r="R185" s="339"/>
      <c r="S185" s="339"/>
      <c r="T185" s="339"/>
      <c r="U185" s="339"/>
      <c r="V185" s="339"/>
      <c r="W185" s="339"/>
      <c r="X185" s="339"/>
      <c r="Y185" s="339"/>
    </row>
    <row r="186" spans="1:25" ht="24" customHeight="1">
      <c r="A186" s="336"/>
      <c r="B186" s="336"/>
      <c r="C186" s="336"/>
      <c r="D186" s="336"/>
      <c r="E186" s="336"/>
      <c r="F186" s="336"/>
      <c r="G186" s="336"/>
      <c r="H186" s="336"/>
      <c r="I186" s="590"/>
      <c r="J186" s="338"/>
      <c r="K186" s="590"/>
      <c r="L186" s="339"/>
      <c r="M186" s="339"/>
      <c r="N186" s="339"/>
      <c r="O186" s="339"/>
      <c r="P186" s="339"/>
      <c r="Q186" s="339"/>
      <c r="R186" s="339"/>
      <c r="S186" s="339"/>
      <c r="T186" s="339"/>
      <c r="U186" s="339"/>
      <c r="V186" s="339"/>
      <c r="W186" s="339"/>
      <c r="X186" s="339"/>
      <c r="Y186" s="339"/>
    </row>
    <row r="187" spans="1:25" ht="24" customHeight="1">
      <c r="A187" s="336"/>
      <c r="B187" s="336"/>
      <c r="C187" s="336"/>
      <c r="D187" s="336"/>
      <c r="E187" s="336"/>
      <c r="F187" s="336"/>
      <c r="G187" s="336"/>
      <c r="H187" s="336"/>
      <c r="I187" s="590"/>
      <c r="J187" s="338"/>
      <c r="K187" s="590"/>
      <c r="L187" s="339"/>
      <c r="M187" s="339"/>
      <c r="N187" s="339"/>
      <c r="O187" s="339"/>
      <c r="P187" s="339"/>
      <c r="Q187" s="339"/>
      <c r="R187" s="339"/>
      <c r="S187" s="339"/>
      <c r="T187" s="339"/>
      <c r="U187" s="339"/>
      <c r="V187" s="339"/>
      <c r="W187" s="339"/>
      <c r="X187" s="339"/>
      <c r="Y187" s="339"/>
    </row>
    <row r="188" spans="1:25" ht="24" customHeight="1">
      <c r="A188" s="336"/>
      <c r="B188" s="336"/>
      <c r="C188" s="336"/>
      <c r="D188" s="336"/>
      <c r="E188" s="336"/>
      <c r="F188" s="336"/>
      <c r="G188" s="336"/>
      <c r="H188" s="336"/>
      <c r="I188" s="590"/>
      <c r="J188" s="338"/>
      <c r="K188" s="590"/>
      <c r="L188" s="339"/>
      <c r="M188" s="339"/>
      <c r="N188" s="339"/>
      <c r="O188" s="339"/>
      <c r="P188" s="339"/>
      <c r="Q188" s="339"/>
      <c r="R188" s="339"/>
      <c r="S188" s="339"/>
      <c r="T188" s="339"/>
      <c r="U188" s="339"/>
      <c r="V188" s="339"/>
      <c r="W188" s="339"/>
      <c r="X188" s="339"/>
      <c r="Y188" s="339"/>
    </row>
    <row r="189" spans="1:25" ht="24" customHeight="1">
      <c r="A189" s="336"/>
      <c r="B189" s="336"/>
      <c r="C189" s="336"/>
      <c r="D189" s="336"/>
      <c r="E189" s="336"/>
      <c r="F189" s="336"/>
      <c r="G189" s="336"/>
      <c r="H189" s="336"/>
      <c r="I189" s="590"/>
      <c r="J189" s="338"/>
      <c r="K189" s="590"/>
      <c r="L189" s="339"/>
      <c r="M189" s="339"/>
      <c r="N189" s="339"/>
      <c r="O189" s="339"/>
      <c r="P189" s="339"/>
      <c r="Q189" s="339"/>
      <c r="R189" s="339"/>
      <c r="S189" s="339"/>
      <c r="T189" s="339"/>
      <c r="U189" s="339"/>
      <c r="V189" s="339"/>
      <c r="W189" s="339"/>
      <c r="X189" s="339"/>
      <c r="Y189" s="339"/>
    </row>
    <row r="190" spans="1:25" ht="24" customHeight="1">
      <c r="A190" s="336"/>
      <c r="B190" s="336"/>
      <c r="C190" s="336"/>
      <c r="D190" s="336"/>
      <c r="E190" s="336"/>
      <c r="F190" s="336"/>
      <c r="G190" s="336"/>
      <c r="H190" s="336"/>
      <c r="I190" s="590"/>
      <c r="J190" s="338"/>
      <c r="K190" s="590"/>
      <c r="L190" s="339"/>
      <c r="M190" s="339"/>
      <c r="N190" s="339"/>
      <c r="O190" s="339"/>
      <c r="P190" s="339"/>
      <c r="Q190" s="339"/>
      <c r="R190" s="339"/>
      <c r="S190" s="339"/>
      <c r="T190" s="339"/>
      <c r="U190" s="339"/>
      <c r="V190" s="339"/>
      <c r="W190" s="339"/>
      <c r="X190" s="339"/>
      <c r="Y190" s="339"/>
    </row>
    <row r="191" spans="1:25" ht="24" customHeight="1">
      <c r="A191" s="336"/>
      <c r="B191" s="336"/>
      <c r="C191" s="336"/>
      <c r="D191" s="336"/>
      <c r="E191" s="336"/>
      <c r="F191" s="336"/>
      <c r="G191" s="336"/>
      <c r="H191" s="336"/>
      <c r="I191" s="590"/>
      <c r="J191" s="338"/>
      <c r="K191" s="590"/>
      <c r="L191" s="339"/>
      <c r="M191" s="339"/>
      <c r="N191" s="339"/>
      <c r="O191" s="339"/>
      <c r="P191" s="339"/>
      <c r="Q191" s="339"/>
      <c r="R191" s="339"/>
      <c r="S191" s="339"/>
      <c r="T191" s="339"/>
      <c r="U191" s="339"/>
      <c r="V191" s="339"/>
      <c r="W191" s="339"/>
      <c r="X191" s="339"/>
      <c r="Y191" s="339"/>
    </row>
    <row r="192" spans="1:25" ht="24" customHeight="1">
      <c r="A192" s="336"/>
      <c r="B192" s="336"/>
      <c r="C192" s="336"/>
      <c r="D192" s="336"/>
      <c r="E192" s="336"/>
      <c r="F192" s="336"/>
      <c r="G192" s="336"/>
      <c r="H192" s="336"/>
      <c r="I192" s="590"/>
      <c r="J192" s="338"/>
      <c r="K192" s="590"/>
      <c r="L192" s="339"/>
      <c r="M192" s="339"/>
      <c r="N192" s="339"/>
      <c r="O192" s="339"/>
      <c r="P192" s="339"/>
      <c r="Q192" s="339"/>
      <c r="R192" s="339"/>
      <c r="S192" s="339"/>
      <c r="T192" s="339"/>
      <c r="U192" s="339"/>
      <c r="V192" s="339"/>
      <c r="W192" s="339"/>
      <c r="X192" s="339"/>
      <c r="Y192" s="339"/>
    </row>
    <row r="193" spans="1:25" ht="24" customHeight="1">
      <c r="A193" s="336"/>
      <c r="B193" s="336"/>
      <c r="C193" s="336"/>
      <c r="D193" s="336"/>
      <c r="E193" s="336"/>
      <c r="F193" s="336"/>
      <c r="G193" s="336"/>
      <c r="H193" s="336"/>
      <c r="I193" s="590"/>
      <c r="J193" s="338"/>
      <c r="K193" s="590"/>
      <c r="L193" s="339"/>
      <c r="M193" s="339"/>
      <c r="N193" s="339"/>
      <c r="O193" s="339"/>
      <c r="P193" s="339"/>
      <c r="Q193" s="339"/>
      <c r="R193" s="339"/>
      <c r="S193" s="339"/>
      <c r="T193" s="339"/>
      <c r="U193" s="339"/>
      <c r="V193" s="339"/>
      <c r="W193" s="339"/>
      <c r="X193" s="339"/>
      <c r="Y193" s="339"/>
    </row>
    <row r="194" spans="1:25" ht="24" customHeight="1">
      <c r="A194" s="336"/>
      <c r="B194" s="336"/>
      <c r="C194" s="336"/>
      <c r="D194" s="336"/>
      <c r="E194" s="336"/>
      <c r="F194" s="336"/>
      <c r="G194" s="336"/>
      <c r="H194" s="336"/>
      <c r="I194" s="590"/>
      <c r="J194" s="338"/>
      <c r="K194" s="590"/>
      <c r="L194" s="339"/>
      <c r="M194" s="339"/>
      <c r="N194" s="339"/>
      <c r="O194" s="339"/>
      <c r="P194" s="339"/>
      <c r="Q194" s="339"/>
      <c r="R194" s="339"/>
      <c r="S194" s="339"/>
      <c r="T194" s="339"/>
      <c r="U194" s="339"/>
      <c r="V194" s="339"/>
      <c r="W194" s="339"/>
      <c r="X194" s="339"/>
      <c r="Y194" s="339"/>
    </row>
    <row r="195" spans="1:25" ht="24" customHeight="1">
      <c r="A195" s="336"/>
      <c r="B195" s="336"/>
      <c r="C195" s="336"/>
      <c r="D195" s="336"/>
      <c r="E195" s="336"/>
      <c r="F195" s="336"/>
      <c r="G195" s="336"/>
      <c r="H195" s="336"/>
      <c r="I195" s="590"/>
      <c r="J195" s="338"/>
      <c r="K195" s="590"/>
      <c r="L195" s="339"/>
      <c r="M195" s="339"/>
      <c r="N195" s="339"/>
      <c r="O195" s="339"/>
      <c r="P195" s="339"/>
      <c r="Q195" s="339"/>
      <c r="R195" s="339"/>
      <c r="S195" s="339"/>
      <c r="T195" s="339"/>
      <c r="U195" s="339"/>
      <c r="V195" s="339"/>
      <c r="W195" s="339"/>
      <c r="X195" s="339"/>
      <c r="Y195" s="339"/>
    </row>
    <row r="196" spans="1:25" ht="24" customHeight="1">
      <c r="A196" s="336"/>
      <c r="B196" s="336"/>
      <c r="C196" s="336"/>
      <c r="D196" s="336"/>
      <c r="E196" s="336"/>
      <c r="F196" s="336"/>
      <c r="G196" s="336"/>
      <c r="H196" s="336"/>
      <c r="I196" s="590"/>
      <c r="J196" s="338"/>
      <c r="K196" s="590"/>
      <c r="L196" s="339"/>
      <c r="M196" s="339"/>
      <c r="N196" s="339"/>
      <c r="O196" s="339"/>
      <c r="P196" s="339"/>
      <c r="Q196" s="339"/>
      <c r="R196" s="339"/>
      <c r="S196" s="339"/>
      <c r="T196" s="339"/>
      <c r="U196" s="339"/>
      <c r="V196" s="339"/>
      <c r="W196" s="339"/>
      <c r="X196" s="339"/>
      <c r="Y196" s="339"/>
    </row>
    <row r="197" spans="1:25" ht="24" customHeight="1">
      <c r="A197" s="336"/>
      <c r="B197" s="336"/>
      <c r="C197" s="336"/>
      <c r="D197" s="336"/>
      <c r="E197" s="336"/>
      <c r="F197" s="336"/>
      <c r="G197" s="336"/>
      <c r="H197" s="336"/>
      <c r="I197" s="590"/>
      <c r="J197" s="338"/>
      <c r="K197" s="590"/>
      <c r="L197" s="339"/>
      <c r="M197" s="339"/>
      <c r="N197" s="339"/>
      <c r="O197" s="339"/>
      <c r="P197" s="339"/>
      <c r="Q197" s="339"/>
      <c r="R197" s="339"/>
      <c r="S197" s="339"/>
      <c r="T197" s="339"/>
      <c r="U197" s="339"/>
      <c r="V197" s="339"/>
      <c r="W197" s="339"/>
      <c r="X197" s="339"/>
      <c r="Y197" s="339"/>
    </row>
    <row r="198" spans="1:25" ht="24" customHeight="1">
      <c r="A198" s="336"/>
      <c r="B198" s="336"/>
      <c r="C198" s="336"/>
      <c r="D198" s="336"/>
      <c r="E198" s="336"/>
      <c r="F198" s="336"/>
      <c r="G198" s="336"/>
      <c r="H198" s="336"/>
      <c r="I198" s="590"/>
      <c r="J198" s="338"/>
      <c r="K198" s="590"/>
      <c r="L198" s="339"/>
      <c r="M198" s="339"/>
      <c r="N198" s="339"/>
      <c r="O198" s="339"/>
      <c r="P198" s="339"/>
      <c r="Q198" s="339"/>
      <c r="R198" s="339"/>
      <c r="S198" s="339"/>
      <c r="T198" s="339"/>
      <c r="U198" s="339"/>
      <c r="V198" s="339"/>
      <c r="W198" s="339"/>
      <c r="X198" s="339"/>
      <c r="Y198" s="339"/>
    </row>
    <row r="199" spans="1:25" ht="24" customHeight="1">
      <c r="A199" s="336"/>
      <c r="B199" s="336"/>
      <c r="C199" s="336"/>
      <c r="D199" s="336"/>
      <c r="E199" s="336"/>
      <c r="F199" s="336"/>
      <c r="G199" s="336"/>
      <c r="H199" s="336"/>
      <c r="I199" s="590"/>
      <c r="J199" s="338"/>
      <c r="K199" s="590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39"/>
      <c r="W199" s="339"/>
      <c r="X199" s="339"/>
      <c r="Y199" s="339"/>
    </row>
    <row r="200" spans="1:25" ht="24" customHeight="1">
      <c r="A200" s="336"/>
      <c r="B200" s="336"/>
      <c r="C200" s="336"/>
      <c r="D200" s="336"/>
      <c r="E200" s="336"/>
      <c r="F200" s="336"/>
      <c r="G200" s="336"/>
      <c r="H200" s="336"/>
      <c r="I200" s="590"/>
      <c r="J200" s="338"/>
      <c r="K200" s="590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39"/>
      <c r="W200" s="339"/>
      <c r="X200" s="339"/>
      <c r="Y200" s="339"/>
    </row>
    <row r="201" spans="1:25" ht="24" customHeight="1">
      <c r="A201" s="336"/>
      <c r="B201" s="336"/>
      <c r="C201" s="336"/>
      <c r="D201" s="336"/>
      <c r="E201" s="336"/>
      <c r="F201" s="336"/>
      <c r="G201" s="336"/>
      <c r="H201" s="336"/>
      <c r="I201" s="590"/>
      <c r="J201" s="338"/>
      <c r="K201" s="590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39"/>
      <c r="W201" s="339"/>
      <c r="X201" s="339"/>
      <c r="Y201" s="339"/>
    </row>
    <row r="202" spans="1:25" ht="24" customHeight="1">
      <c r="A202" s="336"/>
      <c r="B202" s="336"/>
      <c r="C202" s="336"/>
      <c r="D202" s="336"/>
      <c r="E202" s="336"/>
      <c r="F202" s="336"/>
      <c r="G202" s="336"/>
      <c r="H202" s="336"/>
      <c r="I202" s="590"/>
      <c r="J202" s="338"/>
      <c r="K202" s="590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39"/>
      <c r="W202" s="339"/>
      <c r="X202" s="339"/>
      <c r="Y202" s="339"/>
    </row>
    <row r="203" spans="1:25" ht="24" customHeight="1">
      <c r="A203" s="336"/>
      <c r="B203" s="336"/>
      <c r="C203" s="336"/>
      <c r="D203" s="336"/>
      <c r="E203" s="336"/>
      <c r="F203" s="336"/>
      <c r="G203" s="336"/>
      <c r="H203" s="336"/>
      <c r="I203" s="590"/>
      <c r="J203" s="338"/>
      <c r="K203" s="590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339"/>
      <c r="W203" s="339"/>
      <c r="X203" s="339"/>
      <c r="Y203" s="339"/>
    </row>
    <row r="204" spans="1:25" ht="24" customHeight="1">
      <c r="A204" s="336"/>
      <c r="B204" s="336"/>
      <c r="C204" s="336"/>
      <c r="D204" s="336"/>
      <c r="E204" s="336"/>
      <c r="F204" s="336"/>
      <c r="G204" s="336"/>
      <c r="H204" s="336"/>
      <c r="I204" s="590"/>
      <c r="J204" s="338"/>
      <c r="K204" s="590"/>
      <c r="L204" s="339"/>
      <c r="M204" s="339"/>
      <c r="N204" s="339"/>
      <c r="O204" s="339"/>
      <c r="P204" s="339"/>
      <c r="Q204" s="339"/>
      <c r="R204" s="339"/>
      <c r="S204" s="339"/>
      <c r="T204" s="339"/>
      <c r="U204" s="339"/>
      <c r="V204" s="339"/>
      <c r="W204" s="339"/>
      <c r="X204" s="339"/>
      <c r="Y204" s="339"/>
    </row>
    <row r="205" spans="1:25" ht="24" customHeight="1">
      <c r="A205" s="336"/>
      <c r="B205" s="336"/>
      <c r="C205" s="336"/>
      <c r="D205" s="336"/>
      <c r="E205" s="336"/>
      <c r="F205" s="336"/>
      <c r="G205" s="336"/>
      <c r="H205" s="336"/>
      <c r="I205" s="590"/>
      <c r="J205" s="338"/>
      <c r="K205" s="590"/>
      <c r="L205" s="339"/>
      <c r="M205" s="339"/>
      <c r="N205" s="339"/>
      <c r="O205" s="339"/>
      <c r="P205" s="339"/>
      <c r="Q205" s="339"/>
      <c r="R205" s="339"/>
      <c r="S205" s="339"/>
      <c r="T205" s="339"/>
      <c r="U205" s="339"/>
      <c r="V205" s="339"/>
      <c r="W205" s="339"/>
      <c r="X205" s="339"/>
      <c r="Y205" s="339"/>
    </row>
    <row r="206" spans="1:25" ht="24" customHeight="1">
      <c r="A206" s="336"/>
      <c r="B206" s="336"/>
      <c r="C206" s="336"/>
      <c r="D206" s="336"/>
      <c r="E206" s="336"/>
      <c r="F206" s="336"/>
      <c r="G206" s="336"/>
      <c r="H206" s="336"/>
      <c r="I206" s="590"/>
      <c r="J206" s="338"/>
      <c r="K206" s="590"/>
      <c r="L206" s="339"/>
      <c r="M206" s="339"/>
      <c r="N206" s="339"/>
      <c r="O206" s="339"/>
      <c r="P206" s="339"/>
      <c r="Q206" s="339"/>
      <c r="R206" s="339"/>
      <c r="S206" s="339"/>
      <c r="T206" s="339"/>
      <c r="U206" s="339"/>
      <c r="V206" s="339"/>
      <c r="W206" s="339"/>
      <c r="X206" s="339"/>
      <c r="Y206" s="339"/>
    </row>
    <row r="207" spans="1:25" ht="24" customHeight="1">
      <c r="A207" s="336"/>
      <c r="B207" s="336"/>
      <c r="C207" s="336"/>
      <c r="D207" s="336"/>
      <c r="E207" s="336"/>
      <c r="F207" s="336"/>
      <c r="G207" s="336"/>
      <c r="H207" s="336"/>
      <c r="I207" s="590"/>
      <c r="J207" s="338"/>
      <c r="K207" s="590"/>
      <c r="L207" s="339"/>
      <c r="M207" s="339"/>
      <c r="N207" s="339"/>
      <c r="O207" s="339"/>
      <c r="P207" s="339"/>
      <c r="Q207" s="339"/>
      <c r="R207" s="339"/>
      <c r="S207" s="339"/>
      <c r="T207" s="339"/>
      <c r="U207" s="339"/>
      <c r="V207" s="339"/>
      <c r="W207" s="339"/>
      <c r="X207" s="339"/>
      <c r="Y207" s="339"/>
    </row>
    <row r="208" spans="1:25" ht="24" customHeight="1">
      <c r="A208" s="336"/>
      <c r="B208" s="336"/>
      <c r="C208" s="336"/>
      <c r="D208" s="336"/>
      <c r="E208" s="336"/>
      <c r="F208" s="336"/>
      <c r="G208" s="336"/>
      <c r="H208" s="336"/>
      <c r="I208" s="590"/>
      <c r="J208" s="338"/>
      <c r="K208" s="590"/>
      <c r="L208" s="339"/>
      <c r="M208" s="339"/>
      <c r="N208" s="339"/>
      <c r="O208" s="339"/>
      <c r="P208" s="339"/>
      <c r="Q208" s="339"/>
      <c r="R208" s="339"/>
      <c r="S208" s="339"/>
      <c r="T208" s="339"/>
      <c r="U208" s="339"/>
      <c r="V208" s="339"/>
      <c r="W208" s="339"/>
      <c r="X208" s="339"/>
      <c r="Y208" s="339"/>
    </row>
    <row r="209" spans="1:25" ht="24" customHeight="1">
      <c r="A209" s="336"/>
      <c r="B209" s="336"/>
      <c r="C209" s="336"/>
      <c r="D209" s="336"/>
      <c r="E209" s="336"/>
      <c r="F209" s="336"/>
      <c r="G209" s="336"/>
      <c r="H209" s="336"/>
      <c r="I209" s="590"/>
      <c r="J209" s="338"/>
      <c r="K209" s="590"/>
      <c r="L209" s="339"/>
      <c r="M209" s="339"/>
      <c r="N209" s="339"/>
      <c r="O209" s="339"/>
      <c r="P209" s="339"/>
      <c r="Q209" s="339"/>
      <c r="R209" s="339"/>
      <c r="S209" s="339"/>
      <c r="T209" s="339"/>
      <c r="U209" s="339"/>
      <c r="V209" s="339"/>
      <c r="W209" s="339"/>
      <c r="X209" s="339"/>
      <c r="Y209" s="339"/>
    </row>
    <row r="210" spans="1:25" ht="24" customHeight="1">
      <c r="A210" s="336"/>
      <c r="B210" s="336"/>
      <c r="C210" s="336"/>
      <c r="D210" s="336"/>
      <c r="E210" s="336"/>
      <c r="F210" s="336"/>
      <c r="G210" s="336"/>
      <c r="H210" s="336"/>
      <c r="I210" s="590"/>
      <c r="J210" s="338"/>
      <c r="K210" s="590"/>
      <c r="L210" s="339"/>
      <c r="M210" s="339"/>
      <c r="N210" s="339"/>
      <c r="O210" s="339"/>
      <c r="P210" s="339"/>
      <c r="Q210" s="339"/>
      <c r="R210" s="339"/>
      <c r="S210" s="339"/>
      <c r="T210" s="339"/>
      <c r="U210" s="339"/>
      <c r="V210" s="339"/>
      <c r="W210" s="339"/>
      <c r="X210" s="339"/>
      <c r="Y210" s="339"/>
    </row>
    <row r="211" spans="1:25" ht="24" customHeight="1">
      <c r="A211" s="336"/>
      <c r="B211" s="336"/>
      <c r="C211" s="336"/>
      <c r="D211" s="336"/>
      <c r="E211" s="336"/>
      <c r="F211" s="336"/>
      <c r="G211" s="336"/>
      <c r="H211" s="336"/>
      <c r="I211" s="590"/>
      <c r="J211" s="338"/>
      <c r="K211" s="590"/>
      <c r="L211" s="339"/>
      <c r="M211" s="339"/>
      <c r="N211" s="339"/>
      <c r="O211" s="339"/>
      <c r="P211" s="339"/>
      <c r="Q211" s="339"/>
      <c r="R211" s="339"/>
      <c r="S211" s="339"/>
      <c r="T211" s="339"/>
      <c r="U211" s="339"/>
      <c r="V211" s="339"/>
      <c r="W211" s="339"/>
      <c r="X211" s="339"/>
      <c r="Y211" s="339"/>
    </row>
    <row r="212" spans="1:25" ht="24" customHeight="1">
      <c r="A212" s="336"/>
      <c r="B212" s="336"/>
      <c r="C212" s="336"/>
      <c r="D212" s="336"/>
      <c r="E212" s="336"/>
      <c r="F212" s="336"/>
      <c r="G212" s="336"/>
      <c r="H212" s="336"/>
      <c r="I212" s="590"/>
      <c r="J212" s="338"/>
      <c r="K212" s="590"/>
      <c r="L212" s="339"/>
      <c r="M212" s="339"/>
      <c r="N212" s="339"/>
      <c r="O212" s="339"/>
      <c r="P212" s="339"/>
      <c r="Q212" s="339"/>
      <c r="R212" s="339"/>
      <c r="S212" s="339"/>
      <c r="T212" s="339"/>
      <c r="U212" s="339"/>
      <c r="V212" s="339"/>
      <c r="W212" s="339"/>
      <c r="X212" s="339"/>
      <c r="Y212" s="339"/>
    </row>
    <row r="213" spans="1:25" ht="24" customHeight="1">
      <c r="A213" s="336"/>
      <c r="B213" s="336"/>
      <c r="C213" s="336"/>
      <c r="D213" s="336"/>
      <c r="E213" s="336"/>
      <c r="F213" s="336"/>
      <c r="G213" s="336"/>
      <c r="H213" s="336"/>
      <c r="I213" s="590"/>
      <c r="J213" s="338"/>
      <c r="K213" s="590"/>
      <c r="L213" s="339"/>
      <c r="M213" s="339"/>
      <c r="N213" s="339"/>
      <c r="O213" s="339"/>
      <c r="P213" s="339"/>
      <c r="Q213" s="339"/>
      <c r="R213" s="339"/>
      <c r="S213" s="339"/>
      <c r="T213" s="339"/>
      <c r="U213" s="339"/>
      <c r="V213" s="339"/>
      <c r="W213" s="339"/>
      <c r="X213" s="339"/>
      <c r="Y213" s="339"/>
    </row>
    <row r="214" spans="1:25" ht="24" customHeight="1">
      <c r="A214" s="336"/>
      <c r="B214" s="336"/>
      <c r="C214" s="336"/>
      <c r="D214" s="336"/>
      <c r="E214" s="336"/>
      <c r="F214" s="336"/>
      <c r="G214" s="336"/>
      <c r="H214" s="336"/>
      <c r="I214" s="590"/>
      <c r="J214" s="338"/>
      <c r="K214" s="590"/>
      <c r="L214" s="339"/>
      <c r="M214" s="339"/>
      <c r="N214" s="339"/>
      <c r="O214" s="339"/>
      <c r="P214" s="339"/>
      <c r="Q214" s="339"/>
      <c r="R214" s="339"/>
      <c r="S214" s="339"/>
      <c r="T214" s="339"/>
      <c r="U214" s="339"/>
      <c r="V214" s="339"/>
      <c r="W214" s="339"/>
      <c r="X214" s="339"/>
      <c r="Y214" s="339"/>
    </row>
    <row r="215" spans="1:25" ht="24" customHeight="1">
      <c r="A215" s="336"/>
      <c r="B215" s="336"/>
      <c r="C215" s="336"/>
      <c r="D215" s="336"/>
      <c r="E215" s="336"/>
      <c r="F215" s="336"/>
      <c r="G215" s="336"/>
      <c r="H215" s="336"/>
      <c r="I215" s="590"/>
      <c r="J215" s="338"/>
      <c r="K215" s="590"/>
      <c r="L215" s="339"/>
      <c r="M215" s="339"/>
      <c r="N215" s="339"/>
      <c r="O215" s="339"/>
      <c r="P215" s="339"/>
      <c r="Q215" s="339"/>
      <c r="R215" s="339"/>
      <c r="S215" s="339"/>
      <c r="T215" s="339"/>
      <c r="U215" s="339"/>
      <c r="V215" s="339"/>
      <c r="W215" s="339"/>
      <c r="X215" s="339"/>
      <c r="Y215" s="339"/>
    </row>
    <row r="216" spans="1:25" ht="24" customHeight="1">
      <c r="A216" s="336"/>
      <c r="B216" s="336"/>
      <c r="C216" s="336"/>
      <c r="D216" s="336"/>
      <c r="E216" s="336"/>
      <c r="F216" s="336"/>
      <c r="G216" s="336"/>
      <c r="H216" s="336"/>
      <c r="I216" s="590"/>
      <c r="J216" s="338"/>
      <c r="K216" s="590"/>
      <c r="L216" s="339"/>
      <c r="M216" s="339"/>
      <c r="N216" s="339"/>
      <c r="O216" s="339"/>
      <c r="P216" s="339"/>
      <c r="Q216" s="339"/>
      <c r="R216" s="339"/>
      <c r="S216" s="339"/>
      <c r="T216" s="339"/>
      <c r="U216" s="339"/>
      <c r="V216" s="339"/>
      <c r="W216" s="339"/>
      <c r="X216" s="339"/>
      <c r="Y216" s="339"/>
    </row>
    <row r="217" spans="1:25" ht="24" customHeight="1">
      <c r="A217" s="336"/>
      <c r="B217" s="336"/>
      <c r="C217" s="336"/>
      <c r="D217" s="336"/>
      <c r="E217" s="336"/>
      <c r="F217" s="336"/>
      <c r="G217" s="336"/>
      <c r="H217" s="336"/>
      <c r="I217" s="590"/>
      <c r="J217" s="338"/>
      <c r="K217" s="590"/>
      <c r="L217" s="339"/>
      <c r="M217" s="339"/>
      <c r="N217" s="339"/>
      <c r="O217" s="339"/>
      <c r="P217" s="339"/>
      <c r="Q217" s="339"/>
      <c r="R217" s="339"/>
      <c r="S217" s="339"/>
      <c r="T217" s="339"/>
      <c r="U217" s="339"/>
      <c r="V217" s="339"/>
      <c r="W217" s="339"/>
      <c r="X217" s="339"/>
      <c r="Y217" s="339"/>
    </row>
    <row r="218" spans="1:25" ht="24" customHeight="1">
      <c r="A218" s="336"/>
      <c r="B218" s="336"/>
      <c r="C218" s="336"/>
      <c r="D218" s="336"/>
      <c r="E218" s="336"/>
      <c r="F218" s="336"/>
      <c r="G218" s="336"/>
      <c r="H218" s="336"/>
      <c r="I218" s="590"/>
      <c r="J218" s="338"/>
      <c r="K218" s="590"/>
      <c r="L218" s="339"/>
      <c r="M218" s="339"/>
      <c r="N218" s="339"/>
      <c r="O218" s="339"/>
      <c r="P218" s="339"/>
      <c r="Q218" s="339"/>
      <c r="R218" s="339"/>
      <c r="S218" s="339"/>
      <c r="T218" s="339"/>
      <c r="U218" s="339"/>
      <c r="V218" s="339"/>
      <c r="W218" s="339"/>
      <c r="X218" s="339"/>
      <c r="Y218" s="339"/>
    </row>
    <row r="219" spans="1:25" ht="24" customHeight="1">
      <c r="A219" s="336"/>
      <c r="B219" s="336"/>
      <c r="C219" s="336"/>
      <c r="D219" s="336"/>
      <c r="E219" s="336"/>
      <c r="F219" s="336"/>
      <c r="G219" s="336"/>
      <c r="H219" s="336"/>
      <c r="I219" s="590"/>
      <c r="J219" s="338"/>
      <c r="K219" s="590"/>
      <c r="L219" s="339"/>
      <c r="M219" s="339"/>
      <c r="N219" s="339"/>
      <c r="O219" s="339"/>
      <c r="P219" s="339"/>
      <c r="Q219" s="339"/>
      <c r="R219" s="339"/>
      <c r="S219" s="339"/>
      <c r="T219" s="339"/>
      <c r="U219" s="339"/>
      <c r="V219" s="339"/>
      <c r="W219" s="339"/>
      <c r="X219" s="339"/>
      <c r="Y219" s="339"/>
    </row>
    <row r="220" spans="1:25" ht="24" customHeight="1">
      <c r="A220" s="336"/>
      <c r="B220" s="336"/>
      <c r="C220" s="336"/>
      <c r="D220" s="336"/>
      <c r="E220" s="336"/>
      <c r="F220" s="336"/>
      <c r="G220" s="336"/>
      <c r="H220" s="336"/>
      <c r="I220" s="590"/>
      <c r="J220" s="338"/>
      <c r="K220" s="590"/>
      <c r="L220" s="339"/>
      <c r="M220" s="339"/>
      <c r="N220" s="339"/>
      <c r="O220" s="339"/>
      <c r="P220" s="339"/>
      <c r="Q220" s="339"/>
      <c r="R220" s="339"/>
      <c r="S220" s="339"/>
      <c r="T220" s="339"/>
      <c r="U220" s="339"/>
      <c r="V220" s="339"/>
      <c r="W220" s="339"/>
      <c r="X220" s="339"/>
      <c r="Y220" s="339"/>
    </row>
    <row r="221" spans="1:25" ht="24" customHeight="1">
      <c r="A221" s="336"/>
      <c r="B221" s="336"/>
      <c r="C221" s="336"/>
      <c r="D221" s="336"/>
      <c r="E221" s="336"/>
      <c r="F221" s="336"/>
      <c r="G221" s="336"/>
      <c r="H221" s="336"/>
      <c r="I221" s="590"/>
      <c r="J221" s="338"/>
      <c r="K221" s="590"/>
      <c r="L221" s="339"/>
      <c r="M221" s="339"/>
      <c r="N221" s="339"/>
      <c r="O221" s="339"/>
      <c r="P221" s="339"/>
      <c r="Q221" s="339"/>
      <c r="R221" s="339"/>
      <c r="S221" s="339"/>
      <c r="T221" s="339"/>
      <c r="U221" s="339"/>
      <c r="V221" s="339"/>
      <c r="W221" s="339"/>
      <c r="X221" s="339"/>
      <c r="Y221" s="339"/>
    </row>
    <row r="222" spans="1:25" ht="24" customHeight="1">
      <c r="A222" s="336"/>
      <c r="B222" s="336"/>
      <c r="C222" s="336"/>
      <c r="D222" s="336"/>
      <c r="E222" s="336"/>
      <c r="F222" s="336"/>
      <c r="G222" s="336"/>
      <c r="H222" s="336"/>
      <c r="I222" s="590"/>
      <c r="J222" s="338"/>
      <c r="K222" s="590"/>
      <c r="L222" s="339"/>
      <c r="M222" s="339"/>
      <c r="N222" s="339"/>
      <c r="O222" s="339"/>
      <c r="P222" s="339"/>
      <c r="Q222" s="339"/>
      <c r="R222" s="339"/>
      <c r="S222" s="339"/>
      <c r="T222" s="339"/>
      <c r="U222" s="339"/>
      <c r="V222" s="339"/>
      <c r="W222" s="339"/>
      <c r="X222" s="339"/>
      <c r="Y222" s="339"/>
    </row>
    <row r="223" spans="1:25" ht="24" customHeight="1">
      <c r="A223" s="336"/>
      <c r="B223" s="336"/>
      <c r="C223" s="336"/>
      <c r="D223" s="336"/>
      <c r="E223" s="336"/>
      <c r="F223" s="336"/>
      <c r="G223" s="336"/>
      <c r="H223" s="336"/>
      <c r="I223" s="590"/>
      <c r="J223" s="338"/>
      <c r="K223" s="590"/>
      <c r="L223" s="339"/>
      <c r="M223" s="339"/>
      <c r="N223" s="339"/>
      <c r="O223" s="339"/>
      <c r="P223" s="339"/>
      <c r="Q223" s="339"/>
      <c r="R223" s="339"/>
      <c r="S223" s="339"/>
      <c r="T223" s="339"/>
      <c r="U223" s="339"/>
      <c r="V223" s="339"/>
      <c r="W223" s="339"/>
      <c r="X223" s="339"/>
      <c r="Y223" s="339"/>
    </row>
    <row r="224" spans="1:25" ht="24" customHeight="1">
      <c r="A224" s="336"/>
      <c r="B224" s="336"/>
      <c r="C224" s="336"/>
      <c r="D224" s="336"/>
      <c r="E224" s="336"/>
      <c r="F224" s="336"/>
      <c r="G224" s="336"/>
      <c r="H224" s="336"/>
      <c r="I224" s="590"/>
      <c r="J224" s="338"/>
      <c r="K224" s="590"/>
      <c r="L224" s="339"/>
      <c r="M224" s="339"/>
      <c r="N224" s="339"/>
      <c r="O224" s="339"/>
      <c r="P224" s="339"/>
      <c r="Q224" s="339"/>
      <c r="R224" s="339"/>
      <c r="S224" s="339"/>
      <c r="T224" s="339"/>
      <c r="U224" s="339"/>
      <c r="V224" s="339"/>
      <c r="W224" s="339"/>
      <c r="X224" s="339"/>
      <c r="Y224" s="339"/>
    </row>
    <row r="225" spans="1:25" ht="24" customHeight="1">
      <c r="A225" s="336"/>
      <c r="B225" s="336"/>
      <c r="C225" s="336"/>
      <c r="D225" s="336"/>
      <c r="E225" s="336"/>
      <c r="F225" s="336"/>
      <c r="G225" s="336"/>
      <c r="H225" s="336"/>
      <c r="I225" s="590"/>
      <c r="J225" s="338"/>
      <c r="K225" s="590"/>
      <c r="L225" s="339"/>
      <c r="M225" s="339"/>
      <c r="N225" s="339"/>
      <c r="O225" s="339"/>
      <c r="P225" s="339"/>
      <c r="Q225" s="339"/>
      <c r="R225" s="339"/>
      <c r="S225" s="339"/>
      <c r="T225" s="339"/>
      <c r="U225" s="339"/>
      <c r="V225" s="339"/>
      <c r="W225" s="339"/>
      <c r="X225" s="339"/>
      <c r="Y225" s="339"/>
    </row>
    <row r="226" spans="1:25" ht="24" customHeight="1">
      <c r="A226" s="336"/>
      <c r="B226" s="336"/>
      <c r="C226" s="336"/>
      <c r="D226" s="336"/>
      <c r="E226" s="336"/>
      <c r="F226" s="336"/>
      <c r="G226" s="336"/>
      <c r="H226" s="336"/>
      <c r="I226" s="590"/>
      <c r="J226" s="338"/>
      <c r="K226" s="590"/>
      <c r="L226" s="339"/>
      <c r="M226" s="339"/>
      <c r="N226" s="339"/>
      <c r="O226" s="339"/>
      <c r="P226" s="339"/>
      <c r="Q226" s="339"/>
      <c r="R226" s="339"/>
      <c r="S226" s="339"/>
      <c r="T226" s="339"/>
      <c r="U226" s="339"/>
      <c r="V226" s="339"/>
      <c r="W226" s="339"/>
      <c r="X226" s="339"/>
      <c r="Y226" s="339"/>
    </row>
    <row r="227" spans="1:25" ht="24" customHeight="1">
      <c r="A227" s="336"/>
      <c r="B227" s="336"/>
      <c r="C227" s="336"/>
      <c r="D227" s="336"/>
      <c r="E227" s="336"/>
      <c r="F227" s="336"/>
      <c r="G227" s="336"/>
      <c r="H227" s="336"/>
      <c r="I227" s="590"/>
      <c r="J227" s="338"/>
      <c r="K227" s="590"/>
      <c r="L227" s="339"/>
      <c r="M227" s="339"/>
      <c r="N227" s="339"/>
      <c r="O227" s="339"/>
      <c r="P227" s="339"/>
      <c r="Q227" s="339"/>
      <c r="R227" s="339"/>
      <c r="S227" s="339"/>
      <c r="T227" s="339"/>
      <c r="U227" s="339"/>
      <c r="V227" s="339"/>
      <c r="W227" s="339"/>
      <c r="X227" s="339"/>
      <c r="Y227" s="339"/>
    </row>
    <row r="228" spans="1:25" ht="24" customHeight="1">
      <c r="A228" s="336"/>
      <c r="B228" s="336"/>
      <c r="C228" s="336"/>
      <c r="D228" s="336"/>
      <c r="E228" s="336"/>
      <c r="F228" s="336"/>
      <c r="G228" s="336"/>
      <c r="H228" s="336"/>
      <c r="I228" s="590"/>
      <c r="J228" s="338"/>
      <c r="K228" s="590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39"/>
      <c r="W228" s="339"/>
      <c r="X228" s="339"/>
      <c r="Y228" s="339"/>
    </row>
    <row r="229" spans="1:25" ht="24" customHeight="1">
      <c r="A229" s="336"/>
      <c r="B229" s="336"/>
      <c r="C229" s="336"/>
      <c r="D229" s="336"/>
      <c r="E229" s="336"/>
      <c r="F229" s="336"/>
      <c r="G229" s="336"/>
      <c r="H229" s="336"/>
      <c r="I229" s="590"/>
      <c r="J229" s="338"/>
      <c r="K229" s="590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39"/>
      <c r="W229" s="339"/>
      <c r="X229" s="339"/>
      <c r="Y229" s="339"/>
    </row>
    <row r="230" spans="1:25" ht="24" customHeight="1">
      <c r="A230" s="336"/>
      <c r="B230" s="336"/>
      <c r="C230" s="336"/>
      <c r="D230" s="336"/>
      <c r="E230" s="336"/>
      <c r="F230" s="336"/>
      <c r="G230" s="336"/>
      <c r="H230" s="336"/>
      <c r="I230" s="590"/>
      <c r="J230" s="338"/>
      <c r="K230" s="590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39"/>
      <c r="W230" s="339"/>
      <c r="X230" s="339"/>
      <c r="Y230" s="339"/>
    </row>
    <row r="231" spans="1:25" ht="24" customHeight="1">
      <c r="A231" s="336"/>
      <c r="B231" s="336"/>
      <c r="C231" s="336"/>
      <c r="D231" s="336"/>
      <c r="E231" s="336"/>
      <c r="F231" s="336"/>
      <c r="G231" s="336"/>
      <c r="H231" s="336"/>
      <c r="I231" s="590"/>
      <c r="J231" s="338"/>
      <c r="K231" s="590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39"/>
      <c r="W231" s="339"/>
      <c r="X231" s="339"/>
      <c r="Y231" s="339"/>
    </row>
    <row r="232" spans="1:25" ht="24" customHeight="1">
      <c r="A232" s="336"/>
      <c r="B232" s="336"/>
      <c r="C232" s="336"/>
      <c r="D232" s="336"/>
      <c r="E232" s="336"/>
      <c r="F232" s="336"/>
      <c r="G232" s="336"/>
      <c r="H232" s="336"/>
      <c r="I232" s="590"/>
      <c r="J232" s="338"/>
      <c r="K232" s="590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339"/>
      <c r="W232" s="339"/>
      <c r="X232" s="339"/>
      <c r="Y232" s="339"/>
    </row>
    <row r="233" spans="1:25" ht="24" customHeight="1">
      <c r="A233" s="336"/>
      <c r="B233" s="336"/>
      <c r="C233" s="336"/>
      <c r="D233" s="336"/>
      <c r="E233" s="336"/>
      <c r="F233" s="336"/>
      <c r="G233" s="336"/>
      <c r="H233" s="336"/>
      <c r="I233" s="590"/>
      <c r="J233" s="338"/>
      <c r="K233" s="590"/>
      <c r="L233" s="339"/>
      <c r="M233" s="339"/>
      <c r="N233" s="339"/>
      <c r="O233" s="339"/>
      <c r="P233" s="339"/>
      <c r="Q233" s="339"/>
      <c r="R233" s="339"/>
      <c r="S233" s="339"/>
      <c r="T233" s="339"/>
      <c r="U233" s="339"/>
      <c r="V233" s="339"/>
      <c r="W233" s="339"/>
      <c r="X233" s="339"/>
      <c r="Y233" s="339"/>
    </row>
    <row r="234" spans="1:25" ht="24" customHeight="1">
      <c r="A234" s="336"/>
      <c r="B234" s="336"/>
      <c r="C234" s="336"/>
      <c r="D234" s="336"/>
      <c r="E234" s="336"/>
      <c r="F234" s="336"/>
      <c r="G234" s="336"/>
      <c r="H234" s="336"/>
      <c r="I234" s="590"/>
      <c r="J234" s="338"/>
      <c r="K234" s="590"/>
      <c r="L234" s="339"/>
      <c r="M234" s="339"/>
      <c r="N234" s="339"/>
      <c r="O234" s="339"/>
      <c r="P234" s="339"/>
      <c r="Q234" s="339"/>
      <c r="R234" s="339"/>
      <c r="S234" s="339"/>
      <c r="T234" s="339"/>
      <c r="U234" s="339"/>
      <c r="V234" s="339"/>
      <c r="W234" s="339"/>
      <c r="X234" s="339"/>
      <c r="Y234" s="339"/>
    </row>
    <row r="235" spans="1:25" ht="24" customHeight="1">
      <c r="A235" s="336"/>
      <c r="B235" s="336"/>
      <c r="C235" s="336"/>
      <c r="D235" s="336"/>
      <c r="E235" s="336"/>
      <c r="F235" s="336"/>
      <c r="G235" s="336"/>
      <c r="H235" s="336"/>
      <c r="I235" s="590"/>
      <c r="J235" s="338"/>
      <c r="K235" s="590"/>
      <c r="L235" s="339"/>
      <c r="M235" s="339"/>
      <c r="N235" s="339"/>
      <c r="O235" s="339"/>
      <c r="P235" s="339"/>
      <c r="Q235" s="339"/>
      <c r="R235" s="339"/>
      <c r="S235" s="339"/>
      <c r="T235" s="339"/>
      <c r="U235" s="339"/>
      <c r="V235" s="339"/>
      <c r="W235" s="339"/>
      <c r="X235" s="339"/>
      <c r="Y235" s="339"/>
    </row>
    <row r="236" spans="1:25" ht="24" customHeight="1">
      <c r="A236" s="336"/>
      <c r="B236" s="336"/>
      <c r="C236" s="336"/>
      <c r="D236" s="336"/>
      <c r="E236" s="336"/>
      <c r="F236" s="336"/>
      <c r="G236" s="336"/>
      <c r="H236" s="336"/>
      <c r="I236" s="590"/>
      <c r="J236" s="338"/>
      <c r="K236" s="590"/>
      <c r="L236" s="339"/>
      <c r="M236" s="339"/>
      <c r="N236" s="339"/>
      <c r="O236" s="339"/>
      <c r="P236" s="339"/>
      <c r="Q236" s="339"/>
      <c r="R236" s="339"/>
      <c r="S236" s="339"/>
      <c r="T236" s="339"/>
      <c r="U236" s="339"/>
      <c r="V236" s="339"/>
      <c r="W236" s="339"/>
      <c r="X236" s="339"/>
      <c r="Y236" s="339"/>
    </row>
    <row r="237" spans="1:25" ht="24" customHeight="1">
      <c r="A237" s="336"/>
      <c r="B237" s="336"/>
      <c r="C237" s="336"/>
      <c r="D237" s="336"/>
      <c r="E237" s="336"/>
      <c r="F237" s="336"/>
      <c r="G237" s="336"/>
      <c r="H237" s="336"/>
      <c r="I237" s="590"/>
      <c r="J237" s="338"/>
      <c r="K237" s="590"/>
      <c r="L237" s="339"/>
      <c r="M237" s="339"/>
      <c r="N237" s="339"/>
      <c r="O237" s="339"/>
      <c r="P237" s="339"/>
      <c r="Q237" s="339"/>
      <c r="R237" s="339"/>
      <c r="S237" s="339"/>
      <c r="T237" s="339"/>
      <c r="U237" s="339"/>
      <c r="V237" s="339"/>
      <c r="W237" s="339"/>
      <c r="X237" s="339"/>
      <c r="Y237" s="339"/>
    </row>
    <row r="238" spans="1:25" ht="24" customHeight="1">
      <c r="A238" s="336"/>
      <c r="B238" s="336"/>
      <c r="C238" s="336"/>
      <c r="D238" s="336"/>
      <c r="E238" s="336"/>
      <c r="F238" s="336"/>
      <c r="G238" s="336"/>
      <c r="H238" s="336"/>
      <c r="I238" s="590"/>
      <c r="J238" s="338"/>
      <c r="K238" s="590"/>
      <c r="L238" s="339"/>
      <c r="M238" s="339"/>
      <c r="N238" s="339"/>
      <c r="O238" s="339"/>
      <c r="P238" s="339"/>
      <c r="Q238" s="339"/>
      <c r="R238" s="339"/>
      <c r="S238" s="339"/>
      <c r="T238" s="339"/>
      <c r="U238" s="339"/>
      <c r="V238" s="339"/>
      <c r="W238" s="339"/>
      <c r="X238" s="339"/>
      <c r="Y238" s="339"/>
    </row>
    <row r="239" spans="1:25" ht="24" customHeight="1">
      <c r="A239" s="336"/>
      <c r="B239" s="336"/>
      <c r="C239" s="336"/>
      <c r="D239" s="336"/>
      <c r="E239" s="336"/>
      <c r="F239" s="336"/>
      <c r="G239" s="336"/>
      <c r="H239" s="336"/>
      <c r="I239" s="590"/>
      <c r="J239" s="338"/>
      <c r="K239" s="590"/>
      <c r="L239" s="339"/>
      <c r="M239" s="339"/>
      <c r="N239" s="339"/>
      <c r="O239" s="339"/>
      <c r="P239" s="339"/>
      <c r="Q239" s="339"/>
      <c r="R239" s="339"/>
      <c r="S239" s="339"/>
      <c r="T239" s="339"/>
      <c r="U239" s="339"/>
      <c r="V239" s="339"/>
      <c r="W239" s="339"/>
      <c r="X239" s="339"/>
      <c r="Y239" s="339"/>
    </row>
    <row r="240" spans="1:25" ht="24" customHeight="1">
      <c r="A240" s="336"/>
      <c r="B240" s="336"/>
      <c r="C240" s="336"/>
      <c r="D240" s="336"/>
      <c r="E240" s="336"/>
      <c r="F240" s="336"/>
      <c r="G240" s="336"/>
      <c r="H240" s="336"/>
      <c r="I240" s="590"/>
      <c r="J240" s="338"/>
      <c r="K240" s="590"/>
      <c r="L240" s="339"/>
      <c r="M240" s="339"/>
      <c r="N240" s="339"/>
      <c r="O240" s="339"/>
      <c r="P240" s="339"/>
      <c r="Q240" s="339"/>
      <c r="R240" s="339"/>
      <c r="S240" s="339"/>
      <c r="T240" s="339"/>
      <c r="U240" s="339"/>
      <c r="V240" s="339"/>
      <c r="W240" s="339"/>
      <c r="X240" s="339"/>
      <c r="Y240" s="339"/>
    </row>
    <row r="241" spans="1:25" ht="24" customHeight="1">
      <c r="A241" s="336"/>
      <c r="B241" s="336"/>
      <c r="C241" s="336"/>
      <c r="D241" s="336"/>
      <c r="E241" s="336"/>
      <c r="F241" s="336"/>
      <c r="G241" s="336"/>
      <c r="H241" s="336"/>
      <c r="I241" s="590"/>
      <c r="J241" s="338"/>
      <c r="K241" s="590"/>
      <c r="L241" s="339"/>
      <c r="M241" s="339"/>
      <c r="N241" s="339"/>
      <c r="O241" s="339"/>
      <c r="P241" s="339"/>
      <c r="Q241" s="339"/>
      <c r="R241" s="339"/>
      <c r="S241" s="339"/>
      <c r="T241" s="339"/>
      <c r="U241" s="339"/>
      <c r="V241" s="339"/>
      <c r="W241" s="339"/>
      <c r="X241" s="339"/>
      <c r="Y241" s="339"/>
    </row>
    <row r="242" spans="1:25" ht="24" customHeight="1">
      <c r="A242" s="336"/>
      <c r="B242" s="336"/>
      <c r="C242" s="336"/>
      <c r="D242" s="336"/>
      <c r="E242" s="336"/>
      <c r="F242" s="336"/>
      <c r="G242" s="336"/>
      <c r="H242" s="336"/>
      <c r="I242" s="590"/>
      <c r="J242" s="338"/>
      <c r="K242" s="590"/>
      <c r="L242" s="339"/>
      <c r="M242" s="339"/>
      <c r="N242" s="339"/>
      <c r="O242" s="339"/>
      <c r="P242" s="339"/>
      <c r="Q242" s="339"/>
      <c r="R242" s="339"/>
      <c r="S242" s="339"/>
      <c r="T242" s="339"/>
      <c r="U242" s="339"/>
      <c r="V242" s="339"/>
      <c r="W242" s="339"/>
      <c r="X242" s="339"/>
      <c r="Y242" s="339"/>
    </row>
    <row r="243" spans="1:25" ht="24" customHeight="1">
      <c r="A243" s="336"/>
      <c r="B243" s="336"/>
      <c r="C243" s="336"/>
      <c r="D243" s="336"/>
      <c r="E243" s="336"/>
      <c r="F243" s="336"/>
      <c r="G243" s="336"/>
      <c r="H243" s="336"/>
      <c r="I243" s="590"/>
      <c r="J243" s="338"/>
      <c r="K243" s="590"/>
      <c r="L243" s="339"/>
      <c r="M243" s="339"/>
      <c r="N243" s="339"/>
      <c r="O243" s="339"/>
      <c r="P243" s="339"/>
      <c r="Q243" s="339"/>
      <c r="R243" s="339"/>
      <c r="S243" s="339"/>
      <c r="T243" s="339"/>
      <c r="U243" s="339"/>
      <c r="V243" s="339"/>
      <c r="W243" s="339"/>
      <c r="X243" s="339"/>
      <c r="Y243" s="339"/>
    </row>
    <row r="244" spans="1:25" ht="24" customHeight="1">
      <c r="A244" s="336"/>
      <c r="B244" s="336"/>
      <c r="C244" s="336"/>
      <c r="D244" s="336"/>
      <c r="E244" s="336"/>
      <c r="F244" s="336"/>
      <c r="G244" s="336"/>
      <c r="H244" s="336"/>
      <c r="I244" s="590"/>
      <c r="J244" s="338"/>
      <c r="K244" s="590"/>
      <c r="L244" s="339"/>
      <c r="M244" s="339"/>
      <c r="N244" s="339"/>
      <c r="O244" s="339"/>
      <c r="P244" s="339"/>
      <c r="Q244" s="339"/>
      <c r="R244" s="339"/>
      <c r="S244" s="339"/>
      <c r="T244" s="339"/>
      <c r="U244" s="339"/>
      <c r="V244" s="339"/>
      <c r="W244" s="339"/>
      <c r="X244" s="339"/>
      <c r="Y244" s="339"/>
    </row>
    <row r="245" spans="1:25" ht="24" customHeight="1">
      <c r="A245" s="336"/>
      <c r="B245" s="336"/>
      <c r="C245" s="336"/>
      <c r="D245" s="336"/>
      <c r="E245" s="336"/>
      <c r="F245" s="336"/>
      <c r="G245" s="336"/>
      <c r="H245" s="336"/>
      <c r="I245" s="590"/>
      <c r="J245" s="338"/>
      <c r="K245" s="590"/>
      <c r="L245" s="339"/>
      <c r="M245" s="339"/>
      <c r="N245" s="339"/>
      <c r="O245" s="339"/>
      <c r="P245" s="339"/>
      <c r="Q245" s="339"/>
      <c r="R245" s="339"/>
      <c r="S245" s="339"/>
      <c r="T245" s="339"/>
      <c r="U245" s="339"/>
      <c r="V245" s="339"/>
      <c r="W245" s="339"/>
      <c r="X245" s="339"/>
      <c r="Y245" s="339"/>
    </row>
    <row r="246" spans="1:25" ht="24" customHeight="1">
      <c r="A246" s="336"/>
      <c r="B246" s="336"/>
      <c r="C246" s="336"/>
      <c r="D246" s="336"/>
      <c r="E246" s="336"/>
      <c r="F246" s="336"/>
      <c r="G246" s="336"/>
      <c r="H246" s="336"/>
      <c r="I246" s="590"/>
      <c r="J246" s="338"/>
      <c r="K246" s="590"/>
      <c r="L246" s="339"/>
      <c r="M246" s="339"/>
      <c r="N246" s="339"/>
      <c r="O246" s="339"/>
      <c r="P246" s="339"/>
      <c r="Q246" s="339"/>
      <c r="R246" s="339"/>
      <c r="S246" s="339"/>
      <c r="T246" s="339"/>
      <c r="U246" s="339"/>
      <c r="V246" s="339"/>
      <c r="W246" s="339"/>
      <c r="X246" s="339"/>
      <c r="Y246" s="339"/>
    </row>
    <row r="247" spans="1:25" ht="24" customHeight="1">
      <c r="A247" s="336"/>
      <c r="B247" s="336"/>
      <c r="C247" s="336"/>
      <c r="D247" s="336"/>
      <c r="E247" s="336"/>
      <c r="F247" s="336"/>
      <c r="G247" s="336"/>
      <c r="H247" s="336"/>
      <c r="I247" s="590"/>
      <c r="J247" s="338"/>
      <c r="K247" s="590"/>
      <c r="L247" s="339"/>
      <c r="M247" s="339"/>
      <c r="N247" s="339"/>
      <c r="O247" s="339"/>
      <c r="P247" s="339"/>
      <c r="Q247" s="339"/>
      <c r="R247" s="339"/>
      <c r="S247" s="339"/>
      <c r="T247" s="339"/>
      <c r="U247" s="339"/>
      <c r="V247" s="339"/>
      <c r="W247" s="339"/>
      <c r="X247" s="339"/>
      <c r="Y247" s="339"/>
    </row>
    <row r="248" spans="1:25" ht="24" customHeight="1">
      <c r="A248" s="336"/>
      <c r="B248" s="336"/>
      <c r="C248" s="336"/>
      <c r="D248" s="336"/>
      <c r="E248" s="336"/>
      <c r="F248" s="336"/>
      <c r="G248" s="336"/>
      <c r="H248" s="336"/>
      <c r="I248" s="590"/>
      <c r="J248" s="338"/>
      <c r="K248" s="590"/>
      <c r="L248" s="339"/>
      <c r="M248" s="339"/>
      <c r="N248" s="339"/>
      <c r="O248" s="339"/>
      <c r="P248" s="339"/>
      <c r="Q248" s="339"/>
      <c r="R248" s="339"/>
      <c r="S248" s="339"/>
      <c r="T248" s="339"/>
      <c r="U248" s="339"/>
      <c r="V248" s="339"/>
      <c r="W248" s="339"/>
      <c r="X248" s="339"/>
      <c r="Y248" s="339"/>
    </row>
    <row r="249" spans="1:25" ht="24" customHeight="1">
      <c r="A249" s="336"/>
      <c r="B249" s="336"/>
      <c r="C249" s="336"/>
      <c r="D249" s="336"/>
      <c r="E249" s="336"/>
      <c r="F249" s="336"/>
      <c r="G249" s="336"/>
      <c r="H249" s="336"/>
      <c r="I249" s="590"/>
      <c r="J249" s="338"/>
      <c r="K249" s="590"/>
      <c r="L249" s="339"/>
      <c r="M249" s="339"/>
      <c r="N249" s="339"/>
      <c r="O249" s="339"/>
      <c r="P249" s="339"/>
      <c r="Q249" s="339"/>
      <c r="R249" s="339"/>
      <c r="S249" s="339"/>
      <c r="T249" s="339"/>
      <c r="U249" s="339"/>
      <c r="V249" s="339"/>
      <c r="W249" s="339"/>
      <c r="X249" s="339"/>
      <c r="Y249" s="339"/>
    </row>
    <row r="250" spans="1:25" ht="24" customHeight="1">
      <c r="A250" s="336"/>
      <c r="B250" s="336"/>
      <c r="C250" s="336"/>
      <c r="D250" s="336"/>
      <c r="E250" s="336"/>
      <c r="F250" s="336"/>
      <c r="G250" s="336"/>
      <c r="H250" s="336"/>
      <c r="I250" s="590"/>
      <c r="J250" s="338"/>
      <c r="K250" s="590"/>
      <c r="L250" s="339"/>
      <c r="M250" s="339"/>
      <c r="N250" s="339"/>
      <c r="O250" s="339"/>
      <c r="P250" s="339"/>
      <c r="Q250" s="339"/>
      <c r="R250" s="339"/>
      <c r="S250" s="339"/>
      <c r="T250" s="339"/>
      <c r="U250" s="339"/>
      <c r="V250" s="339"/>
      <c r="W250" s="339"/>
      <c r="X250" s="339"/>
      <c r="Y250" s="339"/>
    </row>
    <row r="251" spans="1:25" ht="24" customHeight="1">
      <c r="A251" s="336"/>
      <c r="B251" s="336"/>
      <c r="C251" s="336"/>
      <c r="D251" s="336"/>
      <c r="E251" s="336"/>
      <c r="F251" s="336"/>
      <c r="G251" s="336"/>
      <c r="H251" s="336"/>
      <c r="I251" s="590"/>
      <c r="J251" s="338"/>
      <c r="K251" s="590"/>
      <c r="L251" s="339"/>
      <c r="M251" s="339"/>
      <c r="N251" s="339"/>
      <c r="O251" s="339"/>
      <c r="P251" s="339"/>
      <c r="Q251" s="339"/>
      <c r="R251" s="339"/>
      <c r="S251" s="339"/>
      <c r="T251" s="339"/>
      <c r="U251" s="339"/>
      <c r="V251" s="339"/>
      <c r="W251" s="339"/>
      <c r="X251" s="339"/>
      <c r="Y251" s="339"/>
    </row>
    <row r="252" spans="1:25" ht="24" customHeight="1">
      <c r="A252" s="336"/>
      <c r="B252" s="336"/>
      <c r="C252" s="336"/>
      <c r="D252" s="336"/>
      <c r="E252" s="336"/>
      <c r="F252" s="336"/>
      <c r="G252" s="336"/>
      <c r="H252" s="336"/>
      <c r="I252" s="590"/>
      <c r="J252" s="338"/>
      <c r="K252" s="590"/>
      <c r="L252" s="339"/>
      <c r="M252" s="339"/>
      <c r="N252" s="339"/>
      <c r="O252" s="339"/>
      <c r="P252" s="339"/>
      <c r="Q252" s="339"/>
      <c r="R252" s="339"/>
      <c r="S252" s="339"/>
      <c r="T252" s="339"/>
      <c r="U252" s="339"/>
      <c r="V252" s="339"/>
      <c r="W252" s="339"/>
      <c r="X252" s="339"/>
      <c r="Y252" s="339"/>
    </row>
    <row r="253" spans="1:25" ht="24" customHeight="1">
      <c r="A253" s="336"/>
      <c r="B253" s="336"/>
      <c r="C253" s="336"/>
      <c r="D253" s="336"/>
      <c r="E253" s="336"/>
      <c r="F253" s="336"/>
      <c r="G253" s="336"/>
      <c r="H253" s="336"/>
      <c r="I253" s="590"/>
      <c r="J253" s="338"/>
      <c r="K253" s="590"/>
      <c r="L253" s="339"/>
      <c r="M253" s="339"/>
      <c r="N253" s="339"/>
      <c r="O253" s="339"/>
      <c r="P253" s="339"/>
      <c r="Q253" s="339"/>
      <c r="R253" s="339"/>
      <c r="S253" s="339"/>
      <c r="T253" s="339"/>
      <c r="U253" s="339"/>
      <c r="V253" s="339"/>
      <c r="W253" s="339"/>
      <c r="X253" s="339"/>
      <c r="Y253" s="339"/>
    </row>
    <row r="254" spans="1:25" ht="24" customHeight="1">
      <c r="A254" s="336"/>
      <c r="B254" s="336"/>
      <c r="C254" s="336"/>
      <c r="D254" s="336"/>
      <c r="E254" s="336"/>
      <c r="F254" s="336"/>
      <c r="G254" s="336"/>
      <c r="H254" s="336"/>
      <c r="I254" s="590"/>
      <c r="J254" s="338"/>
      <c r="K254" s="590"/>
      <c r="L254" s="339"/>
      <c r="M254" s="339"/>
      <c r="N254" s="339"/>
      <c r="O254" s="339"/>
      <c r="P254" s="339"/>
      <c r="Q254" s="339"/>
      <c r="R254" s="339"/>
      <c r="S254" s="339"/>
      <c r="T254" s="339"/>
      <c r="U254" s="339"/>
      <c r="V254" s="339"/>
      <c r="W254" s="339"/>
      <c r="X254" s="339"/>
      <c r="Y254" s="339"/>
    </row>
    <row r="255" spans="1:25" ht="24" customHeight="1">
      <c r="A255" s="336"/>
      <c r="B255" s="336"/>
      <c r="C255" s="336"/>
      <c r="D255" s="336"/>
      <c r="E255" s="336"/>
      <c r="F255" s="336"/>
      <c r="G255" s="336"/>
      <c r="H255" s="336"/>
      <c r="I255" s="590"/>
      <c r="J255" s="338"/>
      <c r="K255" s="590"/>
      <c r="L255" s="339"/>
      <c r="M255" s="339"/>
      <c r="N255" s="339"/>
      <c r="O255" s="339"/>
      <c r="P255" s="339"/>
      <c r="Q255" s="339"/>
      <c r="R255" s="339"/>
      <c r="S255" s="339"/>
      <c r="T255" s="339"/>
      <c r="U255" s="339"/>
      <c r="V255" s="339"/>
      <c r="W255" s="339"/>
      <c r="X255" s="339"/>
      <c r="Y255" s="339"/>
    </row>
    <row r="256" spans="1:25" ht="24" customHeight="1">
      <c r="A256" s="336"/>
      <c r="B256" s="336"/>
      <c r="C256" s="336"/>
      <c r="D256" s="336"/>
      <c r="E256" s="336"/>
      <c r="F256" s="336"/>
      <c r="G256" s="336"/>
      <c r="H256" s="336"/>
      <c r="I256" s="590"/>
      <c r="J256" s="338"/>
      <c r="K256" s="590"/>
      <c r="L256" s="339"/>
      <c r="M256" s="339"/>
      <c r="N256" s="339"/>
      <c r="O256" s="339"/>
      <c r="P256" s="339"/>
      <c r="Q256" s="339"/>
      <c r="R256" s="339"/>
      <c r="S256" s="339"/>
      <c r="T256" s="339"/>
      <c r="U256" s="339"/>
      <c r="V256" s="339"/>
      <c r="W256" s="339"/>
      <c r="X256" s="339"/>
      <c r="Y256" s="339"/>
    </row>
    <row r="257" spans="1:25" ht="24" customHeight="1">
      <c r="A257" s="336"/>
      <c r="B257" s="336"/>
      <c r="C257" s="336"/>
      <c r="D257" s="336"/>
      <c r="E257" s="336"/>
      <c r="F257" s="336"/>
      <c r="G257" s="336"/>
      <c r="H257" s="336"/>
      <c r="I257" s="590"/>
      <c r="J257" s="338"/>
      <c r="K257" s="590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39"/>
      <c r="W257" s="339"/>
      <c r="X257" s="339"/>
      <c r="Y257" s="339"/>
    </row>
    <row r="258" spans="1:25" ht="24" customHeight="1">
      <c r="A258" s="336"/>
      <c r="B258" s="336"/>
      <c r="C258" s="336"/>
      <c r="D258" s="336"/>
      <c r="E258" s="336"/>
      <c r="F258" s="336"/>
      <c r="G258" s="336"/>
      <c r="H258" s="336"/>
      <c r="I258" s="590"/>
      <c r="J258" s="338"/>
      <c r="K258" s="590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39"/>
      <c r="W258" s="339"/>
      <c r="X258" s="339"/>
      <c r="Y258" s="339"/>
    </row>
    <row r="259" spans="1:25" ht="24" customHeight="1">
      <c r="A259" s="336"/>
      <c r="B259" s="336"/>
      <c r="C259" s="336"/>
      <c r="D259" s="336"/>
      <c r="E259" s="336"/>
      <c r="F259" s="336"/>
      <c r="G259" s="336"/>
      <c r="H259" s="336"/>
      <c r="I259" s="590"/>
      <c r="J259" s="338"/>
      <c r="K259" s="590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39"/>
      <c r="W259" s="339"/>
      <c r="X259" s="339"/>
      <c r="Y259" s="339"/>
    </row>
    <row r="260" spans="1:25" ht="24" customHeight="1">
      <c r="A260" s="336"/>
      <c r="B260" s="336"/>
      <c r="C260" s="336"/>
      <c r="D260" s="336"/>
      <c r="E260" s="336"/>
      <c r="F260" s="336"/>
      <c r="G260" s="336"/>
      <c r="H260" s="336"/>
      <c r="I260" s="590"/>
      <c r="J260" s="338"/>
      <c r="K260" s="590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39"/>
      <c r="W260" s="339"/>
      <c r="X260" s="339"/>
      <c r="Y260" s="339"/>
    </row>
    <row r="261" spans="1:25" ht="24" customHeight="1">
      <c r="A261" s="336"/>
      <c r="B261" s="336"/>
      <c r="C261" s="336"/>
      <c r="D261" s="336"/>
      <c r="E261" s="336"/>
      <c r="F261" s="336"/>
      <c r="G261" s="336"/>
      <c r="H261" s="336"/>
      <c r="I261" s="590"/>
      <c r="J261" s="338"/>
      <c r="K261" s="590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339"/>
      <c r="W261" s="339"/>
      <c r="X261" s="339"/>
      <c r="Y261" s="339"/>
    </row>
    <row r="262" spans="1:25" ht="24" customHeight="1">
      <c r="A262" s="336"/>
      <c r="B262" s="336"/>
      <c r="C262" s="336"/>
      <c r="D262" s="336"/>
      <c r="E262" s="336"/>
      <c r="F262" s="336"/>
      <c r="G262" s="336"/>
      <c r="H262" s="336"/>
      <c r="I262" s="590"/>
      <c r="J262" s="338"/>
      <c r="K262" s="590"/>
      <c r="L262" s="339"/>
      <c r="M262" s="339"/>
      <c r="N262" s="339"/>
      <c r="O262" s="339"/>
      <c r="P262" s="339"/>
      <c r="Q262" s="339"/>
      <c r="R262" s="339"/>
      <c r="S262" s="339"/>
      <c r="T262" s="339"/>
      <c r="U262" s="339"/>
      <c r="V262" s="339"/>
      <c r="W262" s="339"/>
      <c r="X262" s="339"/>
      <c r="Y262" s="339"/>
    </row>
    <row r="263" spans="1:25" ht="24" customHeight="1">
      <c r="A263" s="336"/>
      <c r="B263" s="336"/>
      <c r="C263" s="336"/>
      <c r="D263" s="336"/>
      <c r="E263" s="336"/>
      <c r="F263" s="336"/>
      <c r="G263" s="336"/>
      <c r="H263" s="336"/>
      <c r="I263" s="590"/>
      <c r="J263" s="338"/>
      <c r="K263" s="590"/>
      <c r="L263" s="339"/>
      <c r="M263" s="339"/>
      <c r="N263" s="339"/>
      <c r="O263" s="339"/>
      <c r="P263" s="339"/>
      <c r="Q263" s="339"/>
      <c r="R263" s="339"/>
      <c r="S263" s="339"/>
      <c r="T263" s="339"/>
      <c r="U263" s="339"/>
      <c r="V263" s="339"/>
      <c r="W263" s="339"/>
      <c r="X263" s="339"/>
      <c r="Y263" s="339"/>
    </row>
    <row r="264" spans="1:25" ht="24" customHeight="1">
      <c r="A264" s="336"/>
      <c r="B264" s="336"/>
      <c r="C264" s="336"/>
      <c r="D264" s="336"/>
      <c r="E264" s="336"/>
      <c r="F264" s="336"/>
      <c r="G264" s="336"/>
      <c r="H264" s="336"/>
      <c r="I264" s="590"/>
      <c r="J264" s="338"/>
      <c r="K264" s="590"/>
      <c r="L264" s="339"/>
      <c r="M264" s="339"/>
      <c r="N264" s="339"/>
      <c r="O264" s="339"/>
      <c r="P264" s="339"/>
      <c r="Q264" s="339"/>
      <c r="R264" s="339"/>
      <c r="S264" s="339"/>
      <c r="T264" s="339"/>
      <c r="U264" s="339"/>
      <c r="V264" s="339"/>
      <c r="W264" s="339"/>
      <c r="X264" s="339"/>
      <c r="Y264" s="339"/>
    </row>
    <row r="265" spans="1:25" ht="24" customHeight="1">
      <c r="A265" s="336"/>
      <c r="B265" s="336"/>
      <c r="C265" s="336"/>
      <c r="D265" s="336"/>
      <c r="E265" s="336"/>
      <c r="F265" s="336"/>
      <c r="G265" s="336"/>
      <c r="H265" s="336"/>
      <c r="I265" s="590"/>
      <c r="J265" s="338"/>
      <c r="K265" s="590"/>
      <c r="L265" s="339"/>
      <c r="M265" s="339"/>
      <c r="N265" s="339"/>
      <c r="O265" s="339"/>
      <c r="P265" s="339"/>
      <c r="Q265" s="339"/>
      <c r="R265" s="339"/>
      <c r="S265" s="339"/>
      <c r="T265" s="339"/>
      <c r="U265" s="339"/>
      <c r="V265" s="339"/>
      <c r="W265" s="339"/>
      <c r="X265" s="339"/>
      <c r="Y265" s="339"/>
    </row>
    <row r="266" spans="1:25" ht="24" customHeight="1">
      <c r="A266" s="336"/>
      <c r="B266" s="336"/>
      <c r="C266" s="336"/>
      <c r="D266" s="336"/>
      <c r="E266" s="336"/>
      <c r="F266" s="336"/>
      <c r="G266" s="336"/>
      <c r="H266" s="336"/>
      <c r="I266" s="590"/>
      <c r="J266" s="338"/>
      <c r="K266" s="590"/>
      <c r="L266" s="339"/>
      <c r="M266" s="339"/>
      <c r="N266" s="339"/>
      <c r="O266" s="339"/>
      <c r="P266" s="339"/>
      <c r="Q266" s="339"/>
      <c r="R266" s="339"/>
      <c r="S266" s="339"/>
      <c r="T266" s="339"/>
      <c r="U266" s="339"/>
      <c r="V266" s="339"/>
      <c r="W266" s="339"/>
      <c r="X266" s="339"/>
      <c r="Y266" s="339"/>
    </row>
    <row r="267" spans="1:25" ht="24" customHeight="1">
      <c r="A267" s="336"/>
      <c r="B267" s="336"/>
      <c r="C267" s="336"/>
      <c r="D267" s="336"/>
      <c r="E267" s="336"/>
      <c r="F267" s="336"/>
      <c r="G267" s="336"/>
      <c r="H267" s="336"/>
      <c r="I267" s="590"/>
      <c r="J267" s="338"/>
      <c r="K267" s="590"/>
      <c r="L267" s="339"/>
      <c r="M267" s="339"/>
      <c r="N267" s="339"/>
      <c r="O267" s="339"/>
      <c r="P267" s="339"/>
      <c r="Q267" s="339"/>
      <c r="R267" s="339"/>
      <c r="S267" s="339"/>
      <c r="T267" s="339"/>
      <c r="U267" s="339"/>
      <c r="V267" s="339"/>
      <c r="W267" s="339"/>
      <c r="X267" s="339"/>
      <c r="Y267" s="339"/>
    </row>
    <row r="268" spans="1:25" ht="24" customHeight="1">
      <c r="A268" s="336"/>
      <c r="B268" s="336"/>
      <c r="C268" s="336"/>
      <c r="D268" s="336"/>
      <c r="E268" s="336"/>
      <c r="F268" s="336"/>
      <c r="G268" s="336"/>
      <c r="H268" s="336"/>
      <c r="I268" s="590"/>
      <c r="J268" s="338"/>
      <c r="K268" s="590"/>
      <c r="L268" s="339"/>
      <c r="M268" s="339"/>
      <c r="N268" s="339"/>
      <c r="O268" s="339"/>
      <c r="P268" s="339"/>
      <c r="Q268" s="339"/>
      <c r="R268" s="339"/>
      <c r="S268" s="339"/>
      <c r="T268" s="339"/>
      <c r="U268" s="339"/>
      <c r="V268" s="339"/>
      <c r="W268" s="339"/>
      <c r="X268" s="339"/>
      <c r="Y268" s="339"/>
    </row>
    <row r="269" spans="1:25" ht="24" customHeight="1">
      <c r="A269" s="336"/>
      <c r="B269" s="336"/>
      <c r="C269" s="336"/>
      <c r="D269" s="336"/>
      <c r="E269" s="336"/>
      <c r="F269" s="336"/>
      <c r="G269" s="336"/>
      <c r="H269" s="336"/>
      <c r="I269" s="590"/>
      <c r="J269" s="338"/>
      <c r="K269" s="590"/>
      <c r="L269" s="339"/>
      <c r="M269" s="339"/>
      <c r="N269" s="339"/>
      <c r="O269" s="339"/>
      <c r="P269" s="339"/>
      <c r="Q269" s="339"/>
      <c r="R269" s="339"/>
      <c r="S269" s="339"/>
      <c r="T269" s="339"/>
      <c r="U269" s="339"/>
      <c r="V269" s="339"/>
      <c r="W269" s="339"/>
      <c r="X269" s="339"/>
      <c r="Y269" s="339"/>
    </row>
    <row r="270" spans="1:25" ht="24" customHeight="1">
      <c r="A270" s="336"/>
      <c r="B270" s="336"/>
      <c r="C270" s="336"/>
      <c r="D270" s="336"/>
      <c r="E270" s="336"/>
      <c r="F270" s="336"/>
      <c r="G270" s="336"/>
      <c r="H270" s="336"/>
      <c r="I270" s="590"/>
      <c r="J270" s="338"/>
      <c r="K270" s="590"/>
      <c r="L270" s="339"/>
      <c r="M270" s="339"/>
      <c r="N270" s="339"/>
      <c r="O270" s="339"/>
      <c r="P270" s="339"/>
      <c r="Q270" s="339"/>
      <c r="R270" s="339"/>
      <c r="S270" s="339"/>
      <c r="T270" s="339"/>
      <c r="U270" s="339"/>
      <c r="V270" s="339"/>
      <c r="W270" s="339"/>
      <c r="X270" s="339"/>
      <c r="Y270" s="339"/>
    </row>
    <row r="271" spans="1:25" ht="24" customHeight="1">
      <c r="A271" s="336"/>
      <c r="B271" s="336"/>
      <c r="C271" s="336"/>
      <c r="D271" s="336"/>
      <c r="E271" s="336"/>
      <c r="F271" s="336"/>
      <c r="G271" s="336"/>
      <c r="H271" s="336"/>
      <c r="I271" s="590"/>
      <c r="J271" s="338"/>
      <c r="K271" s="590"/>
      <c r="L271" s="339"/>
      <c r="M271" s="339"/>
      <c r="N271" s="339"/>
      <c r="O271" s="339"/>
      <c r="P271" s="339"/>
      <c r="Q271" s="339"/>
      <c r="R271" s="339"/>
      <c r="S271" s="339"/>
      <c r="T271" s="339"/>
      <c r="U271" s="339"/>
      <c r="V271" s="339"/>
      <c r="W271" s="339"/>
      <c r="X271" s="339"/>
      <c r="Y271" s="339"/>
    </row>
    <row r="272" spans="1:25" ht="24" customHeight="1">
      <c r="A272" s="336"/>
      <c r="B272" s="336"/>
      <c r="C272" s="336"/>
      <c r="D272" s="336"/>
      <c r="E272" s="336"/>
      <c r="F272" s="336"/>
      <c r="G272" s="336"/>
      <c r="H272" s="336"/>
      <c r="I272" s="590"/>
      <c r="J272" s="338"/>
      <c r="K272" s="590"/>
      <c r="L272" s="339"/>
      <c r="M272" s="339"/>
      <c r="N272" s="339"/>
      <c r="O272" s="339"/>
      <c r="P272" s="339"/>
      <c r="Q272" s="339"/>
      <c r="R272" s="339"/>
      <c r="S272" s="339"/>
      <c r="T272" s="339"/>
      <c r="U272" s="339"/>
      <c r="V272" s="339"/>
      <c r="W272" s="339"/>
      <c r="X272" s="339"/>
      <c r="Y272" s="339"/>
    </row>
    <row r="273" spans="1:25" ht="24" customHeight="1">
      <c r="A273" s="336"/>
      <c r="B273" s="336"/>
      <c r="C273" s="336"/>
      <c r="D273" s="336"/>
      <c r="E273" s="336"/>
      <c r="F273" s="336"/>
      <c r="G273" s="336"/>
      <c r="H273" s="336"/>
      <c r="I273" s="590"/>
      <c r="J273" s="338"/>
      <c r="K273" s="590"/>
      <c r="L273" s="339"/>
      <c r="M273" s="339"/>
      <c r="N273" s="339"/>
      <c r="O273" s="339"/>
      <c r="P273" s="339"/>
      <c r="Q273" s="339"/>
      <c r="R273" s="339"/>
      <c r="S273" s="339"/>
      <c r="T273" s="339"/>
      <c r="U273" s="339"/>
      <c r="V273" s="339"/>
      <c r="W273" s="339"/>
      <c r="X273" s="339"/>
      <c r="Y273" s="339"/>
    </row>
    <row r="274" spans="1:25" ht="24" customHeight="1">
      <c r="A274" s="336"/>
      <c r="B274" s="336"/>
      <c r="C274" s="336"/>
      <c r="D274" s="336"/>
      <c r="E274" s="336"/>
      <c r="F274" s="336"/>
      <c r="G274" s="336"/>
      <c r="H274" s="336"/>
      <c r="I274" s="590"/>
      <c r="J274" s="338"/>
      <c r="K274" s="590"/>
      <c r="L274" s="339"/>
      <c r="M274" s="339"/>
      <c r="N274" s="339"/>
      <c r="O274" s="339"/>
      <c r="P274" s="339"/>
      <c r="Q274" s="339"/>
      <c r="R274" s="339"/>
      <c r="S274" s="339"/>
      <c r="T274" s="339"/>
      <c r="U274" s="339"/>
      <c r="V274" s="339"/>
      <c r="W274" s="339"/>
      <c r="X274" s="339"/>
      <c r="Y274" s="339"/>
    </row>
    <row r="275" spans="1:25" ht="24" customHeight="1">
      <c r="A275" s="336"/>
      <c r="B275" s="336"/>
      <c r="C275" s="336"/>
      <c r="D275" s="336"/>
      <c r="E275" s="336"/>
      <c r="F275" s="336"/>
      <c r="G275" s="336"/>
      <c r="H275" s="336"/>
      <c r="I275" s="590"/>
      <c r="J275" s="338"/>
      <c r="K275" s="590"/>
      <c r="L275" s="339"/>
      <c r="M275" s="339"/>
      <c r="N275" s="339"/>
      <c r="O275" s="339"/>
      <c r="P275" s="339"/>
      <c r="Q275" s="339"/>
      <c r="R275" s="339"/>
      <c r="S275" s="339"/>
      <c r="T275" s="339"/>
      <c r="U275" s="339"/>
      <c r="V275" s="339"/>
      <c r="W275" s="339"/>
      <c r="X275" s="339"/>
      <c r="Y275" s="339"/>
    </row>
    <row r="276" spans="1:25" ht="24" customHeight="1">
      <c r="A276" s="336"/>
      <c r="B276" s="336"/>
      <c r="C276" s="336"/>
      <c r="D276" s="336"/>
      <c r="E276" s="336"/>
      <c r="F276" s="336"/>
      <c r="G276" s="336"/>
      <c r="H276" s="336"/>
      <c r="I276" s="590"/>
      <c r="J276" s="338"/>
      <c r="K276" s="590"/>
      <c r="L276" s="339"/>
      <c r="M276" s="339"/>
      <c r="N276" s="339"/>
      <c r="O276" s="339"/>
      <c r="P276" s="339"/>
      <c r="Q276" s="339"/>
      <c r="R276" s="339"/>
      <c r="S276" s="339"/>
      <c r="T276" s="339"/>
      <c r="U276" s="339"/>
      <c r="V276" s="339"/>
      <c r="W276" s="339"/>
      <c r="X276" s="339"/>
      <c r="Y276" s="339"/>
    </row>
    <row r="277" spans="1:25" ht="24" customHeight="1">
      <c r="A277" s="336"/>
      <c r="B277" s="336"/>
      <c r="C277" s="336"/>
      <c r="D277" s="336"/>
      <c r="E277" s="336"/>
      <c r="F277" s="336"/>
      <c r="G277" s="336"/>
      <c r="H277" s="336"/>
      <c r="I277" s="590"/>
      <c r="J277" s="338"/>
      <c r="K277" s="590"/>
      <c r="L277" s="339"/>
      <c r="M277" s="339"/>
      <c r="N277" s="339"/>
      <c r="O277" s="339"/>
      <c r="P277" s="339"/>
      <c r="Q277" s="339"/>
      <c r="R277" s="339"/>
      <c r="S277" s="339"/>
      <c r="T277" s="339"/>
      <c r="U277" s="339"/>
      <c r="V277" s="339"/>
      <c r="W277" s="339"/>
      <c r="X277" s="339"/>
      <c r="Y277" s="339"/>
    </row>
    <row r="278" spans="1:25" ht="24" customHeight="1">
      <c r="A278" s="336"/>
      <c r="B278" s="336"/>
      <c r="C278" s="336"/>
      <c r="D278" s="336"/>
      <c r="E278" s="336"/>
      <c r="F278" s="336"/>
      <c r="G278" s="336"/>
      <c r="H278" s="336"/>
      <c r="I278" s="590"/>
      <c r="J278" s="338"/>
      <c r="K278" s="590"/>
      <c r="L278" s="339"/>
      <c r="M278" s="339"/>
      <c r="N278" s="339"/>
      <c r="O278" s="339"/>
      <c r="P278" s="339"/>
      <c r="Q278" s="339"/>
      <c r="R278" s="339"/>
      <c r="S278" s="339"/>
      <c r="T278" s="339"/>
      <c r="U278" s="339"/>
      <c r="V278" s="339"/>
      <c r="W278" s="339"/>
      <c r="X278" s="339"/>
      <c r="Y278" s="339"/>
    </row>
    <row r="279" spans="1:25" ht="24" customHeight="1">
      <c r="A279" s="336"/>
      <c r="B279" s="336"/>
      <c r="C279" s="336"/>
      <c r="D279" s="336"/>
      <c r="E279" s="336"/>
      <c r="F279" s="336"/>
      <c r="G279" s="336"/>
      <c r="H279" s="336"/>
      <c r="I279" s="590"/>
      <c r="J279" s="338"/>
      <c r="K279" s="590"/>
      <c r="L279" s="339"/>
      <c r="M279" s="339"/>
      <c r="N279" s="339"/>
      <c r="O279" s="339"/>
      <c r="P279" s="339"/>
      <c r="Q279" s="339"/>
      <c r="R279" s="339"/>
      <c r="S279" s="339"/>
      <c r="T279" s="339"/>
      <c r="U279" s="339"/>
      <c r="V279" s="339"/>
      <c r="W279" s="339"/>
      <c r="X279" s="339"/>
      <c r="Y279" s="339"/>
    </row>
    <row r="280" spans="1:25" ht="24" customHeight="1">
      <c r="A280" s="336"/>
      <c r="B280" s="336"/>
      <c r="C280" s="336"/>
      <c r="D280" s="336"/>
      <c r="E280" s="336"/>
      <c r="F280" s="336"/>
      <c r="G280" s="336"/>
      <c r="H280" s="336"/>
      <c r="I280" s="590"/>
      <c r="J280" s="338"/>
      <c r="K280" s="590"/>
      <c r="L280" s="339"/>
      <c r="M280" s="339"/>
      <c r="N280" s="339"/>
      <c r="O280" s="339"/>
      <c r="P280" s="339"/>
      <c r="Q280" s="339"/>
      <c r="R280" s="339"/>
      <c r="S280" s="339"/>
      <c r="T280" s="339"/>
      <c r="U280" s="339"/>
      <c r="V280" s="339"/>
      <c r="W280" s="339"/>
      <c r="X280" s="339"/>
      <c r="Y280" s="339"/>
    </row>
    <row r="281" spans="1:25" ht="24" customHeight="1">
      <c r="A281" s="336"/>
      <c r="B281" s="336"/>
      <c r="C281" s="336"/>
      <c r="D281" s="336"/>
      <c r="E281" s="336"/>
      <c r="F281" s="336"/>
      <c r="G281" s="336"/>
      <c r="H281" s="336"/>
      <c r="I281" s="590"/>
      <c r="J281" s="338"/>
      <c r="K281" s="590"/>
      <c r="L281" s="339"/>
      <c r="M281" s="339"/>
      <c r="N281" s="339"/>
      <c r="O281" s="339"/>
      <c r="P281" s="339"/>
      <c r="Q281" s="339"/>
      <c r="R281" s="339"/>
      <c r="S281" s="339"/>
      <c r="T281" s="339"/>
      <c r="U281" s="339"/>
      <c r="V281" s="339"/>
      <c r="W281" s="339"/>
      <c r="X281" s="339"/>
      <c r="Y281" s="339"/>
    </row>
    <row r="282" spans="1:25" ht="24" customHeight="1">
      <c r="A282" s="336"/>
      <c r="B282" s="336"/>
      <c r="C282" s="336"/>
      <c r="D282" s="336"/>
      <c r="E282" s="336"/>
      <c r="F282" s="336"/>
      <c r="G282" s="336"/>
      <c r="H282" s="336"/>
      <c r="I282" s="590"/>
      <c r="J282" s="338"/>
      <c r="K282" s="590"/>
      <c r="L282" s="339"/>
      <c r="M282" s="339"/>
      <c r="N282" s="339"/>
      <c r="O282" s="339"/>
      <c r="P282" s="339"/>
      <c r="Q282" s="339"/>
      <c r="R282" s="339"/>
      <c r="S282" s="339"/>
      <c r="T282" s="339"/>
      <c r="U282" s="339"/>
      <c r="V282" s="339"/>
      <c r="W282" s="339"/>
      <c r="X282" s="339"/>
      <c r="Y282" s="339"/>
    </row>
    <row r="283" spans="1:25" ht="24" customHeight="1">
      <c r="A283" s="336"/>
      <c r="B283" s="336"/>
      <c r="C283" s="336"/>
      <c r="D283" s="336"/>
      <c r="E283" s="336"/>
      <c r="F283" s="336"/>
      <c r="G283" s="336"/>
      <c r="H283" s="336"/>
      <c r="I283" s="590"/>
      <c r="J283" s="338"/>
      <c r="K283" s="590"/>
      <c r="L283" s="339"/>
      <c r="M283" s="339"/>
      <c r="N283" s="339"/>
      <c r="O283" s="339"/>
      <c r="P283" s="339"/>
      <c r="Q283" s="339"/>
      <c r="R283" s="339"/>
      <c r="S283" s="339"/>
      <c r="T283" s="339"/>
      <c r="U283" s="339"/>
      <c r="V283" s="339"/>
      <c r="W283" s="339"/>
      <c r="X283" s="339"/>
      <c r="Y283" s="339"/>
    </row>
    <row r="284" spans="1:25" ht="24" customHeight="1">
      <c r="A284" s="336"/>
      <c r="B284" s="336"/>
      <c r="C284" s="336"/>
      <c r="D284" s="336"/>
      <c r="E284" s="336"/>
      <c r="F284" s="336"/>
      <c r="G284" s="336"/>
      <c r="H284" s="336"/>
      <c r="I284" s="590"/>
      <c r="J284" s="338"/>
      <c r="K284" s="590"/>
      <c r="L284" s="339"/>
      <c r="M284" s="339"/>
      <c r="N284" s="339"/>
      <c r="O284" s="339"/>
      <c r="P284" s="339"/>
      <c r="Q284" s="339"/>
      <c r="R284" s="339"/>
      <c r="S284" s="339"/>
      <c r="T284" s="339"/>
      <c r="U284" s="339"/>
      <c r="V284" s="339"/>
      <c r="W284" s="339"/>
      <c r="X284" s="339"/>
      <c r="Y284" s="339"/>
    </row>
    <row r="285" spans="1:25" ht="24" customHeight="1">
      <c r="A285" s="336"/>
      <c r="B285" s="336"/>
      <c r="C285" s="336"/>
      <c r="D285" s="336"/>
      <c r="E285" s="336"/>
      <c r="F285" s="336"/>
      <c r="G285" s="336"/>
      <c r="H285" s="336"/>
      <c r="I285" s="590"/>
      <c r="J285" s="338"/>
      <c r="K285" s="590"/>
      <c r="L285" s="339"/>
      <c r="M285" s="339"/>
      <c r="N285" s="339"/>
      <c r="O285" s="339"/>
      <c r="P285" s="339"/>
      <c r="Q285" s="339"/>
      <c r="R285" s="339"/>
      <c r="S285" s="339"/>
      <c r="T285" s="339"/>
      <c r="U285" s="339"/>
      <c r="V285" s="339"/>
      <c r="W285" s="339"/>
      <c r="X285" s="339"/>
      <c r="Y285" s="339"/>
    </row>
    <row r="286" spans="1:25" ht="24" customHeight="1">
      <c r="A286" s="336"/>
      <c r="B286" s="336"/>
      <c r="C286" s="336"/>
      <c r="D286" s="336"/>
      <c r="E286" s="336"/>
      <c r="F286" s="336"/>
      <c r="G286" s="336"/>
      <c r="H286" s="336"/>
      <c r="I286" s="590"/>
      <c r="J286" s="338"/>
      <c r="K286" s="590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39"/>
      <c r="W286" s="339"/>
      <c r="X286" s="339"/>
      <c r="Y286" s="339"/>
    </row>
    <row r="287" spans="1:25" ht="24" customHeight="1">
      <c r="A287" s="336"/>
      <c r="B287" s="336"/>
      <c r="C287" s="336"/>
      <c r="D287" s="336"/>
      <c r="E287" s="336"/>
      <c r="F287" s="336"/>
      <c r="G287" s="336"/>
      <c r="H287" s="336"/>
      <c r="I287" s="590"/>
      <c r="J287" s="338"/>
      <c r="K287" s="590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39"/>
      <c r="W287" s="339"/>
      <c r="X287" s="339"/>
      <c r="Y287" s="339"/>
    </row>
    <row r="288" spans="1:25" ht="24" customHeight="1">
      <c r="A288" s="336"/>
      <c r="B288" s="336"/>
      <c r="C288" s="336"/>
      <c r="D288" s="336"/>
      <c r="E288" s="336"/>
      <c r="F288" s="336"/>
      <c r="G288" s="336"/>
      <c r="H288" s="336"/>
      <c r="I288" s="590"/>
      <c r="J288" s="338"/>
      <c r="K288" s="590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39"/>
      <c r="W288" s="339"/>
      <c r="X288" s="339"/>
      <c r="Y288" s="339"/>
    </row>
    <row r="289" spans="1:25" ht="24" customHeight="1">
      <c r="A289" s="336"/>
      <c r="B289" s="336"/>
      <c r="C289" s="336"/>
      <c r="D289" s="336"/>
      <c r="E289" s="336"/>
      <c r="F289" s="336"/>
      <c r="G289" s="336"/>
      <c r="H289" s="336"/>
      <c r="I289" s="590"/>
      <c r="J289" s="338"/>
      <c r="K289" s="590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39"/>
      <c r="W289" s="339"/>
      <c r="X289" s="339"/>
      <c r="Y289" s="339"/>
    </row>
    <row r="290" spans="1:25" ht="24" customHeight="1">
      <c r="A290" s="336"/>
      <c r="B290" s="336"/>
      <c r="C290" s="336"/>
      <c r="D290" s="336"/>
      <c r="E290" s="336"/>
      <c r="F290" s="336"/>
      <c r="G290" s="336"/>
      <c r="H290" s="336"/>
      <c r="I290" s="590"/>
      <c r="J290" s="338"/>
      <c r="K290" s="590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339"/>
      <c r="W290" s="339"/>
      <c r="X290" s="339"/>
      <c r="Y290" s="339"/>
    </row>
    <row r="291" spans="1:25" ht="24" customHeight="1">
      <c r="A291" s="336"/>
      <c r="B291" s="336"/>
      <c r="C291" s="336"/>
      <c r="D291" s="336"/>
      <c r="E291" s="336"/>
      <c r="F291" s="336"/>
      <c r="G291" s="336"/>
      <c r="H291" s="336"/>
      <c r="I291" s="590"/>
      <c r="J291" s="338"/>
      <c r="K291" s="590"/>
      <c r="L291" s="339"/>
      <c r="M291" s="339"/>
      <c r="N291" s="339"/>
      <c r="O291" s="339"/>
      <c r="P291" s="339"/>
      <c r="Q291" s="339"/>
      <c r="R291" s="339"/>
      <c r="S291" s="339"/>
      <c r="T291" s="339"/>
      <c r="U291" s="339"/>
      <c r="V291" s="339"/>
      <c r="W291" s="339"/>
      <c r="X291" s="339"/>
      <c r="Y291" s="339"/>
    </row>
    <row r="292" spans="1:25" ht="24" customHeight="1">
      <c r="A292" s="336"/>
      <c r="B292" s="336"/>
      <c r="C292" s="336"/>
      <c r="D292" s="336"/>
      <c r="E292" s="336"/>
      <c r="F292" s="336"/>
      <c r="G292" s="336"/>
      <c r="H292" s="336"/>
      <c r="I292" s="590"/>
      <c r="J292" s="338"/>
      <c r="K292" s="590"/>
      <c r="L292" s="339"/>
      <c r="M292" s="339"/>
      <c r="N292" s="339"/>
      <c r="O292" s="339"/>
      <c r="P292" s="339"/>
      <c r="Q292" s="339"/>
      <c r="R292" s="339"/>
      <c r="S292" s="339"/>
      <c r="T292" s="339"/>
      <c r="U292" s="339"/>
      <c r="V292" s="339"/>
      <c r="W292" s="339"/>
      <c r="X292" s="339"/>
      <c r="Y292" s="339"/>
    </row>
    <row r="293" spans="1:25" ht="24" customHeight="1">
      <c r="A293" s="336"/>
      <c r="B293" s="336"/>
      <c r="C293" s="336"/>
      <c r="D293" s="336"/>
      <c r="E293" s="336"/>
      <c r="F293" s="336"/>
      <c r="G293" s="336"/>
      <c r="H293" s="336"/>
      <c r="I293" s="590"/>
      <c r="J293" s="338"/>
      <c r="K293" s="590"/>
      <c r="L293" s="339"/>
      <c r="M293" s="339"/>
      <c r="N293" s="339"/>
      <c r="O293" s="339"/>
      <c r="P293" s="339"/>
      <c r="Q293" s="339"/>
      <c r="R293" s="339"/>
      <c r="S293" s="339"/>
      <c r="T293" s="339"/>
      <c r="U293" s="339"/>
      <c r="V293" s="339"/>
      <c r="W293" s="339"/>
      <c r="X293" s="339"/>
      <c r="Y293" s="339"/>
    </row>
    <row r="294" spans="1:25" ht="24" customHeight="1">
      <c r="A294" s="336"/>
      <c r="B294" s="336"/>
      <c r="C294" s="336"/>
      <c r="D294" s="336"/>
      <c r="E294" s="336"/>
      <c r="F294" s="336"/>
      <c r="G294" s="336"/>
      <c r="H294" s="336"/>
      <c r="I294" s="590"/>
      <c r="J294" s="338"/>
      <c r="K294" s="590"/>
      <c r="L294" s="339"/>
      <c r="M294" s="339"/>
      <c r="N294" s="339"/>
      <c r="O294" s="339"/>
      <c r="P294" s="339"/>
      <c r="Q294" s="339"/>
      <c r="R294" s="339"/>
      <c r="S294" s="339"/>
      <c r="T294" s="339"/>
      <c r="U294" s="339"/>
      <c r="V294" s="339"/>
      <c r="W294" s="339"/>
      <c r="X294" s="339"/>
      <c r="Y294" s="339"/>
    </row>
    <row r="295" spans="1:25" ht="24" customHeight="1">
      <c r="A295" s="336"/>
      <c r="B295" s="336"/>
      <c r="C295" s="336"/>
      <c r="D295" s="336"/>
      <c r="E295" s="336"/>
      <c r="F295" s="336"/>
      <c r="G295" s="336"/>
      <c r="H295" s="336"/>
      <c r="I295" s="590"/>
      <c r="J295" s="338"/>
      <c r="K295" s="590"/>
      <c r="L295" s="339"/>
      <c r="M295" s="339"/>
      <c r="N295" s="339"/>
      <c r="O295" s="339"/>
      <c r="P295" s="339"/>
      <c r="Q295" s="339"/>
      <c r="R295" s="339"/>
      <c r="S295" s="339"/>
      <c r="T295" s="339"/>
      <c r="U295" s="339"/>
      <c r="V295" s="339"/>
      <c r="W295" s="339"/>
      <c r="X295" s="339"/>
      <c r="Y295" s="339"/>
    </row>
    <row r="296" spans="1:25" ht="24" customHeight="1">
      <c r="A296" s="336"/>
      <c r="B296" s="336"/>
      <c r="C296" s="336"/>
      <c r="D296" s="336"/>
      <c r="E296" s="336"/>
      <c r="F296" s="336"/>
      <c r="G296" s="336"/>
      <c r="H296" s="336"/>
      <c r="I296" s="590"/>
      <c r="J296" s="338"/>
      <c r="K296" s="590"/>
      <c r="L296" s="339"/>
      <c r="M296" s="339"/>
      <c r="N296" s="339"/>
      <c r="O296" s="339"/>
      <c r="P296" s="339"/>
      <c r="Q296" s="339"/>
      <c r="R296" s="339"/>
      <c r="S296" s="339"/>
      <c r="T296" s="339"/>
      <c r="U296" s="339"/>
      <c r="V296" s="339"/>
      <c r="W296" s="339"/>
      <c r="X296" s="339"/>
      <c r="Y296" s="339"/>
    </row>
    <row r="297" spans="1:25" ht="24" customHeight="1">
      <c r="A297" s="336"/>
      <c r="B297" s="336"/>
      <c r="C297" s="336"/>
      <c r="D297" s="336"/>
      <c r="E297" s="336"/>
      <c r="F297" s="336"/>
      <c r="G297" s="336"/>
      <c r="H297" s="336"/>
      <c r="I297" s="590"/>
      <c r="J297" s="338"/>
      <c r="K297" s="590"/>
      <c r="L297" s="339"/>
      <c r="M297" s="339"/>
      <c r="N297" s="339"/>
      <c r="O297" s="339"/>
      <c r="P297" s="339"/>
      <c r="Q297" s="339"/>
      <c r="R297" s="339"/>
      <c r="S297" s="339"/>
      <c r="T297" s="339"/>
      <c r="U297" s="339"/>
      <c r="V297" s="339"/>
      <c r="W297" s="339"/>
      <c r="X297" s="339"/>
      <c r="Y297" s="339"/>
    </row>
    <row r="298" spans="1:25" ht="24" customHeight="1">
      <c r="A298" s="336"/>
      <c r="B298" s="336"/>
      <c r="C298" s="336"/>
      <c r="D298" s="336"/>
      <c r="E298" s="336"/>
      <c r="F298" s="336"/>
      <c r="G298" s="336"/>
      <c r="H298" s="336"/>
      <c r="I298" s="590"/>
      <c r="J298" s="338"/>
      <c r="K298" s="590"/>
      <c r="L298" s="339"/>
      <c r="M298" s="339"/>
      <c r="N298" s="339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</row>
    <row r="299" spans="1:25" ht="24" customHeight="1">
      <c r="A299" s="336"/>
      <c r="B299" s="336"/>
      <c r="C299" s="336"/>
      <c r="D299" s="336"/>
      <c r="E299" s="336"/>
      <c r="F299" s="336"/>
      <c r="G299" s="336"/>
      <c r="H299" s="336"/>
      <c r="I299" s="590"/>
      <c r="J299" s="338"/>
      <c r="K299" s="590"/>
      <c r="L299" s="339"/>
      <c r="M299" s="339"/>
      <c r="N299" s="339"/>
      <c r="O299" s="339"/>
      <c r="P299" s="339"/>
      <c r="Q299" s="339"/>
      <c r="R299" s="339"/>
      <c r="S299" s="339"/>
      <c r="T299" s="339"/>
      <c r="U299" s="339"/>
      <c r="V299" s="339"/>
      <c r="W299" s="339"/>
      <c r="X299" s="339"/>
      <c r="Y299" s="339"/>
    </row>
    <row r="300" spans="1:25" ht="24" customHeight="1">
      <c r="A300" s="336"/>
      <c r="B300" s="336"/>
      <c r="C300" s="336"/>
      <c r="D300" s="336"/>
      <c r="E300" s="336"/>
      <c r="F300" s="336"/>
      <c r="G300" s="336"/>
      <c r="H300" s="336"/>
      <c r="I300" s="590"/>
      <c r="J300" s="338"/>
      <c r="K300" s="590"/>
      <c r="L300" s="339"/>
      <c r="M300" s="339"/>
      <c r="N300" s="339"/>
      <c r="O300" s="339"/>
      <c r="P300" s="339"/>
      <c r="Q300" s="339"/>
      <c r="R300" s="339"/>
      <c r="S300" s="339"/>
      <c r="T300" s="339"/>
      <c r="U300" s="339"/>
      <c r="V300" s="339"/>
      <c r="W300" s="339"/>
      <c r="X300" s="339"/>
      <c r="Y300" s="339"/>
    </row>
    <row r="301" spans="1:25" ht="24" customHeight="1">
      <c r="A301" s="336"/>
      <c r="B301" s="336"/>
      <c r="C301" s="336"/>
      <c r="D301" s="336"/>
      <c r="E301" s="336"/>
      <c r="F301" s="336"/>
      <c r="G301" s="336"/>
      <c r="H301" s="336"/>
      <c r="I301" s="590"/>
      <c r="J301" s="338"/>
      <c r="K301" s="590"/>
      <c r="L301" s="339"/>
      <c r="M301" s="339"/>
      <c r="N301" s="339"/>
      <c r="O301" s="339"/>
      <c r="P301" s="339"/>
      <c r="Q301" s="339"/>
      <c r="R301" s="339"/>
      <c r="S301" s="339"/>
      <c r="T301" s="339"/>
      <c r="U301" s="339"/>
      <c r="V301" s="339"/>
      <c r="W301" s="339"/>
      <c r="X301" s="339"/>
      <c r="Y301" s="339"/>
    </row>
    <row r="302" spans="1:25" ht="24" customHeight="1">
      <c r="A302" s="336"/>
      <c r="B302" s="336"/>
      <c r="C302" s="336"/>
      <c r="D302" s="336"/>
      <c r="E302" s="336"/>
      <c r="F302" s="336"/>
      <c r="G302" s="336"/>
      <c r="H302" s="336"/>
      <c r="I302" s="590"/>
      <c r="J302" s="338"/>
      <c r="K302" s="590"/>
      <c r="L302" s="339"/>
      <c r="M302" s="339"/>
      <c r="N302" s="339"/>
      <c r="O302" s="339"/>
      <c r="P302" s="339"/>
      <c r="Q302" s="339"/>
      <c r="R302" s="339"/>
      <c r="S302" s="339"/>
      <c r="T302" s="339"/>
      <c r="U302" s="339"/>
      <c r="V302" s="339"/>
      <c r="W302" s="339"/>
      <c r="X302" s="339"/>
      <c r="Y302" s="339"/>
    </row>
    <row r="303" spans="1:25" ht="24" customHeight="1">
      <c r="A303" s="336"/>
      <c r="B303" s="336"/>
      <c r="C303" s="336"/>
      <c r="D303" s="336"/>
      <c r="E303" s="336"/>
      <c r="F303" s="336"/>
      <c r="G303" s="336"/>
      <c r="H303" s="336"/>
      <c r="I303" s="590"/>
      <c r="J303" s="338"/>
      <c r="K303" s="590"/>
      <c r="L303" s="339"/>
      <c r="M303" s="339"/>
      <c r="N303" s="339"/>
      <c r="O303" s="339"/>
      <c r="P303" s="339"/>
      <c r="Q303" s="339"/>
      <c r="R303" s="339"/>
      <c r="S303" s="339"/>
      <c r="T303" s="339"/>
      <c r="U303" s="339"/>
      <c r="V303" s="339"/>
      <c r="W303" s="339"/>
      <c r="X303" s="339"/>
      <c r="Y303" s="339"/>
    </row>
    <row r="304" spans="1:25" ht="24" customHeight="1">
      <c r="A304" s="336"/>
      <c r="B304" s="336"/>
      <c r="C304" s="336"/>
      <c r="D304" s="336"/>
      <c r="E304" s="336"/>
      <c r="F304" s="336"/>
      <c r="G304" s="336"/>
      <c r="H304" s="336"/>
      <c r="I304" s="590"/>
      <c r="J304" s="338"/>
      <c r="K304" s="590"/>
      <c r="L304" s="339"/>
      <c r="M304" s="339"/>
      <c r="N304" s="339"/>
      <c r="O304" s="339"/>
      <c r="P304" s="339"/>
      <c r="Q304" s="339"/>
      <c r="R304" s="339"/>
      <c r="S304" s="339"/>
      <c r="T304" s="339"/>
      <c r="U304" s="339"/>
      <c r="V304" s="339"/>
      <c r="W304" s="339"/>
      <c r="X304" s="339"/>
      <c r="Y304" s="339"/>
    </row>
    <row r="305" spans="1:25" ht="24" customHeight="1">
      <c r="A305" s="336"/>
      <c r="B305" s="336"/>
      <c r="C305" s="336"/>
      <c r="D305" s="336"/>
      <c r="E305" s="336"/>
      <c r="F305" s="336"/>
      <c r="G305" s="336"/>
      <c r="H305" s="336"/>
      <c r="I305" s="590"/>
      <c r="J305" s="338"/>
      <c r="K305" s="590"/>
      <c r="L305" s="339"/>
      <c r="M305" s="339"/>
      <c r="N305" s="339"/>
      <c r="O305" s="339"/>
      <c r="P305" s="339"/>
      <c r="Q305" s="339"/>
      <c r="R305" s="339"/>
      <c r="S305" s="339"/>
      <c r="T305" s="339"/>
      <c r="U305" s="339"/>
      <c r="V305" s="339"/>
      <c r="W305" s="339"/>
      <c r="X305" s="339"/>
      <c r="Y305" s="339"/>
    </row>
    <row r="306" spans="1:25" ht="24" customHeight="1">
      <c r="A306" s="336"/>
      <c r="B306" s="336"/>
      <c r="C306" s="336"/>
      <c r="D306" s="336"/>
      <c r="E306" s="336"/>
      <c r="F306" s="336"/>
      <c r="G306" s="336"/>
      <c r="H306" s="336"/>
      <c r="I306" s="590"/>
      <c r="J306" s="338"/>
      <c r="K306" s="590"/>
      <c r="L306" s="339"/>
      <c r="M306" s="339"/>
      <c r="N306" s="339"/>
      <c r="O306" s="339"/>
      <c r="P306" s="339"/>
      <c r="Q306" s="339"/>
      <c r="R306" s="339"/>
      <c r="S306" s="339"/>
      <c r="T306" s="339"/>
      <c r="U306" s="339"/>
      <c r="V306" s="339"/>
      <c r="W306" s="339"/>
      <c r="X306" s="339"/>
      <c r="Y306" s="339"/>
    </row>
    <row r="307" spans="1:25" ht="24" customHeight="1">
      <c r="A307" s="336"/>
      <c r="B307" s="336"/>
      <c r="C307" s="336"/>
      <c r="D307" s="336"/>
      <c r="E307" s="336"/>
      <c r="F307" s="336"/>
      <c r="G307" s="336"/>
      <c r="H307" s="336"/>
      <c r="I307" s="590"/>
      <c r="J307" s="338"/>
      <c r="K307" s="590"/>
      <c r="L307" s="339"/>
      <c r="M307" s="339"/>
      <c r="N307" s="339"/>
      <c r="O307" s="339"/>
      <c r="P307" s="339"/>
      <c r="Q307" s="339"/>
      <c r="R307" s="339"/>
      <c r="S307" s="339"/>
      <c r="T307" s="339"/>
      <c r="U307" s="339"/>
      <c r="V307" s="339"/>
      <c r="W307" s="339"/>
      <c r="X307" s="339"/>
      <c r="Y307" s="339"/>
    </row>
    <row r="308" spans="1:25" ht="24" customHeight="1">
      <c r="A308" s="336"/>
      <c r="B308" s="336"/>
      <c r="C308" s="336"/>
      <c r="D308" s="336"/>
      <c r="E308" s="336"/>
      <c r="F308" s="336"/>
      <c r="G308" s="336"/>
      <c r="H308" s="336"/>
      <c r="I308" s="590"/>
      <c r="J308" s="338"/>
      <c r="K308" s="590"/>
      <c r="L308" s="339"/>
      <c r="M308" s="339"/>
      <c r="N308" s="339"/>
      <c r="O308" s="339"/>
      <c r="P308" s="339"/>
      <c r="Q308" s="339"/>
      <c r="R308" s="339"/>
      <c r="S308" s="339"/>
      <c r="T308" s="339"/>
      <c r="U308" s="339"/>
      <c r="V308" s="339"/>
      <c r="W308" s="339"/>
      <c r="X308" s="339"/>
      <c r="Y308" s="339"/>
    </row>
    <row r="309" spans="1:25" ht="24" customHeight="1">
      <c r="A309" s="336"/>
      <c r="B309" s="336"/>
      <c r="C309" s="336"/>
      <c r="D309" s="336"/>
      <c r="E309" s="336"/>
      <c r="F309" s="336"/>
      <c r="G309" s="336"/>
      <c r="H309" s="336"/>
      <c r="I309" s="590"/>
      <c r="J309" s="338"/>
      <c r="K309" s="590"/>
      <c r="L309" s="339"/>
      <c r="M309" s="339"/>
      <c r="N309" s="339"/>
      <c r="O309" s="339"/>
      <c r="P309" s="339"/>
      <c r="Q309" s="339"/>
      <c r="R309" s="339"/>
      <c r="S309" s="339"/>
      <c r="T309" s="339"/>
      <c r="U309" s="339"/>
      <c r="V309" s="339"/>
      <c r="W309" s="339"/>
      <c r="X309" s="339"/>
      <c r="Y309" s="339"/>
    </row>
    <row r="310" spans="1:25" ht="24" customHeight="1">
      <c r="A310" s="336"/>
      <c r="B310" s="336"/>
      <c r="C310" s="336"/>
      <c r="D310" s="336"/>
      <c r="E310" s="336"/>
      <c r="F310" s="336"/>
      <c r="G310" s="336"/>
      <c r="H310" s="336"/>
      <c r="I310" s="590"/>
      <c r="J310" s="338"/>
      <c r="K310" s="590"/>
      <c r="L310" s="339"/>
      <c r="M310" s="339"/>
      <c r="N310" s="339"/>
      <c r="O310" s="339"/>
      <c r="P310" s="339"/>
      <c r="Q310" s="339"/>
      <c r="R310" s="339"/>
      <c r="S310" s="339"/>
      <c r="T310" s="339"/>
      <c r="U310" s="339"/>
      <c r="V310" s="339"/>
      <c r="W310" s="339"/>
      <c r="X310" s="339"/>
      <c r="Y310" s="339"/>
    </row>
    <row r="311" spans="1:25" ht="24" customHeight="1">
      <c r="A311" s="336"/>
      <c r="B311" s="336"/>
      <c r="C311" s="336"/>
      <c r="D311" s="336"/>
      <c r="E311" s="336"/>
      <c r="F311" s="336"/>
      <c r="G311" s="336"/>
      <c r="H311" s="336"/>
      <c r="I311" s="590"/>
      <c r="J311" s="338"/>
      <c r="K311" s="590"/>
      <c r="L311" s="339"/>
      <c r="M311" s="339"/>
      <c r="N311" s="339"/>
      <c r="O311" s="339"/>
      <c r="P311" s="339"/>
      <c r="Q311" s="339"/>
      <c r="R311" s="339"/>
      <c r="S311" s="339"/>
      <c r="T311" s="339"/>
      <c r="U311" s="339"/>
      <c r="V311" s="339"/>
      <c r="W311" s="339"/>
      <c r="X311" s="339"/>
      <c r="Y311" s="339"/>
    </row>
    <row r="312" spans="1:25" ht="24" customHeight="1">
      <c r="A312" s="336"/>
      <c r="B312" s="336"/>
      <c r="C312" s="336"/>
      <c r="D312" s="336"/>
      <c r="E312" s="336"/>
      <c r="F312" s="336"/>
      <c r="G312" s="336"/>
      <c r="H312" s="336"/>
      <c r="I312" s="590"/>
      <c r="J312" s="338"/>
      <c r="K312" s="590"/>
      <c r="L312" s="339"/>
      <c r="M312" s="339"/>
      <c r="N312" s="339"/>
      <c r="O312" s="339"/>
      <c r="P312" s="339"/>
      <c r="Q312" s="339"/>
      <c r="R312" s="339"/>
      <c r="S312" s="339"/>
      <c r="T312" s="339"/>
      <c r="U312" s="339"/>
      <c r="V312" s="339"/>
      <c r="W312" s="339"/>
      <c r="X312" s="339"/>
      <c r="Y312" s="339"/>
    </row>
    <row r="313" spans="1:25" ht="24" customHeight="1">
      <c r="A313" s="336"/>
      <c r="B313" s="336"/>
      <c r="C313" s="336"/>
      <c r="D313" s="336"/>
      <c r="E313" s="336"/>
      <c r="F313" s="336"/>
      <c r="G313" s="336"/>
      <c r="H313" s="336"/>
      <c r="I313" s="590"/>
      <c r="J313" s="338"/>
      <c r="K313" s="590"/>
      <c r="L313" s="339"/>
      <c r="M313" s="339"/>
      <c r="N313" s="339"/>
      <c r="O313" s="339"/>
      <c r="P313" s="339"/>
      <c r="Q313" s="339"/>
      <c r="R313" s="339"/>
      <c r="S313" s="339"/>
      <c r="T313" s="339"/>
      <c r="U313" s="339"/>
      <c r="V313" s="339"/>
      <c r="W313" s="339"/>
      <c r="X313" s="339"/>
      <c r="Y313" s="339"/>
    </row>
    <row r="314" spans="1:25" ht="24" customHeight="1">
      <c r="A314" s="336"/>
      <c r="B314" s="336"/>
      <c r="C314" s="336"/>
      <c r="D314" s="336"/>
      <c r="E314" s="336"/>
      <c r="F314" s="336"/>
      <c r="G314" s="336"/>
      <c r="H314" s="336"/>
      <c r="I314" s="590"/>
      <c r="J314" s="338"/>
      <c r="K314" s="590"/>
      <c r="L314" s="339"/>
      <c r="M314" s="339"/>
      <c r="N314" s="339"/>
      <c r="O314" s="339"/>
      <c r="P314" s="339"/>
      <c r="Q314" s="339"/>
      <c r="R314" s="339"/>
      <c r="S314" s="339"/>
      <c r="T314" s="339"/>
      <c r="U314" s="339"/>
      <c r="V314" s="339"/>
      <c r="W314" s="339"/>
      <c r="X314" s="339"/>
      <c r="Y314" s="339"/>
    </row>
    <row r="315" spans="1:25" ht="15.75" customHeight="1">
      <c r="A315" s="339"/>
      <c r="B315" s="339"/>
      <c r="C315" s="339"/>
      <c r="D315" s="339"/>
      <c r="E315" s="339"/>
      <c r="F315" s="339"/>
      <c r="G315" s="339"/>
      <c r="H315" s="339"/>
      <c r="I315" s="591"/>
      <c r="J315" s="341"/>
      <c r="K315" s="591"/>
      <c r="L315" s="339"/>
      <c r="M315" s="339"/>
      <c r="N315" s="339"/>
      <c r="O315" s="339"/>
      <c r="P315" s="339"/>
      <c r="Q315" s="339"/>
      <c r="R315" s="339"/>
      <c r="S315" s="339"/>
      <c r="T315" s="339"/>
      <c r="U315" s="339"/>
      <c r="V315" s="339"/>
      <c r="W315" s="339"/>
      <c r="X315" s="339"/>
      <c r="Y315" s="339"/>
    </row>
    <row r="316" spans="1:25" ht="15.75" customHeight="1">
      <c r="A316" s="339"/>
      <c r="B316" s="339"/>
      <c r="C316" s="339"/>
      <c r="D316" s="339"/>
      <c r="E316" s="339"/>
      <c r="F316" s="339"/>
      <c r="G316" s="339"/>
      <c r="H316" s="339"/>
      <c r="I316" s="591"/>
      <c r="J316" s="341"/>
      <c r="K316" s="591"/>
      <c r="L316" s="339"/>
      <c r="M316" s="339"/>
      <c r="N316" s="339"/>
      <c r="O316" s="339"/>
      <c r="P316" s="339"/>
      <c r="Q316" s="339"/>
      <c r="R316" s="339"/>
      <c r="S316" s="339"/>
      <c r="T316" s="339"/>
      <c r="U316" s="339"/>
      <c r="V316" s="339"/>
      <c r="W316" s="339"/>
      <c r="X316" s="339"/>
      <c r="Y316" s="339"/>
    </row>
    <row r="317" spans="1:25" ht="15.75" customHeight="1">
      <c r="A317" s="339"/>
      <c r="B317" s="339"/>
      <c r="C317" s="339"/>
      <c r="D317" s="339"/>
      <c r="E317" s="339"/>
      <c r="F317" s="339"/>
      <c r="G317" s="339"/>
      <c r="H317" s="339"/>
      <c r="I317" s="591"/>
      <c r="J317" s="341"/>
      <c r="K317" s="591"/>
      <c r="L317" s="339"/>
      <c r="M317" s="339"/>
      <c r="N317" s="339"/>
      <c r="O317" s="339"/>
      <c r="P317" s="339"/>
      <c r="Q317" s="339"/>
      <c r="R317" s="339"/>
      <c r="S317" s="339"/>
      <c r="T317" s="339"/>
      <c r="U317" s="339"/>
      <c r="V317" s="339"/>
      <c r="W317" s="339"/>
      <c r="X317" s="339"/>
      <c r="Y317" s="339"/>
    </row>
    <row r="318" spans="1:25" ht="15.75" customHeight="1">
      <c r="A318" s="339"/>
      <c r="B318" s="339"/>
      <c r="C318" s="339"/>
      <c r="D318" s="339"/>
      <c r="E318" s="339"/>
      <c r="F318" s="339"/>
      <c r="G318" s="339"/>
      <c r="H318" s="339"/>
      <c r="I318" s="591"/>
      <c r="J318" s="341"/>
      <c r="K318" s="591"/>
      <c r="L318" s="339"/>
      <c r="M318" s="339"/>
      <c r="N318" s="339"/>
      <c r="O318" s="339"/>
      <c r="P318" s="339"/>
      <c r="Q318" s="339"/>
      <c r="R318" s="339"/>
      <c r="S318" s="339"/>
      <c r="T318" s="339"/>
      <c r="U318" s="339"/>
      <c r="V318" s="339"/>
      <c r="W318" s="339"/>
      <c r="X318" s="339"/>
      <c r="Y318" s="339"/>
    </row>
    <row r="319" spans="1:25" ht="15.75" customHeight="1">
      <c r="A319" s="339"/>
      <c r="B319" s="339"/>
      <c r="C319" s="339"/>
      <c r="D319" s="339"/>
      <c r="E319" s="339"/>
      <c r="F319" s="339"/>
      <c r="G319" s="339"/>
      <c r="H319" s="339"/>
      <c r="I319" s="591"/>
      <c r="J319" s="341"/>
      <c r="K319" s="591"/>
      <c r="L319" s="339"/>
      <c r="M319" s="339"/>
      <c r="N319" s="339"/>
      <c r="O319" s="339"/>
      <c r="P319" s="339"/>
      <c r="Q319" s="339"/>
      <c r="R319" s="339"/>
      <c r="S319" s="339"/>
      <c r="T319" s="339"/>
      <c r="U319" s="339"/>
      <c r="V319" s="339"/>
      <c r="W319" s="339"/>
      <c r="X319" s="339"/>
      <c r="Y319" s="339"/>
    </row>
    <row r="320" spans="1:25" ht="15.75" customHeight="1">
      <c r="A320" s="339"/>
      <c r="B320" s="339"/>
      <c r="C320" s="339"/>
      <c r="D320" s="339"/>
      <c r="E320" s="339"/>
      <c r="F320" s="339"/>
      <c r="G320" s="339"/>
      <c r="H320" s="339"/>
      <c r="I320" s="591"/>
      <c r="J320" s="341"/>
      <c r="K320" s="591"/>
      <c r="L320" s="339"/>
      <c r="M320" s="339"/>
      <c r="N320" s="339"/>
      <c r="O320" s="339"/>
      <c r="P320" s="339"/>
      <c r="Q320" s="339"/>
      <c r="R320" s="339"/>
      <c r="S320" s="339"/>
      <c r="T320" s="339"/>
      <c r="U320" s="339"/>
      <c r="V320" s="339"/>
      <c r="W320" s="339"/>
      <c r="X320" s="339"/>
      <c r="Y320" s="339"/>
    </row>
    <row r="321" spans="1:25" ht="15.75" customHeight="1">
      <c r="A321" s="339"/>
      <c r="B321" s="339"/>
      <c r="C321" s="339"/>
      <c r="D321" s="339"/>
      <c r="E321" s="339"/>
      <c r="F321" s="339"/>
      <c r="G321" s="339"/>
      <c r="H321" s="339"/>
      <c r="I321" s="591"/>
      <c r="J321" s="341"/>
      <c r="K321" s="591"/>
      <c r="L321" s="339"/>
      <c r="M321" s="339"/>
      <c r="N321" s="339"/>
      <c r="O321" s="339"/>
      <c r="P321" s="339"/>
      <c r="Q321" s="339"/>
      <c r="R321" s="339"/>
      <c r="S321" s="339"/>
      <c r="T321" s="339"/>
      <c r="U321" s="339"/>
      <c r="V321" s="339"/>
      <c r="W321" s="339"/>
      <c r="X321" s="339"/>
      <c r="Y321" s="339"/>
    </row>
    <row r="322" spans="1:25" ht="15.75" customHeight="1">
      <c r="A322" s="339"/>
      <c r="B322" s="339"/>
      <c r="C322" s="339"/>
      <c r="D322" s="339"/>
      <c r="E322" s="339"/>
      <c r="F322" s="339"/>
      <c r="G322" s="339"/>
      <c r="H322" s="339"/>
      <c r="I322" s="591"/>
      <c r="J322" s="341"/>
      <c r="K322" s="591"/>
      <c r="L322" s="339"/>
      <c r="M322" s="339"/>
      <c r="N322" s="339"/>
      <c r="O322" s="339"/>
      <c r="P322" s="339"/>
      <c r="Q322" s="339"/>
      <c r="R322" s="339"/>
      <c r="S322" s="339"/>
      <c r="T322" s="339"/>
      <c r="U322" s="339"/>
      <c r="V322" s="339"/>
      <c r="W322" s="339"/>
      <c r="X322" s="339"/>
      <c r="Y322" s="339"/>
    </row>
    <row r="323" spans="1:25" ht="15.75" customHeight="1">
      <c r="A323" s="339"/>
      <c r="B323" s="339"/>
      <c r="C323" s="339"/>
      <c r="D323" s="339"/>
      <c r="E323" s="339"/>
      <c r="F323" s="339"/>
      <c r="G323" s="339"/>
      <c r="H323" s="339"/>
      <c r="I323" s="591"/>
      <c r="J323" s="341"/>
      <c r="K323" s="591"/>
      <c r="L323" s="339"/>
      <c r="M323" s="339"/>
      <c r="N323" s="339"/>
      <c r="O323" s="339"/>
      <c r="P323" s="339"/>
      <c r="Q323" s="339"/>
      <c r="R323" s="339"/>
      <c r="S323" s="339"/>
      <c r="T323" s="339"/>
      <c r="U323" s="339"/>
      <c r="V323" s="339"/>
      <c r="W323" s="339"/>
      <c r="X323" s="339"/>
      <c r="Y323" s="339"/>
    </row>
    <row r="324" spans="1:25" ht="15.75" customHeight="1">
      <c r="A324" s="339"/>
      <c r="B324" s="339"/>
      <c r="C324" s="339"/>
      <c r="D324" s="339"/>
      <c r="E324" s="339"/>
      <c r="F324" s="339"/>
      <c r="G324" s="339"/>
      <c r="H324" s="339"/>
      <c r="I324" s="591"/>
      <c r="J324" s="341"/>
      <c r="K324" s="591"/>
      <c r="L324" s="339"/>
      <c r="M324" s="339"/>
      <c r="N324" s="339"/>
      <c r="O324" s="339"/>
      <c r="P324" s="339"/>
      <c r="Q324" s="339"/>
      <c r="R324" s="339"/>
      <c r="S324" s="339"/>
      <c r="T324" s="339"/>
      <c r="U324" s="339"/>
      <c r="V324" s="339"/>
      <c r="W324" s="339"/>
      <c r="X324" s="339"/>
      <c r="Y324" s="339"/>
    </row>
    <row r="325" spans="1:25" ht="15.75" customHeight="1">
      <c r="A325" s="339"/>
      <c r="B325" s="339"/>
      <c r="C325" s="339"/>
      <c r="D325" s="339"/>
      <c r="E325" s="339"/>
      <c r="F325" s="339"/>
      <c r="G325" s="339"/>
      <c r="H325" s="339"/>
      <c r="I325" s="591"/>
      <c r="J325" s="341"/>
      <c r="K325" s="591"/>
      <c r="L325" s="339"/>
      <c r="M325" s="339"/>
      <c r="N325" s="339"/>
      <c r="O325" s="339"/>
      <c r="P325" s="339"/>
      <c r="Q325" s="339"/>
      <c r="R325" s="339"/>
      <c r="S325" s="339"/>
      <c r="T325" s="339"/>
      <c r="U325" s="339"/>
      <c r="V325" s="339"/>
      <c r="W325" s="339"/>
      <c r="X325" s="339"/>
      <c r="Y325" s="339"/>
    </row>
    <row r="326" spans="1:25" ht="15.75" customHeight="1">
      <c r="A326" s="339"/>
      <c r="B326" s="339"/>
      <c r="C326" s="339"/>
      <c r="D326" s="339"/>
      <c r="E326" s="339"/>
      <c r="F326" s="339"/>
      <c r="G326" s="339"/>
      <c r="H326" s="339"/>
      <c r="I326" s="591"/>
      <c r="J326" s="341"/>
      <c r="K326" s="591"/>
      <c r="L326" s="339"/>
      <c r="M326" s="339"/>
      <c r="N326" s="339"/>
      <c r="O326" s="339"/>
      <c r="P326" s="339"/>
      <c r="Q326" s="339"/>
      <c r="R326" s="339"/>
      <c r="S326" s="339"/>
      <c r="T326" s="339"/>
      <c r="U326" s="339"/>
      <c r="V326" s="339"/>
      <c r="W326" s="339"/>
      <c r="X326" s="339"/>
      <c r="Y326" s="339"/>
    </row>
    <row r="327" spans="1:25" ht="15.75" customHeight="1">
      <c r="A327" s="339"/>
      <c r="B327" s="339"/>
      <c r="C327" s="339"/>
      <c r="D327" s="339"/>
      <c r="E327" s="339"/>
      <c r="F327" s="339"/>
      <c r="G327" s="339"/>
      <c r="H327" s="339"/>
      <c r="I327" s="591"/>
      <c r="J327" s="341"/>
      <c r="K327" s="591"/>
      <c r="L327" s="339"/>
      <c r="M327" s="339"/>
      <c r="N327" s="339"/>
      <c r="O327" s="339"/>
      <c r="P327" s="339"/>
      <c r="Q327" s="339"/>
      <c r="R327" s="339"/>
      <c r="S327" s="339"/>
      <c r="T327" s="339"/>
      <c r="U327" s="339"/>
      <c r="V327" s="339"/>
      <c r="W327" s="339"/>
      <c r="X327" s="339"/>
      <c r="Y327" s="339"/>
    </row>
    <row r="328" spans="1:25" ht="15.75" customHeight="1">
      <c r="A328" s="339"/>
      <c r="B328" s="339"/>
      <c r="C328" s="339"/>
      <c r="D328" s="339"/>
      <c r="E328" s="339"/>
      <c r="F328" s="339"/>
      <c r="G328" s="339"/>
      <c r="H328" s="339"/>
      <c r="I328" s="591"/>
      <c r="J328" s="341"/>
      <c r="K328" s="591"/>
      <c r="L328" s="339"/>
      <c r="M328" s="339"/>
      <c r="N328" s="339"/>
      <c r="O328" s="339"/>
      <c r="P328" s="339"/>
      <c r="Q328" s="339"/>
      <c r="R328" s="339"/>
      <c r="S328" s="339"/>
      <c r="T328" s="339"/>
      <c r="U328" s="339"/>
      <c r="V328" s="339"/>
      <c r="W328" s="339"/>
      <c r="X328" s="339"/>
      <c r="Y328" s="339"/>
    </row>
    <row r="329" spans="1:25" ht="15.75" customHeight="1">
      <c r="A329" s="339"/>
      <c r="B329" s="339"/>
      <c r="C329" s="339"/>
      <c r="D329" s="339"/>
      <c r="E329" s="339"/>
      <c r="F329" s="339"/>
      <c r="G329" s="339"/>
      <c r="H329" s="339"/>
      <c r="I329" s="591"/>
      <c r="J329" s="341"/>
      <c r="K329" s="591"/>
      <c r="L329" s="339"/>
      <c r="M329" s="339"/>
      <c r="N329" s="339"/>
      <c r="O329" s="339"/>
      <c r="P329" s="339"/>
      <c r="Q329" s="339"/>
      <c r="R329" s="339"/>
      <c r="S329" s="339"/>
      <c r="T329" s="339"/>
      <c r="U329" s="339"/>
      <c r="V329" s="339"/>
      <c r="W329" s="339"/>
      <c r="X329" s="339"/>
      <c r="Y329" s="339"/>
    </row>
    <row r="330" spans="1:25" ht="15.75" customHeight="1">
      <c r="A330" s="339"/>
      <c r="B330" s="339"/>
      <c r="C330" s="339"/>
      <c r="D330" s="339"/>
      <c r="E330" s="339"/>
      <c r="F330" s="339"/>
      <c r="G330" s="339"/>
      <c r="H330" s="339"/>
      <c r="I330" s="591"/>
      <c r="J330" s="341"/>
      <c r="K330" s="591"/>
      <c r="L330" s="339"/>
      <c r="M330" s="339"/>
      <c r="N330" s="339"/>
      <c r="O330" s="339"/>
      <c r="P330" s="339"/>
      <c r="Q330" s="339"/>
      <c r="R330" s="339"/>
      <c r="S330" s="339"/>
      <c r="T330" s="339"/>
      <c r="U330" s="339"/>
      <c r="V330" s="339"/>
      <c r="W330" s="339"/>
      <c r="X330" s="339"/>
      <c r="Y330" s="339"/>
    </row>
    <row r="331" spans="1:25" ht="15.75" customHeight="1">
      <c r="A331" s="339"/>
      <c r="B331" s="339"/>
      <c r="C331" s="339"/>
      <c r="D331" s="339"/>
      <c r="E331" s="339"/>
      <c r="F331" s="339"/>
      <c r="G331" s="339"/>
      <c r="H331" s="339"/>
      <c r="I331" s="591"/>
      <c r="J331" s="341"/>
      <c r="K331" s="591"/>
      <c r="L331" s="339"/>
      <c r="M331" s="339"/>
      <c r="N331" s="339"/>
      <c r="O331" s="339"/>
      <c r="P331" s="339"/>
      <c r="Q331" s="339"/>
      <c r="R331" s="339"/>
      <c r="S331" s="339"/>
      <c r="T331" s="339"/>
      <c r="U331" s="339"/>
      <c r="V331" s="339"/>
      <c r="W331" s="339"/>
      <c r="X331" s="339"/>
      <c r="Y331" s="339"/>
    </row>
    <row r="332" spans="1:25" ht="15.75" customHeight="1">
      <c r="A332" s="339"/>
      <c r="B332" s="339"/>
      <c r="C332" s="339"/>
      <c r="D332" s="339"/>
      <c r="E332" s="339"/>
      <c r="F332" s="339"/>
      <c r="G332" s="339"/>
      <c r="H332" s="339"/>
      <c r="I332" s="591"/>
      <c r="J332" s="341"/>
      <c r="K332" s="591"/>
      <c r="L332" s="339"/>
      <c r="M332" s="339"/>
      <c r="N332" s="339"/>
      <c r="O332" s="339"/>
      <c r="P332" s="339"/>
      <c r="Q332" s="339"/>
      <c r="R332" s="339"/>
      <c r="S332" s="339"/>
      <c r="T332" s="339"/>
      <c r="U332" s="339"/>
      <c r="V332" s="339"/>
      <c r="W332" s="339"/>
      <c r="X332" s="339"/>
      <c r="Y332" s="339"/>
    </row>
    <row r="333" spans="1:25" ht="15.75" customHeight="1">
      <c r="A333" s="339"/>
      <c r="B333" s="339"/>
      <c r="C333" s="339"/>
      <c r="D333" s="339"/>
      <c r="E333" s="339"/>
      <c r="F333" s="339"/>
      <c r="G333" s="339"/>
      <c r="H333" s="339"/>
      <c r="I333" s="591"/>
      <c r="J333" s="341"/>
      <c r="K333" s="591"/>
      <c r="L333" s="339"/>
      <c r="M333" s="339"/>
      <c r="N333" s="339"/>
      <c r="O333" s="339"/>
      <c r="P333" s="339"/>
      <c r="Q333" s="339"/>
      <c r="R333" s="339"/>
      <c r="S333" s="339"/>
      <c r="T333" s="339"/>
      <c r="U333" s="339"/>
      <c r="V333" s="339"/>
      <c r="W333" s="339"/>
      <c r="X333" s="339"/>
      <c r="Y333" s="339"/>
    </row>
    <row r="334" spans="1:25" ht="15.75" customHeight="1">
      <c r="A334" s="339"/>
      <c r="B334" s="339"/>
      <c r="C334" s="339"/>
      <c r="D334" s="339"/>
      <c r="E334" s="339"/>
      <c r="F334" s="339"/>
      <c r="G334" s="339"/>
      <c r="H334" s="339"/>
      <c r="I334" s="591"/>
      <c r="J334" s="341"/>
      <c r="K334" s="591"/>
      <c r="L334" s="339"/>
      <c r="M334" s="339"/>
      <c r="N334" s="339"/>
      <c r="O334" s="339"/>
      <c r="P334" s="339"/>
      <c r="Q334" s="339"/>
      <c r="R334" s="339"/>
      <c r="S334" s="339"/>
      <c r="T334" s="339"/>
      <c r="U334" s="339"/>
      <c r="V334" s="339"/>
      <c r="W334" s="339"/>
      <c r="X334" s="339"/>
      <c r="Y334" s="339"/>
    </row>
    <row r="335" spans="1:25" ht="15.75" customHeight="1">
      <c r="A335" s="339"/>
      <c r="B335" s="339"/>
      <c r="C335" s="339"/>
      <c r="D335" s="339"/>
      <c r="E335" s="339"/>
      <c r="F335" s="339"/>
      <c r="G335" s="339"/>
      <c r="H335" s="339"/>
      <c r="I335" s="591"/>
      <c r="J335" s="341"/>
      <c r="K335" s="591"/>
      <c r="L335" s="339"/>
      <c r="M335" s="339"/>
      <c r="N335" s="339"/>
      <c r="O335" s="339"/>
      <c r="P335" s="339"/>
      <c r="Q335" s="339"/>
      <c r="R335" s="339"/>
      <c r="S335" s="339"/>
      <c r="T335" s="339"/>
      <c r="U335" s="339"/>
      <c r="V335" s="339"/>
      <c r="W335" s="339"/>
      <c r="X335" s="339"/>
      <c r="Y335" s="339"/>
    </row>
    <row r="336" spans="1:25" ht="15.75" customHeight="1">
      <c r="A336" s="339"/>
      <c r="B336" s="339"/>
      <c r="C336" s="339"/>
      <c r="D336" s="339"/>
      <c r="E336" s="339"/>
      <c r="F336" s="339"/>
      <c r="G336" s="339"/>
      <c r="H336" s="339"/>
      <c r="I336" s="591"/>
      <c r="J336" s="341"/>
      <c r="K336" s="591"/>
      <c r="L336" s="339"/>
      <c r="M336" s="339"/>
      <c r="N336" s="339"/>
      <c r="O336" s="339"/>
      <c r="P336" s="339"/>
      <c r="Q336" s="339"/>
      <c r="R336" s="339"/>
      <c r="S336" s="339"/>
      <c r="T336" s="339"/>
      <c r="U336" s="339"/>
      <c r="V336" s="339"/>
      <c r="W336" s="339"/>
      <c r="X336" s="339"/>
      <c r="Y336" s="339"/>
    </row>
    <row r="337" spans="1:25" ht="15.75" customHeight="1">
      <c r="A337" s="339"/>
      <c r="B337" s="339"/>
      <c r="C337" s="339"/>
      <c r="D337" s="339"/>
      <c r="E337" s="339"/>
      <c r="F337" s="339"/>
      <c r="G337" s="339"/>
      <c r="H337" s="339"/>
      <c r="I337" s="591"/>
      <c r="J337" s="341"/>
      <c r="K337" s="591"/>
      <c r="L337" s="339"/>
      <c r="M337" s="339"/>
      <c r="N337" s="339"/>
      <c r="O337" s="339"/>
      <c r="P337" s="339"/>
      <c r="Q337" s="339"/>
      <c r="R337" s="339"/>
      <c r="S337" s="339"/>
      <c r="T337" s="339"/>
      <c r="U337" s="339"/>
      <c r="V337" s="339"/>
      <c r="W337" s="339"/>
      <c r="X337" s="339"/>
      <c r="Y337" s="339"/>
    </row>
    <row r="338" spans="1:25" ht="15.75" customHeight="1">
      <c r="A338" s="339"/>
      <c r="B338" s="339"/>
      <c r="C338" s="339"/>
      <c r="D338" s="339"/>
      <c r="E338" s="339"/>
      <c r="F338" s="339"/>
      <c r="G338" s="339"/>
      <c r="H338" s="339"/>
      <c r="I338" s="591"/>
      <c r="J338" s="341"/>
      <c r="K338" s="591"/>
      <c r="L338" s="339"/>
      <c r="M338" s="339"/>
      <c r="N338" s="339"/>
      <c r="O338" s="339"/>
      <c r="P338" s="339"/>
      <c r="Q338" s="339"/>
      <c r="R338" s="339"/>
      <c r="S338" s="339"/>
      <c r="T338" s="339"/>
      <c r="U338" s="339"/>
      <c r="V338" s="339"/>
      <c r="W338" s="339"/>
      <c r="X338" s="339"/>
      <c r="Y338" s="339"/>
    </row>
    <row r="339" spans="1:25" ht="15.75" customHeight="1">
      <c r="A339" s="339"/>
      <c r="B339" s="339"/>
      <c r="C339" s="339"/>
      <c r="D339" s="339"/>
      <c r="E339" s="339"/>
      <c r="F339" s="339"/>
      <c r="G339" s="339"/>
      <c r="H339" s="339"/>
      <c r="I339" s="591"/>
      <c r="J339" s="341"/>
      <c r="K339" s="591"/>
      <c r="L339" s="339"/>
      <c r="M339" s="339"/>
      <c r="N339" s="339"/>
      <c r="O339" s="339"/>
      <c r="P339" s="339"/>
      <c r="Q339" s="339"/>
      <c r="R339" s="339"/>
      <c r="S339" s="339"/>
      <c r="T339" s="339"/>
      <c r="U339" s="339"/>
      <c r="V339" s="339"/>
      <c r="W339" s="339"/>
      <c r="X339" s="339"/>
      <c r="Y339" s="339"/>
    </row>
    <row r="340" spans="1:25" ht="15.75" customHeight="1">
      <c r="A340" s="339"/>
      <c r="B340" s="339"/>
      <c r="C340" s="339"/>
      <c r="D340" s="339"/>
      <c r="E340" s="339"/>
      <c r="F340" s="339"/>
      <c r="G340" s="339"/>
      <c r="H340" s="339"/>
      <c r="I340" s="591"/>
      <c r="J340" s="341"/>
      <c r="K340" s="591"/>
      <c r="L340" s="339"/>
      <c r="M340" s="339"/>
      <c r="N340" s="339"/>
      <c r="O340" s="339"/>
      <c r="P340" s="339"/>
      <c r="Q340" s="339"/>
      <c r="R340" s="339"/>
      <c r="S340" s="339"/>
      <c r="T340" s="339"/>
      <c r="U340" s="339"/>
      <c r="V340" s="339"/>
      <c r="W340" s="339"/>
      <c r="X340" s="339"/>
      <c r="Y340" s="339"/>
    </row>
    <row r="341" spans="1:25" ht="15.75" customHeight="1">
      <c r="A341" s="339"/>
      <c r="B341" s="339"/>
      <c r="C341" s="339"/>
      <c r="D341" s="339"/>
      <c r="E341" s="339"/>
      <c r="F341" s="339"/>
      <c r="G341" s="339"/>
      <c r="H341" s="339"/>
      <c r="I341" s="591"/>
      <c r="J341" s="341"/>
      <c r="K341" s="591"/>
      <c r="L341" s="339"/>
      <c r="M341" s="339"/>
      <c r="N341" s="339"/>
      <c r="O341" s="339"/>
      <c r="P341" s="339"/>
      <c r="Q341" s="339"/>
      <c r="R341" s="339"/>
      <c r="S341" s="339"/>
      <c r="T341" s="339"/>
      <c r="U341" s="339"/>
      <c r="V341" s="339"/>
      <c r="W341" s="339"/>
      <c r="X341" s="339"/>
      <c r="Y341" s="339"/>
    </row>
    <row r="342" spans="1:25" ht="15.75" customHeight="1">
      <c r="A342" s="339"/>
      <c r="B342" s="339"/>
      <c r="C342" s="339"/>
      <c r="D342" s="339"/>
      <c r="E342" s="339"/>
      <c r="F342" s="339"/>
      <c r="G342" s="339"/>
      <c r="H342" s="339"/>
      <c r="I342" s="591"/>
      <c r="J342" s="341"/>
      <c r="K342" s="591"/>
      <c r="L342" s="339"/>
      <c r="M342" s="339"/>
      <c r="N342" s="339"/>
      <c r="O342" s="339"/>
      <c r="P342" s="339"/>
      <c r="Q342" s="339"/>
      <c r="R342" s="339"/>
      <c r="S342" s="339"/>
      <c r="T342" s="339"/>
      <c r="U342" s="339"/>
      <c r="V342" s="339"/>
      <c r="W342" s="339"/>
      <c r="X342" s="339"/>
      <c r="Y342" s="339"/>
    </row>
    <row r="343" spans="1:25" ht="15.75" customHeight="1">
      <c r="A343" s="339"/>
      <c r="B343" s="339"/>
      <c r="C343" s="339"/>
      <c r="D343" s="339"/>
      <c r="E343" s="339"/>
      <c r="F343" s="339"/>
      <c r="G343" s="339"/>
      <c r="H343" s="339"/>
      <c r="I343" s="591"/>
      <c r="J343" s="341"/>
      <c r="K343" s="591"/>
      <c r="L343" s="339"/>
      <c r="M343" s="339"/>
      <c r="N343" s="339"/>
      <c r="O343" s="339"/>
      <c r="P343" s="339"/>
      <c r="Q343" s="339"/>
      <c r="R343" s="339"/>
      <c r="S343" s="339"/>
      <c r="T343" s="339"/>
      <c r="U343" s="339"/>
      <c r="V343" s="339"/>
      <c r="W343" s="339"/>
      <c r="X343" s="339"/>
      <c r="Y343" s="339"/>
    </row>
    <row r="344" spans="1:25" ht="15.75" customHeight="1">
      <c r="A344" s="339"/>
      <c r="B344" s="339"/>
      <c r="C344" s="339"/>
      <c r="D344" s="339"/>
      <c r="E344" s="339"/>
      <c r="F344" s="339"/>
      <c r="G344" s="339"/>
      <c r="H344" s="339"/>
      <c r="I344" s="591"/>
      <c r="J344" s="341"/>
      <c r="K344" s="591"/>
      <c r="L344" s="339"/>
      <c r="M344" s="339"/>
      <c r="N344" s="339"/>
      <c r="O344" s="339"/>
      <c r="P344" s="339"/>
      <c r="Q344" s="339"/>
      <c r="R344" s="339"/>
      <c r="S344" s="339"/>
      <c r="T344" s="339"/>
      <c r="U344" s="339"/>
      <c r="V344" s="339"/>
      <c r="W344" s="339"/>
      <c r="X344" s="339"/>
      <c r="Y344" s="339"/>
    </row>
    <row r="345" spans="1:25" ht="15.75" customHeight="1">
      <c r="A345" s="339"/>
      <c r="B345" s="339"/>
      <c r="C345" s="339"/>
      <c r="D345" s="339"/>
      <c r="E345" s="339"/>
      <c r="F345" s="339"/>
      <c r="G345" s="339"/>
      <c r="H345" s="339"/>
      <c r="I345" s="591"/>
      <c r="J345" s="341"/>
      <c r="K345" s="591"/>
      <c r="L345" s="339"/>
      <c r="M345" s="339"/>
      <c r="N345" s="339"/>
      <c r="O345" s="339"/>
      <c r="P345" s="339"/>
      <c r="Q345" s="339"/>
      <c r="R345" s="339"/>
      <c r="S345" s="339"/>
      <c r="T345" s="339"/>
      <c r="U345" s="339"/>
      <c r="V345" s="339"/>
      <c r="W345" s="339"/>
      <c r="X345" s="339"/>
      <c r="Y345" s="339"/>
    </row>
    <row r="346" spans="1:25" ht="15.75" customHeight="1">
      <c r="A346" s="339"/>
      <c r="B346" s="339"/>
      <c r="C346" s="339"/>
      <c r="D346" s="339"/>
      <c r="E346" s="339"/>
      <c r="F346" s="339"/>
      <c r="G346" s="339"/>
      <c r="H346" s="339"/>
      <c r="I346" s="591"/>
      <c r="J346" s="341"/>
      <c r="K346" s="591"/>
      <c r="L346" s="339"/>
      <c r="M346" s="339"/>
      <c r="N346" s="339"/>
      <c r="O346" s="339"/>
      <c r="P346" s="339"/>
      <c r="Q346" s="339"/>
      <c r="R346" s="339"/>
      <c r="S346" s="339"/>
      <c r="T346" s="339"/>
      <c r="U346" s="339"/>
      <c r="V346" s="339"/>
      <c r="W346" s="339"/>
      <c r="X346" s="339"/>
      <c r="Y346" s="339"/>
    </row>
    <row r="347" spans="1:25" ht="15.75" customHeight="1">
      <c r="A347" s="339"/>
      <c r="B347" s="339"/>
      <c r="C347" s="339"/>
      <c r="D347" s="339"/>
      <c r="E347" s="339"/>
      <c r="F347" s="339"/>
      <c r="G347" s="339"/>
      <c r="H347" s="339"/>
      <c r="I347" s="591"/>
      <c r="J347" s="341"/>
      <c r="K347" s="591"/>
      <c r="L347" s="339"/>
      <c r="M347" s="339"/>
      <c r="N347" s="339"/>
      <c r="O347" s="339"/>
      <c r="P347" s="339"/>
      <c r="Q347" s="339"/>
      <c r="R347" s="339"/>
      <c r="S347" s="339"/>
      <c r="T347" s="339"/>
      <c r="U347" s="339"/>
      <c r="V347" s="339"/>
      <c r="W347" s="339"/>
      <c r="X347" s="339"/>
      <c r="Y347" s="339"/>
    </row>
    <row r="348" spans="1:25" ht="15.75" customHeight="1">
      <c r="A348" s="339"/>
      <c r="B348" s="339"/>
      <c r="C348" s="339"/>
      <c r="D348" s="339"/>
      <c r="E348" s="339"/>
      <c r="F348" s="339"/>
      <c r="G348" s="339"/>
      <c r="H348" s="339"/>
      <c r="I348" s="591"/>
      <c r="J348" s="341"/>
      <c r="K348" s="591"/>
      <c r="L348" s="339"/>
      <c r="M348" s="339"/>
      <c r="N348" s="339"/>
      <c r="O348" s="339"/>
      <c r="P348" s="339"/>
      <c r="Q348" s="339"/>
      <c r="R348" s="339"/>
      <c r="S348" s="339"/>
      <c r="T348" s="339"/>
      <c r="U348" s="339"/>
      <c r="V348" s="339"/>
      <c r="W348" s="339"/>
      <c r="X348" s="339"/>
      <c r="Y348" s="339"/>
    </row>
    <row r="349" spans="1:25" ht="15.75" customHeight="1">
      <c r="A349" s="339"/>
      <c r="B349" s="339"/>
      <c r="C349" s="339"/>
      <c r="D349" s="339"/>
      <c r="E349" s="339"/>
      <c r="F349" s="339"/>
      <c r="G349" s="339"/>
      <c r="H349" s="339"/>
      <c r="I349" s="591"/>
      <c r="J349" s="341"/>
      <c r="K349" s="591"/>
      <c r="L349" s="339"/>
      <c r="M349" s="339"/>
      <c r="N349" s="339"/>
      <c r="O349" s="339"/>
      <c r="P349" s="339"/>
      <c r="Q349" s="339"/>
      <c r="R349" s="339"/>
      <c r="S349" s="339"/>
      <c r="T349" s="339"/>
      <c r="U349" s="339"/>
      <c r="V349" s="339"/>
      <c r="W349" s="339"/>
      <c r="X349" s="339"/>
      <c r="Y349" s="339"/>
    </row>
    <row r="350" spans="1:25" ht="15.75" customHeight="1">
      <c r="A350" s="339"/>
      <c r="B350" s="339"/>
      <c r="C350" s="339"/>
      <c r="D350" s="339"/>
      <c r="E350" s="339"/>
      <c r="F350" s="339"/>
      <c r="G350" s="339"/>
      <c r="H350" s="339"/>
      <c r="I350" s="591"/>
      <c r="J350" s="341"/>
      <c r="K350" s="591"/>
      <c r="L350" s="339"/>
      <c r="M350" s="339"/>
      <c r="N350" s="339"/>
      <c r="O350" s="339"/>
      <c r="P350" s="339"/>
      <c r="Q350" s="339"/>
      <c r="R350" s="339"/>
      <c r="S350" s="339"/>
      <c r="T350" s="339"/>
      <c r="U350" s="339"/>
      <c r="V350" s="339"/>
      <c r="W350" s="339"/>
      <c r="X350" s="339"/>
      <c r="Y350" s="339"/>
    </row>
    <row r="351" spans="1:25" ht="15.75" customHeight="1">
      <c r="A351" s="339"/>
      <c r="B351" s="339"/>
      <c r="C351" s="339"/>
      <c r="D351" s="339"/>
      <c r="E351" s="339"/>
      <c r="F351" s="339"/>
      <c r="G351" s="339"/>
      <c r="H351" s="339"/>
      <c r="I351" s="591"/>
      <c r="J351" s="341"/>
      <c r="K351" s="591"/>
      <c r="L351" s="339"/>
      <c r="M351" s="339"/>
      <c r="N351" s="339"/>
      <c r="O351" s="339"/>
      <c r="P351" s="339"/>
      <c r="Q351" s="339"/>
      <c r="R351" s="339"/>
      <c r="S351" s="339"/>
      <c r="T351" s="339"/>
      <c r="U351" s="339"/>
      <c r="V351" s="339"/>
      <c r="W351" s="339"/>
      <c r="X351" s="339"/>
      <c r="Y351" s="339"/>
    </row>
    <row r="352" spans="1:25" ht="15.75" customHeight="1">
      <c r="A352" s="339"/>
      <c r="B352" s="339"/>
      <c r="C352" s="339"/>
      <c r="D352" s="339"/>
      <c r="E352" s="339"/>
      <c r="F352" s="339"/>
      <c r="G352" s="339"/>
      <c r="H352" s="339"/>
      <c r="I352" s="591"/>
      <c r="J352" s="341"/>
      <c r="K352" s="591"/>
      <c r="L352" s="339"/>
      <c r="M352" s="339"/>
      <c r="N352" s="339"/>
      <c r="O352" s="339"/>
      <c r="P352" s="339"/>
      <c r="Q352" s="339"/>
      <c r="R352" s="339"/>
      <c r="S352" s="339"/>
      <c r="T352" s="339"/>
      <c r="U352" s="339"/>
      <c r="V352" s="339"/>
      <c r="W352" s="339"/>
      <c r="X352" s="339"/>
      <c r="Y352" s="339"/>
    </row>
    <row r="353" spans="1:25" ht="15.75" customHeight="1">
      <c r="A353" s="339"/>
      <c r="B353" s="339"/>
      <c r="C353" s="339"/>
      <c r="D353" s="339"/>
      <c r="E353" s="339"/>
      <c r="F353" s="339"/>
      <c r="G353" s="339"/>
      <c r="H353" s="339"/>
      <c r="I353" s="591"/>
      <c r="J353" s="341"/>
      <c r="K353" s="591"/>
      <c r="L353" s="339"/>
      <c r="M353" s="339"/>
      <c r="N353" s="339"/>
      <c r="O353" s="339"/>
      <c r="P353" s="339"/>
      <c r="Q353" s="339"/>
      <c r="R353" s="339"/>
      <c r="S353" s="339"/>
      <c r="T353" s="339"/>
      <c r="U353" s="339"/>
      <c r="V353" s="339"/>
      <c r="W353" s="339"/>
      <c r="X353" s="339"/>
      <c r="Y353" s="339"/>
    </row>
    <row r="354" spans="1:25" ht="15.75" customHeight="1">
      <c r="A354" s="339"/>
      <c r="B354" s="339"/>
      <c r="C354" s="339"/>
      <c r="D354" s="339"/>
      <c r="E354" s="339"/>
      <c r="F354" s="339"/>
      <c r="G354" s="339"/>
      <c r="H354" s="339"/>
      <c r="I354" s="591"/>
      <c r="J354" s="341"/>
      <c r="K354" s="591"/>
      <c r="L354" s="339"/>
      <c r="M354" s="339"/>
      <c r="N354" s="339"/>
      <c r="O354" s="339"/>
      <c r="P354" s="339"/>
      <c r="Q354" s="339"/>
      <c r="R354" s="339"/>
      <c r="S354" s="339"/>
      <c r="T354" s="339"/>
      <c r="U354" s="339"/>
      <c r="V354" s="339"/>
      <c r="W354" s="339"/>
      <c r="X354" s="339"/>
      <c r="Y354" s="339"/>
    </row>
    <row r="355" spans="1:25" ht="15.75" customHeight="1">
      <c r="A355" s="339"/>
      <c r="B355" s="339"/>
      <c r="C355" s="339"/>
      <c r="D355" s="339"/>
      <c r="E355" s="339"/>
      <c r="F355" s="339"/>
      <c r="G355" s="339"/>
      <c r="H355" s="339"/>
      <c r="I355" s="591"/>
      <c r="J355" s="341"/>
      <c r="K355" s="591"/>
      <c r="L355" s="339"/>
      <c r="M355" s="339"/>
      <c r="N355" s="339"/>
      <c r="O355" s="339"/>
      <c r="P355" s="339"/>
      <c r="Q355" s="339"/>
      <c r="R355" s="339"/>
      <c r="S355" s="339"/>
      <c r="T355" s="339"/>
      <c r="U355" s="339"/>
      <c r="V355" s="339"/>
      <c r="W355" s="339"/>
      <c r="X355" s="339"/>
      <c r="Y355" s="339"/>
    </row>
    <row r="356" spans="1:25" ht="15.75" customHeight="1">
      <c r="A356" s="339"/>
      <c r="B356" s="339"/>
      <c r="C356" s="339"/>
      <c r="D356" s="339"/>
      <c r="E356" s="339"/>
      <c r="F356" s="339"/>
      <c r="G356" s="339"/>
      <c r="H356" s="339"/>
      <c r="I356" s="591"/>
      <c r="J356" s="341"/>
      <c r="K356" s="591"/>
      <c r="L356" s="339"/>
      <c r="M356" s="339"/>
      <c r="N356" s="339"/>
      <c r="O356" s="339"/>
      <c r="P356" s="339"/>
      <c r="Q356" s="339"/>
      <c r="R356" s="339"/>
      <c r="S356" s="339"/>
      <c r="T356" s="339"/>
      <c r="U356" s="339"/>
      <c r="V356" s="339"/>
      <c r="W356" s="339"/>
      <c r="X356" s="339"/>
      <c r="Y356" s="339"/>
    </row>
    <row r="357" spans="1:25" ht="15.75" customHeight="1">
      <c r="A357" s="339"/>
      <c r="B357" s="339"/>
      <c r="C357" s="339"/>
      <c r="D357" s="339"/>
      <c r="E357" s="339"/>
      <c r="F357" s="339"/>
      <c r="G357" s="339"/>
      <c r="H357" s="339"/>
      <c r="I357" s="591"/>
      <c r="J357" s="341"/>
      <c r="K357" s="591"/>
      <c r="L357" s="339"/>
      <c r="M357" s="339"/>
      <c r="N357" s="339"/>
      <c r="O357" s="339"/>
      <c r="P357" s="339"/>
      <c r="Q357" s="339"/>
      <c r="R357" s="339"/>
      <c r="S357" s="339"/>
      <c r="T357" s="339"/>
      <c r="U357" s="339"/>
      <c r="V357" s="339"/>
      <c r="W357" s="339"/>
      <c r="X357" s="339"/>
      <c r="Y357" s="339"/>
    </row>
    <row r="358" spans="1:25" ht="15.75" customHeight="1">
      <c r="A358" s="339"/>
      <c r="B358" s="339"/>
      <c r="C358" s="339"/>
      <c r="D358" s="339"/>
      <c r="E358" s="339"/>
      <c r="F358" s="339"/>
      <c r="G358" s="339"/>
      <c r="H358" s="339"/>
      <c r="I358" s="591"/>
      <c r="J358" s="341"/>
      <c r="K358" s="591"/>
      <c r="L358" s="339"/>
      <c r="M358" s="339"/>
      <c r="N358" s="339"/>
      <c r="O358" s="339"/>
      <c r="P358" s="339"/>
      <c r="Q358" s="339"/>
      <c r="R358" s="339"/>
      <c r="S358" s="339"/>
      <c r="T358" s="339"/>
      <c r="U358" s="339"/>
      <c r="V358" s="339"/>
      <c r="W358" s="339"/>
      <c r="X358" s="339"/>
      <c r="Y358" s="339"/>
    </row>
    <row r="359" spans="1:25" ht="15.75" customHeight="1">
      <c r="A359" s="339"/>
      <c r="B359" s="339"/>
      <c r="C359" s="339"/>
      <c r="D359" s="339"/>
      <c r="E359" s="339"/>
      <c r="F359" s="339"/>
      <c r="G359" s="339"/>
      <c r="H359" s="339"/>
      <c r="I359" s="591"/>
      <c r="J359" s="341"/>
      <c r="K359" s="591"/>
      <c r="L359" s="339"/>
      <c r="M359" s="339"/>
      <c r="N359" s="339"/>
      <c r="O359" s="339"/>
      <c r="P359" s="339"/>
      <c r="Q359" s="339"/>
      <c r="R359" s="339"/>
      <c r="S359" s="339"/>
      <c r="T359" s="339"/>
      <c r="U359" s="339"/>
      <c r="V359" s="339"/>
      <c r="W359" s="339"/>
      <c r="X359" s="339"/>
      <c r="Y359" s="339"/>
    </row>
    <row r="360" spans="1:25" ht="15.75" customHeight="1">
      <c r="A360" s="339"/>
      <c r="B360" s="339"/>
      <c r="C360" s="339"/>
      <c r="D360" s="339"/>
      <c r="E360" s="339"/>
      <c r="F360" s="339"/>
      <c r="G360" s="339"/>
      <c r="H360" s="339"/>
      <c r="I360" s="591"/>
      <c r="J360" s="341"/>
      <c r="K360" s="591"/>
      <c r="L360" s="339"/>
      <c r="M360" s="339"/>
      <c r="N360" s="339"/>
      <c r="O360" s="339"/>
      <c r="P360" s="339"/>
      <c r="Q360" s="339"/>
      <c r="R360" s="339"/>
      <c r="S360" s="339"/>
      <c r="T360" s="339"/>
      <c r="U360" s="339"/>
      <c r="V360" s="339"/>
      <c r="W360" s="339"/>
      <c r="X360" s="339"/>
      <c r="Y360" s="339"/>
    </row>
    <row r="361" spans="1:25" ht="15.75" customHeight="1">
      <c r="A361" s="339"/>
      <c r="B361" s="339"/>
      <c r="C361" s="339"/>
      <c r="D361" s="339"/>
      <c r="E361" s="339"/>
      <c r="F361" s="339"/>
      <c r="G361" s="339"/>
      <c r="H361" s="339"/>
      <c r="I361" s="591"/>
      <c r="J361" s="341"/>
      <c r="K361" s="591"/>
      <c r="L361" s="339"/>
      <c r="M361" s="339"/>
      <c r="N361" s="339"/>
      <c r="O361" s="339"/>
      <c r="P361" s="339"/>
      <c r="Q361" s="339"/>
      <c r="R361" s="339"/>
      <c r="S361" s="339"/>
      <c r="T361" s="339"/>
      <c r="U361" s="339"/>
      <c r="V361" s="339"/>
      <c r="W361" s="339"/>
      <c r="X361" s="339"/>
      <c r="Y361" s="339"/>
    </row>
    <row r="362" spans="1:25" ht="15.75" customHeight="1">
      <c r="A362" s="339"/>
      <c r="B362" s="339"/>
      <c r="C362" s="339"/>
      <c r="D362" s="339"/>
      <c r="E362" s="339"/>
      <c r="F362" s="339"/>
      <c r="G362" s="339"/>
      <c r="H362" s="339"/>
      <c r="I362" s="591"/>
      <c r="J362" s="341"/>
      <c r="K362" s="591"/>
      <c r="L362" s="339"/>
      <c r="M362" s="339"/>
      <c r="N362" s="339"/>
      <c r="O362" s="339"/>
      <c r="P362" s="339"/>
      <c r="Q362" s="339"/>
      <c r="R362" s="339"/>
      <c r="S362" s="339"/>
      <c r="T362" s="339"/>
      <c r="U362" s="339"/>
      <c r="V362" s="339"/>
      <c r="W362" s="339"/>
      <c r="X362" s="339"/>
      <c r="Y362" s="339"/>
    </row>
    <row r="363" spans="1:25" ht="15.75" customHeight="1">
      <c r="A363" s="339"/>
      <c r="B363" s="339"/>
      <c r="C363" s="339"/>
      <c r="D363" s="339"/>
      <c r="E363" s="339"/>
      <c r="F363" s="339"/>
      <c r="G363" s="339"/>
      <c r="H363" s="339"/>
      <c r="I363" s="591"/>
      <c r="J363" s="341"/>
      <c r="K363" s="591"/>
      <c r="L363" s="339"/>
      <c r="M363" s="339"/>
      <c r="N363" s="339"/>
      <c r="O363" s="339"/>
      <c r="P363" s="339"/>
      <c r="Q363" s="339"/>
      <c r="R363" s="339"/>
      <c r="S363" s="339"/>
      <c r="T363" s="339"/>
      <c r="U363" s="339"/>
      <c r="V363" s="339"/>
      <c r="W363" s="339"/>
      <c r="X363" s="339"/>
      <c r="Y363" s="339"/>
    </row>
    <row r="364" spans="1:25" ht="15.75" customHeight="1">
      <c r="A364" s="339"/>
      <c r="B364" s="339"/>
      <c r="C364" s="339"/>
      <c r="D364" s="339"/>
      <c r="E364" s="339"/>
      <c r="F364" s="339"/>
      <c r="G364" s="339"/>
      <c r="H364" s="339"/>
      <c r="I364" s="591"/>
      <c r="J364" s="341"/>
      <c r="K364" s="591"/>
      <c r="L364" s="339"/>
      <c r="M364" s="339"/>
      <c r="N364" s="339"/>
      <c r="O364" s="339"/>
      <c r="P364" s="339"/>
      <c r="Q364" s="339"/>
      <c r="R364" s="339"/>
      <c r="S364" s="339"/>
      <c r="T364" s="339"/>
      <c r="U364" s="339"/>
      <c r="V364" s="339"/>
      <c r="W364" s="339"/>
      <c r="X364" s="339"/>
      <c r="Y364" s="339"/>
    </row>
    <row r="365" spans="1:25" ht="15.75" customHeight="1">
      <c r="A365" s="339"/>
      <c r="B365" s="339"/>
      <c r="C365" s="339"/>
      <c r="D365" s="339"/>
      <c r="E365" s="339"/>
      <c r="F365" s="339"/>
      <c r="G365" s="339"/>
      <c r="H365" s="339"/>
      <c r="I365" s="591"/>
      <c r="J365" s="341"/>
      <c r="K365" s="591"/>
      <c r="L365" s="339"/>
      <c r="M365" s="339"/>
      <c r="N365" s="339"/>
      <c r="O365" s="339"/>
      <c r="P365" s="339"/>
      <c r="Q365" s="339"/>
      <c r="R365" s="339"/>
      <c r="S365" s="339"/>
      <c r="T365" s="339"/>
      <c r="U365" s="339"/>
      <c r="V365" s="339"/>
      <c r="W365" s="339"/>
      <c r="X365" s="339"/>
      <c r="Y365" s="339"/>
    </row>
    <row r="366" spans="1:25" ht="15.75" customHeight="1">
      <c r="A366" s="339"/>
      <c r="B366" s="339"/>
      <c r="C366" s="339"/>
      <c r="D366" s="339"/>
      <c r="E366" s="339"/>
      <c r="F366" s="339"/>
      <c r="G366" s="339"/>
      <c r="H366" s="339"/>
      <c r="I366" s="591"/>
      <c r="J366" s="341"/>
      <c r="K366" s="591"/>
      <c r="L366" s="339"/>
      <c r="M366" s="339"/>
      <c r="N366" s="339"/>
      <c r="O366" s="339"/>
      <c r="P366" s="339"/>
      <c r="Q366" s="339"/>
      <c r="R366" s="339"/>
      <c r="S366" s="339"/>
      <c r="T366" s="339"/>
      <c r="U366" s="339"/>
      <c r="V366" s="339"/>
      <c r="W366" s="339"/>
      <c r="X366" s="339"/>
      <c r="Y366" s="339"/>
    </row>
    <row r="367" spans="1:25" ht="15.75" customHeight="1">
      <c r="A367" s="339"/>
      <c r="B367" s="339"/>
      <c r="C367" s="339"/>
      <c r="D367" s="339"/>
      <c r="E367" s="339"/>
      <c r="F367" s="339"/>
      <c r="G367" s="339"/>
      <c r="H367" s="339"/>
      <c r="I367" s="591"/>
      <c r="J367" s="341"/>
      <c r="K367" s="591"/>
      <c r="L367" s="339"/>
      <c r="M367" s="339"/>
      <c r="N367" s="339"/>
      <c r="O367" s="339"/>
      <c r="P367" s="339"/>
      <c r="Q367" s="339"/>
      <c r="R367" s="339"/>
      <c r="S367" s="339"/>
      <c r="T367" s="339"/>
      <c r="U367" s="339"/>
      <c r="V367" s="339"/>
      <c r="W367" s="339"/>
      <c r="X367" s="339"/>
      <c r="Y367" s="339"/>
    </row>
    <row r="368" spans="1:25" ht="15.75" customHeight="1">
      <c r="A368" s="339"/>
      <c r="B368" s="339"/>
      <c r="C368" s="339"/>
      <c r="D368" s="339"/>
      <c r="E368" s="339"/>
      <c r="F368" s="339"/>
      <c r="G368" s="339"/>
      <c r="H368" s="339"/>
      <c r="I368" s="591"/>
      <c r="J368" s="341"/>
      <c r="K368" s="591"/>
      <c r="L368" s="339"/>
      <c r="M368" s="339"/>
      <c r="N368" s="339"/>
      <c r="O368" s="339"/>
      <c r="P368" s="339"/>
      <c r="Q368" s="339"/>
      <c r="R368" s="339"/>
      <c r="S368" s="339"/>
      <c r="T368" s="339"/>
      <c r="U368" s="339"/>
      <c r="V368" s="339"/>
      <c r="W368" s="339"/>
      <c r="X368" s="339"/>
      <c r="Y368" s="339"/>
    </row>
    <row r="369" spans="1:25" ht="15.75" customHeight="1">
      <c r="A369" s="339"/>
      <c r="B369" s="339"/>
      <c r="C369" s="339"/>
      <c r="D369" s="339"/>
      <c r="E369" s="339"/>
      <c r="F369" s="339"/>
      <c r="G369" s="339"/>
      <c r="H369" s="339"/>
      <c r="I369" s="591"/>
      <c r="J369" s="341"/>
      <c r="K369" s="591"/>
      <c r="L369" s="339"/>
      <c r="M369" s="339"/>
      <c r="N369" s="339"/>
      <c r="O369" s="339"/>
      <c r="P369" s="339"/>
      <c r="Q369" s="339"/>
      <c r="R369" s="339"/>
      <c r="S369" s="339"/>
      <c r="T369" s="339"/>
      <c r="U369" s="339"/>
      <c r="V369" s="339"/>
      <c r="W369" s="339"/>
      <c r="X369" s="339"/>
      <c r="Y369" s="339"/>
    </row>
    <row r="370" spans="1:25" ht="15.75" customHeight="1">
      <c r="A370" s="339"/>
      <c r="B370" s="339"/>
      <c r="C370" s="339"/>
      <c r="D370" s="339"/>
      <c r="E370" s="339"/>
      <c r="F370" s="339"/>
      <c r="G370" s="339"/>
      <c r="H370" s="339"/>
      <c r="I370" s="591"/>
      <c r="J370" s="341"/>
      <c r="K370" s="591"/>
      <c r="L370" s="339"/>
      <c r="M370" s="339"/>
      <c r="N370" s="339"/>
      <c r="O370" s="339"/>
      <c r="P370" s="339"/>
      <c r="Q370" s="339"/>
      <c r="R370" s="339"/>
      <c r="S370" s="339"/>
      <c r="T370" s="339"/>
      <c r="U370" s="339"/>
      <c r="V370" s="339"/>
      <c r="W370" s="339"/>
      <c r="X370" s="339"/>
      <c r="Y370" s="339"/>
    </row>
    <row r="371" spans="1:25" ht="15.75" customHeight="1">
      <c r="A371" s="339"/>
      <c r="B371" s="339"/>
      <c r="C371" s="339"/>
      <c r="D371" s="339"/>
      <c r="E371" s="339"/>
      <c r="F371" s="339"/>
      <c r="G371" s="339"/>
      <c r="H371" s="339"/>
      <c r="I371" s="591"/>
      <c r="J371" s="341"/>
      <c r="K371" s="591"/>
      <c r="L371" s="339"/>
      <c r="M371" s="339"/>
      <c r="N371" s="339"/>
      <c r="O371" s="339"/>
      <c r="P371" s="339"/>
      <c r="Q371" s="339"/>
      <c r="R371" s="339"/>
      <c r="S371" s="339"/>
      <c r="T371" s="339"/>
      <c r="U371" s="339"/>
      <c r="V371" s="339"/>
      <c r="W371" s="339"/>
      <c r="X371" s="339"/>
      <c r="Y371" s="339"/>
    </row>
    <row r="372" spans="1:25" ht="15.75" customHeight="1">
      <c r="A372" s="339"/>
      <c r="B372" s="339"/>
      <c r="C372" s="339"/>
      <c r="D372" s="339"/>
      <c r="E372" s="339"/>
      <c r="F372" s="339"/>
      <c r="G372" s="339"/>
      <c r="H372" s="339"/>
      <c r="I372" s="591"/>
      <c r="J372" s="341"/>
      <c r="K372" s="591"/>
      <c r="L372" s="339"/>
      <c r="M372" s="339"/>
      <c r="N372" s="339"/>
      <c r="O372" s="339"/>
      <c r="P372" s="339"/>
      <c r="Q372" s="339"/>
      <c r="R372" s="339"/>
      <c r="S372" s="339"/>
      <c r="T372" s="339"/>
      <c r="U372" s="339"/>
      <c r="V372" s="339"/>
      <c r="W372" s="339"/>
      <c r="X372" s="339"/>
      <c r="Y372" s="339"/>
    </row>
    <row r="373" spans="1:25" ht="15.75" customHeight="1">
      <c r="A373" s="339"/>
      <c r="B373" s="339"/>
      <c r="C373" s="339"/>
      <c r="D373" s="339"/>
      <c r="E373" s="339"/>
      <c r="F373" s="339"/>
      <c r="G373" s="339"/>
      <c r="H373" s="339"/>
      <c r="I373" s="591"/>
      <c r="J373" s="341"/>
      <c r="K373" s="591"/>
      <c r="L373" s="339"/>
      <c r="M373" s="339"/>
      <c r="N373" s="339"/>
      <c r="O373" s="339"/>
      <c r="P373" s="339"/>
      <c r="Q373" s="339"/>
      <c r="R373" s="339"/>
      <c r="S373" s="339"/>
      <c r="T373" s="339"/>
      <c r="U373" s="339"/>
      <c r="V373" s="339"/>
      <c r="W373" s="339"/>
      <c r="X373" s="339"/>
      <c r="Y373" s="339"/>
    </row>
    <row r="374" spans="1:25" ht="15.75" customHeight="1">
      <c r="A374" s="339"/>
      <c r="B374" s="339"/>
      <c r="C374" s="339"/>
      <c r="D374" s="339"/>
      <c r="E374" s="339"/>
      <c r="F374" s="339"/>
      <c r="G374" s="339"/>
      <c r="H374" s="339"/>
      <c r="I374" s="591"/>
      <c r="J374" s="341"/>
      <c r="K374" s="591"/>
      <c r="L374" s="339"/>
      <c r="M374" s="339"/>
      <c r="N374" s="339"/>
      <c r="O374" s="339"/>
      <c r="P374" s="339"/>
      <c r="Q374" s="339"/>
      <c r="R374" s="339"/>
      <c r="S374" s="339"/>
      <c r="T374" s="339"/>
      <c r="U374" s="339"/>
      <c r="V374" s="339"/>
      <c r="W374" s="339"/>
      <c r="X374" s="339"/>
      <c r="Y374" s="339"/>
    </row>
    <row r="375" spans="1:25" ht="15.75" customHeight="1">
      <c r="A375" s="339"/>
      <c r="B375" s="339"/>
      <c r="C375" s="339"/>
      <c r="D375" s="339"/>
      <c r="E375" s="339"/>
      <c r="F375" s="339"/>
      <c r="G375" s="339"/>
      <c r="H375" s="339"/>
      <c r="I375" s="591"/>
      <c r="J375" s="341"/>
      <c r="K375" s="591"/>
      <c r="L375" s="339"/>
      <c r="M375" s="339"/>
      <c r="N375" s="339"/>
      <c r="O375" s="339"/>
      <c r="P375" s="339"/>
      <c r="Q375" s="339"/>
      <c r="R375" s="339"/>
      <c r="S375" s="339"/>
      <c r="T375" s="339"/>
      <c r="U375" s="339"/>
      <c r="V375" s="339"/>
      <c r="W375" s="339"/>
      <c r="X375" s="339"/>
      <c r="Y375" s="339"/>
    </row>
    <row r="376" spans="1:25" ht="15.75" customHeight="1">
      <c r="A376" s="339"/>
      <c r="B376" s="339"/>
      <c r="C376" s="339"/>
      <c r="D376" s="339"/>
      <c r="E376" s="339"/>
      <c r="F376" s="339"/>
      <c r="G376" s="339"/>
      <c r="H376" s="339"/>
      <c r="I376" s="591"/>
      <c r="J376" s="341"/>
      <c r="K376" s="591"/>
      <c r="L376" s="339"/>
      <c r="M376" s="339"/>
      <c r="N376" s="339"/>
      <c r="O376" s="339"/>
      <c r="P376" s="339"/>
      <c r="Q376" s="339"/>
      <c r="R376" s="339"/>
      <c r="S376" s="339"/>
      <c r="T376" s="339"/>
      <c r="U376" s="339"/>
      <c r="V376" s="339"/>
      <c r="W376" s="339"/>
      <c r="X376" s="339"/>
      <c r="Y376" s="339"/>
    </row>
    <row r="377" spans="1:25" ht="15.75" customHeight="1">
      <c r="A377" s="339"/>
      <c r="B377" s="339"/>
      <c r="C377" s="339"/>
      <c r="D377" s="339"/>
      <c r="E377" s="339"/>
      <c r="F377" s="339"/>
      <c r="G377" s="339"/>
      <c r="H377" s="339"/>
      <c r="I377" s="591"/>
      <c r="J377" s="341"/>
      <c r="K377" s="591"/>
      <c r="L377" s="339"/>
      <c r="M377" s="339"/>
      <c r="N377" s="339"/>
      <c r="O377" s="339"/>
      <c r="P377" s="339"/>
      <c r="Q377" s="339"/>
      <c r="R377" s="339"/>
      <c r="S377" s="339"/>
      <c r="T377" s="339"/>
      <c r="U377" s="339"/>
      <c r="V377" s="339"/>
      <c r="W377" s="339"/>
      <c r="X377" s="339"/>
      <c r="Y377" s="339"/>
    </row>
    <row r="378" spans="1:25" ht="15.75" customHeight="1">
      <c r="A378" s="339"/>
      <c r="B378" s="339"/>
      <c r="C378" s="339"/>
      <c r="D378" s="339"/>
      <c r="E378" s="339"/>
      <c r="F378" s="339"/>
      <c r="G378" s="339"/>
      <c r="H378" s="339"/>
      <c r="I378" s="591"/>
      <c r="J378" s="341"/>
      <c r="K378" s="591"/>
      <c r="L378" s="339"/>
      <c r="M378" s="339"/>
      <c r="N378" s="339"/>
      <c r="O378" s="339"/>
      <c r="P378" s="339"/>
      <c r="Q378" s="339"/>
      <c r="R378" s="339"/>
      <c r="S378" s="339"/>
      <c r="T378" s="339"/>
      <c r="U378" s="339"/>
      <c r="V378" s="339"/>
      <c r="W378" s="339"/>
      <c r="X378" s="339"/>
      <c r="Y378" s="339"/>
    </row>
    <row r="379" spans="1:25" ht="15.75" customHeight="1">
      <c r="A379" s="339"/>
      <c r="B379" s="339"/>
      <c r="C379" s="339"/>
      <c r="D379" s="339"/>
      <c r="E379" s="339"/>
      <c r="F379" s="339"/>
      <c r="G379" s="339"/>
      <c r="H379" s="339"/>
      <c r="I379" s="591"/>
      <c r="J379" s="341"/>
      <c r="K379" s="591"/>
      <c r="L379" s="339"/>
      <c r="M379" s="339"/>
      <c r="N379" s="339"/>
      <c r="O379" s="339"/>
      <c r="P379" s="339"/>
      <c r="Q379" s="339"/>
      <c r="R379" s="339"/>
      <c r="S379" s="339"/>
      <c r="T379" s="339"/>
      <c r="U379" s="339"/>
      <c r="V379" s="339"/>
      <c r="W379" s="339"/>
      <c r="X379" s="339"/>
      <c r="Y379" s="339"/>
    </row>
    <row r="380" spans="1:25" ht="15.75" customHeight="1">
      <c r="A380" s="339"/>
      <c r="B380" s="339"/>
      <c r="C380" s="339"/>
      <c r="D380" s="339"/>
      <c r="E380" s="339"/>
      <c r="F380" s="339"/>
      <c r="G380" s="339"/>
      <c r="H380" s="339"/>
      <c r="I380" s="591"/>
      <c r="J380" s="341"/>
      <c r="K380" s="591"/>
      <c r="L380" s="339"/>
      <c r="M380" s="339"/>
      <c r="N380" s="339"/>
      <c r="O380" s="339"/>
      <c r="P380" s="339"/>
      <c r="Q380" s="339"/>
      <c r="R380" s="339"/>
      <c r="S380" s="339"/>
      <c r="T380" s="339"/>
      <c r="U380" s="339"/>
      <c r="V380" s="339"/>
      <c r="W380" s="339"/>
      <c r="X380" s="339"/>
      <c r="Y380" s="339"/>
    </row>
    <row r="381" spans="1:25" ht="15.75" customHeight="1">
      <c r="A381" s="339"/>
      <c r="B381" s="339"/>
      <c r="C381" s="339"/>
      <c r="D381" s="339"/>
      <c r="E381" s="339"/>
      <c r="F381" s="339"/>
      <c r="G381" s="339"/>
      <c r="H381" s="339"/>
      <c r="I381" s="591"/>
      <c r="J381" s="341"/>
      <c r="K381" s="591"/>
      <c r="L381" s="339"/>
      <c r="M381" s="339"/>
      <c r="N381" s="339"/>
      <c r="O381" s="339"/>
      <c r="P381" s="339"/>
      <c r="Q381" s="339"/>
      <c r="R381" s="339"/>
      <c r="S381" s="339"/>
      <c r="T381" s="339"/>
      <c r="U381" s="339"/>
      <c r="V381" s="339"/>
      <c r="W381" s="339"/>
      <c r="X381" s="339"/>
      <c r="Y381" s="339"/>
    </row>
    <row r="382" spans="1:25" ht="15.75" customHeight="1">
      <c r="A382" s="339"/>
      <c r="B382" s="339"/>
      <c r="C382" s="339"/>
      <c r="D382" s="339"/>
      <c r="E382" s="339"/>
      <c r="F382" s="339"/>
      <c r="G382" s="339"/>
      <c r="H382" s="339"/>
      <c r="I382" s="591"/>
      <c r="J382" s="341"/>
      <c r="K382" s="591"/>
      <c r="L382" s="339"/>
      <c r="M382" s="339"/>
      <c r="N382" s="339"/>
      <c r="O382" s="339"/>
      <c r="P382" s="339"/>
      <c r="Q382" s="339"/>
      <c r="R382" s="339"/>
      <c r="S382" s="339"/>
      <c r="T382" s="339"/>
      <c r="U382" s="339"/>
      <c r="V382" s="339"/>
      <c r="W382" s="339"/>
      <c r="X382" s="339"/>
      <c r="Y382" s="339"/>
    </row>
    <row r="383" spans="1:25" ht="15.75" customHeight="1">
      <c r="A383" s="339"/>
      <c r="B383" s="339"/>
      <c r="C383" s="339"/>
      <c r="D383" s="339"/>
      <c r="E383" s="339"/>
      <c r="F383" s="339"/>
      <c r="G383" s="339"/>
      <c r="H383" s="339"/>
      <c r="I383" s="591"/>
      <c r="J383" s="341"/>
      <c r="K383" s="591"/>
      <c r="L383" s="339"/>
      <c r="M383" s="339"/>
      <c r="N383" s="339"/>
      <c r="O383" s="339"/>
      <c r="P383" s="339"/>
      <c r="Q383" s="339"/>
      <c r="R383" s="339"/>
      <c r="S383" s="339"/>
      <c r="T383" s="339"/>
      <c r="U383" s="339"/>
      <c r="V383" s="339"/>
      <c r="W383" s="339"/>
      <c r="X383" s="339"/>
      <c r="Y383" s="339"/>
    </row>
    <row r="384" spans="1:25" ht="15.75" customHeight="1">
      <c r="A384" s="339"/>
      <c r="B384" s="339"/>
      <c r="C384" s="339"/>
      <c r="D384" s="339"/>
      <c r="E384" s="339"/>
      <c r="F384" s="339"/>
      <c r="G384" s="339"/>
      <c r="H384" s="339"/>
      <c r="I384" s="591"/>
      <c r="J384" s="341"/>
      <c r="K384" s="591"/>
      <c r="L384" s="339"/>
      <c r="M384" s="339"/>
      <c r="N384" s="339"/>
      <c r="O384" s="339"/>
      <c r="P384" s="339"/>
      <c r="Q384" s="339"/>
      <c r="R384" s="339"/>
      <c r="S384" s="339"/>
      <c r="T384" s="339"/>
      <c r="U384" s="339"/>
      <c r="V384" s="339"/>
      <c r="W384" s="339"/>
      <c r="X384" s="339"/>
      <c r="Y384" s="339"/>
    </row>
    <row r="385" spans="1:25" ht="15.75" customHeight="1">
      <c r="A385" s="339"/>
      <c r="B385" s="339"/>
      <c r="C385" s="339"/>
      <c r="D385" s="339"/>
      <c r="E385" s="339"/>
      <c r="F385" s="339"/>
      <c r="G385" s="339"/>
      <c r="H385" s="339"/>
      <c r="I385" s="591"/>
      <c r="J385" s="341"/>
      <c r="K385" s="591"/>
      <c r="L385" s="339"/>
      <c r="M385" s="339"/>
      <c r="N385" s="339"/>
      <c r="O385" s="339"/>
      <c r="P385" s="339"/>
      <c r="Q385" s="339"/>
      <c r="R385" s="339"/>
      <c r="S385" s="339"/>
      <c r="T385" s="339"/>
      <c r="U385" s="339"/>
      <c r="V385" s="339"/>
      <c r="W385" s="339"/>
      <c r="X385" s="339"/>
      <c r="Y385" s="339"/>
    </row>
    <row r="386" spans="1:25" ht="15.75" customHeight="1">
      <c r="A386" s="339"/>
      <c r="B386" s="339"/>
      <c r="C386" s="339"/>
      <c r="D386" s="339"/>
      <c r="E386" s="339"/>
      <c r="F386" s="339"/>
      <c r="G386" s="339"/>
      <c r="H386" s="339"/>
      <c r="I386" s="591"/>
      <c r="J386" s="341"/>
      <c r="K386" s="591"/>
      <c r="L386" s="339"/>
      <c r="M386" s="339"/>
      <c r="N386" s="339"/>
      <c r="O386" s="339"/>
      <c r="P386" s="339"/>
      <c r="Q386" s="339"/>
      <c r="R386" s="339"/>
      <c r="S386" s="339"/>
      <c r="T386" s="339"/>
      <c r="U386" s="339"/>
      <c r="V386" s="339"/>
      <c r="W386" s="339"/>
      <c r="X386" s="339"/>
      <c r="Y386" s="339"/>
    </row>
    <row r="387" spans="1:25" ht="15.75" customHeight="1">
      <c r="A387" s="339"/>
      <c r="B387" s="339"/>
      <c r="C387" s="339"/>
      <c r="D387" s="339"/>
      <c r="E387" s="339"/>
      <c r="F387" s="339"/>
      <c r="G387" s="339"/>
      <c r="H387" s="339"/>
      <c r="I387" s="591"/>
      <c r="J387" s="341"/>
      <c r="K387" s="591"/>
      <c r="L387" s="339"/>
      <c r="M387" s="339"/>
      <c r="N387" s="339"/>
      <c r="O387" s="339"/>
      <c r="P387" s="339"/>
      <c r="Q387" s="339"/>
      <c r="R387" s="339"/>
      <c r="S387" s="339"/>
      <c r="T387" s="339"/>
      <c r="U387" s="339"/>
      <c r="V387" s="339"/>
      <c r="W387" s="339"/>
      <c r="X387" s="339"/>
      <c r="Y387" s="339"/>
    </row>
    <row r="388" spans="1:25" ht="15.75" customHeight="1">
      <c r="A388" s="339"/>
      <c r="B388" s="339"/>
      <c r="C388" s="339"/>
      <c r="D388" s="339"/>
      <c r="E388" s="339"/>
      <c r="F388" s="339"/>
      <c r="G388" s="339"/>
      <c r="H388" s="339"/>
      <c r="I388" s="591"/>
      <c r="J388" s="341"/>
      <c r="K388" s="591"/>
      <c r="L388" s="339"/>
      <c r="M388" s="339"/>
      <c r="N388" s="339"/>
      <c r="O388" s="339"/>
      <c r="P388" s="339"/>
      <c r="Q388" s="339"/>
      <c r="R388" s="339"/>
      <c r="S388" s="339"/>
      <c r="T388" s="339"/>
      <c r="U388" s="339"/>
      <c r="V388" s="339"/>
      <c r="W388" s="339"/>
      <c r="X388" s="339"/>
      <c r="Y388" s="339"/>
    </row>
    <row r="389" spans="1:25" ht="15.75" customHeight="1">
      <c r="A389" s="339"/>
      <c r="B389" s="339"/>
      <c r="C389" s="339"/>
      <c r="D389" s="339"/>
      <c r="E389" s="339"/>
      <c r="F389" s="339"/>
      <c r="G389" s="339"/>
      <c r="H389" s="339"/>
      <c r="I389" s="591"/>
      <c r="J389" s="341"/>
      <c r="K389" s="591"/>
      <c r="L389" s="339"/>
      <c r="M389" s="339"/>
      <c r="N389" s="339"/>
      <c r="O389" s="339"/>
      <c r="P389" s="339"/>
      <c r="Q389" s="339"/>
      <c r="R389" s="339"/>
      <c r="S389" s="339"/>
      <c r="T389" s="339"/>
      <c r="U389" s="339"/>
      <c r="V389" s="339"/>
      <c r="W389" s="339"/>
      <c r="X389" s="339"/>
      <c r="Y389" s="339"/>
    </row>
    <row r="390" spans="1:25" ht="15.75" customHeight="1">
      <c r="A390" s="339"/>
      <c r="B390" s="339"/>
      <c r="C390" s="339"/>
      <c r="D390" s="339"/>
      <c r="E390" s="339"/>
      <c r="F390" s="339"/>
      <c r="G390" s="339"/>
      <c r="H390" s="339"/>
      <c r="I390" s="591"/>
      <c r="J390" s="341"/>
      <c r="K390" s="591"/>
      <c r="L390" s="339"/>
      <c r="M390" s="339"/>
      <c r="N390" s="339"/>
      <c r="O390" s="339"/>
      <c r="P390" s="339"/>
      <c r="Q390" s="339"/>
      <c r="R390" s="339"/>
      <c r="S390" s="339"/>
      <c r="T390" s="339"/>
      <c r="U390" s="339"/>
      <c r="V390" s="339"/>
      <c r="W390" s="339"/>
      <c r="X390" s="339"/>
      <c r="Y390" s="339"/>
    </row>
    <row r="391" spans="1:25" ht="15.75" customHeight="1">
      <c r="A391" s="339"/>
      <c r="B391" s="339"/>
      <c r="C391" s="339"/>
      <c r="D391" s="339"/>
      <c r="E391" s="339"/>
      <c r="F391" s="339"/>
      <c r="G391" s="339"/>
      <c r="H391" s="339"/>
      <c r="I391" s="591"/>
      <c r="J391" s="341"/>
      <c r="K391" s="591"/>
      <c r="L391" s="339"/>
      <c r="M391" s="339"/>
      <c r="N391" s="339"/>
      <c r="O391" s="339"/>
      <c r="P391" s="339"/>
      <c r="Q391" s="339"/>
      <c r="R391" s="339"/>
      <c r="S391" s="339"/>
      <c r="T391" s="339"/>
      <c r="U391" s="339"/>
      <c r="V391" s="339"/>
      <c r="W391" s="339"/>
      <c r="X391" s="339"/>
      <c r="Y391" s="339"/>
    </row>
    <row r="392" spans="1:25" ht="15.75" customHeight="1">
      <c r="A392" s="339"/>
      <c r="B392" s="339"/>
      <c r="C392" s="339"/>
      <c r="D392" s="339"/>
      <c r="E392" s="339"/>
      <c r="F392" s="339"/>
      <c r="G392" s="339"/>
      <c r="H392" s="339"/>
      <c r="I392" s="591"/>
      <c r="J392" s="341"/>
      <c r="K392" s="591"/>
      <c r="L392" s="339"/>
      <c r="M392" s="339"/>
      <c r="N392" s="339"/>
      <c r="O392" s="339"/>
      <c r="P392" s="339"/>
      <c r="Q392" s="339"/>
      <c r="R392" s="339"/>
      <c r="S392" s="339"/>
      <c r="T392" s="339"/>
      <c r="U392" s="339"/>
      <c r="V392" s="339"/>
      <c r="W392" s="339"/>
      <c r="X392" s="339"/>
      <c r="Y392" s="339"/>
    </row>
    <row r="393" spans="1:25" ht="15.75" customHeight="1">
      <c r="A393" s="339"/>
      <c r="B393" s="339"/>
      <c r="C393" s="339"/>
      <c r="D393" s="339"/>
      <c r="E393" s="339"/>
      <c r="F393" s="339"/>
      <c r="G393" s="339"/>
      <c r="H393" s="339"/>
      <c r="I393" s="591"/>
      <c r="J393" s="341"/>
      <c r="K393" s="591"/>
      <c r="L393" s="339"/>
      <c r="M393" s="339"/>
      <c r="N393" s="339"/>
      <c r="O393" s="339"/>
      <c r="P393" s="339"/>
      <c r="Q393" s="339"/>
      <c r="R393" s="339"/>
      <c r="S393" s="339"/>
      <c r="T393" s="339"/>
      <c r="U393" s="339"/>
      <c r="V393" s="339"/>
      <c r="W393" s="339"/>
      <c r="X393" s="339"/>
      <c r="Y393" s="339"/>
    </row>
    <row r="394" spans="1:25" ht="15.75" customHeight="1">
      <c r="A394" s="339"/>
      <c r="B394" s="339"/>
      <c r="C394" s="339"/>
      <c r="D394" s="339"/>
      <c r="E394" s="339"/>
      <c r="F394" s="339"/>
      <c r="G394" s="339"/>
      <c r="H394" s="339"/>
      <c r="I394" s="591"/>
      <c r="J394" s="341"/>
      <c r="K394" s="591"/>
      <c r="L394" s="339"/>
      <c r="M394" s="339"/>
      <c r="N394" s="339"/>
      <c r="O394" s="339"/>
      <c r="P394" s="339"/>
      <c r="Q394" s="339"/>
      <c r="R394" s="339"/>
      <c r="S394" s="339"/>
      <c r="T394" s="339"/>
      <c r="U394" s="339"/>
      <c r="V394" s="339"/>
      <c r="W394" s="339"/>
      <c r="X394" s="339"/>
      <c r="Y394" s="339"/>
    </row>
    <row r="395" spans="1:25" ht="15.75" customHeight="1">
      <c r="A395" s="339"/>
      <c r="B395" s="339"/>
      <c r="C395" s="339"/>
      <c r="D395" s="339"/>
      <c r="E395" s="339"/>
      <c r="F395" s="339"/>
      <c r="G395" s="339"/>
      <c r="H395" s="339"/>
      <c r="I395" s="591"/>
      <c r="J395" s="341"/>
      <c r="K395" s="591"/>
      <c r="L395" s="339"/>
      <c r="M395" s="339"/>
      <c r="N395" s="339"/>
      <c r="O395" s="339"/>
      <c r="P395" s="339"/>
      <c r="Q395" s="339"/>
      <c r="R395" s="339"/>
      <c r="S395" s="339"/>
      <c r="T395" s="339"/>
      <c r="U395" s="339"/>
      <c r="V395" s="339"/>
      <c r="W395" s="339"/>
      <c r="X395" s="339"/>
      <c r="Y395" s="339"/>
    </row>
    <row r="396" spans="1:25" ht="15.75" customHeight="1">
      <c r="A396" s="339"/>
      <c r="B396" s="339"/>
      <c r="C396" s="339"/>
      <c r="D396" s="339"/>
      <c r="E396" s="339"/>
      <c r="F396" s="339"/>
      <c r="G396" s="339"/>
      <c r="H396" s="339"/>
      <c r="I396" s="591"/>
      <c r="J396" s="341"/>
      <c r="K396" s="591"/>
      <c r="L396" s="339"/>
      <c r="M396" s="339"/>
      <c r="N396" s="339"/>
      <c r="O396" s="339"/>
      <c r="P396" s="339"/>
      <c r="Q396" s="339"/>
      <c r="R396" s="339"/>
      <c r="S396" s="339"/>
      <c r="T396" s="339"/>
      <c r="U396" s="339"/>
      <c r="V396" s="339"/>
      <c r="W396" s="339"/>
      <c r="X396" s="339"/>
      <c r="Y396" s="339"/>
    </row>
    <row r="397" spans="1:25" ht="15.75" customHeight="1">
      <c r="A397" s="339"/>
      <c r="B397" s="339"/>
      <c r="C397" s="339"/>
      <c r="D397" s="339"/>
      <c r="E397" s="339"/>
      <c r="F397" s="339"/>
      <c r="G397" s="339"/>
      <c r="H397" s="339"/>
      <c r="I397" s="591"/>
      <c r="J397" s="341"/>
      <c r="K397" s="591"/>
      <c r="L397" s="339"/>
      <c r="M397" s="339"/>
      <c r="N397" s="339"/>
      <c r="O397" s="339"/>
      <c r="P397" s="339"/>
      <c r="Q397" s="339"/>
      <c r="R397" s="339"/>
      <c r="S397" s="339"/>
      <c r="T397" s="339"/>
      <c r="U397" s="339"/>
      <c r="V397" s="339"/>
      <c r="W397" s="339"/>
      <c r="X397" s="339"/>
      <c r="Y397" s="339"/>
    </row>
    <row r="398" spans="1:25" ht="15.75" customHeight="1">
      <c r="A398" s="339"/>
      <c r="B398" s="339"/>
      <c r="C398" s="339"/>
      <c r="D398" s="339"/>
      <c r="E398" s="339"/>
      <c r="F398" s="339"/>
      <c r="G398" s="339"/>
      <c r="H398" s="339"/>
      <c r="I398" s="591"/>
      <c r="J398" s="341"/>
      <c r="K398" s="591"/>
      <c r="L398" s="339"/>
      <c r="M398" s="339"/>
      <c r="N398" s="339"/>
      <c r="O398" s="339"/>
      <c r="P398" s="339"/>
      <c r="Q398" s="339"/>
      <c r="R398" s="339"/>
      <c r="S398" s="339"/>
      <c r="T398" s="339"/>
      <c r="U398" s="339"/>
      <c r="V398" s="339"/>
      <c r="W398" s="339"/>
      <c r="X398" s="339"/>
      <c r="Y398" s="339"/>
    </row>
    <row r="399" spans="1:25" ht="15.75" customHeight="1">
      <c r="A399" s="339"/>
      <c r="B399" s="339"/>
      <c r="C399" s="339"/>
      <c r="D399" s="339"/>
      <c r="E399" s="339"/>
      <c r="F399" s="339"/>
      <c r="G399" s="339"/>
      <c r="H399" s="339"/>
      <c r="I399" s="591"/>
      <c r="J399" s="341"/>
      <c r="K399" s="591"/>
      <c r="L399" s="339"/>
      <c r="M399" s="339"/>
      <c r="N399" s="339"/>
      <c r="O399" s="339"/>
      <c r="P399" s="339"/>
      <c r="Q399" s="339"/>
      <c r="R399" s="339"/>
      <c r="S399" s="339"/>
      <c r="T399" s="339"/>
      <c r="U399" s="339"/>
      <c r="V399" s="339"/>
      <c r="W399" s="339"/>
      <c r="X399" s="339"/>
      <c r="Y399" s="339"/>
    </row>
    <row r="400" spans="1:25" ht="15.75" customHeight="1">
      <c r="A400" s="339"/>
      <c r="B400" s="339"/>
      <c r="C400" s="339"/>
      <c r="D400" s="339"/>
      <c r="E400" s="339"/>
      <c r="F400" s="339"/>
      <c r="G400" s="339"/>
      <c r="H400" s="339"/>
      <c r="I400" s="591"/>
      <c r="J400" s="341"/>
      <c r="K400" s="591"/>
      <c r="L400" s="339"/>
      <c r="M400" s="339"/>
      <c r="N400" s="339"/>
      <c r="O400" s="339"/>
      <c r="P400" s="339"/>
      <c r="Q400" s="339"/>
      <c r="R400" s="339"/>
      <c r="S400" s="339"/>
      <c r="T400" s="339"/>
      <c r="U400" s="339"/>
      <c r="V400" s="339"/>
      <c r="W400" s="339"/>
      <c r="X400" s="339"/>
      <c r="Y400" s="339"/>
    </row>
    <row r="401" spans="1:25" ht="15.75" customHeight="1">
      <c r="A401" s="339"/>
      <c r="B401" s="339"/>
      <c r="C401" s="339"/>
      <c r="D401" s="339"/>
      <c r="E401" s="339"/>
      <c r="F401" s="339"/>
      <c r="G401" s="339"/>
      <c r="H401" s="339"/>
      <c r="I401" s="591"/>
      <c r="J401" s="341"/>
      <c r="K401" s="591"/>
      <c r="L401" s="339"/>
      <c r="M401" s="339"/>
      <c r="N401" s="339"/>
      <c r="O401" s="339"/>
      <c r="P401" s="339"/>
      <c r="Q401" s="339"/>
      <c r="R401" s="339"/>
      <c r="S401" s="339"/>
      <c r="T401" s="339"/>
      <c r="U401" s="339"/>
      <c r="V401" s="339"/>
      <c r="W401" s="339"/>
      <c r="X401" s="339"/>
      <c r="Y401" s="339"/>
    </row>
    <row r="402" spans="1:25" ht="15.75" customHeight="1">
      <c r="A402" s="339"/>
      <c r="B402" s="339"/>
      <c r="C402" s="339"/>
      <c r="D402" s="339"/>
      <c r="E402" s="339"/>
      <c r="F402" s="339"/>
      <c r="G402" s="339"/>
      <c r="H402" s="339"/>
      <c r="I402" s="591"/>
      <c r="J402" s="341"/>
      <c r="K402" s="591"/>
      <c r="L402" s="339"/>
      <c r="M402" s="339"/>
      <c r="N402" s="339"/>
      <c r="O402" s="339"/>
      <c r="P402" s="339"/>
      <c r="Q402" s="339"/>
      <c r="R402" s="339"/>
      <c r="S402" s="339"/>
      <c r="T402" s="339"/>
      <c r="U402" s="339"/>
      <c r="V402" s="339"/>
      <c r="W402" s="339"/>
      <c r="X402" s="339"/>
      <c r="Y402" s="339"/>
    </row>
    <row r="403" spans="1:25" ht="15.75" customHeight="1">
      <c r="A403" s="339"/>
      <c r="B403" s="339"/>
      <c r="C403" s="339"/>
      <c r="D403" s="339"/>
      <c r="E403" s="339"/>
      <c r="F403" s="339"/>
      <c r="G403" s="339"/>
      <c r="H403" s="339"/>
      <c r="I403" s="591"/>
      <c r="J403" s="341"/>
      <c r="K403" s="591"/>
      <c r="L403" s="339"/>
      <c r="M403" s="339"/>
      <c r="N403" s="339"/>
      <c r="O403" s="339"/>
      <c r="P403" s="339"/>
      <c r="Q403" s="339"/>
      <c r="R403" s="339"/>
      <c r="S403" s="339"/>
      <c r="T403" s="339"/>
      <c r="U403" s="339"/>
      <c r="V403" s="339"/>
      <c r="W403" s="339"/>
      <c r="X403" s="339"/>
      <c r="Y403" s="339"/>
    </row>
    <row r="404" spans="1:25" ht="15.75" customHeight="1">
      <c r="A404" s="339"/>
      <c r="B404" s="339"/>
      <c r="C404" s="339"/>
      <c r="D404" s="339"/>
      <c r="E404" s="339"/>
      <c r="F404" s="339"/>
      <c r="G404" s="339"/>
      <c r="H404" s="339"/>
      <c r="I404" s="591"/>
      <c r="J404" s="341"/>
      <c r="K404" s="591"/>
      <c r="L404" s="339"/>
      <c r="M404" s="339"/>
      <c r="N404" s="339"/>
      <c r="O404" s="339"/>
      <c r="P404" s="339"/>
      <c r="Q404" s="339"/>
      <c r="R404" s="339"/>
      <c r="S404" s="339"/>
      <c r="T404" s="339"/>
      <c r="U404" s="339"/>
      <c r="V404" s="339"/>
      <c r="W404" s="339"/>
      <c r="X404" s="339"/>
      <c r="Y404" s="339"/>
    </row>
    <row r="405" spans="1:25" ht="15.75" customHeight="1">
      <c r="A405" s="339"/>
      <c r="B405" s="339"/>
      <c r="C405" s="339"/>
      <c r="D405" s="339"/>
      <c r="E405" s="339"/>
      <c r="F405" s="339"/>
      <c r="G405" s="339"/>
      <c r="H405" s="339"/>
      <c r="I405" s="591"/>
      <c r="J405" s="341"/>
      <c r="K405" s="591"/>
      <c r="L405" s="339"/>
      <c r="M405" s="339"/>
      <c r="N405" s="339"/>
      <c r="O405" s="339"/>
      <c r="P405" s="339"/>
      <c r="Q405" s="339"/>
      <c r="R405" s="339"/>
      <c r="S405" s="339"/>
      <c r="T405" s="339"/>
      <c r="U405" s="339"/>
      <c r="V405" s="339"/>
      <c r="W405" s="339"/>
      <c r="X405" s="339"/>
      <c r="Y405" s="339"/>
    </row>
    <row r="406" spans="1:25" ht="15.75" customHeight="1">
      <c r="A406" s="339"/>
      <c r="B406" s="339"/>
      <c r="C406" s="339"/>
      <c r="D406" s="339"/>
      <c r="E406" s="339"/>
      <c r="F406" s="339"/>
      <c r="G406" s="339"/>
      <c r="H406" s="339"/>
      <c r="I406" s="591"/>
      <c r="J406" s="341"/>
      <c r="K406" s="591"/>
      <c r="L406" s="339"/>
      <c r="M406" s="339"/>
      <c r="N406" s="339"/>
      <c r="O406" s="339"/>
      <c r="P406" s="339"/>
      <c r="Q406" s="339"/>
      <c r="R406" s="339"/>
      <c r="S406" s="339"/>
      <c r="T406" s="339"/>
      <c r="U406" s="339"/>
      <c r="V406" s="339"/>
      <c r="W406" s="339"/>
      <c r="X406" s="339"/>
      <c r="Y406" s="339"/>
    </row>
    <row r="407" spans="1:25" ht="15.75" customHeight="1">
      <c r="A407" s="339"/>
      <c r="B407" s="339"/>
      <c r="C407" s="339"/>
      <c r="D407" s="339"/>
      <c r="E407" s="339"/>
      <c r="F407" s="339"/>
      <c r="G407" s="339"/>
      <c r="H407" s="339"/>
      <c r="I407" s="591"/>
      <c r="J407" s="341"/>
      <c r="K407" s="591"/>
      <c r="L407" s="339"/>
      <c r="M407" s="339"/>
      <c r="N407" s="339"/>
      <c r="O407" s="339"/>
      <c r="P407" s="339"/>
      <c r="Q407" s="339"/>
      <c r="R407" s="339"/>
      <c r="S407" s="339"/>
      <c r="T407" s="339"/>
      <c r="U407" s="339"/>
      <c r="V407" s="339"/>
      <c r="W407" s="339"/>
      <c r="X407" s="339"/>
      <c r="Y407" s="339"/>
    </row>
    <row r="408" spans="1:25" ht="15.75" customHeight="1">
      <c r="A408" s="339"/>
      <c r="B408" s="339"/>
      <c r="C408" s="339"/>
      <c r="D408" s="339"/>
      <c r="E408" s="339"/>
      <c r="F408" s="339"/>
      <c r="G408" s="339"/>
      <c r="H408" s="339"/>
      <c r="I408" s="591"/>
      <c r="J408" s="341"/>
      <c r="K408" s="591"/>
      <c r="L408" s="339"/>
      <c r="M408" s="339"/>
      <c r="N408" s="339"/>
      <c r="O408" s="339"/>
      <c r="P408" s="339"/>
      <c r="Q408" s="339"/>
      <c r="R408" s="339"/>
      <c r="S408" s="339"/>
      <c r="T408" s="339"/>
      <c r="U408" s="339"/>
      <c r="V408" s="339"/>
      <c r="W408" s="339"/>
      <c r="X408" s="339"/>
      <c r="Y408" s="339"/>
    </row>
    <row r="409" spans="1:25" ht="15.75" customHeight="1">
      <c r="A409" s="339"/>
      <c r="B409" s="339"/>
      <c r="C409" s="339"/>
      <c r="D409" s="339"/>
      <c r="E409" s="339"/>
      <c r="F409" s="339"/>
      <c r="G409" s="339"/>
      <c r="H409" s="339"/>
      <c r="I409" s="591"/>
      <c r="J409" s="341"/>
      <c r="K409" s="591"/>
      <c r="L409" s="339"/>
      <c r="M409" s="339"/>
      <c r="N409" s="339"/>
      <c r="O409" s="339"/>
      <c r="P409" s="339"/>
      <c r="Q409" s="339"/>
      <c r="R409" s="339"/>
      <c r="S409" s="339"/>
      <c r="T409" s="339"/>
      <c r="U409" s="339"/>
      <c r="V409" s="339"/>
      <c r="W409" s="339"/>
      <c r="X409" s="339"/>
      <c r="Y409" s="339"/>
    </row>
    <row r="410" spans="1:25" ht="15.75" customHeight="1">
      <c r="A410" s="339"/>
      <c r="B410" s="339"/>
      <c r="C410" s="339"/>
      <c r="D410" s="339"/>
      <c r="E410" s="339"/>
      <c r="F410" s="339"/>
      <c r="G410" s="339"/>
      <c r="H410" s="339"/>
      <c r="I410" s="591"/>
      <c r="J410" s="341"/>
      <c r="K410" s="591"/>
      <c r="L410" s="339"/>
      <c r="M410" s="339"/>
      <c r="N410" s="339"/>
      <c r="O410" s="339"/>
      <c r="P410" s="339"/>
      <c r="Q410" s="339"/>
      <c r="R410" s="339"/>
      <c r="S410" s="339"/>
      <c r="T410" s="339"/>
      <c r="U410" s="339"/>
      <c r="V410" s="339"/>
      <c r="W410" s="339"/>
      <c r="X410" s="339"/>
      <c r="Y410" s="339"/>
    </row>
    <row r="411" spans="1:25" ht="15.75" customHeight="1">
      <c r="A411" s="339"/>
      <c r="B411" s="339"/>
      <c r="C411" s="339"/>
      <c r="D411" s="339"/>
      <c r="E411" s="339"/>
      <c r="F411" s="339"/>
      <c r="G411" s="339"/>
      <c r="H411" s="339"/>
      <c r="I411" s="591"/>
      <c r="J411" s="341"/>
      <c r="K411" s="591"/>
      <c r="L411" s="339"/>
      <c r="M411" s="339"/>
      <c r="N411" s="339"/>
      <c r="O411" s="339"/>
      <c r="P411" s="339"/>
      <c r="Q411" s="339"/>
      <c r="R411" s="339"/>
      <c r="S411" s="339"/>
      <c r="T411" s="339"/>
      <c r="U411" s="339"/>
      <c r="V411" s="339"/>
      <c r="W411" s="339"/>
      <c r="X411" s="339"/>
      <c r="Y411" s="339"/>
    </row>
    <row r="412" spans="1:25" ht="15.75" customHeight="1">
      <c r="A412" s="339"/>
      <c r="B412" s="339"/>
      <c r="C412" s="339"/>
      <c r="D412" s="339"/>
      <c r="E412" s="339"/>
      <c r="F412" s="339"/>
      <c r="G412" s="339"/>
      <c r="H412" s="339"/>
      <c r="I412" s="591"/>
      <c r="J412" s="341"/>
      <c r="K412" s="591"/>
      <c r="L412" s="339"/>
      <c r="M412" s="339"/>
      <c r="N412" s="339"/>
      <c r="O412" s="339"/>
      <c r="P412" s="339"/>
      <c r="Q412" s="339"/>
      <c r="R412" s="339"/>
      <c r="S412" s="339"/>
      <c r="T412" s="339"/>
      <c r="U412" s="339"/>
      <c r="V412" s="339"/>
      <c r="W412" s="339"/>
      <c r="X412" s="339"/>
      <c r="Y412" s="339"/>
    </row>
    <row r="413" spans="1:25" ht="15.75" customHeight="1">
      <c r="A413" s="339"/>
      <c r="B413" s="339"/>
      <c r="C413" s="339"/>
      <c r="D413" s="339"/>
      <c r="E413" s="339"/>
      <c r="F413" s="339"/>
      <c r="G413" s="339"/>
      <c r="H413" s="339"/>
      <c r="I413" s="591"/>
      <c r="J413" s="341"/>
      <c r="K413" s="591"/>
      <c r="L413" s="339"/>
      <c r="M413" s="339"/>
      <c r="N413" s="339"/>
      <c r="O413" s="339"/>
      <c r="P413" s="339"/>
      <c r="Q413" s="339"/>
      <c r="R413" s="339"/>
      <c r="S413" s="339"/>
      <c r="T413" s="339"/>
      <c r="U413" s="339"/>
      <c r="V413" s="339"/>
      <c r="W413" s="339"/>
      <c r="X413" s="339"/>
      <c r="Y413" s="339"/>
    </row>
    <row r="414" spans="1:25" ht="15.75" customHeight="1">
      <c r="A414" s="339"/>
      <c r="B414" s="339"/>
      <c r="C414" s="339"/>
      <c r="D414" s="339"/>
      <c r="E414" s="339"/>
      <c r="F414" s="339"/>
      <c r="G414" s="339"/>
      <c r="H414" s="339"/>
      <c r="I414" s="591"/>
      <c r="J414" s="341"/>
      <c r="K414" s="591"/>
      <c r="L414" s="339"/>
      <c r="M414" s="339"/>
      <c r="N414" s="339"/>
      <c r="O414" s="339"/>
      <c r="P414" s="339"/>
      <c r="Q414" s="339"/>
      <c r="R414" s="339"/>
      <c r="S414" s="339"/>
      <c r="T414" s="339"/>
      <c r="U414" s="339"/>
      <c r="V414" s="339"/>
      <c r="W414" s="339"/>
      <c r="X414" s="339"/>
      <c r="Y414" s="339"/>
    </row>
    <row r="415" spans="1:25" ht="15.75" customHeight="1">
      <c r="A415" s="339"/>
      <c r="B415" s="339"/>
      <c r="C415" s="339"/>
      <c r="D415" s="339"/>
      <c r="E415" s="339"/>
      <c r="F415" s="339"/>
      <c r="G415" s="339"/>
      <c r="H415" s="339"/>
      <c r="I415" s="591"/>
      <c r="J415" s="341"/>
      <c r="K415" s="591"/>
      <c r="L415" s="339"/>
      <c r="M415" s="339"/>
      <c r="N415" s="339"/>
      <c r="O415" s="339"/>
      <c r="P415" s="339"/>
      <c r="Q415" s="339"/>
      <c r="R415" s="339"/>
      <c r="S415" s="339"/>
      <c r="T415" s="339"/>
      <c r="U415" s="339"/>
      <c r="V415" s="339"/>
      <c r="W415" s="339"/>
      <c r="X415" s="339"/>
      <c r="Y415" s="339"/>
    </row>
    <row r="416" spans="1:25" ht="15.75" customHeight="1">
      <c r="A416" s="339"/>
      <c r="B416" s="339"/>
      <c r="C416" s="339"/>
      <c r="D416" s="339"/>
      <c r="E416" s="339"/>
      <c r="F416" s="339"/>
      <c r="G416" s="339"/>
      <c r="H416" s="339"/>
      <c r="I416" s="591"/>
      <c r="J416" s="341"/>
      <c r="K416" s="591"/>
      <c r="L416" s="339"/>
      <c r="M416" s="339"/>
      <c r="N416" s="339"/>
      <c r="O416" s="339"/>
      <c r="P416" s="339"/>
      <c r="Q416" s="339"/>
      <c r="R416" s="339"/>
      <c r="S416" s="339"/>
      <c r="T416" s="339"/>
      <c r="U416" s="339"/>
      <c r="V416" s="339"/>
      <c r="W416" s="339"/>
      <c r="X416" s="339"/>
      <c r="Y416" s="339"/>
    </row>
    <row r="417" spans="1:25" ht="15.75" customHeight="1">
      <c r="A417" s="339"/>
      <c r="B417" s="339"/>
      <c r="C417" s="339"/>
      <c r="D417" s="339"/>
      <c r="E417" s="339"/>
      <c r="F417" s="339"/>
      <c r="G417" s="339"/>
      <c r="H417" s="339"/>
      <c r="I417" s="591"/>
      <c r="J417" s="341"/>
      <c r="K417" s="591"/>
      <c r="L417" s="339"/>
      <c r="M417" s="339"/>
      <c r="N417" s="339"/>
      <c r="O417" s="339"/>
      <c r="P417" s="339"/>
      <c r="Q417" s="339"/>
      <c r="R417" s="339"/>
      <c r="S417" s="339"/>
      <c r="T417" s="339"/>
      <c r="U417" s="339"/>
      <c r="V417" s="339"/>
      <c r="W417" s="339"/>
      <c r="X417" s="339"/>
      <c r="Y417" s="339"/>
    </row>
    <row r="418" spans="1:25" ht="15.75" customHeight="1">
      <c r="A418" s="339"/>
      <c r="B418" s="339"/>
      <c r="C418" s="339"/>
      <c r="D418" s="339"/>
      <c r="E418" s="339"/>
      <c r="F418" s="339"/>
      <c r="G418" s="339"/>
      <c r="H418" s="339"/>
      <c r="I418" s="591"/>
      <c r="J418" s="341"/>
      <c r="K418" s="591"/>
      <c r="L418" s="339"/>
      <c r="M418" s="339"/>
      <c r="N418" s="339"/>
      <c r="O418" s="339"/>
      <c r="P418" s="339"/>
      <c r="Q418" s="339"/>
      <c r="R418" s="339"/>
      <c r="S418" s="339"/>
      <c r="T418" s="339"/>
      <c r="U418" s="339"/>
      <c r="V418" s="339"/>
      <c r="W418" s="339"/>
      <c r="X418" s="339"/>
      <c r="Y418" s="339"/>
    </row>
    <row r="419" spans="1:25" ht="15.75" customHeight="1">
      <c r="A419" s="339"/>
      <c r="B419" s="339"/>
      <c r="C419" s="339"/>
      <c r="D419" s="339"/>
      <c r="E419" s="339"/>
      <c r="F419" s="339"/>
      <c r="G419" s="339"/>
      <c r="H419" s="339"/>
      <c r="I419" s="591"/>
      <c r="J419" s="341"/>
      <c r="K419" s="591"/>
      <c r="L419" s="339"/>
      <c r="M419" s="339"/>
      <c r="N419" s="339"/>
      <c r="O419" s="339"/>
      <c r="P419" s="339"/>
      <c r="Q419" s="339"/>
      <c r="R419" s="339"/>
      <c r="S419" s="339"/>
      <c r="T419" s="339"/>
      <c r="U419" s="339"/>
      <c r="V419" s="339"/>
      <c r="W419" s="339"/>
      <c r="X419" s="339"/>
      <c r="Y419" s="339"/>
    </row>
    <row r="420" spans="1:25" ht="15.75" customHeight="1">
      <c r="A420" s="339"/>
      <c r="B420" s="339"/>
      <c r="C420" s="339"/>
      <c r="D420" s="339"/>
      <c r="E420" s="339"/>
      <c r="F420" s="339"/>
      <c r="G420" s="339"/>
      <c r="H420" s="339"/>
      <c r="I420" s="591"/>
      <c r="J420" s="341"/>
      <c r="K420" s="591"/>
      <c r="L420" s="339"/>
      <c r="M420" s="339"/>
      <c r="N420" s="339"/>
      <c r="O420" s="339"/>
      <c r="P420" s="339"/>
      <c r="Q420" s="339"/>
      <c r="R420" s="339"/>
      <c r="S420" s="339"/>
      <c r="T420" s="339"/>
      <c r="U420" s="339"/>
      <c r="V420" s="339"/>
      <c r="W420" s="339"/>
      <c r="X420" s="339"/>
      <c r="Y420" s="339"/>
    </row>
    <row r="421" spans="1:25" ht="15.75" customHeight="1">
      <c r="A421" s="339"/>
      <c r="B421" s="339"/>
      <c r="C421" s="339"/>
      <c r="D421" s="339"/>
      <c r="E421" s="339"/>
      <c r="F421" s="339"/>
      <c r="G421" s="339"/>
      <c r="H421" s="339"/>
      <c r="I421" s="591"/>
      <c r="J421" s="341"/>
      <c r="K421" s="591"/>
      <c r="L421" s="339"/>
      <c r="M421" s="339"/>
      <c r="N421" s="339"/>
      <c r="O421" s="339"/>
      <c r="P421" s="339"/>
      <c r="Q421" s="339"/>
      <c r="R421" s="339"/>
      <c r="S421" s="339"/>
      <c r="T421" s="339"/>
      <c r="U421" s="339"/>
      <c r="V421" s="339"/>
      <c r="W421" s="339"/>
      <c r="X421" s="339"/>
      <c r="Y421" s="339"/>
    </row>
    <row r="422" spans="1:25" ht="15.75" customHeight="1">
      <c r="A422" s="339"/>
      <c r="B422" s="339"/>
      <c r="C422" s="339"/>
      <c r="D422" s="339"/>
      <c r="E422" s="339"/>
      <c r="F422" s="339"/>
      <c r="G422" s="339"/>
      <c r="H422" s="339"/>
      <c r="I422" s="591"/>
      <c r="J422" s="341"/>
      <c r="K422" s="591"/>
      <c r="L422" s="339"/>
      <c r="M422" s="339"/>
      <c r="N422" s="339"/>
      <c r="O422" s="339"/>
      <c r="P422" s="339"/>
      <c r="Q422" s="339"/>
      <c r="R422" s="339"/>
      <c r="S422" s="339"/>
      <c r="T422" s="339"/>
      <c r="U422" s="339"/>
      <c r="V422" s="339"/>
      <c r="W422" s="339"/>
      <c r="X422" s="339"/>
      <c r="Y422" s="339"/>
    </row>
    <row r="423" spans="1:25" ht="15.75" customHeight="1">
      <c r="A423" s="339"/>
      <c r="B423" s="339"/>
      <c r="C423" s="339"/>
      <c r="D423" s="339"/>
      <c r="E423" s="339"/>
      <c r="F423" s="339"/>
      <c r="G423" s="339"/>
      <c r="H423" s="339"/>
      <c r="I423" s="591"/>
      <c r="J423" s="341"/>
      <c r="K423" s="591"/>
      <c r="L423" s="339"/>
      <c r="M423" s="339"/>
      <c r="N423" s="339"/>
      <c r="O423" s="339"/>
      <c r="P423" s="339"/>
      <c r="Q423" s="339"/>
      <c r="R423" s="339"/>
      <c r="S423" s="339"/>
      <c r="T423" s="339"/>
      <c r="U423" s="339"/>
      <c r="V423" s="339"/>
      <c r="W423" s="339"/>
      <c r="X423" s="339"/>
      <c r="Y423" s="339"/>
    </row>
    <row r="424" spans="1:25" ht="15.75" customHeight="1">
      <c r="A424" s="339"/>
      <c r="B424" s="339"/>
      <c r="C424" s="339"/>
      <c r="D424" s="339"/>
      <c r="E424" s="339"/>
      <c r="F424" s="339"/>
      <c r="G424" s="339"/>
      <c r="H424" s="339"/>
      <c r="I424" s="591"/>
      <c r="J424" s="341"/>
      <c r="K424" s="591"/>
      <c r="L424" s="339"/>
      <c r="M424" s="339"/>
      <c r="N424" s="339"/>
      <c r="O424" s="339"/>
      <c r="P424" s="339"/>
      <c r="Q424" s="339"/>
      <c r="R424" s="339"/>
      <c r="S424" s="339"/>
      <c r="T424" s="339"/>
      <c r="U424" s="339"/>
      <c r="V424" s="339"/>
      <c r="W424" s="339"/>
      <c r="X424" s="339"/>
      <c r="Y424" s="339"/>
    </row>
    <row r="425" spans="1:25" ht="15.75" customHeight="1">
      <c r="A425" s="339"/>
      <c r="B425" s="339"/>
      <c r="C425" s="339"/>
      <c r="D425" s="339"/>
      <c r="E425" s="339"/>
      <c r="F425" s="339"/>
      <c r="G425" s="339"/>
      <c r="H425" s="339"/>
      <c r="I425" s="591"/>
      <c r="J425" s="341"/>
      <c r="K425" s="591"/>
      <c r="L425" s="339"/>
      <c r="M425" s="339"/>
      <c r="N425" s="339"/>
      <c r="O425" s="339"/>
      <c r="P425" s="339"/>
      <c r="Q425" s="339"/>
      <c r="R425" s="339"/>
      <c r="S425" s="339"/>
      <c r="T425" s="339"/>
      <c r="U425" s="339"/>
      <c r="V425" s="339"/>
      <c r="W425" s="339"/>
      <c r="X425" s="339"/>
      <c r="Y425" s="339"/>
    </row>
    <row r="426" spans="1:25" ht="15.75" customHeight="1">
      <c r="A426" s="339"/>
      <c r="B426" s="339"/>
      <c r="C426" s="339"/>
      <c r="D426" s="339"/>
      <c r="E426" s="339"/>
      <c r="F426" s="339"/>
      <c r="G426" s="339"/>
      <c r="H426" s="339"/>
      <c r="I426" s="591"/>
      <c r="J426" s="341"/>
      <c r="K426" s="591"/>
      <c r="L426" s="339"/>
      <c r="M426" s="339"/>
      <c r="N426" s="339"/>
      <c r="O426" s="339"/>
      <c r="P426" s="339"/>
      <c r="Q426" s="339"/>
      <c r="R426" s="339"/>
      <c r="S426" s="339"/>
      <c r="T426" s="339"/>
      <c r="U426" s="339"/>
      <c r="V426" s="339"/>
      <c r="W426" s="339"/>
      <c r="X426" s="339"/>
      <c r="Y426" s="339"/>
    </row>
    <row r="427" spans="1:25" ht="15.75" customHeight="1">
      <c r="A427" s="339"/>
      <c r="B427" s="339"/>
      <c r="C427" s="339"/>
      <c r="D427" s="339"/>
      <c r="E427" s="339"/>
      <c r="F427" s="339"/>
      <c r="G427" s="339"/>
      <c r="H427" s="339"/>
      <c r="I427" s="591"/>
      <c r="J427" s="341"/>
      <c r="K427" s="591"/>
      <c r="L427" s="339"/>
      <c r="M427" s="339"/>
      <c r="N427" s="339"/>
      <c r="O427" s="339"/>
      <c r="P427" s="339"/>
      <c r="Q427" s="339"/>
      <c r="R427" s="339"/>
      <c r="S427" s="339"/>
      <c r="T427" s="339"/>
      <c r="U427" s="339"/>
      <c r="V427" s="339"/>
      <c r="W427" s="339"/>
      <c r="X427" s="339"/>
      <c r="Y427" s="339"/>
    </row>
    <row r="428" spans="1:25" ht="15.75" customHeight="1">
      <c r="A428" s="339"/>
      <c r="B428" s="339"/>
      <c r="C428" s="339"/>
      <c r="D428" s="339"/>
      <c r="E428" s="339"/>
      <c r="F428" s="339"/>
      <c r="G428" s="339"/>
      <c r="H428" s="339"/>
      <c r="I428" s="591"/>
      <c r="J428" s="341"/>
      <c r="K428" s="591"/>
      <c r="L428" s="339"/>
      <c r="M428" s="339"/>
      <c r="N428" s="339"/>
      <c r="O428" s="339"/>
      <c r="P428" s="339"/>
      <c r="Q428" s="339"/>
      <c r="R428" s="339"/>
      <c r="S428" s="339"/>
      <c r="T428" s="339"/>
      <c r="U428" s="339"/>
      <c r="V428" s="339"/>
      <c r="W428" s="339"/>
      <c r="X428" s="339"/>
      <c r="Y428" s="339"/>
    </row>
    <row r="429" spans="1:25" ht="15.75" customHeight="1">
      <c r="A429" s="339"/>
      <c r="B429" s="339"/>
      <c r="C429" s="339"/>
      <c r="D429" s="339"/>
      <c r="E429" s="339"/>
      <c r="F429" s="339"/>
      <c r="G429" s="339"/>
      <c r="H429" s="339"/>
      <c r="I429" s="591"/>
      <c r="J429" s="341"/>
      <c r="K429" s="591"/>
      <c r="L429" s="339"/>
      <c r="M429" s="339"/>
      <c r="N429" s="339"/>
      <c r="O429" s="339"/>
      <c r="P429" s="339"/>
      <c r="Q429" s="339"/>
      <c r="R429" s="339"/>
      <c r="S429" s="339"/>
      <c r="T429" s="339"/>
      <c r="U429" s="339"/>
      <c r="V429" s="339"/>
      <c r="W429" s="339"/>
      <c r="X429" s="339"/>
      <c r="Y429" s="339"/>
    </row>
    <row r="430" spans="1:25" ht="15.75" customHeight="1">
      <c r="A430" s="339"/>
      <c r="B430" s="339"/>
      <c r="C430" s="339"/>
      <c r="D430" s="339"/>
      <c r="E430" s="339"/>
      <c r="F430" s="339"/>
      <c r="G430" s="339"/>
      <c r="H430" s="339"/>
      <c r="I430" s="591"/>
      <c r="J430" s="341"/>
      <c r="K430" s="591"/>
      <c r="L430" s="339"/>
      <c r="M430" s="339"/>
      <c r="N430" s="339"/>
      <c r="O430" s="339"/>
      <c r="P430" s="339"/>
      <c r="Q430" s="339"/>
      <c r="R430" s="339"/>
      <c r="S430" s="339"/>
      <c r="T430" s="339"/>
      <c r="U430" s="339"/>
      <c r="V430" s="339"/>
      <c r="W430" s="339"/>
      <c r="X430" s="339"/>
      <c r="Y430" s="339"/>
    </row>
    <row r="431" spans="1:25" ht="15.75" customHeight="1">
      <c r="A431" s="339"/>
      <c r="B431" s="339"/>
      <c r="C431" s="339"/>
      <c r="D431" s="339"/>
      <c r="E431" s="339"/>
      <c r="F431" s="339"/>
      <c r="G431" s="339"/>
      <c r="H431" s="339"/>
      <c r="I431" s="591"/>
      <c r="J431" s="341"/>
      <c r="K431" s="591"/>
      <c r="L431" s="339"/>
      <c r="M431" s="339"/>
      <c r="N431" s="339"/>
      <c r="O431" s="339"/>
      <c r="P431" s="339"/>
      <c r="Q431" s="339"/>
      <c r="R431" s="339"/>
      <c r="S431" s="339"/>
      <c r="T431" s="339"/>
      <c r="U431" s="339"/>
      <c r="V431" s="339"/>
      <c r="W431" s="339"/>
      <c r="X431" s="339"/>
      <c r="Y431" s="339"/>
    </row>
    <row r="432" spans="1:25" ht="15.75" customHeight="1">
      <c r="A432" s="339"/>
      <c r="B432" s="339"/>
      <c r="C432" s="339"/>
      <c r="D432" s="339"/>
      <c r="E432" s="339"/>
      <c r="F432" s="339"/>
      <c r="G432" s="339"/>
      <c r="H432" s="339"/>
      <c r="I432" s="591"/>
      <c r="J432" s="341"/>
      <c r="K432" s="591"/>
      <c r="L432" s="339"/>
      <c r="M432" s="339"/>
      <c r="N432" s="339"/>
      <c r="O432" s="339"/>
      <c r="P432" s="339"/>
      <c r="Q432" s="339"/>
      <c r="R432" s="339"/>
      <c r="S432" s="339"/>
      <c r="T432" s="339"/>
      <c r="U432" s="339"/>
      <c r="V432" s="339"/>
      <c r="W432" s="339"/>
      <c r="X432" s="339"/>
      <c r="Y432" s="339"/>
    </row>
    <row r="433" spans="1:25" ht="15.75" customHeight="1">
      <c r="A433" s="339"/>
      <c r="B433" s="339"/>
      <c r="C433" s="339"/>
      <c r="D433" s="339"/>
      <c r="E433" s="339"/>
      <c r="F433" s="339"/>
      <c r="G433" s="339"/>
      <c r="H433" s="339"/>
      <c r="I433" s="591"/>
      <c r="J433" s="341"/>
      <c r="K433" s="591"/>
      <c r="L433" s="339"/>
      <c r="M433" s="339"/>
      <c r="N433" s="339"/>
      <c r="O433" s="339"/>
      <c r="P433" s="339"/>
      <c r="Q433" s="339"/>
      <c r="R433" s="339"/>
      <c r="S433" s="339"/>
      <c r="T433" s="339"/>
      <c r="U433" s="339"/>
      <c r="V433" s="339"/>
      <c r="W433" s="339"/>
      <c r="X433" s="339"/>
      <c r="Y433" s="339"/>
    </row>
    <row r="434" spans="1:25" ht="15.75" customHeight="1">
      <c r="A434" s="339"/>
      <c r="B434" s="339"/>
      <c r="C434" s="339"/>
      <c r="D434" s="339"/>
      <c r="E434" s="339"/>
      <c r="F434" s="339"/>
      <c r="G434" s="339"/>
      <c r="H434" s="339"/>
      <c r="I434" s="591"/>
      <c r="J434" s="341"/>
      <c r="K434" s="591"/>
      <c r="L434" s="339"/>
      <c r="M434" s="339"/>
      <c r="N434" s="339"/>
      <c r="O434" s="339"/>
      <c r="P434" s="339"/>
      <c r="Q434" s="339"/>
      <c r="R434" s="339"/>
      <c r="S434" s="339"/>
      <c r="T434" s="339"/>
      <c r="U434" s="339"/>
      <c r="V434" s="339"/>
      <c r="W434" s="339"/>
      <c r="X434" s="339"/>
      <c r="Y434" s="339"/>
    </row>
    <row r="435" spans="1:25" ht="15.75" customHeight="1">
      <c r="A435" s="339"/>
      <c r="B435" s="339"/>
      <c r="C435" s="339"/>
      <c r="D435" s="339"/>
      <c r="E435" s="339"/>
      <c r="F435" s="339"/>
      <c r="G435" s="339"/>
      <c r="H435" s="339"/>
      <c r="I435" s="591"/>
      <c r="J435" s="341"/>
      <c r="K435" s="591"/>
      <c r="L435" s="339"/>
      <c r="M435" s="339"/>
      <c r="N435" s="339"/>
      <c r="O435" s="339"/>
      <c r="P435" s="339"/>
      <c r="Q435" s="339"/>
      <c r="R435" s="339"/>
      <c r="S435" s="339"/>
      <c r="T435" s="339"/>
      <c r="U435" s="339"/>
      <c r="V435" s="339"/>
      <c r="W435" s="339"/>
      <c r="X435" s="339"/>
      <c r="Y435" s="339"/>
    </row>
    <row r="436" spans="1:25" ht="15.75" customHeight="1">
      <c r="A436" s="339"/>
      <c r="B436" s="339"/>
      <c r="C436" s="339"/>
      <c r="D436" s="339"/>
      <c r="E436" s="339"/>
      <c r="F436" s="339"/>
      <c r="G436" s="339"/>
      <c r="H436" s="339"/>
      <c r="I436" s="591"/>
      <c r="J436" s="341"/>
      <c r="K436" s="591"/>
      <c r="L436" s="339"/>
      <c r="M436" s="339"/>
      <c r="N436" s="339"/>
      <c r="O436" s="339"/>
      <c r="P436" s="339"/>
      <c r="Q436" s="339"/>
      <c r="R436" s="339"/>
      <c r="S436" s="339"/>
      <c r="T436" s="339"/>
      <c r="U436" s="339"/>
      <c r="V436" s="339"/>
      <c r="W436" s="339"/>
      <c r="X436" s="339"/>
      <c r="Y436" s="339"/>
    </row>
    <row r="437" spans="1:25" ht="15.75" customHeight="1">
      <c r="A437" s="339"/>
      <c r="B437" s="339"/>
      <c r="C437" s="339"/>
      <c r="D437" s="339"/>
      <c r="E437" s="339"/>
      <c r="F437" s="339"/>
      <c r="G437" s="339"/>
      <c r="H437" s="339"/>
      <c r="I437" s="591"/>
      <c r="J437" s="341"/>
      <c r="K437" s="591"/>
      <c r="L437" s="339"/>
      <c r="M437" s="339"/>
      <c r="N437" s="339"/>
      <c r="O437" s="339"/>
      <c r="P437" s="339"/>
      <c r="Q437" s="339"/>
      <c r="R437" s="339"/>
      <c r="S437" s="339"/>
      <c r="T437" s="339"/>
      <c r="U437" s="339"/>
      <c r="V437" s="339"/>
      <c r="W437" s="339"/>
      <c r="X437" s="339"/>
      <c r="Y437" s="339"/>
    </row>
    <row r="438" spans="1:25" ht="15.75" customHeight="1">
      <c r="A438" s="339"/>
      <c r="B438" s="339"/>
      <c r="C438" s="339"/>
      <c r="D438" s="339"/>
      <c r="E438" s="339"/>
      <c r="F438" s="339"/>
      <c r="G438" s="339"/>
      <c r="H438" s="339"/>
      <c r="I438" s="591"/>
      <c r="J438" s="341"/>
      <c r="K438" s="591"/>
      <c r="L438" s="339"/>
      <c r="M438" s="339"/>
      <c r="N438" s="339"/>
      <c r="O438" s="339"/>
      <c r="P438" s="339"/>
      <c r="Q438" s="339"/>
      <c r="R438" s="339"/>
      <c r="S438" s="339"/>
      <c r="T438" s="339"/>
      <c r="U438" s="339"/>
      <c r="V438" s="339"/>
      <c r="W438" s="339"/>
      <c r="X438" s="339"/>
      <c r="Y438" s="339"/>
    </row>
    <row r="439" spans="1:25" ht="15.75" customHeight="1">
      <c r="A439" s="339"/>
      <c r="B439" s="339"/>
      <c r="C439" s="339"/>
      <c r="D439" s="339"/>
      <c r="E439" s="339"/>
      <c r="F439" s="339"/>
      <c r="G439" s="339"/>
      <c r="H439" s="339"/>
      <c r="I439" s="591"/>
      <c r="J439" s="341"/>
      <c r="K439" s="591"/>
      <c r="L439" s="339"/>
      <c r="M439" s="339"/>
      <c r="N439" s="339"/>
      <c r="O439" s="339"/>
      <c r="P439" s="339"/>
      <c r="Q439" s="339"/>
      <c r="R439" s="339"/>
      <c r="S439" s="339"/>
      <c r="T439" s="339"/>
      <c r="U439" s="339"/>
      <c r="V439" s="339"/>
      <c r="W439" s="339"/>
      <c r="X439" s="339"/>
      <c r="Y439" s="339"/>
    </row>
    <row r="440" spans="1:25" ht="15.75" customHeight="1">
      <c r="A440" s="339"/>
      <c r="B440" s="339"/>
      <c r="C440" s="339"/>
      <c r="D440" s="339"/>
      <c r="E440" s="339"/>
      <c r="F440" s="339"/>
      <c r="G440" s="339"/>
      <c r="H440" s="339"/>
      <c r="I440" s="591"/>
      <c r="J440" s="341"/>
      <c r="K440" s="591"/>
      <c r="L440" s="339"/>
      <c r="M440" s="339"/>
      <c r="N440" s="339"/>
      <c r="O440" s="339"/>
      <c r="P440" s="339"/>
      <c r="Q440" s="339"/>
      <c r="R440" s="339"/>
      <c r="S440" s="339"/>
      <c r="T440" s="339"/>
      <c r="U440" s="339"/>
      <c r="V440" s="339"/>
      <c r="W440" s="339"/>
      <c r="X440" s="339"/>
      <c r="Y440" s="339"/>
    </row>
    <row r="441" spans="1:25" ht="15.75" customHeight="1">
      <c r="A441" s="339"/>
      <c r="B441" s="339"/>
      <c r="C441" s="339"/>
      <c r="D441" s="339"/>
      <c r="E441" s="339"/>
      <c r="F441" s="339"/>
      <c r="G441" s="339"/>
      <c r="H441" s="339"/>
      <c r="I441" s="591"/>
      <c r="J441" s="341"/>
      <c r="K441" s="591"/>
      <c r="L441" s="339"/>
      <c r="M441" s="339"/>
      <c r="N441" s="339"/>
      <c r="O441" s="339"/>
      <c r="P441" s="339"/>
      <c r="Q441" s="339"/>
      <c r="R441" s="339"/>
      <c r="S441" s="339"/>
      <c r="T441" s="339"/>
      <c r="U441" s="339"/>
      <c r="V441" s="339"/>
      <c r="W441" s="339"/>
      <c r="X441" s="339"/>
      <c r="Y441" s="339"/>
    </row>
    <row r="442" spans="1:25" ht="15.75" customHeight="1">
      <c r="A442" s="339"/>
      <c r="B442" s="339"/>
      <c r="C442" s="339"/>
      <c r="D442" s="339"/>
      <c r="E442" s="339"/>
      <c r="F442" s="339"/>
      <c r="G442" s="339"/>
      <c r="H442" s="339"/>
      <c r="I442" s="591"/>
      <c r="J442" s="341"/>
      <c r="K442" s="591"/>
      <c r="L442" s="339"/>
      <c r="M442" s="339"/>
      <c r="N442" s="339"/>
      <c r="O442" s="339"/>
      <c r="P442" s="339"/>
      <c r="Q442" s="339"/>
      <c r="R442" s="339"/>
      <c r="S442" s="339"/>
      <c r="T442" s="339"/>
      <c r="U442" s="339"/>
      <c r="V442" s="339"/>
      <c r="W442" s="339"/>
      <c r="X442" s="339"/>
      <c r="Y442" s="339"/>
    </row>
    <row r="443" spans="1:25" ht="15.75" customHeight="1">
      <c r="A443" s="339"/>
      <c r="B443" s="339"/>
      <c r="C443" s="339"/>
      <c r="D443" s="339"/>
      <c r="E443" s="339"/>
      <c r="F443" s="339"/>
      <c r="G443" s="339"/>
      <c r="H443" s="339"/>
      <c r="I443" s="591"/>
      <c r="J443" s="341"/>
      <c r="K443" s="591"/>
      <c r="L443" s="339"/>
      <c r="M443" s="339"/>
      <c r="N443" s="339"/>
      <c r="O443" s="339"/>
      <c r="P443" s="339"/>
      <c r="Q443" s="339"/>
      <c r="R443" s="339"/>
      <c r="S443" s="339"/>
      <c r="T443" s="339"/>
      <c r="U443" s="339"/>
      <c r="V443" s="339"/>
      <c r="W443" s="339"/>
      <c r="X443" s="339"/>
      <c r="Y443" s="339"/>
    </row>
    <row r="444" spans="1:25" ht="15.75" customHeight="1">
      <c r="A444" s="339"/>
      <c r="B444" s="339"/>
      <c r="C444" s="339"/>
      <c r="D444" s="339"/>
      <c r="E444" s="339"/>
      <c r="F444" s="339"/>
      <c r="G444" s="339"/>
      <c r="H444" s="339"/>
      <c r="I444" s="591"/>
      <c r="J444" s="341"/>
      <c r="K444" s="591"/>
      <c r="L444" s="339"/>
      <c r="M444" s="339"/>
      <c r="N444" s="339"/>
      <c r="O444" s="339"/>
      <c r="P444" s="339"/>
      <c r="Q444" s="339"/>
      <c r="R444" s="339"/>
      <c r="S444" s="339"/>
      <c r="T444" s="339"/>
      <c r="U444" s="339"/>
      <c r="V444" s="339"/>
      <c r="W444" s="339"/>
      <c r="X444" s="339"/>
      <c r="Y444" s="339"/>
    </row>
    <row r="445" spans="1:25" ht="15.75" customHeight="1">
      <c r="A445" s="339"/>
      <c r="B445" s="339"/>
      <c r="C445" s="339"/>
      <c r="D445" s="339"/>
      <c r="E445" s="339"/>
      <c r="F445" s="339"/>
      <c r="G445" s="339"/>
      <c r="H445" s="339"/>
      <c r="I445" s="591"/>
      <c r="J445" s="341"/>
      <c r="K445" s="591"/>
      <c r="L445" s="339"/>
      <c r="M445" s="339"/>
      <c r="N445" s="339"/>
      <c r="O445" s="339"/>
      <c r="P445" s="339"/>
      <c r="Q445" s="339"/>
      <c r="R445" s="339"/>
      <c r="S445" s="339"/>
      <c r="T445" s="339"/>
      <c r="U445" s="339"/>
      <c r="V445" s="339"/>
      <c r="W445" s="339"/>
      <c r="X445" s="339"/>
      <c r="Y445" s="339"/>
    </row>
    <row r="446" spans="1:25" ht="15.75" customHeight="1">
      <c r="A446" s="339"/>
      <c r="B446" s="339"/>
      <c r="C446" s="339"/>
      <c r="D446" s="339"/>
      <c r="E446" s="339"/>
      <c r="F446" s="339"/>
      <c r="G446" s="339"/>
      <c r="H446" s="339"/>
      <c r="I446" s="591"/>
      <c r="J446" s="341"/>
      <c r="K446" s="591"/>
      <c r="L446" s="339"/>
      <c r="M446" s="339"/>
      <c r="N446" s="339"/>
      <c r="O446" s="339"/>
      <c r="P446" s="339"/>
      <c r="Q446" s="339"/>
      <c r="R446" s="339"/>
      <c r="S446" s="339"/>
      <c r="T446" s="339"/>
      <c r="U446" s="339"/>
      <c r="V446" s="339"/>
      <c r="W446" s="339"/>
      <c r="X446" s="339"/>
      <c r="Y446" s="339"/>
    </row>
    <row r="447" spans="1:25" ht="15.75" customHeight="1">
      <c r="A447" s="339"/>
      <c r="B447" s="339"/>
      <c r="C447" s="339"/>
      <c r="D447" s="339"/>
      <c r="E447" s="339"/>
      <c r="F447" s="339"/>
      <c r="G447" s="339"/>
      <c r="H447" s="339"/>
      <c r="I447" s="591"/>
      <c r="J447" s="341"/>
      <c r="K447" s="591"/>
      <c r="L447" s="339"/>
      <c r="M447" s="339"/>
      <c r="N447" s="339"/>
      <c r="O447" s="339"/>
      <c r="P447" s="339"/>
      <c r="Q447" s="339"/>
      <c r="R447" s="339"/>
      <c r="S447" s="339"/>
      <c r="T447" s="339"/>
      <c r="U447" s="339"/>
      <c r="V447" s="339"/>
      <c r="W447" s="339"/>
      <c r="X447" s="339"/>
      <c r="Y447" s="339"/>
    </row>
    <row r="448" spans="1:25" ht="15.75" customHeight="1">
      <c r="A448" s="339"/>
      <c r="B448" s="339"/>
      <c r="C448" s="339"/>
      <c r="D448" s="339"/>
      <c r="E448" s="339"/>
      <c r="F448" s="339"/>
      <c r="G448" s="339"/>
      <c r="H448" s="339"/>
      <c r="I448" s="591"/>
      <c r="J448" s="341"/>
      <c r="K448" s="591"/>
      <c r="L448" s="339"/>
      <c r="M448" s="339"/>
      <c r="N448" s="339"/>
      <c r="O448" s="339"/>
      <c r="P448" s="339"/>
      <c r="Q448" s="339"/>
      <c r="R448" s="339"/>
      <c r="S448" s="339"/>
      <c r="T448" s="339"/>
      <c r="U448" s="339"/>
      <c r="V448" s="339"/>
      <c r="W448" s="339"/>
      <c r="X448" s="339"/>
      <c r="Y448" s="339"/>
    </row>
    <row r="449" spans="1:25" ht="15.75" customHeight="1">
      <c r="A449" s="339"/>
      <c r="B449" s="339"/>
      <c r="C449" s="339"/>
      <c r="D449" s="339"/>
      <c r="E449" s="339"/>
      <c r="F449" s="339"/>
      <c r="G449" s="339"/>
      <c r="H449" s="339"/>
      <c r="I449" s="591"/>
      <c r="J449" s="341"/>
      <c r="K449" s="591"/>
      <c r="L449" s="339"/>
      <c r="M449" s="339"/>
      <c r="N449" s="339"/>
      <c r="O449" s="339"/>
      <c r="P449" s="339"/>
      <c r="Q449" s="339"/>
      <c r="R449" s="339"/>
      <c r="S449" s="339"/>
      <c r="T449" s="339"/>
      <c r="U449" s="339"/>
      <c r="V449" s="339"/>
      <c r="W449" s="339"/>
      <c r="X449" s="339"/>
      <c r="Y449" s="339"/>
    </row>
    <row r="450" spans="1:25" ht="15.75" customHeight="1">
      <c r="A450" s="339"/>
      <c r="B450" s="339"/>
      <c r="C450" s="339"/>
      <c r="D450" s="339"/>
      <c r="E450" s="339"/>
      <c r="F450" s="339"/>
      <c r="G450" s="339"/>
      <c r="H450" s="339"/>
      <c r="I450" s="591"/>
      <c r="J450" s="341"/>
      <c r="K450" s="591"/>
      <c r="L450" s="339"/>
      <c r="M450" s="339"/>
      <c r="N450" s="339"/>
      <c r="O450" s="339"/>
      <c r="P450" s="339"/>
      <c r="Q450" s="339"/>
      <c r="R450" s="339"/>
      <c r="S450" s="339"/>
      <c r="T450" s="339"/>
      <c r="U450" s="339"/>
      <c r="V450" s="339"/>
      <c r="W450" s="339"/>
      <c r="X450" s="339"/>
      <c r="Y450" s="339"/>
    </row>
    <row r="451" spans="1:25" ht="15.75" customHeight="1">
      <c r="A451" s="339"/>
      <c r="B451" s="339"/>
      <c r="C451" s="339"/>
      <c r="D451" s="339"/>
      <c r="E451" s="339"/>
      <c r="F451" s="339"/>
      <c r="G451" s="339"/>
      <c r="H451" s="339"/>
      <c r="I451" s="591"/>
      <c r="J451" s="341"/>
      <c r="K451" s="591"/>
      <c r="L451" s="339"/>
      <c r="M451" s="339"/>
      <c r="N451" s="339"/>
      <c r="O451" s="339"/>
      <c r="P451" s="339"/>
      <c r="Q451" s="339"/>
      <c r="R451" s="339"/>
      <c r="S451" s="339"/>
      <c r="T451" s="339"/>
      <c r="U451" s="339"/>
      <c r="V451" s="339"/>
      <c r="W451" s="339"/>
      <c r="X451" s="339"/>
      <c r="Y451" s="339"/>
    </row>
    <row r="452" spans="1:25" ht="15.75" customHeight="1">
      <c r="A452" s="339"/>
      <c r="B452" s="339"/>
      <c r="C452" s="339"/>
      <c r="D452" s="339"/>
      <c r="E452" s="339"/>
      <c r="F452" s="339"/>
      <c r="G452" s="339"/>
      <c r="H452" s="339"/>
      <c r="I452" s="591"/>
      <c r="J452" s="341"/>
      <c r="K452" s="591"/>
      <c r="L452" s="339"/>
      <c r="M452" s="339"/>
      <c r="N452" s="339"/>
      <c r="O452" s="339"/>
      <c r="P452" s="339"/>
      <c r="Q452" s="339"/>
      <c r="R452" s="339"/>
      <c r="S452" s="339"/>
      <c r="T452" s="339"/>
      <c r="U452" s="339"/>
      <c r="V452" s="339"/>
      <c r="W452" s="339"/>
      <c r="X452" s="339"/>
      <c r="Y452" s="339"/>
    </row>
    <row r="453" spans="1:25" ht="15.75" customHeight="1">
      <c r="A453" s="339"/>
      <c r="B453" s="339"/>
      <c r="C453" s="339"/>
      <c r="D453" s="339"/>
      <c r="E453" s="339"/>
      <c r="F453" s="339"/>
      <c r="G453" s="339"/>
      <c r="H453" s="339"/>
      <c r="I453" s="591"/>
      <c r="J453" s="341"/>
      <c r="K453" s="591"/>
      <c r="L453" s="339"/>
      <c r="M453" s="339"/>
      <c r="N453" s="339"/>
      <c r="O453" s="339"/>
      <c r="P453" s="339"/>
      <c r="Q453" s="339"/>
      <c r="R453" s="339"/>
      <c r="S453" s="339"/>
      <c r="T453" s="339"/>
      <c r="U453" s="339"/>
      <c r="V453" s="339"/>
      <c r="W453" s="339"/>
      <c r="X453" s="339"/>
      <c r="Y453" s="339"/>
    </row>
    <row r="454" spans="1:25" ht="15.75" customHeight="1">
      <c r="A454" s="339"/>
      <c r="B454" s="339"/>
      <c r="C454" s="339"/>
      <c r="D454" s="339"/>
      <c r="E454" s="339"/>
      <c r="F454" s="339"/>
      <c r="G454" s="339"/>
      <c r="H454" s="339"/>
      <c r="I454" s="591"/>
      <c r="J454" s="341"/>
      <c r="K454" s="591"/>
      <c r="L454" s="339"/>
      <c r="M454" s="339"/>
      <c r="N454" s="339"/>
      <c r="O454" s="339"/>
      <c r="P454" s="339"/>
      <c r="Q454" s="339"/>
      <c r="R454" s="339"/>
      <c r="S454" s="339"/>
      <c r="T454" s="339"/>
      <c r="U454" s="339"/>
      <c r="V454" s="339"/>
      <c r="W454" s="339"/>
      <c r="X454" s="339"/>
      <c r="Y454" s="339"/>
    </row>
    <row r="455" spans="1:25" ht="15.75" customHeight="1">
      <c r="A455" s="339"/>
      <c r="B455" s="339"/>
      <c r="C455" s="339"/>
      <c r="D455" s="339"/>
      <c r="E455" s="339"/>
      <c r="F455" s="339"/>
      <c r="G455" s="339"/>
      <c r="H455" s="339"/>
      <c r="I455" s="591"/>
      <c r="J455" s="341"/>
      <c r="K455" s="591"/>
      <c r="L455" s="339"/>
      <c r="M455" s="339"/>
      <c r="N455" s="339"/>
      <c r="O455" s="339"/>
      <c r="P455" s="339"/>
      <c r="Q455" s="339"/>
      <c r="R455" s="339"/>
      <c r="S455" s="339"/>
      <c r="T455" s="339"/>
      <c r="U455" s="339"/>
      <c r="V455" s="339"/>
      <c r="W455" s="339"/>
      <c r="X455" s="339"/>
      <c r="Y455" s="339"/>
    </row>
    <row r="456" spans="1:25" ht="15.75" customHeight="1">
      <c r="A456" s="339"/>
      <c r="B456" s="339"/>
      <c r="C456" s="339"/>
      <c r="D456" s="339"/>
      <c r="E456" s="339"/>
      <c r="F456" s="339"/>
      <c r="G456" s="339"/>
      <c r="H456" s="339"/>
      <c r="I456" s="591"/>
      <c r="J456" s="341"/>
      <c r="K456" s="591"/>
      <c r="L456" s="339"/>
      <c r="M456" s="339"/>
      <c r="N456" s="339"/>
      <c r="O456" s="339"/>
      <c r="P456" s="339"/>
      <c r="Q456" s="339"/>
      <c r="R456" s="339"/>
      <c r="S456" s="339"/>
      <c r="T456" s="339"/>
      <c r="U456" s="339"/>
      <c r="V456" s="339"/>
      <c r="W456" s="339"/>
      <c r="X456" s="339"/>
      <c r="Y456" s="339"/>
    </row>
    <row r="457" spans="1:25" ht="15.75" customHeight="1">
      <c r="A457" s="339"/>
      <c r="B457" s="339"/>
      <c r="C457" s="339"/>
      <c r="D457" s="339"/>
      <c r="E457" s="339"/>
      <c r="F457" s="339"/>
      <c r="G457" s="339"/>
      <c r="H457" s="339"/>
      <c r="I457" s="591"/>
      <c r="J457" s="341"/>
      <c r="K457" s="591"/>
      <c r="L457" s="339"/>
      <c r="M457" s="339"/>
      <c r="N457" s="339"/>
      <c r="O457" s="339"/>
      <c r="P457" s="339"/>
      <c r="Q457" s="339"/>
      <c r="R457" s="339"/>
      <c r="S457" s="339"/>
      <c r="T457" s="339"/>
      <c r="U457" s="339"/>
      <c r="V457" s="339"/>
      <c r="W457" s="339"/>
      <c r="X457" s="339"/>
      <c r="Y457" s="339"/>
    </row>
    <row r="458" spans="1:25" ht="15.75" customHeight="1">
      <c r="A458" s="339"/>
      <c r="B458" s="339"/>
      <c r="C458" s="339"/>
      <c r="D458" s="339"/>
      <c r="E458" s="339"/>
      <c r="F458" s="339"/>
      <c r="G458" s="339"/>
      <c r="H458" s="339"/>
      <c r="I458" s="591"/>
      <c r="J458" s="341"/>
      <c r="K458" s="591"/>
      <c r="L458" s="339"/>
      <c r="M458" s="339"/>
      <c r="N458" s="339"/>
      <c r="O458" s="339"/>
      <c r="P458" s="339"/>
      <c r="Q458" s="339"/>
      <c r="R458" s="339"/>
      <c r="S458" s="339"/>
      <c r="T458" s="339"/>
      <c r="U458" s="339"/>
      <c r="V458" s="339"/>
      <c r="W458" s="339"/>
      <c r="X458" s="339"/>
      <c r="Y458" s="339"/>
    </row>
    <row r="459" spans="1:25" ht="15.75" customHeight="1">
      <c r="A459" s="339"/>
      <c r="B459" s="339"/>
      <c r="C459" s="339"/>
      <c r="D459" s="339"/>
      <c r="E459" s="339"/>
      <c r="F459" s="339"/>
      <c r="G459" s="339"/>
      <c r="H459" s="339"/>
      <c r="I459" s="591"/>
      <c r="J459" s="341"/>
      <c r="K459" s="591"/>
      <c r="L459" s="339"/>
      <c r="M459" s="339"/>
      <c r="N459" s="339"/>
      <c r="O459" s="339"/>
      <c r="P459" s="339"/>
      <c r="Q459" s="339"/>
      <c r="R459" s="339"/>
      <c r="S459" s="339"/>
      <c r="T459" s="339"/>
      <c r="U459" s="339"/>
      <c r="V459" s="339"/>
      <c r="W459" s="339"/>
      <c r="X459" s="339"/>
      <c r="Y459" s="339"/>
    </row>
    <row r="460" spans="1:25" ht="15.75" customHeight="1">
      <c r="A460" s="339"/>
      <c r="B460" s="339"/>
      <c r="C460" s="339"/>
      <c r="D460" s="339"/>
      <c r="E460" s="339"/>
      <c r="F460" s="339"/>
      <c r="G460" s="339"/>
      <c r="H460" s="339"/>
      <c r="I460" s="591"/>
      <c r="J460" s="341"/>
      <c r="K460" s="591"/>
      <c r="L460" s="339"/>
      <c r="M460" s="339"/>
      <c r="N460" s="339"/>
      <c r="O460" s="339"/>
      <c r="P460" s="339"/>
      <c r="Q460" s="339"/>
      <c r="R460" s="339"/>
      <c r="S460" s="339"/>
      <c r="T460" s="339"/>
      <c r="U460" s="339"/>
      <c r="V460" s="339"/>
      <c r="W460" s="339"/>
      <c r="X460" s="339"/>
      <c r="Y460" s="339"/>
    </row>
    <row r="461" spans="1:25" ht="15.75" customHeight="1">
      <c r="A461" s="339"/>
      <c r="B461" s="339"/>
      <c r="C461" s="339"/>
      <c r="D461" s="339"/>
      <c r="E461" s="339"/>
      <c r="F461" s="339"/>
      <c r="G461" s="339"/>
      <c r="H461" s="339"/>
      <c r="I461" s="591"/>
      <c r="J461" s="341"/>
      <c r="K461" s="591"/>
      <c r="L461" s="339"/>
      <c r="M461" s="339"/>
      <c r="N461" s="339"/>
      <c r="O461" s="339"/>
      <c r="P461" s="339"/>
      <c r="Q461" s="339"/>
      <c r="R461" s="339"/>
      <c r="S461" s="339"/>
      <c r="T461" s="339"/>
      <c r="U461" s="339"/>
      <c r="V461" s="339"/>
      <c r="W461" s="339"/>
      <c r="X461" s="339"/>
      <c r="Y461" s="339"/>
    </row>
    <row r="462" spans="1:25" ht="15.75" customHeight="1">
      <c r="A462" s="339"/>
      <c r="B462" s="339"/>
      <c r="C462" s="339"/>
      <c r="D462" s="339"/>
      <c r="E462" s="339"/>
      <c r="F462" s="339"/>
      <c r="G462" s="339"/>
      <c r="H462" s="339"/>
      <c r="I462" s="591"/>
      <c r="J462" s="341"/>
      <c r="K462" s="591"/>
      <c r="L462" s="339"/>
      <c r="M462" s="339"/>
      <c r="N462" s="339"/>
      <c r="O462" s="339"/>
      <c r="P462" s="339"/>
      <c r="Q462" s="339"/>
      <c r="R462" s="339"/>
      <c r="S462" s="339"/>
      <c r="T462" s="339"/>
      <c r="U462" s="339"/>
      <c r="V462" s="339"/>
      <c r="W462" s="339"/>
      <c r="X462" s="339"/>
      <c r="Y462" s="339"/>
    </row>
    <row r="463" spans="1:25" ht="15.75" customHeight="1">
      <c r="A463" s="339"/>
      <c r="B463" s="339"/>
      <c r="C463" s="339"/>
      <c r="D463" s="339"/>
      <c r="E463" s="339"/>
      <c r="F463" s="339"/>
      <c r="G463" s="339"/>
      <c r="H463" s="339"/>
      <c r="I463" s="591"/>
      <c r="J463" s="341"/>
      <c r="K463" s="591"/>
      <c r="L463" s="339"/>
      <c r="M463" s="339"/>
      <c r="N463" s="339"/>
      <c r="O463" s="339"/>
      <c r="P463" s="339"/>
      <c r="Q463" s="339"/>
      <c r="R463" s="339"/>
      <c r="S463" s="339"/>
      <c r="T463" s="339"/>
      <c r="U463" s="339"/>
      <c r="V463" s="339"/>
      <c r="W463" s="339"/>
      <c r="X463" s="339"/>
      <c r="Y463" s="339"/>
    </row>
    <row r="464" spans="1:25" ht="15.75" customHeight="1">
      <c r="A464" s="339"/>
      <c r="B464" s="339"/>
      <c r="C464" s="339"/>
      <c r="D464" s="339"/>
      <c r="E464" s="339"/>
      <c r="F464" s="339"/>
      <c r="G464" s="339"/>
      <c r="H464" s="339"/>
      <c r="I464" s="591"/>
      <c r="J464" s="341"/>
      <c r="K464" s="591"/>
      <c r="L464" s="339"/>
      <c r="M464" s="339"/>
      <c r="N464" s="339"/>
      <c r="O464" s="339"/>
      <c r="P464" s="339"/>
      <c r="Q464" s="339"/>
      <c r="R464" s="339"/>
      <c r="S464" s="339"/>
      <c r="T464" s="339"/>
      <c r="U464" s="339"/>
      <c r="V464" s="339"/>
      <c r="W464" s="339"/>
      <c r="X464" s="339"/>
      <c r="Y464" s="339"/>
    </row>
    <row r="465" spans="1:25" ht="15.75" customHeight="1">
      <c r="A465" s="339"/>
      <c r="B465" s="339"/>
      <c r="C465" s="339"/>
      <c r="D465" s="339"/>
      <c r="E465" s="339"/>
      <c r="F465" s="339"/>
      <c r="G465" s="339"/>
      <c r="H465" s="339"/>
      <c r="I465" s="591"/>
      <c r="J465" s="341"/>
      <c r="K465" s="591"/>
      <c r="L465" s="339"/>
      <c r="M465" s="339"/>
      <c r="N465" s="339"/>
      <c r="O465" s="339"/>
      <c r="P465" s="339"/>
      <c r="Q465" s="339"/>
      <c r="R465" s="339"/>
      <c r="S465" s="339"/>
      <c r="T465" s="339"/>
      <c r="U465" s="339"/>
      <c r="V465" s="339"/>
      <c r="W465" s="339"/>
      <c r="X465" s="339"/>
      <c r="Y465" s="339"/>
    </row>
    <row r="466" spans="1:25" ht="15.75" customHeight="1">
      <c r="A466" s="339"/>
      <c r="B466" s="339"/>
      <c r="C466" s="339"/>
      <c r="D466" s="339"/>
      <c r="E466" s="339"/>
      <c r="F466" s="339"/>
      <c r="G466" s="339"/>
      <c r="H466" s="339"/>
      <c r="I466" s="591"/>
      <c r="J466" s="341"/>
      <c r="K466" s="591"/>
      <c r="L466" s="339"/>
      <c r="M466" s="339"/>
      <c r="N466" s="339"/>
      <c r="O466" s="339"/>
      <c r="P466" s="339"/>
      <c r="Q466" s="339"/>
      <c r="R466" s="339"/>
      <c r="S466" s="339"/>
      <c r="T466" s="339"/>
      <c r="U466" s="339"/>
      <c r="V466" s="339"/>
      <c r="W466" s="339"/>
      <c r="X466" s="339"/>
      <c r="Y466" s="339"/>
    </row>
    <row r="467" spans="1:25" ht="15.75" customHeight="1">
      <c r="A467" s="339"/>
      <c r="B467" s="339"/>
      <c r="C467" s="339"/>
      <c r="D467" s="339"/>
      <c r="E467" s="339"/>
      <c r="F467" s="339"/>
      <c r="G467" s="339"/>
      <c r="H467" s="339"/>
      <c r="I467" s="591"/>
      <c r="J467" s="341"/>
      <c r="K467" s="591"/>
      <c r="L467" s="339"/>
      <c r="M467" s="339"/>
      <c r="N467" s="339"/>
      <c r="O467" s="339"/>
      <c r="P467" s="339"/>
      <c r="Q467" s="339"/>
      <c r="R467" s="339"/>
      <c r="S467" s="339"/>
      <c r="T467" s="339"/>
      <c r="U467" s="339"/>
      <c r="V467" s="339"/>
      <c r="W467" s="339"/>
      <c r="X467" s="339"/>
      <c r="Y467" s="339"/>
    </row>
    <row r="468" spans="1:25" ht="15.75" customHeight="1">
      <c r="A468" s="339"/>
      <c r="B468" s="339"/>
      <c r="C468" s="339"/>
      <c r="D468" s="339"/>
      <c r="E468" s="339"/>
      <c r="F468" s="339"/>
      <c r="G468" s="339"/>
      <c r="H468" s="339"/>
      <c r="I468" s="591"/>
      <c r="J468" s="341"/>
      <c r="K468" s="591"/>
      <c r="L468" s="339"/>
      <c r="M468" s="339"/>
      <c r="N468" s="339"/>
      <c r="O468" s="339"/>
      <c r="P468" s="339"/>
      <c r="Q468" s="339"/>
      <c r="R468" s="339"/>
      <c r="S468" s="339"/>
      <c r="T468" s="339"/>
      <c r="U468" s="339"/>
      <c r="V468" s="339"/>
      <c r="W468" s="339"/>
      <c r="X468" s="339"/>
      <c r="Y468" s="339"/>
    </row>
    <row r="469" spans="1:25" ht="15.75" customHeight="1">
      <c r="A469" s="339"/>
      <c r="B469" s="339"/>
      <c r="C469" s="339"/>
      <c r="D469" s="339"/>
      <c r="E469" s="339"/>
      <c r="F469" s="339"/>
      <c r="G469" s="339"/>
      <c r="H469" s="339"/>
      <c r="I469" s="591"/>
      <c r="J469" s="341"/>
      <c r="K469" s="591"/>
      <c r="L469" s="339"/>
      <c r="M469" s="339"/>
      <c r="N469" s="339"/>
      <c r="O469" s="339"/>
      <c r="P469" s="339"/>
      <c r="Q469" s="339"/>
      <c r="R469" s="339"/>
      <c r="S469" s="339"/>
      <c r="T469" s="339"/>
      <c r="U469" s="339"/>
      <c r="V469" s="339"/>
      <c r="W469" s="339"/>
      <c r="X469" s="339"/>
      <c r="Y469" s="339"/>
    </row>
    <row r="470" spans="1:25" ht="15.75" customHeight="1">
      <c r="A470" s="339"/>
      <c r="B470" s="339"/>
      <c r="C470" s="339"/>
      <c r="D470" s="339"/>
      <c r="E470" s="339"/>
      <c r="F470" s="339"/>
      <c r="G470" s="339"/>
      <c r="H470" s="339"/>
      <c r="I470" s="591"/>
      <c r="J470" s="341"/>
      <c r="K470" s="591"/>
      <c r="L470" s="339"/>
      <c r="M470" s="339"/>
      <c r="N470" s="339"/>
      <c r="O470" s="339"/>
      <c r="P470" s="339"/>
      <c r="Q470" s="339"/>
      <c r="R470" s="339"/>
      <c r="S470" s="339"/>
      <c r="T470" s="339"/>
      <c r="U470" s="339"/>
      <c r="V470" s="339"/>
      <c r="W470" s="339"/>
      <c r="X470" s="339"/>
      <c r="Y470" s="339"/>
    </row>
    <row r="471" spans="1:25" ht="15.75" customHeight="1">
      <c r="A471" s="339"/>
      <c r="B471" s="339"/>
      <c r="C471" s="339"/>
      <c r="D471" s="339"/>
      <c r="E471" s="339"/>
      <c r="F471" s="339"/>
      <c r="G471" s="339"/>
      <c r="H471" s="339"/>
      <c r="I471" s="591"/>
      <c r="J471" s="341"/>
      <c r="K471" s="591"/>
      <c r="L471" s="339"/>
      <c r="M471" s="339"/>
      <c r="N471" s="339"/>
      <c r="O471" s="339"/>
      <c r="P471" s="339"/>
      <c r="Q471" s="339"/>
      <c r="R471" s="339"/>
      <c r="S471" s="339"/>
      <c r="T471" s="339"/>
      <c r="U471" s="339"/>
      <c r="V471" s="339"/>
      <c r="W471" s="339"/>
      <c r="X471" s="339"/>
      <c r="Y471" s="339"/>
    </row>
    <row r="472" spans="1:25" ht="15.75" customHeight="1">
      <c r="A472" s="339"/>
      <c r="B472" s="339"/>
      <c r="C472" s="339"/>
      <c r="D472" s="339"/>
      <c r="E472" s="339"/>
      <c r="F472" s="339"/>
      <c r="G472" s="339"/>
      <c r="H472" s="339"/>
      <c r="I472" s="591"/>
      <c r="J472" s="341"/>
      <c r="K472" s="591"/>
      <c r="L472" s="339"/>
      <c r="M472" s="339"/>
      <c r="N472" s="339"/>
      <c r="O472" s="339"/>
      <c r="P472" s="339"/>
      <c r="Q472" s="339"/>
      <c r="R472" s="339"/>
      <c r="S472" s="339"/>
      <c r="T472" s="339"/>
      <c r="U472" s="339"/>
      <c r="V472" s="339"/>
      <c r="W472" s="339"/>
      <c r="X472" s="339"/>
      <c r="Y472" s="339"/>
    </row>
    <row r="473" spans="1:25" ht="15.75" customHeight="1">
      <c r="A473" s="339"/>
      <c r="B473" s="339"/>
      <c r="C473" s="339"/>
      <c r="D473" s="339"/>
      <c r="E473" s="339"/>
      <c r="F473" s="339"/>
      <c r="G473" s="339"/>
      <c r="H473" s="339"/>
      <c r="I473" s="591"/>
      <c r="J473" s="341"/>
      <c r="K473" s="591"/>
      <c r="L473" s="339"/>
      <c r="M473" s="339"/>
      <c r="N473" s="339"/>
      <c r="O473" s="339"/>
      <c r="P473" s="339"/>
      <c r="Q473" s="339"/>
      <c r="R473" s="339"/>
      <c r="S473" s="339"/>
      <c r="T473" s="339"/>
      <c r="U473" s="339"/>
      <c r="V473" s="339"/>
      <c r="W473" s="339"/>
      <c r="X473" s="339"/>
      <c r="Y473" s="339"/>
    </row>
    <row r="474" spans="1:25" ht="15.75" customHeight="1">
      <c r="A474" s="339"/>
      <c r="B474" s="339"/>
      <c r="C474" s="339"/>
      <c r="D474" s="339"/>
      <c r="E474" s="339"/>
      <c r="F474" s="339"/>
      <c r="G474" s="339"/>
      <c r="H474" s="339"/>
      <c r="I474" s="591"/>
      <c r="J474" s="341"/>
      <c r="K474" s="591"/>
      <c r="L474" s="339"/>
      <c r="M474" s="339"/>
      <c r="N474" s="339"/>
      <c r="O474" s="339"/>
      <c r="P474" s="339"/>
      <c r="Q474" s="339"/>
      <c r="R474" s="339"/>
      <c r="S474" s="339"/>
      <c r="T474" s="339"/>
      <c r="U474" s="339"/>
      <c r="V474" s="339"/>
      <c r="W474" s="339"/>
      <c r="X474" s="339"/>
      <c r="Y474" s="339"/>
    </row>
    <row r="475" spans="1:25" ht="15.75" customHeight="1">
      <c r="A475" s="339"/>
      <c r="B475" s="339"/>
      <c r="C475" s="339"/>
      <c r="D475" s="339"/>
      <c r="E475" s="339"/>
      <c r="F475" s="339"/>
      <c r="G475" s="339"/>
      <c r="H475" s="339"/>
      <c r="I475" s="591"/>
      <c r="J475" s="341"/>
      <c r="K475" s="591"/>
      <c r="L475" s="339"/>
      <c r="M475" s="339"/>
      <c r="N475" s="339"/>
      <c r="O475" s="339"/>
      <c r="P475" s="339"/>
      <c r="Q475" s="339"/>
      <c r="R475" s="339"/>
      <c r="S475" s="339"/>
      <c r="T475" s="339"/>
      <c r="U475" s="339"/>
      <c r="V475" s="339"/>
      <c r="W475" s="339"/>
      <c r="X475" s="339"/>
      <c r="Y475" s="339"/>
    </row>
    <row r="476" spans="1:25" ht="15.75" customHeight="1">
      <c r="A476" s="339"/>
      <c r="B476" s="339"/>
      <c r="C476" s="339"/>
      <c r="D476" s="339"/>
      <c r="E476" s="339"/>
      <c r="F476" s="339"/>
      <c r="G476" s="339"/>
      <c r="H476" s="339"/>
      <c r="I476" s="591"/>
      <c r="J476" s="341"/>
      <c r="K476" s="591"/>
      <c r="L476" s="339"/>
      <c r="M476" s="339"/>
      <c r="N476" s="339"/>
      <c r="O476" s="339"/>
      <c r="P476" s="339"/>
      <c r="Q476" s="339"/>
      <c r="R476" s="339"/>
      <c r="S476" s="339"/>
      <c r="T476" s="339"/>
      <c r="U476" s="339"/>
      <c r="V476" s="339"/>
      <c r="W476" s="339"/>
      <c r="X476" s="339"/>
      <c r="Y476" s="339"/>
    </row>
    <row r="477" spans="1:25" ht="15.75" customHeight="1">
      <c r="A477" s="339"/>
      <c r="B477" s="339"/>
      <c r="C477" s="339"/>
      <c r="D477" s="339"/>
      <c r="E477" s="339"/>
      <c r="F477" s="339"/>
      <c r="G477" s="339"/>
      <c r="H477" s="339"/>
      <c r="I477" s="591"/>
      <c r="J477" s="341"/>
      <c r="K477" s="591"/>
      <c r="L477" s="339"/>
      <c r="M477" s="339"/>
      <c r="N477" s="339"/>
      <c r="O477" s="339"/>
      <c r="P477" s="339"/>
      <c r="Q477" s="339"/>
      <c r="R477" s="339"/>
      <c r="S477" s="339"/>
      <c r="T477" s="339"/>
      <c r="U477" s="339"/>
      <c r="V477" s="339"/>
      <c r="W477" s="339"/>
      <c r="X477" s="339"/>
      <c r="Y477" s="339"/>
    </row>
    <row r="478" spans="1:25" ht="15.75" customHeight="1">
      <c r="A478" s="339"/>
      <c r="B478" s="339"/>
      <c r="C478" s="339"/>
      <c r="D478" s="339"/>
      <c r="E478" s="339"/>
      <c r="F478" s="339"/>
      <c r="G478" s="339"/>
      <c r="H478" s="339"/>
      <c r="I478" s="591"/>
      <c r="J478" s="341"/>
      <c r="K478" s="591"/>
      <c r="L478" s="339"/>
      <c r="M478" s="339"/>
      <c r="N478" s="339"/>
      <c r="O478" s="339"/>
      <c r="P478" s="339"/>
      <c r="Q478" s="339"/>
      <c r="R478" s="339"/>
      <c r="S478" s="339"/>
      <c r="T478" s="339"/>
      <c r="U478" s="339"/>
      <c r="V478" s="339"/>
      <c r="W478" s="339"/>
      <c r="X478" s="339"/>
      <c r="Y478" s="339"/>
    </row>
    <row r="479" spans="1:25" ht="15.75" customHeight="1">
      <c r="A479" s="339"/>
      <c r="B479" s="339"/>
      <c r="C479" s="339"/>
      <c r="D479" s="339"/>
      <c r="E479" s="339"/>
      <c r="F479" s="339"/>
      <c r="G479" s="339"/>
      <c r="H479" s="339"/>
      <c r="I479" s="591"/>
      <c r="J479" s="341"/>
      <c r="K479" s="591"/>
      <c r="L479" s="339"/>
      <c r="M479" s="339"/>
      <c r="N479" s="339"/>
      <c r="O479" s="339"/>
      <c r="P479" s="339"/>
      <c r="Q479" s="339"/>
      <c r="R479" s="339"/>
      <c r="S479" s="339"/>
      <c r="T479" s="339"/>
      <c r="U479" s="339"/>
      <c r="V479" s="339"/>
      <c r="W479" s="339"/>
      <c r="X479" s="339"/>
      <c r="Y479" s="339"/>
    </row>
    <row r="480" spans="1:25" ht="15.75" customHeight="1">
      <c r="A480" s="339"/>
      <c r="B480" s="339"/>
      <c r="C480" s="339"/>
      <c r="D480" s="339"/>
      <c r="E480" s="339"/>
      <c r="F480" s="339"/>
      <c r="G480" s="339"/>
      <c r="H480" s="339"/>
      <c r="I480" s="591"/>
      <c r="J480" s="341"/>
      <c r="K480" s="591"/>
      <c r="L480" s="339"/>
      <c r="M480" s="339"/>
      <c r="N480" s="339"/>
      <c r="O480" s="339"/>
      <c r="P480" s="339"/>
      <c r="Q480" s="339"/>
      <c r="R480" s="339"/>
      <c r="S480" s="339"/>
      <c r="T480" s="339"/>
      <c r="U480" s="339"/>
      <c r="V480" s="339"/>
      <c r="W480" s="339"/>
      <c r="X480" s="339"/>
      <c r="Y480" s="339"/>
    </row>
    <row r="481" spans="1:25" ht="15.75" customHeight="1">
      <c r="A481" s="339"/>
      <c r="B481" s="339"/>
      <c r="C481" s="339"/>
      <c r="D481" s="339"/>
      <c r="E481" s="339"/>
      <c r="F481" s="339"/>
      <c r="G481" s="339"/>
      <c r="H481" s="339"/>
      <c r="I481" s="591"/>
      <c r="J481" s="341"/>
      <c r="K481" s="591"/>
      <c r="L481" s="339"/>
      <c r="M481" s="339"/>
      <c r="N481" s="339"/>
      <c r="O481" s="339"/>
      <c r="P481" s="339"/>
      <c r="Q481" s="339"/>
      <c r="R481" s="339"/>
      <c r="S481" s="339"/>
      <c r="T481" s="339"/>
      <c r="U481" s="339"/>
      <c r="V481" s="339"/>
      <c r="W481" s="339"/>
      <c r="X481" s="339"/>
      <c r="Y481" s="339"/>
    </row>
    <row r="482" spans="1:25" ht="15.75" customHeight="1">
      <c r="A482" s="339"/>
      <c r="B482" s="339"/>
      <c r="C482" s="339"/>
      <c r="D482" s="339"/>
      <c r="E482" s="339"/>
      <c r="F482" s="339"/>
      <c r="G482" s="339"/>
      <c r="H482" s="339"/>
      <c r="I482" s="591"/>
      <c r="J482" s="341"/>
      <c r="K482" s="591"/>
      <c r="L482" s="339"/>
      <c r="M482" s="339"/>
      <c r="N482" s="339"/>
      <c r="O482" s="339"/>
      <c r="P482" s="339"/>
      <c r="Q482" s="339"/>
      <c r="R482" s="339"/>
      <c r="S482" s="339"/>
      <c r="T482" s="339"/>
      <c r="U482" s="339"/>
      <c r="V482" s="339"/>
      <c r="W482" s="339"/>
      <c r="X482" s="339"/>
      <c r="Y482" s="339"/>
    </row>
    <row r="483" spans="1:25" ht="15.75" customHeight="1">
      <c r="A483" s="339"/>
      <c r="B483" s="339"/>
      <c r="C483" s="339"/>
      <c r="D483" s="339"/>
      <c r="E483" s="339"/>
      <c r="F483" s="339"/>
      <c r="G483" s="339"/>
      <c r="H483" s="339"/>
      <c r="I483" s="591"/>
      <c r="J483" s="341"/>
      <c r="K483" s="591"/>
      <c r="L483" s="339"/>
      <c r="M483" s="339"/>
      <c r="N483" s="339"/>
      <c r="O483" s="339"/>
      <c r="P483" s="339"/>
      <c r="Q483" s="339"/>
      <c r="R483" s="339"/>
      <c r="S483" s="339"/>
      <c r="T483" s="339"/>
      <c r="U483" s="339"/>
      <c r="V483" s="339"/>
      <c r="W483" s="339"/>
      <c r="X483" s="339"/>
      <c r="Y483" s="339"/>
    </row>
    <row r="484" spans="1:25" ht="15.75" customHeight="1">
      <c r="A484" s="339"/>
      <c r="B484" s="339"/>
      <c r="C484" s="339"/>
      <c r="D484" s="339"/>
      <c r="E484" s="339"/>
      <c r="F484" s="339"/>
      <c r="G484" s="339"/>
      <c r="H484" s="339"/>
      <c r="I484" s="591"/>
      <c r="J484" s="341"/>
      <c r="K484" s="591"/>
      <c r="L484" s="339"/>
      <c r="M484" s="339"/>
      <c r="N484" s="339"/>
      <c r="O484" s="339"/>
      <c r="P484" s="339"/>
      <c r="Q484" s="339"/>
      <c r="R484" s="339"/>
      <c r="S484" s="339"/>
      <c r="T484" s="339"/>
      <c r="U484" s="339"/>
      <c r="V484" s="339"/>
      <c r="W484" s="339"/>
      <c r="X484" s="339"/>
      <c r="Y484" s="339"/>
    </row>
    <row r="485" spans="1:25" ht="15.75" customHeight="1">
      <c r="A485" s="339"/>
      <c r="B485" s="339"/>
      <c r="C485" s="339"/>
      <c r="D485" s="339"/>
      <c r="E485" s="339"/>
      <c r="F485" s="339"/>
      <c r="G485" s="339"/>
      <c r="H485" s="339"/>
      <c r="I485" s="591"/>
      <c r="J485" s="341"/>
      <c r="K485" s="591"/>
      <c r="L485" s="339"/>
      <c r="M485" s="339"/>
      <c r="N485" s="339"/>
      <c r="O485" s="339"/>
      <c r="P485" s="339"/>
      <c r="Q485" s="339"/>
      <c r="R485" s="339"/>
      <c r="S485" s="339"/>
      <c r="T485" s="339"/>
      <c r="U485" s="339"/>
      <c r="V485" s="339"/>
      <c r="W485" s="339"/>
      <c r="X485" s="339"/>
      <c r="Y485" s="339"/>
    </row>
    <row r="486" spans="1:25" ht="15.75" customHeight="1">
      <c r="A486" s="339"/>
      <c r="B486" s="339"/>
      <c r="C486" s="339"/>
      <c r="D486" s="339"/>
      <c r="E486" s="339"/>
      <c r="F486" s="339"/>
      <c r="G486" s="339"/>
      <c r="H486" s="339"/>
      <c r="I486" s="591"/>
      <c r="J486" s="341"/>
      <c r="K486" s="591"/>
      <c r="L486" s="339"/>
      <c r="M486" s="339"/>
      <c r="N486" s="339"/>
      <c r="O486" s="339"/>
      <c r="P486" s="339"/>
      <c r="Q486" s="339"/>
      <c r="R486" s="339"/>
      <c r="S486" s="339"/>
      <c r="T486" s="339"/>
      <c r="U486" s="339"/>
      <c r="V486" s="339"/>
      <c r="W486" s="339"/>
      <c r="X486" s="339"/>
      <c r="Y486" s="339"/>
    </row>
    <row r="487" spans="1:25" ht="15.75" customHeight="1">
      <c r="A487" s="339"/>
      <c r="B487" s="339"/>
      <c r="C487" s="339"/>
      <c r="D487" s="339"/>
      <c r="E487" s="339"/>
      <c r="F487" s="339"/>
      <c r="G487" s="339"/>
      <c r="H487" s="339"/>
      <c r="I487" s="591"/>
      <c r="J487" s="341"/>
      <c r="K487" s="591"/>
      <c r="L487" s="339"/>
      <c r="M487" s="339"/>
      <c r="N487" s="339"/>
      <c r="O487" s="339"/>
      <c r="P487" s="339"/>
      <c r="Q487" s="339"/>
      <c r="R487" s="339"/>
      <c r="S487" s="339"/>
      <c r="T487" s="339"/>
      <c r="U487" s="339"/>
      <c r="V487" s="339"/>
      <c r="W487" s="339"/>
      <c r="X487" s="339"/>
      <c r="Y487" s="339"/>
    </row>
    <row r="488" spans="1:25" ht="15.75" customHeight="1">
      <c r="A488" s="339"/>
      <c r="B488" s="339"/>
      <c r="C488" s="339"/>
      <c r="D488" s="339"/>
      <c r="E488" s="339"/>
      <c r="F488" s="339"/>
      <c r="G488" s="339"/>
      <c r="H488" s="339"/>
      <c r="I488" s="591"/>
      <c r="J488" s="341"/>
      <c r="K488" s="591"/>
      <c r="L488" s="339"/>
      <c r="M488" s="339"/>
      <c r="N488" s="339"/>
      <c r="O488" s="339"/>
      <c r="P488" s="339"/>
      <c r="Q488" s="339"/>
      <c r="R488" s="339"/>
      <c r="S488" s="339"/>
      <c r="T488" s="339"/>
      <c r="U488" s="339"/>
      <c r="V488" s="339"/>
      <c r="W488" s="339"/>
      <c r="X488" s="339"/>
      <c r="Y488" s="339"/>
    </row>
    <row r="489" spans="1:25" ht="15.75" customHeight="1">
      <c r="A489" s="339"/>
      <c r="B489" s="339"/>
      <c r="C489" s="339"/>
      <c r="D489" s="339"/>
      <c r="E489" s="339"/>
      <c r="F489" s="339"/>
      <c r="G489" s="339"/>
      <c r="H489" s="339"/>
      <c r="I489" s="591"/>
      <c r="J489" s="341"/>
      <c r="K489" s="591"/>
      <c r="L489" s="339"/>
      <c r="M489" s="339"/>
      <c r="N489" s="339"/>
      <c r="O489" s="339"/>
      <c r="P489" s="339"/>
      <c r="Q489" s="339"/>
      <c r="R489" s="339"/>
      <c r="S489" s="339"/>
      <c r="T489" s="339"/>
      <c r="U489" s="339"/>
      <c r="V489" s="339"/>
      <c r="W489" s="339"/>
      <c r="X489" s="339"/>
      <c r="Y489" s="339"/>
    </row>
    <row r="490" spans="1:25" ht="15.75" customHeight="1">
      <c r="A490" s="339"/>
      <c r="B490" s="339"/>
      <c r="C490" s="339"/>
      <c r="D490" s="339"/>
      <c r="E490" s="339"/>
      <c r="F490" s="339"/>
      <c r="G490" s="339"/>
      <c r="H490" s="339"/>
      <c r="I490" s="591"/>
      <c r="J490" s="341"/>
      <c r="K490" s="591"/>
      <c r="L490" s="339"/>
      <c r="M490" s="339"/>
      <c r="N490" s="339"/>
      <c r="O490" s="339"/>
      <c r="P490" s="339"/>
      <c r="Q490" s="339"/>
      <c r="R490" s="339"/>
      <c r="S490" s="339"/>
      <c r="T490" s="339"/>
      <c r="U490" s="339"/>
      <c r="V490" s="339"/>
      <c r="W490" s="339"/>
      <c r="X490" s="339"/>
      <c r="Y490" s="339"/>
    </row>
    <row r="491" spans="1:25" ht="15.75" customHeight="1">
      <c r="A491" s="339"/>
      <c r="B491" s="339"/>
      <c r="C491" s="339"/>
      <c r="D491" s="339"/>
      <c r="E491" s="339"/>
      <c r="F491" s="339"/>
      <c r="G491" s="339"/>
      <c r="H491" s="339"/>
      <c r="I491" s="591"/>
      <c r="J491" s="341"/>
      <c r="K491" s="591"/>
      <c r="L491" s="339"/>
      <c r="M491" s="339"/>
      <c r="N491" s="339"/>
      <c r="O491" s="339"/>
      <c r="P491" s="339"/>
      <c r="Q491" s="339"/>
      <c r="R491" s="339"/>
      <c r="S491" s="339"/>
      <c r="T491" s="339"/>
      <c r="U491" s="339"/>
      <c r="V491" s="339"/>
      <c r="W491" s="339"/>
      <c r="X491" s="339"/>
      <c r="Y491" s="339"/>
    </row>
    <row r="492" spans="1:25" ht="15.75" customHeight="1">
      <c r="A492" s="339"/>
      <c r="B492" s="339"/>
      <c r="C492" s="339"/>
      <c r="D492" s="339"/>
      <c r="E492" s="339"/>
      <c r="F492" s="339"/>
      <c r="G492" s="339"/>
      <c r="H492" s="339"/>
      <c r="I492" s="591"/>
      <c r="J492" s="341"/>
      <c r="K492" s="591"/>
      <c r="L492" s="339"/>
      <c r="M492" s="339"/>
      <c r="N492" s="339"/>
      <c r="O492" s="339"/>
      <c r="P492" s="339"/>
      <c r="Q492" s="339"/>
      <c r="R492" s="339"/>
      <c r="S492" s="339"/>
      <c r="T492" s="339"/>
      <c r="U492" s="339"/>
      <c r="V492" s="339"/>
      <c r="W492" s="339"/>
      <c r="X492" s="339"/>
      <c r="Y492" s="339"/>
    </row>
    <row r="493" spans="1:25" ht="15.75" customHeight="1">
      <c r="A493" s="339"/>
      <c r="B493" s="339"/>
      <c r="C493" s="339"/>
      <c r="D493" s="339"/>
      <c r="E493" s="339"/>
      <c r="F493" s="339"/>
      <c r="G493" s="339"/>
      <c r="H493" s="339"/>
      <c r="I493" s="591"/>
      <c r="J493" s="341"/>
      <c r="K493" s="591"/>
      <c r="L493" s="339"/>
      <c r="M493" s="339"/>
      <c r="N493" s="339"/>
      <c r="O493" s="339"/>
      <c r="P493" s="339"/>
      <c r="Q493" s="339"/>
      <c r="R493" s="339"/>
      <c r="S493" s="339"/>
      <c r="T493" s="339"/>
      <c r="U493" s="339"/>
      <c r="V493" s="339"/>
      <c r="W493" s="339"/>
      <c r="X493" s="339"/>
      <c r="Y493" s="339"/>
    </row>
    <row r="494" spans="1:25" ht="15.75" customHeight="1">
      <c r="A494" s="339"/>
      <c r="B494" s="339"/>
      <c r="C494" s="339"/>
      <c r="D494" s="339"/>
      <c r="E494" s="339"/>
      <c r="F494" s="339"/>
      <c r="G494" s="339"/>
      <c r="H494" s="339"/>
      <c r="I494" s="591"/>
      <c r="J494" s="341"/>
      <c r="K494" s="591"/>
      <c r="L494" s="339"/>
      <c r="M494" s="339"/>
      <c r="N494" s="339"/>
      <c r="O494" s="339"/>
      <c r="P494" s="339"/>
      <c r="Q494" s="339"/>
      <c r="R494" s="339"/>
      <c r="S494" s="339"/>
      <c r="T494" s="339"/>
      <c r="U494" s="339"/>
      <c r="V494" s="339"/>
      <c r="W494" s="339"/>
      <c r="X494" s="339"/>
      <c r="Y494" s="339"/>
    </row>
    <row r="495" spans="1:25" ht="15.75" customHeight="1">
      <c r="A495" s="339"/>
      <c r="B495" s="339"/>
      <c r="C495" s="339"/>
      <c r="D495" s="339"/>
      <c r="E495" s="339"/>
      <c r="F495" s="339"/>
      <c r="G495" s="339"/>
      <c r="H495" s="339"/>
      <c r="I495" s="591"/>
      <c r="J495" s="341"/>
      <c r="K495" s="591"/>
      <c r="L495" s="339"/>
      <c r="M495" s="339"/>
      <c r="N495" s="339"/>
      <c r="O495" s="339"/>
      <c r="P495" s="339"/>
      <c r="Q495" s="339"/>
      <c r="R495" s="339"/>
      <c r="S495" s="339"/>
      <c r="T495" s="339"/>
      <c r="U495" s="339"/>
      <c r="V495" s="339"/>
      <c r="W495" s="339"/>
      <c r="X495" s="339"/>
      <c r="Y495" s="339"/>
    </row>
    <row r="496" spans="1:25" ht="15.75" customHeight="1">
      <c r="A496" s="339"/>
      <c r="B496" s="339"/>
      <c r="C496" s="339"/>
      <c r="D496" s="339"/>
      <c r="E496" s="339"/>
      <c r="F496" s="339"/>
      <c r="G496" s="339"/>
      <c r="H496" s="339"/>
      <c r="I496" s="591"/>
      <c r="J496" s="341"/>
      <c r="K496" s="591"/>
      <c r="L496" s="339"/>
      <c r="M496" s="339"/>
      <c r="N496" s="339"/>
      <c r="O496" s="339"/>
      <c r="P496" s="339"/>
      <c r="Q496" s="339"/>
      <c r="R496" s="339"/>
      <c r="S496" s="339"/>
      <c r="T496" s="339"/>
      <c r="U496" s="339"/>
      <c r="V496" s="339"/>
      <c r="W496" s="339"/>
      <c r="X496" s="339"/>
      <c r="Y496" s="339"/>
    </row>
    <row r="497" spans="1:25" ht="15.75" customHeight="1">
      <c r="A497" s="339"/>
      <c r="B497" s="339"/>
      <c r="C497" s="339"/>
      <c r="D497" s="339"/>
      <c r="E497" s="339"/>
      <c r="F497" s="339"/>
      <c r="G497" s="339"/>
      <c r="H497" s="339"/>
      <c r="I497" s="591"/>
      <c r="J497" s="341"/>
      <c r="K497" s="591"/>
      <c r="L497" s="339"/>
      <c r="M497" s="339"/>
      <c r="N497" s="339"/>
      <c r="O497" s="339"/>
      <c r="P497" s="339"/>
      <c r="Q497" s="339"/>
      <c r="R497" s="339"/>
      <c r="S497" s="339"/>
      <c r="T497" s="339"/>
      <c r="U497" s="339"/>
      <c r="V497" s="339"/>
      <c r="W497" s="339"/>
      <c r="X497" s="339"/>
      <c r="Y497" s="339"/>
    </row>
    <row r="498" spans="1:25" ht="15.75" customHeight="1">
      <c r="A498" s="339"/>
      <c r="B498" s="339"/>
      <c r="C498" s="339"/>
      <c r="D498" s="339"/>
      <c r="E498" s="339"/>
      <c r="F498" s="339"/>
      <c r="G498" s="339"/>
      <c r="H498" s="339"/>
      <c r="I498" s="591"/>
      <c r="J498" s="341"/>
      <c r="K498" s="591"/>
      <c r="L498" s="339"/>
      <c r="M498" s="339"/>
      <c r="N498" s="339"/>
      <c r="O498" s="339"/>
      <c r="P498" s="339"/>
      <c r="Q498" s="339"/>
      <c r="R498" s="339"/>
      <c r="S498" s="339"/>
      <c r="T498" s="339"/>
      <c r="U498" s="339"/>
      <c r="V498" s="339"/>
      <c r="W498" s="339"/>
      <c r="X498" s="339"/>
      <c r="Y498" s="339"/>
    </row>
    <row r="499" spans="1:25" ht="15.75" customHeight="1">
      <c r="A499" s="339"/>
      <c r="B499" s="339"/>
      <c r="C499" s="339"/>
      <c r="D499" s="339"/>
      <c r="E499" s="339"/>
      <c r="F499" s="339"/>
      <c r="G499" s="339"/>
      <c r="H499" s="339"/>
      <c r="I499" s="591"/>
      <c r="J499" s="341"/>
      <c r="K499" s="591"/>
      <c r="L499" s="339"/>
      <c r="M499" s="339"/>
      <c r="N499" s="339"/>
      <c r="O499" s="339"/>
      <c r="P499" s="339"/>
      <c r="Q499" s="339"/>
      <c r="R499" s="339"/>
      <c r="S499" s="339"/>
      <c r="T499" s="339"/>
      <c r="U499" s="339"/>
      <c r="V499" s="339"/>
      <c r="W499" s="339"/>
      <c r="X499" s="339"/>
      <c r="Y499" s="339"/>
    </row>
    <row r="500" spans="1:25" ht="15.75" customHeight="1">
      <c r="A500" s="339"/>
      <c r="B500" s="339"/>
      <c r="C500" s="339"/>
      <c r="D500" s="339"/>
      <c r="E500" s="339"/>
      <c r="F500" s="339"/>
      <c r="G500" s="339"/>
      <c r="H500" s="339"/>
      <c r="I500" s="591"/>
      <c r="J500" s="341"/>
      <c r="K500" s="591"/>
      <c r="L500" s="339"/>
      <c r="M500" s="339"/>
      <c r="N500" s="339"/>
      <c r="O500" s="339"/>
      <c r="P500" s="339"/>
      <c r="Q500" s="339"/>
      <c r="R500" s="339"/>
      <c r="S500" s="339"/>
      <c r="T500" s="339"/>
      <c r="U500" s="339"/>
      <c r="V500" s="339"/>
      <c r="W500" s="339"/>
      <c r="X500" s="339"/>
      <c r="Y500" s="339"/>
    </row>
    <row r="501" spans="1:25" ht="15.75" customHeight="1">
      <c r="A501" s="339"/>
      <c r="B501" s="339"/>
      <c r="C501" s="339"/>
      <c r="D501" s="339"/>
      <c r="E501" s="339"/>
      <c r="F501" s="339"/>
      <c r="G501" s="339"/>
      <c r="H501" s="339"/>
      <c r="I501" s="591"/>
      <c r="J501" s="341"/>
      <c r="K501" s="591"/>
      <c r="L501" s="339"/>
      <c r="M501" s="339"/>
      <c r="N501" s="339"/>
      <c r="O501" s="339"/>
      <c r="P501" s="339"/>
      <c r="Q501" s="339"/>
      <c r="R501" s="339"/>
      <c r="S501" s="339"/>
      <c r="T501" s="339"/>
      <c r="U501" s="339"/>
      <c r="V501" s="339"/>
      <c r="W501" s="339"/>
      <c r="X501" s="339"/>
      <c r="Y501" s="339"/>
    </row>
    <row r="502" spans="1:25" ht="15.75" customHeight="1">
      <c r="A502" s="339"/>
      <c r="B502" s="339"/>
      <c r="C502" s="339"/>
      <c r="D502" s="339"/>
      <c r="E502" s="339"/>
      <c r="F502" s="339"/>
      <c r="G502" s="339"/>
      <c r="H502" s="339"/>
      <c r="I502" s="591"/>
      <c r="J502" s="341"/>
      <c r="K502" s="591"/>
      <c r="L502" s="339"/>
      <c r="M502" s="339"/>
      <c r="N502" s="339"/>
      <c r="O502" s="339"/>
      <c r="P502" s="339"/>
      <c r="Q502" s="339"/>
      <c r="R502" s="339"/>
      <c r="S502" s="339"/>
      <c r="T502" s="339"/>
      <c r="U502" s="339"/>
      <c r="V502" s="339"/>
      <c r="W502" s="339"/>
      <c r="X502" s="339"/>
      <c r="Y502" s="339"/>
    </row>
    <row r="503" spans="1:25" ht="15.75" customHeight="1">
      <c r="A503" s="339"/>
      <c r="B503" s="339"/>
      <c r="C503" s="339"/>
      <c r="D503" s="339"/>
      <c r="E503" s="339"/>
      <c r="F503" s="339"/>
      <c r="G503" s="339"/>
      <c r="H503" s="339"/>
      <c r="I503" s="591"/>
      <c r="J503" s="341"/>
      <c r="K503" s="591"/>
      <c r="L503" s="339"/>
      <c r="M503" s="339"/>
      <c r="N503" s="339"/>
      <c r="O503" s="339"/>
      <c r="P503" s="339"/>
      <c r="Q503" s="339"/>
      <c r="R503" s="339"/>
      <c r="S503" s="339"/>
      <c r="T503" s="339"/>
      <c r="U503" s="339"/>
      <c r="V503" s="339"/>
      <c r="W503" s="339"/>
      <c r="X503" s="339"/>
      <c r="Y503" s="339"/>
    </row>
    <row r="504" spans="1:25" ht="15.75" customHeight="1">
      <c r="A504" s="339"/>
      <c r="B504" s="339"/>
      <c r="C504" s="339"/>
      <c r="D504" s="339"/>
      <c r="E504" s="339"/>
      <c r="F504" s="339"/>
      <c r="G504" s="339"/>
      <c r="H504" s="339"/>
      <c r="I504" s="591"/>
      <c r="J504" s="341"/>
      <c r="K504" s="591"/>
      <c r="L504" s="339"/>
      <c r="M504" s="339"/>
      <c r="N504" s="339"/>
      <c r="O504" s="339"/>
      <c r="P504" s="339"/>
      <c r="Q504" s="339"/>
      <c r="R504" s="339"/>
      <c r="S504" s="339"/>
      <c r="T504" s="339"/>
      <c r="U504" s="339"/>
      <c r="V504" s="339"/>
      <c r="W504" s="339"/>
      <c r="X504" s="339"/>
      <c r="Y504" s="339"/>
    </row>
    <row r="505" spans="1:25" ht="15.75" customHeight="1">
      <c r="A505" s="339"/>
      <c r="B505" s="339"/>
      <c r="C505" s="339"/>
      <c r="D505" s="339"/>
      <c r="E505" s="339"/>
      <c r="F505" s="339"/>
      <c r="G505" s="339"/>
      <c r="H505" s="339"/>
      <c r="I505" s="591"/>
      <c r="J505" s="341"/>
      <c r="K505" s="591"/>
      <c r="L505" s="339"/>
      <c r="M505" s="339"/>
      <c r="N505" s="339"/>
      <c r="O505" s="339"/>
      <c r="P505" s="339"/>
      <c r="Q505" s="339"/>
      <c r="R505" s="339"/>
      <c r="S505" s="339"/>
      <c r="T505" s="339"/>
      <c r="U505" s="339"/>
      <c r="V505" s="339"/>
      <c r="W505" s="339"/>
      <c r="X505" s="339"/>
      <c r="Y505" s="339"/>
    </row>
    <row r="506" spans="1:25" ht="15.75" customHeight="1">
      <c r="A506" s="339"/>
      <c r="B506" s="339"/>
      <c r="C506" s="339"/>
      <c r="D506" s="339"/>
      <c r="E506" s="339"/>
      <c r="F506" s="339"/>
      <c r="G506" s="339"/>
      <c r="H506" s="339"/>
      <c r="I506" s="591"/>
      <c r="J506" s="341"/>
      <c r="K506" s="591"/>
      <c r="L506" s="339"/>
      <c r="M506" s="339"/>
      <c r="N506" s="339"/>
      <c r="O506" s="339"/>
      <c r="P506" s="339"/>
      <c r="Q506" s="339"/>
      <c r="R506" s="339"/>
      <c r="S506" s="339"/>
      <c r="T506" s="339"/>
      <c r="U506" s="339"/>
      <c r="V506" s="339"/>
      <c r="W506" s="339"/>
      <c r="X506" s="339"/>
      <c r="Y506" s="339"/>
    </row>
    <row r="507" spans="1:25" ht="15.75" customHeight="1">
      <c r="A507" s="339"/>
      <c r="B507" s="339"/>
      <c r="C507" s="339"/>
      <c r="D507" s="339"/>
      <c r="E507" s="339"/>
      <c r="F507" s="339"/>
      <c r="G507" s="339"/>
      <c r="H507" s="339"/>
      <c r="I507" s="591"/>
      <c r="J507" s="341"/>
      <c r="K507" s="591"/>
      <c r="L507" s="339"/>
      <c r="M507" s="339"/>
      <c r="N507" s="339"/>
      <c r="O507" s="339"/>
      <c r="P507" s="339"/>
      <c r="Q507" s="339"/>
      <c r="R507" s="339"/>
      <c r="S507" s="339"/>
      <c r="T507" s="339"/>
      <c r="U507" s="339"/>
      <c r="V507" s="339"/>
      <c r="W507" s="339"/>
      <c r="X507" s="339"/>
      <c r="Y507" s="339"/>
    </row>
    <row r="508" spans="1:25" ht="15.75" customHeight="1">
      <c r="A508" s="339"/>
      <c r="B508" s="339"/>
      <c r="C508" s="339"/>
      <c r="D508" s="339"/>
      <c r="E508" s="339"/>
      <c r="F508" s="339"/>
      <c r="G508" s="339"/>
      <c r="H508" s="339"/>
      <c r="I508" s="591"/>
      <c r="J508" s="341"/>
      <c r="K508" s="591"/>
      <c r="L508" s="339"/>
      <c r="M508" s="339"/>
      <c r="N508" s="339"/>
      <c r="O508" s="339"/>
      <c r="P508" s="339"/>
      <c r="Q508" s="339"/>
      <c r="R508" s="339"/>
      <c r="S508" s="339"/>
      <c r="T508" s="339"/>
      <c r="U508" s="339"/>
      <c r="V508" s="339"/>
      <c r="W508" s="339"/>
      <c r="X508" s="339"/>
      <c r="Y508" s="339"/>
    </row>
    <row r="509" spans="1:25" ht="15.75" customHeight="1">
      <c r="A509" s="339"/>
      <c r="B509" s="339"/>
      <c r="C509" s="339"/>
      <c r="D509" s="339"/>
      <c r="E509" s="339"/>
      <c r="F509" s="339"/>
      <c r="G509" s="339"/>
      <c r="H509" s="339"/>
      <c r="I509" s="591"/>
      <c r="J509" s="341"/>
      <c r="K509" s="591"/>
      <c r="L509" s="339"/>
      <c r="M509" s="339"/>
      <c r="N509" s="339"/>
      <c r="O509" s="339"/>
      <c r="P509" s="339"/>
      <c r="Q509" s="339"/>
      <c r="R509" s="339"/>
      <c r="S509" s="339"/>
      <c r="T509" s="339"/>
      <c r="U509" s="339"/>
      <c r="V509" s="339"/>
      <c r="W509" s="339"/>
      <c r="X509" s="339"/>
      <c r="Y509" s="339"/>
    </row>
    <row r="510" spans="1:25" ht="15.75" customHeight="1">
      <c r="A510" s="339"/>
      <c r="B510" s="339"/>
      <c r="C510" s="339"/>
      <c r="D510" s="339"/>
      <c r="E510" s="339"/>
      <c r="F510" s="339"/>
      <c r="G510" s="339"/>
      <c r="H510" s="339"/>
      <c r="I510" s="591"/>
      <c r="J510" s="341"/>
      <c r="K510" s="591"/>
      <c r="L510" s="339"/>
      <c r="M510" s="339"/>
      <c r="N510" s="339"/>
      <c r="O510" s="339"/>
      <c r="P510" s="339"/>
      <c r="Q510" s="339"/>
      <c r="R510" s="339"/>
      <c r="S510" s="339"/>
      <c r="T510" s="339"/>
      <c r="U510" s="339"/>
      <c r="V510" s="339"/>
      <c r="W510" s="339"/>
      <c r="X510" s="339"/>
      <c r="Y510" s="339"/>
    </row>
    <row r="511" spans="1:25" ht="15.75" customHeight="1">
      <c r="A511" s="339"/>
      <c r="B511" s="339"/>
      <c r="C511" s="339"/>
      <c r="D511" s="339"/>
      <c r="E511" s="339"/>
      <c r="F511" s="339"/>
      <c r="G511" s="339"/>
      <c r="H511" s="339"/>
      <c r="I511" s="591"/>
      <c r="J511" s="341"/>
      <c r="K511" s="591"/>
      <c r="L511" s="339"/>
      <c r="M511" s="339"/>
      <c r="N511" s="339"/>
      <c r="O511" s="339"/>
      <c r="P511" s="339"/>
      <c r="Q511" s="339"/>
      <c r="R511" s="339"/>
      <c r="S511" s="339"/>
      <c r="T511" s="339"/>
      <c r="U511" s="339"/>
      <c r="V511" s="339"/>
      <c r="W511" s="339"/>
      <c r="X511" s="339"/>
      <c r="Y511" s="339"/>
    </row>
    <row r="512" spans="1:25" ht="15.75" customHeight="1">
      <c r="A512" s="339"/>
      <c r="B512" s="339"/>
      <c r="C512" s="339"/>
      <c r="D512" s="339"/>
      <c r="E512" s="339"/>
      <c r="F512" s="339"/>
      <c r="G512" s="339"/>
      <c r="H512" s="339"/>
      <c r="I512" s="591"/>
      <c r="J512" s="341"/>
      <c r="K512" s="591"/>
      <c r="L512" s="339"/>
      <c r="M512" s="339"/>
      <c r="N512" s="339"/>
      <c r="O512" s="339"/>
      <c r="P512" s="339"/>
      <c r="Q512" s="339"/>
      <c r="R512" s="339"/>
      <c r="S512" s="339"/>
      <c r="T512" s="339"/>
      <c r="U512" s="339"/>
      <c r="V512" s="339"/>
      <c r="W512" s="339"/>
      <c r="X512" s="339"/>
      <c r="Y512" s="339"/>
    </row>
    <row r="513" spans="1:25" ht="15.75" customHeight="1">
      <c r="A513" s="339"/>
      <c r="B513" s="339"/>
      <c r="C513" s="339"/>
      <c r="D513" s="339"/>
      <c r="E513" s="339"/>
      <c r="F513" s="339"/>
      <c r="G513" s="339"/>
      <c r="H513" s="339"/>
      <c r="I513" s="591"/>
      <c r="J513" s="341"/>
      <c r="K513" s="591"/>
      <c r="L513" s="339"/>
      <c r="M513" s="339"/>
      <c r="N513" s="339"/>
      <c r="O513" s="339"/>
      <c r="P513" s="339"/>
      <c r="Q513" s="339"/>
      <c r="R513" s="339"/>
      <c r="S513" s="339"/>
      <c r="T513" s="339"/>
      <c r="U513" s="339"/>
      <c r="V513" s="339"/>
      <c r="W513" s="339"/>
      <c r="X513" s="339"/>
      <c r="Y513" s="339"/>
    </row>
    <row r="514" spans="1:25" ht="15.75" customHeight="1">
      <c r="A514" s="339"/>
      <c r="B514" s="339"/>
      <c r="C514" s="339"/>
      <c r="D514" s="339"/>
      <c r="E514" s="339"/>
      <c r="F514" s="339"/>
      <c r="G514" s="339"/>
      <c r="H514" s="339"/>
      <c r="I514" s="591"/>
      <c r="J514" s="341"/>
      <c r="K514" s="591"/>
      <c r="L514" s="339"/>
      <c r="M514" s="339"/>
      <c r="N514" s="339"/>
      <c r="O514" s="339"/>
      <c r="P514" s="339"/>
      <c r="Q514" s="339"/>
      <c r="R514" s="339"/>
      <c r="S514" s="339"/>
      <c r="T514" s="339"/>
      <c r="U514" s="339"/>
      <c r="V514" s="339"/>
      <c r="W514" s="339"/>
      <c r="X514" s="339"/>
      <c r="Y514" s="339"/>
    </row>
    <row r="515" spans="1:25" ht="15.75" customHeight="1">
      <c r="A515" s="339"/>
      <c r="B515" s="339"/>
      <c r="C515" s="339"/>
      <c r="D515" s="339"/>
      <c r="E515" s="339"/>
      <c r="F515" s="339"/>
      <c r="G515" s="339"/>
      <c r="H515" s="339"/>
      <c r="I515" s="591"/>
      <c r="J515" s="341"/>
      <c r="K515" s="591"/>
      <c r="L515" s="339"/>
      <c r="M515" s="339"/>
      <c r="N515" s="339"/>
      <c r="O515" s="339"/>
      <c r="P515" s="339"/>
      <c r="Q515" s="339"/>
      <c r="R515" s="339"/>
      <c r="S515" s="339"/>
      <c r="T515" s="339"/>
      <c r="U515" s="339"/>
      <c r="V515" s="339"/>
      <c r="W515" s="339"/>
      <c r="X515" s="339"/>
      <c r="Y515" s="339"/>
    </row>
    <row r="516" spans="1:25" ht="15.75" customHeight="1">
      <c r="A516" s="339"/>
      <c r="B516" s="339"/>
      <c r="C516" s="339"/>
      <c r="D516" s="339"/>
      <c r="E516" s="339"/>
      <c r="F516" s="339"/>
      <c r="G516" s="339"/>
      <c r="H516" s="339"/>
      <c r="I516" s="591"/>
      <c r="J516" s="341"/>
      <c r="K516" s="591"/>
      <c r="L516" s="339"/>
      <c r="M516" s="339"/>
      <c r="N516" s="339"/>
      <c r="O516" s="339"/>
      <c r="P516" s="339"/>
      <c r="Q516" s="339"/>
      <c r="R516" s="339"/>
      <c r="S516" s="339"/>
      <c r="T516" s="339"/>
      <c r="U516" s="339"/>
      <c r="V516" s="339"/>
      <c r="W516" s="339"/>
      <c r="X516" s="339"/>
      <c r="Y516" s="339"/>
    </row>
    <row r="517" spans="1:25" ht="15.75" customHeight="1">
      <c r="A517" s="339"/>
      <c r="B517" s="339"/>
      <c r="C517" s="339"/>
      <c r="D517" s="339"/>
      <c r="E517" s="339"/>
      <c r="F517" s="339"/>
      <c r="G517" s="339"/>
      <c r="H517" s="339"/>
      <c r="I517" s="591"/>
      <c r="J517" s="341"/>
      <c r="K517" s="591"/>
      <c r="L517" s="339"/>
      <c r="M517" s="339"/>
      <c r="N517" s="339"/>
      <c r="O517" s="339"/>
      <c r="P517" s="339"/>
      <c r="Q517" s="339"/>
      <c r="R517" s="339"/>
      <c r="S517" s="339"/>
      <c r="T517" s="339"/>
      <c r="U517" s="339"/>
      <c r="V517" s="339"/>
      <c r="W517" s="339"/>
      <c r="X517" s="339"/>
      <c r="Y517" s="339"/>
    </row>
    <row r="518" spans="1:25" ht="15.75" customHeight="1">
      <c r="A518" s="339"/>
      <c r="B518" s="339"/>
      <c r="C518" s="339"/>
      <c r="D518" s="339"/>
      <c r="E518" s="339"/>
      <c r="F518" s="339"/>
      <c r="G518" s="339"/>
      <c r="H518" s="339"/>
      <c r="I518" s="591"/>
      <c r="J518" s="341"/>
      <c r="K518" s="591"/>
      <c r="L518" s="339"/>
      <c r="M518" s="339"/>
      <c r="N518" s="339"/>
      <c r="O518" s="339"/>
      <c r="P518" s="339"/>
      <c r="Q518" s="339"/>
      <c r="R518" s="339"/>
      <c r="S518" s="339"/>
      <c r="T518" s="339"/>
      <c r="U518" s="339"/>
      <c r="V518" s="339"/>
      <c r="W518" s="339"/>
      <c r="X518" s="339"/>
      <c r="Y518" s="339"/>
    </row>
    <row r="519" spans="1:25" ht="15.75" customHeight="1">
      <c r="A519" s="339"/>
      <c r="B519" s="339"/>
      <c r="C519" s="339"/>
      <c r="D519" s="339"/>
      <c r="E519" s="339"/>
      <c r="F519" s="339"/>
      <c r="G519" s="339"/>
      <c r="H519" s="339"/>
      <c r="I519" s="591"/>
      <c r="J519" s="341"/>
      <c r="K519" s="591"/>
      <c r="L519" s="339"/>
      <c r="M519" s="339"/>
      <c r="N519" s="339"/>
      <c r="O519" s="339"/>
      <c r="P519" s="339"/>
      <c r="Q519" s="339"/>
      <c r="R519" s="339"/>
      <c r="S519" s="339"/>
      <c r="T519" s="339"/>
      <c r="U519" s="339"/>
      <c r="V519" s="339"/>
      <c r="W519" s="339"/>
      <c r="X519" s="339"/>
      <c r="Y519" s="339"/>
    </row>
    <row r="520" spans="1:25" ht="15.75" customHeight="1">
      <c r="A520" s="339"/>
      <c r="B520" s="339"/>
      <c r="C520" s="339"/>
      <c r="D520" s="339"/>
      <c r="E520" s="339"/>
      <c r="F520" s="339"/>
      <c r="G520" s="339"/>
      <c r="H520" s="339"/>
      <c r="I520" s="591"/>
      <c r="J520" s="341"/>
      <c r="K520" s="591"/>
      <c r="L520" s="339"/>
      <c r="M520" s="339"/>
      <c r="N520" s="339"/>
      <c r="O520" s="339"/>
      <c r="P520" s="339"/>
      <c r="Q520" s="339"/>
      <c r="R520" s="339"/>
      <c r="S520" s="339"/>
      <c r="T520" s="339"/>
      <c r="U520" s="339"/>
      <c r="V520" s="339"/>
      <c r="W520" s="339"/>
      <c r="X520" s="339"/>
      <c r="Y520" s="339"/>
    </row>
    <row r="521" spans="1:25" ht="15.75" customHeight="1">
      <c r="A521" s="339"/>
      <c r="B521" s="339"/>
      <c r="C521" s="339"/>
      <c r="D521" s="339"/>
      <c r="E521" s="339"/>
      <c r="F521" s="339"/>
      <c r="G521" s="339"/>
      <c r="H521" s="339"/>
      <c r="I521" s="591"/>
      <c r="J521" s="341"/>
      <c r="K521" s="591"/>
      <c r="L521" s="339"/>
      <c r="M521" s="339"/>
      <c r="N521" s="339"/>
      <c r="O521" s="339"/>
      <c r="P521" s="339"/>
      <c r="Q521" s="339"/>
      <c r="R521" s="339"/>
      <c r="S521" s="339"/>
      <c r="T521" s="339"/>
      <c r="U521" s="339"/>
      <c r="V521" s="339"/>
      <c r="W521" s="339"/>
      <c r="X521" s="339"/>
      <c r="Y521" s="339"/>
    </row>
    <row r="522" spans="1:25" ht="15.75" customHeight="1">
      <c r="A522" s="339"/>
      <c r="B522" s="339"/>
      <c r="C522" s="339"/>
      <c r="D522" s="339"/>
      <c r="E522" s="339"/>
      <c r="F522" s="339"/>
      <c r="G522" s="339"/>
      <c r="H522" s="339"/>
      <c r="I522" s="591"/>
      <c r="J522" s="341"/>
      <c r="K522" s="591"/>
      <c r="L522" s="339"/>
      <c r="M522" s="339"/>
      <c r="N522" s="339"/>
      <c r="O522" s="339"/>
      <c r="P522" s="339"/>
      <c r="Q522" s="339"/>
      <c r="R522" s="339"/>
      <c r="S522" s="339"/>
      <c r="T522" s="339"/>
      <c r="U522" s="339"/>
      <c r="V522" s="339"/>
      <c r="W522" s="339"/>
      <c r="X522" s="339"/>
      <c r="Y522" s="339"/>
    </row>
    <row r="523" spans="1:25" ht="15.75" customHeight="1">
      <c r="A523" s="339"/>
      <c r="B523" s="339"/>
      <c r="C523" s="339"/>
      <c r="D523" s="339"/>
      <c r="E523" s="339"/>
      <c r="F523" s="339"/>
      <c r="G523" s="339"/>
      <c r="H523" s="339"/>
      <c r="I523" s="591"/>
      <c r="J523" s="341"/>
      <c r="K523" s="591"/>
      <c r="L523" s="339"/>
      <c r="M523" s="339"/>
      <c r="N523" s="339"/>
      <c r="O523" s="339"/>
      <c r="P523" s="339"/>
      <c r="Q523" s="339"/>
      <c r="R523" s="339"/>
      <c r="S523" s="339"/>
      <c r="T523" s="339"/>
      <c r="U523" s="339"/>
      <c r="V523" s="339"/>
      <c r="W523" s="339"/>
      <c r="X523" s="339"/>
      <c r="Y523" s="339"/>
    </row>
    <row r="524" spans="1:25" ht="15.75" customHeight="1">
      <c r="A524" s="339"/>
      <c r="B524" s="339"/>
      <c r="C524" s="339"/>
      <c r="D524" s="339"/>
      <c r="E524" s="339"/>
      <c r="F524" s="339"/>
      <c r="G524" s="339"/>
      <c r="H524" s="339"/>
      <c r="I524" s="591"/>
      <c r="J524" s="341"/>
      <c r="K524" s="591"/>
      <c r="L524" s="339"/>
      <c r="M524" s="339"/>
      <c r="N524" s="339"/>
      <c r="O524" s="339"/>
      <c r="P524" s="339"/>
      <c r="Q524" s="339"/>
      <c r="R524" s="339"/>
      <c r="S524" s="339"/>
      <c r="T524" s="339"/>
      <c r="U524" s="339"/>
      <c r="V524" s="339"/>
      <c r="W524" s="339"/>
      <c r="X524" s="339"/>
      <c r="Y524" s="339"/>
    </row>
    <row r="525" spans="1:25" ht="15.75" customHeight="1">
      <c r="A525" s="339"/>
      <c r="B525" s="339"/>
      <c r="C525" s="339"/>
      <c r="D525" s="339"/>
      <c r="E525" s="339"/>
      <c r="F525" s="339"/>
      <c r="G525" s="339"/>
      <c r="H525" s="339"/>
      <c r="I525" s="591"/>
      <c r="J525" s="341"/>
      <c r="K525" s="591"/>
      <c r="L525" s="339"/>
      <c r="M525" s="339"/>
      <c r="N525" s="339"/>
      <c r="O525" s="339"/>
      <c r="P525" s="339"/>
      <c r="Q525" s="339"/>
      <c r="R525" s="339"/>
      <c r="S525" s="339"/>
      <c r="T525" s="339"/>
      <c r="U525" s="339"/>
      <c r="V525" s="339"/>
      <c r="W525" s="339"/>
      <c r="X525" s="339"/>
      <c r="Y525" s="339"/>
    </row>
    <row r="526" spans="1:25" ht="15.75" customHeight="1">
      <c r="A526" s="339"/>
      <c r="B526" s="339"/>
      <c r="C526" s="339"/>
      <c r="D526" s="339"/>
      <c r="E526" s="339"/>
      <c r="F526" s="339"/>
      <c r="G526" s="339"/>
      <c r="H526" s="339"/>
      <c r="I526" s="591"/>
      <c r="J526" s="341"/>
      <c r="K526" s="591"/>
      <c r="L526" s="339"/>
      <c r="M526" s="339"/>
      <c r="N526" s="339"/>
      <c r="O526" s="339"/>
      <c r="P526" s="339"/>
      <c r="Q526" s="339"/>
      <c r="R526" s="339"/>
      <c r="S526" s="339"/>
      <c r="T526" s="339"/>
      <c r="U526" s="339"/>
      <c r="V526" s="339"/>
      <c r="W526" s="339"/>
      <c r="X526" s="339"/>
      <c r="Y526" s="339"/>
    </row>
    <row r="527" spans="1:25" ht="15.75" customHeight="1">
      <c r="A527" s="339"/>
      <c r="B527" s="339"/>
      <c r="C527" s="339"/>
      <c r="D527" s="339"/>
      <c r="E527" s="339"/>
      <c r="F527" s="339"/>
      <c r="G527" s="339"/>
      <c r="H527" s="339"/>
      <c r="I527" s="591"/>
      <c r="J527" s="341"/>
      <c r="K527" s="591"/>
      <c r="L527" s="339"/>
      <c r="M527" s="339"/>
      <c r="N527" s="339"/>
      <c r="O527" s="339"/>
      <c r="P527" s="339"/>
      <c r="Q527" s="339"/>
      <c r="R527" s="339"/>
      <c r="S527" s="339"/>
      <c r="T527" s="339"/>
      <c r="U527" s="339"/>
      <c r="V527" s="339"/>
      <c r="W527" s="339"/>
      <c r="X527" s="339"/>
      <c r="Y527" s="339"/>
    </row>
    <row r="528" spans="1:25" ht="15.75" customHeight="1">
      <c r="A528" s="339"/>
      <c r="B528" s="339"/>
      <c r="C528" s="339"/>
      <c r="D528" s="339"/>
      <c r="E528" s="339"/>
      <c r="F528" s="339"/>
      <c r="G528" s="339"/>
      <c r="H528" s="339"/>
      <c r="I528" s="591"/>
      <c r="J528" s="341"/>
      <c r="K528" s="591"/>
      <c r="L528" s="339"/>
      <c r="M528" s="339"/>
      <c r="N528" s="339"/>
      <c r="O528" s="339"/>
      <c r="P528" s="339"/>
      <c r="Q528" s="339"/>
      <c r="R528" s="339"/>
      <c r="S528" s="339"/>
      <c r="T528" s="339"/>
      <c r="U528" s="339"/>
      <c r="V528" s="339"/>
      <c r="W528" s="339"/>
      <c r="X528" s="339"/>
      <c r="Y528" s="339"/>
    </row>
    <row r="529" spans="1:25" ht="15.75" customHeight="1">
      <c r="A529" s="339"/>
      <c r="B529" s="339"/>
      <c r="C529" s="339"/>
      <c r="D529" s="339"/>
      <c r="E529" s="339"/>
      <c r="F529" s="339"/>
      <c r="G529" s="339"/>
      <c r="H529" s="339"/>
      <c r="I529" s="591"/>
      <c r="J529" s="341"/>
      <c r="K529" s="591"/>
      <c r="L529" s="339"/>
      <c r="M529" s="339"/>
      <c r="N529" s="339"/>
      <c r="O529" s="339"/>
      <c r="P529" s="339"/>
      <c r="Q529" s="339"/>
      <c r="R529" s="339"/>
      <c r="S529" s="339"/>
      <c r="T529" s="339"/>
      <c r="U529" s="339"/>
      <c r="V529" s="339"/>
      <c r="W529" s="339"/>
      <c r="X529" s="339"/>
      <c r="Y529" s="339"/>
    </row>
    <row r="530" spans="1:25" ht="15.75" customHeight="1">
      <c r="A530" s="339"/>
      <c r="B530" s="339"/>
      <c r="C530" s="339"/>
      <c r="D530" s="339"/>
      <c r="E530" s="339"/>
      <c r="F530" s="339"/>
      <c r="G530" s="339"/>
      <c r="H530" s="339"/>
      <c r="I530" s="591"/>
      <c r="J530" s="341"/>
      <c r="K530" s="591"/>
      <c r="L530" s="339"/>
      <c r="M530" s="339"/>
      <c r="N530" s="339"/>
      <c r="O530" s="339"/>
      <c r="P530" s="339"/>
      <c r="Q530" s="339"/>
      <c r="R530" s="339"/>
      <c r="S530" s="339"/>
      <c r="T530" s="339"/>
      <c r="U530" s="339"/>
      <c r="V530" s="339"/>
      <c r="W530" s="339"/>
      <c r="X530" s="339"/>
      <c r="Y530" s="339"/>
    </row>
    <row r="531" spans="1:25" ht="15.75" customHeight="1">
      <c r="A531" s="339"/>
      <c r="B531" s="339"/>
      <c r="C531" s="339"/>
      <c r="D531" s="339"/>
      <c r="E531" s="339"/>
      <c r="F531" s="339"/>
      <c r="G531" s="339"/>
      <c r="H531" s="339"/>
      <c r="I531" s="591"/>
      <c r="J531" s="341"/>
      <c r="K531" s="591"/>
      <c r="L531" s="339"/>
      <c r="M531" s="339"/>
      <c r="N531" s="339"/>
      <c r="O531" s="339"/>
      <c r="P531" s="339"/>
      <c r="Q531" s="339"/>
      <c r="R531" s="339"/>
      <c r="S531" s="339"/>
      <c r="T531" s="339"/>
      <c r="U531" s="339"/>
      <c r="V531" s="339"/>
      <c r="W531" s="339"/>
      <c r="X531" s="339"/>
      <c r="Y531" s="339"/>
    </row>
    <row r="532" spans="1:25" ht="15.75" customHeight="1">
      <c r="A532" s="339"/>
      <c r="B532" s="339"/>
      <c r="C532" s="339"/>
      <c r="D532" s="339"/>
      <c r="E532" s="339"/>
      <c r="F532" s="339"/>
      <c r="G532" s="339"/>
      <c r="H532" s="339"/>
      <c r="I532" s="591"/>
      <c r="J532" s="341"/>
      <c r="K532" s="591"/>
      <c r="L532" s="339"/>
      <c r="M532" s="339"/>
      <c r="N532" s="339"/>
      <c r="O532" s="339"/>
      <c r="P532" s="339"/>
      <c r="Q532" s="339"/>
      <c r="R532" s="339"/>
      <c r="S532" s="339"/>
      <c r="T532" s="339"/>
      <c r="U532" s="339"/>
      <c r="V532" s="339"/>
      <c r="W532" s="339"/>
      <c r="X532" s="339"/>
      <c r="Y532" s="339"/>
    </row>
    <row r="533" spans="1:25" ht="15.75" customHeight="1">
      <c r="A533" s="339"/>
      <c r="B533" s="339"/>
      <c r="C533" s="339"/>
      <c r="D533" s="339"/>
      <c r="E533" s="339"/>
      <c r="F533" s="339"/>
      <c r="G533" s="339"/>
      <c r="H533" s="339"/>
      <c r="I533" s="591"/>
      <c r="J533" s="341"/>
      <c r="K533" s="591"/>
      <c r="L533" s="339"/>
      <c r="M533" s="339"/>
      <c r="N533" s="339"/>
      <c r="O533" s="339"/>
      <c r="P533" s="339"/>
      <c r="Q533" s="339"/>
      <c r="R533" s="339"/>
      <c r="S533" s="339"/>
      <c r="T533" s="339"/>
      <c r="U533" s="339"/>
      <c r="V533" s="339"/>
      <c r="W533" s="339"/>
      <c r="X533" s="339"/>
      <c r="Y533" s="339"/>
    </row>
    <row r="534" spans="1:25" ht="15.75" customHeight="1">
      <c r="A534" s="339"/>
      <c r="B534" s="339"/>
      <c r="C534" s="339"/>
      <c r="D534" s="339"/>
      <c r="E534" s="339"/>
      <c r="F534" s="339"/>
      <c r="G534" s="339"/>
      <c r="H534" s="339"/>
      <c r="I534" s="591"/>
      <c r="J534" s="341"/>
      <c r="K534" s="591"/>
      <c r="L534" s="339"/>
      <c r="M534" s="339"/>
      <c r="N534" s="339"/>
      <c r="O534" s="339"/>
      <c r="P534" s="339"/>
      <c r="Q534" s="339"/>
      <c r="R534" s="339"/>
      <c r="S534" s="339"/>
      <c r="T534" s="339"/>
      <c r="U534" s="339"/>
      <c r="V534" s="339"/>
      <c r="W534" s="339"/>
      <c r="X534" s="339"/>
      <c r="Y534" s="339"/>
    </row>
    <row r="535" spans="1:25" ht="15.75" customHeight="1">
      <c r="A535" s="339"/>
      <c r="B535" s="339"/>
      <c r="C535" s="339"/>
      <c r="D535" s="339"/>
      <c r="E535" s="339"/>
      <c r="F535" s="339"/>
      <c r="G535" s="339"/>
      <c r="H535" s="339"/>
      <c r="I535" s="591"/>
      <c r="J535" s="341"/>
      <c r="K535" s="591"/>
      <c r="L535" s="339"/>
      <c r="M535" s="339"/>
      <c r="N535" s="339"/>
      <c r="O535" s="339"/>
      <c r="P535" s="339"/>
      <c r="Q535" s="339"/>
      <c r="R535" s="339"/>
      <c r="S535" s="339"/>
      <c r="T535" s="339"/>
      <c r="U535" s="339"/>
      <c r="V535" s="339"/>
      <c r="W535" s="339"/>
      <c r="X535" s="339"/>
      <c r="Y535" s="339"/>
    </row>
    <row r="536" spans="1:25" ht="15.75" customHeight="1">
      <c r="A536" s="339"/>
      <c r="B536" s="339"/>
      <c r="C536" s="339"/>
      <c r="D536" s="339"/>
      <c r="E536" s="339"/>
      <c r="F536" s="339"/>
      <c r="G536" s="339"/>
      <c r="H536" s="339"/>
      <c r="I536" s="591"/>
      <c r="J536" s="341"/>
      <c r="K536" s="591"/>
      <c r="L536" s="339"/>
      <c r="M536" s="339"/>
      <c r="N536" s="339"/>
      <c r="O536" s="339"/>
      <c r="P536" s="339"/>
      <c r="Q536" s="339"/>
      <c r="R536" s="339"/>
      <c r="S536" s="339"/>
      <c r="T536" s="339"/>
      <c r="U536" s="339"/>
      <c r="V536" s="339"/>
      <c r="W536" s="339"/>
      <c r="X536" s="339"/>
      <c r="Y536" s="339"/>
    </row>
    <row r="537" spans="1:25" ht="15.75" customHeight="1">
      <c r="A537" s="339"/>
      <c r="B537" s="339"/>
      <c r="C537" s="339"/>
      <c r="D537" s="339"/>
      <c r="E537" s="339"/>
      <c r="F537" s="339"/>
      <c r="G537" s="339"/>
      <c r="H537" s="339"/>
      <c r="I537" s="591"/>
      <c r="J537" s="341"/>
      <c r="K537" s="591"/>
      <c r="L537" s="339"/>
      <c r="M537" s="339"/>
      <c r="N537" s="339"/>
      <c r="O537" s="339"/>
      <c r="P537" s="339"/>
      <c r="Q537" s="339"/>
      <c r="R537" s="339"/>
      <c r="S537" s="339"/>
      <c r="T537" s="339"/>
      <c r="U537" s="339"/>
      <c r="V537" s="339"/>
      <c r="W537" s="339"/>
      <c r="X537" s="339"/>
      <c r="Y537" s="339"/>
    </row>
    <row r="538" spans="1:25" ht="15.75" customHeight="1">
      <c r="A538" s="339"/>
      <c r="B538" s="339"/>
      <c r="C538" s="339"/>
      <c r="D538" s="339"/>
      <c r="E538" s="339"/>
      <c r="F538" s="339"/>
      <c r="G538" s="339"/>
      <c r="H538" s="339"/>
      <c r="I538" s="591"/>
      <c r="J538" s="341"/>
      <c r="K538" s="591"/>
      <c r="L538" s="339"/>
      <c r="M538" s="339"/>
      <c r="N538" s="339"/>
      <c r="O538" s="339"/>
      <c r="P538" s="339"/>
      <c r="Q538" s="339"/>
      <c r="R538" s="339"/>
      <c r="S538" s="339"/>
      <c r="T538" s="339"/>
      <c r="U538" s="339"/>
      <c r="V538" s="339"/>
      <c r="W538" s="339"/>
      <c r="X538" s="339"/>
      <c r="Y538" s="339"/>
    </row>
    <row r="539" spans="1:25" ht="15.75" customHeight="1">
      <c r="A539" s="339"/>
      <c r="B539" s="339"/>
      <c r="C539" s="339"/>
      <c r="D539" s="339"/>
      <c r="E539" s="339"/>
      <c r="F539" s="339"/>
      <c r="G539" s="339"/>
      <c r="H539" s="339"/>
      <c r="I539" s="591"/>
      <c r="J539" s="341"/>
      <c r="K539" s="591"/>
      <c r="L539" s="339"/>
      <c r="M539" s="339"/>
      <c r="N539" s="339"/>
      <c r="O539" s="339"/>
      <c r="P539" s="339"/>
      <c r="Q539" s="339"/>
      <c r="R539" s="339"/>
      <c r="S539" s="339"/>
      <c r="T539" s="339"/>
      <c r="U539" s="339"/>
      <c r="V539" s="339"/>
      <c r="W539" s="339"/>
      <c r="X539" s="339"/>
      <c r="Y539" s="339"/>
    </row>
    <row r="540" spans="1:25" ht="15.75" customHeight="1">
      <c r="A540" s="339"/>
      <c r="B540" s="339"/>
      <c r="C540" s="339"/>
      <c r="D540" s="339"/>
      <c r="E540" s="339"/>
      <c r="F540" s="339"/>
      <c r="G540" s="339"/>
      <c r="H540" s="339"/>
      <c r="I540" s="591"/>
      <c r="J540" s="341"/>
      <c r="K540" s="591"/>
      <c r="L540" s="339"/>
      <c r="M540" s="339"/>
      <c r="N540" s="339"/>
      <c r="O540" s="339"/>
      <c r="P540" s="339"/>
      <c r="Q540" s="339"/>
      <c r="R540" s="339"/>
      <c r="S540" s="339"/>
      <c r="T540" s="339"/>
      <c r="U540" s="339"/>
      <c r="V540" s="339"/>
      <c r="W540" s="339"/>
      <c r="X540" s="339"/>
      <c r="Y540" s="339"/>
    </row>
    <row r="541" spans="1:25" ht="15.75" customHeight="1">
      <c r="A541" s="339"/>
      <c r="B541" s="339"/>
      <c r="C541" s="339"/>
      <c r="D541" s="339"/>
      <c r="E541" s="339"/>
      <c r="F541" s="339"/>
      <c r="G541" s="339"/>
      <c r="H541" s="339"/>
      <c r="I541" s="591"/>
      <c r="J541" s="341"/>
      <c r="K541" s="591"/>
      <c r="L541" s="339"/>
      <c r="M541" s="339"/>
      <c r="N541" s="339"/>
      <c r="O541" s="339"/>
      <c r="P541" s="339"/>
      <c r="Q541" s="339"/>
      <c r="R541" s="339"/>
      <c r="S541" s="339"/>
      <c r="T541" s="339"/>
      <c r="U541" s="339"/>
      <c r="V541" s="339"/>
      <c r="W541" s="339"/>
      <c r="X541" s="339"/>
      <c r="Y541" s="339"/>
    </row>
    <row r="542" spans="1:25" ht="15.75" customHeight="1">
      <c r="A542" s="339"/>
      <c r="B542" s="339"/>
      <c r="C542" s="339"/>
      <c r="D542" s="339"/>
      <c r="E542" s="339"/>
      <c r="F542" s="339"/>
      <c r="G542" s="339"/>
      <c r="H542" s="339"/>
      <c r="I542" s="591"/>
      <c r="J542" s="341"/>
      <c r="K542" s="591"/>
      <c r="L542" s="339"/>
      <c r="M542" s="339"/>
      <c r="N542" s="339"/>
      <c r="O542" s="339"/>
      <c r="P542" s="339"/>
      <c r="Q542" s="339"/>
      <c r="R542" s="339"/>
      <c r="S542" s="339"/>
      <c r="T542" s="339"/>
      <c r="U542" s="339"/>
      <c r="V542" s="339"/>
      <c r="W542" s="339"/>
      <c r="X542" s="339"/>
      <c r="Y542" s="339"/>
    </row>
    <row r="543" spans="1:25" ht="15.75" customHeight="1">
      <c r="A543" s="339"/>
      <c r="B543" s="339"/>
      <c r="C543" s="339"/>
      <c r="D543" s="339"/>
      <c r="E543" s="339"/>
      <c r="F543" s="339"/>
      <c r="G543" s="339"/>
      <c r="H543" s="339"/>
      <c r="I543" s="591"/>
      <c r="J543" s="341"/>
      <c r="K543" s="591"/>
      <c r="L543" s="339"/>
      <c r="M543" s="339"/>
      <c r="N543" s="339"/>
      <c r="O543" s="339"/>
      <c r="P543" s="339"/>
      <c r="Q543" s="339"/>
      <c r="R543" s="339"/>
      <c r="S543" s="339"/>
      <c r="T543" s="339"/>
      <c r="U543" s="339"/>
      <c r="V543" s="339"/>
      <c r="W543" s="339"/>
      <c r="X543" s="339"/>
      <c r="Y543" s="339"/>
    </row>
    <row r="544" spans="1:25" ht="15.75" customHeight="1">
      <c r="A544" s="339"/>
      <c r="B544" s="339"/>
      <c r="C544" s="339"/>
      <c r="D544" s="339"/>
      <c r="E544" s="339"/>
      <c r="F544" s="339"/>
      <c r="G544" s="339"/>
      <c r="H544" s="339"/>
      <c r="I544" s="591"/>
      <c r="J544" s="341"/>
      <c r="K544" s="591"/>
      <c r="L544" s="339"/>
      <c r="M544" s="339"/>
      <c r="N544" s="339"/>
      <c r="O544" s="339"/>
      <c r="P544" s="339"/>
      <c r="Q544" s="339"/>
      <c r="R544" s="339"/>
      <c r="S544" s="339"/>
      <c r="T544" s="339"/>
      <c r="U544" s="339"/>
      <c r="V544" s="339"/>
      <c r="W544" s="339"/>
      <c r="X544" s="339"/>
      <c r="Y544" s="339"/>
    </row>
    <row r="545" spans="1:25" ht="15.75" customHeight="1">
      <c r="A545" s="339"/>
      <c r="B545" s="339"/>
      <c r="C545" s="339"/>
      <c r="D545" s="339"/>
      <c r="E545" s="339"/>
      <c r="F545" s="339"/>
      <c r="G545" s="339"/>
      <c r="H545" s="339"/>
      <c r="I545" s="591"/>
      <c r="J545" s="341"/>
      <c r="K545" s="591"/>
      <c r="L545" s="339"/>
      <c r="M545" s="339"/>
      <c r="N545" s="339"/>
      <c r="O545" s="339"/>
      <c r="P545" s="339"/>
      <c r="Q545" s="339"/>
      <c r="R545" s="339"/>
      <c r="S545" s="339"/>
      <c r="T545" s="339"/>
      <c r="U545" s="339"/>
      <c r="V545" s="339"/>
      <c r="W545" s="339"/>
      <c r="X545" s="339"/>
      <c r="Y545" s="339"/>
    </row>
    <row r="546" spans="1:25" ht="15.75" customHeight="1">
      <c r="A546" s="339"/>
      <c r="B546" s="339"/>
      <c r="C546" s="339"/>
      <c r="D546" s="339"/>
      <c r="E546" s="339"/>
      <c r="F546" s="339"/>
      <c r="G546" s="339"/>
      <c r="H546" s="339"/>
      <c r="I546" s="591"/>
      <c r="J546" s="341"/>
      <c r="K546" s="591"/>
      <c r="L546" s="339"/>
      <c r="M546" s="339"/>
      <c r="N546" s="339"/>
      <c r="O546" s="339"/>
      <c r="P546" s="339"/>
      <c r="Q546" s="339"/>
      <c r="R546" s="339"/>
      <c r="S546" s="339"/>
      <c r="T546" s="339"/>
      <c r="U546" s="339"/>
      <c r="V546" s="339"/>
      <c r="W546" s="339"/>
      <c r="X546" s="339"/>
      <c r="Y546" s="339"/>
    </row>
    <row r="547" spans="1:25" ht="15.75" customHeight="1">
      <c r="A547" s="339"/>
      <c r="B547" s="339"/>
      <c r="C547" s="339"/>
      <c r="D547" s="339"/>
      <c r="E547" s="339"/>
      <c r="F547" s="339"/>
      <c r="G547" s="339"/>
      <c r="H547" s="339"/>
      <c r="I547" s="591"/>
      <c r="J547" s="341"/>
      <c r="K547" s="591"/>
      <c r="L547" s="339"/>
      <c r="M547" s="339"/>
      <c r="N547" s="339"/>
      <c r="O547" s="339"/>
      <c r="P547" s="339"/>
      <c r="Q547" s="339"/>
      <c r="R547" s="339"/>
      <c r="S547" s="339"/>
      <c r="T547" s="339"/>
      <c r="U547" s="339"/>
      <c r="V547" s="339"/>
      <c r="W547" s="339"/>
      <c r="X547" s="339"/>
      <c r="Y547" s="339"/>
    </row>
    <row r="548" spans="1:25" ht="15.75" customHeight="1">
      <c r="A548" s="339"/>
      <c r="B548" s="339"/>
      <c r="C548" s="339"/>
      <c r="D548" s="339"/>
      <c r="E548" s="339"/>
      <c r="F548" s="339"/>
      <c r="G548" s="339"/>
      <c r="H548" s="339"/>
      <c r="I548" s="591"/>
      <c r="J548" s="341"/>
      <c r="K548" s="591"/>
      <c r="L548" s="339"/>
      <c r="M548" s="339"/>
      <c r="N548" s="339"/>
      <c r="O548" s="339"/>
      <c r="P548" s="339"/>
      <c r="Q548" s="339"/>
      <c r="R548" s="339"/>
      <c r="S548" s="339"/>
      <c r="T548" s="339"/>
      <c r="U548" s="339"/>
      <c r="V548" s="339"/>
      <c r="W548" s="339"/>
      <c r="X548" s="339"/>
      <c r="Y548" s="339"/>
    </row>
    <row r="549" spans="1:25" ht="15.75" customHeight="1">
      <c r="A549" s="339"/>
      <c r="B549" s="339"/>
      <c r="C549" s="339"/>
      <c r="D549" s="339"/>
      <c r="E549" s="339"/>
      <c r="F549" s="339"/>
      <c r="G549" s="339"/>
      <c r="H549" s="339"/>
      <c r="I549" s="591"/>
      <c r="J549" s="341"/>
      <c r="K549" s="591"/>
      <c r="L549" s="339"/>
      <c r="M549" s="339"/>
      <c r="N549" s="339"/>
      <c r="O549" s="339"/>
      <c r="P549" s="339"/>
      <c r="Q549" s="339"/>
      <c r="R549" s="339"/>
      <c r="S549" s="339"/>
      <c r="T549" s="339"/>
      <c r="U549" s="339"/>
      <c r="V549" s="339"/>
      <c r="W549" s="339"/>
      <c r="X549" s="339"/>
      <c r="Y549" s="339"/>
    </row>
    <row r="550" spans="1:25" ht="15.75" customHeight="1">
      <c r="A550" s="339"/>
      <c r="B550" s="339"/>
      <c r="C550" s="339"/>
      <c r="D550" s="339"/>
      <c r="E550" s="339"/>
      <c r="F550" s="339"/>
      <c r="G550" s="339"/>
      <c r="H550" s="339"/>
      <c r="I550" s="591"/>
      <c r="J550" s="341"/>
      <c r="K550" s="591"/>
      <c r="L550" s="339"/>
      <c r="M550" s="339"/>
      <c r="N550" s="339"/>
      <c r="O550" s="339"/>
      <c r="P550" s="339"/>
      <c r="Q550" s="339"/>
      <c r="R550" s="339"/>
      <c r="S550" s="339"/>
      <c r="T550" s="339"/>
      <c r="U550" s="339"/>
      <c r="V550" s="339"/>
      <c r="W550" s="339"/>
      <c r="X550" s="339"/>
      <c r="Y550" s="339"/>
    </row>
    <row r="551" spans="1:25" ht="15.75" customHeight="1">
      <c r="A551" s="339"/>
      <c r="B551" s="339"/>
      <c r="C551" s="339"/>
      <c r="D551" s="339"/>
      <c r="E551" s="339"/>
      <c r="F551" s="339"/>
      <c r="G551" s="339"/>
      <c r="H551" s="339"/>
      <c r="I551" s="591"/>
      <c r="J551" s="341"/>
      <c r="K551" s="591"/>
      <c r="L551" s="339"/>
      <c r="M551" s="339"/>
      <c r="N551" s="339"/>
      <c r="O551" s="339"/>
      <c r="P551" s="339"/>
      <c r="Q551" s="339"/>
      <c r="R551" s="339"/>
      <c r="S551" s="339"/>
      <c r="T551" s="339"/>
      <c r="U551" s="339"/>
      <c r="V551" s="339"/>
      <c r="W551" s="339"/>
      <c r="X551" s="339"/>
      <c r="Y551" s="339"/>
    </row>
    <row r="552" spans="1:25" ht="15.75" customHeight="1">
      <c r="A552" s="339"/>
      <c r="B552" s="339"/>
      <c r="C552" s="339"/>
      <c r="D552" s="339"/>
      <c r="E552" s="339"/>
      <c r="F552" s="339"/>
      <c r="G552" s="339"/>
      <c r="H552" s="339"/>
      <c r="I552" s="591"/>
      <c r="J552" s="341"/>
      <c r="K552" s="591"/>
      <c r="L552" s="339"/>
      <c r="M552" s="339"/>
      <c r="N552" s="339"/>
      <c r="O552" s="339"/>
      <c r="P552" s="339"/>
      <c r="Q552" s="339"/>
      <c r="R552" s="339"/>
      <c r="S552" s="339"/>
      <c r="T552" s="339"/>
      <c r="U552" s="339"/>
      <c r="V552" s="339"/>
      <c r="W552" s="339"/>
      <c r="X552" s="339"/>
      <c r="Y552" s="339"/>
    </row>
    <row r="553" spans="1:25" ht="15.75" customHeight="1">
      <c r="A553" s="339"/>
      <c r="B553" s="339"/>
      <c r="C553" s="339"/>
      <c r="D553" s="339"/>
      <c r="E553" s="339"/>
      <c r="F553" s="339"/>
      <c r="G553" s="339"/>
      <c r="H553" s="339"/>
      <c r="I553" s="591"/>
      <c r="J553" s="341"/>
      <c r="K553" s="591"/>
      <c r="L553" s="339"/>
      <c r="M553" s="339"/>
      <c r="N553" s="339"/>
      <c r="O553" s="339"/>
      <c r="P553" s="339"/>
      <c r="Q553" s="339"/>
      <c r="R553" s="339"/>
      <c r="S553" s="339"/>
      <c r="T553" s="339"/>
      <c r="U553" s="339"/>
      <c r="V553" s="339"/>
      <c r="W553" s="339"/>
      <c r="X553" s="339"/>
      <c r="Y553" s="339"/>
    </row>
    <row r="554" spans="1:25" ht="15.75" customHeight="1">
      <c r="A554" s="339"/>
      <c r="B554" s="339"/>
      <c r="C554" s="339"/>
      <c r="D554" s="339"/>
      <c r="E554" s="339"/>
      <c r="F554" s="339"/>
      <c r="G554" s="339"/>
      <c r="H554" s="339"/>
      <c r="I554" s="591"/>
      <c r="J554" s="341"/>
      <c r="K554" s="591"/>
      <c r="L554" s="339"/>
      <c r="M554" s="339"/>
      <c r="N554" s="339"/>
      <c r="O554" s="339"/>
      <c r="P554" s="339"/>
      <c r="Q554" s="339"/>
      <c r="R554" s="339"/>
      <c r="S554" s="339"/>
      <c r="T554" s="339"/>
      <c r="U554" s="339"/>
      <c r="V554" s="339"/>
      <c r="W554" s="339"/>
      <c r="X554" s="339"/>
      <c r="Y554" s="339"/>
    </row>
    <row r="555" spans="1:25" ht="15.75" customHeight="1">
      <c r="A555" s="339"/>
      <c r="B555" s="339"/>
      <c r="C555" s="339"/>
      <c r="D555" s="339"/>
      <c r="E555" s="339"/>
      <c r="F555" s="339"/>
      <c r="G555" s="339"/>
      <c r="H555" s="339"/>
      <c r="I555" s="591"/>
      <c r="J555" s="341"/>
      <c r="K555" s="591"/>
      <c r="L555" s="339"/>
      <c r="M555" s="339"/>
      <c r="N555" s="339"/>
      <c r="O555" s="339"/>
      <c r="P555" s="339"/>
      <c r="Q555" s="339"/>
      <c r="R555" s="339"/>
      <c r="S555" s="339"/>
      <c r="T555" s="339"/>
      <c r="U555" s="339"/>
      <c r="V555" s="339"/>
      <c r="W555" s="339"/>
      <c r="X555" s="339"/>
      <c r="Y555" s="339"/>
    </row>
    <row r="556" spans="1:25" ht="15.75" customHeight="1">
      <c r="A556" s="339"/>
      <c r="B556" s="339"/>
      <c r="C556" s="339"/>
      <c r="D556" s="339"/>
      <c r="E556" s="339"/>
      <c r="F556" s="339"/>
      <c r="G556" s="339"/>
      <c r="H556" s="339"/>
      <c r="I556" s="591"/>
      <c r="J556" s="341"/>
      <c r="K556" s="591"/>
      <c r="L556" s="339"/>
      <c r="M556" s="339"/>
      <c r="N556" s="339"/>
      <c r="O556" s="339"/>
      <c r="P556" s="339"/>
      <c r="Q556" s="339"/>
      <c r="R556" s="339"/>
      <c r="S556" s="339"/>
      <c r="T556" s="339"/>
      <c r="U556" s="339"/>
      <c r="V556" s="339"/>
      <c r="W556" s="339"/>
      <c r="X556" s="339"/>
      <c r="Y556" s="339"/>
    </row>
    <row r="557" spans="1:25" ht="15.75" customHeight="1">
      <c r="A557" s="339"/>
      <c r="B557" s="339"/>
      <c r="C557" s="339"/>
      <c r="D557" s="339"/>
      <c r="E557" s="339"/>
      <c r="F557" s="339"/>
      <c r="G557" s="339"/>
      <c r="H557" s="339"/>
      <c r="I557" s="591"/>
      <c r="J557" s="341"/>
      <c r="K557" s="591"/>
      <c r="L557" s="339"/>
      <c r="M557" s="339"/>
      <c r="N557" s="339"/>
      <c r="O557" s="339"/>
      <c r="P557" s="339"/>
      <c r="Q557" s="339"/>
      <c r="R557" s="339"/>
      <c r="S557" s="339"/>
      <c r="T557" s="339"/>
      <c r="U557" s="339"/>
      <c r="V557" s="339"/>
      <c r="W557" s="339"/>
      <c r="X557" s="339"/>
      <c r="Y557" s="339"/>
    </row>
    <row r="558" spans="1:25" ht="15.75" customHeight="1">
      <c r="A558" s="339"/>
      <c r="B558" s="339"/>
      <c r="C558" s="339"/>
      <c r="D558" s="339"/>
      <c r="E558" s="339"/>
      <c r="F558" s="339"/>
      <c r="G558" s="339"/>
      <c r="H558" s="339"/>
      <c r="I558" s="591"/>
      <c r="J558" s="341"/>
      <c r="K558" s="591"/>
      <c r="L558" s="339"/>
      <c r="M558" s="339"/>
      <c r="N558" s="339"/>
      <c r="O558" s="339"/>
      <c r="P558" s="339"/>
      <c r="Q558" s="339"/>
      <c r="R558" s="339"/>
      <c r="S558" s="339"/>
      <c r="T558" s="339"/>
      <c r="U558" s="339"/>
      <c r="V558" s="339"/>
      <c r="W558" s="339"/>
      <c r="X558" s="339"/>
      <c r="Y558" s="339"/>
    </row>
    <row r="559" spans="1:25" ht="15.75" customHeight="1">
      <c r="A559" s="339"/>
      <c r="B559" s="339"/>
      <c r="C559" s="339"/>
      <c r="D559" s="339"/>
      <c r="E559" s="339"/>
      <c r="F559" s="339"/>
      <c r="G559" s="339"/>
      <c r="H559" s="339"/>
      <c r="I559" s="591"/>
      <c r="J559" s="341"/>
      <c r="K559" s="591"/>
      <c r="L559" s="339"/>
      <c r="M559" s="339"/>
      <c r="N559" s="339"/>
      <c r="O559" s="339"/>
      <c r="P559" s="339"/>
      <c r="Q559" s="339"/>
      <c r="R559" s="339"/>
      <c r="S559" s="339"/>
      <c r="T559" s="339"/>
      <c r="U559" s="339"/>
      <c r="V559" s="339"/>
      <c r="W559" s="339"/>
      <c r="X559" s="339"/>
      <c r="Y559" s="339"/>
    </row>
    <row r="560" spans="1:25" ht="15.75" customHeight="1">
      <c r="A560" s="339"/>
      <c r="B560" s="339"/>
      <c r="C560" s="339"/>
      <c r="D560" s="339"/>
      <c r="E560" s="339"/>
      <c r="F560" s="339"/>
      <c r="G560" s="339"/>
      <c r="H560" s="339"/>
      <c r="I560" s="591"/>
      <c r="J560" s="341"/>
      <c r="K560" s="591"/>
      <c r="L560" s="339"/>
      <c r="M560" s="339"/>
      <c r="N560" s="339"/>
      <c r="O560" s="339"/>
      <c r="P560" s="339"/>
      <c r="Q560" s="339"/>
      <c r="R560" s="339"/>
      <c r="S560" s="339"/>
      <c r="T560" s="339"/>
      <c r="U560" s="339"/>
      <c r="V560" s="339"/>
      <c r="W560" s="339"/>
      <c r="X560" s="339"/>
      <c r="Y560" s="339"/>
    </row>
    <row r="561" spans="1:25" ht="15.75" customHeight="1">
      <c r="A561" s="339"/>
      <c r="B561" s="339"/>
      <c r="C561" s="339"/>
      <c r="D561" s="339"/>
      <c r="E561" s="339"/>
      <c r="F561" s="339"/>
      <c r="G561" s="339"/>
      <c r="H561" s="339"/>
      <c r="I561" s="591"/>
      <c r="J561" s="341"/>
      <c r="K561" s="591"/>
      <c r="L561" s="339"/>
      <c r="M561" s="339"/>
      <c r="N561" s="339"/>
      <c r="O561" s="339"/>
      <c r="P561" s="339"/>
      <c r="Q561" s="339"/>
      <c r="R561" s="339"/>
      <c r="S561" s="339"/>
      <c r="T561" s="339"/>
      <c r="U561" s="339"/>
      <c r="V561" s="339"/>
      <c r="W561" s="339"/>
      <c r="X561" s="339"/>
      <c r="Y561" s="339"/>
    </row>
    <row r="562" spans="1:25" ht="15.75" customHeight="1">
      <c r="A562" s="339"/>
      <c r="B562" s="339"/>
      <c r="C562" s="339"/>
      <c r="D562" s="339"/>
      <c r="E562" s="339"/>
      <c r="F562" s="339"/>
      <c r="G562" s="339"/>
      <c r="H562" s="339"/>
      <c r="I562" s="591"/>
      <c r="J562" s="341"/>
      <c r="K562" s="591"/>
      <c r="L562" s="339"/>
      <c r="M562" s="339"/>
      <c r="N562" s="339"/>
      <c r="O562" s="339"/>
      <c r="P562" s="339"/>
      <c r="Q562" s="339"/>
      <c r="R562" s="339"/>
      <c r="S562" s="339"/>
      <c r="T562" s="339"/>
      <c r="U562" s="339"/>
      <c r="V562" s="339"/>
      <c r="W562" s="339"/>
      <c r="X562" s="339"/>
      <c r="Y562" s="339"/>
    </row>
    <row r="563" spans="1:25" ht="15.75" customHeight="1">
      <c r="A563" s="339"/>
      <c r="B563" s="339"/>
      <c r="C563" s="339"/>
      <c r="D563" s="339"/>
      <c r="E563" s="339"/>
      <c r="F563" s="339"/>
      <c r="G563" s="339"/>
      <c r="H563" s="339"/>
      <c r="I563" s="591"/>
      <c r="J563" s="341"/>
      <c r="K563" s="591"/>
      <c r="L563" s="339"/>
      <c r="M563" s="339"/>
      <c r="N563" s="339"/>
      <c r="O563" s="339"/>
      <c r="P563" s="339"/>
      <c r="Q563" s="339"/>
      <c r="R563" s="339"/>
      <c r="S563" s="339"/>
      <c r="T563" s="339"/>
      <c r="U563" s="339"/>
      <c r="V563" s="339"/>
      <c r="W563" s="339"/>
      <c r="X563" s="339"/>
      <c r="Y563" s="339"/>
    </row>
    <row r="564" spans="1:25" ht="15.75" customHeight="1">
      <c r="A564" s="339"/>
      <c r="B564" s="339"/>
      <c r="C564" s="339"/>
      <c r="D564" s="339"/>
      <c r="E564" s="339"/>
      <c r="F564" s="339"/>
      <c r="G564" s="339"/>
      <c r="H564" s="339"/>
      <c r="I564" s="591"/>
      <c r="J564" s="341"/>
      <c r="K564" s="591"/>
      <c r="L564" s="339"/>
      <c r="M564" s="339"/>
      <c r="N564" s="339"/>
      <c r="O564" s="339"/>
      <c r="P564" s="339"/>
      <c r="Q564" s="339"/>
      <c r="R564" s="339"/>
      <c r="S564" s="339"/>
      <c r="T564" s="339"/>
      <c r="U564" s="339"/>
      <c r="V564" s="339"/>
      <c r="W564" s="339"/>
      <c r="X564" s="339"/>
      <c r="Y564" s="339"/>
    </row>
    <row r="565" spans="1:25" ht="15.75" customHeight="1">
      <c r="A565" s="339"/>
      <c r="B565" s="339"/>
      <c r="C565" s="339"/>
      <c r="D565" s="339"/>
      <c r="E565" s="339"/>
      <c r="F565" s="339"/>
      <c r="G565" s="339"/>
      <c r="H565" s="339"/>
      <c r="I565" s="591"/>
      <c r="J565" s="341"/>
      <c r="K565" s="591"/>
      <c r="L565" s="339"/>
      <c r="M565" s="339"/>
      <c r="N565" s="339"/>
      <c r="O565" s="339"/>
      <c r="P565" s="339"/>
      <c r="Q565" s="339"/>
      <c r="R565" s="339"/>
      <c r="S565" s="339"/>
      <c r="T565" s="339"/>
      <c r="U565" s="339"/>
      <c r="V565" s="339"/>
      <c r="W565" s="339"/>
      <c r="X565" s="339"/>
      <c r="Y565" s="339"/>
    </row>
    <row r="566" spans="1:25" ht="15.75" customHeight="1">
      <c r="A566" s="339"/>
      <c r="B566" s="339"/>
      <c r="C566" s="339"/>
      <c r="D566" s="339"/>
      <c r="E566" s="339"/>
      <c r="F566" s="339"/>
      <c r="G566" s="339"/>
      <c r="H566" s="339"/>
      <c r="I566" s="591"/>
      <c r="J566" s="341"/>
      <c r="K566" s="591"/>
      <c r="L566" s="339"/>
      <c r="M566" s="339"/>
      <c r="N566" s="339"/>
      <c r="O566" s="339"/>
      <c r="P566" s="339"/>
      <c r="Q566" s="339"/>
      <c r="R566" s="339"/>
      <c r="S566" s="339"/>
      <c r="T566" s="339"/>
      <c r="U566" s="339"/>
      <c r="V566" s="339"/>
      <c r="W566" s="339"/>
      <c r="X566" s="339"/>
      <c r="Y566" s="339"/>
    </row>
    <row r="567" spans="1:25" ht="15.75" customHeight="1">
      <c r="A567" s="339"/>
      <c r="B567" s="339"/>
      <c r="C567" s="339"/>
      <c r="D567" s="339"/>
      <c r="E567" s="339"/>
      <c r="F567" s="339"/>
      <c r="G567" s="339"/>
      <c r="H567" s="339"/>
      <c r="I567" s="591"/>
      <c r="J567" s="341"/>
      <c r="K567" s="591"/>
      <c r="L567" s="339"/>
      <c r="M567" s="339"/>
      <c r="N567" s="339"/>
      <c r="O567" s="339"/>
      <c r="P567" s="339"/>
      <c r="Q567" s="339"/>
      <c r="R567" s="339"/>
      <c r="S567" s="339"/>
      <c r="T567" s="339"/>
      <c r="U567" s="339"/>
      <c r="V567" s="339"/>
      <c r="W567" s="339"/>
      <c r="X567" s="339"/>
      <c r="Y567" s="339"/>
    </row>
    <row r="568" spans="1:25" ht="15.75" customHeight="1">
      <c r="A568" s="339"/>
      <c r="B568" s="339"/>
      <c r="C568" s="339"/>
      <c r="D568" s="339"/>
      <c r="E568" s="339"/>
      <c r="F568" s="339"/>
      <c r="G568" s="339"/>
      <c r="H568" s="339"/>
      <c r="I568" s="591"/>
      <c r="J568" s="341"/>
      <c r="K568" s="591"/>
      <c r="L568" s="339"/>
      <c r="M568" s="339"/>
      <c r="N568" s="339"/>
      <c r="O568" s="339"/>
      <c r="P568" s="339"/>
      <c r="Q568" s="339"/>
      <c r="R568" s="339"/>
      <c r="S568" s="339"/>
      <c r="T568" s="339"/>
      <c r="U568" s="339"/>
      <c r="V568" s="339"/>
      <c r="W568" s="339"/>
      <c r="X568" s="339"/>
      <c r="Y568" s="339"/>
    </row>
    <row r="569" spans="1:25" ht="15.75" customHeight="1">
      <c r="A569" s="339"/>
      <c r="B569" s="339"/>
      <c r="C569" s="339"/>
      <c r="D569" s="339"/>
      <c r="E569" s="339"/>
      <c r="F569" s="339"/>
      <c r="G569" s="339"/>
      <c r="H569" s="339"/>
      <c r="I569" s="591"/>
      <c r="J569" s="341"/>
      <c r="K569" s="591"/>
      <c r="L569" s="339"/>
      <c r="M569" s="339"/>
      <c r="N569" s="339"/>
      <c r="O569" s="339"/>
      <c r="P569" s="339"/>
      <c r="Q569" s="339"/>
      <c r="R569" s="339"/>
      <c r="S569" s="339"/>
      <c r="T569" s="339"/>
      <c r="U569" s="339"/>
      <c r="V569" s="339"/>
      <c r="W569" s="339"/>
      <c r="X569" s="339"/>
      <c r="Y569" s="339"/>
    </row>
    <row r="570" spans="1:25" ht="15.75" customHeight="1">
      <c r="A570" s="339"/>
      <c r="B570" s="339"/>
      <c r="C570" s="339"/>
      <c r="D570" s="339"/>
      <c r="E570" s="339"/>
      <c r="F570" s="339"/>
      <c r="G570" s="339"/>
      <c r="H570" s="339"/>
      <c r="I570" s="591"/>
      <c r="J570" s="341"/>
      <c r="K570" s="591"/>
      <c r="L570" s="339"/>
      <c r="M570" s="339"/>
      <c r="N570" s="339"/>
      <c r="O570" s="339"/>
      <c r="P570" s="339"/>
      <c r="Q570" s="339"/>
      <c r="R570" s="339"/>
      <c r="S570" s="339"/>
      <c r="T570" s="339"/>
      <c r="U570" s="339"/>
      <c r="V570" s="339"/>
      <c r="W570" s="339"/>
      <c r="X570" s="339"/>
      <c r="Y570" s="339"/>
    </row>
    <row r="571" spans="1:25" ht="15.75" customHeight="1">
      <c r="A571" s="339"/>
      <c r="B571" s="339"/>
      <c r="C571" s="339"/>
      <c r="D571" s="339"/>
      <c r="E571" s="339"/>
      <c r="F571" s="339"/>
      <c r="G571" s="339"/>
      <c r="H571" s="339"/>
      <c r="I571" s="591"/>
      <c r="J571" s="341"/>
      <c r="K571" s="591"/>
      <c r="L571" s="339"/>
      <c r="M571" s="339"/>
      <c r="N571" s="339"/>
      <c r="O571" s="339"/>
      <c r="P571" s="339"/>
      <c r="Q571" s="339"/>
      <c r="R571" s="339"/>
      <c r="S571" s="339"/>
      <c r="T571" s="339"/>
      <c r="U571" s="339"/>
      <c r="V571" s="339"/>
      <c r="W571" s="339"/>
      <c r="X571" s="339"/>
      <c r="Y571" s="339"/>
    </row>
    <row r="572" spans="1:25" ht="15.75" customHeight="1">
      <c r="A572" s="339"/>
      <c r="B572" s="339"/>
      <c r="C572" s="339"/>
      <c r="D572" s="339"/>
      <c r="E572" s="339"/>
      <c r="F572" s="339"/>
      <c r="G572" s="339"/>
      <c r="H572" s="339"/>
      <c r="I572" s="591"/>
      <c r="J572" s="341"/>
      <c r="K572" s="591"/>
      <c r="L572" s="339"/>
      <c r="M572" s="339"/>
      <c r="N572" s="339"/>
      <c r="O572" s="339"/>
      <c r="P572" s="339"/>
      <c r="Q572" s="339"/>
      <c r="R572" s="339"/>
      <c r="S572" s="339"/>
      <c r="T572" s="339"/>
      <c r="U572" s="339"/>
      <c r="V572" s="339"/>
      <c r="W572" s="339"/>
      <c r="X572" s="339"/>
      <c r="Y572" s="339"/>
    </row>
    <row r="573" spans="1:25" ht="15.75" customHeight="1">
      <c r="A573" s="339"/>
      <c r="B573" s="339"/>
      <c r="C573" s="339"/>
      <c r="D573" s="339"/>
      <c r="E573" s="339"/>
      <c r="F573" s="339"/>
      <c r="G573" s="339"/>
      <c r="H573" s="339"/>
      <c r="I573" s="591"/>
      <c r="J573" s="341"/>
      <c r="K573" s="591"/>
      <c r="L573" s="339"/>
      <c r="M573" s="339"/>
      <c r="N573" s="339"/>
      <c r="O573" s="339"/>
      <c r="P573" s="339"/>
      <c r="Q573" s="339"/>
      <c r="R573" s="339"/>
      <c r="S573" s="339"/>
      <c r="T573" s="339"/>
      <c r="U573" s="339"/>
      <c r="V573" s="339"/>
      <c r="W573" s="339"/>
      <c r="X573" s="339"/>
      <c r="Y573" s="339"/>
    </row>
    <row r="574" spans="1:25" ht="15.75" customHeight="1">
      <c r="A574" s="339"/>
      <c r="B574" s="339"/>
      <c r="C574" s="339"/>
      <c r="D574" s="339"/>
      <c r="E574" s="339"/>
      <c r="F574" s="339"/>
      <c r="G574" s="339"/>
      <c r="H574" s="339"/>
      <c r="I574" s="591"/>
      <c r="J574" s="341"/>
      <c r="K574" s="591"/>
      <c r="L574" s="339"/>
      <c r="M574" s="339"/>
      <c r="N574" s="339"/>
      <c r="O574" s="339"/>
      <c r="P574" s="339"/>
      <c r="Q574" s="339"/>
      <c r="R574" s="339"/>
      <c r="S574" s="339"/>
      <c r="T574" s="339"/>
      <c r="U574" s="339"/>
      <c r="V574" s="339"/>
      <c r="W574" s="339"/>
      <c r="X574" s="339"/>
      <c r="Y574" s="339"/>
    </row>
    <row r="575" spans="1:25" ht="15.75" customHeight="1">
      <c r="A575" s="339"/>
      <c r="B575" s="339"/>
      <c r="C575" s="339"/>
      <c r="D575" s="339"/>
      <c r="E575" s="339"/>
      <c r="F575" s="339"/>
      <c r="G575" s="339"/>
      <c r="H575" s="339"/>
      <c r="I575" s="591"/>
      <c r="J575" s="341"/>
      <c r="K575" s="591"/>
      <c r="L575" s="339"/>
      <c r="M575" s="339"/>
      <c r="N575" s="339"/>
      <c r="O575" s="339"/>
      <c r="P575" s="339"/>
      <c r="Q575" s="339"/>
      <c r="R575" s="339"/>
      <c r="S575" s="339"/>
      <c r="T575" s="339"/>
      <c r="U575" s="339"/>
      <c r="V575" s="339"/>
      <c r="W575" s="339"/>
      <c r="X575" s="339"/>
      <c r="Y575" s="339"/>
    </row>
    <row r="576" spans="1:25" ht="15.75" customHeight="1">
      <c r="A576" s="339"/>
      <c r="B576" s="339"/>
      <c r="C576" s="339"/>
      <c r="D576" s="339"/>
      <c r="E576" s="339"/>
      <c r="F576" s="339"/>
      <c r="G576" s="339"/>
      <c r="H576" s="339"/>
      <c r="I576" s="591"/>
      <c r="J576" s="341"/>
      <c r="K576" s="591"/>
      <c r="L576" s="339"/>
      <c r="M576" s="339"/>
      <c r="N576" s="339"/>
      <c r="O576" s="339"/>
      <c r="P576" s="339"/>
      <c r="Q576" s="339"/>
      <c r="R576" s="339"/>
      <c r="S576" s="339"/>
      <c r="T576" s="339"/>
      <c r="U576" s="339"/>
      <c r="V576" s="339"/>
      <c r="W576" s="339"/>
      <c r="X576" s="339"/>
      <c r="Y576" s="339"/>
    </row>
    <row r="577" spans="1:25" ht="15.75" customHeight="1">
      <c r="A577" s="339"/>
      <c r="B577" s="339"/>
      <c r="C577" s="339"/>
      <c r="D577" s="339"/>
      <c r="E577" s="339"/>
      <c r="F577" s="339"/>
      <c r="G577" s="339"/>
      <c r="H577" s="339"/>
      <c r="I577" s="591"/>
      <c r="J577" s="341"/>
      <c r="K577" s="591"/>
      <c r="L577" s="339"/>
      <c r="M577" s="339"/>
      <c r="N577" s="339"/>
      <c r="O577" s="339"/>
      <c r="P577" s="339"/>
      <c r="Q577" s="339"/>
      <c r="R577" s="339"/>
      <c r="S577" s="339"/>
      <c r="T577" s="339"/>
      <c r="U577" s="339"/>
      <c r="V577" s="339"/>
      <c r="W577" s="339"/>
      <c r="X577" s="339"/>
      <c r="Y577" s="339"/>
    </row>
    <row r="578" spans="1:25" ht="15.75" customHeight="1">
      <c r="A578" s="339"/>
      <c r="B578" s="339"/>
      <c r="C578" s="339"/>
      <c r="D578" s="339"/>
      <c r="E578" s="339"/>
      <c r="F578" s="339"/>
      <c r="G578" s="339"/>
      <c r="H578" s="339"/>
      <c r="I578" s="591"/>
      <c r="J578" s="341"/>
      <c r="K578" s="591"/>
      <c r="L578" s="339"/>
      <c r="M578" s="339"/>
      <c r="N578" s="339"/>
      <c r="O578" s="339"/>
      <c r="P578" s="339"/>
      <c r="Q578" s="339"/>
      <c r="R578" s="339"/>
      <c r="S578" s="339"/>
      <c r="T578" s="339"/>
      <c r="U578" s="339"/>
      <c r="V578" s="339"/>
      <c r="W578" s="339"/>
      <c r="X578" s="339"/>
      <c r="Y578" s="339"/>
    </row>
    <row r="579" spans="1:25" ht="15.75" customHeight="1">
      <c r="A579" s="339"/>
      <c r="B579" s="339"/>
      <c r="C579" s="339"/>
      <c r="D579" s="339"/>
      <c r="E579" s="339"/>
      <c r="F579" s="339"/>
      <c r="G579" s="339"/>
      <c r="H579" s="339"/>
      <c r="I579" s="591"/>
      <c r="J579" s="341"/>
      <c r="K579" s="591"/>
      <c r="L579" s="339"/>
      <c r="M579" s="339"/>
      <c r="N579" s="339"/>
      <c r="O579" s="339"/>
      <c r="P579" s="339"/>
      <c r="Q579" s="339"/>
      <c r="R579" s="339"/>
      <c r="S579" s="339"/>
      <c r="T579" s="339"/>
      <c r="U579" s="339"/>
      <c r="V579" s="339"/>
      <c r="W579" s="339"/>
      <c r="X579" s="339"/>
      <c r="Y579" s="339"/>
    </row>
    <row r="580" spans="1:25" ht="15.75" customHeight="1">
      <c r="A580" s="339"/>
      <c r="B580" s="339"/>
      <c r="C580" s="339"/>
      <c r="D580" s="339"/>
      <c r="E580" s="339"/>
      <c r="F580" s="339"/>
      <c r="G580" s="339"/>
      <c r="H580" s="339"/>
      <c r="I580" s="591"/>
      <c r="J580" s="341"/>
      <c r="K580" s="591"/>
      <c r="L580" s="339"/>
      <c r="M580" s="339"/>
      <c r="N580" s="339"/>
      <c r="O580" s="339"/>
      <c r="P580" s="339"/>
      <c r="Q580" s="339"/>
      <c r="R580" s="339"/>
      <c r="S580" s="339"/>
      <c r="T580" s="339"/>
      <c r="U580" s="339"/>
      <c r="V580" s="339"/>
      <c r="W580" s="339"/>
      <c r="X580" s="339"/>
      <c r="Y580" s="339"/>
    </row>
    <row r="581" spans="1:25" ht="15.75" customHeight="1">
      <c r="A581" s="339"/>
      <c r="B581" s="339"/>
      <c r="C581" s="339"/>
      <c r="D581" s="339"/>
      <c r="E581" s="339"/>
      <c r="F581" s="339"/>
      <c r="G581" s="339"/>
      <c r="H581" s="339"/>
      <c r="I581" s="591"/>
      <c r="J581" s="341"/>
      <c r="K581" s="591"/>
      <c r="L581" s="339"/>
      <c r="M581" s="339"/>
      <c r="N581" s="339"/>
      <c r="O581" s="339"/>
      <c r="P581" s="339"/>
      <c r="Q581" s="339"/>
      <c r="R581" s="339"/>
      <c r="S581" s="339"/>
      <c r="T581" s="339"/>
      <c r="U581" s="339"/>
      <c r="V581" s="339"/>
      <c r="W581" s="339"/>
      <c r="X581" s="339"/>
      <c r="Y581" s="339"/>
    </row>
    <row r="582" spans="1:25" ht="15.75" customHeight="1">
      <c r="A582" s="339"/>
      <c r="B582" s="339"/>
      <c r="C582" s="339"/>
      <c r="D582" s="339"/>
      <c r="E582" s="339"/>
      <c r="F582" s="339"/>
      <c r="G582" s="339"/>
      <c r="H582" s="339"/>
      <c r="I582" s="591"/>
      <c r="J582" s="341"/>
      <c r="K582" s="591"/>
      <c r="L582" s="339"/>
      <c r="M582" s="339"/>
      <c r="N582" s="339"/>
      <c r="O582" s="339"/>
      <c r="P582" s="339"/>
      <c r="Q582" s="339"/>
      <c r="R582" s="339"/>
      <c r="S582" s="339"/>
      <c r="T582" s="339"/>
      <c r="U582" s="339"/>
      <c r="V582" s="339"/>
      <c r="W582" s="339"/>
      <c r="X582" s="339"/>
      <c r="Y582" s="339"/>
    </row>
    <row r="583" spans="1:25" ht="15.75" customHeight="1">
      <c r="A583" s="339"/>
      <c r="B583" s="339"/>
      <c r="C583" s="339"/>
      <c r="D583" s="339"/>
      <c r="E583" s="339"/>
      <c r="F583" s="339"/>
      <c r="G583" s="339"/>
      <c r="H583" s="339"/>
      <c r="I583" s="591"/>
      <c r="J583" s="341"/>
      <c r="K583" s="591"/>
      <c r="L583" s="339"/>
      <c r="M583" s="339"/>
      <c r="N583" s="339"/>
      <c r="O583" s="339"/>
      <c r="P583" s="339"/>
      <c r="Q583" s="339"/>
      <c r="R583" s="339"/>
      <c r="S583" s="339"/>
      <c r="T583" s="339"/>
      <c r="U583" s="339"/>
      <c r="V583" s="339"/>
      <c r="W583" s="339"/>
      <c r="X583" s="339"/>
      <c r="Y583" s="339"/>
    </row>
    <row r="584" spans="1:25" ht="15.75" customHeight="1">
      <c r="A584" s="339"/>
      <c r="B584" s="339"/>
      <c r="C584" s="339"/>
      <c r="D584" s="339"/>
      <c r="E584" s="339"/>
      <c r="F584" s="339"/>
      <c r="G584" s="339"/>
      <c r="H584" s="339"/>
      <c r="I584" s="591"/>
      <c r="J584" s="341"/>
      <c r="K584" s="591"/>
      <c r="L584" s="339"/>
      <c r="M584" s="339"/>
      <c r="N584" s="339"/>
      <c r="O584" s="339"/>
      <c r="P584" s="339"/>
      <c r="Q584" s="339"/>
      <c r="R584" s="339"/>
      <c r="S584" s="339"/>
      <c r="T584" s="339"/>
      <c r="U584" s="339"/>
      <c r="V584" s="339"/>
      <c r="W584" s="339"/>
      <c r="X584" s="339"/>
      <c r="Y584" s="339"/>
    </row>
    <row r="585" spans="1:25" ht="15.75" customHeight="1">
      <c r="A585" s="339"/>
      <c r="B585" s="339"/>
      <c r="C585" s="339"/>
      <c r="D585" s="339"/>
      <c r="E585" s="339"/>
      <c r="F585" s="339"/>
      <c r="G585" s="339"/>
      <c r="H585" s="339"/>
      <c r="I585" s="591"/>
      <c r="J585" s="341"/>
      <c r="K585" s="591"/>
      <c r="L585" s="339"/>
      <c r="M585" s="339"/>
      <c r="N585" s="339"/>
      <c r="O585" s="339"/>
      <c r="P585" s="339"/>
      <c r="Q585" s="339"/>
      <c r="R585" s="339"/>
      <c r="S585" s="339"/>
      <c r="T585" s="339"/>
      <c r="U585" s="339"/>
      <c r="V585" s="339"/>
      <c r="W585" s="339"/>
      <c r="X585" s="339"/>
      <c r="Y585" s="339"/>
    </row>
    <row r="586" spans="1:25" ht="15.75" customHeight="1">
      <c r="A586" s="339"/>
      <c r="B586" s="339"/>
      <c r="C586" s="339"/>
      <c r="D586" s="339"/>
      <c r="E586" s="339"/>
      <c r="F586" s="339"/>
      <c r="G586" s="339"/>
      <c r="H586" s="339"/>
      <c r="I586" s="591"/>
      <c r="J586" s="341"/>
      <c r="K586" s="591"/>
      <c r="L586" s="339"/>
      <c r="M586" s="339"/>
      <c r="N586" s="339"/>
      <c r="O586" s="339"/>
      <c r="P586" s="339"/>
      <c r="Q586" s="339"/>
      <c r="R586" s="339"/>
      <c r="S586" s="339"/>
      <c r="T586" s="339"/>
      <c r="U586" s="339"/>
      <c r="V586" s="339"/>
      <c r="W586" s="339"/>
      <c r="X586" s="339"/>
      <c r="Y586" s="339"/>
    </row>
    <row r="587" spans="1:25" ht="15.75" customHeight="1">
      <c r="A587" s="339"/>
      <c r="B587" s="339"/>
      <c r="C587" s="339"/>
      <c r="D587" s="339"/>
      <c r="E587" s="339"/>
      <c r="F587" s="339"/>
      <c r="G587" s="339"/>
      <c r="H587" s="339"/>
      <c r="I587" s="591"/>
      <c r="J587" s="341"/>
      <c r="K587" s="591"/>
      <c r="L587" s="339"/>
      <c r="M587" s="339"/>
      <c r="N587" s="339"/>
      <c r="O587" s="339"/>
      <c r="P587" s="339"/>
      <c r="Q587" s="339"/>
      <c r="R587" s="339"/>
      <c r="S587" s="339"/>
      <c r="T587" s="339"/>
      <c r="U587" s="339"/>
      <c r="V587" s="339"/>
      <c r="W587" s="339"/>
      <c r="X587" s="339"/>
      <c r="Y587" s="339"/>
    </row>
    <row r="588" spans="1:25" ht="15.75" customHeight="1">
      <c r="A588" s="339"/>
      <c r="B588" s="339"/>
      <c r="C588" s="339"/>
      <c r="D588" s="339"/>
      <c r="E588" s="339"/>
      <c r="F588" s="339"/>
      <c r="G588" s="339"/>
      <c r="H588" s="339"/>
      <c r="I588" s="591"/>
      <c r="J588" s="341"/>
      <c r="K588" s="591"/>
      <c r="L588" s="339"/>
      <c r="M588" s="339"/>
      <c r="N588" s="339"/>
      <c r="O588" s="339"/>
      <c r="P588" s="339"/>
      <c r="Q588" s="339"/>
      <c r="R588" s="339"/>
      <c r="S588" s="339"/>
      <c r="T588" s="339"/>
      <c r="U588" s="339"/>
      <c r="V588" s="339"/>
      <c r="W588" s="339"/>
      <c r="X588" s="339"/>
      <c r="Y588" s="339"/>
    </row>
    <row r="589" spans="1:25" ht="15.75" customHeight="1">
      <c r="A589" s="339"/>
      <c r="B589" s="339"/>
      <c r="C589" s="339"/>
      <c r="D589" s="339"/>
      <c r="E589" s="339"/>
      <c r="F589" s="339"/>
      <c r="G589" s="339"/>
      <c r="H589" s="339"/>
      <c r="I589" s="591"/>
      <c r="J589" s="341"/>
      <c r="K589" s="591"/>
      <c r="L589" s="339"/>
      <c r="M589" s="339"/>
      <c r="N589" s="339"/>
      <c r="O589" s="339"/>
      <c r="P589" s="339"/>
      <c r="Q589" s="339"/>
      <c r="R589" s="339"/>
      <c r="S589" s="339"/>
      <c r="T589" s="339"/>
      <c r="U589" s="339"/>
      <c r="V589" s="339"/>
      <c r="W589" s="339"/>
      <c r="X589" s="339"/>
      <c r="Y589" s="339"/>
    </row>
    <row r="590" spans="1:25" ht="15.75" customHeight="1">
      <c r="A590" s="339"/>
      <c r="B590" s="339"/>
      <c r="C590" s="339"/>
      <c r="D590" s="339"/>
      <c r="E590" s="339"/>
      <c r="F590" s="339"/>
      <c r="G590" s="339"/>
      <c r="H590" s="339"/>
      <c r="I590" s="591"/>
      <c r="J590" s="341"/>
      <c r="K590" s="591"/>
      <c r="L590" s="339"/>
      <c r="M590" s="339"/>
      <c r="N590" s="339"/>
      <c r="O590" s="339"/>
      <c r="P590" s="339"/>
      <c r="Q590" s="339"/>
      <c r="R590" s="339"/>
      <c r="S590" s="339"/>
      <c r="T590" s="339"/>
      <c r="U590" s="339"/>
      <c r="V590" s="339"/>
      <c r="W590" s="339"/>
      <c r="X590" s="339"/>
      <c r="Y590" s="339"/>
    </row>
    <row r="591" spans="1:25" ht="15.75" customHeight="1">
      <c r="A591" s="339"/>
      <c r="B591" s="339"/>
      <c r="C591" s="339"/>
      <c r="D591" s="339"/>
      <c r="E591" s="339"/>
      <c r="F591" s="339"/>
      <c r="G591" s="339"/>
      <c r="H591" s="339"/>
      <c r="I591" s="591"/>
      <c r="J591" s="341"/>
      <c r="K591" s="591"/>
      <c r="L591" s="339"/>
      <c r="M591" s="339"/>
      <c r="N591" s="339"/>
      <c r="O591" s="339"/>
      <c r="P591" s="339"/>
      <c r="Q591" s="339"/>
      <c r="R591" s="339"/>
      <c r="S591" s="339"/>
      <c r="T591" s="339"/>
      <c r="U591" s="339"/>
      <c r="V591" s="339"/>
      <c r="W591" s="339"/>
      <c r="X591" s="339"/>
      <c r="Y591" s="339"/>
    </row>
    <row r="592" spans="1:25" ht="15.75" customHeight="1">
      <c r="A592" s="339"/>
      <c r="B592" s="339"/>
      <c r="C592" s="339"/>
      <c r="D592" s="339"/>
      <c r="E592" s="339"/>
      <c r="F592" s="339"/>
      <c r="G592" s="339"/>
      <c r="H592" s="339"/>
      <c r="I592" s="591"/>
      <c r="J592" s="341"/>
      <c r="K592" s="591"/>
      <c r="L592" s="339"/>
      <c r="M592" s="339"/>
      <c r="N592" s="339"/>
      <c r="O592" s="339"/>
      <c r="P592" s="339"/>
      <c r="Q592" s="339"/>
      <c r="R592" s="339"/>
      <c r="S592" s="339"/>
      <c r="T592" s="339"/>
      <c r="U592" s="339"/>
      <c r="V592" s="339"/>
      <c r="W592" s="339"/>
      <c r="X592" s="339"/>
      <c r="Y592" s="339"/>
    </row>
    <row r="593" spans="1:25" ht="15.75" customHeight="1">
      <c r="A593" s="339"/>
      <c r="B593" s="339"/>
      <c r="C593" s="339"/>
      <c r="D593" s="339"/>
      <c r="E593" s="339"/>
      <c r="F593" s="339"/>
      <c r="G593" s="339"/>
      <c r="H593" s="339"/>
      <c r="I593" s="591"/>
      <c r="J593" s="341"/>
      <c r="K593" s="591"/>
      <c r="L593" s="339"/>
      <c r="M593" s="339"/>
      <c r="N593" s="339"/>
      <c r="O593" s="339"/>
      <c r="P593" s="339"/>
      <c r="Q593" s="339"/>
      <c r="R593" s="339"/>
      <c r="S593" s="339"/>
      <c r="T593" s="339"/>
      <c r="U593" s="339"/>
      <c r="V593" s="339"/>
      <c r="W593" s="339"/>
      <c r="X593" s="339"/>
      <c r="Y593" s="339"/>
    </row>
    <row r="594" spans="1:25" ht="15.75" customHeight="1">
      <c r="A594" s="339"/>
      <c r="B594" s="339"/>
      <c r="C594" s="339"/>
      <c r="D594" s="339"/>
      <c r="E594" s="339"/>
      <c r="F594" s="339"/>
      <c r="G594" s="339"/>
      <c r="H594" s="339"/>
      <c r="I594" s="591"/>
      <c r="J594" s="341"/>
      <c r="K594" s="591"/>
      <c r="L594" s="339"/>
      <c r="M594" s="339"/>
      <c r="N594" s="339"/>
      <c r="O594" s="339"/>
      <c r="P594" s="339"/>
      <c r="Q594" s="339"/>
      <c r="R594" s="339"/>
      <c r="S594" s="339"/>
      <c r="T594" s="339"/>
      <c r="U594" s="339"/>
      <c r="V594" s="339"/>
      <c r="W594" s="339"/>
      <c r="X594" s="339"/>
      <c r="Y594" s="339"/>
    </row>
    <row r="595" spans="1:25" ht="15.75" customHeight="1">
      <c r="A595" s="339"/>
      <c r="B595" s="339"/>
      <c r="C595" s="339"/>
      <c r="D595" s="339"/>
      <c r="E595" s="339"/>
      <c r="F595" s="339"/>
      <c r="G595" s="339"/>
      <c r="H595" s="339"/>
      <c r="I595" s="591"/>
      <c r="J595" s="341"/>
      <c r="K595" s="591"/>
      <c r="L595" s="339"/>
      <c r="M595" s="339"/>
      <c r="N595" s="339"/>
      <c r="O595" s="339"/>
      <c r="P595" s="339"/>
      <c r="Q595" s="339"/>
      <c r="R595" s="339"/>
      <c r="S595" s="339"/>
      <c r="T595" s="339"/>
      <c r="U595" s="339"/>
      <c r="V595" s="339"/>
      <c r="W595" s="339"/>
      <c r="X595" s="339"/>
      <c r="Y595" s="339"/>
    </row>
    <row r="596" spans="1:25" ht="15.75" customHeight="1">
      <c r="A596" s="339"/>
      <c r="B596" s="339"/>
      <c r="C596" s="339"/>
      <c r="D596" s="339"/>
      <c r="E596" s="339"/>
      <c r="F596" s="339"/>
      <c r="G596" s="339"/>
      <c r="H596" s="339"/>
      <c r="I596" s="591"/>
      <c r="J596" s="341"/>
      <c r="K596" s="591"/>
      <c r="L596" s="339"/>
      <c r="M596" s="339"/>
      <c r="N596" s="339"/>
      <c r="O596" s="339"/>
      <c r="P596" s="339"/>
      <c r="Q596" s="339"/>
      <c r="R596" s="339"/>
      <c r="S596" s="339"/>
      <c r="T596" s="339"/>
      <c r="U596" s="339"/>
      <c r="V596" s="339"/>
      <c r="W596" s="339"/>
      <c r="X596" s="339"/>
      <c r="Y596" s="339"/>
    </row>
    <row r="597" spans="1:25" ht="15.75" customHeight="1">
      <c r="A597" s="339"/>
      <c r="B597" s="339"/>
      <c r="C597" s="339"/>
      <c r="D597" s="339"/>
      <c r="E597" s="339"/>
      <c r="F597" s="339"/>
      <c r="G597" s="339"/>
      <c r="H597" s="339"/>
      <c r="I597" s="591"/>
      <c r="J597" s="341"/>
      <c r="K597" s="591"/>
      <c r="L597" s="339"/>
      <c r="M597" s="339"/>
      <c r="N597" s="339"/>
      <c r="O597" s="339"/>
      <c r="P597" s="339"/>
      <c r="Q597" s="339"/>
      <c r="R597" s="339"/>
      <c r="S597" s="339"/>
      <c r="T597" s="339"/>
      <c r="U597" s="339"/>
      <c r="V597" s="339"/>
      <c r="W597" s="339"/>
      <c r="X597" s="339"/>
      <c r="Y597" s="339"/>
    </row>
    <row r="598" spans="1:25" ht="15.75" customHeight="1">
      <c r="A598" s="339"/>
      <c r="B598" s="339"/>
      <c r="C598" s="339"/>
      <c r="D598" s="339"/>
      <c r="E598" s="339"/>
      <c r="F598" s="339"/>
      <c r="G598" s="339"/>
      <c r="H598" s="339"/>
      <c r="I598" s="591"/>
      <c r="J598" s="341"/>
      <c r="K598" s="591"/>
      <c r="L598" s="339"/>
      <c r="M598" s="339"/>
      <c r="N598" s="339"/>
      <c r="O598" s="339"/>
      <c r="P598" s="339"/>
      <c r="Q598" s="339"/>
      <c r="R598" s="339"/>
      <c r="S598" s="339"/>
      <c r="T598" s="339"/>
      <c r="U598" s="339"/>
      <c r="V598" s="339"/>
      <c r="W598" s="339"/>
      <c r="X598" s="339"/>
      <c r="Y598" s="339"/>
    </row>
    <row r="599" spans="1:25" ht="15.75" customHeight="1">
      <c r="A599" s="339"/>
      <c r="B599" s="339"/>
      <c r="C599" s="339"/>
      <c r="D599" s="339"/>
      <c r="E599" s="339"/>
      <c r="F599" s="339"/>
      <c r="G599" s="339"/>
      <c r="H599" s="339"/>
      <c r="I599" s="591"/>
      <c r="J599" s="341"/>
      <c r="K599" s="591"/>
      <c r="L599" s="339"/>
      <c r="M599" s="339"/>
      <c r="N599" s="339"/>
      <c r="O599" s="339"/>
      <c r="P599" s="339"/>
      <c r="Q599" s="339"/>
      <c r="R599" s="339"/>
      <c r="S599" s="339"/>
      <c r="T599" s="339"/>
      <c r="U599" s="339"/>
      <c r="V599" s="339"/>
      <c r="W599" s="339"/>
      <c r="X599" s="339"/>
      <c r="Y599" s="339"/>
    </row>
    <row r="600" spans="1:25" ht="15.75" customHeight="1">
      <c r="A600" s="339"/>
      <c r="B600" s="339"/>
      <c r="C600" s="339"/>
      <c r="D600" s="339"/>
      <c r="E600" s="339"/>
      <c r="F600" s="339"/>
      <c r="G600" s="339"/>
      <c r="H600" s="339"/>
      <c r="I600" s="591"/>
      <c r="J600" s="341"/>
      <c r="K600" s="591"/>
      <c r="L600" s="339"/>
      <c r="M600" s="339"/>
      <c r="N600" s="339"/>
      <c r="O600" s="339"/>
      <c r="P600" s="339"/>
      <c r="Q600" s="339"/>
      <c r="R600" s="339"/>
      <c r="S600" s="339"/>
      <c r="T600" s="339"/>
      <c r="U600" s="339"/>
      <c r="V600" s="339"/>
      <c r="W600" s="339"/>
      <c r="X600" s="339"/>
      <c r="Y600" s="339"/>
    </row>
    <row r="601" spans="1:25" ht="15.75" customHeight="1">
      <c r="A601" s="339"/>
      <c r="B601" s="339"/>
      <c r="C601" s="339"/>
      <c r="D601" s="339"/>
      <c r="E601" s="339"/>
      <c r="F601" s="339"/>
      <c r="G601" s="339"/>
      <c r="H601" s="339"/>
      <c r="I601" s="591"/>
      <c r="J601" s="341"/>
      <c r="K601" s="591"/>
      <c r="L601" s="339"/>
      <c r="M601" s="339"/>
      <c r="N601" s="339"/>
      <c r="O601" s="339"/>
      <c r="P601" s="339"/>
      <c r="Q601" s="339"/>
      <c r="R601" s="339"/>
      <c r="S601" s="339"/>
      <c r="T601" s="339"/>
      <c r="U601" s="339"/>
      <c r="V601" s="339"/>
      <c r="W601" s="339"/>
      <c r="X601" s="339"/>
      <c r="Y601" s="339"/>
    </row>
    <row r="602" spans="1:25" ht="15.75" customHeight="1">
      <c r="A602" s="339"/>
      <c r="B602" s="339"/>
      <c r="C602" s="339"/>
      <c r="D602" s="339"/>
      <c r="E602" s="339"/>
      <c r="F602" s="339"/>
      <c r="G602" s="339"/>
      <c r="H602" s="339"/>
      <c r="I602" s="591"/>
      <c r="J602" s="341"/>
      <c r="K602" s="591"/>
      <c r="L602" s="339"/>
      <c r="M602" s="339"/>
      <c r="N602" s="339"/>
      <c r="O602" s="339"/>
      <c r="P602" s="339"/>
      <c r="Q602" s="339"/>
      <c r="R602" s="339"/>
      <c r="S602" s="339"/>
      <c r="T602" s="339"/>
      <c r="U602" s="339"/>
      <c r="V602" s="339"/>
      <c r="W602" s="339"/>
      <c r="X602" s="339"/>
      <c r="Y602" s="339"/>
    </row>
    <row r="603" spans="1:25" ht="15.75" customHeight="1">
      <c r="A603" s="339"/>
      <c r="B603" s="339"/>
      <c r="C603" s="339"/>
      <c r="D603" s="339"/>
      <c r="E603" s="339"/>
      <c r="F603" s="339"/>
      <c r="G603" s="339"/>
      <c r="H603" s="339"/>
      <c r="I603" s="591"/>
      <c r="J603" s="341"/>
      <c r="K603" s="591"/>
      <c r="L603" s="339"/>
      <c r="M603" s="339"/>
      <c r="N603" s="339"/>
      <c r="O603" s="339"/>
      <c r="P603" s="339"/>
      <c r="Q603" s="339"/>
      <c r="R603" s="339"/>
      <c r="S603" s="339"/>
      <c r="T603" s="339"/>
      <c r="U603" s="339"/>
      <c r="V603" s="339"/>
      <c r="W603" s="339"/>
      <c r="X603" s="339"/>
      <c r="Y603" s="339"/>
    </row>
    <row r="604" spans="1:25" ht="15.75" customHeight="1">
      <c r="A604" s="339"/>
      <c r="B604" s="339"/>
      <c r="C604" s="339"/>
      <c r="D604" s="339"/>
      <c r="E604" s="339"/>
      <c r="F604" s="339"/>
      <c r="G604" s="339"/>
      <c r="H604" s="339"/>
      <c r="I604" s="591"/>
      <c r="J604" s="341"/>
      <c r="K604" s="591"/>
      <c r="L604" s="339"/>
      <c r="M604" s="339"/>
      <c r="N604" s="339"/>
      <c r="O604" s="339"/>
      <c r="P604" s="339"/>
      <c r="Q604" s="339"/>
      <c r="R604" s="339"/>
      <c r="S604" s="339"/>
      <c r="T604" s="339"/>
      <c r="U604" s="339"/>
      <c r="V604" s="339"/>
      <c r="W604" s="339"/>
      <c r="X604" s="339"/>
      <c r="Y604" s="339"/>
    </row>
    <row r="605" spans="1:25" ht="15.75" customHeight="1">
      <c r="A605" s="339"/>
      <c r="B605" s="339"/>
      <c r="C605" s="339"/>
      <c r="D605" s="339"/>
      <c r="E605" s="339"/>
      <c r="F605" s="339"/>
      <c r="G605" s="339"/>
      <c r="H605" s="339"/>
      <c r="I605" s="591"/>
      <c r="J605" s="341"/>
      <c r="K605" s="591"/>
      <c r="L605" s="339"/>
      <c r="M605" s="339"/>
      <c r="N605" s="339"/>
      <c r="O605" s="339"/>
      <c r="P605" s="339"/>
      <c r="Q605" s="339"/>
      <c r="R605" s="339"/>
      <c r="S605" s="339"/>
      <c r="T605" s="339"/>
      <c r="U605" s="339"/>
      <c r="V605" s="339"/>
      <c r="W605" s="339"/>
      <c r="X605" s="339"/>
      <c r="Y605" s="339"/>
    </row>
    <row r="606" spans="1:25" ht="15.75" customHeight="1">
      <c r="A606" s="339"/>
      <c r="B606" s="339"/>
      <c r="C606" s="339"/>
      <c r="D606" s="339"/>
      <c r="E606" s="339"/>
      <c r="F606" s="339"/>
      <c r="G606" s="339"/>
      <c r="H606" s="339"/>
      <c r="I606" s="591"/>
      <c r="J606" s="341"/>
      <c r="K606" s="591"/>
      <c r="L606" s="339"/>
      <c r="M606" s="339"/>
      <c r="N606" s="339"/>
      <c r="O606" s="339"/>
      <c r="P606" s="339"/>
      <c r="Q606" s="339"/>
      <c r="R606" s="339"/>
      <c r="S606" s="339"/>
      <c r="T606" s="339"/>
      <c r="U606" s="339"/>
      <c r="V606" s="339"/>
      <c r="W606" s="339"/>
      <c r="X606" s="339"/>
      <c r="Y606" s="339"/>
    </row>
    <row r="607" spans="1:25" ht="15.75" customHeight="1">
      <c r="A607" s="339"/>
      <c r="B607" s="339"/>
      <c r="C607" s="339"/>
      <c r="D607" s="339"/>
      <c r="E607" s="339"/>
      <c r="F607" s="339"/>
      <c r="G607" s="339"/>
      <c r="H607" s="339"/>
      <c r="I607" s="591"/>
      <c r="J607" s="341"/>
      <c r="K607" s="591"/>
      <c r="L607" s="339"/>
      <c r="M607" s="339"/>
      <c r="N607" s="339"/>
      <c r="O607" s="339"/>
      <c r="P607" s="339"/>
      <c r="Q607" s="339"/>
      <c r="R607" s="339"/>
      <c r="S607" s="339"/>
      <c r="T607" s="339"/>
      <c r="U607" s="339"/>
      <c r="V607" s="339"/>
      <c r="W607" s="339"/>
      <c r="X607" s="339"/>
      <c r="Y607" s="339"/>
    </row>
    <row r="608" spans="1:25" ht="15.75" customHeight="1">
      <c r="A608" s="339"/>
      <c r="B608" s="339"/>
      <c r="C608" s="339"/>
      <c r="D608" s="339"/>
      <c r="E608" s="339"/>
      <c r="F608" s="339"/>
      <c r="G608" s="339"/>
      <c r="H608" s="339"/>
      <c r="I608" s="591"/>
      <c r="J608" s="341"/>
      <c r="K608" s="591"/>
      <c r="L608" s="339"/>
      <c r="M608" s="339"/>
      <c r="N608" s="339"/>
      <c r="O608" s="339"/>
      <c r="P608" s="339"/>
      <c r="Q608" s="339"/>
      <c r="R608" s="339"/>
      <c r="S608" s="339"/>
      <c r="T608" s="339"/>
      <c r="U608" s="339"/>
      <c r="V608" s="339"/>
      <c r="W608" s="339"/>
      <c r="X608" s="339"/>
      <c r="Y608" s="339"/>
    </row>
    <row r="609" spans="1:25" ht="15.75" customHeight="1">
      <c r="A609" s="339"/>
      <c r="B609" s="339"/>
      <c r="C609" s="339"/>
      <c r="D609" s="339"/>
      <c r="E609" s="339"/>
      <c r="F609" s="339"/>
      <c r="G609" s="339"/>
      <c r="H609" s="339"/>
      <c r="I609" s="591"/>
      <c r="J609" s="341"/>
      <c r="K609" s="591"/>
      <c r="L609" s="339"/>
      <c r="M609" s="339"/>
      <c r="N609" s="339"/>
      <c r="O609" s="339"/>
      <c r="P609" s="339"/>
      <c r="Q609" s="339"/>
      <c r="R609" s="339"/>
      <c r="S609" s="339"/>
      <c r="T609" s="339"/>
      <c r="U609" s="339"/>
      <c r="V609" s="339"/>
      <c r="W609" s="339"/>
      <c r="X609" s="339"/>
      <c r="Y609" s="339"/>
    </row>
    <row r="610" spans="1:25" ht="15.75" customHeight="1">
      <c r="A610" s="339"/>
      <c r="B610" s="339"/>
      <c r="C610" s="339"/>
      <c r="D610" s="339"/>
      <c r="E610" s="339"/>
      <c r="F610" s="339"/>
      <c r="G610" s="339"/>
      <c r="H610" s="339"/>
      <c r="I610" s="591"/>
      <c r="J610" s="341"/>
      <c r="K610" s="591"/>
      <c r="L610" s="339"/>
      <c r="M610" s="339"/>
      <c r="N610" s="339"/>
      <c r="O610" s="339"/>
      <c r="P610" s="339"/>
      <c r="Q610" s="339"/>
      <c r="R610" s="339"/>
      <c r="S610" s="339"/>
      <c r="T610" s="339"/>
      <c r="U610" s="339"/>
      <c r="V610" s="339"/>
      <c r="W610" s="339"/>
      <c r="X610" s="339"/>
      <c r="Y610" s="339"/>
    </row>
    <row r="611" spans="1:25" ht="15.75" customHeight="1">
      <c r="A611" s="339"/>
      <c r="B611" s="339"/>
      <c r="C611" s="339"/>
      <c r="D611" s="339"/>
      <c r="E611" s="339"/>
      <c r="F611" s="339"/>
      <c r="G611" s="339"/>
      <c r="H611" s="339"/>
      <c r="I611" s="591"/>
      <c r="J611" s="341"/>
      <c r="K611" s="591"/>
      <c r="L611" s="339"/>
      <c r="M611" s="339"/>
      <c r="N611" s="339"/>
      <c r="O611" s="339"/>
      <c r="P611" s="339"/>
      <c r="Q611" s="339"/>
      <c r="R611" s="339"/>
      <c r="S611" s="339"/>
      <c r="T611" s="339"/>
      <c r="U611" s="339"/>
      <c r="V611" s="339"/>
      <c r="W611" s="339"/>
      <c r="X611" s="339"/>
      <c r="Y611" s="339"/>
    </row>
    <row r="612" spans="1:25" ht="15.75" customHeight="1">
      <c r="A612" s="339"/>
      <c r="B612" s="339"/>
      <c r="C612" s="339"/>
      <c r="D612" s="339"/>
      <c r="E612" s="339"/>
      <c r="F612" s="339"/>
      <c r="G612" s="339"/>
      <c r="H612" s="339"/>
      <c r="I612" s="591"/>
      <c r="J612" s="341"/>
      <c r="K612" s="591"/>
      <c r="L612" s="339"/>
      <c r="M612" s="339"/>
      <c r="N612" s="339"/>
      <c r="O612" s="339"/>
      <c r="P612" s="339"/>
      <c r="Q612" s="339"/>
      <c r="R612" s="339"/>
      <c r="S612" s="339"/>
      <c r="T612" s="339"/>
      <c r="U612" s="339"/>
      <c r="V612" s="339"/>
      <c r="W612" s="339"/>
      <c r="X612" s="339"/>
      <c r="Y612" s="339"/>
    </row>
    <row r="613" spans="1:25" ht="15.75" customHeight="1">
      <c r="A613" s="339"/>
      <c r="B613" s="339"/>
      <c r="C613" s="339"/>
      <c r="D613" s="339"/>
      <c r="E613" s="339"/>
      <c r="F613" s="339"/>
      <c r="G613" s="339"/>
      <c r="H613" s="339"/>
      <c r="I613" s="591"/>
      <c r="J613" s="341"/>
      <c r="K613" s="591"/>
      <c r="L613" s="339"/>
      <c r="M613" s="339"/>
      <c r="N613" s="339"/>
      <c r="O613" s="339"/>
      <c r="P613" s="339"/>
      <c r="Q613" s="339"/>
      <c r="R613" s="339"/>
      <c r="S613" s="339"/>
      <c r="T613" s="339"/>
      <c r="U613" s="339"/>
      <c r="V613" s="339"/>
      <c r="W613" s="339"/>
      <c r="X613" s="339"/>
      <c r="Y613" s="339"/>
    </row>
    <row r="614" spans="1:25" ht="15.75" customHeight="1">
      <c r="A614" s="339"/>
      <c r="B614" s="339"/>
      <c r="C614" s="339"/>
      <c r="D614" s="339"/>
      <c r="E614" s="339"/>
      <c r="F614" s="339"/>
      <c r="G614" s="339"/>
      <c r="H614" s="339"/>
      <c r="I614" s="591"/>
      <c r="J614" s="341"/>
      <c r="K614" s="591"/>
      <c r="L614" s="339"/>
      <c r="M614" s="339"/>
      <c r="N614" s="339"/>
      <c r="O614" s="339"/>
      <c r="P614" s="339"/>
      <c r="Q614" s="339"/>
      <c r="R614" s="339"/>
      <c r="S614" s="339"/>
      <c r="T614" s="339"/>
      <c r="U614" s="339"/>
      <c r="V614" s="339"/>
      <c r="W614" s="339"/>
      <c r="X614" s="339"/>
      <c r="Y614" s="339"/>
    </row>
    <row r="615" spans="1:25" ht="15.75" customHeight="1">
      <c r="A615" s="339"/>
      <c r="B615" s="339"/>
      <c r="C615" s="339"/>
      <c r="D615" s="339"/>
      <c r="E615" s="339"/>
      <c r="F615" s="339"/>
      <c r="G615" s="339"/>
      <c r="H615" s="339"/>
      <c r="I615" s="591"/>
      <c r="J615" s="341"/>
      <c r="K615" s="591"/>
      <c r="L615" s="339"/>
      <c r="M615" s="339"/>
      <c r="N615" s="339"/>
      <c r="O615" s="339"/>
      <c r="P615" s="339"/>
      <c r="Q615" s="339"/>
      <c r="R615" s="339"/>
      <c r="S615" s="339"/>
      <c r="T615" s="339"/>
      <c r="U615" s="339"/>
      <c r="V615" s="339"/>
      <c r="W615" s="339"/>
      <c r="X615" s="339"/>
      <c r="Y615" s="339"/>
    </row>
    <row r="616" spans="1:25" ht="15.75" customHeight="1">
      <c r="A616" s="339"/>
      <c r="B616" s="339"/>
      <c r="C616" s="339"/>
      <c r="D616" s="339"/>
      <c r="E616" s="339"/>
      <c r="F616" s="339"/>
      <c r="G616" s="339"/>
      <c r="H616" s="339"/>
      <c r="I616" s="591"/>
      <c r="J616" s="341"/>
      <c r="K616" s="591"/>
      <c r="L616" s="339"/>
      <c r="M616" s="339"/>
      <c r="N616" s="339"/>
      <c r="O616" s="339"/>
      <c r="P616" s="339"/>
      <c r="Q616" s="339"/>
      <c r="R616" s="339"/>
      <c r="S616" s="339"/>
      <c r="T616" s="339"/>
      <c r="U616" s="339"/>
      <c r="V616" s="339"/>
      <c r="W616" s="339"/>
      <c r="X616" s="339"/>
      <c r="Y616" s="339"/>
    </row>
    <row r="617" spans="1:25" ht="15.75" customHeight="1">
      <c r="A617" s="339"/>
      <c r="B617" s="339"/>
      <c r="C617" s="339"/>
      <c r="D617" s="339"/>
      <c r="E617" s="339"/>
      <c r="F617" s="339"/>
      <c r="G617" s="339"/>
      <c r="H617" s="339"/>
      <c r="I617" s="591"/>
      <c r="J617" s="341"/>
      <c r="K617" s="591"/>
      <c r="L617" s="339"/>
      <c r="M617" s="339"/>
      <c r="N617" s="339"/>
      <c r="O617" s="339"/>
      <c r="P617" s="339"/>
      <c r="Q617" s="339"/>
      <c r="R617" s="339"/>
      <c r="S617" s="339"/>
      <c r="T617" s="339"/>
      <c r="U617" s="339"/>
      <c r="V617" s="339"/>
      <c r="W617" s="339"/>
      <c r="X617" s="339"/>
      <c r="Y617" s="339"/>
    </row>
    <row r="618" spans="1:25" ht="15.75" customHeight="1">
      <c r="A618" s="339"/>
      <c r="B618" s="339"/>
      <c r="C618" s="339"/>
      <c r="D618" s="339"/>
      <c r="E618" s="339"/>
      <c r="F618" s="339"/>
      <c r="G618" s="339"/>
      <c r="H618" s="339"/>
      <c r="I618" s="591"/>
      <c r="J618" s="341"/>
      <c r="K618" s="591"/>
      <c r="L618" s="339"/>
      <c r="M618" s="339"/>
      <c r="N618" s="339"/>
      <c r="O618" s="339"/>
      <c r="P618" s="339"/>
      <c r="Q618" s="339"/>
      <c r="R618" s="339"/>
      <c r="S618" s="339"/>
      <c r="T618" s="339"/>
      <c r="U618" s="339"/>
      <c r="V618" s="339"/>
      <c r="W618" s="339"/>
      <c r="X618" s="339"/>
      <c r="Y618" s="339"/>
    </row>
    <row r="619" spans="1:25" ht="15.75" customHeight="1">
      <c r="A619" s="339"/>
      <c r="B619" s="339"/>
      <c r="C619" s="339"/>
      <c r="D619" s="339"/>
      <c r="E619" s="339"/>
      <c r="F619" s="339"/>
      <c r="G619" s="339"/>
      <c r="H619" s="339"/>
      <c r="I619" s="591"/>
      <c r="J619" s="341"/>
      <c r="K619" s="591"/>
      <c r="L619" s="339"/>
      <c r="M619" s="339"/>
      <c r="N619" s="339"/>
      <c r="O619" s="339"/>
      <c r="P619" s="339"/>
      <c r="Q619" s="339"/>
      <c r="R619" s="339"/>
      <c r="S619" s="339"/>
      <c r="T619" s="339"/>
      <c r="U619" s="339"/>
      <c r="V619" s="339"/>
      <c r="W619" s="339"/>
      <c r="X619" s="339"/>
      <c r="Y619" s="339"/>
    </row>
    <row r="620" spans="1:25" ht="15.75" customHeight="1">
      <c r="A620" s="339"/>
      <c r="B620" s="339"/>
      <c r="C620" s="339"/>
      <c r="D620" s="339"/>
      <c r="E620" s="339"/>
      <c r="F620" s="339"/>
      <c r="G620" s="339"/>
      <c r="H620" s="339"/>
      <c r="I620" s="591"/>
      <c r="J620" s="341"/>
      <c r="K620" s="591"/>
      <c r="L620" s="339"/>
      <c r="M620" s="339"/>
      <c r="N620" s="339"/>
      <c r="O620" s="339"/>
      <c r="P620" s="339"/>
      <c r="Q620" s="339"/>
      <c r="R620" s="339"/>
      <c r="S620" s="339"/>
      <c r="T620" s="339"/>
      <c r="U620" s="339"/>
      <c r="V620" s="339"/>
      <c r="W620" s="339"/>
      <c r="X620" s="339"/>
      <c r="Y620" s="339"/>
    </row>
    <row r="621" spans="1:25" ht="15.75" customHeight="1">
      <c r="A621" s="339"/>
      <c r="B621" s="339"/>
      <c r="C621" s="339"/>
      <c r="D621" s="339"/>
      <c r="E621" s="339"/>
      <c r="F621" s="339"/>
      <c r="G621" s="339"/>
      <c r="H621" s="339"/>
      <c r="I621" s="591"/>
      <c r="J621" s="341"/>
      <c r="K621" s="591"/>
      <c r="L621" s="339"/>
      <c r="M621" s="339"/>
      <c r="N621" s="339"/>
      <c r="O621" s="339"/>
      <c r="P621" s="339"/>
      <c r="Q621" s="339"/>
      <c r="R621" s="339"/>
      <c r="S621" s="339"/>
      <c r="T621" s="339"/>
      <c r="U621" s="339"/>
      <c r="V621" s="339"/>
      <c r="W621" s="339"/>
      <c r="X621" s="339"/>
      <c r="Y621" s="339"/>
    </row>
    <row r="622" spans="1:25" ht="15.75" customHeight="1">
      <c r="A622" s="339"/>
      <c r="B622" s="339"/>
      <c r="C622" s="339"/>
      <c r="D622" s="339"/>
      <c r="E622" s="339"/>
      <c r="F622" s="339"/>
      <c r="G622" s="339"/>
      <c r="H622" s="339"/>
      <c r="I622" s="591"/>
      <c r="J622" s="341"/>
      <c r="K622" s="591"/>
      <c r="L622" s="339"/>
      <c r="M622" s="339"/>
      <c r="N622" s="339"/>
      <c r="O622" s="339"/>
      <c r="P622" s="339"/>
      <c r="Q622" s="339"/>
      <c r="R622" s="339"/>
      <c r="S622" s="339"/>
      <c r="T622" s="339"/>
      <c r="U622" s="339"/>
      <c r="V622" s="339"/>
      <c r="W622" s="339"/>
      <c r="X622" s="339"/>
      <c r="Y622" s="339"/>
    </row>
    <row r="623" spans="1:25" ht="15.75" customHeight="1">
      <c r="A623" s="339"/>
      <c r="B623" s="339"/>
      <c r="C623" s="339"/>
      <c r="D623" s="339"/>
      <c r="E623" s="339"/>
      <c r="F623" s="339"/>
      <c r="G623" s="339"/>
      <c r="H623" s="339"/>
      <c r="I623" s="591"/>
      <c r="J623" s="341"/>
      <c r="K623" s="591"/>
      <c r="L623" s="339"/>
      <c r="M623" s="339"/>
      <c r="N623" s="339"/>
      <c r="O623" s="339"/>
      <c r="P623" s="339"/>
      <c r="Q623" s="339"/>
      <c r="R623" s="339"/>
      <c r="S623" s="339"/>
      <c r="T623" s="339"/>
      <c r="U623" s="339"/>
      <c r="V623" s="339"/>
      <c r="W623" s="339"/>
      <c r="X623" s="339"/>
      <c r="Y623" s="339"/>
    </row>
    <row r="624" spans="1:25" ht="15.75" customHeight="1">
      <c r="A624" s="339"/>
      <c r="B624" s="339"/>
      <c r="C624" s="339"/>
      <c r="D624" s="339"/>
      <c r="E624" s="339"/>
      <c r="F624" s="339"/>
      <c r="G624" s="339"/>
      <c r="H624" s="339"/>
      <c r="I624" s="591"/>
      <c r="J624" s="341"/>
      <c r="K624" s="591"/>
      <c r="L624" s="339"/>
      <c r="M624" s="339"/>
      <c r="N624" s="339"/>
      <c r="O624" s="339"/>
      <c r="P624" s="339"/>
      <c r="Q624" s="339"/>
      <c r="R624" s="339"/>
      <c r="S624" s="339"/>
      <c r="T624" s="339"/>
      <c r="U624" s="339"/>
      <c r="V624" s="339"/>
      <c r="W624" s="339"/>
      <c r="X624" s="339"/>
      <c r="Y624" s="339"/>
    </row>
    <row r="625" spans="1:25" ht="15.75" customHeight="1">
      <c r="A625" s="339"/>
      <c r="B625" s="339"/>
      <c r="C625" s="339"/>
      <c r="D625" s="339"/>
      <c r="E625" s="339"/>
      <c r="F625" s="339"/>
      <c r="G625" s="339"/>
      <c r="H625" s="339"/>
      <c r="I625" s="591"/>
      <c r="J625" s="341"/>
      <c r="K625" s="591"/>
      <c r="L625" s="339"/>
      <c r="M625" s="339"/>
      <c r="N625" s="339"/>
      <c r="O625" s="339"/>
      <c r="P625" s="339"/>
      <c r="Q625" s="339"/>
      <c r="R625" s="339"/>
      <c r="S625" s="339"/>
      <c r="T625" s="339"/>
      <c r="U625" s="339"/>
      <c r="V625" s="339"/>
      <c r="W625" s="339"/>
      <c r="X625" s="339"/>
      <c r="Y625" s="339"/>
    </row>
    <row r="626" spans="1:25" ht="15.75" customHeight="1">
      <c r="A626" s="339"/>
      <c r="B626" s="339"/>
      <c r="C626" s="339"/>
      <c r="D626" s="339"/>
      <c r="E626" s="339"/>
      <c r="F626" s="339"/>
      <c r="G626" s="339"/>
      <c r="H626" s="339"/>
      <c r="I626" s="591"/>
      <c r="J626" s="341"/>
      <c r="K626" s="591"/>
      <c r="L626" s="339"/>
      <c r="M626" s="339"/>
      <c r="N626" s="339"/>
      <c r="O626" s="339"/>
      <c r="P626" s="339"/>
      <c r="Q626" s="339"/>
      <c r="R626" s="339"/>
      <c r="S626" s="339"/>
      <c r="T626" s="339"/>
      <c r="U626" s="339"/>
      <c r="V626" s="339"/>
      <c r="W626" s="339"/>
      <c r="X626" s="339"/>
      <c r="Y626" s="339"/>
    </row>
    <row r="627" spans="1:25" ht="15.75" customHeight="1">
      <c r="A627" s="339"/>
      <c r="B627" s="339"/>
      <c r="C627" s="339"/>
      <c r="D627" s="339"/>
      <c r="E627" s="339"/>
      <c r="F627" s="339"/>
      <c r="G627" s="339"/>
      <c r="H627" s="339"/>
      <c r="I627" s="591"/>
      <c r="J627" s="341"/>
      <c r="K627" s="591"/>
      <c r="L627" s="339"/>
      <c r="M627" s="339"/>
      <c r="N627" s="339"/>
      <c r="O627" s="339"/>
      <c r="P627" s="339"/>
      <c r="Q627" s="339"/>
      <c r="R627" s="339"/>
      <c r="S627" s="339"/>
      <c r="T627" s="339"/>
      <c r="U627" s="339"/>
      <c r="V627" s="339"/>
      <c r="W627" s="339"/>
      <c r="X627" s="339"/>
      <c r="Y627" s="339"/>
    </row>
    <row r="628" spans="1:25" ht="15.75" customHeight="1">
      <c r="A628" s="339"/>
      <c r="B628" s="339"/>
      <c r="C628" s="339"/>
      <c r="D628" s="339"/>
      <c r="E628" s="339"/>
      <c r="F628" s="339"/>
      <c r="G628" s="339"/>
      <c r="H628" s="339"/>
      <c r="I628" s="591"/>
      <c r="J628" s="341"/>
      <c r="K628" s="591"/>
      <c r="L628" s="339"/>
      <c r="M628" s="339"/>
      <c r="N628" s="339"/>
      <c r="O628" s="339"/>
      <c r="P628" s="339"/>
      <c r="Q628" s="339"/>
      <c r="R628" s="339"/>
      <c r="S628" s="339"/>
      <c r="T628" s="339"/>
      <c r="U628" s="339"/>
      <c r="V628" s="339"/>
      <c r="W628" s="339"/>
      <c r="X628" s="339"/>
      <c r="Y628" s="339"/>
    </row>
    <row r="629" spans="1:25" ht="15.75" customHeight="1">
      <c r="A629" s="339"/>
      <c r="B629" s="339"/>
      <c r="C629" s="339"/>
      <c r="D629" s="339"/>
      <c r="E629" s="339"/>
      <c r="F629" s="339"/>
      <c r="G629" s="339"/>
      <c r="H629" s="339"/>
      <c r="I629" s="591"/>
      <c r="J629" s="341"/>
      <c r="K629" s="591"/>
      <c r="L629" s="339"/>
      <c r="M629" s="339"/>
      <c r="N629" s="339"/>
      <c r="O629" s="339"/>
      <c r="P629" s="339"/>
      <c r="Q629" s="339"/>
      <c r="R629" s="339"/>
      <c r="S629" s="339"/>
      <c r="T629" s="339"/>
      <c r="U629" s="339"/>
      <c r="V629" s="339"/>
      <c r="W629" s="339"/>
      <c r="X629" s="339"/>
      <c r="Y629" s="339"/>
    </row>
    <row r="630" spans="1:25" ht="15.75" customHeight="1">
      <c r="A630" s="339"/>
      <c r="B630" s="339"/>
      <c r="C630" s="339"/>
      <c r="D630" s="339"/>
      <c r="E630" s="339"/>
      <c r="F630" s="339"/>
      <c r="G630" s="339"/>
      <c r="H630" s="339"/>
      <c r="I630" s="591"/>
      <c r="J630" s="341"/>
      <c r="K630" s="591"/>
      <c r="L630" s="339"/>
      <c r="M630" s="339"/>
      <c r="N630" s="339"/>
      <c r="O630" s="339"/>
      <c r="P630" s="339"/>
      <c r="Q630" s="339"/>
      <c r="R630" s="339"/>
      <c r="S630" s="339"/>
      <c r="T630" s="339"/>
      <c r="U630" s="339"/>
      <c r="V630" s="339"/>
      <c r="W630" s="339"/>
      <c r="X630" s="339"/>
      <c r="Y630" s="339"/>
    </row>
    <row r="631" spans="1:25" ht="15.75" customHeight="1">
      <c r="A631" s="339"/>
      <c r="B631" s="339"/>
      <c r="C631" s="339"/>
      <c r="D631" s="339"/>
      <c r="E631" s="339"/>
      <c r="F631" s="339"/>
      <c r="G631" s="339"/>
      <c r="H631" s="339"/>
      <c r="I631" s="591"/>
      <c r="J631" s="341"/>
      <c r="K631" s="591"/>
      <c r="L631" s="339"/>
      <c r="M631" s="339"/>
      <c r="N631" s="339"/>
      <c r="O631" s="339"/>
      <c r="P631" s="339"/>
      <c r="Q631" s="339"/>
      <c r="R631" s="339"/>
      <c r="S631" s="339"/>
      <c r="T631" s="339"/>
      <c r="U631" s="339"/>
      <c r="V631" s="339"/>
      <c r="W631" s="339"/>
      <c r="X631" s="339"/>
      <c r="Y631" s="339"/>
    </row>
    <row r="632" spans="1:25" ht="15.75" customHeight="1">
      <c r="A632" s="339"/>
      <c r="B632" s="339"/>
      <c r="C632" s="339"/>
      <c r="D632" s="339"/>
      <c r="E632" s="339"/>
      <c r="F632" s="339"/>
      <c r="G632" s="339"/>
      <c r="H632" s="339"/>
      <c r="I632" s="591"/>
      <c r="J632" s="341"/>
      <c r="K632" s="591"/>
      <c r="L632" s="339"/>
      <c r="M632" s="339"/>
      <c r="N632" s="339"/>
      <c r="O632" s="339"/>
      <c r="P632" s="339"/>
      <c r="Q632" s="339"/>
      <c r="R632" s="339"/>
      <c r="S632" s="339"/>
      <c r="T632" s="339"/>
      <c r="U632" s="339"/>
      <c r="V632" s="339"/>
      <c r="W632" s="339"/>
      <c r="X632" s="339"/>
      <c r="Y632" s="339"/>
    </row>
    <row r="633" spans="1:25" ht="15.75" customHeight="1">
      <c r="A633" s="339"/>
      <c r="B633" s="339"/>
      <c r="C633" s="339"/>
      <c r="D633" s="339"/>
      <c r="E633" s="339"/>
      <c r="F633" s="339"/>
      <c r="G633" s="339"/>
      <c r="H633" s="339"/>
      <c r="I633" s="591"/>
      <c r="J633" s="341"/>
      <c r="K633" s="591"/>
      <c r="L633" s="339"/>
      <c r="M633" s="339"/>
      <c r="N633" s="339"/>
      <c r="O633" s="339"/>
      <c r="P633" s="339"/>
      <c r="Q633" s="339"/>
      <c r="R633" s="339"/>
      <c r="S633" s="339"/>
      <c r="T633" s="339"/>
      <c r="U633" s="339"/>
      <c r="V633" s="339"/>
      <c r="W633" s="339"/>
      <c r="X633" s="339"/>
      <c r="Y633" s="339"/>
    </row>
    <row r="634" spans="1:25" ht="15.75" customHeight="1">
      <c r="A634" s="339"/>
      <c r="B634" s="339"/>
      <c r="C634" s="339"/>
      <c r="D634" s="339"/>
      <c r="E634" s="339"/>
      <c r="F634" s="339"/>
      <c r="G634" s="339"/>
      <c r="H634" s="339"/>
      <c r="I634" s="591"/>
      <c r="J634" s="341"/>
      <c r="K634" s="591"/>
      <c r="L634" s="339"/>
      <c r="M634" s="339"/>
      <c r="N634" s="339"/>
      <c r="O634" s="339"/>
      <c r="P634" s="339"/>
      <c r="Q634" s="339"/>
      <c r="R634" s="339"/>
      <c r="S634" s="339"/>
      <c r="T634" s="339"/>
      <c r="U634" s="339"/>
      <c r="V634" s="339"/>
      <c r="W634" s="339"/>
      <c r="X634" s="339"/>
      <c r="Y634" s="339"/>
    </row>
    <row r="635" spans="1:25" ht="15.75" customHeight="1">
      <c r="A635" s="339"/>
      <c r="B635" s="339"/>
      <c r="C635" s="339"/>
      <c r="D635" s="339"/>
      <c r="E635" s="339"/>
      <c r="F635" s="339"/>
      <c r="G635" s="339"/>
      <c r="H635" s="339"/>
      <c r="I635" s="591"/>
      <c r="J635" s="341"/>
      <c r="K635" s="591"/>
      <c r="L635" s="339"/>
      <c r="M635" s="339"/>
      <c r="N635" s="339"/>
      <c r="O635" s="339"/>
      <c r="P635" s="339"/>
      <c r="Q635" s="339"/>
      <c r="R635" s="339"/>
      <c r="S635" s="339"/>
      <c r="T635" s="339"/>
      <c r="U635" s="339"/>
      <c r="V635" s="339"/>
      <c r="W635" s="339"/>
      <c r="X635" s="339"/>
      <c r="Y635" s="339"/>
    </row>
    <row r="636" spans="1:25" ht="15.75" customHeight="1">
      <c r="A636" s="339"/>
      <c r="B636" s="339"/>
      <c r="C636" s="339"/>
      <c r="D636" s="339"/>
      <c r="E636" s="339"/>
      <c r="F636" s="339"/>
      <c r="G636" s="339"/>
      <c r="H636" s="339"/>
      <c r="I636" s="591"/>
      <c r="J636" s="341"/>
      <c r="K636" s="591"/>
      <c r="L636" s="339"/>
      <c r="M636" s="339"/>
      <c r="N636" s="339"/>
      <c r="O636" s="339"/>
      <c r="P636" s="339"/>
      <c r="Q636" s="339"/>
      <c r="R636" s="339"/>
      <c r="S636" s="339"/>
      <c r="T636" s="339"/>
      <c r="U636" s="339"/>
      <c r="V636" s="339"/>
      <c r="W636" s="339"/>
      <c r="X636" s="339"/>
      <c r="Y636" s="339"/>
    </row>
    <row r="637" spans="1:25" ht="15.75" customHeight="1">
      <c r="A637" s="339"/>
      <c r="B637" s="339"/>
      <c r="C637" s="339"/>
      <c r="D637" s="339"/>
      <c r="E637" s="339"/>
      <c r="F637" s="339"/>
      <c r="G637" s="339"/>
      <c r="H637" s="339"/>
      <c r="I637" s="591"/>
      <c r="J637" s="341"/>
      <c r="K637" s="591"/>
      <c r="L637" s="339"/>
      <c r="M637" s="339"/>
      <c r="N637" s="339"/>
      <c r="O637" s="339"/>
      <c r="P637" s="339"/>
      <c r="Q637" s="339"/>
      <c r="R637" s="339"/>
      <c r="S637" s="339"/>
      <c r="T637" s="339"/>
      <c r="U637" s="339"/>
      <c r="V637" s="339"/>
      <c r="W637" s="339"/>
      <c r="X637" s="339"/>
      <c r="Y637" s="339"/>
    </row>
    <row r="638" spans="1:25" ht="15.75" customHeight="1">
      <c r="A638" s="339"/>
      <c r="B638" s="339"/>
      <c r="C638" s="339"/>
      <c r="D638" s="339"/>
      <c r="E638" s="339"/>
      <c r="F638" s="339"/>
      <c r="G638" s="339"/>
      <c r="H638" s="339"/>
      <c r="I638" s="591"/>
      <c r="J638" s="341"/>
      <c r="K638" s="591"/>
      <c r="L638" s="339"/>
      <c r="M638" s="339"/>
      <c r="N638" s="339"/>
      <c r="O638" s="339"/>
      <c r="P638" s="339"/>
      <c r="Q638" s="339"/>
      <c r="R638" s="339"/>
      <c r="S638" s="339"/>
      <c r="T638" s="339"/>
      <c r="U638" s="339"/>
      <c r="V638" s="339"/>
      <c r="W638" s="339"/>
      <c r="X638" s="339"/>
      <c r="Y638" s="339"/>
    </row>
    <row r="639" spans="1:25" ht="15.75" customHeight="1">
      <c r="A639" s="339"/>
      <c r="B639" s="339"/>
      <c r="C639" s="339"/>
      <c r="D639" s="339"/>
      <c r="E639" s="339"/>
      <c r="F639" s="339"/>
      <c r="G639" s="339"/>
      <c r="H639" s="339"/>
      <c r="I639" s="591"/>
      <c r="J639" s="341"/>
      <c r="K639" s="591"/>
      <c r="L639" s="339"/>
      <c r="M639" s="339"/>
      <c r="N639" s="339"/>
      <c r="O639" s="339"/>
      <c r="P639" s="339"/>
      <c r="Q639" s="339"/>
      <c r="R639" s="339"/>
      <c r="S639" s="339"/>
      <c r="T639" s="339"/>
      <c r="U639" s="339"/>
      <c r="V639" s="339"/>
      <c r="W639" s="339"/>
      <c r="X639" s="339"/>
      <c r="Y639" s="339"/>
    </row>
    <row r="640" spans="1:25" ht="15.75" customHeight="1">
      <c r="A640" s="339"/>
      <c r="B640" s="339"/>
      <c r="C640" s="339"/>
      <c r="D640" s="339"/>
      <c r="E640" s="339"/>
      <c r="F640" s="339"/>
      <c r="G640" s="339"/>
      <c r="H640" s="339"/>
      <c r="I640" s="591"/>
      <c r="J640" s="341"/>
      <c r="K640" s="591"/>
      <c r="L640" s="339"/>
      <c r="M640" s="339"/>
      <c r="N640" s="339"/>
      <c r="O640" s="339"/>
      <c r="P640" s="339"/>
      <c r="Q640" s="339"/>
      <c r="R640" s="339"/>
      <c r="S640" s="339"/>
      <c r="T640" s="339"/>
      <c r="U640" s="339"/>
      <c r="V640" s="339"/>
      <c r="W640" s="339"/>
      <c r="X640" s="339"/>
      <c r="Y640" s="339"/>
    </row>
    <row r="641" spans="1:25" ht="15.75" customHeight="1">
      <c r="A641" s="339"/>
      <c r="B641" s="339"/>
      <c r="C641" s="339"/>
      <c r="D641" s="339"/>
      <c r="E641" s="339"/>
      <c r="F641" s="339"/>
      <c r="G641" s="339"/>
      <c r="H641" s="339"/>
      <c r="I641" s="591"/>
      <c r="J641" s="341"/>
      <c r="K641" s="591"/>
      <c r="L641" s="339"/>
      <c r="M641" s="339"/>
      <c r="N641" s="339"/>
      <c r="O641" s="339"/>
      <c r="P641" s="339"/>
      <c r="Q641" s="339"/>
      <c r="R641" s="339"/>
      <c r="S641" s="339"/>
      <c r="T641" s="339"/>
      <c r="U641" s="339"/>
      <c r="V641" s="339"/>
      <c r="W641" s="339"/>
      <c r="X641" s="339"/>
      <c r="Y641" s="339"/>
    </row>
    <row r="642" spans="1:25" ht="15.75" customHeight="1">
      <c r="A642" s="339"/>
      <c r="B642" s="339"/>
      <c r="C642" s="339"/>
      <c r="D642" s="339"/>
      <c r="E642" s="339"/>
      <c r="F642" s="339"/>
      <c r="G642" s="339"/>
      <c r="H642" s="339"/>
      <c r="I642" s="591"/>
      <c r="J642" s="341"/>
      <c r="K642" s="591"/>
      <c r="L642" s="339"/>
      <c r="M642" s="339"/>
      <c r="N642" s="339"/>
      <c r="O642" s="339"/>
      <c r="P642" s="339"/>
      <c r="Q642" s="339"/>
      <c r="R642" s="339"/>
      <c r="S642" s="339"/>
      <c r="T642" s="339"/>
      <c r="U642" s="339"/>
      <c r="V642" s="339"/>
      <c r="W642" s="339"/>
      <c r="X642" s="339"/>
      <c r="Y642" s="339"/>
    </row>
    <row r="643" spans="1:25" ht="15.75" customHeight="1">
      <c r="A643" s="339"/>
      <c r="B643" s="339"/>
      <c r="C643" s="339"/>
      <c r="D643" s="339"/>
      <c r="E643" s="339"/>
      <c r="F643" s="339"/>
      <c r="G643" s="339"/>
      <c r="H643" s="339"/>
      <c r="I643" s="591"/>
      <c r="J643" s="341"/>
      <c r="K643" s="591"/>
      <c r="L643" s="339"/>
      <c r="M643" s="339"/>
      <c r="N643" s="339"/>
      <c r="O643" s="339"/>
      <c r="P643" s="339"/>
      <c r="Q643" s="339"/>
      <c r="R643" s="339"/>
      <c r="S643" s="339"/>
      <c r="T643" s="339"/>
      <c r="U643" s="339"/>
      <c r="V643" s="339"/>
      <c r="W643" s="339"/>
      <c r="X643" s="339"/>
      <c r="Y643" s="339"/>
    </row>
    <row r="644" spans="1:25" ht="15.75" customHeight="1">
      <c r="A644" s="339"/>
      <c r="B644" s="339"/>
      <c r="C644" s="339"/>
      <c r="D644" s="339"/>
      <c r="E644" s="339"/>
      <c r="F644" s="339"/>
      <c r="G644" s="339"/>
      <c r="H644" s="339"/>
      <c r="I644" s="591"/>
      <c r="J644" s="341"/>
      <c r="K644" s="591"/>
      <c r="L644" s="339"/>
      <c r="M644" s="339"/>
      <c r="N644" s="339"/>
      <c r="O644" s="339"/>
      <c r="P644" s="339"/>
      <c r="Q644" s="339"/>
      <c r="R644" s="339"/>
      <c r="S644" s="339"/>
      <c r="T644" s="339"/>
      <c r="U644" s="339"/>
      <c r="V644" s="339"/>
      <c r="W644" s="339"/>
      <c r="X644" s="339"/>
      <c r="Y644" s="339"/>
    </row>
    <row r="645" spans="1:25" ht="15.75" customHeight="1">
      <c r="A645" s="339"/>
      <c r="B645" s="339"/>
      <c r="C645" s="339"/>
      <c r="D645" s="339"/>
      <c r="E645" s="339"/>
      <c r="F645" s="339"/>
      <c r="G645" s="339"/>
      <c r="H645" s="339"/>
      <c r="I645" s="591"/>
      <c r="J645" s="341"/>
      <c r="K645" s="591"/>
      <c r="L645" s="339"/>
      <c r="M645" s="339"/>
      <c r="N645" s="339"/>
      <c r="O645" s="339"/>
      <c r="P645" s="339"/>
      <c r="Q645" s="339"/>
      <c r="R645" s="339"/>
      <c r="S645" s="339"/>
      <c r="T645" s="339"/>
      <c r="U645" s="339"/>
      <c r="V645" s="339"/>
      <c r="W645" s="339"/>
      <c r="X645" s="339"/>
      <c r="Y645" s="339"/>
    </row>
    <row r="646" spans="1:25" ht="15.75" customHeight="1">
      <c r="A646" s="339"/>
      <c r="B646" s="339"/>
      <c r="C646" s="339"/>
      <c r="D646" s="339"/>
      <c r="E646" s="339"/>
      <c r="F646" s="339"/>
      <c r="G646" s="339"/>
      <c r="H646" s="339"/>
      <c r="I646" s="591"/>
      <c r="J646" s="341"/>
      <c r="K646" s="591"/>
      <c r="L646" s="339"/>
      <c r="M646" s="339"/>
      <c r="N646" s="339"/>
      <c r="O646" s="339"/>
      <c r="P646" s="339"/>
      <c r="Q646" s="339"/>
      <c r="R646" s="339"/>
      <c r="S646" s="339"/>
      <c r="T646" s="339"/>
      <c r="U646" s="339"/>
      <c r="V646" s="339"/>
      <c r="W646" s="339"/>
      <c r="X646" s="339"/>
      <c r="Y646" s="339"/>
    </row>
    <row r="647" spans="1:25" ht="15.75" customHeight="1">
      <c r="A647" s="339"/>
      <c r="B647" s="339"/>
      <c r="C647" s="339"/>
      <c r="D647" s="339"/>
      <c r="E647" s="339"/>
      <c r="F647" s="339"/>
      <c r="G647" s="339"/>
      <c r="H647" s="339"/>
      <c r="I647" s="591"/>
      <c r="J647" s="341"/>
      <c r="K647" s="591"/>
      <c r="L647" s="339"/>
      <c r="M647" s="339"/>
      <c r="N647" s="339"/>
      <c r="O647" s="339"/>
      <c r="P647" s="339"/>
      <c r="Q647" s="339"/>
      <c r="R647" s="339"/>
      <c r="S647" s="339"/>
      <c r="T647" s="339"/>
      <c r="U647" s="339"/>
      <c r="V647" s="339"/>
      <c r="W647" s="339"/>
      <c r="X647" s="339"/>
      <c r="Y647" s="339"/>
    </row>
    <row r="648" spans="1:25" ht="15.75" customHeight="1">
      <c r="A648" s="339"/>
      <c r="B648" s="339"/>
      <c r="C648" s="339"/>
      <c r="D648" s="339"/>
      <c r="E648" s="339"/>
      <c r="F648" s="339"/>
      <c r="G648" s="339"/>
      <c r="H648" s="339"/>
      <c r="I648" s="591"/>
      <c r="J648" s="341"/>
      <c r="K648" s="591"/>
      <c r="L648" s="339"/>
      <c r="M648" s="339"/>
      <c r="N648" s="339"/>
      <c r="O648" s="339"/>
      <c r="P648" s="339"/>
      <c r="Q648" s="339"/>
      <c r="R648" s="339"/>
      <c r="S648" s="339"/>
      <c r="T648" s="339"/>
      <c r="U648" s="339"/>
      <c r="V648" s="339"/>
      <c r="W648" s="339"/>
      <c r="X648" s="339"/>
      <c r="Y648" s="339"/>
    </row>
    <row r="649" spans="1:25" ht="15.75" customHeight="1">
      <c r="A649" s="339"/>
      <c r="B649" s="339"/>
      <c r="C649" s="339"/>
      <c r="D649" s="339"/>
      <c r="E649" s="339"/>
      <c r="F649" s="339"/>
      <c r="G649" s="339"/>
      <c r="H649" s="339"/>
      <c r="I649" s="591"/>
      <c r="J649" s="341"/>
      <c r="K649" s="591"/>
      <c r="L649" s="339"/>
      <c r="M649" s="339"/>
      <c r="N649" s="339"/>
      <c r="O649" s="339"/>
      <c r="P649" s="339"/>
      <c r="Q649" s="339"/>
      <c r="R649" s="339"/>
      <c r="S649" s="339"/>
      <c r="T649" s="339"/>
      <c r="U649" s="339"/>
      <c r="V649" s="339"/>
      <c r="W649" s="339"/>
      <c r="X649" s="339"/>
      <c r="Y649" s="339"/>
    </row>
    <row r="650" spans="1:25" ht="15.75" customHeight="1">
      <c r="A650" s="339"/>
      <c r="B650" s="339"/>
      <c r="C650" s="339"/>
      <c r="D650" s="339"/>
      <c r="E650" s="339"/>
      <c r="F650" s="339"/>
      <c r="G650" s="339"/>
      <c r="H650" s="339"/>
      <c r="I650" s="591"/>
      <c r="J650" s="341"/>
      <c r="K650" s="591"/>
      <c r="L650" s="339"/>
      <c r="M650" s="339"/>
      <c r="N650" s="339"/>
      <c r="O650" s="339"/>
      <c r="P650" s="339"/>
      <c r="Q650" s="339"/>
      <c r="R650" s="339"/>
      <c r="S650" s="339"/>
      <c r="T650" s="339"/>
      <c r="U650" s="339"/>
      <c r="V650" s="339"/>
      <c r="W650" s="339"/>
      <c r="X650" s="339"/>
      <c r="Y650" s="339"/>
    </row>
    <row r="651" spans="1:25" ht="15.75" customHeight="1">
      <c r="A651" s="339"/>
      <c r="B651" s="339"/>
      <c r="C651" s="339"/>
      <c r="D651" s="339"/>
      <c r="E651" s="339"/>
      <c r="F651" s="339"/>
      <c r="G651" s="339"/>
      <c r="H651" s="339"/>
      <c r="I651" s="591"/>
      <c r="J651" s="341"/>
      <c r="K651" s="591"/>
      <c r="L651" s="339"/>
      <c r="M651" s="339"/>
      <c r="N651" s="339"/>
      <c r="O651" s="339"/>
      <c r="P651" s="339"/>
      <c r="Q651" s="339"/>
      <c r="R651" s="339"/>
      <c r="S651" s="339"/>
      <c r="T651" s="339"/>
      <c r="U651" s="339"/>
      <c r="V651" s="339"/>
      <c r="W651" s="339"/>
      <c r="X651" s="339"/>
      <c r="Y651" s="339"/>
    </row>
    <row r="652" spans="1:25" ht="15.75" customHeight="1">
      <c r="A652" s="339"/>
      <c r="B652" s="339"/>
      <c r="C652" s="339"/>
      <c r="D652" s="339"/>
      <c r="E652" s="339"/>
      <c r="F652" s="339"/>
      <c r="G652" s="339"/>
      <c r="H652" s="339"/>
      <c r="I652" s="591"/>
      <c r="J652" s="341"/>
      <c r="K652" s="591"/>
      <c r="L652" s="339"/>
      <c r="M652" s="339"/>
      <c r="N652" s="339"/>
      <c r="O652" s="339"/>
      <c r="P652" s="339"/>
      <c r="Q652" s="339"/>
      <c r="R652" s="339"/>
      <c r="S652" s="339"/>
      <c r="T652" s="339"/>
      <c r="U652" s="339"/>
      <c r="V652" s="339"/>
      <c r="W652" s="339"/>
      <c r="X652" s="339"/>
      <c r="Y652" s="339"/>
    </row>
    <row r="653" spans="1:25" ht="15.75" customHeight="1">
      <c r="A653" s="339"/>
      <c r="B653" s="339"/>
      <c r="C653" s="339"/>
      <c r="D653" s="339"/>
      <c r="E653" s="339"/>
      <c r="F653" s="339"/>
      <c r="G653" s="339"/>
      <c r="H653" s="339"/>
      <c r="I653" s="591"/>
      <c r="J653" s="341"/>
      <c r="K653" s="591"/>
      <c r="L653" s="339"/>
      <c r="M653" s="339"/>
      <c r="N653" s="339"/>
      <c r="O653" s="339"/>
      <c r="P653" s="339"/>
      <c r="Q653" s="339"/>
      <c r="R653" s="339"/>
      <c r="S653" s="339"/>
      <c r="T653" s="339"/>
      <c r="U653" s="339"/>
      <c r="V653" s="339"/>
      <c r="W653" s="339"/>
      <c r="X653" s="339"/>
      <c r="Y653" s="339"/>
    </row>
    <row r="654" spans="1:25" ht="15.75" customHeight="1">
      <c r="A654" s="339"/>
      <c r="B654" s="339"/>
      <c r="C654" s="339"/>
      <c r="D654" s="339"/>
      <c r="E654" s="339"/>
      <c r="F654" s="339"/>
      <c r="G654" s="339"/>
      <c r="H654" s="339"/>
      <c r="I654" s="591"/>
      <c r="J654" s="341"/>
      <c r="K654" s="591"/>
      <c r="L654" s="339"/>
      <c r="M654" s="339"/>
      <c r="N654" s="339"/>
      <c r="O654" s="339"/>
      <c r="P654" s="339"/>
      <c r="Q654" s="339"/>
      <c r="R654" s="339"/>
      <c r="S654" s="339"/>
      <c r="T654" s="339"/>
      <c r="U654" s="339"/>
      <c r="V654" s="339"/>
      <c r="W654" s="339"/>
      <c r="X654" s="339"/>
      <c r="Y654" s="339"/>
    </row>
    <row r="655" spans="1:25" ht="15.75" customHeight="1">
      <c r="A655" s="339"/>
      <c r="B655" s="339"/>
      <c r="C655" s="339"/>
      <c r="D655" s="339"/>
      <c r="E655" s="339"/>
      <c r="F655" s="339"/>
      <c r="G655" s="339"/>
      <c r="H655" s="339"/>
      <c r="I655" s="591"/>
      <c r="J655" s="341"/>
      <c r="K655" s="591"/>
      <c r="L655" s="339"/>
      <c r="M655" s="339"/>
      <c r="N655" s="339"/>
      <c r="O655" s="339"/>
      <c r="P655" s="339"/>
      <c r="Q655" s="339"/>
      <c r="R655" s="339"/>
      <c r="S655" s="339"/>
      <c r="T655" s="339"/>
      <c r="U655" s="339"/>
      <c r="V655" s="339"/>
      <c r="W655" s="339"/>
      <c r="X655" s="339"/>
      <c r="Y655" s="339"/>
    </row>
    <row r="656" spans="1:25" ht="15.75" customHeight="1">
      <c r="A656" s="339"/>
      <c r="B656" s="339"/>
      <c r="C656" s="339"/>
      <c r="D656" s="339"/>
      <c r="E656" s="339"/>
      <c r="F656" s="339"/>
      <c r="G656" s="339"/>
      <c r="H656" s="339"/>
      <c r="I656" s="591"/>
      <c r="J656" s="341"/>
      <c r="K656" s="591"/>
      <c r="L656" s="339"/>
      <c r="M656" s="339"/>
      <c r="N656" s="339"/>
      <c r="O656" s="339"/>
      <c r="P656" s="339"/>
      <c r="Q656" s="339"/>
      <c r="R656" s="339"/>
      <c r="S656" s="339"/>
      <c r="T656" s="339"/>
      <c r="U656" s="339"/>
      <c r="V656" s="339"/>
      <c r="W656" s="339"/>
      <c r="X656" s="339"/>
      <c r="Y656" s="339"/>
    </row>
    <row r="657" spans="1:25" ht="15.75" customHeight="1">
      <c r="A657" s="339"/>
      <c r="B657" s="339"/>
      <c r="C657" s="339"/>
      <c r="D657" s="339"/>
      <c r="E657" s="339"/>
      <c r="F657" s="339"/>
      <c r="G657" s="339"/>
      <c r="H657" s="339"/>
      <c r="I657" s="591"/>
      <c r="J657" s="341"/>
      <c r="K657" s="591"/>
      <c r="L657" s="339"/>
      <c r="M657" s="339"/>
      <c r="N657" s="339"/>
      <c r="O657" s="339"/>
      <c r="P657" s="339"/>
      <c r="Q657" s="339"/>
      <c r="R657" s="339"/>
      <c r="S657" s="339"/>
      <c r="T657" s="339"/>
      <c r="U657" s="339"/>
      <c r="V657" s="339"/>
      <c r="W657" s="339"/>
      <c r="X657" s="339"/>
      <c r="Y657" s="339"/>
    </row>
    <row r="658" spans="1:25" ht="15.75" customHeight="1">
      <c r="A658" s="339"/>
      <c r="B658" s="339"/>
      <c r="C658" s="339"/>
      <c r="D658" s="339"/>
      <c r="E658" s="339"/>
      <c r="F658" s="339"/>
      <c r="G658" s="339"/>
      <c r="H658" s="339"/>
      <c r="I658" s="591"/>
      <c r="J658" s="341"/>
      <c r="K658" s="591"/>
      <c r="L658" s="339"/>
      <c r="M658" s="339"/>
      <c r="N658" s="339"/>
      <c r="O658" s="339"/>
      <c r="P658" s="339"/>
      <c r="Q658" s="339"/>
      <c r="R658" s="339"/>
      <c r="S658" s="339"/>
      <c r="T658" s="339"/>
      <c r="U658" s="339"/>
      <c r="V658" s="339"/>
      <c r="W658" s="339"/>
      <c r="X658" s="339"/>
      <c r="Y658" s="339"/>
    </row>
    <row r="659" spans="1:25" ht="15.75" customHeight="1">
      <c r="A659" s="339"/>
      <c r="B659" s="339"/>
      <c r="C659" s="339"/>
      <c r="D659" s="339"/>
      <c r="E659" s="339"/>
      <c r="F659" s="339"/>
      <c r="G659" s="339"/>
      <c r="H659" s="339"/>
      <c r="I659" s="591"/>
      <c r="J659" s="341"/>
      <c r="K659" s="591"/>
      <c r="L659" s="339"/>
      <c r="M659" s="339"/>
      <c r="N659" s="339"/>
      <c r="O659" s="339"/>
      <c r="P659" s="339"/>
      <c r="Q659" s="339"/>
      <c r="R659" s="339"/>
      <c r="S659" s="339"/>
      <c r="T659" s="339"/>
      <c r="U659" s="339"/>
      <c r="V659" s="339"/>
      <c r="W659" s="339"/>
      <c r="X659" s="339"/>
      <c r="Y659" s="339"/>
    </row>
    <row r="660" spans="1:25" ht="15.75" customHeight="1">
      <c r="A660" s="339"/>
      <c r="B660" s="339"/>
      <c r="C660" s="339"/>
      <c r="D660" s="339"/>
      <c r="E660" s="339"/>
      <c r="F660" s="339"/>
      <c r="G660" s="339"/>
      <c r="H660" s="339"/>
      <c r="I660" s="591"/>
      <c r="J660" s="341"/>
      <c r="K660" s="591"/>
      <c r="L660" s="339"/>
      <c r="M660" s="339"/>
      <c r="N660" s="339"/>
      <c r="O660" s="339"/>
      <c r="P660" s="339"/>
      <c r="Q660" s="339"/>
      <c r="R660" s="339"/>
      <c r="S660" s="339"/>
      <c r="T660" s="339"/>
      <c r="U660" s="339"/>
      <c r="V660" s="339"/>
      <c r="W660" s="339"/>
      <c r="X660" s="339"/>
      <c r="Y660" s="339"/>
    </row>
    <row r="661" spans="1:25" ht="15.75" customHeight="1">
      <c r="A661" s="339"/>
      <c r="B661" s="339"/>
      <c r="C661" s="339"/>
      <c r="D661" s="339"/>
      <c r="E661" s="339"/>
      <c r="F661" s="339"/>
      <c r="G661" s="339"/>
      <c r="H661" s="339"/>
      <c r="I661" s="591"/>
      <c r="J661" s="341"/>
      <c r="K661" s="591"/>
      <c r="L661" s="339"/>
      <c r="M661" s="339"/>
      <c r="N661" s="339"/>
      <c r="O661" s="339"/>
      <c r="P661" s="339"/>
      <c r="Q661" s="339"/>
      <c r="R661" s="339"/>
      <c r="S661" s="339"/>
      <c r="T661" s="339"/>
      <c r="U661" s="339"/>
      <c r="V661" s="339"/>
      <c r="W661" s="339"/>
      <c r="X661" s="339"/>
      <c r="Y661" s="339"/>
    </row>
    <row r="662" spans="1:25" ht="15.75" customHeight="1">
      <c r="A662" s="339"/>
      <c r="B662" s="339"/>
      <c r="C662" s="339"/>
      <c r="D662" s="339"/>
      <c r="E662" s="339"/>
      <c r="F662" s="339"/>
      <c r="G662" s="339"/>
      <c r="H662" s="339"/>
      <c r="I662" s="591"/>
      <c r="J662" s="341"/>
      <c r="K662" s="591"/>
      <c r="L662" s="339"/>
      <c r="M662" s="339"/>
      <c r="N662" s="339"/>
      <c r="O662" s="339"/>
      <c r="P662" s="339"/>
      <c r="Q662" s="339"/>
      <c r="R662" s="339"/>
      <c r="S662" s="339"/>
      <c r="T662" s="339"/>
      <c r="U662" s="339"/>
      <c r="V662" s="339"/>
      <c r="W662" s="339"/>
      <c r="X662" s="339"/>
      <c r="Y662" s="339"/>
    </row>
    <row r="663" spans="1:25" ht="15.75" customHeight="1">
      <c r="A663" s="339"/>
      <c r="B663" s="339"/>
      <c r="C663" s="339"/>
      <c r="D663" s="339"/>
      <c r="E663" s="339"/>
      <c r="F663" s="339"/>
      <c r="G663" s="339"/>
      <c r="H663" s="339"/>
      <c r="I663" s="591"/>
      <c r="J663" s="341"/>
      <c r="K663" s="591"/>
      <c r="L663" s="339"/>
      <c r="M663" s="339"/>
      <c r="N663" s="339"/>
      <c r="O663" s="339"/>
      <c r="P663" s="339"/>
      <c r="Q663" s="339"/>
      <c r="R663" s="339"/>
      <c r="S663" s="339"/>
      <c r="T663" s="339"/>
      <c r="U663" s="339"/>
      <c r="V663" s="339"/>
      <c r="W663" s="339"/>
      <c r="X663" s="339"/>
      <c r="Y663" s="339"/>
    </row>
    <row r="664" spans="1:25" ht="15.75" customHeight="1">
      <c r="A664" s="339"/>
      <c r="B664" s="339"/>
      <c r="C664" s="339"/>
      <c r="D664" s="339"/>
      <c r="E664" s="339"/>
      <c r="F664" s="339"/>
      <c r="G664" s="339"/>
      <c r="H664" s="339"/>
      <c r="I664" s="591"/>
      <c r="J664" s="341"/>
      <c r="K664" s="591"/>
      <c r="L664" s="339"/>
      <c r="M664" s="339"/>
      <c r="N664" s="339"/>
      <c r="O664" s="339"/>
      <c r="P664" s="339"/>
      <c r="Q664" s="339"/>
      <c r="R664" s="339"/>
      <c r="S664" s="339"/>
      <c r="T664" s="339"/>
      <c r="U664" s="339"/>
      <c r="V664" s="339"/>
      <c r="W664" s="339"/>
      <c r="X664" s="339"/>
      <c r="Y664" s="339"/>
    </row>
    <row r="665" spans="1:25" ht="15.75" customHeight="1">
      <c r="A665" s="339"/>
      <c r="B665" s="339"/>
      <c r="C665" s="339"/>
      <c r="D665" s="339"/>
      <c r="E665" s="339"/>
      <c r="F665" s="339"/>
      <c r="G665" s="339"/>
      <c r="H665" s="339"/>
      <c r="I665" s="591"/>
      <c r="J665" s="341"/>
      <c r="K665" s="591"/>
      <c r="L665" s="339"/>
      <c r="M665" s="339"/>
      <c r="N665" s="339"/>
      <c r="O665" s="339"/>
      <c r="P665" s="339"/>
      <c r="Q665" s="339"/>
      <c r="R665" s="339"/>
      <c r="S665" s="339"/>
      <c r="T665" s="339"/>
      <c r="U665" s="339"/>
      <c r="V665" s="339"/>
      <c r="W665" s="339"/>
      <c r="X665" s="339"/>
      <c r="Y665" s="339"/>
    </row>
    <row r="666" spans="1:25" ht="15.75" customHeight="1">
      <c r="A666" s="339"/>
      <c r="B666" s="339"/>
      <c r="C666" s="339"/>
      <c r="D666" s="339"/>
      <c r="E666" s="339"/>
      <c r="F666" s="339"/>
      <c r="G666" s="339"/>
      <c r="H666" s="339"/>
      <c r="I666" s="591"/>
      <c r="J666" s="341"/>
      <c r="K666" s="591"/>
      <c r="L666" s="339"/>
      <c r="M666" s="339"/>
      <c r="N666" s="339"/>
      <c r="O666" s="339"/>
      <c r="P666" s="339"/>
      <c r="Q666" s="339"/>
      <c r="R666" s="339"/>
      <c r="S666" s="339"/>
      <c r="T666" s="339"/>
      <c r="U666" s="339"/>
      <c r="V666" s="339"/>
      <c r="W666" s="339"/>
      <c r="X666" s="339"/>
      <c r="Y666" s="339"/>
    </row>
    <row r="667" spans="1:25" ht="15.75" customHeight="1">
      <c r="A667" s="339"/>
      <c r="B667" s="339"/>
      <c r="C667" s="339"/>
      <c r="D667" s="339"/>
      <c r="E667" s="339"/>
      <c r="F667" s="339"/>
      <c r="G667" s="339"/>
      <c r="H667" s="339"/>
      <c r="I667" s="591"/>
      <c r="J667" s="341"/>
      <c r="K667" s="591"/>
      <c r="L667" s="339"/>
      <c r="M667" s="339"/>
      <c r="N667" s="339"/>
      <c r="O667" s="339"/>
      <c r="P667" s="339"/>
      <c r="Q667" s="339"/>
      <c r="R667" s="339"/>
      <c r="S667" s="339"/>
      <c r="T667" s="339"/>
      <c r="U667" s="339"/>
      <c r="V667" s="339"/>
      <c r="W667" s="339"/>
      <c r="X667" s="339"/>
      <c r="Y667" s="339"/>
    </row>
    <row r="668" spans="1:25" ht="15.75" customHeight="1">
      <c r="A668" s="339"/>
      <c r="B668" s="339"/>
      <c r="C668" s="339"/>
      <c r="D668" s="339"/>
      <c r="E668" s="339"/>
      <c r="F668" s="339"/>
      <c r="G668" s="339"/>
      <c r="H668" s="339"/>
      <c r="I668" s="591"/>
      <c r="J668" s="341"/>
      <c r="K668" s="591"/>
      <c r="L668" s="339"/>
      <c r="M668" s="339"/>
      <c r="N668" s="339"/>
      <c r="O668" s="339"/>
      <c r="P668" s="339"/>
      <c r="Q668" s="339"/>
      <c r="R668" s="339"/>
      <c r="S668" s="339"/>
      <c r="T668" s="339"/>
      <c r="U668" s="339"/>
      <c r="V668" s="339"/>
      <c r="W668" s="339"/>
      <c r="X668" s="339"/>
      <c r="Y668" s="339"/>
    </row>
    <row r="669" spans="1:25" ht="15.75" customHeight="1">
      <c r="A669" s="339"/>
      <c r="B669" s="339"/>
      <c r="C669" s="339"/>
      <c r="D669" s="339"/>
      <c r="E669" s="339"/>
      <c r="F669" s="339"/>
      <c r="G669" s="339"/>
      <c r="H669" s="339"/>
      <c r="I669" s="591"/>
      <c r="J669" s="341"/>
      <c r="K669" s="591"/>
      <c r="L669" s="339"/>
      <c r="M669" s="339"/>
      <c r="N669" s="339"/>
      <c r="O669" s="339"/>
      <c r="P669" s="339"/>
      <c r="Q669" s="339"/>
      <c r="R669" s="339"/>
      <c r="S669" s="339"/>
      <c r="T669" s="339"/>
      <c r="U669" s="339"/>
      <c r="V669" s="339"/>
      <c r="W669" s="339"/>
      <c r="X669" s="339"/>
      <c r="Y669" s="339"/>
    </row>
    <row r="670" spans="1:25" ht="15.75" customHeight="1">
      <c r="A670" s="339"/>
      <c r="B670" s="339"/>
      <c r="C670" s="339"/>
      <c r="D670" s="339"/>
      <c r="E670" s="339"/>
      <c r="F670" s="339"/>
      <c r="G670" s="339"/>
      <c r="H670" s="339"/>
      <c r="I670" s="591"/>
      <c r="J670" s="341"/>
      <c r="K670" s="591"/>
      <c r="L670" s="339"/>
      <c r="M670" s="339"/>
      <c r="N670" s="339"/>
      <c r="O670" s="339"/>
      <c r="P670" s="339"/>
      <c r="Q670" s="339"/>
      <c r="R670" s="339"/>
      <c r="S670" s="339"/>
      <c r="T670" s="339"/>
      <c r="U670" s="339"/>
      <c r="V670" s="339"/>
      <c r="W670" s="339"/>
      <c r="X670" s="339"/>
      <c r="Y670" s="339"/>
    </row>
    <row r="671" spans="1:25" ht="15.75" customHeight="1">
      <c r="A671" s="339"/>
      <c r="B671" s="339"/>
      <c r="C671" s="339"/>
      <c r="D671" s="339"/>
      <c r="E671" s="339"/>
      <c r="F671" s="339"/>
      <c r="G671" s="339"/>
      <c r="H671" s="339"/>
      <c r="I671" s="591"/>
      <c r="J671" s="341"/>
      <c r="K671" s="591"/>
      <c r="L671" s="339"/>
      <c r="M671" s="339"/>
      <c r="N671" s="339"/>
      <c r="O671" s="339"/>
      <c r="P671" s="339"/>
      <c r="Q671" s="339"/>
      <c r="R671" s="339"/>
      <c r="S671" s="339"/>
      <c r="T671" s="339"/>
      <c r="U671" s="339"/>
      <c r="V671" s="339"/>
      <c r="W671" s="339"/>
      <c r="X671" s="339"/>
      <c r="Y671" s="339"/>
    </row>
    <row r="672" spans="1:25" ht="15.75" customHeight="1">
      <c r="A672" s="339"/>
      <c r="B672" s="339"/>
      <c r="C672" s="339"/>
      <c r="D672" s="339"/>
      <c r="E672" s="339"/>
      <c r="F672" s="339"/>
      <c r="G672" s="339"/>
      <c r="H672" s="339"/>
      <c r="I672" s="591"/>
      <c r="J672" s="341"/>
      <c r="K672" s="591"/>
      <c r="L672" s="339"/>
      <c r="M672" s="339"/>
      <c r="N672" s="339"/>
      <c r="O672" s="339"/>
      <c r="P672" s="339"/>
      <c r="Q672" s="339"/>
      <c r="R672" s="339"/>
      <c r="S672" s="339"/>
      <c r="T672" s="339"/>
      <c r="U672" s="339"/>
      <c r="V672" s="339"/>
      <c r="W672" s="339"/>
      <c r="X672" s="339"/>
      <c r="Y672" s="339"/>
    </row>
    <row r="673" spans="1:25" ht="15.75" customHeight="1">
      <c r="A673" s="339"/>
      <c r="B673" s="339"/>
      <c r="C673" s="339"/>
      <c r="D673" s="339"/>
      <c r="E673" s="339"/>
      <c r="F673" s="339"/>
      <c r="G673" s="339"/>
      <c r="H673" s="339"/>
      <c r="I673" s="591"/>
      <c r="J673" s="341"/>
      <c r="K673" s="591"/>
      <c r="L673" s="339"/>
      <c r="M673" s="339"/>
      <c r="N673" s="339"/>
      <c r="O673" s="339"/>
      <c r="P673" s="339"/>
      <c r="Q673" s="339"/>
      <c r="R673" s="339"/>
      <c r="S673" s="339"/>
      <c r="T673" s="339"/>
      <c r="U673" s="339"/>
      <c r="V673" s="339"/>
      <c r="W673" s="339"/>
      <c r="X673" s="339"/>
      <c r="Y673" s="339"/>
    </row>
    <row r="674" spans="1:25" ht="15.75" customHeight="1">
      <c r="A674" s="339"/>
      <c r="B674" s="339"/>
      <c r="C674" s="339"/>
      <c r="D674" s="339"/>
      <c r="E674" s="339"/>
      <c r="F674" s="339"/>
      <c r="G674" s="339"/>
      <c r="H674" s="339"/>
      <c r="I674" s="591"/>
      <c r="J674" s="341"/>
      <c r="K674" s="591"/>
      <c r="L674" s="339"/>
      <c r="M674" s="339"/>
      <c r="N674" s="339"/>
      <c r="O674" s="339"/>
      <c r="P674" s="339"/>
      <c r="Q674" s="339"/>
      <c r="R674" s="339"/>
      <c r="S674" s="339"/>
      <c r="T674" s="339"/>
      <c r="U674" s="339"/>
      <c r="V674" s="339"/>
      <c r="W674" s="339"/>
      <c r="X674" s="339"/>
      <c r="Y674" s="339"/>
    </row>
    <row r="675" spans="1:25" ht="15.75" customHeight="1">
      <c r="A675" s="339"/>
      <c r="B675" s="339"/>
      <c r="C675" s="339"/>
      <c r="D675" s="339"/>
      <c r="E675" s="339"/>
      <c r="F675" s="339"/>
      <c r="G675" s="339"/>
      <c r="H675" s="339"/>
      <c r="I675" s="591"/>
      <c r="J675" s="341"/>
      <c r="K675" s="591"/>
      <c r="L675" s="339"/>
      <c r="M675" s="339"/>
      <c r="N675" s="339"/>
      <c r="O675" s="339"/>
      <c r="P675" s="339"/>
      <c r="Q675" s="339"/>
      <c r="R675" s="339"/>
      <c r="S675" s="339"/>
      <c r="T675" s="339"/>
      <c r="U675" s="339"/>
      <c r="V675" s="339"/>
      <c r="W675" s="339"/>
      <c r="X675" s="339"/>
      <c r="Y675" s="339"/>
    </row>
    <row r="676" spans="1:25" ht="15.75" customHeight="1">
      <c r="A676" s="339"/>
      <c r="B676" s="339"/>
      <c r="C676" s="339"/>
      <c r="D676" s="339"/>
      <c r="E676" s="339"/>
      <c r="F676" s="339"/>
      <c r="G676" s="339"/>
      <c r="H676" s="339"/>
      <c r="I676" s="591"/>
      <c r="J676" s="341"/>
      <c r="K676" s="591"/>
      <c r="L676" s="339"/>
      <c r="M676" s="339"/>
      <c r="N676" s="339"/>
      <c r="O676" s="339"/>
      <c r="P676" s="339"/>
      <c r="Q676" s="339"/>
      <c r="R676" s="339"/>
      <c r="S676" s="339"/>
      <c r="T676" s="339"/>
      <c r="U676" s="339"/>
      <c r="V676" s="339"/>
      <c r="W676" s="339"/>
      <c r="X676" s="339"/>
      <c r="Y676" s="339"/>
    </row>
    <row r="677" spans="1:25" ht="15.75" customHeight="1">
      <c r="A677" s="339"/>
      <c r="B677" s="339"/>
      <c r="C677" s="339"/>
      <c r="D677" s="339"/>
      <c r="E677" s="339"/>
      <c r="F677" s="339"/>
      <c r="G677" s="339"/>
      <c r="H677" s="339"/>
      <c r="I677" s="591"/>
      <c r="J677" s="341"/>
      <c r="K677" s="591"/>
      <c r="L677" s="339"/>
      <c r="M677" s="339"/>
      <c r="N677" s="339"/>
      <c r="O677" s="339"/>
      <c r="P677" s="339"/>
      <c r="Q677" s="339"/>
      <c r="R677" s="339"/>
      <c r="S677" s="339"/>
      <c r="T677" s="339"/>
      <c r="U677" s="339"/>
      <c r="V677" s="339"/>
      <c r="W677" s="339"/>
      <c r="X677" s="339"/>
      <c r="Y677" s="339"/>
    </row>
    <row r="678" spans="1:25" ht="15.75" customHeight="1">
      <c r="A678" s="339"/>
      <c r="B678" s="339"/>
      <c r="C678" s="339"/>
      <c r="D678" s="339"/>
      <c r="E678" s="339"/>
      <c r="F678" s="339"/>
      <c r="G678" s="339"/>
      <c r="H678" s="339"/>
      <c r="I678" s="591"/>
      <c r="J678" s="341"/>
      <c r="K678" s="591"/>
      <c r="L678" s="339"/>
      <c r="M678" s="339"/>
      <c r="N678" s="339"/>
      <c r="O678" s="339"/>
      <c r="P678" s="339"/>
      <c r="Q678" s="339"/>
      <c r="R678" s="339"/>
      <c r="S678" s="339"/>
      <c r="T678" s="339"/>
      <c r="U678" s="339"/>
      <c r="V678" s="339"/>
      <c r="W678" s="339"/>
      <c r="X678" s="339"/>
      <c r="Y678" s="339"/>
    </row>
    <row r="679" spans="1:25" ht="15.75" customHeight="1">
      <c r="A679" s="339"/>
      <c r="B679" s="339"/>
      <c r="C679" s="339"/>
      <c r="D679" s="339"/>
      <c r="E679" s="339"/>
      <c r="F679" s="339"/>
      <c r="G679" s="339"/>
      <c r="H679" s="339"/>
      <c r="I679" s="591"/>
      <c r="J679" s="341"/>
      <c r="K679" s="591"/>
      <c r="L679" s="339"/>
      <c r="M679" s="339"/>
      <c r="N679" s="339"/>
      <c r="O679" s="339"/>
      <c r="P679" s="339"/>
      <c r="Q679" s="339"/>
      <c r="R679" s="339"/>
      <c r="S679" s="339"/>
      <c r="T679" s="339"/>
      <c r="U679" s="339"/>
      <c r="V679" s="339"/>
      <c r="W679" s="339"/>
      <c r="X679" s="339"/>
      <c r="Y679" s="339"/>
    </row>
    <row r="680" spans="1:25" ht="15.75" customHeight="1">
      <c r="A680" s="339"/>
      <c r="B680" s="339"/>
      <c r="C680" s="339"/>
      <c r="D680" s="339"/>
      <c r="E680" s="339"/>
      <c r="F680" s="339"/>
      <c r="G680" s="339"/>
      <c r="H680" s="339"/>
      <c r="I680" s="591"/>
      <c r="J680" s="341"/>
      <c r="K680" s="591"/>
      <c r="L680" s="339"/>
      <c r="M680" s="339"/>
      <c r="N680" s="339"/>
      <c r="O680" s="339"/>
      <c r="P680" s="339"/>
      <c r="Q680" s="339"/>
      <c r="R680" s="339"/>
      <c r="S680" s="339"/>
      <c r="T680" s="339"/>
      <c r="U680" s="339"/>
      <c r="V680" s="339"/>
      <c r="W680" s="339"/>
      <c r="X680" s="339"/>
      <c r="Y680" s="339"/>
    </row>
    <row r="681" spans="1:25" ht="15.75" customHeight="1">
      <c r="A681" s="339"/>
      <c r="B681" s="339"/>
      <c r="C681" s="339"/>
      <c r="D681" s="339"/>
      <c r="E681" s="339"/>
      <c r="F681" s="339"/>
      <c r="G681" s="339"/>
      <c r="H681" s="339"/>
      <c r="I681" s="591"/>
      <c r="J681" s="341"/>
      <c r="K681" s="591"/>
      <c r="L681" s="339"/>
      <c r="M681" s="339"/>
      <c r="N681" s="339"/>
      <c r="O681" s="339"/>
      <c r="P681" s="339"/>
      <c r="Q681" s="339"/>
      <c r="R681" s="339"/>
      <c r="S681" s="339"/>
      <c r="T681" s="339"/>
      <c r="U681" s="339"/>
      <c r="V681" s="339"/>
      <c r="W681" s="339"/>
      <c r="X681" s="339"/>
      <c r="Y681" s="339"/>
    </row>
    <row r="682" spans="1:25" ht="15.75" customHeight="1">
      <c r="A682" s="339"/>
      <c r="B682" s="339"/>
      <c r="C682" s="339"/>
      <c r="D682" s="339"/>
      <c r="E682" s="339"/>
      <c r="F682" s="339"/>
      <c r="G682" s="339"/>
      <c r="H682" s="339"/>
      <c r="I682" s="591"/>
      <c r="J682" s="341"/>
      <c r="K682" s="591"/>
      <c r="L682" s="339"/>
      <c r="M682" s="339"/>
      <c r="N682" s="339"/>
      <c r="O682" s="339"/>
      <c r="P682" s="339"/>
      <c r="Q682" s="339"/>
      <c r="R682" s="339"/>
      <c r="S682" s="339"/>
      <c r="T682" s="339"/>
      <c r="U682" s="339"/>
      <c r="V682" s="339"/>
      <c r="W682" s="339"/>
      <c r="X682" s="339"/>
      <c r="Y682" s="339"/>
    </row>
    <row r="683" spans="1:25" ht="15.75" customHeight="1">
      <c r="A683" s="339"/>
      <c r="B683" s="339"/>
      <c r="C683" s="339"/>
      <c r="D683" s="339"/>
      <c r="E683" s="339"/>
      <c r="F683" s="339"/>
      <c r="G683" s="339"/>
      <c r="H683" s="339"/>
      <c r="I683" s="591"/>
      <c r="J683" s="341"/>
      <c r="K683" s="591"/>
      <c r="L683" s="339"/>
      <c r="M683" s="339"/>
      <c r="N683" s="339"/>
      <c r="O683" s="339"/>
      <c r="P683" s="339"/>
      <c r="Q683" s="339"/>
      <c r="R683" s="339"/>
      <c r="S683" s="339"/>
      <c r="T683" s="339"/>
      <c r="U683" s="339"/>
      <c r="V683" s="339"/>
      <c r="W683" s="339"/>
      <c r="X683" s="339"/>
      <c r="Y683" s="339"/>
    </row>
    <row r="684" spans="1:25" ht="15.75" customHeight="1">
      <c r="A684" s="339"/>
      <c r="B684" s="339"/>
      <c r="C684" s="339"/>
      <c r="D684" s="339"/>
      <c r="E684" s="339"/>
      <c r="F684" s="339"/>
      <c r="G684" s="339"/>
      <c r="H684" s="339"/>
      <c r="I684" s="591"/>
      <c r="J684" s="341"/>
      <c r="K684" s="591"/>
      <c r="L684" s="339"/>
      <c r="M684" s="339"/>
      <c r="N684" s="339"/>
      <c r="O684" s="339"/>
      <c r="P684" s="339"/>
      <c r="Q684" s="339"/>
      <c r="R684" s="339"/>
      <c r="S684" s="339"/>
      <c r="T684" s="339"/>
      <c r="U684" s="339"/>
      <c r="V684" s="339"/>
      <c r="W684" s="339"/>
      <c r="X684" s="339"/>
      <c r="Y684" s="339"/>
    </row>
    <row r="685" spans="1:25" ht="15.75" customHeight="1">
      <c r="A685" s="339"/>
      <c r="B685" s="339"/>
      <c r="C685" s="339"/>
      <c r="D685" s="339"/>
      <c r="E685" s="339"/>
      <c r="F685" s="339"/>
      <c r="G685" s="339"/>
      <c r="H685" s="339"/>
      <c r="I685" s="591"/>
      <c r="J685" s="341"/>
      <c r="K685" s="591"/>
      <c r="L685" s="339"/>
      <c r="M685" s="339"/>
      <c r="N685" s="339"/>
      <c r="O685" s="339"/>
      <c r="P685" s="339"/>
      <c r="Q685" s="339"/>
      <c r="R685" s="339"/>
      <c r="S685" s="339"/>
      <c r="T685" s="339"/>
      <c r="U685" s="339"/>
      <c r="V685" s="339"/>
      <c r="W685" s="339"/>
      <c r="X685" s="339"/>
      <c r="Y685" s="339"/>
    </row>
    <row r="686" spans="1:25" ht="15.75" customHeight="1">
      <c r="A686" s="339"/>
      <c r="B686" s="339"/>
      <c r="C686" s="339"/>
      <c r="D686" s="339"/>
      <c r="E686" s="339"/>
      <c r="F686" s="339"/>
      <c r="G686" s="339"/>
      <c r="H686" s="339"/>
      <c r="I686" s="591"/>
      <c r="J686" s="341"/>
      <c r="K686" s="591"/>
      <c r="L686" s="339"/>
      <c r="M686" s="339"/>
      <c r="N686" s="339"/>
      <c r="O686" s="339"/>
      <c r="P686" s="339"/>
      <c r="Q686" s="339"/>
      <c r="R686" s="339"/>
      <c r="S686" s="339"/>
      <c r="T686" s="339"/>
      <c r="U686" s="339"/>
      <c r="V686" s="339"/>
      <c r="W686" s="339"/>
      <c r="X686" s="339"/>
      <c r="Y686" s="339"/>
    </row>
    <row r="687" spans="1:25" ht="15.75" customHeight="1">
      <c r="A687" s="339"/>
      <c r="B687" s="339"/>
      <c r="C687" s="339"/>
      <c r="D687" s="339"/>
      <c r="E687" s="339"/>
      <c r="F687" s="339"/>
      <c r="G687" s="339"/>
      <c r="H687" s="339"/>
      <c r="I687" s="591"/>
      <c r="J687" s="341"/>
      <c r="K687" s="591"/>
      <c r="L687" s="339"/>
      <c r="M687" s="339"/>
      <c r="N687" s="339"/>
      <c r="O687" s="339"/>
      <c r="P687" s="339"/>
      <c r="Q687" s="339"/>
      <c r="R687" s="339"/>
      <c r="S687" s="339"/>
      <c r="T687" s="339"/>
      <c r="U687" s="339"/>
      <c r="V687" s="339"/>
      <c r="W687" s="339"/>
      <c r="X687" s="339"/>
      <c r="Y687" s="339"/>
    </row>
    <row r="688" spans="1:25" ht="15.75" customHeight="1">
      <c r="A688" s="339"/>
      <c r="B688" s="339"/>
      <c r="C688" s="339"/>
      <c r="D688" s="339"/>
      <c r="E688" s="339"/>
      <c r="F688" s="339"/>
      <c r="G688" s="339"/>
      <c r="H688" s="339"/>
      <c r="I688" s="591"/>
      <c r="J688" s="341"/>
      <c r="K688" s="591"/>
      <c r="L688" s="339"/>
      <c r="M688" s="339"/>
      <c r="N688" s="339"/>
      <c r="O688" s="339"/>
      <c r="P688" s="339"/>
      <c r="Q688" s="339"/>
      <c r="R688" s="339"/>
      <c r="S688" s="339"/>
      <c r="T688" s="339"/>
      <c r="U688" s="339"/>
      <c r="V688" s="339"/>
      <c r="W688" s="339"/>
      <c r="X688" s="339"/>
      <c r="Y688" s="339"/>
    </row>
    <row r="689" spans="1:25" ht="15.75" customHeight="1">
      <c r="A689" s="339"/>
      <c r="B689" s="339"/>
      <c r="C689" s="339"/>
      <c r="D689" s="339"/>
      <c r="E689" s="339"/>
      <c r="F689" s="339"/>
      <c r="G689" s="339"/>
      <c r="H689" s="339"/>
      <c r="I689" s="591"/>
      <c r="J689" s="341"/>
      <c r="K689" s="591"/>
      <c r="L689" s="339"/>
      <c r="M689" s="339"/>
      <c r="N689" s="339"/>
      <c r="O689" s="339"/>
      <c r="P689" s="339"/>
      <c r="Q689" s="339"/>
      <c r="R689" s="339"/>
      <c r="S689" s="339"/>
      <c r="T689" s="339"/>
      <c r="U689" s="339"/>
      <c r="V689" s="339"/>
      <c r="W689" s="339"/>
      <c r="X689" s="339"/>
      <c r="Y689" s="339"/>
    </row>
    <row r="690" spans="1:25" ht="15.75" customHeight="1">
      <c r="A690" s="339"/>
      <c r="B690" s="339"/>
      <c r="C690" s="339"/>
      <c r="D690" s="339"/>
      <c r="E690" s="339"/>
      <c r="F690" s="339"/>
      <c r="G690" s="339"/>
      <c r="H690" s="339"/>
      <c r="I690" s="591"/>
      <c r="J690" s="341"/>
      <c r="K690" s="591"/>
      <c r="L690" s="339"/>
      <c r="M690" s="339"/>
      <c r="N690" s="339"/>
      <c r="O690" s="339"/>
      <c r="P690" s="339"/>
      <c r="Q690" s="339"/>
      <c r="R690" s="339"/>
      <c r="S690" s="339"/>
      <c r="T690" s="339"/>
      <c r="U690" s="339"/>
      <c r="V690" s="339"/>
      <c r="W690" s="339"/>
      <c r="X690" s="339"/>
      <c r="Y690" s="339"/>
    </row>
    <row r="691" spans="1:25" ht="15.75" customHeight="1">
      <c r="A691" s="339"/>
      <c r="B691" s="339"/>
      <c r="C691" s="339"/>
      <c r="D691" s="339"/>
      <c r="E691" s="339"/>
      <c r="F691" s="339"/>
      <c r="G691" s="339"/>
      <c r="H691" s="339"/>
      <c r="I691" s="591"/>
      <c r="J691" s="341"/>
      <c r="K691" s="591"/>
      <c r="L691" s="339"/>
      <c r="M691" s="339"/>
      <c r="N691" s="339"/>
      <c r="O691" s="339"/>
      <c r="P691" s="339"/>
      <c r="Q691" s="339"/>
      <c r="R691" s="339"/>
      <c r="S691" s="339"/>
      <c r="T691" s="339"/>
      <c r="U691" s="339"/>
      <c r="V691" s="339"/>
      <c r="W691" s="339"/>
      <c r="X691" s="339"/>
      <c r="Y691" s="339"/>
    </row>
    <row r="692" spans="1:25" ht="15.75" customHeight="1">
      <c r="A692" s="339"/>
      <c r="B692" s="339"/>
      <c r="C692" s="339"/>
      <c r="D692" s="339"/>
      <c r="E692" s="339"/>
      <c r="F692" s="339"/>
      <c r="G692" s="339"/>
      <c r="H692" s="339"/>
      <c r="I692" s="591"/>
      <c r="J692" s="341"/>
      <c r="K692" s="591"/>
      <c r="L692" s="339"/>
      <c r="M692" s="339"/>
      <c r="N692" s="339"/>
      <c r="O692" s="339"/>
      <c r="P692" s="339"/>
      <c r="Q692" s="339"/>
      <c r="R692" s="339"/>
      <c r="S692" s="339"/>
      <c r="T692" s="339"/>
      <c r="U692" s="339"/>
      <c r="V692" s="339"/>
      <c r="W692" s="339"/>
      <c r="X692" s="339"/>
      <c r="Y692" s="339"/>
    </row>
    <row r="693" spans="1:25" ht="15.75" customHeight="1">
      <c r="A693" s="339"/>
      <c r="B693" s="339"/>
      <c r="C693" s="339"/>
      <c r="D693" s="339"/>
      <c r="E693" s="339"/>
      <c r="F693" s="339"/>
      <c r="G693" s="339"/>
      <c r="H693" s="339"/>
      <c r="I693" s="591"/>
      <c r="J693" s="341"/>
      <c r="K693" s="591"/>
      <c r="L693" s="339"/>
      <c r="M693" s="339"/>
      <c r="N693" s="339"/>
      <c r="O693" s="339"/>
      <c r="P693" s="339"/>
      <c r="Q693" s="339"/>
      <c r="R693" s="339"/>
      <c r="S693" s="339"/>
      <c r="T693" s="339"/>
      <c r="U693" s="339"/>
      <c r="V693" s="339"/>
      <c r="W693" s="339"/>
      <c r="X693" s="339"/>
      <c r="Y693" s="339"/>
    </row>
    <row r="694" spans="1:25" ht="15.75" customHeight="1">
      <c r="A694" s="339"/>
      <c r="B694" s="339"/>
      <c r="C694" s="339"/>
      <c r="D694" s="339"/>
      <c r="E694" s="339"/>
      <c r="F694" s="339"/>
      <c r="G694" s="339"/>
      <c r="H694" s="339"/>
      <c r="I694" s="591"/>
      <c r="J694" s="341"/>
      <c r="K694" s="591"/>
      <c r="L694" s="339"/>
      <c r="M694" s="339"/>
      <c r="N694" s="339"/>
      <c r="O694" s="339"/>
      <c r="P694" s="339"/>
      <c r="Q694" s="339"/>
      <c r="R694" s="339"/>
      <c r="S694" s="339"/>
      <c r="T694" s="339"/>
      <c r="U694" s="339"/>
      <c r="V694" s="339"/>
      <c r="W694" s="339"/>
      <c r="X694" s="339"/>
      <c r="Y694" s="339"/>
    </row>
    <row r="695" spans="1:25" ht="15.75" customHeight="1">
      <c r="A695" s="339"/>
      <c r="B695" s="339"/>
      <c r="C695" s="339"/>
      <c r="D695" s="339"/>
      <c r="E695" s="339"/>
      <c r="F695" s="339"/>
      <c r="G695" s="339"/>
      <c r="H695" s="339"/>
      <c r="I695" s="591"/>
      <c r="J695" s="341"/>
      <c r="K695" s="591"/>
      <c r="L695" s="339"/>
      <c r="M695" s="339"/>
      <c r="N695" s="339"/>
      <c r="O695" s="339"/>
      <c r="P695" s="339"/>
      <c r="Q695" s="339"/>
      <c r="R695" s="339"/>
      <c r="S695" s="339"/>
      <c r="T695" s="339"/>
      <c r="U695" s="339"/>
      <c r="V695" s="339"/>
      <c r="W695" s="339"/>
      <c r="X695" s="339"/>
      <c r="Y695" s="339"/>
    </row>
    <row r="696" spans="1:25" ht="15.75" customHeight="1">
      <c r="A696" s="339"/>
      <c r="B696" s="339"/>
      <c r="C696" s="339"/>
      <c r="D696" s="339"/>
      <c r="E696" s="339"/>
      <c r="F696" s="339"/>
      <c r="G696" s="339"/>
      <c r="H696" s="339"/>
      <c r="I696" s="591"/>
      <c r="J696" s="341"/>
      <c r="K696" s="591"/>
      <c r="L696" s="339"/>
      <c r="M696" s="339"/>
      <c r="N696" s="339"/>
      <c r="O696" s="339"/>
      <c r="P696" s="339"/>
      <c r="Q696" s="339"/>
      <c r="R696" s="339"/>
      <c r="S696" s="339"/>
      <c r="T696" s="339"/>
      <c r="U696" s="339"/>
      <c r="V696" s="339"/>
      <c r="W696" s="339"/>
      <c r="X696" s="339"/>
      <c r="Y696" s="339"/>
    </row>
    <row r="697" spans="1:25" ht="15.75" customHeight="1">
      <c r="A697" s="339"/>
      <c r="B697" s="339"/>
      <c r="C697" s="339"/>
      <c r="D697" s="339"/>
      <c r="E697" s="339"/>
      <c r="F697" s="339"/>
      <c r="G697" s="339"/>
      <c r="H697" s="339"/>
      <c r="I697" s="591"/>
      <c r="J697" s="341"/>
      <c r="K697" s="591"/>
      <c r="L697" s="339"/>
      <c r="M697" s="339"/>
      <c r="N697" s="339"/>
      <c r="O697" s="339"/>
      <c r="P697" s="339"/>
      <c r="Q697" s="339"/>
      <c r="R697" s="339"/>
      <c r="S697" s="339"/>
      <c r="T697" s="339"/>
      <c r="U697" s="339"/>
      <c r="V697" s="339"/>
      <c r="W697" s="339"/>
      <c r="X697" s="339"/>
      <c r="Y697" s="339"/>
    </row>
    <row r="698" spans="1:25" ht="15.75" customHeight="1">
      <c r="A698" s="339"/>
      <c r="B698" s="339"/>
      <c r="C698" s="339"/>
      <c r="D698" s="339"/>
      <c r="E698" s="339"/>
      <c r="F698" s="339"/>
      <c r="G698" s="339"/>
      <c r="H698" s="339"/>
      <c r="I698" s="591"/>
      <c r="J698" s="341"/>
      <c r="K698" s="591"/>
      <c r="L698" s="339"/>
      <c r="M698" s="339"/>
      <c r="N698" s="339"/>
      <c r="O698" s="339"/>
      <c r="P698" s="339"/>
      <c r="Q698" s="339"/>
      <c r="R698" s="339"/>
      <c r="S698" s="339"/>
      <c r="T698" s="339"/>
      <c r="U698" s="339"/>
      <c r="V698" s="339"/>
      <c r="W698" s="339"/>
      <c r="X698" s="339"/>
      <c r="Y698" s="339"/>
    </row>
    <row r="699" spans="1:25" ht="15.75" customHeight="1">
      <c r="A699" s="339"/>
      <c r="B699" s="339"/>
      <c r="C699" s="339"/>
      <c r="D699" s="339"/>
      <c r="E699" s="339"/>
      <c r="F699" s="339"/>
      <c r="G699" s="339"/>
      <c r="H699" s="339"/>
      <c r="I699" s="591"/>
      <c r="J699" s="341"/>
      <c r="K699" s="591"/>
      <c r="L699" s="339"/>
      <c r="M699" s="339"/>
      <c r="N699" s="339"/>
      <c r="O699" s="339"/>
      <c r="P699" s="339"/>
      <c r="Q699" s="339"/>
      <c r="R699" s="339"/>
      <c r="S699" s="339"/>
      <c r="T699" s="339"/>
      <c r="U699" s="339"/>
      <c r="V699" s="339"/>
      <c r="W699" s="339"/>
      <c r="X699" s="339"/>
      <c r="Y699" s="339"/>
    </row>
    <row r="700" spans="1:25" ht="15.75" customHeight="1">
      <c r="A700" s="339"/>
      <c r="B700" s="339"/>
      <c r="C700" s="339"/>
      <c r="D700" s="339"/>
      <c r="E700" s="339"/>
      <c r="F700" s="339"/>
      <c r="G700" s="339"/>
      <c r="H700" s="339"/>
      <c r="I700" s="591"/>
      <c r="J700" s="341"/>
      <c r="K700" s="591"/>
      <c r="L700" s="339"/>
      <c r="M700" s="339"/>
      <c r="N700" s="339"/>
      <c r="O700" s="339"/>
      <c r="P700" s="339"/>
      <c r="Q700" s="339"/>
      <c r="R700" s="339"/>
      <c r="S700" s="339"/>
      <c r="T700" s="339"/>
      <c r="U700" s="339"/>
      <c r="V700" s="339"/>
      <c r="W700" s="339"/>
      <c r="X700" s="339"/>
      <c r="Y700" s="339"/>
    </row>
    <row r="701" spans="1:25" ht="15.75" customHeight="1">
      <c r="A701" s="339"/>
      <c r="B701" s="339"/>
      <c r="C701" s="339"/>
      <c r="D701" s="339"/>
      <c r="E701" s="339"/>
      <c r="F701" s="339"/>
      <c r="G701" s="339"/>
      <c r="H701" s="339"/>
      <c r="I701" s="591"/>
      <c r="J701" s="341"/>
      <c r="K701" s="591"/>
      <c r="L701" s="339"/>
      <c r="M701" s="339"/>
      <c r="N701" s="339"/>
      <c r="O701" s="339"/>
      <c r="P701" s="339"/>
      <c r="Q701" s="339"/>
      <c r="R701" s="339"/>
      <c r="S701" s="339"/>
      <c r="T701" s="339"/>
      <c r="U701" s="339"/>
      <c r="V701" s="339"/>
      <c r="W701" s="339"/>
      <c r="X701" s="339"/>
      <c r="Y701" s="339"/>
    </row>
    <row r="702" spans="1:25" ht="15.75" customHeight="1">
      <c r="A702" s="339"/>
      <c r="B702" s="339"/>
      <c r="C702" s="339"/>
      <c r="D702" s="339"/>
      <c r="E702" s="339"/>
      <c r="F702" s="339"/>
      <c r="G702" s="339"/>
      <c r="H702" s="339"/>
      <c r="I702" s="591"/>
      <c r="J702" s="341"/>
      <c r="K702" s="591"/>
      <c r="L702" s="339"/>
      <c r="M702" s="339"/>
      <c r="N702" s="339"/>
      <c r="O702" s="339"/>
      <c r="P702" s="339"/>
      <c r="Q702" s="339"/>
      <c r="R702" s="339"/>
      <c r="S702" s="339"/>
      <c r="T702" s="339"/>
      <c r="U702" s="339"/>
      <c r="V702" s="339"/>
      <c r="W702" s="339"/>
      <c r="X702" s="339"/>
      <c r="Y702" s="339"/>
    </row>
    <row r="703" spans="1:25" ht="15.75" customHeight="1">
      <c r="A703" s="339"/>
      <c r="B703" s="339"/>
      <c r="C703" s="339"/>
      <c r="D703" s="339"/>
      <c r="E703" s="339"/>
      <c r="F703" s="339"/>
      <c r="G703" s="339"/>
      <c r="H703" s="339"/>
      <c r="I703" s="591"/>
      <c r="J703" s="341"/>
      <c r="K703" s="591"/>
      <c r="L703" s="339"/>
      <c r="M703" s="339"/>
      <c r="N703" s="339"/>
      <c r="O703" s="339"/>
      <c r="P703" s="339"/>
      <c r="Q703" s="339"/>
      <c r="R703" s="339"/>
      <c r="S703" s="339"/>
      <c r="T703" s="339"/>
      <c r="U703" s="339"/>
      <c r="V703" s="339"/>
      <c r="W703" s="339"/>
      <c r="X703" s="339"/>
      <c r="Y703" s="339"/>
    </row>
    <row r="704" spans="1:25" ht="15.75" customHeight="1">
      <c r="A704" s="339"/>
      <c r="B704" s="339"/>
      <c r="C704" s="339"/>
      <c r="D704" s="339"/>
      <c r="E704" s="339"/>
      <c r="F704" s="339"/>
      <c r="G704" s="339"/>
      <c r="H704" s="339"/>
      <c r="I704" s="591"/>
      <c r="J704" s="341"/>
      <c r="K704" s="591"/>
      <c r="L704" s="339"/>
      <c r="M704" s="339"/>
      <c r="N704" s="339"/>
      <c r="O704" s="339"/>
      <c r="P704" s="339"/>
      <c r="Q704" s="339"/>
      <c r="R704" s="339"/>
      <c r="S704" s="339"/>
      <c r="T704" s="339"/>
      <c r="U704" s="339"/>
      <c r="V704" s="339"/>
      <c r="W704" s="339"/>
      <c r="X704" s="339"/>
      <c r="Y704" s="339"/>
    </row>
    <row r="705" spans="1:25" ht="15.75" customHeight="1">
      <c r="A705" s="339"/>
      <c r="B705" s="339"/>
      <c r="C705" s="339"/>
      <c r="D705" s="339"/>
      <c r="E705" s="339"/>
      <c r="F705" s="339"/>
      <c r="G705" s="339"/>
      <c r="H705" s="339"/>
      <c r="I705" s="591"/>
      <c r="J705" s="341"/>
      <c r="K705" s="591"/>
      <c r="L705" s="339"/>
      <c r="M705" s="339"/>
      <c r="N705" s="339"/>
      <c r="O705" s="339"/>
      <c r="P705" s="339"/>
      <c r="Q705" s="339"/>
      <c r="R705" s="339"/>
      <c r="S705" s="339"/>
      <c r="T705" s="339"/>
      <c r="U705" s="339"/>
      <c r="V705" s="339"/>
      <c r="W705" s="339"/>
      <c r="X705" s="339"/>
      <c r="Y705" s="339"/>
    </row>
    <row r="706" spans="1:25" ht="15.75" customHeight="1">
      <c r="A706" s="339"/>
      <c r="B706" s="339"/>
      <c r="C706" s="339"/>
      <c r="D706" s="339"/>
      <c r="E706" s="339"/>
      <c r="F706" s="339"/>
      <c r="G706" s="339"/>
      <c r="H706" s="339"/>
      <c r="I706" s="591"/>
      <c r="J706" s="341"/>
      <c r="K706" s="591"/>
      <c r="L706" s="339"/>
      <c r="M706" s="339"/>
      <c r="N706" s="339"/>
      <c r="O706" s="339"/>
      <c r="P706" s="339"/>
      <c r="Q706" s="339"/>
      <c r="R706" s="339"/>
      <c r="S706" s="339"/>
      <c r="T706" s="339"/>
      <c r="U706" s="339"/>
      <c r="V706" s="339"/>
      <c r="W706" s="339"/>
      <c r="X706" s="339"/>
      <c r="Y706" s="339"/>
    </row>
    <row r="707" spans="1:25" ht="15.75" customHeight="1">
      <c r="A707" s="339"/>
      <c r="B707" s="339"/>
      <c r="C707" s="339"/>
      <c r="D707" s="339"/>
      <c r="E707" s="339"/>
      <c r="F707" s="339"/>
      <c r="G707" s="339"/>
      <c r="H707" s="339"/>
      <c r="I707" s="591"/>
      <c r="J707" s="341"/>
      <c r="K707" s="591"/>
      <c r="L707" s="339"/>
      <c r="M707" s="339"/>
      <c r="N707" s="339"/>
      <c r="O707" s="339"/>
      <c r="P707" s="339"/>
      <c r="Q707" s="339"/>
      <c r="R707" s="339"/>
      <c r="S707" s="339"/>
      <c r="T707" s="339"/>
      <c r="U707" s="339"/>
      <c r="V707" s="339"/>
      <c r="W707" s="339"/>
      <c r="X707" s="339"/>
      <c r="Y707" s="339"/>
    </row>
    <row r="708" spans="1:25" ht="15.75" customHeight="1">
      <c r="A708" s="339"/>
      <c r="B708" s="339"/>
      <c r="C708" s="339"/>
      <c r="D708" s="339"/>
      <c r="E708" s="339"/>
      <c r="F708" s="339"/>
      <c r="G708" s="339"/>
      <c r="H708" s="339"/>
      <c r="I708" s="591"/>
      <c r="J708" s="341"/>
      <c r="K708" s="591"/>
      <c r="L708" s="339"/>
      <c r="M708" s="339"/>
      <c r="N708" s="339"/>
      <c r="O708" s="339"/>
      <c r="P708" s="339"/>
      <c r="Q708" s="339"/>
      <c r="R708" s="339"/>
      <c r="S708" s="339"/>
      <c r="T708" s="339"/>
      <c r="U708" s="339"/>
      <c r="V708" s="339"/>
      <c r="W708" s="339"/>
      <c r="X708" s="339"/>
      <c r="Y708" s="339"/>
    </row>
    <row r="709" spans="1:25" ht="15.75" customHeight="1">
      <c r="A709" s="339"/>
      <c r="B709" s="339"/>
      <c r="C709" s="339"/>
      <c r="D709" s="339"/>
      <c r="E709" s="339"/>
      <c r="F709" s="339"/>
      <c r="G709" s="339"/>
      <c r="H709" s="339"/>
      <c r="I709" s="591"/>
      <c r="J709" s="341"/>
      <c r="K709" s="591"/>
      <c r="L709" s="339"/>
      <c r="M709" s="339"/>
      <c r="N709" s="339"/>
      <c r="O709" s="339"/>
      <c r="P709" s="339"/>
      <c r="Q709" s="339"/>
      <c r="R709" s="339"/>
      <c r="S709" s="339"/>
      <c r="T709" s="339"/>
      <c r="U709" s="339"/>
      <c r="V709" s="339"/>
      <c r="W709" s="339"/>
      <c r="X709" s="339"/>
      <c r="Y709" s="339"/>
    </row>
    <row r="710" spans="1:25" ht="15.75" customHeight="1">
      <c r="A710" s="339"/>
      <c r="B710" s="339"/>
      <c r="C710" s="339"/>
      <c r="D710" s="339"/>
      <c r="E710" s="339"/>
      <c r="F710" s="339"/>
      <c r="G710" s="339"/>
      <c r="H710" s="339"/>
      <c r="I710" s="591"/>
      <c r="J710" s="341"/>
      <c r="K710" s="591"/>
      <c r="L710" s="339"/>
      <c r="M710" s="339"/>
      <c r="N710" s="339"/>
      <c r="O710" s="339"/>
      <c r="P710" s="339"/>
      <c r="Q710" s="339"/>
      <c r="R710" s="339"/>
      <c r="S710" s="339"/>
      <c r="T710" s="339"/>
      <c r="U710" s="339"/>
      <c r="V710" s="339"/>
      <c r="W710" s="339"/>
      <c r="X710" s="339"/>
      <c r="Y710" s="339"/>
    </row>
    <row r="711" spans="1:25" ht="15.75" customHeight="1">
      <c r="A711" s="339"/>
      <c r="B711" s="339"/>
      <c r="C711" s="339"/>
      <c r="D711" s="339"/>
      <c r="E711" s="339"/>
      <c r="F711" s="339"/>
      <c r="G711" s="339"/>
      <c r="H711" s="339"/>
      <c r="I711" s="591"/>
      <c r="J711" s="341"/>
      <c r="K711" s="591"/>
      <c r="L711" s="339"/>
      <c r="M711" s="339"/>
      <c r="N711" s="339"/>
      <c r="O711" s="339"/>
      <c r="P711" s="339"/>
      <c r="Q711" s="339"/>
      <c r="R711" s="339"/>
      <c r="S711" s="339"/>
      <c r="T711" s="339"/>
      <c r="U711" s="339"/>
      <c r="V711" s="339"/>
      <c r="W711" s="339"/>
      <c r="X711" s="339"/>
      <c r="Y711" s="339"/>
    </row>
    <row r="712" spans="1:25" ht="15.75" customHeight="1">
      <c r="A712" s="339"/>
      <c r="B712" s="339"/>
      <c r="C712" s="339"/>
      <c r="D712" s="339"/>
      <c r="E712" s="339"/>
      <c r="F712" s="339"/>
      <c r="G712" s="339"/>
      <c r="H712" s="339"/>
      <c r="I712" s="591"/>
      <c r="J712" s="341"/>
      <c r="K712" s="591"/>
      <c r="L712" s="339"/>
      <c r="M712" s="339"/>
      <c r="N712" s="339"/>
      <c r="O712" s="339"/>
      <c r="P712" s="339"/>
      <c r="Q712" s="339"/>
      <c r="R712" s="339"/>
      <c r="S712" s="339"/>
      <c r="T712" s="339"/>
      <c r="U712" s="339"/>
      <c r="V712" s="339"/>
      <c r="W712" s="339"/>
      <c r="X712" s="339"/>
      <c r="Y712" s="339"/>
    </row>
    <row r="713" spans="1:25" ht="15.75" customHeight="1">
      <c r="A713" s="339"/>
      <c r="B713" s="339"/>
      <c r="C713" s="339"/>
      <c r="D713" s="339"/>
      <c r="E713" s="339"/>
      <c r="F713" s="339"/>
      <c r="G713" s="339"/>
      <c r="H713" s="339"/>
      <c r="I713" s="591"/>
      <c r="J713" s="341"/>
      <c r="K713" s="591"/>
      <c r="L713" s="339"/>
      <c r="M713" s="339"/>
      <c r="N713" s="339"/>
      <c r="O713" s="339"/>
      <c r="P713" s="339"/>
      <c r="Q713" s="339"/>
      <c r="R713" s="339"/>
      <c r="S713" s="339"/>
      <c r="T713" s="339"/>
      <c r="U713" s="339"/>
      <c r="V713" s="339"/>
      <c r="W713" s="339"/>
      <c r="X713" s="339"/>
      <c r="Y713" s="339"/>
    </row>
    <row r="714" spans="1:25" ht="15.75" customHeight="1">
      <c r="A714" s="339"/>
      <c r="B714" s="339"/>
      <c r="C714" s="339"/>
      <c r="D714" s="339"/>
      <c r="E714" s="339"/>
      <c r="F714" s="339"/>
      <c r="G714" s="339"/>
      <c r="H714" s="339"/>
      <c r="I714" s="591"/>
      <c r="J714" s="341"/>
      <c r="K714" s="591"/>
      <c r="L714" s="339"/>
      <c r="M714" s="339"/>
      <c r="N714" s="339"/>
      <c r="O714" s="339"/>
      <c r="P714" s="339"/>
      <c r="Q714" s="339"/>
      <c r="R714" s="339"/>
      <c r="S714" s="339"/>
      <c r="T714" s="339"/>
      <c r="U714" s="339"/>
      <c r="V714" s="339"/>
      <c r="W714" s="339"/>
      <c r="X714" s="339"/>
      <c r="Y714" s="339"/>
    </row>
    <row r="715" spans="1:25" ht="15.75" customHeight="1">
      <c r="A715" s="339"/>
      <c r="B715" s="339"/>
      <c r="C715" s="339"/>
      <c r="D715" s="339"/>
      <c r="E715" s="339"/>
      <c r="F715" s="339"/>
      <c r="G715" s="339"/>
      <c r="H715" s="339"/>
      <c r="I715" s="591"/>
      <c r="J715" s="341"/>
      <c r="K715" s="591"/>
      <c r="L715" s="339"/>
      <c r="M715" s="339"/>
      <c r="N715" s="339"/>
      <c r="O715" s="339"/>
      <c r="P715" s="339"/>
      <c r="Q715" s="339"/>
      <c r="R715" s="339"/>
      <c r="S715" s="339"/>
      <c r="T715" s="339"/>
      <c r="U715" s="339"/>
      <c r="V715" s="339"/>
      <c r="W715" s="339"/>
      <c r="X715" s="339"/>
      <c r="Y715" s="339"/>
    </row>
    <row r="716" spans="1:25" ht="15.75" customHeight="1">
      <c r="A716" s="339"/>
      <c r="B716" s="339"/>
      <c r="C716" s="339"/>
      <c r="D716" s="339"/>
      <c r="E716" s="339"/>
      <c r="F716" s="339"/>
      <c r="G716" s="339"/>
      <c r="H716" s="339"/>
      <c r="I716" s="591"/>
      <c r="J716" s="341"/>
      <c r="K716" s="591"/>
      <c r="L716" s="339"/>
      <c r="M716" s="339"/>
      <c r="N716" s="339"/>
      <c r="O716" s="339"/>
      <c r="P716" s="339"/>
      <c r="Q716" s="339"/>
      <c r="R716" s="339"/>
      <c r="S716" s="339"/>
      <c r="T716" s="339"/>
      <c r="U716" s="339"/>
      <c r="V716" s="339"/>
      <c r="W716" s="339"/>
      <c r="X716" s="339"/>
      <c r="Y716" s="339"/>
    </row>
    <row r="717" spans="1:25" ht="15.75" customHeight="1">
      <c r="A717" s="339"/>
      <c r="B717" s="339"/>
      <c r="C717" s="339"/>
      <c r="D717" s="339"/>
      <c r="E717" s="339"/>
      <c r="F717" s="339"/>
      <c r="G717" s="339"/>
      <c r="H717" s="339"/>
      <c r="I717" s="591"/>
      <c r="J717" s="341"/>
      <c r="K717" s="591"/>
      <c r="L717" s="339"/>
      <c r="M717" s="339"/>
      <c r="N717" s="339"/>
      <c r="O717" s="339"/>
      <c r="P717" s="339"/>
      <c r="Q717" s="339"/>
      <c r="R717" s="339"/>
      <c r="S717" s="339"/>
      <c r="T717" s="339"/>
      <c r="U717" s="339"/>
      <c r="V717" s="339"/>
      <c r="W717" s="339"/>
      <c r="X717" s="339"/>
      <c r="Y717" s="339"/>
    </row>
    <row r="718" spans="1:25" ht="15.75" customHeight="1">
      <c r="A718" s="339"/>
      <c r="B718" s="339"/>
      <c r="C718" s="339"/>
      <c r="D718" s="339"/>
      <c r="E718" s="339"/>
      <c r="F718" s="339"/>
      <c r="G718" s="339"/>
      <c r="H718" s="339"/>
      <c r="I718" s="591"/>
      <c r="J718" s="341"/>
      <c r="K718" s="591"/>
      <c r="L718" s="339"/>
      <c r="M718" s="339"/>
      <c r="N718" s="339"/>
      <c r="O718" s="339"/>
      <c r="P718" s="339"/>
      <c r="Q718" s="339"/>
      <c r="R718" s="339"/>
      <c r="S718" s="339"/>
      <c r="T718" s="339"/>
      <c r="U718" s="339"/>
      <c r="V718" s="339"/>
      <c r="W718" s="339"/>
      <c r="X718" s="339"/>
      <c r="Y718" s="339"/>
    </row>
    <row r="719" spans="1:25" ht="15.75" customHeight="1">
      <c r="A719" s="339"/>
      <c r="B719" s="339"/>
      <c r="C719" s="339"/>
      <c r="D719" s="339"/>
      <c r="E719" s="339"/>
      <c r="F719" s="339"/>
      <c r="G719" s="339"/>
      <c r="H719" s="339"/>
      <c r="I719" s="591"/>
      <c r="J719" s="341"/>
      <c r="K719" s="591"/>
      <c r="L719" s="339"/>
      <c r="M719" s="339"/>
      <c r="N719" s="339"/>
      <c r="O719" s="339"/>
      <c r="P719" s="339"/>
      <c r="Q719" s="339"/>
      <c r="R719" s="339"/>
      <c r="S719" s="339"/>
      <c r="T719" s="339"/>
      <c r="U719" s="339"/>
      <c r="V719" s="339"/>
      <c r="W719" s="339"/>
      <c r="X719" s="339"/>
      <c r="Y719" s="339"/>
    </row>
    <row r="720" spans="1:25" ht="15.75" customHeight="1">
      <c r="A720" s="339"/>
      <c r="B720" s="339"/>
      <c r="C720" s="339"/>
      <c r="D720" s="339"/>
      <c r="E720" s="339"/>
      <c r="F720" s="339"/>
      <c r="G720" s="339"/>
      <c r="H720" s="339"/>
      <c r="I720" s="591"/>
      <c r="J720" s="341"/>
      <c r="K720" s="591"/>
      <c r="L720" s="339"/>
      <c r="M720" s="339"/>
      <c r="N720" s="339"/>
      <c r="O720" s="339"/>
      <c r="P720" s="339"/>
      <c r="Q720" s="339"/>
      <c r="R720" s="339"/>
      <c r="S720" s="339"/>
      <c r="T720" s="339"/>
      <c r="U720" s="339"/>
      <c r="V720" s="339"/>
      <c r="W720" s="339"/>
      <c r="X720" s="339"/>
      <c r="Y720" s="339"/>
    </row>
    <row r="721" spans="1:25" ht="15.75" customHeight="1">
      <c r="A721" s="339"/>
      <c r="B721" s="339"/>
      <c r="C721" s="339"/>
      <c r="D721" s="339"/>
      <c r="E721" s="339"/>
      <c r="F721" s="339"/>
      <c r="G721" s="339"/>
      <c r="H721" s="339"/>
      <c r="I721" s="591"/>
      <c r="J721" s="341"/>
      <c r="K721" s="591"/>
      <c r="L721" s="339"/>
      <c r="M721" s="339"/>
      <c r="N721" s="339"/>
      <c r="O721" s="339"/>
      <c r="P721" s="339"/>
      <c r="Q721" s="339"/>
      <c r="R721" s="339"/>
      <c r="S721" s="339"/>
      <c r="T721" s="339"/>
      <c r="U721" s="339"/>
      <c r="V721" s="339"/>
      <c r="W721" s="339"/>
      <c r="X721" s="339"/>
      <c r="Y721" s="339"/>
    </row>
    <row r="722" spans="1:25" ht="15.75" customHeight="1">
      <c r="A722" s="339"/>
      <c r="B722" s="339"/>
      <c r="C722" s="339"/>
      <c r="D722" s="339"/>
      <c r="E722" s="339"/>
      <c r="F722" s="339"/>
      <c r="G722" s="339"/>
      <c r="H722" s="339"/>
      <c r="I722" s="591"/>
      <c r="J722" s="341"/>
      <c r="K722" s="591"/>
      <c r="L722" s="339"/>
      <c r="M722" s="339"/>
      <c r="N722" s="339"/>
      <c r="O722" s="339"/>
      <c r="P722" s="339"/>
      <c r="Q722" s="339"/>
      <c r="R722" s="339"/>
      <c r="S722" s="339"/>
      <c r="T722" s="339"/>
      <c r="U722" s="339"/>
      <c r="V722" s="339"/>
      <c r="W722" s="339"/>
      <c r="X722" s="339"/>
      <c r="Y722" s="339"/>
    </row>
    <row r="723" spans="1:25" ht="15.75" customHeight="1">
      <c r="A723" s="339"/>
      <c r="B723" s="339"/>
      <c r="C723" s="339"/>
      <c r="D723" s="339"/>
      <c r="E723" s="339"/>
      <c r="F723" s="339"/>
      <c r="G723" s="339"/>
      <c r="H723" s="339"/>
      <c r="I723" s="591"/>
      <c r="J723" s="341"/>
      <c r="K723" s="591"/>
      <c r="L723" s="339"/>
      <c r="M723" s="339"/>
      <c r="N723" s="339"/>
      <c r="O723" s="339"/>
      <c r="P723" s="339"/>
      <c r="Q723" s="339"/>
      <c r="R723" s="339"/>
      <c r="S723" s="339"/>
      <c r="T723" s="339"/>
      <c r="U723" s="339"/>
      <c r="V723" s="339"/>
      <c r="W723" s="339"/>
      <c r="X723" s="339"/>
      <c r="Y723" s="339"/>
    </row>
    <row r="724" spans="1:25" ht="15.75" customHeight="1">
      <c r="A724" s="339"/>
      <c r="B724" s="339"/>
      <c r="C724" s="339"/>
      <c r="D724" s="339"/>
      <c r="E724" s="339"/>
      <c r="F724" s="339"/>
      <c r="G724" s="339"/>
      <c r="H724" s="339"/>
      <c r="I724" s="591"/>
      <c r="J724" s="341"/>
      <c r="K724" s="591"/>
      <c r="L724" s="339"/>
      <c r="M724" s="339"/>
      <c r="N724" s="339"/>
      <c r="O724" s="339"/>
      <c r="P724" s="339"/>
      <c r="Q724" s="339"/>
      <c r="R724" s="339"/>
      <c r="S724" s="339"/>
      <c r="T724" s="339"/>
      <c r="U724" s="339"/>
      <c r="V724" s="339"/>
      <c r="W724" s="339"/>
      <c r="X724" s="339"/>
      <c r="Y724" s="339"/>
    </row>
    <row r="725" spans="1:25" ht="15.75" customHeight="1">
      <c r="A725" s="339"/>
      <c r="B725" s="339"/>
      <c r="C725" s="339"/>
      <c r="D725" s="339"/>
      <c r="E725" s="339"/>
      <c r="F725" s="339"/>
      <c r="G725" s="339"/>
      <c r="H725" s="339"/>
      <c r="I725" s="591"/>
      <c r="J725" s="341"/>
      <c r="K725" s="591"/>
      <c r="L725" s="339"/>
      <c r="M725" s="339"/>
      <c r="N725" s="339"/>
      <c r="O725" s="339"/>
      <c r="P725" s="339"/>
      <c r="Q725" s="339"/>
      <c r="R725" s="339"/>
      <c r="S725" s="339"/>
      <c r="T725" s="339"/>
      <c r="U725" s="339"/>
      <c r="V725" s="339"/>
      <c r="W725" s="339"/>
      <c r="X725" s="339"/>
      <c r="Y725" s="339"/>
    </row>
    <row r="726" spans="1:25" ht="15.75" customHeight="1">
      <c r="A726" s="339"/>
      <c r="B726" s="339"/>
      <c r="C726" s="339"/>
      <c r="D726" s="339"/>
      <c r="E726" s="339"/>
      <c r="F726" s="339"/>
      <c r="G726" s="339"/>
      <c r="H726" s="339"/>
      <c r="I726" s="591"/>
      <c r="J726" s="341"/>
      <c r="K726" s="591"/>
      <c r="L726" s="339"/>
      <c r="M726" s="339"/>
      <c r="N726" s="339"/>
      <c r="O726" s="339"/>
      <c r="P726" s="339"/>
      <c r="Q726" s="339"/>
      <c r="R726" s="339"/>
      <c r="S726" s="339"/>
      <c r="T726" s="339"/>
      <c r="U726" s="339"/>
      <c r="V726" s="339"/>
      <c r="W726" s="339"/>
      <c r="X726" s="339"/>
      <c r="Y726" s="339"/>
    </row>
    <row r="727" spans="1:25" ht="15.75" customHeight="1">
      <c r="A727" s="339"/>
      <c r="B727" s="339"/>
      <c r="C727" s="339"/>
      <c r="D727" s="339"/>
      <c r="E727" s="339"/>
      <c r="F727" s="339"/>
      <c r="G727" s="339"/>
      <c r="H727" s="339"/>
      <c r="I727" s="591"/>
      <c r="J727" s="341"/>
      <c r="K727" s="591"/>
      <c r="L727" s="339"/>
      <c r="M727" s="339"/>
      <c r="N727" s="339"/>
      <c r="O727" s="339"/>
      <c r="P727" s="339"/>
      <c r="Q727" s="339"/>
      <c r="R727" s="339"/>
      <c r="S727" s="339"/>
      <c r="T727" s="339"/>
      <c r="U727" s="339"/>
      <c r="V727" s="339"/>
      <c r="W727" s="339"/>
      <c r="X727" s="339"/>
      <c r="Y727" s="339"/>
    </row>
    <row r="728" spans="1:25" ht="15.75" customHeight="1">
      <c r="A728" s="339"/>
      <c r="B728" s="339"/>
      <c r="C728" s="339"/>
      <c r="D728" s="339"/>
      <c r="E728" s="339"/>
      <c r="F728" s="339"/>
      <c r="G728" s="339"/>
      <c r="H728" s="339"/>
      <c r="I728" s="591"/>
      <c r="J728" s="341"/>
      <c r="K728" s="591"/>
      <c r="L728" s="339"/>
      <c r="M728" s="339"/>
      <c r="N728" s="339"/>
      <c r="O728" s="339"/>
      <c r="P728" s="339"/>
      <c r="Q728" s="339"/>
      <c r="R728" s="339"/>
      <c r="S728" s="339"/>
      <c r="T728" s="339"/>
      <c r="U728" s="339"/>
      <c r="V728" s="339"/>
      <c r="W728" s="339"/>
      <c r="X728" s="339"/>
      <c r="Y728" s="339"/>
    </row>
    <row r="729" spans="1:25" ht="15.75" customHeight="1">
      <c r="A729" s="339"/>
      <c r="B729" s="339"/>
      <c r="C729" s="339"/>
      <c r="D729" s="339"/>
      <c r="E729" s="339"/>
      <c r="F729" s="339"/>
      <c r="G729" s="339"/>
      <c r="H729" s="339"/>
      <c r="I729" s="591"/>
      <c r="J729" s="341"/>
      <c r="K729" s="591"/>
      <c r="L729" s="339"/>
      <c r="M729" s="339"/>
      <c r="N729" s="339"/>
      <c r="O729" s="339"/>
      <c r="P729" s="339"/>
      <c r="Q729" s="339"/>
      <c r="R729" s="339"/>
      <c r="S729" s="339"/>
      <c r="T729" s="339"/>
      <c r="U729" s="339"/>
      <c r="V729" s="339"/>
      <c r="W729" s="339"/>
      <c r="X729" s="339"/>
      <c r="Y729" s="339"/>
    </row>
    <row r="730" spans="1:25" ht="15.75" customHeight="1">
      <c r="A730" s="339"/>
      <c r="B730" s="339"/>
      <c r="C730" s="339"/>
      <c r="D730" s="339"/>
      <c r="E730" s="339"/>
      <c r="F730" s="339"/>
      <c r="G730" s="339"/>
      <c r="H730" s="339"/>
      <c r="I730" s="591"/>
      <c r="J730" s="341"/>
      <c r="K730" s="591"/>
      <c r="L730" s="339"/>
      <c r="M730" s="339"/>
      <c r="N730" s="339"/>
      <c r="O730" s="339"/>
      <c r="P730" s="339"/>
      <c r="Q730" s="339"/>
      <c r="R730" s="339"/>
      <c r="S730" s="339"/>
      <c r="T730" s="339"/>
      <c r="U730" s="339"/>
      <c r="V730" s="339"/>
      <c r="W730" s="339"/>
      <c r="X730" s="339"/>
      <c r="Y730" s="339"/>
    </row>
    <row r="731" spans="1:25" ht="15.75" customHeight="1">
      <c r="A731" s="339"/>
      <c r="B731" s="339"/>
      <c r="C731" s="339"/>
      <c r="D731" s="339"/>
      <c r="E731" s="339"/>
      <c r="F731" s="339"/>
      <c r="G731" s="339"/>
      <c r="H731" s="339"/>
      <c r="I731" s="591"/>
      <c r="J731" s="341"/>
      <c r="K731" s="591"/>
      <c r="L731" s="339"/>
      <c r="M731" s="339"/>
      <c r="N731" s="339"/>
      <c r="O731" s="339"/>
      <c r="P731" s="339"/>
      <c r="Q731" s="339"/>
      <c r="R731" s="339"/>
      <c r="S731" s="339"/>
      <c r="T731" s="339"/>
      <c r="U731" s="339"/>
      <c r="V731" s="339"/>
      <c r="W731" s="339"/>
      <c r="X731" s="339"/>
      <c r="Y731" s="339"/>
    </row>
    <row r="732" spans="1:25" ht="15.75" customHeight="1">
      <c r="A732" s="339"/>
      <c r="B732" s="339"/>
      <c r="C732" s="339"/>
      <c r="D732" s="339"/>
      <c r="E732" s="339"/>
      <c r="F732" s="339"/>
      <c r="G732" s="339"/>
      <c r="H732" s="339"/>
      <c r="I732" s="591"/>
      <c r="J732" s="341"/>
      <c r="K732" s="591"/>
      <c r="L732" s="339"/>
      <c r="M732" s="339"/>
      <c r="N732" s="339"/>
      <c r="O732" s="339"/>
      <c r="P732" s="339"/>
      <c r="Q732" s="339"/>
      <c r="R732" s="339"/>
      <c r="S732" s="339"/>
      <c r="T732" s="339"/>
      <c r="U732" s="339"/>
      <c r="V732" s="339"/>
      <c r="W732" s="339"/>
      <c r="X732" s="339"/>
      <c r="Y732" s="339"/>
    </row>
    <row r="733" spans="1:25" ht="15.75" customHeight="1">
      <c r="A733" s="339"/>
      <c r="B733" s="339"/>
      <c r="C733" s="339"/>
      <c r="D733" s="339"/>
      <c r="E733" s="339"/>
      <c r="F733" s="339"/>
      <c r="G733" s="339"/>
      <c r="H733" s="339"/>
      <c r="I733" s="591"/>
      <c r="J733" s="341"/>
      <c r="K733" s="591"/>
      <c r="L733" s="339"/>
      <c r="M733" s="339"/>
      <c r="N733" s="339"/>
      <c r="O733" s="339"/>
      <c r="P733" s="339"/>
      <c r="Q733" s="339"/>
      <c r="R733" s="339"/>
      <c r="S733" s="339"/>
      <c r="T733" s="339"/>
      <c r="U733" s="339"/>
      <c r="V733" s="339"/>
      <c r="W733" s="339"/>
      <c r="X733" s="339"/>
      <c r="Y733" s="339"/>
    </row>
    <row r="734" spans="1:25" ht="15.75" customHeight="1">
      <c r="A734" s="339"/>
      <c r="B734" s="339"/>
      <c r="C734" s="339"/>
      <c r="D734" s="339"/>
      <c r="E734" s="339"/>
      <c r="F734" s="339"/>
      <c r="G734" s="339"/>
      <c r="H734" s="339"/>
      <c r="I734" s="591"/>
      <c r="J734" s="341"/>
      <c r="K734" s="591"/>
      <c r="L734" s="339"/>
      <c r="M734" s="339"/>
      <c r="N734" s="339"/>
      <c r="O734" s="339"/>
      <c r="P734" s="339"/>
      <c r="Q734" s="339"/>
      <c r="R734" s="339"/>
      <c r="S734" s="339"/>
      <c r="T734" s="339"/>
      <c r="U734" s="339"/>
      <c r="V734" s="339"/>
      <c r="W734" s="339"/>
      <c r="X734" s="339"/>
      <c r="Y734" s="339"/>
    </row>
    <row r="735" spans="1:25" ht="15.75" customHeight="1">
      <c r="A735" s="339"/>
      <c r="B735" s="339"/>
      <c r="C735" s="339"/>
      <c r="D735" s="339"/>
      <c r="E735" s="339"/>
      <c r="F735" s="339"/>
      <c r="G735" s="339"/>
      <c r="H735" s="339"/>
      <c r="I735" s="591"/>
      <c r="J735" s="341"/>
      <c r="K735" s="591"/>
      <c r="L735" s="339"/>
      <c r="M735" s="339"/>
      <c r="N735" s="339"/>
      <c r="O735" s="339"/>
      <c r="P735" s="339"/>
      <c r="Q735" s="339"/>
      <c r="R735" s="339"/>
      <c r="S735" s="339"/>
      <c r="T735" s="339"/>
      <c r="U735" s="339"/>
      <c r="V735" s="339"/>
      <c r="W735" s="339"/>
      <c r="X735" s="339"/>
      <c r="Y735" s="339"/>
    </row>
    <row r="736" spans="1:25" ht="15.75" customHeight="1">
      <c r="A736" s="339"/>
      <c r="B736" s="339"/>
      <c r="C736" s="339"/>
      <c r="D736" s="339"/>
      <c r="E736" s="339"/>
      <c r="F736" s="339"/>
      <c r="G736" s="339"/>
      <c r="H736" s="339"/>
      <c r="I736" s="591"/>
      <c r="J736" s="341"/>
      <c r="K736" s="591"/>
      <c r="L736" s="339"/>
      <c r="M736" s="339"/>
      <c r="N736" s="339"/>
      <c r="O736" s="339"/>
      <c r="P736" s="339"/>
      <c r="Q736" s="339"/>
      <c r="R736" s="339"/>
      <c r="S736" s="339"/>
      <c r="T736" s="339"/>
      <c r="U736" s="339"/>
      <c r="V736" s="339"/>
      <c r="W736" s="339"/>
      <c r="X736" s="339"/>
      <c r="Y736" s="339"/>
    </row>
    <row r="737" spans="1:25" ht="15.75" customHeight="1">
      <c r="A737" s="339"/>
      <c r="B737" s="339"/>
      <c r="C737" s="339"/>
      <c r="D737" s="339"/>
      <c r="E737" s="339"/>
      <c r="F737" s="339"/>
      <c r="G737" s="339"/>
      <c r="H737" s="339"/>
      <c r="I737" s="591"/>
      <c r="J737" s="341"/>
      <c r="K737" s="591"/>
      <c r="L737" s="339"/>
      <c r="M737" s="339"/>
      <c r="N737" s="339"/>
      <c r="O737" s="339"/>
      <c r="P737" s="339"/>
      <c r="Q737" s="339"/>
      <c r="R737" s="339"/>
      <c r="S737" s="339"/>
      <c r="T737" s="339"/>
      <c r="U737" s="339"/>
      <c r="V737" s="339"/>
      <c r="W737" s="339"/>
      <c r="X737" s="339"/>
      <c r="Y737" s="339"/>
    </row>
    <row r="738" spans="1:25" ht="15.75" customHeight="1">
      <c r="A738" s="339"/>
      <c r="B738" s="339"/>
      <c r="C738" s="339"/>
      <c r="D738" s="339"/>
      <c r="E738" s="339"/>
      <c r="F738" s="339"/>
      <c r="G738" s="339"/>
      <c r="H738" s="339"/>
      <c r="I738" s="591"/>
      <c r="J738" s="341"/>
      <c r="K738" s="591"/>
      <c r="L738" s="339"/>
      <c r="M738" s="339"/>
      <c r="N738" s="339"/>
      <c r="O738" s="339"/>
      <c r="P738" s="339"/>
      <c r="Q738" s="339"/>
      <c r="R738" s="339"/>
      <c r="S738" s="339"/>
      <c r="T738" s="339"/>
      <c r="U738" s="339"/>
      <c r="V738" s="339"/>
      <c r="W738" s="339"/>
      <c r="X738" s="339"/>
      <c r="Y738" s="339"/>
    </row>
    <row r="739" spans="1:25" ht="15.75" customHeight="1">
      <c r="A739" s="339"/>
      <c r="B739" s="339"/>
      <c r="C739" s="339"/>
      <c r="D739" s="339"/>
      <c r="E739" s="339"/>
      <c r="F739" s="339"/>
      <c r="G739" s="339"/>
      <c r="H739" s="339"/>
      <c r="I739" s="591"/>
      <c r="J739" s="341"/>
      <c r="K739" s="591"/>
      <c r="L739" s="339"/>
      <c r="M739" s="339"/>
      <c r="N739" s="339"/>
      <c r="O739" s="339"/>
      <c r="P739" s="339"/>
      <c r="Q739" s="339"/>
      <c r="R739" s="339"/>
      <c r="S739" s="339"/>
      <c r="T739" s="339"/>
      <c r="U739" s="339"/>
      <c r="V739" s="339"/>
      <c r="W739" s="339"/>
      <c r="X739" s="339"/>
      <c r="Y739" s="339"/>
    </row>
    <row r="740" spans="1:25" ht="15.75" customHeight="1">
      <c r="A740" s="339"/>
      <c r="B740" s="339"/>
      <c r="C740" s="339"/>
      <c r="D740" s="339"/>
      <c r="E740" s="339"/>
      <c r="F740" s="339"/>
      <c r="G740" s="339"/>
      <c r="H740" s="339"/>
      <c r="I740" s="591"/>
      <c r="J740" s="341"/>
      <c r="K740" s="591"/>
      <c r="L740" s="339"/>
      <c r="M740" s="339"/>
      <c r="N740" s="339"/>
      <c r="O740" s="339"/>
      <c r="P740" s="339"/>
      <c r="Q740" s="339"/>
      <c r="R740" s="339"/>
      <c r="S740" s="339"/>
      <c r="T740" s="339"/>
      <c r="U740" s="339"/>
      <c r="V740" s="339"/>
      <c r="W740" s="339"/>
      <c r="X740" s="339"/>
      <c r="Y740" s="339"/>
    </row>
    <row r="741" spans="1:25" ht="15.75" customHeight="1">
      <c r="A741" s="339"/>
      <c r="B741" s="339"/>
      <c r="C741" s="339"/>
      <c r="D741" s="339"/>
      <c r="E741" s="339"/>
      <c r="F741" s="339"/>
      <c r="G741" s="339"/>
      <c r="H741" s="339"/>
      <c r="I741" s="591"/>
      <c r="J741" s="341"/>
      <c r="K741" s="591"/>
      <c r="L741" s="339"/>
      <c r="M741" s="339"/>
      <c r="N741" s="339"/>
      <c r="O741" s="339"/>
      <c r="P741" s="339"/>
      <c r="Q741" s="339"/>
      <c r="R741" s="339"/>
      <c r="S741" s="339"/>
      <c r="T741" s="339"/>
      <c r="U741" s="339"/>
      <c r="V741" s="339"/>
      <c r="W741" s="339"/>
      <c r="X741" s="339"/>
      <c r="Y741" s="339"/>
    </row>
    <row r="742" spans="1:25" ht="15.75" customHeight="1">
      <c r="A742" s="339"/>
      <c r="B742" s="339"/>
      <c r="C742" s="339"/>
      <c r="D742" s="339"/>
      <c r="E742" s="339"/>
      <c r="F742" s="339"/>
      <c r="G742" s="339"/>
      <c r="H742" s="339"/>
      <c r="I742" s="591"/>
      <c r="J742" s="341"/>
      <c r="K742" s="591"/>
      <c r="L742" s="339"/>
      <c r="M742" s="339"/>
      <c r="N742" s="339"/>
      <c r="O742" s="339"/>
      <c r="P742" s="339"/>
      <c r="Q742" s="339"/>
      <c r="R742" s="339"/>
      <c r="S742" s="339"/>
      <c r="T742" s="339"/>
      <c r="U742" s="339"/>
      <c r="V742" s="339"/>
      <c r="W742" s="339"/>
      <c r="X742" s="339"/>
      <c r="Y742" s="339"/>
    </row>
    <row r="743" spans="1:25" ht="15.75" customHeight="1">
      <c r="A743" s="339"/>
      <c r="B743" s="339"/>
      <c r="C743" s="339"/>
      <c r="D743" s="339"/>
      <c r="E743" s="339"/>
      <c r="F743" s="339"/>
      <c r="G743" s="339"/>
      <c r="H743" s="339"/>
      <c r="I743" s="591"/>
      <c r="J743" s="341"/>
      <c r="K743" s="591"/>
      <c r="L743" s="339"/>
      <c r="M743" s="339"/>
      <c r="N743" s="339"/>
      <c r="O743" s="339"/>
      <c r="P743" s="339"/>
      <c r="Q743" s="339"/>
      <c r="R743" s="339"/>
      <c r="S743" s="339"/>
      <c r="T743" s="339"/>
      <c r="U743" s="339"/>
      <c r="V743" s="339"/>
      <c r="W743" s="339"/>
      <c r="X743" s="339"/>
      <c r="Y743" s="339"/>
    </row>
    <row r="744" spans="1:25" ht="15.75" customHeight="1">
      <c r="A744" s="339"/>
      <c r="B744" s="339"/>
      <c r="C744" s="339"/>
      <c r="D744" s="339"/>
      <c r="E744" s="339"/>
      <c r="F744" s="339"/>
      <c r="G744" s="339"/>
      <c r="H744" s="339"/>
      <c r="I744" s="591"/>
      <c r="J744" s="341"/>
      <c r="K744" s="591"/>
      <c r="L744" s="339"/>
      <c r="M744" s="339"/>
      <c r="N744" s="339"/>
      <c r="O744" s="339"/>
      <c r="P744" s="339"/>
      <c r="Q744" s="339"/>
      <c r="R744" s="339"/>
      <c r="S744" s="339"/>
      <c r="T744" s="339"/>
      <c r="U744" s="339"/>
      <c r="V744" s="339"/>
      <c r="W744" s="339"/>
      <c r="X744" s="339"/>
      <c r="Y744" s="339"/>
    </row>
    <row r="745" spans="1:25" ht="15.75" customHeight="1">
      <c r="A745" s="339"/>
      <c r="B745" s="339"/>
      <c r="C745" s="339"/>
      <c r="D745" s="339"/>
      <c r="E745" s="339"/>
      <c r="F745" s="339"/>
      <c r="G745" s="339"/>
      <c r="H745" s="339"/>
      <c r="I745" s="591"/>
      <c r="J745" s="341"/>
      <c r="K745" s="591"/>
      <c r="L745" s="339"/>
      <c r="M745" s="339"/>
      <c r="N745" s="339"/>
      <c r="O745" s="339"/>
      <c r="P745" s="339"/>
      <c r="Q745" s="339"/>
      <c r="R745" s="339"/>
      <c r="S745" s="339"/>
      <c r="T745" s="339"/>
      <c r="U745" s="339"/>
      <c r="V745" s="339"/>
      <c r="W745" s="339"/>
      <c r="X745" s="339"/>
      <c r="Y745" s="339"/>
    </row>
    <row r="746" spans="1:25" ht="15.75" customHeight="1">
      <c r="A746" s="339"/>
      <c r="B746" s="339"/>
      <c r="C746" s="339"/>
      <c r="D746" s="339"/>
      <c r="E746" s="339"/>
      <c r="F746" s="339"/>
      <c r="G746" s="339"/>
      <c r="H746" s="339"/>
      <c r="I746" s="591"/>
      <c r="J746" s="341"/>
      <c r="K746" s="591"/>
      <c r="L746" s="339"/>
      <c r="M746" s="339"/>
      <c r="N746" s="339"/>
      <c r="O746" s="339"/>
      <c r="P746" s="339"/>
      <c r="Q746" s="339"/>
      <c r="R746" s="339"/>
      <c r="S746" s="339"/>
      <c r="T746" s="339"/>
      <c r="U746" s="339"/>
      <c r="V746" s="339"/>
      <c r="W746" s="339"/>
      <c r="X746" s="339"/>
      <c r="Y746" s="339"/>
    </row>
    <row r="747" spans="1:25" ht="15.75" customHeight="1">
      <c r="A747" s="339"/>
      <c r="B747" s="339"/>
      <c r="C747" s="339"/>
      <c r="D747" s="339"/>
      <c r="E747" s="339"/>
      <c r="F747" s="339"/>
      <c r="G747" s="339"/>
      <c r="H747" s="339"/>
      <c r="I747" s="591"/>
      <c r="J747" s="341"/>
      <c r="K747" s="591"/>
      <c r="L747" s="339"/>
      <c r="M747" s="339"/>
      <c r="N747" s="339"/>
      <c r="O747" s="339"/>
      <c r="P747" s="339"/>
      <c r="Q747" s="339"/>
      <c r="R747" s="339"/>
      <c r="S747" s="339"/>
      <c r="T747" s="339"/>
      <c r="U747" s="339"/>
      <c r="V747" s="339"/>
      <c r="W747" s="339"/>
      <c r="X747" s="339"/>
      <c r="Y747" s="339"/>
    </row>
    <row r="748" spans="1:25" ht="15.75" customHeight="1">
      <c r="A748" s="339"/>
      <c r="B748" s="339"/>
      <c r="C748" s="339"/>
      <c r="D748" s="339"/>
      <c r="E748" s="339"/>
      <c r="F748" s="339"/>
      <c r="G748" s="339"/>
      <c r="H748" s="339"/>
      <c r="I748" s="591"/>
      <c r="J748" s="341"/>
      <c r="K748" s="591"/>
      <c r="L748" s="339"/>
      <c r="M748" s="339"/>
      <c r="N748" s="339"/>
      <c r="O748" s="339"/>
      <c r="P748" s="339"/>
      <c r="Q748" s="339"/>
      <c r="R748" s="339"/>
      <c r="S748" s="339"/>
      <c r="T748" s="339"/>
      <c r="U748" s="339"/>
      <c r="V748" s="339"/>
      <c r="W748" s="339"/>
      <c r="X748" s="339"/>
      <c r="Y748" s="339"/>
    </row>
    <row r="749" spans="1:25" ht="15.75" customHeight="1">
      <c r="A749" s="339"/>
      <c r="B749" s="339"/>
      <c r="C749" s="339"/>
      <c r="D749" s="339"/>
      <c r="E749" s="339"/>
      <c r="F749" s="339"/>
      <c r="G749" s="339"/>
      <c r="H749" s="339"/>
      <c r="I749" s="591"/>
      <c r="J749" s="341"/>
      <c r="K749" s="591"/>
      <c r="L749" s="339"/>
      <c r="M749" s="339"/>
      <c r="N749" s="339"/>
      <c r="O749" s="339"/>
      <c r="P749" s="339"/>
      <c r="Q749" s="339"/>
      <c r="R749" s="339"/>
      <c r="S749" s="339"/>
      <c r="T749" s="339"/>
      <c r="U749" s="339"/>
      <c r="V749" s="339"/>
      <c r="W749" s="339"/>
      <c r="X749" s="339"/>
      <c r="Y749" s="339"/>
    </row>
    <row r="750" spans="1:25" ht="15.75" customHeight="1">
      <c r="A750" s="339"/>
      <c r="B750" s="339"/>
      <c r="C750" s="339"/>
      <c r="D750" s="339"/>
      <c r="E750" s="339"/>
      <c r="F750" s="339"/>
      <c r="G750" s="339"/>
      <c r="H750" s="339"/>
      <c r="I750" s="591"/>
      <c r="J750" s="341"/>
      <c r="K750" s="591"/>
      <c r="L750" s="339"/>
      <c r="M750" s="339"/>
      <c r="N750" s="339"/>
      <c r="O750" s="339"/>
      <c r="P750" s="339"/>
      <c r="Q750" s="339"/>
      <c r="R750" s="339"/>
      <c r="S750" s="339"/>
      <c r="T750" s="339"/>
      <c r="U750" s="339"/>
      <c r="V750" s="339"/>
      <c r="W750" s="339"/>
      <c r="X750" s="339"/>
      <c r="Y750" s="339"/>
    </row>
    <row r="751" spans="1:25" ht="15.75" customHeight="1">
      <c r="A751" s="339"/>
      <c r="B751" s="339"/>
      <c r="C751" s="339"/>
      <c r="D751" s="339"/>
      <c r="E751" s="339"/>
      <c r="F751" s="339"/>
      <c r="G751" s="339"/>
      <c r="H751" s="339"/>
      <c r="I751" s="591"/>
      <c r="J751" s="341"/>
      <c r="K751" s="591"/>
      <c r="L751" s="339"/>
      <c r="M751" s="339"/>
      <c r="N751" s="339"/>
      <c r="O751" s="339"/>
      <c r="P751" s="339"/>
      <c r="Q751" s="339"/>
      <c r="R751" s="339"/>
      <c r="S751" s="339"/>
      <c r="T751" s="339"/>
      <c r="U751" s="339"/>
      <c r="V751" s="339"/>
      <c r="W751" s="339"/>
      <c r="X751" s="339"/>
      <c r="Y751" s="339"/>
    </row>
    <row r="752" spans="1:25" ht="15.75" customHeight="1">
      <c r="A752" s="339"/>
      <c r="B752" s="339"/>
      <c r="C752" s="339"/>
      <c r="D752" s="339"/>
      <c r="E752" s="339"/>
      <c r="F752" s="339"/>
      <c r="G752" s="339"/>
      <c r="H752" s="339"/>
      <c r="I752" s="591"/>
      <c r="J752" s="341"/>
      <c r="K752" s="591"/>
      <c r="L752" s="339"/>
      <c r="M752" s="339"/>
      <c r="N752" s="339"/>
      <c r="O752" s="339"/>
      <c r="P752" s="339"/>
      <c r="Q752" s="339"/>
      <c r="R752" s="339"/>
      <c r="S752" s="339"/>
      <c r="T752" s="339"/>
      <c r="U752" s="339"/>
      <c r="V752" s="339"/>
      <c r="W752" s="339"/>
      <c r="X752" s="339"/>
      <c r="Y752" s="339"/>
    </row>
    <row r="753" spans="1:25" ht="15.75" customHeight="1">
      <c r="A753" s="339"/>
      <c r="B753" s="339"/>
      <c r="C753" s="339"/>
      <c r="D753" s="339"/>
      <c r="E753" s="339"/>
      <c r="F753" s="339"/>
      <c r="G753" s="339"/>
      <c r="H753" s="339"/>
      <c r="I753" s="591"/>
      <c r="J753" s="341"/>
      <c r="K753" s="591"/>
      <c r="L753" s="339"/>
      <c r="M753" s="339"/>
      <c r="N753" s="339"/>
      <c r="O753" s="339"/>
      <c r="P753" s="339"/>
      <c r="Q753" s="339"/>
      <c r="R753" s="339"/>
      <c r="S753" s="339"/>
      <c r="T753" s="339"/>
      <c r="U753" s="339"/>
      <c r="V753" s="339"/>
      <c r="W753" s="339"/>
      <c r="X753" s="339"/>
      <c r="Y753" s="339"/>
    </row>
    <row r="754" spans="1:25" ht="15.75" customHeight="1">
      <c r="A754" s="339"/>
      <c r="B754" s="339"/>
      <c r="C754" s="339"/>
      <c r="D754" s="339"/>
      <c r="E754" s="339"/>
      <c r="F754" s="339"/>
      <c r="G754" s="339"/>
      <c r="H754" s="339"/>
      <c r="I754" s="591"/>
      <c r="J754" s="341"/>
      <c r="K754" s="591"/>
      <c r="L754" s="339"/>
      <c r="M754" s="339"/>
      <c r="N754" s="339"/>
      <c r="O754" s="339"/>
      <c r="P754" s="339"/>
      <c r="Q754" s="339"/>
      <c r="R754" s="339"/>
      <c r="S754" s="339"/>
      <c r="T754" s="339"/>
      <c r="U754" s="339"/>
      <c r="V754" s="339"/>
      <c r="W754" s="339"/>
      <c r="X754" s="339"/>
      <c r="Y754" s="339"/>
    </row>
    <row r="755" spans="1:25" ht="15.75" customHeight="1">
      <c r="A755" s="339"/>
      <c r="B755" s="339"/>
      <c r="C755" s="339"/>
      <c r="D755" s="339"/>
      <c r="E755" s="339"/>
      <c r="F755" s="339"/>
      <c r="G755" s="339"/>
      <c r="H755" s="339"/>
      <c r="I755" s="591"/>
      <c r="J755" s="341"/>
      <c r="K755" s="591"/>
      <c r="L755" s="339"/>
      <c r="M755" s="339"/>
      <c r="N755" s="339"/>
      <c r="O755" s="339"/>
      <c r="P755" s="339"/>
      <c r="Q755" s="339"/>
      <c r="R755" s="339"/>
      <c r="S755" s="339"/>
      <c r="T755" s="339"/>
      <c r="U755" s="339"/>
      <c r="V755" s="339"/>
      <c r="W755" s="339"/>
      <c r="X755" s="339"/>
      <c r="Y755" s="339"/>
    </row>
    <row r="756" spans="1:25" ht="15.75" customHeight="1">
      <c r="A756" s="339"/>
      <c r="B756" s="339"/>
      <c r="C756" s="339"/>
      <c r="D756" s="339"/>
      <c r="E756" s="339"/>
      <c r="F756" s="339"/>
      <c r="G756" s="339"/>
      <c r="H756" s="339"/>
      <c r="I756" s="591"/>
      <c r="J756" s="341"/>
      <c r="K756" s="591"/>
      <c r="L756" s="339"/>
      <c r="M756" s="339"/>
      <c r="N756" s="339"/>
      <c r="O756" s="339"/>
      <c r="P756" s="339"/>
      <c r="Q756" s="339"/>
      <c r="R756" s="339"/>
      <c r="S756" s="339"/>
      <c r="T756" s="339"/>
      <c r="U756" s="339"/>
      <c r="V756" s="339"/>
      <c r="W756" s="339"/>
      <c r="X756" s="339"/>
      <c r="Y756" s="339"/>
    </row>
    <row r="757" spans="1:25" ht="15.75" customHeight="1">
      <c r="A757" s="339"/>
      <c r="B757" s="339"/>
      <c r="C757" s="339"/>
      <c r="D757" s="339"/>
      <c r="E757" s="339"/>
      <c r="F757" s="339"/>
      <c r="G757" s="339"/>
      <c r="H757" s="339"/>
      <c r="I757" s="591"/>
      <c r="J757" s="341"/>
      <c r="K757" s="591"/>
      <c r="L757" s="339"/>
      <c r="M757" s="339"/>
      <c r="N757" s="339"/>
      <c r="O757" s="339"/>
      <c r="P757" s="339"/>
      <c r="Q757" s="339"/>
      <c r="R757" s="339"/>
      <c r="S757" s="339"/>
      <c r="T757" s="339"/>
      <c r="U757" s="339"/>
      <c r="V757" s="339"/>
      <c r="W757" s="339"/>
      <c r="X757" s="339"/>
      <c r="Y757" s="339"/>
    </row>
    <row r="758" spans="1:25" ht="15.75" customHeight="1">
      <c r="A758" s="339"/>
      <c r="B758" s="339"/>
      <c r="C758" s="339"/>
      <c r="D758" s="339"/>
      <c r="E758" s="339"/>
      <c r="F758" s="339"/>
      <c r="G758" s="339"/>
      <c r="H758" s="339"/>
      <c r="I758" s="591"/>
      <c r="J758" s="341"/>
      <c r="K758" s="591"/>
      <c r="L758" s="339"/>
      <c r="M758" s="339"/>
      <c r="N758" s="339"/>
      <c r="O758" s="339"/>
      <c r="P758" s="339"/>
      <c r="Q758" s="339"/>
      <c r="R758" s="339"/>
      <c r="S758" s="339"/>
      <c r="T758" s="339"/>
      <c r="U758" s="339"/>
      <c r="V758" s="339"/>
      <c r="W758" s="339"/>
      <c r="X758" s="339"/>
      <c r="Y758" s="339"/>
    </row>
    <row r="759" spans="1:25" ht="15.75" customHeight="1">
      <c r="A759" s="339"/>
      <c r="B759" s="339"/>
      <c r="C759" s="339"/>
      <c r="D759" s="339"/>
      <c r="E759" s="339"/>
      <c r="F759" s="339"/>
      <c r="G759" s="339"/>
      <c r="H759" s="339"/>
      <c r="I759" s="591"/>
      <c r="J759" s="341"/>
      <c r="K759" s="591"/>
      <c r="L759" s="339"/>
      <c r="M759" s="339"/>
      <c r="N759" s="339"/>
      <c r="O759" s="339"/>
      <c r="P759" s="339"/>
      <c r="Q759" s="339"/>
      <c r="R759" s="339"/>
      <c r="S759" s="339"/>
      <c r="T759" s="339"/>
      <c r="U759" s="339"/>
      <c r="V759" s="339"/>
      <c r="W759" s="339"/>
      <c r="X759" s="339"/>
      <c r="Y759" s="339"/>
    </row>
    <row r="760" spans="1:25" ht="15.75" customHeight="1">
      <c r="A760" s="339"/>
      <c r="B760" s="339"/>
      <c r="C760" s="339"/>
      <c r="D760" s="339"/>
      <c r="E760" s="339"/>
      <c r="F760" s="339"/>
      <c r="G760" s="339"/>
      <c r="H760" s="339"/>
      <c r="I760" s="591"/>
      <c r="J760" s="341"/>
      <c r="K760" s="591"/>
      <c r="L760" s="339"/>
      <c r="M760" s="339"/>
      <c r="N760" s="339"/>
      <c r="O760" s="339"/>
      <c r="P760" s="339"/>
      <c r="Q760" s="339"/>
      <c r="R760" s="339"/>
      <c r="S760" s="339"/>
      <c r="T760" s="339"/>
      <c r="U760" s="339"/>
      <c r="V760" s="339"/>
      <c r="W760" s="339"/>
      <c r="X760" s="339"/>
      <c r="Y760" s="339"/>
    </row>
    <row r="761" spans="1:25" ht="15.75" customHeight="1">
      <c r="A761" s="339"/>
      <c r="B761" s="339"/>
      <c r="C761" s="339"/>
      <c r="D761" s="339"/>
      <c r="E761" s="339"/>
      <c r="F761" s="339"/>
      <c r="G761" s="339"/>
      <c r="H761" s="339"/>
      <c r="I761" s="591"/>
      <c r="J761" s="341"/>
      <c r="K761" s="591"/>
      <c r="L761" s="339"/>
      <c r="M761" s="339"/>
      <c r="N761" s="339"/>
      <c r="O761" s="339"/>
      <c r="P761" s="339"/>
      <c r="Q761" s="339"/>
      <c r="R761" s="339"/>
      <c r="S761" s="339"/>
      <c r="T761" s="339"/>
      <c r="U761" s="339"/>
      <c r="V761" s="339"/>
      <c r="W761" s="339"/>
      <c r="X761" s="339"/>
      <c r="Y761" s="339"/>
    </row>
    <row r="762" spans="1:25" ht="15.75" customHeight="1">
      <c r="A762" s="339"/>
      <c r="B762" s="339"/>
      <c r="C762" s="339"/>
      <c r="D762" s="339"/>
      <c r="E762" s="339"/>
      <c r="F762" s="339"/>
      <c r="G762" s="339"/>
      <c r="H762" s="339"/>
      <c r="I762" s="591"/>
      <c r="J762" s="341"/>
      <c r="K762" s="591"/>
      <c r="L762" s="339"/>
      <c r="M762" s="339"/>
      <c r="N762" s="339"/>
      <c r="O762" s="339"/>
      <c r="P762" s="339"/>
      <c r="Q762" s="339"/>
      <c r="R762" s="339"/>
      <c r="S762" s="339"/>
      <c r="T762" s="339"/>
      <c r="U762" s="339"/>
      <c r="V762" s="339"/>
      <c r="W762" s="339"/>
      <c r="X762" s="339"/>
      <c r="Y762" s="339"/>
    </row>
    <row r="763" spans="1:25" ht="15.75" customHeight="1">
      <c r="A763" s="339"/>
      <c r="B763" s="339"/>
      <c r="C763" s="339"/>
      <c r="D763" s="339"/>
      <c r="E763" s="339"/>
      <c r="F763" s="339"/>
      <c r="G763" s="339"/>
      <c r="H763" s="339"/>
      <c r="I763" s="591"/>
      <c r="J763" s="341"/>
      <c r="K763" s="591"/>
      <c r="L763" s="339"/>
      <c r="M763" s="339"/>
      <c r="N763" s="339"/>
      <c r="O763" s="339"/>
      <c r="P763" s="339"/>
      <c r="Q763" s="339"/>
      <c r="R763" s="339"/>
      <c r="S763" s="339"/>
      <c r="T763" s="339"/>
      <c r="U763" s="339"/>
      <c r="V763" s="339"/>
      <c r="W763" s="339"/>
      <c r="X763" s="339"/>
      <c r="Y763" s="339"/>
    </row>
    <row r="764" spans="1:25" ht="15.75" customHeight="1">
      <c r="A764" s="339"/>
      <c r="B764" s="339"/>
      <c r="C764" s="339"/>
      <c r="D764" s="339"/>
      <c r="E764" s="339"/>
      <c r="F764" s="339"/>
      <c r="G764" s="339"/>
      <c r="H764" s="339"/>
      <c r="I764" s="591"/>
      <c r="J764" s="341"/>
      <c r="K764" s="591"/>
      <c r="L764" s="339"/>
      <c r="M764" s="339"/>
      <c r="N764" s="339"/>
      <c r="O764" s="339"/>
      <c r="P764" s="339"/>
      <c r="Q764" s="339"/>
      <c r="R764" s="339"/>
      <c r="S764" s="339"/>
      <c r="T764" s="339"/>
      <c r="U764" s="339"/>
      <c r="V764" s="339"/>
      <c r="W764" s="339"/>
      <c r="X764" s="339"/>
      <c r="Y764" s="339"/>
    </row>
    <row r="765" spans="1:25" ht="15.75" customHeight="1">
      <c r="A765" s="339"/>
      <c r="B765" s="339"/>
      <c r="C765" s="339"/>
      <c r="D765" s="339"/>
      <c r="E765" s="339"/>
      <c r="F765" s="339"/>
      <c r="G765" s="339"/>
      <c r="H765" s="339"/>
      <c r="I765" s="591"/>
      <c r="J765" s="341"/>
      <c r="K765" s="591"/>
      <c r="L765" s="339"/>
      <c r="M765" s="339"/>
      <c r="N765" s="339"/>
      <c r="O765" s="339"/>
      <c r="P765" s="339"/>
      <c r="Q765" s="339"/>
      <c r="R765" s="339"/>
      <c r="S765" s="339"/>
      <c r="T765" s="339"/>
      <c r="U765" s="339"/>
      <c r="V765" s="339"/>
      <c r="W765" s="339"/>
      <c r="X765" s="339"/>
      <c r="Y765" s="339"/>
    </row>
    <row r="766" spans="1:25" ht="15.75" customHeight="1">
      <c r="A766" s="339"/>
      <c r="B766" s="339"/>
      <c r="C766" s="339"/>
      <c r="D766" s="339"/>
      <c r="E766" s="339"/>
      <c r="F766" s="339"/>
      <c r="G766" s="339"/>
      <c r="H766" s="339"/>
      <c r="I766" s="591"/>
      <c r="J766" s="341"/>
      <c r="K766" s="591"/>
      <c r="L766" s="339"/>
      <c r="M766" s="339"/>
      <c r="N766" s="339"/>
      <c r="O766" s="339"/>
      <c r="P766" s="339"/>
      <c r="Q766" s="339"/>
      <c r="R766" s="339"/>
      <c r="S766" s="339"/>
      <c r="T766" s="339"/>
      <c r="U766" s="339"/>
      <c r="V766" s="339"/>
      <c r="W766" s="339"/>
      <c r="X766" s="339"/>
      <c r="Y766" s="339"/>
    </row>
    <row r="767" spans="1:25" ht="15.75" customHeight="1">
      <c r="A767" s="339"/>
      <c r="B767" s="339"/>
      <c r="C767" s="339"/>
      <c r="D767" s="339"/>
      <c r="E767" s="339"/>
      <c r="F767" s="339"/>
      <c r="G767" s="339"/>
      <c r="H767" s="339"/>
      <c r="I767" s="591"/>
      <c r="J767" s="341"/>
      <c r="K767" s="591"/>
      <c r="L767" s="339"/>
      <c r="M767" s="339"/>
      <c r="N767" s="339"/>
      <c r="O767" s="339"/>
      <c r="P767" s="339"/>
      <c r="Q767" s="339"/>
      <c r="R767" s="339"/>
      <c r="S767" s="339"/>
      <c r="T767" s="339"/>
      <c r="U767" s="339"/>
      <c r="V767" s="339"/>
      <c r="W767" s="339"/>
      <c r="X767" s="339"/>
      <c r="Y767" s="339"/>
    </row>
    <row r="768" spans="1:25" ht="15.75" customHeight="1">
      <c r="A768" s="339"/>
      <c r="B768" s="339"/>
      <c r="C768" s="339"/>
      <c r="D768" s="339"/>
      <c r="E768" s="339"/>
      <c r="F768" s="339"/>
      <c r="G768" s="339"/>
      <c r="H768" s="339"/>
      <c r="I768" s="591"/>
      <c r="J768" s="341"/>
      <c r="K768" s="591"/>
      <c r="L768" s="339"/>
      <c r="M768" s="339"/>
      <c r="N768" s="339"/>
      <c r="O768" s="339"/>
      <c r="P768" s="339"/>
      <c r="Q768" s="339"/>
      <c r="R768" s="339"/>
      <c r="S768" s="339"/>
      <c r="T768" s="339"/>
      <c r="U768" s="339"/>
      <c r="V768" s="339"/>
      <c r="W768" s="339"/>
      <c r="X768" s="339"/>
      <c r="Y768" s="339"/>
    </row>
    <row r="769" spans="1:25" ht="15.75" customHeight="1">
      <c r="A769" s="339"/>
      <c r="B769" s="339"/>
      <c r="C769" s="339"/>
      <c r="D769" s="339"/>
      <c r="E769" s="339"/>
      <c r="F769" s="339"/>
      <c r="G769" s="339"/>
      <c r="H769" s="339"/>
      <c r="I769" s="591"/>
      <c r="J769" s="341"/>
      <c r="K769" s="591"/>
      <c r="L769" s="339"/>
      <c r="M769" s="339"/>
      <c r="N769" s="339"/>
      <c r="O769" s="339"/>
      <c r="P769" s="339"/>
      <c r="Q769" s="339"/>
      <c r="R769" s="339"/>
      <c r="S769" s="339"/>
      <c r="T769" s="339"/>
      <c r="U769" s="339"/>
      <c r="V769" s="339"/>
      <c r="W769" s="339"/>
      <c r="X769" s="339"/>
      <c r="Y769" s="339"/>
    </row>
    <row r="770" spans="1:25" ht="15.75" customHeight="1">
      <c r="A770" s="339"/>
      <c r="B770" s="339"/>
      <c r="C770" s="339"/>
      <c r="D770" s="339"/>
      <c r="E770" s="339"/>
      <c r="F770" s="339"/>
      <c r="G770" s="339"/>
      <c r="H770" s="339"/>
      <c r="I770" s="591"/>
      <c r="J770" s="341"/>
      <c r="K770" s="591"/>
      <c r="L770" s="339"/>
      <c r="M770" s="339"/>
      <c r="N770" s="339"/>
      <c r="O770" s="339"/>
      <c r="P770" s="339"/>
      <c r="Q770" s="339"/>
      <c r="R770" s="339"/>
      <c r="S770" s="339"/>
      <c r="T770" s="339"/>
      <c r="U770" s="339"/>
      <c r="V770" s="339"/>
      <c r="W770" s="339"/>
      <c r="X770" s="339"/>
      <c r="Y770" s="339"/>
    </row>
    <row r="771" spans="1:25" ht="15.75" customHeight="1">
      <c r="A771" s="339"/>
      <c r="B771" s="339"/>
      <c r="C771" s="339"/>
      <c r="D771" s="339"/>
      <c r="E771" s="339"/>
      <c r="F771" s="339"/>
      <c r="G771" s="339"/>
      <c r="H771" s="339"/>
      <c r="I771" s="591"/>
      <c r="J771" s="341"/>
      <c r="K771" s="591"/>
      <c r="L771" s="339"/>
      <c r="M771" s="339"/>
      <c r="N771" s="339"/>
      <c r="O771" s="339"/>
      <c r="P771" s="339"/>
      <c r="Q771" s="339"/>
      <c r="R771" s="339"/>
      <c r="S771" s="339"/>
      <c r="T771" s="339"/>
      <c r="U771" s="339"/>
      <c r="V771" s="339"/>
      <c r="W771" s="339"/>
      <c r="X771" s="339"/>
      <c r="Y771" s="339"/>
    </row>
    <row r="772" spans="1:25" ht="15.75" customHeight="1">
      <c r="A772" s="339"/>
      <c r="B772" s="339"/>
      <c r="C772" s="339"/>
      <c r="D772" s="339"/>
      <c r="E772" s="339"/>
      <c r="F772" s="339"/>
      <c r="G772" s="339"/>
      <c r="H772" s="339"/>
      <c r="I772" s="591"/>
      <c r="J772" s="341"/>
      <c r="K772" s="591"/>
      <c r="L772" s="339"/>
      <c r="M772" s="339"/>
      <c r="N772" s="339"/>
      <c r="O772" s="339"/>
      <c r="P772" s="339"/>
      <c r="Q772" s="339"/>
      <c r="R772" s="339"/>
      <c r="S772" s="339"/>
      <c r="T772" s="339"/>
      <c r="U772" s="339"/>
      <c r="V772" s="339"/>
      <c r="W772" s="339"/>
      <c r="X772" s="339"/>
      <c r="Y772" s="339"/>
    </row>
    <row r="773" spans="1:25" ht="15.75" customHeight="1">
      <c r="A773" s="339"/>
      <c r="B773" s="339"/>
      <c r="C773" s="339"/>
      <c r="D773" s="339"/>
      <c r="E773" s="339"/>
      <c r="F773" s="339"/>
      <c r="G773" s="339"/>
      <c r="H773" s="339"/>
      <c r="I773" s="591"/>
      <c r="J773" s="341"/>
      <c r="K773" s="591"/>
      <c r="L773" s="339"/>
      <c r="M773" s="339"/>
      <c r="N773" s="339"/>
      <c r="O773" s="339"/>
      <c r="P773" s="339"/>
      <c r="Q773" s="339"/>
      <c r="R773" s="339"/>
      <c r="S773" s="339"/>
      <c r="T773" s="339"/>
      <c r="U773" s="339"/>
      <c r="V773" s="339"/>
      <c r="W773" s="339"/>
      <c r="X773" s="339"/>
      <c r="Y773" s="339"/>
    </row>
    <row r="774" spans="1:25" ht="15.75" customHeight="1">
      <c r="A774" s="339"/>
      <c r="B774" s="339"/>
      <c r="C774" s="339"/>
      <c r="D774" s="339"/>
      <c r="E774" s="339"/>
      <c r="F774" s="339"/>
      <c r="G774" s="339"/>
      <c r="H774" s="339"/>
      <c r="I774" s="591"/>
      <c r="J774" s="341"/>
      <c r="K774" s="591"/>
      <c r="L774" s="339"/>
      <c r="M774" s="339"/>
      <c r="N774" s="339"/>
      <c r="O774" s="339"/>
      <c r="P774" s="339"/>
      <c r="Q774" s="339"/>
      <c r="R774" s="339"/>
      <c r="S774" s="339"/>
      <c r="T774" s="339"/>
      <c r="U774" s="339"/>
      <c r="V774" s="339"/>
      <c r="W774" s="339"/>
      <c r="X774" s="339"/>
      <c r="Y774" s="339"/>
    </row>
    <row r="775" spans="1:25" ht="15.75" customHeight="1">
      <c r="A775" s="339"/>
      <c r="B775" s="339"/>
      <c r="C775" s="339"/>
      <c r="D775" s="339"/>
      <c r="E775" s="339"/>
      <c r="F775" s="339"/>
      <c r="G775" s="339"/>
      <c r="H775" s="339"/>
      <c r="I775" s="591"/>
      <c r="J775" s="341"/>
      <c r="K775" s="591"/>
      <c r="L775" s="339"/>
      <c r="M775" s="339"/>
      <c r="N775" s="339"/>
      <c r="O775" s="339"/>
      <c r="P775" s="339"/>
      <c r="Q775" s="339"/>
      <c r="R775" s="339"/>
      <c r="S775" s="339"/>
      <c r="T775" s="339"/>
      <c r="U775" s="339"/>
      <c r="V775" s="339"/>
      <c r="W775" s="339"/>
      <c r="X775" s="339"/>
      <c r="Y775" s="339"/>
    </row>
    <row r="776" spans="1:25" ht="15.75" customHeight="1">
      <c r="A776" s="339"/>
      <c r="B776" s="339"/>
      <c r="C776" s="339"/>
      <c r="D776" s="339"/>
      <c r="E776" s="339"/>
      <c r="F776" s="339"/>
      <c r="G776" s="339"/>
      <c r="H776" s="339"/>
      <c r="I776" s="591"/>
      <c r="J776" s="341"/>
      <c r="K776" s="591"/>
      <c r="L776" s="339"/>
      <c r="M776" s="339"/>
      <c r="N776" s="339"/>
      <c r="O776" s="339"/>
      <c r="P776" s="339"/>
      <c r="Q776" s="339"/>
      <c r="R776" s="339"/>
      <c r="S776" s="339"/>
      <c r="T776" s="339"/>
      <c r="U776" s="339"/>
      <c r="V776" s="339"/>
      <c r="W776" s="339"/>
      <c r="X776" s="339"/>
      <c r="Y776" s="339"/>
    </row>
    <row r="777" spans="1:25" ht="15.75" customHeight="1">
      <c r="A777" s="339"/>
      <c r="B777" s="339"/>
      <c r="C777" s="339"/>
      <c r="D777" s="339"/>
      <c r="E777" s="339"/>
      <c r="F777" s="339"/>
      <c r="G777" s="339"/>
      <c r="H777" s="339"/>
      <c r="I777" s="591"/>
      <c r="J777" s="341"/>
      <c r="K777" s="591"/>
      <c r="L777" s="339"/>
      <c r="M777" s="339"/>
      <c r="N777" s="339"/>
      <c r="O777" s="339"/>
      <c r="P777" s="339"/>
      <c r="Q777" s="339"/>
      <c r="R777" s="339"/>
      <c r="S777" s="339"/>
      <c r="T777" s="339"/>
      <c r="U777" s="339"/>
      <c r="V777" s="339"/>
      <c r="W777" s="339"/>
      <c r="X777" s="339"/>
      <c r="Y777" s="339"/>
    </row>
    <row r="778" spans="1:25" ht="15.75" customHeight="1">
      <c r="A778" s="339"/>
      <c r="B778" s="339"/>
      <c r="C778" s="339"/>
      <c r="D778" s="339"/>
      <c r="E778" s="339"/>
      <c r="F778" s="339"/>
      <c r="G778" s="339"/>
      <c r="H778" s="339"/>
      <c r="I778" s="591"/>
      <c r="J778" s="341"/>
      <c r="K778" s="591"/>
      <c r="L778" s="339"/>
      <c r="M778" s="339"/>
      <c r="N778" s="339"/>
      <c r="O778" s="339"/>
      <c r="P778" s="339"/>
      <c r="Q778" s="339"/>
      <c r="R778" s="339"/>
      <c r="S778" s="339"/>
      <c r="T778" s="339"/>
      <c r="U778" s="339"/>
      <c r="V778" s="339"/>
      <c r="W778" s="339"/>
      <c r="X778" s="339"/>
      <c r="Y778" s="339"/>
    </row>
    <row r="779" spans="1:25" ht="15.75" customHeight="1">
      <c r="A779" s="339"/>
      <c r="B779" s="339"/>
      <c r="C779" s="339"/>
      <c r="D779" s="339"/>
      <c r="E779" s="339"/>
      <c r="F779" s="339"/>
      <c r="G779" s="339"/>
      <c r="H779" s="339"/>
      <c r="I779" s="591"/>
      <c r="J779" s="341"/>
      <c r="K779" s="591"/>
      <c r="L779" s="339"/>
      <c r="M779" s="339"/>
      <c r="N779" s="339"/>
      <c r="O779" s="339"/>
      <c r="P779" s="339"/>
      <c r="Q779" s="339"/>
      <c r="R779" s="339"/>
      <c r="S779" s="339"/>
      <c r="T779" s="339"/>
      <c r="U779" s="339"/>
      <c r="V779" s="339"/>
      <c r="W779" s="339"/>
      <c r="X779" s="339"/>
      <c r="Y779" s="339"/>
    </row>
    <row r="780" spans="1:25" ht="15.75" customHeight="1">
      <c r="A780" s="339"/>
      <c r="B780" s="339"/>
      <c r="C780" s="339"/>
      <c r="D780" s="339"/>
      <c r="E780" s="339"/>
      <c r="F780" s="339"/>
      <c r="G780" s="339"/>
      <c r="H780" s="339"/>
      <c r="I780" s="591"/>
      <c r="J780" s="341"/>
      <c r="K780" s="591"/>
      <c r="L780" s="339"/>
      <c r="M780" s="339"/>
      <c r="N780" s="339"/>
      <c r="O780" s="339"/>
      <c r="P780" s="339"/>
      <c r="Q780" s="339"/>
      <c r="R780" s="339"/>
      <c r="S780" s="339"/>
      <c r="T780" s="339"/>
      <c r="U780" s="339"/>
      <c r="V780" s="339"/>
      <c r="W780" s="339"/>
      <c r="X780" s="339"/>
      <c r="Y780" s="339"/>
    </row>
    <row r="781" spans="1:25" ht="15.75" customHeight="1">
      <c r="A781" s="339"/>
      <c r="B781" s="339"/>
      <c r="C781" s="339"/>
      <c r="D781" s="339"/>
      <c r="E781" s="339"/>
      <c r="F781" s="339"/>
      <c r="G781" s="339"/>
      <c r="H781" s="339"/>
      <c r="I781" s="591"/>
      <c r="J781" s="341"/>
      <c r="K781" s="591"/>
      <c r="L781" s="339"/>
      <c r="M781" s="339"/>
      <c r="N781" s="339"/>
      <c r="O781" s="339"/>
      <c r="P781" s="339"/>
      <c r="Q781" s="339"/>
      <c r="R781" s="339"/>
      <c r="S781" s="339"/>
      <c r="T781" s="339"/>
      <c r="U781" s="339"/>
      <c r="V781" s="339"/>
      <c r="W781" s="339"/>
      <c r="X781" s="339"/>
      <c r="Y781" s="339"/>
    </row>
    <row r="782" spans="1:25" ht="15.75" customHeight="1">
      <c r="A782" s="339"/>
      <c r="B782" s="339"/>
      <c r="C782" s="339"/>
      <c r="D782" s="339"/>
      <c r="E782" s="339"/>
      <c r="F782" s="339"/>
      <c r="G782" s="339"/>
      <c r="H782" s="339"/>
      <c r="I782" s="591"/>
      <c r="J782" s="341"/>
      <c r="K782" s="591"/>
      <c r="L782" s="339"/>
      <c r="M782" s="339"/>
      <c r="N782" s="339"/>
      <c r="O782" s="339"/>
      <c r="P782" s="339"/>
      <c r="Q782" s="339"/>
      <c r="R782" s="339"/>
      <c r="S782" s="339"/>
      <c r="T782" s="339"/>
      <c r="U782" s="339"/>
      <c r="V782" s="339"/>
      <c r="W782" s="339"/>
      <c r="X782" s="339"/>
      <c r="Y782" s="339"/>
    </row>
    <row r="783" spans="1:25" ht="15.75" customHeight="1">
      <c r="A783" s="339"/>
      <c r="B783" s="339"/>
      <c r="C783" s="339"/>
      <c r="D783" s="339"/>
      <c r="E783" s="339"/>
      <c r="F783" s="339"/>
      <c r="G783" s="339"/>
      <c r="H783" s="339"/>
      <c r="I783" s="591"/>
      <c r="J783" s="341"/>
      <c r="K783" s="591"/>
      <c r="L783" s="339"/>
      <c r="M783" s="339"/>
      <c r="N783" s="339"/>
      <c r="O783" s="339"/>
      <c r="P783" s="339"/>
      <c r="Q783" s="339"/>
      <c r="R783" s="339"/>
      <c r="S783" s="339"/>
      <c r="T783" s="339"/>
      <c r="U783" s="339"/>
      <c r="V783" s="339"/>
      <c r="W783" s="339"/>
      <c r="X783" s="339"/>
      <c r="Y783" s="339"/>
    </row>
    <row r="784" spans="1:25" ht="15.75" customHeight="1">
      <c r="A784" s="339"/>
      <c r="B784" s="339"/>
      <c r="C784" s="339"/>
      <c r="D784" s="339"/>
      <c r="E784" s="339"/>
      <c r="F784" s="339"/>
      <c r="G784" s="339"/>
      <c r="H784" s="339"/>
      <c r="I784" s="591"/>
      <c r="J784" s="341"/>
      <c r="K784" s="591"/>
      <c r="L784" s="339"/>
      <c r="M784" s="339"/>
      <c r="N784" s="339"/>
      <c r="O784" s="339"/>
      <c r="P784" s="339"/>
      <c r="Q784" s="339"/>
      <c r="R784" s="339"/>
      <c r="S784" s="339"/>
      <c r="T784" s="339"/>
      <c r="U784" s="339"/>
      <c r="V784" s="339"/>
      <c r="W784" s="339"/>
      <c r="X784" s="339"/>
      <c r="Y784" s="339"/>
    </row>
    <row r="785" spans="1:25" ht="15.75" customHeight="1">
      <c r="A785" s="339"/>
      <c r="B785" s="339"/>
      <c r="C785" s="339"/>
      <c r="D785" s="339"/>
      <c r="E785" s="339"/>
      <c r="F785" s="339"/>
      <c r="G785" s="339"/>
      <c r="H785" s="339"/>
      <c r="I785" s="591"/>
      <c r="J785" s="341"/>
      <c r="K785" s="591"/>
      <c r="L785" s="339"/>
      <c r="M785" s="339"/>
      <c r="N785" s="339"/>
      <c r="O785" s="339"/>
      <c r="P785" s="339"/>
      <c r="Q785" s="339"/>
      <c r="R785" s="339"/>
      <c r="S785" s="339"/>
      <c r="T785" s="339"/>
      <c r="U785" s="339"/>
      <c r="V785" s="339"/>
      <c r="W785" s="339"/>
      <c r="X785" s="339"/>
      <c r="Y785" s="339"/>
    </row>
    <row r="786" spans="1:25" ht="15.75" customHeight="1">
      <c r="A786" s="339"/>
      <c r="B786" s="339"/>
      <c r="C786" s="339"/>
      <c r="D786" s="339"/>
      <c r="E786" s="339"/>
      <c r="F786" s="339"/>
      <c r="G786" s="339"/>
      <c r="H786" s="339"/>
      <c r="I786" s="591"/>
      <c r="J786" s="341"/>
      <c r="K786" s="591"/>
      <c r="L786" s="339"/>
      <c r="M786" s="339"/>
      <c r="N786" s="339"/>
      <c r="O786" s="339"/>
      <c r="P786" s="339"/>
      <c r="Q786" s="339"/>
      <c r="R786" s="339"/>
      <c r="S786" s="339"/>
      <c r="T786" s="339"/>
      <c r="U786" s="339"/>
      <c r="V786" s="339"/>
      <c r="W786" s="339"/>
      <c r="X786" s="339"/>
      <c r="Y786" s="339"/>
    </row>
    <row r="787" spans="1:25" ht="15.75" customHeight="1">
      <c r="A787" s="339"/>
      <c r="B787" s="339"/>
      <c r="C787" s="339"/>
      <c r="D787" s="339"/>
      <c r="E787" s="339"/>
      <c r="F787" s="339"/>
      <c r="G787" s="339"/>
      <c r="H787" s="339"/>
      <c r="I787" s="591"/>
      <c r="J787" s="341"/>
      <c r="K787" s="591"/>
      <c r="L787" s="339"/>
      <c r="M787" s="339"/>
      <c r="N787" s="339"/>
      <c r="O787" s="339"/>
      <c r="P787" s="339"/>
      <c r="Q787" s="339"/>
      <c r="R787" s="339"/>
      <c r="S787" s="339"/>
      <c r="T787" s="339"/>
      <c r="U787" s="339"/>
      <c r="V787" s="339"/>
      <c r="W787" s="339"/>
      <c r="X787" s="339"/>
      <c r="Y787" s="339"/>
    </row>
    <row r="788" spans="1:25" ht="15.75" customHeight="1">
      <c r="A788" s="339"/>
      <c r="B788" s="339"/>
      <c r="C788" s="339"/>
      <c r="D788" s="339"/>
      <c r="E788" s="339"/>
      <c r="F788" s="339"/>
      <c r="G788" s="339"/>
      <c r="H788" s="339"/>
      <c r="I788" s="591"/>
      <c r="J788" s="341"/>
      <c r="K788" s="591"/>
      <c r="L788" s="339"/>
      <c r="M788" s="339"/>
      <c r="N788" s="339"/>
      <c r="O788" s="339"/>
      <c r="P788" s="339"/>
      <c r="Q788" s="339"/>
      <c r="R788" s="339"/>
      <c r="S788" s="339"/>
      <c r="T788" s="339"/>
      <c r="U788" s="339"/>
      <c r="V788" s="339"/>
      <c r="W788" s="339"/>
      <c r="X788" s="339"/>
      <c r="Y788" s="339"/>
    </row>
    <row r="789" spans="1:25" ht="15.75" customHeight="1">
      <c r="A789" s="339"/>
      <c r="B789" s="339"/>
      <c r="C789" s="339"/>
      <c r="D789" s="339"/>
      <c r="E789" s="339"/>
      <c r="F789" s="339"/>
      <c r="G789" s="339"/>
      <c r="H789" s="339"/>
      <c r="I789" s="591"/>
      <c r="J789" s="341"/>
      <c r="K789" s="591"/>
      <c r="L789" s="339"/>
      <c r="M789" s="339"/>
      <c r="N789" s="339"/>
      <c r="O789" s="339"/>
      <c r="P789" s="339"/>
      <c r="Q789" s="339"/>
      <c r="R789" s="339"/>
      <c r="S789" s="339"/>
      <c r="T789" s="339"/>
      <c r="U789" s="339"/>
      <c r="V789" s="339"/>
      <c r="W789" s="339"/>
      <c r="X789" s="339"/>
      <c r="Y789" s="339"/>
    </row>
    <row r="790" spans="1:25" ht="15.75" customHeight="1">
      <c r="A790" s="339"/>
      <c r="B790" s="339"/>
      <c r="C790" s="339"/>
      <c r="D790" s="339"/>
      <c r="E790" s="339"/>
      <c r="F790" s="339"/>
      <c r="G790" s="339"/>
      <c r="H790" s="339"/>
      <c r="I790" s="591"/>
      <c r="J790" s="341"/>
      <c r="K790" s="591"/>
      <c r="L790" s="339"/>
      <c r="M790" s="339"/>
      <c r="N790" s="339"/>
      <c r="O790" s="339"/>
      <c r="P790" s="339"/>
      <c r="Q790" s="339"/>
      <c r="R790" s="339"/>
      <c r="S790" s="339"/>
      <c r="T790" s="339"/>
      <c r="U790" s="339"/>
      <c r="V790" s="339"/>
      <c r="W790" s="339"/>
      <c r="X790" s="339"/>
      <c r="Y790" s="339"/>
    </row>
    <row r="791" spans="1:25" ht="15.75" customHeight="1">
      <c r="A791" s="339"/>
      <c r="B791" s="339"/>
      <c r="C791" s="339"/>
      <c r="D791" s="339"/>
      <c r="E791" s="339"/>
      <c r="F791" s="339"/>
      <c r="G791" s="339"/>
      <c r="H791" s="339"/>
      <c r="I791" s="591"/>
      <c r="J791" s="341"/>
      <c r="K791" s="591"/>
      <c r="L791" s="339"/>
      <c r="M791" s="339"/>
      <c r="N791" s="339"/>
      <c r="O791" s="339"/>
      <c r="P791" s="339"/>
      <c r="Q791" s="339"/>
      <c r="R791" s="339"/>
      <c r="S791" s="339"/>
      <c r="T791" s="339"/>
      <c r="U791" s="339"/>
      <c r="V791" s="339"/>
      <c r="W791" s="339"/>
      <c r="X791" s="339"/>
      <c r="Y791" s="339"/>
    </row>
    <row r="792" spans="1:25" ht="15.75" customHeight="1">
      <c r="A792" s="339"/>
      <c r="B792" s="339"/>
      <c r="C792" s="339"/>
      <c r="D792" s="339"/>
      <c r="E792" s="339"/>
      <c r="F792" s="339"/>
      <c r="G792" s="339"/>
      <c r="H792" s="339"/>
      <c r="I792" s="591"/>
      <c r="J792" s="341"/>
      <c r="K792" s="591"/>
      <c r="L792" s="339"/>
      <c r="M792" s="339"/>
      <c r="N792" s="339"/>
      <c r="O792" s="339"/>
      <c r="P792" s="339"/>
      <c r="Q792" s="339"/>
      <c r="R792" s="339"/>
      <c r="S792" s="339"/>
      <c r="T792" s="339"/>
      <c r="U792" s="339"/>
      <c r="V792" s="339"/>
      <c r="W792" s="339"/>
      <c r="X792" s="339"/>
      <c r="Y792" s="339"/>
    </row>
    <row r="793" spans="1:25" ht="15.75" customHeight="1">
      <c r="A793" s="339"/>
      <c r="B793" s="339"/>
      <c r="C793" s="339"/>
      <c r="D793" s="339"/>
      <c r="E793" s="339"/>
      <c r="F793" s="339"/>
      <c r="G793" s="339"/>
      <c r="H793" s="339"/>
      <c r="I793" s="591"/>
      <c r="J793" s="341"/>
      <c r="K793" s="591"/>
      <c r="L793" s="339"/>
      <c r="M793" s="339"/>
      <c r="N793" s="339"/>
      <c r="O793" s="339"/>
      <c r="P793" s="339"/>
      <c r="Q793" s="339"/>
      <c r="R793" s="339"/>
      <c r="S793" s="339"/>
      <c r="T793" s="339"/>
      <c r="U793" s="339"/>
      <c r="V793" s="339"/>
      <c r="W793" s="339"/>
      <c r="X793" s="339"/>
      <c r="Y793" s="339"/>
    </row>
    <row r="794" spans="1:25" ht="15.75" customHeight="1">
      <c r="A794" s="339"/>
      <c r="B794" s="339"/>
      <c r="C794" s="339"/>
      <c r="D794" s="339"/>
      <c r="E794" s="339"/>
      <c r="F794" s="339"/>
      <c r="G794" s="339"/>
      <c r="H794" s="339"/>
      <c r="I794" s="591"/>
      <c r="J794" s="341"/>
      <c r="K794" s="591"/>
      <c r="L794" s="339"/>
      <c r="M794" s="339"/>
      <c r="N794" s="339"/>
      <c r="O794" s="339"/>
      <c r="P794" s="339"/>
      <c r="Q794" s="339"/>
      <c r="R794" s="339"/>
      <c r="S794" s="339"/>
      <c r="T794" s="339"/>
      <c r="U794" s="339"/>
      <c r="V794" s="339"/>
      <c r="W794" s="339"/>
      <c r="X794" s="339"/>
      <c r="Y794" s="339"/>
    </row>
    <row r="795" spans="1:25" ht="15.75" customHeight="1">
      <c r="A795" s="339"/>
      <c r="B795" s="339"/>
      <c r="C795" s="339"/>
      <c r="D795" s="339"/>
      <c r="E795" s="339"/>
      <c r="F795" s="339"/>
      <c r="G795" s="339"/>
      <c r="H795" s="339"/>
      <c r="I795" s="591"/>
      <c r="J795" s="341"/>
      <c r="K795" s="591"/>
      <c r="L795" s="339"/>
      <c r="M795" s="339"/>
      <c r="N795" s="339"/>
      <c r="O795" s="339"/>
      <c r="P795" s="339"/>
      <c r="Q795" s="339"/>
      <c r="R795" s="339"/>
      <c r="S795" s="339"/>
      <c r="T795" s="339"/>
      <c r="U795" s="339"/>
      <c r="V795" s="339"/>
      <c r="W795" s="339"/>
      <c r="X795" s="339"/>
      <c r="Y795" s="339"/>
    </row>
    <row r="796" spans="1:25" ht="15.75" customHeight="1">
      <c r="A796" s="339"/>
      <c r="B796" s="339"/>
      <c r="C796" s="339"/>
      <c r="D796" s="339"/>
      <c r="E796" s="339"/>
      <c r="F796" s="339"/>
      <c r="G796" s="339"/>
      <c r="H796" s="339"/>
      <c r="I796" s="591"/>
      <c r="J796" s="341"/>
      <c r="K796" s="591"/>
      <c r="L796" s="339"/>
      <c r="M796" s="339"/>
      <c r="N796" s="339"/>
      <c r="O796" s="339"/>
      <c r="P796" s="339"/>
      <c r="Q796" s="339"/>
      <c r="R796" s="339"/>
      <c r="S796" s="339"/>
      <c r="T796" s="339"/>
      <c r="U796" s="339"/>
      <c r="V796" s="339"/>
      <c r="W796" s="339"/>
      <c r="X796" s="339"/>
      <c r="Y796" s="339"/>
    </row>
    <row r="797" spans="1:25" ht="15.75" customHeight="1">
      <c r="A797" s="339"/>
      <c r="B797" s="339"/>
      <c r="C797" s="339"/>
      <c r="D797" s="339"/>
      <c r="E797" s="339"/>
      <c r="F797" s="339"/>
      <c r="G797" s="339"/>
      <c r="H797" s="339"/>
      <c r="I797" s="591"/>
      <c r="J797" s="341"/>
      <c r="K797" s="591"/>
      <c r="L797" s="339"/>
      <c r="M797" s="339"/>
      <c r="N797" s="339"/>
      <c r="O797" s="339"/>
      <c r="P797" s="339"/>
      <c r="Q797" s="339"/>
      <c r="R797" s="339"/>
      <c r="S797" s="339"/>
      <c r="T797" s="339"/>
      <c r="U797" s="339"/>
      <c r="V797" s="339"/>
      <c r="W797" s="339"/>
      <c r="X797" s="339"/>
      <c r="Y797" s="339"/>
    </row>
    <row r="798" spans="1:25" ht="15.75" customHeight="1">
      <c r="A798" s="339"/>
      <c r="B798" s="339"/>
      <c r="C798" s="339"/>
      <c r="D798" s="339"/>
      <c r="E798" s="339"/>
      <c r="F798" s="339"/>
      <c r="G798" s="339"/>
      <c r="H798" s="339"/>
      <c r="I798" s="591"/>
      <c r="J798" s="341"/>
      <c r="K798" s="591"/>
      <c r="L798" s="339"/>
      <c r="M798" s="339"/>
      <c r="N798" s="339"/>
      <c r="O798" s="339"/>
      <c r="P798" s="339"/>
      <c r="Q798" s="339"/>
      <c r="R798" s="339"/>
      <c r="S798" s="339"/>
      <c r="T798" s="339"/>
      <c r="U798" s="339"/>
      <c r="V798" s="339"/>
      <c r="W798" s="339"/>
      <c r="X798" s="339"/>
      <c r="Y798" s="339"/>
    </row>
    <row r="799" spans="1:25" ht="15.75" customHeight="1">
      <c r="A799" s="339"/>
      <c r="B799" s="339"/>
      <c r="C799" s="339"/>
      <c r="D799" s="339"/>
      <c r="E799" s="339"/>
      <c r="F799" s="339"/>
      <c r="G799" s="339"/>
      <c r="H799" s="339"/>
      <c r="I799" s="591"/>
      <c r="J799" s="341"/>
      <c r="K799" s="591"/>
      <c r="L799" s="339"/>
      <c r="M799" s="339"/>
      <c r="N799" s="339"/>
      <c r="O799" s="339"/>
      <c r="P799" s="339"/>
      <c r="Q799" s="339"/>
      <c r="R799" s="339"/>
      <c r="S799" s="339"/>
      <c r="T799" s="339"/>
      <c r="U799" s="339"/>
      <c r="V799" s="339"/>
      <c r="W799" s="339"/>
      <c r="X799" s="339"/>
      <c r="Y799" s="339"/>
    </row>
    <row r="800" spans="1:25" ht="15.75" customHeight="1">
      <c r="A800" s="339"/>
      <c r="B800" s="339"/>
      <c r="C800" s="339"/>
      <c r="D800" s="339"/>
      <c r="E800" s="339"/>
      <c r="F800" s="339"/>
      <c r="G800" s="339"/>
      <c r="H800" s="339"/>
      <c r="I800" s="591"/>
      <c r="J800" s="341"/>
      <c r="K800" s="591"/>
      <c r="L800" s="339"/>
      <c r="M800" s="339"/>
      <c r="N800" s="339"/>
      <c r="O800" s="339"/>
      <c r="P800" s="339"/>
      <c r="Q800" s="339"/>
      <c r="R800" s="339"/>
      <c r="S800" s="339"/>
      <c r="T800" s="339"/>
      <c r="U800" s="339"/>
      <c r="V800" s="339"/>
      <c r="W800" s="339"/>
      <c r="X800" s="339"/>
      <c r="Y800" s="339"/>
    </row>
    <row r="801" spans="1:25" ht="15.75" customHeight="1">
      <c r="A801" s="339"/>
      <c r="B801" s="339"/>
      <c r="C801" s="339"/>
      <c r="D801" s="339"/>
      <c r="E801" s="339"/>
      <c r="F801" s="339"/>
      <c r="G801" s="339"/>
      <c r="H801" s="339"/>
      <c r="I801" s="591"/>
      <c r="J801" s="341"/>
      <c r="K801" s="591"/>
      <c r="L801" s="339"/>
      <c r="M801" s="339"/>
      <c r="N801" s="339"/>
      <c r="O801" s="339"/>
      <c r="P801" s="339"/>
      <c r="Q801" s="339"/>
      <c r="R801" s="339"/>
      <c r="S801" s="339"/>
      <c r="T801" s="339"/>
      <c r="U801" s="339"/>
      <c r="V801" s="339"/>
      <c r="W801" s="339"/>
      <c r="X801" s="339"/>
      <c r="Y801" s="339"/>
    </row>
    <row r="802" spans="1:25" ht="15.75" customHeight="1">
      <c r="A802" s="339"/>
      <c r="B802" s="339"/>
      <c r="C802" s="339"/>
      <c r="D802" s="339"/>
      <c r="E802" s="339"/>
      <c r="F802" s="339"/>
      <c r="G802" s="339"/>
      <c r="H802" s="339"/>
      <c r="I802" s="591"/>
      <c r="J802" s="341"/>
      <c r="K802" s="591"/>
      <c r="L802" s="339"/>
      <c r="M802" s="339"/>
      <c r="N802" s="339"/>
      <c r="O802" s="339"/>
      <c r="P802" s="339"/>
      <c r="Q802" s="339"/>
      <c r="R802" s="339"/>
      <c r="S802" s="339"/>
      <c r="T802" s="339"/>
      <c r="U802" s="339"/>
      <c r="V802" s="339"/>
      <c r="W802" s="339"/>
      <c r="X802" s="339"/>
      <c r="Y802" s="339"/>
    </row>
    <row r="803" spans="1:25" ht="15.75" customHeight="1">
      <c r="A803" s="339"/>
      <c r="B803" s="339"/>
      <c r="C803" s="339"/>
      <c r="D803" s="339"/>
      <c r="E803" s="339"/>
      <c r="F803" s="339"/>
      <c r="G803" s="339"/>
      <c r="H803" s="339"/>
      <c r="I803" s="591"/>
      <c r="J803" s="341"/>
      <c r="K803" s="591"/>
      <c r="L803" s="339"/>
      <c r="M803" s="339"/>
      <c r="N803" s="339"/>
      <c r="O803" s="339"/>
      <c r="P803" s="339"/>
      <c r="Q803" s="339"/>
      <c r="R803" s="339"/>
      <c r="S803" s="339"/>
      <c r="T803" s="339"/>
      <c r="U803" s="339"/>
      <c r="V803" s="339"/>
      <c r="W803" s="339"/>
      <c r="X803" s="339"/>
      <c r="Y803" s="339"/>
    </row>
    <row r="804" spans="1:25" ht="15.75" customHeight="1">
      <c r="A804" s="339"/>
      <c r="B804" s="339"/>
      <c r="C804" s="339"/>
      <c r="D804" s="339"/>
      <c r="E804" s="339"/>
      <c r="F804" s="339"/>
      <c r="G804" s="339"/>
      <c r="H804" s="339"/>
      <c r="I804" s="591"/>
      <c r="J804" s="341"/>
      <c r="K804" s="591"/>
      <c r="L804" s="339"/>
      <c r="M804" s="339"/>
      <c r="N804" s="339"/>
      <c r="O804" s="339"/>
      <c r="P804" s="339"/>
      <c r="Q804" s="339"/>
      <c r="R804" s="339"/>
      <c r="S804" s="339"/>
      <c r="T804" s="339"/>
      <c r="U804" s="339"/>
      <c r="V804" s="339"/>
      <c r="W804" s="339"/>
      <c r="X804" s="339"/>
      <c r="Y804" s="339"/>
    </row>
    <row r="805" spans="1:25" ht="15.75" customHeight="1">
      <c r="A805" s="339"/>
      <c r="B805" s="339"/>
      <c r="C805" s="339"/>
      <c r="D805" s="339"/>
      <c r="E805" s="339"/>
      <c r="F805" s="339"/>
      <c r="G805" s="339"/>
      <c r="H805" s="339"/>
      <c r="I805" s="591"/>
      <c r="J805" s="341"/>
      <c r="K805" s="591"/>
      <c r="L805" s="339"/>
      <c r="M805" s="339"/>
      <c r="N805" s="339"/>
      <c r="O805" s="339"/>
      <c r="P805" s="339"/>
      <c r="Q805" s="339"/>
      <c r="R805" s="339"/>
      <c r="S805" s="339"/>
      <c r="T805" s="339"/>
      <c r="U805" s="339"/>
      <c r="V805" s="339"/>
      <c r="W805" s="339"/>
      <c r="X805" s="339"/>
      <c r="Y805" s="339"/>
    </row>
    <row r="806" spans="1:25" ht="15.75" customHeight="1">
      <c r="A806" s="339"/>
      <c r="B806" s="339"/>
      <c r="C806" s="339"/>
      <c r="D806" s="339"/>
      <c r="E806" s="339"/>
      <c r="F806" s="339"/>
      <c r="G806" s="339"/>
      <c r="H806" s="339"/>
      <c r="I806" s="591"/>
      <c r="J806" s="341"/>
      <c r="K806" s="591"/>
      <c r="L806" s="339"/>
      <c r="M806" s="339"/>
      <c r="N806" s="339"/>
      <c r="O806" s="339"/>
      <c r="P806" s="339"/>
      <c r="Q806" s="339"/>
      <c r="R806" s="339"/>
      <c r="S806" s="339"/>
      <c r="T806" s="339"/>
      <c r="U806" s="339"/>
      <c r="V806" s="339"/>
      <c r="W806" s="339"/>
      <c r="X806" s="339"/>
      <c r="Y806" s="339"/>
    </row>
    <row r="807" spans="1:25" ht="15.75" customHeight="1">
      <c r="A807" s="339"/>
      <c r="B807" s="339"/>
      <c r="C807" s="339"/>
      <c r="D807" s="339"/>
      <c r="E807" s="339"/>
      <c r="F807" s="339"/>
      <c r="G807" s="339"/>
      <c r="H807" s="339"/>
      <c r="I807" s="591"/>
      <c r="J807" s="341"/>
      <c r="K807" s="591"/>
      <c r="L807" s="339"/>
      <c r="M807" s="339"/>
      <c r="N807" s="339"/>
      <c r="O807" s="339"/>
      <c r="P807" s="339"/>
      <c r="Q807" s="339"/>
      <c r="R807" s="339"/>
      <c r="S807" s="339"/>
      <c r="T807" s="339"/>
      <c r="U807" s="339"/>
      <c r="V807" s="339"/>
      <c r="W807" s="339"/>
      <c r="X807" s="339"/>
      <c r="Y807" s="339"/>
    </row>
    <row r="808" spans="1:25" ht="15.75" customHeight="1">
      <c r="A808" s="339"/>
      <c r="B808" s="339"/>
      <c r="C808" s="339"/>
      <c r="D808" s="339"/>
      <c r="E808" s="339"/>
      <c r="F808" s="339"/>
      <c r="G808" s="339"/>
      <c r="H808" s="339"/>
      <c r="I808" s="591"/>
      <c r="J808" s="341"/>
      <c r="K808" s="591"/>
      <c r="L808" s="339"/>
      <c r="M808" s="339"/>
      <c r="N808" s="339"/>
      <c r="O808" s="339"/>
      <c r="P808" s="339"/>
      <c r="Q808" s="339"/>
      <c r="R808" s="339"/>
      <c r="S808" s="339"/>
      <c r="T808" s="339"/>
      <c r="U808" s="339"/>
      <c r="V808" s="339"/>
      <c r="W808" s="339"/>
      <c r="X808" s="339"/>
      <c r="Y808" s="339"/>
    </row>
    <row r="809" spans="1:25" ht="15.75" customHeight="1">
      <c r="A809" s="339"/>
      <c r="B809" s="339"/>
      <c r="C809" s="339"/>
      <c r="D809" s="339"/>
      <c r="E809" s="339"/>
      <c r="F809" s="339"/>
      <c r="G809" s="339"/>
      <c r="H809" s="339"/>
      <c r="I809" s="591"/>
      <c r="J809" s="341"/>
      <c r="K809" s="591"/>
      <c r="L809" s="339"/>
      <c r="M809" s="339"/>
      <c r="N809" s="339"/>
      <c r="O809" s="339"/>
      <c r="P809" s="339"/>
      <c r="Q809" s="339"/>
      <c r="R809" s="339"/>
      <c r="S809" s="339"/>
      <c r="T809" s="339"/>
      <c r="U809" s="339"/>
      <c r="V809" s="339"/>
      <c r="W809" s="339"/>
      <c r="X809" s="339"/>
      <c r="Y809" s="339"/>
    </row>
    <row r="810" spans="1:25" ht="15.75" customHeight="1">
      <c r="A810" s="339"/>
      <c r="B810" s="339"/>
      <c r="C810" s="339"/>
      <c r="D810" s="339"/>
      <c r="E810" s="339"/>
      <c r="F810" s="339"/>
      <c r="G810" s="339"/>
      <c r="H810" s="339"/>
      <c r="I810" s="591"/>
      <c r="J810" s="341"/>
      <c r="K810" s="591"/>
      <c r="L810" s="339"/>
      <c r="M810" s="339"/>
      <c r="N810" s="339"/>
      <c r="O810" s="339"/>
      <c r="P810" s="339"/>
      <c r="Q810" s="339"/>
      <c r="R810" s="339"/>
      <c r="S810" s="339"/>
      <c r="T810" s="339"/>
      <c r="U810" s="339"/>
      <c r="V810" s="339"/>
      <c r="W810" s="339"/>
      <c r="X810" s="339"/>
      <c r="Y810" s="339"/>
    </row>
    <row r="811" spans="1:25" ht="15.75" customHeight="1">
      <c r="A811" s="339"/>
      <c r="B811" s="339"/>
      <c r="C811" s="339"/>
      <c r="D811" s="339"/>
      <c r="E811" s="339"/>
      <c r="F811" s="339"/>
      <c r="G811" s="339"/>
      <c r="H811" s="339"/>
      <c r="I811" s="591"/>
      <c r="J811" s="341"/>
      <c r="K811" s="591"/>
      <c r="L811" s="339"/>
      <c r="M811" s="339"/>
      <c r="N811" s="339"/>
      <c r="O811" s="339"/>
      <c r="P811" s="339"/>
      <c r="Q811" s="339"/>
      <c r="R811" s="339"/>
      <c r="S811" s="339"/>
      <c r="T811" s="339"/>
      <c r="U811" s="339"/>
      <c r="V811" s="339"/>
      <c r="W811" s="339"/>
      <c r="X811" s="339"/>
      <c r="Y811" s="339"/>
    </row>
    <row r="812" spans="1:25" ht="15.75" customHeight="1">
      <c r="A812" s="339"/>
      <c r="B812" s="339"/>
      <c r="C812" s="339"/>
      <c r="D812" s="339"/>
      <c r="E812" s="339"/>
      <c r="F812" s="339"/>
      <c r="G812" s="339"/>
      <c r="H812" s="339"/>
      <c r="I812" s="591"/>
      <c r="J812" s="341"/>
      <c r="K812" s="591"/>
      <c r="L812" s="339"/>
      <c r="M812" s="339"/>
      <c r="N812" s="339"/>
      <c r="O812" s="339"/>
      <c r="P812" s="339"/>
      <c r="Q812" s="339"/>
      <c r="R812" s="339"/>
      <c r="S812" s="339"/>
      <c r="T812" s="339"/>
      <c r="U812" s="339"/>
      <c r="V812" s="339"/>
      <c r="W812" s="339"/>
      <c r="X812" s="339"/>
      <c r="Y812" s="339"/>
    </row>
    <row r="813" spans="1:25" ht="15.75" customHeight="1">
      <c r="A813" s="339"/>
      <c r="B813" s="339"/>
      <c r="C813" s="339"/>
      <c r="D813" s="339"/>
      <c r="E813" s="339"/>
      <c r="F813" s="339"/>
      <c r="G813" s="339"/>
      <c r="H813" s="339"/>
      <c r="I813" s="591"/>
      <c r="J813" s="341"/>
      <c r="K813" s="591"/>
      <c r="L813" s="339"/>
      <c r="M813" s="339"/>
      <c r="N813" s="339"/>
      <c r="O813" s="339"/>
      <c r="P813" s="339"/>
      <c r="Q813" s="339"/>
      <c r="R813" s="339"/>
      <c r="S813" s="339"/>
      <c r="T813" s="339"/>
      <c r="U813" s="339"/>
      <c r="V813" s="339"/>
      <c r="W813" s="339"/>
      <c r="X813" s="339"/>
      <c r="Y813" s="339"/>
    </row>
    <row r="814" spans="1:25" ht="15.75" customHeight="1">
      <c r="A814" s="339"/>
      <c r="B814" s="339"/>
      <c r="C814" s="339"/>
      <c r="D814" s="339"/>
      <c r="E814" s="339"/>
      <c r="F814" s="339"/>
      <c r="G814" s="339"/>
      <c r="H814" s="339"/>
      <c r="I814" s="591"/>
      <c r="J814" s="341"/>
      <c r="K814" s="591"/>
      <c r="L814" s="339"/>
      <c r="M814" s="339"/>
      <c r="N814" s="339"/>
      <c r="O814" s="339"/>
      <c r="P814" s="339"/>
      <c r="Q814" s="339"/>
      <c r="R814" s="339"/>
      <c r="S814" s="339"/>
      <c r="T814" s="339"/>
      <c r="U814" s="339"/>
      <c r="V814" s="339"/>
      <c r="W814" s="339"/>
      <c r="X814" s="339"/>
      <c r="Y814" s="339"/>
    </row>
    <row r="815" spans="1:25" ht="15.75" customHeight="1">
      <c r="A815" s="339"/>
      <c r="B815" s="339"/>
      <c r="C815" s="339"/>
      <c r="D815" s="339"/>
      <c r="E815" s="339"/>
      <c r="F815" s="339"/>
      <c r="G815" s="339"/>
      <c r="H815" s="339"/>
      <c r="I815" s="591"/>
      <c r="J815" s="341"/>
      <c r="K815" s="591"/>
      <c r="L815" s="339"/>
      <c r="M815" s="339"/>
      <c r="N815" s="339"/>
      <c r="O815" s="339"/>
      <c r="P815" s="339"/>
      <c r="Q815" s="339"/>
      <c r="R815" s="339"/>
      <c r="S815" s="339"/>
      <c r="T815" s="339"/>
      <c r="U815" s="339"/>
      <c r="V815" s="339"/>
      <c r="W815" s="339"/>
      <c r="X815" s="339"/>
      <c r="Y815" s="339"/>
    </row>
    <row r="816" spans="1:25" ht="15.75" customHeight="1">
      <c r="A816" s="339"/>
      <c r="B816" s="339"/>
      <c r="C816" s="339"/>
      <c r="D816" s="339"/>
      <c r="E816" s="339"/>
      <c r="F816" s="339"/>
      <c r="G816" s="339"/>
      <c r="H816" s="339"/>
      <c r="I816" s="591"/>
      <c r="J816" s="341"/>
      <c r="K816" s="591"/>
      <c r="L816" s="339"/>
      <c r="M816" s="339"/>
      <c r="N816" s="339"/>
      <c r="O816" s="339"/>
      <c r="P816" s="339"/>
      <c r="Q816" s="339"/>
      <c r="R816" s="339"/>
      <c r="S816" s="339"/>
      <c r="T816" s="339"/>
      <c r="U816" s="339"/>
      <c r="V816" s="339"/>
      <c r="W816" s="339"/>
      <c r="X816" s="339"/>
      <c r="Y816" s="339"/>
    </row>
    <row r="817" spans="1:25" ht="15.75" customHeight="1">
      <c r="A817" s="339"/>
      <c r="B817" s="339"/>
      <c r="C817" s="339"/>
      <c r="D817" s="339"/>
      <c r="E817" s="339"/>
      <c r="F817" s="339"/>
      <c r="G817" s="339"/>
      <c r="H817" s="339"/>
      <c r="I817" s="591"/>
      <c r="J817" s="341"/>
      <c r="K817" s="591"/>
      <c r="L817" s="339"/>
      <c r="M817" s="339"/>
      <c r="N817" s="339"/>
      <c r="O817" s="339"/>
      <c r="P817" s="339"/>
      <c r="Q817" s="339"/>
      <c r="R817" s="339"/>
      <c r="S817" s="339"/>
      <c r="T817" s="339"/>
      <c r="U817" s="339"/>
      <c r="V817" s="339"/>
      <c r="W817" s="339"/>
      <c r="X817" s="339"/>
      <c r="Y817" s="339"/>
    </row>
    <row r="818" spans="1:25" ht="15.75" customHeight="1">
      <c r="A818" s="339"/>
      <c r="B818" s="339"/>
      <c r="C818" s="339"/>
      <c r="D818" s="339"/>
      <c r="E818" s="339"/>
      <c r="F818" s="339"/>
      <c r="G818" s="339"/>
      <c r="H818" s="339"/>
      <c r="I818" s="591"/>
      <c r="J818" s="341"/>
      <c r="K818" s="591"/>
      <c r="L818" s="339"/>
      <c r="M818" s="339"/>
      <c r="N818" s="339"/>
      <c r="O818" s="339"/>
      <c r="P818" s="339"/>
      <c r="Q818" s="339"/>
      <c r="R818" s="339"/>
      <c r="S818" s="339"/>
      <c r="T818" s="339"/>
      <c r="U818" s="339"/>
      <c r="V818" s="339"/>
      <c r="W818" s="339"/>
      <c r="X818" s="339"/>
      <c r="Y818" s="339"/>
    </row>
    <row r="819" spans="1:25" ht="15.75" customHeight="1">
      <c r="A819" s="339"/>
      <c r="B819" s="339"/>
      <c r="C819" s="339"/>
      <c r="D819" s="339"/>
      <c r="E819" s="339"/>
      <c r="F819" s="339"/>
      <c r="G819" s="339"/>
      <c r="H819" s="339"/>
      <c r="I819" s="591"/>
      <c r="J819" s="341"/>
      <c r="K819" s="591"/>
      <c r="L819" s="339"/>
      <c r="M819" s="339"/>
      <c r="N819" s="339"/>
      <c r="O819" s="339"/>
      <c r="P819" s="339"/>
      <c r="Q819" s="339"/>
      <c r="R819" s="339"/>
      <c r="S819" s="339"/>
      <c r="T819" s="339"/>
      <c r="U819" s="339"/>
      <c r="V819" s="339"/>
      <c r="W819" s="339"/>
      <c r="X819" s="339"/>
      <c r="Y819" s="339"/>
    </row>
    <row r="820" spans="1:25" ht="15.75" customHeight="1">
      <c r="A820" s="339"/>
      <c r="B820" s="339"/>
      <c r="C820" s="339"/>
      <c r="D820" s="339"/>
      <c r="E820" s="339"/>
      <c r="F820" s="339"/>
      <c r="G820" s="339"/>
      <c r="H820" s="339"/>
      <c r="I820" s="591"/>
      <c r="J820" s="341"/>
      <c r="K820" s="591"/>
      <c r="L820" s="339"/>
      <c r="M820" s="339"/>
      <c r="N820" s="339"/>
      <c r="O820" s="339"/>
      <c r="P820" s="339"/>
      <c r="Q820" s="339"/>
      <c r="R820" s="339"/>
      <c r="S820" s="339"/>
      <c r="T820" s="339"/>
      <c r="U820" s="339"/>
      <c r="V820" s="339"/>
      <c r="W820" s="339"/>
      <c r="X820" s="339"/>
      <c r="Y820" s="339"/>
    </row>
    <row r="821" spans="1:25" ht="15.75" customHeight="1">
      <c r="A821" s="339"/>
      <c r="B821" s="339"/>
      <c r="C821" s="339"/>
      <c r="D821" s="339"/>
      <c r="E821" s="339"/>
      <c r="F821" s="339"/>
      <c r="G821" s="339"/>
      <c r="H821" s="339"/>
      <c r="I821" s="591"/>
      <c r="J821" s="341"/>
      <c r="K821" s="591"/>
      <c r="L821" s="339"/>
      <c r="M821" s="339"/>
      <c r="N821" s="339"/>
      <c r="O821" s="339"/>
      <c r="P821" s="339"/>
      <c r="Q821" s="339"/>
      <c r="R821" s="339"/>
      <c r="S821" s="339"/>
      <c r="T821" s="339"/>
      <c r="U821" s="339"/>
      <c r="V821" s="339"/>
      <c r="W821" s="339"/>
      <c r="X821" s="339"/>
      <c r="Y821" s="339"/>
    </row>
    <row r="822" spans="1:25" ht="15.75" customHeight="1">
      <c r="A822" s="339"/>
      <c r="B822" s="339"/>
      <c r="C822" s="339"/>
      <c r="D822" s="339"/>
      <c r="E822" s="339"/>
      <c r="F822" s="339"/>
      <c r="G822" s="339"/>
      <c r="H822" s="339"/>
      <c r="I822" s="591"/>
      <c r="J822" s="341"/>
      <c r="K822" s="591"/>
      <c r="L822" s="339"/>
      <c r="M822" s="339"/>
      <c r="N822" s="339"/>
      <c r="O822" s="339"/>
      <c r="P822" s="339"/>
      <c r="Q822" s="339"/>
      <c r="R822" s="339"/>
      <c r="S822" s="339"/>
      <c r="T822" s="339"/>
      <c r="U822" s="339"/>
      <c r="V822" s="339"/>
      <c r="W822" s="339"/>
      <c r="X822" s="339"/>
      <c r="Y822" s="339"/>
    </row>
    <row r="823" spans="1:25" ht="15.75" customHeight="1">
      <c r="A823" s="339"/>
      <c r="B823" s="339"/>
      <c r="C823" s="339"/>
      <c r="D823" s="339"/>
      <c r="E823" s="339"/>
      <c r="F823" s="339"/>
      <c r="G823" s="339"/>
      <c r="H823" s="339"/>
      <c r="I823" s="591"/>
      <c r="J823" s="341"/>
      <c r="K823" s="591"/>
      <c r="L823" s="339"/>
      <c r="M823" s="339"/>
      <c r="N823" s="339"/>
      <c r="O823" s="339"/>
      <c r="P823" s="339"/>
      <c r="Q823" s="339"/>
      <c r="R823" s="339"/>
      <c r="S823" s="339"/>
      <c r="T823" s="339"/>
      <c r="U823" s="339"/>
      <c r="V823" s="339"/>
      <c r="W823" s="339"/>
      <c r="X823" s="339"/>
      <c r="Y823" s="339"/>
    </row>
    <row r="824" spans="1:25" ht="15.75" customHeight="1">
      <c r="A824" s="339"/>
      <c r="B824" s="339"/>
      <c r="C824" s="339"/>
      <c r="D824" s="339"/>
      <c r="E824" s="339"/>
      <c r="F824" s="339"/>
      <c r="G824" s="339"/>
      <c r="H824" s="339"/>
      <c r="I824" s="591"/>
      <c r="J824" s="341"/>
      <c r="K824" s="591"/>
      <c r="L824" s="339"/>
      <c r="M824" s="339"/>
      <c r="N824" s="339"/>
      <c r="O824" s="339"/>
      <c r="P824" s="339"/>
      <c r="Q824" s="339"/>
      <c r="R824" s="339"/>
      <c r="S824" s="339"/>
      <c r="T824" s="339"/>
      <c r="U824" s="339"/>
      <c r="V824" s="339"/>
      <c r="W824" s="339"/>
      <c r="X824" s="339"/>
      <c r="Y824" s="339"/>
    </row>
    <row r="825" spans="1:25" ht="15.75" customHeight="1">
      <c r="A825" s="339"/>
      <c r="B825" s="339"/>
      <c r="C825" s="339"/>
      <c r="D825" s="339"/>
      <c r="E825" s="339"/>
      <c r="F825" s="339"/>
      <c r="G825" s="339"/>
      <c r="H825" s="339"/>
      <c r="I825" s="591"/>
      <c r="J825" s="341"/>
      <c r="K825" s="591"/>
      <c r="L825" s="339"/>
      <c r="M825" s="339"/>
      <c r="N825" s="339"/>
      <c r="O825" s="339"/>
      <c r="P825" s="339"/>
      <c r="Q825" s="339"/>
      <c r="R825" s="339"/>
      <c r="S825" s="339"/>
      <c r="T825" s="339"/>
      <c r="U825" s="339"/>
      <c r="V825" s="339"/>
      <c r="W825" s="339"/>
      <c r="X825" s="339"/>
      <c r="Y825" s="339"/>
    </row>
    <row r="826" spans="1:25" ht="15.75" customHeight="1">
      <c r="A826" s="339"/>
      <c r="B826" s="339"/>
      <c r="C826" s="339"/>
      <c r="D826" s="339"/>
      <c r="E826" s="339"/>
      <c r="F826" s="339"/>
      <c r="G826" s="339"/>
      <c r="H826" s="339"/>
      <c r="I826" s="591"/>
      <c r="J826" s="341"/>
      <c r="K826" s="591"/>
      <c r="L826" s="339"/>
      <c r="M826" s="339"/>
      <c r="N826" s="339"/>
      <c r="O826" s="339"/>
      <c r="P826" s="339"/>
      <c r="Q826" s="339"/>
      <c r="R826" s="339"/>
      <c r="S826" s="339"/>
      <c r="T826" s="339"/>
      <c r="U826" s="339"/>
      <c r="V826" s="339"/>
      <c r="W826" s="339"/>
      <c r="X826" s="339"/>
      <c r="Y826" s="339"/>
    </row>
    <row r="827" spans="1:25" ht="15.75" customHeight="1">
      <c r="A827" s="339"/>
      <c r="B827" s="339"/>
      <c r="C827" s="339"/>
      <c r="D827" s="339"/>
      <c r="E827" s="339"/>
      <c r="F827" s="339"/>
      <c r="G827" s="339"/>
      <c r="H827" s="339"/>
      <c r="I827" s="591"/>
      <c r="J827" s="341"/>
      <c r="K827" s="591"/>
      <c r="L827" s="339"/>
      <c r="M827" s="339"/>
      <c r="N827" s="339"/>
      <c r="O827" s="339"/>
      <c r="P827" s="339"/>
      <c r="Q827" s="339"/>
      <c r="R827" s="339"/>
      <c r="S827" s="339"/>
      <c r="T827" s="339"/>
      <c r="U827" s="339"/>
      <c r="V827" s="339"/>
      <c r="W827" s="339"/>
      <c r="X827" s="339"/>
      <c r="Y827" s="339"/>
    </row>
    <row r="828" spans="1:25" ht="15.75" customHeight="1">
      <c r="A828" s="339"/>
      <c r="B828" s="339"/>
      <c r="C828" s="339"/>
      <c r="D828" s="339"/>
      <c r="E828" s="339"/>
      <c r="F828" s="339"/>
      <c r="G828" s="339"/>
      <c r="H828" s="339"/>
      <c r="I828" s="591"/>
      <c r="J828" s="341"/>
      <c r="K828" s="591"/>
      <c r="L828" s="339"/>
      <c r="M828" s="339"/>
      <c r="N828" s="339"/>
      <c r="O828" s="339"/>
      <c r="P828" s="339"/>
      <c r="Q828" s="339"/>
      <c r="R828" s="339"/>
      <c r="S828" s="339"/>
      <c r="T828" s="339"/>
      <c r="U828" s="339"/>
      <c r="V828" s="339"/>
      <c r="W828" s="339"/>
      <c r="X828" s="339"/>
      <c r="Y828" s="339"/>
    </row>
    <row r="829" spans="1:25" ht="15.75" customHeight="1">
      <c r="A829" s="339"/>
      <c r="B829" s="339"/>
      <c r="C829" s="339"/>
      <c r="D829" s="339"/>
      <c r="E829" s="339"/>
      <c r="F829" s="339"/>
      <c r="G829" s="339"/>
      <c r="H829" s="339"/>
      <c r="I829" s="591"/>
      <c r="J829" s="341"/>
      <c r="K829" s="591"/>
      <c r="L829" s="339"/>
      <c r="M829" s="339"/>
      <c r="N829" s="339"/>
      <c r="O829" s="339"/>
      <c r="P829" s="339"/>
      <c r="Q829" s="339"/>
      <c r="R829" s="339"/>
      <c r="S829" s="339"/>
      <c r="T829" s="339"/>
      <c r="U829" s="339"/>
      <c r="V829" s="339"/>
      <c r="W829" s="339"/>
      <c r="X829" s="339"/>
      <c r="Y829" s="339"/>
    </row>
    <row r="830" spans="1:25" ht="15.75" customHeight="1">
      <c r="A830" s="339"/>
      <c r="B830" s="339"/>
      <c r="C830" s="339"/>
      <c r="D830" s="339"/>
      <c r="E830" s="339"/>
      <c r="F830" s="339"/>
      <c r="G830" s="339"/>
      <c r="H830" s="339"/>
      <c r="I830" s="591"/>
      <c r="J830" s="341"/>
      <c r="K830" s="591"/>
      <c r="L830" s="339"/>
      <c r="M830" s="339"/>
      <c r="N830" s="339"/>
      <c r="O830" s="339"/>
      <c r="P830" s="339"/>
      <c r="Q830" s="339"/>
      <c r="R830" s="339"/>
      <c r="S830" s="339"/>
      <c r="T830" s="339"/>
      <c r="U830" s="339"/>
      <c r="V830" s="339"/>
      <c r="W830" s="339"/>
      <c r="X830" s="339"/>
      <c r="Y830" s="339"/>
    </row>
    <row r="831" spans="1:25" ht="15.75" customHeight="1">
      <c r="A831" s="339"/>
      <c r="B831" s="339"/>
      <c r="C831" s="339"/>
      <c r="D831" s="339"/>
      <c r="E831" s="339"/>
      <c r="F831" s="339"/>
      <c r="G831" s="339"/>
      <c r="H831" s="339"/>
      <c r="I831" s="591"/>
      <c r="J831" s="341"/>
      <c r="K831" s="591"/>
      <c r="L831" s="339"/>
      <c r="M831" s="339"/>
      <c r="N831" s="339"/>
      <c r="O831" s="339"/>
      <c r="P831" s="339"/>
      <c r="Q831" s="339"/>
      <c r="R831" s="339"/>
      <c r="S831" s="339"/>
      <c r="T831" s="339"/>
      <c r="U831" s="339"/>
      <c r="V831" s="339"/>
      <c r="W831" s="339"/>
      <c r="X831" s="339"/>
      <c r="Y831" s="339"/>
    </row>
    <row r="832" spans="1:25" ht="15.75" customHeight="1">
      <c r="A832" s="339"/>
      <c r="B832" s="339"/>
      <c r="C832" s="339"/>
      <c r="D832" s="339"/>
      <c r="E832" s="339"/>
      <c r="F832" s="339"/>
      <c r="G832" s="339"/>
      <c r="H832" s="339"/>
      <c r="I832" s="591"/>
      <c r="J832" s="341"/>
      <c r="K832" s="591"/>
      <c r="L832" s="339"/>
      <c r="M832" s="339"/>
      <c r="N832" s="339"/>
      <c r="O832" s="339"/>
      <c r="P832" s="339"/>
      <c r="Q832" s="339"/>
      <c r="R832" s="339"/>
      <c r="S832" s="339"/>
      <c r="T832" s="339"/>
      <c r="U832" s="339"/>
      <c r="V832" s="339"/>
      <c r="W832" s="339"/>
      <c r="X832" s="339"/>
      <c r="Y832" s="339"/>
    </row>
    <row r="833" spans="1:25" ht="15.75" customHeight="1">
      <c r="A833" s="339"/>
      <c r="B833" s="339"/>
      <c r="C833" s="339"/>
      <c r="D833" s="339"/>
      <c r="E833" s="339"/>
      <c r="F833" s="339"/>
      <c r="G833" s="339"/>
      <c r="H833" s="339"/>
      <c r="I833" s="591"/>
      <c r="J833" s="341"/>
      <c r="K833" s="591"/>
      <c r="L833" s="339"/>
      <c r="M833" s="339"/>
      <c r="N833" s="339"/>
      <c r="O833" s="339"/>
      <c r="P833" s="339"/>
      <c r="Q833" s="339"/>
      <c r="R833" s="339"/>
      <c r="S833" s="339"/>
      <c r="T833" s="339"/>
      <c r="U833" s="339"/>
      <c r="V833" s="339"/>
      <c r="W833" s="339"/>
      <c r="X833" s="339"/>
      <c r="Y833" s="339"/>
    </row>
    <row r="834" spans="1:25" ht="15.75" customHeight="1">
      <c r="A834" s="339"/>
      <c r="B834" s="339"/>
      <c r="C834" s="339"/>
      <c r="D834" s="339"/>
      <c r="E834" s="339"/>
      <c r="F834" s="339"/>
      <c r="G834" s="339"/>
      <c r="H834" s="339"/>
      <c r="I834" s="591"/>
      <c r="J834" s="341"/>
      <c r="K834" s="591"/>
      <c r="L834" s="339"/>
      <c r="M834" s="339"/>
      <c r="N834" s="339"/>
      <c r="O834" s="339"/>
      <c r="P834" s="339"/>
      <c r="Q834" s="339"/>
      <c r="R834" s="339"/>
      <c r="S834" s="339"/>
      <c r="T834" s="339"/>
      <c r="U834" s="339"/>
      <c r="V834" s="339"/>
      <c r="W834" s="339"/>
      <c r="X834" s="339"/>
      <c r="Y834" s="339"/>
    </row>
    <row r="835" spans="1:25" ht="15.75" customHeight="1">
      <c r="A835" s="339"/>
      <c r="B835" s="339"/>
      <c r="C835" s="339"/>
      <c r="D835" s="339"/>
      <c r="E835" s="339"/>
      <c r="F835" s="339"/>
      <c r="G835" s="339"/>
      <c r="H835" s="339"/>
      <c r="I835" s="591"/>
      <c r="J835" s="341"/>
      <c r="K835" s="591"/>
      <c r="L835" s="339"/>
      <c r="M835" s="339"/>
      <c r="N835" s="339"/>
      <c r="O835" s="339"/>
      <c r="P835" s="339"/>
      <c r="Q835" s="339"/>
      <c r="R835" s="339"/>
      <c r="S835" s="339"/>
      <c r="T835" s="339"/>
      <c r="U835" s="339"/>
      <c r="V835" s="339"/>
      <c r="W835" s="339"/>
      <c r="X835" s="339"/>
      <c r="Y835" s="339"/>
    </row>
    <row r="836" spans="1:25" ht="15.75" customHeight="1">
      <c r="A836" s="339"/>
      <c r="B836" s="339"/>
      <c r="C836" s="339"/>
      <c r="D836" s="339"/>
      <c r="E836" s="339"/>
      <c r="F836" s="339"/>
      <c r="G836" s="339"/>
      <c r="H836" s="339"/>
      <c r="I836" s="591"/>
      <c r="J836" s="341"/>
      <c r="K836" s="591"/>
      <c r="L836" s="339"/>
      <c r="M836" s="339"/>
      <c r="N836" s="339"/>
      <c r="O836" s="339"/>
      <c r="P836" s="339"/>
      <c r="Q836" s="339"/>
      <c r="R836" s="339"/>
      <c r="S836" s="339"/>
      <c r="T836" s="339"/>
      <c r="U836" s="339"/>
      <c r="V836" s="339"/>
      <c r="W836" s="339"/>
      <c r="X836" s="339"/>
      <c r="Y836" s="339"/>
    </row>
    <row r="837" spans="1:25" ht="15.75" customHeight="1">
      <c r="A837" s="339"/>
      <c r="B837" s="339"/>
      <c r="C837" s="339"/>
      <c r="D837" s="339"/>
      <c r="E837" s="339"/>
      <c r="F837" s="339"/>
      <c r="G837" s="339"/>
      <c r="H837" s="339"/>
      <c r="I837" s="591"/>
      <c r="J837" s="341"/>
      <c r="K837" s="591"/>
      <c r="L837" s="339"/>
      <c r="M837" s="339"/>
      <c r="N837" s="339"/>
      <c r="O837" s="339"/>
      <c r="P837" s="339"/>
      <c r="Q837" s="339"/>
      <c r="R837" s="339"/>
      <c r="S837" s="339"/>
      <c r="T837" s="339"/>
      <c r="U837" s="339"/>
      <c r="V837" s="339"/>
      <c r="W837" s="339"/>
      <c r="X837" s="339"/>
      <c r="Y837" s="339"/>
    </row>
    <row r="838" spans="1:25" ht="15.75" customHeight="1">
      <c r="A838" s="339"/>
      <c r="B838" s="339"/>
      <c r="C838" s="339"/>
      <c r="D838" s="339"/>
      <c r="E838" s="339"/>
      <c r="F838" s="339"/>
      <c r="G838" s="339"/>
      <c r="H838" s="339"/>
      <c r="I838" s="591"/>
      <c r="J838" s="341"/>
      <c r="K838" s="591"/>
      <c r="L838" s="339"/>
      <c r="M838" s="339"/>
      <c r="N838" s="339"/>
      <c r="O838" s="339"/>
      <c r="P838" s="339"/>
      <c r="Q838" s="339"/>
      <c r="R838" s="339"/>
      <c r="S838" s="339"/>
      <c r="T838" s="339"/>
      <c r="U838" s="339"/>
      <c r="V838" s="339"/>
      <c r="W838" s="339"/>
      <c r="X838" s="339"/>
      <c r="Y838" s="339"/>
    </row>
    <row r="839" spans="1:25" ht="15.75" customHeight="1">
      <c r="A839" s="339"/>
      <c r="B839" s="339"/>
      <c r="C839" s="339"/>
      <c r="D839" s="339"/>
      <c r="E839" s="339"/>
      <c r="F839" s="339"/>
      <c r="G839" s="339"/>
      <c r="H839" s="339"/>
      <c r="I839" s="591"/>
      <c r="J839" s="341"/>
      <c r="K839" s="591"/>
      <c r="L839" s="339"/>
      <c r="M839" s="339"/>
      <c r="N839" s="339"/>
      <c r="O839" s="339"/>
      <c r="P839" s="339"/>
      <c r="Q839" s="339"/>
      <c r="R839" s="339"/>
      <c r="S839" s="339"/>
      <c r="T839" s="339"/>
      <c r="U839" s="339"/>
      <c r="V839" s="339"/>
      <c r="W839" s="339"/>
      <c r="X839" s="339"/>
      <c r="Y839" s="339"/>
    </row>
    <row r="840" spans="1:25" ht="15.75" customHeight="1">
      <c r="A840" s="339"/>
      <c r="B840" s="339"/>
      <c r="C840" s="339"/>
      <c r="D840" s="339"/>
      <c r="E840" s="339"/>
      <c r="F840" s="339"/>
      <c r="G840" s="339"/>
      <c r="H840" s="339"/>
      <c r="I840" s="591"/>
      <c r="J840" s="341"/>
      <c r="K840" s="591"/>
      <c r="L840" s="339"/>
      <c r="M840" s="339"/>
      <c r="N840" s="339"/>
      <c r="O840" s="339"/>
      <c r="P840" s="339"/>
      <c r="Q840" s="339"/>
      <c r="R840" s="339"/>
      <c r="S840" s="339"/>
      <c r="T840" s="339"/>
      <c r="U840" s="339"/>
      <c r="V840" s="339"/>
      <c r="W840" s="339"/>
      <c r="X840" s="339"/>
      <c r="Y840" s="339"/>
    </row>
    <row r="841" spans="1:25" ht="15.75" customHeight="1">
      <c r="A841" s="339"/>
      <c r="B841" s="339"/>
      <c r="C841" s="339"/>
      <c r="D841" s="339"/>
      <c r="E841" s="339"/>
      <c r="F841" s="339"/>
      <c r="G841" s="339"/>
      <c r="H841" s="339"/>
      <c r="I841" s="591"/>
      <c r="J841" s="341"/>
      <c r="K841" s="591"/>
      <c r="L841" s="339"/>
      <c r="M841" s="339"/>
      <c r="N841" s="339"/>
      <c r="O841" s="339"/>
      <c r="P841" s="339"/>
      <c r="Q841" s="339"/>
      <c r="R841" s="339"/>
      <c r="S841" s="339"/>
      <c r="T841" s="339"/>
      <c r="U841" s="339"/>
      <c r="V841" s="339"/>
      <c r="W841" s="339"/>
      <c r="X841" s="339"/>
      <c r="Y841" s="339"/>
    </row>
    <row r="842" spans="1:25" ht="15.75" customHeight="1">
      <c r="A842" s="339"/>
      <c r="B842" s="339"/>
      <c r="C842" s="339"/>
      <c r="D842" s="339"/>
      <c r="E842" s="339"/>
      <c r="F842" s="339"/>
      <c r="G842" s="339"/>
      <c r="H842" s="339"/>
      <c r="I842" s="591"/>
      <c r="J842" s="341"/>
      <c r="K842" s="591"/>
      <c r="L842" s="339"/>
      <c r="M842" s="339"/>
      <c r="N842" s="339"/>
      <c r="O842" s="339"/>
      <c r="P842" s="339"/>
      <c r="Q842" s="339"/>
      <c r="R842" s="339"/>
      <c r="S842" s="339"/>
      <c r="T842" s="339"/>
      <c r="U842" s="339"/>
      <c r="V842" s="339"/>
      <c r="W842" s="339"/>
      <c r="X842" s="339"/>
      <c r="Y842" s="339"/>
    </row>
    <row r="843" spans="1:25" ht="15.75" customHeight="1">
      <c r="A843" s="339"/>
      <c r="B843" s="339"/>
      <c r="C843" s="339"/>
      <c r="D843" s="339"/>
      <c r="E843" s="339"/>
      <c r="F843" s="339"/>
      <c r="G843" s="339"/>
      <c r="H843" s="339"/>
      <c r="I843" s="591"/>
      <c r="J843" s="341"/>
      <c r="K843" s="591"/>
      <c r="L843" s="339"/>
      <c r="M843" s="339"/>
      <c r="N843" s="339"/>
      <c r="O843" s="339"/>
      <c r="P843" s="339"/>
      <c r="Q843" s="339"/>
      <c r="R843" s="339"/>
      <c r="S843" s="339"/>
      <c r="T843" s="339"/>
      <c r="U843" s="339"/>
      <c r="V843" s="339"/>
      <c r="W843" s="339"/>
      <c r="X843" s="339"/>
      <c r="Y843" s="339"/>
    </row>
    <row r="844" spans="1:25" ht="15.75" customHeight="1">
      <c r="A844" s="339"/>
      <c r="B844" s="339"/>
      <c r="C844" s="339"/>
      <c r="D844" s="339"/>
      <c r="E844" s="339"/>
      <c r="F844" s="339"/>
      <c r="G844" s="339"/>
      <c r="H844" s="339"/>
      <c r="I844" s="591"/>
      <c r="J844" s="341"/>
      <c r="K844" s="591"/>
      <c r="L844" s="339"/>
      <c r="M844" s="339"/>
      <c r="N844" s="339"/>
      <c r="O844" s="339"/>
      <c r="P844" s="339"/>
      <c r="Q844" s="339"/>
      <c r="R844" s="339"/>
      <c r="S844" s="339"/>
      <c r="T844" s="339"/>
      <c r="U844" s="339"/>
      <c r="V844" s="339"/>
      <c r="W844" s="339"/>
      <c r="X844" s="339"/>
      <c r="Y844" s="339"/>
    </row>
    <row r="845" spans="1:25" ht="15.75" customHeight="1">
      <c r="A845" s="339"/>
      <c r="B845" s="339"/>
      <c r="C845" s="339"/>
      <c r="D845" s="339"/>
      <c r="E845" s="339"/>
      <c r="F845" s="339"/>
      <c r="G845" s="339"/>
      <c r="H845" s="339"/>
      <c r="I845" s="591"/>
      <c r="J845" s="341"/>
      <c r="K845" s="591"/>
      <c r="L845" s="339"/>
      <c r="M845" s="339"/>
      <c r="N845" s="339"/>
      <c r="O845" s="339"/>
      <c r="P845" s="339"/>
      <c r="Q845" s="339"/>
      <c r="R845" s="339"/>
      <c r="S845" s="339"/>
      <c r="T845" s="339"/>
      <c r="U845" s="339"/>
      <c r="V845" s="339"/>
      <c r="W845" s="339"/>
      <c r="X845" s="339"/>
      <c r="Y845" s="339"/>
    </row>
    <row r="846" spans="1:25" ht="15.75" customHeight="1">
      <c r="A846" s="339"/>
      <c r="B846" s="339"/>
      <c r="C846" s="339"/>
      <c r="D846" s="339"/>
      <c r="E846" s="339"/>
      <c r="F846" s="339"/>
      <c r="G846" s="339"/>
      <c r="H846" s="339"/>
      <c r="I846" s="591"/>
      <c r="J846" s="341"/>
      <c r="K846" s="591"/>
      <c r="L846" s="339"/>
      <c r="M846" s="339"/>
      <c r="N846" s="339"/>
      <c r="O846" s="339"/>
      <c r="P846" s="339"/>
      <c r="Q846" s="339"/>
      <c r="R846" s="339"/>
      <c r="S846" s="339"/>
      <c r="T846" s="339"/>
      <c r="U846" s="339"/>
      <c r="V846" s="339"/>
      <c r="W846" s="339"/>
      <c r="X846" s="339"/>
      <c r="Y846" s="339"/>
    </row>
    <row r="847" spans="1:25" ht="15.75" customHeight="1">
      <c r="A847" s="339"/>
      <c r="B847" s="339"/>
      <c r="C847" s="339"/>
      <c r="D847" s="339"/>
      <c r="E847" s="339"/>
      <c r="F847" s="339"/>
      <c r="G847" s="339"/>
      <c r="H847" s="339"/>
      <c r="I847" s="591"/>
      <c r="J847" s="341"/>
      <c r="K847" s="591"/>
      <c r="L847" s="339"/>
      <c r="M847" s="339"/>
      <c r="N847" s="339"/>
      <c r="O847" s="339"/>
      <c r="P847" s="339"/>
      <c r="Q847" s="339"/>
      <c r="R847" s="339"/>
      <c r="S847" s="339"/>
      <c r="T847" s="339"/>
      <c r="U847" s="339"/>
      <c r="V847" s="339"/>
      <c r="W847" s="339"/>
      <c r="X847" s="339"/>
      <c r="Y847" s="339"/>
    </row>
    <row r="848" spans="1:25" ht="15.75" customHeight="1">
      <c r="A848" s="339"/>
      <c r="B848" s="339"/>
      <c r="C848" s="339"/>
      <c r="D848" s="339"/>
      <c r="E848" s="339"/>
      <c r="F848" s="339"/>
      <c r="G848" s="339"/>
      <c r="H848" s="339"/>
      <c r="I848" s="591"/>
      <c r="J848" s="341"/>
      <c r="K848" s="591"/>
      <c r="L848" s="339"/>
      <c r="M848" s="339"/>
      <c r="N848" s="339"/>
      <c r="O848" s="339"/>
      <c r="P848" s="339"/>
      <c r="Q848" s="339"/>
      <c r="R848" s="339"/>
      <c r="S848" s="339"/>
      <c r="T848" s="339"/>
      <c r="U848" s="339"/>
      <c r="V848" s="339"/>
      <c r="W848" s="339"/>
      <c r="X848" s="339"/>
      <c r="Y848" s="339"/>
    </row>
    <row r="849" spans="1:25" ht="15.75" customHeight="1">
      <c r="A849" s="339"/>
      <c r="B849" s="339"/>
      <c r="C849" s="339"/>
      <c r="D849" s="339"/>
      <c r="E849" s="339"/>
      <c r="F849" s="339"/>
      <c r="G849" s="339"/>
      <c r="H849" s="339"/>
      <c r="I849" s="591"/>
      <c r="J849" s="341"/>
      <c r="K849" s="591"/>
      <c r="L849" s="339"/>
      <c r="M849" s="339"/>
      <c r="N849" s="339"/>
      <c r="O849" s="339"/>
      <c r="P849" s="339"/>
      <c r="Q849" s="339"/>
      <c r="R849" s="339"/>
      <c r="S849" s="339"/>
      <c r="T849" s="339"/>
      <c r="U849" s="339"/>
      <c r="V849" s="339"/>
      <c r="W849" s="339"/>
      <c r="X849" s="339"/>
      <c r="Y849" s="339"/>
    </row>
    <row r="850" spans="1:25" ht="15.75" customHeight="1">
      <c r="A850" s="339"/>
      <c r="B850" s="339"/>
      <c r="C850" s="339"/>
      <c r="D850" s="339"/>
      <c r="E850" s="339"/>
      <c r="F850" s="339"/>
      <c r="G850" s="339"/>
      <c r="H850" s="339"/>
      <c r="I850" s="591"/>
      <c r="J850" s="341"/>
      <c r="K850" s="591"/>
      <c r="L850" s="339"/>
      <c r="M850" s="339"/>
      <c r="N850" s="339"/>
      <c r="O850" s="339"/>
      <c r="P850" s="339"/>
      <c r="Q850" s="339"/>
      <c r="R850" s="339"/>
      <c r="S850" s="339"/>
      <c r="T850" s="339"/>
      <c r="U850" s="339"/>
      <c r="V850" s="339"/>
      <c r="W850" s="339"/>
      <c r="X850" s="339"/>
      <c r="Y850" s="339"/>
    </row>
    <row r="851" spans="1:25" ht="15.75" customHeight="1">
      <c r="A851" s="339"/>
      <c r="B851" s="339"/>
      <c r="C851" s="339"/>
      <c r="D851" s="339"/>
      <c r="E851" s="339"/>
      <c r="F851" s="339"/>
      <c r="G851" s="339"/>
      <c r="H851" s="339"/>
      <c r="I851" s="591"/>
      <c r="J851" s="341"/>
      <c r="K851" s="591"/>
      <c r="L851" s="339"/>
      <c r="M851" s="339"/>
      <c r="N851" s="339"/>
      <c r="O851" s="339"/>
      <c r="P851" s="339"/>
      <c r="Q851" s="339"/>
      <c r="R851" s="339"/>
      <c r="S851" s="339"/>
      <c r="T851" s="339"/>
      <c r="U851" s="339"/>
      <c r="V851" s="339"/>
      <c r="W851" s="339"/>
      <c r="X851" s="339"/>
      <c r="Y851" s="339"/>
    </row>
    <row r="852" spans="1:25" ht="15.75" customHeight="1">
      <c r="A852" s="339"/>
      <c r="B852" s="339"/>
      <c r="C852" s="339"/>
      <c r="D852" s="339"/>
      <c r="E852" s="339"/>
      <c r="F852" s="339"/>
      <c r="G852" s="339"/>
      <c r="H852" s="339"/>
      <c r="I852" s="591"/>
      <c r="J852" s="341"/>
      <c r="K852" s="591"/>
      <c r="L852" s="339"/>
      <c r="M852" s="339"/>
      <c r="N852" s="339"/>
      <c r="O852" s="339"/>
      <c r="P852" s="339"/>
      <c r="Q852" s="339"/>
      <c r="R852" s="339"/>
      <c r="S852" s="339"/>
      <c r="T852" s="339"/>
      <c r="U852" s="339"/>
      <c r="V852" s="339"/>
      <c r="W852" s="339"/>
      <c r="X852" s="339"/>
      <c r="Y852" s="339"/>
    </row>
    <row r="853" spans="1:25" ht="15.75" customHeight="1">
      <c r="A853" s="339"/>
      <c r="B853" s="339"/>
      <c r="C853" s="339"/>
      <c r="D853" s="339"/>
      <c r="E853" s="339"/>
      <c r="F853" s="339"/>
      <c r="G853" s="339"/>
      <c r="H853" s="339"/>
      <c r="I853" s="591"/>
      <c r="J853" s="341"/>
      <c r="K853" s="591"/>
      <c r="L853" s="339"/>
      <c r="M853" s="339"/>
      <c r="N853" s="339"/>
      <c r="O853" s="339"/>
      <c r="P853" s="339"/>
      <c r="Q853" s="339"/>
      <c r="R853" s="339"/>
      <c r="S853" s="339"/>
      <c r="T853" s="339"/>
      <c r="U853" s="339"/>
      <c r="V853" s="339"/>
      <c r="W853" s="339"/>
      <c r="X853" s="339"/>
      <c r="Y853" s="339"/>
    </row>
    <row r="854" spans="1:25" ht="15.75" customHeight="1">
      <c r="A854" s="339"/>
      <c r="B854" s="339"/>
      <c r="C854" s="339"/>
      <c r="D854" s="339"/>
      <c r="E854" s="339"/>
      <c r="F854" s="339"/>
      <c r="G854" s="339"/>
      <c r="H854" s="339"/>
      <c r="I854" s="591"/>
      <c r="J854" s="341"/>
      <c r="K854" s="591"/>
      <c r="L854" s="339"/>
      <c r="M854" s="339"/>
      <c r="N854" s="339"/>
      <c r="O854" s="339"/>
      <c r="P854" s="339"/>
      <c r="Q854" s="339"/>
      <c r="R854" s="339"/>
      <c r="S854" s="339"/>
      <c r="T854" s="339"/>
      <c r="U854" s="339"/>
      <c r="V854" s="339"/>
      <c r="W854" s="339"/>
      <c r="X854" s="339"/>
      <c r="Y854" s="339"/>
    </row>
    <row r="855" spans="1:25" ht="15.75" customHeight="1">
      <c r="A855" s="339"/>
      <c r="B855" s="339"/>
      <c r="C855" s="339"/>
      <c r="D855" s="339"/>
      <c r="E855" s="339"/>
      <c r="F855" s="339"/>
      <c r="G855" s="339"/>
      <c r="H855" s="339"/>
      <c r="I855" s="591"/>
      <c r="J855" s="341"/>
      <c r="K855" s="591"/>
      <c r="L855" s="339"/>
      <c r="M855" s="339"/>
      <c r="N855" s="339"/>
      <c r="O855" s="339"/>
      <c r="P855" s="339"/>
      <c r="Q855" s="339"/>
      <c r="R855" s="339"/>
      <c r="S855" s="339"/>
      <c r="T855" s="339"/>
      <c r="U855" s="339"/>
      <c r="V855" s="339"/>
      <c r="W855" s="339"/>
      <c r="X855" s="339"/>
      <c r="Y855" s="339"/>
    </row>
    <row r="856" spans="1:25" ht="15.75" customHeight="1">
      <c r="A856" s="339"/>
      <c r="B856" s="339"/>
      <c r="C856" s="339"/>
      <c r="D856" s="339"/>
      <c r="E856" s="339"/>
      <c r="F856" s="339"/>
      <c r="G856" s="339"/>
      <c r="H856" s="339"/>
      <c r="I856" s="591"/>
      <c r="J856" s="341"/>
      <c r="K856" s="591"/>
      <c r="L856" s="339"/>
      <c r="M856" s="339"/>
      <c r="N856" s="339"/>
      <c r="O856" s="339"/>
      <c r="P856" s="339"/>
      <c r="Q856" s="339"/>
      <c r="R856" s="339"/>
      <c r="S856" s="339"/>
      <c r="T856" s="339"/>
      <c r="U856" s="339"/>
      <c r="V856" s="339"/>
      <c r="W856" s="339"/>
      <c r="X856" s="339"/>
      <c r="Y856" s="339"/>
    </row>
    <row r="857" spans="1:25" ht="15.75" customHeight="1">
      <c r="A857" s="339"/>
      <c r="B857" s="339"/>
      <c r="C857" s="339"/>
      <c r="D857" s="339"/>
      <c r="E857" s="339"/>
      <c r="F857" s="339"/>
      <c r="G857" s="339"/>
      <c r="H857" s="339"/>
      <c r="I857" s="591"/>
      <c r="J857" s="341"/>
      <c r="K857" s="591"/>
      <c r="L857" s="339"/>
      <c r="M857" s="339"/>
      <c r="N857" s="339"/>
      <c r="O857" s="339"/>
      <c r="P857" s="339"/>
      <c r="Q857" s="339"/>
      <c r="R857" s="339"/>
      <c r="S857" s="339"/>
      <c r="T857" s="339"/>
      <c r="U857" s="339"/>
      <c r="V857" s="339"/>
      <c r="W857" s="339"/>
      <c r="X857" s="339"/>
      <c r="Y857" s="339"/>
    </row>
    <row r="858" spans="1:25" ht="15.75" customHeight="1">
      <c r="A858" s="339"/>
      <c r="B858" s="339"/>
      <c r="C858" s="339"/>
      <c r="D858" s="339"/>
      <c r="E858" s="339"/>
      <c r="F858" s="339"/>
      <c r="G858" s="339"/>
      <c r="H858" s="339"/>
      <c r="I858" s="591"/>
      <c r="J858" s="341"/>
      <c r="K858" s="591"/>
      <c r="L858" s="339"/>
      <c r="M858" s="339"/>
      <c r="N858" s="339"/>
      <c r="O858" s="339"/>
      <c r="P858" s="339"/>
      <c r="Q858" s="339"/>
      <c r="R858" s="339"/>
      <c r="S858" s="339"/>
      <c r="T858" s="339"/>
      <c r="U858" s="339"/>
      <c r="V858" s="339"/>
      <c r="W858" s="339"/>
      <c r="X858" s="339"/>
      <c r="Y858" s="339"/>
    </row>
    <row r="859" spans="1:25" ht="15.75" customHeight="1">
      <c r="A859" s="339"/>
      <c r="B859" s="339"/>
      <c r="C859" s="339"/>
      <c r="D859" s="339"/>
      <c r="E859" s="339"/>
      <c r="F859" s="339"/>
      <c r="G859" s="339"/>
      <c r="H859" s="339"/>
      <c r="I859" s="591"/>
      <c r="J859" s="341"/>
      <c r="K859" s="591"/>
      <c r="L859" s="339"/>
      <c r="M859" s="339"/>
      <c r="N859" s="339"/>
      <c r="O859" s="339"/>
      <c r="P859" s="339"/>
      <c r="Q859" s="339"/>
      <c r="R859" s="339"/>
      <c r="S859" s="339"/>
      <c r="T859" s="339"/>
      <c r="U859" s="339"/>
      <c r="V859" s="339"/>
      <c r="W859" s="339"/>
      <c r="X859" s="339"/>
      <c r="Y859" s="339"/>
    </row>
    <row r="860" spans="1:25" ht="15.75" customHeight="1">
      <c r="A860" s="339"/>
      <c r="B860" s="339"/>
      <c r="C860" s="339"/>
      <c r="D860" s="339"/>
      <c r="E860" s="339"/>
      <c r="F860" s="339"/>
      <c r="G860" s="339"/>
      <c r="H860" s="339"/>
      <c r="I860" s="591"/>
      <c r="J860" s="341"/>
      <c r="K860" s="591"/>
      <c r="L860" s="339"/>
      <c r="M860" s="339"/>
      <c r="N860" s="339"/>
      <c r="O860" s="339"/>
      <c r="P860" s="339"/>
      <c r="Q860" s="339"/>
      <c r="R860" s="339"/>
      <c r="S860" s="339"/>
      <c r="T860" s="339"/>
      <c r="U860" s="339"/>
      <c r="V860" s="339"/>
      <c r="W860" s="339"/>
      <c r="X860" s="339"/>
      <c r="Y860" s="339"/>
    </row>
    <row r="861" spans="1:25" ht="15.75" customHeight="1">
      <c r="A861" s="339"/>
      <c r="B861" s="339"/>
      <c r="C861" s="339"/>
      <c r="D861" s="339"/>
      <c r="E861" s="339"/>
      <c r="F861" s="339"/>
      <c r="G861" s="339"/>
      <c r="H861" s="339"/>
      <c r="I861" s="591"/>
      <c r="J861" s="341"/>
      <c r="K861" s="591"/>
      <c r="L861" s="339"/>
      <c r="M861" s="339"/>
      <c r="N861" s="339"/>
      <c r="O861" s="339"/>
      <c r="P861" s="339"/>
      <c r="Q861" s="339"/>
      <c r="R861" s="339"/>
      <c r="S861" s="339"/>
      <c r="T861" s="339"/>
      <c r="U861" s="339"/>
      <c r="V861" s="339"/>
      <c r="W861" s="339"/>
      <c r="X861" s="339"/>
      <c r="Y861" s="339"/>
    </row>
    <row r="862" spans="1:25" ht="15.75" customHeight="1">
      <c r="A862" s="339"/>
      <c r="B862" s="339"/>
      <c r="C862" s="339"/>
      <c r="D862" s="339"/>
      <c r="E862" s="339"/>
      <c r="F862" s="339"/>
      <c r="G862" s="339"/>
      <c r="H862" s="339"/>
      <c r="I862" s="591"/>
      <c r="J862" s="341"/>
      <c r="K862" s="591"/>
      <c r="L862" s="339"/>
      <c r="M862" s="339"/>
      <c r="N862" s="339"/>
      <c r="O862" s="339"/>
      <c r="P862" s="339"/>
      <c r="Q862" s="339"/>
      <c r="R862" s="339"/>
      <c r="S862" s="339"/>
      <c r="T862" s="339"/>
      <c r="U862" s="339"/>
      <c r="V862" s="339"/>
      <c r="W862" s="339"/>
      <c r="X862" s="339"/>
      <c r="Y862" s="339"/>
    </row>
    <row r="863" spans="1:25" ht="15.75" customHeight="1">
      <c r="A863" s="339"/>
      <c r="B863" s="339"/>
      <c r="C863" s="339"/>
      <c r="D863" s="339"/>
      <c r="E863" s="339"/>
      <c r="F863" s="339"/>
      <c r="G863" s="339"/>
      <c r="H863" s="339"/>
      <c r="I863" s="591"/>
      <c r="J863" s="341"/>
      <c r="K863" s="591"/>
      <c r="L863" s="339"/>
      <c r="M863" s="339"/>
      <c r="N863" s="339"/>
      <c r="O863" s="339"/>
      <c r="P863" s="339"/>
      <c r="Q863" s="339"/>
      <c r="R863" s="339"/>
      <c r="S863" s="339"/>
      <c r="T863" s="339"/>
      <c r="U863" s="339"/>
      <c r="V863" s="339"/>
      <c r="W863" s="339"/>
      <c r="X863" s="339"/>
      <c r="Y863" s="339"/>
    </row>
    <row r="864" spans="1:25" ht="15.75" customHeight="1">
      <c r="A864" s="339"/>
      <c r="B864" s="339"/>
      <c r="C864" s="339"/>
      <c r="D864" s="339"/>
      <c r="E864" s="339"/>
      <c r="F864" s="339"/>
      <c r="G864" s="339"/>
      <c r="H864" s="339"/>
      <c r="I864" s="591"/>
      <c r="J864" s="341"/>
      <c r="K864" s="591"/>
      <c r="L864" s="339"/>
      <c r="M864" s="339"/>
      <c r="N864" s="339"/>
      <c r="O864" s="339"/>
      <c r="P864" s="339"/>
      <c r="Q864" s="339"/>
      <c r="R864" s="339"/>
      <c r="S864" s="339"/>
      <c r="T864" s="339"/>
      <c r="U864" s="339"/>
      <c r="V864" s="339"/>
      <c r="W864" s="339"/>
      <c r="X864" s="339"/>
      <c r="Y864" s="339"/>
    </row>
    <row r="865" spans="1:25" ht="15.75" customHeight="1">
      <c r="A865" s="339"/>
      <c r="B865" s="339"/>
      <c r="C865" s="339"/>
      <c r="D865" s="339"/>
      <c r="E865" s="339"/>
      <c r="F865" s="339"/>
      <c r="G865" s="339"/>
      <c r="H865" s="339"/>
      <c r="I865" s="591"/>
      <c r="J865" s="341"/>
      <c r="K865" s="591"/>
      <c r="L865" s="339"/>
      <c r="M865" s="339"/>
      <c r="N865" s="339"/>
      <c r="O865" s="339"/>
      <c r="P865" s="339"/>
      <c r="Q865" s="339"/>
      <c r="R865" s="339"/>
      <c r="S865" s="339"/>
      <c r="T865" s="339"/>
      <c r="U865" s="339"/>
      <c r="V865" s="339"/>
      <c r="W865" s="339"/>
      <c r="X865" s="339"/>
      <c r="Y865" s="339"/>
    </row>
    <row r="866" spans="1:25" ht="15.75" customHeight="1">
      <c r="A866" s="339"/>
      <c r="B866" s="339"/>
      <c r="C866" s="339"/>
      <c r="D866" s="339"/>
      <c r="E866" s="339"/>
      <c r="F866" s="339"/>
      <c r="G866" s="339"/>
      <c r="H866" s="339"/>
      <c r="I866" s="591"/>
      <c r="J866" s="341"/>
      <c r="K866" s="591"/>
      <c r="L866" s="339"/>
      <c r="M866" s="339"/>
      <c r="N866" s="339"/>
      <c r="O866" s="339"/>
      <c r="P866" s="339"/>
      <c r="Q866" s="339"/>
      <c r="R866" s="339"/>
      <c r="S866" s="339"/>
      <c r="T866" s="339"/>
      <c r="U866" s="339"/>
      <c r="V866" s="339"/>
      <c r="W866" s="339"/>
      <c r="X866" s="339"/>
      <c r="Y866" s="339"/>
    </row>
    <row r="867" spans="1:25" ht="15.75" customHeight="1">
      <c r="A867" s="339"/>
      <c r="B867" s="339"/>
      <c r="C867" s="339"/>
      <c r="D867" s="339"/>
      <c r="E867" s="339"/>
      <c r="F867" s="339"/>
      <c r="G867" s="339"/>
      <c r="H867" s="339"/>
      <c r="I867" s="591"/>
      <c r="J867" s="341"/>
      <c r="K867" s="591"/>
      <c r="L867" s="339"/>
      <c r="M867" s="339"/>
      <c r="N867" s="339"/>
      <c r="O867" s="339"/>
      <c r="P867" s="339"/>
      <c r="Q867" s="339"/>
      <c r="R867" s="339"/>
      <c r="S867" s="339"/>
      <c r="T867" s="339"/>
      <c r="U867" s="339"/>
      <c r="V867" s="339"/>
      <c r="W867" s="339"/>
      <c r="X867" s="339"/>
      <c r="Y867" s="339"/>
    </row>
    <row r="868" spans="1:25" ht="15.75" customHeight="1">
      <c r="A868" s="339"/>
      <c r="B868" s="339"/>
      <c r="C868" s="339"/>
      <c r="D868" s="339"/>
      <c r="E868" s="339"/>
      <c r="F868" s="339"/>
      <c r="G868" s="339"/>
      <c r="H868" s="339"/>
      <c r="I868" s="591"/>
      <c r="J868" s="341"/>
      <c r="K868" s="591"/>
      <c r="L868" s="339"/>
      <c r="M868" s="339"/>
      <c r="N868" s="339"/>
      <c r="O868" s="339"/>
      <c r="P868" s="339"/>
      <c r="Q868" s="339"/>
      <c r="R868" s="339"/>
      <c r="S868" s="339"/>
      <c r="T868" s="339"/>
      <c r="U868" s="339"/>
      <c r="V868" s="339"/>
      <c r="W868" s="339"/>
      <c r="X868" s="339"/>
      <c r="Y868" s="339"/>
    </row>
    <row r="869" spans="1:25" ht="15.75" customHeight="1">
      <c r="A869" s="339"/>
      <c r="B869" s="339"/>
      <c r="C869" s="339"/>
      <c r="D869" s="339"/>
      <c r="E869" s="339"/>
      <c r="F869" s="339"/>
      <c r="G869" s="339"/>
      <c r="H869" s="339"/>
      <c r="I869" s="591"/>
      <c r="J869" s="341"/>
      <c r="K869" s="591"/>
      <c r="L869" s="339"/>
      <c r="M869" s="339"/>
      <c r="N869" s="339"/>
      <c r="O869" s="339"/>
      <c r="P869" s="339"/>
      <c r="Q869" s="339"/>
      <c r="R869" s="339"/>
      <c r="S869" s="339"/>
      <c r="T869" s="339"/>
      <c r="U869" s="339"/>
      <c r="V869" s="339"/>
      <c r="W869" s="339"/>
      <c r="X869" s="339"/>
      <c r="Y869" s="339"/>
    </row>
    <row r="870" spans="1:25" ht="15.75" customHeight="1">
      <c r="A870" s="339"/>
      <c r="B870" s="339"/>
      <c r="C870" s="339"/>
      <c r="D870" s="339"/>
      <c r="E870" s="339"/>
      <c r="F870" s="339"/>
      <c r="G870" s="339"/>
      <c r="H870" s="339"/>
      <c r="I870" s="591"/>
      <c r="J870" s="341"/>
      <c r="K870" s="591"/>
      <c r="L870" s="339"/>
      <c r="M870" s="339"/>
      <c r="N870" s="339"/>
      <c r="O870" s="339"/>
      <c r="P870" s="339"/>
      <c r="Q870" s="339"/>
      <c r="R870" s="339"/>
      <c r="S870" s="339"/>
      <c r="T870" s="339"/>
      <c r="U870" s="339"/>
      <c r="V870" s="339"/>
      <c r="W870" s="339"/>
      <c r="X870" s="339"/>
      <c r="Y870" s="339"/>
    </row>
    <row r="871" spans="1:25" ht="15.75" customHeight="1">
      <c r="A871" s="339"/>
      <c r="B871" s="339"/>
      <c r="C871" s="339"/>
      <c r="D871" s="339"/>
      <c r="E871" s="339"/>
      <c r="F871" s="339"/>
      <c r="G871" s="339"/>
      <c r="H871" s="339"/>
      <c r="I871" s="591"/>
      <c r="J871" s="341"/>
      <c r="K871" s="591"/>
      <c r="L871" s="339"/>
      <c r="M871" s="339"/>
      <c r="N871" s="339"/>
      <c r="O871" s="339"/>
      <c r="P871" s="339"/>
      <c r="Q871" s="339"/>
      <c r="R871" s="339"/>
      <c r="S871" s="339"/>
      <c r="T871" s="339"/>
      <c r="U871" s="339"/>
      <c r="V871" s="339"/>
      <c r="W871" s="339"/>
      <c r="X871" s="339"/>
      <c r="Y871" s="339"/>
    </row>
    <row r="872" spans="1:25" ht="15.75" customHeight="1">
      <c r="A872" s="339"/>
      <c r="B872" s="339"/>
      <c r="C872" s="339"/>
      <c r="D872" s="339"/>
      <c r="E872" s="339"/>
      <c r="F872" s="339"/>
      <c r="G872" s="339"/>
      <c r="H872" s="339"/>
      <c r="I872" s="591"/>
      <c r="J872" s="341"/>
      <c r="K872" s="591"/>
      <c r="L872" s="339"/>
      <c r="M872" s="339"/>
      <c r="N872" s="339"/>
      <c r="O872" s="339"/>
      <c r="P872" s="339"/>
      <c r="Q872" s="339"/>
      <c r="R872" s="339"/>
      <c r="S872" s="339"/>
      <c r="T872" s="339"/>
      <c r="U872" s="339"/>
      <c r="V872" s="339"/>
      <c r="W872" s="339"/>
      <c r="X872" s="339"/>
      <c r="Y872" s="339"/>
    </row>
    <row r="873" spans="1:25" ht="15.75" customHeight="1">
      <c r="A873" s="339"/>
      <c r="B873" s="339"/>
      <c r="C873" s="339"/>
      <c r="D873" s="339"/>
      <c r="E873" s="339"/>
      <c r="F873" s="339"/>
      <c r="G873" s="339"/>
      <c r="H873" s="339"/>
      <c r="I873" s="591"/>
      <c r="J873" s="341"/>
      <c r="K873" s="591"/>
      <c r="L873" s="339"/>
      <c r="M873" s="339"/>
      <c r="N873" s="339"/>
      <c r="O873" s="339"/>
      <c r="P873" s="339"/>
      <c r="Q873" s="339"/>
      <c r="R873" s="339"/>
      <c r="S873" s="339"/>
      <c r="T873" s="339"/>
      <c r="U873" s="339"/>
      <c r="V873" s="339"/>
      <c r="W873" s="339"/>
      <c r="X873" s="339"/>
      <c r="Y873" s="339"/>
    </row>
    <row r="874" spans="1:25" ht="15.75" customHeight="1">
      <c r="A874" s="339"/>
      <c r="B874" s="339"/>
      <c r="C874" s="339"/>
      <c r="D874" s="339"/>
      <c r="E874" s="339"/>
      <c r="F874" s="339"/>
      <c r="G874" s="339"/>
      <c r="H874" s="339"/>
      <c r="I874" s="591"/>
      <c r="J874" s="341"/>
      <c r="K874" s="591"/>
      <c r="L874" s="339"/>
      <c r="M874" s="339"/>
      <c r="N874" s="339"/>
      <c r="O874" s="339"/>
      <c r="P874" s="339"/>
      <c r="Q874" s="339"/>
      <c r="R874" s="339"/>
      <c r="S874" s="339"/>
      <c r="T874" s="339"/>
      <c r="U874" s="339"/>
      <c r="V874" s="339"/>
      <c r="W874" s="339"/>
      <c r="X874" s="339"/>
      <c r="Y874" s="339"/>
    </row>
    <row r="875" spans="1:25" ht="15.75" customHeight="1">
      <c r="A875" s="339"/>
      <c r="B875" s="339"/>
      <c r="C875" s="339"/>
      <c r="D875" s="339"/>
      <c r="E875" s="339"/>
      <c r="F875" s="339"/>
      <c r="G875" s="339"/>
      <c r="H875" s="339"/>
      <c r="I875" s="591"/>
      <c r="J875" s="341"/>
      <c r="K875" s="591"/>
      <c r="L875" s="339"/>
      <c r="M875" s="339"/>
      <c r="N875" s="339"/>
      <c r="O875" s="339"/>
      <c r="P875" s="339"/>
      <c r="Q875" s="339"/>
      <c r="R875" s="339"/>
      <c r="S875" s="339"/>
      <c r="T875" s="339"/>
      <c r="U875" s="339"/>
      <c r="V875" s="339"/>
      <c r="W875" s="339"/>
      <c r="X875" s="339"/>
      <c r="Y875" s="339"/>
    </row>
    <row r="876" spans="1:25" ht="15.75" customHeight="1">
      <c r="A876" s="339"/>
      <c r="B876" s="339"/>
      <c r="C876" s="339"/>
      <c r="D876" s="339"/>
      <c r="E876" s="339"/>
      <c r="F876" s="339"/>
      <c r="G876" s="339"/>
      <c r="H876" s="339"/>
      <c r="I876" s="591"/>
      <c r="J876" s="341"/>
      <c r="K876" s="591"/>
      <c r="L876" s="339"/>
      <c r="M876" s="339"/>
      <c r="N876" s="339"/>
      <c r="O876" s="339"/>
      <c r="P876" s="339"/>
      <c r="Q876" s="339"/>
      <c r="R876" s="339"/>
      <c r="S876" s="339"/>
      <c r="T876" s="339"/>
      <c r="U876" s="339"/>
      <c r="V876" s="339"/>
      <c r="W876" s="339"/>
      <c r="X876" s="339"/>
      <c r="Y876" s="339"/>
    </row>
    <row r="877" spans="1:25" ht="15.75" customHeight="1">
      <c r="A877" s="339"/>
      <c r="B877" s="339"/>
      <c r="C877" s="339"/>
      <c r="D877" s="339"/>
      <c r="E877" s="339"/>
      <c r="F877" s="339"/>
      <c r="G877" s="339"/>
      <c r="H877" s="339"/>
      <c r="I877" s="591"/>
      <c r="J877" s="341"/>
      <c r="K877" s="591"/>
      <c r="L877" s="339"/>
      <c r="M877" s="339"/>
      <c r="N877" s="339"/>
      <c r="O877" s="339"/>
      <c r="P877" s="339"/>
      <c r="Q877" s="339"/>
      <c r="R877" s="339"/>
      <c r="S877" s="339"/>
      <c r="T877" s="339"/>
      <c r="U877" s="339"/>
      <c r="V877" s="339"/>
      <c r="W877" s="339"/>
      <c r="X877" s="339"/>
      <c r="Y877" s="339"/>
    </row>
    <row r="878" spans="1:25" ht="15.75" customHeight="1">
      <c r="A878" s="339"/>
      <c r="B878" s="339"/>
      <c r="C878" s="339"/>
      <c r="D878" s="339"/>
      <c r="E878" s="339"/>
      <c r="F878" s="339"/>
      <c r="G878" s="339"/>
      <c r="H878" s="339"/>
      <c r="I878" s="591"/>
      <c r="J878" s="341"/>
      <c r="K878" s="591"/>
      <c r="L878" s="339"/>
      <c r="M878" s="339"/>
      <c r="N878" s="339"/>
      <c r="O878" s="339"/>
      <c r="P878" s="339"/>
      <c r="Q878" s="339"/>
      <c r="R878" s="339"/>
      <c r="S878" s="339"/>
      <c r="T878" s="339"/>
      <c r="U878" s="339"/>
      <c r="V878" s="339"/>
      <c r="W878" s="339"/>
      <c r="X878" s="339"/>
      <c r="Y878" s="339"/>
    </row>
    <row r="879" spans="1:25" ht="15.75" customHeight="1">
      <c r="A879" s="339"/>
      <c r="B879" s="339"/>
      <c r="C879" s="339"/>
      <c r="D879" s="339"/>
      <c r="E879" s="339"/>
      <c r="F879" s="339"/>
      <c r="G879" s="339"/>
      <c r="H879" s="339"/>
      <c r="I879" s="591"/>
      <c r="J879" s="341"/>
      <c r="K879" s="591"/>
      <c r="L879" s="339"/>
      <c r="M879" s="339"/>
      <c r="N879" s="339"/>
      <c r="O879" s="339"/>
      <c r="P879" s="339"/>
      <c r="Q879" s="339"/>
      <c r="R879" s="339"/>
      <c r="S879" s="339"/>
      <c r="T879" s="339"/>
      <c r="U879" s="339"/>
      <c r="V879" s="339"/>
      <c r="W879" s="339"/>
      <c r="X879" s="339"/>
      <c r="Y879" s="339"/>
    </row>
    <row r="880" spans="1:25" ht="15.75" customHeight="1">
      <c r="A880" s="339"/>
      <c r="B880" s="339"/>
      <c r="C880" s="339"/>
      <c r="D880" s="339"/>
      <c r="E880" s="339"/>
      <c r="F880" s="339"/>
      <c r="G880" s="339"/>
      <c r="H880" s="339"/>
      <c r="I880" s="591"/>
      <c r="J880" s="341"/>
      <c r="K880" s="591"/>
      <c r="L880" s="339"/>
      <c r="M880" s="339"/>
      <c r="N880" s="339"/>
      <c r="O880" s="339"/>
      <c r="P880" s="339"/>
      <c r="Q880" s="339"/>
      <c r="R880" s="339"/>
      <c r="S880" s="339"/>
      <c r="T880" s="339"/>
      <c r="U880" s="339"/>
      <c r="V880" s="339"/>
      <c r="W880" s="339"/>
      <c r="X880" s="339"/>
      <c r="Y880" s="339"/>
    </row>
    <row r="881" spans="1:25" ht="15.75" customHeight="1">
      <c r="A881" s="339"/>
      <c r="B881" s="339"/>
      <c r="C881" s="339"/>
      <c r="D881" s="339"/>
      <c r="E881" s="339"/>
      <c r="F881" s="339"/>
      <c r="G881" s="339"/>
      <c r="H881" s="339"/>
      <c r="I881" s="591"/>
      <c r="J881" s="341"/>
      <c r="K881" s="591"/>
      <c r="L881" s="339"/>
      <c r="M881" s="339"/>
      <c r="N881" s="339"/>
      <c r="O881" s="339"/>
      <c r="P881" s="339"/>
      <c r="Q881" s="339"/>
      <c r="R881" s="339"/>
      <c r="S881" s="339"/>
      <c r="T881" s="339"/>
      <c r="U881" s="339"/>
      <c r="V881" s="339"/>
      <c r="W881" s="339"/>
      <c r="X881" s="339"/>
      <c r="Y881" s="339"/>
    </row>
    <row r="882" spans="1:25" ht="15.75" customHeight="1">
      <c r="A882" s="339"/>
      <c r="B882" s="339"/>
      <c r="C882" s="339"/>
      <c r="D882" s="339"/>
      <c r="E882" s="339"/>
      <c r="F882" s="339"/>
      <c r="G882" s="339"/>
      <c r="H882" s="339"/>
      <c r="I882" s="591"/>
      <c r="J882" s="341"/>
      <c r="K882" s="591"/>
      <c r="L882" s="339"/>
      <c r="M882" s="339"/>
      <c r="N882" s="339"/>
      <c r="O882" s="339"/>
      <c r="P882" s="339"/>
      <c r="Q882" s="339"/>
      <c r="R882" s="339"/>
      <c r="S882" s="339"/>
      <c r="T882" s="339"/>
      <c r="U882" s="339"/>
      <c r="V882" s="339"/>
      <c r="W882" s="339"/>
      <c r="X882" s="339"/>
      <c r="Y882" s="339"/>
    </row>
    <row r="883" spans="1:25" ht="15.75" customHeight="1">
      <c r="A883" s="339"/>
      <c r="B883" s="339"/>
      <c r="C883" s="339"/>
      <c r="D883" s="339"/>
      <c r="E883" s="339"/>
      <c r="F883" s="339"/>
      <c r="G883" s="339"/>
      <c r="H883" s="339"/>
      <c r="I883" s="591"/>
      <c r="J883" s="341"/>
      <c r="K883" s="591"/>
      <c r="L883" s="339"/>
      <c r="M883" s="339"/>
      <c r="N883" s="339"/>
      <c r="O883" s="339"/>
      <c r="P883" s="339"/>
      <c r="Q883" s="339"/>
      <c r="R883" s="339"/>
      <c r="S883" s="339"/>
      <c r="T883" s="339"/>
      <c r="U883" s="339"/>
      <c r="V883" s="339"/>
      <c r="W883" s="339"/>
      <c r="X883" s="339"/>
      <c r="Y883" s="339"/>
    </row>
    <row r="884" spans="1:25" ht="15.75" customHeight="1">
      <c r="A884" s="339"/>
      <c r="B884" s="339"/>
      <c r="C884" s="339"/>
      <c r="D884" s="339"/>
      <c r="E884" s="339"/>
      <c r="F884" s="339"/>
      <c r="G884" s="339"/>
      <c r="H884" s="339"/>
      <c r="I884" s="591"/>
      <c r="J884" s="341"/>
      <c r="K884" s="591"/>
      <c r="L884" s="339"/>
      <c r="M884" s="339"/>
      <c r="N884" s="339"/>
      <c r="O884" s="339"/>
      <c r="P884" s="339"/>
      <c r="Q884" s="339"/>
      <c r="R884" s="339"/>
      <c r="S884" s="339"/>
      <c r="T884" s="339"/>
      <c r="U884" s="339"/>
      <c r="V884" s="339"/>
      <c r="W884" s="339"/>
      <c r="X884" s="339"/>
      <c r="Y884" s="339"/>
    </row>
    <row r="885" spans="1:25" ht="15.75" customHeight="1">
      <c r="A885" s="339"/>
      <c r="B885" s="339"/>
      <c r="C885" s="339"/>
      <c r="D885" s="339"/>
      <c r="E885" s="339"/>
      <c r="F885" s="339"/>
      <c r="G885" s="339"/>
      <c r="H885" s="339"/>
      <c r="I885" s="591"/>
      <c r="J885" s="341"/>
      <c r="K885" s="591"/>
      <c r="L885" s="339"/>
      <c r="M885" s="339"/>
      <c r="N885" s="339"/>
      <c r="O885" s="339"/>
      <c r="P885" s="339"/>
      <c r="Q885" s="339"/>
      <c r="R885" s="339"/>
      <c r="S885" s="339"/>
      <c r="T885" s="339"/>
      <c r="U885" s="339"/>
      <c r="V885" s="339"/>
      <c r="W885" s="339"/>
      <c r="X885" s="339"/>
      <c r="Y885" s="339"/>
    </row>
    <row r="886" spans="1:25" ht="15.75" customHeight="1">
      <c r="A886" s="339"/>
      <c r="B886" s="339"/>
      <c r="C886" s="339"/>
      <c r="D886" s="339"/>
      <c r="E886" s="339"/>
      <c r="F886" s="339"/>
      <c r="G886" s="339"/>
      <c r="H886" s="339"/>
      <c r="I886" s="591"/>
      <c r="J886" s="341"/>
      <c r="K886" s="591"/>
      <c r="L886" s="339"/>
      <c r="M886" s="339"/>
      <c r="N886" s="339"/>
      <c r="O886" s="339"/>
      <c r="P886" s="339"/>
      <c r="Q886" s="339"/>
      <c r="R886" s="339"/>
      <c r="S886" s="339"/>
      <c r="T886" s="339"/>
      <c r="U886" s="339"/>
      <c r="V886" s="339"/>
      <c r="W886" s="339"/>
      <c r="X886" s="339"/>
      <c r="Y886" s="339"/>
    </row>
    <row r="887" spans="1:25" ht="15.75" customHeight="1">
      <c r="A887" s="339"/>
      <c r="B887" s="339"/>
      <c r="C887" s="339"/>
      <c r="D887" s="339"/>
      <c r="E887" s="339"/>
      <c r="F887" s="339"/>
      <c r="G887" s="339"/>
      <c r="H887" s="339"/>
      <c r="I887" s="591"/>
      <c r="J887" s="341"/>
      <c r="K887" s="591"/>
      <c r="L887" s="339"/>
      <c r="M887" s="339"/>
      <c r="N887" s="339"/>
      <c r="O887" s="339"/>
      <c r="P887" s="339"/>
      <c r="Q887" s="339"/>
      <c r="R887" s="339"/>
      <c r="S887" s="339"/>
      <c r="T887" s="339"/>
      <c r="U887" s="339"/>
      <c r="V887" s="339"/>
      <c r="W887" s="339"/>
      <c r="X887" s="339"/>
      <c r="Y887" s="339"/>
    </row>
    <row r="888" spans="1:25" ht="15.75" customHeight="1">
      <c r="A888" s="339"/>
      <c r="B888" s="339"/>
      <c r="C888" s="339"/>
      <c r="D888" s="339"/>
      <c r="E888" s="339"/>
      <c r="F888" s="339"/>
      <c r="G888" s="339"/>
      <c r="H888" s="339"/>
      <c r="I888" s="591"/>
      <c r="J888" s="341"/>
      <c r="K888" s="591"/>
      <c r="L888" s="339"/>
      <c r="M888" s="339"/>
      <c r="N888" s="339"/>
      <c r="O888" s="339"/>
      <c r="P888" s="339"/>
      <c r="Q888" s="339"/>
      <c r="R888" s="339"/>
      <c r="S888" s="339"/>
      <c r="T888" s="339"/>
      <c r="U888" s="339"/>
      <c r="V888" s="339"/>
      <c r="W888" s="339"/>
      <c r="X888" s="339"/>
      <c r="Y888" s="339"/>
    </row>
    <row r="889" spans="1:25" ht="15.75" customHeight="1">
      <c r="A889" s="339"/>
      <c r="B889" s="339"/>
      <c r="C889" s="339"/>
      <c r="D889" s="339"/>
      <c r="E889" s="339"/>
      <c r="F889" s="339"/>
      <c r="G889" s="339"/>
      <c r="H889" s="339"/>
      <c r="I889" s="591"/>
      <c r="J889" s="341"/>
      <c r="K889" s="591"/>
      <c r="L889" s="339"/>
      <c r="M889" s="339"/>
      <c r="N889" s="339"/>
      <c r="O889" s="339"/>
      <c r="P889" s="339"/>
      <c r="Q889" s="339"/>
      <c r="R889" s="339"/>
      <c r="S889" s="339"/>
      <c r="T889" s="339"/>
      <c r="U889" s="339"/>
      <c r="V889" s="339"/>
      <c r="W889" s="339"/>
      <c r="X889" s="339"/>
      <c r="Y889" s="339"/>
    </row>
    <row r="890" spans="1:25" ht="15.75" customHeight="1">
      <c r="A890" s="339"/>
      <c r="B890" s="339"/>
      <c r="C890" s="339"/>
      <c r="D890" s="339"/>
      <c r="E890" s="339"/>
      <c r="F890" s="339"/>
      <c r="G890" s="339"/>
      <c r="H890" s="339"/>
      <c r="I890" s="591"/>
      <c r="J890" s="341"/>
      <c r="K890" s="591"/>
      <c r="L890" s="339"/>
      <c r="M890" s="339"/>
      <c r="N890" s="339"/>
      <c r="O890" s="339"/>
      <c r="P890" s="339"/>
      <c r="Q890" s="339"/>
      <c r="R890" s="339"/>
      <c r="S890" s="339"/>
      <c r="T890" s="339"/>
      <c r="U890" s="339"/>
      <c r="V890" s="339"/>
      <c r="W890" s="339"/>
      <c r="X890" s="339"/>
      <c r="Y890" s="339"/>
    </row>
    <row r="891" spans="1:25" ht="15.75" customHeight="1">
      <c r="A891" s="339"/>
      <c r="B891" s="339"/>
      <c r="C891" s="339"/>
      <c r="D891" s="339"/>
      <c r="E891" s="339"/>
      <c r="F891" s="339"/>
      <c r="G891" s="339"/>
      <c r="H891" s="339"/>
      <c r="I891" s="591"/>
      <c r="J891" s="341"/>
      <c r="K891" s="591"/>
      <c r="L891" s="339"/>
      <c r="M891" s="339"/>
      <c r="N891" s="339"/>
      <c r="O891" s="339"/>
      <c r="P891" s="339"/>
      <c r="Q891" s="339"/>
      <c r="R891" s="339"/>
      <c r="S891" s="339"/>
      <c r="T891" s="339"/>
      <c r="U891" s="339"/>
      <c r="V891" s="339"/>
      <c r="W891" s="339"/>
      <c r="X891" s="339"/>
      <c r="Y891" s="339"/>
    </row>
    <row r="892" spans="1:25" ht="15.75" customHeight="1">
      <c r="A892" s="339"/>
      <c r="B892" s="339"/>
      <c r="C892" s="339"/>
      <c r="D892" s="339"/>
      <c r="E892" s="339"/>
      <c r="F892" s="339"/>
      <c r="G892" s="339"/>
      <c r="H892" s="339"/>
      <c r="I892" s="591"/>
      <c r="J892" s="341"/>
      <c r="K892" s="591"/>
      <c r="L892" s="339"/>
      <c r="M892" s="339"/>
      <c r="N892" s="339"/>
      <c r="O892" s="339"/>
      <c r="P892" s="339"/>
      <c r="Q892" s="339"/>
      <c r="R892" s="339"/>
      <c r="S892" s="339"/>
      <c r="T892" s="339"/>
      <c r="U892" s="339"/>
      <c r="V892" s="339"/>
      <c r="W892" s="339"/>
      <c r="X892" s="339"/>
      <c r="Y892" s="339"/>
    </row>
    <row r="893" spans="1:25" ht="15.75" customHeight="1">
      <c r="A893" s="339"/>
      <c r="B893" s="339"/>
      <c r="C893" s="339"/>
      <c r="D893" s="339"/>
      <c r="E893" s="339"/>
      <c r="F893" s="339"/>
      <c r="G893" s="339"/>
      <c r="H893" s="339"/>
      <c r="I893" s="591"/>
      <c r="J893" s="341"/>
      <c r="K893" s="591"/>
      <c r="L893" s="339"/>
      <c r="M893" s="339"/>
      <c r="N893" s="339"/>
      <c r="O893" s="339"/>
      <c r="P893" s="339"/>
      <c r="Q893" s="339"/>
      <c r="R893" s="339"/>
      <c r="S893" s="339"/>
      <c r="T893" s="339"/>
      <c r="U893" s="339"/>
      <c r="V893" s="339"/>
      <c r="W893" s="339"/>
      <c r="X893" s="339"/>
      <c r="Y893" s="339"/>
    </row>
    <row r="894" spans="1:25" ht="15.75" customHeight="1">
      <c r="A894" s="339"/>
      <c r="B894" s="339"/>
      <c r="C894" s="339"/>
      <c r="D894" s="339"/>
      <c r="E894" s="339"/>
      <c r="F894" s="339"/>
      <c r="G894" s="339"/>
      <c r="H894" s="339"/>
      <c r="I894" s="591"/>
      <c r="J894" s="341"/>
      <c r="K894" s="591"/>
      <c r="L894" s="339"/>
      <c r="M894" s="339"/>
      <c r="N894" s="339"/>
      <c r="O894" s="339"/>
      <c r="P894" s="339"/>
      <c r="Q894" s="339"/>
      <c r="R894" s="339"/>
      <c r="S894" s="339"/>
      <c r="T894" s="339"/>
      <c r="U894" s="339"/>
      <c r="V894" s="339"/>
      <c r="W894" s="339"/>
      <c r="X894" s="339"/>
      <c r="Y894" s="339"/>
    </row>
    <row r="895" spans="1:25" ht="15.75" customHeight="1">
      <c r="A895" s="339"/>
      <c r="B895" s="339"/>
      <c r="C895" s="339"/>
      <c r="D895" s="339"/>
      <c r="E895" s="339"/>
      <c r="F895" s="339"/>
      <c r="G895" s="339"/>
      <c r="H895" s="339"/>
      <c r="I895" s="591"/>
      <c r="J895" s="341"/>
      <c r="K895" s="591"/>
      <c r="L895" s="339"/>
      <c r="M895" s="339"/>
      <c r="N895" s="339"/>
      <c r="O895" s="339"/>
      <c r="P895" s="339"/>
      <c r="Q895" s="339"/>
      <c r="R895" s="339"/>
      <c r="S895" s="339"/>
      <c r="T895" s="339"/>
      <c r="U895" s="339"/>
      <c r="V895" s="339"/>
      <c r="W895" s="339"/>
      <c r="X895" s="339"/>
      <c r="Y895" s="339"/>
    </row>
    <row r="896" spans="1:25" ht="15.75" customHeight="1">
      <c r="A896" s="339"/>
      <c r="B896" s="339"/>
      <c r="C896" s="339"/>
      <c r="D896" s="339"/>
      <c r="E896" s="339"/>
      <c r="F896" s="339"/>
      <c r="G896" s="339"/>
      <c r="H896" s="339"/>
      <c r="I896" s="591"/>
      <c r="J896" s="341"/>
      <c r="K896" s="591"/>
      <c r="L896" s="339"/>
      <c r="M896" s="339"/>
      <c r="N896" s="339"/>
      <c r="O896" s="339"/>
      <c r="P896" s="339"/>
      <c r="Q896" s="339"/>
      <c r="R896" s="339"/>
      <c r="S896" s="339"/>
      <c r="T896" s="339"/>
      <c r="U896" s="339"/>
      <c r="V896" s="339"/>
      <c r="W896" s="339"/>
      <c r="X896" s="339"/>
      <c r="Y896" s="339"/>
    </row>
    <row r="897" spans="1:25" ht="15.75" customHeight="1">
      <c r="A897" s="339"/>
      <c r="B897" s="339"/>
      <c r="C897" s="339"/>
      <c r="D897" s="339"/>
      <c r="E897" s="339"/>
      <c r="F897" s="339"/>
      <c r="G897" s="339"/>
      <c r="H897" s="339"/>
      <c r="I897" s="591"/>
      <c r="J897" s="341"/>
      <c r="K897" s="591"/>
      <c r="L897" s="339"/>
      <c r="M897" s="339"/>
      <c r="N897" s="339"/>
      <c r="O897" s="339"/>
      <c r="P897" s="339"/>
      <c r="Q897" s="339"/>
      <c r="R897" s="339"/>
      <c r="S897" s="339"/>
      <c r="T897" s="339"/>
      <c r="U897" s="339"/>
      <c r="V897" s="339"/>
      <c r="W897" s="339"/>
      <c r="X897" s="339"/>
      <c r="Y897" s="339"/>
    </row>
    <row r="898" spans="1:25" ht="15.75" customHeight="1">
      <c r="A898" s="339"/>
      <c r="B898" s="339"/>
      <c r="C898" s="339"/>
      <c r="D898" s="339"/>
      <c r="E898" s="339"/>
      <c r="F898" s="339"/>
      <c r="G898" s="339"/>
      <c r="H898" s="339"/>
      <c r="I898" s="591"/>
      <c r="J898" s="341"/>
      <c r="K898" s="591"/>
      <c r="L898" s="339"/>
      <c r="M898" s="339"/>
      <c r="N898" s="339"/>
      <c r="O898" s="339"/>
      <c r="P898" s="339"/>
      <c r="Q898" s="339"/>
      <c r="R898" s="339"/>
      <c r="S898" s="339"/>
      <c r="T898" s="339"/>
      <c r="U898" s="339"/>
      <c r="V898" s="339"/>
      <c r="W898" s="339"/>
      <c r="X898" s="339"/>
      <c r="Y898" s="339"/>
    </row>
    <row r="899" spans="1:25" ht="15.75" customHeight="1">
      <c r="A899" s="339"/>
      <c r="B899" s="339"/>
      <c r="C899" s="339"/>
      <c r="D899" s="339"/>
      <c r="E899" s="339"/>
      <c r="F899" s="339"/>
      <c r="G899" s="339"/>
      <c r="H899" s="339"/>
      <c r="I899" s="591"/>
      <c r="J899" s="341"/>
      <c r="K899" s="591"/>
      <c r="L899" s="339"/>
      <c r="M899" s="339"/>
      <c r="N899" s="339"/>
      <c r="O899" s="339"/>
      <c r="P899" s="339"/>
      <c r="Q899" s="339"/>
      <c r="R899" s="339"/>
      <c r="S899" s="339"/>
      <c r="T899" s="339"/>
      <c r="U899" s="339"/>
      <c r="V899" s="339"/>
      <c r="W899" s="339"/>
      <c r="X899" s="339"/>
      <c r="Y899" s="339"/>
    </row>
    <row r="900" spans="1:25" ht="15.75" customHeight="1">
      <c r="A900" s="339"/>
      <c r="B900" s="339"/>
      <c r="C900" s="339"/>
      <c r="D900" s="339"/>
      <c r="E900" s="339"/>
      <c r="F900" s="339"/>
      <c r="G900" s="339"/>
      <c r="H900" s="339"/>
      <c r="I900" s="591"/>
      <c r="J900" s="341"/>
      <c r="K900" s="591"/>
      <c r="L900" s="339"/>
      <c r="M900" s="339"/>
      <c r="N900" s="339"/>
      <c r="O900" s="339"/>
      <c r="P900" s="339"/>
      <c r="Q900" s="339"/>
      <c r="R900" s="339"/>
      <c r="S900" s="339"/>
      <c r="T900" s="339"/>
      <c r="U900" s="339"/>
      <c r="V900" s="339"/>
      <c r="W900" s="339"/>
      <c r="X900" s="339"/>
      <c r="Y900" s="339"/>
    </row>
    <row r="901" spans="1:25" ht="15.75" customHeight="1">
      <c r="A901" s="339"/>
      <c r="B901" s="339"/>
      <c r="C901" s="339"/>
      <c r="D901" s="339"/>
      <c r="E901" s="339"/>
      <c r="F901" s="339"/>
      <c r="G901" s="339"/>
      <c r="H901" s="339"/>
      <c r="I901" s="591"/>
      <c r="J901" s="341"/>
      <c r="K901" s="591"/>
      <c r="L901" s="339"/>
      <c r="M901" s="339"/>
      <c r="N901" s="339"/>
      <c r="O901" s="339"/>
      <c r="P901" s="339"/>
      <c r="Q901" s="339"/>
      <c r="R901" s="339"/>
      <c r="S901" s="339"/>
      <c r="T901" s="339"/>
      <c r="U901" s="339"/>
      <c r="V901" s="339"/>
      <c r="W901" s="339"/>
      <c r="X901" s="339"/>
      <c r="Y901" s="339"/>
    </row>
    <row r="902" spans="1:25" ht="15.75" customHeight="1">
      <c r="A902" s="339"/>
      <c r="B902" s="339"/>
      <c r="C902" s="339"/>
      <c r="D902" s="339"/>
      <c r="E902" s="339"/>
      <c r="F902" s="339"/>
      <c r="G902" s="339"/>
      <c r="H902" s="339"/>
      <c r="I902" s="591"/>
      <c r="J902" s="341"/>
      <c r="K902" s="591"/>
      <c r="L902" s="339"/>
      <c r="M902" s="339"/>
      <c r="N902" s="339"/>
      <c r="O902" s="339"/>
      <c r="P902" s="339"/>
      <c r="Q902" s="339"/>
      <c r="R902" s="339"/>
      <c r="S902" s="339"/>
      <c r="T902" s="339"/>
      <c r="U902" s="339"/>
      <c r="V902" s="339"/>
      <c r="W902" s="339"/>
      <c r="X902" s="339"/>
      <c r="Y902" s="339"/>
    </row>
    <row r="903" spans="1:25" ht="15.75" customHeight="1">
      <c r="A903" s="339"/>
      <c r="B903" s="339"/>
      <c r="C903" s="339"/>
      <c r="D903" s="339"/>
      <c r="E903" s="339"/>
      <c r="F903" s="339"/>
      <c r="G903" s="339"/>
      <c r="H903" s="339"/>
      <c r="I903" s="591"/>
      <c r="J903" s="341"/>
      <c r="K903" s="591"/>
      <c r="L903" s="339"/>
      <c r="M903" s="339"/>
      <c r="N903" s="339"/>
      <c r="O903" s="339"/>
      <c r="P903" s="339"/>
      <c r="Q903" s="339"/>
      <c r="R903" s="339"/>
      <c r="S903" s="339"/>
      <c r="T903" s="339"/>
      <c r="U903" s="339"/>
      <c r="V903" s="339"/>
      <c r="W903" s="339"/>
      <c r="X903" s="339"/>
      <c r="Y903" s="339"/>
    </row>
    <row r="904" spans="1:25" ht="15.75" customHeight="1">
      <c r="A904" s="339"/>
      <c r="B904" s="339"/>
      <c r="C904" s="339"/>
      <c r="D904" s="339"/>
      <c r="E904" s="339"/>
      <c r="F904" s="339"/>
      <c r="G904" s="339"/>
      <c r="H904" s="339"/>
      <c r="I904" s="591"/>
      <c r="J904" s="341"/>
      <c r="K904" s="591"/>
      <c r="L904" s="339"/>
      <c r="M904" s="339"/>
      <c r="N904" s="339"/>
      <c r="O904" s="339"/>
      <c r="P904" s="339"/>
      <c r="Q904" s="339"/>
      <c r="R904" s="339"/>
      <c r="S904" s="339"/>
      <c r="T904" s="339"/>
      <c r="U904" s="339"/>
      <c r="V904" s="339"/>
      <c r="W904" s="339"/>
      <c r="X904" s="339"/>
      <c r="Y904" s="339"/>
    </row>
    <row r="905" spans="1:25" ht="15.75" customHeight="1">
      <c r="A905" s="339"/>
      <c r="B905" s="339"/>
      <c r="C905" s="339"/>
      <c r="D905" s="339"/>
      <c r="E905" s="339"/>
      <c r="F905" s="339"/>
      <c r="G905" s="339"/>
      <c r="H905" s="339"/>
      <c r="I905" s="591"/>
      <c r="J905" s="341"/>
      <c r="K905" s="591"/>
      <c r="L905" s="339"/>
      <c r="M905" s="339"/>
      <c r="N905" s="339"/>
      <c r="O905" s="339"/>
      <c r="P905" s="339"/>
      <c r="Q905" s="339"/>
      <c r="R905" s="339"/>
      <c r="S905" s="339"/>
      <c r="T905" s="339"/>
      <c r="U905" s="339"/>
      <c r="V905" s="339"/>
      <c r="W905" s="339"/>
      <c r="X905" s="339"/>
      <c r="Y905" s="339"/>
    </row>
    <row r="906" spans="1:25" ht="15.75" customHeight="1">
      <c r="A906" s="339"/>
      <c r="B906" s="339"/>
      <c r="C906" s="339"/>
      <c r="D906" s="339"/>
      <c r="E906" s="339"/>
      <c r="F906" s="339"/>
      <c r="G906" s="339"/>
      <c r="H906" s="339"/>
      <c r="I906" s="591"/>
      <c r="J906" s="341"/>
      <c r="K906" s="591"/>
      <c r="L906" s="339"/>
      <c r="M906" s="339"/>
      <c r="N906" s="339"/>
      <c r="O906" s="339"/>
      <c r="P906" s="339"/>
      <c r="Q906" s="339"/>
      <c r="R906" s="339"/>
      <c r="S906" s="339"/>
      <c r="T906" s="339"/>
      <c r="U906" s="339"/>
      <c r="V906" s="339"/>
      <c r="W906" s="339"/>
      <c r="X906" s="339"/>
      <c r="Y906" s="339"/>
    </row>
    <row r="907" spans="1:25" ht="15.75" customHeight="1">
      <c r="A907" s="339"/>
      <c r="B907" s="339"/>
      <c r="C907" s="339"/>
      <c r="D907" s="339"/>
      <c r="E907" s="339"/>
      <c r="F907" s="339"/>
      <c r="G907" s="339"/>
      <c r="H907" s="339"/>
      <c r="I907" s="591"/>
      <c r="J907" s="341"/>
      <c r="K907" s="591"/>
      <c r="L907" s="339"/>
      <c r="M907" s="339"/>
      <c r="N907" s="339"/>
      <c r="O907" s="339"/>
      <c r="P907" s="339"/>
      <c r="Q907" s="339"/>
      <c r="R907" s="339"/>
      <c r="S907" s="339"/>
      <c r="T907" s="339"/>
      <c r="U907" s="339"/>
      <c r="V907" s="339"/>
      <c r="W907" s="339"/>
      <c r="X907" s="339"/>
      <c r="Y907" s="339"/>
    </row>
    <row r="908" spans="1:25" ht="15.75" customHeight="1">
      <c r="A908" s="339"/>
      <c r="B908" s="339"/>
      <c r="C908" s="339"/>
      <c r="D908" s="339"/>
      <c r="E908" s="339"/>
      <c r="F908" s="339"/>
      <c r="G908" s="339"/>
      <c r="H908" s="339"/>
      <c r="I908" s="591"/>
      <c r="J908" s="341"/>
      <c r="K908" s="591"/>
      <c r="L908" s="339"/>
      <c r="M908" s="339"/>
      <c r="N908" s="339"/>
      <c r="O908" s="339"/>
      <c r="P908" s="339"/>
      <c r="Q908" s="339"/>
      <c r="R908" s="339"/>
      <c r="S908" s="339"/>
      <c r="T908" s="339"/>
      <c r="U908" s="339"/>
      <c r="V908" s="339"/>
      <c r="W908" s="339"/>
      <c r="X908" s="339"/>
      <c r="Y908" s="339"/>
    </row>
    <row r="909" spans="1:25" ht="15.75" customHeight="1">
      <c r="A909" s="339"/>
      <c r="B909" s="339"/>
      <c r="C909" s="339"/>
      <c r="D909" s="339"/>
      <c r="E909" s="339"/>
      <c r="F909" s="339"/>
      <c r="G909" s="339"/>
      <c r="H909" s="339"/>
      <c r="I909" s="591"/>
      <c r="J909" s="341"/>
      <c r="K909" s="591"/>
      <c r="L909" s="339"/>
      <c r="M909" s="339"/>
      <c r="N909" s="339"/>
      <c r="O909" s="339"/>
      <c r="P909" s="339"/>
      <c r="Q909" s="339"/>
      <c r="R909" s="339"/>
      <c r="S909" s="339"/>
      <c r="T909" s="339"/>
      <c r="U909" s="339"/>
      <c r="V909" s="339"/>
      <c r="W909" s="339"/>
      <c r="X909" s="339"/>
      <c r="Y909" s="339"/>
    </row>
    <row r="910" spans="1:25" ht="15.75" customHeight="1">
      <c r="A910" s="339"/>
      <c r="B910" s="339"/>
      <c r="C910" s="339"/>
      <c r="D910" s="339"/>
      <c r="E910" s="339"/>
      <c r="F910" s="339"/>
      <c r="G910" s="339"/>
      <c r="H910" s="339"/>
      <c r="I910" s="591"/>
      <c r="J910" s="341"/>
      <c r="K910" s="591"/>
      <c r="L910" s="339"/>
      <c r="M910" s="339"/>
      <c r="N910" s="339"/>
      <c r="O910" s="339"/>
      <c r="P910" s="339"/>
      <c r="Q910" s="339"/>
      <c r="R910" s="339"/>
      <c r="S910" s="339"/>
      <c r="T910" s="339"/>
      <c r="U910" s="339"/>
      <c r="V910" s="339"/>
      <c r="W910" s="339"/>
      <c r="X910" s="339"/>
      <c r="Y910" s="339"/>
    </row>
    <row r="911" spans="1:25" ht="15.75" customHeight="1">
      <c r="A911" s="339"/>
      <c r="B911" s="339"/>
      <c r="C911" s="339"/>
      <c r="D911" s="339"/>
      <c r="E911" s="339"/>
      <c r="F911" s="339"/>
      <c r="G911" s="339"/>
      <c r="H911" s="339"/>
      <c r="I911" s="591"/>
      <c r="J911" s="341"/>
      <c r="K911" s="591"/>
      <c r="L911" s="339"/>
      <c r="M911" s="339"/>
      <c r="N911" s="339"/>
      <c r="O911" s="339"/>
      <c r="P911" s="339"/>
      <c r="Q911" s="339"/>
      <c r="R911" s="339"/>
      <c r="S911" s="339"/>
      <c r="T911" s="339"/>
      <c r="U911" s="339"/>
      <c r="V911" s="339"/>
      <c r="W911" s="339"/>
      <c r="X911" s="339"/>
      <c r="Y911" s="339"/>
    </row>
    <row r="912" spans="1:25" ht="15.75" customHeight="1">
      <c r="A912" s="339"/>
      <c r="B912" s="339"/>
      <c r="C912" s="339"/>
      <c r="D912" s="339"/>
      <c r="E912" s="339"/>
      <c r="F912" s="339"/>
      <c r="G912" s="339"/>
      <c r="H912" s="339"/>
      <c r="I912" s="591"/>
      <c r="J912" s="341"/>
      <c r="K912" s="591"/>
      <c r="L912" s="339"/>
      <c r="M912" s="339"/>
      <c r="N912" s="339"/>
      <c r="O912" s="339"/>
      <c r="P912" s="339"/>
      <c r="Q912" s="339"/>
      <c r="R912" s="339"/>
      <c r="S912" s="339"/>
      <c r="T912" s="339"/>
      <c r="U912" s="339"/>
      <c r="V912" s="339"/>
      <c r="W912" s="339"/>
      <c r="X912" s="339"/>
      <c r="Y912" s="339"/>
    </row>
    <row r="913" spans="1:25" ht="15.75" customHeight="1">
      <c r="A913" s="339"/>
      <c r="B913" s="339"/>
      <c r="C913" s="339"/>
      <c r="D913" s="339"/>
      <c r="E913" s="339"/>
      <c r="F913" s="339"/>
      <c r="G913" s="339"/>
      <c r="H913" s="339"/>
      <c r="I913" s="591"/>
      <c r="J913" s="341"/>
      <c r="K913" s="591"/>
      <c r="L913" s="339"/>
      <c r="M913" s="339"/>
      <c r="N913" s="339"/>
      <c r="O913" s="339"/>
      <c r="P913" s="339"/>
      <c r="Q913" s="339"/>
      <c r="R913" s="339"/>
      <c r="S913" s="339"/>
      <c r="T913" s="339"/>
      <c r="U913" s="339"/>
      <c r="V913" s="339"/>
      <c r="W913" s="339"/>
      <c r="X913" s="339"/>
      <c r="Y913" s="339"/>
    </row>
    <row r="914" spans="1:25" ht="15.75" customHeight="1">
      <c r="A914" s="339"/>
      <c r="B914" s="339"/>
      <c r="C914" s="339"/>
      <c r="D914" s="339"/>
      <c r="E914" s="339"/>
      <c r="F914" s="339"/>
      <c r="G914" s="339"/>
      <c r="H914" s="339"/>
      <c r="I914" s="591"/>
      <c r="J914" s="341"/>
      <c r="K914" s="591"/>
      <c r="L914" s="339"/>
      <c r="M914" s="339"/>
      <c r="N914" s="339"/>
      <c r="O914" s="339"/>
      <c r="P914" s="339"/>
      <c r="Q914" s="339"/>
      <c r="R914" s="339"/>
      <c r="S914" s="339"/>
      <c r="T914" s="339"/>
      <c r="U914" s="339"/>
      <c r="V914" s="339"/>
      <c r="W914" s="339"/>
      <c r="X914" s="339"/>
      <c r="Y914" s="339"/>
    </row>
    <row r="915" spans="1:25" ht="15.75" customHeight="1">
      <c r="A915" s="339"/>
      <c r="B915" s="339"/>
      <c r="C915" s="339"/>
      <c r="D915" s="339"/>
      <c r="E915" s="339"/>
      <c r="F915" s="339"/>
      <c r="G915" s="339"/>
      <c r="H915" s="339"/>
      <c r="I915" s="591"/>
      <c r="J915" s="341"/>
      <c r="K915" s="591"/>
      <c r="L915" s="339"/>
      <c r="M915" s="339"/>
      <c r="N915" s="339"/>
      <c r="O915" s="339"/>
      <c r="P915" s="339"/>
      <c r="Q915" s="339"/>
      <c r="R915" s="339"/>
      <c r="S915" s="339"/>
      <c r="T915" s="339"/>
      <c r="U915" s="339"/>
      <c r="V915" s="339"/>
      <c r="W915" s="339"/>
      <c r="X915" s="339"/>
      <c r="Y915" s="339"/>
    </row>
    <row r="916" spans="1:25" ht="15.75" customHeight="1">
      <c r="A916" s="339"/>
      <c r="B916" s="339"/>
      <c r="C916" s="339"/>
      <c r="D916" s="339"/>
      <c r="E916" s="339"/>
      <c r="F916" s="339"/>
      <c r="G916" s="339"/>
      <c r="H916" s="339"/>
      <c r="I916" s="591"/>
      <c r="J916" s="341"/>
      <c r="K916" s="591"/>
      <c r="L916" s="339"/>
      <c r="M916" s="339"/>
      <c r="N916" s="339"/>
      <c r="O916" s="339"/>
      <c r="P916" s="339"/>
      <c r="Q916" s="339"/>
      <c r="R916" s="339"/>
      <c r="S916" s="339"/>
      <c r="T916" s="339"/>
      <c r="U916" s="339"/>
      <c r="V916" s="339"/>
      <c r="W916" s="339"/>
      <c r="X916" s="339"/>
      <c r="Y916" s="339"/>
    </row>
    <row r="917" spans="1:25" ht="15.75" customHeight="1">
      <c r="A917" s="339"/>
      <c r="B917" s="339"/>
      <c r="C917" s="339"/>
      <c r="D917" s="339"/>
      <c r="E917" s="339"/>
      <c r="F917" s="339"/>
      <c r="G917" s="339"/>
      <c r="H917" s="339"/>
      <c r="I917" s="591"/>
      <c r="J917" s="341"/>
      <c r="K917" s="591"/>
      <c r="L917" s="339"/>
      <c r="M917" s="339"/>
      <c r="N917" s="339"/>
      <c r="O917" s="339"/>
      <c r="P917" s="339"/>
      <c r="Q917" s="339"/>
      <c r="R917" s="339"/>
      <c r="S917" s="339"/>
      <c r="T917" s="339"/>
      <c r="U917" s="339"/>
      <c r="V917" s="339"/>
      <c r="W917" s="339"/>
      <c r="X917" s="339"/>
      <c r="Y917" s="339"/>
    </row>
    <row r="918" spans="1:25" ht="15.75" customHeight="1">
      <c r="A918" s="339"/>
      <c r="B918" s="339"/>
      <c r="C918" s="339"/>
      <c r="D918" s="339"/>
      <c r="E918" s="339"/>
      <c r="F918" s="339"/>
      <c r="G918" s="339"/>
      <c r="H918" s="339"/>
      <c r="I918" s="591"/>
      <c r="J918" s="341"/>
      <c r="K918" s="591"/>
      <c r="L918" s="339"/>
      <c r="M918" s="339"/>
      <c r="N918" s="339"/>
      <c r="O918" s="339"/>
      <c r="P918" s="339"/>
      <c r="Q918" s="339"/>
      <c r="R918" s="339"/>
      <c r="S918" s="339"/>
      <c r="T918" s="339"/>
      <c r="U918" s="339"/>
      <c r="V918" s="339"/>
      <c r="W918" s="339"/>
      <c r="X918" s="339"/>
      <c r="Y918" s="339"/>
    </row>
    <row r="919" spans="1:25" ht="15.75" customHeight="1">
      <c r="A919" s="339"/>
      <c r="B919" s="339"/>
      <c r="C919" s="339"/>
      <c r="D919" s="339"/>
      <c r="E919" s="339"/>
      <c r="F919" s="339"/>
      <c r="G919" s="339"/>
      <c r="H919" s="339"/>
      <c r="I919" s="591"/>
      <c r="J919" s="341"/>
      <c r="K919" s="591"/>
      <c r="L919" s="339"/>
      <c r="M919" s="339"/>
      <c r="N919" s="339"/>
      <c r="O919" s="339"/>
      <c r="P919" s="339"/>
      <c r="Q919" s="339"/>
      <c r="R919" s="339"/>
      <c r="S919" s="339"/>
      <c r="T919" s="339"/>
      <c r="U919" s="339"/>
      <c r="V919" s="339"/>
      <c r="W919" s="339"/>
      <c r="X919" s="339"/>
      <c r="Y919" s="339"/>
    </row>
    <row r="920" spans="1:25" ht="15.75" customHeight="1">
      <c r="A920" s="339"/>
      <c r="B920" s="339"/>
      <c r="C920" s="339"/>
      <c r="D920" s="339"/>
      <c r="E920" s="339"/>
      <c r="F920" s="339"/>
      <c r="G920" s="339"/>
      <c r="H920" s="339"/>
      <c r="I920" s="591"/>
      <c r="J920" s="341"/>
      <c r="K920" s="591"/>
      <c r="L920" s="339"/>
      <c r="M920" s="339"/>
      <c r="N920" s="339"/>
      <c r="O920" s="339"/>
      <c r="P920" s="339"/>
      <c r="Q920" s="339"/>
      <c r="R920" s="339"/>
      <c r="S920" s="339"/>
      <c r="T920" s="339"/>
      <c r="U920" s="339"/>
      <c r="V920" s="339"/>
      <c r="W920" s="339"/>
      <c r="X920" s="339"/>
      <c r="Y920" s="339"/>
    </row>
    <row r="921" spans="1:25" ht="15.75" customHeight="1">
      <c r="A921" s="339"/>
      <c r="B921" s="339"/>
      <c r="C921" s="339"/>
      <c r="D921" s="339"/>
      <c r="E921" s="339"/>
      <c r="F921" s="339"/>
      <c r="G921" s="339"/>
      <c r="H921" s="339"/>
      <c r="I921" s="591"/>
      <c r="J921" s="341"/>
      <c r="K921" s="591"/>
      <c r="L921" s="339"/>
      <c r="M921" s="339"/>
      <c r="N921" s="339"/>
      <c r="O921" s="339"/>
      <c r="P921" s="339"/>
      <c r="Q921" s="339"/>
      <c r="R921" s="339"/>
      <c r="S921" s="339"/>
      <c r="T921" s="339"/>
      <c r="U921" s="339"/>
      <c r="V921" s="339"/>
      <c r="W921" s="339"/>
      <c r="X921" s="339"/>
      <c r="Y921" s="339"/>
    </row>
    <row r="922" spans="1:25" ht="15.75" customHeight="1">
      <c r="A922" s="339"/>
      <c r="B922" s="339"/>
      <c r="C922" s="339"/>
      <c r="D922" s="339"/>
      <c r="E922" s="339"/>
      <c r="F922" s="339"/>
      <c r="G922" s="339"/>
      <c r="H922" s="339"/>
      <c r="I922" s="591"/>
      <c r="J922" s="341"/>
      <c r="K922" s="591"/>
      <c r="L922" s="339"/>
      <c r="M922" s="339"/>
      <c r="N922" s="339"/>
      <c r="O922" s="339"/>
      <c r="P922" s="339"/>
      <c r="Q922" s="339"/>
      <c r="R922" s="339"/>
      <c r="S922" s="339"/>
      <c r="T922" s="339"/>
      <c r="U922" s="339"/>
      <c r="V922" s="339"/>
      <c r="W922" s="339"/>
      <c r="X922" s="339"/>
      <c r="Y922" s="339"/>
    </row>
    <row r="923" spans="1:25" ht="15.75" customHeight="1">
      <c r="A923" s="339"/>
      <c r="B923" s="339"/>
      <c r="C923" s="339"/>
      <c r="D923" s="339"/>
      <c r="E923" s="339"/>
      <c r="F923" s="339"/>
      <c r="G923" s="339"/>
      <c r="H923" s="339"/>
      <c r="I923" s="591"/>
      <c r="J923" s="341"/>
      <c r="K923" s="591"/>
      <c r="L923" s="339"/>
      <c r="M923" s="339"/>
      <c r="N923" s="339"/>
      <c r="O923" s="339"/>
      <c r="P923" s="339"/>
      <c r="Q923" s="339"/>
      <c r="R923" s="339"/>
      <c r="S923" s="339"/>
      <c r="T923" s="339"/>
      <c r="U923" s="339"/>
      <c r="V923" s="339"/>
      <c r="W923" s="339"/>
      <c r="X923" s="339"/>
      <c r="Y923" s="339"/>
    </row>
    <row r="924" spans="1:25" ht="15.75" customHeight="1">
      <c r="A924" s="339"/>
      <c r="B924" s="339"/>
      <c r="C924" s="339"/>
      <c r="D924" s="339"/>
      <c r="E924" s="339"/>
      <c r="F924" s="339"/>
      <c r="G924" s="339"/>
      <c r="H924" s="339"/>
      <c r="I924" s="591"/>
      <c r="J924" s="341"/>
      <c r="K924" s="591"/>
      <c r="L924" s="339"/>
      <c r="M924" s="339"/>
      <c r="N924" s="339"/>
      <c r="O924" s="339"/>
      <c r="P924" s="339"/>
      <c r="Q924" s="339"/>
      <c r="R924" s="339"/>
      <c r="S924" s="339"/>
      <c r="T924" s="339"/>
      <c r="U924" s="339"/>
      <c r="V924" s="339"/>
      <c r="W924" s="339"/>
      <c r="X924" s="339"/>
      <c r="Y924" s="339"/>
    </row>
    <row r="925" spans="1:25" ht="15.75" customHeight="1">
      <c r="A925" s="339"/>
      <c r="B925" s="339"/>
      <c r="C925" s="339"/>
      <c r="D925" s="339"/>
      <c r="E925" s="339"/>
      <c r="F925" s="339"/>
      <c r="G925" s="339"/>
      <c r="H925" s="339"/>
      <c r="I925" s="591"/>
      <c r="J925" s="341"/>
      <c r="K925" s="591"/>
      <c r="L925" s="339"/>
      <c r="M925" s="339"/>
      <c r="N925" s="339"/>
      <c r="O925" s="339"/>
      <c r="P925" s="339"/>
      <c r="Q925" s="339"/>
      <c r="R925" s="339"/>
      <c r="S925" s="339"/>
      <c r="T925" s="339"/>
      <c r="U925" s="339"/>
      <c r="V925" s="339"/>
      <c r="W925" s="339"/>
      <c r="X925" s="339"/>
      <c r="Y925" s="339"/>
    </row>
    <row r="926" spans="1:25" ht="15.75" customHeight="1">
      <c r="A926" s="339"/>
      <c r="B926" s="339"/>
      <c r="C926" s="339"/>
      <c r="D926" s="339"/>
      <c r="E926" s="339"/>
      <c r="F926" s="339"/>
      <c r="G926" s="339"/>
      <c r="H926" s="339"/>
      <c r="I926" s="591"/>
      <c r="J926" s="341"/>
      <c r="K926" s="591"/>
      <c r="L926" s="339"/>
      <c r="M926" s="339"/>
      <c r="N926" s="339"/>
      <c r="O926" s="339"/>
      <c r="P926" s="339"/>
      <c r="Q926" s="339"/>
      <c r="R926" s="339"/>
      <c r="S926" s="339"/>
      <c r="T926" s="339"/>
      <c r="U926" s="339"/>
      <c r="V926" s="339"/>
      <c r="W926" s="339"/>
      <c r="X926" s="339"/>
      <c r="Y926" s="339"/>
    </row>
    <row r="927" spans="1:25" ht="15.75" customHeight="1">
      <c r="A927" s="339"/>
      <c r="B927" s="339"/>
      <c r="C927" s="339"/>
      <c r="D927" s="339"/>
      <c r="E927" s="339"/>
      <c r="F927" s="339"/>
      <c r="G927" s="339"/>
      <c r="H927" s="339"/>
      <c r="I927" s="591"/>
      <c r="J927" s="341"/>
      <c r="K927" s="591"/>
      <c r="L927" s="339"/>
      <c r="M927" s="339"/>
      <c r="N927" s="339"/>
      <c r="O927" s="339"/>
      <c r="P927" s="339"/>
      <c r="Q927" s="339"/>
      <c r="R927" s="339"/>
      <c r="S927" s="339"/>
      <c r="T927" s="339"/>
      <c r="U927" s="339"/>
      <c r="V927" s="339"/>
      <c r="W927" s="339"/>
      <c r="X927" s="339"/>
      <c r="Y927" s="339"/>
    </row>
    <row r="928" spans="1:25" ht="15.75" customHeight="1">
      <c r="A928" s="339"/>
      <c r="B928" s="339"/>
      <c r="C928" s="339"/>
      <c r="D928" s="339"/>
      <c r="E928" s="339"/>
      <c r="F928" s="339"/>
      <c r="G928" s="339"/>
      <c r="H928" s="339"/>
      <c r="I928" s="591"/>
      <c r="J928" s="341"/>
      <c r="K928" s="591"/>
      <c r="L928" s="339"/>
      <c r="M928" s="339"/>
      <c r="N928" s="339"/>
      <c r="O928" s="339"/>
      <c r="P928" s="339"/>
      <c r="Q928" s="339"/>
      <c r="R928" s="339"/>
      <c r="S928" s="339"/>
      <c r="T928" s="339"/>
      <c r="U928" s="339"/>
      <c r="V928" s="339"/>
      <c r="W928" s="339"/>
      <c r="X928" s="339"/>
      <c r="Y928" s="339"/>
    </row>
    <row r="929" spans="1:25" ht="15.75" customHeight="1">
      <c r="A929" s="339"/>
      <c r="B929" s="339"/>
      <c r="C929" s="339"/>
      <c r="D929" s="339"/>
      <c r="E929" s="339"/>
      <c r="F929" s="339"/>
      <c r="G929" s="339"/>
      <c r="H929" s="339"/>
      <c r="I929" s="591"/>
      <c r="J929" s="341"/>
      <c r="K929" s="591"/>
      <c r="L929" s="339"/>
      <c r="M929" s="339"/>
      <c r="N929" s="339"/>
      <c r="O929" s="339"/>
      <c r="P929" s="339"/>
      <c r="Q929" s="339"/>
      <c r="R929" s="339"/>
      <c r="S929" s="339"/>
      <c r="T929" s="339"/>
      <c r="U929" s="339"/>
      <c r="V929" s="339"/>
      <c r="W929" s="339"/>
      <c r="X929" s="339"/>
      <c r="Y929" s="339"/>
    </row>
    <row r="930" spans="1:25" ht="15.75" customHeight="1">
      <c r="A930" s="339"/>
      <c r="B930" s="339"/>
      <c r="C930" s="339"/>
      <c r="D930" s="339"/>
      <c r="E930" s="339"/>
      <c r="F930" s="339"/>
      <c r="G930" s="339"/>
      <c r="H930" s="339"/>
      <c r="I930" s="591"/>
      <c r="J930" s="341"/>
      <c r="K930" s="591"/>
      <c r="L930" s="339"/>
      <c r="M930" s="339"/>
      <c r="N930" s="339"/>
      <c r="O930" s="339"/>
      <c r="P930" s="339"/>
      <c r="Q930" s="339"/>
      <c r="R930" s="339"/>
      <c r="S930" s="339"/>
      <c r="T930" s="339"/>
      <c r="U930" s="339"/>
      <c r="V930" s="339"/>
      <c r="W930" s="339"/>
      <c r="X930" s="339"/>
      <c r="Y930" s="339"/>
    </row>
    <row r="931" spans="1:25" ht="15.75" customHeight="1">
      <c r="A931" s="339"/>
      <c r="B931" s="339"/>
      <c r="C931" s="339"/>
      <c r="D931" s="339"/>
      <c r="E931" s="339"/>
      <c r="F931" s="339"/>
      <c r="G931" s="339"/>
      <c r="H931" s="339"/>
      <c r="I931" s="591"/>
      <c r="J931" s="341"/>
      <c r="K931" s="591"/>
      <c r="L931" s="339"/>
      <c r="M931" s="339"/>
      <c r="N931" s="339"/>
      <c r="O931" s="339"/>
      <c r="P931" s="339"/>
      <c r="Q931" s="339"/>
      <c r="R931" s="339"/>
      <c r="S931" s="339"/>
      <c r="T931" s="339"/>
      <c r="U931" s="339"/>
      <c r="V931" s="339"/>
      <c r="W931" s="339"/>
      <c r="X931" s="339"/>
      <c r="Y931" s="339"/>
    </row>
    <row r="932" spans="1:25" ht="15.75" customHeight="1">
      <c r="A932" s="339"/>
      <c r="B932" s="339"/>
      <c r="C932" s="339"/>
      <c r="D932" s="339"/>
      <c r="E932" s="339"/>
      <c r="F932" s="339"/>
      <c r="G932" s="339"/>
      <c r="H932" s="339"/>
      <c r="I932" s="591"/>
      <c r="J932" s="341"/>
      <c r="K932" s="591"/>
      <c r="L932" s="339"/>
      <c r="M932" s="339"/>
      <c r="N932" s="339"/>
      <c r="O932" s="339"/>
      <c r="P932" s="339"/>
      <c r="Q932" s="339"/>
      <c r="R932" s="339"/>
      <c r="S932" s="339"/>
      <c r="T932" s="339"/>
      <c r="U932" s="339"/>
      <c r="V932" s="339"/>
      <c r="W932" s="339"/>
      <c r="X932" s="339"/>
      <c r="Y932" s="339"/>
    </row>
    <row r="933" spans="1:25" ht="15.75" customHeight="1">
      <c r="A933" s="339"/>
      <c r="B933" s="339"/>
      <c r="C933" s="339"/>
      <c r="D933" s="339"/>
      <c r="E933" s="339"/>
      <c r="F933" s="339"/>
      <c r="G933" s="339"/>
      <c r="H933" s="339"/>
      <c r="I933" s="591"/>
      <c r="J933" s="341"/>
      <c r="K933" s="591"/>
      <c r="L933" s="339"/>
      <c r="M933" s="339"/>
      <c r="N933" s="339"/>
      <c r="O933" s="339"/>
      <c r="P933" s="339"/>
      <c r="Q933" s="339"/>
      <c r="R933" s="339"/>
      <c r="S933" s="339"/>
      <c r="T933" s="339"/>
      <c r="U933" s="339"/>
      <c r="V933" s="339"/>
      <c r="W933" s="339"/>
      <c r="X933" s="339"/>
      <c r="Y933" s="339"/>
    </row>
    <row r="934" spans="1:25" ht="15.75" customHeight="1">
      <c r="A934" s="339"/>
      <c r="B934" s="339"/>
      <c r="C934" s="339"/>
      <c r="D934" s="339"/>
      <c r="E934" s="339"/>
      <c r="F934" s="339"/>
      <c r="G934" s="339"/>
      <c r="H934" s="339"/>
      <c r="I934" s="591"/>
      <c r="J934" s="341"/>
      <c r="K934" s="591"/>
      <c r="L934" s="339"/>
      <c r="M934" s="339"/>
      <c r="N934" s="339"/>
      <c r="O934" s="339"/>
      <c r="P934" s="339"/>
      <c r="Q934" s="339"/>
      <c r="R934" s="339"/>
      <c r="S934" s="339"/>
      <c r="T934" s="339"/>
      <c r="U934" s="339"/>
      <c r="V934" s="339"/>
      <c r="W934" s="339"/>
      <c r="X934" s="339"/>
      <c r="Y934" s="339"/>
    </row>
    <row r="935" spans="1:25" ht="15.75" customHeight="1">
      <c r="A935" s="339"/>
      <c r="B935" s="339"/>
      <c r="C935" s="339"/>
      <c r="D935" s="339"/>
      <c r="E935" s="339"/>
      <c r="F935" s="339"/>
      <c r="G935" s="339"/>
      <c r="H935" s="339"/>
      <c r="I935" s="591"/>
      <c r="J935" s="341"/>
      <c r="K935" s="591"/>
      <c r="L935" s="339"/>
      <c r="M935" s="339"/>
      <c r="N935" s="339"/>
      <c r="O935" s="339"/>
      <c r="P935" s="339"/>
      <c r="Q935" s="339"/>
      <c r="R935" s="339"/>
      <c r="S935" s="339"/>
      <c r="T935" s="339"/>
      <c r="U935" s="339"/>
      <c r="V935" s="339"/>
      <c r="W935" s="339"/>
      <c r="X935" s="339"/>
      <c r="Y935" s="339"/>
    </row>
    <row r="936" spans="1:25" ht="15.75" customHeight="1">
      <c r="A936" s="339"/>
      <c r="B936" s="339"/>
      <c r="C936" s="339"/>
      <c r="D936" s="339"/>
      <c r="E936" s="339"/>
      <c r="F936" s="339"/>
      <c r="G936" s="339"/>
      <c r="H936" s="339"/>
      <c r="I936" s="591"/>
      <c r="J936" s="341"/>
      <c r="K936" s="591"/>
      <c r="L936" s="339"/>
      <c r="M936" s="339"/>
      <c r="N936" s="339"/>
      <c r="O936" s="339"/>
      <c r="P936" s="339"/>
      <c r="Q936" s="339"/>
      <c r="R936" s="339"/>
      <c r="S936" s="339"/>
      <c r="T936" s="339"/>
      <c r="U936" s="339"/>
      <c r="V936" s="339"/>
      <c r="W936" s="339"/>
      <c r="X936" s="339"/>
      <c r="Y936" s="339"/>
    </row>
    <row r="937" spans="1:25" ht="15.75" customHeight="1">
      <c r="A937" s="339"/>
      <c r="B937" s="339"/>
      <c r="C937" s="339"/>
      <c r="D937" s="339"/>
      <c r="E937" s="339"/>
      <c r="F937" s="339"/>
      <c r="G937" s="339"/>
      <c r="H937" s="339"/>
      <c r="I937" s="591"/>
      <c r="J937" s="341"/>
      <c r="K937" s="591"/>
      <c r="L937" s="339"/>
      <c r="M937" s="339"/>
      <c r="N937" s="339"/>
      <c r="O937" s="339"/>
      <c r="P937" s="339"/>
      <c r="Q937" s="339"/>
      <c r="R937" s="339"/>
      <c r="S937" s="339"/>
      <c r="T937" s="339"/>
      <c r="U937" s="339"/>
      <c r="V937" s="339"/>
      <c r="W937" s="339"/>
      <c r="X937" s="339"/>
      <c r="Y937" s="339"/>
    </row>
    <row r="938" spans="1:25" ht="15.75" customHeight="1">
      <c r="A938" s="339"/>
      <c r="B938" s="339"/>
      <c r="C938" s="339"/>
      <c r="D938" s="339"/>
      <c r="E938" s="339"/>
      <c r="F938" s="339"/>
      <c r="G938" s="339"/>
      <c r="H938" s="339"/>
      <c r="I938" s="591"/>
      <c r="J938" s="341"/>
      <c r="K938" s="591"/>
      <c r="L938" s="339"/>
      <c r="M938" s="339"/>
      <c r="N938" s="339"/>
      <c r="O938" s="339"/>
      <c r="P938" s="339"/>
      <c r="Q938" s="339"/>
      <c r="R938" s="339"/>
      <c r="S938" s="339"/>
      <c r="T938" s="339"/>
      <c r="U938" s="339"/>
      <c r="V938" s="339"/>
      <c r="W938" s="339"/>
      <c r="X938" s="339"/>
      <c r="Y938" s="339"/>
    </row>
    <row r="939" spans="1:25" ht="15.75" customHeight="1">
      <c r="A939" s="339"/>
      <c r="B939" s="339"/>
      <c r="C939" s="339"/>
      <c r="D939" s="339"/>
      <c r="E939" s="339"/>
      <c r="F939" s="339"/>
      <c r="G939" s="339"/>
      <c r="H939" s="339"/>
      <c r="I939" s="591"/>
      <c r="J939" s="341"/>
      <c r="K939" s="591"/>
      <c r="L939" s="339"/>
      <c r="M939" s="339"/>
      <c r="N939" s="339"/>
      <c r="O939" s="339"/>
      <c r="P939" s="339"/>
      <c r="Q939" s="339"/>
      <c r="R939" s="339"/>
      <c r="S939" s="339"/>
      <c r="T939" s="339"/>
      <c r="U939" s="339"/>
      <c r="V939" s="339"/>
      <c r="W939" s="339"/>
      <c r="X939" s="339"/>
      <c r="Y939" s="339"/>
    </row>
    <row r="940" spans="1:25" ht="15.75" customHeight="1">
      <c r="A940" s="339"/>
      <c r="B940" s="339"/>
      <c r="C940" s="339"/>
      <c r="D940" s="339"/>
      <c r="E940" s="339"/>
      <c r="F940" s="339"/>
      <c r="G940" s="339"/>
      <c r="H940" s="339"/>
      <c r="I940" s="591"/>
      <c r="J940" s="341"/>
      <c r="K940" s="591"/>
      <c r="L940" s="339"/>
      <c r="M940" s="339"/>
      <c r="N940" s="339"/>
      <c r="O940" s="339"/>
      <c r="P940" s="339"/>
      <c r="Q940" s="339"/>
      <c r="R940" s="339"/>
      <c r="S940" s="339"/>
      <c r="T940" s="339"/>
      <c r="U940" s="339"/>
      <c r="V940" s="339"/>
      <c r="W940" s="339"/>
      <c r="X940" s="339"/>
      <c r="Y940" s="339"/>
    </row>
    <row r="941" spans="1:25" ht="15.75" customHeight="1">
      <c r="A941" s="339"/>
      <c r="B941" s="339"/>
      <c r="C941" s="339"/>
      <c r="D941" s="339"/>
      <c r="E941" s="339"/>
      <c r="F941" s="339"/>
      <c r="G941" s="339"/>
      <c r="H941" s="339"/>
      <c r="I941" s="591"/>
      <c r="J941" s="341"/>
      <c r="K941" s="591"/>
      <c r="L941" s="339"/>
      <c r="M941" s="339"/>
      <c r="N941" s="339"/>
      <c r="O941" s="339"/>
      <c r="P941" s="339"/>
      <c r="Q941" s="339"/>
      <c r="R941" s="339"/>
      <c r="S941" s="339"/>
      <c r="T941" s="339"/>
      <c r="U941" s="339"/>
      <c r="V941" s="339"/>
      <c r="W941" s="339"/>
      <c r="X941" s="339"/>
      <c r="Y941" s="339"/>
    </row>
    <row r="942" spans="1:25" ht="15.75" customHeight="1">
      <c r="A942" s="339"/>
      <c r="B942" s="339"/>
      <c r="C942" s="339"/>
      <c r="D942" s="339"/>
      <c r="E942" s="339"/>
      <c r="F942" s="339"/>
      <c r="G942" s="339"/>
      <c r="H942" s="339"/>
      <c r="I942" s="591"/>
      <c r="J942" s="341"/>
      <c r="K942" s="591"/>
      <c r="L942" s="339"/>
      <c r="M942" s="339"/>
      <c r="N942" s="339"/>
      <c r="O942" s="339"/>
      <c r="P942" s="339"/>
      <c r="Q942" s="339"/>
      <c r="R942" s="339"/>
      <c r="S942" s="339"/>
      <c r="T942" s="339"/>
      <c r="U942" s="339"/>
      <c r="V942" s="339"/>
      <c r="W942" s="339"/>
      <c r="X942" s="339"/>
      <c r="Y942" s="339"/>
    </row>
    <row r="943" spans="1:25" ht="15.75" customHeight="1">
      <c r="A943" s="339"/>
      <c r="B943" s="339"/>
      <c r="C943" s="339"/>
      <c r="D943" s="339"/>
      <c r="E943" s="339"/>
      <c r="F943" s="339"/>
      <c r="G943" s="339"/>
      <c r="H943" s="339"/>
      <c r="I943" s="591"/>
      <c r="J943" s="341"/>
      <c r="K943" s="591"/>
      <c r="L943" s="339"/>
      <c r="M943" s="339"/>
      <c r="N943" s="339"/>
      <c r="O943" s="339"/>
      <c r="P943" s="339"/>
      <c r="Q943" s="339"/>
      <c r="R943" s="339"/>
      <c r="S943" s="339"/>
      <c r="T943" s="339"/>
      <c r="U943" s="339"/>
      <c r="V943" s="339"/>
      <c r="W943" s="339"/>
      <c r="X943" s="339"/>
      <c r="Y943" s="339"/>
    </row>
    <row r="944" spans="1:25" ht="15.75" customHeight="1">
      <c r="A944" s="339"/>
      <c r="B944" s="339"/>
      <c r="C944" s="339"/>
      <c r="D944" s="339"/>
      <c r="E944" s="339"/>
      <c r="F944" s="339"/>
      <c r="G944" s="339"/>
      <c r="H944" s="339"/>
      <c r="I944" s="591"/>
      <c r="J944" s="341"/>
      <c r="K944" s="591"/>
      <c r="L944" s="339"/>
      <c r="M944" s="339"/>
      <c r="N944" s="339"/>
      <c r="O944" s="339"/>
      <c r="P944" s="339"/>
      <c r="Q944" s="339"/>
      <c r="R944" s="339"/>
      <c r="S944" s="339"/>
      <c r="T944" s="339"/>
      <c r="U944" s="339"/>
      <c r="V944" s="339"/>
      <c r="W944" s="339"/>
      <c r="X944" s="339"/>
      <c r="Y944" s="339"/>
    </row>
    <row r="945" spans="1:25" ht="15.75" customHeight="1">
      <c r="A945" s="339"/>
      <c r="B945" s="339"/>
      <c r="C945" s="339"/>
      <c r="D945" s="339"/>
      <c r="E945" s="339"/>
      <c r="F945" s="339"/>
      <c r="G945" s="339"/>
      <c r="H945" s="339"/>
      <c r="I945" s="591"/>
      <c r="J945" s="341"/>
      <c r="K945" s="591"/>
      <c r="L945" s="339"/>
      <c r="M945" s="339"/>
      <c r="N945" s="339"/>
      <c r="O945" s="339"/>
      <c r="P945" s="339"/>
      <c r="Q945" s="339"/>
      <c r="R945" s="339"/>
      <c r="S945" s="339"/>
      <c r="T945" s="339"/>
      <c r="U945" s="339"/>
      <c r="V945" s="339"/>
      <c r="W945" s="339"/>
      <c r="X945" s="339"/>
      <c r="Y945" s="339"/>
    </row>
    <row r="946" spans="1:25" ht="15.75" customHeight="1">
      <c r="A946" s="339"/>
      <c r="B946" s="339"/>
      <c r="C946" s="339"/>
      <c r="D946" s="339"/>
      <c r="E946" s="339"/>
      <c r="F946" s="339"/>
      <c r="G946" s="339"/>
      <c r="H946" s="339"/>
      <c r="I946" s="591"/>
      <c r="J946" s="341"/>
      <c r="K946" s="591"/>
      <c r="L946" s="339"/>
      <c r="M946" s="339"/>
      <c r="N946" s="339"/>
      <c r="O946" s="339"/>
      <c r="P946" s="339"/>
      <c r="Q946" s="339"/>
      <c r="R946" s="339"/>
      <c r="S946" s="339"/>
      <c r="T946" s="339"/>
      <c r="U946" s="339"/>
      <c r="V946" s="339"/>
      <c r="W946" s="339"/>
      <c r="X946" s="339"/>
      <c r="Y946" s="339"/>
    </row>
    <row r="947" spans="1:25" ht="15.75" customHeight="1">
      <c r="A947" s="339"/>
      <c r="B947" s="339"/>
      <c r="C947" s="339"/>
      <c r="D947" s="339"/>
      <c r="E947" s="339"/>
      <c r="F947" s="339"/>
      <c r="G947" s="339"/>
      <c r="H947" s="339"/>
      <c r="I947" s="591"/>
      <c r="J947" s="341"/>
      <c r="K947" s="591"/>
      <c r="L947" s="339"/>
      <c r="M947" s="339"/>
      <c r="N947" s="339"/>
      <c r="O947" s="339"/>
      <c r="P947" s="339"/>
      <c r="Q947" s="339"/>
      <c r="R947" s="339"/>
      <c r="S947" s="339"/>
      <c r="T947" s="339"/>
      <c r="U947" s="339"/>
      <c r="V947" s="339"/>
      <c r="W947" s="339"/>
      <c r="X947" s="339"/>
      <c r="Y947" s="339"/>
    </row>
    <row r="948" spans="1:25" ht="15.75" customHeight="1">
      <c r="A948" s="339"/>
      <c r="B948" s="339"/>
      <c r="C948" s="339"/>
      <c r="D948" s="339"/>
      <c r="E948" s="339"/>
      <c r="F948" s="339"/>
      <c r="G948" s="339"/>
      <c r="H948" s="339"/>
      <c r="I948" s="591"/>
      <c r="J948" s="341"/>
      <c r="K948" s="591"/>
      <c r="L948" s="339"/>
      <c r="M948" s="339"/>
      <c r="N948" s="339"/>
      <c r="O948" s="339"/>
      <c r="P948" s="339"/>
      <c r="Q948" s="339"/>
      <c r="R948" s="339"/>
      <c r="S948" s="339"/>
      <c r="T948" s="339"/>
      <c r="U948" s="339"/>
      <c r="V948" s="339"/>
      <c r="W948" s="339"/>
      <c r="X948" s="339"/>
      <c r="Y948" s="339"/>
    </row>
    <row r="949" spans="1:25" ht="15.75" customHeight="1">
      <c r="A949" s="339"/>
      <c r="B949" s="339"/>
      <c r="C949" s="339"/>
      <c r="D949" s="339"/>
      <c r="E949" s="339"/>
      <c r="F949" s="339"/>
      <c r="G949" s="339"/>
      <c r="H949" s="339"/>
      <c r="I949" s="591"/>
      <c r="J949" s="341"/>
      <c r="K949" s="591"/>
      <c r="L949" s="339"/>
      <c r="M949" s="339"/>
      <c r="N949" s="339"/>
      <c r="O949" s="339"/>
      <c r="P949" s="339"/>
      <c r="Q949" s="339"/>
      <c r="R949" s="339"/>
      <c r="S949" s="339"/>
      <c r="T949" s="339"/>
      <c r="U949" s="339"/>
      <c r="V949" s="339"/>
      <c r="W949" s="339"/>
      <c r="X949" s="339"/>
      <c r="Y949" s="339"/>
    </row>
    <row r="950" spans="1:25" ht="15.75" customHeight="1">
      <c r="A950" s="339"/>
      <c r="B950" s="339"/>
      <c r="C950" s="339"/>
      <c r="D950" s="339"/>
      <c r="E950" s="339"/>
      <c r="F950" s="339"/>
      <c r="G950" s="339"/>
      <c r="H950" s="339"/>
      <c r="I950" s="591"/>
      <c r="J950" s="341"/>
      <c r="K950" s="591"/>
      <c r="L950" s="339"/>
      <c r="M950" s="339"/>
      <c r="N950" s="339"/>
      <c r="O950" s="339"/>
      <c r="P950" s="339"/>
      <c r="Q950" s="339"/>
      <c r="R950" s="339"/>
      <c r="S950" s="339"/>
      <c r="T950" s="339"/>
      <c r="U950" s="339"/>
      <c r="V950" s="339"/>
      <c r="W950" s="339"/>
      <c r="X950" s="339"/>
      <c r="Y950" s="339"/>
    </row>
    <row r="951" spans="1:25" ht="15.75" customHeight="1">
      <c r="A951" s="339"/>
      <c r="B951" s="339"/>
      <c r="C951" s="339"/>
      <c r="D951" s="339"/>
      <c r="E951" s="339"/>
      <c r="F951" s="339"/>
      <c r="G951" s="339"/>
      <c r="H951" s="339"/>
      <c r="I951" s="591"/>
      <c r="J951" s="341"/>
      <c r="K951" s="591"/>
      <c r="L951" s="339"/>
      <c r="M951" s="339"/>
      <c r="N951" s="339"/>
      <c r="O951" s="339"/>
      <c r="P951" s="339"/>
      <c r="Q951" s="339"/>
      <c r="R951" s="339"/>
      <c r="S951" s="339"/>
      <c r="T951" s="339"/>
      <c r="U951" s="339"/>
      <c r="V951" s="339"/>
      <c r="W951" s="339"/>
      <c r="X951" s="339"/>
      <c r="Y951" s="339"/>
    </row>
    <row r="952" spans="1:25" ht="15.75" customHeight="1">
      <c r="A952" s="339"/>
      <c r="B952" s="339"/>
      <c r="C952" s="339"/>
      <c r="D952" s="339"/>
      <c r="E952" s="339"/>
      <c r="F952" s="339"/>
      <c r="G952" s="339"/>
      <c r="H952" s="339"/>
      <c r="I952" s="591"/>
      <c r="J952" s="341"/>
      <c r="K952" s="591"/>
      <c r="L952" s="339"/>
      <c r="M952" s="339"/>
      <c r="N952" s="339"/>
      <c r="O952" s="339"/>
      <c r="P952" s="339"/>
      <c r="Q952" s="339"/>
      <c r="R952" s="339"/>
      <c r="S952" s="339"/>
      <c r="T952" s="339"/>
      <c r="U952" s="339"/>
      <c r="V952" s="339"/>
      <c r="W952" s="339"/>
      <c r="X952" s="339"/>
      <c r="Y952" s="339"/>
    </row>
    <row r="953" spans="1:25" ht="15.75" customHeight="1">
      <c r="A953" s="339"/>
      <c r="B953" s="339"/>
      <c r="C953" s="339"/>
      <c r="D953" s="339"/>
      <c r="E953" s="339"/>
      <c r="F953" s="339"/>
      <c r="G953" s="339"/>
      <c r="H953" s="339"/>
      <c r="I953" s="591"/>
      <c r="J953" s="341"/>
      <c r="K953" s="591"/>
      <c r="L953" s="339"/>
      <c r="M953" s="339"/>
      <c r="N953" s="339"/>
      <c r="O953" s="339"/>
      <c r="P953" s="339"/>
      <c r="Q953" s="339"/>
      <c r="R953" s="339"/>
      <c r="S953" s="339"/>
      <c r="T953" s="339"/>
      <c r="U953" s="339"/>
      <c r="V953" s="339"/>
      <c r="W953" s="339"/>
      <c r="X953" s="339"/>
      <c r="Y953" s="339"/>
    </row>
    <row r="954" spans="1:25" ht="15.75" customHeight="1">
      <c r="A954" s="339"/>
      <c r="B954" s="339"/>
      <c r="C954" s="339"/>
      <c r="D954" s="339"/>
      <c r="E954" s="339"/>
      <c r="F954" s="339"/>
      <c r="G954" s="339"/>
      <c r="H954" s="339"/>
      <c r="I954" s="591"/>
      <c r="J954" s="341"/>
      <c r="K954" s="591"/>
      <c r="L954" s="339"/>
      <c r="M954" s="339"/>
      <c r="N954" s="339"/>
      <c r="O954" s="339"/>
      <c r="P954" s="339"/>
      <c r="Q954" s="339"/>
      <c r="R954" s="339"/>
      <c r="S954" s="339"/>
      <c r="T954" s="339"/>
      <c r="U954" s="339"/>
      <c r="V954" s="339"/>
      <c r="W954" s="339"/>
      <c r="X954" s="339"/>
      <c r="Y954" s="339"/>
    </row>
    <row r="955" spans="1:25" ht="15.75" customHeight="1">
      <c r="A955" s="339"/>
      <c r="B955" s="339"/>
      <c r="C955" s="339"/>
      <c r="D955" s="339"/>
      <c r="E955" s="339"/>
      <c r="F955" s="339"/>
      <c r="G955" s="339"/>
      <c r="H955" s="339"/>
      <c r="I955" s="591"/>
      <c r="J955" s="341"/>
      <c r="K955" s="591"/>
      <c r="L955" s="339"/>
      <c r="M955" s="339"/>
      <c r="N955" s="339"/>
      <c r="O955" s="339"/>
      <c r="P955" s="339"/>
      <c r="Q955" s="339"/>
      <c r="R955" s="339"/>
      <c r="S955" s="339"/>
      <c r="T955" s="339"/>
      <c r="U955" s="339"/>
      <c r="V955" s="339"/>
      <c r="W955" s="339"/>
      <c r="X955" s="339"/>
      <c r="Y955" s="339"/>
    </row>
    <row r="956" spans="1:25" ht="15.75" customHeight="1">
      <c r="A956" s="339"/>
      <c r="B956" s="339"/>
      <c r="C956" s="339"/>
      <c r="D956" s="339"/>
      <c r="E956" s="339"/>
      <c r="F956" s="339"/>
      <c r="G956" s="339"/>
      <c r="H956" s="339"/>
      <c r="I956" s="591"/>
      <c r="J956" s="341"/>
      <c r="K956" s="591"/>
      <c r="L956" s="339"/>
      <c r="M956" s="339"/>
      <c r="N956" s="339"/>
      <c r="O956" s="339"/>
      <c r="P956" s="339"/>
      <c r="Q956" s="339"/>
      <c r="R956" s="339"/>
      <c r="S956" s="339"/>
      <c r="T956" s="339"/>
      <c r="U956" s="339"/>
      <c r="V956" s="339"/>
      <c r="W956" s="339"/>
      <c r="X956" s="339"/>
      <c r="Y956" s="339"/>
    </row>
    <row r="957" spans="1:25" ht="15.75" customHeight="1">
      <c r="A957" s="339"/>
      <c r="B957" s="339"/>
      <c r="C957" s="339"/>
      <c r="D957" s="339"/>
      <c r="E957" s="339"/>
      <c r="F957" s="339"/>
      <c r="G957" s="339"/>
      <c r="H957" s="339"/>
      <c r="I957" s="591"/>
      <c r="J957" s="341"/>
      <c r="K957" s="591"/>
      <c r="L957" s="339"/>
      <c r="M957" s="339"/>
      <c r="N957" s="339"/>
      <c r="O957" s="339"/>
      <c r="P957" s="339"/>
      <c r="Q957" s="339"/>
      <c r="R957" s="339"/>
      <c r="S957" s="339"/>
      <c r="T957" s="339"/>
      <c r="U957" s="339"/>
      <c r="V957" s="339"/>
      <c r="W957" s="339"/>
      <c r="X957" s="339"/>
      <c r="Y957" s="339"/>
    </row>
    <row r="958" spans="1:25" ht="15.75" customHeight="1">
      <c r="A958" s="339"/>
      <c r="B958" s="339"/>
      <c r="C958" s="339"/>
      <c r="D958" s="339"/>
      <c r="E958" s="339"/>
      <c r="F958" s="339"/>
      <c r="G958" s="339"/>
      <c r="H958" s="339"/>
      <c r="I958" s="591"/>
      <c r="J958" s="341"/>
      <c r="K958" s="591"/>
      <c r="L958" s="339"/>
      <c r="M958" s="339"/>
      <c r="N958" s="339"/>
      <c r="O958" s="339"/>
      <c r="P958" s="339"/>
      <c r="Q958" s="339"/>
      <c r="R958" s="339"/>
      <c r="S958" s="339"/>
      <c r="T958" s="339"/>
      <c r="U958" s="339"/>
      <c r="V958" s="339"/>
      <c r="W958" s="339"/>
      <c r="X958" s="339"/>
      <c r="Y958" s="339"/>
    </row>
    <row r="959" spans="1:25" ht="15.75" customHeight="1">
      <c r="A959" s="339"/>
      <c r="B959" s="339"/>
      <c r="C959" s="339"/>
      <c r="D959" s="339"/>
      <c r="E959" s="339"/>
      <c r="F959" s="339"/>
      <c r="G959" s="339"/>
      <c r="H959" s="339"/>
      <c r="I959" s="591"/>
      <c r="J959" s="341"/>
      <c r="K959" s="591"/>
      <c r="L959" s="339"/>
      <c r="M959" s="339"/>
      <c r="N959" s="339"/>
      <c r="O959" s="339"/>
      <c r="P959" s="339"/>
      <c r="Q959" s="339"/>
      <c r="R959" s="339"/>
      <c r="S959" s="339"/>
      <c r="T959" s="339"/>
      <c r="U959" s="339"/>
      <c r="V959" s="339"/>
      <c r="W959" s="339"/>
      <c r="X959" s="339"/>
      <c r="Y959" s="339"/>
    </row>
    <row r="960" spans="1:25" ht="15.75" customHeight="1">
      <c r="A960" s="339"/>
      <c r="B960" s="339"/>
      <c r="C960" s="339"/>
      <c r="D960" s="339"/>
      <c r="E960" s="339"/>
      <c r="F960" s="339"/>
      <c r="G960" s="339"/>
      <c r="H960" s="339"/>
      <c r="I960" s="591"/>
      <c r="J960" s="341"/>
      <c r="K960" s="591"/>
      <c r="L960" s="339"/>
      <c r="M960" s="339"/>
      <c r="N960" s="339"/>
      <c r="O960" s="339"/>
      <c r="P960" s="339"/>
      <c r="Q960" s="339"/>
      <c r="R960" s="339"/>
      <c r="S960" s="339"/>
      <c r="T960" s="339"/>
      <c r="U960" s="339"/>
      <c r="V960" s="339"/>
      <c r="W960" s="339"/>
      <c r="X960" s="339"/>
      <c r="Y960" s="339"/>
    </row>
    <row r="961" spans="1:25" ht="15.75" customHeight="1">
      <c r="A961" s="339"/>
      <c r="B961" s="339"/>
      <c r="C961" s="339"/>
      <c r="D961" s="339"/>
      <c r="E961" s="339"/>
      <c r="F961" s="339"/>
      <c r="G961" s="339"/>
      <c r="H961" s="339"/>
      <c r="I961" s="591"/>
      <c r="J961" s="341"/>
      <c r="K961" s="591"/>
      <c r="L961" s="339"/>
      <c r="M961" s="339"/>
      <c r="N961" s="339"/>
      <c r="O961" s="339"/>
      <c r="P961" s="339"/>
      <c r="Q961" s="339"/>
      <c r="R961" s="339"/>
      <c r="S961" s="339"/>
      <c r="T961" s="339"/>
      <c r="U961" s="339"/>
      <c r="V961" s="339"/>
      <c r="W961" s="339"/>
      <c r="X961" s="339"/>
      <c r="Y961" s="339"/>
    </row>
    <row r="962" spans="1:25" ht="15.75" customHeight="1">
      <c r="A962" s="339"/>
      <c r="B962" s="339"/>
      <c r="C962" s="339"/>
      <c r="D962" s="339"/>
      <c r="E962" s="339"/>
      <c r="F962" s="339"/>
      <c r="G962" s="339"/>
      <c r="H962" s="339"/>
      <c r="I962" s="591"/>
      <c r="J962" s="341"/>
      <c r="K962" s="591"/>
      <c r="L962" s="339"/>
      <c r="M962" s="339"/>
      <c r="N962" s="339"/>
      <c r="O962" s="339"/>
      <c r="P962" s="339"/>
      <c r="Q962" s="339"/>
      <c r="R962" s="339"/>
      <c r="S962" s="339"/>
      <c r="T962" s="339"/>
      <c r="U962" s="339"/>
      <c r="V962" s="339"/>
      <c r="W962" s="339"/>
      <c r="X962" s="339"/>
      <c r="Y962" s="339"/>
    </row>
    <row r="963" spans="1:25" ht="15.75" customHeight="1">
      <c r="A963" s="339"/>
      <c r="B963" s="339"/>
      <c r="C963" s="339"/>
      <c r="D963" s="339"/>
      <c r="E963" s="339"/>
      <c r="F963" s="339"/>
      <c r="G963" s="339"/>
      <c r="H963" s="339"/>
      <c r="I963" s="591"/>
      <c r="J963" s="341"/>
      <c r="K963" s="591"/>
      <c r="L963" s="339"/>
      <c r="M963" s="339"/>
      <c r="N963" s="339"/>
      <c r="O963" s="339"/>
      <c r="P963" s="339"/>
      <c r="Q963" s="339"/>
      <c r="R963" s="339"/>
      <c r="S963" s="339"/>
      <c r="T963" s="339"/>
      <c r="U963" s="339"/>
      <c r="V963" s="339"/>
      <c r="W963" s="339"/>
      <c r="X963" s="339"/>
      <c r="Y963" s="339"/>
    </row>
    <row r="964" spans="1:25" ht="15.75" customHeight="1">
      <c r="A964" s="339"/>
      <c r="B964" s="339"/>
      <c r="C964" s="339"/>
      <c r="D964" s="339"/>
      <c r="E964" s="339"/>
      <c r="F964" s="339"/>
      <c r="G964" s="339"/>
      <c r="H964" s="339"/>
      <c r="I964" s="591"/>
      <c r="J964" s="341"/>
      <c r="K964" s="591"/>
      <c r="L964" s="339"/>
      <c r="M964" s="339"/>
      <c r="N964" s="339"/>
      <c r="O964" s="339"/>
      <c r="P964" s="339"/>
      <c r="Q964" s="339"/>
      <c r="R964" s="339"/>
      <c r="S964" s="339"/>
      <c r="T964" s="339"/>
      <c r="U964" s="339"/>
      <c r="V964" s="339"/>
      <c r="W964" s="339"/>
      <c r="X964" s="339"/>
      <c r="Y964" s="339"/>
    </row>
    <row r="965" spans="1:25" ht="15.75" customHeight="1">
      <c r="A965" s="339"/>
      <c r="B965" s="339"/>
      <c r="C965" s="339"/>
      <c r="D965" s="339"/>
      <c r="E965" s="339"/>
      <c r="F965" s="339"/>
      <c r="G965" s="339"/>
      <c r="H965" s="339"/>
      <c r="I965" s="591"/>
      <c r="J965" s="341"/>
      <c r="K965" s="591"/>
      <c r="L965" s="339"/>
      <c r="M965" s="339"/>
      <c r="N965" s="339"/>
      <c r="O965" s="339"/>
      <c r="P965" s="339"/>
      <c r="Q965" s="339"/>
      <c r="R965" s="339"/>
      <c r="S965" s="339"/>
      <c r="T965" s="339"/>
      <c r="U965" s="339"/>
      <c r="V965" s="339"/>
      <c r="W965" s="339"/>
      <c r="X965" s="339"/>
      <c r="Y965" s="339"/>
    </row>
    <row r="966" spans="1:25" ht="15.75" customHeight="1">
      <c r="A966" s="339"/>
      <c r="B966" s="339"/>
      <c r="C966" s="339"/>
      <c r="D966" s="339"/>
      <c r="E966" s="339"/>
      <c r="F966" s="339"/>
      <c r="G966" s="339"/>
      <c r="H966" s="339"/>
      <c r="I966" s="591"/>
      <c r="J966" s="341"/>
      <c r="K966" s="591"/>
      <c r="L966" s="339"/>
      <c r="M966" s="339"/>
      <c r="N966" s="339"/>
      <c r="O966" s="339"/>
      <c r="P966" s="339"/>
      <c r="Q966" s="339"/>
      <c r="R966" s="339"/>
      <c r="S966" s="339"/>
      <c r="T966" s="339"/>
      <c r="U966" s="339"/>
      <c r="V966" s="339"/>
      <c r="W966" s="339"/>
      <c r="X966" s="339"/>
      <c r="Y966" s="339"/>
    </row>
    <row r="967" spans="1:25" ht="15.75" customHeight="1">
      <c r="A967" s="339"/>
      <c r="B967" s="339"/>
      <c r="C967" s="339"/>
      <c r="D967" s="339"/>
      <c r="E967" s="339"/>
      <c r="F967" s="339"/>
      <c r="G967" s="339"/>
      <c r="H967" s="339"/>
      <c r="I967" s="591"/>
      <c r="J967" s="341"/>
      <c r="K967" s="591"/>
      <c r="L967" s="339"/>
      <c r="M967" s="339"/>
      <c r="N967" s="339"/>
      <c r="O967" s="339"/>
      <c r="P967" s="339"/>
      <c r="Q967" s="339"/>
      <c r="R967" s="339"/>
      <c r="S967" s="339"/>
      <c r="T967" s="339"/>
      <c r="U967" s="339"/>
      <c r="V967" s="339"/>
      <c r="W967" s="339"/>
      <c r="X967" s="339"/>
      <c r="Y967" s="339"/>
    </row>
    <row r="968" spans="1:25" ht="15.75" customHeight="1">
      <c r="A968" s="339"/>
      <c r="B968" s="339"/>
      <c r="C968" s="339"/>
      <c r="D968" s="339"/>
      <c r="E968" s="339"/>
      <c r="F968" s="339"/>
      <c r="G968" s="339"/>
      <c r="H968" s="339"/>
      <c r="I968" s="591"/>
      <c r="J968" s="341"/>
      <c r="K968" s="591"/>
      <c r="L968" s="339"/>
      <c r="M968" s="339"/>
      <c r="N968" s="339"/>
      <c r="O968" s="339"/>
      <c r="P968" s="339"/>
      <c r="Q968" s="339"/>
      <c r="R968" s="339"/>
      <c r="S968" s="339"/>
      <c r="T968" s="339"/>
      <c r="U968" s="339"/>
      <c r="V968" s="339"/>
      <c r="W968" s="339"/>
      <c r="X968" s="339"/>
      <c r="Y968" s="339"/>
    </row>
    <row r="969" spans="1:25" ht="15.75" customHeight="1">
      <c r="A969" s="339"/>
      <c r="B969" s="339"/>
      <c r="C969" s="339"/>
      <c r="D969" s="339"/>
      <c r="E969" s="339"/>
      <c r="F969" s="339"/>
      <c r="G969" s="339"/>
      <c r="H969" s="339"/>
      <c r="I969" s="591"/>
      <c r="J969" s="341"/>
      <c r="K969" s="591"/>
      <c r="L969" s="339"/>
      <c r="M969" s="339"/>
      <c r="N969" s="339"/>
      <c r="O969" s="339"/>
      <c r="P969" s="339"/>
      <c r="Q969" s="339"/>
      <c r="R969" s="339"/>
      <c r="S969" s="339"/>
      <c r="T969" s="339"/>
      <c r="U969" s="339"/>
      <c r="V969" s="339"/>
      <c r="W969" s="339"/>
      <c r="X969" s="339"/>
      <c r="Y969" s="339"/>
    </row>
    <row r="970" spans="1:25" ht="15.75" customHeight="1">
      <c r="A970" s="339"/>
      <c r="B970" s="339"/>
      <c r="C970" s="339"/>
      <c r="D970" s="339"/>
      <c r="E970" s="339"/>
      <c r="F970" s="339"/>
      <c r="G970" s="339"/>
      <c r="H970" s="339"/>
      <c r="I970" s="591"/>
      <c r="J970" s="341"/>
      <c r="K970" s="591"/>
      <c r="L970" s="339"/>
      <c r="M970" s="339"/>
      <c r="N970" s="339"/>
      <c r="O970" s="339"/>
      <c r="P970" s="339"/>
      <c r="Q970" s="339"/>
      <c r="R970" s="339"/>
      <c r="S970" s="339"/>
      <c r="T970" s="339"/>
      <c r="U970" s="339"/>
      <c r="V970" s="339"/>
      <c r="W970" s="339"/>
      <c r="X970" s="339"/>
      <c r="Y970" s="339"/>
    </row>
    <row r="971" spans="1:25" ht="15.75" customHeight="1">
      <c r="A971" s="339"/>
      <c r="B971" s="339"/>
      <c r="C971" s="339"/>
      <c r="D971" s="339"/>
      <c r="E971" s="339"/>
      <c r="F971" s="339"/>
      <c r="G971" s="339"/>
      <c r="H971" s="339"/>
      <c r="I971" s="591"/>
      <c r="J971" s="341"/>
      <c r="K971" s="591"/>
      <c r="L971" s="339"/>
      <c r="M971" s="339"/>
      <c r="N971" s="339"/>
      <c r="O971" s="339"/>
      <c r="P971" s="339"/>
      <c r="Q971" s="339"/>
      <c r="R971" s="339"/>
      <c r="S971" s="339"/>
      <c r="T971" s="339"/>
      <c r="U971" s="339"/>
      <c r="V971" s="339"/>
      <c r="W971" s="339"/>
      <c r="X971" s="339"/>
      <c r="Y971" s="339"/>
    </row>
    <row r="972" spans="1:25" ht="15.75" customHeight="1">
      <c r="A972" s="339"/>
      <c r="B972" s="339"/>
      <c r="C972" s="339"/>
      <c r="D972" s="339"/>
      <c r="E972" s="339"/>
      <c r="F972" s="339"/>
      <c r="G972" s="339"/>
      <c r="H972" s="339"/>
      <c r="I972" s="591"/>
      <c r="J972" s="341"/>
      <c r="K972" s="591"/>
      <c r="L972" s="339"/>
      <c r="M972" s="339"/>
      <c r="N972" s="339"/>
      <c r="O972" s="339"/>
      <c r="P972" s="339"/>
      <c r="Q972" s="339"/>
      <c r="R972" s="339"/>
      <c r="S972" s="339"/>
      <c r="T972" s="339"/>
      <c r="U972" s="339"/>
      <c r="V972" s="339"/>
      <c r="W972" s="339"/>
      <c r="X972" s="339"/>
      <c r="Y972" s="339"/>
    </row>
    <row r="973" spans="1:25" ht="15.75" customHeight="1">
      <c r="A973" s="339"/>
      <c r="B973" s="339"/>
      <c r="C973" s="339"/>
      <c r="D973" s="339"/>
      <c r="E973" s="339"/>
      <c r="F973" s="339"/>
      <c r="G973" s="339"/>
      <c r="H973" s="339"/>
      <c r="I973" s="591"/>
      <c r="J973" s="341"/>
      <c r="K973" s="591"/>
      <c r="L973" s="339"/>
      <c r="M973" s="339"/>
      <c r="N973" s="339"/>
      <c r="O973" s="339"/>
      <c r="P973" s="339"/>
      <c r="Q973" s="339"/>
      <c r="R973" s="339"/>
      <c r="S973" s="339"/>
      <c r="T973" s="339"/>
      <c r="U973" s="339"/>
      <c r="V973" s="339"/>
      <c r="W973" s="339"/>
      <c r="X973" s="339"/>
      <c r="Y973" s="339"/>
    </row>
    <row r="974" spans="1:25" ht="15.75" customHeight="1">
      <c r="A974" s="339"/>
      <c r="B974" s="339"/>
      <c r="C974" s="339"/>
      <c r="D974" s="339"/>
      <c r="E974" s="339"/>
      <c r="F974" s="339"/>
      <c r="G974" s="339"/>
      <c r="H974" s="339"/>
      <c r="I974" s="591"/>
      <c r="J974" s="341"/>
      <c r="K974" s="591"/>
      <c r="L974" s="339"/>
      <c r="M974" s="339"/>
      <c r="N974" s="339"/>
      <c r="O974" s="339"/>
      <c r="P974" s="339"/>
      <c r="Q974" s="339"/>
      <c r="R974" s="339"/>
      <c r="S974" s="339"/>
      <c r="T974" s="339"/>
      <c r="U974" s="339"/>
      <c r="V974" s="339"/>
      <c r="W974" s="339"/>
      <c r="X974" s="339"/>
      <c r="Y974" s="339"/>
    </row>
    <row r="975" spans="1:25" ht="15.75" customHeight="1">
      <c r="A975" s="339"/>
      <c r="B975" s="339"/>
      <c r="C975" s="339"/>
      <c r="D975" s="339"/>
      <c r="E975" s="339"/>
      <c r="F975" s="339"/>
      <c r="G975" s="339"/>
      <c r="H975" s="339"/>
      <c r="I975" s="591"/>
      <c r="J975" s="341"/>
      <c r="K975" s="591"/>
      <c r="L975" s="339"/>
      <c r="M975" s="339"/>
      <c r="N975" s="339"/>
      <c r="O975" s="339"/>
      <c r="P975" s="339"/>
      <c r="Q975" s="339"/>
      <c r="R975" s="339"/>
      <c r="S975" s="339"/>
      <c r="T975" s="339"/>
      <c r="U975" s="339"/>
      <c r="V975" s="339"/>
      <c r="W975" s="339"/>
      <c r="X975" s="339"/>
      <c r="Y975" s="339"/>
    </row>
    <row r="976" spans="1:25" ht="15.75" customHeight="1">
      <c r="A976" s="339"/>
      <c r="B976" s="339"/>
      <c r="C976" s="339"/>
      <c r="D976" s="339"/>
      <c r="E976" s="339"/>
      <c r="F976" s="339"/>
      <c r="G976" s="339"/>
      <c r="H976" s="339"/>
      <c r="I976" s="591"/>
      <c r="J976" s="341"/>
      <c r="K976" s="591"/>
      <c r="L976" s="339"/>
      <c r="M976" s="339"/>
      <c r="N976" s="339"/>
      <c r="O976" s="339"/>
      <c r="P976" s="339"/>
      <c r="Q976" s="339"/>
      <c r="R976" s="339"/>
      <c r="S976" s="339"/>
      <c r="T976" s="339"/>
      <c r="U976" s="339"/>
      <c r="V976" s="339"/>
      <c r="W976" s="339"/>
      <c r="X976" s="339"/>
      <c r="Y976" s="339"/>
    </row>
    <row r="977" spans="1:25" ht="15.75" customHeight="1">
      <c r="A977" s="339"/>
      <c r="B977" s="339"/>
      <c r="C977" s="339"/>
      <c r="D977" s="339"/>
      <c r="E977" s="339"/>
      <c r="F977" s="339"/>
      <c r="G977" s="339"/>
      <c r="H977" s="339"/>
      <c r="I977" s="591"/>
      <c r="J977" s="341"/>
      <c r="K977" s="591"/>
      <c r="L977" s="339"/>
      <c r="M977" s="339"/>
      <c r="N977" s="339"/>
      <c r="O977" s="339"/>
      <c r="P977" s="339"/>
      <c r="Q977" s="339"/>
      <c r="R977" s="339"/>
      <c r="S977" s="339"/>
      <c r="T977" s="339"/>
      <c r="U977" s="339"/>
      <c r="V977" s="339"/>
      <c r="W977" s="339"/>
      <c r="X977" s="339"/>
      <c r="Y977" s="339"/>
    </row>
    <row r="978" spans="1:25" ht="15.75" customHeight="1">
      <c r="A978" s="339"/>
      <c r="B978" s="339"/>
      <c r="C978" s="339"/>
      <c r="D978" s="339"/>
      <c r="E978" s="339"/>
      <c r="F978" s="339"/>
      <c r="G978" s="339"/>
      <c r="H978" s="339"/>
      <c r="I978" s="591"/>
      <c r="J978" s="341"/>
      <c r="K978" s="591"/>
      <c r="L978" s="339"/>
      <c r="M978" s="339"/>
      <c r="N978" s="339"/>
      <c r="O978" s="339"/>
      <c r="P978" s="339"/>
      <c r="Q978" s="339"/>
      <c r="R978" s="339"/>
      <c r="S978" s="339"/>
      <c r="T978" s="339"/>
      <c r="U978" s="339"/>
      <c r="V978" s="339"/>
      <c r="W978" s="339"/>
      <c r="X978" s="339"/>
      <c r="Y978" s="339"/>
    </row>
    <row r="979" spans="1:25" ht="15.75" customHeight="1">
      <c r="A979" s="339"/>
      <c r="B979" s="339"/>
      <c r="C979" s="339"/>
      <c r="D979" s="339"/>
      <c r="E979" s="339"/>
      <c r="F979" s="339"/>
      <c r="G979" s="339"/>
      <c r="H979" s="339"/>
      <c r="I979" s="591"/>
      <c r="J979" s="341"/>
      <c r="K979" s="591"/>
      <c r="L979" s="339"/>
      <c r="M979" s="339"/>
      <c r="N979" s="339"/>
      <c r="O979" s="339"/>
      <c r="P979" s="339"/>
      <c r="Q979" s="339"/>
      <c r="R979" s="339"/>
      <c r="S979" s="339"/>
      <c r="T979" s="339"/>
      <c r="U979" s="339"/>
      <c r="V979" s="339"/>
      <c r="W979" s="339"/>
      <c r="X979" s="339"/>
      <c r="Y979" s="339"/>
    </row>
    <row r="980" spans="1:25" ht="15.75" customHeight="1">
      <c r="A980" s="339"/>
      <c r="B980" s="339"/>
      <c r="C980" s="339"/>
      <c r="D980" s="339"/>
      <c r="E980" s="339"/>
      <c r="F980" s="339"/>
      <c r="G980" s="339"/>
      <c r="H980" s="339"/>
      <c r="I980" s="591"/>
      <c r="J980" s="341"/>
      <c r="K980" s="591"/>
      <c r="L980" s="339"/>
      <c r="M980" s="339"/>
      <c r="N980" s="339"/>
      <c r="O980" s="339"/>
      <c r="P980" s="339"/>
      <c r="Q980" s="339"/>
      <c r="R980" s="339"/>
      <c r="S980" s="339"/>
      <c r="T980" s="339"/>
      <c r="U980" s="339"/>
      <c r="V980" s="339"/>
      <c r="W980" s="339"/>
      <c r="X980" s="339"/>
      <c r="Y980" s="339"/>
    </row>
    <row r="981" spans="1:25" ht="15.75" customHeight="1">
      <c r="A981" s="339"/>
      <c r="B981" s="339"/>
      <c r="C981" s="339"/>
      <c r="D981" s="339"/>
      <c r="E981" s="339"/>
      <c r="F981" s="339"/>
      <c r="G981" s="339"/>
      <c r="H981" s="339"/>
      <c r="I981" s="591"/>
      <c r="J981" s="341"/>
      <c r="K981" s="591"/>
      <c r="L981" s="339"/>
      <c r="M981" s="339"/>
      <c r="N981" s="339"/>
      <c r="O981" s="339"/>
      <c r="P981" s="339"/>
      <c r="Q981" s="339"/>
      <c r="R981" s="339"/>
      <c r="S981" s="339"/>
      <c r="T981" s="339"/>
      <c r="U981" s="339"/>
      <c r="V981" s="339"/>
      <c r="W981" s="339"/>
      <c r="X981" s="339"/>
      <c r="Y981" s="339"/>
    </row>
    <row r="982" spans="1:25" ht="15.75" customHeight="1">
      <c r="A982" s="339"/>
      <c r="B982" s="339"/>
      <c r="C982" s="339"/>
      <c r="D982" s="339"/>
      <c r="E982" s="339"/>
      <c r="F982" s="339"/>
      <c r="G982" s="339"/>
      <c r="H982" s="339"/>
      <c r="I982" s="591"/>
      <c r="J982" s="341"/>
      <c r="K982" s="591"/>
      <c r="L982" s="339"/>
      <c r="M982" s="339"/>
      <c r="N982" s="339"/>
      <c r="O982" s="339"/>
      <c r="P982" s="339"/>
      <c r="Q982" s="339"/>
      <c r="R982" s="339"/>
      <c r="S982" s="339"/>
      <c r="T982" s="339"/>
      <c r="U982" s="339"/>
      <c r="V982" s="339"/>
      <c r="W982" s="339"/>
      <c r="X982" s="339"/>
      <c r="Y982" s="339"/>
    </row>
    <row r="983" spans="1:25" ht="15.75" customHeight="1">
      <c r="A983" s="339"/>
      <c r="B983" s="339"/>
      <c r="C983" s="339"/>
      <c r="D983" s="339"/>
      <c r="E983" s="339"/>
      <c r="F983" s="339"/>
      <c r="G983" s="339"/>
      <c r="H983" s="339"/>
      <c r="I983" s="591"/>
      <c r="J983" s="341"/>
      <c r="K983" s="591"/>
      <c r="L983" s="339"/>
      <c r="M983" s="339"/>
      <c r="N983" s="339"/>
      <c r="O983" s="339"/>
      <c r="P983" s="339"/>
      <c r="Q983" s="339"/>
      <c r="R983" s="339"/>
      <c r="S983" s="339"/>
      <c r="T983" s="339"/>
      <c r="U983" s="339"/>
      <c r="V983" s="339"/>
      <c r="W983" s="339"/>
      <c r="X983" s="339"/>
      <c r="Y983" s="339"/>
    </row>
    <row r="984" spans="1:25" ht="15.75" customHeight="1">
      <c r="A984" s="339"/>
      <c r="B984" s="339"/>
      <c r="C984" s="339"/>
      <c r="D984" s="339"/>
      <c r="E984" s="339"/>
      <c r="F984" s="339"/>
      <c r="G984" s="339"/>
      <c r="H984" s="339"/>
      <c r="I984" s="591"/>
      <c r="J984" s="341"/>
      <c r="K984" s="591"/>
      <c r="L984" s="339"/>
      <c r="M984" s="339"/>
      <c r="N984" s="339"/>
      <c r="O984" s="339"/>
      <c r="P984" s="339"/>
      <c r="Q984" s="339"/>
      <c r="R984" s="339"/>
      <c r="S984" s="339"/>
      <c r="T984" s="339"/>
      <c r="U984" s="339"/>
      <c r="V984" s="339"/>
      <c r="W984" s="339"/>
      <c r="X984" s="339"/>
      <c r="Y984" s="339"/>
    </row>
    <row r="985" spans="1:25" ht="15.75" customHeight="1">
      <c r="A985" s="339"/>
      <c r="B985" s="339"/>
      <c r="C985" s="339"/>
      <c r="D985" s="339"/>
      <c r="E985" s="339"/>
      <c r="F985" s="339"/>
      <c r="G985" s="339"/>
      <c r="H985" s="339"/>
      <c r="I985" s="591"/>
      <c r="J985" s="341"/>
      <c r="K985" s="591"/>
      <c r="L985" s="339"/>
      <c r="M985" s="339"/>
      <c r="N985" s="339"/>
      <c r="O985" s="339"/>
      <c r="P985" s="339"/>
      <c r="Q985" s="339"/>
      <c r="R985" s="339"/>
      <c r="S985" s="339"/>
      <c r="T985" s="339"/>
      <c r="U985" s="339"/>
      <c r="V985" s="339"/>
      <c r="W985" s="339"/>
      <c r="X985" s="339"/>
      <c r="Y985" s="339"/>
    </row>
    <row r="986" spans="1:25" ht="15.75" customHeight="1">
      <c r="A986" s="339"/>
      <c r="B986" s="339"/>
      <c r="C986" s="339"/>
      <c r="D986" s="339"/>
      <c r="E986" s="339"/>
      <c r="F986" s="339"/>
      <c r="G986" s="339"/>
      <c r="H986" s="339"/>
      <c r="I986" s="591"/>
      <c r="J986" s="341"/>
      <c r="K986" s="591"/>
      <c r="L986" s="339"/>
      <c r="M986" s="339"/>
      <c r="N986" s="339"/>
      <c r="O986" s="339"/>
      <c r="P986" s="339"/>
      <c r="Q986" s="339"/>
      <c r="R986" s="339"/>
      <c r="S986" s="339"/>
      <c r="T986" s="339"/>
      <c r="U986" s="339"/>
      <c r="V986" s="339"/>
      <c r="W986" s="339"/>
      <c r="X986" s="339"/>
      <c r="Y986" s="339"/>
    </row>
    <row r="987" spans="1:25" ht="15.75" customHeight="1">
      <c r="A987" s="339"/>
      <c r="B987" s="339"/>
      <c r="C987" s="339"/>
      <c r="D987" s="339"/>
      <c r="E987" s="339"/>
      <c r="F987" s="339"/>
      <c r="G987" s="339"/>
      <c r="H987" s="339"/>
      <c r="I987" s="591"/>
      <c r="J987" s="341"/>
      <c r="K987" s="591"/>
      <c r="L987" s="339"/>
      <c r="M987" s="339"/>
      <c r="N987" s="339"/>
      <c r="O987" s="339"/>
      <c r="P987" s="339"/>
      <c r="Q987" s="339"/>
      <c r="R987" s="339"/>
      <c r="S987" s="339"/>
      <c r="T987" s="339"/>
      <c r="U987" s="339"/>
      <c r="V987" s="339"/>
      <c r="W987" s="339"/>
      <c r="X987" s="339"/>
      <c r="Y987" s="339"/>
    </row>
    <row r="988" spans="1:25" ht="15.75" customHeight="1">
      <c r="A988" s="339"/>
      <c r="B988" s="339"/>
      <c r="C988" s="339"/>
      <c r="D988" s="339"/>
      <c r="E988" s="339"/>
      <c r="F988" s="339"/>
      <c r="G988" s="339"/>
      <c r="H988" s="339"/>
      <c r="I988" s="591"/>
      <c r="J988" s="341"/>
      <c r="K988" s="591"/>
      <c r="L988" s="339"/>
      <c r="M988" s="339"/>
      <c r="N988" s="339"/>
      <c r="O988" s="339"/>
      <c r="P988" s="339"/>
      <c r="Q988" s="339"/>
      <c r="R988" s="339"/>
      <c r="S988" s="339"/>
      <c r="T988" s="339"/>
      <c r="U988" s="339"/>
      <c r="V988" s="339"/>
      <c r="W988" s="339"/>
      <c r="X988" s="339"/>
      <c r="Y988" s="339"/>
    </row>
    <row r="989" spans="1:25" ht="15.75" customHeight="1">
      <c r="A989" s="339"/>
      <c r="B989" s="339"/>
      <c r="C989" s="339"/>
      <c r="D989" s="339"/>
      <c r="E989" s="339"/>
      <c r="F989" s="339"/>
      <c r="G989" s="339"/>
      <c r="H989" s="339"/>
      <c r="I989" s="591"/>
      <c r="J989" s="341"/>
      <c r="K989" s="591"/>
      <c r="L989" s="339"/>
      <c r="M989" s="339"/>
      <c r="N989" s="339"/>
      <c r="O989" s="339"/>
      <c r="P989" s="339"/>
      <c r="Q989" s="339"/>
      <c r="R989" s="339"/>
      <c r="S989" s="339"/>
      <c r="T989" s="339"/>
      <c r="U989" s="339"/>
      <c r="V989" s="339"/>
      <c r="W989" s="339"/>
      <c r="X989" s="339"/>
      <c r="Y989" s="339"/>
    </row>
    <row r="990" spans="1:25" ht="15.75" customHeight="1">
      <c r="A990" s="339"/>
      <c r="B990" s="339"/>
      <c r="C990" s="339"/>
      <c r="D990" s="339"/>
      <c r="E990" s="339"/>
      <c r="F990" s="339"/>
      <c r="G990" s="339"/>
      <c r="H990" s="339"/>
      <c r="I990" s="591"/>
      <c r="J990" s="341"/>
      <c r="K990" s="591"/>
      <c r="L990" s="339"/>
      <c r="M990" s="339"/>
      <c r="N990" s="339"/>
      <c r="O990" s="339"/>
      <c r="P990" s="339"/>
      <c r="Q990" s="339"/>
      <c r="R990" s="339"/>
      <c r="S990" s="339"/>
      <c r="T990" s="339"/>
      <c r="U990" s="339"/>
      <c r="V990" s="339"/>
      <c r="W990" s="339"/>
      <c r="X990" s="339"/>
      <c r="Y990" s="339"/>
    </row>
    <row r="991" spans="1:25" ht="15.75" customHeight="1">
      <c r="A991" s="339"/>
      <c r="B991" s="339"/>
      <c r="C991" s="339"/>
      <c r="D991" s="339"/>
      <c r="E991" s="339"/>
      <c r="F991" s="339"/>
      <c r="G991" s="339"/>
      <c r="H991" s="339"/>
      <c r="I991" s="591"/>
      <c r="J991" s="341"/>
      <c r="K991" s="591"/>
      <c r="L991" s="339"/>
      <c r="M991" s="339"/>
      <c r="N991" s="339"/>
      <c r="O991" s="339"/>
      <c r="P991" s="339"/>
      <c r="Q991" s="339"/>
      <c r="R991" s="339"/>
      <c r="S991" s="339"/>
      <c r="T991" s="339"/>
      <c r="U991" s="339"/>
      <c r="V991" s="339"/>
      <c r="W991" s="339"/>
      <c r="X991" s="339"/>
      <c r="Y991" s="339"/>
    </row>
    <row r="992" spans="1:25" ht="15.75" customHeight="1">
      <c r="A992" s="339"/>
      <c r="B992" s="339"/>
      <c r="C992" s="339"/>
      <c r="D992" s="339"/>
      <c r="E992" s="339"/>
      <c r="F992" s="339"/>
      <c r="G992" s="339"/>
      <c r="H992" s="339"/>
      <c r="I992" s="591"/>
      <c r="J992" s="341"/>
      <c r="K992" s="591"/>
      <c r="L992" s="339"/>
      <c r="M992" s="339"/>
      <c r="N992" s="339"/>
      <c r="O992" s="339"/>
      <c r="P992" s="339"/>
      <c r="Q992" s="339"/>
      <c r="R992" s="339"/>
      <c r="S992" s="339"/>
      <c r="T992" s="339"/>
      <c r="U992" s="339"/>
      <c r="V992" s="339"/>
      <c r="W992" s="339"/>
      <c r="X992" s="339"/>
      <c r="Y992" s="339"/>
    </row>
    <row r="993" spans="1:25" ht="15.75" customHeight="1">
      <c r="A993" s="339"/>
      <c r="B993" s="339"/>
      <c r="C993" s="339"/>
      <c r="D993" s="339"/>
      <c r="E993" s="339"/>
      <c r="F993" s="339"/>
      <c r="G993" s="339"/>
      <c r="H993" s="339"/>
      <c r="I993" s="591"/>
      <c r="J993" s="341"/>
      <c r="K993" s="591"/>
      <c r="L993" s="339"/>
      <c r="M993" s="339"/>
      <c r="N993" s="339"/>
      <c r="O993" s="339"/>
      <c r="P993" s="339"/>
      <c r="Q993" s="339"/>
      <c r="R993" s="339"/>
      <c r="S993" s="339"/>
      <c r="T993" s="339"/>
      <c r="U993" s="339"/>
      <c r="V993" s="339"/>
      <c r="W993" s="339"/>
      <c r="X993" s="339"/>
      <c r="Y993" s="339"/>
    </row>
    <row r="994" spans="1:25" ht="15.75" customHeight="1">
      <c r="A994" s="339"/>
      <c r="B994" s="339"/>
      <c r="C994" s="339"/>
      <c r="D994" s="339"/>
      <c r="E994" s="339"/>
      <c r="F994" s="339"/>
      <c r="G994" s="339"/>
      <c r="H994" s="339"/>
      <c r="I994" s="591"/>
      <c r="J994" s="341"/>
      <c r="K994" s="591"/>
      <c r="L994" s="339"/>
      <c r="M994" s="339"/>
      <c r="N994" s="339"/>
      <c r="O994" s="339"/>
      <c r="P994" s="339"/>
      <c r="Q994" s="339"/>
      <c r="R994" s="339"/>
      <c r="S994" s="339"/>
      <c r="T994" s="339"/>
      <c r="U994" s="339"/>
      <c r="V994" s="339"/>
      <c r="W994" s="339"/>
      <c r="X994" s="339"/>
      <c r="Y994" s="339"/>
    </row>
    <row r="995" spans="1:25" ht="15.75" customHeight="1">
      <c r="A995" s="339"/>
      <c r="B995" s="339"/>
      <c r="C995" s="339"/>
      <c r="D995" s="339"/>
      <c r="E995" s="339"/>
      <c r="F995" s="339"/>
      <c r="G995" s="339"/>
      <c r="H995" s="339"/>
      <c r="I995" s="591"/>
      <c r="J995" s="341"/>
      <c r="K995" s="591"/>
      <c r="L995" s="339"/>
      <c r="M995" s="339"/>
      <c r="N995" s="339"/>
      <c r="O995" s="339"/>
      <c r="P995" s="339"/>
      <c r="Q995" s="339"/>
      <c r="R995" s="339"/>
      <c r="S995" s="339"/>
      <c r="T995" s="339"/>
      <c r="U995" s="339"/>
      <c r="V995" s="339"/>
      <c r="W995" s="339"/>
      <c r="X995" s="339"/>
      <c r="Y995" s="339"/>
    </row>
    <row r="996" spans="1:25" ht="15.75" customHeight="1">
      <c r="A996" s="339"/>
      <c r="B996" s="339"/>
      <c r="C996" s="339"/>
      <c r="D996" s="339"/>
      <c r="E996" s="339"/>
      <c r="F996" s="339"/>
      <c r="G996" s="339"/>
      <c r="H996" s="339"/>
      <c r="I996" s="591"/>
      <c r="J996" s="341"/>
      <c r="K996" s="591"/>
      <c r="L996" s="339"/>
      <c r="M996" s="339"/>
      <c r="N996" s="339"/>
      <c r="O996" s="339"/>
      <c r="P996" s="339"/>
      <c r="Q996" s="339"/>
      <c r="R996" s="339"/>
      <c r="S996" s="339"/>
      <c r="T996" s="339"/>
      <c r="U996" s="339"/>
      <c r="V996" s="339"/>
      <c r="W996" s="339"/>
      <c r="X996" s="339"/>
      <c r="Y996" s="339"/>
    </row>
    <row r="997" spans="1:25" ht="15.75" customHeight="1">
      <c r="A997" s="339"/>
      <c r="B997" s="339"/>
      <c r="C997" s="339"/>
      <c r="D997" s="339"/>
      <c r="E997" s="339"/>
      <c r="F997" s="339"/>
      <c r="G997" s="339"/>
      <c r="H997" s="339"/>
      <c r="I997" s="591"/>
      <c r="J997" s="341"/>
      <c r="K997" s="591"/>
      <c r="L997" s="339"/>
      <c r="M997" s="339"/>
      <c r="N997" s="339"/>
      <c r="O997" s="339"/>
      <c r="P997" s="339"/>
      <c r="Q997" s="339"/>
      <c r="R997" s="339"/>
      <c r="S997" s="339"/>
      <c r="T997" s="339"/>
      <c r="U997" s="339"/>
      <c r="V997" s="339"/>
      <c r="W997" s="339"/>
      <c r="X997" s="339"/>
      <c r="Y997" s="339"/>
    </row>
    <row r="998" spans="1:25" ht="15.75" customHeight="1">
      <c r="A998" s="339"/>
      <c r="B998" s="339"/>
      <c r="C998" s="339"/>
      <c r="D998" s="339"/>
      <c r="E998" s="339"/>
      <c r="F998" s="339"/>
      <c r="G998" s="339"/>
      <c r="H998" s="339"/>
      <c r="I998" s="591"/>
      <c r="J998" s="341"/>
      <c r="K998" s="591"/>
      <c r="L998" s="339"/>
      <c r="M998" s="339"/>
      <c r="N998" s="339"/>
      <c r="O998" s="339"/>
      <c r="P998" s="339"/>
      <c r="Q998" s="339"/>
      <c r="R998" s="339"/>
      <c r="S998" s="339"/>
      <c r="T998" s="339"/>
      <c r="U998" s="339"/>
      <c r="V998" s="339"/>
      <c r="W998" s="339"/>
      <c r="X998" s="339"/>
      <c r="Y998" s="339"/>
    </row>
    <row r="999" spans="1:25" ht="15.75" customHeight="1">
      <c r="A999" s="339"/>
      <c r="B999" s="339"/>
      <c r="C999" s="339"/>
      <c r="D999" s="339"/>
      <c r="E999" s="339"/>
      <c r="F999" s="339"/>
      <c r="G999" s="339"/>
      <c r="H999" s="339"/>
      <c r="I999" s="591"/>
      <c r="J999" s="341"/>
      <c r="K999" s="591"/>
      <c r="L999" s="339"/>
      <c r="M999" s="339"/>
      <c r="N999" s="339"/>
      <c r="O999" s="339"/>
      <c r="P999" s="339"/>
      <c r="Q999" s="339"/>
      <c r="R999" s="339"/>
      <c r="S999" s="339"/>
      <c r="T999" s="339"/>
      <c r="U999" s="339"/>
      <c r="V999" s="339"/>
      <c r="W999" s="339"/>
      <c r="X999" s="339"/>
      <c r="Y999" s="339"/>
    </row>
    <row r="1000" spans="1:25" ht="15.75" customHeight="1">
      <c r="A1000" s="339"/>
      <c r="B1000" s="339"/>
      <c r="C1000" s="339"/>
      <c r="D1000" s="339"/>
      <c r="E1000" s="339"/>
      <c r="F1000" s="339"/>
      <c r="G1000" s="339"/>
      <c r="H1000" s="339"/>
      <c r="I1000" s="591"/>
      <c r="J1000" s="341"/>
      <c r="K1000" s="591"/>
      <c r="L1000" s="339"/>
      <c r="M1000" s="339"/>
      <c r="N1000" s="339"/>
      <c r="O1000" s="339"/>
      <c r="P1000" s="339"/>
      <c r="Q1000" s="339"/>
      <c r="R1000" s="339"/>
      <c r="S1000" s="339"/>
      <c r="T1000" s="339"/>
      <c r="U1000" s="339"/>
      <c r="V1000" s="339"/>
      <c r="W1000" s="339"/>
      <c r="X1000" s="339"/>
      <c r="Y1000" s="339"/>
    </row>
  </sheetData>
  <mergeCells count="20">
    <mergeCell ref="A91:B91"/>
    <mergeCell ref="A106:B106"/>
    <mergeCell ref="A7:B8"/>
    <mergeCell ref="D7:D8"/>
    <mergeCell ref="A9:B9"/>
    <mergeCell ref="A15:B15"/>
    <mergeCell ref="A33:B33"/>
    <mergeCell ref="A54:B54"/>
    <mergeCell ref="A76:B76"/>
    <mergeCell ref="C6:E6"/>
    <mergeCell ref="F6:G6"/>
    <mergeCell ref="F7:G7"/>
    <mergeCell ref="I7:K7"/>
    <mergeCell ref="A2:B6"/>
    <mergeCell ref="C2:K3"/>
    <mergeCell ref="C4:G5"/>
    <mergeCell ref="H4:K4"/>
    <mergeCell ref="H5:H7"/>
    <mergeCell ref="I5:J6"/>
    <mergeCell ref="K5:K6"/>
  </mergeCells>
  <printOptions horizontalCentered="1"/>
  <pageMargins left="0.31496062992125984" right="0.31496062992125984" top="0.74803149606299213" bottom="0.74803149606299213" header="0" footer="0"/>
  <pageSetup paperSize="9" scale="55" fitToWidth="0" fitToHeight="0" orientation="landscape" r:id="rId1"/>
  <headerFooter>
    <oddFooter>&amp;Cหน้า &amp;P/&amp;N</oddFooter>
  </headerFooter>
  <rowBreaks count="4" manualBreakCount="4">
    <brk id="32" max="10" man="1"/>
    <brk id="53" max="10" man="1"/>
    <brk id="75" max="10" man="1"/>
    <brk id="90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D965"/>
    <pageSetUpPr fitToPage="1"/>
  </sheetPr>
  <dimension ref="A1:Z1000"/>
  <sheetViews>
    <sheetView view="pageBreakPreview" zoomScale="60" zoomScaleNormal="100" workbookViewId="0">
      <pane xSplit="2" topLeftCell="C1" activePane="topRight" state="frozen"/>
      <selection activeCell="A91" sqref="A91:XFD114"/>
      <selection pane="topRight" activeCell="A91" sqref="A91:XFD114"/>
    </sheetView>
  </sheetViews>
  <sheetFormatPr defaultColWidth="14.44140625" defaultRowHeight="15" customHeight="1"/>
  <cols>
    <col min="1" max="1" width="7.21875" customWidth="1"/>
    <col min="2" max="2" width="32.109375" customWidth="1"/>
    <col min="3" max="3" width="15.77734375" customWidth="1"/>
    <col min="4" max="4" width="13.77734375" customWidth="1"/>
    <col min="5" max="6" width="15.77734375" customWidth="1"/>
    <col min="7" max="19" width="13.77734375" customWidth="1"/>
  </cols>
  <sheetData>
    <row r="1" spans="1:26" ht="24" customHeight="1">
      <c r="A1" s="1" t="s">
        <v>335</v>
      </c>
      <c r="B1" s="236"/>
      <c r="C1" s="236"/>
      <c r="D1" s="236"/>
      <c r="E1" s="236"/>
      <c r="F1" s="236"/>
      <c r="G1" s="236"/>
      <c r="H1" s="236"/>
      <c r="I1" s="237"/>
      <c r="J1" s="237"/>
      <c r="K1" s="238"/>
      <c r="L1" s="236"/>
      <c r="M1" s="237"/>
      <c r="N1" s="237"/>
      <c r="O1" s="238"/>
      <c r="P1" s="236"/>
      <c r="Q1" s="237"/>
      <c r="R1" s="236"/>
      <c r="S1" s="238"/>
      <c r="T1" s="342"/>
      <c r="U1" s="342"/>
      <c r="V1" s="342"/>
      <c r="W1" s="342"/>
      <c r="X1" s="342"/>
      <c r="Y1" s="342"/>
      <c r="Z1" s="342"/>
    </row>
    <row r="2" spans="1:26" ht="22.5" customHeight="1">
      <c r="A2" s="774" t="s">
        <v>1</v>
      </c>
      <c r="B2" s="682"/>
      <c r="C2" s="775" t="s">
        <v>336</v>
      </c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  <c r="Q2" s="776"/>
      <c r="R2" s="776"/>
      <c r="S2" s="777"/>
      <c r="T2" s="339"/>
      <c r="U2" s="339"/>
      <c r="V2" s="339"/>
      <c r="W2" s="339"/>
      <c r="X2" s="339"/>
      <c r="Y2" s="339"/>
      <c r="Z2" s="339"/>
    </row>
    <row r="3" spans="1:26" ht="40.5" customHeight="1">
      <c r="A3" s="660"/>
      <c r="B3" s="661"/>
      <c r="C3" s="793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  <c r="S3" s="768"/>
      <c r="T3" s="339"/>
      <c r="U3" s="339"/>
      <c r="V3" s="339"/>
      <c r="W3" s="339"/>
      <c r="X3" s="339"/>
      <c r="Y3" s="339"/>
      <c r="Z3" s="339"/>
    </row>
    <row r="4" spans="1:26" ht="44.25" customHeight="1">
      <c r="A4" s="660"/>
      <c r="B4" s="661"/>
      <c r="C4" s="792" t="s">
        <v>246</v>
      </c>
      <c r="D4" s="694"/>
      <c r="E4" s="694"/>
      <c r="F4" s="694"/>
      <c r="G4" s="695"/>
      <c r="H4" s="819" t="s">
        <v>337</v>
      </c>
      <c r="I4" s="694"/>
      <c r="J4" s="694"/>
      <c r="K4" s="694"/>
      <c r="L4" s="694"/>
      <c r="M4" s="694"/>
      <c r="N4" s="694"/>
      <c r="O4" s="694"/>
      <c r="P4" s="694"/>
      <c r="Q4" s="694"/>
      <c r="R4" s="694"/>
      <c r="S4" s="781"/>
      <c r="T4" s="343"/>
      <c r="U4" s="343"/>
      <c r="V4" s="343"/>
      <c r="W4" s="343"/>
      <c r="X4" s="343"/>
      <c r="Y4" s="343"/>
      <c r="Z4" s="343"/>
    </row>
    <row r="5" spans="1:26" ht="54.75" customHeight="1">
      <c r="A5" s="660"/>
      <c r="B5" s="661"/>
      <c r="C5" s="793"/>
      <c r="D5" s="670"/>
      <c r="E5" s="670"/>
      <c r="F5" s="670"/>
      <c r="G5" s="671"/>
      <c r="H5" s="713"/>
      <c r="I5" s="714"/>
      <c r="J5" s="714"/>
      <c r="K5" s="714"/>
      <c r="L5" s="714"/>
      <c r="M5" s="714"/>
      <c r="N5" s="714"/>
      <c r="O5" s="714"/>
      <c r="P5" s="714"/>
      <c r="Q5" s="714"/>
      <c r="R5" s="714"/>
      <c r="S5" s="778"/>
      <c r="T5" s="343"/>
      <c r="U5" s="343"/>
      <c r="V5" s="343"/>
      <c r="W5" s="343"/>
      <c r="X5" s="343"/>
      <c r="Y5" s="343"/>
      <c r="Z5" s="343"/>
    </row>
    <row r="6" spans="1:26" ht="56.25" customHeight="1">
      <c r="A6" s="683"/>
      <c r="B6" s="684"/>
      <c r="C6" s="808" t="s">
        <v>9</v>
      </c>
      <c r="D6" s="651"/>
      <c r="E6" s="654"/>
      <c r="F6" s="809" t="s">
        <v>11</v>
      </c>
      <c r="G6" s="839"/>
      <c r="H6" s="783" t="s">
        <v>150</v>
      </c>
      <c r="I6" s="651"/>
      <c r="J6" s="651"/>
      <c r="K6" s="654"/>
      <c r="L6" s="893" t="s">
        <v>338</v>
      </c>
      <c r="M6" s="651"/>
      <c r="N6" s="651"/>
      <c r="O6" s="654"/>
      <c r="P6" s="893" t="s">
        <v>339</v>
      </c>
      <c r="Q6" s="651"/>
      <c r="R6" s="651"/>
      <c r="S6" s="756"/>
      <c r="T6" s="344"/>
      <c r="U6" s="344"/>
      <c r="V6" s="344"/>
      <c r="W6" s="344"/>
      <c r="X6" s="344"/>
      <c r="Y6" s="344"/>
      <c r="Z6" s="344"/>
    </row>
    <row r="7" spans="1:26" ht="78" customHeight="1">
      <c r="A7" s="785" t="s">
        <v>256</v>
      </c>
      <c r="B7" s="659"/>
      <c r="C7" s="345" t="s">
        <v>150</v>
      </c>
      <c r="D7" s="811" t="s">
        <v>257</v>
      </c>
      <c r="E7" s="346" t="s">
        <v>258</v>
      </c>
      <c r="F7" s="812" t="s">
        <v>259</v>
      </c>
      <c r="G7" s="699"/>
      <c r="H7" s="248" t="s">
        <v>24</v>
      </c>
      <c r="I7" s="894" t="s">
        <v>25</v>
      </c>
      <c r="J7" s="651"/>
      <c r="K7" s="654"/>
      <c r="L7" s="248" t="s">
        <v>24</v>
      </c>
      <c r="M7" s="894" t="s">
        <v>25</v>
      </c>
      <c r="N7" s="651"/>
      <c r="O7" s="654"/>
      <c r="P7" s="248" t="s">
        <v>24</v>
      </c>
      <c r="Q7" s="894" t="s">
        <v>25</v>
      </c>
      <c r="R7" s="651"/>
      <c r="S7" s="756"/>
      <c r="T7" s="344"/>
      <c r="U7" s="344"/>
      <c r="V7" s="344"/>
      <c r="W7" s="344"/>
      <c r="X7" s="344"/>
      <c r="Y7" s="344"/>
      <c r="Z7" s="344"/>
    </row>
    <row r="8" spans="1:26" ht="36.75" customHeight="1">
      <c r="A8" s="662"/>
      <c r="B8" s="663"/>
      <c r="C8" s="251"/>
      <c r="D8" s="665"/>
      <c r="E8" s="252"/>
      <c r="F8" s="253" t="s">
        <v>26</v>
      </c>
      <c r="G8" s="253" t="s">
        <v>27</v>
      </c>
      <c r="H8" s="258" t="s">
        <v>239</v>
      </c>
      <c r="I8" s="592" t="s">
        <v>240</v>
      </c>
      <c r="J8" s="592" t="s">
        <v>30</v>
      </c>
      <c r="K8" s="593" t="s">
        <v>340</v>
      </c>
      <c r="L8" s="258" t="s">
        <v>239</v>
      </c>
      <c r="M8" s="592" t="s">
        <v>240</v>
      </c>
      <c r="N8" s="592" t="s">
        <v>30</v>
      </c>
      <c r="O8" s="260" t="s">
        <v>340</v>
      </c>
      <c r="P8" s="258" t="s">
        <v>239</v>
      </c>
      <c r="Q8" s="592" t="s">
        <v>240</v>
      </c>
      <c r="R8" s="594" t="s">
        <v>30</v>
      </c>
      <c r="S8" s="348" t="s">
        <v>340</v>
      </c>
      <c r="T8" s="349"/>
      <c r="U8" s="349"/>
      <c r="V8" s="349"/>
      <c r="W8" s="349"/>
      <c r="X8" s="349"/>
      <c r="Y8" s="349"/>
      <c r="Z8" s="349"/>
    </row>
    <row r="9" spans="1:26" ht="27" customHeight="1">
      <c r="A9" s="798" t="s">
        <v>34</v>
      </c>
      <c r="B9" s="731"/>
      <c r="C9" s="419">
        <f t="shared" ref="C9:E9" ca="1" si="0">C10+C11</f>
        <v>16433900</v>
      </c>
      <c r="D9" s="264">
        <f t="shared" ca="1" si="0"/>
        <v>0</v>
      </c>
      <c r="E9" s="265">
        <f t="shared" ca="1" si="0"/>
        <v>16433900</v>
      </c>
      <c r="F9" s="266">
        <f ca="1">+F10+F11</f>
        <v>5681664.3800000008</v>
      </c>
      <c r="G9" s="267">
        <f t="shared" ref="G9:G114" ca="1" si="1">IF(C9&gt;0,F9*100/C9,0)</f>
        <v>34.57283042978235</v>
      </c>
      <c r="H9" s="270">
        <f t="shared" ref="H9:I9" ca="1" si="2">SUM(L9,P9)</f>
        <v>200000</v>
      </c>
      <c r="I9" s="271">
        <f t="shared" ca="1" si="2"/>
        <v>86266</v>
      </c>
      <c r="J9" s="271">
        <f ca="1">J10+J11</f>
        <v>5535</v>
      </c>
      <c r="K9" s="269">
        <f t="shared" ref="K9:K114" ca="1" si="3">IF(H9&gt;0,I9*100/H9,0)</f>
        <v>43.133000000000003</v>
      </c>
      <c r="L9" s="270">
        <f t="shared" ref="L9:N9" ca="1" si="4">L10+L11</f>
        <v>53000</v>
      </c>
      <c r="M9" s="271">
        <f t="shared" ca="1" si="4"/>
        <v>21876</v>
      </c>
      <c r="N9" s="271">
        <f t="shared" ca="1" si="4"/>
        <v>1913</v>
      </c>
      <c r="O9" s="269">
        <f t="shared" ref="O9:O114" ca="1" si="5">IF(L9&gt;0,M9*100/L9,0)</f>
        <v>41.275471698113208</v>
      </c>
      <c r="P9" s="270">
        <f t="shared" ref="P9:R9" ca="1" si="6">P10+P11</f>
        <v>147000</v>
      </c>
      <c r="Q9" s="271">
        <f t="shared" ca="1" si="6"/>
        <v>64390</v>
      </c>
      <c r="R9" s="271">
        <f t="shared" ca="1" si="6"/>
        <v>3622</v>
      </c>
      <c r="S9" s="595">
        <f t="shared" ref="S9:S114" ca="1" si="7">IF(P9&gt;0,Q9*100/P9,0)</f>
        <v>43.802721088435376</v>
      </c>
      <c r="T9" s="351"/>
      <c r="U9" s="351"/>
      <c r="V9" s="351"/>
      <c r="W9" s="351"/>
      <c r="X9" s="351"/>
      <c r="Y9" s="351"/>
      <c r="Z9" s="351"/>
    </row>
    <row r="10" spans="1:26" ht="24" customHeight="1">
      <c r="A10" s="273" t="s">
        <v>35</v>
      </c>
      <c r="B10" s="274"/>
      <c r="C10" s="384">
        <f t="shared" ref="C10:F10" ca="1" si="8">+C15+C33+C54+C76</f>
        <v>3308000</v>
      </c>
      <c r="D10" s="276">
        <f t="shared" ca="1" si="8"/>
        <v>0</v>
      </c>
      <c r="E10" s="276">
        <f t="shared" ca="1" si="8"/>
        <v>3308000</v>
      </c>
      <c r="F10" s="276">
        <f t="shared" ca="1" si="8"/>
        <v>1707124.4100000001</v>
      </c>
      <c r="G10" s="277">
        <f t="shared" ca="1" si="1"/>
        <v>51.605937424425633</v>
      </c>
      <c r="H10" s="279">
        <f t="shared" ref="H10:I10" ca="1" si="9">SUM(L10,P10)</f>
        <v>53000</v>
      </c>
      <c r="I10" s="279">
        <f t="shared" ca="1" si="9"/>
        <v>21876</v>
      </c>
      <c r="J10" s="279">
        <f ca="1">+J15+J33+J54+J76</f>
        <v>1913</v>
      </c>
      <c r="K10" s="278">
        <f t="shared" ca="1" si="3"/>
        <v>41.275471698113208</v>
      </c>
      <c r="L10" s="279">
        <f t="shared" ref="L10:N10" ca="1" si="10">+L15+L33+L54+L76</f>
        <v>53000</v>
      </c>
      <c r="M10" s="279">
        <f t="shared" ca="1" si="10"/>
        <v>21876</v>
      </c>
      <c r="N10" s="279">
        <f t="shared" ca="1" si="10"/>
        <v>1913</v>
      </c>
      <c r="O10" s="278">
        <f t="shared" ca="1" si="5"/>
        <v>41.275471698113208</v>
      </c>
      <c r="P10" s="279">
        <v>0</v>
      </c>
      <c r="Q10" s="279">
        <v>0</v>
      </c>
      <c r="R10" s="279">
        <f ca="1">+R15+R33+R54+R76</f>
        <v>0</v>
      </c>
      <c r="S10" s="356">
        <f t="shared" si="7"/>
        <v>0</v>
      </c>
      <c r="T10" s="353"/>
      <c r="U10" s="353"/>
      <c r="V10" s="353"/>
      <c r="W10" s="353"/>
      <c r="X10" s="353"/>
      <c r="Y10" s="353"/>
      <c r="Z10" s="353"/>
    </row>
    <row r="11" spans="1:26" ht="24" customHeight="1">
      <c r="A11" s="281" t="s">
        <v>373</v>
      </c>
      <c r="B11" s="282"/>
      <c r="C11" s="385">
        <f t="shared" ref="C11:F11" ca="1" si="11">+C12+C13</f>
        <v>13125900</v>
      </c>
      <c r="D11" s="284">
        <f t="shared" ca="1" si="11"/>
        <v>0</v>
      </c>
      <c r="E11" s="284">
        <f t="shared" ca="1" si="11"/>
        <v>13125900</v>
      </c>
      <c r="F11" s="284">
        <f t="shared" ca="1" si="11"/>
        <v>3974539.97</v>
      </c>
      <c r="G11" s="285">
        <f t="shared" ca="1" si="1"/>
        <v>30.280132943264842</v>
      </c>
      <c r="H11" s="284">
        <f t="shared" ref="H11:H13" ca="1" si="12">SUM(L11,P11)</f>
        <v>147000</v>
      </c>
      <c r="I11" s="284">
        <f t="shared" ref="I11:J11" ca="1" si="13">+I12+I13</f>
        <v>64390</v>
      </c>
      <c r="J11" s="284">
        <f t="shared" ca="1" si="13"/>
        <v>3622</v>
      </c>
      <c r="K11" s="285">
        <f t="shared" ca="1" si="3"/>
        <v>43.802721088435376</v>
      </c>
      <c r="L11" s="284">
        <f t="shared" ref="L11:N11" ca="1" si="14">+L12+L13</f>
        <v>0</v>
      </c>
      <c r="M11" s="284">
        <f t="shared" si="14"/>
        <v>0</v>
      </c>
      <c r="N11" s="284">
        <f t="shared" si="14"/>
        <v>0</v>
      </c>
      <c r="O11" s="285">
        <f t="shared" ca="1" si="5"/>
        <v>0</v>
      </c>
      <c r="P11" s="284">
        <f t="shared" ref="P11:R11" ca="1" si="15">+P12+P13</f>
        <v>147000</v>
      </c>
      <c r="Q11" s="284">
        <f t="shared" ca="1" si="15"/>
        <v>64390</v>
      </c>
      <c r="R11" s="284">
        <f t="shared" ca="1" si="15"/>
        <v>3622</v>
      </c>
      <c r="S11" s="354">
        <f t="shared" ca="1" si="7"/>
        <v>43.802721088435376</v>
      </c>
      <c r="T11" s="353"/>
      <c r="U11" s="353"/>
      <c r="V11" s="353"/>
      <c r="W11" s="353"/>
      <c r="X11" s="353"/>
      <c r="Y11" s="353"/>
      <c r="Z11" s="353"/>
    </row>
    <row r="12" spans="1:26" ht="24" hidden="1" customHeight="1">
      <c r="A12" s="281" t="s">
        <v>36</v>
      </c>
      <c r="B12" s="282"/>
      <c r="C12" s="385">
        <f t="shared" ref="C12:F12" ca="1" si="16">+C91</f>
        <v>13125900</v>
      </c>
      <c r="D12" s="284">
        <f t="shared" ca="1" si="16"/>
        <v>0</v>
      </c>
      <c r="E12" s="284">
        <f t="shared" ca="1" si="16"/>
        <v>13125900</v>
      </c>
      <c r="F12" s="284">
        <f t="shared" ca="1" si="16"/>
        <v>3974539.97</v>
      </c>
      <c r="G12" s="285">
        <f t="shared" ca="1" si="1"/>
        <v>30.280132943264842</v>
      </c>
      <c r="H12" s="284">
        <f t="shared" ca="1" si="12"/>
        <v>147000</v>
      </c>
      <c r="I12" s="284">
        <f t="shared" ref="I12:J12" ca="1" si="17">+I91</f>
        <v>64390</v>
      </c>
      <c r="J12" s="284">
        <f t="shared" ca="1" si="17"/>
        <v>3622</v>
      </c>
      <c r="K12" s="285">
        <f t="shared" ca="1" si="3"/>
        <v>43.802721088435376</v>
      </c>
      <c r="L12" s="284">
        <f t="shared" ref="L12:N12" ca="1" si="18">+L91</f>
        <v>0</v>
      </c>
      <c r="M12" s="284">
        <f t="shared" si="18"/>
        <v>0</v>
      </c>
      <c r="N12" s="284">
        <f t="shared" si="18"/>
        <v>0</v>
      </c>
      <c r="O12" s="285">
        <f t="shared" ca="1" si="5"/>
        <v>0</v>
      </c>
      <c r="P12" s="284">
        <v>147000</v>
      </c>
      <c r="Q12" s="284">
        <f t="shared" ref="Q12:R12" ca="1" si="19">+Q91</f>
        <v>64390</v>
      </c>
      <c r="R12" s="284">
        <f t="shared" ca="1" si="19"/>
        <v>3622</v>
      </c>
      <c r="S12" s="354">
        <f t="shared" ca="1" si="7"/>
        <v>43.802721088435376</v>
      </c>
      <c r="T12" s="353"/>
      <c r="U12" s="353"/>
      <c r="V12" s="353"/>
      <c r="W12" s="353"/>
      <c r="X12" s="353"/>
      <c r="Y12" s="353"/>
      <c r="Z12" s="353"/>
    </row>
    <row r="13" spans="1:26" ht="24" hidden="1" customHeight="1">
      <c r="A13" s="281" t="s">
        <v>37</v>
      </c>
      <c r="B13" s="282"/>
      <c r="C13" s="385">
        <f t="shared" ref="C13:E13" ca="1" si="20">+C106</f>
        <v>0</v>
      </c>
      <c r="D13" s="284">
        <f t="shared" ca="1" si="20"/>
        <v>0</v>
      </c>
      <c r="E13" s="284">
        <f t="shared" ca="1" si="20"/>
        <v>0</v>
      </c>
      <c r="F13" s="284"/>
      <c r="G13" s="285">
        <f t="shared" ca="1" si="1"/>
        <v>0</v>
      </c>
      <c r="H13" s="284">
        <f t="shared" ca="1" si="12"/>
        <v>0</v>
      </c>
      <c r="I13" s="284">
        <f t="shared" ref="I13:J13" si="21">+I106</f>
        <v>0</v>
      </c>
      <c r="J13" s="284">
        <f t="shared" si="21"/>
        <v>0</v>
      </c>
      <c r="K13" s="285">
        <f t="shared" ca="1" si="3"/>
        <v>0</v>
      </c>
      <c r="L13" s="284">
        <f t="shared" ref="L13:N13" ca="1" si="22">+L106</f>
        <v>0</v>
      </c>
      <c r="M13" s="284">
        <f t="shared" si="22"/>
        <v>0</v>
      </c>
      <c r="N13" s="284">
        <f t="shared" si="22"/>
        <v>0</v>
      </c>
      <c r="O13" s="285">
        <f t="shared" ca="1" si="5"/>
        <v>0</v>
      </c>
      <c r="P13" s="284">
        <f t="shared" ref="P13:R13" ca="1" si="23">+P106</f>
        <v>0</v>
      </c>
      <c r="Q13" s="284">
        <f t="shared" si="23"/>
        <v>0</v>
      </c>
      <c r="R13" s="284">
        <f t="shared" si="23"/>
        <v>0</v>
      </c>
      <c r="S13" s="354">
        <f t="shared" ca="1" si="7"/>
        <v>0</v>
      </c>
      <c r="T13" s="353"/>
      <c r="U13" s="353"/>
      <c r="V13" s="353"/>
      <c r="W13" s="353"/>
      <c r="X13" s="353"/>
      <c r="Y13" s="353"/>
      <c r="Z13" s="353"/>
    </row>
    <row r="14" spans="1:26" ht="24" hidden="1" customHeight="1">
      <c r="A14" s="287" t="s">
        <v>260</v>
      </c>
      <c r="B14" s="288"/>
      <c r="C14" s="386">
        <v>0</v>
      </c>
      <c r="D14" s="290">
        <v>0</v>
      </c>
      <c r="E14" s="290">
        <v>0</v>
      </c>
      <c r="F14" s="290"/>
      <c r="G14" s="291">
        <f t="shared" si="1"/>
        <v>0</v>
      </c>
      <c r="H14" s="290">
        <v>0</v>
      </c>
      <c r="I14" s="290">
        <v>0</v>
      </c>
      <c r="J14" s="290">
        <v>0</v>
      </c>
      <c r="K14" s="291">
        <f t="shared" si="3"/>
        <v>0</v>
      </c>
      <c r="L14" s="290">
        <v>0</v>
      </c>
      <c r="M14" s="290">
        <v>0</v>
      </c>
      <c r="N14" s="290">
        <v>0</v>
      </c>
      <c r="O14" s="291">
        <f t="shared" si="5"/>
        <v>0</v>
      </c>
      <c r="P14" s="290">
        <v>0</v>
      </c>
      <c r="Q14" s="290">
        <v>0</v>
      </c>
      <c r="R14" s="290">
        <v>0</v>
      </c>
      <c r="S14" s="355">
        <f t="shared" si="7"/>
        <v>0</v>
      </c>
      <c r="T14" s="353"/>
      <c r="U14" s="353"/>
      <c r="V14" s="353"/>
      <c r="W14" s="353"/>
      <c r="X14" s="353"/>
      <c r="Y14" s="353"/>
      <c r="Z14" s="353"/>
    </row>
    <row r="15" spans="1:26" ht="21" customHeight="1">
      <c r="A15" s="799" t="s">
        <v>39</v>
      </c>
      <c r="B15" s="652"/>
      <c r="C15" s="387">
        <f t="shared" ref="C15:F15" ca="1" si="24">SUM(C16:C32)</f>
        <v>1530000</v>
      </c>
      <c r="D15" s="279">
        <f t="shared" ca="1" si="24"/>
        <v>0</v>
      </c>
      <c r="E15" s="279">
        <f t="shared" ca="1" si="24"/>
        <v>1530000</v>
      </c>
      <c r="F15" s="278">
        <f t="shared" ca="1" si="24"/>
        <v>556666.59000000008</v>
      </c>
      <c r="G15" s="278">
        <f t="shared" ca="1" si="1"/>
        <v>36.383437254901963</v>
      </c>
      <c r="H15" s="279">
        <f t="shared" ref="H15:J15" ca="1" si="25">SUM(H16:H32)</f>
        <v>25000</v>
      </c>
      <c r="I15" s="279">
        <f t="shared" ca="1" si="25"/>
        <v>12800</v>
      </c>
      <c r="J15" s="279">
        <f t="shared" ca="1" si="25"/>
        <v>1313</v>
      </c>
      <c r="K15" s="278">
        <f t="shared" ca="1" si="3"/>
        <v>51.2</v>
      </c>
      <c r="L15" s="279">
        <f t="shared" ref="L15:N15" ca="1" si="26">SUM(L16:L32)</f>
        <v>25000</v>
      </c>
      <c r="M15" s="279">
        <f t="shared" ca="1" si="26"/>
        <v>12800</v>
      </c>
      <c r="N15" s="279">
        <f t="shared" ca="1" si="26"/>
        <v>1313</v>
      </c>
      <c r="O15" s="278">
        <f t="shared" ca="1" si="5"/>
        <v>51.2</v>
      </c>
      <c r="P15" s="279">
        <f t="shared" ref="P15:R15" ca="1" si="27">SUM(P16:P32)</f>
        <v>0</v>
      </c>
      <c r="Q15" s="279">
        <f t="shared" ca="1" si="27"/>
        <v>0</v>
      </c>
      <c r="R15" s="279">
        <f t="shared" ca="1" si="27"/>
        <v>0</v>
      </c>
      <c r="S15" s="356">
        <f t="shared" ca="1" si="7"/>
        <v>0</v>
      </c>
      <c r="T15" s="353"/>
      <c r="U15" s="353"/>
      <c r="V15" s="353"/>
      <c r="W15" s="353"/>
      <c r="X15" s="353"/>
      <c r="Y15" s="353"/>
      <c r="Z15" s="353"/>
    </row>
    <row r="16" spans="1:26" ht="21" customHeight="1">
      <c r="A16" s="293">
        <v>1</v>
      </c>
      <c r="B16" s="357" t="s">
        <v>40</v>
      </c>
      <c r="C16" s="388">
        <f t="shared" ref="C16:C32" ca="1" si="28">+D16+E16</f>
        <v>320000</v>
      </c>
      <c r="D16" s="296">
        <f ca="1">IFERROR(__xludf.DUMMYFUNCTION("IMPORTRANGE(""https://docs.google.com/spreadsheets/d/1C3CXT74ZlgGe6_JY_1olB1XN4rF0dxEuIIF-xsYjHgg/edit?usp=sharing"",""งบกองทุน!DT20"")"),0)</f>
        <v>0</v>
      </c>
      <c r="E16" s="296">
        <f ca="1">IFERROR(__xludf.DUMMYFUNCTION("IMPORTRANGE(""https://docs.google.com/spreadsheets/d/1C3CXT74ZlgGe6_JY_1olB1XN4rF0dxEuIIF-xsYjHgg/edit?usp=sharing"",""งบกองทุน!DU20"")"),320000)</f>
        <v>320000</v>
      </c>
      <c r="F16" s="297">
        <f ca="1">IFERROR(__xludf.DUMMYFUNCTION("IMPORTRANGE(""https://docs.google.com/spreadsheets/d/11923uPwbBZFjjGgGUA6NLw09EwE0CqkOc4q9oUmW1yo/edit?usp=sharing"",""กำแพงเพชร!M446"")"),118260.65)</f>
        <v>118260.65</v>
      </c>
      <c r="G16" s="297">
        <f t="shared" ca="1" si="1"/>
        <v>36.956453125000003</v>
      </c>
      <c r="H16" s="299">
        <f t="shared" ref="H16:J16" ca="1" si="29">SUM(L16,P16)</f>
        <v>5000</v>
      </c>
      <c r="I16" s="299">
        <f t="shared" ca="1" si="29"/>
        <v>3227</v>
      </c>
      <c r="J16" s="299">
        <f t="shared" ca="1" si="29"/>
        <v>235</v>
      </c>
      <c r="K16" s="301">
        <f t="shared" ca="1" si="3"/>
        <v>64.540000000000006</v>
      </c>
      <c r="L16" s="296">
        <f ca="1">IFERROR(__xludf.DUMMYFUNCTION("IMPORTRANGE(""https://docs.google.com/spreadsheets/d/1C3CXT74ZlgGe6_JY_1olB1XN4rF0dxEuIIF-xsYjHgg/edit?usp=sharing"",""งบกองทุน!DW20"")"),5000)</f>
        <v>5000</v>
      </c>
      <c r="M16" s="296">
        <f ca="1">IFERROR(__xludf.DUMMYFUNCTION("IMPORTRANGE(""https://docs.google.com/spreadsheets/d/11923uPwbBZFjjGgGUA6NLw09EwE0CqkOc4q9oUmW1yo/edit?usp=sharing"",""กำแพงเพชร!J455"")"),3227)</f>
        <v>3227</v>
      </c>
      <c r="N16" s="296">
        <f ca="1">IFERROR(__xludf.DUMMYFUNCTION("IMPORTRANGE(""https://docs.google.com/spreadsheets/d/11923uPwbBZFjjGgGUA6NLw09EwE0CqkOc4q9oUmW1yo/edit?usp=sharing"",""กำแพงเพชร!J456"")"),235)</f>
        <v>235</v>
      </c>
      <c r="O16" s="297">
        <f t="shared" ca="1" si="5"/>
        <v>64.540000000000006</v>
      </c>
      <c r="P16" s="296">
        <f ca="1">IFERROR(__xludf.DUMMYFUNCTION("IMPORTRANGE(""https://docs.google.com/spreadsheets/d/1C3CXT74ZlgGe6_JY_1olB1XN4rF0dxEuIIF-xsYjHgg/edit?usp=sharing"",""งบกองทุน!DY20"")"),0)</f>
        <v>0</v>
      </c>
      <c r="Q16" s="296" t="str">
        <f ca="1">IFERROR(__xludf.DUMMYFUNCTION("IMPORTRANGE(""https://docs.google.com/spreadsheets/d/11923uPwbBZFjjGgGUA6NLw09EwE0CqkOc4q9oUmW1yo/edit?usp=sharing"",""กำแพงเพชร!J457"")"),"")</f>
        <v/>
      </c>
      <c r="R16" s="296" t="str">
        <f ca="1">IFERROR(__xludf.DUMMYFUNCTION("IMPORTRANGE(""https://docs.google.com/spreadsheets/d/11923uPwbBZFjjGgGUA6NLw09EwE0CqkOc4q9oUmW1yo/edit?usp=sharing"",""กำแพงเพชร!J458"")"),"")</f>
        <v/>
      </c>
      <c r="S16" s="358">
        <f t="shared" ca="1" si="7"/>
        <v>0</v>
      </c>
      <c r="T16" s="339"/>
      <c r="U16" s="339"/>
      <c r="V16" s="339"/>
      <c r="W16" s="339"/>
      <c r="X16" s="339"/>
      <c r="Y16" s="339"/>
      <c r="Z16" s="339"/>
    </row>
    <row r="17" spans="1:26" ht="24" customHeight="1">
      <c r="A17" s="303">
        <v>2</v>
      </c>
      <c r="B17" s="304" t="s">
        <v>41</v>
      </c>
      <c r="C17" s="391">
        <f t="shared" ca="1" si="28"/>
        <v>0</v>
      </c>
      <c r="D17" s="306">
        <f ca="1">IFERROR(__xludf.DUMMYFUNCTION("IMPORTRANGE(""https://docs.google.com/spreadsheets/d/1C3CXT74ZlgGe6_JY_1olB1XN4rF0dxEuIIF-xsYjHgg/edit?usp=sharing"",""งบกองทุน!DT21"")"),0)</f>
        <v>0</v>
      </c>
      <c r="E17" s="306">
        <f ca="1">IFERROR(__xludf.DUMMYFUNCTION("IMPORTRANGE(""https://docs.google.com/spreadsheets/d/1C3CXT74ZlgGe6_JY_1olB1XN4rF0dxEuIIF-xsYjHgg/edit?usp=sharing"",""งบกองทุน!DU21"")"),0)</f>
        <v>0</v>
      </c>
      <c r="F17" s="307">
        <f ca="1">IFERROR(__xludf.DUMMYFUNCTION("IMPORTRANGE(""https://docs.google.com/spreadsheets/d/11923uPwbBZFjjGgGUA6NLw09EwE0CqkOc4q9oUmW1yo/edit?usp=sharing"",""เชียงราย!M446"")"),0)</f>
        <v>0</v>
      </c>
      <c r="G17" s="307">
        <f t="shared" ca="1" si="1"/>
        <v>0</v>
      </c>
      <c r="H17" s="308">
        <f t="shared" ref="H17:J17" ca="1" si="30">SUM(L17,P17)</f>
        <v>0</v>
      </c>
      <c r="I17" s="308">
        <f t="shared" ca="1" si="30"/>
        <v>0</v>
      </c>
      <c r="J17" s="308">
        <f t="shared" ca="1" si="30"/>
        <v>0</v>
      </c>
      <c r="K17" s="309">
        <f t="shared" ca="1" si="3"/>
        <v>0</v>
      </c>
      <c r="L17" s="306">
        <f ca="1">IFERROR(__xludf.DUMMYFUNCTION("IMPORTRANGE(""https://docs.google.com/spreadsheets/d/1C3CXT74ZlgGe6_JY_1olB1XN4rF0dxEuIIF-xsYjHgg/edit?usp=sharing"",""งบกองทุน!DW21"")"),0)</f>
        <v>0</v>
      </c>
      <c r="M17" s="306">
        <f ca="1">IFERROR(__xludf.DUMMYFUNCTION("IMPORTRANGE(""https://docs.google.com/spreadsheets/d/11923uPwbBZFjjGgGUA6NLw09EwE0CqkOc4q9oUmW1yo/edit?usp=sharing"",""เชียงราย!J455"")"),0)</f>
        <v>0</v>
      </c>
      <c r="N17" s="306">
        <f ca="1">IFERROR(__xludf.DUMMYFUNCTION("IMPORTRANGE(""https://docs.google.com/spreadsheets/d/11923uPwbBZFjjGgGUA6NLw09EwE0CqkOc4q9oUmW1yo/edit?usp=sharing"",""เชียงราย!J456"")"),0)</f>
        <v>0</v>
      </c>
      <c r="O17" s="307">
        <f t="shared" ca="1" si="5"/>
        <v>0</v>
      </c>
      <c r="P17" s="306">
        <f ca="1">IFERROR(__xludf.DUMMYFUNCTION("IMPORTRANGE(""https://docs.google.com/spreadsheets/d/1C3CXT74ZlgGe6_JY_1olB1XN4rF0dxEuIIF-xsYjHgg/edit?usp=sharing"",""งบกองทุน!DY21"")"),0)</f>
        <v>0</v>
      </c>
      <c r="Q17" s="306" t="str">
        <f ca="1">IFERROR(__xludf.DUMMYFUNCTION("IMPORTRANGE(""https://docs.google.com/spreadsheets/d/11923uPwbBZFjjGgGUA6NLw09EwE0CqkOc4q9oUmW1yo/edit?usp=sharing"",""เชียงราย!J457"")"),"")</f>
        <v/>
      </c>
      <c r="R17" s="306" t="str">
        <f ca="1">IFERROR(__xludf.DUMMYFUNCTION("IMPORTRANGE(""https://docs.google.com/spreadsheets/d/11923uPwbBZFjjGgGUA6NLw09EwE0CqkOc4q9oUmW1yo/edit?usp=sharing"",""เชียงราย!J458"")"),"")</f>
        <v/>
      </c>
      <c r="S17" s="359">
        <f t="shared" ca="1" si="7"/>
        <v>0</v>
      </c>
      <c r="T17" s="339"/>
      <c r="U17" s="339"/>
      <c r="V17" s="339"/>
      <c r="W17" s="339"/>
      <c r="X17" s="339"/>
      <c r="Y17" s="339"/>
      <c r="Z17" s="339"/>
    </row>
    <row r="18" spans="1:26" ht="21" customHeight="1">
      <c r="A18" s="303">
        <v>3</v>
      </c>
      <c r="B18" s="304" t="s">
        <v>42</v>
      </c>
      <c r="C18" s="391">
        <f t="shared" ca="1" si="28"/>
        <v>188000</v>
      </c>
      <c r="D18" s="306">
        <f ca="1">IFERROR(__xludf.DUMMYFUNCTION("IMPORTRANGE(""https://docs.google.com/spreadsheets/d/1C3CXT74ZlgGe6_JY_1olB1XN4rF0dxEuIIF-xsYjHgg/edit?usp=sharing"",""งบกองทุน!DT22"")"),0)</f>
        <v>0</v>
      </c>
      <c r="E18" s="306">
        <f ca="1">IFERROR(__xludf.DUMMYFUNCTION("IMPORTRANGE(""https://docs.google.com/spreadsheets/d/1C3CXT74ZlgGe6_JY_1olB1XN4rF0dxEuIIF-xsYjHgg/edit?usp=sharing"",""งบกองทุน!DU22"")"),188000)</f>
        <v>188000</v>
      </c>
      <c r="F18" s="307">
        <f ca="1">IFERROR(__xludf.DUMMYFUNCTION("IMPORTRANGE(""https://docs.google.com/spreadsheets/d/11923uPwbBZFjjGgGUA6NLw09EwE0CqkOc4q9oUmW1yo/edit?usp=sharing"",""เชียงใหม่!M446"")"),56199.3)</f>
        <v>56199.3</v>
      </c>
      <c r="G18" s="307">
        <f t="shared" ca="1" si="1"/>
        <v>29.893244680851065</v>
      </c>
      <c r="H18" s="308">
        <f t="shared" ref="H18:J18" ca="1" si="31">SUM(L18,P18)</f>
        <v>3000</v>
      </c>
      <c r="I18" s="308">
        <f t="shared" ca="1" si="31"/>
        <v>1372</v>
      </c>
      <c r="J18" s="308">
        <f t="shared" ca="1" si="31"/>
        <v>258</v>
      </c>
      <c r="K18" s="309">
        <f t="shared" ca="1" si="3"/>
        <v>45.733333333333334</v>
      </c>
      <c r="L18" s="306">
        <f ca="1">IFERROR(__xludf.DUMMYFUNCTION("IMPORTRANGE(""https://docs.google.com/spreadsheets/d/1C3CXT74ZlgGe6_JY_1olB1XN4rF0dxEuIIF-xsYjHgg/edit?usp=sharing"",""งบกองทุน!DW22"")"),3000)</f>
        <v>3000</v>
      </c>
      <c r="M18" s="306">
        <f ca="1">IFERROR(__xludf.DUMMYFUNCTION("IMPORTRANGE(""https://docs.google.com/spreadsheets/d/11923uPwbBZFjjGgGUA6NLw09EwE0CqkOc4q9oUmW1yo/edit?usp=sharing"",""เชียงใหม่!J455"")"),1372)</f>
        <v>1372</v>
      </c>
      <c r="N18" s="306">
        <f ca="1">IFERROR(__xludf.DUMMYFUNCTION("IMPORTRANGE(""https://docs.google.com/spreadsheets/d/11923uPwbBZFjjGgGUA6NLw09EwE0CqkOc4q9oUmW1yo/edit?usp=sharing"",""เชียงใหม่!J456"")"),258)</f>
        <v>258</v>
      </c>
      <c r="O18" s="307">
        <f t="shared" ca="1" si="5"/>
        <v>45.733333333333334</v>
      </c>
      <c r="P18" s="306">
        <f ca="1">IFERROR(__xludf.DUMMYFUNCTION("IMPORTRANGE(""https://docs.google.com/spreadsheets/d/1C3CXT74ZlgGe6_JY_1olB1XN4rF0dxEuIIF-xsYjHgg/edit?usp=sharing"",""งบกองทุน!DY22"")"),0)</f>
        <v>0</v>
      </c>
      <c r="Q18" s="306" t="str">
        <f ca="1">IFERROR(__xludf.DUMMYFUNCTION("IMPORTRANGE(""https://docs.google.com/spreadsheets/d/11923uPwbBZFjjGgGUA6NLw09EwE0CqkOc4q9oUmW1yo/edit?usp=sharing"",""เชียงใหม่!J457"")"),"")</f>
        <v/>
      </c>
      <c r="R18" s="306" t="str">
        <f ca="1">IFERROR(__xludf.DUMMYFUNCTION("IMPORTRANGE(""https://docs.google.com/spreadsheets/d/11923uPwbBZFjjGgGUA6NLw09EwE0CqkOc4q9oUmW1yo/edit?usp=sharing"",""เชียงใหม่!J458"")"),"")</f>
        <v/>
      </c>
      <c r="S18" s="359">
        <f t="shared" ca="1" si="7"/>
        <v>0</v>
      </c>
      <c r="T18" s="339"/>
      <c r="U18" s="339"/>
      <c r="V18" s="339"/>
      <c r="W18" s="339"/>
      <c r="X18" s="339"/>
      <c r="Y18" s="339"/>
      <c r="Z18" s="339"/>
    </row>
    <row r="19" spans="1:26" ht="24" customHeight="1">
      <c r="A19" s="303">
        <v>4</v>
      </c>
      <c r="B19" s="304" t="s">
        <v>43</v>
      </c>
      <c r="C19" s="391">
        <f t="shared" ca="1" si="28"/>
        <v>0</v>
      </c>
      <c r="D19" s="306">
        <f ca="1">IFERROR(__xludf.DUMMYFUNCTION("IMPORTRANGE(""https://docs.google.com/spreadsheets/d/1C3CXT74ZlgGe6_JY_1olB1XN4rF0dxEuIIF-xsYjHgg/edit?usp=sharing"",""งบกองทุน!DT23"")"),0)</f>
        <v>0</v>
      </c>
      <c r="E19" s="306">
        <f ca="1">IFERROR(__xludf.DUMMYFUNCTION("IMPORTRANGE(""https://docs.google.com/spreadsheets/d/1C3CXT74ZlgGe6_JY_1olB1XN4rF0dxEuIIF-xsYjHgg/edit?usp=sharing"",""งบกองทุน!DU23"")"),0)</f>
        <v>0</v>
      </c>
      <c r="F19" s="307">
        <f ca="1">IFERROR(__xludf.DUMMYFUNCTION("IMPORTRANGE(""https://docs.google.com/spreadsheets/d/11923uPwbBZFjjGgGUA6NLw09EwE0CqkOc4q9oUmW1yo/edit?usp=sharing"",""ตาก!M446"")"),0)</f>
        <v>0</v>
      </c>
      <c r="G19" s="307">
        <f t="shared" ca="1" si="1"/>
        <v>0</v>
      </c>
      <c r="H19" s="308">
        <f t="shared" ref="H19:J19" ca="1" si="32">SUM(L19,P19)</f>
        <v>0</v>
      </c>
      <c r="I19" s="308">
        <f t="shared" ca="1" si="32"/>
        <v>0</v>
      </c>
      <c r="J19" s="308">
        <f t="shared" ca="1" si="32"/>
        <v>0</v>
      </c>
      <c r="K19" s="309">
        <f t="shared" ca="1" si="3"/>
        <v>0</v>
      </c>
      <c r="L19" s="306">
        <f ca="1">IFERROR(__xludf.DUMMYFUNCTION("IMPORTRANGE(""https://docs.google.com/spreadsheets/d/1C3CXT74ZlgGe6_JY_1olB1XN4rF0dxEuIIF-xsYjHgg/edit?usp=sharing"",""งบกองทุน!DW23"")"),0)</f>
        <v>0</v>
      </c>
      <c r="M19" s="306">
        <f ca="1">IFERROR(__xludf.DUMMYFUNCTION("IMPORTRANGE(""https://docs.google.com/spreadsheets/d/11923uPwbBZFjjGgGUA6NLw09EwE0CqkOc4q9oUmW1yo/edit?usp=sharing"",""ตาก!J455"")"),0)</f>
        <v>0</v>
      </c>
      <c r="N19" s="306">
        <f ca="1">IFERROR(__xludf.DUMMYFUNCTION("IMPORTRANGE(""https://docs.google.com/spreadsheets/d/11923uPwbBZFjjGgGUA6NLw09EwE0CqkOc4q9oUmW1yo/edit?usp=sharing"",""ตาก!J456"")"),0)</f>
        <v>0</v>
      </c>
      <c r="O19" s="307">
        <f t="shared" ca="1" si="5"/>
        <v>0</v>
      </c>
      <c r="P19" s="306">
        <f ca="1">IFERROR(__xludf.DUMMYFUNCTION("IMPORTRANGE(""https://docs.google.com/spreadsheets/d/1C3CXT74ZlgGe6_JY_1olB1XN4rF0dxEuIIF-xsYjHgg/edit?usp=sharing"",""งบกองทุน!DY23"")"),0)</f>
        <v>0</v>
      </c>
      <c r="Q19" s="306" t="str">
        <f ca="1">IFERROR(__xludf.DUMMYFUNCTION("IMPORTRANGE(""https://docs.google.com/spreadsheets/d/11923uPwbBZFjjGgGUA6NLw09EwE0CqkOc4q9oUmW1yo/edit?usp=sharing"",""ตาก!J457"")"),"")</f>
        <v/>
      </c>
      <c r="R19" s="306" t="str">
        <f ca="1">IFERROR(__xludf.DUMMYFUNCTION("IMPORTRANGE(""https://docs.google.com/spreadsheets/d/11923uPwbBZFjjGgGUA6NLw09EwE0CqkOc4q9oUmW1yo/edit?usp=sharing"",""ตาก!J458"")"),"")</f>
        <v/>
      </c>
      <c r="S19" s="359">
        <f t="shared" ca="1" si="7"/>
        <v>0</v>
      </c>
      <c r="T19" s="339"/>
      <c r="U19" s="339"/>
      <c r="V19" s="339"/>
      <c r="W19" s="339"/>
      <c r="X19" s="339"/>
      <c r="Y19" s="339"/>
      <c r="Z19" s="339"/>
    </row>
    <row r="20" spans="1:26" ht="21" customHeight="1">
      <c r="A20" s="303">
        <v>5</v>
      </c>
      <c r="B20" s="304" t="s">
        <v>44</v>
      </c>
      <c r="C20" s="391">
        <f t="shared" ca="1" si="28"/>
        <v>0</v>
      </c>
      <c r="D20" s="306">
        <f ca="1">IFERROR(__xludf.DUMMYFUNCTION("IMPORTRANGE(""https://docs.google.com/spreadsheets/d/1C3CXT74ZlgGe6_JY_1olB1XN4rF0dxEuIIF-xsYjHgg/edit?usp=sharing"",""งบกองทุน!DT24"")"),0)</f>
        <v>0</v>
      </c>
      <c r="E20" s="306">
        <f ca="1">IFERROR(__xludf.DUMMYFUNCTION("IMPORTRANGE(""https://docs.google.com/spreadsheets/d/1C3CXT74ZlgGe6_JY_1olB1XN4rF0dxEuIIF-xsYjHgg/edit?usp=sharing"",""งบกองทุน!DU24"")"),0)</f>
        <v>0</v>
      </c>
      <c r="F20" s="307">
        <f ca="1">IFERROR(__xludf.DUMMYFUNCTION("IMPORTRANGE(""https://docs.google.com/spreadsheets/d/11923uPwbBZFjjGgGUA6NLw09EwE0CqkOc4q9oUmW1yo/edit?usp=sharing"",""นครสวรรค์!M446"")"),0)</f>
        <v>0</v>
      </c>
      <c r="G20" s="307">
        <f t="shared" ca="1" si="1"/>
        <v>0</v>
      </c>
      <c r="H20" s="308">
        <f t="shared" ref="H20:J20" ca="1" si="33">SUM(L20,P20)</f>
        <v>0</v>
      </c>
      <c r="I20" s="308">
        <f t="shared" ca="1" si="33"/>
        <v>0</v>
      </c>
      <c r="J20" s="308">
        <f t="shared" ca="1" si="33"/>
        <v>0</v>
      </c>
      <c r="K20" s="309">
        <f t="shared" ca="1" si="3"/>
        <v>0</v>
      </c>
      <c r="L20" s="306">
        <f ca="1">IFERROR(__xludf.DUMMYFUNCTION("IMPORTRANGE(""https://docs.google.com/spreadsheets/d/1C3CXT74ZlgGe6_JY_1olB1XN4rF0dxEuIIF-xsYjHgg/edit?usp=sharing"",""งบกองทุน!DW24"")"),0)</f>
        <v>0</v>
      </c>
      <c r="M20" s="306">
        <f ca="1">IFERROR(__xludf.DUMMYFUNCTION("IMPORTRANGE(""https://docs.google.com/spreadsheets/d/11923uPwbBZFjjGgGUA6NLw09EwE0CqkOc4q9oUmW1yo/edit?usp=sharing"",""นครสวรรค์!J455"")"),0)</f>
        <v>0</v>
      </c>
      <c r="N20" s="306">
        <f ca="1">IFERROR(__xludf.DUMMYFUNCTION("IMPORTRANGE(""https://docs.google.com/spreadsheets/d/11923uPwbBZFjjGgGUA6NLw09EwE0CqkOc4q9oUmW1yo/edit?usp=sharing"",""นครสวรรค์!J456"")"),0)</f>
        <v>0</v>
      </c>
      <c r="O20" s="307">
        <f t="shared" ca="1" si="5"/>
        <v>0</v>
      </c>
      <c r="P20" s="306">
        <f ca="1">IFERROR(__xludf.DUMMYFUNCTION("IMPORTRANGE(""https://docs.google.com/spreadsheets/d/1C3CXT74ZlgGe6_JY_1olB1XN4rF0dxEuIIF-xsYjHgg/edit?usp=sharing"",""งบกองทุน!DY24"")"),0)</f>
        <v>0</v>
      </c>
      <c r="Q20" s="306" t="str">
        <f ca="1">IFERROR(__xludf.DUMMYFUNCTION("IMPORTRANGE(""https://docs.google.com/spreadsheets/d/11923uPwbBZFjjGgGUA6NLw09EwE0CqkOc4q9oUmW1yo/edit?usp=sharing"",""นครสวรรค์!J457"")"),"")</f>
        <v/>
      </c>
      <c r="R20" s="306" t="str">
        <f ca="1">IFERROR(__xludf.DUMMYFUNCTION("IMPORTRANGE(""https://docs.google.com/spreadsheets/d/11923uPwbBZFjjGgGUA6NLw09EwE0CqkOc4q9oUmW1yo/edit?usp=sharing"",""นครสวรรค์!J458"")"),"")</f>
        <v/>
      </c>
      <c r="S20" s="359">
        <f t="shared" ca="1" si="7"/>
        <v>0</v>
      </c>
      <c r="T20" s="339"/>
      <c r="U20" s="339"/>
      <c r="V20" s="339"/>
      <c r="W20" s="339"/>
      <c r="X20" s="339"/>
      <c r="Y20" s="339"/>
      <c r="Z20" s="339"/>
    </row>
    <row r="21" spans="1:26" ht="21" customHeight="1">
      <c r="A21" s="303">
        <v>6</v>
      </c>
      <c r="B21" s="304" t="s">
        <v>45</v>
      </c>
      <c r="C21" s="391">
        <f t="shared" ca="1" si="28"/>
        <v>0</v>
      </c>
      <c r="D21" s="306">
        <f ca="1">IFERROR(__xludf.DUMMYFUNCTION("IMPORTRANGE(""https://docs.google.com/spreadsheets/d/1C3CXT74ZlgGe6_JY_1olB1XN4rF0dxEuIIF-xsYjHgg/edit?usp=sharing"",""งบกองทุน!DT25"")"),0)</f>
        <v>0</v>
      </c>
      <c r="E21" s="306">
        <f ca="1">IFERROR(__xludf.DUMMYFUNCTION("IMPORTRANGE(""https://docs.google.com/spreadsheets/d/1C3CXT74ZlgGe6_JY_1olB1XN4rF0dxEuIIF-xsYjHgg/edit?usp=sharing"",""งบกองทุน!DU25"")"),0)</f>
        <v>0</v>
      </c>
      <c r="F21" s="307">
        <f ca="1">IFERROR(__xludf.DUMMYFUNCTION("IMPORTRANGE(""https://docs.google.com/spreadsheets/d/11923uPwbBZFjjGgGUA6NLw09EwE0CqkOc4q9oUmW1yo/edit?usp=sharing"",""น่าน!M446"")"),0)</f>
        <v>0</v>
      </c>
      <c r="G21" s="307">
        <f t="shared" ca="1" si="1"/>
        <v>0</v>
      </c>
      <c r="H21" s="308">
        <f t="shared" ref="H21:J21" ca="1" si="34">SUM(L21,P21)</f>
        <v>0</v>
      </c>
      <c r="I21" s="308">
        <f t="shared" ca="1" si="34"/>
        <v>0</v>
      </c>
      <c r="J21" s="308">
        <f t="shared" ca="1" si="34"/>
        <v>0</v>
      </c>
      <c r="K21" s="309">
        <f t="shared" ca="1" si="3"/>
        <v>0</v>
      </c>
      <c r="L21" s="306">
        <f ca="1">IFERROR(__xludf.DUMMYFUNCTION("IMPORTRANGE(""https://docs.google.com/spreadsheets/d/1C3CXT74ZlgGe6_JY_1olB1XN4rF0dxEuIIF-xsYjHgg/edit?usp=sharing"",""งบกองทุน!DW25"")"),0)</f>
        <v>0</v>
      </c>
      <c r="M21" s="306">
        <f ca="1">IFERROR(__xludf.DUMMYFUNCTION("IMPORTRANGE(""https://docs.google.com/spreadsheets/d/11923uPwbBZFjjGgGUA6NLw09EwE0CqkOc4q9oUmW1yo/edit?usp=sharing"",""น่าน!J455"")"),0)</f>
        <v>0</v>
      </c>
      <c r="N21" s="306">
        <f ca="1">IFERROR(__xludf.DUMMYFUNCTION("IMPORTRANGE(""https://docs.google.com/spreadsheets/d/11923uPwbBZFjjGgGUA6NLw09EwE0CqkOc4q9oUmW1yo/edit?usp=sharing"",""น่าน!J456"")"),0)</f>
        <v>0</v>
      </c>
      <c r="O21" s="307">
        <f t="shared" ca="1" si="5"/>
        <v>0</v>
      </c>
      <c r="P21" s="306">
        <f ca="1">IFERROR(__xludf.DUMMYFUNCTION("IMPORTRANGE(""https://docs.google.com/spreadsheets/d/1C3CXT74ZlgGe6_JY_1olB1XN4rF0dxEuIIF-xsYjHgg/edit?usp=sharing"",""งบกองทุน!DY25"")"),0)</f>
        <v>0</v>
      </c>
      <c r="Q21" s="306" t="str">
        <f ca="1">IFERROR(__xludf.DUMMYFUNCTION("IMPORTRANGE(""https://docs.google.com/spreadsheets/d/11923uPwbBZFjjGgGUA6NLw09EwE0CqkOc4q9oUmW1yo/edit?usp=sharing"",""น่าน!J457"")"),"")</f>
        <v/>
      </c>
      <c r="R21" s="306" t="str">
        <f ca="1">IFERROR(__xludf.DUMMYFUNCTION("IMPORTRANGE(""https://docs.google.com/spreadsheets/d/11923uPwbBZFjjGgGUA6NLw09EwE0CqkOc4q9oUmW1yo/edit?usp=sharing"",""น่าน!J458"")"),"")</f>
        <v/>
      </c>
      <c r="S21" s="359">
        <f t="shared" ca="1" si="7"/>
        <v>0</v>
      </c>
      <c r="T21" s="339"/>
      <c r="U21" s="339"/>
      <c r="V21" s="339"/>
      <c r="W21" s="339"/>
      <c r="X21" s="339"/>
      <c r="Y21" s="339"/>
      <c r="Z21" s="339"/>
    </row>
    <row r="22" spans="1:26" ht="21" customHeight="1">
      <c r="A22" s="303">
        <v>7</v>
      </c>
      <c r="B22" s="304" t="s">
        <v>46</v>
      </c>
      <c r="C22" s="391">
        <f t="shared" ca="1" si="28"/>
        <v>0</v>
      </c>
      <c r="D22" s="306">
        <f ca="1">IFERROR(__xludf.DUMMYFUNCTION("IMPORTRANGE(""https://docs.google.com/spreadsheets/d/1C3CXT74ZlgGe6_JY_1olB1XN4rF0dxEuIIF-xsYjHgg/edit?usp=sharing"",""งบกองทุน!DT26"")"),0)</f>
        <v>0</v>
      </c>
      <c r="E22" s="306">
        <f ca="1">IFERROR(__xludf.DUMMYFUNCTION("IMPORTRANGE(""https://docs.google.com/spreadsheets/d/1C3CXT74ZlgGe6_JY_1olB1XN4rF0dxEuIIF-xsYjHgg/edit?usp=sharing"",""งบกองทุน!DU26"")"),0)</f>
        <v>0</v>
      </c>
      <c r="F22" s="307">
        <f ca="1">IFERROR(__xludf.DUMMYFUNCTION("IMPORTRANGE(""https://docs.google.com/spreadsheets/d/11923uPwbBZFjjGgGUA6NLw09EwE0CqkOc4q9oUmW1yo/edit?usp=sharing"",""พะเยา!M446"")"),0)</f>
        <v>0</v>
      </c>
      <c r="G22" s="307">
        <f t="shared" ca="1" si="1"/>
        <v>0</v>
      </c>
      <c r="H22" s="308">
        <f t="shared" ref="H22:J22" ca="1" si="35">SUM(L22,P22)</f>
        <v>0</v>
      </c>
      <c r="I22" s="308">
        <f t="shared" ca="1" si="35"/>
        <v>0</v>
      </c>
      <c r="J22" s="308">
        <f t="shared" ca="1" si="35"/>
        <v>0</v>
      </c>
      <c r="K22" s="309">
        <f t="shared" ca="1" si="3"/>
        <v>0</v>
      </c>
      <c r="L22" s="306">
        <f ca="1">IFERROR(__xludf.DUMMYFUNCTION("IMPORTRANGE(""https://docs.google.com/spreadsheets/d/1C3CXT74ZlgGe6_JY_1olB1XN4rF0dxEuIIF-xsYjHgg/edit?usp=sharing"",""งบกองทุน!DW26"")"),0)</f>
        <v>0</v>
      </c>
      <c r="M22" s="306">
        <f ca="1">IFERROR(__xludf.DUMMYFUNCTION("IMPORTRANGE(""https://docs.google.com/spreadsheets/d/11923uPwbBZFjjGgGUA6NLw09EwE0CqkOc4q9oUmW1yo/edit?usp=sharing"",""พะเยา!J455"")"),0)</f>
        <v>0</v>
      </c>
      <c r="N22" s="306">
        <f ca="1">IFERROR(__xludf.DUMMYFUNCTION("IMPORTRANGE(""https://docs.google.com/spreadsheets/d/11923uPwbBZFjjGgGUA6NLw09EwE0CqkOc4q9oUmW1yo/edit?usp=sharing"",""พะเยา!J456"")"),0)</f>
        <v>0</v>
      </c>
      <c r="O22" s="307">
        <f t="shared" ca="1" si="5"/>
        <v>0</v>
      </c>
      <c r="P22" s="306">
        <f ca="1">IFERROR(__xludf.DUMMYFUNCTION("IMPORTRANGE(""https://docs.google.com/spreadsheets/d/1C3CXT74ZlgGe6_JY_1olB1XN4rF0dxEuIIF-xsYjHgg/edit?usp=sharing"",""งบกองทุน!DY26"")"),0)</f>
        <v>0</v>
      </c>
      <c r="Q22" s="306" t="str">
        <f ca="1">IFERROR(__xludf.DUMMYFUNCTION("IMPORTRANGE(""https://docs.google.com/spreadsheets/d/11923uPwbBZFjjGgGUA6NLw09EwE0CqkOc4q9oUmW1yo/edit?usp=sharing"",""พะเยา!J457"")"),"")</f>
        <v/>
      </c>
      <c r="R22" s="306" t="str">
        <f ca="1">IFERROR(__xludf.DUMMYFUNCTION("IMPORTRANGE(""https://docs.google.com/spreadsheets/d/11923uPwbBZFjjGgGUA6NLw09EwE0CqkOc4q9oUmW1yo/edit?usp=sharing"",""พะเยา!J458"")"),"")</f>
        <v/>
      </c>
      <c r="S22" s="359">
        <f t="shared" ca="1" si="7"/>
        <v>0</v>
      </c>
      <c r="T22" s="339"/>
      <c r="U22" s="339"/>
      <c r="V22" s="339"/>
      <c r="W22" s="339"/>
      <c r="X22" s="339"/>
      <c r="Y22" s="339"/>
      <c r="Z22" s="339"/>
    </row>
    <row r="23" spans="1:26" ht="21" customHeight="1">
      <c r="A23" s="303">
        <v>8</v>
      </c>
      <c r="B23" s="304" t="s">
        <v>47</v>
      </c>
      <c r="C23" s="391">
        <f t="shared" ca="1" si="28"/>
        <v>0</v>
      </c>
      <c r="D23" s="306">
        <f ca="1">IFERROR(__xludf.DUMMYFUNCTION("IMPORTRANGE(""https://docs.google.com/spreadsheets/d/1C3CXT74ZlgGe6_JY_1olB1XN4rF0dxEuIIF-xsYjHgg/edit?usp=sharing"",""งบกองทุน!DT27"")"),0)</f>
        <v>0</v>
      </c>
      <c r="E23" s="306">
        <f ca="1">IFERROR(__xludf.DUMMYFUNCTION("IMPORTRANGE(""https://docs.google.com/spreadsheets/d/1C3CXT74ZlgGe6_JY_1olB1XN4rF0dxEuIIF-xsYjHgg/edit?usp=sharing"",""งบกองทุน!DU27"")"),0)</f>
        <v>0</v>
      </c>
      <c r="F23" s="307">
        <f ca="1">IFERROR(__xludf.DUMMYFUNCTION("IMPORTRANGE(""https://docs.google.com/spreadsheets/d/11923uPwbBZFjjGgGUA6NLw09EwE0CqkOc4q9oUmW1yo/edit?usp=sharing"",""พิจิตร!M446"")"),0)</f>
        <v>0</v>
      </c>
      <c r="G23" s="307">
        <f t="shared" ca="1" si="1"/>
        <v>0</v>
      </c>
      <c r="H23" s="308">
        <f t="shared" ref="H23:J23" ca="1" si="36">SUM(L23,P23)</f>
        <v>0</v>
      </c>
      <c r="I23" s="308">
        <f t="shared" ca="1" si="36"/>
        <v>0</v>
      </c>
      <c r="J23" s="308">
        <f t="shared" ca="1" si="36"/>
        <v>0</v>
      </c>
      <c r="K23" s="309">
        <f t="shared" ca="1" si="3"/>
        <v>0</v>
      </c>
      <c r="L23" s="306">
        <f ca="1">IFERROR(__xludf.DUMMYFUNCTION("IMPORTRANGE(""https://docs.google.com/spreadsheets/d/1C3CXT74ZlgGe6_JY_1olB1XN4rF0dxEuIIF-xsYjHgg/edit?usp=sharing"",""งบกองทุน!DW27"")"),0)</f>
        <v>0</v>
      </c>
      <c r="M23" s="306">
        <f ca="1">IFERROR(__xludf.DUMMYFUNCTION("IMPORTRANGE(""https://docs.google.com/spreadsheets/d/11923uPwbBZFjjGgGUA6NLw09EwE0CqkOc4q9oUmW1yo/edit?usp=sharing"",""พิจิตร!J455"")"),0)</f>
        <v>0</v>
      </c>
      <c r="N23" s="306">
        <f ca="1">IFERROR(__xludf.DUMMYFUNCTION("IMPORTRANGE(""https://docs.google.com/spreadsheets/d/11923uPwbBZFjjGgGUA6NLw09EwE0CqkOc4q9oUmW1yo/edit?usp=sharing"",""พิจิตร!J456"")"),0)</f>
        <v>0</v>
      </c>
      <c r="O23" s="307">
        <f t="shared" ca="1" si="5"/>
        <v>0</v>
      </c>
      <c r="P23" s="306">
        <f ca="1">IFERROR(__xludf.DUMMYFUNCTION("IMPORTRANGE(""https://docs.google.com/spreadsheets/d/1C3CXT74ZlgGe6_JY_1olB1XN4rF0dxEuIIF-xsYjHgg/edit?usp=sharing"",""งบกองทุน!DY27"")"),0)</f>
        <v>0</v>
      </c>
      <c r="Q23" s="306" t="str">
        <f ca="1">IFERROR(__xludf.DUMMYFUNCTION("IMPORTRANGE(""https://docs.google.com/spreadsheets/d/11923uPwbBZFjjGgGUA6NLw09EwE0CqkOc4q9oUmW1yo/edit?usp=sharing"",""พิจิตร!J457"")"),"")</f>
        <v/>
      </c>
      <c r="R23" s="306" t="str">
        <f ca="1">IFERROR(__xludf.DUMMYFUNCTION("IMPORTRANGE(""https://docs.google.com/spreadsheets/d/11923uPwbBZFjjGgGUA6NLw09EwE0CqkOc4q9oUmW1yo/edit?usp=sharing"",""พิจิตร!J458"")"),"")</f>
        <v/>
      </c>
      <c r="S23" s="359">
        <f t="shared" ca="1" si="7"/>
        <v>0</v>
      </c>
      <c r="T23" s="339"/>
      <c r="U23" s="339"/>
      <c r="V23" s="339"/>
      <c r="W23" s="339"/>
      <c r="X23" s="339"/>
      <c r="Y23" s="339"/>
      <c r="Z23" s="339"/>
    </row>
    <row r="24" spans="1:26" ht="21" customHeight="1">
      <c r="A24" s="303">
        <v>9</v>
      </c>
      <c r="B24" s="304" t="s">
        <v>48</v>
      </c>
      <c r="C24" s="391">
        <f t="shared" ca="1" si="28"/>
        <v>534000</v>
      </c>
      <c r="D24" s="306">
        <f ca="1">IFERROR(__xludf.DUMMYFUNCTION("IMPORTRANGE(""https://docs.google.com/spreadsheets/d/1C3CXT74ZlgGe6_JY_1olB1XN4rF0dxEuIIF-xsYjHgg/edit?usp=sharing"",""งบกองทุน!DT28"")"),0)</f>
        <v>0</v>
      </c>
      <c r="E24" s="306">
        <f ca="1">IFERROR(__xludf.DUMMYFUNCTION("IMPORTRANGE(""https://docs.google.com/spreadsheets/d/1C3CXT74ZlgGe6_JY_1olB1XN4rF0dxEuIIF-xsYjHgg/edit?usp=sharing"",""งบกองทุน!DU28"")"),534000)</f>
        <v>534000</v>
      </c>
      <c r="F24" s="307">
        <f ca="1">IFERROR(__xludf.DUMMYFUNCTION("IMPORTRANGE(""https://docs.google.com/spreadsheets/d/11923uPwbBZFjjGgGUA6NLw09EwE0CqkOc4q9oUmW1yo/edit?usp=sharing"",""พิษณุโลก!M446"")"),118357.76)</f>
        <v>118357.75999999999</v>
      </c>
      <c r="G24" s="307">
        <f t="shared" ca="1" si="1"/>
        <v>22.164374531835207</v>
      </c>
      <c r="H24" s="308">
        <f t="shared" ref="H24:J24" ca="1" si="37">SUM(L24,P24)</f>
        <v>9000</v>
      </c>
      <c r="I24" s="308">
        <f t="shared" ca="1" si="37"/>
        <v>4252</v>
      </c>
      <c r="J24" s="308">
        <f t="shared" ca="1" si="37"/>
        <v>273</v>
      </c>
      <c r="K24" s="309">
        <f t="shared" ca="1" si="3"/>
        <v>47.244444444444447</v>
      </c>
      <c r="L24" s="306">
        <f ca="1">IFERROR(__xludf.DUMMYFUNCTION("IMPORTRANGE(""https://docs.google.com/spreadsheets/d/1C3CXT74ZlgGe6_JY_1olB1XN4rF0dxEuIIF-xsYjHgg/edit?usp=sharing"",""งบกองทุน!DW28"")"),9000)</f>
        <v>9000</v>
      </c>
      <c r="M24" s="306">
        <f ca="1">IFERROR(__xludf.DUMMYFUNCTION("IMPORTRANGE(""https://docs.google.com/spreadsheets/d/11923uPwbBZFjjGgGUA6NLw09EwE0CqkOc4q9oUmW1yo/edit?usp=sharing"",""พิษณุโลก!J455"")"),4252)</f>
        <v>4252</v>
      </c>
      <c r="N24" s="306">
        <f ca="1">IFERROR(__xludf.DUMMYFUNCTION("IMPORTRANGE(""https://docs.google.com/spreadsheets/d/11923uPwbBZFjjGgGUA6NLw09EwE0CqkOc4q9oUmW1yo/edit?usp=sharing"",""พิษณุโลก!J456"")"),273)</f>
        <v>273</v>
      </c>
      <c r="O24" s="307">
        <f t="shared" ca="1" si="5"/>
        <v>47.244444444444447</v>
      </c>
      <c r="P24" s="306">
        <f ca="1">IFERROR(__xludf.DUMMYFUNCTION("IMPORTRANGE(""https://docs.google.com/spreadsheets/d/1C3CXT74ZlgGe6_JY_1olB1XN4rF0dxEuIIF-xsYjHgg/edit?usp=sharing"",""งบกองทุน!DY28"")"),0)</f>
        <v>0</v>
      </c>
      <c r="Q24" s="306" t="str">
        <f ca="1">IFERROR(__xludf.DUMMYFUNCTION("IMPORTRANGE(""https://docs.google.com/spreadsheets/d/11923uPwbBZFjjGgGUA6NLw09EwE0CqkOc4q9oUmW1yo/edit?usp=sharing"",""พิษณุโลก!J457"")"),"")</f>
        <v/>
      </c>
      <c r="R24" s="306" t="str">
        <f ca="1">IFERROR(__xludf.DUMMYFUNCTION("IMPORTRANGE(""https://docs.google.com/spreadsheets/d/11923uPwbBZFjjGgGUA6NLw09EwE0CqkOc4q9oUmW1yo/edit?usp=sharing"",""พิษณุโลก!J458"")"),"")</f>
        <v/>
      </c>
      <c r="S24" s="359">
        <f t="shared" ca="1" si="7"/>
        <v>0</v>
      </c>
      <c r="T24" s="339"/>
      <c r="U24" s="339"/>
      <c r="V24" s="339"/>
      <c r="W24" s="339"/>
      <c r="X24" s="339"/>
      <c r="Y24" s="339"/>
      <c r="Z24" s="339"/>
    </row>
    <row r="25" spans="1:26" ht="21" customHeight="1">
      <c r="A25" s="303">
        <v>10</v>
      </c>
      <c r="B25" s="304" t="s">
        <v>49</v>
      </c>
      <c r="C25" s="391">
        <f t="shared" ca="1" si="28"/>
        <v>0</v>
      </c>
      <c r="D25" s="306">
        <f ca="1">IFERROR(__xludf.DUMMYFUNCTION("IMPORTRANGE(""https://docs.google.com/spreadsheets/d/1C3CXT74ZlgGe6_JY_1olB1XN4rF0dxEuIIF-xsYjHgg/edit?usp=sharing"",""งบกองทุน!DT29"")"),0)</f>
        <v>0</v>
      </c>
      <c r="E25" s="306">
        <f ca="1">IFERROR(__xludf.DUMMYFUNCTION("IMPORTRANGE(""https://docs.google.com/spreadsheets/d/1C3CXT74ZlgGe6_JY_1olB1XN4rF0dxEuIIF-xsYjHgg/edit?usp=sharing"",""งบกองทุน!DU29"")"),0)</f>
        <v>0</v>
      </c>
      <c r="F25" s="307">
        <f ca="1">IFERROR(__xludf.DUMMYFUNCTION("IMPORTRANGE(""https://docs.google.com/spreadsheets/d/11923uPwbBZFjjGgGUA6NLw09EwE0CqkOc4q9oUmW1yo/edit?usp=sharing"",""เพชรบูรณ์!M446"")"),0)</f>
        <v>0</v>
      </c>
      <c r="G25" s="307">
        <f t="shared" ca="1" si="1"/>
        <v>0</v>
      </c>
      <c r="H25" s="308">
        <f t="shared" ref="H25:J25" ca="1" si="38">SUM(L25,P25)</f>
        <v>0</v>
      </c>
      <c r="I25" s="308">
        <f t="shared" ca="1" si="38"/>
        <v>0</v>
      </c>
      <c r="J25" s="308">
        <f t="shared" ca="1" si="38"/>
        <v>0</v>
      </c>
      <c r="K25" s="309">
        <f t="shared" ca="1" si="3"/>
        <v>0</v>
      </c>
      <c r="L25" s="306">
        <f ca="1">IFERROR(__xludf.DUMMYFUNCTION("IMPORTRANGE(""https://docs.google.com/spreadsheets/d/1C3CXT74ZlgGe6_JY_1olB1XN4rF0dxEuIIF-xsYjHgg/edit?usp=sharing"",""งบกองทุน!DW29"")"),0)</f>
        <v>0</v>
      </c>
      <c r="M25" s="306">
        <f ca="1">IFERROR(__xludf.DUMMYFUNCTION("IMPORTRANGE(""https://docs.google.com/spreadsheets/d/11923uPwbBZFjjGgGUA6NLw09EwE0CqkOc4q9oUmW1yo/edit?usp=sharing"",""เพชรบูรณ์!J455"")"),0)</f>
        <v>0</v>
      </c>
      <c r="N25" s="306">
        <f ca="1">IFERROR(__xludf.DUMMYFUNCTION("IMPORTRANGE(""https://docs.google.com/spreadsheets/d/11923uPwbBZFjjGgGUA6NLw09EwE0CqkOc4q9oUmW1yo/edit?usp=sharing"",""เพชรบูรณ์!J456"")"),0)</f>
        <v>0</v>
      </c>
      <c r="O25" s="307">
        <f t="shared" ca="1" si="5"/>
        <v>0</v>
      </c>
      <c r="P25" s="308">
        <f ca="1">IFERROR(__xludf.DUMMYFUNCTION("IMPORTRANGE(""https://docs.google.com/spreadsheets/d/1C3CXT74ZlgGe6_JY_1olB1XN4rF0dxEuIIF-xsYjHgg/edit?usp=sharing"",""งบกองทุน!DY29"")"),0)</f>
        <v>0</v>
      </c>
      <c r="Q25" s="306" t="str">
        <f ca="1">IFERROR(__xludf.DUMMYFUNCTION("IMPORTRANGE(""https://docs.google.com/spreadsheets/d/11923uPwbBZFjjGgGUA6NLw09EwE0CqkOc4q9oUmW1yo/edit?usp=sharing"",""เพชรบูรณ์!J457"")"),"")</f>
        <v/>
      </c>
      <c r="R25" s="306" t="str">
        <f ca="1">IFERROR(__xludf.DUMMYFUNCTION("IMPORTRANGE(""https://docs.google.com/spreadsheets/d/11923uPwbBZFjjGgGUA6NLw09EwE0CqkOc4q9oUmW1yo/edit?usp=sharing"",""เพชรบูรณ์!J458"")"),"")</f>
        <v/>
      </c>
      <c r="S25" s="359">
        <f t="shared" ca="1" si="7"/>
        <v>0</v>
      </c>
      <c r="T25" s="339"/>
      <c r="U25" s="339"/>
      <c r="V25" s="339"/>
      <c r="W25" s="339"/>
      <c r="X25" s="339"/>
      <c r="Y25" s="339"/>
      <c r="Z25" s="339"/>
    </row>
    <row r="26" spans="1:26" ht="21" customHeight="1">
      <c r="A26" s="303">
        <v>11</v>
      </c>
      <c r="B26" s="304" t="s">
        <v>50</v>
      </c>
      <c r="C26" s="391">
        <f t="shared" ca="1" si="28"/>
        <v>0</v>
      </c>
      <c r="D26" s="306">
        <f ca="1">IFERROR(__xludf.DUMMYFUNCTION("IMPORTRANGE(""https://docs.google.com/spreadsheets/d/1C3CXT74ZlgGe6_JY_1olB1XN4rF0dxEuIIF-xsYjHgg/edit?usp=sharing"",""งบกองทุน!DT30"")"),0)</f>
        <v>0</v>
      </c>
      <c r="E26" s="306">
        <f ca="1">IFERROR(__xludf.DUMMYFUNCTION("IMPORTRANGE(""https://docs.google.com/spreadsheets/d/1C3CXT74ZlgGe6_JY_1olB1XN4rF0dxEuIIF-xsYjHgg/edit?usp=sharing"",""งบกองทุน!DU30"")"),0)</f>
        <v>0</v>
      </c>
      <c r="F26" s="307">
        <f ca="1">IFERROR(__xludf.DUMMYFUNCTION("IMPORTRANGE(""https://docs.google.com/spreadsheets/d/11923uPwbBZFjjGgGUA6NLw09EwE0CqkOc4q9oUmW1yo/edit?usp=sharing"",""แพร่!M446"")"),0)</f>
        <v>0</v>
      </c>
      <c r="G26" s="307">
        <f t="shared" ca="1" si="1"/>
        <v>0</v>
      </c>
      <c r="H26" s="308">
        <f t="shared" ref="H26:J26" ca="1" si="39">SUM(L26,P26)</f>
        <v>0</v>
      </c>
      <c r="I26" s="308">
        <f t="shared" ca="1" si="39"/>
        <v>0</v>
      </c>
      <c r="J26" s="308">
        <f t="shared" ca="1" si="39"/>
        <v>0</v>
      </c>
      <c r="K26" s="309">
        <f t="shared" ca="1" si="3"/>
        <v>0</v>
      </c>
      <c r="L26" s="306">
        <f ca="1">IFERROR(__xludf.DUMMYFUNCTION("IMPORTRANGE(""https://docs.google.com/spreadsheets/d/1C3CXT74ZlgGe6_JY_1olB1XN4rF0dxEuIIF-xsYjHgg/edit?usp=sharing"",""งบกองทุน!DW30"")"),0)</f>
        <v>0</v>
      </c>
      <c r="M26" s="306">
        <f ca="1">IFERROR(__xludf.DUMMYFUNCTION("IMPORTRANGE(""https://docs.google.com/spreadsheets/d/11923uPwbBZFjjGgGUA6NLw09EwE0CqkOc4q9oUmW1yo/edit?usp=sharing"",""แพร่!J455"")"),0)</f>
        <v>0</v>
      </c>
      <c r="N26" s="306">
        <f ca="1">IFERROR(__xludf.DUMMYFUNCTION("IMPORTRANGE(""https://docs.google.com/spreadsheets/d/11923uPwbBZFjjGgGUA6NLw09EwE0CqkOc4q9oUmW1yo/edit?usp=sharing"",""แพร่!J456"")"),0)</f>
        <v>0</v>
      </c>
      <c r="O26" s="307">
        <f t="shared" ca="1" si="5"/>
        <v>0</v>
      </c>
      <c r="P26" s="306">
        <f ca="1">IFERROR(__xludf.DUMMYFUNCTION("IMPORTRANGE(""https://docs.google.com/spreadsheets/d/1C3CXT74ZlgGe6_JY_1olB1XN4rF0dxEuIIF-xsYjHgg/edit?usp=sharing"",""งบกองทุน!DY30"")"),0)</f>
        <v>0</v>
      </c>
      <c r="Q26" s="306" t="str">
        <f ca="1">IFERROR(__xludf.DUMMYFUNCTION("IMPORTRANGE(""https://docs.google.com/spreadsheets/d/11923uPwbBZFjjGgGUA6NLw09EwE0CqkOc4q9oUmW1yo/edit?usp=sharing"",""แพร่!J457"")"),"")</f>
        <v/>
      </c>
      <c r="R26" s="306" t="str">
        <f ca="1">IFERROR(__xludf.DUMMYFUNCTION("IMPORTRANGE(""https://docs.google.com/spreadsheets/d/11923uPwbBZFjjGgGUA6NLw09EwE0CqkOc4q9oUmW1yo/edit?usp=sharing"",""แพร่!J458"")"),"")</f>
        <v/>
      </c>
      <c r="S26" s="359">
        <f t="shared" ca="1" si="7"/>
        <v>0</v>
      </c>
      <c r="T26" s="339"/>
      <c r="U26" s="339"/>
      <c r="V26" s="339"/>
      <c r="W26" s="339"/>
      <c r="X26" s="339"/>
      <c r="Y26" s="339"/>
      <c r="Z26" s="339"/>
    </row>
    <row r="27" spans="1:26" ht="21" customHeight="1">
      <c r="A27" s="303">
        <v>12</v>
      </c>
      <c r="B27" s="304" t="s">
        <v>51</v>
      </c>
      <c r="C27" s="391">
        <f t="shared" ca="1" si="28"/>
        <v>0</v>
      </c>
      <c r="D27" s="306">
        <f ca="1">IFERROR(__xludf.DUMMYFUNCTION("IMPORTRANGE(""https://docs.google.com/spreadsheets/d/1C3CXT74ZlgGe6_JY_1olB1XN4rF0dxEuIIF-xsYjHgg/edit?usp=sharing"",""งบกองทุน!DT31"")"),0)</f>
        <v>0</v>
      </c>
      <c r="E27" s="306">
        <f ca="1">IFERROR(__xludf.DUMMYFUNCTION("IMPORTRANGE(""https://docs.google.com/spreadsheets/d/1C3CXT74ZlgGe6_JY_1olB1XN4rF0dxEuIIF-xsYjHgg/edit?usp=sharing"",""งบกองทุน!DU31"")"),0)</f>
        <v>0</v>
      </c>
      <c r="F27" s="307">
        <f ca="1">IFERROR(__xludf.DUMMYFUNCTION("IMPORTRANGE(""https://docs.google.com/spreadsheets/d/11923uPwbBZFjjGgGUA6NLw09EwE0CqkOc4q9oUmW1yo/edit?usp=sharing"",""แม่ฮ่องสอน!M446"")"),0)</f>
        <v>0</v>
      </c>
      <c r="G27" s="307">
        <f t="shared" ca="1" si="1"/>
        <v>0</v>
      </c>
      <c r="H27" s="308">
        <f t="shared" ref="H27:J27" ca="1" si="40">SUM(L27,P27)</f>
        <v>0</v>
      </c>
      <c r="I27" s="308">
        <f t="shared" ca="1" si="40"/>
        <v>0</v>
      </c>
      <c r="J27" s="308">
        <f t="shared" ca="1" si="40"/>
        <v>0</v>
      </c>
      <c r="K27" s="309">
        <f t="shared" ca="1" si="3"/>
        <v>0</v>
      </c>
      <c r="L27" s="306">
        <f ca="1">IFERROR(__xludf.DUMMYFUNCTION("IMPORTRANGE(""https://docs.google.com/spreadsheets/d/1C3CXT74ZlgGe6_JY_1olB1XN4rF0dxEuIIF-xsYjHgg/edit?usp=sharing"",""งบกองทุน!DW31"")"),0)</f>
        <v>0</v>
      </c>
      <c r="M27" s="306">
        <f ca="1">IFERROR(__xludf.DUMMYFUNCTION("IMPORTRANGE(""https://docs.google.com/spreadsheets/d/11923uPwbBZFjjGgGUA6NLw09EwE0CqkOc4q9oUmW1yo/edit?usp=sharing"",""แม่ฮ่องสอน!J455"")"),0)</f>
        <v>0</v>
      </c>
      <c r="N27" s="306">
        <f ca="1">IFERROR(__xludf.DUMMYFUNCTION("IMPORTRANGE(""https://docs.google.com/spreadsheets/d/11923uPwbBZFjjGgGUA6NLw09EwE0CqkOc4q9oUmW1yo/edit?usp=sharing"",""แม่ฮ่องสอน!J456"")"),0)</f>
        <v>0</v>
      </c>
      <c r="O27" s="307">
        <f t="shared" ca="1" si="5"/>
        <v>0</v>
      </c>
      <c r="P27" s="306">
        <f ca="1">IFERROR(__xludf.DUMMYFUNCTION("IMPORTRANGE(""https://docs.google.com/spreadsheets/d/1C3CXT74ZlgGe6_JY_1olB1XN4rF0dxEuIIF-xsYjHgg/edit?usp=sharing"",""งบกองทุน!DY31"")"),0)</f>
        <v>0</v>
      </c>
      <c r="Q27" s="306" t="str">
        <f ca="1">IFERROR(__xludf.DUMMYFUNCTION("IMPORTRANGE(""https://docs.google.com/spreadsheets/d/11923uPwbBZFjjGgGUA6NLw09EwE0CqkOc4q9oUmW1yo/edit?usp=sharing"",""แม่ฮ่องสอน!J457"")"),"")</f>
        <v/>
      </c>
      <c r="R27" s="306" t="str">
        <f ca="1">IFERROR(__xludf.DUMMYFUNCTION("IMPORTRANGE(""https://docs.google.com/spreadsheets/d/11923uPwbBZFjjGgGUA6NLw09EwE0CqkOc4q9oUmW1yo/edit?usp=sharing"",""แม่ฮ่องสอน!J458"")"),"")</f>
        <v/>
      </c>
      <c r="S27" s="359">
        <f t="shared" ca="1" si="7"/>
        <v>0</v>
      </c>
      <c r="T27" s="339"/>
      <c r="U27" s="339"/>
      <c r="V27" s="339"/>
      <c r="W27" s="339"/>
      <c r="X27" s="339"/>
      <c r="Y27" s="339"/>
      <c r="Z27" s="339"/>
    </row>
    <row r="28" spans="1:26" ht="21" customHeight="1">
      <c r="A28" s="303">
        <v>13</v>
      </c>
      <c r="B28" s="304" t="s">
        <v>52</v>
      </c>
      <c r="C28" s="391">
        <f t="shared" ca="1" si="28"/>
        <v>188000</v>
      </c>
      <c r="D28" s="306">
        <f ca="1">IFERROR(__xludf.DUMMYFUNCTION("IMPORTRANGE(""https://docs.google.com/spreadsheets/d/1C3CXT74ZlgGe6_JY_1olB1XN4rF0dxEuIIF-xsYjHgg/edit?usp=sharing"",""งบกองทุน!DT32"")"),0)</f>
        <v>0</v>
      </c>
      <c r="E28" s="306">
        <f ca="1">IFERROR(__xludf.DUMMYFUNCTION("IMPORTRANGE(""https://docs.google.com/spreadsheets/d/1C3CXT74ZlgGe6_JY_1olB1XN4rF0dxEuIIF-xsYjHgg/edit?usp=sharing"",""งบกองทุน!DU32"")"),188000)</f>
        <v>188000</v>
      </c>
      <c r="F28" s="307">
        <f ca="1">IFERROR(__xludf.DUMMYFUNCTION("IMPORTRANGE(""https://docs.google.com/spreadsheets/d/11923uPwbBZFjjGgGUA6NLw09EwE0CqkOc4q9oUmW1yo/edit?usp=sharing"",""ลำปาง!M446"")"),49714.68)</f>
        <v>49714.68</v>
      </c>
      <c r="G28" s="307">
        <f t="shared" ca="1" si="1"/>
        <v>26.443978723404257</v>
      </c>
      <c r="H28" s="308">
        <f t="shared" ref="H28:J28" ca="1" si="41">SUM(L28,P28)</f>
        <v>3000</v>
      </c>
      <c r="I28" s="308">
        <f t="shared" ca="1" si="41"/>
        <v>905</v>
      </c>
      <c r="J28" s="308">
        <f t="shared" ca="1" si="41"/>
        <v>107</v>
      </c>
      <c r="K28" s="309">
        <f t="shared" ca="1" si="3"/>
        <v>30.166666666666668</v>
      </c>
      <c r="L28" s="306">
        <f ca="1">IFERROR(__xludf.DUMMYFUNCTION("IMPORTRANGE(""https://docs.google.com/spreadsheets/d/1C3CXT74ZlgGe6_JY_1olB1XN4rF0dxEuIIF-xsYjHgg/edit?usp=sharing"",""งบกองทุน!DW32"")"),3000)</f>
        <v>3000</v>
      </c>
      <c r="M28" s="306">
        <f ca="1">IFERROR(__xludf.DUMMYFUNCTION("IMPORTRANGE(""https://docs.google.com/spreadsheets/d/11923uPwbBZFjjGgGUA6NLw09EwE0CqkOc4q9oUmW1yo/edit?usp=sharing"",""ลำปาง!J455"")"),905)</f>
        <v>905</v>
      </c>
      <c r="N28" s="306">
        <f ca="1">IFERROR(__xludf.DUMMYFUNCTION("IMPORTRANGE(""https://docs.google.com/spreadsheets/d/11923uPwbBZFjjGgGUA6NLw09EwE0CqkOc4q9oUmW1yo/edit?usp=sharing"",""ลำปาง!J456"")"),107)</f>
        <v>107</v>
      </c>
      <c r="O28" s="307">
        <f t="shared" ca="1" si="5"/>
        <v>30.166666666666668</v>
      </c>
      <c r="P28" s="306">
        <f ca="1">IFERROR(__xludf.DUMMYFUNCTION("IMPORTRANGE(""https://docs.google.com/spreadsheets/d/1C3CXT74ZlgGe6_JY_1olB1XN4rF0dxEuIIF-xsYjHgg/edit?usp=sharing"",""งบกองทุน!DY32"")"),0)</f>
        <v>0</v>
      </c>
      <c r="Q28" s="306" t="str">
        <f ca="1">IFERROR(__xludf.DUMMYFUNCTION("IMPORTRANGE(""https://docs.google.com/spreadsheets/d/11923uPwbBZFjjGgGUA6NLw09EwE0CqkOc4q9oUmW1yo/edit?usp=sharing"",""ลำปาง!J457"")"),"")</f>
        <v/>
      </c>
      <c r="R28" s="306" t="str">
        <f ca="1">IFERROR(__xludf.DUMMYFUNCTION("IMPORTRANGE(""https://docs.google.com/spreadsheets/d/11923uPwbBZFjjGgGUA6NLw09EwE0CqkOc4q9oUmW1yo/edit?usp=sharing"",""ลำปาง!J458"")"),"")</f>
        <v/>
      </c>
      <c r="S28" s="359">
        <f t="shared" ca="1" si="7"/>
        <v>0</v>
      </c>
      <c r="T28" s="339"/>
      <c r="U28" s="339"/>
      <c r="V28" s="339"/>
      <c r="W28" s="339"/>
      <c r="X28" s="339"/>
      <c r="Y28" s="339"/>
      <c r="Z28" s="339"/>
    </row>
    <row r="29" spans="1:26" ht="21" customHeight="1">
      <c r="A29" s="303">
        <v>14</v>
      </c>
      <c r="B29" s="304" t="s">
        <v>53</v>
      </c>
      <c r="C29" s="391">
        <f t="shared" ca="1" si="28"/>
        <v>0</v>
      </c>
      <c r="D29" s="306">
        <f ca="1">IFERROR(__xludf.DUMMYFUNCTION("IMPORTRANGE(""https://docs.google.com/spreadsheets/d/1C3CXT74ZlgGe6_JY_1olB1XN4rF0dxEuIIF-xsYjHgg/edit?usp=sharing"",""งบกองทุน!DT33"")"),0)</f>
        <v>0</v>
      </c>
      <c r="E29" s="306">
        <f ca="1">IFERROR(__xludf.DUMMYFUNCTION("IMPORTRANGE(""https://docs.google.com/spreadsheets/d/1C3CXT74ZlgGe6_JY_1olB1XN4rF0dxEuIIF-xsYjHgg/edit?usp=sharing"",""งบกองทุน!DU33"")"),0)</f>
        <v>0</v>
      </c>
      <c r="F29" s="307">
        <f ca="1">IFERROR(__xludf.DUMMYFUNCTION("IMPORTRANGE(""https://docs.google.com/spreadsheets/d/11923uPwbBZFjjGgGUA6NLw09EwE0CqkOc4q9oUmW1yo/edit?usp=sharing"",""ลำพูน!M446"")"),0)</f>
        <v>0</v>
      </c>
      <c r="G29" s="307">
        <f t="shared" ca="1" si="1"/>
        <v>0</v>
      </c>
      <c r="H29" s="308">
        <f t="shared" ref="H29:J29" ca="1" si="42">SUM(L29,P29)</f>
        <v>0</v>
      </c>
      <c r="I29" s="308">
        <f t="shared" ca="1" si="42"/>
        <v>0</v>
      </c>
      <c r="J29" s="308">
        <f t="shared" ca="1" si="42"/>
        <v>0</v>
      </c>
      <c r="K29" s="309">
        <f t="shared" ca="1" si="3"/>
        <v>0</v>
      </c>
      <c r="L29" s="306">
        <f ca="1">IFERROR(__xludf.DUMMYFUNCTION("IMPORTRANGE(""https://docs.google.com/spreadsheets/d/1C3CXT74ZlgGe6_JY_1olB1XN4rF0dxEuIIF-xsYjHgg/edit?usp=sharing"",""งบกองทุน!DW33"")"),0)</f>
        <v>0</v>
      </c>
      <c r="M29" s="306">
        <f ca="1">IFERROR(__xludf.DUMMYFUNCTION("IMPORTRANGE(""https://docs.google.com/spreadsheets/d/11923uPwbBZFjjGgGUA6NLw09EwE0CqkOc4q9oUmW1yo/edit?usp=sharing"",""ลำพูน!J455"")"),0)</f>
        <v>0</v>
      </c>
      <c r="N29" s="306">
        <f ca="1">IFERROR(__xludf.DUMMYFUNCTION("IMPORTRANGE(""https://docs.google.com/spreadsheets/d/11923uPwbBZFjjGgGUA6NLw09EwE0CqkOc4q9oUmW1yo/edit?usp=sharing"",""ลำพูน!J456"")"),0)</f>
        <v>0</v>
      </c>
      <c r="O29" s="307">
        <f t="shared" ca="1" si="5"/>
        <v>0</v>
      </c>
      <c r="P29" s="306">
        <f ca="1">IFERROR(__xludf.DUMMYFUNCTION("IMPORTRANGE(""https://docs.google.com/spreadsheets/d/1C3CXT74ZlgGe6_JY_1olB1XN4rF0dxEuIIF-xsYjHgg/edit?usp=sharing"",""งบกองทุน!DY33"")"),0)</f>
        <v>0</v>
      </c>
      <c r="Q29" s="306" t="str">
        <f ca="1">IFERROR(__xludf.DUMMYFUNCTION("IMPORTRANGE(""https://docs.google.com/spreadsheets/d/11923uPwbBZFjjGgGUA6NLw09EwE0CqkOc4q9oUmW1yo/edit?usp=sharing"",""ลำพูน!J457"")"),"")</f>
        <v/>
      </c>
      <c r="R29" s="306" t="str">
        <f ca="1">IFERROR(__xludf.DUMMYFUNCTION("IMPORTRANGE(""https://docs.google.com/spreadsheets/d/11923uPwbBZFjjGgGUA6NLw09EwE0CqkOc4q9oUmW1yo/edit?usp=sharing"",""ลำพูน!J458"")"),"")</f>
        <v/>
      </c>
      <c r="S29" s="359">
        <f t="shared" ca="1" si="7"/>
        <v>0</v>
      </c>
      <c r="T29" s="339"/>
      <c r="U29" s="339"/>
      <c r="V29" s="339"/>
      <c r="W29" s="339"/>
      <c r="X29" s="339"/>
      <c r="Y29" s="339"/>
      <c r="Z29" s="339"/>
    </row>
    <row r="30" spans="1:26" ht="21" customHeight="1">
      <c r="A30" s="303">
        <v>15</v>
      </c>
      <c r="B30" s="304" t="s">
        <v>54</v>
      </c>
      <c r="C30" s="391">
        <f t="shared" ca="1" si="28"/>
        <v>0</v>
      </c>
      <c r="D30" s="306">
        <f ca="1">IFERROR(__xludf.DUMMYFUNCTION("IMPORTRANGE(""https://docs.google.com/spreadsheets/d/1C3CXT74ZlgGe6_JY_1olB1XN4rF0dxEuIIF-xsYjHgg/edit?usp=sharing"",""งบกองทุน!DT34"")"),0)</f>
        <v>0</v>
      </c>
      <c r="E30" s="306">
        <f ca="1">IFERROR(__xludf.DUMMYFUNCTION("IMPORTRANGE(""https://docs.google.com/spreadsheets/d/1C3CXT74ZlgGe6_JY_1olB1XN4rF0dxEuIIF-xsYjHgg/edit?usp=sharing"",""งบกองทุน!DU34"")"),0)</f>
        <v>0</v>
      </c>
      <c r="F30" s="307">
        <f ca="1">IFERROR(__xludf.DUMMYFUNCTION("IMPORTRANGE(""https://docs.google.com/spreadsheets/d/11923uPwbBZFjjGgGUA6NLw09EwE0CqkOc4q9oUmW1yo/edit?usp=sharing"",""สุโขทัย!M446"")"),0)</f>
        <v>0</v>
      </c>
      <c r="G30" s="307">
        <f t="shared" ca="1" si="1"/>
        <v>0</v>
      </c>
      <c r="H30" s="308">
        <f t="shared" ref="H30:J30" ca="1" si="43">SUM(L30,P30)</f>
        <v>0</v>
      </c>
      <c r="I30" s="308">
        <f t="shared" ca="1" si="43"/>
        <v>0</v>
      </c>
      <c r="J30" s="308">
        <f t="shared" ca="1" si="43"/>
        <v>0</v>
      </c>
      <c r="K30" s="309">
        <f t="shared" ca="1" si="3"/>
        <v>0</v>
      </c>
      <c r="L30" s="306">
        <f ca="1">IFERROR(__xludf.DUMMYFUNCTION("IMPORTRANGE(""https://docs.google.com/spreadsheets/d/1C3CXT74ZlgGe6_JY_1olB1XN4rF0dxEuIIF-xsYjHgg/edit?usp=sharing"",""งบกองทุน!DW34"")"),0)</f>
        <v>0</v>
      </c>
      <c r="M30" s="306">
        <f ca="1">IFERROR(__xludf.DUMMYFUNCTION("IMPORTRANGE(""https://docs.google.com/spreadsheets/d/11923uPwbBZFjjGgGUA6NLw09EwE0CqkOc4q9oUmW1yo/edit?usp=sharing"",""สุโขทัย!J455"")"),0)</f>
        <v>0</v>
      </c>
      <c r="N30" s="306">
        <f ca="1">IFERROR(__xludf.DUMMYFUNCTION("IMPORTRANGE(""https://docs.google.com/spreadsheets/d/11923uPwbBZFjjGgGUA6NLw09EwE0CqkOc4q9oUmW1yo/edit?usp=sharing"",""สุโขทัย!J456"")"),0)</f>
        <v>0</v>
      </c>
      <c r="O30" s="307">
        <f t="shared" ca="1" si="5"/>
        <v>0</v>
      </c>
      <c r="P30" s="306">
        <f ca="1">IFERROR(__xludf.DUMMYFUNCTION("IMPORTRANGE(""https://docs.google.com/spreadsheets/d/1C3CXT74ZlgGe6_JY_1olB1XN4rF0dxEuIIF-xsYjHgg/edit?usp=sharing"",""งบกองทุน!DY34"")"),0)</f>
        <v>0</v>
      </c>
      <c r="Q30" s="306" t="str">
        <f ca="1">IFERROR(__xludf.DUMMYFUNCTION("IMPORTRANGE(""https://docs.google.com/spreadsheets/d/11923uPwbBZFjjGgGUA6NLw09EwE0CqkOc4q9oUmW1yo/edit?usp=sharing"",""สุโขทัย!J457"")"),"")</f>
        <v/>
      </c>
      <c r="R30" s="306" t="str">
        <f ca="1">IFERROR(__xludf.DUMMYFUNCTION("IMPORTRANGE(""https://docs.google.com/spreadsheets/d/11923uPwbBZFjjGgGUA6NLw09EwE0CqkOc4q9oUmW1yo/edit?usp=sharing"",""สุโขทัย!J458"")"),"")</f>
        <v/>
      </c>
      <c r="S30" s="359">
        <f t="shared" ca="1" si="7"/>
        <v>0</v>
      </c>
      <c r="T30" s="339"/>
      <c r="U30" s="339"/>
      <c r="V30" s="339"/>
      <c r="W30" s="339"/>
      <c r="X30" s="339"/>
      <c r="Y30" s="339"/>
      <c r="Z30" s="339"/>
    </row>
    <row r="31" spans="1:26" ht="21" customHeight="1">
      <c r="A31" s="303">
        <v>16</v>
      </c>
      <c r="B31" s="304" t="s">
        <v>55</v>
      </c>
      <c r="C31" s="391">
        <f t="shared" ca="1" si="28"/>
        <v>300000</v>
      </c>
      <c r="D31" s="306">
        <f ca="1">IFERROR(__xludf.DUMMYFUNCTION("IMPORTRANGE(""https://docs.google.com/spreadsheets/d/1C3CXT74ZlgGe6_JY_1olB1XN4rF0dxEuIIF-xsYjHgg/edit?usp=sharing"",""งบกองทุน!DT35"")"),0)</f>
        <v>0</v>
      </c>
      <c r="E31" s="306">
        <f ca="1">IFERROR(__xludf.DUMMYFUNCTION("IMPORTRANGE(""https://docs.google.com/spreadsheets/d/1C3CXT74ZlgGe6_JY_1olB1XN4rF0dxEuIIF-xsYjHgg/edit?usp=sharing"",""งบกองทุน!DU35"")"),300000)</f>
        <v>300000</v>
      </c>
      <c r="F31" s="307">
        <f ca="1">IFERROR(__xludf.DUMMYFUNCTION("IMPORTRANGE(""https://docs.google.com/spreadsheets/d/11923uPwbBZFjjGgGUA6NLw09EwE0CqkOc4q9oUmW1yo/edit?usp=sharing"",""อุตรดิตถ์!M446"")"),214134.2)</f>
        <v>214134.2</v>
      </c>
      <c r="G31" s="307">
        <f t="shared" ca="1" si="1"/>
        <v>71.378066666666669</v>
      </c>
      <c r="H31" s="308">
        <f t="shared" ref="H31:J31" ca="1" si="44">SUM(L31,P31)</f>
        <v>5000</v>
      </c>
      <c r="I31" s="308">
        <f t="shared" ca="1" si="44"/>
        <v>3044</v>
      </c>
      <c r="J31" s="308">
        <f t="shared" ca="1" si="44"/>
        <v>440</v>
      </c>
      <c r="K31" s="309">
        <f t="shared" ca="1" si="3"/>
        <v>60.88</v>
      </c>
      <c r="L31" s="306">
        <f ca="1">IFERROR(__xludf.DUMMYFUNCTION("IMPORTRANGE(""https://docs.google.com/spreadsheets/d/1C3CXT74ZlgGe6_JY_1olB1XN4rF0dxEuIIF-xsYjHgg/edit?usp=sharing"",""งบกองทุน!DW35"")"),5000)</f>
        <v>5000</v>
      </c>
      <c r="M31" s="306">
        <f ca="1">IFERROR(__xludf.DUMMYFUNCTION("IMPORTRANGE(""https://docs.google.com/spreadsheets/d/11923uPwbBZFjjGgGUA6NLw09EwE0CqkOc4q9oUmW1yo/edit?usp=sharing"",""อุตรดิตถ์!J455"")"),3044)</f>
        <v>3044</v>
      </c>
      <c r="N31" s="306">
        <f ca="1">IFERROR(__xludf.DUMMYFUNCTION("IMPORTRANGE(""https://docs.google.com/spreadsheets/d/11923uPwbBZFjjGgGUA6NLw09EwE0CqkOc4q9oUmW1yo/edit?usp=sharing"",""อุตรดิตถ์!J456"")"),440)</f>
        <v>440</v>
      </c>
      <c r="O31" s="307">
        <f t="shared" ca="1" si="5"/>
        <v>60.88</v>
      </c>
      <c r="P31" s="306">
        <f ca="1">IFERROR(__xludf.DUMMYFUNCTION("IMPORTRANGE(""https://docs.google.com/spreadsheets/d/1C3CXT74ZlgGe6_JY_1olB1XN4rF0dxEuIIF-xsYjHgg/edit?usp=sharing"",""งบกองทุน!DY35"")"),0)</f>
        <v>0</v>
      </c>
      <c r="Q31" s="306" t="str">
        <f ca="1">IFERROR(__xludf.DUMMYFUNCTION("IMPORTRANGE(""https://docs.google.com/spreadsheets/d/11923uPwbBZFjjGgGUA6NLw09EwE0CqkOc4q9oUmW1yo/edit?usp=sharing"",""อุตรดิตถ์!J457"")"),"")</f>
        <v/>
      </c>
      <c r="R31" s="306" t="str">
        <f ca="1">IFERROR(__xludf.DUMMYFUNCTION("IMPORTRANGE(""https://docs.google.com/spreadsheets/d/11923uPwbBZFjjGgGUA6NLw09EwE0CqkOc4q9oUmW1yo/edit?usp=sharing"",""อุตรดิตถ์!J458"")"),"")</f>
        <v/>
      </c>
      <c r="S31" s="359">
        <f t="shared" ca="1" si="7"/>
        <v>0</v>
      </c>
      <c r="T31" s="339"/>
      <c r="U31" s="339"/>
      <c r="V31" s="339"/>
      <c r="W31" s="339"/>
      <c r="X31" s="339"/>
      <c r="Y31" s="339"/>
      <c r="Z31" s="339"/>
    </row>
    <row r="32" spans="1:26" ht="21" customHeight="1">
      <c r="A32" s="310">
        <v>17</v>
      </c>
      <c r="B32" s="311" t="s">
        <v>56</v>
      </c>
      <c r="C32" s="395">
        <f t="shared" ca="1" si="28"/>
        <v>0</v>
      </c>
      <c r="D32" s="313">
        <f ca="1">IFERROR(__xludf.DUMMYFUNCTION("IMPORTRANGE(""https://docs.google.com/spreadsheets/d/1C3CXT74ZlgGe6_JY_1olB1XN4rF0dxEuIIF-xsYjHgg/edit?usp=sharing"",""งบกองทุน!DT36"")"),0)</f>
        <v>0</v>
      </c>
      <c r="E32" s="313">
        <f ca="1">IFERROR(__xludf.DUMMYFUNCTION("IMPORTRANGE(""https://docs.google.com/spreadsheets/d/1C3CXT74ZlgGe6_JY_1olB1XN4rF0dxEuIIF-xsYjHgg/edit?usp=sharing"",""งบกองทุน!DU36"")"),0)</f>
        <v>0</v>
      </c>
      <c r="F32" s="314">
        <f ca="1">IFERROR(__xludf.DUMMYFUNCTION("IMPORTRANGE(""https://docs.google.com/spreadsheets/d/11923uPwbBZFjjGgGUA6NLw09EwE0CqkOc4q9oUmW1yo/edit?usp=sharing"",""อุทัยธานี!M446"")"),0)</f>
        <v>0</v>
      </c>
      <c r="G32" s="314">
        <f t="shared" ca="1" si="1"/>
        <v>0</v>
      </c>
      <c r="H32" s="315">
        <f t="shared" ref="H32:J32" ca="1" si="45">SUM(L32,P32)</f>
        <v>0</v>
      </c>
      <c r="I32" s="315">
        <f t="shared" ca="1" si="45"/>
        <v>0</v>
      </c>
      <c r="J32" s="315">
        <f t="shared" ca="1" si="45"/>
        <v>0</v>
      </c>
      <c r="K32" s="316">
        <f t="shared" ca="1" si="3"/>
        <v>0</v>
      </c>
      <c r="L32" s="313">
        <f ca="1">IFERROR(__xludf.DUMMYFUNCTION("IMPORTRANGE(""https://docs.google.com/spreadsheets/d/1C3CXT74ZlgGe6_JY_1olB1XN4rF0dxEuIIF-xsYjHgg/edit?usp=sharing"",""งบกองทุน!DW36"")"),0)</f>
        <v>0</v>
      </c>
      <c r="M32" s="313">
        <f ca="1">IFERROR(__xludf.DUMMYFUNCTION("IMPORTRANGE(""https://docs.google.com/spreadsheets/d/11923uPwbBZFjjGgGUA6NLw09EwE0CqkOc4q9oUmW1yo/edit?usp=sharing"",""อุทัยธานี!J455"")"),0)</f>
        <v>0</v>
      </c>
      <c r="N32" s="313">
        <f ca="1">IFERROR(__xludf.DUMMYFUNCTION("IMPORTRANGE(""https://docs.google.com/spreadsheets/d/11923uPwbBZFjjGgGUA6NLw09EwE0CqkOc4q9oUmW1yo/edit?usp=sharing"",""อุทัยธานี!J456"")"),0)</f>
        <v>0</v>
      </c>
      <c r="O32" s="314">
        <f t="shared" ca="1" si="5"/>
        <v>0</v>
      </c>
      <c r="P32" s="313">
        <f ca="1">IFERROR(__xludf.DUMMYFUNCTION("IMPORTRANGE(""https://docs.google.com/spreadsheets/d/1C3CXT74ZlgGe6_JY_1olB1XN4rF0dxEuIIF-xsYjHgg/edit?usp=sharing"",""งบกองทุน!DY36"")"),0)</f>
        <v>0</v>
      </c>
      <c r="Q32" s="313" t="str">
        <f ca="1">IFERROR(__xludf.DUMMYFUNCTION("IMPORTRANGE(""https://docs.google.com/spreadsheets/d/11923uPwbBZFjjGgGUA6NLw09EwE0CqkOc4q9oUmW1yo/edit?usp=sharing"",""อุทัยธานี!J457"")"),"")</f>
        <v/>
      </c>
      <c r="R32" s="313" t="str">
        <f ca="1">IFERROR(__xludf.DUMMYFUNCTION("IMPORTRANGE(""https://docs.google.com/spreadsheets/d/11923uPwbBZFjjGgGUA6NLw09EwE0CqkOc4q9oUmW1yo/edit?usp=sharing"",""อุทัยธานี!J458"")"),"")</f>
        <v/>
      </c>
      <c r="S32" s="360">
        <f t="shared" ca="1" si="7"/>
        <v>0</v>
      </c>
      <c r="T32" s="339"/>
      <c r="U32" s="339"/>
      <c r="V32" s="339"/>
      <c r="W32" s="339"/>
      <c r="X32" s="339"/>
      <c r="Y32" s="339"/>
      <c r="Z32" s="339"/>
    </row>
    <row r="33" spans="1:26" ht="21" customHeight="1">
      <c r="A33" s="800" t="s">
        <v>57</v>
      </c>
      <c r="B33" s="678"/>
      <c r="C33" s="398">
        <f t="shared" ref="C33:F33" ca="1" si="46">SUM(C34:C53)</f>
        <v>1580000</v>
      </c>
      <c r="D33" s="318">
        <f t="shared" ca="1" si="46"/>
        <v>0</v>
      </c>
      <c r="E33" s="318">
        <f t="shared" ca="1" si="46"/>
        <v>1580000</v>
      </c>
      <c r="F33" s="319">
        <f t="shared" ca="1" si="46"/>
        <v>1098112.82</v>
      </c>
      <c r="G33" s="319">
        <f t="shared" ca="1" si="1"/>
        <v>69.500811392405069</v>
      </c>
      <c r="H33" s="318">
        <f t="shared" ref="H33:J33" si="47">SUM(H34:H53)</f>
        <v>25000</v>
      </c>
      <c r="I33" s="318">
        <f t="shared" ca="1" si="47"/>
        <v>9076</v>
      </c>
      <c r="J33" s="318">
        <f t="shared" ca="1" si="47"/>
        <v>600</v>
      </c>
      <c r="K33" s="319">
        <f t="shared" ca="1" si="3"/>
        <v>36.304000000000002</v>
      </c>
      <c r="L33" s="318">
        <f t="shared" ref="L33:N33" ca="1" si="48">SUM(L34:L53)</f>
        <v>25000</v>
      </c>
      <c r="M33" s="318">
        <f t="shared" ca="1" si="48"/>
        <v>9076</v>
      </c>
      <c r="N33" s="318">
        <f t="shared" ca="1" si="48"/>
        <v>600</v>
      </c>
      <c r="O33" s="319">
        <f t="shared" ca="1" si="5"/>
        <v>36.304000000000002</v>
      </c>
      <c r="P33" s="318">
        <f t="shared" ref="P33:R33" ca="1" si="49">SUM(P34:P53)</f>
        <v>0</v>
      </c>
      <c r="Q33" s="318">
        <f t="shared" ca="1" si="49"/>
        <v>0</v>
      </c>
      <c r="R33" s="318">
        <f t="shared" ca="1" si="49"/>
        <v>0</v>
      </c>
      <c r="S33" s="361">
        <f t="shared" ca="1" si="7"/>
        <v>0</v>
      </c>
      <c r="T33" s="339"/>
      <c r="U33" s="339"/>
      <c r="V33" s="339"/>
      <c r="W33" s="339"/>
      <c r="X33" s="339"/>
      <c r="Y33" s="339"/>
      <c r="Z33" s="339"/>
    </row>
    <row r="34" spans="1:26" ht="21" customHeight="1">
      <c r="A34" s="293">
        <v>1</v>
      </c>
      <c r="B34" s="357" t="s">
        <v>58</v>
      </c>
      <c r="C34" s="388">
        <f t="shared" ref="C34:C53" ca="1" si="50">+D34+E34</f>
        <v>0</v>
      </c>
      <c r="D34" s="296">
        <f ca="1">IFERROR(__xludf.DUMMYFUNCTION("IMPORTRANGE(""https://docs.google.com/spreadsheets/d/1C3CXT74ZlgGe6_JY_1olB1XN4rF0dxEuIIF-xsYjHgg/edit?usp=sharing"",""งบกองทุน!DT38"")"),0)</f>
        <v>0</v>
      </c>
      <c r="E34" s="296">
        <f ca="1">IFERROR(__xludf.DUMMYFUNCTION("IMPORTRANGE(""https://docs.google.com/spreadsheets/d/1C3CXT74ZlgGe6_JY_1olB1XN4rF0dxEuIIF-xsYjHgg/edit?usp=sharing"",""งบกองทุน!DU38"")"),0)</f>
        <v>0</v>
      </c>
      <c r="F34" s="297">
        <f ca="1">IFERROR(__xludf.DUMMYFUNCTION("IMPORTRANGE(""https://docs.google.com/spreadsheets/d/1XL5vhW3sbDhbH9Cz0tuDiY8C3ctxq1tqvaCgkFb8cCA/edit?usp=sharing"",""กาฬสินธุ์!M446"")"),0)</f>
        <v>0</v>
      </c>
      <c r="G34" s="297">
        <f t="shared" ca="1" si="1"/>
        <v>0</v>
      </c>
      <c r="H34" s="299">
        <v>0</v>
      </c>
      <c r="I34" s="299">
        <f t="shared" ref="I34:J34" ca="1" si="51">SUM(M34,Q34)</f>
        <v>0</v>
      </c>
      <c r="J34" s="299">
        <f t="shared" ca="1" si="51"/>
        <v>0</v>
      </c>
      <c r="K34" s="301">
        <f t="shared" si="3"/>
        <v>0</v>
      </c>
      <c r="L34" s="296">
        <f ca="1">IFERROR(__xludf.DUMMYFUNCTION("IMPORTRANGE(""https://docs.google.com/spreadsheets/d/1C3CXT74ZlgGe6_JY_1olB1XN4rF0dxEuIIF-xsYjHgg/edit?usp=sharing"",""งบกองทุน!DW38"")"),0)</f>
        <v>0</v>
      </c>
      <c r="M34" s="296">
        <f ca="1">IFERROR(__xludf.DUMMYFUNCTION("IMPORTRANGE(""https://docs.google.com/spreadsheets/d/1XL5vhW3sbDhbH9Cz0tuDiY8C3ctxq1tqvaCgkFb8cCA/edit?usp=sharing"",""กาฬสินธุ์!J455"")"),0)</f>
        <v>0</v>
      </c>
      <c r="N34" s="296">
        <f ca="1">IFERROR(__xludf.DUMMYFUNCTION("IMPORTRANGE(""https://docs.google.com/spreadsheets/d/1XL5vhW3sbDhbH9Cz0tuDiY8C3ctxq1tqvaCgkFb8cCA/edit?usp=sharing"",""กาฬสินธุ์!J456"")"),0)</f>
        <v>0</v>
      </c>
      <c r="O34" s="297">
        <f t="shared" ca="1" si="5"/>
        <v>0</v>
      </c>
      <c r="P34" s="296">
        <f ca="1">IFERROR(__xludf.DUMMYFUNCTION("IMPORTRANGE(""https://docs.google.com/spreadsheets/d/1C3CXT74ZlgGe6_JY_1olB1XN4rF0dxEuIIF-xsYjHgg/edit?usp=sharing"",""งบกองทุน!DY38"")"),0)</f>
        <v>0</v>
      </c>
      <c r="Q34" s="296" t="str">
        <f ca="1">IFERROR(__xludf.DUMMYFUNCTION("IMPORTRANGE(""https://docs.google.com/spreadsheets/d/1XL5vhW3sbDhbH9Cz0tuDiY8C3ctxq1tqvaCgkFb8cCA/edit?usp=sharing"",""กาฬสินธุ์!J457"")"),"")</f>
        <v/>
      </c>
      <c r="R34" s="296" t="str">
        <f ca="1">IFERROR(__xludf.DUMMYFUNCTION("IMPORTRANGE(""https://docs.google.com/spreadsheets/d/1XL5vhW3sbDhbH9Cz0tuDiY8C3ctxq1tqvaCgkFb8cCA/edit?usp=sharing"",""กาฬสินธุ์!J458"")"),"")</f>
        <v/>
      </c>
      <c r="S34" s="358">
        <f t="shared" ca="1" si="7"/>
        <v>0</v>
      </c>
      <c r="T34" s="339"/>
      <c r="U34" s="339"/>
      <c r="V34" s="339"/>
      <c r="W34" s="339"/>
      <c r="X34" s="339"/>
      <c r="Y34" s="339"/>
      <c r="Z34" s="339"/>
    </row>
    <row r="35" spans="1:26" ht="21" customHeight="1">
      <c r="A35" s="303">
        <v>2</v>
      </c>
      <c r="B35" s="304" t="s">
        <v>59</v>
      </c>
      <c r="C35" s="391">
        <f t="shared" ca="1" si="50"/>
        <v>0</v>
      </c>
      <c r="D35" s="306">
        <f ca="1">IFERROR(__xludf.DUMMYFUNCTION("IMPORTRANGE(""https://docs.google.com/spreadsheets/d/1C3CXT74ZlgGe6_JY_1olB1XN4rF0dxEuIIF-xsYjHgg/edit?usp=sharing"",""งบกองทุน!DT39"")"),0)</f>
        <v>0</v>
      </c>
      <c r="E35" s="306">
        <f ca="1">IFERROR(__xludf.DUMMYFUNCTION("IMPORTRANGE(""https://docs.google.com/spreadsheets/d/1C3CXT74ZlgGe6_JY_1olB1XN4rF0dxEuIIF-xsYjHgg/edit?usp=sharing"",""งบกองทุน!DU39"")"),0)</f>
        <v>0</v>
      </c>
      <c r="F35" s="307">
        <f ca="1">IFERROR(__xludf.DUMMYFUNCTION("IMPORTRANGE(""https://docs.google.com/spreadsheets/d/1XL5vhW3sbDhbH9Cz0tuDiY8C3ctxq1tqvaCgkFb8cCA/edit?usp=sharing"",""ขอนแก่น!M446"")"),0)</f>
        <v>0</v>
      </c>
      <c r="G35" s="307">
        <f t="shared" ca="1" si="1"/>
        <v>0</v>
      </c>
      <c r="H35" s="308">
        <v>0</v>
      </c>
      <c r="I35" s="308">
        <f t="shared" ref="I35:J35" ca="1" si="52">SUM(M35,Q35)</f>
        <v>0</v>
      </c>
      <c r="J35" s="308">
        <f t="shared" ca="1" si="52"/>
        <v>0</v>
      </c>
      <c r="K35" s="309">
        <f t="shared" si="3"/>
        <v>0</v>
      </c>
      <c r="L35" s="306">
        <f ca="1">IFERROR(__xludf.DUMMYFUNCTION("IMPORTRANGE(""https://docs.google.com/spreadsheets/d/1C3CXT74ZlgGe6_JY_1olB1XN4rF0dxEuIIF-xsYjHgg/edit?usp=sharing"",""งบกองทุน!DW39"")"),0)</f>
        <v>0</v>
      </c>
      <c r="M35" s="306">
        <f ca="1">IFERROR(__xludf.DUMMYFUNCTION("IMPORTRANGE(""https://docs.google.com/spreadsheets/d/1XL5vhW3sbDhbH9Cz0tuDiY8C3ctxq1tqvaCgkFb8cCA/edit?usp=sharing"",""ขอนแก่น!J455"")"),0)</f>
        <v>0</v>
      </c>
      <c r="N35" s="306">
        <f ca="1">IFERROR(__xludf.DUMMYFUNCTION("IMPORTRANGE(""https://docs.google.com/spreadsheets/d/1XL5vhW3sbDhbH9Cz0tuDiY8C3ctxq1tqvaCgkFb8cCA/edit?usp=sharing"",""ขอนแก่น!J456"")"),0)</f>
        <v>0</v>
      </c>
      <c r="O35" s="307">
        <f t="shared" ca="1" si="5"/>
        <v>0</v>
      </c>
      <c r="P35" s="306">
        <f ca="1">IFERROR(__xludf.DUMMYFUNCTION("IMPORTRANGE(""https://docs.google.com/spreadsheets/d/1C3CXT74ZlgGe6_JY_1olB1XN4rF0dxEuIIF-xsYjHgg/edit?usp=sharing"",""งบกองทุน!DY39"")"),0)</f>
        <v>0</v>
      </c>
      <c r="Q35" s="306" t="str">
        <f ca="1">IFERROR(__xludf.DUMMYFUNCTION("IMPORTRANGE(""https://docs.google.com/spreadsheets/d/1XL5vhW3sbDhbH9Cz0tuDiY8C3ctxq1tqvaCgkFb8cCA/edit?usp=sharing"",""ขอนแก่น!J457"")"),"")</f>
        <v/>
      </c>
      <c r="R35" s="306" t="str">
        <f ca="1">IFERROR(__xludf.DUMMYFUNCTION("IMPORTRANGE(""https://docs.google.com/spreadsheets/d/1XL5vhW3sbDhbH9Cz0tuDiY8C3ctxq1tqvaCgkFb8cCA/edit?usp=sharing"",""ขอนแก่น!J458"")"),"")</f>
        <v/>
      </c>
      <c r="S35" s="359">
        <f t="shared" ca="1" si="7"/>
        <v>0</v>
      </c>
      <c r="T35" s="339"/>
      <c r="U35" s="339"/>
      <c r="V35" s="339"/>
      <c r="W35" s="339"/>
      <c r="X35" s="339"/>
      <c r="Y35" s="339"/>
      <c r="Z35" s="339"/>
    </row>
    <row r="36" spans="1:26" ht="21" customHeight="1">
      <c r="A36" s="303">
        <v>3</v>
      </c>
      <c r="B36" s="304" t="s">
        <v>60</v>
      </c>
      <c r="C36" s="391">
        <f t="shared" ca="1" si="50"/>
        <v>0</v>
      </c>
      <c r="D36" s="306">
        <f ca="1">IFERROR(__xludf.DUMMYFUNCTION("IMPORTRANGE(""https://docs.google.com/spreadsheets/d/1C3CXT74ZlgGe6_JY_1olB1XN4rF0dxEuIIF-xsYjHgg/edit?usp=sharing"",""งบกองทุน!DT40"")"),0)</f>
        <v>0</v>
      </c>
      <c r="E36" s="306">
        <f ca="1">IFERROR(__xludf.DUMMYFUNCTION("IMPORTRANGE(""https://docs.google.com/spreadsheets/d/1C3CXT74ZlgGe6_JY_1olB1XN4rF0dxEuIIF-xsYjHgg/edit?usp=sharing"",""งบกองทุน!DU40"")"),0)</f>
        <v>0</v>
      </c>
      <c r="F36" s="307">
        <f ca="1">IFERROR(__xludf.DUMMYFUNCTION("IMPORTRANGE(""https://docs.google.com/spreadsheets/d/1XL5vhW3sbDhbH9Cz0tuDiY8C3ctxq1tqvaCgkFb8cCA/edit?usp=sharing"",""ชัยภูมิ!M446"")"),0)</f>
        <v>0</v>
      </c>
      <c r="G36" s="307">
        <f t="shared" ca="1" si="1"/>
        <v>0</v>
      </c>
      <c r="H36" s="308">
        <v>0</v>
      </c>
      <c r="I36" s="308">
        <f t="shared" ref="I36:J36" ca="1" si="53">SUM(M36,Q36)</f>
        <v>0</v>
      </c>
      <c r="J36" s="308">
        <f t="shared" ca="1" si="53"/>
        <v>0</v>
      </c>
      <c r="K36" s="309">
        <f t="shared" si="3"/>
        <v>0</v>
      </c>
      <c r="L36" s="306">
        <f ca="1">IFERROR(__xludf.DUMMYFUNCTION("IMPORTRANGE(""https://docs.google.com/spreadsheets/d/1C3CXT74ZlgGe6_JY_1olB1XN4rF0dxEuIIF-xsYjHgg/edit?usp=sharing"",""งบกองทุน!DW40"")"),0)</f>
        <v>0</v>
      </c>
      <c r="M36" s="306">
        <f ca="1">IFERROR(__xludf.DUMMYFUNCTION("IMPORTRANGE(""https://docs.google.com/spreadsheets/d/1XL5vhW3sbDhbH9Cz0tuDiY8C3ctxq1tqvaCgkFb8cCA/edit?usp=sharing"",""ชัยภูมิ!J455"")"),0)</f>
        <v>0</v>
      </c>
      <c r="N36" s="306">
        <f ca="1">IFERROR(__xludf.DUMMYFUNCTION("IMPORTRANGE(""https://docs.google.com/spreadsheets/d/1XL5vhW3sbDhbH9Cz0tuDiY8C3ctxq1tqvaCgkFb8cCA/edit?usp=sharing"",""ชัยภูมิ!J456"")"),0)</f>
        <v>0</v>
      </c>
      <c r="O36" s="307">
        <f t="shared" ca="1" si="5"/>
        <v>0</v>
      </c>
      <c r="P36" s="306">
        <f ca="1">IFERROR(__xludf.DUMMYFUNCTION("IMPORTRANGE(""https://docs.google.com/spreadsheets/d/1C3CXT74ZlgGe6_JY_1olB1XN4rF0dxEuIIF-xsYjHgg/edit?usp=sharing"",""งบกองทุน!DY40"")"),0)</f>
        <v>0</v>
      </c>
      <c r="Q36" s="306" t="str">
        <f ca="1">IFERROR(__xludf.DUMMYFUNCTION("IMPORTRANGE(""https://docs.google.com/spreadsheets/d/1XL5vhW3sbDhbH9Cz0tuDiY8C3ctxq1tqvaCgkFb8cCA/edit?usp=sharing"",""ชัยภูมิ!J457"")"),"")</f>
        <v/>
      </c>
      <c r="R36" s="306" t="str">
        <f ca="1">IFERROR(__xludf.DUMMYFUNCTION("IMPORTRANGE(""https://docs.google.com/spreadsheets/d/1XL5vhW3sbDhbH9Cz0tuDiY8C3ctxq1tqvaCgkFb8cCA/edit?usp=sharing"",""ชัยภูมิ!J458"")"),"")</f>
        <v/>
      </c>
      <c r="S36" s="359">
        <f t="shared" ca="1" si="7"/>
        <v>0</v>
      </c>
      <c r="T36" s="339"/>
      <c r="U36" s="339"/>
      <c r="V36" s="339"/>
      <c r="W36" s="339"/>
      <c r="X36" s="339"/>
      <c r="Y36" s="339"/>
      <c r="Z36" s="339"/>
    </row>
    <row r="37" spans="1:26" ht="21" customHeight="1">
      <c r="A37" s="303">
        <v>4</v>
      </c>
      <c r="B37" s="304" t="s">
        <v>61</v>
      </c>
      <c r="C37" s="391">
        <f t="shared" ca="1" si="50"/>
        <v>0</v>
      </c>
      <c r="D37" s="306">
        <f ca="1">IFERROR(__xludf.DUMMYFUNCTION("IMPORTRANGE(""https://docs.google.com/spreadsheets/d/1C3CXT74ZlgGe6_JY_1olB1XN4rF0dxEuIIF-xsYjHgg/edit?usp=sharing"",""งบกองทุน!DT41"")"),0)</f>
        <v>0</v>
      </c>
      <c r="E37" s="306">
        <f ca="1">IFERROR(__xludf.DUMMYFUNCTION("IMPORTRANGE(""https://docs.google.com/spreadsheets/d/1C3CXT74ZlgGe6_JY_1olB1XN4rF0dxEuIIF-xsYjHgg/edit?usp=sharing"",""งบกองทุน!DU41"")"),0)</f>
        <v>0</v>
      </c>
      <c r="F37" s="307">
        <f ca="1">IFERROR(__xludf.DUMMYFUNCTION("IMPORTRANGE(""https://docs.google.com/spreadsheets/d/1XL5vhW3sbDhbH9Cz0tuDiY8C3ctxq1tqvaCgkFb8cCA/edit?usp=sharing"",""นครพนม!M446"")"),0)</f>
        <v>0</v>
      </c>
      <c r="G37" s="307">
        <f t="shared" ca="1" si="1"/>
        <v>0</v>
      </c>
      <c r="H37" s="308">
        <v>0</v>
      </c>
      <c r="I37" s="308">
        <f t="shared" ref="I37:J37" ca="1" si="54">SUM(M37,Q37)</f>
        <v>0</v>
      </c>
      <c r="J37" s="308">
        <f t="shared" ca="1" si="54"/>
        <v>0</v>
      </c>
      <c r="K37" s="309">
        <f t="shared" si="3"/>
        <v>0</v>
      </c>
      <c r="L37" s="306">
        <f ca="1">IFERROR(__xludf.DUMMYFUNCTION("IMPORTRANGE(""https://docs.google.com/spreadsheets/d/1C3CXT74ZlgGe6_JY_1olB1XN4rF0dxEuIIF-xsYjHgg/edit?usp=sharing"",""งบกองทุน!DW41"")"),0)</f>
        <v>0</v>
      </c>
      <c r="M37" s="306">
        <f ca="1">IFERROR(__xludf.DUMMYFUNCTION("IMPORTRANGE(""https://docs.google.com/spreadsheets/d/1XL5vhW3sbDhbH9Cz0tuDiY8C3ctxq1tqvaCgkFb8cCA/edit?usp=sharing"",""นครพนม!J455"")"),0)</f>
        <v>0</v>
      </c>
      <c r="N37" s="306">
        <f ca="1">IFERROR(__xludf.DUMMYFUNCTION("IMPORTRANGE(""https://docs.google.com/spreadsheets/d/1XL5vhW3sbDhbH9Cz0tuDiY8C3ctxq1tqvaCgkFb8cCA/edit?usp=sharing"",""นครพนม!J456"")"),0)</f>
        <v>0</v>
      </c>
      <c r="O37" s="307">
        <f t="shared" ca="1" si="5"/>
        <v>0</v>
      </c>
      <c r="P37" s="306">
        <f ca="1">IFERROR(__xludf.DUMMYFUNCTION("IMPORTRANGE(""https://docs.google.com/spreadsheets/d/1C3CXT74ZlgGe6_JY_1olB1XN4rF0dxEuIIF-xsYjHgg/edit?usp=sharing"",""งบกองทุน!DY41"")"),0)</f>
        <v>0</v>
      </c>
      <c r="Q37" s="306" t="str">
        <f ca="1">IFERROR(__xludf.DUMMYFUNCTION("IMPORTRANGE(""https://docs.google.com/spreadsheets/d/1XL5vhW3sbDhbH9Cz0tuDiY8C3ctxq1tqvaCgkFb8cCA/edit?usp=sharing"",""นครพนม!J457"")"),"")</f>
        <v/>
      </c>
      <c r="R37" s="306" t="str">
        <f ca="1">IFERROR(__xludf.DUMMYFUNCTION("IMPORTRANGE(""https://docs.google.com/spreadsheets/d/1XL5vhW3sbDhbH9Cz0tuDiY8C3ctxq1tqvaCgkFb8cCA/edit?usp=sharing"",""นครพนม!J458"")"),"")</f>
        <v/>
      </c>
      <c r="S37" s="359">
        <f t="shared" ca="1" si="7"/>
        <v>0</v>
      </c>
      <c r="T37" s="339"/>
      <c r="U37" s="339"/>
      <c r="V37" s="339"/>
      <c r="W37" s="339"/>
      <c r="X37" s="339"/>
      <c r="Y37" s="339"/>
      <c r="Z37" s="339"/>
    </row>
    <row r="38" spans="1:26" ht="21" customHeight="1">
      <c r="A38" s="303">
        <v>5</v>
      </c>
      <c r="B38" s="304" t="s">
        <v>62</v>
      </c>
      <c r="C38" s="391">
        <f t="shared" ca="1" si="50"/>
        <v>320000</v>
      </c>
      <c r="D38" s="306">
        <f ca="1">IFERROR(__xludf.DUMMYFUNCTION("IMPORTRANGE(""https://docs.google.com/spreadsheets/d/1C3CXT74ZlgGe6_JY_1olB1XN4rF0dxEuIIF-xsYjHgg/edit?usp=sharing"",""งบกองทุน!DT42"")"),0)</f>
        <v>0</v>
      </c>
      <c r="E38" s="306">
        <f ca="1">IFERROR(__xludf.DUMMYFUNCTION("IMPORTRANGE(""https://docs.google.com/spreadsheets/d/1C3CXT74ZlgGe6_JY_1olB1XN4rF0dxEuIIF-xsYjHgg/edit?usp=sharing"",""งบกองทุน!DU42"")"),320000)</f>
        <v>320000</v>
      </c>
      <c r="F38" s="307">
        <f ca="1">IFERROR(__xludf.DUMMYFUNCTION("IMPORTRANGE(""https://docs.google.com/spreadsheets/d/1XL5vhW3sbDhbH9Cz0tuDiY8C3ctxq1tqvaCgkFb8cCA/edit?usp=sharing"",""นครราชสีมา!M446"")"),243060.2)</f>
        <v>243060.2</v>
      </c>
      <c r="G38" s="307">
        <f t="shared" ca="1" si="1"/>
        <v>75.956312499999996</v>
      </c>
      <c r="H38" s="308">
        <v>5000</v>
      </c>
      <c r="I38" s="308">
        <f t="shared" ref="I38:J38" ca="1" si="55">SUM(M38,Q38)</f>
        <v>1449</v>
      </c>
      <c r="J38" s="308">
        <f t="shared" ca="1" si="55"/>
        <v>74</v>
      </c>
      <c r="K38" s="309">
        <f t="shared" ca="1" si="3"/>
        <v>28.98</v>
      </c>
      <c r="L38" s="306">
        <f ca="1">IFERROR(__xludf.DUMMYFUNCTION("IMPORTRANGE(""https://docs.google.com/spreadsheets/d/1C3CXT74ZlgGe6_JY_1olB1XN4rF0dxEuIIF-xsYjHgg/edit?usp=sharing"",""งบกองทุน!DW42"")"),5000)</f>
        <v>5000</v>
      </c>
      <c r="M38" s="306">
        <f ca="1">IFERROR(__xludf.DUMMYFUNCTION("IMPORTRANGE(""https://docs.google.com/spreadsheets/d/1XL5vhW3sbDhbH9Cz0tuDiY8C3ctxq1tqvaCgkFb8cCA/edit?usp=sharing"",""นครราชสีมา!J455"")"),1449)</f>
        <v>1449</v>
      </c>
      <c r="N38" s="306">
        <f ca="1">IFERROR(__xludf.DUMMYFUNCTION("IMPORTRANGE(""https://docs.google.com/spreadsheets/d/1XL5vhW3sbDhbH9Cz0tuDiY8C3ctxq1tqvaCgkFb8cCA/edit?usp=sharing"",""นครราชสีมา!J456"")"),74)</f>
        <v>74</v>
      </c>
      <c r="O38" s="307">
        <f t="shared" ca="1" si="5"/>
        <v>28.98</v>
      </c>
      <c r="P38" s="306">
        <f ca="1">IFERROR(__xludf.DUMMYFUNCTION("IMPORTRANGE(""https://docs.google.com/spreadsheets/d/1C3CXT74ZlgGe6_JY_1olB1XN4rF0dxEuIIF-xsYjHgg/edit?usp=sharing"",""งบกองทุน!DY42"")"),0)</f>
        <v>0</v>
      </c>
      <c r="Q38" s="306" t="str">
        <f ca="1">IFERROR(__xludf.DUMMYFUNCTION("IMPORTRANGE(""https://docs.google.com/spreadsheets/d/1XL5vhW3sbDhbH9Cz0tuDiY8C3ctxq1tqvaCgkFb8cCA/edit?usp=sharing"",""นครราชสีมา!J457"")"),"")</f>
        <v/>
      </c>
      <c r="R38" s="306" t="str">
        <f ca="1">IFERROR(__xludf.DUMMYFUNCTION("IMPORTRANGE(""https://docs.google.com/spreadsheets/d/1XL5vhW3sbDhbH9Cz0tuDiY8C3ctxq1tqvaCgkFb8cCA/edit?usp=sharing"",""นครราชสีมา!J458"")"),"")</f>
        <v/>
      </c>
      <c r="S38" s="359">
        <f t="shared" ca="1" si="7"/>
        <v>0</v>
      </c>
      <c r="T38" s="339"/>
      <c r="U38" s="339"/>
      <c r="V38" s="339"/>
      <c r="W38" s="339"/>
      <c r="X38" s="339"/>
      <c r="Y38" s="339"/>
      <c r="Z38" s="339"/>
    </row>
    <row r="39" spans="1:26" ht="21" customHeight="1">
      <c r="A39" s="303">
        <v>6</v>
      </c>
      <c r="B39" s="304" t="s">
        <v>63</v>
      </c>
      <c r="C39" s="391">
        <f t="shared" ca="1" si="50"/>
        <v>320000</v>
      </c>
      <c r="D39" s="306">
        <f ca="1">IFERROR(__xludf.DUMMYFUNCTION("IMPORTRANGE(""https://docs.google.com/spreadsheets/d/1C3CXT74ZlgGe6_JY_1olB1XN4rF0dxEuIIF-xsYjHgg/edit?usp=sharing"",""งบกองทุน!DT43"")"),0)</f>
        <v>0</v>
      </c>
      <c r="E39" s="306">
        <f ca="1">IFERROR(__xludf.DUMMYFUNCTION("IMPORTRANGE(""https://docs.google.com/spreadsheets/d/1C3CXT74ZlgGe6_JY_1olB1XN4rF0dxEuIIF-xsYjHgg/edit?usp=sharing"",""งบกองทุน!DU43"")"),320000)</f>
        <v>320000</v>
      </c>
      <c r="F39" s="307">
        <f ca="1">IFERROR(__xludf.DUMMYFUNCTION("IMPORTRANGE(""https://docs.google.com/spreadsheets/d/1XL5vhW3sbDhbH9Cz0tuDiY8C3ctxq1tqvaCgkFb8cCA/edit?usp=sharing"",""บึงกาฬ!M446"")"),287909)</f>
        <v>287909</v>
      </c>
      <c r="G39" s="307">
        <f t="shared" ca="1" si="1"/>
        <v>89.971562500000005</v>
      </c>
      <c r="H39" s="308">
        <v>5000</v>
      </c>
      <c r="I39" s="308">
        <f t="shared" ref="I39:J39" ca="1" si="56">SUM(M39,Q39)</f>
        <v>1991</v>
      </c>
      <c r="J39" s="308">
        <f t="shared" ca="1" si="56"/>
        <v>136</v>
      </c>
      <c r="K39" s="309">
        <f t="shared" ca="1" si="3"/>
        <v>39.82</v>
      </c>
      <c r="L39" s="306">
        <f ca="1">IFERROR(__xludf.DUMMYFUNCTION("IMPORTRANGE(""https://docs.google.com/spreadsheets/d/1C3CXT74ZlgGe6_JY_1olB1XN4rF0dxEuIIF-xsYjHgg/edit?usp=sharing"",""งบกองทุน!DW43"")"),5000)</f>
        <v>5000</v>
      </c>
      <c r="M39" s="306">
        <f ca="1">IFERROR(__xludf.DUMMYFUNCTION("IMPORTRANGE(""https://docs.google.com/spreadsheets/d/1XL5vhW3sbDhbH9Cz0tuDiY8C3ctxq1tqvaCgkFb8cCA/edit?usp=sharing"",""บึงกาฬ!J455"")"),1991)</f>
        <v>1991</v>
      </c>
      <c r="N39" s="306">
        <f ca="1">IFERROR(__xludf.DUMMYFUNCTION("IMPORTRANGE(""https://docs.google.com/spreadsheets/d/1XL5vhW3sbDhbH9Cz0tuDiY8C3ctxq1tqvaCgkFb8cCA/edit?usp=sharing"",""บึงกาฬ!J456"")"),136)</f>
        <v>136</v>
      </c>
      <c r="O39" s="307">
        <f t="shared" ca="1" si="5"/>
        <v>39.82</v>
      </c>
      <c r="P39" s="306">
        <f ca="1">IFERROR(__xludf.DUMMYFUNCTION("IMPORTRANGE(""https://docs.google.com/spreadsheets/d/1C3CXT74ZlgGe6_JY_1olB1XN4rF0dxEuIIF-xsYjHgg/edit?usp=sharing"",""งบกองทุน!DY43"")"),0)</f>
        <v>0</v>
      </c>
      <c r="Q39" s="306" t="str">
        <f ca="1">IFERROR(__xludf.DUMMYFUNCTION("IMPORTRANGE(""https://docs.google.com/spreadsheets/d/1XL5vhW3sbDhbH9Cz0tuDiY8C3ctxq1tqvaCgkFb8cCA/edit?usp=sharing"",""บึงกาฬ!J457"")"),"")</f>
        <v/>
      </c>
      <c r="R39" s="306" t="str">
        <f ca="1">IFERROR(__xludf.DUMMYFUNCTION("IMPORTRANGE(""https://docs.google.com/spreadsheets/d/1XL5vhW3sbDhbH9Cz0tuDiY8C3ctxq1tqvaCgkFb8cCA/edit?usp=sharing"",""บึงกาฬ!J458"")"),"")</f>
        <v/>
      </c>
      <c r="S39" s="359">
        <f t="shared" ca="1" si="7"/>
        <v>0</v>
      </c>
      <c r="T39" s="339"/>
      <c r="U39" s="339"/>
      <c r="V39" s="339"/>
      <c r="W39" s="339"/>
      <c r="X39" s="339"/>
      <c r="Y39" s="339"/>
      <c r="Z39" s="339"/>
    </row>
    <row r="40" spans="1:26" ht="21" customHeight="1">
      <c r="A40" s="303">
        <v>7</v>
      </c>
      <c r="B40" s="304" t="s">
        <v>64</v>
      </c>
      <c r="C40" s="391">
        <f t="shared" ca="1" si="50"/>
        <v>0</v>
      </c>
      <c r="D40" s="306">
        <f ca="1">IFERROR(__xludf.DUMMYFUNCTION("IMPORTRANGE(""https://docs.google.com/spreadsheets/d/1C3CXT74ZlgGe6_JY_1olB1XN4rF0dxEuIIF-xsYjHgg/edit?usp=sharing"",""งบกองทุน!DT44"")"),0)</f>
        <v>0</v>
      </c>
      <c r="E40" s="306">
        <f ca="1">IFERROR(__xludf.DUMMYFUNCTION("IMPORTRANGE(""https://docs.google.com/spreadsheets/d/1C3CXT74ZlgGe6_JY_1olB1XN4rF0dxEuIIF-xsYjHgg/edit?usp=sharing"",""งบกองทุน!DU44"")"),0)</f>
        <v>0</v>
      </c>
      <c r="F40" s="307">
        <f ca="1">IFERROR(__xludf.DUMMYFUNCTION("IMPORTRANGE(""https://docs.google.com/spreadsheets/d/1XL5vhW3sbDhbH9Cz0tuDiY8C3ctxq1tqvaCgkFb8cCA/edit?usp=sharing"",""บุรีรัมย์!M446"")"),0)</f>
        <v>0</v>
      </c>
      <c r="G40" s="307">
        <f t="shared" ca="1" si="1"/>
        <v>0</v>
      </c>
      <c r="H40" s="308">
        <v>0</v>
      </c>
      <c r="I40" s="308">
        <f t="shared" ref="I40:J40" ca="1" si="57">SUM(M40,Q40)</f>
        <v>0</v>
      </c>
      <c r="J40" s="308">
        <f t="shared" ca="1" si="57"/>
        <v>0</v>
      </c>
      <c r="K40" s="309">
        <f t="shared" si="3"/>
        <v>0</v>
      </c>
      <c r="L40" s="306">
        <f ca="1">IFERROR(__xludf.DUMMYFUNCTION("IMPORTRANGE(""https://docs.google.com/spreadsheets/d/1C3CXT74ZlgGe6_JY_1olB1XN4rF0dxEuIIF-xsYjHgg/edit?usp=sharing"",""งบกองทุน!DW44"")"),0)</f>
        <v>0</v>
      </c>
      <c r="M40" s="306">
        <f ca="1">IFERROR(__xludf.DUMMYFUNCTION("IMPORTRANGE(""https://docs.google.com/spreadsheets/d/1XL5vhW3sbDhbH9Cz0tuDiY8C3ctxq1tqvaCgkFb8cCA/edit?usp=sharing"",""บุรีรัมย์!J455"")"),0)</f>
        <v>0</v>
      </c>
      <c r="N40" s="306">
        <f ca="1">IFERROR(__xludf.DUMMYFUNCTION("IMPORTRANGE(""https://docs.google.com/spreadsheets/d/1XL5vhW3sbDhbH9Cz0tuDiY8C3ctxq1tqvaCgkFb8cCA/edit?usp=sharing"",""บุรีรัมย์!J456"")"),0)</f>
        <v>0</v>
      </c>
      <c r="O40" s="307">
        <f t="shared" ca="1" si="5"/>
        <v>0</v>
      </c>
      <c r="P40" s="306">
        <f ca="1">IFERROR(__xludf.DUMMYFUNCTION("IMPORTRANGE(""https://docs.google.com/spreadsheets/d/1C3CXT74ZlgGe6_JY_1olB1XN4rF0dxEuIIF-xsYjHgg/edit?usp=sharing"",""งบกองทุน!DY44"")"),0)</f>
        <v>0</v>
      </c>
      <c r="Q40" s="306" t="str">
        <f ca="1">IFERROR(__xludf.DUMMYFUNCTION("IMPORTRANGE(""https://docs.google.com/spreadsheets/d/1XL5vhW3sbDhbH9Cz0tuDiY8C3ctxq1tqvaCgkFb8cCA/edit?usp=sharing"",""บุรีรัมย์!J457"")"),"")</f>
        <v/>
      </c>
      <c r="R40" s="306" t="str">
        <f ca="1">IFERROR(__xludf.DUMMYFUNCTION("IMPORTRANGE(""https://docs.google.com/spreadsheets/d/1XL5vhW3sbDhbH9Cz0tuDiY8C3ctxq1tqvaCgkFb8cCA/edit?usp=sharing"",""บุรีรัมย์!J458"")"),"")</f>
        <v/>
      </c>
      <c r="S40" s="359">
        <f t="shared" ca="1" si="7"/>
        <v>0</v>
      </c>
      <c r="T40" s="339"/>
      <c r="U40" s="339"/>
      <c r="V40" s="339"/>
      <c r="W40" s="339"/>
      <c r="X40" s="339"/>
      <c r="Y40" s="339"/>
      <c r="Z40" s="339"/>
    </row>
    <row r="41" spans="1:26" ht="21" customHeight="1">
      <c r="A41" s="303">
        <v>8</v>
      </c>
      <c r="B41" s="304" t="s">
        <v>65</v>
      </c>
      <c r="C41" s="391">
        <f t="shared" ca="1" si="50"/>
        <v>0</v>
      </c>
      <c r="D41" s="306">
        <f ca="1">IFERROR(__xludf.DUMMYFUNCTION("IMPORTRANGE(""https://docs.google.com/spreadsheets/d/1C3CXT74ZlgGe6_JY_1olB1XN4rF0dxEuIIF-xsYjHgg/edit?usp=sharing"",""งบกองทุน!DT45"")"),0)</f>
        <v>0</v>
      </c>
      <c r="E41" s="306">
        <f ca="1">IFERROR(__xludf.DUMMYFUNCTION("IMPORTRANGE(""https://docs.google.com/spreadsheets/d/1C3CXT74ZlgGe6_JY_1olB1XN4rF0dxEuIIF-xsYjHgg/edit?usp=sharing"",""งบกองทุน!DU45"")"),0)</f>
        <v>0</v>
      </c>
      <c r="F41" s="307">
        <f ca="1">IFERROR(__xludf.DUMMYFUNCTION("IMPORTRANGE(""https://docs.google.com/spreadsheets/d/1XL5vhW3sbDhbH9Cz0tuDiY8C3ctxq1tqvaCgkFb8cCA/edit?usp=sharing"",""มหาสารคาม!M446"")"),0)</f>
        <v>0</v>
      </c>
      <c r="G41" s="307">
        <f t="shared" ca="1" si="1"/>
        <v>0</v>
      </c>
      <c r="H41" s="308">
        <v>0</v>
      </c>
      <c r="I41" s="308">
        <f t="shared" ref="I41:J41" ca="1" si="58">SUM(M41,Q41)</f>
        <v>0</v>
      </c>
      <c r="J41" s="308">
        <f t="shared" ca="1" si="58"/>
        <v>0</v>
      </c>
      <c r="K41" s="309">
        <f t="shared" si="3"/>
        <v>0</v>
      </c>
      <c r="L41" s="306">
        <f ca="1">IFERROR(__xludf.DUMMYFUNCTION("IMPORTRANGE(""https://docs.google.com/spreadsheets/d/1C3CXT74ZlgGe6_JY_1olB1XN4rF0dxEuIIF-xsYjHgg/edit?usp=sharing"",""งบกองทุน!DW45"")"),0)</f>
        <v>0</v>
      </c>
      <c r="M41" s="306">
        <f ca="1">IFERROR(__xludf.DUMMYFUNCTION("IMPORTRANGE(""https://docs.google.com/spreadsheets/d/1XL5vhW3sbDhbH9Cz0tuDiY8C3ctxq1tqvaCgkFb8cCA/edit?usp=sharing"",""มหาสารคาม!J455"")"),0)</f>
        <v>0</v>
      </c>
      <c r="N41" s="306">
        <f ca="1">IFERROR(__xludf.DUMMYFUNCTION("IMPORTRANGE(""https://docs.google.com/spreadsheets/d/1XL5vhW3sbDhbH9Cz0tuDiY8C3ctxq1tqvaCgkFb8cCA/edit?usp=sharing"",""มหาสารคาม!J456"")"),0)</f>
        <v>0</v>
      </c>
      <c r="O41" s="307">
        <f t="shared" ca="1" si="5"/>
        <v>0</v>
      </c>
      <c r="P41" s="306">
        <f ca="1">IFERROR(__xludf.DUMMYFUNCTION("IMPORTRANGE(""https://docs.google.com/spreadsheets/d/1C3CXT74ZlgGe6_JY_1olB1XN4rF0dxEuIIF-xsYjHgg/edit?usp=sharing"",""งบกองทุน!DY45"")"),0)</f>
        <v>0</v>
      </c>
      <c r="Q41" s="306" t="str">
        <f ca="1">IFERROR(__xludf.DUMMYFUNCTION("IMPORTRANGE(""https://docs.google.com/spreadsheets/d/1XL5vhW3sbDhbH9Cz0tuDiY8C3ctxq1tqvaCgkFb8cCA/edit?usp=sharing"",""มหาสารคาม!J457"")"),"")</f>
        <v/>
      </c>
      <c r="R41" s="306" t="str">
        <f ca="1">IFERROR(__xludf.DUMMYFUNCTION("IMPORTRANGE(""https://docs.google.com/spreadsheets/d/1XL5vhW3sbDhbH9Cz0tuDiY8C3ctxq1tqvaCgkFb8cCA/edit?usp=sharing"",""มหาสารคาม!J458"")"),"")</f>
        <v/>
      </c>
      <c r="S41" s="359">
        <f t="shared" ca="1" si="7"/>
        <v>0</v>
      </c>
      <c r="T41" s="339"/>
      <c r="U41" s="339"/>
      <c r="V41" s="339"/>
      <c r="W41" s="339"/>
      <c r="X41" s="339"/>
      <c r="Y41" s="339"/>
      <c r="Z41" s="339"/>
    </row>
    <row r="42" spans="1:26" ht="21" customHeight="1">
      <c r="A42" s="303">
        <v>9</v>
      </c>
      <c r="B42" s="304" t="s">
        <v>66</v>
      </c>
      <c r="C42" s="391">
        <f t="shared" ca="1" si="50"/>
        <v>0</v>
      </c>
      <c r="D42" s="306">
        <f ca="1">IFERROR(__xludf.DUMMYFUNCTION("IMPORTRANGE(""https://docs.google.com/spreadsheets/d/1C3CXT74ZlgGe6_JY_1olB1XN4rF0dxEuIIF-xsYjHgg/edit?usp=sharing"",""งบกองทุน!DT46"")"),0)</f>
        <v>0</v>
      </c>
      <c r="E42" s="306">
        <f ca="1">IFERROR(__xludf.DUMMYFUNCTION("IMPORTRANGE(""https://docs.google.com/spreadsheets/d/1C3CXT74ZlgGe6_JY_1olB1XN4rF0dxEuIIF-xsYjHgg/edit?usp=sharing"",""งบกองทุน!DU46"")"),0)</f>
        <v>0</v>
      </c>
      <c r="F42" s="307">
        <f ca="1">IFERROR(__xludf.DUMMYFUNCTION("IMPORTRANGE(""https://docs.google.com/spreadsheets/d/1XL5vhW3sbDhbH9Cz0tuDiY8C3ctxq1tqvaCgkFb8cCA/edit?usp=sharing"",""มุกดาหาร!M446"")"),0)</f>
        <v>0</v>
      </c>
      <c r="G42" s="307">
        <f t="shared" ca="1" si="1"/>
        <v>0</v>
      </c>
      <c r="H42" s="308">
        <v>0</v>
      </c>
      <c r="I42" s="308">
        <f t="shared" ref="I42:J42" ca="1" si="59">SUM(M42,Q42)</f>
        <v>0</v>
      </c>
      <c r="J42" s="308">
        <f t="shared" ca="1" si="59"/>
        <v>0</v>
      </c>
      <c r="K42" s="309">
        <f t="shared" si="3"/>
        <v>0</v>
      </c>
      <c r="L42" s="306">
        <f ca="1">IFERROR(__xludf.DUMMYFUNCTION("IMPORTRANGE(""https://docs.google.com/spreadsheets/d/1C3CXT74ZlgGe6_JY_1olB1XN4rF0dxEuIIF-xsYjHgg/edit?usp=sharing"",""งบกองทุน!DW46"")"),0)</f>
        <v>0</v>
      </c>
      <c r="M42" s="306">
        <f ca="1">IFERROR(__xludf.DUMMYFUNCTION("IMPORTRANGE(""https://docs.google.com/spreadsheets/d/1XL5vhW3sbDhbH9Cz0tuDiY8C3ctxq1tqvaCgkFb8cCA/edit?usp=sharing"",""มุกดาหาร!J455"")"),0)</f>
        <v>0</v>
      </c>
      <c r="N42" s="306">
        <f ca="1">IFERROR(__xludf.DUMMYFUNCTION("IMPORTRANGE(""https://docs.google.com/spreadsheets/d/1XL5vhW3sbDhbH9Cz0tuDiY8C3ctxq1tqvaCgkFb8cCA/edit?usp=sharing"",""มุกดาหาร!J456"")"),0)</f>
        <v>0</v>
      </c>
      <c r="O42" s="307">
        <f t="shared" ca="1" si="5"/>
        <v>0</v>
      </c>
      <c r="P42" s="306">
        <f ca="1">IFERROR(__xludf.DUMMYFUNCTION("IMPORTRANGE(""https://docs.google.com/spreadsheets/d/1C3CXT74ZlgGe6_JY_1olB1XN4rF0dxEuIIF-xsYjHgg/edit?usp=sharing"",""งบกองทุน!DY46"")"),0)</f>
        <v>0</v>
      </c>
      <c r="Q42" s="306" t="str">
        <f ca="1">IFERROR(__xludf.DUMMYFUNCTION("IMPORTRANGE(""https://docs.google.com/spreadsheets/d/1XL5vhW3sbDhbH9Cz0tuDiY8C3ctxq1tqvaCgkFb8cCA/edit?usp=sharing"",""มุกดาหาร!J457"")"),"")</f>
        <v/>
      </c>
      <c r="R42" s="306" t="str">
        <f ca="1">IFERROR(__xludf.DUMMYFUNCTION("IMPORTRANGE(""https://docs.google.com/spreadsheets/d/1XL5vhW3sbDhbH9Cz0tuDiY8C3ctxq1tqvaCgkFb8cCA/edit?usp=sharing"",""มุกดาหาร!J458"")"),"")</f>
        <v/>
      </c>
      <c r="S42" s="359">
        <f t="shared" ca="1" si="7"/>
        <v>0</v>
      </c>
      <c r="T42" s="339"/>
      <c r="U42" s="339"/>
      <c r="V42" s="339"/>
      <c r="W42" s="339"/>
      <c r="X42" s="339"/>
      <c r="Y42" s="339"/>
      <c r="Z42" s="339"/>
    </row>
    <row r="43" spans="1:26" ht="21" customHeight="1">
      <c r="A43" s="303">
        <v>10</v>
      </c>
      <c r="B43" s="304" t="s">
        <v>67</v>
      </c>
      <c r="C43" s="391">
        <f t="shared" ca="1" si="50"/>
        <v>0</v>
      </c>
      <c r="D43" s="306">
        <f ca="1">IFERROR(__xludf.DUMMYFUNCTION("IMPORTRANGE(""https://docs.google.com/spreadsheets/d/1C3CXT74ZlgGe6_JY_1olB1XN4rF0dxEuIIF-xsYjHgg/edit?usp=sharing"",""งบกองทุน!DT47"")"),0)</f>
        <v>0</v>
      </c>
      <c r="E43" s="306">
        <f ca="1">IFERROR(__xludf.DUMMYFUNCTION("IMPORTRANGE(""https://docs.google.com/spreadsheets/d/1C3CXT74ZlgGe6_JY_1olB1XN4rF0dxEuIIF-xsYjHgg/edit?usp=sharing"",""งบกองทุน!DU47"")"),0)</f>
        <v>0</v>
      </c>
      <c r="F43" s="307">
        <f ca="1">IFERROR(__xludf.DUMMYFUNCTION("IMPORTRANGE(""https://docs.google.com/spreadsheets/d/1XL5vhW3sbDhbH9Cz0tuDiY8C3ctxq1tqvaCgkFb8cCA/edit?usp=sharing"",""ยโสธร!M446"")"),0)</f>
        <v>0</v>
      </c>
      <c r="G43" s="307">
        <f t="shared" ca="1" si="1"/>
        <v>0</v>
      </c>
      <c r="H43" s="308">
        <v>0</v>
      </c>
      <c r="I43" s="308">
        <f t="shared" ref="I43:J43" ca="1" si="60">SUM(M43,Q43)</f>
        <v>0</v>
      </c>
      <c r="J43" s="308">
        <f t="shared" ca="1" si="60"/>
        <v>0</v>
      </c>
      <c r="K43" s="309">
        <f t="shared" si="3"/>
        <v>0</v>
      </c>
      <c r="L43" s="306">
        <f ca="1">IFERROR(__xludf.DUMMYFUNCTION("IMPORTRANGE(""https://docs.google.com/spreadsheets/d/1C3CXT74ZlgGe6_JY_1olB1XN4rF0dxEuIIF-xsYjHgg/edit?usp=sharing"",""งบกองทุน!DW47"")"),0)</f>
        <v>0</v>
      </c>
      <c r="M43" s="306">
        <f ca="1">IFERROR(__xludf.DUMMYFUNCTION("IMPORTRANGE(""https://docs.google.com/spreadsheets/d/1XL5vhW3sbDhbH9Cz0tuDiY8C3ctxq1tqvaCgkFb8cCA/edit?usp=sharing"",""ยโสธร!J455"")"),0)</f>
        <v>0</v>
      </c>
      <c r="N43" s="306">
        <f ca="1">IFERROR(__xludf.DUMMYFUNCTION("IMPORTRANGE(""https://docs.google.com/spreadsheets/d/1XL5vhW3sbDhbH9Cz0tuDiY8C3ctxq1tqvaCgkFb8cCA/edit?usp=sharing"",""ยโสธร!J456"")"),0)</f>
        <v>0</v>
      </c>
      <c r="O43" s="307">
        <f t="shared" ca="1" si="5"/>
        <v>0</v>
      </c>
      <c r="P43" s="306">
        <f ca="1">IFERROR(__xludf.DUMMYFUNCTION("IMPORTRANGE(""https://docs.google.com/spreadsheets/d/1C3CXT74ZlgGe6_JY_1olB1XN4rF0dxEuIIF-xsYjHgg/edit?usp=sharing"",""งบกองทุน!DY47"")"),0)</f>
        <v>0</v>
      </c>
      <c r="Q43" s="306" t="str">
        <f ca="1">IFERROR(__xludf.DUMMYFUNCTION("IMPORTRANGE(""https://docs.google.com/spreadsheets/d/1XL5vhW3sbDhbH9Cz0tuDiY8C3ctxq1tqvaCgkFb8cCA/edit?usp=sharing"",""ยโสธร!J457"")"),"")</f>
        <v/>
      </c>
      <c r="R43" s="306" t="str">
        <f ca="1">IFERROR(__xludf.DUMMYFUNCTION("IMPORTRANGE(""https://docs.google.com/spreadsheets/d/1XL5vhW3sbDhbH9Cz0tuDiY8C3ctxq1tqvaCgkFb8cCA/edit?usp=sharing"",""ยโสธร!J458"")"),"")</f>
        <v/>
      </c>
      <c r="S43" s="359">
        <f t="shared" ca="1" si="7"/>
        <v>0</v>
      </c>
      <c r="T43" s="339"/>
      <c r="U43" s="339"/>
      <c r="V43" s="339"/>
      <c r="W43" s="339"/>
      <c r="X43" s="339"/>
      <c r="Y43" s="339"/>
      <c r="Z43" s="339"/>
    </row>
    <row r="44" spans="1:26" ht="21" customHeight="1">
      <c r="A44" s="303">
        <v>11</v>
      </c>
      <c r="B44" s="304" t="s">
        <v>68</v>
      </c>
      <c r="C44" s="391">
        <f t="shared" ca="1" si="50"/>
        <v>0</v>
      </c>
      <c r="D44" s="306">
        <f ca="1">IFERROR(__xludf.DUMMYFUNCTION("IMPORTRANGE(""https://docs.google.com/spreadsheets/d/1C3CXT74ZlgGe6_JY_1olB1XN4rF0dxEuIIF-xsYjHgg/edit?usp=sharing"",""งบกองทุน!DT48"")"),0)</f>
        <v>0</v>
      </c>
      <c r="E44" s="306">
        <f ca="1">IFERROR(__xludf.DUMMYFUNCTION("IMPORTRANGE(""https://docs.google.com/spreadsheets/d/1C3CXT74ZlgGe6_JY_1olB1XN4rF0dxEuIIF-xsYjHgg/edit?usp=sharing"",""งบกองทุน!DU48"")"),0)</f>
        <v>0</v>
      </c>
      <c r="F44" s="307">
        <f ca="1">IFERROR(__xludf.DUMMYFUNCTION("IMPORTRANGE(""https://docs.google.com/spreadsheets/d/1XL5vhW3sbDhbH9Cz0tuDiY8C3ctxq1tqvaCgkFb8cCA/edit?usp=sharing"",""ร้อยเอ็ด!M446"")"),0)</f>
        <v>0</v>
      </c>
      <c r="G44" s="307">
        <f t="shared" ca="1" si="1"/>
        <v>0</v>
      </c>
      <c r="H44" s="308">
        <v>0</v>
      </c>
      <c r="I44" s="308">
        <f t="shared" ref="I44:J44" ca="1" si="61">SUM(M44,Q44)</f>
        <v>0</v>
      </c>
      <c r="J44" s="308">
        <f t="shared" ca="1" si="61"/>
        <v>0</v>
      </c>
      <c r="K44" s="309">
        <f t="shared" si="3"/>
        <v>0</v>
      </c>
      <c r="L44" s="306">
        <f ca="1">IFERROR(__xludf.DUMMYFUNCTION("IMPORTRANGE(""https://docs.google.com/spreadsheets/d/1C3CXT74ZlgGe6_JY_1olB1XN4rF0dxEuIIF-xsYjHgg/edit?usp=sharing"",""งบกองทุน!DW48"")"),0)</f>
        <v>0</v>
      </c>
      <c r="M44" s="306">
        <f ca="1">IFERROR(__xludf.DUMMYFUNCTION("IMPORTRANGE(""https://docs.google.com/spreadsheets/d/1XL5vhW3sbDhbH9Cz0tuDiY8C3ctxq1tqvaCgkFb8cCA/edit?usp=sharing"",""ร้อยเอ็ด!J455"")"),0)</f>
        <v>0</v>
      </c>
      <c r="N44" s="306">
        <f ca="1">IFERROR(__xludf.DUMMYFUNCTION("IMPORTRANGE(""https://docs.google.com/spreadsheets/d/1XL5vhW3sbDhbH9Cz0tuDiY8C3ctxq1tqvaCgkFb8cCA/edit?usp=sharing"",""ร้อยเอ็ด!J456"")"),0)</f>
        <v>0</v>
      </c>
      <c r="O44" s="307">
        <f t="shared" ca="1" si="5"/>
        <v>0</v>
      </c>
      <c r="P44" s="306">
        <f ca="1">IFERROR(__xludf.DUMMYFUNCTION("IMPORTRANGE(""https://docs.google.com/spreadsheets/d/1C3CXT74ZlgGe6_JY_1olB1XN4rF0dxEuIIF-xsYjHgg/edit?usp=sharing"",""งบกองทุน!DY48"")"),0)</f>
        <v>0</v>
      </c>
      <c r="Q44" s="306" t="str">
        <f ca="1">IFERROR(__xludf.DUMMYFUNCTION("IMPORTRANGE(""https://docs.google.com/spreadsheets/d/1XL5vhW3sbDhbH9Cz0tuDiY8C3ctxq1tqvaCgkFb8cCA/edit?usp=sharing"",""ร้อยเอ็ด!J457"")"),"")</f>
        <v/>
      </c>
      <c r="R44" s="306" t="str">
        <f ca="1">IFERROR(__xludf.DUMMYFUNCTION("IMPORTRANGE(""https://docs.google.com/spreadsheets/d/1XL5vhW3sbDhbH9Cz0tuDiY8C3ctxq1tqvaCgkFb8cCA/edit?usp=sharing"",""ร้อยเอ็ด!J458"")"),"")</f>
        <v/>
      </c>
      <c r="S44" s="359">
        <f t="shared" ca="1" si="7"/>
        <v>0</v>
      </c>
      <c r="T44" s="339"/>
      <c r="U44" s="339"/>
      <c r="V44" s="339"/>
      <c r="W44" s="339"/>
      <c r="X44" s="339"/>
      <c r="Y44" s="339"/>
      <c r="Z44" s="339"/>
    </row>
    <row r="45" spans="1:26" ht="21" customHeight="1">
      <c r="A45" s="303">
        <v>12</v>
      </c>
      <c r="B45" s="304" t="s">
        <v>69</v>
      </c>
      <c r="C45" s="391">
        <f t="shared" ca="1" si="50"/>
        <v>310000</v>
      </c>
      <c r="D45" s="306">
        <f ca="1">IFERROR(__xludf.DUMMYFUNCTION("IMPORTRANGE(""https://docs.google.com/spreadsheets/d/1C3CXT74ZlgGe6_JY_1olB1XN4rF0dxEuIIF-xsYjHgg/edit?usp=sharing"",""งบกองทุน!DT49"")"),0)</f>
        <v>0</v>
      </c>
      <c r="E45" s="306">
        <f ca="1">IFERROR(__xludf.DUMMYFUNCTION("IMPORTRANGE(""https://docs.google.com/spreadsheets/d/1C3CXT74ZlgGe6_JY_1olB1XN4rF0dxEuIIF-xsYjHgg/edit?usp=sharing"",""งบกองทุน!DU49"")"),310000)</f>
        <v>310000</v>
      </c>
      <c r="F45" s="307">
        <f ca="1">IFERROR(__xludf.DUMMYFUNCTION("IMPORTRANGE(""https://docs.google.com/spreadsheets/d/1XL5vhW3sbDhbH9Cz0tuDiY8C3ctxq1tqvaCgkFb8cCA/edit?usp=sharing"",""เลย!M446"")"),193265.82)</f>
        <v>193265.82</v>
      </c>
      <c r="G45" s="307">
        <f t="shared" ca="1" si="1"/>
        <v>62.343812903225803</v>
      </c>
      <c r="H45" s="308">
        <v>5000</v>
      </c>
      <c r="I45" s="308">
        <f t="shared" ref="I45:J45" ca="1" si="62">SUM(M45,Q45)</f>
        <v>2056</v>
      </c>
      <c r="J45" s="308">
        <f t="shared" ca="1" si="62"/>
        <v>145</v>
      </c>
      <c r="K45" s="309">
        <f t="shared" ca="1" si="3"/>
        <v>41.12</v>
      </c>
      <c r="L45" s="306">
        <f ca="1">IFERROR(__xludf.DUMMYFUNCTION("IMPORTRANGE(""https://docs.google.com/spreadsheets/d/1C3CXT74ZlgGe6_JY_1olB1XN4rF0dxEuIIF-xsYjHgg/edit?usp=sharing"",""งบกองทุน!DW49"")"),5000)</f>
        <v>5000</v>
      </c>
      <c r="M45" s="306">
        <f ca="1">IFERROR(__xludf.DUMMYFUNCTION("IMPORTRANGE(""https://docs.google.com/spreadsheets/d/1XL5vhW3sbDhbH9Cz0tuDiY8C3ctxq1tqvaCgkFb8cCA/edit?usp=sharing"",""เลย!J455"")"),2056)</f>
        <v>2056</v>
      </c>
      <c r="N45" s="306">
        <f ca="1">IFERROR(__xludf.DUMMYFUNCTION("IMPORTRANGE(""https://docs.google.com/spreadsheets/d/1XL5vhW3sbDhbH9Cz0tuDiY8C3ctxq1tqvaCgkFb8cCA/edit?usp=sharing"",""เลย!J456"")"),145)</f>
        <v>145</v>
      </c>
      <c r="O45" s="307">
        <f t="shared" ca="1" si="5"/>
        <v>41.12</v>
      </c>
      <c r="P45" s="306">
        <f ca="1">IFERROR(__xludf.DUMMYFUNCTION("IMPORTRANGE(""https://docs.google.com/spreadsheets/d/1C3CXT74ZlgGe6_JY_1olB1XN4rF0dxEuIIF-xsYjHgg/edit?usp=sharing"",""งบกองทุน!DY49"")"),0)</f>
        <v>0</v>
      </c>
      <c r="Q45" s="306" t="str">
        <f ca="1">IFERROR(__xludf.DUMMYFUNCTION("IMPORTRANGE(""https://docs.google.com/spreadsheets/d/1XL5vhW3sbDhbH9Cz0tuDiY8C3ctxq1tqvaCgkFb8cCA/edit?usp=sharing"",""เลย!J457"")"),"")</f>
        <v/>
      </c>
      <c r="R45" s="306" t="str">
        <f ca="1">IFERROR(__xludf.DUMMYFUNCTION("IMPORTRANGE(""https://docs.google.com/spreadsheets/d/1XL5vhW3sbDhbH9Cz0tuDiY8C3ctxq1tqvaCgkFb8cCA/edit?usp=sharing"",""เลย!J458"")"),"")</f>
        <v/>
      </c>
      <c r="S45" s="359">
        <f t="shared" ca="1" si="7"/>
        <v>0</v>
      </c>
      <c r="T45" s="339"/>
      <c r="U45" s="339"/>
      <c r="V45" s="339"/>
      <c r="W45" s="339"/>
      <c r="X45" s="339"/>
      <c r="Y45" s="339"/>
      <c r="Z45" s="339"/>
    </row>
    <row r="46" spans="1:26" ht="21" customHeight="1">
      <c r="A46" s="303">
        <v>13</v>
      </c>
      <c r="B46" s="304" t="s">
        <v>70</v>
      </c>
      <c r="C46" s="391">
        <f t="shared" ca="1" si="50"/>
        <v>0</v>
      </c>
      <c r="D46" s="306">
        <f ca="1">IFERROR(__xludf.DUMMYFUNCTION("IMPORTRANGE(""https://docs.google.com/spreadsheets/d/1C3CXT74ZlgGe6_JY_1olB1XN4rF0dxEuIIF-xsYjHgg/edit?usp=sharing"",""งบกองทุน!DT50"")"),0)</f>
        <v>0</v>
      </c>
      <c r="E46" s="306">
        <f ca="1">IFERROR(__xludf.DUMMYFUNCTION("IMPORTRANGE(""https://docs.google.com/spreadsheets/d/1C3CXT74ZlgGe6_JY_1olB1XN4rF0dxEuIIF-xsYjHgg/edit?usp=sharing"",""งบกองทุน!DU50"")"),0)</f>
        <v>0</v>
      </c>
      <c r="F46" s="307">
        <f ca="1">IFERROR(__xludf.DUMMYFUNCTION("IMPORTRANGE(""https://docs.google.com/spreadsheets/d/1XL5vhW3sbDhbH9Cz0tuDiY8C3ctxq1tqvaCgkFb8cCA/edit?usp=sharing"",""ศรีสะเกษ!M446"")"),0)</f>
        <v>0</v>
      </c>
      <c r="G46" s="307">
        <f t="shared" ca="1" si="1"/>
        <v>0</v>
      </c>
      <c r="H46" s="308">
        <v>0</v>
      </c>
      <c r="I46" s="308">
        <f t="shared" ref="I46:J46" ca="1" si="63">SUM(M46,Q46)</f>
        <v>0</v>
      </c>
      <c r="J46" s="308">
        <f t="shared" ca="1" si="63"/>
        <v>0</v>
      </c>
      <c r="K46" s="309">
        <f t="shared" si="3"/>
        <v>0</v>
      </c>
      <c r="L46" s="306">
        <f ca="1">IFERROR(__xludf.DUMMYFUNCTION("IMPORTRANGE(""https://docs.google.com/spreadsheets/d/1C3CXT74ZlgGe6_JY_1olB1XN4rF0dxEuIIF-xsYjHgg/edit?usp=sharing"",""งบกองทุน!DW50"")"),0)</f>
        <v>0</v>
      </c>
      <c r="M46" s="306">
        <f ca="1">IFERROR(__xludf.DUMMYFUNCTION("IMPORTRANGE(""https://docs.google.com/spreadsheets/d/1XL5vhW3sbDhbH9Cz0tuDiY8C3ctxq1tqvaCgkFb8cCA/edit?usp=sharing"",""ศรีสะเกษ!J455"")"),0)</f>
        <v>0</v>
      </c>
      <c r="N46" s="306">
        <f ca="1">IFERROR(__xludf.DUMMYFUNCTION("IMPORTRANGE(""https://docs.google.com/spreadsheets/d/1XL5vhW3sbDhbH9Cz0tuDiY8C3ctxq1tqvaCgkFb8cCA/edit?usp=sharing"",""ศรีสะเกษ!J456"")"),0)</f>
        <v>0</v>
      </c>
      <c r="O46" s="307">
        <f t="shared" ca="1" si="5"/>
        <v>0</v>
      </c>
      <c r="P46" s="306">
        <f ca="1">IFERROR(__xludf.DUMMYFUNCTION("IMPORTRANGE(""https://docs.google.com/spreadsheets/d/1C3CXT74ZlgGe6_JY_1olB1XN4rF0dxEuIIF-xsYjHgg/edit?usp=sharing"",""งบกองทุน!DY50"")"),0)</f>
        <v>0</v>
      </c>
      <c r="Q46" s="306" t="str">
        <f ca="1">IFERROR(__xludf.DUMMYFUNCTION("IMPORTRANGE(""https://docs.google.com/spreadsheets/d/1XL5vhW3sbDhbH9Cz0tuDiY8C3ctxq1tqvaCgkFb8cCA/edit?usp=sharing"",""ศรีสะเกษ!J457"")"),"")</f>
        <v/>
      </c>
      <c r="R46" s="306" t="str">
        <f ca="1">IFERROR(__xludf.DUMMYFUNCTION("IMPORTRANGE(""https://docs.google.com/spreadsheets/d/1XL5vhW3sbDhbH9Cz0tuDiY8C3ctxq1tqvaCgkFb8cCA/edit?usp=sharing"",""ศรีสะเกษ!J458"")"),"")</f>
        <v/>
      </c>
      <c r="S46" s="359">
        <f t="shared" ca="1" si="7"/>
        <v>0</v>
      </c>
      <c r="T46" s="339"/>
      <c r="U46" s="339"/>
      <c r="V46" s="339"/>
      <c r="W46" s="339"/>
      <c r="X46" s="339"/>
      <c r="Y46" s="339"/>
      <c r="Z46" s="339"/>
    </row>
    <row r="47" spans="1:26" ht="21" customHeight="1">
      <c r="A47" s="303">
        <v>14</v>
      </c>
      <c r="B47" s="304" t="s">
        <v>71</v>
      </c>
      <c r="C47" s="391">
        <f t="shared" ca="1" si="50"/>
        <v>0</v>
      </c>
      <c r="D47" s="306">
        <f ca="1">IFERROR(__xludf.DUMMYFUNCTION("IMPORTRANGE(""https://docs.google.com/spreadsheets/d/1C3CXT74ZlgGe6_JY_1olB1XN4rF0dxEuIIF-xsYjHgg/edit?usp=sharing"",""งบกองทุน!DT51"")"),0)</f>
        <v>0</v>
      </c>
      <c r="E47" s="306">
        <f ca="1">IFERROR(__xludf.DUMMYFUNCTION("IMPORTRANGE(""https://docs.google.com/spreadsheets/d/1C3CXT74ZlgGe6_JY_1olB1XN4rF0dxEuIIF-xsYjHgg/edit?usp=sharing"",""งบกองทุน!DU51"")"),0)</f>
        <v>0</v>
      </c>
      <c r="F47" s="307">
        <f ca="1">IFERROR(__xludf.DUMMYFUNCTION("IMPORTRANGE(""https://docs.google.com/spreadsheets/d/1XL5vhW3sbDhbH9Cz0tuDiY8C3ctxq1tqvaCgkFb8cCA/edit?usp=sharing"",""สกลนคร!M446"")"),0)</f>
        <v>0</v>
      </c>
      <c r="G47" s="307">
        <f t="shared" ca="1" si="1"/>
        <v>0</v>
      </c>
      <c r="H47" s="308">
        <v>0</v>
      </c>
      <c r="I47" s="308">
        <f t="shared" ref="I47:J47" ca="1" si="64">SUM(M47,Q47)</f>
        <v>0</v>
      </c>
      <c r="J47" s="308">
        <f t="shared" ca="1" si="64"/>
        <v>0</v>
      </c>
      <c r="K47" s="309">
        <f t="shared" si="3"/>
        <v>0</v>
      </c>
      <c r="L47" s="306">
        <f ca="1">IFERROR(__xludf.DUMMYFUNCTION("IMPORTRANGE(""https://docs.google.com/spreadsheets/d/1C3CXT74ZlgGe6_JY_1olB1XN4rF0dxEuIIF-xsYjHgg/edit?usp=sharing"",""งบกองทุน!DW51"")"),0)</f>
        <v>0</v>
      </c>
      <c r="M47" s="306">
        <f ca="1">IFERROR(__xludf.DUMMYFUNCTION("IMPORTRANGE(""https://docs.google.com/spreadsheets/d/1XL5vhW3sbDhbH9Cz0tuDiY8C3ctxq1tqvaCgkFb8cCA/edit?usp=sharing"",""สกลนคร!J455"")"),0)</f>
        <v>0</v>
      </c>
      <c r="N47" s="306">
        <f ca="1">IFERROR(__xludf.DUMMYFUNCTION("IMPORTRANGE(""https://docs.google.com/spreadsheets/d/1XL5vhW3sbDhbH9Cz0tuDiY8C3ctxq1tqvaCgkFb8cCA/edit?usp=sharing"",""สกลนคร!J456"")"),0)</f>
        <v>0</v>
      </c>
      <c r="O47" s="307">
        <f t="shared" ca="1" si="5"/>
        <v>0</v>
      </c>
      <c r="P47" s="306">
        <f ca="1">IFERROR(__xludf.DUMMYFUNCTION("IMPORTRANGE(""https://docs.google.com/spreadsheets/d/1C3CXT74ZlgGe6_JY_1olB1XN4rF0dxEuIIF-xsYjHgg/edit?usp=sharing"",""งบกองทุน!DY51"")"),0)</f>
        <v>0</v>
      </c>
      <c r="Q47" s="306" t="str">
        <f ca="1">IFERROR(__xludf.DUMMYFUNCTION("IMPORTRANGE(""https://docs.google.com/spreadsheets/d/1XL5vhW3sbDhbH9Cz0tuDiY8C3ctxq1tqvaCgkFb8cCA/edit?usp=sharing"",""สกลนคร!J457"")"),"")</f>
        <v/>
      </c>
      <c r="R47" s="306" t="str">
        <f ca="1">IFERROR(__xludf.DUMMYFUNCTION("IMPORTRANGE(""https://docs.google.com/spreadsheets/d/1XL5vhW3sbDhbH9Cz0tuDiY8C3ctxq1tqvaCgkFb8cCA/edit?usp=sharing"",""สกลนคร!J458"")"),"")</f>
        <v/>
      </c>
      <c r="S47" s="359">
        <f t="shared" ca="1" si="7"/>
        <v>0</v>
      </c>
      <c r="T47" s="339"/>
      <c r="U47" s="339"/>
      <c r="V47" s="339"/>
      <c r="W47" s="339"/>
      <c r="X47" s="339"/>
      <c r="Y47" s="339"/>
      <c r="Z47" s="339"/>
    </row>
    <row r="48" spans="1:26" ht="21" customHeight="1">
      <c r="A48" s="303">
        <v>15</v>
      </c>
      <c r="B48" s="304" t="s">
        <v>72</v>
      </c>
      <c r="C48" s="391">
        <f t="shared" ca="1" si="50"/>
        <v>0</v>
      </c>
      <c r="D48" s="306">
        <f ca="1">IFERROR(__xludf.DUMMYFUNCTION("IMPORTRANGE(""https://docs.google.com/spreadsheets/d/1C3CXT74ZlgGe6_JY_1olB1XN4rF0dxEuIIF-xsYjHgg/edit?usp=sharing"",""งบกองทุน!DT52"")"),0)</f>
        <v>0</v>
      </c>
      <c r="E48" s="306">
        <f ca="1">IFERROR(__xludf.DUMMYFUNCTION("IMPORTRANGE(""https://docs.google.com/spreadsheets/d/1C3CXT74ZlgGe6_JY_1olB1XN4rF0dxEuIIF-xsYjHgg/edit?usp=sharing"",""งบกองทุน!DU52"")"),0)</f>
        <v>0</v>
      </c>
      <c r="F48" s="307">
        <f ca="1">IFERROR(__xludf.DUMMYFUNCTION("IMPORTRANGE(""https://docs.google.com/spreadsheets/d/1XL5vhW3sbDhbH9Cz0tuDiY8C3ctxq1tqvaCgkFb8cCA/edit?usp=sharing"",""สุรินทร์!M446"")"),0)</f>
        <v>0</v>
      </c>
      <c r="G48" s="307">
        <f t="shared" ca="1" si="1"/>
        <v>0</v>
      </c>
      <c r="H48" s="308">
        <v>0</v>
      </c>
      <c r="I48" s="308">
        <f t="shared" ref="I48:J48" ca="1" si="65">SUM(M48,Q48)</f>
        <v>0</v>
      </c>
      <c r="J48" s="308">
        <f t="shared" ca="1" si="65"/>
        <v>0</v>
      </c>
      <c r="K48" s="309">
        <f t="shared" si="3"/>
        <v>0</v>
      </c>
      <c r="L48" s="306">
        <f ca="1">IFERROR(__xludf.DUMMYFUNCTION("IMPORTRANGE(""https://docs.google.com/spreadsheets/d/1C3CXT74ZlgGe6_JY_1olB1XN4rF0dxEuIIF-xsYjHgg/edit?usp=sharing"",""งบกองทุน!DW52"")"),0)</f>
        <v>0</v>
      </c>
      <c r="M48" s="306">
        <f ca="1">IFERROR(__xludf.DUMMYFUNCTION("IMPORTRANGE(""https://docs.google.com/spreadsheets/d/1XL5vhW3sbDhbH9Cz0tuDiY8C3ctxq1tqvaCgkFb8cCA/edit?usp=sharing"",""สุรินทร์!J455"")"),0)</f>
        <v>0</v>
      </c>
      <c r="N48" s="306">
        <f ca="1">IFERROR(__xludf.DUMMYFUNCTION("IMPORTRANGE(""https://docs.google.com/spreadsheets/d/1XL5vhW3sbDhbH9Cz0tuDiY8C3ctxq1tqvaCgkFb8cCA/edit?usp=sharing"",""สุรินทร์!J456"")"),0)</f>
        <v>0</v>
      </c>
      <c r="O48" s="307">
        <f t="shared" ca="1" si="5"/>
        <v>0</v>
      </c>
      <c r="P48" s="306">
        <f ca="1">IFERROR(__xludf.DUMMYFUNCTION("IMPORTRANGE(""https://docs.google.com/spreadsheets/d/1C3CXT74ZlgGe6_JY_1olB1XN4rF0dxEuIIF-xsYjHgg/edit?usp=sharing"",""งบกองทุน!DY52"")"),0)</f>
        <v>0</v>
      </c>
      <c r="Q48" s="306" t="str">
        <f ca="1">IFERROR(__xludf.DUMMYFUNCTION("IMPORTRANGE(""https://docs.google.com/spreadsheets/d/1XL5vhW3sbDhbH9Cz0tuDiY8C3ctxq1tqvaCgkFb8cCA/edit?usp=sharing"",""สุรินทร์!J457"")"),"")</f>
        <v/>
      </c>
      <c r="R48" s="306" t="str">
        <f ca="1">IFERROR(__xludf.DUMMYFUNCTION("IMPORTRANGE(""https://docs.google.com/spreadsheets/d/1XL5vhW3sbDhbH9Cz0tuDiY8C3ctxq1tqvaCgkFb8cCA/edit?usp=sharing"",""สุรินทร์!J458"")"),"")</f>
        <v/>
      </c>
      <c r="S48" s="359">
        <f t="shared" ca="1" si="7"/>
        <v>0</v>
      </c>
      <c r="T48" s="339"/>
      <c r="U48" s="339"/>
      <c r="V48" s="339"/>
      <c r="W48" s="339"/>
      <c r="X48" s="339"/>
      <c r="Y48" s="339"/>
      <c r="Z48" s="339"/>
    </row>
    <row r="49" spans="1:26" ht="21" customHeight="1">
      <c r="A49" s="303">
        <v>16</v>
      </c>
      <c r="B49" s="304" t="s">
        <v>73</v>
      </c>
      <c r="C49" s="391">
        <f t="shared" ca="1" si="50"/>
        <v>0</v>
      </c>
      <c r="D49" s="306">
        <f ca="1">IFERROR(__xludf.DUMMYFUNCTION("IMPORTRANGE(""https://docs.google.com/spreadsheets/d/1C3CXT74ZlgGe6_JY_1olB1XN4rF0dxEuIIF-xsYjHgg/edit?usp=sharing"",""งบกองทุน!DT53"")"),0)</f>
        <v>0</v>
      </c>
      <c r="E49" s="306">
        <f ca="1">IFERROR(__xludf.DUMMYFUNCTION("IMPORTRANGE(""https://docs.google.com/spreadsheets/d/1C3CXT74ZlgGe6_JY_1olB1XN4rF0dxEuIIF-xsYjHgg/edit?usp=sharing"",""งบกองทุน!DU53"")"),0)</f>
        <v>0</v>
      </c>
      <c r="F49" s="307">
        <f ca="1">IFERROR(__xludf.DUMMYFUNCTION("IMPORTRANGE(""https://docs.google.com/spreadsheets/d/1XL5vhW3sbDhbH9Cz0tuDiY8C3ctxq1tqvaCgkFb8cCA/edit?usp=sharing"",""หนองคาย!M446"")"),0)</f>
        <v>0</v>
      </c>
      <c r="G49" s="307">
        <f t="shared" ca="1" si="1"/>
        <v>0</v>
      </c>
      <c r="H49" s="308">
        <v>0</v>
      </c>
      <c r="I49" s="308">
        <f t="shared" ref="I49:J49" ca="1" si="66">SUM(M49,Q49)</f>
        <v>0</v>
      </c>
      <c r="J49" s="308">
        <f t="shared" ca="1" si="66"/>
        <v>0</v>
      </c>
      <c r="K49" s="309">
        <f t="shared" si="3"/>
        <v>0</v>
      </c>
      <c r="L49" s="306">
        <f ca="1">IFERROR(__xludf.DUMMYFUNCTION("IMPORTRANGE(""https://docs.google.com/spreadsheets/d/1C3CXT74ZlgGe6_JY_1olB1XN4rF0dxEuIIF-xsYjHgg/edit?usp=sharing"",""งบกองทุน!DW53"")"),0)</f>
        <v>0</v>
      </c>
      <c r="M49" s="306">
        <f ca="1">IFERROR(__xludf.DUMMYFUNCTION("IMPORTRANGE(""https://docs.google.com/spreadsheets/d/1XL5vhW3sbDhbH9Cz0tuDiY8C3ctxq1tqvaCgkFb8cCA/edit?usp=sharing"",""หนองคาย!J455"")"),0)</f>
        <v>0</v>
      </c>
      <c r="N49" s="306">
        <f ca="1">IFERROR(__xludf.DUMMYFUNCTION("IMPORTRANGE(""https://docs.google.com/spreadsheets/d/1XL5vhW3sbDhbH9Cz0tuDiY8C3ctxq1tqvaCgkFb8cCA/edit?usp=sharing"",""หนองคาย!J456"")"),0)</f>
        <v>0</v>
      </c>
      <c r="O49" s="307">
        <f t="shared" ca="1" si="5"/>
        <v>0</v>
      </c>
      <c r="P49" s="306">
        <f ca="1">IFERROR(__xludf.DUMMYFUNCTION("IMPORTRANGE(""https://docs.google.com/spreadsheets/d/1C3CXT74ZlgGe6_JY_1olB1XN4rF0dxEuIIF-xsYjHgg/edit?usp=sharing"",""งบกองทุน!DY53"")"),0)</f>
        <v>0</v>
      </c>
      <c r="Q49" s="306" t="str">
        <f ca="1">IFERROR(__xludf.DUMMYFUNCTION("IMPORTRANGE(""https://docs.google.com/spreadsheets/d/1XL5vhW3sbDhbH9Cz0tuDiY8C3ctxq1tqvaCgkFb8cCA/edit?usp=sharing"",""หนองคาย!J457"")"),"")</f>
        <v/>
      </c>
      <c r="R49" s="306" t="str">
        <f ca="1">IFERROR(__xludf.DUMMYFUNCTION("IMPORTRANGE(""https://docs.google.com/spreadsheets/d/1XL5vhW3sbDhbH9Cz0tuDiY8C3ctxq1tqvaCgkFb8cCA/edit?usp=sharing"",""หนองคาย!J458"")"),"")</f>
        <v/>
      </c>
      <c r="S49" s="359">
        <f t="shared" ca="1" si="7"/>
        <v>0</v>
      </c>
      <c r="T49" s="339"/>
      <c r="U49" s="339"/>
      <c r="V49" s="339"/>
      <c r="W49" s="339"/>
      <c r="X49" s="339"/>
      <c r="Y49" s="339"/>
      <c r="Z49" s="339"/>
    </row>
    <row r="50" spans="1:26" ht="21" customHeight="1">
      <c r="A50" s="303">
        <v>17</v>
      </c>
      <c r="B50" s="304" t="s">
        <v>74</v>
      </c>
      <c r="C50" s="391">
        <f t="shared" ca="1" si="50"/>
        <v>310000</v>
      </c>
      <c r="D50" s="306">
        <f ca="1">IFERROR(__xludf.DUMMYFUNCTION("IMPORTRANGE(""https://docs.google.com/spreadsheets/d/1C3CXT74ZlgGe6_JY_1olB1XN4rF0dxEuIIF-xsYjHgg/edit?usp=sharing"",""งบกองทุน!DT54"")"),0)</f>
        <v>0</v>
      </c>
      <c r="E50" s="306">
        <f ca="1">IFERROR(__xludf.DUMMYFUNCTION("IMPORTRANGE(""https://docs.google.com/spreadsheets/d/1C3CXT74ZlgGe6_JY_1olB1XN4rF0dxEuIIF-xsYjHgg/edit?usp=sharing"",""งบกองทุน!DU54"")"),310000)</f>
        <v>310000</v>
      </c>
      <c r="F50" s="307">
        <f ca="1">IFERROR(__xludf.DUMMYFUNCTION("IMPORTRANGE(""https://docs.google.com/spreadsheets/d/1XL5vhW3sbDhbH9Cz0tuDiY8C3ctxq1tqvaCgkFb8cCA/edit?usp=sharing"",""หนองบัวลำภู!M446"")"),171849.5)</f>
        <v>171849.5</v>
      </c>
      <c r="G50" s="307">
        <f t="shared" ca="1" si="1"/>
        <v>55.435322580645163</v>
      </c>
      <c r="H50" s="308">
        <v>5000</v>
      </c>
      <c r="I50" s="308">
        <f t="shared" ref="I50:J50" ca="1" si="67">SUM(M50,Q50)</f>
        <v>908</v>
      </c>
      <c r="J50" s="308">
        <f t="shared" ca="1" si="67"/>
        <v>54</v>
      </c>
      <c r="K50" s="309">
        <f t="shared" ca="1" si="3"/>
        <v>18.16</v>
      </c>
      <c r="L50" s="306">
        <f ca="1">IFERROR(__xludf.DUMMYFUNCTION("IMPORTRANGE(""https://docs.google.com/spreadsheets/d/1C3CXT74ZlgGe6_JY_1olB1XN4rF0dxEuIIF-xsYjHgg/edit?usp=sharing"",""งบกองทุน!DW54"")"),5000)</f>
        <v>5000</v>
      </c>
      <c r="M50" s="306">
        <f ca="1">IFERROR(__xludf.DUMMYFUNCTION("IMPORTRANGE(""https://docs.google.com/spreadsheets/d/1XL5vhW3sbDhbH9Cz0tuDiY8C3ctxq1tqvaCgkFb8cCA/edit?usp=sharing"",""หนองบัวลำภู!J455"")"),908)</f>
        <v>908</v>
      </c>
      <c r="N50" s="306">
        <f ca="1">IFERROR(__xludf.DUMMYFUNCTION("IMPORTRANGE(""https://docs.google.com/spreadsheets/d/1XL5vhW3sbDhbH9Cz0tuDiY8C3ctxq1tqvaCgkFb8cCA/edit?usp=sharing"",""หนองบัวลำภู!J456"")"),54)</f>
        <v>54</v>
      </c>
      <c r="O50" s="307">
        <f t="shared" ca="1" si="5"/>
        <v>18.16</v>
      </c>
      <c r="P50" s="306">
        <f ca="1">IFERROR(__xludf.DUMMYFUNCTION("IMPORTRANGE(""https://docs.google.com/spreadsheets/d/1C3CXT74ZlgGe6_JY_1olB1XN4rF0dxEuIIF-xsYjHgg/edit?usp=sharing"",""งบกองทุน!DY54"")"),0)</f>
        <v>0</v>
      </c>
      <c r="Q50" s="306" t="str">
        <f ca="1">IFERROR(__xludf.DUMMYFUNCTION("IMPORTRANGE(""https://docs.google.com/spreadsheets/d/1XL5vhW3sbDhbH9Cz0tuDiY8C3ctxq1tqvaCgkFb8cCA/edit?usp=sharing"",""หนองบัวลำภู!J457"")"),"")</f>
        <v/>
      </c>
      <c r="R50" s="306" t="str">
        <f ca="1">IFERROR(__xludf.DUMMYFUNCTION("IMPORTRANGE(""https://docs.google.com/spreadsheets/d/1XL5vhW3sbDhbH9Cz0tuDiY8C3ctxq1tqvaCgkFb8cCA/edit?usp=sharing"",""หนองบัวลำภู!J458"")"),"")</f>
        <v/>
      </c>
      <c r="S50" s="359">
        <f t="shared" ca="1" si="7"/>
        <v>0</v>
      </c>
      <c r="T50" s="339"/>
      <c r="U50" s="339"/>
      <c r="V50" s="339"/>
      <c r="W50" s="339"/>
      <c r="X50" s="339"/>
      <c r="Y50" s="339"/>
      <c r="Z50" s="339"/>
    </row>
    <row r="51" spans="1:26" ht="21" customHeight="1">
      <c r="A51" s="303">
        <v>18</v>
      </c>
      <c r="B51" s="304" t="s">
        <v>75</v>
      </c>
      <c r="C51" s="391">
        <f t="shared" ca="1" si="50"/>
        <v>0</v>
      </c>
      <c r="D51" s="306">
        <f ca="1">IFERROR(__xludf.DUMMYFUNCTION("IMPORTRANGE(""https://docs.google.com/spreadsheets/d/1C3CXT74ZlgGe6_JY_1olB1XN4rF0dxEuIIF-xsYjHgg/edit?usp=sharing"",""งบกองทุน!DT55"")"),0)</f>
        <v>0</v>
      </c>
      <c r="E51" s="306">
        <f ca="1">IFERROR(__xludf.DUMMYFUNCTION("IMPORTRANGE(""https://docs.google.com/spreadsheets/d/1C3CXT74ZlgGe6_JY_1olB1XN4rF0dxEuIIF-xsYjHgg/edit?usp=sharing"",""งบกองทุน!DU55"")"),0)</f>
        <v>0</v>
      </c>
      <c r="F51" s="307">
        <f ca="1">IFERROR(__xludf.DUMMYFUNCTION("IMPORTRANGE(""https://docs.google.com/spreadsheets/d/1XL5vhW3sbDhbH9Cz0tuDiY8C3ctxq1tqvaCgkFb8cCA/edit?usp=sharing"",""อำนาจเจริญ!M446"")"),0)</f>
        <v>0</v>
      </c>
      <c r="G51" s="307">
        <f t="shared" ca="1" si="1"/>
        <v>0</v>
      </c>
      <c r="H51" s="308">
        <v>0</v>
      </c>
      <c r="I51" s="308">
        <f t="shared" ref="I51:J51" ca="1" si="68">SUM(M51,Q51)</f>
        <v>0</v>
      </c>
      <c r="J51" s="308">
        <f t="shared" ca="1" si="68"/>
        <v>0</v>
      </c>
      <c r="K51" s="309">
        <f t="shared" si="3"/>
        <v>0</v>
      </c>
      <c r="L51" s="306">
        <f ca="1">IFERROR(__xludf.DUMMYFUNCTION("IMPORTRANGE(""https://docs.google.com/spreadsheets/d/1C3CXT74ZlgGe6_JY_1olB1XN4rF0dxEuIIF-xsYjHgg/edit?usp=sharing"",""งบกองทุน!DW55"")"),0)</f>
        <v>0</v>
      </c>
      <c r="M51" s="306">
        <f ca="1">IFERROR(__xludf.DUMMYFUNCTION("IMPORTRANGE(""https://docs.google.com/spreadsheets/d/1XL5vhW3sbDhbH9Cz0tuDiY8C3ctxq1tqvaCgkFb8cCA/edit?usp=sharing"",""อำนาจเจริญ!J455"")"),0)</f>
        <v>0</v>
      </c>
      <c r="N51" s="306">
        <f ca="1">IFERROR(__xludf.DUMMYFUNCTION("IMPORTRANGE(""https://docs.google.com/spreadsheets/d/1XL5vhW3sbDhbH9Cz0tuDiY8C3ctxq1tqvaCgkFb8cCA/edit?usp=sharing"",""อำนาจเจริญ!J456"")"),0)</f>
        <v>0</v>
      </c>
      <c r="O51" s="307">
        <f t="shared" ca="1" si="5"/>
        <v>0</v>
      </c>
      <c r="P51" s="306">
        <f ca="1">IFERROR(__xludf.DUMMYFUNCTION("IMPORTRANGE(""https://docs.google.com/spreadsheets/d/1C3CXT74ZlgGe6_JY_1olB1XN4rF0dxEuIIF-xsYjHgg/edit?usp=sharing"",""งบกองทุน!DY55"")"),0)</f>
        <v>0</v>
      </c>
      <c r="Q51" s="306" t="str">
        <f ca="1">IFERROR(__xludf.DUMMYFUNCTION("IMPORTRANGE(""https://docs.google.com/spreadsheets/d/1XL5vhW3sbDhbH9Cz0tuDiY8C3ctxq1tqvaCgkFb8cCA/edit?usp=sharing"",""อำนาจเจริญ!J457"")"),"")</f>
        <v/>
      </c>
      <c r="R51" s="306" t="str">
        <f ca="1">IFERROR(__xludf.DUMMYFUNCTION("IMPORTRANGE(""https://docs.google.com/spreadsheets/d/1XL5vhW3sbDhbH9Cz0tuDiY8C3ctxq1tqvaCgkFb8cCA/edit?usp=sharing"",""อำนาจเจริญ!J458"")"),"")</f>
        <v/>
      </c>
      <c r="S51" s="359">
        <f t="shared" ca="1" si="7"/>
        <v>0</v>
      </c>
      <c r="T51" s="339"/>
      <c r="U51" s="339"/>
      <c r="V51" s="339"/>
      <c r="W51" s="339"/>
      <c r="X51" s="339"/>
      <c r="Y51" s="339"/>
      <c r="Z51" s="339"/>
    </row>
    <row r="52" spans="1:26" ht="21" customHeight="1">
      <c r="A52" s="303">
        <v>19</v>
      </c>
      <c r="B52" s="304" t="s">
        <v>76</v>
      </c>
      <c r="C52" s="391">
        <f t="shared" ca="1" si="50"/>
        <v>0</v>
      </c>
      <c r="D52" s="306">
        <f ca="1">IFERROR(__xludf.DUMMYFUNCTION("IMPORTRANGE(""https://docs.google.com/spreadsheets/d/1C3CXT74ZlgGe6_JY_1olB1XN4rF0dxEuIIF-xsYjHgg/edit?usp=sharing"",""งบกองทุน!DT56"")"),0)</f>
        <v>0</v>
      </c>
      <c r="E52" s="306">
        <f ca="1">IFERROR(__xludf.DUMMYFUNCTION("IMPORTRANGE(""https://docs.google.com/spreadsheets/d/1C3CXT74ZlgGe6_JY_1olB1XN4rF0dxEuIIF-xsYjHgg/edit?usp=sharing"",""งบกองทุน!DU56"")"),0)</f>
        <v>0</v>
      </c>
      <c r="F52" s="307">
        <f ca="1">IFERROR(__xludf.DUMMYFUNCTION("IMPORTRANGE(""https://docs.google.com/spreadsheets/d/1XL5vhW3sbDhbH9Cz0tuDiY8C3ctxq1tqvaCgkFb8cCA/edit?usp=sharing"",""อุดรธานี!M446"")"),0)</f>
        <v>0</v>
      </c>
      <c r="G52" s="307">
        <f t="shared" ca="1" si="1"/>
        <v>0</v>
      </c>
      <c r="H52" s="308">
        <v>0</v>
      </c>
      <c r="I52" s="308">
        <f t="shared" ref="I52:J52" ca="1" si="69">SUM(M52,Q52)</f>
        <v>0</v>
      </c>
      <c r="J52" s="308">
        <f t="shared" ca="1" si="69"/>
        <v>0</v>
      </c>
      <c r="K52" s="309">
        <f t="shared" si="3"/>
        <v>0</v>
      </c>
      <c r="L52" s="306">
        <f ca="1">IFERROR(__xludf.DUMMYFUNCTION("IMPORTRANGE(""https://docs.google.com/spreadsheets/d/1C3CXT74ZlgGe6_JY_1olB1XN4rF0dxEuIIF-xsYjHgg/edit?usp=sharing"",""งบกองทุน!DW56"")"),0)</f>
        <v>0</v>
      </c>
      <c r="M52" s="306">
        <f ca="1">IFERROR(__xludf.DUMMYFUNCTION("IMPORTRANGE(""https://docs.google.com/spreadsheets/d/1XL5vhW3sbDhbH9Cz0tuDiY8C3ctxq1tqvaCgkFb8cCA/edit?usp=sharing"",""อุดรธานี!J455"")"),0)</f>
        <v>0</v>
      </c>
      <c r="N52" s="306">
        <f ca="1">IFERROR(__xludf.DUMMYFUNCTION("IMPORTRANGE(""https://docs.google.com/spreadsheets/d/1XL5vhW3sbDhbH9Cz0tuDiY8C3ctxq1tqvaCgkFb8cCA/edit?usp=sharing"",""อุดรธานี!J456"")"),0)</f>
        <v>0</v>
      </c>
      <c r="O52" s="307">
        <f t="shared" ca="1" si="5"/>
        <v>0</v>
      </c>
      <c r="P52" s="306">
        <f ca="1">IFERROR(__xludf.DUMMYFUNCTION("IMPORTRANGE(""https://docs.google.com/spreadsheets/d/1C3CXT74ZlgGe6_JY_1olB1XN4rF0dxEuIIF-xsYjHgg/edit?usp=sharing"",""งบกองทุน!DY56"")"),0)</f>
        <v>0</v>
      </c>
      <c r="Q52" s="306" t="str">
        <f ca="1">IFERROR(__xludf.DUMMYFUNCTION("IMPORTRANGE(""https://docs.google.com/spreadsheets/d/1XL5vhW3sbDhbH9Cz0tuDiY8C3ctxq1tqvaCgkFb8cCA/edit?usp=sharing"",""อุดรธานี!J457"")"),"")</f>
        <v/>
      </c>
      <c r="R52" s="306" t="str">
        <f ca="1">IFERROR(__xludf.DUMMYFUNCTION("IMPORTRANGE(""https://docs.google.com/spreadsheets/d/1XL5vhW3sbDhbH9Cz0tuDiY8C3ctxq1tqvaCgkFb8cCA/edit?usp=sharing"",""อุดรธานี!J458"")"),"")</f>
        <v/>
      </c>
      <c r="S52" s="359">
        <f t="shared" ca="1" si="7"/>
        <v>0</v>
      </c>
      <c r="T52" s="339"/>
      <c r="U52" s="339"/>
      <c r="V52" s="339"/>
      <c r="W52" s="339"/>
      <c r="X52" s="339"/>
      <c r="Y52" s="339"/>
      <c r="Z52" s="339"/>
    </row>
    <row r="53" spans="1:26" ht="21" customHeight="1">
      <c r="A53" s="310">
        <v>20</v>
      </c>
      <c r="B53" s="311" t="s">
        <v>77</v>
      </c>
      <c r="C53" s="395">
        <f t="shared" ca="1" si="50"/>
        <v>320000</v>
      </c>
      <c r="D53" s="313">
        <f ca="1">IFERROR(__xludf.DUMMYFUNCTION("IMPORTRANGE(""https://docs.google.com/spreadsheets/d/1C3CXT74ZlgGe6_JY_1olB1XN4rF0dxEuIIF-xsYjHgg/edit?usp=sharing"",""งบกองทุน!DT57"")"),0)</f>
        <v>0</v>
      </c>
      <c r="E53" s="313">
        <f ca="1">IFERROR(__xludf.DUMMYFUNCTION("IMPORTRANGE(""https://docs.google.com/spreadsheets/d/1C3CXT74ZlgGe6_JY_1olB1XN4rF0dxEuIIF-xsYjHgg/edit?usp=sharing"",""งบกองทุน!DU57"")"),320000)</f>
        <v>320000</v>
      </c>
      <c r="F53" s="314">
        <f ca="1">IFERROR(__xludf.DUMMYFUNCTION("IMPORTRANGE(""https://docs.google.com/spreadsheets/d/1XL5vhW3sbDhbH9Cz0tuDiY8C3ctxq1tqvaCgkFb8cCA/edit?usp=sharing"",""อุบลราชธานี!M446"")"),202028.3)</f>
        <v>202028.3</v>
      </c>
      <c r="G53" s="314">
        <f t="shared" ca="1" si="1"/>
        <v>63.133843749999997</v>
      </c>
      <c r="H53" s="315">
        <v>5000</v>
      </c>
      <c r="I53" s="315">
        <f t="shared" ref="I53:J53" ca="1" si="70">SUM(M53,Q53)</f>
        <v>2672</v>
      </c>
      <c r="J53" s="315">
        <f t="shared" ca="1" si="70"/>
        <v>191</v>
      </c>
      <c r="K53" s="316">
        <f t="shared" ca="1" si="3"/>
        <v>53.44</v>
      </c>
      <c r="L53" s="313">
        <f ca="1">IFERROR(__xludf.DUMMYFUNCTION("IMPORTRANGE(""https://docs.google.com/spreadsheets/d/1C3CXT74ZlgGe6_JY_1olB1XN4rF0dxEuIIF-xsYjHgg/edit?usp=sharing"",""งบกองทุน!DW57"")"),5000)</f>
        <v>5000</v>
      </c>
      <c r="M53" s="313">
        <f ca="1">IFERROR(__xludf.DUMMYFUNCTION("IMPORTRANGE(""https://docs.google.com/spreadsheets/d/1XL5vhW3sbDhbH9Cz0tuDiY8C3ctxq1tqvaCgkFb8cCA/edit?usp=sharing"",""อุบลราชธานี!J455"")"),2672)</f>
        <v>2672</v>
      </c>
      <c r="N53" s="313">
        <f ca="1">IFERROR(__xludf.DUMMYFUNCTION("IMPORTRANGE(""https://docs.google.com/spreadsheets/d/1XL5vhW3sbDhbH9Cz0tuDiY8C3ctxq1tqvaCgkFb8cCA/edit?usp=sharing"",""อุบลราชธานี!J456"")"),191)</f>
        <v>191</v>
      </c>
      <c r="O53" s="314">
        <f t="shared" ca="1" si="5"/>
        <v>53.44</v>
      </c>
      <c r="P53" s="313">
        <f ca="1">IFERROR(__xludf.DUMMYFUNCTION("IMPORTRANGE(""https://docs.google.com/spreadsheets/d/1C3CXT74ZlgGe6_JY_1olB1XN4rF0dxEuIIF-xsYjHgg/edit?usp=sharing"",""งบกองทุน!DY57"")"),0)</f>
        <v>0</v>
      </c>
      <c r="Q53" s="313" t="str">
        <f ca="1">IFERROR(__xludf.DUMMYFUNCTION("IMPORTRANGE(""https://docs.google.com/spreadsheets/d/1XL5vhW3sbDhbH9Cz0tuDiY8C3ctxq1tqvaCgkFb8cCA/edit?usp=sharing"",""อุบลราชธานี!J457"")"),"")</f>
        <v/>
      </c>
      <c r="R53" s="313" t="str">
        <f ca="1">IFERROR(__xludf.DUMMYFUNCTION("IMPORTRANGE(""https://docs.google.com/spreadsheets/d/1XL5vhW3sbDhbH9Cz0tuDiY8C3ctxq1tqvaCgkFb8cCA/edit?usp=sharing"",""อุบลราชธานี!J458"")"),"")</f>
        <v/>
      </c>
      <c r="S53" s="360">
        <f t="shared" ca="1" si="7"/>
        <v>0</v>
      </c>
      <c r="T53" s="339"/>
      <c r="U53" s="339"/>
      <c r="V53" s="339"/>
      <c r="W53" s="339"/>
      <c r="X53" s="339"/>
      <c r="Y53" s="339"/>
      <c r="Z53" s="339"/>
    </row>
    <row r="54" spans="1:26" ht="21" customHeight="1">
      <c r="A54" s="801" t="s">
        <v>78</v>
      </c>
      <c r="B54" s="678"/>
      <c r="C54" s="398">
        <f t="shared" ref="C54:F54" ca="1" si="71">SUM(C55:C75)</f>
        <v>198000</v>
      </c>
      <c r="D54" s="318">
        <f t="shared" ca="1" si="71"/>
        <v>0</v>
      </c>
      <c r="E54" s="318">
        <f t="shared" ca="1" si="71"/>
        <v>198000</v>
      </c>
      <c r="F54" s="319">
        <f t="shared" ca="1" si="71"/>
        <v>52345</v>
      </c>
      <c r="G54" s="319">
        <f t="shared" ca="1" si="1"/>
        <v>26.436868686868689</v>
      </c>
      <c r="H54" s="318">
        <f t="shared" ref="H54:J54" si="72">SUM(H55:H75)</f>
        <v>3000</v>
      </c>
      <c r="I54" s="318">
        <f t="shared" ca="1" si="72"/>
        <v>0</v>
      </c>
      <c r="J54" s="318">
        <f t="shared" ca="1" si="72"/>
        <v>0</v>
      </c>
      <c r="K54" s="319">
        <f t="shared" ca="1" si="3"/>
        <v>0</v>
      </c>
      <c r="L54" s="318">
        <f t="shared" ref="L54:N54" ca="1" si="73">SUM(L55:L75)</f>
        <v>3000</v>
      </c>
      <c r="M54" s="318">
        <f t="shared" ca="1" si="73"/>
        <v>0</v>
      </c>
      <c r="N54" s="318">
        <f t="shared" ca="1" si="73"/>
        <v>0</v>
      </c>
      <c r="O54" s="319">
        <f t="shared" ca="1" si="5"/>
        <v>0</v>
      </c>
      <c r="P54" s="318">
        <f t="shared" ref="P54:R54" ca="1" si="74">SUM(P55:P75)</f>
        <v>0</v>
      </c>
      <c r="Q54" s="318">
        <f t="shared" ca="1" si="74"/>
        <v>0</v>
      </c>
      <c r="R54" s="318">
        <f t="shared" ca="1" si="74"/>
        <v>0</v>
      </c>
      <c r="S54" s="361">
        <f t="shared" ca="1" si="7"/>
        <v>0</v>
      </c>
      <c r="T54" s="339"/>
      <c r="U54" s="339"/>
      <c r="V54" s="339"/>
      <c r="W54" s="339"/>
      <c r="X54" s="339"/>
      <c r="Y54" s="339"/>
      <c r="Z54" s="339"/>
    </row>
    <row r="55" spans="1:26" ht="21" customHeight="1">
      <c r="A55" s="293">
        <v>1</v>
      </c>
      <c r="B55" s="357" t="s">
        <v>79</v>
      </c>
      <c r="C55" s="388">
        <f t="shared" ref="C55:C75" ca="1" si="75">+D55+E55</f>
        <v>198000</v>
      </c>
      <c r="D55" s="296">
        <f ca="1">IFERROR(__xludf.DUMMYFUNCTION("IMPORTRANGE(""https://docs.google.com/spreadsheets/d/1C3CXT74ZlgGe6_JY_1olB1XN4rF0dxEuIIF-xsYjHgg/edit?usp=sharing"",""งบกองทุน!DT59"")"),0)</f>
        <v>0</v>
      </c>
      <c r="E55" s="296">
        <f ca="1">IFERROR(__xludf.DUMMYFUNCTION("IMPORTRANGE(""https://docs.google.com/spreadsheets/d/1C3CXT74ZlgGe6_JY_1olB1XN4rF0dxEuIIF-xsYjHgg/edit?usp=sharing"",""งบกองทุน!DU59"")"),198000)</f>
        <v>198000</v>
      </c>
      <c r="F55" s="297">
        <f ca="1">IFERROR(__xludf.DUMMYFUNCTION("IMPORTRANGE(""https://docs.google.com/spreadsheets/d/1SX6NBoVAgQJ6U1MVXOaj8PK2l7WJ3RER9xtqwdhxkhw/edit?usp=sharing"",""กาญจนบุรี!M446"")"),52345)</f>
        <v>52345</v>
      </c>
      <c r="G55" s="297">
        <f t="shared" ca="1" si="1"/>
        <v>26.436868686868689</v>
      </c>
      <c r="H55" s="299">
        <v>3000</v>
      </c>
      <c r="I55" s="299">
        <f t="shared" ref="I55:J55" ca="1" si="76">SUM(M55,Q55)</f>
        <v>0</v>
      </c>
      <c r="J55" s="299">
        <f t="shared" ca="1" si="76"/>
        <v>0</v>
      </c>
      <c r="K55" s="301">
        <f t="shared" ca="1" si="3"/>
        <v>0</v>
      </c>
      <c r="L55" s="296">
        <f ca="1">IFERROR(__xludf.DUMMYFUNCTION("IMPORTRANGE(""https://docs.google.com/spreadsheets/d/1C3CXT74ZlgGe6_JY_1olB1XN4rF0dxEuIIF-xsYjHgg/edit?usp=sharing"",""งบกองทุน!DW59"")"),3000)</f>
        <v>3000</v>
      </c>
      <c r="M55" s="296">
        <f ca="1">IFERROR(__xludf.DUMMYFUNCTION("IMPORTRANGE(""https://docs.google.com/spreadsheets/d/1SX6NBoVAgQJ6U1MVXOaj8PK2l7WJ3RER9xtqwdhxkhw/edit?usp=sharing"",""กาญจนบุรี!J455"")"),0)</f>
        <v>0</v>
      </c>
      <c r="N55" s="296">
        <f ca="1">IFERROR(__xludf.DUMMYFUNCTION("IMPORTRANGE(""https://docs.google.com/spreadsheets/d/1SX6NBoVAgQJ6U1MVXOaj8PK2l7WJ3RER9xtqwdhxkhw/edit?usp=sharing"",""กาญจนบุรี!J456"")"),0)</f>
        <v>0</v>
      </c>
      <c r="O55" s="297">
        <f t="shared" ca="1" si="5"/>
        <v>0</v>
      </c>
      <c r="P55" s="296">
        <f ca="1">IFERROR(__xludf.DUMMYFUNCTION("IMPORTRANGE(""https://docs.google.com/spreadsheets/d/1C3CXT74ZlgGe6_JY_1olB1XN4rF0dxEuIIF-xsYjHgg/edit?usp=sharing"",""งบกองทุน!DY59"")"),0)</f>
        <v>0</v>
      </c>
      <c r="Q55" s="296" t="str">
        <f ca="1">IFERROR(__xludf.DUMMYFUNCTION("IMPORTRANGE(""https://docs.google.com/spreadsheets/d/1SX6NBoVAgQJ6U1MVXOaj8PK2l7WJ3RER9xtqwdhxkhw/edit?usp=sharing"",""กาญจนบุรี!J457"")"),"")</f>
        <v/>
      </c>
      <c r="R55" s="296" t="str">
        <f ca="1">IFERROR(__xludf.DUMMYFUNCTION("IMPORTRANGE(""https://docs.google.com/spreadsheets/d/1SX6NBoVAgQJ6U1MVXOaj8PK2l7WJ3RER9xtqwdhxkhw/edit?usp=sharing"",""กาญจนบุรี!J458"")"),"")</f>
        <v/>
      </c>
      <c r="S55" s="358">
        <f t="shared" ca="1" si="7"/>
        <v>0</v>
      </c>
      <c r="T55" s="339"/>
      <c r="U55" s="339"/>
      <c r="V55" s="339"/>
      <c r="W55" s="339"/>
      <c r="X55" s="339"/>
      <c r="Y55" s="339"/>
      <c r="Z55" s="339"/>
    </row>
    <row r="56" spans="1:26" ht="21" customHeight="1">
      <c r="A56" s="303">
        <v>2</v>
      </c>
      <c r="B56" s="304" t="s">
        <v>80</v>
      </c>
      <c r="C56" s="391">
        <f t="shared" ca="1" si="75"/>
        <v>0</v>
      </c>
      <c r="D56" s="306">
        <f ca="1">IFERROR(__xludf.DUMMYFUNCTION("IMPORTRANGE(""https://docs.google.com/spreadsheets/d/1C3CXT74ZlgGe6_JY_1olB1XN4rF0dxEuIIF-xsYjHgg/edit?usp=sharing"",""งบกองทุน!DT60"")"),0)</f>
        <v>0</v>
      </c>
      <c r="E56" s="306">
        <f ca="1">IFERROR(__xludf.DUMMYFUNCTION("IMPORTRANGE(""https://docs.google.com/spreadsheets/d/1C3CXT74ZlgGe6_JY_1olB1XN4rF0dxEuIIF-xsYjHgg/edit?usp=sharing"",""งบกองทุน!DU60"")"),0)</f>
        <v>0</v>
      </c>
      <c r="F56" s="307">
        <f ca="1">IFERROR(__xludf.DUMMYFUNCTION("IMPORTRANGE(""https://docs.google.com/spreadsheets/d/1SX6NBoVAgQJ6U1MVXOaj8PK2l7WJ3RER9xtqwdhxkhw/edit?usp=sharing"",""จันทบุรี!M446"")"),0)</f>
        <v>0</v>
      </c>
      <c r="G56" s="307">
        <f t="shared" ca="1" si="1"/>
        <v>0</v>
      </c>
      <c r="H56" s="308">
        <v>0</v>
      </c>
      <c r="I56" s="308">
        <f t="shared" ref="I56:J56" ca="1" si="77">SUM(M56,Q56)</f>
        <v>0</v>
      </c>
      <c r="J56" s="308">
        <f t="shared" ca="1" si="77"/>
        <v>0</v>
      </c>
      <c r="K56" s="309">
        <f t="shared" si="3"/>
        <v>0</v>
      </c>
      <c r="L56" s="306">
        <f ca="1">IFERROR(__xludf.DUMMYFUNCTION("IMPORTRANGE(""https://docs.google.com/spreadsheets/d/1C3CXT74ZlgGe6_JY_1olB1XN4rF0dxEuIIF-xsYjHgg/edit?usp=sharing"",""งบกองทุน!DW60"")"),0)</f>
        <v>0</v>
      </c>
      <c r="M56" s="306">
        <f ca="1">IFERROR(__xludf.DUMMYFUNCTION("IMPORTRANGE(""https://docs.google.com/spreadsheets/d/1SX6NBoVAgQJ6U1MVXOaj8PK2l7WJ3RER9xtqwdhxkhw/edit?usp=sharing"",""จันทบุรี!J455"")"),0)</f>
        <v>0</v>
      </c>
      <c r="N56" s="306">
        <f ca="1">IFERROR(__xludf.DUMMYFUNCTION("IMPORTRANGE(""https://docs.google.com/spreadsheets/d/1SX6NBoVAgQJ6U1MVXOaj8PK2l7WJ3RER9xtqwdhxkhw/edit?usp=sharing"",""จันทบุรี!J456"")"),0)</f>
        <v>0</v>
      </c>
      <c r="O56" s="307">
        <f t="shared" ca="1" si="5"/>
        <v>0</v>
      </c>
      <c r="P56" s="306">
        <f ca="1">IFERROR(__xludf.DUMMYFUNCTION("IMPORTRANGE(""https://docs.google.com/spreadsheets/d/1C3CXT74ZlgGe6_JY_1olB1XN4rF0dxEuIIF-xsYjHgg/edit?usp=sharing"",""งบกองทุน!DY60"")"),0)</f>
        <v>0</v>
      </c>
      <c r="Q56" s="306" t="str">
        <f ca="1">IFERROR(__xludf.DUMMYFUNCTION("IMPORTRANGE(""https://docs.google.com/spreadsheets/d/1SX6NBoVAgQJ6U1MVXOaj8PK2l7WJ3RER9xtqwdhxkhw/edit?usp=sharing"",""จันทบุรี!J457"")"),"")</f>
        <v/>
      </c>
      <c r="R56" s="306" t="str">
        <f ca="1">IFERROR(__xludf.DUMMYFUNCTION("IMPORTRANGE(""https://docs.google.com/spreadsheets/d/1SX6NBoVAgQJ6U1MVXOaj8PK2l7WJ3RER9xtqwdhxkhw/edit?usp=sharing"",""จันทบุรี!J458"")"),"")</f>
        <v/>
      </c>
      <c r="S56" s="359">
        <f t="shared" ca="1" si="7"/>
        <v>0</v>
      </c>
      <c r="T56" s="339"/>
      <c r="U56" s="339"/>
      <c r="V56" s="339"/>
      <c r="W56" s="339"/>
      <c r="X56" s="339"/>
      <c r="Y56" s="339"/>
      <c r="Z56" s="339"/>
    </row>
    <row r="57" spans="1:26" ht="21" customHeight="1">
      <c r="A57" s="303">
        <v>3</v>
      </c>
      <c r="B57" s="304" t="s">
        <v>81</v>
      </c>
      <c r="C57" s="391">
        <f t="shared" ca="1" si="75"/>
        <v>0</v>
      </c>
      <c r="D57" s="306">
        <f ca="1">IFERROR(__xludf.DUMMYFUNCTION("IMPORTRANGE(""https://docs.google.com/spreadsheets/d/1C3CXT74ZlgGe6_JY_1olB1XN4rF0dxEuIIF-xsYjHgg/edit?usp=sharing"",""งบกองทุน!DT61"")"),0)</f>
        <v>0</v>
      </c>
      <c r="E57" s="306">
        <f ca="1">IFERROR(__xludf.DUMMYFUNCTION("IMPORTRANGE(""https://docs.google.com/spreadsheets/d/1C3CXT74ZlgGe6_JY_1olB1XN4rF0dxEuIIF-xsYjHgg/edit?usp=sharing"",""งบกองทุน!DU61"")"),0)</f>
        <v>0</v>
      </c>
      <c r="F57" s="307">
        <f ca="1">IFERROR(__xludf.DUMMYFUNCTION("IMPORTRANGE(""https://docs.google.com/spreadsheets/d/1SX6NBoVAgQJ6U1MVXOaj8PK2l7WJ3RER9xtqwdhxkhw/edit?usp=sharing"",""ฉะเชิงเทรา!M446"")"),0)</f>
        <v>0</v>
      </c>
      <c r="G57" s="307">
        <f t="shared" ca="1" si="1"/>
        <v>0</v>
      </c>
      <c r="H57" s="308">
        <v>0</v>
      </c>
      <c r="I57" s="308">
        <f t="shared" ref="I57:J57" ca="1" si="78">SUM(M57,Q57)</f>
        <v>0</v>
      </c>
      <c r="J57" s="308">
        <f t="shared" ca="1" si="78"/>
        <v>0</v>
      </c>
      <c r="K57" s="309">
        <f t="shared" si="3"/>
        <v>0</v>
      </c>
      <c r="L57" s="306">
        <f ca="1">IFERROR(__xludf.DUMMYFUNCTION("IMPORTRANGE(""https://docs.google.com/spreadsheets/d/1C3CXT74ZlgGe6_JY_1olB1XN4rF0dxEuIIF-xsYjHgg/edit?usp=sharing"",""งบกองทุน!DW61"")"),0)</f>
        <v>0</v>
      </c>
      <c r="M57" s="306">
        <f ca="1">IFERROR(__xludf.DUMMYFUNCTION("IMPORTRANGE(""https://docs.google.com/spreadsheets/d/1SX6NBoVAgQJ6U1MVXOaj8PK2l7WJ3RER9xtqwdhxkhw/edit?usp=sharing"",""ฉะเชิงเทรา!J455"")"),0)</f>
        <v>0</v>
      </c>
      <c r="N57" s="306">
        <f ca="1">IFERROR(__xludf.DUMMYFUNCTION("IMPORTRANGE(""https://docs.google.com/spreadsheets/d/1SX6NBoVAgQJ6U1MVXOaj8PK2l7WJ3RER9xtqwdhxkhw/edit?usp=sharing"",""ฉะเชิงเทรา!J456"")"),0)</f>
        <v>0</v>
      </c>
      <c r="O57" s="307">
        <f t="shared" ca="1" si="5"/>
        <v>0</v>
      </c>
      <c r="P57" s="306">
        <f ca="1">IFERROR(__xludf.DUMMYFUNCTION("IMPORTRANGE(""https://docs.google.com/spreadsheets/d/1C3CXT74ZlgGe6_JY_1olB1XN4rF0dxEuIIF-xsYjHgg/edit?usp=sharing"",""งบกองทุน!DY61"")"),0)</f>
        <v>0</v>
      </c>
      <c r="Q57" s="306" t="str">
        <f ca="1">IFERROR(__xludf.DUMMYFUNCTION("IMPORTRANGE(""https://docs.google.com/spreadsheets/d/1SX6NBoVAgQJ6U1MVXOaj8PK2l7WJ3RER9xtqwdhxkhw/edit?usp=sharing"",""ฉะเชิงเทรา!J457"")"),"")</f>
        <v/>
      </c>
      <c r="R57" s="306" t="str">
        <f ca="1">IFERROR(__xludf.DUMMYFUNCTION("IMPORTRANGE(""https://docs.google.com/spreadsheets/d/1SX6NBoVAgQJ6U1MVXOaj8PK2l7WJ3RER9xtqwdhxkhw/edit?usp=sharing"",""ฉะเชิงเทรา!J458"")"),"")</f>
        <v/>
      </c>
      <c r="S57" s="359">
        <f t="shared" ca="1" si="7"/>
        <v>0</v>
      </c>
      <c r="T57" s="339"/>
      <c r="U57" s="339"/>
      <c r="V57" s="339"/>
      <c r="W57" s="339"/>
      <c r="X57" s="339"/>
      <c r="Y57" s="339"/>
      <c r="Z57" s="339"/>
    </row>
    <row r="58" spans="1:26" ht="21" customHeight="1">
      <c r="A58" s="303">
        <v>4</v>
      </c>
      <c r="B58" s="304" t="s">
        <v>82</v>
      </c>
      <c r="C58" s="391">
        <f t="shared" ca="1" si="75"/>
        <v>0</v>
      </c>
      <c r="D58" s="306">
        <f ca="1">IFERROR(__xludf.DUMMYFUNCTION("IMPORTRANGE(""https://docs.google.com/spreadsheets/d/1C3CXT74ZlgGe6_JY_1olB1XN4rF0dxEuIIF-xsYjHgg/edit?usp=sharing"",""งบกองทุน!DT62"")"),0)</f>
        <v>0</v>
      </c>
      <c r="E58" s="306">
        <f ca="1">IFERROR(__xludf.DUMMYFUNCTION("IMPORTRANGE(""https://docs.google.com/spreadsheets/d/1C3CXT74ZlgGe6_JY_1olB1XN4rF0dxEuIIF-xsYjHgg/edit?usp=sharing"",""งบกองทุน!DU62"")"),0)</f>
        <v>0</v>
      </c>
      <c r="F58" s="307">
        <f ca="1">IFERROR(__xludf.DUMMYFUNCTION("IMPORTRANGE(""https://docs.google.com/spreadsheets/d/1SX6NBoVAgQJ6U1MVXOaj8PK2l7WJ3RER9xtqwdhxkhw/edit?usp=sharing"",""ชลบุรี!M446"")"),0)</f>
        <v>0</v>
      </c>
      <c r="G58" s="307">
        <f t="shared" ca="1" si="1"/>
        <v>0</v>
      </c>
      <c r="H58" s="308">
        <v>0</v>
      </c>
      <c r="I58" s="308">
        <f t="shared" ref="I58:J58" ca="1" si="79">SUM(M58,Q58)</f>
        <v>0</v>
      </c>
      <c r="J58" s="308">
        <f t="shared" ca="1" si="79"/>
        <v>0</v>
      </c>
      <c r="K58" s="309">
        <f t="shared" si="3"/>
        <v>0</v>
      </c>
      <c r="L58" s="306">
        <f ca="1">IFERROR(__xludf.DUMMYFUNCTION("IMPORTRANGE(""https://docs.google.com/spreadsheets/d/1C3CXT74ZlgGe6_JY_1olB1XN4rF0dxEuIIF-xsYjHgg/edit?usp=sharing"",""งบกองทุน!DW62"")"),0)</f>
        <v>0</v>
      </c>
      <c r="M58" s="306">
        <f ca="1">IFERROR(__xludf.DUMMYFUNCTION("IMPORTRANGE(""https://docs.google.com/spreadsheets/d/1SX6NBoVAgQJ6U1MVXOaj8PK2l7WJ3RER9xtqwdhxkhw/edit?usp=sharing"",""ชลบุรี!J455"")"),0)</f>
        <v>0</v>
      </c>
      <c r="N58" s="306">
        <f ca="1">IFERROR(__xludf.DUMMYFUNCTION("IMPORTRANGE(""https://docs.google.com/spreadsheets/d/1SX6NBoVAgQJ6U1MVXOaj8PK2l7WJ3RER9xtqwdhxkhw/edit?usp=sharing"",""ชลบุรี!J456"")"),0)</f>
        <v>0</v>
      </c>
      <c r="O58" s="307">
        <f t="shared" ca="1" si="5"/>
        <v>0</v>
      </c>
      <c r="P58" s="306">
        <f ca="1">IFERROR(__xludf.DUMMYFUNCTION("IMPORTRANGE(""https://docs.google.com/spreadsheets/d/1C3CXT74ZlgGe6_JY_1olB1XN4rF0dxEuIIF-xsYjHgg/edit?usp=sharing"",""งบกองทุน!DY62"")"),0)</f>
        <v>0</v>
      </c>
      <c r="Q58" s="306" t="str">
        <f ca="1">IFERROR(__xludf.DUMMYFUNCTION("IMPORTRANGE(""https://docs.google.com/spreadsheets/d/1SX6NBoVAgQJ6U1MVXOaj8PK2l7WJ3RER9xtqwdhxkhw/edit?usp=sharing"",""ชลบุรี!J457"")"),"")</f>
        <v/>
      </c>
      <c r="R58" s="306" t="str">
        <f ca="1">IFERROR(__xludf.DUMMYFUNCTION("IMPORTRANGE(""https://docs.google.com/spreadsheets/d/1SX6NBoVAgQJ6U1MVXOaj8PK2l7WJ3RER9xtqwdhxkhw/edit?usp=sharing"",""ชลบุรี!J458"")"),"")</f>
        <v/>
      </c>
      <c r="S58" s="359">
        <f t="shared" ca="1" si="7"/>
        <v>0</v>
      </c>
      <c r="T58" s="339"/>
      <c r="U58" s="339"/>
      <c r="V58" s="339"/>
      <c r="W58" s="339"/>
      <c r="X58" s="339"/>
      <c r="Y58" s="339"/>
      <c r="Z58" s="339"/>
    </row>
    <row r="59" spans="1:26" ht="21" customHeight="1">
      <c r="A59" s="303">
        <v>5</v>
      </c>
      <c r="B59" s="304" t="s">
        <v>83</v>
      </c>
      <c r="C59" s="391">
        <f t="shared" ca="1" si="75"/>
        <v>0</v>
      </c>
      <c r="D59" s="306">
        <f ca="1">IFERROR(__xludf.DUMMYFUNCTION("IMPORTRANGE(""https://docs.google.com/spreadsheets/d/1C3CXT74ZlgGe6_JY_1olB1XN4rF0dxEuIIF-xsYjHgg/edit?usp=sharing"",""งบกองทุน!DT63"")"),0)</f>
        <v>0</v>
      </c>
      <c r="E59" s="306">
        <f ca="1">IFERROR(__xludf.DUMMYFUNCTION("IMPORTRANGE(""https://docs.google.com/spreadsheets/d/1C3CXT74ZlgGe6_JY_1olB1XN4rF0dxEuIIF-xsYjHgg/edit?usp=sharing"",""งบกองทุน!DU63"")"),0)</f>
        <v>0</v>
      </c>
      <c r="F59" s="307">
        <f ca="1">IFERROR(__xludf.DUMMYFUNCTION("IMPORTRANGE(""https://docs.google.com/spreadsheets/d/1SX6NBoVAgQJ6U1MVXOaj8PK2l7WJ3RER9xtqwdhxkhw/edit?usp=sharing"",""ชัยนาท!M446"")"),0)</f>
        <v>0</v>
      </c>
      <c r="G59" s="307">
        <f t="shared" ca="1" si="1"/>
        <v>0</v>
      </c>
      <c r="H59" s="308">
        <v>0</v>
      </c>
      <c r="I59" s="308">
        <f t="shared" ref="I59:J59" ca="1" si="80">SUM(M59,Q59)</f>
        <v>0</v>
      </c>
      <c r="J59" s="308">
        <f t="shared" ca="1" si="80"/>
        <v>0</v>
      </c>
      <c r="K59" s="309">
        <f t="shared" si="3"/>
        <v>0</v>
      </c>
      <c r="L59" s="306">
        <f ca="1">IFERROR(__xludf.DUMMYFUNCTION("IMPORTRANGE(""https://docs.google.com/spreadsheets/d/1C3CXT74ZlgGe6_JY_1olB1XN4rF0dxEuIIF-xsYjHgg/edit?usp=sharing"",""งบกองทุน!DW63"")"),0)</f>
        <v>0</v>
      </c>
      <c r="M59" s="306">
        <f ca="1">IFERROR(__xludf.DUMMYFUNCTION("IMPORTRANGE(""https://docs.google.com/spreadsheets/d/1SX6NBoVAgQJ6U1MVXOaj8PK2l7WJ3RER9xtqwdhxkhw/edit?usp=sharing"",""ชัยนาท!J455"")"),0)</f>
        <v>0</v>
      </c>
      <c r="N59" s="306">
        <f ca="1">IFERROR(__xludf.DUMMYFUNCTION("IMPORTRANGE(""https://docs.google.com/spreadsheets/d/1SX6NBoVAgQJ6U1MVXOaj8PK2l7WJ3RER9xtqwdhxkhw/edit?usp=sharing"",""ชัยนาท!J456"")"),0)</f>
        <v>0</v>
      </c>
      <c r="O59" s="307">
        <f t="shared" ca="1" si="5"/>
        <v>0</v>
      </c>
      <c r="P59" s="306">
        <f ca="1">IFERROR(__xludf.DUMMYFUNCTION("IMPORTRANGE(""https://docs.google.com/spreadsheets/d/1C3CXT74ZlgGe6_JY_1olB1XN4rF0dxEuIIF-xsYjHgg/edit?usp=sharing"",""งบกองทุน!DY63"")"),0)</f>
        <v>0</v>
      </c>
      <c r="Q59" s="306" t="str">
        <f ca="1">IFERROR(__xludf.DUMMYFUNCTION("IMPORTRANGE(""https://docs.google.com/spreadsheets/d/1SX6NBoVAgQJ6U1MVXOaj8PK2l7WJ3RER9xtqwdhxkhw/edit?usp=sharing"",""ชัยนาท!J457"")"),"")</f>
        <v/>
      </c>
      <c r="R59" s="306" t="str">
        <f ca="1">IFERROR(__xludf.DUMMYFUNCTION("IMPORTRANGE(""https://docs.google.com/spreadsheets/d/1SX6NBoVAgQJ6U1MVXOaj8PK2l7WJ3RER9xtqwdhxkhw/edit?usp=sharing"",""ชัยนาท!J458"")"),"")</f>
        <v/>
      </c>
      <c r="S59" s="359">
        <f t="shared" ca="1" si="7"/>
        <v>0</v>
      </c>
      <c r="T59" s="339"/>
      <c r="U59" s="339"/>
      <c r="V59" s="339"/>
      <c r="W59" s="339"/>
      <c r="X59" s="339"/>
      <c r="Y59" s="339"/>
      <c r="Z59" s="339"/>
    </row>
    <row r="60" spans="1:26" ht="21" customHeight="1">
      <c r="A60" s="303">
        <v>6</v>
      </c>
      <c r="B60" s="304" t="s">
        <v>84</v>
      </c>
      <c r="C60" s="391">
        <f t="shared" ca="1" si="75"/>
        <v>0</v>
      </c>
      <c r="D60" s="306">
        <f ca="1">IFERROR(__xludf.DUMMYFUNCTION("IMPORTRANGE(""https://docs.google.com/spreadsheets/d/1C3CXT74ZlgGe6_JY_1olB1XN4rF0dxEuIIF-xsYjHgg/edit?usp=sharing"",""งบกองทุน!DT64"")"),0)</f>
        <v>0</v>
      </c>
      <c r="E60" s="306">
        <f ca="1">IFERROR(__xludf.DUMMYFUNCTION("IMPORTRANGE(""https://docs.google.com/spreadsheets/d/1C3CXT74ZlgGe6_JY_1olB1XN4rF0dxEuIIF-xsYjHgg/edit?usp=sharing"",""งบกองทุน!DU64"")"),0)</f>
        <v>0</v>
      </c>
      <c r="F60" s="307">
        <f ca="1">IFERROR(__xludf.DUMMYFUNCTION("IMPORTRANGE(""https://docs.google.com/spreadsheets/d/1SX6NBoVAgQJ6U1MVXOaj8PK2l7WJ3RER9xtqwdhxkhw/edit?usp=sharing"",""ตราด!M446"")"),0)</f>
        <v>0</v>
      </c>
      <c r="G60" s="307">
        <f t="shared" ca="1" si="1"/>
        <v>0</v>
      </c>
      <c r="H60" s="308">
        <v>0</v>
      </c>
      <c r="I60" s="308">
        <f t="shared" ref="I60:J60" ca="1" si="81">SUM(M60,Q60)</f>
        <v>0</v>
      </c>
      <c r="J60" s="308">
        <f t="shared" ca="1" si="81"/>
        <v>0</v>
      </c>
      <c r="K60" s="309">
        <f t="shared" si="3"/>
        <v>0</v>
      </c>
      <c r="L60" s="306">
        <f ca="1">IFERROR(__xludf.DUMMYFUNCTION("IMPORTRANGE(""https://docs.google.com/spreadsheets/d/1C3CXT74ZlgGe6_JY_1olB1XN4rF0dxEuIIF-xsYjHgg/edit?usp=sharing"",""งบกองทุน!DW64"")"),0)</f>
        <v>0</v>
      </c>
      <c r="M60" s="306">
        <f ca="1">IFERROR(__xludf.DUMMYFUNCTION("IMPORTRANGE(""https://docs.google.com/spreadsheets/d/1SX6NBoVAgQJ6U1MVXOaj8PK2l7WJ3RER9xtqwdhxkhw/edit?usp=sharing"",""ตราด!J455"")"),0)</f>
        <v>0</v>
      </c>
      <c r="N60" s="306">
        <f ca="1">IFERROR(__xludf.DUMMYFUNCTION("IMPORTRANGE(""https://docs.google.com/spreadsheets/d/1SX6NBoVAgQJ6U1MVXOaj8PK2l7WJ3RER9xtqwdhxkhw/edit?usp=sharing"",""ตราด!J456"")"),0)</f>
        <v>0</v>
      </c>
      <c r="O60" s="307">
        <f t="shared" ca="1" si="5"/>
        <v>0</v>
      </c>
      <c r="P60" s="306">
        <f ca="1">IFERROR(__xludf.DUMMYFUNCTION("IMPORTRANGE(""https://docs.google.com/spreadsheets/d/1C3CXT74ZlgGe6_JY_1olB1XN4rF0dxEuIIF-xsYjHgg/edit?usp=sharing"",""งบกองทุน!DY64"")"),0)</f>
        <v>0</v>
      </c>
      <c r="Q60" s="306" t="str">
        <f ca="1">IFERROR(__xludf.DUMMYFUNCTION("IMPORTRANGE(""https://docs.google.com/spreadsheets/d/1SX6NBoVAgQJ6U1MVXOaj8PK2l7WJ3RER9xtqwdhxkhw/edit?usp=sharing"",""ตราด!J457"")"),"")</f>
        <v/>
      </c>
      <c r="R60" s="306" t="str">
        <f ca="1">IFERROR(__xludf.DUMMYFUNCTION("IMPORTRANGE(""https://docs.google.com/spreadsheets/d/1SX6NBoVAgQJ6U1MVXOaj8PK2l7WJ3RER9xtqwdhxkhw/edit?usp=sharing"",""ตราด!J458"")"),"")</f>
        <v/>
      </c>
      <c r="S60" s="359">
        <f t="shared" ca="1" si="7"/>
        <v>0</v>
      </c>
      <c r="T60" s="339"/>
      <c r="U60" s="339"/>
      <c r="V60" s="339"/>
      <c r="W60" s="339"/>
      <c r="X60" s="339"/>
      <c r="Y60" s="339"/>
      <c r="Z60" s="339"/>
    </row>
    <row r="61" spans="1:26" ht="21" customHeight="1">
      <c r="A61" s="303">
        <v>7</v>
      </c>
      <c r="B61" s="304" t="s">
        <v>85</v>
      </c>
      <c r="C61" s="391">
        <f t="shared" ca="1" si="75"/>
        <v>0</v>
      </c>
      <c r="D61" s="306">
        <f ca="1">IFERROR(__xludf.DUMMYFUNCTION("IMPORTRANGE(""https://docs.google.com/spreadsheets/d/1C3CXT74ZlgGe6_JY_1olB1XN4rF0dxEuIIF-xsYjHgg/edit?usp=sharing"",""งบกองทุน!DT65"")"),0)</f>
        <v>0</v>
      </c>
      <c r="E61" s="306">
        <f ca="1">IFERROR(__xludf.DUMMYFUNCTION("IMPORTRANGE(""https://docs.google.com/spreadsheets/d/1C3CXT74ZlgGe6_JY_1olB1XN4rF0dxEuIIF-xsYjHgg/edit?usp=sharing"",""งบกองทุน!DU65"")"),0)</f>
        <v>0</v>
      </c>
      <c r="F61" s="307">
        <f ca="1">IFERROR(__xludf.DUMMYFUNCTION("IMPORTRANGE(""https://docs.google.com/spreadsheets/d/1SX6NBoVAgQJ6U1MVXOaj8PK2l7WJ3RER9xtqwdhxkhw/edit?usp=sharing"",""นครนายก!M446"")"),0)</f>
        <v>0</v>
      </c>
      <c r="G61" s="307">
        <f t="shared" ca="1" si="1"/>
        <v>0</v>
      </c>
      <c r="H61" s="308">
        <v>0</v>
      </c>
      <c r="I61" s="308">
        <f t="shared" ref="I61:J61" ca="1" si="82">SUM(M61,Q61)</f>
        <v>0</v>
      </c>
      <c r="J61" s="308">
        <f t="shared" ca="1" si="82"/>
        <v>0</v>
      </c>
      <c r="K61" s="309">
        <f t="shared" si="3"/>
        <v>0</v>
      </c>
      <c r="L61" s="306">
        <f ca="1">IFERROR(__xludf.DUMMYFUNCTION("IMPORTRANGE(""https://docs.google.com/spreadsheets/d/1C3CXT74ZlgGe6_JY_1olB1XN4rF0dxEuIIF-xsYjHgg/edit?usp=sharing"",""งบกองทุน!DW65"")"),0)</f>
        <v>0</v>
      </c>
      <c r="M61" s="306">
        <f ca="1">IFERROR(__xludf.DUMMYFUNCTION("IMPORTRANGE(""https://docs.google.com/spreadsheets/d/1SX6NBoVAgQJ6U1MVXOaj8PK2l7WJ3RER9xtqwdhxkhw/edit?usp=sharing"",""นครนายก!J455"")"),0)</f>
        <v>0</v>
      </c>
      <c r="N61" s="306">
        <f ca="1">IFERROR(__xludf.DUMMYFUNCTION("IMPORTRANGE(""https://docs.google.com/spreadsheets/d/1SX6NBoVAgQJ6U1MVXOaj8PK2l7WJ3RER9xtqwdhxkhw/edit?usp=sharing"",""นครนายก!J456"")"),0)</f>
        <v>0</v>
      </c>
      <c r="O61" s="307">
        <f t="shared" ca="1" si="5"/>
        <v>0</v>
      </c>
      <c r="P61" s="306">
        <f ca="1">IFERROR(__xludf.DUMMYFUNCTION("IMPORTRANGE(""https://docs.google.com/spreadsheets/d/1C3CXT74ZlgGe6_JY_1olB1XN4rF0dxEuIIF-xsYjHgg/edit?usp=sharing"",""งบกองทุน!DY65"")"),0)</f>
        <v>0</v>
      </c>
      <c r="Q61" s="306" t="str">
        <f ca="1">IFERROR(__xludf.DUMMYFUNCTION("IMPORTRANGE(""https://docs.google.com/spreadsheets/d/1SX6NBoVAgQJ6U1MVXOaj8PK2l7WJ3RER9xtqwdhxkhw/edit?usp=sharing"",""นครนายก!J457"")"),"")</f>
        <v/>
      </c>
      <c r="R61" s="306" t="str">
        <f ca="1">IFERROR(__xludf.DUMMYFUNCTION("IMPORTRANGE(""https://docs.google.com/spreadsheets/d/1SX6NBoVAgQJ6U1MVXOaj8PK2l7WJ3RER9xtqwdhxkhw/edit?usp=sharing"",""นครนายก!J458"")"),"")</f>
        <v/>
      </c>
      <c r="S61" s="359">
        <f t="shared" ca="1" si="7"/>
        <v>0</v>
      </c>
      <c r="T61" s="339"/>
      <c r="U61" s="339"/>
      <c r="V61" s="339"/>
      <c r="W61" s="339"/>
      <c r="X61" s="339"/>
      <c r="Y61" s="339"/>
      <c r="Z61" s="339"/>
    </row>
    <row r="62" spans="1:26" ht="21" customHeight="1">
      <c r="A62" s="303">
        <v>8</v>
      </c>
      <c r="B62" s="304" t="s">
        <v>86</v>
      </c>
      <c r="C62" s="391">
        <f t="shared" ca="1" si="75"/>
        <v>0</v>
      </c>
      <c r="D62" s="306">
        <f ca="1">IFERROR(__xludf.DUMMYFUNCTION("IMPORTRANGE(""https://docs.google.com/spreadsheets/d/1C3CXT74ZlgGe6_JY_1olB1XN4rF0dxEuIIF-xsYjHgg/edit?usp=sharing"",""งบกองทุน!DT66"")"),0)</f>
        <v>0</v>
      </c>
      <c r="E62" s="306">
        <f ca="1">IFERROR(__xludf.DUMMYFUNCTION("IMPORTRANGE(""https://docs.google.com/spreadsheets/d/1C3CXT74ZlgGe6_JY_1olB1XN4rF0dxEuIIF-xsYjHgg/edit?usp=sharing"",""งบกองทุน!DU66"")"),0)</f>
        <v>0</v>
      </c>
      <c r="F62" s="307">
        <f ca="1">IFERROR(__xludf.DUMMYFUNCTION("IMPORTRANGE(""https://docs.google.com/spreadsheets/d/1SX6NBoVAgQJ6U1MVXOaj8PK2l7WJ3RER9xtqwdhxkhw/edit?usp=sharing"",""นครปฐม!M446"")"),0)</f>
        <v>0</v>
      </c>
      <c r="G62" s="307">
        <f t="shared" ca="1" si="1"/>
        <v>0</v>
      </c>
      <c r="H62" s="308">
        <v>0</v>
      </c>
      <c r="I62" s="308">
        <f t="shared" ref="I62:J62" ca="1" si="83">SUM(M62,Q62)</f>
        <v>0</v>
      </c>
      <c r="J62" s="308">
        <f t="shared" ca="1" si="83"/>
        <v>0</v>
      </c>
      <c r="K62" s="309">
        <f t="shared" si="3"/>
        <v>0</v>
      </c>
      <c r="L62" s="306">
        <f ca="1">IFERROR(__xludf.DUMMYFUNCTION("IMPORTRANGE(""https://docs.google.com/spreadsheets/d/1C3CXT74ZlgGe6_JY_1olB1XN4rF0dxEuIIF-xsYjHgg/edit?usp=sharing"",""งบกองทุน!DW66"")"),0)</f>
        <v>0</v>
      </c>
      <c r="M62" s="306">
        <f ca="1">IFERROR(__xludf.DUMMYFUNCTION("IMPORTRANGE(""https://docs.google.com/spreadsheets/d/1SX6NBoVAgQJ6U1MVXOaj8PK2l7WJ3RER9xtqwdhxkhw/edit?usp=sharing"",""นครปฐม!J455"")"),0)</f>
        <v>0</v>
      </c>
      <c r="N62" s="306">
        <f ca="1">IFERROR(__xludf.DUMMYFUNCTION("IMPORTRANGE(""https://docs.google.com/spreadsheets/d/1SX6NBoVAgQJ6U1MVXOaj8PK2l7WJ3RER9xtqwdhxkhw/edit?usp=sharing"",""นครปฐม!J456"")"),0)</f>
        <v>0</v>
      </c>
      <c r="O62" s="307">
        <f t="shared" ca="1" si="5"/>
        <v>0</v>
      </c>
      <c r="P62" s="306">
        <f ca="1">IFERROR(__xludf.DUMMYFUNCTION("IMPORTRANGE(""https://docs.google.com/spreadsheets/d/1C3CXT74ZlgGe6_JY_1olB1XN4rF0dxEuIIF-xsYjHgg/edit?usp=sharing"",""งบกองทุน!DY66"")"),0)</f>
        <v>0</v>
      </c>
      <c r="Q62" s="306" t="str">
        <f ca="1">IFERROR(__xludf.DUMMYFUNCTION("IMPORTRANGE(""https://docs.google.com/spreadsheets/d/1SX6NBoVAgQJ6U1MVXOaj8PK2l7WJ3RER9xtqwdhxkhw/edit?usp=sharing"",""นครปฐม!J457"")"),"")</f>
        <v/>
      </c>
      <c r="R62" s="306" t="str">
        <f ca="1">IFERROR(__xludf.DUMMYFUNCTION("IMPORTRANGE(""https://docs.google.com/spreadsheets/d/1SX6NBoVAgQJ6U1MVXOaj8PK2l7WJ3RER9xtqwdhxkhw/edit?usp=sharing"",""นครปฐม!J458"")"),"")</f>
        <v/>
      </c>
      <c r="S62" s="359">
        <f t="shared" ca="1" si="7"/>
        <v>0</v>
      </c>
      <c r="T62" s="339"/>
      <c r="U62" s="339"/>
      <c r="V62" s="339"/>
      <c r="W62" s="339"/>
      <c r="X62" s="339"/>
      <c r="Y62" s="339"/>
      <c r="Z62" s="339"/>
    </row>
    <row r="63" spans="1:26" ht="21" customHeight="1">
      <c r="A63" s="303">
        <v>9</v>
      </c>
      <c r="B63" s="304" t="s">
        <v>87</v>
      </c>
      <c r="C63" s="391">
        <f t="shared" ca="1" si="75"/>
        <v>0</v>
      </c>
      <c r="D63" s="306">
        <f ca="1">IFERROR(__xludf.DUMMYFUNCTION("IMPORTRANGE(""https://docs.google.com/spreadsheets/d/1C3CXT74ZlgGe6_JY_1olB1XN4rF0dxEuIIF-xsYjHgg/edit?usp=sharing"",""งบกองทุน!DT67"")"),0)</f>
        <v>0</v>
      </c>
      <c r="E63" s="306">
        <f ca="1">IFERROR(__xludf.DUMMYFUNCTION("IMPORTRANGE(""https://docs.google.com/spreadsheets/d/1C3CXT74ZlgGe6_JY_1olB1XN4rF0dxEuIIF-xsYjHgg/edit?usp=sharing"",""งบกองทุน!DU67"")"),0)</f>
        <v>0</v>
      </c>
      <c r="F63" s="307">
        <f ca="1">IFERROR(__xludf.DUMMYFUNCTION("IMPORTRANGE(""https://docs.google.com/spreadsheets/d/1SX6NBoVAgQJ6U1MVXOaj8PK2l7WJ3RER9xtqwdhxkhw/edit?usp=sharing"",""ปทุมธานี!M446"")"),0)</f>
        <v>0</v>
      </c>
      <c r="G63" s="307">
        <f t="shared" ca="1" si="1"/>
        <v>0</v>
      </c>
      <c r="H63" s="308">
        <v>0</v>
      </c>
      <c r="I63" s="308">
        <f t="shared" ref="I63:J63" ca="1" si="84">SUM(M63,Q63)</f>
        <v>0</v>
      </c>
      <c r="J63" s="308">
        <f t="shared" ca="1" si="84"/>
        <v>0</v>
      </c>
      <c r="K63" s="309">
        <f t="shared" si="3"/>
        <v>0</v>
      </c>
      <c r="L63" s="306">
        <f ca="1">IFERROR(__xludf.DUMMYFUNCTION("IMPORTRANGE(""https://docs.google.com/spreadsheets/d/1C3CXT74ZlgGe6_JY_1olB1XN4rF0dxEuIIF-xsYjHgg/edit?usp=sharing"",""งบกองทุน!DW67"")"),0)</f>
        <v>0</v>
      </c>
      <c r="M63" s="306">
        <f ca="1">IFERROR(__xludf.DUMMYFUNCTION("IMPORTRANGE(""https://docs.google.com/spreadsheets/d/1SX6NBoVAgQJ6U1MVXOaj8PK2l7WJ3RER9xtqwdhxkhw/edit?usp=sharing"",""ปทุมธานี!J455"")"),0)</f>
        <v>0</v>
      </c>
      <c r="N63" s="306">
        <f ca="1">IFERROR(__xludf.DUMMYFUNCTION("IMPORTRANGE(""https://docs.google.com/spreadsheets/d/1SX6NBoVAgQJ6U1MVXOaj8PK2l7WJ3RER9xtqwdhxkhw/edit?usp=sharing"",""ปทุมธานี!J456"")"),0)</f>
        <v>0</v>
      </c>
      <c r="O63" s="307">
        <f t="shared" ca="1" si="5"/>
        <v>0</v>
      </c>
      <c r="P63" s="306">
        <f ca="1">IFERROR(__xludf.DUMMYFUNCTION("IMPORTRANGE(""https://docs.google.com/spreadsheets/d/1C3CXT74ZlgGe6_JY_1olB1XN4rF0dxEuIIF-xsYjHgg/edit?usp=sharing"",""งบกองทุน!DY67"")"),0)</f>
        <v>0</v>
      </c>
      <c r="Q63" s="306" t="str">
        <f ca="1">IFERROR(__xludf.DUMMYFUNCTION("IMPORTRANGE(""https://docs.google.com/spreadsheets/d/1SX6NBoVAgQJ6U1MVXOaj8PK2l7WJ3RER9xtqwdhxkhw/edit?usp=sharing"",""ปทุมธานี!J457"")"),"")</f>
        <v/>
      </c>
      <c r="R63" s="306" t="str">
        <f ca="1">IFERROR(__xludf.DUMMYFUNCTION("IMPORTRANGE(""https://docs.google.com/spreadsheets/d/1SX6NBoVAgQJ6U1MVXOaj8PK2l7WJ3RER9xtqwdhxkhw/edit?usp=sharing"",""ปทุมธานี!J458"")"),"")</f>
        <v/>
      </c>
      <c r="S63" s="359">
        <f t="shared" ca="1" si="7"/>
        <v>0</v>
      </c>
      <c r="T63" s="339"/>
      <c r="U63" s="339"/>
      <c r="V63" s="339"/>
      <c r="W63" s="339"/>
      <c r="X63" s="339"/>
      <c r="Y63" s="339"/>
      <c r="Z63" s="339"/>
    </row>
    <row r="64" spans="1:26" ht="21" customHeight="1">
      <c r="A64" s="303">
        <v>10</v>
      </c>
      <c r="B64" s="304" t="s">
        <v>88</v>
      </c>
      <c r="C64" s="391">
        <f t="shared" ca="1" si="75"/>
        <v>0</v>
      </c>
      <c r="D64" s="306">
        <f ca="1">IFERROR(__xludf.DUMMYFUNCTION("IMPORTRANGE(""https://docs.google.com/spreadsheets/d/1C3CXT74ZlgGe6_JY_1olB1XN4rF0dxEuIIF-xsYjHgg/edit?usp=sharing"",""งบกองทุน!DT68"")"),0)</f>
        <v>0</v>
      </c>
      <c r="E64" s="306">
        <f ca="1">IFERROR(__xludf.DUMMYFUNCTION("IMPORTRANGE(""https://docs.google.com/spreadsheets/d/1C3CXT74ZlgGe6_JY_1olB1XN4rF0dxEuIIF-xsYjHgg/edit?usp=sharing"",""งบกองทุน!DU68"")"),0)</f>
        <v>0</v>
      </c>
      <c r="F64" s="307">
        <f ca="1">IFERROR(__xludf.DUMMYFUNCTION("IMPORTRANGE(""https://docs.google.com/spreadsheets/d/1SX6NBoVAgQJ6U1MVXOaj8PK2l7WJ3RER9xtqwdhxkhw/edit?usp=sharing"",""ประจวบคีรีขันธ์!M446"")"),0)</f>
        <v>0</v>
      </c>
      <c r="G64" s="307">
        <f t="shared" ca="1" si="1"/>
        <v>0</v>
      </c>
      <c r="H64" s="308">
        <v>0</v>
      </c>
      <c r="I64" s="308">
        <f t="shared" ref="I64:J64" ca="1" si="85">SUM(M64,Q64)</f>
        <v>0</v>
      </c>
      <c r="J64" s="308">
        <f t="shared" ca="1" si="85"/>
        <v>0</v>
      </c>
      <c r="K64" s="309">
        <f t="shared" si="3"/>
        <v>0</v>
      </c>
      <c r="L64" s="306">
        <f ca="1">IFERROR(__xludf.DUMMYFUNCTION("IMPORTRANGE(""https://docs.google.com/spreadsheets/d/1C3CXT74ZlgGe6_JY_1olB1XN4rF0dxEuIIF-xsYjHgg/edit?usp=sharing"",""งบกองทุน!DW68"")"),0)</f>
        <v>0</v>
      </c>
      <c r="M64" s="306">
        <f ca="1">IFERROR(__xludf.DUMMYFUNCTION("IMPORTRANGE(""https://docs.google.com/spreadsheets/d/1SX6NBoVAgQJ6U1MVXOaj8PK2l7WJ3RER9xtqwdhxkhw/edit?usp=sharing"",""ประจวบคีรีขันธ์!J455"")"),0)</f>
        <v>0</v>
      </c>
      <c r="N64" s="306">
        <f ca="1">IFERROR(__xludf.DUMMYFUNCTION("IMPORTRANGE(""https://docs.google.com/spreadsheets/d/1SX6NBoVAgQJ6U1MVXOaj8PK2l7WJ3RER9xtqwdhxkhw/edit?usp=sharing"",""ประจวบคีรีขันธ์!J456"")"),0)</f>
        <v>0</v>
      </c>
      <c r="O64" s="307">
        <f t="shared" ca="1" si="5"/>
        <v>0</v>
      </c>
      <c r="P64" s="306">
        <f ca="1">IFERROR(__xludf.DUMMYFUNCTION("IMPORTRANGE(""https://docs.google.com/spreadsheets/d/1C3CXT74ZlgGe6_JY_1olB1XN4rF0dxEuIIF-xsYjHgg/edit?usp=sharing"",""งบกองทุน!DY68"")"),0)</f>
        <v>0</v>
      </c>
      <c r="Q64" s="306" t="str">
        <f ca="1">IFERROR(__xludf.DUMMYFUNCTION("IMPORTRANGE(""https://docs.google.com/spreadsheets/d/1SX6NBoVAgQJ6U1MVXOaj8PK2l7WJ3RER9xtqwdhxkhw/edit?usp=sharing"",""ประจวบคีรีขันธ์!J457"")"),"")</f>
        <v/>
      </c>
      <c r="R64" s="306" t="str">
        <f ca="1">IFERROR(__xludf.DUMMYFUNCTION("IMPORTRANGE(""https://docs.google.com/spreadsheets/d/1SX6NBoVAgQJ6U1MVXOaj8PK2l7WJ3RER9xtqwdhxkhw/edit?usp=sharing"",""ประจวบคีรีขันธ์!J458"")"),"")</f>
        <v/>
      </c>
      <c r="S64" s="359">
        <f t="shared" ca="1" si="7"/>
        <v>0</v>
      </c>
      <c r="T64" s="339"/>
      <c r="U64" s="339"/>
      <c r="V64" s="339"/>
      <c r="W64" s="339"/>
      <c r="X64" s="339"/>
      <c r="Y64" s="339"/>
      <c r="Z64" s="339"/>
    </row>
    <row r="65" spans="1:26" ht="21" customHeight="1">
      <c r="A65" s="303">
        <v>11</v>
      </c>
      <c r="B65" s="304" t="s">
        <v>89</v>
      </c>
      <c r="C65" s="391">
        <f t="shared" ca="1" si="75"/>
        <v>0</v>
      </c>
      <c r="D65" s="306">
        <f ca="1">IFERROR(__xludf.DUMMYFUNCTION("IMPORTRANGE(""https://docs.google.com/spreadsheets/d/1C3CXT74ZlgGe6_JY_1olB1XN4rF0dxEuIIF-xsYjHgg/edit?usp=sharing"",""งบกองทุน!DT69"")"),0)</f>
        <v>0</v>
      </c>
      <c r="E65" s="306">
        <f ca="1">IFERROR(__xludf.DUMMYFUNCTION("IMPORTRANGE(""https://docs.google.com/spreadsheets/d/1C3CXT74ZlgGe6_JY_1olB1XN4rF0dxEuIIF-xsYjHgg/edit?usp=sharing"",""งบกองทุน!DU69"")"),0)</f>
        <v>0</v>
      </c>
      <c r="F65" s="307">
        <f ca="1">IFERROR(__xludf.DUMMYFUNCTION("IMPORTRANGE(""https://docs.google.com/spreadsheets/d/1SX6NBoVAgQJ6U1MVXOaj8PK2l7WJ3RER9xtqwdhxkhw/edit?usp=sharing"",""ปราจีนบุรี!M446"")"),0)</f>
        <v>0</v>
      </c>
      <c r="G65" s="307">
        <f t="shared" ca="1" si="1"/>
        <v>0</v>
      </c>
      <c r="H65" s="308">
        <v>0</v>
      </c>
      <c r="I65" s="308">
        <f t="shared" ref="I65:J65" ca="1" si="86">SUM(M65,Q65)</f>
        <v>0</v>
      </c>
      <c r="J65" s="308">
        <f t="shared" ca="1" si="86"/>
        <v>0</v>
      </c>
      <c r="K65" s="309">
        <f t="shared" si="3"/>
        <v>0</v>
      </c>
      <c r="L65" s="306">
        <f ca="1">IFERROR(__xludf.DUMMYFUNCTION("IMPORTRANGE(""https://docs.google.com/spreadsheets/d/1C3CXT74ZlgGe6_JY_1olB1XN4rF0dxEuIIF-xsYjHgg/edit?usp=sharing"",""งบกองทุน!DW69"")"),0)</f>
        <v>0</v>
      </c>
      <c r="M65" s="306">
        <f ca="1">IFERROR(__xludf.DUMMYFUNCTION("IMPORTRANGE(""https://docs.google.com/spreadsheets/d/1SX6NBoVAgQJ6U1MVXOaj8PK2l7WJ3RER9xtqwdhxkhw/edit?usp=sharing"",""ปราจีนบุรี!J455"")"),0)</f>
        <v>0</v>
      </c>
      <c r="N65" s="306">
        <f ca="1">IFERROR(__xludf.DUMMYFUNCTION("IMPORTRANGE(""https://docs.google.com/spreadsheets/d/1SX6NBoVAgQJ6U1MVXOaj8PK2l7WJ3RER9xtqwdhxkhw/edit?usp=sharing"",""ปราจีนบุรี!J456"")"),0)</f>
        <v>0</v>
      </c>
      <c r="O65" s="307">
        <f t="shared" ca="1" si="5"/>
        <v>0</v>
      </c>
      <c r="P65" s="306">
        <f ca="1">IFERROR(__xludf.DUMMYFUNCTION("IMPORTRANGE(""https://docs.google.com/spreadsheets/d/1C3CXT74ZlgGe6_JY_1olB1XN4rF0dxEuIIF-xsYjHgg/edit?usp=sharing"",""งบกองทุน!DY69"")"),0)</f>
        <v>0</v>
      </c>
      <c r="Q65" s="306" t="str">
        <f ca="1">IFERROR(__xludf.DUMMYFUNCTION("IMPORTRANGE(""https://docs.google.com/spreadsheets/d/1SX6NBoVAgQJ6U1MVXOaj8PK2l7WJ3RER9xtqwdhxkhw/edit?usp=sharing"",""ปราจีนบุรี!J457"")"),"")</f>
        <v/>
      </c>
      <c r="R65" s="306" t="str">
        <f ca="1">IFERROR(__xludf.DUMMYFUNCTION("IMPORTRANGE(""https://docs.google.com/spreadsheets/d/1SX6NBoVAgQJ6U1MVXOaj8PK2l7WJ3RER9xtqwdhxkhw/edit?usp=sharing"",""ปราจีนบุรี!J458"")"),"")</f>
        <v/>
      </c>
      <c r="S65" s="359">
        <f t="shared" ca="1" si="7"/>
        <v>0</v>
      </c>
      <c r="T65" s="339"/>
      <c r="U65" s="339"/>
      <c r="V65" s="339"/>
      <c r="W65" s="339"/>
      <c r="X65" s="339"/>
      <c r="Y65" s="339"/>
      <c r="Z65" s="339"/>
    </row>
    <row r="66" spans="1:26" ht="21" customHeight="1">
      <c r="A66" s="303">
        <v>12</v>
      </c>
      <c r="B66" s="304" t="s">
        <v>90</v>
      </c>
      <c r="C66" s="391">
        <f t="shared" ca="1" si="75"/>
        <v>0</v>
      </c>
      <c r="D66" s="306">
        <f ca="1">IFERROR(__xludf.DUMMYFUNCTION("IMPORTRANGE(""https://docs.google.com/spreadsheets/d/1C3CXT74ZlgGe6_JY_1olB1XN4rF0dxEuIIF-xsYjHgg/edit?usp=sharing"",""งบกองทุน!DT70"")"),0)</f>
        <v>0</v>
      </c>
      <c r="E66" s="306">
        <f ca="1">IFERROR(__xludf.DUMMYFUNCTION("IMPORTRANGE(""https://docs.google.com/spreadsheets/d/1C3CXT74ZlgGe6_JY_1olB1XN4rF0dxEuIIF-xsYjHgg/edit?usp=sharing"",""งบกองทุน!DU70"")"),0)</f>
        <v>0</v>
      </c>
      <c r="F66" s="307">
        <f ca="1">IFERROR(__xludf.DUMMYFUNCTION("IMPORTRANGE(""https://docs.google.com/spreadsheets/d/1SX6NBoVAgQJ6U1MVXOaj8PK2l7WJ3RER9xtqwdhxkhw/edit?usp=sharing"",""พระนครศรีอยุธยา!M446"")"),0)</f>
        <v>0</v>
      </c>
      <c r="G66" s="307">
        <f t="shared" ca="1" si="1"/>
        <v>0</v>
      </c>
      <c r="H66" s="308">
        <v>0</v>
      </c>
      <c r="I66" s="308">
        <f t="shared" ref="I66:J66" ca="1" si="87">SUM(M66,Q66)</f>
        <v>0</v>
      </c>
      <c r="J66" s="308">
        <f t="shared" ca="1" si="87"/>
        <v>0</v>
      </c>
      <c r="K66" s="309">
        <f t="shared" si="3"/>
        <v>0</v>
      </c>
      <c r="L66" s="306">
        <f ca="1">IFERROR(__xludf.DUMMYFUNCTION("IMPORTRANGE(""https://docs.google.com/spreadsheets/d/1C3CXT74ZlgGe6_JY_1olB1XN4rF0dxEuIIF-xsYjHgg/edit?usp=sharing"",""งบกองทุน!DW70"")"),0)</f>
        <v>0</v>
      </c>
      <c r="M66" s="306">
        <f ca="1">IFERROR(__xludf.DUMMYFUNCTION("IMPORTRANGE(""https://docs.google.com/spreadsheets/d/1SX6NBoVAgQJ6U1MVXOaj8PK2l7WJ3RER9xtqwdhxkhw/edit?usp=sharing"",""พระนครศรีอยุธยา!J455"")"),0)</f>
        <v>0</v>
      </c>
      <c r="N66" s="306">
        <f ca="1">IFERROR(__xludf.DUMMYFUNCTION("IMPORTRANGE(""https://docs.google.com/spreadsheets/d/1SX6NBoVAgQJ6U1MVXOaj8PK2l7WJ3RER9xtqwdhxkhw/edit?usp=sharing"",""พระนครศรีอยุธยา!J456"")"),0)</f>
        <v>0</v>
      </c>
      <c r="O66" s="307">
        <f t="shared" ca="1" si="5"/>
        <v>0</v>
      </c>
      <c r="P66" s="306">
        <f ca="1">IFERROR(__xludf.DUMMYFUNCTION("IMPORTRANGE(""https://docs.google.com/spreadsheets/d/1C3CXT74ZlgGe6_JY_1olB1XN4rF0dxEuIIF-xsYjHgg/edit?usp=sharing"",""งบกองทุน!DY70"")"),0)</f>
        <v>0</v>
      </c>
      <c r="Q66" s="306" t="str">
        <f ca="1">IFERROR(__xludf.DUMMYFUNCTION("IMPORTRANGE(""https://docs.google.com/spreadsheets/d/1SX6NBoVAgQJ6U1MVXOaj8PK2l7WJ3RER9xtqwdhxkhw/edit?usp=sharing"",""พระนครศรีอยุธยา!J457"")"),"")</f>
        <v/>
      </c>
      <c r="R66" s="306" t="str">
        <f ca="1">IFERROR(__xludf.DUMMYFUNCTION("IMPORTRANGE(""https://docs.google.com/spreadsheets/d/1SX6NBoVAgQJ6U1MVXOaj8PK2l7WJ3RER9xtqwdhxkhw/edit?usp=sharing"",""พระนครศรีอยุธยา!J458"")"),"")</f>
        <v/>
      </c>
      <c r="S66" s="359">
        <f t="shared" ca="1" si="7"/>
        <v>0</v>
      </c>
      <c r="T66" s="339"/>
      <c r="U66" s="339"/>
      <c r="V66" s="339"/>
      <c r="W66" s="339"/>
      <c r="X66" s="339"/>
      <c r="Y66" s="339"/>
      <c r="Z66" s="339"/>
    </row>
    <row r="67" spans="1:26" ht="21" customHeight="1">
      <c r="A67" s="303">
        <v>13</v>
      </c>
      <c r="B67" s="304" t="s">
        <v>91</v>
      </c>
      <c r="C67" s="391">
        <f t="shared" ca="1" si="75"/>
        <v>0</v>
      </c>
      <c r="D67" s="306">
        <f ca="1">IFERROR(__xludf.DUMMYFUNCTION("IMPORTRANGE(""https://docs.google.com/spreadsheets/d/1C3CXT74ZlgGe6_JY_1olB1XN4rF0dxEuIIF-xsYjHgg/edit?usp=sharing"",""งบกองทุน!DT71"")"),0)</f>
        <v>0</v>
      </c>
      <c r="E67" s="306">
        <f ca="1">IFERROR(__xludf.DUMMYFUNCTION("IMPORTRANGE(""https://docs.google.com/spreadsheets/d/1C3CXT74ZlgGe6_JY_1olB1XN4rF0dxEuIIF-xsYjHgg/edit?usp=sharing"",""งบกองทุน!DU71"")"),0)</f>
        <v>0</v>
      </c>
      <c r="F67" s="307">
        <f ca="1">IFERROR(__xludf.DUMMYFUNCTION("IMPORTRANGE(""https://docs.google.com/spreadsheets/d/1SX6NBoVAgQJ6U1MVXOaj8PK2l7WJ3RER9xtqwdhxkhw/edit?usp=sharing"",""เพชรบุรี!M446"")"),0)</f>
        <v>0</v>
      </c>
      <c r="G67" s="307">
        <f t="shared" ca="1" si="1"/>
        <v>0</v>
      </c>
      <c r="H67" s="308">
        <v>0</v>
      </c>
      <c r="I67" s="308">
        <f t="shared" ref="I67:J67" ca="1" si="88">SUM(M67,Q67)</f>
        <v>0</v>
      </c>
      <c r="J67" s="308">
        <f t="shared" ca="1" si="88"/>
        <v>0</v>
      </c>
      <c r="K67" s="309">
        <f t="shared" si="3"/>
        <v>0</v>
      </c>
      <c r="L67" s="306">
        <f ca="1">IFERROR(__xludf.DUMMYFUNCTION("IMPORTRANGE(""https://docs.google.com/spreadsheets/d/1C3CXT74ZlgGe6_JY_1olB1XN4rF0dxEuIIF-xsYjHgg/edit?usp=sharing"",""งบกองทุน!DW71"")"),0)</f>
        <v>0</v>
      </c>
      <c r="M67" s="306">
        <f ca="1">IFERROR(__xludf.DUMMYFUNCTION("IMPORTRANGE(""https://docs.google.com/spreadsheets/d/1SX6NBoVAgQJ6U1MVXOaj8PK2l7WJ3RER9xtqwdhxkhw/edit?usp=sharing"",""เพชรบุรี!J455"")"),0)</f>
        <v>0</v>
      </c>
      <c r="N67" s="306">
        <f ca="1">IFERROR(__xludf.DUMMYFUNCTION("IMPORTRANGE(""https://docs.google.com/spreadsheets/d/1SX6NBoVAgQJ6U1MVXOaj8PK2l7WJ3RER9xtqwdhxkhw/edit?usp=sharing"",""เพชรบุรี!J456"")"),0)</f>
        <v>0</v>
      </c>
      <c r="O67" s="307">
        <f t="shared" ca="1" si="5"/>
        <v>0</v>
      </c>
      <c r="P67" s="308">
        <f ca="1">IFERROR(__xludf.DUMMYFUNCTION("IMPORTRANGE(""https://docs.google.com/spreadsheets/d/1C3CXT74ZlgGe6_JY_1olB1XN4rF0dxEuIIF-xsYjHgg/edit?usp=sharing"",""งบกองทุน!DY71"")"),0)</f>
        <v>0</v>
      </c>
      <c r="Q67" s="306" t="str">
        <f ca="1">IFERROR(__xludf.DUMMYFUNCTION("IMPORTRANGE(""https://docs.google.com/spreadsheets/d/1SX6NBoVAgQJ6U1MVXOaj8PK2l7WJ3RER9xtqwdhxkhw/edit?usp=sharing"",""เพชรบุรี!J457"")"),"")</f>
        <v/>
      </c>
      <c r="R67" s="306" t="str">
        <f ca="1">IFERROR(__xludf.DUMMYFUNCTION("IMPORTRANGE(""https://docs.google.com/spreadsheets/d/1SX6NBoVAgQJ6U1MVXOaj8PK2l7WJ3RER9xtqwdhxkhw/edit?usp=sharing"",""เพชรบุรี!J458"")"),"")</f>
        <v/>
      </c>
      <c r="S67" s="359">
        <f t="shared" ca="1" si="7"/>
        <v>0</v>
      </c>
      <c r="T67" s="339"/>
      <c r="U67" s="339"/>
      <c r="V67" s="339"/>
      <c r="W67" s="339"/>
      <c r="X67" s="339"/>
      <c r="Y67" s="339"/>
      <c r="Z67" s="339"/>
    </row>
    <row r="68" spans="1:26" ht="21" customHeight="1">
      <c r="A68" s="303">
        <v>14</v>
      </c>
      <c r="B68" s="304" t="s">
        <v>92</v>
      </c>
      <c r="C68" s="391">
        <f t="shared" ca="1" si="75"/>
        <v>0</v>
      </c>
      <c r="D68" s="306">
        <f ca="1">IFERROR(__xludf.DUMMYFUNCTION("IMPORTRANGE(""https://docs.google.com/spreadsheets/d/1C3CXT74ZlgGe6_JY_1olB1XN4rF0dxEuIIF-xsYjHgg/edit?usp=sharing"",""งบกองทุน!DT72"")"),0)</f>
        <v>0</v>
      </c>
      <c r="E68" s="306">
        <f ca="1">IFERROR(__xludf.DUMMYFUNCTION("IMPORTRANGE(""https://docs.google.com/spreadsheets/d/1C3CXT74ZlgGe6_JY_1olB1XN4rF0dxEuIIF-xsYjHgg/edit?usp=sharing"",""งบกองทุน!DU72"")"),0)</f>
        <v>0</v>
      </c>
      <c r="F68" s="307">
        <f ca="1">IFERROR(__xludf.DUMMYFUNCTION("IMPORTRANGE(""https://docs.google.com/spreadsheets/d/1SX6NBoVAgQJ6U1MVXOaj8PK2l7WJ3RER9xtqwdhxkhw/edit?usp=sharing"",""ระยอง!M446"")"),0)</f>
        <v>0</v>
      </c>
      <c r="G68" s="307">
        <f t="shared" ca="1" si="1"/>
        <v>0</v>
      </c>
      <c r="H68" s="308">
        <v>0</v>
      </c>
      <c r="I68" s="308">
        <f t="shared" ref="I68:J68" ca="1" si="89">SUM(M68,Q68)</f>
        <v>0</v>
      </c>
      <c r="J68" s="308">
        <f t="shared" ca="1" si="89"/>
        <v>0</v>
      </c>
      <c r="K68" s="309">
        <f t="shared" si="3"/>
        <v>0</v>
      </c>
      <c r="L68" s="306">
        <f ca="1">IFERROR(__xludf.DUMMYFUNCTION("IMPORTRANGE(""https://docs.google.com/spreadsheets/d/1C3CXT74ZlgGe6_JY_1olB1XN4rF0dxEuIIF-xsYjHgg/edit?usp=sharing"",""งบกองทุน!DW72"")"),0)</f>
        <v>0</v>
      </c>
      <c r="M68" s="306">
        <f ca="1">IFERROR(__xludf.DUMMYFUNCTION("IMPORTRANGE(""https://docs.google.com/spreadsheets/d/1SX6NBoVAgQJ6U1MVXOaj8PK2l7WJ3RER9xtqwdhxkhw/edit?usp=sharing"",""ระยอง!J455"")"),0)</f>
        <v>0</v>
      </c>
      <c r="N68" s="306">
        <f ca="1">IFERROR(__xludf.DUMMYFUNCTION("IMPORTRANGE(""https://docs.google.com/spreadsheets/d/1SX6NBoVAgQJ6U1MVXOaj8PK2l7WJ3RER9xtqwdhxkhw/edit?usp=sharing"",""ระยอง!J456"")"),0)</f>
        <v>0</v>
      </c>
      <c r="O68" s="307">
        <f t="shared" ca="1" si="5"/>
        <v>0</v>
      </c>
      <c r="P68" s="308">
        <f ca="1">IFERROR(__xludf.DUMMYFUNCTION("IMPORTRANGE(""https://docs.google.com/spreadsheets/d/1C3CXT74ZlgGe6_JY_1olB1XN4rF0dxEuIIF-xsYjHgg/edit?usp=sharing"",""งบกองทุน!DY72"")"),0)</f>
        <v>0</v>
      </c>
      <c r="Q68" s="306" t="str">
        <f ca="1">IFERROR(__xludf.DUMMYFUNCTION("IMPORTRANGE(""https://docs.google.com/spreadsheets/d/1SX6NBoVAgQJ6U1MVXOaj8PK2l7WJ3RER9xtqwdhxkhw/edit?usp=sharing"",""ระยอง!J457"")"),"")</f>
        <v/>
      </c>
      <c r="R68" s="306" t="str">
        <f ca="1">IFERROR(__xludf.DUMMYFUNCTION("IMPORTRANGE(""https://docs.google.com/spreadsheets/d/1SX6NBoVAgQJ6U1MVXOaj8PK2l7WJ3RER9xtqwdhxkhw/edit?usp=sharing"",""ระยอง!J458"")"),"")</f>
        <v/>
      </c>
      <c r="S68" s="359">
        <f t="shared" ca="1" si="7"/>
        <v>0</v>
      </c>
      <c r="T68" s="339"/>
      <c r="U68" s="339"/>
      <c r="V68" s="339"/>
      <c r="W68" s="339"/>
      <c r="X68" s="339"/>
      <c r="Y68" s="339"/>
      <c r="Z68" s="339"/>
    </row>
    <row r="69" spans="1:26" ht="21" customHeight="1">
      <c r="A69" s="303">
        <v>15</v>
      </c>
      <c r="B69" s="304" t="s">
        <v>93</v>
      </c>
      <c r="C69" s="391">
        <f t="shared" ca="1" si="75"/>
        <v>0</v>
      </c>
      <c r="D69" s="306">
        <f ca="1">IFERROR(__xludf.DUMMYFUNCTION("IMPORTRANGE(""https://docs.google.com/spreadsheets/d/1C3CXT74ZlgGe6_JY_1olB1XN4rF0dxEuIIF-xsYjHgg/edit?usp=sharing"",""งบกองทุน!DT73"")"),0)</f>
        <v>0</v>
      </c>
      <c r="E69" s="306">
        <f ca="1">IFERROR(__xludf.DUMMYFUNCTION("IMPORTRANGE(""https://docs.google.com/spreadsheets/d/1C3CXT74ZlgGe6_JY_1olB1XN4rF0dxEuIIF-xsYjHgg/edit?usp=sharing"",""งบกองทุน!DU73"")"),0)</f>
        <v>0</v>
      </c>
      <c r="F69" s="307">
        <f ca="1">IFERROR(__xludf.DUMMYFUNCTION("IMPORTRANGE(""https://docs.google.com/spreadsheets/d/1SX6NBoVAgQJ6U1MVXOaj8PK2l7WJ3RER9xtqwdhxkhw/edit?usp=sharing"",""ราชบุรี!M446"")"),0)</f>
        <v>0</v>
      </c>
      <c r="G69" s="307">
        <f t="shared" ca="1" si="1"/>
        <v>0</v>
      </c>
      <c r="H69" s="308">
        <v>0</v>
      </c>
      <c r="I69" s="308">
        <f t="shared" ref="I69:J69" ca="1" si="90">SUM(M69,Q69)</f>
        <v>0</v>
      </c>
      <c r="J69" s="308">
        <f t="shared" ca="1" si="90"/>
        <v>0</v>
      </c>
      <c r="K69" s="309">
        <f t="shared" si="3"/>
        <v>0</v>
      </c>
      <c r="L69" s="306">
        <f ca="1">IFERROR(__xludf.DUMMYFUNCTION("IMPORTRANGE(""https://docs.google.com/spreadsheets/d/1C3CXT74ZlgGe6_JY_1olB1XN4rF0dxEuIIF-xsYjHgg/edit?usp=sharing"",""งบกองทุน!DW73"")"),0)</f>
        <v>0</v>
      </c>
      <c r="M69" s="306">
        <f ca="1">IFERROR(__xludf.DUMMYFUNCTION("IMPORTRANGE(""https://docs.google.com/spreadsheets/d/1SX6NBoVAgQJ6U1MVXOaj8PK2l7WJ3RER9xtqwdhxkhw/edit?usp=sharing"",""ราชบุรี!J455"")"),0)</f>
        <v>0</v>
      </c>
      <c r="N69" s="306">
        <f ca="1">IFERROR(__xludf.DUMMYFUNCTION("IMPORTRANGE(""https://docs.google.com/spreadsheets/d/1SX6NBoVAgQJ6U1MVXOaj8PK2l7WJ3RER9xtqwdhxkhw/edit?usp=sharing"",""ราชบุรี!J456"")"),0)</f>
        <v>0</v>
      </c>
      <c r="O69" s="307">
        <f t="shared" ca="1" si="5"/>
        <v>0</v>
      </c>
      <c r="P69" s="306">
        <f ca="1">IFERROR(__xludf.DUMMYFUNCTION("IMPORTRANGE(""https://docs.google.com/spreadsheets/d/1C3CXT74ZlgGe6_JY_1olB1XN4rF0dxEuIIF-xsYjHgg/edit?usp=sharing"",""งบกองทุน!DY73"")"),0)</f>
        <v>0</v>
      </c>
      <c r="Q69" s="306" t="str">
        <f ca="1">IFERROR(__xludf.DUMMYFUNCTION("IMPORTRANGE(""https://docs.google.com/spreadsheets/d/1SX6NBoVAgQJ6U1MVXOaj8PK2l7WJ3RER9xtqwdhxkhw/edit?usp=sharing"",""ราชบุรี!J457"")"),"")</f>
        <v/>
      </c>
      <c r="R69" s="306" t="str">
        <f ca="1">IFERROR(__xludf.DUMMYFUNCTION("IMPORTRANGE(""https://docs.google.com/spreadsheets/d/1SX6NBoVAgQJ6U1MVXOaj8PK2l7WJ3RER9xtqwdhxkhw/edit?usp=sharing"",""ราชบุรี!J458"")"),"")</f>
        <v/>
      </c>
      <c r="S69" s="359">
        <f t="shared" ca="1" si="7"/>
        <v>0</v>
      </c>
      <c r="T69" s="339"/>
      <c r="U69" s="339"/>
      <c r="V69" s="339"/>
      <c r="W69" s="339"/>
      <c r="X69" s="339"/>
      <c r="Y69" s="339"/>
      <c r="Z69" s="339"/>
    </row>
    <row r="70" spans="1:26" ht="24" customHeight="1">
      <c r="A70" s="303">
        <v>16</v>
      </c>
      <c r="B70" s="304" t="s">
        <v>94</v>
      </c>
      <c r="C70" s="391">
        <f t="shared" ca="1" si="75"/>
        <v>0</v>
      </c>
      <c r="D70" s="306">
        <f ca="1">IFERROR(__xludf.DUMMYFUNCTION("IMPORTRANGE(""https://docs.google.com/spreadsheets/d/1C3CXT74ZlgGe6_JY_1olB1XN4rF0dxEuIIF-xsYjHgg/edit?usp=sharing"",""งบกองทุน!DT74"")"),0)</f>
        <v>0</v>
      </c>
      <c r="E70" s="306">
        <f ca="1">IFERROR(__xludf.DUMMYFUNCTION("IMPORTRANGE(""https://docs.google.com/spreadsheets/d/1C3CXT74ZlgGe6_JY_1olB1XN4rF0dxEuIIF-xsYjHgg/edit?usp=sharing"",""งบกองทุน!DU74"")"),0)</f>
        <v>0</v>
      </c>
      <c r="F70" s="307">
        <f ca="1">IFERROR(__xludf.DUMMYFUNCTION("IMPORTRANGE(""https://docs.google.com/spreadsheets/d/1SX6NBoVAgQJ6U1MVXOaj8PK2l7WJ3RER9xtqwdhxkhw/edit?usp=sharing"",""ลพบุรี!M446"")"),0)</f>
        <v>0</v>
      </c>
      <c r="G70" s="307">
        <f t="shared" ca="1" si="1"/>
        <v>0</v>
      </c>
      <c r="H70" s="308">
        <v>0</v>
      </c>
      <c r="I70" s="308">
        <f t="shared" ref="I70:J70" ca="1" si="91">SUM(M70,Q70)</f>
        <v>0</v>
      </c>
      <c r="J70" s="308">
        <f t="shared" ca="1" si="91"/>
        <v>0</v>
      </c>
      <c r="K70" s="309">
        <f t="shared" si="3"/>
        <v>0</v>
      </c>
      <c r="L70" s="306">
        <f ca="1">IFERROR(__xludf.DUMMYFUNCTION("IMPORTRANGE(""https://docs.google.com/spreadsheets/d/1C3CXT74ZlgGe6_JY_1olB1XN4rF0dxEuIIF-xsYjHgg/edit?usp=sharing"",""งบกองทุน!DW74"")"),0)</f>
        <v>0</v>
      </c>
      <c r="M70" s="306">
        <f ca="1">IFERROR(__xludf.DUMMYFUNCTION("IMPORTRANGE(""https://docs.google.com/spreadsheets/d/1SX6NBoVAgQJ6U1MVXOaj8PK2l7WJ3RER9xtqwdhxkhw/edit?usp=sharing"",""ลพบุรี!J455"")"),0)</f>
        <v>0</v>
      </c>
      <c r="N70" s="306">
        <f ca="1">IFERROR(__xludf.DUMMYFUNCTION("IMPORTRANGE(""https://docs.google.com/spreadsheets/d/1SX6NBoVAgQJ6U1MVXOaj8PK2l7WJ3RER9xtqwdhxkhw/edit?usp=sharing"",""ลพบุรี!J456"")"),0)</f>
        <v>0</v>
      </c>
      <c r="O70" s="307">
        <f t="shared" ca="1" si="5"/>
        <v>0</v>
      </c>
      <c r="P70" s="306">
        <f ca="1">IFERROR(__xludf.DUMMYFUNCTION("IMPORTRANGE(""https://docs.google.com/spreadsheets/d/1C3CXT74ZlgGe6_JY_1olB1XN4rF0dxEuIIF-xsYjHgg/edit?usp=sharing"",""งบกองทุน!DY74"")"),0)</f>
        <v>0</v>
      </c>
      <c r="Q70" s="306" t="str">
        <f ca="1">IFERROR(__xludf.DUMMYFUNCTION("IMPORTRANGE(""https://docs.google.com/spreadsheets/d/1SX6NBoVAgQJ6U1MVXOaj8PK2l7WJ3RER9xtqwdhxkhw/edit?usp=sharing"",""ลพบุรี!J457"")"),"")</f>
        <v/>
      </c>
      <c r="R70" s="306" t="str">
        <f ca="1">IFERROR(__xludf.DUMMYFUNCTION("IMPORTRANGE(""https://docs.google.com/spreadsheets/d/1SX6NBoVAgQJ6U1MVXOaj8PK2l7WJ3RER9xtqwdhxkhw/edit?usp=sharing"",""ลพบุรี!J458"")"),"")</f>
        <v/>
      </c>
      <c r="S70" s="359">
        <f t="shared" ca="1" si="7"/>
        <v>0</v>
      </c>
      <c r="T70" s="339"/>
      <c r="U70" s="339"/>
      <c r="V70" s="339"/>
      <c r="W70" s="339"/>
      <c r="X70" s="339"/>
      <c r="Y70" s="339"/>
      <c r="Z70" s="339"/>
    </row>
    <row r="71" spans="1:26" ht="21" customHeight="1">
      <c r="A71" s="303">
        <v>17</v>
      </c>
      <c r="B71" s="304" t="s">
        <v>95</v>
      </c>
      <c r="C71" s="391">
        <f t="shared" ca="1" si="75"/>
        <v>0</v>
      </c>
      <c r="D71" s="306">
        <f ca="1">IFERROR(__xludf.DUMMYFUNCTION("IMPORTRANGE(""https://docs.google.com/spreadsheets/d/1C3CXT74ZlgGe6_JY_1olB1XN4rF0dxEuIIF-xsYjHgg/edit?usp=sharing"",""งบกองทุน!DT75"")"),0)</f>
        <v>0</v>
      </c>
      <c r="E71" s="306">
        <f ca="1">IFERROR(__xludf.DUMMYFUNCTION("IMPORTRANGE(""https://docs.google.com/spreadsheets/d/1C3CXT74ZlgGe6_JY_1olB1XN4rF0dxEuIIF-xsYjHgg/edit?usp=sharing"",""งบกองทุน!DU75"")"),0)</f>
        <v>0</v>
      </c>
      <c r="F71" s="307">
        <f ca="1">IFERROR(__xludf.DUMMYFUNCTION("IMPORTRANGE(""https://docs.google.com/spreadsheets/d/1SX6NBoVAgQJ6U1MVXOaj8PK2l7WJ3RER9xtqwdhxkhw/edit?usp=sharing"",""สระแก้ว!M446"")"),0)</f>
        <v>0</v>
      </c>
      <c r="G71" s="307">
        <f t="shared" ca="1" si="1"/>
        <v>0</v>
      </c>
      <c r="H71" s="308">
        <v>0</v>
      </c>
      <c r="I71" s="308">
        <f t="shared" ref="I71:J71" ca="1" si="92">SUM(M71,Q71)</f>
        <v>0</v>
      </c>
      <c r="J71" s="308">
        <f t="shared" ca="1" si="92"/>
        <v>0</v>
      </c>
      <c r="K71" s="309">
        <f t="shared" si="3"/>
        <v>0</v>
      </c>
      <c r="L71" s="306">
        <f ca="1">IFERROR(__xludf.DUMMYFUNCTION("IMPORTRANGE(""https://docs.google.com/spreadsheets/d/1C3CXT74ZlgGe6_JY_1olB1XN4rF0dxEuIIF-xsYjHgg/edit?usp=sharing"",""งบกองทุน!DW75"")"),0)</f>
        <v>0</v>
      </c>
      <c r="M71" s="306">
        <f ca="1">IFERROR(__xludf.DUMMYFUNCTION("IMPORTRANGE(""https://docs.google.com/spreadsheets/d/1SX6NBoVAgQJ6U1MVXOaj8PK2l7WJ3RER9xtqwdhxkhw/edit?usp=sharing"",""สระแก้ว!J455"")"),0)</f>
        <v>0</v>
      </c>
      <c r="N71" s="306">
        <f ca="1">IFERROR(__xludf.DUMMYFUNCTION("IMPORTRANGE(""https://docs.google.com/spreadsheets/d/1SX6NBoVAgQJ6U1MVXOaj8PK2l7WJ3RER9xtqwdhxkhw/edit?usp=sharing"",""สระแก้ว!J456"")"),0)</f>
        <v>0</v>
      </c>
      <c r="O71" s="307">
        <f t="shared" ca="1" si="5"/>
        <v>0</v>
      </c>
      <c r="P71" s="306">
        <f ca="1">IFERROR(__xludf.DUMMYFUNCTION("IMPORTRANGE(""https://docs.google.com/spreadsheets/d/1C3CXT74ZlgGe6_JY_1olB1XN4rF0dxEuIIF-xsYjHgg/edit?usp=sharing"",""งบกองทุน!DY75"")"),0)</f>
        <v>0</v>
      </c>
      <c r="Q71" s="306" t="str">
        <f ca="1">IFERROR(__xludf.DUMMYFUNCTION("IMPORTRANGE(""https://docs.google.com/spreadsheets/d/1SX6NBoVAgQJ6U1MVXOaj8PK2l7WJ3RER9xtqwdhxkhw/edit?usp=sharing"",""สระแก้ว!J457"")"),"")</f>
        <v/>
      </c>
      <c r="R71" s="306" t="str">
        <f ca="1">IFERROR(__xludf.DUMMYFUNCTION("IMPORTRANGE(""https://docs.google.com/spreadsheets/d/1SX6NBoVAgQJ6U1MVXOaj8PK2l7WJ3RER9xtqwdhxkhw/edit?usp=sharing"",""สระแก้ว!J458"")"),"")</f>
        <v/>
      </c>
      <c r="S71" s="359">
        <f t="shared" ca="1" si="7"/>
        <v>0</v>
      </c>
      <c r="T71" s="339"/>
      <c r="U71" s="339"/>
      <c r="V71" s="339"/>
      <c r="W71" s="339"/>
      <c r="X71" s="339"/>
      <c r="Y71" s="339"/>
      <c r="Z71" s="339"/>
    </row>
    <row r="72" spans="1:26" ht="21" customHeight="1">
      <c r="A72" s="303">
        <v>18</v>
      </c>
      <c r="B72" s="304" t="s">
        <v>96</v>
      </c>
      <c r="C72" s="391">
        <f t="shared" ca="1" si="75"/>
        <v>0</v>
      </c>
      <c r="D72" s="306">
        <f ca="1">IFERROR(__xludf.DUMMYFUNCTION("IMPORTRANGE(""https://docs.google.com/spreadsheets/d/1C3CXT74ZlgGe6_JY_1olB1XN4rF0dxEuIIF-xsYjHgg/edit?usp=sharing"",""งบกองทุน!DT76"")"),0)</f>
        <v>0</v>
      </c>
      <c r="E72" s="306">
        <f ca="1">IFERROR(__xludf.DUMMYFUNCTION("IMPORTRANGE(""https://docs.google.com/spreadsheets/d/1C3CXT74ZlgGe6_JY_1olB1XN4rF0dxEuIIF-xsYjHgg/edit?usp=sharing"",""งบกองทุน!DU76"")"),0)</f>
        <v>0</v>
      </c>
      <c r="F72" s="307">
        <f ca="1">IFERROR(__xludf.DUMMYFUNCTION("IMPORTRANGE(""https://docs.google.com/spreadsheets/d/1SX6NBoVAgQJ6U1MVXOaj8PK2l7WJ3RER9xtqwdhxkhw/edit?usp=sharing"",""สระบุรี!M446"")"),0)</f>
        <v>0</v>
      </c>
      <c r="G72" s="307">
        <f t="shared" ca="1" si="1"/>
        <v>0</v>
      </c>
      <c r="H72" s="308">
        <v>0</v>
      </c>
      <c r="I72" s="308">
        <f t="shared" ref="I72:J72" ca="1" si="93">SUM(M72,Q72)</f>
        <v>0</v>
      </c>
      <c r="J72" s="308">
        <f t="shared" ca="1" si="93"/>
        <v>0</v>
      </c>
      <c r="K72" s="309">
        <f t="shared" si="3"/>
        <v>0</v>
      </c>
      <c r="L72" s="306">
        <f ca="1">IFERROR(__xludf.DUMMYFUNCTION("IMPORTRANGE(""https://docs.google.com/spreadsheets/d/1C3CXT74ZlgGe6_JY_1olB1XN4rF0dxEuIIF-xsYjHgg/edit?usp=sharing"",""งบกองทุน!DW76"")"),0)</f>
        <v>0</v>
      </c>
      <c r="M72" s="306">
        <f ca="1">IFERROR(__xludf.DUMMYFUNCTION("IMPORTRANGE(""https://docs.google.com/spreadsheets/d/1SX6NBoVAgQJ6U1MVXOaj8PK2l7WJ3RER9xtqwdhxkhw/edit?usp=sharing"",""สระบุรี!J455"")"),0)</f>
        <v>0</v>
      </c>
      <c r="N72" s="306">
        <f ca="1">IFERROR(__xludf.DUMMYFUNCTION("IMPORTRANGE(""https://docs.google.com/spreadsheets/d/1SX6NBoVAgQJ6U1MVXOaj8PK2l7WJ3RER9xtqwdhxkhw/edit?usp=sharing"",""สระบุรี!J456"")"),0)</f>
        <v>0</v>
      </c>
      <c r="O72" s="307">
        <f t="shared" ca="1" si="5"/>
        <v>0</v>
      </c>
      <c r="P72" s="306">
        <f ca="1">IFERROR(__xludf.DUMMYFUNCTION("IMPORTRANGE(""https://docs.google.com/spreadsheets/d/1C3CXT74ZlgGe6_JY_1olB1XN4rF0dxEuIIF-xsYjHgg/edit?usp=sharing"",""งบกองทุน!DY76"")"),0)</f>
        <v>0</v>
      </c>
      <c r="Q72" s="306" t="str">
        <f ca="1">IFERROR(__xludf.DUMMYFUNCTION("IMPORTRANGE(""https://docs.google.com/spreadsheets/d/1SX6NBoVAgQJ6U1MVXOaj8PK2l7WJ3RER9xtqwdhxkhw/edit?usp=sharing"",""สระบุรี!J457"")"),"")</f>
        <v/>
      </c>
      <c r="R72" s="306" t="str">
        <f ca="1">IFERROR(__xludf.DUMMYFUNCTION("IMPORTRANGE(""https://docs.google.com/spreadsheets/d/1SX6NBoVAgQJ6U1MVXOaj8PK2l7WJ3RER9xtqwdhxkhw/edit?usp=sharing"",""สระบุรี!J458"")"),"")</f>
        <v/>
      </c>
      <c r="S72" s="359">
        <f t="shared" ca="1" si="7"/>
        <v>0</v>
      </c>
      <c r="T72" s="339"/>
      <c r="U72" s="339"/>
      <c r="V72" s="339"/>
      <c r="W72" s="339"/>
      <c r="X72" s="339"/>
      <c r="Y72" s="339"/>
      <c r="Z72" s="339"/>
    </row>
    <row r="73" spans="1:26" ht="21" customHeight="1">
      <c r="A73" s="303">
        <v>19</v>
      </c>
      <c r="B73" s="304" t="s">
        <v>97</v>
      </c>
      <c r="C73" s="391">
        <f t="shared" ca="1" si="75"/>
        <v>0</v>
      </c>
      <c r="D73" s="306">
        <f ca="1">IFERROR(__xludf.DUMMYFUNCTION("IMPORTRANGE(""https://docs.google.com/spreadsheets/d/1C3CXT74ZlgGe6_JY_1olB1XN4rF0dxEuIIF-xsYjHgg/edit?usp=sharing"",""งบกองทุน!DT77"")"),0)</f>
        <v>0</v>
      </c>
      <c r="E73" s="306">
        <f ca="1">IFERROR(__xludf.DUMMYFUNCTION("IMPORTRANGE(""https://docs.google.com/spreadsheets/d/1C3CXT74ZlgGe6_JY_1olB1XN4rF0dxEuIIF-xsYjHgg/edit?usp=sharing"",""งบกองทุน!DU77"")"),0)</f>
        <v>0</v>
      </c>
      <c r="F73" s="307">
        <f ca="1">IFERROR(__xludf.DUMMYFUNCTION("IMPORTRANGE(""https://docs.google.com/spreadsheets/d/1SX6NBoVAgQJ6U1MVXOaj8PK2l7WJ3RER9xtqwdhxkhw/edit?usp=sharing"",""สิงห์บุรี!M446"")"),0)</f>
        <v>0</v>
      </c>
      <c r="G73" s="307">
        <f t="shared" ca="1" si="1"/>
        <v>0</v>
      </c>
      <c r="H73" s="308">
        <v>0</v>
      </c>
      <c r="I73" s="308">
        <f t="shared" ref="I73:J73" ca="1" si="94">SUM(M73,Q73)</f>
        <v>0</v>
      </c>
      <c r="J73" s="308">
        <f t="shared" ca="1" si="94"/>
        <v>0</v>
      </c>
      <c r="K73" s="309">
        <f t="shared" si="3"/>
        <v>0</v>
      </c>
      <c r="L73" s="306">
        <f ca="1">IFERROR(__xludf.DUMMYFUNCTION("IMPORTRANGE(""https://docs.google.com/spreadsheets/d/1C3CXT74ZlgGe6_JY_1olB1XN4rF0dxEuIIF-xsYjHgg/edit?usp=sharing"",""งบกองทุน!DW77"")"),0)</f>
        <v>0</v>
      </c>
      <c r="M73" s="306">
        <f ca="1">IFERROR(__xludf.DUMMYFUNCTION("IMPORTRANGE(""https://docs.google.com/spreadsheets/d/1SX6NBoVAgQJ6U1MVXOaj8PK2l7WJ3RER9xtqwdhxkhw/edit?usp=sharing"",""สิงห์บุรี!J455"")"),0)</f>
        <v>0</v>
      </c>
      <c r="N73" s="306">
        <f ca="1">IFERROR(__xludf.DUMMYFUNCTION("IMPORTRANGE(""https://docs.google.com/spreadsheets/d/1SX6NBoVAgQJ6U1MVXOaj8PK2l7WJ3RER9xtqwdhxkhw/edit?usp=sharing"",""สิงห์บุรี!J456"")"),0)</f>
        <v>0</v>
      </c>
      <c r="O73" s="307">
        <f t="shared" ca="1" si="5"/>
        <v>0</v>
      </c>
      <c r="P73" s="306">
        <f ca="1">IFERROR(__xludf.DUMMYFUNCTION("IMPORTRANGE(""https://docs.google.com/spreadsheets/d/1C3CXT74ZlgGe6_JY_1olB1XN4rF0dxEuIIF-xsYjHgg/edit?usp=sharing"",""งบกองทุน!DY77"")"),0)</f>
        <v>0</v>
      </c>
      <c r="Q73" s="306" t="str">
        <f ca="1">IFERROR(__xludf.DUMMYFUNCTION("IMPORTRANGE(""https://docs.google.com/spreadsheets/d/1SX6NBoVAgQJ6U1MVXOaj8PK2l7WJ3RER9xtqwdhxkhw/edit?usp=sharing"",""สิงห์บุรี!J457"")"),"")</f>
        <v/>
      </c>
      <c r="R73" s="306" t="str">
        <f ca="1">IFERROR(__xludf.DUMMYFUNCTION("IMPORTRANGE(""https://docs.google.com/spreadsheets/d/1SX6NBoVAgQJ6U1MVXOaj8PK2l7WJ3RER9xtqwdhxkhw/edit?usp=sharing"",""สิงห์บุรี!J458"")"),"")</f>
        <v/>
      </c>
      <c r="S73" s="359">
        <f t="shared" ca="1" si="7"/>
        <v>0</v>
      </c>
      <c r="T73" s="339"/>
      <c r="U73" s="339"/>
      <c r="V73" s="339"/>
      <c r="W73" s="339"/>
      <c r="X73" s="339"/>
      <c r="Y73" s="339"/>
      <c r="Z73" s="339"/>
    </row>
    <row r="74" spans="1:26" ht="21" customHeight="1">
      <c r="A74" s="303">
        <v>20</v>
      </c>
      <c r="B74" s="304" t="s">
        <v>98</v>
      </c>
      <c r="C74" s="391">
        <f t="shared" ca="1" si="75"/>
        <v>0</v>
      </c>
      <c r="D74" s="306">
        <f ca="1">IFERROR(__xludf.DUMMYFUNCTION("IMPORTRANGE(""https://docs.google.com/spreadsheets/d/1C3CXT74ZlgGe6_JY_1olB1XN4rF0dxEuIIF-xsYjHgg/edit?usp=sharing"",""งบกองทุน!DT78"")"),0)</f>
        <v>0</v>
      </c>
      <c r="E74" s="306">
        <f ca="1">IFERROR(__xludf.DUMMYFUNCTION("IMPORTRANGE(""https://docs.google.com/spreadsheets/d/1C3CXT74ZlgGe6_JY_1olB1XN4rF0dxEuIIF-xsYjHgg/edit?usp=sharing"",""งบกองทุน!DU78"")"),0)</f>
        <v>0</v>
      </c>
      <c r="F74" s="307">
        <f ca="1">IFERROR(__xludf.DUMMYFUNCTION("IMPORTRANGE(""https://docs.google.com/spreadsheets/d/1SX6NBoVAgQJ6U1MVXOaj8PK2l7WJ3RER9xtqwdhxkhw/edit?usp=sharing"",""สุพรรณบุรี!M446"")"),0)</f>
        <v>0</v>
      </c>
      <c r="G74" s="307">
        <f t="shared" ca="1" si="1"/>
        <v>0</v>
      </c>
      <c r="H74" s="308">
        <v>0</v>
      </c>
      <c r="I74" s="308">
        <f t="shared" ref="I74:J74" ca="1" si="95">SUM(M74,Q74)</f>
        <v>0</v>
      </c>
      <c r="J74" s="308">
        <f t="shared" ca="1" si="95"/>
        <v>0</v>
      </c>
      <c r="K74" s="309">
        <f t="shared" si="3"/>
        <v>0</v>
      </c>
      <c r="L74" s="306">
        <f ca="1">IFERROR(__xludf.DUMMYFUNCTION("IMPORTRANGE(""https://docs.google.com/spreadsheets/d/1C3CXT74ZlgGe6_JY_1olB1XN4rF0dxEuIIF-xsYjHgg/edit?usp=sharing"",""งบกองทุน!DW78"")"),0)</f>
        <v>0</v>
      </c>
      <c r="M74" s="306">
        <f ca="1">IFERROR(__xludf.DUMMYFUNCTION("IMPORTRANGE(""https://docs.google.com/spreadsheets/d/1SX6NBoVAgQJ6U1MVXOaj8PK2l7WJ3RER9xtqwdhxkhw/edit?usp=sharing"",""สุพรรณบุรี!J455"")"),0)</f>
        <v>0</v>
      </c>
      <c r="N74" s="306">
        <f ca="1">IFERROR(__xludf.DUMMYFUNCTION("IMPORTRANGE(""https://docs.google.com/spreadsheets/d/1SX6NBoVAgQJ6U1MVXOaj8PK2l7WJ3RER9xtqwdhxkhw/edit?usp=sharing"",""สุพรรณบุรี!J456"")"),0)</f>
        <v>0</v>
      </c>
      <c r="O74" s="307">
        <f t="shared" ca="1" si="5"/>
        <v>0</v>
      </c>
      <c r="P74" s="306">
        <f ca="1">IFERROR(__xludf.DUMMYFUNCTION("IMPORTRANGE(""https://docs.google.com/spreadsheets/d/1C3CXT74ZlgGe6_JY_1olB1XN4rF0dxEuIIF-xsYjHgg/edit?usp=sharing"",""งบกองทุน!DY78"")"),0)</f>
        <v>0</v>
      </c>
      <c r="Q74" s="306" t="str">
        <f ca="1">IFERROR(__xludf.DUMMYFUNCTION("IMPORTRANGE(""https://docs.google.com/spreadsheets/d/1SX6NBoVAgQJ6U1MVXOaj8PK2l7WJ3RER9xtqwdhxkhw/edit?usp=sharing"",""สุพรรณบุรี!J457"")"),"")</f>
        <v/>
      </c>
      <c r="R74" s="306" t="str">
        <f ca="1">IFERROR(__xludf.DUMMYFUNCTION("IMPORTRANGE(""https://docs.google.com/spreadsheets/d/1SX6NBoVAgQJ6U1MVXOaj8PK2l7WJ3RER9xtqwdhxkhw/edit?usp=sharing"",""สุพรรณบุรี!J458"")"),"")</f>
        <v/>
      </c>
      <c r="S74" s="359">
        <f t="shared" ca="1" si="7"/>
        <v>0</v>
      </c>
      <c r="T74" s="339"/>
      <c r="U74" s="339"/>
      <c r="V74" s="339"/>
      <c r="W74" s="339"/>
      <c r="X74" s="339"/>
      <c r="Y74" s="339"/>
      <c r="Z74" s="339"/>
    </row>
    <row r="75" spans="1:26" ht="21" customHeight="1">
      <c r="A75" s="310">
        <v>21</v>
      </c>
      <c r="B75" s="311" t="s">
        <v>99</v>
      </c>
      <c r="C75" s="395">
        <f t="shared" ca="1" si="75"/>
        <v>0</v>
      </c>
      <c r="D75" s="313">
        <f ca="1">IFERROR(__xludf.DUMMYFUNCTION("IMPORTRANGE(""https://docs.google.com/spreadsheets/d/1C3CXT74ZlgGe6_JY_1olB1XN4rF0dxEuIIF-xsYjHgg/edit?usp=sharing"",""งบกองทุน!DT79"")"),0)</f>
        <v>0</v>
      </c>
      <c r="E75" s="313">
        <f ca="1">IFERROR(__xludf.DUMMYFUNCTION("IMPORTRANGE(""https://docs.google.com/spreadsheets/d/1C3CXT74ZlgGe6_JY_1olB1XN4rF0dxEuIIF-xsYjHgg/edit?usp=sharing"",""งบกองทุน!DU79"")"),0)</f>
        <v>0</v>
      </c>
      <c r="F75" s="314">
        <f ca="1">IFERROR(__xludf.DUMMYFUNCTION("IMPORTRANGE(""https://docs.google.com/spreadsheets/d/1SX6NBoVAgQJ6U1MVXOaj8PK2l7WJ3RER9xtqwdhxkhw/edit?usp=sharing"",""อ่างทอง!M446"")"),0)</f>
        <v>0</v>
      </c>
      <c r="G75" s="314">
        <f t="shared" ca="1" si="1"/>
        <v>0</v>
      </c>
      <c r="H75" s="315">
        <v>0</v>
      </c>
      <c r="I75" s="315">
        <f t="shared" ref="I75:J75" ca="1" si="96">SUM(M75,Q75)</f>
        <v>0</v>
      </c>
      <c r="J75" s="315">
        <f t="shared" ca="1" si="96"/>
        <v>0</v>
      </c>
      <c r="K75" s="316">
        <f t="shared" si="3"/>
        <v>0</v>
      </c>
      <c r="L75" s="313">
        <f ca="1">IFERROR(__xludf.DUMMYFUNCTION("IMPORTRANGE(""https://docs.google.com/spreadsheets/d/1C3CXT74ZlgGe6_JY_1olB1XN4rF0dxEuIIF-xsYjHgg/edit?usp=sharing"",""งบกองทุน!DW79"")"),0)</f>
        <v>0</v>
      </c>
      <c r="M75" s="313">
        <f ca="1">IFERROR(__xludf.DUMMYFUNCTION("IMPORTRANGE(""https://docs.google.com/spreadsheets/d/1SX6NBoVAgQJ6U1MVXOaj8PK2l7WJ3RER9xtqwdhxkhw/edit?usp=sharing"",""อ่างทอง!J455"")"),0)</f>
        <v>0</v>
      </c>
      <c r="N75" s="313">
        <f ca="1">IFERROR(__xludf.DUMMYFUNCTION("IMPORTRANGE(""https://docs.google.com/spreadsheets/d/1SX6NBoVAgQJ6U1MVXOaj8PK2l7WJ3RER9xtqwdhxkhw/edit?usp=sharing"",""อ่างทอง!J456"")"),0)</f>
        <v>0</v>
      </c>
      <c r="O75" s="314">
        <f t="shared" ca="1" si="5"/>
        <v>0</v>
      </c>
      <c r="P75" s="313">
        <f ca="1">IFERROR(__xludf.DUMMYFUNCTION("IMPORTRANGE(""https://docs.google.com/spreadsheets/d/1C3CXT74ZlgGe6_JY_1olB1XN4rF0dxEuIIF-xsYjHgg/edit?usp=sharing"",""งบกองทุน!DY79"")"),0)</f>
        <v>0</v>
      </c>
      <c r="Q75" s="313" t="str">
        <f ca="1">IFERROR(__xludf.DUMMYFUNCTION("IMPORTRANGE(""https://docs.google.com/spreadsheets/d/1SX6NBoVAgQJ6U1MVXOaj8PK2l7WJ3RER9xtqwdhxkhw/edit?usp=sharing"",""อ่างทอง!J457"")"),"")</f>
        <v/>
      </c>
      <c r="R75" s="313" t="str">
        <f ca="1">IFERROR(__xludf.DUMMYFUNCTION("IMPORTRANGE(""https://docs.google.com/spreadsheets/d/1SX6NBoVAgQJ6U1MVXOaj8PK2l7WJ3RER9xtqwdhxkhw/edit?usp=sharing"",""อ่างทอง!J458"")"),"")</f>
        <v/>
      </c>
      <c r="S75" s="360">
        <f t="shared" ca="1" si="7"/>
        <v>0</v>
      </c>
      <c r="T75" s="339"/>
      <c r="U75" s="339"/>
      <c r="V75" s="339"/>
      <c r="W75" s="339"/>
      <c r="X75" s="339"/>
      <c r="Y75" s="339"/>
      <c r="Z75" s="339"/>
    </row>
    <row r="76" spans="1:26" ht="21" customHeight="1">
      <c r="A76" s="802" t="s">
        <v>100</v>
      </c>
      <c r="B76" s="652"/>
      <c r="C76" s="398">
        <f t="shared" ref="C76:F76" ca="1" si="97">SUM(C77:C90)</f>
        <v>0</v>
      </c>
      <c r="D76" s="318">
        <f t="shared" ca="1" si="97"/>
        <v>0</v>
      </c>
      <c r="E76" s="318">
        <f t="shared" ca="1" si="97"/>
        <v>0</v>
      </c>
      <c r="F76" s="319">
        <f t="shared" ca="1" si="97"/>
        <v>0</v>
      </c>
      <c r="G76" s="319">
        <f t="shared" ca="1" si="1"/>
        <v>0</v>
      </c>
      <c r="H76" s="318">
        <f t="shared" ref="H76:J76" si="98">SUM(H77:H90)</f>
        <v>0</v>
      </c>
      <c r="I76" s="318">
        <f t="shared" ca="1" si="98"/>
        <v>0</v>
      </c>
      <c r="J76" s="318">
        <f t="shared" ca="1" si="98"/>
        <v>0</v>
      </c>
      <c r="K76" s="319">
        <f t="shared" si="3"/>
        <v>0</v>
      </c>
      <c r="L76" s="318">
        <f t="shared" ref="L76:N76" ca="1" si="99">SUM(L77:L90)</f>
        <v>0</v>
      </c>
      <c r="M76" s="318">
        <f t="shared" ca="1" si="99"/>
        <v>0</v>
      </c>
      <c r="N76" s="318">
        <f t="shared" ca="1" si="99"/>
        <v>0</v>
      </c>
      <c r="O76" s="319">
        <f t="shared" ca="1" si="5"/>
        <v>0</v>
      </c>
      <c r="P76" s="318">
        <f t="shared" ref="P76:R76" ca="1" si="100">SUM(P77:P90)</f>
        <v>0</v>
      </c>
      <c r="Q76" s="318">
        <f t="shared" ca="1" si="100"/>
        <v>0</v>
      </c>
      <c r="R76" s="318">
        <f t="shared" ca="1" si="100"/>
        <v>0</v>
      </c>
      <c r="S76" s="361">
        <f t="shared" ca="1" si="7"/>
        <v>0</v>
      </c>
      <c r="T76" s="339"/>
      <c r="U76" s="339"/>
      <c r="V76" s="339"/>
      <c r="W76" s="339"/>
      <c r="X76" s="339"/>
      <c r="Y76" s="339"/>
      <c r="Z76" s="339"/>
    </row>
    <row r="77" spans="1:26" ht="21" customHeight="1">
      <c r="A77" s="293">
        <v>1</v>
      </c>
      <c r="B77" s="357" t="s">
        <v>101</v>
      </c>
      <c r="C77" s="388">
        <f t="shared" ref="C77:C90" ca="1" si="101">+D77+E77</f>
        <v>0</v>
      </c>
      <c r="D77" s="296">
        <f ca="1">IFERROR(__xludf.DUMMYFUNCTION("IMPORTRANGE(""https://docs.google.com/spreadsheets/d/1C3CXT74ZlgGe6_JY_1olB1XN4rF0dxEuIIF-xsYjHgg/edit?usp=sharing"",""งบกองทุน!DT81"")"),0)</f>
        <v>0</v>
      </c>
      <c r="E77" s="296">
        <f ca="1">IFERROR(__xludf.DUMMYFUNCTION("IMPORTRANGE(""https://docs.google.com/spreadsheets/d/1C3CXT74ZlgGe6_JY_1olB1XN4rF0dxEuIIF-xsYjHgg/edit?usp=sharing"",""งบกองทุน!DU81"")"),0)</f>
        <v>0</v>
      </c>
      <c r="F77" s="297">
        <f ca="1">IFERROR(__xludf.DUMMYFUNCTION("IMPORTRANGE(""https://docs.google.com/spreadsheets/d/1IYY_tgx_IHuhSq3AJ5eI5OnqOPBNLWSHKh2a30DoXe8/edit?usp=sharing"",""กระบี่!M446"")"),0)</f>
        <v>0</v>
      </c>
      <c r="G77" s="297">
        <f t="shared" ca="1" si="1"/>
        <v>0</v>
      </c>
      <c r="H77" s="299">
        <v>0</v>
      </c>
      <c r="I77" s="299">
        <f t="shared" ref="I77:J77" ca="1" si="102">SUM(M77,Q77)</f>
        <v>0</v>
      </c>
      <c r="J77" s="299">
        <f t="shared" ca="1" si="102"/>
        <v>0</v>
      </c>
      <c r="K77" s="301">
        <f t="shared" si="3"/>
        <v>0</v>
      </c>
      <c r="L77" s="296">
        <f ca="1">IFERROR(__xludf.DUMMYFUNCTION("IMPORTRANGE(""https://docs.google.com/spreadsheets/d/1C3CXT74ZlgGe6_JY_1olB1XN4rF0dxEuIIF-xsYjHgg/edit?usp=sharing"",""งบกองทุน!DW81"")"),0)</f>
        <v>0</v>
      </c>
      <c r="M77" s="296">
        <f ca="1">IFERROR(__xludf.DUMMYFUNCTION("IMPORTRANGE(""https://docs.google.com/spreadsheets/d/1IYY_tgx_IHuhSq3AJ5eI5OnqOPBNLWSHKh2a30DoXe8/edit?usp=sharing"",""กระบี่!J455"")"),0)</f>
        <v>0</v>
      </c>
      <c r="N77" s="296">
        <f ca="1">IFERROR(__xludf.DUMMYFUNCTION("IMPORTRANGE(""https://docs.google.com/spreadsheets/d/1IYY_tgx_IHuhSq3AJ5eI5OnqOPBNLWSHKh2a30DoXe8/edit?usp=sharing"",""กระบี่!J456"")"),0)</f>
        <v>0</v>
      </c>
      <c r="O77" s="297">
        <f t="shared" ca="1" si="5"/>
        <v>0</v>
      </c>
      <c r="P77" s="296">
        <f ca="1">IFERROR(__xludf.DUMMYFUNCTION("IMPORTRANGE(""https://docs.google.com/spreadsheets/d/1C3CXT74ZlgGe6_JY_1olB1XN4rF0dxEuIIF-xsYjHgg/edit?usp=sharing"",""งบกองทุน!DY81"")"),0)</f>
        <v>0</v>
      </c>
      <c r="Q77" s="296" t="str">
        <f ca="1">IFERROR(__xludf.DUMMYFUNCTION("IMPORTRANGE(""https://docs.google.com/spreadsheets/d/1IYY_tgx_IHuhSq3AJ5eI5OnqOPBNLWSHKh2a30DoXe8/edit?usp=sharing"",""กระบี่!J457"")"),"")</f>
        <v/>
      </c>
      <c r="R77" s="296" t="str">
        <f ca="1">IFERROR(__xludf.DUMMYFUNCTION("IMPORTRANGE(""https://docs.google.com/spreadsheets/d/1IYY_tgx_IHuhSq3AJ5eI5OnqOPBNLWSHKh2a30DoXe8/edit?usp=sharing"",""กระบี่!J458"")"),"")</f>
        <v/>
      </c>
      <c r="S77" s="358">
        <f t="shared" ca="1" si="7"/>
        <v>0</v>
      </c>
      <c r="T77" s="339"/>
      <c r="U77" s="339"/>
      <c r="V77" s="339"/>
      <c r="W77" s="339"/>
      <c r="X77" s="339"/>
      <c r="Y77" s="339"/>
      <c r="Z77" s="339"/>
    </row>
    <row r="78" spans="1:26" ht="21" customHeight="1">
      <c r="A78" s="303">
        <v>2</v>
      </c>
      <c r="B78" s="304" t="s">
        <v>102</v>
      </c>
      <c r="C78" s="391">
        <f t="shared" ca="1" si="101"/>
        <v>0</v>
      </c>
      <c r="D78" s="306">
        <f ca="1">IFERROR(__xludf.DUMMYFUNCTION("IMPORTRANGE(""https://docs.google.com/spreadsheets/d/1C3CXT74ZlgGe6_JY_1olB1XN4rF0dxEuIIF-xsYjHgg/edit?usp=sharing"",""งบกองทุน!DT82"")"),0)</f>
        <v>0</v>
      </c>
      <c r="E78" s="306">
        <f ca="1">IFERROR(__xludf.DUMMYFUNCTION("IMPORTRANGE(""https://docs.google.com/spreadsheets/d/1C3CXT74ZlgGe6_JY_1olB1XN4rF0dxEuIIF-xsYjHgg/edit?usp=sharing"",""งบกองทุน!DU82"")"),0)</f>
        <v>0</v>
      </c>
      <c r="F78" s="307">
        <f ca="1">IFERROR(__xludf.DUMMYFUNCTION("IMPORTRANGE(""https://docs.google.com/spreadsheets/d/1IYY_tgx_IHuhSq3AJ5eI5OnqOPBNLWSHKh2a30DoXe8/edit?usp=sharing"",""ชุมพร!M446"")"),0)</f>
        <v>0</v>
      </c>
      <c r="G78" s="307">
        <f t="shared" ca="1" si="1"/>
        <v>0</v>
      </c>
      <c r="H78" s="308">
        <v>0</v>
      </c>
      <c r="I78" s="308">
        <f t="shared" ref="I78:J78" ca="1" si="103">SUM(M78,Q78)</f>
        <v>0</v>
      </c>
      <c r="J78" s="308">
        <f t="shared" ca="1" si="103"/>
        <v>0</v>
      </c>
      <c r="K78" s="309">
        <f t="shared" si="3"/>
        <v>0</v>
      </c>
      <c r="L78" s="306">
        <f ca="1">IFERROR(__xludf.DUMMYFUNCTION("IMPORTRANGE(""https://docs.google.com/spreadsheets/d/1C3CXT74ZlgGe6_JY_1olB1XN4rF0dxEuIIF-xsYjHgg/edit?usp=sharing"",""งบกองทุน!DW82"")"),0)</f>
        <v>0</v>
      </c>
      <c r="M78" s="306">
        <f ca="1">IFERROR(__xludf.DUMMYFUNCTION("IMPORTRANGE(""https://docs.google.com/spreadsheets/d/1IYY_tgx_IHuhSq3AJ5eI5OnqOPBNLWSHKh2a30DoXe8/edit?usp=sharing"",""ชุมพร!J455"")"),0)</f>
        <v>0</v>
      </c>
      <c r="N78" s="306">
        <f ca="1">IFERROR(__xludf.DUMMYFUNCTION("IMPORTRANGE(""https://docs.google.com/spreadsheets/d/1IYY_tgx_IHuhSq3AJ5eI5OnqOPBNLWSHKh2a30DoXe8/edit?usp=sharing"",""ชุมพร!J456"")"),0)</f>
        <v>0</v>
      </c>
      <c r="O78" s="307">
        <f t="shared" ca="1" si="5"/>
        <v>0</v>
      </c>
      <c r="P78" s="306">
        <f ca="1">IFERROR(__xludf.DUMMYFUNCTION("IMPORTRANGE(""https://docs.google.com/spreadsheets/d/1C3CXT74ZlgGe6_JY_1olB1XN4rF0dxEuIIF-xsYjHgg/edit?usp=sharing"",""งบกองทุน!DY82"")"),0)</f>
        <v>0</v>
      </c>
      <c r="Q78" s="306" t="str">
        <f ca="1">IFERROR(__xludf.DUMMYFUNCTION("IMPORTRANGE(""https://docs.google.com/spreadsheets/d/1IYY_tgx_IHuhSq3AJ5eI5OnqOPBNLWSHKh2a30DoXe8/edit?usp=sharing"",""ชุมพร!J457"")"),"")</f>
        <v/>
      </c>
      <c r="R78" s="306" t="str">
        <f ca="1">IFERROR(__xludf.DUMMYFUNCTION("IMPORTRANGE(""https://docs.google.com/spreadsheets/d/1IYY_tgx_IHuhSq3AJ5eI5OnqOPBNLWSHKh2a30DoXe8/edit?usp=sharing"",""ชุมพร!J458"")"),"")</f>
        <v/>
      </c>
      <c r="S78" s="359">
        <f t="shared" ca="1" si="7"/>
        <v>0</v>
      </c>
      <c r="T78" s="339"/>
      <c r="U78" s="339"/>
      <c r="V78" s="339"/>
      <c r="W78" s="339"/>
      <c r="X78" s="339"/>
      <c r="Y78" s="339"/>
      <c r="Z78" s="339"/>
    </row>
    <row r="79" spans="1:26" ht="21" customHeight="1">
      <c r="A79" s="303">
        <v>3</v>
      </c>
      <c r="B79" s="304" t="s">
        <v>103</v>
      </c>
      <c r="C79" s="391">
        <f t="shared" ca="1" si="101"/>
        <v>0</v>
      </c>
      <c r="D79" s="306">
        <f ca="1">IFERROR(__xludf.DUMMYFUNCTION("IMPORTRANGE(""https://docs.google.com/spreadsheets/d/1C3CXT74ZlgGe6_JY_1olB1XN4rF0dxEuIIF-xsYjHgg/edit?usp=sharing"",""งบกองทุน!DT83"")"),0)</f>
        <v>0</v>
      </c>
      <c r="E79" s="306">
        <f ca="1">IFERROR(__xludf.DUMMYFUNCTION("IMPORTRANGE(""https://docs.google.com/spreadsheets/d/1C3CXT74ZlgGe6_JY_1olB1XN4rF0dxEuIIF-xsYjHgg/edit?usp=sharing"",""งบกองทุน!DU83"")"),0)</f>
        <v>0</v>
      </c>
      <c r="F79" s="307">
        <f ca="1">IFERROR(__xludf.DUMMYFUNCTION("IMPORTRANGE(""https://docs.google.com/spreadsheets/d/1IYY_tgx_IHuhSq3AJ5eI5OnqOPBNLWSHKh2a30DoXe8/edit?usp=sharing"",""ตรัง!M446"")"),0)</f>
        <v>0</v>
      </c>
      <c r="G79" s="307">
        <f t="shared" ca="1" si="1"/>
        <v>0</v>
      </c>
      <c r="H79" s="308">
        <v>0</v>
      </c>
      <c r="I79" s="308">
        <f t="shared" ref="I79:J79" ca="1" si="104">SUM(M79,Q79)</f>
        <v>0</v>
      </c>
      <c r="J79" s="308">
        <f t="shared" ca="1" si="104"/>
        <v>0</v>
      </c>
      <c r="K79" s="309">
        <f t="shared" si="3"/>
        <v>0</v>
      </c>
      <c r="L79" s="306">
        <f ca="1">IFERROR(__xludf.DUMMYFUNCTION("IMPORTRANGE(""https://docs.google.com/spreadsheets/d/1C3CXT74ZlgGe6_JY_1olB1XN4rF0dxEuIIF-xsYjHgg/edit?usp=sharing"",""งบกองทุน!DW83"")"),0)</f>
        <v>0</v>
      </c>
      <c r="M79" s="306">
        <f ca="1">IFERROR(__xludf.DUMMYFUNCTION("IMPORTRANGE(""https://docs.google.com/spreadsheets/d/1IYY_tgx_IHuhSq3AJ5eI5OnqOPBNLWSHKh2a30DoXe8/edit?usp=sharing"",""ตรัง!J455"")"),0)</f>
        <v>0</v>
      </c>
      <c r="N79" s="306">
        <f ca="1">IFERROR(__xludf.DUMMYFUNCTION("IMPORTRANGE(""https://docs.google.com/spreadsheets/d/1IYY_tgx_IHuhSq3AJ5eI5OnqOPBNLWSHKh2a30DoXe8/edit?usp=sharing"",""ตรัง!J456"")"),0)</f>
        <v>0</v>
      </c>
      <c r="O79" s="307">
        <f t="shared" ca="1" si="5"/>
        <v>0</v>
      </c>
      <c r="P79" s="306">
        <f ca="1">IFERROR(__xludf.DUMMYFUNCTION("IMPORTRANGE(""https://docs.google.com/spreadsheets/d/1C3CXT74ZlgGe6_JY_1olB1XN4rF0dxEuIIF-xsYjHgg/edit?usp=sharing"",""งบกองทุน!DY83"")"),0)</f>
        <v>0</v>
      </c>
      <c r="Q79" s="306" t="str">
        <f ca="1">IFERROR(__xludf.DUMMYFUNCTION("IMPORTRANGE(""https://docs.google.com/spreadsheets/d/1IYY_tgx_IHuhSq3AJ5eI5OnqOPBNLWSHKh2a30DoXe8/edit?usp=sharing"",""ตรัง!J457"")"),"")</f>
        <v/>
      </c>
      <c r="R79" s="306" t="str">
        <f ca="1">IFERROR(__xludf.DUMMYFUNCTION("IMPORTRANGE(""https://docs.google.com/spreadsheets/d/1IYY_tgx_IHuhSq3AJ5eI5OnqOPBNLWSHKh2a30DoXe8/edit?usp=sharing"",""ตรัง!J458"")"),"")</f>
        <v/>
      </c>
      <c r="S79" s="359">
        <f t="shared" ca="1" si="7"/>
        <v>0</v>
      </c>
      <c r="T79" s="339"/>
      <c r="U79" s="339"/>
      <c r="V79" s="339"/>
      <c r="W79" s="339"/>
      <c r="X79" s="339"/>
      <c r="Y79" s="339"/>
      <c r="Z79" s="339"/>
    </row>
    <row r="80" spans="1:26" ht="21" customHeight="1">
      <c r="A80" s="303">
        <v>4</v>
      </c>
      <c r="B80" s="304" t="s">
        <v>104</v>
      </c>
      <c r="C80" s="391">
        <f t="shared" ca="1" si="101"/>
        <v>0</v>
      </c>
      <c r="D80" s="306">
        <f ca="1">IFERROR(__xludf.DUMMYFUNCTION("IMPORTRANGE(""https://docs.google.com/spreadsheets/d/1C3CXT74ZlgGe6_JY_1olB1XN4rF0dxEuIIF-xsYjHgg/edit?usp=sharing"",""งบกองทุน!DT84"")"),0)</f>
        <v>0</v>
      </c>
      <c r="E80" s="306">
        <f ca="1">IFERROR(__xludf.DUMMYFUNCTION("IMPORTRANGE(""https://docs.google.com/spreadsheets/d/1C3CXT74ZlgGe6_JY_1olB1XN4rF0dxEuIIF-xsYjHgg/edit?usp=sharing"",""งบกองทุน!DU84"")"),0)</f>
        <v>0</v>
      </c>
      <c r="F80" s="307">
        <f ca="1">IFERROR(__xludf.DUMMYFUNCTION("IMPORTRANGE(""https://docs.google.com/spreadsheets/d/1IYY_tgx_IHuhSq3AJ5eI5OnqOPBNLWSHKh2a30DoXe8/edit?usp=sharing"",""นครศรีธรรมราช!M446"")"),0)</f>
        <v>0</v>
      </c>
      <c r="G80" s="307">
        <f t="shared" ca="1" si="1"/>
        <v>0</v>
      </c>
      <c r="H80" s="308">
        <v>0</v>
      </c>
      <c r="I80" s="308">
        <f t="shared" ref="I80:J80" ca="1" si="105">SUM(M80,Q80)</f>
        <v>0</v>
      </c>
      <c r="J80" s="308">
        <f t="shared" ca="1" si="105"/>
        <v>0</v>
      </c>
      <c r="K80" s="309">
        <f t="shared" si="3"/>
        <v>0</v>
      </c>
      <c r="L80" s="306">
        <f ca="1">IFERROR(__xludf.DUMMYFUNCTION("IMPORTRANGE(""https://docs.google.com/spreadsheets/d/1C3CXT74ZlgGe6_JY_1olB1XN4rF0dxEuIIF-xsYjHgg/edit?usp=sharing"",""งบกองทุน!DW84"")"),0)</f>
        <v>0</v>
      </c>
      <c r="M80" s="306">
        <f ca="1">IFERROR(__xludf.DUMMYFUNCTION("IMPORTRANGE(""https://docs.google.com/spreadsheets/d/1IYY_tgx_IHuhSq3AJ5eI5OnqOPBNLWSHKh2a30DoXe8/edit?usp=sharing"",""นครศรีธรรมราช!J455"")"),0)</f>
        <v>0</v>
      </c>
      <c r="N80" s="306">
        <f ca="1">IFERROR(__xludf.DUMMYFUNCTION("IMPORTRANGE(""https://docs.google.com/spreadsheets/d/1IYY_tgx_IHuhSq3AJ5eI5OnqOPBNLWSHKh2a30DoXe8/edit?usp=sharing"",""นครศรีธรรมราช!J456"")"),0)</f>
        <v>0</v>
      </c>
      <c r="O80" s="307">
        <f t="shared" ca="1" si="5"/>
        <v>0</v>
      </c>
      <c r="P80" s="306">
        <f ca="1">IFERROR(__xludf.DUMMYFUNCTION("IMPORTRANGE(""https://docs.google.com/spreadsheets/d/1C3CXT74ZlgGe6_JY_1olB1XN4rF0dxEuIIF-xsYjHgg/edit?usp=sharing"",""งบกองทุน!DY84"")"),0)</f>
        <v>0</v>
      </c>
      <c r="Q80" s="306" t="str">
        <f ca="1">IFERROR(__xludf.DUMMYFUNCTION("IMPORTRANGE(""https://docs.google.com/spreadsheets/d/1IYY_tgx_IHuhSq3AJ5eI5OnqOPBNLWSHKh2a30DoXe8/edit?usp=sharing"",""นครศรีธรรมราช!J457"")"),"")</f>
        <v/>
      </c>
      <c r="R80" s="306" t="str">
        <f ca="1">IFERROR(__xludf.DUMMYFUNCTION("IMPORTRANGE(""https://docs.google.com/spreadsheets/d/1IYY_tgx_IHuhSq3AJ5eI5OnqOPBNLWSHKh2a30DoXe8/edit?usp=sharing"",""นครศรีธรรมราช!J458"")"),"")</f>
        <v/>
      </c>
      <c r="S80" s="359">
        <f t="shared" ca="1" si="7"/>
        <v>0</v>
      </c>
      <c r="T80" s="339"/>
      <c r="U80" s="339"/>
      <c r="V80" s="339"/>
      <c r="W80" s="339"/>
      <c r="X80" s="339"/>
      <c r="Y80" s="339"/>
      <c r="Z80" s="339"/>
    </row>
    <row r="81" spans="1:26" ht="21" customHeight="1">
      <c r="A81" s="303">
        <v>5</v>
      </c>
      <c r="B81" s="304" t="s">
        <v>105</v>
      </c>
      <c r="C81" s="391">
        <f t="shared" ca="1" si="101"/>
        <v>0</v>
      </c>
      <c r="D81" s="306">
        <f ca="1">IFERROR(__xludf.DUMMYFUNCTION("IMPORTRANGE(""https://docs.google.com/spreadsheets/d/1C3CXT74ZlgGe6_JY_1olB1XN4rF0dxEuIIF-xsYjHgg/edit?usp=sharing"",""งบกองทุน!DT85"")"),0)</f>
        <v>0</v>
      </c>
      <c r="E81" s="306">
        <f ca="1">IFERROR(__xludf.DUMMYFUNCTION("IMPORTRANGE(""https://docs.google.com/spreadsheets/d/1C3CXT74ZlgGe6_JY_1olB1XN4rF0dxEuIIF-xsYjHgg/edit?usp=sharing"",""งบกองทุน!DU85"")"),0)</f>
        <v>0</v>
      </c>
      <c r="F81" s="307">
        <f ca="1">IFERROR(__xludf.DUMMYFUNCTION("IMPORTRANGE(""https://docs.google.com/spreadsheets/d/1IYY_tgx_IHuhSq3AJ5eI5OnqOPBNLWSHKh2a30DoXe8/edit?usp=sharing"",""นราธิวาส!M446"")"),0)</f>
        <v>0</v>
      </c>
      <c r="G81" s="307">
        <f t="shared" ca="1" si="1"/>
        <v>0</v>
      </c>
      <c r="H81" s="308">
        <v>0</v>
      </c>
      <c r="I81" s="308">
        <f t="shared" ref="I81:J81" ca="1" si="106">SUM(M81,Q81)</f>
        <v>0</v>
      </c>
      <c r="J81" s="308">
        <f t="shared" ca="1" si="106"/>
        <v>0</v>
      </c>
      <c r="K81" s="309">
        <f t="shared" si="3"/>
        <v>0</v>
      </c>
      <c r="L81" s="306">
        <f ca="1">IFERROR(__xludf.DUMMYFUNCTION("IMPORTRANGE(""https://docs.google.com/spreadsheets/d/1C3CXT74ZlgGe6_JY_1olB1XN4rF0dxEuIIF-xsYjHgg/edit?usp=sharing"",""งบกองทุน!DW85"")"),0)</f>
        <v>0</v>
      </c>
      <c r="M81" s="306">
        <f ca="1">IFERROR(__xludf.DUMMYFUNCTION("IMPORTRANGE(""https://docs.google.com/spreadsheets/d/1IYY_tgx_IHuhSq3AJ5eI5OnqOPBNLWSHKh2a30DoXe8/edit?usp=sharing"",""นราธิวาส!J455"")"),0)</f>
        <v>0</v>
      </c>
      <c r="N81" s="306">
        <f ca="1">IFERROR(__xludf.DUMMYFUNCTION("IMPORTRANGE(""https://docs.google.com/spreadsheets/d/1IYY_tgx_IHuhSq3AJ5eI5OnqOPBNLWSHKh2a30DoXe8/edit?usp=sharing"",""นราธิวาส!J456"")"),0)</f>
        <v>0</v>
      </c>
      <c r="O81" s="307">
        <f t="shared" ca="1" si="5"/>
        <v>0</v>
      </c>
      <c r="P81" s="306">
        <f ca="1">IFERROR(__xludf.DUMMYFUNCTION("IMPORTRANGE(""https://docs.google.com/spreadsheets/d/1C3CXT74ZlgGe6_JY_1olB1XN4rF0dxEuIIF-xsYjHgg/edit?usp=sharing"",""งบกองทุน!DY85"")"),0)</f>
        <v>0</v>
      </c>
      <c r="Q81" s="306" t="str">
        <f ca="1">IFERROR(__xludf.DUMMYFUNCTION("IMPORTRANGE(""https://docs.google.com/spreadsheets/d/1IYY_tgx_IHuhSq3AJ5eI5OnqOPBNLWSHKh2a30DoXe8/edit?usp=sharing"",""นราธิวาส!J457"")"),"")</f>
        <v/>
      </c>
      <c r="R81" s="306" t="str">
        <f ca="1">IFERROR(__xludf.DUMMYFUNCTION("IMPORTRANGE(""https://docs.google.com/spreadsheets/d/1IYY_tgx_IHuhSq3AJ5eI5OnqOPBNLWSHKh2a30DoXe8/edit?usp=sharing"",""นราธิวาส!J458"")"),"")</f>
        <v/>
      </c>
      <c r="S81" s="359">
        <f t="shared" ca="1" si="7"/>
        <v>0</v>
      </c>
      <c r="T81" s="339"/>
      <c r="U81" s="339"/>
      <c r="V81" s="339"/>
      <c r="W81" s="339"/>
      <c r="X81" s="339"/>
      <c r="Y81" s="339"/>
      <c r="Z81" s="339"/>
    </row>
    <row r="82" spans="1:26" ht="21" customHeight="1">
      <c r="A82" s="303">
        <v>6</v>
      </c>
      <c r="B82" s="304" t="s">
        <v>106</v>
      </c>
      <c r="C82" s="391">
        <f t="shared" ca="1" si="101"/>
        <v>0</v>
      </c>
      <c r="D82" s="306">
        <f ca="1">IFERROR(__xludf.DUMMYFUNCTION("IMPORTRANGE(""https://docs.google.com/spreadsheets/d/1C3CXT74ZlgGe6_JY_1olB1XN4rF0dxEuIIF-xsYjHgg/edit?usp=sharing"",""งบกองทุน!DT86"")"),0)</f>
        <v>0</v>
      </c>
      <c r="E82" s="306">
        <f ca="1">IFERROR(__xludf.DUMMYFUNCTION("IMPORTRANGE(""https://docs.google.com/spreadsheets/d/1C3CXT74ZlgGe6_JY_1olB1XN4rF0dxEuIIF-xsYjHgg/edit?usp=sharing"",""งบกองทุน!DU86"")"),0)</f>
        <v>0</v>
      </c>
      <c r="F82" s="307">
        <f ca="1">IFERROR(__xludf.DUMMYFUNCTION("IMPORTRANGE(""https://docs.google.com/spreadsheets/d/1IYY_tgx_IHuhSq3AJ5eI5OnqOPBNLWSHKh2a30DoXe8/edit?usp=sharing"",""ปัตตานี!M446"")"),0)</f>
        <v>0</v>
      </c>
      <c r="G82" s="307">
        <f t="shared" ca="1" si="1"/>
        <v>0</v>
      </c>
      <c r="H82" s="308">
        <v>0</v>
      </c>
      <c r="I82" s="308">
        <f t="shared" ref="I82:J82" ca="1" si="107">SUM(M82,Q82)</f>
        <v>0</v>
      </c>
      <c r="J82" s="308">
        <f t="shared" ca="1" si="107"/>
        <v>0</v>
      </c>
      <c r="K82" s="309">
        <f t="shared" si="3"/>
        <v>0</v>
      </c>
      <c r="L82" s="306">
        <f ca="1">IFERROR(__xludf.DUMMYFUNCTION("IMPORTRANGE(""https://docs.google.com/spreadsheets/d/1C3CXT74ZlgGe6_JY_1olB1XN4rF0dxEuIIF-xsYjHgg/edit?usp=sharing"",""งบกองทุน!DW86"")"),0)</f>
        <v>0</v>
      </c>
      <c r="M82" s="306">
        <f ca="1">IFERROR(__xludf.DUMMYFUNCTION("IMPORTRANGE(""https://docs.google.com/spreadsheets/d/1IYY_tgx_IHuhSq3AJ5eI5OnqOPBNLWSHKh2a30DoXe8/edit?usp=sharing"",""ปัตตานี!J455"")"),0)</f>
        <v>0</v>
      </c>
      <c r="N82" s="306">
        <f ca="1">IFERROR(__xludf.DUMMYFUNCTION("IMPORTRANGE(""https://docs.google.com/spreadsheets/d/1IYY_tgx_IHuhSq3AJ5eI5OnqOPBNLWSHKh2a30DoXe8/edit?usp=sharing"",""ปัตตานี!J456"")"),0)</f>
        <v>0</v>
      </c>
      <c r="O82" s="307">
        <f t="shared" ca="1" si="5"/>
        <v>0</v>
      </c>
      <c r="P82" s="306">
        <f ca="1">IFERROR(__xludf.DUMMYFUNCTION("IMPORTRANGE(""https://docs.google.com/spreadsheets/d/1C3CXT74ZlgGe6_JY_1olB1XN4rF0dxEuIIF-xsYjHgg/edit?usp=sharing"",""งบกองทุน!DY86"")"),0)</f>
        <v>0</v>
      </c>
      <c r="Q82" s="306" t="str">
        <f ca="1">IFERROR(__xludf.DUMMYFUNCTION("IMPORTRANGE(""https://docs.google.com/spreadsheets/d/1IYY_tgx_IHuhSq3AJ5eI5OnqOPBNLWSHKh2a30DoXe8/edit?usp=sharing"",""ปัตตานี!J457"")"),"")</f>
        <v/>
      </c>
      <c r="R82" s="306" t="str">
        <f ca="1">IFERROR(__xludf.DUMMYFUNCTION("IMPORTRANGE(""https://docs.google.com/spreadsheets/d/1IYY_tgx_IHuhSq3AJ5eI5OnqOPBNLWSHKh2a30DoXe8/edit?usp=sharing"",""ปัตตานี!J458"")"),"")</f>
        <v/>
      </c>
      <c r="S82" s="359">
        <f t="shared" ca="1" si="7"/>
        <v>0</v>
      </c>
      <c r="T82" s="339"/>
      <c r="U82" s="339"/>
      <c r="V82" s="339"/>
      <c r="W82" s="339"/>
      <c r="X82" s="339"/>
      <c r="Y82" s="339"/>
      <c r="Z82" s="339"/>
    </row>
    <row r="83" spans="1:26" ht="21" customHeight="1">
      <c r="A83" s="303">
        <v>7</v>
      </c>
      <c r="B83" s="304" t="s">
        <v>107</v>
      </c>
      <c r="C83" s="391">
        <f t="shared" ca="1" si="101"/>
        <v>0</v>
      </c>
      <c r="D83" s="306">
        <f ca="1">IFERROR(__xludf.DUMMYFUNCTION("IMPORTRANGE(""https://docs.google.com/spreadsheets/d/1C3CXT74ZlgGe6_JY_1olB1XN4rF0dxEuIIF-xsYjHgg/edit?usp=sharing"",""งบกองทุน!DT87"")"),0)</f>
        <v>0</v>
      </c>
      <c r="E83" s="306">
        <f ca="1">IFERROR(__xludf.DUMMYFUNCTION("IMPORTRANGE(""https://docs.google.com/spreadsheets/d/1C3CXT74ZlgGe6_JY_1olB1XN4rF0dxEuIIF-xsYjHgg/edit?usp=sharing"",""งบกองทุน!DU87"")"),0)</f>
        <v>0</v>
      </c>
      <c r="F83" s="307">
        <f ca="1">IFERROR(__xludf.DUMMYFUNCTION("IMPORTRANGE(""https://docs.google.com/spreadsheets/d/1IYY_tgx_IHuhSq3AJ5eI5OnqOPBNLWSHKh2a30DoXe8/edit?usp=sharing"",""พังงา!M446"")"),0)</f>
        <v>0</v>
      </c>
      <c r="G83" s="307">
        <f t="shared" ca="1" si="1"/>
        <v>0</v>
      </c>
      <c r="H83" s="308">
        <v>0</v>
      </c>
      <c r="I83" s="308">
        <f t="shared" ref="I83:J83" ca="1" si="108">SUM(M83,Q83)</f>
        <v>0</v>
      </c>
      <c r="J83" s="308">
        <f t="shared" ca="1" si="108"/>
        <v>0</v>
      </c>
      <c r="K83" s="309">
        <f t="shared" si="3"/>
        <v>0</v>
      </c>
      <c r="L83" s="306">
        <f ca="1">IFERROR(__xludf.DUMMYFUNCTION("IMPORTRANGE(""https://docs.google.com/spreadsheets/d/1C3CXT74ZlgGe6_JY_1olB1XN4rF0dxEuIIF-xsYjHgg/edit?usp=sharing"",""งบกองทุน!DW87"")"),0)</f>
        <v>0</v>
      </c>
      <c r="M83" s="306">
        <f ca="1">IFERROR(__xludf.DUMMYFUNCTION("IMPORTRANGE(""https://docs.google.com/spreadsheets/d/1IYY_tgx_IHuhSq3AJ5eI5OnqOPBNLWSHKh2a30DoXe8/edit?usp=sharing"",""พังงา!J455"")"),0)</f>
        <v>0</v>
      </c>
      <c r="N83" s="306">
        <f ca="1">IFERROR(__xludf.DUMMYFUNCTION("IMPORTRANGE(""https://docs.google.com/spreadsheets/d/1IYY_tgx_IHuhSq3AJ5eI5OnqOPBNLWSHKh2a30DoXe8/edit?usp=sharing"",""พังงา!J456"")"),0)</f>
        <v>0</v>
      </c>
      <c r="O83" s="307">
        <f t="shared" ca="1" si="5"/>
        <v>0</v>
      </c>
      <c r="P83" s="306">
        <f ca="1">IFERROR(__xludf.DUMMYFUNCTION("IMPORTRANGE(""https://docs.google.com/spreadsheets/d/1C3CXT74ZlgGe6_JY_1olB1XN4rF0dxEuIIF-xsYjHgg/edit?usp=sharing"",""งบกองทุน!DY87"")"),0)</f>
        <v>0</v>
      </c>
      <c r="Q83" s="306" t="str">
        <f ca="1">IFERROR(__xludf.DUMMYFUNCTION("IMPORTRANGE(""https://docs.google.com/spreadsheets/d/1IYY_tgx_IHuhSq3AJ5eI5OnqOPBNLWSHKh2a30DoXe8/edit?usp=sharing"",""พังงา!J457"")"),"")</f>
        <v/>
      </c>
      <c r="R83" s="306" t="str">
        <f ca="1">IFERROR(__xludf.DUMMYFUNCTION("IMPORTRANGE(""https://docs.google.com/spreadsheets/d/1IYY_tgx_IHuhSq3AJ5eI5OnqOPBNLWSHKh2a30DoXe8/edit?usp=sharing"",""พังงา!J458"")"),"")</f>
        <v/>
      </c>
      <c r="S83" s="359">
        <f t="shared" ca="1" si="7"/>
        <v>0</v>
      </c>
      <c r="T83" s="339"/>
      <c r="U83" s="339"/>
      <c r="V83" s="339"/>
      <c r="W83" s="339"/>
      <c r="X83" s="339"/>
      <c r="Y83" s="339"/>
      <c r="Z83" s="339"/>
    </row>
    <row r="84" spans="1:26" ht="21" customHeight="1">
      <c r="A84" s="303">
        <v>8</v>
      </c>
      <c r="B84" s="304" t="s">
        <v>108</v>
      </c>
      <c r="C84" s="391">
        <f t="shared" ca="1" si="101"/>
        <v>0</v>
      </c>
      <c r="D84" s="306">
        <f ca="1">IFERROR(__xludf.DUMMYFUNCTION("IMPORTRANGE(""https://docs.google.com/spreadsheets/d/1C3CXT74ZlgGe6_JY_1olB1XN4rF0dxEuIIF-xsYjHgg/edit?usp=sharing"",""งบกองทุน!DT88"")"),0)</f>
        <v>0</v>
      </c>
      <c r="E84" s="306">
        <f ca="1">IFERROR(__xludf.DUMMYFUNCTION("IMPORTRANGE(""https://docs.google.com/spreadsheets/d/1C3CXT74ZlgGe6_JY_1olB1XN4rF0dxEuIIF-xsYjHgg/edit?usp=sharing"",""งบกองทุน!DU88"")"),0)</f>
        <v>0</v>
      </c>
      <c r="F84" s="307">
        <f ca="1">IFERROR(__xludf.DUMMYFUNCTION("IMPORTRANGE(""https://docs.google.com/spreadsheets/d/1IYY_tgx_IHuhSq3AJ5eI5OnqOPBNLWSHKh2a30DoXe8/edit?usp=sharing"",""พัทลุง!M446"")"),0)</f>
        <v>0</v>
      </c>
      <c r="G84" s="307">
        <f t="shared" ca="1" si="1"/>
        <v>0</v>
      </c>
      <c r="H84" s="308">
        <v>0</v>
      </c>
      <c r="I84" s="308">
        <f t="shared" ref="I84:J84" ca="1" si="109">SUM(M84,Q84)</f>
        <v>0</v>
      </c>
      <c r="J84" s="308">
        <f t="shared" ca="1" si="109"/>
        <v>0</v>
      </c>
      <c r="K84" s="309">
        <f t="shared" si="3"/>
        <v>0</v>
      </c>
      <c r="L84" s="306">
        <f ca="1">IFERROR(__xludf.DUMMYFUNCTION("IMPORTRANGE(""https://docs.google.com/spreadsheets/d/1C3CXT74ZlgGe6_JY_1olB1XN4rF0dxEuIIF-xsYjHgg/edit?usp=sharing"",""งบกองทุน!DW88"")"),0)</f>
        <v>0</v>
      </c>
      <c r="M84" s="306">
        <f ca="1">IFERROR(__xludf.DUMMYFUNCTION("IMPORTRANGE(""https://docs.google.com/spreadsheets/d/1IYY_tgx_IHuhSq3AJ5eI5OnqOPBNLWSHKh2a30DoXe8/edit?usp=sharing"",""พัทลุง!J455"")"),0)</f>
        <v>0</v>
      </c>
      <c r="N84" s="306">
        <f ca="1">IFERROR(__xludf.DUMMYFUNCTION("IMPORTRANGE(""https://docs.google.com/spreadsheets/d/1IYY_tgx_IHuhSq3AJ5eI5OnqOPBNLWSHKh2a30DoXe8/edit?usp=sharing"",""พัทลุง!J456"")"),0)</f>
        <v>0</v>
      </c>
      <c r="O84" s="307">
        <f t="shared" ca="1" si="5"/>
        <v>0</v>
      </c>
      <c r="P84" s="306">
        <f ca="1">IFERROR(__xludf.DUMMYFUNCTION("IMPORTRANGE(""https://docs.google.com/spreadsheets/d/1C3CXT74ZlgGe6_JY_1olB1XN4rF0dxEuIIF-xsYjHgg/edit?usp=sharing"",""งบกองทุน!DY88"")"),0)</f>
        <v>0</v>
      </c>
      <c r="Q84" s="306" t="str">
        <f ca="1">IFERROR(__xludf.DUMMYFUNCTION("IMPORTRANGE(""https://docs.google.com/spreadsheets/d/1IYY_tgx_IHuhSq3AJ5eI5OnqOPBNLWSHKh2a30DoXe8/edit?usp=sharing"",""พัทลุง!J457"")"),"")</f>
        <v/>
      </c>
      <c r="R84" s="306" t="str">
        <f ca="1">IFERROR(__xludf.DUMMYFUNCTION("IMPORTRANGE(""https://docs.google.com/spreadsheets/d/1IYY_tgx_IHuhSq3AJ5eI5OnqOPBNLWSHKh2a30DoXe8/edit?usp=sharing"",""พัทลุง!J458"")"),"")</f>
        <v/>
      </c>
      <c r="S84" s="359">
        <f t="shared" ca="1" si="7"/>
        <v>0</v>
      </c>
      <c r="T84" s="339"/>
      <c r="U84" s="339"/>
      <c r="V84" s="339"/>
      <c r="W84" s="339"/>
      <c r="X84" s="339"/>
      <c r="Y84" s="339"/>
      <c r="Z84" s="339"/>
    </row>
    <row r="85" spans="1:26" ht="21" customHeight="1">
      <c r="A85" s="303">
        <v>9</v>
      </c>
      <c r="B85" s="304" t="s">
        <v>109</v>
      </c>
      <c r="C85" s="391">
        <f t="shared" ca="1" si="101"/>
        <v>0</v>
      </c>
      <c r="D85" s="306">
        <f ca="1">IFERROR(__xludf.DUMMYFUNCTION("IMPORTRANGE(""https://docs.google.com/spreadsheets/d/1C3CXT74ZlgGe6_JY_1olB1XN4rF0dxEuIIF-xsYjHgg/edit?usp=sharing"",""งบกองทุน!DT89"")"),0)</f>
        <v>0</v>
      </c>
      <c r="E85" s="306">
        <f ca="1">IFERROR(__xludf.DUMMYFUNCTION("IMPORTRANGE(""https://docs.google.com/spreadsheets/d/1C3CXT74ZlgGe6_JY_1olB1XN4rF0dxEuIIF-xsYjHgg/edit?usp=sharing"",""งบกองทุน!DU89"")"),0)</f>
        <v>0</v>
      </c>
      <c r="F85" s="307">
        <f ca="1">IFERROR(__xludf.DUMMYFUNCTION("IMPORTRANGE(""https://docs.google.com/spreadsheets/d/1IYY_tgx_IHuhSq3AJ5eI5OnqOPBNLWSHKh2a30DoXe8/edit?usp=sharing"",""ภูเก็ต!M446"")"),0)</f>
        <v>0</v>
      </c>
      <c r="G85" s="307">
        <f t="shared" ca="1" si="1"/>
        <v>0</v>
      </c>
      <c r="H85" s="308">
        <v>0</v>
      </c>
      <c r="I85" s="308">
        <f t="shared" ref="I85:J85" ca="1" si="110">SUM(M85,Q85)</f>
        <v>0</v>
      </c>
      <c r="J85" s="308">
        <f t="shared" ca="1" si="110"/>
        <v>0</v>
      </c>
      <c r="K85" s="309">
        <f t="shared" si="3"/>
        <v>0</v>
      </c>
      <c r="L85" s="306">
        <f ca="1">IFERROR(__xludf.DUMMYFUNCTION("IMPORTRANGE(""https://docs.google.com/spreadsheets/d/1C3CXT74ZlgGe6_JY_1olB1XN4rF0dxEuIIF-xsYjHgg/edit?usp=sharing"",""งบกองทุน!DW89"")"),0)</f>
        <v>0</v>
      </c>
      <c r="M85" s="306">
        <f ca="1">IFERROR(__xludf.DUMMYFUNCTION("IMPORTRANGE(""https://docs.google.com/spreadsheets/d/1IYY_tgx_IHuhSq3AJ5eI5OnqOPBNLWSHKh2a30DoXe8/edit?usp=sharing"",""ภูเก็ต!J455"")"),0)</f>
        <v>0</v>
      </c>
      <c r="N85" s="306">
        <f ca="1">IFERROR(__xludf.DUMMYFUNCTION("IMPORTRANGE(""https://docs.google.com/spreadsheets/d/1IYY_tgx_IHuhSq3AJ5eI5OnqOPBNLWSHKh2a30DoXe8/edit?usp=sharing"",""ภูเก็ต!J456"")"),0)</f>
        <v>0</v>
      </c>
      <c r="O85" s="307">
        <f t="shared" ca="1" si="5"/>
        <v>0</v>
      </c>
      <c r="P85" s="306">
        <f ca="1">IFERROR(__xludf.DUMMYFUNCTION("IMPORTRANGE(""https://docs.google.com/spreadsheets/d/1C3CXT74ZlgGe6_JY_1olB1XN4rF0dxEuIIF-xsYjHgg/edit?usp=sharing"",""งบกองทุน!DY89"")"),0)</f>
        <v>0</v>
      </c>
      <c r="Q85" s="306" t="str">
        <f ca="1">IFERROR(__xludf.DUMMYFUNCTION("IMPORTRANGE(""https://docs.google.com/spreadsheets/d/1IYY_tgx_IHuhSq3AJ5eI5OnqOPBNLWSHKh2a30DoXe8/edit?usp=sharing"",""ภูเก็ต!J457"")"),"")</f>
        <v/>
      </c>
      <c r="R85" s="306" t="str">
        <f ca="1">IFERROR(__xludf.DUMMYFUNCTION("IMPORTRANGE(""https://docs.google.com/spreadsheets/d/1IYY_tgx_IHuhSq3AJ5eI5OnqOPBNLWSHKh2a30DoXe8/edit?usp=sharing"",""ภูเก็ต!J458"")"),"")</f>
        <v/>
      </c>
      <c r="S85" s="359">
        <f t="shared" ca="1" si="7"/>
        <v>0</v>
      </c>
      <c r="T85" s="339"/>
      <c r="U85" s="339"/>
      <c r="V85" s="339"/>
      <c r="W85" s="339"/>
      <c r="X85" s="339"/>
      <c r="Y85" s="339"/>
      <c r="Z85" s="339"/>
    </row>
    <row r="86" spans="1:26" ht="21" customHeight="1">
      <c r="A86" s="303">
        <v>10</v>
      </c>
      <c r="B86" s="304" t="s">
        <v>110</v>
      </c>
      <c r="C86" s="391">
        <f t="shared" ca="1" si="101"/>
        <v>0</v>
      </c>
      <c r="D86" s="306">
        <f ca="1">IFERROR(__xludf.DUMMYFUNCTION("IMPORTRANGE(""https://docs.google.com/spreadsheets/d/1C3CXT74ZlgGe6_JY_1olB1XN4rF0dxEuIIF-xsYjHgg/edit?usp=sharing"",""งบกองทุน!DT90"")"),0)</f>
        <v>0</v>
      </c>
      <c r="E86" s="306">
        <f ca="1">IFERROR(__xludf.DUMMYFUNCTION("IMPORTRANGE(""https://docs.google.com/spreadsheets/d/1C3CXT74ZlgGe6_JY_1olB1XN4rF0dxEuIIF-xsYjHgg/edit?usp=sharing"",""งบกองทุน!DU90"")"),0)</f>
        <v>0</v>
      </c>
      <c r="F86" s="307">
        <f ca="1">IFERROR(__xludf.DUMMYFUNCTION("IMPORTRANGE(""https://docs.google.com/spreadsheets/d/1IYY_tgx_IHuhSq3AJ5eI5OnqOPBNLWSHKh2a30DoXe8/edit?usp=sharing"",""ยะลา!M446"")"),0)</f>
        <v>0</v>
      </c>
      <c r="G86" s="307">
        <f t="shared" ca="1" si="1"/>
        <v>0</v>
      </c>
      <c r="H86" s="308">
        <v>0</v>
      </c>
      <c r="I86" s="308">
        <f t="shared" ref="I86:J86" ca="1" si="111">SUM(M86,Q86)</f>
        <v>0</v>
      </c>
      <c r="J86" s="308">
        <f t="shared" ca="1" si="111"/>
        <v>0</v>
      </c>
      <c r="K86" s="309">
        <f t="shared" si="3"/>
        <v>0</v>
      </c>
      <c r="L86" s="306">
        <f ca="1">IFERROR(__xludf.DUMMYFUNCTION("IMPORTRANGE(""https://docs.google.com/spreadsheets/d/1C3CXT74ZlgGe6_JY_1olB1XN4rF0dxEuIIF-xsYjHgg/edit?usp=sharing"",""งบกองทุน!DW90"")"),0)</f>
        <v>0</v>
      </c>
      <c r="M86" s="306">
        <f ca="1">IFERROR(__xludf.DUMMYFUNCTION("IMPORTRANGE(""https://docs.google.com/spreadsheets/d/1IYY_tgx_IHuhSq3AJ5eI5OnqOPBNLWSHKh2a30DoXe8/edit?usp=sharing"",""ยะลา!J455"")"),0)</f>
        <v>0</v>
      </c>
      <c r="N86" s="306">
        <f ca="1">IFERROR(__xludf.DUMMYFUNCTION("IMPORTRANGE(""https://docs.google.com/spreadsheets/d/1IYY_tgx_IHuhSq3AJ5eI5OnqOPBNLWSHKh2a30DoXe8/edit?usp=sharing"",""ยะลา!J456"")"),0)</f>
        <v>0</v>
      </c>
      <c r="O86" s="307">
        <f t="shared" ca="1" si="5"/>
        <v>0</v>
      </c>
      <c r="P86" s="306">
        <f ca="1">IFERROR(__xludf.DUMMYFUNCTION("IMPORTRANGE(""https://docs.google.com/spreadsheets/d/1C3CXT74ZlgGe6_JY_1olB1XN4rF0dxEuIIF-xsYjHgg/edit?usp=sharing"",""งบกองทุน!DY90"")"),0)</f>
        <v>0</v>
      </c>
      <c r="Q86" s="306" t="str">
        <f ca="1">IFERROR(__xludf.DUMMYFUNCTION("IMPORTRANGE(""https://docs.google.com/spreadsheets/d/1IYY_tgx_IHuhSq3AJ5eI5OnqOPBNLWSHKh2a30DoXe8/edit?usp=sharing"",""ยะลา!J457"")"),"")</f>
        <v/>
      </c>
      <c r="R86" s="306" t="str">
        <f ca="1">IFERROR(__xludf.DUMMYFUNCTION("IMPORTRANGE(""https://docs.google.com/spreadsheets/d/1IYY_tgx_IHuhSq3AJ5eI5OnqOPBNLWSHKh2a30DoXe8/edit?usp=sharing"",""ยะลา!J458"")"),"")</f>
        <v/>
      </c>
      <c r="S86" s="359">
        <f t="shared" ca="1" si="7"/>
        <v>0</v>
      </c>
      <c r="T86" s="339"/>
      <c r="U86" s="339"/>
      <c r="V86" s="339"/>
      <c r="W86" s="339"/>
      <c r="X86" s="339"/>
      <c r="Y86" s="339"/>
      <c r="Z86" s="339"/>
    </row>
    <row r="87" spans="1:26" ht="21" customHeight="1">
      <c r="A87" s="303">
        <v>11</v>
      </c>
      <c r="B87" s="304" t="s">
        <v>111</v>
      </c>
      <c r="C87" s="391">
        <f t="shared" ca="1" si="101"/>
        <v>0</v>
      </c>
      <c r="D87" s="306">
        <f ca="1">IFERROR(__xludf.DUMMYFUNCTION("IMPORTRANGE(""https://docs.google.com/spreadsheets/d/1C3CXT74ZlgGe6_JY_1olB1XN4rF0dxEuIIF-xsYjHgg/edit?usp=sharing"",""งบกองทุน!DT91"")"),0)</f>
        <v>0</v>
      </c>
      <c r="E87" s="306">
        <f ca="1">IFERROR(__xludf.DUMMYFUNCTION("IMPORTRANGE(""https://docs.google.com/spreadsheets/d/1C3CXT74ZlgGe6_JY_1olB1XN4rF0dxEuIIF-xsYjHgg/edit?usp=sharing"",""งบกองทุน!DU91"")"),0)</f>
        <v>0</v>
      </c>
      <c r="F87" s="307">
        <f ca="1">IFERROR(__xludf.DUMMYFUNCTION("IMPORTRANGE(""https://docs.google.com/spreadsheets/d/1IYY_tgx_IHuhSq3AJ5eI5OnqOPBNLWSHKh2a30DoXe8/edit?usp=sharing"",""ระนอง!M446"")"),0)</f>
        <v>0</v>
      </c>
      <c r="G87" s="307">
        <f t="shared" ca="1" si="1"/>
        <v>0</v>
      </c>
      <c r="H87" s="308">
        <v>0</v>
      </c>
      <c r="I87" s="308">
        <f t="shared" ref="I87:J87" ca="1" si="112">SUM(M87,Q87)</f>
        <v>0</v>
      </c>
      <c r="J87" s="308">
        <f t="shared" ca="1" si="112"/>
        <v>0</v>
      </c>
      <c r="K87" s="309">
        <f t="shared" si="3"/>
        <v>0</v>
      </c>
      <c r="L87" s="306">
        <f ca="1">IFERROR(__xludf.DUMMYFUNCTION("IMPORTRANGE(""https://docs.google.com/spreadsheets/d/1C3CXT74ZlgGe6_JY_1olB1XN4rF0dxEuIIF-xsYjHgg/edit?usp=sharing"",""งบกองทุน!DW91"")"),0)</f>
        <v>0</v>
      </c>
      <c r="M87" s="306">
        <f ca="1">IFERROR(__xludf.DUMMYFUNCTION("IMPORTRANGE(""https://docs.google.com/spreadsheets/d/1IYY_tgx_IHuhSq3AJ5eI5OnqOPBNLWSHKh2a30DoXe8/edit?usp=sharing"",""ระนอง!J455"")"),0)</f>
        <v>0</v>
      </c>
      <c r="N87" s="306">
        <f ca="1">IFERROR(__xludf.DUMMYFUNCTION("IMPORTRANGE(""https://docs.google.com/spreadsheets/d/1IYY_tgx_IHuhSq3AJ5eI5OnqOPBNLWSHKh2a30DoXe8/edit?usp=sharing"",""ระนอง!J456"")"),0)</f>
        <v>0</v>
      </c>
      <c r="O87" s="307">
        <f t="shared" ca="1" si="5"/>
        <v>0</v>
      </c>
      <c r="P87" s="306">
        <f ca="1">IFERROR(__xludf.DUMMYFUNCTION("IMPORTRANGE(""https://docs.google.com/spreadsheets/d/1C3CXT74ZlgGe6_JY_1olB1XN4rF0dxEuIIF-xsYjHgg/edit?usp=sharing"",""งบกองทุน!DY91"")"),0)</f>
        <v>0</v>
      </c>
      <c r="Q87" s="306" t="str">
        <f ca="1">IFERROR(__xludf.DUMMYFUNCTION("IMPORTRANGE(""https://docs.google.com/spreadsheets/d/1IYY_tgx_IHuhSq3AJ5eI5OnqOPBNLWSHKh2a30DoXe8/edit?usp=sharing"",""ระนอง!J457"")"),"")</f>
        <v/>
      </c>
      <c r="R87" s="306" t="str">
        <f ca="1">IFERROR(__xludf.DUMMYFUNCTION("IMPORTRANGE(""https://docs.google.com/spreadsheets/d/1IYY_tgx_IHuhSq3AJ5eI5OnqOPBNLWSHKh2a30DoXe8/edit?usp=sharing"",""ระนอง!J458"")"),"")</f>
        <v/>
      </c>
      <c r="S87" s="359">
        <f t="shared" ca="1" si="7"/>
        <v>0</v>
      </c>
      <c r="T87" s="339"/>
      <c r="U87" s="339"/>
      <c r="V87" s="339"/>
      <c r="W87" s="339"/>
      <c r="X87" s="339"/>
      <c r="Y87" s="339"/>
      <c r="Z87" s="339"/>
    </row>
    <row r="88" spans="1:26" ht="24" customHeight="1">
      <c r="A88" s="303">
        <v>12</v>
      </c>
      <c r="B88" s="304" t="s">
        <v>112</v>
      </c>
      <c r="C88" s="391">
        <f t="shared" ca="1" si="101"/>
        <v>0</v>
      </c>
      <c r="D88" s="306">
        <f ca="1">IFERROR(__xludf.DUMMYFUNCTION("IMPORTRANGE(""https://docs.google.com/spreadsheets/d/1C3CXT74ZlgGe6_JY_1olB1XN4rF0dxEuIIF-xsYjHgg/edit?usp=sharing"",""งบกองทุน!DT92"")"),0)</f>
        <v>0</v>
      </c>
      <c r="E88" s="306">
        <f ca="1">IFERROR(__xludf.DUMMYFUNCTION("IMPORTRANGE(""https://docs.google.com/spreadsheets/d/1C3CXT74ZlgGe6_JY_1olB1XN4rF0dxEuIIF-xsYjHgg/edit?usp=sharing"",""งบกองทุน!DU92"")"),0)</f>
        <v>0</v>
      </c>
      <c r="F88" s="307">
        <f ca="1">IFERROR(__xludf.DUMMYFUNCTION("IMPORTRANGE(""https://docs.google.com/spreadsheets/d/1IYY_tgx_IHuhSq3AJ5eI5OnqOPBNLWSHKh2a30DoXe8/edit?usp=sharing"",""สงขลา!M446"")"),0)</f>
        <v>0</v>
      </c>
      <c r="G88" s="307">
        <f t="shared" ca="1" si="1"/>
        <v>0</v>
      </c>
      <c r="H88" s="308">
        <v>0</v>
      </c>
      <c r="I88" s="308">
        <f t="shared" ref="I88:J88" ca="1" si="113">SUM(M88,Q88)</f>
        <v>0</v>
      </c>
      <c r="J88" s="308">
        <f t="shared" ca="1" si="113"/>
        <v>0</v>
      </c>
      <c r="K88" s="309">
        <f t="shared" si="3"/>
        <v>0</v>
      </c>
      <c r="L88" s="306">
        <f ca="1">IFERROR(__xludf.DUMMYFUNCTION("IMPORTRANGE(""https://docs.google.com/spreadsheets/d/1C3CXT74ZlgGe6_JY_1olB1XN4rF0dxEuIIF-xsYjHgg/edit?usp=sharing"",""งบกองทุน!DW92"")"),0)</f>
        <v>0</v>
      </c>
      <c r="M88" s="306">
        <f ca="1">IFERROR(__xludf.DUMMYFUNCTION("IMPORTRANGE(""https://docs.google.com/spreadsheets/d/1IYY_tgx_IHuhSq3AJ5eI5OnqOPBNLWSHKh2a30DoXe8/edit?usp=sharing"",""สงขลา!J455"")"),0)</f>
        <v>0</v>
      </c>
      <c r="N88" s="306">
        <f ca="1">IFERROR(__xludf.DUMMYFUNCTION("IMPORTRANGE(""https://docs.google.com/spreadsheets/d/1IYY_tgx_IHuhSq3AJ5eI5OnqOPBNLWSHKh2a30DoXe8/edit?usp=sharing"",""สงขลา!J456"")"),0)</f>
        <v>0</v>
      </c>
      <c r="O88" s="307">
        <f t="shared" ca="1" si="5"/>
        <v>0</v>
      </c>
      <c r="P88" s="306">
        <f ca="1">IFERROR(__xludf.DUMMYFUNCTION("IMPORTRANGE(""https://docs.google.com/spreadsheets/d/1C3CXT74ZlgGe6_JY_1olB1XN4rF0dxEuIIF-xsYjHgg/edit?usp=sharing"",""งบกองทุน!DY92"")"),0)</f>
        <v>0</v>
      </c>
      <c r="Q88" s="306" t="str">
        <f ca="1">IFERROR(__xludf.DUMMYFUNCTION("IMPORTRANGE(""https://docs.google.com/spreadsheets/d/1IYY_tgx_IHuhSq3AJ5eI5OnqOPBNLWSHKh2a30DoXe8/edit?usp=sharing"",""สงขลา!J457"")"),"")</f>
        <v/>
      </c>
      <c r="R88" s="306" t="str">
        <f ca="1">IFERROR(__xludf.DUMMYFUNCTION("IMPORTRANGE(""https://docs.google.com/spreadsheets/d/1IYY_tgx_IHuhSq3AJ5eI5OnqOPBNLWSHKh2a30DoXe8/edit?usp=sharing"",""สงขลา!J458"")"),"")</f>
        <v/>
      </c>
      <c r="S88" s="359">
        <f t="shared" ca="1" si="7"/>
        <v>0</v>
      </c>
      <c r="T88" s="339"/>
      <c r="U88" s="339"/>
      <c r="V88" s="339"/>
      <c r="W88" s="339"/>
      <c r="X88" s="339"/>
      <c r="Y88" s="339"/>
      <c r="Z88" s="339"/>
    </row>
    <row r="89" spans="1:26" ht="24" customHeight="1">
      <c r="A89" s="303">
        <v>13</v>
      </c>
      <c r="B89" s="304" t="s">
        <v>113</v>
      </c>
      <c r="C89" s="391">
        <f t="shared" ca="1" si="101"/>
        <v>0</v>
      </c>
      <c r="D89" s="306">
        <f ca="1">IFERROR(__xludf.DUMMYFUNCTION("IMPORTRANGE(""https://docs.google.com/spreadsheets/d/1C3CXT74ZlgGe6_JY_1olB1XN4rF0dxEuIIF-xsYjHgg/edit?usp=sharing"",""งบกองทุน!DT93"")"),0)</f>
        <v>0</v>
      </c>
      <c r="E89" s="306">
        <f ca="1">IFERROR(__xludf.DUMMYFUNCTION("IMPORTRANGE(""https://docs.google.com/spreadsheets/d/1C3CXT74ZlgGe6_JY_1olB1XN4rF0dxEuIIF-xsYjHgg/edit?usp=sharing"",""งบกองทุน!DU93"")"),0)</f>
        <v>0</v>
      </c>
      <c r="F89" s="307">
        <f ca="1">IFERROR(__xludf.DUMMYFUNCTION("IMPORTRANGE(""https://docs.google.com/spreadsheets/d/1IYY_tgx_IHuhSq3AJ5eI5OnqOPBNLWSHKh2a30DoXe8/edit?usp=sharing"",""สตูล!M446"")"),0)</f>
        <v>0</v>
      </c>
      <c r="G89" s="307">
        <f t="shared" ca="1" si="1"/>
        <v>0</v>
      </c>
      <c r="H89" s="308">
        <v>0</v>
      </c>
      <c r="I89" s="308">
        <f t="shared" ref="I89:J89" ca="1" si="114">SUM(M89,Q89)</f>
        <v>0</v>
      </c>
      <c r="J89" s="308">
        <f t="shared" ca="1" si="114"/>
        <v>0</v>
      </c>
      <c r="K89" s="309">
        <f t="shared" si="3"/>
        <v>0</v>
      </c>
      <c r="L89" s="306">
        <f ca="1">IFERROR(__xludf.DUMMYFUNCTION("IMPORTRANGE(""https://docs.google.com/spreadsheets/d/1C3CXT74ZlgGe6_JY_1olB1XN4rF0dxEuIIF-xsYjHgg/edit?usp=sharing"",""งบกองทุน!DW93"")"),0)</f>
        <v>0</v>
      </c>
      <c r="M89" s="306">
        <f ca="1">IFERROR(__xludf.DUMMYFUNCTION("IMPORTRANGE(""https://docs.google.com/spreadsheets/d/1IYY_tgx_IHuhSq3AJ5eI5OnqOPBNLWSHKh2a30DoXe8/edit?usp=sharing"",""สตูล!J455"")"),0)</f>
        <v>0</v>
      </c>
      <c r="N89" s="306">
        <f ca="1">IFERROR(__xludf.DUMMYFUNCTION("IMPORTRANGE(""https://docs.google.com/spreadsheets/d/1IYY_tgx_IHuhSq3AJ5eI5OnqOPBNLWSHKh2a30DoXe8/edit?usp=sharing"",""สตูล!J456"")"),0)</f>
        <v>0</v>
      </c>
      <c r="O89" s="307">
        <f t="shared" ca="1" si="5"/>
        <v>0</v>
      </c>
      <c r="P89" s="306">
        <f ca="1">IFERROR(__xludf.DUMMYFUNCTION("IMPORTRANGE(""https://docs.google.com/spreadsheets/d/1C3CXT74ZlgGe6_JY_1olB1XN4rF0dxEuIIF-xsYjHgg/edit?usp=sharing"",""งบกองทุน!DY93"")"),0)</f>
        <v>0</v>
      </c>
      <c r="Q89" s="306" t="str">
        <f ca="1">IFERROR(__xludf.DUMMYFUNCTION("IMPORTRANGE(""https://docs.google.com/spreadsheets/d/1IYY_tgx_IHuhSq3AJ5eI5OnqOPBNLWSHKh2a30DoXe8/edit?usp=sharing"",""สตูล!J457"")"),"")</f>
        <v/>
      </c>
      <c r="R89" s="306" t="str">
        <f ca="1">IFERROR(__xludf.DUMMYFUNCTION("IMPORTRANGE(""https://docs.google.com/spreadsheets/d/1IYY_tgx_IHuhSq3AJ5eI5OnqOPBNLWSHKh2a30DoXe8/edit?usp=sharing"",""สตูล!J458"")"),"")</f>
        <v/>
      </c>
      <c r="S89" s="359">
        <f t="shared" ca="1" si="7"/>
        <v>0</v>
      </c>
      <c r="T89" s="339"/>
      <c r="U89" s="339"/>
      <c r="V89" s="339"/>
      <c r="W89" s="339"/>
      <c r="X89" s="339"/>
      <c r="Y89" s="339"/>
      <c r="Z89" s="339"/>
    </row>
    <row r="90" spans="1:26" ht="24" customHeight="1">
      <c r="A90" s="310">
        <v>14</v>
      </c>
      <c r="B90" s="311" t="s">
        <v>114</v>
      </c>
      <c r="C90" s="395">
        <f t="shared" ca="1" si="101"/>
        <v>0</v>
      </c>
      <c r="D90" s="313">
        <f ca="1">IFERROR(__xludf.DUMMYFUNCTION("IMPORTRANGE(""https://docs.google.com/spreadsheets/d/1C3CXT74ZlgGe6_JY_1olB1XN4rF0dxEuIIF-xsYjHgg/edit?usp=sharing"",""งบกองทุน!DT94"")"),0)</f>
        <v>0</v>
      </c>
      <c r="E90" s="313">
        <f ca="1">IFERROR(__xludf.DUMMYFUNCTION("IMPORTRANGE(""https://docs.google.com/spreadsheets/d/1C3CXT74ZlgGe6_JY_1olB1XN4rF0dxEuIIF-xsYjHgg/edit?usp=sharing"",""งบกองทุน!DU94"")"),0)</f>
        <v>0</v>
      </c>
      <c r="F90" s="314">
        <f ca="1">IFERROR(__xludf.DUMMYFUNCTION("IMPORTRANGE(""https://docs.google.com/spreadsheets/d/1IYY_tgx_IHuhSq3AJ5eI5OnqOPBNLWSHKh2a30DoXe8/edit?usp=sharing"",""สุราษฎร์ธานี!M446"")"),0)</f>
        <v>0</v>
      </c>
      <c r="G90" s="314">
        <f t="shared" ca="1" si="1"/>
        <v>0</v>
      </c>
      <c r="H90" s="315">
        <v>0</v>
      </c>
      <c r="I90" s="315">
        <f t="shared" ref="I90:J90" ca="1" si="115">SUM(M90,Q90)</f>
        <v>0</v>
      </c>
      <c r="J90" s="315">
        <f t="shared" ca="1" si="115"/>
        <v>0</v>
      </c>
      <c r="K90" s="316">
        <f t="shared" si="3"/>
        <v>0</v>
      </c>
      <c r="L90" s="313">
        <f ca="1">IFERROR(__xludf.DUMMYFUNCTION("IMPORTRANGE(""https://docs.google.com/spreadsheets/d/1C3CXT74ZlgGe6_JY_1olB1XN4rF0dxEuIIF-xsYjHgg/edit?usp=sharing"",""งบกองทุน!DW94"")"),0)</f>
        <v>0</v>
      </c>
      <c r="M90" s="313">
        <f ca="1">IFERROR(__xludf.DUMMYFUNCTION("IMPORTRANGE(""https://docs.google.com/spreadsheets/d/1IYY_tgx_IHuhSq3AJ5eI5OnqOPBNLWSHKh2a30DoXe8/edit?usp=sharing"",""สุราษฎร์ธานี!J455"")"),0)</f>
        <v>0</v>
      </c>
      <c r="N90" s="313">
        <f ca="1">IFERROR(__xludf.DUMMYFUNCTION("IMPORTRANGE(""https://docs.google.com/spreadsheets/d/1IYY_tgx_IHuhSq3AJ5eI5OnqOPBNLWSHKh2a30DoXe8/edit?usp=sharing"",""สุราษฎร์ธานี!J456"")"),0)</f>
        <v>0</v>
      </c>
      <c r="O90" s="314">
        <f t="shared" ca="1" si="5"/>
        <v>0</v>
      </c>
      <c r="P90" s="313">
        <f ca="1">IFERROR(__xludf.DUMMYFUNCTION("IMPORTRANGE(""https://docs.google.com/spreadsheets/d/1C3CXT74ZlgGe6_JY_1olB1XN4rF0dxEuIIF-xsYjHgg/edit?usp=sharing"",""งบกองทุน!DY94"")"),0)</f>
        <v>0</v>
      </c>
      <c r="Q90" s="313" t="str">
        <f ca="1">IFERROR(__xludf.DUMMYFUNCTION("IMPORTRANGE(""https://docs.google.com/spreadsheets/d/1IYY_tgx_IHuhSq3AJ5eI5OnqOPBNLWSHKh2a30DoXe8/edit?usp=sharing"",""สุราษฎร์ธานี!J457"")"),"")</f>
        <v/>
      </c>
      <c r="R90" s="313" t="str">
        <f ca="1">IFERROR(__xludf.DUMMYFUNCTION("IMPORTRANGE(""https://docs.google.com/spreadsheets/d/1IYY_tgx_IHuhSq3AJ5eI5OnqOPBNLWSHKh2a30DoXe8/edit?usp=sharing"",""สุราษฎร์ธานี!J458"")"),"")</f>
        <v/>
      </c>
      <c r="S90" s="360">
        <f t="shared" ca="1" si="7"/>
        <v>0</v>
      </c>
      <c r="T90" s="339"/>
      <c r="U90" s="339"/>
      <c r="V90" s="339"/>
      <c r="W90" s="339"/>
      <c r="X90" s="339"/>
      <c r="Y90" s="339"/>
      <c r="Z90" s="339"/>
    </row>
    <row r="91" spans="1:26" ht="21" hidden="1" customHeight="1">
      <c r="A91" s="791" t="s">
        <v>115</v>
      </c>
      <c r="B91" s="652"/>
      <c r="C91" s="402">
        <f t="shared" ref="C91:F91" ca="1" si="116">+C92+C93+C94+C95+C96+C97+C98+C99+C100+C101+C102+C103+C104+C105</f>
        <v>13125900</v>
      </c>
      <c r="D91" s="323">
        <f t="shared" ca="1" si="116"/>
        <v>0</v>
      </c>
      <c r="E91" s="323">
        <f t="shared" ca="1" si="116"/>
        <v>13125900</v>
      </c>
      <c r="F91" s="323">
        <f t="shared" ca="1" si="116"/>
        <v>3974539.97</v>
      </c>
      <c r="G91" s="324">
        <f t="shared" ca="1" si="1"/>
        <v>30.280132943264842</v>
      </c>
      <c r="H91" s="323">
        <f t="shared" ref="H91:J91" ca="1" si="117">+H92+H93+H94+H95+H96+H97+H98+H99+H100+H101+H102+H103+H104+H105</f>
        <v>3622</v>
      </c>
      <c r="I91" s="323">
        <f t="shared" ca="1" si="117"/>
        <v>64390</v>
      </c>
      <c r="J91" s="323">
        <f t="shared" ca="1" si="117"/>
        <v>3622</v>
      </c>
      <c r="K91" s="324">
        <f t="shared" ca="1" si="3"/>
        <v>1777.747101049144</v>
      </c>
      <c r="L91" s="323">
        <f t="shared" ref="L91:N91" ca="1" si="118">+L92+L93+L94+L95+L96+L97+L98+L99+L100+L101+L102+L103+L104+L105</f>
        <v>0</v>
      </c>
      <c r="M91" s="323">
        <f t="shared" si="118"/>
        <v>0</v>
      </c>
      <c r="N91" s="323">
        <f t="shared" si="118"/>
        <v>0</v>
      </c>
      <c r="O91" s="324">
        <f t="shared" ca="1" si="5"/>
        <v>0</v>
      </c>
      <c r="P91" s="323">
        <f t="shared" ref="P91:R91" ca="1" si="119">+P92+P93+P94+P95+P96+P97+P98+P99+P100+P101+P102+P103+P104+P105</f>
        <v>147000</v>
      </c>
      <c r="Q91" s="323">
        <f t="shared" ca="1" si="119"/>
        <v>64390</v>
      </c>
      <c r="R91" s="323">
        <f t="shared" ca="1" si="119"/>
        <v>3622</v>
      </c>
      <c r="S91" s="362">
        <f t="shared" ca="1" si="7"/>
        <v>43.802721088435376</v>
      </c>
      <c r="T91" s="339"/>
      <c r="U91" s="339"/>
      <c r="V91" s="339"/>
      <c r="W91" s="339"/>
      <c r="X91" s="339"/>
      <c r="Y91" s="339"/>
      <c r="Z91" s="339"/>
    </row>
    <row r="92" spans="1:26" ht="24" hidden="1" customHeight="1">
      <c r="A92" s="325">
        <v>1</v>
      </c>
      <c r="B92" s="326" t="s">
        <v>116</v>
      </c>
      <c r="C92" s="388">
        <f t="shared" ref="C92:C105" ca="1" si="120">+D92+E92</f>
        <v>0</v>
      </c>
      <c r="D92" s="296">
        <f ca="1">IFERROR(__xludf.DUMMYFUNCTION("IMPORTRANGE(""https://docs.google.com/spreadsheets/d/1C3CXT74ZlgGe6_JY_1olB1XN4rF0dxEuIIF-xsYjHgg/edit?usp=sharing"",""งบกองทุน!DT96"")"),0)</f>
        <v>0</v>
      </c>
      <c r="E92" s="296">
        <f ca="1">IFERROR(__xludf.DUMMYFUNCTION("IMPORTRANGE(""https://docs.google.com/spreadsheets/d/1C3CXT74ZlgGe6_JY_1olB1XN4rF0dxEuIIF-xsYjHgg/edit?usp=sharing"",""งบกองทุน!DU96"")"),0)</f>
        <v>0</v>
      </c>
      <c r="F92" s="297">
        <v>0</v>
      </c>
      <c r="G92" s="297">
        <f t="shared" ca="1" si="1"/>
        <v>0</v>
      </c>
      <c r="H92" s="299">
        <v>0</v>
      </c>
      <c r="I92" s="299">
        <f t="shared" ref="I92:J92" si="121">SUM(M92,Q92)</f>
        <v>0</v>
      </c>
      <c r="J92" s="299">
        <f t="shared" si="121"/>
        <v>0</v>
      </c>
      <c r="K92" s="301">
        <f t="shared" si="3"/>
        <v>0</v>
      </c>
      <c r="L92" s="296">
        <f ca="1">IFERROR(__xludf.DUMMYFUNCTION("IMPORTRANGE(""https://docs.google.com/spreadsheets/d/1C3CXT74ZlgGe6_JY_1olB1XN4rF0dxEuIIF-xsYjHgg/edit?usp=sharing"",""งบกองทุน!DW96"")"),0)</f>
        <v>0</v>
      </c>
      <c r="M92" s="296">
        <v>0</v>
      </c>
      <c r="N92" s="296">
        <v>0</v>
      </c>
      <c r="O92" s="297">
        <f t="shared" ca="1" si="5"/>
        <v>0</v>
      </c>
      <c r="P92" s="296">
        <f ca="1">IFERROR(__xludf.DUMMYFUNCTION("IMPORTRANGE(""https://docs.google.com/spreadsheets/d/1C3CXT74ZlgGe6_JY_1olB1XN4rF0dxEuIIF-xsYjHgg/edit?usp=sharing"",""งบกองทุน!DY96"")"),0)</f>
        <v>0</v>
      </c>
      <c r="Q92" s="296">
        <v>0</v>
      </c>
      <c r="R92" s="296">
        <v>0</v>
      </c>
      <c r="S92" s="358">
        <f t="shared" ca="1" si="7"/>
        <v>0</v>
      </c>
      <c r="T92" s="339"/>
      <c r="U92" s="339"/>
      <c r="V92" s="339"/>
      <c r="W92" s="339"/>
      <c r="X92" s="339"/>
      <c r="Y92" s="339"/>
      <c r="Z92" s="339"/>
    </row>
    <row r="93" spans="1:26" ht="24" hidden="1" customHeight="1">
      <c r="A93" s="327">
        <v>2</v>
      </c>
      <c r="B93" s="328" t="s">
        <v>117</v>
      </c>
      <c r="C93" s="391">
        <f t="shared" ca="1" si="120"/>
        <v>0</v>
      </c>
      <c r="D93" s="306">
        <f ca="1">IFERROR(__xludf.DUMMYFUNCTION("IMPORTRANGE(""https://docs.google.com/spreadsheets/d/1C3CXT74ZlgGe6_JY_1olB1XN4rF0dxEuIIF-xsYjHgg/edit?usp=sharing"",""งบกองทุน!DT97"")"),0)</f>
        <v>0</v>
      </c>
      <c r="E93" s="306">
        <f ca="1">IFERROR(__xludf.DUMMYFUNCTION("IMPORTRANGE(""https://docs.google.com/spreadsheets/d/1C3CXT74ZlgGe6_JY_1olB1XN4rF0dxEuIIF-xsYjHgg/edit?usp=sharing"",""งบกองทุน!DU97"")"),0)</f>
        <v>0</v>
      </c>
      <c r="F93" s="307">
        <v>0</v>
      </c>
      <c r="G93" s="307">
        <f t="shared" ca="1" si="1"/>
        <v>0</v>
      </c>
      <c r="H93" s="308">
        <v>0</v>
      </c>
      <c r="I93" s="308">
        <f t="shared" ref="I93:J93" si="122">SUM(M93,Q93)</f>
        <v>0</v>
      </c>
      <c r="J93" s="308">
        <f t="shared" si="122"/>
        <v>0</v>
      </c>
      <c r="K93" s="309">
        <f t="shared" si="3"/>
        <v>0</v>
      </c>
      <c r="L93" s="306">
        <f ca="1">IFERROR(__xludf.DUMMYFUNCTION("IMPORTRANGE(""https://docs.google.com/spreadsheets/d/1C3CXT74ZlgGe6_JY_1olB1XN4rF0dxEuIIF-xsYjHgg/edit?usp=sharing"",""งบกองทุน!DW97"")"),0)</f>
        <v>0</v>
      </c>
      <c r="M93" s="306">
        <v>0</v>
      </c>
      <c r="N93" s="306">
        <v>0</v>
      </c>
      <c r="O93" s="307">
        <f t="shared" ca="1" si="5"/>
        <v>0</v>
      </c>
      <c r="P93" s="306">
        <f ca="1">IFERROR(__xludf.DUMMYFUNCTION("IMPORTRANGE(""https://docs.google.com/spreadsheets/d/1C3CXT74ZlgGe6_JY_1olB1XN4rF0dxEuIIF-xsYjHgg/edit?usp=sharing"",""งบกองทุน!DY97"")"),0)</f>
        <v>0</v>
      </c>
      <c r="Q93" s="306">
        <v>0</v>
      </c>
      <c r="R93" s="306">
        <v>0</v>
      </c>
      <c r="S93" s="359">
        <f t="shared" ca="1" si="7"/>
        <v>0</v>
      </c>
      <c r="T93" s="339"/>
      <c r="U93" s="339"/>
      <c r="V93" s="339"/>
      <c r="W93" s="339"/>
      <c r="X93" s="339"/>
      <c r="Y93" s="339"/>
      <c r="Z93" s="339"/>
    </row>
    <row r="94" spans="1:26" ht="24" hidden="1" customHeight="1">
      <c r="A94" s="327">
        <v>3</v>
      </c>
      <c r="B94" s="328" t="s">
        <v>118</v>
      </c>
      <c r="C94" s="391">
        <f t="shared" ca="1" si="120"/>
        <v>0</v>
      </c>
      <c r="D94" s="306">
        <f ca="1">IFERROR(__xludf.DUMMYFUNCTION("IMPORTRANGE(""https://docs.google.com/spreadsheets/d/1C3CXT74ZlgGe6_JY_1olB1XN4rF0dxEuIIF-xsYjHgg/edit?usp=sharing"",""งบกองทุน!DT98"")"),0)</f>
        <v>0</v>
      </c>
      <c r="E94" s="306">
        <f ca="1">IFERROR(__xludf.DUMMYFUNCTION("IMPORTRANGE(""https://docs.google.com/spreadsheets/d/1C3CXT74ZlgGe6_JY_1olB1XN4rF0dxEuIIF-xsYjHgg/edit?usp=sharing"",""งบกองทุน!DU98"")"),0)</f>
        <v>0</v>
      </c>
      <c r="F94" s="307">
        <v>0</v>
      </c>
      <c r="G94" s="307">
        <f t="shared" ca="1" si="1"/>
        <v>0</v>
      </c>
      <c r="H94" s="308">
        <v>0</v>
      </c>
      <c r="I94" s="308">
        <f t="shared" ref="I94:J94" si="123">SUM(M94,Q94)</f>
        <v>0</v>
      </c>
      <c r="J94" s="308">
        <f t="shared" si="123"/>
        <v>0</v>
      </c>
      <c r="K94" s="309">
        <f t="shared" si="3"/>
        <v>0</v>
      </c>
      <c r="L94" s="306">
        <f ca="1">IFERROR(__xludf.DUMMYFUNCTION("IMPORTRANGE(""https://docs.google.com/spreadsheets/d/1C3CXT74ZlgGe6_JY_1olB1XN4rF0dxEuIIF-xsYjHgg/edit?usp=sharing"",""งบกองทุน!DW98"")"),0)</f>
        <v>0</v>
      </c>
      <c r="M94" s="306">
        <v>0</v>
      </c>
      <c r="N94" s="306">
        <v>0</v>
      </c>
      <c r="O94" s="307">
        <f t="shared" ca="1" si="5"/>
        <v>0</v>
      </c>
      <c r="P94" s="306">
        <f ca="1">IFERROR(__xludf.DUMMYFUNCTION("IMPORTRANGE(""https://docs.google.com/spreadsheets/d/1C3CXT74ZlgGe6_JY_1olB1XN4rF0dxEuIIF-xsYjHgg/edit?usp=sharing"",""งบกองทุน!DY98"")"),0)</f>
        <v>0</v>
      </c>
      <c r="Q94" s="306">
        <v>0</v>
      </c>
      <c r="R94" s="306">
        <v>0</v>
      </c>
      <c r="S94" s="359">
        <f t="shared" ca="1" si="7"/>
        <v>0</v>
      </c>
      <c r="T94" s="339"/>
      <c r="U94" s="339"/>
      <c r="V94" s="339"/>
      <c r="W94" s="339"/>
      <c r="X94" s="339"/>
      <c r="Y94" s="339"/>
      <c r="Z94" s="339"/>
    </row>
    <row r="95" spans="1:26" ht="24" hidden="1" customHeight="1">
      <c r="A95" s="327">
        <f t="shared" ref="A95:A105" si="124">+A94+1</f>
        <v>4</v>
      </c>
      <c r="B95" s="328" t="s">
        <v>119</v>
      </c>
      <c r="C95" s="391">
        <f t="shared" ca="1" si="120"/>
        <v>0</v>
      </c>
      <c r="D95" s="306">
        <f ca="1">IFERROR(__xludf.DUMMYFUNCTION("IMPORTRANGE(""https://docs.google.com/spreadsheets/d/1C3CXT74ZlgGe6_JY_1olB1XN4rF0dxEuIIF-xsYjHgg/edit?usp=sharing"",""งบกองทุน!DT99"")"),0)</f>
        <v>0</v>
      </c>
      <c r="E95" s="306">
        <f ca="1">IFERROR(__xludf.DUMMYFUNCTION("IMPORTRANGE(""https://docs.google.com/spreadsheets/d/1C3CXT74ZlgGe6_JY_1olB1XN4rF0dxEuIIF-xsYjHgg/edit?usp=sharing"",""งบกองทุน!DU99"")"),0)</f>
        <v>0</v>
      </c>
      <c r="F95" s="307">
        <v>0</v>
      </c>
      <c r="G95" s="307">
        <f t="shared" ca="1" si="1"/>
        <v>0</v>
      </c>
      <c r="H95" s="308">
        <v>0</v>
      </c>
      <c r="I95" s="308">
        <f t="shared" ref="I95:J95" si="125">SUM(M95,Q95)</f>
        <v>0</v>
      </c>
      <c r="J95" s="308">
        <f t="shared" si="125"/>
        <v>0</v>
      </c>
      <c r="K95" s="309">
        <f t="shared" si="3"/>
        <v>0</v>
      </c>
      <c r="L95" s="306">
        <f ca="1">IFERROR(__xludf.DUMMYFUNCTION("IMPORTRANGE(""https://docs.google.com/spreadsheets/d/1C3CXT74ZlgGe6_JY_1olB1XN4rF0dxEuIIF-xsYjHgg/edit?usp=sharing"",""งบกองทุน!DW99"")"),0)</f>
        <v>0</v>
      </c>
      <c r="M95" s="306">
        <v>0</v>
      </c>
      <c r="N95" s="306">
        <v>0</v>
      </c>
      <c r="O95" s="307">
        <f t="shared" ca="1" si="5"/>
        <v>0</v>
      </c>
      <c r="P95" s="306">
        <f ca="1">IFERROR(__xludf.DUMMYFUNCTION("IMPORTRANGE(""https://docs.google.com/spreadsheets/d/1C3CXT74ZlgGe6_JY_1olB1XN4rF0dxEuIIF-xsYjHgg/edit?usp=sharing"",""งบกองทุน!DY99"")"),0)</f>
        <v>0</v>
      </c>
      <c r="Q95" s="306">
        <v>0</v>
      </c>
      <c r="R95" s="306">
        <v>0</v>
      </c>
      <c r="S95" s="359">
        <f t="shared" ca="1" si="7"/>
        <v>0</v>
      </c>
      <c r="T95" s="339"/>
      <c r="U95" s="339"/>
      <c r="V95" s="339"/>
      <c r="W95" s="339"/>
      <c r="X95" s="339"/>
      <c r="Y95" s="339"/>
      <c r="Z95" s="339"/>
    </row>
    <row r="96" spans="1:26" ht="24" hidden="1" customHeight="1">
      <c r="A96" s="327">
        <f t="shared" si="124"/>
        <v>5</v>
      </c>
      <c r="B96" s="328" t="s">
        <v>120</v>
      </c>
      <c r="C96" s="391">
        <f t="shared" ca="1" si="120"/>
        <v>0</v>
      </c>
      <c r="D96" s="306">
        <f ca="1">IFERROR(__xludf.DUMMYFUNCTION("IMPORTRANGE(""https://docs.google.com/spreadsheets/d/1C3CXT74ZlgGe6_JY_1olB1XN4rF0dxEuIIF-xsYjHgg/edit?usp=sharing"",""งบกองทุน!DT100"")"),0)</f>
        <v>0</v>
      </c>
      <c r="E96" s="306">
        <f ca="1">IFERROR(__xludf.DUMMYFUNCTION("IMPORTRANGE(""https://docs.google.com/spreadsheets/d/1C3CXT74ZlgGe6_JY_1olB1XN4rF0dxEuIIF-xsYjHgg/edit?usp=sharing"",""งบกองทุน!DU100"")"),0)</f>
        <v>0</v>
      </c>
      <c r="F96" s="307">
        <v>0</v>
      </c>
      <c r="G96" s="307">
        <f t="shared" ca="1" si="1"/>
        <v>0</v>
      </c>
      <c r="H96" s="308">
        <v>0</v>
      </c>
      <c r="I96" s="308">
        <f t="shared" ref="I96:J96" si="126">SUM(M96,Q96)</f>
        <v>0</v>
      </c>
      <c r="J96" s="308">
        <f t="shared" si="126"/>
        <v>0</v>
      </c>
      <c r="K96" s="309">
        <f t="shared" si="3"/>
        <v>0</v>
      </c>
      <c r="L96" s="306">
        <f ca="1">IFERROR(__xludf.DUMMYFUNCTION("IMPORTRANGE(""https://docs.google.com/spreadsheets/d/1C3CXT74ZlgGe6_JY_1olB1XN4rF0dxEuIIF-xsYjHgg/edit?usp=sharing"",""งบกองทุน!DW100"")"),0)</f>
        <v>0</v>
      </c>
      <c r="M96" s="306">
        <v>0</v>
      </c>
      <c r="N96" s="306">
        <v>0</v>
      </c>
      <c r="O96" s="307">
        <f t="shared" ca="1" si="5"/>
        <v>0</v>
      </c>
      <c r="P96" s="306">
        <f ca="1">IFERROR(__xludf.DUMMYFUNCTION("IMPORTRANGE(""https://docs.google.com/spreadsheets/d/1C3CXT74ZlgGe6_JY_1olB1XN4rF0dxEuIIF-xsYjHgg/edit?usp=sharing"",""งบกองทุน!DY100"")"),0)</f>
        <v>0</v>
      </c>
      <c r="Q96" s="306">
        <v>0</v>
      </c>
      <c r="R96" s="306">
        <v>0</v>
      </c>
      <c r="S96" s="359">
        <f t="shared" ca="1" si="7"/>
        <v>0</v>
      </c>
      <c r="T96" s="339"/>
      <c r="U96" s="339"/>
      <c r="V96" s="339"/>
      <c r="W96" s="339"/>
      <c r="X96" s="339"/>
      <c r="Y96" s="339"/>
      <c r="Z96" s="339"/>
    </row>
    <row r="97" spans="1:26" ht="24" hidden="1" customHeight="1">
      <c r="A97" s="327">
        <f t="shared" si="124"/>
        <v>6</v>
      </c>
      <c r="B97" s="328" t="s">
        <v>121</v>
      </c>
      <c r="C97" s="391">
        <f t="shared" ca="1" si="120"/>
        <v>0</v>
      </c>
      <c r="D97" s="306">
        <f ca="1">IFERROR(__xludf.DUMMYFUNCTION("IMPORTRANGE(""https://docs.google.com/spreadsheets/d/1C3CXT74ZlgGe6_JY_1olB1XN4rF0dxEuIIF-xsYjHgg/edit?usp=sharing"",""งบกองทุน!DT101"")"),0)</f>
        <v>0</v>
      </c>
      <c r="E97" s="306">
        <f ca="1">IFERROR(__xludf.DUMMYFUNCTION("IMPORTRANGE(""https://docs.google.com/spreadsheets/d/1C3CXT74ZlgGe6_JY_1olB1XN4rF0dxEuIIF-xsYjHgg/edit?usp=sharing"",""งบกองทุน!DU101"")"),0)</f>
        <v>0</v>
      </c>
      <c r="F97" s="307">
        <v>0</v>
      </c>
      <c r="G97" s="307">
        <f t="shared" ca="1" si="1"/>
        <v>0</v>
      </c>
      <c r="H97" s="308">
        <v>0</v>
      </c>
      <c r="I97" s="308">
        <f t="shared" ref="I97:J97" si="127">SUM(M97,Q97)</f>
        <v>0</v>
      </c>
      <c r="J97" s="308">
        <f t="shared" si="127"/>
        <v>0</v>
      </c>
      <c r="K97" s="309">
        <f t="shared" si="3"/>
        <v>0</v>
      </c>
      <c r="L97" s="306">
        <f ca="1">IFERROR(__xludf.DUMMYFUNCTION("IMPORTRANGE(""https://docs.google.com/spreadsheets/d/1C3CXT74ZlgGe6_JY_1olB1XN4rF0dxEuIIF-xsYjHgg/edit?usp=sharing"",""งบกองทุน!DW101"")"),0)</f>
        <v>0</v>
      </c>
      <c r="M97" s="306">
        <v>0</v>
      </c>
      <c r="N97" s="306">
        <v>0</v>
      </c>
      <c r="O97" s="307">
        <f t="shared" ca="1" si="5"/>
        <v>0</v>
      </c>
      <c r="P97" s="306">
        <f ca="1">IFERROR(__xludf.DUMMYFUNCTION("IMPORTRANGE(""https://docs.google.com/spreadsheets/d/1C3CXT74ZlgGe6_JY_1olB1XN4rF0dxEuIIF-xsYjHgg/edit?usp=sharing"",""งบกองทุน!DY101"")"),0)</f>
        <v>0</v>
      </c>
      <c r="Q97" s="306">
        <v>0</v>
      </c>
      <c r="R97" s="306">
        <v>0</v>
      </c>
      <c r="S97" s="359">
        <f t="shared" ca="1" si="7"/>
        <v>0</v>
      </c>
      <c r="T97" s="339"/>
      <c r="U97" s="339"/>
      <c r="V97" s="339"/>
      <c r="W97" s="339"/>
      <c r="X97" s="339"/>
      <c r="Y97" s="339"/>
      <c r="Z97" s="339"/>
    </row>
    <row r="98" spans="1:26" ht="24" hidden="1" customHeight="1">
      <c r="A98" s="327">
        <f t="shared" si="124"/>
        <v>7</v>
      </c>
      <c r="B98" s="328" t="s">
        <v>122</v>
      </c>
      <c r="C98" s="391">
        <f t="shared" ca="1" si="120"/>
        <v>0</v>
      </c>
      <c r="D98" s="306">
        <f ca="1">IFERROR(__xludf.DUMMYFUNCTION("IMPORTRANGE(""https://docs.google.com/spreadsheets/d/1C3CXT74ZlgGe6_JY_1olB1XN4rF0dxEuIIF-xsYjHgg/edit?usp=sharing"",""งบกองทุน!DT102"")"),0)</f>
        <v>0</v>
      </c>
      <c r="E98" s="306">
        <f ca="1">IFERROR(__xludf.DUMMYFUNCTION("IMPORTRANGE(""https://docs.google.com/spreadsheets/d/1C3CXT74ZlgGe6_JY_1olB1XN4rF0dxEuIIF-xsYjHgg/edit?usp=sharing"",""งบกองทุน!DU102"")"),0)</f>
        <v>0</v>
      </c>
      <c r="F98" s="307">
        <v>0</v>
      </c>
      <c r="G98" s="307">
        <f t="shared" ca="1" si="1"/>
        <v>0</v>
      </c>
      <c r="H98" s="308">
        <v>0</v>
      </c>
      <c r="I98" s="308">
        <f t="shared" ref="I98:J98" si="128">SUM(M98,Q98)</f>
        <v>0</v>
      </c>
      <c r="J98" s="308">
        <f t="shared" si="128"/>
        <v>0</v>
      </c>
      <c r="K98" s="309">
        <f t="shared" si="3"/>
        <v>0</v>
      </c>
      <c r="L98" s="306">
        <f ca="1">IFERROR(__xludf.DUMMYFUNCTION("IMPORTRANGE(""https://docs.google.com/spreadsheets/d/1C3CXT74ZlgGe6_JY_1olB1XN4rF0dxEuIIF-xsYjHgg/edit?usp=sharing"",""งบกองทุน!DW102"")"),0)</f>
        <v>0</v>
      </c>
      <c r="M98" s="306">
        <v>0</v>
      </c>
      <c r="N98" s="306">
        <v>0</v>
      </c>
      <c r="O98" s="307">
        <f t="shared" ca="1" si="5"/>
        <v>0</v>
      </c>
      <c r="P98" s="306">
        <f ca="1">IFERROR(__xludf.DUMMYFUNCTION("IMPORTRANGE(""https://docs.google.com/spreadsheets/d/1C3CXT74ZlgGe6_JY_1olB1XN4rF0dxEuIIF-xsYjHgg/edit?usp=sharing"",""งบกองทุน!DY102"")"),0)</f>
        <v>0</v>
      </c>
      <c r="Q98" s="306">
        <v>0</v>
      </c>
      <c r="R98" s="306">
        <v>0</v>
      </c>
      <c r="S98" s="359">
        <f t="shared" ca="1" si="7"/>
        <v>0</v>
      </c>
      <c r="T98" s="339"/>
      <c r="U98" s="339"/>
      <c r="V98" s="339"/>
      <c r="W98" s="339"/>
      <c r="X98" s="339"/>
      <c r="Y98" s="339"/>
      <c r="Z98" s="339"/>
    </row>
    <row r="99" spans="1:26" ht="24" hidden="1" customHeight="1">
      <c r="A99" s="327">
        <f t="shared" si="124"/>
        <v>8</v>
      </c>
      <c r="B99" s="328" t="s">
        <v>123</v>
      </c>
      <c r="C99" s="391">
        <f t="shared" ca="1" si="120"/>
        <v>0</v>
      </c>
      <c r="D99" s="306">
        <f ca="1">IFERROR(__xludf.DUMMYFUNCTION("IMPORTRANGE(""https://docs.google.com/spreadsheets/d/1C3CXT74ZlgGe6_JY_1olB1XN4rF0dxEuIIF-xsYjHgg/edit?usp=sharing"",""งบกองทุน!DT103"")"),0)</f>
        <v>0</v>
      </c>
      <c r="E99" s="306">
        <f ca="1">IFERROR(__xludf.DUMMYFUNCTION("IMPORTRANGE(""https://docs.google.com/spreadsheets/d/1C3CXT74ZlgGe6_JY_1olB1XN4rF0dxEuIIF-xsYjHgg/edit?usp=sharing"",""งบกองทุน!DU103"")"),0)</f>
        <v>0</v>
      </c>
      <c r="F99" s="307">
        <v>0</v>
      </c>
      <c r="G99" s="307">
        <f t="shared" ca="1" si="1"/>
        <v>0</v>
      </c>
      <c r="H99" s="308">
        <v>0</v>
      </c>
      <c r="I99" s="308">
        <f t="shared" ref="I99:J99" si="129">SUM(M99,Q99)</f>
        <v>0</v>
      </c>
      <c r="J99" s="308">
        <f t="shared" si="129"/>
        <v>0</v>
      </c>
      <c r="K99" s="309">
        <f t="shared" si="3"/>
        <v>0</v>
      </c>
      <c r="L99" s="306">
        <f ca="1">IFERROR(__xludf.DUMMYFUNCTION("IMPORTRANGE(""https://docs.google.com/spreadsheets/d/1C3CXT74ZlgGe6_JY_1olB1XN4rF0dxEuIIF-xsYjHgg/edit?usp=sharing"",""งบกองทุน!DW103"")"),0)</f>
        <v>0</v>
      </c>
      <c r="M99" s="306">
        <v>0</v>
      </c>
      <c r="N99" s="306">
        <v>0</v>
      </c>
      <c r="O99" s="307">
        <f t="shared" ca="1" si="5"/>
        <v>0</v>
      </c>
      <c r="P99" s="306">
        <f ca="1">IFERROR(__xludf.DUMMYFUNCTION("IMPORTRANGE(""https://docs.google.com/spreadsheets/d/1C3CXT74ZlgGe6_JY_1olB1XN4rF0dxEuIIF-xsYjHgg/edit?usp=sharing"",""งบกองทุน!DY103"")"),0)</f>
        <v>0</v>
      </c>
      <c r="Q99" s="306">
        <v>0</v>
      </c>
      <c r="R99" s="306">
        <v>0</v>
      </c>
      <c r="S99" s="359">
        <f t="shared" ca="1" si="7"/>
        <v>0</v>
      </c>
      <c r="T99" s="339"/>
      <c r="U99" s="339"/>
      <c r="V99" s="339"/>
      <c r="W99" s="339"/>
      <c r="X99" s="339"/>
      <c r="Y99" s="339"/>
      <c r="Z99" s="339"/>
    </row>
    <row r="100" spans="1:26" ht="24" hidden="1" customHeight="1">
      <c r="A100" s="327">
        <f t="shared" si="124"/>
        <v>9</v>
      </c>
      <c r="B100" s="328" t="s">
        <v>124</v>
      </c>
      <c r="C100" s="391">
        <f t="shared" ca="1" si="120"/>
        <v>0</v>
      </c>
      <c r="D100" s="306">
        <f ca="1">IFERROR(__xludf.DUMMYFUNCTION("IMPORTRANGE(""https://docs.google.com/spreadsheets/d/1C3CXT74ZlgGe6_JY_1olB1XN4rF0dxEuIIF-xsYjHgg/edit?usp=sharing"",""งบกองทุน!DT104"")"),0)</f>
        <v>0</v>
      </c>
      <c r="E100" s="306">
        <f ca="1">IFERROR(__xludf.DUMMYFUNCTION("IMPORTRANGE(""https://docs.google.com/spreadsheets/d/1C3CXT74ZlgGe6_JY_1olB1XN4rF0dxEuIIF-xsYjHgg/edit?usp=sharing"",""งบกองทุน!DU104"")"),0)</f>
        <v>0</v>
      </c>
      <c r="F100" s="307">
        <v>0</v>
      </c>
      <c r="G100" s="307">
        <f t="shared" ca="1" si="1"/>
        <v>0</v>
      </c>
      <c r="H100" s="308">
        <v>0</v>
      </c>
      <c r="I100" s="308">
        <f t="shared" ref="I100:J100" si="130">SUM(M100,Q100)</f>
        <v>0</v>
      </c>
      <c r="J100" s="308">
        <f t="shared" si="130"/>
        <v>0</v>
      </c>
      <c r="K100" s="309">
        <f t="shared" si="3"/>
        <v>0</v>
      </c>
      <c r="L100" s="306">
        <f ca="1">IFERROR(__xludf.DUMMYFUNCTION("IMPORTRANGE(""https://docs.google.com/spreadsheets/d/1C3CXT74ZlgGe6_JY_1olB1XN4rF0dxEuIIF-xsYjHgg/edit?usp=sharing"",""งบกองทุน!DW104"")"),0)</f>
        <v>0</v>
      </c>
      <c r="M100" s="306">
        <v>0</v>
      </c>
      <c r="N100" s="306">
        <v>0</v>
      </c>
      <c r="O100" s="307">
        <f t="shared" ca="1" si="5"/>
        <v>0</v>
      </c>
      <c r="P100" s="306">
        <f ca="1">IFERROR(__xludf.DUMMYFUNCTION("IMPORTRANGE(""https://docs.google.com/spreadsheets/d/1C3CXT74ZlgGe6_JY_1olB1XN4rF0dxEuIIF-xsYjHgg/edit?usp=sharing"",""งบกองทุน!DY104"")"),0)</f>
        <v>0</v>
      </c>
      <c r="Q100" s="306">
        <v>0</v>
      </c>
      <c r="R100" s="306">
        <v>0</v>
      </c>
      <c r="S100" s="359">
        <f t="shared" ca="1" si="7"/>
        <v>0</v>
      </c>
      <c r="T100" s="339"/>
      <c r="U100" s="339"/>
      <c r="V100" s="339"/>
      <c r="W100" s="339"/>
      <c r="X100" s="339"/>
      <c r="Y100" s="339"/>
      <c r="Z100" s="339"/>
    </row>
    <row r="101" spans="1:26" ht="24" hidden="1" customHeight="1">
      <c r="A101" s="327">
        <f t="shared" si="124"/>
        <v>10</v>
      </c>
      <c r="B101" s="328" t="s">
        <v>125</v>
      </c>
      <c r="C101" s="391">
        <f t="shared" ca="1" si="120"/>
        <v>13125900</v>
      </c>
      <c r="D101" s="306">
        <f ca="1">IFERROR(__xludf.DUMMYFUNCTION("IMPORTRANGE(""https://docs.google.com/spreadsheets/d/1C3CXT74ZlgGe6_JY_1olB1XN4rF0dxEuIIF-xsYjHgg/edit?usp=sharing"",""งบกองทุน!DT105"")"),0)</f>
        <v>0</v>
      </c>
      <c r="E101" s="306">
        <f ca="1">IFERROR(__xludf.DUMMYFUNCTION("IMPORTRANGE(""https://docs.google.com/spreadsheets/d/1C3CXT74ZlgGe6_JY_1olB1XN4rF0dxEuIIF-xsYjHgg/edit?usp=sharing"",""งบกองทุน!DU105"")"),13125900)</f>
        <v>13125900</v>
      </c>
      <c r="F101" s="307">
        <f ca="1">IFERROR(__xludf.DUMMYFUNCTION("IMPORTRANGE(""https://docs.google.com/spreadsheets/d/1muirlRDkqiswvy_NRZ3Yh955hx-PF6_HhssUYiSJj8o/edit?usp=sharing"",""กองทุนส่วนกลาง!AF10"")"),3974539.97)</f>
        <v>3974539.97</v>
      </c>
      <c r="G101" s="307">
        <f t="shared" ca="1" si="1"/>
        <v>30.280132943264842</v>
      </c>
      <c r="H101" s="308">
        <f ca="1">+R101</f>
        <v>3622</v>
      </c>
      <c r="I101" s="308">
        <f t="shared" ref="I101:J101" ca="1" si="131">SUM(M101,Q101)</f>
        <v>64390</v>
      </c>
      <c r="J101" s="308">
        <f t="shared" ca="1" si="131"/>
        <v>3622</v>
      </c>
      <c r="K101" s="309">
        <f t="shared" ca="1" si="3"/>
        <v>1777.747101049144</v>
      </c>
      <c r="L101" s="306">
        <f ca="1">IFERROR(__xludf.DUMMYFUNCTION("IMPORTRANGE(""https://docs.google.com/spreadsheets/d/1C3CXT74ZlgGe6_JY_1olB1XN4rF0dxEuIIF-xsYjHgg/edit?usp=sharing"",""งบกองทุน!DW105"")"),0)</f>
        <v>0</v>
      </c>
      <c r="M101" s="306">
        <v>0</v>
      </c>
      <c r="N101" s="306">
        <v>0</v>
      </c>
      <c r="O101" s="307">
        <f t="shared" ca="1" si="5"/>
        <v>0</v>
      </c>
      <c r="P101" s="306">
        <f ca="1">IFERROR(__xludf.DUMMYFUNCTION("IMPORTRANGE(""https://docs.google.com/spreadsheets/d/1C3CXT74ZlgGe6_JY_1olB1XN4rF0dxEuIIF-xsYjHgg/edit?usp=sharing"",""งบกองทุน!DY105"")"),147000)</f>
        <v>147000</v>
      </c>
      <c r="Q101" s="306">
        <f ca="1">IFERROR(__xludf.DUMMYFUNCTION("IMPORTRANGE(""https://docs.google.com/spreadsheets/d/1-IAjH102DbLG7Nqca5k0mRsCYUUUwJEEUFX6LO_y6mg/edit?usp=sharing"",""RTK!M7"")"),64390)</f>
        <v>64390</v>
      </c>
      <c r="R101" s="306">
        <f ca="1">IFERROR(__xludf.DUMMYFUNCTION("IMPORTRANGE(""https://docs.google.com/spreadsheets/d/1-IAjH102DbLG7Nqca5k0mRsCYUUUwJEEUFX6LO_y6mg/edit?usp=sharing"",""RTK!L7"")"),3622)</f>
        <v>3622</v>
      </c>
      <c r="S101" s="359">
        <f t="shared" ca="1" si="7"/>
        <v>43.802721088435376</v>
      </c>
      <c r="T101" s="339"/>
      <c r="U101" s="339"/>
      <c r="V101" s="339"/>
      <c r="W101" s="339"/>
      <c r="X101" s="339"/>
      <c r="Y101" s="339"/>
      <c r="Z101" s="339"/>
    </row>
    <row r="102" spans="1:26" ht="24" hidden="1" customHeight="1">
      <c r="A102" s="327">
        <f t="shared" si="124"/>
        <v>11</v>
      </c>
      <c r="B102" s="328" t="s">
        <v>126</v>
      </c>
      <c r="C102" s="391">
        <f t="shared" ca="1" si="120"/>
        <v>0</v>
      </c>
      <c r="D102" s="306">
        <f ca="1">IFERROR(__xludf.DUMMYFUNCTION("IMPORTRANGE(""https://docs.google.com/spreadsheets/d/1C3CXT74ZlgGe6_JY_1olB1XN4rF0dxEuIIF-xsYjHgg/edit?usp=sharing"",""งบกองทุน!DT106"")"),0)</f>
        <v>0</v>
      </c>
      <c r="E102" s="306">
        <f ca="1">IFERROR(__xludf.DUMMYFUNCTION("IMPORTRANGE(""https://docs.google.com/spreadsheets/d/1C3CXT74ZlgGe6_JY_1olB1XN4rF0dxEuIIF-xsYjHgg/edit?usp=sharing"",""งบกองทุน!DU106"")"),0)</f>
        <v>0</v>
      </c>
      <c r="F102" s="307">
        <v>0</v>
      </c>
      <c r="G102" s="307">
        <f t="shared" ca="1" si="1"/>
        <v>0</v>
      </c>
      <c r="H102" s="308">
        <v>0</v>
      </c>
      <c r="I102" s="308">
        <f t="shared" ref="I102:J102" si="132">SUM(M102,Q102)</f>
        <v>0</v>
      </c>
      <c r="J102" s="308">
        <f t="shared" si="132"/>
        <v>0</v>
      </c>
      <c r="K102" s="309">
        <f t="shared" si="3"/>
        <v>0</v>
      </c>
      <c r="L102" s="306">
        <f ca="1">IFERROR(__xludf.DUMMYFUNCTION("IMPORTRANGE(""https://docs.google.com/spreadsheets/d/1C3CXT74ZlgGe6_JY_1olB1XN4rF0dxEuIIF-xsYjHgg/edit?usp=sharing"",""งบกองทุน!DW106"")"),0)</f>
        <v>0</v>
      </c>
      <c r="M102" s="306">
        <v>0</v>
      </c>
      <c r="N102" s="306">
        <v>0</v>
      </c>
      <c r="O102" s="307">
        <f t="shared" ca="1" si="5"/>
        <v>0</v>
      </c>
      <c r="P102" s="306">
        <f ca="1">IFERROR(__xludf.DUMMYFUNCTION("IMPORTRANGE(""https://docs.google.com/spreadsheets/d/1C3CXT74ZlgGe6_JY_1olB1XN4rF0dxEuIIF-xsYjHgg/edit?usp=sharing"",""งบกองทุน!DY106"")"),0)</f>
        <v>0</v>
      </c>
      <c r="Q102" s="306">
        <v>0</v>
      </c>
      <c r="R102" s="306">
        <v>0</v>
      </c>
      <c r="S102" s="359">
        <f t="shared" ca="1" si="7"/>
        <v>0</v>
      </c>
      <c r="T102" s="339"/>
      <c r="U102" s="339"/>
      <c r="V102" s="339"/>
      <c r="W102" s="339"/>
      <c r="X102" s="339"/>
      <c r="Y102" s="339"/>
      <c r="Z102" s="339"/>
    </row>
    <row r="103" spans="1:26" ht="24" hidden="1" customHeight="1">
      <c r="A103" s="327">
        <f t="shared" si="124"/>
        <v>12</v>
      </c>
      <c r="B103" s="328" t="s">
        <v>127</v>
      </c>
      <c r="C103" s="391">
        <f t="shared" ca="1" si="120"/>
        <v>0</v>
      </c>
      <c r="D103" s="306">
        <f ca="1">IFERROR(__xludf.DUMMYFUNCTION("IMPORTRANGE(""https://docs.google.com/spreadsheets/d/1C3CXT74ZlgGe6_JY_1olB1XN4rF0dxEuIIF-xsYjHgg/edit?usp=sharing"",""งบกองทุน!DT107"")"),0)</f>
        <v>0</v>
      </c>
      <c r="E103" s="306">
        <f ca="1">IFERROR(__xludf.DUMMYFUNCTION("IMPORTRANGE(""https://docs.google.com/spreadsheets/d/1C3CXT74ZlgGe6_JY_1olB1XN4rF0dxEuIIF-xsYjHgg/edit?usp=sharing"",""งบกองทุน!DU107"")"),0)</f>
        <v>0</v>
      </c>
      <c r="F103" s="307">
        <v>0</v>
      </c>
      <c r="G103" s="307">
        <f t="shared" ca="1" si="1"/>
        <v>0</v>
      </c>
      <c r="H103" s="308">
        <v>0</v>
      </c>
      <c r="I103" s="308">
        <f t="shared" ref="I103:J103" si="133">SUM(M103,Q103)</f>
        <v>0</v>
      </c>
      <c r="J103" s="308">
        <f t="shared" si="133"/>
        <v>0</v>
      </c>
      <c r="K103" s="309">
        <f t="shared" si="3"/>
        <v>0</v>
      </c>
      <c r="L103" s="306">
        <f ca="1">IFERROR(__xludf.DUMMYFUNCTION("IMPORTRANGE(""https://docs.google.com/spreadsheets/d/1C3CXT74ZlgGe6_JY_1olB1XN4rF0dxEuIIF-xsYjHgg/edit?usp=sharing"",""งบกองทุน!DW107"")"),0)</f>
        <v>0</v>
      </c>
      <c r="M103" s="306">
        <v>0</v>
      </c>
      <c r="N103" s="306">
        <v>0</v>
      </c>
      <c r="O103" s="307">
        <f t="shared" ca="1" si="5"/>
        <v>0</v>
      </c>
      <c r="P103" s="306">
        <f ca="1">IFERROR(__xludf.DUMMYFUNCTION("IMPORTRANGE(""https://docs.google.com/spreadsheets/d/1C3CXT74ZlgGe6_JY_1olB1XN4rF0dxEuIIF-xsYjHgg/edit?usp=sharing"",""งบกองทุน!DY107"")"),0)</f>
        <v>0</v>
      </c>
      <c r="Q103" s="306">
        <v>0</v>
      </c>
      <c r="R103" s="306">
        <v>0</v>
      </c>
      <c r="S103" s="359">
        <f t="shared" ca="1" si="7"/>
        <v>0</v>
      </c>
      <c r="T103" s="339"/>
      <c r="U103" s="339"/>
      <c r="V103" s="339"/>
      <c r="W103" s="339"/>
      <c r="X103" s="339"/>
      <c r="Y103" s="339"/>
      <c r="Z103" s="339"/>
    </row>
    <row r="104" spans="1:26" ht="24" hidden="1" customHeight="1">
      <c r="A104" s="327">
        <f t="shared" si="124"/>
        <v>13</v>
      </c>
      <c r="B104" s="328" t="s">
        <v>128</v>
      </c>
      <c r="C104" s="391">
        <f t="shared" ca="1" si="120"/>
        <v>0</v>
      </c>
      <c r="D104" s="306">
        <f ca="1">IFERROR(__xludf.DUMMYFUNCTION("IMPORTRANGE(""https://docs.google.com/spreadsheets/d/1C3CXT74ZlgGe6_JY_1olB1XN4rF0dxEuIIF-xsYjHgg/edit?usp=sharing"",""งบกองทุน!DT108"")"),0)</f>
        <v>0</v>
      </c>
      <c r="E104" s="306">
        <f ca="1">IFERROR(__xludf.DUMMYFUNCTION("IMPORTRANGE(""https://docs.google.com/spreadsheets/d/1C3CXT74ZlgGe6_JY_1olB1XN4rF0dxEuIIF-xsYjHgg/edit?usp=sharing"",""งบกองทุน!DU108"")"),0)</f>
        <v>0</v>
      </c>
      <c r="F104" s="307">
        <v>0</v>
      </c>
      <c r="G104" s="307">
        <f t="shared" ca="1" si="1"/>
        <v>0</v>
      </c>
      <c r="H104" s="308">
        <v>0</v>
      </c>
      <c r="I104" s="308">
        <f t="shared" ref="I104:J104" si="134">SUM(M104,Q104)</f>
        <v>0</v>
      </c>
      <c r="J104" s="308">
        <f t="shared" si="134"/>
        <v>0</v>
      </c>
      <c r="K104" s="309">
        <f t="shared" si="3"/>
        <v>0</v>
      </c>
      <c r="L104" s="306">
        <f ca="1">IFERROR(__xludf.DUMMYFUNCTION("IMPORTRANGE(""https://docs.google.com/spreadsheets/d/1C3CXT74ZlgGe6_JY_1olB1XN4rF0dxEuIIF-xsYjHgg/edit?usp=sharing"",""งบกองทุน!DW108"")"),0)</f>
        <v>0</v>
      </c>
      <c r="M104" s="306">
        <v>0</v>
      </c>
      <c r="N104" s="306">
        <v>0</v>
      </c>
      <c r="O104" s="307">
        <f t="shared" ca="1" si="5"/>
        <v>0</v>
      </c>
      <c r="P104" s="306">
        <f ca="1">IFERROR(__xludf.DUMMYFUNCTION("IMPORTRANGE(""https://docs.google.com/spreadsheets/d/1C3CXT74ZlgGe6_JY_1olB1XN4rF0dxEuIIF-xsYjHgg/edit?usp=sharing"",""งบกองทุน!DY108"")"),0)</f>
        <v>0</v>
      </c>
      <c r="Q104" s="306">
        <v>0</v>
      </c>
      <c r="R104" s="306">
        <v>0</v>
      </c>
      <c r="S104" s="359">
        <f t="shared" ca="1" si="7"/>
        <v>0</v>
      </c>
      <c r="T104" s="339"/>
      <c r="U104" s="339"/>
      <c r="V104" s="339"/>
      <c r="W104" s="339"/>
      <c r="X104" s="339"/>
      <c r="Y104" s="339"/>
      <c r="Z104" s="339"/>
    </row>
    <row r="105" spans="1:26" ht="24" hidden="1" customHeight="1">
      <c r="A105" s="329">
        <f t="shared" si="124"/>
        <v>14</v>
      </c>
      <c r="B105" s="330" t="s">
        <v>129</v>
      </c>
      <c r="C105" s="395">
        <f t="shared" ca="1" si="120"/>
        <v>0</v>
      </c>
      <c r="D105" s="313">
        <f ca="1">IFERROR(__xludf.DUMMYFUNCTION("IMPORTRANGE(""https://docs.google.com/spreadsheets/d/1C3CXT74ZlgGe6_JY_1olB1XN4rF0dxEuIIF-xsYjHgg/edit?usp=sharing"",""งบกองทุน!DT109"")"),0)</f>
        <v>0</v>
      </c>
      <c r="E105" s="313">
        <f ca="1">IFERROR(__xludf.DUMMYFUNCTION("IMPORTRANGE(""https://docs.google.com/spreadsheets/d/1C3CXT74ZlgGe6_JY_1olB1XN4rF0dxEuIIF-xsYjHgg/edit?usp=sharing"",""งบกองทุน!DU109"")"),0)</f>
        <v>0</v>
      </c>
      <c r="F105" s="314">
        <v>0</v>
      </c>
      <c r="G105" s="314">
        <f t="shared" ca="1" si="1"/>
        <v>0</v>
      </c>
      <c r="H105" s="315">
        <v>0</v>
      </c>
      <c r="I105" s="315">
        <f t="shared" ref="I105:J105" si="135">SUM(M105,Q105)</f>
        <v>0</v>
      </c>
      <c r="J105" s="315">
        <f t="shared" si="135"/>
        <v>0</v>
      </c>
      <c r="K105" s="316">
        <f t="shared" si="3"/>
        <v>0</v>
      </c>
      <c r="L105" s="313">
        <f ca="1">IFERROR(__xludf.DUMMYFUNCTION("IMPORTRANGE(""https://docs.google.com/spreadsheets/d/1C3CXT74ZlgGe6_JY_1olB1XN4rF0dxEuIIF-xsYjHgg/edit?usp=sharing"",""งบกองทุน!DW109"")"),0)</f>
        <v>0</v>
      </c>
      <c r="M105" s="313">
        <v>0</v>
      </c>
      <c r="N105" s="313">
        <v>0</v>
      </c>
      <c r="O105" s="314">
        <f t="shared" ca="1" si="5"/>
        <v>0</v>
      </c>
      <c r="P105" s="313">
        <f ca="1">IFERROR(__xludf.DUMMYFUNCTION("IMPORTRANGE(""https://docs.google.com/spreadsheets/d/1C3CXT74ZlgGe6_JY_1olB1XN4rF0dxEuIIF-xsYjHgg/edit?usp=sharing"",""งบกองทุน!DY109"")"),0)</f>
        <v>0</v>
      </c>
      <c r="Q105" s="313">
        <v>0</v>
      </c>
      <c r="R105" s="313">
        <v>0</v>
      </c>
      <c r="S105" s="360">
        <f t="shared" ca="1" si="7"/>
        <v>0</v>
      </c>
      <c r="T105" s="339"/>
      <c r="U105" s="339"/>
      <c r="V105" s="339"/>
      <c r="W105" s="339"/>
      <c r="X105" s="339"/>
      <c r="Y105" s="339"/>
      <c r="Z105" s="339"/>
    </row>
    <row r="106" spans="1:26" ht="27.75" hidden="1" customHeight="1">
      <c r="A106" s="791" t="s">
        <v>130</v>
      </c>
      <c r="B106" s="652"/>
      <c r="C106" s="402">
        <f t="shared" ref="C106:F106" ca="1" si="136">+C107+C108+C109+C110+C111+C112+C113+C114</f>
        <v>0</v>
      </c>
      <c r="D106" s="323">
        <f t="shared" ca="1" si="136"/>
        <v>0</v>
      </c>
      <c r="E106" s="323">
        <f t="shared" ca="1" si="136"/>
        <v>0</v>
      </c>
      <c r="F106" s="323">
        <f t="shared" si="136"/>
        <v>0</v>
      </c>
      <c r="G106" s="324">
        <f t="shared" ca="1" si="1"/>
        <v>0</v>
      </c>
      <c r="H106" s="323">
        <f t="shared" ref="H106:J106" si="137">+H107+H108+H109+H110+H111+H112+H113+H114</f>
        <v>0</v>
      </c>
      <c r="I106" s="323">
        <f t="shared" si="137"/>
        <v>0</v>
      </c>
      <c r="J106" s="323">
        <f t="shared" si="137"/>
        <v>0</v>
      </c>
      <c r="K106" s="324">
        <f t="shared" si="3"/>
        <v>0</v>
      </c>
      <c r="L106" s="323">
        <f t="shared" ref="L106:N106" ca="1" si="138">+L107+L108+L109+L110+L111+L112+L113+L114</f>
        <v>0</v>
      </c>
      <c r="M106" s="323">
        <f t="shared" si="138"/>
        <v>0</v>
      </c>
      <c r="N106" s="323">
        <f t="shared" si="138"/>
        <v>0</v>
      </c>
      <c r="O106" s="324">
        <f t="shared" ca="1" si="5"/>
        <v>0</v>
      </c>
      <c r="P106" s="323">
        <f t="shared" ref="P106:R106" ca="1" si="139">+P107+P108+P109+P110+P111+P112+P113+P114</f>
        <v>0</v>
      </c>
      <c r="Q106" s="323">
        <f t="shared" si="139"/>
        <v>0</v>
      </c>
      <c r="R106" s="323">
        <f t="shared" si="139"/>
        <v>0</v>
      </c>
      <c r="S106" s="362">
        <f t="shared" ca="1" si="7"/>
        <v>0</v>
      </c>
      <c r="T106" s="339"/>
      <c r="U106" s="339"/>
      <c r="V106" s="339"/>
      <c r="W106" s="339"/>
      <c r="X106" s="339"/>
      <c r="Y106" s="339"/>
      <c r="Z106" s="339"/>
    </row>
    <row r="107" spans="1:26" ht="24" hidden="1" customHeight="1">
      <c r="A107" s="325">
        <v>1</v>
      </c>
      <c r="B107" s="326" t="s">
        <v>131</v>
      </c>
      <c r="C107" s="388">
        <f t="shared" ref="C107:C114" ca="1" si="140">+D107+E107</f>
        <v>0</v>
      </c>
      <c r="D107" s="296">
        <f ca="1">IFERROR(__xludf.DUMMYFUNCTION("IMPORTRANGE(""https://docs.google.com/spreadsheets/d/1C3CXT74ZlgGe6_JY_1olB1XN4rF0dxEuIIF-xsYjHgg/edit?usp=sharing"",""งบกองทุน!DT111"")"),0)</f>
        <v>0</v>
      </c>
      <c r="E107" s="296">
        <f ca="1">IFERROR(__xludf.DUMMYFUNCTION("IMPORTRANGE(""https://docs.google.com/spreadsheets/d/1C3CXT74ZlgGe6_JY_1olB1XN4rF0dxEuIIF-xsYjHgg/edit?usp=sharing"",""งบกองทุน!DU111"")"),0)</f>
        <v>0</v>
      </c>
      <c r="F107" s="297">
        <v>0</v>
      </c>
      <c r="G107" s="297">
        <f t="shared" ca="1" si="1"/>
        <v>0</v>
      </c>
      <c r="H107" s="299">
        <v>0</v>
      </c>
      <c r="I107" s="299">
        <f t="shared" ref="I107:J107" si="141">SUM(M107,Q107)</f>
        <v>0</v>
      </c>
      <c r="J107" s="299">
        <f t="shared" si="141"/>
        <v>0</v>
      </c>
      <c r="K107" s="301">
        <f t="shared" si="3"/>
        <v>0</v>
      </c>
      <c r="L107" s="296">
        <f ca="1">IFERROR(__xludf.DUMMYFUNCTION("IMPORTRANGE(""https://docs.google.com/spreadsheets/d/1C3CXT74ZlgGe6_JY_1olB1XN4rF0dxEuIIF-xsYjHgg/edit?usp=sharing"",""งบกองทุน!DW111"")"),0)</f>
        <v>0</v>
      </c>
      <c r="M107" s="296">
        <v>0</v>
      </c>
      <c r="N107" s="296">
        <v>0</v>
      </c>
      <c r="O107" s="297">
        <f t="shared" ca="1" si="5"/>
        <v>0</v>
      </c>
      <c r="P107" s="296">
        <f ca="1">IFERROR(__xludf.DUMMYFUNCTION("IMPORTRANGE(""https://docs.google.com/spreadsheets/d/1C3CXT74ZlgGe6_JY_1olB1XN4rF0dxEuIIF-xsYjHgg/edit?usp=sharing"",""งบกองทุน!DY111"")"),0)</f>
        <v>0</v>
      </c>
      <c r="Q107" s="296">
        <v>0</v>
      </c>
      <c r="R107" s="296">
        <v>0</v>
      </c>
      <c r="S107" s="358">
        <f t="shared" ca="1" si="7"/>
        <v>0</v>
      </c>
      <c r="T107" s="339"/>
      <c r="U107" s="339"/>
      <c r="V107" s="339"/>
      <c r="W107" s="339"/>
      <c r="X107" s="339"/>
      <c r="Y107" s="339"/>
      <c r="Z107" s="339"/>
    </row>
    <row r="108" spans="1:26" ht="24" hidden="1" customHeight="1">
      <c r="A108" s="327">
        <v>2</v>
      </c>
      <c r="B108" s="328" t="s">
        <v>132</v>
      </c>
      <c r="C108" s="391">
        <f t="shared" ca="1" si="140"/>
        <v>0</v>
      </c>
      <c r="D108" s="306">
        <f ca="1">IFERROR(__xludf.DUMMYFUNCTION("IMPORTRANGE(""https://docs.google.com/spreadsheets/d/1C3CXT74ZlgGe6_JY_1olB1XN4rF0dxEuIIF-xsYjHgg/edit?usp=sharing"",""งบกองทุน!DT112"")"),0)</f>
        <v>0</v>
      </c>
      <c r="E108" s="306">
        <f ca="1">IFERROR(__xludf.DUMMYFUNCTION("IMPORTRANGE(""https://docs.google.com/spreadsheets/d/1C3CXT74ZlgGe6_JY_1olB1XN4rF0dxEuIIF-xsYjHgg/edit?usp=sharing"",""งบกองทุน!DU112"")"),0)</f>
        <v>0</v>
      </c>
      <c r="F108" s="307">
        <v>0</v>
      </c>
      <c r="G108" s="307">
        <f t="shared" ca="1" si="1"/>
        <v>0</v>
      </c>
      <c r="H108" s="308">
        <v>0</v>
      </c>
      <c r="I108" s="308">
        <f t="shared" ref="I108:J108" si="142">SUM(M108,Q108)</f>
        <v>0</v>
      </c>
      <c r="J108" s="308">
        <f t="shared" si="142"/>
        <v>0</v>
      </c>
      <c r="K108" s="309">
        <f t="shared" si="3"/>
        <v>0</v>
      </c>
      <c r="L108" s="306">
        <f ca="1">IFERROR(__xludf.DUMMYFUNCTION("IMPORTRANGE(""https://docs.google.com/spreadsheets/d/1C3CXT74ZlgGe6_JY_1olB1XN4rF0dxEuIIF-xsYjHgg/edit?usp=sharing"",""งบกองทุน!DW112"")"),0)</f>
        <v>0</v>
      </c>
      <c r="M108" s="306">
        <v>0</v>
      </c>
      <c r="N108" s="306">
        <v>0</v>
      </c>
      <c r="O108" s="307">
        <f t="shared" ca="1" si="5"/>
        <v>0</v>
      </c>
      <c r="P108" s="306">
        <f ca="1">IFERROR(__xludf.DUMMYFUNCTION("IMPORTRANGE(""https://docs.google.com/spreadsheets/d/1C3CXT74ZlgGe6_JY_1olB1XN4rF0dxEuIIF-xsYjHgg/edit?usp=sharing"",""งบกองทุน!DY112"")"),0)</f>
        <v>0</v>
      </c>
      <c r="Q108" s="306">
        <v>0</v>
      </c>
      <c r="R108" s="306">
        <v>0</v>
      </c>
      <c r="S108" s="359">
        <f t="shared" ca="1" si="7"/>
        <v>0</v>
      </c>
      <c r="T108" s="339"/>
      <c r="U108" s="339"/>
      <c r="V108" s="339"/>
      <c r="W108" s="339"/>
      <c r="X108" s="339"/>
      <c r="Y108" s="339"/>
      <c r="Z108" s="339"/>
    </row>
    <row r="109" spans="1:26" ht="24" hidden="1" customHeight="1">
      <c r="A109" s="327">
        <v>3</v>
      </c>
      <c r="B109" s="328" t="s">
        <v>133</v>
      </c>
      <c r="C109" s="391">
        <f t="shared" ca="1" si="140"/>
        <v>0</v>
      </c>
      <c r="D109" s="306">
        <f ca="1">IFERROR(__xludf.DUMMYFUNCTION("IMPORTRANGE(""https://docs.google.com/spreadsheets/d/1C3CXT74ZlgGe6_JY_1olB1XN4rF0dxEuIIF-xsYjHgg/edit?usp=sharing"",""งบกองทุน!DT113"")"),0)</f>
        <v>0</v>
      </c>
      <c r="E109" s="306">
        <f ca="1">IFERROR(__xludf.DUMMYFUNCTION("IMPORTRANGE(""https://docs.google.com/spreadsheets/d/1C3CXT74ZlgGe6_JY_1olB1XN4rF0dxEuIIF-xsYjHgg/edit?usp=sharing"",""งบกองทุน!DU113"")"),0)</f>
        <v>0</v>
      </c>
      <c r="F109" s="307">
        <v>0</v>
      </c>
      <c r="G109" s="307">
        <f t="shared" ca="1" si="1"/>
        <v>0</v>
      </c>
      <c r="H109" s="308">
        <v>0</v>
      </c>
      <c r="I109" s="308">
        <f t="shared" ref="I109:J109" si="143">SUM(M109,Q109)</f>
        <v>0</v>
      </c>
      <c r="J109" s="308">
        <f t="shared" si="143"/>
        <v>0</v>
      </c>
      <c r="K109" s="309">
        <f t="shared" si="3"/>
        <v>0</v>
      </c>
      <c r="L109" s="306">
        <f ca="1">IFERROR(__xludf.DUMMYFUNCTION("IMPORTRANGE(""https://docs.google.com/spreadsheets/d/1C3CXT74ZlgGe6_JY_1olB1XN4rF0dxEuIIF-xsYjHgg/edit?usp=sharing"",""งบกองทุน!DW113"")"),0)</f>
        <v>0</v>
      </c>
      <c r="M109" s="306">
        <v>0</v>
      </c>
      <c r="N109" s="306">
        <v>0</v>
      </c>
      <c r="O109" s="307">
        <f t="shared" ca="1" si="5"/>
        <v>0</v>
      </c>
      <c r="P109" s="306">
        <f ca="1">IFERROR(__xludf.DUMMYFUNCTION("IMPORTRANGE(""https://docs.google.com/spreadsheets/d/1C3CXT74ZlgGe6_JY_1olB1XN4rF0dxEuIIF-xsYjHgg/edit?usp=sharing"",""งบกองทุน!DY113"")"),0)</f>
        <v>0</v>
      </c>
      <c r="Q109" s="306">
        <v>0</v>
      </c>
      <c r="R109" s="306">
        <v>0</v>
      </c>
      <c r="S109" s="359">
        <f t="shared" ca="1" si="7"/>
        <v>0</v>
      </c>
      <c r="T109" s="339"/>
      <c r="U109" s="339"/>
      <c r="V109" s="339"/>
      <c r="W109" s="339"/>
      <c r="X109" s="339"/>
      <c r="Y109" s="339"/>
      <c r="Z109" s="339"/>
    </row>
    <row r="110" spans="1:26" ht="24" hidden="1" customHeight="1">
      <c r="A110" s="327">
        <f t="shared" ref="A110:A112" si="144">+A109+1</f>
        <v>4</v>
      </c>
      <c r="B110" s="328" t="s">
        <v>134</v>
      </c>
      <c r="C110" s="391">
        <f t="shared" ca="1" si="140"/>
        <v>0</v>
      </c>
      <c r="D110" s="306">
        <f ca="1">IFERROR(__xludf.DUMMYFUNCTION("IMPORTRANGE(""https://docs.google.com/spreadsheets/d/1C3CXT74ZlgGe6_JY_1olB1XN4rF0dxEuIIF-xsYjHgg/edit?usp=sharing"",""งบกองทุน!DT114"")"),0)</f>
        <v>0</v>
      </c>
      <c r="E110" s="306">
        <f ca="1">IFERROR(__xludf.DUMMYFUNCTION("IMPORTRANGE(""https://docs.google.com/spreadsheets/d/1C3CXT74ZlgGe6_JY_1olB1XN4rF0dxEuIIF-xsYjHgg/edit?usp=sharing"",""งบกองทุน!DU114"")"),0)</f>
        <v>0</v>
      </c>
      <c r="F110" s="307">
        <v>0</v>
      </c>
      <c r="G110" s="307">
        <f t="shared" ca="1" si="1"/>
        <v>0</v>
      </c>
      <c r="H110" s="308">
        <v>0</v>
      </c>
      <c r="I110" s="308">
        <f t="shared" ref="I110:J110" si="145">SUM(M110,Q110)</f>
        <v>0</v>
      </c>
      <c r="J110" s="308">
        <f t="shared" si="145"/>
        <v>0</v>
      </c>
      <c r="K110" s="309">
        <f t="shared" si="3"/>
        <v>0</v>
      </c>
      <c r="L110" s="306">
        <f ca="1">IFERROR(__xludf.DUMMYFUNCTION("IMPORTRANGE(""https://docs.google.com/spreadsheets/d/1C3CXT74ZlgGe6_JY_1olB1XN4rF0dxEuIIF-xsYjHgg/edit?usp=sharing"",""งบกองทุน!DW114"")"),0)</f>
        <v>0</v>
      </c>
      <c r="M110" s="306">
        <v>0</v>
      </c>
      <c r="N110" s="306">
        <v>0</v>
      </c>
      <c r="O110" s="307">
        <f t="shared" ca="1" si="5"/>
        <v>0</v>
      </c>
      <c r="P110" s="306">
        <f ca="1">IFERROR(__xludf.DUMMYFUNCTION("IMPORTRANGE(""https://docs.google.com/spreadsheets/d/1C3CXT74ZlgGe6_JY_1olB1XN4rF0dxEuIIF-xsYjHgg/edit?usp=sharing"",""งบกองทุน!DY114"")"),0)</f>
        <v>0</v>
      </c>
      <c r="Q110" s="306">
        <v>0</v>
      </c>
      <c r="R110" s="306">
        <v>0</v>
      </c>
      <c r="S110" s="359">
        <f t="shared" ca="1" si="7"/>
        <v>0</v>
      </c>
      <c r="T110" s="339"/>
      <c r="U110" s="339"/>
      <c r="V110" s="339"/>
      <c r="W110" s="339"/>
      <c r="X110" s="339"/>
      <c r="Y110" s="339"/>
      <c r="Z110" s="339"/>
    </row>
    <row r="111" spans="1:26" ht="24" hidden="1" customHeight="1">
      <c r="A111" s="327">
        <f t="shared" si="144"/>
        <v>5</v>
      </c>
      <c r="B111" s="328" t="s">
        <v>135</v>
      </c>
      <c r="C111" s="391">
        <f t="shared" ca="1" si="140"/>
        <v>0</v>
      </c>
      <c r="D111" s="306">
        <f ca="1">IFERROR(__xludf.DUMMYFUNCTION("IMPORTRANGE(""https://docs.google.com/spreadsheets/d/1C3CXT74ZlgGe6_JY_1olB1XN4rF0dxEuIIF-xsYjHgg/edit?usp=sharing"",""งบกองทุน!DT115"")"),0)</f>
        <v>0</v>
      </c>
      <c r="E111" s="306">
        <f ca="1">IFERROR(__xludf.DUMMYFUNCTION("IMPORTRANGE(""https://docs.google.com/spreadsheets/d/1C3CXT74ZlgGe6_JY_1olB1XN4rF0dxEuIIF-xsYjHgg/edit?usp=sharing"",""งบกองทุน!DU115"")"),0)</f>
        <v>0</v>
      </c>
      <c r="F111" s="307">
        <v>0</v>
      </c>
      <c r="G111" s="307">
        <f t="shared" ca="1" si="1"/>
        <v>0</v>
      </c>
      <c r="H111" s="308">
        <v>0</v>
      </c>
      <c r="I111" s="308">
        <f t="shared" ref="I111:J111" si="146">SUM(M111,Q111)</f>
        <v>0</v>
      </c>
      <c r="J111" s="308">
        <f t="shared" si="146"/>
        <v>0</v>
      </c>
      <c r="K111" s="309">
        <f t="shared" si="3"/>
        <v>0</v>
      </c>
      <c r="L111" s="306">
        <f ca="1">IFERROR(__xludf.DUMMYFUNCTION("IMPORTRANGE(""https://docs.google.com/spreadsheets/d/1C3CXT74ZlgGe6_JY_1olB1XN4rF0dxEuIIF-xsYjHgg/edit?usp=sharing"",""งบกองทุน!DW115"")"),0)</f>
        <v>0</v>
      </c>
      <c r="M111" s="306">
        <v>0</v>
      </c>
      <c r="N111" s="306">
        <v>0</v>
      </c>
      <c r="O111" s="307">
        <f t="shared" ca="1" si="5"/>
        <v>0</v>
      </c>
      <c r="P111" s="306">
        <f ca="1">IFERROR(__xludf.DUMMYFUNCTION("IMPORTRANGE(""https://docs.google.com/spreadsheets/d/1C3CXT74ZlgGe6_JY_1olB1XN4rF0dxEuIIF-xsYjHgg/edit?usp=sharing"",""งบกองทุน!DY115"")"),0)</f>
        <v>0</v>
      </c>
      <c r="Q111" s="306">
        <v>0</v>
      </c>
      <c r="R111" s="306">
        <v>0</v>
      </c>
      <c r="S111" s="359">
        <f t="shared" ca="1" si="7"/>
        <v>0</v>
      </c>
      <c r="T111" s="339"/>
      <c r="U111" s="339"/>
      <c r="V111" s="339"/>
      <c r="W111" s="339"/>
      <c r="X111" s="339"/>
      <c r="Y111" s="339"/>
      <c r="Z111" s="339"/>
    </row>
    <row r="112" spans="1:26" ht="24" hidden="1" customHeight="1">
      <c r="A112" s="327">
        <f t="shared" si="144"/>
        <v>6</v>
      </c>
      <c r="B112" s="328" t="s">
        <v>136</v>
      </c>
      <c r="C112" s="391">
        <f t="shared" ca="1" si="140"/>
        <v>0</v>
      </c>
      <c r="D112" s="306">
        <f ca="1">IFERROR(__xludf.DUMMYFUNCTION("IMPORTRANGE(""https://docs.google.com/spreadsheets/d/1C3CXT74ZlgGe6_JY_1olB1XN4rF0dxEuIIF-xsYjHgg/edit?usp=sharing"",""งบกองทุน!DT116"")"),0)</f>
        <v>0</v>
      </c>
      <c r="E112" s="306">
        <f ca="1">IFERROR(__xludf.DUMMYFUNCTION("IMPORTRANGE(""https://docs.google.com/spreadsheets/d/1C3CXT74ZlgGe6_JY_1olB1XN4rF0dxEuIIF-xsYjHgg/edit?usp=sharing"",""งบกองทุน!DU116"")"),0)</f>
        <v>0</v>
      </c>
      <c r="F112" s="307">
        <v>0</v>
      </c>
      <c r="G112" s="307">
        <f t="shared" ca="1" si="1"/>
        <v>0</v>
      </c>
      <c r="H112" s="308">
        <v>0</v>
      </c>
      <c r="I112" s="308">
        <f t="shared" ref="I112:J112" si="147">SUM(M112,Q112)</f>
        <v>0</v>
      </c>
      <c r="J112" s="308">
        <f t="shared" si="147"/>
        <v>0</v>
      </c>
      <c r="K112" s="309">
        <f t="shared" si="3"/>
        <v>0</v>
      </c>
      <c r="L112" s="306">
        <f ca="1">IFERROR(__xludf.DUMMYFUNCTION("IMPORTRANGE(""https://docs.google.com/spreadsheets/d/1C3CXT74ZlgGe6_JY_1olB1XN4rF0dxEuIIF-xsYjHgg/edit?usp=sharing"",""งบกองทุน!DW116"")"),0)</f>
        <v>0</v>
      </c>
      <c r="M112" s="306">
        <v>0</v>
      </c>
      <c r="N112" s="306">
        <v>0</v>
      </c>
      <c r="O112" s="307">
        <f t="shared" ca="1" si="5"/>
        <v>0</v>
      </c>
      <c r="P112" s="306">
        <f ca="1">IFERROR(__xludf.DUMMYFUNCTION("IMPORTRANGE(""https://docs.google.com/spreadsheets/d/1C3CXT74ZlgGe6_JY_1olB1XN4rF0dxEuIIF-xsYjHgg/edit?usp=sharing"",""งบกองทุน!DY116"")"),0)</f>
        <v>0</v>
      </c>
      <c r="Q112" s="306">
        <v>0</v>
      </c>
      <c r="R112" s="306">
        <v>0</v>
      </c>
      <c r="S112" s="359">
        <f t="shared" ca="1" si="7"/>
        <v>0</v>
      </c>
      <c r="T112" s="339"/>
      <c r="U112" s="339"/>
      <c r="V112" s="339"/>
      <c r="W112" s="339"/>
      <c r="X112" s="339"/>
      <c r="Y112" s="339"/>
      <c r="Z112" s="339"/>
    </row>
    <row r="113" spans="1:26" ht="24" hidden="1" customHeight="1">
      <c r="A113" s="327">
        <v>7</v>
      </c>
      <c r="B113" s="328" t="s">
        <v>140</v>
      </c>
      <c r="C113" s="391">
        <f t="shared" ca="1" si="140"/>
        <v>0</v>
      </c>
      <c r="D113" s="306">
        <f ca="1">IFERROR(__xludf.DUMMYFUNCTION("IMPORTRANGE(""https://docs.google.com/spreadsheets/d/1C3CXT74ZlgGe6_JY_1olB1XN4rF0dxEuIIF-xsYjHgg/edit?usp=sharing"",""งบกองทุน!DT117"")"),0)</f>
        <v>0</v>
      </c>
      <c r="E113" s="306">
        <f ca="1">IFERROR(__xludf.DUMMYFUNCTION("IMPORTRANGE(""https://docs.google.com/spreadsheets/d/1C3CXT74ZlgGe6_JY_1olB1XN4rF0dxEuIIF-xsYjHgg/edit?usp=sharing"",""งบกองทุน!DU117"")"),0)</f>
        <v>0</v>
      </c>
      <c r="F113" s="307">
        <v>0</v>
      </c>
      <c r="G113" s="307">
        <f t="shared" ca="1" si="1"/>
        <v>0</v>
      </c>
      <c r="H113" s="308">
        <v>0</v>
      </c>
      <c r="I113" s="308">
        <f t="shared" ref="I113:J113" si="148">SUM(M113,Q113)</f>
        <v>0</v>
      </c>
      <c r="J113" s="308">
        <f t="shared" si="148"/>
        <v>0</v>
      </c>
      <c r="K113" s="309">
        <f t="shared" si="3"/>
        <v>0</v>
      </c>
      <c r="L113" s="306">
        <f ca="1">IFERROR(__xludf.DUMMYFUNCTION("IMPORTRANGE(""https://docs.google.com/spreadsheets/d/1C3CXT74ZlgGe6_JY_1olB1XN4rF0dxEuIIF-xsYjHgg/edit?usp=sharing"",""งบกองทุน!DW117"")"),0)</f>
        <v>0</v>
      </c>
      <c r="M113" s="306">
        <v>0</v>
      </c>
      <c r="N113" s="306">
        <v>0</v>
      </c>
      <c r="O113" s="307">
        <f t="shared" ca="1" si="5"/>
        <v>0</v>
      </c>
      <c r="P113" s="306">
        <f ca="1">IFERROR(__xludf.DUMMYFUNCTION("IMPORTRANGE(""https://docs.google.com/spreadsheets/d/1C3CXT74ZlgGe6_JY_1olB1XN4rF0dxEuIIF-xsYjHgg/edit?usp=sharing"",""งบกองทุน!DY117"")"),0)</f>
        <v>0</v>
      </c>
      <c r="Q113" s="306">
        <v>0</v>
      </c>
      <c r="R113" s="306">
        <v>0</v>
      </c>
      <c r="S113" s="359">
        <f t="shared" ca="1" si="7"/>
        <v>0</v>
      </c>
      <c r="T113" s="339"/>
      <c r="U113" s="339"/>
      <c r="V113" s="339"/>
      <c r="W113" s="339"/>
      <c r="X113" s="339"/>
      <c r="Y113" s="339"/>
      <c r="Z113" s="339"/>
    </row>
    <row r="114" spans="1:26" ht="24" hidden="1" customHeight="1">
      <c r="A114" s="329">
        <v>8</v>
      </c>
      <c r="B114" s="330" t="s">
        <v>141</v>
      </c>
      <c r="C114" s="403">
        <f t="shared" ca="1" si="140"/>
        <v>0</v>
      </c>
      <c r="D114" s="332">
        <f ca="1">IFERROR(__xludf.DUMMYFUNCTION("IMPORTRANGE(""https://docs.google.com/spreadsheets/d/1C3CXT74ZlgGe6_JY_1olB1XN4rF0dxEuIIF-xsYjHgg/edit?usp=sharing"",""งบกองทุน!DT118"")"),0)</f>
        <v>0</v>
      </c>
      <c r="E114" s="332">
        <f ca="1">IFERROR(__xludf.DUMMYFUNCTION("IMPORTRANGE(""https://docs.google.com/spreadsheets/d/1C3CXT74ZlgGe6_JY_1olB1XN4rF0dxEuIIF-xsYjHgg/edit?usp=sharing"",""งบกองทุน!DU118"")"),0)</f>
        <v>0</v>
      </c>
      <c r="F114" s="333">
        <v>0</v>
      </c>
      <c r="G114" s="333">
        <f t="shared" ca="1" si="1"/>
        <v>0</v>
      </c>
      <c r="H114" s="334">
        <v>0</v>
      </c>
      <c r="I114" s="334">
        <f t="shared" ref="I114:J114" si="149">SUM(M114,Q114)</f>
        <v>0</v>
      </c>
      <c r="J114" s="334">
        <f t="shared" si="149"/>
        <v>0</v>
      </c>
      <c r="K114" s="335">
        <f t="shared" si="3"/>
        <v>0</v>
      </c>
      <c r="L114" s="332">
        <f ca="1">IFERROR(__xludf.DUMMYFUNCTION("IMPORTRANGE(""https://docs.google.com/spreadsheets/d/1C3CXT74ZlgGe6_JY_1olB1XN4rF0dxEuIIF-xsYjHgg/edit?usp=sharing"",""งบกองทุน!DW118"")"),0)</f>
        <v>0</v>
      </c>
      <c r="M114" s="332">
        <v>0</v>
      </c>
      <c r="N114" s="332">
        <v>0</v>
      </c>
      <c r="O114" s="333">
        <f t="shared" ca="1" si="5"/>
        <v>0</v>
      </c>
      <c r="P114" s="332">
        <f ca="1">IFERROR(__xludf.DUMMYFUNCTION("IMPORTRANGE(""https://docs.google.com/spreadsheets/d/1C3CXT74ZlgGe6_JY_1olB1XN4rF0dxEuIIF-xsYjHgg/edit?usp=sharing"",""งบกองทุน!DY118"")"),0)</f>
        <v>0</v>
      </c>
      <c r="Q114" s="332">
        <v>0</v>
      </c>
      <c r="R114" s="332">
        <v>0</v>
      </c>
      <c r="S114" s="363">
        <f t="shared" ca="1" si="7"/>
        <v>0</v>
      </c>
      <c r="T114" s="339"/>
      <c r="U114" s="339"/>
      <c r="V114" s="339"/>
      <c r="W114" s="339"/>
      <c r="X114" s="339"/>
      <c r="Y114" s="339"/>
      <c r="Z114" s="339"/>
    </row>
    <row r="115" spans="1:26" ht="24" customHeight="1">
      <c r="A115" s="336"/>
      <c r="B115" s="336"/>
      <c r="C115" s="336"/>
      <c r="D115" s="336"/>
      <c r="E115" s="336"/>
      <c r="F115" s="336"/>
      <c r="G115" s="336"/>
      <c r="H115" s="336"/>
      <c r="I115" s="338"/>
      <c r="J115" s="338"/>
      <c r="K115" s="337"/>
      <c r="L115" s="336"/>
      <c r="M115" s="338"/>
      <c r="N115" s="338"/>
      <c r="O115" s="337"/>
      <c r="P115" s="336"/>
      <c r="Q115" s="338"/>
      <c r="R115" s="336"/>
      <c r="S115" s="337"/>
      <c r="T115" s="339"/>
      <c r="U115" s="339"/>
      <c r="V115" s="339"/>
      <c r="W115" s="339"/>
      <c r="X115" s="339"/>
      <c r="Y115" s="339"/>
      <c r="Z115" s="339"/>
    </row>
    <row r="116" spans="1:26" ht="24" customHeight="1">
      <c r="A116" s="336"/>
      <c r="B116" s="336"/>
      <c r="C116" s="336"/>
      <c r="D116" s="336"/>
      <c r="E116" s="336"/>
      <c r="F116" s="336"/>
      <c r="G116" s="336"/>
      <c r="H116" s="336"/>
      <c r="I116" s="338"/>
      <c r="J116" s="338"/>
      <c r="K116" s="337"/>
      <c r="L116" s="336"/>
      <c r="M116" s="338"/>
      <c r="N116" s="338"/>
      <c r="O116" s="337"/>
      <c r="P116" s="336"/>
      <c r="Q116" s="338"/>
      <c r="R116" s="336"/>
      <c r="S116" s="337"/>
      <c r="T116" s="339"/>
      <c r="U116" s="339"/>
      <c r="V116" s="339"/>
      <c r="W116" s="339"/>
      <c r="X116" s="339"/>
      <c r="Y116" s="339"/>
      <c r="Z116" s="339"/>
    </row>
    <row r="117" spans="1:26" ht="24" customHeight="1">
      <c r="A117" s="336"/>
      <c r="B117" s="336"/>
      <c r="C117" s="336"/>
      <c r="D117" s="336"/>
      <c r="E117" s="336"/>
      <c r="F117" s="336"/>
      <c r="G117" s="336"/>
      <c r="H117" s="336"/>
      <c r="I117" s="338"/>
      <c r="J117" s="338"/>
      <c r="K117" s="337"/>
      <c r="L117" s="336"/>
      <c r="M117" s="338"/>
      <c r="N117" s="338"/>
      <c r="O117" s="337"/>
      <c r="P117" s="336"/>
      <c r="Q117" s="338"/>
      <c r="R117" s="336"/>
      <c r="S117" s="337"/>
      <c r="T117" s="339"/>
      <c r="U117" s="339"/>
      <c r="V117" s="339"/>
      <c r="W117" s="339"/>
      <c r="X117" s="339"/>
      <c r="Y117" s="339"/>
      <c r="Z117" s="339"/>
    </row>
    <row r="118" spans="1:26" ht="24" customHeight="1">
      <c r="A118" s="336"/>
      <c r="B118" s="336"/>
      <c r="C118" s="336"/>
      <c r="D118" s="336"/>
      <c r="E118" s="336"/>
      <c r="F118" s="336"/>
      <c r="G118" s="336"/>
      <c r="H118" s="336"/>
      <c r="I118" s="338"/>
      <c r="J118" s="338"/>
      <c r="K118" s="337"/>
      <c r="L118" s="336"/>
      <c r="M118" s="338"/>
      <c r="N118" s="338"/>
      <c r="O118" s="337"/>
      <c r="P118" s="336"/>
      <c r="Q118" s="338"/>
      <c r="R118" s="336"/>
      <c r="S118" s="337"/>
      <c r="T118" s="339"/>
      <c r="U118" s="339"/>
      <c r="V118" s="339"/>
      <c r="W118" s="339"/>
      <c r="X118" s="339"/>
      <c r="Y118" s="339"/>
      <c r="Z118" s="339"/>
    </row>
    <row r="119" spans="1:26" ht="24" customHeight="1">
      <c r="A119" s="336"/>
      <c r="B119" s="336"/>
      <c r="C119" s="336"/>
      <c r="D119" s="336"/>
      <c r="E119" s="336"/>
      <c r="F119" s="336"/>
      <c r="G119" s="336"/>
      <c r="H119" s="336"/>
      <c r="I119" s="338"/>
      <c r="J119" s="338"/>
      <c r="K119" s="337"/>
      <c r="L119" s="336"/>
      <c r="M119" s="338"/>
      <c r="N119" s="338"/>
      <c r="O119" s="337"/>
      <c r="P119" s="336"/>
      <c r="Q119" s="338"/>
      <c r="R119" s="336"/>
      <c r="S119" s="337"/>
      <c r="T119" s="339"/>
      <c r="U119" s="339"/>
      <c r="V119" s="339"/>
      <c r="W119" s="339"/>
      <c r="X119" s="339"/>
      <c r="Y119" s="339"/>
      <c r="Z119" s="339"/>
    </row>
    <row r="120" spans="1:26" ht="24" customHeight="1">
      <c r="A120" s="336"/>
      <c r="B120" s="336"/>
      <c r="C120" s="336"/>
      <c r="D120" s="336"/>
      <c r="E120" s="336"/>
      <c r="F120" s="336"/>
      <c r="G120" s="336"/>
      <c r="H120" s="336"/>
      <c r="I120" s="338"/>
      <c r="J120" s="338"/>
      <c r="K120" s="337"/>
      <c r="L120" s="336"/>
      <c r="M120" s="338"/>
      <c r="N120" s="338"/>
      <c r="O120" s="337"/>
      <c r="P120" s="336"/>
      <c r="Q120" s="338"/>
      <c r="R120" s="336"/>
      <c r="S120" s="337"/>
      <c r="T120" s="339"/>
      <c r="U120" s="339"/>
      <c r="V120" s="339"/>
      <c r="W120" s="339"/>
      <c r="X120" s="339"/>
      <c r="Y120" s="339"/>
      <c r="Z120" s="339"/>
    </row>
    <row r="121" spans="1:26" ht="24" customHeight="1">
      <c r="A121" s="336"/>
      <c r="B121" s="336"/>
      <c r="C121" s="336"/>
      <c r="D121" s="336"/>
      <c r="E121" s="336"/>
      <c r="F121" s="336"/>
      <c r="G121" s="336"/>
      <c r="H121" s="336"/>
      <c r="I121" s="338"/>
      <c r="J121" s="338"/>
      <c r="K121" s="337"/>
      <c r="L121" s="336"/>
      <c r="M121" s="338"/>
      <c r="N121" s="338"/>
      <c r="O121" s="337"/>
      <c r="P121" s="336"/>
      <c r="Q121" s="338"/>
      <c r="R121" s="336"/>
      <c r="S121" s="337"/>
      <c r="T121" s="339"/>
      <c r="U121" s="339"/>
      <c r="V121" s="339"/>
      <c r="W121" s="339"/>
      <c r="X121" s="339"/>
      <c r="Y121" s="339"/>
      <c r="Z121" s="339"/>
    </row>
    <row r="122" spans="1:26" ht="24" customHeight="1">
      <c r="A122" s="336"/>
      <c r="B122" s="336"/>
      <c r="C122" s="336"/>
      <c r="D122" s="336"/>
      <c r="E122" s="336"/>
      <c r="F122" s="336"/>
      <c r="G122" s="336"/>
      <c r="H122" s="336"/>
      <c r="I122" s="338"/>
      <c r="J122" s="338"/>
      <c r="K122" s="337"/>
      <c r="L122" s="336"/>
      <c r="M122" s="338"/>
      <c r="N122" s="338"/>
      <c r="O122" s="337"/>
      <c r="P122" s="336"/>
      <c r="Q122" s="338"/>
      <c r="R122" s="336"/>
      <c r="S122" s="337"/>
      <c r="T122" s="339"/>
      <c r="U122" s="339"/>
      <c r="V122" s="339"/>
      <c r="W122" s="339"/>
      <c r="X122" s="339"/>
      <c r="Y122" s="339"/>
      <c r="Z122" s="339"/>
    </row>
    <row r="123" spans="1:26" ht="24" customHeight="1">
      <c r="A123" s="336"/>
      <c r="B123" s="336"/>
      <c r="C123" s="336"/>
      <c r="D123" s="336"/>
      <c r="E123" s="336"/>
      <c r="F123" s="336"/>
      <c r="G123" s="336"/>
      <c r="H123" s="336"/>
      <c r="I123" s="338"/>
      <c r="J123" s="338"/>
      <c r="K123" s="337"/>
      <c r="L123" s="336"/>
      <c r="M123" s="338"/>
      <c r="N123" s="338"/>
      <c r="O123" s="337"/>
      <c r="P123" s="336"/>
      <c r="Q123" s="338"/>
      <c r="R123" s="336"/>
      <c r="S123" s="337"/>
      <c r="T123" s="339"/>
      <c r="U123" s="339"/>
      <c r="V123" s="339"/>
      <c r="W123" s="339"/>
      <c r="X123" s="339"/>
      <c r="Y123" s="339"/>
      <c r="Z123" s="339"/>
    </row>
    <row r="124" spans="1:26" ht="24" customHeight="1">
      <c r="A124" s="336"/>
      <c r="B124" s="336"/>
      <c r="C124" s="336"/>
      <c r="D124" s="336"/>
      <c r="E124" s="336"/>
      <c r="F124" s="336"/>
      <c r="G124" s="336"/>
      <c r="H124" s="336"/>
      <c r="I124" s="338"/>
      <c r="J124" s="338"/>
      <c r="K124" s="337"/>
      <c r="L124" s="336"/>
      <c r="M124" s="338"/>
      <c r="N124" s="338"/>
      <c r="O124" s="337"/>
      <c r="P124" s="336"/>
      <c r="Q124" s="338"/>
      <c r="R124" s="336"/>
      <c r="S124" s="337"/>
      <c r="T124" s="339"/>
      <c r="U124" s="339"/>
      <c r="V124" s="339"/>
      <c r="W124" s="339"/>
      <c r="X124" s="339"/>
      <c r="Y124" s="339"/>
      <c r="Z124" s="339"/>
    </row>
    <row r="125" spans="1:26" ht="24" customHeight="1">
      <c r="A125" s="336"/>
      <c r="B125" s="336"/>
      <c r="C125" s="336"/>
      <c r="D125" s="336"/>
      <c r="E125" s="336"/>
      <c r="F125" s="336"/>
      <c r="G125" s="336"/>
      <c r="H125" s="336"/>
      <c r="I125" s="338"/>
      <c r="J125" s="338"/>
      <c r="K125" s="337"/>
      <c r="L125" s="336"/>
      <c r="M125" s="338"/>
      <c r="N125" s="338"/>
      <c r="O125" s="337"/>
      <c r="P125" s="336"/>
      <c r="Q125" s="338"/>
      <c r="R125" s="336"/>
      <c r="S125" s="337"/>
      <c r="T125" s="339"/>
      <c r="U125" s="339"/>
      <c r="V125" s="339"/>
      <c r="W125" s="339"/>
      <c r="X125" s="339"/>
      <c r="Y125" s="339"/>
      <c r="Z125" s="339"/>
    </row>
    <row r="126" spans="1:26" ht="24" customHeight="1">
      <c r="A126" s="336"/>
      <c r="B126" s="336"/>
      <c r="C126" s="336"/>
      <c r="D126" s="336"/>
      <c r="E126" s="336"/>
      <c r="F126" s="336"/>
      <c r="G126" s="336"/>
      <c r="H126" s="336"/>
      <c r="I126" s="338"/>
      <c r="J126" s="338"/>
      <c r="K126" s="337"/>
      <c r="L126" s="336"/>
      <c r="M126" s="338"/>
      <c r="N126" s="338"/>
      <c r="O126" s="337"/>
      <c r="P126" s="336"/>
      <c r="Q126" s="338"/>
      <c r="R126" s="336"/>
      <c r="S126" s="337"/>
      <c r="T126" s="339"/>
      <c r="U126" s="339"/>
      <c r="V126" s="339"/>
      <c r="W126" s="339"/>
      <c r="X126" s="339"/>
      <c r="Y126" s="339"/>
      <c r="Z126" s="339"/>
    </row>
    <row r="127" spans="1:26" ht="24" customHeight="1">
      <c r="A127" s="336"/>
      <c r="B127" s="336"/>
      <c r="C127" s="336"/>
      <c r="D127" s="336"/>
      <c r="E127" s="336"/>
      <c r="F127" s="336"/>
      <c r="G127" s="336"/>
      <c r="H127" s="336"/>
      <c r="I127" s="338"/>
      <c r="J127" s="338"/>
      <c r="K127" s="337"/>
      <c r="L127" s="336"/>
      <c r="M127" s="338"/>
      <c r="N127" s="338"/>
      <c r="O127" s="337"/>
      <c r="P127" s="336"/>
      <c r="Q127" s="338"/>
      <c r="R127" s="336"/>
      <c r="S127" s="337"/>
      <c r="T127" s="339"/>
      <c r="U127" s="339"/>
      <c r="V127" s="339"/>
      <c r="W127" s="339"/>
      <c r="X127" s="339"/>
      <c r="Y127" s="339"/>
      <c r="Z127" s="339"/>
    </row>
    <row r="128" spans="1:26" ht="24" customHeight="1">
      <c r="A128" s="336"/>
      <c r="B128" s="336"/>
      <c r="C128" s="336"/>
      <c r="D128" s="336"/>
      <c r="E128" s="336"/>
      <c r="F128" s="336"/>
      <c r="G128" s="336"/>
      <c r="H128" s="336"/>
      <c r="I128" s="338"/>
      <c r="J128" s="338"/>
      <c r="K128" s="337"/>
      <c r="L128" s="336"/>
      <c r="M128" s="338"/>
      <c r="N128" s="338"/>
      <c r="O128" s="337"/>
      <c r="P128" s="336"/>
      <c r="Q128" s="338"/>
      <c r="R128" s="336"/>
      <c r="S128" s="337"/>
      <c r="T128" s="339"/>
      <c r="U128" s="339"/>
      <c r="V128" s="339"/>
      <c r="W128" s="339"/>
      <c r="X128" s="339"/>
      <c r="Y128" s="339"/>
      <c r="Z128" s="339"/>
    </row>
    <row r="129" spans="1:26" ht="24" customHeight="1">
      <c r="A129" s="336"/>
      <c r="B129" s="336"/>
      <c r="C129" s="336"/>
      <c r="D129" s="336"/>
      <c r="E129" s="336"/>
      <c r="F129" s="336"/>
      <c r="G129" s="336"/>
      <c r="H129" s="336"/>
      <c r="I129" s="338"/>
      <c r="J129" s="338"/>
      <c r="K129" s="337"/>
      <c r="L129" s="336"/>
      <c r="M129" s="338"/>
      <c r="N129" s="338"/>
      <c r="O129" s="337"/>
      <c r="P129" s="336"/>
      <c r="Q129" s="338"/>
      <c r="R129" s="336"/>
      <c r="S129" s="337"/>
      <c r="T129" s="339"/>
      <c r="U129" s="339"/>
      <c r="V129" s="339"/>
      <c r="W129" s="339"/>
      <c r="X129" s="339"/>
      <c r="Y129" s="339"/>
      <c r="Z129" s="339"/>
    </row>
    <row r="130" spans="1:26" ht="24" customHeight="1">
      <c r="A130" s="336"/>
      <c r="B130" s="336"/>
      <c r="C130" s="336"/>
      <c r="D130" s="336"/>
      <c r="E130" s="336"/>
      <c r="F130" s="336"/>
      <c r="G130" s="336"/>
      <c r="H130" s="336"/>
      <c r="I130" s="338"/>
      <c r="J130" s="338"/>
      <c r="K130" s="337"/>
      <c r="L130" s="336"/>
      <c r="M130" s="338"/>
      <c r="N130" s="338"/>
      <c r="O130" s="337"/>
      <c r="P130" s="336"/>
      <c r="Q130" s="338"/>
      <c r="R130" s="336"/>
      <c r="S130" s="337"/>
      <c r="T130" s="339"/>
      <c r="U130" s="339"/>
      <c r="V130" s="339"/>
      <c r="W130" s="339"/>
      <c r="X130" s="339"/>
      <c r="Y130" s="339"/>
      <c r="Z130" s="339"/>
    </row>
    <row r="131" spans="1:26" ht="24" customHeight="1">
      <c r="A131" s="336"/>
      <c r="B131" s="336"/>
      <c r="C131" s="336"/>
      <c r="D131" s="336"/>
      <c r="E131" s="336"/>
      <c r="F131" s="336"/>
      <c r="G131" s="336"/>
      <c r="H131" s="336"/>
      <c r="I131" s="338"/>
      <c r="J131" s="338"/>
      <c r="K131" s="337"/>
      <c r="L131" s="336"/>
      <c r="M131" s="338"/>
      <c r="N131" s="338"/>
      <c r="O131" s="337"/>
      <c r="P131" s="336"/>
      <c r="Q131" s="338"/>
      <c r="R131" s="336"/>
      <c r="S131" s="337"/>
      <c r="T131" s="339"/>
      <c r="U131" s="339"/>
      <c r="V131" s="339"/>
      <c r="W131" s="339"/>
      <c r="X131" s="339"/>
      <c r="Y131" s="339"/>
      <c r="Z131" s="339"/>
    </row>
    <row r="132" spans="1:26" ht="24" customHeight="1">
      <c r="A132" s="336"/>
      <c r="B132" s="336"/>
      <c r="C132" s="336"/>
      <c r="D132" s="336"/>
      <c r="E132" s="336"/>
      <c r="F132" s="336"/>
      <c r="G132" s="336"/>
      <c r="H132" s="336"/>
      <c r="I132" s="338"/>
      <c r="J132" s="338"/>
      <c r="K132" s="337"/>
      <c r="L132" s="336"/>
      <c r="M132" s="338"/>
      <c r="N132" s="338"/>
      <c r="O132" s="337"/>
      <c r="P132" s="336"/>
      <c r="Q132" s="338"/>
      <c r="R132" s="336"/>
      <c r="S132" s="337"/>
      <c r="T132" s="339"/>
      <c r="U132" s="339"/>
      <c r="V132" s="339"/>
      <c r="W132" s="339"/>
      <c r="X132" s="339"/>
      <c r="Y132" s="339"/>
      <c r="Z132" s="339"/>
    </row>
    <row r="133" spans="1:26" ht="24" customHeight="1">
      <c r="A133" s="336"/>
      <c r="B133" s="336"/>
      <c r="C133" s="336"/>
      <c r="D133" s="336"/>
      <c r="E133" s="336"/>
      <c r="F133" s="336"/>
      <c r="G133" s="336"/>
      <c r="H133" s="336"/>
      <c r="I133" s="338"/>
      <c r="J133" s="338"/>
      <c r="K133" s="337"/>
      <c r="L133" s="336"/>
      <c r="M133" s="338"/>
      <c r="N133" s="338"/>
      <c r="O133" s="337"/>
      <c r="P133" s="336"/>
      <c r="Q133" s="338"/>
      <c r="R133" s="336"/>
      <c r="S133" s="337"/>
      <c r="T133" s="339"/>
      <c r="U133" s="339"/>
      <c r="V133" s="339"/>
      <c r="W133" s="339"/>
      <c r="X133" s="339"/>
      <c r="Y133" s="339"/>
      <c r="Z133" s="339"/>
    </row>
    <row r="134" spans="1:26" ht="24" customHeight="1">
      <c r="A134" s="336"/>
      <c r="B134" s="336"/>
      <c r="C134" s="336"/>
      <c r="D134" s="336"/>
      <c r="E134" s="336"/>
      <c r="F134" s="336"/>
      <c r="G134" s="336"/>
      <c r="H134" s="336"/>
      <c r="I134" s="338"/>
      <c r="J134" s="338"/>
      <c r="K134" s="337"/>
      <c r="L134" s="336"/>
      <c r="M134" s="338"/>
      <c r="N134" s="338"/>
      <c r="O134" s="337"/>
      <c r="P134" s="336"/>
      <c r="Q134" s="338"/>
      <c r="R134" s="336"/>
      <c r="S134" s="337"/>
      <c r="T134" s="339"/>
      <c r="U134" s="339"/>
      <c r="V134" s="339"/>
      <c r="W134" s="339"/>
      <c r="X134" s="339"/>
      <c r="Y134" s="339"/>
      <c r="Z134" s="339"/>
    </row>
    <row r="135" spans="1:26" ht="24" customHeight="1">
      <c r="A135" s="336"/>
      <c r="B135" s="336"/>
      <c r="C135" s="336"/>
      <c r="D135" s="336"/>
      <c r="E135" s="336"/>
      <c r="F135" s="336"/>
      <c r="G135" s="336"/>
      <c r="H135" s="336"/>
      <c r="I135" s="338"/>
      <c r="J135" s="338"/>
      <c r="K135" s="337"/>
      <c r="L135" s="336"/>
      <c r="M135" s="338"/>
      <c r="N135" s="338"/>
      <c r="O135" s="337"/>
      <c r="P135" s="336"/>
      <c r="Q135" s="338"/>
      <c r="R135" s="336"/>
      <c r="S135" s="337"/>
      <c r="T135" s="339"/>
      <c r="U135" s="339"/>
      <c r="V135" s="339"/>
      <c r="W135" s="339"/>
      <c r="X135" s="339"/>
      <c r="Y135" s="339"/>
      <c r="Z135" s="339"/>
    </row>
    <row r="136" spans="1:26" ht="24" customHeight="1">
      <c r="A136" s="336"/>
      <c r="B136" s="336"/>
      <c r="C136" s="336"/>
      <c r="D136" s="336"/>
      <c r="E136" s="336"/>
      <c r="F136" s="336"/>
      <c r="G136" s="336"/>
      <c r="H136" s="336"/>
      <c r="I136" s="338"/>
      <c r="J136" s="338"/>
      <c r="K136" s="337"/>
      <c r="L136" s="336"/>
      <c r="M136" s="338"/>
      <c r="N136" s="338"/>
      <c r="O136" s="337"/>
      <c r="P136" s="336"/>
      <c r="Q136" s="338"/>
      <c r="R136" s="336"/>
      <c r="S136" s="337"/>
      <c r="T136" s="339"/>
      <c r="U136" s="339"/>
      <c r="V136" s="339"/>
      <c r="W136" s="339"/>
      <c r="X136" s="339"/>
      <c r="Y136" s="339"/>
      <c r="Z136" s="339"/>
    </row>
    <row r="137" spans="1:26" ht="24" customHeight="1">
      <c r="A137" s="336"/>
      <c r="B137" s="336"/>
      <c r="C137" s="336"/>
      <c r="D137" s="336"/>
      <c r="E137" s="336"/>
      <c r="F137" s="336"/>
      <c r="G137" s="336"/>
      <c r="H137" s="336"/>
      <c r="I137" s="338"/>
      <c r="J137" s="338"/>
      <c r="K137" s="337"/>
      <c r="L137" s="336"/>
      <c r="M137" s="338"/>
      <c r="N137" s="338"/>
      <c r="O137" s="337"/>
      <c r="P137" s="336"/>
      <c r="Q137" s="338"/>
      <c r="R137" s="336"/>
      <c r="S137" s="337"/>
      <c r="T137" s="339"/>
      <c r="U137" s="339"/>
      <c r="V137" s="339"/>
      <c r="W137" s="339"/>
      <c r="X137" s="339"/>
      <c r="Y137" s="339"/>
      <c r="Z137" s="339"/>
    </row>
    <row r="138" spans="1:26" ht="24" customHeight="1">
      <c r="A138" s="336"/>
      <c r="B138" s="336"/>
      <c r="C138" s="336"/>
      <c r="D138" s="336"/>
      <c r="E138" s="336"/>
      <c r="F138" s="336"/>
      <c r="G138" s="336"/>
      <c r="H138" s="336"/>
      <c r="I138" s="338"/>
      <c r="J138" s="338"/>
      <c r="K138" s="337"/>
      <c r="L138" s="336"/>
      <c r="M138" s="338"/>
      <c r="N138" s="338"/>
      <c r="O138" s="337"/>
      <c r="P138" s="336"/>
      <c r="Q138" s="338"/>
      <c r="R138" s="336"/>
      <c r="S138" s="337"/>
      <c r="T138" s="339"/>
      <c r="U138" s="339"/>
      <c r="V138" s="339"/>
      <c r="W138" s="339"/>
      <c r="X138" s="339"/>
      <c r="Y138" s="339"/>
      <c r="Z138" s="339"/>
    </row>
    <row r="139" spans="1:26" ht="24" customHeight="1">
      <c r="A139" s="336"/>
      <c r="B139" s="336"/>
      <c r="C139" s="336"/>
      <c r="D139" s="336"/>
      <c r="E139" s="336"/>
      <c r="F139" s="336"/>
      <c r="G139" s="336"/>
      <c r="H139" s="336"/>
      <c r="I139" s="338"/>
      <c r="J139" s="338"/>
      <c r="K139" s="337"/>
      <c r="L139" s="336"/>
      <c r="M139" s="338"/>
      <c r="N139" s="338"/>
      <c r="O139" s="337"/>
      <c r="P139" s="336"/>
      <c r="Q139" s="338"/>
      <c r="R139" s="336"/>
      <c r="S139" s="337"/>
      <c r="T139" s="339"/>
      <c r="U139" s="339"/>
      <c r="V139" s="339"/>
      <c r="W139" s="339"/>
      <c r="X139" s="339"/>
      <c r="Y139" s="339"/>
      <c r="Z139" s="339"/>
    </row>
    <row r="140" spans="1:26" ht="24" customHeight="1">
      <c r="A140" s="336"/>
      <c r="B140" s="336"/>
      <c r="C140" s="336"/>
      <c r="D140" s="336"/>
      <c r="E140" s="336"/>
      <c r="F140" s="336"/>
      <c r="G140" s="336"/>
      <c r="H140" s="336"/>
      <c r="I140" s="338"/>
      <c r="J140" s="338"/>
      <c r="K140" s="337"/>
      <c r="L140" s="336"/>
      <c r="M140" s="338"/>
      <c r="N140" s="338"/>
      <c r="O140" s="337"/>
      <c r="P140" s="336"/>
      <c r="Q140" s="338"/>
      <c r="R140" s="336"/>
      <c r="S140" s="337"/>
      <c r="T140" s="339"/>
      <c r="U140" s="339"/>
      <c r="V140" s="339"/>
      <c r="W140" s="339"/>
      <c r="X140" s="339"/>
      <c r="Y140" s="339"/>
      <c r="Z140" s="339"/>
    </row>
    <row r="141" spans="1:26" ht="24" customHeight="1">
      <c r="A141" s="336"/>
      <c r="B141" s="336"/>
      <c r="C141" s="336"/>
      <c r="D141" s="336"/>
      <c r="E141" s="336"/>
      <c r="F141" s="336"/>
      <c r="G141" s="336"/>
      <c r="H141" s="336"/>
      <c r="I141" s="338"/>
      <c r="J141" s="338"/>
      <c r="K141" s="337"/>
      <c r="L141" s="336"/>
      <c r="M141" s="338"/>
      <c r="N141" s="338"/>
      <c r="O141" s="337"/>
      <c r="P141" s="336"/>
      <c r="Q141" s="338"/>
      <c r="R141" s="336"/>
      <c r="S141" s="337"/>
      <c r="T141" s="339"/>
      <c r="U141" s="339"/>
      <c r="V141" s="339"/>
      <c r="W141" s="339"/>
      <c r="X141" s="339"/>
      <c r="Y141" s="339"/>
      <c r="Z141" s="339"/>
    </row>
    <row r="142" spans="1:26" ht="24" customHeight="1">
      <c r="A142" s="336"/>
      <c r="B142" s="336"/>
      <c r="C142" s="336"/>
      <c r="D142" s="336"/>
      <c r="E142" s="336"/>
      <c r="F142" s="336"/>
      <c r="G142" s="336"/>
      <c r="H142" s="336"/>
      <c r="I142" s="338"/>
      <c r="J142" s="338"/>
      <c r="K142" s="337"/>
      <c r="L142" s="336"/>
      <c r="M142" s="338"/>
      <c r="N142" s="338"/>
      <c r="O142" s="337"/>
      <c r="P142" s="336"/>
      <c r="Q142" s="338"/>
      <c r="R142" s="336"/>
      <c r="S142" s="337"/>
      <c r="T142" s="339"/>
      <c r="U142" s="339"/>
      <c r="V142" s="339"/>
      <c r="W142" s="339"/>
      <c r="X142" s="339"/>
      <c r="Y142" s="339"/>
      <c r="Z142" s="339"/>
    </row>
    <row r="143" spans="1:26" ht="24" customHeight="1">
      <c r="A143" s="336"/>
      <c r="B143" s="336"/>
      <c r="C143" s="336"/>
      <c r="D143" s="336"/>
      <c r="E143" s="336"/>
      <c r="F143" s="336"/>
      <c r="G143" s="336"/>
      <c r="H143" s="336"/>
      <c r="I143" s="338"/>
      <c r="J143" s="338"/>
      <c r="K143" s="337"/>
      <c r="L143" s="336"/>
      <c r="M143" s="338"/>
      <c r="N143" s="338"/>
      <c r="O143" s="337"/>
      <c r="P143" s="336"/>
      <c r="Q143" s="338"/>
      <c r="R143" s="336"/>
      <c r="S143" s="337"/>
      <c r="T143" s="339"/>
      <c r="U143" s="339"/>
      <c r="V143" s="339"/>
      <c r="W143" s="339"/>
      <c r="X143" s="339"/>
      <c r="Y143" s="339"/>
      <c r="Z143" s="339"/>
    </row>
    <row r="144" spans="1:26" ht="24" customHeight="1">
      <c r="A144" s="336"/>
      <c r="B144" s="336"/>
      <c r="C144" s="336"/>
      <c r="D144" s="336"/>
      <c r="E144" s="336"/>
      <c r="F144" s="336"/>
      <c r="G144" s="336"/>
      <c r="H144" s="336"/>
      <c r="I144" s="338"/>
      <c r="J144" s="338"/>
      <c r="K144" s="337"/>
      <c r="L144" s="336"/>
      <c r="M144" s="338"/>
      <c r="N144" s="338"/>
      <c r="O144" s="337"/>
      <c r="P144" s="336"/>
      <c r="Q144" s="338"/>
      <c r="R144" s="336"/>
      <c r="S144" s="337"/>
      <c r="T144" s="339"/>
      <c r="U144" s="339"/>
      <c r="V144" s="339"/>
      <c r="W144" s="339"/>
      <c r="X144" s="339"/>
      <c r="Y144" s="339"/>
      <c r="Z144" s="339"/>
    </row>
    <row r="145" spans="1:26" ht="24" customHeight="1">
      <c r="A145" s="336"/>
      <c r="B145" s="336"/>
      <c r="C145" s="336"/>
      <c r="D145" s="336"/>
      <c r="E145" s="336"/>
      <c r="F145" s="336"/>
      <c r="G145" s="336"/>
      <c r="H145" s="336"/>
      <c r="I145" s="338"/>
      <c r="J145" s="338"/>
      <c r="K145" s="337"/>
      <c r="L145" s="336"/>
      <c r="M145" s="338"/>
      <c r="N145" s="338"/>
      <c r="O145" s="337"/>
      <c r="P145" s="336"/>
      <c r="Q145" s="338"/>
      <c r="R145" s="336"/>
      <c r="S145" s="337"/>
      <c r="T145" s="339"/>
      <c r="U145" s="339"/>
      <c r="V145" s="339"/>
      <c r="W145" s="339"/>
      <c r="X145" s="339"/>
      <c r="Y145" s="339"/>
      <c r="Z145" s="339"/>
    </row>
    <row r="146" spans="1:26" ht="24" customHeight="1">
      <c r="A146" s="336"/>
      <c r="B146" s="336"/>
      <c r="C146" s="336"/>
      <c r="D146" s="336"/>
      <c r="E146" s="336"/>
      <c r="F146" s="336"/>
      <c r="G146" s="336"/>
      <c r="H146" s="336"/>
      <c r="I146" s="338"/>
      <c r="J146" s="338"/>
      <c r="K146" s="337"/>
      <c r="L146" s="336"/>
      <c r="M146" s="338"/>
      <c r="N146" s="338"/>
      <c r="O146" s="337"/>
      <c r="P146" s="336"/>
      <c r="Q146" s="338"/>
      <c r="R146" s="336"/>
      <c r="S146" s="337"/>
      <c r="T146" s="339"/>
      <c r="U146" s="339"/>
      <c r="V146" s="339"/>
      <c r="W146" s="339"/>
      <c r="X146" s="339"/>
      <c r="Y146" s="339"/>
      <c r="Z146" s="339"/>
    </row>
    <row r="147" spans="1:26" ht="24" customHeight="1">
      <c r="A147" s="336"/>
      <c r="B147" s="336"/>
      <c r="C147" s="336"/>
      <c r="D147" s="336"/>
      <c r="E147" s="336"/>
      <c r="F147" s="336"/>
      <c r="G147" s="336"/>
      <c r="H147" s="336"/>
      <c r="I147" s="338"/>
      <c r="J147" s="338"/>
      <c r="K147" s="337"/>
      <c r="L147" s="336"/>
      <c r="M147" s="338"/>
      <c r="N147" s="338"/>
      <c r="O147" s="337"/>
      <c r="P147" s="336"/>
      <c r="Q147" s="338"/>
      <c r="R147" s="336"/>
      <c r="S147" s="337"/>
      <c r="T147" s="339"/>
      <c r="U147" s="339"/>
      <c r="V147" s="339"/>
      <c r="W147" s="339"/>
      <c r="X147" s="339"/>
      <c r="Y147" s="339"/>
      <c r="Z147" s="339"/>
    </row>
    <row r="148" spans="1:26" ht="24" customHeight="1">
      <c r="A148" s="336"/>
      <c r="B148" s="336"/>
      <c r="C148" s="336"/>
      <c r="D148" s="336"/>
      <c r="E148" s="336"/>
      <c r="F148" s="336"/>
      <c r="G148" s="336"/>
      <c r="H148" s="336"/>
      <c r="I148" s="338"/>
      <c r="J148" s="338"/>
      <c r="K148" s="337"/>
      <c r="L148" s="336"/>
      <c r="M148" s="338"/>
      <c r="N148" s="338"/>
      <c r="O148" s="337"/>
      <c r="P148" s="336"/>
      <c r="Q148" s="338"/>
      <c r="R148" s="336"/>
      <c r="S148" s="337"/>
      <c r="T148" s="339"/>
      <c r="U148" s="339"/>
      <c r="V148" s="339"/>
      <c r="W148" s="339"/>
      <c r="X148" s="339"/>
      <c r="Y148" s="339"/>
      <c r="Z148" s="339"/>
    </row>
    <row r="149" spans="1:26" ht="24" customHeight="1">
      <c r="A149" s="336"/>
      <c r="B149" s="336"/>
      <c r="C149" s="336"/>
      <c r="D149" s="336"/>
      <c r="E149" s="336"/>
      <c r="F149" s="336"/>
      <c r="G149" s="336"/>
      <c r="H149" s="336"/>
      <c r="I149" s="338"/>
      <c r="J149" s="338"/>
      <c r="K149" s="337"/>
      <c r="L149" s="336"/>
      <c r="M149" s="338"/>
      <c r="N149" s="338"/>
      <c r="O149" s="337"/>
      <c r="P149" s="336"/>
      <c r="Q149" s="338"/>
      <c r="R149" s="336"/>
      <c r="S149" s="337"/>
      <c r="T149" s="339"/>
      <c r="U149" s="339"/>
      <c r="V149" s="339"/>
      <c r="W149" s="339"/>
      <c r="X149" s="339"/>
      <c r="Y149" s="339"/>
      <c r="Z149" s="339"/>
    </row>
    <row r="150" spans="1:26" ht="24" customHeight="1">
      <c r="A150" s="336"/>
      <c r="B150" s="336"/>
      <c r="C150" s="336"/>
      <c r="D150" s="336"/>
      <c r="E150" s="336"/>
      <c r="F150" s="336"/>
      <c r="G150" s="336"/>
      <c r="H150" s="336"/>
      <c r="I150" s="338"/>
      <c r="J150" s="338"/>
      <c r="K150" s="337"/>
      <c r="L150" s="336"/>
      <c r="M150" s="338"/>
      <c r="N150" s="338"/>
      <c r="O150" s="337"/>
      <c r="P150" s="336"/>
      <c r="Q150" s="338"/>
      <c r="R150" s="336"/>
      <c r="S150" s="337"/>
      <c r="T150" s="339"/>
      <c r="U150" s="339"/>
      <c r="V150" s="339"/>
      <c r="W150" s="339"/>
      <c r="X150" s="339"/>
      <c r="Y150" s="339"/>
      <c r="Z150" s="339"/>
    </row>
    <row r="151" spans="1:26" ht="24" customHeight="1">
      <c r="A151" s="336"/>
      <c r="B151" s="336"/>
      <c r="C151" s="336"/>
      <c r="D151" s="336"/>
      <c r="E151" s="336"/>
      <c r="F151" s="336"/>
      <c r="G151" s="336"/>
      <c r="H151" s="336"/>
      <c r="I151" s="338"/>
      <c r="J151" s="338"/>
      <c r="K151" s="337"/>
      <c r="L151" s="336"/>
      <c r="M151" s="338"/>
      <c r="N151" s="338"/>
      <c r="O151" s="337"/>
      <c r="P151" s="336"/>
      <c r="Q151" s="338"/>
      <c r="R151" s="336"/>
      <c r="S151" s="337"/>
      <c r="T151" s="339"/>
      <c r="U151" s="339"/>
      <c r="V151" s="339"/>
      <c r="W151" s="339"/>
      <c r="X151" s="339"/>
      <c r="Y151" s="339"/>
      <c r="Z151" s="339"/>
    </row>
    <row r="152" spans="1:26" ht="24" customHeight="1">
      <c r="A152" s="336"/>
      <c r="B152" s="336"/>
      <c r="C152" s="336"/>
      <c r="D152" s="336"/>
      <c r="E152" s="336"/>
      <c r="F152" s="336"/>
      <c r="G152" s="336"/>
      <c r="H152" s="336"/>
      <c r="I152" s="338"/>
      <c r="J152" s="338"/>
      <c r="K152" s="337"/>
      <c r="L152" s="336"/>
      <c r="M152" s="338"/>
      <c r="N152" s="338"/>
      <c r="O152" s="337"/>
      <c r="P152" s="336"/>
      <c r="Q152" s="338"/>
      <c r="R152" s="336"/>
      <c r="S152" s="337"/>
      <c r="T152" s="339"/>
      <c r="U152" s="339"/>
      <c r="V152" s="339"/>
      <c r="W152" s="339"/>
      <c r="X152" s="339"/>
      <c r="Y152" s="339"/>
      <c r="Z152" s="339"/>
    </row>
    <row r="153" spans="1:26" ht="24" customHeight="1">
      <c r="A153" s="336"/>
      <c r="B153" s="336"/>
      <c r="C153" s="336"/>
      <c r="D153" s="336"/>
      <c r="E153" s="336"/>
      <c r="F153" s="336"/>
      <c r="G153" s="336"/>
      <c r="H153" s="336"/>
      <c r="I153" s="338"/>
      <c r="J153" s="338"/>
      <c r="K153" s="337"/>
      <c r="L153" s="336"/>
      <c r="M153" s="338"/>
      <c r="N153" s="338"/>
      <c r="O153" s="337"/>
      <c r="P153" s="336"/>
      <c r="Q153" s="338"/>
      <c r="R153" s="336"/>
      <c r="S153" s="337"/>
      <c r="T153" s="339"/>
      <c r="U153" s="339"/>
      <c r="V153" s="339"/>
      <c r="W153" s="339"/>
      <c r="X153" s="339"/>
      <c r="Y153" s="339"/>
      <c r="Z153" s="339"/>
    </row>
    <row r="154" spans="1:26" ht="24" customHeight="1">
      <c r="A154" s="336"/>
      <c r="B154" s="336"/>
      <c r="C154" s="336"/>
      <c r="D154" s="336"/>
      <c r="E154" s="336"/>
      <c r="F154" s="336"/>
      <c r="G154" s="336"/>
      <c r="H154" s="336"/>
      <c r="I154" s="338"/>
      <c r="J154" s="338"/>
      <c r="K154" s="337"/>
      <c r="L154" s="336"/>
      <c r="M154" s="338"/>
      <c r="N154" s="338"/>
      <c r="O154" s="337"/>
      <c r="P154" s="336"/>
      <c r="Q154" s="338"/>
      <c r="R154" s="336"/>
      <c r="S154" s="337"/>
      <c r="T154" s="339"/>
      <c r="U154" s="339"/>
      <c r="V154" s="339"/>
      <c r="W154" s="339"/>
      <c r="X154" s="339"/>
      <c r="Y154" s="339"/>
      <c r="Z154" s="339"/>
    </row>
    <row r="155" spans="1:26" ht="24" customHeight="1">
      <c r="A155" s="336"/>
      <c r="B155" s="336"/>
      <c r="C155" s="336"/>
      <c r="D155" s="336"/>
      <c r="E155" s="336"/>
      <c r="F155" s="336"/>
      <c r="G155" s="336"/>
      <c r="H155" s="336"/>
      <c r="I155" s="338"/>
      <c r="J155" s="338"/>
      <c r="K155" s="337"/>
      <c r="L155" s="336"/>
      <c r="M155" s="338"/>
      <c r="N155" s="338"/>
      <c r="O155" s="337"/>
      <c r="P155" s="336"/>
      <c r="Q155" s="338"/>
      <c r="R155" s="336"/>
      <c r="S155" s="337"/>
      <c r="T155" s="339"/>
      <c r="U155" s="339"/>
      <c r="V155" s="339"/>
      <c r="W155" s="339"/>
      <c r="X155" s="339"/>
      <c r="Y155" s="339"/>
      <c r="Z155" s="339"/>
    </row>
    <row r="156" spans="1:26" ht="24" customHeight="1">
      <c r="A156" s="336"/>
      <c r="B156" s="336"/>
      <c r="C156" s="336"/>
      <c r="D156" s="336"/>
      <c r="E156" s="336"/>
      <c r="F156" s="336"/>
      <c r="G156" s="336"/>
      <c r="H156" s="336"/>
      <c r="I156" s="338"/>
      <c r="J156" s="338"/>
      <c r="K156" s="337"/>
      <c r="L156" s="336"/>
      <c r="M156" s="338"/>
      <c r="N156" s="338"/>
      <c r="O156" s="337"/>
      <c r="P156" s="336"/>
      <c r="Q156" s="338"/>
      <c r="R156" s="336"/>
      <c r="S156" s="337"/>
      <c r="T156" s="339"/>
      <c r="U156" s="339"/>
      <c r="V156" s="339"/>
      <c r="W156" s="339"/>
      <c r="X156" s="339"/>
      <c r="Y156" s="339"/>
      <c r="Z156" s="339"/>
    </row>
    <row r="157" spans="1:26" ht="24" customHeight="1">
      <c r="A157" s="336"/>
      <c r="B157" s="336"/>
      <c r="C157" s="336"/>
      <c r="D157" s="336"/>
      <c r="E157" s="336"/>
      <c r="F157" s="336"/>
      <c r="G157" s="336"/>
      <c r="H157" s="336"/>
      <c r="I157" s="338"/>
      <c r="J157" s="338"/>
      <c r="K157" s="337"/>
      <c r="L157" s="336"/>
      <c r="M157" s="338"/>
      <c r="N157" s="338"/>
      <c r="O157" s="337"/>
      <c r="P157" s="336"/>
      <c r="Q157" s="338"/>
      <c r="R157" s="336"/>
      <c r="S157" s="337"/>
      <c r="T157" s="339"/>
      <c r="U157" s="339"/>
      <c r="V157" s="339"/>
      <c r="W157" s="339"/>
      <c r="X157" s="339"/>
      <c r="Y157" s="339"/>
      <c r="Z157" s="339"/>
    </row>
    <row r="158" spans="1:26" ht="24" customHeight="1">
      <c r="A158" s="336"/>
      <c r="B158" s="336"/>
      <c r="C158" s="336"/>
      <c r="D158" s="336"/>
      <c r="E158" s="336"/>
      <c r="F158" s="336"/>
      <c r="G158" s="336"/>
      <c r="H158" s="336"/>
      <c r="I158" s="338"/>
      <c r="J158" s="338"/>
      <c r="K158" s="337"/>
      <c r="L158" s="336"/>
      <c r="M158" s="338"/>
      <c r="N158" s="338"/>
      <c r="O158" s="337"/>
      <c r="P158" s="336"/>
      <c r="Q158" s="338"/>
      <c r="R158" s="336"/>
      <c r="S158" s="337"/>
      <c r="T158" s="339"/>
      <c r="U158" s="339"/>
      <c r="V158" s="339"/>
      <c r="W158" s="339"/>
      <c r="X158" s="339"/>
      <c r="Y158" s="339"/>
      <c r="Z158" s="339"/>
    </row>
    <row r="159" spans="1:26" ht="24" customHeight="1">
      <c r="A159" s="336"/>
      <c r="B159" s="336"/>
      <c r="C159" s="336"/>
      <c r="D159" s="336"/>
      <c r="E159" s="336"/>
      <c r="F159" s="336"/>
      <c r="G159" s="336"/>
      <c r="H159" s="336"/>
      <c r="I159" s="338"/>
      <c r="J159" s="338"/>
      <c r="K159" s="337"/>
      <c r="L159" s="336"/>
      <c r="M159" s="338"/>
      <c r="N159" s="338"/>
      <c r="O159" s="337"/>
      <c r="P159" s="336"/>
      <c r="Q159" s="338"/>
      <c r="R159" s="336"/>
      <c r="S159" s="337"/>
      <c r="T159" s="339"/>
      <c r="U159" s="339"/>
      <c r="V159" s="339"/>
      <c r="W159" s="339"/>
      <c r="X159" s="339"/>
      <c r="Y159" s="339"/>
      <c r="Z159" s="339"/>
    </row>
    <row r="160" spans="1:26" ht="24" customHeight="1">
      <c r="A160" s="336"/>
      <c r="B160" s="336"/>
      <c r="C160" s="336"/>
      <c r="D160" s="336"/>
      <c r="E160" s="336"/>
      <c r="F160" s="336"/>
      <c r="G160" s="336"/>
      <c r="H160" s="336"/>
      <c r="I160" s="338"/>
      <c r="J160" s="338"/>
      <c r="K160" s="337"/>
      <c r="L160" s="336"/>
      <c r="M160" s="338"/>
      <c r="N160" s="338"/>
      <c r="O160" s="337"/>
      <c r="P160" s="336"/>
      <c r="Q160" s="338"/>
      <c r="R160" s="336"/>
      <c r="S160" s="337"/>
      <c r="T160" s="339"/>
      <c r="U160" s="339"/>
      <c r="V160" s="339"/>
      <c r="W160" s="339"/>
      <c r="X160" s="339"/>
      <c r="Y160" s="339"/>
      <c r="Z160" s="339"/>
    </row>
    <row r="161" spans="1:26" ht="24" customHeight="1">
      <c r="A161" s="336"/>
      <c r="B161" s="336"/>
      <c r="C161" s="336"/>
      <c r="D161" s="336"/>
      <c r="E161" s="336"/>
      <c r="F161" s="336"/>
      <c r="G161" s="336"/>
      <c r="H161" s="336"/>
      <c r="I161" s="338"/>
      <c r="J161" s="338"/>
      <c r="K161" s="337"/>
      <c r="L161" s="336"/>
      <c r="M161" s="338"/>
      <c r="N161" s="338"/>
      <c r="O161" s="337"/>
      <c r="P161" s="336"/>
      <c r="Q161" s="338"/>
      <c r="R161" s="336"/>
      <c r="S161" s="337"/>
      <c r="T161" s="339"/>
      <c r="U161" s="339"/>
      <c r="V161" s="339"/>
      <c r="W161" s="339"/>
      <c r="X161" s="339"/>
      <c r="Y161" s="339"/>
      <c r="Z161" s="339"/>
    </row>
    <row r="162" spans="1:26" ht="24" customHeight="1">
      <c r="A162" s="336"/>
      <c r="B162" s="336"/>
      <c r="C162" s="336"/>
      <c r="D162" s="336"/>
      <c r="E162" s="336"/>
      <c r="F162" s="336"/>
      <c r="G162" s="336"/>
      <c r="H162" s="336"/>
      <c r="I162" s="338"/>
      <c r="J162" s="338"/>
      <c r="K162" s="337"/>
      <c r="L162" s="336"/>
      <c r="M162" s="338"/>
      <c r="N162" s="338"/>
      <c r="O162" s="337"/>
      <c r="P162" s="336"/>
      <c r="Q162" s="338"/>
      <c r="R162" s="336"/>
      <c r="S162" s="337"/>
      <c r="T162" s="339"/>
      <c r="U162" s="339"/>
      <c r="V162" s="339"/>
      <c r="W162" s="339"/>
      <c r="X162" s="339"/>
      <c r="Y162" s="339"/>
      <c r="Z162" s="339"/>
    </row>
    <row r="163" spans="1:26" ht="24" customHeight="1">
      <c r="A163" s="336"/>
      <c r="B163" s="336"/>
      <c r="C163" s="336"/>
      <c r="D163" s="336"/>
      <c r="E163" s="336"/>
      <c r="F163" s="336"/>
      <c r="G163" s="336"/>
      <c r="H163" s="336"/>
      <c r="I163" s="338"/>
      <c r="J163" s="338"/>
      <c r="K163" s="337"/>
      <c r="L163" s="336"/>
      <c r="M163" s="338"/>
      <c r="N163" s="338"/>
      <c r="O163" s="337"/>
      <c r="P163" s="336"/>
      <c r="Q163" s="338"/>
      <c r="R163" s="336"/>
      <c r="S163" s="337"/>
      <c r="T163" s="339"/>
      <c r="U163" s="339"/>
      <c r="V163" s="339"/>
      <c r="W163" s="339"/>
      <c r="X163" s="339"/>
      <c r="Y163" s="339"/>
      <c r="Z163" s="339"/>
    </row>
    <row r="164" spans="1:26" ht="24" customHeight="1">
      <c r="A164" s="336"/>
      <c r="B164" s="336"/>
      <c r="C164" s="336"/>
      <c r="D164" s="336"/>
      <c r="E164" s="336"/>
      <c r="F164" s="336"/>
      <c r="G164" s="336"/>
      <c r="H164" s="336"/>
      <c r="I164" s="338"/>
      <c r="J164" s="338"/>
      <c r="K164" s="337"/>
      <c r="L164" s="336"/>
      <c r="M164" s="338"/>
      <c r="N164" s="338"/>
      <c r="O164" s="337"/>
      <c r="P164" s="336"/>
      <c r="Q164" s="338"/>
      <c r="R164" s="336"/>
      <c r="S164" s="337"/>
      <c r="T164" s="339"/>
      <c r="U164" s="339"/>
      <c r="V164" s="339"/>
      <c r="W164" s="339"/>
      <c r="X164" s="339"/>
      <c r="Y164" s="339"/>
      <c r="Z164" s="339"/>
    </row>
    <row r="165" spans="1:26" ht="24" customHeight="1">
      <c r="A165" s="336"/>
      <c r="B165" s="336"/>
      <c r="C165" s="336"/>
      <c r="D165" s="336"/>
      <c r="E165" s="336"/>
      <c r="F165" s="336"/>
      <c r="G165" s="336"/>
      <c r="H165" s="336"/>
      <c r="I165" s="338"/>
      <c r="J165" s="338"/>
      <c r="K165" s="337"/>
      <c r="L165" s="336"/>
      <c r="M165" s="338"/>
      <c r="N165" s="338"/>
      <c r="O165" s="337"/>
      <c r="P165" s="336"/>
      <c r="Q165" s="338"/>
      <c r="R165" s="336"/>
      <c r="S165" s="337"/>
      <c r="T165" s="339"/>
      <c r="U165" s="339"/>
      <c r="V165" s="339"/>
      <c r="W165" s="339"/>
      <c r="X165" s="339"/>
      <c r="Y165" s="339"/>
      <c r="Z165" s="339"/>
    </row>
    <row r="166" spans="1:26" ht="24" customHeight="1">
      <c r="A166" s="336"/>
      <c r="B166" s="336"/>
      <c r="C166" s="336"/>
      <c r="D166" s="336"/>
      <c r="E166" s="336"/>
      <c r="F166" s="336"/>
      <c r="G166" s="336"/>
      <c r="H166" s="336"/>
      <c r="I166" s="338"/>
      <c r="J166" s="338"/>
      <c r="K166" s="337"/>
      <c r="L166" s="336"/>
      <c r="M166" s="338"/>
      <c r="N166" s="338"/>
      <c r="O166" s="337"/>
      <c r="P166" s="336"/>
      <c r="Q166" s="338"/>
      <c r="R166" s="336"/>
      <c r="S166" s="337"/>
      <c r="T166" s="339"/>
      <c r="U166" s="339"/>
      <c r="V166" s="339"/>
      <c r="W166" s="339"/>
      <c r="X166" s="339"/>
      <c r="Y166" s="339"/>
      <c r="Z166" s="339"/>
    </row>
    <row r="167" spans="1:26" ht="24" customHeight="1">
      <c r="A167" s="336"/>
      <c r="B167" s="336"/>
      <c r="C167" s="336"/>
      <c r="D167" s="336"/>
      <c r="E167" s="336"/>
      <c r="F167" s="336"/>
      <c r="G167" s="336"/>
      <c r="H167" s="336"/>
      <c r="I167" s="338"/>
      <c r="J167" s="338"/>
      <c r="K167" s="337"/>
      <c r="L167" s="336"/>
      <c r="M167" s="338"/>
      <c r="N167" s="338"/>
      <c r="O167" s="337"/>
      <c r="P167" s="336"/>
      <c r="Q167" s="338"/>
      <c r="R167" s="336"/>
      <c r="S167" s="337"/>
      <c r="T167" s="339"/>
      <c r="U167" s="339"/>
      <c r="V167" s="339"/>
      <c r="W167" s="339"/>
      <c r="X167" s="339"/>
      <c r="Y167" s="339"/>
      <c r="Z167" s="339"/>
    </row>
    <row r="168" spans="1:26" ht="24" customHeight="1">
      <c r="A168" s="336"/>
      <c r="B168" s="336"/>
      <c r="C168" s="336"/>
      <c r="D168" s="336"/>
      <c r="E168" s="336"/>
      <c r="F168" s="336"/>
      <c r="G168" s="336"/>
      <c r="H168" s="336"/>
      <c r="I168" s="338"/>
      <c r="J168" s="338"/>
      <c r="K168" s="337"/>
      <c r="L168" s="336"/>
      <c r="M168" s="338"/>
      <c r="N168" s="338"/>
      <c r="O168" s="337"/>
      <c r="P168" s="336"/>
      <c r="Q168" s="338"/>
      <c r="R168" s="336"/>
      <c r="S168" s="337"/>
      <c r="T168" s="339"/>
      <c r="U168" s="339"/>
      <c r="V168" s="339"/>
      <c r="W168" s="339"/>
      <c r="X168" s="339"/>
      <c r="Y168" s="339"/>
      <c r="Z168" s="339"/>
    </row>
    <row r="169" spans="1:26" ht="24" customHeight="1">
      <c r="A169" s="336"/>
      <c r="B169" s="336"/>
      <c r="C169" s="336"/>
      <c r="D169" s="336"/>
      <c r="E169" s="336"/>
      <c r="F169" s="336"/>
      <c r="G169" s="336"/>
      <c r="H169" s="336"/>
      <c r="I169" s="338"/>
      <c r="J169" s="338"/>
      <c r="K169" s="337"/>
      <c r="L169" s="336"/>
      <c r="M169" s="338"/>
      <c r="N169" s="338"/>
      <c r="O169" s="337"/>
      <c r="P169" s="336"/>
      <c r="Q169" s="338"/>
      <c r="R169" s="336"/>
      <c r="S169" s="337"/>
      <c r="T169" s="339"/>
      <c r="U169" s="339"/>
      <c r="V169" s="339"/>
      <c r="W169" s="339"/>
      <c r="X169" s="339"/>
      <c r="Y169" s="339"/>
      <c r="Z169" s="339"/>
    </row>
    <row r="170" spans="1:26" ht="24" customHeight="1">
      <c r="A170" s="336"/>
      <c r="B170" s="336"/>
      <c r="C170" s="336"/>
      <c r="D170" s="336"/>
      <c r="E170" s="336"/>
      <c r="F170" s="336"/>
      <c r="G170" s="336"/>
      <c r="H170" s="336"/>
      <c r="I170" s="338"/>
      <c r="J170" s="338"/>
      <c r="K170" s="337"/>
      <c r="L170" s="336"/>
      <c r="M170" s="338"/>
      <c r="N170" s="338"/>
      <c r="O170" s="337"/>
      <c r="P170" s="336"/>
      <c r="Q170" s="338"/>
      <c r="R170" s="336"/>
      <c r="S170" s="337"/>
      <c r="T170" s="339"/>
      <c r="U170" s="339"/>
      <c r="V170" s="339"/>
      <c r="W170" s="339"/>
      <c r="X170" s="339"/>
      <c r="Y170" s="339"/>
      <c r="Z170" s="339"/>
    </row>
    <row r="171" spans="1:26" ht="24" customHeight="1">
      <c r="A171" s="336"/>
      <c r="B171" s="336"/>
      <c r="C171" s="336"/>
      <c r="D171" s="336"/>
      <c r="E171" s="336"/>
      <c r="F171" s="336"/>
      <c r="G171" s="336"/>
      <c r="H171" s="336"/>
      <c r="I171" s="338"/>
      <c r="J171" s="338"/>
      <c r="K171" s="337"/>
      <c r="L171" s="336"/>
      <c r="M171" s="338"/>
      <c r="N171" s="338"/>
      <c r="O171" s="337"/>
      <c r="P171" s="336"/>
      <c r="Q171" s="338"/>
      <c r="R171" s="336"/>
      <c r="S171" s="337"/>
      <c r="T171" s="339"/>
      <c r="U171" s="339"/>
      <c r="V171" s="339"/>
      <c r="W171" s="339"/>
      <c r="X171" s="339"/>
      <c r="Y171" s="339"/>
      <c r="Z171" s="339"/>
    </row>
    <row r="172" spans="1:26" ht="24" customHeight="1">
      <c r="A172" s="336"/>
      <c r="B172" s="336"/>
      <c r="C172" s="336"/>
      <c r="D172" s="336"/>
      <c r="E172" s="336"/>
      <c r="F172" s="336"/>
      <c r="G172" s="336"/>
      <c r="H172" s="336"/>
      <c r="I172" s="338"/>
      <c r="J172" s="338"/>
      <c r="K172" s="337"/>
      <c r="L172" s="336"/>
      <c r="M172" s="338"/>
      <c r="N172" s="338"/>
      <c r="O172" s="337"/>
      <c r="P172" s="336"/>
      <c r="Q172" s="338"/>
      <c r="R172" s="336"/>
      <c r="S172" s="337"/>
      <c r="T172" s="339"/>
      <c r="U172" s="339"/>
      <c r="V172" s="339"/>
      <c r="W172" s="339"/>
      <c r="X172" s="339"/>
      <c r="Y172" s="339"/>
      <c r="Z172" s="339"/>
    </row>
    <row r="173" spans="1:26" ht="24" customHeight="1">
      <c r="A173" s="336"/>
      <c r="B173" s="336"/>
      <c r="C173" s="336"/>
      <c r="D173" s="336"/>
      <c r="E173" s="336"/>
      <c r="F173" s="336"/>
      <c r="G173" s="336"/>
      <c r="H173" s="336"/>
      <c r="I173" s="338"/>
      <c r="J173" s="338"/>
      <c r="K173" s="337"/>
      <c r="L173" s="336"/>
      <c r="M173" s="338"/>
      <c r="N173" s="338"/>
      <c r="O173" s="337"/>
      <c r="P173" s="336"/>
      <c r="Q173" s="338"/>
      <c r="R173" s="336"/>
      <c r="S173" s="337"/>
      <c r="T173" s="339"/>
      <c r="U173" s="339"/>
      <c r="V173" s="339"/>
      <c r="W173" s="339"/>
      <c r="X173" s="339"/>
      <c r="Y173" s="339"/>
      <c r="Z173" s="339"/>
    </row>
    <row r="174" spans="1:26" ht="24" customHeight="1">
      <c r="A174" s="336"/>
      <c r="B174" s="336"/>
      <c r="C174" s="336"/>
      <c r="D174" s="336"/>
      <c r="E174" s="336"/>
      <c r="F174" s="336"/>
      <c r="G174" s="336"/>
      <c r="H174" s="336"/>
      <c r="I174" s="338"/>
      <c r="J174" s="338"/>
      <c r="K174" s="337"/>
      <c r="L174" s="336"/>
      <c r="M174" s="338"/>
      <c r="N174" s="338"/>
      <c r="O174" s="337"/>
      <c r="P174" s="336"/>
      <c r="Q174" s="338"/>
      <c r="R174" s="336"/>
      <c r="S174" s="337"/>
      <c r="T174" s="339"/>
      <c r="U174" s="339"/>
      <c r="V174" s="339"/>
      <c r="W174" s="339"/>
      <c r="X174" s="339"/>
      <c r="Y174" s="339"/>
      <c r="Z174" s="339"/>
    </row>
    <row r="175" spans="1:26" ht="24" customHeight="1">
      <c r="A175" s="336"/>
      <c r="B175" s="336"/>
      <c r="C175" s="336"/>
      <c r="D175" s="336"/>
      <c r="E175" s="336"/>
      <c r="F175" s="336"/>
      <c r="G175" s="336"/>
      <c r="H175" s="336"/>
      <c r="I175" s="338"/>
      <c r="J175" s="338"/>
      <c r="K175" s="337"/>
      <c r="L175" s="336"/>
      <c r="M175" s="338"/>
      <c r="N175" s="338"/>
      <c r="O175" s="337"/>
      <c r="P175" s="336"/>
      <c r="Q175" s="338"/>
      <c r="R175" s="336"/>
      <c r="S175" s="337"/>
      <c r="T175" s="339"/>
      <c r="U175" s="339"/>
      <c r="V175" s="339"/>
      <c r="W175" s="339"/>
      <c r="X175" s="339"/>
      <c r="Y175" s="339"/>
      <c r="Z175" s="339"/>
    </row>
    <row r="176" spans="1:26" ht="24" customHeight="1">
      <c r="A176" s="336"/>
      <c r="B176" s="336"/>
      <c r="C176" s="336"/>
      <c r="D176" s="336"/>
      <c r="E176" s="336"/>
      <c r="F176" s="336"/>
      <c r="G176" s="336"/>
      <c r="H176" s="336"/>
      <c r="I176" s="338"/>
      <c r="J176" s="338"/>
      <c r="K176" s="337"/>
      <c r="L176" s="336"/>
      <c r="M176" s="338"/>
      <c r="N176" s="338"/>
      <c r="O176" s="337"/>
      <c r="P176" s="336"/>
      <c r="Q176" s="338"/>
      <c r="R176" s="336"/>
      <c r="S176" s="337"/>
      <c r="T176" s="339"/>
      <c r="U176" s="339"/>
      <c r="V176" s="339"/>
      <c r="W176" s="339"/>
      <c r="X176" s="339"/>
      <c r="Y176" s="339"/>
      <c r="Z176" s="339"/>
    </row>
    <row r="177" spans="1:26" ht="24" customHeight="1">
      <c r="A177" s="336"/>
      <c r="B177" s="336"/>
      <c r="C177" s="336"/>
      <c r="D177" s="336"/>
      <c r="E177" s="336"/>
      <c r="F177" s="336"/>
      <c r="G177" s="336"/>
      <c r="H177" s="336"/>
      <c r="I177" s="338"/>
      <c r="J177" s="338"/>
      <c r="K177" s="337"/>
      <c r="L177" s="336"/>
      <c r="M177" s="338"/>
      <c r="N177" s="338"/>
      <c r="O177" s="337"/>
      <c r="P177" s="336"/>
      <c r="Q177" s="338"/>
      <c r="R177" s="336"/>
      <c r="S177" s="337"/>
      <c r="T177" s="339"/>
      <c r="U177" s="339"/>
      <c r="V177" s="339"/>
      <c r="W177" s="339"/>
      <c r="X177" s="339"/>
      <c r="Y177" s="339"/>
      <c r="Z177" s="339"/>
    </row>
    <row r="178" spans="1:26" ht="24" customHeight="1">
      <c r="A178" s="336"/>
      <c r="B178" s="336"/>
      <c r="C178" s="336"/>
      <c r="D178" s="336"/>
      <c r="E178" s="336"/>
      <c r="F178" s="336"/>
      <c r="G178" s="336"/>
      <c r="H178" s="336"/>
      <c r="I178" s="338"/>
      <c r="J178" s="338"/>
      <c r="K178" s="337"/>
      <c r="L178" s="336"/>
      <c r="M178" s="338"/>
      <c r="N178" s="338"/>
      <c r="O178" s="337"/>
      <c r="P178" s="336"/>
      <c r="Q178" s="338"/>
      <c r="R178" s="336"/>
      <c r="S178" s="337"/>
      <c r="T178" s="339"/>
      <c r="U178" s="339"/>
      <c r="V178" s="339"/>
      <c r="W178" s="339"/>
      <c r="X178" s="339"/>
      <c r="Y178" s="339"/>
      <c r="Z178" s="339"/>
    </row>
    <row r="179" spans="1:26" ht="24" customHeight="1">
      <c r="A179" s="336"/>
      <c r="B179" s="336"/>
      <c r="C179" s="336"/>
      <c r="D179" s="336"/>
      <c r="E179" s="336"/>
      <c r="F179" s="336"/>
      <c r="G179" s="336"/>
      <c r="H179" s="336"/>
      <c r="I179" s="338"/>
      <c r="J179" s="338"/>
      <c r="K179" s="337"/>
      <c r="L179" s="336"/>
      <c r="M179" s="338"/>
      <c r="N179" s="338"/>
      <c r="O179" s="337"/>
      <c r="P179" s="336"/>
      <c r="Q179" s="338"/>
      <c r="R179" s="336"/>
      <c r="S179" s="337"/>
      <c r="T179" s="339"/>
      <c r="U179" s="339"/>
      <c r="V179" s="339"/>
      <c r="W179" s="339"/>
      <c r="X179" s="339"/>
      <c r="Y179" s="339"/>
      <c r="Z179" s="339"/>
    </row>
    <row r="180" spans="1:26" ht="24" customHeight="1">
      <c r="A180" s="336"/>
      <c r="B180" s="336"/>
      <c r="C180" s="336"/>
      <c r="D180" s="336"/>
      <c r="E180" s="336"/>
      <c r="F180" s="336"/>
      <c r="G180" s="336"/>
      <c r="H180" s="336"/>
      <c r="I180" s="338"/>
      <c r="J180" s="338"/>
      <c r="K180" s="337"/>
      <c r="L180" s="336"/>
      <c r="M180" s="338"/>
      <c r="N180" s="338"/>
      <c r="O180" s="337"/>
      <c r="P180" s="336"/>
      <c r="Q180" s="338"/>
      <c r="R180" s="336"/>
      <c r="S180" s="337"/>
      <c r="T180" s="339"/>
      <c r="U180" s="339"/>
      <c r="V180" s="339"/>
      <c r="W180" s="339"/>
      <c r="X180" s="339"/>
      <c r="Y180" s="339"/>
      <c r="Z180" s="339"/>
    </row>
    <row r="181" spans="1:26" ht="24" customHeight="1">
      <c r="A181" s="336"/>
      <c r="B181" s="336"/>
      <c r="C181" s="336"/>
      <c r="D181" s="336"/>
      <c r="E181" s="336"/>
      <c r="F181" s="336"/>
      <c r="G181" s="336"/>
      <c r="H181" s="336"/>
      <c r="I181" s="338"/>
      <c r="J181" s="338"/>
      <c r="K181" s="337"/>
      <c r="L181" s="336"/>
      <c r="M181" s="338"/>
      <c r="N181" s="338"/>
      <c r="O181" s="337"/>
      <c r="P181" s="336"/>
      <c r="Q181" s="338"/>
      <c r="R181" s="336"/>
      <c r="S181" s="337"/>
      <c r="T181" s="339"/>
      <c r="U181" s="339"/>
      <c r="V181" s="339"/>
      <c r="W181" s="339"/>
      <c r="X181" s="339"/>
      <c r="Y181" s="339"/>
      <c r="Z181" s="339"/>
    </row>
    <row r="182" spans="1:26" ht="24" customHeight="1">
      <c r="A182" s="336"/>
      <c r="B182" s="336"/>
      <c r="C182" s="336"/>
      <c r="D182" s="336"/>
      <c r="E182" s="336"/>
      <c r="F182" s="336"/>
      <c r="G182" s="336"/>
      <c r="H182" s="336"/>
      <c r="I182" s="338"/>
      <c r="J182" s="338"/>
      <c r="K182" s="337"/>
      <c r="L182" s="336"/>
      <c r="M182" s="338"/>
      <c r="N182" s="338"/>
      <c r="O182" s="337"/>
      <c r="P182" s="336"/>
      <c r="Q182" s="338"/>
      <c r="R182" s="336"/>
      <c r="S182" s="337"/>
      <c r="T182" s="339"/>
      <c r="U182" s="339"/>
      <c r="V182" s="339"/>
      <c r="W182" s="339"/>
      <c r="X182" s="339"/>
      <c r="Y182" s="339"/>
      <c r="Z182" s="339"/>
    </row>
    <row r="183" spans="1:26" ht="24" customHeight="1">
      <c r="A183" s="336"/>
      <c r="B183" s="336"/>
      <c r="C183" s="336"/>
      <c r="D183" s="336"/>
      <c r="E183" s="336"/>
      <c r="F183" s="336"/>
      <c r="G183" s="336"/>
      <c r="H183" s="336"/>
      <c r="I183" s="338"/>
      <c r="J183" s="338"/>
      <c r="K183" s="337"/>
      <c r="L183" s="336"/>
      <c r="M183" s="338"/>
      <c r="N183" s="338"/>
      <c r="O183" s="337"/>
      <c r="P183" s="336"/>
      <c r="Q183" s="338"/>
      <c r="R183" s="336"/>
      <c r="S183" s="337"/>
      <c r="T183" s="339"/>
      <c r="U183" s="339"/>
      <c r="V183" s="339"/>
      <c r="W183" s="339"/>
      <c r="X183" s="339"/>
      <c r="Y183" s="339"/>
      <c r="Z183" s="339"/>
    </row>
    <row r="184" spans="1:26" ht="24" customHeight="1">
      <c r="A184" s="336"/>
      <c r="B184" s="336"/>
      <c r="C184" s="336"/>
      <c r="D184" s="336"/>
      <c r="E184" s="336"/>
      <c r="F184" s="336"/>
      <c r="G184" s="336"/>
      <c r="H184" s="336"/>
      <c r="I184" s="338"/>
      <c r="J184" s="338"/>
      <c r="K184" s="337"/>
      <c r="L184" s="336"/>
      <c r="M184" s="338"/>
      <c r="N184" s="338"/>
      <c r="O184" s="337"/>
      <c r="P184" s="336"/>
      <c r="Q184" s="338"/>
      <c r="R184" s="336"/>
      <c r="S184" s="337"/>
      <c r="T184" s="339"/>
      <c r="U184" s="339"/>
      <c r="V184" s="339"/>
      <c r="W184" s="339"/>
      <c r="X184" s="339"/>
      <c r="Y184" s="339"/>
      <c r="Z184" s="339"/>
    </row>
    <row r="185" spans="1:26" ht="24" customHeight="1">
      <c r="A185" s="336"/>
      <c r="B185" s="336"/>
      <c r="C185" s="336"/>
      <c r="D185" s="336"/>
      <c r="E185" s="336"/>
      <c r="F185" s="336"/>
      <c r="G185" s="336"/>
      <c r="H185" s="336"/>
      <c r="I185" s="338"/>
      <c r="J185" s="338"/>
      <c r="K185" s="337"/>
      <c r="L185" s="336"/>
      <c r="M185" s="338"/>
      <c r="N185" s="338"/>
      <c r="O185" s="337"/>
      <c r="P185" s="336"/>
      <c r="Q185" s="338"/>
      <c r="R185" s="336"/>
      <c r="S185" s="337"/>
      <c r="T185" s="339"/>
      <c r="U185" s="339"/>
      <c r="V185" s="339"/>
      <c r="W185" s="339"/>
      <c r="X185" s="339"/>
      <c r="Y185" s="339"/>
      <c r="Z185" s="339"/>
    </row>
    <row r="186" spans="1:26" ht="24" customHeight="1">
      <c r="A186" s="336"/>
      <c r="B186" s="336"/>
      <c r="C186" s="336"/>
      <c r="D186" s="336"/>
      <c r="E186" s="336"/>
      <c r="F186" s="336"/>
      <c r="G186" s="336"/>
      <c r="H186" s="336"/>
      <c r="I186" s="338"/>
      <c r="J186" s="338"/>
      <c r="K186" s="337"/>
      <c r="L186" s="336"/>
      <c r="M186" s="338"/>
      <c r="N186" s="338"/>
      <c r="O186" s="337"/>
      <c r="P186" s="336"/>
      <c r="Q186" s="338"/>
      <c r="R186" s="336"/>
      <c r="S186" s="337"/>
      <c r="T186" s="339"/>
      <c r="U186" s="339"/>
      <c r="V186" s="339"/>
      <c r="W186" s="339"/>
      <c r="X186" s="339"/>
      <c r="Y186" s="339"/>
      <c r="Z186" s="339"/>
    </row>
    <row r="187" spans="1:26" ht="24" customHeight="1">
      <c r="A187" s="336"/>
      <c r="B187" s="336"/>
      <c r="C187" s="336"/>
      <c r="D187" s="336"/>
      <c r="E187" s="336"/>
      <c r="F187" s="336"/>
      <c r="G187" s="336"/>
      <c r="H187" s="336"/>
      <c r="I187" s="338"/>
      <c r="J187" s="338"/>
      <c r="K187" s="337"/>
      <c r="L187" s="336"/>
      <c r="M187" s="338"/>
      <c r="N187" s="338"/>
      <c r="O187" s="337"/>
      <c r="P187" s="336"/>
      <c r="Q187" s="338"/>
      <c r="R187" s="336"/>
      <c r="S187" s="337"/>
      <c r="T187" s="339"/>
      <c r="U187" s="339"/>
      <c r="V187" s="339"/>
      <c r="W187" s="339"/>
      <c r="X187" s="339"/>
      <c r="Y187" s="339"/>
      <c r="Z187" s="339"/>
    </row>
    <row r="188" spans="1:26" ht="24" customHeight="1">
      <c r="A188" s="336"/>
      <c r="B188" s="336"/>
      <c r="C188" s="336"/>
      <c r="D188" s="336"/>
      <c r="E188" s="336"/>
      <c r="F188" s="336"/>
      <c r="G188" s="336"/>
      <c r="H188" s="336"/>
      <c r="I188" s="338"/>
      <c r="J188" s="338"/>
      <c r="K188" s="337"/>
      <c r="L188" s="336"/>
      <c r="M188" s="338"/>
      <c r="N188" s="338"/>
      <c r="O188" s="337"/>
      <c r="P188" s="336"/>
      <c r="Q188" s="338"/>
      <c r="R188" s="336"/>
      <c r="S188" s="337"/>
      <c r="T188" s="339"/>
      <c r="U188" s="339"/>
      <c r="V188" s="339"/>
      <c r="W188" s="339"/>
      <c r="X188" s="339"/>
      <c r="Y188" s="339"/>
      <c r="Z188" s="339"/>
    </row>
    <row r="189" spans="1:26" ht="24" customHeight="1">
      <c r="A189" s="336"/>
      <c r="B189" s="336"/>
      <c r="C189" s="336"/>
      <c r="D189" s="336"/>
      <c r="E189" s="336"/>
      <c r="F189" s="336"/>
      <c r="G189" s="336"/>
      <c r="H189" s="336"/>
      <c r="I189" s="338"/>
      <c r="J189" s="338"/>
      <c r="K189" s="337"/>
      <c r="L189" s="336"/>
      <c r="M189" s="338"/>
      <c r="N189" s="338"/>
      <c r="O189" s="337"/>
      <c r="P189" s="336"/>
      <c r="Q189" s="338"/>
      <c r="R189" s="336"/>
      <c r="S189" s="337"/>
      <c r="T189" s="339"/>
      <c r="U189" s="339"/>
      <c r="V189" s="339"/>
      <c r="W189" s="339"/>
      <c r="X189" s="339"/>
      <c r="Y189" s="339"/>
      <c r="Z189" s="339"/>
    </row>
    <row r="190" spans="1:26" ht="24" customHeight="1">
      <c r="A190" s="336"/>
      <c r="B190" s="336"/>
      <c r="C190" s="336"/>
      <c r="D190" s="336"/>
      <c r="E190" s="336"/>
      <c r="F190" s="336"/>
      <c r="G190" s="336"/>
      <c r="H190" s="336"/>
      <c r="I190" s="338"/>
      <c r="J190" s="338"/>
      <c r="K190" s="337"/>
      <c r="L190" s="336"/>
      <c r="M190" s="338"/>
      <c r="N190" s="338"/>
      <c r="O190" s="337"/>
      <c r="P190" s="336"/>
      <c r="Q190" s="338"/>
      <c r="R190" s="336"/>
      <c r="S190" s="337"/>
      <c r="T190" s="339"/>
      <c r="U190" s="339"/>
      <c r="V190" s="339"/>
      <c r="W190" s="339"/>
      <c r="X190" s="339"/>
      <c r="Y190" s="339"/>
      <c r="Z190" s="339"/>
    </row>
    <row r="191" spans="1:26" ht="24" customHeight="1">
      <c r="A191" s="336"/>
      <c r="B191" s="336"/>
      <c r="C191" s="336"/>
      <c r="D191" s="336"/>
      <c r="E191" s="336"/>
      <c r="F191" s="336"/>
      <c r="G191" s="336"/>
      <c r="H191" s="336"/>
      <c r="I191" s="338"/>
      <c r="J191" s="338"/>
      <c r="K191" s="337"/>
      <c r="L191" s="336"/>
      <c r="M191" s="338"/>
      <c r="N191" s="338"/>
      <c r="O191" s="337"/>
      <c r="P191" s="336"/>
      <c r="Q191" s="338"/>
      <c r="R191" s="336"/>
      <c r="S191" s="337"/>
      <c r="T191" s="339"/>
      <c r="U191" s="339"/>
      <c r="V191" s="339"/>
      <c r="W191" s="339"/>
      <c r="X191" s="339"/>
      <c r="Y191" s="339"/>
      <c r="Z191" s="339"/>
    </row>
    <row r="192" spans="1:26" ht="24" customHeight="1">
      <c r="A192" s="336"/>
      <c r="B192" s="336"/>
      <c r="C192" s="336"/>
      <c r="D192" s="336"/>
      <c r="E192" s="336"/>
      <c r="F192" s="336"/>
      <c r="G192" s="336"/>
      <c r="H192" s="336"/>
      <c r="I192" s="338"/>
      <c r="J192" s="338"/>
      <c r="K192" s="337"/>
      <c r="L192" s="336"/>
      <c r="M192" s="338"/>
      <c r="N192" s="338"/>
      <c r="O192" s="337"/>
      <c r="P192" s="336"/>
      <c r="Q192" s="338"/>
      <c r="R192" s="336"/>
      <c r="S192" s="337"/>
      <c r="T192" s="339"/>
      <c r="U192" s="339"/>
      <c r="V192" s="339"/>
      <c r="W192" s="339"/>
      <c r="X192" s="339"/>
      <c r="Y192" s="339"/>
      <c r="Z192" s="339"/>
    </row>
    <row r="193" spans="1:26" ht="24" customHeight="1">
      <c r="A193" s="336"/>
      <c r="B193" s="336"/>
      <c r="C193" s="336"/>
      <c r="D193" s="336"/>
      <c r="E193" s="336"/>
      <c r="F193" s="336"/>
      <c r="G193" s="336"/>
      <c r="H193" s="336"/>
      <c r="I193" s="338"/>
      <c r="J193" s="338"/>
      <c r="K193" s="337"/>
      <c r="L193" s="336"/>
      <c r="M193" s="338"/>
      <c r="N193" s="338"/>
      <c r="O193" s="337"/>
      <c r="P193" s="336"/>
      <c r="Q193" s="338"/>
      <c r="R193" s="336"/>
      <c r="S193" s="337"/>
      <c r="T193" s="339"/>
      <c r="U193" s="339"/>
      <c r="V193" s="339"/>
      <c r="W193" s="339"/>
      <c r="X193" s="339"/>
      <c r="Y193" s="339"/>
      <c r="Z193" s="339"/>
    </row>
    <row r="194" spans="1:26" ht="24" customHeight="1">
      <c r="A194" s="336"/>
      <c r="B194" s="336"/>
      <c r="C194" s="336"/>
      <c r="D194" s="336"/>
      <c r="E194" s="336"/>
      <c r="F194" s="336"/>
      <c r="G194" s="336"/>
      <c r="H194" s="336"/>
      <c r="I194" s="338"/>
      <c r="J194" s="338"/>
      <c r="K194" s="337"/>
      <c r="L194" s="336"/>
      <c r="M194" s="338"/>
      <c r="N194" s="338"/>
      <c r="O194" s="337"/>
      <c r="P194" s="336"/>
      <c r="Q194" s="338"/>
      <c r="R194" s="336"/>
      <c r="S194" s="337"/>
      <c r="T194" s="339"/>
      <c r="U194" s="339"/>
      <c r="V194" s="339"/>
      <c r="W194" s="339"/>
      <c r="X194" s="339"/>
      <c r="Y194" s="339"/>
      <c r="Z194" s="339"/>
    </row>
    <row r="195" spans="1:26" ht="24" customHeight="1">
      <c r="A195" s="336"/>
      <c r="B195" s="336"/>
      <c r="C195" s="336"/>
      <c r="D195" s="336"/>
      <c r="E195" s="336"/>
      <c r="F195" s="336"/>
      <c r="G195" s="336"/>
      <c r="H195" s="336"/>
      <c r="I195" s="338"/>
      <c r="J195" s="338"/>
      <c r="K195" s="337"/>
      <c r="L195" s="336"/>
      <c r="M195" s="338"/>
      <c r="N195" s="338"/>
      <c r="O195" s="337"/>
      <c r="P195" s="336"/>
      <c r="Q195" s="338"/>
      <c r="R195" s="336"/>
      <c r="S195" s="337"/>
      <c r="T195" s="339"/>
      <c r="U195" s="339"/>
      <c r="V195" s="339"/>
      <c r="W195" s="339"/>
      <c r="X195" s="339"/>
      <c r="Y195" s="339"/>
      <c r="Z195" s="339"/>
    </row>
    <row r="196" spans="1:26" ht="24" customHeight="1">
      <c r="A196" s="336"/>
      <c r="B196" s="336"/>
      <c r="C196" s="336"/>
      <c r="D196" s="336"/>
      <c r="E196" s="336"/>
      <c r="F196" s="336"/>
      <c r="G196" s="336"/>
      <c r="H196" s="336"/>
      <c r="I196" s="338"/>
      <c r="J196" s="338"/>
      <c r="K196" s="337"/>
      <c r="L196" s="336"/>
      <c r="M196" s="338"/>
      <c r="N196" s="338"/>
      <c r="O196" s="337"/>
      <c r="P196" s="336"/>
      <c r="Q196" s="338"/>
      <c r="R196" s="336"/>
      <c r="S196" s="337"/>
      <c r="T196" s="339"/>
      <c r="U196" s="339"/>
      <c r="V196" s="339"/>
      <c r="W196" s="339"/>
      <c r="X196" s="339"/>
      <c r="Y196" s="339"/>
      <c r="Z196" s="339"/>
    </row>
    <row r="197" spans="1:26" ht="24" customHeight="1">
      <c r="A197" s="336"/>
      <c r="B197" s="336"/>
      <c r="C197" s="336"/>
      <c r="D197" s="336"/>
      <c r="E197" s="336"/>
      <c r="F197" s="336"/>
      <c r="G197" s="336"/>
      <c r="H197" s="336"/>
      <c r="I197" s="338"/>
      <c r="J197" s="338"/>
      <c r="K197" s="337"/>
      <c r="L197" s="336"/>
      <c r="M197" s="338"/>
      <c r="N197" s="338"/>
      <c r="O197" s="337"/>
      <c r="P197" s="336"/>
      <c r="Q197" s="338"/>
      <c r="R197" s="336"/>
      <c r="S197" s="337"/>
      <c r="T197" s="339"/>
      <c r="U197" s="339"/>
      <c r="V197" s="339"/>
      <c r="W197" s="339"/>
      <c r="X197" s="339"/>
      <c r="Y197" s="339"/>
      <c r="Z197" s="339"/>
    </row>
    <row r="198" spans="1:26" ht="24" customHeight="1">
      <c r="A198" s="336"/>
      <c r="B198" s="336"/>
      <c r="C198" s="336"/>
      <c r="D198" s="336"/>
      <c r="E198" s="336"/>
      <c r="F198" s="336"/>
      <c r="G198" s="336"/>
      <c r="H198" s="336"/>
      <c r="I198" s="338"/>
      <c r="J198" s="338"/>
      <c r="K198" s="337"/>
      <c r="L198" s="336"/>
      <c r="M198" s="338"/>
      <c r="N198" s="338"/>
      <c r="O198" s="337"/>
      <c r="P198" s="336"/>
      <c r="Q198" s="338"/>
      <c r="R198" s="336"/>
      <c r="S198" s="337"/>
      <c r="T198" s="339"/>
      <c r="U198" s="339"/>
      <c r="V198" s="339"/>
      <c r="W198" s="339"/>
      <c r="X198" s="339"/>
      <c r="Y198" s="339"/>
      <c r="Z198" s="339"/>
    </row>
    <row r="199" spans="1:26" ht="24" customHeight="1">
      <c r="A199" s="336"/>
      <c r="B199" s="336"/>
      <c r="C199" s="336"/>
      <c r="D199" s="336"/>
      <c r="E199" s="336"/>
      <c r="F199" s="336"/>
      <c r="G199" s="336"/>
      <c r="H199" s="336"/>
      <c r="I199" s="338"/>
      <c r="J199" s="338"/>
      <c r="K199" s="337"/>
      <c r="L199" s="336"/>
      <c r="M199" s="338"/>
      <c r="N199" s="338"/>
      <c r="O199" s="337"/>
      <c r="P199" s="336"/>
      <c r="Q199" s="338"/>
      <c r="R199" s="336"/>
      <c r="S199" s="337"/>
      <c r="T199" s="339"/>
      <c r="U199" s="339"/>
      <c r="V199" s="339"/>
      <c r="W199" s="339"/>
      <c r="X199" s="339"/>
      <c r="Y199" s="339"/>
      <c r="Z199" s="339"/>
    </row>
    <row r="200" spans="1:26" ht="24" customHeight="1">
      <c r="A200" s="336"/>
      <c r="B200" s="336"/>
      <c r="C200" s="336"/>
      <c r="D200" s="336"/>
      <c r="E200" s="336"/>
      <c r="F200" s="336"/>
      <c r="G200" s="336"/>
      <c r="H200" s="336"/>
      <c r="I200" s="338"/>
      <c r="J200" s="338"/>
      <c r="K200" s="337"/>
      <c r="L200" s="336"/>
      <c r="M200" s="338"/>
      <c r="N200" s="338"/>
      <c r="O200" s="337"/>
      <c r="P200" s="336"/>
      <c r="Q200" s="338"/>
      <c r="R200" s="336"/>
      <c r="S200" s="337"/>
      <c r="T200" s="339"/>
      <c r="U200" s="339"/>
      <c r="V200" s="339"/>
      <c r="W200" s="339"/>
      <c r="X200" s="339"/>
      <c r="Y200" s="339"/>
      <c r="Z200" s="339"/>
    </row>
    <row r="201" spans="1:26" ht="24" customHeight="1">
      <c r="A201" s="336"/>
      <c r="B201" s="336"/>
      <c r="C201" s="336"/>
      <c r="D201" s="336"/>
      <c r="E201" s="336"/>
      <c r="F201" s="336"/>
      <c r="G201" s="336"/>
      <c r="H201" s="336"/>
      <c r="I201" s="338"/>
      <c r="J201" s="338"/>
      <c r="K201" s="337"/>
      <c r="L201" s="336"/>
      <c r="M201" s="338"/>
      <c r="N201" s="338"/>
      <c r="O201" s="337"/>
      <c r="P201" s="336"/>
      <c r="Q201" s="338"/>
      <c r="R201" s="336"/>
      <c r="S201" s="337"/>
      <c r="T201" s="339"/>
      <c r="U201" s="339"/>
      <c r="V201" s="339"/>
      <c r="W201" s="339"/>
      <c r="X201" s="339"/>
      <c r="Y201" s="339"/>
      <c r="Z201" s="339"/>
    </row>
    <row r="202" spans="1:26" ht="24" customHeight="1">
      <c r="A202" s="336"/>
      <c r="B202" s="336"/>
      <c r="C202" s="336"/>
      <c r="D202" s="336"/>
      <c r="E202" s="336"/>
      <c r="F202" s="336"/>
      <c r="G202" s="336"/>
      <c r="H202" s="336"/>
      <c r="I202" s="338"/>
      <c r="J202" s="338"/>
      <c r="K202" s="337"/>
      <c r="L202" s="336"/>
      <c r="M202" s="338"/>
      <c r="N202" s="338"/>
      <c r="O202" s="337"/>
      <c r="P202" s="336"/>
      <c r="Q202" s="338"/>
      <c r="R202" s="336"/>
      <c r="S202" s="337"/>
      <c r="T202" s="339"/>
      <c r="U202" s="339"/>
      <c r="V202" s="339"/>
      <c r="W202" s="339"/>
      <c r="X202" s="339"/>
      <c r="Y202" s="339"/>
      <c r="Z202" s="339"/>
    </row>
    <row r="203" spans="1:26" ht="24" customHeight="1">
      <c r="A203" s="336"/>
      <c r="B203" s="336"/>
      <c r="C203" s="336"/>
      <c r="D203" s="336"/>
      <c r="E203" s="336"/>
      <c r="F203" s="336"/>
      <c r="G203" s="336"/>
      <c r="H203" s="336"/>
      <c r="I203" s="338"/>
      <c r="J203" s="338"/>
      <c r="K203" s="337"/>
      <c r="L203" s="336"/>
      <c r="M203" s="338"/>
      <c r="N203" s="338"/>
      <c r="O203" s="337"/>
      <c r="P203" s="336"/>
      <c r="Q203" s="338"/>
      <c r="R203" s="336"/>
      <c r="S203" s="337"/>
      <c r="T203" s="339"/>
      <c r="U203" s="339"/>
      <c r="V203" s="339"/>
      <c r="W203" s="339"/>
      <c r="X203" s="339"/>
      <c r="Y203" s="339"/>
      <c r="Z203" s="339"/>
    </row>
    <row r="204" spans="1:26" ht="24" customHeight="1">
      <c r="A204" s="336"/>
      <c r="B204" s="336"/>
      <c r="C204" s="336"/>
      <c r="D204" s="336"/>
      <c r="E204" s="336"/>
      <c r="F204" s="336"/>
      <c r="G204" s="336"/>
      <c r="H204" s="336"/>
      <c r="I204" s="338"/>
      <c r="J204" s="338"/>
      <c r="K204" s="337"/>
      <c r="L204" s="336"/>
      <c r="M204" s="338"/>
      <c r="N204" s="338"/>
      <c r="O204" s="337"/>
      <c r="P204" s="336"/>
      <c r="Q204" s="338"/>
      <c r="R204" s="336"/>
      <c r="S204" s="337"/>
      <c r="T204" s="339"/>
      <c r="U204" s="339"/>
      <c r="V204" s="339"/>
      <c r="W204" s="339"/>
      <c r="X204" s="339"/>
      <c r="Y204" s="339"/>
      <c r="Z204" s="339"/>
    </row>
    <row r="205" spans="1:26" ht="24" customHeight="1">
      <c r="A205" s="336"/>
      <c r="B205" s="336"/>
      <c r="C205" s="336"/>
      <c r="D205" s="336"/>
      <c r="E205" s="336"/>
      <c r="F205" s="336"/>
      <c r="G205" s="336"/>
      <c r="H205" s="336"/>
      <c r="I205" s="338"/>
      <c r="J205" s="338"/>
      <c r="K205" s="337"/>
      <c r="L205" s="336"/>
      <c r="M205" s="338"/>
      <c r="N205" s="338"/>
      <c r="O205" s="337"/>
      <c r="P205" s="336"/>
      <c r="Q205" s="338"/>
      <c r="R205" s="336"/>
      <c r="S205" s="337"/>
      <c r="T205" s="339"/>
      <c r="U205" s="339"/>
      <c r="V205" s="339"/>
      <c r="W205" s="339"/>
      <c r="X205" s="339"/>
      <c r="Y205" s="339"/>
      <c r="Z205" s="339"/>
    </row>
    <row r="206" spans="1:26" ht="24" customHeight="1">
      <c r="A206" s="336"/>
      <c r="B206" s="336"/>
      <c r="C206" s="336"/>
      <c r="D206" s="336"/>
      <c r="E206" s="336"/>
      <c r="F206" s="336"/>
      <c r="G206" s="336"/>
      <c r="H206" s="336"/>
      <c r="I206" s="338"/>
      <c r="J206" s="338"/>
      <c r="K206" s="337"/>
      <c r="L206" s="336"/>
      <c r="M206" s="338"/>
      <c r="N206" s="338"/>
      <c r="O206" s="337"/>
      <c r="P206" s="336"/>
      <c r="Q206" s="338"/>
      <c r="R206" s="336"/>
      <c r="S206" s="337"/>
      <c r="T206" s="339"/>
      <c r="U206" s="339"/>
      <c r="V206" s="339"/>
      <c r="W206" s="339"/>
      <c r="X206" s="339"/>
      <c r="Y206" s="339"/>
      <c r="Z206" s="339"/>
    </row>
    <row r="207" spans="1:26" ht="24" customHeight="1">
      <c r="A207" s="336"/>
      <c r="B207" s="336"/>
      <c r="C207" s="336"/>
      <c r="D207" s="336"/>
      <c r="E207" s="336"/>
      <c r="F207" s="336"/>
      <c r="G207" s="336"/>
      <c r="H207" s="336"/>
      <c r="I207" s="338"/>
      <c r="J207" s="338"/>
      <c r="K207" s="337"/>
      <c r="L207" s="336"/>
      <c r="M207" s="338"/>
      <c r="N207" s="338"/>
      <c r="O207" s="337"/>
      <c r="P207" s="336"/>
      <c r="Q207" s="338"/>
      <c r="R207" s="336"/>
      <c r="S207" s="337"/>
      <c r="T207" s="339"/>
      <c r="U207" s="339"/>
      <c r="V207" s="339"/>
      <c r="W207" s="339"/>
      <c r="X207" s="339"/>
      <c r="Y207" s="339"/>
      <c r="Z207" s="339"/>
    </row>
    <row r="208" spans="1:26" ht="24" customHeight="1">
      <c r="A208" s="336"/>
      <c r="B208" s="336"/>
      <c r="C208" s="336"/>
      <c r="D208" s="336"/>
      <c r="E208" s="336"/>
      <c r="F208" s="336"/>
      <c r="G208" s="336"/>
      <c r="H208" s="336"/>
      <c r="I208" s="338"/>
      <c r="J208" s="338"/>
      <c r="K208" s="337"/>
      <c r="L208" s="336"/>
      <c r="M208" s="338"/>
      <c r="N208" s="338"/>
      <c r="O208" s="337"/>
      <c r="P208" s="336"/>
      <c r="Q208" s="338"/>
      <c r="R208" s="336"/>
      <c r="S208" s="337"/>
      <c r="T208" s="339"/>
      <c r="U208" s="339"/>
      <c r="V208" s="339"/>
      <c r="W208" s="339"/>
      <c r="X208" s="339"/>
      <c r="Y208" s="339"/>
      <c r="Z208" s="339"/>
    </row>
    <row r="209" spans="1:26" ht="24" customHeight="1">
      <c r="A209" s="336"/>
      <c r="B209" s="336"/>
      <c r="C209" s="336"/>
      <c r="D209" s="336"/>
      <c r="E209" s="336"/>
      <c r="F209" s="336"/>
      <c r="G209" s="336"/>
      <c r="H209" s="336"/>
      <c r="I209" s="338"/>
      <c r="J209" s="338"/>
      <c r="K209" s="337"/>
      <c r="L209" s="336"/>
      <c r="M209" s="338"/>
      <c r="N209" s="338"/>
      <c r="O209" s="337"/>
      <c r="P209" s="336"/>
      <c r="Q209" s="338"/>
      <c r="R209" s="336"/>
      <c r="S209" s="337"/>
      <c r="T209" s="339"/>
      <c r="U209" s="339"/>
      <c r="V209" s="339"/>
      <c r="W209" s="339"/>
      <c r="X209" s="339"/>
      <c r="Y209" s="339"/>
      <c r="Z209" s="339"/>
    </row>
    <row r="210" spans="1:26" ht="24" customHeight="1">
      <c r="A210" s="336"/>
      <c r="B210" s="336"/>
      <c r="C210" s="336"/>
      <c r="D210" s="336"/>
      <c r="E210" s="336"/>
      <c r="F210" s="336"/>
      <c r="G210" s="336"/>
      <c r="H210" s="336"/>
      <c r="I210" s="338"/>
      <c r="J210" s="338"/>
      <c r="K210" s="337"/>
      <c r="L210" s="336"/>
      <c r="M210" s="338"/>
      <c r="N210" s="338"/>
      <c r="O210" s="337"/>
      <c r="P210" s="336"/>
      <c r="Q210" s="338"/>
      <c r="R210" s="336"/>
      <c r="S210" s="337"/>
      <c r="T210" s="339"/>
      <c r="U210" s="339"/>
      <c r="V210" s="339"/>
      <c r="W210" s="339"/>
      <c r="X210" s="339"/>
      <c r="Y210" s="339"/>
      <c r="Z210" s="339"/>
    </row>
    <row r="211" spans="1:26" ht="24" customHeight="1">
      <c r="A211" s="336"/>
      <c r="B211" s="336"/>
      <c r="C211" s="336"/>
      <c r="D211" s="336"/>
      <c r="E211" s="336"/>
      <c r="F211" s="336"/>
      <c r="G211" s="336"/>
      <c r="H211" s="336"/>
      <c r="I211" s="338"/>
      <c r="J211" s="338"/>
      <c r="K211" s="337"/>
      <c r="L211" s="336"/>
      <c r="M211" s="338"/>
      <c r="N211" s="338"/>
      <c r="O211" s="337"/>
      <c r="P211" s="336"/>
      <c r="Q211" s="338"/>
      <c r="R211" s="336"/>
      <c r="S211" s="337"/>
      <c r="T211" s="339"/>
      <c r="U211" s="339"/>
      <c r="V211" s="339"/>
      <c r="W211" s="339"/>
      <c r="X211" s="339"/>
      <c r="Y211" s="339"/>
      <c r="Z211" s="339"/>
    </row>
    <row r="212" spans="1:26" ht="24" customHeight="1">
      <c r="A212" s="336"/>
      <c r="B212" s="336"/>
      <c r="C212" s="336"/>
      <c r="D212" s="336"/>
      <c r="E212" s="336"/>
      <c r="F212" s="336"/>
      <c r="G212" s="336"/>
      <c r="H212" s="336"/>
      <c r="I212" s="338"/>
      <c r="J212" s="338"/>
      <c r="K212" s="337"/>
      <c r="L212" s="336"/>
      <c r="M212" s="338"/>
      <c r="N212" s="338"/>
      <c r="O212" s="337"/>
      <c r="P212" s="336"/>
      <c r="Q212" s="338"/>
      <c r="R212" s="336"/>
      <c r="S212" s="337"/>
      <c r="T212" s="339"/>
      <c r="U212" s="339"/>
      <c r="V212" s="339"/>
      <c r="W212" s="339"/>
      <c r="X212" s="339"/>
      <c r="Y212" s="339"/>
      <c r="Z212" s="339"/>
    </row>
    <row r="213" spans="1:26" ht="24" customHeight="1">
      <c r="A213" s="336"/>
      <c r="B213" s="336"/>
      <c r="C213" s="336"/>
      <c r="D213" s="336"/>
      <c r="E213" s="336"/>
      <c r="F213" s="336"/>
      <c r="G213" s="336"/>
      <c r="H213" s="336"/>
      <c r="I213" s="338"/>
      <c r="J213" s="338"/>
      <c r="K213" s="337"/>
      <c r="L213" s="336"/>
      <c r="M213" s="338"/>
      <c r="N213" s="338"/>
      <c r="O213" s="337"/>
      <c r="P213" s="336"/>
      <c r="Q213" s="338"/>
      <c r="R213" s="336"/>
      <c r="S213" s="337"/>
      <c r="T213" s="339"/>
      <c r="U213" s="339"/>
      <c r="V213" s="339"/>
      <c r="W213" s="339"/>
      <c r="X213" s="339"/>
      <c r="Y213" s="339"/>
      <c r="Z213" s="339"/>
    </row>
    <row r="214" spans="1:26" ht="24" customHeight="1">
      <c r="A214" s="336"/>
      <c r="B214" s="336"/>
      <c r="C214" s="336"/>
      <c r="D214" s="336"/>
      <c r="E214" s="336"/>
      <c r="F214" s="336"/>
      <c r="G214" s="336"/>
      <c r="H214" s="336"/>
      <c r="I214" s="338"/>
      <c r="J214" s="338"/>
      <c r="K214" s="337"/>
      <c r="L214" s="336"/>
      <c r="M214" s="338"/>
      <c r="N214" s="338"/>
      <c r="O214" s="337"/>
      <c r="P214" s="336"/>
      <c r="Q214" s="338"/>
      <c r="R214" s="336"/>
      <c r="S214" s="337"/>
      <c r="T214" s="339"/>
      <c r="U214" s="339"/>
      <c r="V214" s="339"/>
      <c r="W214" s="339"/>
      <c r="X214" s="339"/>
      <c r="Y214" s="339"/>
      <c r="Z214" s="339"/>
    </row>
    <row r="215" spans="1:26" ht="24" customHeight="1">
      <c r="A215" s="336"/>
      <c r="B215" s="336"/>
      <c r="C215" s="336"/>
      <c r="D215" s="336"/>
      <c r="E215" s="336"/>
      <c r="F215" s="336"/>
      <c r="G215" s="336"/>
      <c r="H215" s="336"/>
      <c r="I215" s="338"/>
      <c r="J215" s="338"/>
      <c r="K215" s="337"/>
      <c r="L215" s="336"/>
      <c r="M215" s="338"/>
      <c r="N215" s="338"/>
      <c r="O215" s="337"/>
      <c r="P215" s="336"/>
      <c r="Q215" s="338"/>
      <c r="R215" s="336"/>
      <c r="S215" s="337"/>
      <c r="T215" s="339"/>
      <c r="U215" s="339"/>
      <c r="V215" s="339"/>
      <c r="W215" s="339"/>
      <c r="X215" s="339"/>
      <c r="Y215" s="339"/>
      <c r="Z215" s="339"/>
    </row>
    <row r="216" spans="1:26" ht="24" customHeight="1">
      <c r="A216" s="336"/>
      <c r="B216" s="336"/>
      <c r="C216" s="336"/>
      <c r="D216" s="336"/>
      <c r="E216" s="336"/>
      <c r="F216" s="336"/>
      <c r="G216" s="336"/>
      <c r="H216" s="336"/>
      <c r="I216" s="338"/>
      <c r="J216" s="338"/>
      <c r="K216" s="337"/>
      <c r="L216" s="336"/>
      <c r="M216" s="338"/>
      <c r="N216" s="338"/>
      <c r="O216" s="337"/>
      <c r="P216" s="336"/>
      <c r="Q216" s="338"/>
      <c r="R216" s="336"/>
      <c r="S216" s="337"/>
      <c r="T216" s="339"/>
      <c r="U216" s="339"/>
      <c r="V216" s="339"/>
      <c r="W216" s="339"/>
      <c r="X216" s="339"/>
      <c r="Y216" s="339"/>
      <c r="Z216" s="339"/>
    </row>
    <row r="217" spans="1:26" ht="24" customHeight="1">
      <c r="A217" s="336"/>
      <c r="B217" s="336"/>
      <c r="C217" s="336"/>
      <c r="D217" s="336"/>
      <c r="E217" s="336"/>
      <c r="F217" s="336"/>
      <c r="G217" s="336"/>
      <c r="H217" s="336"/>
      <c r="I217" s="338"/>
      <c r="J217" s="338"/>
      <c r="K217" s="337"/>
      <c r="L217" s="336"/>
      <c r="M217" s="338"/>
      <c r="N217" s="338"/>
      <c r="O217" s="337"/>
      <c r="P217" s="336"/>
      <c r="Q217" s="338"/>
      <c r="R217" s="336"/>
      <c r="S217" s="337"/>
      <c r="T217" s="339"/>
      <c r="U217" s="339"/>
      <c r="V217" s="339"/>
      <c r="W217" s="339"/>
      <c r="X217" s="339"/>
      <c r="Y217" s="339"/>
      <c r="Z217" s="339"/>
    </row>
    <row r="218" spans="1:26" ht="24" customHeight="1">
      <c r="A218" s="336"/>
      <c r="B218" s="336"/>
      <c r="C218" s="336"/>
      <c r="D218" s="336"/>
      <c r="E218" s="336"/>
      <c r="F218" s="336"/>
      <c r="G218" s="336"/>
      <c r="H218" s="336"/>
      <c r="I218" s="338"/>
      <c r="J218" s="338"/>
      <c r="K218" s="337"/>
      <c r="L218" s="336"/>
      <c r="M218" s="338"/>
      <c r="N218" s="338"/>
      <c r="O218" s="337"/>
      <c r="P218" s="336"/>
      <c r="Q218" s="338"/>
      <c r="R218" s="336"/>
      <c r="S218" s="337"/>
      <c r="T218" s="339"/>
      <c r="U218" s="339"/>
      <c r="V218" s="339"/>
      <c r="W218" s="339"/>
      <c r="X218" s="339"/>
      <c r="Y218" s="339"/>
      <c r="Z218" s="339"/>
    </row>
    <row r="219" spans="1:26" ht="24" customHeight="1">
      <c r="A219" s="336"/>
      <c r="B219" s="336"/>
      <c r="C219" s="336"/>
      <c r="D219" s="336"/>
      <c r="E219" s="336"/>
      <c r="F219" s="336"/>
      <c r="G219" s="336"/>
      <c r="H219" s="336"/>
      <c r="I219" s="338"/>
      <c r="J219" s="338"/>
      <c r="K219" s="337"/>
      <c r="L219" s="336"/>
      <c r="M219" s="338"/>
      <c r="N219" s="338"/>
      <c r="O219" s="337"/>
      <c r="P219" s="336"/>
      <c r="Q219" s="338"/>
      <c r="R219" s="336"/>
      <c r="S219" s="337"/>
      <c r="T219" s="339"/>
      <c r="U219" s="339"/>
      <c r="V219" s="339"/>
      <c r="W219" s="339"/>
      <c r="X219" s="339"/>
      <c r="Y219" s="339"/>
      <c r="Z219" s="339"/>
    </row>
    <row r="220" spans="1:26" ht="24" customHeight="1">
      <c r="A220" s="336"/>
      <c r="B220" s="336"/>
      <c r="C220" s="336"/>
      <c r="D220" s="336"/>
      <c r="E220" s="336"/>
      <c r="F220" s="336"/>
      <c r="G220" s="336"/>
      <c r="H220" s="336"/>
      <c r="I220" s="338"/>
      <c r="J220" s="338"/>
      <c r="K220" s="337"/>
      <c r="L220" s="336"/>
      <c r="M220" s="338"/>
      <c r="N220" s="338"/>
      <c r="O220" s="337"/>
      <c r="P220" s="336"/>
      <c r="Q220" s="338"/>
      <c r="R220" s="336"/>
      <c r="S220" s="337"/>
      <c r="T220" s="339"/>
      <c r="U220" s="339"/>
      <c r="V220" s="339"/>
      <c r="W220" s="339"/>
      <c r="X220" s="339"/>
      <c r="Y220" s="339"/>
      <c r="Z220" s="339"/>
    </row>
    <row r="221" spans="1:26" ht="24" customHeight="1">
      <c r="A221" s="336"/>
      <c r="B221" s="336"/>
      <c r="C221" s="336"/>
      <c r="D221" s="336"/>
      <c r="E221" s="336"/>
      <c r="F221" s="336"/>
      <c r="G221" s="336"/>
      <c r="H221" s="336"/>
      <c r="I221" s="338"/>
      <c r="J221" s="338"/>
      <c r="K221" s="337"/>
      <c r="L221" s="336"/>
      <c r="M221" s="338"/>
      <c r="N221" s="338"/>
      <c r="O221" s="337"/>
      <c r="P221" s="336"/>
      <c r="Q221" s="338"/>
      <c r="R221" s="336"/>
      <c r="S221" s="337"/>
      <c r="T221" s="339"/>
      <c r="U221" s="339"/>
      <c r="V221" s="339"/>
      <c r="W221" s="339"/>
      <c r="X221" s="339"/>
      <c r="Y221" s="339"/>
      <c r="Z221" s="339"/>
    </row>
    <row r="222" spans="1:26" ht="24" customHeight="1">
      <c r="A222" s="336"/>
      <c r="B222" s="336"/>
      <c r="C222" s="336"/>
      <c r="D222" s="336"/>
      <c r="E222" s="336"/>
      <c r="F222" s="336"/>
      <c r="G222" s="336"/>
      <c r="H222" s="336"/>
      <c r="I222" s="338"/>
      <c r="J222" s="338"/>
      <c r="K222" s="337"/>
      <c r="L222" s="336"/>
      <c r="M222" s="338"/>
      <c r="N222" s="338"/>
      <c r="O222" s="337"/>
      <c r="P222" s="336"/>
      <c r="Q222" s="338"/>
      <c r="R222" s="336"/>
      <c r="S222" s="337"/>
      <c r="T222" s="339"/>
      <c r="U222" s="339"/>
      <c r="V222" s="339"/>
      <c r="W222" s="339"/>
      <c r="X222" s="339"/>
      <c r="Y222" s="339"/>
      <c r="Z222" s="339"/>
    </row>
    <row r="223" spans="1:26" ht="24" customHeight="1">
      <c r="A223" s="336"/>
      <c r="B223" s="336"/>
      <c r="C223" s="336"/>
      <c r="D223" s="336"/>
      <c r="E223" s="336"/>
      <c r="F223" s="336"/>
      <c r="G223" s="336"/>
      <c r="H223" s="336"/>
      <c r="I223" s="338"/>
      <c r="J223" s="338"/>
      <c r="K223" s="337"/>
      <c r="L223" s="336"/>
      <c r="M223" s="338"/>
      <c r="N223" s="338"/>
      <c r="O223" s="337"/>
      <c r="P223" s="336"/>
      <c r="Q223" s="338"/>
      <c r="R223" s="336"/>
      <c r="S223" s="337"/>
      <c r="T223" s="339"/>
      <c r="U223" s="339"/>
      <c r="V223" s="339"/>
      <c r="W223" s="339"/>
      <c r="X223" s="339"/>
      <c r="Y223" s="339"/>
      <c r="Z223" s="339"/>
    </row>
    <row r="224" spans="1:26" ht="24" customHeight="1">
      <c r="A224" s="336"/>
      <c r="B224" s="336"/>
      <c r="C224" s="336"/>
      <c r="D224" s="336"/>
      <c r="E224" s="336"/>
      <c r="F224" s="336"/>
      <c r="G224" s="336"/>
      <c r="H224" s="336"/>
      <c r="I224" s="338"/>
      <c r="J224" s="338"/>
      <c r="K224" s="337"/>
      <c r="L224" s="336"/>
      <c r="M224" s="338"/>
      <c r="N224" s="338"/>
      <c r="O224" s="337"/>
      <c r="P224" s="336"/>
      <c r="Q224" s="338"/>
      <c r="R224" s="336"/>
      <c r="S224" s="337"/>
      <c r="T224" s="339"/>
      <c r="U224" s="339"/>
      <c r="V224" s="339"/>
      <c r="W224" s="339"/>
      <c r="X224" s="339"/>
      <c r="Y224" s="339"/>
      <c r="Z224" s="339"/>
    </row>
    <row r="225" spans="1:26" ht="24" customHeight="1">
      <c r="A225" s="336"/>
      <c r="B225" s="336"/>
      <c r="C225" s="336"/>
      <c r="D225" s="336"/>
      <c r="E225" s="336"/>
      <c r="F225" s="336"/>
      <c r="G225" s="336"/>
      <c r="H225" s="336"/>
      <c r="I225" s="338"/>
      <c r="J225" s="338"/>
      <c r="K225" s="337"/>
      <c r="L225" s="336"/>
      <c r="M225" s="338"/>
      <c r="N225" s="338"/>
      <c r="O225" s="337"/>
      <c r="P225" s="336"/>
      <c r="Q225" s="338"/>
      <c r="R225" s="336"/>
      <c r="S225" s="337"/>
      <c r="T225" s="339"/>
      <c r="U225" s="339"/>
      <c r="V225" s="339"/>
      <c r="W225" s="339"/>
      <c r="X225" s="339"/>
      <c r="Y225" s="339"/>
      <c r="Z225" s="339"/>
    </row>
    <row r="226" spans="1:26" ht="24" customHeight="1">
      <c r="A226" s="336"/>
      <c r="B226" s="336"/>
      <c r="C226" s="336"/>
      <c r="D226" s="336"/>
      <c r="E226" s="336"/>
      <c r="F226" s="336"/>
      <c r="G226" s="336"/>
      <c r="H226" s="336"/>
      <c r="I226" s="338"/>
      <c r="J226" s="338"/>
      <c r="K226" s="337"/>
      <c r="L226" s="336"/>
      <c r="M226" s="338"/>
      <c r="N226" s="338"/>
      <c r="O226" s="337"/>
      <c r="P226" s="336"/>
      <c r="Q226" s="338"/>
      <c r="R226" s="336"/>
      <c r="S226" s="337"/>
      <c r="T226" s="339"/>
      <c r="U226" s="339"/>
      <c r="V226" s="339"/>
      <c r="W226" s="339"/>
      <c r="X226" s="339"/>
      <c r="Y226" s="339"/>
      <c r="Z226" s="339"/>
    </row>
    <row r="227" spans="1:26" ht="24" customHeight="1">
      <c r="A227" s="336"/>
      <c r="B227" s="336"/>
      <c r="C227" s="336"/>
      <c r="D227" s="336"/>
      <c r="E227" s="336"/>
      <c r="F227" s="336"/>
      <c r="G227" s="336"/>
      <c r="H227" s="336"/>
      <c r="I227" s="338"/>
      <c r="J227" s="338"/>
      <c r="K227" s="337"/>
      <c r="L227" s="336"/>
      <c r="M227" s="338"/>
      <c r="N227" s="338"/>
      <c r="O227" s="337"/>
      <c r="P227" s="336"/>
      <c r="Q227" s="338"/>
      <c r="R227" s="336"/>
      <c r="S227" s="337"/>
      <c r="T227" s="339"/>
      <c r="U227" s="339"/>
      <c r="V227" s="339"/>
      <c r="W227" s="339"/>
      <c r="X227" s="339"/>
      <c r="Y227" s="339"/>
      <c r="Z227" s="339"/>
    </row>
    <row r="228" spans="1:26" ht="24" customHeight="1">
      <c r="A228" s="336"/>
      <c r="B228" s="336"/>
      <c r="C228" s="336"/>
      <c r="D228" s="336"/>
      <c r="E228" s="336"/>
      <c r="F228" s="336"/>
      <c r="G228" s="336"/>
      <c r="H228" s="336"/>
      <c r="I228" s="338"/>
      <c r="J228" s="338"/>
      <c r="K228" s="337"/>
      <c r="L228" s="336"/>
      <c r="M228" s="338"/>
      <c r="N228" s="338"/>
      <c r="O228" s="337"/>
      <c r="P228" s="336"/>
      <c r="Q228" s="338"/>
      <c r="R228" s="336"/>
      <c r="S228" s="337"/>
      <c r="T228" s="339"/>
      <c r="U228" s="339"/>
      <c r="V228" s="339"/>
      <c r="W228" s="339"/>
      <c r="X228" s="339"/>
      <c r="Y228" s="339"/>
      <c r="Z228" s="339"/>
    </row>
    <row r="229" spans="1:26" ht="24" customHeight="1">
      <c r="A229" s="336"/>
      <c r="B229" s="336"/>
      <c r="C229" s="336"/>
      <c r="D229" s="336"/>
      <c r="E229" s="336"/>
      <c r="F229" s="336"/>
      <c r="G229" s="336"/>
      <c r="H229" s="336"/>
      <c r="I229" s="338"/>
      <c r="J229" s="338"/>
      <c r="K229" s="337"/>
      <c r="L229" s="336"/>
      <c r="M229" s="338"/>
      <c r="N229" s="338"/>
      <c r="O229" s="337"/>
      <c r="P229" s="336"/>
      <c r="Q229" s="338"/>
      <c r="R229" s="336"/>
      <c r="S229" s="337"/>
      <c r="T229" s="339"/>
      <c r="U229" s="339"/>
      <c r="V229" s="339"/>
      <c r="W229" s="339"/>
      <c r="X229" s="339"/>
      <c r="Y229" s="339"/>
      <c r="Z229" s="339"/>
    </row>
    <row r="230" spans="1:26" ht="24" customHeight="1">
      <c r="A230" s="336"/>
      <c r="B230" s="336"/>
      <c r="C230" s="336"/>
      <c r="D230" s="336"/>
      <c r="E230" s="336"/>
      <c r="F230" s="336"/>
      <c r="G230" s="336"/>
      <c r="H230" s="336"/>
      <c r="I230" s="338"/>
      <c r="J230" s="338"/>
      <c r="K230" s="337"/>
      <c r="L230" s="336"/>
      <c r="M230" s="338"/>
      <c r="N230" s="338"/>
      <c r="O230" s="337"/>
      <c r="P230" s="336"/>
      <c r="Q230" s="338"/>
      <c r="R230" s="336"/>
      <c r="S230" s="337"/>
      <c r="T230" s="339"/>
      <c r="U230" s="339"/>
      <c r="V230" s="339"/>
      <c r="W230" s="339"/>
      <c r="X230" s="339"/>
      <c r="Y230" s="339"/>
      <c r="Z230" s="339"/>
    </row>
    <row r="231" spans="1:26" ht="24" customHeight="1">
      <c r="A231" s="336"/>
      <c r="B231" s="336"/>
      <c r="C231" s="336"/>
      <c r="D231" s="336"/>
      <c r="E231" s="336"/>
      <c r="F231" s="336"/>
      <c r="G231" s="336"/>
      <c r="H231" s="336"/>
      <c r="I231" s="338"/>
      <c r="J231" s="338"/>
      <c r="K231" s="337"/>
      <c r="L231" s="336"/>
      <c r="M231" s="338"/>
      <c r="N231" s="338"/>
      <c r="O231" s="337"/>
      <c r="P231" s="336"/>
      <c r="Q231" s="338"/>
      <c r="R231" s="336"/>
      <c r="S231" s="337"/>
      <c r="T231" s="339"/>
      <c r="U231" s="339"/>
      <c r="V231" s="339"/>
      <c r="W231" s="339"/>
      <c r="X231" s="339"/>
      <c r="Y231" s="339"/>
      <c r="Z231" s="339"/>
    </row>
    <row r="232" spans="1:26" ht="24" customHeight="1">
      <c r="A232" s="336"/>
      <c r="B232" s="336"/>
      <c r="C232" s="336"/>
      <c r="D232" s="336"/>
      <c r="E232" s="336"/>
      <c r="F232" s="336"/>
      <c r="G232" s="336"/>
      <c r="H232" s="336"/>
      <c r="I232" s="338"/>
      <c r="J232" s="338"/>
      <c r="K232" s="337"/>
      <c r="L232" s="336"/>
      <c r="M232" s="338"/>
      <c r="N232" s="338"/>
      <c r="O232" s="337"/>
      <c r="P232" s="336"/>
      <c r="Q232" s="338"/>
      <c r="R232" s="336"/>
      <c r="S232" s="337"/>
      <c r="T232" s="339"/>
      <c r="U232" s="339"/>
      <c r="V232" s="339"/>
      <c r="W232" s="339"/>
      <c r="X232" s="339"/>
      <c r="Y232" s="339"/>
      <c r="Z232" s="339"/>
    </row>
    <row r="233" spans="1:26" ht="24" customHeight="1">
      <c r="A233" s="336"/>
      <c r="B233" s="336"/>
      <c r="C233" s="336"/>
      <c r="D233" s="336"/>
      <c r="E233" s="336"/>
      <c r="F233" s="336"/>
      <c r="G233" s="336"/>
      <c r="H233" s="336"/>
      <c r="I233" s="338"/>
      <c r="J233" s="338"/>
      <c r="K233" s="337"/>
      <c r="L233" s="336"/>
      <c r="M233" s="338"/>
      <c r="N233" s="338"/>
      <c r="O233" s="337"/>
      <c r="P233" s="336"/>
      <c r="Q233" s="338"/>
      <c r="R233" s="336"/>
      <c r="S233" s="337"/>
      <c r="T233" s="339"/>
      <c r="U233" s="339"/>
      <c r="V233" s="339"/>
      <c r="W233" s="339"/>
      <c r="X233" s="339"/>
      <c r="Y233" s="339"/>
      <c r="Z233" s="339"/>
    </row>
    <row r="234" spans="1:26" ht="24" customHeight="1">
      <c r="A234" s="336"/>
      <c r="B234" s="336"/>
      <c r="C234" s="336"/>
      <c r="D234" s="336"/>
      <c r="E234" s="336"/>
      <c r="F234" s="336"/>
      <c r="G234" s="336"/>
      <c r="H234" s="336"/>
      <c r="I234" s="338"/>
      <c r="J234" s="338"/>
      <c r="K234" s="337"/>
      <c r="L234" s="336"/>
      <c r="M234" s="338"/>
      <c r="N234" s="338"/>
      <c r="O234" s="337"/>
      <c r="P234" s="336"/>
      <c r="Q234" s="338"/>
      <c r="R234" s="336"/>
      <c r="S234" s="337"/>
      <c r="T234" s="339"/>
      <c r="U234" s="339"/>
      <c r="V234" s="339"/>
      <c r="W234" s="339"/>
      <c r="X234" s="339"/>
      <c r="Y234" s="339"/>
      <c r="Z234" s="339"/>
    </row>
    <row r="235" spans="1:26" ht="24" customHeight="1">
      <c r="A235" s="336"/>
      <c r="B235" s="336"/>
      <c r="C235" s="336"/>
      <c r="D235" s="336"/>
      <c r="E235" s="336"/>
      <c r="F235" s="336"/>
      <c r="G235" s="336"/>
      <c r="H235" s="336"/>
      <c r="I235" s="338"/>
      <c r="J235" s="338"/>
      <c r="K235" s="337"/>
      <c r="L235" s="336"/>
      <c r="M235" s="338"/>
      <c r="N235" s="338"/>
      <c r="O235" s="337"/>
      <c r="P235" s="336"/>
      <c r="Q235" s="338"/>
      <c r="R235" s="336"/>
      <c r="S235" s="337"/>
      <c r="T235" s="339"/>
      <c r="U235" s="339"/>
      <c r="V235" s="339"/>
      <c r="W235" s="339"/>
      <c r="X235" s="339"/>
      <c r="Y235" s="339"/>
      <c r="Z235" s="339"/>
    </row>
    <row r="236" spans="1:26" ht="24" customHeight="1">
      <c r="A236" s="336"/>
      <c r="B236" s="336"/>
      <c r="C236" s="336"/>
      <c r="D236" s="336"/>
      <c r="E236" s="336"/>
      <c r="F236" s="336"/>
      <c r="G236" s="336"/>
      <c r="H236" s="336"/>
      <c r="I236" s="338"/>
      <c r="J236" s="338"/>
      <c r="K236" s="337"/>
      <c r="L236" s="336"/>
      <c r="M236" s="338"/>
      <c r="N236" s="338"/>
      <c r="O236" s="337"/>
      <c r="P236" s="336"/>
      <c r="Q236" s="338"/>
      <c r="R236" s="336"/>
      <c r="S236" s="337"/>
      <c r="T236" s="339"/>
      <c r="U236" s="339"/>
      <c r="V236" s="339"/>
      <c r="W236" s="339"/>
      <c r="X236" s="339"/>
      <c r="Y236" s="339"/>
      <c r="Z236" s="339"/>
    </row>
    <row r="237" spans="1:26" ht="24" customHeight="1">
      <c r="A237" s="336"/>
      <c r="B237" s="336"/>
      <c r="C237" s="336"/>
      <c r="D237" s="336"/>
      <c r="E237" s="336"/>
      <c r="F237" s="336"/>
      <c r="G237" s="336"/>
      <c r="H237" s="336"/>
      <c r="I237" s="338"/>
      <c r="J237" s="338"/>
      <c r="K237" s="337"/>
      <c r="L237" s="336"/>
      <c r="M237" s="338"/>
      <c r="N237" s="338"/>
      <c r="O237" s="337"/>
      <c r="P237" s="336"/>
      <c r="Q237" s="338"/>
      <c r="R237" s="336"/>
      <c r="S237" s="337"/>
      <c r="T237" s="339"/>
      <c r="U237" s="339"/>
      <c r="V237" s="339"/>
      <c r="W237" s="339"/>
      <c r="X237" s="339"/>
      <c r="Y237" s="339"/>
      <c r="Z237" s="339"/>
    </row>
    <row r="238" spans="1:26" ht="24" customHeight="1">
      <c r="A238" s="336"/>
      <c r="B238" s="336"/>
      <c r="C238" s="336"/>
      <c r="D238" s="336"/>
      <c r="E238" s="336"/>
      <c r="F238" s="336"/>
      <c r="G238" s="336"/>
      <c r="H238" s="336"/>
      <c r="I238" s="338"/>
      <c r="J238" s="338"/>
      <c r="K238" s="337"/>
      <c r="L238" s="336"/>
      <c r="M238" s="338"/>
      <c r="N238" s="338"/>
      <c r="O238" s="337"/>
      <c r="P238" s="336"/>
      <c r="Q238" s="338"/>
      <c r="R238" s="336"/>
      <c r="S238" s="337"/>
      <c r="T238" s="339"/>
      <c r="U238" s="339"/>
      <c r="V238" s="339"/>
      <c r="W238" s="339"/>
      <c r="X238" s="339"/>
      <c r="Y238" s="339"/>
      <c r="Z238" s="339"/>
    </row>
    <row r="239" spans="1:26" ht="24" customHeight="1">
      <c r="A239" s="336"/>
      <c r="B239" s="336"/>
      <c r="C239" s="336"/>
      <c r="D239" s="336"/>
      <c r="E239" s="336"/>
      <c r="F239" s="336"/>
      <c r="G239" s="336"/>
      <c r="H239" s="336"/>
      <c r="I239" s="338"/>
      <c r="J239" s="338"/>
      <c r="K239" s="337"/>
      <c r="L239" s="336"/>
      <c r="M239" s="338"/>
      <c r="N239" s="338"/>
      <c r="O239" s="337"/>
      <c r="P239" s="336"/>
      <c r="Q239" s="338"/>
      <c r="R239" s="336"/>
      <c r="S239" s="337"/>
      <c r="T239" s="339"/>
      <c r="U239" s="339"/>
      <c r="V239" s="339"/>
      <c r="W239" s="339"/>
      <c r="X239" s="339"/>
      <c r="Y239" s="339"/>
      <c r="Z239" s="339"/>
    </row>
    <row r="240" spans="1:26" ht="24" customHeight="1">
      <c r="A240" s="336"/>
      <c r="B240" s="336"/>
      <c r="C240" s="336"/>
      <c r="D240" s="336"/>
      <c r="E240" s="336"/>
      <c r="F240" s="336"/>
      <c r="G240" s="336"/>
      <c r="H240" s="336"/>
      <c r="I240" s="338"/>
      <c r="J240" s="338"/>
      <c r="K240" s="337"/>
      <c r="L240" s="336"/>
      <c r="M240" s="338"/>
      <c r="N240" s="338"/>
      <c r="O240" s="337"/>
      <c r="P240" s="336"/>
      <c r="Q240" s="338"/>
      <c r="R240" s="336"/>
      <c r="S240" s="337"/>
      <c r="T240" s="339"/>
      <c r="U240" s="339"/>
      <c r="V240" s="339"/>
      <c r="W240" s="339"/>
      <c r="X240" s="339"/>
      <c r="Y240" s="339"/>
      <c r="Z240" s="339"/>
    </row>
    <row r="241" spans="1:26" ht="24" customHeight="1">
      <c r="A241" s="336"/>
      <c r="B241" s="336"/>
      <c r="C241" s="336"/>
      <c r="D241" s="336"/>
      <c r="E241" s="336"/>
      <c r="F241" s="336"/>
      <c r="G241" s="336"/>
      <c r="H241" s="336"/>
      <c r="I241" s="338"/>
      <c r="J241" s="338"/>
      <c r="K241" s="337"/>
      <c r="L241" s="336"/>
      <c r="M241" s="338"/>
      <c r="N241" s="338"/>
      <c r="O241" s="337"/>
      <c r="P241" s="336"/>
      <c r="Q241" s="338"/>
      <c r="R241" s="336"/>
      <c r="S241" s="337"/>
      <c r="T241" s="339"/>
      <c r="U241" s="339"/>
      <c r="V241" s="339"/>
      <c r="W241" s="339"/>
      <c r="X241" s="339"/>
      <c r="Y241" s="339"/>
      <c r="Z241" s="339"/>
    </row>
    <row r="242" spans="1:26" ht="24" customHeight="1">
      <c r="A242" s="336"/>
      <c r="B242" s="336"/>
      <c r="C242" s="336"/>
      <c r="D242" s="336"/>
      <c r="E242" s="336"/>
      <c r="F242" s="336"/>
      <c r="G242" s="336"/>
      <c r="H242" s="336"/>
      <c r="I242" s="338"/>
      <c r="J242" s="338"/>
      <c r="K242" s="337"/>
      <c r="L242" s="336"/>
      <c r="M242" s="338"/>
      <c r="N242" s="338"/>
      <c r="O242" s="337"/>
      <c r="P242" s="336"/>
      <c r="Q242" s="338"/>
      <c r="R242" s="336"/>
      <c r="S242" s="337"/>
      <c r="T242" s="339"/>
      <c r="U242" s="339"/>
      <c r="V242" s="339"/>
      <c r="W242" s="339"/>
      <c r="X242" s="339"/>
      <c r="Y242" s="339"/>
      <c r="Z242" s="339"/>
    </row>
    <row r="243" spans="1:26" ht="24" customHeight="1">
      <c r="A243" s="336"/>
      <c r="B243" s="336"/>
      <c r="C243" s="336"/>
      <c r="D243" s="336"/>
      <c r="E243" s="336"/>
      <c r="F243" s="336"/>
      <c r="G243" s="336"/>
      <c r="H243" s="336"/>
      <c r="I243" s="338"/>
      <c r="J243" s="338"/>
      <c r="K243" s="337"/>
      <c r="L243" s="336"/>
      <c r="M243" s="338"/>
      <c r="N243" s="338"/>
      <c r="O243" s="337"/>
      <c r="P243" s="336"/>
      <c r="Q243" s="338"/>
      <c r="R243" s="336"/>
      <c r="S243" s="337"/>
      <c r="T243" s="339"/>
      <c r="U243" s="339"/>
      <c r="V243" s="339"/>
      <c r="W243" s="339"/>
      <c r="X243" s="339"/>
      <c r="Y243" s="339"/>
      <c r="Z243" s="339"/>
    </row>
    <row r="244" spans="1:26" ht="24" customHeight="1">
      <c r="A244" s="336"/>
      <c r="B244" s="336"/>
      <c r="C244" s="336"/>
      <c r="D244" s="336"/>
      <c r="E244" s="336"/>
      <c r="F244" s="336"/>
      <c r="G244" s="336"/>
      <c r="H244" s="336"/>
      <c r="I244" s="338"/>
      <c r="J244" s="338"/>
      <c r="K244" s="337"/>
      <c r="L244" s="336"/>
      <c r="M244" s="338"/>
      <c r="N244" s="338"/>
      <c r="O244" s="337"/>
      <c r="P244" s="336"/>
      <c r="Q244" s="338"/>
      <c r="R244" s="336"/>
      <c r="S244" s="337"/>
      <c r="T244" s="339"/>
      <c r="U244" s="339"/>
      <c r="V244" s="339"/>
      <c r="W244" s="339"/>
      <c r="X244" s="339"/>
      <c r="Y244" s="339"/>
      <c r="Z244" s="339"/>
    </row>
    <row r="245" spans="1:26" ht="24" customHeight="1">
      <c r="A245" s="336"/>
      <c r="B245" s="336"/>
      <c r="C245" s="336"/>
      <c r="D245" s="336"/>
      <c r="E245" s="336"/>
      <c r="F245" s="336"/>
      <c r="G245" s="336"/>
      <c r="H245" s="336"/>
      <c r="I245" s="338"/>
      <c r="J245" s="338"/>
      <c r="K245" s="337"/>
      <c r="L245" s="336"/>
      <c r="M245" s="338"/>
      <c r="N245" s="338"/>
      <c r="O245" s="337"/>
      <c r="P245" s="336"/>
      <c r="Q245" s="338"/>
      <c r="R245" s="336"/>
      <c r="S245" s="337"/>
      <c r="T245" s="339"/>
      <c r="U245" s="339"/>
      <c r="V245" s="339"/>
      <c r="W245" s="339"/>
      <c r="X245" s="339"/>
      <c r="Y245" s="339"/>
      <c r="Z245" s="339"/>
    </row>
    <row r="246" spans="1:26" ht="24" customHeight="1">
      <c r="A246" s="336"/>
      <c r="B246" s="336"/>
      <c r="C246" s="336"/>
      <c r="D246" s="336"/>
      <c r="E246" s="336"/>
      <c r="F246" s="336"/>
      <c r="G246" s="336"/>
      <c r="H246" s="336"/>
      <c r="I246" s="338"/>
      <c r="J246" s="338"/>
      <c r="K246" s="337"/>
      <c r="L246" s="336"/>
      <c r="M246" s="338"/>
      <c r="N246" s="338"/>
      <c r="O246" s="337"/>
      <c r="P246" s="336"/>
      <c r="Q246" s="338"/>
      <c r="R246" s="336"/>
      <c r="S246" s="337"/>
      <c r="T246" s="339"/>
      <c r="U246" s="339"/>
      <c r="V246" s="339"/>
      <c r="W246" s="339"/>
      <c r="X246" s="339"/>
      <c r="Y246" s="339"/>
      <c r="Z246" s="339"/>
    </row>
    <row r="247" spans="1:26" ht="24" customHeight="1">
      <c r="A247" s="336"/>
      <c r="B247" s="336"/>
      <c r="C247" s="336"/>
      <c r="D247" s="336"/>
      <c r="E247" s="336"/>
      <c r="F247" s="336"/>
      <c r="G247" s="336"/>
      <c r="H247" s="336"/>
      <c r="I247" s="338"/>
      <c r="J247" s="338"/>
      <c r="K247" s="337"/>
      <c r="L247" s="336"/>
      <c r="M247" s="338"/>
      <c r="N247" s="338"/>
      <c r="O247" s="337"/>
      <c r="P247" s="336"/>
      <c r="Q247" s="338"/>
      <c r="R247" s="336"/>
      <c r="S247" s="337"/>
      <c r="T247" s="339"/>
      <c r="U247" s="339"/>
      <c r="V247" s="339"/>
      <c r="W247" s="339"/>
      <c r="X247" s="339"/>
      <c r="Y247" s="339"/>
      <c r="Z247" s="339"/>
    </row>
    <row r="248" spans="1:26" ht="24" customHeight="1">
      <c r="A248" s="336"/>
      <c r="B248" s="336"/>
      <c r="C248" s="336"/>
      <c r="D248" s="336"/>
      <c r="E248" s="336"/>
      <c r="F248" s="336"/>
      <c r="G248" s="336"/>
      <c r="H248" s="336"/>
      <c r="I248" s="338"/>
      <c r="J248" s="338"/>
      <c r="K248" s="337"/>
      <c r="L248" s="336"/>
      <c r="M248" s="338"/>
      <c r="N248" s="338"/>
      <c r="O248" s="337"/>
      <c r="P248" s="336"/>
      <c r="Q248" s="338"/>
      <c r="R248" s="336"/>
      <c r="S248" s="337"/>
      <c r="T248" s="339"/>
      <c r="U248" s="339"/>
      <c r="V248" s="339"/>
      <c r="W248" s="339"/>
      <c r="X248" s="339"/>
      <c r="Y248" s="339"/>
      <c r="Z248" s="339"/>
    </row>
    <row r="249" spans="1:26" ht="24" customHeight="1">
      <c r="A249" s="336"/>
      <c r="B249" s="336"/>
      <c r="C249" s="336"/>
      <c r="D249" s="336"/>
      <c r="E249" s="336"/>
      <c r="F249" s="336"/>
      <c r="G249" s="336"/>
      <c r="H249" s="336"/>
      <c r="I249" s="338"/>
      <c r="J249" s="338"/>
      <c r="K249" s="337"/>
      <c r="L249" s="336"/>
      <c r="M249" s="338"/>
      <c r="N249" s="338"/>
      <c r="O249" s="337"/>
      <c r="P249" s="336"/>
      <c r="Q249" s="338"/>
      <c r="R249" s="336"/>
      <c r="S249" s="337"/>
      <c r="T249" s="339"/>
      <c r="U249" s="339"/>
      <c r="V249" s="339"/>
      <c r="W249" s="339"/>
      <c r="X249" s="339"/>
      <c r="Y249" s="339"/>
      <c r="Z249" s="339"/>
    </row>
    <row r="250" spans="1:26" ht="24" customHeight="1">
      <c r="A250" s="336"/>
      <c r="B250" s="336"/>
      <c r="C250" s="336"/>
      <c r="D250" s="336"/>
      <c r="E250" s="336"/>
      <c r="F250" s="336"/>
      <c r="G250" s="336"/>
      <c r="H250" s="336"/>
      <c r="I250" s="338"/>
      <c r="J250" s="338"/>
      <c r="K250" s="337"/>
      <c r="L250" s="336"/>
      <c r="M250" s="338"/>
      <c r="N250" s="338"/>
      <c r="O250" s="337"/>
      <c r="P250" s="336"/>
      <c r="Q250" s="338"/>
      <c r="R250" s="336"/>
      <c r="S250" s="337"/>
      <c r="T250" s="339"/>
      <c r="U250" s="339"/>
      <c r="V250" s="339"/>
      <c r="W250" s="339"/>
      <c r="X250" s="339"/>
      <c r="Y250" s="339"/>
      <c r="Z250" s="339"/>
    </row>
    <row r="251" spans="1:26" ht="24" customHeight="1">
      <c r="A251" s="336"/>
      <c r="B251" s="336"/>
      <c r="C251" s="336"/>
      <c r="D251" s="336"/>
      <c r="E251" s="336"/>
      <c r="F251" s="336"/>
      <c r="G251" s="336"/>
      <c r="H251" s="336"/>
      <c r="I251" s="338"/>
      <c r="J251" s="338"/>
      <c r="K251" s="337"/>
      <c r="L251" s="336"/>
      <c r="M251" s="338"/>
      <c r="N251" s="338"/>
      <c r="O251" s="337"/>
      <c r="P251" s="336"/>
      <c r="Q251" s="338"/>
      <c r="R251" s="336"/>
      <c r="S251" s="337"/>
      <c r="T251" s="339"/>
      <c r="U251" s="339"/>
      <c r="V251" s="339"/>
      <c r="W251" s="339"/>
      <c r="X251" s="339"/>
      <c r="Y251" s="339"/>
      <c r="Z251" s="339"/>
    </row>
    <row r="252" spans="1:26" ht="24" customHeight="1">
      <c r="A252" s="336"/>
      <c r="B252" s="336"/>
      <c r="C252" s="336"/>
      <c r="D252" s="336"/>
      <c r="E252" s="336"/>
      <c r="F252" s="336"/>
      <c r="G252" s="336"/>
      <c r="H252" s="336"/>
      <c r="I252" s="338"/>
      <c r="J252" s="338"/>
      <c r="K252" s="337"/>
      <c r="L252" s="336"/>
      <c r="M252" s="338"/>
      <c r="N252" s="338"/>
      <c r="O252" s="337"/>
      <c r="P252" s="336"/>
      <c r="Q252" s="338"/>
      <c r="R252" s="336"/>
      <c r="S252" s="337"/>
      <c r="T252" s="339"/>
      <c r="U252" s="339"/>
      <c r="V252" s="339"/>
      <c r="W252" s="339"/>
      <c r="X252" s="339"/>
      <c r="Y252" s="339"/>
      <c r="Z252" s="339"/>
    </row>
    <row r="253" spans="1:26" ht="24" customHeight="1">
      <c r="A253" s="336"/>
      <c r="B253" s="336"/>
      <c r="C253" s="336"/>
      <c r="D253" s="336"/>
      <c r="E253" s="336"/>
      <c r="F253" s="336"/>
      <c r="G253" s="336"/>
      <c r="H253" s="336"/>
      <c r="I253" s="338"/>
      <c r="J253" s="338"/>
      <c r="K253" s="337"/>
      <c r="L253" s="336"/>
      <c r="M253" s="338"/>
      <c r="N253" s="338"/>
      <c r="O253" s="337"/>
      <c r="P253" s="336"/>
      <c r="Q253" s="338"/>
      <c r="R253" s="336"/>
      <c r="S253" s="337"/>
      <c r="T253" s="339"/>
      <c r="U253" s="339"/>
      <c r="V253" s="339"/>
      <c r="W253" s="339"/>
      <c r="X253" s="339"/>
      <c r="Y253" s="339"/>
      <c r="Z253" s="339"/>
    </row>
    <row r="254" spans="1:26" ht="24" customHeight="1">
      <c r="A254" s="336"/>
      <c r="B254" s="336"/>
      <c r="C254" s="336"/>
      <c r="D254" s="336"/>
      <c r="E254" s="336"/>
      <c r="F254" s="336"/>
      <c r="G254" s="336"/>
      <c r="H254" s="336"/>
      <c r="I254" s="338"/>
      <c r="J254" s="338"/>
      <c r="K254" s="337"/>
      <c r="L254" s="336"/>
      <c r="M254" s="338"/>
      <c r="N254" s="338"/>
      <c r="O254" s="337"/>
      <c r="P254" s="336"/>
      <c r="Q254" s="338"/>
      <c r="R254" s="336"/>
      <c r="S254" s="337"/>
      <c r="T254" s="339"/>
      <c r="U254" s="339"/>
      <c r="V254" s="339"/>
      <c r="W254" s="339"/>
      <c r="X254" s="339"/>
      <c r="Y254" s="339"/>
      <c r="Z254" s="339"/>
    </row>
    <row r="255" spans="1:26" ht="24" customHeight="1">
      <c r="A255" s="336"/>
      <c r="B255" s="336"/>
      <c r="C255" s="336"/>
      <c r="D255" s="336"/>
      <c r="E255" s="336"/>
      <c r="F255" s="336"/>
      <c r="G255" s="336"/>
      <c r="H255" s="336"/>
      <c r="I255" s="338"/>
      <c r="J255" s="338"/>
      <c r="K255" s="337"/>
      <c r="L255" s="336"/>
      <c r="M255" s="338"/>
      <c r="N255" s="338"/>
      <c r="O255" s="337"/>
      <c r="P255" s="336"/>
      <c r="Q255" s="338"/>
      <c r="R255" s="336"/>
      <c r="S255" s="337"/>
      <c r="T255" s="339"/>
      <c r="U255" s="339"/>
      <c r="V255" s="339"/>
      <c r="W255" s="339"/>
      <c r="X255" s="339"/>
      <c r="Y255" s="339"/>
      <c r="Z255" s="339"/>
    </row>
    <row r="256" spans="1:26" ht="24" customHeight="1">
      <c r="A256" s="336"/>
      <c r="B256" s="336"/>
      <c r="C256" s="336"/>
      <c r="D256" s="336"/>
      <c r="E256" s="336"/>
      <c r="F256" s="336"/>
      <c r="G256" s="336"/>
      <c r="H256" s="336"/>
      <c r="I256" s="338"/>
      <c r="J256" s="338"/>
      <c r="K256" s="337"/>
      <c r="L256" s="336"/>
      <c r="M256" s="338"/>
      <c r="N256" s="338"/>
      <c r="O256" s="337"/>
      <c r="P256" s="336"/>
      <c r="Q256" s="338"/>
      <c r="R256" s="336"/>
      <c r="S256" s="337"/>
      <c r="T256" s="339"/>
      <c r="U256" s="339"/>
      <c r="V256" s="339"/>
      <c r="W256" s="339"/>
      <c r="X256" s="339"/>
      <c r="Y256" s="339"/>
      <c r="Z256" s="339"/>
    </row>
    <row r="257" spans="1:26" ht="24" customHeight="1">
      <c r="A257" s="336"/>
      <c r="B257" s="336"/>
      <c r="C257" s="336"/>
      <c r="D257" s="336"/>
      <c r="E257" s="336"/>
      <c r="F257" s="336"/>
      <c r="G257" s="336"/>
      <c r="H257" s="336"/>
      <c r="I257" s="338"/>
      <c r="J257" s="338"/>
      <c r="K257" s="337"/>
      <c r="L257" s="336"/>
      <c r="M257" s="338"/>
      <c r="N257" s="338"/>
      <c r="O257" s="337"/>
      <c r="P257" s="336"/>
      <c r="Q257" s="338"/>
      <c r="R257" s="336"/>
      <c r="S257" s="337"/>
      <c r="T257" s="339"/>
      <c r="U257" s="339"/>
      <c r="V257" s="339"/>
      <c r="W257" s="339"/>
      <c r="X257" s="339"/>
      <c r="Y257" s="339"/>
      <c r="Z257" s="339"/>
    </row>
    <row r="258" spans="1:26" ht="24" customHeight="1">
      <c r="A258" s="336"/>
      <c r="B258" s="336"/>
      <c r="C258" s="336"/>
      <c r="D258" s="336"/>
      <c r="E258" s="336"/>
      <c r="F258" s="336"/>
      <c r="G258" s="336"/>
      <c r="H258" s="336"/>
      <c r="I258" s="338"/>
      <c r="J258" s="338"/>
      <c r="K258" s="337"/>
      <c r="L258" s="336"/>
      <c r="M258" s="338"/>
      <c r="N258" s="338"/>
      <c r="O258" s="337"/>
      <c r="P258" s="336"/>
      <c r="Q258" s="338"/>
      <c r="R258" s="336"/>
      <c r="S258" s="337"/>
      <c r="T258" s="339"/>
      <c r="U258" s="339"/>
      <c r="V258" s="339"/>
      <c r="W258" s="339"/>
      <c r="X258" s="339"/>
      <c r="Y258" s="339"/>
      <c r="Z258" s="339"/>
    </row>
    <row r="259" spans="1:26" ht="24" customHeight="1">
      <c r="A259" s="336"/>
      <c r="B259" s="336"/>
      <c r="C259" s="336"/>
      <c r="D259" s="336"/>
      <c r="E259" s="336"/>
      <c r="F259" s="336"/>
      <c r="G259" s="336"/>
      <c r="H259" s="336"/>
      <c r="I259" s="338"/>
      <c r="J259" s="338"/>
      <c r="K259" s="337"/>
      <c r="L259" s="336"/>
      <c r="M259" s="338"/>
      <c r="N259" s="338"/>
      <c r="O259" s="337"/>
      <c r="P259" s="336"/>
      <c r="Q259" s="338"/>
      <c r="R259" s="336"/>
      <c r="S259" s="337"/>
      <c r="T259" s="339"/>
      <c r="U259" s="339"/>
      <c r="V259" s="339"/>
      <c r="W259" s="339"/>
      <c r="X259" s="339"/>
      <c r="Y259" s="339"/>
      <c r="Z259" s="339"/>
    </row>
    <row r="260" spans="1:26" ht="24" customHeight="1">
      <c r="A260" s="336"/>
      <c r="B260" s="336"/>
      <c r="C260" s="336"/>
      <c r="D260" s="336"/>
      <c r="E260" s="336"/>
      <c r="F260" s="336"/>
      <c r="G260" s="336"/>
      <c r="H260" s="336"/>
      <c r="I260" s="338"/>
      <c r="J260" s="338"/>
      <c r="K260" s="337"/>
      <c r="L260" s="336"/>
      <c r="M260" s="338"/>
      <c r="N260" s="338"/>
      <c r="O260" s="337"/>
      <c r="P260" s="336"/>
      <c r="Q260" s="338"/>
      <c r="R260" s="336"/>
      <c r="S260" s="337"/>
      <c r="T260" s="339"/>
      <c r="U260" s="339"/>
      <c r="V260" s="339"/>
      <c r="W260" s="339"/>
      <c r="X260" s="339"/>
      <c r="Y260" s="339"/>
      <c r="Z260" s="339"/>
    </row>
    <row r="261" spans="1:26" ht="24" customHeight="1">
      <c r="A261" s="336"/>
      <c r="B261" s="336"/>
      <c r="C261" s="336"/>
      <c r="D261" s="336"/>
      <c r="E261" s="336"/>
      <c r="F261" s="336"/>
      <c r="G261" s="336"/>
      <c r="H261" s="336"/>
      <c r="I261" s="338"/>
      <c r="J261" s="338"/>
      <c r="K261" s="337"/>
      <c r="L261" s="336"/>
      <c r="M261" s="338"/>
      <c r="N261" s="338"/>
      <c r="O261" s="337"/>
      <c r="P261" s="336"/>
      <c r="Q261" s="338"/>
      <c r="R261" s="336"/>
      <c r="S261" s="337"/>
      <c r="T261" s="339"/>
      <c r="U261" s="339"/>
      <c r="V261" s="339"/>
      <c r="W261" s="339"/>
      <c r="X261" s="339"/>
      <c r="Y261" s="339"/>
      <c r="Z261" s="339"/>
    </row>
    <row r="262" spans="1:26" ht="24" customHeight="1">
      <c r="A262" s="336"/>
      <c r="B262" s="336"/>
      <c r="C262" s="336"/>
      <c r="D262" s="336"/>
      <c r="E262" s="336"/>
      <c r="F262" s="336"/>
      <c r="G262" s="336"/>
      <c r="H262" s="336"/>
      <c r="I262" s="338"/>
      <c r="J262" s="338"/>
      <c r="K262" s="337"/>
      <c r="L262" s="336"/>
      <c r="M262" s="338"/>
      <c r="N262" s="338"/>
      <c r="O262" s="337"/>
      <c r="P262" s="336"/>
      <c r="Q262" s="338"/>
      <c r="R262" s="336"/>
      <c r="S262" s="337"/>
      <c r="T262" s="339"/>
      <c r="U262" s="339"/>
      <c r="V262" s="339"/>
      <c r="W262" s="339"/>
      <c r="X262" s="339"/>
      <c r="Y262" s="339"/>
      <c r="Z262" s="339"/>
    </row>
    <row r="263" spans="1:26" ht="24" customHeight="1">
      <c r="A263" s="336"/>
      <c r="B263" s="336"/>
      <c r="C263" s="336"/>
      <c r="D263" s="336"/>
      <c r="E263" s="336"/>
      <c r="F263" s="336"/>
      <c r="G263" s="336"/>
      <c r="H263" s="336"/>
      <c r="I263" s="338"/>
      <c r="J263" s="338"/>
      <c r="K263" s="337"/>
      <c r="L263" s="336"/>
      <c r="M263" s="338"/>
      <c r="N263" s="338"/>
      <c r="O263" s="337"/>
      <c r="P263" s="336"/>
      <c r="Q263" s="338"/>
      <c r="R263" s="336"/>
      <c r="S263" s="337"/>
      <c r="T263" s="339"/>
      <c r="U263" s="339"/>
      <c r="V263" s="339"/>
      <c r="W263" s="339"/>
      <c r="X263" s="339"/>
      <c r="Y263" s="339"/>
      <c r="Z263" s="339"/>
    </row>
    <row r="264" spans="1:26" ht="24" customHeight="1">
      <c r="A264" s="336"/>
      <c r="B264" s="336"/>
      <c r="C264" s="336"/>
      <c r="D264" s="336"/>
      <c r="E264" s="336"/>
      <c r="F264" s="336"/>
      <c r="G264" s="336"/>
      <c r="H264" s="336"/>
      <c r="I264" s="338"/>
      <c r="J264" s="338"/>
      <c r="K264" s="337"/>
      <c r="L264" s="336"/>
      <c r="M264" s="338"/>
      <c r="N264" s="338"/>
      <c r="O264" s="337"/>
      <c r="P264" s="336"/>
      <c r="Q264" s="338"/>
      <c r="R264" s="336"/>
      <c r="S264" s="337"/>
      <c r="T264" s="339"/>
      <c r="U264" s="339"/>
      <c r="V264" s="339"/>
      <c r="W264" s="339"/>
      <c r="X264" s="339"/>
      <c r="Y264" s="339"/>
      <c r="Z264" s="339"/>
    </row>
    <row r="265" spans="1:26" ht="24" customHeight="1">
      <c r="A265" s="336"/>
      <c r="B265" s="336"/>
      <c r="C265" s="336"/>
      <c r="D265" s="336"/>
      <c r="E265" s="336"/>
      <c r="F265" s="336"/>
      <c r="G265" s="336"/>
      <c r="H265" s="336"/>
      <c r="I265" s="338"/>
      <c r="J265" s="338"/>
      <c r="K265" s="337"/>
      <c r="L265" s="336"/>
      <c r="M265" s="338"/>
      <c r="N265" s="338"/>
      <c r="O265" s="337"/>
      <c r="P265" s="336"/>
      <c r="Q265" s="338"/>
      <c r="R265" s="336"/>
      <c r="S265" s="337"/>
      <c r="T265" s="339"/>
      <c r="U265" s="339"/>
      <c r="V265" s="339"/>
      <c r="W265" s="339"/>
      <c r="X265" s="339"/>
      <c r="Y265" s="339"/>
      <c r="Z265" s="339"/>
    </row>
    <row r="266" spans="1:26" ht="24" customHeight="1">
      <c r="A266" s="336"/>
      <c r="B266" s="336"/>
      <c r="C266" s="336"/>
      <c r="D266" s="336"/>
      <c r="E266" s="336"/>
      <c r="F266" s="336"/>
      <c r="G266" s="336"/>
      <c r="H266" s="336"/>
      <c r="I266" s="338"/>
      <c r="J266" s="338"/>
      <c r="K266" s="337"/>
      <c r="L266" s="336"/>
      <c r="M266" s="338"/>
      <c r="N266" s="338"/>
      <c r="O266" s="337"/>
      <c r="P266" s="336"/>
      <c r="Q266" s="338"/>
      <c r="R266" s="336"/>
      <c r="S266" s="337"/>
      <c r="T266" s="339"/>
      <c r="U266" s="339"/>
      <c r="V266" s="339"/>
      <c r="W266" s="339"/>
      <c r="X266" s="339"/>
      <c r="Y266" s="339"/>
      <c r="Z266" s="339"/>
    </row>
    <row r="267" spans="1:26" ht="24" customHeight="1">
      <c r="A267" s="336"/>
      <c r="B267" s="336"/>
      <c r="C267" s="336"/>
      <c r="D267" s="336"/>
      <c r="E267" s="336"/>
      <c r="F267" s="336"/>
      <c r="G267" s="336"/>
      <c r="H267" s="336"/>
      <c r="I267" s="338"/>
      <c r="J267" s="338"/>
      <c r="K267" s="337"/>
      <c r="L267" s="336"/>
      <c r="M267" s="338"/>
      <c r="N267" s="338"/>
      <c r="O267" s="337"/>
      <c r="P267" s="336"/>
      <c r="Q267" s="338"/>
      <c r="R267" s="336"/>
      <c r="S267" s="337"/>
      <c r="T267" s="339"/>
      <c r="U267" s="339"/>
      <c r="V267" s="339"/>
      <c r="W267" s="339"/>
      <c r="X267" s="339"/>
      <c r="Y267" s="339"/>
      <c r="Z267" s="339"/>
    </row>
    <row r="268" spans="1:26" ht="24" customHeight="1">
      <c r="A268" s="336"/>
      <c r="B268" s="336"/>
      <c r="C268" s="336"/>
      <c r="D268" s="336"/>
      <c r="E268" s="336"/>
      <c r="F268" s="336"/>
      <c r="G268" s="336"/>
      <c r="H268" s="336"/>
      <c r="I268" s="338"/>
      <c r="J268" s="338"/>
      <c r="K268" s="337"/>
      <c r="L268" s="336"/>
      <c r="M268" s="338"/>
      <c r="N268" s="338"/>
      <c r="O268" s="337"/>
      <c r="P268" s="336"/>
      <c r="Q268" s="338"/>
      <c r="R268" s="336"/>
      <c r="S268" s="337"/>
      <c r="T268" s="339"/>
      <c r="U268" s="339"/>
      <c r="V268" s="339"/>
      <c r="W268" s="339"/>
      <c r="X268" s="339"/>
      <c r="Y268" s="339"/>
      <c r="Z268" s="339"/>
    </row>
    <row r="269" spans="1:26" ht="24" customHeight="1">
      <c r="A269" s="336"/>
      <c r="B269" s="336"/>
      <c r="C269" s="336"/>
      <c r="D269" s="336"/>
      <c r="E269" s="336"/>
      <c r="F269" s="336"/>
      <c r="G269" s="336"/>
      <c r="H269" s="336"/>
      <c r="I269" s="338"/>
      <c r="J269" s="338"/>
      <c r="K269" s="337"/>
      <c r="L269" s="336"/>
      <c r="M269" s="338"/>
      <c r="N269" s="338"/>
      <c r="O269" s="337"/>
      <c r="P269" s="336"/>
      <c r="Q269" s="338"/>
      <c r="R269" s="336"/>
      <c r="S269" s="337"/>
      <c r="T269" s="339"/>
      <c r="U269" s="339"/>
      <c r="V269" s="339"/>
      <c r="W269" s="339"/>
      <c r="X269" s="339"/>
      <c r="Y269" s="339"/>
      <c r="Z269" s="339"/>
    </row>
    <row r="270" spans="1:26" ht="24" customHeight="1">
      <c r="A270" s="336"/>
      <c r="B270" s="336"/>
      <c r="C270" s="336"/>
      <c r="D270" s="336"/>
      <c r="E270" s="336"/>
      <c r="F270" s="336"/>
      <c r="G270" s="336"/>
      <c r="H270" s="336"/>
      <c r="I270" s="338"/>
      <c r="J270" s="338"/>
      <c r="K270" s="337"/>
      <c r="L270" s="336"/>
      <c r="M270" s="338"/>
      <c r="N270" s="338"/>
      <c r="O270" s="337"/>
      <c r="P270" s="336"/>
      <c r="Q270" s="338"/>
      <c r="R270" s="336"/>
      <c r="S270" s="337"/>
      <c r="T270" s="339"/>
      <c r="U270" s="339"/>
      <c r="V270" s="339"/>
      <c r="W270" s="339"/>
      <c r="X270" s="339"/>
      <c r="Y270" s="339"/>
      <c r="Z270" s="339"/>
    </row>
    <row r="271" spans="1:26" ht="24" customHeight="1">
      <c r="A271" s="336"/>
      <c r="B271" s="336"/>
      <c r="C271" s="336"/>
      <c r="D271" s="336"/>
      <c r="E271" s="336"/>
      <c r="F271" s="336"/>
      <c r="G271" s="336"/>
      <c r="H271" s="336"/>
      <c r="I271" s="338"/>
      <c r="J271" s="338"/>
      <c r="K271" s="337"/>
      <c r="L271" s="336"/>
      <c r="M271" s="338"/>
      <c r="N271" s="338"/>
      <c r="O271" s="337"/>
      <c r="P271" s="336"/>
      <c r="Q271" s="338"/>
      <c r="R271" s="336"/>
      <c r="S271" s="337"/>
      <c r="T271" s="339"/>
      <c r="U271" s="339"/>
      <c r="V271" s="339"/>
      <c r="W271" s="339"/>
      <c r="X271" s="339"/>
      <c r="Y271" s="339"/>
      <c r="Z271" s="339"/>
    </row>
    <row r="272" spans="1:26" ht="24" customHeight="1">
      <c r="A272" s="336"/>
      <c r="B272" s="336"/>
      <c r="C272" s="336"/>
      <c r="D272" s="336"/>
      <c r="E272" s="336"/>
      <c r="F272" s="336"/>
      <c r="G272" s="336"/>
      <c r="H272" s="336"/>
      <c r="I272" s="338"/>
      <c r="J272" s="338"/>
      <c r="K272" s="337"/>
      <c r="L272" s="336"/>
      <c r="M272" s="338"/>
      <c r="N272" s="338"/>
      <c r="O272" s="337"/>
      <c r="P272" s="336"/>
      <c r="Q272" s="338"/>
      <c r="R272" s="336"/>
      <c r="S272" s="337"/>
      <c r="T272" s="339"/>
      <c r="U272" s="339"/>
      <c r="V272" s="339"/>
      <c r="W272" s="339"/>
      <c r="X272" s="339"/>
      <c r="Y272" s="339"/>
      <c r="Z272" s="339"/>
    </row>
    <row r="273" spans="1:26" ht="24" customHeight="1">
      <c r="A273" s="336"/>
      <c r="B273" s="336"/>
      <c r="C273" s="336"/>
      <c r="D273" s="336"/>
      <c r="E273" s="336"/>
      <c r="F273" s="336"/>
      <c r="G273" s="336"/>
      <c r="H273" s="336"/>
      <c r="I273" s="338"/>
      <c r="J273" s="338"/>
      <c r="K273" s="337"/>
      <c r="L273" s="336"/>
      <c r="M273" s="338"/>
      <c r="N273" s="338"/>
      <c r="O273" s="337"/>
      <c r="P273" s="336"/>
      <c r="Q273" s="338"/>
      <c r="R273" s="336"/>
      <c r="S273" s="337"/>
      <c r="T273" s="339"/>
      <c r="U273" s="339"/>
      <c r="V273" s="339"/>
      <c r="W273" s="339"/>
      <c r="X273" s="339"/>
      <c r="Y273" s="339"/>
      <c r="Z273" s="339"/>
    </row>
    <row r="274" spans="1:26" ht="24" customHeight="1">
      <c r="A274" s="336"/>
      <c r="B274" s="336"/>
      <c r="C274" s="336"/>
      <c r="D274" s="336"/>
      <c r="E274" s="336"/>
      <c r="F274" s="336"/>
      <c r="G274" s="336"/>
      <c r="H274" s="336"/>
      <c r="I274" s="338"/>
      <c r="J274" s="338"/>
      <c r="K274" s="337"/>
      <c r="L274" s="336"/>
      <c r="M274" s="338"/>
      <c r="N274" s="338"/>
      <c r="O274" s="337"/>
      <c r="P274" s="336"/>
      <c r="Q274" s="338"/>
      <c r="R274" s="336"/>
      <c r="S274" s="337"/>
      <c r="T274" s="339"/>
      <c r="U274" s="339"/>
      <c r="V274" s="339"/>
      <c r="W274" s="339"/>
      <c r="X274" s="339"/>
      <c r="Y274" s="339"/>
      <c r="Z274" s="339"/>
    </row>
    <row r="275" spans="1:26" ht="24" customHeight="1">
      <c r="A275" s="336"/>
      <c r="B275" s="336"/>
      <c r="C275" s="336"/>
      <c r="D275" s="336"/>
      <c r="E275" s="336"/>
      <c r="F275" s="336"/>
      <c r="G275" s="336"/>
      <c r="H275" s="336"/>
      <c r="I275" s="338"/>
      <c r="J275" s="338"/>
      <c r="K275" s="337"/>
      <c r="L275" s="336"/>
      <c r="M275" s="338"/>
      <c r="N275" s="338"/>
      <c r="O275" s="337"/>
      <c r="P275" s="336"/>
      <c r="Q275" s="338"/>
      <c r="R275" s="336"/>
      <c r="S275" s="337"/>
      <c r="T275" s="339"/>
      <c r="U275" s="339"/>
      <c r="V275" s="339"/>
      <c r="W275" s="339"/>
      <c r="X275" s="339"/>
      <c r="Y275" s="339"/>
      <c r="Z275" s="339"/>
    </row>
    <row r="276" spans="1:26" ht="24" customHeight="1">
      <c r="A276" s="336"/>
      <c r="B276" s="336"/>
      <c r="C276" s="336"/>
      <c r="D276" s="336"/>
      <c r="E276" s="336"/>
      <c r="F276" s="336"/>
      <c r="G276" s="336"/>
      <c r="H276" s="336"/>
      <c r="I276" s="338"/>
      <c r="J276" s="338"/>
      <c r="K276" s="337"/>
      <c r="L276" s="336"/>
      <c r="M276" s="338"/>
      <c r="N276" s="338"/>
      <c r="O276" s="337"/>
      <c r="P276" s="336"/>
      <c r="Q276" s="338"/>
      <c r="R276" s="336"/>
      <c r="S276" s="337"/>
      <c r="T276" s="339"/>
      <c r="U276" s="339"/>
      <c r="V276" s="339"/>
      <c r="W276" s="339"/>
      <c r="X276" s="339"/>
      <c r="Y276" s="339"/>
      <c r="Z276" s="339"/>
    </row>
    <row r="277" spans="1:26" ht="24" customHeight="1">
      <c r="A277" s="336"/>
      <c r="B277" s="336"/>
      <c r="C277" s="336"/>
      <c r="D277" s="336"/>
      <c r="E277" s="336"/>
      <c r="F277" s="336"/>
      <c r="G277" s="336"/>
      <c r="H277" s="336"/>
      <c r="I277" s="338"/>
      <c r="J277" s="338"/>
      <c r="K277" s="337"/>
      <c r="L277" s="336"/>
      <c r="M277" s="338"/>
      <c r="N277" s="338"/>
      <c r="O277" s="337"/>
      <c r="P277" s="336"/>
      <c r="Q277" s="338"/>
      <c r="R277" s="336"/>
      <c r="S277" s="337"/>
      <c r="T277" s="339"/>
      <c r="U277" s="339"/>
      <c r="V277" s="339"/>
      <c r="W277" s="339"/>
      <c r="X277" s="339"/>
      <c r="Y277" s="339"/>
      <c r="Z277" s="339"/>
    </row>
    <row r="278" spans="1:26" ht="24" customHeight="1">
      <c r="A278" s="336"/>
      <c r="B278" s="336"/>
      <c r="C278" s="336"/>
      <c r="D278" s="336"/>
      <c r="E278" s="336"/>
      <c r="F278" s="336"/>
      <c r="G278" s="336"/>
      <c r="H278" s="336"/>
      <c r="I278" s="338"/>
      <c r="J278" s="338"/>
      <c r="K278" s="337"/>
      <c r="L278" s="336"/>
      <c r="M278" s="338"/>
      <c r="N278" s="338"/>
      <c r="O278" s="337"/>
      <c r="P278" s="336"/>
      <c r="Q278" s="338"/>
      <c r="R278" s="336"/>
      <c r="S278" s="337"/>
      <c r="T278" s="339"/>
      <c r="U278" s="339"/>
      <c r="V278" s="339"/>
      <c r="W278" s="339"/>
      <c r="X278" s="339"/>
      <c r="Y278" s="339"/>
      <c r="Z278" s="339"/>
    </row>
    <row r="279" spans="1:26" ht="24" customHeight="1">
      <c r="A279" s="336"/>
      <c r="B279" s="336"/>
      <c r="C279" s="336"/>
      <c r="D279" s="336"/>
      <c r="E279" s="336"/>
      <c r="F279" s="336"/>
      <c r="G279" s="336"/>
      <c r="H279" s="336"/>
      <c r="I279" s="338"/>
      <c r="J279" s="338"/>
      <c r="K279" s="337"/>
      <c r="L279" s="336"/>
      <c r="M279" s="338"/>
      <c r="N279" s="338"/>
      <c r="O279" s="337"/>
      <c r="P279" s="336"/>
      <c r="Q279" s="338"/>
      <c r="R279" s="336"/>
      <c r="S279" s="337"/>
      <c r="T279" s="339"/>
      <c r="U279" s="339"/>
      <c r="V279" s="339"/>
      <c r="W279" s="339"/>
      <c r="X279" s="339"/>
      <c r="Y279" s="339"/>
      <c r="Z279" s="339"/>
    </row>
    <row r="280" spans="1:26" ht="24" customHeight="1">
      <c r="A280" s="336"/>
      <c r="B280" s="336"/>
      <c r="C280" s="336"/>
      <c r="D280" s="336"/>
      <c r="E280" s="336"/>
      <c r="F280" s="336"/>
      <c r="G280" s="336"/>
      <c r="H280" s="336"/>
      <c r="I280" s="338"/>
      <c r="J280" s="338"/>
      <c r="K280" s="337"/>
      <c r="L280" s="336"/>
      <c r="M280" s="338"/>
      <c r="N280" s="338"/>
      <c r="O280" s="337"/>
      <c r="P280" s="336"/>
      <c r="Q280" s="338"/>
      <c r="R280" s="336"/>
      <c r="S280" s="337"/>
      <c r="T280" s="339"/>
      <c r="U280" s="339"/>
      <c r="V280" s="339"/>
      <c r="W280" s="339"/>
      <c r="X280" s="339"/>
      <c r="Y280" s="339"/>
      <c r="Z280" s="339"/>
    </row>
    <row r="281" spans="1:26" ht="24" customHeight="1">
      <c r="A281" s="336"/>
      <c r="B281" s="336"/>
      <c r="C281" s="336"/>
      <c r="D281" s="336"/>
      <c r="E281" s="336"/>
      <c r="F281" s="336"/>
      <c r="G281" s="336"/>
      <c r="H281" s="336"/>
      <c r="I281" s="338"/>
      <c r="J281" s="338"/>
      <c r="K281" s="337"/>
      <c r="L281" s="336"/>
      <c r="M281" s="338"/>
      <c r="N281" s="338"/>
      <c r="O281" s="337"/>
      <c r="P281" s="336"/>
      <c r="Q281" s="338"/>
      <c r="R281" s="336"/>
      <c r="S281" s="337"/>
      <c r="T281" s="339"/>
      <c r="U281" s="339"/>
      <c r="V281" s="339"/>
      <c r="W281" s="339"/>
      <c r="X281" s="339"/>
      <c r="Y281" s="339"/>
      <c r="Z281" s="339"/>
    </row>
    <row r="282" spans="1:26" ht="24" customHeight="1">
      <c r="A282" s="336"/>
      <c r="B282" s="336"/>
      <c r="C282" s="336"/>
      <c r="D282" s="336"/>
      <c r="E282" s="336"/>
      <c r="F282" s="336"/>
      <c r="G282" s="336"/>
      <c r="H282" s="336"/>
      <c r="I282" s="338"/>
      <c r="J282" s="338"/>
      <c r="K282" s="337"/>
      <c r="L282" s="336"/>
      <c r="M282" s="338"/>
      <c r="N282" s="338"/>
      <c r="O282" s="337"/>
      <c r="P282" s="336"/>
      <c r="Q282" s="338"/>
      <c r="R282" s="336"/>
      <c r="S282" s="337"/>
      <c r="T282" s="339"/>
      <c r="U282" s="339"/>
      <c r="V282" s="339"/>
      <c r="W282" s="339"/>
      <c r="X282" s="339"/>
      <c r="Y282" s="339"/>
      <c r="Z282" s="339"/>
    </row>
    <row r="283" spans="1:26" ht="24" customHeight="1">
      <c r="A283" s="336"/>
      <c r="B283" s="336"/>
      <c r="C283" s="336"/>
      <c r="D283" s="336"/>
      <c r="E283" s="336"/>
      <c r="F283" s="336"/>
      <c r="G283" s="336"/>
      <c r="H283" s="336"/>
      <c r="I283" s="338"/>
      <c r="J283" s="338"/>
      <c r="K283" s="337"/>
      <c r="L283" s="336"/>
      <c r="M283" s="338"/>
      <c r="N283" s="338"/>
      <c r="O283" s="337"/>
      <c r="P283" s="336"/>
      <c r="Q283" s="338"/>
      <c r="R283" s="336"/>
      <c r="S283" s="337"/>
      <c r="T283" s="339"/>
      <c r="U283" s="339"/>
      <c r="V283" s="339"/>
      <c r="W283" s="339"/>
      <c r="X283" s="339"/>
      <c r="Y283" s="339"/>
      <c r="Z283" s="339"/>
    </row>
    <row r="284" spans="1:26" ht="24" customHeight="1">
      <c r="A284" s="336"/>
      <c r="B284" s="336"/>
      <c r="C284" s="336"/>
      <c r="D284" s="336"/>
      <c r="E284" s="336"/>
      <c r="F284" s="336"/>
      <c r="G284" s="336"/>
      <c r="H284" s="336"/>
      <c r="I284" s="338"/>
      <c r="J284" s="338"/>
      <c r="K284" s="337"/>
      <c r="L284" s="336"/>
      <c r="M284" s="338"/>
      <c r="N284" s="338"/>
      <c r="O284" s="337"/>
      <c r="P284" s="336"/>
      <c r="Q284" s="338"/>
      <c r="R284" s="336"/>
      <c r="S284" s="337"/>
      <c r="T284" s="339"/>
      <c r="U284" s="339"/>
      <c r="V284" s="339"/>
      <c r="W284" s="339"/>
      <c r="X284" s="339"/>
      <c r="Y284" s="339"/>
      <c r="Z284" s="339"/>
    </row>
    <row r="285" spans="1:26" ht="24" customHeight="1">
      <c r="A285" s="336"/>
      <c r="B285" s="336"/>
      <c r="C285" s="336"/>
      <c r="D285" s="336"/>
      <c r="E285" s="336"/>
      <c r="F285" s="336"/>
      <c r="G285" s="336"/>
      <c r="H285" s="336"/>
      <c r="I285" s="338"/>
      <c r="J285" s="338"/>
      <c r="K285" s="337"/>
      <c r="L285" s="336"/>
      <c r="M285" s="338"/>
      <c r="N285" s="338"/>
      <c r="O285" s="337"/>
      <c r="P285" s="336"/>
      <c r="Q285" s="338"/>
      <c r="R285" s="336"/>
      <c r="S285" s="337"/>
      <c r="T285" s="339"/>
      <c r="U285" s="339"/>
      <c r="V285" s="339"/>
      <c r="W285" s="339"/>
      <c r="X285" s="339"/>
      <c r="Y285" s="339"/>
      <c r="Z285" s="339"/>
    </row>
    <row r="286" spans="1:26" ht="24" customHeight="1">
      <c r="A286" s="336"/>
      <c r="B286" s="336"/>
      <c r="C286" s="336"/>
      <c r="D286" s="336"/>
      <c r="E286" s="336"/>
      <c r="F286" s="336"/>
      <c r="G286" s="336"/>
      <c r="H286" s="336"/>
      <c r="I286" s="338"/>
      <c r="J286" s="338"/>
      <c r="K286" s="337"/>
      <c r="L286" s="336"/>
      <c r="M286" s="338"/>
      <c r="N286" s="338"/>
      <c r="O286" s="337"/>
      <c r="P286" s="336"/>
      <c r="Q286" s="338"/>
      <c r="R286" s="336"/>
      <c r="S286" s="337"/>
      <c r="T286" s="339"/>
      <c r="U286" s="339"/>
      <c r="V286" s="339"/>
      <c r="W286" s="339"/>
      <c r="X286" s="339"/>
      <c r="Y286" s="339"/>
      <c r="Z286" s="339"/>
    </row>
    <row r="287" spans="1:26" ht="24" customHeight="1">
      <c r="A287" s="336"/>
      <c r="B287" s="336"/>
      <c r="C287" s="336"/>
      <c r="D287" s="336"/>
      <c r="E287" s="336"/>
      <c r="F287" s="336"/>
      <c r="G287" s="336"/>
      <c r="H287" s="336"/>
      <c r="I287" s="338"/>
      <c r="J287" s="338"/>
      <c r="K287" s="337"/>
      <c r="L287" s="336"/>
      <c r="M287" s="338"/>
      <c r="N287" s="338"/>
      <c r="O287" s="337"/>
      <c r="P287" s="336"/>
      <c r="Q287" s="338"/>
      <c r="R287" s="336"/>
      <c r="S287" s="337"/>
      <c r="T287" s="339"/>
      <c r="U287" s="339"/>
      <c r="V287" s="339"/>
      <c r="W287" s="339"/>
      <c r="X287" s="339"/>
      <c r="Y287" s="339"/>
      <c r="Z287" s="339"/>
    </row>
    <row r="288" spans="1:26" ht="24" customHeight="1">
      <c r="A288" s="336"/>
      <c r="B288" s="336"/>
      <c r="C288" s="336"/>
      <c r="D288" s="336"/>
      <c r="E288" s="336"/>
      <c r="F288" s="336"/>
      <c r="G288" s="336"/>
      <c r="H288" s="336"/>
      <c r="I288" s="338"/>
      <c r="J288" s="338"/>
      <c r="K288" s="337"/>
      <c r="L288" s="336"/>
      <c r="M288" s="338"/>
      <c r="N288" s="338"/>
      <c r="O288" s="337"/>
      <c r="P288" s="336"/>
      <c r="Q288" s="338"/>
      <c r="R288" s="336"/>
      <c r="S288" s="337"/>
      <c r="T288" s="339"/>
      <c r="U288" s="339"/>
      <c r="V288" s="339"/>
      <c r="W288" s="339"/>
      <c r="X288" s="339"/>
      <c r="Y288" s="339"/>
      <c r="Z288" s="339"/>
    </row>
    <row r="289" spans="1:26" ht="24" customHeight="1">
      <c r="A289" s="336"/>
      <c r="B289" s="336"/>
      <c r="C289" s="336"/>
      <c r="D289" s="336"/>
      <c r="E289" s="336"/>
      <c r="F289" s="336"/>
      <c r="G289" s="336"/>
      <c r="H289" s="336"/>
      <c r="I289" s="338"/>
      <c r="J289" s="338"/>
      <c r="K289" s="337"/>
      <c r="L289" s="336"/>
      <c r="M289" s="338"/>
      <c r="N289" s="338"/>
      <c r="O289" s="337"/>
      <c r="P289" s="336"/>
      <c r="Q289" s="338"/>
      <c r="R289" s="336"/>
      <c r="S289" s="337"/>
      <c r="T289" s="339"/>
      <c r="U289" s="339"/>
      <c r="V289" s="339"/>
      <c r="W289" s="339"/>
      <c r="X289" s="339"/>
      <c r="Y289" s="339"/>
      <c r="Z289" s="339"/>
    </row>
    <row r="290" spans="1:26" ht="24" customHeight="1">
      <c r="A290" s="336"/>
      <c r="B290" s="336"/>
      <c r="C290" s="336"/>
      <c r="D290" s="336"/>
      <c r="E290" s="336"/>
      <c r="F290" s="336"/>
      <c r="G290" s="336"/>
      <c r="H290" s="336"/>
      <c r="I290" s="338"/>
      <c r="J290" s="338"/>
      <c r="K290" s="337"/>
      <c r="L290" s="336"/>
      <c r="M290" s="338"/>
      <c r="N290" s="338"/>
      <c r="O290" s="337"/>
      <c r="P290" s="336"/>
      <c r="Q290" s="338"/>
      <c r="R290" s="336"/>
      <c r="S290" s="337"/>
      <c r="T290" s="339"/>
      <c r="U290" s="339"/>
      <c r="V290" s="339"/>
      <c r="W290" s="339"/>
      <c r="X290" s="339"/>
      <c r="Y290" s="339"/>
      <c r="Z290" s="339"/>
    </row>
    <row r="291" spans="1:26" ht="24" customHeight="1">
      <c r="A291" s="336"/>
      <c r="B291" s="336"/>
      <c r="C291" s="336"/>
      <c r="D291" s="336"/>
      <c r="E291" s="336"/>
      <c r="F291" s="336"/>
      <c r="G291" s="336"/>
      <c r="H291" s="336"/>
      <c r="I291" s="338"/>
      <c r="J291" s="338"/>
      <c r="K291" s="337"/>
      <c r="L291" s="336"/>
      <c r="M291" s="338"/>
      <c r="N291" s="338"/>
      <c r="O291" s="337"/>
      <c r="P291" s="336"/>
      <c r="Q291" s="338"/>
      <c r="R291" s="336"/>
      <c r="S291" s="337"/>
      <c r="T291" s="339"/>
      <c r="U291" s="339"/>
      <c r="V291" s="339"/>
      <c r="W291" s="339"/>
      <c r="X291" s="339"/>
      <c r="Y291" s="339"/>
      <c r="Z291" s="339"/>
    </row>
    <row r="292" spans="1:26" ht="24" customHeight="1">
      <c r="A292" s="336"/>
      <c r="B292" s="336"/>
      <c r="C292" s="336"/>
      <c r="D292" s="336"/>
      <c r="E292" s="336"/>
      <c r="F292" s="336"/>
      <c r="G292" s="336"/>
      <c r="H292" s="336"/>
      <c r="I292" s="338"/>
      <c r="J292" s="338"/>
      <c r="K292" s="337"/>
      <c r="L292" s="336"/>
      <c r="M292" s="338"/>
      <c r="N292" s="338"/>
      <c r="O292" s="337"/>
      <c r="P292" s="336"/>
      <c r="Q292" s="338"/>
      <c r="R292" s="336"/>
      <c r="S292" s="337"/>
      <c r="T292" s="339"/>
      <c r="U292" s="339"/>
      <c r="V292" s="339"/>
      <c r="W292" s="339"/>
      <c r="X292" s="339"/>
      <c r="Y292" s="339"/>
      <c r="Z292" s="339"/>
    </row>
    <row r="293" spans="1:26" ht="24" customHeight="1">
      <c r="A293" s="336"/>
      <c r="B293" s="336"/>
      <c r="C293" s="336"/>
      <c r="D293" s="336"/>
      <c r="E293" s="336"/>
      <c r="F293" s="336"/>
      <c r="G293" s="336"/>
      <c r="H293" s="336"/>
      <c r="I293" s="338"/>
      <c r="J293" s="338"/>
      <c r="K293" s="337"/>
      <c r="L293" s="336"/>
      <c r="M293" s="338"/>
      <c r="N293" s="338"/>
      <c r="O293" s="337"/>
      <c r="P293" s="336"/>
      <c r="Q293" s="338"/>
      <c r="R293" s="336"/>
      <c r="S293" s="337"/>
      <c r="T293" s="339"/>
      <c r="U293" s="339"/>
      <c r="V293" s="339"/>
      <c r="W293" s="339"/>
      <c r="X293" s="339"/>
      <c r="Y293" s="339"/>
      <c r="Z293" s="339"/>
    </row>
    <row r="294" spans="1:26" ht="24" customHeight="1">
      <c r="A294" s="336"/>
      <c r="B294" s="336"/>
      <c r="C294" s="336"/>
      <c r="D294" s="336"/>
      <c r="E294" s="336"/>
      <c r="F294" s="336"/>
      <c r="G294" s="336"/>
      <c r="H294" s="336"/>
      <c r="I294" s="338"/>
      <c r="J294" s="338"/>
      <c r="K294" s="337"/>
      <c r="L294" s="336"/>
      <c r="M294" s="338"/>
      <c r="N294" s="338"/>
      <c r="O294" s="337"/>
      <c r="P294" s="336"/>
      <c r="Q294" s="338"/>
      <c r="R294" s="336"/>
      <c r="S294" s="337"/>
      <c r="T294" s="339"/>
      <c r="U294" s="339"/>
      <c r="V294" s="339"/>
      <c r="W294" s="339"/>
      <c r="X294" s="339"/>
      <c r="Y294" s="339"/>
      <c r="Z294" s="339"/>
    </row>
    <row r="295" spans="1:26" ht="24" customHeight="1">
      <c r="A295" s="336"/>
      <c r="B295" s="336"/>
      <c r="C295" s="336"/>
      <c r="D295" s="336"/>
      <c r="E295" s="336"/>
      <c r="F295" s="336"/>
      <c r="G295" s="336"/>
      <c r="H295" s="336"/>
      <c r="I295" s="338"/>
      <c r="J295" s="338"/>
      <c r="K295" s="337"/>
      <c r="L295" s="336"/>
      <c r="M295" s="338"/>
      <c r="N295" s="338"/>
      <c r="O295" s="337"/>
      <c r="P295" s="336"/>
      <c r="Q295" s="338"/>
      <c r="R295" s="336"/>
      <c r="S295" s="337"/>
      <c r="T295" s="339"/>
      <c r="U295" s="339"/>
      <c r="V295" s="339"/>
      <c r="W295" s="339"/>
      <c r="X295" s="339"/>
      <c r="Y295" s="339"/>
      <c r="Z295" s="339"/>
    </row>
    <row r="296" spans="1:26" ht="24" customHeight="1">
      <c r="A296" s="336"/>
      <c r="B296" s="336"/>
      <c r="C296" s="336"/>
      <c r="D296" s="336"/>
      <c r="E296" s="336"/>
      <c r="F296" s="336"/>
      <c r="G296" s="336"/>
      <c r="H296" s="336"/>
      <c r="I296" s="338"/>
      <c r="J296" s="338"/>
      <c r="K296" s="337"/>
      <c r="L296" s="336"/>
      <c r="M296" s="338"/>
      <c r="N296" s="338"/>
      <c r="O296" s="337"/>
      <c r="P296" s="336"/>
      <c r="Q296" s="338"/>
      <c r="R296" s="336"/>
      <c r="S296" s="337"/>
      <c r="T296" s="339"/>
      <c r="U296" s="339"/>
      <c r="V296" s="339"/>
      <c r="W296" s="339"/>
      <c r="X296" s="339"/>
      <c r="Y296" s="339"/>
      <c r="Z296" s="339"/>
    </row>
    <row r="297" spans="1:26" ht="24" customHeight="1">
      <c r="A297" s="336"/>
      <c r="B297" s="336"/>
      <c r="C297" s="336"/>
      <c r="D297" s="336"/>
      <c r="E297" s="336"/>
      <c r="F297" s="336"/>
      <c r="G297" s="336"/>
      <c r="H297" s="336"/>
      <c r="I297" s="338"/>
      <c r="J297" s="338"/>
      <c r="K297" s="337"/>
      <c r="L297" s="336"/>
      <c r="M297" s="338"/>
      <c r="N297" s="338"/>
      <c r="O297" s="337"/>
      <c r="P297" s="336"/>
      <c r="Q297" s="338"/>
      <c r="R297" s="336"/>
      <c r="S297" s="337"/>
      <c r="T297" s="339"/>
      <c r="U297" s="339"/>
      <c r="V297" s="339"/>
      <c r="W297" s="339"/>
      <c r="X297" s="339"/>
      <c r="Y297" s="339"/>
      <c r="Z297" s="339"/>
    </row>
    <row r="298" spans="1:26" ht="24" customHeight="1">
      <c r="A298" s="336"/>
      <c r="B298" s="336"/>
      <c r="C298" s="336"/>
      <c r="D298" s="336"/>
      <c r="E298" s="336"/>
      <c r="F298" s="336"/>
      <c r="G298" s="336"/>
      <c r="H298" s="336"/>
      <c r="I298" s="338"/>
      <c r="J298" s="338"/>
      <c r="K298" s="337"/>
      <c r="L298" s="336"/>
      <c r="M298" s="338"/>
      <c r="N298" s="338"/>
      <c r="O298" s="337"/>
      <c r="P298" s="336"/>
      <c r="Q298" s="338"/>
      <c r="R298" s="336"/>
      <c r="S298" s="337"/>
      <c r="T298" s="339"/>
      <c r="U298" s="339"/>
      <c r="V298" s="339"/>
      <c r="W298" s="339"/>
      <c r="X298" s="339"/>
      <c r="Y298" s="339"/>
      <c r="Z298" s="339"/>
    </row>
    <row r="299" spans="1:26" ht="24" customHeight="1">
      <c r="A299" s="336"/>
      <c r="B299" s="336"/>
      <c r="C299" s="336"/>
      <c r="D299" s="336"/>
      <c r="E299" s="336"/>
      <c r="F299" s="336"/>
      <c r="G299" s="336"/>
      <c r="H299" s="336"/>
      <c r="I299" s="338"/>
      <c r="J299" s="338"/>
      <c r="K299" s="337"/>
      <c r="L299" s="336"/>
      <c r="M299" s="338"/>
      <c r="N299" s="338"/>
      <c r="O299" s="337"/>
      <c r="P299" s="336"/>
      <c r="Q299" s="338"/>
      <c r="R299" s="336"/>
      <c r="S299" s="337"/>
      <c r="T299" s="339"/>
      <c r="U299" s="339"/>
      <c r="V299" s="339"/>
      <c r="W299" s="339"/>
      <c r="X299" s="339"/>
      <c r="Y299" s="339"/>
      <c r="Z299" s="339"/>
    </row>
    <row r="300" spans="1:26" ht="24" customHeight="1">
      <c r="A300" s="336"/>
      <c r="B300" s="336"/>
      <c r="C300" s="336"/>
      <c r="D300" s="336"/>
      <c r="E300" s="336"/>
      <c r="F300" s="336"/>
      <c r="G300" s="336"/>
      <c r="H300" s="336"/>
      <c r="I300" s="338"/>
      <c r="J300" s="338"/>
      <c r="K300" s="337"/>
      <c r="L300" s="336"/>
      <c r="M300" s="338"/>
      <c r="N300" s="338"/>
      <c r="O300" s="337"/>
      <c r="P300" s="336"/>
      <c r="Q300" s="338"/>
      <c r="R300" s="336"/>
      <c r="S300" s="337"/>
      <c r="T300" s="339"/>
      <c r="U300" s="339"/>
      <c r="V300" s="339"/>
      <c r="W300" s="339"/>
      <c r="X300" s="339"/>
      <c r="Y300" s="339"/>
      <c r="Z300" s="339"/>
    </row>
    <row r="301" spans="1:26" ht="24" customHeight="1">
      <c r="A301" s="336"/>
      <c r="B301" s="336"/>
      <c r="C301" s="336"/>
      <c r="D301" s="336"/>
      <c r="E301" s="336"/>
      <c r="F301" s="336"/>
      <c r="G301" s="336"/>
      <c r="H301" s="336"/>
      <c r="I301" s="338"/>
      <c r="J301" s="338"/>
      <c r="K301" s="337"/>
      <c r="L301" s="336"/>
      <c r="M301" s="338"/>
      <c r="N301" s="338"/>
      <c r="O301" s="337"/>
      <c r="P301" s="336"/>
      <c r="Q301" s="338"/>
      <c r="R301" s="336"/>
      <c r="S301" s="337"/>
      <c r="T301" s="339"/>
      <c r="U301" s="339"/>
      <c r="V301" s="339"/>
      <c r="W301" s="339"/>
      <c r="X301" s="339"/>
      <c r="Y301" s="339"/>
      <c r="Z301" s="339"/>
    </row>
    <row r="302" spans="1:26" ht="24" customHeight="1">
      <c r="A302" s="336"/>
      <c r="B302" s="336"/>
      <c r="C302" s="336"/>
      <c r="D302" s="336"/>
      <c r="E302" s="336"/>
      <c r="F302" s="336"/>
      <c r="G302" s="336"/>
      <c r="H302" s="336"/>
      <c r="I302" s="338"/>
      <c r="J302" s="338"/>
      <c r="K302" s="337"/>
      <c r="L302" s="336"/>
      <c r="M302" s="338"/>
      <c r="N302" s="338"/>
      <c r="O302" s="337"/>
      <c r="P302" s="336"/>
      <c r="Q302" s="338"/>
      <c r="R302" s="336"/>
      <c r="S302" s="337"/>
      <c r="T302" s="339"/>
      <c r="U302" s="339"/>
      <c r="V302" s="339"/>
      <c r="W302" s="339"/>
      <c r="X302" s="339"/>
      <c r="Y302" s="339"/>
      <c r="Z302" s="339"/>
    </row>
    <row r="303" spans="1:26" ht="24" customHeight="1">
      <c r="A303" s="336"/>
      <c r="B303" s="336"/>
      <c r="C303" s="336"/>
      <c r="D303" s="336"/>
      <c r="E303" s="336"/>
      <c r="F303" s="336"/>
      <c r="G303" s="336"/>
      <c r="H303" s="336"/>
      <c r="I303" s="338"/>
      <c r="J303" s="338"/>
      <c r="K303" s="337"/>
      <c r="L303" s="336"/>
      <c r="M303" s="338"/>
      <c r="N303" s="338"/>
      <c r="O303" s="337"/>
      <c r="P303" s="336"/>
      <c r="Q303" s="338"/>
      <c r="R303" s="336"/>
      <c r="S303" s="337"/>
      <c r="T303" s="339"/>
      <c r="U303" s="339"/>
      <c r="V303" s="339"/>
      <c r="W303" s="339"/>
      <c r="X303" s="339"/>
      <c r="Y303" s="339"/>
      <c r="Z303" s="339"/>
    </row>
    <row r="304" spans="1:26" ht="24" customHeight="1">
      <c r="A304" s="336"/>
      <c r="B304" s="336"/>
      <c r="C304" s="336"/>
      <c r="D304" s="336"/>
      <c r="E304" s="336"/>
      <c r="F304" s="336"/>
      <c r="G304" s="336"/>
      <c r="H304" s="336"/>
      <c r="I304" s="338"/>
      <c r="J304" s="338"/>
      <c r="K304" s="337"/>
      <c r="L304" s="336"/>
      <c r="M304" s="338"/>
      <c r="N304" s="338"/>
      <c r="O304" s="337"/>
      <c r="P304" s="336"/>
      <c r="Q304" s="338"/>
      <c r="R304" s="336"/>
      <c r="S304" s="337"/>
      <c r="T304" s="339"/>
      <c r="U304" s="339"/>
      <c r="V304" s="339"/>
      <c r="W304" s="339"/>
      <c r="X304" s="339"/>
      <c r="Y304" s="339"/>
      <c r="Z304" s="339"/>
    </row>
    <row r="305" spans="1:26" ht="24" customHeight="1">
      <c r="A305" s="336"/>
      <c r="B305" s="336"/>
      <c r="C305" s="336"/>
      <c r="D305" s="336"/>
      <c r="E305" s="336"/>
      <c r="F305" s="336"/>
      <c r="G305" s="336"/>
      <c r="H305" s="336"/>
      <c r="I305" s="338"/>
      <c r="J305" s="338"/>
      <c r="K305" s="337"/>
      <c r="L305" s="336"/>
      <c r="M305" s="338"/>
      <c r="N305" s="338"/>
      <c r="O305" s="337"/>
      <c r="P305" s="336"/>
      <c r="Q305" s="338"/>
      <c r="R305" s="336"/>
      <c r="S305" s="337"/>
      <c r="T305" s="339"/>
      <c r="U305" s="339"/>
      <c r="V305" s="339"/>
      <c r="W305" s="339"/>
      <c r="X305" s="339"/>
      <c r="Y305" s="339"/>
      <c r="Z305" s="339"/>
    </row>
    <row r="306" spans="1:26" ht="24" customHeight="1">
      <c r="A306" s="336"/>
      <c r="B306" s="336"/>
      <c r="C306" s="336"/>
      <c r="D306" s="336"/>
      <c r="E306" s="336"/>
      <c r="F306" s="336"/>
      <c r="G306" s="336"/>
      <c r="H306" s="336"/>
      <c r="I306" s="338"/>
      <c r="J306" s="338"/>
      <c r="K306" s="337"/>
      <c r="L306" s="336"/>
      <c r="M306" s="338"/>
      <c r="N306" s="338"/>
      <c r="O306" s="337"/>
      <c r="P306" s="336"/>
      <c r="Q306" s="338"/>
      <c r="R306" s="336"/>
      <c r="S306" s="337"/>
      <c r="T306" s="339"/>
      <c r="U306" s="339"/>
      <c r="V306" s="339"/>
      <c r="W306" s="339"/>
      <c r="X306" s="339"/>
      <c r="Y306" s="339"/>
      <c r="Z306" s="339"/>
    </row>
    <row r="307" spans="1:26" ht="24" customHeight="1">
      <c r="A307" s="336"/>
      <c r="B307" s="336"/>
      <c r="C307" s="336"/>
      <c r="D307" s="336"/>
      <c r="E307" s="336"/>
      <c r="F307" s="336"/>
      <c r="G307" s="336"/>
      <c r="H307" s="336"/>
      <c r="I307" s="338"/>
      <c r="J307" s="338"/>
      <c r="K307" s="337"/>
      <c r="L307" s="336"/>
      <c r="M307" s="338"/>
      <c r="N307" s="338"/>
      <c r="O307" s="337"/>
      <c r="P307" s="336"/>
      <c r="Q307" s="338"/>
      <c r="R307" s="336"/>
      <c r="S307" s="337"/>
      <c r="T307" s="339"/>
      <c r="U307" s="339"/>
      <c r="V307" s="339"/>
      <c r="W307" s="339"/>
      <c r="X307" s="339"/>
      <c r="Y307" s="339"/>
      <c r="Z307" s="339"/>
    </row>
    <row r="308" spans="1:26" ht="24" customHeight="1">
      <c r="A308" s="336"/>
      <c r="B308" s="336"/>
      <c r="C308" s="336"/>
      <c r="D308" s="336"/>
      <c r="E308" s="336"/>
      <c r="F308" s="336"/>
      <c r="G308" s="336"/>
      <c r="H308" s="336"/>
      <c r="I308" s="338"/>
      <c r="J308" s="338"/>
      <c r="K308" s="337"/>
      <c r="L308" s="336"/>
      <c r="M308" s="338"/>
      <c r="N308" s="338"/>
      <c r="O308" s="337"/>
      <c r="P308" s="336"/>
      <c r="Q308" s="338"/>
      <c r="R308" s="336"/>
      <c r="S308" s="337"/>
      <c r="T308" s="339"/>
      <c r="U308" s="339"/>
      <c r="V308" s="339"/>
      <c r="W308" s="339"/>
      <c r="X308" s="339"/>
      <c r="Y308" s="339"/>
      <c r="Z308" s="339"/>
    </row>
    <row r="309" spans="1:26" ht="24" customHeight="1">
      <c r="A309" s="336"/>
      <c r="B309" s="336"/>
      <c r="C309" s="336"/>
      <c r="D309" s="336"/>
      <c r="E309" s="336"/>
      <c r="F309" s="336"/>
      <c r="G309" s="336"/>
      <c r="H309" s="336"/>
      <c r="I309" s="338"/>
      <c r="J309" s="338"/>
      <c r="K309" s="337"/>
      <c r="L309" s="336"/>
      <c r="M309" s="338"/>
      <c r="N309" s="338"/>
      <c r="O309" s="337"/>
      <c r="P309" s="336"/>
      <c r="Q309" s="338"/>
      <c r="R309" s="336"/>
      <c r="S309" s="337"/>
      <c r="T309" s="339"/>
      <c r="U309" s="339"/>
      <c r="V309" s="339"/>
      <c r="W309" s="339"/>
      <c r="X309" s="339"/>
      <c r="Y309" s="339"/>
      <c r="Z309" s="339"/>
    </row>
    <row r="310" spans="1:26" ht="24" customHeight="1">
      <c r="A310" s="336"/>
      <c r="B310" s="336"/>
      <c r="C310" s="336"/>
      <c r="D310" s="336"/>
      <c r="E310" s="336"/>
      <c r="F310" s="336"/>
      <c r="G310" s="336"/>
      <c r="H310" s="336"/>
      <c r="I310" s="338"/>
      <c r="J310" s="338"/>
      <c r="K310" s="337"/>
      <c r="L310" s="336"/>
      <c r="M310" s="338"/>
      <c r="N310" s="338"/>
      <c r="O310" s="337"/>
      <c r="P310" s="336"/>
      <c r="Q310" s="338"/>
      <c r="R310" s="336"/>
      <c r="S310" s="337"/>
      <c r="T310" s="339"/>
      <c r="U310" s="339"/>
      <c r="V310" s="339"/>
      <c r="W310" s="339"/>
      <c r="X310" s="339"/>
      <c r="Y310" s="339"/>
      <c r="Z310" s="339"/>
    </row>
    <row r="311" spans="1:26" ht="24" customHeight="1">
      <c r="A311" s="336"/>
      <c r="B311" s="336"/>
      <c r="C311" s="336"/>
      <c r="D311" s="336"/>
      <c r="E311" s="336"/>
      <c r="F311" s="336"/>
      <c r="G311" s="336"/>
      <c r="H311" s="336"/>
      <c r="I311" s="338"/>
      <c r="J311" s="338"/>
      <c r="K311" s="337"/>
      <c r="L311" s="336"/>
      <c r="M311" s="338"/>
      <c r="N311" s="338"/>
      <c r="O311" s="337"/>
      <c r="P311" s="336"/>
      <c r="Q311" s="338"/>
      <c r="R311" s="336"/>
      <c r="S311" s="337"/>
      <c r="T311" s="339"/>
      <c r="U311" s="339"/>
      <c r="V311" s="339"/>
      <c r="W311" s="339"/>
      <c r="X311" s="339"/>
      <c r="Y311" s="339"/>
      <c r="Z311" s="339"/>
    </row>
    <row r="312" spans="1:26" ht="24" customHeight="1">
      <c r="A312" s="336"/>
      <c r="B312" s="336"/>
      <c r="C312" s="336"/>
      <c r="D312" s="336"/>
      <c r="E312" s="336"/>
      <c r="F312" s="336"/>
      <c r="G312" s="336"/>
      <c r="H312" s="336"/>
      <c r="I312" s="338"/>
      <c r="J312" s="338"/>
      <c r="K312" s="337"/>
      <c r="L312" s="336"/>
      <c r="M312" s="338"/>
      <c r="N312" s="338"/>
      <c r="O312" s="337"/>
      <c r="P312" s="336"/>
      <c r="Q312" s="338"/>
      <c r="R312" s="336"/>
      <c r="S312" s="337"/>
      <c r="T312" s="339"/>
      <c r="U312" s="339"/>
      <c r="V312" s="339"/>
      <c r="W312" s="339"/>
      <c r="X312" s="339"/>
      <c r="Y312" s="339"/>
      <c r="Z312" s="339"/>
    </row>
    <row r="313" spans="1:26" ht="24" customHeight="1">
      <c r="A313" s="336"/>
      <c r="B313" s="336"/>
      <c r="C313" s="336"/>
      <c r="D313" s="336"/>
      <c r="E313" s="336"/>
      <c r="F313" s="336"/>
      <c r="G313" s="336"/>
      <c r="H313" s="336"/>
      <c r="I313" s="338"/>
      <c r="J313" s="338"/>
      <c r="K313" s="337"/>
      <c r="L313" s="336"/>
      <c r="M313" s="338"/>
      <c r="N313" s="338"/>
      <c r="O313" s="337"/>
      <c r="P313" s="336"/>
      <c r="Q313" s="338"/>
      <c r="R313" s="336"/>
      <c r="S313" s="337"/>
      <c r="T313" s="339"/>
      <c r="U313" s="339"/>
      <c r="V313" s="339"/>
      <c r="W313" s="339"/>
      <c r="X313" s="339"/>
      <c r="Y313" s="339"/>
      <c r="Z313" s="339"/>
    </row>
    <row r="314" spans="1:26" ht="24" customHeight="1">
      <c r="A314" s="336"/>
      <c r="B314" s="336"/>
      <c r="C314" s="336"/>
      <c r="D314" s="336"/>
      <c r="E314" s="336"/>
      <c r="F314" s="336"/>
      <c r="G314" s="336"/>
      <c r="H314" s="336"/>
      <c r="I314" s="338"/>
      <c r="J314" s="338"/>
      <c r="K314" s="337"/>
      <c r="L314" s="336"/>
      <c r="M314" s="338"/>
      <c r="N314" s="338"/>
      <c r="O314" s="337"/>
      <c r="P314" s="336"/>
      <c r="Q314" s="338"/>
      <c r="R314" s="336"/>
      <c r="S314" s="337"/>
      <c r="T314" s="339"/>
      <c r="U314" s="339"/>
      <c r="V314" s="339"/>
      <c r="W314" s="339"/>
      <c r="X314" s="339"/>
      <c r="Y314" s="339"/>
      <c r="Z314" s="339"/>
    </row>
    <row r="315" spans="1:26" ht="15.75" customHeight="1">
      <c r="A315" s="339"/>
      <c r="B315" s="339"/>
      <c r="C315" s="339"/>
      <c r="D315" s="339"/>
      <c r="E315" s="339"/>
      <c r="F315" s="339"/>
      <c r="G315" s="339"/>
      <c r="H315" s="339"/>
      <c r="I315" s="341"/>
      <c r="J315" s="341"/>
      <c r="K315" s="340"/>
      <c r="L315" s="339"/>
      <c r="M315" s="341"/>
      <c r="N315" s="341"/>
      <c r="O315" s="340"/>
      <c r="P315" s="339"/>
      <c r="Q315" s="341"/>
      <c r="R315" s="339"/>
      <c r="S315" s="340"/>
      <c r="T315" s="339"/>
      <c r="U315" s="339"/>
      <c r="V315" s="339"/>
      <c r="W315" s="339"/>
      <c r="X315" s="339"/>
      <c r="Y315" s="339"/>
      <c r="Z315" s="339"/>
    </row>
    <row r="316" spans="1:26" ht="15.75" customHeight="1">
      <c r="A316" s="339"/>
      <c r="B316" s="339"/>
      <c r="C316" s="339"/>
      <c r="D316" s="339"/>
      <c r="E316" s="339"/>
      <c r="F316" s="339"/>
      <c r="G316" s="339"/>
      <c r="H316" s="339"/>
      <c r="I316" s="341"/>
      <c r="J316" s="341"/>
      <c r="K316" s="340"/>
      <c r="L316" s="339"/>
      <c r="M316" s="341"/>
      <c r="N316" s="341"/>
      <c r="O316" s="340"/>
      <c r="P316" s="339"/>
      <c r="Q316" s="341"/>
      <c r="R316" s="339"/>
      <c r="S316" s="340"/>
      <c r="T316" s="339"/>
      <c r="U316" s="339"/>
      <c r="V316" s="339"/>
      <c r="W316" s="339"/>
      <c r="X316" s="339"/>
      <c r="Y316" s="339"/>
      <c r="Z316" s="339"/>
    </row>
    <row r="317" spans="1:26" ht="15.75" customHeight="1">
      <c r="A317" s="339"/>
      <c r="B317" s="339"/>
      <c r="C317" s="339"/>
      <c r="D317" s="339"/>
      <c r="E317" s="339"/>
      <c r="F317" s="339"/>
      <c r="G317" s="339"/>
      <c r="H317" s="339"/>
      <c r="I317" s="341"/>
      <c r="J317" s="341"/>
      <c r="K317" s="340"/>
      <c r="L317" s="339"/>
      <c r="M317" s="341"/>
      <c r="N317" s="341"/>
      <c r="O317" s="340"/>
      <c r="P317" s="339"/>
      <c r="Q317" s="341"/>
      <c r="R317" s="339"/>
      <c r="S317" s="340"/>
      <c r="T317" s="339"/>
      <c r="U317" s="339"/>
      <c r="V317" s="339"/>
      <c r="W317" s="339"/>
      <c r="X317" s="339"/>
      <c r="Y317" s="339"/>
      <c r="Z317" s="339"/>
    </row>
    <row r="318" spans="1:26" ht="15.75" customHeight="1">
      <c r="A318" s="339"/>
      <c r="B318" s="339"/>
      <c r="C318" s="339"/>
      <c r="D318" s="339"/>
      <c r="E318" s="339"/>
      <c r="F318" s="339"/>
      <c r="G318" s="339"/>
      <c r="H318" s="339"/>
      <c r="I318" s="341"/>
      <c r="J318" s="341"/>
      <c r="K318" s="340"/>
      <c r="L318" s="339"/>
      <c r="M318" s="341"/>
      <c r="N318" s="341"/>
      <c r="O318" s="340"/>
      <c r="P318" s="339"/>
      <c r="Q318" s="341"/>
      <c r="R318" s="339"/>
      <c r="S318" s="340"/>
      <c r="T318" s="339"/>
      <c r="U318" s="339"/>
      <c r="V318" s="339"/>
      <c r="W318" s="339"/>
      <c r="X318" s="339"/>
      <c r="Y318" s="339"/>
      <c r="Z318" s="339"/>
    </row>
    <row r="319" spans="1:26" ht="15.75" customHeight="1">
      <c r="A319" s="339"/>
      <c r="B319" s="339"/>
      <c r="C319" s="339"/>
      <c r="D319" s="339"/>
      <c r="E319" s="339"/>
      <c r="F319" s="339"/>
      <c r="G319" s="339"/>
      <c r="H319" s="339"/>
      <c r="I319" s="341"/>
      <c r="J319" s="341"/>
      <c r="K319" s="340"/>
      <c r="L319" s="339"/>
      <c r="M319" s="341"/>
      <c r="N319" s="341"/>
      <c r="O319" s="340"/>
      <c r="P319" s="339"/>
      <c r="Q319" s="341"/>
      <c r="R319" s="339"/>
      <c r="S319" s="340"/>
      <c r="T319" s="339"/>
      <c r="U319" s="339"/>
      <c r="V319" s="339"/>
      <c r="W319" s="339"/>
      <c r="X319" s="339"/>
      <c r="Y319" s="339"/>
      <c r="Z319" s="339"/>
    </row>
    <row r="320" spans="1:26" ht="15.75" customHeight="1">
      <c r="A320" s="339"/>
      <c r="B320" s="339"/>
      <c r="C320" s="339"/>
      <c r="D320" s="339"/>
      <c r="E320" s="339"/>
      <c r="F320" s="339"/>
      <c r="G320" s="339"/>
      <c r="H320" s="339"/>
      <c r="I320" s="341"/>
      <c r="J320" s="341"/>
      <c r="K320" s="340"/>
      <c r="L320" s="339"/>
      <c r="M320" s="341"/>
      <c r="N320" s="341"/>
      <c r="O320" s="340"/>
      <c r="P320" s="339"/>
      <c r="Q320" s="341"/>
      <c r="R320" s="339"/>
      <c r="S320" s="340"/>
      <c r="T320" s="339"/>
      <c r="U320" s="339"/>
      <c r="V320" s="339"/>
      <c r="W320" s="339"/>
      <c r="X320" s="339"/>
      <c r="Y320" s="339"/>
      <c r="Z320" s="339"/>
    </row>
    <row r="321" spans="1:26" ht="15.75" customHeight="1">
      <c r="A321" s="339"/>
      <c r="B321" s="339"/>
      <c r="C321" s="339"/>
      <c r="D321" s="339"/>
      <c r="E321" s="339"/>
      <c r="F321" s="339"/>
      <c r="G321" s="339"/>
      <c r="H321" s="339"/>
      <c r="I321" s="341"/>
      <c r="J321" s="341"/>
      <c r="K321" s="340"/>
      <c r="L321" s="339"/>
      <c r="M321" s="341"/>
      <c r="N321" s="341"/>
      <c r="O321" s="340"/>
      <c r="P321" s="339"/>
      <c r="Q321" s="341"/>
      <c r="R321" s="339"/>
      <c r="S321" s="340"/>
      <c r="T321" s="339"/>
      <c r="U321" s="339"/>
      <c r="V321" s="339"/>
      <c r="W321" s="339"/>
      <c r="X321" s="339"/>
      <c r="Y321" s="339"/>
      <c r="Z321" s="339"/>
    </row>
    <row r="322" spans="1:26" ht="15.75" customHeight="1">
      <c r="A322" s="339"/>
      <c r="B322" s="339"/>
      <c r="C322" s="339"/>
      <c r="D322" s="339"/>
      <c r="E322" s="339"/>
      <c r="F322" s="339"/>
      <c r="G322" s="339"/>
      <c r="H322" s="339"/>
      <c r="I322" s="341"/>
      <c r="J322" s="341"/>
      <c r="K322" s="340"/>
      <c r="L322" s="339"/>
      <c r="M322" s="341"/>
      <c r="N322" s="341"/>
      <c r="O322" s="340"/>
      <c r="P322" s="339"/>
      <c r="Q322" s="341"/>
      <c r="R322" s="339"/>
      <c r="S322" s="340"/>
      <c r="T322" s="339"/>
      <c r="U322" s="339"/>
      <c r="V322" s="339"/>
      <c r="W322" s="339"/>
      <c r="X322" s="339"/>
      <c r="Y322" s="339"/>
      <c r="Z322" s="339"/>
    </row>
    <row r="323" spans="1:26" ht="15.75" customHeight="1">
      <c r="A323" s="339"/>
      <c r="B323" s="339"/>
      <c r="C323" s="339"/>
      <c r="D323" s="339"/>
      <c r="E323" s="339"/>
      <c r="F323" s="339"/>
      <c r="G323" s="339"/>
      <c r="H323" s="339"/>
      <c r="I323" s="341"/>
      <c r="J323" s="341"/>
      <c r="K323" s="340"/>
      <c r="L323" s="339"/>
      <c r="M323" s="341"/>
      <c r="N323" s="341"/>
      <c r="O323" s="340"/>
      <c r="P323" s="339"/>
      <c r="Q323" s="341"/>
      <c r="R323" s="339"/>
      <c r="S323" s="340"/>
      <c r="T323" s="339"/>
      <c r="U323" s="339"/>
      <c r="V323" s="339"/>
      <c r="W323" s="339"/>
      <c r="X323" s="339"/>
      <c r="Y323" s="339"/>
      <c r="Z323" s="339"/>
    </row>
    <row r="324" spans="1:26" ht="15.75" customHeight="1">
      <c r="A324" s="339"/>
      <c r="B324" s="339"/>
      <c r="C324" s="339"/>
      <c r="D324" s="339"/>
      <c r="E324" s="339"/>
      <c r="F324" s="339"/>
      <c r="G324" s="339"/>
      <c r="H324" s="339"/>
      <c r="I324" s="341"/>
      <c r="J324" s="341"/>
      <c r="K324" s="340"/>
      <c r="L324" s="339"/>
      <c r="M324" s="341"/>
      <c r="N324" s="341"/>
      <c r="O324" s="340"/>
      <c r="P324" s="339"/>
      <c r="Q324" s="341"/>
      <c r="R324" s="339"/>
      <c r="S324" s="340"/>
      <c r="T324" s="339"/>
      <c r="U324" s="339"/>
      <c r="V324" s="339"/>
      <c r="W324" s="339"/>
      <c r="X324" s="339"/>
      <c r="Y324" s="339"/>
      <c r="Z324" s="339"/>
    </row>
    <row r="325" spans="1:26" ht="15.75" customHeight="1">
      <c r="A325" s="339"/>
      <c r="B325" s="339"/>
      <c r="C325" s="339"/>
      <c r="D325" s="339"/>
      <c r="E325" s="339"/>
      <c r="F325" s="339"/>
      <c r="G325" s="339"/>
      <c r="H325" s="339"/>
      <c r="I325" s="341"/>
      <c r="J325" s="341"/>
      <c r="K325" s="340"/>
      <c r="L325" s="339"/>
      <c r="M325" s="341"/>
      <c r="N325" s="341"/>
      <c r="O325" s="340"/>
      <c r="P325" s="339"/>
      <c r="Q325" s="341"/>
      <c r="R325" s="339"/>
      <c r="S325" s="340"/>
      <c r="T325" s="339"/>
      <c r="U325" s="339"/>
      <c r="V325" s="339"/>
      <c r="W325" s="339"/>
      <c r="X325" s="339"/>
      <c r="Y325" s="339"/>
      <c r="Z325" s="339"/>
    </row>
    <row r="326" spans="1:26" ht="15.75" customHeight="1">
      <c r="A326" s="339"/>
      <c r="B326" s="339"/>
      <c r="C326" s="339"/>
      <c r="D326" s="339"/>
      <c r="E326" s="339"/>
      <c r="F326" s="339"/>
      <c r="G326" s="339"/>
      <c r="H326" s="339"/>
      <c r="I326" s="341"/>
      <c r="J326" s="341"/>
      <c r="K326" s="340"/>
      <c r="L326" s="339"/>
      <c r="M326" s="341"/>
      <c r="N326" s="341"/>
      <c r="O326" s="340"/>
      <c r="P326" s="339"/>
      <c r="Q326" s="341"/>
      <c r="R326" s="339"/>
      <c r="S326" s="340"/>
      <c r="T326" s="339"/>
      <c r="U326" s="339"/>
      <c r="V326" s="339"/>
      <c r="W326" s="339"/>
      <c r="X326" s="339"/>
      <c r="Y326" s="339"/>
      <c r="Z326" s="339"/>
    </row>
    <row r="327" spans="1:26" ht="15.75" customHeight="1">
      <c r="A327" s="339"/>
      <c r="B327" s="339"/>
      <c r="C327" s="339"/>
      <c r="D327" s="339"/>
      <c r="E327" s="339"/>
      <c r="F327" s="339"/>
      <c r="G327" s="339"/>
      <c r="H327" s="339"/>
      <c r="I327" s="341"/>
      <c r="J327" s="341"/>
      <c r="K327" s="340"/>
      <c r="L327" s="339"/>
      <c r="M327" s="341"/>
      <c r="N327" s="341"/>
      <c r="O327" s="340"/>
      <c r="P327" s="339"/>
      <c r="Q327" s="341"/>
      <c r="R327" s="339"/>
      <c r="S327" s="340"/>
      <c r="T327" s="339"/>
      <c r="U327" s="339"/>
      <c r="V327" s="339"/>
      <c r="W327" s="339"/>
      <c r="X327" s="339"/>
      <c r="Y327" s="339"/>
      <c r="Z327" s="339"/>
    </row>
    <row r="328" spans="1:26" ht="15.75" customHeight="1">
      <c r="A328" s="339"/>
      <c r="B328" s="339"/>
      <c r="C328" s="339"/>
      <c r="D328" s="339"/>
      <c r="E328" s="339"/>
      <c r="F328" s="339"/>
      <c r="G328" s="339"/>
      <c r="H328" s="339"/>
      <c r="I328" s="341"/>
      <c r="J328" s="341"/>
      <c r="K328" s="340"/>
      <c r="L328" s="339"/>
      <c r="M328" s="341"/>
      <c r="N328" s="341"/>
      <c r="O328" s="340"/>
      <c r="P328" s="339"/>
      <c r="Q328" s="341"/>
      <c r="R328" s="339"/>
      <c r="S328" s="340"/>
      <c r="T328" s="339"/>
      <c r="U328" s="339"/>
      <c r="V328" s="339"/>
      <c r="W328" s="339"/>
      <c r="X328" s="339"/>
      <c r="Y328" s="339"/>
      <c r="Z328" s="339"/>
    </row>
    <row r="329" spans="1:26" ht="15.75" customHeight="1">
      <c r="A329" s="339"/>
      <c r="B329" s="339"/>
      <c r="C329" s="339"/>
      <c r="D329" s="339"/>
      <c r="E329" s="339"/>
      <c r="F329" s="339"/>
      <c r="G329" s="339"/>
      <c r="H329" s="339"/>
      <c r="I329" s="341"/>
      <c r="J329" s="341"/>
      <c r="K329" s="340"/>
      <c r="L329" s="339"/>
      <c r="M329" s="341"/>
      <c r="N329" s="341"/>
      <c r="O329" s="340"/>
      <c r="P329" s="339"/>
      <c r="Q329" s="341"/>
      <c r="R329" s="339"/>
      <c r="S329" s="340"/>
      <c r="T329" s="339"/>
      <c r="U329" s="339"/>
      <c r="V329" s="339"/>
      <c r="W329" s="339"/>
      <c r="X329" s="339"/>
      <c r="Y329" s="339"/>
      <c r="Z329" s="339"/>
    </row>
    <row r="330" spans="1:26" ht="15.75" customHeight="1">
      <c r="A330" s="339"/>
      <c r="B330" s="339"/>
      <c r="C330" s="339"/>
      <c r="D330" s="339"/>
      <c r="E330" s="339"/>
      <c r="F330" s="339"/>
      <c r="G330" s="339"/>
      <c r="H330" s="339"/>
      <c r="I330" s="341"/>
      <c r="J330" s="341"/>
      <c r="K330" s="340"/>
      <c r="L330" s="339"/>
      <c r="M330" s="341"/>
      <c r="N330" s="341"/>
      <c r="O330" s="340"/>
      <c r="P330" s="339"/>
      <c r="Q330" s="341"/>
      <c r="R330" s="339"/>
      <c r="S330" s="340"/>
      <c r="T330" s="339"/>
      <c r="U330" s="339"/>
      <c r="V330" s="339"/>
      <c r="W330" s="339"/>
      <c r="X330" s="339"/>
      <c r="Y330" s="339"/>
      <c r="Z330" s="339"/>
    </row>
    <row r="331" spans="1:26" ht="15.75" customHeight="1">
      <c r="A331" s="339"/>
      <c r="B331" s="339"/>
      <c r="C331" s="339"/>
      <c r="D331" s="339"/>
      <c r="E331" s="339"/>
      <c r="F331" s="339"/>
      <c r="G331" s="339"/>
      <c r="H331" s="339"/>
      <c r="I331" s="341"/>
      <c r="J331" s="341"/>
      <c r="K331" s="340"/>
      <c r="L331" s="339"/>
      <c r="M331" s="341"/>
      <c r="N331" s="341"/>
      <c r="O331" s="340"/>
      <c r="P331" s="339"/>
      <c r="Q331" s="341"/>
      <c r="R331" s="339"/>
      <c r="S331" s="340"/>
      <c r="T331" s="339"/>
      <c r="U331" s="339"/>
      <c r="V331" s="339"/>
      <c r="W331" s="339"/>
      <c r="X331" s="339"/>
      <c r="Y331" s="339"/>
      <c r="Z331" s="339"/>
    </row>
    <row r="332" spans="1:26" ht="15.75" customHeight="1">
      <c r="A332" s="339"/>
      <c r="B332" s="339"/>
      <c r="C332" s="339"/>
      <c r="D332" s="339"/>
      <c r="E332" s="339"/>
      <c r="F332" s="339"/>
      <c r="G332" s="339"/>
      <c r="H332" s="339"/>
      <c r="I332" s="341"/>
      <c r="J332" s="341"/>
      <c r="K332" s="340"/>
      <c r="L332" s="339"/>
      <c r="M332" s="341"/>
      <c r="N332" s="341"/>
      <c r="O332" s="340"/>
      <c r="P332" s="339"/>
      <c r="Q332" s="341"/>
      <c r="R332" s="339"/>
      <c r="S332" s="340"/>
      <c r="T332" s="339"/>
      <c r="U332" s="339"/>
      <c r="V332" s="339"/>
      <c r="W332" s="339"/>
      <c r="X332" s="339"/>
      <c r="Y332" s="339"/>
      <c r="Z332" s="339"/>
    </row>
    <row r="333" spans="1:26" ht="15.75" customHeight="1">
      <c r="A333" s="339"/>
      <c r="B333" s="339"/>
      <c r="C333" s="339"/>
      <c r="D333" s="339"/>
      <c r="E333" s="339"/>
      <c r="F333" s="339"/>
      <c r="G333" s="339"/>
      <c r="H333" s="339"/>
      <c r="I333" s="341"/>
      <c r="J333" s="341"/>
      <c r="K333" s="340"/>
      <c r="L333" s="339"/>
      <c r="M333" s="341"/>
      <c r="N333" s="341"/>
      <c r="O333" s="340"/>
      <c r="P333" s="339"/>
      <c r="Q333" s="341"/>
      <c r="R333" s="339"/>
      <c r="S333" s="340"/>
      <c r="T333" s="339"/>
      <c r="U333" s="339"/>
      <c r="V333" s="339"/>
      <c r="W333" s="339"/>
      <c r="X333" s="339"/>
      <c r="Y333" s="339"/>
      <c r="Z333" s="339"/>
    </row>
    <row r="334" spans="1:26" ht="15.75" customHeight="1">
      <c r="A334" s="339"/>
      <c r="B334" s="339"/>
      <c r="C334" s="339"/>
      <c r="D334" s="339"/>
      <c r="E334" s="339"/>
      <c r="F334" s="339"/>
      <c r="G334" s="339"/>
      <c r="H334" s="339"/>
      <c r="I334" s="341"/>
      <c r="J334" s="341"/>
      <c r="K334" s="340"/>
      <c r="L334" s="339"/>
      <c r="M334" s="341"/>
      <c r="N334" s="341"/>
      <c r="O334" s="340"/>
      <c r="P334" s="339"/>
      <c r="Q334" s="341"/>
      <c r="R334" s="339"/>
      <c r="S334" s="340"/>
      <c r="T334" s="339"/>
      <c r="U334" s="339"/>
      <c r="V334" s="339"/>
      <c r="W334" s="339"/>
      <c r="X334" s="339"/>
      <c r="Y334" s="339"/>
      <c r="Z334" s="339"/>
    </row>
    <row r="335" spans="1:26" ht="15.75" customHeight="1">
      <c r="A335" s="339"/>
      <c r="B335" s="339"/>
      <c r="C335" s="339"/>
      <c r="D335" s="339"/>
      <c r="E335" s="339"/>
      <c r="F335" s="339"/>
      <c r="G335" s="339"/>
      <c r="H335" s="339"/>
      <c r="I335" s="341"/>
      <c r="J335" s="341"/>
      <c r="K335" s="340"/>
      <c r="L335" s="339"/>
      <c r="M335" s="341"/>
      <c r="N335" s="341"/>
      <c r="O335" s="340"/>
      <c r="P335" s="339"/>
      <c r="Q335" s="341"/>
      <c r="R335" s="339"/>
      <c r="S335" s="340"/>
      <c r="T335" s="339"/>
      <c r="U335" s="339"/>
      <c r="V335" s="339"/>
      <c r="W335" s="339"/>
      <c r="X335" s="339"/>
      <c r="Y335" s="339"/>
      <c r="Z335" s="339"/>
    </row>
    <row r="336" spans="1:26" ht="15.75" customHeight="1">
      <c r="A336" s="339"/>
      <c r="B336" s="339"/>
      <c r="C336" s="339"/>
      <c r="D336" s="339"/>
      <c r="E336" s="339"/>
      <c r="F336" s="339"/>
      <c r="G336" s="339"/>
      <c r="H336" s="339"/>
      <c r="I336" s="341"/>
      <c r="J336" s="341"/>
      <c r="K336" s="340"/>
      <c r="L336" s="339"/>
      <c r="M336" s="341"/>
      <c r="N336" s="341"/>
      <c r="O336" s="340"/>
      <c r="P336" s="339"/>
      <c r="Q336" s="341"/>
      <c r="R336" s="339"/>
      <c r="S336" s="340"/>
      <c r="T336" s="339"/>
      <c r="U336" s="339"/>
      <c r="V336" s="339"/>
      <c r="W336" s="339"/>
      <c r="X336" s="339"/>
      <c r="Y336" s="339"/>
      <c r="Z336" s="339"/>
    </row>
    <row r="337" spans="1:26" ht="15.75" customHeight="1">
      <c r="A337" s="339"/>
      <c r="B337" s="339"/>
      <c r="C337" s="339"/>
      <c r="D337" s="339"/>
      <c r="E337" s="339"/>
      <c r="F337" s="339"/>
      <c r="G337" s="339"/>
      <c r="H337" s="339"/>
      <c r="I337" s="341"/>
      <c r="J337" s="341"/>
      <c r="K337" s="340"/>
      <c r="L337" s="339"/>
      <c r="M337" s="341"/>
      <c r="N337" s="341"/>
      <c r="O337" s="340"/>
      <c r="P337" s="339"/>
      <c r="Q337" s="341"/>
      <c r="R337" s="339"/>
      <c r="S337" s="340"/>
      <c r="T337" s="339"/>
      <c r="U337" s="339"/>
      <c r="V337" s="339"/>
      <c r="W337" s="339"/>
      <c r="X337" s="339"/>
      <c r="Y337" s="339"/>
      <c r="Z337" s="339"/>
    </row>
    <row r="338" spans="1:26" ht="15.75" customHeight="1">
      <c r="A338" s="339"/>
      <c r="B338" s="339"/>
      <c r="C338" s="339"/>
      <c r="D338" s="339"/>
      <c r="E338" s="339"/>
      <c r="F338" s="339"/>
      <c r="G338" s="339"/>
      <c r="H338" s="339"/>
      <c r="I338" s="341"/>
      <c r="J338" s="341"/>
      <c r="K338" s="340"/>
      <c r="L338" s="339"/>
      <c r="M338" s="341"/>
      <c r="N338" s="341"/>
      <c r="O338" s="340"/>
      <c r="P338" s="339"/>
      <c r="Q338" s="341"/>
      <c r="R338" s="339"/>
      <c r="S338" s="340"/>
      <c r="T338" s="339"/>
      <c r="U338" s="339"/>
      <c r="V338" s="339"/>
      <c r="W338" s="339"/>
      <c r="X338" s="339"/>
      <c r="Y338" s="339"/>
      <c r="Z338" s="339"/>
    </row>
    <row r="339" spans="1:26" ht="15.75" customHeight="1">
      <c r="A339" s="339"/>
      <c r="B339" s="339"/>
      <c r="C339" s="339"/>
      <c r="D339" s="339"/>
      <c r="E339" s="339"/>
      <c r="F339" s="339"/>
      <c r="G339" s="339"/>
      <c r="H339" s="339"/>
      <c r="I339" s="341"/>
      <c r="J339" s="341"/>
      <c r="K339" s="340"/>
      <c r="L339" s="339"/>
      <c r="M339" s="341"/>
      <c r="N339" s="341"/>
      <c r="O339" s="340"/>
      <c r="P339" s="339"/>
      <c r="Q339" s="341"/>
      <c r="R339" s="339"/>
      <c r="S339" s="340"/>
      <c r="T339" s="339"/>
      <c r="U339" s="339"/>
      <c r="V339" s="339"/>
      <c r="W339" s="339"/>
      <c r="X339" s="339"/>
      <c r="Y339" s="339"/>
      <c r="Z339" s="339"/>
    </row>
    <row r="340" spans="1:26" ht="15.75" customHeight="1">
      <c r="A340" s="339"/>
      <c r="B340" s="339"/>
      <c r="C340" s="339"/>
      <c r="D340" s="339"/>
      <c r="E340" s="339"/>
      <c r="F340" s="339"/>
      <c r="G340" s="339"/>
      <c r="H340" s="339"/>
      <c r="I340" s="341"/>
      <c r="J340" s="341"/>
      <c r="K340" s="340"/>
      <c r="L340" s="339"/>
      <c r="M340" s="341"/>
      <c r="N340" s="341"/>
      <c r="O340" s="340"/>
      <c r="P340" s="339"/>
      <c r="Q340" s="341"/>
      <c r="R340" s="339"/>
      <c r="S340" s="340"/>
      <c r="T340" s="339"/>
      <c r="U340" s="339"/>
      <c r="V340" s="339"/>
      <c r="W340" s="339"/>
      <c r="X340" s="339"/>
      <c r="Y340" s="339"/>
      <c r="Z340" s="339"/>
    </row>
    <row r="341" spans="1:26" ht="15.75" customHeight="1">
      <c r="A341" s="339"/>
      <c r="B341" s="339"/>
      <c r="C341" s="339"/>
      <c r="D341" s="339"/>
      <c r="E341" s="339"/>
      <c r="F341" s="339"/>
      <c r="G341" s="339"/>
      <c r="H341" s="339"/>
      <c r="I341" s="341"/>
      <c r="J341" s="341"/>
      <c r="K341" s="340"/>
      <c r="L341" s="339"/>
      <c r="M341" s="341"/>
      <c r="N341" s="341"/>
      <c r="O341" s="340"/>
      <c r="P341" s="339"/>
      <c r="Q341" s="341"/>
      <c r="R341" s="339"/>
      <c r="S341" s="340"/>
      <c r="T341" s="339"/>
      <c r="U341" s="339"/>
      <c r="V341" s="339"/>
      <c r="W341" s="339"/>
      <c r="X341" s="339"/>
      <c r="Y341" s="339"/>
      <c r="Z341" s="339"/>
    </row>
    <row r="342" spans="1:26" ht="15.75" customHeight="1">
      <c r="A342" s="339"/>
      <c r="B342" s="339"/>
      <c r="C342" s="339"/>
      <c r="D342" s="339"/>
      <c r="E342" s="339"/>
      <c r="F342" s="339"/>
      <c r="G342" s="339"/>
      <c r="H342" s="339"/>
      <c r="I342" s="341"/>
      <c r="J342" s="341"/>
      <c r="K342" s="340"/>
      <c r="L342" s="339"/>
      <c r="M342" s="341"/>
      <c r="N342" s="341"/>
      <c r="O342" s="340"/>
      <c r="P342" s="339"/>
      <c r="Q342" s="341"/>
      <c r="R342" s="339"/>
      <c r="S342" s="340"/>
      <c r="T342" s="339"/>
      <c r="U342" s="339"/>
      <c r="V342" s="339"/>
      <c r="W342" s="339"/>
      <c r="X342" s="339"/>
      <c r="Y342" s="339"/>
      <c r="Z342" s="339"/>
    </row>
    <row r="343" spans="1:26" ht="15.75" customHeight="1">
      <c r="A343" s="339"/>
      <c r="B343" s="339"/>
      <c r="C343" s="339"/>
      <c r="D343" s="339"/>
      <c r="E343" s="339"/>
      <c r="F343" s="339"/>
      <c r="G343" s="339"/>
      <c r="H343" s="339"/>
      <c r="I343" s="341"/>
      <c r="J343" s="341"/>
      <c r="K343" s="340"/>
      <c r="L343" s="339"/>
      <c r="M343" s="341"/>
      <c r="N343" s="341"/>
      <c r="O343" s="340"/>
      <c r="P343" s="339"/>
      <c r="Q343" s="341"/>
      <c r="R343" s="339"/>
      <c r="S343" s="340"/>
      <c r="T343" s="339"/>
      <c r="U343" s="339"/>
      <c r="V343" s="339"/>
      <c r="W343" s="339"/>
      <c r="X343" s="339"/>
      <c r="Y343" s="339"/>
      <c r="Z343" s="339"/>
    </row>
    <row r="344" spans="1:26" ht="15.75" customHeight="1">
      <c r="A344" s="339"/>
      <c r="B344" s="339"/>
      <c r="C344" s="339"/>
      <c r="D344" s="339"/>
      <c r="E344" s="339"/>
      <c r="F344" s="339"/>
      <c r="G344" s="339"/>
      <c r="H344" s="339"/>
      <c r="I344" s="341"/>
      <c r="J344" s="341"/>
      <c r="K344" s="340"/>
      <c r="L344" s="339"/>
      <c r="M344" s="341"/>
      <c r="N344" s="341"/>
      <c r="O344" s="340"/>
      <c r="P344" s="339"/>
      <c r="Q344" s="341"/>
      <c r="R344" s="339"/>
      <c r="S344" s="340"/>
      <c r="T344" s="339"/>
      <c r="U344" s="339"/>
      <c r="V344" s="339"/>
      <c r="W344" s="339"/>
      <c r="X344" s="339"/>
      <c r="Y344" s="339"/>
      <c r="Z344" s="339"/>
    </row>
    <row r="345" spans="1:26" ht="15.75" customHeight="1">
      <c r="A345" s="339"/>
      <c r="B345" s="339"/>
      <c r="C345" s="339"/>
      <c r="D345" s="339"/>
      <c r="E345" s="339"/>
      <c r="F345" s="339"/>
      <c r="G345" s="339"/>
      <c r="H345" s="339"/>
      <c r="I345" s="341"/>
      <c r="J345" s="341"/>
      <c r="K345" s="340"/>
      <c r="L345" s="339"/>
      <c r="M345" s="341"/>
      <c r="N345" s="341"/>
      <c r="O345" s="340"/>
      <c r="P345" s="339"/>
      <c r="Q345" s="341"/>
      <c r="R345" s="339"/>
      <c r="S345" s="340"/>
      <c r="T345" s="339"/>
      <c r="U345" s="339"/>
      <c r="V345" s="339"/>
      <c r="W345" s="339"/>
      <c r="X345" s="339"/>
      <c r="Y345" s="339"/>
      <c r="Z345" s="339"/>
    </row>
    <row r="346" spans="1:26" ht="15.75" customHeight="1">
      <c r="A346" s="339"/>
      <c r="B346" s="339"/>
      <c r="C346" s="339"/>
      <c r="D346" s="339"/>
      <c r="E346" s="339"/>
      <c r="F346" s="339"/>
      <c r="G346" s="339"/>
      <c r="H346" s="339"/>
      <c r="I346" s="341"/>
      <c r="J346" s="341"/>
      <c r="K346" s="340"/>
      <c r="L346" s="339"/>
      <c r="M346" s="341"/>
      <c r="N346" s="341"/>
      <c r="O346" s="340"/>
      <c r="P346" s="339"/>
      <c r="Q346" s="341"/>
      <c r="R346" s="339"/>
      <c r="S346" s="340"/>
      <c r="T346" s="339"/>
      <c r="U346" s="339"/>
      <c r="V346" s="339"/>
      <c r="W346" s="339"/>
      <c r="X346" s="339"/>
      <c r="Y346" s="339"/>
      <c r="Z346" s="339"/>
    </row>
    <row r="347" spans="1:26" ht="15.75" customHeight="1">
      <c r="A347" s="339"/>
      <c r="B347" s="339"/>
      <c r="C347" s="339"/>
      <c r="D347" s="339"/>
      <c r="E347" s="339"/>
      <c r="F347" s="339"/>
      <c r="G347" s="339"/>
      <c r="H347" s="339"/>
      <c r="I347" s="341"/>
      <c r="J347" s="341"/>
      <c r="K347" s="340"/>
      <c r="L347" s="339"/>
      <c r="M347" s="341"/>
      <c r="N347" s="341"/>
      <c r="O347" s="340"/>
      <c r="P347" s="339"/>
      <c r="Q347" s="341"/>
      <c r="R347" s="339"/>
      <c r="S347" s="340"/>
      <c r="T347" s="339"/>
      <c r="U347" s="339"/>
      <c r="V347" s="339"/>
      <c r="W347" s="339"/>
      <c r="X347" s="339"/>
      <c r="Y347" s="339"/>
      <c r="Z347" s="339"/>
    </row>
    <row r="348" spans="1:26" ht="15.75" customHeight="1">
      <c r="A348" s="339"/>
      <c r="B348" s="339"/>
      <c r="C348" s="339"/>
      <c r="D348" s="339"/>
      <c r="E348" s="339"/>
      <c r="F348" s="339"/>
      <c r="G348" s="339"/>
      <c r="H348" s="339"/>
      <c r="I348" s="341"/>
      <c r="J348" s="341"/>
      <c r="K348" s="340"/>
      <c r="L348" s="339"/>
      <c r="M348" s="341"/>
      <c r="N348" s="341"/>
      <c r="O348" s="340"/>
      <c r="P348" s="339"/>
      <c r="Q348" s="341"/>
      <c r="R348" s="339"/>
      <c r="S348" s="340"/>
      <c r="T348" s="339"/>
      <c r="U348" s="339"/>
      <c r="V348" s="339"/>
      <c r="W348" s="339"/>
      <c r="X348" s="339"/>
      <c r="Y348" s="339"/>
      <c r="Z348" s="339"/>
    </row>
    <row r="349" spans="1:26" ht="15.75" customHeight="1">
      <c r="A349" s="339"/>
      <c r="B349" s="339"/>
      <c r="C349" s="339"/>
      <c r="D349" s="339"/>
      <c r="E349" s="339"/>
      <c r="F349" s="339"/>
      <c r="G349" s="339"/>
      <c r="H349" s="339"/>
      <c r="I349" s="341"/>
      <c r="J349" s="341"/>
      <c r="K349" s="340"/>
      <c r="L349" s="339"/>
      <c r="M349" s="341"/>
      <c r="N349" s="341"/>
      <c r="O349" s="340"/>
      <c r="P349" s="339"/>
      <c r="Q349" s="341"/>
      <c r="R349" s="339"/>
      <c r="S349" s="340"/>
      <c r="T349" s="339"/>
      <c r="U349" s="339"/>
      <c r="V349" s="339"/>
      <c r="W349" s="339"/>
      <c r="X349" s="339"/>
      <c r="Y349" s="339"/>
      <c r="Z349" s="339"/>
    </row>
    <row r="350" spans="1:26" ht="15.75" customHeight="1">
      <c r="A350" s="339"/>
      <c r="B350" s="339"/>
      <c r="C350" s="339"/>
      <c r="D350" s="339"/>
      <c r="E350" s="339"/>
      <c r="F350" s="339"/>
      <c r="G350" s="339"/>
      <c r="H350" s="339"/>
      <c r="I350" s="341"/>
      <c r="J350" s="341"/>
      <c r="K350" s="340"/>
      <c r="L350" s="339"/>
      <c r="M350" s="341"/>
      <c r="N350" s="341"/>
      <c r="O350" s="340"/>
      <c r="P350" s="339"/>
      <c r="Q350" s="341"/>
      <c r="R350" s="339"/>
      <c r="S350" s="340"/>
      <c r="T350" s="339"/>
      <c r="U350" s="339"/>
      <c r="V350" s="339"/>
      <c r="W350" s="339"/>
      <c r="X350" s="339"/>
      <c r="Y350" s="339"/>
      <c r="Z350" s="339"/>
    </row>
    <row r="351" spans="1:26" ht="15.75" customHeight="1">
      <c r="A351" s="339"/>
      <c r="B351" s="339"/>
      <c r="C351" s="339"/>
      <c r="D351" s="339"/>
      <c r="E351" s="339"/>
      <c r="F351" s="339"/>
      <c r="G351" s="339"/>
      <c r="H351" s="339"/>
      <c r="I351" s="341"/>
      <c r="J351" s="341"/>
      <c r="K351" s="340"/>
      <c r="L351" s="339"/>
      <c r="M351" s="341"/>
      <c r="N351" s="341"/>
      <c r="O351" s="340"/>
      <c r="P351" s="339"/>
      <c r="Q351" s="341"/>
      <c r="R351" s="339"/>
      <c r="S351" s="340"/>
      <c r="T351" s="339"/>
      <c r="U351" s="339"/>
      <c r="V351" s="339"/>
      <c r="W351" s="339"/>
      <c r="X351" s="339"/>
      <c r="Y351" s="339"/>
      <c r="Z351" s="339"/>
    </row>
    <row r="352" spans="1:26" ht="15.75" customHeight="1">
      <c r="A352" s="339"/>
      <c r="B352" s="339"/>
      <c r="C352" s="339"/>
      <c r="D352" s="339"/>
      <c r="E352" s="339"/>
      <c r="F352" s="339"/>
      <c r="G352" s="339"/>
      <c r="H352" s="339"/>
      <c r="I352" s="341"/>
      <c r="J352" s="341"/>
      <c r="K352" s="340"/>
      <c r="L352" s="339"/>
      <c r="M352" s="341"/>
      <c r="N352" s="341"/>
      <c r="O352" s="340"/>
      <c r="P352" s="339"/>
      <c r="Q352" s="341"/>
      <c r="R352" s="339"/>
      <c r="S352" s="340"/>
      <c r="T352" s="339"/>
      <c r="U352" s="339"/>
      <c r="V352" s="339"/>
      <c r="W352" s="339"/>
      <c r="X352" s="339"/>
      <c r="Y352" s="339"/>
      <c r="Z352" s="339"/>
    </row>
    <row r="353" spans="1:26" ht="15.75" customHeight="1">
      <c r="A353" s="339"/>
      <c r="B353" s="339"/>
      <c r="C353" s="339"/>
      <c r="D353" s="339"/>
      <c r="E353" s="339"/>
      <c r="F353" s="339"/>
      <c r="G353" s="339"/>
      <c r="H353" s="339"/>
      <c r="I353" s="341"/>
      <c r="J353" s="341"/>
      <c r="K353" s="340"/>
      <c r="L353" s="339"/>
      <c r="M353" s="341"/>
      <c r="N353" s="341"/>
      <c r="O353" s="340"/>
      <c r="P353" s="339"/>
      <c r="Q353" s="341"/>
      <c r="R353" s="339"/>
      <c r="S353" s="340"/>
      <c r="T353" s="339"/>
      <c r="U353" s="339"/>
      <c r="V353" s="339"/>
      <c r="W353" s="339"/>
      <c r="X353" s="339"/>
      <c r="Y353" s="339"/>
      <c r="Z353" s="339"/>
    </row>
    <row r="354" spans="1:26" ht="15.75" customHeight="1">
      <c r="A354" s="339"/>
      <c r="B354" s="339"/>
      <c r="C354" s="339"/>
      <c r="D354" s="339"/>
      <c r="E354" s="339"/>
      <c r="F354" s="339"/>
      <c r="G354" s="339"/>
      <c r="H354" s="339"/>
      <c r="I354" s="341"/>
      <c r="J354" s="341"/>
      <c r="K354" s="340"/>
      <c r="L354" s="339"/>
      <c r="M354" s="341"/>
      <c r="N354" s="341"/>
      <c r="O354" s="340"/>
      <c r="P354" s="339"/>
      <c r="Q354" s="341"/>
      <c r="R354" s="339"/>
      <c r="S354" s="340"/>
      <c r="T354" s="339"/>
      <c r="U354" s="339"/>
      <c r="V354" s="339"/>
      <c r="W354" s="339"/>
      <c r="X354" s="339"/>
      <c r="Y354" s="339"/>
      <c r="Z354" s="339"/>
    </row>
    <row r="355" spans="1:26" ht="15.75" customHeight="1">
      <c r="A355" s="339"/>
      <c r="B355" s="339"/>
      <c r="C355" s="339"/>
      <c r="D355" s="339"/>
      <c r="E355" s="339"/>
      <c r="F355" s="339"/>
      <c r="G355" s="339"/>
      <c r="H355" s="339"/>
      <c r="I355" s="341"/>
      <c r="J355" s="341"/>
      <c r="K355" s="340"/>
      <c r="L355" s="339"/>
      <c r="M355" s="341"/>
      <c r="N355" s="341"/>
      <c r="O355" s="340"/>
      <c r="P355" s="339"/>
      <c r="Q355" s="341"/>
      <c r="R355" s="339"/>
      <c r="S355" s="340"/>
      <c r="T355" s="339"/>
      <c r="U355" s="339"/>
      <c r="V355" s="339"/>
      <c r="W355" s="339"/>
      <c r="X355" s="339"/>
      <c r="Y355" s="339"/>
      <c r="Z355" s="339"/>
    </row>
    <row r="356" spans="1:26" ht="15.75" customHeight="1">
      <c r="A356" s="339"/>
      <c r="B356" s="339"/>
      <c r="C356" s="339"/>
      <c r="D356" s="339"/>
      <c r="E356" s="339"/>
      <c r="F356" s="339"/>
      <c r="G356" s="339"/>
      <c r="H356" s="339"/>
      <c r="I356" s="341"/>
      <c r="J356" s="341"/>
      <c r="K356" s="340"/>
      <c r="L356" s="339"/>
      <c r="M356" s="341"/>
      <c r="N356" s="341"/>
      <c r="O356" s="340"/>
      <c r="P356" s="339"/>
      <c r="Q356" s="341"/>
      <c r="R356" s="339"/>
      <c r="S356" s="340"/>
      <c r="T356" s="339"/>
      <c r="U356" s="339"/>
      <c r="V356" s="339"/>
      <c r="W356" s="339"/>
      <c r="X356" s="339"/>
      <c r="Y356" s="339"/>
      <c r="Z356" s="339"/>
    </row>
    <row r="357" spans="1:26" ht="15.75" customHeight="1">
      <c r="A357" s="339"/>
      <c r="B357" s="339"/>
      <c r="C357" s="339"/>
      <c r="D357" s="339"/>
      <c r="E357" s="339"/>
      <c r="F357" s="339"/>
      <c r="G357" s="339"/>
      <c r="H357" s="339"/>
      <c r="I357" s="341"/>
      <c r="J357" s="341"/>
      <c r="K357" s="340"/>
      <c r="L357" s="339"/>
      <c r="M357" s="341"/>
      <c r="N357" s="341"/>
      <c r="O357" s="340"/>
      <c r="P357" s="339"/>
      <c r="Q357" s="341"/>
      <c r="R357" s="339"/>
      <c r="S357" s="340"/>
      <c r="T357" s="339"/>
      <c r="U357" s="339"/>
      <c r="V357" s="339"/>
      <c r="W357" s="339"/>
      <c r="X357" s="339"/>
      <c r="Y357" s="339"/>
      <c r="Z357" s="339"/>
    </row>
    <row r="358" spans="1:26" ht="15.75" customHeight="1">
      <c r="A358" s="339"/>
      <c r="B358" s="339"/>
      <c r="C358" s="339"/>
      <c r="D358" s="339"/>
      <c r="E358" s="339"/>
      <c r="F358" s="339"/>
      <c r="G358" s="339"/>
      <c r="H358" s="339"/>
      <c r="I358" s="341"/>
      <c r="J358" s="341"/>
      <c r="K358" s="340"/>
      <c r="L358" s="339"/>
      <c r="M358" s="341"/>
      <c r="N358" s="341"/>
      <c r="O358" s="340"/>
      <c r="P358" s="339"/>
      <c r="Q358" s="341"/>
      <c r="R358" s="339"/>
      <c r="S358" s="340"/>
      <c r="T358" s="339"/>
      <c r="U358" s="339"/>
      <c r="V358" s="339"/>
      <c r="W358" s="339"/>
      <c r="X358" s="339"/>
      <c r="Y358" s="339"/>
      <c r="Z358" s="339"/>
    </row>
    <row r="359" spans="1:26" ht="15.75" customHeight="1">
      <c r="A359" s="339"/>
      <c r="B359" s="339"/>
      <c r="C359" s="339"/>
      <c r="D359" s="339"/>
      <c r="E359" s="339"/>
      <c r="F359" s="339"/>
      <c r="G359" s="339"/>
      <c r="H359" s="339"/>
      <c r="I359" s="341"/>
      <c r="J359" s="341"/>
      <c r="K359" s="340"/>
      <c r="L359" s="339"/>
      <c r="M359" s="341"/>
      <c r="N359" s="341"/>
      <c r="O359" s="340"/>
      <c r="P359" s="339"/>
      <c r="Q359" s="341"/>
      <c r="R359" s="339"/>
      <c r="S359" s="340"/>
      <c r="T359" s="339"/>
      <c r="U359" s="339"/>
      <c r="V359" s="339"/>
      <c r="W359" s="339"/>
      <c r="X359" s="339"/>
      <c r="Y359" s="339"/>
      <c r="Z359" s="339"/>
    </row>
    <row r="360" spans="1:26" ht="15.75" customHeight="1">
      <c r="A360" s="339"/>
      <c r="B360" s="339"/>
      <c r="C360" s="339"/>
      <c r="D360" s="339"/>
      <c r="E360" s="339"/>
      <c r="F360" s="339"/>
      <c r="G360" s="339"/>
      <c r="H360" s="339"/>
      <c r="I360" s="341"/>
      <c r="J360" s="341"/>
      <c r="K360" s="340"/>
      <c r="L360" s="339"/>
      <c r="M360" s="341"/>
      <c r="N360" s="341"/>
      <c r="O360" s="340"/>
      <c r="P360" s="339"/>
      <c r="Q360" s="341"/>
      <c r="R360" s="339"/>
      <c r="S360" s="340"/>
      <c r="T360" s="339"/>
      <c r="U360" s="339"/>
      <c r="V360" s="339"/>
      <c r="W360" s="339"/>
      <c r="X360" s="339"/>
      <c r="Y360" s="339"/>
      <c r="Z360" s="339"/>
    </row>
    <row r="361" spans="1:26" ht="15.75" customHeight="1">
      <c r="A361" s="339"/>
      <c r="B361" s="339"/>
      <c r="C361" s="339"/>
      <c r="D361" s="339"/>
      <c r="E361" s="339"/>
      <c r="F361" s="339"/>
      <c r="G361" s="339"/>
      <c r="H361" s="339"/>
      <c r="I361" s="341"/>
      <c r="J361" s="341"/>
      <c r="K361" s="340"/>
      <c r="L361" s="339"/>
      <c r="M361" s="341"/>
      <c r="N361" s="341"/>
      <c r="O361" s="340"/>
      <c r="P361" s="339"/>
      <c r="Q361" s="341"/>
      <c r="R361" s="339"/>
      <c r="S361" s="340"/>
      <c r="T361" s="339"/>
      <c r="U361" s="339"/>
      <c r="V361" s="339"/>
      <c r="W361" s="339"/>
      <c r="X361" s="339"/>
      <c r="Y361" s="339"/>
      <c r="Z361" s="339"/>
    </row>
    <row r="362" spans="1:26" ht="15.75" customHeight="1">
      <c r="A362" s="339"/>
      <c r="B362" s="339"/>
      <c r="C362" s="339"/>
      <c r="D362" s="339"/>
      <c r="E362" s="339"/>
      <c r="F362" s="339"/>
      <c r="G362" s="339"/>
      <c r="H362" s="339"/>
      <c r="I362" s="341"/>
      <c r="J362" s="341"/>
      <c r="K362" s="340"/>
      <c r="L362" s="339"/>
      <c r="M362" s="341"/>
      <c r="N362" s="341"/>
      <c r="O362" s="340"/>
      <c r="P362" s="339"/>
      <c r="Q362" s="341"/>
      <c r="R362" s="339"/>
      <c r="S362" s="340"/>
      <c r="T362" s="339"/>
      <c r="U362" s="339"/>
      <c r="V362" s="339"/>
      <c r="W362" s="339"/>
      <c r="X362" s="339"/>
      <c r="Y362" s="339"/>
      <c r="Z362" s="339"/>
    </row>
    <row r="363" spans="1:26" ht="15.75" customHeight="1">
      <c r="A363" s="339"/>
      <c r="B363" s="339"/>
      <c r="C363" s="339"/>
      <c r="D363" s="339"/>
      <c r="E363" s="339"/>
      <c r="F363" s="339"/>
      <c r="G363" s="339"/>
      <c r="H363" s="339"/>
      <c r="I363" s="341"/>
      <c r="J363" s="341"/>
      <c r="K363" s="340"/>
      <c r="L363" s="339"/>
      <c r="M363" s="341"/>
      <c r="N363" s="341"/>
      <c r="O363" s="340"/>
      <c r="P363" s="339"/>
      <c r="Q363" s="341"/>
      <c r="R363" s="339"/>
      <c r="S363" s="340"/>
      <c r="T363" s="339"/>
      <c r="U363" s="339"/>
      <c r="V363" s="339"/>
      <c r="W363" s="339"/>
      <c r="X363" s="339"/>
      <c r="Y363" s="339"/>
      <c r="Z363" s="339"/>
    </row>
    <row r="364" spans="1:26" ht="15.75" customHeight="1">
      <c r="A364" s="339"/>
      <c r="B364" s="339"/>
      <c r="C364" s="339"/>
      <c r="D364" s="339"/>
      <c r="E364" s="339"/>
      <c r="F364" s="339"/>
      <c r="G364" s="339"/>
      <c r="H364" s="339"/>
      <c r="I364" s="341"/>
      <c r="J364" s="341"/>
      <c r="K364" s="340"/>
      <c r="L364" s="339"/>
      <c r="M364" s="341"/>
      <c r="N364" s="341"/>
      <c r="O364" s="340"/>
      <c r="P364" s="339"/>
      <c r="Q364" s="341"/>
      <c r="R364" s="339"/>
      <c r="S364" s="340"/>
      <c r="T364" s="339"/>
      <c r="U364" s="339"/>
      <c r="V364" s="339"/>
      <c r="W364" s="339"/>
      <c r="X364" s="339"/>
      <c r="Y364" s="339"/>
      <c r="Z364" s="339"/>
    </row>
    <row r="365" spans="1:26" ht="15.75" customHeight="1">
      <c r="A365" s="339"/>
      <c r="B365" s="339"/>
      <c r="C365" s="339"/>
      <c r="D365" s="339"/>
      <c r="E365" s="339"/>
      <c r="F365" s="339"/>
      <c r="G365" s="339"/>
      <c r="H365" s="339"/>
      <c r="I365" s="341"/>
      <c r="J365" s="341"/>
      <c r="K365" s="340"/>
      <c r="L365" s="339"/>
      <c r="M365" s="341"/>
      <c r="N365" s="341"/>
      <c r="O365" s="340"/>
      <c r="P365" s="339"/>
      <c r="Q365" s="341"/>
      <c r="R365" s="339"/>
      <c r="S365" s="340"/>
      <c r="T365" s="339"/>
      <c r="U365" s="339"/>
      <c r="V365" s="339"/>
      <c r="W365" s="339"/>
      <c r="X365" s="339"/>
      <c r="Y365" s="339"/>
      <c r="Z365" s="339"/>
    </row>
    <row r="366" spans="1:26" ht="15.75" customHeight="1">
      <c r="A366" s="339"/>
      <c r="B366" s="339"/>
      <c r="C366" s="339"/>
      <c r="D366" s="339"/>
      <c r="E366" s="339"/>
      <c r="F366" s="339"/>
      <c r="G366" s="339"/>
      <c r="H366" s="339"/>
      <c r="I366" s="341"/>
      <c r="J366" s="341"/>
      <c r="K366" s="340"/>
      <c r="L366" s="339"/>
      <c r="M366" s="341"/>
      <c r="N366" s="341"/>
      <c r="O366" s="340"/>
      <c r="P366" s="339"/>
      <c r="Q366" s="341"/>
      <c r="R366" s="339"/>
      <c r="S366" s="340"/>
      <c r="T366" s="339"/>
      <c r="U366" s="339"/>
      <c r="V366" s="339"/>
      <c r="W366" s="339"/>
      <c r="X366" s="339"/>
      <c r="Y366" s="339"/>
      <c r="Z366" s="339"/>
    </row>
    <row r="367" spans="1:26" ht="15.75" customHeight="1">
      <c r="A367" s="339"/>
      <c r="B367" s="339"/>
      <c r="C367" s="339"/>
      <c r="D367" s="339"/>
      <c r="E367" s="339"/>
      <c r="F367" s="339"/>
      <c r="G367" s="339"/>
      <c r="H367" s="339"/>
      <c r="I367" s="341"/>
      <c r="J367" s="341"/>
      <c r="K367" s="340"/>
      <c r="L367" s="339"/>
      <c r="M367" s="341"/>
      <c r="N367" s="341"/>
      <c r="O367" s="340"/>
      <c r="P367" s="339"/>
      <c r="Q367" s="341"/>
      <c r="R367" s="339"/>
      <c r="S367" s="340"/>
      <c r="T367" s="339"/>
      <c r="U367" s="339"/>
      <c r="V367" s="339"/>
      <c r="W367" s="339"/>
      <c r="X367" s="339"/>
      <c r="Y367" s="339"/>
      <c r="Z367" s="339"/>
    </row>
    <row r="368" spans="1:26" ht="15.75" customHeight="1">
      <c r="A368" s="339"/>
      <c r="B368" s="339"/>
      <c r="C368" s="339"/>
      <c r="D368" s="339"/>
      <c r="E368" s="339"/>
      <c r="F368" s="339"/>
      <c r="G368" s="339"/>
      <c r="H368" s="339"/>
      <c r="I368" s="341"/>
      <c r="J368" s="341"/>
      <c r="K368" s="340"/>
      <c r="L368" s="339"/>
      <c r="M368" s="341"/>
      <c r="N368" s="341"/>
      <c r="O368" s="340"/>
      <c r="P368" s="339"/>
      <c r="Q368" s="341"/>
      <c r="R368" s="339"/>
      <c r="S368" s="340"/>
      <c r="T368" s="339"/>
      <c r="U368" s="339"/>
      <c r="V368" s="339"/>
      <c r="W368" s="339"/>
      <c r="X368" s="339"/>
      <c r="Y368" s="339"/>
      <c r="Z368" s="339"/>
    </row>
    <row r="369" spans="1:26" ht="15.75" customHeight="1">
      <c r="A369" s="339"/>
      <c r="B369" s="339"/>
      <c r="C369" s="339"/>
      <c r="D369" s="339"/>
      <c r="E369" s="339"/>
      <c r="F369" s="339"/>
      <c r="G369" s="339"/>
      <c r="H369" s="339"/>
      <c r="I369" s="341"/>
      <c r="J369" s="341"/>
      <c r="K369" s="340"/>
      <c r="L369" s="339"/>
      <c r="M369" s="341"/>
      <c r="N369" s="341"/>
      <c r="O369" s="340"/>
      <c r="P369" s="339"/>
      <c r="Q369" s="341"/>
      <c r="R369" s="339"/>
      <c r="S369" s="340"/>
      <c r="T369" s="339"/>
      <c r="U369" s="339"/>
      <c r="V369" s="339"/>
      <c r="W369" s="339"/>
      <c r="X369" s="339"/>
      <c r="Y369" s="339"/>
      <c r="Z369" s="339"/>
    </row>
    <row r="370" spans="1:26" ht="15.75" customHeight="1">
      <c r="A370" s="339"/>
      <c r="B370" s="339"/>
      <c r="C370" s="339"/>
      <c r="D370" s="339"/>
      <c r="E370" s="339"/>
      <c r="F370" s="339"/>
      <c r="G370" s="339"/>
      <c r="H370" s="339"/>
      <c r="I370" s="341"/>
      <c r="J370" s="341"/>
      <c r="K370" s="340"/>
      <c r="L370" s="339"/>
      <c r="M370" s="341"/>
      <c r="N370" s="341"/>
      <c r="O370" s="340"/>
      <c r="P370" s="339"/>
      <c r="Q370" s="341"/>
      <c r="R370" s="339"/>
      <c r="S370" s="340"/>
      <c r="T370" s="339"/>
      <c r="U370" s="339"/>
      <c r="V370" s="339"/>
      <c r="W370" s="339"/>
      <c r="X370" s="339"/>
      <c r="Y370" s="339"/>
      <c r="Z370" s="339"/>
    </row>
    <row r="371" spans="1:26" ht="15.75" customHeight="1">
      <c r="A371" s="339"/>
      <c r="B371" s="339"/>
      <c r="C371" s="339"/>
      <c r="D371" s="339"/>
      <c r="E371" s="339"/>
      <c r="F371" s="339"/>
      <c r="G371" s="339"/>
      <c r="H371" s="339"/>
      <c r="I371" s="341"/>
      <c r="J371" s="341"/>
      <c r="K371" s="340"/>
      <c r="L371" s="339"/>
      <c r="M371" s="341"/>
      <c r="N371" s="341"/>
      <c r="O371" s="340"/>
      <c r="P371" s="339"/>
      <c r="Q371" s="341"/>
      <c r="R371" s="339"/>
      <c r="S371" s="340"/>
      <c r="T371" s="339"/>
      <c r="U371" s="339"/>
      <c r="V371" s="339"/>
      <c r="W371" s="339"/>
      <c r="X371" s="339"/>
      <c r="Y371" s="339"/>
      <c r="Z371" s="339"/>
    </row>
    <row r="372" spans="1:26" ht="15.75" customHeight="1">
      <c r="A372" s="339"/>
      <c r="B372" s="339"/>
      <c r="C372" s="339"/>
      <c r="D372" s="339"/>
      <c r="E372" s="339"/>
      <c r="F372" s="339"/>
      <c r="G372" s="339"/>
      <c r="H372" s="339"/>
      <c r="I372" s="341"/>
      <c r="J372" s="341"/>
      <c r="K372" s="340"/>
      <c r="L372" s="339"/>
      <c r="M372" s="341"/>
      <c r="N372" s="341"/>
      <c r="O372" s="340"/>
      <c r="P372" s="339"/>
      <c r="Q372" s="341"/>
      <c r="R372" s="339"/>
      <c r="S372" s="340"/>
      <c r="T372" s="339"/>
      <c r="U372" s="339"/>
      <c r="V372" s="339"/>
      <c r="W372" s="339"/>
      <c r="X372" s="339"/>
      <c r="Y372" s="339"/>
      <c r="Z372" s="339"/>
    </row>
    <row r="373" spans="1:26" ht="15.75" customHeight="1">
      <c r="A373" s="339"/>
      <c r="B373" s="339"/>
      <c r="C373" s="339"/>
      <c r="D373" s="339"/>
      <c r="E373" s="339"/>
      <c r="F373" s="339"/>
      <c r="G373" s="339"/>
      <c r="H373" s="339"/>
      <c r="I373" s="341"/>
      <c r="J373" s="341"/>
      <c r="K373" s="340"/>
      <c r="L373" s="339"/>
      <c r="M373" s="341"/>
      <c r="N373" s="341"/>
      <c r="O373" s="340"/>
      <c r="P373" s="339"/>
      <c r="Q373" s="341"/>
      <c r="R373" s="339"/>
      <c r="S373" s="340"/>
      <c r="T373" s="339"/>
      <c r="U373" s="339"/>
      <c r="V373" s="339"/>
      <c r="W373" s="339"/>
      <c r="X373" s="339"/>
      <c r="Y373" s="339"/>
      <c r="Z373" s="339"/>
    </row>
    <row r="374" spans="1:26" ht="15.75" customHeight="1">
      <c r="A374" s="339"/>
      <c r="B374" s="339"/>
      <c r="C374" s="339"/>
      <c r="D374" s="339"/>
      <c r="E374" s="339"/>
      <c r="F374" s="339"/>
      <c r="G374" s="339"/>
      <c r="H374" s="339"/>
      <c r="I374" s="341"/>
      <c r="J374" s="341"/>
      <c r="K374" s="340"/>
      <c r="L374" s="339"/>
      <c r="M374" s="341"/>
      <c r="N374" s="341"/>
      <c r="O374" s="340"/>
      <c r="P374" s="339"/>
      <c r="Q374" s="341"/>
      <c r="R374" s="339"/>
      <c r="S374" s="340"/>
      <c r="T374" s="339"/>
      <c r="U374" s="339"/>
      <c r="V374" s="339"/>
      <c r="W374" s="339"/>
      <c r="X374" s="339"/>
      <c r="Y374" s="339"/>
      <c r="Z374" s="339"/>
    </row>
    <row r="375" spans="1:26" ht="15.75" customHeight="1">
      <c r="A375" s="339"/>
      <c r="B375" s="339"/>
      <c r="C375" s="339"/>
      <c r="D375" s="339"/>
      <c r="E375" s="339"/>
      <c r="F375" s="339"/>
      <c r="G375" s="339"/>
      <c r="H375" s="339"/>
      <c r="I375" s="341"/>
      <c r="J375" s="341"/>
      <c r="K375" s="340"/>
      <c r="L375" s="339"/>
      <c r="M375" s="341"/>
      <c r="N375" s="341"/>
      <c r="O375" s="340"/>
      <c r="P375" s="339"/>
      <c r="Q375" s="341"/>
      <c r="R375" s="339"/>
      <c r="S375" s="340"/>
      <c r="T375" s="339"/>
      <c r="U375" s="339"/>
      <c r="V375" s="339"/>
      <c r="W375" s="339"/>
      <c r="X375" s="339"/>
      <c r="Y375" s="339"/>
      <c r="Z375" s="339"/>
    </row>
    <row r="376" spans="1:26" ht="15.75" customHeight="1">
      <c r="A376" s="339"/>
      <c r="B376" s="339"/>
      <c r="C376" s="339"/>
      <c r="D376" s="339"/>
      <c r="E376" s="339"/>
      <c r="F376" s="339"/>
      <c r="G376" s="339"/>
      <c r="H376" s="339"/>
      <c r="I376" s="341"/>
      <c r="J376" s="341"/>
      <c r="K376" s="340"/>
      <c r="L376" s="339"/>
      <c r="M376" s="341"/>
      <c r="N376" s="341"/>
      <c r="O376" s="340"/>
      <c r="P376" s="339"/>
      <c r="Q376" s="341"/>
      <c r="R376" s="339"/>
      <c r="S376" s="340"/>
      <c r="T376" s="339"/>
      <c r="U376" s="339"/>
      <c r="V376" s="339"/>
      <c r="W376" s="339"/>
      <c r="X376" s="339"/>
      <c r="Y376" s="339"/>
      <c r="Z376" s="339"/>
    </row>
    <row r="377" spans="1:26" ht="15.75" customHeight="1">
      <c r="A377" s="339"/>
      <c r="B377" s="339"/>
      <c r="C377" s="339"/>
      <c r="D377" s="339"/>
      <c r="E377" s="339"/>
      <c r="F377" s="339"/>
      <c r="G377" s="339"/>
      <c r="H377" s="339"/>
      <c r="I377" s="341"/>
      <c r="J377" s="341"/>
      <c r="K377" s="340"/>
      <c r="L377" s="339"/>
      <c r="M377" s="341"/>
      <c r="N377" s="341"/>
      <c r="O377" s="340"/>
      <c r="P377" s="339"/>
      <c r="Q377" s="341"/>
      <c r="R377" s="339"/>
      <c r="S377" s="340"/>
      <c r="T377" s="339"/>
      <c r="U377" s="339"/>
      <c r="V377" s="339"/>
      <c r="W377" s="339"/>
      <c r="X377" s="339"/>
      <c r="Y377" s="339"/>
      <c r="Z377" s="339"/>
    </row>
    <row r="378" spans="1:26" ht="15.75" customHeight="1">
      <c r="A378" s="339"/>
      <c r="B378" s="339"/>
      <c r="C378" s="339"/>
      <c r="D378" s="339"/>
      <c r="E378" s="339"/>
      <c r="F378" s="339"/>
      <c r="G378" s="339"/>
      <c r="H378" s="339"/>
      <c r="I378" s="341"/>
      <c r="J378" s="341"/>
      <c r="K378" s="340"/>
      <c r="L378" s="339"/>
      <c r="M378" s="341"/>
      <c r="N378" s="341"/>
      <c r="O378" s="340"/>
      <c r="P378" s="339"/>
      <c r="Q378" s="341"/>
      <c r="R378" s="339"/>
      <c r="S378" s="340"/>
      <c r="T378" s="339"/>
      <c r="U378" s="339"/>
      <c r="V378" s="339"/>
      <c r="W378" s="339"/>
      <c r="X378" s="339"/>
      <c r="Y378" s="339"/>
      <c r="Z378" s="339"/>
    </row>
    <row r="379" spans="1:26" ht="15.75" customHeight="1">
      <c r="A379" s="339"/>
      <c r="B379" s="339"/>
      <c r="C379" s="339"/>
      <c r="D379" s="339"/>
      <c r="E379" s="339"/>
      <c r="F379" s="339"/>
      <c r="G379" s="339"/>
      <c r="H379" s="339"/>
      <c r="I379" s="341"/>
      <c r="J379" s="341"/>
      <c r="K379" s="340"/>
      <c r="L379" s="339"/>
      <c r="M379" s="341"/>
      <c r="N379" s="341"/>
      <c r="O379" s="340"/>
      <c r="P379" s="339"/>
      <c r="Q379" s="341"/>
      <c r="R379" s="339"/>
      <c r="S379" s="340"/>
      <c r="T379" s="339"/>
      <c r="U379" s="339"/>
      <c r="V379" s="339"/>
      <c r="W379" s="339"/>
      <c r="X379" s="339"/>
      <c r="Y379" s="339"/>
      <c r="Z379" s="339"/>
    </row>
    <row r="380" spans="1:26" ht="15.75" customHeight="1">
      <c r="A380" s="339"/>
      <c r="B380" s="339"/>
      <c r="C380" s="339"/>
      <c r="D380" s="339"/>
      <c r="E380" s="339"/>
      <c r="F380" s="339"/>
      <c r="G380" s="339"/>
      <c r="H380" s="339"/>
      <c r="I380" s="341"/>
      <c r="J380" s="341"/>
      <c r="K380" s="340"/>
      <c r="L380" s="339"/>
      <c r="M380" s="341"/>
      <c r="N380" s="341"/>
      <c r="O380" s="340"/>
      <c r="P380" s="339"/>
      <c r="Q380" s="341"/>
      <c r="R380" s="339"/>
      <c r="S380" s="340"/>
      <c r="T380" s="339"/>
      <c r="U380" s="339"/>
      <c r="V380" s="339"/>
      <c r="W380" s="339"/>
      <c r="X380" s="339"/>
      <c r="Y380" s="339"/>
      <c r="Z380" s="339"/>
    </row>
    <row r="381" spans="1:26" ht="15.75" customHeight="1">
      <c r="A381" s="339"/>
      <c r="B381" s="339"/>
      <c r="C381" s="339"/>
      <c r="D381" s="339"/>
      <c r="E381" s="339"/>
      <c r="F381" s="339"/>
      <c r="G381" s="339"/>
      <c r="H381" s="339"/>
      <c r="I381" s="341"/>
      <c r="J381" s="341"/>
      <c r="K381" s="340"/>
      <c r="L381" s="339"/>
      <c r="M381" s="341"/>
      <c r="N381" s="341"/>
      <c r="O381" s="340"/>
      <c r="P381" s="339"/>
      <c r="Q381" s="341"/>
      <c r="R381" s="339"/>
      <c r="S381" s="340"/>
      <c r="T381" s="339"/>
      <c r="U381" s="339"/>
      <c r="V381" s="339"/>
      <c r="W381" s="339"/>
      <c r="X381" s="339"/>
      <c r="Y381" s="339"/>
      <c r="Z381" s="339"/>
    </row>
    <row r="382" spans="1:26" ht="15.75" customHeight="1">
      <c r="A382" s="339"/>
      <c r="B382" s="339"/>
      <c r="C382" s="339"/>
      <c r="D382" s="339"/>
      <c r="E382" s="339"/>
      <c r="F382" s="339"/>
      <c r="G382" s="339"/>
      <c r="H382" s="339"/>
      <c r="I382" s="341"/>
      <c r="J382" s="341"/>
      <c r="K382" s="340"/>
      <c r="L382" s="339"/>
      <c r="M382" s="341"/>
      <c r="N382" s="341"/>
      <c r="O382" s="340"/>
      <c r="P382" s="339"/>
      <c r="Q382" s="341"/>
      <c r="R382" s="339"/>
      <c r="S382" s="340"/>
      <c r="T382" s="339"/>
      <c r="U382" s="339"/>
      <c r="V382" s="339"/>
      <c r="W382" s="339"/>
      <c r="X382" s="339"/>
      <c r="Y382" s="339"/>
      <c r="Z382" s="339"/>
    </row>
    <row r="383" spans="1:26" ht="15.75" customHeight="1">
      <c r="A383" s="339"/>
      <c r="B383" s="339"/>
      <c r="C383" s="339"/>
      <c r="D383" s="339"/>
      <c r="E383" s="339"/>
      <c r="F383" s="339"/>
      <c r="G383" s="339"/>
      <c r="H383" s="339"/>
      <c r="I383" s="341"/>
      <c r="J383" s="341"/>
      <c r="K383" s="340"/>
      <c r="L383" s="339"/>
      <c r="M383" s="341"/>
      <c r="N383" s="341"/>
      <c r="O383" s="340"/>
      <c r="P383" s="339"/>
      <c r="Q383" s="341"/>
      <c r="R383" s="339"/>
      <c r="S383" s="340"/>
      <c r="T383" s="339"/>
      <c r="U383" s="339"/>
      <c r="V383" s="339"/>
      <c r="W383" s="339"/>
      <c r="X383" s="339"/>
      <c r="Y383" s="339"/>
      <c r="Z383" s="339"/>
    </row>
    <row r="384" spans="1:26" ht="15.75" customHeight="1">
      <c r="A384" s="339"/>
      <c r="B384" s="339"/>
      <c r="C384" s="339"/>
      <c r="D384" s="339"/>
      <c r="E384" s="339"/>
      <c r="F384" s="339"/>
      <c r="G384" s="339"/>
      <c r="H384" s="339"/>
      <c r="I384" s="341"/>
      <c r="J384" s="341"/>
      <c r="K384" s="340"/>
      <c r="L384" s="339"/>
      <c r="M384" s="341"/>
      <c r="N384" s="341"/>
      <c r="O384" s="340"/>
      <c r="P384" s="339"/>
      <c r="Q384" s="341"/>
      <c r="R384" s="339"/>
      <c r="S384" s="340"/>
      <c r="T384" s="339"/>
      <c r="U384" s="339"/>
      <c r="V384" s="339"/>
      <c r="W384" s="339"/>
      <c r="X384" s="339"/>
      <c r="Y384" s="339"/>
      <c r="Z384" s="339"/>
    </row>
    <row r="385" spans="1:26" ht="15.75" customHeight="1">
      <c r="A385" s="339"/>
      <c r="B385" s="339"/>
      <c r="C385" s="339"/>
      <c r="D385" s="339"/>
      <c r="E385" s="339"/>
      <c r="F385" s="339"/>
      <c r="G385" s="339"/>
      <c r="H385" s="339"/>
      <c r="I385" s="341"/>
      <c r="J385" s="341"/>
      <c r="K385" s="340"/>
      <c r="L385" s="339"/>
      <c r="M385" s="341"/>
      <c r="N385" s="341"/>
      <c r="O385" s="340"/>
      <c r="P385" s="339"/>
      <c r="Q385" s="341"/>
      <c r="R385" s="339"/>
      <c r="S385" s="340"/>
      <c r="T385" s="339"/>
      <c r="U385" s="339"/>
      <c r="V385" s="339"/>
      <c r="W385" s="339"/>
      <c r="X385" s="339"/>
      <c r="Y385" s="339"/>
      <c r="Z385" s="339"/>
    </row>
    <row r="386" spans="1:26" ht="15.75" customHeight="1">
      <c r="A386" s="339"/>
      <c r="B386" s="339"/>
      <c r="C386" s="339"/>
      <c r="D386" s="339"/>
      <c r="E386" s="339"/>
      <c r="F386" s="339"/>
      <c r="G386" s="339"/>
      <c r="H386" s="339"/>
      <c r="I386" s="341"/>
      <c r="J386" s="341"/>
      <c r="K386" s="340"/>
      <c r="L386" s="339"/>
      <c r="M386" s="341"/>
      <c r="N386" s="341"/>
      <c r="O386" s="340"/>
      <c r="P386" s="339"/>
      <c r="Q386" s="341"/>
      <c r="R386" s="339"/>
      <c r="S386" s="340"/>
      <c r="T386" s="339"/>
      <c r="U386" s="339"/>
      <c r="V386" s="339"/>
      <c r="W386" s="339"/>
      <c r="X386" s="339"/>
      <c r="Y386" s="339"/>
      <c r="Z386" s="339"/>
    </row>
    <row r="387" spans="1:26" ht="15.75" customHeight="1">
      <c r="A387" s="339"/>
      <c r="B387" s="339"/>
      <c r="C387" s="339"/>
      <c r="D387" s="339"/>
      <c r="E387" s="339"/>
      <c r="F387" s="339"/>
      <c r="G387" s="339"/>
      <c r="H387" s="339"/>
      <c r="I387" s="341"/>
      <c r="J387" s="341"/>
      <c r="K387" s="340"/>
      <c r="L387" s="339"/>
      <c r="M387" s="341"/>
      <c r="N387" s="341"/>
      <c r="O387" s="340"/>
      <c r="P387" s="339"/>
      <c r="Q387" s="341"/>
      <c r="R387" s="339"/>
      <c r="S387" s="340"/>
      <c r="T387" s="339"/>
      <c r="U387" s="339"/>
      <c r="V387" s="339"/>
      <c r="W387" s="339"/>
      <c r="X387" s="339"/>
      <c r="Y387" s="339"/>
      <c r="Z387" s="339"/>
    </row>
    <row r="388" spans="1:26" ht="15.75" customHeight="1">
      <c r="A388" s="339"/>
      <c r="B388" s="339"/>
      <c r="C388" s="339"/>
      <c r="D388" s="339"/>
      <c r="E388" s="339"/>
      <c r="F388" s="339"/>
      <c r="G388" s="339"/>
      <c r="H388" s="339"/>
      <c r="I388" s="341"/>
      <c r="J388" s="341"/>
      <c r="K388" s="340"/>
      <c r="L388" s="339"/>
      <c r="M388" s="341"/>
      <c r="N388" s="341"/>
      <c r="O388" s="340"/>
      <c r="P388" s="339"/>
      <c r="Q388" s="341"/>
      <c r="R388" s="339"/>
      <c r="S388" s="340"/>
      <c r="T388" s="339"/>
      <c r="U388" s="339"/>
      <c r="V388" s="339"/>
      <c r="W388" s="339"/>
      <c r="X388" s="339"/>
      <c r="Y388" s="339"/>
      <c r="Z388" s="339"/>
    </row>
    <row r="389" spans="1:26" ht="15.75" customHeight="1">
      <c r="A389" s="339"/>
      <c r="B389" s="339"/>
      <c r="C389" s="339"/>
      <c r="D389" s="339"/>
      <c r="E389" s="339"/>
      <c r="F389" s="339"/>
      <c r="G389" s="339"/>
      <c r="H389" s="339"/>
      <c r="I389" s="341"/>
      <c r="J389" s="341"/>
      <c r="K389" s="340"/>
      <c r="L389" s="339"/>
      <c r="M389" s="341"/>
      <c r="N389" s="341"/>
      <c r="O389" s="340"/>
      <c r="P389" s="339"/>
      <c r="Q389" s="341"/>
      <c r="R389" s="339"/>
      <c r="S389" s="340"/>
      <c r="T389" s="339"/>
      <c r="U389" s="339"/>
      <c r="V389" s="339"/>
      <c r="W389" s="339"/>
      <c r="X389" s="339"/>
      <c r="Y389" s="339"/>
      <c r="Z389" s="339"/>
    </row>
    <row r="390" spans="1:26" ht="15.75" customHeight="1">
      <c r="A390" s="339"/>
      <c r="B390" s="339"/>
      <c r="C390" s="339"/>
      <c r="D390" s="339"/>
      <c r="E390" s="339"/>
      <c r="F390" s="339"/>
      <c r="G390" s="339"/>
      <c r="H390" s="339"/>
      <c r="I390" s="341"/>
      <c r="J390" s="341"/>
      <c r="K390" s="340"/>
      <c r="L390" s="339"/>
      <c r="M390" s="341"/>
      <c r="N390" s="341"/>
      <c r="O390" s="340"/>
      <c r="P390" s="339"/>
      <c r="Q390" s="341"/>
      <c r="R390" s="339"/>
      <c r="S390" s="340"/>
      <c r="T390" s="339"/>
      <c r="U390" s="339"/>
      <c r="V390" s="339"/>
      <c r="W390" s="339"/>
      <c r="X390" s="339"/>
      <c r="Y390" s="339"/>
      <c r="Z390" s="339"/>
    </row>
    <row r="391" spans="1:26" ht="15.75" customHeight="1">
      <c r="A391" s="339"/>
      <c r="B391" s="339"/>
      <c r="C391" s="339"/>
      <c r="D391" s="339"/>
      <c r="E391" s="339"/>
      <c r="F391" s="339"/>
      <c r="G391" s="339"/>
      <c r="H391" s="339"/>
      <c r="I391" s="341"/>
      <c r="J391" s="341"/>
      <c r="K391" s="340"/>
      <c r="L391" s="339"/>
      <c r="M391" s="341"/>
      <c r="N391" s="341"/>
      <c r="O391" s="340"/>
      <c r="P391" s="339"/>
      <c r="Q391" s="341"/>
      <c r="R391" s="339"/>
      <c r="S391" s="340"/>
      <c r="T391" s="339"/>
      <c r="U391" s="339"/>
      <c r="V391" s="339"/>
      <c r="W391" s="339"/>
      <c r="X391" s="339"/>
      <c r="Y391" s="339"/>
      <c r="Z391" s="339"/>
    </row>
    <row r="392" spans="1:26" ht="15.75" customHeight="1">
      <c r="A392" s="339"/>
      <c r="B392" s="339"/>
      <c r="C392" s="339"/>
      <c r="D392" s="339"/>
      <c r="E392" s="339"/>
      <c r="F392" s="339"/>
      <c r="G392" s="339"/>
      <c r="H392" s="339"/>
      <c r="I392" s="341"/>
      <c r="J392" s="341"/>
      <c r="K392" s="340"/>
      <c r="L392" s="339"/>
      <c r="M392" s="341"/>
      <c r="N392" s="341"/>
      <c r="O392" s="340"/>
      <c r="P392" s="339"/>
      <c r="Q392" s="341"/>
      <c r="R392" s="339"/>
      <c r="S392" s="340"/>
      <c r="T392" s="339"/>
      <c r="U392" s="339"/>
      <c r="V392" s="339"/>
      <c r="W392" s="339"/>
      <c r="X392" s="339"/>
      <c r="Y392" s="339"/>
      <c r="Z392" s="339"/>
    </row>
    <row r="393" spans="1:26" ht="15.75" customHeight="1">
      <c r="A393" s="339"/>
      <c r="B393" s="339"/>
      <c r="C393" s="339"/>
      <c r="D393" s="339"/>
      <c r="E393" s="339"/>
      <c r="F393" s="339"/>
      <c r="G393" s="339"/>
      <c r="H393" s="339"/>
      <c r="I393" s="341"/>
      <c r="J393" s="341"/>
      <c r="K393" s="340"/>
      <c r="L393" s="339"/>
      <c r="M393" s="341"/>
      <c r="N393" s="341"/>
      <c r="O393" s="340"/>
      <c r="P393" s="339"/>
      <c r="Q393" s="341"/>
      <c r="R393" s="339"/>
      <c r="S393" s="340"/>
      <c r="T393" s="339"/>
      <c r="U393" s="339"/>
      <c r="V393" s="339"/>
      <c r="W393" s="339"/>
      <c r="X393" s="339"/>
      <c r="Y393" s="339"/>
      <c r="Z393" s="339"/>
    </row>
    <row r="394" spans="1:26" ht="15.75" customHeight="1">
      <c r="A394" s="339"/>
      <c r="B394" s="339"/>
      <c r="C394" s="339"/>
      <c r="D394" s="339"/>
      <c r="E394" s="339"/>
      <c r="F394" s="339"/>
      <c r="G394" s="339"/>
      <c r="H394" s="339"/>
      <c r="I394" s="341"/>
      <c r="J394" s="341"/>
      <c r="K394" s="340"/>
      <c r="L394" s="339"/>
      <c r="M394" s="341"/>
      <c r="N394" s="341"/>
      <c r="O394" s="340"/>
      <c r="P394" s="339"/>
      <c r="Q394" s="341"/>
      <c r="R394" s="339"/>
      <c r="S394" s="340"/>
      <c r="T394" s="339"/>
      <c r="U394" s="339"/>
      <c r="V394" s="339"/>
      <c r="W394" s="339"/>
      <c r="X394" s="339"/>
      <c r="Y394" s="339"/>
      <c r="Z394" s="339"/>
    </row>
    <row r="395" spans="1:26" ht="15.75" customHeight="1">
      <c r="A395" s="339"/>
      <c r="B395" s="339"/>
      <c r="C395" s="339"/>
      <c r="D395" s="339"/>
      <c r="E395" s="339"/>
      <c r="F395" s="339"/>
      <c r="G395" s="339"/>
      <c r="H395" s="339"/>
      <c r="I395" s="341"/>
      <c r="J395" s="341"/>
      <c r="K395" s="340"/>
      <c r="L395" s="339"/>
      <c r="M395" s="341"/>
      <c r="N395" s="341"/>
      <c r="O395" s="340"/>
      <c r="P395" s="339"/>
      <c r="Q395" s="341"/>
      <c r="R395" s="339"/>
      <c r="S395" s="340"/>
      <c r="T395" s="339"/>
      <c r="U395" s="339"/>
      <c r="V395" s="339"/>
      <c r="W395" s="339"/>
      <c r="X395" s="339"/>
      <c r="Y395" s="339"/>
      <c r="Z395" s="339"/>
    </row>
    <row r="396" spans="1:26" ht="15.75" customHeight="1">
      <c r="A396" s="339"/>
      <c r="B396" s="339"/>
      <c r="C396" s="339"/>
      <c r="D396" s="339"/>
      <c r="E396" s="339"/>
      <c r="F396" s="339"/>
      <c r="G396" s="339"/>
      <c r="H396" s="339"/>
      <c r="I396" s="341"/>
      <c r="J396" s="341"/>
      <c r="K396" s="340"/>
      <c r="L396" s="339"/>
      <c r="M396" s="341"/>
      <c r="N396" s="341"/>
      <c r="O396" s="340"/>
      <c r="P396" s="339"/>
      <c r="Q396" s="341"/>
      <c r="R396" s="339"/>
      <c r="S396" s="340"/>
      <c r="T396" s="339"/>
      <c r="U396" s="339"/>
      <c r="V396" s="339"/>
      <c r="W396" s="339"/>
      <c r="X396" s="339"/>
      <c r="Y396" s="339"/>
      <c r="Z396" s="339"/>
    </row>
    <row r="397" spans="1:26" ht="15.75" customHeight="1">
      <c r="A397" s="339"/>
      <c r="B397" s="339"/>
      <c r="C397" s="339"/>
      <c r="D397" s="339"/>
      <c r="E397" s="339"/>
      <c r="F397" s="339"/>
      <c r="G397" s="339"/>
      <c r="H397" s="339"/>
      <c r="I397" s="341"/>
      <c r="J397" s="341"/>
      <c r="K397" s="340"/>
      <c r="L397" s="339"/>
      <c r="M397" s="341"/>
      <c r="N397" s="341"/>
      <c r="O397" s="340"/>
      <c r="P397" s="339"/>
      <c r="Q397" s="341"/>
      <c r="R397" s="339"/>
      <c r="S397" s="340"/>
      <c r="T397" s="339"/>
      <c r="U397" s="339"/>
      <c r="V397" s="339"/>
      <c r="W397" s="339"/>
      <c r="X397" s="339"/>
      <c r="Y397" s="339"/>
      <c r="Z397" s="339"/>
    </row>
    <row r="398" spans="1:26" ht="15.75" customHeight="1">
      <c r="A398" s="339"/>
      <c r="B398" s="339"/>
      <c r="C398" s="339"/>
      <c r="D398" s="339"/>
      <c r="E398" s="339"/>
      <c r="F398" s="339"/>
      <c r="G398" s="339"/>
      <c r="H398" s="339"/>
      <c r="I398" s="341"/>
      <c r="J398" s="341"/>
      <c r="K398" s="340"/>
      <c r="L398" s="339"/>
      <c r="M398" s="341"/>
      <c r="N398" s="341"/>
      <c r="O398" s="340"/>
      <c r="P398" s="339"/>
      <c r="Q398" s="341"/>
      <c r="R398" s="339"/>
      <c r="S398" s="340"/>
      <c r="T398" s="339"/>
      <c r="U398" s="339"/>
      <c r="V398" s="339"/>
      <c r="W398" s="339"/>
      <c r="X398" s="339"/>
      <c r="Y398" s="339"/>
      <c r="Z398" s="339"/>
    </row>
    <row r="399" spans="1:26" ht="15.75" customHeight="1">
      <c r="A399" s="339"/>
      <c r="B399" s="339"/>
      <c r="C399" s="339"/>
      <c r="D399" s="339"/>
      <c r="E399" s="339"/>
      <c r="F399" s="339"/>
      <c r="G399" s="339"/>
      <c r="H399" s="339"/>
      <c r="I399" s="341"/>
      <c r="J399" s="341"/>
      <c r="K399" s="340"/>
      <c r="L399" s="339"/>
      <c r="M399" s="341"/>
      <c r="N399" s="341"/>
      <c r="O399" s="340"/>
      <c r="P399" s="339"/>
      <c r="Q399" s="341"/>
      <c r="R399" s="339"/>
      <c r="S399" s="340"/>
      <c r="T399" s="339"/>
      <c r="U399" s="339"/>
      <c r="V399" s="339"/>
      <c r="W399" s="339"/>
      <c r="X399" s="339"/>
      <c r="Y399" s="339"/>
      <c r="Z399" s="339"/>
    </row>
    <row r="400" spans="1:26" ht="15.75" customHeight="1">
      <c r="A400" s="339"/>
      <c r="B400" s="339"/>
      <c r="C400" s="339"/>
      <c r="D400" s="339"/>
      <c r="E400" s="339"/>
      <c r="F400" s="339"/>
      <c r="G400" s="339"/>
      <c r="H400" s="339"/>
      <c r="I400" s="341"/>
      <c r="J400" s="341"/>
      <c r="K400" s="340"/>
      <c r="L400" s="339"/>
      <c r="M400" s="341"/>
      <c r="N400" s="341"/>
      <c r="O400" s="340"/>
      <c r="P400" s="339"/>
      <c r="Q400" s="341"/>
      <c r="R400" s="339"/>
      <c r="S400" s="340"/>
      <c r="T400" s="339"/>
      <c r="U400" s="339"/>
      <c r="V400" s="339"/>
      <c r="W400" s="339"/>
      <c r="X400" s="339"/>
      <c r="Y400" s="339"/>
      <c r="Z400" s="339"/>
    </row>
    <row r="401" spans="1:26" ht="15.75" customHeight="1">
      <c r="A401" s="339"/>
      <c r="B401" s="339"/>
      <c r="C401" s="339"/>
      <c r="D401" s="339"/>
      <c r="E401" s="339"/>
      <c r="F401" s="339"/>
      <c r="G401" s="339"/>
      <c r="H401" s="339"/>
      <c r="I401" s="341"/>
      <c r="J401" s="341"/>
      <c r="K401" s="340"/>
      <c r="L401" s="339"/>
      <c r="M401" s="341"/>
      <c r="N401" s="341"/>
      <c r="O401" s="340"/>
      <c r="P401" s="339"/>
      <c r="Q401" s="341"/>
      <c r="R401" s="339"/>
      <c r="S401" s="340"/>
      <c r="T401" s="339"/>
      <c r="U401" s="339"/>
      <c r="V401" s="339"/>
      <c r="W401" s="339"/>
      <c r="X401" s="339"/>
      <c r="Y401" s="339"/>
      <c r="Z401" s="339"/>
    </row>
    <row r="402" spans="1:26" ht="15.75" customHeight="1">
      <c r="A402" s="339"/>
      <c r="B402" s="339"/>
      <c r="C402" s="339"/>
      <c r="D402" s="339"/>
      <c r="E402" s="339"/>
      <c r="F402" s="339"/>
      <c r="G402" s="339"/>
      <c r="H402" s="339"/>
      <c r="I402" s="341"/>
      <c r="J402" s="341"/>
      <c r="K402" s="340"/>
      <c r="L402" s="339"/>
      <c r="M402" s="341"/>
      <c r="N402" s="341"/>
      <c r="O402" s="340"/>
      <c r="P402" s="339"/>
      <c r="Q402" s="341"/>
      <c r="R402" s="339"/>
      <c r="S402" s="340"/>
      <c r="T402" s="339"/>
      <c r="U402" s="339"/>
      <c r="V402" s="339"/>
      <c r="W402" s="339"/>
      <c r="X402" s="339"/>
      <c r="Y402" s="339"/>
      <c r="Z402" s="339"/>
    </row>
    <row r="403" spans="1:26" ht="15.75" customHeight="1">
      <c r="A403" s="339"/>
      <c r="B403" s="339"/>
      <c r="C403" s="339"/>
      <c r="D403" s="339"/>
      <c r="E403" s="339"/>
      <c r="F403" s="339"/>
      <c r="G403" s="339"/>
      <c r="H403" s="339"/>
      <c r="I403" s="341"/>
      <c r="J403" s="341"/>
      <c r="K403" s="340"/>
      <c r="L403" s="339"/>
      <c r="M403" s="341"/>
      <c r="N403" s="341"/>
      <c r="O403" s="340"/>
      <c r="P403" s="339"/>
      <c r="Q403" s="341"/>
      <c r="R403" s="339"/>
      <c r="S403" s="340"/>
      <c r="T403" s="339"/>
      <c r="U403" s="339"/>
      <c r="V403" s="339"/>
      <c r="W403" s="339"/>
      <c r="X403" s="339"/>
      <c r="Y403" s="339"/>
      <c r="Z403" s="339"/>
    </row>
    <row r="404" spans="1:26" ht="15.75" customHeight="1">
      <c r="A404" s="339"/>
      <c r="B404" s="339"/>
      <c r="C404" s="339"/>
      <c r="D404" s="339"/>
      <c r="E404" s="339"/>
      <c r="F404" s="339"/>
      <c r="G404" s="339"/>
      <c r="H404" s="339"/>
      <c r="I404" s="341"/>
      <c r="J404" s="341"/>
      <c r="K404" s="340"/>
      <c r="L404" s="339"/>
      <c r="M404" s="341"/>
      <c r="N404" s="341"/>
      <c r="O404" s="340"/>
      <c r="P404" s="339"/>
      <c r="Q404" s="341"/>
      <c r="R404" s="339"/>
      <c r="S404" s="340"/>
      <c r="T404" s="339"/>
      <c r="U404" s="339"/>
      <c r="V404" s="339"/>
      <c r="W404" s="339"/>
      <c r="X404" s="339"/>
      <c r="Y404" s="339"/>
      <c r="Z404" s="339"/>
    </row>
    <row r="405" spans="1:26" ht="15.75" customHeight="1">
      <c r="A405" s="339"/>
      <c r="B405" s="339"/>
      <c r="C405" s="339"/>
      <c r="D405" s="339"/>
      <c r="E405" s="339"/>
      <c r="F405" s="339"/>
      <c r="G405" s="339"/>
      <c r="H405" s="339"/>
      <c r="I405" s="341"/>
      <c r="J405" s="341"/>
      <c r="K405" s="340"/>
      <c r="L405" s="339"/>
      <c r="M405" s="341"/>
      <c r="N405" s="341"/>
      <c r="O405" s="340"/>
      <c r="P405" s="339"/>
      <c r="Q405" s="341"/>
      <c r="R405" s="339"/>
      <c r="S405" s="340"/>
      <c r="T405" s="339"/>
      <c r="U405" s="339"/>
      <c r="V405" s="339"/>
      <c r="W405" s="339"/>
      <c r="X405" s="339"/>
      <c r="Y405" s="339"/>
      <c r="Z405" s="339"/>
    </row>
    <row r="406" spans="1:26" ht="15.75" customHeight="1">
      <c r="A406" s="339"/>
      <c r="B406" s="339"/>
      <c r="C406" s="339"/>
      <c r="D406" s="339"/>
      <c r="E406" s="339"/>
      <c r="F406" s="339"/>
      <c r="G406" s="339"/>
      <c r="H406" s="339"/>
      <c r="I406" s="341"/>
      <c r="J406" s="341"/>
      <c r="K406" s="340"/>
      <c r="L406" s="339"/>
      <c r="M406" s="341"/>
      <c r="N406" s="341"/>
      <c r="O406" s="340"/>
      <c r="P406" s="339"/>
      <c r="Q406" s="341"/>
      <c r="R406" s="339"/>
      <c r="S406" s="340"/>
      <c r="T406" s="339"/>
      <c r="U406" s="339"/>
      <c r="V406" s="339"/>
      <c r="W406" s="339"/>
      <c r="X406" s="339"/>
      <c r="Y406" s="339"/>
      <c r="Z406" s="339"/>
    </row>
    <row r="407" spans="1:26" ht="15.75" customHeight="1">
      <c r="A407" s="339"/>
      <c r="B407" s="339"/>
      <c r="C407" s="339"/>
      <c r="D407" s="339"/>
      <c r="E407" s="339"/>
      <c r="F407" s="339"/>
      <c r="G407" s="339"/>
      <c r="H407" s="339"/>
      <c r="I407" s="341"/>
      <c r="J407" s="341"/>
      <c r="K407" s="340"/>
      <c r="L407" s="339"/>
      <c r="M407" s="341"/>
      <c r="N407" s="341"/>
      <c r="O407" s="340"/>
      <c r="P407" s="339"/>
      <c r="Q407" s="341"/>
      <c r="R407" s="339"/>
      <c r="S407" s="340"/>
      <c r="T407" s="339"/>
      <c r="U407" s="339"/>
      <c r="V407" s="339"/>
      <c r="W407" s="339"/>
      <c r="X407" s="339"/>
      <c r="Y407" s="339"/>
      <c r="Z407" s="339"/>
    </row>
    <row r="408" spans="1:26" ht="15.75" customHeight="1">
      <c r="A408" s="339"/>
      <c r="B408" s="339"/>
      <c r="C408" s="339"/>
      <c r="D408" s="339"/>
      <c r="E408" s="339"/>
      <c r="F408" s="339"/>
      <c r="G408" s="339"/>
      <c r="H408" s="339"/>
      <c r="I408" s="341"/>
      <c r="J408" s="341"/>
      <c r="K408" s="340"/>
      <c r="L408" s="339"/>
      <c r="M408" s="341"/>
      <c r="N408" s="341"/>
      <c r="O408" s="340"/>
      <c r="P408" s="339"/>
      <c r="Q408" s="341"/>
      <c r="R408" s="339"/>
      <c r="S408" s="340"/>
      <c r="T408" s="339"/>
      <c r="U408" s="339"/>
      <c r="V408" s="339"/>
      <c r="W408" s="339"/>
      <c r="X408" s="339"/>
      <c r="Y408" s="339"/>
      <c r="Z408" s="339"/>
    </row>
    <row r="409" spans="1:26" ht="15.75" customHeight="1">
      <c r="A409" s="339"/>
      <c r="B409" s="339"/>
      <c r="C409" s="339"/>
      <c r="D409" s="339"/>
      <c r="E409" s="339"/>
      <c r="F409" s="339"/>
      <c r="G409" s="339"/>
      <c r="H409" s="339"/>
      <c r="I409" s="341"/>
      <c r="J409" s="341"/>
      <c r="K409" s="340"/>
      <c r="L409" s="339"/>
      <c r="M409" s="341"/>
      <c r="N409" s="341"/>
      <c r="O409" s="340"/>
      <c r="P409" s="339"/>
      <c r="Q409" s="341"/>
      <c r="R409" s="339"/>
      <c r="S409" s="340"/>
      <c r="T409" s="339"/>
      <c r="U409" s="339"/>
      <c r="V409" s="339"/>
      <c r="W409" s="339"/>
      <c r="X409" s="339"/>
      <c r="Y409" s="339"/>
      <c r="Z409" s="339"/>
    </row>
    <row r="410" spans="1:26" ht="15.75" customHeight="1">
      <c r="A410" s="339"/>
      <c r="B410" s="339"/>
      <c r="C410" s="339"/>
      <c r="D410" s="339"/>
      <c r="E410" s="339"/>
      <c r="F410" s="339"/>
      <c r="G410" s="339"/>
      <c r="H410" s="339"/>
      <c r="I410" s="341"/>
      <c r="J410" s="341"/>
      <c r="K410" s="340"/>
      <c r="L410" s="339"/>
      <c r="M410" s="341"/>
      <c r="N410" s="341"/>
      <c r="O410" s="340"/>
      <c r="P410" s="339"/>
      <c r="Q410" s="341"/>
      <c r="R410" s="339"/>
      <c r="S410" s="340"/>
      <c r="T410" s="339"/>
      <c r="U410" s="339"/>
      <c r="V410" s="339"/>
      <c r="W410" s="339"/>
      <c r="X410" s="339"/>
      <c r="Y410" s="339"/>
      <c r="Z410" s="339"/>
    </row>
    <row r="411" spans="1:26" ht="15.75" customHeight="1">
      <c r="A411" s="339"/>
      <c r="B411" s="339"/>
      <c r="C411" s="339"/>
      <c r="D411" s="339"/>
      <c r="E411" s="339"/>
      <c r="F411" s="339"/>
      <c r="G411" s="339"/>
      <c r="H411" s="339"/>
      <c r="I411" s="341"/>
      <c r="J411" s="341"/>
      <c r="K411" s="340"/>
      <c r="L411" s="339"/>
      <c r="M411" s="341"/>
      <c r="N411" s="341"/>
      <c r="O411" s="340"/>
      <c r="P411" s="339"/>
      <c r="Q411" s="341"/>
      <c r="R411" s="339"/>
      <c r="S411" s="340"/>
      <c r="T411" s="339"/>
      <c r="U411" s="339"/>
      <c r="V411" s="339"/>
      <c r="W411" s="339"/>
      <c r="X411" s="339"/>
      <c r="Y411" s="339"/>
      <c r="Z411" s="339"/>
    </row>
    <row r="412" spans="1:26" ht="15.75" customHeight="1">
      <c r="A412" s="339"/>
      <c r="B412" s="339"/>
      <c r="C412" s="339"/>
      <c r="D412" s="339"/>
      <c r="E412" s="339"/>
      <c r="F412" s="339"/>
      <c r="G412" s="339"/>
      <c r="H412" s="339"/>
      <c r="I412" s="341"/>
      <c r="J412" s="341"/>
      <c r="K412" s="340"/>
      <c r="L412" s="339"/>
      <c r="M412" s="341"/>
      <c r="N412" s="341"/>
      <c r="O412" s="340"/>
      <c r="P412" s="339"/>
      <c r="Q412" s="341"/>
      <c r="R412" s="339"/>
      <c r="S412" s="340"/>
      <c r="T412" s="339"/>
      <c r="U412" s="339"/>
      <c r="V412" s="339"/>
      <c r="W412" s="339"/>
      <c r="X412" s="339"/>
      <c r="Y412" s="339"/>
      <c r="Z412" s="339"/>
    </row>
    <row r="413" spans="1:26" ht="15.75" customHeight="1">
      <c r="A413" s="339"/>
      <c r="B413" s="339"/>
      <c r="C413" s="339"/>
      <c r="D413" s="339"/>
      <c r="E413" s="339"/>
      <c r="F413" s="339"/>
      <c r="G413" s="339"/>
      <c r="H413" s="339"/>
      <c r="I413" s="341"/>
      <c r="J413" s="341"/>
      <c r="K413" s="340"/>
      <c r="L413" s="339"/>
      <c r="M413" s="341"/>
      <c r="N413" s="341"/>
      <c r="O413" s="340"/>
      <c r="P413" s="339"/>
      <c r="Q413" s="341"/>
      <c r="R413" s="339"/>
      <c r="S413" s="340"/>
      <c r="T413" s="339"/>
      <c r="U413" s="339"/>
      <c r="V413" s="339"/>
      <c r="W413" s="339"/>
      <c r="X413" s="339"/>
      <c r="Y413" s="339"/>
      <c r="Z413" s="339"/>
    </row>
    <row r="414" spans="1:26" ht="15.75" customHeight="1">
      <c r="A414" s="339"/>
      <c r="B414" s="339"/>
      <c r="C414" s="339"/>
      <c r="D414" s="339"/>
      <c r="E414" s="339"/>
      <c r="F414" s="339"/>
      <c r="G414" s="339"/>
      <c r="H414" s="339"/>
      <c r="I414" s="341"/>
      <c r="J414" s="341"/>
      <c r="K414" s="340"/>
      <c r="L414" s="339"/>
      <c r="M414" s="341"/>
      <c r="N414" s="341"/>
      <c r="O414" s="340"/>
      <c r="P414" s="339"/>
      <c r="Q414" s="341"/>
      <c r="R414" s="339"/>
      <c r="S414" s="340"/>
      <c r="T414" s="339"/>
      <c r="U414" s="339"/>
      <c r="V414" s="339"/>
      <c r="W414" s="339"/>
      <c r="X414" s="339"/>
      <c r="Y414" s="339"/>
      <c r="Z414" s="339"/>
    </row>
    <row r="415" spans="1:26" ht="15.75" customHeight="1">
      <c r="A415" s="339"/>
      <c r="B415" s="339"/>
      <c r="C415" s="339"/>
      <c r="D415" s="339"/>
      <c r="E415" s="339"/>
      <c r="F415" s="339"/>
      <c r="G415" s="339"/>
      <c r="H415" s="339"/>
      <c r="I415" s="341"/>
      <c r="J415" s="341"/>
      <c r="K415" s="340"/>
      <c r="L415" s="339"/>
      <c r="M415" s="341"/>
      <c r="N415" s="341"/>
      <c r="O415" s="340"/>
      <c r="P415" s="339"/>
      <c r="Q415" s="341"/>
      <c r="R415" s="339"/>
      <c r="S415" s="340"/>
      <c r="T415" s="339"/>
      <c r="U415" s="339"/>
      <c r="V415" s="339"/>
      <c r="W415" s="339"/>
      <c r="X415" s="339"/>
      <c r="Y415" s="339"/>
      <c r="Z415" s="339"/>
    </row>
    <row r="416" spans="1:26" ht="15.75" customHeight="1">
      <c r="A416" s="339"/>
      <c r="B416" s="339"/>
      <c r="C416" s="339"/>
      <c r="D416" s="339"/>
      <c r="E416" s="339"/>
      <c r="F416" s="339"/>
      <c r="G416" s="339"/>
      <c r="H416" s="339"/>
      <c r="I416" s="341"/>
      <c r="J416" s="341"/>
      <c r="K416" s="340"/>
      <c r="L416" s="339"/>
      <c r="M416" s="341"/>
      <c r="N416" s="341"/>
      <c r="O416" s="340"/>
      <c r="P416" s="339"/>
      <c r="Q416" s="341"/>
      <c r="R416" s="339"/>
      <c r="S416" s="340"/>
      <c r="T416" s="339"/>
      <c r="U416" s="339"/>
      <c r="V416" s="339"/>
      <c r="W416" s="339"/>
      <c r="X416" s="339"/>
      <c r="Y416" s="339"/>
      <c r="Z416" s="339"/>
    </row>
    <row r="417" spans="1:26" ht="15.75" customHeight="1">
      <c r="A417" s="339"/>
      <c r="B417" s="339"/>
      <c r="C417" s="339"/>
      <c r="D417" s="339"/>
      <c r="E417" s="339"/>
      <c r="F417" s="339"/>
      <c r="G417" s="339"/>
      <c r="H417" s="339"/>
      <c r="I417" s="341"/>
      <c r="J417" s="341"/>
      <c r="K417" s="340"/>
      <c r="L417" s="339"/>
      <c r="M417" s="341"/>
      <c r="N417" s="341"/>
      <c r="O417" s="340"/>
      <c r="P417" s="339"/>
      <c r="Q417" s="341"/>
      <c r="R417" s="339"/>
      <c r="S417" s="340"/>
      <c r="T417" s="339"/>
      <c r="U417" s="339"/>
      <c r="V417" s="339"/>
      <c r="W417" s="339"/>
      <c r="X417" s="339"/>
      <c r="Y417" s="339"/>
      <c r="Z417" s="339"/>
    </row>
    <row r="418" spans="1:26" ht="15.75" customHeight="1">
      <c r="A418" s="339"/>
      <c r="B418" s="339"/>
      <c r="C418" s="339"/>
      <c r="D418" s="339"/>
      <c r="E418" s="339"/>
      <c r="F418" s="339"/>
      <c r="G418" s="339"/>
      <c r="H418" s="339"/>
      <c r="I418" s="341"/>
      <c r="J418" s="341"/>
      <c r="K418" s="340"/>
      <c r="L418" s="339"/>
      <c r="M418" s="341"/>
      <c r="N418" s="341"/>
      <c r="O418" s="340"/>
      <c r="P418" s="339"/>
      <c r="Q418" s="341"/>
      <c r="R418" s="339"/>
      <c r="S418" s="340"/>
      <c r="T418" s="339"/>
      <c r="U418" s="339"/>
      <c r="V418" s="339"/>
      <c r="W418" s="339"/>
      <c r="X418" s="339"/>
      <c r="Y418" s="339"/>
      <c r="Z418" s="339"/>
    </row>
    <row r="419" spans="1:26" ht="15.75" customHeight="1">
      <c r="A419" s="339"/>
      <c r="B419" s="339"/>
      <c r="C419" s="339"/>
      <c r="D419" s="339"/>
      <c r="E419" s="339"/>
      <c r="F419" s="339"/>
      <c r="G419" s="339"/>
      <c r="H419" s="339"/>
      <c r="I419" s="341"/>
      <c r="J419" s="341"/>
      <c r="K419" s="340"/>
      <c r="L419" s="339"/>
      <c r="M419" s="341"/>
      <c r="N419" s="341"/>
      <c r="O419" s="340"/>
      <c r="P419" s="339"/>
      <c r="Q419" s="341"/>
      <c r="R419" s="339"/>
      <c r="S419" s="340"/>
      <c r="T419" s="339"/>
      <c r="U419" s="339"/>
      <c r="V419" s="339"/>
      <c r="W419" s="339"/>
      <c r="X419" s="339"/>
      <c r="Y419" s="339"/>
      <c r="Z419" s="339"/>
    </row>
    <row r="420" spans="1:26" ht="15.75" customHeight="1">
      <c r="A420" s="339"/>
      <c r="B420" s="339"/>
      <c r="C420" s="339"/>
      <c r="D420" s="339"/>
      <c r="E420" s="339"/>
      <c r="F420" s="339"/>
      <c r="G420" s="339"/>
      <c r="H420" s="339"/>
      <c r="I420" s="341"/>
      <c r="J420" s="341"/>
      <c r="K420" s="340"/>
      <c r="L420" s="339"/>
      <c r="M420" s="341"/>
      <c r="N420" s="341"/>
      <c r="O420" s="340"/>
      <c r="P420" s="339"/>
      <c r="Q420" s="341"/>
      <c r="R420" s="339"/>
      <c r="S420" s="340"/>
      <c r="T420" s="339"/>
      <c r="U420" s="339"/>
      <c r="V420" s="339"/>
      <c r="W420" s="339"/>
      <c r="X420" s="339"/>
      <c r="Y420" s="339"/>
      <c r="Z420" s="339"/>
    </row>
    <row r="421" spans="1:26" ht="15.75" customHeight="1">
      <c r="A421" s="339"/>
      <c r="B421" s="339"/>
      <c r="C421" s="339"/>
      <c r="D421" s="339"/>
      <c r="E421" s="339"/>
      <c r="F421" s="339"/>
      <c r="G421" s="339"/>
      <c r="H421" s="339"/>
      <c r="I421" s="341"/>
      <c r="J421" s="341"/>
      <c r="K421" s="340"/>
      <c r="L421" s="339"/>
      <c r="M421" s="341"/>
      <c r="N421" s="341"/>
      <c r="O421" s="340"/>
      <c r="P421" s="339"/>
      <c r="Q421" s="341"/>
      <c r="R421" s="339"/>
      <c r="S421" s="340"/>
      <c r="T421" s="339"/>
      <c r="U421" s="339"/>
      <c r="V421" s="339"/>
      <c r="W421" s="339"/>
      <c r="X421" s="339"/>
      <c r="Y421" s="339"/>
      <c r="Z421" s="339"/>
    </row>
    <row r="422" spans="1:26" ht="15.75" customHeight="1">
      <c r="A422" s="339"/>
      <c r="B422" s="339"/>
      <c r="C422" s="339"/>
      <c r="D422" s="339"/>
      <c r="E422" s="339"/>
      <c r="F422" s="339"/>
      <c r="G422" s="339"/>
      <c r="H422" s="339"/>
      <c r="I422" s="341"/>
      <c r="J422" s="341"/>
      <c r="K422" s="340"/>
      <c r="L422" s="339"/>
      <c r="M422" s="341"/>
      <c r="N422" s="341"/>
      <c r="O422" s="340"/>
      <c r="P422" s="339"/>
      <c r="Q422" s="341"/>
      <c r="R422" s="339"/>
      <c r="S422" s="340"/>
      <c r="T422" s="339"/>
      <c r="U422" s="339"/>
      <c r="V422" s="339"/>
      <c r="W422" s="339"/>
      <c r="X422" s="339"/>
      <c r="Y422" s="339"/>
      <c r="Z422" s="339"/>
    </row>
    <row r="423" spans="1:26" ht="15.75" customHeight="1">
      <c r="A423" s="339"/>
      <c r="B423" s="339"/>
      <c r="C423" s="339"/>
      <c r="D423" s="339"/>
      <c r="E423" s="339"/>
      <c r="F423" s="339"/>
      <c r="G423" s="339"/>
      <c r="H423" s="339"/>
      <c r="I423" s="341"/>
      <c r="J423" s="341"/>
      <c r="K423" s="340"/>
      <c r="L423" s="339"/>
      <c r="M423" s="341"/>
      <c r="N423" s="341"/>
      <c r="O423" s="340"/>
      <c r="P423" s="339"/>
      <c r="Q423" s="341"/>
      <c r="R423" s="339"/>
      <c r="S423" s="340"/>
      <c r="T423" s="339"/>
      <c r="U423" s="339"/>
      <c r="V423" s="339"/>
      <c r="W423" s="339"/>
      <c r="X423" s="339"/>
      <c r="Y423" s="339"/>
      <c r="Z423" s="339"/>
    </row>
    <row r="424" spans="1:26" ht="15.75" customHeight="1">
      <c r="A424" s="339"/>
      <c r="B424" s="339"/>
      <c r="C424" s="339"/>
      <c r="D424" s="339"/>
      <c r="E424" s="339"/>
      <c r="F424" s="339"/>
      <c r="G424" s="339"/>
      <c r="H424" s="339"/>
      <c r="I424" s="341"/>
      <c r="J424" s="341"/>
      <c r="K424" s="340"/>
      <c r="L424" s="339"/>
      <c r="M424" s="341"/>
      <c r="N424" s="341"/>
      <c r="O424" s="340"/>
      <c r="P424" s="339"/>
      <c r="Q424" s="341"/>
      <c r="R424" s="339"/>
      <c r="S424" s="340"/>
      <c r="T424" s="339"/>
      <c r="U424" s="339"/>
      <c r="V424" s="339"/>
      <c r="W424" s="339"/>
      <c r="X424" s="339"/>
      <c r="Y424" s="339"/>
      <c r="Z424" s="339"/>
    </row>
    <row r="425" spans="1:26" ht="15.75" customHeight="1">
      <c r="A425" s="339"/>
      <c r="B425" s="339"/>
      <c r="C425" s="339"/>
      <c r="D425" s="339"/>
      <c r="E425" s="339"/>
      <c r="F425" s="339"/>
      <c r="G425" s="339"/>
      <c r="H425" s="339"/>
      <c r="I425" s="341"/>
      <c r="J425" s="341"/>
      <c r="K425" s="340"/>
      <c r="L425" s="339"/>
      <c r="M425" s="341"/>
      <c r="N425" s="341"/>
      <c r="O425" s="340"/>
      <c r="P425" s="339"/>
      <c r="Q425" s="341"/>
      <c r="R425" s="339"/>
      <c r="S425" s="340"/>
      <c r="T425" s="339"/>
      <c r="U425" s="339"/>
      <c r="V425" s="339"/>
      <c r="W425" s="339"/>
      <c r="X425" s="339"/>
      <c r="Y425" s="339"/>
      <c r="Z425" s="339"/>
    </row>
    <row r="426" spans="1:26" ht="15.75" customHeight="1">
      <c r="A426" s="339"/>
      <c r="B426" s="339"/>
      <c r="C426" s="339"/>
      <c r="D426" s="339"/>
      <c r="E426" s="339"/>
      <c r="F426" s="339"/>
      <c r="G426" s="339"/>
      <c r="H426" s="339"/>
      <c r="I426" s="341"/>
      <c r="J426" s="341"/>
      <c r="K426" s="340"/>
      <c r="L426" s="339"/>
      <c r="M426" s="341"/>
      <c r="N426" s="341"/>
      <c r="O426" s="340"/>
      <c r="P426" s="339"/>
      <c r="Q426" s="341"/>
      <c r="R426" s="339"/>
      <c r="S426" s="340"/>
      <c r="T426" s="339"/>
      <c r="U426" s="339"/>
      <c r="V426" s="339"/>
      <c r="W426" s="339"/>
      <c r="X426" s="339"/>
      <c r="Y426" s="339"/>
      <c r="Z426" s="339"/>
    </row>
    <row r="427" spans="1:26" ht="15.75" customHeight="1">
      <c r="A427" s="339"/>
      <c r="B427" s="339"/>
      <c r="C427" s="339"/>
      <c r="D427" s="339"/>
      <c r="E427" s="339"/>
      <c r="F427" s="339"/>
      <c r="G427" s="339"/>
      <c r="H427" s="339"/>
      <c r="I427" s="341"/>
      <c r="J427" s="341"/>
      <c r="K427" s="340"/>
      <c r="L427" s="339"/>
      <c r="M427" s="341"/>
      <c r="N427" s="341"/>
      <c r="O427" s="340"/>
      <c r="P427" s="339"/>
      <c r="Q427" s="341"/>
      <c r="R427" s="339"/>
      <c r="S427" s="340"/>
      <c r="T427" s="339"/>
      <c r="U427" s="339"/>
      <c r="V427" s="339"/>
      <c r="W427" s="339"/>
      <c r="X427" s="339"/>
      <c r="Y427" s="339"/>
      <c r="Z427" s="339"/>
    </row>
    <row r="428" spans="1:26" ht="15.75" customHeight="1">
      <c r="A428" s="339"/>
      <c r="B428" s="339"/>
      <c r="C428" s="339"/>
      <c r="D428" s="339"/>
      <c r="E428" s="339"/>
      <c r="F428" s="339"/>
      <c r="G428" s="339"/>
      <c r="H428" s="339"/>
      <c r="I428" s="341"/>
      <c r="J428" s="341"/>
      <c r="K428" s="340"/>
      <c r="L428" s="339"/>
      <c r="M428" s="341"/>
      <c r="N428" s="341"/>
      <c r="O428" s="340"/>
      <c r="P428" s="339"/>
      <c r="Q428" s="341"/>
      <c r="R428" s="339"/>
      <c r="S428" s="340"/>
      <c r="T428" s="339"/>
      <c r="U428" s="339"/>
      <c r="V428" s="339"/>
      <c r="W428" s="339"/>
      <c r="X428" s="339"/>
      <c r="Y428" s="339"/>
      <c r="Z428" s="339"/>
    </row>
    <row r="429" spans="1:26" ht="15.75" customHeight="1">
      <c r="A429" s="339"/>
      <c r="B429" s="339"/>
      <c r="C429" s="339"/>
      <c r="D429" s="339"/>
      <c r="E429" s="339"/>
      <c r="F429" s="339"/>
      <c r="G429" s="339"/>
      <c r="H429" s="339"/>
      <c r="I429" s="341"/>
      <c r="J429" s="341"/>
      <c r="K429" s="340"/>
      <c r="L429" s="339"/>
      <c r="M429" s="341"/>
      <c r="N429" s="341"/>
      <c r="O429" s="340"/>
      <c r="P429" s="339"/>
      <c r="Q429" s="341"/>
      <c r="R429" s="339"/>
      <c r="S429" s="340"/>
      <c r="T429" s="339"/>
      <c r="U429" s="339"/>
      <c r="V429" s="339"/>
      <c r="W429" s="339"/>
      <c r="X429" s="339"/>
      <c r="Y429" s="339"/>
      <c r="Z429" s="339"/>
    </row>
    <row r="430" spans="1:26" ht="15.75" customHeight="1">
      <c r="A430" s="339"/>
      <c r="B430" s="339"/>
      <c r="C430" s="339"/>
      <c r="D430" s="339"/>
      <c r="E430" s="339"/>
      <c r="F430" s="339"/>
      <c r="G430" s="339"/>
      <c r="H430" s="339"/>
      <c r="I430" s="341"/>
      <c r="J430" s="341"/>
      <c r="K430" s="340"/>
      <c r="L430" s="339"/>
      <c r="M430" s="341"/>
      <c r="N430" s="341"/>
      <c r="O430" s="340"/>
      <c r="P430" s="339"/>
      <c r="Q430" s="341"/>
      <c r="R430" s="339"/>
      <c r="S430" s="340"/>
      <c r="T430" s="339"/>
      <c r="U430" s="339"/>
      <c r="V430" s="339"/>
      <c r="W430" s="339"/>
      <c r="X430" s="339"/>
      <c r="Y430" s="339"/>
      <c r="Z430" s="339"/>
    </row>
    <row r="431" spans="1:26" ht="15.75" customHeight="1">
      <c r="A431" s="339"/>
      <c r="B431" s="339"/>
      <c r="C431" s="339"/>
      <c r="D431" s="339"/>
      <c r="E431" s="339"/>
      <c r="F431" s="339"/>
      <c r="G431" s="339"/>
      <c r="H431" s="339"/>
      <c r="I431" s="341"/>
      <c r="J431" s="341"/>
      <c r="K431" s="340"/>
      <c r="L431" s="339"/>
      <c r="M431" s="341"/>
      <c r="N431" s="341"/>
      <c r="O431" s="340"/>
      <c r="P431" s="339"/>
      <c r="Q431" s="341"/>
      <c r="R431" s="339"/>
      <c r="S431" s="340"/>
      <c r="T431" s="339"/>
      <c r="U431" s="339"/>
      <c r="V431" s="339"/>
      <c r="W431" s="339"/>
      <c r="X431" s="339"/>
      <c r="Y431" s="339"/>
      <c r="Z431" s="339"/>
    </row>
    <row r="432" spans="1:26" ht="15.75" customHeight="1">
      <c r="A432" s="339"/>
      <c r="B432" s="339"/>
      <c r="C432" s="339"/>
      <c r="D432" s="339"/>
      <c r="E432" s="339"/>
      <c r="F432" s="339"/>
      <c r="G432" s="339"/>
      <c r="H432" s="339"/>
      <c r="I432" s="341"/>
      <c r="J432" s="341"/>
      <c r="K432" s="340"/>
      <c r="L432" s="339"/>
      <c r="M432" s="341"/>
      <c r="N432" s="341"/>
      <c r="O432" s="340"/>
      <c r="P432" s="339"/>
      <c r="Q432" s="341"/>
      <c r="R432" s="339"/>
      <c r="S432" s="340"/>
      <c r="T432" s="339"/>
      <c r="U432" s="339"/>
      <c r="V432" s="339"/>
      <c r="W432" s="339"/>
      <c r="X432" s="339"/>
      <c r="Y432" s="339"/>
      <c r="Z432" s="339"/>
    </row>
    <row r="433" spans="1:26" ht="15.75" customHeight="1">
      <c r="A433" s="339"/>
      <c r="B433" s="339"/>
      <c r="C433" s="339"/>
      <c r="D433" s="339"/>
      <c r="E433" s="339"/>
      <c r="F433" s="339"/>
      <c r="G433" s="339"/>
      <c r="H433" s="339"/>
      <c r="I433" s="341"/>
      <c r="J433" s="341"/>
      <c r="K433" s="340"/>
      <c r="L433" s="339"/>
      <c r="M433" s="341"/>
      <c r="N433" s="341"/>
      <c r="O433" s="340"/>
      <c r="P433" s="339"/>
      <c r="Q433" s="341"/>
      <c r="R433" s="339"/>
      <c r="S433" s="340"/>
      <c r="T433" s="339"/>
      <c r="U433" s="339"/>
      <c r="V433" s="339"/>
      <c r="W433" s="339"/>
      <c r="X433" s="339"/>
      <c r="Y433" s="339"/>
      <c r="Z433" s="339"/>
    </row>
    <row r="434" spans="1:26" ht="15.75" customHeight="1">
      <c r="A434" s="339"/>
      <c r="B434" s="339"/>
      <c r="C434" s="339"/>
      <c r="D434" s="339"/>
      <c r="E434" s="339"/>
      <c r="F434" s="339"/>
      <c r="G434" s="339"/>
      <c r="H434" s="339"/>
      <c r="I434" s="341"/>
      <c r="J434" s="341"/>
      <c r="K434" s="340"/>
      <c r="L434" s="339"/>
      <c r="M434" s="341"/>
      <c r="N434" s="341"/>
      <c r="O434" s="340"/>
      <c r="P434" s="339"/>
      <c r="Q434" s="341"/>
      <c r="R434" s="339"/>
      <c r="S434" s="340"/>
      <c r="T434" s="339"/>
      <c r="U434" s="339"/>
      <c r="V434" s="339"/>
      <c r="W434" s="339"/>
      <c r="X434" s="339"/>
      <c r="Y434" s="339"/>
      <c r="Z434" s="339"/>
    </row>
    <row r="435" spans="1:26" ht="15.75" customHeight="1">
      <c r="A435" s="339"/>
      <c r="B435" s="339"/>
      <c r="C435" s="339"/>
      <c r="D435" s="339"/>
      <c r="E435" s="339"/>
      <c r="F435" s="339"/>
      <c r="G435" s="339"/>
      <c r="H435" s="339"/>
      <c r="I435" s="341"/>
      <c r="J435" s="341"/>
      <c r="K435" s="340"/>
      <c r="L435" s="339"/>
      <c r="M435" s="341"/>
      <c r="N435" s="341"/>
      <c r="O435" s="340"/>
      <c r="P435" s="339"/>
      <c r="Q435" s="341"/>
      <c r="R435" s="339"/>
      <c r="S435" s="340"/>
      <c r="T435" s="339"/>
      <c r="U435" s="339"/>
      <c r="V435" s="339"/>
      <c r="W435" s="339"/>
      <c r="X435" s="339"/>
      <c r="Y435" s="339"/>
      <c r="Z435" s="339"/>
    </row>
    <row r="436" spans="1:26" ht="15.75" customHeight="1">
      <c r="A436" s="339"/>
      <c r="B436" s="339"/>
      <c r="C436" s="339"/>
      <c r="D436" s="339"/>
      <c r="E436" s="339"/>
      <c r="F436" s="339"/>
      <c r="G436" s="339"/>
      <c r="H436" s="339"/>
      <c r="I436" s="341"/>
      <c r="J436" s="341"/>
      <c r="K436" s="340"/>
      <c r="L436" s="339"/>
      <c r="M436" s="341"/>
      <c r="N436" s="341"/>
      <c r="O436" s="340"/>
      <c r="P436" s="339"/>
      <c r="Q436" s="341"/>
      <c r="R436" s="339"/>
      <c r="S436" s="340"/>
      <c r="T436" s="339"/>
      <c r="U436" s="339"/>
      <c r="V436" s="339"/>
      <c r="W436" s="339"/>
      <c r="X436" s="339"/>
      <c r="Y436" s="339"/>
      <c r="Z436" s="339"/>
    </row>
    <row r="437" spans="1:26" ht="15.75" customHeight="1">
      <c r="A437" s="339"/>
      <c r="B437" s="339"/>
      <c r="C437" s="339"/>
      <c r="D437" s="339"/>
      <c r="E437" s="339"/>
      <c r="F437" s="339"/>
      <c r="G437" s="339"/>
      <c r="H437" s="339"/>
      <c r="I437" s="341"/>
      <c r="J437" s="341"/>
      <c r="K437" s="340"/>
      <c r="L437" s="339"/>
      <c r="M437" s="341"/>
      <c r="N437" s="341"/>
      <c r="O437" s="340"/>
      <c r="P437" s="339"/>
      <c r="Q437" s="341"/>
      <c r="R437" s="339"/>
      <c r="S437" s="340"/>
      <c r="T437" s="339"/>
      <c r="U437" s="339"/>
      <c r="V437" s="339"/>
      <c r="W437" s="339"/>
      <c r="X437" s="339"/>
      <c r="Y437" s="339"/>
      <c r="Z437" s="339"/>
    </row>
    <row r="438" spans="1:26" ht="15.75" customHeight="1">
      <c r="A438" s="339"/>
      <c r="B438" s="339"/>
      <c r="C438" s="339"/>
      <c r="D438" s="339"/>
      <c r="E438" s="339"/>
      <c r="F438" s="339"/>
      <c r="G438" s="339"/>
      <c r="H438" s="339"/>
      <c r="I438" s="341"/>
      <c r="J438" s="341"/>
      <c r="K438" s="340"/>
      <c r="L438" s="339"/>
      <c r="M438" s="341"/>
      <c r="N438" s="341"/>
      <c r="O438" s="340"/>
      <c r="P438" s="339"/>
      <c r="Q438" s="341"/>
      <c r="R438" s="339"/>
      <c r="S438" s="340"/>
      <c r="T438" s="339"/>
      <c r="U438" s="339"/>
      <c r="V438" s="339"/>
      <c r="W438" s="339"/>
      <c r="X438" s="339"/>
      <c r="Y438" s="339"/>
      <c r="Z438" s="339"/>
    </row>
    <row r="439" spans="1:26" ht="15.75" customHeight="1">
      <c r="A439" s="339"/>
      <c r="B439" s="339"/>
      <c r="C439" s="339"/>
      <c r="D439" s="339"/>
      <c r="E439" s="339"/>
      <c r="F439" s="339"/>
      <c r="G439" s="339"/>
      <c r="H439" s="339"/>
      <c r="I439" s="341"/>
      <c r="J439" s="341"/>
      <c r="K439" s="340"/>
      <c r="L439" s="339"/>
      <c r="M439" s="341"/>
      <c r="N439" s="341"/>
      <c r="O439" s="340"/>
      <c r="P439" s="339"/>
      <c r="Q439" s="341"/>
      <c r="R439" s="339"/>
      <c r="S439" s="340"/>
      <c r="T439" s="339"/>
      <c r="U439" s="339"/>
      <c r="V439" s="339"/>
      <c r="W439" s="339"/>
      <c r="X439" s="339"/>
      <c r="Y439" s="339"/>
      <c r="Z439" s="339"/>
    </row>
    <row r="440" spans="1:26" ht="15.75" customHeight="1">
      <c r="A440" s="339"/>
      <c r="B440" s="339"/>
      <c r="C440" s="339"/>
      <c r="D440" s="339"/>
      <c r="E440" s="339"/>
      <c r="F440" s="339"/>
      <c r="G440" s="339"/>
      <c r="H440" s="339"/>
      <c r="I440" s="341"/>
      <c r="J440" s="341"/>
      <c r="K440" s="340"/>
      <c r="L440" s="339"/>
      <c r="M440" s="341"/>
      <c r="N440" s="341"/>
      <c r="O440" s="340"/>
      <c r="P440" s="339"/>
      <c r="Q440" s="341"/>
      <c r="R440" s="339"/>
      <c r="S440" s="340"/>
      <c r="T440" s="339"/>
      <c r="U440" s="339"/>
      <c r="V440" s="339"/>
      <c r="W440" s="339"/>
      <c r="X440" s="339"/>
      <c r="Y440" s="339"/>
      <c r="Z440" s="339"/>
    </row>
    <row r="441" spans="1:26" ht="15.75" customHeight="1">
      <c r="A441" s="339"/>
      <c r="B441" s="339"/>
      <c r="C441" s="339"/>
      <c r="D441" s="339"/>
      <c r="E441" s="339"/>
      <c r="F441" s="339"/>
      <c r="G441" s="339"/>
      <c r="H441" s="339"/>
      <c r="I441" s="341"/>
      <c r="J441" s="341"/>
      <c r="K441" s="340"/>
      <c r="L441" s="339"/>
      <c r="M441" s="341"/>
      <c r="N441" s="341"/>
      <c r="O441" s="340"/>
      <c r="P441" s="339"/>
      <c r="Q441" s="341"/>
      <c r="R441" s="339"/>
      <c r="S441" s="340"/>
      <c r="T441" s="339"/>
      <c r="U441" s="339"/>
      <c r="V441" s="339"/>
      <c r="W441" s="339"/>
      <c r="X441" s="339"/>
      <c r="Y441" s="339"/>
      <c r="Z441" s="339"/>
    </row>
    <row r="442" spans="1:26" ht="15.75" customHeight="1">
      <c r="A442" s="339"/>
      <c r="B442" s="339"/>
      <c r="C442" s="339"/>
      <c r="D442" s="339"/>
      <c r="E442" s="339"/>
      <c r="F442" s="339"/>
      <c r="G442" s="339"/>
      <c r="H442" s="339"/>
      <c r="I442" s="341"/>
      <c r="J442" s="341"/>
      <c r="K442" s="340"/>
      <c r="L442" s="339"/>
      <c r="M442" s="341"/>
      <c r="N442" s="341"/>
      <c r="O442" s="340"/>
      <c r="P442" s="339"/>
      <c r="Q442" s="341"/>
      <c r="R442" s="339"/>
      <c r="S442" s="340"/>
      <c r="T442" s="339"/>
      <c r="U442" s="339"/>
      <c r="V442" s="339"/>
      <c r="W442" s="339"/>
      <c r="X442" s="339"/>
      <c r="Y442" s="339"/>
      <c r="Z442" s="339"/>
    </row>
    <row r="443" spans="1:26" ht="15.75" customHeight="1">
      <c r="A443" s="339"/>
      <c r="B443" s="339"/>
      <c r="C443" s="339"/>
      <c r="D443" s="339"/>
      <c r="E443" s="339"/>
      <c r="F443" s="339"/>
      <c r="G443" s="339"/>
      <c r="H443" s="339"/>
      <c r="I443" s="341"/>
      <c r="J443" s="341"/>
      <c r="K443" s="340"/>
      <c r="L443" s="339"/>
      <c r="M443" s="341"/>
      <c r="N443" s="341"/>
      <c r="O443" s="340"/>
      <c r="P443" s="339"/>
      <c r="Q443" s="341"/>
      <c r="R443" s="339"/>
      <c r="S443" s="340"/>
      <c r="T443" s="339"/>
      <c r="U443" s="339"/>
      <c r="V443" s="339"/>
      <c r="W443" s="339"/>
      <c r="X443" s="339"/>
      <c r="Y443" s="339"/>
      <c r="Z443" s="339"/>
    </row>
    <row r="444" spans="1:26" ht="15.75" customHeight="1">
      <c r="A444" s="339"/>
      <c r="B444" s="339"/>
      <c r="C444" s="339"/>
      <c r="D444" s="339"/>
      <c r="E444" s="339"/>
      <c r="F444" s="339"/>
      <c r="G444" s="339"/>
      <c r="H444" s="339"/>
      <c r="I444" s="341"/>
      <c r="J444" s="341"/>
      <c r="K444" s="340"/>
      <c r="L444" s="339"/>
      <c r="M444" s="341"/>
      <c r="N444" s="341"/>
      <c r="O444" s="340"/>
      <c r="P444" s="339"/>
      <c r="Q444" s="341"/>
      <c r="R444" s="339"/>
      <c r="S444" s="340"/>
      <c r="T444" s="339"/>
      <c r="U444" s="339"/>
      <c r="V444" s="339"/>
      <c r="W444" s="339"/>
      <c r="X444" s="339"/>
      <c r="Y444" s="339"/>
      <c r="Z444" s="339"/>
    </row>
    <row r="445" spans="1:26" ht="15.75" customHeight="1">
      <c r="A445" s="339"/>
      <c r="B445" s="339"/>
      <c r="C445" s="339"/>
      <c r="D445" s="339"/>
      <c r="E445" s="339"/>
      <c r="F445" s="339"/>
      <c r="G445" s="339"/>
      <c r="H445" s="339"/>
      <c r="I445" s="341"/>
      <c r="J445" s="341"/>
      <c r="K445" s="340"/>
      <c r="L445" s="339"/>
      <c r="M445" s="341"/>
      <c r="N445" s="341"/>
      <c r="O445" s="340"/>
      <c r="P445" s="339"/>
      <c r="Q445" s="341"/>
      <c r="R445" s="339"/>
      <c r="S445" s="340"/>
      <c r="T445" s="339"/>
      <c r="U445" s="339"/>
      <c r="V445" s="339"/>
      <c r="W445" s="339"/>
      <c r="X445" s="339"/>
      <c r="Y445" s="339"/>
      <c r="Z445" s="339"/>
    </row>
    <row r="446" spans="1:26" ht="15.75" customHeight="1">
      <c r="A446" s="339"/>
      <c r="B446" s="339"/>
      <c r="C446" s="339"/>
      <c r="D446" s="339"/>
      <c r="E446" s="339"/>
      <c r="F446" s="339"/>
      <c r="G446" s="339"/>
      <c r="H446" s="339"/>
      <c r="I446" s="341"/>
      <c r="J446" s="341"/>
      <c r="K446" s="340"/>
      <c r="L446" s="339"/>
      <c r="M446" s="341"/>
      <c r="N446" s="341"/>
      <c r="O446" s="340"/>
      <c r="P446" s="339"/>
      <c r="Q446" s="341"/>
      <c r="R446" s="339"/>
      <c r="S446" s="340"/>
      <c r="T446" s="339"/>
      <c r="U446" s="339"/>
      <c r="V446" s="339"/>
      <c r="W446" s="339"/>
      <c r="X446" s="339"/>
      <c r="Y446" s="339"/>
      <c r="Z446" s="339"/>
    </row>
    <row r="447" spans="1:26" ht="15.75" customHeight="1">
      <c r="A447" s="339"/>
      <c r="B447" s="339"/>
      <c r="C447" s="339"/>
      <c r="D447" s="339"/>
      <c r="E447" s="339"/>
      <c r="F447" s="339"/>
      <c r="G447" s="339"/>
      <c r="H447" s="339"/>
      <c r="I447" s="341"/>
      <c r="J447" s="341"/>
      <c r="K447" s="340"/>
      <c r="L447" s="339"/>
      <c r="M447" s="341"/>
      <c r="N447" s="341"/>
      <c r="O447" s="340"/>
      <c r="P447" s="339"/>
      <c r="Q447" s="341"/>
      <c r="R447" s="339"/>
      <c r="S447" s="340"/>
      <c r="T447" s="339"/>
      <c r="U447" s="339"/>
      <c r="V447" s="339"/>
      <c r="W447" s="339"/>
      <c r="X447" s="339"/>
      <c r="Y447" s="339"/>
      <c r="Z447" s="339"/>
    </row>
    <row r="448" spans="1:26" ht="15.75" customHeight="1">
      <c r="A448" s="339"/>
      <c r="B448" s="339"/>
      <c r="C448" s="339"/>
      <c r="D448" s="339"/>
      <c r="E448" s="339"/>
      <c r="F448" s="339"/>
      <c r="G448" s="339"/>
      <c r="H448" s="339"/>
      <c r="I448" s="341"/>
      <c r="J448" s="341"/>
      <c r="K448" s="340"/>
      <c r="L448" s="339"/>
      <c r="M448" s="341"/>
      <c r="N448" s="341"/>
      <c r="O448" s="340"/>
      <c r="P448" s="339"/>
      <c r="Q448" s="341"/>
      <c r="R448" s="339"/>
      <c r="S448" s="340"/>
      <c r="T448" s="339"/>
      <c r="U448" s="339"/>
      <c r="V448" s="339"/>
      <c r="W448" s="339"/>
      <c r="X448" s="339"/>
      <c r="Y448" s="339"/>
      <c r="Z448" s="339"/>
    </row>
    <row r="449" spans="1:26" ht="15.75" customHeight="1">
      <c r="A449" s="339"/>
      <c r="B449" s="339"/>
      <c r="C449" s="339"/>
      <c r="D449" s="339"/>
      <c r="E449" s="339"/>
      <c r="F449" s="339"/>
      <c r="G449" s="339"/>
      <c r="H449" s="339"/>
      <c r="I449" s="341"/>
      <c r="J449" s="341"/>
      <c r="K449" s="340"/>
      <c r="L449" s="339"/>
      <c r="M449" s="341"/>
      <c r="N449" s="341"/>
      <c r="O449" s="340"/>
      <c r="P449" s="339"/>
      <c r="Q449" s="341"/>
      <c r="R449" s="339"/>
      <c r="S449" s="340"/>
      <c r="T449" s="339"/>
      <c r="U449" s="339"/>
      <c r="V449" s="339"/>
      <c r="W449" s="339"/>
      <c r="X449" s="339"/>
      <c r="Y449" s="339"/>
      <c r="Z449" s="339"/>
    </row>
    <row r="450" spans="1:26" ht="15.75" customHeight="1">
      <c r="A450" s="339"/>
      <c r="B450" s="339"/>
      <c r="C450" s="339"/>
      <c r="D450" s="339"/>
      <c r="E450" s="339"/>
      <c r="F450" s="339"/>
      <c r="G450" s="339"/>
      <c r="H450" s="339"/>
      <c r="I450" s="341"/>
      <c r="J450" s="341"/>
      <c r="K450" s="340"/>
      <c r="L450" s="339"/>
      <c r="M450" s="341"/>
      <c r="N450" s="341"/>
      <c r="O450" s="340"/>
      <c r="P450" s="339"/>
      <c r="Q450" s="341"/>
      <c r="R450" s="339"/>
      <c r="S450" s="340"/>
      <c r="T450" s="339"/>
      <c r="U450" s="339"/>
      <c r="V450" s="339"/>
      <c r="W450" s="339"/>
      <c r="X450" s="339"/>
      <c r="Y450" s="339"/>
      <c r="Z450" s="339"/>
    </row>
    <row r="451" spans="1:26" ht="15.75" customHeight="1">
      <c r="A451" s="339"/>
      <c r="B451" s="339"/>
      <c r="C451" s="339"/>
      <c r="D451" s="339"/>
      <c r="E451" s="339"/>
      <c r="F451" s="339"/>
      <c r="G451" s="339"/>
      <c r="H451" s="339"/>
      <c r="I451" s="341"/>
      <c r="J451" s="341"/>
      <c r="K451" s="340"/>
      <c r="L451" s="339"/>
      <c r="M451" s="341"/>
      <c r="N451" s="341"/>
      <c r="O451" s="340"/>
      <c r="P451" s="339"/>
      <c r="Q451" s="341"/>
      <c r="R451" s="339"/>
      <c r="S451" s="340"/>
      <c r="T451" s="339"/>
      <c r="U451" s="339"/>
      <c r="V451" s="339"/>
      <c r="W451" s="339"/>
      <c r="X451" s="339"/>
      <c r="Y451" s="339"/>
      <c r="Z451" s="339"/>
    </row>
    <row r="452" spans="1:26" ht="15.75" customHeight="1">
      <c r="A452" s="339"/>
      <c r="B452" s="339"/>
      <c r="C452" s="339"/>
      <c r="D452" s="339"/>
      <c r="E452" s="339"/>
      <c r="F452" s="339"/>
      <c r="G452" s="339"/>
      <c r="H452" s="339"/>
      <c r="I452" s="341"/>
      <c r="J452" s="341"/>
      <c r="K452" s="340"/>
      <c r="L452" s="339"/>
      <c r="M452" s="341"/>
      <c r="N452" s="341"/>
      <c r="O452" s="340"/>
      <c r="P452" s="339"/>
      <c r="Q452" s="341"/>
      <c r="R452" s="339"/>
      <c r="S452" s="340"/>
      <c r="T452" s="339"/>
      <c r="U452" s="339"/>
      <c r="V452" s="339"/>
      <c r="W452" s="339"/>
      <c r="X452" s="339"/>
      <c r="Y452" s="339"/>
      <c r="Z452" s="339"/>
    </row>
    <row r="453" spans="1:26" ht="15.75" customHeight="1">
      <c r="A453" s="339"/>
      <c r="B453" s="339"/>
      <c r="C453" s="339"/>
      <c r="D453" s="339"/>
      <c r="E453" s="339"/>
      <c r="F453" s="339"/>
      <c r="G453" s="339"/>
      <c r="H453" s="339"/>
      <c r="I453" s="341"/>
      <c r="J453" s="341"/>
      <c r="K453" s="340"/>
      <c r="L453" s="339"/>
      <c r="M453" s="341"/>
      <c r="N453" s="341"/>
      <c r="O453" s="340"/>
      <c r="P453" s="339"/>
      <c r="Q453" s="341"/>
      <c r="R453" s="339"/>
      <c r="S453" s="340"/>
      <c r="T453" s="339"/>
      <c r="U453" s="339"/>
      <c r="V453" s="339"/>
      <c r="W453" s="339"/>
      <c r="X453" s="339"/>
      <c r="Y453" s="339"/>
      <c r="Z453" s="339"/>
    </row>
    <row r="454" spans="1:26" ht="15.75" customHeight="1">
      <c r="A454" s="339"/>
      <c r="B454" s="339"/>
      <c r="C454" s="339"/>
      <c r="D454" s="339"/>
      <c r="E454" s="339"/>
      <c r="F454" s="339"/>
      <c r="G454" s="339"/>
      <c r="H454" s="339"/>
      <c r="I454" s="341"/>
      <c r="J454" s="341"/>
      <c r="K454" s="340"/>
      <c r="L454" s="339"/>
      <c r="M454" s="341"/>
      <c r="N454" s="341"/>
      <c r="O454" s="340"/>
      <c r="P454" s="339"/>
      <c r="Q454" s="341"/>
      <c r="R454" s="339"/>
      <c r="S454" s="340"/>
      <c r="T454" s="339"/>
      <c r="U454" s="339"/>
      <c r="V454" s="339"/>
      <c r="W454" s="339"/>
      <c r="X454" s="339"/>
      <c r="Y454" s="339"/>
      <c r="Z454" s="339"/>
    </row>
    <row r="455" spans="1:26" ht="15.75" customHeight="1">
      <c r="A455" s="339"/>
      <c r="B455" s="339"/>
      <c r="C455" s="339"/>
      <c r="D455" s="339"/>
      <c r="E455" s="339"/>
      <c r="F455" s="339"/>
      <c r="G455" s="339"/>
      <c r="H455" s="339"/>
      <c r="I455" s="341"/>
      <c r="J455" s="341"/>
      <c r="K455" s="340"/>
      <c r="L455" s="339"/>
      <c r="M455" s="341"/>
      <c r="N455" s="341"/>
      <c r="O455" s="340"/>
      <c r="P455" s="339"/>
      <c r="Q455" s="341"/>
      <c r="R455" s="339"/>
      <c r="S455" s="340"/>
      <c r="T455" s="339"/>
      <c r="U455" s="339"/>
      <c r="V455" s="339"/>
      <c r="W455" s="339"/>
      <c r="X455" s="339"/>
      <c r="Y455" s="339"/>
      <c r="Z455" s="339"/>
    </row>
    <row r="456" spans="1:26" ht="15.75" customHeight="1">
      <c r="A456" s="339"/>
      <c r="B456" s="339"/>
      <c r="C456" s="339"/>
      <c r="D456" s="339"/>
      <c r="E456" s="339"/>
      <c r="F456" s="339"/>
      <c r="G456" s="339"/>
      <c r="H456" s="339"/>
      <c r="I456" s="341"/>
      <c r="J456" s="341"/>
      <c r="K456" s="340"/>
      <c r="L456" s="339"/>
      <c r="M456" s="341"/>
      <c r="N456" s="341"/>
      <c r="O456" s="340"/>
      <c r="P456" s="339"/>
      <c r="Q456" s="341"/>
      <c r="R456" s="339"/>
      <c r="S456" s="340"/>
      <c r="T456" s="339"/>
      <c r="U456" s="339"/>
      <c r="V456" s="339"/>
      <c r="W456" s="339"/>
      <c r="X456" s="339"/>
      <c r="Y456" s="339"/>
      <c r="Z456" s="339"/>
    </row>
    <row r="457" spans="1:26" ht="15.75" customHeight="1">
      <c r="A457" s="339"/>
      <c r="B457" s="339"/>
      <c r="C457" s="339"/>
      <c r="D457" s="339"/>
      <c r="E457" s="339"/>
      <c r="F457" s="339"/>
      <c r="G457" s="339"/>
      <c r="H457" s="339"/>
      <c r="I457" s="341"/>
      <c r="J457" s="341"/>
      <c r="K457" s="340"/>
      <c r="L457" s="339"/>
      <c r="M457" s="341"/>
      <c r="N457" s="341"/>
      <c r="O457" s="340"/>
      <c r="P457" s="339"/>
      <c r="Q457" s="341"/>
      <c r="R457" s="339"/>
      <c r="S457" s="340"/>
      <c r="T457" s="339"/>
      <c r="U457" s="339"/>
      <c r="V457" s="339"/>
      <c r="W457" s="339"/>
      <c r="X457" s="339"/>
      <c r="Y457" s="339"/>
      <c r="Z457" s="339"/>
    </row>
    <row r="458" spans="1:26" ht="15.75" customHeight="1">
      <c r="A458" s="339"/>
      <c r="B458" s="339"/>
      <c r="C458" s="339"/>
      <c r="D458" s="339"/>
      <c r="E458" s="339"/>
      <c r="F458" s="339"/>
      <c r="G458" s="339"/>
      <c r="H458" s="339"/>
      <c r="I458" s="341"/>
      <c r="J458" s="341"/>
      <c r="K458" s="340"/>
      <c r="L458" s="339"/>
      <c r="M458" s="341"/>
      <c r="N458" s="341"/>
      <c r="O458" s="340"/>
      <c r="P458" s="339"/>
      <c r="Q458" s="341"/>
      <c r="R458" s="339"/>
      <c r="S458" s="340"/>
      <c r="T458" s="339"/>
      <c r="U458" s="339"/>
      <c r="V458" s="339"/>
      <c r="W458" s="339"/>
      <c r="X458" s="339"/>
      <c r="Y458" s="339"/>
      <c r="Z458" s="339"/>
    </row>
    <row r="459" spans="1:26" ht="15.75" customHeight="1">
      <c r="A459" s="339"/>
      <c r="B459" s="339"/>
      <c r="C459" s="339"/>
      <c r="D459" s="339"/>
      <c r="E459" s="339"/>
      <c r="F459" s="339"/>
      <c r="G459" s="339"/>
      <c r="H459" s="339"/>
      <c r="I459" s="341"/>
      <c r="J459" s="341"/>
      <c r="K459" s="340"/>
      <c r="L459" s="339"/>
      <c r="M459" s="341"/>
      <c r="N459" s="341"/>
      <c r="O459" s="340"/>
      <c r="P459" s="339"/>
      <c r="Q459" s="341"/>
      <c r="R459" s="339"/>
      <c r="S459" s="340"/>
      <c r="T459" s="339"/>
      <c r="U459" s="339"/>
      <c r="V459" s="339"/>
      <c r="W459" s="339"/>
      <c r="X459" s="339"/>
      <c r="Y459" s="339"/>
      <c r="Z459" s="339"/>
    </row>
    <row r="460" spans="1:26" ht="15.75" customHeight="1">
      <c r="A460" s="339"/>
      <c r="B460" s="339"/>
      <c r="C460" s="339"/>
      <c r="D460" s="339"/>
      <c r="E460" s="339"/>
      <c r="F460" s="339"/>
      <c r="G460" s="339"/>
      <c r="H460" s="339"/>
      <c r="I460" s="341"/>
      <c r="J460" s="341"/>
      <c r="K460" s="340"/>
      <c r="L460" s="339"/>
      <c r="M460" s="341"/>
      <c r="N460" s="341"/>
      <c r="O460" s="340"/>
      <c r="P460" s="339"/>
      <c r="Q460" s="341"/>
      <c r="R460" s="339"/>
      <c r="S460" s="340"/>
      <c r="T460" s="339"/>
      <c r="U460" s="339"/>
      <c r="V460" s="339"/>
      <c r="W460" s="339"/>
      <c r="X460" s="339"/>
      <c r="Y460" s="339"/>
      <c r="Z460" s="339"/>
    </row>
    <row r="461" spans="1:26" ht="15.75" customHeight="1">
      <c r="A461" s="339"/>
      <c r="B461" s="339"/>
      <c r="C461" s="339"/>
      <c r="D461" s="339"/>
      <c r="E461" s="339"/>
      <c r="F461" s="339"/>
      <c r="G461" s="339"/>
      <c r="H461" s="339"/>
      <c r="I461" s="341"/>
      <c r="J461" s="341"/>
      <c r="K461" s="340"/>
      <c r="L461" s="339"/>
      <c r="M461" s="341"/>
      <c r="N461" s="341"/>
      <c r="O461" s="340"/>
      <c r="P461" s="339"/>
      <c r="Q461" s="341"/>
      <c r="R461" s="339"/>
      <c r="S461" s="340"/>
      <c r="T461" s="339"/>
      <c r="U461" s="339"/>
      <c r="V461" s="339"/>
      <c r="W461" s="339"/>
      <c r="X461" s="339"/>
      <c r="Y461" s="339"/>
      <c r="Z461" s="339"/>
    </row>
    <row r="462" spans="1:26" ht="15.75" customHeight="1">
      <c r="A462" s="339"/>
      <c r="B462" s="339"/>
      <c r="C462" s="339"/>
      <c r="D462" s="339"/>
      <c r="E462" s="339"/>
      <c r="F462" s="339"/>
      <c r="G462" s="339"/>
      <c r="H462" s="339"/>
      <c r="I462" s="341"/>
      <c r="J462" s="341"/>
      <c r="K462" s="340"/>
      <c r="L462" s="339"/>
      <c r="M462" s="341"/>
      <c r="N462" s="341"/>
      <c r="O462" s="340"/>
      <c r="P462" s="339"/>
      <c r="Q462" s="341"/>
      <c r="R462" s="339"/>
      <c r="S462" s="340"/>
      <c r="T462" s="339"/>
      <c r="U462" s="339"/>
      <c r="V462" s="339"/>
      <c r="W462" s="339"/>
      <c r="X462" s="339"/>
      <c r="Y462" s="339"/>
      <c r="Z462" s="339"/>
    </row>
    <row r="463" spans="1:26" ht="15.75" customHeight="1">
      <c r="A463" s="339"/>
      <c r="B463" s="339"/>
      <c r="C463" s="339"/>
      <c r="D463" s="339"/>
      <c r="E463" s="339"/>
      <c r="F463" s="339"/>
      <c r="G463" s="339"/>
      <c r="H463" s="339"/>
      <c r="I463" s="341"/>
      <c r="J463" s="341"/>
      <c r="K463" s="340"/>
      <c r="L463" s="339"/>
      <c r="M463" s="341"/>
      <c r="N463" s="341"/>
      <c r="O463" s="340"/>
      <c r="P463" s="339"/>
      <c r="Q463" s="341"/>
      <c r="R463" s="339"/>
      <c r="S463" s="340"/>
      <c r="T463" s="339"/>
      <c r="U463" s="339"/>
      <c r="V463" s="339"/>
      <c r="W463" s="339"/>
      <c r="X463" s="339"/>
      <c r="Y463" s="339"/>
      <c r="Z463" s="339"/>
    </row>
    <row r="464" spans="1:26" ht="15.75" customHeight="1">
      <c r="A464" s="339"/>
      <c r="B464" s="339"/>
      <c r="C464" s="339"/>
      <c r="D464" s="339"/>
      <c r="E464" s="339"/>
      <c r="F464" s="339"/>
      <c r="G464" s="339"/>
      <c r="H464" s="339"/>
      <c r="I464" s="341"/>
      <c r="J464" s="341"/>
      <c r="K464" s="340"/>
      <c r="L464" s="339"/>
      <c r="M464" s="341"/>
      <c r="N464" s="341"/>
      <c r="O464" s="340"/>
      <c r="P464" s="339"/>
      <c r="Q464" s="341"/>
      <c r="R464" s="339"/>
      <c r="S464" s="340"/>
      <c r="T464" s="339"/>
      <c r="U464" s="339"/>
      <c r="V464" s="339"/>
      <c r="W464" s="339"/>
      <c r="X464" s="339"/>
      <c r="Y464" s="339"/>
      <c r="Z464" s="339"/>
    </row>
    <row r="465" spans="1:26" ht="15.75" customHeight="1">
      <c r="A465" s="339"/>
      <c r="B465" s="339"/>
      <c r="C465" s="339"/>
      <c r="D465" s="339"/>
      <c r="E465" s="339"/>
      <c r="F465" s="339"/>
      <c r="G465" s="339"/>
      <c r="H465" s="339"/>
      <c r="I465" s="341"/>
      <c r="J465" s="341"/>
      <c r="K465" s="340"/>
      <c r="L465" s="339"/>
      <c r="M465" s="341"/>
      <c r="N465" s="341"/>
      <c r="O465" s="340"/>
      <c r="P465" s="339"/>
      <c r="Q465" s="341"/>
      <c r="R465" s="339"/>
      <c r="S465" s="340"/>
      <c r="T465" s="339"/>
      <c r="U465" s="339"/>
      <c r="V465" s="339"/>
      <c r="W465" s="339"/>
      <c r="X465" s="339"/>
      <c r="Y465" s="339"/>
      <c r="Z465" s="339"/>
    </row>
    <row r="466" spans="1:26" ht="15.75" customHeight="1">
      <c r="A466" s="339"/>
      <c r="B466" s="339"/>
      <c r="C466" s="339"/>
      <c r="D466" s="339"/>
      <c r="E466" s="339"/>
      <c r="F466" s="339"/>
      <c r="G466" s="339"/>
      <c r="H466" s="339"/>
      <c r="I466" s="341"/>
      <c r="J466" s="341"/>
      <c r="K466" s="340"/>
      <c r="L466" s="339"/>
      <c r="M466" s="341"/>
      <c r="N466" s="341"/>
      <c r="O466" s="340"/>
      <c r="P466" s="339"/>
      <c r="Q466" s="341"/>
      <c r="R466" s="339"/>
      <c r="S466" s="340"/>
      <c r="T466" s="339"/>
      <c r="U466" s="339"/>
      <c r="V466" s="339"/>
      <c r="W466" s="339"/>
      <c r="X466" s="339"/>
      <c r="Y466" s="339"/>
      <c r="Z466" s="339"/>
    </row>
    <row r="467" spans="1:26" ht="15.75" customHeight="1">
      <c r="A467" s="339"/>
      <c r="B467" s="339"/>
      <c r="C467" s="339"/>
      <c r="D467" s="339"/>
      <c r="E467" s="339"/>
      <c r="F467" s="339"/>
      <c r="G467" s="339"/>
      <c r="H467" s="339"/>
      <c r="I467" s="341"/>
      <c r="J467" s="341"/>
      <c r="K467" s="340"/>
      <c r="L467" s="339"/>
      <c r="M467" s="341"/>
      <c r="N467" s="341"/>
      <c r="O467" s="340"/>
      <c r="P467" s="339"/>
      <c r="Q467" s="341"/>
      <c r="R467" s="339"/>
      <c r="S467" s="340"/>
      <c r="T467" s="339"/>
      <c r="U467" s="339"/>
      <c r="V467" s="339"/>
      <c r="W467" s="339"/>
      <c r="X467" s="339"/>
      <c r="Y467" s="339"/>
      <c r="Z467" s="339"/>
    </row>
    <row r="468" spans="1:26" ht="15.75" customHeight="1">
      <c r="A468" s="339"/>
      <c r="B468" s="339"/>
      <c r="C468" s="339"/>
      <c r="D468" s="339"/>
      <c r="E468" s="339"/>
      <c r="F468" s="339"/>
      <c r="G468" s="339"/>
      <c r="H468" s="339"/>
      <c r="I468" s="341"/>
      <c r="J468" s="341"/>
      <c r="K468" s="340"/>
      <c r="L468" s="339"/>
      <c r="M468" s="341"/>
      <c r="N468" s="341"/>
      <c r="O468" s="340"/>
      <c r="P468" s="339"/>
      <c r="Q468" s="341"/>
      <c r="R468" s="339"/>
      <c r="S468" s="340"/>
      <c r="T468" s="339"/>
      <c r="U468" s="339"/>
      <c r="V468" s="339"/>
      <c r="W468" s="339"/>
      <c r="X468" s="339"/>
      <c r="Y468" s="339"/>
      <c r="Z468" s="339"/>
    </row>
    <row r="469" spans="1:26" ht="15.75" customHeight="1">
      <c r="A469" s="339"/>
      <c r="B469" s="339"/>
      <c r="C469" s="339"/>
      <c r="D469" s="339"/>
      <c r="E469" s="339"/>
      <c r="F469" s="339"/>
      <c r="G469" s="339"/>
      <c r="H469" s="339"/>
      <c r="I469" s="341"/>
      <c r="J469" s="341"/>
      <c r="K469" s="340"/>
      <c r="L469" s="339"/>
      <c r="M469" s="341"/>
      <c r="N469" s="341"/>
      <c r="O469" s="340"/>
      <c r="P469" s="339"/>
      <c r="Q469" s="341"/>
      <c r="R469" s="339"/>
      <c r="S469" s="340"/>
      <c r="T469" s="339"/>
      <c r="U469" s="339"/>
      <c r="V469" s="339"/>
      <c r="W469" s="339"/>
      <c r="X469" s="339"/>
      <c r="Y469" s="339"/>
      <c r="Z469" s="339"/>
    </row>
    <row r="470" spans="1:26" ht="15.75" customHeight="1">
      <c r="A470" s="339"/>
      <c r="B470" s="339"/>
      <c r="C470" s="339"/>
      <c r="D470" s="339"/>
      <c r="E470" s="339"/>
      <c r="F470" s="339"/>
      <c r="G470" s="339"/>
      <c r="H470" s="339"/>
      <c r="I470" s="341"/>
      <c r="J470" s="341"/>
      <c r="K470" s="340"/>
      <c r="L470" s="339"/>
      <c r="M470" s="341"/>
      <c r="N470" s="341"/>
      <c r="O470" s="340"/>
      <c r="P470" s="339"/>
      <c r="Q470" s="341"/>
      <c r="R470" s="339"/>
      <c r="S470" s="340"/>
      <c r="T470" s="339"/>
      <c r="U470" s="339"/>
      <c r="V470" s="339"/>
      <c r="W470" s="339"/>
      <c r="X470" s="339"/>
      <c r="Y470" s="339"/>
      <c r="Z470" s="339"/>
    </row>
    <row r="471" spans="1:26" ht="15.75" customHeight="1">
      <c r="A471" s="339"/>
      <c r="B471" s="339"/>
      <c r="C471" s="339"/>
      <c r="D471" s="339"/>
      <c r="E471" s="339"/>
      <c r="F471" s="339"/>
      <c r="G471" s="339"/>
      <c r="H471" s="339"/>
      <c r="I471" s="341"/>
      <c r="J471" s="341"/>
      <c r="K471" s="340"/>
      <c r="L471" s="339"/>
      <c r="M471" s="341"/>
      <c r="N471" s="341"/>
      <c r="O471" s="340"/>
      <c r="P471" s="339"/>
      <c r="Q471" s="341"/>
      <c r="R471" s="339"/>
      <c r="S471" s="340"/>
      <c r="T471" s="339"/>
      <c r="U471" s="339"/>
      <c r="V471" s="339"/>
      <c r="W471" s="339"/>
      <c r="X471" s="339"/>
      <c r="Y471" s="339"/>
      <c r="Z471" s="339"/>
    </row>
    <row r="472" spans="1:26" ht="15.75" customHeight="1">
      <c r="A472" s="339"/>
      <c r="B472" s="339"/>
      <c r="C472" s="339"/>
      <c r="D472" s="339"/>
      <c r="E472" s="339"/>
      <c r="F472" s="339"/>
      <c r="G472" s="339"/>
      <c r="H472" s="339"/>
      <c r="I472" s="341"/>
      <c r="J472" s="341"/>
      <c r="K472" s="340"/>
      <c r="L472" s="339"/>
      <c r="M472" s="341"/>
      <c r="N472" s="341"/>
      <c r="O472" s="340"/>
      <c r="P472" s="339"/>
      <c r="Q472" s="341"/>
      <c r="R472" s="339"/>
      <c r="S472" s="340"/>
      <c r="T472" s="339"/>
      <c r="U472" s="339"/>
      <c r="V472" s="339"/>
      <c r="W472" s="339"/>
      <c r="X472" s="339"/>
      <c r="Y472" s="339"/>
      <c r="Z472" s="339"/>
    </row>
    <row r="473" spans="1:26" ht="15.75" customHeight="1">
      <c r="A473" s="339"/>
      <c r="B473" s="339"/>
      <c r="C473" s="339"/>
      <c r="D473" s="339"/>
      <c r="E473" s="339"/>
      <c r="F473" s="339"/>
      <c r="G473" s="339"/>
      <c r="H473" s="339"/>
      <c r="I473" s="341"/>
      <c r="J473" s="341"/>
      <c r="K473" s="340"/>
      <c r="L473" s="339"/>
      <c r="M473" s="341"/>
      <c r="N473" s="341"/>
      <c r="O473" s="340"/>
      <c r="P473" s="339"/>
      <c r="Q473" s="341"/>
      <c r="R473" s="339"/>
      <c r="S473" s="340"/>
      <c r="T473" s="339"/>
      <c r="U473" s="339"/>
      <c r="V473" s="339"/>
      <c r="W473" s="339"/>
      <c r="X473" s="339"/>
      <c r="Y473" s="339"/>
      <c r="Z473" s="339"/>
    </row>
    <row r="474" spans="1:26" ht="15.75" customHeight="1">
      <c r="A474" s="339"/>
      <c r="B474" s="339"/>
      <c r="C474" s="339"/>
      <c r="D474" s="339"/>
      <c r="E474" s="339"/>
      <c r="F474" s="339"/>
      <c r="G474" s="339"/>
      <c r="H474" s="339"/>
      <c r="I474" s="341"/>
      <c r="J474" s="341"/>
      <c r="K474" s="340"/>
      <c r="L474" s="339"/>
      <c r="M474" s="341"/>
      <c r="N474" s="341"/>
      <c r="O474" s="340"/>
      <c r="P474" s="339"/>
      <c r="Q474" s="341"/>
      <c r="R474" s="339"/>
      <c r="S474" s="340"/>
      <c r="T474" s="339"/>
      <c r="U474" s="339"/>
      <c r="V474" s="339"/>
      <c r="W474" s="339"/>
      <c r="X474" s="339"/>
      <c r="Y474" s="339"/>
      <c r="Z474" s="339"/>
    </row>
    <row r="475" spans="1:26" ht="15.75" customHeight="1">
      <c r="A475" s="339"/>
      <c r="B475" s="339"/>
      <c r="C475" s="339"/>
      <c r="D475" s="339"/>
      <c r="E475" s="339"/>
      <c r="F475" s="339"/>
      <c r="G475" s="339"/>
      <c r="H475" s="339"/>
      <c r="I475" s="341"/>
      <c r="J475" s="341"/>
      <c r="K475" s="340"/>
      <c r="L475" s="339"/>
      <c r="M475" s="341"/>
      <c r="N475" s="341"/>
      <c r="O475" s="340"/>
      <c r="P475" s="339"/>
      <c r="Q475" s="341"/>
      <c r="R475" s="339"/>
      <c r="S475" s="340"/>
      <c r="T475" s="339"/>
      <c r="U475" s="339"/>
      <c r="V475" s="339"/>
      <c r="W475" s="339"/>
      <c r="X475" s="339"/>
      <c r="Y475" s="339"/>
      <c r="Z475" s="339"/>
    </row>
    <row r="476" spans="1:26" ht="15.75" customHeight="1">
      <c r="A476" s="339"/>
      <c r="B476" s="339"/>
      <c r="C476" s="339"/>
      <c r="D476" s="339"/>
      <c r="E476" s="339"/>
      <c r="F476" s="339"/>
      <c r="G476" s="339"/>
      <c r="H476" s="339"/>
      <c r="I476" s="341"/>
      <c r="J476" s="341"/>
      <c r="K476" s="340"/>
      <c r="L476" s="339"/>
      <c r="M476" s="341"/>
      <c r="N476" s="341"/>
      <c r="O476" s="340"/>
      <c r="P476" s="339"/>
      <c r="Q476" s="341"/>
      <c r="R476" s="339"/>
      <c r="S476" s="340"/>
      <c r="T476" s="339"/>
      <c r="U476" s="339"/>
      <c r="V476" s="339"/>
      <c r="W476" s="339"/>
      <c r="X476" s="339"/>
      <c r="Y476" s="339"/>
      <c r="Z476" s="339"/>
    </row>
    <row r="477" spans="1:26" ht="15.75" customHeight="1">
      <c r="A477" s="339"/>
      <c r="B477" s="339"/>
      <c r="C477" s="339"/>
      <c r="D477" s="339"/>
      <c r="E477" s="339"/>
      <c r="F477" s="339"/>
      <c r="G477" s="339"/>
      <c r="H477" s="339"/>
      <c r="I477" s="341"/>
      <c r="J477" s="341"/>
      <c r="K477" s="340"/>
      <c r="L477" s="339"/>
      <c r="M477" s="341"/>
      <c r="N477" s="341"/>
      <c r="O477" s="340"/>
      <c r="P477" s="339"/>
      <c r="Q477" s="341"/>
      <c r="R477" s="339"/>
      <c r="S477" s="340"/>
      <c r="T477" s="339"/>
      <c r="U477" s="339"/>
      <c r="V477" s="339"/>
      <c r="W477" s="339"/>
      <c r="X477" s="339"/>
      <c r="Y477" s="339"/>
      <c r="Z477" s="339"/>
    </row>
    <row r="478" spans="1:26" ht="15.75" customHeight="1">
      <c r="A478" s="339"/>
      <c r="B478" s="339"/>
      <c r="C478" s="339"/>
      <c r="D478" s="339"/>
      <c r="E478" s="339"/>
      <c r="F478" s="339"/>
      <c r="G478" s="339"/>
      <c r="H478" s="339"/>
      <c r="I478" s="341"/>
      <c r="J478" s="341"/>
      <c r="K478" s="340"/>
      <c r="L478" s="339"/>
      <c r="M478" s="341"/>
      <c r="N478" s="341"/>
      <c r="O478" s="340"/>
      <c r="P478" s="339"/>
      <c r="Q478" s="341"/>
      <c r="R478" s="339"/>
      <c r="S478" s="340"/>
      <c r="T478" s="339"/>
      <c r="U478" s="339"/>
      <c r="V478" s="339"/>
      <c r="W478" s="339"/>
      <c r="X478" s="339"/>
      <c r="Y478" s="339"/>
      <c r="Z478" s="339"/>
    </row>
    <row r="479" spans="1:26" ht="15.75" customHeight="1">
      <c r="A479" s="339"/>
      <c r="B479" s="339"/>
      <c r="C479" s="339"/>
      <c r="D479" s="339"/>
      <c r="E479" s="339"/>
      <c r="F479" s="339"/>
      <c r="G479" s="339"/>
      <c r="H479" s="339"/>
      <c r="I479" s="341"/>
      <c r="J479" s="341"/>
      <c r="K479" s="340"/>
      <c r="L479" s="339"/>
      <c r="M479" s="341"/>
      <c r="N479" s="341"/>
      <c r="O479" s="340"/>
      <c r="P479" s="339"/>
      <c r="Q479" s="341"/>
      <c r="R479" s="339"/>
      <c r="S479" s="340"/>
      <c r="T479" s="339"/>
      <c r="U479" s="339"/>
      <c r="V479" s="339"/>
      <c r="W479" s="339"/>
      <c r="X479" s="339"/>
      <c r="Y479" s="339"/>
      <c r="Z479" s="339"/>
    </row>
    <row r="480" spans="1:26" ht="15.75" customHeight="1">
      <c r="A480" s="339"/>
      <c r="B480" s="339"/>
      <c r="C480" s="339"/>
      <c r="D480" s="339"/>
      <c r="E480" s="339"/>
      <c r="F480" s="339"/>
      <c r="G480" s="339"/>
      <c r="H480" s="339"/>
      <c r="I480" s="341"/>
      <c r="J480" s="341"/>
      <c r="K480" s="340"/>
      <c r="L480" s="339"/>
      <c r="M480" s="341"/>
      <c r="N480" s="341"/>
      <c r="O480" s="340"/>
      <c r="P480" s="339"/>
      <c r="Q480" s="341"/>
      <c r="R480" s="339"/>
      <c r="S480" s="340"/>
      <c r="T480" s="339"/>
      <c r="U480" s="339"/>
      <c r="V480" s="339"/>
      <c r="W480" s="339"/>
      <c r="X480" s="339"/>
      <c r="Y480" s="339"/>
      <c r="Z480" s="339"/>
    </row>
    <row r="481" spans="1:26" ht="15.75" customHeight="1">
      <c r="A481" s="339"/>
      <c r="B481" s="339"/>
      <c r="C481" s="339"/>
      <c r="D481" s="339"/>
      <c r="E481" s="339"/>
      <c r="F481" s="339"/>
      <c r="G481" s="339"/>
      <c r="H481" s="339"/>
      <c r="I481" s="341"/>
      <c r="J481" s="341"/>
      <c r="K481" s="340"/>
      <c r="L481" s="339"/>
      <c r="M481" s="341"/>
      <c r="N481" s="341"/>
      <c r="O481" s="340"/>
      <c r="P481" s="339"/>
      <c r="Q481" s="341"/>
      <c r="R481" s="339"/>
      <c r="S481" s="340"/>
      <c r="T481" s="339"/>
      <c r="U481" s="339"/>
      <c r="V481" s="339"/>
      <c r="W481" s="339"/>
      <c r="X481" s="339"/>
      <c r="Y481" s="339"/>
      <c r="Z481" s="339"/>
    </row>
    <row r="482" spans="1:26" ht="15.75" customHeight="1">
      <c r="A482" s="339"/>
      <c r="B482" s="339"/>
      <c r="C482" s="339"/>
      <c r="D482" s="339"/>
      <c r="E482" s="339"/>
      <c r="F482" s="339"/>
      <c r="G482" s="339"/>
      <c r="H482" s="339"/>
      <c r="I482" s="341"/>
      <c r="J482" s="341"/>
      <c r="K482" s="340"/>
      <c r="L482" s="339"/>
      <c r="M482" s="341"/>
      <c r="N482" s="341"/>
      <c r="O482" s="340"/>
      <c r="P482" s="339"/>
      <c r="Q482" s="341"/>
      <c r="R482" s="339"/>
      <c r="S482" s="340"/>
      <c r="T482" s="339"/>
      <c r="U482" s="339"/>
      <c r="V482" s="339"/>
      <c r="W482" s="339"/>
      <c r="X482" s="339"/>
      <c r="Y482" s="339"/>
      <c r="Z482" s="339"/>
    </row>
    <row r="483" spans="1:26" ht="15.75" customHeight="1">
      <c r="A483" s="339"/>
      <c r="B483" s="339"/>
      <c r="C483" s="339"/>
      <c r="D483" s="339"/>
      <c r="E483" s="339"/>
      <c r="F483" s="339"/>
      <c r="G483" s="339"/>
      <c r="H483" s="339"/>
      <c r="I483" s="341"/>
      <c r="J483" s="341"/>
      <c r="K483" s="340"/>
      <c r="L483" s="339"/>
      <c r="M483" s="341"/>
      <c r="N483" s="341"/>
      <c r="O483" s="340"/>
      <c r="P483" s="339"/>
      <c r="Q483" s="341"/>
      <c r="R483" s="339"/>
      <c r="S483" s="340"/>
      <c r="T483" s="339"/>
      <c r="U483" s="339"/>
      <c r="V483" s="339"/>
      <c r="W483" s="339"/>
      <c r="X483" s="339"/>
      <c r="Y483" s="339"/>
      <c r="Z483" s="339"/>
    </row>
    <row r="484" spans="1:26" ht="15.75" customHeight="1">
      <c r="A484" s="339"/>
      <c r="B484" s="339"/>
      <c r="C484" s="339"/>
      <c r="D484" s="339"/>
      <c r="E484" s="339"/>
      <c r="F484" s="339"/>
      <c r="G484" s="339"/>
      <c r="H484" s="339"/>
      <c r="I484" s="341"/>
      <c r="J484" s="341"/>
      <c r="K484" s="340"/>
      <c r="L484" s="339"/>
      <c r="M484" s="341"/>
      <c r="N484" s="341"/>
      <c r="O484" s="340"/>
      <c r="P484" s="339"/>
      <c r="Q484" s="341"/>
      <c r="R484" s="339"/>
      <c r="S484" s="340"/>
      <c r="T484" s="339"/>
      <c r="U484" s="339"/>
      <c r="V484" s="339"/>
      <c r="W484" s="339"/>
      <c r="X484" s="339"/>
      <c r="Y484" s="339"/>
      <c r="Z484" s="339"/>
    </row>
    <row r="485" spans="1:26" ht="15.75" customHeight="1">
      <c r="A485" s="339"/>
      <c r="B485" s="339"/>
      <c r="C485" s="339"/>
      <c r="D485" s="339"/>
      <c r="E485" s="339"/>
      <c r="F485" s="339"/>
      <c r="G485" s="339"/>
      <c r="H485" s="339"/>
      <c r="I485" s="341"/>
      <c r="J485" s="341"/>
      <c r="K485" s="340"/>
      <c r="L485" s="339"/>
      <c r="M485" s="341"/>
      <c r="N485" s="341"/>
      <c r="O485" s="340"/>
      <c r="P485" s="339"/>
      <c r="Q485" s="341"/>
      <c r="R485" s="339"/>
      <c r="S485" s="340"/>
      <c r="T485" s="339"/>
      <c r="U485" s="339"/>
      <c r="V485" s="339"/>
      <c r="W485" s="339"/>
      <c r="X485" s="339"/>
      <c r="Y485" s="339"/>
      <c r="Z485" s="339"/>
    </row>
    <row r="486" spans="1:26" ht="15.75" customHeight="1">
      <c r="A486" s="339"/>
      <c r="B486" s="339"/>
      <c r="C486" s="339"/>
      <c r="D486" s="339"/>
      <c r="E486" s="339"/>
      <c r="F486" s="339"/>
      <c r="G486" s="339"/>
      <c r="H486" s="339"/>
      <c r="I486" s="341"/>
      <c r="J486" s="341"/>
      <c r="K486" s="340"/>
      <c r="L486" s="339"/>
      <c r="M486" s="341"/>
      <c r="N486" s="341"/>
      <c r="O486" s="340"/>
      <c r="P486" s="339"/>
      <c r="Q486" s="341"/>
      <c r="R486" s="339"/>
      <c r="S486" s="340"/>
      <c r="T486" s="339"/>
      <c r="U486" s="339"/>
      <c r="V486" s="339"/>
      <c r="W486" s="339"/>
      <c r="X486" s="339"/>
      <c r="Y486" s="339"/>
      <c r="Z486" s="339"/>
    </row>
    <row r="487" spans="1:26" ht="15.75" customHeight="1">
      <c r="A487" s="339"/>
      <c r="B487" s="339"/>
      <c r="C487" s="339"/>
      <c r="D487" s="339"/>
      <c r="E487" s="339"/>
      <c r="F487" s="339"/>
      <c r="G487" s="339"/>
      <c r="H487" s="339"/>
      <c r="I487" s="341"/>
      <c r="J487" s="341"/>
      <c r="K487" s="340"/>
      <c r="L487" s="339"/>
      <c r="M487" s="341"/>
      <c r="N487" s="341"/>
      <c r="O487" s="340"/>
      <c r="P487" s="339"/>
      <c r="Q487" s="341"/>
      <c r="R487" s="339"/>
      <c r="S487" s="340"/>
      <c r="T487" s="339"/>
      <c r="U487" s="339"/>
      <c r="V487" s="339"/>
      <c r="W487" s="339"/>
      <c r="X487" s="339"/>
      <c r="Y487" s="339"/>
      <c r="Z487" s="339"/>
    </row>
    <row r="488" spans="1:26" ht="15.75" customHeight="1">
      <c r="A488" s="339"/>
      <c r="B488" s="339"/>
      <c r="C488" s="339"/>
      <c r="D488" s="339"/>
      <c r="E488" s="339"/>
      <c r="F488" s="339"/>
      <c r="G488" s="339"/>
      <c r="H488" s="339"/>
      <c r="I488" s="341"/>
      <c r="J488" s="341"/>
      <c r="K488" s="340"/>
      <c r="L488" s="339"/>
      <c r="M488" s="341"/>
      <c r="N488" s="341"/>
      <c r="O488" s="340"/>
      <c r="P488" s="339"/>
      <c r="Q488" s="341"/>
      <c r="R488" s="339"/>
      <c r="S488" s="340"/>
      <c r="T488" s="339"/>
      <c r="U488" s="339"/>
      <c r="V488" s="339"/>
      <c r="W488" s="339"/>
      <c r="X488" s="339"/>
      <c r="Y488" s="339"/>
      <c r="Z488" s="339"/>
    </row>
    <row r="489" spans="1:26" ht="15.75" customHeight="1">
      <c r="A489" s="339"/>
      <c r="B489" s="339"/>
      <c r="C489" s="339"/>
      <c r="D489" s="339"/>
      <c r="E489" s="339"/>
      <c r="F489" s="339"/>
      <c r="G489" s="339"/>
      <c r="H489" s="339"/>
      <c r="I489" s="341"/>
      <c r="J489" s="341"/>
      <c r="K489" s="340"/>
      <c r="L489" s="339"/>
      <c r="M489" s="341"/>
      <c r="N489" s="341"/>
      <c r="O489" s="340"/>
      <c r="P489" s="339"/>
      <c r="Q489" s="341"/>
      <c r="R489" s="339"/>
      <c r="S489" s="340"/>
      <c r="T489" s="339"/>
      <c r="U489" s="339"/>
      <c r="V489" s="339"/>
      <c r="W489" s="339"/>
      <c r="X489" s="339"/>
      <c r="Y489" s="339"/>
      <c r="Z489" s="339"/>
    </row>
    <row r="490" spans="1:26" ht="15.75" customHeight="1">
      <c r="A490" s="339"/>
      <c r="B490" s="339"/>
      <c r="C490" s="339"/>
      <c r="D490" s="339"/>
      <c r="E490" s="339"/>
      <c r="F490" s="339"/>
      <c r="G490" s="339"/>
      <c r="H490" s="339"/>
      <c r="I490" s="341"/>
      <c r="J490" s="341"/>
      <c r="K490" s="340"/>
      <c r="L490" s="339"/>
      <c r="M490" s="341"/>
      <c r="N490" s="341"/>
      <c r="O490" s="340"/>
      <c r="P490" s="339"/>
      <c r="Q490" s="341"/>
      <c r="R490" s="339"/>
      <c r="S490" s="340"/>
      <c r="T490" s="339"/>
      <c r="U490" s="339"/>
      <c r="V490" s="339"/>
      <c r="W490" s="339"/>
      <c r="X490" s="339"/>
      <c r="Y490" s="339"/>
      <c r="Z490" s="339"/>
    </row>
    <row r="491" spans="1:26" ht="15.75" customHeight="1">
      <c r="A491" s="339"/>
      <c r="B491" s="339"/>
      <c r="C491" s="339"/>
      <c r="D491" s="339"/>
      <c r="E491" s="339"/>
      <c r="F491" s="339"/>
      <c r="G491" s="339"/>
      <c r="H491" s="339"/>
      <c r="I491" s="341"/>
      <c r="J491" s="341"/>
      <c r="K491" s="340"/>
      <c r="L491" s="339"/>
      <c r="M491" s="341"/>
      <c r="N491" s="341"/>
      <c r="O491" s="340"/>
      <c r="P491" s="339"/>
      <c r="Q491" s="341"/>
      <c r="R491" s="339"/>
      <c r="S491" s="340"/>
      <c r="T491" s="339"/>
      <c r="U491" s="339"/>
      <c r="V491" s="339"/>
      <c r="W491" s="339"/>
      <c r="X491" s="339"/>
      <c r="Y491" s="339"/>
      <c r="Z491" s="339"/>
    </row>
    <row r="492" spans="1:26" ht="15.75" customHeight="1">
      <c r="A492" s="339"/>
      <c r="B492" s="339"/>
      <c r="C492" s="339"/>
      <c r="D492" s="339"/>
      <c r="E492" s="339"/>
      <c r="F492" s="339"/>
      <c r="G492" s="339"/>
      <c r="H492" s="339"/>
      <c r="I492" s="341"/>
      <c r="J492" s="341"/>
      <c r="K492" s="340"/>
      <c r="L492" s="339"/>
      <c r="M492" s="341"/>
      <c r="N492" s="341"/>
      <c r="O492" s="340"/>
      <c r="P492" s="339"/>
      <c r="Q492" s="341"/>
      <c r="R492" s="339"/>
      <c r="S492" s="340"/>
      <c r="T492" s="339"/>
      <c r="U492" s="339"/>
      <c r="V492" s="339"/>
      <c r="W492" s="339"/>
      <c r="X492" s="339"/>
      <c r="Y492" s="339"/>
      <c r="Z492" s="339"/>
    </row>
    <row r="493" spans="1:26" ht="15.75" customHeight="1">
      <c r="A493" s="339"/>
      <c r="B493" s="339"/>
      <c r="C493" s="339"/>
      <c r="D493" s="339"/>
      <c r="E493" s="339"/>
      <c r="F493" s="339"/>
      <c r="G493" s="339"/>
      <c r="H493" s="339"/>
      <c r="I493" s="341"/>
      <c r="J493" s="341"/>
      <c r="K493" s="340"/>
      <c r="L493" s="339"/>
      <c r="M493" s="341"/>
      <c r="N493" s="341"/>
      <c r="O493" s="340"/>
      <c r="P493" s="339"/>
      <c r="Q493" s="341"/>
      <c r="R493" s="339"/>
      <c r="S493" s="340"/>
      <c r="T493" s="339"/>
      <c r="U493" s="339"/>
      <c r="V493" s="339"/>
      <c r="W493" s="339"/>
      <c r="X493" s="339"/>
      <c r="Y493" s="339"/>
      <c r="Z493" s="339"/>
    </row>
    <row r="494" spans="1:26" ht="15.75" customHeight="1">
      <c r="A494" s="339"/>
      <c r="B494" s="339"/>
      <c r="C494" s="339"/>
      <c r="D494" s="339"/>
      <c r="E494" s="339"/>
      <c r="F494" s="339"/>
      <c r="G494" s="339"/>
      <c r="H494" s="339"/>
      <c r="I494" s="341"/>
      <c r="J494" s="341"/>
      <c r="K494" s="340"/>
      <c r="L494" s="339"/>
      <c r="M494" s="341"/>
      <c r="N494" s="341"/>
      <c r="O494" s="340"/>
      <c r="P494" s="339"/>
      <c r="Q494" s="341"/>
      <c r="R494" s="339"/>
      <c r="S494" s="340"/>
      <c r="T494" s="339"/>
      <c r="U494" s="339"/>
      <c r="V494" s="339"/>
      <c r="W494" s="339"/>
      <c r="X494" s="339"/>
      <c r="Y494" s="339"/>
      <c r="Z494" s="339"/>
    </row>
    <row r="495" spans="1:26" ht="15.75" customHeight="1">
      <c r="A495" s="339"/>
      <c r="B495" s="339"/>
      <c r="C495" s="339"/>
      <c r="D495" s="339"/>
      <c r="E495" s="339"/>
      <c r="F495" s="339"/>
      <c r="G495" s="339"/>
      <c r="H495" s="339"/>
      <c r="I495" s="341"/>
      <c r="J495" s="341"/>
      <c r="K495" s="340"/>
      <c r="L495" s="339"/>
      <c r="M495" s="341"/>
      <c r="N495" s="341"/>
      <c r="O495" s="340"/>
      <c r="P495" s="339"/>
      <c r="Q495" s="341"/>
      <c r="R495" s="339"/>
      <c r="S495" s="340"/>
      <c r="T495" s="339"/>
      <c r="U495" s="339"/>
      <c r="V495" s="339"/>
      <c r="W495" s="339"/>
      <c r="X495" s="339"/>
      <c r="Y495" s="339"/>
      <c r="Z495" s="339"/>
    </row>
    <row r="496" spans="1:26" ht="15.75" customHeight="1">
      <c r="A496" s="339"/>
      <c r="B496" s="339"/>
      <c r="C496" s="339"/>
      <c r="D496" s="339"/>
      <c r="E496" s="339"/>
      <c r="F496" s="339"/>
      <c r="G496" s="339"/>
      <c r="H496" s="339"/>
      <c r="I496" s="341"/>
      <c r="J496" s="341"/>
      <c r="K496" s="340"/>
      <c r="L496" s="339"/>
      <c r="M496" s="341"/>
      <c r="N496" s="341"/>
      <c r="O496" s="340"/>
      <c r="P496" s="339"/>
      <c r="Q496" s="341"/>
      <c r="R496" s="339"/>
      <c r="S496" s="340"/>
      <c r="T496" s="339"/>
      <c r="U496" s="339"/>
      <c r="V496" s="339"/>
      <c r="W496" s="339"/>
      <c r="X496" s="339"/>
      <c r="Y496" s="339"/>
      <c r="Z496" s="339"/>
    </row>
    <row r="497" spans="1:26" ht="15.75" customHeight="1">
      <c r="A497" s="339"/>
      <c r="B497" s="339"/>
      <c r="C497" s="339"/>
      <c r="D497" s="339"/>
      <c r="E497" s="339"/>
      <c r="F497" s="339"/>
      <c r="G497" s="339"/>
      <c r="H497" s="339"/>
      <c r="I497" s="341"/>
      <c r="J497" s="341"/>
      <c r="K497" s="340"/>
      <c r="L497" s="339"/>
      <c r="M497" s="341"/>
      <c r="N497" s="341"/>
      <c r="O497" s="340"/>
      <c r="P497" s="339"/>
      <c r="Q497" s="341"/>
      <c r="R497" s="339"/>
      <c r="S497" s="340"/>
      <c r="T497" s="339"/>
      <c r="U497" s="339"/>
      <c r="V497" s="339"/>
      <c r="W497" s="339"/>
      <c r="X497" s="339"/>
      <c r="Y497" s="339"/>
      <c r="Z497" s="339"/>
    </row>
    <row r="498" spans="1:26" ht="15.75" customHeight="1">
      <c r="A498" s="339"/>
      <c r="B498" s="339"/>
      <c r="C498" s="339"/>
      <c r="D498" s="339"/>
      <c r="E498" s="339"/>
      <c r="F498" s="339"/>
      <c r="G498" s="339"/>
      <c r="H498" s="339"/>
      <c r="I498" s="341"/>
      <c r="J498" s="341"/>
      <c r="K498" s="340"/>
      <c r="L498" s="339"/>
      <c r="M498" s="341"/>
      <c r="N498" s="341"/>
      <c r="O498" s="340"/>
      <c r="P498" s="339"/>
      <c r="Q498" s="341"/>
      <c r="R498" s="339"/>
      <c r="S498" s="340"/>
      <c r="T498" s="339"/>
      <c r="U498" s="339"/>
      <c r="V498" s="339"/>
      <c r="W498" s="339"/>
      <c r="X498" s="339"/>
      <c r="Y498" s="339"/>
      <c r="Z498" s="339"/>
    </row>
    <row r="499" spans="1:26" ht="15.75" customHeight="1">
      <c r="A499" s="339"/>
      <c r="B499" s="339"/>
      <c r="C499" s="339"/>
      <c r="D499" s="339"/>
      <c r="E499" s="339"/>
      <c r="F499" s="339"/>
      <c r="G499" s="339"/>
      <c r="H499" s="339"/>
      <c r="I499" s="341"/>
      <c r="J499" s="341"/>
      <c r="K499" s="340"/>
      <c r="L499" s="339"/>
      <c r="M499" s="341"/>
      <c r="N499" s="341"/>
      <c r="O499" s="340"/>
      <c r="P499" s="339"/>
      <c r="Q499" s="341"/>
      <c r="R499" s="339"/>
      <c r="S499" s="340"/>
      <c r="T499" s="339"/>
      <c r="U499" s="339"/>
      <c r="V499" s="339"/>
      <c r="W499" s="339"/>
      <c r="X499" s="339"/>
      <c r="Y499" s="339"/>
      <c r="Z499" s="339"/>
    </row>
    <row r="500" spans="1:26" ht="15.75" customHeight="1">
      <c r="A500" s="339"/>
      <c r="B500" s="339"/>
      <c r="C500" s="339"/>
      <c r="D500" s="339"/>
      <c r="E500" s="339"/>
      <c r="F500" s="339"/>
      <c r="G500" s="339"/>
      <c r="H500" s="339"/>
      <c r="I500" s="341"/>
      <c r="J500" s="341"/>
      <c r="K500" s="340"/>
      <c r="L500" s="339"/>
      <c r="M500" s="341"/>
      <c r="N500" s="341"/>
      <c r="O500" s="340"/>
      <c r="P500" s="339"/>
      <c r="Q500" s="341"/>
      <c r="R500" s="339"/>
      <c r="S500" s="340"/>
      <c r="T500" s="339"/>
      <c r="U500" s="339"/>
      <c r="V500" s="339"/>
      <c r="W500" s="339"/>
      <c r="X500" s="339"/>
      <c r="Y500" s="339"/>
      <c r="Z500" s="339"/>
    </row>
    <row r="501" spans="1:26" ht="15.75" customHeight="1">
      <c r="A501" s="339"/>
      <c r="B501" s="339"/>
      <c r="C501" s="339"/>
      <c r="D501" s="339"/>
      <c r="E501" s="339"/>
      <c r="F501" s="339"/>
      <c r="G501" s="339"/>
      <c r="H501" s="339"/>
      <c r="I501" s="341"/>
      <c r="J501" s="341"/>
      <c r="K501" s="340"/>
      <c r="L501" s="339"/>
      <c r="M501" s="341"/>
      <c r="N501" s="341"/>
      <c r="O501" s="340"/>
      <c r="P501" s="339"/>
      <c r="Q501" s="341"/>
      <c r="R501" s="339"/>
      <c r="S501" s="340"/>
      <c r="T501" s="339"/>
      <c r="U501" s="339"/>
      <c r="V501" s="339"/>
      <c r="W501" s="339"/>
      <c r="X501" s="339"/>
      <c r="Y501" s="339"/>
      <c r="Z501" s="339"/>
    </row>
    <row r="502" spans="1:26" ht="15.75" customHeight="1">
      <c r="A502" s="339"/>
      <c r="B502" s="339"/>
      <c r="C502" s="339"/>
      <c r="D502" s="339"/>
      <c r="E502" s="339"/>
      <c r="F502" s="339"/>
      <c r="G502" s="339"/>
      <c r="H502" s="339"/>
      <c r="I502" s="341"/>
      <c r="J502" s="341"/>
      <c r="K502" s="340"/>
      <c r="L502" s="339"/>
      <c r="M502" s="341"/>
      <c r="N502" s="341"/>
      <c r="O502" s="340"/>
      <c r="P502" s="339"/>
      <c r="Q502" s="341"/>
      <c r="R502" s="339"/>
      <c r="S502" s="340"/>
      <c r="T502" s="339"/>
      <c r="U502" s="339"/>
      <c r="V502" s="339"/>
      <c r="W502" s="339"/>
      <c r="X502" s="339"/>
      <c r="Y502" s="339"/>
      <c r="Z502" s="339"/>
    </row>
    <row r="503" spans="1:26" ht="15.75" customHeight="1">
      <c r="A503" s="339"/>
      <c r="B503" s="339"/>
      <c r="C503" s="339"/>
      <c r="D503" s="339"/>
      <c r="E503" s="339"/>
      <c r="F503" s="339"/>
      <c r="G503" s="339"/>
      <c r="H503" s="339"/>
      <c r="I503" s="341"/>
      <c r="J503" s="341"/>
      <c r="K503" s="340"/>
      <c r="L503" s="339"/>
      <c r="M503" s="341"/>
      <c r="N503" s="341"/>
      <c r="O503" s="340"/>
      <c r="P503" s="339"/>
      <c r="Q503" s="341"/>
      <c r="R503" s="339"/>
      <c r="S503" s="340"/>
      <c r="T503" s="339"/>
      <c r="U503" s="339"/>
      <c r="V503" s="339"/>
      <c r="W503" s="339"/>
      <c r="X503" s="339"/>
      <c r="Y503" s="339"/>
      <c r="Z503" s="339"/>
    </row>
    <row r="504" spans="1:26" ht="15.75" customHeight="1">
      <c r="A504" s="339"/>
      <c r="B504" s="339"/>
      <c r="C504" s="339"/>
      <c r="D504" s="339"/>
      <c r="E504" s="339"/>
      <c r="F504" s="339"/>
      <c r="G504" s="339"/>
      <c r="H504" s="339"/>
      <c r="I504" s="341"/>
      <c r="J504" s="341"/>
      <c r="K504" s="340"/>
      <c r="L504" s="339"/>
      <c r="M504" s="341"/>
      <c r="N504" s="341"/>
      <c r="O504" s="340"/>
      <c r="P504" s="339"/>
      <c r="Q504" s="341"/>
      <c r="R504" s="339"/>
      <c r="S504" s="340"/>
      <c r="T504" s="339"/>
      <c r="U504" s="339"/>
      <c r="V504" s="339"/>
      <c r="W504" s="339"/>
      <c r="X504" s="339"/>
      <c r="Y504" s="339"/>
      <c r="Z504" s="339"/>
    </row>
    <row r="505" spans="1:26" ht="15.75" customHeight="1">
      <c r="A505" s="339"/>
      <c r="B505" s="339"/>
      <c r="C505" s="339"/>
      <c r="D505" s="339"/>
      <c r="E505" s="339"/>
      <c r="F505" s="339"/>
      <c r="G505" s="339"/>
      <c r="H505" s="339"/>
      <c r="I505" s="341"/>
      <c r="J505" s="341"/>
      <c r="K505" s="340"/>
      <c r="L505" s="339"/>
      <c r="M505" s="341"/>
      <c r="N505" s="341"/>
      <c r="O505" s="340"/>
      <c r="P505" s="339"/>
      <c r="Q505" s="341"/>
      <c r="R505" s="339"/>
      <c r="S505" s="340"/>
      <c r="T505" s="339"/>
      <c r="U505" s="339"/>
      <c r="V505" s="339"/>
      <c r="W505" s="339"/>
      <c r="X505" s="339"/>
      <c r="Y505" s="339"/>
      <c r="Z505" s="339"/>
    </row>
    <row r="506" spans="1:26" ht="15.75" customHeight="1">
      <c r="A506" s="339"/>
      <c r="B506" s="339"/>
      <c r="C506" s="339"/>
      <c r="D506" s="339"/>
      <c r="E506" s="339"/>
      <c r="F506" s="339"/>
      <c r="G506" s="339"/>
      <c r="H506" s="339"/>
      <c r="I506" s="341"/>
      <c r="J506" s="341"/>
      <c r="K506" s="340"/>
      <c r="L506" s="339"/>
      <c r="M506" s="341"/>
      <c r="N506" s="341"/>
      <c r="O506" s="340"/>
      <c r="P506" s="339"/>
      <c r="Q506" s="341"/>
      <c r="R506" s="339"/>
      <c r="S506" s="340"/>
      <c r="T506" s="339"/>
      <c r="U506" s="339"/>
      <c r="V506" s="339"/>
      <c r="W506" s="339"/>
      <c r="X506" s="339"/>
      <c r="Y506" s="339"/>
      <c r="Z506" s="339"/>
    </row>
    <row r="507" spans="1:26" ht="15.75" customHeight="1">
      <c r="A507" s="339"/>
      <c r="B507" s="339"/>
      <c r="C507" s="339"/>
      <c r="D507" s="339"/>
      <c r="E507" s="339"/>
      <c r="F507" s="339"/>
      <c r="G507" s="339"/>
      <c r="H507" s="339"/>
      <c r="I507" s="341"/>
      <c r="J507" s="341"/>
      <c r="K507" s="340"/>
      <c r="L507" s="339"/>
      <c r="M507" s="341"/>
      <c r="N507" s="341"/>
      <c r="O507" s="340"/>
      <c r="P507" s="339"/>
      <c r="Q507" s="341"/>
      <c r="R507" s="339"/>
      <c r="S507" s="340"/>
      <c r="T507" s="339"/>
      <c r="U507" s="339"/>
      <c r="V507" s="339"/>
      <c r="W507" s="339"/>
      <c r="X507" s="339"/>
      <c r="Y507" s="339"/>
      <c r="Z507" s="339"/>
    </row>
    <row r="508" spans="1:26" ht="15.75" customHeight="1">
      <c r="A508" s="339"/>
      <c r="B508" s="339"/>
      <c r="C508" s="339"/>
      <c r="D508" s="339"/>
      <c r="E508" s="339"/>
      <c r="F508" s="339"/>
      <c r="G508" s="339"/>
      <c r="H508" s="339"/>
      <c r="I508" s="341"/>
      <c r="J508" s="341"/>
      <c r="K508" s="340"/>
      <c r="L508" s="339"/>
      <c r="M508" s="341"/>
      <c r="N508" s="341"/>
      <c r="O508" s="340"/>
      <c r="P508" s="339"/>
      <c r="Q508" s="341"/>
      <c r="R508" s="339"/>
      <c r="S508" s="340"/>
      <c r="T508" s="339"/>
      <c r="U508" s="339"/>
      <c r="V508" s="339"/>
      <c r="W508" s="339"/>
      <c r="X508" s="339"/>
      <c r="Y508" s="339"/>
      <c r="Z508" s="339"/>
    </row>
    <row r="509" spans="1:26" ht="15.75" customHeight="1">
      <c r="A509" s="339"/>
      <c r="B509" s="339"/>
      <c r="C509" s="339"/>
      <c r="D509" s="339"/>
      <c r="E509" s="339"/>
      <c r="F509" s="339"/>
      <c r="G509" s="339"/>
      <c r="H509" s="339"/>
      <c r="I509" s="341"/>
      <c r="J509" s="341"/>
      <c r="K509" s="340"/>
      <c r="L509" s="339"/>
      <c r="M509" s="341"/>
      <c r="N509" s="341"/>
      <c r="O509" s="340"/>
      <c r="P509" s="339"/>
      <c r="Q509" s="341"/>
      <c r="R509" s="339"/>
      <c r="S509" s="340"/>
      <c r="T509" s="339"/>
      <c r="U509" s="339"/>
      <c r="V509" s="339"/>
      <c r="W509" s="339"/>
      <c r="X509" s="339"/>
      <c r="Y509" s="339"/>
      <c r="Z509" s="339"/>
    </row>
    <row r="510" spans="1:26" ht="15.75" customHeight="1">
      <c r="A510" s="339"/>
      <c r="B510" s="339"/>
      <c r="C510" s="339"/>
      <c r="D510" s="339"/>
      <c r="E510" s="339"/>
      <c r="F510" s="339"/>
      <c r="G510" s="339"/>
      <c r="H510" s="339"/>
      <c r="I510" s="341"/>
      <c r="J510" s="341"/>
      <c r="K510" s="340"/>
      <c r="L510" s="339"/>
      <c r="M510" s="341"/>
      <c r="N510" s="341"/>
      <c r="O510" s="340"/>
      <c r="P510" s="339"/>
      <c r="Q510" s="341"/>
      <c r="R510" s="339"/>
      <c r="S510" s="340"/>
      <c r="T510" s="339"/>
      <c r="U510" s="339"/>
      <c r="V510" s="339"/>
      <c r="W510" s="339"/>
      <c r="X510" s="339"/>
      <c r="Y510" s="339"/>
      <c r="Z510" s="339"/>
    </row>
    <row r="511" spans="1:26" ht="15.75" customHeight="1">
      <c r="A511" s="339"/>
      <c r="B511" s="339"/>
      <c r="C511" s="339"/>
      <c r="D511" s="339"/>
      <c r="E511" s="339"/>
      <c r="F511" s="339"/>
      <c r="G511" s="339"/>
      <c r="H511" s="339"/>
      <c r="I511" s="341"/>
      <c r="J511" s="341"/>
      <c r="K511" s="340"/>
      <c r="L511" s="339"/>
      <c r="M511" s="341"/>
      <c r="N511" s="341"/>
      <c r="O511" s="340"/>
      <c r="P511" s="339"/>
      <c r="Q511" s="341"/>
      <c r="R511" s="339"/>
      <c r="S511" s="340"/>
      <c r="T511" s="339"/>
      <c r="U511" s="339"/>
      <c r="V511" s="339"/>
      <c r="W511" s="339"/>
      <c r="X511" s="339"/>
      <c r="Y511" s="339"/>
      <c r="Z511" s="339"/>
    </row>
    <row r="512" spans="1:26" ht="15.75" customHeight="1">
      <c r="A512" s="339"/>
      <c r="B512" s="339"/>
      <c r="C512" s="339"/>
      <c r="D512" s="339"/>
      <c r="E512" s="339"/>
      <c r="F512" s="339"/>
      <c r="G512" s="339"/>
      <c r="H512" s="339"/>
      <c r="I512" s="341"/>
      <c r="J512" s="341"/>
      <c r="K512" s="340"/>
      <c r="L512" s="339"/>
      <c r="M512" s="341"/>
      <c r="N512" s="341"/>
      <c r="O512" s="340"/>
      <c r="P512" s="339"/>
      <c r="Q512" s="341"/>
      <c r="R512" s="339"/>
      <c r="S512" s="340"/>
      <c r="T512" s="339"/>
      <c r="U512" s="339"/>
      <c r="V512" s="339"/>
      <c r="W512" s="339"/>
      <c r="X512" s="339"/>
      <c r="Y512" s="339"/>
      <c r="Z512" s="339"/>
    </row>
    <row r="513" spans="1:26" ht="15.75" customHeight="1">
      <c r="A513" s="339"/>
      <c r="B513" s="339"/>
      <c r="C513" s="339"/>
      <c r="D513" s="339"/>
      <c r="E513" s="339"/>
      <c r="F513" s="339"/>
      <c r="G513" s="339"/>
      <c r="H513" s="339"/>
      <c r="I513" s="341"/>
      <c r="J513" s="341"/>
      <c r="K513" s="340"/>
      <c r="L513" s="339"/>
      <c r="M513" s="341"/>
      <c r="N513" s="341"/>
      <c r="O513" s="340"/>
      <c r="P513" s="339"/>
      <c r="Q513" s="341"/>
      <c r="R513" s="339"/>
      <c r="S513" s="340"/>
      <c r="T513" s="339"/>
      <c r="U513" s="339"/>
      <c r="V513" s="339"/>
      <c r="W513" s="339"/>
      <c r="X513" s="339"/>
      <c r="Y513" s="339"/>
      <c r="Z513" s="339"/>
    </row>
    <row r="514" spans="1:26" ht="15.75" customHeight="1">
      <c r="A514" s="339"/>
      <c r="B514" s="339"/>
      <c r="C514" s="339"/>
      <c r="D514" s="339"/>
      <c r="E514" s="339"/>
      <c r="F514" s="339"/>
      <c r="G514" s="339"/>
      <c r="H514" s="339"/>
      <c r="I514" s="341"/>
      <c r="J514" s="341"/>
      <c r="K514" s="340"/>
      <c r="L514" s="339"/>
      <c r="M514" s="341"/>
      <c r="N514" s="341"/>
      <c r="O514" s="340"/>
      <c r="P514" s="339"/>
      <c r="Q514" s="341"/>
      <c r="R514" s="339"/>
      <c r="S514" s="340"/>
      <c r="T514" s="339"/>
      <c r="U514" s="339"/>
      <c r="V514" s="339"/>
      <c r="W514" s="339"/>
      <c r="X514" s="339"/>
      <c r="Y514" s="339"/>
      <c r="Z514" s="339"/>
    </row>
    <row r="515" spans="1:26" ht="15.75" customHeight="1">
      <c r="A515" s="339"/>
      <c r="B515" s="339"/>
      <c r="C515" s="339"/>
      <c r="D515" s="339"/>
      <c r="E515" s="339"/>
      <c r="F515" s="339"/>
      <c r="G515" s="339"/>
      <c r="H515" s="339"/>
      <c r="I515" s="341"/>
      <c r="J515" s="341"/>
      <c r="K515" s="340"/>
      <c r="L515" s="339"/>
      <c r="M515" s="341"/>
      <c r="N515" s="341"/>
      <c r="O515" s="340"/>
      <c r="P515" s="339"/>
      <c r="Q515" s="341"/>
      <c r="R515" s="339"/>
      <c r="S515" s="340"/>
      <c r="T515" s="339"/>
      <c r="U515" s="339"/>
      <c r="V515" s="339"/>
      <c r="W515" s="339"/>
      <c r="X515" s="339"/>
      <c r="Y515" s="339"/>
      <c r="Z515" s="339"/>
    </row>
    <row r="516" spans="1:26" ht="15.75" customHeight="1">
      <c r="A516" s="339"/>
      <c r="B516" s="339"/>
      <c r="C516" s="339"/>
      <c r="D516" s="339"/>
      <c r="E516" s="339"/>
      <c r="F516" s="339"/>
      <c r="G516" s="339"/>
      <c r="H516" s="339"/>
      <c r="I516" s="341"/>
      <c r="J516" s="341"/>
      <c r="K516" s="340"/>
      <c r="L516" s="339"/>
      <c r="M516" s="341"/>
      <c r="N516" s="341"/>
      <c r="O516" s="340"/>
      <c r="P516" s="339"/>
      <c r="Q516" s="341"/>
      <c r="R516" s="339"/>
      <c r="S516" s="340"/>
      <c r="T516" s="339"/>
      <c r="U516" s="339"/>
      <c r="V516" s="339"/>
      <c r="W516" s="339"/>
      <c r="X516" s="339"/>
      <c r="Y516" s="339"/>
      <c r="Z516" s="339"/>
    </row>
    <row r="517" spans="1:26" ht="15.75" customHeight="1">
      <c r="A517" s="339"/>
      <c r="B517" s="339"/>
      <c r="C517" s="339"/>
      <c r="D517" s="339"/>
      <c r="E517" s="339"/>
      <c r="F517" s="339"/>
      <c r="G517" s="339"/>
      <c r="H517" s="339"/>
      <c r="I517" s="341"/>
      <c r="J517" s="341"/>
      <c r="K517" s="340"/>
      <c r="L517" s="339"/>
      <c r="M517" s="341"/>
      <c r="N517" s="341"/>
      <c r="O517" s="340"/>
      <c r="P517" s="339"/>
      <c r="Q517" s="341"/>
      <c r="R517" s="339"/>
      <c r="S517" s="340"/>
      <c r="T517" s="339"/>
      <c r="U517" s="339"/>
      <c r="V517" s="339"/>
      <c r="W517" s="339"/>
      <c r="X517" s="339"/>
      <c r="Y517" s="339"/>
      <c r="Z517" s="339"/>
    </row>
    <row r="518" spans="1:26" ht="15.75" customHeight="1">
      <c r="A518" s="339"/>
      <c r="B518" s="339"/>
      <c r="C518" s="339"/>
      <c r="D518" s="339"/>
      <c r="E518" s="339"/>
      <c r="F518" s="339"/>
      <c r="G518" s="339"/>
      <c r="H518" s="339"/>
      <c r="I518" s="341"/>
      <c r="J518" s="341"/>
      <c r="K518" s="340"/>
      <c r="L518" s="339"/>
      <c r="M518" s="341"/>
      <c r="N518" s="341"/>
      <c r="O518" s="340"/>
      <c r="P518" s="339"/>
      <c r="Q518" s="341"/>
      <c r="R518" s="339"/>
      <c r="S518" s="340"/>
      <c r="T518" s="339"/>
      <c r="U518" s="339"/>
      <c r="V518" s="339"/>
      <c r="W518" s="339"/>
      <c r="X518" s="339"/>
      <c r="Y518" s="339"/>
      <c r="Z518" s="339"/>
    </row>
    <row r="519" spans="1:26" ht="15.75" customHeight="1">
      <c r="A519" s="339"/>
      <c r="B519" s="339"/>
      <c r="C519" s="339"/>
      <c r="D519" s="339"/>
      <c r="E519" s="339"/>
      <c r="F519" s="339"/>
      <c r="G519" s="339"/>
      <c r="H519" s="339"/>
      <c r="I519" s="341"/>
      <c r="J519" s="341"/>
      <c r="K519" s="340"/>
      <c r="L519" s="339"/>
      <c r="M519" s="341"/>
      <c r="N519" s="341"/>
      <c r="O519" s="340"/>
      <c r="P519" s="339"/>
      <c r="Q519" s="341"/>
      <c r="R519" s="339"/>
      <c r="S519" s="340"/>
      <c r="T519" s="339"/>
      <c r="U519" s="339"/>
      <c r="V519" s="339"/>
      <c r="W519" s="339"/>
      <c r="X519" s="339"/>
      <c r="Y519" s="339"/>
      <c r="Z519" s="339"/>
    </row>
    <row r="520" spans="1:26" ht="15.75" customHeight="1">
      <c r="A520" s="339"/>
      <c r="B520" s="339"/>
      <c r="C520" s="339"/>
      <c r="D520" s="339"/>
      <c r="E520" s="339"/>
      <c r="F520" s="339"/>
      <c r="G520" s="339"/>
      <c r="H520" s="339"/>
      <c r="I520" s="341"/>
      <c r="J520" s="341"/>
      <c r="K520" s="340"/>
      <c r="L520" s="339"/>
      <c r="M520" s="341"/>
      <c r="N520" s="341"/>
      <c r="O520" s="340"/>
      <c r="P520" s="339"/>
      <c r="Q520" s="341"/>
      <c r="R520" s="339"/>
      <c r="S520" s="340"/>
      <c r="T520" s="339"/>
      <c r="U520" s="339"/>
      <c r="V520" s="339"/>
      <c r="W520" s="339"/>
      <c r="X520" s="339"/>
      <c r="Y520" s="339"/>
      <c r="Z520" s="339"/>
    </row>
    <row r="521" spans="1:26" ht="15.75" customHeight="1">
      <c r="A521" s="339"/>
      <c r="B521" s="339"/>
      <c r="C521" s="339"/>
      <c r="D521" s="339"/>
      <c r="E521" s="339"/>
      <c r="F521" s="339"/>
      <c r="G521" s="339"/>
      <c r="H521" s="339"/>
      <c r="I521" s="341"/>
      <c r="J521" s="341"/>
      <c r="K521" s="340"/>
      <c r="L521" s="339"/>
      <c r="M521" s="341"/>
      <c r="N521" s="341"/>
      <c r="O521" s="340"/>
      <c r="P521" s="339"/>
      <c r="Q521" s="341"/>
      <c r="R521" s="339"/>
      <c r="S521" s="340"/>
      <c r="T521" s="339"/>
      <c r="U521" s="339"/>
      <c r="V521" s="339"/>
      <c r="W521" s="339"/>
      <c r="X521" s="339"/>
      <c r="Y521" s="339"/>
      <c r="Z521" s="339"/>
    </row>
    <row r="522" spans="1:26" ht="15.75" customHeight="1">
      <c r="A522" s="339"/>
      <c r="B522" s="339"/>
      <c r="C522" s="339"/>
      <c r="D522" s="339"/>
      <c r="E522" s="339"/>
      <c r="F522" s="339"/>
      <c r="G522" s="339"/>
      <c r="H522" s="339"/>
      <c r="I522" s="341"/>
      <c r="J522" s="341"/>
      <c r="K522" s="340"/>
      <c r="L522" s="339"/>
      <c r="M522" s="341"/>
      <c r="N522" s="341"/>
      <c r="O522" s="340"/>
      <c r="P522" s="339"/>
      <c r="Q522" s="341"/>
      <c r="R522" s="339"/>
      <c r="S522" s="340"/>
      <c r="T522" s="339"/>
      <c r="U522" s="339"/>
      <c r="V522" s="339"/>
      <c r="W522" s="339"/>
      <c r="X522" s="339"/>
      <c r="Y522" s="339"/>
      <c r="Z522" s="339"/>
    </row>
    <row r="523" spans="1:26" ht="15.75" customHeight="1">
      <c r="A523" s="339"/>
      <c r="B523" s="339"/>
      <c r="C523" s="339"/>
      <c r="D523" s="339"/>
      <c r="E523" s="339"/>
      <c r="F523" s="339"/>
      <c r="G523" s="339"/>
      <c r="H523" s="339"/>
      <c r="I523" s="341"/>
      <c r="J523" s="341"/>
      <c r="K523" s="340"/>
      <c r="L523" s="339"/>
      <c r="M523" s="341"/>
      <c r="N523" s="341"/>
      <c r="O523" s="340"/>
      <c r="P523" s="339"/>
      <c r="Q523" s="341"/>
      <c r="R523" s="339"/>
      <c r="S523" s="340"/>
      <c r="T523" s="339"/>
      <c r="U523" s="339"/>
      <c r="V523" s="339"/>
      <c r="W523" s="339"/>
      <c r="X523" s="339"/>
      <c r="Y523" s="339"/>
      <c r="Z523" s="339"/>
    </row>
    <row r="524" spans="1:26" ht="15.75" customHeight="1">
      <c r="A524" s="339"/>
      <c r="B524" s="339"/>
      <c r="C524" s="339"/>
      <c r="D524" s="339"/>
      <c r="E524" s="339"/>
      <c r="F524" s="339"/>
      <c r="G524" s="339"/>
      <c r="H524" s="339"/>
      <c r="I524" s="341"/>
      <c r="J524" s="341"/>
      <c r="K524" s="340"/>
      <c r="L524" s="339"/>
      <c r="M524" s="341"/>
      <c r="N524" s="341"/>
      <c r="O524" s="340"/>
      <c r="P524" s="339"/>
      <c r="Q524" s="341"/>
      <c r="R524" s="339"/>
      <c r="S524" s="340"/>
      <c r="T524" s="339"/>
      <c r="U524" s="339"/>
      <c r="V524" s="339"/>
      <c r="W524" s="339"/>
      <c r="X524" s="339"/>
      <c r="Y524" s="339"/>
      <c r="Z524" s="339"/>
    </row>
    <row r="525" spans="1:26" ht="15.75" customHeight="1">
      <c r="A525" s="339"/>
      <c r="B525" s="339"/>
      <c r="C525" s="339"/>
      <c r="D525" s="339"/>
      <c r="E525" s="339"/>
      <c r="F525" s="339"/>
      <c r="G525" s="339"/>
      <c r="H525" s="339"/>
      <c r="I525" s="341"/>
      <c r="J525" s="341"/>
      <c r="K525" s="340"/>
      <c r="L525" s="339"/>
      <c r="M525" s="341"/>
      <c r="N525" s="341"/>
      <c r="O525" s="340"/>
      <c r="P525" s="339"/>
      <c r="Q525" s="341"/>
      <c r="R525" s="339"/>
      <c r="S525" s="340"/>
      <c r="T525" s="339"/>
      <c r="U525" s="339"/>
      <c r="V525" s="339"/>
      <c r="W525" s="339"/>
      <c r="X525" s="339"/>
      <c r="Y525" s="339"/>
      <c r="Z525" s="339"/>
    </row>
    <row r="526" spans="1:26" ht="15.75" customHeight="1">
      <c r="A526" s="339"/>
      <c r="B526" s="339"/>
      <c r="C526" s="339"/>
      <c r="D526" s="339"/>
      <c r="E526" s="339"/>
      <c r="F526" s="339"/>
      <c r="G526" s="339"/>
      <c r="H526" s="339"/>
      <c r="I526" s="341"/>
      <c r="J526" s="341"/>
      <c r="K526" s="340"/>
      <c r="L526" s="339"/>
      <c r="M526" s="341"/>
      <c r="N526" s="341"/>
      <c r="O526" s="340"/>
      <c r="P526" s="339"/>
      <c r="Q526" s="341"/>
      <c r="R526" s="339"/>
      <c r="S526" s="340"/>
      <c r="T526" s="339"/>
      <c r="U526" s="339"/>
      <c r="V526" s="339"/>
      <c r="W526" s="339"/>
      <c r="X526" s="339"/>
      <c r="Y526" s="339"/>
      <c r="Z526" s="339"/>
    </row>
    <row r="527" spans="1:26" ht="15.75" customHeight="1">
      <c r="A527" s="339"/>
      <c r="B527" s="339"/>
      <c r="C527" s="339"/>
      <c r="D527" s="339"/>
      <c r="E527" s="339"/>
      <c r="F527" s="339"/>
      <c r="G527" s="339"/>
      <c r="H527" s="339"/>
      <c r="I527" s="341"/>
      <c r="J527" s="341"/>
      <c r="K527" s="340"/>
      <c r="L527" s="339"/>
      <c r="M527" s="341"/>
      <c r="N527" s="341"/>
      <c r="O527" s="340"/>
      <c r="P527" s="339"/>
      <c r="Q527" s="341"/>
      <c r="R527" s="339"/>
      <c r="S527" s="340"/>
      <c r="T527" s="339"/>
      <c r="U527" s="339"/>
      <c r="V527" s="339"/>
      <c r="W527" s="339"/>
      <c r="X527" s="339"/>
      <c r="Y527" s="339"/>
      <c r="Z527" s="339"/>
    </row>
    <row r="528" spans="1:26" ht="15.75" customHeight="1">
      <c r="A528" s="339"/>
      <c r="B528" s="339"/>
      <c r="C528" s="339"/>
      <c r="D528" s="339"/>
      <c r="E528" s="339"/>
      <c r="F528" s="339"/>
      <c r="G528" s="339"/>
      <c r="H528" s="339"/>
      <c r="I528" s="341"/>
      <c r="J528" s="341"/>
      <c r="K528" s="340"/>
      <c r="L528" s="339"/>
      <c r="M528" s="341"/>
      <c r="N528" s="341"/>
      <c r="O528" s="340"/>
      <c r="P528" s="339"/>
      <c r="Q528" s="341"/>
      <c r="R528" s="339"/>
      <c r="S528" s="340"/>
      <c r="T528" s="339"/>
      <c r="U528" s="339"/>
      <c r="V528" s="339"/>
      <c r="W528" s="339"/>
      <c r="X528" s="339"/>
      <c r="Y528" s="339"/>
      <c r="Z528" s="339"/>
    </row>
    <row r="529" spans="1:26" ht="15.75" customHeight="1">
      <c r="A529" s="339"/>
      <c r="B529" s="339"/>
      <c r="C529" s="339"/>
      <c r="D529" s="339"/>
      <c r="E529" s="339"/>
      <c r="F529" s="339"/>
      <c r="G529" s="339"/>
      <c r="H529" s="339"/>
      <c r="I529" s="341"/>
      <c r="J529" s="341"/>
      <c r="K529" s="340"/>
      <c r="L529" s="339"/>
      <c r="M529" s="341"/>
      <c r="N529" s="341"/>
      <c r="O529" s="340"/>
      <c r="P529" s="339"/>
      <c r="Q529" s="341"/>
      <c r="R529" s="339"/>
      <c r="S529" s="340"/>
      <c r="T529" s="339"/>
      <c r="U529" s="339"/>
      <c r="V529" s="339"/>
      <c r="W529" s="339"/>
      <c r="X529" s="339"/>
      <c r="Y529" s="339"/>
      <c r="Z529" s="339"/>
    </row>
    <row r="530" spans="1:26" ht="15.75" customHeight="1">
      <c r="A530" s="339"/>
      <c r="B530" s="339"/>
      <c r="C530" s="339"/>
      <c r="D530" s="339"/>
      <c r="E530" s="339"/>
      <c r="F530" s="339"/>
      <c r="G530" s="339"/>
      <c r="H530" s="339"/>
      <c r="I530" s="341"/>
      <c r="J530" s="341"/>
      <c r="K530" s="340"/>
      <c r="L530" s="339"/>
      <c r="M530" s="341"/>
      <c r="N530" s="341"/>
      <c r="O530" s="340"/>
      <c r="P530" s="339"/>
      <c r="Q530" s="341"/>
      <c r="R530" s="339"/>
      <c r="S530" s="340"/>
      <c r="T530" s="339"/>
      <c r="U530" s="339"/>
      <c r="V530" s="339"/>
      <c r="W530" s="339"/>
      <c r="X530" s="339"/>
      <c r="Y530" s="339"/>
      <c r="Z530" s="339"/>
    </row>
    <row r="531" spans="1:26" ht="15.75" customHeight="1">
      <c r="A531" s="339"/>
      <c r="B531" s="339"/>
      <c r="C531" s="339"/>
      <c r="D531" s="339"/>
      <c r="E531" s="339"/>
      <c r="F531" s="339"/>
      <c r="G531" s="339"/>
      <c r="H531" s="339"/>
      <c r="I531" s="341"/>
      <c r="J531" s="341"/>
      <c r="K531" s="340"/>
      <c r="L531" s="339"/>
      <c r="M531" s="341"/>
      <c r="N531" s="341"/>
      <c r="O531" s="340"/>
      <c r="P531" s="339"/>
      <c r="Q531" s="341"/>
      <c r="R531" s="339"/>
      <c r="S531" s="340"/>
      <c r="T531" s="339"/>
      <c r="U531" s="339"/>
      <c r="V531" s="339"/>
      <c r="W531" s="339"/>
      <c r="X531" s="339"/>
      <c r="Y531" s="339"/>
      <c r="Z531" s="339"/>
    </row>
    <row r="532" spans="1:26" ht="15.75" customHeight="1">
      <c r="A532" s="339"/>
      <c r="B532" s="339"/>
      <c r="C532" s="339"/>
      <c r="D532" s="339"/>
      <c r="E532" s="339"/>
      <c r="F532" s="339"/>
      <c r="G532" s="339"/>
      <c r="H532" s="339"/>
      <c r="I532" s="341"/>
      <c r="J532" s="341"/>
      <c r="K532" s="340"/>
      <c r="L532" s="339"/>
      <c r="M532" s="341"/>
      <c r="N532" s="341"/>
      <c r="O532" s="340"/>
      <c r="P532" s="339"/>
      <c r="Q532" s="341"/>
      <c r="R532" s="339"/>
      <c r="S532" s="340"/>
      <c r="T532" s="339"/>
      <c r="U532" s="339"/>
      <c r="V532" s="339"/>
      <c r="W532" s="339"/>
      <c r="X532" s="339"/>
      <c r="Y532" s="339"/>
      <c r="Z532" s="339"/>
    </row>
    <row r="533" spans="1:26" ht="15.75" customHeight="1">
      <c r="A533" s="339"/>
      <c r="B533" s="339"/>
      <c r="C533" s="339"/>
      <c r="D533" s="339"/>
      <c r="E533" s="339"/>
      <c r="F533" s="339"/>
      <c r="G533" s="339"/>
      <c r="H533" s="339"/>
      <c r="I533" s="341"/>
      <c r="J533" s="341"/>
      <c r="K533" s="340"/>
      <c r="L533" s="339"/>
      <c r="M533" s="341"/>
      <c r="N533" s="341"/>
      <c r="O533" s="340"/>
      <c r="P533" s="339"/>
      <c r="Q533" s="341"/>
      <c r="R533" s="339"/>
      <c r="S533" s="340"/>
      <c r="T533" s="339"/>
      <c r="U533" s="339"/>
      <c r="V533" s="339"/>
      <c r="W533" s="339"/>
      <c r="X533" s="339"/>
      <c r="Y533" s="339"/>
      <c r="Z533" s="339"/>
    </row>
    <row r="534" spans="1:26" ht="15.75" customHeight="1">
      <c r="A534" s="339"/>
      <c r="B534" s="339"/>
      <c r="C534" s="339"/>
      <c r="D534" s="339"/>
      <c r="E534" s="339"/>
      <c r="F534" s="339"/>
      <c r="G534" s="339"/>
      <c r="H534" s="339"/>
      <c r="I534" s="341"/>
      <c r="J534" s="341"/>
      <c r="K534" s="340"/>
      <c r="L534" s="339"/>
      <c r="M534" s="341"/>
      <c r="N534" s="341"/>
      <c r="O534" s="340"/>
      <c r="P534" s="339"/>
      <c r="Q534" s="341"/>
      <c r="R534" s="339"/>
      <c r="S534" s="340"/>
      <c r="T534" s="339"/>
      <c r="U534" s="339"/>
      <c r="V534" s="339"/>
      <c r="W534" s="339"/>
      <c r="X534" s="339"/>
      <c r="Y534" s="339"/>
      <c r="Z534" s="339"/>
    </row>
    <row r="535" spans="1:26" ht="15.75" customHeight="1">
      <c r="A535" s="339"/>
      <c r="B535" s="339"/>
      <c r="C535" s="339"/>
      <c r="D535" s="339"/>
      <c r="E535" s="339"/>
      <c r="F535" s="339"/>
      <c r="G535" s="339"/>
      <c r="H535" s="339"/>
      <c r="I535" s="341"/>
      <c r="J535" s="341"/>
      <c r="K535" s="340"/>
      <c r="L535" s="339"/>
      <c r="M535" s="341"/>
      <c r="N535" s="341"/>
      <c r="O535" s="340"/>
      <c r="P535" s="339"/>
      <c r="Q535" s="341"/>
      <c r="R535" s="339"/>
      <c r="S535" s="340"/>
      <c r="T535" s="339"/>
      <c r="U535" s="339"/>
      <c r="V535" s="339"/>
      <c r="W535" s="339"/>
      <c r="X535" s="339"/>
      <c r="Y535" s="339"/>
      <c r="Z535" s="339"/>
    </row>
    <row r="536" spans="1:26" ht="15.75" customHeight="1">
      <c r="A536" s="339"/>
      <c r="B536" s="339"/>
      <c r="C536" s="339"/>
      <c r="D536" s="339"/>
      <c r="E536" s="339"/>
      <c r="F536" s="339"/>
      <c r="G536" s="339"/>
      <c r="H536" s="339"/>
      <c r="I536" s="341"/>
      <c r="J536" s="341"/>
      <c r="K536" s="340"/>
      <c r="L536" s="339"/>
      <c r="M536" s="341"/>
      <c r="N536" s="341"/>
      <c r="O536" s="340"/>
      <c r="P536" s="339"/>
      <c r="Q536" s="341"/>
      <c r="R536" s="339"/>
      <c r="S536" s="340"/>
      <c r="T536" s="339"/>
      <c r="U536" s="339"/>
      <c r="V536" s="339"/>
      <c r="W536" s="339"/>
      <c r="X536" s="339"/>
      <c r="Y536" s="339"/>
      <c r="Z536" s="339"/>
    </row>
    <row r="537" spans="1:26" ht="15.75" customHeight="1">
      <c r="A537" s="339"/>
      <c r="B537" s="339"/>
      <c r="C537" s="339"/>
      <c r="D537" s="339"/>
      <c r="E537" s="339"/>
      <c r="F537" s="339"/>
      <c r="G537" s="339"/>
      <c r="H537" s="339"/>
      <c r="I537" s="341"/>
      <c r="J537" s="341"/>
      <c r="K537" s="340"/>
      <c r="L537" s="339"/>
      <c r="M537" s="341"/>
      <c r="N537" s="341"/>
      <c r="O537" s="340"/>
      <c r="P537" s="339"/>
      <c r="Q537" s="341"/>
      <c r="R537" s="339"/>
      <c r="S537" s="340"/>
      <c r="T537" s="339"/>
      <c r="U537" s="339"/>
      <c r="V537" s="339"/>
      <c r="W537" s="339"/>
      <c r="X537" s="339"/>
      <c r="Y537" s="339"/>
      <c r="Z537" s="339"/>
    </row>
    <row r="538" spans="1:26" ht="15.75" customHeight="1">
      <c r="A538" s="339"/>
      <c r="B538" s="339"/>
      <c r="C538" s="339"/>
      <c r="D538" s="339"/>
      <c r="E538" s="339"/>
      <c r="F538" s="339"/>
      <c r="G538" s="339"/>
      <c r="H538" s="339"/>
      <c r="I538" s="341"/>
      <c r="J538" s="341"/>
      <c r="K538" s="340"/>
      <c r="L538" s="339"/>
      <c r="M538" s="341"/>
      <c r="N538" s="341"/>
      <c r="O538" s="340"/>
      <c r="P538" s="339"/>
      <c r="Q538" s="341"/>
      <c r="R538" s="339"/>
      <c r="S538" s="340"/>
      <c r="T538" s="339"/>
      <c r="U538" s="339"/>
      <c r="V538" s="339"/>
      <c r="W538" s="339"/>
      <c r="X538" s="339"/>
      <c r="Y538" s="339"/>
      <c r="Z538" s="339"/>
    </row>
    <row r="539" spans="1:26" ht="15.75" customHeight="1">
      <c r="A539" s="339"/>
      <c r="B539" s="339"/>
      <c r="C539" s="339"/>
      <c r="D539" s="339"/>
      <c r="E539" s="339"/>
      <c r="F539" s="339"/>
      <c r="G539" s="339"/>
      <c r="H539" s="339"/>
      <c r="I539" s="341"/>
      <c r="J539" s="341"/>
      <c r="K539" s="340"/>
      <c r="L539" s="339"/>
      <c r="M539" s="341"/>
      <c r="N539" s="341"/>
      <c r="O539" s="340"/>
      <c r="P539" s="339"/>
      <c r="Q539" s="341"/>
      <c r="R539" s="339"/>
      <c r="S539" s="340"/>
      <c r="T539" s="339"/>
      <c r="U539" s="339"/>
      <c r="V539" s="339"/>
      <c r="W539" s="339"/>
      <c r="X539" s="339"/>
      <c r="Y539" s="339"/>
      <c r="Z539" s="339"/>
    </row>
    <row r="540" spans="1:26" ht="15.75" customHeight="1">
      <c r="A540" s="339"/>
      <c r="B540" s="339"/>
      <c r="C540" s="339"/>
      <c r="D540" s="339"/>
      <c r="E540" s="339"/>
      <c r="F540" s="339"/>
      <c r="G540" s="339"/>
      <c r="H540" s="339"/>
      <c r="I540" s="341"/>
      <c r="J540" s="341"/>
      <c r="K540" s="340"/>
      <c r="L540" s="339"/>
      <c r="M540" s="341"/>
      <c r="N540" s="341"/>
      <c r="O540" s="340"/>
      <c r="P540" s="339"/>
      <c r="Q540" s="341"/>
      <c r="R540" s="339"/>
      <c r="S540" s="340"/>
      <c r="T540" s="339"/>
      <c r="U540" s="339"/>
      <c r="V540" s="339"/>
      <c r="W540" s="339"/>
      <c r="X540" s="339"/>
      <c r="Y540" s="339"/>
      <c r="Z540" s="339"/>
    </row>
    <row r="541" spans="1:26" ht="15.75" customHeight="1">
      <c r="A541" s="339"/>
      <c r="B541" s="339"/>
      <c r="C541" s="339"/>
      <c r="D541" s="339"/>
      <c r="E541" s="339"/>
      <c r="F541" s="339"/>
      <c r="G541" s="339"/>
      <c r="H541" s="339"/>
      <c r="I541" s="341"/>
      <c r="J541" s="341"/>
      <c r="K541" s="340"/>
      <c r="L541" s="339"/>
      <c r="M541" s="341"/>
      <c r="N541" s="341"/>
      <c r="O541" s="340"/>
      <c r="P541" s="339"/>
      <c r="Q541" s="341"/>
      <c r="R541" s="339"/>
      <c r="S541" s="340"/>
      <c r="T541" s="339"/>
      <c r="U541" s="339"/>
      <c r="V541" s="339"/>
      <c r="W541" s="339"/>
      <c r="X541" s="339"/>
      <c r="Y541" s="339"/>
      <c r="Z541" s="339"/>
    </row>
    <row r="542" spans="1:26" ht="15.75" customHeight="1">
      <c r="A542" s="339"/>
      <c r="B542" s="339"/>
      <c r="C542" s="339"/>
      <c r="D542" s="339"/>
      <c r="E542" s="339"/>
      <c r="F542" s="339"/>
      <c r="G542" s="339"/>
      <c r="H542" s="339"/>
      <c r="I542" s="341"/>
      <c r="J542" s="341"/>
      <c r="K542" s="340"/>
      <c r="L542" s="339"/>
      <c r="M542" s="341"/>
      <c r="N542" s="341"/>
      <c r="O542" s="340"/>
      <c r="P542" s="339"/>
      <c r="Q542" s="341"/>
      <c r="R542" s="339"/>
      <c r="S542" s="340"/>
      <c r="T542" s="339"/>
      <c r="U542" s="339"/>
      <c r="V542" s="339"/>
      <c r="W542" s="339"/>
      <c r="X542" s="339"/>
      <c r="Y542" s="339"/>
      <c r="Z542" s="339"/>
    </row>
    <row r="543" spans="1:26" ht="15.75" customHeight="1">
      <c r="A543" s="339"/>
      <c r="B543" s="339"/>
      <c r="C543" s="339"/>
      <c r="D543" s="339"/>
      <c r="E543" s="339"/>
      <c r="F543" s="339"/>
      <c r="G543" s="339"/>
      <c r="H543" s="339"/>
      <c r="I543" s="341"/>
      <c r="J543" s="341"/>
      <c r="K543" s="340"/>
      <c r="L543" s="339"/>
      <c r="M543" s="341"/>
      <c r="N543" s="341"/>
      <c r="O543" s="340"/>
      <c r="P543" s="339"/>
      <c r="Q543" s="341"/>
      <c r="R543" s="339"/>
      <c r="S543" s="340"/>
      <c r="T543" s="339"/>
      <c r="U543" s="339"/>
      <c r="V543" s="339"/>
      <c r="W543" s="339"/>
      <c r="X543" s="339"/>
      <c r="Y543" s="339"/>
      <c r="Z543" s="339"/>
    </row>
    <row r="544" spans="1:26" ht="15.75" customHeight="1">
      <c r="A544" s="339"/>
      <c r="B544" s="339"/>
      <c r="C544" s="339"/>
      <c r="D544" s="339"/>
      <c r="E544" s="339"/>
      <c r="F544" s="339"/>
      <c r="G544" s="339"/>
      <c r="H544" s="339"/>
      <c r="I544" s="341"/>
      <c r="J544" s="341"/>
      <c r="K544" s="340"/>
      <c r="L544" s="339"/>
      <c r="M544" s="341"/>
      <c r="N544" s="341"/>
      <c r="O544" s="340"/>
      <c r="P544" s="339"/>
      <c r="Q544" s="341"/>
      <c r="R544" s="339"/>
      <c r="S544" s="340"/>
      <c r="T544" s="339"/>
      <c r="U544" s="339"/>
      <c r="V544" s="339"/>
      <c r="W544" s="339"/>
      <c r="X544" s="339"/>
      <c r="Y544" s="339"/>
      <c r="Z544" s="339"/>
    </row>
    <row r="545" spans="1:26" ht="15.75" customHeight="1">
      <c r="A545" s="339"/>
      <c r="B545" s="339"/>
      <c r="C545" s="339"/>
      <c r="D545" s="339"/>
      <c r="E545" s="339"/>
      <c r="F545" s="339"/>
      <c r="G545" s="339"/>
      <c r="H545" s="339"/>
      <c r="I545" s="341"/>
      <c r="J545" s="341"/>
      <c r="K545" s="340"/>
      <c r="L545" s="339"/>
      <c r="M545" s="341"/>
      <c r="N545" s="341"/>
      <c r="O545" s="340"/>
      <c r="P545" s="339"/>
      <c r="Q545" s="341"/>
      <c r="R545" s="339"/>
      <c r="S545" s="340"/>
      <c r="T545" s="339"/>
      <c r="U545" s="339"/>
      <c r="V545" s="339"/>
      <c r="W545" s="339"/>
      <c r="X545" s="339"/>
      <c r="Y545" s="339"/>
      <c r="Z545" s="339"/>
    </row>
    <row r="546" spans="1:26" ht="15.75" customHeight="1">
      <c r="A546" s="339"/>
      <c r="B546" s="339"/>
      <c r="C546" s="339"/>
      <c r="D546" s="339"/>
      <c r="E546" s="339"/>
      <c r="F546" s="339"/>
      <c r="G546" s="339"/>
      <c r="H546" s="339"/>
      <c r="I546" s="341"/>
      <c r="J546" s="341"/>
      <c r="K546" s="340"/>
      <c r="L546" s="339"/>
      <c r="M546" s="341"/>
      <c r="N546" s="341"/>
      <c r="O546" s="340"/>
      <c r="P546" s="339"/>
      <c r="Q546" s="341"/>
      <c r="R546" s="339"/>
      <c r="S546" s="340"/>
      <c r="T546" s="339"/>
      <c r="U546" s="339"/>
      <c r="V546" s="339"/>
      <c r="W546" s="339"/>
      <c r="X546" s="339"/>
      <c r="Y546" s="339"/>
      <c r="Z546" s="339"/>
    </row>
    <row r="547" spans="1:26" ht="15.75" customHeight="1">
      <c r="A547" s="339"/>
      <c r="B547" s="339"/>
      <c r="C547" s="339"/>
      <c r="D547" s="339"/>
      <c r="E547" s="339"/>
      <c r="F547" s="339"/>
      <c r="G547" s="339"/>
      <c r="H547" s="339"/>
      <c r="I547" s="341"/>
      <c r="J547" s="341"/>
      <c r="K547" s="340"/>
      <c r="L547" s="339"/>
      <c r="M547" s="341"/>
      <c r="N547" s="341"/>
      <c r="O547" s="340"/>
      <c r="P547" s="339"/>
      <c r="Q547" s="341"/>
      <c r="R547" s="339"/>
      <c r="S547" s="340"/>
      <c r="T547" s="339"/>
      <c r="U547" s="339"/>
      <c r="V547" s="339"/>
      <c r="W547" s="339"/>
      <c r="X547" s="339"/>
      <c r="Y547" s="339"/>
      <c r="Z547" s="339"/>
    </row>
    <row r="548" spans="1:26" ht="15.75" customHeight="1">
      <c r="A548" s="339"/>
      <c r="B548" s="339"/>
      <c r="C548" s="339"/>
      <c r="D548" s="339"/>
      <c r="E548" s="339"/>
      <c r="F548" s="339"/>
      <c r="G548" s="339"/>
      <c r="H548" s="339"/>
      <c r="I548" s="341"/>
      <c r="J548" s="341"/>
      <c r="K548" s="340"/>
      <c r="L548" s="339"/>
      <c r="M548" s="341"/>
      <c r="N548" s="341"/>
      <c r="O548" s="340"/>
      <c r="P548" s="339"/>
      <c r="Q548" s="341"/>
      <c r="R548" s="339"/>
      <c r="S548" s="340"/>
      <c r="T548" s="339"/>
      <c r="U548" s="339"/>
      <c r="V548" s="339"/>
      <c r="W548" s="339"/>
      <c r="X548" s="339"/>
      <c r="Y548" s="339"/>
      <c r="Z548" s="339"/>
    </row>
    <row r="549" spans="1:26" ht="15.75" customHeight="1">
      <c r="A549" s="339"/>
      <c r="B549" s="339"/>
      <c r="C549" s="339"/>
      <c r="D549" s="339"/>
      <c r="E549" s="339"/>
      <c r="F549" s="339"/>
      <c r="G549" s="339"/>
      <c r="H549" s="339"/>
      <c r="I549" s="341"/>
      <c r="J549" s="341"/>
      <c r="K549" s="340"/>
      <c r="L549" s="339"/>
      <c r="M549" s="341"/>
      <c r="N549" s="341"/>
      <c r="O549" s="340"/>
      <c r="P549" s="339"/>
      <c r="Q549" s="341"/>
      <c r="R549" s="339"/>
      <c r="S549" s="340"/>
      <c r="T549" s="339"/>
      <c r="U549" s="339"/>
      <c r="V549" s="339"/>
      <c r="W549" s="339"/>
      <c r="X549" s="339"/>
      <c r="Y549" s="339"/>
      <c r="Z549" s="339"/>
    </row>
    <row r="550" spans="1:26" ht="15.75" customHeight="1">
      <c r="A550" s="339"/>
      <c r="B550" s="339"/>
      <c r="C550" s="339"/>
      <c r="D550" s="339"/>
      <c r="E550" s="339"/>
      <c r="F550" s="339"/>
      <c r="G550" s="339"/>
      <c r="H550" s="339"/>
      <c r="I550" s="341"/>
      <c r="J550" s="341"/>
      <c r="K550" s="340"/>
      <c r="L550" s="339"/>
      <c r="M550" s="341"/>
      <c r="N550" s="341"/>
      <c r="O550" s="340"/>
      <c r="P550" s="339"/>
      <c r="Q550" s="341"/>
      <c r="R550" s="339"/>
      <c r="S550" s="340"/>
      <c r="T550" s="339"/>
      <c r="U550" s="339"/>
      <c r="V550" s="339"/>
      <c r="W550" s="339"/>
      <c r="X550" s="339"/>
      <c r="Y550" s="339"/>
      <c r="Z550" s="339"/>
    </row>
    <row r="551" spans="1:26" ht="15.75" customHeight="1">
      <c r="A551" s="339"/>
      <c r="B551" s="339"/>
      <c r="C551" s="339"/>
      <c r="D551" s="339"/>
      <c r="E551" s="339"/>
      <c r="F551" s="339"/>
      <c r="G551" s="339"/>
      <c r="H551" s="339"/>
      <c r="I551" s="341"/>
      <c r="J551" s="341"/>
      <c r="K551" s="340"/>
      <c r="L551" s="339"/>
      <c r="M551" s="341"/>
      <c r="N551" s="341"/>
      <c r="O551" s="340"/>
      <c r="P551" s="339"/>
      <c r="Q551" s="341"/>
      <c r="R551" s="339"/>
      <c r="S551" s="340"/>
      <c r="T551" s="339"/>
      <c r="U551" s="339"/>
      <c r="V551" s="339"/>
      <c r="W551" s="339"/>
      <c r="X551" s="339"/>
      <c r="Y551" s="339"/>
      <c r="Z551" s="339"/>
    </row>
    <row r="552" spans="1:26" ht="15.75" customHeight="1">
      <c r="A552" s="339"/>
      <c r="B552" s="339"/>
      <c r="C552" s="339"/>
      <c r="D552" s="339"/>
      <c r="E552" s="339"/>
      <c r="F552" s="339"/>
      <c r="G552" s="339"/>
      <c r="H552" s="339"/>
      <c r="I552" s="341"/>
      <c r="J552" s="341"/>
      <c r="K552" s="340"/>
      <c r="L552" s="339"/>
      <c r="M552" s="341"/>
      <c r="N552" s="341"/>
      <c r="O552" s="340"/>
      <c r="P552" s="339"/>
      <c r="Q552" s="341"/>
      <c r="R552" s="339"/>
      <c r="S552" s="340"/>
      <c r="T552" s="339"/>
      <c r="U552" s="339"/>
      <c r="V552" s="339"/>
      <c r="W552" s="339"/>
      <c r="X552" s="339"/>
      <c r="Y552" s="339"/>
      <c r="Z552" s="339"/>
    </row>
    <row r="553" spans="1:26" ht="15.75" customHeight="1">
      <c r="A553" s="339"/>
      <c r="B553" s="339"/>
      <c r="C553" s="339"/>
      <c r="D553" s="339"/>
      <c r="E553" s="339"/>
      <c r="F553" s="339"/>
      <c r="G553" s="339"/>
      <c r="H553" s="339"/>
      <c r="I553" s="341"/>
      <c r="J553" s="341"/>
      <c r="K553" s="340"/>
      <c r="L553" s="339"/>
      <c r="M553" s="341"/>
      <c r="N553" s="341"/>
      <c r="O553" s="340"/>
      <c r="P553" s="339"/>
      <c r="Q553" s="341"/>
      <c r="R553" s="339"/>
      <c r="S553" s="340"/>
      <c r="T553" s="339"/>
      <c r="U553" s="339"/>
      <c r="V553" s="339"/>
      <c r="W553" s="339"/>
      <c r="X553" s="339"/>
      <c r="Y553" s="339"/>
      <c r="Z553" s="339"/>
    </row>
    <row r="554" spans="1:26" ht="15.75" customHeight="1">
      <c r="A554" s="339"/>
      <c r="B554" s="339"/>
      <c r="C554" s="339"/>
      <c r="D554" s="339"/>
      <c r="E554" s="339"/>
      <c r="F554" s="339"/>
      <c r="G554" s="339"/>
      <c r="H554" s="339"/>
      <c r="I554" s="341"/>
      <c r="J554" s="341"/>
      <c r="K554" s="340"/>
      <c r="L554" s="339"/>
      <c r="M554" s="341"/>
      <c r="N554" s="341"/>
      <c r="O554" s="340"/>
      <c r="P554" s="339"/>
      <c r="Q554" s="341"/>
      <c r="R554" s="339"/>
      <c r="S554" s="340"/>
      <c r="T554" s="339"/>
      <c r="U554" s="339"/>
      <c r="V554" s="339"/>
      <c r="W554" s="339"/>
      <c r="X554" s="339"/>
      <c r="Y554" s="339"/>
      <c r="Z554" s="339"/>
    </row>
    <row r="555" spans="1:26" ht="15.75" customHeight="1">
      <c r="A555" s="339"/>
      <c r="B555" s="339"/>
      <c r="C555" s="339"/>
      <c r="D555" s="339"/>
      <c r="E555" s="339"/>
      <c r="F555" s="339"/>
      <c r="G555" s="339"/>
      <c r="H555" s="339"/>
      <c r="I555" s="341"/>
      <c r="J555" s="341"/>
      <c r="K555" s="340"/>
      <c r="L555" s="339"/>
      <c r="M555" s="341"/>
      <c r="N555" s="341"/>
      <c r="O555" s="340"/>
      <c r="P555" s="339"/>
      <c r="Q555" s="341"/>
      <c r="R555" s="339"/>
      <c r="S555" s="340"/>
      <c r="T555" s="339"/>
      <c r="U555" s="339"/>
      <c r="V555" s="339"/>
      <c r="W555" s="339"/>
      <c r="X555" s="339"/>
      <c r="Y555" s="339"/>
      <c r="Z555" s="339"/>
    </row>
    <row r="556" spans="1:26" ht="15.75" customHeight="1">
      <c r="A556" s="339"/>
      <c r="B556" s="339"/>
      <c r="C556" s="339"/>
      <c r="D556" s="339"/>
      <c r="E556" s="339"/>
      <c r="F556" s="339"/>
      <c r="G556" s="339"/>
      <c r="H556" s="339"/>
      <c r="I556" s="341"/>
      <c r="J556" s="341"/>
      <c r="K556" s="340"/>
      <c r="L556" s="339"/>
      <c r="M556" s="341"/>
      <c r="N556" s="341"/>
      <c r="O556" s="340"/>
      <c r="P556" s="339"/>
      <c r="Q556" s="341"/>
      <c r="R556" s="339"/>
      <c r="S556" s="340"/>
      <c r="T556" s="339"/>
      <c r="U556" s="339"/>
      <c r="V556" s="339"/>
      <c r="W556" s="339"/>
      <c r="X556" s="339"/>
      <c r="Y556" s="339"/>
      <c r="Z556" s="339"/>
    </row>
    <row r="557" spans="1:26" ht="15.75" customHeight="1">
      <c r="A557" s="339"/>
      <c r="B557" s="339"/>
      <c r="C557" s="339"/>
      <c r="D557" s="339"/>
      <c r="E557" s="339"/>
      <c r="F557" s="339"/>
      <c r="G557" s="339"/>
      <c r="H557" s="339"/>
      <c r="I557" s="341"/>
      <c r="J557" s="341"/>
      <c r="K557" s="340"/>
      <c r="L557" s="339"/>
      <c r="M557" s="341"/>
      <c r="N557" s="341"/>
      <c r="O557" s="340"/>
      <c r="P557" s="339"/>
      <c r="Q557" s="341"/>
      <c r="R557" s="339"/>
      <c r="S557" s="340"/>
      <c r="T557" s="339"/>
      <c r="U557" s="339"/>
      <c r="V557" s="339"/>
      <c r="W557" s="339"/>
      <c r="X557" s="339"/>
      <c r="Y557" s="339"/>
      <c r="Z557" s="339"/>
    </row>
    <row r="558" spans="1:26" ht="15.75" customHeight="1">
      <c r="A558" s="339"/>
      <c r="B558" s="339"/>
      <c r="C558" s="339"/>
      <c r="D558" s="339"/>
      <c r="E558" s="339"/>
      <c r="F558" s="339"/>
      <c r="G558" s="339"/>
      <c r="H558" s="339"/>
      <c r="I558" s="341"/>
      <c r="J558" s="341"/>
      <c r="K558" s="340"/>
      <c r="L558" s="339"/>
      <c r="M558" s="341"/>
      <c r="N558" s="341"/>
      <c r="O558" s="340"/>
      <c r="P558" s="339"/>
      <c r="Q558" s="341"/>
      <c r="R558" s="339"/>
      <c r="S558" s="340"/>
      <c r="T558" s="339"/>
      <c r="U558" s="339"/>
      <c r="V558" s="339"/>
      <c r="W558" s="339"/>
      <c r="X558" s="339"/>
      <c r="Y558" s="339"/>
      <c r="Z558" s="339"/>
    </row>
    <row r="559" spans="1:26" ht="15.75" customHeight="1">
      <c r="A559" s="339"/>
      <c r="B559" s="339"/>
      <c r="C559" s="339"/>
      <c r="D559" s="339"/>
      <c r="E559" s="339"/>
      <c r="F559" s="339"/>
      <c r="G559" s="339"/>
      <c r="H559" s="339"/>
      <c r="I559" s="341"/>
      <c r="J559" s="341"/>
      <c r="K559" s="340"/>
      <c r="L559" s="339"/>
      <c r="M559" s="341"/>
      <c r="N559" s="341"/>
      <c r="O559" s="340"/>
      <c r="P559" s="339"/>
      <c r="Q559" s="341"/>
      <c r="R559" s="339"/>
      <c r="S559" s="340"/>
      <c r="T559" s="339"/>
      <c r="U559" s="339"/>
      <c r="V559" s="339"/>
      <c r="W559" s="339"/>
      <c r="X559" s="339"/>
      <c r="Y559" s="339"/>
      <c r="Z559" s="339"/>
    </row>
    <row r="560" spans="1:26" ht="15.75" customHeight="1">
      <c r="A560" s="339"/>
      <c r="B560" s="339"/>
      <c r="C560" s="339"/>
      <c r="D560" s="339"/>
      <c r="E560" s="339"/>
      <c r="F560" s="339"/>
      <c r="G560" s="339"/>
      <c r="H560" s="339"/>
      <c r="I560" s="341"/>
      <c r="J560" s="341"/>
      <c r="K560" s="340"/>
      <c r="L560" s="339"/>
      <c r="M560" s="341"/>
      <c r="N560" s="341"/>
      <c r="O560" s="340"/>
      <c r="P560" s="339"/>
      <c r="Q560" s="341"/>
      <c r="R560" s="339"/>
      <c r="S560" s="340"/>
      <c r="T560" s="339"/>
      <c r="U560" s="339"/>
      <c r="V560" s="339"/>
      <c r="W560" s="339"/>
      <c r="X560" s="339"/>
      <c r="Y560" s="339"/>
      <c r="Z560" s="339"/>
    </row>
    <row r="561" spans="1:26" ht="15.75" customHeight="1">
      <c r="A561" s="339"/>
      <c r="B561" s="339"/>
      <c r="C561" s="339"/>
      <c r="D561" s="339"/>
      <c r="E561" s="339"/>
      <c r="F561" s="339"/>
      <c r="G561" s="339"/>
      <c r="H561" s="339"/>
      <c r="I561" s="341"/>
      <c r="J561" s="341"/>
      <c r="K561" s="340"/>
      <c r="L561" s="339"/>
      <c r="M561" s="341"/>
      <c r="N561" s="341"/>
      <c r="O561" s="340"/>
      <c r="P561" s="339"/>
      <c r="Q561" s="341"/>
      <c r="R561" s="339"/>
      <c r="S561" s="340"/>
      <c r="T561" s="339"/>
      <c r="U561" s="339"/>
      <c r="V561" s="339"/>
      <c r="W561" s="339"/>
      <c r="X561" s="339"/>
      <c r="Y561" s="339"/>
      <c r="Z561" s="339"/>
    </row>
    <row r="562" spans="1:26" ht="15.75" customHeight="1">
      <c r="A562" s="339"/>
      <c r="B562" s="339"/>
      <c r="C562" s="339"/>
      <c r="D562" s="339"/>
      <c r="E562" s="339"/>
      <c r="F562" s="339"/>
      <c r="G562" s="339"/>
      <c r="H562" s="339"/>
      <c r="I562" s="341"/>
      <c r="J562" s="341"/>
      <c r="K562" s="340"/>
      <c r="L562" s="339"/>
      <c r="M562" s="341"/>
      <c r="N562" s="341"/>
      <c r="O562" s="340"/>
      <c r="P562" s="339"/>
      <c r="Q562" s="341"/>
      <c r="R562" s="339"/>
      <c r="S562" s="340"/>
      <c r="T562" s="339"/>
      <c r="U562" s="339"/>
      <c r="V562" s="339"/>
      <c r="W562" s="339"/>
      <c r="X562" s="339"/>
      <c r="Y562" s="339"/>
      <c r="Z562" s="339"/>
    </row>
    <row r="563" spans="1:26" ht="15.75" customHeight="1">
      <c r="A563" s="339"/>
      <c r="B563" s="339"/>
      <c r="C563" s="339"/>
      <c r="D563" s="339"/>
      <c r="E563" s="339"/>
      <c r="F563" s="339"/>
      <c r="G563" s="339"/>
      <c r="H563" s="339"/>
      <c r="I563" s="341"/>
      <c r="J563" s="341"/>
      <c r="K563" s="340"/>
      <c r="L563" s="339"/>
      <c r="M563" s="341"/>
      <c r="N563" s="341"/>
      <c r="O563" s="340"/>
      <c r="P563" s="339"/>
      <c r="Q563" s="341"/>
      <c r="R563" s="339"/>
      <c r="S563" s="340"/>
      <c r="T563" s="339"/>
      <c r="U563" s="339"/>
      <c r="V563" s="339"/>
      <c r="W563" s="339"/>
      <c r="X563" s="339"/>
      <c r="Y563" s="339"/>
      <c r="Z563" s="339"/>
    </row>
    <row r="564" spans="1:26" ht="15.75" customHeight="1">
      <c r="A564" s="339"/>
      <c r="B564" s="339"/>
      <c r="C564" s="339"/>
      <c r="D564" s="339"/>
      <c r="E564" s="339"/>
      <c r="F564" s="339"/>
      <c r="G564" s="339"/>
      <c r="H564" s="339"/>
      <c r="I564" s="341"/>
      <c r="J564" s="341"/>
      <c r="K564" s="340"/>
      <c r="L564" s="339"/>
      <c r="M564" s="341"/>
      <c r="N564" s="341"/>
      <c r="O564" s="340"/>
      <c r="P564" s="339"/>
      <c r="Q564" s="341"/>
      <c r="R564" s="339"/>
      <c r="S564" s="340"/>
      <c r="T564" s="339"/>
      <c r="U564" s="339"/>
      <c r="V564" s="339"/>
      <c r="W564" s="339"/>
      <c r="X564" s="339"/>
      <c r="Y564" s="339"/>
      <c r="Z564" s="339"/>
    </row>
    <row r="565" spans="1:26" ht="15.75" customHeight="1">
      <c r="A565" s="339"/>
      <c r="B565" s="339"/>
      <c r="C565" s="339"/>
      <c r="D565" s="339"/>
      <c r="E565" s="339"/>
      <c r="F565" s="339"/>
      <c r="G565" s="339"/>
      <c r="H565" s="339"/>
      <c r="I565" s="341"/>
      <c r="J565" s="341"/>
      <c r="K565" s="340"/>
      <c r="L565" s="339"/>
      <c r="M565" s="341"/>
      <c r="N565" s="341"/>
      <c r="O565" s="340"/>
      <c r="P565" s="339"/>
      <c r="Q565" s="341"/>
      <c r="R565" s="339"/>
      <c r="S565" s="340"/>
      <c r="T565" s="339"/>
      <c r="U565" s="339"/>
      <c r="V565" s="339"/>
      <c r="W565" s="339"/>
      <c r="X565" s="339"/>
      <c r="Y565" s="339"/>
      <c r="Z565" s="339"/>
    </row>
    <row r="566" spans="1:26" ht="15.75" customHeight="1">
      <c r="A566" s="339"/>
      <c r="B566" s="339"/>
      <c r="C566" s="339"/>
      <c r="D566" s="339"/>
      <c r="E566" s="339"/>
      <c r="F566" s="339"/>
      <c r="G566" s="339"/>
      <c r="H566" s="339"/>
      <c r="I566" s="341"/>
      <c r="J566" s="341"/>
      <c r="K566" s="340"/>
      <c r="L566" s="339"/>
      <c r="M566" s="341"/>
      <c r="N566" s="341"/>
      <c r="O566" s="340"/>
      <c r="P566" s="339"/>
      <c r="Q566" s="341"/>
      <c r="R566" s="339"/>
      <c r="S566" s="340"/>
      <c r="T566" s="339"/>
      <c r="U566" s="339"/>
      <c r="V566" s="339"/>
      <c r="W566" s="339"/>
      <c r="X566" s="339"/>
      <c r="Y566" s="339"/>
      <c r="Z566" s="339"/>
    </row>
    <row r="567" spans="1:26" ht="15.75" customHeight="1">
      <c r="A567" s="339"/>
      <c r="B567" s="339"/>
      <c r="C567" s="339"/>
      <c r="D567" s="339"/>
      <c r="E567" s="339"/>
      <c r="F567" s="339"/>
      <c r="G567" s="339"/>
      <c r="H567" s="339"/>
      <c r="I567" s="341"/>
      <c r="J567" s="341"/>
      <c r="K567" s="340"/>
      <c r="L567" s="339"/>
      <c r="M567" s="341"/>
      <c r="N567" s="341"/>
      <c r="O567" s="340"/>
      <c r="P567" s="339"/>
      <c r="Q567" s="341"/>
      <c r="R567" s="339"/>
      <c r="S567" s="340"/>
      <c r="T567" s="339"/>
      <c r="U567" s="339"/>
      <c r="V567" s="339"/>
      <c r="W567" s="339"/>
      <c r="X567" s="339"/>
      <c r="Y567" s="339"/>
      <c r="Z567" s="339"/>
    </row>
    <row r="568" spans="1:26" ht="15.75" customHeight="1">
      <c r="A568" s="339"/>
      <c r="B568" s="339"/>
      <c r="C568" s="339"/>
      <c r="D568" s="339"/>
      <c r="E568" s="339"/>
      <c r="F568" s="339"/>
      <c r="G568" s="339"/>
      <c r="H568" s="339"/>
      <c r="I568" s="341"/>
      <c r="J568" s="341"/>
      <c r="K568" s="340"/>
      <c r="L568" s="339"/>
      <c r="M568" s="341"/>
      <c r="N568" s="341"/>
      <c r="O568" s="340"/>
      <c r="P568" s="339"/>
      <c r="Q568" s="341"/>
      <c r="R568" s="339"/>
      <c r="S568" s="340"/>
      <c r="T568" s="339"/>
      <c r="U568" s="339"/>
      <c r="V568" s="339"/>
      <c r="W568" s="339"/>
      <c r="X568" s="339"/>
      <c r="Y568" s="339"/>
      <c r="Z568" s="339"/>
    </row>
    <row r="569" spans="1:26" ht="15.75" customHeight="1">
      <c r="A569" s="339"/>
      <c r="B569" s="339"/>
      <c r="C569" s="339"/>
      <c r="D569" s="339"/>
      <c r="E569" s="339"/>
      <c r="F569" s="339"/>
      <c r="G569" s="339"/>
      <c r="H569" s="339"/>
      <c r="I569" s="341"/>
      <c r="J569" s="341"/>
      <c r="K569" s="340"/>
      <c r="L569" s="339"/>
      <c r="M569" s="341"/>
      <c r="N569" s="341"/>
      <c r="O569" s="340"/>
      <c r="P569" s="339"/>
      <c r="Q569" s="341"/>
      <c r="R569" s="339"/>
      <c r="S569" s="340"/>
      <c r="T569" s="339"/>
      <c r="U569" s="339"/>
      <c r="V569" s="339"/>
      <c r="W569" s="339"/>
      <c r="X569" s="339"/>
      <c r="Y569" s="339"/>
      <c r="Z569" s="339"/>
    </row>
    <row r="570" spans="1:26" ht="15.75" customHeight="1">
      <c r="A570" s="339"/>
      <c r="B570" s="339"/>
      <c r="C570" s="339"/>
      <c r="D570" s="339"/>
      <c r="E570" s="339"/>
      <c r="F570" s="339"/>
      <c r="G570" s="339"/>
      <c r="H570" s="339"/>
      <c r="I570" s="341"/>
      <c r="J570" s="341"/>
      <c r="K570" s="340"/>
      <c r="L570" s="339"/>
      <c r="M570" s="341"/>
      <c r="N570" s="341"/>
      <c r="O570" s="340"/>
      <c r="P570" s="339"/>
      <c r="Q570" s="341"/>
      <c r="R570" s="339"/>
      <c r="S570" s="340"/>
      <c r="T570" s="339"/>
      <c r="U570" s="339"/>
      <c r="V570" s="339"/>
      <c r="W570" s="339"/>
      <c r="X570" s="339"/>
      <c r="Y570" s="339"/>
      <c r="Z570" s="339"/>
    </row>
    <row r="571" spans="1:26" ht="15.75" customHeight="1">
      <c r="A571" s="339"/>
      <c r="B571" s="339"/>
      <c r="C571" s="339"/>
      <c r="D571" s="339"/>
      <c r="E571" s="339"/>
      <c r="F571" s="339"/>
      <c r="G571" s="339"/>
      <c r="H571" s="339"/>
      <c r="I571" s="341"/>
      <c r="J571" s="341"/>
      <c r="K571" s="340"/>
      <c r="L571" s="339"/>
      <c r="M571" s="341"/>
      <c r="N571" s="341"/>
      <c r="O571" s="340"/>
      <c r="P571" s="339"/>
      <c r="Q571" s="341"/>
      <c r="R571" s="339"/>
      <c r="S571" s="340"/>
      <c r="T571" s="339"/>
      <c r="U571" s="339"/>
      <c r="V571" s="339"/>
      <c r="W571" s="339"/>
      <c r="X571" s="339"/>
      <c r="Y571" s="339"/>
      <c r="Z571" s="339"/>
    </row>
    <row r="572" spans="1:26" ht="15.75" customHeight="1">
      <c r="A572" s="339"/>
      <c r="B572" s="339"/>
      <c r="C572" s="339"/>
      <c r="D572" s="339"/>
      <c r="E572" s="339"/>
      <c r="F572" s="339"/>
      <c r="G572" s="339"/>
      <c r="H572" s="339"/>
      <c r="I572" s="341"/>
      <c r="J572" s="341"/>
      <c r="K572" s="340"/>
      <c r="L572" s="339"/>
      <c r="M572" s="341"/>
      <c r="N572" s="341"/>
      <c r="O572" s="340"/>
      <c r="P572" s="339"/>
      <c r="Q572" s="341"/>
      <c r="R572" s="339"/>
      <c r="S572" s="340"/>
      <c r="T572" s="339"/>
      <c r="U572" s="339"/>
      <c r="V572" s="339"/>
      <c r="W572" s="339"/>
      <c r="X572" s="339"/>
      <c r="Y572" s="339"/>
      <c r="Z572" s="339"/>
    </row>
    <row r="573" spans="1:26" ht="15.75" customHeight="1">
      <c r="A573" s="339"/>
      <c r="B573" s="339"/>
      <c r="C573" s="339"/>
      <c r="D573" s="339"/>
      <c r="E573" s="339"/>
      <c r="F573" s="339"/>
      <c r="G573" s="339"/>
      <c r="H573" s="339"/>
      <c r="I573" s="341"/>
      <c r="J573" s="341"/>
      <c r="K573" s="340"/>
      <c r="L573" s="339"/>
      <c r="M573" s="341"/>
      <c r="N573" s="341"/>
      <c r="O573" s="340"/>
      <c r="P573" s="339"/>
      <c r="Q573" s="341"/>
      <c r="R573" s="339"/>
      <c r="S573" s="340"/>
      <c r="T573" s="339"/>
      <c r="U573" s="339"/>
      <c r="V573" s="339"/>
      <c r="W573" s="339"/>
      <c r="X573" s="339"/>
      <c r="Y573" s="339"/>
      <c r="Z573" s="339"/>
    </row>
    <row r="574" spans="1:26" ht="15.75" customHeight="1">
      <c r="A574" s="339"/>
      <c r="B574" s="339"/>
      <c r="C574" s="339"/>
      <c r="D574" s="339"/>
      <c r="E574" s="339"/>
      <c r="F574" s="339"/>
      <c r="G574" s="339"/>
      <c r="H574" s="339"/>
      <c r="I574" s="341"/>
      <c r="J574" s="341"/>
      <c r="K574" s="340"/>
      <c r="L574" s="339"/>
      <c r="M574" s="341"/>
      <c r="N574" s="341"/>
      <c r="O574" s="340"/>
      <c r="P574" s="339"/>
      <c r="Q574" s="341"/>
      <c r="R574" s="339"/>
      <c r="S574" s="340"/>
      <c r="T574" s="339"/>
      <c r="U574" s="339"/>
      <c r="V574" s="339"/>
      <c r="W574" s="339"/>
      <c r="X574" s="339"/>
      <c r="Y574" s="339"/>
      <c r="Z574" s="339"/>
    </row>
    <row r="575" spans="1:26" ht="15.75" customHeight="1">
      <c r="A575" s="339"/>
      <c r="B575" s="339"/>
      <c r="C575" s="339"/>
      <c r="D575" s="339"/>
      <c r="E575" s="339"/>
      <c r="F575" s="339"/>
      <c r="G575" s="339"/>
      <c r="H575" s="339"/>
      <c r="I575" s="341"/>
      <c r="J575" s="341"/>
      <c r="K575" s="340"/>
      <c r="L575" s="339"/>
      <c r="M575" s="341"/>
      <c r="N575" s="341"/>
      <c r="O575" s="340"/>
      <c r="P575" s="339"/>
      <c r="Q575" s="341"/>
      <c r="R575" s="339"/>
      <c r="S575" s="340"/>
      <c r="T575" s="339"/>
      <c r="U575" s="339"/>
      <c r="V575" s="339"/>
      <c r="W575" s="339"/>
      <c r="X575" s="339"/>
      <c r="Y575" s="339"/>
      <c r="Z575" s="339"/>
    </row>
    <row r="576" spans="1:26" ht="15.75" customHeight="1">
      <c r="A576" s="339"/>
      <c r="B576" s="339"/>
      <c r="C576" s="339"/>
      <c r="D576" s="339"/>
      <c r="E576" s="339"/>
      <c r="F576" s="339"/>
      <c r="G576" s="339"/>
      <c r="H576" s="339"/>
      <c r="I576" s="341"/>
      <c r="J576" s="341"/>
      <c r="K576" s="340"/>
      <c r="L576" s="339"/>
      <c r="M576" s="341"/>
      <c r="N576" s="341"/>
      <c r="O576" s="340"/>
      <c r="P576" s="339"/>
      <c r="Q576" s="341"/>
      <c r="R576" s="339"/>
      <c r="S576" s="340"/>
      <c r="T576" s="339"/>
      <c r="U576" s="339"/>
      <c r="V576" s="339"/>
      <c r="W576" s="339"/>
      <c r="X576" s="339"/>
      <c r="Y576" s="339"/>
      <c r="Z576" s="339"/>
    </row>
    <row r="577" spans="1:26" ht="15.75" customHeight="1">
      <c r="A577" s="339"/>
      <c r="B577" s="339"/>
      <c r="C577" s="339"/>
      <c r="D577" s="339"/>
      <c r="E577" s="339"/>
      <c r="F577" s="339"/>
      <c r="G577" s="339"/>
      <c r="H577" s="339"/>
      <c r="I577" s="341"/>
      <c r="J577" s="341"/>
      <c r="K577" s="340"/>
      <c r="L577" s="339"/>
      <c r="M577" s="341"/>
      <c r="N577" s="341"/>
      <c r="O577" s="340"/>
      <c r="P577" s="339"/>
      <c r="Q577" s="341"/>
      <c r="R577" s="339"/>
      <c r="S577" s="340"/>
      <c r="T577" s="339"/>
      <c r="U577" s="339"/>
      <c r="V577" s="339"/>
      <c r="W577" s="339"/>
      <c r="X577" s="339"/>
      <c r="Y577" s="339"/>
      <c r="Z577" s="339"/>
    </row>
    <row r="578" spans="1:26" ht="15.75" customHeight="1">
      <c r="A578" s="339"/>
      <c r="B578" s="339"/>
      <c r="C578" s="339"/>
      <c r="D578" s="339"/>
      <c r="E578" s="339"/>
      <c r="F578" s="339"/>
      <c r="G578" s="339"/>
      <c r="H578" s="339"/>
      <c r="I578" s="341"/>
      <c r="J578" s="341"/>
      <c r="K578" s="340"/>
      <c r="L578" s="339"/>
      <c r="M578" s="341"/>
      <c r="N578" s="341"/>
      <c r="O578" s="340"/>
      <c r="P578" s="339"/>
      <c r="Q578" s="341"/>
      <c r="R578" s="339"/>
      <c r="S578" s="340"/>
      <c r="T578" s="339"/>
      <c r="U578" s="339"/>
      <c r="V578" s="339"/>
      <c r="W578" s="339"/>
      <c r="X578" s="339"/>
      <c r="Y578" s="339"/>
      <c r="Z578" s="339"/>
    </row>
    <row r="579" spans="1:26" ht="15.75" customHeight="1">
      <c r="A579" s="339"/>
      <c r="B579" s="339"/>
      <c r="C579" s="339"/>
      <c r="D579" s="339"/>
      <c r="E579" s="339"/>
      <c r="F579" s="339"/>
      <c r="G579" s="339"/>
      <c r="H579" s="339"/>
      <c r="I579" s="341"/>
      <c r="J579" s="341"/>
      <c r="K579" s="340"/>
      <c r="L579" s="339"/>
      <c r="M579" s="341"/>
      <c r="N579" s="341"/>
      <c r="O579" s="340"/>
      <c r="P579" s="339"/>
      <c r="Q579" s="341"/>
      <c r="R579" s="339"/>
      <c r="S579" s="340"/>
      <c r="T579" s="339"/>
      <c r="U579" s="339"/>
      <c r="V579" s="339"/>
      <c r="W579" s="339"/>
      <c r="X579" s="339"/>
      <c r="Y579" s="339"/>
      <c r="Z579" s="339"/>
    </row>
    <row r="580" spans="1:26" ht="15.75" customHeight="1">
      <c r="A580" s="339"/>
      <c r="B580" s="339"/>
      <c r="C580" s="339"/>
      <c r="D580" s="339"/>
      <c r="E580" s="339"/>
      <c r="F580" s="339"/>
      <c r="G580" s="339"/>
      <c r="H580" s="339"/>
      <c r="I580" s="341"/>
      <c r="J580" s="341"/>
      <c r="K580" s="340"/>
      <c r="L580" s="339"/>
      <c r="M580" s="341"/>
      <c r="N580" s="341"/>
      <c r="O580" s="340"/>
      <c r="P580" s="339"/>
      <c r="Q580" s="341"/>
      <c r="R580" s="339"/>
      <c r="S580" s="340"/>
      <c r="T580" s="339"/>
      <c r="U580" s="339"/>
      <c r="V580" s="339"/>
      <c r="W580" s="339"/>
      <c r="X580" s="339"/>
      <c r="Y580" s="339"/>
      <c r="Z580" s="339"/>
    </row>
    <row r="581" spans="1:26" ht="15.75" customHeight="1">
      <c r="A581" s="339"/>
      <c r="B581" s="339"/>
      <c r="C581" s="339"/>
      <c r="D581" s="339"/>
      <c r="E581" s="339"/>
      <c r="F581" s="339"/>
      <c r="G581" s="339"/>
      <c r="H581" s="339"/>
      <c r="I581" s="341"/>
      <c r="J581" s="341"/>
      <c r="K581" s="340"/>
      <c r="L581" s="339"/>
      <c r="M581" s="341"/>
      <c r="N581" s="341"/>
      <c r="O581" s="340"/>
      <c r="P581" s="339"/>
      <c r="Q581" s="341"/>
      <c r="R581" s="339"/>
      <c r="S581" s="340"/>
      <c r="T581" s="339"/>
      <c r="U581" s="339"/>
      <c r="V581" s="339"/>
      <c r="W581" s="339"/>
      <c r="X581" s="339"/>
      <c r="Y581" s="339"/>
      <c r="Z581" s="339"/>
    </row>
    <row r="582" spans="1:26" ht="15.75" customHeight="1">
      <c r="A582" s="339"/>
      <c r="B582" s="339"/>
      <c r="C582" s="339"/>
      <c r="D582" s="339"/>
      <c r="E582" s="339"/>
      <c r="F582" s="339"/>
      <c r="G582" s="339"/>
      <c r="H582" s="339"/>
      <c r="I582" s="341"/>
      <c r="J582" s="341"/>
      <c r="K582" s="340"/>
      <c r="L582" s="339"/>
      <c r="M582" s="341"/>
      <c r="N582" s="341"/>
      <c r="O582" s="340"/>
      <c r="P582" s="339"/>
      <c r="Q582" s="341"/>
      <c r="R582" s="339"/>
      <c r="S582" s="340"/>
      <c r="T582" s="339"/>
      <c r="U582" s="339"/>
      <c r="V582" s="339"/>
      <c r="W582" s="339"/>
      <c r="X582" s="339"/>
      <c r="Y582" s="339"/>
      <c r="Z582" s="339"/>
    </row>
    <row r="583" spans="1:26" ht="15.75" customHeight="1">
      <c r="A583" s="339"/>
      <c r="B583" s="339"/>
      <c r="C583" s="339"/>
      <c r="D583" s="339"/>
      <c r="E583" s="339"/>
      <c r="F583" s="339"/>
      <c r="G583" s="339"/>
      <c r="H583" s="339"/>
      <c r="I583" s="341"/>
      <c r="J583" s="341"/>
      <c r="K583" s="340"/>
      <c r="L583" s="339"/>
      <c r="M583" s="341"/>
      <c r="N583" s="341"/>
      <c r="O583" s="340"/>
      <c r="P583" s="339"/>
      <c r="Q583" s="341"/>
      <c r="R583" s="339"/>
      <c r="S583" s="340"/>
      <c r="T583" s="339"/>
      <c r="U583" s="339"/>
      <c r="V583" s="339"/>
      <c r="W583" s="339"/>
      <c r="X583" s="339"/>
      <c r="Y583" s="339"/>
      <c r="Z583" s="339"/>
    </row>
    <row r="584" spans="1:26" ht="15.75" customHeight="1">
      <c r="A584" s="339"/>
      <c r="B584" s="339"/>
      <c r="C584" s="339"/>
      <c r="D584" s="339"/>
      <c r="E584" s="339"/>
      <c r="F584" s="339"/>
      <c r="G584" s="339"/>
      <c r="H584" s="339"/>
      <c r="I584" s="341"/>
      <c r="J584" s="341"/>
      <c r="K584" s="340"/>
      <c r="L584" s="339"/>
      <c r="M584" s="341"/>
      <c r="N584" s="341"/>
      <c r="O584" s="340"/>
      <c r="P584" s="339"/>
      <c r="Q584" s="341"/>
      <c r="R584" s="339"/>
      <c r="S584" s="340"/>
      <c r="T584" s="339"/>
      <c r="U584" s="339"/>
      <c r="V584" s="339"/>
      <c r="W584" s="339"/>
      <c r="X584" s="339"/>
      <c r="Y584" s="339"/>
      <c r="Z584" s="339"/>
    </row>
    <row r="585" spans="1:26" ht="15.75" customHeight="1">
      <c r="A585" s="339"/>
      <c r="B585" s="339"/>
      <c r="C585" s="339"/>
      <c r="D585" s="339"/>
      <c r="E585" s="339"/>
      <c r="F585" s="339"/>
      <c r="G585" s="339"/>
      <c r="H585" s="339"/>
      <c r="I585" s="341"/>
      <c r="J585" s="341"/>
      <c r="K585" s="340"/>
      <c r="L585" s="339"/>
      <c r="M585" s="341"/>
      <c r="N585" s="341"/>
      <c r="O585" s="340"/>
      <c r="P585" s="339"/>
      <c r="Q585" s="341"/>
      <c r="R585" s="339"/>
      <c r="S585" s="340"/>
      <c r="T585" s="339"/>
      <c r="U585" s="339"/>
      <c r="V585" s="339"/>
      <c r="W585" s="339"/>
      <c r="X585" s="339"/>
      <c r="Y585" s="339"/>
      <c r="Z585" s="339"/>
    </row>
    <row r="586" spans="1:26" ht="15.75" customHeight="1">
      <c r="A586" s="339"/>
      <c r="B586" s="339"/>
      <c r="C586" s="339"/>
      <c r="D586" s="339"/>
      <c r="E586" s="339"/>
      <c r="F586" s="339"/>
      <c r="G586" s="339"/>
      <c r="H586" s="339"/>
      <c r="I586" s="341"/>
      <c r="J586" s="341"/>
      <c r="K586" s="340"/>
      <c r="L586" s="339"/>
      <c r="M586" s="341"/>
      <c r="N586" s="341"/>
      <c r="O586" s="340"/>
      <c r="P586" s="339"/>
      <c r="Q586" s="341"/>
      <c r="R586" s="339"/>
      <c r="S586" s="340"/>
      <c r="T586" s="339"/>
      <c r="U586" s="339"/>
      <c r="V586" s="339"/>
      <c r="W586" s="339"/>
      <c r="X586" s="339"/>
      <c r="Y586" s="339"/>
      <c r="Z586" s="339"/>
    </row>
    <row r="587" spans="1:26" ht="15.75" customHeight="1">
      <c r="A587" s="339"/>
      <c r="B587" s="339"/>
      <c r="C587" s="339"/>
      <c r="D587" s="339"/>
      <c r="E587" s="339"/>
      <c r="F587" s="339"/>
      <c r="G587" s="339"/>
      <c r="H587" s="339"/>
      <c r="I587" s="341"/>
      <c r="J587" s="341"/>
      <c r="K587" s="340"/>
      <c r="L587" s="339"/>
      <c r="M587" s="341"/>
      <c r="N587" s="341"/>
      <c r="O587" s="340"/>
      <c r="P587" s="339"/>
      <c r="Q587" s="341"/>
      <c r="R587" s="339"/>
      <c r="S587" s="340"/>
      <c r="T587" s="339"/>
      <c r="U587" s="339"/>
      <c r="V587" s="339"/>
      <c r="W587" s="339"/>
      <c r="X587" s="339"/>
      <c r="Y587" s="339"/>
      <c r="Z587" s="339"/>
    </row>
    <row r="588" spans="1:26" ht="15.75" customHeight="1">
      <c r="A588" s="339"/>
      <c r="B588" s="339"/>
      <c r="C588" s="339"/>
      <c r="D588" s="339"/>
      <c r="E588" s="339"/>
      <c r="F588" s="339"/>
      <c r="G588" s="339"/>
      <c r="H588" s="339"/>
      <c r="I588" s="341"/>
      <c r="J588" s="341"/>
      <c r="K588" s="340"/>
      <c r="L588" s="339"/>
      <c r="M588" s="341"/>
      <c r="N588" s="341"/>
      <c r="O588" s="340"/>
      <c r="P588" s="339"/>
      <c r="Q588" s="341"/>
      <c r="R588" s="339"/>
      <c r="S588" s="340"/>
      <c r="T588" s="339"/>
      <c r="U588" s="339"/>
      <c r="V588" s="339"/>
      <c r="W588" s="339"/>
      <c r="X588" s="339"/>
      <c r="Y588" s="339"/>
      <c r="Z588" s="339"/>
    </row>
    <row r="589" spans="1:26" ht="15.75" customHeight="1">
      <c r="A589" s="339"/>
      <c r="B589" s="339"/>
      <c r="C589" s="339"/>
      <c r="D589" s="339"/>
      <c r="E589" s="339"/>
      <c r="F589" s="339"/>
      <c r="G589" s="339"/>
      <c r="H589" s="339"/>
      <c r="I589" s="341"/>
      <c r="J589" s="341"/>
      <c r="K589" s="340"/>
      <c r="L589" s="339"/>
      <c r="M589" s="341"/>
      <c r="N589" s="341"/>
      <c r="O589" s="340"/>
      <c r="P589" s="339"/>
      <c r="Q589" s="341"/>
      <c r="R589" s="339"/>
      <c r="S589" s="340"/>
      <c r="T589" s="339"/>
      <c r="U589" s="339"/>
      <c r="V589" s="339"/>
      <c r="W589" s="339"/>
      <c r="X589" s="339"/>
      <c r="Y589" s="339"/>
      <c r="Z589" s="339"/>
    </row>
    <row r="590" spans="1:26" ht="15.75" customHeight="1">
      <c r="A590" s="339"/>
      <c r="B590" s="339"/>
      <c r="C590" s="339"/>
      <c r="D590" s="339"/>
      <c r="E590" s="339"/>
      <c r="F590" s="339"/>
      <c r="G590" s="339"/>
      <c r="H590" s="339"/>
      <c r="I590" s="341"/>
      <c r="J590" s="341"/>
      <c r="K590" s="340"/>
      <c r="L590" s="339"/>
      <c r="M590" s="341"/>
      <c r="N590" s="341"/>
      <c r="O590" s="340"/>
      <c r="P590" s="339"/>
      <c r="Q590" s="341"/>
      <c r="R590" s="339"/>
      <c r="S590" s="340"/>
      <c r="T590" s="339"/>
      <c r="U590" s="339"/>
      <c r="V590" s="339"/>
      <c r="W590" s="339"/>
      <c r="X590" s="339"/>
      <c r="Y590" s="339"/>
      <c r="Z590" s="339"/>
    </row>
    <row r="591" spans="1:26" ht="15.75" customHeight="1">
      <c r="A591" s="339"/>
      <c r="B591" s="339"/>
      <c r="C591" s="339"/>
      <c r="D591" s="339"/>
      <c r="E591" s="339"/>
      <c r="F591" s="339"/>
      <c r="G591" s="339"/>
      <c r="H591" s="339"/>
      <c r="I591" s="341"/>
      <c r="J591" s="341"/>
      <c r="K591" s="340"/>
      <c r="L591" s="339"/>
      <c r="M591" s="341"/>
      <c r="N591" s="341"/>
      <c r="O591" s="340"/>
      <c r="P591" s="339"/>
      <c r="Q591" s="341"/>
      <c r="R591" s="339"/>
      <c r="S591" s="340"/>
      <c r="T591" s="339"/>
      <c r="U591" s="339"/>
      <c r="V591" s="339"/>
      <c r="W591" s="339"/>
      <c r="X591" s="339"/>
      <c r="Y591" s="339"/>
      <c r="Z591" s="339"/>
    </row>
    <row r="592" spans="1:26" ht="15.75" customHeight="1">
      <c r="A592" s="339"/>
      <c r="B592" s="339"/>
      <c r="C592" s="339"/>
      <c r="D592" s="339"/>
      <c r="E592" s="339"/>
      <c r="F592" s="339"/>
      <c r="G592" s="339"/>
      <c r="H592" s="339"/>
      <c r="I592" s="341"/>
      <c r="J592" s="341"/>
      <c r="K592" s="340"/>
      <c r="L592" s="339"/>
      <c r="M592" s="341"/>
      <c r="N592" s="341"/>
      <c r="O592" s="340"/>
      <c r="P592" s="339"/>
      <c r="Q592" s="341"/>
      <c r="R592" s="339"/>
      <c r="S592" s="340"/>
      <c r="T592" s="339"/>
      <c r="U592" s="339"/>
      <c r="V592" s="339"/>
      <c r="W592" s="339"/>
      <c r="X592" s="339"/>
      <c r="Y592" s="339"/>
      <c r="Z592" s="339"/>
    </row>
    <row r="593" spans="1:26" ht="15.75" customHeight="1">
      <c r="A593" s="339"/>
      <c r="B593" s="339"/>
      <c r="C593" s="339"/>
      <c r="D593" s="339"/>
      <c r="E593" s="339"/>
      <c r="F593" s="339"/>
      <c r="G593" s="339"/>
      <c r="H593" s="339"/>
      <c r="I593" s="341"/>
      <c r="J593" s="341"/>
      <c r="K593" s="340"/>
      <c r="L593" s="339"/>
      <c r="M593" s="341"/>
      <c r="N593" s="341"/>
      <c r="O593" s="340"/>
      <c r="P593" s="339"/>
      <c r="Q593" s="341"/>
      <c r="R593" s="339"/>
      <c r="S593" s="340"/>
      <c r="T593" s="339"/>
      <c r="U593" s="339"/>
      <c r="V593" s="339"/>
      <c r="W593" s="339"/>
      <c r="X593" s="339"/>
      <c r="Y593" s="339"/>
      <c r="Z593" s="339"/>
    </row>
    <row r="594" spans="1:26" ht="15.75" customHeight="1">
      <c r="A594" s="339"/>
      <c r="B594" s="339"/>
      <c r="C594" s="339"/>
      <c r="D594" s="339"/>
      <c r="E594" s="339"/>
      <c r="F594" s="339"/>
      <c r="G594" s="339"/>
      <c r="H594" s="339"/>
      <c r="I594" s="341"/>
      <c r="J594" s="341"/>
      <c r="K594" s="340"/>
      <c r="L594" s="339"/>
      <c r="M594" s="341"/>
      <c r="N594" s="341"/>
      <c r="O594" s="340"/>
      <c r="P594" s="339"/>
      <c r="Q594" s="341"/>
      <c r="R594" s="339"/>
      <c r="S594" s="340"/>
      <c r="T594" s="339"/>
      <c r="U594" s="339"/>
      <c r="V594" s="339"/>
      <c r="W594" s="339"/>
      <c r="X594" s="339"/>
      <c r="Y594" s="339"/>
      <c r="Z594" s="339"/>
    </row>
    <row r="595" spans="1:26" ht="15.75" customHeight="1">
      <c r="A595" s="339"/>
      <c r="B595" s="339"/>
      <c r="C595" s="339"/>
      <c r="D595" s="339"/>
      <c r="E595" s="339"/>
      <c r="F595" s="339"/>
      <c r="G595" s="339"/>
      <c r="H595" s="339"/>
      <c r="I595" s="341"/>
      <c r="J595" s="341"/>
      <c r="K595" s="340"/>
      <c r="L595" s="339"/>
      <c r="M595" s="341"/>
      <c r="N595" s="341"/>
      <c r="O595" s="340"/>
      <c r="P595" s="339"/>
      <c r="Q595" s="341"/>
      <c r="R595" s="339"/>
      <c r="S595" s="340"/>
      <c r="T595" s="339"/>
      <c r="U595" s="339"/>
      <c r="V595" s="339"/>
      <c r="W595" s="339"/>
      <c r="X595" s="339"/>
      <c r="Y595" s="339"/>
      <c r="Z595" s="339"/>
    </row>
    <row r="596" spans="1:26" ht="15.75" customHeight="1">
      <c r="A596" s="339"/>
      <c r="B596" s="339"/>
      <c r="C596" s="339"/>
      <c r="D596" s="339"/>
      <c r="E596" s="339"/>
      <c r="F596" s="339"/>
      <c r="G596" s="339"/>
      <c r="H596" s="339"/>
      <c r="I596" s="341"/>
      <c r="J596" s="341"/>
      <c r="K596" s="340"/>
      <c r="L596" s="339"/>
      <c r="M596" s="341"/>
      <c r="N596" s="341"/>
      <c r="O596" s="340"/>
      <c r="P596" s="339"/>
      <c r="Q596" s="341"/>
      <c r="R596" s="339"/>
      <c r="S596" s="340"/>
      <c r="T596" s="339"/>
      <c r="U596" s="339"/>
      <c r="V596" s="339"/>
      <c r="W596" s="339"/>
      <c r="X596" s="339"/>
      <c r="Y596" s="339"/>
      <c r="Z596" s="339"/>
    </row>
    <row r="597" spans="1:26" ht="15.75" customHeight="1">
      <c r="A597" s="339"/>
      <c r="B597" s="339"/>
      <c r="C597" s="339"/>
      <c r="D597" s="339"/>
      <c r="E597" s="339"/>
      <c r="F597" s="339"/>
      <c r="G597" s="339"/>
      <c r="H597" s="339"/>
      <c r="I597" s="341"/>
      <c r="J597" s="341"/>
      <c r="K597" s="340"/>
      <c r="L597" s="339"/>
      <c r="M597" s="341"/>
      <c r="N597" s="341"/>
      <c r="O597" s="340"/>
      <c r="P597" s="339"/>
      <c r="Q597" s="341"/>
      <c r="R597" s="339"/>
      <c r="S597" s="340"/>
      <c r="T597" s="339"/>
      <c r="U597" s="339"/>
      <c r="V597" s="339"/>
      <c r="W597" s="339"/>
      <c r="X597" s="339"/>
      <c r="Y597" s="339"/>
      <c r="Z597" s="339"/>
    </row>
    <row r="598" spans="1:26" ht="15.75" customHeight="1">
      <c r="A598" s="339"/>
      <c r="B598" s="339"/>
      <c r="C598" s="339"/>
      <c r="D598" s="339"/>
      <c r="E598" s="339"/>
      <c r="F598" s="339"/>
      <c r="G598" s="339"/>
      <c r="H598" s="339"/>
      <c r="I598" s="341"/>
      <c r="J598" s="341"/>
      <c r="K598" s="340"/>
      <c r="L598" s="339"/>
      <c r="M598" s="341"/>
      <c r="N598" s="341"/>
      <c r="O598" s="340"/>
      <c r="P598" s="339"/>
      <c r="Q598" s="341"/>
      <c r="R598" s="339"/>
      <c r="S598" s="340"/>
      <c r="T598" s="339"/>
      <c r="U598" s="339"/>
      <c r="V598" s="339"/>
      <c r="W598" s="339"/>
      <c r="X598" s="339"/>
      <c r="Y598" s="339"/>
      <c r="Z598" s="339"/>
    </row>
    <row r="599" spans="1:26" ht="15.75" customHeight="1">
      <c r="A599" s="339"/>
      <c r="B599" s="339"/>
      <c r="C599" s="339"/>
      <c r="D599" s="339"/>
      <c r="E599" s="339"/>
      <c r="F599" s="339"/>
      <c r="G599" s="339"/>
      <c r="H599" s="339"/>
      <c r="I599" s="341"/>
      <c r="J599" s="341"/>
      <c r="K599" s="340"/>
      <c r="L599" s="339"/>
      <c r="M599" s="341"/>
      <c r="N599" s="341"/>
      <c r="O599" s="340"/>
      <c r="P599" s="339"/>
      <c r="Q599" s="341"/>
      <c r="R599" s="339"/>
      <c r="S599" s="340"/>
      <c r="T599" s="339"/>
      <c r="U599" s="339"/>
      <c r="V599" s="339"/>
      <c r="W599" s="339"/>
      <c r="X599" s="339"/>
      <c r="Y599" s="339"/>
      <c r="Z599" s="339"/>
    </row>
    <row r="600" spans="1:26" ht="15.75" customHeight="1">
      <c r="A600" s="339"/>
      <c r="B600" s="339"/>
      <c r="C600" s="339"/>
      <c r="D600" s="339"/>
      <c r="E600" s="339"/>
      <c r="F600" s="339"/>
      <c r="G600" s="339"/>
      <c r="H600" s="339"/>
      <c r="I600" s="341"/>
      <c r="J600" s="341"/>
      <c r="K600" s="340"/>
      <c r="L600" s="339"/>
      <c r="M600" s="341"/>
      <c r="N600" s="341"/>
      <c r="O600" s="340"/>
      <c r="P600" s="339"/>
      <c r="Q600" s="341"/>
      <c r="R600" s="339"/>
      <c r="S600" s="340"/>
      <c r="T600" s="339"/>
      <c r="U600" s="339"/>
      <c r="V600" s="339"/>
      <c r="W600" s="339"/>
      <c r="X600" s="339"/>
      <c r="Y600" s="339"/>
      <c r="Z600" s="339"/>
    </row>
    <row r="601" spans="1:26" ht="15.75" customHeight="1">
      <c r="A601" s="339"/>
      <c r="B601" s="339"/>
      <c r="C601" s="339"/>
      <c r="D601" s="339"/>
      <c r="E601" s="339"/>
      <c r="F601" s="339"/>
      <c r="G601" s="339"/>
      <c r="H601" s="339"/>
      <c r="I601" s="341"/>
      <c r="J601" s="341"/>
      <c r="K601" s="340"/>
      <c r="L601" s="339"/>
      <c r="M601" s="341"/>
      <c r="N601" s="341"/>
      <c r="O601" s="340"/>
      <c r="P601" s="339"/>
      <c r="Q601" s="341"/>
      <c r="R601" s="339"/>
      <c r="S601" s="340"/>
      <c r="T601" s="339"/>
      <c r="U601" s="339"/>
      <c r="V601" s="339"/>
      <c r="W601" s="339"/>
      <c r="X601" s="339"/>
      <c r="Y601" s="339"/>
      <c r="Z601" s="339"/>
    </row>
    <row r="602" spans="1:26" ht="15.75" customHeight="1">
      <c r="A602" s="339"/>
      <c r="B602" s="339"/>
      <c r="C602" s="339"/>
      <c r="D602" s="339"/>
      <c r="E602" s="339"/>
      <c r="F602" s="339"/>
      <c r="G602" s="339"/>
      <c r="H602" s="339"/>
      <c r="I602" s="341"/>
      <c r="J602" s="341"/>
      <c r="K602" s="340"/>
      <c r="L602" s="339"/>
      <c r="M602" s="341"/>
      <c r="N602" s="341"/>
      <c r="O602" s="340"/>
      <c r="P602" s="339"/>
      <c r="Q602" s="341"/>
      <c r="R602" s="339"/>
      <c r="S602" s="340"/>
      <c r="T602" s="339"/>
      <c r="U602" s="339"/>
      <c r="V602" s="339"/>
      <c r="W602" s="339"/>
      <c r="X602" s="339"/>
      <c r="Y602" s="339"/>
      <c r="Z602" s="339"/>
    </row>
    <row r="603" spans="1:26" ht="15.75" customHeight="1">
      <c r="A603" s="339"/>
      <c r="B603" s="339"/>
      <c r="C603" s="339"/>
      <c r="D603" s="339"/>
      <c r="E603" s="339"/>
      <c r="F603" s="339"/>
      <c r="G603" s="339"/>
      <c r="H603" s="339"/>
      <c r="I603" s="341"/>
      <c r="J603" s="341"/>
      <c r="K603" s="340"/>
      <c r="L603" s="339"/>
      <c r="M603" s="341"/>
      <c r="N603" s="341"/>
      <c r="O603" s="340"/>
      <c r="P603" s="339"/>
      <c r="Q603" s="341"/>
      <c r="R603" s="339"/>
      <c r="S603" s="340"/>
      <c r="T603" s="339"/>
      <c r="U603" s="339"/>
      <c r="V603" s="339"/>
      <c r="W603" s="339"/>
      <c r="X603" s="339"/>
      <c r="Y603" s="339"/>
      <c r="Z603" s="339"/>
    </row>
    <row r="604" spans="1:26" ht="15.75" customHeight="1">
      <c r="A604" s="339"/>
      <c r="B604" s="339"/>
      <c r="C604" s="339"/>
      <c r="D604" s="339"/>
      <c r="E604" s="339"/>
      <c r="F604" s="339"/>
      <c r="G604" s="339"/>
      <c r="H604" s="339"/>
      <c r="I604" s="341"/>
      <c r="J604" s="341"/>
      <c r="K604" s="340"/>
      <c r="L604" s="339"/>
      <c r="M604" s="341"/>
      <c r="N604" s="341"/>
      <c r="O604" s="340"/>
      <c r="P604" s="339"/>
      <c r="Q604" s="341"/>
      <c r="R604" s="339"/>
      <c r="S604" s="340"/>
      <c r="T604" s="339"/>
      <c r="U604" s="339"/>
      <c r="V604" s="339"/>
      <c r="W604" s="339"/>
      <c r="X604" s="339"/>
      <c r="Y604" s="339"/>
      <c r="Z604" s="339"/>
    </row>
    <row r="605" spans="1:26" ht="15.75" customHeight="1">
      <c r="A605" s="339"/>
      <c r="B605" s="339"/>
      <c r="C605" s="339"/>
      <c r="D605" s="339"/>
      <c r="E605" s="339"/>
      <c r="F605" s="339"/>
      <c r="G605" s="339"/>
      <c r="H605" s="339"/>
      <c r="I605" s="341"/>
      <c r="J605" s="341"/>
      <c r="K605" s="340"/>
      <c r="L605" s="339"/>
      <c r="M605" s="341"/>
      <c r="N605" s="341"/>
      <c r="O605" s="340"/>
      <c r="P605" s="339"/>
      <c r="Q605" s="341"/>
      <c r="R605" s="339"/>
      <c r="S605" s="340"/>
      <c r="T605" s="339"/>
      <c r="U605" s="339"/>
      <c r="V605" s="339"/>
      <c r="W605" s="339"/>
      <c r="X605" s="339"/>
      <c r="Y605" s="339"/>
      <c r="Z605" s="339"/>
    </row>
    <row r="606" spans="1:26" ht="15.75" customHeight="1">
      <c r="A606" s="339"/>
      <c r="B606" s="339"/>
      <c r="C606" s="339"/>
      <c r="D606" s="339"/>
      <c r="E606" s="339"/>
      <c r="F606" s="339"/>
      <c r="G606" s="339"/>
      <c r="H606" s="339"/>
      <c r="I606" s="341"/>
      <c r="J606" s="341"/>
      <c r="K606" s="340"/>
      <c r="L606" s="339"/>
      <c r="M606" s="341"/>
      <c r="N606" s="341"/>
      <c r="O606" s="340"/>
      <c r="P606" s="339"/>
      <c r="Q606" s="341"/>
      <c r="R606" s="339"/>
      <c r="S606" s="340"/>
      <c r="T606" s="339"/>
      <c r="U606" s="339"/>
      <c r="V606" s="339"/>
      <c r="W606" s="339"/>
      <c r="X606" s="339"/>
      <c r="Y606" s="339"/>
      <c r="Z606" s="339"/>
    </row>
    <row r="607" spans="1:26" ht="15.75" customHeight="1">
      <c r="A607" s="339"/>
      <c r="B607" s="339"/>
      <c r="C607" s="339"/>
      <c r="D607" s="339"/>
      <c r="E607" s="339"/>
      <c r="F607" s="339"/>
      <c r="G607" s="339"/>
      <c r="H607" s="339"/>
      <c r="I607" s="341"/>
      <c r="J607" s="341"/>
      <c r="K607" s="340"/>
      <c r="L607" s="339"/>
      <c r="M607" s="341"/>
      <c r="N607" s="341"/>
      <c r="O607" s="340"/>
      <c r="P607" s="339"/>
      <c r="Q607" s="341"/>
      <c r="R607" s="339"/>
      <c r="S607" s="340"/>
      <c r="T607" s="339"/>
      <c r="U607" s="339"/>
      <c r="V607" s="339"/>
      <c r="W607" s="339"/>
      <c r="X607" s="339"/>
      <c r="Y607" s="339"/>
      <c r="Z607" s="339"/>
    </row>
    <row r="608" spans="1:26" ht="15.75" customHeight="1">
      <c r="A608" s="339"/>
      <c r="B608" s="339"/>
      <c r="C608" s="339"/>
      <c r="D608" s="339"/>
      <c r="E608" s="339"/>
      <c r="F608" s="339"/>
      <c r="G608" s="339"/>
      <c r="H608" s="339"/>
      <c r="I608" s="341"/>
      <c r="J608" s="341"/>
      <c r="K608" s="340"/>
      <c r="L608" s="339"/>
      <c r="M608" s="341"/>
      <c r="N608" s="341"/>
      <c r="O608" s="340"/>
      <c r="P608" s="339"/>
      <c r="Q608" s="341"/>
      <c r="R608" s="339"/>
      <c r="S608" s="340"/>
      <c r="T608" s="339"/>
      <c r="U608" s="339"/>
      <c r="V608" s="339"/>
      <c r="W608" s="339"/>
      <c r="X608" s="339"/>
      <c r="Y608" s="339"/>
      <c r="Z608" s="339"/>
    </row>
    <row r="609" spans="1:26" ht="15.75" customHeight="1">
      <c r="A609" s="339"/>
      <c r="B609" s="339"/>
      <c r="C609" s="339"/>
      <c r="D609" s="339"/>
      <c r="E609" s="339"/>
      <c r="F609" s="339"/>
      <c r="G609" s="339"/>
      <c r="H609" s="339"/>
      <c r="I609" s="341"/>
      <c r="J609" s="341"/>
      <c r="K609" s="340"/>
      <c r="L609" s="339"/>
      <c r="M609" s="341"/>
      <c r="N609" s="341"/>
      <c r="O609" s="340"/>
      <c r="P609" s="339"/>
      <c r="Q609" s="341"/>
      <c r="R609" s="339"/>
      <c r="S609" s="340"/>
      <c r="T609" s="339"/>
      <c r="U609" s="339"/>
      <c r="V609" s="339"/>
      <c r="W609" s="339"/>
      <c r="X609" s="339"/>
      <c r="Y609" s="339"/>
      <c r="Z609" s="339"/>
    </row>
    <row r="610" spans="1:26" ht="15.75" customHeight="1">
      <c r="A610" s="339"/>
      <c r="B610" s="339"/>
      <c r="C610" s="339"/>
      <c r="D610" s="339"/>
      <c r="E610" s="339"/>
      <c r="F610" s="339"/>
      <c r="G610" s="339"/>
      <c r="H610" s="339"/>
      <c r="I610" s="341"/>
      <c r="J610" s="341"/>
      <c r="K610" s="340"/>
      <c r="L610" s="339"/>
      <c r="M610" s="341"/>
      <c r="N610" s="341"/>
      <c r="O610" s="340"/>
      <c r="P610" s="339"/>
      <c r="Q610" s="341"/>
      <c r="R610" s="339"/>
      <c r="S610" s="340"/>
      <c r="T610" s="339"/>
      <c r="U610" s="339"/>
      <c r="V610" s="339"/>
      <c r="W610" s="339"/>
      <c r="X610" s="339"/>
      <c r="Y610" s="339"/>
      <c r="Z610" s="339"/>
    </row>
    <row r="611" spans="1:26" ht="15.75" customHeight="1">
      <c r="A611" s="339"/>
      <c r="B611" s="339"/>
      <c r="C611" s="339"/>
      <c r="D611" s="339"/>
      <c r="E611" s="339"/>
      <c r="F611" s="339"/>
      <c r="G611" s="339"/>
      <c r="H611" s="339"/>
      <c r="I611" s="341"/>
      <c r="J611" s="341"/>
      <c r="K611" s="340"/>
      <c r="L611" s="339"/>
      <c r="M611" s="341"/>
      <c r="N611" s="341"/>
      <c r="O611" s="340"/>
      <c r="P611" s="339"/>
      <c r="Q611" s="341"/>
      <c r="R611" s="339"/>
      <c r="S611" s="340"/>
      <c r="T611" s="339"/>
      <c r="U611" s="339"/>
      <c r="V611" s="339"/>
      <c r="W611" s="339"/>
      <c r="X611" s="339"/>
      <c r="Y611" s="339"/>
      <c r="Z611" s="339"/>
    </row>
    <row r="612" spans="1:26" ht="15.75" customHeight="1">
      <c r="A612" s="339"/>
      <c r="B612" s="339"/>
      <c r="C612" s="339"/>
      <c r="D612" s="339"/>
      <c r="E612" s="339"/>
      <c r="F612" s="339"/>
      <c r="G612" s="339"/>
      <c r="H612" s="339"/>
      <c r="I612" s="341"/>
      <c r="J612" s="341"/>
      <c r="K612" s="340"/>
      <c r="L612" s="339"/>
      <c r="M612" s="341"/>
      <c r="N612" s="341"/>
      <c r="O612" s="340"/>
      <c r="P612" s="339"/>
      <c r="Q612" s="341"/>
      <c r="R612" s="339"/>
      <c r="S612" s="340"/>
      <c r="T612" s="339"/>
      <c r="U612" s="339"/>
      <c r="V612" s="339"/>
      <c r="W612" s="339"/>
      <c r="X612" s="339"/>
      <c r="Y612" s="339"/>
      <c r="Z612" s="339"/>
    </row>
    <row r="613" spans="1:26" ht="15.75" customHeight="1">
      <c r="A613" s="339"/>
      <c r="B613" s="339"/>
      <c r="C613" s="339"/>
      <c r="D613" s="339"/>
      <c r="E613" s="339"/>
      <c r="F613" s="339"/>
      <c r="G613" s="339"/>
      <c r="H613" s="339"/>
      <c r="I613" s="341"/>
      <c r="J613" s="341"/>
      <c r="K613" s="340"/>
      <c r="L613" s="339"/>
      <c r="M613" s="341"/>
      <c r="N613" s="341"/>
      <c r="O613" s="340"/>
      <c r="P613" s="339"/>
      <c r="Q613" s="341"/>
      <c r="R613" s="339"/>
      <c r="S613" s="340"/>
      <c r="T613" s="339"/>
      <c r="U613" s="339"/>
      <c r="V613" s="339"/>
      <c r="W613" s="339"/>
      <c r="X613" s="339"/>
      <c r="Y613" s="339"/>
      <c r="Z613" s="339"/>
    </row>
    <row r="614" spans="1:26" ht="15.75" customHeight="1">
      <c r="A614" s="339"/>
      <c r="B614" s="339"/>
      <c r="C614" s="339"/>
      <c r="D614" s="339"/>
      <c r="E614" s="339"/>
      <c r="F614" s="339"/>
      <c r="G614" s="339"/>
      <c r="H614" s="339"/>
      <c r="I614" s="341"/>
      <c r="J614" s="341"/>
      <c r="K614" s="340"/>
      <c r="L614" s="339"/>
      <c r="M614" s="341"/>
      <c r="N614" s="341"/>
      <c r="O614" s="340"/>
      <c r="P614" s="339"/>
      <c r="Q614" s="341"/>
      <c r="R614" s="339"/>
      <c r="S614" s="340"/>
      <c r="T614" s="339"/>
      <c r="U614" s="339"/>
      <c r="V614" s="339"/>
      <c r="W614" s="339"/>
      <c r="X614" s="339"/>
      <c r="Y614" s="339"/>
      <c r="Z614" s="339"/>
    </row>
    <row r="615" spans="1:26" ht="15.75" customHeight="1">
      <c r="A615" s="339"/>
      <c r="B615" s="339"/>
      <c r="C615" s="339"/>
      <c r="D615" s="339"/>
      <c r="E615" s="339"/>
      <c r="F615" s="339"/>
      <c r="G615" s="339"/>
      <c r="H615" s="339"/>
      <c r="I615" s="341"/>
      <c r="J615" s="341"/>
      <c r="K615" s="340"/>
      <c r="L615" s="339"/>
      <c r="M615" s="341"/>
      <c r="N615" s="341"/>
      <c r="O615" s="340"/>
      <c r="P615" s="339"/>
      <c r="Q615" s="341"/>
      <c r="R615" s="339"/>
      <c r="S615" s="340"/>
      <c r="T615" s="339"/>
      <c r="U615" s="339"/>
      <c r="V615" s="339"/>
      <c r="W615" s="339"/>
      <c r="X615" s="339"/>
      <c r="Y615" s="339"/>
      <c r="Z615" s="339"/>
    </row>
    <row r="616" spans="1:26" ht="15.75" customHeight="1">
      <c r="A616" s="339"/>
      <c r="B616" s="339"/>
      <c r="C616" s="339"/>
      <c r="D616" s="339"/>
      <c r="E616" s="339"/>
      <c r="F616" s="339"/>
      <c r="G616" s="339"/>
      <c r="H616" s="339"/>
      <c r="I616" s="341"/>
      <c r="J616" s="341"/>
      <c r="K616" s="340"/>
      <c r="L616" s="339"/>
      <c r="M616" s="341"/>
      <c r="N616" s="341"/>
      <c r="O616" s="340"/>
      <c r="P616" s="339"/>
      <c r="Q616" s="341"/>
      <c r="R616" s="339"/>
      <c r="S616" s="340"/>
      <c r="T616" s="339"/>
      <c r="U616" s="339"/>
      <c r="V616" s="339"/>
      <c r="W616" s="339"/>
      <c r="X616" s="339"/>
      <c r="Y616" s="339"/>
      <c r="Z616" s="339"/>
    </row>
    <row r="617" spans="1:26" ht="15.75" customHeight="1">
      <c r="A617" s="339"/>
      <c r="B617" s="339"/>
      <c r="C617" s="339"/>
      <c r="D617" s="339"/>
      <c r="E617" s="339"/>
      <c r="F617" s="339"/>
      <c r="G617" s="339"/>
      <c r="H617" s="339"/>
      <c r="I617" s="341"/>
      <c r="J617" s="341"/>
      <c r="K617" s="340"/>
      <c r="L617" s="339"/>
      <c r="M617" s="341"/>
      <c r="N617" s="341"/>
      <c r="O617" s="340"/>
      <c r="P617" s="339"/>
      <c r="Q617" s="341"/>
      <c r="R617" s="339"/>
      <c r="S617" s="340"/>
      <c r="T617" s="339"/>
      <c r="U617" s="339"/>
      <c r="V617" s="339"/>
      <c r="W617" s="339"/>
      <c r="X617" s="339"/>
      <c r="Y617" s="339"/>
      <c r="Z617" s="339"/>
    </row>
    <row r="618" spans="1:26" ht="15.75" customHeight="1">
      <c r="A618" s="339"/>
      <c r="B618" s="339"/>
      <c r="C618" s="339"/>
      <c r="D618" s="339"/>
      <c r="E618" s="339"/>
      <c r="F618" s="339"/>
      <c r="G618" s="339"/>
      <c r="H618" s="339"/>
      <c r="I618" s="341"/>
      <c r="J618" s="341"/>
      <c r="K618" s="340"/>
      <c r="L618" s="339"/>
      <c r="M618" s="341"/>
      <c r="N618" s="341"/>
      <c r="O618" s="340"/>
      <c r="P618" s="339"/>
      <c r="Q618" s="341"/>
      <c r="R618" s="339"/>
      <c r="S618" s="340"/>
      <c r="T618" s="339"/>
      <c r="U618" s="339"/>
      <c r="V618" s="339"/>
      <c r="W618" s="339"/>
      <c r="X618" s="339"/>
      <c r="Y618" s="339"/>
      <c r="Z618" s="339"/>
    </row>
    <row r="619" spans="1:26" ht="15.75" customHeight="1">
      <c r="A619" s="339"/>
      <c r="B619" s="339"/>
      <c r="C619" s="339"/>
      <c r="D619" s="339"/>
      <c r="E619" s="339"/>
      <c r="F619" s="339"/>
      <c r="G619" s="339"/>
      <c r="H619" s="339"/>
      <c r="I619" s="341"/>
      <c r="J619" s="341"/>
      <c r="K619" s="340"/>
      <c r="L619" s="339"/>
      <c r="M619" s="341"/>
      <c r="N619" s="341"/>
      <c r="O619" s="340"/>
      <c r="P619" s="339"/>
      <c r="Q619" s="341"/>
      <c r="R619" s="339"/>
      <c r="S619" s="340"/>
      <c r="T619" s="339"/>
      <c r="U619" s="339"/>
      <c r="V619" s="339"/>
      <c r="W619" s="339"/>
      <c r="X619" s="339"/>
      <c r="Y619" s="339"/>
      <c r="Z619" s="339"/>
    </row>
    <row r="620" spans="1:26" ht="15.75" customHeight="1">
      <c r="A620" s="339"/>
      <c r="B620" s="339"/>
      <c r="C620" s="339"/>
      <c r="D620" s="339"/>
      <c r="E620" s="339"/>
      <c r="F620" s="339"/>
      <c r="G620" s="339"/>
      <c r="H620" s="339"/>
      <c r="I620" s="341"/>
      <c r="J620" s="341"/>
      <c r="K620" s="340"/>
      <c r="L620" s="339"/>
      <c r="M620" s="341"/>
      <c r="N620" s="341"/>
      <c r="O620" s="340"/>
      <c r="P620" s="339"/>
      <c r="Q620" s="341"/>
      <c r="R620" s="339"/>
      <c r="S620" s="340"/>
      <c r="T620" s="339"/>
      <c r="U620" s="339"/>
      <c r="V620" s="339"/>
      <c r="W620" s="339"/>
      <c r="X620" s="339"/>
      <c r="Y620" s="339"/>
      <c r="Z620" s="339"/>
    </row>
    <row r="621" spans="1:26" ht="15.75" customHeight="1">
      <c r="A621" s="339"/>
      <c r="B621" s="339"/>
      <c r="C621" s="339"/>
      <c r="D621" s="339"/>
      <c r="E621" s="339"/>
      <c r="F621" s="339"/>
      <c r="G621" s="339"/>
      <c r="H621" s="339"/>
      <c r="I621" s="341"/>
      <c r="J621" s="341"/>
      <c r="K621" s="340"/>
      <c r="L621" s="339"/>
      <c r="M621" s="341"/>
      <c r="N621" s="341"/>
      <c r="O621" s="340"/>
      <c r="P621" s="339"/>
      <c r="Q621" s="341"/>
      <c r="R621" s="339"/>
      <c r="S621" s="340"/>
      <c r="T621" s="339"/>
      <c r="U621" s="339"/>
      <c r="V621" s="339"/>
      <c r="W621" s="339"/>
      <c r="X621" s="339"/>
      <c r="Y621" s="339"/>
      <c r="Z621" s="339"/>
    </row>
    <row r="622" spans="1:26" ht="15.75" customHeight="1">
      <c r="A622" s="339"/>
      <c r="B622" s="339"/>
      <c r="C622" s="339"/>
      <c r="D622" s="339"/>
      <c r="E622" s="339"/>
      <c r="F622" s="339"/>
      <c r="G622" s="339"/>
      <c r="H622" s="339"/>
      <c r="I622" s="341"/>
      <c r="J622" s="341"/>
      <c r="K622" s="340"/>
      <c r="L622" s="339"/>
      <c r="M622" s="341"/>
      <c r="N622" s="341"/>
      <c r="O622" s="340"/>
      <c r="P622" s="339"/>
      <c r="Q622" s="341"/>
      <c r="R622" s="339"/>
      <c r="S622" s="340"/>
      <c r="T622" s="339"/>
      <c r="U622" s="339"/>
      <c r="V622" s="339"/>
      <c r="W622" s="339"/>
      <c r="X622" s="339"/>
      <c r="Y622" s="339"/>
      <c r="Z622" s="339"/>
    </row>
    <row r="623" spans="1:26" ht="15.75" customHeight="1">
      <c r="A623" s="339"/>
      <c r="B623" s="339"/>
      <c r="C623" s="339"/>
      <c r="D623" s="339"/>
      <c r="E623" s="339"/>
      <c r="F623" s="339"/>
      <c r="G623" s="339"/>
      <c r="H623" s="339"/>
      <c r="I623" s="341"/>
      <c r="J623" s="341"/>
      <c r="K623" s="340"/>
      <c r="L623" s="339"/>
      <c r="M623" s="341"/>
      <c r="N623" s="341"/>
      <c r="O623" s="340"/>
      <c r="P623" s="339"/>
      <c r="Q623" s="341"/>
      <c r="R623" s="339"/>
      <c r="S623" s="340"/>
      <c r="T623" s="339"/>
      <c r="U623" s="339"/>
      <c r="V623" s="339"/>
      <c r="W623" s="339"/>
      <c r="X623" s="339"/>
      <c r="Y623" s="339"/>
      <c r="Z623" s="339"/>
    </row>
    <row r="624" spans="1:26" ht="15.75" customHeight="1">
      <c r="A624" s="339"/>
      <c r="B624" s="339"/>
      <c r="C624" s="339"/>
      <c r="D624" s="339"/>
      <c r="E624" s="339"/>
      <c r="F624" s="339"/>
      <c r="G624" s="339"/>
      <c r="H624" s="339"/>
      <c r="I624" s="341"/>
      <c r="J624" s="341"/>
      <c r="K624" s="340"/>
      <c r="L624" s="339"/>
      <c r="M624" s="341"/>
      <c r="N624" s="341"/>
      <c r="O624" s="340"/>
      <c r="P624" s="339"/>
      <c r="Q624" s="341"/>
      <c r="R624" s="339"/>
      <c r="S624" s="340"/>
      <c r="T624" s="339"/>
      <c r="U624" s="339"/>
      <c r="V624" s="339"/>
      <c r="W624" s="339"/>
      <c r="X624" s="339"/>
      <c r="Y624" s="339"/>
      <c r="Z624" s="339"/>
    </row>
    <row r="625" spans="1:26" ht="15.75" customHeight="1">
      <c r="A625" s="339"/>
      <c r="B625" s="339"/>
      <c r="C625" s="339"/>
      <c r="D625" s="339"/>
      <c r="E625" s="339"/>
      <c r="F625" s="339"/>
      <c r="G625" s="339"/>
      <c r="H625" s="339"/>
      <c r="I625" s="341"/>
      <c r="J625" s="341"/>
      <c r="K625" s="340"/>
      <c r="L625" s="339"/>
      <c r="M625" s="341"/>
      <c r="N625" s="341"/>
      <c r="O625" s="340"/>
      <c r="P625" s="339"/>
      <c r="Q625" s="341"/>
      <c r="R625" s="339"/>
      <c r="S625" s="340"/>
      <c r="T625" s="339"/>
      <c r="U625" s="339"/>
      <c r="V625" s="339"/>
      <c r="W625" s="339"/>
      <c r="X625" s="339"/>
      <c r="Y625" s="339"/>
      <c r="Z625" s="339"/>
    </row>
    <row r="626" spans="1:26" ht="15.75" customHeight="1">
      <c r="A626" s="339"/>
      <c r="B626" s="339"/>
      <c r="C626" s="339"/>
      <c r="D626" s="339"/>
      <c r="E626" s="339"/>
      <c r="F626" s="339"/>
      <c r="G626" s="339"/>
      <c r="H626" s="339"/>
      <c r="I626" s="341"/>
      <c r="J626" s="341"/>
      <c r="K626" s="340"/>
      <c r="L626" s="339"/>
      <c r="M626" s="341"/>
      <c r="N626" s="341"/>
      <c r="O626" s="340"/>
      <c r="P626" s="339"/>
      <c r="Q626" s="341"/>
      <c r="R626" s="339"/>
      <c r="S626" s="340"/>
      <c r="T626" s="339"/>
      <c r="U626" s="339"/>
      <c r="V626" s="339"/>
      <c r="W626" s="339"/>
      <c r="X626" s="339"/>
      <c r="Y626" s="339"/>
      <c r="Z626" s="339"/>
    </row>
    <row r="627" spans="1:26" ht="15.75" customHeight="1">
      <c r="A627" s="339"/>
      <c r="B627" s="339"/>
      <c r="C627" s="339"/>
      <c r="D627" s="339"/>
      <c r="E627" s="339"/>
      <c r="F627" s="339"/>
      <c r="G627" s="339"/>
      <c r="H627" s="339"/>
      <c r="I627" s="341"/>
      <c r="J627" s="341"/>
      <c r="K627" s="340"/>
      <c r="L627" s="339"/>
      <c r="M627" s="341"/>
      <c r="N627" s="341"/>
      <c r="O627" s="340"/>
      <c r="P627" s="339"/>
      <c r="Q627" s="341"/>
      <c r="R627" s="339"/>
      <c r="S627" s="340"/>
      <c r="T627" s="339"/>
      <c r="U627" s="339"/>
      <c r="V627" s="339"/>
      <c r="W627" s="339"/>
      <c r="X627" s="339"/>
      <c r="Y627" s="339"/>
      <c r="Z627" s="339"/>
    </row>
    <row r="628" spans="1:26" ht="15.75" customHeight="1">
      <c r="A628" s="339"/>
      <c r="B628" s="339"/>
      <c r="C628" s="339"/>
      <c r="D628" s="339"/>
      <c r="E628" s="339"/>
      <c r="F628" s="339"/>
      <c r="G628" s="339"/>
      <c r="H628" s="339"/>
      <c r="I628" s="341"/>
      <c r="J628" s="341"/>
      <c r="K628" s="340"/>
      <c r="L628" s="339"/>
      <c r="M628" s="341"/>
      <c r="N628" s="341"/>
      <c r="O628" s="340"/>
      <c r="P628" s="339"/>
      <c r="Q628" s="341"/>
      <c r="R628" s="339"/>
      <c r="S628" s="340"/>
      <c r="T628" s="339"/>
      <c r="U628" s="339"/>
      <c r="V628" s="339"/>
      <c r="W628" s="339"/>
      <c r="X628" s="339"/>
      <c r="Y628" s="339"/>
      <c r="Z628" s="339"/>
    </row>
    <row r="629" spans="1:26" ht="15.75" customHeight="1">
      <c r="A629" s="339"/>
      <c r="B629" s="339"/>
      <c r="C629" s="339"/>
      <c r="D629" s="339"/>
      <c r="E629" s="339"/>
      <c r="F629" s="339"/>
      <c r="G629" s="339"/>
      <c r="H629" s="339"/>
      <c r="I629" s="341"/>
      <c r="J629" s="341"/>
      <c r="K629" s="340"/>
      <c r="L629" s="339"/>
      <c r="M629" s="341"/>
      <c r="N629" s="341"/>
      <c r="O629" s="340"/>
      <c r="P629" s="339"/>
      <c r="Q629" s="341"/>
      <c r="R629" s="339"/>
      <c r="S629" s="340"/>
      <c r="T629" s="339"/>
      <c r="U629" s="339"/>
      <c r="V629" s="339"/>
      <c r="W629" s="339"/>
      <c r="X629" s="339"/>
      <c r="Y629" s="339"/>
      <c r="Z629" s="339"/>
    </row>
    <row r="630" spans="1:26" ht="15.75" customHeight="1">
      <c r="A630" s="339"/>
      <c r="B630" s="339"/>
      <c r="C630" s="339"/>
      <c r="D630" s="339"/>
      <c r="E630" s="339"/>
      <c r="F630" s="339"/>
      <c r="G630" s="339"/>
      <c r="H630" s="339"/>
      <c r="I630" s="341"/>
      <c r="J630" s="341"/>
      <c r="K630" s="340"/>
      <c r="L630" s="339"/>
      <c r="M630" s="341"/>
      <c r="N630" s="341"/>
      <c r="O630" s="340"/>
      <c r="P630" s="339"/>
      <c r="Q630" s="341"/>
      <c r="R630" s="339"/>
      <c r="S630" s="340"/>
      <c r="T630" s="339"/>
      <c r="U630" s="339"/>
      <c r="V630" s="339"/>
      <c r="W630" s="339"/>
      <c r="X630" s="339"/>
      <c r="Y630" s="339"/>
      <c r="Z630" s="339"/>
    </row>
    <row r="631" spans="1:26" ht="15.75" customHeight="1">
      <c r="A631" s="339"/>
      <c r="B631" s="339"/>
      <c r="C631" s="339"/>
      <c r="D631" s="339"/>
      <c r="E631" s="339"/>
      <c r="F631" s="339"/>
      <c r="G631" s="339"/>
      <c r="H631" s="339"/>
      <c r="I631" s="341"/>
      <c r="J631" s="341"/>
      <c r="K631" s="340"/>
      <c r="L631" s="339"/>
      <c r="M631" s="341"/>
      <c r="N631" s="341"/>
      <c r="O631" s="340"/>
      <c r="P631" s="339"/>
      <c r="Q631" s="341"/>
      <c r="R631" s="339"/>
      <c r="S631" s="340"/>
      <c r="T631" s="339"/>
      <c r="U631" s="339"/>
      <c r="V631" s="339"/>
      <c r="W631" s="339"/>
      <c r="X631" s="339"/>
      <c r="Y631" s="339"/>
      <c r="Z631" s="339"/>
    </row>
    <row r="632" spans="1:26" ht="15.75" customHeight="1">
      <c r="A632" s="339"/>
      <c r="B632" s="339"/>
      <c r="C632" s="339"/>
      <c r="D632" s="339"/>
      <c r="E632" s="339"/>
      <c r="F632" s="339"/>
      <c r="G632" s="339"/>
      <c r="H632" s="339"/>
      <c r="I632" s="341"/>
      <c r="J632" s="341"/>
      <c r="K632" s="340"/>
      <c r="L632" s="339"/>
      <c r="M632" s="341"/>
      <c r="N632" s="341"/>
      <c r="O632" s="340"/>
      <c r="P632" s="339"/>
      <c r="Q632" s="341"/>
      <c r="R632" s="339"/>
      <c r="S632" s="340"/>
      <c r="T632" s="339"/>
      <c r="U632" s="339"/>
      <c r="V632" s="339"/>
      <c r="W632" s="339"/>
      <c r="X632" s="339"/>
      <c r="Y632" s="339"/>
      <c r="Z632" s="339"/>
    </row>
    <row r="633" spans="1:26" ht="15.75" customHeight="1">
      <c r="A633" s="339"/>
      <c r="B633" s="339"/>
      <c r="C633" s="339"/>
      <c r="D633" s="339"/>
      <c r="E633" s="339"/>
      <c r="F633" s="339"/>
      <c r="G633" s="339"/>
      <c r="H633" s="339"/>
      <c r="I633" s="341"/>
      <c r="J633" s="341"/>
      <c r="K633" s="340"/>
      <c r="L633" s="339"/>
      <c r="M633" s="341"/>
      <c r="N633" s="341"/>
      <c r="O633" s="340"/>
      <c r="P633" s="339"/>
      <c r="Q633" s="341"/>
      <c r="R633" s="339"/>
      <c r="S633" s="340"/>
      <c r="T633" s="339"/>
      <c r="U633" s="339"/>
      <c r="V633" s="339"/>
      <c r="W633" s="339"/>
      <c r="X633" s="339"/>
      <c r="Y633" s="339"/>
      <c r="Z633" s="339"/>
    </row>
    <row r="634" spans="1:26" ht="15.75" customHeight="1">
      <c r="A634" s="339"/>
      <c r="B634" s="339"/>
      <c r="C634" s="339"/>
      <c r="D634" s="339"/>
      <c r="E634" s="339"/>
      <c r="F634" s="339"/>
      <c r="G634" s="339"/>
      <c r="H634" s="339"/>
      <c r="I634" s="341"/>
      <c r="J634" s="341"/>
      <c r="K634" s="340"/>
      <c r="L634" s="339"/>
      <c r="M634" s="341"/>
      <c r="N634" s="341"/>
      <c r="O634" s="340"/>
      <c r="P634" s="339"/>
      <c r="Q634" s="341"/>
      <c r="R634" s="339"/>
      <c r="S634" s="340"/>
      <c r="T634" s="339"/>
      <c r="U634" s="339"/>
      <c r="V634" s="339"/>
      <c r="W634" s="339"/>
      <c r="X634" s="339"/>
      <c r="Y634" s="339"/>
      <c r="Z634" s="339"/>
    </row>
    <row r="635" spans="1:26" ht="15.75" customHeight="1">
      <c r="A635" s="339"/>
      <c r="B635" s="339"/>
      <c r="C635" s="339"/>
      <c r="D635" s="339"/>
      <c r="E635" s="339"/>
      <c r="F635" s="339"/>
      <c r="G635" s="339"/>
      <c r="H635" s="339"/>
      <c r="I635" s="341"/>
      <c r="J635" s="341"/>
      <c r="K635" s="340"/>
      <c r="L635" s="339"/>
      <c r="M635" s="341"/>
      <c r="N635" s="341"/>
      <c r="O635" s="340"/>
      <c r="P635" s="339"/>
      <c r="Q635" s="341"/>
      <c r="R635" s="339"/>
      <c r="S635" s="340"/>
      <c r="T635" s="339"/>
      <c r="U635" s="339"/>
      <c r="V635" s="339"/>
      <c r="W635" s="339"/>
      <c r="X635" s="339"/>
      <c r="Y635" s="339"/>
      <c r="Z635" s="339"/>
    </row>
    <row r="636" spans="1:26" ht="15.75" customHeight="1">
      <c r="A636" s="339"/>
      <c r="B636" s="339"/>
      <c r="C636" s="339"/>
      <c r="D636" s="339"/>
      <c r="E636" s="339"/>
      <c r="F636" s="339"/>
      <c r="G636" s="339"/>
      <c r="H636" s="339"/>
      <c r="I636" s="341"/>
      <c r="J636" s="341"/>
      <c r="K636" s="340"/>
      <c r="L636" s="339"/>
      <c r="M636" s="341"/>
      <c r="N636" s="341"/>
      <c r="O636" s="340"/>
      <c r="P636" s="339"/>
      <c r="Q636" s="341"/>
      <c r="R636" s="339"/>
      <c r="S636" s="340"/>
      <c r="T636" s="339"/>
      <c r="U636" s="339"/>
      <c r="V636" s="339"/>
      <c r="W636" s="339"/>
      <c r="X636" s="339"/>
      <c r="Y636" s="339"/>
      <c r="Z636" s="339"/>
    </row>
    <row r="637" spans="1:26" ht="15.75" customHeight="1">
      <c r="A637" s="339"/>
      <c r="B637" s="339"/>
      <c r="C637" s="339"/>
      <c r="D637" s="339"/>
      <c r="E637" s="339"/>
      <c r="F637" s="339"/>
      <c r="G637" s="339"/>
      <c r="H637" s="339"/>
      <c r="I637" s="341"/>
      <c r="J637" s="341"/>
      <c r="K637" s="340"/>
      <c r="L637" s="339"/>
      <c r="M637" s="341"/>
      <c r="N637" s="341"/>
      <c r="O637" s="340"/>
      <c r="P637" s="339"/>
      <c r="Q637" s="341"/>
      <c r="R637" s="339"/>
      <c r="S637" s="340"/>
      <c r="T637" s="339"/>
      <c r="U637" s="339"/>
      <c r="V637" s="339"/>
      <c r="W637" s="339"/>
      <c r="X637" s="339"/>
      <c r="Y637" s="339"/>
      <c r="Z637" s="339"/>
    </row>
    <row r="638" spans="1:26" ht="15.75" customHeight="1">
      <c r="A638" s="339"/>
      <c r="B638" s="339"/>
      <c r="C638" s="339"/>
      <c r="D638" s="339"/>
      <c r="E638" s="339"/>
      <c r="F638" s="339"/>
      <c r="G638" s="339"/>
      <c r="H638" s="339"/>
      <c r="I638" s="341"/>
      <c r="J638" s="341"/>
      <c r="K638" s="340"/>
      <c r="L638" s="339"/>
      <c r="M638" s="341"/>
      <c r="N638" s="341"/>
      <c r="O638" s="340"/>
      <c r="P638" s="339"/>
      <c r="Q638" s="341"/>
      <c r="R638" s="339"/>
      <c r="S638" s="340"/>
      <c r="T638" s="339"/>
      <c r="U638" s="339"/>
      <c r="V638" s="339"/>
      <c r="W638" s="339"/>
      <c r="X638" s="339"/>
      <c r="Y638" s="339"/>
      <c r="Z638" s="339"/>
    </row>
    <row r="639" spans="1:26" ht="15.75" customHeight="1">
      <c r="A639" s="339"/>
      <c r="B639" s="339"/>
      <c r="C639" s="339"/>
      <c r="D639" s="339"/>
      <c r="E639" s="339"/>
      <c r="F639" s="339"/>
      <c r="G639" s="339"/>
      <c r="H639" s="339"/>
      <c r="I639" s="341"/>
      <c r="J639" s="341"/>
      <c r="K639" s="340"/>
      <c r="L639" s="339"/>
      <c r="M639" s="341"/>
      <c r="N639" s="341"/>
      <c r="O639" s="340"/>
      <c r="P639" s="339"/>
      <c r="Q639" s="341"/>
      <c r="R639" s="339"/>
      <c r="S639" s="340"/>
      <c r="T639" s="339"/>
      <c r="U639" s="339"/>
      <c r="V639" s="339"/>
      <c r="W639" s="339"/>
      <c r="X639" s="339"/>
      <c r="Y639" s="339"/>
      <c r="Z639" s="339"/>
    </row>
    <row r="640" spans="1:26" ht="15.75" customHeight="1">
      <c r="A640" s="339"/>
      <c r="B640" s="339"/>
      <c r="C640" s="339"/>
      <c r="D640" s="339"/>
      <c r="E640" s="339"/>
      <c r="F640" s="339"/>
      <c r="G640" s="339"/>
      <c r="H640" s="339"/>
      <c r="I640" s="341"/>
      <c r="J640" s="341"/>
      <c r="K640" s="340"/>
      <c r="L640" s="339"/>
      <c r="M640" s="341"/>
      <c r="N640" s="341"/>
      <c r="O640" s="340"/>
      <c r="P640" s="339"/>
      <c r="Q640" s="341"/>
      <c r="R640" s="339"/>
      <c r="S640" s="340"/>
      <c r="T640" s="339"/>
      <c r="U640" s="339"/>
      <c r="V640" s="339"/>
      <c r="W640" s="339"/>
      <c r="X640" s="339"/>
      <c r="Y640" s="339"/>
      <c r="Z640" s="339"/>
    </row>
    <row r="641" spans="1:26" ht="15.75" customHeight="1">
      <c r="A641" s="339"/>
      <c r="B641" s="339"/>
      <c r="C641" s="339"/>
      <c r="D641" s="339"/>
      <c r="E641" s="339"/>
      <c r="F641" s="339"/>
      <c r="G641" s="339"/>
      <c r="H641" s="339"/>
      <c r="I641" s="341"/>
      <c r="J641" s="341"/>
      <c r="K641" s="340"/>
      <c r="L641" s="339"/>
      <c r="M641" s="341"/>
      <c r="N641" s="341"/>
      <c r="O641" s="340"/>
      <c r="P641" s="339"/>
      <c r="Q641" s="341"/>
      <c r="R641" s="339"/>
      <c r="S641" s="340"/>
      <c r="T641" s="339"/>
      <c r="U641" s="339"/>
      <c r="V641" s="339"/>
      <c r="W641" s="339"/>
      <c r="X641" s="339"/>
      <c r="Y641" s="339"/>
      <c r="Z641" s="339"/>
    </row>
    <row r="642" spans="1:26" ht="15.75" customHeight="1">
      <c r="A642" s="339"/>
      <c r="B642" s="339"/>
      <c r="C642" s="339"/>
      <c r="D642" s="339"/>
      <c r="E642" s="339"/>
      <c r="F642" s="339"/>
      <c r="G642" s="339"/>
      <c r="H642" s="339"/>
      <c r="I642" s="341"/>
      <c r="J642" s="341"/>
      <c r="K642" s="340"/>
      <c r="L642" s="339"/>
      <c r="M642" s="341"/>
      <c r="N642" s="341"/>
      <c r="O642" s="340"/>
      <c r="P642" s="339"/>
      <c r="Q642" s="341"/>
      <c r="R642" s="339"/>
      <c r="S642" s="340"/>
      <c r="T642" s="339"/>
      <c r="U642" s="339"/>
      <c r="V642" s="339"/>
      <c r="W642" s="339"/>
      <c r="X642" s="339"/>
      <c r="Y642" s="339"/>
      <c r="Z642" s="339"/>
    </row>
    <row r="643" spans="1:26" ht="15.75" customHeight="1">
      <c r="A643" s="339"/>
      <c r="B643" s="339"/>
      <c r="C643" s="339"/>
      <c r="D643" s="339"/>
      <c r="E643" s="339"/>
      <c r="F643" s="339"/>
      <c r="G643" s="339"/>
      <c r="H643" s="339"/>
      <c r="I643" s="341"/>
      <c r="J643" s="341"/>
      <c r="K643" s="340"/>
      <c r="L643" s="339"/>
      <c r="M643" s="341"/>
      <c r="N643" s="341"/>
      <c r="O643" s="340"/>
      <c r="P643" s="339"/>
      <c r="Q643" s="341"/>
      <c r="R643" s="339"/>
      <c r="S643" s="340"/>
      <c r="T643" s="339"/>
      <c r="U643" s="339"/>
      <c r="V643" s="339"/>
      <c r="W643" s="339"/>
      <c r="X643" s="339"/>
      <c r="Y643" s="339"/>
      <c r="Z643" s="339"/>
    </row>
    <row r="644" spans="1:26" ht="15.75" customHeight="1">
      <c r="A644" s="339"/>
      <c r="B644" s="339"/>
      <c r="C644" s="339"/>
      <c r="D644" s="339"/>
      <c r="E644" s="339"/>
      <c r="F644" s="339"/>
      <c r="G644" s="339"/>
      <c r="H644" s="339"/>
      <c r="I644" s="341"/>
      <c r="J644" s="341"/>
      <c r="K644" s="340"/>
      <c r="L644" s="339"/>
      <c r="M644" s="341"/>
      <c r="N644" s="341"/>
      <c r="O644" s="340"/>
      <c r="P644" s="339"/>
      <c r="Q644" s="341"/>
      <c r="R644" s="339"/>
      <c r="S644" s="340"/>
      <c r="T644" s="339"/>
      <c r="U644" s="339"/>
      <c r="V644" s="339"/>
      <c r="W644" s="339"/>
      <c r="X644" s="339"/>
      <c r="Y644" s="339"/>
      <c r="Z644" s="339"/>
    </row>
    <row r="645" spans="1:26" ht="15.75" customHeight="1">
      <c r="A645" s="339"/>
      <c r="B645" s="339"/>
      <c r="C645" s="339"/>
      <c r="D645" s="339"/>
      <c r="E645" s="339"/>
      <c r="F645" s="339"/>
      <c r="G645" s="339"/>
      <c r="H645" s="339"/>
      <c r="I645" s="341"/>
      <c r="J645" s="341"/>
      <c r="K645" s="340"/>
      <c r="L645" s="339"/>
      <c r="M645" s="341"/>
      <c r="N645" s="341"/>
      <c r="O645" s="340"/>
      <c r="P645" s="339"/>
      <c r="Q645" s="341"/>
      <c r="R645" s="339"/>
      <c r="S645" s="340"/>
      <c r="T645" s="339"/>
      <c r="U645" s="339"/>
      <c r="V645" s="339"/>
      <c r="W645" s="339"/>
      <c r="X645" s="339"/>
      <c r="Y645" s="339"/>
      <c r="Z645" s="339"/>
    </row>
    <row r="646" spans="1:26" ht="15.75" customHeight="1">
      <c r="A646" s="339"/>
      <c r="B646" s="339"/>
      <c r="C646" s="339"/>
      <c r="D646" s="339"/>
      <c r="E646" s="339"/>
      <c r="F646" s="339"/>
      <c r="G646" s="339"/>
      <c r="H646" s="339"/>
      <c r="I646" s="341"/>
      <c r="J646" s="341"/>
      <c r="K646" s="340"/>
      <c r="L646" s="339"/>
      <c r="M646" s="341"/>
      <c r="N646" s="341"/>
      <c r="O646" s="340"/>
      <c r="P646" s="339"/>
      <c r="Q646" s="341"/>
      <c r="R646" s="339"/>
      <c r="S646" s="340"/>
      <c r="T646" s="339"/>
      <c r="U646" s="339"/>
      <c r="V646" s="339"/>
      <c r="W646" s="339"/>
      <c r="X646" s="339"/>
      <c r="Y646" s="339"/>
      <c r="Z646" s="339"/>
    </row>
    <row r="647" spans="1:26" ht="15.75" customHeight="1">
      <c r="A647" s="339"/>
      <c r="B647" s="339"/>
      <c r="C647" s="339"/>
      <c r="D647" s="339"/>
      <c r="E647" s="339"/>
      <c r="F647" s="339"/>
      <c r="G647" s="339"/>
      <c r="H647" s="339"/>
      <c r="I647" s="341"/>
      <c r="J647" s="341"/>
      <c r="K647" s="340"/>
      <c r="L647" s="339"/>
      <c r="M647" s="341"/>
      <c r="N647" s="341"/>
      <c r="O647" s="340"/>
      <c r="P647" s="339"/>
      <c r="Q647" s="341"/>
      <c r="R647" s="339"/>
      <c r="S647" s="340"/>
      <c r="T647" s="339"/>
      <c r="U647" s="339"/>
      <c r="V647" s="339"/>
      <c r="W647" s="339"/>
      <c r="X647" s="339"/>
      <c r="Y647" s="339"/>
      <c r="Z647" s="339"/>
    </row>
    <row r="648" spans="1:26" ht="15.75" customHeight="1">
      <c r="A648" s="339"/>
      <c r="B648" s="339"/>
      <c r="C648" s="339"/>
      <c r="D648" s="339"/>
      <c r="E648" s="339"/>
      <c r="F648" s="339"/>
      <c r="G648" s="339"/>
      <c r="H648" s="339"/>
      <c r="I648" s="341"/>
      <c r="J648" s="341"/>
      <c r="K648" s="340"/>
      <c r="L648" s="339"/>
      <c r="M648" s="341"/>
      <c r="N648" s="341"/>
      <c r="O648" s="340"/>
      <c r="P648" s="339"/>
      <c r="Q648" s="341"/>
      <c r="R648" s="339"/>
      <c r="S648" s="340"/>
      <c r="T648" s="339"/>
      <c r="U648" s="339"/>
      <c r="V648" s="339"/>
      <c r="W648" s="339"/>
      <c r="X648" s="339"/>
      <c r="Y648" s="339"/>
      <c r="Z648" s="339"/>
    </row>
    <row r="649" spans="1:26" ht="15.75" customHeight="1">
      <c r="A649" s="339"/>
      <c r="B649" s="339"/>
      <c r="C649" s="339"/>
      <c r="D649" s="339"/>
      <c r="E649" s="339"/>
      <c r="F649" s="339"/>
      <c r="G649" s="339"/>
      <c r="H649" s="339"/>
      <c r="I649" s="341"/>
      <c r="J649" s="341"/>
      <c r="K649" s="340"/>
      <c r="L649" s="339"/>
      <c r="M649" s="341"/>
      <c r="N649" s="341"/>
      <c r="O649" s="340"/>
      <c r="P649" s="339"/>
      <c r="Q649" s="341"/>
      <c r="R649" s="339"/>
      <c r="S649" s="340"/>
      <c r="T649" s="339"/>
      <c r="U649" s="339"/>
      <c r="V649" s="339"/>
      <c r="W649" s="339"/>
      <c r="X649" s="339"/>
      <c r="Y649" s="339"/>
      <c r="Z649" s="339"/>
    </row>
    <row r="650" spans="1:26" ht="15.75" customHeight="1">
      <c r="A650" s="339"/>
      <c r="B650" s="339"/>
      <c r="C650" s="339"/>
      <c r="D650" s="339"/>
      <c r="E650" s="339"/>
      <c r="F650" s="339"/>
      <c r="G650" s="339"/>
      <c r="H650" s="339"/>
      <c r="I650" s="341"/>
      <c r="J650" s="341"/>
      <c r="K650" s="340"/>
      <c r="L650" s="339"/>
      <c r="M650" s="341"/>
      <c r="N650" s="341"/>
      <c r="O650" s="340"/>
      <c r="P650" s="339"/>
      <c r="Q650" s="341"/>
      <c r="R650" s="339"/>
      <c r="S650" s="340"/>
      <c r="T650" s="339"/>
      <c r="U650" s="339"/>
      <c r="V650" s="339"/>
      <c r="W650" s="339"/>
      <c r="X650" s="339"/>
      <c r="Y650" s="339"/>
      <c r="Z650" s="339"/>
    </row>
    <row r="651" spans="1:26" ht="15.75" customHeight="1">
      <c r="A651" s="339"/>
      <c r="B651" s="339"/>
      <c r="C651" s="339"/>
      <c r="D651" s="339"/>
      <c r="E651" s="339"/>
      <c r="F651" s="339"/>
      <c r="G651" s="339"/>
      <c r="H651" s="339"/>
      <c r="I651" s="341"/>
      <c r="J651" s="341"/>
      <c r="K651" s="340"/>
      <c r="L651" s="339"/>
      <c r="M651" s="341"/>
      <c r="N651" s="341"/>
      <c r="O651" s="340"/>
      <c r="P651" s="339"/>
      <c r="Q651" s="341"/>
      <c r="R651" s="339"/>
      <c r="S651" s="340"/>
      <c r="T651" s="339"/>
      <c r="U651" s="339"/>
      <c r="V651" s="339"/>
      <c r="W651" s="339"/>
      <c r="X651" s="339"/>
      <c r="Y651" s="339"/>
      <c r="Z651" s="339"/>
    </row>
    <row r="652" spans="1:26" ht="15.75" customHeight="1">
      <c r="A652" s="339"/>
      <c r="B652" s="339"/>
      <c r="C652" s="339"/>
      <c r="D652" s="339"/>
      <c r="E652" s="339"/>
      <c r="F652" s="339"/>
      <c r="G652" s="339"/>
      <c r="H652" s="339"/>
      <c r="I652" s="341"/>
      <c r="J652" s="341"/>
      <c r="K652" s="340"/>
      <c r="L652" s="339"/>
      <c r="M652" s="341"/>
      <c r="N652" s="341"/>
      <c r="O652" s="340"/>
      <c r="P652" s="339"/>
      <c r="Q652" s="341"/>
      <c r="R652" s="339"/>
      <c r="S652" s="340"/>
      <c r="T652" s="339"/>
      <c r="U652" s="339"/>
      <c r="V652" s="339"/>
      <c r="W652" s="339"/>
      <c r="X652" s="339"/>
      <c r="Y652" s="339"/>
      <c r="Z652" s="339"/>
    </row>
    <row r="653" spans="1:26" ht="15.75" customHeight="1">
      <c r="A653" s="339"/>
      <c r="B653" s="339"/>
      <c r="C653" s="339"/>
      <c r="D653" s="339"/>
      <c r="E653" s="339"/>
      <c r="F653" s="339"/>
      <c r="G653" s="339"/>
      <c r="H653" s="339"/>
      <c r="I653" s="341"/>
      <c r="J653" s="341"/>
      <c r="K653" s="340"/>
      <c r="L653" s="339"/>
      <c r="M653" s="341"/>
      <c r="N653" s="341"/>
      <c r="O653" s="340"/>
      <c r="P653" s="339"/>
      <c r="Q653" s="341"/>
      <c r="R653" s="339"/>
      <c r="S653" s="340"/>
      <c r="T653" s="339"/>
      <c r="U653" s="339"/>
      <c r="V653" s="339"/>
      <c r="W653" s="339"/>
      <c r="X653" s="339"/>
      <c r="Y653" s="339"/>
      <c r="Z653" s="339"/>
    </row>
    <row r="654" spans="1:26" ht="15.75" customHeight="1">
      <c r="A654" s="339"/>
      <c r="B654" s="339"/>
      <c r="C654" s="339"/>
      <c r="D654" s="339"/>
      <c r="E654" s="339"/>
      <c r="F654" s="339"/>
      <c r="G654" s="339"/>
      <c r="H654" s="339"/>
      <c r="I654" s="341"/>
      <c r="J654" s="341"/>
      <c r="K654" s="340"/>
      <c r="L654" s="339"/>
      <c r="M654" s="341"/>
      <c r="N654" s="341"/>
      <c r="O654" s="340"/>
      <c r="P654" s="339"/>
      <c r="Q654" s="341"/>
      <c r="R654" s="339"/>
      <c r="S654" s="340"/>
      <c r="T654" s="339"/>
      <c r="U654" s="339"/>
      <c r="V654" s="339"/>
      <c r="W654" s="339"/>
      <c r="X654" s="339"/>
      <c r="Y654" s="339"/>
      <c r="Z654" s="339"/>
    </row>
    <row r="655" spans="1:26" ht="15.75" customHeight="1">
      <c r="A655" s="339"/>
      <c r="B655" s="339"/>
      <c r="C655" s="339"/>
      <c r="D655" s="339"/>
      <c r="E655" s="339"/>
      <c r="F655" s="339"/>
      <c r="G655" s="339"/>
      <c r="H655" s="339"/>
      <c r="I655" s="341"/>
      <c r="J655" s="341"/>
      <c r="K655" s="340"/>
      <c r="L655" s="339"/>
      <c r="M655" s="341"/>
      <c r="N655" s="341"/>
      <c r="O655" s="340"/>
      <c r="P655" s="339"/>
      <c r="Q655" s="341"/>
      <c r="R655" s="339"/>
      <c r="S655" s="340"/>
      <c r="T655" s="339"/>
      <c r="U655" s="339"/>
      <c r="V655" s="339"/>
      <c r="W655" s="339"/>
      <c r="X655" s="339"/>
      <c r="Y655" s="339"/>
      <c r="Z655" s="339"/>
    </row>
    <row r="656" spans="1:26" ht="15.75" customHeight="1">
      <c r="A656" s="339"/>
      <c r="B656" s="339"/>
      <c r="C656" s="339"/>
      <c r="D656" s="339"/>
      <c r="E656" s="339"/>
      <c r="F656" s="339"/>
      <c r="G656" s="339"/>
      <c r="H656" s="339"/>
      <c r="I656" s="341"/>
      <c r="J656" s="341"/>
      <c r="K656" s="340"/>
      <c r="L656" s="339"/>
      <c r="M656" s="341"/>
      <c r="N656" s="341"/>
      <c r="O656" s="340"/>
      <c r="P656" s="339"/>
      <c r="Q656" s="341"/>
      <c r="R656" s="339"/>
      <c r="S656" s="340"/>
      <c r="T656" s="339"/>
      <c r="U656" s="339"/>
      <c r="V656" s="339"/>
      <c r="W656" s="339"/>
      <c r="X656" s="339"/>
      <c r="Y656" s="339"/>
      <c r="Z656" s="339"/>
    </row>
    <row r="657" spans="1:26" ht="15.75" customHeight="1">
      <c r="A657" s="339"/>
      <c r="B657" s="339"/>
      <c r="C657" s="339"/>
      <c r="D657" s="339"/>
      <c r="E657" s="339"/>
      <c r="F657" s="339"/>
      <c r="G657" s="339"/>
      <c r="H657" s="339"/>
      <c r="I657" s="341"/>
      <c r="J657" s="341"/>
      <c r="K657" s="340"/>
      <c r="L657" s="339"/>
      <c r="M657" s="341"/>
      <c r="N657" s="341"/>
      <c r="O657" s="340"/>
      <c r="P657" s="339"/>
      <c r="Q657" s="341"/>
      <c r="R657" s="339"/>
      <c r="S657" s="340"/>
      <c r="T657" s="339"/>
      <c r="U657" s="339"/>
      <c r="V657" s="339"/>
      <c r="W657" s="339"/>
      <c r="X657" s="339"/>
      <c r="Y657" s="339"/>
      <c r="Z657" s="339"/>
    </row>
    <row r="658" spans="1:26" ht="15.75" customHeight="1">
      <c r="A658" s="339"/>
      <c r="B658" s="339"/>
      <c r="C658" s="339"/>
      <c r="D658" s="339"/>
      <c r="E658" s="339"/>
      <c r="F658" s="339"/>
      <c r="G658" s="339"/>
      <c r="H658" s="339"/>
      <c r="I658" s="341"/>
      <c r="J658" s="341"/>
      <c r="K658" s="340"/>
      <c r="L658" s="339"/>
      <c r="M658" s="341"/>
      <c r="N658" s="341"/>
      <c r="O658" s="340"/>
      <c r="P658" s="339"/>
      <c r="Q658" s="341"/>
      <c r="R658" s="339"/>
      <c r="S658" s="340"/>
      <c r="T658" s="339"/>
      <c r="U658" s="339"/>
      <c r="V658" s="339"/>
      <c r="W658" s="339"/>
      <c r="X658" s="339"/>
      <c r="Y658" s="339"/>
      <c r="Z658" s="339"/>
    </row>
    <row r="659" spans="1:26" ht="15.75" customHeight="1">
      <c r="A659" s="339"/>
      <c r="B659" s="339"/>
      <c r="C659" s="339"/>
      <c r="D659" s="339"/>
      <c r="E659" s="339"/>
      <c r="F659" s="339"/>
      <c r="G659" s="339"/>
      <c r="H659" s="339"/>
      <c r="I659" s="341"/>
      <c r="J659" s="341"/>
      <c r="K659" s="340"/>
      <c r="L659" s="339"/>
      <c r="M659" s="341"/>
      <c r="N659" s="341"/>
      <c r="O659" s="340"/>
      <c r="P659" s="339"/>
      <c r="Q659" s="341"/>
      <c r="R659" s="339"/>
      <c r="S659" s="340"/>
      <c r="T659" s="339"/>
      <c r="U659" s="339"/>
      <c r="V659" s="339"/>
      <c r="W659" s="339"/>
      <c r="X659" s="339"/>
      <c r="Y659" s="339"/>
      <c r="Z659" s="339"/>
    </row>
    <row r="660" spans="1:26" ht="15.75" customHeight="1">
      <c r="A660" s="339"/>
      <c r="B660" s="339"/>
      <c r="C660" s="339"/>
      <c r="D660" s="339"/>
      <c r="E660" s="339"/>
      <c r="F660" s="339"/>
      <c r="G660" s="339"/>
      <c r="H660" s="339"/>
      <c r="I660" s="341"/>
      <c r="J660" s="341"/>
      <c r="K660" s="340"/>
      <c r="L660" s="339"/>
      <c r="M660" s="341"/>
      <c r="N660" s="341"/>
      <c r="O660" s="340"/>
      <c r="P660" s="339"/>
      <c r="Q660" s="341"/>
      <c r="R660" s="339"/>
      <c r="S660" s="340"/>
      <c r="T660" s="339"/>
      <c r="U660" s="339"/>
      <c r="V660" s="339"/>
      <c r="W660" s="339"/>
      <c r="X660" s="339"/>
      <c r="Y660" s="339"/>
      <c r="Z660" s="339"/>
    </row>
    <row r="661" spans="1:26" ht="15.75" customHeight="1">
      <c r="A661" s="339"/>
      <c r="B661" s="339"/>
      <c r="C661" s="339"/>
      <c r="D661" s="339"/>
      <c r="E661" s="339"/>
      <c r="F661" s="339"/>
      <c r="G661" s="339"/>
      <c r="H661" s="339"/>
      <c r="I661" s="341"/>
      <c r="J661" s="341"/>
      <c r="K661" s="340"/>
      <c r="L661" s="339"/>
      <c r="M661" s="341"/>
      <c r="N661" s="341"/>
      <c r="O661" s="340"/>
      <c r="P661" s="339"/>
      <c r="Q661" s="341"/>
      <c r="R661" s="339"/>
      <c r="S661" s="340"/>
      <c r="T661" s="339"/>
      <c r="U661" s="339"/>
      <c r="V661" s="339"/>
      <c r="W661" s="339"/>
      <c r="X661" s="339"/>
      <c r="Y661" s="339"/>
      <c r="Z661" s="339"/>
    </row>
    <row r="662" spans="1:26" ht="15.75" customHeight="1">
      <c r="A662" s="339"/>
      <c r="B662" s="339"/>
      <c r="C662" s="339"/>
      <c r="D662" s="339"/>
      <c r="E662" s="339"/>
      <c r="F662" s="339"/>
      <c r="G662" s="339"/>
      <c r="H662" s="339"/>
      <c r="I662" s="341"/>
      <c r="J662" s="341"/>
      <c r="K662" s="340"/>
      <c r="L662" s="339"/>
      <c r="M662" s="341"/>
      <c r="N662" s="341"/>
      <c r="O662" s="340"/>
      <c r="P662" s="339"/>
      <c r="Q662" s="341"/>
      <c r="R662" s="339"/>
      <c r="S662" s="340"/>
      <c r="T662" s="339"/>
      <c r="U662" s="339"/>
      <c r="V662" s="339"/>
      <c r="W662" s="339"/>
      <c r="X662" s="339"/>
      <c r="Y662" s="339"/>
      <c r="Z662" s="339"/>
    </row>
    <row r="663" spans="1:26" ht="15.75" customHeight="1">
      <c r="A663" s="339"/>
      <c r="B663" s="339"/>
      <c r="C663" s="339"/>
      <c r="D663" s="339"/>
      <c r="E663" s="339"/>
      <c r="F663" s="339"/>
      <c r="G663" s="339"/>
      <c r="H663" s="339"/>
      <c r="I663" s="341"/>
      <c r="J663" s="341"/>
      <c r="K663" s="340"/>
      <c r="L663" s="339"/>
      <c r="M663" s="341"/>
      <c r="N663" s="341"/>
      <c r="O663" s="340"/>
      <c r="P663" s="339"/>
      <c r="Q663" s="341"/>
      <c r="R663" s="339"/>
      <c r="S663" s="340"/>
      <c r="T663" s="339"/>
      <c r="U663" s="339"/>
      <c r="V663" s="339"/>
      <c r="W663" s="339"/>
      <c r="X663" s="339"/>
      <c r="Y663" s="339"/>
      <c r="Z663" s="339"/>
    </row>
    <row r="664" spans="1:26" ht="15.75" customHeight="1">
      <c r="A664" s="339"/>
      <c r="B664" s="339"/>
      <c r="C664" s="339"/>
      <c r="D664" s="339"/>
      <c r="E664" s="339"/>
      <c r="F664" s="339"/>
      <c r="G664" s="339"/>
      <c r="H664" s="339"/>
      <c r="I664" s="341"/>
      <c r="J664" s="341"/>
      <c r="K664" s="340"/>
      <c r="L664" s="339"/>
      <c r="M664" s="341"/>
      <c r="N664" s="341"/>
      <c r="O664" s="340"/>
      <c r="P664" s="339"/>
      <c r="Q664" s="341"/>
      <c r="R664" s="339"/>
      <c r="S664" s="340"/>
      <c r="T664" s="339"/>
      <c r="U664" s="339"/>
      <c r="V664" s="339"/>
      <c r="W664" s="339"/>
      <c r="X664" s="339"/>
      <c r="Y664" s="339"/>
      <c r="Z664" s="339"/>
    </row>
    <row r="665" spans="1:26" ht="15.75" customHeight="1">
      <c r="A665" s="339"/>
      <c r="B665" s="339"/>
      <c r="C665" s="339"/>
      <c r="D665" s="339"/>
      <c r="E665" s="339"/>
      <c r="F665" s="339"/>
      <c r="G665" s="339"/>
      <c r="H665" s="339"/>
      <c r="I665" s="341"/>
      <c r="J665" s="341"/>
      <c r="K665" s="340"/>
      <c r="L665" s="339"/>
      <c r="M665" s="341"/>
      <c r="N665" s="341"/>
      <c r="O665" s="340"/>
      <c r="P665" s="339"/>
      <c r="Q665" s="341"/>
      <c r="R665" s="339"/>
      <c r="S665" s="340"/>
      <c r="T665" s="339"/>
      <c r="U665" s="339"/>
      <c r="V665" s="339"/>
      <c r="W665" s="339"/>
      <c r="X665" s="339"/>
      <c r="Y665" s="339"/>
      <c r="Z665" s="339"/>
    </row>
    <row r="666" spans="1:26" ht="15.75" customHeight="1">
      <c r="A666" s="339"/>
      <c r="B666" s="339"/>
      <c r="C666" s="339"/>
      <c r="D666" s="339"/>
      <c r="E666" s="339"/>
      <c r="F666" s="339"/>
      <c r="G666" s="339"/>
      <c r="H666" s="339"/>
      <c r="I666" s="341"/>
      <c r="J666" s="341"/>
      <c r="K666" s="340"/>
      <c r="L666" s="339"/>
      <c r="M666" s="341"/>
      <c r="N666" s="341"/>
      <c r="O666" s="340"/>
      <c r="P666" s="339"/>
      <c r="Q666" s="341"/>
      <c r="R666" s="339"/>
      <c r="S666" s="340"/>
      <c r="T666" s="339"/>
      <c r="U666" s="339"/>
      <c r="V666" s="339"/>
      <c r="W666" s="339"/>
      <c r="X666" s="339"/>
      <c r="Y666" s="339"/>
      <c r="Z666" s="339"/>
    </row>
    <row r="667" spans="1:26" ht="15.75" customHeight="1">
      <c r="A667" s="339"/>
      <c r="B667" s="339"/>
      <c r="C667" s="339"/>
      <c r="D667" s="339"/>
      <c r="E667" s="339"/>
      <c r="F667" s="339"/>
      <c r="G667" s="339"/>
      <c r="H667" s="339"/>
      <c r="I667" s="341"/>
      <c r="J667" s="341"/>
      <c r="K667" s="340"/>
      <c r="L667" s="339"/>
      <c r="M667" s="341"/>
      <c r="N667" s="341"/>
      <c r="O667" s="340"/>
      <c r="P667" s="339"/>
      <c r="Q667" s="341"/>
      <c r="R667" s="339"/>
      <c r="S667" s="340"/>
      <c r="T667" s="339"/>
      <c r="U667" s="339"/>
      <c r="V667" s="339"/>
      <c r="W667" s="339"/>
      <c r="X667" s="339"/>
      <c r="Y667" s="339"/>
      <c r="Z667" s="339"/>
    </row>
    <row r="668" spans="1:26" ht="15.75" customHeight="1">
      <c r="A668" s="339"/>
      <c r="B668" s="339"/>
      <c r="C668" s="339"/>
      <c r="D668" s="339"/>
      <c r="E668" s="339"/>
      <c r="F668" s="339"/>
      <c r="G668" s="339"/>
      <c r="H668" s="339"/>
      <c r="I668" s="341"/>
      <c r="J668" s="341"/>
      <c r="K668" s="340"/>
      <c r="L668" s="339"/>
      <c r="M668" s="341"/>
      <c r="N668" s="341"/>
      <c r="O668" s="340"/>
      <c r="P668" s="339"/>
      <c r="Q668" s="341"/>
      <c r="R668" s="339"/>
      <c r="S668" s="340"/>
      <c r="T668" s="339"/>
      <c r="U668" s="339"/>
      <c r="V668" s="339"/>
      <c r="W668" s="339"/>
      <c r="X668" s="339"/>
      <c r="Y668" s="339"/>
      <c r="Z668" s="339"/>
    </row>
    <row r="669" spans="1:26" ht="15.75" customHeight="1">
      <c r="A669" s="339"/>
      <c r="B669" s="339"/>
      <c r="C669" s="339"/>
      <c r="D669" s="339"/>
      <c r="E669" s="339"/>
      <c r="F669" s="339"/>
      <c r="G669" s="339"/>
      <c r="H669" s="339"/>
      <c r="I669" s="341"/>
      <c r="J669" s="341"/>
      <c r="K669" s="340"/>
      <c r="L669" s="339"/>
      <c r="M669" s="341"/>
      <c r="N669" s="341"/>
      <c r="O669" s="340"/>
      <c r="P669" s="339"/>
      <c r="Q669" s="341"/>
      <c r="R669" s="339"/>
      <c r="S669" s="340"/>
      <c r="T669" s="339"/>
      <c r="U669" s="339"/>
      <c r="V669" s="339"/>
      <c r="W669" s="339"/>
      <c r="X669" s="339"/>
      <c r="Y669" s="339"/>
      <c r="Z669" s="339"/>
    </row>
    <row r="670" spans="1:26" ht="15.75" customHeight="1">
      <c r="A670" s="339"/>
      <c r="B670" s="339"/>
      <c r="C670" s="339"/>
      <c r="D670" s="339"/>
      <c r="E670" s="339"/>
      <c r="F670" s="339"/>
      <c r="G670" s="339"/>
      <c r="H670" s="339"/>
      <c r="I670" s="341"/>
      <c r="J670" s="341"/>
      <c r="K670" s="340"/>
      <c r="L670" s="339"/>
      <c r="M670" s="341"/>
      <c r="N670" s="341"/>
      <c r="O670" s="340"/>
      <c r="P670" s="339"/>
      <c r="Q670" s="341"/>
      <c r="R670" s="339"/>
      <c r="S670" s="340"/>
      <c r="T670" s="339"/>
      <c r="U670" s="339"/>
      <c r="V670" s="339"/>
      <c r="W670" s="339"/>
      <c r="X670" s="339"/>
      <c r="Y670" s="339"/>
      <c r="Z670" s="339"/>
    </row>
    <row r="671" spans="1:26" ht="15.75" customHeight="1">
      <c r="A671" s="339"/>
      <c r="B671" s="339"/>
      <c r="C671" s="339"/>
      <c r="D671" s="339"/>
      <c r="E671" s="339"/>
      <c r="F671" s="339"/>
      <c r="G671" s="339"/>
      <c r="H671" s="339"/>
      <c r="I671" s="341"/>
      <c r="J671" s="341"/>
      <c r="K671" s="340"/>
      <c r="L671" s="339"/>
      <c r="M671" s="341"/>
      <c r="N671" s="341"/>
      <c r="O671" s="340"/>
      <c r="P671" s="339"/>
      <c r="Q671" s="341"/>
      <c r="R671" s="339"/>
      <c r="S671" s="340"/>
      <c r="T671" s="339"/>
      <c r="U671" s="339"/>
      <c r="V671" s="339"/>
      <c r="W671" s="339"/>
      <c r="X671" s="339"/>
      <c r="Y671" s="339"/>
      <c r="Z671" s="339"/>
    </row>
    <row r="672" spans="1:26" ht="15.75" customHeight="1">
      <c r="A672" s="339"/>
      <c r="B672" s="339"/>
      <c r="C672" s="339"/>
      <c r="D672" s="339"/>
      <c r="E672" s="339"/>
      <c r="F672" s="339"/>
      <c r="G672" s="339"/>
      <c r="H672" s="339"/>
      <c r="I672" s="341"/>
      <c r="J672" s="341"/>
      <c r="K672" s="340"/>
      <c r="L672" s="339"/>
      <c r="M672" s="341"/>
      <c r="N672" s="341"/>
      <c r="O672" s="340"/>
      <c r="P672" s="339"/>
      <c r="Q672" s="341"/>
      <c r="R672" s="339"/>
      <c r="S672" s="340"/>
      <c r="T672" s="339"/>
      <c r="U672" s="339"/>
      <c r="V672" s="339"/>
      <c r="W672" s="339"/>
      <c r="X672" s="339"/>
      <c r="Y672" s="339"/>
      <c r="Z672" s="339"/>
    </row>
    <row r="673" spans="1:26" ht="15.75" customHeight="1">
      <c r="A673" s="339"/>
      <c r="B673" s="339"/>
      <c r="C673" s="339"/>
      <c r="D673" s="339"/>
      <c r="E673" s="339"/>
      <c r="F673" s="339"/>
      <c r="G673" s="339"/>
      <c r="H673" s="339"/>
      <c r="I673" s="341"/>
      <c r="J673" s="341"/>
      <c r="K673" s="340"/>
      <c r="L673" s="339"/>
      <c r="M673" s="341"/>
      <c r="N673" s="341"/>
      <c r="O673" s="340"/>
      <c r="P673" s="339"/>
      <c r="Q673" s="341"/>
      <c r="R673" s="339"/>
      <c r="S673" s="340"/>
      <c r="T673" s="339"/>
      <c r="U673" s="339"/>
      <c r="V673" s="339"/>
      <c r="W673" s="339"/>
      <c r="X673" s="339"/>
      <c r="Y673" s="339"/>
      <c r="Z673" s="339"/>
    </row>
    <row r="674" spans="1:26" ht="15.75" customHeight="1">
      <c r="A674" s="339"/>
      <c r="B674" s="339"/>
      <c r="C674" s="339"/>
      <c r="D674" s="339"/>
      <c r="E674" s="339"/>
      <c r="F674" s="339"/>
      <c r="G674" s="339"/>
      <c r="H674" s="339"/>
      <c r="I674" s="341"/>
      <c r="J674" s="341"/>
      <c r="K674" s="340"/>
      <c r="L674" s="339"/>
      <c r="M674" s="341"/>
      <c r="N674" s="341"/>
      <c r="O674" s="340"/>
      <c r="P674" s="339"/>
      <c r="Q674" s="341"/>
      <c r="R674" s="339"/>
      <c r="S674" s="340"/>
      <c r="T674" s="339"/>
      <c r="U674" s="339"/>
      <c r="V674" s="339"/>
      <c r="W674" s="339"/>
      <c r="X674" s="339"/>
      <c r="Y674" s="339"/>
      <c r="Z674" s="339"/>
    </row>
    <row r="675" spans="1:26" ht="15.75" customHeight="1">
      <c r="A675" s="339"/>
      <c r="B675" s="339"/>
      <c r="C675" s="339"/>
      <c r="D675" s="339"/>
      <c r="E675" s="339"/>
      <c r="F675" s="339"/>
      <c r="G675" s="339"/>
      <c r="H675" s="339"/>
      <c r="I675" s="341"/>
      <c r="J675" s="341"/>
      <c r="K675" s="340"/>
      <c r="L675" s="339"/>
      <c r="M675" s="341"/>
      <c r="N675" s="341"/>
      <c r="O675" s="340"/>
      <c r="P675" s="339"/>
      <c r="Q675" s="341"/>
      <c r="R675" s="339"/>
      <c r="S675" s="340"/>
      <c r="T675" s="339"/>
      <c r="U675" s="339"/>
      <c r="V675" s="339"/>
      <c r="W675" s="339"/>
      <c r="X675" s="339"/>
      <c r="Y675" s="339"/>
      <c r="Z675" s="339"/>
    </row>
    <row r="676" spans="1:26" ht="15.75" customHeight="1">
      <c r="A676" s="339"/>
      <c r="B676" s="339"/>
      <c r="C676" s="339"/>
      <c r="D676" s="339"/>
      <c r="E676" s="339"/>
      <c r="F676" s="339"/>
      <c r="G676" s="339"/>
      <c r="H676" s="339"/>
      <c r="I676" s="341"/>
      <c r="J676" s="341"/>
      <c r="K676" s="340"/>
      <c r="L676" s="339"/>
      <c r="M676" s="341"/>
      <c r="N676" s="341"/>
      <c r="O676" s="340"/>
      <c r="P676" s="339"/>
      <c r="Q676" s="341"/>
      <c r="R676" s="339"/>
      <c r="S676" s="340"/>
      <c r="T676" s="339"/>
      <c r="U676" s="339"/>
      <c r="V676" s="339"/>
      <c r="W676" s="339"/>
      <c r="X676" s="339"/>
      <c r="Y676" s="339"/>
      <c r="Z676" s="339"/>
    </row>
    <row r="677" spans="1:26" ht="15.75" customHeight="1">
      <c r="A677" s="339"/>
      <c r="B677" s="339"/>
      <c r="C677" s="339"/>
      <c r="D677" s="339"/>
      <c r="E677" s="339"/>
      <c r="F677" s="339"/>
      <c r="G677" s="339"/>
      <c r="H677" s="339"/>
      <c r="I677" s="341"/>
      <c r="J677" s="341"/>
      <c r="K677" s="340"/>
      <c r="L677" s="339"/>
      <c r="M677" s="341"/>
      <c r="N677" s="341"/>
      <c r="O677" s="340"/>
      <c r="P677" s="339"/>
      <c r="Q677" s="341"/>
      <c r="R677" s="339"/>
      <c r="S677" s="340"/>
      <c r="T677" s="339"/>
      <c r="U677" s="339"/>
      <c r="V677" s="339"/>
      <c r="W677" s="339"/>
      <c r="X677" s="339"/>
      <c r="Y677" s="339"/>
      <c r="Z677" s="339"/>
    </row>
    <row r="678" spans="1:26" ht="15.75" customHeight="1">
      <c r="A678" s="339"/>
      <c r="B678" s="339"/>
      <c r="C678" s="339"/>
      <c r="D678" s="339"/>
      <c r="E678" s="339"/>
      <c r="F678" s="339"/>
      <c r="G678" s="339"/>
      <c r="H678" s="339"/>
      <c r="I678" s="341"/>
      <c r="J678" s="341"/>
      <c r="K678" s="340"/>
      <c r="L678" s="339"/>
      <c r="M678" s="341"/>
      <c r="N678" s="341"/>
      <c r="O678" s="340"/>
      <c r="P678" s="339"/>
      <c r="Q678" s="341"/>
      <c r="R678" s="339"/>
      <c r="S678" s="340"/>
      <c r="T678" s="339"/>
      <c r="U678" s="339"/>
      <c r="V678" s="339"/>
      <c r="W678" s="339"/>
      <c r="X678" s="339"/>
      <c r="Y678" s="339"/>
      <c r="Z678" s="339"/>
    </row>
    <row r="679" spans="1:26" ht="15.75" customHeight="1">
      <c r="A679" s="339"/>
      <c r="B679" s="339"/>
      <c r="C679" s="339"/>
      <c r="D679" s="339"/>
      <c r="E679" s="339"/>
      <c r="F679" s="339"/>
      <c r="G679" s="339"/>
      <c r="H679" s="339"/>
      <c r="I679" s="341"/>
      <c r="J679" s="341"/>
      <c r="K679" s="340"/>
      <c r="L679" s="339"/>
      <c r="M679" s="341"/>
      <c r="N679" s="341"/>
      <c r="O679" s="340"/>
      <c r="P679" s="339"/>
      <c r="Q679" s="341"/>
      <c r="R679" s="339"/>
      <c r="S679" s="340"/>
      <c r="T679" s="339"/>
      <c r="U679" s="339"/>
      <c r="V679" s="339"/>
      <c r="W679" s="339"/>
      <c r="X679" s="339"/>
      <c r="Y679" s="339"/>
      <c r="Z679" s="339"/>
    </row>
    <row r="680" spans="1:26" ht="15.75" customHeight="1">
      <c r="A680" s="339"/>
      <c r="B680" s="339"/>
      <c r="C680" s="339"/>
      <c r="D680" s="339"/>
      <c r="E680" s="339"/>
      <c r="F680" s="339"/>
      <c r="G680" s="339"/>
      <c r="H680" s="339"/>
      <c r="I680" s="341"/>
      <c r="J680" s="341"/>
      <c r="K680" s="340"/>
      <c r="L680" s="339"/>
      <c r="M680" s="341"/>
      <c r="N680" s="341"/>
      <c r="O680" s="340"/>
      <c r="P680" s="339"/>
      <c r="Q680" s="341"/>
      <c r="R680" s="339"/>
      <c r="S680" s="340"/>
      <c r="T680" s="339"/>
      <c r="U680" s="339"/>
      <c r="V680" s="339"/>
      <c r="W680" s="339"/>
      <c r="X680" s="339"/>
      <c r="Y680" s="339"/>
      <c r="Z680" s="339"/>
    </row>
    <row r="681" spans="1:26" ht="15.75" customHeight="1">
      <c r="A681" s="339"/>
      <c r="B681" s="339"/>
      <c r="C681" s="339"/>
      <c r="D681" s="339"/>
      <c r="E681" s="339"/>
      <c r="F681" s="339"/>
      <c r="G681" s="339"/>
      <c r="H681" s="339"/>
      <c r="I681" s="341"/>
      <c r="J681" s="341"/>
      <c r="K681" s="340"/>
      <c r="L681" s="339"/>
      <c r="M681" s="341"/>
      <c r="N681" s="341"/>
      <c r="O681" s="340"/>
      <c r="P681" s="339"/>
      <c r="Q681" s="341"/>
      <c r="R681" s="339"/>
      <c r="S681" s="340"/>
      <c r="T681" s="339"/>
      <c r="U681" s="339"/>
      <c r="V681" s="339"/>
      <c r="W681" s="339"/>
      <c r="X681" s="339"/>
      <c r="Y681" s="339"/>
      <c r="Z681" s="339"/>
    </row>
    <row r="682" spans="1:26" ht="15.75" customHeight="1">
      <c r="A682" s="339"/>
      <c r="B682" s="339"/>
      <c r="C682" s="339"/>
      <c r="D682" s="339"/>
      <c r="E682" s="339"/>
      <c r="F682" s="339"/>
      <c r="G682" s="339"/>
      <c r="H682" s="339"/>
      <c r="I682" s="341"/>
      <c r="J682" s="341"/>
      <c r="K682" s="340"/>
      <c r="L682" s="339"/>
      <c r="M682" s="341"/>
      <c r="N682" s="341"/>
      <c r="O682" s="340"/>
      <c r="P682" s="339"/>
      <c r="Q682" s="341"/>
      <c r="R682" s="339"/>
      <c r="S682" s="340"/>
      <c r="T682" s="339"/>
      <c r="U682" s="339"/>
      <c r="V682" s="339"/>
      <c r="W682" s="339"/>
      <c r="X682" s="339"/>
      <c r="Y682" s="339"/>
      <c r="Z682" s="339"/>
    </row>
    <row r="683" spans="1:26" ht="15.75" customHeight="1">
      <c r="A683" s="339"/>
      <c r="B683" s="339"/>
      <c r="C683" s="339"/>
      <c r="D683" s="339"/>
      <c r="E683" s="339"/>
      <c r="F683" s="339"/>
      <c r="G683" s="339"/>
      <c r="H683" s="339"/>
      <c r="I683" s="341"/>
      <c r="J683" s="341"/>
      <c r="K683" s="340"/>
      <c r="L683" s="339"/>
      <c r="M683" s="341"/>
      <c r="N683" s="341"/>
      <c r="O683" s="340"/>
      <c r="P683" s="339"/>
      <c r="Q683" s="341"/>
      <c r="R683" s="339"/>
      <c r="S683" s="340"/>
      <c r="T683" s="339"/>
      <c r="U683" s="339"/>
      <c r="V683" s="339"/>
      <c r="W683" s="339"/>
      <c r="X683" s="339"/>
      <c r="Y683" s="339"/>
      <c r="Z683" s="339"/>
    </row>
    <row r="684" spans="1:26" ht="15.75" customHeight="1">
      <c r="A684" s="339"/>
      <c r="B684" s="339"/>
      <c r="C684" s="339"/>
      <c r="D684" s="339"/>
      <c r="E684" s="339"/>
      <c r="F684" s="339"/>
      <c r="G684" s="339"/>
      <c r="H684" s="339"/>
      <c r="I684" s="341"/>
      <c r="J684" s="341"/>
      <c r="K684" s="340"/>
      <c r="L684" s="339"/>
      <c r="M684" s="341"/>
      <c r="N684" s="341"/>
      <c r="O684" s="340"/>
      <c r="P684" s="339"/>
      <c r="Q684" s="341"/>
      <c r="R684" s="339"/>
      <c r="S684" s="340"/>
      <c r="T684" s="339"/>
      <c r="U684" s="339"/>
      <c r="V684" s="339"/>
      <c r="W684" s="339"/>
      <c r="X684" s="339"/>
      <c r="Y684" s="339"/>
      <c r="Z684" s="339"/>
    </row>
    <row r="685" spans="1:26" ht="15.75" customHeight="1">
      <c r="A685" s="339"/>
      <c r="B685" s="339"/>
      <c r="C685" s="339"/>
      <c r="D685" s="339"/>
      <c r="E685" s="339"/>
      <c r="F685" s="339"/>
      <c r="G685" s="339"/>
      <c r="H685" s="339"/>
      <c r="I685" s="341"/>
      <c r="J685" s="341"/>
      <c r="K685" s="340"/>
      <c r="L685" s="339"/>
      <c r="M685" s="341"/>
      <c r="N685" s="341"/>
      <c r="O685" s="340"/>
      <c r="P685" s="339"/>
      <c r="Q685" s="341"/>
      <c r="R685" s="339"/>
      <c r="S685" s="340"/>
      <c r="T685" s="339"/>
      <c r="U685" s="339"/>
      <c r="V685" s="339"/>
      <c r="W685" s="339"/>
      <c r="X685" s="339"/>
      <c r="Y685" s="339"/>
      <c r="Z685" s="339"/>
    </row>
    <row r="686" spans="1:26" ht="15.75" customHeight="1">
      <c r="A686" s="339"/>
      <c r="B686" s="339"/>
      <c r="C686" s="339"/>
      <c r="D686" s="339"/>
      <c r="E686" s="339"/>
      <c r="F686" s="339"/>
      <c r="G686" s="339"/>
      <c r="H686" s="339"/>
      <c r="I686" s="341"/>
      <c r="J686" s="341"/>
      <c r="K686" s="340"/>
      <c r="L686" s="339"/>
      <c r="M686" s="341"/>
      <c r="N686" s="341"/>
      <c r="O686" s="340"/>
      <c r="P686" s="339"/>
      <c r="Q686" s="341"/>
      <c r="R686" s="339"/>
      <c r="S686" s="340"/>
      <c r="T686" s="339"/>
      <c r="U686" s="339"/>
      <c r="V686" s="339"/>
      <c r="W686" s="339"/>
      <c r="X686" s="339"/>
      <c r="Y686" s="339"/>
      <c r="Z686" s="339"/>
    </row>
    <row r="687" spans="1:26" ht="15.75" customHeight="1">
      <c r="A687" s="339"/>
      <c r="B687" s="339"/>
      <c r="C687" s="339"/>
      <c r="D687" s="339"/>
      <c r="E687" s="339"/>
      <c r="F687" s="339"/>
      <c r="G687" s="339"/>
      <c r="H687" s="339"/>
      <c r="I687" s="341"/>
      <c r="J687" s="341"/>
      <c r="K687" s="340"/>
      <c r="L687" s="339"/>
      <c r="M687" s="341"/>
      <c r="N687" s="341"/>
      <c r="O687" s="340"/>
      <c r="P687" s="339"/>
      <c r="Q687" s="341"/>
      <c r="R687" s="339"/>
      <c r="S687" s="340"/>
      <c r="T687" s="339"/>
      <c r="U687" s="339"/>
      <c r="V687" s="339"/>
      <c r="W687" s="339"/>
      <c r="X687" s="339"/>
      <c r="Y687" s="339"/>
      <c r="Z687" s="339"/>
    </row>
    <row r="688" spans="1:26" ht="15.75" customHeight="1">
      <c r="A688" s="339"/>
      <c r="B688" s="339"/>
      <c r="C688" s="339"/>
      <c r="D688" s="339"/>
      <c r="E688" s="339"/>
      <c r="F688" s="339"/>
      <c r="G688" s="339"/>
      <c r="H688" s="339"/>
      <c r="I688" s="341"/>
      <c r="J688" s="341"/>
      <c r="K688" s="340"/>
      <c r="L688" s="339"/>
      <c r="M688" s="341"/>
      <c r="N688" s="341"/>
      <c r="O688" s="340"/>
      <c r="P688" s="339"/>
      <c r="Q688" s="341"/>
      <c r="R688" s="339"/>
      <c r="S688" s="340"/>
      <c r="T688" s="339"/>
      <c r="U688" s="339"/>
      <c r="V688" s="339"/>
      <c r="W688" s="339"/>
      <c r="X688" s="339"/>
      <c r="Y688" s="339"/>
      <c r="Z688" s="339"/>
    </row>
    <row r="689" spans="1:26" ht="15.75" customHeight="1">
      <c r="A689" s="339"/>
      <c r="B689" s="339"/>
      <c r="C689" s="339"/>
      <c r="D689" s="339"/>
      <c r="E689" s="339"/>
      <c r="F689" s="339"/>
      <c r="G689" s="339"/>
      <c r="H689" s="339"/>
      <c r="I689" s="341"/>
      <c r="J689" s="341"/>
      <c r="K689" s="340"/>
      <c r="L689" s="339"/>
      <c r="M689" s="341"/>
      <c r="N689" s="341"/>
      <c r="O689" s="340"/>
      <c r="P689" s="339"/>
      <c r="Q689" s="341"/>
      <c r="R689" s="339"/>
      <c r="S689" s="340"/>
      <c r="T689" s="339"/>
      <c r="U689" s="339"/>
      <c r="V689" s="339"/>
      <c r="W689" s="339"/>
      <c r="X689" s="339"/>
      <c r="Y689" s="339"/>
      <c r="Z689" s="339"/>
    </row>
    <row r="690" spans="1:26" ht="15.75" customHeight="1">
      <c r="A690" s="339"/>
      <c r="B690" s="339"/>
      <c r="C690" s="339"/>
      <c r="D690" s="339"/>
      <c r="E690" s="339"/>
      <c r="F690" s="339"/>
      <c r="G690" s="339"/>
      <c r="H690" s="339"/>
      <c r="I690" s="341"/>
      <c r="J690" s="341"/>
      <c r="K690" s="340"/>
      <c r="L690" s="339"/>
      <c r="M690" s="341"/>
      <c r="N690" s="341"/>
      <c r="O690" s="340"/>
      <c r="P690" s="339"/>
      <c r="Q690" s="341"/>
      <c r="R690" s="339"/>
      <c r="S690" s="340"/>
      <c r="T690" s="339"/>
      <c r="U690" s="339"/>
      <c r="V690" s="339"/>
      <c r="W690" s="339"/>
      <c r="X690" s="339"/>
      <c r="Y690" s="339"/>
      <c r="Z690" s="339"/>
    </row>
    <row r="691" spans="1:26" ht="15.75" customHeight="1">
      <c r="A691" s="339"/>
      <c r="B691" s="339"/>
      <c r="C691" s="339"/>
      <c r="D691" s="339"/>
      <c r="E691" s="339"/>
      <c r="F691" s="339"/>
      <c r="G691" s="339"/>
      <c r="H691" s="339"/>
      <c r="I691" s="341"/>
      <c r="J691" s="341"/>
      <c r="K691" s="340"/>
      <c r="L691" s="339"/>
      <c r="M691" s="341"/>
      <c r="N691" s="341"/>
      <c r="O691" s="340"/>
      <c r="P691" s="339"/>
      <c r="Q691" s="341"/>
      <c r="R691" s="339"/>
      <c r="S691" s="340"/>
      <c r="T691" s="339"/>
      <c r="U691" s="339"/>
      <c r="V691" s="339"/>
      <c r="W691" s="339"/>
      <c r="X691" s="339"/>
      <c r="Y691" s="339"/>
      <c r="Z691" s="339"/>
    </row>
    <row r="692" spans="1:26" ht="15.75" customHeight="1">
      <c r="A692" s="339"/>
      <c r="B692" s="339"/>
      <c r="C692" s="339"/>
      <c r="D692" s="339"/>
      <c r="E692" s="339"/>
      <c r="F692" s="339"/>
      <c r="G692" s="339"/>
      <c r="H692" s="339"/>
      <c r="I692" s="341"/>
      <c r="J692" s="341"/>
      <c r="K692" s="340"/>
      <c r="L692" s="339"/>
      <c r="M692" s="341"/>
      <c r="N692" s="341"/>
      <c r="O692" s="340"/>
      <c r="P692" s="339"/>
      <c r="Q692" s="341"/>
      <c r="R692" s="339"/>
      <c r="S692" s="340"/>
      <c r="T692" s="339"/>
      <c r="U692" s="339"/>
      <c r="V692" s="339"/>
      <c r="W692" s="339"/>
      <c r="X692" s="339"/>
      <c r="Y692" s="339"/>
      <c r="Z692" s="339"/>
    </row>
    <row r="693" spans="1:26" ht="15.75" customHeight="1">
      <c r="A693" s="339"/>
      <c r="B693" s="339"/>
      <c r="C693" s="339"/>
      <c r="D693" s="339"/>
      <c r="E693" s="339"/>
      <c r="F693" s="339"/>
      <c r="G693" s="339"/>
      <c r="H693" s="339"/>
      <c r="I693" s="341"/>
      <c r="J693" s="341"/>
      <c r="K693" s="340"/>
      <c r="L693" s="339"/>
      <c r="M693" s="341"/>
      <c r="N693" s="341"/>
      <c r="O693" s="340"/>
      <c r="P693" s="339"/>
      <c r="Q693" s="341"/>
      <c r="R693" s="339"/>
      <c r="S693" s="340"/>
      <c r="T693" s="339"/>
      <c r="U693" s="339"/>
      <c r="V693" s="339"/>
      <c r="W693" s="339"/>
      <c r="X693" s="339"/>
      <c r="Y693" s="339"/>
      <c r="Z693" s="339"/>
    </row>
    <row r="694" spans="1:26" ht="15.75" customHeight="1">
      <c r="A694" s="339"/>
      <c r="B694" s="339"/>
      <c r="C694" s="339"/>
      <c r="D694" s="339"/>
      <c r="E694" s="339"/>
      <c r="F694" s="339"/>
      <c r="G694" s="339"/>
      <c r="H694" s="339"/>
      <c r="I694" s="341"/>
      <c r="J694" s="341"/>
      <c r="K694" s="340"/>
      <c r="L694" s="339"/>
      <c r="M694" s="341"/>
      <c r="N694" s="341"/>
      <c r="O694" s="340"/>
      <c r="P694" s="339"/>
      <c r="Q694" s="341"/>
      <c r="R694" s="339"/>
      <c r="S694" s="340"/>
      <c r="T694" s="339"/>
      <c r="U694" s="339"/>
      <c r="V694" s="339"/>
      <c r="W694" s="339"/>
      <c r="X694" s="339"/>
      <c r="Y694" s="339"/>
      <c r="Z694" s="339"/>
    </row>
    <row r="695" spans="1:26" ht="15.75" customHeight="1">
      <c r="A695" s="339"/>
      <c r="B695" s="339"/>
      <c r="C695" s="339"/>
      <c r="D695" s="339"/>
      <c r="E695" s="339"/>
      <c r="F695" s="339"/>
      <c r="G695" s="339"/>
      <c r="H695" s="339"/>
      <c r="I695" s="341"/>
      <c r="J695" s="341"/>
      <c r="K695" s="340"/>
      <c r="L695" s="339"/>
      <c r="M695" s="341"/>
      <c r="N695" s="341"/>
      <c r="O695" s="340"/>
      <c r="P695" s="339"/>
      <c r="Q695" s="341"/>
      <c r="R695" s="339"/>
      <c r="S695" s="340"/>
      <c r="T695" s="339"/>
      <c r="U695" s="339"/>
      <c r="V695" s="339"/>
      <c r="W695" s="339"/>
      <c r="X695" s="339"/>
      <c r="Y695" s="339"/>
      <c r="Z695" s="339"/>
    </row>
    <row r="696" spans="1:26" ht="15.75" customHeight="1">
      <c r="A696" s="339"/>
      <c r="B696" s="339"/>
      <c r="C696" s="339"/>
      <c r="D696" s="339"/>
      <c r="E696" s="339"/>
      <c r="F696" s="339"/>
      <c r="G696" s="339"/>
      <c r="H696" s="339"/>
      <c r="I696" s="341"/>
      <c r="J696" s="341"/>
      <c r="K696" s="340"/>
      <c r="L696" s="339"/>
      <c r="M696" s="341"/>
      <c r="N696" s="341"/>
      <c r="O696" s="340"/>
      <c r="P696" s="339"/>
      <c r="Q696" s="341"/>
      <c r="R696" s="339"/>
      <c r="S696" s="340"/>
      <c r="T696" s="339"/>
      <c r="U696" s="339"/>
      <c r="V696" s="339"/>
      <c r="W696" s="339"/>
      <c r="X696" s="339"/>
      <c r="Y696" s="339"/>
      <c r="Z696" s="339"/>
    </row>
    <row r="697" spans="1:26" ht="15.75" customHeight="1">
      <c r="A697" s="339"/>
      <c r="B697" s="339"/>
      <c r="C697" s="339"/>
      <c r="D697" s="339"/>
      <c r="E697" s="339"/>
      <c r="F697" s="339"/>
      <c r="G697" s="339"/>
      <c r="H697" s="339"/>
      <c r="I697" s="341"/>
      <c r="J697" s="341"/>
      <c r="K697" s="340"/>
      <c r="L697" s="339"/>
      <c r="M697" s="341"/>
      <c r="N697" s="341"/>
      <c r="O697" s="340"/>
      <c r="P697" s="339"/>
      <c r="Q697" s="341"/>
      <c r="R697" s="339"/>
      <c r="S697" s="340"/>
      <c r="T697" s="339"/>
      <c r="U697" s="339"/>
      <c r="V697" s="339"/>
      <c r="W697" s="339"/>
      <c r="X697" s="339"/>
      <c r="Y697" s="339"/>
      <c r="Z697" s="339"/>
    </row>
    <row r="698" spans="1:26" ht="15.75" customHeight="1">
      <c r="A698" s="339"/>
      <c r="B698" s="339"/>
      <c r="C698" s="339"/>
      <c r="D698" s="339"/>
      <c r="E698" s="339"/>
      <c r="F698" s="339"/>
      <c r="G698" s="339"/>
      <c r="H698" s="339"/>
      <c r="I698" s="341"/>
      <c r="J698" s="341"/>
      <c r="K698" s="340"/>
      <c r="L698" s="339"/>
      <c r="M698" s="341"/>
      <c r="N698" s="341"/>
      <c r="O698" s="340"/>
      <c r="P698" s="339"/>
      <c r="Q698" s="341"/>
      <c r="R698" s="339"/>
      <c r="S698" s="340"/>
      <c r="T698" s="339"/>
      <c r="U698" s="339"/>
      <c r="V698" s="339"/>
      <c r="W698" s="339"/>
      <c r="X698" s="339"/>
      <c r="Y698" s="339"/>
      <c r="Z698" s="339"/>
    </row>
    <row r="699" spans="1:26" ht="15.75" customHeight="1">
      <c r="A699" s="339"/>
      <c r="B699" s="339"/>
      <c r="C699" s="339"/>
      <c r="D699" s="339"/>
      <c r="E699" s="339"/>
      <c r="F699" s="339"/>
      <c r="G699" s="339"/>
      <c r="H699" s="339"/>
      <c r="I699" s="341"/>
      <c r="J699" s="341"/>
      <c r="K699" s="340"/>
      <c r="L699" s="339"/>
      <c r="M699" s="341"/>
      <c r="N699" s="341"/>
      <c r="O699" s="340"/>
      <c r="P699" s="339"/>
      <c r="Q699" s="341"/>
      <c r="R699" s="339"/>
      <c r="S699" s="340"/>
      <c r="T699" s="339"/>
      <c r="U699" s="339"/>
      <c r="V699" s="339"/>
      <c r="W699" s="339"/>
      <c r="X699" s="339"/>
      <c r="Y699" s="339"/>
      <c r="Z699" s="339"/>
    </row>
    <row r="700" spans="1:26" ht="15.75" customHeight="1">
      <c r="A700" s="339"/>
      <c r="B700" s="339"/>
      <c r="C700" s="339"/>
      <c r="D700" s="339"/>
      <c r="E700" s="339"/>
      <c r="F700" s="339"/>
      <c r="G700" s="339"/>
      <c r="H700" s="339"/>
      <c r="I700" s="341"/>
      <c r="J700" s="341"/>
      <c r="K700" s="340"/>
      <c r="L700" s="339"/>
      <c r="M700" s="341"/>
      <c r="N700" s="341"/>
      <c r="O700" s="340"/>
      <c r="P700" s="339"/>
      <c r="Q700" s="341"/>
      <c r="R700" s="339"/>
      <c r="S700" s="340"/>
      <c r="T700" s="339"/>
      <c r="U700" s="339"/>
      <c r="V700" s="339"/>
      <c r="W700" s="339"/>
      <c r="X700" s="339"/>
      <c r="Y700" s="339"/>
      <c r="Z700" s="339"/>
    </row>
    <row r="701" spans="1:26" ht="15.75" customHeight="1">
      <c r="A701" s="339"/>
      <c r="B701" s="339"/>
      <c r="C701" s="339"/>
      <c r="D701" s="339"/>
      <c r="E701" s="339"/>
      <c r="F701" s="339"/>
      <c r="G701" s="339"/>
      <c r="H701" s="339"/>
      <c r="I701" s="341"/>
      <c r="J701" s="341"/>
      <c r="K701" s="340"/>
      <c r="L701" s="339"/>
      <c r="M701" s="341"/>
      <c r="N701" s="341"/>
      <c r="O701" s="340"/>
      <c r="P701" s="339"/>
      <c r="Q701" s="341"/>
      <c r="R701" s="339"/>
      <c r="S701" s="340"/>
      <c r="T701" s="339"/>
      <c r="U701" s="339"/>
      <c r="V701" s="339"/>
      <c r="W701" s="339"/>
      <c r="X701" s="339"/>
      <c r="Y701" s="339"/>
      <c r="Z701" s="339"/>
    </row>
    <row r="702" spans="1:26" ht="15.75" customHeight="1">
      <c r="A702" s="339"/>
      <c r="B702" s="339"/>
      <c r="C702" s="339"/>
      <c r="D702" s="339"/>
      <c r="E702" s="339"/>
      <c r="F702" s="339"/>
      <c r="G702" s="339"/>
      <c r="H702" s="339"/>
      <c r="I702" s="341"/>
      <c r="J702" s="341"/>
      <c r="K702" s="340"/>
      <c r="L702" s="339"/>
      <c r="M702" s="341"/>
      <c r="N702" s="341"/>
      <c r="O702" s="340"/>
      <c r="P702" s="339"/>
      <c r="Q702" s="341"/>
      <c r="R702" s="339"/>
      <c r="S702" s="340"/>
      <c r="T702" s="339"/>
      <c r="U702" s="339"/>
      <c r="V702" s="339"/>
      <c r="W702" s="339"/>
      <c r="X702" s="339"/>
      <c r="Y702" s="339"/>
      <c r="Z702" s="339"/>
    </row>
    <row r="703" spans="1:26" ht="15.75" customHeight="1">
      <c r="A703" s="339"/>
      <c r="B703" s="339"/>
      <c r="C703" s="339"/>
      <c r="D703" s="339"/>
      <c r="E703" s="339"/>
      <c r="F703" s="339"/>
      <c r="G703" s="339"/>
      <c r="H703" s="339"/>
      <c r="I703" s="341"/>
      <c r="J703" s="341"/>
      <c r="K703" s="340"/>
      <c r="L703" s="339"/>
      <c r="M703" s="341"/>
      <c r="N703" s="341"/>
      <c r="O703" s="340"/>
      <c r="P703" s="339"/>
      <c r="Q703" s="341"/>
      <c r="R703" s="339"/>
      <c r="S703" s="340"/>
      <c r="T703" s="339"/>
      <c r="U703" s="339"/>
      <c r="V703" s="339"/>
      <c r="W703" s="339"/>
      <c r="X703" s="339"/>
      <c r="Y703" s="339"/>
      <c r="Z703" s="339"/>
    </row>
    <row r="704" spans="1:26" ht="15.75" customHeight="1">
      <c r="A704" s="339"/>
      <c r="B704" s="339"/>
      <c r="C704" s="339"/>
      <c r="D704" s="339"/>
      <c r="E704" s="339"/>
      <c r="F704" s="339"/>
      <c r="G704" s="339"/>
      <c r="H704" s="339"/>
      <c r="I704" s="341"/>
      <c r="J704" s="341"/>
      <c r="K704" s="340"/>
      <c r="L704" s="339"/>
      <c r="M704" s="341"/>
      <c r="N704" s="341"/>
      <c r="O704" s="340"/>
      <c r="P704" s="339"/>
      <c r="Q704" s="341"/>
      <c r="R704" s="339"/>
      <c r="S704" s="340"/>
      <c r="T704" s="339"/>
      <c r="U704" s="339"/>
      <c r="V704" s="339"/>
      <c r="W704" s="339"/>
      <c r="X704" s="339"/>
      <c r="Y704" s="339"/>
      <c r="Z704" s="339"/>
    </row>
    <row r="705" spans="1:26" ht="15.75" customHeight="1">
      <c r="A705" s="339"/>
      <c r="B705" s="339"/>
      <c r="C705" s="339"/>
      <c r="D705" s="339"/>
      <c r="E705" s="339"/>
      <c r="F705" s="339"/>
      <c r="G705" s="339"/>
      <c r="H705" s="339"/>
      <c r="I705" s="341"/>
      <c r="J705" s="341"/>
      <c r="K705" s="340"/>
      <c r="L705" s="339"/>
      <c r="M705" s="341"/>
      <c r="N705" s="341"/>
      <c r="O705" s="340"/>
      <c r="P705" s="339"/>
      <c r="Q705" s="341"/>
      <c r="R705" s="339"/>
      <c r="S705" s="340"/>
      <c r="T705" s="339"/>
      <c r="U705" s="339"/>
      <c r="V705" s="339"/>
      <c r="W705" s="339"/>
      <c r="X705" s="339"/>
      <c r="Y705" s="339"/>
      <c r="Z705" s="339"/>
    </row>
    <row r="706" spans="1:26" ht="15.75" customHeight="1">
      <c r="A706" s="339"/>
      <c r="B706" s="339"/>
      <c r="C706" s="339"/>
      <c r="D706" s="339"/>
      <c r="E706" s="339"/>
      <c r="F706" s="339"/>
      <c r="G706" s="339"/>
      <c r="H706" s="339"/>
      <c r="I706" s="341"/>
      <c r="J706" s="341"/>
      <c r="K706" s="340"/>
      <c r="L706" s="339"/>
      <c r="M706" s="341"/>
      <c r="N706" s="341"/>
      <c r="O706" s="340"/>
      <c r="P706" s="339"/>
      <c r="Q706" s="341"/>
      <c r="R706" s="339"/>
      <c r="S706" s="340"/>
      <c r="T706" s="339"/>
      <c r="U706" s="339"/>
      <c r="V706" s="339"/>
      <c r="W706" s="339"/>
      <c r="X706" s="339"/>
      <c r="Y706" s="339"/>
      <c r="Z706" s="339"/>
    </row>
    <row r="707" spans="1:26" ht="15.75" customHeight="1">
      <c r="A707" s="339"/>
      <c r="B707" s="339"/>
      <c r="C707" s="339"/>
      <c r="D707" s="339"/>
      <c r="E707" s="339"/>
      <c r="F707" s="339"/>
      <c r="G707" s="339"/>
      <c r="H707" s="339"/>
      <c r="I707" s="341"/>
      <c r="J707" s="341"/>
      <c r="K707" s="340"/>
      <c r="L707" s="339"/>
      <c r="M707" s="341"/>
      <c r="N707" s="341"/>
      <c r="O707" s="340"/>
      <c r="P707" s="339"/>
      <c r="Q707" s="341"/>
      <c r="R707" s="339"/>
      <c r="S707" s="340"/>
      <c r="T707" s="339"/>
      <c r="U707" s="339"/>
      <c r="V707" s="339"/>
      <c r="W707" s="339"/>
      <c r="X707" s="339"/>
      <c r="Y707" s="339"/>
      <c r="Z707" s="339"/>
    </row>
    <row r="708" spans="1:26" ht="15.75" customHeight="1">
      <c r="A708" s="339"/>
      <c r="B708" s="339"/>
      <c r="C708" s="339"/>
      <c r="D708" s="339"/>
      <c r="E708" s="339"/>
      <c r="F708" s="339"/>
      <c r="G708" s="339"/>
      <c r="H708" s="339"/>
      <c r="I708" s="341"/>
      <c r="J708" s="341"/>
      <c r="K708" s="340"/>
      <c r="L708" s="339"/>
      <c r="M708" s="341"/>
      <c r="N708" s="341"/>
      <c r="O708" s="340"/>
      <c r="P708" s="339"/>
      <c r="Q708" s="341"/>
      <c r="R708" s="339"/>
      <c r="S708" s="340"/>
      <c r="T708" s="339"/>
      <c r="U708" s="339"/>
      <c r="V708" s="339"/>
      <c r="W708" s="339"/>
      <c r="X708" s="339"/>
      <c r="Y708" s="339"/>
      <c r="Z708" s="339"/>
    </row>
    <row r="709" spans="1:26" ht="15.75" customHeight="1">
      <c r="A709" s="339"/>
      <c r="B709" s="339"/>
      <c r="C709" s="339"/>
      <c r="D709" s="339"/>
      <c r="E709" s="339"/>
      <c r="F709" s="339"/>
      <c r="G709" s="339"/>
      <c r="H709" s="339"/>
      <c r="I709" s="341"/>
      <c r="J709" s="341"/>
      <c r="K709" s="340"/>
      <c r="L709" s="339"/>
      <c r="M709" s="341"/>
      <c r="N709" s="341"/>
      <c r="O709" s="340"/>
      <c r="P709" s="339"/>
      <c r="Q709" s="341"/>
      <c r="R709" s="339"/>
      <c r="S709" s="340"/>
      <c r="T709" s="339"/>
      <c r="U709" s="339"/>
      <c r="V709" s="339"/>
      <c r="W709" s="339"/>
      <c r="X709" s="339"/>
      <c r="Y709" s="339"/>
      <c r="Z709" s="339"/>
    </row>
    <row r="710" spans="1:26" ht="15.75" customHeight="1">
      <c r="A710" s="339"/>
      <c r="B710" s="339"/>
      <c r="C710" s="339"/>
      <c r="D710" s="339"/>
      <c r="E710" s="339"/>
      <c r="F710" s="339"/>
      <c r="G710" s="339"/>
      <c r="H710" s="339"/>
      <c r="I710" s="341"/>
      <c r="J710" s="341"/>
      <c r="K710" s="340"/>
      <c r="L710" s="339"/>
      <c r="M710" s="341"/>
      <c r="N710" s="341"/>
      <c r="O710" s="340"/>
      <c r="P710" s="339"/>
      <c r="Q710" s="341"/>
      <c r="R710" s="339"/>
      <c r="S710" s="340"/>
      <c r="T710" s="339"/>
      <c r="U710" s="339"/>
      <c r="V710" s="339"/>
      <c r="W710" s="339"/>
      <c r="X710" s="339"/>
      <c r="Y710" s="339"/>
      <c r="Z710" s="339"/>
    </row>
    <row r="711" spans="1:26" ht="15.75" customHeight="1">
      <c r="A711" s="339"/>
      <c r="B711" s="339"/>
      <c r="C711" s="339"/>
      <c r="D711" s="339"/>
      <c r="E711" s="339"/>
      <c r="F711" s="339"/>
      <c r="G711" s="339"/>
      <c r="H711" s="339"/>
      <c r="I711" s="341"/>
      <c r="J711" s="341"/>
      <c r="K711" s="340"/>
      <c r="L711" s="339"/>
      <c r="M711" s="341"/>
      <c r="N711" s="341"/>
      <c r="O711" s="340"/>
      <c r="P711" s="339"/>
      <c r="Q711" s="341"/>
      <c r="R711" s="339"/>
      <c r="S711" s="340"/>
      <c r="T711" s="339"/>
      <c r="U711" s="339"/>
      <c r="V711" s="339"/>
      <c r="W711" s="339"/>
      <c r="X711" s="339"/>
      <c r="Y711" s="339"/>
      <c r="Z711" s="339"/>
    </row>
    <row r="712" spans="1:26" ht="15.75" customHeight="1">
      <c r="A712" s="339"/>
      <c r="B712" s="339"/>
      <c r="C712" s="339"/>
      <c r="D712" s="339"/>
      <c r="E712" s="339"/>
      <c r="F712" s="339"/>
      <c r="G712" s="339"/>
      <c r="H712" s="339"/>
      <c r="I712" s="341"/>
      <c r="J712" s="341"/>
      <c r="K712" s="340"/>
      <c r="L712" s="339"/>
      <c r="M712" s="341"/>
      <c r="N712" s="341"/>
      <c r="O712" s="340"/>
      <c r="P712" s="339"/>
      <c r="Q712" s="341"/>
      <c r="R712" s="339"/>
      <c r="S712" s="340"/>
      <c r="T712" s="339"/>
      <c r="U712" s="339"/>
      <c r="V712" s="339"/>
      <c r="W712" s="339"/>
      <c r="X712" s="339"/>
      <c r="Y712" s="339"/>
      <c r="Z712" s="339"/>
    </row>
    <row r="713" spans="1:26" ht="15.75" customHeight="1">
      <c r="A713" s="339"/>
      <c r="B713" s="339"/>
      <c r="C713" s="339"/>
      <c r="D713" s="339"/>
      <c r="E713" s="339"/>
      <c r="F713" s="339"/>
      <c r="G713" s="339"/>
      <c r="H713" s="339"/>
      <c r="I713" s="341"/>
      <c r="J713" s="341"/>
      <c r="K713" s="340"/>
      <c r="L713" s="339"/>
      <c r="M713" s="341"/>
      <c r="N713" s="341"/>
      <c r="O713" s="340"/>
      <c r="P713" s="339"/>
      <c r="Q713" s="341"/>
      <c r="R713" s="339"/>
      <c r="S713" s="340"/>
      <c r="T713" s="339"/>
      <c r="U713" s="339"/>
      <c r="V713" s="339"/>
      <c r="W713" s="339"/>
      <c r="X713" s="339"/>
      <c r="Y713" s="339"/>
      <c r="Z713" s="339"/>
    </row>
    <row r="714" spans="1:26" ht="15.75" customHeight="1">
      <c r="A714" s="339"/>
      <c r="B714" s="339"/>
      <c r="C714" s="339"/>
      <c r="D714" s="339"/>
      <c r="E714" s="339"/>
      <c r="F714" s="339"/>
      <c r="G714" s="339"/>
      <c r="H714" s="339"/>
      <c r="I714" s="341"/>
      <c r="J714" s="341"/>
      <c r="K714" s="340"/>
      <c r="L714" s="339"/>
      <c r="M714" s="341"/>
      <c r="N714" s="341"/>
      <c r="O714" s="340"/>
      <c r="P714" s="339"/>
      <c r="Q714" s="341"/>
      <c r="R714" s="339"/>
      <c r="S714" s="340"/>
      <c r="T714" s="339"/>
      <c r="U714" s="339"/>
      <c r="V714" s="339"/>
      <c r="W714" s="339"/>
      <c r="X714" s="339"/>
      <c r="Y714" s="339"/>
      <c r="Z714" s="339"/>
    </row>
    <row r="715" spans="1:26" ht="15.75" customHeight="1">
      <c r="A715" s="339"/>
      <c r="B715" s="339"/>
      <c r="C715" s="339"/>
      <c r="D715" s="339"/>
      <c r="E715" s="339"/>
      <c r="F715" s="339"/>
      <c r="G715" s="339"/>
      <c r="H715" s="339"/>
      <c r="I715" s="341"/>
      <c r="J715" s="341"/>
      <c r="K715" s="340"/>
      <c r="L715" s="339"/>
      <c r="M715" s="341"/>
      <c r="N715" s="341"/>
      <c r="O715" s="340"/>
      <c r="P715" s="339"/>
      <c r="Q715" s="341"/>
      <c r="R715" s="339"/>
      <c r="S715" s="340"/>
      <c r="T715" s="339"/>
      <c r="U715" s="339"/>
      <c r="V715" s="339"/>
      <c r="W715" s="339"/>
      <c r="X715" s="339"/>
      <c r="Y715" s="339"/>
      <c r="Z715" s="339"/>
    </row>
    <row r="716" spans="1:26" ht="15.75" customHeight="1">
      <c r="A716" s="339"/>
      <c r="B716" s="339"/>
      <c r="C716" s="339"/>
      <c r="D716" s="339"/>
      <c r="E716" s="339"/>
      <c r="F716" s="339"/>
      <c r="G716" s="339"/>
      <c r="H716" s="339"/>
      <c r="I716" s="341"/>
      <c r="J716" s="341"/>
      <c r="K716" s="340"/>
      <c r="L716" s="339"/>
      <c r="M716" s="341"/>
      <c r="N716" s="341"/>
      <c r="O716" s="340"/>
      <c r="P716" s="339"/>
      <c r="Q716" s="341"/>
      <c r="R716" s="339"/>
      <c r="S716" s="340"/>
      <c r="T716" s="339"/>
      <c r="U716" s="339"/>
      <c r="V716" s="339"/>
      <c r="W716" s="339"/>
      <c r="X716" s="339"/>
      <c r="Y716" s="339"/>
      <c r="Z716" s="339"/>
    </row>
    <row r="717" spans="1:26" ht="15.75" customHeight="1">
      <c r="A717" s="339"/>
      <c r="B717" s="339"/>
      <c r="C717" s="339"/>
      <c r="D717" s="339"/>
      <c r="E717" s="339"/>
      <c r="F717" s="339"/>
      <c r="G717" s="339"/>
      <c r="H717" s="339"/>
      <c r="I717" s="341"/>
      <c r="J717" s="341"/>
      <c r="K717" s="340"/>
      <c r="L717" s="339"/>
      <c r="M717" s="341"/>
      <c r="N717" s="341"/>
      <c r="O717" s="340"/>
      <c r="P717" s="339"/>
      <c r="Q717" s="341"/>
      <c r="R717" s="339"/>
      <c r="S717" s="340"/>
      <c r="T717" s="339"/>
      <c r="U717" s="339"/>
      <c r="V717" s="339"/>
      <c r="W717" s="339"/>
      <c r="X717" s="339"/>
      <c r="Y717" s="339"/>
      <c r="Z717" s="339"/>
    </row>
    <row r="718" spans="1:26" ht="15.75" customHeight="1">
      <c r="A718" s="339"/>
      <c r="B718" s="339"/>
      <c r="C718" s="339"/>
      <c r="D718" s="339"/>
      <c r="E718" s="339"/>
      <c r="F718" s="339"/>
      <c r="G718" s="339"/>
      <c r="H718" s="339"/>
      <c r="I718" s="341"/>
      <c r="J718" s="341"/>
      <c r="K718" s="340"/>
      <c r="L718" s="339"/>
      <c r="M718" s="341"/>
      <c r="N718" s="341"/>
      <c r="O718" s="340"/>
      <c r="P718" s="339"/>
      <c r="Q718" s="341"/>
      <c r="R718" s="339"/>
      <c r="S718" s="340"/>
      <c r="T718" s="339"/>
      <c r="U718" s="339"/>
      <c r="V718" s="339"/>
      <c r="W718" s="339"/>
      <c r="X718" s="339"/>
      <c r="Y718" s="339"/>
      <c r="Z718" s="339"/>
    </row>
    <row r="719" spans="1:26" ht="15.75" customHeight="1">
      <c r="A719" s="339"/>
      <c r="B719" s="339"/>
      <c r="C719" s="339"/>
      <c r="D719" s="339"/>
      <c r="E719" s="339"/>
      <c r="F719" s="339"/>
      <c r="G719" s="339"/>
      <c r="H719" s="339"/>
      <c r="I719" s="341"/>
      <c r="J719" s="341"/>
      <c r="K719" s="340"/>
      <c r="L719" s="339"/>
      <c r="M719" s="341"/>
      <c r="N719" s="341"/>
      <c r="O719" s="340"/>
      <c r="P719" s="339"/>
      <c r="Q719" s="341"/>
      <c r="R719" s="339"/>
      <c r="S719" s="340"/>
      <c r="T719" s="339"/>
      <c r="U719" s="339"/>
      <c r="V719" s="339"/>
      <c r="W719" s="339"/>
      <c r="X719" s="339"/>
      <c r="Y719" s="339"/>
      <c r="Z719" s="339"/>
    </row>
    <row r="720" spans="1:26" ht="15.75" customHeight="1">
      <c r="A720" s="339"/>
      <c r="B720" s="339"/>
      <c r="C720" s="339"/>
      <c r="D720" s="339"/>
      <c r="E720" s="339"/>
      <c r="F720" s="339"/>
      <c r="G720" s="339"/>
      <c r="H720" s="339"/>
      <c r="I720" s="341"/>
      <c r="J720" s="341"/>
      <c r="K720" s="340"/>
      <c r="L720" s="339"/>
      <c r="M720" s="341"/>
      <c r="N720" s="341"/>
      <c r="O720" s="340"/>
      <c r="P720" s="339"/>
      <c r="Q720" s="341"/>
      <c r="R720" s="339"/>
      <c r="S720" s="340"/>
      <c r="T720" s="339"/>
      <c r="U720" s="339"/>
      <c r="V720" s="339"/>
      <c r="W720" s="339"/>
      <c r="X720" s="339"/>
      <c r="Y720" s="339"/>
      <c r="Z720" s="339"/>
    </row>
    <row r="721" spans="1:26" ht="15.75" customHeight="1">
      <c r="A721" s="339"/>
      <c r="B721" s="339"/>
      <c r="C721" s="339"/>
      <c r="D721" s="339"/>
      <c r="E721" s="339"/>
      <c r="F721" s="339"/>
      <c r="G721" s="339"/>
      <c r="H721" s="339"/>
      <c r="I721" s="341"/>
      <c r="J721" s="341"/>
      <c r="K721" s="340"/>
      <c r="L721" s="339"/>
      <c r="M721" s="341"/>
      <c r="N721" s="341"/>
      <c r="O721" s="340"/>
      <c r="P721" s="339"/>
      <c r="Q721" s="341"/>
      <c r="R721" s="339"/>
      <c r="S721" s="340"/>
      <c r="T721" s="339"/>
      <c r="U721" s="339"/>
      <c r="V721" s="339"/>
      <c r="W721" s="339"/>
      <c r="X721" s="339"/>
      <c r="Y721" s="339"/>
      <c r="Z721" s="339"/>
    </row>
    <row r="722" spans="1:26" ht="15.75" customHeight="1">
      <c r="A722" s="339"/>
      <c r="B722" s="339"/>
      <c r="C722" s="339"/>
      <c r="D722" s="339"/>
      <c r="E722" s="339"/>
      <c r="F722" s="339"/>
      <c r="G722" s="339"/>
      <c r="H722" s="339"/>
      <c r="I722" s="341"/>
      <c r="J722" s="341"/>
      <c r="K722" s="340"/>
      <c r="L722" s="339"/>
      <c r="M722" s="341"/>
      <c r="N722" s="341"/>
      <c r="O722" s="340"/>
      <c r="P722" s="339"/>
      <c r="Q722" s="341"/>
      <c r="R722" s="339"/>
      <c r="S722" s="340"/>
      <c r="T722" s="339"/>
      <c r="U722" s="339"/>
      <c r="V722" s="339"/>
      <c r="W722" s="339"/>
      <c r="X722" s="339"/>
      <c r="Y722" s="339"/>
      <c r="Z722" s="339"/>
    </row>
    <row r="723" spans="1:26" ht="15.75" customHeight="1">
      <c r="A723" s="339"/>
      <c r="B723" s="339"/>
      <c r="C723" s="339"/>
      <c r="D723" s="339"/>
      <c r="E723" s="339"/>
      <c r="F723" s="339"/>
      <c r="G723" s="339"/>
      <c r="H723" s="339"/>
      <c r="I723" s="341"/>
      <c r="J723" s="341"/>
      <c r="K723" s="340"/>
      <c r="L723" s="339"/>
      <c r="M723" s="341"/>
      <c r="N723" s="341"/>
      <c r="O723" s="340"/>
      <c r="P723" s="339"/>
      <c r="Q723" s="341"/>
      <c r="R723" s="339"/>
      <c r="S723" s="340"/>
      <c r="T723" s="339"/>
      <c r="U723" s="339"/>
      <c r="V723" s="339"/>
      <c r="W723" s="339"/>
      <c r="X723" s="339"/>
      <c r="Y723" s="339"/>
      <c r="Z723" s="339"/>
    </row>
    <row r="724" spans="1:26" ht="15.75" customHeight="1">
      <c r="A724" s="339"/>
      <c r="B724" s="339"/>
      <c r="C724" s="339"/>
      <c r="D724" s="339"/>
      <c r="E724" s="339"/>
      <c r="F724" s="339"/>
      <c r="G724" s="339"/>
      <c r="H724" s="339"/>
      <c r="I724" s="341"/>
      <c r="J724" s="341"/>
      <c r="K724" s="340"/>
      <c r="L724" s="339"/>
      <c r="M724" s="341"/>
      <c r="N724" s="341"/>
      <c r="O724" s="340"/>
      <c r="P724" s="339"/>
      <c r="Q724" s="341"/>
      <c r="R724" s="339"/>
      <c r="S724" s="340"/>
      <c r="T724" s="339"/>
      <c r="U724" s="339"/>
      <c r="V724" s="339"/>
      <c r="W724" s="339"/>
      <c r="X724" s="339"/>
      <c r="Y724" s="339"/>
      <c r="Z724" s="339"/>
    </row>
    <row r="725" spans="1:26" ht="15.75" customHeight="1">
      <c r="A725" s="339"/>
      <c r="B725" s="339"/>
      <c r="C725" s="339"/>
      <c r="D725" s="339"/>
      <c r="E725" s="339"/>
      <c r="F725" s="339"/>
      <c r="G725" s="339"/>
      <c r="H725" s="339"/>
      <c r="I725" s="341"/>
      <c r="J725" s="341"/>
      <c r="K725" s="340"/>
      <c r="L725" s="339"/>
      <c r="M725" s="341"/>
      <c r="N725" s="341"/>
      <c r="O725" s="340"/>
      <c r="P725" s="339"/>
      <c r="Q725" s="341"/>
      <c r="R725" s="339"/>
      <c r="S725" s="340"/>
      <c r="T725" s="339"/>
      <c r="U725" s="339"/>
      <c r="V725" s="339"/>
      <c r="W725" s="339"/>
      <c r="X725" s="339"/>
      <c r="Y725" s="339"/>
      <c r="Z725" s="339"/>
    </row>
    <row r="726" spans="1:26" ht="15.75" customHeight="1">
      <c r="A726" s="339"/>
      <c r="B726" s="339"/>
      <c r="C726" s="339"/>
      <c r="D726" s="339"/>
      <c r="E726" s="339"/>
      <c r="F726" s="339"/>
      <c r="G726" s="339"/>
      <c r="H726" s="339"/>
      <c r="I726" s="341"/>
      <c r="J726" s="341"/>
      <c r="K726" s="340"/>
      <c r="L726" s="339"/>
      <c r="M726" s="341"/>
      <c r="N726" s="341"/>
      <c r="O726" s="340"/>
      <c r="P726" s="339"/>
      <c r="Q726" s="341"/>
      <c r="R726" s="339"/>
      <c r="S726" s="340"/>
      <c r="T726" s="339"/>
      <c r="U726" s="339"/>
      <c r="V726" s="339"/>
      <c r="W726" s="339"/>
      <c r="X726" s="339"/>
      <c r="Y726" s="339"/>
      <c r="Z726" s="339"/>
    </row>
    <row r="727" spans="1:26" ht="15.75" customHeight="1">
      <c r="A727" s="339"/>
      <c r="B727" s="339"/>
      <c r="C727" s="339"/>
      <c r="D727" s="339"/>
      <c r="E727" s="339"/>
      <c r="F727" s="339"/>
      <c r="G727" s="339"/>
      <c r="H727" s="339"/>
      <c r="I727" s="341"/>
      <c r="J727" s="341"/>
      <c r="K727" s="340"/>
      <c r="L727" s="339"/>
      <c r="M727" s="341"/>
      <c r="N727" s="341"/>
      <c r="O727" s="340"/>
      <c r="P727" s="339"/>
      <c r="Q727" s="341"/>
      <c r="R727" s="339"/>
      <c r="S727" s="340"/>
      <c r="T727" s="339"/>
      <c r="U727" s="339"/>
      <c r="V727" s="339"/>
      <c r="W727" s="339"/>
      <c r="X727" s="339"/>
      <c r="Y727" s="339"/>
      <c r="Z727" s="339"/>
    </row>
    <row r="728" spans="1:26" ht="15.75" customHeight="1">
      <c r="A728" s="339"/>
      <c r="B728" s="339"/>
      <c r="C728" s="339"/>
      <c r="D728" s="339"/>
      <c r="E728" s="339"/>
      <c r="F728" s="339"/>
      <c r="G728" s="339"/>
      <c r="H728" s="339"/>
      <c r="I728" s="341"/>
      <c r="J728" s="341"/>
      <c r="K728" s="340"/>
      <c r="L728" s="339"/>
      <c r="M728" s="341"/>
      <c r="N728" s="341"/>
      <c r="O728" s="340"/>
      <c r="P728" s="339"/>
      <c r="Q728" s="341"/>
      <c r="R728" s="339"/>
      <c r="S728" s="340"/>
      <c r="T728" s="339"/>
      <c r="U728" s="339"/>
      <c r="V728" s="339"/>
      <c r="W728" s="339"/>
      <c r="X728" s="339"/>
      <c r="Y728" s="339"/>
      <c r="Z728" s="339"/>
    </row>
    <row r="729" spans="1:26" ht="15.75" customHeight="1">
      <c r="A729" s="339"/>
      <c r="B729" s="339"/>
      <c r="C729" s="339"/>
      <c r="D729" s="339"/>
      <c r="E729" s="339"/>
      <c r="F729" s="339"/>
      <c r="G729" s="339"/>
      <c r="H729" s="339"/>
      <c r="I729" s="341"/>
      <c r="J729" s="341"/>
      <c r="K729" s="340"/>
      <c r="L729" s="339"/>
      <c r="M729" s="341"/>
      <c r="N729" s="341"/>
      <c r="O729" s="340"/>
      <c r="P729" s="339"/>
      <c r="Q729" s="341"/>
      <c r="R729" s="339"/>
      <c r="S729" s="340"/>
      <c r="T729" s="339"/>
      <c r="U729" s="339"/>
      <c r="V729" s="339"/>
      <c r="W729" s="339"/>
      <c r="X729" s="339"/>
      <c r="Y729" s="339"/>
      <c r="Z729" s="339"/>
    </row>
    <row r="730" spans="1:26" ht="15.75" customHeight="1">
      <c r="A730" s="339"/>
      <c r="B730" s="339"/>
      <c r="C730" s="339"/>
      <c r="D730" s="339"/>
      <c r="E730" s="339"/>
      <c r="F730" s="339"/>
      <c r="G730" s="339"/>
      <c r="H730" s="339"/>
      <c r="I730" s="341"/>
      <c r="J730" s="341"/>
      <c r="K730" s="340"/>
      <c r="L730" s="339"/>
      <c r="M730" s="341"/>
      <c r="N730" s="341"/>
      <c r="O730" s="340"/>
      <c r="P730" s="339"/>
      <c r="Q730" s="341"/>
      <c r="R730" s="339"/>
      <c r="S730" s="340"/>
      <c r="T730" s="339"/>
      <c r="U730" s="339"/>
      <c r="V730" s="339"/>
      <c r="W730" s="339"/>
      <c r="X730" s="339"/>
      <c r="Y730" s="339"/>
      <c r="Z730" s="339"/>
    </row>
    <row r="731" spans="1:26" ht="15.75" customHeight="1">
      <c r="A731" s="339"/>
      <c r="B731" s="339"/>
      <c r="C731" s="339"/>
      <c r="D731" s="339"/>
      <c r="E731" s="339"/>
      <c r="F731" s="339"/>
      <c r="G731" s="339"/>
      <c r="H731" s="339"/>
      <c r="I731" s="341"/>
      <c r="J731" s="341"/>
      <c r="K731" s="340"/>
      <c r="L731" s="339"/>
      <c r="M731" s="341"/>
      <c r="N731" s="341"/>
      <c r="O731" s="340"/>
      <c r="P731" s="339"/>
      <c r="Q731" s="341"/>
      <c r="R731" s="339"/>
      <c r="S731" s="340"/>
      <c r="T731" s="339"/>
      <c r="U731" s="339"/>
      <c r="V731" s="339"/>
      <c r="W731" s="339"/>
      <c r="X731" s="339"/>
      <c r="Y731" s="339"/>
      <c r="Z731" s="339"/>
    </row>
    <row r="732" spans="1:26" ht="15.75" customHeight="1">
      <c r="A732" s="339"/>
      <c r="B732" s="339"/>
      <c r="C732" s="339"/>
      <c r="D732" s="339"/>
      <c r="E732" s="339"/>
      <c r="F732" s="339"/>
      <c r="G732" s="339"/>
      <c r="H732" s="339"/>
      <c r="I732" s="341"/>
      <c r="J732" s="341"/>
      <c r="K732" s="340"/>
      <c r="L732" s="339"/>
      <c r="M732" s="341"/>
      <c r="N732" s="341"/>
      <c r="O732" s="340"/>
      <c r="P732" s="339"/>
      <c r="Q732" s="341"/>
      <c r="R732" s="339"/>
      <c r="S732" s="340"/>
      <c r="T732" s="339"/>
      <c r="U732" s="339"/>
      <c r="V732" s="339"/>
      <c r="W732" s="339"/>
      <c r="X732" s="339"/>
      <c r="Y732" s="339"/>
      <c r="Z732" s="339"/>
    </row>
    <row r="733" spans="1:26" ht="15.75" customHeight="1">
      <c r="A733" s="339"/>
      <c r="B733" s="339"/>
      <c r="C733" s="339"/>
      <c r="D733" s="339"/>
      <c r="E733" s="339"/>
      <c r="F733" s="339"/>
      <c r="G733" s="339"/>
      <c r="H733" s="339"/>
      <c r="I733" s="341"/>
      <c r="J733" s="341"/>
      <c r="K733" s="340"/>
      <c r="L733" s="339"/>
      <c r="M733" s="341"/>
      <c r="N733" s="341"/>
      <c r="O733" s="340"/>
      <c r="P733" s="339"/>
      <c r="Q733" s="341"/>
      <c r="R733" s="339"/>
      <c r="S733" s="340"/>
      <c r="T733" s="339"/>
      <c r="U733" s="339"/>
      <c r="V733" s="339"/>
      <c r="W733" s="339"/>
      <c r="X733" s="339"/>
      <c r="Y733" s="339"/>
      <c r="Z733" s="339"/>
    </row>
    <row r="734" spans="1:26" ht="15.75" customHeight="1">
      <c r="A734" s="339"/>
      <c r="B734" s="339"/>
      <c r="C734" s="339"/>
      <c r="D734" s="339"/>
      <c r="E734" s="339"/>
      <c r="F734" s="339"/>
      <c r="G734" s="339"/>
      <c r="H734" s="339"/>
      <c r="I734" s="341"/>
      <c r="J734" s="341"/>
      <c r="K734" s="340"/>
      <c r="L734" s="339"/>
      <c r="M734" s="341"/>
      <c r="N734" s="341"/>
      <c r="O734" s="340"/>
      <c r="P734" s="339"/>
      <c r="Q734" s="341"/>
      <c r="R734" s="339"/>
      <c r="S734" s="340"/>
      <c r="T734" s="339"/>
      <c r="U734" s="339"/>
      <c r="V734" s="339"/>
      <c r="W734" s="339"/>
      <c r="X734" s="339"/>
      <c r="Y734" s="339"/>
      <c r="Z734" s="339"/>
    </row>
    <row r="735" spans="1:26" ht="15.75" customHeight="1">
      <c r="A735" s="339"/>
      <c r="B735" s="339"/>
      <c r="C735" s="339"/>
      <c r="D735" s="339"/>
      <c r="E735" s="339"/>
      <c r="F735" s="339"/>
      <c r="G735" s="339"/>
      <c r="H735" s="339"/>
      <c r="I735" s="341"/>
      <c r="J735" s="341"/>
      <c r="K735" s="340"/>
      <c r="L735" s="339"/>
      <c r="M735" s="341"/>
      <c r="N735" s="341"/>
      <c r="O735" s="340"/>
      <c r="P735" s="339"/>
      <c r="Q735" s="341"/>
      <c r="R735" s="339"/>
      <c r="S735" s="340"/>
      <c r="T735" s="339"/>
      <c r="U735" s="339"/>
      <c r="V735" s="339"/>
      <c r="W735" s="339"/>
      <c r="X735" s="339"/>
      <c r="Y735" s="339"/>
      <c r="Z735" s="339"/>
    </row>
    <row r="736" spans="1:26" ht="15.75" customHeight="1">
      <c r="A736" s="339"/>
      <c r="B736" s="339"/>
      <c r="C736" s="339"/>
      <c r="D736" s="339"/>
      <c r="E736" s="339"/>
      <c r="F736" s="339"/>
      <c r="G736" s="339"/>
      <c r="H736" s="339"/>
      <c r="I736" s="341"/>
      <c r="J736" s="341"/>
      <c r="K736" s="340"/>
      <c r="L736" s="339"/>
      <c r="M736" s="341"/>
      <c r="N736" s="341"/>
      <c r="O736" s="340"/>
      <c r="P736" s="339"/>
      <c r="Q736" s="341"/>
      <c r="R736" s="339"/>
      <c r="S736" s="340"/>
      <c r="T736" s="339"/>
      <c r="U736" s="339"/>
      <c r="V736" s="339"/>
      <c r="W736" s="339"/>
      <c r="X736" s="339"/>
      <c r="Y736" s="339"/>
      <c r="Z736" s="339"/>
    </row>
    <row r="737" spans="1:26" ht="15.75" customHeight="1">
      <c r="A737" s="339"/>
      <c r="B737" s="339"/>
      <c r="C737" s="339"/>
      <c r="D737" s="339"/>
      <c r="E737" s="339"/>
      <c r="F737" s="339"/>
      <c r="G737" s="339"/>
      <c r="H737" s="339"/>
      <c r="I737" s="341"/>
      <c r="J737" s="341"/>
      <c r="K737" s="340"/>
      <c r="L737" s="339"/>
      <c r="M737" s="341"/>
      <c r="N737" s="341"/>
      <c r="O737" s="340"/>
      <c r="P737" s="339"/>
      <c r="Q737" s="341"/>
      <c r="R737" s="339"/>
      <c r="S737" s="340"/>
      <c r="T737" s="339"/>
      <c r="U737" s="339"/>
      <c r="V737" s="339"/>
      <c r="W737" s="339"/>
      <c r="X737" s="339"/>
      <c r="Y737" s="339"/>
      <c r="Z737" s="339"/>
    </row>
    <row r="738" spans="1:26" ht="15.75" customHeight="1">
      <c r="A738" s="339"/>
      <c r="B738" s="339"/>
      <c r="C738" s="339"/>
      <c r="D738" s="339"/>
      <c r="E738" s="339"/>
      <c r="F738" s="339"/>
      <c r="G738" s="339"/>
      <c r="H738" s="339"/>
      <c r="I738" s="341"/>
      <c r="J738" s="341"/>
      <c r="K738" s="340"/>
      <c r="L738" s="339"/>
      <c r="M738" s="341"/>
      <c r="N738" s="341"/>
      <c r="O738" s="340"/>
      <c r="P738" s="339"/>
      <c r="Q738" s="341"/>
      <c r="R738" s="339"/>
      <c r="S738" s="340"/>
      <c r="T738" s="339"/>
      <c r="U738" s="339"/>
      <c r="V738" s="339"/>
      <c r="W738" s="339"/>
      <c r="X738" s="339"/>
      <c r="Y738" s="339"/>
      <c r="Z738" s="339"/>
    </row>
    <row r="739" spans="1:26" ht="15.75" customHeight="1">
      <c r="A739" s="339"/>
      <c r="B739" s="339"/>
      <c r="C739" s="339"/>
      <c r="D739" s="339"/>
      <c r="E739" s="339"/>
      <c r="F739" s="339"/>
      <c r="G739" s="339"/>
      <c r="H739" s="339"/>
      <c r="I739" s="341"/>
      <c r="J739" s="341"/>
      <c r="K739" s="340"/>
      <c r="L739" s="339"/>
      <c r="M739" s="341"/>
      <c r="N739" s="341"/>
      <c r="O739" s="340"/>
      <c r="P739" s="339"/>
      <c r="Q739" s="341"/>
      <c r="R739" s="339"/>
      <c r="S739" s="340"/>
      <c r="T739" s="339"/>
      <c r="U739" s="339"/>
      <c r="V739" s="339"/>
      <c r="W739" s="339"/>
      <c r="X739" s="339"/>
      <c r="Y739" s="339"/>
      <c r="Z739" s="339"/>
    </row>
    <row r="740" spans="1:26" ht="15.75" customHeight="1">
      <c r="A740" s="339"/>
      <c r="B740" s="339"/>
      <c r="C740" s="339"/>
      <c r="D740" s="339"/>
      <c r="E740" s="339"/>
      <c r="F740" s="339"/>
      <c r="G740" s="339"/>
      <c r="H740" s="339"/>
      <c r="I740" s="341"/>
      <c r="J740" s="341"/>
      <c r="K740" s="340"/>
      <c r="L740" s="339"/>
      <c r="M740" s="341"/>
      <c r="N740" s="341"/>
      <c r="O740" s="340"/>
      <c r="P740" s="339"/>
      <c r="Q740" s="341"/>
      <c r="R740" s="339"/>
      <c r="S740" s="340"/>
      <c r="T740" s="339"/>
      <c r="U740" s="339"/>
      <c r="V740" s="339"/>
      <c r="W740" s="339"/>
      <c r="X740" s="339"/>
      <c r="Y740" s="339"/>
      <c r="Z740" s="339"/>
    </row>
    <row r="741" spans="1:26" ht="15.75" customHeight="1">
      <c r="A741" s="339"/>
      <c r="B741" s="339"/>
      <c r="C741" s="339"/>
      <c r="D741" s="339"/>
      <c r="E741" s="339"/>
      <c r="F741" s="339"/>
      <c r="G741" s="339"/>
      <c r="H741" s="339"/>
      <c r="I741" s="341"/>
      <c r="J741" s="341"/>
      <c r="K741" s="340"/>
      <c r="L741" s="339"/>
      <c r="M741" s="341"/>
      <c r="N741" s="341"/>
      <c r="O741" s="340"/>
      <c r="P741" s="339"/>
      <c r="Q741" s="341"/>
      <c r="R741" s="339"/>
      <c r="S741" s="340"/>
      <c r="T741" s="339"/>
      <c r="U741" s="339"/>
      <c r="V741" s="339"/>
      <c r="W741" s="339"/>
      <c r="X741" s="339"/>
      <c r="Y741" s="339"/>
      <c r="Z741" s="339"/>
    </row>
    <row r="742" spans="1:26" ht="15.75" customHeight="1">
      <c r="A742" s="339"/>
      <c r="B742" s="339"/>
      <c r="C742" s="339"/>
      <c r="D742" s="339"/>
      <c r="E742" s="339"/>
      <c r="F742" s="339"/>
      <c r="G742" s="339"/>
      <c r="H742" s="339"/>
      <c r="I742" s="341"/>
      <c r="J742" s="341"/>
      <c r="K742" s="340"/>
      <c r="L742" s="339"/>
      <c r="M742" s="341"/>
      <c r="N742" s="341"/>
      <c r="O742" s="340"/>
      <c r="P742" s="339"/>
      <c r="Q742" s="341"/>
      <c r="R742" s="339"/>
      <c r="S742" s="340"/>
      <c r="T742" s="339"/>
      <c r="U742" s="339"/>
      <c r="V742" s="339"/>
      <c r="W742" s="339"/>
      <c r="X742" s="339"/>
      <c r="Y742" s="339"/>
      <c r="Z742" s="339"/>
    </row>
    <row r="743" spans="1:26" ht="15.75" customHeight="1">
      <c r="A743" s="339"/>
      <c r="B743" s="339"/>
      <c r="C743" s="339"/>
      <c r="D743" s="339"/>
      <c r="E743" s="339"/>
      <c r="F743" s="339"/>
      <c r="G743" s="339"/>
      <c r="H743" s="339"/>
      <c r="I743" s="341"/>
      <c r="J743" s="341"/>
      <c r="K743" s="340"/>
      <c r="L743" s="339"/>
      <c r="M743" s="341"/>
      <c r="N743" s="341"/>
      <c r="O743" s="340"/>
      <c r="P743" s="339"/>
      <c r="Q743" s="341"/>
      <c r="R743" s="339"/>
      <c r="S743" s="340"/>
      <c r="T743" s="339"/>
      <c r="U743" s="339"/>
      <c r="V743" s="339"/>
      <c r="W743" s="339"/>
      <c r="X743" s="339"/>
      <c r="Y743" s="339"/>
      <c r="Z743" s="339"/>
    </row>
    <row r="744" spans="1:26" ht="15.75" customHeight="1">
      <c r="A744" s="339"/>
      <c r="B744" s="339"/>
      <c r="C744" s="339"/>
      <c r="D744" s="339"/>
      <c r="E744" s="339"/>
      <c r="F744" s="339"/>
      <c r="G744" s="339"/>
      <c r="H744" s="339"/>
      <c r="I744" s="341"/>
      <c r="J744" s="341"/>
      <c r="K744" s="340"/>
      <c r="L744" s="339"/>
      <c r="M744" s="341"/>
      <c r="N744" s="341"/>
      <c r="O744" s="340"/>
      <c r="P744" s="339"/>
      <c r="Q744" s="341"/>
      <c r="R744" s="339"/>
      <c r="S744" s="340"/>
      <c r="T744" s="339"/>
      <c r="U744" s="339"/>
      <c r="V744" s="339"/>
      <c r="W744" s="339"/>
      <c r="X744" s="339"/>
      <c r="Y744" s="339"/>
      <c r="Z744" s="339"/>
    </row>
    <row r="745" spans="1:26" ht="15.75" customHeight="1">
      <c r="A745" s="339"/>
      <c r="B745" s="339"/>
      <c r="C745" s="339"/>
      <c r="D745" s="339"/>
      <c r="E745" s="339"/>
      <c r="F745" s="339"/>
      <c r="G745" s="339"/>
      <c r="H745" s="339"/>
      <c r="I745" s="341"/>
      <c r="J745" s="341"/>
      <c r="K745" s="340"/>
      <c r="L745" s="339"/>
      <c r="M745" s="341"/>
      <c r="N745" s="341"/>
      <c r="O745" s="340"/>
      <c r="P745" s="339"/>
      <c r="Q745" s="341"/>
      <c r="R745" s="339"/>
      <c r="S745" s="340"/>
      <c r="T745" s="339"/>
      <c r="U745" s="339"/>
      <c r="V745" s="339"/>
      <c r="W745" s="339"/>
      <c r="X745" s="339"/>
      <c r="Y745" s="339"/>
      <c r="Z745" s="339"/>
    </row>
    <row r="746" spans="1:26" ht="15.75" customHeight="1">
      <c r="A746" s="339"/>
      <c r="B746" s="339"/>
      <c r="C746" s="339"/>
      <c r="D746" s="339"/>
      <c r="E746" s="339"/>
      <c r="F746" s="339"/>
      <c r="G746" s="339"/>
      <c r="H746" s="339"/>
      <c r="I746" s="341"/>
      <c r="J746" s="341"/>
      <c r="K746" s="340"/>
      <c r="L746" s="339"/>
      <c r="M746" s="341"/>
      <c r="N746" s="341"/>
      <c r="O746" s="340"/>
      <c r="P746" s="339"/>
      <c r="Q746" s="341"/>
      <c r="R746" s="339"/>
      <c r="S746" s="340"/>
      <c r="T746" s="339"/>
      <c r="U746" s="339"/>
      <c r="V746" s="339"/>
      <c r="W746" s="339"/>
      <c r="X746" s="339"/>
      <c r="Y746" s="339"/>
      <c r="Z746" s="339"/>
    </row>
    <row r="747" spans="1:26" ht="15.75" customHeight="1">
      <c r="A747" s="339"/>
      <c r="B747" s="339"/>
      <c r="C747" s="339"/>
      <c r="D747" s="339"/>
      <c r="E747" s="339"/>
      <c r="F747" s="339"/>
      <c r="G747" s="339"/>
      <c r="H747" s="339"/>
      <c r="I747" s="341"/>
      <c r="J747" s="341"/>
      <c r="K747" s="340"/>
      <c r="L747" s="339"/>
      <c r="M747" s="341"/>
      <c r="N747" s="341"/>
      <c r="O747" s="340"/>
      <c r="P747" s="339"/>
      <c r="Q747" s="341"/>
      <c r="R747" s="339"/>
      <c r="S747" s="340"/>
      <c r="T747" s="339"/>
      <c r="U747" s="339"/>
      <c r="V747" s="339"/>
      <c r="W747" s="339"/>
      <c r="X747" s="339"/>
      <c r="Y747" s="339"/>
      <c r="Z747" s="339"/>
    </row>
    <row r="748" spans="1:26" ht="15.75" customHeight="1">
      <c r="A748" s="339"/>
      <c r="B748" s="339"/>
      <c r="C748" s="339"/>
      <c r="D748" s="339"/>
      <c r="E748" s="339"/>
      <c r="F748" s="339"/>
      <c r="G748" s="339"/>
      <c r="H748" s="339"/>
      <c r="I748" s="341"/>
      <c r="J748" s="341"/>
      <c r="K748" s="340"/>
      <c r="L748" s="339"/>
      <c r="M748" s="341"/>
      <c r="N748" s="341"/>
      <c r="O748" s="340"/>
      <c r="P748" s="339"/>
      <c r="Q748" s="341"/>
      <c r="R748" s="339"/>
      <c r="S748" s="340"/>
      <c r="T748" s="339"/>
      <c r="U748" s="339"/>
      <c r="V748" s="339"/>
      <c r="W748" s="339"/>
      <c r="X748" s="339"/>
      <c r="Y748" s="339"/>
      <c r="Z748" s="339"/>
    </row>
    <row r="749" spans="1:26" ht="15.75" customHeight="1">
      <c r="A749" s="339"/>
      <c r="B749" s="339"/>
      <c r="C749" s="339"/>
      <c r="D749" s="339"/>
      <c r="E749" s="339"/>
      <c r="F749" s="339"/>
      <c r="G749" s="339"/>
      <c r="H749" s="339"/>
      <c r="I749" s="341"/>
      <c r="J749" s="341"/>
      <c r="K749" s="340"/>
      <c r="L749" s="339"/>
      <c r="M749" s="341"/>
      <c r="N749" s="341"/>
      <c r="O749" s="340"/>
      <c r="P749" s="339"/>
      <c r="Q749" s="341"/>
      <c r="R749" s="339"/>
      <c r="S749" s="340"/>
      <c r="T749" s="339"/>
      <c r="U749" s="339"/>
      <c r="V749" s="339"/>
      <c r="W749" s="339"/>
      <c r="X749" s="339"/>
      <c r="Y749" s="339"/>
      <c r="Z749" s="339"/>
    </row>
    <row r="750" spans="1:26" ht="15.75" customHeight="1">
      <c r="A750" s="339"/>
      <c r="B750" s="339"/>
      <c r="C750" s="339"/>
      <c r="D750" s="339"/>
      <c r="E750" s="339"/>
      <c r="F750" s="339"/>
      <c r="G750" s="339"/>
      <c r="H750" s="339"/>
      <c r="I750" s="341"/>
      <c r="J750" s="341"/>
      <c r="K750" s="340"/>
      <c r="L750" s="339"/>
      <c r="M750" s="341"/>
      <c r="N750" s="341"/>
      <c r="O750" s="340"/>
      <c r="P750" s="339"/>
      <c r="Q750" s="341"/>
      <c r="R750" s="339"/>
      <c r="S750" s="340"/>
      <c r="T750" s="339"/>
      <c r="U750" s="339"/>
      <c r="V750" s="339"/>
      <c r="W750" s="339"/>
      <c r="X750" s="339"/>
      <c r="Y750" s="339"/>
      <c r="Z750" s="339"/>
    </row>
    <row r="751" spans="1:26" ht="15.75" customHeight="1">
      <c r="A751" s="339"/>
      <c r="B751" s="339"/>
      <c r="C751" s="339"/>
      <c r="D751" s="339"/>
      <c r="E751" s="339"/>
      <c r="F751" s="339"/>
      <c r="G751" s="339"/>
      <c r="H751" s="339"/>
      <c r="I751" s="341"/>
      <c r="J751" s="341"/>
      <c r="K751" s="340"/>
      <c r="L751" s="339"/>
      <c r="M751" s="341"/>
      <c r="N751" s="341"/>
      <c r="O751" s="340"/>
      <c r="P751" s="339"/>
      <c r="Q751" s="341"/>
      <c r="R751" s="339"/>
      <c r="S751" s="340"/>
      <c r="T751" s="339"/>
      <c r="U751" s="339"/>
      <c r="V751" s="339"/>
      <c r="W751" s="339"/>
      <c r="X751" s="339"/>
      <c r="Y751" s="339"/>
      <c r="Z751" s="339"/>
    </row>
    <row r="752" spans="1:26" ht="15.75" customHeight="1">
      <c r="A752" s="339"/>
      <c r="B752" s="339"/>
      <c r="C752" s="339"/>
      <c r="D752" s="339"/>
      <c r="E752" s="339"/>
      <c r="F752" s="339"/>
      <c r="G752" s="339"/>
      <c r="H752" s="339"/>
      <c r="I752" s="341"/>
      <c r="J752" s="341"/>
      <c r="K752" s="340"/>
      <c r="L752" s="339"/>
      <c r="M752" s="341"/>
      <c r="N752" s="341"/>
      <c r="O752" s="340"/>
      <c r="P752" s="339"/>
      <c r="Q752" s="341"/>
      <c r="R752" s="339"/>
      <c r="S752" s="340"/>
      <c r="T752" s="339"/>
      <c r="U752" s="339"/>
      <c r="V752" s="339"/>
      <c r="W752" s="339"/>
      <c r="X752" s="339"/>
      <c r="Y752" s="339"/>
      <c r="Z752" s="339"/>
    </row>
    <row r="753" spans="1:26" ht="15.75" customHeight="1">
      <c r="A753" s="339"/>
      <c r="B753" s="339"/>
      <c r="C753" s="339"/>
      <c r="D753" s="339"/>
      <c r="E753" s="339"/>
      <c r="F753" s="339"/>
      <c r="G753" s="339"/>
      <c r="H753" s="339"/>
      <c r="I753" s="341"/>
      <c r="J753" s="341"/>
      <c r="K753" s="340"/>
      <c r="L753" s="339"/>
      <c r="M753" s="341"/>
      <c r="N753" s="341"/>
      <c r="O753" s="340"/>
      <c r="P753" s="339"/>
      <c r="Q753" s="341"/>
      <c r="R753" s="339"/>
      <c r="S753" s="340"/>
      <c r="T753" s="339"/>
      <c r="U753" s="339"/>
      <c r="V753" s="339"/>
      <c r="W753" s="339"/>
      <c r="X753" s="339"/>
      <c r="Y753" s="339"/>
      <c r="Z753" s="339"/>
    </row>
    <row r="754" spans="1:26" ht="15.75" customHeight="1">
      <c r="A754" s="339"/>
      <c r="B754" s="339"/>
      <c r="C754" s="339"/>
      <c r="D754" s="339"/>
      <c r="E754" s="339"/>
      <c r="F754" s="339"/>
      <c r="G754" s="339"/>
      <c r="H754" s="339"/>
      <c r="I754" s="341"/>
      <c r="J754" s="341"/>
      <c r="K754" s="340"/>
      <c r="L754" s="339"/>
      <c r="M754" s="341"/>
      <c r="N754" s="341"/>
      <c r="O754" s="340"/>
      <c r="P754" s="339"/>
      <c r="Q754" s="341"/>
      <c r="R754" s="339"/>
      <c r="S754" s="340"/>
      <c r="T754" s="339"/>
      <c r="U754" s="339"/>
      <c r="V754" s="339"/>
      <c r="W754" s="339"/>
      <c r="X754" s="339"/>
      <c r="Y754" s="339"/>
      <c r="Z754" s="339"/>
    </row>
    <row r="755" spans="1:26" ht="15.75" customHeight="1">
      <c r="A755" s="339"/>
      <c r="B755" s="339"/>
      <c r="C755" s="339"/>
      <c r="D755" s="339"/>
      <c r="E755" s="339"/>
      <c r="F755" s="339"/>
      <c r="G755" s="339"/>
      <c r="H755" s="339"/>
      <c r="I755" s="341"/>
      <c r="J755" s="341"/>
      <c r="K755" s="340"/>
      <c r="L755" s="339"/>
      <c r="M755" s="341"/>
      <c r="N755" s="341"/>
      <c r="O755" s="340"/>
      <c r="P755" s="339"/>
      <c r="Q755" s="341"/>
      <c r="R755" s="339"/>
      <c r="S755" s="340"/>
      <c r="T755" s="339"/>
      <c r="U755" s="339"/>
      <c r="V755" s="339"/>
      <c r="W755" s="339"/>
      <c r="X755" s="339"/>
      <c r="Y755" s="339"/>
      <c r="Z755" s="339"/>
    </row>
    <row r="756" spans="1:26" ht="15.75" customHeight="1">
      <c r="A756" s="339"/>
      <c r="B756" s="339"/>
      <c r="C756" s="339"/>
      <c r="D756" s="339"/>
      <c r="E756" s="339"/>
      <c r="F756" s="339"/>
      <c r="G756" s="339"/>
      <c r="H756" s="339"/>
      <c r="I756" s="341"/>
      <c r="J756" s="341"/>
      <c r="K756" s="340"/>
      <c r="L756" s="339"/>
      <c r="M756" s="341"/>
      <c r="N756" s="341"/>
      <c r="O756" s="340"/>
      <c r="P756" s="339"/>
      <c r="Q756" s="341"/>
      <c r="R756" s="339"/>
      <c r="S756" s="340"/>
      <c r="T756" s="339"/>
      <c r="U756" s="339"/>
      <c r="V756" s="339"/>
      <c r="W756" s="339"/>
      <c r="X756" s="339"/>
      <c r="Y756" s="339"/>
      <c r="Z756" s="339"/>
    </row>
    <row r="757" spans="1:26" ht="15.75" customHeight="1">
      <c r="A757" s="339"/>
      <c r="B757" s="339"/>
      <c r="C757" s="339"/>
      <c r="D757" s="339"/>
      <c r="E757" s="339"/>
      <c r="F757" s="339"/>
      <c r="G757" s="339"/>
      <c r="H757" s="339"/>
      <c r="I757" s="341"/>
      <c r="J757" s="341"/>
      <c r="K757" s="340"/>
      <c r="L757" s="339"/>
      <c r="M757" s="341"/>
      <c r="N757" s="341"/>
      <c r="O757" s="340"/>
      <c r="P757" s="339"/>
      <c r="Q757" s="341"/>
      <c r="R757" s="339"/>
      <c r="S757" s="340"/>
      <c r="T757" s="339"/>
      <c r="U757" s="339"/>
      <c r="V757" s="339"/>
      <c r="W757" s="339"/>
      <c r="X757" s="339"/>
      <c r="Y757" s="339"/>
      <c r="Z757" s="339"/>
    </row>
    <row r="758" spans="1:26" ht="15.75" customHeight="1">
      <c r="A758" s="339"/>
      <c r="B758" s="339"/>
      <c r="C758" s="339"/>
      <c r="D758" s="339"/>
      <c r="E758" s="339"/>
      <c r="F758" s="339"/>
      <c r="G758" s="339"/>
      <c r="H758" s="339"/>
      <c r="I758" s="341"/>
      <c r="J758" s="341"/>
      <c r="K758" s="340"/>
      <c r="L758" s="339"/>
      <c r="M758" s="341"/>
      <c r="N758" s="341"/>
      <c r="O758" s="340"/>
      <c r="P758" s="339"/>
      <c r="Q758" s="341"/>
      <c r="R758" s="339"/>
      <c r="S758" s="340"/>
      <c r="T758" s="339"/>
      <c r="U758" s="339"/>
      <c r="V758" s="339"/>
      <c r="W758" s="339"/>
      <c r="X758" s="339"/>
      <c r="Y758" s="339"/>
      <c r="Z758" s="339"/>
    </row>
    <row r="759" spans="1:26" ht="15.75" customHeight="1">
      <c r="A759" s="339"/>
      <c r="B759" s="339"/>
      <c r="C759" s="339"/>
      <c r="D759" s="339"/>
      <c r="E759" s="339"/>
      <c r="F759" s="339"/>
      <c r="G759" s="339"/>
      <c r="H759" s="339"/>
      <c r="I759" s="341"/>
      <c r="J759" s="341"/>
      <c r="K759" s="340"/>
      <c r="L759" s="339"/>
      <c r="M759" s="341"/>
      <c r="N759" s="341"/>
      <c r="O759" s="340"/>
      <c r="P759" s="339"/>
      <c r="Q759" s="341"/>
      <c r="R759" s="339"/>
      <c r="S759" s="340"/>
      <c r="T759" s="339"/>
      <c r="U759" s="339"/>
      <c r="V759" s="339"/>
      <c r="W759" s="339"/>
      <c r="X759" s="339"/>
      <c r="Y759" s="339"/>
      <c r="Z759" s="339"/>
    </row>
    <row r="760" spans="1:26" ht="15.75" customHeight="1">
      <c r="A760" s="339"/>
      <c r="B760" s="339"/>
      <c r="C760" s="339"/>
      <c r="D760" s="339"/>
      <c r="E760" s="339"/>
      <c r="F760" s="339"/>
      <c r="G760" s="339"/>
      <c r="H760" s="339"/>
      <c r="I760" s="341"/>
      <c r="J760" s="341"/>
      <c r="K760" s="340"/>
      <c r="L760" s="339"/>
      <c r="M760" s="341"/>
      <c r="N760" s="341"/>
      <c r="O760" s="340"/>
      <c r="P760" s="339"/>
      <c r="Q760" s="341"/>
      <c r="R760" s="339"/>
      <c r="S760" s="340"/>
      <c r="T760" s="339"/>
      <c r="U760" s="339"/>
      <c r="V760" s="339"/>
      <c r="W760" s="339"/>
      <c r="X760" s="339"/>
      <c r="Y760" s="339"/>
      <c r="Z760" s="339"/>
    </row>
    <row r="761" spans="1:26" ht="15.75" customHeight="1">
      <c r="A761" s="339"/>
      <c r="B761" s="339"/>
      <c r="C761" s="339"/>
      <c r="D761" s="339"/>
      <c r="E761" s="339"/>
      <c r="F761" s="339"/>
      <c r="G761" s="339"/>
      <c r="H761" s="339"/>
      <c r="I761" s="341"/>
      <c r="J761" s="341"/>
      <c r="K761" s="340"/>
      <c r="L761" s="339"/>
      <c r="M761" s="341"/>
      <c r="N761" s="341"/>
      <c r="O761" s="340"/>
      <c r="P761" s="339"/>
      <c r="Q761" s="341"/>
      <c r="R761" s="339"/>
      <c r="S761" s="340"/>
      <c r="T761" s="339"/>
      <c r="U761" s="339"/>
      <c r="V761" s="339"/>
      <c r="W761" s="339"/>
      <c r="X761" s="339"/>
      <c r="Y761" s="339"/>
      <c r="Z761" s="339"/>
    </row>
    <row r="762" spans="1:26" ht="15.75" customHeight="1">
      <c r="A762" s="339"/>
      <c r="B762" s="339"/>
      <c r="C762" s="339"/>
      <c r="D762" s="339"/>
      <c r="E762" s="339"/>
      <c r="F762" s="339"/>
      <c r="G762" s="339"/>
      <c r="H762" s="339"/>
      <c r="I762" s="341"/>
      <c r="J762" s="341"/>
      <c r="K762" s="340"/>
      <c r="L762" s="339"/>
      <c r="M762" s="341"/>
      <c r="N762" s="341"/>
      <c r="O762" s="340"/>
      <c r="P762" s="339"/>
      <c r="Q762" s="341"/>
      <c r="R762" s="339"/>
      <c r="S762" s="340"/>
      <c r="T762" s="339"/>
      <c r="U762" s="339"/>
      <c r="V762" s="339"/>
      <c r="W762" s="339"/>
      <c r="X762" s="339"/>
      <c r="Y762" s="339"/>
      <c r="Z762" s="339"/>
    </row>
    <row r="763" spans="1:26" ht="15.75" customHeight="1">
      <c r="A763" s="339"/>
      <c r="B763" s="339"/>
      <c r="C763" s="339"/>
      <c r="D763" s="339"/>
      <c r="E763" s="339"/>
      <c r="F763" s="339"/>
      <c r="G763" s="339"/>
      <c r="H763" s="339"/>
      <c r="I763" s="341"/>
      <c r="J763" s="341"/>
      <c r="K763" s="340"/>
      <c r="L763" s="339"/>
      <c r="M763" s="341"/>
      <c r="N763" s="341"/>
      <c r="O763" s="340"/>
      <c r="P763" s="339"/>
      <c r="Q763" s="341"/>
      <c r="R763" s="339"/>
      <c r="S763" s="340"/>
      <c r="T763" s="339"/>
      <c r="U763" s="339"/>
      <c r="V763" s="339"/>
      <c r="W763" s="339"/>
      <c r="X763" s="339"/>
      <c r="Y763" s="339"/>
      <c r="Z763" s="339"/>
    </row>
    <row r="764" spans="1:26" ht="15.75" customHeight="1">
      <c r="A764" s="339"/>
      <c r="B764" s="339"/>
      <c r="C764" s="339"/>
      <c r="D764" s="339"/>
      <c r="E764" s="339"/>
      <c r="F764" s="339"/>
      <c r="G764" s="339"/>
      <c r="H764" s="339"/>
      <c r="I764" s="341"/>
      <c r="J764" s="341"/>
      <c r="K764" s="340"/>
      <c r="L764" s="339"/>
      <c r="M764" s="341"/>
      <c r="N764" s="341"/>
      <c r="O764" s="340"/>
      <c r="P764" s="339"/>
      <c r="Q764" s="341"/>
      <c r="R764" s="339"/>
      <c r="S764" s="340"/>
      <c r="T764" s="339"/>
      <c r="U764" s="339"/>
      <c r="V764" s="339"/>
      <c r="W764" s="339"/>
      <c r="X764" s="339"/>
      <c r="Y764" s="339"/>
      <c r="Z764" s="339"/>
    </row>
    <row r="765" spans="1:26" ht="15.75" customHeight="1">
      <c r="A765" s="339"/>
      <c r="B765" s="339"/>
      <c r="C765" s="339"/>
      <c r="D765" s="339"/>
      <c r="E765" s="339"/>
      <c r="F765" s="339"/>
      <c r="G765" s="339"/>
      <c r="H765" s="339"/>
      <c r="I765" s="341"/>
      <c r="J765" s="341"/>
      <c r="K765" s="340"/>
      <c r="L765" s="339"/>
      <c r="M765" s="341"/>
      <c r="N765" s="341"/>
      <c r="O765" s="340"/>
      <c r="P765" s="339"/>
      <c r="Q765" s="341"/>
      <c r="R765" s="339"/>
      <c r="S765" s="340"/>
      <c r="T765" s="339"/>
      <c r="U765" s="339"/>
      <c r="V765" s="339"/>
      <c r="W765" s="339"/>
      <c r="X765" s="339"/>
      <c r="Y765" s="339"/>
      <c r="Z765" s="339"/>
    </row>
    <row r="766" spans="1:26" ht="15.75" customHeight="1">
      <c r="A766" s="339"/>
      <c r="B766" s="339"/>
      <c r="C766" s="339"/>
      <c r="D766" s="339"/>
      <c r="E766" s="339"/>
      <c r="F766" s="339"/>
      <c r="G766" s="339"/>
      <c r="H766" s="339"/>
      <c r="I766" s="341"/>
      <c r="J766" s="341"/>
      <c r="K766" s="340"/>
      <c r="L766" s="339"/>
      <c r="M766" s="341"/>
      <c r="N766" s="341"/>
      <c r="O766" s="340"/>
      <c r="P766" s="339"/>
      <c r="Q766" s="341"/>
      <c r="R766" s="339"/>
      <c r="S766" s="340"/>
      <c r="T766" s="339"/>
      <c r="U766" s="339"/>
      <c r="V766" s="339"/>
      <c r="W766" s="339"/>
      <c r="X766" s="339"/>
      <c r="Y766" s="339"/>
      <c r="Z766" s="339"/>
    </row>
    <row r="767" spans="1:26" ht="15.75" customHeight="1">
      <c r="A767" s="339"/>
      <c r="B767" s="339"/>
      <c r="C767" s="339"/>
      <c r="D767" s="339"/>
      <c r="E767" s="339"/>
      <c r="F767" s="339"/>
      <c r="G767" s="339"/>
      <c r="H767" s="339"/>
      <c r="I767" s="341"/>
      <c r="J767" s="341"/>
      <c r="K767" s="340"/>
      <c r="L767" s="339"/>
      <c r="M767" s="341"/>
      <c r="N767" s="341"/>
      <c r="O767" s="340"/>
      <c r="P767" s="339"/>
      <c r="Q767" s="341"/>
      <c r="R767" s="339"/>
      <c r="S767" s="340"/>
      <c r="T767" s="339"/>
      <c r="U767" s="339"/>
      <c r="V767" s="339"/>
      <c r="W767" s="339"/>
      <c r="X767" s="339"/>
      <c r="Y767" s="339"/>
      <c r="Z767" s="339"/>
    </row>
    <row r="768" spans="1:26" ht="15.75" customHeight="1">
      <c r="A768" s="339"/>
      <c r="B768" s="339"/>
      <c r="C768" s="339"/>
      <c r="D768" s="339"/>
      <c r="E768" s="339"/>
      <c r="F768" s="339"/>
      <c r="G768" s="339"/>
      <c r="H768" s="339"/>
      <c r="I768" s="341"/>
      <c r="J768" s="341"/>
      <c r="K768" s="340"/>
      <c r="L768" s="339"/>
      <c r="M768" s="341"/>
      <c r="N768" s="341"/>
      <c r="O768" s="340"/>
      <c r="P768" s="339"/>
      <c r="Q768" s="341"/>
      <c r="R768" s="339"/>
      <c r="S768" s="340"/>
      <c r="T768" s="339"/>
      <c r="U768" s="339"/>
      <c r="V768" s="339"/>
      <c r="W768" s="339"/>
      <c r="X768" s="339"/>
      <c r="Y768" s="339"/>
      <c r="Z768" s="339"/>
    </row>
    <row r="769" spans="1:26" ht="15.75" customHeight="1">
      <c r="A769" s="339"/>
      <c r="B769" s="339"/>
      <c r="C769" s="339"/>
      <c r="D769" s="339"/>
      <c r="E769" s="339"/>
      <c r="F769" s="339"/>
      <c r="G769" s="339"/>
      <c r="H769" s="339"/>
      <c r="I769" s="341"/>
      <c r="J769" s="341"/>
      <c r="K769" s="340"/>
      <c r="L769" s="339"/>
      <c r="M769" s="341"/>
      <c r="N769" s="341"/>
      <c r="O769" s="340"/>
      <c r="P769" s="339"/>
      <c r="Q769" s="341"/>
      <c r="R769" s="339"/>
      <c r="S769" s="340"/>
      <c r="T769" s="339"/>
      <c r="U769" s="339"/>
      <c r="V769" s="339"/>
      <c r="W769" s="339"/>
      <c r="X769" s="339"/>
      <c r="Y769" s="339"/>
      <c r="Z769" s="339"/>
    </row>
    <row r="770" spans="1:26" ht="15.75" customHeight="1">
      <c r="A770" s="339"/>
      <c r="B770" s="339"/>
      <c r="C770" s="339"/>
      <c r="D770" s="339"/>
      <c r="E770" s="339"/>
      <c r="F770" s="339"/>
      <c r="G770" s="339"/>
      <c r="H770" s="339"/>
      <c r="I770" s="341"/>
      <c r="J770" s="341"/>
      <c r="K770" s="340"/>
      <c r="L770" s="339"/>
      <c r="M770" s="341"/>
      <c r="N770" s="341"/>
      <c r="O770" s="340"/>
      <c r="P770" s="339"/>
      <c r="Q770" s="341"/>
      <c r="R770" s="339"/>
      <c r="S770" s="340"/>
      <c r="T770" s="339"/>
      <c r="U770" s="339"/>
      <c r="V770" s="339"/>
      <c r="W770" s="339"/>
      <c r="X770" s="339"/>
      <c r="Y770" s="339"/>
      <c r="Z770" s="339"/>
    </row>
    <row r="771" spans="1:26" ht="15.75" customHeight="1">
      <c r="A771" s="339"/>
      <c r="B771" s="339"/>
      <c r="C771" s="339"/>
      <c r="D771" s="339"/>
      <c r="E771" s="339"/>
      <c r="F771" s="339"/>
      <c r="G771" s="339"/>
      <c r="H771" s="339"/>
      <c r="I771" s="341"/>
      <c r="J771" s="341"/>
      <c r="K771" s="340"/>
      <c r="L771" s="339"/>
      <c r="M771" s="341"/>
      <c r="N771" s="341"/>
      <c r="O771" s="340"/>
      <c r="P771" s="339"/>
      <c r="Q771" s="341"/>
      <c r="R771" s="339"/>
      <c r="S771" s="340"/>
      <c r="T771" s="339"/>
      <c r="U771" s="339"/>
      <c r="V771" s="339"/>
      <c r="W771" s="339"/>
      <c r="X771" s="339"/>
      <c r="Y771" s="339"/>
      <c r="Z771" s="339"/>
    </row>
    <row r="772" spans="1:26" ht="15.75" customHeight="1">
      <c r="A772" s="339"/>
      <c r="B772" s="339"/>
      <c r="C772" s="339"/>
      <c r="D772" s="339"/>
      <c r="E772" s="339"/>
      <c r="F772" s="339"/>
      <c r="G772" s="339"/>
      <c r="H772" s="339"/>
      <c r="I772" s="341"/>
      <c r="J772" s="341"/>
      <c r="K772" s="340"/>
      <c r="L772" s="339"/>
      <c r="M772" s="341"/>
      <c r="N772" s="341"/>
      <c r="O772" s="340"/>
      <c r="P772" s="339"/>
      <c r="Q772" s="341"/>
      <c r="R772" s="339"/>
      <c r="S772" s="340"/>
      <c r="T772" s="339"/>
      <c r="U772" s="339"/>
      <c r="V772" s="339"/>
      <c r="W772" s="339"/>
      <c r="X772" s="339"/>
      <c r="Y772" s="339"/>
      <c r="Z772" s="339"/>
    </row>
    <row r="773" spans="1:26" ht="15.75" customHeight="1">
      <c r="A773" s="339"/>
      <c r="B773" s="339"/>
      <c r="C773" s="339"/>
      <c r="D773" s="339"/>
      <c r="E773" s="339"/>
      <c r="F773" s="339"/>
      <c r="G773" s="339"/>
      <c r="H773" s="339"/>
      <c r="I773" s="341"/>
      <c r="J773" s="341"/>
      <c r="K773" s="340"/>
      <c r="L773" s="339"/>
      <c r="M773" s="341"/>
      <c r="N773" s="341"/>
      <c r="O773" s="340"/>
      <c r="P773" s="339"/>
      <c r="Q773" s="341"/>
      <c r="R773" s="339"/>
      <c r="S773" s="340"/>
      <c r="T773" s="339"/>
      <c r="U773" s="339"/>
      <c r="V773" s="339"/>
      <c r="W773" s="339"/>
      <c r="X773" s="339"/>
      <c r="Y773" s="339"/>
      <c r="Z773" s="339"/>
    </row>
    <row r="774" spans="1:26" ht="15.75" customHeight="1">
      <c r="A774" s="339"/>
      <c r="B774" s="339"/>
      <c r="C774" s="339"/>
      <c r="D774" s="339"/>
      <c r="E774" s="339"/>
      <c r="F774" s="339"/>
      <c r="G774" s="339"/>
      <c r="H774" s="339"/>
      <c r="I774" s="341"/>
      <c r="J774" s="341"/>
      <c r="K774" s="340"/>
      <c r="L774" s="339"/>
      <c r="M774" s="341"/>
      <c r="N774" s="341"/>
      <c r="O774" s="340"/>
      <c r="P774" s="339"/>
      <c r="Q774" s="341"/>
      <c r="R774" s="339"/>
      <c r="S774" s="340"/>
      <c r="T774" s="339"/>
      <c r="U774" s="339"/>
      <c r="V774" s="339"/>
      <c r="W774" s="339"/>
      <c r="X774" s="339"/>
      <c r="Y774" s="339"/>
      <c r="Z774" s="339"/>
    </row>
    <row r="775" spans="1:26" ht="15.75" customHeight="1">
      <c r="A775" s="339"/>
      <c r="B775" s="339"/>
      <c r="C775" s="339"/>
      <c r="D775" s="339"/>
      <c r="E775" s="339"/>
      <c r="F775" s="339"/>
      <c r="G775" s="339"/>
      <c r="H775" s="339"/>
      <c r="I775" s="341"/>
      <c r="J775" s="341"/>
      <c r="K775" s="340"/>
      <c r="L775" s="339"/>
      <c r="M775" s="341"/>
      <c r="N775" s="341"/>
      <c r="O775" s="340"/>
      <c r="P775" s="339"/>
      <c r="Q775" s="341"/>
      <c r="R775" s="339"/>
      <c r="S775" s="340"/>
      <c r="T775" s="339"/>
      <c r="U775" s="339"/>
      <c r="V775" s="339"/>
      <c r="W775" s="339"/>
      <c r="X775" s="339"/>
      <c r="Y775" s="339"/>
      <c r="Z775" s="339"/>
    </row>
    <row r="776" spans="1:26" ht="15.75" customHeight="1">
      <c r="A776" s="339"/>
      <c r="B776" s="339"/>
      <c r="C776" s="339"/>
      <c r="D776" s="339"/>
      <c r="E776" s="339"/>
      <c r="F776" s="339"/>
      <c r="G776" s="339"/>
      <c r="H776" s="339"/>
      <c r="I776" s="341"/>
      <c r="J776" s="341"/>
      <c r="K776" s="340"/>
      <c r="L776" s="339"/>
      <c r="M776" s="341"/>
      <c r="N776" s="341"/>
      <c r="O776" s="340"/>
      <c r="P776" s="339"/>
      <c r="Q776" s="341"/>
      <c r="R776" s="339"/>
      <c r="S776" s="340"/>
      <c r="T776" s="339"/>
      <c r="U776" s="339"/>
      <c r="V776" s="339"/>
      <c r="W776" s="339"/>
      <c r="X776" s="339"/>
      <c r="Y776" s="339"/>
      <c r="Z776" s="339"/>
    </row>
    <row r="777" spans="1:26" ht="15.75" customHeight="1">
      <c r="A777" s="339"/>
      <c r="B777" s="339"/>
      <c r="C777" s="339"/>
      <c r="D777" s="339"/>
      <c r="E777" s="339"/>
      <c r="F777" s="339"/>
      <c r="G777" s="339"/>
      <c r="H777" s="339"/>
      <c r="I777" s="341"/>
      <c r="J777" s="341"/>
      <c r="K777" s="340"/>
      <c r="L777" s="339"/>
      <c r="M777" s="341"/>
      <c r="N777" s="341"/>
      <c r="O777" s="340"/>
      <c r="P777" s="339"/>
      <c r="Q777" s="341"/>
      <c r="R777" s="339"/>
      <c r="S777" s="340"/>
      <c r="T777" s="339"/>
      <c r="U777" s="339"/>
      <c r="V777" s="339"/>
      <c r="W777" s="339"/>
      <c r="X777" s="339"/>
      <c r="Y777" s="339"/>
      <c r="Z777" s="339"/>
    </row>
    <row r="778" spans="1:26" ht="15.75" customHeight="1">
      <c r="A778" s="339"/>
      <c r="B778" s="339"/>
      <c r="C778" s="339"/>
      <c r="D778" s="339"/>
      <c r="E778" s="339"/>
      <c r="F778" s="339"/>
      <c r="G778" s="339"/>
      <c r="H778" s="339"/>
      <c r="I778" s="341"/>
      <c r="J778" s="341"/>
      <c r="K778" s="340"/>
      <c r="L778" s="339"/>
      <c r="M778" s="341"/>
      <c r="N778" s="341"/>
      <c r="O778" s="340"/>
      <c r="P778" s="339"/>
      <c r="Q778" s="341"/>
      <c r="R778" s="339"/>
      <c r="S778" s="340"/>
      <c r="T778" s="339"/>
      <c r="U778" s="339"/>
      <c r="V778" s="339"/>
      <c r="W778" s="339"/>
      <c r="X778" s="339"/>
      <c r="Y778" s="339"/>
      <c r="Z778" s="339"/>
    </row>
    <row r="779" spans="1:26" ht="15.75" customHeight="1">
      <c r="A779" s="339"/>
      <c r="B779" s="339"/>
      <c r="C779" s="339"/>
      <c r="D779" s="339"/>
      <c r="E779" s="339"/>
      <c r="F779" s="339"/>
      <c r="G779" s="339"/>
      <c r="H779" s="339"/>
      <c r="I779" s="341"/>
      <c r="J779" s="341"/>
      <c r="K779" s="340"/>
      <c r="L779" s="339"/>
      <c r="M779" s="341"/>
      <c r="N779" s="341"/>
      <c r="O779" s="340"/>
      <c r="P779" s="339"/>
      <c r="Q779" s="341"/>
      <c r="R779" s="339"/>
      <c r="S779" s="340"/>
      <c r="T779" s="339"/>
      <c r="U779" s="339"/>
      <c r="V779" s="339"/>
      <c r="W779" s="339"/>
      <c r="X779" s="339"/>
      <c r="Y779" s="339"/>
      <c r="Z779" s="339"/>
    </row>
    <row r="780" spans="1:26" ht="15.75" customHeight="1">
      <c r="A780" s="339"/>
      <c r="B780" s="339"/>
      <c r="C780" s="339"/>
      <c r="D780" s="339"/>
      <c r="E780" s="339"/>
      <c r="F780" s="339"/>
      <c r="G780" s="339"/>
      <c r="H780" s="339"/>
      <c r="I780" s="341"/>
      <c r="J780" s="341"/>
      <c r="K780" s="340"/>
      <c r="L780" s="339"/>
      <c r="M780" s="341"/>
      <c r="N780" s="341"/>
      <c r="O780" s="340"/>
      <c r="P780" s="339"/>
      <c r="Q780" s="341"/>
      <c r="R780" s="339"/>
      <c r="S780" s="340"/>
      <c r="T780" s="339"/>
      <c r="U780" s="339"/>
      <c r="V780" s="339"/>
      <c r="W780" s="339"/>
      <c r="X780" s="339"/>
      <c r="Y780" s="339"/>
      <c r="Z780" s="339"/>
    </row>
    <row r="781" spans="1:26" ht="15.75" customHeight="1">
      <c r="A781" s="339"/>
      <c r="B781" s="339"/>
      <c r="C781" s="339"/>
      <c r="D781" s="339"/>
      <c r="E781" s="339"/>
      <c r="F781" s="339"/>
      <c r="G781" s="339"/>
      <c r="H781" s="339"/>
      <c r="I781" s="341"/>
      <c r="J781" s="341"/>
      <c r="K781" s="340"/>
      <c r="L781" s="339"/>
      <c r="M781" s="341"/>
      <c r="N781" s="341"/>
      <c r="O781" s="340"/>
      <c r="P781" s="339"/>
      <c r="Q781" s="341"/>
      <c r="R781" s="339"/>
      <c r="S781" s="340"/>
      <c r="T781" s="339"/>
      <c r="U781" s="339"/>
      <c r="V781" s="339"/>
      <c r="W781" s="339"/>
      <c r="X781" s="339"/>
      <c r="Y781" s="339"/>
      <c r="Z781" s="339"/>
    </row>
    <row r="782" spans="1:26" ht="15.75" customHeight="1">
      <c r="A782" s="339"/>
      <c r="B782" s="339"/>
      <c r="C782" s="339"/>
      <c r="D782" s="339"/>
      <c r="E782" s="339"/>
      <c r="F782" s="339"/>
      <c r="G782" s="339"/>
      <c r="H782" s="339"/>
      <c r="I782" s="341"/>
      <c r="J782" s="341"/>
      <c r="K782" s="340"/>
      <c r="L782" s="339"/>
      <c r="M782" s="341"/>
      <c r="N782" s="341"/>
      <c r="O782" s="340"/>
      <c r="P782" s="339"/>
      <c r="Q782" s="341"/>
      <c r="R782" s="339"/>
      <c r="S782" s="340"/>
      <c r="T782" s="339"/>
      <c r="U782" s="339"/>
      <c r="V782" s="339"/>
      <c r="W782" s="339"/>
      <c r="X782" s="339"/>
      <c r="Y782" s="339"/>
      <c r="Z782" s="339"/>
    </row>
    <row r="783" spans="1:26" ht="15.75" customHeight="1">
      <c r="A783" s="339"/>
      <c r="B783" s="339"/>
      <c r="C783" s="339"/>
      <c r="D783" s="339"/>
      <c r="E783" s="339"/>
      <c r="F783" s="339"/>
      <c r="G783" s="339"/>
      <c r="H783" s="339"/>
      <c r="I783" s="341"/>
      <c r="J783" s="341"/>
      <c r="K783" s="340"/>
      <c r="L783" s="339"/>
      <c r="M783" s="341"/>
      <c r="N783" s="341"/>
      <c r="O783" s="340"/>
      <c r="P783" s="339"/>
      <c r="Q783" s="341"/>
      <c r="R783" s="339"/>
      <c r="S783" s="340"/>
      <c r="T783" s="339"/>
      <c r="U783" s="339"/>
      <c r="V783" s="339"/>
      <c r="W783" s="339"/>
      <c r="X783" s="339"/>
      <c r="Y783" s="339"/>
      <c r="Z783" s="339"/>
    </row>
    <row r="784" spans="1:26" ht="15.75" customHeight="1">
      <c r="A784" s="339"/>
      <c r="B784" s="339"/>
      <c r="C784" s="339"/>
      <c r="D784" s="339"/>
      <c r="E784" s="339"/>
      <c r="F784" s="339"/>
      <c r="G784" s="339"/>
      <c r="H784" s="339"/>
      <c r="I784" s="341"/>
      <c r="J784" s="341"/>
      <c r="K784" s="340"/>
      <c r="L784" s="339"/>
      <c r="M784" s="341"/>
      <c r="N784" s="341"/>
      <c r="O784" s="340"/>
      <c r="P784" s="339"/>
      <c r="Q784" s="341"/>
      <c r="R784" s="339"/>
      <c r="S784" s="340"/>
      <c r="T784" s="339"/>
      <c r="U784" s="339"/>
      <c r="V784" s="339"/>
      <c r="W784" s="339"/>
      <c r="X784" s="339"/>
      <c r="Y784" s="339"/>
      <c r="Z784" s="339"/>
    </row>
    <row r="785" spans="1:26" ht="15.75" customHeight="1">
      <c r="A785" s="339"/>
      <c r="B785" s="339"/>
      <c r="C785" s="339"/>
      <c r="D785" s="339"/>
      <c r="E785" s="339"/>
      <c r="F785" s="339"/>
      <c r="G785" s="339"/>
      <c r="H785" s="339"/>
      <c r="I785" s="341"/>
      <c r="J785" s="341"/>
      <c r="K785" s="340"/>
      <c r="L785" s="339"/>
      <c r="M785" s="341"/>
      <c r="N785" s="341"/>
      <c r="O785" s="340"/>
      <c r="P785" s="339"/>
      <c r="Q785" s="341"/>
      <c r="R785" s="339"/>
      <c r="S785" s="340"/>
      <c r="T785" s="339"/>
      <c r="U785" s="339"/>
      <c r="V785" s="339"/>
      <c r="W785" s="339"/>
      <c r="X785" s="339"/>
      <c r="Y785" s="339"/>
      <c r="Z785" s="339"/>
    </row>
    <row r="786" spans="1:26" ht="15.75" customHeight="1">
      <c r="A786" s="339"/>
      <c r="B786" s="339"/>
      <c r="C786" s="339"/>
      <c r="D786" s="339"/>
      <c r="E786" s="339"/>
      <c r="F786" s="339"/>
      <c r="G786" s="339"/>
      <c r="H786" s="339"/>
      <c r="I786" s="341"/>
      <c r="J786" s="341"/>
      <c r="K786" s="340"/>
      <c r="L786" s="339"/>
      <c r="M786" s="341"/>
      <c r="N786" s="341"/>
      <c r="O786" s="340"/>
      <c r="P786" s="339"/>
      <c r="Q786" s="341"/>
      <c r="R786" s="339"/>
      <c r="S786" s="340"/>
      <c r="T786" s="339"/>
      <c r="U786" s="339"/>
      <c r="V786" s="339"/>
      <c r="W786" s="339"/>
      <c r="X786" s="339"/>
      <c r="Y786" s="339"/>
      <c r="Z786" s="339"/>
    </row>
    <row r="787" spans="1:26" ht="15.75" customHeight="1">
      <c r="A787" s="339"/>
      <c r="B787" s="339"/>
      <c r="C787" s="339"/>
      <c r="D787" s="339"/>
      <c r="E787" s="339"/>
      <c r="F787" s="339"/>
      <c r="G787" s="339"/>
      <c r="H787" s="339"/>
      <c r="I787" s="341"/>
      <c r="J787" s="341"/>
      <c r="K787" s="340"/>
      <c r="L787" s="339"/>
      <c r="M787" s="341"/>
      <c r="N787" s="341"/>
      <c r="O787" s="340"/>
      <c r="P787" s="339"/>
      <c r="Q787" s="341"/>
      <c r="R787" s="339"/>
      <c r="S787" s="340"/>
      <c r="T787" s="339"/>
      <c r="U787" s="339"/>
      <c r="V787" s="339"/>
      <c r="W787" s="339"/>
      <c r="X787" s="339"/>
      <c r="Y787" s="339"/>
      <c r="Z787" s="339"/>
    </row>
    <row r="788" spans="1:26" ht="15.75" customHeight="1">
      <c r="A788" s="339"/>
      <c r="B788" s="339"/>
      <c r="C788" s="339"/>
      <c r="D788" s="339"/>
      <c r="E788" s="339"/>
      <c r="F788" s="339"/>
      <c r="G788" s="339"/>
      <c r="H788" s="339"/>
      <c r="I788" s="341"/>
      <c r="J788" s="341"/>
      <c r="K788" s="340"/>
      <c r="L788" s="339"/>
      <c r="M788" s="341"/>
      <c r="N788" s="341"/>
      <c r="O788" s="340"/>
      <c r="P788" s="339"/>
      <c r="Q788" s="341"/>
      <c r="R788" s="339"/>
      <c r="S788" s="340"/>
      <c r="T788" s="339"/>
      <c r="U788" s="339"/>
      <c r="V788" s="339"/>
      <c r="W788" s="339"/>
      <c r="X788" s="339"/>
      <c r="Y788" s="339"/>
      <c r="Z788" s="339"/>
    </row>
    <row r="789" spans="1:26" ht="15.75" customHeight="1">
      <c r="A789" s="339"/>
      <c r="B789" s="339"/>
      <c r="C789" s="339"/>
      <c r="D789" s="339"/>
      <c r="E789" s="339"/>
      <c r="F789" s="339"/>
      <c r="G789" s="339"/>
      <c r="H789" s="339"/>
      <c r="I789" s="341"/>
      <c r="J789" s="341"/>
      <c r="K789" s="340"/>
      <c r="L789" s="339"/>
      <c r="M789" s="341"/>
      <c r="N789" s="341"/>
      <c r="O789" s="340"/>
      <c r="P789" s="339"/>
      <c r="Q789" s="341"/>
      <c r="R789" s="339"/>
      <c r="S789" s="340"/>
      <c r="T789" s="339"/>
      <c r="U789" s="339"/>
      <c r="V789" s="339"/>
      <c r="W789" s="339"/>
      <c r="X789" s="339"/>
      <c r="Y789" s="339"/>
      <c r="Z789" s="339"/>
    </row>
    <row r="790" spans="1:26" ht="15.75" customHeight="1">
      <c r="A790" s="339"/>
      <c r="B790" s="339"/>
      <c r="C790" s="339"/>
      <c r="D790" s="339"/>
      <c r="E790" s="339"/>
      <c r="F790" s="339"/>
      <c r="G790" s="339"/>
      <c r="H790" s="339"/>
      <c r="I790" s="341"/>
      <c r="J790" s="341"/>
      <c r="K790" s="340"/>
      <c r="L790" s="339"/>
      <c r="M790" s="341"/>
      <c r="N790" s="341"/>
      <c r="O790" s="340"/>
      <c r="P790" s="339"/>
      <c r="Q790" s="341"/>
      <c r="R790" s="339"/>
      <c r="S790" s="340"/>
      <c r="T790" s="339"/>
      <c r="U790" s="339"/>
      <c r="V790" s="339"/>
      <c r="W790" s="339"/>
      <c r="X790" s="339"/>
      <c r="Y790" s="339"/>
      <c r="Z790" s="339"/>
    </row>
    <row r="791" spans="1:26" ht="15.75" customHeight="1">
      <c r="A791" s="339"/>
      <c r="B791" s="339"/>
      <c r="C791" s="339"/>
      <c r="D791" s="339"/>
      <c r="E791" s="339"/>
      <c r="F791" s="339"/>
      <c r="G791" s="339"/>
      <c r="H791" s="339"/>
      <c r="I791" s="341"/>
      <c r="J791" s="341"/>
      <c r="K791" s="340"/>
      <c r="L791" s="339"/>
      <c r="M791" s="341"/>
      <c r="N791" s="341"/>
      <c r="O791" s="340"/>
      <c r="P791" s="339"/>
      <c r="Q791" s="341"/>
      <c r="R791" s="339"/>
      <c r="S791" s="340"/>
      <c r="T791" s="339"/>
      <c r="U791" s="339"/>
      <c r="V791" s="339"/>
      <c r="W791" s="339"/>
      <c r="X791" s="339"/>
      <c r="Y791" s="339"/>
      <c r="Z791" s="339"/>
    </row>
    <row r="792" spans="1:26" ht="15.75" customHeight="1">
      <c r="A792" s="339"/>
      <c r="B792" s="339"/>
      <c r="C792" s="339"/>
      <c r="D792" s="339"/>
      <c r="E792" s="339"/>
      <c r="F792" s="339"/>
      <c r="G792" s="339"/>
      <c r="H792" s="339"/>
      <c r="I792" s="341"/>
      <c r="J792" s="341"/>
      <c r="K792" s="340"/>
      <c r="L792" s="339"/>
      <c r="M792" s="341"/>
      <c r="N792" s="341"/>
      <c r="O792" s="340"/>
      <c r="P792" s="339"/>
      <c r="Q792" s="341"/>
      <c r="R792" s="339"/>
      <c r="S792" s="340"/>
      <c r="T792" s="339"/>
      <c r="U792" s="339"/>
      <c r="V792" s="339"/>
      <c r="W792" s="339"/>
      <c r="X792" s="339"/>
      <c r="Y792" s="339"/>
      <c r="Z792" s="339"/>
    </row>
    <row r="793" spans="1:26" ht="15.75" customHeight="1">
      <c r="A793" s="339"/>
      <c r="B793" s="339"/>
      <c r="C793" s="339"/>
      <c r="D793" s="339"/>
      <c r="E793" s="339"/>
      <c r="F793" s="339"/>
      <c r="G793" s="339"/>
      <c r="H793" s="339"/>
      <c r="I793" s="341"/>
      <c r="J793" s="341"/>
      <c r="K793" s="340"/>
      <c r="L793" s="339"/>
      <c r="M793" s="341"/>
      <c r="N793" s="341"/>
      <c r="O793" s="340"/>
      <c r="P793" s="339"/>
      <c r="Q793" s="341"/>
      <c r="R793" s="339"/>
      <c r="S793" s="340"/>
      <c r="T793" s="339"/>
      <c r="U793" s="339"/>
      <c r="V793" s="339"/>
      <c r="W793" s="339"/>
      <c r="X793" s="339"/>
      <c r="Y793" s="339"/>
      <c r="Z793" s="339"/>
    </row>
    <row r="794" spans="1:26" ht="15.75" customHeight="1">
      <c r="A794" s="339"/>
      <c r="B794" s="339"/>
      <c r="C794" s="339"/>
      <c r="D794" s="339"/>
      <c r="E794" s="339"/>
      <c r="F794" s="339"/>
      <c r="G794" s="339"/>
      <c r="H794" s="339"/>
      <c r="I794" s="341"/>
      <c r="J794" s="341"/>
      <c r="K794" s="340"/>
      <c r="L794" s="339"/>
      <c r="M794" s="341"/>
      <c r="N794" s="341"/>
      <c r="O794" s="340"/>
      <c r="P794" s="339"/>
      <c r="Q794" s="341"/>
      <c r="R794" s="339"/>
      <c r="S794" s="340"/>
      <c r="T794" s="339"/>
      <c r="U794" s="339"/>
      <c r="V794" s="339"/>
      <c r="W794" s="339"/>
      <c r="X794" s="339"/>
      <c r="Y794" s="339"/>
      <c r="Z794" s="339"/>
    </row>
    <row r="795" spans="1:26" ht="15.75" customHeight="1">
      <c r="A795" s="339"/>
      <c r="B795" s="339"/>
      <c r="C795" s="339"/>
      <c r="D795" s="339"/>
      <c r="E795" s="339"/>
      <c r="F795" s="339"/>
      <c r="G795" s="339"/>
      <c r="H795" s="339"/>
      <c r="I795" s="341"/>
      <c r="J795" s="341"/>
      <c r="K795" s="340"/>
      <c r="L795" s="339"/>
      <c r="M795" s="341"/>
      <c r="N795" s="341"/>
      <c r="O795" s="340"/>
      <c r="P795" s="339"/>
      <c r="Q795" s="341"/>
      <c r="R795" s="339"/>
      <c r="S795" s="340"/>
      <c r="T795" s="339"/>
      <c r="U795" s="339"/>
      <c r="V795" s="339"/>
      <c r="W795" s="339"/>
      <c r="X795" s="339"/>
      <c r="Y795" s="339"/>
      <c r="Z795" s="339"/>
    </row>
    <row r="796" spans="1:26" ht="15.75" customHeight="1">
      <c r="A796" s="339"/>
      <c r="B796" s="339"/>
      <c r="C796" s="339"/>
      <c r="D796" s="339"/>
      <c r="E796" s="339"/>
      <c r="F796" s="339"/>
      <c r="G796" s="339"/>
      <c r="H796" s="339"/>
      <c r="I796" s="341"/>
      <c r="J796" s="341"/>
      <c r="K796" s="340"/>
      <c r="L796" s="339"/>
      <c r="M796" s="341"/>
      <c r="N796" s="341"/>
      <c r="O796" s="340"/>
      <c r="P796" s="339"/>
      <c r="Q796" s="341"/>
      <c r="R796" s="339"/>
      <c r="S796" s="340"/>
      <c r="T796" s="339"/>
      <c r="U796" s="339"/>
      <c r="V796" s="339"/>
      <c r="W796" s="339"/>
      <c r="X796" s="339"/>
      <c r="Y796" s="339"/>
      <c r="Z796" s="339"/>
    </row>
    <row r="797" spans="1:26" ht="15.75" customHeight="1">
      <c r="A797" s="339"/>
      <c r="B797" s="339"/>
      <c r="C797" s="339"/>
      <c r="D797" s="339"/>
      <c r="E797" s="339"/>
      <c r="F797" s="339"/>
      <c r="G797" s="339"/>
      <c r="H797" s="339"/>
      <c r="I797" s="341"/>
      <c r="J797" s="341"/>
      <c r="K797" s="340"/>
      <c r="L797" s="339"/>
      <c r="M797" s="341"/>
      <c r="N797" s="341"/>
      <c r="O797" s="340"/>
      <c r="P797" s="339"/>
      <c r="Q797" s="341"/>
      <c r="R797" s="339"/>
      <c r="S797" s="340"/>
      <c r="T797" s="339"/>
      <c r="U797" s="339"/>
      <c r="V797" s="339"/>
      <c r="W797" s="339"/>
      <c r="X797" s="339"/>
      <c r="Y797" s="339"/>
      <c r="Z797" s="339"/>
    </row>
    <row r="798" spans="1:26" ht="15.75" customHeight="1">
      <c r="A798" s="339"/>
      <c r="B798" s="339"/>
      <c r="C798" s="339"/>
      <c r="D798" s="339"/>
      <c r="E798" s="339"/>
      <c r="F798" s="339"/>
      <c r="G798" s="339"/>
      <c r="H798" s="339"/>
      <c r="I798" s="341"/>
      <c r="J798" s="341"/>
      <c r="K798" s="340"/>
      <c r="L798" s="339"/>
      <c r="M798" s="341"/>
      <c r="N798" s="341"/>
      <c r="O798" s="340"/>
      <c r="P798" s="339"/>
      <c r="Q798" s="341"/>
      <c r="R798" s="339"/>
      <c r="S798" s="340"/>
      <c r="T798" s="339"/>
      <c r="U798" s="339"/>
      <c r="V798" s="339"/>
      <c r="W798" s="339"/>
      <c r="X798" s="339"/>
      <c r="Y798" s="339"/>
      <c r="Z798" s="339"/>
    </row>
    <row r="799" spans="1:26" ht="15.75" customHeight="1">
      <c r="A799" s="339"/>
      <c r="B799" s="339"/>
      <c r="C799" s="339"/>
      <c r="D799" s="339"/>
      <c r="E799" s="339"/>
      <c r="F799" s="339"/>
      <c r="G799" s="339"/>
      <c r="H799" s="339"/>
      <c r="I799" s="341"/>
      <c r="J799" s="341"/>
      <c r="K799" s="340"/>
      <c r="L799" s="339"/>
      <c r="M799" s="341"/>
      <c r="N799" s="341"/>
      <c r="O799" s="340"/>
      <c r="P799" s="339"/>
      <c r="Q799" s="341"/>
      <c r="R799" s="339"/>
      <c r="S799" s="340"/>
      <c r="T799" s="339"/>
      <c r="U799" s="339"/>
      <c r="V799" s="339"/>
      <c r="W799" s="339"/>
      <c r="X799" s="339"/>
      <c r="Y799" s="339"/>
      <c r="Z799" s="339"/>
    </row>
    <row r="800" spans="1:26" ht="15.75" customHeight="1">
      <c r="A800" s="339"/>
      <c r="B800" s="339"/>
      <c r="C800" s="339"/>
      <c r="D800" s="339"/>
      <c r="E800" s="339"/>
      <c r="F800" s="339"/>
      <c r="G800" s="339"/>
      <c r="H800" s="339"/>
      <c r="I800" s="341"/>
      <c r="J800" s="341"/>
      <c r="K800" s="340"/>
      <c r="L800" s="339"/>
      <c r="M800" s="341"/>
      <c r="N800" s="341"/>
      <c r="O800" s="340"/>
      <c r="P800" s="339"/>
      <c r="Q800" s="341"/>
      <c r="R800" s="339"/>
      <c r="S800" s="340"/>
      <c r="T800" s="339"/>
      <c r="U800" s="339"/>
      <c r="V800" s="339"/>
      <c r="W800" s="339"/>
      <c r="X800" s="339"/>
      <c r="Y800" s="339"/>
      <c r="Z800" s="339"/>
    </row>
    <row r="801" spans="1:26" ht="15.75" customHeight="1">
      <c r="A801" s="339"/>
      <c r="B801" s="339"/>
      <c r="C801" s="339"/>
      <c r="D801" s="339"/>
      <c r="E801" s="339"/>
      <c r="F801" s="339"/>
      <c r="G801" s="339"/>
      <c r="H801" s="339"/>
      <c r="I801" s="341"/>
      <c r="J801" s="341"/>
      <c r="K801" s="340"/>
      <c r="L801" s="339"/>
      <c r="M801" s="341"/>
      <c r="N801" s="341"/>
      <c r="O801" s="340"/>
      <c r="P801" s="339"/>
      <c r="Q801" s="341"/>
      <c r="R801" s="339"/>
      <c r="S801" s="340"/>
      <c r="T801" s="339"/>
      <c r="U801" s="339"/>
      <c r="V801" s="339"/>
      <c r="W801" s="339"/>
      <c r="X801" s="339"/>
      <c r="Y801" s="339"/>
      <c r="Z801" s="339"/>
    </row>
    <row r="802" spans="1:26" ht="15.75" customHeight="1">
      <c r="A802" s="339"/>
      <c r="B802" s="339"/>
      <c r="C802" s="339"/>
      <c r="D802" s="339"/>
      <c r="E802" s="339"/>
      <c r="F802" s="339"/>
      <c r="G802" s="339"/>
      <c r="H802" s="339"/>
      <c r="I802" s="341"/>
      <c r="J802" s="341"/>
      <c r="K802" s="340"/>
      <c r="L802" s="339"/>
      <c r="M802" s="341"/>
      <c r="N802" s="341"/>
      <c r="O802" s="340"/>
      <c r="P802" s="339"/>
      <c r="Q802" s="341"/>
      <c r="R802" s="339"/>
      <c r="S802" s="340"/>
      <c r="T802" s="339"/>
      <c r="U802" s="339"/>
      <c r="V802" s="339"/>
      <c r="W802" s="339"/>
      <c r="X802" s="339"/>
      <c r="Y802" s="339"/>
      <c r="Z802" s="339"/>
    </row>
    <row r="803" spans="1:26" ht="15.75" customHeight="1">
      <c r="A803" s="339"/>
      <c r="B803" s="339"/>
      <c r="C803" s="339"/>
      <c r="D803" s="339"/>
      <c r="E803" s="339"/>
      <c r="F803" s="339"/>
      <c r="G803" s="339"/>
      <c r="H803" s="339"/>
      <c r="I803" s="341"/>
      <c r="J803" s="341"/>
      <c r="K803" s="340"/>
      <c r="L803" s="339"/>
      <c r="M803" s="341"/>
      <c r="N803" s="341"/>
      <c r="O803" s="340"/>
      <c r="P803" s="339"/>
      <c r="Q803" s="341"/>
      <c r="R803" s="339"/>
      <c r="S803" s="340"/>
      <c r="T803" s="339"/>
      <c r="U803" s="339"/>
      <c r="V803" s="339"/>
      <c r="W803" s="339"/>
      <c r="X803" s="339"/>
      <c r="Y803" s="339"/>
      <c r="Z803" s="339"/>
    </row>
    <row r="804" spans="1:26" ht="15.75" customHeight="1">
      <c r="A804" s="339"/>
      <c r="B804" s="339"/>
      <c r="C804" s="339"/>
      <c r="D804" s="339"/>
      <c r="E804" s="339"/>
      <c r="F804" s="339"/>
      <c r="G804" s="339"/>
      <c r="H804" s="339"/>
      <c r="I804" s="341"/>
      <c r="J804" s="341"/>
      <c r="K804" s="340"/>
      <c r="L804" s="339"/>
      <c r="M804" s="341"/>
      <c r="N804" s="341"/>
      <c r="O804" s="340"/>
      <c r="P804" s="339"/>
      <c r="Q804" s="341"/>
      <c r="R804" s="339"/>
      <c r="S804" s="340"/>
      <c r="T804" s="339"/>
      <c r="U804" s="339"/>
      <c r="V804" s="339"/>
      <c r="W804" s="339"/>
      <c r="X804" s="339"/>
      <c r="Y804" s="339"/>
      <c r="Z804" s="339"/>
    </row>
    <row r="805" spans="1:26" ht="15.75" customHeight="1">
      <c r="A805" s="339"/>
      <c r="B805" s="339"/>
      <c r="C805" s="339"/>
      <c r="D805" s="339"/>
      <c r="E805" s="339"/>
      <c r="F805" s="339"/>
      <c r="G805" s="339"/>
      <c r="H805" s="339"/>
      <c r="I805" s="341"/>
      <c r="J805" s="341"/>
      <c r="K805" s="340"/>
      <c r="L805" s="339"/>
      <c r="M805" s="341"/>
      <c r="N805" s="341"/>
      <c r="O805" s="340"/>
      <c r="P805" s="339"/>
      <c r="Q805" s="341"/>
      <c r="R805" s="339"/>
      <c r="S805" s="340"/>
      <c r="T805" s="339"/>
      <c r="U805" s="339"/>
      <c r="V805" s="339"/>
      <c r="W805" s="339"/>
      <c r="X805" s="339"/>
      <c r="Y805" s="339"/>
      <c r="Z805" s="339"/>
    </row>
    <row r="806" spans="1:26" ht="15.75" customHeight="1">
      <c r="A806" s="339"/>
      <c r="B806" s="339"/>
      <c r="C806" s="339"/>
      <c r="D806" s="339"/>
      <c r="E806" s="339"/>
      <c r="F806" s="339"/>
      <c r="G806" s="339"/>
      <c r="H806" s="339"/>
      <c r="I806" s="341"/>
      <c r="J806" s="341"/>
      <c r="K806" s="340"/>
      <c r="L806" s="339"/>
      <c r="M806" s="341"/>
      <c r="N806" s="341"/>
      <c r="O806" s="340"/>
      <c r="P806" s="339"/>
      <c r="Q806" s="341"/>
      <c r="R806" s="339"/>
      <c r="S806" s="340"/>
      <c r="T806" s="339"/>
      <c r="U806" s="339"/>
      <c r="V806" s="339"/>
      <c r="W806" s="339"/>
      <c r="X806" s="339"/>
      <c r="Y806" s="339"/>
      <c r="Z806" s="339"/>
    </row>
    <row r="807" spans="1:26" ht="15.75" customHeight="1">
      <c r="A807" s="339"/>
      <c r="B807" s="339"/>
      <c r="C807" s="339"/>
      <c r="D807" s="339"/>
      <c r="E807" s="339"/>
      <c r="F807" s="339"/>
      <c r="G807" s="339"/>
      <c r="H807" s="339"/>
      <c r="I807" s="341"/>
      <c r="J807" s="341"/>
      <c r="K807" s="340"/>
      <c r="L807" s="339"/>
      <c r="M807" s="341"/>
      <c r="N807" s="341"/>
      <c r="O807" s="340"/>
      <c r="P807" s="339"/>
      <c r="Q807" s="341"/>
      <c r="R807" s="339"/>
      <c r="S807" s="340"/>
      <c r="T807" s="339"/>
      <c r="U807" s="339"/>
      <c r="V807" s="339"/>
      <c r="W807" s="339"/>
      <c r="X807" s="339"/>
      <c r="Y807" s="339"/>
      <c r="Z807" s="339"/>
    </row>
    <row r="808" spans="1:26" ht="15.75" customHeight="1">
      <c r="A808" s="339"/>
      <c r="B808" s="339"/>
      <c r="C808" s="339"/>
      <c r="D808" s="339"/>
      <c r="E808" s="339"/>
      <c r="F808" s="339"/>
      <c r="G808" s="339"/>
      <c r="H808" s="339"/>
      <c r="I808" s="341"/>
      <c r="J808" s="341"/>
      <c r="K808" s="340"/>
      <c r="L808" s="339"/>
      <c r="M808" s="341"/>
      <c r="N808" s="341"/>
      <c r="O808" s="340"/>
      <c r="P808" s="339"/>
      <c r="Q808" s="341"/>
      <c r="R808" s="339"/>
      <c r="S808" s="340"/>
      <c r="T808" s="339"/>
      <c r="U808" s="339"/>
      <c r="V808" s="339"/>
      <c r="W808" s="339"/>
      <c r="X808" s="339"/>
      <c r="Y808" s="339"/>
      <c r="Z808" s="339"/>
    </row>
    <row r="809" spans="1:26" ht="15.75" customHeight="1">
      <c r="A809" s="339"/>
      <c r="B809" s="339"/>
      <c r="C809" s="339"/>
      <c r="D809" s="339"/>
      <c r="E809" s="339"/>
      <c r="F809" s="339"/>
      <c r="G809" s="339"/>
      <c r="H809" s="339"/>
      <c r="I809" s="341"/>
      <c r="J809" s="341"/>
      <c r="K809" s="340"/>
      <c r="L809" s="339"/>
      <c r="M809" s="341"/>
      <c r="N809" s="341"/>
      <c r="O809" s="340"/>
      <c r="P809" s="339"/>
      <c r="Q809" s="341"/>
      <c r="R809" s="339"/>
      <c r="S809" s="340"/>
      <c r="T809" s="339"/>
      <c r="U809" s="339"/>
      <c r="V809" s="339"/>
      <c r="W809" s="339"/>
      <c r="X809" s="339"/>
      <c r="Y809" s="339"/>
      <c r="Z809" s="339"/>
    </row>
    <row r="810" spans="1:26" ht="15.75" customHeight="1">
      <c r="A810" s="339"/>
      <c r="B810" s="339"/>
      <c r="C810" s="339"/>
      <c r="D810" s="339"/>
      <c r="E810" s="339"/>
      <c r="F810" s="339"/>
      <c r="G810" s="339"/>
      <c r="H810" s="339"/>
      <c r="I810" s="341"/>
      <c r="J810" s="341"/>
      <c r="K810" s="340"/>
      <c r="L810" s="339"/>
      <c r="M810" s="341"/>
      <c r="N810" s="341"/>
      <c r="O810" s="340"/>
      <c r="P810" s="339"/>
      <c r="Q810" s="341"/>
      <c r="R810" s="339"/>
      <c r="S810" s="340"/>
      <c r="T810" s="339"/>
      <c r="U810" s="339"/>
      <c r="V810" s="339"/>
      <c r="W810" s="339"/>
      <c r="X810" s="339"/>
      <c r="Y810" s="339"/>
      <c r="Z810" s="339"/>
    </row>
    <row r="811" spans="1:26" ht="15.75" customHeight="1">
      <c r="A811" s="339"/>
      <c r="B811" s="339"/>
      <c r="C811" s="339"/>
      <c r="D811" s="339"/>
      <c r="E811" s="339"/>
      <c r="F811" s="339"/>
      <c r="G811" s="339"/>
      <c r="H811" s="339"/>
      <c r="I811" s="341"/>
      <c r="J811" s="341"/>
      <c r="K811" s="340"/>
      <c r="L811" s="339"/>
      <c r="M811" s="341"/>
      <c r="N811" s="341"/>
      <c r="O811" s="340"/>
      <c r="P811" s="339"/>
      <c r="Q811" s="341"/>
      <c r="R811" s="339"/>
      <c r="S811" s="340"/>
      <c r="T811" s="339"/>
      <c r="U811" s="339"/>
      <c r="V811" s="339"/>
      <c r="W811" s="339"/>
      <c r="X811" s="339"/>
      <c r="Y811" s="339"/>
      <c r="Z811" s="339"/>
    </row>
    <row r="812" spans="1:26" ht="15.75" customHeight="1">
      <c r="A812" s="339"/>
      <c r="B812" s="339"/>
      <c r="C812" s="339"/>
      <c r="D812" s="339"/>
      <c r="E812" s="339"/>
      <c r="F812" s="339"/>
      <c r="G812" s="339"/>
      <c r="H812" s="339"/>
      <c r="I812" s="341"/>
      <c r="J812" s="341"/>
      <c r="K812" s="340"/>
      <c r="L812" s="339"/>
      <c r="M812" s="341"/>
      <c r="N812" s="341"/>
      <c r="O812" s="340"/>
      <c r="P812" s="339"/>
      <c r="Q812" s="341"/>
      <c r="R812" s="339"/>
      <c r="S812" s="340"/>
      <c r="T812" s="339"/>
      <c r="U812" s="339"/>
      <c r="V812" s="339"/>
      <c r="W812" s="339"/>
      <c r="X812" s="339"/>
      <c r="Y812" s="339"/>
      <c r="Z812" s="339"/>
    </row>
    <row r="813" spans="1:26" ht="15.75" customHeight="1">
      <c r="A813" s="339"/>
      <c r="B813" s="339"/>
      <c r="C813" s="339"/>
      <c r="D813" s="339"/>
      <c r="E813" s="339"/>
      <c r="F813" s="339"/>
      <c r="G813" s="339"/>
      <c r="H813" s="339"/>
      <c r="I813" s="341"/>
      <c r="J813" s="341"/>
      <c r="K813" s="340"/>
      <c r="L813" s="339"/>
      <c r="M813" s="341"/>
      <c r="N813" s="341"/>
      <c r="O813" s="340"/>
      <c r="P813" s="339"/>
      <c r="Q813" s="341"/>
      <c r="R813" s="339"/>
      <c r="S813" s="340"/>
      <c r="T813" s="339"/>
      <c r="U813" s="339"/>
      <c r="V813" s="339"/>
      <c r="W813" s="339"/>
      <c r="X813" s="339"/>
      <c r="Y813" s="339"/>
      <c r="Z813" s="339"/>
    </row>
    <row r="814" spans="1:26" ht="15.75" customHeight="1">
      <c r="A814" s="339"/>
      <c r="B814" s="339"/>
      <c r="C814" s="339"/>
      <c r="D814" s="339"/>
      <c r="E814" s="339"/>
      <c r="F814" s="339"/>
      <c r="G814" s="339"/>
      <c r="H814" s="339"/>
      <c r="I814" s="341"/>
      <c r="J814" s="341"/>
      <c r="K814" s="340"/>
      <c r="L814" s="339"/>
      <c r="M814" s="341"/>
      <c r="N814" s="341"/>
      <c r="O814" s="340"/>
      <c r="P814" s="339"/>
      <c r="Q814" s="341"/>
      <c r="R814" s="339"/>
      <c r="S814" s="340"/>
      <c r="T814" s="339"/>
      <c r="U814" s="339"/>
      <c r="V814" s="339"/>
      <c r="W814" s="339"/>
      <c r="X814" s="339"/>
      <c r="Y814" s="339"/>
      <c r="Z814" s="339"/>
    </row>
    <row r="815" spans="1:26" ht="15.75" customHeight="1">
      <c r="A815" s="339"/>
      <c r="B815" s="339"/>
      <c r="C815" s="339"/>
      <c r="D815" s="339"/>
      <c r="E815" s="339"/>
      <c r="F815" s="339"/>
      <c r="G815" s="339"/>
      <c r="H815" s="339"/>
      <c r="I815" s="341"/>
      <c r="J815" s="341"/>
      <c r="K815" s="340"/>
      <c r="L815" s="339"/>
      <c r="M815" s="341"/>
      <c r="N815" s="341"/>
      <c r="O815" s="340"/>
      <c r="P815" s="339"/>
      <c r="Q815" s="341"/>
      <c r="R815" s="339"/>
      <c r="S815" s="340"/>
      <c r="T815" s="339"/>
      <c r="U815" s="339"/>
      <c r="V815" s="339"/>
      <c r="W815" s="339"/>
      <c r="X815" s="339"/>
      <c r="Y815" s="339"/>
      <c r="Z815" s="339"/>
    </row>
    <row r="816" spans="1:26" ht="15.75" customHeight="1">
      <c r="A816" s="339"/>
      <c r="B816" s="339"/>
      <c r="C816" s="339"/>
      <c r="D816" s="339"/>
      <c r="E816" s="339"/>
      <c r="F816" s="339"/>
      <c r="G816" s="339"/>
      <c r="H816" s="339"/>
      <c r="I816" s="341"/>
      <c r="J816" s="341"/>
      <c r="K816" s="340"/>
      <c r="L816" s="339"/>
      <c r="M816" s="341"/>
      <c r="N816" s="341"/>
      <c r="O816" s="340"/>
      <c r="P816" s="339"/>
      <c r="Q816" s="341"/>
      <c r="R816" s="339"/>
      <c r="S816" s="340"/>
      <c r="T816" s="339"/>
      <c r="U816" s="339"/>
      <c r="V816" s="339"/>
      <c r="W816" s="339"/>
      <c r="X816" s="339"/>
      <c r="Y816" s="339"/>
      <c r="Z816" s="339"/>
    </row>
    <row r="817" spans="1:26" ht="15.75" customHeight="1">
      <c r="A817" s="339"/>
      <c r="B817" s="339"/>
      <c r="C817" s="339"/>
      <c r="D817" s="339"/>
      <c r="E817" s="339"/>
      <c r="F817" s="339"/>
      <c r="G817" s="339"/>
      <c r="H817" s="339"/>
      <c r="I817" s="341"/>
      <c r="J817" s="341"/>
      <c r="K817" s="340"/>
      <c r="L817" s="339"/>
      <c r="M817" s="341"/>
      <c r="N817" s="341"/>
      <c r="O817" s="340"/>
      <c r="P817" s="339"/>
      <c r="Q817" s="341"/>
      <c r="R817" s="339"/>
      <c r="S817" s="340"/>
      <c r="T817" s="339"/>
      <c r="U817" s="339"/>
      <c r="V817" s="339"/>
      <c r="W817" s="339"/>
      <c r="X817" s="339"/>
      <c r="Y817" s="339"/>
      <c r="Z817" s="339"/>
    </row>
    <row r="818" spans="1:26" ht="15.75" customHeight="1">
      <c r="A818" s="339"/>
      <c r="B818" s="339"/>
      <c r="C818" s="339"/>
      <c r="D818" s="339"/>
      <c r="E818" s="339"/>
      <c r="F818" s="339"/>
      <c r="G818" s="339"/>
      <c r="H818" s="339"/>
      <c r="I818" s="341"/>
      <c r="J818" s="341"/>
      <c r="K818" s="340"/>
      <c r="L818" s="339"/>
      <c r="M818" s="341"/>
      <c r="N818" s="341"/>
      <c r="O818" s="340"/>
      <c r="P818" s="339"/>
      <c r="Q818" s="341"/>
      <c r="R818" s="339"/>
      <c r="S818" s="340"/>
      <c r="T818" s="339"/>
      <c r="U818" s="339"/>
      <c r="V818" s="339"/>
      <c r="W818" s="339"/>
      <c r="X818" s="339"/>
      <c r="Y818" s="339"/>
      <c r="Z818" s="339"/>
    </row>
    <row r="819" spans="1:26" ht="15.75" customHeight="1">
      <c r="A819" s="339"/>
      <c r="B819" s="339"/>
      <c r="C819" s="339"/>
      <c r="D819" s="339"/>
      <c r="E819" s="339"/>
      <c r="F819" s="339"/>
      <c r="G819" s="339"/>
      <c r="H819" s="339"/>
      <c r="I819" s="341"/>
      <c r="J819" s="341"/>
      <c r="K819" s="340"/>
      <c r="L819" s="339"/>
      <c r="M819" s="341"/>
      <c r="N819" s="341"/>
      <c r="O819" s="340"/>
      <c r="P819" s="339"/>
      <c r="Q819" s="341"/>
      <c r="R819" s="339"/>
      <c r="S819" s="340"/>
      <c r="T819" s="339"/>
      <c r="U819" s="339"/>
      <c r="V819" s="339"/>
      <c r="W819" s="339"/>
      <c r="X819" s="339"/>
      <c r="Y819" s="339"/>
      <c r="Z819" s="339"/>
    </row>
    <row r="820" spans="1:26" ht="15.75" customHeight="1">
      <c r="A820" s="339"/>
      <c r="B820" s="339"/>
      <c r="C820" s="339"/>
      <c r="D820" s="339"/>
      <c r="E820" s="339"/>
      <c r="F820" s="339"/>
      <c r="G820" s="339"/>
      <c r="H820" s="339"/>
      <c r="I820" s="341"/>
      <c r="J820" s="341"/>
      <c r="K820" s="340"/>
      <c r="L820" s="339"/>
      <c r="M820" s="341"/>
      <c r="N820" s="341"/>
      <c r="O820" s="340"/>
      <c r="P820" s="339"/>
      <c r="Q820" s="341"/>
      <c r="R820" s="339"/>
      <c r="S820" s="340"/>
      <c r="T820" s="339"/>
      <c r="U820" s="339"/>
      <c r="V820" s="339"/>
      <c r="W820" s="339"/>
      <c r="X820" s="339"/>
      <c r="Y820" s="339"/>
      <c r="Z820" s="339"/>
    </row>
    <row r="821" spans="1:26" ht="15.75" customHeight="1">
      <c r="A821" s="339"/>
      <c r="B821" s="339"/>
      <c r="C821" s="339"/>
      <c r="D821" s="339"/>
      <c r="E821" s="339"/>
      <c r="F821" s="339"/>
      <c r="G821" s="339"/>
      <c r="H821" s="339"/>
      <c r="I821" s="341"/>
      <c r="J821" s="341"/>
      <c r="K821" s="340"/>
      <c r="L821" s="339"/>
      <c r="M821" s="341"/>
      <c r="N821" s="341"/>
      <c r="O821" s="340"/>
      <c r="P821" s="339"/>
      <c r="Q821" s="341"/>
      <c r="R821" s="339"/>
      <c r="S821" s="340"/>
      <c r="T821" s="339"/>
      <c r="U821" s="339"/>
      <c r="V821" s="339"/>
      <c r="W821" s="339"/>
      <c r="X821" s="339"/>
      <c r="Y821" s="339"/>
      <c r="Z821" s="339"/>
    </row>
    <row r="822" spans="1:26" ht="15.75" customHeight="1">
      <c r="A822" s="339"/>
      <c r="B822" s="339"/>
      <c r="C822" s="339"/>
      <c r="D822" s="339"/>
      <c r="E822" s="339"/>
      <c r="F822" s="339"/>
      <c r="G822" s="339"/>
      <c r="H822" s="339"/>
      <c r="I822" s="341"/>
      <c r="J822" s="341"/>
      <c r="K822" s="340"/>
      <c r="L822" s="339"/>
      <c r="M822" s="341"/>
      <c r="N822" s="341"/>
      <c r="O822" s="340"/>
      <c r="P822" s="339"/>
      <c r="Q822" s="341"/>
      <c r="R822" s="339"/>
      <c r="S822" s="340"/>
      <c r="T822" s="339"/>
      <c r="U822" s="339"/>
      <c r="V822" s="339"/>
      <c r="W822" s="339"/>
      <c r="X822" s="339"/>
      <c r="Y822" s="339"/>
      <c r="Z822" s="339"/>
    </row>
    <row r="823" spans="1:26" ht="15.75" customHeight="1">
      <c r="A823" s="339"/>
      <c r="B823" s="339"/>
      <c r="C823" s="339"/>
      <c r="D823" s="339"/>
      <c r="E823" s="339"/>
      <c r="F823" s="339"/>
      <c r="G823" s="339"/>
      <c r="H823" s="339"/>
      <c r="I823" s="341"/>
      <c r="J823" s="341"/>
      <c r="K823" s="340"/>
      <c r="L823" s="339"/>
      <c r="M823" s="341"/>
      <c r="N823" s="341"/>
      <c r="O823" s="340"/>
      <c r="P823" s="339"/>
      <c r="Q823" s="341"/>
      <c r="R823" s="339"/>
      <c r="S823" s="340"/>
      <c r="T823" s="339"/>
      <c r="U823" s="339"/>
      <c r="V823" s="339"/>
      <c r="W823" s="339"/>
      <c r="X823" s="339"/>
      <c r="Y823" s="339"/>
      <c r="Z823" s="339"/>
    </row>
    <row r="824" spans="1:26" ht="15.75" customHeight="1">
      <c r="A824" s="339"/>
      <c r="B824" s="339"/>
      <c r="C824" s="339"/>
      <c r="D824" s="339"/>
      <c r="E824" s="339"/>
      <c r="F824" s="339"/>
      <c r="G824" s="339"/>
      <c r="H824" s="339"/>
      <c r="I824" s="341"/>
      <c r="J824" s="341"/>
      <c r="K824" s="340"/>
      <c r="L824" s="339"/>
      <c r="M824" s="341"/>
      <c r="N824" s="341"/>
      <c r="O824" s="340"/>
      <c r="P824" s="339"/>
      <c r="Q824" s="341"/>
      <c r="R824" s="339"/>
      <c r="S824" s="340"/>
      <c r="T824" s="339"/>
      <c r="U824" s="339"/>
      <c r="V824" s="339"/>
      <c r="W824" s="339"/>
      <c r="X824" s="339"/>
      <c r="Y824" s="339"/>
      <c r="Z824" s="339"/>
    </row>
    <row r="825" spans="1:26" ht="15.75" customHeight="1">
      <c r="A825" s="339"/>
      <c r="B825" s="339"/>
      <c r="C825" s="339"/>
      <c r="D825" s="339"/>
      <c r="E825" s="339"/>
      <c r="F825" s="339"/>
      <c r="G825" s="339"/>
      <c r="H825" s="339"/>
      <c r="I825" s="341"/>
      <c r="J825" s="341"/>
      <c r="K825" s="340"/>
      <c r="L825" s="339"/>
      <c r="M825" s="341"/>
      <c r="N825" s="341"/>
      <c r="O825" s="340"/>
      <c r="P825" s="339"/>
      <c r="Q825" s="341"/>
      <c r="R825" s="339"/>
      <c r="S825" s="340"/>
      <c r="T825" s="339"/>
      <c r="U825" s="339"/>
      <c r="V825" s="339"/>
      <c r="W825" s="339"/>
      <c r="X825" s="339"/>
      <c r="Y825" s="339"/>
      <c r="Z825" s="339"/>
    </row>
    <row r="826" spans="1:26" ht="15.75" customHeight="1">
      <c r="A826" s="339"/>
      <c r="B826" s="339"/>
      <c r="C826" s="339"/>
      <c r="D826" s="339"/>
      <c r="E826" s="339"/>
      <c r="F826" s="339"/>
      <c r="G826" s="339"/>
      <c r="H826" s="339"/>
      <c r="I826" s="341"/>
      <c r="J826" s="341"/>
      <c r="K826" s="340"/>
      <c r="L826" s="339"/>
      <c r="M826" s="341"/>
      <c r="N826" s="341"/>
      <c r="O826" s="340"/>
      <c r="P826" s="339"/>
      <c r="Q826" s="341"/>
      <c r="R826" s="339"/>
      <c r="S826" s="340"/>
      <c r="T826" s="339"/>
      <c r="U826" s="339"/>
      <c r="V826" s="339"/>
      <c r="W826" s="339"/>
      <c r="X826" s="339"/>
      <c r="Y826" s="339"/>
      <c r="Z826" s="339"/>
    </row>
    <row r="827" spans="1:26" ht="15.75" customHeight="1">
      <c r="A827" s="339"/>
      <c r="B827" s="339"/>
      <c r="C827" s="339"/>
      <c r="D827" s="339"/>
      <c r="E827" s="339"/>
      <c r="F827" s="339"/>
      <c r="G827" s="339"/>
      <c r="H827" s="339"/>
      <c r="I827" s="341"/>
      <c r="J827" s="341"/>
      <c r="K827" s="340"/>
      <c r="L827" s="339"/>
      <c r="M827" s="341"/>
      <c r="N827" s="341"/>
      <c r="O827" s="340"/>
      <c r="P827" s="339"/>
      <c r="Q827" s="341"/>
      <c r="R827" s="339"/>
      <c r="S827" s="340"/>
      <c r="T827" s="339"/>
      <c r="U827" s="339"/>
      <c r="V827" s="339"/>
      <c r="W827" s="339"/>
      <c r="X827" s="339"/>
      <c r="Y827" s="339"/>
      <c r="Z827" s="339"/>
    </row>
    <row r="828" spans="1:26" ht="15.75" customHeight="1">
      <c r="A828" s="339"/>
      <c r="B828" s="339"/>
      <c r="C828" s="339"/>
      <c r="D828" s="339"/>
      <c r="E828" s="339"/>
      <c r="F828" s="339"/>
      <c r="G828" s="339"/>
      <c r="H828" s="339"/>
      <c r="I828" s="341"/>
      <c r="J828" s="341"/>
      <c r="K828" s="340"/>
      <c r="L828" s="339"/>
      <c r="M828" s="341"/>
      <c r="N828" s="341"/>
      <c r="O828" s="340"/>
      <c r="P828" s="339"/>
      <c r="Q828" s="341"/>
      <c r="R828" s="339"/>
      <c r="S828" s="340"/>
      <c r="T828" s="339"/>
      <c r="U828" s="339"/>
      <c r="V828" s="339"/>
      <c r="W828" s="339"/>
      <c r="X828" s="339"/>
      <c r="Y828" s="339"/>
      <c r="Z828" s="339"/>
    </row>
    <row r="829" spans="1:26" ht="15.75" customHeight="1">
      <c r="A829" s="339"/>
      <c r="B829" s="339"/>
      <c r="C829" s="339"/>
      <c r="D829" s="339"/>
      <c r="E829" s="339"/>
      <c r="F829" s="339"/>
      <c r="G829" s="339"/>
      <c r="H829" s="339"/>
      <c r="I829" s="341"/>
      <c r="J829" s="341"/>
      <c r="K829" s="340"/>
      <c r="L829" s="339"/>
      <c r="M829" s="341"/>
      <c r="N829" s="341"/>
      <c r="O829" s="340"/>
      <c r="P829" s="339"/>
      <c r="Q829" s="341"/>
      <c r="R829" s="339"/>
      <c r="S829" s="340"/>
      <c r="T829" s="339"/>
      <c r="U829" s="339"/>
      <c r="V829" s="339"/>
      <c r="W829" s="339"/>
      <c r="X829" s="339"/>
      <c r="Y829" s="339"/>
      <c r="Z829" s="339"/>
    </row>
    <row r="830" spans="1:26" ht="15.75" customHeight="1">
      <c r="A830" s="339"/>
      <c r="B830" s="339"/>
      <c r="C830" s="339"/>
      <c r="D830" s="339"/>
      <c r="E830" s="339"/>
      <c r="F830" s="339"/>
      <c r="G830" s="339"/>
      <c r="H830" s="339"/>
      <c r="I830" s="341"/>
      <c r="J830" s="341"/>
      <c r="K830" s="340"/>
      <c r="L830" s="339"/>
      <c r="M830" s="341"/>
      <c r="N830" s="341"/>
      <c r="O830" s="340"/>
      <c r="P830" s="339"/>
      <c r="Q830" s="341"/>
      <c r="R830" s="339"/>
      <c r="S830" s="340"/>
      <c r="T830" s="339"/>
      <c r="U830" s="339"/>
      <c r="V830" s="339"/>
      <c r="W830" s="339"/>
      <c r="X830" s="339"/>
      <c r="Y830" s="339"/>
      <c r="Z830" s="339"/>
    </row>
    <row r="831" spans="1:26" ht="15.75" customHeight="1">
      <c r="A831" s="339"/>
      <c r="B831" s="339"/>
      <c r="C831" s="339"/>
      <c r="D831" s="339"/>
      <c r="E831" s="339"/>
      <c r="F831" s="339"/>
      <c r="G831" s="339"/>
      <c r="H831" s="339"/>
      <c r="I831" s="341"/>
      <c r="J831" s="341"/>
      <c r="K831" s="340"/>
      <c r="L831" s="339"/>
      <c r="M831" s="341"/>
      <c r="N831" s="341"/>
      <c r="O831" s="340"/>
      <c r="P831" s="339"/>
      <c r="Q831" s="341"/>
      <c r="R831" s="339"/>
      <c r="S831" s="340"/>
      <c r="T831" s="339"/>
      <c r="U831" s="339"/>
      <c r="V831" s="339"/>
      <c r="W831" s="339"/>
      <c r="X831" s="339"/>
      <c r="Y831" s="339"/>
      <c r="Z831" s="339"/>
    </row>
    <row r="832" spans="1:26" ht="15.75" customHeight="1">
      <c r="A832" s="339"/>
      <c r="B832" s="339"/>
      <c r="C832" s="339"/>
      <c r="D832" s="339"/>
      <c r="E832" s="339"/>
      <c r="F832" s="339"/>
      <c r="G832" s="339"/>
      <c r="H832" s="339"/>
      <c r="I832" s="341"/>
      <c r="J832" s="341"/>
      <c r="K832" s="340"/>
      <c r="L832" s="339"/>
      <c r="M832" s="341"/>
      <c r="N832" s="341"/>
      <c r="O832" s="340"/>
      <c r="P832" s="339"/>
      <c r="Q832" s="341"/>
      <c r="R832" s="339"/>
      <c r="S832" s="340"/>
      <c r="T832" s="339"/>
      <c r="U832" s="339"/>
      <c r="V832" s="339"/>
      <c r="W832" s="339"/>
      <c r="X832" s="339"/>
      <c r="Y832" s="339"/>
      <c r="Z832" s="339"/>
    </row>
    <row r="833" spans="1:26" ht="15.75" customHeight="1">
      <c r="A833" s="339"/>
      <c r="B833" s="339"/>
      <c r="C833" s="339"/>
      <c r="D833" s="339"/>
      <c r="E833" s="339"/>
      <c r="F833" s="339"/>
      <c r="G833" s="339"/>
      <c r="H833" s="339"/>
      <c r="I833" s="341"/>
      <c r="J833" s="341"/>
      <c r="K833" s="340"/>
      <c r="L833" s="339"/>
      <c r="M833" s="341"/>
      <c r="N833" s="341"/>
      <c r="O833" s="340"/>
      <c r="P833" s="339"/>
      <c r="Q833" s="341"/>
      <c r="R833" s="339"/>
      <c r="S833" s="340"/>
      <c r="T833" s="339"/>
      <c r="U833" s="339"/>
      <c r="V833" s="339"/>
      <c r="W833" s="339"/>
      <c r="X833" s="339"/>
      <c r="Y833" s="339"/>
      <c r="Z833" s="339"/>
    </row>
    <row r="834" spans="1:26" ht="15.75" customHeight="1">
      <c r="A834" s="339"/>
      <c r="B834" s="339"/>
      <c r="C834" s="339"/>
      <c r="D834" s="339"/>
      <c r="E834" s="339"/>
      <c r="F834" s="339"/>
      <c r="G834" s="339"/>
      <c r="H834" s="339"/>
      <c r="I834" s="341"/>
      <c r="J834" s="341"/>
      <c r="K834" s="340"/>
      <c r="L834" s="339"/>
      <c r="M834" s="341"/>
      <c r="N834" s="341"/>
      <c r="O834" s="340"/>
      <c r="P834" s="339"/>
      <c r="Q834" s="341"/>
      <c r="R834" s="339"/>
      <c r="S834" s="340"/>
      <c r="T834" s="339"/>
      <c r="U834" s="339"/>
      <c r="V834" s="339"/>
      <c r="W834" s="339"/>
      <c r="X834" s="339"/>
      <c r="Y834" s="339"/>
      <c r="Z834" s="339"/>
    </row>
    <row r="835" spans="1:26" ht="15.75" customHeight="1">
      <c r="A835" s="339"/>
      <c r="B835" s="339"/>
      <c r="C835" s="339"/>
      <c r="D835" s="339"/>
      <c r="E835" s="339"/>
      <c r="F835" s="339"/>
      <c r="G835" s="339"/>
      <c r="H835" s="339"/>
      <c r="I835" s="341"/>
      <c r="J835" s="341"/>
      <c r="K835" s="340"/>
      <c r="L835" s="339"/>
      <c r="M835" s="341"/>
      <c r="N835" s="341"/>
      <c r="O835" s="340"/>
      <c r="P835" s="339"/>
      <c r="Q835" s="341"/>
      <c r="R835" s="339"/>
      <c r="S835" s="340"/>
      <c r="T835" s="339"/>
      <c r="U835" s="339"/>
      <c r="V835" s="339"/>
      <c r="W835" s="339"/>
      <c r="X835" s="339"/>
      <c r="Y835" s="339"/>
      <c r="Z835" s="339"/>
    </row>
    <row r="836" spans="1:26" ht="15.75" customHeight="1">
      <c r="A836" s="339"/>
      <c r="B836" s="339"/>
      <c r="C836" s="339"/>
      <c r="D836" s="339"/>
      <c r="E836" s="339"/>
      <c r="F836" s="339"/>
      <c r="G836" s="339"/>
      <c r="H836" s="339"/>
      <c r="I836" s="341"/>
      <c r="J836" s="341"/>
      <c r="K836" s="340"/>
      <c r="L836" s="339"/>
      <c r="M836" s="341"/>
      <c r="N836" s="341"/>
      <c r="O836" s="340"/>
      <c r="P836" s="339"/>
      <c r="Q836" s="341"/>
      <c r="R836" s="339"/>
      <c r="S836" s="340"/>
      <c r="T836" s="339"/>
      <c r="U836" s="339"/>
      <c r="V836" s="339"/>
      <c r="W836" s="339"/>
      <c r="X836" s="339"/>
      <c r="Y836" s="339"/>
      <c r="Z836" s="339"/>
    </row>
    <row r="837" spans="1:26" ht="15.75" customHeight="1">
      <c r="A837" s="339"/>
      <c r="B837" s="339"/>
      <c r="C837" s="339"/>
      <c r="D837" s="339"/>
      <c r="E837" s="339"/>
      <c r="F837" s="339"/>
      <c r="G837" s="339"/>
      <c r="H837" s="339"/>
      <c r="I837" s="341"/>
      <c r="J837" s="341"/>
      <c r="K837" s="340"/>
      <c r="L837" s="339"/>
      <c r="M837" s="341"/>
      <c r="N837" s="341"/>
      <c r="O837" s="340"/>
      <c r="P837" s="339"/>
      <c r="Q837" s="341"/>
      <c r="R837" s="339"/>
      <c r="S837" s="340"/>
      <c r="T837" s="339"/>
      <c r="U837" s="339"/>
      <c r="V837" s="339"/>
      <c r="W837" s="339"/>
      <c r="X837" s="339"/>
      <c r="Y837" s="339"/>
      <c r="Z837" s="339"/>
    </row>
    <row r="838" spans="1:26" ht="15.75" customHeight="1">
      <c r="A838" s="339"/>
      <c r="B838" s="339"/>
      <c r="C838" s="339"/>
      <c r="D838" s="339"/>
      <c r="E838" s="339"/>
      <c r="F838" s="339"/>
      <c r="G838" s="339"/>
      <c r="H838" s="339"/>
      <c r="I838" s="341"/>
      <c r="J838" s="341"/>
      <c r="K838" s="340"/>
      <c r="L838" s="339"/>
      <c r="M838" s="341"/>
      <c r="N838" s="341"/>
      <c r="O838" s="340"/>
      <c r="P838" s="339"/>
      <c r="Q838" s="341"/>
      <c r="R838" s="339"/>
      <c r="S838" s="340"/>
      <c r="T838" s="339"/>
      <c r="U838" s="339"/>
      <c r="V838" s="339"/>
      <c r="W838" s="339"/>
      <c r="X838" s="339"/>
      <c r="Y838" s="339"/>
      <c r="Z838" s="339"/>
    </row>
    <row r="839" spans="1:26" ht="15.75" customHeight="1">
      <c r="A839" s="339"/>
      <c r="B839" s="339"/>
      <c r="C839" s="339"/>
      <c r="D839" s="339"/>
      <c r="E839" s="339"/>
      <c r="F839" s="339"/>
      <c r="G839" s="339"/>
      <c r="H839" s="339"/>
      <c r="I839" s="341"/>
      <c r="J839" s="341"/>
      <c r="K839" s="340"/>
      <c r="L839" s="339"/>
      <c r="M839" s="341"/>
      <c r="N839" s="341"/>
      <c r="O839" s="340"/>
      <c r="P839" s="339"/>
      <c r="Q839" s="341"/>
      <c r="R839" s="339"/>
      <c r="S839" s="340"/>
      <c r="T839" s="339"/>
      <c r="U839" s="339"/>
      <c r="V839" s="339"/>
      <c r="W839" s="339"/>
      <c r="X839" s="339"/>
      <c r="Y839" s="339"/>
      <c r="Z839" s="339"/>
    </row>
    <row r="840" spans="1:26" ht="15.75" customHeight="1">
      <c r="A840" s="339"/>
      <c r="B840" s="339"/>
      <c r="C840" s="339"/>
      <c r="D840" s="339"/>
      <c r="E840" s="339"/>
      <c r="F840" s="339"/>
      <c r="G840" s="339"/>
      <c r="H840" s="339"/>
      <c r="I840" s="341"/>
      <c r="J840" s="341"/>
      <c r="K840" s="340"/>
      <c r="L840" s="339"/>
      <c r="M840" s="341"/>
      <c r="N840" s="341"/>
      <c r="O840" s="340"/>
      <c r="P840" s="339"/>
      <c r="Q840" s="341"/>
      <c r="R840" s="339"/>
      <c r="S840" s="340"/>
      <c r="T840" s="339"/>
      <c r="U840" s="339"/>
      <c r="V840" s="339"/>
      <c r="W840" s="339"/>
      <c r="X840" s="339"/>
      <c r="Y840" s="339"/>
      <c r="Z840" s="339"/>
    </row>
    <row r="841" spans="1:26" ht="15.75" customHeight="1">
      <c r="A841" s="339"/>
      <c r="B841" s="339"/>
      <c r="C841" s="339"/>
      <c r="D841" s="339"/>
      <c r="E841" s="339"/>
      <c r="F841" s="339"/>
      <c r="G841" s="339"/>
      <c r="H841" s="339"/>
      <c r="I841" s="341"/>
      <c r="J841" s="341"/>
      <c r="K841" s="340"/>
      <c r="L841" s="339"/>
      <c r="M841" s="341"/>
      <c r="N841" s="341"/>
      <c r="O841" s="340"/>
      <c r="P841" s="339"/>
      <c r="Q841" s="341"/>
      <c r="R841" s="339"/>
      <c r="S841" s="340"/>
      <c r="T841" s="339"/>
      <c r="U841" s="339"/>
      <c r="V841" s="339"/>
      <c r="W841" s="339"/>
      <c r="X841" s="339"/>
      <c r="Y841" s="339"/>
      <c r="Z841" s="339"/>
    </row>
    <row r="842" spans="1:26" ht="15.75" customHeight="1">
      <c r="A842" s="339"/>
      <c r="B842" s="339"/>
      <c r="C842" s="339"/>
      <c r="D842" s="339"/>
      <c r="E842" s="339"/>
      <c r="F842" s="339"/>
      <c r="G842" s="339"/>
      <c r="H842" s="339"/>
      <c r="I842" s="341"/>
      <c r="J842" s="341"/>
      <c r="K842" s="340"/>
      <c r="L842" s="339"/>
      <c r="M842" s="341"/>
      <c r="N842" s="341"/>
      <c r="O842" s="340"/>
      <c r="P842" s="339"/>
      <c r="Q842" s="341"/>
      <c r="R842" s="339"/>
      <c r="S842" s="340"/>
      <c r="T842" s="339"/>
      <c r="U842" s="339"/>
      <c r="V842" s="339"/>
      <c r="W842" s="339"/>
      <c r="X842" s="339"/>
      <c r="Y842" s="339"/>
      <c r="Z842" s="339"/>
    </row>
    <row r="843" spans="1:26" ht="15.75" customHeight="1">
      <c r="A843" s="339"/>
      <c r="B843" s="339"/>
      <c r="C843" s="339"/>
      <c r="D843" s="339"/>
      <c r="E843" s="339"/>
      <c r="F843" s="339"/>
      <c r="G843" s="339"/>
      <c r="H843" s="339"/>
      <c r="I843" s="341"/>
      <c r="J843" s="341"/>
      <c r="K843" s="340"/>
      <c r="L843" s="339"/>
      <c r="M843" s="341"/>
      <c r="N843" s="341"/>
      <c r="O843" s="340"/>
      <c r="P843" s="339"/>
      <c r="Q843" s="341"/>
      <c r="R843" s="339"/>
      <c r="S843" s="340"/>
      <c r="T843" s="339"/>
      <c r="U843" s="339"/>
      <c r="V843" s="339"/>
      <c r="W843" s="339"/>
      <c r="X843" s="339"/>
      <c r="Y843" s="339"/>
      <c r="Z843" s="339"/>
    </row>
    <row r="844" spans="1:26" ht="15.75" customHeight="1">
      <c r="A844" s="339"/>
      <c r="B844" s="339"/>
      <c r="C844" s="339"/>
      <c r="D844" s="339"/>
      <c r="E844" s="339"/>
      <c r="F844" s="339"/>
      <c r="G844" s="339"/>
      <c r="H844" s="339"/>
      <c r="I844" s="341"/>
      <c r="J844" s="341"/>
      <c r="K844" s="340"/>
      <c r="L844" s="339"/>
      <c r="M844" s="341"/>
      <c r="N844" s="341"/>
      <c r="O844" s="340"/>
      <c r="P844" s="339"/>
      <c r="Q844" s="341"/>
      <c r="R844" s="339"/>
      <c r="S844" s="340"/>
      <c r="T844" s="339"/>
      <c r="U844" s="339"/>
      <c r="V844" s="339"/>
      <c r="W844" s="339"/>
      <c r="X844" s="339"/>
      <c r="Y844" s="339"/>
      <c r="Z844" s="339"/>
    </row>
    <row r="845" spans="1:26" ht="15.75" customHeight="1">
      <c r="A845" s="339"/>
      <c r="B845" s="339"/>
      <c r="C845" s="339"/>
      <c r="D845" s="339"/>
      <c r="E845" s="339"/>
      <c r="F845" s="339"/>
      <c r="G845" s="339"/>
      <c r="H845" s="339"/>
      <c r="I845" s="341"/>
      <c r="J845" s="341"/>
      <c r="K845" s="340"/>
      <c r="L845" s="339"/>
      <c r="M845" s="341"/>
      <c r="N845" s="341"/>
      <c r="O845" s="340"/>
      <c r="P845" s="339"/>
      <c r="Q845" s="341"/>
      <c r="R845" s="339"/>
      <c r="S845" s="340"/>
      <c r="T845" s="339"/>
      <c r="U845" s="339"/>
      <c r="V845" s="339"/>
      <c r="W845" s="339"/>
      <c r="X845" s="339"/>
      <c r="Y845" s="339"/>
      <c r="Z845" s="339"/>
    </row>
    <row r="846" spans="1:26" ht="15.75" customHeight="1">
      <c r="A846" s="339"/>
      <c r="B846" s="339"/>
      <c r="C846" s="339"/>
      <c r="D846" s="339"/>
      <c r="E846" s="339"/>
      <c r="F846" s="339"/>
      <c r="G846" s="339"/>
      <c r="H846" s="339"/>
      <c r="I846" s="341"/>
      <c r="J846" s="341"/>
      <c r="K846" s="340"/>
      <c r="L846" s="339"/>
      <c r="M846" s="341"/>
      <c r="N846" s="341"/>
      <c r="O846" s="340"/>
      <c r="P846" s="339"/>
      <c r="Q846" s="341"/>
      <c r="R846" s="339"/>
      <c r="S846" s="340"/>
      <c r="T846" s="339"/>
      <c r="U846" s="339"/>
      <c r="V846" s="339"/>
      <c r="W846" s="339"/>
      <c r="X846" s="339"/>
      <c r="Y846" s="339"/>
      <c r="Z846" s="339"/>
    </row>
    <row r="847" spans="1:26" ht="15.75" customHeight="1">
      <c r="A847" s="339"/>
      <c r="B847" s="339"/>
      <c r="C847" s="339"/>
      <c r="D847" s="339"/>
      <c r="E847" s="339"/>
      <c r="F847" s="339"/>
      <c r="G847" s="339"/>
      <c r="H847" s="339"/>
      <c r="I847" s="341"/>
      <c r="J847" s="341"/>
      <c r="K847" s="340"/>
      <c r="L847" s="339"/>
      <c r="M847" s="341"/>
      <c r="N847" s="341"/>
      <c r="O847" s="340"/>
      <c r="P847" s="339"/>
      <c r="Q847" s="341"/>
      <c r="R847" s="339"/>
      <c r="S847" s="340"/>
      <c r="T847" s="339"/>
      <c r="U847" s="339"/>
      <c r="V847" s="339"/>
      <c r="W847" s="339"/>
      <c r="X847" s="339"/>
      <c r="Y847" s="339"/>
      <c r="Z847" s="339"/>
    </row>
    <row r="848" spans="1:26" ht="15.75" customHeight="1">
      <c r="A848" s="339"/>
      <c r="B848" s="339"/>
      <c r="C848" s="339"/>
      <c r="D848" s="339"/>
      <c r="E848" s="339"/>
      <c r="F848" s="339"/>
      <c r="G848" s="339"/>
      <c r="H848" s="339"/>
      <c r="I848" s="341"/>
      <c r="J848" s="341"/>
      <c r="K848" s="340"/>
      <c r="L848" s="339"/>
      <c r="M848" s="341"/>
      <c r="N848" s="341"/>
      <c r="O848" s="340"/>
      <c r="P848" s="339"/>
      <c r="Q848" s="341"/>
      <c r="R848" s="339"/>
      <c r="S848" s="340"/>
      <c r="T848" s="339"/>
      <c r="U848" s="339"/>
      <c r="V848" s="339"/>
      <c r="W848" s="339"/>
      <c r="X848" s="339"/>
      <c r="Y848" s="339"/>
      <c r="Z848" s="339"/>
    </row>
    <row r="849" spans="1:26" ht="15.75" customHeight="1">
      <c r="A849" s="339"/>
      <c r="B849" s="339"/>
      <c r="C849" s="339"/>
      <c r="D849" s="339"/>
      <c r="E849" s="339"/>
      <c r="F849" s="339"/>
      <c r="G849" s="339"/>
      <c r="H849" s="339"/>
      <c r="I849" s="341"/>
      <c r="J849" s="341"/>
      <c r="K849" s="340"/>
      <c r="L849" s="339"/>
      <c r="M849" s="341"/>
      <c r="N849" s="341"/>
      <c r="O849" s="340"/>
      <c r="P849" s="339"/>
      <c r="Q849" s="341"/>
      <c r="R849" s="339"/>
      <c r="S849" s="340"/>
      <c r="T849" s="339"/>
      <c r="U849" s="339"/>
      <c r="V849" s="339"/>
      <c r="W849" s="339"/>
      <c r="X849" s="339"/>
      <c r="Y849" s="339"/>
      <c r="Z849" s="339"/>
    </row>
    <row r="850" spans="1:26" ht="15.75" customHeight="1">
      <c r="A850" s="339"/>
      <c r="B850" s="339"/>
      <c r="C850" s="339"/>
      <c r="D850" s="339"/>
      <c r="E850" s="339"/>
      <c r="F850" s="339"/>
      <c r="G850" s="339"/>
      <c r="H850" s="339"/>
      <c r="I850" s="341"/>
      <c r="J850" s="341"/>
      <c r="K850" s="340"/>
      <c r="L850" s="339"/>
      <c r="M850" s="341"/>
      <c r="N850" s="341"/>
      <c r="O850" s="340"/>
      <c r="P850" s="339"/>
      <c r="Q850" s="341"/>
      <c r="R850" s="339"/>
      <c r="S850" s="340"/>
      <c r="T850" s="339"/>
      <c r="U850" s="339"/>
      <c r="V850" s="339"/>
      <c r="W850" s="339"/>
      <c r="X850" s="339"/>
      <c r="Y850" s="339"/>
      <c r="Z850" s="339"/>
    </row>
    <row r="851" spans="1:26" ht="15.75" customHeight="1">
      <c r="A851" s="339"/>
      <c r="B851" s="339"/>
      <c r="C851" s="339"/>
      <c r="D851" s="339"/>
      <c r="E851" s="339"/>
      <c r="F851" s="339"/>
      <c r="G851" s="339"/>
      <c r="H851" s="339"/>
      <c r="I851" s="341"/>
      <c r="J851" s="341"/>
      <c r="K851" s="340"/>
      <c r="L851" s="339"/>
      <c r="M851" s="341"/>
      <c r="N851" s="341"/>
      <c r="O851" s="340"/>
      <c r="P851" s="339"/>
      <c r="Q851" s="341"/>
      <c r="R851" s="339"/>
      <c r="S851" s="340"/>
      <c r="T851" s="339"/>
      <c r="U851" s="339"/>
      <c r="V851" s="339"/>
      <c r="W851" s="339"/>
      <c r="X851" s="339"/>
      <c r="Y851" s="339"/>
      <c r="Z851" s="339"/>
    </row>
    <row r="852" spans="1:26" ht="15.75" customHeight="1">
      <c r="A852" s="339"/>
      <c r="B852" s="339"/>
      <c r="C852" s="339"/>
      <c r="D852" s="339"/>
      <c r="E852" s="339"/>
      <c r="F852" s="339"/>
      <c r="G852" s="339"/>
      <c r="H852" s="339"/>
      <c r="I852" s="341"/>
      <c r="J852" s="341"/>
      <c r="K852" s="340"/>
      <c r="L852" s="339"/>
      <c r="M852" s="341"/>
      <c r="N852" s="341"/>
      <c r="O852" s="340"/>
      <c r="P852" s="339"/>
      <c r="Q852" s="341"/>
      <c r="R852" s="339"/>
      <c r="S852" s="340"/>
      <c r="T852" s="339"/>
      <c r="U852" s="339"/>
      <c r="V852" s="339"/>
      <c r="W852" s="339"/>
      <c r="X852" s="339"/>
      <c r="Y852" s="339"/>
      <c r="Z852" s="339"/>
    </row>
    <row r="853" spans="1:26" ht="15.75" customHeight="1">
      <c r="A853" s="339"/>
      <c r="B853" s="339"/>
      <c r="C853" s="339"/>
      <c r="D853" s="339"/>
      <c r="E853" s="339"/>
      <c r="F853" s="339"/>
      <c r="G853" s="339"/>
      <c r="H853" s="339"/>
      <c r="I853" s="341"/>
      <c r="J853" s="341"/>
      <c r="K853" s="340"/>
      <c r="L853" s="339"/>
      <c r="M853" s="341"/>
      <c r="N853" s="341"/>
      <c r="O853" s="340"/>
      <c r="P853" s="339"/>
      <c r="Q853" s="341"/>
      <c r="R853" s="339"/>
      <c r="S853" s="340"/>
      <c r="T853" s="339"/>
      <c r="U853" s="339"/>
      <c r="V853" s="339"/>
      <c r="W853" s="339"/>
      <c r="X853" s="339"/>
      <c r="Y853" s="339"/>
      <c r="Z853" s="339"/>
    </row>
    <row r="854" spans="1:26" ht="15.75" customHeight="1">
      <c r="A854" s="339"/>
      <c r="B854" s="339"/>
      <c r="C854" s="339"/>
      <c r="D854" s="339"/>
      <c r="E854" s="339"/>
      <c r="F854" s="339"/>
      <c r="G854" s="339"/>
      <c r="H854" s="339"/>
      <c r="I854" s="341"/>
      <c r="J854" s="341"/>
      <c r="K854" s="340"/>
      <c r="L854" s="339"/>
      <c r="M854" s="341"/>
      <c r="N854" s="341"/>
      <c r="O854" s="340"/>
      <c r="P854" s="339"/>
      <c r="Q854" s="341"/>
      <c r="R854" s="339"/>
      <c r="S854" s="340"/>
      <c r="T854" s="339"/>
      <c r="U854" s="339"/>
      <c r="V854" s="339"/>
      <c r="W854" s="339"/>
      <c r="X854" s="339"/>
      <c r="Y854" s="339"/>
      <c r="Z854" s="339"/>
    </row>
    <row r="855" spans="1:26" ht="15.75" customHeight="1">
      <c r="A855" s="339"/>
      <c r="B855" s="339"/>
      <c r="C855" s="339"/>
      <c r="D855" s="339"/>
      <c r="E855" s="339"/>
      <c r="F855" s="339"/>
      <c r="G855" s="339"/>
      <c r="H855" s="339"/>
      <c r="I855" s="341"/>
      <c r="J855" s="341"/>
      <c r="K855" s="340"/>
      <c r="L855" s="339"/>
      <c r="M855" s="341"/>
      <c r="N855" s="341"/>
      <c r="O855" s="340"/>
      <c r="P855" s="339"/>
      <c r="Q855" s="341"/>
      <c r="R855" s="339"/>
      <c r="S855" s="340"/>
      <c r="T855" s="339"/>
      <c r="U855" s="339"/>
      <c r="V855" s="339"/>
      <c r="W855" s="339"/>
      <c r="X855" s="339"/>
      <c r="Y855" s="339"/>
      <c r="Z855" s="339"/>
    </row>
    <row r="856" spans="1:26" ht="15.75" customHeight="1">
      <c r="A856" s="339"/>
      <c r="B856" s="339"/>
      <c r="C856" s="339"/>
      <c r="D856" s="339"/>
      <c r="E856" s="339"/>
      <c r="F856" s="339"/>
      <c r="G856" s="339"/>
      <c r="H856" s="339"/>
      <c r="I856" s="341"/>
      <c r="J856" s="341"/>
      <c r="K856" s="340"/>
      <c r="L856" s="339"/>
      <c r="M856" s="341"/>
      <c r="N856" s="341"/>
      <c r="O856" s="340"/>
      <c r="P856" s="339"/>
      <c r="Q856" s="341"/>
      <c r="R856" s="339"/>
      <c r="S856" s="340"/>
      <c r="T856" s="339"/>
      <c r="U856" s="339"/>
      <c r="V856" s="339"/>
      <c r="W856" s="339"/>
      <c r="X856" s="339"/>
      <c r="Y856" s="339"/>
      <c r="Z856" s="339"/>
    </row>
    <row r="857" spans="1:26" ht="15.75" customHeight="1">
      <c r="A857" s="339"/>
      <c r="B857" s="339"/>
      <c r="C857" s="339"/>
      <c r="D857" s="339"/>
      <c r="E857" s="339"/>
      <c r="F857" s="339"/>
      <c r="G857" s="339"/>
      <c r="H857" s="339"/>
      <c r="I857" s="341"/>
      <c r="J857" s="341"/>
      <c r="K857" s="340"/>
      <c r="L857" s="339"/>
      <c r="M857" s="341"/>
      <c r="N857" s="341"/>
      <c r="O857" s="340"/>
      <c r="P857" s="339"/>
      <c r="Q857" s="341"/>
      <c r="R857" s="339"/>
      <c r="S857" s="340"/>
      <c r="T857" s="339"/>
      <c r="U857" s="339"/>
      <c r="V857" s="339"/>
      <c r="W857" s="339"/>
      <c r="X857" s="339"/>
      <c r="Y857" s="339"/>
      <c r="Z857" s="339"/>
    </row>
    <row r="858" spans="1:26" ht="15.75" customHeight="1">
      <c r="A858" s="339"/>
      <c r="B858" s="339"/>
      <c r="C858" s="339"/>
      <c r="D858" s="339"/>
      <c r="E858" s="339"/>
      <c r="F858" s="339"/>
      <c r="G858" s="339"/>
      <c r="H858" s="339"/>
      <c r="I858" s="341"/>
      <c r="J858" s="341"/>
      <c r="K858" s="340"/>
      <c r="L858" s="339"/>
      <c r="M858" s="341"/>
      <c r="N858" s="341"/>
      <c r="O858" s="340"/>
      <c r="P858" s="339"/>
      <c r="Q858" s="341"/>
      <c r="R858" s="339"/>
      <c r="S858" s="340"/>
      <c r="T858" s="339"/>
      <c r="U858" s="339"/>
      <c r="V858" s="339"/>
      <c r="W858" s="339"/>
      <c r="X858" s="339"/>
      <c r="Y858" s="339"/>
      <c r="Z858" s="339"/>
    </row>
    <row r="859" spans="1:26" ht="15.75" customHeight="1">
      <c r="A859" s="339"/>
      <c r="B859" s="339"/>
      <c r="C859" s="339"/>
      <c r="D859" s="339"/>
      <c r="E859" s="339"/>
      <c r="F859" s="339"/>
      <c r="G859" s="339"/>
      <c r="H859" s="339"/>
      <c r="I859" s="341"/>
      <c r="J859" s="341"/>
      <c r="K859" s="340"/>
      <c r="L859" s="339"/>
      <c r="M859" s="341"/>
      <c r="N859" s="341"/>
      <c r="O859" s="340"/>
      <c r="P859" s="339"/>
      <c r="Q859" s="341"/>
      <c r="R859" s="339"/>
      <c r="S859" s="340"/>
      <c r="T859" s="339"/>
      <c r="U859" s="339"/>
      <c r="V859" s="339"/>
      <c r="W859" s="339"/>
      <c r="X859" s="339"/>
      <c r="Y859" s="339"/>
      <c r="Z859" s="339"/>
    </row>
    <row r="860" spans="1:26" ht="15.75" customHeight="1">
      <c r="A860" s="339"/>
      <c r="B860" s="339"/>
      <c r="C860" s="339"/>
      <c r="D860" s="339"/>
      <c r="E860" s="339"/>
      <c r="F860" s="339"/>
      <c r="G860" s="339"/>
      <c r="H860" s="339"/>
      <c r="I860" s="341"/>
      <c r="J860" s="341"/>
      <c r="K860" s="340"/>
      <c r="L860" s="339"/>
      <c r="M860" s="341"/>
      <c r="N860" s="341"/>
      <c r="O860" s="340"/>
      <c r="P860" s="339"/>
      <c r="Q860" s="341"/>
      <c r="R860" s="339"/>
      <c r="S860" s="340"/>
      <c r="T860" s="339"/>
      <c r="U860" s="339"/>
      <c r="V860" s="339"/>
      <c r="W860" s="339"/>
      <c r="X860" s="339"/>
      <c r="Y860" s="339"/>
      <c r="Z860" s="339"/>
    </row>
    <row r="861" spans="1:26" ht="15.75" customHeight="1">
      <c r="A861" s="339"/>
      <c r="B861" s="339"/>
      <c r="C861" s="339"/>
      <c r="D861" s="339"/>
      <c r="E861" s="339"/>
      <c r="F861" s="339"/>
      <c r="G861" s="339"/>
      <c r="H861" s="339"/>
      <c r="I861" s="341"/>
      <c r="J861" s="341"/>
      <c r="K861" s="340"/>
      <c r="L861" s="339"/>
      <c r="M861" s="341"/>
      <c r="N861" s="341"/>
      <c r="O861" s="340"/>
      <c r="P861" s="339"/>
      <c r="Q861" s="341"/>
      <c r="R861" s="339"/>
      <c r="S861" s="340"/>
      <c r="T861" s="339"/>
      <c r="U861" s="339"/>
      <c r="V861" s="339"/>
      <c r="W861" s="339"/>
      <c r="X861" s="339"/>
      <c r="Y861" s="339"/>
      <c r="Z861" s="339"/>
    </row>
    <row r="862" spans="1:26" ht="15.75" customHeight="1">
      <c r="A862" s="339"/>
      <c r="B862" s="339"/>
      <c r="C862" s="339"/>
      <c r="D862" s="339"/>
      <c r="E862" s="339"/>
      <c r="F862" s="339"/>
      <c r="G862" s="339"/>
      <c r="H862" s="339"/>
      <c r="I862" s="341"/>
      <c r="J862" s="341"/>
      <c r="K862" s="340"/>
      <c r="L862" s="339"/>
      <c r="M862" s="341"/>
      <c r="N862" s="341"/>
      <c r="O862" s="340"/>
      <c r="P862" s="339"/>
      <c r="Q862" s="341"/>
      <c r="R862" s="339"/>
      <c r="S862" s="340"/>
      <c r="T862" s="339"/>
      <c r="U862" s="339"/>
      <c r="V862" s="339"/>
      <c r="W862" s="339"/>
      <c r="X862" s="339"/>
      <c r="Y862" s="339"/>
      <c r="Z862" s="339"/>
    </row>
    <row r="863" spans="1:26" ht="15.75" customHeight="1">
      <c r="A863" s="339"/>
      <c r="B863" s="339"/>
      <c r="C863" s="339"/>
      <c r="D863" s="339"/>
      <c r="E863" s="339"/>
      <c r="F863" s="339"/>
      <c r="G863" s="339"/>
      <c r="H863" s="339"/>
      <c r="I863" s="341"/>
      <c r="J863" s="341"/>
      <c r="K863" s="340"/>
      <c r="L863" s="339"/>
      <c r="M863" s="341"/>
      <c r="N863" s="341"/>
      <c r="O863" s="340"/>
      <c r="P863" s="339"/>
      <c r="Q863" s="341"/>
      <c r="R863" s="339"/>
      <c r="S863" s="340"/>
      <c r="T863" s="339"/>
      <c r="U863" s="339"/>
      <c r="V863" s="339"/>
      <c r="W863" s="339"/>
      <c r="X863" s="339"/>
      <c r="Y863" s="339"/>
      <c r="Z863" s="339"/>
    </row>
    <row r="864" spans="1:26" ht="15.75" customHeight="1">
      <c r="A864" s="339"/>
      <c r="B864" s="339"/>
      <c r="C864" s="339"/>
      <c r="D864" s="339"/>
      <c r="E864" s="339"/>
      <c r="F864" s="339"/>
      <c r="G864" s="339"/>
      <c r="H864" s="339"/>
      <c r="I864" s="341"/>
      <c r="J864" s="341"/>
      <c r="K864" s="340"/>
      <c r="L864" s="339"/>
      <c r="M864" s="341"/>
      <c r="N864" s="341"/>
      <c r="O864" s="340"/>
      <c r="P864" s="339"/>
      <c r="Q864" s="341"/>
      <c r="R864" s="339"/>
      <c r="S864" s="340"/>
      <c r="T864" s="339"/>
      <c r="U864" s="339"/>
      <c r="V864" s="339"/>
      <c r="W864" s="339"/>
      <c r="X864" s="339"/>
      <c r="Y864" s="339"/>
      <c r="Z864" s="339"/>
    </row>
    <row r="865" spans="1:26" ht="15.75" customHeight="1">
      <c r="A865" s="339"/>
      <c r="B865" s="339"/>
      <c r="C865" s="339"/>
      <c r="D865" s="339"/>
      <c r="E865" s="339"/>
      <c r="F865" s="339"/>
      <c r="G865" s="339"/>
      <c r="H865" s="339"/>
      <c r="I865" s="341"/>
      <c r="J865" s="341"/>
      <c r="K865" s="340"/>
      <c r="L865" s="339"/>
      <c r="M865" s="341"/>
      <c r="N865" s="341"/>
      <c r="O865" s="340"/>
      <c r="P865" s="339"/>
      <c r="Q865" s="341"/>
      <c r="R865" s="339"/>
      <c r="S865" s="340"/>
      <c r="T865" s="339"/>
      <c r="U865" s="339"/>
      <c r="V865" s="339"/>
      <c r="W865" s="339"/>
      <c r="X865" s="339"/>
      <c r="Y865" s="339"/>
      <c r="Z865" s="339"/>
    </row>
    <row r="866" spans="1:26" ht="15.75" customHeight="1">
      <c r="A866" s="339"/>
      <c r="B866" s="339"/>
      <c r="C866" s="339"/>
      <c r="D866" s="339"/>
      <c r="E866" s="339"/>
      <c r="F866" s="339"/>
      <c r="G866" s="339"/>
      <c r="H866" s="339"/>
      <c r="I866" s="341"/>
      <c r="J866" s="341"/>
      <c r="K866" s="340"/>
      <c r="L866" s="339"/>
      <c r="M866" s="341"/>
      <c r="N866" s="341"/>
      <c r="O866" s="340"/>
      <c r="P866" s="339"/>
      <c r="Q866" s="341"/>
      <c r="R866" s="339"/>
      <c r="S866" s="340"/>
      <c r="T866" s="339"/>
      <c r="U866" s="339"/>
      <c r="V866" s="339"/>
      <c r="W866" s="339"/>
      <c r="X866" s="339"/>
      <c r="Y866" s="339"/>
      <c r="Z866" s="339"/>
    </row>
    <row r="867" spans="1:26" ht="15.75" customHeight="1">
      <c r="A867" s="339"/>
      <c r="B867" s="339"/>
      <c r="C867" s="339"/>
      <c r="D867" s="339"/>
      <c r="E867" s="339"/>
      <c r="F867" s="339"/>
      <c r="G867" s="339"/>
      <c r="H867" s="339"/>
      <c r="I867" s="341"/>
      <c r="J867" s="341"/>
      <c r="K867" s="340"/>
      <c r="L867" s="339"/>
      <c r="M867" s="341"/>
      <c r="N867" s="341"/>
      <c r="O867" s="340"/>
      <c r="P867" s="339"/>
      <c r="Q867" s="341"/>
      <c r="R867" s="339"/>
      <c r="S867" s="340"/>
      <c r="T867" s="339"/>
      <c r="U867" s="339"/>
      <c r="V867" s="339"/>
      <c r="W867" s="339"/>
      <c r="X867" s="339"/>
      <c r="Y867" s="339"/>
      <c r="Z867" s="339"/>
    </row>
    <row r="868" spans="1:26" ht="15.75" customHeight="1">
      <c r="A868" s="339"/>
      <c r="B868" s="339"/>
      <c r="C868" s="339"/>
      <c r="D868" s="339"/>
      <c r="E868" s="339"/>
      <c r="F868" s="339"/>
      <c r="G868" s="339"/>
      <c r="H868" s="339"/>
      <c r="I868" s="341"/>
      <c r="J868" s="341"/>
      <c r="K868" s="340"/>
      <c r="L868" s="339"/>
      <c r="M868" s="341"/>
      <c r="N868" s="341"/>
      <c r="O868" s="340"/>
      <c r="P868" s="339"/>
      <c r="Q868" s="341"/>
      <c r="R868" s="339"/>
      <c r="S868" s="340"/>
      <c r="T868" s="339"/>
      <c r="U868" s="339"/>
      <c r="V868" s="339"/>
      <c r="W868" s="339"/>
      <c r="X868" s="339"/>
      <c r="Y868" s="339"/>
      <c r="Z868" s="339"/>
    </row>
    <row r="869" spans="1:26" ht="15.75" customHeight="1">
      <c r="A869" s="339"/>
      <c r="B869" s="339"/>
      <c r="C869" s="339"/>
      <c r="D869" s="339"/>
      <c r="E869" s="339"/>
      <c r="F869" s="339"/>
      <c r="G869" s="339"/>
      <c r="H869" s="339"/>
      <c r="I869" s="341"/>
      <c r="J869" s="341"/>
      <c r="K869" s="340"/>
      <c r="L869" s="339"/>
      <c r="M869" s="341"/>
      <c r="N869" s="341"/>
      <c r="O869" s="340"/>
      <c r="P869" s="339"/>
      <c r="Q869" s="341"/>
      <c r="R869" s="339"/>
      <c r="S869" s="340"/>
      <c r="T869" s="339"/>
      <c r="U869" s="339"/>
      <c r="V869" s="339"/>
      <c r="W869" s="339"/>
      <c r="X869" s="339"/>
      <c r="Y869" s="339"/>
      <c r="Z869" s="339"/>
    </row>
    <row r="870" spans="1:26" ht="15.75" customHeight="1">
      <c r="A870" s="339"/>
      <c r="B870" s="339"/>
      <c r="C870" s="339"/>
      <c r="D870" s="339"/>
      <c r="E870" s="339"/>
      <c r="F870" s="339"/>
      <c r="G870" s="339"/>
      <c r="H870" s="339"/>
      <c r="I870" s="341"/>
      <c r="J870" s="341"/>
      <c r="K870" s="340"/>
      <c r="L870" s="339"/>
      <c r="M870" s="341"/>
      <c r="N870" s="341"/>
      <c r="O870" s="340"/>
      <c r="P870" s="339"/>
      <c r="Q870" s="341"/>
      <c r="R870" s="339"/>
      <c r="S870" s="340"/>
      <c r="T870" s="339"/>
      <c r="U870" s="339"/>
      <c r="V870" s="339"/>
      <c r="W870" s="339"/>
      <c r="X870" s="339"/>
      <c r="Y870" s="339"/>
      <c r="Z870" s="339"/>
    </row>
    <row r="871" spans="1:26" ht="15.75" customHeight="1">
      <c r="A871" s="339"/>
      <c r="B871" s="339"/>
      <c r="C871" s="339"/>
      <c r="D871" s="339"/>
      <c r="E871" s="339"/>
      <c r="F871" s="339"/>
      <c r="G871" s="339"/>
      <c r="H871" s="339"/>
      <c r="I871" s="341"/>
      <c r="J871" s="341"/>
      <c r="K871" s="340"/>
      <c r="L871" s="339"/>
      <c r="M871" s="341"/>
      <c r="N871" s="341"/>
      <c r="O871" s="340"/>
      <c r="P871" s="339"/>
      <c r="Q871" s="341"/>
      <c r="R871" s="339"/>
      <c r="S871" s="340"/>
      <c r="T871" s="339"/>
      <c r="U871" s="339"/>
      <c r="V871" s="339"/>
      <c r="W871" s="339"/>
      <c r="X871" s="339"/>
      <c r="Y871" s="339"/>
      <c r="Z871" s="339"/>
    </row>
    <row r="872" spans="1:26" ht="15.75" customHeight="1">
      <c r="A872" s="339"/>
      <c r="B872" s="339"/>
      <c r="C872" s="339"/>
      <c r="D872" s="339"/>
      <c r="E872" s="339"/>
      <c r="F872" s="339"/>
      <c r="G872" s="339"/>
      <c r="H872" s="339"/>
      <c r="I872" s="341"/>
      <c r="J872" s="341"/>
      <c r="K872" s="340"/>
      <c r="L872" s="339"/>
      <c r="M872" s="341"/>
      <c r="N872" s="341"/>
      <c r="O872" s="340"/>
      <c r="P872" s="339"/>
      <c r="Q872" s="341"/>
      <c r="R872" s="339"/>
      <c r="S872" s="340"/>
      <c r="T872" s="339"/>
      <c r="U872" s="339"/>
      <c r="V872" s="339"/>
      <c r="W872" s="339"/>
      <c r="X872" s="339"/>
      <c r="Y872" s="339"/>
      <c r="Z872" s="339"/>
    </row>
    <row r="873" spans="1:26" ht="15.75" customHeight="1">
      <c r="A873" s="339"/>
      <c r="B873" s="339"/>
      <c r="C873" s="339"/>
      <c r="D873" s="339"/>
      <c r="E873" s="339"/>
      <c r="F873" s="339"/>
      <c r="G873" s="339"/>
      <c r="H873" s="339"/>
      <c r="I873" s="341"/>
      <c r="J873" s="341"/>
      <c r="K873" s="340"/>
      <c r="L873" s="339"/>
      <c r="M873" s="341"/>
      <c r="N873" s="341"/>
      <c r="O873" s="340"/>
      <c r="P873" s="339"/>
      <c r="Q873" s="341"/>
      <c r="R873" s="339"/>
      <c r="S873" s="340"/>
      <c r="T873" s="339"/>
      <c r="U873" s="339"/>
      <c r="V873" s="339"/>
      <c r="W873" s="339"/>
      <c r="X873" s="339"/>
      <c r="Y873" s="339"/>
      <c r="Z873" s="339"/>
    </row>
    <row r="874" spans="1:26" ht="15.75" customHeight="1">
      <c r="A874" s="339"/>
      <c r="B874" s="339"/>
      <c r="C874" s="339"/>
      <c r="D874" s="339"/>
      <c r="E874" s="339"/>
      <c r="F874" s="339"/>
      <c r="G874" s="339"/>
      <c r="H874" s="339"/>
      <c r="I874" s="341"/>
      <c r="J874" s="341"/>
      <c r="K874" s="340"/>
      <c r="L874" s="339"/>
      <c r="M874" s="341"/>
      <c r="N874" s="341"/>
      <c r="O874" s="340"/>
      <c r="P874" s="339"/>
      <c r="Q874" s="341"/>
      <c r="R874" s="339"/>
      <c r="S874" s="340"/>
      <c r="T874" s="339"/>
      <c r="U874" s="339"/>
      <c r="V874" s="339"/>
      <c r="W874" s="339"/>
      <c r="X874" s="339"/>
      <c r="Y874" s="339"/>
      <c r="Z874" s="339"/>
    </row>
    <row r="875" spans="1:26" ht="15.75" customHeight="1">
      <c r="A875" s="339"/>
      <c r="B875" s="339"/>
      <c r="C875" s="339"/>
      <c r="D875" s="339"/>
      <c r="E875" s="339"/>
      <c r="F875" s="339"/>
      <c r="G875" s="339"/>
      <c r="H875" s="339"/>
      <c r="I875" s="341"/>
      <c r="J875" s="341"/>
      <c r="K875" s="340"/>
      <c r="L875" s="339"/>
      <c r="M875" s="341"/>
      <c r="N875" s="341"/>
      <c r="O875" s="340"/>
      <c r="P875" s="339"/>
      <c r="Q875" s="341"/>
      <c r="R875" s="339"/>
      <c r="S875" s="340"/>
      <c r="T875" s="339"/>
      <c r="U875" s="339"/>
      <c r="V875" s="339"/>
      <c r="W875" s="339"/>
      <c r="X875" s="339"/>
      <c r="Y875" s="339"/>
      <c r="Z875" s="339"/>
    </row>
    <row r="876" spans="1:26" ht="15.75" customHeight="1">
      <c r="A876" s="339"/>
      <c r="B876" s="339"/>
      <c r="C876" s="339"/>
      <c r="D876" s="339"/>
      <c r="E876" s="339"/>
      <c r="F876" s="339"/>
      <c r="G876" s="339"/>
      <c r="H876" s="339"/>
      <c r="I876" s="341"/>
      <c r="J876" s="341"/>
      <c r="K876" s="340"/>
      <c r="L876" s="339"/>
      <c r="M876" s="341"/>
      <c r="N876" s="341"/>
      <c r="O876" s="340"/>
      <c r="P876" s="339"/>
      <c r="Q876" s="341"/>
      <c r="R876" s="339"/>
      <c r="S876" s="340"/>
      <c r="T876" s="339"/>
      <c r="U876" s="339"/>
      <c r="V876" s="339"/>
      <c r="W876" s="339"/>
      <c r="X876" s="339"/>
      <c r="Y876" s="339"/>
      <c r="Z876" s="339"/>
    </row>
    <row r="877" spans="1:26" ht="15.75" customHeight="1">
      <c r="A877" s="339"/>
      <c r="B877" s="339"/>
      <c r="C877" s="339"/>
      <c r="D877" s="339"/>
      <c r="E877" s="339"/>
      <c r="F877" s="339"/>
      <c r="G877" s="339"/>
      <c r="H877" s="339"/>
      <c r="I877" s="341"/>
      <c r="J877" s="341"/>
      <c r="K877" s="340"/>
      <c r="L877" s="339"/>
      <c r="M877" s="341"/>
      <c r="N877" s="341"/>
      <c r="O877" s="340"/>
      <c r="P877" s="339"/>
      <c r="Q877" s="341"/>
      <c r="R877" s="339"/>
      <c r="S877" s="340"/>
      <c r="T877" s="339"/>
      <c r="U877" s="339"/>
      <c r="V877" s="339"/>
      <c r="W877" s="339"/>
      <c r="X877" s="339"/>
      <c r="Y877" s="339"/>
      <c r="Z877" s="339"/>
    </row>
    <row r="878" spans="1:26" ht="15.75" customHeight="1">
      <c r="A878" s="339"/>
      <c r="B878" s="339"/>
      <c r="C878" s="339"/>
      <c r="D878" s="339"/>
      <c r="E878" s="339"/>
      <c r="F878" s="339"/>
      <c r="G878" s="339"/>
      <c r="H878" s="339"/>
      <c r="I878" s="341"/>
      <c r="J878" s="341"/>
      <c r="K878" s="340"/>
      <c r="L878" s="339"/>
      <c r="M878" s="341"/>
      <c r="N878" s="341"/>
      <c r="O878" s="340"/>
      <c r="P878" s="339"/>
      <c r="Q878" s="341"/>
      <c r="R878" s="339"/>
      <c r="S878" s="340"/>
      <c r="T878" s="339"/>
      <c r="U878" s="339"/>
      <c r="V878" s="339"/>
      <c r="W878" s="339"/>
      <c r="X878" s="339"/>
      <c r="Y878" s="339"/>
      <c r="Z878" s="339"/>
    </row>
    <row r="879" spans="1:26" ht="15.75" customHeight="1">
      <c r="A879" s="339"/>
      <c r="B879" s="339"/>
      <c r="C879" s="339"/>
      <c r="D879" s="339"/>
      <c r="E879" s="339"/>
      <c r="F879" s="339"/>
      <c r="G879" s="339"/>
      <c r="H879" s="339"/>
      <c r="I879" s="341"/>
      <c r="J879" s="341"/>
      <c r="K879" s="340"/>
      <c r="L879" s="339"/>
      <c r="M879" s="341"/>
      <c r="N879" s="341"/>
      <c r="O879" s="340"/>
      <c r="P879" s="339"/>
      <c r="Q879" s="341"/>
      <c r="R879" s="339"/>
      <c r="S879" s="340"/>
      <c r="T879" s="339"/>
      <c r="U879" s="339"/>
      <c r="V879" s="339"/>
      <c r="W879" s="339"/>
      <c r="X879" s="339"/>
      <c r="Y879" s="339"/>
      <c r="Z879" s="339"/>
    </row>
    <row r="880" spans="1:26" ht="15.75" customHeight="1">
      <c r="A880" s="339"/>
      <c r="B880" s="339"/>
      <c r="C880" s="339"/>
      <c r="D880" s="339"/>
      <c r="E880" s="339"/>
      <c r="F880" s="339"/>
      <c r="G880" s="339"/>
      <c r="H880" s="339"/>
      <c r="I880" s="341"/>
      <c r="J880" s="341"/>
      <c r="K880" s="340"/>
      <c r="L880" s="339"/>
      <c r="M880" s="341"/>
      <c r="N880" s="341"/>
      <c r="O880" s="340"/>
      <c r="P880" s="339"/>
      <c r="Q880" s="341"/>
      <c r="R880" s="339"/>
      <c r="S880" s="340"/>
      <c r="T880" s="339"/>
      <c r="U880" s="339"/>
      <c r="V880" s="339"/>
      <c r="W880" s="339"/>
      <c r="X880" s="339"/>
      <c r="Y880" s="339"/>
      <c r="Z880" s="339"/>
    </row>
    <row r="881" spans="1:26" ht="15.75" customHeight="1">
      <c r="A881" s="339"/>
      <c r="B881" s="339"/>
      <c r="C881" s="339"/>
      <c r="D881" s="339"/>
      <c r="E881" s="339"/>
      <c r="F881" s="339"/>
      <c r="G881" s="339"/>
      <c r="H881" s="339"/>
      <c r="I881" s="341"/>
      <c r="J881" s="341"/>
      <c r="K881" s="340"/>
      <c r="L881" s="339"/>
      <c r="M881" s="341"/>
      <c r="N881" s="341"/>
      <c r="O881" s="340"/>
      <c r="P881" s="339"/>
      <c r="Q881" s="341"/>
      <c r="R881" s="339"/>
      <c r="S881" s="340"/>
      <c r="T881" s="339"/>
      <c r="U881" s="339"/>
      <c r="V881" s="339"/>
      <c r="W881" s="339"/>
      <c r="X881" s="339"/>
      <c r="Y881" s="339"/>
      <c r="Z881" s="339"/>
    </row>
    <row r="882" spans="1:26" ht="15.75" customHeight="1">
      <c r="A882" s="339"/>
      <c r="B882" s="339"/>
      <c r="C882" s="339"/>
      <c r="D882" s="339"/>
      <c r="E882" s="339"/>
      <c r="F882" s="339"/>
      <c r="G882" s="339"/>
      <c r="H882" s="339"/>
      <c r="I882" s="341"/>
      <c r="J882" s="341"/>
      <c r="K882" s="340"/>
      <c r="L882" s="339"/>
      <c r="M882" s="341"/>
      <c r="N882" s="341"/>
      <c r="O882" s="340"/>
      <c r="P882" s="339"/>
      <c r="Q882" s="341"/>
      <c r="R882" s="339"/>
      <c r="S882" s="340"/>
      <c r="T882" s="339"/>
      <c r="U882" s="339"/>
      <c r="V882" s="339"/>
      <c r="W882" s="339"/>
      <c r="X882" s="339"/>
      <c r="Y882" s="339"/>
      <c r="Z882" s="339"/>
    </row>
    <row r="883" spans="1:26" ht="15.75" customHeight="1">
      <c r="A883" s="339"/>
      <c r="B883" s="339"/>
      <c r="C883" s="339"/>
      <c r="D883" s="339"/>
      <c r="E883" s="339"/>
      <c r="F883" s="339"/>
      <c r="G883" s="339"/>
      <c r="H883" s="339"/>
      <c r="I883" s="341"/>
      <c r="J883" s="341"/>
      <c r="K883" s="340"/>
      <c r="L883" s="339"/>
      <c r="M883" s="341"/>
      <c r="N883" s="341"/>
      <c r="O883" s="340"/>
      <c r="P883" s="339"/>
      <c r="Q883" s="341"/>
      <c r="R883" s="339"/>
      <c r="S883" s="340"/>
      <c r="T883" s="339"/>
      <c r="U883" s="339"/>
      <c r="V883" s="339"/>
      <c r="W883" s="339"/>
      <c r="X883" s="339"/>
      <c r="Y883" s="339"/>
      <c r="Z883" s="339"/>
    </row>
    <row r="884" spans="1:26" ht="15.75" customHeight="1">
      <c r="A884" s="339"/>
      <c r="B884" s="339"/>
      <c r="C884" s="339"/>
      <c r="D884" s="339"/>
      <c r="E884" s="339"/>
      <c r="F884" s="339"/>
      <c r="G884" s="339"/>
      <c r="H884" s="339"/>
      <c r="I884" s="341"/>
      <c r="J884" s="341"/>
      <c r="K884" s="340"/>
      <c r="L884" s="339"/>
      <c r="M884" s="341"/>
      <c r="N884" s="341"/>
      <c r="O884" s="340"/>
      <c r="P884" s="339"/>
      <c r="Q884" s="341"/>
      <c r="R884" s="339"/>
      <c r="S884" s="340"/>
      <c r="T884" s="339"/>
      <c r="U884" s="339"/>
      <c r="V884" s="339"/>
      <c r="W884" s="339"/>
      <c r="X884" s="339"/>
      <c r="Y884" s="339"/>
      <c r="Z884" s="339"/>
    </row>
    <row r="885" spans="1:26" ht="15.75" customHeight="1">
      <c r="A885" s="339"/>
      <c r="B885" s="339"/>
      <c r="C885" s="339"/>
      <c r="D885" s="339"/>
      <c r="E885" s="339"/>
      <c r="F885" s="339"/>
      <c r="G885" s="339"/>
      <c r="H885" s="339"/>
      <c r="I885" s="341"/>
      <c r="J885" s="341"/>
      <c r="K885" s="340"/>
      <c r="L885" s="339"/>
      <c r="M885" s="341"/>
      <c r="N885" s="341"/>
      <c r="O885" s="340"/>
      <c r="P885" s="339"/>
      <c r="Q885" s="341"/>
      <c r="R885" s="339"/>
      <c r="S885" s="340"/>
      <c r="T885" s="339"/>
      <c r="U885" s="339"/>
      <c r="V885" s="339"/>
      <c r="W885" s="339"/>
      <c r="X885" s="339"/>
      <c r="Y885" s="339"/>
      <c r="Z885" s="339"/>
    </row>
    <row r="886" spans="1:26" ht="15.75" customHeight="1">
      <c r="A886" s="339"/>
      <c r="B886" s="339"/>
      <c r="C886" s="339"/>
      <c r="D886" s="339"/>
      <c r="E886" s="339"/>
      <c r="F886" s="339"/>
      <c r="G886" s="339"/>
      <c r="H886" s="339"/>
      <c r="I886" s="341"/>
      <c r="J886" s="341"/>
      <c r="K886" s="340"/>
      <c r="L886" s="339"/>
      <c r="M886" s="341"/>
      <c r="N886" s="341"/>
      <c r="O886" s="340"/>
      <c r="P886" s="339"/>
      <c r="Q886" s="341"/>
      <c r="R886" s="339"/>
      <c r="S886" s="340"/>
      <c r="T886" s="339"/>
      <c r="U886" s="339"/>
      <c r="V886" s="339"/>
      <c r="W886" s="339"/>
      <c r="X886" s="339"/>
      <c r="Y886" s="339"/>
      <c r="Z886" s="339"/>
    </row>
    <row r="887" spans="1:26" ht="15.75" customHeight="1">
      <c r="A887" s="339"/>
      <c r="B887" s="339"/>
      <c r="C887" s="339"/>
      <c r="D887" s="339"/>
      <c r="E887" s="339"/>
      <c r="F887" s="339"/>
      <c r="G887" s="339"/>
      <c r="H887" s="339"/>
      <c r="I887" s="341"/>
      <c r="J887" s="341"/>
      <c r="K887" s="340"/>
      <c r="L887" s="339"/>
      <c r="M887" s="341"/>
      <c r="N887" s="341"/>
      <c r="O887" s="340"/>
      <c r="P887" s="339"/>
      <c r="Q887" s="341"/>
      <c r="R887" s="339"/>
      <c r="S887" s="340"/>
      <c r="T887" s="339"/>
      <c r="U887" s="339"/>
      <c r="V887" s="339"/>
      <c r="W887" s="339"/>
      <c r="X887" s="339"/>
      <c r="Y887" s="339"/>
      <c r="Z887" s="339"/>
    </row>
    <row r="888" spans="1:26" ht="15.75" customHeight="1">
      <c r="A888" s="339"/>
      <c r="B888" s="339"/>
      <c r="C888" s="339"/>
      <c r="D888" s="339"/>
      <c r="E888" s="339"/>
      <c r="F888" s="339"/>
      <c r="G888" s="339"/>
      <c r="H888" s="339"/>
      <c r="I888" s="341"/>
      <c r="J888" s="341"/>
      <c r="K888" s="340"/>
      <c r="L888" s="339"/>
      <c r="M888" s="341"/>
      <c r="N888" s="341"/>
      <c r="O888" s="340"/>
      <c r="P888" s="339"/>
      <c r="Q888" s="341"/>
      <c r="R888" s="339"/>
      <c r="S888" s="340"/>
      <c r="T888" s="339"/>
      <c r="U888" s="339"/>
      <c r="V888" s="339"/>
      <c r="W888" s="339"/>
      <c r="X888" s="339"/>
      <c r="Y888" s="339"/>
      <c r="Z888" s="339"/>
    </row>
    <row r="889" spans="1:26" ht="15.75" customHeight="1">
      <c r="A889" s="339"/>
      <c r="B889" s="339"/>
      <c r="C889" s="339"/>
      <c r="D889" s="339"/>
      <c r="E889" s="339"/>
      <c r="F889" s="339"/>
      <c r="G889" s="339"/>
      <c r="H889" s="339"/>
      <c r="I889" s="341"/>
      <c r="J889" s="341"/>
      <c r="K889" s="340"/>
      <c r="L889" s="339"/>
      <c r="M889" s="341"/>
      <c r="N889" s="341"/>
      <c r="O889" s="340"/>
      <c r="P889" s="339"/>
      <c r="Q889" s="341"/>
      <c r="R889" s="339"/>
      <c r="S889" s="340"/>
      <c r="T889" s="339"/>
      <c r="U889" s="339"/>
      <c r="V889" s="339"/>
      <c r="W889" s="339"/>
      <c r="X889" s="339"/>
      <c r="Y889" s="339"/>
      <c r="Z889" s="339"/>
    </row>
    <row r="890" spans="1:26" ht="15.75" customHeight="1">
      <c r="A890" s="339"/>
      <c r="B890" s="339"/>
      <c r="C890" s="339"/>
      <c r="D890" s="339"/>
      <c r="E890" s="339"/>
      <c r="F890" s="339"/>
      <c r="G890" s="339"/>
      <c r="H890" s="339"/>
      <c r="I890" s="341"/>
      <c r="J890" s="341"/>
      <c r="K890" s="340"/>
      <c r="L890" s="339"/>
      <c r="M890" s="341"/>
      <c r="N890" s="341"/>
      <c r="O890" s="340"/>
      <c r="P890" s="339"/>
      <c r="Q890" s="341"/>
      <c r="R890" s="339"/>
      <c r="S890" s="340"/>
      <c r="T890" s="339"/>
      <c r="U890" s="339"/>
      <c r="V890" s="339"/>
      <c r="W890" s="339"/>
      <c r="X890" s="339"/>
      <c r="Y890" s="339"/>
      <c r="Z890" s="339"/>
    </row>
    <row r="891" spans="1:26" ht="15.75" customHeight="1">
      <c r="A891" s="339"/>
      <c r="B891" s="339"/>
      <c r="C891" s="339"/>
      <c r="D891" s="339"/>
      <c r="E891" s="339"/>
      <c r="F891" s="339"/>
      <c r="G891" s="339"/>
      <c r="H891" s="339"/>
      <c r="I891" s="341"/>
      <c r="J891" s="341"/>
      <c r="K891" s="340"/>
      <c r="L891" s="339"/>
      <c r="M891" s="341"/>
      <c r="N891" s="341"/>
      <c r="O891" s="340"/>
      <c r="P891" s="339"/>
      <c r="Q891" s="341"/>
      <c r="R891" s="339"/>
      <c r="S891" s="340"/>
      <c r="T891" s="339"/>
      <c r="U891" s="339"/>
      <c r="V891" s="339"/>
      <c r="W891" s="339"/>
      <c r="X891" s="339"/>
      <c r="Y891" s="339"/>
      <c r="Z891" s="339"/>
    </row>
    <row r="892" spans="1:26" ht="15.75" customHeight="1">
      <c r="A892" s="339"/>
      <c r="B892" s="339"/>
      <c r="C892" s="339"/>
      <c r="D892" s="339"/>
      <c r="E892" s="339"/>
      <c r="F892" s="339"/>
      <c r="G892" s="339"/>
      <c r="H892" s="339"/>
      <c r="I892" s="341"/>
      <c r="J892" s="341"/>
      <c r="K892" s="340"/>
      <c r="L892" s="339"/>
      <c r="M892" s="341"/>
      <c r="N892" s="341"/>
      <c r="O892" s="340"/>
      <c r="P892" s="339"/>
      <c r="Q892" s="341"/>
      <c r="R892" s="339"/>
      <c r="S892" s="340"/>
      <c r="T892" s="339"/>
      <c r="U892" s="339"/>
      <c r="V892" s="339"/>
      <c r="W892" s="339"/>
      <c r="X892" s="339"/>
      <c r="Y892" s="339"/>
      <c r="Z892" s="339"/>
    </row>
    <row r="893" spans="1:26" ht="15.75" customHeight="1">
      <c r="A893" s="339"/>
      <c r="B893" s="339"/>
      <c r="C893" s="339"/>
      <c r="D893" s="339"/>
      <c r="E893" s="339"/>
      <c r="F893" s="339"/>
      <c r="G893" s="339"/>
      <c r="H893" s="339"/>
      <c r="I893" s="341"/>
      <c r="J893" s="341"/>
      <c r="K893" s="340"/>
      <c r="L893" s="339"/>
      <c r="M893" s="341"/>
      <c r="N893" s="341"/>
      <c r="O893" s="340"/>
      <c r="P893" s="339"/>
      <c r="Q893" s="341"/>
      <c r="R893" s="339"/>
      <c r="S893" s="340"/>
      <c r="T893" s="339"/>
      <c r="U893" s="339"/>
      <c r="V893" s="339"/>
      <c r="W893" s="339"/>
      <c r="X893" s="339"/>
      <c r="Y893" s="339"/>
      <c r="Z893" s="339"/>
    </row>
    <row r="894" spans="1:26" ht="15.75" customHeight="1">
      <c r="A894" s="339"/>
      <c r="B894" s="339"/>
      <c r="C894" s="339"/>
      <c r="D894" s="339"/>
      <c r="E894" s="339"/>
      <c r="F894" s="339"/>
      <c r="G894" s="339"/>
      <c r="H894" s="339"/>
      <c r="I894" s="341"/>
      <c r="J894" s="341"/>
      <c r="K894" s="340"/>
      <c r="L894" s="339"/>
      <c r="M894" s="341"/>
      <c r="N894" s="341"/>
      <c r="O894" s="340"/>
      <c r="P894" s="339"/>
      <c r="Q894" s="341"/>
      <c r="R894" s="339"/>
      <c r="S894" s="340"/>
      <c r="T894" s="339"/>
      <c r="U894" s="339"/>
      <c r="V894" s="339"/>
      <c r="W894" s="339"/>
      <c r="X894" s="339"/>
      <c r="Y894" s="339"/>
      <c r="Z894" s="339"/>
    </row>
    <row r="895" spans="1:26" ht="15.75" customHeight="1">
      <c r="A895" s="339"/>
      <c r="B895" s="339"/>
      <c r="C895" s="339"/>
      <c r="D895" s="339"/>
      <c r="E895" s="339"/>
      <c r="F895" s="339"/>
      <c r="G895" s="339"/>
      <c r="H895" s="339"/>
      <c r="I895" s="341"/>
      <c r="J895" s="341"/>
      <c r="K895" s="340"/>
      <c r="L895" s="339"/>
      <c r="M895" s="341"/>
      <c r="N895" s="341"/>
      <c r="O895" s="340"/>
      <c r="P895" s="339"/>
      <c r="Q895" s="341"/>
      <c r="R895" s="339"/>
      <c r="S895" s="340"/>
      <c r="T895" s="339"/>
      <c r="U895" s="339"/>
      <c r="V895" s="339"/>
      <c r="W895" s="339"/>
      <c r="X895" s="339"/>
      <c r="Y895" s="339"/>
      <c r="Z895" s="339"/>
    </row>
    <row r="896" spans="1:26" ht="15.75" customHeight="1">
      <c r="A896" s="339"/>
      <c r="B896" s="339"/>
      <c r="C896" s="339"/>
      <c r="D896" s="339"/>
      <c r="E896" s="339"/>
      <c r="F896" s="339"/>
      <c r="G896" s="339"/>
      <c r="H896" s="339"/>
      <c r="I896" s="341"/>
      <c r="J896" s="341"/>
      <c r="K896" s="340"/>
      <c r="L896" s="339"/>
      <c r="M896" s="341"/>
      <c r="N896" s="341"/>
      <c r="O896" s="340"/>
      <c r="P896" s="339"/>
      <c r="Q896" s="341"/>
      <c r="R896" s="339"/>
      <c r="S896" s="340"/>
      <c r="T896" s="339"/>
      <c r="U896" s="339"/>
      <c r="V896" s="339"/>
      <c r="W896" s="339"/>
      <c r="X896" s="339"/>
      <c r="Y896" s="339"/>
      <c r="Z896" s="339"/>
    </row>
    <row r="897" spans="1:26" ht="15.75" customHeight="1">
      <c r="A897" s="339"/>
      <c r="B897" s="339"/>
      <c r="C897" s="339"/>
      <c r="D897" s="339"/>
      <c r="E897" s="339"/>
      <c r="F897" s="339"/>
      <c r="G897" s="339"/>
      <c r="H897" s="339"/>
      <c r="I897" s="341"/>
      <c r="J897" s="341"/>
      <c r="K897" s="340"/>
      <c r="L897" s="339"/>
      <c r="M897" s="341"/>
      <c r="N897" s="341"/>
      <c r="O897" s="340"/>
      <c r="P897" s="339"/>
      <c r="Q897" s="341"/>
      <c r="R897" s="339"/>
      <c r="S897" s="340"/>
      <c r="T897" s="339"/>
      <c r="U897" s="339"/>
      <c r="V897" s="339"/>
      <c r="W897" s="339"/>
      <c r="X897" s="339"/>
      <c r="Y897" s="339"/>
      <c r="Z897" s="339"/>
    </row>
    <row r="898" spans="1:26" ht="15.75" customHeight="1">
      <c r="A898" s="339"/>
      <c r="B898" s="339"/>
      <c r="C898" s="339"/>
      <c r="D898" s="339"/>
      <c r="E898" s="339"/>
      <c r="F898" s="339"/>
      <c r="G898" s="339"/>
      <c r="H898" s="339"/>
      <c r="I898" s="341"/>
      <c r="J898" s="341"/>
      <c r="K898" s="340"/>
      <c r="L898" s="339"/>
      <c r="M898" s="341"/>
      <c r="N898" s="341"/>
      <c r="O898" s="340"/>
      <c r="P898" s="339"/>
      <c r="Q898" s="341"/>
      <c r="R898" s="339"/>
      <c r="S898" s="340"/>
      <c r="T898" s="339"/>
      <c r="U898" s="339"/>
      <c r="V898" s="339"/>
      <c r="W898" s="339"/>
      <c r="X898" s="339"/>
      <c r="Y898" s="339"/>
      <c r="Z898" s="339"/>
    </row>
    <row r="899" spans="1:26" ht="15.75" customHeight="1">
      <c r="A899" s="339"/>
      <c r="B899" s="339"/>
      <c r="C899" s="339"/>
      <c r="D899" s="339"/>
      <c r="E899" s="339"/>
      <c r="F899" s="339"/>
      <c r="G899" s="339"/>
      <c r="H899" s="339"/>
      <c r="I899" s="341"/>
      <c r="J899" s="341"/>
      <c r="K899" s="340"/>
      <c r="L899" s="339"/>
      <c r="M899" s="341"/>
      <c r="N899" s="341"/>
      <c r="O899" s="340"/>
      <c r="P899" s="339"/>
      <c r="Q899" s="341"/>
      <c r="R899" s="339"/>
      <c r="S899" s="340"/>
      <c r="T899" s="339"/>
      <c r="U899" s="339"/>
      <c r="V899" s="339"/>
      <c r="W899" s="339"/>
      <c r="X899" s="339"/>
      <c r="Y899" s="339"/>
      <c r="Z899" s="339"/>
    </row>
    <row r="900" spans="1:26" ht="15.75" customHeight="1">
      <c r="A900" s="339"/>
      <c r="B900" s="339"/>
      <c r="C900" s="339"/>
      <c r="D900" s="339"/>
      <c r="E900" s="339"/>
      <c r="F900" s="339"/>
      <c r="G900" s="339"/>
      <c r="H900" s="339"/>
      <c r="I900" s="341"/>
      <c r="J900" s="341"/>
      <c r="K900" s="340"/>
      <c r="L900" s="339"/>
      <c r="M900" s="341"/>
      <c r="N900" s="341"/>
      <c r="O900" s="340"/>
      <c r="P900" s="339"/>
      <c r="Q900" s="341"/>
      <c r="R900" s="339"/>
      <c r="S900" s="340"/>
      <c r="T900" s="339"/>
      <c r="U900" s="339"/>
      <c r="V900" s="339"/>
      <c r="W900" s="339"/>
      <c r="X900" s="339"/>
      <c r="Y900" s="339"/>
      <c r="Z900" s="339"/>
    </row>
    <row r="901" spans="1:26" ht="15.75" customHeight="1">
      <c r="A901" s="339"/>
      <c r="B901" s="339"/>
      <c r="C901" s="339"/>
      <c r="D901" s="339"/>
      <c r="E901" s="339"/>
      <c r="F901" s="339"/>
      <c r="G901" s="339"/>
      <c r="H901" s="339"/>
      <c r="I901" s="341"/>
      <c r="J901" s="341"/>
      <c r="K901" s="340"/>
      <c r="L901" s="339"/>
      <c r="M901" s="341"/>
      <c r="N901" s="341"/>
      <c r="O901" s="340"/>
      <c r="P901" s="339"/>
      <c r="Q901" s="341"/>
      <c r="R901" s="339"/>
      <c r="S901" s="340"/>
      <c r="T901" s="339"/>
      <c r="U901" s="339"/>
      <c r="V901" s="339"/>
      <c r="W901" s="339"/>
      <c r="X901" s="339"/>
      <c r="Y901" s="339"/>
      <c r="Z901" s="339"/>
    </row>
    <row r="902" spans="1:26" ht="15.75" customHeight="1">
      <c r="A902" s="339"/>
      <c r="B902" s="339"/>
      <c r="C902" s="339"/>
      <c r="D902" s="339"/>
      <c r="E902" s="339"/>
      <c r="F902" s="339"/>
      <c r="G902" s="339"/>
      <c r="H902" s="339"/>
      <c r="I902" s="341"/>
      <c r="J902" s="341"/>
      <c r="K902" s="340"/>
      <c r="L902" s="339"/>
      <c r="M902" s="341"/>
      <c r="N902" s="341"/>
      <c r="O902" s="340"/>
      <c r="P902" s="339"/>
      <c r="Q902" s="341"/>
      <c r="R902" s="339"/>
      <c r="S902" s="340"/>
      <c r="T902" s="339"/>
      <c r="U902" s="339"/>
      <c r="V902" s="339"/>
      <c r="W902" s="339"/>
      <c r="X902" s="339"/>
      <c r="Y902" s="339"/>
      <c r="Z902" s="339"/>
    </row>
    <row r="903" spans="1:26" ht="15.75" customHeight="1">
      <c r="A903" s="339"/>
      <c r="B903" s="339"/>
      <c r="C903" s="339"/>
      <c r="D903" s="339"/>
      <c r="E903" s="339"/>
      <c r="F903" s="339"/>
      <c r="G903" s="339"/>
      <c r="H903" s="339"/>
      <c r="I903" s="341"/>
      <c r="J903" s="341"/>
      <c r="K903" s="340"/>
      <c r="L903" s="339"/>
      <c r="M903" s="341"/>
      <c r="N903" s="341"/>
      <c r="O903" s="340"/>
      <c r="P903" s="339"/>
      <c r="Q903" s="341"/>
      <c r="R903" s="339"/>
      <c r="S903" s="340"/>
      <c r="T903" s="339"/>
      <c r="U903" s="339"/>
      <c r="V903" s="339"/>
      <c r="W903" s="339"/>
      <c r="X903" s="339"/>
      <c r="Y903" s="339"/>
      <c r="Z903" s="339"/>
    </row>
    <row r="904" spans="1:26" ht="15.75" customHeight="1">
      <c r="A904" s="339"/>
      <c r="B904" s="339"/>
      <c r="C904" s="339"/>
      <c r="D904" s="339"/>
      <c r="E904" s="339"/>
      <c r="F904" s="339"/>
      <c r="G904" s="339"/>
      <c r="H904" s="339"/>
      <c r="I904" s="341"/>
      <c r="J904" s="341"/>
      <c r="K904" s="340"/>
      <c r="L904" s="339"/>
      <c r="M904" s="341"/>
      <c r="N904" s="341"/>
      <c r="O904" s="340"/>
      <c r="P904" s="339"/>
      <c r="Q904" s="341"/>
      <c r="R904" s="339"/>
      <c r="S904" s="340"/>
      <c r="T904" s="339"/>
      <c r="U904" s="339"/>
      <c r="V904" s="339"/>
      <c r="W904" s="339"/>
      <c r="X904" s="339"/>
      <c r="Y904" s="339"/>
      <c r="Z904" s="339"/>
    </row>
    <row r="905" spans="1:26" ht="15.75" customHeight="1">
      <c r="A905" s="339"/>
      <c r="B905" s="339"/>
      <c r="C905" s="339"/>
      <c r="D905" s="339"/>
      <c r="E905" s="339"/>
      <c r="F905" s="339"/>
      <c r="G905" s="339"/>
      <c r="H905" s="339"/>
      <c r="I905" s="341"/>
      <c r="J905" s="341"/>
      <c r="K905" s="340"/>
      <c r="L905" s="339"/>
      <c r="M905" s="341"/>
      <c r="N905" s="341"/>
      <c r="O905" s="340"/>
      <c r="P905" s="339"/>
      <c r="Q905" s="341"/>
      <c r="R905" s="339"/>
      <c r="S905" s="340"/>
      <c r="T905" s="339"/>
      <c r="U905" s="339"/>
      <c r="V905" s="339"/>
      <c r="W905" s="339"/>
      <c r="X905" s="339"/>
      <c r="Y905" s="339"/>
      <c r="Z905" s="339"/>
    </row>
    <row r="906" spans="1:26" ht="15.75" customHeight="1">
      <c r="A906" s="339"/>
      <c r="B906" s="339"/>
      <c r="C906" s="339"/>
      <c r="D906" s="339"/>
      <c r="E906" s="339"/>
      <c r="F906" s="339"/>
      <c r="G906" s="339"/>
      <c r="H906" s="339"/>
      <c r="I906" s="341"/>
      <c r="J906" s="341"/>
      <c r="K906" s="340"/>
      <c r="L906" s="339"/>
      <c r="M906" s="341"/>
      <c r="N906" s="341"/>
      <c r="O906" s="340"/>
      <c r="P906" s="339"/>
      <c r="Q906" s="341"/>
      <c r="R906" s="339"/>
      <c r="S906" s="340"/>
      <c r="T906" s="339"/>
      <c r="U906" s="339"/>
      <c r="V906" s="339"/>
      <c r="W906" s="339"/>
      <c r="X906" s="339"/>
      <c r="Y906" s="339"/>
      <c r="Z906" s="339"/>
    </row>
    <row r="907" spans="1:26" ht="15.75" customHeight="1">
      <c r="A907" s="339"/>
      <c r="B907" s="339"/>
      <c r="C907" s="339"/>
      <c r="D907" s="339"/>
      <c r="E907" s="339"/>
      <c r="F907" s="339"/>
      <c r="G907" s="339"/>
      <c r="H907" s="339"/>
      <c r="I907" s="341"/>
      <c r="J907" s="341"/>
      <c r="K907" s="340"/>
      <c r="L907" s="339"/>
      <c r="M907" s="341"/>
      <c r="N907" s="341"/>
      <c r="O907" s="340"/>
      <c r="P907" s="339"/>
      <c r="Q907" s="341"/>
      <c r="R907" s="339"/>
      <c r="S907" s="340"/>
      <c r="T907" s="339"/>
      <c r="U907" s="339"/>
      <c r="V907" s="339"/>
      <c r="W907" s="339"/>
      <c r="X907" s="339"/>
      <c r="Y907" s="339"/>
      <c r="Z907" s="339"/>
    </row>
    <row r="908" spans="1:26" ht="15.75" customHeight="1">
      <c r="A908" s="339"/>
      <c r="B908" s="339"/>
      <c r="C908" s="339"/>
      <c r="D908" s="339"/>
      <c r="E908" s="339"/>
      <c r="F908" s="339"/>
      <c r="G908" s="339"/>
      <c r="H908" s="339"/>
      <c r="I908" s="341"/>
      <c r="J908" s="341"/>
      <c r="K908" s="340"/>
      <c r="L908" s="339"/>
      <c r="M908" s="341"/>
      <c r="N908" s="341"/>
      <c r="O908" s="340"/>
      <c r="P908" s="339"/>
      <c r="Q908" s="341"/>
      <c r="R908" s="339"/>
      <c r="S908" s="340"/>
      <c r="T908" s="339"/>
      <c r="U908" s="339"/>
      <c r="V908" s="339"/>
      <c r="W908" s="339"/>
      <c r="X908" s="339"/>
      <c r="Y908" s="339"/>
      <c r="Z908" s="339"/>
    </row>
    <row r="909" spans="1:26" ht="15.75" customHeight="1">
      <c r="A909" s="339"/>
      <c r="B909" s="339"/>
      <c r="C909" s="339"/>
      <c r="D909" s="339"/>
      <c r="E909" s="339"/>
      <c r="F909" s="339"/>
      <c r="G909" s="339"/>
      <c r="H909" s="339"/>
      <c r="I909" s="341"/>
      <c r="J909" s="341"/>
      <c r="K909" s="340"/>
      <c r="L909" s="339"/>
      <c r="M909" s="341"/>
      <c r="N909" s="341"/>
      <c r="O909" s="340"/>
      <c r="P909" s="339"/>
      <c r="Q909" s="341"/>
      <c r="R909" s="339"/>
      <c r="S909" s="340"/>
      <c r="T909" s="339"/>
      <c r="U909" s="339"/>
      <c r="V909" s="339"/>
      <c r="W909" s="339"/>
      <c r="X909" s="339"/>
      <c r="Y909" s="339"/>
      <c r="Z909" s="339"/>
    </row>
    <row r="910" spans="1:26" ht="15.75" customHeight="1">
      <c r="A910" s="339"/>
      <c r="B910" s="339"/>
      <c r="C910" s="339"/>
      <c r="D910" s="339"/>
      <c r="E910" s="339"/>
      <c r="F910" s="339"/>
      <c r="G910" s="339"/>
      <c r="H910" s="339"/>
      <c r="I910" s="341"/>
      <c r="J910" s="341"/>
      <c r="K910" s="340"/>
      <c r="L910" s="339"/>
      <c r="M910" s="341"/>
      <c r="N910" s="341"/>
      <c r="O910" s="340"/>
      <c r="P910" s="339"/>
      <c r="Q910" s="341"/>
      <c r="R910" s="339"/>
      <c r="S910" s="340"/>
      <c r="T910" s="339"/>
      <c r="U910" s="339"/>
      <c r="V910" s="339"/>
      <c r="W910" s="339"/>
      <c r="X910" s="339"/>
      <c r="Y910" s="339"/>
      <c r="Z910" s="339"/>
    </row>
    <row r="911" spans="1:26" ht="15.75" customHeight="1">
      <c r="A911" s="339"/>
      <c r="B911" s="339"/>
      <c r="C911" s="339"/>
      <c r="D911" s="339"/>
      <c r="E911" s="339"/>
      <c r="F911" s="339"/>
      <c r="G911" s="339"/>
      <c r="H911" s="339"/>
      <c r="I911" s="341"/>
      <c r="J911" s="341"/>
      <c r="K911" s="340"/>
      <c r="L911" s="339"/>
      <c r="M911" s="341"/>
      <c r="N911" s="341"/>
      <c r="O911" s="340"/>
      <c r="P911" s="339"/>
      <c r="Q911" s="341"/>
      <c r="R911" s="339"/>
      <c r="S911" s="340"/>
      <c r="T911" s="339"/>
      <c r="U911" s="339"/>
      <c r="V911" s="339"/>
      <c r="W911" s="339"/>
      <c r="X911" s="339"/>
      <c r="Y911" s="339"/>
      <c r="Z911" s="339"/>
    </row>
    <row r="912" spans="1:26" ht="15.75" customHeight="1">
      <c r="A912" s="339"/>
      <c r="B912" s="339"/>
      <c r="C912" s="339"/>
      <c r="D912" s="339"/>
      <c r="E912" s="339"/>
      <c r="F912" s="339"/>
      <c r="G912" s="339"/>
      <c r="H912" s="339"/>
      <c r="I912" s="341"/>
      <c r="J912" s="341"/>
      <c r="K912" s="340"/>
      <c r="L912" s="339"/>
      <c r="M912" s="341"/>
      <c r="N912" s="341"/>
      <c r="O912" s="340"/>
      <c r="P912" s="339"/>
      <c r="Q912" s="341"/>
      <c r="R912" s="339"/>
      <c r="S912" s="340"/>
      <c r="T912" s="339"/>
      <c r="U912" s="339"/>
      <c r="V912" s="339"/>
      <c r="W912" s="339"/>
      <c r="X912" s="339"/>
      <c r="Y912" s="339"/>
      <c r="Z912" s="339"/>
    </row>
    <row r="913" spans="1:26" ht="15.75" customHeight="1">
      <c r="A913" s="339"/>
      <c r="B913" s="339"/>
      <c r="C913" s="339"/>
      <c r="D913" s="339"/>
      <c r="E913" s="339"/>
      <c r="F913" s="339"/>
      <c r="G913" s="339"/>
      <c r="H913" s="339"/>
      <c r="I913" s="341"/>
      <c r="J913" s="341"/>
      <c r="K913" s="340"/>
      <c r="L913" s="339"/>
      <c r="M913" s="341"/>
      <c r="N913" s="341"/>
      <c r="O913" s="340"/>
      <c r="P913" s="339"/>
      <c r="Q913" s="341"/>
      <c r="R913" s="339"/>
      <c r="S913" s="340"/>
      <c r="T913" s="339"/>
      <c r="U913" s="339"/>
      <c r="V913" s="339"/>
      <c r="W913" s="339"/>
      <c r="X913" s="339"/>
      <c r="Y913" s="339"/>
      <c r="Z913" s="339"/>
    </row>
    <row r="914" spans="1:26" ht="15.75" customHeight="1">
      <c r="A914" s="339"/>
      <c r="B914" s="339"/>
      <c r="C914" s="339"/>
      <c r="D914" s="339"/>
      <c r="E914" s="339"/>
      <c r="F914" s="339"/>
      <c r="G914" s="339"/>
      <c r="H914" s="339"/>
      <c r="I914" s="341"/>
      <c r="J914" s="341"/>
      <c r="K914" s="340"/>
      <c r="L914" s="339"/>
      <c r="M914" s="341"/>
      <c r="N914" s="341"/>
      <c r="O914" s="340"/>
      <c r="P914" s="339"/>
      <c r="Q914" s="341"/>
      <c r="R914" s="339"/>
      <c r="S914" s="340"/>
      <c r="T914" s="339"/>
      <c r="U914" s="339"/>
      <c r="V914" s="339"/>
      <c r="W914" s="339"/>
      <c r="X914" s="339"/>
      <c r="Y914" s="339"/>
      <c r="Z914" s="339"/>
    </row>
    <row r="915" spans="1:26" ht="15.75" customHeight="1">
      <c r="A915" s="339"/>
      <c r="B915" s="339"/>
      <c r="C915" s="339"/>
      <c r="D915" s="339"/>
      <c r="E915" s="339"/>
      <c r="F915" s="339"/>
      <c r="G915" s="339"/>
      <c r="H915" s="339"/>
      <c r="I915" s="341"/>
      <c r="J915" s="341"/>
      <c r="K915" s="340"/>
      <c r="L915" s="339"/>
      <c r="M915" s="341"/>
      <c r="N915" s="341"/>
      <c r="O915" s="340"/>
      <c r="P915" s="339"/>
      <c r="Q915" s="341"/>
      <c r="R915" s="339"/>
      <c r="S915" s="340"/>
      <c r="T915" s="339"/>
      <c r="U915" s="339"/>
      <c r="V915" s="339"/>
      <c r="W915" s="339"/>
      <c r="X915" s="339"/>
      <c r="Y915" s="339"/>
      <c r="Z915" s="339"/>
    </row>
    <row r="916" spans="1:26" ht="15.75" customHeight="1">
      <c r="A916" s="339"/>
      <c r="B916" s="339"/>
      <c r="C916" s="339"/>
      <c r="D916" s="339"/>
      <c r="E916" s="339"/>
      <c r="F916" s="339"/>
      <c r="G916" s="339"/>
      <c r="H916" s="339"/>
      <c r="I916" s="341"/>
      <c r="J916" s="341"/>
      <c r="K916" s="340"/>
      <c r="L916" s="339"/>
      <c r="M916" s="341"/>
      <c r="N916" s="341"/>
      <c r="O916" s="340"/>
      <c r="P916" s="339"/>
      <c r="Q916" s="341"/>
      <c r="R916" s="339"/>
      <c r="S916" s="340"/>
      <c r="T916" s="339"/>
      <c r="U916" s="339"/>
      <c r="V916" s="339"/>
      <c r="W916" s="339"/>
      <c r="X916" s="339"/>
      <c r="Y916" s="339"/>
      <c r="Z916" s="339"/>
    </row>
    <row r="917" spans="1:26" ht="15.75" customHeight="1">
      <c r="A917" s="339"/>
      <c r="B917" s="339"/>
      <c r="C917" s="339"/>
      <c r="D917" s="339"/>
      <c r="E917" s="339"/>
      <c r="F917" s="339"/>
      <c r="G917" s="339"/>
      <c r="H917" s="339"/>
      <c r="I917" s="341"/>
      <c r="J917" s="341"/>
      <c r="K917" s="340"/>
      <c r="L917" s="339"/>
      <c r="M917" s="341"/>
      <c r="N917" s="341"/>
      <c r="O917" s="340"/>
      <c r="P917" s="339"/>
      <c r="Q917" s="341"/>
      <c r="R917" s="339"/>
      <c r="S917" s="340"/>
      <c r="T917" s="339"/>
      <c r="U917" s="339"/>
      <c r="V917" s="339"/>
      <c r="W917" s="339"/>
      <c r="X917" s="339"/>
      <c r="Y917" s="339"/>
      <c r="Z917" s="339"/>
    </row>
    <row r="918" spans="1:26" ht="15.75" customHeight="1">
      <c r="A918" s="339"/>
      <c r="B918" s="339"/>
      <c r="C918" s="339"/>
      <c r="D918" s="339"/>
      <c r="E918" s="339"/>
      <c r="F918" s="339"/>
      <c r="G918" s="339"/>
      <c r="H918" s="339"/>
      <c r="I918" s="341"/>
      <c r="J918" s="341"/>
      <c r="K918" s="340"/>
      <c r="L918" s="339"/>
      <c r="M918" s="341"/>
      <c r="N918" s="341"/>
      <c r="O918" s="340"/>
      <c r="P918" s="339"/>
      <c r="Q918" s="341"/>
      <c r="R918" s="339"/>
      <c r="S918" s="340"/>
      <c r="T918" s="339"/>
      <c r="U918" s="339"/>
      <c r="V918" s="339"/>
      <c r="W918" s="339"/>
      <c r="X918" s="339"/>
      <c r="Y918" s="339"/>
      <c r="Z918" s="339"/>
    </row>
    <row r="919" spans="1:26" ht="15.75" customHeight="1">
      <c r="A919" s="339"/>
      <c r="B919" s="339"/>
      <c r="C919" s="339"/>
      <c r="D919" s="339"/>
      <c r="E919" s="339"/>
      <c r="F919" s="339"/>
      <c r="G919" s="339"/>
      <c r="H919" s="339"/>
      <c r="I919" s="341"/>
      <c r="J919" s="341"/>
      <c r="K919" s="340"/>
      <c r="L919" s="339"/>
      <c r="M919" s="341"/>
      <c r="N919" s="341"/>
      <c r="O919" s="340"/>
      <c r="P919" s="339"/>
      <c r="Q919" s="341"/>
      <c r="R919" s="339"/>
      <c r="S919" s="340"/>
      <c r="T919" s="339"/>
      <c r="U919" s="339"/>
      <c r="V919" s="339"/>
      <c r="W919" s="339"/>
      <c r="X919" s="339"/>
      <c r="Y919" s="339"/>
      <c r="Z919" s="339"/>
    </row>
    <row r="920" spans="1:26" ht="15.75" customHeight="1">
      <c r="A920" s="339"/>
      <c r="B920" s="339"/>
      <c r="C920" s="339"/>
      <c r="D920" s="339"/>
      <c r="E920" s="339"/>
      <c r="F920" s="339"/>
      <c r="G920" s="339"/>
      <c r="H920" s="339"/>
      <c r="I920" s="341"/>
      <c r="J920" s="341"/>
      <c r="K920" s="340"/>
      <c r="L920" s="339"/>
      <c r="M920" s="341"/>
      <c r="N920" s="341"/>
      <c r="O920" s="340"/>
      <c r="P920" s="339"/>
      <c r="Q920" s="341"/>
      <c r="R920" s="339"/>
      <c r="S920" s="340"/>
      <c r="T920" s="339"/>
      <c r="U920" s="339"/>
      <c r="V920" s="339"/>
      <c r="W920" s="339"/>
      <c r="X920" s="339"/>
      <c r="Y920" s="339"/>
      <c r="Z920" s="339"/>
    </row>
    <row r="921" spans="1:26" ht="15.75" customHeight="1">
      <c r="A921" s="339"/>
      <c r="B921" s="339"/>
      <c r="C921" s="339"/>
      <c r="D921" s="339"/>
      <c r="E921" s="339"/>
      <c r="F921" s="339"/>
      <c r="G921" s="339"/>
      <c r="H921" s="339"/>
      <c r="I921" s="341"/>
      <c r="J921" s="341"/>
      <c r="K921" s="340"/>
      <c r="L921" s="339"/>
      <c r="M921" s="341"/>
      <c r="N921" s="341"/>
      <c r="O921" s="340"/>
      <c r="P921" s="339"/>
      <c r="Q921" s="341"/>
      <c r="R921" s="339"/>
      <c r="S921" s="340"/>
      <c r="T921" s="339"/>
      <c r="U921" s="339"/>
      <c r="V921" s="339"/>
      <c r="W921" s="339"/>
      <c r="X921" s="339"/>
      <c r="Y921" s="339"/>
      <c r="Z921" s="339"/>
    </row>
    <row r="922" spans="1:26" ht="15.75" customHeight="1">
      <c r="A922" s="339"/>
      <c r="B922" s="339"/>
      <c r="C922" s="339"/>
      <c r="D922" s="339"/>
      <c r="E922" s="339"/>
      <c r="F922" s="339"/>
      <c r="G922" s="339"/>
      <c r="H922" s="339"/>
      <c r="I922" s="341"/>
      <c r="J922" s="341"/>
      <c r="K922" s="340"/>
      <c r="L922" s="339"/>
      <c r="M922" s="341"/>
      <c r="N922" s="341"/>
      <c r="O922" s="340"/>
      <c r="P922" s="339"/>
      <c r="Q922" s="341"/>
      <c r="R922" s="339"/>
      <c r="S922" s="340"/>
      <c r="T922" s="339"/>
      <c r="U922" s="339"/>
      <c r="V922" s="339"/>
      <c r="W922" s="339"/>
      <c r="X922" s="339"/>
      <c r="Y922" s="339"/>
      <c r="Z922" s="339"/>
    </row>
    <row r="923" spans="1:26" ht="15.75" customHeight="1">
      <c r="A923" s="339"/>
      <c r="B923" s="339"/>
      <c r="C923" s="339"/>
      <c r="D923" s="339"/>
      <c r="E923" s="339"/>
      <c r="F923" s="339"/>
      <c r="G923" s="339"/>
      <c r="H923" s="339"/>
      <c r="I923" s="341"/>
      <c r="J923" s="341"/>
      <c r="K923" s="340"/>
      <c r="L923" s="339"/>
      <c r="M923" s="341"/>
      <c r="N923" s="341"/>
      <c r="O923" s="340"/>
      <c r="P923" s="339"/>
      <c r="Q923" s="341"/>
      <c r="R923" s="339"/>
      <c r="S923" s="340"/>
      <c r="T923" s="339"/>
      <c r="U923" s="339"/>
      <c r="V923" s="339"/>
      <c r="W923" s="339"/>
      <c r="X923" s="339"/>
      <c r="Y923" s="339"/>
      <c r="Z923" s="339"/>
    </row>
    <row r="924" spans="1:26" ht="15.75" customHeight="1">
      <c r="A924" s="339"/>
      <c r="B924" s="339"/>
      <c r="C924" s="339"/>
      <c r="D924" s="339"/>
      <c r="E924" s="339"/>
      <c r="F924" s="339"/>
      <c r="G924" s="339"/>
      <c r="H924" s="339"/>
      <c r="I924" s="341"/>
      <c r="J924" s="341"/>
      <c r="K924" s="340"/>
      <c r="L924" s="339"/>
      <c r="M924" s="341"/>
      <c r="N924" s="341"/>
      <c r="O924" s="340"/>
      <c r="P924" s="339"/>
      <c r="Q924" s="341"/>
      <c r="R924" s="339"/>
      <c r="S924" s="340"/>
      <c r="T924" s="339"/>
      <c r="U924" s="339"/>
      <c r="V924" s="339"/>
      <c r="W924" s="339"/>
      <c r="X924" s="339"/>
      <c r="Y924" s="339"/>
      <c r="Z924" s="339"/>
    </row>
    <row r="925" spans="1:26" ht="15.75" customHeight="1">
      <c r="A925" s="339"/>
      <c r="B925" s="339"/>
      <c r="C925" s="339"/>
      <c r="D925" s="339"/>
      <c r="E925" s="339"/>
      <c r="F925" s="339"/>
      <c r="G925" s="339"/>
      <c r="H925" s="339"/>
      <c r="I925" s="341"/>
      <c r="J925" s="341"/>
      <c r="K925" s="340"/>
      <c r="L925" s="339"/>
      <c r="M925" s="341"/>
      <c r="N925" s="341"/>
      <c r="O925" s="340"/>
      <c r="P925" s="339"/>
      <c r="Q925" s="341"/>
      <c r="R925" s="339"/>
      <c r="S925" s="340"/>
      <c r="T925" s="339"/>
      <c r="U925" s="339"/>
      <c r="V925" s="339"/>
      <c r="W925" s="339"/>
      <c r="X925" s="339"/>
      <c r="Y925" s="339"/>
      <c r="Z925" s="339"/>
    </row>
    <row r="926" spans="1:26" ht="15.75" customHeight="1">
      <c r="A926" s="339"/>
      <c r="B926" s="339"/>
      <c r="C926" s="339"/>
      <c r="D926" s="339"/>
      <c r="E926" s="339"/>
      <c r="F926" s="339"/>
      <c r="G926" s="339"/>
      <c r="H926" s="339"/>
      <c r="I926" s="341"/>
      <c r="J926" s="341"/>
      <c r="K926" s="340"/>
      <c r="L926" s="339"/>
      <c r="M926" s="341"/>
      <c r="N926" s="341"/>
      <c r="O926" s="340"/>
      <c r="P926" s="339"/>
      <c r="Q926" s="341"/>
      <c r="R926" s="339"/>
      <c r="S926" s="340"/>
      <c r="T926" s="339"/>
      <c r="U926" s="339"/>
      <c r="V926" s="339"/>
      <c r="W926" s="339"/>
      <c r="X926" s="339"/>
      <c r="Y926" s="339"/>
      <c r="Z926" s="339"/>
    </row>
    <row r="927" spans="1:26" ht="15.75" customHeight="1">
      <c r="A927" s="339"/>
      <c r="B927" s="339"/>
      <c r="C927" s="339"/>
      <c r="D927" s="339"/>
      <c r="E927" s="339"/>
      <c r="F927" s="339"/>
      <c r="G927" s="339"/>
      <c r="H927" s="339"/>
      <c r="I927" s="341"/>
      <c r="J927" s="341"/>
      <c r="K927" s="340"/>
      <c r="L927" s="339"/>
      <c r="M927" s="341"/>
      <c r="N927" s="341"/>
      <c r="O927" s="340"/>
      <c r="P927" s="339"/>
      <c r="Q927" s="341"/>
      <c r="R927" s="339"/>
      <c r="S927" s="340"/>
      <c r="T927" s="339"/>
      <c r="U927" s="339"/>
      <c r="V927" s="339"/>
      <c r="W927" s="339"/>
      <c r="X927" s="339"/>
      <c r="Y927" s="339"/>
      <c r="Z927" s="339"/>
    </row>
    <row r="928" spans="1:26" ht="15.75" customHeight="1">
      <c r="A928" s="339"/>
      <c r="B928" s="339"/>
      <c r="C928" s="339"/>
      <c r="D928" s="339"/>
      <c r="E928" s="339"/>
      <c r="F928" s="339"/>
      <c r="G928" s="339"/>
      <c r="H928" s="339"/>
      <c r="I928" s="341"/>
      <c r="J928" s="341"/>
      <c r="K928" s="340"/>
      <c r="L928" s="339"/>
      <c r="M928" s="341"/>
      <c r="N928" s="341"/>
      <c r="O928" s="340"/>
      <c r="P928" s="339"/>
      <c r="Q928" s="341"/>
      <c r="R928" s="339"/>
      <c r="S928" s="340"/>
      <c r="T928" s="339"/>
      <c r="U928" s="339"/>
      <c r="V928" s="339"/>
      <c r="W928" s="339"/>
      <c r="X928" s="339"/>
      <c r="Y928" s="339"/>
      <c r="Z928" s="339"/>
    </row>
    <row r="929" spans="1:26" ht="15.75" customHeight="1">
      <c r="A929" s="339"/>
      <c r="B929" s="339"/>
      <c r="C929" s="339"/>
      <c r="D929" s="339"/>
      <c r="E929" s="339"/>
      <c r="F929" s="339"/>
      <c r="G929" s="339"/>
      <c r="H929" s="339"/>
      <c r="I929" s="341"/>
      <c r="J929" s="341"/>
      <c r="K929" s="340"/>
      <c r="L929" s="339"/>
      <c r="M929" s="341"/>
      <c r="N929" s="341"/>
      <c r="O929" s="340"/>
      <c r="P929" s="339"/>
      <c r="Q929" s="341"/>
      <c r="R929" s="339"/>
      <c r="S929" s="340"/>
      <c r="T929" s="339"/>
      <c r="U929" s="339"/>
      <c r="V929" s="339"/>
      <c r="W929" s="339"/>
      <c r="X929" s="339"/>
      <c r="Y929" s="339"/>
      <c r="Z929" s="339"/>
    </row>
    <row r="930" spans="1:26" ht="15.75" customHeight="1">
      <c r="A930" s="339"/>
      <c r="B930" s="339"/>
      <c r="C930" s="339"/>
      <c r="D930" s="339"/>
      <c r="E930" s="339"/>
      <c r="F930" s="339"/>
      <c r="G930" s="339"/>
      <c r="H930" s="339"/>
      <c r="I930" s="341"/>
      <c r="J930" s="341"/>
      <c r="K930" s="340"/>
      <c r="L930" s="339"/>
      <c r="M930" s="341"/>
      <c r="N930" s="341"/>
      <c r="O930" s="340"/>
      <c r="P930" s="339"/>
      <c r="Q930" s="341"/>
      <c r="R930" s="339"/>
      <c r="S930" s="340"/>
      <c r="T930" s="339"/>
      <c r="U930" s="339"/>
      <c r="V930" s="339"/>
      <c r="W930" s="339"/>
      <c r="X930" s="339"/>
      <c r="Y930" s="339"/>
      <c r="Z930" s="339"/>
    </row>
    <row r="931" spans="1:26" ht="15.75" customHeight="1">
      <c r="A931" s="339"/>
      <c r="B931" s="339"/>
      <c r="C931" s="339"/>
      <c r="D931" s="339"/>
      <c r="E931" s="339"/>
      <c r="F931" s="339"/>
      <c r="G931" s="339"/>
      <c r="H931" s="339"/>
      <c r="I931" s="341"/>
      <c r="J931" s="341"/>
      <c r="K931" s="340"/>
      <c r="L931" s="339"/>
      <c r="M931" s="341"/>
      <c r="N931" s="341"/>
      <c r="O931" s="340"/>
      <c r="P931" s="339"/>
      <c r="Q931" s="341"/>
      <c r="R931" s="339"/>
      <c r="S931" s="340"/>
      <c r="T931" s="339"/>
      <c r="U931" s="339"/>
      <c r="V931" s="339"/>
      <c r="W931" s="339"/>
      <c r="X931" s="339"/>
      <c r="Y931" s="339"/>
      <c r="Z931" s="339"/>
    </row>
    <row r="932" spans="1:26" ht="15.75" customHeight="1">
      <c r="A932" s="339"/>
      <c r="B932" s="339"/>
      <c r="C932" s="339"/>
      <c r="D932" s="339"/>
      <c r="E932" s="339"/>
      <c r="F932" s="339"/>
      <c r="G932" s="339"/>
      <c r="H932" s="339"/>
      <c r="I932" s="341"/>
      <c r="J932" s="341"/>
      <c r="K932" s="340"/>
      <c r="L932" s="339"/>
      <c r="M932" s="341"/>
      <c r="N932" s="341"/>
      <c r="O932" s="340"/>
      <c r="P932" s="339"/>
      <c r="Q932" s="341"/>
      <c r="R932" s="339"/>
      <c r="S932" s="340"/>
      <c r="T932" s="339"/>
      <c r="U932" s="339"/>
      <c r="V932" s="339"/>
      <c r="W932" s="339"/>
      <c r="X932" s="339"/>
      <c r="Y932" s="339"/>
      <c r="Z932" s="339"/>
    </row>
    <row r="933" spans="1:26" ht="15.75" customHeight="1">
      <c r="A933" s="339"/>
      <c r="B933" s="339"/>
      <c r="C933" s="339"/>
      <c r="D933" s="339"/>
      <c r="E933" s="339"/>
      <c r="F933" s="339"/>
      <c r="G933" s="339"/>
      <c r="H933" s="339"/>
      <c r="I933" s="341"/>
      <c r="J933" s="341"/>
      <c r="K933" s="340"/>
      <c r="L933" s="339"/>
      <c r="M933" s="341"/>
      <c r="N933" s="341"/>
      <c r="O933" s="340"/>
      <c r="P933" s="339"/>
      <c r="Q933" s="341"/>
      <c r="R933" s="339"/>
      <c r="S933" s="340"/>
      <c r="T933" s="339"/>
      <c r="U933" s="339"/>
      <c r="V933" s="339"/>
      <c r="W933" s="339"/>
      <c r="X933" s="339"/>
      <c r="Y933" s="339"/>
      <c r="Z933" s="339"/>
    </row>
    <row r="934" spans="1:26" ht="15.75" customHeight="1">
      <c r="A934" s="339"/>
      <c r="B934" s="339"/>
      <c r="C934" s="339"/>
      <c r="D934" s="339"/>
      <c r="E934" s="339"/>
      <c r="F934" s="339"/>
      <c r="G934" s="339"/>
      <c r="H934" s="339"/>
      <c r="I934" s="341"/>
      <c r="J934" s="341"/>
      <c r="K934" s="340"/>
      <c r="L934" s="339"/>
      <c r="M934" s="341"/>
      <c r="N934" s="341"/>
      <c r="O934" s="340"/>
      <c r="P934" s="339"/>
      <c r="Q934" s="341"/>
      <c r="R934" s="339"/>
      <c r="S934" s="340"/>
      <c r="T934" s="339"/>
      <c r="U934" s="339"/>
      <c r="V934" s="339"/>
      <c r="W934" s="339"/>
      <c r="X934" s="339"/>
      <c r="Y934" s="339"/>
      <c r="Z934" s="339"/>
    </row>
    <row r="935" spans="1:26" ht="15.75" customHeight="1">
      <c r="A935" s="339"/>
      <c r="B935" s="339"/>
      <c r="C935" s="339"/>
      <c r="D935" s="339"/>
      <c r="E935" s="339"/>
      <c r="F935" s="339"/>
      <c r="G935" s="339"/>
      <c r="H935" s="339"/>
      <c r="I935" s="341"/>
      <c r="J935" s="341"/>
      <c r="K935" s="340"/>
      <c r="L935" s="339"/>
      <c r="M935" s="341"/>
      <c r="N935" s="341"/>
      <c r="O935" s="340"/>
      <c r="P935" s="339"/>
      <c r="Q935" s="341"/>
      <c r="R935" s="339"/>
      <c r="S935" s="340"/>
      <c r="T935" s="339"/>
      <c r="U935" s="339"/>
      <c r="V935" s="339"/>
      <c r="W935" s="339"/>
      <c r="X935" s="339"/>
      <c r="Y935" s="339"/>
      <c r="Z935" s="339"/>
    </row>
    <row r="936" spans="1:26" ht="15.75" customHeight="1">
      <c r="A936" s="339"/>
      <c r="B936" s="339"/>
      <c r="C936" s="339"/>
      <c r="D936" s="339"/>
      <c r="E936" s="339"/>
      <c r="F936" s="339"/>
      <c r="G936" s="339"/>
      <c r="H936" s="339"/>
      <c r="I936" s="341"/>
      <c r="J936" s="341"/>
      <c r="K936" s="340"/>
      <c r="L936" s="339"/>
      <c r="M936" s="341"/>
      <c r="N936" s="341"/>
      <c r="O936" s="340"/>
      <c r="P936" s="339"/>
      <c r="Q936" s="341"/>
      <c r="R936" s="339"/>
      <c r="S936" s="340"/>
      <c r="T936" s="339"/>
      <c r="U936" s="339"/>
      <c r="V936" s="339"/>
      <c r="W936" s="339"/>
      <c r="X936" s="339"/>
      <c r="Y936" s="339"/>
      <c r="Z936" s="339"/>
    </row>
    <row r="937" spans="1:26" ht="15.75" customHeight="1">
      <c r="A937" s="339"/>
      <c r="B937" s="339"/>
      <c r="C937" s="339"/>
      <c r="D937" s="339"/>
      <c r="E937" s="339"/>
      <c r="F937" s="339"/>
      <c r="G937" s="339"/>
      <c r="H937" s="339"/>
      <c r="I937" s="341"/>
      <c r="J937" s="341"/>
      <c r="K937" s="340"/>
      <c r="L937" s="339"/>
      <c r="M937" s="341"/>
      <c r="N937" s="341"/>
      <c r="O937" s="340"/>
      <c r="P937" s="339"/>
      <c r="Q937" s="341"/>
      <c r="R937" s="339"/>
      <c r="S937" s="340"/>
      <c r="T937" s="339"/>
      <c r="U937" s="339"/>
      <c r="V937" s="339"/>
      <c r="W937" s="339"/>
      <c r="X937" s="339"/>
      <c r="Y937" s="339"/>
      <c r="Z937" s="339"/>
    </row>
    <row r="938" spans="1:26" ht="15.75" customHeight="1">
      <c r="A938" s="339"/>
      <c r="B938" s="339"/>
      <c r="C938" s="339"/>
      <c r="D938" s="339"/>
      <c r="E938" s="339"/>
      <c r="F938" s="339"/>
      <c r="G938" s="339"/>
      <c r="H938" s="339"/>
      <c r="I938" s="341"/>
      <c r="J938" s="341"/>
      <c r="K938" s="340"/>
      <c r="L938" s="339"/>
      <c r="M938" s="341"/>
      <c r="N938" s="341"/>
      <c r="O938" s="340"/>
      <c r="P938" s="339"/>
      <c r="Q938" s="341"/>
      <c r="R938" s="339"/>
      <c r="S938" s="340"/>
      <c r="T938" s="339"/>
      <c r="U938" s="339"/>
      <c r="V938" s="339"/>
      <c r="W938" s="339"/>
      <c r="X938" s="339"/>
      <c r="Y938" s="339"/>
      <c r="Z938" s="339"/>
    </row>
    <row r="939" spans="1:26" ht="15.75" customHeight="1">
      <c r="A939" s="339"/>
      <c r="B939" s="339"/>
      <c r="C939" s="339"/>
      <c r="D939" s="339"/>
      <c r="E939" s="339"/>
      <c r="F939" s="339"/>
      <c r="G939" s="339"/>
      <c r="H939" s="339"/>
      <c r="I939" s="341"/>
      <c r="J939" s="341"/>
      <c r="K939" s="340"/>
      <c r="L939" s="339"/>
      <c r="M939" s="341"/>
      <c r="N939" s="341"/>
      <c r="O939" s="340"/>
      <c r="P939" s="339"/>
      <c r="Q939" s="341"/>
      <c r="R939" s="339"/>
      <c r="S939" s="340"/>
      <c r="T939" s="339"/>
      <c r="U939" s="339"/>
      <c r="V939" s="339"/>
      <c r="W939" s="339"/>
      <c r="X939" s="339"/>
      <c r="Y939" s="339"/>
      <c r="Z939" s="339"/>
    </row>
    <row r="940" spans="1:26" ht="15.75" customHeight="1">
      <c r="A940" s="339"/>
      <c r="B940" s="339"/>
      <c r="C940" s="339"/>
      <c r="D940" s="339"/>
      <c r="E940" s="339"/>
      <c r="F940" s="339"/>
      <c r="G940" s="339"/>
      <c r="H940" s="339"/>
      <c r="I940" s="341"/>
      <c r="J940" s="341"/>
      <c r="K940" s="340"/>
      <c r="L940" s="339"/>
      <c r="M940" s="341"/>
      <c r="N940" s="341"/>
      <c r="O940" s="340"/>
      <c r="P940" s="339"/>
      <c r="Q940" s="341"/>
      <c r="R940" s="339"/>
      <c r="S940" s="340"/>
      <c r="T940" s="339"/>
      <c r="U940" s="339"/>
      <c r="V940" s="339"/>
      <c r="W940" s="339"/>
      <c r="X940" s="339"/>
      <c r="Y940" s="339"/>
      <c r="Z940" s="339"/>
    </row>
    <row r="941" spans="1:26" ht="15.75" customHeight="1">
      <c r="A941" s="339"/>
      <c r="B941" s="339"/>
      <c r="C941" s="339"/>
      <c r="D941" s="339"/>
      <c r="E941" s="339"/>
      <c r="F941" s="339"/>
      <c r="G941" s="339"/>
      <c r="H941" s="339"/>
      <c r="I941" s="341"/>
      <c r="J941" s="341"/>
      <c r="K941" s="340"/>
      <c r="L941" s="339"/>
      <c r="M941" s="341"/>
      <c r="N941" s="341"/>
      <c r="O941" s="340"/>
      <c r="P941" s="339"/>
      <c r="Q941" s="341"/>
      <c r="R941" s="339"/>
      <c r="S941" s="340"/>
      <c r="T941" s="339"/>
      <c r="U941" s="339"/>
      <c r="V941" s="339"/>
      <c r="W941" s="339"/>
      <c r="X941" s="339"/>
      <c r="Y941" s="339"/>
      <c r="Z941" s="339"/>
    </row>
    <row r="942" spans="1:26" ht="15.75" customHeight="1">
      <c r="A942" s="339"/>
      <c r="B942" s="339"/>
      <c r="C942" s="339"/>
      <c r="D942" s="339"/>
      <c r="E942" s="339"/>
      <c r="F942" s="339"/>
      <c r="G942" s="339"/>
      <c r="H942" s="339"/>
      <c r="I942" s="341"/>
      <c r="J942" s="341"/>
      <c r="K942" s="340"/>
      <c r="L942" s="339"/>
      <c r="M942" s="341"/>
      <c r="N942" s="341"/>
      <c r="O942" s="340"/>
      <c r="P942" s="339"/>
      <c r="Q942" s="341"/>
      <c r="R942" s="339"/>
      <c r="S942" s="340"/>
      <c r="T942" s="339"/>
      <c r="U942" s="339"/>
      <c r="V942" s="339"/>
      <c r="W942" s="339"/>
      <c r="X942" s="339"/>
      <c r="Y942" s="339"/>
      <c r="Z942" s="339"/>
    </row>
    <row r="943" spans="1:26" ht="15.75" customHeight="1">
      <c r="A943" s="339"/>
      <c r="B943" s="339"/>
      <c r="C943" s="339"/>
      <c r="D943" s="339"/>
      <c r="E943" s="339"/>
      <c r="F943" s="339"/>
      <c r="G943" s="339"/>
      <c r="H943" s="339"/>
      <c r="I943" s="341"/>
      <c r="J943" s="341"/>
      <c r="K943" s="340"/>
      <c r="L943" s="339"/>
      <c r="M943" s="341"/>
      <c r="N943" s="341"/>
      <c r="O943" s="340"/>
      <c r="P943" s="339"/>
      <c r="Q943" s="341"/>
      <c r="R943" s="339"/>
      <c r="S943" s="340"/>
      <c r="T943" s="339"/>
      <c r="U943" s="339"/>
      <c r="V943" s="339"/>
      <c r="W943" s="339"/>
      <c r="X943" s="339"/>
      <c r="Y943" s="339"/>
      <c r="Z943" s="339"/>
    </row>
    <row r="944" spans="1:26" ht="15.75" customHeight="1">
      <c r="A944" s="339"/>
      <c r="B944" s="339"/>
      <c r="C944" s="339"/>
      <c r="D944" s="339"/>
      <c r="E944" s="339"/>
      <c r="F944" s="339"/>
      <c r="G944" s="339"/>
      <c r="H944" s="339"/>
      <c r="I944" s="341"/>
      <c r="J944" s="341"/>
      <c r="K944" s="340"/>
      <c r="L944" s="339"/>
      <c r="M944" s="341"/>
      <c r="N944" s="341"/>
      <c r="O944" s="340"/>
      <c r="P944" s="339"/>
      <c r="Q944" s="341"/>
      <c r="R944" s="339"/>
      <c r="S944" s="340"/>
      <c r="T944" s="339"/>
      <c r="U944" s="339"/>
      <c r="V944" s="339"/>
      <c r="W944" s="339"/>
      <c r="X944" s="339"/>
      <c r="Y944" s="339"/>
      <c r="Z944" s="339"/>
    </row>
    <row r="945" spans="1:26" ht="15.75" customHeight="1">
      <c r="A945" s="339"/>
      <c r="B945" s="339"/>
      <c r="C945" s="339"/>
      <c r="D945" s="339"/>
      <c r="E945" s="339"/>
      <c r="F945" s="339"/>
      <c r="G945" s="339"/>
      <c r="H945" s="339"/>
      <c r="I945" s="341"/>
      <c r="J945" s="341"/>
      <c r="K945" s="340"/>
      <c r="L945" s="339"/>
      <c r="M945" s="341"/>
      <c r="N945" s="341"/>
      <c r="O945" s="340"/>
      <c r="P945" s="339"/>
      <c r="Q945" s="341"/>
      <c r="R945" s="339"/>
      <c r="S945" s="340"/>
      <c r="T945" s="339"/>
      <c r="U945" s="339"/>
      <c r="V945" s="339"/>
      <c r="W945" s="339"/>
      <c r="X945" s="339"/>
      <c r="Y945" s="339"/>
      <c r="Z945" s="339"/>
    </row>
    <row r="946" spans="1:26" ht="15.75" customHeight="1">
      <c r="A946" s="339"/>
      <c r="B946" s="339"/>
      <c r="C946" s="339"/>
      <c r="D946" s="339"/>
      <c r="E946" s="339"/>
      <c r="F946" s="339"/>
      <c r="G946" s="339"/>
      <c r="H946" s="339"/>
      <c r="I946" s="341"/>
      <c r="J946" s="341"/>
      <c r="K946" s="340"/>
      <c r="L946" s="339"/>
      <c r="M946" s="341"/>
      <c r="N946" s="341"/>
      <c r="O946" s="340"/>
      <c r="P946" s="339"/>
      <c r="Q946" s="341"/>
      <c r="R946" s="339"/>
      <c r="S946" s="340"/>
      <c r="T946" s="339"/>
      <c r="U946" s="339"/>
      <c r="V946" s="339"/>
      <c r="W946" s="339"/>
      <c r="X946" s="339"/>
      <c r="Y946" s="339"/>
      <c r="Z946" s="339"/>
    </row>
    <row r="947" spans="1:26" ht="15.75" customHeight="1">
      <c r="A947" s="339"/>
      <c r="B947" s="339"/>
      <c r="C947" s="339"/>
      <c r="D947" s="339"/>
      <c r="E947" s="339"/>
      <c r="F947" s="339"/>
      <c r="G947" s="339"/>
      <c r="H947" s="339"/>
      <c r="I947" s="341"/>
      <c r="J947" s="341"/>
      <c r="K947" s="340"/>
      <c r="L947" s="339"/>
      <c r="M947" s="341"/>
      <c r="N947" s="341"/>
      <c r="O947" s="340"/>
      <c r="P947" s="339"/>
      <c r="Q947" s="341"/>
      <c r="R947" s="339"/>
      <c r="S947" s="340"/>
      <c r="T947" s="339"/>
      <c r="U947" s="339"/>
      <c r="V947" s="339"/>
      <c r="W947" s="339"/>
      <c r="X947" s="339"/>
      <c r="Y947" s="339"/>
      <c r="Z947" s="339"/>
    </row>
    <row r="948" spans="1:26" ht="15.75" customHeight="1">
      <c r="A948" s="339"/>
      <c r="B948" s="339"/>
      <c r="C948" s="339"/>
      <c r="D948" s="339"/>
      <c r="E948" s="339"/>
      <c r="F948" s="339"/>
      <c r="G948" s="339"/>
      <c r="H948" s="339"/>
      <c r="I948" s="341"/>
      <c r="J948" s="341"/>
      <c r="K948" s="340"/>
      <c r="L948" s="339"/>
      <c r="M948" s="341"/>
      <c r="N948" s="341"/>
      <c r="O948" s="340"/>
      <c r="P948" s="339"/>
      <c r="Q948" s="341"/>
      <c r="R948" s="339"/>
      <c r="S948" s="340"/>
      <c r="T948" s="339"/>
      <c r="U948" s="339"/>
      <c r="V948" s="339"/>
      <c r="W948" s="339"/>
      <c r="X948" s="339"/>
      <c r="Y948" s="339"/>
      <c r="Z948" s="339"/>
    </row>
    <row r="949" spans="1:26" ht="15.75" customHeight="1">
      <c r="A949" s="339"/>
      <c r="B949" s="339"/>
      <c r="C949" s="339"/>
      <c r="D949" s="339"/>
      <c r="E949" s="339"/>
      <c r="F949" s="339"/>
      <c r="G949" s="339"/>
      <c r="H949" s="339"/>
      <c r="I949" s="341"/>
      <c r="J949" s="341"/>
      <c r="K949" s="340"/>
      <c r="L949" s="339"/>
      <c r="M949" s="341"/>
      <c r="N949" s="341"/>
      <c r="O949" s="340"/>
      <c r="P949" s="339"/>
      <c r="Q949" s="341"/>
      <c r="R949" s="339"/>
      <c r="S949" s="340"/>
      <c r="T949" s="339"/>
      <c r="U949" s="339"/>
      <c r="V949" s="339"/>
      <c r="W949" s="339"/>
      <c r="X949" s="339"/>
      <c r="Y949" s="339"/>
      <c r="Z949" s="339"/>
    </row>
    <row r="950" spans="1:26" ht="15.75" customHeight="1">
      <c r="A950" s="339"/>
      <c r="B950" s="339"/>
      <c r="C950" s="339"/>
      <c r="D950" s="339"/>
      <c r="E950" s="339"/>
      <c r="F950" s="339"/>
      <c r="G950" s="339"/>
      <c r="H950" s="339"/>
      <c r="I950" s="341"/>
      <c r="J950" s="341"/>
      <c r="K950" s="340"/>
      <c r="L950" s="339"/>
      <c r="M950" s="341"/>
      <c r="N950" s="341"/>
      <c r="O950" s="340"/>
      <c r="P950" s="339"/>
      <c r="Q950" s="341"/>
      <c r="R950" s="339"/>
      <c r="S950" s="340"/>
      <c r="T950" s="339"/>
      <c r="U950" s="339"/>
      <c r="V950" s="339"/>
      <c r="W950" s="339"/>
      <c r="X950" s="339"/>
      <c r="Y950" s="339"/>
      <c r="Z950" s="339"/>
    </row>
    <row r="951" spans="1:26" ht="15.75" customHeight="1">
      <c r="A951" s="339"/>
      <c r="B951" s="339"/>
      <c r="C951" s="339"/>
      <c r="D951" s="339"/>
      <c r="E951" s="339"/>
      <c r="F951" s="339"/>
      <c r="G951" s="339"/>
      <c r="H951" s="339"/>
      <c r="I951" s="341"/>
      <c r="J951" s="341"/>
      <c r="K951" s="340"/>
      <c r="L951" s="339"/>
      <c r="M951" s="341"/>
      <c r="N951" s="341"/>
      <c r="O951" s="340"/>
      <c r="P951" s="339"/>
      <c r="Q951" s="341"/>
      <c r="R951" s="339"/>
      <c r="S951" s="340"/>
      <c r="T951" s="339"/>
      <c r="U951" s="339"/>
      <c r="V951" s="339"/>
      <c r="W951" s="339"/>
      <c r="X951" s="339"/>
      <c r="Y951" s="339"/>
      <c r="Z951" s="339"/>
    </row>
    <row r="952" spans="1:26" ht="15.75" customHeight="1">
      <c r="A952" s="339"/>
      <c r="B952" s="339"/>
      <c r="C952" s="339"/>
      <c r="D952" s="339"/>
      <c r="E952" s="339"/>
      <c r="F952" s="339"/>
      <c r="G952" s="339"/>
      <c r="H952" s="339"/>
      <c r="I952" s="341"/>
      <c r="J952" s="341"/>
      <c r="K952" s="340"/>
      <c r="L952" s="339"/>
      <c r="M952" s="341"/>
      <c r="N952" s="341"/>
      <c r="O952" s="340"/>
      <c r="P952" s="339"/>
      <c r="Q952" s="341"/>
      <c r="R952" s="339"/>
      <c r="S952" s="340"/>
      <c r="T952" s="339"/>
      <c r="U952" s="339"/>
      <c r="V952" s="339"/>
      <c r="W952" s="339"/>
      <c r="X952" s="339"/>
      <c r="Y952" s="339"/>
      <c r="Z952" s="339"/>
    </row>
    <row r="953" spans="1:26" ht="15.75" customHeight="1">
      <c r="A953" s="339"/>
      <c r="B953" s="339"/>
      <c r="C953" s="339"/>
      <c r="D953" s="339"/>
      <c r="E953" s="339"/>
      <c r="F953" s="339"/>
      <c r="G953" s="339"/>
      <c r="H953" s="339"/>
      <c r="I953" s="341"/>
      <c r="J953" s="341"/>
      <c r="K953" s="340"/>
      <c r="L953" s="339"/>
      <c r="M953" s="341"/>
      <c r="N953" s="341"/>
      <c r="O953" s="340"/>
      <c r="P953" s="339"/>
      <c r="Q953" s="341"/>
      <c r="R953" s="339"/>
      <c r="S953" s="340"/>
      <c r="T953" s="339"/>
      <c r="U953" s="339"/>
      <c r="V953" s="339"/>
      <c r="W953" s="339"/>
      <c r="X953" s="339"/>
      <c r="Y953" s="339"/>
      <c r="Z953" s="339"/>
    </row>
    <row r="954" spans="1:26" ht="15.75" customHeight="1">
      <c r="A954" s="339"/>
      <c r="B954" s="339"/>
      <c r="C954" s="339"/>
      <c r="D954" s="339"/>
      <c r="E954" s="339"/>
      <c r="F954" s="339"/>
      <c r="G954" s="339"/>
      <c r="H954" s="339"/>
      <c r="I954" s="341"/>
      <c r="J954" s="341"/>
      <c r="K954" s="340"/>
      <c r="L954" s="339"/>
      <c r="M954" s="341"/>
      <c r="N954" s="341"/>
      <c r="O954" s="340"/>
      <c r="P954" s="339"/>
      <c r="Q954" s="341"/>
      <c r="R954" s="339"/>
      <c r="S954" s="340"/>
      <c r="T954" s="339"/>
      <c r="U954" s="339"/>
      <c r="V954" s="339"/>
      <c r="W954" s="339"/>
      <c r="X954" s="339"/>
      <c r="Y954" s="339"/>
      <c r="Z954" s="339"/>
    </row>
    <row r="955" spans="1:26" ht="15.75" customHeight="1">
      <c r="A955" s="339"/>
      <c r="B955" s="339"/>
      <c r="C955" s="339"/>
      <c r="D955" s="339"/>
      <c r="E955" s="339"/>
      <c r="F955" s="339"/>
      <c r="G955" s="339"/>
      <c r="H955" s="339"/>
      <c r="I955" s="341"/>
      <c r="J955" s="341"/>
      <c r="K955" s="340"/>
      <c r="L955" s="339"/>
      <c r="M955" s="341"/>
      <c r="N955" s="341"/>
      <c r="O955" s="340"/>
      <c r="P955" s="339"/>
      <c r="Q955" s="341"/>
      <c r="R955" s="339"/>
      <c r="S955" s="340"/>
      <c r="T955" s="339"/>
      <c r="U955" s="339"/>
      <c r="V955" s="339"/>
      <c r="W955" s="339"/>
      <c r="X955" s="339"/>
      <c r="Y955" s="339"/>
      <c r="Z955" s="339"/>
    </row>
    <row r="956" spans="1:26" ht="15.75" customHeight="1">
      <c r="A956" s="339"/>
      <c r="B956" s="339"/>
      <c r="C956" s="339"/>
      <c r="D956" s="339"/>
      <c r="E956" s="339"/>
      <c r="F956" s="339"/>
      <c r="G956" s="339"/>
      <c r="H956" s="339"/>
      <c r="I956" s="341"/>
      <c r="J956" s="341"/>
      <c r="K956" s="340"/>
      <c r="L956" s="339"/>
      <c r="M956" s="341"/>
      <c r="N956" s="341"/>
      <c r="O956" s="340"/>
      <c r="P956" s="339"/>
      <c r="Q956" s="341"/>
      <c r="R956" s="339"/>
      <c r="S956" s="340"/>
      <c r="T956" s="339"/>
      <c r="U956" s="339"/>
      <c r="V956" s="339"/>
      <c r="W956" s="339"/>
      <c r="X956" s="339"/>
      <c r="Y956" s="339"/>
      <c r="Z956" s="339"/>
    </row>
    <row r="957" spans="1:26" ht="15.75" customHeight="1">
      <c r="A957" s="339"/>
      <c r="B957" s="339"/>
      <c r="C957" s="339"/>
      <c r="D957" s="339"/>
      <c r="E957" s="339"/>
      <c r="F957" s="339"/>
      <c r="G957" s="339"/>
      <c r="H957" s="339"/>
      <c r="I957" s="341"/>
      <c r="J957" s="341"/>
      <c r="K957" s="340"/>
      <c r="L957" s="339"/>
      <c r="M957" s="341"/>
      <c r="N957" s="341"/>
      <c r="O957" s="340"/>
      <c r="P957" s="339"/>
      <c r="Q957" s="341"/>
      <c r="R957" s="339"/>
      <c r="S957" s="340"/>
      <c r="T957" s="339"/>
      <c r="U957" s="339"/>
      <c r="V957" s="339"/>
      <c r="W957" s="339"/>
      <c r="X957" s="339"/>
      <c r="Y957" s="339"/>
      <c r="Z957" s="339"/>
    </row>
    <row r="958" spans="1:26" ht="15.75" customHeight="1">
      <c r="A958" s="339"/>
      <c r="B958" s="339"/>
      <c r="C958" s="339"/>
      <c r="D958" s="339"/>
      <c r="E958" s="339"/>
      <c r="F958" s="339"/>
      <c r="G958" s="339"/>
      <c r="H958" s="339"/>
      <c r="I958" s="341"/>
      <c r="J958" s="341"/>
      <c r="K958" s="340"/>
      <c r="L958" s="339"/>
      <c r="M958" s="341"/>
      <c r="N958" s="341"/>
      <c r="O958" s="340"/>
      <c r="P958" s="339"/>
      <c r="Q958" s="341"/>
      <c r="R958" s="339"/>
      <c r="S958" s="340"/>
      <c r="T958" s="339"/>
      <c r="U958" s="339"/>
      <c r="V958" s="339"/>
      <c r="W958" s="339"/>
      <c r="X958" s="339"/>
      <c r="Y958" s="339"/>
      <c r="Z958" s="339"/>
    </row>
    <row r="959" spans="1:26" ht="15.75" customHeight="1">
      <c r="A959" s="339"/>
      <c r="B959" s="339"/>
      <c r="C959" s="339"/>
      <c r="D959" s="339"/>
      <c r="E959" s="339"/>
      <c r="F959" s="339"/>
      <c r="G959" s="339"/>
      <c r="H959" s="339"/>
      <c r="I959" s="341"/>
      <c r="J959" s="341"/>
      <c r="K959" s="340"/>
      <c r="L959" s="339"/>
      <c r="M959" s="341"/>
      <c r="N959" s="341"/>
      <c r="O959" s="340"/>
      <c r="P959" s="339"/>
      <c r="Q959" s="341"/>
      <c r="R959" s="339"/>
      <c r="S959" s="340"/>
      <c r="T959" s="339"/>
      <c r="U959" s="339"/>
      <c r="V959" s="339"/>
      <c r="W959" s="339"/>
      <c r="X959" s="339"/>
      <c r="Y959" s="339"/>
      <c r="Z959" s="339"/>
    </row>
    <row r="960" spans="1:26" ht="15.75" customHeight="1">
      <c r="A960" s="339"/>
      <c r="B960" s="339"/>
      <c r="C960" s="339"/>
      <c r="D960" s="339"/>
      <c r="E960" s="339"/>
      <c r="F960" s="339"/>
      <c r="G960" s="339"/>
      <c r="H960" s="339"/>
      <c r="I960" s="341"/>
      <c r="J960" s="341"/>
      <c r="K960" s="340"/>
      <c r="L960" s="339"/>
      <c r="M960" s="341"/>
      <c r="N960" s="341"/>
      <c r="O960" s="340"/>
      <c r="P960" s="339"/>
      <c r="Q960" s="341"/>
      <c r="R960" s="339"/>
      <c r="S960" s="340"/>
      <c r="T960" s="339"/>
      <c r="U960" s="339"/>
      <c r="V960" s="339"/>
      <c r="W960" s="339"/>
      <c r="X960" s="339"/>
      <c r="Y960" s="339"/>
      <c r="Z960" s="339"/>
    </row>
    <row r="961" spans="1:26" ht="15.75" customHeight="1">
      <c r="A961" s="339"/>
      <c r="B961" s="339"/>
      <c r="C961" s="339"/>
      <c r="D961" s="339"/>
      <c r="E961" s="339"/>
      <c r="F961" s="339"/>
      <c r="G961" s="339"/>
      <c r="H961" s="339"/>
      <c r="I961" s="341"/>
      <c r="J961" s="341"/>
      <c r="K961" s="340"/>
      <c r="L961" s="339"/>
      <c r="M961" s="341"/>
      <c r="N961" s="341"/>
      <c r="O961" s="340"/>
      <c r="P961" s="339"/>
      <c r="Q961" s="341"/>
      <c r="R961" s="339"/>
      <c r="S961" s="340"/>
      <c r="T961" s="339"/>
      <c r="U961" s="339"/>
      <c r="V961" s="339"/>
      <c r="W961" s="339"/>
      <c r="X961" s="339"/>
      <c r="Y961" s="339"/>
      <c r="Z961" s="339"/>
    </row>
    <row r="962" spans="1:26" ht="15.75" customHeight="1">
      <c r="A962" s="339"/>
      <c r="B962" s="339"/>
      <c r="C962" s="339"/>
      <c r="D962" s="339"/>
      <c r="E962" s="339"/>
      <c r="F962" s="339"/>
      <c r="G962" s="339"/>
      <c r="H962" s="339"/>
      <c r="I962" s="341"/>
      <c r="J962" s="341"/>
      <c r="K962" s="340"/>
      <c r="L962" s="339"/>
      <c r="M962" s="341"/>
      <c r="N962" s="341"/>
      <c r="O962" s="340"/>
      <c r="P962" s="339"/>
      <c r="Q962" s="341"/>
      <c r="R962" s="339"/>
      <c r="S962" s="340"/>
      <c r="T962" s="339"/>
      <c r="U962" s="339"/>
      <c r="V962" s="339"/>
      <c r="W962" s="339"/>
      <c r="X962" s="339"/>
      <c r="Y962" s="339"/>
      <c r="Z962" s="339"/>
    </row>
    <row r="963" spans="1:26" ht="15.75" customHeight="1">
      <c r="A963" s="339"/>
      <c r="B963" s="339"/>
      <c r="C963" s="339"/>
      <c r="D963" s="339"/>
      <c r="E963" s="339"/>
      <c r="F963" s="339"/>
      <c r="G963" s="339"/>
      <c r="H963" s="339"/>
      <c r="I963" s="341"/>
      <c r="J963" s="341"/>
      <c r="K963" s="340"/>
      <c r="L963" s="339"/>
      <c r="M963" s="341"/>
      <c r="N963" s="341"/>
      <c r="O963" s="340"/>
      <c r="P963" s="339"/>
      <c r="Q963" s="341"/>
      <c r="R963" s="339"/>
      <c r="S963" s="340"/>
      <c r="T963" s="339"/>
      <c r="U963" s="339"/>
      <c r="V963" s="339"/>
      <c r="W963" s="339"/>
      <c r="X963" s="339"/>
      <c r="Y963" s="339"/>
      <c r="Z963" s="339"/>
    </row>
    <row r="964" spans="1:26" ht="15.75" customHeight="1">
      <c r="A964" s="339"/>
      <c r="B964" s="339"/>
      <c r="C964" s="339"/>
      <c r="D964" s="339"/>
      <c r="E964" s="339"/>
      <c r="F964" s="339"/>
      <c r="G964" s="339"/>
      <c r="H964" s="339"/>
      <c r="I964" s="341"/>
      <c r="J964" s="341"/>
      <c r="K964" s="340"/>
      <c r="L964" s="339"/>
      <c r="M964" s="341"/>
      <c r="N964" s="341"/>
      <c r="O964" s="340"/>
      <c r="P964" s="339"/>
      <c r="Q964" s="341"/>
      <c r="R964" s="339"/>
      <c r="S964" s="340"/>
      <c r="T964" s="339"/>
      <c r="U964" s="339"/>
      <c r="V964" s="339"/>
      <c r="W964" s="339"/>
      <c r="X964" s="339"/>
      <c r="Y964" s="339"/>
      <c r="Z964" s="339"/>
    </row>
    <row r="965" spans="1:26" ht="15.75" customHeight="1">
      <c r="A965" s="339"/>
      <c r="B965" s="339"/>
      <c r="C965" s="339"/>
      <c r="D965" s="339"/>
      <c r="E965" s="339"/>
      <c r="F965" s="339"/>
      <c r="G965" s="339"/>
      <c r="H965" s="339"/>
      <c r="I965" s="341"/>
      <c r="J965" s="341"/>
      <c r="K965" s="340"/>
      <c r="L965" s="339"/>
      <c r="M965" s="341"/>
      <c r="N965" s="341"/>
      <c r="O965" s="340"/>
      <c r="P965" s="339"/>
      <c r="Q965" s="341"/>
      <c r="R965" s="339"/>
      <c r="S965" s="340"/>
      <c r="T965" s="339"/>
      <c r="U965" s="339"/>
      <c r="V965" s="339"/>
      <c r="W965" s="339"/>
      <c r="X965" s="339"/>
      <c r="Y965" s="339"/>
      <c r="Z965" s="339"/>
    </row>
    <row r="966" spans="1:26" ht="15.75" customHeight="1">
      <c r="A966" s="339"/>
      <c r="B966" s="339"/>
      <c r="C966" s="339"/>
      <c r="D966" s="339"/>
      <c r="E966" s="339"/>
      <c r="F966" s="339"/>
      <c r="G966" s="339"/>
      <c r="H966" s="339"/>
      <c r="I966" s="341"/>
      <c r="J966" s="341"/>
      <c r="K966" s="340"/>
      <c r="L966" s="339"/>
      <c r="M966" s="341"/>
      <c r="N966" s="341"/>
      <c r="O966" s="340"/>
      <c r="P966" s="339"/>
      <c r="Q966" s="341"/>
      <c r="R966" s="339"/>
      <c r="S966" s="340"/>
      <c r="T966" s="339"/>
      <c r="U966" s="339"/>
      <c r="V966" s="339"/>
      <c r="W966" s="339"/>
      <c r="X966" s="339"/>
      <c r="Y966" s="339"/>
      <c r="Z966" s="339"/>
    </row>
    <row r="967" spans="1:26" ht="15.75" customHeight="1">
      <c r="A967" s="339"/>
      <c r="B967" s="339"/>
      <c r="C967" s="339"/>
      <c r="D967" s="339"/>
      <c r="E967" s="339"/>
      <c r="F967" s="339"/>
      <c r="G967" s="339"/>
      <c r="H967" s="339"/>
      <c r="I967" s="341"/>
      <c r="J967" s="341"/>
      <c r="K967" s="340"/>
      <c r="L967" s="339"/>
      <c r="M967" s="341"/>
      <c r="N967" s="341"/>
      <c r="O967" s="340"/>
      <c r="P967" s="339"/>
      <c r="Q967" s="341"/>
      <c r="R967" s="339"/>
      <c r="S967" s="340"/>
      <c r="T967" s="339"/>
      <c r="U967" s="339"/>
      <c r="V967" s="339"/>
      <c r="W967" s="339"/>
      <c r="X967" s="339"/>
      <c r="Y967" s="339"/>
      <c r="Z967" s="339"/>
    </row>
    <row r="968" spans="1:26" ht="15.75" customHeight="1">
      <c r="A968" s="339"/>
      <c r="B968" s="339"/>
      <c r="C968" s="339"/>
      <c r="D968" s="339"/>
      <c r="E968" s="339"/>
      <c r="F968" s="339"/>
      <c r="G968" s="339"/>
      <c r="H968" s="339"/>
      <c r="I968" s="341"/>
      <c r="J968" s="341"/>
      <c r="K968" s="340"/>
      <c r="L968" s="339"/>
      <c r="M968" s="341"/>
      <c r="N968" s="341"/>
      <c r="O968" s="340"/>
      <c r="P968" s="339"/>
      <c r="Q968" s="341"/>
      <c r="R968" s="339"/>
      <c r="S968" s="340"/>
      <c r="T968" s="339"/>
      <c r="U968" s="339"/>
      <c r="V968" s="339"/>
      <c r="W968" s="339"/>
      <c r="X968" s="339"/>
      <c r="Y968" s="339"/>
      <c r="Z968" s="339"/>
    </row>
    <row r="969" spans="1:26" ht="15.75" customHeight="1">
      <c r="A969" s="339"/>
      <c r="B969" s="339"/>
      <c r="C969" s="339"/>
      <c r="D969" s="339"/>
      <c r="E969" s="339"/>
      <c r="F969" s="339"/>
      <c r="G969" s="339"/>
      <c r="H969" s="339"/>
      <c r="I969" s="341"/>
      <c r="J969" s="341"/>
      <c r="K969" s="340"/>
      <c r="L969" s="339"/>
      <c r="M969" s="341"/>
      <c r="N969" s="341"/>
      <c r="O969" s="340"/>
      <c r="P969" s="339"/>
      <c r="Q969" s="341"/>
      <c r="R969" s="339"/>
      <c r="S969" s="340"/>
      <c r="T969" s="339"/>
      <c r="U969" s="339"/>
      <c r="V969" s="339"/>
      <c r="W969" s="339"/>
      <c r="X969" s="339"/>
      <c r="Y969" s="339"/>
      <c r="Z969" s="339"/>
    </row>
    <row r="970" spans="1:26" ht="15.75" customHeight="1">
      <c r="A970" s="339"/>
      <c r="B970" s="339"/>
      <c r="C970" s="339"/>
      <c r="D970" s="339"/>
      <c r="E970" s="339"/>
      <c r="F970" s="339"/>
      <c r="G970" s="339"/>
      <c r="H970" s="339"/>
      <c r="I970" s="341"/>
      <c r="J970" s="341"/>
      <c r="K970" s="340"/>
      <c r="L970" s="339"/>
      <c r="M970" s="341"/>
      <c r="N970" s="341"/>
      <c r="O970" s="340"/>
      <c r="P970" s="339"/>
      <c r="Q970" s="341"/>
      <c r="R970" s="339"/>
      <c r="S970" s="340"/>
      <c r="T970" s="339"/>
      <c r="U970" s="339"/>
      <c r="V970" s="339"/>
      <c r="W970" s="339"/>
      <c r="X970" s="339"/>
      <c r="Y970" s="339"/>
      <c r="Z970" s="339"/>
    </row>
    <row r="971" spans="1:26" ht="15.75" customHeight="1">
      <c r="A971" s="339"/>
      <c r="B971" s="339"/>
      <c r="C971" s="339"/>
      <c r="D971" s="339"/>
      <c r="E971" s="339"/>
      <c r="F971" s="339"/>
      <c r="G971" s="339"/>
      <c r="H971" s="339"/>
      <c r="I971" s="341"/>
      <c r="J971" s="341"/>
      <c r="K971" s="340"/>
      <c r="L971" s="339"/>
      <c r="M971" s="341"/>
      <c r="N971" s="341"/>
      <c r="O971" s="340"/>
      <c r="P971" s="339"/>
      <c r="Q971" s="341"/>
      <c r="R971" s="339"/>
      <c r="S971" s="340"/>
      <c r="T971" s="339"/>
      <c r="U971" s="339"/>
      <c r="V971" s="339"/>
      <c r="W971" s="339"/>
      <c r="X971" s="339"/>
      <c r="Y971" s="339"/>
      <c r="Z971" s="339"/>
    </row>
    <row r="972" spans="1:26" ht="15.75" customHeight="1">
      <c r="A972" s="339"/>
      <c r="B972" s="339"/>
      <c r="C972" s="339"/>
      <c r="D972" s="339"/>
      <c r="E972" s="339"/>
      <c r="F972" s="339"/>
      <c r="G972" s="339"/>
      <c r="H972" s="339"/>
      <c r="I972" s="341"/>
      <c r="J972" s="341"/>
      <c r="K972" s="340"/>
      <c r="L972" s="339"/>
      <c r="M972" s="341"/>
      <c r="N972" s="341"/>
      <c r="O972" s="340"/>
      <c r="P972" s="339"/>
      <c r="Q972" s="341"/>
      <c r="R972" s="339"/>
      <c r="S972" s="340"/>
      <c r="T972" s="339"/>
      <c r="U972" s="339"/>
      <c r="V972" s="339"/>
      <c r="W972" s="339"/>
      <c r="X972" s="339"/>
      <c r="Y972" s="339"/>
      <c r="Z972" s="339"/>
    </row>
    <row r="973" spans="1:26" ht="15.75" customHeight="1">
      <c r="A973" s="339"/>
      <c r="B973" s="339"/>
      <c r="C973" s="339"/>
      <c r="D973" s="339"/>
      <c r="E973" s="339"/>
      <c r="F973" s="339"/>
      <c r="G973" s="339"/>
      <c r="H973" s="339"/>
      <c r="I973" s="341"/>
      <c r="J973" s="341"/>
      <c r="K973" s="340"/>
      <c r="L973" s="339"/>
      <c r="M973" s="341"/>
      <c r="N973" s="341"/>
      <c r="O973" s="340"/>
      <c r="P973" s="339"/>
      <c r="Q973" s="341"/>
      <c r="R973" s="339"/>
      <c r="S973" s="340"/>
      <c r="T973" s="339"/>
      <c r="U973" s="339"/>
      <c r="V973" s="339"/>
      <c r="W973" s="339"/>
      <c r="X973" s="339"/>
      <c r="Y973" s="339"/>
      <c r="Z973" s="339"/>
    </row>
    <row r="974" spans="1:26" ht="15.75" customHeight="1">
      <c r="A974" s="339"/>
      <c r="B974" s="339"/>
      <c r="C974" s="339"/>
      <c r="D974" s="339"/>
      <c r="E974" s="339"/>
      <c r="F974" s="339"/>
      <c r="G974" s="339"/>
      <c r="H974" s="339"/>
      <c r="I974" s="341"/>
      <c r="J974" s="341"/>
      <c r="K974" s="340"/>
      <c r="L974" s="339"/>
      <c r="M974" s="341"/>
      <c r="N974" s="341"/>
      <c r="O974" s="340"/>
      <c r="P974" s="339"/>
      <c r="Q974" s="341"/>
      <c r="R974" s="339"/>
      <c r="S974" s="340"/>
      <c r="T974" s="339"/>
      <c r="U974" s="339"/>
      <c r="V974" s="339"/>
      <c r="W974" s="339"/>
      <c r="X974" s="339"/>
      <c r="Y974" s="339"/>
      <c r="Z974" s="339"/>
    </row>
    <row r="975" spans="1:26" ht="15.75" customHeight="1">
      <c r="A975" s="339"/>
      <c r="B975" s="339"/>
      <c r="C975" s="339"/>
      <c r="D975" s="339"/>
      <c r="E975" s="339"/>
      <c r="F975" s="339"/>
      <c r="G975" s="339"/>
      <c r="H975" s="339"/>
      <c r="I975" s="341"/>
      <c r="J975" s="341"/>
      <c r="K975" s="340"/>
      <c r="L975" s="339"/>
      <c r="M975" s="341"/>
      <c r="N975" s="341"/>
      <c r="O975" s="340"/>
      <c r="P975" s="339"/>
      <c r="Q975" s="341"/>
      <c r="R975" s="339"/>
      <c r="S975" s="340"/>
      <c r="T975" s="339"/>
      <c r="U975" s="339"/>
      <c r="V975" s="339"/>
      <c r="W975" s="339"/>
      <c r="X975" s="339"/>
      <c r="Y975" s="339"/>
      <c r="Z975" s="339"/>
    </row>
    <row r="976" spans="1:26" ht="15.75" customHeight="1">
      <c r="A976" s="339"/>
      <c r="B976" s="339"/>
      <c r="C976" s="339"/>
      <c r="D976" s="339"/>
      <c r="E976" s="339"/>
      <c r="F976" s="339"/>
      <c r="G976" s="339"/>
      <c r="H976" s="339"/>
      <c r="I976" s="341"/>
      <c r="J976" s="341"/>
      <c r="K976" s="340"/>
      <c r="L976" s="339"/>
      <c r="M976" s="341"/>
      <c r="N976" s="341"/>
      <c r="O976" s="340"/>
      <c r="P976" s="339"/>
      <c r="Q976" s="341"/>
      <c r="R976" s="339"/>
      <c r="S976" s="340"/>
      <c r="T976" s="339"/>
      <c r="U976" s="339"/>
      <c r="V976" s="339"/>
      <c r="W976" s="339"/>
      <c r="X976" s="339"/>
      <c r="Y976" s="339"/>
      <c r="Z976" s="339"/>
    </row>
    <row r="977" spans="1:26" ht="15.75" customHeight="1">
      <c r="A977" s="339"/>
      <c r="B977" s="339"/>
      <c r="C977" s="339"/>
      <c r="D977" s="339"/>
      <c r="E977" s="339"/>
      <c r="F977" s="339"/>
      <c r="G977" s="339"/>
      <c r="H977" s="339"/>
      <c r="I977" s="341"/>
      <c r="J977" s="341"/>
      <c r="K977" s="340"/>
      <c r="L977" s="339"/>
      <c r="M977" s="341"/>
      <c r="N977" s="341"/>
      <c r="O977" s="340"/>
      <c r="P977" s="339"/>
      <c r="Q977" s="341"/>
      <c r="R977" s="339"/>
      <c r="S977" s="340"/>
      <c r="T977" s="339"/>
      <c r="U977" s="339"/>
      <c r="V977" s="339"/>
      <c r="W977" s="339"/>
      <c r="X977" s="339"/>
      <c r="Y977" s="339"/>
      <c r="Z977" s="339"/>
    </row>
    <row r="978" spans="1:26" ht="15.75" customHeight="1">
      <c r="A978" s="339"/>
      <c r="B978" s="339"/>
      <c r="C978" s="339"/>
      <c r="D978" s="339"/>
      <c r="E978" s="339"/>
      <c r="F978" s="339"/>
      <c r="G978" s="339"/>
      <c r="H978" s="339"/>
      <c r="I978" s="341"/>
      <c r="J978" s="341"/>
      <c r="K978" s="340"/>
      <c r="L978" s="339"/>
      <c r="M978" s="341"/>
      <c r="N978" s="341"/>
      <c r="O978" s="340"/>
      <c r="P978" s="339"/>
      <c r="Q978" s="341"/>
      <c r="R978" s="339"/>
      <c r="S978" s="340"/>
      <c r="T978" s="339"/>
      <c r="U978" s="339"/>
      <c r="V978" s="339"/>
      <c r="W978" s="339"/>
      <c r="X978" s="339"/>
      <c r="Y978" s="339"/>
      <c r="Z978" s="339"/>
    </row>
    <row r="979" spans="1:26" ht="15.75" customHeight="1">
      <c r="A979" s="339"/>
      <c r="B979" s="339"/>
      <c r="C979" s="339"/>
      <c r="D979" s="339"/>
      <c r="E979" s="339"/>
      <c r="F979" s="339"/>
      <c r="G979" s="339"/>
      <c r="H979" s="339"/>
      <c r="I979" s="341"/>
      <c r="J979" s="341"/>
      <c r="K979" s="340"/>
      <c r="L979" s="339"/>
      <c r="M979" s="341"/>
      <c r="N979" s="341"/>
      <c r="O979" s="340"/>
      <c r="P979" s="339"/>
      <c r="Q979" s="341"/>
      <c r="R979" s="339"/>
      <c r="S979" s="340"/>
      <c r="T979" s="339"/>
      <c r="U979" s="339"/>
      <c r="V979" s="339"/>
      <c r="W979" s="339"/>
      <c r="X979" s="339"/>
      <c r="Y979" s="339"/>
      <c r="Z979" s="339"/>
    </row>
    <row r="980" spans="1:26" ht="15.75" customHeight="1">
      <c r="A980" s="339"/>
      <c r="B980" s="339"/>
      <c r="C980" s="339"/>
      <c r="D980" s="339"/>
      <c r="E980" s="339"/>
      <c r="F980" s="339"/>
      <c r="G980" s="339"/>
      <c r="H980" s="339"/>
      <c r="I980" s="341"/>
      <c r="J980" s="341"/>
      <c r="K980" s="340"/>
      <c r="L980" s="339"/>
      <c r="M980" s="341"/>
      <c r="N980" s="341"/>
      <c r="O980" s="340"/>
      <c r="P980" s="339"/>
      <c r="Q980" s="341"/>
      <c r="R980" s="339"/>
      <c r="S980" s="340"/>
      <c r="T980" s="339"/>
      <c r="U980" s="339"/>
      <c r="V980" s="339"/>
      <c r="W980" s="339"/>
      <c r="X980" s="339"/>
      <c r="Y980" s="339"/>
      <c r="Z980" s="339"/>
    </row>
    <row r="981" spans="1:26" ht="15.75" customHeight="1">
      <c r="A981" s="339"/>
      <c r="B981" s="339"/>
      <c r="C981" s="339"/>
      <c r="D981" s="339"/>
      <c r="E981" s="339"/>
      <c r="F981" s="339"/>
      <c r="G981" s="339"/>
      <c r="H981" s="339"/>
      <c r="I981" s="341"/>
      <c r="J981" s="341"/>
      <c r="K981" s="340"/>
      <c r="L981" s="339"/>
      <c r="M981" s="341"/>
      <c r="N981" s="341"/>
      <c r="O981" s="340"/>
      <c r="P981" s="339"/>
      <c r="Q981" s="341"/>
      <c r="R981" s="339"/>
      <c r="S981" s="340"/>
      <c r="T981" s="339"/>
      <c r="U981" s="339"/>
      <c r="V981" s="339"/>
      <c r="W981" s="339"/>
      <c r="X981" s="339"/>
      <c r="Y981" s="339"/>
      <c r="Z981" s="339"/>
    </row>
    <row r="982" spans="1:26" ht="15.75" customHeight="1">
      <c r="A982" s="339"/>
      <c r="B982" s="339"/>
      <c r="C982" s="339"/>
      <c r="D982" s="339"/>
      <c r="E982" s="339"/>
      <c r="F982" s="339"/>
      <c r="G982" s="339"/>
      <c r="H982" s="339"/>
      <c r="I982" s="341"/>
      <c r="J982" s="341"/>
      <c r="K982" s="340"/>
      <c r="L982" s="339"/>
      <c r="M982" s="341"/>
      <c r="N982" s="341"/>
      <c r="O982" s="340"/>
      <c r="P982" s="339"/>
      <c r="Q982" s="341"/>
      <c r="R982" s="339"/>
      <c r="S982" s="340"/>
      <c r="T982" s="339"/>
      <c r="U982" s="339"/>
      <c r="V982" s="339"/>
      <c r="W982" s="339"/>
      <c r="X982" s="339"/>
      <c r="Y982" s="339"/>
      <c r="Z982" s="339"/>
    </row>
    <row r="983" spans="1:26" ht="15.75" customHeight="1">
      <c r="A983" s="339"/>
      <c r="B983" s="339"/>
      <c r="C983" s="339"/>
      <c r="D983" s="339"/>
      <c r="E983" s="339"/>
      <c r="F983" s="339"/>
      <c r="G983" s="339"/>
      <c r="H983" s="339"/>
      <c r="I983" s="341"/>
      <c r="J983" s="341"/>
      <c r="K983" s="340"/>
      <c r="L983" s="339"/>
      <c r="M983" s="341"/>
      <c r="N983" s="341"/>
      <c r="O983" s="340"/>
      <c r="P983" s="339"/>
      <c r="Q983" s="341"/>
      <c r="R983" s="339"/>
      <c r="S983" s="340"/>
      <c r="T983" s="339"/>
      <c r="U983" s="339"/>
      <c r="V983" s="339"/>
      <c r="W983" s="339"/>
      <c r="X983" s="339"/>
      <c r="Y983" s="339"/>
      <c r="Z983" s="339"/>
    </row>
    <row r="984" spans="1:26" ht="15.75" customHeight="1">
      <c r="A984" s="339"/>
      <c r="B984" s="339"/>
      <c r="C984" s="339"/>
      <c r="D984" s="339"/>
      <c r="E984" s="339"/>
      <c r="F984" s="339"/>
      <c r="G984" s="339"/>
      <c r="H984" s="339"/>
      <c r="I984" s="341"/>
      <c r="J984" s="341"/>
      <c r="K984" s="340"/>
      <c r="L984" s="339"/>
      <c r="M984" s="341"/>
      <c r="N984" s="341"/>
      <c r="O984" s="340"/>
      <c r="P984" s="339"/>
      <c r="Q984" s="341"/>
      <c r="R984" s="339"/>
      <c r="S984" s="340"/>
      <c r="T984" s="339"/>
      <c r="U984" s="339"/>
      <c r="V984" s="339"/>
      <c r="W984" s="339"/>
      <c r="X984" s="339"/>
      <c r="Y984" s="339"/>
      <c r="Z984" s="339"/>
    </row>
    <row r="985" spans="1:26" ht="15.75" customHeight="1">
      <c r="A985" s="339"/>
      <c r="B985" s="339"/>
      <c r="C985" s="339"/>
      <c r="D985" s="339"/>
      <c r="E985" s="339"/>
      <c r="F985" s="339"/>
      <c r="G985" s="339"/>
      <c r="H985" s="339"/>
      <c r="I985" s="341"/>
      <c r="J985" s="341"/>
      <c r="K985" s="340"/>
      <c r="L985" s="339"/>
      <c r="M985" s="341"/>
      <c r="N985" s="341"/>
      <c r="O985" s="340"/>
      <c r="P985" s="339"/>
      <c r="Q985" s="341"/>
      <c r="R985" s="339"/>
      <c r="S985" s="340"/>
      <c r="T985" s="339"/>
      <c r="U985" s="339"/>
      <c r="V985" s="339"/>
      <c r="W985" s="339"/>
      <c r="X985" s="339"/>
      <c r="Y985" s="339"/>
      <c r="Z985" s="339"/>
    </row>
    <row r="986" spans="1:26" ht="15.75" customHeight="1">
      <c r="A986" s="339"/>
      <c r="B986" s="339"/>
      <c r="C986" s="339"/>
      <c r="D986" s="339"/>
      <c r="E986" s="339"/>
      <c r="F986" s="339"/>
      <c r="G986" s="339"/>
      <c r="H986" s="339"/>
      <c r="I986" s="341"/>
      <c r="J986" s="341"/>
      <c r="K986" s="340"/>
      <c r="L986" s="339"/>
      <c r="M986" s="341"/>
      <c r="N986" s="341"/>
      <c r="O986" s="340"/>
      <c r="P986" s="339"/>
      <c r="Q986" s="341"/>
      <c r="R986" s="339"/>
      <c r="S986" s="340"/>
      <c r="T986" s="339"/>
      <c r="U986" s="339"/>
      <c r="V986" s="339"/>
      <c r="W986" s="339"/>
      <c r="X986" s="339"/>
      <c r="Y986" s="339"/>
      <c r="Z986" s="339"/>
    </row>
    <row r="987" spans="1:26" ht="15.75" customHeight="1">
      <c r="A987" s="339"/>
      <c r="B987" s="339"/>
      <c r="C987" s="339"/>
      <c r="D987" s="339"/>
      <c r="E987" s="339"/>
      <c r="F987" s="339"/>
      <c r="G987" s="339"/>
      <c r="H987" s="339"/>
      <c r="I987" s="341"/>
      <c r="J987" s="341"/>
      <c r="K987" s="340"/>
      <c r="L987" s="339"/>
      <c r="M987" s="341"/>
      <c r="N987" s="341"/>
      <c r="O987" s="340"/>
      <c r="P987" s="339"/>
      <c r="Q987" s="341"/>
      <c r="R987" s="339"/>
      <c r="S987" s="340"/>
      <c r="T987" s="339"/>
      <c r="U987" s="339"/>
      <c r="V987" s="339"/>
      <c r="W987" s="339"/>
      <c r="X987" s="339"/>
      <c r="Y987" s="339"/>
      <c r="Z987" s="339"/>
    </row>
    <row r="988" spans="1:26" ht="15.75" customHeight="1">
      <c r="A988" s="339"/>
      <c r="B988" s="339"/>
      <c r="C988" s="339"/>
      <c r="D988" s="339"/>
      <c r="E988" s="339"/>
      <c r="F988" s="339"/>
      <c r="G988" s="339"/>
      <c r="H988" s="339"/>
      <c r="I988" s="341"/>
      <c r="J988" s="341"/>
      <c r="K988" s="340"/>
      <c r="L988" s="339"/>
      <c r="M988" s="341"/>
      <c r="N988" s="341"/>
      <c r="O988" s="340"/>
      <c r="P988" s="339"/>
      <c r="Q988" s="341"/>
      <c r="R988" s="339"/>
      <c r="S988" s="340"/>
      <c r="T988" s="339"/>
      <c r="U988" s="339"/>
      <c r="V988" s="339"/>
      <c r="W988" s="339"/>
      <c r="X988" s="339"/>
      <c r="Y988" s="339"/>
      <c r="Z988" s="339"/>
    </row>
    <row r="989" spans="1:26" ht="15.75" customHeight="1">
      <c r="A989" s="339"/>
      <c r="B989" s="339"/>
      <c r="C989" s="339"/>
      <c r="D989" s="339"/>
      <c r="E989" s="339"/>
      <c r="F989" s="339"/>
      <c r="G989" s="339"/>
      <c r="H989" s="339"/>
      <c r="I989" s="341"/>
      <c r="J989" s="341"/>
      <c r="K989" s="340"/>
      <c r="L989" s="339"/>
      <c r="M989" s="341"/>
      <c r="N989" s="341"/>
      <c r="O989" s="340"/>
      <c r="P989" s="339"/>
      <c r="Q989" s="341"/>
      <c r="R989" s="339"/>
      <c r="S989" s="340"/>
      <c r="T989" s="339"/>
      <c r="U989" s="339"/>
      <c r="V989" s="339"/>
      <c r="W989" s="339"/>
      <c r="X989" s="339"/>
      <c r="Y989" s="339"/>
      <c r="Z989" s="339"/>
    </row>
    <row r="990" spans="1:26" ht="15.75" customHeight="1">
      <c r="A990" s="339"/>
      <c r="B990" s="339"/>
      <c r="C990" s="339"/>
      <c r="D990" s="339"/>
      <c r="E990" s="339"/>
      <c r="F990" s="339"/>
      <c r="G990" s="339"/>
      <c r="H990" s="339"/>
      <c r="I990" s="341"/>
      <c r="J990" s="341"/>
      <c r="K990" s="340"/>
      <c r="L990" s="339"/>
      <c r="M990" s="341"/>
      <c r="N990" s="341"/>
      <c r="O990" s="340"/>
      <c r="P990" s="339"/>
      <c r="Q990" s="341"/>
      <c r="R990" s="339"/>
      <c r="S990" s="340"/>
      <c r="T990" s="339"/>
      <c r="U990" s="339"/>
      <c r="V990" s="339"/>
      <c r="W990" s="339"/>
      <c r="X990" s="339"/>
      <c r="Y990" s="339"/>
      <c r="Z990" s="339"/>
    </row>
    <row r="991" spans="1:26" ht="15.75" customHeight="1">
      <c r="A991" s="339"/>
      <c r="B991" s="339"/>
      <c r="C991" s="339"/>
      <c r="D991" s="339"/>
      <c r="E991" s="339"/>
      <c r="F991" s="339"/>
      <c r="G991" s="339"/>
      <c r="H991" s="339"/>
      <c r="I991" s="341"/>
      <c r="J991" s="341"/>
      <c r="K991" s="340"/>
      <c r="L991" s="339"/>
      <c r="M991" s="341"/>
      <c r="N991" s="341"/>
      <c r="O991" s="340"/>
      <c r="P991" s="339"/>
      <c r="Q991" s="341"/>
      <c r="R991" s="339"/>
      <c r="S991" s="340"/>
      <c r="T991" s="339"/>
      <c r="U991" s="339"/>
      <c r="V991" s="339"/>
      <c r="W991" s="339"/>
      <c r="X991" s="339"/>
      <c r="Y991" s="339"/>
      <c r="Z991" s="339"/>
    </row>
    <row r="992" spans="1:26" ht="15.75" customHeight="1">
      <c r="A992" s="339"/>
      <c r="B992" s="339"/>
      <c r="C992" s="339"/>
      <c r="D992" s="339"/>
      <c r="E992" s="339"/>
      <c r="F992" s="339"/>
      <c r="G992" s="339"/>
      <c r="H992" s="339"/>
      <c r="I992" s="341"/>
      <c r="J992" s="341"/>
      <c r="K992" s="340"/>
      <c r="L992" s="339"/>
      <c r="M992" s="341"/>
      <c r="N992" s="341"/>
      <c r="O992" s="340"/>
      <c r="P992" s="339"/>
      <c r="Q992" s="341"/>
      <c r="R992" s="339"/>
      <c r="S992" s="340"/>
      <c r="T992" s="339"/>
      <c r="U992" s="339"/>
      <c r="V992" s="339"/>
      <c r="W992" s="339"/>
      <c r="X992" s="339"/>
      <c r="Y992" s="339"/>
      <c r="Z992" s="339"/>
    </row>
    <row r="993" spans="1:26" ht="15.75" customHeight="1">
      <c r="A993" s="339"/>
      <c r="B993" s="339"/>
      <c r="C993" s="339"/>
      <c r="D993" s="339"/>
      <c r="E993" s="339"/>
      <c r="F993" s="339"/>
      <c r="G993" s="339"/>
      <c r="H993" s="339"/>
      <c r="I993" s="341"/>
      <c r="J993" s="341"/>
      <c r="K993" s="340"/>
      <c r="L993" s="339"/>
      <c r="M993" s="341"/>
      <c r="N993" s="341"/>
      <c r="O993" s="340"/>
      <c r="P993" s="339"/>
      <c r="Q993" s="341"/>
      <c r="R993" s="339"/>
      <c r="S993" s="340"/>
      <c r="T993" s="339"/>
      <c r="U993" s="339"/>
      <c r="V993" s="339"/>
      <c r="W993" s="339"/>
      <c r="X993" s="339"/>
      <c r="Y993" s="339"/>
      <c r="Z993" s="339"/>
    </row>
    <row r="994" spans="1:26" ht="15.75" customHeight="1">
      <c r="A994" s="339"/>
      <c r="B994" s="339"/>
      <c r="C994" s="339"/>
      <c r="D994" s="339"/>
      <c r="E994" s="339"/>
      <c r="F994" s="339"/>
      <c r="G994" s="339"/>
      <c r="H994" s="339"/>
      <c r="I994" s="341"/>
      <c r="J994" s="341"/>
      <c r="K994" s="340"/>
      <c r="L994" s="339"/>
      <c r="M994" s="341"/>
      <c r="N994" s="341"/>
      <c r="O994" s="340"/>
      <c r="P994" s="339"/>
      <c r="Q994" s="341"/>
      <c r="R994" s="339"/>
      <c r="S994" s="340"/>
      <c r="T994" s="339"/>
      <c r="U994" s="339"/>
      <c r="V994" s="339"/>
      <c r="W994" s="339"/>
      <c r="X994" s="339"/>
      <c r="Y994" s="339"/>
      <c r="Z994" s="339"/>
    </row>
    <row r="995" spans="1:26" ht="15.75" customHeight="1">
      <c r="A995" s="339"/>
      <c r="B995" s="339"/>
      <c r="C995" s="339"/>
      <c r="D995" s="339"/>
      <c r="E995" s="339"/>
      <c r="F995" s="339"/>
      <c r="G995" s="339"/>
      <c r="H995" s="339"/>
      <c r="I995" s="341"/>
      <c r="J995" s="341"/>
      <c r="K995" s="340"/>
      <c r="L995" s="339"/>
      <c r="M995" s="341"/>
      <c r="N995" s="341"/>
      <c r="O995" s="340"/>
      <c r="P995" s="339"/>
      <c r="Q995" s="341"/>
      <c r="R995" s="339"/>
      <c r="S995" s="340"/>
      <c r="T995" s="339"/>
      <c r="U995" s="339"/>
      <c r="V995" s="339"/>
      <c r="W995" s="339"/>
      <c r="X995" s="339"/>
      <c r="Y995" s="339"/>
      <c r="Z995" s="339"/>
    </row>
    <row r="996" spans="1:26" ht="15.75" customHeight="1">
      <c r="A996" s="339"/>
      <c r="B996" s="339"/>
      <c r="C996" s="339"/>
      <c r="D996" s="339"/>
      <c r="E996" s="339"/>
      <c r="F996" s="339"/>
      <c r="G996" s="339"/>
      <c r="H996" s="339"/>
      <c r="I996" s="341"/>
      <c r="J996" s="341"/>
      <c r="K996" s="340"/>
      <c r="L996" s="339"/>
      <c r="M996" s="341"/>
      <c r="N996" s="341"/>
      <c r="O996" s="340"/>
      <c r="P996" s="339"/>
      <c r="Q996" s="341"/>
      <c r="R996" s="339"/>
      <c r="S996" s="340"/>
      <c r="T996" s="339"/>
      <c r="U996" s="339"/>
      <c r="V996" s="339"/>
      <c r="W996" s="339"/>
      <c r="X996" s="339"/>
      <c r="Y996" s="339"/>
      <c r="Z996" s="339"/>
    </row>
    <row r="997" spans="1:26" ht="15.75" customHeight="1">
      <c r="A997" s="339"/>
      <c r="B997" s="339"/>
      <c r="C997" s="339"/>
      <c r="D997" s="339"/>
      <c r="E997" s="339"/>
      <c r="F997" s="339"/>
      <c r="G997" s="339"/>
      <c r="H997" s="339"/>
      <c r="I997" s="341"/>
      <c r="J997" s="341"/>
      <c r="K997" s="340"/>
      <c r="L997" s="339"/>
      <c r="M997" s="341"/>
      <c r="N997" s="341"/>
      <c r="O997" s="340"/>
      <c r="P997" s="339"/>
      <c r="Q997" s="341"/>
      <c r="R997" s="339"/>
      <c r="S997" s="340"/>
      <c r="T997" s="339"/>
      <c r="U997" s="339"/>
      <c r="V997" s="339"/>
      <c r="W997" s="339"/>
      <c r="X997" s="339"/>
      <c r="Y997" s="339"/>
      <c r="Z997" s="339"/>
    </row>
    <row r="998" spans="1:26" ht="15.75" customHeight="1">
      <c r="A998" s="339"/>
      <c r="B998" s="339"/>
      <c r="C998" s="339"/>
      <c r="D998" s="339"/>
      <c r="E998" s="339"/>
      <c r="F998" s="339"/>
      <c r="G998" s="339"/>
      <c r="H998" s="339"/>
      <c r="I998" s="341"/>
      <c r="J998" s="341"/>
      <c r="K998" s="340"/>
      <c r="L998" s="339"/>
      <c r="M998" s="341"/>
      <c r="N998" s="341"/>
      <c r="O998" s="340"/>
      <c r="P998" s="339"/>
      <c r="Q998" s="341"/>
      <c r="R998" s="339"/>
      <c r="S998" s="340"/>
      <c r="T998" s="339"/>
      <c r="U998" s="339"/>
      <c r="V998" s="339"/>
      <c r="W998" s="339"/>
      <c r="X998" s="339"/>
      <c r="Y998" s="339"/>
      <c r="Z998" s="339"/>
    </row>
    <row r="999" spans="1:26" ht="15.75" customHeight="1">
      <c r="A999" s="339"/>
      <c r="B999" s="339"/>
      <c r="C999" s="339"/>
      <c r="D999" s="339"/>
      <c r="E999" s="339"/>
      <c r="F999" s="339"/>
      <c r="G999" s="339"/>
      <c r="H999" s="339"/>
      <c r="I999" s="341"/>
      <c r="J999" s="341"/>
      <c r="K999" s="340"/>
      <c r="L999" s="339"/>
      <c r="M999" s="341"/>
      <c r="N999" s="341"/>
      <c r="O999" s="340"/>
      <c r="P999" s="339"/>
      <c r="Q999" s="341"/>
      <c r="R999" s="339"/>
      <c r="S999" s="340"/>
      <c r="T999" s="339"/>
      <c r="U999" s="339"/>
      <c r="V999" s="339"/>
      <c r="W999" s="339"/>
      <c r="X999" s="339"/>
      <c r="Y999" s="339"/>
      <c r="Z999" s="339"/>
    </row>
    <row r="1000" spans="1:26" ht="15.75" customHeight="1">
      <c r="A1000" s="339"/>
      <c r="B1000" s="339"/>
      <c r="C1000" s="339"/>
      <c r="D1000" s="339"/>
      <c r="E1000" s="339"/>
      <c r="F1000" s="339"/>
      <c r="G1000" s="339"/>
      <c r="H1000" s="339"/>
      <c r="I1000" s="341"/>
      <c r="J1000" s="341"/>
      <c r="K1000" s="340"/>
      <c r="L1000" s="339"/>
      <c r="M1000" s="341"/>
      <c r="N1000" s="341"/>
      <c r="O1000" s="340"/>
      <c r="P1000" s="339"/>
      <c r="Q1000" s="341"/>
      <c r="R1000" s="339"/>
      <c r="S1000" s="340"/>
      <c r="T1000" s="339"/>
      <c r="U1000" s="339"/>
      <c r="V1000" s="339"/>
      <c r="W1000" s="339"/>
      <c r="X1000" s="339"/>
      <c r="Y1000" s="339"/>
      <c r="Z1000" s="339"/>
    </row>
  </sheetData>
  <mergeCells count="22">
    <mergeCell ref="M7:O7"/>
    <mergeCell ref="Q7:S7"/>
    <mergeCell ref="A9:B9"/>
    <mergeCell ref="A106:B106"/>
    <mergeCell ref="A7:B8"/>
    <mergeCell ref="D7:D8"/>
    <mergeCell ref="F7:G7"/>
    <mergeCell ref="I7:K7"/>
    <mergeCell ref="A15:B15"/>
    <mergeCell ref="A33:B33"/>
    <mergeCell ref="A54:B54"/>
    <mergeCell ref="A76:B76"/>
    <mergeCell ref="A91:B91"/>
    <mergeCell ref="L6:O6"/>
    <mergeCell ref="P6:S6"/>
    <mergeCell ref="A2:B6"/>
    <mergeCell ref="C2:S3"/>
    <mergeCell ref="C4:G5"/>
    <mergeCell ref="H4:S5"/>
    <mergeCell ref="C6:E6"/>
    <mergeCell ref="F6:G6"/>
    <mergeCell ref="H6:K6"/>
  </mergeCells>
  <printOptions horizontalCentered="1"/>
  <pageMargins left="0.31496062992125984" right="0.31496062992125984" top="0.74803149606299213" bottom="0.74803149606299213" header="0" footer="0"/>
  <pageSetup paperSize="9" scale="49" fitToHeight="0" orientation="landscape" r:id="rId1"/>
  <headerFooter>
    <oddFooter>&amp;Cหน้า &amp;P/&amp;N</oddFooter>
  </headerFooter>
  <rowBreaks count="4" manualBreakCount="4">
    <brk id="32" max="18" man="1"/>
    <brk id="53" max="18" man="1"/>
    <brk id="75" max="18" man="1"/>
    <brk id="90" max="18" man="1"/>
  </rowBreaks>
  <colBreaks count="1" manualBreakCount="1">
    <brk id="2" max="11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D965"/>
  </sheetPr>
  <dimension ref="A1:Z1000"/>
  <sheetViews>
    <sheetView view="pageBreakPreview" topLeftCell="A58" zoomScale="60" zoomScaleNormal="100" workbookViewId="0">
      <pane xSplit="2" topLeftCell="C1" activePane="topRight" state="frozen"/>
      <selection activeCell="A91" sqref="A91:XFD114"/>
      <selection pane="topRight" activeCell="A91" sqref="A91:XFD114"/>
    </sheetView>
  </sheetViews>
  <sheetFormatPr defaultColWidth="14.44140625" defaultRowHeight="15" customHeight="1"/>
  <cols>
    <col min="1" max="1" width="7.21875" customWidth="1"/>
    <col min="2" max="2" width="32.109375" customWidth="1"/>
    <col min="3" max="3" width="16.21875" customWidth="1"/>
    <col min="4" max="4" width="11" customWidth="1"/>
    <col min="5" max="5" width="17" customWidth="1"/>
    <col min="6" max="6" width="15.77734375" customWidth="1"/>
    <col min="7" max="7" width="10" customWidth="1"/>
    <col min="8" max="8" width="13" customWidth="1"/>
    <col min="9" max="10" width="11.21875" customWidth="1"/>
    <col min="11" max="11" width="11.5546875" customWidth="1"/>
    <col min="12" max="12" width="11.109375" customWidth="1"/>
    <col min="13" max="15" width="13" customWidth="1"/>
  </cols>
  <sheetData>
    <row r="1" spans="1:26" ht="24" customHeight="1">
      <c r="A1" s="1" t="s">
        <v>341</v>
      </c>
      <c r="B1" s="236"/>
      <c r="C1" s="237"/>
      <c r="D1" s="237"/>
      <c r="E1" s="237"/>
      <c r="F1" s="237"/>
      <c r="G1" s="237"/>
      <c r="H1" s="236"/>
      <c r="I1" s="237"/>
      <c r="J1" s="236"/>
      <c r="K1" s="237"/>
      <c r="L1" s="237"/>
      <c r="M1" s="237"/>
      <c r="N1" s="237"/>
      <c r="O1" s="237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</row>
    <row r="2" spans="1:26" ht="22.5" customHeight="1">
      <c r="A2" s="774" t="s">
        <v>1</v>
      </c>
      <c r="B2" s="682"/>
      <c r="C2" s="897" t="s">
        <v>342</v>
      </c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7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</row>
    <row r="3" spans="1:26" ht="40.5" customHeight="1">
      <c r="A3" s="660"/>
      <c r="B3" s="661"/>
      <c r="C3" s="696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768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</row>
    <row r="4" spans="1:26" ht="44.25" customHeight="1">
      <c r="A4" s="660"/>
      <c r="B4" s="661"/>
      <c r="C4" s="898" t="s">
        <v>246</v>
      </c>
      <c r="D4" s="694"/>
      <c r="E4" s="694"/>
      <c r="F4" s="694"/>
      <c r="G4" s="695"/>
      <c r="H4" s="819" t="s">
        <v>343</v>
      </c>
      <c r="I4" s="694"/>
      <c r="J4" s="694"/>
      <c r="K4" s="694"/>
      <c r="L4" s="694"/>
      <c r="M4" s="694"/>
      <c r="N4" s="694"/>
      <c r="O4" s="781"/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</row>
    <row r="5" spans="1:26" ht="54.75" customHeight="1">
      <c r="A5" s="660"/>
      <c r="B5" s="661"/>
      <c r="C5" s="696"/>
      <c r="D5" s="670"/>
      <c r="E5" s="670"/>
      <c r="F5" s="670"/>
      <c r="G5" s="671"/>
      <c r="H5" s="713"/>
      <c r="I5" s="714"/>
      <c r="J5" s="714"/>
      <c r="K5" s="714"/>
      <c r="L5" s="714"/>
      <c r="M5" s="714"/>
      <c r="N5" s="714"/>
      <c r="O5" s="778"/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</row>
    <row r="6" spans="1:26" ht="56.25" customHeight="1">
      <c r="A6" s="683"/>
      <c r="B6" s="684"/>
      <c r="C6" s="827" t="s">
        <v>9</v>
      </c>
      <c r="D6" s="651"/>
      <c r="E6" s="654"/>
      <c r="F6" s="809" t="s">
        <v>11</v>
      </c>
      <c r="G6" s="691"/>
      <c r="H6" s="884" t="s">
        <v>243</v>
      </c>
      <c r="I6" s="899" t="s">
        <v>25</v>
      </c>
      <c r="J6" s="651"/>
      <c r="K6" s="651"/>
      <c r="L6" s="651"/>
      <c r="M6" s="651"/>
      <c r="N6" s="651"/>
      <c r="O6" s="654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</row>
    <row r="7" spans="1:26" ht="78" customHeight="1">
      <c r="A7" s="785" t="s">
        <v>256</v>
      </c>
      <c r="B7" s="659"/>
      <c r="C7" s="364" t="s">
        <v>150</v>
      </c>
      <c r="D7" s="811" t="s">
        <v>257</v>
      </c>
      <c r="E7" s="346" t="s">
        <v>258</v>
      </c>
      <c r="F7" s="812" t="s">
        <v>259</v>
      </c>
      <c r="G7" s="699"/>
      <c r="H7" s="759"/>
      <c r="I7" s="895" t="s">
        <v>150</v>
      </c>
      <c r="J7" s="654"/>
      <c r="K7" s="896" t="s">
        <v>344</v>
      </c>
      <c r="L7" s="654"/>
      <c r="M7" s="596" t="s">
        <v>345</v>
      </c>
      <c r="N7" s="596" t="s">
        <v>346</v>
      </c>
      <c r="O7" s="597" t="s">
        <v>347</v>
      </c>
      <c r="P7" s="344"/>
      <c r="Q7" s="344"/>
      <c r="R7" s="344"/>
      <c r="S7" s="344"/>
      <c r="T7" s="344"/>
      <c r="U7" s="344"/>
      <c r="V7" s="344"/>
      <c r="W7" s="344"/>
      <c r="X7" s="344"/>
      <c r="Y7" s="344"/>
      <c r="Z7" s="344"/>
    </row>
    <row r="8" spans="1:26" ht="36.75" customHeight="1">
      <c r="A8" s="662"/>
      <c r="B8" s="663"/>
      <c r="C8" s="375"/>
      <c r="D8" s="665"/>
      <c r="E8" s="252"/>
      <c r="F8" s="253" t="s">
        <v>26</v>
      </c>
      <c r="G8" s="253" t="s">
        <v>27</v>
      </c>
      <c r="H8" s="665"/>
      <c r="I8" s="598" t="s">
        <v>31</v>
      </c>
      <c r="J8" s="599" t="s">
        <v>27</v>
      </c>
      <c r="K8" s="381" t="s">
        <v>199</v>
      </c>
      <c r="L8" s="376" t="s">
        <v>31</v>
      </c>
      <c r="M8" s="376" t="s">
        <v>31</v>
      </c>
      <c r="N8" s="376" t="s">
        <v>31</v>
      </c>
      <c r="O8" s="376" t="s">
        <v>31</v>
      </c>
      <c r="P8" s="349"/>
      <c r="Q8" s="349"/>
      <c r="R8" s="349"/>
      <c r="S8" s="349"/>
      <c r="T8" s="349"/>
      <c r="U8" s="349"/>
      <c r="V8" s="349"/>
      <c r="W8" s="349"/>
      <c r="X8" s="349"/>
      <c r="Y8" s="349"/>
      <c r="Z8" s="349"/>
    </row>
    <row r="9" spans="1:26" ht="27" customHeight="1">
      <c r="A9" s="798" t="s">
        <v>34</v>
      </c>
      <c r="B9" s="731"/>
      <c r="C9" s="263">
        <f t="shared" ref="C9:E9" ca="1" si="0">C10+C11</f>
        <v>35378800</v>
      </c>
      <c r="D9" s="264">
        <f t="shared" ca="1" si="0"/>
        <v>0</v>
      </c>
      <c r="E9" s="265">
        <f t="shared" ca="1" si="0"/>
        <v>35378800</v>
      </c>
      <c r="F9" s="266">
        <f ca="1">+F10+F11</f>
        <v>3818225.05</v>
      </c>
      <c r="G9" s="267">
        <f t="shared" ref="G9:G114" ca="1" si="1">IF(C9&gt;0,F9*100/C9,0)</f>
        <v>10.792409719945278</v>
      </c>
      <c r="H9" s="270">
        <f t="shared" ref="H9:I9" ca="1" si="2">H10+H11</f>
        <v>136000</v>
      </c>
      <c r="I9" s="600">
        <f t="shared" ca="1" si="2"/>
        <v>150062</v>
      </c>
      <c r="J9" s="600">
        <f t="shared" ref="J9:J114" ca="1" si="3">IF(H9&gt;0,I9*100/H9,0)</f>
        <v>110.33970588235294</v>
      </c>
      <c r="K9" s="601">
        <f t="shared" ref="K9:O9" ca="1" si="4">K10+K11</f>
        <v>249</v>
      </c>
      <c r="L9" s="271">
        <f t="shared" ca="1" si="4"/>
        <v>13659</v>
      </c>
      <c r="M9" s="271">
        <f t="shared" ca="1" si="4"/>
        <v>135042</v>
      </c>
      <c r="N9" s="271">
        <f t="shared" ca="1" si="4"/>
        <v>211</v>
      </c>
      <c r="O9" s="602">
        <f t="shared" ca="1" si="4"/>
        <v>1150</v>
      </c>
      <c r="P9" s="351"/>
      <c r="Q9" s="351"/>
      <c r="R9" s="351"/>
      <c r="S9" s="351"/>
      <c r="T9" s="351"/>
      <c r="U9" s="351"/>
      <c r="V9" s="351"/>
      <c r="W9" s="351"/>
      <c r="X9" s="351"/>
      <c r="Y9" s="351"/>
      <c r="Z9" s="351"/>
    </row>
    <row r="10" spans="1:26" ht="24" customHeight="1">
      <c r="A10" s="273" t="s">
        <v>35</v>
      </c>
      <c r="B10" s="274"/>
      <c r="C10" s="275">
        <f t="shared" ref="C10:F10" ca="1" si="5">+C15+C33+C54+C76</f>
        <v>10531817</v>
      </c>
      <c r="D10" s="276">
        <f t="shared" ca="1" si="5"/>
        <v>0</v>
      </c>
      <c r="E10" s="276">
        <f t="shared" ca="1" si="5"/>
        <v>10531817</v>
      </c>
      <c r="F10" s="276">
        <f t="shared" ca="1" si="5"/>
        <v>3039822.31</v>
      </c>
      <c r="G10" s="277">
        <f t="shared" ca="1" si="1"/>
        <v>28.863227589313411</v>
      </c>
      <c r="H10" s="279">
        <f t="shared" ref="H10:I10" ca="1" si="6">+H15+H33+H54+H76</f>
        <v>136000</v>
      </c>
      <c r="I10" s="279">
        <f t="shared" ca="1" si="6"/>
        <v>150062</v>
      </c>
      <c r="J10" s="278">
        <f t="shared" ca="1" si="3"/>
        <v>110.33970588235294</v>
      </c>
      <c r="K10" s="387">
        <f t="shared" ref="K10:O10" ca="1" si="7">+K15+K33+K54+K76</f>
        <v>249</v>
      </c>
      <c r="L10" s="279">
        <f t="shared" ca="1" si="7"/>
        <v>13659</v>
      </c>
      <c r="M10" s="279">
        <f t="shared" ca="1" si="7"/>
        <v>135042</v>
      </c>
      <c r="N10" s="279">
        <f t="shared" ca="1" si="7"/>
        <v>211</v>
      </c>
      <c r="O10" s="603">
        <f t="shared" ca="1" si="7"/>
        <v>1150</v>
      </c>
      <c r="P10" s="353"/>
      <c r="Q10" s="353"/>
      <c r="R10" s="353"/>
      <c r="S10" s="353"/>
      <c r="T10" s="353"/>
      <c r="U10" s="353"/>
      <c r="V10" s="353"/>
      <c r="W10" s="353"/>
      <c r="X10" s="353"/>
      <c r="Y10" s="353"/>
      <c r="Z10" s="353"/>
    </row>
    <row r="11" spans="1:26" ht="24" customHeight="1">
      <c r="A11" s="281" t="s">
        <v>373</v>
      </c>
      <c r="B11" s="282"/>
      <c r="C11" s="283">
        <f t="shared" ref="C11:F11" ca="1" si="8">+C12+C13</f>
        <v>24846983</v>
      </c>
      <c r="D11" s="284">
        <f t="shared" ca="1" si="8"/>
        <v>0</v>
      </c>
      <c r="E11" s="284">
        <f t="shared" ca="1" si="8"/>
        <v>24846983</v>
      </c>
      <c r="F11" s="284">
        <f t="shared" ca="1" si="8"/>
        <v>778402.74</v>
      </c>
      <c r="G11" s="285">
        <f t="shared" ca="1" si="1"/>
        <v>3.1327857390170872</v>
      </c>
      <c r="H11" s="284">
        <f t="shared" ref="H11:I11" ca="1" si="9">+H12+H13</f>
        <v>0</v>
      </c>
      <c r="I11" s="284">
        <f t="shared" si="9"/>
        <v>0</v>
      </c>
      <c r="J11" s="285">
        <f t="shared" ca="1" si="3"/>
        <v>0</v>
      </c>
      <c r="K11" s="385">
        <f t="shared" ref="K11:O11" si="10">+K12+K13</f>
        <v>0</v>
      </c>
      <c r="L11" s="284">
        <f t="shared" si="10"/>
        <v>0</v>
      </c>
      <c r="M11" s="284">
        <f t="shared" si="10"/>
        <v>0</v>
      </c>
      <c r="N11" s="284">
        <f t="shared" si="10"/>
        <v>0</v>
      </c>
      <c r="O11" s="604">
        <f t="shared" si="10"/>
        <v>0</v>
      </c>
      <c r="P11" s="353"/>
      <c r="Q11" s="353"/>
      <c r="R11" s="353"/>
      <c r="S11" s="353"/>
      <c r="T11" s="353"/>
      <c r="U11" s="353"/>
      <c r="V11" s="353"/>
      <c r="W11" s="353"/>
      <c r="X11" s="353"/>
      <c r="Y11" s="353"/>
      <c r="Z11" s="353"/>
    </row>
    <row r="12" spans="1:26" ht="24" hidden="1" customHeight="1">
      <c r="A12" s="281" t="s">
        <v>36</v>
      </c>
      <c r="B12" s="282"/>
      <c r="C12" s="283">
        <f t="shared" ref="C12:F12" ca="1" si="11">+C91</f>
        <v>24846983</v>
      </c>
      <c r="D12" s="284">
        <f t="shared" ca="1" si="11"/>
        <v>0</v>
      </c>
      <c r="E12" s="284">
        <f t="shared" ca="1" si="11"/>
        <v>24846983</v>
      </c>
      <c r="F12" s="284">
        <f t="shared" ca="1" si="11"/>
        <v>778402.74</v>
      </c>
      <c r="G12" s="285">
        <f t="shared" ca="1" si="1"/>
        <v>3.1327857390170872</v>
      </c>
      <c r="H12" s="284">
        <f t="shared" ref="H12:I12" ca="1" si="12">+H91</f>
        <v>0</v>
      </c>
      <c r="I12" s="284">
        <f t="shared" si="12"/>
        <v>0</v>
      </c>
      <c r="J12" s="285">
        <f t="shared" ca="1" si="3"/>
        <v>0</v>
      </c>
      <c r="K12" s="385">
        <f t="shared" ref="K12:O12" si="13">+K91</f>
        <v>0</v>
      </c>
      <c r="L12" s="284">
        <f t="shared" si="13"/>
        <v>0</v>
      </c>
      <c r="M12" s="284">
        <f t="shared" si="13"/>
        <v>0</v>
      </c>
      <c r="N12" s="284">
        <f t="shared" si="13"/>
        <v>0</v>
      </c>
      <c r="O12" s="604">
        <f t="shared" si="13"/>
        <v>0</v>
      </c>
      <c r="P12" s="353"/>
      <c r="Q12" s="353"/>
      <c r="R12" s="353"/>
      <c r="S12" s="353"/>
      <c r="T12" s="353"/>
      <c r="U12" s="353"/>
      <c r="V12" s="353"/>
      <c r="W12" s="353"/>
      <c r="X12" s="353"/>
      <c r="Y12" s="353"/>
      <c r="Z12" s="353"/>
    </row>
    <row r="13" spans="1:26" ht="24" hidden="1" customHeight="1">
      <c r="A13" s="281" t="s">
        <v>37</v>
      </c>
      <c r="B13" s="282"/>
      <c r="C13" s="283">
        <f t="shared" ref="C13:E13" ca="1" si="14">+C106</f>
        <v>0</v>
      </c>
      <c r="D13" s="284">
        <f t="shared" ca="1" si="14"/>
        <v>0</v>
      </c>
      <c r="E13" s="284">
        <f t="shared" ca="1" si="14"/>
        <v>0</v>
      </c>
      <c r="F13" s="284"/>
      <c r="G13" s="285">
        <f t="shared" ca="1" si="1"/>
        <v>0</v>
      </c>
      <c r="H13" s="284">
        <f t="shared" ref="H13:I13" ca="1" si="15">+H106</f>
        <v>0</v>
      </c>
      <c r="I13" s="284">
        <f t="shared" si="15"/>
        <v>0</v>
      </c>
      <c r="J13" s="285">
        <f t="shared" ca="1" si="3"/>
        <v>0</v>
      </c>
      <c r="K13" s="385">
        <f t="shared" ref="K13:O13" si="16">+K106</f>
        <v>0</v>
      </c>
      <c r="L13" s="284">
        <f t="shared" si="16"/>
        <v>0</v>
      </c>
      <c r="M13" s="284">
        <f t="shared" si="16"/>
        <v>0</v>
      </c>
      <c r="N13" s="284">
        <f t="shared" si="16"/>
        <v>0</v>
      </c>
      <c r="O13" s="604">
        <f t="shared" si="16"/>
        <v>0</v>
      </c>
      <c r="P13" s="353"/>
      <c r="Q13" s="353"/>
      <c r="R13" s="353"/>
      <c r="S13" s="353"/>
      <c r="T13" s="353"/>
      <c r="U13" s="353"/>
      <c r="V13" s="353"/>
      <c r="W13" s="353"/>
      <c r="X13" s="353"/>
      <c r="Y13" s="353"/>
      <c r="Z13" s="353"/>
    </row>
    <row r="14" spans="1:26" ht="24" hidden="1" customHeight="1">
      <c r="A14" s="287" t="s">
        <v>260</v>
      </c>
      <c r="B14" s="288"/>
      <c r="C14" s="289">
        <v>0</v>
      </c>
      <c r="D14" s="290">
        <v>0</v>
      </c>
      <c r="E14" s="290">
        <v>0</v>
      </c>
      <c r="F14" s="290"/>
      <c r="G14" s="291">
        <f t="shared" si="1"/>
        <v>0</v>
      </c>
      <c r="H14" s="290">
        <v>0</v>
      </c>
      <c r="I14" s="290">
        <v>0</v>
      </c>
      <c r="J14" s="291">
        <f t="shared" si="3"/>
        <v>0</v>
      </c>
      <c r="K14" s="386">
        <v>0</v>
      </c>
      <c r="L14" s="290">
        <v>0</v>
      </c>
      <c r="M14" s="290">
        <v>0</v>
      </c>
      <c r="N14" s="290">
        <v>0</v>
      </c>
      <c r="O14" s="605">
        <v>0</v>
      </c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</row>
    <row r="15" spans="1:26" ht="21" customHeight="1">
      <c r="A15" s="799" t="s">
        <v>39</v>
      </c>
      <c r="B15" s="652"/>
      <c r="C15" s="292">
        <f t="shared" ref="C15:F15" ca="1" si="17">SUM(C16:C32)</f>
        <v>3209796</v>
      </c>
      <c r="D15" s="279">
        <f t="shared" ca="1" si="17"/>
        <v>0</v>
      </c>
      <c r="E15" s="279">
        <f t="shared" ca="1" si="17"/>
        <v>3209796</v>
      </c>
      <c r="F15" s="278">
        <f t="shared" ca="1" si="17"/>
        <v>523825.2099999999</v>
      </c>
      <c r="G15" s="278">
        <f t="shared" ca="1" si="1"/>
        <v>16.319579499756369</v>
      </c>
      <c r="H15" s="279">
        <f t="shared" ref="H15:I15" ca="1" si="18">SUM(H16:H32)</f>
        <v>32550</v>
      </c>
      <c r="I15" s="279">
        <f t="shared" ca="1" si="18"/>
        <v>32010</v>
      </c>
      <c r="J15" s="278">
        <f t="shared" ca="1" si="3"/>
        <v>98.341013824884797</v>
      </c>
      <c r="K15" s="387">
        <f t="shared" ref="K15:O15" ca="1" si="19">SUM(K16:K32)</f>
        <v>67</v>
      </c>
      <c r="L15" s="279">
        <f t="shared" ca="1" si="19"/>
        <v>3631</v>
      </c>
      <c r="M15" s="279">
        <f t="shared" ca="1" si="19"/>
        <v>27792</v>
      </c>
      <c r="N15" s="279">
        <f t="shared" ca="1" si="19"/>
        <v>42</v>
      </c>
      <c r="O15" s="603">
        <f t="shared" ca="1" si="19"/>
        <v>545</v>
      </c>
      <c r="P15" s="353"/>
      <c r="Q15" s="353"/>
      <c r="R15" s="353"/>
      <c r="S15" s="353"/>
      <c r="T15" s="353"/>
      <c r="U15" s="353"/>
      <c r="V15" s="353"/>
      <c r="W15" s="353"/>
      <c r="X15" s="353"/>
      <c r="Y15" s="353"/>
      <c r="Z15" s="353"/>
    </row>
    <row r="16" spans="1:26" ht="21" customHeight="1">
      <c r="A16" s="293">
        <v>1</v>
      </c>
      <c r="B16" s="357" t="s">
        <v>40</v>
      </c>
      <c r="C16" s="295">
        <f t="shared" ref="C16:C32" ca="1" si="20">+D16+E16</f>
        <v>395350</v>
      </c>
      <c r="D16" s="296">
        <f ca="1">IFERROR(__xludf.DUMMYFUNCTION("IMPORTRANGE(""https://docs.google.com/spreadsheets/d/1C3CXT74ZlgGe6_JY_1olB1XN4rF0dxEuIIF-xsYjHgg/edit?usp=sharing"",""งบกองทุน!EB20"")"),0)</f>
        <v>0</v>
      </c>
      <c r="E16" s="296">
        <f ca="1">IFERROR(__xludf.DUMMYFUNCTION("IMPORTRANGE(""https://docs.google.com/spreadsheets/d/1C3CXT74ZlgGe6_JY_1olB1XN4rF0dxEuIIF-xsYjHgg/edit?usp=sharing"",""งบกองทุน!EL20"")"),395350)</f>
        <v>395350</v>
      </c>
      <c r="F16" s="297">
        <f ca="1">IFERROR(__xludf.DUMMYFUNCTION("IMPORTRANGE(""https://docs.google.com/spreadsheets/d/11923uPwbBZFjjGgGUA6NLw09EwE0CqkOc4q9oUmW1yo/edit?usp=sharing"",""กำแพงเพชร!M475"")"),0)</f>
        <v>0</v>
      </c>
      <c r="G16" s="297">
        <f t="shared" ca="1" si="1"/>
        <v>0</v>
      </c>
      <c r="H16" s="296">
        <f ca="1">IFERROR(__xludf.DUMMYFUNCTION("IMPORTRANGE(""https://docs.google.com/spreadsheets/d/1C3CXT74ZlgGe6_JY_1olB1XN4rF0dxEuIIF-xsYjHgg/edit?usp=sharing"",""งบกองทุน!ED20"")"),4900)</f>
        <v>4900</v>
      </c>
      <c r="I16" s="296">
        <f t="shared" ref="I16:I32" ca="1" si="21">SUM(L16,M16,N16,O16)</f>
        <v>2353</v>
      </c>
      <c r="J16" s="297">
        <f t="shared" ca="1" si="3"/>
        <v>48.020408163265309</v>
      </c>
      <c r="K16" s="606">
        <f ca="1">IFERROR(__xludf.DUMMYFUNCTION("IMPORTRANGE(""https://docs.google.com/spreadsheets/d/11923uPwbBZFjjGgGUA6NLw09EwE0CqkOc4q9oUmW1yo/edit?usp=sharing"",""กำแพงเพชร!J470"")"),3)</f>
        <v>3</v>
      </c>
      <c r="L16" s="296">
        <f ca="1">IFERROR(__xludf.DUMMYFUNCTION("IMPORTRANGE(""https://docs.google.com/spreadsheets/d/11923uPwbBZFjjGgGUA6NLw09EwE0CqkOc4q9oUmW1yo/edit?usp=sharing"",""กำแพงเพชร!J471"")"),83)</f>
        <v>83</v>
      </c>
      <c r="M16" s="296">
        <f ca="1">IFERROR(__xludf.DUMMYFUNCTION("IMPORTRANGE(""https://docs.google.com/spreadsheets/d/11923uPwbBZFjjGgGUA6NLw09EwE0CqkOc4q9oUmW1yo/edit?usp=sharing"",""กำแพงเพชร!J472"")"),2270)</f>
        <v>2270</v>
      </c>
      <c r="N16" s="296">
        <f ca="1">IFERROR(__xludf.DUMMYFUNCTION("IMPORTRANGE(""https://docs.google.com/spreadsheets/d/11923uPwbBZFjjGgGUA6NLw09EwE0CqkOc4q9oUmW1yo/edit?usp=sharing"",""กำแพงเพชร!J473"")"),0)</f>
        <v>0</v>
      </c>
      <c r="O16" s="607">
        <f ca="1">IFERROR(__xludf.DUMMYFUNCTION("IMPORTRANGE(""https://docs.google.com/spreadsheets/d/11923uPwbBZFjjGgGUA6NLw09EwE0CqkOc4q9oUmW1yo/edit?usp=sharing"",""กำแพงเพชร!J474"")"),0)</f>
        <v>0</v>
      </c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</row>
    <row r="17" spans="1:26" ht="24" customHeight="1">
      <c r="A17" s="303">
        <v>2</v>
      </c>
      <c r="B17" s="304" t="s">
        <v>41</v>
      </c>
      <c r="C17" s="305">
        <f t="shared" ca="1" si="20"/>
        <v>359076</v>
      </c>
      <c r="D17" s="306">
        <f ca="1">IFERROR(__xludf.DUMMYFUNCTION("IMPORTRANGE(""https://docs.google.com/spreadsheets/d/1C3CXT74ZlgGe6_JY_1olB1XN4rF0dxEuIIF-xsYjHgg/edit?usp=sharing"",""งบกองทุน!EB21"")"),0)</f>
        <v>0</v>
      </c>
      <c r="E17" s="306">
        <f ca="1">IFERROR(__xludf.DUMMYFUNCTION("IMPORTRANGE(""https://docs.google.com/spreadsheets/d/1C3CXT74ZlgGe6_JY_1olB1XN4rF0dxEuIIF-xsYjHgg/edit?usp=sharing"",""งบกองทุน!EL21"")"),359076)</f>
        <v>359076</v>
      </c>
      <c r="F17" s="307">
        <f ca="1">IFERROR(__xludf.DUMMYFUNCTION("IMPORTRANGE(""https://docs.google.com/spreadsheets/d/11923uPwbBZFjjGgGUA6NLw09EwE0CqkOc4q9oUmW1yo/edit?usp=sharing"",""เชียงราย!M475"")"),71947)</f>
        <v>71947</v>
      </c>
      <c r="G17" s="307">
        <f t="shared" ca="1" si="1"/>
        <v>20.036705321436131</v>
      </c>
      <c r="H17" s="306">
        <f ca="1">IFERROR(__xludf.DUMMYFUNCTION("IMPORTRANGE(""https://docs.google.com/spreadsheets/d/1C3CXT74ZlgGe6_JY_1olB1XN4rF0dxEuIIF-xsYjHgg/edit?usp=sharing"",""งบกองทุน!ED21"")"),3400)</f>
        <v>3400</v>
      </c>
      <c r="I17" s="306">
        <f t="shared" ca="1" si="21"/>
        <v>4513</v>
      </c>
      <c r="J17" s="307">
        <f t="shared" ca="1" si="3"/>
        <v>132.73529411764707</v>
      </c>
      <c r="K17" s="608">
        <f ca="1">IFERROR(__xludf.DUMMYFUNCTION("IMPORTRANGE(""https://docs.google.com/spreadsheets/d/11923uPwbBZFjjGgGUA6NLw09EwE0CqkOc4q9oUmW1yo/edit?usp=sharing"",""เชียงราย!J470"")"),4)</f>
        <v>4</v>
      </c>
      <c r="L17" s="306">
        <f ca="1">IFERROR(__xludf.DUMMYFUNCTION("IMPORTRANGE(""https://docs.google.com/spreadsheets/d/11923uPwbBZFjjGgGUA6NLw09EwE0CqkOc4q9oUmW1yo/edit?usp=sharing"",""เชียงราย!J471"")"),239)</f>
        <v>239</v>
      </c>
      <c r="M17" s="306">
        <f ca="1">IFERROR(__xludf.DUMMYFUNCTION("IMPORTRANGE(""https://docs.google.com/spreadsheets/d/11923uPwbBZFjjGgGUA6NLw09EwE0CqkOc4q9oUmW1yo/edit?usp=sharing"",""เชียงราย!J472"")"),4255)</f>
        <v>4255</v>
      </c>
      <c r="N17" s="306">
        <f ca="1">IFERROR(__xludf.DUMMYFUNCTION("IMPORTRANGE(""https://docs.google.com/spreadsheets/d/11923uPwbBZFjjGgGUA6NLw09EwE0CqkOc4q9oUmW1yo/edit?usp=sharing"",""เชียงราย!J473"")"),7)</f>
        <v>7</v>
      </c>
      <c r="O17" s="609">
        <f ca="1">IFERROR(__xludf.DUMMYFUNCTION("IMPORTRANGE(""https://docs.google.com/spreadsheets/d/11923uPwbBZFjjGgGUA6NLw09EwE0CqkOc4q9oUmW1yo/edit?usp=sharing"",""เชียงราย!J474"")"),12)</f>
        <v>12</v>
      </c>
      <c r="P17" s="339"/>
      <c r="Q17" s="339"/>
      <c r="R17" s="339"/>
      <c r="S17" s="339"/>
      <c r="T17" s="339"/>
      <c r="U17" s="339"/>
      <c r="V17" s="339"/>
      <c r="W17" s="339"/>
      <c r="X17" s="339"/>
      <c r="Y17" s="339"/>
      <c r="Z17" s="339"/>
    </row>
    <row r="18" spans="1:26" ht="21" customHeight="1">
      <c r="A18" s="303">
        <v>3</v>
      </c>
      <c r="B18" s="304" t="s">
        <v>42</v>
      </c>
      <c r="C18" s="305">
        <f t="shared" ca="1" si="20"/>
        <v>153230</v>
      </c>
      <c r="D18" s="306">
        <f ca="1">IFERROR(__xludf.DUMMYFUNCTION("IMPORTRANGE(""https://docs.google.com/spreadsheets/d/1C3CXT74ZlgGe6_JY_1olB1XN4rF0dxEuIIF-xsYjHgg/edit?usp=sharing"",""งบกองทุน!EB22"")"),0)</f>
        <v>0</v>
      </c>
      <c r="E18" s="306">
        <f ca="1">IFERROR(__xludf.DUMMYFUNCTION("IMPORTRANGE(""https://docs.google.com/spreadsheets/d/1C3CXT74ZlgGe6_JY_1olB1XN4rF0dxEuIIF-xsYjHgg/edit?usp=sharing"",""งบกองทุน!EL22"")"),153230)</f>
        <v>153230</v>
      </c>
      <c r="F18" s="307">
        <f ca="1">IFERROR(__xludf.DUMMYFUNCTION("IMPORTRANGE(""https://docs.google.com/spreadsheets/d/11923uPwbBZFjjGgGUA6NLw09EwE0CqkOc4q9oUmW1yo/edit?usp=sharing"",""เชียงใหม่!M475"")"),10920)</f>
        <v>10920</v>
      </c>
      <c r="G18" s="307">
        <f t="shared" ca="1" si="1"/>
        <v>7.126541799908634</v>
      </c>
      <c r="H18" s="306">
        <f ca="1">IFERROR(__xludf.DUMMYFUNCTION("IMPORTRANGE(""https://docs.google.com/spreadsheets/d/1C3CXT74ZlgGe6_JY_1olB1XN4rF0dxEuIIF-xsYjHgg/edit?usp=sharing"",""งบกองทุน!ED22"")"),1000)</f>
        <v>1000</v>
      </c>
      <c r="I18" s="306">
        <f t="shared" ca="1" si="21"/>
        <v>907</v>
      </c>
      <c r="J18" s="307">
        <f t="shared" ca="1" si="3"/>
        <v>90.7</v>
      </c>
      <c r="K18" s="608">
        <f ca="1">IFERROR(__xludf.DUMMYFUNCTION("IMPORTRANGE(""https://docs.google.com/spreadsheets/d/11923uPwbBZFjjGgGUA6NLw09EwE0CqkOc4q9oUmW1yo/edit?usp=sharing"",""เชียงใหม่!J470"")"),2)</f>
        <v>2</v>
      </c>
      <c r="L18" s="306">
        <f ca="1">IFERROR(__xludf.DUMMYFUNCTION("IMPORTRANGE(""https://docs.google.com/spreadsheets/d/11923uPwbBZFjjGgGUA6NLw09EwE0CqkOc4q9oUmW1yo/edit?usp=sharing"",""เชียงใหม่!J471"")"),153)</f>
        <v>153</v>
      </c>
      <c r="M18" s="306">
        <f ca="1">IFERROR(__xludf.DUMMYFUNCTION("IMPORTRANGE(""https://docs.google.com/spreadsheets/d/11923uPwbBZFjjGgGUA6NLw09EwE0CqkOc4q9oUmW1yo/edit?usp=sharing"",""เชียงใหม่!J472"")"),725)</f>
        <v>725</v>
      </c>
      <c r="N18" s="306">
        <f ca="1">IFERROR(__xludf.DUMMYFUNCTION("IMPORTRANGE(""https://docs.google.com/spreadsheets/d/11923uPwbBZFjjGgGUA6NLw09EwE0CqkOc4q9oUmW1yo/edit?usp=sharing"",""เชียงใหม่!J473"")"),1)</f>
        <v>1</v>
      </c>
      <c r="O18" s="609">
        <f ca="1">IFERROR(__xludf.DUMMYFUNCTION("IMPORTRANGE(""https://docs.google.com/spreadsheets/d/11923uPwbBZFjjGgGUA6NLw09EwE0CqkOc4q9oUmW1yo/edit?usp=sharing"",""เชียงใหม่!J474"")"),28)</f>
        <v>28</v>
      </c>
      <c r="P18" s="339"/>
      <c r="Q18" s="339"/>
      <c r="R18" s="339"/>
      <c r="S18" s="339"/>
      <c r="T18" s="339"/>
      <c r="U18" s="339"/>
      <c r="V18" s="339"/>
      <c r="W18" s="339"/>
      <c r="X18" s="339"/>
      <c r="Y18" s="339"/>
      <c r="Z18" s="339"/>
    </row>
    <row r="19" spans="1:26" ht="24" customHeight="1">
      <c r="A19" s="303">
        <v>4</v>
      </c>
      <c r="B19" s="304" t="s">
        <v>43</v>
      </c>
      <c r="C19" s="305">
        <f t="shared" ca="1" si="20"/>
        <v>370020</v>
      </c>
      <c r="D19" s="306">
        <f ca="1">IFERROR(__xludf.DUMMYFUNCTION("IMPORTRANGE(""https://docs.google.com/spreadsheets/d/1C3CXT74ZlgGe6_JY_1olB1XN4rF0dxEuIIF-xsYjHgg/edit?usp=sharing"",""งบกองทุน!EB23"")"),0)</f>
        <v>0</v>
      </c>
      <c r="E19" s="306">
        <f ca="1">IFERROR(__xludf.DUMMYFUNCTION("IMPORTRANGE(""https://docs.google.com/spreadsheets/d/1C3CXT74ZlgGe6_JY_1olB1XN4rF0dxEuIIF-xsYjHgg/edit?usp=sharing"",""งบกองทุน!EL23"")"),370020)</f>
        <v>370020</v>
      </c>
      <c r="F19" s="307">
        <f ca="1">IFERROR(__xludf.DUMMYFUNCTION("IMPORTRANGE(""https://docs.google.com/spreadsheets/d/11923uPwbBZFjjGgGUA6NLw09EwE0CqkOc4q9oUmW1yo/edit?usp=sharing"",""ตาก!M475"")"),97050.25)</f>
        <v>97050.25</v>
      </c>
      <c r="G19" s="307">
        <f t="shared" ca="1" si="1"/>
        <v>26.22837954705151</v>
      </c>
      <c r="H19" s="306">
        <f ca="1">IFERROR(__xludf.DUMMYFUNCTION("IMPORTRANGE(""https://docs.google.com/spreadsheets/d/1C3CXT74ZlgGe6_JY_1olB1XN4rF0dxEuIIF-xsYjHgg/edit?usp=sharing"",""งบกองทุน!ED23"")"),1300)</f>
        <v>1300</v>
      </c>
      <c r="I19" s="306">
        <f t="shared" ca="1" si="21"/>
        <v>951</v>
      </c>
      <c r="J19" s="307">
        <f t="shared" ca="1" si="3"/>
        <v>73.15384615384616</v>
      </c>
      <c r="K19" s="608">
        <f ca="1">IFERROR(__xludf.DUMMYFUNCTION("IMPORTRANGE(""https://docs.google.com/spreadsheets/d/11923uPwbBZFjjGgGUA6NLw09EwE0CqkOc4q9oUmW1yo/edit?usp=sharing"",""ตาก!J470"")"),4)</f>
        <v>4</v>
      </c>
      <c r="L19" s="306">
        <f ca="1">IFERROR(__xludf.DUMMYFUNCTION("IMPORTRANGE(""https://docs.google.com/spreadsheets/d/11923uPwbBZFjjGgGUA6NLw09EwE0CqkOc4q9oUmW1yo/edit?usp=sharing"",""ตาก!J471"")"),386)</f>
        <v>386</v>
      </c>
      <c r="M19" s="306">
        <f ca="1">IFERROR(__xludf.DUMMYFUNCTION("IMPORTRANGE(""https://docs.google.com/spreadsheets/d/11923uPwbBZFjjGgGUA6NLw09EwE0CqkOc4q9oUmW1yo/edit?usp=sharing"",""ตาก!J472"")"),565)</f>
        <v>565</v>
      </c>
      <c r="N19" s="306">
        <f ca="1">IFERROR(__xludf.DUMMYFUNCTION("IMPORTRANGE(""https://docs.google.com/spreadsheets/d/11923uPwbBZFjjGgGUA6NLw09EwE0CqkOc4q9oUmW1yo/edit?usp=sharing"",""ตาก!J473"")"),0)</f>
        <v>0</v>
      </c>
      <c r="O19" s="609">
        <f ca="1">IFERROR(__xludf.DUMMYFUNCTION("IMPORTRANGE(""https://docs.google.com/spreadsheets/d/11923uPwbBZFjjGgGUA6NLw09EwE0CqkOc4q9oUmW1yo/edit?usp=sharing"",""ตาก!J474"")"),0)</f>
        <v>0</v>
      </c>
      <c r="P19" s="339"/>
      <c r="Q19" s="339"/>
      <c r="R19" s="339"/>
      <c r="S19" s="339"/>
      <c r="T19" s="339"/>
      <c r="U19" s="339"/>
      <c r="V19" s="339"/>
      <c r="W19" s="339"/>
      <c r="X19" s="339"/>
      <c r="Y19" s="339"/>
      <c r="Z19" s="339"/>
    </row>
    <row r="20" spans="1:26" ht="21" customHeight="1">
      <c r="A20" s="303">
        <v>5</v>
      </c>
      <c r="B20" s="304" t="s">
        <v>44</v>
      </c>
      <c r="C20" s="305">
        <f t="shared" ca="1" si="20"/>
        <v>0</v>
      </c>
      <c r="D20" s="306">
        <f ca="1">IFERROR(__xludf.DUMMYFUNCTION("IMPORTRANGE(""https://docs.google.com/spreadsheets/d/1C3CXT74ZlgGe6_JY_1olB1XN4rF0dxEuIIF-xsYjHgg/edit?usp=sharing"",""งบกองทุน!EB24"")"),0)</f>
        <v>0</v>
      </c>
      <c r="E20" s="306">
        <f ca="1">IFERROR(__xludf.DUMMYFUNCTION("IMPORTRANGE(""https://docs.google.com/spreadsheets/d/1C3CXT74ZlgGe6_JY_1olB1XN4rF0dxEuIIF-xsYjHgg/edit?usp=sharing"",""งบกองทุน!EL24"")"),0)</f>
        <v>0</v>
      </c>
      <c r="F20" s="307">
        <f ca="1">IFERROR(__xludf.DUMMYFUNCTION("IMPORTRANGE(""https://docs.google.com/spreadsheets/d/11923uPwbBZFjjGgGUA6NLw09EwE0CqkOc4q9oUmW1yo/edit?usp=sharing"",""นครสวรรค์!M475"")"),0)</f>
        <v>0</v>
      </c>
      <c r="G20" s="307">
        <f t="shared" ca="1" si="1"/>
        <v>0</v>
      </c>
      <c r="H20" s="306">
        <f ca="1">IFERROR(__xludf.DUMMYFUNCTION("IMPORTRANGE(""https://docs.google.com/spreadsheets/d/1C3CXT74ZlgGe6_JY_1olB1XN4rF0dxEuIIF-xsYjHgg/edit?usp=sharing"",""งบกองทุน!ED24"")"),2750)</f>
        <v>2750</v>
      </c>
      <c r="I20" s="306">
        <f t="shared" ca="1" si="21"/>
        <v>1656</v>
      </c>
      <c r="J20" s="307">
        <f t="shared" ca="1" si="3"/>
        <v>60.218181818181819</v>
      </c>
      <c r="K20" s="608">
        <f ca="1">IFERROR(__xludf.DUMMYFUNCTION("IMPORTRANGE(""https://docs.google.com/spreadsheets/d/11923uPwbBZFjjGgGUA6NLw09EwE0CqkOc4q9oUmW1yo/edit?usp=sharing"",""นครสวรรค์!J470"")"),7)</f>
        <v>7</v>
      </c>
      <c r="L20" s="306">
        <f ca="1">IFERROR(__xludf.DUMMYFUNCTION("IMPORTRANGE(""https://docs.google.com/spreadsheets/d/11923uPwbBZFjjGgGUA6NLw09EwE0CqkOc4q9oUmW1yo/edit?usp=sharing"",""นครสวรรค์!J471"")"),316)</f>
        <v>316</v>
      </c>
      <c r="M20" s="306">
        <f ca="1">IFERROR(__xludf.DUMMYFUNCTION("IMPORTRANGE(""https://docs.google.com/spreadsheets/d/11923uPwbBZFjjGgGUA6NLw09EwE0CqkOc4q9oUmW1yo/edit?usp=sharing"",""นครสวรรค์!J472"")"),1332)</f>
        <v>1332</v>
      </c>
      <c r="N20" s="306">
        <f ca="1">IFERROR(__xludf.DUMMYFUNCTION("IMPORTRANGE(""https://docs.google.com/spreadsheets/d/11923uPwbBZFjjGgGUA6NLw09EwE0CqkOc4q9oUmW1yo/edit?usp=sharing"",""นครสวรรค์!J473"")"),8)</f>
        <v>8</v>
      </c>
      <c r="O20" s="609">
        <f ca="1">IFERROR(__xludf.DUMMYFUNCTION("IMPORTRANGE(""https://docs.google.com/spreadsheets/d/11923uPwbBZFjjGgGUA6NLw09EwE0CqkOc4q9oUmW1yo/edit?usp=sharing"",""นครสวรรค์!J474"")"),0)</f>
        <v>0</v>
      </c>
      <c r="P20" s="339"/>
      <c r="Q20" s="339"/>
      <c r="R20" s="339"/>
      <c r="S20" s="339"/>
      <c r="T20" s="339"/>
      <c r="U20" s="339"/>
      <c r="V20" s="339"/>
      <c r="W20" s="339"/>
      <c r="X20" s="339"/>
      <c r="Y20" s="339"/>
      <c r="Z20" s="339"/>
    </row>
    <row r="21" spans="1:26" ht="21" customHeight="1">
      <c r="A21" s="303">
        <v>6</v>
      </c>
      <c r="B21" s="304" t="s">
        <v>45</v>
      </c>
      <c r="C21" s="305">
        <f t="shared" ca="1" si="20"/>
        <v>298470</v>
      </c>
      <c r="D21" s="306">
        <f ca="1">IFERROR(__xludf.DUMMYFUNCTION("IMPORTRANGE(""https://docs.google.com/spreadsheets/d/1C3CXT74ZlgGe6_JY_1olB1XN4rF0dxEuIIF-xsYjHgg/edit?usp=sharing"",""งบกองทุน!EB25"")"),0)</f>
        <v>0</v>
      </c>
      <c r="E21" s="306">
        <f ca="1">IFERROR(__xludf.DUMMYFUNCTION("IMPORTRANGE(""https://docs.google.com/spreadsheets/d/1C3CXT74ZlgGe6_JY_1olB1XN4rF0dxEuIIF-xsYjHgg/edit?usp=sharing"",""งบกองทุน!EL25"")"),298470)</f>
        <v>298470</v>
      </c>
      <c r="F21" s="307">
        <f ca="1">IFERROR(__xludf.DUMMYFUNCTION("IMPORTRANGE(""https://docs.google.com/spreadsheets/d/11923uPwbBZFjjGgGUA6NLw09EwE0CqkOc4q9oUmW1yo/edit?usp=sharing"",""น่าน!M475"")"),54370)</f>
        <v>54370</v>
      </c>
      <c r="G21" s="307">
        <f t="shared" ca="1" si="1"/>
        <v>18.216236137635274</v>
      </c>
      <c r="H21" s="306">
        <f ca="1">IFERROR(__xludf.DUMMYFUNCTION("IMPORTRANGE(""https://docs.google.com/spreadsheets/d/1C3CXT74ZlgGe6_JY_1olB1XN4rF0dxEuIIF-xsYjHgg/edit?usp=sharing"",""งบกองทุน!ED25"")"),2150)</f>
        <v>2150</v>
      </c>
      <c r="I21" s="306">
        <f t="shared" ca="1" si="21"/>
        <v>1137</v>
      </c>
      <c r="J21" s="307">
        <f t="shared" ca="1" si="3"/>
        <v>52.883720930232556</v>
      </c>
      <c r="K21" s="608">
        <f ca="1">IFERROR(__xludf.DUMMYFUNCTION("IMPORTRANGE(""https://docs.google.com/spreadsheets/d/11923uPwbBZFjjGgGUA6NLw09EwE0CqkOc4q9oUmW1yo/edit?usp=sharing"",""น่าน!J470"")"),3)</f>
        <v>3</v>
      </c>
      <c r="L21" s="306">
        <f ca="1">IFERROR(__xludf.DUMMYFUNCTION("IMPORTRANGE(""https://docs.google.com/spreadsheets/d/11923uPwbBZFjjGgGUA6NLw09EwE0CqkOc4q9oUmW1yo/edit?usp=sharing"",""น่าน!J471"")"),163)</f>
        <v>163</v>
      </c>
      <c r="M21" s="306">
        <f ca="1">IFERROR(__xludf.DUMMYFUNCTION("IMPORTRANGE(""https://docs.google.com/spreadsheets/d/11923uPwbBZFjjGgGUA6NLw09EwE0CqkOc4q9oUmW1yo/edit?usp=sharing"",""น่าน!J472"")"),954)</f>
        <v>954</v>
      </c>
      <c r="N21" s="306">
        <f ca="1">IFERROR(__xludf.DUMMYFUNCTION("IMPORTRANGE(""https://docs.google.com/spreadsheets/d/11923uPwbBZFjjGgGUA6NLw09EwE0CqkOc4q9oUmW1yo/edit?usp=sharing"",""น่าน!J473"")"),20)</f>
        <v>20</v>
      </c>
      <c r="O21" s="609">
        <f ca="1">IFERROR(__xludf.DUMMYFUNCTION("IMPORTRANGE(""https://docs.google.com/spreadsheets/d/11923uPwbBZFjjGgGUA6NLw09EwE0CqkOc4q9oUmW1yo/edit?usp=sharing"",""น่าน!J474"")"),0)</f>
        <v>0</v>
      </c>
      <c r="P21" s="339"/>
      <c r="Q21" s="339"/>
      <c r="R21" s="339"/>
      <c r="S21" s="339"/>
      <c r="T21" s="339"/>
      <c r="U21" s="339"/>
      <c r="V21" s="339"/>
      <c r="W21" s="339"/>
      <c r="X21" s="339"/>
      <c r="Y21" s="339"/>
      <c r="Z21" s="339"/>
    </row>
    <row r="22" spans="1:26" ht="21" customHeight="1">
      <c r="A22" s="303">
        <v>7</v>
      </c>
      <c r="B22" s="304" t="s">
        <v>46</v>
      </c>
      <c r="C22" s="305">
        <f t="shared" ca="1" si="20"/>
        <v>138840</v>
      </c>
      <c r="D22" s="306">
        <f ca="1">IFERROR(__xludf.DUMMYFUNCTION("IMPORTRANGE(""https://docs.google.com/spreadsheets/d/1C3CXT74ZlgGe6_JY_1olB1XN4rF0dxEuIIF-xsYjHgg/edit?usp=sharing"",""งบกองทุน!EB26"")"),0)</f>
        <v>0</v>
      </c>
      <c r="E22" s="306">
        <f ca="1">IFERROR(__xludf.DUMMYFUNCTION("IMPORTRANGE(""https://docs.google.com/spreadsheets/d/1C3CXT74ZlgGe6_JY_1olB1XN4rF0dxEuIIF-xsYjHgg/edit?usp=sharing"",""งบกองทุน!EL26"")"),138840)</f>
        <v>138840</v>
      </c>
      <c r="F22" s="307">
        <f ca="1">IFERROR(__xludf.DUMMYFUNCTION("IMPORTRANGE(""https://docs.google.com/spreadsheets/d/11923uPwbBZFjjGgGUA6NLw09EwE0CqkOc4q9oUmW1yo/edit?usp=sharing"",""พะเยา!M475"")"),0)</f>
        <v>0</v>
      </c>
      <c r="G22" s="307">
        <f t="shared" ca="1" si="1"/>
        <v>0</v>
      </c>
      <c r="H22" s="306">
        <f ca="1">IFERROR(__xludf.DUMMYFUNCTION("IMPORTRANGE(""https://docs.google.com/spreadsheets/d/1C3CXT74ZlgGe6_JY_1olB1XN4rF0dxEuIIF-xsYjHgg/edit?usp=sharing"",""งบกองทุน!ED26"")"),1950)</f>
        <v>1950</v>
      </c>
      <c r="I22" s="306">
        <f t="shared" ca="1" si="21"/>
        <v>1351</v>
      </c>
      <c r="J22" s="307">
        <f t="shared" ca="1" si="3"/>
        <v>69.282051282051285</v>
      </c>
      <c r="K22" s="608">
        <f ca="1">IFERROR(__xludf.DUMMYFUNCTION("IMPORTRANGE(""https://docs.google.com/spreadsheets/d/11923uPwbBZFjjGgGUA6NLw09EwE0CqkOc4q9oUmW1yo/edit?usp=sharing"",""พะเยา!J470"")"),1)</f>
        <v>1</v>
      </c>
      <c r="L22" s="306">
        <f ca="1">IFERROR(__xludf.DUMMYFUNCTION("IMPORTRANGE(""https://docs.google.com/spreadsheets/d/11923uPwbBZFjjGgGUA6NLw09EwE0CqkOc4q9oUmW1yo/edit?usp=sharing"",""พะเยา!J471"")"),64)</f>
        <v>64</v>
      </c>
      <c r="M22" s="306">
        <f ca="1">IFERROR(__xludf.DUMMYFUNCTION("IMPORTRANGE(""https://docs.google.com/spreadsheets/d/11923uPwbBZFjjGgGUA6NLw09EwE0CqkOc4q9oUmW1yo/edit?usp=sharing"",""พะเยา!J472"")"),1287)</f>
        <v>1287</v>
      </c>
      <c r="N22" s="306">
        <f ca="1">IFERROR(__xludf.DUMMYFUNCTION("IMPORTRANGE(""https://docs.google.com/spreadsheets/d/11923uPwbBZFjjGgGUA6NLw09EwE0CqkOc4q9oUmW1yo/edit?usp=sharing"",""พะเยา!J473"")"),0)</f>
        <v>0</v>
      </c>
      <c r="O22" s="609">
        <f ca="1">IFERROR(__xludf.DUMMYFUNCTION("IMPORTRANGE(""https://docs.google.com/spreadsheets/d/11923uPwbBZFjjGgGUA6NLw09EwE0CqkOc4q9oUmW1yo/edit?usp=sharing"",""พะเยา!J474"")"),0)</f>
        <v>0</v>
      </c>
      <c r="P22" s="339"/>
      <c r="Q22" s="339"/>
      <c r="R22" s="339"/>
      <c r="S22" s="339"/>
      <c r="T22" s="339"/>
      <c r="U22" s="339"/>
      <c r="V22" s="339"/>
      <c r="W22" s="339"/>
      <c r="X22" s="339"/>
      <c r="Y22" s="339"/>
      <c r="Z22" s="339"/>
    </row>
    <row r="23" spans="1:26" ht="21" customHeight="1">
      <c r="A23" s="303">
        <v>8</v>
      </c>
      <c r="B23" s="304" t="s">
        <v>47</v>
      </c>
      <c r="C23" s="305">
        <f t="shared" ca="1" si="20"/>
        <v>352400</v>
      </c>
      <c r="D23" s="306">
        <f ca="1">IFERROR(__xludf.DUMMYFUNCTION("IMPORTRANGE(""https://docs.google.com/spreadsheets/d/1C3CXT74ZlgGe6_JY_1olB1XN4rF0dxEuIIF-xsYjHgg/edit?usp=sharing"",""งบกองทุน!EB27"")"),0)</f>
        <v>0</v>
      </c>
      <c r="E23" s="306">
        <f ca="1">IFERROR(__xludf.DUMMYFUNCTION("IMPORTRANGE(""https://docs.google.com/spreadsheets/d/1C3CXT74ZlgGe6_JY_1olB1XN4rF0dxEuIIF-xsYjHgg/edit?usp=sharing"",""งบกองทุน!EL27"")"),352400)</f>
        <v>352400</v>
      </c>
      <c r="F23" s="307">
        <f ca="1">IFERROR(__xludf.DUMMYFUNCTION("IMPORTRANGE(""https://docs.google.com/spreadsheets/d/11923uPwbBZFjjGgGUA6NLw09EwE0CqkOc4q9oUmW1yo/edit?usp=sharing"",""พิจิตร!M475"")"),88961.9599999999)</f>
        <v>88961.959999999905</v>
      </c>
      <c r="G23" s="307">
        <f t="shared" ca="1" si="1"/>
        <v>25.244597048808146</v>
      </c>
      <c r="H23" s="306">
        <f ca="1">IFERROR(__xludf.DUMMYFUNCTION("IMPORTRANGE(""https://docs.google.com/spreadsheets/d/1C3CXT74ZlgGe6_JY_1olB1XN4rF0dxEuIIF-xsYjHgg/edit?usp=sharing"",""งบกองทุน!ED27"")"),1100)</f>
        <v>1100</v>
      </c>
      <c r="I23" s="306">
        <f t="shared" ca="1" si="21"/>
        <v>821</v>
      </c>
      <c r="J23" s="307">
        <f t="shared" ca="1" si="3"/>
        <v>74.63636363636364</v>
      </c>
      <c r="K23" s="608">
        <f ca="1">IFERROR(__xludf.DUMMYFUNCTION("IMPORTRANGE(""https://docs.google.com/spreadsheets/d/11923uPwbBZFjjGgGUA6NLw09EwE0CqkOc4q9oUmW1yo/edit?usp=sharing"",""พิจิตร!J470"")"),4)</f>
        <v>4</v>
      </c>
      <c r="L23" s="306">
        <f ca="1">IFERROR(__xludf.DUMMYFUNCTION("IMPORTRANGE(""https://docs.google.com/spreadsheets/d/11923uPwbBZFjjGgGUA6NLw09EwE0CqkOc4q9oUmW1yo/edit?usp=sharing"",""พิจิตร!J471"")"),95)</f>
        <v>95</v>
      </c>
      <c r="M23" s="306">
        <f ca="1">IFERROR(__xludf.DUMMYFUNCTION("IMPORTRANGE(""https://docs.google.com/spreadsheets/d/11923uPwbBZFjjGgGUA6NLw09EwE0CqkOc4q9oUmW1yo/edit?usp=sharing"",""พิจิตร!J472"")"),726)</f>
        <v>726</v>
      </c>
      <c r="N23" s="306">
        <f ca="1">IFERROR(__xludf.DUMMYFUNCTION("IMPORTRANGE(""https://docs.google.com/spreadsheets/d/11923uPwbBZFjjGgGUA6NLw09EwE0CqkOc4q9oUmW1yo/edit?usp=sharing"",""พิจิตร!J473"")"),0)</f>
        <v>0</v>
      </c>
      <c r="O23" s="609">
        <f ca="1">IFERROR(__xludf.DUMMYFUNCTION("IMPORTRANGE(""https://docs.google.com/spreadsheets/d/11923uPwbBZFjjGgGUA6NLw09EwE0CqkOc4q9oUmW1yo/edit?usp=sharing"",""พิจิตร!J474"")"),0)</f>
        <v>0</v>
      </c>
      <c r="P23" s="339"/>
      <c r="Q23" s="339"/>
      <c r="R23" s="339"/>
      <c r="S23" s="339"/>
      <c r="T23" s="339"/>
      <c r="U23" s="339"/>
      <c r="V23" s="339"/>
      <c r="W23" s="339"/>
      <c r="X23" s="339"/>
      <c r="Y23" s="339"/>
      <c r="Z23" s="339"/>
    </row>
    <row r="24" spans="1:26" ht="21" customHeight="1">
      <c r="A24" s="303">
        <v>9</v>
      </c>
      <c r="B24" s="304" t="s">
        <v>48</v>
      </c>
      <c r="C24" s="305">
        <f t="shared" ca="1" si="20"/>
        <v>127824</v>
      </c>
      <c r="D24" s="306">
        <f ca="1">IFERROR(__xludf.DUMMYFUNCTION("IMPORTRANGE(""https://docs.google.com/spreadsheets/d/1C3CXT74ZlgGe6_JY_1olB1XN4rF0dxEuIIF-xsYjHgg/edit?usp=sharing"",""งบกองทุน!EB28"")"),0)</f>
        <v>0</v>
      </c>
      <c r="E24" s="306">
        <f ca="1">IFERROR(__xludf.DUMMYFUNCTION("IMPORTRANGE(""https://docs.google.com/spreadsheets/d/1C3CXT74ZlgGe6_JY_1olB1XN4rF0dxEuIIF-xsYjHgg/edit?usp=sharing"",""งบกองทุน!EL28"")"),127824)</f>
        <v>127824</v>
      </c>
      <c r="F24" s="307">
        <f ca="1">IFERROR(__xludf.DUMMYFUNCTION("IMPORTRANGE(""https://docs.google.com/spreadsheets/d/11923uPwbBZFjjGgGUA6NLw09EwE0CqkOc4q9oUmW1yo/edit?usp=sharing"",""พิษณุโลก!M475"")"),240)</f>
        <v>240</v>
      </c>
      <c r="G24" s="307">
        <f t="shared" ca="1" si="1"/>
        <v>0.1877581674802854</v>
      </c>
      <c r="H24" s="306">
        <f ca="1">IFERROR(__xludf.DUMMYFUNCTION("IMPORTRANGE(""https://docs.google.com/spreadsheets/d/1C3CXT74ZlgGe6_JY_1olB1XN4rF0dxEuIIF-xsYjHgg/edit?usp=sharing"",""งบกองทุน!ED28"")"),1500)</f>
        <v>1500</v>
      </c>
      <c r="I24" s="306">
        <f t="shared" ca="1" si="21"/>
        <v>1787</v>
      </c>
      <c r="J24" s="307">
        <f t="shared" ca="1" si="3"/>
        <v>119.13333333333334</v>
      </c>
      <c r="K24" s="608">
        <f ca="1">IFERROR(__xludf.DUMMYFUNCTION("IMPORTRANGE(""https://docs.google.com/spreadsheets/d/11923uPwbBZFjjGgGUA6NLw09EwE0CqkOc4q9oUmW1yo/edit?usp=sharing"",""พิษณุโลก!J470"")"),5)</f>
        <v>5</v>
      </c>
      <c r="L24" s="306">
        <f ca="1">IFERROR(__xludf.DUMMYFUNCTION("IMPORTRANGE(""https://docs.google.com/spreadsheets/d/11923uPwbBZFjjGgGUA6NLw09EwE0CqkOc4q9oUmW1yo/edit?usp=sharing"",""พิษณุโลก!J471"")"),206)</f>
        <v>206</v>
      </c>
      <c r="M24" s="306">
        <f ca="1">IFERROR(__xludf.DUMMYFUNCTION("IMPORTRANGE(""https://docs.google.com/spreadsheets/d/11923uPwbBZFjjGgGUA6NLw09EwE0CqkOc4q9oUmW1yo/edit?usp=sharing"",""พิษณุโลก!J472"")"),1577)</f>
        <v>1577</v>
      </c>
      <c r="N24" s="306">
        <f ca="1">IFERROR(__xludf.DUMMYFUNCTION("IMPORTRANGE(""https://docs.google.com/spreadsheets/d/11923uPwbBZFjjGgGUA6NLw09EwE0CqkOc4q9oUmW1yo/edit?usp=sharing"",""พิษณุโลก!J473"")"),4)</f>
        <v>4</v>
      </c>
      <c r="O24" s="609">
        <f ca="1">IFERROR(__xludf.DUMMYFUNCTION("IMPORTRANGE(""https://docs.google.com/spreadsheets/d/11923uPwbBZFjjGgGUA6NLw09EwE0CqkOc4q9oUmW1yo/edit?usp=sharing"",""พิษณุโลก!J474"")"),0)</f>
        <v>0</v>
      </c>
      <c r="P24" s="339"/>
      <c r="Q24" s="339"/>
      <c r="R24" s="339"/>
      <c r="S24" s="339"/>
      <c r="T24" s="339"/>
      <c r="U24" s="339"/>
      <c r="V24" s="339"/>
      <c r="W24" s="339"/>
      <c r="X24" s="339"/>
      <c r="Y24" s="339"/>
      <c r="Z24" s="339"/>
    </row>
    <row r="25" spans="1:26" ht="21" customHeight="1">
      <c r="A25" s="303">
        <v>10</v>
      </c>
      <c r="B25" s="304" t="s">
        <v>49</v>
      </c>
      <c r="C25" s="305">
        <f t="shared" ca="1" si="20"/>
        <v>346950</v>
      </c>
      <c r="D25" s="306">
        <f ca="1">IFERROR(__xludf.DUMMYFUNCTION("IMPORTRANGE(""https://docs.google.com/spreadsheets/d/1C3CXT74ZlgGe6_JY_1olB1XN4rF0dxEuIIF-xsYjHgg/edit?usp=sharing"",""งบกองทุน!EB29"")"),0)</f>
        <v>0</v>
      </c>
      <c r="E25" s="306">
        <f ca="1">IFERROR(__xludf.DUMMYFUNCTION("IMPORTRANGE(""https://docs.google.com/spreadsheets/d/1C3CXT74ZlgGe6_JY_1olB1XN4rF0dxEuIIF-xsYjHgg/edit?usp=sharing"",""งบกองทุน!EL29"")"),346950)</f>
        <v>346950</v>
      </c>
      <c r="F25" s="307">
        <f ca="1">IFERROR(__xludf.DUMMYFUNCTION("IMPORTRANGE(""https://docs.google.com/spreadsheets/d/11923uPwbBZFjjGgGUA6NLw09EwE0CqkOc4q9oUmW1yo/edit?usp=sharing"",""เพชรบูรณ์!M475"")"),149796)</f>
        <v>149796</v>
      </c>
      <c r="G25" s="307">
        <f t="shared" ca="1" si="1"/>
        <v>43.175097276264594</v>
      </c>
      <c r="H25" s="306">
        <f ca="1">IFERROR(__xludf.DUMMYFUNCTION("IMPORTRANGE(""https://docs.google.com/spreadsheets/d/1C3CXT74ZlgGe6_JY_1olB1XN4rF0dxEuIIF-xsYjHgg/edit?usp=sharing"",""งบกองทุน!ED29"")"),3850)</f>
        <v>3850</v>
      </c>
      <c r="I25" s="306">
        <f t="shared" ca="1" si="21"/>
        <v>5748</v>
      </c>
      <c r="J25" s="307">
        <f t="shared" ca="1" si="3"/>
        <v>149.2987012987013</v>
      </c>
      <c r="K25" s="608">
        <f ca="1">IFERROR(__xludf.DUMMYFUNCTION("IMPORTRANGE(""https://docs.google.com/spreadsheets/d/11923uPwbBZFjjGgGUA6NLw09EwE0CqkOc4q9oUmW1yo/edit?usp=sharing"",""เพชรบูรณ์!J470"")"),4)</f>
        <v>4</v>
      </c>
      <c r="L25" s="306">
        <f ca="1">IFERROR(__xludf.DUMMYFUNCTION("IMPORTRANGE(""https://docs.google.com/spreadsheets/d/11923uPwbBZFjjGgGUA6NLw09EwE0CqkOc4q9oUmW1yo/edit?usp=sharing"",""เพชรบูรณ์!J471"")"),514)</f>
        <v>514</v>
      </c>
      <c r="M25" s="306">
        <f ca="1">IFERROR(__xludf.DUMMYFUNCTION("IMPORTRANGE(""https://docs.google.com/spreadsheets/d/11923uPwbBZFjjGgGUA6NLw09EwE0CqkOc4q9oUmW1yo/edit?usp=sharing"",""เพชรบูรณ์!J472"")"),5168)</f>
        <v>5168</v>
      </c>
      <c r="N25" s="306">
        <f ca="1">IFERROR(__xludf.DUMMYFUNCTION("IMPORTRANGE(""https://docs.google.com/spreadsheets/d/11923uPwbBZFjjGgGUA6NLw09EwE0CqkOc4q9oUmW1yo/edit?usp=sharing"",""เพชรบูรณ์!J473"")"),2)</f>
        <v>2</v>
      </c>
      <c r="O25" s="609">
        <f ca="1">IFERROR(__xludf.DUMMYFUNCTION("IMPORTRANGE(""https://docs.google.com/spreadsheets/d/11923uPwbBZFjjGgGUA6NLw09EwE0CqkOc4q9oUmW1yo/edit?usp=sharing"",""เพชรบูรณ์!J474"")"),64)</f>
        <v>64</v>
      </c>
      <c r="P25" s="339"/>
      <c r="Q25" s="339"/>
      <c r="R25" s="339"/>
      <c r="S25" s="339"/>
      <c r="T25" s="339"/>
      <c r="U25" s="339"/>
      <c r="V25" s="339"/>
      <c r="W25" s="339"/>
      <c r="X25" s="339"/>
      <c r="Y25" s="339"/>
      <c r="Z25" s="339"/>
    </row>
    <row r="26" spans="1:26" ht="21" customHeight="1">
      <c r="A26" s="303">
        <v>11</v>
      </c>
      <c r="B26" s="304" t="s">
        <v>50</v>
      </c>
      <c r="C26" s="305">
        <f t="shared" ca="1" si="20"/>
        <v>0</v>
      </c>
      <c r="D26" s="306">
        <f ca="1">IFERROR(__xludf.DUMMYFUNCTION("IMPORTRANGE(""https://docs.google.com/spreadsheets/d/1C3CXT74ZlgGe6_JY_1olB1XN4rF0dxEuIIF-xsYjHgg/edit?usp=sharing"",""งบกองทุน!EB30"")"),0)</f>
        <v>0</v>
      </c>
      <c r="E26" s="306">
        <f ca="1">IFERROR(__xludf.DUMMYFUNCTION("IMPORTRANGE(""https://docs.google.com/spreadsheets/d/1C3CXT74ZlgGe6_JY_1olB1XN4rF0dxEuIIF-xsYjHgg/edit?usp=sharing"",""งบกองทุน!EL30"")"),0)</f>
        <v>0</v>
      </c>
      <c r="F26" s="307">
        <f ca="1">IFERROR(__xludf.DUMMYFUNCTION("IMPORTRANGE(""https://docs.google.com/spreadsheets/d/11923uPwbBZFjjGgGUA6NLw09EwE0CqkOc4q9oUmW1yo/edit?usp=sharing"",""แพร่!M475"")"),0)</f>
        <v>0</v>
      </c>
      <c r="G26" s="307">
        <f t="shared" ca="1" si="1"/>
        <v>0</v>
      </c>
      <c r="H26" s="306">
        <f ca="1">IFERROR(__xludf.DUMMYFUNCTION("IMPORTRANGE(""https://docs.google.com/spreadsheets/d/1C3CXT74ZlgGe6_JY_1olB1XN4rF0dxEuIIF-xsYjHgg/edit?usp=sharing"",""งบกองทุน!ED30"")"),1200)</f>
        <v>1200</v>
      </c>
      <c r="I26" s="306">
        <f t="shared" ca="1" si="21"/>
        <v>1384</v>
      </c>
      <c r="J26" s="307">
        <f t="shared" ca="1" si="3"/>
        <v>115.33333333333333</v>
      </c>
      <c r="K26" s="608">
        <f ca="1">IFERROR(__xludf.DUMMYFUNCTION("IMPORTRANGE(""https://docs.google.com/spreadsheets/d/11923uPwbBZFjjGgGUA6NLw09EwE0CqkOc4q9oUmW1yo/edit?usp=sharing"",""แพร่!J470"")"),5)</f>
        <v>5</v>
      </c>
      <c r="L26" s="306">
        <f ca="1">IFERROR(__xludf.DUMMYFUNCTION("IMPORTRANGE(""https://docs.google.com/spreadsheets/d/11923uPwbBZFjjGgGUA6NLw09EwE0CqkOc4q9oUmW1yo/edit?usp=sharing"",""แพร่!J471"")"),263)</f>
        <v>263</v>
      </c>
      <c r="M26" s="306">
        <f ca="1">IFERROR(__xludf.DUMMYFUNCTION("IMPORTRANGE(""https://docs.google.com/spreadsheets/d/11923uPwbBZFjjGgGUA6NLw09EwE0CqkOc4q9oUmW1yo/edit?usp=sharing"",""แพร่!J472"")"),1121)</f>
        <v>1121</v>
      </c>
      <c r="N26" s="306">
        <f ca="1">IFERROR(__xludf.DUMMYFUNCTION("IMPORTRANGE(""https://docs.google.com/spreadsheets/d/11923uPwbBZFjjGgGUA6NLw09EwE0CqkOc4q9oUmW1yo/edit?usp=sharing"",""แพร่!J473"")"),0)</f>
        <v>0</v>
      </c>
      <c r="O26" s="609">
        <f ca="1">IFERROR(__xludf.DUMMYFUNCTION("IMPORTRANGE(""https://docs.google.com/spreadsheets/d/11923uPwbBZFjjGgGUA6NLw09EwE0CqkOc4q9oUmW1yo/edit?usp=sharing"",""แพร่!J474"")"),0)</f>
        <v>0</v>
      </c>
      <c r="P26" s="339"/>
      <c r="Q26" s="339"/>
      <c r="R26" s="339"/>
      <c r="S26" s="339"/>
      <c r="T26" s="339"/>
      <c r="U26" s="339"/>
      <c r="V26" s="339"/>
      <c r="W26" s="339"/>
      <c r="X26" s="339"/>
      <c r="Y26" s="339"/>
      <c r="Z26" s="339"/>
    </row>
    <row r="27" spans="1:26" ht="21" customHeight="1">
      <c r="A27" s="303">
        <v>12</v>
      </c>
      <c r="B27" s="304" t="s">
        <v>51</v>
      </c>
      <c r="C27" s="305">
        <f t="shared" ca="1" si="20"/>
        <v>128934</v>
      </c>
      <c r="D27" s="306">
        <f ca="1">IFERROR(__xludf.DUMMYFUNCTION("IMPORTRANGE(""https://docs.google.com/spreadsheets/d/1C3CXT74ZlgGe6_JY_1olB1XN4rF0dxEuIIF-xsYjHgg/edit?usp=sharing"",""งบกองทุน!EB31"")"),0)</f>
        <v>0</v>
      </c>
      <c r="E27" s="306">
        <f ca="1">IFERROR(__xludf.DUMMYFUNCTION("IMPORTRANGE(""https://docs.google.com/spreadsheets/d/1C3CXT74ZlgGe6_JY_1olB1XN4rF0dxEuIIF-xsYjHgg/edit?usp=sharing"",""งบกองทุน!EL31"")"),128934)</f>
        <v>128934</v>
      </c>
      <c r="F27" s="307">
        <f ca="1">IFERROR(__xludf.DUMMYFUNCTION("IMPORTRANGE(""https://docs.google.com/spreadsheets/d/11923uPwbBZFjjGgGUA6NLw09EwE0CqkOc4q9oUmW1yo/edit?usp=sharing"",""แม่ฮ่องสอน!M475"")"),44620)</f>
        <v>44620</v>
      </c>
      <c r="G27" s="307">
        <f t="shared" ca="1" si="1"/>
        <v>34.606853118649852</v>
      </c>
      <c r="H27" s="306">
        <f ca="1">IFERROR(__xludf.DUMMYFUNCTION("IMPORTRANGE(""https://docs.google.com/spreadsheets/d/1C3CXT74ZlgGe6_JY_1olB1XN4rF0dxEuIIF-xsYjHgg/edit?usp=sharing"",""งบกองทุน!ED31"")"),250)</f>
        <v>250</v>
      </c>
      <c r="I27" s="306">
        <f t="shared" ca="1" si="21"/>
        <v>260</v>
      </c>
      <c r="J27" s="307">
        <f t="shared" ca="1" si="3"/>
        <v>104</v>
      </c>
      <c r="K27" s="608">
        <f ca="1">IFERROR(__xludf.DUMMYFUNCTION("IMPORTRANGE(""https://docs.google.com/spreadsheets/d/11923uPwbBZFjjGgGUA6NLw09EwE0CqkOc4q9oUmW1yo/edit?usp=sharing"",""แม่ฮ่องสอน!J470"")"),6)</f>
        <v>6</v>
      </c>
      <c r="L27" s="306">
        <f ca="1">IFERROR(__xludf.DUMMYFUNCTION("IMPORTRANGE(""https://docs.google.com/spreadsheets/d/11923uPwbBZFjjGgGUA6NLw09EwE0CqkOc4q9oUmW1yo/edit?usp=sharing"",""แม่ฮ่องสอน!J471"")"),159)</f>
        <v>159</v>
      </c>
      <c r="M27" s="306">
        <f ca="1">IFERROR(__xludf.DUMMYFUNCTION("IMPORTRANGE(""https://docs.google.com/spreadsheets/d/11923uPwbBZFjjGgGUA6NLw09EwE0CqkOc4q9oUmW1yo/edit?usp=sharing"",""แม่ฮ่องสอน!J472"")"),101)</f>
        <v>101</v>
      </c>
      <c r="N27" s="306">
        <f ca="1">IFERROR(__xludf.DUMMYFUNCTION("IMPORTRANGE(""https://docs.google.com/spreadsheets/d/11923uPwbBZFjjGgGUA6NLw09EwE0CqkOc4q9oUmW1yo/edit?usp=sharing"",""แม่ฮ่องสอน!J473"")"),0)</f>
        <v>0</v>
      </c>
      <c r="O27" s="609">
        <f ca="1">IFERROR(__xludf.DUMMYFUNCTION("IMPORTRANGE(""https://docs.google.com/spreadsheets/d/11923uPwbBZFjjGgGUA6NLw09EwE0CqkOc4q9oUmW1yo/edit?usp=sharing"",""แม่ฮ่องสอน!J474"")"),0)</f>
        <v>0</v>
      </c>
      <c r="P27" s="339"/>
      <c r="Q27" s="339"/>
      <c r="R27" s="339"/>
      <c r="S27" s="339"/>
      <c r="T27" s="339"/>
      <c r="U27" s="339"/>
      <c r="V27" s="339"/>
      <c r="W27" s="339"/>
      <c r="X27" s="339"/>
      <c r="Y27" s="339"/>
      <c r="Z27" s="339"/>
    </row>
    <row r="28" spans="1:26" ht="21" customHeight="1">
      <c r="A28" s="303">
        <v>13</v>
      </c>
      <c r="B28" s="304" t="s">
        <v>52</v>
      </c>
      <c r="C28" s="305">
        <f t="shared" ca="1" si="20"/>
        <v>130655</v>
      </c>
      <c r="D28" s="306">
        <f ca="1">IFERROR(__xludf.DUMMYFUNCTION("IMPORTRANGE(""https://docs.google.com/spreadsheets/d/1C3CXT74ZlgGe6_JY_1olB1XN4rF0dxEuIIF-xsYjHgg/edit?usp=sharing"",""งบกองทุน!EB32"")"),0)</f>
        <v>0</v>
      </c>
      <c r="E28" s="306">
        <f ca="1">IFERROR(__xludf.DUMMYFUNCTION("IMPORTRANGE(""https://docs.google.com/spreadsheets/d/1C3CXT74ZlgGe6_JY_1olB1XN4rF0dxEuIIF-xsYjHgg/edit?usp=sharing"",""งบกองทุน!EL32"")"),130655)</f>
        <v>130655</v>
      </c>
      <c r="F28" s="307">
        <f ca="1">IFERROR(__xludf.DUMMYFUNCTION("IMPORTRANGE(""https://docs.google.com/spreadsheets/d/11923uPwbBZFjjGgGUA6NLw09EwE0CqkOc4q9oUmW1yo/edit?usp=sharing"",""ลำปาง!M475"")"),0)</f>
        <v>0</v>
      </c>
      <c r="G28" s="307">
        <f t="shared" ca="1" si="1"/>
        <v>0</v>
      </c>
      <c r="H28" s="306">
        <f ca="1">IFERROR(__xludf.DUMMYFUNCTION("IMPORTRANGE(""https://docs.google.com/spreadsheets/d/1C3CXT74ZlgGe6_JY_1olB1XN4rF0dxEuIIF-xsYjHgg/edit?usp=sharing"",""งบกองทุน!ED32"")"),1800)</f>
        <v>1800</v>
      </c>
      <c r="I28" s="306">
        <f t="shared" ca="1" si="21"/>
        <v>1464</v>
      </c>
      <c r="J28" s="307">
        <f t="shared" ca="1" si="3"/>
        <v>81.333333333333329</v>
      </c>
      <c r="K28" s="608">
        <f ca="1">IFERROR(__xludf.DUMMYFUNCTION("IMPORTRANGE(""https://docs.google.com/spreadsheets/d/11923uPwbBZFjjGgGUA6NLw09EwE0CqkOc4q9oUmW1yo/edit?usp=sharing"",""ลำปาง!J470"")"),2)</f>
        <v>2</v>
      </c>
      <c r="L28" s="306">
        <f ca="1">IFERROR(__xludf.DUMMYFUNCTION("IMPORTRANGE(""https://docs.google.com/spreadsheets/d/11923uPwbBZFjjGgGUA6NLw09EwE0CqkOc4q9oUmW1yo/edit?usp=sharing"",""ลำปาง!J471"")"),171)</f>
        <v>171</v>
      </c>
      <c r="M28" s="306">
        <f ca="1">IFERROR(__xludf.DUMMYFUNCTION("IMPORTRANGE(""https://docs.google.com/spreadsheets/d/11923uPwbBZFjjGgGUA6NLw09EwE0CqkOc4q9oUmW1yo/edit?usp=sharing"",""ลำปาง!J472"")"),1293)</f>
        <v>1293</v>
      </c>
      <c r="N28" s="306">
        <f ca="1">IFERROR(__xludf.DUMMYFUNCTION("IMPORTRANGE(""https://docs.google.com/spreadsheets/d/11923uPwbBZFjjGgGUA6NLw09EwE0CqkOc4q9oUmW1yo/edit?usp=sharing"",""ลำปาง!J473"")"),0)</f>
        <v>0</v>
      </c>
      <c r="O28" s="609">
        <f ca="1">IFERROR(__xludf.DUMMYFUNCTION("IMPORTRANGE(""https://docs.google.com/spreadsheets/d/11923uPwbBZFjjGgGUA6NLw09EwE0CqkOc4q9oUmW1yo/edit?usp=sharing"",""ลำปาง!J474"")"),0)</f>
        <v>0</v>
      </c>
      <c r="P28" s="339"/>
      <c r="Q28" s="339"/>
      <c r="R28" s="339"/>
      <c r="S28" s="339"/>
      <c r="T28" s="339"/>
      <c r="U28" s="339"/>
      <c r="V28" s="339"/>
      <c r="W28" s="339"/>
      <c r="X28" s="339"/>
      <c r="Y28" s="339"/>
      <c r="Z28" s="339"/>
    </row>
    <row r="29" spans="1:26" ht="21" customHeight="1">
      <c r="A29" s="303">
        <v>14</v>
      </c>
      <c r="B29" s="304" t="s">
        <v>53</v>
      </c>
      <c r="C29" s="305">
        <f t="shared" ca="1" si="20"/>
        <v>0</v>
      </c>
      <c r="D29" s="306">
        <f ca="1">IFERROR(__xludf.DUMMYFUNCTION("IMPORTRANGE(""https://docs.google.com/spreadsheets/d/1C3CXT74ZlgGe6_JY_1olB1XN4rF0dxEuIIF-xsYjHgg/edit?usp=sharing"",""งบกองทุน!EB33"")"),0)</f>
        <v>0</v>
      </c>
      <c r="E29" s="306">
        <f ca="1">IFERROR(__xludf.DUMMYFUNCTION("IMPORTRANGE(""https://docs.google.com/spreadsheets/d/1C3CXT74ZlgGe6_JY_1olB1XN4rF0dxEuIIF-xsYjHgg/edit?usp=sharing"",""งบกองทุน!EL33"")"),0)</f>
        <v>0</v>
      </c>
      <c r="F29" s="307">
        <f ca="1">IFERROR(__xludf.DUMMYFUNCTION("IMPORTRANGE(""https://docs.google.com/spreadsheets/d/11923uPwbBZFjjGgGUA6NLw09EwE0CqkOc4q9oUmW1yo/edit?usp=sharing"",""ลำพูน!M475"")"),0)</f>
        <v>0</v>
      </c>
      <c r="G29" s="307">
        <f t="shared" ca="1" si="1"/>
        <v>0</v>
      </c>
      <c r="H29" s="306">
        <f ca="1">IFERROR(__xludf.DUMMYFUNCTION("IMPORTRANGE(""https://docs.google.com/spreadsheets/d/1C3CXT74ZlgGe6_JY_1olB1XN4rF0dxEuIIF-xsYjHgg/edit?usp=sharing"",""งบกองทุน!ED33"")"),650)</f>
        <v>650</v>
      </c>
      <c r="I29" s="306">
        <f t="shared" ca="1" si="21"/>
        <v>577</v>
      </c>
      <c r="J29" s="307">
        <f t="shared" ca="1" si="3"/>
        <v>88.769230769230774</v>
      </c>
      <c r="K29" s="608">
        <f ca="1">IFERROR(__xludf.DUMMYFUNCTION("IMPORTRANGE(""https://docs.google.com/spreadsheets/d/11923uPwbBZFjjGgGUA6NLw09EwE0CqkOc4q9oUmW1yo/edit?usp=sharing"",""ลำพูน!J470"")"),3)</f>
        <v>3</v>
      </c>
      <c r="L29" s="306">
        <f ca="1">IFERROR(__xludf.DUMMYFUNCTION("IMPORTRANGE(""https://docs.google.com/spreadsheets/d/11923uPwbBZFjjGgGUA6NLw09EwE0CqkOc4q9oUmW1yo/edit?usp=sharing"",""ลำพูน!J471"")"),180)</f>
        <v>180</v>
      </c>
      <c r="M29" s="306">
        <f ca="1">IFERROR(__xludf.DUMMYFUNCTION("IMPORTRANGE(""https://docs.google.com/spreadsheets/d/11923uPwbBZFjjGgGUA6NLw09EwE0CqkOc4q9oUmW1yo/edit?usp=sharing"",""ลำพูน!J472"")"),397)</f>
        <v>397</v>
      </c>
      <c r="N29" s="306">
        <f ca="1">IFERROR(__xludf.DUMMYFUNCTION("IMPORTRANGE(""https://docs.google.com/spreadsheets/d/11923uPwbBZFjjGgGUA6NLw09EwE0CqkOc4q9oUmW1yo/edit?usp=sharing"",""ลำพูน!J473"")"),0)</f>
        <v>0</v>
      </c>
      <c r="O29" s="609">
        <f ca="1">IFERROR(__xludf.DUMMYFUNCTION("IMPORTRANGE(""https://docs.google.com/spreadsheets/d/11923uPwbBZFjjGgGUA6NLw09EwE0CqkOc4q9oUmW1yo/edit?usp=sharing"",""ลำพูน!J474"")"),0)</f>
        <v>0</v>
      </c>
      <c r="P29" s="339"/>
      <c r="Q29" s="339"/>
      <c r="R29" s="339"/>
      <c r="S29" s="339"/>
      <c r="T29" s="339"/>
      <c r="U29" s="339"/>
      <c r="V29" s="339"/>
      <c r="W29" s="339"/>
      <c r="X29" s="339"/>
      <c r="Y29" s="339"/>
      <c r="Z29" s="339"/>
    </row>
    <row r="30" spans="1:26" ht="21" customHeight="1">
      <c r="A30" s="303">
        <v>15</v>
      </c>
      <c r="B30" s="304" t="s">
        <v>54</v>
      </c>
      <c r="C30" s="305">
        <f t="shared" ca="1" si="20"/>
        <v>296190</v>
      </c>
      <c r="D30" s="306">
        <f ca="1">IFERROR(__xludf.DUMMYFUNCTION("IMPORTRANGE(""https://docs.google.com/spreadsheets/d/1C3CXT74ZlgGe6_JY_1olB1XN4rF0dxEuIIF-xsYjHgg/edit?usp=sharing"",""งบกองทุน!EB34"")"),0)</f>
        <v>0</v>
      </c>
      <c r="E30" s="306">
        <f ca="1">IFERROR(__xludf.DUMMYFUNCTION("IMPORTRANGE(""https://docs.google.com/spreadsheets/d/1C3CXT74ZlgGe6_JY_1olB1XN4rF0dxEuIIF-xsYjHgg/edit?usp=sharing"",""งบกองทุน!EL34"")"),296190)</f>
        <v>296190</v>
      </c>
      <c r="F30" s="307">
        <f ca="1">IFERROR(__xludf.DUMMYFUNCTION("IMPORTRANGE(""https://docs.google.com/spreadsheets/d/11923uPwbBZFjjGgGUA6NLw09EwE0CqkOc4q9oUmW1yo/edit?usp=sharing"",""สุโขทัย!M475"")"),0)</f>
        <v>0</v>
      </c>
      <c r="G30" s="307">
        <f t="shared" ca="1" si="1"/>
        <v>0</v>
      </c>
      <c r="H30" s="306">
        <f ca="1">IFERROR(__xludf.DUMMYFUNCTION("IMPORTRANGE(""https://docs.google.com/spreadsheets/d/1C3CXT74ZlgGe6_JY_1olB1XN4rF0dxEuIIF-xsYjHgg/edit?usp=sharing"",""งบกองทุน!ED34"")"),2100)</f>
        <v>2100</v>
      </c>
      <c r="I30" s="306">
        <f t="shared" ca="1" si="21"/>
        <v>3501</v>
      </c>
      <c r="J30" s="307">
        <f t="shared" ca="1" si="3"/>
        <v>166.71428571428572</v>
      </c>
      <c r="K30" s="608">
        <f ca="1">IFERROR(__xludf.DUMMYFUNCTION("IMPORTRANGE(""https://docs.google.com/spreadsheets/d/11923uPwbBZFjjGgGUA6NLw09EwE0CqkOc4q9oUmW1yo/edit?usp=sharing"",""สุโขทัย!J470"")"),4)</f>
        <v>4</v>
      </c>
      <c r="L30" s="306">
        <f ca="1">IFERROR(__xludf.DUMMYFUNCTION("IMPORTRANGE(""https://docs.google.com/spreadsheets/d/11923uPwbBZFjjGgGUA6NLw09EwE0CqkOc4q9oUmW1yo/edit?usp=sharing"",""สุโขทัย!J471"")"),174)</f>
        <v>174</v>
      </c>
      <c r="M30" s="306">
        <f ca="1">IFERROR(__xludf.DUMMYFUNCTION("IMPORTRANGE(""https://docs.google.com/spreadsheets/d/11923uPwbBZFjjGgGUA6NLw09EwE0CqkOc4q9oUmW1yo/edit?usp=sharing"",""สุโขทัย!J472"")"),3327)</f>
        <v>3327</v>
      </c>
      <c r="N30" s="306">
        <f ca="1">IFERROR(__xludf.DUMMYFUNCTION("IMPORTRANGE(""https://docs.google.com/spreadsheets/d/11923uPwbBZFjjGgGUA6NLw09EwE0CqkOc4q9oUmW1yo/edit?usp=sharing"",""สุโขทัย!J473"")"),0)</f>
        <v>0</v>
      </c>
      <c r="O30" s="609">
        <f ca="1">IFERROR(__xludf.DUMMYFUNCTION("IMPORTRANGE(""https://docs.google.com/spreadsheets/d/11923uPwbBZFjjGgGUA6NLw09EwE0CqkOc4q9oUmW1yo/edit?usp=sharing"",""สุโขทัย!J474"")"),0)</f>
        <v>0</v>
      </c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</row>
    <row r="31" spans="1:26" ht="21" customHeight="1">
      <c r="A31" s="303">
        <v>16</v>
      </c>
      <c r="B31" s="304" t="s">
        <v>55</v>
      </c>
      <c r="C31" s="305">
        <f t="shared" ca="1" si="20"/>
        <v>0</v>
      </c>
      <c r="D31" s="306">
        <f ca="1">IFERROR(__xludf.DUMMYFUNCTION("IMPORTRANGE(""https://docs.google.com/spreadsheets/d/1C3CXT74ZlgGe6_JY_1olB1XN4rF0dxEuIIF-xsYjHgg/edit?usp=sharing"",""งบกองทุน!EB35"")"),0)</f>
        <v>0</v>
      </c>
      <c r="E31" s="306">
        <f ca="1">IFERROR(__xludf.DUMMYFUNCTION("IMPORTRANGE(""https://docs.google.com/spreadsheets/d/1C3CXT74ZlgGe6_JY_1olB1XN4rF0dxEuIIF-xsYjHgg/edit?usp=sharing"",""งบกองทุน!EL35"")"),0)</f>
        <v>0</v>
      </c>
      <c r="F31" s="307">
        <f ca="1">IFERROR(__xludf.DUMMYFUNCTION("IMPORTRANGE(""https://docs.google.com/spreadsheets/d/11923uPwbBZFjjGgGUA6NLw09EwE0CqkOc4q9oUmW1yo/edit?usp=sharing"",""อุตรดิตถ์!M475"")"),0)</f>
        <v>0</v>
      </c>
      <c r="G31" s="307">
        <f t="shared" ca="1" si="1"/>
        <v>0</v>
      </c>
      <c r="H31" s="306">
        <f ca="1">IFERROR(__xludf.DUMMYFUNCTION("IMPORTRANGE(""https://docs.google.com/spreadsheets/d/1C3CXT74ZlgGe6_JY_1olB1XN4rF0dxEuIIF-xsYjHgg/edit?usp=sharing"",""งบกองทุน!ED35"")"),1100)</f>
        <v>1100</v>
      </c>
      <c r="I31" s="306">
        <f t="shared" ca="1" si="21"/>
        <v>2025</v>
      </c>
      <c r="J31" s="307">
        <f t="shared" ca="1" si="3"/>
        <v>184.09090909090909</v>
      </c>
      <c r="K31" s="608">
        <f ca="1">IFERROR(__xludf.DUMMYFUNCTION("IMPORTRANGE(""https://docs.google.com/spreadsheets/d/11923uPwbBZFjjGgGUA6NLw09EwE0CqkOc4q9oUmW1yo/edit?usp=sharing"",""อุตรดิตถ์!J470"")"),4)</f>
        <v>4</v>
      </c>
      <c r="L31" s="306">
        <f ca="1">IFERROR(__xludf.DUMMYFUNCTION("IMPORTRANGE(""https://docs.google.com/spreadsheets/d/11923uPwbBZFjjGgGUA6NLw09EwE0CqkOc4q9oUmW1yo/edit?usp=sharing"",""อุตรดิตถ์!J471"")"),214)</f>
        <v>214</v>
      </c>
      <c r="M31" s="306">
        <f ca="1">IFERROR(__xludf.DUMMYFUNCTION("IMPORTRANGE(""https://docs.google.com/spreadsheets/d/11923uPwbBZFjjGgGUA6NLw09EwE0CqkOc4q9oUmW1yo/edit?usp=sharing"",""อุตรดิตถ์!J472"")"),1370)</f>
        <v>1370</v>
      </c>
      <c r="N31" s="306">
        <f ca="1">IFERROR(__xludf.DUMMYFUNCTION("IMPORTRANGE(""https://docs.google.com/spreadsheets/d/11923uPwbBZFjjGgGUA6NLw09EwE0CqkOc4q9oUmW1yo/edit?usp=sharing"",""อุตรดิตถ์!J473"")"),0)</f>
        <v>0</v>
      </c>
      <c r="O31" s="609">
        <f ca="1">IFERROR(__xludf.DUMMYFUNCTION("IMPORTRANGE(""https://docs.google.com/spreadsheets/d/11923uPwbBZFjjGgGUA6NLw09EwE0CqkOc4q9oUmW1yo/edit?usp=sharing"",""อุตรดิตถ์!J474"")"),441)</f>
        <v>441</v>
      </c>
      <c r="P31" s="339"/>
      <c r="Q31" s="339"/>
      <c r="R31" s="339"/>
      <c r="S31" s="339"/>
      <c r="T31" s="339"/>
      <c r="U31" s="339"/>
      <c r="V31" s="339"/>
      <c r="W31" s="339"/>
      <c r="X31" s="339"/>
      <c r="Y31" s="339"/>
      <c r="Z31" s="339"/>
    </row>
    <row r="32" spans="1:26" ht="21" customHeight="1">
      <c r="A32" s="310">
        <v>17</v>
      </c>
      <c r="B32" s="311" t="s">
        <v>56</v>
      </c>
      <c r="C32" s="312">
        <f t="shared" ca="1" si="20"/>
        <v>111857</v>
      </c>
      <c r="D32" s="313">
        <f ca="1">IFERROR(__xludf.DUMMYFUNCTION("IMPORTRANGE(""https://docs.google.com/spreadsheets/d/1C3CXT74ZlgGe6_JY_1olB1XN4rF0dxEuIIF-xsYjHgg/edit?usp=sharing"",""งบกองทุน!EB36"")"),0)</f>
        <v>0</v>
      </c>
      <c r="E32" s="313">
        <f ca="1">IFERROR(__xludf.DUMMYFUNCTION("IMPORTRANGE(""https://docs.google.com/spreadsheets/d/1C3CXT74ZlgGe6_JY_1olB1XN4rF0dxEuIIF-xsYjHgg/edit?usp=sharing"",""งบกองทุน!EL36"")"),111857)</f>
        <v>111857</v>
      </c>
      <c r="F32" s="314">
        <f ca="1">IFERROR(__xludf.DUMMYFUNCTION("IMPORTRANGE(""https://docs.google.com/spreadsheets/d/11923uPwbBZFjjGgGUA6NLw09EwE0CqkOc4q9oUmW1yo/edit?usp=sharing"",""อุทัยธานี!M475"")"),5920)</f>
        <v>5920</v>
      </c>
      <c r="G32" s="314">
        <f t="shared" ca="1" si="1"/>
        <v>5.2924716378948125</v>
      </c>
      <c r="H32" s="313">
        <f ca="1">IFERROR(__xludf.DUMMYFUNCTION("IMPORTRANGE(""https://docs.google.com/spreadsheets/d/1C3CXT74ZlgGe6_JY_1olB1XN4rF0dxEuIIF-xsYjHgg/edit?usp=sharing"",""งบกองทุน!ED36"")"),1550)</f>
        <v>1550</v>
      </c>
      <c r="I32" s="313">
        <f t="shared" ca="1" si="21"/>
        <v>1575</v>
      </c>
      <c r="J32" s="314">
        <f t="shared" ca="1" si="3"/>
        <v>101.61290322580645</v>
      </c>
      <c r="K32" s="610">
        <f ca="1">IFERROR(__xludf.DUMMYFUNCTION("IMPORTRANGE(""https://docs.google.com/spreadsheets/d/11923uPwbBZFjjGgGUA6NLw09EwE0CqkOc4q9oUmW1yo/edit?usp=sharing"",""อุทัยธานี!J470"")"),6)</f>
        <v>6</v>
      </c>
      <c r="L32" s="313">
        <f ca="1">IFERROR(__xludf.DUMMYFUNCTION("IMPORTRANGE(""https://docs.google.com/spreadsheets/d/11923uPwbBZFjjGgGUA6NLw09EwE0CqkOc4q9oUmW1yo/edit?usp=sharing"",""อุทัยธานี!J471"")"),251)</f>
        <v>251</v>
      </c>
      <c r="M32" s="313">
        <f ca="1">IFERROR(__xludf.DUMMYFUNCTION("IMPORTRANGE(""https://docs.google.com/spreadsheets/d/11923uPwbBZFjjGgGUA6NLw09EwE0CqkOc4q9oUmW1yo/edit?usp=sharing"",""อุทัยธานี!J472"")"),1324)</f>
        <v>1324</v>
      </c>
      <c r="N32" s="313">
        <f ca="1">IFERROR(__xludf.DUMMYFUNCTION("IMPORTRANGE(""https://docs.google.com/spreadsheets/d/11923uPwbBZFjjGgGUA6NLw09EwE0CqkOc4q9oUmW1yo/edit?usp=sharing"",""อุทัยธานี!J473"")"),0)</f>
        <v>0</v>
      </c>
      <c r="O32" s="611">
        <f ca="1">IFERROR(__xludf.DUMMYFUNCTION("IMPORTRANGE(""https://docs.google.com/spreadsheets/d/11923uPwbBZFjjGgGUA6NLw09EwE0CqkOc4q9oUmW1yo/edit?usp=sharing"",""อุทัยธานี!J474"")"),0)</f>
        <v>0</v>
      </c>
      <c r="P32" s="339"/>
      <c r="Q32" s="339"/>
      <c r="R32" s="339"/>
      <c r="S32" s="339"/>
      <c r="T32" s="339"/>
      <c r="U32" s="339"/>
      <c r="V32" s="339"/>
      <c r="W32" s="339"/>
      <c r="X32" s="339"/>
      <c r="Y32" s="339"/>
      <c r="Z32" s="339"/>
    </row>
    <row r="33" spans="1:26" ht="21" customHeight="1">
      <c r="A33" s="800" t="s">
        <v>57</v>
      </c>
      <c r="B33" s="678"/>
      <c r="C33" s="317">
        <f t="shared" ref="C33:F33" ca="1" si="22">SUM(C34:C53)</f>
        <v>5069674</v>
      </c>
      <c r="D33" s="318">
        <f t="shared" ca="1" si="22"/>
        <v>0</v>
      </c>
      <c r="E33" s="318">
        <f t="shared" ca="1" si="22"/>
        <v>5069674</v>
      </c>
      <c r="F33" s="319">
        <f t="shared" ca="1" si="22"/>
        <v>1838932.1600000001</v>
      </c>
      <c r="G33" s="319">
        <f t="shared" ca="1" si="1"/>
        <v>36.273183640604898</v>
      </c>
      <c r="H33" s="318">
        <f t="shared" ref="H33:I33" ca="1" si="23">SUM(H34:H53)</f>
        <v>75510</v>
      </c>
      <c r="I33" s="318">
        <f t="shared" ca="1" si="23"/>
        <v>77671</v>
      </c>
      <c r="J33" s="319">
        <f t="shared" ca="1" si="3"/>
        <v>102.86187259965567</v>
      </c>
      <c r="K33" s="398">
        <f t="shared" ref="K33:O33" ca="1" si="24">SUM(K34:K53)</f>
        <v>73</v>
      </c>
      <c r="L33" s="318">
        <f t="shared" ca="1" si="24"/>
        <v>6172</v>
      </c>
      <c r="M33" s="318">
        <f t="shared" ca="1" si="24"/>
        <v>70879</v>
      </c>
      <c r="N33" s="318">
        <f t="shared" ca="1" si="24"/>
        <v>115</v>
      </c>
      <c r="O33" s="612">
        <f t="shared" ca="1" si="24"/>
        <v>505</v>
      </c>
      <c r="P33" s="339"/>
      <c r="Q33" s="339"/>
      <c r="R33" s="339"/>
      <c r="S33" s="339"/>
      <c r="T33" s="339"/>
      <c r="U33" s="339"/>
      <c r="V33" s="339"/>
      <c r="W33" s="339"/>
      <c r="X33" s="339"/>
      <c r="Y33" s="339"/>
      <c r="Z33" s="339"/>
    </row>
    <row r="34" spans="1:26" ht="21" customHeight="1">
      <c r="A34" s="293">
        <v>1</v>
      </c>
      <c r="B34" s="357" t="s">
        <v>58</v>
      </c>
      <c r="C34" s="295">
        <f t="shared" ref="C34:C53" ca="1" si="25">+D34+E34</f>
        <v>148830</v>
      </c>
      <c r="D34" s="296">
        <f ca="1">IFERROR(__xludf.DUMMYFUNCTION("IMPORTRANGE(""https://docs.google.com/spreadsheets/d/1C3CXT74ZlgGe6_JY_1olB1XN4rF0dxEuIIF-xsYjHgg/edit?usp=sharing"",""งบกองทุน!EB38"")"),0)</f>
        <v>0</v>
      </c>
      <c r="E34" s="296">
        <f ca="1">IFERROR(__xludf.DUMMYFUNCTION("IMPORTRANGE(""https://docs.google.com/spreadsheets/d/1C3CXT74ZlgGe6_JY_1olB1XN4rF0dxEuIIF-xsYjHgg/edit?usp=sharing"",""งบกองทุน!EL38"")"),148830)</f>
        <v>148830</v>
      </c>
      <c r="F34" s="297">
        <f ca="1">IFERROR(__xludf.DUMMYFUNCTION("IMPORTRANGE(""https://docs.google.com/spreadsheets/d/1XL5vhW3sbDhbH9Cz0tuDiY8C3ctxq1tqvaCgkFb8cCA/edit?usp=sharing"",""กาฬสินธุ์!M475"")"),0)</f>
        <v>0</v>
      </c>
      <c r="G34" s="297">
        <f t="shared" ca="1" si="1"/>
        <v>0</v>
      </c>
      <c r="H34" s="296">
        <f ca="1">IFERROR(__xludf.DUMMYFUNCTION("IMPORTRANGE(""https://docs.google.com/spreadsheets/d/1C3CXT74ZlgGe6_JY_1olB1XN4rF0dxEuIIF-xsYjHgg/edit?usp=sharing"",""งบกองทุน!ED38"")"),2300)</f>
        <v>2300</v>
      </c>
      <c r="I34" s="296">
        <f t="shared" ref="I34:I53" ca="1" si="26">SUM(L34,M34,N34,O34)</f>
        <v>1313</v>
      </c>
      <c r="J34" s="297">
        <f t="shared" ca="1" si="3"/>
        <v>57.086956521739133</v>
      </c>
      <c r="K34" s="606">
        <f ca="1">IFERROR(__xludf.DUMMYFUNCTION("IMPORTRANGE(""https://docs.google.com/spreadsheets/d/1XL5vhW3sbDhbH9Cz0tuDiY8C3ctxq1tqvaCgkFb8cCA/edit?usp=sharing"",""กาฬสินธุ์!J470"")"),2)</f>
        <v>2</v>
      </c>
      <c r="L34" s="296">
        <f ca="1">IFERROR(__xludf.DUMMYFUNCTION("IMPORTRANGE(""https://docs.google.com/spreadsheets/d/1XL5vhW3sbDhbH9Cz0tuDiY8C3ctxq1tqvaCgkFb8cCA/edit?usp=sharing"",""กาฬสินธุ์!J471"")"),31)</f>
        <v>31</v>
      </c>
      <c r="M34" s="296">
        <f ca="1">IFERROR(__xludf.DUMMYFUNCTION("IMPORTRANGE(""https://docs.google.com/spreadsheets/d/1XL5vhW3sbDhbH9Cz0tuDiY8C3ctxq1tqvaCgkFb8cCA/edit?usp=sharing"",""กาฬสินธุ์!J472"")"),1282)</f>
        <v>1282</v>
      </c>
      <c r="N34" s="296">
        <f ca="1">IFERROR(__xludf.DUMMYFUNCTION("IMPORTRANGE(""https://docs.google.com/spreadsheets/d/1XL5vhW3sbDhbH9Cz0tuDiY8C3ctxq1tqvaCgkFb8cCA/edit?usp=sharing"",""กาฬสินธุ์!J473"")"),0)</f>
        <v>0</v>
      </c>
      <c r="O34" s="607">
        <f ca="1">IFERROR(__xludf.DUMMYFUNCTION("IMPORTRANGE(""https://docs.google.com/spreadsheets/d/1XL5vhW3sbDhbH9Cz0tuDiY8C3ctxq1tqvaCgkFb8cCA/edit?usp=sharing"",""กาฬสินธุ์!J474"")"),0)</f>
        <v>0</v>
      </c>
      <c r="P34" s="339"/>
      <c r="Q34" s="339"/>
      <c r="R34" s="339"/>
      <c r="S34" s="339"/>
      <c r="T34" s="339"/>
      <c r="U34" s="339"/>
      <c r="V34" s="339"/>
      <c r="W34" s="339"/>
      <c r="X34" s="339"/>
      <c r="Y34" s="339"/>
      <c r="Z34" s="339"/>
    </row>
    <row r="35" spans="1:26" ht="21" customHeight="1">
      <c r="A35" s="303">
        <v>2</v>
      </c>
      <c r="B35" s="304" t="s">
        <v>59</v>
      </c>
      <c r="C35" s="305">
        <f t="shared" ca="1" si="25"/>
        <v>172040</v>
      </c>
      <c r="D35" s="306">
        <f ca="1">IFERROR(__xludf.DUMMYFUNCTION("IMPORTRANGE(""https://docs.google.com/spreadsheets/d/1C3CXT74ZlgGe6_JY_1olB1XN4rF0dxEuIIF-xsYjHgg/edit?usp=sharing"",""งบกองทุน!EB39"")"),0)</f>
        <v>0</v>
      </c>
      <c r="E35" s="306">
        <f ca="1">IFERROR(__xludf.DUMMYFUNCTION("IMPORTRANGE(""https://docs.google.com/spreadsheets/d/1C3CXT74ZlgGe6_JY_1olB1XN4rF0dxEuIIF-xsYjHgg/edit?usp=sharing"",""งบกองทุน!EL39"")"),172040)</f>
        <v>172040</v>
      </c>
      <c r="F35" s="307">
        <f ca="1">IFERROR(__xludf.DUMMYFUNCTION("IMPORTRANGE(""https://docs.google.com/spreadsheets/d/1XL5vhW3sbDhbH9Cz0tuDiY8C3ctxq1tqvaCgkFb8cCA/edit?usp=sharing"",""ขอนแก่น!M475"")"),0)</f>
        <v>0</v>
      </c>
      <c r="G35" s="307">
        <f t="shared" ca="1" si="1"/>
        <v>0</v>
      </c>
      <c r="H35" s="306">
        <f ca="1">IFERROR(__xludf.DUMMYFUNCTION("IMPORTRANGE(""https://docs.google.com/spreadsheets/d/1C3CXT74ZlgGe6_JY_1olB1XN4rF0dxEuIIF-xsYjHgg/edit?usp=sharing"",""งบกองทุน!ED39"")"),3000)</f>
        <v>3000</v>
      </c>
      <c r="I35" s="306">
        <f t="shared" ca="1" si="26"/>
        <v>1125</v>
      </c>
      <c r="J35" s="307">
        <f t="shared" ca="1" si="3"/>
        <v>37.5</v>
      </c>
      <c r="K35" s="608">
        <f ca="1">IFERROR(__xludf.DUMMYFUNCTION("IMPORTRANGE(""https://docs.google.com/spreadsheets/d/1XL5vhW3sbDhbH9Cz0tuDiY8C3ctxq1tqvaCgkFb8cCA/edit?usp=sharing"",""ขอนแก่น!J470"")"),4)</f>
        <v>4</v>
      </c>
      <c r="L35" s="306">
        <f ca="1">IFERROR(__xludf.DUMMYFUNCTION("IMPORTRANGE(""https://docs.google.com/spreadsheets/d/1XL5vhW3sbDhbH9Cz0tuDiY8C3ctxq1tqvaCgkFb8cCA/edit?usp=sharing"",""ขอนแก่น!J471"")"),374)</f>
        <v>374</v>
      </c>
      <c r="M35" s="306">
        <f ca="1">IFERROR(__xludf.DUMMYFUNCTION("IMPORTRANGE(""https://docs.google.com/spreadsheets/d/1XL5vhW3sbDhbH9Cz0tuDiY8C3ctxq1tqvaCgkFb8cCA/edit?usp=sharing"",""ขอนแก่น!J472"")"),750)</f>
        <v>750</v>
      </c>
      <c r="N35" s="306">
        <f ca="1">IFERROR(__xludf.DUMMYFUNCTION("IMPORTRANGE(""https://docs.google.com/spreadsheets/d/1XL5vhW3sbDhbH9Cz0tuDiY8C3ctxq1tqvaCgkFb8cCA/edit?usp=sharing"",""ขอนแก่น!J473"")"),1)</f>
        <v>1</v>
      </c>
      <c r="O35" s="609">
        <f ca="1">IFERROR(__xludf.DUMMYFUNCTION("IMPORTRANGE(""https://docs.google.com/spreadsheets/d/1XL5vhW3sbDhbH9Cz0tuDiY8C3ctxq1tqvaCgkFb8cCA/edit?usp=sharing"",""ขอนแก่น!J474"")"),0)</f>
        <v>0</v>
      </c>
      <c r="P35" s="339"/>
      <c r="Q35" s="339"/>
      <c r="R35" s="339"/>
      <c r="S35" s="339"/>
      <c r="T35" s="339"/>
      <c r="U35" s="339"/>
      <c r="V35" s="339"/>
      <c r="W35" s="339"/>
      <c r="X35" s="339"/>
      <c r="Y35" s="339"/>
      <c r="Z35" s="339"/>
    </row>
    <row r="36" spans="1:26" ht="21" customHeight="1">
      <c r="A36" s="303">
        <v>3</v>
      </c>
      <c r="B36" s="304" t="s">
        <v>60</v>
      </c>
      <c r="C36" s="305">
        <f t="shared" ca="1" si="25"/>
        <v>0</v>
      </c>
      <c r="D36" s="306">
        <f ca="1">IFERROR(__xludf.DUMMYFUNCTION("IMPORTRANGE(""https://docs.google.com/spreadsheets/d/1C3CXT74ZlgGe6_JY_1olB1XN4rF0dxEuIIF-xsYjHgg/edit?usp=sharing"",""งบกองทุน!EB40"")"),0)</f>
        <v>0</v>
      </c>
      <c r="E36" s="306">
        <f ca="1">IFERROR(__xludf.DUMMYFUNCTION("IMPORTRANGE(""https://docs.google.com/spreadsheets/d/1C3CXT74ZlgGe6_JY_1olB1XN4rF0dxEuIIF-xsYjHgg/edit?usp=sharing"",""งบกองทุน!EL40"")"),0)</f>
        <v>0</v>
      </c>
      <c r="F36" s="307">
        <f ca="1">IFERROR(__xludf.DUMMYFUNCTION("IMPORTRANGE(""https://docs.google.com/spreadsheets/d/1XL5vhW3sbDhbH9Cz0tuDiY8C3ctxq1tqvaCgkFb8cCA/edit?usp=sharing"",""ชัยภูมิ!M475"")"),0)</f>
        <v>0</v>
      </c>
      <c r="G36" s="307">
        <f t="shared" ca="1" si="1"/>
        <v>0</v>
      </c>
      <c r="H36" s="306">
        <f ca="1">IFERROR(__xludf.DUMMYFUNCTION("IMPORTRANGE(""https://docs.google.com/spreadsheets/d/1C3CXT74ZlgGe6_JY_1olB1XN4rF0dxEuIIF-xsYjHgg/edit?usp=sharing"",""งบกองทุน!ED40"")"),4600)</f>
        <v>4600</v>
      </c>
      <c r="I36" s="306">
        <f t="shared" ca="1" si="26"/>
        <v>2343</v>
      </c>
      <c r="J36" s="307">
        <f t="shared" ca="1" si="3"/>
        <v>50.934782608695649</v>
      </c>
      <c r="K36" s="608">
        <f ca="1">IFERROR(__xludf.DUMMYFUNCTION("IMPORTRANGE(""https://docs.google.com/spreadsheets/d/1XL5vhW3sbDhbH9Cz0tuDiY8C3ctxq1tqvaCgkFb8cCA/edit?usp=sharing"",""ชัยภูมิ!J470"")"),1)</f>
        <v>1</v>
      </c>
      <c r="L36" s="306">
        <f ca="1">IFERROR(__xludf.DUMMYFUNCTION("IMPORTRANGE(""https://docs.google.com/spreadsheets/d/1XL5vhW3sbDhbH9Cz0tuDiY8C3ctxq1tqvaCgkFb8cCA/edit?usp=sharing"",""ชัยภูมิ!J471"")"),42)</f>
        <v>42</v>
      </c>
      <c r="M36" s="306">
        <f ca="1">IFERROR(__xludf.DUMMYFUNCTION("IMPORTRANGE(""https://docs.google.com/spreadsheets/d/1XL5vhW3sbDhbH9Cz0tuDiY8C3ctxq1tqvaCgkFb8cCA/edit?usp=sharing"",""ชัยภูมิ!J472"")"),2301)</f>
        <v>2301</v>
      </c>
      <c r="N36" s="306">
        <f ca="1">IFERROR(__xludf.DUMMYFUNCTION("IMPORTRANGE(""https://docs.google.com/spreadsheets/d/1XL5vhW3sbDhbH9Cz0tuDiY8C3ctxq1tqvaCgkFb8cCA/edit?usp=sharing"",""ชัยภูมิ!J473"")"),0)</f>
        <v>0</v>
      </c>
      <c r="O36" s="609">
        <f ca="1">IFERROR(__xludf.DUMMYFUNCTION("IMPORTRANGE(""https://docs.google.com/spreadsheets/d/1XL5vhW3sbDhbH9Cz0tuDiY8C3ctxq1tqvaCgkFb8cCA/edit?usp=sharing"",""ชัยภูมิ!J474"")"),0)</f>
        <v>0</v>
      </c>
      <c r="P36" s="339"/>
      <c r="Q36" s="339"/>
      <c r="R36" s="339"/>
      <c r="S36" s="339"/>
      <c r="T36" s="339"/>
      <c r="U36" s="339"/>
      <c r="V36" s="339"/>
      <c r="W36" s="339"/>
      <c r="X36" s="339"/>
      <c r="Y36" s="339"/>
      <c r="Z36" s="339"/>
    </row>
    <row r="37" spans="1:26" ht="21" customHeight="1">
      <c r="A37" s="303">
        <v>4</v>
      </c>
      <c r="B37" s="304" t="s">
        <v>61</v>
      </c>
      <c r="C37" s="305">
        <f t="shared" ca="1" si="25"/>
        <v>0</v>
      </c>
      <c r="D37" s="306">
        <f ca="1">IFERROR(__xludf.DUMMYFUNCTION("IMPORTRANGE(""https://docs.google.com/spreadsheets/d/1C3CXT74ZlgGe6_JY_1olB1XN4rF0dxEuIIF-xsYjHgg/edit?usp=sharing"",""งบกองทุน!EB41"")"),0)</f>
        <v>0</v>
      </c>
      <c r="E37" s="306">
        <f ca="1">IFERROR(__xludf.DUMMYFUNCTION("IMPORTRANGE(""https://docs.google.com/spreadsheets/d/1C3CXT74ZlgGe6_JY_1olB1XN4rF0dxEuIIF-xsYjHgg/edit?usp=sharing"",""งบกองทุน!EL41"")"),0)</f>
        <v>0</v>
      </c>
      <c r="F37" s="307">
        <f ca="1">IFERROR(__xludf.DUMMYFUNCTION("IMPORTRANGE(""https://docs.google.com/spreadsheets/d/1XL5vhW3sbDhbH9Cz0tuDiY8C3ctxq1tqvaCgkFb8cCA/edit?usp=sharing"",""นครพนม!M475"")"),0)</f>
        <v>0</v>
      </c>
      <c r="G37" s="307">
        <f t="shared" ca="1" si="1"/>
        <v>0</v>
      </c>
      <c r="H37" s="306">
        <f ca="1">IFERROR(__xludf.DUMMYFUNCTION("IMPORTRANGE(""https://docs.google.com/spreadsheets/d/1C3CXT74ZlgGe6_JY_1olB1XN4rF0dxEuIIF-xsYjHgg/edit?usp=sharing"",""งบกองทุน!ED41"")"),1200)</f>
        <v>1200</v>
      </c>
      <c r="I37" s="306">
        <f t="shared" ca="1" si="26"/>
        <v>1373</v>
      </c>
      <c r="J37" s="307">
        <f t="shared" ca="1" si="3"/>
        <v>114.41666666666667</v>
      </c>
      <c r="K37" s="608">
        <f ca="1">IFERROR(__xludf.DUMMYFUNCTION("IMPORTRANGE(""https://docs.google.com/spreadsheets/d/1XL5vhW3sbDhbH9Cz0tuDiY8C3ctxq1tqvaCgkFb8cCA/edit?usp=sharing"",""นครพนม!J470"")"),1)</f>
        <v>1</v>
      </c>
      <c r="L37" s="306">
        <f ca="1">IFERROR(__xludf.DUMMYFUNCTION("IMPORTRANGE(""https://docs.google.com/spreadsheets/d/1XL5vhW3sbDhbH9Cz0tuDiY8C3ctxq1tqvaCgkFb8cCA/edit?usp=sharing"",""นครพนม!J471"")"),138)</f>
        <v>138</v>
      </c>
      <c r="M37" s="306">
        <f ca="1">IFERROR(__xludf.DUMMYFUNCTION("IMPORTRANGE(""https://docs.google.com/spreadsheets/d/1XL5vhW3sbDhbH9Cz0tuDiY8C3ctxq1tqvaCgkFb8cCA/edit?usp=sharing"",""นครพนม!J472"")"),1235)</f>
        <v>1235</v>
      </c>
      <c r="N37" s="306">
        <f ca="1">IFERROR(__xludf.DUMMYFUNCTION("IMPORTRANGE(""https://docs.google.com/spreadsheets/d/1XL5vhW3sbDhbH9Cz0tuDiY8C3ctxq1tqvaCgkFb8cCA/edit?usp=sharing"",""นครพนม!J473"")"),0)</f>
        <v>0</v>
      </c>
      <c r="O37" s="609">
        <f ca="1">IFERROR(__xludf.DUMMYFUNCTION("IMPORTRANGE(""https://docs.google.com/spreadsheets/d/1XL5vhW3sbDhbH9Cz0tuDiY8C3ctxq1tqvaCgkFb8cCA/edit?usp=sharing"",""นครพนม!J474"")"),0)</f>
        <v>0</v>
      </c>
      <c r="P37" s="339"/>
      <c r="Q37" s="339"/>
      <c r="R37" s="339"/>
      <c r="S37" s="339"/>
      <c r="T37" s="339"/>
      <c r="U37" s="339"/>
      <c r="V37" s="339"/>
      <c r="W37" s="339"/>
      <c r="X37" s="339"/>
      <c r="Y37" s="339"/>
      <c r="Z37" s="339"/>
    </row>
    <row r="38" spans="1:26" ht="21" customHeight="1">
      <c r="A38" s="303">
        <v>5</v>
      </c>
      <c r="B38" s="304" t="s">
        <v>62</v>
      </c>
      <c r="C38" s="305">
        <f t="shared" ca="1" si="25"/>
        <v>1144600</v>
      </c>
      <c r="D38" s="306">
        <f ca="1">IFERROR(__xludf.DUMMYFUNCTION("IMPORTRANGE(""https://docs.google.com/spreadsheets/d/1C3CXT74ZlgGe6_JY_1olB1XN4rF0dxEuIIF-xsYjHgg/edit?usp=sharing"",""งบกองทุน!EB42"")"),0)</f>
        <v>0</v>
      </c>
      <c r="E38" s="306">
        <f ca="1">IFERROR(__xludf.DUMMYFUNCTION("IMPORTRANGE(""https://docs.google.com/spreadsheets/d/1C3CXT74ZlgGe6_JY_1olB1XN4rF0dxEuIIF-xsYjHgg/edit?usp=sharing"",""งบกองทุน!EL42"")"),1144600)</f>
        <v>1144600</v>
      </c>
      <c r="F38" s="307">
        <f ca="1">IFERROR(__xludf.DUMMYFUNCTION("IMPORTRANGE(""https://docs.google.com/spreadsheets/d/1XL5vhW3sbDhbH9Cz0tuDiY8C3ctxq1tqvaCgkFb8cCA/edit?usp=sharing"",""นครราชสีมา!M475"")"),631863.01)</f>
        <v>631863.01</v>
      </c>
      <c r="G38" s="307">
        <f t="shared" ca="1" si="1"/>
        <v>55.203827538004546</v>
      </c>
      <c r="H38" s="306">
        <f ca="1">IFERROR(__xludf.DUMMYFUNCTION("IMPORTRANGE(""https://docs.google.com/spreadsheets/d/1C3CXT74ZlgGe6_JY_1olB1XN4rF0dxEuIIF-xsYjHgg/edit?usp=sharing"",""งบกองทุน!ED42"")"),9000)</f>
        <v>9000</v>
      </c>
      <c r="I38" s="306">
        <f t="shared" ca="1" si="26"/>
        <v>12464</v>
      </c>
      <c r="J38" s="307">
        <f t="shared" ca="1" si="3"/>
        <v>138.48888888888888</v>
      </c>
      <c r="K38" s="608">
        <f ca="1">IFERROR(__xludf.DUMMYFUNCTION("IMPORTRANGE(""https://docs.google.com/spreadsheets/d/1XL5vhW3sbDhbH9Cz0tuDiY8C3ctxq1tqvaCgkFb8cCA/edit?usp=sharing"",""นครราชสีมา!J470"")"),7)</f>
        <v>7</v>
      </c>
      <c r="L38" s="306">
        <f ca="1">IFERROR(__xludf.DUMMYFUNCTION("IMPORTRANGE(""https://docs.google.com/spreadsheets/d/1XL5vhW3sbDhbH9Cz0tuDiY8C3ctxq1tqvaCgkFb8cCA/edit?usp=sharing"",""นครราชสีมา!J471"")"),1170)</f>
        <v>1170</v>
      </c>
      <c r="M38" s="306">
        <f ca="1">IFERROR(__xludf.DUMMYFUNCTION("IMPORTRANGE(""https://docs.google.com/spreadsheets/d/1XL5vhW3sbDhbH9Cz0tuDiY8C3ctxq1tqvaCgkFb8cCA/edit?usp=sharing"",""นครราชสีมา!J472"")"),11292)</f>
        <v>11292</v>
      </c>
      <c r="N38" s="306">
        <f ca="1">IFERROR(__xludf.DUMMYFUNCTION("IMPORTRANGE(""https://docs.google.com/spreadsheets/d/1XL5vhW3sbDhbH9Cz0tuDiY8C3ctxq1tqvaCgkFb8cCA/edit?usp=sharing"",""นครราชสีมา!J473"")"),2)</f>
        <v>2</v>
      </c>
      <c r="O38" s="609">
        <f ca="1">IFERROR(__xludf.DUMMYFUNCTION("IMPORTRANGE(""https://docs.google.com/spreadsheets/d/1XL5vhW3sbDhbH9Cz0tuDiY8C3ctxq1tqvaCgkFb8cCA/edit?usp=sharing"",""นครราชสีมา!J474"")"),0)</f>
        <v>0</v>
      </c>
      <c r="P38" s="339"/>
      <c r="Q38" s="339"/>
      <c r="R38" s="339"/>
      <c r="S38" s="339"/>
      <c r="T38" s="339"/>
      <c r="U38" s="339"/>
      <c r="V38" s="339"/>
      <c r="W38" s="339"/>
      <c r="X38" s="339"/>
      <c r="Y38" s="339"/>
      <c r="Z38" s="339"/>
    </row>
    <row r="39" spans="1:26" ht="21" customHeight="1">
      <c r="A39" s="303">
        <v>6</v>
      </c>
      <c r="B39" s="304" t="s">
        <v>63</v>
      </c>
      <c r="C39" s="305">
        <f t="shared" ca="1" si="25"/>
        <v>144350</v>
      </c>
      <c r="D39" s="306">
        <f ca="1">IFERROR(__xludf.DUMMYFUNCTION("IMPORTRANGE(""https://docs.google.com/spreadsheets/d/1C3CXT74ZlgGe6_JY_1olB1XN4rF0dxEuIIF-xsYjHgg/edit?usp=sharing"",""งบกองทุน!EB43"")"),0)</f>
        <v>0</v>
      </c>
      <c r="E39" s="306">
        <f ca="1">IFERROR(__xludf.DUMMYFUNCTION("IMPORTRANGE(""https://docs.google.com/spreadsheets/d/1C3CXT74ZlgGe6_JY_1olB1XN4rF0dxEuIIF-xsYjHgg/edit?usp=sharing"",""งบกองทุน!EL43"")"),144350)</f>
        <v>144350</v>
      </c>
      <c r="F39" s="307">
        <f ca="1">IFERROR(__xludf.DUMMYFUNCTION("IMPORTRANGE(""https://docs.google.com/spreadsheets/d/1XL5vhW3sbDhbH9Cz0tuDiY8C3ctxq1tqvaCgkFb8cCA/edit?usp=sharing"",""บึงกาฬ!M475"")"),0)</f>
        <v>0</v>
      </c>
      <c r="G39" s="307">
        <f t="shared" ca="1" si="1"/>
        <v>0</v>
      </c>
      <c r="H39" s="306">
        <f ca="1">IFERROR(__xludf.DUMMYFUNCTION("IMPORTRANGE(""https://docs.google.com/spreadsheets/d/1C3CXT74ZlgGe6_JY_1olB1XN4rF0dxEuIIF-xsYjHgg/edit?usp=sharing"",""งบกองทุน!ED43"")"),3500)</f>
        <v>3500</v>
      </c>
      <c r="I39" s="306">
        <f t="shared" ca="1" si="26"/>
        <v>1938</v>
      </c>
      <c r="J39" s="307">
        <f t="shared" ca="1" si="3"/>
        <v>55.371428571428574</v>
      </c>
      <c r="K39" s="608">
        <f ca="1">IFERROR(__xludf.DUMMYFUNCTION("IMPORTRANGE(""https://docs.google.com/spreadsheets/d/1XL5vhW3sbDhbH9Cz0tuDiY8C3ctxq1tqvaCgkFb8cCA/edit?usp=sharing"",""บึงกาฬ!J470"")"),3)</f>
        <v>3</v>
      </c>
      <c r="L39" s="306">
        <f ca="1">IFERROR(__xludf.DUMMYFUNCTION("IMPORTRANGE(""https://docs.google.com/spreadsheets/d/1XL5vhW3sbDhbH9Cz0tuDiY8C3ctxq1tqvaCgkFb8cCA/edit?usp=sharing"",""บึงกาฬ!J471"")"),155)</f>
        <v>155</v>
      </c>
      <c r="M39" s="306">
        <f ca="1">IFERROR(__xludf.DUMMYFUNCTION("IMPORTRANGE(""https://docs.google.com/spreadsheets/d/1XL5vhW3sbDhbH9Cz0tuDiY8C3ctxq1tqvaCgkFb8cCA/edit?usp=sharing"",""บึงกาฬ!J472"")"),1783)</f>
        <v>1783</v>
      </c>
      <c r="N39" s="306">
        <f ca="1">IFERROR(__xludf.DUMMYFUNCTION("IMPORTRANGE(""https://docs.google.com/spreadsheets/d/1XL5vhW3sbDhbH9Cz0tuDiY8C3ctxq1tqvaCgkFb8cCA/edit?usp=sharing"",""บึงกาฬ!J473"")"),0)</f>
        <v>0</v>
      </c>
      <c r="O39" s="609">
        <f ca="1">IFERROR(__xludf.DUMMYFUNCTION("IMPORTRANGE(""https://docs.google.com/spreadsheets/d/1XL5vhW3sbDhbH9Cz0tuDiY8C3ctxq1tqvaCgkFb8cCA/edit?usp=sharing"",""บึงกาฬ!J474"")"),0)</f>
        <v>0</v>
      </c>
      <c r="P39" s="339"/>
      <c r="Q39" s="339"/>
      <c r="R39" s="339"/>
      <c r="S39" s="339"/>
      <c r="T39" s="339"/>
      <c r="U39" s="339"/>
      <c r="V39" s="339"/>
      <c r="W39" s="339"/>
      <c r="X39" s="339"/>
      <c r="Y39" s="339"/>
      <c r="Z39" s="339"/>
    </row>
    <row r="40" spans="1:26" ht="21" customHeight="1">
      <c r="A40" s="303">
        <v>7</v>
      </c>
      <c r="B40" s="304" t="s">
        <v>64</v>
      </c>
      <c r="C40" s="305">
        <f t="shared" ca="1" si="25"/>
        <v>172040</v>
      </c>
      <c r="D40" s="306">
        <f ca="1">IFERROR(__xludf.DUMMYFUNCTION("IMPORTRANGE(""https://docs.google.com/spreadsheets/d/1C3CXT74ZlgGe6_JY_1olB1XN4rF0dxEuIIF-xsYjHgg/edit?usp=sharing"",""งบกองทุน!EB44"")"),0)</f>
        <v>0</v>
      </c>
      <c r="E40" s="306">
        <f ca="1">IFERROR(__xludf.DUMMYFUNCTION("IMPORTRANGE(""https://docs.google.com/spreadsheets/d/1C3CXT74ZlgGe6_JY_1olB1XN4rF0dxEuIIF-xsYjHgg/edit?usp=sharing"",""งบกองทุน!EL44"")"),172040)</f>
        <v>172040</v>
      </c>
      <c r="F40" s="307">
        <f ca="1">IFERROR(__xludf.DUMMYFUNCTION("IMPORTRANGE(""https://docs.google.com/spreadsheets/d/1XL5vhW3sbDhbH9Cz0tuDiY8C3ctxq1tqvaCgkFb8cCA/edit?usp=sharing"",""บุรีรัมย์!M475"")"),15360)</f>
        <v>15360</v>
      </c>
      <c r="G40" s="307">
        <f t="shared" ca="1" si="1"/>
        <v>8.9281562427342482</v>
      </c>
      <c r="H40" s="306">
        <f ca="1">IFERROR(__xludf.DUMMYFUNCTION("IMPORTRANGE(""https://docs.google.com/spreadsheets/d/1C3CXT74ZlgGe6_JY_1olB1XN4rF0dxEuIIF-xsYjHgg/edit?usp=sharing"",""งบกองทุน!ED44"")"),4900)</f>
        <v>4900</v>
      </c>
      <c r="I40" s="306">
        <f t="shared" ca="1" si="26"/>
        <v>6624</v>
      </c>
      <c r="J40" s="307">
        <f t="shared" ca="1" si="3"/>
        <v>135.18367346938774</v>
      </c>
      <c r="K40" s="608">
        <f ca="1">IFERROR(__xludf.DUMMYFUNCTION("IMPORTRANGE(""https://docs.google.com/spreadsheets/d/1XL5vhW3sbDhbH9Cz0tuDiY8C3ctxq1tqvaCgkFb8cCA/edit?usp=sharing"",""บุรีรัมย์!J470"")"),2)</f>
        <v>2</v>
      </c>
      <c r="L40" s="306">
        <f ca="1">IFERROR(__xludf.DUMMYFUNCTION("IMPORTRANGE(""https://docs.google.com/spreadsheets/d/1XL5vhW3sbDhbH9Cz0tuDiY8C3ctxq1tqvaCgkFb8cCA/edit?usp=sharing"",""บุรีรัมย์!J471"")"),121)</f>
        <v>121</v>
      </c>
      <c r="M40" s="306">
        <f ca="1">IFERROR(__xludf.DUMMYFUNCTION("IMPORTRANGE(""https://docs.google.com/spreadsheets/d/1XL5vhW3sbDhbH9Cz0tuDiY8C3ctxq1tqvaCgkFb8cCA/edit?usp=sharing"",""บุรีรัมย์!J472"")"),6503)</f>
        <v>6503</v>
      </c>
      <c r="N40" s="306">
        <f ca="1">IFERROR(__xludf.DUMMYFUNCTION("IMPORTRANGE(""https://docs.google.com/spreadsheets/d/1XL5vhW3sbDhbH9Cz0tuDiY8C3ctxq1tqvaCgkFb8cCA/edit?usp=sharing"",""บุรีรัมย์!J473"")"),0)</f>
        <v>0</v>
      </c>
      <c r="O40" s="609">
        <f ca="1">IFERROR(__xludf.DUMMYFUNCTION("IMPORTRANGE(""https://docs.google.com/spreadsheets/d/1XL5vhW3sbDhbH9Cz0tuDiY8C3ctxq1tqvaCgkFb8cCA/edit?usp=sharing"",""บุรีรัมย์!J474"")"),0)</f>
        <v>0</v>
      </c>
      <c r="P40" s="339"/>
      <c r="Q40" s="339"/>
      <c r="R40" s="339"/>
      <c r="S40" s="339"/>
      <c r="T40" s="339"/>
      <c r="U40" s="339"/>
      <c r="V40" s="339"/>
      <c r="W40" s="339"/>
      <c r="X40" s="339"/>
      <c r="Y40" s="339"/>
      <c r="Z40" s="339"/>
    </row>
    <row r="41" spans="1:26" ht="21" customHeight="1">
      <c r="A41" s="303">
        <v>8</v>
      </c>
      <c r="B41" s="304" t="s">
        <v>65</v>
      </c>
      <c r="C41" s="305">
        <f t="shared" ca="1" si="25"/>
        <v>0</v>
      </c>
      <c r="D41" s="306">
        <f ca="1">IFERROR(__xludf.DUMMYFUNCTION("IMPORTRANGE(""https://docs.google.com/spreadsheets/d/1C3CXT74ZlgGe6_JY_1olB1XN4rF0dxEuIIF-xsYjHgg/edit?usp=sharing"",""งบกองทุน!EB45"")"),0)</f>
        <v>0</v>
      </c>
      <c r="E41" s="306">
        <f ca="1">IFERROR(__xludf.DUMMYFUNCTION("IMPORTRANGE(""https://docs.google.com/spreadsheets/d/1C3CXT74ZlgGe6_JY_1olB1XN4rF0dxEuIIF-xsYjHgg/edit?usp=sharing"",""งบกองทุน!EL45"")"),0)</f>
        <v>0</v>
      </c>
      <c r="F41" s="307">
        <f ca="1">IFERROR(__xludf.DUMMYFUNCTION("IMPORTRANGE(""https://docs.google.com/spreadsheets/d/1XL5vhW3sbDhbH9Cz0tuDiY8C3ctxq1tqvaCgkFb8cCA/edit?usp=sharing"",""มหาสารคาม!M475"")"),0)</f>
        <v>0</v>
      </c>
      <c r="G41" s="307">
        <f t="shared" ca="1" si="1"/>
        <v>0</v>
      </c>
      <c r="H41" s="306">
        <f ca="1">IFERROR(__xludf.DUMMYFUNCTION("IMPORTRANGE(""https://docs.google.com/spreadsheets/d/1C3CXT74ZlgGe6_JY_1olB1XN4rF0dxEuIIF-xsYjHgg/edit?usp=sharing"",""งบกองทุน!ED45"")"),950)</f>
        <v>950</v>
      </c>
      <c r="I41" s="306">
        <f t="shared" ca="1" si="26"/>
        <v>1297</v>
      </c>
      <c r="J41" s="307">
        <f t="shared" ca="1" si="3"/>
        <v>136.52631578947367</v>
      </c>
      <c r="K41" s="608">
        <f ca="1">IFERROR(__xludf.DUMMYFUNCTION("IMPORTRANGE(""https://docs.google.com/spreadsheets/d/1XL5vhW3sbDhbH9Cz0tuDiY8C3ctxq1tqvaCgkFb8cCA/edit?usp=sharing"",""มหาสารคาม!J470"")"),2)</f>
        <v>2</v>
      </c>
      <c r="L41" s="306">
        <f ca="1">IFERROR(__xludf.DUMMYFUNCTION("IMPORTRANGE(""https://docs.google.com/spreadsheets/d/1XL5vhW3sbDhbH9Cz0tuDiY8C3ctxq1tqvaCgkFb8cCA/edit?usp=sharing"",""มหาสารคาม!J471"")"),51)</f>
        <v>51</v>
      </c>
      <c r="M41" s="306">
        <f ca="1">IFERROR(__xludf.DUMMYFUNCTION("IMPORTRANGE(""https://docs.google.com/spreadsheets/d/1XL5vhW3sbDhbH9Cz0tuDiY8C3ctxq1tqvaCgkFb8cCA/edit?usp=sharing"",""มหาสารคาม!J472"")"),1246)</f>
        <v>1246</v>
      </c>
      <c r="N41" s="306">
        <f ca="1">IFERROR(__xludf.DUMMYFUNCTION("IMPORTRANGE(""https://docs.google.com/spreadsheets/d/1XL5vhW3sbDhbH9Cz0tuDiY8C3ctxq1tqvaCgkFb8cCA/edit?usp=sharing"",""มหาสารคาม!J473"")"),0)</f>
        <v>0</v>
      </c>
      <c r="O41" s="609">
        <f ca="1">IFERROR(__xludf.DUMMYFUNCTION("IMPORTRANGE(""https://docs.google.com/spreadsheets/d/1XL5vhW3sbDhbH9Cz0tuDiY8C3ctxq1tqvaCgkFb8cCA/edit?usp=sharing"",""มหาสารคาม!J474"")"),0)</f>
        <v>0</v>
      </c>
      <c r="P41" s="339"/>
      <c r="Q41" s="339"/>
      <c r="R41" s="339"/>
      <c r="S41" s="339"/>
      <c r="T41" s="339"/>
      <c r="U41" s="339"/>
      <c r="V41" s="339"/>
      <c r="W41" s="339"/>
      <c r="X41" s="339"/>
      <c r="Y41" s="339"/>
      <c r="Z41" s="339"/>
    </row>
    <row r="42" spans="1:26" ht="21" customHeight="1">
      <c r="A42" s="303">
        <v>9</v>
      </c>
      <c r="B42" s="304" t="s">
        <v>66</v>
      </c>
      <c r="C42" s="305">
        <f t="shared" ca="1" si="25"/>
        <v>134440</v>
      </c>
      <c r="D42" s="306">
        <f ca="1">IFERROR(__xludf.DUMMYFUNCTION("IMPORTRANGE(""https://docs.google.com/spreadsheets/d/1C3CXT74ZlgGe6_JY_1olB1XN4rF0dxEuIIF-xsYjHgg/edit?usp=sharing"",""งบกองทุน!EB46"")"),0)</f>
        <v>0</v>
      </c>
      <c r="E42" s="306">
        <f ca="1">IFERROR(__xludf.DUMMYFUNCTION("IMPORTRANGE(""https://docs.google.com/spreadsheets/d/1C3CXT74ZlgGe6_JY_1olB1XN4rF0dxEuIIF-xsYjHgg/edit?usp=sharing"",""งบกองทุน!EL46"")"),134440)</f>
        <v>134440</v>
      </c>
      <c r="F42" s="307">
        <f ca="1">IFERROR(__xludf.DUMMYFUNCTION("IMPORTRANGE(""https://docs.google.com/spreadsheets/d/1XL5vhW3sbDhbH9Cz0tuDiY8C3ctxq1tqvaCgkFb8cCA/edit?usp=sharing"",""มุกดาหาร!M475"")"),78080)</f>
        <v>78080</v>
      </c>
      <c r="G42" s="307">
        <f t="shared" ca="1" si="1"/>
        <v>58.077952990181494</v>
      </c>
      <c r="H42" s="306">
        <f ca="1">IFERROR(__xludf.DUMMYFUNCTION("IMPORTRANGE(""https://docs.google.com/spreadsheets/d/1C3CXT74ZlgGe6_JY_1olB1XN4rF0dxEuIIF-xsYjHgg/edit?usp=sharing"",""งบกองทุน!ED46"")"),1800)</f>
        <v>1800</v>
      </c>
      <c r="I42" s="306">
        <f t="shared" ca="1" si="26"/>
        <v>1893</v>
      </c>
      <c r="J42" s="307">
        <f t="shared" ca="1" si="3"/>
        <v>105.16666666666667</v>
      </c>
      <c r="K42" s="608">
        <f ca="1">IFERROR(__xludf.DUMMYFUNCTION("IMPORTRANGE(""https://docs.google.com/spreadsheets/d/1XL5vhW3sbDhbH9Cz0tuDiY8C3ctxq1tqvaCgkFb8cCA/edit?usp=sharing"",""มุกดาหาร!J470"")"),3)</f>
        <v>3</v>
      </c>
      <c r="L42" s="306">
        <f ca="1">IFERROR(__xludf.DUMMYFUNCTION("IMPORTRANGE(""https://docs.google.com/spreadsheets/d/1XL5vhW3sbDhbH9Cz0tuDiY8C3ctxq1tqvaCgkFb8cCA/edit?usp=sharing"",""มุกดาหาร!J471"")"),238)</f>
        <v>238</v>
      </c>
      <c r="M42" s="306">
        <f ca="1">IFERROR(__xludf.DUMMYFUNCTION("IMPORTRANGE(""https://docs.google.com/spreadsheets/d/1XL5vhW3sbDhbH9Cz0tuDiY8C3ctxq1tqvaCgkFb8cCA/edit?usp=sharing"",""มุกดาหาร!J472"")"),1655)</f>
        <v>1655</v>
      </c>
      <c r="N42" s="306">
        <f ca="1">IFERROR(__xludf.DUMMYFUNCTION("IMPORTRANGE(""https://docs.google.com/spreadsheets/d/1XL5vhW3sbDhbH9Cz0tuDiY8C3ctxq1tqvaCgkFb8cCA/edit?usp=sharing"",""มุกดาหาร!J473"")"),0)</f>
        <v>0</v>
      </c>
      <c r="O42" s="609">
        <f ca="1">IFERROR(__xludf.DUMMYFUNCTION("IMPORTRANGE(""https://docs.google.com/spreadsheets/d/1XL5vhW3sbDhbH9Cz0tuDiY8C3ctxq1tqvaCgkFb8cCA/edit?usp=sharing"",""มุกดาหาร!J474"")"),0)</f>
        <v>0</v>
      </c>
      <c r="P42" s="339"/>
      <c r="Q42" s="339"/>
      <c r="R42" s="339"/>
      <c r="S42" s="339"/>
      <c r="T42" s="339"/>
      <c r="U42" s="339"/>
      <c r="V42" s="339"/>
      <c r="W42" s="339"/>
      <c r="X42" s="339"/>
      <c r="Y42" s="339"/>
      <c r="Z42" s="339"/>
    </row>
    <row r="43" spans="1:26" ht="21" customHeight="1">
      <c r="A43" s="303">
        <v>10</v>
      </c>
      <c r="B43" s="304" t="s">
        <v>67</v>
      </c>
      <c r="C43" s="305">
        <f t="shared" ca="1" si="25"/>
        <v>306100</v>
      </c>
      <c r="D43" s="306">
        <f ca="1">IFERROR(__xludf.DUMMYFUNCTION("IMPORTRANGE(""https://docs.google.com/spreadsheets/d/1C3CXT74ZlgGe6_JY_1olB1XN4rF0dxEuIIF-xsYjHgg/edit?usp=sharing"",""งบกองทุน!EB47"")"),0)</f>
        <v>0</v>
      </c>
      <c r="E43" s="306">
        <f ca="1">IFERROR(__xludf.DUMMYFUNCTION("IMPORTRANGE(""https://docs.google.com/spreadsheets/d/1C3CXT74ZlgGe6_JY_1olB1XN4rF0dxEuIIF-xsYjHgg/edit?usp=sharing"",""งบกองทุน!EL47"")"),306100)</f>
        <v>306100</v>
      </c>
      <c r="F43" s="307">
        <f ca="1">IFERROR(__xludf.DUMMYFUNCTION("IMPORTRANGE(""https://docs.google.com/spreadsheets/d/1XL5vhW3sbDhbH9Cz0tuDiY8C3ctxq1tqvaCgkFb8cCA/edit?usp=sharing"",""ยโสธร!M475"")"),85253)</f>
        <v>85253</v>
      </c>
      <c r="G43" s="307">
        <f t="shared" ca="1" si="1"/>
        <v>27.851355766089512</v>
      </c>
      <c r="H43" s="306">
        <f ca="1">IFERROR(__xludf.DUMMYFUNCTION("IMPORTRANGE(""https://docs.google.com/spreadsheets/d/1C3CXT74ZlgGe6_JY_1olB1XN4rF0dxEuIIF-xsYjHgg/edit?usp=sharing"",""งบกองทุน!ED47"")"),1900)</f>
        <v>1900</v>
      </c>
      <c r="I43" s="306">
        <f t="shared" ca="1" si="26"/>
        <v>3414</v>
      </c>
      <c r="J43" s="307">
        <f t="shared" ca="1" si="3"/>
        <v>179.68421052631578</v>
      </c>
      <c r="K43" s="608">
        <f ca="1">IFERROR(__xludf.DUMMYFUNCTION("IMPORTRANGE(""https://docs.google.com/spreadsheets/d/1XL5vhW3sbDhbH9Cz0tuDiY8C3ctxq1tqvaCgkFb8cCA/edit?usp=sharing"",""ยโสธร!J470"")"),9)</f>
        <v>9</v>
      </c>
      <c r="L43" s="306">
        <f ca="1">IFERROR(__xludf.DUMMYFUNCTION("IMPORTRANGE(""https://docs.google.com/spreadsheets/d/1XL5vhW3sbDhbH9Cz0tuDiY8C3ctxq1tqvaCgkFb8cCA/edit?usp=sharing"",""ยโสธร!J471"")"),181)</f>
        <v>181</v>
      </c>
      <c r="M43" s="306">
        <f ca="1">IFERROR(__xludf.DUMMYFUNCTION("IMPORTRANGE(""https://docs.google.com/spreadsheets/d/1XL5vhW3sbDhbH9Cz0tuDiY8C3ctxq1tqvaCgkFb8cCA/edit?usp=sharing"",""ยโสธร!J472"")"),3233)</f>
        <v>3233</v>
      </c>
      <c r="N43" s="306">
        <f ca="1">IFERROR(__xludf.DUMMYFUNCTION("IMPORTRANGE(""https://docs.google.com/spreadsheets/d/1XL5vhW3sbDhbH9Cz0tuDiY8C3ctxq1tqvaCgkFb8cCA/edit?usp=sharing"",""ยโสธร!J473"")"),0)</f>
        <v>0</v>
      </c>
      <c r="O43" s="609">
        <f ca="1">IFERROR(__xludf.DUMMYFUNCTION("IMPORTRANGE(""https://docs.google.com/spreadsheets/d/1XL5vhW3sbDhbH9Cz0tuDiY8C3ctxq1tqvaCgkFb8cCA/edit?usp=sharing"",""ยโสธร!J474"")"),0)</f>
        <v>0</v>
      </c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</row>
    <row r="44" spans="1:26" ht="21" customHeight="1">
      <c r="A44" s="303">
        <v>11</v>
      </c>
      <c r="B44" s="304" t="s">
        <v>68</v>
      </c>
      <c r="C44" s="305">
        <f t="shared" ca="1" si="25"/>
        <v>297420</v>
      </c>
      <c r="D44" s="306">
        <f ca="1">IFERROR(__xludf.DUMMYFUNCTION("IMPORTRANGE(""https://docs.google.com/spreadsheets/d/1C3CXT74ZlgGe6_JY_1olB1XN4rF0dxEuIIF-xsYjHgg/edit?usp=sharing"",""งบกองทุน!EB48"")"),0)</f>
        <v>0</v>
      </c>
      <c r="E44" s="306">
        <f ca="1">IFERROR(__xludf.DUMMYFUNCTION("IMPORTRANGE(""https://docs.google.com/spreadsheets/d/1C3CXT74ZlgGe6_JY_1olB1XN4rF0dxEuIIF-xsYjHgg/edit?usp=sharing"",""งบกองทุน!EL48"")"),297420)</f>
        <v>297420</v>
      </c>
      <c r="F44" s="307">
        <f ca="1">IFERROR(__xludf.DUMMYFUNCTION("IMPORTRANGE(""https://docs.google.com/spreadsheets/d/1XL5vhW3sbDhbH9Cz0tuDiY8C3ctxq1tqvaCgkFb8cCA/edit?usp=sharing"",""ร้อยเอ็ด!M475"")"),72240.41)</f>
        <v>72240.41</v>
      </c>
      <c r="G44" s="307">
        <f t="shared" ca="1" si="1"/>
        <v>24.289022258086209</v>
      </c>
      <c r="H44" s="306">
        <f ca="1">IFERROR(__xludf.DUMMYFUNCTION("IMPORTRANGE(""https://docs.google.com/spreadsheets/d/1C3CXT74ZlgGe6_JY_1olB1XN4rF0dxEuIIF-xsYjHgg/edit?usp=sharing"",""งบกองทุน!ED48"")"),2800)</f>
        <v>2800</v>
      </c>
      <c r="I44" s="306">
        <f t="shared" ca="1" si="26"/>
        <v>4562</v>
      </c>
      <c r="J44" s="307">
        <f t="shared" ca="1" si="3"/>
        <v>162.92857142857142</v>
      </c>
      <c r="K44" s="608">
        <f ca="1">IFERROR(__xludf.DUMMYFUNCTION("IMPORTRANGE(""https://docs.google.com/spreadsheets/d/1XL5vhW3sbDhbH9Cz0tuDiY8C3ctxq1tqvaCgkFb8cCA/edit?usp=sharing"",""ร้อยเอ็ด!J470"")"),4)</f>
        <v>4</v>
      </c>
      <c r="L44" s="306">
        <f ca="1">IFERROR(__xludf.DUMMYFUNCTION("IMPORTRANGE(""https://docs.google.com/spreadsheets/d/1XL5vhW3sbDhbH9Cz0tuDiY8C3ctxq1tqvaCgkFb8cCA/edit?usp=sharing"",""ร้อยเอ็ด!J471"")"),200)</f>
        <v>200</v>
      </c>
      <c r="M44" s="306">
        <f ca="1">IFERROR(__xludf.DUMMYFUNCTION("IMPORTRANGE(""https://docs.google.com/spreadsheets/d/1XL5vhW3sbDhbH9Cz0tuDiY8C3ctxq1tqvaCgkFb8cCA/edit?usp=sharing"",""ร้อยเอ็ด!J472"")"),4152)</f>
        <v>4152</v>
      </c>
      <c r="N44" s="306">
        <f ca="1">IFERROR(__xludf.DUMMYFUNCTION("IMPORTRANGE(""https://docs.google.com/spreadsheets/d/1XL5vhW3sbDhbH9Cz0tuDiY8C3ctxq1tqvaCgkFb8cCA/edit?usp=sharing"",""ร้อยเอ็ด!J473"")"),10)</f>
        <v>10</v>
      </c>
      <c r="O44" s="609">
        <f ca="1">IFERROR(__xludf.DUMMYFUNCTION("IMPORTRANGE(""https://docs.google.com/spreadsheets/d/1XL5vhW3sbDhbH9Cz0tuDiY8C3ctxq1tqvaCgkFb8cCA/edit?usp=sharing"",""ร้อยเอ็ด!J474"")"),200)</f>
        <v>200</v>
      </c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</row>
    <row r="45" spans="1:26" ht="21" customHeight="1">
      <c r="A45" s="303">
        <v>12</v>
      </c>
      <c r="B45" s="304" t="s">
        <v>69</v>
      </c>
      <c r="C45" s="305">
        <f t="shared" ca="1" si="25"/>
        <v>257660</v>
      </c>
      <c r="D45" s="306">
        <f ca="1">IFERROR(__xludf.DUMMYFUNCTION("IMPORTRANGE(""https://docs.google.com/spreadsheets/d/1C3CXT74ZlgGe6_JY_1olB1XN4rF0dxEuIIF-xsYjHgg/edit?usp=sharing"",""งบกองทุน!EB49"")"),0)</f>
        <v>0</v>
      </c>
      <c r="E45" s="306">
        <f ca="1">IFERROR(__xludf.DUMMYFUNCTION("IMPORTRANGE(""https://docs.google.com/spreadsheets/d/1C3CXT74ZlgGe6_JY_1olB1XN4rF0dxEuIIF-xsYjHgg/edit?usp=sharing"",""งบกองทุน!EL49"")"),257660)</f>
        <v>257660</v>
      </c>
      <c r="F45" s="307">
        <f ca="1">IFERROR(__xludf.DUMMYFUNCTION("IMPORTRANGE(""https://docs.google.com/spreadsheets/d/1XL5vhW3sbDhbH9Cz0tuDiY8C3ctxq1tqvaCgkFb8cCA/edit?usp=sharing"",""เลย!M475"")"),38669.54)</f>
        <v>38669.54</v>
      </c>
      <c r="G45" s="307">
        <f t="shared" ca="1" si="1"/>
        <v>15.007971745711403</v>
      </c>
      <c r="H45" s="306">
        <f ca="1">IFERROR(__xludf.DUMMYFUNCTION("IMPORTRANGE(""https://docs.google.com/spreadsheets/d/1C3CXT74ZlgGe6_JY_1olB1XN4rF0dxEuIIF-xsYjHgg/edit?usp=sharing"",""งบกองทุน!ED49"")"),3400)</f>
        <v>3400</v>
      </c>
      <c r="I45" s="306">
        <f t="shared" ca="1" si="26"/>
        <v>3505</v>
      </c>
      <c r="J45" s="307">
        <f t="shared" ca="1" si="3"/>
        <v>103.08823529411765</v>
      </c>
      <c r="K45" s="608">
        <f ca="1">IFERROR(__xludf.DUMMYFUNCTION("IMPORTRANGE(""https://docs.google.com/spreadsheets/d/1XL5vhW3sbDhbH9Cz0tuDiY8C3ctxq1tqvaCgkFb8cCA/edit?usp=sharing"",""เลย!J470"")"),7)</f>
        <v>7</v>
      </c>
      <c r="L45" s="306">
        <f ca="1">IFERROR(__xludf.DUMMYFUNCTION("IMPORTRANGE(""https://docs.google.com/spreadsheets/d/1XL5vhW3sbDhbH9Cz0tuDiY8C3ctxq1tqvaCgkFb8cCA/edit?usp=sharing"",""เลย!J471"")"),556)</f>
        <v>556</v>
      </c>
      <c r="M45" s="306">
        <f ca="1">IFERROR(__xludf.DUMMYFUNCTION("IMPORTRANGE(""https://docs.google.com/spreadsheets/d/1XL5vhW3sbDhbH9Cz0tuDiY8C3ctxq1tqvaCgkFb8cCA/edit?usp=sharing"",""เลย!J472"")"),2857)</f>
        <v>2857</v>
      </c>
      <c r="N45" s="306">
        <f ca="1">IFERROR(__xludf.DUMMYFUNCTION("IMPORTRANGE(""https://docs.google.com/spreadsheets/d/1XL5vhW3sbDhbH9Cz0tuDiY8C3ctxq1tqvaCgkFb8cCA/edit?usp=sharing"",""เลย!J473"")"),1)</f>
        <v>1</v>
      </c>
      <c r="O45" s="609">
        <f ca="1">IFERROR(__xludf.DUMMYFUNCTION("IMPORTRANGE(""https://docs.google.com/spreadsheets/d/1XL5vhW3sbDhbH9Cz0tuDiY8C3ctxq1tqvaCgkFb8cCA/edit?usp=sharing"",""เลย!J474"")"),91)</f>
        <v>91</v>
      </c>
      <c r="P45" s="339"/>
      <c r="Q45" s="339"/>
      <c r="R45" s="339"/>
      <c r="S45" s="339"/>
      <c r="T45" s="339"/>
      <c r="U45" s="339"/>
      <c r="V45" s="339"/>
      <c r="W45" s="339"/>
      <c r="X45" s="339"/>
      <c r="Y45" s="339"/>
      <c r="Z45" s="339"/>
    </row>
    <row r="46" spans="1:26" ht="21" customHeight="1">
      <c r="A46" s="303">
        <v>13</v>
      </c>
      <c r="B46" s="304" t="s">
        <v>70</v>
      </c>
      <c r="C46" s="305">
        <f t="shared" ca="1" si="25"/>
        <v>355750</v>
      </c>
      <c r="D46" s="306">
        <f ca="1">IFERROR(__xludf.DUMMYFUNCTION("IMPORTRANGE(""https://docs.google.com/spreadsheets/d/1C3CXT74ZlgGe6_JY_1olB1XN4rF0dxEuIIF-xsYjHgg/edit?usp=sharing"",""งบกองทุน!EB50"")"),0)</f>
        <v>0</v>
      </c>
      <c r="E46" s="306">
        <f ca="1">IFERROR(__xludf.DUMMYFUNCTION("IMPORTRANGE(""https://docs.google.com/spreadsheets/d/1C3CXT74ZlgGe6_JY_1olB1XN4rF0dxEuIIF-xsYjHgg/edit?usp=sharing"",""งบกองทุน!EL50"")"),355750)</f>
        <v>355750</v>
      </c>
      <c r="F46" s="307">
        <f ca="1">IFERROR(__xludf.DUMMYFUNCTION("IMPORTRANGE(""https://docs.google.com/spreadsheets/d/1XL5vhW3sbDhbH9Cz0tuDiY8C3ctxq1tqvaCgkFb8cCA/edit?usp=sharing"",""ศรีสะเกษ!M475"")"),18451.64)</f>
        <v>18451.64</v>
      </c>
      <c r="G46" s="307">
        <f t="shared" ca="1" si="1"/>
        <v>5.1866872803935351</v>
      </c>
      <c r="H46" s="306">
        <f ca="1">IFERROR(__xludf.DUMMYFUNCTION("IMPORTRANGE(""https://docs.google.com/spreadsheets/d/1C3CXT74ZlgGe6_JY_1olB1XN4rF0dxEuIIF-xsYjHgg/edit?usp=sharing"",""งบกองทุน!ED50"")"),6600)</f>
        <v>6600</v>
      </c>
      <c r="I46" s="306">
        <f t="shared" ca="1" si="26"/>
        <v>2869</v>
      </c>
      <c r="J46" s="307">
        <f t="shared" ca="1" si="3"/>
        <v>43.469696969696969</v>
      </c>
      <c r="K46" s="608">
        <f ca="1">IFERROR(__xludf.DUMMYFUNCTION("IMPORTRANGE(""https://docs.google.com/spreadsheets/d/1XL5vhW3sbDhbH9Cz0tuDiY8C3ctxq1tqvaCgkFb8cCA/edit?usp=sharing"",""ศรีสะเกษ!J470"")"),2)</f>
        <v>2</v>
      </c>
      <c r="L46" s="306">
        <f ca="1">IFERROR(__xludf.DUMMYFUNCTION("IMPORTRANGE(""https://docs.google.com/spreadsheets/d/1XL5vhW3sbDhbH9Cz0tuDiY8C3ctxq1tqvaCgkFb8cCA/edit?usp=sharing"",""ศรีสะเกษ!J471"")"),345)</f>
        <v>345</v>
      </c>
      <c r="M46" s="306">
        <f ca="1">IFERROR(__xludf.DUMMYFUNCTION("IMPORTRANGE(""https://docs.google.com/spreadsheets/d/1XL5vhW3sbDhbH9Cz0tuDiY8C3ctxq1tqvaCgkFb8cCA/edit?usp=sharing"",""ศรีสะเกษ!J472"")"),2524)</f>
        <v>2524</v>
      </c>
      <c r="N46" s="306">
        <f ca="1">IFERROR(__xludf.DUMMYFUNCTION("IMPORTRANGE(""https://docs.google.com/spreadsheets/d/1XL5vhW3sbDhbH9Cz0tuDiY8C3ctxq1tqvaCgkFb8cCA/edit?usp=sharing"",""ศรีสะเกษ!J473"")"),0)</f>
        <v>0</v>
      </c>
      <c r="O46" s="609">
        <f ca="1">IFERROR(__xludf.DUMMYFUNCTION("IMPORTRANGE(""https://docs.google.com/spreadsheets/d/1XL5vhW3sbDhbH9Cz0tuDiY8C3ctxq1tqvaCgkFb8cCA/edit?usp=sharing"",""ศรีสะเกษ!J474"")"),0)</f>
        <v>0</v>
      </c>
      <c r="P46" s="339"/>
      <c r="Q46" s="339"/>
      <c r="R46" s="339"/>
      <c r="S46" s="339"/>
      <c r="T46" s="339"/>
      <c r="U46" s="339"/>
      <c r="V46" s="339"/>
      <c r="W46" s="339"/>
      <c r="X46" s="339"/>
      <c r="Y46" s="339"/>
      <c r="Z46" s="339"/>
    </row>
    <row r="47" spans="1:26" ht="21" customHeight="1">
      <c r="A47" s="303">
        <v>14</v>
      </c>
      <c r="B47" s="304" t="s">
        <v>71</v>
      </c>
      <c r="C47" s="305">
        <f t="shared" ca="1" si="25"/>
        <v>330408</v>
      </c>
      <c r="D47" s="306">
        <f ca="1">IFERROR(__xludf.DUMMYFUNCTION("IMPORTRANGE(""https://docs.google.com/spreadsheets/d/1C3CXT74ZlgGe6_JY_1olB1XN4rF0dxEuIIF-xsYjHgg/edit?usp=sharing"",""งบกองทุน!EB51"")"),0)</f>
        <v>0</v>
      </c>
      <c r="E47" s="306">
        <f ca="1">IFERROR(__xludf.DUMMYFUNCTION("IMPORTRANGE(""https://docs.google.com/spreadsheets/d/1C3CXT74ZlgGe6_JY_1olB1XN4rF0dxEuIIF-xsYjHgg/edit?usp=sharing"",""งบกองทุน!EL51"")"),330408)</f>
        <v>330408</v>
      </c>
      <c r="F47" s="307">
        <f ca="1">IFERROR(__xludf.DUMMYFUNCTION("IMPORTRANGE(""https://docs.google.com/spreadsheets/d/1XL5vhW3sbDhbH9Cz0tuDiY8C3ctxq1tqvaCgkFb8cCA/edit?usp=sharing"",""สกลนคร!M475"")"),149567.26)</f>
        <v>149567.26</v>
      </c>
      <c r="G47" s="307">
        <f t="shared" ca="1" si="1"/>
        <v>45.267445098181639</v>
      </c>
      <c r="H47" s="306">
        <f ca="1">IFERROR(__xludf.DUMMYFUNCTION("IMPORTRANGE(""https://docs.google.com/spreadsheets/d/1C3CXT74ZlgGe6_JY_1olB1XN4rF0dxEuIIF-xsYjHgg/edit?usp=sharing"",""งบกองทุน!ED51"")"),4200)</f>
        <v>4200</v>
      </c>
      <c r="I47" s="306">
        <f t="shared" ca="1" si="26"/>
        <v>3550</v>
      </c>
      <c r="J47" s="307">
        <f t="shared" ca="1" si="3"/>
        <v>84.523809523809518</v>
      </c>
      <c r="K47" s="608">
        <f ca="1">IFERROR(__xludf.DUMMYFUNCTION("IMPORTRANGE(""https://docs.google.com/spreadsheets/d/1XL5vhW3sbDhbH9Cz0tuDiY8C3ctxq1tqvaCgkFb8cCA/edit?usp=sharing"",""สกลนคร!J470"")"),8)</f>
        <v>8</v>
      </c>
      <c r="L47" s="306">
        <f ca="1">IFERROR(__xludf.DUMMYFUNCTION("IMPORTRANGE(""https://docs.google.com/spreadsheets/d/1XL5vhW3sbDhbH9Cz0tuDiY8C3ctxq1tqvaCgkFb8cCA/edit?usp=sharing"",""สกลนคร!J471"")"),1107)</f>
        <v>1107</v>
      </c>
      <c r="M47" s="306">
        <f ca="1">IFERROR(__xludf.DUMMYFUNCTION("IMPORTRANGE(""https://docs.google.com/spreadsheets/d/1XL5vhW3sbDhbH9Cz0tuDiY8C3ctxq1tqvaCgkFb8cCA/edit?usp=sharing"",""สกลนคร!J472"")"),2443)</f>
        <v>2443</v>
      </c>
      <c r="N47" s="306">
        <f ca="1">IFERROR(__xludf.DUMMYFUNCTION("IMPORTRANGE(""https://docs.google.com/spreadsheets/d/1XL5vhW3sbDhbH9Cz0tuDiY8C3ctxq1tqvaCgkFb8cCA/edit?usp=sharing"",""สกลนคร!J473"")"),0)</f>
        <v>0</v>
      </c>
      <c r="O47" s="609">
        <f ca="1">IFERROR(__xludf.DUMMYFUNCTION("IMPORTRANGE(""https://docs.google.com/spreadsheets/d/1XL5vhW3sbDhbH9Cz0tuDiY8C3ctxq1tqvaCgkFb8cCA/edit?usp=sharing"",""สกลนคร!J474"")"),0)</f>
        <v>0</v>
      </c>
      <c r="P47" s="339"/>
      <c r="Q47" s="339"/>
      <c r="R47" s="339"/>
      <c r="S47" s="339"/>
      <c r="T47" s="339"/>
      <c r="U47" s="339"/>
      <c r="V47" s="339"/>
      <c r="W47" s="339"/>
      <c r="X47" s="339"/>
      <c r="Y47" s="339"/>
      <c r="Z47" s="339"/>
    </row>
    <row r="48" spans="1:26" ht="21" customHeight="1">
      <c r="A48" s="303">
        <v>15</v>
      </c>
      <c r="B48" s="304" t="s">
        <v>72</v>
      </c>
      <c r="C48" s="305">
        <f t="shared" ca="1" si="25"/>
        <v>321600</v>
      </c>
      <c r="D48" s="306">
        <f ca="1">IFERROR(__xludf.DUMMYFUNCTION("IMPORTRANGE(""https://docs.google.com/spreadsheets/d/1C3CXT74ZlgGe6_JY_1olB1XN4rF0dxEuIIF-xsYjHgg/edit?usp=sharing"",""งบกองทุน!EB52"")"),0)</f>
        <v>0</v>
      </c>
      <c r="E48" s="306">
        <f ca="1">IFERROR(__xludf.DUMMYFUNCTION("IMPORTRANGE(""https://docs.google.com/spreadsheets/d/1C3CXT74ZlgGe6_JY_1olB1XN4rF0dxEuIIF-xsYjHgg/edit?usp=sharing"",""งบกองทุน!EL52"")"),321600)</f>
        <v>321600</v>
      </c>
      <c r="F48" s="307">
        <f ca="1">IFERROR(__xludf.DUMMYFUNCTION("IMPORTRANGE(""https://docs.google.com/spreadsheets/d/1XL5vhW3sbDhbH9Cz0tuDiY8C3ctxq1tqvaCgkFb8cCA/edit?usp=sharing"",""สุรินทร์!M475"")"),112445)</f>
        <v>112445</v>
      </c>
      <c r="G48" s="307">
        <f t="shared" ca="1" si="1"/>
        <v>34.964241293532339</v>
      </c>
      <c r="H48" s="306">
        <f ca="1">IFERROR(__xludf.DUMMYFUNCTION("IMPORTRANGE(""https://docs.google.com/spreadsheets/d/1C3CXT74ZlgGe6_JY_1olB1XN4rF0dxEuIIF-xsYjHgg/edit?usp=sharing"",""งบกองทุน!ED52"")"),5500)</f>
        <v>5500</v>
      </c>
      <c r="I48" s="306">
        <f t="shared" ca="1" si="26"/>
        <v>4718</v>
      </c>
      <c r="J48" s="307">
        <f t="shared" ca="1" si="3"/>
        <v>85.781818181818181</v>
      </c>
      <c r="K48" s="608">
        <f ca="1">IFERROR(__xludf.DUMMYFUNCTION("IMPORTRANGE(""https://docs.google.com/spreadsheets/d/1XL5vhW3sbDhbH9Cz0tuDiY8C3ctxq1tqvaCgkFb8cCA/edit?usp=sharing"",""สุรินทร์!J470"")"),6)</f>
        <v>6</v>
      </c>
      <c r="L48" s="306">
        <f ca="1">IFERROR(__xludf.DUMMYFUNCTION("IMPORTRANGE(""https://docs.google.com/spreadsheets/d/1XL5vhW3sbDhbH9Cz0tuDiY8C3ctxq1tqvaCgkFb8cCA/edit?usp=sharing"",""สุรินทร์!J471"")"),867)</f>
        <v>867</v>
      </c>
      <c r="M48" s="306">
        <f ca="1">IFERROR(__xludf.DUMMYFUNCTION("IMPORTRANGE(""https://docs.google.com/spreadsheets/d/1XL5vhW3sbDhbH9Cz0tuDiY8C3ctxq1tqvaCgkFb8cCA/edit?usp=sharing"",""สุรินทร์!J472"")"),3851)</f>
        <v>3851</v>
      </c>
      <c r="N48" s="306">
        <f ca="1">IFERROR(__xludf.DUMMYFUNCTION("IMPORTRANGE(""https://docs.google.com/spreadsheets/d/1XL5vhW3sbDhbH9Cz0tuDiY8C3ctxq1tqvaCgkFb8cCA/edit?usp=sharing"",""สุรินทร์!J473"")"),0)</f>
        <v>0</v>
      </c>
      <c r="O48" s="609">
        <f ca="1">IFERROR(__xludf.DUMMYFUNCTION("IMPORTRANGE(""https://docs.google.com/spreadsheets/d/1XL5vhW3sbDhbH9Cz0tuDiY8C3ctxq1tqvaCgkFb8cCA/edit?usp=sharing"",""สุรินทร์!J474"")"),0)</f>
        <v>0</v>
      </c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</row>
    <row r="49" spans="1:26" ht="21" customHeight="1">
      <c r="A49" s="303">
        <v>16</v>
      </c>
      <c r="B49" s="304" t="s">
        <v>73</v>
      </c>
      <c r="C49" s="305">
        <f t="shared" ca="1" si="25"/>
        <v>115706</v>
      </c>
      <c r="D49" s="306">
        <f ca="1">IFERROR(__xludf.DUMMYFUNCTION("IMPORTRANGE(""https://docs.google.com/spreadsheets/d/1C3CXT74ZlgGe6_JY_1olB1XN4rF0dxEuIIF-xsYjHgg/edit?usp=sharing"",""งบกองทุน!EB53"")"),0)</f>
        <v>0</v>
      </c>
      <c r="E49" s="306">
        <f ca="1">IFERROR(__xludf.DUMMYFUNCTION("IMPORTRANGE(""https://docs.google.com/spreadsheets/d/1C3CXT74ZlgGe6_JY_1olB1XN4rF0dxEuIIF-xsYjHgg/edit?usp=sharing"",""งบกองทุน!EL53"")"),115706)</f>
        <v>115706</v>
      </c>
      <c r="F49" s="307">
        <f ca="1">IFERROR(__xludf.DUMMYFUNCTION("IMPORTRANGE(""https://docs.google.com/spreadsheets/d/1XL5vhW3sbDhbH9Cz0tuDiY8C3ctxq1tqvaCgkFb8cCA/edit?usp=sharing"",""หนองคาย!M475"")"),800)</f>
        <v>800</v>
      </c>
      <c r="G49" s="307">
        <f t="shared" ca="1" si="1"/>
        <v>0.69140753288507073</v>
      </c>
      <c r="H49" s="306">
        <f ca="1">IFERROR(__xludf.DUMMYFUNCTION("IMPORTRANGE(""https://docs.google.com/spreadsheets/d/1C3CXT74ZlgGe6_JY_1olB1XN4rF0dxEuIIF-xsYjHgg/edit?usp=sharing"",""งบกองทุน!ED53"")"),2200)</f>
        <v>2200</v>
      </c>
      <c r="I49" s="306">
        <f t="shared" ca="1" si="26"/>
        <v>3227</v>
      </c>
      <c r="J49" s="307">
        <f t="shared" ca="1" si="3"/>
        <v>146.68181818181819</v>
      </c>
      <c r="K49" s="608">
        <f ca="1">IFERROR(__xludf.DUMMYFUNCTION("IMPORTRANGE(""https://docs.google.com/spreadsheets/d/1XL5vhW3sbDhbH9Cz0tuDiY8C3ctxq1tqvaCgkFb8cCA/edit?usp=sharing"",""หนองคาย!J470"")"),0)</f>
        <v>0</v>
      </c>
      <c r="L49" s="306">
        <f ca="1">IFERROR(__xludf.DUMMYFUNCTION("IMPORTRANGE(""https://docs.google.com/spreadsheets/d/1XL5vhW3sbDhbH9Cz0tuDiY8C3ctxq1tqvaCgkFb8cCA/edit?usp=sharing"",""หนองคาย!J471"")"),0)</f>
        <v>0</v>
      </c>
      <c r="M49" s="306">
        <f ca="1">IFERROR(__xludf.DUMMYFUNCTION("IMPORTRANGE(""https://docs.google.com/spreadsheets/d/1XL5vhW3sbDhbH9Cz0tuDiY8C3ctxq1tqvaCgkFb8cCA/edit?usp=sharing"",""หนองคาย!J472"")"),3227)</f>
        <v>3227</v>
      </c>
      <c r="N49" s="306">
        <f ca="1">IFERROR(__xludf.DUMMYFUNCTION("IMPORTRANGE(""https://docs.google.com/spreadsheets/d/1XL5vhW3sbDhbH9Cz0tuDiY8C3ctxq1tqvaCgkFb8cCA/edit?usp=sharing"",""หนองคาย!J473"")"),0)</f>
        <v>0</v>
      </c>
      <c r="O49" s="609">
        <f ca="1">IFERROR(__xludf.DUMMYFUNCTION("IMPORTRANGE(""https://docs.google.com/spreadsheets/d/1XL5vhW3sbDhbH9Cz0tuDiY8C3ctxq1tqvaCgkFb8cCA/edit?usp=sharing"",""หนองคาย!J474"")"),0)</f>
        <v>0</v>
      </c>
      <c r="P49" s="339"/>
      <c r="Q49" s="339"/>
      <c r="R49" s="339"/>
      <c r="S49" s="339"/>
      <c r="T49" s="339"/>
      <c r="U49" s="339"/>
      <c r="V49" s="339"/>
      <c r="W49" s="339"/>
      <c r="X49" s="339"/>
      <c r="Y49" s="339"/>
      <c r="Z49" s="339"/>
    </row>
    <row r="50" spans="1:26" ht="21" customHeight="1">
      <c r="A50" s="303">
        <v>17</v>
      </c>
      <c r="B50" s="304" t="s">
        <v>74</v>
      </c>
      <c r="C50" s="305">
        <f t="shared" ca="1" si="25"/>
        <v>327050</v>
      </c>
      <c r="D50" s="306">
        <f ca="1">IFERROR(__xludf.DUMMYFUNCTION("IMPORTRANGE(""https://docs.google.com/spreadsheets/d/1C3CXT74ZlgGe6_JY_1olB1XN4rF0dxEuIIF-xsYjHgg/edit?usp=sharing"",""งบกองทุน!EB54"")"),0)</f>
        <v>0</v>
      </c>
      <c r="E50" s="306">
        <f ca="1">IFERROR(__xludf.DUMMYFUNCTION("IMPORTRANGE(""https://docs.google.com/spreadsheets/d/1C3CXT74ZlgGe6_JY_1olB1XN4rF0dxEuIIF-xsYjHgg/edit?usp=sharing"",""งบกองทุน!EL54"")"),327050)</f>
        <v>327050</v>
      </c>
      <c r="F50" s="307">
        <f ca="1">IFERROR(__xludf.DUMMYFUNCTION("IMPORTRANGE(""https://docs.google.com/spreadsheets/d/1XL5vhW3sbDhbH9Cz0tuDiY8C3ctxq1tqvaCgkFb8cCA/edit?usp=sharing"",""หนองบัวลำภู!M475"")"),81600.03)</f>
        <v>81600.03</v>
      </c>
      <c r="G50" s="307">
        <f t="shared" ca="1" si="1"/>
        <v>24.95032258064516</v>
      </c>
      <c r="H50" s="306">
        <f ca="1">IFERROR(__xludf.DUMMYFUNCTION("IMPORTRANGE(""https://docs.google.com/spreadsheets/d/1C3CXT74ZlgGe6_JY_1olB1XN4rF0dxEuIIF-xsYjHgg/edit?usp=sharing"",""งบกองทุน!ED54"")"),3800)</f>
        <v>3800</v>
      </c>
      <c r="I50" s="306">
        <f t="shared" ca="1" si="26"/>
        <v>3474</v>
      </c>
      <c r="J50" s="307">
        <f t="shared" ca="1" si="3"/>
        <v>91.421052631578945</v>
      </c>
      <c r="K50" s="608">
        <f ca="1">IFERROR(__xludf.DUMMYFUNCTION("IMPORTRANGE(""https://docs.google.com/spreadsheets/d/1XL5vhW3sbDhbH9Cz0tuDiY8C3ctxq1tqvaCgkFb8cCA/edit?usp=sharing"",""หนองบัวลำภู!J470"")"),2)</f>
        <v>2</v>
      </c>
      <c r="L50" s="306">
        <f ca="1">IFERROR(__xludf.DUMMYFUNCTION("IMPORTRANGE(""https://docs.google.com/spreadsheets/d/1XL5vhW3sbDhbH9Cz0tuDiY8C3ctxq1tqvaCgkFb8cCA/edit?usp=sharing"",""หนองบัวลำภู!J471"")"),131)</f>
        <v>131</v>
      </c>
      <c r="M50" s="306">
        <f ca="1">IFERROR(__xludf.DUMMYFUNCTION("IMPORTRANGE(""https://docs.google.com/spreadsheets/d/1XL5vhW3sbDhbH9Cz0tuDiY8C3ctxq1tqvaCgkFb8cCA/edit?usp=sharing"",""หนองบัวลำภู!J472"")"),3343)</f>
        <v>3343</v>
      </c>
      <c r="N50" s="306">
        <f ca="1">IFERROR(__xludf.DUMMYFUNCTION("IMPORTRANGE(""https://docs.google.com/spreadsheets/d/1XL5vhW3sbDhbH9Cz0tuDiY8C3ctxq1tqvaCgkFb8cCA/edit?usp=sharing"",""หนองบัวลำภู!J473"")"),0)</f>
        <v>0</v>
      </c>
      <c r="O50" s="609">
        <f ca="1">IFERROR(__xludf.DUMMYFUNCTION("IMPORTRANGE(""https://docs.google.com/spreadsheets/d/1XL5vhW3sbDhbH9Cz0tuDiY8C3ctxq1tqvaCgkFb8cCA/edit?usp=sharing"",""หนองบัวลำภู!J474"")"),0)</f>
        <v>0</v>
      </c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</row>
    <row r="51" spans="1:26" ht="21" customHeight="1">
      <c r="A51" s="303">
        <v>18</v>
      </c>
      <c r="B51" s="304" t="s">
        <v>75</v>
      </c>
      <c r="C51" s="305">
        <f t="shared" ca="1" si="25"/>
        <v>0</v>
      </c>
      <c r="D51" s="306">
        <f ca="1">IFERROR(__xludf.DUMMYFUNCTION("IMPORTRANGE(""https://docs.google.com/spreadsheets/d/1C3CXT74ZlgGe6_JY_1olB1XN4rF0dxEuIIF-xsYjHgg/edit?usp=sharing"",""งบกองทุน!EB55"")"),0)</f>
        <v>0</v>
      </c>
      <c r="E51" s="306">
        <f ca="1">IFERROR(__xludf.DUMMYFUNCTION("IMPORTRANGE(""https://docs.google.com/spreadsheets/d/1C3CXT74ZlgGe6_JY_1olB1XN4rF0dxEuIIF-xsYjHgg/edit?usp=sharing"",""งบกองทุน!EL55"")"),0)</f>
        <v>0</v>
      </c>
      <c r="F51" s="307">
        <f ca="1">IFERROR(__xludf.DUMMYFUNCTION("IMPORTRANGE(""https://docs.google.com/spreadsheets/d/1XL5vhW3sbDhbH9Cz0tuDiY8C3ctxq1tqvaCgkFb8cCA/edit?usp=sharing"",""อำนาจเจริญ!M475"")"),0)</f>
        <v>0</v>
      </c>
      <c r="G51" s="307">
        <f t="shared" ca="1" si="1"/>
        <v>0</v>
      </c>
      <c r="H51" s="306">
        <f ca="1">IFERROR(__xludf.DUMMYFUNCTION("IMPORTRANGE(""https://docs.google.com/spreadsheets/d/1C3CXT74ZlgGe6_JY_1olB1XN4rF0dxEuIIF-xsYjHgg/edit?usp=sharing"",""งบกองทุน!ED55"")"),1460)</f>
        <v>1460</v>
      </c>
      <c r="I51" s="306">
        <f t="shared" ca="1" si="26"/>
        <v>875</v>
      </c>
      <c r="J51" s="307">
        <f t="shared" ca="1" si="3"/>
        <v>59.93150684931507</v>
      </c>
      <c r="K51" s="608">
        <f ca="1">IFERROR(__xludf.DUMMYFUNCTION("IMPORTRANGE(""https://docs.google.com/spreadsheets/d/1XL5vhW3sbDhbH9Cz0tuDiY8C3ctxq1tqvaCgkFb8cCA/edit?usp=sharing"",""อำนาจเจริญ!J470"")"),6)</f>
        <v>6</v>
      </c>
      <c r="L51" s="306">
        <f ca="1">IFERROR(__xludf.DUMMYFUNCTION("IMPORTRANGE(""https://docs.google.com/spreadsheets/d/1XL5vhW3sbDhbH9Cz0tuDiY8C3ctxq1tqvaCgkFb8cCA/edit?usp=sharing"",""อำนาจเจริญ!J471"")"),112)</f>
        <v>112</v>
      </c>
      <c r="M51" s="306">
        <f ca="1">IFERROR(__xludf.DUMMYFUNCTION("IMPORTRANGE(""https://docs.google.com/spreadsheets/d/1XL5vhW3sbDhbH9Cz0tuDiY8C3ctxq1tqvaCgkFb8cCA/edit?usp=sharing"",""อำนาจเจริญ!J472"")"),763)</f>
        <v>763</v>
      </c>
      <c r="N51" s="306">
        <f ca="1">IFERROR(__xludf.DUMMYFUNCTION("IMPORTRANGE(""https://docs.google.com/spreadsheets/d/1XL5vhW3sbDhbH9Cz0tuDiY8C3ctxq1tqvaCgkFb8cCA/edit?usp=sharing"",""อำนาจเจริญ!J473"")"),0)</f>
        <v>0</v>
      </c>
      <c r="O51" s="609">
        <f ca="1">IFERROR(__xludf.DUMMYFUNCTION("IMPORTRANGE(""https://docs.google.com/spreadsheets/d/1XL5vhW3sbDhbH9Cz0tuDiY8C3ctxq1tqvaCgkFb8cCA/edit?usp=sharing"",""อำนาจเจริญ!J474"")"),0)</f>
        <v>0</v>
      </c>
      <c r="P51" s="339"/>
      <c r="Q51" s="339"/>
      <c r="R51" s="339"/>
      <c r="S51" s="339"/>
      <c r="T51" s="339"/>
      <c r="U51" s="339"/>
      <c r="V51" s="339"/>
      <c r="W51" s="339"/>
      <c r="X51" s="339"/>
      <c r="Y51" s="339"/>
      <c r="Z51" s="339"/>
    </row>
    <row r="52" spans="1:26" ht="21" customHeight="1">
      <c r="A52" s="303">
        <v>19</v>
      </c>
      <c r="B52" s="304" t="s">
        <v>76</v>
      </c>
      <c r="C52" s="305">
        <f t="shared" ca="1" si="25"/>
        <v>493580</v>
      </c>
      <c r="D52" s="306">
        <f ca="1">IFERROR(__xludf.DUMMYFUNCTION("IMPORTRANGE(""https://docs.google.com/spreadsheets/d/1C3CXT74ZlgGe6_JY_1olB1XN4rF0dxEuIIF-xsYjHgg/edit?usp=sharing"",""งบกองทุน!EB56"")"),0)</f>
        <v>0</v>
      </c>
      <c r="E52" s="306">
        <f ca="1">IFERROR(__xludf.DUMMYFUNCTION("IMPORTRANGE(""https://docs.google.com/spreadsheets/d/1C3CXT74ZlgGe6_JY_1olB1XN4rF0dxEuIIF-xsYjHgg/edit?usp=sharing"",""งบกองทุน!EL56"")"),493580)</f>
        <v>493580</v>
      </c>
      <c r="F52" s="307">
        <f ca="1">IFERROR(__xludf.DUMMYFUNCTION("IMPORTRANGE(""https://docs.google.com/spreadsheets/d/1XL5vhW3sbDhbH9Cz0tuDiY8C3ctxq1tqvaCgkFb8cCA/edit?usp=sharing"",""อุดรธานี!M475"")"),406004.32)</f>
        <v>406004.32</v>
      </c>
      <c r="G52" s="307">
        <f t="shared" ca="1" si="1"/>
        <v>82.2570444507476</v>
      </c>
      <c r="H52" s="306">
        <f ca="1">IFERROR(__xludf.DUMMYFUNCTION("IMPORTRANGE(""https://docs.google.com/spreadsheets/d/1C3CXT74ZlgGe6_JY_1olB1XN4rF0dxEuIIF-xsYjHgg/edit?usp=sharing"",""งบกองทุน!ED56"")"),5200)</f>
        <v>5200</v>
      </c>
      <c r="I52" s="306">
        <f t="shared" ca="1" si="26"/>
        <v>9933</v>
      </c>
      <c r="J52" s="307">
        <f t="shared" ca="1" si="3"/>
        <v>191.01923076923077</v>
      </c>
      <c r="K52" s="608">
        <f ca="1">IFERROR(__xludf.DUMMYFUNCTION("IMPORTRANGE(""https://docs.google.com/spreadsheets/d/1XL5vhW3sbDhbH9Cz0tuDiY8C3ctxq1tqvaCgkFb8cCA/edit?usp=sharing"",""อุดรธานี!J470"")"),3)</f>
        <v>3</v>
      </c>
      <c r="L52" s="306">
        <f ca="1">IFERROR(__xludf.DUMMYFUNCTION("IMPORTRANGE(""https://docs.google.com/spreadsheets/d/1XL5vhW3sbDhbH9Cz0tuDiY8C3ctxq1tqvaCgkFb8cCA/edit?usp=sharing"",""อุดรธานี!J471"")"),141)</f>
        <v>141</v>
      </c>
      <c r="M52" s="306">
        <f ca="1">IFERROR(__xludf.DUMMYFUNCTION("IMPORTRANGE(""https://docs.google.com/spreadsheets/d/1XL5vhW3sbDhbH9Cz0tuDiY8C3ctxq1tqvaCgkFb8cCA/edit?usp=sharing"",""อุดรธานี!J472"")"),9554)</f>
        <v>9554</v>
      </c>
      <c r="N52" s="306">
        <f ca="1">IFERROR(__xludf.DUMMYFUNCTION("IMPORTRANGE(""https://docs.google.com/spreadsheets/d/1XL5vhW3sbDhbH9Cz0tuDiY8C3ctxq1tqvaCgkFb8cCA/edit?usp=sharing"",""อุดรธานี!J473"")"),97)</f>
        <v>97</v>
      </c>
      <c r="O52" s="609">
        <f ca="1">IFERROR(__xludf.DUMMYFUNCTION("IMPORTRANGE(""https://docs.google.com/spreadsheets/d/1XL5vhW3sbDhbH9Cz0tuDiY8C3ctxq1tqvaCgkFb8cCA/edit?usp=sharing"",""อุดรธานี!J474"")"),141)</f>
        <v>141</v>
      </c>
      <c r="P52" s="339"/>
      <c r="Q52" s="339"/>
      <c r="R52" s="339"/>
      <c r="S52" s="339"/>
      <c r="T52" s="339"/>
      <c r="U52" s="339"/>
      <c r="V52" s="339"/>
      <c r="W52" s="339"/>
      <c r="X52" s="339"/>
      <c r="Y52" s="339"/>
      <c r="Z52" s="339"/>
    </row>
    <row r="53" spans="1:26" ht="21" customHeight="1">
      <c r="A53" s="310">
        <v>20</v>
      </c>
      <c r="B53" s="311" t="s">
        <v>77</v>
      </c>
      <c r="C53" s="312">
        <f t="shared" ca="1" si="25"/>
        <v>348100</v>
      </c>
      <c r="D53" s="313">
        <f ca="1">IFERROR(__xludf.DUMMYFUNCTION("IMPORTRANGE(""https://docs.google.com/spreadsheets/d/1C3CXT74ZlgGe6_JY_1olB1XN4rF0dxEuIIF-xsYjHgg/edit?usp=sharing"",""งบกองทุน!EB57"")"),0)</f>
        <v>0</v>
      </c>
      <c r="E53" s="313">
        <f ca="1">IFERROR(__xludf.DUMMYFUNCTION("IMPORTRANGE(""https://docs.google.com/spreadsheets/d/1C3CXT74ZlgGe6_JY_1olB1XN4rF0dxEuIIF-xsYjHgg/edit?usp=sharing"",""งบกองทุน!EL57"")"),348100)</f>
        <v>348100</v>
      </c>
      <c r="F53" s="314">
        <f ca="1">IFERROR(__xludf.DUMMYFUNCTION("IMPORTRANGE(""https://docs.google.com/spreadsheets/d/1XL5vhW3sbDhbH9Cz0tuDiY8C3ctxq1tqvaCgkFb8cCA/edit?usp=sharing"",""อุบลราชธานี!M475"")"),148597.95)</f>
        <v>148597.95000000001</v>
      </c>
      <c r="G53" s="314">
        <f t="shared" ca="1" si="1"/>
        <v>42.688293593794889</v>
      </c>
      <c r="H53" s="313">
        <f ca="1">IFERROR(__xludf.DUMMYFUNCTION("IMPORTRANGE(""https://docs.google.com/spreadsheets/d/1C3CXT74ZlgGe6_JY_1olB1XN4rF0dxEuIIF-xsYjHgg/edit?usp=sharing"",""งบกองทุน!ED57"")"),7200)</f>
        <v>7200</v>
      </c>
      <c r="I53" s="313">
        <f t="shared" ca="1" si="26"/>
        <v>7174</v>
      </c>
      <c r="J53" s="314">
        <f t="shared" ca="1" si="3"/>
        <v>99.638888888888886</v>
      </c>
      <c r="K53" s="610">
        <f ca="1">IFERROR(__xludf.DUMMYFUNCTION("IMPORTRANGE(""https://docs.google.com/spreadsheets/d/1XL5vhW3sbDhbH9Cz0tuDiY8C3ctxq1tqvaCgkFb8cCA/edit?usp=sharing"",""อุบลราชธานี!J470"")"),1)</f>
        <v>1</v>
      </c>
      <c r="L53" s="313">
        <f ca="1">IFERROR(__xludf.DUMMYFUNCTION("IMPORTRANGE(""https://docs.google.com/spreadsheets/d/1XL5vhW3sbDhbH9Cz0tuDiY8C3ctxq1tqvaCgkFb8cCA/edit?usp=sharing"",""อุบลราชธานี!J471"")"),212)</f>
        <v>212</v>
      </c>
      <c r="M53" s="313">
        <f ca="1">IFERROR(__xludf.DUMMYFUNCTION("IMPORTRANGE(""https://docs.google.com/spreadsheets/d/1XL5vhW3sbDhbH9Cz0tuDiY8C3ctxq1tqvaCgkFb8cCA/edit?usp=sharing"",""อุบลราชธานี!J472"")"),6885)</f>
        <v>6885</v>
      </c>
      <c r="N53" s="313">
        <f ca="1">IFERROR(__xludf.DUMMYFUNCTION("IMPORTRANGE(""https://docs.google.com/spreadsheets/d/1XL5vhW3sbDhbH9Cz0tuDiY8C3ctxq1tqvaCgkFb8cCA/edit?usp=sharing"",""อุบลราชธานี!J473"")"),4)</f>
        <v>4</v>
      </c>
      <c r="O53" s="611">
        <f ca="1">IFERROR(__xludf.DUMMYFUNCTION("IMPORTRANGE(""https://docs.google.com/spreadsheets/d/1XL5vhW3sbDhbH9Cz0tuDiY8C3ctxq1tqvaCgkFb8cCA/edit?usp=sharing"",""อุบลราชธานี!J474"")"),73)</f>
        <v>73</v>
      </c>
      <c r="P53" s="339"/>
      <c r="Q53" s="339"/>
      <c r="R53" s="339"/>
      <c r="S53" s="339"/>
      <c r="T53" s="339"/>
      <c r="U53" s="339"/>
      <c r="V53" s="339"/>
      <c r="W53" s="339"/>
      <c r="X53" s="339"/>
      <c r="Y53" s="339"/>
      <c r="Z53" s="339"/>
    </row>
    <row r="54" spans="1:26" ht="21" customHeight="1">
      <c r="A54" s="801" t="s">
        <v>78</v>
      </c>
      <c r="B54" s="678"/>
      <c r="C54" s="317">
        <f t="shared" ref="C54:F54" ca="1" si="27">SUM(C55:C75)</f>
        <v>1584755</v>
      </c>
      <c r="D54" s="318">
        <f t="shared" ca="1" si="27"/>
        <v>0</v>
      </c>
      <c r="E54" s="318">
        <f t="shared" ca="1" si="27"/>
        <v>1584755</v>
      </c>
      <c r="F54" s="319">
        <f t="shared" ca="1" si="27"/>
        <v>472123.93999999994</v>
      </c>
      <c r="G54" s="319">
        <f t="shared" ca="1" si="1"/>
        <v>29.791604380487829</v>
      </c>
      <c r="H54" s="318">
        <f t="shared" ref="H54:I54" ca="1" si="28">SUM(H55:H75)</f>
        <v>15740</v>
      </c>
      <c r="I54" s="318">
        <f t="shared" ca="1" si="28"/>
        <v>24298</v>
      </c>
      <c r="J54" s="319">
        <f t="shared" ca="1" si="3"/>
        <v>154.3710292249047</v>
      </c>
      <c r="K54" s="398">
        <f t="shared" ref="K54:O54" ca="1" si="29">SUM(K55:K75)</f>
        <v>62</v>
      </c>
      <c r="L54" s="318">
        <f t="shared" ca="1" si="29"/>
        <v>2392</v>
      </c>
      <c r="M54" s="318">
        <f t="shared" ca="1" si="29"/>
        <v>21759</v>
      </c>
      <c r="N54" s="318">
        <f t="shared" ca="1" si="29"/>
        <v>52</v>
      </c>
      <c r="O54" s="612">
        <f t="shared" ca="1" si="29"/>
        <v>95</v>
      </c>
      <c r="P54" s="339"/>
      <c r="Q54" s="339"/>
      <c r="R54" s="339"/>
      <c r="S54" s="339"/>
      <c r="T54" s="339"/>
      <c r="U54" s="339"/>
      <c r="V54" s="339"/>
      <c r="W54" s="339"/>
      <c r="X54" s="339"/>
      <c r="Y54" s="339"/>
      <c r="Z54" s="339"/>
    </row>
    <row r="55" spans="1:26" ht="21" customHeight="1">
      <c r="A55" s="293">
        <v>1</v>
      </c>
      <c r="B55" s="357" t="s">
        <v>79</v>
      </c>
      <c r="C55" s="295">
        <f t="shared" ref="C55:C75" ca="1" si="30">+D55+E55</f>
        <v>0</v>
      </c>
      <c r="D55" s="296">
        <f ca="1">IFERROR(__xludf.DUMMYFUNCTION("IMPORTRANGE(""https://docs.google.com/spreadsheets/d/1C3CXT74ZlgGe6_JY_1olB1XN4rF0dxEuIIF-xsYjHgg/edit?usp=sharing"",""งบกองทุน!EB59"")"),0)</f>
        <v>0</v>
      </c>
      <c r="E55" s="296">
        <f ca="1">IFERROR(__xludf.DUMMYFUNCTION("IMPORTRANGE(""https://docs.google.com/spreadsheets/d/1C3CXT74ZlgGe6_JY_1olB1XN4rF0dxEuIIF-xsYjHgg/edit?usp=sharing"",""งบกองทุน!EL59"")"),0)</f>
        <v>0</v>
      </c>
      <c r="F55" s="297">
        <f ca="1">IFERROR(__xludf.DUMMYFUNCTION("IMPORTRANGE(""https://docs.google.com/spreadsheets/d/1SX6NBoVAgQJ6U1MVXOaj8PK2l7WJ3RER9xtqwdhxkhw/edit?usp=sharing"",""กาญจนบุรี!M475"")"),0)</f>
        <v>0</v>
      </c>
      <c r="G55" s="297">
        <f t="shared" ca="1" si="1"/>
        <v>0</v>
      </c>
      <c r="H55" s="296">
        <f ca="1">IFERROR(__xludf.DUMMYFUNCTION("IMPORTRANGE(""https://docs.google.com/spreadsheets/d/1C3CXT74ZlgGe6_JY_1olB1XN4rF0dxEuIIF-xsYjHgg/edit?usp=sharing"",""งบกองทุน!ED59"")"),1900)</f>
        <v>1900</v>
      </c>
      <c r="I55" s="296">
        <f t="shared" ref="I55:I75" ca="1" si="31">SUM(L55,M55,N55,O55)</f>
        <v>1457</v>
      </c>
      <c r="J55" s="297">
        <f t="shared" ca="1" si="3"/>
        <v>76.684210526315795</v>
      </c>
      <c r="K55" s="606">
        <f ca="1">IFERROR(__xludf.DUMMYFUNCTION("IMPORTRANGE(""https://docs.google.com/spreadsheets/d/1SX6NBoVAgQJ6U1MVXOaj8PK2l7WJ3RER9xtqwdhxkhw/edit?usp=sharing"",""กาญจนบุรี!J470"")"),5)</f>
        <v>5</v>
      </c>
      <c r="L55" s="296">
        <f ca="1">IFERROR(__xludf.DUMMYFUNCTION("IMPORTRANGE(""https://docs.google.com/spreadsheets/d/1SX6NBoVAgQJ6U1MVXOaj8PK2l7WJ3RER9xtqwdhxkhw/edit?usp=sharing"",""กาญจนบุรี!J471"")"),323)</f>
        <v>323</v>
      </c>
      <c r="M55" s="296">
        <f ca="1">IFERROR(__xludf.DUMMYFUNCTION("IMPORTRANGE(""https://docs.google.com/spreadsheets/d/1SX6NBoVAgQJ6U1MVXOaj8PK2l7WJ3RER9xtqwdhxkhw/edit?usp=sharing"",""กาญจนบุรี!J472"")"),1134)</f>
        <v>1134</v>
      </c>
      <c r="N55" s="296">
        <f ca="1">IFERROR(__xludf.DUMMYFUNCTION("IMPORTRANGE(""https://docs.google.com/spreadsheets/d/1SX6NBoVAgQJ6U1MVXOaj8PK2l7WJ3RER9xtqwdhxkhw/edit?usp=sharing"",""กาญจนบุรี!J473"")"),0)</f>
        <v>0</v>
      </c>
      <c r="O55" s="607">
        <f ca="1">IFERROR(__xludf.DUMMYFUNCTION("IMPORTRANGE(""https://docs.google.com/spreadsheets/d/1SX6NBoVAgQJ6U1MVXOaj8PK2l7WJ3RER9xtqwdhxkhw/edit?usp=sharing"",""กาญจนบุรี!J474"")"),0)</f>
        <v>0</v>
      </c>
      <c r="P55" s="339"/>
      <c r="Q55" s="339"/>
      <c r="R55" s="339"/>
      <c r="S55" s="339"/>
      <c r="T55" s="339"/>
      <c r="U55" s="339"/>
      <c r="V55" s="339"/>
      <c r="W55" s="339"/>
      <c r="X55" s="339"/>
      <c r="Y55" s="339"/>
      <c r="Z55" s="339"/>
    </row>
    <row r="56" spans="1:26" ht="21" customHeight="1">
      <c r="A56" s="303">
        <v>2</v>
      </c>
      <c r="B56" s="304" t="s">
        <v>80</v>
      </c>
      <c r="C56" s="305">
        <f t="shared" ca="1" si="30"/>
        <v>0</v>
      </c>
      <c r="D56" s="306">
        <f ca="1">IFERROR(__xludf.DUMMYFUNCTION("IMPORTRANGE(""https://docs.google.com/spreadsheets/d/1C3CXT74ZlgGe6_JY_1olB1XN4rF0dxEuIIF-xsYjHgg/edit?usp=sharing"",""งบกองทุน!EB60"")"),0)</f>
        <v>0</v>
      </c>
      <c r="E56" s="306">
        <f ca="1">IFERROR(__xludf.DUMMYFUNCTION("IMPORTRANGE(""https://docs.google.com/spreadsheets/d/1C3CXT74ZlgGe6_JY_1olB1XN4rF0dxEuIIF-xsYjHgg/edit?usp=sharing"",""งบกองทุน!EL60"")"),0)</f>
        <v>0</v>
      </c>
      <c r="F56" s="307">
        <f ca="1">IFERROR(__xludf.DUMMYFUNCTION("IMPORTRANGE(""https://docs.google.com/spreadsheets/d/1SX6NBoVAgQJ6U1MVXOaj8PK2l7WJ3RER9xtqwdhxkhw/edit?usp=sharing"",""จันทบุรี!M475"")"),0)</f>
        <v>0</v>
      </c>
      <c r="G56" s="307">
        <f t="shared" ca="1" si="1"/>
        <v>0</v>
      </c>
      <c r="H56" s="306">
        <f ca="1">IFERROR(__xludf.DUMMYFUNCTION("IMPORTRANGE(""https://docs.google.com/spreadsheets/d/1C3CXT74ZlgGe6_JY_1olB1XN4rF0dxEuIIF-xsYjHgg/edit?usp=sharing"",""งบกองทุน!ED60"")"),700)</f>
        <v>700</v>
      </c>
      <c r="I56" s="306">
        <f t="shared" ca="1" si="31"/>
        <v>1211</v>
      </c>
      <c r="J56" s="307">
        <f t="shared" ca="1" si="3"/>
        <v>173</v>
      </c>
      <c r="K56" s="608">
        <f ca="1">IFERROR(__xludf.DUMMYFUNCTION("IMPORTRANGE(""https://docs.google.com/spreadsheets/d/1SX6NBoVAgQJ6U1MVXOaj8PK2l7WJ3RER9xtqwdhxkhw/edit?usp=sharing"",""จันทบุรี!J470"")"),5)</f>
        <v>5</v>
      </c>
      <c r="L56" s="306">
        <f ca="1">IFERROR(__xludf.DUMMYFUNCTION("IMPORTRANGE(""https://docs.google.com/spreadsheets/d/1SX6NBoVAgQJ6U1MVXOaj8PK2l7WJ3RER9xtqwdhxkhw/edit?usp=sharing"",""จันทบุรี!J471"")"),123)</f>
        <v>123</v>
      </c>
      <c r="M56" s="306">
        <f ca="1">IFERROR(__xludf.DUMMYFUNCTION("IMPORTRANGE(""https://docs.google.com/spreadsheets/d/1SX6NBoVAgQJ6U1MVXOaj8PK2l7WJ3RER9xtqwdhxkhw/edit?usp=sharing"",""จันทบุรี!J472"")"),1077)</f>
        <v>1077</v>
      </c>
      <c r="N56" s="306">
        <f ca="1">IFERROR(__xludf.DUMMYFUNCTION("IMPORTRANGE(""https://docs.google.com/spreadsheets/d/1SX6NBoVAgQJ6U1MVXOaj8PK2l7WJ3RER9xtqwdhxkhw/edit?usp=sharing"",""จันทบุรี!J473"")"),3)</f>
        <v>3</v>
      </c>
      <c r="O56" s="609">
        <f ca="1">IFERROR(__xludf.DUMMYFUNCTION("IMPORTRANGE(""https://docs.google.com/spreadsheets/d/1SX6NBoVAgQJ6U1MVXOaj8PK2l7WJ3RER9xtqwdhxkhw/edit?usp=sharing"",""จันทบุรี!J474"")"),8)</f>
        <v>8</v>
      </c>
      <c r="P56" s="339"/>
      <c r="Q56" s="339"/>
      <c r="R56" s="339"/>
      <c r="S56" s="339"/>
      <c r="T56" s="339"/>
      <c r="U56" s="339"/>
      <c r="V56" s="339"/>
      <c r="W56" s="339"/>
      <c r="X56" s="339"/>
      <c r="Y56" s="339"/>
      <c r="Z56" s="339"/>
    </row>
    <row r="57" spans="1:26" ht="21" customHeight="1">
      <c r="A57" s="303">
        <v>3</v>
      </c>
      <c r="B57" s="304" t="s">
        <v>81</v>
      </c>
      <c r="C57" s="305">
        <f t="shared" ca="1" si="30"/>
        <v>328200</v>
      </c>
      <c r="D57" s="306">
        <f ca="1">IFERROR(__xludf.DUMMYFUNCTION("IMPORTRANGE(""https://docs.google.com/spreadsheets/d/1C3CXT74ZlgGe6_JY_1olB1XN4rF0dxEuIIF-xsYjHgg/edit?usp=sharing"",""งบกองทุน!EB61"")"),0)</f>
        <v>0</v>
      </c>
      <c r="E57" s="306">
        <f ca="1">IFERROR(__xludf.DUMMYFUNCTION("IMPORTRANGE(""https://docs.google.com/spreadsheets/d/1C3CXT74ZlgGe6_JY_1olB1XN4rF0dxEuIIF-xsYjHgg/edit?usp=sharing"",""งบกองทุน!EL61"")"),328200)</f>
        <v>328200</v>
      </c>
      <c r="F57" s="307">
        <f ca="1">IFERROR(__xludf.DUMMYFUNCTION("IMPORTRANGE(""https://docs.google.com/spreadsheets/d/1SX6NBoVAgQJ6U1MVXOaj8PK2l7WJ3RER9xtqwdhxkhw/edit?usp=sharing"",""ฉะเชิงเทรา!M475"")"),82259.62)</f>
        <v>82259.62</v>
      </c>
      <c r="G57" s="307">
        <f t="shared" ca="1" si="1"/>
        <v>25.063869591712372</v>
      </c>
      <c r="H57" s="306">
        <f ca="1">IFERROR(__xludf.DUMMYFUNCTION("IMPORTRANGE(""https://docs.google.com/spreadsheets/d/1C3CXT74ZlgGe6_JY_1olB1XN4rF0dxEuIIF-xsYjHgg/edit?usp=sharing"",""งบกองทุน!ED61"")"),1800)</f>
        <v>1800</v>
      </c>
      <c r="I57" s="306">
        <f t="shared" ca="1" si="31"/>
        <v>2125</v>
      </c>
      <c r="J57" s="307">
        <f t="shared" ca="1" si="3"/>
        <v>118.05555555555556</v>
      </c>
      <c r="K57" s="608">
        <f ca="1">IFERROR(__xludf.DUMMYFUNCTION("IMPORTRANGE(""https://docs.google.com/spreadsheets/d/1SX6NBoVAgQJ6U1MVXOaj8PK2l7WJ3RER9xtqwdhxkhw/edit?usp=sharing"",""ฉะเชิงเทรา!J470"")"),2)</f>
        <v>2</v>
      </c>
      <c r="L57" s="306">
        <f ca="1">IFERROR(__xludf.DUMMYFUNCTION("IMPORTRANGE(""https://docs.google.com/spreadsheets/d/1SX6NBoVAgQJ6U1MVXOaj8PK2l7WJ3RER9xtqwdhxkhw/edit?usp=sharing"",""ฉะเชิงเทรา!J471"")"),116)</f>
        <v>116</v>
      </c>
      <c r="M57" s="306">
        <f ca="1">IFERROR(__xludf.DUMMYFUNCTION("IMPORTRANGE(""https://docs.google.com/spreadsheets/d/1SX6NBoVAgQJ6U1MVXOaj8PK2l7WJ3RER9xtqwdhxkhw/edit?usp=sharing"",""ฉะเชิงเทรา!J472"")"),1989)</f>
        <v>1989</v>
      </c>
      <c r="N57" s="306">
        <f ca="1">IFERROR(__xludf.DUMMYFUNCTION("IMPORTRANGE(""https://docs.google.com/spreadsheets/d/1SX6NBoVAgQJ6U1MVXOaj8PK2l7WJ3RER9xtqwdhxkhw/edit?usp=sharing"",""ฉะเชิงเทรา!J473"")"),20)</f>
        <v>20</v>
      </c>
      <c r="O57" s="609">
        <f ca="1">IFERROR(__xludf.DUMMYFUNCTION("IMPORTRANGE(""https://docs.google.com/spreadsheets/d/1SX6NBoVAgQJ6U1MVXOaj8PK2l7WJ3RER9xtqwdhxkhw/edit?usp=sharing"",""ฉะเชิงเทรา!J474"")"),0)</f>
        <v>0</v>
      </c>
      <c r="P57" s="339"/>
      <c r="Q57" s="339"/>
      <c r="R57" s="339"/>
      <c r="S57" s="339"/>
      <c r="T57" s="339"/>
      <c r="U57" s="339"/>
      <c r="V57" s="339"/>
      <c r="W57" s="339"/>
      <c r="X57" s="339"/>
      <c r="Y57" s="339"/>
      <c r="Z57" s="339"/>
    </row>
    <row r="58" spans="1:26" ht="21" customHeight="1">
      <c r="A58" s="303">
        <v>4</v>
      </c>
      <c r="B58" s="304" t="s">
        <v>82</v>
      </c>
      <c r="C58" s="305">
        <f t="shared" ca="1" si="30"/>
        <v>0</v>
      </c>
      <c r="D58" s="306">
        <f ca="1">IFERROR(__xludf.DUMMYFUNCTION("IMPORTRANGE(""https://docs.google.com/spreadsheets/d/1C3CXT74ZlgGe6_JY_1olB1XN4rF0dxEuIIF-xsYjHgg/edit?usp=sharing"",""งบกองทุน!EB62"")"),0)</f>
        <v>0</v>
      </c>
      <c r="E58" s="306">
        <f ca="1">IFERROR(__xludf.DUMMYFUNCTION("IMPORTRANGE(""https://docs.google.com/spreadsheets/d/1C3CXT74ZlgGe6_JY_1olB1XN4rF0dxEuIIF-xsYjHgg/edit?usp=sharing"",""งบกองทุน!EL62"")"),0)</f>
        <v>0</v>
      </c>
      <c r="F58" s="307">
        <f ca="1">IFERROR(__xludf.DUMMYFUNCTION("IMPORTRANGE(""https://docs.google.com/spreadsheets/d/1SX6NBoVAgQJ6U1MVXOaj8PK2l7WJ3RER9xtqwdhxkhw/edit?usp=sharing"",""ชลบุรี!M475"")"),0)</f>
        <v>0</v>
      </c>
      <c r="G58" s="307">
        <f t="shared" ca="1" si="1"/>
        <v>0</v>
      </c>
      <c r="H58" s="306">
        <f ca="1">IFERROR(__xludf.DUMMYFUNCTION("IMPORTRANGE(""https://docs.google.com/spreadsheets/d/1C3CXT74ZlgGe6_JY_1olB1XN4rF0dxEuIIF-xsYjHgg/edit?usp=sharing"",""งบกองทุน!ED62"")"),900)</f>
        <v>900</v>
      </c>
      <c r="I58" s="306">
        <f t="shared" ca="1" si="31"/>
        <v>996</v>
      </c>
      <c r="J58" s="307">
        <f t="shared" ca="1" si="3"/>
        <v>110.66666666666667</v>
      </c>
      <c r="K58" s="608">
        <f ca="1">IFERROR(__xludf.DUMMYFUNCTION("IMPORTRANGE(""https://docs.google.com/spreadsheets/d/1SX6NBoVAgQJ6U1MVXOaj8PK2l7WJ3RER9xtqwdhxkhw/edit?usp=sharing"",""ชลบุรี!J470"")"),2)</f>
        <v>2</v>
      </c>
      <c r="L58" s="306">
        <f ca="1">IFERROR(__xludf.DUMMYFUNCTION("IMPORTRANGE(""https://docs.google.com/spreadsheets/d/1SX6NBoVAgQJ6U1MVXOaj8PK2l7WJ3RER9xtqwdhxkhw/edit?usp=sharing"",""ชลบุรี!J471"")"),83)</f>
        <v>83</v>
      </c>
      <c r="M58" s="306">
        <f ca="1">IFERROR(__xludf.DUMMYFUNCTION("IMPORTRANGE(""https://docs.google.com/spreadsheets/d/1SX6NBoVAgQJ6U1MVXOaj8PK2l7WJ3RER9xtqwdhxkhw/edit?usp=sharing"",""ชลบุรี!J472"")"),913)</f>
        <v>913</v>
      </c>
      <c r="N58" s="306">
        <f ca="1">IFERROR(__xludf.DUMMYFUNCTION("IMPORTRANGE(""https://docs.google.com/spreadsheets/d/1SX6NBoVAgQJ6U1MVXOaj8PK2l7WJ3RER9xtqwdhxkhw/edit?usp=sharing"",""ชลบุรี!J473"")"),0)</f>
        <v>0</v>
      </c>
      <c r="O58" s="609">
        <f ca="1">IFERROR(__xludf.DUMMYFUNCTION("IMPORTRANGE(""https://docs.google.com/spreadsheets/d/1SX6NBoVAgQJ6U1MVXOaj8PK2l7WJ3RER9xtqwdhxkhw/edit?usp=sharing"",""ชลบุรี!J474"")"),0)</f>
        <v>0</v>
      </c>
      <c r="P58" s="339"/>
      <c r="Q58" s="339"/>
      <c r="R58" s="339"/>
      <c r="S58" s="339"/>
      <c r="T58" s="339"/>
      <c r="U58" s="339"/>
      <c r="V58" s="339"/>
      <c r="W58" s="339"/>
      <c r="X58" s="339"/>
      <c r="Y58" s="339"/>
      <c r="Z58" s="339"/>
    </row>
    <row r="59" spans="1:26" ht="21" customHeight="1">
      <c r="A59" s="303">
        <v>5</v>
      </c>
      <c r="B59" s="304" t="s">
        <v>83</v>
      </c>
      <c r="C59" s="305">
        <f t="shared" ca="1" si="30"/>
        <v>0</v>
      </c>
      <c r="D59" s="306">
        <f ca="1">IFERROR(__xludf.DUMMYFUNCTION("IMPORTRANGE(""https://docs.google.com/spreadsheets/d/1C3CXT74ZlgGe6_JY_1olB1XN4rF0dxEuIIF-xsYjHgg/edit?usp=sharing"",""งบกองทุน!EB63"")"),0)</f>
        <v>0</v>
      </c>
      <c r="E59" s="306">
        <f ca="1">IFERROR(__xludf.DUMMYFUNCTION("IMPORTRANGE(""https://docs.google.com/spreadsheets/d/1C3CXT74ZlgGe6_JY_1olB1XN4rF0dxEuIIF-xsYjHgg/edit?usp=sharing"",""งบกองทุน!EL63"")"),0)</f>
        <v>0</v>
      </c>
      <c r="F59" s="307">
        <f ca="1">IFERROR(__xludf.DUMMYFUNCTION("IMPORTRANGE(""https://docs.google.com/spreadsheets/d/1SX6NBoVAgQJ6U1MVXOaj8PK2l7WJ3RER9xtqwdhxkhw/edit?usp=sharing"",""ชัยนาท!M475"")"),0)</f>
        <v>0</v>
      </c>
      <c r="G59" s="307">
        <f t="shared" ca="1" si="1"/>
        <v>0</v>
      </c>
      <c r="H59" s="306">
        <f ca="1">IFERROR(__xludf.DUMMYFUNCTION("IMPORTRANGE(""https://docs.google.com/spreadsheets/d/1C3CXT74ZlgGe6_JY_1olB1XN4rF0dxEuIIF-xsYjHgg/edit?usp=sharing"",""งบกองทุน!ED63"")"),200)</f>
        <v>200</v>
      </c>
      <c r="I59" s="306">
        <f t="shared" ca="1" si="31"/>
        <v>1027</v>
      </c>
      <c r="J59" s="307">
        <f t="shared" ca="1" si="3"/>
        <v>513.5</v>
      </c>
      <c r="K59" s="608">
        <f ca="1">IFERROR(__xludf.DUMMYFUNCTION("IMPORTRANGE(""https://docs.google.com/spreadsheets/d/1SX6NBoVAgQJ6U1MVXOaj8PK2l7WJ3RER9xtqwdhxkhw/edit?usp=sharing"",""ชัยนาท!J470"")"),2)</f>
        <v>2</v>
      </c>
      <c r="L59" s="306">
        <f ca="1">IFERROR(__xludf.DUMMYFUNCTION("IMPORTRANGE(""https://docs.google.com/spreadsheets/d/1SX6NBoVAgQJ6U1MVXOaj8PK2l7WJ3RER9xtqwdhxkhw/edit?usp=sharing"",""ชัยนาท!J471"")"),21)</f>
        <v>21</v>
      </c>
      <c r="M59" s="306">
        <f ca="1">IFERROR(__xludf.DUMMYFUNCTION("IMPORTRANGE(""https://docs.google.com/spreadsheets/d/1SX6NBoVAgQJ6U1MVXOaj8PK2l7WJ3RER9xtqwdhxkhw/edit?usp=sharing"",""ชัยนาท!J472"")"),1006)</f>
        <v>1006</v>
      </c>
      <c r="N59" s="306">
        <f ca="1">IFERROR(__xludf.DUMMYFUNCTION("IMPORTRANGE(""https://docs.google.com/spreadsheets/d/1SX6NBoVAgQJ6U1MVXOaj8PK2l7WJ3RER9xtqwdhxkhw/edit?usp=sharing"",""ชัยนาท!J473"")"),0)</f>
        <v>0</v>
      </c>
      <c r="O59" s="609">
        <f ca="1">IFERROR(__xludf.DUMMYFUNCTION("IMPORTRANGE(""https://docs.google.com/spreadsheets/d/1SX6NBoVAgQJ6U1MVXOaj8PK2l7WJ3RER9xtqwdhxkhw/edit?usp=sharing"",""ชัยนาท!J474"")"),0)</f>
        <v>0</v>
      </c>
      <c r="P59" s="339"/>
      <c r="Q59" s="339"/>
      <c r="R59" s="339"/>
      <c r="S59" s="339"/>
      <c r="T59" s="339"/>
      <c r="U59" s="339"/>
      <c r="V59" s="339"/>
      <c r="W59" s="339"/>
      <c r="X59" s="339"/>
      <c r="Y59" s="339"/>
      <c r="Z59" s="339"/>
    </row>
    <row r="60" spans="1:26" ht="21" customHeight="1">
      <c r="A60" s="303">
        <v>6</v>
      </c>
      <c r="B60" s="304" t="s">
        <v>84</v>
      </c>
      <c r="C60" s="305">
        <f t="shared" ca="1" si="30"/>
        <v>0</v>
      </c>
      <c r="D60" s="306">
        <f ca="1">IFERROR(__xludf.DUMMYFUNCTION("IMPORTRANGE(""https://docs.google.com/spreadsheets/d/1C3CXT74ZlgGe6_JY_1olB1XN4rF0dxEuIIF-xsYjHgg/edit?usp=sharing"",""งบกองทุน!EB64"")"),0)</f>
        <v>0</v>
      </c>
      <c r="E60" s="306">
        <f ca="1">IFERROR(__xludf.DUMMYFUNCTION("IMPORTRANGE(""https://docs.google.com/spreadsheets/d/1C3CXT74ZlgGe6_JY_1olB1XN4rF0dxEuIIF-xsYjHgg/edit?usp=sharing"",""งบกองทุน!EL64"")"),0)</f>
        <v>0</v>
      </c>
      <c r="F60" s="307">
        <f ca="1">IFERROR(__xludf.DUMMYFUNCTION("IMPORTRANGE(""https://docs.google.com/spreadsheets/d/1SX6NBoVAgQJ6U1MVXOaj8PK2l7WJ3RER9xtqwdhxkhw/edit?usp=sharing"",""ตราด!M475"")"),0)</f>
        <v>0</v>
      </c>
      <c r="G60" s="307">
        <f t="shared" ca="1" si="1"/>
        <v>0</v>
      </c>
      <c r="H60" s="306">
        <f ca="1">IFERROR(__xludf.DUMMYFUNCTION("IMPORTRANGE(""https://docs.google.com/spreadsheets/d/1C3CXT74ZlgGe6_JY_1olB1XN4rF0dxEuIIF-xsYjHgg/edit?usp=sharing"",""งบกองทุน!ED64"")"),700)</f>
        <v>700</v>
      </c>
      <c r="I60" s="306">
        <f t="shared" ca="1" si="31"/>
        <v>472</v>
      </c>
      <c r="J60" s="307">
        <f t="shared" ca="1" si="3"/>
        <v>67.428571428571431</v>
      </c>
      <c r="K60" s="608">
        <f ca="1">IFERROR(__xludf.DUMMYFUNCTION("IMPORTRANGE(""https://docs.google.com/spreadsheets/d/1SX6NBoVAgQJ6U1MVXOaj8PK2l7WJ3RER9xtqwdhxkhw/edit?usp=sharing"",""ตราด!J470"")"),0)</f>
        <v>0</v>
      </c>
      <c r="L60" s="306">
        <f ca="1">IFERROR(__xludf.DUMMYFUNCTION("IMPORTRANGE(""https://docs.google.com/spreadsheets/d/1SX6NBoVAgQJ6U1MVXOaj8PK2l7WJ3RER9xtqwdhxkhw/edit?usp=sharing"",""ตราด!J471"")"),0)</f>
        <v>0</v>
      </c>
      <c r="M60" s="306">
        <f ca="1">IFERROR(__xludf.DUMMYFUNCTION("IMPORTRANGE(""https://docs.google.com/spreadsheets/d/1SX6NBoVAgQJ6U1MVXOaj8PK2l7WJ3RER9xtqwdhxkhw/edit?usp=sharing"",""ตราด!J472"")"),472)</f>
        <v>472</v>
      </c>
      <c r="N60" s="306">
        <f ca="1">IFERROR(__xludf.DUMMYFUNCTION("IMPORTRANGE(""https://docs.google.com/spreadsheets/d/1SX6NBoVAgQJ6U1MVXOaj8PK2l7WJ3RER9xtqwdhxkhw/edit?usp=sharing"",""ตราด!J473"")"),0)</f>
        <v>0</v>
      </c>
      <c r="O60" s="609">
        <f ca="1">IFERROR(__xludf.DUMMYFUNCTION("IMPORTRANGE(""https://docs.google.com/spreadsheets/d/1SX6NBoVAgQJ6U1MVXOaj8PK2l7WJ3RER9xtqwdhxkhw/edit?usp=sharing"",""ตราด!J474"")"),0)</f>
        <v>0</v>
      </c>
      <c r="P60" s="339"/>
      <c r="Q60" s="339"/>
      <c r="R60" s="339"/>
      <c r="S60" s="339"/>
      <c r="T60" s="339"/>
      <c r="U60" s="339"/>
      <c r="V60" s="339"/>
      <c r="W60" s="339"/>
      <c r="X60" s="339"/>
      <c r="Y60" s="339"/>
      <c r="Z60" s="339"/>
    </row>
    <row r="61" spans="1:26" ht="21" customHeight="1">
      <c r="A61" s="303">
        <v>7</v>
      </c>
      <c r="B61" s="304" t="s">
        <v>85</v>
      </c>
      <c r="C61" s="305">
        <f t="shared" ca="1" si="30"/>
        <v>0</v>
      </c>
      <c r="D61" s="306">
        <f ca="1">IFERROR(__xludf.DUMMYFUNCTION("IMPORTRANGE(""https://docs.google.com/spreadsheets/d/1C3CXT74ZlgGe6_JY_1olB1XN4rF0dxEuIIF-xsYjHgg/edit?usp=sharing"",""งบกองทุน!EB65"")"),0)</f>
        <v>0</v>
      </c>
      <c r="E61" s="306">
        <f ca="1">IFERROR(__xludf.DUMMYFUNCTION("IMPORTRANGE(""https://docs.google.com/spreadsheets/d/1C3CXT74ZlgGe6_JY_1olB1XN4rF0dxEuIIF-xsYjHgg/edit?usp=sharing"",""งบกองทุน!EL65"")"),0)</f>
        <v>0</v>
      </c>
      <c r="F61" s="307">
        <f ca="1">IFERROR(__xludf.DUMMYFUNCTION("IMPORTRANGE(""https://docs.google.com/spreadsheets/d/1SX6NBoVAgQJ6U1MVXOaj8PK2l7WJ3RER9xtqwdhxkhw/edit?usp=sharing"",""นครนายก!M475"")"),0)</f>
        <v>0</v>
      </c>
      <c r="G61" s="307">
        <f t="shared" ca="1" si="1"/>
        <v>0</v>
      </c>
      <c r="H61" s="306">
        <f ca="1">IFERROR(__xludf.DUMMYFUNCTION("IMPORTRANGE(""https://docs.google.com/spreadsheets/d/1C3CXT74ZlgGe6_JY_1olB1XN4rF0dxEuIIF-xsYjHgg/edit?usp=sharing"",""งบกองทุน!ED65"")"),150)</f>
        <v>150</v>
      </c>
      <c r="I61" s="306">
        <f t="shared" ca="1" si="31"/>
        <v>463</v>
      </c>
      <c r="J61" s="307">
        <f t="shared" ca="1" si="3"/>
        <v>308.66666666666669</v>
      </c>
      <c r="K61" s="608">
        <f ca="1">IFERROR(__xludf.DUMMYFUNCTION("IMPORTRANGE(""https://docs.google.com/spreadsheets/d/1SX6NBoVAgQJ6U1MVXOaj8PK2l7WJ3RER9xtqwdhxkhw/edit?usp=sharing"",""นครนายก!J470"")"),3)</f>
        <v>3</v>
      </c>
      <c r="L61" s="306">
        <f ca="1">IFERROR(__xludf.DUMMYFUNCTION("IMPORTRANGE(""https://docs.google.com/spreadsheets/d/1SX6NBoVAgQJ6U1MVXOaj8PK2l7WJ3RER9xtqwdhxkhw/edit?usp=sharing"",""นครนายก!J471"")"),92)</f>
        <v>92</v>
      </c>
      <c r="M61" s="306">
        <f ca="1">IFERROR(__xludf.DUMMYFUNCTION("IMPORTRANGE(""https://docs.google.com/spreadsheets/d/1SX6NBoVAgQJ6U1MVXOaj8PK2l7WJ3RER9xtqwdhxkhw/edit?usp=sharing"",""นครนายก!J472"")"),371)</f>
        <v>371</v>
      </c>
      <c r="N61" s="306">
        <f ca="1">IFERROR(__xludf.DUMMYFUNCTION("IMPORTRANGE(""https://docs.google.com/spreadsheets/d/1SX6NBoVAgQJ6U1MVXOaj8PK2l7WJ3RER9xtqwdhxkhw/edit?usp=sharing"",""นครนายก!J473"")"),0)</f>
        <v>0</v>
      </c>
      <c r="O61" s="609">
        <f ca="1">IFERROR(__xludf.DUMMYFUNCTION("IMPORTRANGE(""https://docs.google.com/spreadsheets/d/1SX6NBoVAgQJ6U1MVXOaj8PK2l7WJ3RER9xtqwdhxkhw/edit?usp=sharing"",""นครนายก!J474"")"),0)</f>
        <v>0</v>
      </c>
      <c r="P61" s="339"/>
      <c r="Q61" s="339"/>
      <c r="R61" s="339"/>
      <c r="S61" s="339"/>
      <c r="T61" s="339"/>
      <c r="U61" s="339"/>
      <c r="V61" s="339"/>
      <c r="W61" s="339"/>
      <c r="X61" s="339"/>
      <c r="Y61" s="339"/>
      <c r="Z61" s="339"/>
    </row>
    <row r="62" spans="1:26" ht="21" customHeight="1">
      <c r="A62" s="303">
        <v>8</v>
      </c>
      <c r="B62" s="304" t="s">
        <v>86</v>
      </c>
      <c r="C62" s="305">
        <f t="shared" ca="1" si="30"/>
        <v>0</v>
      </c>
      <c r="D62" s="306">
        <f ca="1">IFERROR(__xludf.DUMMYFUNCTION("IMPORTRANGE(""https://docs.google.com/spreadsheets/d/1C3CXT74ZlgGe6_JY_1olB1XN4rF0dxEuIIF-xsYjHgg/edit?usp=sharing"",""งบกองทุน!EB66"")"),0)</f>
        <v>0</v>
      </c>
      <c r="E62" s="306">
        <f ca="1">IFERROR(__xludf.DUMMYFUNCTION("IMPORTRANGE(""https://docs.google.com/spreadsheets/d/1C3CXT74ZlgGe6_JY_1olB1XN4rF0dxEuIIF-xsYjHgg/edit?usp=sharing"",""งบกองทุน!EL66"")"),0)</f>
        <v>0</v>
      </c>
      <c r="F62" s="307">
        <f ca="1">IFERROR(__xludf.DUMMYFUNCTION("IMPORTRANGE(""https://docs.google.com/spreadsheets/d/1SX6NBoVAgQJ6U1MVXOaj8PK2l7WJ3RER9xtqwdhxkhw/edit?usp=sharing"",""นครปฐม!M475"")"),0)</f>
        <v>0</v>
      </c>
      <c r="G62" s="307">
        <f t="shared" ca="1" si="1"/>
        <v>0</v>
      </c>
      <c r="H62" s="306">
        <f ca="1">IFERROR(__xludf.DUMMYFUNCTION("IMPORTRANGE(""https://docs.google.com/spreadsheets/d/1C3CXT74ZlgGe6_JY_1olB1XN4rF0dxEuIIF-xsYjHgg/edit?usp=sharing"",""งบกองทุน!ED66"")"),100)</f>
        <v>100</v>
      </c>
      <c r="I62" s="306">
        <f t="shared" ca="1" si="31"/>
        <v>57</v>
      </c>
      <c r="J62" s="307">
        <f t="shared" ca="1" si="3"/>
        <v>57</v>
      </c>
      <c r="K62" s="608">
        <f ca="1">IFERROR(__xludf.DUMMYFUNCTION("IMPORTRANGE(""https://docs.google.com/spreadsheets/d/1SX6NBoVAgQJ6U1MVXOaj8PK2l7WJ3RER9xtqwdhxkhw/edit?usp=sharing"",""นครปฐม!J470"")"),1)</f>
        <v>1</v>
      </c>
      <c r="L62" s="306">
        <f ca="1">IFERROR(__xludf.DUMMYFUNCTION("IMPORTRANGE(""https://docs.google.com/spreadsheets/d/1SX6NBoVAgQJ6U1MVXOaj8PK2l7WJ3RER9xtqwdhxkhw/edit?usp=sharing"",""นครปฐม!J471"")"),26)</f>
        <v>26</v>
      </c>
      <c r="M62" s="306">
        <f ca="1">IFERROR(__xludf.DUMMYFUNCTION("IMPORTRANGE(""https://docs.google.com/spreadsheets/d/1SX6NBoVAgQJ6U1MVXOaj8PK2l7WJ3RER9xtqwdhxkhw/edit?usp=sharing"",""นครปฐม!J472"")"),31)</f>
        <v>31</v>
      </c>
      <c r="N62" s="306">
        <f ca="1">IFERROR(__xludf.DUMMYFUNCTION("IMPORTRANGE(""https://docs.google.com/spreadsheets/d/1SX6NBoVAgQJ6U1MVXOaj8PK2l7WJ3RER9xtqwdhxkhw/edit?usp=sharing"",""นครปฐม!J473"")"),0)</f>
        <v>0</v>
      </c>
      <c r="O62" s="609">
        <f ca="1">IFERROR(__xludf.DUMMYFUNCTION("IMPORTRANGE(""https://docs.google.com/spreadsheets/d/1SX6NBoVAgQJ6U1MVXOaj8PK2l7WJ3RER9xtqwdhxkhw/edit?usp=sharing"",""นครปฐม!J474"")"),0)</f>
        <v>0</v>
      </c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</row>
    <row r="63" spans="1:26" ht="21" customHeight="1">
      <c r="A63" s="303">
        <v>9</v>
      </c>
      <c r="B63" s="304" t="s">
        <v>87</v>
      </c>
      <c r="C63" s="305">
        <f t="shared" ca="1" si="30"/>
        <v>0</v>
      </c>
      <c r="D63" s="306">
        <f ca="1">IFERROR(__xludf.DUMMYFUNCTION("IMPORTRANGE(""https://docs.google.com/spreadsheets/d/1C3CXT74ZlgGe6_JY_1olB1XN4rF0dxEuIIF-xsYjHgg/edit?usp=sharing"",""งบกองทุน!EB67"")"),0)</f>
        <v>0</v>
      </c>
      <c r="E63" s="306">
        <f ca="1">IFERROR(__xludf.DUMMYFUNCTION("IMPORTRANGE(""https://docs.google.com/spreadsheets/d/1C3CXT74ZlgGe6_JY_1olB1XN4rF0dxEuIIF-xsYjHgg/edit?usp=sharing"",""งบกองทุน!EL67"")"),0)</f>
        <v>0</v>
      </c>
      <c r="F63" s="307">
        <f ca="1">IFERROR(__xludf.DUMMYFUNCTION("IMPORTRANGE(""https://docs.google.com/spreadsheets/d/1SX6NBoVAgQJ6U1MVXOaj8PK2l7WJ3RER9xtqwdhxkhw/edit?usp=sharing"",""ปทุมธานี!M475"")"),0)</f>
        <v>0</v>
      </c>
      <c r="G63" s="307">
        <f t="shared" ca="1" si="1"/>
        <v>0</v>
      </c>
      <c r="H63" s="306">
        <f ca="1">IFERROR(__xludf.DUMMYFUNCTION("IMPORTRANGE(""https://docs.google.com/spreadsheets/d/1C3CXT74ZlgGe6_JY_1olB1XN4rF0dxEuIIF-xsYjHgg/edit?usp=sharing"",""งบกองทุน!ED67"")"),200)</f>
        <v>200</v>
      </c>
      <c r="I63" s="306">
        <f t="shared" ca="1" si="31"/>
        <v>747</v>
      </c>
      <c r="J63" s="307">
        <f t="shared" ca="1" si="3"/>
        <v>373.5</v>
      </c>
      <c r="K63" s="608">
        <f ca="1">IFERROR(__xludf.DUMMYFUNCTION("IMPORTRANGE(""https://docs.google.com/spreadsheets/d/1SX6NBoVAgQJ6U1MVXOaj8PK2l7WJ3RER9xtqwdhxkhw/edit?usp=sharing"",""ปทุมธานี!J470"")"),10)</f>
        <v>10</v>
      </c>
      <c r="L63" s="306">
        <f ca="1">IFERROR(__xludf.DUMMYFUNCTION("IMPORTRANGE(""https://docs.google.com/spreadsheets/d/1SX6NBoVAgQJ6U1MVXOaj8PK2l7WJ3RER9xtqwdhxkhw/edit?usp=sharing"",""ปทุมธานี!J471"")"),312)</f>
        <v>312</v>
      </c>
      <c r="M63" s="306">
        <f ca="1">IFERROR(__xludf.DUMMYFUNCTION("IMPORTRANGE(""https://docs.google.com/spreadsheets/d/1SX6NBoVAgQJ6U1MVXOaj8PK2l7WJ3RER9xtqwdhxkhw/edit?usp=sharing"",""ปทุมธานี!J472"")"),435)</f>
        <v>435</v>
      </c>
      <c r="N63" s="306">
        <f ca="1">IFERROR(__xludf.DUMMYFUNCTION("IMPORTRANGE(""https://docs.google.com/spreadsheets/d/1SX6NBoVAgQJ6U1MVXOaj8PK2l7WJ3RER9xtqwdhxkhw/edit?usp=sharing"",""ปทุมธานี!J473"")"),0)</f>
        <v>0</v>
      </c>
      <c r="O63" s="609">
        <f ca="1">IFERROR(__xludf.DUMMYFUNCTION("IMPORTRANGE(""https://docs.google.com/spreadsheets/d/1SX6NBoVAgQJ6U1MVXOaj8PK2l7WJ3RER9xtqwdhxkhw/edit?usp=sharing"",""ปทุมธานี!J474"")"),0)</f>
        <v>0</v>
      </c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339"/>
    </row>
    <row r="64" spans="1:26" ht="21" customHeight="1">
      <c r="A64" s="303">
        <v>10</v>
      </c>
      <c r="B64" s="304" t="s">
        <v>88</v>
      </c>
      <c r="C64" s="305">
        <f t="shared" ca="1" si="30"/>
        <v>0</v>
      </c>
      <c r="D64" s="306">
        <f ca="1">IFERROR(__xludf.DUMMYFUNCTION("IMPORTRANGE(""https://docs.google.com/spreadsheets/d/1C3CXT74ZlgGe6_JY_1olB1XN4rF0dxEuIIF-xsYjHgg/edit?usp=sharing"",""งบกองทุน!EB68"")"),0)</f>
        <v>0</v>
      </c>
      <c r="E64" s="306">
        <f ca="1">IFERROR(__xludf.DUMMYFUNCTION("IMPORTRANGE(""https://docs.google.com/spreadsheets/d/1C3CXT74ZlgGe6_JY_1olB1XN4rF0dxEuIIF-xsYjHgg/edit?usp=sharing"",""งบกองทุน!EL68"")"),0)</f>
        <v>0</v>
      </c>
      <c r="F64" s="307">
        <f ca="1">IFERROR(__xludf.DUMMYFUNCTION("IMPORTRANGE(""https://docs.google.com/spreadsheets/d/1SX6NBoVAgQJ6U1MVXOaj8PK2l7WJ3RER9xtqwdhxkhw/edit?usp=sharing"",""ประจวบคีรีขันธ์!M475"")"),0)</f>
        <v>0</v>
      </c>
      <c r="G64" s="307">
        <f t="shared" ca="1" si="1"/>
        <v>0</v>
      </c>
      <c r="H64" s="306">
        <f ca="1">IFERROR(__xludf.DUMMYFUNCTION("IMPORTRANGE(""https://docs.google.com/spreadsheets/d/1C3CXT74ZlgGe6_JY_1olB1XN4rF0dxEuIIF-xsYjHgg/edit?usp=sharing"",""งบกองทุน!ED68"")"),700)</f>
        <v>700</v>
      </c>
      <c r="I64" s="306">
        <f t="shared" ca="1" si="31"/>
        <v>793</v>
      </c>
      <c r="J64" s="307">
        <f t="shared" ca="1" si="3"/>
        <v>113.28571428571429</v>
      </c>
      <c r="K64" s="608">
        <f ca="1">IFERROR(__xludf.DUMMYFUNCTION("IMPORTRANGE(""https://docs.google.com/spreadsheets/d/1SX6NBoVAgQJ6U1MVXOaj8PK2l7WJ3RER9xtqwdhxkhw/edit?usp=sharing"",""ประจวบคีรีขันธ์!J470"")"),1)</f>
        <v>1</v>
      </c>
      <c r="L64" s="306">
        <f ca="1">IFERROR(__xludf.DUMMYFUNCTION("IMPORTRANGE(""https://docs.google.com/spreadsheets/d/1SX6NBoVAgQJ6U1MVXOaj8PK2l7WJ3RER9xtqwdhxkhw/edit?usp=sharing"",""ประจวบคีรีขันธ์!J471"")"),23)</f>
        <v>23</v>
      </c>
      <c r="M64" s="306">
        <f ca="1">IFERROR(__xludf.DUMMYFUNCTION("IMPORTRANGE(""https://docs.google.com/spreadsheets/d/1SX6NBoVAgQJ6U1MVXOaj8PK2l7WJ3RER9xtqwdhxkhw/edit?usp=sharing"",""ประจวบคีรีขันธ์!J472"")"),770)</f>
        <v>770</v>
      </c>
      <c r="N64" s="306">
        <f ca="1">IFERROR(__xludf.DUMMYFUNCTION("IMPORTRANGE(""https://docs.google.com/spreadsheets/d/1SX6NBoVAgQJ6U1MVXOaj8PK2l7WJ3RER9xtqwdhxkhw/edit?usp=sharing"",""ประจวบคีรีขันธ์!J473"")"),0)</f>
        <v>0</v>
      </c>
      <c r="O64" s="609">
        <f ca="1">IFERROR(__xludf.DUMMYFUNCTION("IMPORTRANGE(""https://docs.google.com/spreadsheets/d/1SX6NBoVAgQJ6U1MVXOaj8PK2l7WJ3RER9xtqwdhxkhw/edit?usp=sharing"",""ประจวบคีรีขันธ์!J474"")"),0)</f>
        <v>0</v>
      </c>
      <c r="P64" s="339"/>
      <c r="Q64" s="339"/>
      <c r="R64" s="339"/>
      <c r="S64" s="339"/>
      <c r="T64" s="339"/>
      <c r="U64" s="339"/>
      <c r="V64" s="339"/>
      <c r="W64" s="339"/>
      <c r="X64" s="339"/>
      <c r="Y64" s="339"/>
      <c r="Z64" s="339"/>
    </row>
    <row r="65" spans="1:26" ht="21" customHeight="1">
      <c r="A65" s="303">
        <v>11</v>
      </c>
      <c r="B65" s="304" t="s">
        <v>89</v>
      </c>
      <c r="C65" s="305">
        <f t="shared" ca="1" si="30"/>
        <v>106902</v>
      </c>
      <c r="D65" s="306">
        <f ca="1">IFERROR(__xludf.DUMMYFUNCTION("IMPORTRANGE(""https://docs.google.com/spreadsheets/d/1C3CXT74ZlgGe6_JY_1olB1XN4rF0dxEuIIF-xsYjHgg/edit?usp=sharing"",""งบกองทุน!EB69"")"),0)</f>
        <v>0</v>
      </c>
      <c r="E65" s="306">
        <f ca="1">IFERROR(__xludf.DUMMYFUNCTION("IMPORTRANGE(""https://docs.google.com/spreadsheets/d/1C3CXT74ZlgGe6_JY_1olB1XN4rF0dxEuIIF-xsYjHgg/edit?usp=sharing"",""งบกองทุน!EL69"")"),106902)</f>
        <v>106902</v>
      </c>
      <c r="F65" s="307">
        <f ca="1">IFERROR(__xludf.DUMMYFUNCTION("IMPORTRANGE(""https://docs.google.com/spreadsheets/d/1SX6NBoVAgQJ6U1MVXOaj8PK2l7WJ3RER9xtqwdhxkhw/edit?usp=sharing"",""ปราจีนบุรี!M475"")"),0)</f>
        <v>0</v>
      </c>
      <c r="G65" s="307">
        <f t="shared" ca="1" si="1"/>
        <v>0</v>
      </c>
      <c r="H65" s="306">
        <f ca="1">IFERROR(__xludf.DUMMYFUNCTION("IMPORTRANGE(""https://docs.google.com/spreadsheets/d/1C3CXT74ZlgGe6_JY_1olB1XN4rF0dxEuIIF-xsYjHgg/edit?usp=sharing"",""งบกองทุน!ED69"")"),500)</f>
        <v>500</v>
      </c>
      <c r="I65" s="306">
        <f t="shared" ca="1" si="31"/>
        <v>924</v>
      </c>
      <c r="J65" s="307">
        <f t="shared" ca="1" si="3"/>
        <v>184.8</v>
      </c>
      <c r="K65" s="608">
        <f ca="1">IFERROR(__xludf.DUMMYFUNCTION("IMPORTRANGE(""https://docs.google.com/spreadsheets/d/1SX6NBoVAgQJ6U1MVXOaj8PK2l7WJ3RER9xtqwdhxkhw/edit?usp=sharing"",""ปราจีนบุรี!J470"")"),2)</f>
        <v>2</v>
      </c>
      <c r="L65" s="306">
        <f ca="1">IFERROR(__xludf.DUMMYFUNCTION("IMPORTRANGE(""https://docs.google.com/spreadsheets/d/1SX6NBoVAgQJ6U1MVXOaj8PK2l7WJ3RER9xtqwdhxkhw/edit?usp=sharing"",""ปราจีนบุรี!J471"")"),106)</f>
        <v>106</v>
      </c>
      <c r="M65" s="306">
        <f ca="1">IFERROR(__xludf.DUMMYFUNCTION("IMPORTRANGE(""https://docs.google.com/spreadsheets/d/1SX6NBoVAgQJ6U1MVXOaj8PK2l7WJ3RER9xtqwdhxkhw/edit?usp=sharing"",""ปราจีนบุรี!J472"")"),818)</f>
        <v>818</v>
      </c>
      <c r="N65" s="306">
        <f ca="1">IFERROR(__xludf.DUMMYFUNCTION("IMPORTRANGE(""https://docs.google.com/spreadsheets/d/1SX6NBoVAgQJ6U1MVXOaj8PK2l7WJ3RER9xtqwdhxkhw/edit?usp=sharing"",""ปราจีนบุรี!J473"")"),0)</f>
        <v>0</v>
      </c>
      <c r="O65" s="609">
        <f ca="1">IFERROR(__xludf.DUMMYFUNCTION("IMPORTRANGE(""https://docs.google.com/spreadsheets/d/1SX6NBoVAgQJ6U1MVXOaj8PK2l7WJ3RER9xtqwdhxkhw/edit?usp=sharing"",""ปราจีนบุรี!J474"")"),0)</f>
        <v>0</v>
      </c>
      <c r="P65" s="339"/>
      <c r="Q65" s="339"/>
      <c r="R65" s="339"/>
      <c r="S65" s="339"/>
      <c r="T65" s="339"/>
      <c r="U65" s="339"/>
      <c r="V65" s="339"/>
      <c r="W65" s="339"/>
      <c r="X65" s="339"/>
      <c r="Y65" s="339"/>
      <c r="Z65" s="339"/>
    </row>
    <row r="66" spans="1:26" ht="21" customHeight="1">
      <c r="A66" s="303">
        <v>12</v>
      </c>
      <c r="B66" s="304" t="s">
        <v>90</v>
      </c>
      <c r="C66" s="305">
        <f t="shared" ca="1" si="30"/>
        <v>0</v>
      </c>
      <c r="D66" s="306">
        <f ca="1">IFERROR(__xludf.DUMMYFUNCTION("IMPORTRANGE(""https://docs.google.com/spreadsheets/d/1C3CXT74ZlgGe6_JY_1olB1XN4rF0dxEuIIF-xsYjHgg/edit?usp=sharing"",""งบกองทุน!EB70"")"),0)</f>
        <v>0</v>
      </c>
      <c r="E66" s="306">
        <f ca="1">IFERROR(__xludf.DUMMYFUNCTION("IMPORTRANGE(""https://docs.google.com/spreadsheets/d/1C3CXT74ZlgGe6_JY_1olB1XN4rF0dxEuIIF-xsYjHgg/edit?usp=sharing"",""งบกองทุน!EL70"")"),0)</f>
        <v>0</v>
      </c>
      <c r="F66" s="307">
        <f ca="1">IFERROR(__xludf.DUMMYFUNCTION("IMPORTRANGE(""https://docs.google.com/spreadsheets/d/1SX6NBoVAgQJ6U1MVXOaj8PK2l7WJ3RER9xtqwdhxkhw/edit?usp=sharing"",""พระนครศรีอยุธยา!M475"")"),0)</f>
        <v>0</v>
      </c>
      <c r="G66" s="307">
        <f t="shared" ca="1" si="1"/>
        <v>0</v>
      </c>
      <c r="H66" s="306">
        <f ca="1">IFERROR(__xludf.DUMMYFUNCTION("IMPORTRANGE(""https://docs.google.com/spreadsheets/d/1C3CXT74ZlgGe6_JY_1olB1XN4rF0dxEuIIF-xsYjHgg/edit?usp=sharing"",""งบกองทุน!ED70"")"),150)</f>
        <v>150</v>
      </c>
      <c r="I66" s="306">
        <f t="shared" ca="1" si="31"/>
        <v>755</v>
      </c>
      <c r="J66" s="307">
        <f t="shared" ca="1" si="3"/>
        <v>503.33333333333331</v>
      </c>
      <c r="K66" s="608">
        <f ca="1">IFERROR(__xludf.DUMMYFUNCTION("IMPORTRANGE(""https://docs.google.com/spreadsheets/d/1SX6NBoVAgQJ6U1MVXOaj8PK2l7WJ3RER9xtqwdhxkhw/edit?usp=sharing"",""พระนครศรีอยุธยา!J470"")"),10)</f>
        <v>10</v>
      </c>
      <c r="L66" s="306">
        <f ca="1">IFERROR(__xludf.DUMMYFUNCTION("IMPORTRANGE(""https://docs.google.com/spreadsheets/d/1SX6NBoVAgQJ6U1MVXOaj8PK2l7WJ3RER9xtqwdhxkhw/edit?usp=sharing"",""พระนครศรีอยุธยา!J471"")"),348)</f>
        <v>348</v>
      </c>
      <c r="M66" s="306">
        <f ca="1">IFERROR(__xludf.DUMMYFUNCTION("IMPORTRANGE(""https://docs.google.com/spreadsheets/d/1SX6NBoVAgQJ6U1MVXOaj8PK2l7WJ3RER9xtqwdhxkhw/edit?usp=sharing"",""พระนครศรีอยุธยา!J472"")"),407)</f>
        <v>407</v>
      </c>
      <c r="N66" s="306">
        <f ca="1">IFERROR(__xludf.DUMMYFUNCTION("IMPORTRANGE(""https://docs.google.com/spreadsheets/d/1SX6NBoVAgQJ6U1MVXOaj8PK2l7WJ3RER9xtqwdhxkhw/edit?usp=sharing"",""พระนครศรีอยุธยา!J473"")"),0)</f>
        <v>0</v>
      </c>
      <c r="O66" s="609">
        <f ca="1">IFERROR(__xludf.DUMMYFUNCTION("IMPORTRANGE(""https://docs.google.com/spreadsheets/d/1SX6NBoVAgQJ6U1MVXOaj8PK2l7WJ3RER9xtqwdhxkhw/edit?usp=sharing"",""พระนครศรีอยุธยา!J474"")"),0)</f>
        <v>0</v>
      </c>
      <c r="P66" s="339"/>
      <c r="Q66" s="339"/>
      <c r="R66" s="339"/>
      <c r="S66" s="339"/>
      <c r="T66" s="339"/>
      <c r="U66" s="339"/>
      <c r="V66" s="339"/>
      <c r="W66" s="339"/>
      <c r="X66" s="339"/>
      <c r="Y66" s="339"/>
      <c r="Z66" s="339"/>
    </row>
    <row r="67" spans="1:26" ht="21" customHeight="1">
      <c r="A67" s="303">
        <v>13</v>
      </c>
      <c r="B67" s="304" t="s">
        <v>91</v>
      </c>
      <c r="C67" s="305">
        <f t="shared" ca="1" si="30"/>
        <v>0</v>
      </c>
      <c r="D67" s="306">
        <f ca="1">IFERROR(__xludf.DUMMYFUNCTION("IMPORTRANGE(""https://docs.google.com/spreadsheets/d/1C3CXT74ZlgGe6_JY_1olB1XN4rF0dxEuIIF-xsYjHgg/edit?usp=sharing"",""งบกองทุน!EB71"")"),0)</f>
        <v>0</v>
      </c>
      <c r="E67" s="306">
        <f ca="1">IFERROR(__xludf.DUMMYFUNCTION("IMPORTRANGE(""https://docs.google.com/spreadsheets/d/1C3CXT74ZlgGe6_JY_1olB1XN4rF0dxEuIIF-xsYjHgg/edit?usp=sharing"",""งบกองทุน!EL71"")"),0)</f>
        <v>0</v>
      </c>
      <c r="F67" s="307">
        <f ca="1">IFERROR(__xludf.DUMMYFUNCTION("IMPORTRANGE(""https://docs.google.com/spreadsheets/d/1SX6NBoVAgQJ6U1MVXOaj8PK2l7WJ3RER9xtqwdhxkhw/edit?usp=sharing"",""เพชรบุรี!M475"")"),0)</f>
        <v>0</v>
      </c>
      <c r="G67" s="307">
        <f t="shared" ca="1" si="1"/>
        <v>0</v>
      </c>
      <c r="H67" s="306">
        <f ca="1">IFERROR(__xludf.DUMMYFUNCTION("IMPORTRANGE(""https://docs.google.com/spreadsheets/d/1C3CXT74ZlgGe6_JY_1olB1XN4rF0dxEuIIF-xsYjHgg/edit?usp=sharing"",""งบกองทุน!ED71"")"),150)</f>
        <v>150</v>
      </c>
      <c r="I67" s="306">
        <f t="shared" ca="1" si="31"/>
        <v>315</v>
      </c>
      <c r="J67" s="307">
        <f t="shared" ca="1" si="3"/>
        <v>210</v>
      </c>
      <c r="K67" s="608">
        <f ca="1">IFERROR(__xludf.DUMMYFUNCTION("IMPORTRANGE(""https://docs.google.com/spreadsheets/d/1SX6NBoVAgQJ6U1MVXOaj8PK2l7WJ3RER9xtqwdhxkhw/edit?usp=sharing"",""เพชรบุรี!J470"")"),0)</f>
        <v>0</v>
      </c>
      <c r="L67" s="306">
        <f ca="1">IFERROR(__xludf.DUMMYFUNCTION("IMPORTRANGE(""https://docs.google.com/spreadsheets/d/1SX6NBoVAgQJ6U1MVXOaj8PK2l7WJ3RER9xtqwdhxkhw/edit?usp=sharing"",""เพชรบุรี!J471"")"),0)</f>
        <v>0</v>
      </c>
      <c r="M67" s="306">
        <f ca="1">IFERROR(__xludf.DUMMYFUNCTION("IMPORTRANGE(""https://docs.google.com/spreadsheets/d/1SX6NBoVAgQJ6U1MVXOaj8PK2l7WJ3RER9xtqwdhxkhw/edit?usp=sharing"",""เพชรบุรี!J472"")"),315)</f>
        <v>315</v>
      </c>
      <c r="N67" s="306">
        <f ca="1">IFERROR(__xludf.DUMMYFUNCTION("IMPORTRANGE(""https://docs.google.com/spreadsheets/d/1SX6NBoVAgQJ6U1MVXOaj8PK2l7WJ3RER9xtqwdhxkhw/edit?usp=sharing"",""เพชรบุรี!J473"")"),0)</f>
        <v>0</v>
      </c>
      <c r="O67" s="609">
        <f ca="1">IFERROR(__xludf.DUMMYFUNCTION("IMPORTRANGE(""https://docs.google.com/spreadsheets/d/1SX6NBoVAgQJ6U1MVXOaj8PK2l7WJ3RER9xtqwdhxkhw/edit?usp=sharing"",""เพชรบุรี!J474"")"),0)</f>
        <v>0</v>
      </c>
      <c r="P67" s="339"/>
      <c r="Q67" s="339"/>
      <c r="R67" s="339"/>
      <c r="S67" s="339"/>
      <c r="T67" s="339"/>
      <c r="U67" s="339"/>
      <c r="V67" s="339"/>
      <c r="W67" s="339"/>
      <c r="X67" s="339"/>
      <c r="Y67" s="339"/>
      <c r="Z67" s="339"/>
    </row>
    <row r="68" spans="1:26" ht="21" customHeight="1">
      <c r="A68" s="303">
        <v>14</v>
      </c>
      <c r="B68" s="304" t="s">
        <v>92</v>
      </c>
      <c r="C68" s="305">
        <f t="shared" ca="1" si="30"/>
        <v>92960</v>
      </c>
      <c r="D68" s="306">
        <f ca="1">IFERROR(__xludf.DUMMYFUNCTION("IMPORTRANGE(""https://docs.google.com/spreadsheets/d/1C3CXT74ZlgGe6_JY_1olB1XN4rF0dxEuIIF-xsYjHgg/edit?usp=sharing"",""งบกองทุน!EB72"")"),0)</f>
        <v>0</v>
      </c>
      <c r="E68" s="306">
        <f ca="1">IFERROR(__xludf.DUMMYFUNCTION("IMPORTRANGE(""https://docs.google.com/spreadsheets/d/1C3CXT74ZlgGe6_JY_1olB1XN4rF0dxEuIIF-xsYjHgg/edit?usp=sharing"",""งบกองทุน!EL72"")"),92960)</f>
        <v>92960</v>
      </c>
      <c r="F68" s="307">
        <f ca="1">IFERROR(__xludf.DUMMYFUNCTION("IMPORTRANGE(""https://docs.google.com/spreadsheets/d/1SX6NBoVAgQJ6U1MVXOaj8PK2l7WJ3RER9xtqwdhxkhw/edit?usp=sharing"",""ระยอง!M475"")"),0)</f>
        <v>0</v>
      </c>
      <c r="G68" s="307">
        <f t="shared" ca="1" si="1"/>
        <v>0</v>
      </c>
      <c r="H68" s="306">
        <f ca="1">IFERROR(__xludf.DUMMYFUNCTION("IMPORTRANGE(""https://docs.google.com/spreadsheets/d/1C3CXT74ZlgGe6_JY_1olB1XN4rF0dxEuIIF-xsYjHgg/edit?usp=sharing"",""งบกองทุน!ED72"")"),200)</f>
        <v>200</v>
      </c>
      <c r="I68" s="306">
        <f t="shared" ca="1" si="31"/>
        <v>340</v>
      </c>
      <c r="J68" s="307">
        <f t="shared" ca="1" si="3"/>
        <v>170</v>
      </c>
      <c r="K68" s="608">
        <f ca="1">IFERROR(__xludf.DUMMYFUNCTION("IMPORTRANGE(""https://docs.google.com/spreadsheets/d/1SX6NBoVAgQJ6U1MVXOaj8PK2l7WJ3RER9xtqwdhxkhw/edit?usp=sharing"",""ระยอง!J470"")"),2)</f>
        <v>2</v>
      </c>
      <c r="L68" s="306">
        <f ca="1">IFERROR(__xludf.DUMMYFUNCTION("IMPORTRANGE(""https://docs.google.com/spreadsheets/d/1SX6NBoVAgQJ6U1MVXOaj8PK2l7WJ3RER9xtqwdhxkhw/edit?usp=sharing"",""ระยอง!J471"")"),100)</f>
        <v>100</v>
      </c>
      <c r="M68" s="306">
        <f ca="1">IFERROR(__xludf.DUMMYFUNCTION("IMPORTRANGE(""https://docs.google.com/spreadsheets/d/1SX6NBoVAgQJ6U1MVXOaj8PK2l7WJ3RER9xtqwdhxkhw/edit?usp=sharing"",""ระยอง!J472"")"),160)</f>
        <v>160</v>
      </c>
      <c r="N68" s="306">
        <f ca="1">IFERROR(__xludf.DUMMYFUNCTION("IMPORTRANGE(""https://docs.google.com/spreadsheets/d/1SX6NBoVAgQJ6U1MVXOaj8PK2l7WJ3RER9xtqwdhxkhw/edit?usp=sharing"",""ระยอง!J473"")"),0)</f>
        <v>0</v>
      </c>
      <c r="O68" s="609">
        <f ca="1">IFERROR(__xludf.DUMMYFUNCTION("IMPORTRANGE(""https://docs.google.com/spreadsheets/d/1SX6NBoVAgQJ6U1MVXOaj8PK2l7WJ3RER9xtqwdhxkhw/edit?usp=sharing"",""ระยอง!J474"")"),80)</f>
        <v>80</v>
      </c>
      <c r="P68" s="339"/>
      <c r="Q68" s="339"/>
      <c r="R68" s="339"/>
      <c r="S68" s="339"/>
      <c r="T68" s="339"/>
      <c r="U68" s="339"/>
      <c r="V68" s="339"/>
      <c r="W68" s="339"/>
      <c r="X68" s="339"/>
      <c r="Y68" s="339"/>
      <c r="Z68" s="339"/>
    </row>
    <row r="69" spans="1:26" ht="21" customHeight="1">
      <c r="A69" s="303">
        <v>15</v>
      </c>
      <c r="B69" s="304" t="s">
        <v>93</v>
      </c>
      <c r="C69" s="305">
        <f t="shared" ca="1" si="30"/>
        <v>0</v>
      </c>
      <c r="D69" s="306">
        <f ca="1">IFERROR(__xludf.DUMMYFUNCTION("IMPORTRANGE(""https://docs.google.com/spreadsheets/d/1C3CXT74ZlgGe6_JY_1olB1XN4rF0dxEuIIF-xsYjHgg/edit?usp=sharing"",""งบกองทุน!EB73"")"),0)</f>
        <v>0</v>
      </c>
      <c r="E69" s="306">
        <f ca="1">IFERROR(__xludf.DUMMYFUNCTION("IMPORTRANGE(""https://docs.google.com/spreadsheets/d/1C3CXT74ZlgGe6_JY_1olB1XN4rF0dxEuIIF-xsYjHgg/edit?usp=sharing"",""งบกองทุน!EL73"")"),0)</f>
        <v>0</v>
      </c>
      <c r="F69" s="307">
        <f ca="1">IFERROR(__xludf.DUMMYFUNCTION("IMPORTRANGE(""https://docs.google.com/spreadsheets/d/1SX6NBoVAgQJ6U1MVXOaj8PK2l7WJ3RER9xtqwdhxkhw/edit?usp=sharing"",""ราชบุรี!M475"")"),0)</f>
        <v>0</v>
      </c>
      <c r="G69" s="307">
        <f t="shared" ca="1" si="1"/>
        <v>0</v>
      </c>
      <c r="H69" s="306">
        <f ca="1">IFERROR(__xludf.DUMMYFUNCTION("IMPORTRANGE(""https://docs.google.com/spreadsheets/d/1C3CXT74ZlgGe6_JY_1olB1XN4rF0dxEuIIF-xsYjHgg/edit?usp=sharing"",""งบกองทุน!ED73"")"),550)</f>
        <v>550</v>
      </c>
      <c r="I69" s="306">
        <f t="shared" ca="1" si="31"/>
        <v>2370</v>
      </c>
      <c r="J69" s="307">
        <f t="shared" ca="1" si="3"/>
        <v>430.90909090909093</v>
      </c>
      <c r="K69" s="608">
        <f ca="1">IFERROR(__xludf.DUMMYFUNCTION("IMPORTRANGE(""https://docs.google.com/spreadsheets/d/1SX6NBoVAgQJ6U1MVXOaj8PK2l7WJ3RER9xtqwdhxkhw/edit?usp=sharing"",""ราชบุรี!J470"")"),5)</f>
        <v>5</v>
      </c>
      <c r="L69" s="306">
        <f ca="1">IFERROR(__xludf.DUMMYFUNCTION("IMPORTRANGE(""https://docs.google.com/spreadsheets/d/1SX6NBoVAgQJ6U1MVXOaj8PK2l7WJ3RER9xtqwdhxkhw/edit?usp=sharing"",""ราชบุรี!J471"")"),149)</f>
        <v>149</v>
      </c>
      <c r="M69" s="306">
        <f ca="1">IFERROR(__xludf.DUMMYFUNCTION("IMPORTRANGE(""https://docs.google.com/spreadsheets/d/1SX6NBoVAgQJ6U1MVXOaj8PK2l7WJ3RER9xtqwdhxkhw/edit?usp=sharing"",""ราชบุรี!J472"")"),2196)</f>
        <v>2196</v>
      </c>
      <c r="N69" s="306">
        <f ca="1">IFERROR(__xludf.DUMMYFUNCTION("IMPORTRANGE(""https://docs.google.com/spreadsheets/d/1SX6NBoVAgQJ6U1MVXOaj8PK2l7WJ3RER9xtqwdhxkhw/edit?usp=sharing"",""ราชบุรี!J473"")"),18)</f>
        <v>18</v>
      </c>
      <c r="O69" s="609">
        <f ca="1">IFERROR(__xludf.DUMMYFUNCTION("IMPORTRANGE(""https://docs.google.com/spreadsheets/d/1SX6NBoVAgQJ6U1MVXOaj8PK2l7WJ3RER9xtqwdhxkhw/edit?usp=sharing"",""ราชบุรี!J474"")"),7)</f>
        <v>7</v>
      </c>
      <c r="P69" s="339"/>
      <c r="Q69" s="339"/>
      <c r="R69" s="339"/>
      <c r="S69" s="339"/>
      <c r="T69" s="339"/>
      <c r="U69" s="339"/>
      <c r="V69" s="339"/>
      <c r="W69" s="339"/>
      <c r="X69" s="339"/>
      <c r="Y69" s="339"/>
      <c r="Z69" s="339"/>
    </row>
    <row r="70" spans="1:26" ht="24" customHeight="1">
      <c r="A70" s="303">
        <v>16</v>
      </c>
      <c r="B70" s="304" t="s">
        <v>94</v>
      </c>
      <c r="C70" s="305">
        <f t="shared" ca="1" si="30"/>
        <v>0</v>
      </c>
      <c r="D70" s="306">
        <f ca="1">IFERROR(__xludf.DUMMYFUNCTION("IMPORTRANGE(""https://docs.google.com/spreadsheets/d/1C3CXT74ZlgGe6_JY_1olB1XN4rF0dxEuIIF-xsYjHgg/edit?usp=sharing"",""งบกองทุน!EB74"")"),0)</f>
        <v>0</v>
      </c>
      <c r="E70" s="306">
        <f ca="1">IFERROR(__xludf.DUMMYFUNCTION("IMPORTRANGE(""https://docs.google.com/spreadsheets/d/1C3CXT74ZlgGe6_JY_1olB1XN4rF0dxEuIIF-xsYjHgg/edit?usp=sharing"",""งบกองทุน!EL74"")"),0)</f>
        <v>0</v>
      </c>
      <c r="F70" s="307">
        <f ca="1">IFERROR(__xludf.DUMMYFUNCTION("IMPORTRANGE(""https://docs.google.com/spreadsheets/d/1SX6NBoVAgQJ6U1MVXOaj8PK2l7WJ3RER9xtqwdhxkhw/edit?usp=sharing"",""ลพบุรี!M475"")"),0)</f>
        <v>0</v>
      </c>
      <c r="G70" s="307">
        <f t="shared" ca="1" si="1"/>
        <v>0</v>
      </c>
      <c r="H70" s="306">
        <f ca="1">IFERROR(__xludf.DUMMYFUNCTION("IMPORTRANGE(""https://docs.google.com/spreadsheets/d/1C3CXT74ZlgGe6_JY_1olB1XN4rF0dxEuIIF-xsYjHgg/edit?usp=sharing"",""งบกองทุน!ED74"")"),1350)</f>
        <v>1350</v>
      </c>
      <c r="I70" s="306">
        <f t="shared" ca="1" si="31"/>
        <v>1919</v>
      </c>
      <c r="J70" s="307">
        <f t="shared" ca="1" si="3"/>
        <v>142.14814814814815</v>
      </c>
      <c r="K70" s="608">
        <f ca="1">IFERROR(__xludf.DUMMYFUNCTION("IMPORTRANGE(""https://docs.google.com/spreadsheets/d/1SX6NBoVAgQJ6U1MVXOaj8PK2l7WJ3RER9xtqwdhxkhw/edit?usp=sharing"",""ลพบุรี!J470"")"),4)</f>
        <v>4</v>
      </c>
      <c r="L70" s="306">
        <f ca="1">IFERROR(__xludf.DUMMYFUNCTION("IMPORTRANGE(""https://docs.google.com/spreadsheets/d/1SX6NBoVAgQJ6U1MVXOaj8PK2l7WJ3RER9xtqwdhxkhw/edit?usp=sharing"",""ลพบุรี!J471"")"),250)</f>
        <v>250</v>
      </c>
      <c r="M70" s="306">
        <f ca="1">IFERROR(__xludf.DUMMYFUNCTION("IMPORTRANGE(""https://docs.google.com/spreadsheets/d/1SX6NBoVAgQJ6U1MVXOaj8PK2l7WJ3RER9xtqwdhxkhw/edit?usp=sharing"",""ลพบุรี!J472"")"),1669)</f>
        <v>1669</v>
      </c>
      <c r="N70" s="306">
        <f ca="1">IFERROR(__xludf.DUMMYFUNCTION("IMPORTRANGE(""https://docs.google.com/spreadsheets/d/1SX6NBoVAgQJ6U1MVXOaj8PK2l7WJ3RER9xtqwdhxkhw/edit?usp=sharing"",""ลพบุรี!J473"")"),0)</f>
        <v>0</v>
      </c>
      <c r="O70" s="609">
        <f ca="1">IFERROR(__xludf.DUMMYFUNCTION("IMPORTRANGE(""https://docs.google.com/spreadsheets/d/1SX6NBoVAgQJ6U1MVXOaj8PK2l7WJ3RER9xtqwdhxkhw/edit?usp=sharing"",""ลพบุรี!J474"")"),0)</f>
        <v>0</v>
      </c>
      <c r="P70" s="339"/>
      <c r="Q70" s="339"/>
      <c r="R70" s="339"/>
      <c r="S70" s="339"/>
      <c r="T70" s="339"/>
      <c r="U70" s="339"/>
      <c r="V70" s="339"/>
      <c r="W70" s="339"/>
      <c r="X70" s="339"/>
      <c r="Y70" s="339"/>
      <c r="Z70" s="339"/>
    </row>
    <row r="71" spans="1:26" ht="21" customHeight="1">
      <c r="A71" s="303">
        <v>17</v>
      </c>
      <c r="B71" s="304" t="s">
        <v>95</v>
      </c>
      <c r="C71" s="305">
        <f t="shared" ca="1" si="30"/>
        <v>370563</v>
      </c>
      <c r="D71" s="306">
        <f ca="1">IFERROR(__xludf.DUMMYFUNCTION("IMPORTRANGE(""https://docs.google.com/spreadsheets/d/1C3CXT74ZlgGe6_JY_1olB1XN4rF0dxEuIIF-xsYjHgg/edit?usp=sharing"",""งบกองทุน!EB75"")"),0)</f>
        <v>0</v>
      </c>
      <c r="E71" s="306">
        <f ca="1">IFERROR(__xludf.DUMMYFUNCTION("IMPORTRANGE(""https://docs.google.com/spreadsheets/d/1C3CXT74ZlgGe6_JY_1olB1XN4rF0dxEuIIF-xsYjHgg/edit?usp=sharing"",""งบกองทุน!EL75"")"),370563)</f>
        <v>370563</v>
      </c>
      <c r="F71" s="307">
        <f ca="1">IFERROR(__xludf.DUMMYFUNCTION("IMPORTRANGE(""https://docs.google.com/spreadsheets/d/1SX6NBoVAgQJ6U1MVXOaj8PK2l7WJ3RER9xtqwdhxkhw/edit?usp=sharing"",""สระแก้ว!M475"")"),69330.91)</f>
        <v>69330.91</v>
      </c>
      <c r="G71" s="307">
        <f t="shared" ca="1" si="1"/>
        <v>18.709614829327268</v>
      </c>
      <c r="H71" s="306">
        <f ca="1">IFERROR(__xludf.DUMMYFUNCTION("IMPORTRANGE(""https://docs.google.com/spreadsheets/d/1C3CXT74ZlgGe6_JY_1olB1XN4rF0dxEuIIF-xsYjHgg/edit?usp=sharing"",""งบกองทุน!ED75"")"),3950)</f>
        <v>3950</v>
      </c>
      <c r="I71" s="306">
        <f t="shared" ca="1" si="31"/>
        <v>5497</v>
      </c>
      <c r="J71" s="307">
        <f t="shared" ca="1" si="3"/>
        <v>139.16455696202533</v>
      </c>
      <c r="K71" s="608">
        <f ca="1">IFERROR(__xludf.DUMMYFUNCTION("IMPORTRANGE(""https://docs.google.com/spreadsheets/d/1SX6NBoVAgQJ6U1MVXOaj8PK2l7WJ3RER9xtqwdhxkhw/edit?usp=sharing"",""สระแก้ว!J470"")"),5)</f>
        <v>5</v>
      </c>
      <c r="L71" s="306">
        <f ca="1">IFERROR(__xludf.DUMMYFUNCTION("IMPORTRANGE(""https://docs.google.com/spreadsheets/d/1SX6NBoVAgQJ6U1MVXOaj8PK2l7WJ3RER9xtqwdhxkhw/edit?usp=sharing"",""สระแก้ว!J471"")"),142)</f>
        <v>142</v>
      </c>
      <c r="M71" s="306">
        <f ca="1">IFERROR(__xludf.DUMMYFUNCTION("IMPORTRANGE(""https://docs.google.com/spreadsheets/d/1SX6NBoVAgQJ6U1MVXOaj8PK2l7WJ3RER9xtqwdhxkhw/edit?usp=sharing"",""สระแก้ว!J472"")"),5355)</f>
        <v>5355</v>
      </c>
      <c r="N71" s="306">
        <f ca="1">IFERROR(__xludf.DUMMYFUNCTION("IMPORTRANGE(""https://docs.google.com/spreadsheets/d/1SX6NBoVAgQJ6U1MVXOaj8PK2l7WJ3RER9xtqwdhxkhw/edit?usp=sharing"",""สระแก้ว!J473"")"),0)</f>
        <v>0</v>
      </c>
      <c r="O71" s="609">
        <f ca="1">IFERROR(__xludf.DUMMYFUNCTION("IMPORTRANGE(""https://docs.google.com/spreadsheets/d/1SX6NBoVAgQJ6U1MVXOaj8PK2l7WJ3RER9xtqwdhxkhw/edit?usp=sharing"",""สระแก้ว!J474"")"),0)</f>
        <v>0</v>
      </c>
      <c r="P71" s="339"/>
      <c r="Q71" s="339"/>
      <c r="R71" s="339"/>
      <c r="S71" s="339"/>
      <c r="T71" s="339"/>
      <c r="U71" s="339"/>
      <c r="V71" s="339"/>
      <c r="W71" s="339"/>
      <c r="X71" s="339"/>
      <c r="Y71" s="339"/>
      <c r="Z71" s="339"/>
    </row>
    <row r="72" spans="1:26" ht="21" customHeight="1">
      <c r="A72" s="303">
        <v>18</v>
      </c>
      <c r="B72" s="304" t="s">
        <v>96</v>
      </c>
      <c r="C72" s="305">
        <f t="shared" ca="1" si="30"/>
        <v>377750</v>
      </c>
      <c r="D72" s="306">
        <f ca="1">IFERROR(__xludf.DUMMYFUNCTION("IMPORTRANGE(""https://docs.google.com/spreadsheets/d/1C3CXT74ZlgGe6_JY_1olB1XN4rF0dxEuIIF-xsYjHgg/edit?usp=sharing"",""งบกองทุน!EB76"")"),0)</f>
        <v>0</v>
      </c>
      <c r="E72" s="306">
        <f ca="1">IFERROR(__xludf.DUMMYFUNCTION("IMPORTRANGE(""https://docs.google.com/spreadsheets/d/1C3CXT74ZlgGe6_JY_1olB1XN4rF0dxEuIIF-xsYjHgg/edit?usp=sharing"",""งบกองทุน!EL76"")"),377750)</f>
        <v>377750</v>
      </c>
      <c r="F72" s="307">
        <f ca="1">IFERROR(__xludf.DUMMYFUNCTION("IMPORTRANGE(""https://docs.google.com/spreadsheets/d/1SX6NBoVAgQJ6U1MVXOaj8PK2l7WJ3RER9xtqwdhxkhw/edit?usp=sharing"",""สระบุรี!M475"")"),193394.68)</f>
        <v>193394.68</v>
      </c>
      <c r="G72" s="307">
        <f t="shared" ca="1" si="1"/>
        <v>51.196473858371938</v>
      </c>
      <c r="H72" s="306">
        <f ca="1">IFERROR(__xludf.DUMMYFUNCTION("IMPORTRANGE(""https://docs.google.com/spreadsheets/d/1C3CXT74ZlgGe6_JY_1olB1XN4rF0dxEuIIF-xsYjHgg/edit?usp=sharing"",""งบกองทุน!ED76"")"),600)</f>
        <v>600</v>
      </c>
      <c r="I72" s="306">
        <f t="shared" ca="1" si="31"/>
        <v>839</v>
      </c>
      <c r="J72" s="307">
        <f t="shared" ca="1" si="3"/>
        <v>139.83333333333334</v>
      </c>
      <c r="K72" s="608">
        <f ca="1">IFERROR(__xludf.DUMMYFUNCTION("IMPORTRANGE(""https://docs.google.com/spreadsheets/d/1SX6NBoVAgQJ6U1MVXOaj8PK2l7WJ3RER9xtqwdhxkhw/edit?usp=sharing"",""สระบุรี!J470"")"),0)</f>
        <v>0</v>
      </c>
      <c r="L72" s="306">
        <f ca="1">IFERROR(__xludf.DUMMYFUNCTION("IMPORTRANGE(""https://docs.google.com/spreadsheets/d/1SX6NBoVAgQJ6U1MVXOaj8PK2l7WJ3RER9xtqwdhxkhw/edit?usp=sharing"",""สระบุรี!J471"")"),0)</f>
        <v>0</v>
      </c>
      <c r="M72" s="306">
        <f ca="1">IFERROR(__xludf.DUMMYFUNCTION("IMPORTRANGE(""https://docs.google.com/spreadsheets/d/1SX6NBoVAgQJ6U1MVXOaj8PK2l7WJ3RER9xtqwdhxkhw/edit?usp=sharing"",""สระบุรี!J472"")"),828)</f>
        <v>828</v>
      </c>
      <c r="N72" s="306">
        <f ca="1">IFERROR(__xludf.DUMMYFUNCTION("IMPORTRANGE(""https://docs.google.com/spreadsheets/d/1SX6NBoVAgQJ6U1MVXOaj8PK2l7WJ3RER9xtqwdhxkhw/edit?usp=sharing"",""สระบุรี!J473"")"),11)</f>
        <v>11</v>
      </c>
      <c r="O72" s="609">
        <f ca="1">IFERROR(__xludf.DUMMYFUNCTION("IMPORTRANGE(""https://docs.google.com/spreadsheets/d/1SX6NBoVAgQJ6U1MVXOaj8PK2l7WJ3RER9xtqwdhxkhw/edit?usp=sharing"",""สระบุรี!J474"")"),0)</f>
        <v>0</v>
      </c>
      <c r="P72" s="339"/>
      <c r="Q72" s="339"/>
      <c r="R72" s="339"/>
      <c r="S72" s="339"/>
      <c r="T72" s="339"/>
      <c r="U72" s="339"/>
      <c r="V72" s="339"/>
      <c r="W72" s="339"/>
      <c r="X72" s="339"/>
      <c r="Y72" s="339"/>
      <c r="Z72" s="339"/>
    </row>
    <row r="73" spans="1:26" ht="21" customHeight="1">
      <c r="A73" s="303">
        <v>19</v>
      </c>
      <c r="B73" s="304" t="s">
        <v>97</v>
      </c>
      <c r="C73" s="305">
        <f t="shared" ca="1" si="30"/>
        <v>0</v>
      </c>
      <c r="D73" s="306">
        <f ca="1">IFERROR(__xludf.DUMMYFUNCTION("IMPORTRANGE(""https://docs.google.com/spreadsheets/d/1C3CXT74ZlgGe6_JY_1olB1XN4rF0dxEuIIF-xsYjHgg/edit?usp=sharing"",""งบกองทุน!EB77"")"),0)</f>
        <v>0</v>
      </c>
      <c r="E73" s="306">
        <f ca="1">IFERROR(__xludf.DUMMYFUNCTION("IMPORTRANGE(""https://docs.google.com/spreadsheets/d/1C3CXT74ZlgGe6_JY_1olB1XN4rF0dxEuIIF-xsYjHgg/edit?usp=sharing"",""งบกองทุน!EL77"")"),0)</f>
        <v>0</v>
      </c>
      <c r="F73" s="307">
        <f ca="1">IFERROR(__xludf.DUMMYFUNCTION("IMPORTRANGE(""https://docs.google.com/spreadsheets/d/1SX6NBoVAgQJ6U1MVXOaj8PK2l7WJ3RER9xtqwdhxkhw/edit?usp=sharing"",""สิงห์บุรี!M475"")"),0)</f>
        <v>0</v>
      </c>
      <c r="G73" s="307">
        <f t="shared" ca="1" si="1"/>
        <v>0</v>
      </c>
      <c r="H73" s="306">
        <f ca="1">IFERROR(__xludf.DUMMYFUNCTION("IMPORTRANGE(""https://docs.google.com/spreadsheets/d/1C3CXT74ZlgGe6_JY_1olB1XN4rF0dxEuIIF-xsYjHgg/edit?usp=sharing"",""งบกองทุน!ED77"")"),20)</f>
        <v>20</v>
      </c>
      <c r="I73" s="306">
        <f t="shared" ca="1" si="31"/>
        <v>25</v>
      </c>
      <c r="J73" s="307">
        <f t="shared" ca="1" si="3"/>
        <v>125</v>
      </c>
      <c r="K73" s="608">
        <f ca="1">IFERROR(__xludf.DUMMYFUNCTION("IMPORTRANGE(""https://docs.google.com/spreadsheets/d/1SX6NBoVAgQJ6U1MVXOaj8PK2l7WJ3RER9xtqwdhxkhw/edit?usp=sharing"",""สิงห์บุรี!J470"")"),1)</f>
        <v>1</v>
      </c>
      <c r="L73" s="306">
        <f ca="1">IFERROR(__xludf.DUMMYFUNCTION("IMPORTRANGE(""https://docs.google.com/spreadsheets/d/1SX6NBoVAgQJ6U1MVXOaj8PK2l7WJ3RER9xtqwdhxkhw/edit?usp=sharing"",""สิงห์บุรี!J471"")"),9)</f>
        <v>9</v>
      </c>
      <c r="M73" s="306">
        <f ca="1">IFERROR(__xludf.DUMMYFUNCTION("IMPORTRANGE(""https://docs.google.com/spreadsheets/d/1SX6NBoVAgQJ6U1MVXOaj8PK2l7WJ3RER9xtqwdhxkhw/edit?usp=sharing"",""สิงห์บุรี!J472"")"),16)</f>
        <v>16</v>
      </c>
      <c r="N73" s="306">
        <f ca="1">IFERROR(__xludf.DUMMYFUNCTION("IMPORTRANGE(""https://docs.google.com/spreadsheets/d/1SX6NBoVAgQJ6U1MVXOaj8PK2l7WJ3RER9xtqwdhxkhw/edit?usp=sharing"",""สิงห์บุรี!J473"")"),0)</f>
        <v>0</v>
      </c>
      <c r="O73" s="609">
        <f ca="1">IFERROR(__xludf.DUMMYFUNCTION("IMPORTRANGE(""https://docs.google.com/spreadsheets/d/1SX6NBoVAgQJ6U1MVXOaj8PK2l7WJ3RER9xtqwdhxkhw/edit?usp=sharing"",""สิงห์บุรี!J474"")"),0)</f>
        <v>0</v>
      </c>
      <c r="P73" s="339"/>
      <c r="Q73" s="339"/>
      <c r="R73" s="339"/>
      <c r="S73" s="339"/>
      <c r="T73" s="339"/>
      <c r="U73" s="339"/>
      <c r="V73" s="339"/>
      <c r="W73" s="339"/>
      <c r="X73" s="339"/>
      <c r="Y73" s="339"/>
      <c r="Z73" s="339"/>
    </row>
    <row r="74" spans="1:26" ht="21" customHeight="1">
      <c r="A74" s="303">
        <v>20</v>
      </c>
      <c r="B74" s="304" t="s">
        <v>98</v>
      </c>
      <c r="C74" s="305">
        <f t="shared" ca="1" si="30"/>
        <v>308380</v>
      </c>
      <c r="D74" s="306">
        <f ca="1">IFERROR(__xludf.DUMMYFUNCTION("IMPORTRANGE(""https://docs.google.com/spreadsheets/d/1C3CXT74ZlgGe6_JY_1olB1XN4rF0dxEuIIF-xsYjHgg/edit?usp=sharing"",""งบกองทุน!EB78"")"),0)</f>
        <v>0</v>
      </c>
      <c r="E74" s="306">
        <f ca="1">IFERROR(__xludf.DUMMYFUNCTION("IMPORTRANGE(""https://docs.google.com/spreadsheets/d/1C3CXT74ZlgGe6_JY_1olB1XN4rF0dxEuIIF-xsYjHgg/edit?usp=sharing"",""งบกองทุน!EL78"")"),308380)</f>
        <v>308380</v>
      </c>
      <c r="F74" s="307">
        <f ca="1">IFERROR(__xludf.DUMMYFUNCTION("IMPORTRANGE(""https://docs.google.com/spreadsheets/d/1SX6NBoVAgQJ6U1MVXOaj8PK2l7WJ3RER9xtqwdhxkhw/edit?usp=sharing"",""สุพรรณบุรี!M475"")"),127138.73)</f>
        <v>127138.73</v>
      </c>
      <c r="G74" s="307">
        <f t="shared" ca="1" si="1"/>
        <v>41.227942797846815</v>
      </c>
      <c r="H74" s="306">
        <f ca="1">IFERROR(__xludf.DUMMYFUNCTION("IMPORTRANGE(""https://docs.google.com/spreadsheets/d/1C3CXT74ZlgGe6_JY_1olB1XN4rF0dxEuIIF-xsYjHgg/edit?usp=sharing"",""งบกองทุน!ED78"")"),900)</f>
        <v>900</v>
      </c>
      <c r="I74" s="306">
        <f t="shared" ca="1" si="31"/>
        <v>1936</v>
      </c>
      <c r="J74" s="307">
        <f t="shared" ca="1" si="3"/>
        <v>215.11111111111111</v>
      </c>
      <c r="K74" s="608">
        <f ca="1">IFERROR(__xludf.DUMMYFUNCTION("IMPORTRANGE(""https://docs.google.com/spreadsheets/d/1SX6NBoVAgQJ6U1MVXOaj8PK2l7WJ3RER9xtqwdhxkhw/edit?usp=sharing"",""สุพรรณบุรี!J470"")"),1)</f>
        <v>1</v>
      </c>
      <c r="L74" s="306">
        <f ca="1">IFERROR(__xludf.DUMMYFUNCTION("IMPORTRANGE(""https://docs.google.com/spreadsheets/d/1SX6NBoVAgQJ6U1MVXOaj8PK2l7WJ3RER9xtqwdhxkhw/edit?usp=sharing"",""สุพรรณบุรี!J471"")"),154)</f>
        <v>154</v>
      </c>
      <c r="M74" s="306">
        <f ca="1">IFERROR(__xludf.DUMMYFUNCTION("IMPORTRANGE(""https://docs.google.com/spreadsheets/d/1SX6NBoVAgQJ6U1MVXOaj8PK2l7WJ3RER9xtqwdhxkhw/edit?usp=sharing"",""สุพรรณบุรี!J472"")"),1782)</f>
        <v>1782</v>
      </c>
      <c r="N74" s="306">
        <f ca="1">IFERROR(__xludf.DUMMYFUNCTION("IMPORTRANGE(""https://docs.google.com/spreadsheets/d/1SX6NBoVAgQJ6U1MVXOaj8PK2l7WJ3RER9xtqwdhxkhw/edit?usp=sharing"",""สุพรรณบุรี!J473"")"),0)</f>
        <v>0</v>
      </c>
      <c r="O74" s="609">
        <f ca="1">IFERROR(__xludf.DUMMYFUNCTION("IMPORTRANGE(""https://docs.google.com/spreadsheets/d/1SX6NBoVAgQJ6U1MVXOaj8PK2l7WJ3RER9xtqwdhxkhw/edit?usp=sharing"",""สุพรรณบุรี!J474"")"),0)</f>
        <v>0</v>
      </c>
      <c r="P74" s="339"/>
      <c r="Q74" s="339"/>
      <c r="R74" s="339"/>
      <c r="S74" s="339"/>
      <c r="T74" s="339"/>
      <c r="U74" s="339"/>
      <c r="V74" s="339"/>
      <c r="W74" s="339"/>
      <c r="X74" s="339"/>
      <c r="Y74" s="339"/>
      <c r="Z74" s="339"/>
    </row>
    <row r="75" spans="1:26" ht="21" customHeight="1">
      <c r="A75" s="310">
        <v>21</v>
      </c>
      <c r="B75" s="311" t="s">
        <v>99</v>
      </c>
      <c r="C75" s="312">
        <f t="shared" ca="1" si="30"/>
        <v>0</v>
      </c>
      <c r="D75" s="313">
        <f ca="1">IFERROR(__xludf.DUMMYFUNCTION("IMPORTRANGE(""https://docs.google.com/spreadsheets/d/1C3CXT74ZlgGe6_JY_1olB1XN4rF0dxEuIIF-xsYjHgg/edit?usp=sharing"",""งบกองทุน!EB79"")"),0)</f>
        <v>0</v>
      </c>
      <c r="E75" s="313">
        <f ca="1">IFERROR(__xludf.DUMMYFUNCTION("IMPORTRANGE(""https://docs.google.com/spreadsheets/d/1C3CXT74ZlgGe6_JY_1olB1XN4rF0dxEuIIF-xsYjHgg/edit?usp=sharing"",""งบกองทุน!EL79"")"),0)</f>
        <v>0</v>
      </c>
      <c r="F75" s="314">
        <f ca="1">IFERROR(__xludf.DUMMYFUNCTION("IMPORTRANGE(""https://docs.google.com/spreadsheets/d/1SX6NBoVAgQJ6U1MVXOaj8PK2l7WJ3RER9xtqwdhxkhw/edit?usp=sharing"",""อ่างทอง!M475"")"),0)</f>
        <v>0</v>
      </c>
      <c r="G75" s="314">
        <f t="shared" ca="1" si="1"/>
        <v>0</v>
      </c>
      <c r="H75" s="313">
        <f ca="1">IFERROR(__xludf.DUMMYFUNCTION("IMPORTRANGE(""https://docs.google.com/spreadsheets/d/1C3CXT74ZlgGe6_JY_1olB1XN4rF0dxEuIIF-xsYjHgg/edit?usp=sharing"",""งบกองทุน!ED79"")"),20)</f>
        <v>20</v>
      </c>
      <c r="I75" s="313">
        <f t="shared" ca="1" si="31"/>
        <v>30</v>
      </c>
      <c r="J75" s="314">
        <f t="shared" ca="1" si="3"/>
        <v>150</v>
      </c>
      <c r="K75" s="610">
        <f ca="1">IFERROR(__xludf.DUMMYFUNCTION("IMPORTRANGE(""https://docs.google.com/spreadsheets/d/1SX6NBoVAgQJ6U1MVXOaj8PK2l7WJ3RER9xtqwdhxkhw/edit?usp=sharing"",""อ่างทอง!J470"")"),1)</f>
        <v>1</v>
      </c>
      <c r="L75" s="313">
        <f ca="1">IFERROR(__xludf.DUMMYFUNCTION("IMPORTRANGE(""https://docs.google.com/spreadsheets/d/1SX6NBoVAgQJ6U1MVXOaj8PK2l7WJ3RER9xtqwdhxkhw/edit?usp=sharing"",""อ่างทอง!J471"")"),15)</f>
        <v>15</v>
      </c>
      <c r="M75" s="313">
        <f ca="1">IFERROR(__xludf.DUMMYFUNCTION("IMPORTRANGE(""https://docs.google.com/spreadsheets/d/1SX6NBoVAgQJ6U1MVXOaj8PK2l7WJ3RER9xtqwdhxkhw/edit?usp=sharing"",""อ่างทอง!J472"")"),15)</f>
        <v>15</v>
      </c>
      <c r="N75" s="313">
        <f ca="1">IFERROR(__xludf.DUMMYFUNCTION("IMPORTRANGE(""https://docs.google.com/spreadsheets/d/1SX6NBoVAgQJ6U1MVXOaj8PK2l7WJ3RER9xtqwdhxkhw/edit?usp=sharing"",""อ่างทอง!J473"")"),0)</f>
        <v>0</v>
      </c>
      <c r="O75" s="611">
        <f ca="1">IFERROR(__xludf.DUMMYFUNCTION("IMPORTRANGE(""https://docs.google.com/spreadsheets/d/1SX6NBoVAgQJ6U1MVXOaj8PK2l7WJ3RER9xtqwdhxkhw/edit?usp=sharing"",""อ่างทอง!J474"")"),0)</f>
        <v>0</v>
      </c>
      <c r="P75" s="339"/>
      <c r="Q75" s="339"/>
      <c r="R75" s="339"/>
      <c r="S75" s="339"/>
      <c r="T75" s="339"/>
      <c r="U75" s="339"/>
      <c r="V75" s="339"/>
      <c r="W75" s="339"/>
      <c r="X75" s="339"/>
      <c r="Y75" s="339"/>
      <c r="Z75" s="339"/>
    </row>
    <row r="76" spans="1:26" ht="21" customHeight="1">
      <c r="A76" s="802" t="s">
        <v>100</v>
      </c>
      <c r="B76" s="652"/>
      <c r="C76" s="317">
        <f t="shared" ref="C76:F76" ca="1" si="32">SUM(C77:C90)</f>
        <v>667592</v>
      </c>
      <c r="D76" s="318">
        <f t="shared" ca="1" si="32"/>
        <v>0</v>
      </c>
      <c r="E76" s="318">
        <f t="shared" ca="1" si="32"/>
        <v>667592</v>
      </c>
      <c r="F76" s="319">
        <f t="shared" ca="1" si="32"/>
        <v>204941</v>
      </c>
      <c r="G76" s="319">
        <f t="shared" ca="1" si="1"/>
        <v>30.698540425888865</v>
      </c>
      <c r="H76" s="318">
        <f t="shared" ref="H76:I76" ca="1" si="33">SUM(H77:H90)</f>
        <v>12200</v>
      </c>
      <c r="I76" s="318">
        <f t="shared" ca="1" si="33"/>
        <v>16083</v>
      </c>
      <c r="J76" s="319">
        <f t="shared" ca="1" si="3"/>
        <v>131.82786885245901</v>
      </c>
      <c r="K76" s="398">
        <f t="shared" ref="K76:O76" ca="1" si="34">SUM(K77:K90)</f>
        <v>47</v>
      </c>
      <c r="L76" s="318">
        <f t="shared" ca="1" si="34"/>
        <v>1464</v>
      </c>
      <c r="M76" s="318">
        <f t="shared" ca="1" si="34"/>
        <v>14612</v>
      </c>
      <c r="N76" s="318">
        <f t="shared" ca="1" si="34"/>
        <v>2</v>
      </c>
      <c r="O76" s="612">
        <f t="shared" ca="1" si="34"/>
        <v>5</v>
      </c>
      <c r="P76" s="339"/>
      <c r="Q76" s="339"/>
      <c r="R76" s="339"/>
      <c r="S76" s="339"/>
      <c r="T76" s="339"/>
      <c r="U76" s="339"/>
      <c r="V76" s="339"/>
      <c r="W76" s="339"/>
      <c r="X76" s="339"/>
      <c r="Y76" s="339"/>
      <c r="Z76" s="339"/>
    </row>
    <row r="77" spans="1:26" ht="21" customHeight="1">
      <c r="A77" s="293">
        <v>1</v>
      </c>
      <c r="B77" s="357" t="s">
        <v>101</v>
      </c>
      <c r="C77" s="295">
        <f t="shared" ref="C77:C90" ca="1" si="35">+D77+E77</f>
        <v>0</v>
      </c>
      <c r="D77" s="296">
        <f ca="1">IFERROR(__xludf.DUMMYFUNCTION("IMPORTRANGE(""https://docs.google.com/spreadsheets/d/1C3CXT74ZlgGe6_JY_1olB1XN4rF0dxEuIIF-xsYjHgg/edit?usp=sharing"",""งบกองทุน!EB81"")"),0)</f>
        <v>0</v>
      </c>
      <c r="E77" s="296">
        <f ca="1">IFERROR(__xludf.DUMMYFUNCTION("IMPORTRANGE(""https://docs.google.com/spreadsheets/d/1C3CXT74ZlgGe6_JY_1olB1XN4rF0dxEuIIF-xsYjHgg/edit?usp=sharing"",""งบกองทุน!EL81"")"),0)</f>
        <v>0</v>
      </c>
      <c r="F77" s="297">
        <f ca="1">IFERROR(__xludf.DUMMYFUNCTION("IMPORTRANGE(""https://docs.google.com/spreadsheets/d/1IYY_tgx_IHuhSq3AJ5eI5OnqOPBNLWSHKh2a30DoXe8/edit?usp=sharing"",""กระบี่!M475"")"),0)</f>
        <v>0</v>
      </c>
      <c r="G77" s="297">
        <f t="shared" ca="1" si="1"/>
        <v>0</v>
      </c>
      <c r="H77" s="296">
        <f ca="1">IFERROR(__xludf.DUMMYFUNCTION("IMPORTRANGE(""https://docs.google.com/spreadsheets/d/1C3CXT74ZlgGe6_JY_1olB1XN4rF0dxEuIIF-xsYjHgg/edit?usp=sharing"",""งบกองทุน!ED81"")"),1100)</f>
        <v>1100</v>
      </c>
      <c r="I77" s="296">
        <f t="shared" ref="I77:I90" ca="1" si="36">SUM(L77,M77,N77,O77)</f>
        <v>1667</v>
      </c>
      <c r="J77" s="297">
        <f t="shared" ca="1" si="3"/>
        <v>151.54545454545453</v>
      </c>
      <c r="K77" s="606">
        <f ca="1">IFERROR(__xludf.DUMMYFUNCTION("IMPORTRANGE(""https://docs.google.com/spreadsheets/d/1IYY_tgx_IHuhSq3AJ5eI5OnqOPBNLWSHKh2a30DoXe8/edit?usp=sharing"",""กระบี่!J470"")"),5)</f>
        <v>5</v>
      </c>
      <c r="L77" s="296">
        <f ca="1">IFERROR(__xludf.DUMMYFUNCTION("IMPORTRANGE(""https://docs.google.com/spreadsheets/d/1IYY_tgx_IHuhSq3AJ5eI5OnqOPBNLWSHKh2a30DoXe8/edit?usp=sharing"",""กระบี่!J471"")"),107)</f>
        <v>107</v>
      </c>
      <c r="M77" s="296">
        <f ca="1">IFERROR(__xludf.DUMMYFUNCTION("IMPORTRANGE(""https://docs.google.com/spreadsheets/d/1IYY_tgx_IHuhSq3AJ5eI5OnqOPBNLWSHKh2a30DoXe8/edit?usp=sharing"",""กระบี่!J472"")"),1560)</f>
        <v>1560</v>
      </c>
      <c r="N77" s="296">
        <f ca="1">IFERROR(__xludf.DUMMYFUNCTION("IMPORTRANGE(""https://docs.google.com/spreadsheets/d/1IYY_tgx_IHuhSq3AJ5eI5OnqOPBNLWSHKh2a30DoXe8/edit?usp=sharing"",""กระบี่!J473"")"),0)</f>
        <v>0</v>
      </c>
      <c r="O77" s="607">
        <f ca="1">IFERROR(__xludf.DUMMYFUNCTION("IMPORTRANGE(""https://docs.google.com/spreadsheets/d/1IYY_tgx_IHuhSq3AJ5eI5OnqOPBNLWSHKh2a30DoXe8/edit?usp=sharing"",""กระบี่!J474"")"),0)</f>
        <v>0</v>
      </c>
      <c r="P77" s="339"/>
      <c r="Q77" s="339"/>
      <c r="R77" s="339"/>
      <c r="S77" s="339"/>
      <c r="T77" s="339"/>
      <c r="U77" s="339"/>
      <c r="V77" s="339"/>
      <c r="W77" s="339"/>
      <c r="X77" s="339"/>
      <c r="Y77" s="339"/>
      <c r="Z77" s="339"/>
    </row>
    <row r="78" spans="1:26" ht="21" customHeight="1">
      <c r="A78" s="303">
        <v>2</v>
      </c>
      <c r="B78" s="304" t="s">
        <v>102</v>
      </c>
      <c r="C78" s="305">
        <f t="shared" ca="1" si="35"/>
        <v>0</v>
      </c>
      <c r="D78" s="306">
        <f ca="1">IFERROR(__xludf.DUMMYFUNCTION("IMPORTRANGE(""https://docs.google.com/spreadsheets/d/1C3CXT74ZlgGe6_JY_1olB1XN4rF0dxEuIIF-xsYjHgg/edit?usp=sharing"",""งบกองทุน!EB82"")"),0)</f>
        <v>0</v>
      </c>
      <c r="E78" s="306">
        <f ca="1">IFERROR(__xludf.DUMMYFUNCTION("IMPORTRANGE(""https://docs.google.com/spreadsheets/d/1C3CXT74ZlgGe6_JY_1olB1XN4rF0dxEuIIF-xsYjHgg/edit?usp=sharing"",""งบกองทุน!EL82"")"),0)</f>
        <v>0</v>
      </c>
      <c r="F78" s="307">
        <f ca="1">IFERROR(__xludf.DUMMYFUNCTION("IMPORTRANGE(""https://docs.google.com/spreadsheets/d/1IYY_tgx_IHuhSq3AJ5eI5OnqOPBNLWSHKh2a30DoXe8/edit?usp=sharing"",""ชุมพร!M475"")"),0)</f>
        <v>0</v>
      </c>
      <c r="G78" s="307">
        <f t="shared" ca="1" si="1"/>
        <v>0</v>
      </c>
      <c r="H78" s="306">
        <f ca="1">IFERROR(__xludf.DUMMYFUNCTION("IMPORTRANGE(""https://docs.google.com/spreadsheets/d/1C3CXT74ZlgGe6_JY_1olB1XN4rF0dxEuIIF-xsYjHgg/edit?usp=sharing"",""งบกองทุน!ED82"")"),1500)</f>
        <v>1500</v>
      </c>
      <c r="I78" s="306">
        <f t="shared" ca="1" si="36"/>
        <v>2366</v>
      </c>
      <c r="J78" s="307">
        <f t="shared" ca="1" si="3"/>
        <v>157.73333333333332</v>
      </c>
      <c r="K78" s="608">
        <f ca="1">IFERROR(__xludf.DUMMYFUNCTION("IMPORTRANGE(""https://docs.google.com/spreadsheets/d/1IYY_tgx_IHuhSq3AJ5eI5OnqOPBNLWSHKh2a30DoXe8/edit?usp=sharing"",""ชุมพร!J470"")"),0)</f>
        <v>0</v>
      </c>
      <c r="L78" s="306">
        <f ca="1">IFERROR(__xludf.DUMMYFUNCTION("IMPORTRANGE(""https://docs.google.com/spreadsheets/d/1IYY_tgx_IHuhSq3AJ5eI5OnqOPBNLWSHKh2a30DoXe8/edit?usp=sharing"",""ชุมพร!J471"")"),0)</f>
        <v>0</v>
      </c>
      <c r="M78" s="306">
        <f ca="1">IFERROR(__xludf.DUMMYFUNCTION("IMPORTRANGE(""https://docs.google.com/spreadsheets/d/1IYY_tgx_IHuhSq3AJ5eI5OnqOPBNLWSHKh2a30DoXe8/edit?usp=sharing"",""ชุมพร!J472"")"),2366)</f>
        <v>2366</v>
      </c>
      <c r="N78" s="306">
        <f ca="1">IFERROR(__xludf.DUMMYFUNCTION("IMPORTRANGE(""https://docs.google.com/spreadsheets/d/1IYY_tgx_IHuhSq3AJ5eI5OnqOPBNLWSHKh2a30DoXe8/edit?usp=sharing"",""ชุมพร!J473"")"),0)</f>
        <v>0</v>
      </c>
      <c r="O78" s="609">
        <f ca="1">IFERROR(__xludf.DUMMYFUNCTION("IMPORTRANGE(""https://docs.google.com/spreadsheets/d/1IYY_tgx_IHuhSq3AJ5eI5OnqOPBNLWSHKh2a30DoXe8/edit?usp=sharing"",""ชุมพร!J474"")"),0)</f>
        <v>0</v>
      </c>
      <c r="P78" s="339"/>
      <c r="Q78" s="339"/>
      <c r="R78" s="339"/>
      <c r="S78" s="339"/>
      <c r="T78" s="339"/>
      <c r="U78" s="339"/>
      <c r="V78" s="339"/>
      <c r="W78" s="339"/>
      <c r="X78" s="339"/>
      <c r="Y78" s="339"/>
      <c r="Z78" s="339"/>
    </row>
    <row r="79" spans="1:26" ht="21" customHeight="1">
      <c r="A79" s="303">
        <v>3</v>
      </c>
      <c r="B79" s="304" t="s">
        <v>103</v>
      </c>
      <c r="C79" s="305">
        <f t="shared" ca="1" si="35"/>
        <v>0</v>
      </c>
      <c r="D79" s="306">
        <f ca="1">IFERROR(__xludf.DUMMYFUNCTION("IMPORTRANGE(""https://docs.google.com/spreadsheets/d/1C3CXT74ZlgGe6_JY_1olB1XN4rF0dxEuIIF-xsYjHgg/edit?usp=sharing"",""งบกองทุน!EB83"")"),0)</f>
        <v>0</v>
      </c>
      <c r="E79" s="306">
        <f ca="1">IFERROR(__xludf.DUMMYFUNCTION("IMPORTRANGE(""https://docs.google.com/spreadsheets/d/1C3CXT74ZlgGe6_JY_1olB1XN4rF0dxEuIIF-xsYjHgg/edit?usp=sharing"",""งบกองทุน!EL83"")"),0)</f>
        <v>0</v>
      </c>
      <c r="F79" s="307">
        <f ca="1">IFERROR(__xludf.DUMMYFUNCTION("IMPORTRANGE(""https://docs.google.com/spreadsheets/d/1IYY_tgx_IHuhSq3AJ5eI5OnqOPBNLWSHKh2a30DoXe8/edit?usp=sharing"",""ตรัง!M475"")"),0)</f>
        <v>0</v>
      </c>
      <c r="G79" s="307">
        <f t="shared" ca="1" si="1"/>
        <v>0</v>
      </c>
      <c r="H79" s="306">
        <f ca="1">IFERROR(__xludf.DUMMYFUNCTION("IMPORTRANGE(""https://docs.google.com/spreadsheets/d/1C3CXT74ZlgGe6_JY_1olB1XN4rF0dxEuIIF-xsYjHgg/edit?usp=sharing"",""งบกองทุน!ED83"")"),1000)</f>
        <v>1000</v>
      </c>
      <c r="I79" s="306">
        <f t="shared" ca="1" si="36"/>
        <v>2173</v>
      </c>
      <c r="J79" s="307">
        <f t="shared" ca="1" si="3"/>
        <v>217.3</v>
      </c>
      <c r="K79" s="608">
        <f ca="1">IFERROR(__xludf.DUMMYFUNCTION("IMPORTRANGE(""https://docs.google.com/spreadsheets/d/1IYY_tgx_IHuhSq3AJ5eI5OnqOPBNLWSHKh2a30DoXe8/edit?usp=sharing"",""ตรัง!J470"")"),3)</f>
        <v>3</v>
      </c>
      <c r="L79" s="306">
        <f ca="1">IFERROR(__xludf.DUMMYFUNCTION("IMPORTRANGE(""https://docs.google.com/spreadsheets/d/1IYY_tgx_IHuhSq3AJ5eI5OnqOPBNLWSHKh2a30DoXe8/edit?usp=sharing"",""ตรัง!J471"")"),143)</f>
        <v>143</v>
      </c>
      <c r="M79" s="306">
        <f ca="1">IFERROR(__xludf.DUMMYFUNCTION("IMPORTRANGE(""https://docs.google.com/spreadsheets/d/1IYY_tgx_IHuhSq3AJ5eI5OnqOPBNLWSHKh2a30DoXe8/edit?usp=sharing"",""ตรัง!J472"")"),2030)</f>
        <v>2030</v>
      </c>
      <c r="N79" s="306">
        <f ca="1">IFERROR(__xludf.DUMMYFUNCTION("IMPORTRANGE(""https://docs.google.com/spreadsheets/d/1IYY_tgx_IHuhSq3AJ5eI5OnqOPBNLWSHKh2a30DoXe8/edit?usp=sharing"",""ตรัง!J473"")"),0)</f>
        <v>0</v>
      </c>
      <c r="O79" s="609">
        <f ca="1">IFERROR(__xludf.DUMMYFUNCTION("IMPORTRANGE(""https://docs.google.com/spreadsheets/d/1IYY_tgx_IHuhSq3AJ5eI5OnqOPBNLWSHKh2a30DoXe8/edit?usp=sharing"",""ตรัง!J474"")"),0)</f>
        <v>0</v>
      </c>
      <c r="P79" s="339"/>
      <c r="Q79" s="339"/>
      <c r="R79" s="339"/>
      <c r="S79" s="339"/>
      <c r="T79" s="339"/>
      <c r="U79" s="339"/>
      <c r="V79" s="339"/>
      <c r="W79" s="339"/>
      <c r="X79" s="339"/>
      <c r="Y79" s="339"/>
      <c r="Z79" s="339"/>
    </row>
    <row r="80" spans="1:26" ht="21" customHeight="1">
      <c r="A80" s="303">
        <v>4</v>
      </c>
      <c r="B80" s="304" t="s">
        <v>104</v>
      </c>
      <c r="C80" s="305">
        <f t="shared" ca="1" si="35"/>
        <v>147177</v>
      </c>
      <c r="D80" s="306">
        <f ca="1">IFERROR(__xludf.DUMMYFUNCTION("IMPORTRANGE(""https://docs.google.com/spreadsheets/d/1C3CXT74ZlgGe6_JY_1olB1XN4rF0dxEuIIF-xsYjHgg/edit?usp=sharing"",""งบกองทุน!EB84"")"),0)</f>
        <v>0</v>
      </c>
      <c r="E80" s="306">
        <f ca="1">IFERROR(__xludf.DUMMYFUNCTION("IMPORTRANGE(""https://docs.google.com/spreadsheets/d/1C3CXT74ZlgGe6_JY_1olB1XN4rF0dxEuIIF-xsYjHgg/edit?usp=sharing"",""งบกองทุน!EL84"")"),147177)</f>
        <v>147177</v>
      </c>
      <c r="F80" s="307">
        <f ca="1">IFERROR(__xludf.DUMMYFUNCTION("IMPORTRANGE(""https://docs.google.com/spreadsheets/d/1IYY_tgx_IHuhSq3AJ5eI5OnqOPBNLWSHKh2a30DoXe8/edit?usp=sharing"",""นครศรีธรรมราช!M475"")"),4921)</f>
        <v>4921</v>
      </c>
      <c r="G80" s="307">
        <f t="shared" ca="1" si="1"/>
        <v>3.3435930885940057</v>
      </c>
      <c r="H80" s="306">
        <f ca="1">IFERROR(__xludf.DUMMYFUNCTION("IMPORTRANGE(""https://docs.google.com/spreadsheets/d/1C3CXT74ZlgGe6_JY_1olB1XN4rF0dxEuIIF-xsYjHgg/edit?usp=sharing"",""งบกองทุน!ED84"")"),1700)</f>
        <v>1700</v>
      </c>
      <c r="I80" s="306">
        <f t="shared" ca="1" si="36"/>
        <v>1100</v>
      </c>
      <c r="J80" s="307">
        <f t="shared" ca="1" si="3"/>
        <v>64.705882352941174</v>
      </c>
      <c r="K80" s="608">
        <f ca="1">IFERROR(__xludf.DUMMYFUNCTION("IMPORTRANGE(""https://docs.google.com/spreadsheets/d/1IYY_tgx_IHuhSq3AJ5eI5OnqOPBNLWSHKh2a30DoXe8/edit?usp=sharing"",""นครศรีธรรมราช!J470"")"),6)</f>
        <v>6</v>
      </c>
      <c r="L80" s="306">
        <f ca="1">IFERROR(__xludf.DUMMYFUNCTION("IMPORTRANGE(""https://docs.google.com/spreadsheets/d/1IYY_tgx_IHuhSq3AJ5eI5OnqOPBNLWSHKh2a30DoXe8/edit?usp=sharing"",""นครศรีธรรมราช!J471"")"),304)</f>
        <v>304</v>
      </c>
      <c r="M80" s="306">
        <f ca="1">IFERROR(__xludf.DUMMYFUNCTION("IMPORTRANGE(""https://docs.google.com/spreadsheets/d/1IYY_tgx_IHuhSq3AJ5eI5OnqOPBNLWSHKh2a30DoXe8/edit?usp=sharing"",""นครศรีธรรมราช!J472"")"),796)</f>
        <v>796</v>
      </c>
      <c r="N80" s="306">
        <f ca="1">IFERROR(__xludf.DUMMYFUNCTION("IMPORTRANGE(""https://docs.google.com/spreadsheets/d/1IYY_tgx_IHuhSq3AJ5eI5OnqOPBNLWSHKh2a30DoXe8/edit?usp=sharing"",""นครศรีธรรมราช!J473"")"),0)</f>
        <v>0</v>
      </c>
      <c r="O80" s="609">
        <f ca="1">IFERROR(__xludf.DUMMYFUNCTION("IMPORTRANGE(""https://docs.google.com/spreadsheets/d/1IYY_tgx_IHuhSq3AJ5eI5OnqOPBNLWSHKh2a30DoXe8/edit?usp=sharing"",""นครศรีธรรมราช!J474"")"),0)</f>
        <v>0</v>
      </c>
      <c r="P80" s="339"/>
      <c r="Q80" s="339"/>
      <c r="R80" s="339"/>
      <c r="S80" s="339"/>
      <c r="T80" s="339"/>
      <c r="U80" s="339"/>
      <c r="V80" s="339"/>
      <c r="W80" s="339"/>
      <c r="X80" s="339"/>
      <c r="Y80" s="339"/>
      <c r="Z80" s="339"/>
    </row>
    <row r="81" spans="1:26" ht="21" customHeight="1">
      <c r="A81" s="303">
        <v>5</v>
      </c>
      <c r="B81" s="304" t="s">
        <v>105</v>
      </c>
      <c r="C81" s="305">
        <f t="shared" ca="1" si="35"/>
        <v>0</v>
      </c>
      <c r="D81" s="306">
        <f ca="1">IFERROR(__xludf.DUMMYFUNCTION("IMPORTRANGE(""https://docs.google.com/spreadsheets/d/1C3CXT74ZlgGe6_JY_1olB1XN4rF0dxEuIIF-xsYjHgg/edit?usp=sharing"",""งบกองทุน!EB85"")"),0)</f>
        <v>0</v>
      </c>
      <c r="E81" s="306">
        <f ca="1">IFERROR(__xludf.DUMMYFUNCTION("IMPORTRANGE(""https://docs.google.com/spreadsheets/d/1C3CXT74ZlgGe6_JY_1olB1XN4rF0dxEuIIF-xsYjHgg/edit?usp=sharing"",""งบกองทุน!EL85"")"),0)</f>
        <v>0</v>
      </c>
      <c r="F81" s="307">
        <f ca="1">IFERROR(__xludf.DUMMYFUNCTION("IMPORTRANGE(""https://docs.google.com/spreadsheets/d/1IYY_tgx_IHuhSq3AJ5eI5OnqOPBNLWSHKh2a30DoXe8/edit?usp=sharing"",""นราธิวาส!M475"")"),0)</f>
        <v>0</v>
      </c>
      <c r="G81" s="307">
        <f t="shared" ca="1" si="1"/>
        <v>0</v>
      </c>
      <c r="H81" s="306">
        <f ca="1">IFERROR(__xludf.DUMMYFUNCTION("IMPORTRANGE(""https://docs.google.com/spreadsheets/d/1C3CXT74ZlgGe6_JY_1olB1XN4rF0dxEuIIF-xsYjHgg/edit?usp=sharing"",""งบกองทุน!ED85"")"),150)</f>
        <v>150</v>
      </c>
      <c r="I81" s="306">
        <f t="shared" ca="1" si="36"/>
        <v>255</v>
      </c>
      <c r="J81" s="307">
        <f t="shared" ca="1" si="3"/>
        <v>170</v>
      </c>
      <c r="K81" s="608">
        <f ca="1">IFERROR(__xludf.DUMMYFUNCTION("IMPORTRANGE(""https://docs.google.com/spreadsheets/d/1IYY_tgx_IHuhSq3AJ5eI5OnqOPBNLWSHKh2a30DoXe8/edit?usp=sharing"",""นราธิวาส!J470"")"),2)</f>
        <v>2</v>
      </c>
      <c r="L81" s="306">
        <f ca="1">IFERROR(__xludf.DUMMYFUNCTION("IMPORTRANGE(""https://docs.google.com/spreadsheets/d/1IYY_tgx_IHuhSq3AJ5eI5OnqOPBNLWSHKh2a30DoXe8/edit?usp=sharing"",""นราธิวาส!J471"")"),76)</f>
        <v>76</v>
      </c>
      <c r="M81" s="306">
        <f ca="1">IFERROR(__xludf.DUMMYFUNCTION("IMPORTRANGE(""https://docs.google.com/spreadsheets/d/1IYY_tgx_IHuhSq3AJ5eI5OnqOPBNLWSHKh2a30DoXe8/edit?usp=sharing"",""นราธิวาส!J472"")"),179)</f>
        <v>179</v>
      </c>
      <c r="N81" s="306">
        <f ca="1">IFERROR(__xludf.DUMMYFUNCTION("IMPORTRANGE(""https://docs.google.com/spreadsheets/d/1IYY_tgx_IHuhSq3AJ5eI5OnqOPBNLWSHKh2a30DoXe8/edit?usp=sharing"",""นราธิวาส!J473"")"),0)</f>
        <v>0</v>
      </c>
      <c r="O81" s="609">
        <f ca="1">IFERROR(__xludf.DUMMYFUNCTION("IMPORTRANGE(""https://docs.google.com/spreadsheets/d/1IYY_tgx_IHuhSq3AJ5eI5OnqOPBNLWSHKh2a30DoXe8/edit?usp=sharing"",""นราธิวาส!J474"")"),0)</f>
        <v>0</v>
      </c>
      <c r="P81" s="339"/>
      <c r="Q81" s="339"/>
      <c r="R81" s="339"/>
      <c r="S81" s="339"/>
      <c r="T81" s="339"/>
      <c r="U81" s="339"/>
      <c r="V81" s="339"/>
      <c r="W81" s="339"/>
      <c r="X81" s="339"/>
      <c r="Y81" s="339"/>
      <c r="Z81" s="339"/>
    </row>
    <row r="82" spans="1:26" ht="21" customHeight="1">
      <c r="A82" s="303">
        <v>6</v>
      </c>
      <c r="B82" s="304" t="s">
        <v>106</v>
      </c>
      <c r="C82" s="305">
        <f t="shared" ca="1" si="35"/>
        <v>0</v>
      </c>
      <c r="D82" s="306">
        <f ca="1">IFERROR(__xludf.DUMMYFUNCTION("IMPORTRANGE(""https://docs.google.com/spreadsheets/d/1C3CXT74ZlgGe6_JY_1olB1XN4rF0dxEuIIF-xsYjHgg/edit?usp=sharing"",""งบกองทุน!EB86"")"),0)</f>
        <v>0</v>
      </c>
      <c r="E82" s="306">
        <f ca="1">IFERROR(__xludf.DUMMYFUNCTION("IMPORTRANGE(""https://docs.google.com/spreadsheets/d/1C3CXT74ZlgGe6_JY_1olB1XN4rF0dxEuIIF-xsYjHgg/edit?usp=sharing"",""งบกองทุน!EL86"")"),0)</f>
        <v>0</v>
      </c>
      <c r="F82" s="307">
        <f ca="1">IFERROR(__xludf.DUMMYFUNCTION("IMPORTRANGE(""https://docs.google.com/spreadsheets/d/1IYY_tgx_IHuhSq3AJ5eI5OnqOPBNLWSHKh2a30DoXe8/edit?usp=sharing"",""ปัตตานี!M475"")"),0)</f>
        <v>0</v>
      </c>
      <c r="G82" s="307">
        <f t="shared" ca="1" si="1"/>
        <v>0</v>
      </c>
      <c r="H82" s="306">
        <f ca="1">IFERROR(__xludf.DUMMYFUNCTION("IMPORTRANGE(""https://docs.google.com/spreadsheets/d/1C3CXT74ZlgGe6_JY_1olB1XN4rF0dxEuIIF-xsYjHgg/edit?usp=sharing"",""งบกองทุน!ED86"")"),200)</f>
        <v>200</v>
      </c>
      <c r="I82" s="306">
        <f t="shared" ca="1" si="36"/>
        <v>501</v>
      </c>
      <c r="J82" s="307">
        <f t="shared" ca="1" si="3"/>
        <v>250.5</v>
      </c>
      <c r="K82" s="608">
        <f ca="1">IFERROR(__xludf.DUMMYFUNCTION("IMPORTRANGE(""https://docs.google.com/spreadsheets/d/1IYY_tgx_IHuhSq3AJ5eI5OnqOPBNLWSHKh2a30DoXe8/edit?usp=sharing"",""ปัตตานี!J470"")"),11)</f>
        <v>11</v>
      </c>
      <c r="L82" s="306">
        <f ca="1">IFERROR(__xludf.DUMMYFUNCTION("IMPORTRANGE(""https://docs.google.com/spreadsheets/d/1IYY_tgx_IHuhSq3AJ5eI5OnqOPBNLWSHKh2a30DoXe8/edit?usp=sharing"",""ปัตตานี!J471"")"),329)</f>
        <v>329</v>
      </c>
      <c r="M82" s="306">
        <f ca="1">IFERROR(__xludf.DUMMYFUNCTION("IMPORTRANGE(""https://docs.google.com/spreadsheets/d/1IYY_tgx_IHuhSq3AJ5eI5OnqOPBNLWSHKh2a30DoXe8/edit?usp=sharing"",""ปัตตานี!J472"")"),172)</f>
        <v>172</v>
      </c>
      <c r="N82" s="306">
        <f ca="1">IFERROR(__xludf.DUMMYFUNCTION("IMPORTRANGE(""https://docs.google.com/spreadsheets/d/1IYY_tgx_IHuhSq3AJ5eI5OnqOPBNLWSHKh2a30DoXe8/edit?usp=sharing"",""ปัตตานี!J473"")"),0)</f>
        <v>0</v>
      </c>
      <c r="O82" s="609">
        <f ca="1">IFERROR(__xludf.DUMMYFUNCTION("IMPORTRANGE(""https://docs.google.com/spreadsheets/d/1IYY_tgx_IHuhSq3AJ5eI5OnqOPBNLWSHKh2a30DoXe8/edit?usp=sharing"",""ปัตตานี!J474"")"),0)</f>
        <v>0</v>
      </c>
      <c r="P82" s="339"/>
      <c r="Q82" s="339"/>
      <c r="R82" s="339"/>
      <c r="S82" s="339"/>
      <c r="T82" s="339"/>
      <c r="U82" s="339"/>
      <c r="V82" s="339"/>
      <c r="W82" s="339"/>
      <c r="X82" s="339"/>
      <c r="Y82" s="339"/>
      <c r="Z82" s="339"/>
    </row>
    <row r="83" spans="1:26" ht="21" customHeight="1">
      <c r="A83" s="303">
        <v>7</v>
      </c>
      <c r="B83" s="304" t="s">
        <v>107</v>
      </c>
      <c r="C83" s="305">
        <f t="shared" ca="1" si="35"/>
        <v>0</v>
      </c>
      <c r="D83" s="306">
        <f ca="1">IFERROR(__xludf.DUMMYFUNCTION("IMPORTRANGE(""https://docs.google.com/spreadsheets/d/1C3CXT74ZlgGe6_JY_1olB1XN4rF0dxEuIIF-xsYjHgg/edit?usp=sharing"",""งบกองทุน!EB87"")"),0)</f>
        <v>0</v>
      </c>
      <c r="E83" s="306">
        <f ca="1">IFERROR(__xludf.DUMMYFUNCTION("IMPORTRANGE(""https://docs.google.com/spreadsheets/d/1C3CXT74ZlgGe6_JY_1olB1XN4rF0dxEuIIF-xsYjHgg/edit?usp=sharing"",""งบกองทุน!EL87"")"),0)</f>
        <v>0</v>
      </c>
      <c r="F83" s="307">
        <f ca="1">IFERROR(__xludf.DUMMYFUNCTION("IMPORTRANGE(""https://docs.google.com/spreadsheets/d/1IYY_tgx_IHuhSq3AJ5eI5OnqOPBNLWSHKh2a30DoXe8/edit?usp=sharing"",""พังงา!M475"")"),0)</f>
        <v>0</v>
      </c>
      <c r="G83" s="307">
        <f t="shared" ca="1" si="1"/>
        <v>0</v>
      </c>
      <c r="H83" s="306">
        <f ca="1">IFERROR(__xludf.DUMMYFUNCTION("IMPORTRANGE(""https://docs.google.com/spreadsheets/d/1C3CXT74ZlgGe6_JY_1olB1XN4rF0dxEuIIF-xsYjHgg/edit?usp=sharing"",""งบกองทุน!ED87"")"),400)</f>
        <v>400</v>
      </c>
      <c r="I83" s="306">
        <f t="shared" ca="1" si="36"/>
        <v>635</v>
      </c>
      <c r="J83" s="307">
        <f t="shared" ca="1" si="3"/>
        <v>158.75</v>
      </c>
      <c r="K83" s="608">
        <f ca="1">IFERROR(__xludf.DUMMYFUNCTION("IMPORTRANGE(""https://docs.google.com/spreadsheets/d/1IYY_tgx_IHuhSq3AJ5eI5OnqOPBNLWSHKh2a30DoXe8/edit?usp=sharing"",""พังงา!J470"")"),2)</f>
        <v>2</v>
      </c>
      <c r="L83" s="306">
        <f ca="1">IFERROR(__xludf.DUMMYFUNCTION("IMPORTRANGE(""https://docs.google.com/spreadsheets/d/1IYY_tgx_IHuhSq3AJ5eI5OnqOPBNLWSHKh2a30DoXe8/edit?usp=sharing"",""พังงา!J471"")"),88)</f>
        <v>88</v>
      </c>
      <c r="M83" s="306">
        <f ca="1">IFERROR(__xludf.DUMMYFUNCTION("IMPORTRANGE(""https://docs.google.com/spreadsheets/d/1IYY_tgx_IHuhSq3AJ5eI5OnqOPBNLWSHKh2a30DoXe8/edit?usp=sharing"",""พังงา!J472"")"),547)</f>
        <v>547</v>
      </c>
      <c r="N83" s="306">
        <f ca="1">IFERROR(__xludf.DUMMYFUNCTION("IMPORTRANGE(""https://docs.google.com/spreadsheets/d/1IYY_tgx_IHuhSq3AJ5eI5OnqOPBNLWSHKh2a30DoXe8/edit?usp=sharing"",""พังงา!J473"")"),0)</f>
        <v>0</v>
      </c>
      <c r="O83" s="609">
        <f ca="1">IFERROR(__xludf.DUMMYFUNCTION("IMPORTRANGE(""https://docs.google.com/spreadsheets/d/1IYY_tgx_IHuhSq3AJ5eI5OnqOPBNLWSHKh2a30DoXe8/edit?usp=sharing"",""พังงา!J474"")"),0)</f>
        <v>0</v>
      </c>
      <c r="P83" s="339"/>
      <c r="Q83" s="339"/>
      <c r="R83" s="339"/>
      <c r="S83" s="339"/>
      <c r="T83" s="339"/>
      <c r="U83" s="339"/>
      <c r="V83" s="339"/>
      <c r="W83" s="339"/>
      <c r="X83" s="339"/>
      <c r="Y83" s="339"/>
      <c r="Z83" s="339"/>
    </row>
    <row r="84" spans="1:26" ht="21" customHeight="1">
      <c r="A84" s="303">
        <v>8</v>
      </c>
      <c r="B84" s="304" t="s">
        <v>108</v>
      </c>
      <c r="C84" s="305">
        <f t="shared" ca="1" si="35"/>
        <v>143795</v>
      </c>
      <c r="D84" s="306">
        <f ca="1">IFERROR(__xludf.DUMMYFUNCTION("IMPORTRANGE(""https://docs.google.com/spreadsheets/d/1C3CXT74ZlgGe6_JY_1olB1XN4rF0dxEuIIF-xsYjHgg/edit?usp=sharing"",""งบกองทุน!EB88"")"),0)</f>
        <v>0</v>
      </c>
      <c r="E84" s="306">
        <f ca="1">IFERROR(__xludf.DUMMYFUNCTION("IMPORTRANGE(""https://docs.google.com/spreadsheets/d/1C3CXT74ZlgGe6_JY_1olB1XN4rF0dxEuIIF-xsYjHgg/edit?usp=sharing"",""งบกองทุน!EL88"")"),143795)</f>
        <v>143795</v>
      </c>
      <c r="F84" s="307">
        <f ca="1">IFERROR(__xludf.DUMMYFUNCTION("IMPORTRANGE(""https://docs.google.com/spreadsheets/d/1IYY_tgx_IHuhSq3AJ5eI5OnqOPBNLWSHKh2a30DoXe8/edit?usp=sharing"",""พัทลุง!M475"")"),0)</f>
        <v>0</v>
      </c>
      <c r="G84" s="307">
        <f t="shared" ca="1" si="1"/>
        <v>0</v>
      </c>
      <c r="H84" s="306">
        <f ca="1">IFERROR(__xludf.DUMMYFUNCTION("IMPORTRANGE(""https://docs.google.com/spreadsheets/d/1C3CXT74ZlgGe6_JY_1olB1XN4rF0dxEuIIF-xsYjHgg/edit?usp=sharing"",""งบกองทุน!ED88"")"),1150)</f>
        <v>1150</v>
      </c>
      <c r="I84" s="306">
        <f t="shared" ca="1" si="36"/>
        <v>1130</v>
      </c>
      <c r="J84" s="307">
        <f t="shared" ca="1" si="3"/>
        <v>98.260869565217391</v>
      </c>
      <c r="K84" s="608">
        <f ca="1">IFERROR(__xludf.DUMMYFUNCTION("IMPORTRANGE(""https://docs.google.com/spreadsheets/d/1IYY_tgx_IHuhSq3AJ5eI5OnqOPBNLWSHKh2a30DoXe8/edit?usp=sharing"",""พัทลุง!J470"")"),4)</f>
        <v>4</v>
      </c>
      <c r="L84" s="306">
        <f ca="1">IFERROR(__xludf.DUMMYFUNCTION("IMPORTRANGE(""https://docs.google.com/spreadsheets/d/1IYY_tgx_IHuhSq3AJ5eI5OnqOPBNLWSHKh2a30DoXe8/edit?usp=sharing"",""พัทลุง!J471"")"),117)</f>
        <v>117</v>
      </c>
      <c r="M84" s="306">
        <f ca="1">IFERROR(__xludf.DUMMYFUNCTION("IMPORTRANGE(""https://docs.google.com/spreadsheets/d/1IYY_tgx_IHuhSq3AJ5eI5OnqOPBNLWSHKh2a30DoXe8/edit?usp=sharing"",""พัทลุง!J472"")"),1013)</f>
        <v>1013</v>
      </c>
      <c r="N84" s="306">
        <f ca="1">IFERROR(__xludf.DUMMYFUNCTION("IMPORTRANGE(""https://docs.google.com/spreadsheets/d/1IYY_tgx_IHuhSq3AJ5eI5OnqOPBNLWSHKh2a30DoXe8/edit?usp=sharing"",""พัทลุง!J473"")"),0)</f>
        <v>0</v>
      </c>
      <c r="O84" s="609">
        <f ca="1">IFERROR(__xludf.DUMMYFUNCTION("IMPORTRANGE(""https://docs.google.com/spreadsheets/d/1IYY_tgx_IHuhSq3AJ5eI5OnqOPBNLWSHKh2a30DoXe8/edit?usp=sharing"",""พัทลุง!J474"")"),0)</f>
        <v>0</v>
      </c>
      <c r="P84" s="339"/>
      <c r="Q84" s="339"/>
      <c r="R84" s="339"/>
      <c r="S84" s="339"/>
      <c r="T84" s="339"/>
      <c r="U84" s="339"/>
      <c r="V84" s="339"/>
      <c r="W84" s="339"/>
      <c r="X84" s="339"/>
      <c r="Y84" s="339"/>
      <c r="Z84" s="339"/>
    </row>
    <row r="85" spans="1:26" ht="21" customHeight="1">
      <c r="A85" s="303">
        <v>9</v>
      </c>
      <c r="B85" s="304" t="s">
        <v>109</v>
      </c>
      <c r="C85" s="305">
        <f t="shared" ca="1" si="35"/>
        <v>0</v>
      </c>
      <c r="D85" s="306">
        <f ca="1">IFERROR(__xludf.DUMMYFUNCTION("IMPORTRANGE(""https://docs.google.com/spreadsheets/d/1C3CXT74ZlgGe6_JY_1olB1XN4rF0dxEuIIF-xsYjHgg/edit?usp=sharing"",""งบกองทุน!EB89"")"),0)</f>
        <v>0</v>
      </c>
      <c r="E85" s="306">
        <f ca="1">IFERROR(__xludf.DUMMYFUNCTION("IMPORTRANGE(""https://docs.google.com/spreadsheets/d/1C3CXT74ZlgGe6_JY_1olB1XN4rF0dxEuIIF-xsYjHgg/edit?usp=sharing"",""งบกองทุน!EL89"")"),0)</f>
        <v>0</v>
      </c>
      <c r="F85" s="307">
        <f ca="1">IFERROR(__xludf.DUMMYFUNCTION("IMPORTRANGE(""https://docs.google.com/spreadsheets/d/1IYY_tgx_IHuhSq3AJ5eI5OnqOPBNLWSHKh2a30DoXe8/edit?usp=sharing"",""ภูเก็ต!M475"")"),0)</f>
        <v>0</v>
      </c>
      <c r="G85" s="307">
        <f t="shared" ca="1" si="1"/>
        <v>0</v>
      </c>
      <c r="H85" s="306">
        <f ca="1">IFERROR(__xludf.DUMMYFUNCTION("IMPORTRANGE(""https://docs.google.com/spreadsheets/d/1C3CXT74ZlgGe6_JY_1olB1XN4rF0dxEuIIF-xsYjHgg/edit?usp=sharing"",""งบกองทุน!ED89"")"),50)</f>
        <v>50</v>
      </c>
      <c r="I85" s="306">
        <f t="shared" ca="1" si="36"/>
        <v>67</v>
      </c>
      <c r="J85" s="307">
        <f t="shared" ca="1" si="3"/>
        <v>134</v>
      </c>
      <c r="K85" s="608">
        <f ca="1">IFERROR(__xludf.DUMMYFUNCTION("IMPORTRANGE(""https://docs.google.com/spreadsheets/d/1IYY_tgx_IHuhSq3AJ5eI5OnqOPBNLWSHKh2a30DoXe8/edit?usp=sharing"",""ภูเก็ต!J470"")"),1)</f>
        <v>1</v>
      </c>
      <c r="L85" s="306">
        <f ca="1">IFERROR(__xludf.DUMMYFUNCTION("IMPORTRANGE(""https://docs.google.com/spreadsheets/d/1IYY_tgx_IHuhSq3AJ5eI5OnqOPBNLWSHKh2a30DoXe8/edit?usp=sharing"",""ภูเก็ต!J471"")"),2)</f>
        <v>2</v>
      </c>
      <c r="M85" s="306">
        <f ca="1">IFERROR(__xludf.DUMMYFUNCTION("IMPORTRANGE(""https://docs.google.com/spreadsheets/d/1IYY_tgx_IHuhSq3AJ5eI5OnqOPBNLWSHKh2a30DoXe8/edit?usp=sharing"",""ภูเก็ต!J472"")"),65)</f>
        <v>65</v>
      </c>
      <c r="N85" s="306">
        <f ca="1">IFERROR(__xludf.DUMMYFUNCTION("IMPORTRANGE(""https://docs.google.com/spreadsheets/d/1IYY_tgx_IHuhSq3AJ5eI5OnqOPBNLWSHKh2a30DoXe8/edit?usp=sharing"",""ภูเก็ต!J473"")"),0)</f>
        <v>0</v>
      </c>
      <c r="O85" s="609">
        <f ca="1">IFERROR(__xludf.DUMMYFUNCTION("IMPORTRANGE(""https://docs.google.com/spreadsheets/d/1IYY_tgx_IHuhSq3AJ5eI5OnqOPBNLWSHKh2a30DoXe8/edit?usp=sharing"",""ภูเก็ต!J474"")"),0)</f>
        <v>0</v>
      </c>
      <c r="P85" s="339"/>
      <c r="Q85" s="339"/>
      <c r="R85" s="339"/>
      <c r="S85" s="339"/>
      <c r="T85" s="339"/>
      <c r="U85" s="339"/>
      <c r="V85" s="339"/>
      <c r="W85" s="339"/>
      <c r="X85" s="339"/>
      <c r="Y85" s="339"/>
      <c r="Z85" s="339"/>
    </row>
    <row r="86" spans="1:26" ht="21" customHeight="1">
      <c r="A86" s="303">
        <v>10</v>
      </c>
      <c r="B86" s="304" t="s">
        <v>110</v>
      </c>
      <c r="C86" s="305">
        <f t="shared" ca="1" si="35"/>
        <v>0</v>
      </c>
      <c r="D86" s="306">
        <f ca="1">IFERROR(__xludf.DUMMYFUNCTION("IMPORTRANGE(""https://docs.google.com/spreadsheets/d/1C3CXT74ZlgGe6_JY_1olB1XN4rF0dxEuIIF-xsYjHgg/edit?usp=sharing"",""งบกองทุน!EB90"")"),0)</f>
        <v>0</v>
      </c>
      <c r="E86" s="306">
        <f ca="1">IFERROR(__xludf.DUMMYFUNCTION("IMPORTRANGE(""https://docs.google.com/spreadsheets/d/1C3CXT74ZlgGe6_JY_1olB1XN4rF0dxEuIIF-xsYjHgg/edit?usp=sharing"",""งบกองทุน!EL90"")"),0)</f>
        <v>0</v>
      </c>
      <c r="F86" s="307">
        <f ca="1">IFERROR(__xludf.DUMMYFUNCTION("IMPORTRANGE(""https://docs.google.com/spreadsheets/d/1IYY_tgx_IHuhSq3AJ5eI5OnqOPBNLWSHKh2a30DoXe8/edit?usp=sharing"",""ยะลา!M475"")"),0)</f>
        <v>0</v>
      </c>
      <c r="G86" s="307">
        <f t="shared" ca="1" si="1"/>
        <v>0</v>
      </c>
      <c r="H86" s="306">
        <f ca="1">IFERROR(__xludf.DUMMYFUNCTION("IMPORTRANGE(""https://docs.google.com/spreadsheets/d/1C3CXT74ZlgGe6_JY_1olB1XN4rF0dxEuIIF-xsYjHgg/edit?usp=sharing"",""งบกองทุน!ED90"")"),150)</f>
        <v>150</v>
      </c>
      <c r="I86" s="306">
        <f t="shared" ca="1" si="36"/>
        <v>250</v>
      </c>
      <c r="J86" s="307">
        <f t="shared" ca="1" si="3"/>
        <v>166.66666666666666</v>
      </c>
      <c r="K86" s="608">
        <f ca="1">IFERROR(__xludf.DUMMYFUNCTION("IMPORTRANGE(""https://docs.google.com/spreadsheets/d/1IYY_tgx_IHuhSq3AJ5eI5OnqOPBNLWSHKh2a30DoXe8/edit?usp=sharing"",""ยะลา!J470"")"),2)</f>
        <v>2</v>
      </c>
      <c r="L86" s="306">
        <f ca="1">IFERROR(__xludf.DUMMYFUNCTION("IMPORTRANGE(""https://docs.google.com/spreadsheets/d/1IYY_tgx_IHuhSq3AJ5eI5OnqOPBNLWSHKh2a30DoXe8/edit?usp=sharing"",""ยะลา!J471"")"),88)</f>
        <v>88</v>
      </c>
      <c r="M86" s="306">
        <f ca="1">IFERROR(__xludf.DUMMYFUNCTION("IMPORTRANGE(""https://docs.google.com/spreadsheets/d/1IYY_tgx_IHuhSq3AJ5eI5OnqOPBNLWSHKh2a30DoXe8/edit?usp=sharing"",""ยะลา!J472"")"),162)</f>
        <v>162</v>
      </c>
      <c r="N86" s="306">
        <f ca="1">IFERROR(__xludf.DUMMYFUNCTION("IMPORTRANGE(""https://docs.google.com/spreadsheets/d/1IYY_tgx_IHuhSq3AJ5eI5OnqOPBNLWSHKh2a30DoXe8/edit?usp=sharing"",""ยะลา!J473"")"),0)</f>
        <v>0</v>
      </c>
      <c r="O86" s="609">
        <f ca="1">IFERROR(__xludf.DUMMYFUNCTION("IMPORTRANGE(""https://docs.google.com/spreadsheets/d/1IYY_tgx_IHuhSq3AJ5eI5OnqOPBNLWSHKh2a30DoXe8/edit?usp=sharing"",""ยะลา!J474"")"),0)</f>
        <v>0</v>
      </c>
      <c r="P86" s="339"/>
      <c r="Q86" s="339"/>
      <c r="R86" s="339"/>
      <c r="S86" s="339"/>
      <c r="T86" s="339"/>
      <c r="U86" s="339"/>
      <c r="V86" s="339"/>
      <c r="W86" s="339"/>
      <c r="X86" s="339"/>
      <c r="Y86" s="339"/>
      <c r="Z86" s="339"/>
    </row>
    <row r="87" spans="1:26" ht="21" customHeight="1">
      <c r="A87" s="303">
        <v>11</v>
      </c>
      <c r="B87" s="304" t="s">
        <v>111</v>
      </c>
      <c r="C87" s="305">
        <f t="shared" ca="1" si="35"/>
        <v>0</v>
      </c>
      <c r="D87" s="306">
        <f ca="1">IFERROR(__xludf.DUMMYFUNCTION("IMPORTRANGE(""https://docs.google.com/spreadsheets/d/1C3CXT74ZlgGe6_JY_1olB1XN4rF0dxEuIIF-xsYjHgg/edit?usp=sharing"",""งบกองทุน!EB91"")"),0)</f>
        <v>0</v>
      </c>
      <c r="E87" s="306">
        <f ca="1">IFERROR(__xludf.DUMMYFUNCTION("IMPORTRANGE(""https://docs.google.com/spreadsheets/d/1C3CXT74ZlgGe6_JY_1olB1XN4rF0dxEuIIF-xsYjHgg/edit?usp=sharing"",""งบกองทุน!EL91"")"),0)</f>
        <v>0</v>
      </c>
      <c r="F87" s="307">
        <f ca="1">IFERROR(__xludf.DUMMYFUNCTION("IMPORTRANGE(""https://docs.google.com/spreadsheets/d/1IYY_tgx_IHuhSq3AJ5eI5OnqOPBNLWSHKh2a30DoXe8/edit?usp=sharing"",""ระนอง!M475"")"),0)</f>
        <v>0</v>
      </c>
      <c r="G87" s="307">
        <f t="shared" ca="1" si="1"/>
        <v>0</v>
      </c>
      <c r="H87" s="306">
        <f ca="1">IFERROR(__xludf.DUMMYFUNCTION("IMPORTRANGE(""https://docs.google.com/spreadsheets/d/1C3CXT74ZlgGe6_JY_1olB1XN4rF0dxEuIIF-xsYjHgg/edit?usp=sharing"",""งบกองทุน!ED91"")"),400)</f>
        <v>400</v>
      </c>
      <c r="I87" s="306">
        <f t="shared" ca="1" si="36"/>
        <v>486</v>
      </c>
      <c r="J87" s="307">
        <f t="shared" ca="1" si="3"/>
        <v>121.5</v>
      </c>
      <c r="K87" s="608">
        <f ca="1">IFERROR(__xludf.DUMMYFUNCTION("IMPORTRANGE(""https://docs.google.com/spreadsheets/d/1IYY_tgx_IHuhSq3AJ5eI5OnqOPBNLWSHKh2a30DoXe8/edit?usp=sharing"",""ระนอง!J470"")"),2)</f>
        <v>2</v>
      </c>
      <c r="L87" s="306">
        <f ca="1">IFERROR(__xludf.DUMMYFUNCTION("IMPORTRANGE(""https://docs.google.com/spreadsheets/d/1IYY_tgx_IHuhSq3AJ5eI5OnqOPBNLWSHKh2a30DoXe8/edit?usp=sharing"",""ระนอง!J471"")"),94)</f>
        <v>94</v>
      </c>
      <c r="M87" s="306">
        <f ca="1">IFERROR(__xludf.DUMMYFUNCTION("IMPORTRANGE(""https://docs.google.com/spreadsheets/d/1IYY_tgx_IHuhSq3AJ5eI5OnqOPBNLWSHKh2a30DoXe8/edit?usp=sharing"",""ระนอง!J472"")"),392)</f>
        <v>392</v>
      </c>
      <c r="N87" s="306">
        <f ca="1">IFERROR(__xludf.DUMMYFUNCTION("IMPORTRANGE(""https://docs.google.com/spreadsheets/d/1IYY_tgx_IHuhSq3AJ5eI5OnqOPBNLWSHKh2a30DoXe8/edit?usp=sharing"",""ระนอง!J473"")"),0)</f>
        <v>0</v>
      </c>
      <c r="O87" s="609">
        <f ca="1">IFERROR(__xludf.DUMMYFUNCTION("IMPORTRANGE(""https://docs.google.com/spreadsheets/d/1IYY_tgx_IHuhSq3AJ5eI5OnqOPBNLWSHKh2a30DoXe8/edit?usp=sharing"",""ระนอง!J474"")"),0)</f>
        <v>0</v>
      </c>
      <c r="P87" s="339"/>
      <c r="Q87" s="339"/>
      <c r="R87" s="339"/>
      <c r="S87" s="339"/>
      <c r="T87" s="339"/>
      <c r="U87" s="339"/>
      <c r="V87" s="339"/>
      <c r="W87" s="339"/>
      <c r="X87" s="339"/>
      <c r="Y87" s="339"/>
      <c r="Z87" s="339"/>
    </row>
    <row r="88" spans="1:26" ht="24" customHeight="1">
      <c r="A88" s="303">
        <v>12</v>
      </c>
      <c r="B88" s="304" t="s">
        <v>112</v>
      </c>
      <c r="C88" s="305">
        <f t="shared" ca="1" si="35"/>
        <v>376620</v>
      </c>
      <c r="D88" s="306">
        <f ca="1">IFERROR(__xludf.DUMMYFUNCTION("IMPORTRANGE(""https://docs.google.com/spreadsheets/d/1C3CXT74ZlgGe6_JY_1olB1XN4rF0dxEuIIF-xsYjHgg/edit?usp=sharing"",""งบกองทุน!EB92"")"),0)</f>
        <v>0</v>
      </c>
      <c r="E88" s="306">
        <f ca="1">IFERROR(__xludf.DUMMYFUNCTION("IMPORTRANGE(""https://docs.google.com/spreadsheets/d/1C3CXT74ZlgGe6_JY_1olB1XN4rF0dxEuIIF-xsYjHgg/edit?usp=sharing"",""งบกองทุน!EL92"")"),376620)</f>
        <v>376620</v>
      </c>
      <c r="F88" s="307">
        <f ca="1">IFERROR(__xludf.DUMMYFUNCTION("IMPORTRANGE(""https://docs.google.com/spreadsheets/d/1IYY_tgx_IHuhSq3AJ5eI5OnqOPBNLWSHKh2a30DoXe8/edit?usp=sharing"",""สงขลา!M475"")"),200020)</f>
        <v>200020</v>
      </c>
      <c r="G88" s="307">
        <f t="shared" ca="1" si="1"/>
        <v>53.109234772449682</v>
      </c>
      <c r="H88" s="306">
        <f ca="1">IFERROR(__xludf.DUMMYFUNCTION("IMPORTRANGE(""https://docs.google.com/spreadsheets/d/1C3CXT74ZlgGe6_JY_1olB1XN4rF0dxEuIIF-xsYjHgg/edit?usp=sharing"",""งบกองทุน!ED92"")"),1100)</f>
        <v>1100</v>
      </c>
      <c r="I88" s="306">
        <f t="shared" ca="1" si="36"/>
        <v>1122</v>
      </c>
      <c r="J88" s="307">
        <f t="shared" ca="1" si="3"/>
        <v>102</v>
      </c>
      <c r="K88" s="608">
        <f ca="1">IFERROR(__xludf.DUMMYFUNCTION("IMPORTRANGE(""https://docs.google.com/spreadsheets/d/1IYY_tgx_IHuhSq3AJ5eI5OnqOPBNLWSHKh2a30DoXe8/edit?usp=sharing"",""สงขลา!J470"")"),1)</f>
        <v>1</v>
      </c>
      <c r="L88" s="306">
        <f ca="1">IFERROR(__xludf.DUMMYFUNCTION("IMPORTRANGE(""https://docs.google.com/spreadsheets/d/1IYY_tgx_IHuhSq3AJ5eI5OnqOPBNLWSHKh2a30DoXe8/edit?usp=sharing"",""สงขลา!J471"")"),36)</f>
        <v>36</v>
      </c>
      <c r="M88" s="306">
        <f ca="1">IFERROR(__xludf.DUMMYFUNCTION("IMPORTRANGE(""https://docs.google.com/spreadsheets/d/1IYY_tgx_IHuhSq3AJ5eI5OnqOPBNLWSHKh2a30DoXe8/edit?usp=sharing"",""สงขลา!J472"")"),1085)</f>
        <v>1085</v>
      </c>
      <c r="N88" s="306">
        <f ca="1">IFERROR(__xludf.DUMMYFUNCTION("IMPORTRANGE(""https://docs.google.com/spreadsheets/d/1IYY_tgx_IHuhSq3AJ5eI5OnqOPBNLWSHKh2a30DoXe8/edit?usp=sharing"",""สงขลา!J473"")"),1)</f>
        <v>1</v>
      </c>
      <c r="O88" s="609">
        <f ca="1">IFERROR(__xludf.DUMMYFUNCTION("IMPORTRANGE(""https://docs.google.com/spreadsheets/d/1IYY_tgx_IHuhSq3AJ5eI5OnqOPBNLWSHKh2a30DoXe8/edit?usp=sharing"",""สงขลา!J474"")"),0)</f>
        <v>0</v>
      </c>
      <c r="P88" s="339"/>
      <c r="Q88" s="339"/>
      <c r="R88" s="339"/>
      <c r="S88" s="339"/>
      <c r="T88" s="339"/>
      <c r="U88" s="339"/>
      <c r="V88" s="339"/>
      <c r="W88" s="339"/>
      <c r="X88" s="339"/>
      <c r="Y88" s="339"/>
      <c r="Z88" s="339"/>
    </row>
    <row r="89" spans="1:26" ht="24" customHeight="1">
      <c r="A89" s="303">
        <v>13</v>
      </c>
      <c r="B89" s="304" t="s">
        <v>113</v>
      </c>
      <c r="C89" s="305">
        <f t="shared" ca="1" si="35"/>
        <v>0</v>
      </c>
      <c r="D89" s="306">
        <f ca="1">IFERROR(__xludf.DUMMYFUNCTION("IMPORTRANGE(""https://docs.google.com/spreadsheets/d/1C3CXT74ZlgGe6_JY_1olB1XN4rF0dxEuIIF-xsYjHgg/edit?usp=sharing"",""งบกองทุน!EB93"")"),0)</f>
        <v>0</v>
      </c>
      <c r="E89" s="306">
        <f ca="1">IFERROR(__xludf.DUMMYFUNCTION("IMPORTRANGE(""https://docs.google.com/spreadsheets/d/1C3CXT74ZlgGe6_JY_1olB1XN4rF0dxEuIIF-xsYjHgg/edit?usp=sharing"",""งบกองทุน!EL93"")"),0)</f>
        <v>0</v>
      </c>
      <c r="F89" s="307">
        <f ca="1">IFERROR(__xludf.DUMMYFUNCTION("IMPORTRANGE(""https://docs.google.com/spreadsheets/d/1IYY_tgx_IHuhSq3AJ5eI5OnqOPBNLWSHKh2a30DoXe8/edit?usp=sharing"",""สตูล!M475"")"),0)</f>
        <v>0</v>
      </c>
      <c r="G89" s="307">
        <f t="shared" ca="1" si="1"/>
        <v>0</v>
      </c>
      <c r="H89" s="306">
        <f ca="1">IFERROR(__xludf.DUMMYFUNCTION("IMPORTRANGE(""https://docs.google.com/spreadsheets/d/1C3CXT74ZlgGe6_JY_1olB1XN4rF0dxEuIIF-xsYjHgg/edit?usp=sharing"",""งบกองทุน!ED93"")"),200)</f>
        <v>200</v>
      </c>
      <c r="I89" s="306">
        <f t="shared" ca="1" si="36"/>
        <v>145</v>
      </c>
      <c r="J89" s="307">
        <f t="shared" ca="1" si="3"/>
        <v>72.5</v>
      </c>
      <c r="K89" s="608">
        <f ca="1">IFERROR(__xludf.DUMMYFUNCTION("IMPORTRANGE(""https://docs.google.com/spreadsheets/d/1IYY_tgx_IHuhSq3AJ5eI5OnqOPBNLWSHKh2a30DoXe8/edit?usp=sharing"",""สตูล!J470"")"),6)</f>
        <v>6</v>
      </c>
      <c r="L89" s="306">
        <f ca="1">IFERROR(__xludf.DUMMYFUNCTION("IMPORTRANGE(""https://docs.google.com/spreadsheets/d/1IYY_tgx_IHuhSq3AJ5eI5OnqOPBNLWSHKh2a30DoXe8/edit?usp=sharing"",""สตูล!J471"")"),30)</f>
        <v>30</v>
      </c>
      <c r="M89" s="306">
        <f ca="1">IFERROR(__xludf.DUMMYFUNCTION("IMPORTRANGE(""https://docs.google.com/spreadsheets/d/1IYY_tgx_IHuhSq3AJ5eI5OnqOPBNLWSHKh2a30DoXe8/edit?usp=sharing"",""สตูล!J472"")"),115)</f>
        <v>115</v>
      </c>
      <c r="N89" s="306">
        <f ca="1">IFERROR(__xludf.DUMMYFUNCTION("IMPORTRANGE(""https://docs.google.com/spreadsheets/d/1IYY_tgx_IHuhSq3AJ5eI5OnqOPBNLWSHKh2a30DoXe8/edit?usp=sharing"",""สตูล!J473"")"),0)</f>
        <v>0</v>
      </c>
      <c r="O89" s="609">
        <f ca="1">IFERROR(__xludf.DUMMYFUNCTION("IMPORTRANGE(""https://docs.google.com/spreadsheets/d/1IYY_tgx_IHuhSq3AJ5eI5OnqOPBNLWSHKh2a30DoXe8/edit?usp=sharing"",""สตูล!J474"")"),0)</f>
        <v>0</v>
      </c>
      <c r="P89" s="339"/>
      <c r="Q89" s="339"/>
      <c r="R89" s="339"/>
      <c r="S89" s="339"/>
      <c r="T89" s="339"/>
      <c r="U89" s="339"/>
      <c r="V89" s="339"/>
      <c r="W89" s="339"/>
      <c r="X89" s="339"/>
      <c r="Y89" s="339"/>
      <c r="Z89" s="339"/>
    </row>
    <row r="90" spans="1:26" ht="24" customHeight="1">
      <c r="A90" s="310">
        <v>14</v>
      </c>
      <c r="B90" s="311" t="s">
        <v>114</v>
      </c>
      <c r="C90" s="312">
        <f t="shared" ca="1" si="35"/>
        <v>0</v>
      </c>
      <c r="D90" s="313">
        <f ca="1">IFERROR(__xludf.DUMMYFUNCTION("IMPORTRANGE(""https://docs.google.com/spreadsheets/d/1C3CXT74ZlgGe6_JY_1olB1XN4rF0dxEuIIF-xsYjHgg/edit?usp=sharing"",""งบกองทุน!EB94"")"),0)</f>
        <v>0</v>
      </c>
      <c r="E90" s="313">
        <f ca="1">IFERROR(__xludf.DUMMYFUNCTION("IMPORTRANGE(""https://docs.google.com/spreadsheets/d/1C3CXT74ZlgGe6_JY_1olB1XN4rF0dxEuIIF-xsYjHgg/edit?usp=sharing"",""งบกองทุน!EL94"")"),0)</f>
        <v>0</v>
      </c>
      <c r="F90" s="314">
        <f ca="1">IFERROR(__xludf.DUMMYFUNCTION("IMPORTRANGE(""https://docs.google.com/spreadsheets/d/1IYY_tgx_IHuhSq3AJ5eI5OnqOPBNLWSHKh2a30DoXe8/edit?usp=sharing"",""สุราษฎร์ธานี!M475"")"),0)</f>
        <v>0</v>
      </c>
      <c r="G90" s="314">
        <f t="shared" ca="1" si="1"/>
        <v>0</v>
      </c>
      <c r="H90" s="313">
        <f ca="1">IFERROR(__xludf.DUMMYFUNCTION("IMPORTRANGE(""https://docs.google.com/spreadsheets/d/1C3CXT74ZlgGe6_JY_1olB1XN4rF0dxEuIIF-xsYjHgg/edit?usp=sharing"",""งบกองทุน!ED94"")"),3100)</f>
        <v>3100</v>
      </c>
      <c r="I90" s="313">
        <f t="shared" ca="1" si="36"/>
        <v>4186</v>
      </c>
      <c r="J90" s="314">
        <f t="shared" ca="1" si="3"/>
        <v>135.03225806451613</v>
      </c>
      <c r="K90" s="610">
        <f ca="1">IFERROR(__xludf.DUMMYFUNCTION("IMPORTRANGE(""https://docs.google.com/spreadsheets/d/1IYY_tgx_IHuhSq3AJ5eI5OnqOPBNLWSHKh2a30DoXe8/edit?usp=sharing"",""สุราษฎร์ธานี!J470"")"),2)</f>
        <v>2</v>
      </c>
      <c r="L90" s="313">
        <f ca="1">IFERROR(__xludf.DUMMYFUNCTION("IMPORTRANGE(""https://docs.google.com/spreadsheets/d/1IYY_tgx_IHuhSq3AJ5eI5OnqOPBNLWSHKh2a30DoXe8/edit?usp=sharing"",""สุราษฎร์ธานี!J471"")"),50)</f>
        <v>50</v>
      </c>
      <c r="M90" s="313">
        <f ca="1">IFERROR(__xludf.DUMMYFUNCTION("IMPORTRANGE(""https://docs.google.com/spreadsheets/d/1IYY_tgx_IHuhSq3AJ5eI5OnqOPBNLWSHKh2a30DoXe8/edit?usp=sharing"",""สุราษฎร์ธานี!J472"")"),4130)</f>
        <v>4130</v>
      </c>
      <c r="N90" s="313">
        <f ca="1">IFERROR(__xludf.DUMMYFUNCTION("IMPORTRANGE(""https://docs.google.com/spreadsheets/d/1IYY_tgx_IHuhSq3AJ5eI5OnqOPBNLWSHKh2a30DoXe8/edit?usp=sharing"",""สุราษฎร์ธานี!J473"")"),1)</f>
        <v>1</v>
      </c>
      <c r="O90" s="611">
        <f ca="1">IFERROR(__xludf.DUMMYFUNCTION("IMPORTRANGE(""https://docs.google.com/spreadsheets/d/1IYY_tgx_IHuhSq3AJ5eI5OnqOPBNLWSHKh2a30DoXe8/edit?usp=sharing"",""สุราษฎร์ธานี!J474"")"),5)</f>
        <v>5</v>
      </c>
      <c r="P90" s="339"/>
      <c r="Q90" s="339"/>
      <c r="R90" s="339"/>
      <c r="S90" s="339"/>
      <c r="T90" s="339"/>
      <c r="U90" s="339"/>
      <c r="V90" s="339"/>
      <c r="W90" s="339"/>
      <c r="X90" s="339"/>
      <c r="Y90" s="339"/>
      <c r="Z90" s="339"/>
    </row>
    <row r="91" spans="1:26" ht="21" hidden="1" customHeight="1">
      <c r="A91" s="791" t="s">
        <v>115</v>
      </c>
      <c r="B91" s="652"/>
      <c r="C91" s="322">
        <f t="shared" ref="C91:F91" ca="1" si="37">+C92+C93+C94+C95+C96+C97+C98+C99+C100+C101+C102+C103+C104+C105</f>
        <v>24846983</v>
      </c>
      <c r="D91" s="323">
        <f t="shared" ca="1" si="37"/>
        <v>0</v>
      </c>
      <c r="E91" s="323">
        <f t="shared" ca="1" si="37"/>
        <v>24846983</v>
      </c>
      <c r="F91" s="323">
        <f t="shared" ca="1" si="37"/>
        <v>778402.74</v>
      </c>
      <c r="G91" s="324">
        <f t="shared" ca="1" si="1"/>
        <v>3.1327857390170872</v>
      </c>
      <c r="H91" s="323">
        <f t="shared" ref="H91:I91" ca="1" si="38">+H92+H93+H94+H95+H96+H97+H98+H99+H100+H101+H102+H103+H104+H105</f>
        <v>0</v>
      </c>
      <c r="I91" s="323">
        <f t="shared" si="38"/>
        <v>0</v>
      </c>
      <c r="J91" s="324">
        <f t="shared" ca="1" si="3"/>
        <v>0</v>
      </c>
      <c r="K91" s="402">
        <f t="shared" ref="K91:O91" si="39">+K92+K93+K94+K95+K96+K97+K98+K99+K100+K101+K102+K103+K104+K105</f>
        <v>0</v>
      </c>
      <c r="L91" s="323">
        <f t="shared" si="39"/>
        <v>0</v>
      </c>
      <c r="M91" s="323">
        <f t="shared" si="39"/>
        <v>0</v>
      </c>
      <c r="N91" s="323">
        <f t="shared" si="39"/>
        <v>0</v>
      </c>
      <c r="O91" s="613">
        <f t="shared" si="39"/>
        <v>0</v>
      </c>
      <c r="P91" s="339"/>
      <c r="Q91" s="339"/>
      <c r="R91" s="339"/>
      <c r="S91" s="339"/>
      <c r="T91" s="339"/>
      <c r="U91" s="339"/>
      <c r="V91" s="339"/>
      <c r="W91" s="339"/>
      <c r="X91" s="339"/>
      <c r="Y91" s="339"/>
      <c r="Z91" s="339"/>
    </row>
    <row r="92" spans="1:26" ht="24" hidden="1" customHeight="1">
      <c r="A92" s="325">
        <v>1</v>
      </c>
      <c r="B92" s="326" t="s">
        <v>116</v>
      </c>
      <c r="C92" s="295">
        <f t="shared" ref="C92:C105" ca="1" si="40">+D92+E92</f>
        <v>0</v>
      </c>
      <c r="D92" s="296">
        <f ca="1">IFERROR(__xludf.DUMMYFUNCTION("IMPORTRANGE(""https://docs.google.com/spreadsheets/d/1C3CXT74ZlgGe6_JY_1olB1XN4rF0dxEuIIF-xsYjHgg/edit?usp=sharing"",""งบกองทุน!EB96"")"),0)</f>
        <v>0</v>
      </c>
      <c r="E92" s="296">
        <f ca="1">IFERROR(__xludf.DUMMYFUNCTION("IMPORTRANGE(""https://docs.google.com/spreadsheets/d/1C3CXT74ZlgGe6_JY_1olB1XN4rF0dxEuIIF-xsYjHgg/edit?usp=sharing"",""งบกองทุน!EC96"")"),0)</f>
        <v>0</v>
      </c>
      <c r="F92" s="297">
        <v>0</v>
      </c>
      <c r="G92" s="297">
        <f t="shared" ca="1" si="1"/>
        <v>0</v>
      </c>
      <c r="H92" s="296">
        <f ca="1">IFERROR(__xludf.DUMMYFUNCTION("IMPORTRANGE(""https://docs.google.com/spreadsheets/d/1C3CXT74ZlgGe6_JY_1olB1XN4rF0dxEuIIF-xsYjHgg/edit?usp=sharing"",""งบกองทุน!ED96"")"),0)</f>
        <v>0</v>
      </c>
      <c r="I92" s="296">
        <f t="shared" ref="I92:I105" si="41">SUM(L92,M92,N92,O92)</f>
        <v>0</v>
      </c>
      <c r="J92" s="297">
        <f t="shared" ca="1" si="3"/>
        <v>0</v>
      </c>
      <c r="K92" s="606">
        <v>0</v>
      </c>
      <c r="L92" s="296">
        <v>0</v>
      </c>
      <c r="M92" s="296">
        <v>0</v>
      </c>
      <c r="N92" s="296">
        <v>0</v>
      </c>
      <c r="O92" s="607">
        <v>0</v>
      </c>
      <c r="P92" s="339"/>
      <c r="Q92" s="339"/>
      <c r="R92" s="339"/>
      <c r="S92" s="339"/>
      <c r="T92" s="339"/>
      <c r="U92" s="339"/>
      <c r="V92" s="339"/>
      <c r="W92" s="339"/>
      <c r="X92" s="339"/>
      <c r="Y92" s="339"/>
      <c r="Z92" s="339"/>
    </row>
    <row r="93" spans="1:26" ht="24" hidden="1" customHeight="1">
      <c r="A93" s="327">
        <v>2</v>
      </c>
      <c r="B93" s="328" t="s">
        <v>117</v>
      </c>
      <c r="C93" s="305">
        <f t="shared" ca="1" si="40"/>
        <v>0</v>
      </c>
      <c r="D93" s="306">
        <f ca="1">IFERROR(__xludf.DUMMYFUNCTION("IMPORTRANGE(""https://docs.google.com/spreadsheets/d/1C3CXT74ZlgGe6_JY_1olB1XN4rF0dxEuIIF-xsYjHgg/edit?usp=sharing"",""งบกองทุน!EB97"")"),0)</f>
        <v>0</v>
      </c>
      <c r="E93" s="306">
        <f ca="1">IFERROR(__xludf.DUMMYFUNCTION("IMPORTRANGE(""https://docs.google.com/spreadsheets/d/1C3CXT74ZlgGe6_JY_1olB1XN4rF0dxEuIIF-xsYjHgg/edit?usp=sharing"",""งบกองทุน!EC97"")"),0)</f>
        <v>0</v>
      </c>
      <c r="F93" s="307">
        <v>0</v>
      </c>
      <c r="G93" s="307">
        <f t="shared" ca="1" si="1"/>
        <v>0</v>
      </c>
      <c r="H93" s="306">
        <f ca="1">IFERROR(__xludf.DUMMYFUNCTION("IMPORTRANGE(""https://docs.google.com/spreadsheets/d/1C3CXT74ZlgGe6_JY_1olB1XN4rF0dxEuIIF-xsYjHgg/edit?usp=sharing"",""งบกองทุน!ED97"")"),0)</f>
        <v>0</v>
      </c>
      <c r="I93" s="306">
        <f t="shared" si="41"/>
        <v>0</v>
      </c>
      <c r="J93" s="307">
        <f t="shared" ca="1" si="3"/>
        <v>0</v>
      </c>
      <c r="K93" s="608">
        <v>0</v>
      </c>
      <c r="L93" s="306">
        <v>0</v>
      </c>
      <c r="M93" s="306">
        <v>0</v>
      </c>
      <c r="N93" s="306">
        <v>0</v>
      </c>
      <c r="O93" s="609">
        <v>0</v>
      </c>
      <c r="P93" s="339"/>
      <c r="Q93" s="339"/>
      <c r="R93" s="339"/>
      <c r="S93" s="339"/>
      <c r="T93" s="339"/>
      <c r="U93" s="339"/>
      <c r="V93" s="339"/>
      <c r="W93" s="339"/>
      <c r="X93" s="339"/>
      <c r="Y93" s="339"/>
      <c r="Z93" s="339"/>
    </row>
    <row r="94" spans="1:26" ht="24" hidden="1" customHeight="1">
      <c r="A94" s="327">
        <v>3</v>
      </c>
      <c r="B94" s="328" t="s">
        <v>118</v>
      </c>
      <c r="C94" s="305">
        <f t="shared" ca="1" si="40"/>
        <v>0</v>
      </c>
      <c r="D94" s="306">
        <f ca="1">IFERROR(__xludf.DUMMYFUNCTION("IMPORTRANGE(""https://docs.google.com/spreadsheets/d/1C3CXT74ZlgGe6_JY_1olB1XN4rF0dxEuIIF-xsYjHgg/edit?usp=sharing"",""งบกองทุน!EB98"")"),0)</f>
        <v>0</v>
      </c>
      <c r="E94" s="306">
        <f ca="1">IFERROR(__xludf.DUMMYFUNCTION("IMPORTRANGE(""https://docs.google.com/spreadsheets/d/1C3CXT74ZlgGe6_JY_1olB1XN4rF0dxEuIIF-xsYjHgg/edit?usp=sharing"",""งบกองทุน!EC98"")"),0)</f>
        <v>0</v>
      </c>
      <c r="F94" s="307">
        <v>0</v>
      </c>
      <c r="G94" s="307">
        <f t="shared" ca="1" si="1"/>
        <v>0</v>
      </c>
      <c r="H94" s="306">
        <f ca="1">IFERROR(__xludf.DUMMYFUNCTION("IMPORTRANGE(""https://docs.google.com/spreadsheets/d/1C3CXT74ZlgGe6_JY_1olB1XN4rF0dxEuIIF-xsYjHgg/edit?usp=sharing"",""งบกองทุน!ED98"")"),0)</f>
        <v>0</v>
      </c>
      <c r="I94" s="306">
        <f t="shared" si="41"/>
        <v>0</v>
      </c>
      <c r="J94" s="307">
        <f t="shared" ca="1" si="3"/>
        <v>0</v>
      </c>
      <c r="K94" s="608">
        <v>0</v>
      </c>
      <c r="L94" s="306">
        <v>0</v>
      </c>
      <c r="M94" s="306">
        <v>0</v>
      </c>
      <c r="N94" s="306">
        <v>0</v>
      </c>
      <c r="O94" s="609">
        <v>0</v>
      </c>
      <c r="P94" s="339"/>
      <c r="Q94" s="339"/>
      <c r="R94" s="339"/>
      <c r="S94" s="339"/>
      <c r="T94" s="339"/>
      <c r="U94" s="339"/>
      <c r="V94" s="339"/>
      <c r="W94" s="339"/>
      <c r="X94" s="339"/>
      <c r="Y94" s="339"/>
      <c r="Z94" s="339"/>
    </row>
    <row r="95" spans="1:26" ht="24" hidden="1" customHeight="1">
      <c r="A95" s="327">
        <f t="shared" ref="A95:A105" si="42">+A94+1</f>
        <v>4</v>
      </c>
      <c r="B95" s="328" t="s">
        <v>119</v>
      </c>
      <c r="C95" s="305">
        <f t="shared" ca="1" si="40"/>
        <v>0</v>
      </c>
      <c r="D95" s="306">
        <f ca="1">IFERROR(__xludf.DUMMYFUNCTION("IMPORTRANGE(""https://docs.google.com/spreadsheets/d/1C3CXT74ZlgGe6_JY_1olB1XN4rF0dxEuIIF-xsYjHgg/edit?usp=sharing"",""งบกองทุน!EB99"")"),0)</f>
        <v>0</v>
      </c>
      <c r="E95" s="306">
        <f ca="1">IFERROR(__xludf.DUMMYFUNCTION("IMPORTRANGE(""https://docs.google.com/spreadsheets/d/1C3CXT74ZlgGe6_JY_1olB1XN4rF0dxEuIIF-xsYjHgg/edit?usp=sharing"",""งบกองทุน!EC99"")"),0)</f>
        <v>0</v>
      </c>
      <c r="F95" s="307">
        <v>0</v>
      </c>
      <c r="G95" s="307">
        <f t="shared" ca="1" si="1"/>
        <v>0</v>
      </c>
      <c r="H95" s="306">
        <f ca="1">IFERROR(__xludf.DUMMYFUNCTION("IMPORTRANGE(""https://docs.google.com/spreadsheets/d/1C3CXT74ZlgGe6_JY_1olB1XN4rF0dxEuIIF-xsYjHgg/edit?usp=sharing"",""งบกองทุน!ED99"")"),0)</f>
        <v>0</v>
      </c>
      <c r="I95" s="306">
        <f t="shared" si="41"/>
        <v>0</v>
      </c>
      <c r="J95" s="307">
        <f t="shared" ca="1" si="3"/>
        <v>0</v>
      </c>
      <c r="K95" s="608">
        <v>0</v>
      </c>
      <c r="L95" s="306">
        <v>0</v>
      </c>
      <c r="M95" s="306">
        <v>0</v>
      </c>
      <c r="N95" s="306">
        <v>0</v>
      </c>
      <c r="O95" s="609">
        <v>0</v>
      </c>
      <c r="P95" s="339"/>
      <c r="Q95" s="339"/>
      <c r="R95" s="339"/>
      <c r="S95" s="339"/>
      <c r="T95" s="339"/>
      <c r="U95" s="339"/>
      <c r="V95" s="339"/>
      <c r="W95" s="339"/>
      <c r="X95" s="339"/>
      <c r="Y95" s="339"/>
      <c r="Z95" s="339"/>
    </row>
    <row r="96" spans="1:26" ht="24" hidden="1" customHeight="1">
      <c r="A96" s="327">
        <f t="shared" si="42"/>
        <v>5</v>
      </c>
      <c r="B96" s="328" t="s">
        <v>120</v>
      </c>
      <c r="C96" s="305">
        <f t="shared" ca="1" si="40"/>
        <v>0</v>
      </c>
      <c r="D96" s="306">
        <f ca="1">IFERROR(__xludf.DUMMYFUNCTION("IMPORTRANGE(""https://docs.google.com/spreadsheets/d/1C3CXT74ZlgGe6_JY_1olB1XN4rF0dxEuIIF-xsYjHgg/edit?usp=sharing"",""งบกองทุน!EB100"")"),0)</f>
        <v>0</v>
      </c>
      <c r="E96" s="306">
        <f ca="1">IFERROR(__xludf.DUMMYFUNCTION("IMPORTRANGE(""https://docs.google.com/spreadsheets/d/1C3CXT74ZlgGe6_JY_1olB1XN4rF0dxEuIIF-xsYjHgg/edit?usp=sharing"",""งบกองทุน!EC100"")"),0)</f>
        <v>0</v>
      </c>
      <c r="F96" s="307">
        <v>0</v>
      </c>
      <c r="G96" s="307">
        <f t="shared" ca="1" si="1"/>
        <v>0</v>
      </c>
      <c r="H96" s="306">
        <f ca="1">IFERROR(__xludf.DUMMYFUNCTION("IMPORTRANGE(""https://docs.google.com/spreadsheets/d/1C3CXT74ZlgGe6_JY_1olB1XN4rF0dxEuIIF-xsYjHgg/edit?usp=sharing"",""งบกองทุน!ED100"")"),0)</f>
        <v>0</v>
      </c>
      <c r="I96" s="306">
        <f t="shared" si="41"/>
        <v>0</v>
      </c>
      <c r="J96" s="307">
        <f t="shared" ca="1" si="3"/>
        <v>0</v>
      </c>
      <c r="K96" s="608">
        <v>0</v>
      </c>
      <c r="L96" s="306">
        <v>0</v>
      </c>
      <c r="M96" s="306">
        <v>0</v>
      </c>
      <c r="N96" s="306">
        <v>0</v>
      </c>
      <c r="O96" s="609">
        <v>0</v>
      </c>
      <c r="P96" s="339"/>
      <c r="Q96" s="339"/>
      <c r="R96" s="339"/>
      <c r="S96" s="339"/>
      <c r="T96" s="339"/>
      <c r="U96" s="339"/>
      <c r="V96" s="339"/>
      <c r="W96" s="339"/>
      <c r="X96" s="339"/>
      <c r="Y96" s="339"/>
      <c r="Z96" s="339"/>
    </row>
    <row r="97" spans="1:26" ht="24" hidden="1" customHeight="1">
      <c r="A97" s="327">
        <f t="shared" si="42"/>
        <v>6</v>
      </c>
      <c r="B97" s="328" t="s">
        <v>121</v>
      </c>
      <c r="C97" s="305">
        <f t="shared" ca="1" si="40"/>
        <v>24846983</v>
      </c>
      <c r="D97" s="306">
        <f ca="1">IFERROR(__xludf.DUMMYFUNCTION("IMPORTRANGE(""https://docs.google.com/spreadsheets/d/1C3CXT74ZlgGe6_JY_1olB1XN4rF0dxEuIIF-xsYjHgg/edit?usp=sharing"",""งบกองทุน!EB101"")"),0)</f>
        <v>0</v>
      </c>
      <c r="E97" s="306">
        <f ca="1">IFERROR(__xludf.DUMMYFUNCTION("IMPORTRANGE(""https://docs.google.com/spreadsheets/d/1C3CXT74ZlgGe6_JY_1olB1XN4rF0dxEuIIF-xsYjHgg/edit?usp=sharing"",""งบกองทุน!EJ101"")"),24846983)</f>
        <v>24846983</v>
      </c>
      <c r="F97" s="307">
        <f ca="1">IFERROR(__xludf.DUMMYFUNCTION("IMPORTRANGE(""https://docs.google.com/spreadsheets/d/1-fhVXPMm30suWK0-eslVgeT9cTVfCsDeUsq7Bk5UZE8/edit?usp=sharing"",""ทั้งประเทศ!M476"")"),778402.74)</f>
        <v>778402.74</v>
      </c>
      <c r="G97" s="307">
        <f t="shared" ca="1" si="1"/>
        <v>3.1327857390170872</v>
      </c>
      <c r="H97" s="306">
        <f ca="1">IFERROR(__xludf.DUMMYFUNCTION("IMPORTRANGE(""https://docs.google.com/spreadsheets/d/1C3CXT74ZlgGe6_JY_1olB1XN4rF0dxEuIIF-xsYjHgg/edit?usp=sharing"",""งบกองทุน!ED101"")"),0)</f>
        <v>0</v>
      </c>
      <c r="I97" s="306">
        <f t="shared" si="41"/>
        <v>0</v>
      </c>
      <c r="J97" s="307">
        <f t="shared" ca="1" si="3"/>
        <v>0</v>
      </c>
      <c r="K97" s="608">
        <v>0</v>
      </c>
      <c r="L97" s="306">
        <v>0</v>
      </c>
      <c r="M97" s="306">
        <v>0</v>
      </c>
      <c r="N97" s="306">
        <v>0</v>
      </c>
      <c r="O97" s="609">
        <v>0</v>
      </c>
      <c r="P97" s="339"/>
      <c r="Q97" s="339"/>
      <c r="R97" s="339"/>
      <c r="S97" s="339"/>
      <c r="T97" s="339"/>
      <c r="U97" s="339"/>
      <c r="V97" s="339"/>
      <c r="W97" s="339"/>
      <c r="X97" s="339"/>
      <c r="Y97" s="339"/>
      <c r="Z97" s="339"/>
    </row>
    <row r="98" spans="1:26" ht="24" hidden="1" customHeight="1">
      <c r="A98" s="327">
        <f t="shared" si="42"/>
        <v>7</v>
      </c>
      <c r="B98" s="328" t="s">
        <v>122</v>
      </c>
      <c r="C98" s="305">
        <f t="shared" ca="1" si="40"/>
        <v>0</v>
      </c>
      <c r="D98" s="306">
        <f ca="1">IFERROR(__xludf.DUMMYFUNCTION("IMPORTRANGE(""https://docs.google.com/spreadsheets/d/1C3CXT74ZlgGe6_JY_1olB1XN4rF0dxEuIIF-xsYjHgg/edit?usp=sharing"",""งบกองทุน!EB102"")"),0)</f>
        <v>0</v>
      </c>
      <c r="E98" s="306">
        <f ca="1">IFERROR(__xludf.DUMMYFUNCTION("IMPORTRANGE(""https://docs.google.com/spreadsheets/d/1C3CXT74ZlgGe6_JY_1olB1XN4rF0dxEuIIF-xsYjHgg/edit?usp=sharing"",""งบกองทุน!EC102"")"),0)</f>
        <v>0</v>
      </c>
      <c r="F98" s="307">
        <v>0</v>
      </c>
      <c r="G98" s="307">
        <f t="shared" ca="1" si="1"/>
        <v>0</v>
      </c>
      <c r="H98" s="306">
        <f ca="1">IFERROR(__xludf.DUMMYFUNCTION("IMPORTRANGE(""https://docs.google.com/spreadsheets/d/1C3CXT74ZlgGe6_JY_1olB1XN4rF0dxEuIIF-xsYjHgg/edit?usp=sharing"",""งบกองทุน!ED102"")"),0)</f>
        <v>0</v>
      </c>
      <c r="I98" s="306">
        <f t="shared" si="41"/>
        <v>0</v>
      </c>
      <c r="J98" s="307">
        <f t="shared" ca="1" si="3"/>
        <v>0</v>
      </c>
      <c r="K98" s="608">
        <v>0</v>
      </c>
      <c r="L98" s="306">
        <v>0</v>
      </c>
      <c r="M98" s="306">
        <v>0</v>
      </c>
      <c r="N98" s="306">
        <v>0</v>
      </c>
      <c r="O98" s="609">
        <v>0</v>
      </c>
      <c r="P98" s="339"/>
      <c r="Q98" s="339"/>
      <c r="R98" s="339"/>
      <c r="S98" s="339"/>
      <c r="T98" s="339"/>
      <c r="U98" s="339"/>
      <c r="V98" s="339"/>
      <c r="W98" s="339"/>
      <c r="X98" s="339"/>
      <c r="Y98" s="339"/>
      <c r="Z98" s="339"/>
    </row>
    <row r="99" spans="1:26" ht="24" hidden="1" customHeight="1">
      <c r="A99" s="327">
        <f t="shared" si="42"/>
        <v>8</v>
      </c>
      <c r="B99" s="328" t="s">
        <v>123</v>
      </c>
      <c r="C99" s="305">
        <f t="shared" ca="1" si="40"/>
        <v>0</v>
      </c>
      <c r="D99" s="306">
        <f ca="1">IFERROR(__xludf.DUMMYFUNCTION("IMPORTRANGE(""https://docs.google.com/spreadsheets/d/1C3CXT74ZlgGe6_JY_1olB1XN4rF0dxEuIIF-xsYjHgg/edit?usp=sharing"",""งบกองทุน!EB103"")"),0)</f>
        <v>0</v>
      </c>
      <c r="E99" s="306">
        <f ca="1">IFERROR(__xludf.DUMMYFUNCTION("IMPORTRANGE(""https://docs.google.com/spreadsheets/d/1C3CXT74ZlgGe6_JY_1olB1XN4rF0dxEuIIF-xsYjHgg/edit?usp=sharing"",""งบกองทุน!EC103"")"),0)</f>
        <v>0</v>
      </c>
      <c r="F99" s="307">
        <v>0</v>
      </c>
      <c r="G99" s="307">
        <f t="shared" ca="1" si="1"/>
        <v>0</v>
      </c>
      <c r="H99" s="306">
        <f ca="1">IFERROR(__xludf.DUMMYFUNCTION("IMPORTRANGE(""https://docs.google.com/spreadsheets/d/1C3CXT74ZlgGe6_JY_1olB1XN4rF0dxEuIIF-xsYjHgg/edit?usp=sharing"",""งบกองทุน!ED103"")"),0)</f>
        <v>0</v>
      </c>
      <c r="I99" s="306">
        <f t="shared" si="41"/>
        <v>0</v>
      </c>
      <c r="J99" s="307">
        <f t="shared" ca="1" si="3"/>
        <v>0</v>
      </c>
      <c r="K99" s="608">
        <v>0</v>
      </c>
      <c r="L99" s="306">
        <v>0</v>
      </c>
      <c r="M99" s="306">
        <v>0</v>
      </c>
      <c r="N99" s="306">
        <v>0</v>
      </c>
      <c r="O99" s="609">
        <v>0</v>
      </c>
      <c r="P99" s="339"/>
      <c r="Q99" s="339"/>
      <c r="R99" s="339"/>
      <c r="S99" s="339"/>
      <c r="T99" s="339"/>
      <c r="U99" s="339"/>
      <c r="V99" s="339"/>
      <c r="W99" s="339"/>
      <c r="X99" s="339"/>
      <c r="Y99" s="339"/>
      <c r="Z99" s="339"/>
    </row>
    <row r="100" spans="1:26" ht="24" hidden="1" customHeight="1">
      <c r="A100" s="327">
        <f t="shared" si="42"/>
        <v>9</v>
      </c>
      <c r="B100" s="328" t="s">
        <v>124</v>
      </c>
      <c r="C100" s="305">
        <f t="shared" ca="1" si="40"/>
        <v>0</v>
      </c>
      <c r="D100" s="306">
        <f ca="1">IFERROR(__xludf.DUMMYFUNCTION("IMPORTRANGE(""https://docs.google.com/spreadsheets/d/1C3CXT74ZlgGe6_JY_1olB1XN4rF0dxEuIIF-xsYjHgg/edit?usp=sharing"",""งบกองทุน!EB104"")"),0)</f>
        <v>0</v>
      </c>
      <c r="E100" s="306">
        <f ca="1">IFERROR(__xludf.DUMMYFUNCTION("IMPORTRANGE(""https://docs.google.com/spreadsheets/d/1C3CXT74ZlgGe6_JY_1olB1XN4rF0dxEuIIF-xsYjHgg/edit?usp=sharing"",""งบกองทุน!EC104"")"),0)</f>
        <v>0</v>
      </c>
      <c r="F100" s="307">
        <v>0</v>
      </c>
      <c r="G100" s="307">
        <f t="shared" ca="1" si="1"/>
        <v>0</v>
      </c>
      <c r="H100" s="306">
        <f ca="1">IFERROR(__xludf.DUMMYFUNCTION("IMPORTRANGE(""https://docs.google.com/spreadsheets/d/1C3CXT74ZlgGe6_JY_1olB1XN4rF0dxEuIIF-xsYjHgg/edit?usp=sharing"",""งบกองทุน!ED104"")"),0)</f>
        <v>0</v>
      </c>
      <c r="I100" s="306">
        <f t="shared" si="41"/>
        <v>0</v>
      </c>
      <c r="J100" s="307">
        <f t="shared" ca="1" si="3"/>
        <v>0</v>
      </c>
      <c r="K100" s="608">
        <v>0</v>
      </c>
      <c r="L100" s="306">
        <v>0</v>
      </c>
      <c r="M100" s="306">
        <v>0</v>
      </c>
      <c r="N100" s="306">
        <v>0</v>
      </c>
      <c r="O100" s="609">
        <v>0</v>
      </c>
      <c r="P100" s="339"/>
      <c r="Q100" s="339"/>
      <c r="R100" s="339"/>
      <c r="S100" s="339"/>
      <c r="T100" s="339"/>
      <c r="U100" s="339"/>
      <c r="V100" s="339"/>
      <c r="W100" s="339"/>
      <c r="X100" s="339"/>
      <c r="Y100" s="339"/>
      <c r="Z100" s="339"/>
    </row>
    <row r="101" spans="1:26" ht="24" hidden="1" customHeight="1">
      <c r="A101" s="327">
        <f t="shared" si="42"/>
        <v>10</v>
      </c>
      <c r="B101" s="328" t="s">
        <v>125</v>
      </c>
      <c r="C101" s="305">
        <f t="shared" ca="1" si="40"/>
        <v>0</v>
      </c>
      <c r="D101" s="306">
        <f ca="1">IFERROR(__xludf.DUMMYFUNCTION("IMPORTRANGE(""https://docs.google.com/spreadsheets/d/1C3CXT74ZlgGe6_JY_1olB1XN4rF0dxEuIIF-xsYjHgg/edit?usp=sharing"",""งบกองทุน!EB105"")"),0)</f>
        <v>0</v>
      </c>
      <c r="E101" s="306">
        <f ca="1">IFERROR(__xludf.DUMMYFUNCTION("IMPORTRANGE(""https://docs.google.com/spreadsheets/d/1C3CXT74ZlgGe6_JY_1olB1XN4rF0dxEuIIF-xsYjHgg/edit?usp=sharing"",""งบกองทุน!EC105"")"),0)</f>
        <v>0</v>
      </c>
      <c r="F101" s="307">
        <v>0</v>
      </c>
      <c r="G101" s="307">
        <f t="shared" ca="1" si="1"/>
        <v>0</v>
      </c>
      <c r="H101" s="306">
        <f ca="1">IFERROR(__xludf.DUMMYFUNCTION("IMPORTRANGE(""https://docs.google.com/spreadsheets/d/1C3CXT74ZlgGe6_JY_1olB1XN4rF0dxEuIIF-xsYjHgg/edit?usp=sharing"",""งบกองทุน!ED105"")"),0)</f>
        <v>0</v>
      </c>
      <c r="I101" s="306">
        <f t="shared" si="41"/>
        <v>0</v>
      </c>
      <c r="J101" s="307">
        <f t="shared" ca="1" si="3"/>
        <v>0</v>
      </c>
      <c r="K101" s="608">
        <v>0</v>
      </c>
      <c r="L101" s="306">
        <v>0</v>
      </c>
      <c r="M101" s="306">
        <v>0</v>
      </c>
      <c r="N101" s="306">
        <v>0</v>
      </c>
      <c r="O101" s="609">
        <v>0</v>
      </c>
      <c r="P101" s="339"/>
      <c r="Q101" s="339"/>
      <c r="R101" s="339"/>
      <c r="S101" s="339"/>
      <c r="T101" s="339"/>
      <c r="U101" s="339"/>
      <c r="V101" s="339"/>
      <c r="W101" s="339"/>
      <c r="X101" s="339"/>
      <c r="Y101" s="339"/>
      <c r="Z101" s="339"/>
    </row>
    <row r="102" spans="1:26" ht="24" hidden="1" customHeight="1">
      <c r="A102" s="327">
        <f t="shared" si="42"/>
        <v>11</v>
      </c>
      <c r="B102" s="328" t="s">
        <v>126</v>
      </c>
      <c r="C102" s="305">
        <f t="shared" ca="1" si="40"/>
        <v>0</v>
      </c>
      <c r="D102" s="306">
        <f ca="1">IFERROR(__xludf.DUMMYFUNCTION("IMPORTRANGE(""https://docs.google.com/spreadsheets/d/1C3CXT74ZlgGe6_JY_1olB1XN4rF0dxEuIIF-xsYjHgg/edit?usp=sharing"",""งบกองทุน!EB106"")"),0)</f>
        <v>0</v>
      </c>
      <c r="E102" s="306">
        <f ca="1">IFERROR(__xludf.DUMMYFUNCTION("IMPORTRANGE(""https://docs.google.com/spreadsheets/d/1C3CXT74ZlgGe6_JY_1olB1XN4rF0dxEuIIF-xsYjHgg/edit?usp=sharing"",""งบกองทุน!EC106"")"),0)</f>
        <v>0</v>
      </c>
      <c r="F102" s="307">
        <v>0</v>
      </c>
      <c r="G102" s="307">
        <f t="shared" ca="1" si="1"/>
        <v>0</v>
      </c>
      <c r="H102" s="306">
        <f ca="1">IFERROR(__xludf.DUMMYFUNCTION("IMPORTRANGE(""https://docs.google.com/spreadsheets/d/1C3CXT74ZlgGe6_JY_1olB1XN4rF0dxEuIIF-xsYjHgg/edit?usp=sharing"",""งบกองทุน!ED106"")"),0)</f>
        <v>0</v>
      </c>
      <c r="I102" s="306">
        <f t="shared" si="41"/>
        <v>0</v>
      </c>
      <c r="J102" s="307">
        <f t="shared" ca="1" si="3"/>
        <v>0</v>
      </c>
      <c r="K102" s="608">
        <v>0</v>
      </c>
      <c r="L102" s="306">
        <v>0</v>
      </c>
      <c r="M102" s="306">
        <v>0</v>
      </c>
      <c r="N102" s="306">
        <v>0</v>
      </c>
      <c r="O102" s="609">
        <v>0</v>
      </c>
      <c r="P102" s="339"/>
      <c r="Q102" s="339"/>
      <c r="R102" s="339"/>
      <c r="S102" s="339"/>
      <c r="T102" s="339"/>
      <c r="U102" s="339"/>
      <c r="V102" s="339"/>
      <c r="W102" s="339"/>
      <c r="X102" s="339"/>
      <c r="Y102" s="339"/>
      <c r="Z102" s="339"/>
    </row>
    <row r="103" spans="1:26" ht="24" hidden="1" customHeight="1">
      <c r="A103" s="327">
        <f t="shared" si="42"/>
        <v>12</v>
      </c>
      <c r="B103" s="328" t="s">
        <v>127</v>
      </c>
      <c r="C103" s="305">
        <f t="shared" ca="1" si="40"/>
        <v>0</v>
      </c>
      <c r="D103" s="306">
        <f ca="1">IFERROR(__xludf.DUMMYFUNCTION("IMPORTRANGE(""https://docs.google.com/spreadsheets/d/1C3CXT74ZlgGe6_JY_1olB1XN4rF0dxEuIIF-xsYjHgg/edit?usp=sharing"",""งบกองทุน!EB107"")"),0)</f>
        <v>0</v>
      </c>
      <c r="E103" s="306">
        <f ca="1">IFERROR(__xludf.DUMMYFUNCTION("IMPORTRANGE(""https://docs.google.com/spreadsheets/d/1C3CXT74ZlgGe6_JY_1olB1XN4rF0dxEuIIF-xsYjHgg/edit?usp=sharing"",""งบกองทุน!EC107"")"),0)</f>
        <v>0</v>
      </c>
      <c r="F103" s="307">
        <v>0</v>
      </c>
      <c r="G103" s="307">
        <f t="shared" ca="1" si="1"/>
        <v>0</v>
      </c>
      <c r="H103" s="306">
        <f ca="1">IFERROR(__xludf.DUMMYFUNCTION("IMPORTRANGE(""https://docs.google.com/spreadsheets/d/1C3CXT74ZlgGe6_JY_1olB1XN4rF0dxEuIIF-xsYjHgg/edit?usp=sharing"",""งบกองทุน!ED107"")"),0)</f>
        <v>0</v>
      </c>
      <c r="I103" s="306">
        <f t="shared" si="41"/>
        <v>0</v>
      </c>
      <c r="J103" s="307">
        <f t="shared" ca="1" si="3"/>
        <v>0</v>
      </c>
      <c r="K103" s="608">
        <v>0</v>
      </c>
      <c r="L103" s="306">
        <v>0</v>
      </c>
      <c r="M103" s="306">
        <v>0</v>
      </c>
      <c r="N103" s="306">
        <v>0</v>
      </c>
      <c r="O103" s="609">
        <v>0</v>
      </c>
      <c r="P103" s="339"/>
      <c r="Q103" s="339"/>
      <c r="R103" s="339"/>
      <c r="S103" s="339"/>
      <c r="T103" s="339"/>
      <c r="U103" s="339"/>
      <c r="V103" s="339"/>
      <c r="W103" s="339"/>
      <c r="X103" s="339"/>
      <c r="Y103" s="339"/>
      <c r="Z103" s="339"/>
    </row>
    <row r="104" spans="1:26" ht="24" hidden="1" customHeight="1">
      <c r="A104" s="327">
        <f t="shared" si="42"/>
        <v>13</v>
      </c>
      <c r="B104" s="328" t="s">
        <v>128</v>
      </c>
      <c r="C104" s="305">
        <f t="shared" ca="1" si="40"/>
        <v>0</v>
      </c>
      <c r="D104" s="306">
        <f ca="1">IFERROR(__xludf.DUMMYFUNCTION("IMPORTRANGE(""https://docs.google.com/spreadsheets/d/1C3CXT74ZlgGe6_JY_1olB1XN4rF0dxEuIIF-xsYjHgg/edit?usp=sharing"",""งบกองทุน!EB108"")"),0)</f>
        <v>0</v>
      </c>
      <c r="E104" s="306">
        <f ca="1">IFERROR(__xludf.DUMMYFUNCTION("IMPORTRANGE(""https://docs.google.com/spreadsheets/d/1C3CXT74ZlgGe6_JY_1olB1XN4rF0dxEuIIF-xsYjHgg/edit?usp=sharing"",""งบกองทุน!EC108"")"),0)</f>
        <v>0</v>
      </c>
      <c r="F104" s="307">
        <v>0</v>
      </c>
      <c r="G104" s="307">
        <f t="shared" ca="1" si="1"/>
        <v>0</v>
      </c>
      <c r="H104" s="306">
        <f ca="1">IFERROR(__xludf.DUMMYFUNCTION("IMPORTRANGE(""https://docs.google.com/spreadsheets/d/1C3CXT74ZlgGe6_JY_1olB1XN4rF0dxEuIIF-xsYjHgg/edit?usp=sharing"",""งบกองทุน!ED108"")"),0)</f>
        <v>0</v>
      </c>
      <c r="I104" s="306">
        <f t="shared" si="41"/>
        <v>0</v>
      </c>
      <c r="J104" s="307">
        <f t="shared" ca="1" si="3"/>
        <v>0</v>
      </c>
      <c r="K104" s="608">
        <v>0</v>
      </c>
      <c r="L104" s="306">
        <v>0</v>
      </c>
      <c r="M104" s="306">
        <v>0</v>
      </c>
      <c r="N104" s="306">
        <v>0</v>
      </c>
      <c r="O104" s="609">
        <v>0</v>
      </c>
      <c r="P104" s="339"/>
      <c r="Q104" s="339"/>
      <c r="R104" s="339"/>
      <c r="S104" s="339"/>
      <c r="T104" s="339"/>
      <c r="U104" s="339"/>
      <c r="V104" s="339"/>
      <c r="W104" s="339"/>
      <c r="X104" s="339"/>
      <c r="Y104" s="339"/>
      <c r="Z104" s="339"/>
    </row>
    <row r="105" spans="1:26" ht="24" hidden="1" customHeight="1">
      <c r="A105" s="329">
        <f t="shared" si="42"/>
        <v>14</v>
      </c>
      <c r="B105" s="330" t="s">
        <v>129</v>
      </c>
      <c r="C105" s="312">
        <f t="shared" ca="1" si="40"/>
        <v>0</v>
      </c>
      <c r="D105" s="313">
        <f ca="1">IFERROR(__xludf.DUMMYFUNCTION("IMPORTRANGE(""https://docs.google.com/spreadsheets/d/1C3CXT74ZlgGe6_JY_1olB1XN4rF0dxEuIIF-xsYjHgg/edit?usp=sharing"",""งบกองทุน!EB109"")"),0)</f>
        <v>0</v>
      </c>
      <c r="E105" s="313">
        <f ca="1">IFERROR(__xludf.DUMMYFUNCTION("IMPORTRANGE(""https://docs.google.com/spreadsheets/d/1C3CXT74ZlgGe6_JY_1olB1XN4rF0dxEuIIF-xsYjHgg/edit?usp=sharing"",""งบกองทุน!EC109"")"),0)</f>
        <v>0</v>
      </c>
      <c r="F105" s="314">
        <v>0</v>
      </c>
      <c r="G105" s="314">
        <f t="shared" ca="1" si="1"/>
        <v>0</v>
      </c>
      <c r="H105" s="313">
        <f ca="1">IFERROR(__xludf.DUMMYFUNCTION("IMPORTRANGE(""https://docs.google.com/spreadsheets/d/1C3CXT74ZlgGe6_JY_1olB1XN4rF0dxEuIIF-xsYjHgg/edit?usp=sharing"",""งบกองทุน!ED109"")"),0)</f>
        <v>0</v>
      </c>
      <c r="I105" s="313">
        <f t="shared" si="41"/>
        <v>0</v>
      </c>
      <c r="J105" s="314">
        <f t="shared" ca="1" si="3"/>
        <v>0</v>
      </c>
      <c r="K105" s="610">
        <v>0</v>
      </c>
      <c r="L105" s="313">
        <v>0</v>
      </c>
      <c r="M105" s="313">
        <v>0</v>
      </c>
      <c r="N105" s="313">
        <v>0</v>
      </c>
      <c r="O105" s="611">
        <v>0</v>
      </c>
      <c r="P105" s="339"/>
      <c r="Q105" s="339"/>
      <c r="R105" s="339"/>
      <c r="S105" s="339"/>
      <c r="T105" s="339"/>
      <c r="U105" s="339"/>
      <c r="V105" s="339"/>
      <c r="W105" s="339"/>
      <c r="X105" s="339"/>
      <c r="Y105" s="339"/>
      <c r="Z105" s="339"/>
    </row>
    <row r="106" spans="1:26" ht="27.75" hidden="1" customHeight="1">
      <c r="A106" s="791" t="s">
        <v>130</v>
      </c>
      <c r="B106" s="652"/>
      <c r="C106" s="322">
        <f t="shared" ref="C106:F106" ca="1" si="43">+C107+C108+C109+C110+C111+C112+C113+C114</f>
        <v>0</v>
      </c>
      <c r="D106" s="323">
        <f t="shared" ca="1" si="43"/>
        <v>0</v>
      </c>
      <c r="E106" s="323">
        <f t="shared" ca="1" si="43"/>
        <v>0</v>
      </c>
      <c r="F106" s="323">
        <f t="shared" si="43"/>
        <v>0</v>
      </c>
      <c r="G106" s="324">
        <f t="shared" ca="1" si="1"/>
        <v>0</v>
      </c>
      <c r="H106" s="323">
        <f t="shared" ref="H106:I106" ca="1" si="44">+H107+H108+H109+H110+H111+H112+H113+H114</f>
        <v>0</v>
      </c>
      <c r="I106" s="323">
        <f t="shared" si="44"/>
        <v>0</v>
      </c>
      <c r="J106" s="324">
        <f t="shared" ca="1" si="3"/>
        <v>0</v>
      </c>
      <c r="K106" s="402">
        <f t="shared" ref="K106:O106" si="45">+K107+K108+K109+K110+K111+K112+K113+K114</f>
        <v>0</v>
      </c>
      <c r="L106" s="323">
        <f t="shared" si="45"/>
        <v>0</v>
      </c>
      <c r="M106" s="323">
        <f t="shared" si="45"/>
        <v>0</v>
      </c>
      <c r="N106" s="323">
        <f t="shared" si="45"/>
        <v>0</v>
      </c>
      <c r="O106" s="613">
        <f t="shared" si="45"/>
        <v>0</v>
      </c>
      <c r="P106" s="339"/>
      <c r="Q106" s="339"/>
      <c r="R106" s="339"/>
      <c r="S106" s="339"/>
      <c r="T106" s="339"/>
      <c r="U106" s="339"/>
      <c r="V106" s="339"/>
      <c r="W106" s="339"/>
      <c r="X106" s="339"/>
      <c r="Y106" s="339"/>
      <c r="Z106" s="339"/>
    </row>
    <row r="107" spans="1:26" ht="24" hidden="1" customHeight="1">
      <c r="A107" s="325">
        <v>1</v>
      </c>
      <c r="B107" s="326" t="s">
        <v>131</v>
      </c>
      <c r="C107" s="295">
        <f t="shared" ref="C107:C114" ca="1" si="46">+D107+E107</f>
        <v>0</v>
      </c>
      <c r="D107" s="296">
        <f ca="1">IFERROR(__xludf.DUMMYFUNCTION("IMPORTRANGE(""https://docs.google.com/spreadsheets/d/1C3CXT74ZlgGe6_JY_1olB1XN4rF0dxEuIIF-xsYjHgg/edit?usp=sharing"",""งบกองทุน!EB111"")"),0)</f>
        <v>0</v>
      </c>
      <c r="E107" s="296">
        <f ca="1">IFERROR(__xludf.DUMMYFUNCTION("IMPORTRANGE(""https://docs.google.com/spreadsheets/d/1C3CXT74ZlgGe6_JY_1olB1XN4rF0dxEuIIF-xsYjHgg/edit?usp=sharing"",""งบกองทุน!EC111"")"),0)</f>
        <v>0</v>
      </c>
      <c r="F107" s="297">
        <v>0</v>
      </c>
      <c r="G107" s="297">
        <f t="shared" ca="1" si="1"/>
        <v>0</v>
      </c>
      <c r="H107" s="296">
        <f ca="1">IFERROR(__xludf.DUMMYFUNCTION("IMPORTRANGE(""https://docs.google.com/spreadsheets/d/1C3CXT74ZlgGe6_JY_1olB1XN4rF0dxEuIIF-xsYjHgg/edit?usp=sharing"",""งบกองทุน!ED111"")"),0)</f>
        <v>0</v>
      </c>
      <c r="I107" s="296">
        <f t="shared" ref="I107:I114" si="47">SUM(L107,M107,N107,O107)</f>
        <v>0</v>
      </c>
      <c r="J107" s="297">
        <f t="shared" ca="1" si="3"/>
        <v>0</v>
      </c>
      <c r="K107" s="606">
        <v>0</v>
      </c>
      <c r="L107" s="296">
        <v>0</v>
      </c>
      <c r="M107" s="296">
        <v>0</v>
      </c>
      <c r="N107" s="296">
        <v>0</v>
      </c>
      <c r="O107" s="607">
        <v>0</v>
      </c>
      <c r="P107" s="339"/>
      <c r="Q107" s="339"/>
      <c r="R107" s="339"/>
      <c r="S107" s="339"/>
      <c r="T107" s="339"/>
      <c r="U107" s="339"/>
      <c r="V107" s="339"/>
      <c r="W107" s="339"/>
      <c r="X107" s="339"/>
      <c r="Y107" s="339"/>
      <c r="Z107" s="339"/>
    </row>
    <row r="108" spans="1:26" ht="24" hidden="1" customHeight="1">
      <c r="A108" s="327">
        <v>2</v>
      </c>
      <c r="B108" s="328" t="s">
        <v>132</v>
      </c>
      <c r="C108" s="305">
        <f t="shared" ca="1" si="46"/>
        <v>0</v>
      </c>
      <c r="D108" s="306">
        <f ca="1">IFERROR(__xludf.DUMMYFUNCTION("IMPORTRANGE(""https://docs.google.com/spreadsheets/d/1C3CXT74ZlgGe6_JY_1olB1XN4rF0dxEuIIF-xsYjHgg/edit?usp=sharing"",""งบกองทุน!EB112"")"),0)</f>
        <v>0</v>
      </c>
      <c r="E108" s="306">
        <f ca="1">IFERROR(__xludf.DUMMYFUNCTION("IMPORTRANGE(""https://docs.google.com/spreadsheets/d/1C3CXT74ZlgGe6_JY_1olB1XN4rF0dxEuIIF-xsYjHgg/edit?usp=sharing"",""งบกองทุน!EC112"")"),0)</f>
        <v>0</v>
      </c>
      <c r="F108" s="307">
        <v>0</v>
      </c>
      <c r="G108" s="307">
        <f t="shared" ca="1" si="1"/>
        <v>0</v>
      </c>
      <c r="H108" s="306">
        <f ca="1">IFERROR(__xludf.DUMMYFUNCTION("IMPORTRANGE(""https://docs.google.com/spreadsheets/d/1C3CXT74ZlgGe6_JY_1olB1XN4rF0dxEuIIF-xsYjHgg/edit?usp=sharing"",""งบกองทุน!ED112"")"),0)</f>
        <v>0</v>
      </c>
      <c r="I108" s="306">
        <f t="shared" si="47"/>
        <v>0</v>
      </c>
      <c r="J108" s="307">
        <f t="shared" ca="1" si="3"/>
        <v>0</v>
      </c>
      <c r="K108" s="608">
        <v>0</v>
      </c>
      <c r="L108" s="306">
        <v>0</v>
      </c>
      <c r="M108" s="306">
        <v>0</v>
      </c>
      <c r="N108" s="306">
        <v>0</v>
      </c>
      <c r="O108" s="609">
        <v>0</v>
      </c>
      <c r="P108" s="339"/>
      <c r="Q108" s="339"/>
      <c r="R108" s="339"/>
      <c r="S108" s="339"/>
      <c r="T108" s="339"/>
      <c r="U108" s="339"/>
      <c r="V108" s="339"/>
      <c r="W108" s="339"/>
      <c r="X108" s="339"/>
      <c r="Y108" s="339"/>
      <c r="Z108" s="339"/>
    </row>
    <row r="109" spans="1:26" ht="24" hidden="1" customHeight="1">
      <c r="A109" s="327">
        <v>3</v>
      </c>
      <c r="B109" s="328" t="s">
        <v>133</v>
      </c>
      <c r="C109" s="305">
        <f t="shared" ca="1" si="46"/>
        <v>0</v>
      </c>
      <c r="D109" s="306">
        <f ca="1">IFERROR(__xludf.DUMMYFUNCTION("IMPORTRANGE(""https://docs.google.com/spreadsheets/d/1C3CXT74ZlgGe6_JY_1olB1XN4rF0dxEuIIF-xsYjHgg/edit?usp=sharing"",""งบกองทุน!EB113"")"),0)</f>
        <v>0</v>
      </c>
      <c r="E109" s="306">
        <f ca="1">IFERROR(__xludf.DUMMYFUNCTION("IMPORTRANGE(""https://docs.google.com/spreadsheets/d/1C3CXT74ZlgGe6_JY_1olB1XN4rF0dxEuIIF-xsYjHgg/edit?usp=sharing"",""งบกองทุน!EC113"")"),0)</f>
        <v>0</v>
      </c>
      <c r="F109" s="307">
        <v>0</v>
      </c>
      <c r="G109" s="307">
        <f t="shared" ca="1" si="1"/>
        <v>0</v>
      </c>
      <c r="H109" s="306">
        <f ca="1">IFERROR(__xludf.DUMMYFUNCTION("IMPORTRANGE(""https://docs.google.com/spreadsheets/d/1C3CXT74ZlgGe6_JY_1olB1XN4rF0dxEuIIF-xsYjHgg/edit?usp=sharing"",""งบกองทุน!ED113"")"),0)</f>
        <v>0</v>
      </c>
      <c r="I109" s="306">
        <f t="shared" si="47"/>
        <v>0</v>
      </c>
      <c r="J109" s="307">
        <f t="shared" ca="1" si="3"/>
        <v>0</v>
      </c>
      <c r="K109" s="608">
        <v>0</v>
      </c>
      <c r="L109" s="306">
        <v>0</v>
      </c>
      <c r="M109" s="306">
        <v>0</v>
      </c>
      <c r="N109" s="306">
        <v>0</v>
      </c>
      <c r="O109" s="609">
        <v>0</v>
      </c>
      <c r="P109" s="339"/>
      <c r="Q109" s="339"/>
      <c r="R109" s="339"/>
      <c r="S109" s="339"/>
      <c r="T109" s="339"/>
      <c r="U109" s="339"/>
      <c r="V109" s="339"/>
      <c r="W109" s="339"/>
      <c r="X109" s="339"/>
      <c r="Y109" s="339"/>
      <c r="Z109" s="339"/>
    </row>
    <row r="110" spans="1:26" ht="24" hidden="1" customHeight="1">
      <c r="A110" s="327">
        <f t="shared" ref="A110:A112" si="48">+A109+1</f>
        <v>4</v>
      </c>
      <c r="B110" s="328" t="s">
        <v>134</v>
      </c>
      <c r="C110" s="305">
        <f t="shared" ca="1" si="46"/>
        <v>0</v>
      </c>
      <c r="D110" s="306">
        <f ca="1">IFERROR(__xludf.DUMMYFUNCTION("IMPORTRANGE(""https://docs.google.com/spreadsheets/d/1C3CXT74ZlgGe6_JY_1olB1XN4rF0dxEuIIF-xsYjHgg/edit?usp=sharing"",""งบกองทุน!EB114"")"),0)</f>
        <v>0</v>
      </c>
      <c r="E110" s="306">
        <f ca="1">IFERROR(__xludf.DUMMYFUNCTION("IMPORTRANGE(""https://docs.google.com/spreadsheets/d/1C3CXT74ZlgGe6_JY_1olB1XN4rF0dxEuIIF-xsYjHgg/edit?usp=sharing"",""งบกองทุน!EC114"")"),0)</f>
        <v>0</v>
      </c>
      <c r="F110" s="307">
        <v>0</v>
      </c>
      <c r="G110" s="307">
        <f t="shared" ca="1" si="1"/>
        <v>0</v>
      </c>
      <c r="H110" s="306">
        <f ca="1">IFERROR(__xludf.DUMMYFUNCTION("IMPORTRANGE(""https://docs.google.com/spreadsheets/d/1C3CXT74ZlgGe6_JY_1olB1XN4rF0dxEuIIF-xsYjHgg/edit?usp=sharing"",""งบกองทุน!ED114"")"),0)</f>
        <v>0</v>
      </c>
      <c r="I110" s="306">
        <f t="shared" si="47"/>
        <v>0</v>
      </c>
      <c r="J110" s="307">
        <f t="shared" ca="1" si="3"/>
        <v>0</v>
      </c>
      <c r="K110" s="608">
        <v>0</v>
      </c>
      <c r="L110" s="306">
        <v>0</v>
      </c>
      <c r="M110" s="306">
        <v>0</v>
      </c>
      <c r="N110" s="306">
        <v>0</v>
      </c>
      <c r="O110" s="609">
        <v>0</v>
      </c>
      <c r="P110" s="339"/>
      <c r="Q110" s="339"/>
      <c r="R110" s="339"/>
      <c r="S110" s="339"/>
      <c r="T110" s="339"/>
      <c r="U110" s="339"/>
      <c r="V110" s="339"/>
      <c r="W110" s="339"/>
      <c r="X110" s="339"/>
      <c r="Y110" s="339"/>
      <c r="Z110" s="339"/>
    </row>
    <row r="111" spans="1:26" ht="24" hidden="1" customHeight="1">
      <c r="A111" s="327">
        <f t="shared" si="48"/>
        <v>5</v>
      </c>
      <c r="B111" s="328" t="s">
        <v>135</v>
      </c>
      <c r="C111" s="305">
        <f t="shared" ca="1" si="46"/>
        <v>0</v>
      </c>
      <c r="D111" s="306">
        <f ca="1">IFERROR(__xludf.DUMMYFUNCTION("IMPORTRANGE(""https://docs.google.com/spreadsheets/d/1C3CXT74ZlgGe6_JY_1olB1XN4rF0dxEuIIF-xsYjHgg/edit?usp=sharing"",""งบกองทุน!EB115"")"),0)</f>
        <v>0</v>
      </c>
      <c r="E111" s="306">
        <f ca="1">IFERROR(__xludf.DUMMYFUNCTION("IMPORTRANGE(""https://docs.google.com/spreadsheets/d/1C3CXT74ZlgGe6_JY_1olB1XN4rF0dxEuIIF-xsYjHgg/edit?usp=sharing"",""งบกองทุน!EC115"")"),0)</f>
        <v>0</v>
      </c>
      <c r="F111" s="307">
        <v>0</v>
      </c>
      <c r="G111" s="307">
        <f t="shared" ca="1" si="1"/>
        <v>0</v>
      </c>
      <c r="H111" s="306">
        <f ca="1">IFERROR(__xludf.DUMMYFUNCTION("IMPORTRANGE(""https://docs.google.com/spreadsheets/d/1C3CXT74ZlgGe6_JY_1olB1XN4rF0dxEuIIF-xsYjHgg/edit?usp=sharing"",""งบกองทุน!ED115"")"),0)</f>
        <v>0</v>
      </c>
      <c r="I111" s="306">
        <f t="shared" si="47"/>
        <v>0</v>
      </c>
      <c r="J111" s="307">
        <f t="shared" ca="1" si="3"/>
        <v>0</v>
      </c>
      <c r="K111" s="608">
        <v>0</v>
      </c>
      <c r="L111" s="306">
        <v>0</v>
      </c>
      <c r="M111" s="306">
        <v>0</v>
      </c>
      <c r="N111" s="306">
        <v>0</v>
      </c>
      <c r="O111" s="609">
        <v>0</v>
      </c>
      <c r="P111" s="339"/>
      <c r="Q111" s="339"/>
      <c r="R111" s="339"/>
      <c r="S111" s="339"/>
      <c r="T111" s="339"/>
      <c r="U111" s="339"/>
      <c r="V111" s="339"/>
      <c r="W111" s="339"/>
      <c r="X111" s="339"/>
      <c r="Y111" s="339"/>
      <c r="Z111" s="339"/>
    </row>
    <row r="112" spans="1:26" ht="24" hidden="1" customHeight="1">
      <c r="A112" s="327">
        <f t="shared" si="48"/>
        <v>6</v>
      </c>
      <c r="B112" s="328" t="s">
        <v>136</v>
      </c>
      <c r="C112" s="305">
        <f t="shared" ca="1" si="46"/>
        <v>0</v>
      </c>
      <c r="D112" s="306">
        <f ca="1">IFERROR(__xludf.DUMMYFUNCTION("IMPORTRANGE(""https://docs.google.com/spreadsheets/d/1C3CXT74ZlgGe6_JY_1olB1XN4rF0dxEuIIF-xsYjHgg/edit?usp=sharing"",""งบกองทุน!EB116"")"),0)</f>
        <v>0</v>
      </c>
      <c r="E112" s="306">
        <f ca="1">IFERROR(__xludf.DUMMYFUNCTION("IMPORTRANGE(""https://docs.google.com/spreadsheets/d/1C3CXT74ZlgGe6_JY_1olB1XN4rF0dxEuIIF-xsYjHgg/edit?usp=sharing"",""งบกองทุน!EC116"")"),0)</f>
        <v>0</v>
      </c>
      <c r="F112" s="307">
        <v>0</v>
      </c>
      <c r="G112" s="307">
        <f t="shared" ca="1" si="1"/>
        <v>0</v>
      </c>
      <c r="H112" s="306">
        <f ca="1">IFERROR(__xludf.DUMMYFUNCTION("IMPORTRANGE(""https://docs.google.com/spreadsheets/d/1C3CXT74ZlgGe6_JY_1olB1XN4rF0dxEuIIF-xsYjHgg/edit?usp=sharing"",""งบกองทุน!ED116"")"),0)</f>
        <v>0</v>
      </c>
      <c r="I112" s="306">
        <f t="shared" si="47"/>
        <v>0</v>
      </c>
      <c r="J112" s="307">
        <f t="shared" ca="1" si="3"/>
        <v>0</v>
      </c>
      <c r="K112" s="608">
        <v>0</v>
      </c>
      <c r="L112" s="306">
        <v>0</v>
      </c>
      <c r="M112" s="306">
        <v>0</v>
      </c>
      <c r="N112" s="306">
        <v>0</v>
      </c>
      <c r="O112" s="609">
        <v>0</v>
      </c>
      <c r="P112" s="339"/>
      <c r="Q112" s="339"/>
      <c r="R112" s="339"/>
      <c r="S112" s="339"/>
      <c r="T112" s="339"/>
      <c r="U112" s="339"/>
      <c r="V112" s="339"/>
      <c r="W112" s="339"/>
      <c r="X112" s="339"/>
      <c r="Y112" s="339"/>
      <c r="Z112" s="339"/>
    </row>
    <row r="113" spans="1:26" ht="24" hidden="1" customHeight="1">
      <c r="A113" s="327">
        <v>7</v>
      </c>
      <c r="B113" s="328" t="s">
        <v>140</v>
      </c>
      <c r="C113" s="305">
        <f t="shared" ca="1" si="46"/>
        <v>0</v>
      </c>
      <c r="D113" s="306">
        <f ca="1">IFERROR(__xludf.DUMMYFUNCTION("IMPORTRANGE(""https://docs.google.com/spreadsheets/d/1C3CXT74ZlgGe6_JY_1olB1XN4rF0dxEuIIF-xsYjHgg/edit?usp=sharing"",""งบกองทุน!EB117"")"),0)</f>
        <v>0</v>
      </c>
      <c r="E113" s="306">
        <f ca="1">IFERROR(__xludf.DUMMYFUNCTION("IMPORTRANGE(""https://docs.google.com/spreadsheets/d/1C3CXT74ZlgGe6_JY_1olB1XN4rF0dxEuIIF-xsYjHgg/edit?usp=sharing"",""งบกองทุน!EC117"")"),0)</f>
        <v>0</v>
      </c>
      <c r="F113" s="307">
        <v>0</v>
      </c>
      <c r="G113" s="307">
        <f t="shared" ca="1" si="1"/>
        <v>0</v>
      </c>
      <c r="H113" s="306">
        <f ca="1">IFERROR(__xludf.DUMMYFUNCTION("IMPORTRANGE(""https://docs.google.com/spreadsheets/d/1C3CXT74ZlgGe6_JY_1olB1XN4rF0dxEuIIF-xsYjHgg/edit?usp=sharing"",""งบกองทุน!ED117"")"),0)</f>
        <v>0</v>
      </c>
      <c r="I113" s="306">
        <f t="shared" si="47"/>
        <v>0</v>
      </c>
      <c r="J113" s="307">
        <f t="shared" ca="1" si="3"/>
        <v>0</v>
      </c>
      <c r="K113" s="608">
        <v>0</v>
      </c>
      <c r="L113" s="306">
        <v>0</v>
      </c>
      <c r="M113" s="306">
        <v>0</v>
      </c>
      <c r="N113" s="306">
        <v>0</v>
      </c>
      <c r="O113" s="609">
        <v>0</v>
      </c>
      <c r="P113" s="339"/>
      <c r="Q113" s="339"/>
      <c r="R113" s="339"/>
      <c r="S113" s="339"/>
      <c r="T113" s="339"/>
      <c r="U113" s="339"/>
      <c r="V113" s="339"/>
      <c r="W113" s="339"/>
      <c r="X113" s="339"/>
      <c r="Y113" s="339"/>
      <c r="Z113" s="339"/>
    </row>
    <row r="114" spans="1:26" ht="24" hidden="1" customHeight="1">
      <c r="A114" s="329">
        <v>8</v>
      </c>
      <c r="B114" s="330" t="s">
        <v>141</v>
      </c>
      <c r="C114" s="331">
        <f t="shared" ca="1" si="46"/>
        <v>0</v>
      </c>
      <c r="D114" s="332">
        <f ca="1">IFERROR(__xludf.DUMMYFUNCTION("IMPORTRANGE(""https://docs.google.com/spreadsheets/d/1C3CXT74ZlgGe6_JY_1olB1XN4rF0dxEuIIF-xsYjHgg/edit?usp=sharing"",""งบกองทุน!EB118"")"),0)</f>
        <v>0</v>
      </c>
      <c r="E114" s="332">
        <f ca="1">IFERROR(__xludf.DUMMYFUNCTION("IMPORTRANGE(""https://docs.google.com/spreadsheets/d/1C3CXT74ZlgGe6_JY_1olB1XN4rF0dxEuIIF-xsYjHgg/edit?usp=sharing"",""งบกองทุน!EC118"")"),0)</f>
        <v>0</v>
      </c>
      <c r="F114" s="333">
        <v>0</v>
      </c>
      <c r="G114" s="333">
        <f t="shared" ca="1" si="1"/>
        <v>0</v>
      </c>
      <c r="H114" s="332">
        <f ca="1">IFERROR(__xludf.DUMMYFUNCTION("IMPORTRANGE(""https://docs.google.com/spreadsheets/d/1C3CXT74ZlgGe6_JY_1olB1XN4rF0dxEuIIF-xsYjHgg/edit?usp=sharing"",""งบกองทุน!ED118"")"),0)</f>
        <v>0</v>
      </c>
      <c r="I114" s="332">
        <f t="shared" si="47"/>
        <v>0</v>
      </c>
      <c r="J114" s="333">
        <f t="shared" ca="1" si="3"/>
        <v>0</v>
      </c>
      <c r="K114" s="614">
        <v>0</v>
      </c>
      <c r="L114" s="332">
        <v>0</v>
      </c>
      <c r="M114" s="332">
        <v>0</v>
      </c>
      <c r="N114" s="332">
        <v>0</v>
      </c>
      <c r="O114" s="615">
        <v>0</v>
      </c>
      <c r="P114" s="339"/>
      <c r="Q114" s="339"/>
      <c r="R114" s="339"/>
      <c r="S114" s="339"/>
      <c r="T114" s="339"/>
      <c r="U114" s="339"/>
      <c r="V114" s="339"/>
      <c r="W114" s="339"/>
      <c r="X114" s="339"/>
      <c r="Y114" s="339"/>
      <c r="Z114" s="339"/>
    </row>
    <row r="115" spans="1:26" ht="24" customHeight="1">
      <c r="A115" s="336"/>
      <c r="B115" s="336"/>
      <c r="C115" s="336"/>
      <c r="D115" s="336"/>
      <c r="E115" s="336"/>
      <c r="F115" s="336"/>
      <c r="G115" s="336"/>
      <c r="H115" s="336"/>
      <c r="I115" s="338"/>
      <c r="J115" s="336"/>
      <c r="K115" s="338"/>
      <c r="L115" s="338"/>
      <c r="M115" s="338"/>
      <c r="N115" s="338"/>
      <c r="O115" s="338"/>
      <c r="P115" s="339"/>
      <c r="Q115" s="339"/>
      <c r="R115" s="339"/>
      <c r="S115" s="339"/>
      <c r="T115" s="339"/>
      <c r="U115" s="339"/>
      <c r="V115" s="339"/>
      <c r="W115" s="339"/>
      <c r="X115" s="339"/>
      <c r="Y115" s="339"/>
      <c r="Z115" s="339"/>
    </row>
    <row r="116" spans="1:26" ht="24" customHeight="1">
      <c r="A116" s="336"/>
      <c r="B116" s="336"/>
      <c r="C116" s="336"/>
      <c r="D116" s="336"/>
      <c r="E116" s="336"/>
      <c r="F116" s="336"/>
      <c r="G116" s="336"/>
      <c r="H116" s="336"/>
      <c r="I116" s="338"/>
      <c r="J116" s="336"/>
      <c r="K116" s="338"/>
      <c r="L116" s="338"/>
      <c r="M116" s="338"/>
      <c r="N116" s="338"/>
      <c r="O116" s="338"/>
      <c r="P116" s="339"/>
      <c r="Q116" s="339"/>
      <c r="R116" s="339"/>
      <c r="S116" s="339"/>
      <c r="T116" s="339"/>
      <c r="U116" s="339"/>
      <c r="V116" s="339"/>
      <c r="W116" s="339"/>
      <c r="X116" s="339"/>
      <c r="Y116" s="339"/>
      <c r="Z116" s="339"/>
    </row>
    <row r="117" spans="1:26" ht="24" customHeight="1">
      <c r="A117" s="336"/>
      <c r="B117" s="336"/>
      <c r="C117" s="336"/>
      <c r="D117" s="336"/>
      <c r="E117" s="336"/>
      <c r="F117" s="336"/>
      <c r="G117" s="336"/>
      <c r="H117" s="336"/>
      <c r="I117" s="338"/>
      <c r="J117" s="336"/>
      <c r="K117" s="338"/>
      <c r="L117" s="338"/>
      <c r="M117" s="338"/>
      <c r="N117" s="338"/>
      <c r="O117" s="338"/>
      <c r="P117" s="339"/>
      <c r="Q117" s="339"/>
      <c r="R117" s="339"/>
      <c r="S117" s="339"/>
      <c r="T117" s="339"/>
      <c r="U117" s="339"/>
      <c r="V117" s="339"/>
      <c r="W117" s="339"/>
      <c r="X117" s="339"/>
      <c r="Y117" s="339"/>
      <c r="Z117" s="339"/>
    </row>
    <row r="118" spans="1:26" ht="24" customHeight="1">
      <c r="A118" s="336"/>
      <c r="B118" s="336"/>
      <c r="C118" s="336"/>
      <c r="D118" s="336"/>
      <c r="E118" s="336"/>
      <c r="F118" s="336"/>
      <c r="G118" s="336"/>
      <c r="H118" s="336"/>
      <c r="I118" s="338"/>
      <c r="J118" s="336"/>
      <c r="K118" s="338"/>
      <c r="L118" s="338"/>
      <c r="M118" s="338"/>
      <c r="N118" s="338"/>
      <c r="O118" s="338"/>
      <c r="P118" s="339"/>
      <c r="Q118" s="339"/>
      <c r="R118" s="339"/>
      <c r="S118" s="339"/>
      <c r="T118" s="339"/>
      <c r="U118" s="339"/>
      <c r="V118" s="339"/>
      <c r="W118" s="339"/>
      <c r="X118" s="339"/>
      <c r="Y118" s="339"/>
      <c r="Z118" s="339"/>
    </row>
    <row r="119" spans="1:26" ht="24" customHeight="1">
      <c r="A119" s="336"/>
      <c r="B119" s="336"/>
      <c r="C119" s="336"/>
      <c r="D119" s="336"/>
      <c r="E119" s="336"/>
      <c r="F119" s="336"/>
      <c r="G119" s="336"/>
      <c r="H119" s="336"/>
      <c r="I119" s="338"/>
      <c r="J119" s="336"/>
      <c r="K119" s="338"/>
      <c r="L119" s="338"/>
      <c r="M119" s="338"/>
      <c r="N119" s="338"/>
      <c r="O119" s="338"/>
      <c r="P119" s="339"/>
      <c r="Q119" s="339"/>
      <c r="R119" s="339"/>
      <c r="S119" s="339"/>
      <c r="T119" s="339"/>
      <c r="U119" s="339"/>
      <c r="V119" s="339"/>
      <c r="W119" s="339"/>
      <c r="X119" s="339"/>
      <c r="Y119" s="339"/>
      <c r="Z119" s="339"/>
    </row>
    <row r="120" spans="1:26" ht="24" customHeight="1">
      <c r="A120" s="336"/>
      <c r="B120" s="336"/>
      <c r="C120" s="336"/>
      <c r="D120" s="336"/>
      <c r="E120" s="336"/>
      <c r="F120" s="336"/>
      <c r="G120" s="336"/>
      <c r="H120" s="336"/>
      <c r="I120" s="338"/>
      <c r="J120" s="336"/>
      <c r="K120" s="338"/>
      <c r="L120" s="338"/>
      <c r="M120" s="338"/>
      <c r="N120" s="338"/>
      <c r="O120" s="338"/>
      <c r="P120" s="339"/>
      <c r="Q120" s="339"/>
      <c r="R120" s="339"/>
      <c r="S120" s="339"/>
      <c r="T120" s="339"/>
      <c r="U120" s="339"/>
      <c r="V120" s="339"/>
      <c r="W120" s="339"/>
      <c r="X120" s="339"/>
      <c r="Y120" s="339"/>
      <c r="Z120" s="339"/>
    </row>
    <row r="121" spans="1:26" ht="24" customHeight="1">
      <c r="A121" s="336"/>
      <c r="B121" s="336"/>
      <c r="C121" s="336"/>
      <c r="D121" s="336"/>
      <c r="E121" s="336"/>
      <c r="F121" s="336"/>
      <c r="G121" s="336"/>
      <c r="H121" s="336"/>
      <c r="I121" s="338"/>
      <c r="J121" s="336"/>
      <c r="K121" s="338"/>
      <c r="L121" s="338"/>
      <c r="M121" s="338"/>
      <c r="N121" s="338"/>
      <c r="O121" s="338"/>
      <c r="P121" s="339"/>
      <c r="Q121" s="339"/>
      <c r="R121" s="339"/>
      <c r="S121" s="339"/>
      <c r="T121" s="339"/>
      <c r="U121" s="339"/>
      <c r="V121" s="339"/>
      <c r="W121" s="339"/>
      <c r="X121" s="339"/>
      <c r="Y121" s="339"/>
      <c r="Z121" s="339"/>
    </row>
    <row r="122" spans="1:26" ht="24" customHeight="1">
      <c r="A122" s="336"/>
      <c r="B122" s="336"/>
      <c r="C122" s="336"/>
      <c r="D122" s="336"/>
      <c r="E122" s="336"/>
      <c r="F122" s="336"/>
      <c r="G122" s="336"/>
      <c r="H122" s="336"/>
      <c r="I122" s="338"/>
      <c r="J122" s="336"/>
      <c r="K122" s="338"/>
      <c r="L122" s="338"/>
      <c r="M122" s="338"/>
      <c r="N122" s="338"/>
      <c r="O122" s="338"/>
      <c r="P122" s="339"/>
      <c r="Q122" s="339"/>
      <c r="R122" s="339"/>
      <c r="S122" s="339"/>
      <c r="T122" s="339"/>
      <c r="U122" s="339"/>
      <c r="V122" s="339"/>
      <c r="W122" s="339"/>
      <c r="X122" s="339"/>
      <c r="Y122" s="339"/>
      <c r="Z122" s="339"/>
    </row>
    <row r="123" spans="1:26" ht="24" customHeight="1">
      <c r="A123" s="336"/>
      <c r="B123" s="336"/>
      <c r="C123" s="336"/>
      <c r="D123" s="336"/>
      <c r="E123" s="336"/>
      <c r="F123" s="336"/>
      <c r="G123" s="336"/>
      <c r="H123" s="336"/>
      <c r="I123" s="338"/>
      <c r="J123" s="336"/>
      <c r="K123" s="338"/>
      <c r="L123" s="338"/>
      <c r="M123" s="338"/>
      <c r="N123" s="338"/>
      <c r="O123" s="338"/>
      <c r="P123" s="339"/>
      <c r="Q123" s="339"/>
      <c r="R123" s="339"/>
      <c r="S123" s="339"/>
      <c r="T123" s="339"/>
      <c r="U123" s="339"/>
      <c r="V123" s="339"/>
      <c r="W123" s="339"/>
      <c r="X123" s="339"/>
      <c r="Y123" s="339"/>
      <c r="Z123" s="339"/>
    </row>
    <row r="124" spans="1:26" ht="24" customHeight="1">
      <c r="A124" s="336"/>
      <c r="B124" s="336"/>
      <c r="C124" s="336"/>
      <c r="D124" s="336"/>
      <c r="E124" s="336"/>
      <c r="F124" s="336"/>
      <c r="G124" s="336"/>
      <c r="H124" s="336"/>
      <c r="I124" s="338"/>
      <c r="J124" s="336"/>
      <c r="K124" s="338"/>
      <c r="L124" s="338"/>
      <c r="M124" s="338"/>
      <c r="N124" s="338"/>
      <c r="O124" s="338"/>
      <c r="P124" s="339"/>
      <c r="Q124" s="339"/>
      <c r="R124" s="339"/>
      <c r="S124" s="339"/>
      <c r="T124" s="339"/>
      <c r="U124" s="339"/>
      <c r="V124" s="339"/>
      <c r="W124" s="339"/>
      <c r="X124" s="339"/>
      <c r="Y124" s="339"/>
      <c r="Z124" s="339"/>
    </row>
    <row r="125" spans="1:26" ht="24" customHeight="1">
      <c r="A125" s="336"/>
      <c r="B125" s="336"/>
      <c r="C125" s="336"/>
      <c r="D125" s="336"/>
      <c r="E125" s="336"/>
      <c r="F125" s="336"/>
      <c r="G125" s="336"/>
      <c r="H125" s="336"/>
      <c r="I125" s="338"/>
      <c r="J125" s="336"/>
      <c r="K125" s="338"/>
      <c r="L125" s="338"/>
      <c r="M125" s="338"/>
      <c r="N125" s="338"/>
      <c r="O125" s="338"/>
      <c r="P125" s="339"/>
      <c r="Q125" s="339"/>
      <c r="R125" s="339"/>
      <c r="S125" s="339"/>
      <c r="T125" s="339"/>
      <c r="U125" s="339"/>
      <c r="V125" s="339"/>
      <c r="W125" s="339"/>
      <c r="X125" s="339"/>
      <c r="Y125" s="339"/>
      <c r="Z125" s="339"/>
    </row>
    <row r="126" spans="1:26" ht="24" customHeight="1">
      <c r="A126" s="336"/>
      <c r="B126" s="336"/>
      <c r="C126" s="336"/>
      <c r="D126" s="336"/>
      <c r="E126" s="336"/>
      <c r="F126" s="336"/>
      <c r="G126" s="336"/>
      <c r="H126" s="336"/>
      <c r="I126" s="338"/>
      <c r="J126" s="336"/>
      <c r="K126" s="338"/>
      <c r="L126" s="338"/>
      <c r="M126" s="338"/>
      <c r="N126" s="338"/>
      <c r="O126" s="338"/>
      <c r="P126" s="339"/>
      <c r="Q126" s="339"/>
      <c r="R126" s="339"/>
      <c r="S126" s="339"/>
      <c r="T126" s="339"/>
      <c r="U126" s="339"/>
      <c r="V126" s="339"/>
      <c r="W126" s="339"/>
      <c r="X126" s="339"/>
      <c r="Y126" s="339"/>
      <c r="Z126" s="339"/>
    </row>
    <row r="127" spans="1:26" ht="24" customHeight="1">
      <c r="A127" s="336"/>
      <c r="B127" s="336"/>
      <c r="C127" s="336"/>
      <c r="D127" s="336"/>
      <c r="E127" s="336"/>
      <c r="F127" s="336"/>
      <c r="G127" s="336"/>
      <c r="H127" s="336"/>
      <c r="I127" s="338"/>
      <c r="J127" s="336"/>
      <c r="K127" s="338"/>
      <c r="L127" s="338"/>
      <c r="M127" s="338"/>
      <c r="N127" s="338"/>
      <c r="O127" s="338"/>
      <c r="P127" s="339"/>
      <c r="Q127" s="339"/>
      <c r="R127" s="339"/>
      <c r="S127" s="339"/>
      <c r="T127" s="339"/>
      <c r="U127" s="339"/>
      <c r="V127" s="339"/>
      <c r="W127" s="339"/>
      <c r="X127" s="339"/>
      <c r="Y127" s="339"/>
      <c r="Z127" s="339"/>
    </row>
    <row r="128" spans="1:26" ht="24" customHeight="1">
      <c r="A128" s="336"/>
      <c r="B128" s="336"/>
      <c r="C128" s="336"/>
      <c r="D128" s="336"/>
      <c r="E128" s="336"/>
      <c r="F128" s="336"/>
      <c r="G128" s="336"/>
      <c r="H128" s="336"/>
      <c r="I128" s="338"/>
      <c r="J128" s="336"/>
      <c r="K128" s="338"/>
      <c r="L128" s="338"/>
      <c r="M128" s="338"/>
      <c r="N128" s="338"/>
      <c r="O128" s="338"/>
      <c r="P128" s="339"/>
      <c r="Q128" s="339"/>
      <c r="R128" s="339"/>
      <c r="S128" s="339"/>
      <c r="T128" s="339"/>
      <c r="U128" s="339"/>
      <c r="V128" s="339"/>
      <c r="W128" s="339"/>
      <c r="X128" s="339"/>
      <c r="Y128" s="339"/>
      <c r="Z128" s="339"/>
    </row>
    <row r="129" spans="1:26" ht="24" customHeight="1">
      <c r="A129" s="336"/>
      <c r="B129" s="336"/>
      <c r="C129" s="336"/>
      <c r="D129" s="336"/>
      <c r="E129" s="336"/>
      <c r="F129" s="336"/>
      <c r="G129" s="336"/>
      <c r="H129" s="336"/>
      <c r="I129" s="338"/>
      <c r="J129" s="336"/>
      <c r="K129" s="338"/>
      <c r="L129" s="338"/>
      <c r="M129" s="338"/>
      <c r="N129" s="338"/>
      <c r="O129" s="338"/>
      <c r="P129" s="339"/>
      <c r="Q129" s="339"/>
      <c r="R129" s="339"/>
      <c r="S129" s="339"/>
      <c r="T129" s="339"/>
      <c r="U129" s="339"/>
      <c r="V129" s="339"/>
      <c r="W129" s="339"/>
      <c r="X129" s="339"/>
      <c r="Y129" s="339"/>
      <c r="Z129" s="339"/>
    </row>
    <row r="130" spans="1:26" ht="24" customHeight="1">
      <c r="A130" s="336"/>
      <c r="B130" s="336"/>
      <c r="C130" s="336"/>
      <c r="D130" s="336"/>
      <c r="E130" s="336"/>
      <c r="F130" s="336"/>
      <c r="G130" s="336"/>
      <c r="H130" s="336"/>
      <c r="I130" s="338"/>
      <c r="J130" s="336"/>
      <c r="K130" s="338"/>
      <c r="L130" s="338"/>
      <c r="M130" s="338"/>
      <c r="N130" s="338"/>
      <c r="O130" s="338"/>
      <c r="P130" s="339"/>
      <c r="Q130" s="339"/>
      <c r="R130" s="339"/>
      <c r="S130" s="339"/>
      <c r="T130" s="339"/>
      <c r="U130" s="339"/>
      <c r="V130" s="339"/>
      <c r="W130" s="339"/>
      <c r="X130" s="339"/>
      <c r="Y130" s="339"/>
      <c r="Z130" s="339"/>
    </row>
    <row r="131" spans="1:26" ht="24" customHeight="1">
      <c r="A131" s="336"/>
      <c r="B131" s="336"/>
      <c r="C131" s="336"/>
      <c r="D131" s="336"/>
      <c r="E131" s="336"/>
      <c r="F131" s="336"/>
      <c r="G131" s="336"/>
      <c r="H131" s="336"/>
      <c r="I131" s="338"/>
      <c r="J131" s="336"/>
      <c r="K131" s="338"/>
      <c r="L131" s="338"/>
      <c r="M131" s="338"/>
      <c r="N131" s="338"/>
      <c r="O131" s="338"/>
      <c r="P131" s="339"/>
      <c r="Q131" s="339"/>
      <c r="R131" s="339"/>
      <c r="S131" s="339"/>
      <c r="T131" s="339"/>
      <c r="U131" s="339"/>
      <c r="V131" s="339"/>
      <c r="W131" s="339"/>
      <c r="X131" s="339"/>
      <c r="Y131" s="339"/>
      <c r="Z131" s="339"/>
    </row>
    <row r="132" spans="1:26" ht="24" customHeight="1">
      <c r="A132" s="336"/>
      <c r="B132" s="336"/>
      <c r="C132" s="336"/>
      <c r="D132" s="336"/>
      <c r="E132" s="336"/>
      <c r="F132" s="336"/>
      <c r="G132" s="336"/>
      <c r="H132" s="336"/>
      <c r="I132" s="338"/>
      <c r="J132" s="336"/>
      <c r="K132" s="338"/>
      <c r="L132" s="338"/>
      <c r="M132" s="338"/>
      <c r="N132" s="338"/>
      <c r="O132" s="338"/>
      <c r="P132" s="339"/>
      <c r="Q132" s="339"/>
      <c r="R132" s="339"/>
      <c r="S132" s="339"/>
      <c r="T132" s="339"/>
      <c r="U132" s="339"/>
      <c r="V132" s="339"/>
      <c r="W132" s="339"/>
      <c r="X132" s="339"/>
      <c r="Y132" s="339"/>
      <c r="Z132" s="339"/>
    </row>
    <row r="133" spans="1:26" ht="24" customHeight="1">
      <c r="A133" s="336"/>
      <c r="B133" s="336"/>
      <c r="C133" s="336"/>
      <c r="D133" s="336"/>
      <c r="E133" s="336"/>
      <c r="F133" s="336"/>
      <c r="G133" s="336"/>
      <c r="H133" s="336"/>
      <c r="I133" s="338"/>
      <c r="J133" s="336"/>
      <c r="K133" s="338"/>
      <c r="L133" s="338"/>
      <c r="M133" s="338"/>
      <c r="N133" s="338"/>
      <c r="O133" s="338"/>
      <c r="P133" s="339"/>
      <c r="Q133" s="339"/>
      <c r="R133" s="339"/>
      <c r="S133" s="339"/>
      <c r="T133" s="339"/>
      <c r="U133" s="339"/>
      <c r="V133" s="339"/>
      <c r="W133" s="339"/>
      <c r="X133" s="339"/>
      <c r="Y133" s="339"/>
      <c r="Z133" s="339"/>
    </row>
    <row r="134" spans="1:26" ht="24" customHeight="1">
      <c r="A134" s="336"/>
      <c r="B134" s="336"/>
      <c r="C134" s="336"/>
      <c r="D134" s="336"/>
      <c r="E134" s="336"/>
      <c r="F134" s="336"/>
      <c r="G134" s="336"/>
      <c r="H134" s="336"/>
      <c r="I134" s="338"/>
      <c r="J134" s="336"/>
      <c r="K134" s="338"/>
      <c r="L134" s="338"/>
      <c r="M134" s="338"/>
      <c r="N134" s="338"/>
      <c r="O134" s="338"/>
      <c r="P134" s="339"/>
      <c r="Q134" s="339"/>
      <c r="R134" s="339"/>
      <c r="S134" s="339"/>
      <c r="T134" s="339"/>
      <c r="U134" s="339"/>
      <c r="V134" s="339"/>
      <c r="W134" s="339"/>
      <c r="X134" s="339"/>
      <c r="Y134" s="339"/>
      <c r="Z134" s="339"/>
    </row>
    <row r="135" spans="1:26" ht="24" customHeight="1">
      <c r="A135" s="336"/>
      <c r="B135" s="336"/>
      <c r="C135" s="336"/>
      <c r="D135" s="336"/>
      <c r="E135" s="336"/>
      <c r="F135" s="336"/>
      <c r="G135" s="336"/>
      <c r="H135" s="336"/>
      <c r="I135" s="338"/>
      <c r="J135" s="336"/>
      <c r="K135" s="338"/>
      <c r="L135" s="338"/>
      <c r="M135" s="338"/>
      <c r="N135" s="338"/>
      <c r="O135" s="338"/>
      <c r="P135" s="339"/>
      <c r="Q135" s="339"/>
      <c r="R135" s="339"/>
      <c r="S135" s="339"/>
      <c r="T135" s="339"/>
      <c r="U135" s="339"/>
      <c r="V135" s="339"/>
      <c r="W135" s="339"/>
      <c r="X135" s="339"/>
      <c r="Y135" s="339"/>
      <c r="Z135" s="339"/>
    </row>
    <row r="136" spans="1:26" ht="24" customHeight="1">
      <c r="A136" s="336"/>
      <c r="B136" s="336"/>
      <c r="C136" s="336"/>
      <c r="D136" s="336"/>
      <c r="E136" s="336"/>
      <c r="F136" s="336"/>
      <c r="G136" s="336"/>
      <c r="H136" s="336"/>
      <c r="I136" s="338"/>
      <c r="J136" s="336"/>
      <c r="K136" s="338"/>
      <c r="L136" s="338"/>
      <c r="M136" s="338"/>
      <c r="N136" s="338"/>
      <c r="O136" s="338"/>
      <c r="P136" s="339"/>
      <c r="Q136" s="339"/>
      <c r="R136" s="339"/>
      <c r="S136" s="339"/>
      <c r="T136" s="339"/>
      <c r="U136" s="339"/>
      <c r="V136" s="339"/>
      <c r="W136" s="339"/>
      <c r="X136" s="339"/>
      <c r="Y136" s="339"/>
      <c r="Z136" s="339"/>
    </row>
    <row r="137" spans="1:26" ht="24" customHeight="1">
      <c r="A137" s="336"/>
      <c r="B137" s="336"/>
      <c r="C137" s="336"/>
      <c r="D137" s="336"/>
      <c r="E137" s="336"/>
      <c r="F137" s="336"/>
      <c r="G137" s="336"/>
      <c r="H137" s="336"/>
      <c r="I137" s="338"/>
      <c r="J137" s="336"/>
      <c r="K137" s="338"/>
      <c r="L137" s="338"/>
      <c r="M137" s="338"/>
      <c r="N137" s="338"/>
      <c r="O137" s="338"/>
      <c r="P137" s="339"/>
      <c r="Q137" s="339"/>
      <c r="R137" s="339"/>
      <c r="S137" s="339"/>
      <c r="T137" s="339"/>
      <c r="U137" s="339"/>
      <c r="V137" s="339"/>
      <c r="W137" s="339"/>
      <c r="X137" s="339"/>
      <c r="Y137" s="339"/>
      <c r="Z137" s="339"/>
    </row>
    <row r="138" spans="1:26" ht="24" customHeight="1">
      <c r="A138" s="336"/>
      <c r="B138" s="336"/>
      <c r="C138" s="336"/>
      <c r="D138" s="336"/>
      <c r="E138" s="336"/>
      <c r="F138" s="336"/>
      <c r="G138" s="336"/>
      <c r="H138" s="336"/>
      <c r="I138" s="338"/>
      <c r="J138" s="336"/>
      <c r="K138" s="338"/>
      <c r="L138" s="338"/>
      <c r="M138" s="338"/>
      <c r="N138" s="338"/>
      <c r="O138" s="338"/>
      <c r="P138" s="339"/>
      <c r="Q138" s="339"/>
      <c r="R138" s="339"/>
      <c r="S138" s="339"/>
      <c r="T138" s="339"/>
      <c r="U138" s="339"/>
      <c r="V138" s="339"/>
      <c r="W138" s="339"/>
      <c r="X138" s="339"/>
      <c r="Y138" s="339"/>
      <c r="Z138" s="339"/>
    </row>
    <row r="139" spans="1:26" ht="24" customHeight="1">
      <c r="A139" s="336"/>
      <c r="B139" s="336"/>
      <c r="C139" s="336"/>
      <c r="D139" s="336"/>
      <c r="E139" s="336"/>
      <c r="F139" s="336"/>
      <c r="G139" s="336"/>
      <c r="H139" s="336"/>
      <c r="I139" s="338"/>
      <c r="J139" s="336"/>
      <c r="K139" s="338"/>
      <c r="L139" s="338"/>
      <c r="M139" s="338"/>
      <c r="N139" s="338"/>
      <c r="O139" s="338"/>
      <c r="P139" s="339"/>
      <c r="Q139" s="339"/>
      <c r="R139" s="339"/>
      <c r="S139" s="339"/>
      <c r="T139" s="339"/>
      <c r="U139" s="339"/>
      <c r="V139" s="339"/>
      <c r="W139" s="339"/>
      <c r="X139" s="339"/>
      <c r="Y139" s="339"/>
      <c r="Z139" s="339"/>
    </row>
    <row r="140" spans="1:26" ht="24" customHeight="1">
      <c r="A140" s="336"/>
      <c r="B140" s="336"/>
      <c r="C140" s="336"/>
      <c r="D140" s="336"/>
      <c r="E140" s="336"/>
      <c r="F140" s="336"/>
      <c r="G140" s="336"/>
      <c r="H140" s="336"/>
      <c r="I140" s="338"/>
      <c r="J140" s="336"/>
      <c r="K140" s="338"/>
      <c r="L140" s="338"/>
      <c r="M140" s="338"/>
      <c r="N140" s="338"/>
      <c r="O140" s="338"/>
      <c r="P140" s="339"/>
      <c r="Q140" s="339"/>
      <c r="R140" s="339"/>
      <c r="S140" s="339"/>
      <c r="T140" s="339"/>
      <c r="U140" s="339"/>
      <c r="V140" s="339"/>
      <c r="W140" s="339"/>
      <c r="X140" s="339"/>
      <c r="Y140" s="339"/>
      <c r="Z140" s="339"/>
    </row>
    <row r="141" spans="1:26" ht="24" customHeight="1">
      <c r="A141" s="336"/>
      <c r="B141" s="336"/>
      <c r="C141" s="336"/>
      <c r="D141" s="336"/>
      <c r="E141" s="336"/>
      <c r="F141" s="336"/>
      <c r="G141" s="336"/>
      <c r="H141" s="336"/>
      <c r="I141" s="338"/>
      <c r="J141" s="336"/>
      <c r="K141" s="338"/>
      <c r="L141" s="338"/>
      <c r="M141" s="338"/>
      <c r="N141" s="338"/>
      <c r="O141" s="338"/>
      <c r="P141" s="339"/>
      <c r="Q141" s="339"/>
      <c r="R141" s="339"/>
      <c r="S141" s="339"/>
      <c r="T141" s="339"/>
      <c r="U141" s="339"/>
      <c r="V141" s="339"/>
      <c r="W141" s="339"/>
      <c r="X141" s="339"/>
      <c r="Y141" s="339"/>
      <c r="Z141" s="339"/>
    </row>
    <row r="142" spans="1:26" ht="24" customHeight="1">
      <c r="A142" s="336"/>
      <c r="B142" s="336"/>
      <c r="C142" s="336"/>
      <c r="D142" s="336"/>
      <c r="E142" s="336"/>
      <c r="F142" s="336"/>
      <c r="G142" s="336"/>
      <c r="H142" s="336"/>
      <c r="I142" s="338"/>
      <c r="J142" s="336"/>
      <c r="K142" s="338"/>
      <c r="L142" s="338"/>
      <c r="M142" s="338"/>
      <c r="N142" s="338"/>
      <c r="O142" s="338"/>
      <c r="P142" s="339"/>
      <c r="Q142" s="339"/>
      <c r="R142" s="339"/>
      <c r="S142" s="339"/>
      <c r="T142" s="339"/>
      <c r="U142" s="339"/>
      <c r="V142" s="339"/>
      <c r="W142" s="339"/>
      <c r="X142" s="339"/>
      <c r="Y142" s="339"/>
      <c r="Z142" s="339"/>
    </row>
    <row r="143" spans="1:26" ht="24" customHeight="1">
      <c r="A143" s="336"/>
      <c r="B143" s="336"/>
      <c r="C143" s="336"/>
      <c r="D143" s="336"/>
      <c r="E143" s="336"/>
      <c r="F143" s="336"/>
      <c r="G143" s="336"/>
      <c r="H143" s="336"/>
      <c r="I143" s="338"/>
      <c r="J143" s="336"/>
      <c r="K143" s="338"/>
      <c r="L143" s="338"/>
      <c r="M143" s="338"/>
      <c r="N143" s="338"/>
      <c r="O143" s="338"/>
      <c r="P143" s="339"/>
      <c r="Q143" s="339"/>
      <c r="R143" s="339"/>
      <c r="S143" s="339"/>
      <c r="T143" s="339"/>
      <c r="U143" s="339"/>
      <c r="V143" s="339"/>
      <c r="W143" s="339"/>
      <c r="X143" s="339"/>
      <c r="Y143" s="339"/>
      <c r="Z143" s="339"/>
    </row>
    <row r="144" spans="1:26" ht="24" customHeight="1">
      <c r="A144" s="336"/>
      <c r="B144" s="336"/>
      <c r="C144" s="336"/>
      <c r="D144" s="336"/>
      <c r="E144" s="336"/>
      <c r="F144" s="336"/>
      <c r="G144" s="336"/>
      <c r="H144" s="336"/>
      <c r="I144" s="338"/>
      <c r="J144" s="336"/>
      <c r="K144" s="338"/>
      <c r="L144" s="338"/>
      <c r="M144" s="338"/>
      <c r="N144" s="338"/>
      <c r="O144" s="338"/>
      <c r="P144" s="339"/>
      <c r="Q144" s="339"/>
      <c r="R144" s="339"/>
      <c r="S144" s="339"/>
      <c r="T144" s="339"/>
      <c r="U144" s="339"/>
      <c r="V144" s="339"/>
      <c r="W144" s="339"/>
      <c r="X144" s="339"/>
      <c r="Y144" s="339"/>
      <c r="Z144" s="339"/>
    </row>
    <row r="145" spans="1:26" ht="24" customHeight="1">
      <c r="A145" s="336"/>
      <c r="B145" s="336"/>
      <c r="C145" s="336"/>
      <c r="D145" s="336"/>
      <c r="E145" s="336"/>
      <c r="F145" s="336"/>
      <c r="G145" s="336"/>
      <c r="H145" s="336"/>
      <c r="I145" s="338"/>
      <c r="J145" s="336"/>
      <c r="K145" s="338"/>
      <c r="L145" s="338"/>
      <c r="M145" s="338"/>
      <c r="N145" s="338"/>
      <c r="O145" s="338"/>
      <c r="P145" s="339"/>
      <c r="Q145" s="339"/>
      <c r="R145" s="339"/>
      <c r="S145" s="339"/>
      <c r="T145" s="339"/>
      <c r="U145" s="339"/>
      <c r="V145" s="339"/>
      <c r="W145" s="339"/>
      <c r="X145" s="339"/>
      <c r="Y145" s="339"/>
      <c r="Z145" s="339"/>
    </row>
    <row r="146" spans="1:26" ht="24" customHeight="1">
      <c r="A146" s="336"/>
      <c r="B146" s="336"/>
      <c r="C146" s="336"/>
      <c r="D146" s="336"/>
      <c r="E146" s="336"/>
      <c r="F146" s="336"/>
      <c r="G146" s="336"/>
      <c r="H146" s="336"/>
      <c r="I146" s="338"/>
      <c r="J146" s="336"/>
      <c r="K146" s="338"/>
      <c r="L146" s="338"/>
      <c r="M146" s="338"/>
      <c r="N146" s="338"/>
      <c r="O146" s="338"/>
      <c r="P146" s="339"/>
      <c r="Q146" s="339"/>
      <c r="R146" s="339"/>
      <c r="S146" s="339"/>
      <c r="T146" s="339"/>
      <c r="U146" s="339"/>
      <c r="V146" s="339"/>
      <c r="W146" s="339"/>
      <c r="X146" s="339"/>
      <c r="Y146" s="339"/>
      <c r="Z146" s="339"/>
    </row>
    <row r="147" spans="1:26" ht="24" customHeight="1">
      <c r="A147" s="336"/>
      <c r="B147" s="336"/>
      <c r="C147" s="336"/>
      <c r="D147" s="336"/>
      <c r="E147" s="336"/>
      <c r="F147" s="336"/>
      <c r="G147" s="336"/>
      <c r="H147" s="336"/>
      <c r="I147" s="338"/>
      <c r="J147" s="336"/>
      <c r="K147" s="338"/>
      <c r="L147" s="338"/>
      <c r="M147" s="338"/>
      <c r="N147" s="338"/>
      <c r="O147" s="338"/>
      <c r="P147" s="339"/>
      <c r="Q147" s="339"/>
      <c r="R147" s="339"/>
      <c r="S147" s="339"/>
      <c r="T147" s="339"/>
      <c r="U147" s="339"/>
      <c r="V147" s="339"/>
      <c r="W147" s="339"/>
      <c r="X147" s="339"/>
      <c r="Y147" s="339"/>
      <c r="Z147" s="339"/>
    </row>
    <row r="148" spans="1:26" ht="24" customHeight="1">
      <c r="A148" s="336"/>
      <c r="B148" s="336"/>
      <c r="C148" s="336"/>
      <c r="D148" s="336"/>
      <c r="E148" s="336"/>
      <c r="F148" s="336"/>
      <c r="G148" s="336"/>
      <c r="H148" s="336"/>
      <c r="I148" s="338"/>
      <c r="J148" s="336"/>
      <c r="K148" s="338"/>
      <c r="L148" s="338"/>
      <c r="M148" s="338"/>
      <c r="N148" s="338"/>
      <c r="O148" s="338"/>
      <c r="P148" s="339"/>
      <c r="Q148" s="339"/>
      <c r="R148" s="339"/>
      <c r="S148" s="339"/>
      <c r="T148" s="339"/>
      <c r="U148" s="339"/>
      <c r="V148" s="339"/>
      <c r="W148" s="339"/>
      <c r="X148" s="339"/>
      <c r="Y148" s="339"/>
      <c r="Z148" s="339"/>
    </row>
    <row r="149" spans="1:26" ht="24" customHeight="1">
      <c r="A149" s="336"/>
      <c r="B149" s="336"/>
      <c r="C149" s="336"/>
      <c r="D149" s="336"/>
      <c r="E149" s="336"/>
      <c r="F149" s="336"/>
      <c r="G149" s="336"/>
      <c r="H149" s="336"/>
      <c r="I149" s="338"/>
      <c r="J149" s="336"/>
      <c r="K149" s="338"/>
      <c r="L149" s="338"/>
      <c r="M149" s="338"/>
      <c r="N149" s="338"/>
      <c r="O149" s="338"/>
      <c r="P149" s="339"/>
      <c r="Q149" s="339"/>
      <c r="R149" s="339"/>
      <c r="S149" s="339"/>
      <c r="T149" s="339"/>
      <c r="U149" s="339"/>
      <c r="V149" s="339"/>
      <c r="W149" s="339"/>
      <c r="X149" s="339"/>
      <c r="Y149" s="339"/>
      <c r="Z149" s="339"/>
    </row>
    <row r="150" spans="1:26" ht="24" customHeight="1">
      <c r="A150" s="336"/>
      <c r="B150" s="336"/>
      <c r="C150" s="336"/>
      <c r="D150" s="336"/>
      <c r="E150" s="336"/>
      <c r="F150" s="336"/>
      <c r="G150" s="336"/>
      <c r="H150" s="336"/>
      <c r="I150" s="338"/>
      <c r="J150" s="336"/>
      <c r="K150" s="338"/>
      <c r="L150" s="338"/>
      <c r="M150" s="338"/>
      <c r="N150" s="338"/>
      <c r="O150" s="338"/>
      <c r="P150" s="339"/>
      <c r="Q150" s="339"/>
      <c r="R150" s="339"/>
      <c r="S150" s="339"/>
      <c r="T150" s="339"/>
      <c r="U150" s="339"/>
      <c r="V150" s="339"/>
      <c r="W150" s="339"/>
      <c r="X150" s="339"/>
      <c r="Y150" s="339"/>
      <c r="Z150" s="339"/>
    </row>
    <row r="151" spans="1:26" ht="24" customHeight="1">
      <c r="A151" s="336"/>
      <c r="B151" s="336"/>
      <c r="C151" s="336"/>
      <c r="D151" s="336"/>
      <c r="E151" s="336"/>
      <c r="F151" s="336"/>
      <c r="G151" s="336"/>
      <c r="H151" s="336"/>
      <c r="I151" s="338"/>
      <c r="J151" s="336"/>
      <c r="K151" s="338"/>
      <c r="L151" s="338"/>
      <c r="M151" s="338"/>
      <c r="N151" s="338"/>
      <c r="O151" s="338"/>
      <c r="P151" s="339"/>
      <c r="Q151" s="339"/>
      <c r="R151" s="339"/>
      <c r="S151" s="339"/>
      <c r="T151" s="339"/>
      <c r="U151" s="339"/>
      <c r="V151" s="339"/>
      <c r="W151" s="339"/>
      <c r="X151" s="339"/>
      <c r="Y151" s="339"/>
      <c r="Z151" s="339"/>
    </row>
    <row r="152" spans="1:26" ht="24" customHeight="1">
      <c r="A152" s="336"/>
      <c r="B152" s="336"/>
      <c r="C152" s="336"/>
      <c r="D152" s="336"/>
      <c r="E152" s="336"/>
      <c r="F152" s="336"/>
      <c r="G152" s="336"/>
      <c r="H152" s="336"/>
      <c r="I152" s="338"/>
      <c r="J152" s="336"/>
      <c r="K152" s="338"/>
      <c r="L152" s="338"/>
      <c r="M152" s="338"/>
      <c r="N152" s="338"/>
      <c r="O152" s="338"/>
      <c r="P152" s="339"/>
      <c r="Q152" s="339"/>
      <c r="R152" s="339"/>
      <c r="S152" s="339"/>
      <c r="T152" s="339"/>
      <c r="U152" s="339"/>
      <c r="V152" s="339"/>
      <c r="W152" s="339"/>
      <c r="X152" s="339"/>
      <c r="Y152" s="339"/>
      <c r="Z152" s="339"/>
    </row>
    <row r="153" spans="1:26" ht="24" customHeight="1">
      <c r="A153" s="336"/>
      <c r="B153" s="336"/>
      <c r="C153" s="336"/>
      <c r="D153" s="336"/>
      <c r="E153" s="336"/>
      <c r="F153" s="336"/>
      <c r="G153" s="336"/>
      <c r="H153" s="336"/>
      <c r="I153" s="338"/>
      <c r="J153" s="336"/>
      <c r="K153" s="338"/>
      <c r="L153" s="338"/>
      <c r="M153" s="338"/>
      <c r="N153" s="338"/>
      <c r="O153" s="338"/>
      <c r="P153" s="339"/>
      <c r="Q153" s="339"/>
      <c r="R153" s="339"/>
      <c r="S153" s="339"/>
      <c r="T153" s="339"/>
      <c r="U153" s="339"/>
      <c r="V153" s="339"/>
      <c r="W153" s="339"/>
      <c r="X153" s="339"/>
      <c r="Y153" s="339"/>
      <c r="Z153" s="339"/>
    </row>
    <row r="154" spans="1:26" ht="24" customHeight="1">
      <c r="A154" s="336"/>
      <c r="B154" s="336"/>
      <c r="C154" s="336"/>
      <c r="D154" s="336"/>
      <c r="E154" s="336"/>
      <c r="F154" s="336"/>
      <c r="G154" s="336"/>
      <c r="H154" s="336"/>
      <c r="I154" s="338"/>
      <c r="J154" s="336"/>
      <c r="K154" s="338"/>
      <c r="L154" s="338"/>
      <c r="M154" s="338"/>
      <c r="N154" s="338"/>
      <c r="O154" s="338"/>
      <c r="P154" s="339"/>
      <c r="Q154" s="339"/>
      <c r="R154" s="339"/>
      <c r="S154" s="339"/>
      <c r="T154" s="339"/>
      <c r="U154" s="339"/>
      <c r="V154" s="339"/>
      <c r="W154" s="339"/>
      <c r="X154" s="339"/>
      <c r="Y154" s="339"/>
      <c r="Z154" s="339"/>
    </row>
    <row r="155" spans="1:26" ht="24" customHeight="1">
      <c r="A155" s="336"/>
      <c r="B155" s="336"/>
      <c r="C155" s="336"/>
      <c r="D155" s="336"/>
      <c r="E155" s="336"/>
      <c r="F155" s="336"/>
      <c r="G155" s="336"/>
      <c r="H155" s="336"/>
      <c r="I155" s="338"/>
      <c r="J155" s="336"/>
      <c r="K155" s="338"/>
      <c r="L155" s="338"/>
      <c r="M155" s="338"/>
      <c r="N155" s="338"/>
      <c r="O155" s="338"/>
      <c r="P155" s="339"/>
      <c r="Q155" s="339"/>
      <c r="R155" s="339"/>
      <c r="S155" s="339"/>
      <c r="T155" s="339"/>
      <c r="U155" s="339"/>
      <c r="V155" s="339"/>
      <c r="W155" s="339"/>
      <c r="X155" s="339"/>
      <c r="Y155" s="339"/>
      <c r="Z155" s="339"/>
    </row>
    <row r="156" spans="1:26" ht="24" customHeight="1">
      <c r="A156" s="336"/>
      <c r="B156" s="336"/>
      <c r="C156" s="336"/>
      <c r="D156" s="336"/>
      <c r="E156" s="336"/>
      <c r="F156" s="336"/>
      <c r="G156" s="336"/>
      <c r="H156" s="336"/>
      <c r="I156" s="338"/>
      <c r="J156" s="336"/>
      <c r="K156" s="338"/>
      <c r="L156" s="338"/>
      <c r="M156" s="338"/>
      <c r="N156" s="338"/>
      <c r="O156" s="338"/>
      <c r="P156" s="339"/>
      <c r="Q156" s="339"/>
      <c r="R156" s="339"/>
      <c r="S156" s="339"/>
      <c r="T156" s="339"/>
      <c r="U156" s="339"/>
      <c r="V156" s="339"/>
      <c r="W156" s="339"/>
      <c r="X156" s="339"/>
      <c r="Y156" s="339"/>
      <c r="Z156" s="339"/>
    </row>
    <row r="157" spans="1:26" ht="24" customHeight="1">
      <c r="A157" s="336"/>
      <c r="B157" s="336"/>
      <c r="C157" s="336"/>
      <c r="D157" s="336"/>
      <c r="E157" s="336"/>
      <c r="F157" s="336"/>
      <c r="G157" s="336"/>
      <c r="H157" s="336"/>
      <c r="I157" s="338"/>
      <c r="J157" s="336"/>
      <c r="K157" s="338"/>
      <c r="L157" s="338"/>
      <c r="M157" s="338"/>
      <c r="N157" s="338"/>
      <c r="O157" s="338"/>
      <c r="P157" s="339"/>
      <c r="Q157" s="339"/>
      <c r="R157" s="339"/>
      <c r="S157" s="339"/>
      <c r="T157" s="339"/>
      <c r="U157" s="339"/>
      <c r="V157" s="339"/>
      <c r="W157" s="339"/>
      <c r="X157" s="339"/>
      <c r="Y157" s="339"/>
      <c r="Z157" s="339"/>
    </row>
    <row r="158" spans="1:26" ht="24" customHeight="1">
      <c r="A158" s="336"/>
      <c r="B158" s="336"/>
      <c r="C158" s="336"/>
      <c r="D158" s="336"/>
      <c r="E158" s="336"/>
      <c r="F158" s="336"/>
      <c r="G158" s="336"/>
      <c r="H158" s="336"/>
      <c r="I158" s="338"/>
      <c r="J158" s="336"/>
      <c r="K158" s="338"/>
      <c r="L158" s="338"/>
      <c r="M158" s="338"/>
      <c r="N158" s="338"/>
      <c r="O158" s="338"/>
      <c r="P158" s="339"/>
      <c r="Q158" s="339"/>
      <c r="R158" s="339"/>
      <c r="S158" s="339"/>
      <c r="T158" s="339"/>
      <c r="U158" s="339"/>
      <c r="V158" s="339"/>
      <c r="W158" s="339"/>
      <c r="X158" s="339"/>
      <c r="Y158" s="339"/>
      <c r="Z158" s="339"/>
    </row>
    <row r="159" spans="1:26" ht="24" customHeight="1">
      <c r="A159" s="336"/>
      <c r="B159" s="336"/>
      <c r="C159" s="336"/>
      <c r="D159" s="336"/>
      <c r="E159" s="336"/>
      <c r="F159" s="336"/>
      <c r="G159" s="336"/>
      <c r="H159" s="336"/>
      <c r="I159" s="338"/>
      <c r="J159" s="336"/>
      <c r="K159" s="338"/>
      <c r="L159" s="338"/>
      <c r="M159" s="338"/>
      <c r="N159" s="338"/>
      <c r="O159" s="338"/>
      <c r="P159" s="339"/>
      <c r="Q159" s="339"/>
      <c r="R159" s="339"/>
      <c r="S159" s="339"/>
      <c r="T159" s="339"/>
      <c r="U159" s="339"/>
      <c r="V159" s="339"/>
      <c r="W159" s="339"/>
      <c r="X159" s="339"/>
      <c r="Y159" s="339"/>
      <c r="Z159" s="339"/>
    </row>
    <row r="160" spans="1:26" ht="24" customHeight="1">
      <c r="A160" s="336"/>
      <c r="B160" s="336"/>
      <c r="C160" s="336"/>
      <c r="D160" s="336"/>
      <c r="E160" s="336"/>
      <c r="F160" s="336"/>
      <c r="G160" s="336"/>
      <c r="H160" s="336"/>
      <c r="I160" s="338"/>
      <c r="J160" s="336"/>
      <c r="K160" s="338"/>
      <c r="L160" s="338"/>
      <c r="M160" s="338"/>
      <c r="N160" s="338"/>
      <c r="O160" s="338"/>
      <c r="P160" s="339"/>
      <c r="Q160" s="339"/>
      <c r="R160" s="339"/>
      <c r="S160" s="339"/>
      <c r="T160" s="339"/>
      <c r="U160" s="339"/>
      <c r="V160" s="339"/>
      <c r="W160" s="339"/>
      <c r="X160" s="339"/>
      <c r="Y160" s="339"/>
      <c r="Z160" s="339"/>
    </row>
    <row r="161" spans="1:26" ht="24" customHeight="1">
      <c r="A161" s="336"/>
      <c r="B161" s="336"/>
      <c r="C161" s="336"/>
      <c r="D161" s="336"/>
      <c r="E161" s="336"/>
      <c r="F161" s="336"/>
      <c r="G161" s="336"/>
      <c r="H161" s="336"/>
      <c r="I161" s="338"/>
      <c r="J161" s="336"/>
      <c r="K161" s="338"/>
      <c r="L161" s="338"/>
      <c r="M161" s="338"/>
      <c r="N161" s="338"/>
      <c r="O161" s="338"/>
      <c r="P161" s="339"/>
      <c r="Q161" s="339"/>
      <c r="R161" s="339"/>
      <c r="S161" s="339"/>
      <c r="T161" s="339"/>
      <c r="U161" s="339"/>
      <c r="V161" s="339"/>
      <c r="W161" s="339"/>
      <c r="X161" s="339"/>
      <c r="Y161" s="339"/>
      <c r="Z161" s="339"/>
    </row>
    <row r="162" spans="1:26" ht="24" customHeight="1">
      <c r="A162" s="336"/>
      <c r="B162" s="336"/>
      <c r="C162" s="336"/>
      <c r="D162" s="336"/>
      <c r="E162" s="336"/>
      <c r="F162" s="336"/>
      <c r="G162" s="336"/>
      <c r="H162" s="336"/>
      <c r="I162" s="338"/>
      <c r="J162" s="336"/>
      <c r="K162" s="338"/>
      <c r="L162" s="338"/>
      <c r="M162" s="338"/>
      <c r="N162" s="338"/>
      <c r="O162" s="338"/>
      <c r="P162" s="339"/>
      <c r="Q162" s="339"/>
      <c r="R162" s="339"/>
      <c r="S162" s="339"/>
      <c r="T162" s="339"/>
      <c r="U162" s="339"/>
      <c r="V162" s="339"/>
      <c r="W162" s="339"/>
      <c r="X162" s="339"/>
      <c r="Y162" s="339"/>
      <c r="Z162" s="339"/>
    </row>
    <row r="163" spans="1:26" ht="24" customHeight="1">
      <c r="A163" s="336"/>
      <c r="B163" s="336"/>
      <c r="C163" s="336"/>
      <c r="D163" s="336"/>
      <c r="E163" s="336"/>
      <c r="F163" s="336"/>
      <c r="G163" s="336"/>
      <c r="H163" s="336"/>
      <c r="I163" s="338"/>
      <c r="J163" s="336"/>
      <c r="K163" s="338"/>
      <c r="L163" s="338"/>
      <c r="M163" s="338"/>
      <c r="N163" s="338"/>
      <c r="O163" s="338"/>
      <c r="P163" s="339"/>
      <c r="Q163" s="339"/>
      <c r="R163" s="339"/>
      <c r="S163" s="339"/>
      <c r="T163" s="339"/>
      <c r="U163" s="339"/>
      <c r="V163" s="339"/>
      <c r="W163" s="339"/>
      <c r="X163" s="339"/>
      <c r="Y163" s="339"/>
      <c r="Z163" s="339"/>
    </row>
    <row r="164" spans="1:26" ht="24" customHeight="1">
      <c r="A164" s="336"/>
      <c r="B164" s="336"/>
      <c r="C164" s="336"/>
      <c r="D164" s="336"/>
      <c r="E164" s="336"/>
      <c r="F164" s="336"/>
      <c r="G164" s="336"/>
      <c r="H164" s="336"/>
      <c r="I164" s="338"/>
      <c r="J164" s="336"/>
      <c r="K164" s="338"/>
      <c r="L164" s="338"/>
      <c r="M164" s="338"/>
      <c r="N164" s="338"/>
      <c r="O164" s="338"/>
      <c r="P164" s="339"/>
      <c r="Q164" s="339"/>
      <c r="R164" s="339"/>
      <c r="S164" s="339"/>
      <c r="T164" s="339"/>
      <c r="U164" s="339"/>
      <c r="V164" s="339"/>
      <c r="W164" s="339"/>
      <c r="X164" s="339"/>
      <c r="Y164" s="339"/>
      <c r="Z164" s="339"/>
    </row>
    <row r="165" spans="1:26" ht="24" customHeight="1">
      <c r="A165" s="336"/>
      <c r="B165" s="336"/>
      <c r="C165" s="336"/>
      <c r="D165" s="336"/>
      <c r="E165" s="336"/>
      <c r="F165" s="336"/>
      <c r="G165" s="336"/>
      <c r="H165" s="336"/>
      <c r="I165" s="338"/>
      <c r="J165" s="336"/>
      <c r="K165" s="338"/>
      <c r="L165" s="338"/>
      <c r="M165" s="338"/>
      <c r="N165" s="338"/>
      <c r="O165" s="338"/>
      <c r="P165" s="339"/>
      <c r="Q165" s="339"/>
      <c r="R165" s="339"/>
      <c r="S165" s="339"/>
      <c r="T165" s="339"/>
      <c r="U165" s="339"/>
      <c r="V165" s="339"/>
      <c r="W165" s="339"/>
      <c r="X165" s="339"/>
      <c r="Y165" s="339"/>
      <c r="Z165" s="339"/>
    </row>
    <row r="166" spans="1:26" ht="24" customHeight="1">
      <c r="A166" s="336"/>
      <c r="B166" s="336"/>
      <c r="C166" s="336"/>
      <c r="D166" s="336"/>
      <c r="E166" s="336"/>
      <c r="F166" s="336"/>
      <c r="G166" s="336"/>
      <c r="H166" s="336"/>
      <c r="I166" s="338"/>
      <c r="J166" s="336"/>
      <c r="K166" s="338"/>
      <c r="L166" s="338"/>
      <c r="M166" s="338"/>
      <c r="N166" s="338"/>
      <c r="O166" s="338"/>
      <c r="P166" s="339"/>
      <c r="Q166" s="339"/>
      <c r="R166" s="339"/>
      <c r="S166" s="339"/>
      <c r="T166" s="339"/>
      <c r="U166" s="339"/>
      <c r="V166" s="339"/>
      <c r="W166" s="339"/>
      <c r="X166" s="339"/>
      <c r="Y166" s="339"/>
      <c r="Z166" s="339"/>
    </row>
    <row r="167" spans="1:26" ht="24" customHeight="1">
      <c r="A167" s="336"/>
      <c r="B167" s="336"/>
      <c r="C167" s="336"/>
      <c r="D167" s="336"/>
      <c r="E167" s="336"/>
      <c r="F167" s="336"/>
      <c r="G167" s="336"/>
      <c r="H167" s="336"/>
      <c r="I167" s="338"/>
      <c r="J167" s="336"/>
      <c r="K167" s="338"/>
      <c r="L167" s="338"/>
      <c r="M167" s="338"/>
      <c r="N167" s="338"/>
      <c r="O167" s="338"/>
      <c r="P167" s="339"/>
      <c r="Q167" s="339"/>
      <c r="R167" s="339"/>
      <c r="S167" s="339"/>
      <c r="T167" s="339"/>
      <c r="U167" s="339"/>
      <c r="V167" s="339"/>
      <c r="W167" s="339"/>
      <c r="X167" s="339"/>
      <c r="Y167" s="339"/>
      <c r="Z167" s="339"/>
    </row>
    <row r="168" spans="1:26" ht="24" customHeight="1">
      <c r="A168" s="336"/>
      <c r="B168" s="336"/>
      <c r="C168" s="336"/>
      <c r="D168" s="336"/>
      <c r="E168" s="336"/>
      <c r="F168" s="336"/>
      <c r="G168" s="336"/>
      <c r="H168" s="336"/>
      <c r="I168" s="338"/>
      <c r="J168" s="336"/>
      <c r="K168" s="338"/>
      <c r="L168" s="338"/>
      <c r="M168" s="338"/>
      <c r="N168" s="338"/>
      <c r="O168" s="338"/>
      <c r="P168" s="339"/>
      <c r="Q168" s="339"/>
      <c r="R168" s="339"/>
      <c r="S168" s="339"/>
      <c r="T168" s="339"/>
      <c r="U168" s="339"/>
      <c r="V168" s="339"/>
      <c r="W168" s="339"/>
      <c r="X168" s="339"/>
      <c r="Y168" s="339"/>
      <c r="Z168" s="339"/>
    </row>
    <row r="169" spans="1:26" ht="24" customHeight="1">
      <c r="A169" s="336"/>
      <c r="B169" s="336"/>
      <c r="C169" s="336"/>
      <c r="D169" s="336"/>
      <c r="E169" s="336"/>
      <c r="F169" s="336"/>
      <c r="G169" s="336"/>
      <c r="H169" s="336"/>
      <c r="I169" s="338"/>
      <c r="J169" s="336"/>
      <c r="K169" s="338"/>
      <c r="L169" s="338"/>
      <c r="M169" s="338"/>
      <c r="N169" s="338"/>
      <c r="O169" s="338"/>
      <c r="P169" s="339"/>
      <c r="Q169" s="339"/>
      <c r="R169" s="339"/>
      <c r="S169" s="339"/>
      <c r="T169" s="339"/>
      <c r="U169" s="339"/>
      <c r="V169" s="339"/>
      <c r="W169" s="339"/>
      <c r="X169" s="339"/>
      <c r="Y169" s="339"/>
      <c r="Z169" s="339"/>
    </row>
    <row r="170" spans="1:26" ht="24" customHeight="1">
      <c r="A170" s="336"/>
      <c r="B170" s="336"/>
      <c r="C170" s="336"/>
      <c r="D170" s="336"/>
      <c r="E170" s="336"/>
      <c r="F170" s="336"/>
      <c r="G170" s="336"/>
      <c r="H170" s="336"/>
      <c r="I170" s="338"/>
      <c r="J170" s="336"/>
      <c r="K170" s="338"/>
      <c r="L170" s="338"/>
      <c r="M170" s="338"/>
      <c r="N170" s="338"/>
      <c r="O170" s="338"/>
      <c r="P170" s="339"/>
      <c r="Q170" s="339"/>
      <c r="R170" s="339"/>
      <c r="S170" s="339"/>
      <c r="T170" s="339"/>
      <c r="U170" s="339"/>
      <c r="V170" s="339"/>
      <c r="W170" s="339"/>
      <c r="X170" s="339"/>
      <c r="Y170" s="339"/>
      <c r="Z170" s="339"/>
    </row>
    <row r="171" spans="1:26" ht="24" customHeight="1">
      <c r="A171" s="336"/>
      <c r="B171" s="336"/>
      <c r="C171" s="336"/>
      <c r="D171" s="336"/>
      <c r="E171" s="336"/>
      <c r="F171" s="336"/>
      <c r="G171" s="336"/>
      <c r="H171" s="336"/>
      <c r="I171" s="338"/>
      <c r="J171" s="336"/>
      <c r="K171" s="338"/>
      <c r="L171" s="338"/>
      <c r="M171" s="338"/>
      <c r="N171" s="338"/>
      <c r="O171" s="338"/>
      <c r="P171" s="339"/>
      <c r="Q171" s="339"/>
      <c r="R171" s="339"/>
      <c r="S171" s="339"/>
      <c r="T171" s="339"/>
      <c r="U171" s="339"/>
      <c r="V171" s="339"/>
      <c r="W171" s="339"/>
      <c r="X171" s="339"/>
      <c r="Y171" s="339"/>
      <c r="Z171" s="339"/>
    </row>
    <row r="172" spans="1:26" ht="24" customHeight="1">
      <c r="A172" s="336"/>
      <c r="B172" s="336"/>
      <c r="C172" s="336"/>
      <c r="D172" s="336"/>
      <c r="E172" s="336"/>
      <c r="F172" s="336"/>
      <c r="G172" s="336"/>
      <c r="H172" s="336"/>
      <c r="I172" s="338"/>
      <c r="J172" s="336"/>
      <c r="K172" s="338"/>
      <c r="L172" s="338"/>
      <c r="M172" s="338"/>
      <c r="N172" s="338"/>
      <c r="O172" s="338"/>
      <c r="P172" s="339"/>
      <c r="Q172" s="339"/>
      <c r="R172" s="339"/>
      <c r="S172" s="339"/>
      <c r="T172" s="339"/>
      <c r="U172" s="339"/>
      <c r="V172" s="339"/>
      <c r="W172" s="339"/>
      <c r="X172" s="339"/>
      <c r="Y172" s="339"/>
      <c r="Z172" s="339"/>
    </row>
    <row r="173" spans="1:26" ht="24" customHeight="1">
      <c r="A173" s="336"/>
      <c r="B173" s="336"/>
      <c r="C173" s="336"/>
      <c r="D173" s="336"/>
      <c r="E173" s="336"/>
      <c r="F173" s="336"/>
      <c r="G173" s="336"/>
      <c r="H173" s="336"/>
      <c r="I173" s="338"/>
      <c r="J173" s="336"/>
      <c r="K173" s="338"/>
      <c r="L173" s="338"/>
      <c r="M173" s="338"/>
      <c r="N173" s="338"/>
      <c r="O173" s="338"/>
      <c r="P173" s="339"/>
      <c r="Q173" s="339"/>
      <c r="R173" s="339"/>
      <c r="S173" s="339"/>
      <c r="T173" s="339"/>
      <c r="U173" s="339"/>
      <c r="V173" s="339"/>
      <c r="W173" s="339"/>
      <c r="X173" s="339"/>
      <c r="Y173" s="339"/>
      <c r="Z173" s="339"/>
    </row>
    <row r="174" spans="1:26" ht="24" customHeight="1">
      <c r="A174" s="336"/>
      <c r="B174" s="336"/>
      <c r="C174" s="336"/>
      <c r="D174" s="336"/>
      <c r="E174" s="336"/>
      <c r="F174" s="336"/>
      <c r="G174" s="336"/>
      <c r="H174" s="336"/>
      <c r="I174" s="338"/>
      <c r="J174" s="336"/>
      <c r="K174" s="338"/>
      <c r="L174" s="338"/>
      <c r="M174" s="338"/>
      <c r="N174" s="338"/>
      <c r="O174" s="338"/>
      <c r="P174" s="339"/>
      <c r="Q174" s="339"/>
      <c r="R174" s="339"/>
      <c r="S174" s="339"/>
      <c r="T174" s="339"/>
      <c r="U174" s="339"/>
      <c r="V174" s="339"/>
      <c r="W174" s="339"/>
      <c r="X174" s="339"/>
      <c r="Y174" s="339"/>
      <c r="Z174" s="339"/>
    </row>
    <row r="175" spans="1:26" ht="24" customHeight="1">
      <c r="A175" s="336"/>
      <c r="B175" s="336"/>
      <c r="C175" s="336"/>
      <c r="D175" s="336"/>
      <c r="E175" s="336"/>
      <c r="F175" s="336"/>
      <c r="G175" s="336"/>
      <c r="H175" s="336"/>
      <c r="I175" s="338"/>
      <c r="J175" s="336"/>
      <c r="K175" s="338"/>
      <c r="L175" s="338"/>
      <c r="M175" s="338"/>
      <c r="N175" s="338"/>
      <c r="O175" s="338"/>
      <c r="P175" s="339"/>
      <c r="Q175" s="339"/>
      <c r="R175" s="339"/>
      <c r="S175" s="339"/>
      <c r="T175" s="339"/>
      <c r="U175" s="339"/>
      <c r="V175" s="339"/>
      <c r="W175" s="339"/>
      <c r="X175" s="339"/>
      <c r="Y175" s="339"/>
      <c r="Z175" s="339"/>
    </row>
    <row r="176" spans="1:26" ht="24" customHeight="1">
      <c r="A176" s="336"/>
      <c r="B176" s="336"/>
      <c r="C176" s="336"/>
      <c r="D176" s="336"/>
      <c r="E176" s="336"/>
      <c r="F176" s="336"/>
      <c r="G176" s="336"/>
      <c r="H176" s="336"/>
      <c r="I176" s="338"/>
      <c r="J176" s="336"/>
      <c r="K176" s="338"/>
      <c r="L176" s="338"/>
      <c r="M176" s="338"/>
      <c r="N176" s="338"/>
      <c r="O176" s="338"/>
      <c r="P176" s="339"/>
      <c r="Q176" s="339"/>
      <c r="R176" s="339"/>
      <c r="S176" s="339"/>
      <c r="T176" s="339"/>
      <c r="U176" s="339"/>
      <c r="V176" s="339"/>
      <c r="W176" s="339"/>
      <c r="X176" s="339"/>
      <c r="Y176" s="339"/>
      <c r="Z176" s="339"/>
    </row>
    <row r="177" spans="1:26" ht="24" customHeight="1">
      <c r="A177" s="336"/>
      <c r="B177" s="336"/>
      <c r="C177" s="336"/>
      <c r="D177" s="336"/>
      <c r="E177" s="336"/>
      <c r="F177" s="336"/>
      <c r="G177" s="336"/>
      <c r="H177" s="336"/>
      <c r="I177" s="338"/>
      <c r="J177" s="336"/>
      <c r="K177" s="338"/>
      <c r="L177" s="338"/>
      <c r="M177" s="338"/>
      <c r="N177" s="338"/>
      <c r="O177" s="338"/>
      <c r="P177" s="339"/>
      <c r="Q177" s="339"/>
      <c r="R177" s="339"/>
      <c r="S177" s="339"/>
      <c r="T177" s="339"/>
      <c r="U177" s="339"/>
      <c r="V177" s="339"/>
      <c r="W177" s="339"/>
      <c r="X177" s="339"/>
      <c r="Y177" s="339"/>
      <c r="Z177" s="339"/>
    </row>
    <row r="178" spans="1:26" ht="24" customHeight="1">
      <c r="A178" s="336"/>
      <c r="B178" s="336"/>
      <c r="C178" s="336"/>
      <c r="D178" s="336"/>
      <c r="E178" s="336"/>
      <c r="F178" s="336"/>
      <c r="G178" s="336"/>
      <c r="H178" s="336"/>
      <c r="I178" s="338"/>
      <c r="J178" s="336"/>
      <c r="K178" s="338"/>
      <c r="L178" s="338"/>
      <c r="M178" s="338"/>
      <c r="N178" s="338"/>
      <c r="O178" s="338"/>
      <c r="P178" s="339"/>
      <c r="Q178" s="339"/>
      <c r="R178" s="339"/>
      <c r="S178" s="339"/>
      <c r="T178" s="339"/>
      <c r="U178" s="339"/>
      <c r="V178" s="339"/>
      <c r="W178" s="339"/>
      <c r="X178" s="339"/>
      <c r="Y178" s="339"/>
      <c r="Z178" s="339"/>
    </row>
    <row r="179" spans="1:26" ht="24" customHeight="1">
      <c r="A179" s="336"/>
      <c r="B179" s="336"/>
      <c r="C179" s="336"/>
      <c r="D179" s="336"/>
      <c r="E179" s="336"/>
      <c r="F179" s="336"/>
      <c r="G179" s="336"/>
      <c r="H179" s="336"/>
      <c r="I179" s="338"/>
      <c r="J179" s="336"/>
      <c r="K179" s="338"/>
      <c r="L179" s="338"/>
      <c r="M179" s="338"/>
      <c r="N179" s="338"/>
      <c r="O179" s="338"/>
      <c r="P179" s="339"/>
      <c r="Q179" s="339"/>
      <c r="R179" s="339"/>
      <c r="S179" s="339"/>
      <c r="T179" s="339"/>
      <c r="U179" s="339"/>
      <c r="V179" s="339"/>
      <c r="W179" s="339"/>
      <c r="X179" s="339"/>
      <c r="Y179" s="339"/>
      <c r="Z179" s="339"/>
    </row>
    <row r="180" spans="1:26" ht="24" customHeight="1">
      <c r="A180" s="336"/>
      <c r="B180" s="336"/>
      <c r="C180" s="336"/>
      <c r="D180" s="336"/>
      <c r="E180" s="336"/>
      <c r="F180" s="336"/>
      <c r="G180" s="336"/>
      <c r="H180" s="336"/>
      <c r="I180" s="338"/>
      <c r="J180" s="336"/>
      <c r="K180" s="338"/>
      <c r="L180" s="338"/>
      <c r="M180" s="338"/>
      <c r="N180" s="338"/>
      <c r="O180" s="338"/>
      <c r="P180" s="339"/>
      <c r="Q180" s="339"/>
      <c r="R180" s="339"/>
      <c r="S180" s="339"/>
      <c r="T180" s="339"/>
      <c r="U180" s="339"/>
      <c r="V180" s="339"/>
      <c r="W180" s="339"/>
      <c r="X180" s="339"/>
      <c r="Y180" s="339"/>
      <c r="Z180" s="339"/>
    </row>
    <row r="181" spans="1:26" ht="24" customHeight="1">
      <c r="A181" s="336"/>
      <c r="B181" s="336"/>
      <c r="C181" s="336"/>
      <c r="D181" s="336"/>
      <c r="E181" s="336"/>
      <c r="F181" s="336"/>
      <c r="G181" s="336"/>
      <c r="H181" s="336"/>
      <c r="I181" s="338"/>
      <c r="J181" s="336"/>
      <c r="K181" s="338"/>
      <c r="L181" s="338"/>
      <c r="M181" s="338"/>
      <c r="N181" s="338"/>
      <c r="O181" s="338"/>
      <c r="P181" s="339"/>
      <c r="Q181" s="339"/>
      <c r="R181" s="339"/>
      <c r="S181" s="339"/>
      <c r="T181" s="339"/>
      <c r="U181" s="339"/>
      <c r="V181" s="339"/>
      <c r="W181" s="339"/>
      <c r="X181" s="339"/>
      <c r="Y181" s="339"/>
      <c r="Z181" s="339"/>
    </row>
    <row r="182" spans="1:26" ht="24" customHeight="1">
      <c r="A182" s="336"/>
      <c r="B182" s="336"/>
      <c r="C182" s="336"/>
      <c r="D182" s="336"/>
      <c r="E182" s="336"/>
      <c r="F182" s="336"/>
      <c r="G182" s="336"/>
      <c r="H182" s="336"/>
      <c r="I182" s="338"/>
      <c r="J182" s="336"/>
      <c r="K182" s="338"/>
      <c r="L182" s="338"/>
      <c r="M182" s="338"/>
      <c r="N182" s="338"/>
      <c r="O182" s="338"/>
      <c r="P182" s="339"/>
      <c r="Q182" s="339"/>
      <c r="R182" s="339"/>
      <c r="S182" s="339"/>
      <c r="T182" s="339"/>
      <c r="U182" s="339"/>
      <c r="V182" s="339"/>
      <c r="W182" s="339"/>
      <c r="X182" s="339"/>
      <c r="Y182" s="339"/>
      <c r="Z182" s="339"/>
    </row>
    <row r="183" spans="1:26" ht="24" customHeight="1">
      <c r="A183" s="336"/>
      <c r="B183" s="336"/>
      <c r="C183" s="336"/>
      <c r="D183" s="336"/>
      <c r="E183" s="336"/>
      <c r="F183" s="336"/>
      <c r="G183" s="336"/>
      <c r="H183" s="336"/>
      <c r="I183" s="338"/>
      <c r="J183" s="336"/>
      <c r="K183" s="338"/>
      <c r="L183" s="338"/>
      <c r="M183" s="338"/>
      <c r="N183" s="338"/>
      <c r="O183" s="338"/>
      <c r="P183" s="339"/>
      <c r="Q183" s="339"/>
      <c r="R183" s="339"/>
      <c r="S183" s="339"/>
      <c r="T183" s="339"/>
      <c r="U183" s="339"/>
      <c r="V183" s="339"/>
      <c r="W183" s="339"/>
      <c r="X183" s="339"/>
      <c r="Y183" s="339"/>
      <c r="Z183" s="339"/>
    </row>
    <row r="184" spans="1:26" ht="24" customHeight="1">
      <c r="A184" s="336"/>
      <c r="B184" s="336"/>
      <c r="C184" s="336"/>
      <c r="D184" s="336"/>
      <c r="E184" s="336"/>
      <c r="F184" s="336"/>
      <c r="G184" s="336"/>
      <c r="H184" s="336"/>
      <c r="I184" s="338"/>
      <c r="J184" s="336"/>
      <c r="K184" s="338"/>
      <c r="L184" s="338"/>
      <c r="M184" s="338"/>
      <c r="N184" s="338"/>
      <c r="O184" s="338"/>
      <c r="P184" s="339"/>
      <c r="Q184" s="339"/>
      <c r="R184" s="339"/>
      <c r="S184" s="339"/>
      <c r="T184" s="339"/>
      <c r="U184" s="339"/>
      <c r="V184" s="339"/>
      <c r="W184" s="339"/>
      <c r="X184" s="339"/>
      <c r="Y184" s="339"/>
      <c r="Z184" s="339"/>
    </row>
    <row r="185" spans="1:26" ht="24" customHeight="1">
      <c r="A185" s="336"/>
      <c r="B185" s="336"/>
      <c r="C185" s="336"/>
      <c r="D185" s="336"/>
      <c r="E185" s="336"/>
      <c r="F185" s="336"/>
      <c r="G185" s="336"/>
      <c r="H185" s="336"/>
      <c r="I185" s="338"/>
      <c r="J185" s="336"/>
      <c r="K185" s="338"/>
      <c r="L185" s="338"/>
      <c r="M185" s="338"/>
      <c r="N185" s="338"/>
      <c r="O185" s="338"/>
      <c r="P185" s="339"/>
      <c r="Q185" s="339"/>
      <c r="R185" s="339"/>
      <c r="S185" s="339"/>
      <c r="T185" s="339"/>
      <c r="U185" s="339"/>
      <c r="V185" s="339"/>
      <c r="W185" s="339"/>
      <c r="X185" s="339"/>
      <c r="Y185" s="339"/>
      <c r="Z185" s="339"/>
    </row>
    <row r="186" spans="1:26" ht="24" customHeight="1">
      <c r="A186" s="336"/>
      <c r="B186" s="336"/>
      <c r="C186" s="336"/>
      <c r="D186" s="336"/>
      <c r="E186" s="336"/>
      <c r="F186" s="336"/>
      <c r="G186" s="336"/>
      <c r="H186" s="336"/>
      <c r="I186" s="338"/>
      <c r="J186" s="336"/>
      <c r="K186" s="338"/>
      <c r="L186" s="338"/>
      <c r="M186" s="338"/>
      <c r="N186" s="338"/>
      <c r="O186" s="338"/>
      <c r="P186" s="339"/>
      <c r="Q186" s="339"/>
      <c r="R186" s="339"/>
      <c r="S186" s="339"/>
      <c r="T186" s="339"/>
      <c r="U186" s="339"/>
      <c r="V186" s="339"/>
      <c r="W186" s="339"/>
      <c r="X186" s="339"/>
      <c r="Y186" s="339"/>
      <c r="Z186" s="339"/>
    </row>
    <row r="187" spans="1:26" ht="24" customHeight="1">
      <c r="A187" s="336"/>
      <c r="B187" s="336"/>
      <c r="C187" s="336"/>
      <c r="D187" s="336"/>
      <c r="E187" s="336"/>
      <c r="F187" s="336"/>
      <c r="G187" s="336"/>
      <c r="H187" s="336"/>
      <c r="I187" s="338"/>
      <c r="J187" s="336"/>
      <c r="K187" s="338"/>
      <c r="L187" s="338"/>
      <c r="M187" s="338"/>
      <c r="N187" s="338"/>
      <c r="O187" s="338"/>
      <c r="P187" s="339"/>
      <c r="Q187" s="339"/>
      <c r="R187" s="339"/>
      <c r="S187" s="339"/>
      <c r="T187" s="339"/>
      <c r="U187" s="339"/>
      <c r="V187" s="339"/>
      <c r="W187" s="339"/>
      <c r="X187" s="339"/>
      <c r="Y187" s="339"/>
      <c r="Z187" s="339"/>
    </row>
    <row r="188" spans="1:26" ht="24" customHeight="1">
      <c r="A188" s="336"/>
      <c r="B188" s="336"/>
      <c r="C188" s="336"/>
      <c r="D188" s="336"/>
      <c r="E188" s="336"/>
      <c r="F188" s="336"/>
      <c r="G188" s="336"/>
      <c r="H188" s="336"/>
      <c r="I188" s="338"/>
      <c r="J188" s="336"/>
      <c r="K188" s="338"/>
      <c r="L188" s="338"/>
      <c r="M188" s="338"/>
      <c r="N188" s="338"/>
      <c r="O188" s="338"/>
      <c r="P188" s="339"/>
      <c r="Q188" s="339"/>
      <c r="R188" s="339"/>
      <c r="S188" s="339"/>
      <c r="T188" s="339"/>
      <c r="U188" s="339"/>
      <c r="V188" s="339"/>
      <c r="W188" s="339"/>
      <c r="X188" s="339"/>
      <c r="Y188" s="339"/>
      <c r="Z188" s="339"/>
    </row>
    <row r="189" spans="1:26" ht="24" customHeight="1">
      <c r="A189" s="336"/>
      <c r="B189" s="336"/>
      <c r="C189" s="336"/>
      <c r="D189" s="336"/>
      <c r="E189" s="336"/>
      <c r="F189" s="336"/>
      <c r="G189" s="336"/>
      <c r="H189" s="336"/>
      <c r="I189" s="338"/>
      <c r="J189" s="336"/>
      <c r="K189" s="338"/>
      <c r="L189" s="338"/>
      <c r="M189" s="338"/>
      <c r="N189" s="338"/>
      <c r="O189" s="338"/>
      <c r="P189" s="339"/>
      <c r="Q189" s="339"/>
      <c r="R189" s="339"/>
      <c r="S189" s="339"/>
      <c r="T189" s="339"/>
      <c r="U189" s="339"/>
      <c r="V189" s="339"/>
      <c r="W189" s="339"/>
      <c r="X189" s="339"/>
      <c r="Y189" s="339"/>
      <c r="Z189" s="339"/>
    </row>
    <row r="190" spans="1:26" ht="24" customHeight="1">
      <c r="A190" s="336"/>
      <c r="B190" s="336"/>
      <c r="C190" s="336"/>
      <c r="D190" s="336"/>
      <c r="E190" s="336"/>
      <c r="F190" s="336"/>
      <c r="G190" s="336"/>
      <c r="H190" s="336"/>
      <c r="I190" s="338"/>
      <c r="J190" s="336"/>
      <c r="K190" s="338"/>
      <c r="L190" s="338"/>
      <c r="M190" s="338"/>
      <c r="N190" s="338"/>
      <c r="O190" s="338"/>
      <c r="P190" s="339"/>
      <c r="Q190" s="339"/>
      <c r="R190" s="339"/>
      <c r="S190" s="339"/>
      <c r="T190" s="339"/>
      <c r="U190" s="339"/>
      <c r="V190" s="339"/>
      <c r="W190" s="339"/>
      <c r="X190" s="339"/>
      <c r="Y190" s="339"/>
      <c r="Z190" s="339"/>
    </row>
    <row r="191" spans="1:26" ht="24" customHeight="1">
      <c r="A191" s="336"/>
      <c r="B191" s="336"/>
      <c r="C191" s="336"/>
      <c r="D191" s="336"/>
      <c r="E191" s="336"/>
      <c r="F191" s="336"/>
      <c r="G191" s="336"/>
      <c r="H191" s="336"/>
      <c r="I191" s="338"/>
      <c r="J191" s="336"/>
      <c r="K191" s="338"/>
      <c r="L191" s="338"/>
      <c r="M191" s="338"/>
      <c r="N191" s="338"/>
      <c r="O191" s="338"/>
      <c r="P191" s="339"/>
      <c r="Q191" s="339"/>
      <c r="R191" s="339"/>
      <c r="S191" s="339"/>
      <c r="T191" s="339"/>
      <c r="U191" s="339"/>
      <c r="V191" s="339"/>
      <c r="W191" s="339"/>
      <c r="X191" s="339"/>
      <c r="Y191" s="339"/>
      <c r="Z191" s="339"/>
    </row>
    <row r="192" spans="1:26" ht="24" customHeight="1">
      <c r="A192" s="336"/>
      <c r="B192" s="336"/>
      <c r="C192" s="336"/>
      <c r="D192" s="336"/>
      <c r="E192" s="336"/>
      <c r="F192" s="336"/>
      <c r="G192" s="336"/>
      <c r="H192" s="336"/>
      <c r="I192" s="338"/>
      <c r="J192" s="336"/>
      <c r="K192" s="338"/>
      <c r="L192" s="338"/>
      <c r="M192" s="338"/>
      <c r="N192" s="338"/>
      <c r="O192" s="338"/>
      <c r="P192" s="339"/>
      <c r="Q192" s="339"/>
      <c r="R192" s="339"/>
      <c r="S192" s="339"/>
      <c r="T192" s="339"/>
      <c r="U192" s="339"/>
      <c r="V192" s="339"/>
      <c r="W192" s="339"/>
      <c r="X192" s="339"/>
      <c r="Y192" s="339"/>
      <c r="Z192" s="339"/>
    </row>
    <row r="193" spans="1:26" ht="24" customHeight="1">
      <c r="A193" s="336"/>
      <c r="B193" s="336"/>
      <c r="C193" s="336"/>
      <c r="D193" s="336"/>
      <c r="E193" s="336"/>
      <c r="F193" s="336"/>
      <c r="G193" s="336"/>
      <c r="H193" s="336"/>
      <c r="I193" s="338"/>
      <c r="J193" s="336"/>
      <c r="K193" s="338"/>
      <c r="L193" s="338"/>
      <c r="M193" s="338"/>
      <c r="N193" s="338"/>
      <c r="O193" s="338"/>
      <c r="P193" s="339"/>
      <c r="Q193" s="339"/>
      <c r="R193" s="339"/>
      <c r="S193" s="339"/>
      <c r="T193" s="339"/>
      <c r="U193" s="339"/>
      <c r="V193" s="339"/>
      <c r="W193" s="339"/>
      <c r="X193" s="339"/>
      <c r="Y193" s="339"/>
      <c r="Z193" s="339"/>
    </row>
    <row r="194" spans="1:26" ht="24" customHeight="1">
      <c r="A194" s="336"/>
      <c r="B194" s="336"/>
      <c r="C194" s="336"/>
      <c r="D194" s="336"/>
      <c r="E194" s="336"/>
      <c r="F194" s="336"/>
      <c r="G194" s="336"/>
      <c r="H194" s="336"/>
      <c r="I194" s="338"/>
      <c r="J194" s="336"/>
      <c r="K194" s="338"/>
      <c r="L194" s="338"/>
      <c r="M194" s="338"/>
      <c r="N194" s="338"/>
      <c r="O194" s="338"/>
      <c r="P194" s="339"/>
      <c r="Q194" s="339"/>
      <c r="R194" s="339"/>
      <c r="S194" s="339"/>
      <c r="T194" s="339"/>
      <c r="U194" s="339"/>
      <c r="V194" s="339"/>
      <c r="W194" s="339"/>
      <c r="X194" s="339"/>
      <c r="Y194" s="339"/>
      <c r="Z194" s="339"/>
    </row>
    <row r="195" spans="1:26" ht="24" customHeight="1">
      <c r="A195" s="336"/>
      <c r="B195" s="336"/>
      <c r="C195" s="336"/>
      <c r="D195" s="336"/>
      <c r="E195" s="336"/>
      <c r="F195" s="336"/>
      <c r="G195" s="336"/>
      <c r="H195" s="336"/>
      <c r="I195" s="338"/>
      <c r="J195" s="336"/>
      <c r="K195" s="338"/>
      <c r="L195" s="338"/>
      <c r="M195" s="338"/>
      <c r="N195" s="338"/>
      <c r="O195" s="338"/>
      <c r="P195" s="339"/>
      <c r="Q195" s="339"/>
      <c r="R195" s="339"/>
      <c r="S195" s="339"/>
      <c r="T195" s="339"/>
      <c r="U195" s="339"/>
      <c r="V195" s="339"/>
      <c r="W195" s="339"/>
      <c r="X195" s="339"/>
      <c r="Y195" s="339"/>
      <c r="Z195" s="339"/>
    </row>
    <row r="196" spans="1:26" ht="24" customHeight="1">
      <c r="A196" s="336"/>
      <c r="B196" s="336"/>
      <c r="C196" s="336"/>
      <c r="D196" s="336"/>
      <c r="E196" s="336"/>
      <c r="F196" s="336"/>
      <c r="G196" s="336"/>
      <c r="H196" s="336"/>
      <c r="I196" s="338"/>
      <c r="J196" s="336"/>
      <c r="K196" s="338"/>
      <c r="L196" s="338"/>
      <c r="M196" s="338"/>
      <c r="N196" s="338"/>
      <c r="O196" s="338"/>
      <c r="P196" s="339"/>
      <c r="Q196" s="339"/>
      <c r="R196" s="339"/>
      <c r="S196" s="339"/>
      <c r="T196" s="339"/>
      <c r="U196" s="339"/>
      <c r="V196" s="339"/>
      <c r="W196" s="339"/>
      <c r="X196" s="339"/>
      <c r="Y196" s="339"/>
      <c r="Z196" s="339"/>
    </row>
    <row r="197" spans="1:26" ht="24" customHeight="1">
      <c r="A197" s="336"/>
      <c r="B197" s="336"/>
      <c r="C197" s="336"/>
      <c r="D197" s="336"/>
      <c r="E197" s="336"/>
      <c r="F197" s="336"/>
      <c r="G197" s="336"/>
      <c r="H197" s="336"/>
      <c r="I197" s="338"/>
      <c r="J197" s="336"/>
      <c r="K197" s="338"/>
      <c r="L197" s="338"/>
      <c r="M197" s="338"/>
      <c r="N197" s="338"/>
      <c r="O197" s="338"/>
      <c r="P197" s="339"/>
      <c r="Q197" s="339"/>
      <c r="R197" s="339"/>
      <c r="S197" s="339"/>
      <c r="T197" s="339"/>
      <c r="U197" s="339"/>
      <c r="V197" s="339"/>
      <c r="W197" s="339"/>
      <c r="X197" s="339"/>
      <c r="Y197" s="339"/>
      <c r="Z197" s="339"/>
    </row>
    <row r="198" spans="1:26" ht="24" customHeight="1">
      <c r="A198" s="336"/>
      <c r="B198" s="336"/>
      <c r="C198" s="336"/>
      <c r="D198" s="336"/>
      <c r="E198" s="336"/>
      <c r="F198" s="336"/>
      <c r="G198" s="336"/>
      <c r="H198" s="336"/>
      <c r="I198" s="338"/>
      <c r="J198" s="336"/>
      <c r="K198" s="338"/>
      <c r="L198" s="338"/>
      <c r="M198" s="338"/>
      <c r="N198" s="338"/>
      <c r="O198" s="338"/>
      <c r="P198" s="339"/>
      <c r="Q198" s="339"/>
      <c r="R198" s="339"/>
      <c r="S198" s="339"/>
      <c r="T198" s="339"/>
      <c r="U198" s="339"/>
      <c r="V198" s="339"/>
      <c r="W198" s="339"/>
      <c r="X198" s="339"/>
      <c r="Y198" s="339"/>
      <c r="Z198" s="339"/>
    </row>
    <row r="199" spans="1:26" ht="24" customHeight="1">
      <c r="A199" s="336"/>
      <c r="B199" s="336"/>
      <c r="C199" s="336"/>
      <c r="D199" s="336"/>
      <c r="E199" s="336"/>
      <c r="F199" s="336"/>
      <c r="G199" s="336"/>
      <c r="H199" s="336"/>
      <c r="I199" s="338"/>
      <c r="J199" s="336"/>
      <c r="K199" s="338"/>
      <c r="L199" s="338"/>
      <c r="M199" s="338"/>
      <c r="N199" s="338"/>
      <c r="O199" s="338"/>
      <c r="P199" s="339"/>
      <c r="Q199" s="339"/>
      <c r="R199" s="339"/>
      <c r="S199" s="339"/>
      <c r="T199" s="339"/>
      <c r="U199" s="339"/>
      <c r="V199" s="339"/>
      <c r="W199" s="339"/>
      <c r="X199" s="339"/>
      <c r="Y199" s="339"/>
      <c r="Z199" s="339"/>
    </row>
    <row r="200" spans="1:26" ht="24" customHeight="1">
      <c r="A200" s="336"/>
      <c r="B200" s="336"/>
      <c r="C200" s="336"/>
      <c r="D200" s="336"/>
      <c r="E200" s="336"/>
      <c r="F200" s="336"/>
      <c r="G200" s="336"/>
      <c r="H200" s="336"/>
      <c r="I200" s="338"/>
      <c r="J200" s="336"/>
      <c r="K200" s="338"/>
      <c r="L200" s="338"/>
      <c r="M200" s="338"/>
      <c r="N200" s="338"/>
      <c r="O200" s="338"/>
      <c r="P200" s="339"/>
      <c r="Q200" s="339"/>
      <c r="R200" s="339"/>
      <c r="S200" s="339"/>
      <c r="T200" s="339"/>
      <c r="U200" s="339"/>
      <c r="V200" s="339"/>
      <c r="W200" s="339"/>
      <c r="X200" s="339"/>
      <c r="Y200" s="339"/>
      <c r="Z200" s="339"/>
    </row>
    <row r="201" spans="1:26" ht="24" customHeight="1">
      <c r="A201" s="336"/>
      <c r="B201" s="336"/>
      <c r="C201" s="336"/>
      <c r="D201" s="336"/>
      <c r="E201" s="336"/>
      <c r="F201" s="336"/>
      <c r="G201" s="336"/>
      <c r="H201" s="336"/>
      <c r="I201" s="338"/>
      <c r="J201" s="336"/>
      <c r="K201" s="338"/>
      <c r="L201" s="338"/>
      <c r="M201" s="338"/>
      <c r="N201" s="338"/>
      <c r="O201" s="338"/>
      <c r="P201" s="339"/>
      <c r="Q201" s="339"/>
      <c r="R201" s="339"/>
      <c r="S201" s="339"/>
      <c r="T201" s="339"/>
      <c r="U201" s="339"/>
      <c r="V201" s="339"/>
      <c r="W201" s="339"/>
      <c r="X201" s="339"/>
      <c r="Y201" s="339"/>
      <c r="Z201" s="339"/>
    </row>
    <row r="202" spans="1:26" ht="24" customHeight="1">
      <c r="A202" s="336"/>
      <c r="B202" s="336"/>
      <c r="C202" s="336"/>
      <c r="D202" s="336"/>
      <c r="E202" s="336"/>
      <c r="F202" s="336"/>
      <c r="G202" s="336"/>
      <c r="H202" s="336"/>
      <c r="I202" s="338"/>
      <c r="J202" s="336"/>
      <c r="K202" s="338"/>
      <c r="L202" s="338"/>
      <c r="M202" s="338"/>
      <c r="N202" s="338"/>
      <c r="O202" s="338"/>
      <c r="P202" s="339"/>
      <c r="Q202" s="339"/>
      <c r="R202" s="339"/>
      <c r="S202" s="339"/>
      <c r="T202" s="339"/>
      <c r="U202" s="339"/>
      <c r="V202" s="339"/>
      <c r="W202" s="339"/>
      <c r="X202" s="339"/>
      <c r="Y202" s="339"/>
      <c r="Z202" s="339"/>
    </row>
    <row r="203" spans="1:26" ht="24" customHeight="1">
      <c r="A203" s="336"/>
      <c r="B203" s="336"/>
      <c r="C203" s="336"/>
      <c r="D203" s="336"/>
      <c r="E203" s="336"/>
      <c r="F203" s="336"/>
      <c r="G203" s="336"/>
      <c r="H203" s="336"/>
      <c r="I203" s="338"/>
      <c r="J203" s="336"/>
      <c r="K203" s="338"/>
      <c r="L203" s="338"/>
      <c r="M203" s="338"/>
      <c r="N203" s="338"/>
      <c r="O203" s="338"/>
      <c r="P203" s="339"/>
      <c r="Q203" s="339"/>
      <c r="R203" s="339"/>
      <c r="S203" s="339"/>
      <c r="T203" s="339"/>
      <c r="U203" s="339"/>
      <c r="V203" s="339"/>
      <c r="W203" s="339"/>
      <c r="X203" s="339"/>
      <c r="Y203" s="339"/>
      <c r="Z203" s="339"/>
    </row>
    <row r="204" spans="1:26" ht="24" customHeight="1">
      <c r="A204" s="336"/>
      <c r="B204" s="336"/>
      <c r="C204" s="336"/>
      <c r="D204" s="336"/>
      <c r="E204" s="336"/>
      <c r="F204" s="336"/>
      <c r="G204" s="336"/>
      <c r="H204" s="336"/>
      <c r="I204" s="338"/>
      <c r="J204" s="336"/>
      <c r="K204" s="338"/>
      <c r="L204" s="338"/>
      <c r="M204" s="338"/>
      <c r="N204" s="338"/>
      <c r="O204" s="338"/>
      <c r="P204" s="339"/>
      <c r="Q204" s="339"/>
      <c r="R204" s="339"/>
      <c r="S204" s="339"/>
      <c r="T204" s="339"/>
      <c r="U204" s="339"/>
      <c r="V204" s="339"/>
      <c r="W204" s="339"/>
      <c r="X204" s="339"/>
      <c r="Y204" s="339"/>
      <c r="Z204" s="339"/>
    </row>
    <row r="205" spans="1:26" ht="24" customHeight="1">
      <c r="A205" s="336"/>
      <c r="B205" s="336"/>
      <c r="C205" s="336"/>
      <c r="D205" s="336"/>
      <c r="E205" s="336"/>
      <c r="F205" s="336"/>
      <c r="G205" s="336"/>
      <c r="H205" s="336"/>
      <c r="I205" s="338"/>
      <c r="J205" s="336"/>
      <c r="K205" s="338"/>
      <c r="L205" s="338"/>
      <c r="M205" s="338"/>
      <c r="N205" s="338"/>
      <c r="O205" s="338"/>
      <c r="P205" s="339"/>
      <c r="Q205" s="339"/>
      <c r="R205" s="339"/>
      <c r="S205" s="339"/>
      <c r="T205" s="339"/>
      <c r="U205" s="339"/>
      <c r="V205" s="339"/>
      <c r="W205" s="339"/>
      <c r="X205" s="339"/>
      <c r="Y205" s="339"/>
      <c r="Z205" s="339"/>
    </row>
    <row r="206" spans="1:26" ht="24" customHeight="1">
      <c r="A206" s="336"/>
      <c r="B206" s="336"/>
      <c r="C206" s="336"/>
      <c r="D206" s="336"/>
      <c r="E206" s="336"/>
      <c r="F206" s="336"/>
      <c r="G206" s="336"/>
      <c r="H206" s="336"/>
      <c r="I206" s="338"/>
      <c r="J206" s="336"/>
      <c r="K206" s="338"/>
      <c r="L206" s="338"/>
      <c r="M206" s="338"/>
      <c r="N206" s="338"/>
      <c r="O206" s="338"/>
      <c r="P206" s="339"/>
      <c r="Q206" s="339"/>
      <c r="R206" s="339"/>
      <c r="S206" s="339"/>
      <c r="T206" s="339"/>
      <c r="U206" s="339"/>
      <c r="V206" s="339"/>
      <c r="W206" s="339"/>
      <c r="X206" s="339"/>
      <c r="Y206" s="339"/>
      <c r="Z206" s="339"/>
    </row>
    <row r="207" spans="1:26" ht="24" customHeight="1">
      <c r="A207" s="336"/>
      <c r="B207" s="336"/>
      <c r="C207" s="336"/>
      <c r="D207" s="336"/>
      <c r="E207" s="336"/>
      <c r="F207" s="336"/>
      <c r="G207" s="336"/>
      <c r="H207" s="336"/>
      <c r="I207" s="338"/>
      <c r="J207" s="336"/>
      <c r="K207" s="338"/>
      <c r="L207" s="338"/>
      <c r="M207" s="338"/>
      <c r="N207" s="338"/>
      <c r="O207" s="338"/>
      <c r="P207" s="339"/>
      <c r="Q207" s="339"/>
      <c r="R207" s="339"/>
      <c r="S207" s="339"/>
      <c r="T207" s="339"/>
      <c r="U207" s="339"/>
      <c r="V207" s="339"/>
      <c r="W207" s="339"/>
      <c r="X207" s="339"/>
      <c r="Y207" s="339"/>
      <c r="Z207" s="339"/>
    </row>
    <row r="208" spans="1:26" ht="24" customHeight="1">
      <c r="A208" s="336"/>
      <c r="B208" s="336"/>
      <c r="C208" s="336"/>
      <c r="D208" s="336"/>
      <c r="E208" s="336"/>
      <c r="F208" s="336"/>
      <c r="G208" s="336"/>
      <c r="H208" s="336"/>
      <c r="I208" s="338"/>
      <c r="J208" s="336"/>
      <c r="K208" s="338"/>
      <c r="L208" s="338"/>
      <c r="M208" s="338"/>
      <c r="N208" s="338"/>
      <c r="O208" s="338"/>
      <c r="P208" s="339"/>
      <c r="Q208" s="339"/>
      <c r="R208" s="339"/>
      <c r="S208" s="339"/>
      <c r="T208" s="339"/>
      <c r="U208" s="339"/>
      <c r="V208" s="339"/>
      <c r="W208" s="339"/>
      <c r="X208" s="339"/>
      <c r="Y208" s="339"/>
      <c r="Z208" s="339"/>
    </row>
    <row r="209" spans="1:26" ht="24" customHeight="1">
      <c r="A209" s="336"/>
      <c r="B209" s="336"/>
      <c r="C209" s="336"/>
      <c r="D209" s="336"/>
      <c r="E209" s="336"/>
      <c r="F209" s="336"/>
      <c r="G209" s="336"/>
      <c r="H209" s="336"/>
      <c r="I209" s="338"/>
      <c r="J209" s="336"/>
      <c r="K209" s="338"/>
      <c r="L209" s="338"/>
      <c r="M209" s="338"/>
      <c r="N209" s="338"/>
      <c r="O209" s="338"/>
      <c r="P209" s="339"/>
      <c r="Q209" s="339"/>
      <c r="R209" s="339"/>
      <c r="S209" s="339"/>
      <c r="T209" s="339"/>
      <c r="U209" s="339"/>
      <c r="V209" s="339"/>
      <c r="W209" s="339"/>
      <c r="X209" s="339"/>
      <c r="Y209" s="339"/>
      <c r="Z209" s="339"/>
    </row>
    <row r="210" spans="1:26" ht="24" customHeight="1">
      <c r="A210" s="336"/>
      <c r="B210" s="336"/>
      <c r="C210" s="336"/>
      <c r="D210" s="336"/>
      <c r="E210" s="336"/>
      <c r="F210" s="336"/>
      <c r="G210" s="336"/>
      <c r="H210" s="336"/>
      <c r="I210" s="338"/>
      <c r="J210" s="336"/>
      <c r="K210" s="338"/>
      <c r="L210" s="338"/>
      <c r="M210" s="338"/>
      <c r="N210" s="338"/>
      <c r="O210" s="338"/>
      <c r="P210" s="339"/>
      <c r="Q210" s="339"/>
      <c r="R210" s="339"/>
      <c r="S210" s="339"/>
      <c r="T210" s="339"/>
      <c r="U210" s="339"/>
      <c r="V210" s="339"/>
      <c r="W210" s="339"/>
      <c r="X210" s="339"/>
      <c r="Y210" s="339"/>
      <c r="Z210" s="339"/>
    </row>
    <row r="211" spans="1:26" ht="24" customHeight="1">
      <c r="A211" s="336"/>
      <c r="B211" s="336"/>
      <c r="C211" s="336"/>
      <c r="D211" s="336"/>
      <c r="E211" s="336"/>
      <c r="F211" s="336"/>
      <c r="G211" s="336"/>
      <c r="H211" s="336"/>
      <c r="I211" s="338"/>
      <c r="J211" s="336"/>
      <c r="K211" s="338"/>
      <c r="L211" s="338"/>
      <c r="M211" s="338"/>
      <c r="N211" s="338"/>
      <c r="O211" s="338"/>
      <c r="P211" s="339"/>
      <c r="Q211" s="339"/>
      <c r="R211" s="339"/>
      <c r="S211" s="339"/>
      <c r="T211" s="339"/>
      <c r="U211" s="339"/>
      <c r="V211" s="339"/>
      <c r="W211" s="339"/>
      <c r="X211" s="339"/>
      <c r="Y211" s="339"/>
      <c r="Z211" s="339"/>
    </row>
    <row r="212" spans="1:26" ht="24" customHeight="1">
      <c r="A212" s="336"/>
      <c r="B212" s="336"/>
      <c r="C212" s="336"/>
      <c r="D212" s="336"/>
      <c r="E212" s="336"/>
      <c r="F212" s="336"/>
      <c r="G212" s="336"/>
      <c r="H212" s="336"/>
      <c r="I212" s="338"/>
      <c r="J212" s="336"/>
      <c r="K212" s="338"/>
      <c r="L212" s="338"/>
      <c r="M212" s="338"/>
      <c r="N212" s="338"/>
      <c r="O212" s="338"/>
      <c r="P212" s="339"/>
      <c r="Q212" s="339"/>
      <c r="R212" s="339"/>
      <c r="S212" s="339"/>
      <c r="T212" s="339"/>
      <c r="U212" s="339"/>
      <c r="V212" s="339"/>
      <c r="W212" s="339"/>
      <c r="X212" s="339"/>
      <c r="Y212" s="339"/>
      <c r="Z212" s="339"/>
    </row>
    <row r="213" spans="1:26" ht="24" customHeight="1">
      <c r="A213" s="336"/>
      <c r="B213" s="336"/>
      <c r="C213" s="336"/>
      <c r="D213" s="336"/>
      <c r="E213" s="336"/>
      <c r="F213" s="336"/>
      <c r="G213" s="336"/>
      <c r="H213" s="336"/>
      <c r="I213" s="338"/>
      <c r="J213" s="336"/>
      <c r="K213" s="338"/>
      <c r="L213" s="338"/>
      <c r="M213" s="338"/>
      <c r="N213" s="338"/>
      <c r="O213" s="338"/>
      <c r="P213" s="339"/>
      <c r="Q213" s="339"/>
      <c r="R213" s="339"/>
      <c r="S213" s="339"/>
      <c r="T213" s="339"/>
      <c r="U213" s="339"/>
      <c r="V213" s="339"/>
      <c r="W213" s="339"/>
      <c r="X213" s="339"/>
      <c r="Y213" s="339"/>
      <c r="Z213" s="339"/>
    </row>
    <row r="214" spans="1:26" ht="24" customHeight="1">
      <c r="A214" s="336"/>
      <c r="B214" s="336"/>
      <c r="C214" s="336"/>
      <c r="D214" s="336"/>
      <c r="E214" s="336"/>
      <c r="F214" s="336"/>
      <c r="G214" s="336"/>
      <c r="H214" s="336"/>
      <c r="I214" s="338"/>
      <c r="J214" s="336"/>
      <c r="K214" s="338"/>
      <c r="L214" s="338"/>
      <c r="M214" s="338"/>
      <c r="N214" s="338"/>
      <c r="O214" s="338"/>
      <c r="P214" s="339"/>
      <c r="Q214" s="339"/>
      <c r="R214" s="339"/>
      <c r="S214" s="339"/>
      <c r="T214" s="339"/>
      <c r="U214" s="339"/>
      <c r="V214" s="339"/>
      <c r="W214" s="339"/>
      <c r="X214" s="339"/>
      <c r="Y214" s="339"/>
      <c r="Z214" s="339"/>
    </row>
    <row r="215" spans="1:26" ht="24" customHeight="1">
      <c r="A215" s="336"/>
      <c r="B215" s="336"/>
      <c r="C215" s="336"/>
      <c r="D215" s="336"/>
      <c r="E215" s="336"/>
      <c r="F215" s="336"/>
      <c r="G215" s="336"/>
      <c r="H215" s="336"/>
      <c r="I215" s="338"/>
      <c r="J215" s="336"/>
      <c r="K215" s="338"/>
      <c r="L215" s="338"/>
      <c r="M215" s="338"/>
      <c r="N215" s="338"/>
      <c r="O215" s="338"/>
      <c r="P215" s="339"/>
      <c r="Q215" s="339"/>
      <c r="R215" s="339"/>
      <c r="S215" s="339"/>
      <c r="T215" s="339"/>
      <c r="U215" s="339"/>
      <c r="V215" s="339"/>
      <c r="W215" s="339"/>
      <c r="X215" s="339"/>
      <c r="Y215" s="339"/>
      <c r="Z215" s="339"/>
    </row>
    <row r="216" spans="1:26" ht="24" customHeight="1">
      <c r="A216" s="336"/>
      <c r="B216" s="336"/>
      <c r="C216" s="336"/>
      <c r="D216" s="336"/>
      <c r="E216" s="336"/>
      <c r="F216" s="336"/>
      <c r="G216" s="336"/>
      <c r="H216" s="336"/>
      <c r="I216" s="338"/>
      <c r="J216" s="336"/>
      <c r="K216" s="338"/>
      <c r="L216" s="338"/>
      <c r="M216" s="338"/>
      <c r="N216" s="338"/>
      <c r="O216" s="338"/>
      <c r="P216" s="339"/>
      <c r="Q216" s="339"/>
      <c r="R216" s="339"/>
      <c r="S216" s="339"/>
      <c r="T216" s="339"/>
      <c r="U216" s="339"/>
      <c r="V216" s="339"/>
      <c r="W216" s="339"/>
      <c r="X216" s="339"/>
      <c r="Y216" s="339"/>
      <c r="Z216" s="339"/>
    </row>
    <row r="217" spans="1:26" ht="24" customHeight="1">
      <c r="A217" s="336"/>
      <c r="B217" s="336"/>
      <c r="C217" s="336"/>
      <c r="D217" s="336"/>
      <c r="E217" s="336"/>
      <c r="F217" s="336"/>
      <c r="G217" s="336"/>
      <c r="H217" s="336"/>
      <c r="I217" s="338"/>
      <c r="J217" s="336"/>
      <c r="K217" s="338"/>
      <c r="L217" s="338"/>
      <c r="M217" s="338"/>
      <c r="N217" s="338"/>
      <c r="O217" s="338"/>
      <c r="P217" s="339"/>
      <c r="Q217" s="339"/>
      <c r="R217" s="339"/>
      <c r="S217" s="339"/>
      <c r="T217" s="339"/>
      <c r="U217" s="339"/>
      <c r="V217" s="339"/>
      <c r="W217" s="339"/>
      <c r="X217" s="339"/>
      <c r="Y217" s="339"/>
      <c r="Z217" s="339"/>
    </row>
    <row r="218" spans="1:26" ht="24" customHeight="1">
      <c r="A218" s="336"/>
      <c r="B218" s="336"/>
      <c r="C218" s="336"/>
      <c r="D218" s="336"/>
      <c r="E218" s="336"/>
      <c r="F218" s="336"/>
      <c r="G218" s="336"/>
      <c r="H218" s="336"/>
      <c r="I218" s="338"/>
      <c r="J218" s="336"/>
      <c r="K218" s="338"/>
      <c r="L218" s="338"/>
      <c r="M218" s="338"/>
      <c r="N218" s="338"/>
      <c r="O218" s="338"/>
      <c r="P218" s="339"/>
      <c r="Q218" s="339"/>
      <c r="R218" s="339"/>
      <c r="S218" s="339"/>
      <c r="T218" s="339"/>
      <c r="U218" s="339"/>
      <c r="V218" s="339"/>
      <c r="W218" s="339"/>
      <c r="X218" s="339"/>
      <c r="Y218" s="339"/>
      <c r="Z218" s="339"/>
    </row>
    <row r="219" spans="1:26" ht="24" customHeight="1">
      <c r="A219" s="336"/>
      <c r="B219" s="336"/>
      <c r="C219" s="336"/>
      <c r="D219" s="336"/>
      <c r="E219" s="336"/>
      <c r="F219" s="336"/>
      <c r="G219" s="336"/>
      <c r="H219" s="336"/>
      <c r="I219" s="338"/>
      <c r="J219" s="336"/>
      <c r="K219" s="338"/>
      <c r="L219" s="338"/>
      <c r="M219" s="338"/>
      <c r="N219" s="338"/>
      <c r="O219" s="338"/>
      <c r="P219" s="339"/>
      <c r="Q219" s="339"/>
      <c r="R219" s="339"/>
      <c r="S219" s="339"/>
      <c r="T219" s="339"/>
      <c r="U219" s="339"/>
      <c r="V219" s="339"/>
      <c r="W219" s="339"/>
      <c r="X219" s="339"/>
      <c r="Y219" s="339"/>
      <c r="Z219" s="339"/>
    </row>
    <row r="220" spans="1:26" ht="24" customHeight="1">
      <c r="A220" s="336"/>
      <c r="B220" s="336"/>
      <c r="C220" s="336"/>
      <c r="D220" s="336"/>
      <c r="E220" s="336"/>
      <c r="F220" s="336"/>
      <c r="G220" s="336"/>
      <c r="H220" s="336"/>
      <c r="I220" s="338"/>
      <c r="J220" s="336"/>
      <c r="K220" s="338"/>
      <c r="L220" s="338"/>
      <c r="M220" s="338"/>
      <c r="N220" s="338"/>
      <c r="O220" s="338"/>
      <c r="P220" s="339"/>
      <c r="Q220" s="339"/>
      <c r="R220" s="339"/>
      <c r="S220" s="339"/>
      <c r="T220" s="339"/>
      <c r="U220" s="339"/>
      <c r="V220" s="339"/>
      <c r="W220" s="339"/>
      <c r="X220" s="339"/>
      <c r="Y220" s="339"/>
      <c r="Z220" s="339"/>
    </row>
    <row r="221" spans="1:26" ht="24" customHeight="1">
      <c r="A221" s="336"/>
      <c r="B221" s="336"/>
      <c r="C221" s="336"/>
      <c r="D221" s="336"/>
      <c r="E221" s="336"/>
      <c r="F221" s="336"/>
      <c r="G221" s="336"/>
      <c r="H221" s="336"/>
      <c r="I221" s="338"/>
      <c r="J221" s="336"/>
      <c r="K221" s="338"/>
      <c r="L221" s="338"/>
      <c r="M221" s="338"/>
      <c r="N221" s="338"/>
      <c r="O221" s="338"/>
      <c r="P221" s="339"/>
      <c r="Q221" s="339"/>
      <c r="R221" s="339"/>
      <c r="S221" s="339"/>
      <c r="T221" s="339"/>
      <c r="U221" s="339"/>
      <c r="V221" s="339"/>
      <c r="W221" s="339"/>
      <c r="X221" s="339"/>
      <c r="Y221" s="339"/>
      <c r="Z221" s="339"/>
    </row>
    <row r="222" spans="1:26" ht="24" customHeight="1">
      <c r="A222" s="336"/>
      <c r="B222" s="336"/>
      <c r="C222" s="336"/>
      <c r="D222" s="336"/>
      <c r="E222" s="336"/>
      <c r="F222" s="336"/>
      <c r="G222" s="336"/>
      <c r="H222" s="336"/>
      <c r="I222" s="338"/>
      <c r="J222" s="336"/>
      <c r="K222" s="338"/>
      <c r="L222" s="338"/>
      <c r="M222" s="338"/>
      <c r="N222" s="338"/>
      <c r="O222" s="338"/>
      <c r="P222" s="339"/>
      <c r="Q222" s="339"/>
      <c r="R222" s="339"/>
      <c r="S222" s="339"/>
      <c r="T222" s="339"/>
      <c r="U222" s="339"/>
      <c r="V222" s="339"/>
      <c r="W222" s="339"/>
      <c r="X222" s="339"/>
      <c r="Y222" s="339"/>
      <c r="Z222" s="339"/>
    </row>
    <row r="223" spans="1:26" ht="24" customHeight="1">
      <c r="A223" s="336"/>
      <c r="B223" s="336"/>
      <c r="C223" s="336"/>
      <c r="D223" s="336"/>
      <c r="E223" s="336"/>
      <c r="F223" s="336"/>
      <c r="G223" s="336"/>
      <c r="H223" s="336"/>
      <c r="I223" s="338"/>
      <c r="J223" s="336"/>
      <c r="K223" s="338"/>
      <c r="L223" s="338"/>
      <c r="M223" s="338"/>
      <c r="N223" s="338"/>
      <c r="O223" s="338"/>
      <c r="P223" s="339"/>
      <c r="Q223" s="339"/>
      <c r="R223" s="339"/>
      <c r="S223" s="339"/>
      <c r="T223" s="339"/>
      <c r="U223" s="339"/>
      <c r="V223" s="339"/>
      <c r="W223" s="339"/>
      <c r="X223" s="339"/>
      <c r="Y223" s="339"/>
      <c r="Z223" s="339"/>
    </row>
    <row r="224" spans="1:26" ht="24" customHeight="1">
      <c r="A224" s="336"/>
      <c r="B224" s="336"/>
      <c r="C224" s="336"/>
      <c r="D224" s="336"/>
      <c r="E224" s="336"/>
      <c r="F224" s="336"/>
      <c r="G224" s="336"/>
      <c r="H224" s="336"/>
      <c r="I224" s="338"/>
      <c r="J224" s="336"/>
      <c r="K224" s="338"/>
      <c r="L224" s="338"/>
      <c r="M224" s="338"/>
      <c r="N224" s="338"/>
      <c r="O224" s="338"/>
      <c r="P224" s="339"/>
      <c r="Q224" s="339"/>
      <c r="R224" s="339"/>
      <c r="S224" s="339"/>
      <c r="T224" s="339"/>
      <c r="U224" s="339"/>
      <c r="V224" s="339"/>
      <c r="W224" s="339"/>
      <c r="X224" s="339"/>
      <c r="Y224" s="339"/>
      <c r="Z224" s="339"/>
    </row>
    <row r="225" spans="1:26" ht="24" customHeight="1">
      <c r="A225" s="336"/>
      <c r="B225" s="336"/>
      <c r="C225" s="336"/>
      <c r="D225" s="336"/>
      <c r="E225" s="336"/>
      <c r="F225" s="336"/>
      <c r="G225" s="336"/>
      <c r="H225" s="336"/>
      <c r="I225" s="338"/>
      <c r="J225" s="336"/>
      <c r="K225" s="338"/>
      <c r="L225" s="338"/>
      <c r="M225" s="338"/>
      <c r="N225" s="338"/>
      <c r="O225" s="338"/>
      <c r="P225" s="339"/>
      <c r="Q225" s="339"/>
      <c r="R225" s="339"/>
      <c r="S225" s="339"/>
      <c r="T225" s="339"/>
      <c r="U225" s="339"/>
      <c r="V225" s="339"/>
      <c r="W225" s="339"/>
      <c r="X225" s="339"/>
      <c r="Y225" s="339"/>
      <c r="Z225" s="339"/>
    </row>
    <row r="226" spans="1:26" ht="24" customHeight="1">
      <c r="A226" s="336"/>
      <c r="B226" s="336"/>
      <c r="C226" s="336"/>
      <c r="D226" s="336"/>
      <c r="E226" s="336"/>
      <c r="F226" s="336"/>
      <c r="G226" s="336"/>
      <c r="H226" s="336"/>
      <c r="I226" s="338"/>
      <c r="J226" s="336"/>
      <c r="K226" s="338"/>
      <c r="L226" s="338"/>
      <c r="M226" s="338"/>
      <c r="N226" s="338"/>
      <c r="O226" s="338"/>
      <c r="P226" s="339"/>
      <c r="Q226" s="339"/>
      <c r="R226" s="339"/>
      <c r="S226" s="339"/>
      <c r="T226" s="339"/>
      <c r="U226" s="339"/>
      <c r="V226" s="339"/>
      <c r="W226" s="339"/>
      <c r="X226" s="339"/>
      <c r="Y226" s="339"/>
      <c r="Z226" s="339"/>
    </row>
    <row r="227" spans="1:26" ht="24" customHeight="1">
      <c r="A227" s="336"/>
      <c r="B227" s="336"/>
      <c r="C227" s="336"/>
      <c r="D227" s="336"/>
      <c r="E227" s="336"/>
      <c r="F227" s="336"/>
      <c r="G227" s="336"/>
      <c r="H227" s="336"/>
      <c r="I227" s="338"/>
      <c r="J227" s="336"/>
      <c r="K227" s="338"/>
      <c r="L227" s="338"/>
      <c r="M227" s="338"/>
      <c r="N227" s="338"/>
      <c r="O227" s="338"/>
      <c r="P227" s="339"/>
      <c r="Q227" s="339"/>
      <c r="R227" s="339"/>
      <c r="S227" s="339"/>
      <c r="T227" s="339"/>
      <c r="U227" s="339"/>
      <c r="V227" s="339"/>
      <c r="W227" s="339"/>
      <c r="X227" s="339"/>
      <c r="Y227" s="339"/>
      <c r="Z227" s="339"/>
    </row>
    <row r="228" spans="1:26" ht="24" customHeight="1">
      <c r="A228" s="336"/>
      <c r="B228" s="336"/>
      <c r="C228" s="336"/>
      <c r="D228" s="336"/>
      <c r="E228" s="336"/>
      <c r="F228" s="336"/>
      <c r="G228" s="336"/>
      <c r="H228" s="336"/>
      <c r="I228" s="338"/>
      <c r="J228" s="336"/>
      <c r="K228" s="338"/>
      <c r="L228" s="338"/>
      <c r="M228" s="338"/>
      <c r="N228" s="338"/>
      <c r="O228" s="338"/>
      <c r="P228" s="339"/>
      <c r="Q228" s="339"/>
      <c r="R228" s="339"/>
      <c r="S228" s="339"/>
      <c r="T228" s="339"/>
      <c r="U228" s="339"/>
      <c r="V228" s="339"/>
      <c r="W228" s="339"/>
      <c r="X228" s="339"/>
      <c r="Y228" s="339"/>
      <c r="Z228" s="339"/>
    </row>
    <row r="229" spans="1:26" ht="24" customHeight="1">
      <c r="A229" s="336"/>
      <c r="B229" s="336"/>
      <c r="C229" s="336"/>
      <c r="D229" s="336"/>
      <c r="E229" s="336"/>
      <c r="F229" s="336"/>
      <c r="G229" s="336"/>
      <c r="H229" s="336"/>
      <c r="I229" s="338"/>
      <c r="J229" s="336"/>
      <c r="K229" s="338"/>
      <c r="L229" s="338"/>
      <c r="M229" s="338"/>
      <c r="N229" s="338"/>
      <c r="O229" s="338"/>
      <c r="P229" s="339"/>
      <c r="Q229" s="339"/>
      <c r="R229" s="339"/>
      <c r="S229" s="339"/>
      <c r="T229" s="339"/>
      <c r="U229" s="339"/>
      <c r="V229" s="339"/>
      <c r="W229" s="339"/>
      <c r="X229" s="339"/>
      <c r="Y229" s="339"/>
      <c r="Z229" s="339"/>
    </row>
    <row r="230" spans="1:26" ht="24" customHeight="1">
      <c r="A230" s="336"/>
      <c r="B230" s="336"/>
      <c r="C230" s="336"/>
      <c r="D230" s="336"/>
      <c r="E230" s="336"/>
      <c r="F230" s="336"/>
      <c r="G230" s="336"/>
      <c r="H230" s="336"/>
      <c r="I230" s="338"/>
      <c r="J230" s="336"/>
      <c r="K230" s="338"/>
      <c r="L230" s="338"/>
      <c r="M230" s="338"/>
      <c r="N230" s="338"/>
      <c r="O230" s="338"/>
      <c r="P230" s="339"/>
      <c r="Q230" s="339"/>
      <c r="R230" s="339"/>
      <c r="S230" s="339"/>
      <c r="T230" s="339"/>
      <c r="U230" s="339"/>
      <c r="V230" s="339"/>
      <c r="W230" s="339"/>
      <c r="X230" s="339"/>
      <c r="Y230" s="339"/>
      <c r="Z230" s="339"/>
    </row>
    <row r="231" spans="1:26" ht="24" customHeight="1">
      <c r="A231" s="336"/>
      <c r="B231" s="336"/>
      <c r="C231" s="336"/>
      <c r="D231" s="336"/>
      <c r="E231" s="336"/>
      <c r="F231" s="336"/>
      <c r="G231" s="336"/>
      <c r="H231" s="336"/>
      <c r="I231" s="338"/>
      <c r="J231" s="336"/>
      <c r="K231" s="338"/>
      <c r="L231" s="338"/>
      <c r="M231" s="338"/>
      <c r="N231" s="338"/>
      <c r="O231" s="338"/>
      <c r="P231" s="339"/>
      <c r="Q231" s="339"/>
      <c r="R231" s="339"/>
      <c r="S231" s="339"/>
      <c r="T231" s="339"/>
      <c r="U231" s="339"/>
      <c r="V231" s="339"/>
      <c r="W231" s="339"/>
      <c r="X231" s="339"/>
      <c r="Y231" s="339"/>
      <c r="Z231" s="339"/>
    </row>
    <row r="232" spans="1:26" ht="24" customHeight="1">
      <c r="A232" s="336"/>
      <c r="B232" s="336"/>
      <c r="C232" s="336"/>
      <c r="D232" s="336"/>
      <c r="E232" s="336"/>
      <c r="F232" s="336"/>
      <c r="G232" s="336"/>
      <c r="H232" s="336"/>
      <c r="I232" s="338"/>
      <c r="J232" s="336"/>
      <c r="K232" s="338"/>
      <c r="L232" s="338"/>
      <c r="M232" s="338"/>
      <c r="N232" s="338"/>
      <c r="O232" s="338"/>
      <c r="P232" s="339"/>
      <c r="Q232" s="339"/>
      <c r="R232" s="339"/>
      <c r="S232" s="339"/>
      <c r="T232" s="339"/>
      <c r="U232" s="339"/>
      <c r="V232" s="339"/>
      <c r="W232" s="339"/>
      <c r="X232" s="339"/>
      <c r="Y232" s="339"/>
      <c r="Z232" s="339"/>
    </row>
    <row r="233" spans="1:26" ht="24" customHeight="1">
      <c r="A233" s="336"/>
      <c r="B233" s="336"/>
      <c r="C233" s="336"/>
      <c r="D233" s="336"/>
      <c r="E233" s="336"/>
      <c r="F233" s="336"/>
      <c r="G233" s="336"/>
      <c r="H233" s="336"/>
      <c r="I233" s="338"/>
      <c r="J233" s="336"/>
      <c r="K233" s="338"/>
      <c r="L233" s="338"/>
      <c r="M233" s="338"/>
      <c r="N233" s="338"/>
      <c r="O233" s="338"/>
      <c r="P233" s="339"/>
      <c r="Q233" s="339"/>
      <c r="R233" s="339"/>
      <c r="S233" s="339"/>
      <c r="T233" s="339"/>
      <c r="U233" s="339"/>
      <c r="V233" s="339"/>
      <c r="W233" s="339"/>
      <c r="X233" s="339"/>
      <c r="Y233" s="339"/>
      <c r="Z233" s="339"/>
    </row>
    <row r="234" spans="1:26" ht="24" customHeight="1">
      <c r="A234" s="336"/>
      <c r="B234" s="336"/>
      <c r="C234" s="336"/>
      <c r="D234" s="336"/>
      <c r="E234" s="336"/>
      <c r="F234" s="336"/>
      <c r="G234" s="336"/>
      <c r="H234" s="336"/>
      <c r="I234" s="338"/>
      <c r="J234" s="336"/>
      <c r="K234" s="338"/>
      <c r="L234" s="338"/>
      <c r="M234" s="338"/>
      <c r="N234" s="338"/>
      <c r="O234" s="338"/>
      <c r="P234" s="339"/>
      <c r="Q234" s="339"/>
      <c r="R234" s="339"/>
      <c r="S234" s="339"/>
      <c r="T234" s="339"/>
      <c r="U234" s="339"/>
      <c r="V234" s="339"/>
      <c r="W234" s="339"/>
      <c r="X234" s="339"/>
      <c r="Y234" s="339"/>
      <c r="Z234" s="339"/>
    </row>
    <row r="235" spans="1:26" ht="24" customHeight="1">
      <c r="A235" s="336"/>
      <c r="B235" s="336"/>
      <c r="C235" s="336"/>
      <c r="D235" s="336"/>
      <c r="E235" s="336"/>
      <c r="F235" s="336"/>
      <c r="G235" s="336"/>
      <c r="H235" s="336"/>
      <c r="I235" s="338"/>
      <c r="J235" s="336"/>
      <c r="K235" s="338"/>
      <c r="L235" s="338"/>
      <c r="M235" s="338"/>
      <c r="N235" s="338"/>
      <c r="O235" s="338"/>
      <c r="P235" s="339"/>
      <c r="Q235" s="339"/>
      <c r="R235" s="339"/>
      <c r="S235" s="339"/>
      <c r="T235" s="339"/>
      <c r="U235" s="339"/>
      <c r="V235" s="339"/>
      <c r="W235" s="339"/>
      <c r="X235" s="339"/>
      <c r="Y235" s="339"/>
      <c r="Z235" s="339"/>
    </row>
    <row r="236" spans="1:26" ht="24" customHeight="1">
      <c r="A236" s="336"/>
      <c r="B236" s="336"/>
      <c r="C236" s="336"/>
      <c r="D236" s="336"/>
      <c r="E236" s="336"/>
      <c r="F236" s="336"/>
      <c r="G236" s="336"/>
      <c r="H236" s="336"/>
      <c r="I236" s="338"/>
      <c r="J236" s="336"/>
      <c r="K236" s="338"/>
      <c r="L236" s="338"/>
      <c r="M236" s="338"/>
      <c r="N236" s="338"/>
      <c r="O236" s="338"/>
      <c r="P236" s="339"/>
      <c r="Q236" s="339"/>
      <c r="R236" s="339"/>
      <c r="S236" s="339"/>
      <c r="T236" s="339"/>
      <c r="U236" s="339"/>
      <c r="V236" s="339"/>
      <c r="W236" s="339"/>
      <c r="X236" s="339"/>
      <c r="Y236" s="339"/>
      <c r="Z236" s="339"/>
    </row>
    <row r="237" spans="1:26" ht="24" customHeight="1">
      <c r="A237" s="336"/>
      <c r="B237" s="336"/>
      <c r="C237" s="336"/>
      <c r="D237" s="336"/>
      <c r="E237" s="336"/>
      <c r="F237" s="336"/>
      <c r="G237" s="336"/>
      <c r="H237" s="336"/>
      <c r="I237" s="338"/>
      <c r="J237" s="336"/>
      <c r="K237" s="338"/>
      <c r="L237" s="338"/>
      <c r="M237" s="338"/>
      <c r="N237" s="338"/>
      <c r="O237" s="338"/>
      <c r="P237" s="339"/>
      <c r="Q237" s="339"/>
      <c r="R237" s="339"/>
      <c r="S237" s="339"/>
      <c r="T237" s="339"/>
      <c r="U237" s="339"/>
      <c r="V237" s="339"/>
      <c r="W237" s="339"/>
      <c r="X237" s="339"/>
      <c r="Y237" s="339"/>
      <c r="Z237" s="339"/>
    </row>
    <row r="238" spans="1:26" ht="24" customHeight="1">
      <c r="A238" s="336"/>
      <c r="B238" s="336"/>
      <c r="C238" s="336"/>
      <c r="D238" s="336"/>
      <c r="E238" s="336"/>
      <c r="F238" s="336"/>
      <c r="G238" s="336"/>
      <c r="H238" s="336"/>
      <c r="I238" s="338"/>
      <c r="J238" s="336"/>
      <c r="K238" s="338"/>
      <c r="L238" s="338"/>
      <c r="M238" s="338"/>
      <c r="N238" s="338"/>
      <c r="O238" s="338"/>
      <c r="P238" s="339"/>
      <c r="Q238" s="339"/>
      <c r="R238" s="339"/>
      <c r="S238" s="339"/>
      <c r="T238" s="339"/>
      <c r="U238" s="339"/>
      <c r="V238" s="339"/>
      <c r="W238" s="339"/>
      <c r="X238" s="339"/>
      <c r="Y238" s="339"/>
      <c r="Z238" s="339"/>
    </row>
    <row r="239" spans="1:26" ht="24" customHeight="1">
      <c r="A239" s="336"/>
      <c r="B239" s="336"/>
      <c r="C239" s="336"/>
      <c r="D239" s="336"/>
      <c r="E239" s="336"/>
      <c r="F239" s="336"/>
      <c r="G239" s="336"/>
      <c r="H239" s="336"/>
      <c r="I239" s="338"/>
      <c r="J239" s="336"/>
      <c r="K239" s="338"/>
      <c r="L239" s="338"/>
      <c r="M239" s="338"/>
      <c r="N239" s="338"/>
      <c r="O239" s="338"/>
      <c r="P239" s="339"/>
      <c r="Q239" s="339"/>
      <c r="R239" s="339"/>
      <c r="S239" s="339"/>
      <c r="T239" s="339"/>
      <c r="U239" s="339"/>
      <c r="V239" s="339"/>
      <c r="W239" s="339"/>
      <c r="X239" s="339"/>
      <c r="Y239" s="339"/>
      <c r="Z239" s="339"/>
    </row>
    <row r="240" spans="1:26" ht="24" customHeight="1">
      <c r="A240" s="336"/>
      <c r="B240" s="336"/>
      <c r="C240" s="336"/>
      <c r="D240" s="336"/>
      <c r="E240" s="336"/>
      <c r="F240" s="336"/>
      <c r="G240" s="336"/>
      <c r="H240" s="336"/>
      <c r="I240" s="338"/>
      <c r="J240" s="336"/>
      <c r="K240" s="338"/>
      <c r="L240" s="338"/>
      <c r="M240" s="338"/>
      <c r="N240" s="338"/>
      <c r="O240" s="338"/>
      <c r="P240" s="339"/>
      <c r="Q240" s="339"/>
      <c r="R240" s="339"/>
      <c r="S240" s="339"/>
      <c r="T240" s="339"/>
      <c r="U240" s="339"/>
      <c r="V240" s="339"/>
      <c r="W240" s="339"/>
      <c r="X240" s="339"/>
      <c r="Y240" s="339"/>
      <c r="Z240" s="339"/>
    </row>
    <row r="241" spans="1:26" ht="24" customHeight="1">
      <c r="A241" s="336"/>
      <c r="B241" s="336"/>
      <c r="C241" s="336"/>
      <c r="D241" s="336"/>
      <c r="E241" s="336"/>
      <c r="F241" s="336"/>
      <c r="G241" s="336"/>
      <c r="H241" s="336"/>
      <c r="I241" s="338"/>
      <c r="J241" s="336"/>
      <c r="K241" s="338"/>
      <c r="L241" s="338"/>
      <c r="M241" s="338"/>
      <c r="N241" s="338"/>
      <c r="O241" s="338"/>
      <c r="P241" s="339"/>
      <c r="Q241" s="339"/>
      <c r="R241" s="339"/>
      <c r="S241" s="339"/>
      <c r="T241" s="339"/>
      <c r="U241" s="339"/>
      <c r="V241" s="339"/>
      <c r="W241" s="339"/>
      <c r="X241" s="339"/>
      <c r="Y241" s="339"/>
      <c r="Z241" s="339"/>
    </row>
    <row r="242" spans="1:26" ht="24" customHeight="1">
      <c r="A242" s="336"/>
      <c r="B242" s="336"/>
      <c r="C242" s="336"/>
      <c r="D242" s="336"/>
      <c r="E242" s="336"/>
      <c r="F242" s="336"/>
      <c r="G242" s="336"/>
      <c r="H242" s="336"/>
      <c r="I242" s="338"/>
      <c r="J242" s="336"/>
      <c r="K242" s="338"/>
      <c r="L242" s="338"/>
      <c r="M242" s="338"/>
      <c r="N242" s="338"/>
      <c r="O242" s="338"/>
      <c r="P242" s="339"/>
      <c r="Q242" s="339"/>
      <c r="R242" s="339"/>
      <c r="S242" s="339"/>
      <c r="T242" s="339"/>
      <c r="U242" s="339"/>
      <c r="V242" s="339"/>
      <c r="W242" s="339"/>
      <c r="X242" s="339"/>
      <c r="Y242" s="339"/>
      <c r="Z242" s="339"/>
    </row>
    <row r="243" spans="1:26" ht="24" customHeight="1">
      <c r="A243" s="336"/>
      <c r="B243" s="336"/>
      <c r="C243" s="336"/>
      <c r="D243" s="336"/>
      <c r="E243" s="336"/>
      <c r="F243" s="336"/>
      <c r="G243" s="336"/>
      <c r="H243" s="336"/>
      <c r="I243" s="338"/>
      <c r="J243" s="336"/>
      <c r="K243" s="338"/>
      <c r="L243" s="338"/>
      <c r="M243" s="338"/>
      <c r="N243" s="338"/>
      <c r="O243" s="338"/>
      <c r="P243" s="339"/>
      <c r="Q243" s="339"/>
      <c r="R243" s="339"/>
      <c r="S243" s="339"/>
      <c r="T243" s="339"/>
      <c r="U243" s="339"/>
      <c r="V243" s="339"/>
      <c r="W243" s="339"/>
      <c r="X243" s="339"/>
      <c r="Y243" s="339"/>
      <c r="Z243" s="339"/>
    </row>
    <row r="244" spans="1:26" ht="24" customHeight="1">
      <c r="A244" s="336"/>
      <c r="B244" s="336"/>
      <c r="C244" s="336"/>
      <c r="D244" s="336"/>
      <c r="E244" s="336"/>
      <c r="F244" s="336"/>
      <c r="G244" s="336"/>
      <c r="H244" s="336"/>
      <c r="I244" s="338"/>
      <c r="J244" s="336"/>
      <c r="K244" s="338"/>
      <c r="L244" s="338"/>
      <c r="M244" s="338"/>
      <c r="N244" s="338"/>
      <c r="O244" s="338"/>
      <c r="P244" s="339"/>
      <c r="Q244" s="339"/>
      <c r="R244" s="339"/>
      <c r="S244" s="339"/>
      <c r="T244" s="339"/>
      <c r="U244" s="339"/>
      <c r="V244" s="339"/>
      <c r="W244" s="339"/>
      <c r="X244" s="339"/>
      <c r="Y244" s="339"/>
      <c r="Z244" s="339"/>
    </row>
    <row r="245" spans="1:26" ht="24" customHeight="1">
      <c r="A245" s="336"/>
      <c r="B245" s="336"/>
      <c r="C245" s="336"/>
      <c r="D245" s="336"/>
      <c r="E245" s="336"/>
      <c r="F245" s="336"/>
      <c r="G245" s="336"/>
      <c r="H245" s="336"/>
      <c r="I245" s="338"/>
      <c r="J245" s="336"/>
      <c r="K245" s="338"/>
      <c r="L245" s="338"/>
      <c r="M245" s="338"/>
      <c r="N245" s="338"/>
      <c r="O245" s="338"/>
      <c r="P245" s="339"/>
      <c r="Q245" s="339"/>
      <c r="R245" s="339"/>
      <c r="S245" s="339"/>
      <c r="T245" s="339"/>
      <c r="U245" s="339"/>
      <c r="V245" s="339"/>
      <c r="W245" s="339"/>
      <c r="X245" s="339"/>
      <c r="Y245" s="339"/>
      <c r="Z245" s="339"/>
    </row>
    <row r="246" spans="1:26" ht="24" customHeight="1">
      <c r="A246" s="336"/>
      <c r="B246" s="336"/>
      <c r="C246" s="336"/>
      <c r="D246" s="336"/>
      <c r="E246" s="336"/>
      <c r="F246" s="336"/>
      <c r="G246" s="336"/>
      <c r="H246" s="336"/>
      <c r="I246" s="338"/>
      <c r="J246" s="336"/>
      <c r="K246" s="338"/>
      <c r="L246" s="338"/>
      <c r="M246" s="338"/>
      <c r="N246" s="338"/>
      <c r="O246" s="338"/>
      <c r="P246" s="339"/>
      <c r="Q246" s="339"/>
      <c r="R246" s="339"/>
      <c r="S246" s="339"/>
      <c r="T246" s="339"/>
      <c r="U246" s="339"/>
      <c r="V246" s="339"/>
      <c r="W246" s="339"/>
      <c r="X246" s="339"/>
      <c r="Y246" s="339"/>
      <c r="Z246" s="339"/>
    </row>
    <row r="247" spans="1:26" ht="24" customHeight="1">
      <c r="A247" s="336"/>
      <c r="B247" s="336"/>
      <c r="C247" s="336"/>
      <c r="D247" s="336"/>
      <c r="E247" s="336"/>
      <c r="F247" s="336"/>
      <c r="G247" s="336"/>
      <c r="H247" s="336"/>
      <c r="I247" s="338"/>
      <c r="J247" s="336"/>
      <c r="K247" s="338"/>
      <c r="L247" s="338"/>
      <c r="M247" s="338"/>
      <c r="N247" s="338"/>
      <c r="O247" s="338"/>
      <c r="P247" s="339"/>
      <c r="Q247" s="339"/>
      <c r="R247" s="339"/>
      <c r="S247" s="339"/>
      <c r="T247" s="339"/>
      <c r="U247" s="339"/>
      <c r="V247" s="339"/>
      <c r="W247" s="339"/>
      <c r="X247" s="339"/>
      <c r="Y247" s="339"/>
      <c r="Z247" s="339"/>
    </row>
    <row r="248" spans="1:26" ht="24" customHeight="1">
      <c r="A248" s="336"/>
      <c r="B248" s="336"/>
      <c r="C248" s="336"/>
      <c r="D248" s="336"/>
      <c r="E248" s="336"/>
      <c r="F248" s="336"/>
      <c r="G248" s="336"/>
      <c r="H248" s="336"/>
      <c r="I248" s="338"/>
      <c r="J248" s="336"/>
      <c r="K248" s="338"/>
      <c r="L248" s="338"/>
      <c r="M248" s="338"/>
      <c r="N248" s="338"/>
      <c r="O248" s="338"/>
      <c r="P248" s="339"/>
      <c r="Q248" s="339"/>
      <c r="R248" s="339"/>
      <c r="S248" s="339"/>
      <c r="T248" s="339"/>
      <c r="U248" s="339"/>
      <c r="V248" s="339"/>
      <c r="W248" s="339"/>
      <c r="X248" s="339"/>
      <c r="Y248" s="339"/>
      <c r="Z248" s="339"/>
    </row>
    <row r="249" spans="1:26" ht="24" customHeight="1">
      <c r="A249" s="336"/>
      <c r="B249" s="336"/>
      <c r="C249" s="336"/>
      <c r="D249" s="336"/>
      <c r="E249" s="336"/>
      <c r="F249" s="336"/>
      <c r="G249" s="336"/>
      <c r="H249" s="336"/>
      <c r="I249" s="338"/>
      <c r="J249" s="336"/>
      <c r="K249" s="338"/>
      <c r="L249" s="338"/>
      <c r="M249" s="338"/>
      <c r="N249" s="338"/>
      <c r="O249" s="338"/>
      <c r="P249" s="339"/>
      <c r="Q249" s="339"/>
      <c r="R249" s="339"/>
      <c r="S249" s="339"/>
      <c r="T249" s="339"/>
      <c r="U249" s="339"/>
      <c r="V249" s="339"/>
      <c r="W249" s="339"/>
      <c r="X249" s="339"/>
      <c r="Y249" s="339"/>
      <c r="Z249" s="339"/>
    </row>
    <row r="250" spans="1:26" ht="24" customHeight="1">
      <c r="A250" s="336"/>
      <c r="B250" s="336"/>
      <c r="C250" s="336"/>
      <c r="D250" s="336"/>
      <c r="E250" s="336"/>
      <c r="F250" s="336"/>
      <c r="G250" s="336"/>
      <c r="H250" s="336"/>
      <c r="I250" s="338"/>
      <c r="J250" s="336"/>
      <c r="K250" s="338"/>
      <c r="L250" s="338"/>
      <c r="M250" s="338"/>
      <c r="N250" s="338"/>
      <c r="O250" s="338"/>
      <c r="P250" s="339"/>
      <c r="Q250" s="339"/>
      <c r="R250" s="339"/>
      <c r="S250" s="339"/>
      <c r="T250" s="339"/>
      <c r="U250" s="339"/>
      <c r="V250" s="339"/>
      <c r="W250" s="339"/>
      <c r="X250" s="339"/>
      <c r="Y250" s="339"/>
      <c r="Z250" s="339"/>
    </row>
    <row r="251" spans="1:26" ht="24" customHeight="1">
      <c r="A251" s="336"/>
      <c r="B251" s="336"/>
      <c r="C251" s="336"/>
      <c r="D251" s="336"/>
      <c r="E251" s="336"/>
      <c r="F251" s="336"/>
      <c r="G251" s="336"/>
      <c r="H251" s="336"/>
      <c r="I251" s="338"/>
      <c r="J251" s="336"/>
      <c r="K251" s="338"/>
      <c r="L251" s="338"/>
      <c r="M251" s="338"/>
      <c r="N251" s="338"/>
      <c r="O251" s="338"/>
      <c r="P251" s="339"/>
      <c r="Q251" s="339"/>
      <c r="R251" s="339"/>
      <c r="S251" s="339"/>
      <c r="T251" s="339"/>
      <c r="U251" s="339"/>
      <c r="V251" s="339"/>
      <c r="W251" s="339"/>
      <c r="X251" s="339"/>
      <c r="Y251" s="339"/>
      <c r="Z251" s="339"/>
    </row>
    <row r="252" spans="1:26" ht="24" customHeight="1">
      <c r="A252" s="336"/>
      <c r="B252" s="336"/>
      <c r="C252" s="336"/>
      <c r="D252" s="336"/>
      <c r="E252" s="336"/>
      <c r="F252" s="336"/>
      <c r="G252" s="336"/>
      <c r="H252" s="336"/>
      <c r="I252" s="338"/>
      <c r="J252" s="336"/>
      <c r="K252" s="338"/>
      <c r="L252" s="338"/>
      <c r="M252" s="338"/>
      <c r="N252" s="338"/>
      <c r="O252" s="338"/>
      <c r="P252" s="339"/>
      <c r="Q252" s="339"/>
      <c r="R252" s="339"/>
      <c r="S252" s="339"/>
      <c r="T252" s="339"/>
      <c r="U252" s="339"/>
      <c r="V252" s="339"/>
      <c r="W252" s="339"/>
      <c r="X252" s="339"/>
      <c r="Y252" s="339"/>
      <c r="Z252" s="339"/>
    </row>
    <row r="253" spans="1:26" ht="24" customHeight="1">
      <c r="A253" s="336"/>
      <c r="B253" s="336"/>
      <c r="C253" s="336"/>
      <c r="D253" s="336"/>
      <c r="E253" s="336"/>
      <c r="F253" s="336"/>
      <c r="G253" s="336"/>
      <c r="H253" s="336"/>
      <c r="I253" s="338"/>
      <c r="J253" s="336"/>
      <c r="K253" s="338"/>
      <c r="L253" s="338"/>
      <c r="M253" s="338"/>
      <c r="N253" s="338"/>
      <c r="O253" s="338"/>
      <c r="P253" s="339"/>
      <c r="Q253" s="339"/>
      <c r="R253" s="339"/>
      <c r="S253" s="339"/>
      <c r="T253" s="339"/>
      <c r="U253" s="339"/>
      <c r="V253" s="339"/>
      <c r="W253" s="339"/>
      <c r="X253" s="339"/>
      <c r="Y253" s="339"/>
      <c r="Z253" s="339"/>
    </row>
    <row r="254" spans="1:26" ht="24" customHeight="1">
      <c r="A254" s="336"/>
      <c r="B254" s="336"/>
      <c r="C254" s="336"/>
      <c r="D254" s="336"/>
      <c r="E254" s="336"/>
      <c r="F254" s="336"/>
      <c r="G254" s="336"/>
      <c r="H254" s="336"/>
      <c r="I254" s="338"/>
      <c r="J254" s="336"/>
      <c r="K254" s="338"/>
      <c r="L254" s="338"/>
      <c r="M254" s="338"/>
      <c r="N254" s="338"/>
      <c r="O254" s="338"/>
      <c r="P254" s="339"/>
      <c r="Q254" s="339"/>
      <c r="R254" s="339"/>
      <c r="S254" s="339"/>
      <c r="T254" s="339"/>
      <c r="U254" s="339"/>
      <c r="V254" s="339"/>
      <c r="W254" s="339"/>
      <c r="X254" s="339"/>
      <c r="Y254" s="339"/>
      <c r="Z254" s="339"/>
    </row>
    <row r="255" spans="1:26" ht="24" customHeight="1">
      <c r="A255" s="336"/>
      <c r="B255" s="336"/>
      <c r="C255" s="336"/>
      <c r="D255" s="336"/>
      <c r="E255" s="336"/>
      <c r="F255" s="336"/>
      <c r="G255" s="336"/>
      <c r="H255" s="336"/>
      <c r="I255" s="338"/>
      <c r="J255" s="336"/>
      <c r="K255" s="338"/>
      <c r="L255" s="338"/>
      <c r="M255" s="338"/>
      <c r="N255" s="338"/>
      <c r="O255" s="338"/>
      <c r="P255" s="339"/>
      <c r="Q255" s="339"/>
      <c r="R255" s="339"/>
      <c r="S255" s="339"/>
      <c r="T255" s="339"/>
      <c r="U255" s="339"/>
      <c r="V255" s="339"/>
      <c r="W255" s="339"/>
      <c r="X255" s="339"/>
      <c r="Y255" s="339"/>
      <c r="Z255" s="339"/>
    </row>
    <row r="256" spans="1:26" ht="24" customHeight="1">
      <c r="A256" s="336"/>
      <c r="B256" s="336"/>
      <c r="C256" s="336"/>
      <c r="D256" s="336"/>
      <c r="E256" s="336"/>
      <c r="F256" s="336"/>
      <c r="G256" s="336"/>
      <c r="H256" s="336"/>
      <c r="I256" s="338"/>
      <c r="J256" s="336"/>
      <c r="K256" s="338"/>
      <c r="L256" s="338"/>
      <c r="M256" s="338"/>
      <c r="N256" s="338"/>
      <c r="O256" s="338"/>
      <c r="P256" s="339"/>
      <c r="Q256" s="339"/>
      <c r="R256" s="339"/>
      <c r="S256" s="339"/>
      <c r="T256" s="339"/>
      <c r="U256" s="339"/>
      <c r="V256" s="339"/>
      <c r="W256" s="339"/>
      <c r="X256" s="339"/>
      <c r="Y256" s="339"/>
      <c r="Z256" s="339"/>
    </row>
    <row r="257" spans="1:26" ht="24" customHeight="1">
      <c r="A257" s="336"/>
      <c r="B257" s="336"/>
      <c r="C257" s="336"/>
      <c r="D257" s="336"/>
      <c r="E257" s="336"/>
      <c r="F257" s="336"/>
      <c r="G257" s="336"/>
      <c r="H257" s="336"/>
      <c r="I257" s="338"/>
      <c r="J257" s="336"/>
      <c r="K257" s="338"/>
      <c r="L257" s="338"/>
      <c r="M257" s="338"/>
      <c r="N257" s="338"/>
      <c r="O257" s="338"/>
      <c r="P257" s="339"/>
      <c r="Q257" s="339"/>
      <c r="R257" s="339"/>
      <c r="S257" s="339"/>
      <c r="T257" s="339"/>
      <c r="U257" s="339"/>
      <c r="V257" s="339"/>
      <c r="W257" s="339"/>
      <c r="X257" s="339"/>
      <c r="Y257" s="339"/>
      <c r="Z257" s="339"/>
    </row>
    <row r="258" spans="1:26" ht="24" customHeight="1">
      <c r="A258" s="336"/>
      <c r="B258" s="336"/>
      <c r="C258" s="336"/>
      <c r="D258" s="336"/>
      <c r="E258" s="336"/>
      <c r="F258" s="336"/>
      <c r="G258" s="336"/>
      <c r="H258" s="336"/>
      <c r="I258" s="338"/>
      <c r="J258" s="336"/>
      <c r="K258" s="338"/>
      <c r="L258" s="338"/>
      <c r="M258" s="338"/>
      <c r="N258" s="338"/>
      <c r="O258" s="338"/>
      <c r="P258" s="339"/>
      <c r="Q258" s="339"/>
      <c r="R258" s="339"/>
      <c r="S258" s="339"/>
      <c r="T258" s="339"/>
      <c r="U258" s="339"/>
      <c r="V258" s="339"/>
      <c r="W258" s="339"/>
      <c r="X258" s="339"/>
      <c r="Y258" s="339"/>
      <c r="Z258" s="339"/>
    </row>
    <row r="259" spans="1:26" ht="24" customHeight="1">
      <c r="A259" s="336"/>
      <c r="B259" s="336"/>
      <c r="C259" s="336"/>
      <c r="D259" s="336"/>
      <c r="E259" s="336"/>
      <c r="F259" s="336"/>
      <c r="G259" s="336"/>
      <c r="H259" s="336"/>
      <c r="I259" s="338"/>
      <c r="J259" s="336"/>
      <c r="K259" s="338"/>
      <c r="L259" s="338"/>
      <c r="M259" s="338"/>
      <c r="N259" s="338"/>
      <c r="O259" s="338"/>
      <c r="P259" s="339"/>
      <c r="Q259" s="339"/>
      <c r="R259" s="339"/>
      <c r="S259" s="339"/>
      <c r="T259" s="339"/>
      <c r="U259" s="339"/>
      <c r="V259" s="339"/>
      <c r="W259" s="339"/>
      <c r="X259" s="339"/>
      <c r="Y259" s="339"/>
      <c r="Z259" s="339"/>
    </row>
    <row r="260" spans="1:26" ht="24" customHeight="1">
      <c r="A260" s="336"/>
      <c r="B260" s="336"/>
      <c r="C260" s="336"/>
      <c r="D260" s="336"/>
      <c r="E260" s="336"/>
      <c r="F260" s="336"/>
      <c r="G260" s="336"/>
      <c r="H260" s="336"/>
      <c r="I260" s="338"/>
      <c r="J260" s="336"/>
      <c r="K260" s="338"/>
      <c r="L260" s="338"/>
      <c r="M260" s="338"/>
      <c r="N260" s="338"/>
      <c r="O260" s="338"/>
      <c r="P260" s="339"/>
      <c r="Q260" s="339"/>
      <c r="R260" s="339"/>
      <c r="S260" s="339"/>
      <c r="T260" s="339"/>
      <c r="U260" s="339"/>
      <c r="V260" s="339"/>
      <c r="W260" s="339"/>
      <c r="X260" s="339"/>
      <c r="Y260" s="339"/>
      <c r="Z260" s="339"/>
    </row>
    <row r="261" spans="1:26" ht="24" customHeight="1">
      <c r="A261" s="336"/>
      <c r="B261" s="336"/>
      <c r="C261" s="336"/>
      <c r="D261" s="336"/>
      <c r="E261" s="336"/>
      <c r="F261" s="336"/>
      <c r="G261" s="336"/>
      <c r="H261" s="336"/>
      <c r="I261" s="338"/>
      <c r="J261" s="336"/>
      <c r="K261" s="338"/>
      <c r="L261" s="338"/>
      <c r="M261" s="338"/>
      <c r="N261" s="338"/>
      <c r="O261" s="338"/>
      <c r="P261" s="339"/>
      <c r="Q261" s="339"/>
      <c r="R261" s="339"/>
      <c r="S261" s="339"/>
      <c r="T261" s="339"/>
      <c r="U261" s="339"/>
      <c r="V261" s="339"/>
      <c r="W261" s="339"/>
      <c r="X261" s="339"/>
      <c r="Y261" s="339"/>
      <c r="Z261" s="339"/>
    </row>
    <row r="262" spans="1:26" ht="24" customHeight="1">
      <c r="A262" s="336"/>
      <c r="B262" s="336"/>
      <c r="C262" s="336"/>
      <c r="D262" s="336"/>
      <c r="E262" s="336"/>
      <c r="F262" s="336"/>
      <c r="G262" s="336"/>
      <c r="H262" s="336"/>
      <c r="I262" s="338"/>
      <c r="J262" s="336"/>
      <c r="K262" s="338"/>
      <c r="L262" s="338"/>
      <c r="M262" s="338"/>
      <c r="N262" s="338"/>
      <c r="O262" s="338"/>
      <c r="P262" s="339"/>
      <c r="Q262" s="339"/>
      <c r="R262" s="339"/>
      <c r="S262" s="339"/>
      <c r="T262" s="339"/>
      <c r="U262" s="339"/>
      <c r="V262" s="339"/>
      <c r="W262" s="339"/>
      <c r="X262" s="339"/>
      <c r="Y262" s="339"/>
      <c r="Z262" s="339"/>
    </row>
    <row r="263" spans="1:26" ht="24" customHeight="1">
      <c r="A263" s="336"/>
      <c r="B263" s="336"/>
      <c r="C263" s="336"/>
      <c r="D263" s="336"/>
      <c r="E263" s="336"/>
      <c r="F263" s="336"/>
      <c r="G263" s="336"/>
      <c r="H263" s="336"/>
      <c r="I263" s="338"/>
      <c r="J263" s="336"/>
      <c r="K263" s="338"/>
      <c r="L263" s="338"/>
      <c r="M263" s="338"/>
      <c r="N263" s="338"/>
      <c r="O263" s="338"/>
      <c r="P263" s="339"/>
      <c r="Q263" s="339"/>
      <c r="R263" s="339"/>
      <c r="S263" s="339"/>
      <c r="T263" s="339"/>
      <c r="U263" s="339"/>
      <c r="V263" s="339"/>
      <c r="W263" s="339"/>
      <c r="X263" s="339"/>
      <c r="Y263" s="339"/>
      <c r="Z263" s="339"/>
    </row>
    <row r="264" spans="1:26" ht="24" customHeight="1">
      <c r="A264" s="336"/>
      <c r="B264" s="336"/>
      <c r="C264" s="336"/>
      <c r="D264" s="336"/>
      <c r="E264" s="336"/>
      <c r="F264" s="336"/>
      <c r="G264" s="336"/>
      <c r="H264" s="336"/>
      <c r="I264" s="338"/>
      <c r="J264" s="336"/>
      <c r="K264" s="338"/>
      <c r="L264" s="338"/>
      <c r="M264" s="338"/>
      <c r="N264" s="338"/>
      <c r="O264" s="338"/>
      <c r="P264" s="339"/>
      <c r="Q264" s="339"/>
      <c r="R264" s="339"/>
      <c r="S264" s="339"/>
      <c r="T264" s="339"/>
      <c r="U264" s="339"/>
      <c r="V264" s="339"/>
      <c r="W264" s="339"/>
      <c r="X264" s="339"/>
      <c r="Y264" s="339"/>
      <c r="Z264" s="339"/>
    </row>
    <row r="265" spans="1:26" ht="24" customHeight="1">
      <c r="A265" s="336"/>
      <c r="B265" s="336"/>
      <c r="C265" s="336"/>
      <c r="D265" s="336"/>
      <c r="E265" s="336"/>
      <c r="F265" s="336"/>
      <c r="G265" s="336"/>
      <c r="H265" s="336"/>
      <c r="I265" s="338"/>
      <c r="J265" s="336"/>
      <c r="K265" s="338"/>
      <c r="L265" s="338"/>
      <c r="M265" s="338"/>
      <c r="N265" s="338"/>
      <c r="O265" s="338"/>
      <c r="P265" s="339"/>
      <c r="Q265" s="339"/>
      <c r="R265" s="339"/>
      <c r="S265" s="339"/>
      <c r="T265" s="339"/>
      <c r="U265" s="339"/>
      <c r="V265" s="339"/>
      <c r="W265" s="339"/>
      <c r="X265" s="339"/>
      <c r="Y265" s="339"/>
      <c r="Z265" s="339"/>
    </row>
    <row r="266" spans="1:26" ht="24" customHeight="1">
      <c r="A266" s="336"/>
      <c r="B266" s="336"/>
      <c r="C266" s="336"/>
      <c r="D266" s="336"/>
      <c r="E266" s="336"/>
      <c r="F266" s="336"/>
      <c r="G266" s="336"/>
      <c r="H266" s="336"/>
      <c r="I266" s="338"/>
      <c r="J266" s="336"/>
      <c r="K266" s="338"/>
      <c r="L266" s="338"/>
      <c r="M266" s="338"/>
      <c r="N266" s="338"/>
      <c r="O266" s="338"/>
      <c r="P266" s="339"/>
      <c r="Q266" s="339"/>
      <c r="R266" s="339"/>
      <c r="S266" s="339"/>
      <c r="T266" s="339"/>
      <c r="U266" s="339"/>
      <c r="V266" s="339"/>
      <c r="W266" s="339"/>
      <c r="X266" s="339"/>
      <c r="Y266" s="339"/>
      <c r="Z266" s="339"/>
    </row>
    <row r="267" spans="1:26" ht="24" customHeight="1">
      <c r="A267" s="336"/>
      <c r="B267" s="336"/>
      <c r="C267" s="336"/>
      <c r="D267" s="336"/>
      <c r="E267" s="336"/>
      <c r="F267" s="336"/>
      <c r="G267" s="336"/>
      <c r="H267" s="336"/>
      <c r="I267" s="338"/>
      <c r="J267" s="336"/>
      <c r="K267" s="338"/>
      <c r="L267" s="338"/>
      <c r="M267" s="338"/>
      <c r="N267" s="338"/>
      <c r="O267" s="338"/>
      <c r="P267" s="339"/>
      <c r="Q267" s="339"/>
      <c r="R267" s="339"/>
      <c r="S267" s="339"/>
      <c r="T267" s="339"/>
      <c r="U267" s="339"/>
      <c r="V267" s="339"/>
      <c r="W267" s="339"/>
      <c r="X267" s="339"/>
      <c r="Y267" s="339"/>
      <c r="Z267" s="339"/>
    </row>
    <row r="268" spans="1:26" ht="24" customHeight="1">
      <c r="A268" s="336"/>
      <c r="B268" s="336"/>
      <c r="C268" s="336"/>
      <c r="D268" s="336"/>
      <c r="E268" s="336"/>
      <c r="F268" s="336"/>
      <c r="G268" s="336"/>
      <c r="H268" s="336"/>
      <c r="I268" s="338"/>
      <c r="J268" s="336"/>
      <c r="K268" s="338"/>
      <c r="L268" s="338"/>
      <c r="M268" s="338"/>
      <c r="N268" s="338"/>
      <c r="O268" s="338"/>
      <c r="P268" s="339"/>
      <c r="Q268" s="339"/>
      <c r="R268" s="339"/>
      <c r="S268" s="339"/>
      <c r="T268" s="339"/>
      <c r="U268" s="339"/>
      <c r="V268" s="339"/>
      <c r="W268" s="339"/>
      <c r="X268" s="339"/>
      <c r="Y268" s="339"/>
      <c r="Z268" s="339"/>
    </row>
    <row r="269" spans="1:26" ht="24" customHeight="1">
      <c r="A269" s="336"/>
      <c r="B269" s="336"/>
      <c r="C269" s="336"/>
      <c r="D269" s="336"/>
      <c r="E269" s="336"/>
      <c r="F269" s="336"/>
      <c r="G269" s="336"/>
      <c r="H269" s="336"/>
      <c r="I269" s="338"/>
      <c r="J269" s="336"/>
      <c r="K269" s="338"/>
      <c r="L269" s="338"/>
      <c r="M269" s="338"/>
      <c r="N269" s="338"/>
      <c r="O269" s="338"/>
      <c r="P269" s="339"/>
      <c r="Q269" s="339"/>
      <c r="R269" s="339"/>
      <c r="S269" s="339"/>
      <c r="T269" s="339"/>
      <c r="U269" s="339"/>
      <c r="V269" s="339"/>
      <c r="W269" s="339"/>
      <c r="X269" s="339"/>
      <c r="Y269" s="339"/>
      <c r="Z269" s="339"/>
    </row>
    <row r="270" spans="1:26" ht="24" customHeight="1">
      <c r="A270" s="336"/>
      <c r="B270" s="336"/>
      <c r="C270" s="336"/>
      <c r="D270" s="336"/>
      <c r="E270" s="336"/>
      <c r="F270" s="336"/>
      <c r="G270" s="336"/>
      <c r="H270" s="336"/>
      <c r="I270" s="338"/>
      <c r="J270" s="336"/>
      <c r="K270" s="338"/>
      <c r="L270" s="338"/>
      <c r="M270" s="338"/>
      <c r="N270" s="338"/>
      <c r="O270" s="338"/>
      <c r="P270" s="339"/>
      <c r="Q270" s="339"/>
      <c r="R270" s="339"/>
      <c r="S270" s="339"/>
      <c r="T270" s="339"/>
      <c r="U270" s="339"/>
      <c r="V270" s="339"/>
      <c r="W270" s="339"/>
      <c r="X270" s="339"/>
      <c r="Y270" s="339"/>
      <c r="Z270" s="339"/>
    </row>
    <row r="271" spans="1:26" ht="24" customHeight="1">
      <c r="A271" s="336"/>
      <c r="B271" s="336"/>
      <c r="C271" s="336"/>
      <c r="D271" s="336"/>
      <c r="E271" s="336"/>
      <c r="F271" s="336"/>
      <c r="G271" s="336"/>
      <c r="H271" s="336"/>
      <c r="I271" s="338"/>
      <c r="J271" s="336"/>
      <c r="K271" s="338"/>
      <c r="L271" s="338"/>
      <c r="M271" s="338"/>
      <c r="N271" s="338"/>
      <c r="O271" s="338"/>
      <c r="P271" s="339"/>
      <c r="Q271" s="339"/>
      <c r="R271" s="339"/>
      <c r="S271" s="339"/>
      <c r="T271" s="339"/>
      <c r="U271" s="339"/>
      <c r="V271" s="339"/>
      <c r="W271" s="339"/>
      <c r="X271" s="339"/>
      <c r="Y271" s="339"/>
      <c r="Z271" s="339"/>
    </row>
    <row r="272" spans="1:26" ht="24" customHeight="1">
      <c r="A272" s="336"/>
      <c r="B272" s="336"/>
      <c r="C272" s="336"/>
      <c r="D272" s="336"/>
      <c r="E272" s="336"/>
      <c r="F272" s="336"/>
      <c r="G272" s="336"/>
      <c r="H272" s="336"/>
      <c r="I272" s="338"/>
      <c r="J272" s="336"/>
      <c r="K272" s="338"/>
      <c r="L272" s="338"/>
      <c r="M272" s="338"/>
      <c r="N272" s="338"/>
      <c r="O272" s="338"/>
      <c r="P272" s="339"/>
      <c r="Q272" s="339"/>
      <c r="R272" s="339"/>
      <c r="S272" s="339"/>
      <c r="T272" s="339"/>
      <c r="U272" s="339"/>
      <c r="V272" s="339"/>
      <c r="W272" s="339"/>
      <c r="X272" s="339"/>
      <c r="Y272" s="339"/>
      <c r="Z272" s="339"/>
    </row>
    <row r="273" spans="1:26" ht="24" customHeight="1">
      <c r="A273" s="336"/>
      <c r="B273" s="336"/>
      <c r="C273" s="336"/>
      <c r="D273" s="336"/>
      <c r="E273" s="336"/>
      <c r="F273" s="336"/>
      <c r="G273" s="336"/>
      <c r="H273" s="336"/>
      <c r="I273" s="338"/>
      <c r="J273" s="336"/>
      <c r="K273" s="338"/>
      <c r="L273" s="338"/>
      <c r="M273" s="338"/>
      <c r="N273" s="338"/>
      <c r="O273" s="338"/>
      <c r="P273" s="339"/>
      <c r="Q273" s="339"/>
      <c r="R273" s="339"/>
      <c r="S273" s="339"/>
      <c r="T273" s="339"/>
      <c r="U273" s="339"/>
      <c r="V273" s="339"/>
      <c r="W273" s="339"/>
      <c r="X273" s="339"/>
      <c r="Y273" s="339"/>
      <c r="Z273" s="339"/>
    </row>
    <row r="274" spans="1:26" ht="24" customHeight="1">
      <c r="A274" s="336"/>
      <c r="B274" s="336"/>
      <c r="C274" s="336"/>
      <c r="D274" s="336"/>
      <c r="E274" s="336"/>
      <c r="F274" s="336"/>
      <c r="G274" s="336"/>
      <c r="H274" s="336"/>
      <c r="I274" s="338"/>
      <c r="J274" s="336"/>
      <c r="K274" s="338"/>
      <c r="L274" s="338"/>
      <c r="M274" s="338"/>
      <c r="N274" s="338"/>
      <c r="O274" s="338"/>
      <c r="P274" s="339"/>
      <c r="Q274" s="339"/>
      <c r="R274" s="339"/>
      <c r="S274" s="339"/>
      <c r="T274" s="339"/>
      <c r="U274" s="339"/>
      <c r="V274" s="339"/>
      <c r="W274" s="339"/>
      <c r="X274" s="339"/>
      <c r="Y274" s="339"/>
      <c r="Z274" s="339"/>
    </row>
    <row r="275" spans="1:26" ht="24" customHeight="1">
      <c r="A275" s="336"/>
      <c r="B275" s="336"/>
      <c r="C275" s="336"/>
      <c r="D275" s="336"/>
      <c r="E275" s="336"/>
      <c r="F275" s="336"/>
      <c r="G275" s="336"/>
      <c r="H275" s="336"/>
      <c r="I275" s="338"/>
      <c r="J275" s="336"/>
      <c r="K275" s="338"/>
      <c r="L275" s="338"/>
      <c r="M275" s="338"/>
      <c r="N275" s="338"/>
      <c r="O275" s="338"/>
      <c r="P275" s="339"/>
      <c r="Q275" s="339"/>
      <c r="R275" s="339"/>
      <c r="S275" s="339"/>
      <c r="T275" s="339"/>
      <c r="U275" s="339"/>
      <c r="V275" s="339"/>
      <c r="W275" s="339"/>
      <c r="X275" s="339"/>
      <c r="Y275" s="339"/>
      <c r="Z275" s="339"/>
    </row>
    <row r="276" spans="1:26" ht="24" customHeight="1">
      <c r="A276" s="336"/>
      <c r="B276" s="336"/>
      <c r="C276" s="336"/>
      <c r="D276" s="336"/>
      <c r="E276" s="336"/>
      <c r="F276" s="336"/>
      <c r="G276" s="336"/>
      <c r="H276" s="336"/>
      <c r="I276" s="338"/>
      <c r="J276" s="336"/>
      <c r="K276" s="338"/>
      <c r="L276" s="338"/>
      <c r="M276" s="338"/>
      <c r="N276" s="338"/>
      <c r="O276" s="338"/>
      <c r="P276" s="339"/>
      <c r="Q276" s="339"/>
      <c r="R276" s="339"/>
      <c r="S276" s="339"/>
      <c r="T276" s="339"/>
      <c r="U276" s="339"/>
      <c r="V276" s="339"/>
      <c r="W276" s="339"/>
      <c r="X276" s="339"/>
      <c r="Y276" s="339"/>
      <c r="Z276" s="339"/>
    </row>
    <row r="277" spans="1:26" ht="24" customHeight="1">
      <c r="A277" s="336"/>
      <c r="B277" s="336"/>
      <c r="C277" s="336"/>
      <c r="D277" s="336"/>
      <c r="E277" s="336"/>
      <c r="F277" s="336"/>
      <c r="G277" s="336"/>
      <c r="H277" s="336"/>
      <c r="I277" s="338"/>
      <c r="J277" s="336"/>
      <c r="K277" s="338"/>
      <c r="L277" s="338"/>
      <c r="M277" s="338"/>
      <c r="N277" s="338"/>
      <c r="O277" s="338"/>
      <c r="P277" s="339"/>
      <c r="Q277" s="339"/>
      <c r="R277" s="339"/>
      <c r="S277" s="339"/>
      <c r="T277" s="339"/>
      <c r="U277" s="339"/>
      <c r="V277" s="339"/>
      <c r="W277" s="339"/>
      <c r="X277" s="339"/>
      <c r="Y277" s="339"/>
      <c r="Z277" s="339"/>
    </row>
    <row r="278" spans="1:26" ht="24" customHeight="1">
      <c r="A278" s="336"/>
      <c r="B278" s="336"/>
      <c r="C278" s="336"/>
      <c r="D278" s="336"/>
      <c r="E278" s="336"/>
      <c r="F278" s="336"/>
      <c r="G278" s="336"/>
      <c r="H278" s="336"/>
      <c r="I278" s="338"/>
      <c r="J278" s="336"/>
      <c r="K278" s="338"/>
      <c r="L278" s="338"/>
      <c r="M278" s="338"/>
      <c r="N278" s="338"/>
      <c r="O278" s="338"/>
      <c r="P278" s="339"/>
      <c r="Q278" s="339"/>
      <c r="R278" s="339"/>
      <c r="S278" s="339"/>
      <c r="T278" s="339"/>
      <c r="U278" s="339"/>
      <c r="V278" s="339"/>
      <c r="W278" s="339"/>
      <c r="X278" s="339"/>
      <c r="Y278" s="339"/>
      <c r="Z278" s="339"/>
    </row>
    <row r="279" spans="1:26" ht="24" customHeight="1">
      <c r="A279" s="336"/>
      <c r="B279" s="336"/>
      <c r="C279" s="336"/>
      <c r="D279" s="336"/>
      <c r="E279" s="336"/>
      <c r="F279" s="336"/>
      <c r="G279" s="336"/>
      <c r="H279" s="336"/>
      <c r="I279" s="338"/>
      <c r="J279" s="336"/>
      <c r="K279" s="338"/>
      <c r="L279" s="338"/>
      <c r="M279" s="338"/>
      <c r="N279" s="338"/>
      <c r="O279" s="338"/>
      <c r="P279" s="339"/>
      <c r="Q279" s="339"/>
      <c r="R279" s="339"/>
      <c r="S279" s="339"/>
      <c r="T279" s="339"/>
      <c r="U279" s="339"/>
      <c r="V279" s="339"/>
      <c r="W279" s="339"/>
      <c r="X279" s="339"/>
      <c r="Y279" s="339"/>
      <c r="Z279" s="339"/>
    </row>
    <row r="280" spans="1:26" ht="24" customHeight="1">
      <c r="A280" s="336"/>
      <c r="B280" s="336"/>
      <c r="C280" s="336"/>
      <c r="D280" s="336"/>
      <c r="E280" s="336"/>
      <c r="F280" s="336"/>
      <c r="G280" s="336"/>
      <c r="H280" s="336"/>
      <c r="I280" s="338"/>
      <c r="J280" s="336"/>
      <c r="K280" s="338"/>
      <c r="L280" s="338"/>
      <c r="M280" s="338"/>
      <c r="N280" s="338"/>
      <c r="O280" s="338"/>
      <c r="P280" s="339"/>
      <c r="Q280" s="339"/>
      <c r="R280" s="339"/>
      <c r="S280" s="339"/>
      <c r="T280" s="339"/>
      <c r="U280" s="339"/>
      <c r="V280" s="339"/>
      <c r="W280" s="339"/>
      <c r="X280" s="339"/>
      <c r="Y280" s="339"/>
      <c r="Z280" s="339"/>
    </row>
    <row r="281" spans="1:26" ht="24" customHeight="1">
      <c r="A281" s="336"/>
      <c r="B281" s="336"/>
      <c r="C281" s="336"/>
      <c r="D281" s="336"/>
      <c r="E281" s="336"/>
      <c r="F281" s="336"/>
      <c r="G281" s="336"/>
      <c r="H281" s="336"/>
      <c r="I281" s="338"/>
      <c r="J281" s="336"/>
      <c r="K281" s="338"/>
      <c r="L281" s="338"/>
      <c r="M281" s="338"/>
      <c r="N281" s="338"/>
      <c r="O281" s="338"/>
      <c r="P281" s="339"/>
      <c r="Q281" s="339"/>
      <c r="R281" s="339"/>
      <c r="S281" s="339"/>
      <c r="T281" s="339"/>
      <c r="U281" s="339"/>
      <c r="V281" s="339"/>
      <c r="W281" s="339"/>
      <c r="X281" s="339"/>
      <c r="Y281" s="339"/>
      <c r="Z281" s="339"/>
    </row>
    <row r="282" spans="1:26" ht="24" customHeight="1">
      <c r="A282" s="336"/>
      <c r="B282" s="336"/>
      <c r="C282" s="336"/>
      <c r="D282" s="336"/>
      <c r="E282" s="336"/>
      <c r="F282" s="336"/>
      <c r="G282" s="336"/>
      <c r="H282" s="336"/>
      <c r="I282" s="338"/>
      <c r="J282" s="336"/>
      <c r="K282" s="338"/>
      <c r="L282" s="338"/>
      <c r="M282" s="338"/>
      <c r="N282" s="338"/>
      <c r="O282" s="338"/>
      <c r="P282" s="339"/>
      <c r="Q282" s="339"/>
      <c r="R282" s="339"/>
      <c r="S282" s="339"/>
      <c r="T282" s="339"/>
      <c r="U282" s="339"/>
      <c r="V282" s="339"/>
      <c r="W282" s="339"/>
      <c r="X282" s="339"/>
      <c r="Y282" s="339"/>
      <c r="Z282" s="339"/>
    </row>
    <row r="283" spans="1:26" ht="24" customHeight="1">
      <c r="A283" s="336"/>
      <c r="B283" s="336"/>
      <c r="C283" s="336"/>
      <c r="D283" s="336"/>
      <c r="E283" s="336"/>
      <c r="F283" s="336"/>
      <c r="G283" s="336"/>
      <c r="H283" s="336"/>
      <c r="I283" s="338"/>
      <c r="J283" s="336"/>
      <c r="K283" s="338"/>
      <c r="L283" s="338"/>
      <c r="M283" s="338"/>
      <c r="N283" s="338"/>
      <c r="O283" s="338"/>
      <c r="P283" s="339"/>
      <c r="Q283" s="339"/>
      <c r="R283" s="339"/>
      <c r="S283" s="339"/>
      <c r="T283" s="339"/>
      <c r="U283" s="339"/>
      <c r="V283" s="339"/>
      <c r="W283" s="339"/>
      <c r="X283" s="339"/>
      <c r="Y283" s="339"/>
      <c r="Z283" s="339"/>
    </row>
    <row r="284" spans="1:26" ht="24" customHeight="1">
      <c r="A284" s="336"/>
      <c r="B284" s="336"/>
      <c r="C284" s="336"/>
      <c r="D284" s="336"/>
      <c r="E284" s="336"/>
      <c r="F284" s="336"/>
      <c r="G284" s="336"/>
      <c r="H284" s="336"/>
      <c r="I284" s="338"/>
      <c r="J284" s="336"/>
      <c r="K284" s="338"/>
      <c r="L284" s="338"/>
      <c r="M284" s="338"/>
      <c r="N284" s="338"/>
      <c r="O284" s="338"/>
      <c r="P284" s="339"/>
      <c r="Q284" s="339"/>
      <c r="R284" s="339"/>
      <c r="S284" s="339"/>
      <c r="T284" s="339"/>
      <c r="U284" s="339"/>
      <c r="V284" s="339"/>
      <c r="W284" s="339"/>
      <c r="X284" s="339"/>
      <c r="Y284" s="339"/>
      <c r="Z284" s="339"/>
    </row>
    <row r="285" spans="1:26" ht="24" customHeight="1">
      <c r="A285" s="336"/>
      <c r="B285" s="336"/>
      <c r="C285" s="336"/>
      <c r="D285" s="336"/>
      <c r="E285" s="336"/>
      <c r="F285" s="336"/>
      <c r="G285" s="336"/>
      <c r="H285" s="336"/>
      <c r="I285" s="338"/>
      <c r="J285" s="336"/>
      <c r="K285" s="338"/>
      <c r="L285" s="338"/>
      <c r="M285" s="338"/>
      <c r="N285" s="338"/>
      <c r="O285" s="338"/>
      <c r="P285" s="339"/>
      <c r="Q285" s="339"/>
      <c r="R285" s="339"/>
      <c r="S285" s="339"/>
      <c r="T285" s="339"/>
      <c r="U285" s="339"/>
      <c r="V285" s="339"/>
      <c r="W285" s="339"/>
      <c r="X285" s="339"/>
      <c r="Y285" s="339"/>
      <c r="Z285" s="339"/>
    </row>
    <row r="286" spans="1:26" ht="24" customHeight="1">
      <c r="A286" s="336"/>
      <c r="B286" s="336"/>
      <c r="C286" s="336"/>
      <c r="D286" s="336"/>
      <c r="E286" s="336"/>
      <c r="F286" s="336"/>
      <c r="G286" s="336"/>
      <c r="H286" s="336"/>
      <c r="I286" s="338"/>
      <c r="J286" s="336"/>
      <c r="K286" s="338"/>
      <c r="L286" s="338"/>
      <c r="M286" s="338"/>
      <c r="N286" s="338"/>
      <c r="O286" s="338"/>
      <c r="P286" s="339"/>
      <c r="Q286" s="339"/>
      <c r="R286" s="339"/>
      <c r="S286" s="339"/>
      <c r="T286" s="339"/>
      <c r="U286" s="339"/>
      <c r="V286" s="339"/>
      <c r="W286" s="339"/>
      <c r="X286" s="339"/>
      <c r="Y286" s="339"/>
      <c r="Z286" s="339"/>
    </row>
    <row r="287" spans="1:26" ht="24" customHeight="1">
      <c r="A287" s="336"/>
      <c r="B287" s="336"/>
      <c r="C287" s="336"/>
      <c r="D287" s="336"/>
      <c r="E287" s="336"/>
      <c r="F287" s="336"/>
      <c r="G287" s="336"/>
      <c r="H287" s="336"/>
      <c r="I287" s="338"/>
      <c r="J287" s="336"/>
      <c r="K287" s="338"/>
      <c r="L287" s="338"/>
      <c r="M287" s="338"/>
      <c r="N287" s="338"/>
      <c r="O287" s="338"/>
      <c r="P287" s="339"/>
      <c r="Q287" s="339"/>
      <c r="R287" s="339"/>
      <c r="S287" s="339"/>
      <c r="T287" s="339"/>
      <c r="U287" s="339"/>
      <c r="V287" s="339"/>
      <c r="W287" s="339"/>
      <c r="X287" s="339"/>
      <c r="Y287" s="339"/>
      <c r="Z287" s="339"/>
    </row>
    <row r="288" spans="1:26" ht="24" customHeight="1">
      <c r="A288" s="336"/>
      <c r="B288" s="336"/>
      <c r="C288" s="336"/>
      <c r="D288" s="336"/>
      <c r="E288" s="336"/>
      <c r="F288" s="336"/>
      <c r="G288" s="336"/>
      <c r="H288" s="336"/>
      <c r="I288" s="338"/>
      <c r="J288" s="336"/>
      <c r="K288" s="338"/>
      <c r="L288" s="338"/>
      <c r="M288" s="338"/>
      <c r="N288" s="338"/>
      <c r="O288" s="338"/>
      <c r="P288" s="339"/>
      <c r="Q288" s="339"/>
      <c r="R288" s="339"/>
      <c r="S288" s="339"/>
      <c r="T288" s="339"/>
      <c r="U288" s="339"/>
      <c r="V288" s="339"/>
      <c r="W288" s="339"/>
      <c r="X288" s="339"/>
      <c r="Y288" s="339"/>
      <c r="Z288" s="339"/>
    </row>
    <row r="289" spans="1:26" ht="24" customHeight="1">
      <c r="A289" s="336"/>
      <c r="B289" s="336"/>
      <c r="C289" s="336"/>
      <c r="D289" s="336"/>
      <c r="E289" s="336"/>
      <c r="F289" s="336"/>
      <c r="G289" s="336"/>
      <c r="H289" s="336"/>
      <c r="I289" s="338"/>
      <c r="J289" s="336"/>
      <c r="K289" s="338"/>
      <c r="L289" s="338"/>
      <c r="M289" s="338"/>
      <c r="N289" s="338"/>
      <c r="O289" s="338"/>
      <c r="P289" s="339"/>
      <c r="Q289" s="339"/>
      <c r="R289" s="339"/>
      <c r="S289" s="339"/>
      <c r="T289" s="339"/>
      <c r="U289" s="339"/>
      <c r="V289" s="339"/>
      <c r="W289" s="339"/>
      <c r="X289" s="339"/>
      <c r="Y289" s="339"/>
      <c r="Z289" s="339"/>
    </row>
    <row r="290" spans="1:26" ht="24" customHeight="1">
      <c r="A290" s="336"/>
      <c r="B290" s="336"/>
      <c r="C290" s="336"/>
      <c r="D290" s="336"/>
      <c r="E290" s="336"/>
      <c r="F290" s="336"/>
      <c r="G290" s="336"/>
      <c r="H290" s="336"/>
      <c r="I290" s="338"/>
      <c r="J290" s="336"/>
      <c r="K290" s="338"/>
      <c r="L290" s="338"/>
      <c r="M290" s="338"/>
      <c r="N290" s="338"/>
      <c r="O290" s="338"/>
      <c r="P290" s="339"/>
      <c r="Q290" s="339"/>
      <c r="R290" s="339"/>
      <c r="S290" s="339"/>
      <c r="T290" s="339"/>
      <c r="U290" s="339"/>
      <c r="V290" s="339"/>
      <c r="W290" s="339"/>
      <c r="X290" s="339"/>
      <c r="Y290" s="339"/>
      <c r="Z290" s="339"/>
    </row>
    <row r="291" spans="1:26" ht="24" customHeight="1">
      <c r="A291" s="336"/>
      <c r="B291" s="336"/>
      <c r="C291" s="336"/>
      <c r="D291" s="336"/>
      <c r="E291" s="336"/>
      <c r="F291" s="336"/>
      <c r="G291" s="336"/>
      <c r="H291" s="336"/>
      <c r="I291" s="338"/>
      <c r="J291" s="336"/>
      <c r="K291" s="338"/>
      <c r="L291" s="338"/>
      <c r="M291" s="338"/>
      <c r="N291" s="338"/>
      <c r="O291" s="338"/>
      <c r="P291" s="339"/>
      <c r="Q291" s="339"/>
      <c r="R291" s="339"/>
      <c r="S291" s="339"/>
      <c r="T291" s="339"/>
      <c r="U291" s="339"/>
      <c r="V291" s="339"/>
      <c r="W291" s="339"/>
      <c r="X291" s="339"/>
      <c r="Y291" s="339"/>
      <c r="Z291" s="339"/>
    </row>
    <row r="292" spans="1:26" ht="24" customHeight="1">
      <c r="A292" s="336"/>
      <c r="B292" s="336"/>
      <c r="C292" s="336"/>
      <c r="D292" s="336"/>
      <c r="E292" s="336"/>
      <c r="F292" s="336"/>
      <c r="G292" s="336"/>
      <c r="H292" s="336"/>
      <c r="I292" s="338"/>
      <c r="J292" s="336"/>
      <c r="K292" s="338"/>
      <c r="L292" s="338"/>
      <c r="M292" s="338"/>
      <c r="N292" s="338"/>
      <c r="O292" s="338"/>
      <c r="P292" s="339"/>
      <c r="Q292" s="339"/>
      <c r="R292" s="339"/>
      <c r="S292" s="339"/>
      <c r="T292" s="339"/>
      <c r="U292" s="339"/>
      <c r="V292" s="339"/>
      <c r="W292" s="339"/>
      <c r="X292" s="339"/>
      <c r="Y292" s="339"/>
      <c r="Z292" s="339"/>
    </row>
    <row r="293" spans="1:26" ht="24" customHeight="1">
      <c r="A293" s="336"/>
      <c r="B293" s="336"/>
      <c r="C293" s="336"/>
      <c r="D293" s="336"/>
      <c r="E293" s="336"/>
      <c r="F293" s="336"/>
      <c r="G293" s="336"/>
      <c r="H293" s="336"/>
      <c r="I293" s="338"/>
      <c r="J293" s="336"/>
      <c r="K293" s="338"/>
      <c r="L293" s="338"/>
      <c r="M293" s="338"/>
      <c r="N293" s="338"/>
      <c r="O293" s="338"/>
      <c r="P293" s="339"/>
      <c r="Q293" s="339"/>
      <c r="R293" s="339"/>
      <c r="S293" s="339"/>
      <c r="T293" s="339"/>
      <c r="U293" s="339"/>
      <c r="V293" s="339"/>
      <c r="W293" s="339"/>
      <c r="X293" s="339"/>
      <c r="Y293" s="339"/>
      <c r="Z293" s="339"/>
    </row>
    <row r="294" spans="1:26" ht="24" customHeight="1">
      <c r="A294" s="336"/>
      <c r="B294" s="336"/>
      <c r="C294" s="336"/>
      <c r="D294" s="336"/>
      <c r="E294" s="336"/>
      <c r="F294" s="336"/>
      <c r="G294" s="336"/>
      <c r="H294" s="336"/>
      <c r="I294" s="338"/>
      <c r="J294" s="336"/>
      <c r="K294" s="338"/>
      <c r="L294" s="338"/>
      <c r="M294" s="338"/>
      <c r="N294" s="338"/>
      <c r="O294" s="338"/>
      <c r="P294" s="339"/>
      <c r="Q294" s="339"/>
      <c r="R294" s="339"/>
      <c r="S294" s="339"/>
      <c r="T294" s="339"/>
      <c r="U294" s="339"/>
      <c r="V294" s="339"/>
      <c r="W294" s="339"/>
      <c r="X294" s="339"/>
      <c r="Y294" s="339"/>
      <c r="Z294" s="339"/>
    </row>
    <row r="295" spans="1:26" ht="24" customHeight="1">
      <c r="A295" s="336"/>
      <c r="B295" s="336"/>
      <c r="C295" s="336"/>
      <c r="D295" s="336"/>
      <c r="E295" s="336"/>
      <c r="F295" s="336"/>
      <c r="G295" s="336"/>
      <c r="H295" s="336"/>
      <c r="I295" s="338"/>
      <c r="J295" s="336"/>
      <c r="K295" s="338"/>
      <c r="L295" s="338"/>
      <c r="M295" s="338"/>
      <c r="N295" s="338"/>
      <c r="O295" s="338"/>
      <c r="P295" s="339"/>
      <c r="Q295" s="339"/>
      <c r="R295" s="339"/>
      <c r="S295" s="339"/>
      <c r="T295" s="339"/>
      <c r="U295" s="339"/>
      <c r="V295" s="339"/>
      <c r="W295" s="339"/>
      <c r="X295" s="339"/>
      <c r="Y295" s="339"/>
      <c r="Z295" s="339"/>
    </row>
    <row r="296" spans="1:26" ht="24" customHeight="1">
      <c r="A296" s="336"/>
      <c r="B296" s="336"/>
      <c r="C296" s="336"/>
      <c r="D296" s="336"/>
      <c r="E296" s="336"/>
      <c r="F296" s="336"/>
      <c r="G296" s="336"/>
      <c r="H296" s="336"/>
      <c r="I296" s="338"/>
      <c r="J296" s="336"/>
      <c r="K296" s="338"/>
      <c r="L296" s="338"/>
      <c r="M296" s="338"/>
      <c r="N296" s="338"/>
      <c r="O296" s="338"/>
      <c r="P296" s="339"/>
      <c r="Q296" s="339"/>
      <c r="R296" s="339"/>
      <c r="S296" s="339"/>
      <c r="T296" s="339"/>
      <c r="U296" s="339"/>
      <c r="V296" s="339"/>
      <c r="W296" s="339"/>
      <c r="X296" s="339"/>
      <c r="Y296" s="339"/>
      <c r="Z296" s="339"/>
    </row>
    <row r="297" spans="1:26" ht="24" customHeight="1">
      <c r="A297" s="336"/>
      <c r="B297" s="336"/>
      <c r="C297" s="336"/>
      <c r="D297" s="336"/>
      <c r="E297" s="336"/>
      <c r="F297" s="336"/>
      <c r="G297" s="336"/>
      <c r="H297" s="336"/>
      <c r="I297" s="338"/>
      <c r="J297" s="336"/>
      <c r="K297" s="338"/>
      <c r="L297" s="338"/>
      <c r="M297" s="338"/>
      <c r="N297" s="338"/>
      <c r="O297" s="338"/>
      <c r="P297" s="339"/>
      <c r="Q297" s="339"/>
      <c r="R297" s="339"/>
      <c r="S297" s="339"/>
      <c r="T297" s="339"/>
      <c r="U297" s="339"/>
      <c r="V297" s="339"/>
      <c r="W297" s="339"/>
      <c r="X297" s="339"/>
      <c r="Y297" s="339"/>
      <c r="Z297" s="339"/>
    </row>
    <row r="298" spans="1:26" ht="24" customHeight="1">
      <c r="A298" s="336"/>
      <c r="B298" s="336"/>
      <c r="C298" s="336"/>
      <c r="D298" s="336"/>
      <c r="E298" s="336"/>
      <c r="F298" s="336"/>
      <c r="G298" s="336"/>
      <c r="H298" s="336"/>
      <c r="I298" s="338"/>
      <c r="J298" s="336"/>
      <c r="K298" s="338"/>
      <c r="L298" s="338"/>
      <c r="M298" s="338"/>
      <c r="N298" s="338"/>
      <c r="O298" s="338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</row>
    <row r="299" spans="1:26" ht="24" customHeight="1">
      <c r="A299" s="336"/>
      <c r="B299" s="336"/>
      <c r="C299" s="336"/>
      <c r="D299" s="336"/>
      <c r="E299" s="336"/>
      <c r="F299" s="336"/>
      <c r="G299" s="336"/>
      <c r="H299" s="336"/>
      <c r="I299" s="338"/>
      <c r="J299" s="336"/>
      <c r="K299" s="338"/>
      <c r="L299" s="338"/>
      <c r="M299" s="338"/>
      <c r="N299" s="338"/>
      <c r="O299" s="338"/>
      <c r="P299" s="339"/>
      <c r="Q299" s="339"/>
      <c r="R299" s="339"/>
      <c r="S299" s="339"/>
      <c r="T299" s="339"/>
      <c r="U299" s="339"/>
      <c r="V299" s="339"/>
      <c r="W299" s="339"/>
      <c r="X299" s="339"/>
      <c r="Y299" s="339"/>
      <c r="Z299" s="339"/>
    </row>
    <row r="300" spans="1:26" ht="24" customHeight="1">
      <c r="A300" s="336"/>
      <c r="B300" s="336"/>
      <c r="C300" s="336"/>
      <c r="D300" s="336"/>
      <c r="E300" s="336"/>
      <c r="F300" s="336"/>
      <c r="G300" s="336"/>
      <c r="H300" s="336"/>
      <c r="I300" s="338"/>
      <c r="J300" s="336"/>
      <c r="K300" s="338"/>
      <c r="L300" s="338"/>
      <c r="M300" s="338"/>
      <c r="N300" s="338"/>
      <c r="O300" s="338"/>
      <c r="P300" s="339"/>
      <c r="Q300" s="339"/>
      <c r="R300" s="339"/>
      <c r="S300" s="339"/>
      <c r="T300" s="339"/>
      <c r="U300" s="339"/>
      <c r="V300" s="339"/>
      <c r="W300" s="339"/>
      <c r="X300" s="339"/>
      <c r="Y300" s="339"/>
      <c r="Z300" s="339"/>
    </row>
    <row r="301" spans="1:26" ht="24" customHeight="1">
      <c r="A301" s="336"/>
      <c r="B301" s="336"/>
      <c r="C301" s="336"/>
      <c r="D301" s="336"/>
      <c r="E301" s="336"/>
      <c r="F301" s="336"/>
      <c r="G301" s="336"/>
      <c r="H301" s="336"/>
      <c r="I301" s="338"/>
      <c r="J301" s="336"/>
      <c r="K301" s="338"/>
      <c r="L301" s="338"/>
      <c r="M301" s="338"/>
      <c r="N301" s="338"/>
      <c r="O301" s="338"/>
      <c r="P301" s="339"/>
      <c r="Q301" s="339"/>
      <c r="R301" s="339"/>
      <c r="S301" s="339"/>
      <c r="T301" s="339"/>
      <c r="U301" s="339"/>
      <c r="V301" s="339"/>
      <c r="W301" s="339"/>
      <c r="X301" s="339"/>
      <c r="Y301" s="339"/>
      <c r="Z301" s="339"/>
    </row>
    <row r="302" spans="1:26" ht="24" customHeight="1">
      <c r="A302" s="336"/>
      <c r="B302" s="336"/>
      <c r="C302" s="336"/>
      <c r="D302" s="336"/>
      <c r="E302" s="336"/>
      <c r="F302" s="336"/>
      <c r="G302" s="336"/>
      <c r="H302" s="336"/>
      <c r="I302" s="338"/>
      <c r="J302" s="336"/>
      <c r="K302" s="338"/>
      <c r="L302" s="338"/>
      <c r="M302" s="338"/>
      <c r="N302" s="338"/>
      <c r="O302" s="338"/>
      <c r="P302" s="339"/>
      <c r="Q302" s="339"/>
      <c r="R302" s="339"/>
      <c r="S302" s="339"/>
      <c r="T302" s="339"/>
      <c r="U302" s="339"/>
      <c r="V302" s="339"/>
      <c r="W302" s="339"/>
      <c r="X302" s="339"/>
      <c r="Y302" s="339"/>
      <c r="Z302" s="339"/>
    </row>
    <row r="303" spans="1:26" ht="24" customHeight="1">
      <c r="A303" s="336"/>
      <c r="B303" s="336"/>
      <c r="C303" s="336"/>
      <c r="D303" s="336"/>
      <c r="E303" s="336"/>
      <c r="F303" s="336"/>
      <c r="G303" s="336"/>
      <c r="H303" s="336"/>
      <c r="I303" s="338"/>
      <c r="J303" s="336"/>
      <c r="K303" s="338"/>
      <c r="L303" s="338"/>
      <c r="M303" s="338"/>
      <c r="N303" s="338"/>
      <c r="O303" s="338"/>
      <c r="P303" s="339"/>
      <c r="Q303" s="339"/>
      <c r="R303" s="339"/>
      <c r="S303" s="339"/>
      <c r="T303" s="339"/>
      <c r="U303" s="339"/>
      <c r="V303" s="339"/>
      <c r="W303" s="339"/>
      <c r="X303" s="339"/>
      <c r="Y303" s="339"/>
      <c r="Z303" s="339"/>
    </row>
    <row r="304" spans="1:26" ht="24" customHeight="1">
      <c r="A304" s="336"/>
      <c r="B304" s="336"/>
      <c r="C304" s="336"/>
      <c r="D304" s="336"/>
      <c r="E304" s="336"/>
      <c r="F304" s="336"/>
      <c r="G304" s="336"/>
      <c r="H304" s="336"/>
      <c r="I304" s="338"/>
      <c r="J304" s="336"/>
      <c r="K304" s="338"/>
      <c r="L304" s="338"/>
      <c r="M304" s="338"/>
      <c r="N304" s="338"/>
      <c r="O304" s="338"/>
      <c r="P304" s="339"/>
      <c r="Q304" s="339"/>
      <c r="R304" s="339"/>
      <c r="S304" s="339"/>
      <c r="T304" s="339"/>
      <c r="U304" s="339"/>
      <c r="V304" s="339"/>
      <c r="W304" s="339"/>
      <c r="X304" s="339"/>
      <c r="Y304" s="339"/>
      <c r="Z304" s="339"/>
    </row>
    <row r="305" spans="1:26" ht="24" customHeight="1">
      <c r="A305" s="336"/>
      <c r="B305" s="336"/>
      <c r="C305" s="336"/>
      <c r="D305" s="336"/>
      <c r="E305" s="336"/>
      <c r="F305" s="336"/>
      <c r="G305" s="336"/>
      <c r="H305" s="336"/>
      <c r="I305" s="338"/>
      <c r="J305" s="336"/>
      <c r="K305" s="338"/>
      <c r="L305" s="338"/>
      <c r="M305" s="338"/>
      <c r="N305" s="338"/>
      <c r="O305" s="338"/>
      <c r="P305" s="339"/>
      <c r="Q305" s="339"/>
      <c r="R305" s="339"/>
      <c r="S305" s="339"/>
      <c r="T305" s="339"/>
      <c r="U305" s="339"/>
      <c r="V305" s="339"/>
      <c r="W305" s="339"/>
      <c r="X305" s="339"/>
      <c r="Y305" s="339"/>
      <c r="Z305" s="339"/>
    </row>
    <row r="306" spans="1:26" ht="24" customHeight="1">
      <c r="A306" s="336"/>
      <c r="B306" s="336"/>
      <c r="C306" s="336"/>
      <c r="D306" s="336"/>
      <c r="E306" s="336"/>
      <c r="F306" s="336"/>
      <c r="G306" s="336"/>
      <c r="H306" s="336"/>
      <c r="I306" s="338"/>
      <c r="J306" s="336"/>
      <c r="K306" s="338"/>
      <c r="L306" s="338"/>
      <c r="M306" s="338"/>
      <c r="N306" s="338"/>
      <c r="O306" s="338"/>
      <c r="P306" s="339"/>
      <c r="Q306" s="339"/>
      <c r="R306" s="339"/>
      <c r="S306" s="339"/>
      <c r="T306" s="339"/>
      <c r="U306" s="339"/>
      <c r="V306" s="339"/>
      <c r="W306" s="339"/>
      <c r="X306" s="339"/>
      <c r="Y306" s="339"/>
      <c r="Z306" s="339"/>
    </row>
    <row r="307" spans="1:26" ht="24" customHeight="1">
      <c r="A307" s="336"/>
      <c r="B307" s="336"/>
      <c r="C307" s="336"/>
      <c r="D307" s="336"/>
      <c r="E307" s="336"/>
      <c r="F307" s="336"/>
      <c r="G307" s="336"/>
      <c r="H307" s="336"/>
      <c r="I307" s="338"/>
      <c r="J307" s="336"/>
      <c r="K307" s="338"/>
      <c r="L307" s="338"/>
      <c r="M307" s="338"/>
      <c r="N307" s="338"/>
      <c r="O307" s="338"/>
      <c r="P307" s="339"/>
      <c r="Q307" s="339"/>
      <c r="R307" s="339"/>
      <c r="S307" s="339"/>
      <c r="T307" s="339"/>
      <c r="U307" s="339"/>
      <c r="V307" s="339"/>
      <c r="W307" s="339"/>
      <c r="X307" s="339"/>
      <c r="Y307" s="339"/>
      <c r="Z307" s="339"/>
    </row>
    <row r="308" spans="1:26" ht="24" customHeight="1">
      <c r="A308" s="336"/>
      <c r="B308" s="336"/>
      <c r="C308" s="336"/>
      <c r="D308" s="336"/>
      <c r="E308" s="336"/>
      <c r="F308" s="336"/>
      <c r="G308" s="336"/>
      <c r="H308" s="336"/>
      <c r="I308" s="338"/>
      <c r="J308" s="336"/>
      <c r="K308" s="338"/>
      <c r="L308" s="338"/>
      <c r="M308" s="338"/>
      <c r="N308" s="338"/>
      <c r="O308" s="338"/>
      <c r="P308" s="339"/>
      <c r="Q308" s="339"/>
      <c r="R308" s="339"/>
      <c r="S308" s="339"/>
      <c r="T308" s="339"/>
      <c r="U308" s="339"/>
      <c r="V308" s="339"/>
      <c r="W308" s="339"/>
      <c r="X308" s="339"/>
      <c r="Y308" s="339"/>
      <c r="Z308" s="339"/>
    </row>
    <row r="309" spans="1:26" ht="24" customHeight="1">
      <c r="A309" s="336"/>
      <c r="B309" s="336"/>
      <c r="C309" s="336"/>
      <c r="D309" s="336"/>
      <c r="E309" s="336"/>
      <c r="F309" s="336"/>
      <c r="G309" s="336"/>
      <c r="H309" s="336"/>
      <c r="I309" s="338"/>
      <c r="J309" s="336"/>
      <c r="K309" s="338"/>
      <c r="L309" s="338"/>
      <c r="M309" s="338"/>
      <c r="N309" s="338"/>
      <c r="O309" s="338"/>
      <c r="P309" s="339"/>
      <c r="Q309" s="339"/>
      <c r="R309" s="339"/>
      <c r="S309" s="339"/>
      <c r="T309" s="339"/>
      <c r="U309" s="339"/>
      <c r="V309" s="339"/>
      <c r="W309" s="339"/>
      <c r="X309" s="339"/>
      <c r="Y309" s="339"/>
      <c r="Z309" s="339"/>
    </row>
    <row r="310" spans="1:26" ht="24" customHeight="1">
      <c r="A310" s="336"/>
      <c r="B310" s="336"/>
      <c r="C310" s="336"/>
      <c r="D310" s="336"/>
      <c r="E310" s="336"/>
      <c r="F310" s="336"/>
      <c r="G310" s="336"/>
      <c r="H310" s="336"/>
      <c r="I310" s="338"/>
      <c r="J310" s="336"/>
      <c r="K310" s="338"/>
      <c r="L310" s="338"/>
      <c r="M310" s="338"/>
      <c r="N310" s="338"/>
      <c r="O310" s="338"/>
      <c r="P310" s="339"/>
      <c r="Q310" s="339"/>
      <c r="R310" s="339"/>
      <c r="S310" s="339"/>
      <c r="T310" s="339"/>
      <c r="U310" s="339"/>
      <c r="V310" s="339"/>
      <c r="W310" s="339"/>
      <c r="X310" s="339"/>
      <c r="Y310" s="339"/>
      <c r="Z310" s="339"/>
    </row>
    <row r="311" spans="1:26" ht="24" customHeight="1">
      <c r="A311" s="336"/>
      <c r="B311" s="336"/>
      <c r="C311" s="336"/>
      <c r="D311" s="336"/>
      <c r="E311" s="336"/>
      <c r="F311" s="336"/>
      <c r="G311" s="336"/>
      <c r="H311" s="336"/>
      <c r="I311" s="338"/>
      <c r="J311" s="336"/>
      <c r="K311" s="338"/>
      <c r="L311" s="338"/>
      <c r="M311" s="338"/>
      <c r="N311" s="338"/>
      <c r="O311" s="338"/>
      <c r="P311" s="339"/>
      <c r="Q311" s="339"/>
      <c r="R311" s="339"/>
      <c r="S311" s="339"/>
      <c r="T311" s="339"/>
      <c r="U311" s="339"/>
      <c r="V311" s="339"/>
      <c r="W311" s="339"/>
      <c r="X311" s="339"/>
      <c r="Y311" s="339"/>
      <c r="Z311" s="339"/>
    </row>
    <row r="312" spans="1:26" ht="24" customHeight="1">
      <c r="A312" s="336"/>
      <c r="B312" s="336"/>
      <c r="C312" s="336"/>
      <c r="D312" s="336"/>
      <c r="E312" s="336"/>
      <c r="F312" s="336"/>
      <c r="G312" s="336"/>
      <c r="H312" s="336"/>
      <c r="I312" s="338"/>
      <c r="J312" s="336"/>
      <c r="K312" s="338"/>
      <c r="L312" s="338"/>
      <c r="M312" s="338"/>
      <c r="N312" s="338"/>
      <c r="O312" s="338"/>
      <c r="P312" s="339"/>
      <c r="Q312" s="339"/>
      <c r="R312" s="339"/>
      <c r="S312" s="339"/>
      <c r="T312" s="339"/>
      <c r="U312" s="339"/>
      <c r="V312" s="339"/>
      <c r="W312" s="339"/>
      <c r="X312" s="339"/>
      <c r="Y312" s="339"/>
      <c r="Z312" s="339"/>
    </row>
    <row r="313" spans="1:26" ht="24" customHeight="1">
      <c r="A313" s="336"/>
      <c r="B313" s="336"/>
      <c r="C313" s="336"/>
      <c r="D313" s="336"/>
      <c r="E313" s="336"/>
      <c r="F313" s="336"/>
      <c r="G313" s="336"/>
      <c r="H313" s="336"/>
      <c r="I313" s="338"/>
      <c r="J313" s="336"/>
      <c r="K313" s="338"/>
      <c r="L313" s="338"/>
      <c r="M313" s="338"/>
      <c r="N313" s="338"/>
      <c r="O313" s="338"/>
      <c r="P313" s="339"/>
      <c r="Q313" s="339"/>
      <c r="R313" s="339"/>
      <c r="S313" s="339"/>
      <c r="T313" s="339"/>
      <c r="U313" s="339"/>
      <c r="V313" s="339"/>
      <c r="W313" s="339"/>
      <c r="X313" s="339"/>
      <c r="Y313" s="339"/>
      <c r="Z313" s="339"/>
    </row>
    <row r="314" spans="1:26" ht="24" customHeight="1">
      <c r="A314" s="336"/>
      <c r="B314" s="336"/>
      <c r="C314" s="336"/>
      <c r="D314" s="336"/>
      <c r="E314" s="336"/>
      <c r="F314" s="336"/>
      <c r="G314" s="336"/>
      <c r="H314" s="336"/>
      <c r="I314" s="338"/>
      <c r="J314" s="336"/>
      <c r="K314" s="338"/>
      <c r="L314" s="338"/>
      <c r="M314" s="338"/>
      <c r="N314" s="338"/>
      <c r="O314" s="338"/>
      <c r="P314" s="339"/>
      <c r="Q314" s="339"/>
      <c r="R314" s="339"/>
      <c r="S314" s="339"/>
      <c r="T314" s="339"/>
      <c r="U314" s="339"/>
      <c r="V314" s="339"/>
      <c r="W314" s="339"/>
      <c r="X314" s="339"/>
      <c r="Y314" s="339"/>
      <c r="Z314" s="339"/>
    </row>
    <row r="315" spans="1:26" ht="15.75" customHeight="1">
      <c r="A315" s="339"/>
      <c r="B315" s="339"/>
      <c r="C315" s="339"/>
      <c r="D315" s="339"/>
      <c r="E315" s="339"/>
      <c r="F315" s="339"/>
      <c r="G315" s="339"/>
      <c r="H315" s="339"/>
      <c r="I315" s="341"/>
      <c r="J315" s="339"/>
      <c r="K315" s="341"/>
      <c r="L315" s="341"/>
      <c r="M315" s="341"/>
      <c r="N315" s="341"/>
      <c r="O315" s="341"/>
      <c r="P315" s="339"/>
      <c r="Q315" s="339"/>
      <c r="R315" s="339"/>
      <c r="S315" s="339"/>
      <c r="T315" s="339"/>
      <c r="U315" s="339"/>
      <c r="V315" s="339"/>
      <c r="W315" s="339"/>
      <c r="X315" s="339"/>
      <c r="Y315" s="339"/>
      <c r="Z315" s="339"/>
    </row>
    <row r="316" spans="1:26" ht="15.75" customHeight="1">
      <c r="A316" s="339"/>
      <c r="B316" s="339"/>
      <c r="C316" s="339"/>
      <c r="D316" s="339"/>
      <c r="E316" s="339"/>
      <c r="F316" s="339"/>
      <c r="G316" s="339"/>
      <c r="H316" s="339"/>
      <c r="I316" s="341"/>
      <c r="J316" s="339"/>
      <c r="K316" s="341"/>
      <c r="L316" s="341"/>
      <c r="M316" s="341"/>
      <c r="N316" s="341"/>
      <c r="O316" s="341"/>
      <c r="P316" s="339"/>
      <c r="Q316" s="339"/>
      <c r="R316" s="339"/>
      <c r="S316" s="339"/>
      <c r="T316" s="339"/>
      <c r="U316" s="339"/>
      <c r="V316" s="339"/>
      <c r="W316" s="339"/>
      <c r="X316" s="339"/>
      <c r="Y316" s="339"/>
      <c r="Z316" s="339"/>
    </row>
    <row r="317" spans="1:26" ht="15.75" customHeight="1">
      <c r="A317" s="339"/>
      <c r="B317" s="339"/>
      <c r="C317" s="339"/>
      <c r="D317" s="339"/>
      <c r="E317" s="339"/>
      <c r="F317" s="339"/>
      <c r="G317" s="339"/>
      <c r="H317" s="339"/>
      <c r="I317" s="341"/>
      <c r="J317" s="339"/>
      <c r="K317" s="341"/>
      <c r="L317" s="341"/>
      <c r="M317" s="341"/>
      <c r="N317" s="341"/>
      <c r="O317" s="341"/>
      <c r="P317" s="339"/>
      <c r="Q317" s="339"/>
      <c r="R317" s="339"/>
      <c r="S317" s="339"/>
      <c r="T317" s="339"/>
      <c r="U317" s="339"/>
      <c r="V317" s="339"/>
      <c r="W317" s="339"/>
      <c r="X317" s="339"/>
      <c r="Y317" s="339"/>
      <c r="Z317" s="339"/>
    </row>
    <row r="318" spans="1:26" ht="15.75" customHeight="1">
      <c r="A318" s="339"/>
      <c r="B318" s="339"/>
      <c r="C318" s="339"/>
      <c r="D318" s="339"/>
      <c r="E318" s="339"/>
      <c r="F318" s="339"/>
      <c r="G318" s="339"/>
      <c r="H318" s="339"/>
      <c r="I318" s="341"/>
      <c r="J318" s="339"/>
      <c r="K318" s="341"/>
      <c r="L318" s="341"/>
      <c r="M318" s="341"/>
      <c r="N318" s="341"/>
      <c r="O318" s="341"/>
      <c r="P318" s="339"/>
      <c r="Q318" s="339"/>
      <c r="R318" s="339"/>
      <c r="S318" s="339"/>
      <c r="T318" s="339"/>
      <c r="U318" s="339"/>
      <c r="V318" s="339"/>
      <c r="W318" s="339"/>
      <c r="X318" s="339"/>
      <c r="Y318" s="339"/>
      <c r="Z318" s="339"/>
    </row>
    <row r="319" spans="1:26" ht="15.75" customHeight="1">
      <c r="A319" s="339"/>
      <c r="B319" s="339"/>
      <c r="C319" s="339"/>
      <c r="D319" s="339"/>
      <c r="E319" s="339"/>
      <c r="F319" s="339"/>
      <c r="G319" s="339"/>
      <c r="H319" s="339"/>
      <c r="I319" s="341"/>
      <c r="J319" s="339"/>
      <c r="K319" s="341"/>
      <c r="L319" s="341"/>
      <c r="M319" s="341"/>
      <c r="N319" s="341"/>
      <c r="O319" s="341"/>
      <c r="P319" s="339"/>
      <c r="Q319" s="339"/>
      <c r="R319" s="339"/>
      <c r="S319" s="339"/>
      <c r="T319" s="339"/>
      <c r="U319" s="339"/>
      <c r="V319" s="339"/>
      <c r="W319" s="339"/>
      <c r="X319" s="339"/>
      <c r="Y319" s="339"/>
      <c r="Z319" s="339"/>
    </row>
    <row r="320" spans="1:26" ht="15.75" customHeight="1">
      <c r="A320" s="339"/>
      <c r="B320" s="339"/>
      <c r="C320" s="339"/>
      <c r="D320" s="339"/>
      <c r="E320" s="339"/>
      <c r="F320" s="339"/>
      <c r="G320" s="339"/>
      <c r="H320" s="339"/>
      <c r="I320" s="341"/>
      <c r="J320" s="339"/>
      <c r="K320" s="341"/>
      <c r="L320" s="341"/>
      <c r="M320" s="341"/>
      <c r="N320" s="341"/>
      <c r="O320" s="341"/>
      <c r="P320" s="339"/>
      <c r="Q320" s="339"/>
      <c r="R320" s="339"/>
      <c r="S320" s="339"/>
      <c r="T320" s="339"/>
      <c r="U320" s="339"/>
      <c r="V320" s="339"/>
      <c r="W320" s="339"/>
      <c r="X320" s="339"/>
      <c r="Y320" s="339"/>
      <c r="Z320" s="339"/>
    </row>
    <row r="321" spans="1:26" ht="15.75" customHeight="1">
      <c r="A321" s="339"/>
      <c r="B321" s="339"/>
      <c r="C321" s="339"/>
      <c r="D321" s="339"/>
      <c r="E321" s="339"/>
      <c r="F321" s="339"/>
      <c r="G321" s="339"/>
      <c r="H321" s="339"/>
      <c r="I321" s="341"/>
      <c r="J321" s="339"/>
      <c r="K321" s="341"/>
      <c r="L321" s="341"/>
      <c r="M321" s="341"/>
      <c r="N321" s="341"/>
      <c r="O321" s="341"/>
      <c r="P321" s="339"/>
      <c r="Q321" s="339"/>
      <c r="R321" s="339"/>
      <c r="S321" s="339"/>
      <c r="T321" s="339"/>
      <c r="U321" s="339"/>
      <c r="V321" s="339"/>
      <c r="W321" s="339"/>
      <c r="X321" s="339"/>
      <c r="Y321" s="339"/>
      <c r="Z321" s="339"/>
    </row>
    <row r="322" spans="1:26" ht="15.75" customHeight="1">
      <c r="A322" s="339"/>
      <c r="B322" s="339"/>
      <c r="C322" s="339"/>
      <c r="D322" s="339"/>
      <c r="E322" s="339"/>
      <c r="F322" s="339"/>
      <c r="G322" s="339"/>
      <c r="H322" s="339"/>
      <c r="I322" s="341"/>
      <c r="J322" s="339"/>
      <c r="K322" s="341"/>
      <c r="L322" s="341"/>
      <c r="M322" s="341"/>
      <c r="N322" s="341"/>
      <c r="O322" s="341"/>
      <c r="P322" s="339"/>
      <c r="Q322" s="339"/>
      <c r="R322" s="339"/>
      <c r="S322" s="339"/>
      <c r="T322" s="339"/>
      <c r="U322" s="339"/>
      <c r="V322" s="339"/>
      <c r="W322" s="339"/>
      <c r="X322" s="339"/>
      <c r="Y322" s="339"/>
      <c r="Z322" s="339"/>
    </row>
    <row r="323" spans="1:26" ht="15.75" customHeight="1">
      <c r="A323" s="339"/>
      <c r="B323" s="339"/>
      <c r="C323" s="339"/>
      <c r="D323" s="339"/>
      <c r="E323" s="339"/>
      <c r="F323" s="339"/>
      <c r="G323" s="339"/>
      <c r="H323" s="339"/>
      <c r="I323" s="341"/>
      <c r="J323" s="339"/>
      <c r="K323" s="341"/>
      <c r="L323" s="341"/>
      <c r="M323" s="341"/>
      <c r="N323" s="341"/>
      <c r="O323" s="341"/>
      <c r="P323" s="339"/>
      <c r="Q323" s="339"/>
      <c r="R323" s="339"/>
      <c r="S323" s="339"/>
      <c r="T323" s="339"/>
      <c r="U323" s="339"/>
      <c r="V323" s="339"/>
      <c r="W323" s="339"/>
      <c r="X323" s="339"/>
      <c r="Y323" s="339"/>
      <c r="Z323" s="339"/>
    </row>
    <row r="324" spans="1:26" ht="15.75" customHeight="1">
      <c r="A324" s="339"/>
      <c r="B324" s="339"/>
      <c r="C324" s="339"/>
      <c r="D324" s="339"/>
      <c r="E324" s="339"/>
      <c r="F324" s="339"/>
      <c r="G324" s="339"/>
      <c r="H324" s="339"/>
      <c r="I324" s="341"/>
      <c r="J324" s="339"/>
      <c r="K324" s="341"/>
      <c r="L324" s="341"/>
      <c r="M324" s="341"/>
      <c r="N324" s="341"/>
      <c r="O324" s="341"/>
      <c r="P324" s="339"/>
      <c r="Q324" s="339"/>
      <c r="R324" s="339"/>
      <c r="S324" s="339"/>
      <c r="T324" s="339"/>
      <c r="U324" s="339"/>
      <c r="V324" s="339"/>
      <c r="W324" s="339"/>
      <c r="X324" s="339"/>
      <c r="Y324" s="339"/>
      <c r="Z324" s="339"/>
    </row>
    <row r="325" spans="1:26" ht="15.75" customHeight="1">
      <c r="A325" s="339"/>
      <c r="B325" s="339"/>
      <c r="C325" s="339"/>
      <c r="D325" s="339"/>
      <c r="E325" s="339"/>
      <c r="F325" s="339"/>
      <c r="G325" s="339"/>
      <c r="H325" s="339"/>
      <c r="I325" s="341"/>
      <c r="J325" s="339"/>
      <c r="K325" s="341"/>
      <c r="L325" s="341"/>
      <c r="M325" s="341"/>
      <c r="N325" s="341"/>
      <c r="O325" s="341"/>
      <c r="P325" s="339"/>
      <c r="Q325" s="339"/>
      <c r="R325" s="339"/>
      <c r="S325" s="339"/>
      <c r="T325" s="339"/>
      <c r="U325" s="339"/>
      <c r="V325" s="339"/>
      <c r="W325" s="339"/>
      <c r="X325" s="339"/>
      <c r="Y325" s="339"/>
      <c r="Z325" s="339"/>
    </row>
    <row r="326" spans="1:26" ht="15.75" customHeight="1">
      <c r="A326" s="339"/>
      <c r="B326" s="339"/>
      <c r="C326" s="339"/>
      <c r="D326" s="339"/>
      <c r="E326" s="339"/>
      <c r="F326" s="339"/>
      <c r="G326" s="339"/>
      <c r="H326" s="339"/>
      <c r="I326" s="341"/>
      <c r="J326" s="339"/>
      <c r="K326" s="341"/>
      <c r="L326" s="341"/>
      <c r="M326" s="341"/>
      <c r="N326" s="341"/>
      <c r="O326" s="341"/>
      <c r="P326" s="339"/>
      <c r="Q326" s="339"/>
      <c r="R326" s="339"/>
      <c r="S326" s="339"/>
      <c r="T326" s="339"/>
      <c r="U326" s="339"/>
      <c r="V326" s="339"/>
      <c r="W326" s="339"/>
      <c r="X326" s="339"/>
      <c r="Y326" s="339"/>
      <c r="Z326" s="339"/>
    </row>
    <row r="327" spans="1:26" ht="15.75" customHeight="1">
      <c r="A327" s="339"/>
      <c r="B327" s="339"/>
      <c r="C327" s="339"/>
      <c r="D327" s="339"/>
      <c r="E327" s="339"/>
      <c r="F327" s="339"/>
      <c r="G327" s="339"/>
      <c r="H327" s="339"/>
      <c r="I327" s="341"/>
      <c r="J327" s="339"/>
      <c r="K327" s="341"/>
      <c r="L327" s="341"/>
      <c r="M327" s="341"/>
      <c r="N327" s="341"/>
      <c r="O327" s="341"/>
      <c r="P327" s="339"/>
      <c r="Q327" s="339"/>
      <c r="R327" s="339"/>
      <c r="S327" s="339"/>
      <c r="T327" s="339"/>
      <c r="U327" s="339"/>
      <c r="V327" s="339"/>
      <c r="W327" s="339"/>
      <c r="X327" s="339"/>
      <c r="Y327" s="339"/>
      <c r="Z327" s="339"/>
    </row>
    <row r="328" spans="1:26" ht="15.75" customHeight="1">
      <c r="A328" s="339"/>
      <c r="B328" s="339"/>
      <c r="C328" s="339"/>
      <c r="D328" s="339"/>
      <c r="E328" s="339"/>
      <c r="F328" s="339"/>
      <c r="G328" s="339"/>
      <c r="H328" s="339"/>
      <c r="I328" s="341"/>
      <c r="J328" s="339"/>
      <c r="K328" s="341"/>
      <c r="L328" s="341"/>
      <c r="M328" s="341"/>
      <c r="N328" s="341"/>
      <c r="O328" s="341"/>
      <c r="P328" s="339"/>
      <c r="Q328" s="339"/>
      <c r="R328" s="339"/>
      <c r="S328" s="339"/>
      <c r="T328" s="339"/>
      <c r="U328" s="339"/>
      <c r="V328" s="339"/>
      <c r="W328" s="339"/>
      <c r="X328" s="339"/>
      <c r="Y328" s="339"/>
      <c r="Z328" s="339"/>
    </row>
    <row r="329" spans="1:26" ht="15.75" customHeight="1">
      <c r="A329" s="339"/>
      <c r="B329" s="339"/>
      <c r="C329" s="339"/>
      <c r="D329" s="339"/>
      <c r="E329" s="339"/>
      <c r="F329" s="339"/>
      <c r="G329" s="339"/>
      <c r="H329" s="339"/>
      <c r="I329" s="341"/>
      <c r="J329" s="339"/>
      <c r="K329" s="341"/>
      <c r="L329" s="341"/>
      <c r="M329" s="341"/>
      <c r="N329" s="341"/>
      <c r="O329" s="341"/>
      <c r="P329" s="339"/>
      <c r="Q329" s="339"/>
      <c r="R329" s="339"/>
      <c r="S329" s="339"/>
      <c r="T329" s="339"/>
      <c r="U329" s="339"/>
      <c r="V329" s="339"/>
      <c r="W329" s="339"/>
      <c r="X329" s="339"/>
      <c r="Y329" s="339"/>
      <c r="Z329" s="339"/>
    </row>
    <row r="330" spans="1:26" ht="15.75" customHeight="1">
      <c r="A330" s="339"/>
      <c r="B330" s="339"/>
      <c r="C330" s="339"/>
      <c r="D330" s="339"/>
      <c r="E330" s="339"/>
      <c r="F330" s="339"/>
      <c r="G330" s="339"/>
      <c r="H330" s="339"/>
      <c r="I330" s="341"/>
      <c r="J330" s="339"/>
      <c r="K330" s="341"/>
      <c r="L330" s="341"/>
      <c r="M330" s="341"/>
      <c r="N330" s="341"/>
      <c r="O330" s="341"/>
      <c r="P330" s="339"/>
      <c r="Q330" s="339"/>
      <c r="R330" s="339"/>
      <c r="S330" s="339"/>
      <c r="T330" s="339"/>
      <c r="U330" s="339"/>
      <c r="V330" s="339"/>
      <c r="W330" s="339"/>
      <c r="X330" s="339"/>
      <c r="Y330" s="339"/>
      <c r="Z330" s="339"/>
    </row>
    <row r="331" spans="1:26" ht="15.75" customHeight="1">
      <c r="A331" s="339"/>
      <c r="B331" s="339"/>
      <c r="C331" s="339"/>
      <c r="D331" s="339"/>
      <c r="E331" s="339"/>
      <c r="F331" s="339"/>
      <c r="G331" s="339"/>
      <c r="H331" s="339"/>
      <c r="I331" s="341"/>
      <c r="J331" s="339"/>
      <c r="K331" s="341"/>
      <c r="L331" s="341"/>
      <c r="M331" s="341"/>
      <c r="N331" s="341"/>
      <c r="O331" s="341"/>
      <c r="P331" s="339"/>
      <c r="Q331" s="339"/>
      <c r="R331" s="339"/>
      <c r="S331" s="339"/>
      <c r="T331" s="339"/>
      <c r="U331" s="339"/>
      <c r="V331" s="339"/>
      <c r="W331" s="339"/>
      <c r="X331" s="339"/>
      <c r="Y331" s="339"/>
      <c r="Z331" s="339"/>
    </row>
    <row r="332" spans="1:26" ht="15.75" customHeight="1">
      <c r="A332" s="339"/>
      <c r="B332" s="339"/>
      <c r="C332" s="339"/>
      <c r="D332" s="339"/>
      <c r="E332" s="339"/>
      <c r="F332" s="339"/>
      <c r="G332" s="339"/>
      <c r="H332" s="339"/>
      <c r="I332" s="341"/>
      <c r="J332" s="339"/>
      <c r="K332" s="341"/>
      <c r="L332" s="341"/>
      <c r="M332" s="341"/>
      <c r="N332" s="341"/>
      <c r="O332" s="341"/>
      <c r="P332" s="339"/>
      <c r="Q332" s="339"/>
      <c r="R332" s="339"/>
      <c r="S332" s="339"/>
      <c r="T332" s="339"/>
      <c r="U332" s="339"/>
      <c r="V332" s="339"/>
      <c r="W332" s="339"/>
      <c r="X332" s="339"/>
      <c r="Y332" s="339"/>
      <c r="Z332" s="339"/>
    </row>
    <row r="333" spans="1:26" ht="15.75" customHeight="1">
      <c r="A333" s="339"/>
      <c r="B333" s="339"/>
      <c r="C333" s="339"/>
      <c r="D333" s="339"/>
      <c r="E333" s="339"/>
      <c r="F333" s="339"/>
      <c r="G333" s="339"/>
      <c r="H333" s="339"/>
      <c r="I333" s="341"/>
      <c r="J333" s="339"/>
      <c r="K333" s="341"/>
      <c r="L333" s="341"/>
      <c r="M333" s="341"/>
      <c r="N333" s="341"/>
      <c r="O333" s="341"/>
      <c r="P333" s="339"/>
      <c r="Q333" s="339"/>
      <c r="R333" s="339"/>
      <c r="S333" s="339"/>
      <c r="T333" s="339"/>
      <c r="U333" s="339"/>
      <c r="V333" s="339"/>
      <c r="W333" s="339"/>
      <c r="X333" s="339"/>
      <c r="Y333" s="339"/>
      <c r="Z333" s="339"/>
    </row>
    <row r="334" spans="1:26" ht="15.75" customHeight="1">
      <c r="A334" s="339"/>
      <c r="B334" s="339"/>
      <c r="C334" s="339"/>
      <c r="D334" s="339"/>
      <c r="E334" s="339"/>
      <c r="F334" s="339"/>
      <c r="G334" s="339"/>
      <c r="H334" s="339"/>
      <c r="I334" s="341"/>
      <c r="J334" s="339"/>
      <c r="K334" s="341"/>
      <c r="L334" s="341"/>
      <c r="M334" s="341"/>
      <c r="N334" s="341"/>
      <c r="O334" s="341"/>
      <c r="P334" s="339"/>
      <c r="Q334" s="339"/>
      <c r="R334" s="339"/>
      <c r="S334" s="339"/>
      <c r="T334" s="339"/>
      <c r="U334" s="339"/>
      <c r="V334" s="339"/>
      <c r="W334" s="339"/>
      <c r="X334" s="339"/>
      <c r="Y334" s="339"/>
      <c r="Z334" s="339"/>
    </row>
    <row r="335" spans="1:26" ht="15.75" customHeight="1">
      <c r="A335" s="339"/>
      <c r="B335" s="339"/>
      <c r="C335" s="339"/>
      <c r="D335" s="339"/>
      <c r="E335" s="339"/>
      <c r="F335" s="339"/>
      <c r="G335" s="339"/>
      <c r="H335" s="339"/>
      <c r="I335" s="341"/>
      <c r="J335" s="339"/>
      <c r="K335" s="341"/>
      <c r="L335" s="341"/>
      <c r="M335" s="341"/>
      <c r="N335" s="341"/>
      <c r="O335" s="341"/>
      <c r="P335" s="339"/>
      <c r="Q335" s="339"/>
      <c r="R335" s="339"/>
      <c r="S335" s="339"/>
      <c r="T335" s="339"/>
      <c r="U335" s="339"/>
      <c r="V335" s="339"/>
      <c r="W335" s="339"/>
      <c r="X335" s="339"/>
      <c r="Y335" s="339"/>
      <c r="Z335" s="339"/>
    </row>
    <row r="336" spans="1:26" ht="15.75" customHeight="1">
      <c r="A336" s="339"/>
      <c r="B336" s="339"/>
      <c r="C336" s="339"/>
      <c r="D336" s="339"/>
      <c r="E336" s="339"/>
      <c r="F336" s="339"/>
      <c r="G336" s="339"/>
      <c r="H336" s="339"/>
      <c r="I336" s="341"/>
      <c r="J336" s="339"/>
      <c r="K336" s="341"/>
      <c r="L336" s="341"/>
      <c r="M336" s="341"/>
      <c r="N336" s="341"/>
      <c r="O336" s="341"/>
      <c r="P336" s="339"/>
      <c r="Q336" s="339"/>
      <c r="R336" s="339"/>
      <c r="S336" s="339"/>
      <c r="T336" s="339"/>
      <c r="U336" s="339"/>
      <c r="V336" s="339"/>
      <c r="W336" s="339"/>
      <c r="X336" s="339"/>
      <c r="Y336" s="339"/>
      <c r="Z336" s="339"/>
    </row>
    <row r="337" spans="1:26" ht="15.75" customHeight="1">
      <c r="A337" s="339"/>
      <c r="B337" s="339"/>
      <c r="C337" s="339"/>
      <c r="D337" s="339"/>
      <c r="E337" s="339"/>
      <c r="F337" s="339"/>
      <c r="G337" s="339"/>
      <c r="H337" s="339"/>
      <c r="I337" s="341"/>
      <c r="J337" s="339"/>
      <c r="K337" s="341"/>
      <c r="L337" s="341"/>
      <c r="M337" s="341"/>
      <c r="N337" s="341"/>
      <c r="O337" s="341"/>
      <c r="P337" s="339"/>
      <c r="Q337" s="339"/>
      <c r="R337" s="339"/>
      <c r="S337" s="339"/>
      <c r="T337" s="339"/>
      <c r="U337" s="339"/>
      <c r="V337" s="339"/>
      <c r="W337" s="339"/>
      <c r="X337" s="339"/>
      <c r="Y337" s="339"/>
      <c r="Z337" s="339"/>
    </row>
    <row r="338" spans="1:26" ht="15.75" customHeight="1">
      <c r="A338" s="339"/>
      <c r="B338" s="339"/>
      <c r="C338" s="339"/>
      <c r="D338" s="339"/>
      <c r="E338" s="339"/>
      <c r="F338" s="339"/>
      <c r="G338" s="339"/>
      <c r="H338" s="339"/>
      <c r="I338" s="341"/>
      <c r="J338" s="339"/>
      <c r="K338" s="341"/>
      <c r="L338" s="341"/>
      <c r="M338" s="341"/>
      <c r="N338" s="341"/>
      <c r="O338" s="341"/>
      <c r="P338" s="339"/>
      <c r="Q338" s="339"/>
      <c r="R338" s="339"/>
      <c r="S338" s="339"/>
      <c r="T338" s="339"/>
      <c r="U338" s="339"/>
      <c r="V338" s="339"/>
      <c r="W338" s="339"/>
      <c r="X338" s="339"/>
      <c r="Y338" s="339"/>
      <c r="Z338" s="339"/>
    </row>
    <row r="339" spans="1:26" ht="15.75" customHeight="1">
      <c r="A339" s="339"/>
      <c r="B339" s="339"/>
      <c r="C339" s="339"/>
      <c r="D339" s="339"/>
      <c r="E339" s="339"/>
      <c r="F339" s="339"/>
      <c r="G339" s="339"/>
      <c r="H339" s="339"/>
      <c r="I339" s="341"/>
      <c r="J339" s="339"/>
      <c r="K339" s="341"/>
      <c r="L339" s="341"/>
      <c r="M339" s="341"/>
      <c r="N339" s="341"/>
      <c r="O339" s="341"/>
      <c r="P339" s="339"/>
      <c r="Q339" s="339"/>
      <c r="R339" s="339"/>
      <c r="S339" s="339"/>
      <c r="T339" s="339"/>
      <c r="U339" s="339"/>
      <c r="V339" s="339"/>
      <c r="W339" s="339"/>
      <c r="X339" s="339"/>
      <c r="Y339" s="339"/>
      <c r="Z339" s="339"/>
    </row>
    <row r="340" spans="1:26" ht="15.75" customHeight="1">
      <c r="A340" s="339"/>
      <c r="B340" s="339"/>
      <c r="C340" s="339"/>
      <c r="D340" s="339"/>
      <c r="E340" s="339"/>
      <c r="F340" s="339"/>
      <c r="G340" s="339"/>
      <c r="H340" s="339"/>
      <c r="I340" s="341"/>
      <c r="J340" s="339"/>
      <c r="K340" s="341"/>
      <c r="L340" s="341"/>
      <c r="M340" s="341"/>
      <c r="N340" s="341"/>
      <c r="O340" s="341"/>
      <c r="P340" s="339"/>
      <c r="Q340" s="339"/>
      <c r="R340" s="339"/>
      <c r="S340" s="339"/>
      <c r="T340" s="339"/>
      <c r="U340" s="339"/>
      <c r="V340" s="339"/>
      <c r="W340" s="339"/>
      <c r="X340" s="339"/>
      <c r="Y340" s="339"/>
      <c r="Z340" s="339"/>
    </row>
    <row r="341" spans="1:26" ht="15.75" customHeight="1">
      <c r="A341" s="339"/>
      <c r="B341" s="339"/>
      <c r="C341" s="339"/>
      <c r="D341" s="339"/>
      <c r="E341" s="339"/>
      <c r="F341" s="339"/>
      <c r="G341" s="339"/>
      <c r="H341" s="339"/>
      <c r="I341" s="341"/>
      <c r="J341" s="339"/>
      <c r="K341" s="341"/>
      <c r="L341" s="341"/>
      <c r="M341" s="341"/>
      <c r="N341" s="341"/>
      <c r="O341" s="341"/>
      <c r="P341" s="339"/>
      <c r="Q341" s="339"/>
      <c r="R341" s="339"/>
      <c r="S341" s="339"/>
      <c r="T341" s="339"/>
      <c r="U341" s="339"/>
      <c r="V341" s="339"/>
      <c r="W341" s="339"/>
      <c r="X341" s="339"/>
      <c r="Y341" s="339"/>
      <c r="Z341" s="339"/>
    </row>
    <row r="342" spans="1:26" ht="15.75" customHeight="1">
      <c r="A342" s="339"/>
      <c r="B342" s="339"/>
      <c r="C342" s="339"/>
      <c r="D342" s="339"/>
      <c r="E342" s="339"/>
      <c r="F342" s="339"/>
      <c r="G342" s="339"/>
      <c r="H342" s="339"/>
      <c r="I342" s="341"/>
      <c r="J342" s="339"/>
      <c r="K342" s="341"/>
      <c r="L342" s="341"/>
      <c r="M342" s="341"/>
      <c r="N342" s="341"/>
      <c r="O342" s="341"/>
      <c r="P342" s="339"/>
      <c r="Q342" s="339"/>
      <c r="R342" s="339"/>
      <c r="S342" s="339"/>
      <c r="T342" s="339"/>
      <c r="U342" s="339"/>
      <c r="V342" s="339"/>
      <c r="W342" s="339"/>
      <c r="X342" s="339"/>
      <c r="Y342" s="339"/>
      <c r="Z342" s="339"/>
    </row>
    <row r="343" spans="1:26" ht="15.75" customHeight="1">
      <c r="A343" s="339"/>
      <c r="B343" s="339"/>
      <c r="C343" s="339"/>
      <c r="D343" s="339"/>
      <c r="E343" s="339"/>
      <c r="F343" s="339"/>
      <c r="G343" s="339"/>
      <c r="H343" s="339"/>
      <c r="I343" s="341"/>
      <c r="J343" s="339"/>
      <c r="K343" s="341"/>
      <c r="L343" s="341"/>
      <c r="M343" s="341"/>
      <c r="N343" s="341"/>
      <c r="O343" s="341"/>
      <c r="P343" s="339"/>
      <c r="Q343" s="339"/>
      <c r="R343" s="339"/>
      <c r="S343" s="339"/>
      <c r="T343" s="339"/>
      <c r="U343" s="339"/>
      <c r="V343" s="339"/>
      <c r="W343" s="339"/>
      <c r="X343" s="339"/>
      <c r="Y343" s="339"/>
      <c r="Z343" s="339"/>
    </row>
    <row r="344" spans="1:26" ht="15.75" customHeight="1">
      <c r="A344" s="339"/>
      <c r="B344" s="339"/>
      <c r="C344" s="339"/>
      <c r="D344" s="339"/>
      <c r="E344" s="339"/>
      <c r="F344" s="339"/>
      <c r="G344" s="339"/>
      <c r="H344" s="339"/>
      <c r="I344" s="341"/>
      <c r="J344" s="339"/>
      <c r="K344" s="341"/>
      <c r="L344" s="341"/>
      <c r="M344" s="341"/>
      <c r="N344" s="341"/>
      <c r="O344" s="341"/>
      <c r="P344" s="339"/>
      <c r="Q344" s="339"/>
      <c r="R344" s="339"/>
      <c r="S344" s="339"/>
      <c r="T344" s="339"/>
      <c r="U344" s="339"/>
      <c r="V344" s="339"/>
      <c r="W344" s="339"/>
      <c r="X344" s="339"/>
      <c r="Y344" s="339"/>
      <c r="Z344" s="339"/>
    </row>
    <row r="345" spans="1:26" ht="15.75" customHeight="1">
      <c r="A345" s="339"/>
      <c r="B345" s="339"/>
      <c r="C345" s="339"/>
      <c r="D345" s="339"/>
      <c r="E345" s="339"/>
      <c r="F345" s="339"/>
      <c r="G345" s="339"/>
      <c r="H345" s="339"/>
      <c r="I345" s="341"/>
      <c r="J345" s="339"/>
      <c r="K345" s="341"/>
      <c r="L345" s="341"/>
      <c r="M345" s="341"/>
      <c r="N345" s="341"/>
      <c r="O345" s="341"/>
      <c r="P345" s="339"/>
      <c r="Q345" s="339"/>
      <c r="R345" s="339"/>
      <c r="S345" s="339"/>
      <c r="T345" s="339"/>
      <c r="U345" s="339"/>
      <c r="V345" s="339"/>
      <c r="W345" s="339"/>
      <c r="X345" s="339"/>
      <c r="Y345" s="339"/>
      <c r="Z345" s="339"/>
    </row>
    <row r="346" spans="1:26" ht="15.75" customHeight="1">
      <c r="A346" s="339"/>
      <c r="B346" s="339"/>
      <c r="C346" s="339"/>
      <c r="D346" s="339"/>
      <c r="E346" s="339"/>
      <c r="F346" s="339"/>
      <c r="G346" s="339"/>
      <c r="H346" s="339"/>
      <c r="I346" s="341"/>
      <c r="J346" s="339"/>
      <c r="K346" s="341"/>
      <c r="L346" s="341"/>
      <c r="M346" s="341"/>
      <c r="N346" s="341"/>
      <c r="O346" s="341"/>
      <c r="P346" s="339"/>
      <c r="Q346" s="339"/>
      <c r="R346" s="339"/>
      <c r="S346" s="339"/>
      <c r="T346" s="339"/>
      <c r="U346" s="339"/>
      <c r="V346" s="339"/>
      <c r="W346" s="339"/>
      <c r="X346" s="339"/>
      <c r="Y346" s="339"/>
      <c r="Z346" s="339"/>
    </row>
    <row r="347" spans="1:26" ht="15.75" customHeight="1">
      <c r="A347" s="339"/>
      <c r="B347" s="339"/>
      <c r="C347" s="339"/>
      <c r="D347" s="339"/>
      <c r="E347" s="339"/>
      <c r="F347" s="339"/>
      <c r="G347" s="339"/>
      <c r="H347" s="339"/>
      <c r="I347" s="341"/>
      <c r="J347" s="339"/>
      <c r="K347" s="341"/>
      <c r="L347" s="341"/>
      <c r="M347" s="341"/>
      <c r="N347" s="341"/>
      <c r="O347" s="341"/>
      <c r="P347" s="339"/>
      <c r="Q347" s="339"/>
      <c r="R347" s="339"/>
      <c r="S347" s="339"/>
      <c r="T347" s="339"/>
      <c r="U347" s="339"/>
      <c r="V347" s="339"/>
      <c r="W347" s="339"/>
      <c r="X347" s="339"/>
      <c r="Y347" s="339"/>
      <c r="Z347" s="339"/>
    </row>
    <row r="348" spans="1:26" ht="15.75" customHeight="1">
      <c r="A348" s="339"/>
      <c r="B348" s="339"/>
      <c r="C348" s="339"/>
      <c r="D348" s="339"/>
      <c r="E348" s="339"/>
      <c r="F348" s="339"/>
      <c r="G348" s="339"/>
      <c r="H348" s="339"/>
      <c r="I348" s="341"/>
      <c r="J348" s="339"/>
      <c r="K348" s="341"/>
      <c r="L348" s="341"/>
      <c r="M348" s="341"/>
      <c r="N348" s="341"/>
      <c r="O348" s="341"/>
      <c r="P348" s="339"/>
      <c r="Q348" s="339"/>
      <c r="R348" s="339"/>
      <c r="S348" s="339"/>
      <c r="T348" s="339"/>
      <c r="U348" s="339"/>
      <c r="V348" s="339"/>
      <c r="W348" s="339"/>
      <c r="X348" s="339"/>
      <c r="Y348" s="339"/>
      <c r="Z348" s="339"/>
    </row>
    <row r="349" spans="1:26" ht="15.75" customHeight="1">
      <c r="A349" s="339"/>
      <c r="B349" s="339"/>
      <c r="C349" s="339"/>
      <c r="D349" s="339"/>
      <c r="E349" s="339"/>
      <c r="F349" s="339"/>
      <c r="G349" s="339"/>
      <c r="H349" s="339"/>
      <c r="I349" s="341"/>
      <c r="J349" s="339"/>
      <c r="K349" s="341"/>
      <c r="L349" s="341"/>
      <c r="M349" s="341"/>
      <c r="N349" s="341"/>
      <c r="O349" s="341"/>
      <c r="P349" s="339"/>
      <c r="Q349" s="339"/>
      <c r="R349" s="339"/>
      <c r="S349" s="339"/>
      <c r="T349" s="339"/>
      <c r="U349" s="339"/>
      <c r="V349" s="339"/>
      <c r="W349" s="339"/>
      <c r="X349" s="339"/>
      <c r="Y349" s="339"/>
      <c r="Z349" s="339"/>
    </row>
    <row r="350" spans="1:26" ht="15.75" customHeight="1">
      <c r="A350" s="339"/>
      <c r="B350" s="339"/>
      <c r="C350" s="339"/>
      <c r="D350" s="339"/>
      <c r="E350" s="339"/>
      <c r="F350" s="339"/>
      <c r="G350" s="339"/>
      <c r="H350" s="339"/>
      <c r="I350" s="341"/>
      <c r="J350" s="339"/>
      <c r="K350" s="341"/>
      <c r="L350" s="341"/>
      <c r="M350" s="341"/>
      <c r="N350" s="341"/>
      <c r="O350" s="341"/>
      <c r="P350" s="339"/>
      <c r="Q350" s="339"/>
      <c r="R350" s="339"/>
      <c r="S350" s="339"/>
      <c r="T350" s="339"/>
      <c r="U350" s="339"/>
      <c r="V350" s="339"/>
      <c r="W350" s="339"/>
      <c r="X350" s="339"/>
      <c r="Y350" s="339"/>
      <c r="Z350" s="339"/>
    </row>
    <row r="351" spans="1:26" ht="15.75" customHeight="1">
      <c r="A351" s="339"/>
      <c r="B351" s="339"/>
      <c r="C351" s="339"/>
      <c r="D351" s="339"/>
      <c r="E351" s="339"/>
      <c r="F351" s="339"/>
      <c r="G351" s="339"/>
      <c r="H351" s="339"/>
      <c r="I351" s="341"/>
      <c r="J351" s="339"/>
      <c r="K351" s="341"/>
      <c r="L351" s="341"/>
      <c r="M351" s="341"/>
      <c r="N351" s="341"/>
      <c r="O351" s="341"/>
      <c r="P351" s="339"/>
      <c r="Q351" s="339"/>
      <c r="R351" s="339"/>
      <c r="S351" s="339"/>
      <c r="T351" s="339"/>
      <c r="U351" s="339"/>
      <c r="V351" s="339"/>
      <c r="W351" s="339"/>
      <c r="X351" s="339"/>
      <c r="Y351" s="339"/>
      <c r="Z351" s="339"/>
    </row>
    <row r="352" spans="1:26" ht="15.75" customHeight="1">
      <c r="A352" s="339"/>
      <c r="B352" s="339"/>
      <c r="C352" s="339"/>
      <c r="D352" s="339"/>
      <c r="E352" s="339"/>
      <c r="F352" s="339"/>
      <c r="G352" s="339"/>
      <c r="H352" s="339"/>
      <c r="I352" s="341"/>
      <c r="J352" s="339"/>
      <c r="K352" s="341"/>
      <c r="L352" s="341"/>
      <c r="M352" s="341"/>
      <c r="N352" s="341"/>
      <c r="O352" s="341"/>
      <c r="P352" s="339"/>
      <c r="Q352" s="339"/>
      <c r="R352" s="339"/>
      <c r="S352" s="339"/>
      <c r="T352" s="339"/>
      <c r="U352" s="339"/>
      <c r="V352" s="339"/>
      <c r="W352" s="339"/>
      <c r="X352" s="339"/>
      <c r="Y352" s="339"/>
      <c r="Z352" s="339"/>
    </row>
    <row r="353" spans="1:26" ht="15.75" customHeight="1">
      <c r="A353" s="339"/>
      <c r="B353" s="339"/>
      <c r="C353" s="339"/>
      <c r="D353" s="339"/>
      <c r="E353" s="339"/>
      <c r="F353" s="339"/>
      <c r="G353" s="339"/>
      <c r="H353" s="339"/>
      <c r="I353" s="341"/>
      <c r="J353" s="339"/>
      <c r="K353" s="341"/>
      <c r="L353" s="341"/>
      <c r="M353" s="341"/>
      <c r="N353" s="341"/>
      <c r="O353" s="341"/>
      <c r="P353" s="339"/>
      <c r="Q353" s="339"/>
      <c r="R353" s="339"/>
      <c r="S353" s="339"/>
      <c r="T353" s="339"/>
      <c r="U353" s="339"/>
      <c r="V353" s="339"/>
      <c r="W353" s="339"/>
      <c r="X353" s="339"/>
      <c r="Y353" s="339"/>
      <c r="Z353" s="339"/>
    </row>
    <row r="354" spans="1:26" ht="15.75" customHeight="1">
      <c r="A354" s="339"/>
      <c r="B354" s="339"/>
      <c r="C354" s="339"/>
      <c r="D354" s="339"/>
      <c r="E354" s="339"/>
      <c r="F354" s="339"/>
      <c r="G354" s="339"/>
      <c r="H354" s="339"/>
      <c r="I354" s="341"/>
      <c r="J354" s="339"/>
      <c r="K354" s="341"/>
      <c r="L354" s="341"/>
      <c r="M354" s="341"/>
      <c r="N354" s="341"/>
      <c r="O354" s="341"/>
      <c r="P354" s="339"/>
      <c r="Q354" s="339"/>
      <c r="R354" s="339"/>
      <c r="S354" s="339"/>
      <c r="T354" s="339"/>
      <c r="U354" s="339"/>
      <c r="V354" s="339"/>
      <c r="W354" s="339"/>
      <c r="X354" s="339"/>
      <c r="Y354" s="339"/>
      <c r="Z354" s="339"/>
    </row>
    <row r="355" spans="1:26" ht="15.75" customHeight="1">
      <c r="A355" s="339"/>
      <c r="B355" s="339"/>
      <c r="C355" s="339"/>
      <c r="D355" s="339"/>
      <c r="E355" s="339"/>
      <c r="F355" s="339"/>
      <c r="G355" s="339"/>
      <c r="H355" s="339"/>
      <c r="I355" s="341"/>
      <c r="J355" s="339"/>
      <c r="K355" s="341"/>
      <c r="L355" s="341"/>
      <c r="M355" s="341"/>
      <c r="N355" s="341"/>
      <c r="O355" s="341"/>
      <c r="P355" s="339"/>
      <c r="Q355" s="339"/>
      <c r="R355" s="339"/>
      <c r="S355" s="339"/>
      <c r="T355" s="339"/>
      <c r="U355" s="339"/>
      <c r="V355" s="339"/>
      <c r="W355" s="339"/>
      <c r="X355" s="339"/>
      <c r="Y355" s="339"/>
      <c r="Z355" s="339"/>
    </row>
    <row r="356" spans="1:26" ht="15.75" customHeight="1">
      <c r="A356" s="339"/>
      <c r="B356" s="339"/>
      <c r="C356" s="339"/>
      <c r="D356" s="339"/>
      <c r="E356" s="339"/>
      <c r="F356" s="339"/>
      <c r="G356" s="339"/>
      <c r="H356" s="339"/>
      <c r="I356" s="341"/>
      <c r="J356" s="339"/>
      <c r="K356" s="341"/>
      <c r="L356" s="341"/>
      <c r="M356" s="341"/>
      <c r="N356" s="341"/>
      <c r="O356" s="341"/>
      <c r="P356" s="339"/>
      <c r="Q356" s="339"/>
      <c r="R356" s="339"/>
      <c r="S356" s="339"/>
      <c r="T356" s="339"/>
      <c r="U356" s="339"/>
      <c r="V356" s="339"/>
      <c r="W356" s="339"/>
      <c r="X356" s="339"/>
      <c r="Y356" s="339"/>
      <c r="Z356" s="339"/>
    </row>
    <row r="357" spans="1:26" ht="15.75" customHeight="1">
      <c r="A357" s="339"/>
      <c r="B357" s="339"/>
      <c r="C357" s="339"/>
      <c r="D357" s="339"/>
      <c r="E357" s="339"/>
      <c r="F357" s="339"/>
      <c r="G357" s="339"/>
      <c r="H357" s="339"/>
      <c r="I357" s="341"/>
      <c r="J357" s="339"/>
      <c r="K357" s="341"/>
      <c r="L357" s="341"/>
      <c r="M357" s="341"/>
      <c r="N357" s="341"/>
      <c r="O357" s="341"/>
      <c r="P357" s="339"/>
      <c r="Q357" s="339"/>
      <c r="R357" s="339"/>
      <c r="S357" s="339"/>
      <c r="T357" s="339"/>
      <c r="U357" s="339"/>
      <c r="V357" s="339"/>
      <c r="W357" s="339"/>
      <c r="X357" s="339"/>
      <c r="Y357" s="339"/>
      <c r="Z357" s="339"/>
    </row>
    <row r="358" spans="1:26" ht="15.75" customHeight="1">
      <c r="A358" s="339"/>
      <c r="B358" s="339"/>
      <c r="C358" s="339"/>
      <c r="D358" s="339"/>
      <c r="E358" s="339"/>
      <c r="F358" s="339"/>
      <c r="G358" s="339"/>
      <c r="H358" s="339"/>
      <c r="I358" s="341"/>
      <c r="J358" s="339"/>
      <c r="K358" s="341"/>
      <c r="L358" s="341"/>
      <c r="M358" s="341"/>
      <c r="N358" s="341"/>
      <c r="O358" s="341"/>
      <c r="P358" s="339"/>
      <c r="Q358" s="339"/>
      <c r="R358" s="339"/>
      <c r="S358" s="339"/>
      <c r="T358" s="339"/>
      <c r="U358" s="339"/>
      <c r="V358" s="339"/>
      <c r="W358" s="339"/>
      <c r="X358" s="339"/>
      <c r="Y358" s="339"/>
      <c r="Z358" s="339"/>
    </row>
    <row r="359" spans="1:26" ht="15.75" customHeight="1">
      <c r="A359" s="339"/>
      <c r="B359" s="339"/>
      <c r="C359" s="339"/>
      <c r="D359" s="339"/>
      <c r="E359" s="339"/>
      <c r="F359" s="339"/>
      <c r="G359" s="339"/>
      <c r="H359" s="339"/>
      <c r="I359" s="341"/>
      <c r="J359" s="339"/>
      <c r="K359" s="341"/>
      <c r="L359" s="341"/>
      <c r="M359" s="341"/>
      <c r="N359" s="341"/>
      <c r="O359" s="341"/>
      <c r="P359" s="339"/>
      <c r="Q359" s="339"/>
      <c r="R359" s="339"/>
      <c r="S359" s="339"/>
      <c r="T359" s="339"/>
      <c r="U359" s="339"/>
      <c r="V359" s="339"/>
      <c r="W359" s="339"/>
      <c r="X359" s="339"/>
      <c r="Y359" s="339"/>
      <c r="Z359" s="339"/>
    </row>
    <row r="360" spans="1:26" ht="15.75" customHeight="1">
      <c r="A360" s="339"/>
      <c r="B360" s="339"/>
      <c r="C360" s="339"/>
      <c r="D360" s="339"/>
      <c r="E360" s="339"/>
      <c r="F360" s="339"/>
      <c r="G360" s="339"/>
      <c r="H360" s="339"/>
      <c r="I360" s="341"/>
      <c r="J360" s="339"/>
      <c r="K360" s="341"/>
      <c r="L360" s="341"/>
      <c r="M360" s="341"/>
      <c r="N360" s="341"/>
      <c r="O360" s="341"/>
      <c r="P360" s="339"/>
      <c r="Q360" s="339"/>
      <c r="R360" s="339"/>
      <c r="S360" s="339"/>
      <c r="T360" s="339"/>
      <c r="U360" s="339"/>
      <c r="V360" s="339"/>
      <c r="W360" s="339"/>
      <c r="X360" s="339"/>
      <c r="Y360" s="339"/>
      <c r="Z360" s="339"/>
    </row>
    <row r="361" spans="1:26" ht="15.75" customHeight="1">
      <c r="A361" s="339"/>
      <c r="B361" s="339"/>
      <c r="C361" s="339"/>
      <c r="D361" s="339"/>
      <c r="E361" s="339"/>
      <c r="F361" s="339"/>
      <c r="G361" s="339"/>
      <c r="H361" s="339"/>
      <c r="I361" s="341"/>
      <c r="J361" s="339"/>
      <c r="K361" s="341"/>
      <c r="L361" s="341"/>
      <c r="M361" s="341"/>
      <c r="N361" s="341"/>
      <c r="O361" s="341"/>
      <c r="P361" s="339"/>
      <c r="Q361" s="339"/>
      <c r="R361" s="339"/>
      <c r="S361" s="339"/>
      <c r="T361" s="339"/>
      <c r="U361" s="339"/>
      <c r="V361" s="339"/>
      <c r="W361" s="339"/>
      <c r="X361" s="339"/>
      <c r="Y361" s="339"/>
      <c r="Z361" s="339"/>
    </row>
    <row r="362" spans="1:26" ht="15.75" customHeight="1">
      <c r="A362" s="339"/>
      <c r="B362" s="339"/>
      <c r="C362" s="339"/>
      <c r="D362" s="339"/>
      <c r="E362" s="339"/>
      <c r="F362" s="339"/>
      <c r="G362" s="339"/>
      <c r="H362" s="339"/>
      <c r="I362" s="341"/>
      <c r="J362" s="339"/>
      <c r="K362" s="341"/>
      <c r="L362" s="341"/>
      <c r="M362" s="341"/>
      <c r="N362" s="341"/>
      <c r="O362" s="341"/>
      <c r="P362" s="339"/>
      <c r="Q362" s="339"/>
      <c r="R362" s="339"/>
      <c r="S362" s="339"/>
      <c r="T362" s="339"/>
      <c r="U362" s="339"/>
      <c r="V362" s="339"/>
      <c r="W362" s="339"/>
      <c r="X362" s="339"/>
      <c r="Y362" s="339"/>
      <c r="Z362" s="339"/>
    </row>
    <row r="363" spans="1:26" ht="15.75" customHeight="1">
      <c r="A363" s="339"/>
      <c r="B363" s="339"/>
      <c r="C363" s="339"/>
      <c r="D363" s="339"/>
      <c r="E363" s="339"/>
      <c r="F363" s="339"/>
      <c r="G363" s="339"/>
      <c r="H363" s="339"/>
      <c r="I363" s="341"/>
      <c r="J363" s="339"/>
      <c r="K363" s="341"/>
      <c r="L363" s="341"/>
      <c r="M363" s="341"/>
      <c r="N363" s="341"/>
      <c r="O363" s="341"/>
      <c r="P363" s="339"/>
      <c r="Q363" s="339"/>
      <c r="R363" s="339"/>
      <c r="S363" s="339"/>
      <c r="T363" s="339"/>
      <c r="U363" s="339"/>
      <c r="V363" s="339"/>
      <c r="W363" s="339"/>
      <c r="X363" s="339"/>
      <c r="Y363" s="339"/>
      <c r="Z363" s="339"/>
    </row>
    <row r="364" spans="1:26" ht="15.75" customHeight="1">
      <c r="A364" s="339"/>
      <c r="B364" s="339"/>
      <c r="C364" s="339"/>
      <c r="D364" s="339"/>
      <c r="E364" s="339"/>
      <c r="F364" s="339"/>
      <c r="G364" s="339"/>
      <c r="H364" s="339"/>
      <c r="I364" s="341"/>
      <c r="J364" s="339"/>
      <c r="K364" s="341"/>
      <c r="L364" s="341"/>
      <c r="M364" s="341"/>
      <c r="N364" s="341"/>
      <c r="O364" s="341"/>
      <c r="P364" s="339"/>
      <c r="Q364" s="339"/>
      <c r="R364" s="339"/>
      <c r="S364" s="339"/>
      <c r="T364" s="339"/>
      <c r="U364" s="339"/>
      <c r="V364" s="339"/>
      <c r="W364" s="339"/>
      <c r="X364" s="339"/>
      <c r="Y364" s="339"/>
      <c r="Z364" s="339"/>
    </row>
    <row r="365" spans="1:26" ht="15.75" customHeight="1">
      <c r="A365" s="339"/>
      <c r="B365" s="339"/>
      <c r="C365" s="339"/>
      <c r="D365" s="339"/>
      <c r="E365" s="339"/>
      <c r="F365" s="339"/>
      <c r="G365" s="339"/>
      <c r="H365" s="339"/>
      <c r="I365" s="341"/>
      <c r="J365" s="339"/>
      <c r="K365" s="341"/>
      <c r="L365" s="341"/>
      <c r="M365" s="341"/>
      <c r="N365" s="341"/>
      <c r="O365" s="341"/>
      <c r="P365" s="339"/>
      <c r="Q365" s="339"/>
      <c r="R365" s="339"/>
      <c r="S365" s="339"/>
      <c r="T365" s="339"/>
      <c r="U365" s="339"/>
      <c r="V365" s="339"/>
      <c r="W365" s="339"/>
      <c r="X365" s="339"/>
      <c r="Y365" s="339"/>
      <c r="Z365" s="339"/>
    </row>
    <row r="366" spans="1:26" ht="15.75" customHeight="1">
      <c r="A366" s="339"/>
      <c r="B366" s="339"/>
      <c r="C366" s="339"/>
      <c r="D366" s="339"/>
      <c r="E366" s="339"/>
      <c r="F366" s="339"/>
      <c r="G366" s="339"/>
      <c r="H366" s="339"/>
      <c r="I366" s="341"/>
      <c r="J366" s="339"/>
      <c r="K366" s="341"/>
      <c r="L366" s="341"/>
      <c r="M366" s="341"/>
      <c r="N366" s="341"/>
      <c r="O366" s="341"/>
      <c r="P366" s="339"/>
      <c r="Q366" s="339"/>
      <c r="R366" s="339"/>
      <c r="S366" s="339"/>
      <c r="T366" s="339"/>
      <c r="U366" s="339"/>
      <c r="V366" s="339"/>
      <c r="W366" s="339"/>
      <c r="X366" s="339"/>
      <c r="Y366" s="339"/>
      <c r="Z366" s="339"/>
    </row>
    <row r="367" spans="1:26" ht="15.75" customHeight="1">
      <c r="A367" s="339"/>
      <c r="B367" s="339"/>
      <c r="C367" s="339"/>
      <c r="D367" s="339"/>
      <c r="E367" s="339"/>
      <c r="F367" s="339"/>
      <c r="G367" s="339"/>
      <c r="H367" s="339"/>
      <c r="I367" s="341"/>
      <c r="J367" s="339"/>
      <c r="K367" s="341"/>
      <c r="L367" s="341"/>
      <c r="M367" s="341"/>
      <c r="N367" s="341"/>
      <c r="O367" s="341"/>
      <c r="P367" s="339"/>
      <c r="Q367" s="339"/>
      <c r="R367" s="339"/>
      <c r="S367" s="339"/>
      <c r="T367" s="339"/>
      <c r="U367" s="339"/>
      <c r="V367" s="339"/>
      <c r="W367" s="339"/>
      <c r="X367" s="339"/>
      <c r="Y367" s="339"/>
      <c r="Z367" s="339"/>
    </row>
    <row r="368" spans="1:26" ht="15.75" customHeight="1">
      <c r="A368" s="339"/>
      <c r="B368" s="339"/>
      <c r="C368" s="339"/>
      <c r="D368" s="339"/>
      <c r="E368" s="339"/>
      <c r="F368" s="339"/>
      <c r="G368" s="339"/>
      <c r="H368" s="339"/>
      <c r="I368" s="341"/>
      <c r="J368" s="339"/>
      <c r="K368" s="341"/>
      <c r="L368" s="341"/>
      <c r="M368" s="341"/>
      <c r="N368" s="341"/>
      <c r="O368" s="341"/>
      <c r="P368" s="339"/>
      <c r="Q368" s="339"/>
      <c r="R368" s="339"/>
      <c r="S368" s="339"/>
      <c r="T368" s="339"/>
      <c r="U368" s="339"/>
      <c r="V368" s="339"/>
      <c r="W368" s="339"/>
      <c r="X368" s="339"/>
      <c r="Y368" s="339"/>
      <c r="Z368" s="339"/>
    </row>
    <row r="369" spans="1:26" ht="15.75" customHeight="1">
      <c r="A369" s="339"/>
      <c r="B369" s="339"/>
      <c r="C369" s="339"/>
      <c r="D369" s="339"/>
      <c r="E369" s="339"/>
      <c r="F369" s="339"/>
      <c r="G369" s="339"/>
      <c r="H369" s="339"/>
      <c r="I369" s="341"/>
      <c r="J369" s="339"/>
      <c r="K369" s="341"/>
      <c r="L369" s="341"/>
      <c r="M369" s="341"/>
      <c r="N369" s="341"/>
      <c r="O369" s="341"/>
      <c r="P369" s="339"/>
      <c r="Q369" s="339"/>
      <c r="R369" s="339"/>
      <c r="S369" s="339"/>
      <c r="T369" s="339"/>
      <c r="U369" s="339"/>
      <c r="V369" s="339"/>
      <c r="W369" s="339"/>
      <c r="X369" s="339"/>
      <c r="Y369" s="339"/>
      <c r="Z369" s="339"/>
    </row>
    <row r="370" spans="1:26" ht="15.75" customHeight="1">
      <c r="A370" s="339"/>
      <c r="B370" s="339"/>
      <c r="C370" s="339"/>
      <c r="D370" s="339"/>
      <c r="E370" s="339"/>
      <c r="F370" s="339"/>
      <c r="G370" s="339"/>
      <c r="H370" s="339"/>
      <c r="I370" s="341"/>
      <c r="J370" s="339"/>
      <c r="K370" s="341"/>
      <c r="L370" s="341"/>
      <c r="M370" s="341"/>
      <c r="N370" s="341"/>
      <c r="O370" s="341"/>
      <c r="P370" s="339"/>
      <c r="Q370" s="339"/>
      <c r="R370" s="339"/>
      <c r="S370" s="339"/>
      <c r="T370" s="339"/>
      <c r="U370" s="339"/>
      <c r="V370" s="339"/>
      <c r="W370" s="339"/>
      <c r="X370" s="339"/>
      <c r="Y370" s="339"/>
      <c r="Z370" s="339"/>
    </row>
    <row r="371" spans="1:26" ht="15.75" customHeight="1">
      <c r="A371" s="339"/>
      <c r="B371" s="339"/>
      <c r="C371" s="339"/>
      <c r="D371" s="339"/>
      <c r="E371" s="339"/>
      <c r="F371" s="339"/>
      <c r="G371" s="339"/>
      <c r="H371" s="339"/>
      <c r="I371" s="341"/>
      <c r="J371" s="339"/>
      <c r="K371" s="341"/>
      <c r="L371" s="341"/>
      <c r="M371" s="341"/>
      <c r="N371" s="341"/>
      <c r="O371" s="341"/>
      <c r="P371" s="339"/>
      <c r="Q371" s="339"/>
      <c r="R371" s="339"/>
      <c r="S371" s="339"/>
      <c r="T371" s="339"/>
      <c r="U371" s="339"/>
      <c r="V371" s="339"/>
      <c r="W371" s="339"/>
      <c r="X371" s="339"/>
      <c r="Y371" s="339"/>
      <c r="Z371" s="339"/>
    </row>
    <row r="372" spans="1:26" ht="15.75" customHeight="1">
      <c r="A372" s="339"/>
      <c r="B372" s="339"/>
      <c r="C372" s="339"/>
      <c r="D372" s="339"/>
      <c r="E372" s="339"/>
      <c r="F372" s="339"/>
      <c r="G372" s="339"/>
      <c r="H372" s="339"/>
      <c r="I372" s="341"/>
      <c r="J372" s="339"/>
      <c r="K372" s="341"/>
      <c r="L372" s="341"/>
      <c r="M372" s="341"/>
      <c r="N372" s="341"/>
      <c r="O372" s="341"/>
      <c r="P372" s="339"/>
      <c r="Q372" s="339"/>
      <c r="R372" s="339"/>
      <c r="S372" s="339"/>
      <c r="T372" s="339"/>
      <c r="U372" s="339"/>
      <c r="V372" s="339"/>
      <c r="W372" s="339"/>
      <c r="X372" s="339"/>
      <c r="Y372" s="339"/>
      <c r="Z372" s="339"/>
    </row>
    <row r="373" spans="1:26" ht="15.75" customHeight="1">
      <c r="A373" s="339"/>
      <c r="B373" s="339"/>
      <c r="C373" s="339"/>
      <c r="D373" s="339"/>
      <c r="E373" s="339"/>
      <c r="F373" s="339"/>
      <c r="G373" s="339"/>
      <c r="H373" s="339"/>
      <c r="I373" s="341"/>
      <c r="J373" s="339"/>
      <c r="K373" s="341"/>
      <c r="L373" s="341"/>
      <c r="M373" s="341"/>
      <c r="N373" s="341"/>
      <c r="O373" s="341"/>
      <c r="P373" s="339"/>
      <c r="Q373" s="339"/>
      <c r="R373" s="339"/>
      <c r="S373" s="339"/>
      <c r="T373" s="339"/>
      <c r="U373" s="339"/>
      <c r="V373" s="339"/>
      <c r="W373" s="339"/>
      <c r="X373" s="339"/>
      <c r="Y373" s="339"/>
      <c r="Z373" s="339"/>
    </row>
    <row r="374" spans="1:26" ht="15.75" customHeight="1">
      <c r="A374" s="339"/>
      <c r="B374" s="339"/>
      <c r="C374" s="339"/>
      <c r="D374" s="339"/>
      <c r="E374" s="339"/>
      <c r="F374" s="339"/>
      <c r="G374" s="339"/>
      <c r="H374" s="339"/>
      <c r="I374" s="341"/>
      <c r="J374" s="339"/>
      <c r="K374" s="341"/>
      <c r="L374" s="341"/>
      <c r="M374" s="341"/>
      <c r="N374" s="341"/>
      <c r="O374" s="341"/>
      <c r="P374" s="339"/>
      <c r="Q374" s="339"/>
      <c r="R374" s="339"/>
      <c r="S374" s="339"/>
      <c r="T374" s="339"/>
      <c r="U374" s="339"/>
      <c r="V374" s="339"/>
      <c r="W374" s="339"/>
      <c r="X374" s="339"/>
      <c r="Y374" s="339"/>
      <c r="Z374" s="339"/>
    </row>
    <row r="375" spans="1:26" ht="15.75" customHeight="1">
      <c r="A375" s="339"/>
      <c r="B375" s="339"/>
      <c r="C375" s="339"/>
      <c r="D375" s="339"/>
      <c r="E375" s="339"/>
      <c r="F375" s="339"/>
      <c r="G375" s="339"/>
      <c r="H375" s="339"/>
      <c r="I375" s="341"/>
      <c r="J375" s="339"/>
      <c r="K375" s="341"/>
      <c r="L375" s="341"/>
      <c r="M375" s="341"/>
      <c r="N375" s="341"/>
      <c r="O375" s="341"/>
      <c r="P375" s="339"/>
      <c r="Q375" s="339"/>
      <c r="R375" s="339"/>
      <c r="S375" s="339"/>
      <c r="T375" s="339"/>
      <c r="U375" s="339"/>
      <c r="V375" s="339"/>
      <c r="W375" s="339"/>
      <c r="X375" s="339"/>
      <c r="Y375" s="339"/>
      <c r="Z375" s="339"/>
    </row>
    <row r="376" spans="1:26" ht="15.75" customHeight="1">
      <c r="A376" s="339"/>
      <c r="B376" s="339"/>
      <c r="C376" s="339"/>
      <c r="D376" s="339"/>
      <c r="E376" s="339"/>
      <c r="F376" s="339"/>
      <c r="G376" s="339"/>
      <c r="H376" s="339"/>
      <c r="I376" s="341"/>
      <c r="J376" s="339"/>
      <c r="K376" s="341"/>
      <c r="L376" s="341"/>
      <c r="M376" s="341"/>
      <c r="N376" s="341"/>
      <c r="O376" s="341"/>
      <c r="P376" s="339"/>
      <c r="Q376" s="339"/>
      <c r="R376" s="339"/>
      <c r="S376" s="339"/>
      <c r="T376" s="339"/>
      <c r="U376" s="339"/>
      <c r="V376" s="339"/>
      <c r="W376" s="339"/>
      <c r="X376" s="339"/>
      <c r="Y376" s="339"/>
      <c r="Z376" s="339"/>
    </row>
    <row r="377" spans="1:26" ht="15.75" customHeight="1">
      <c r="A377" s="339"/>
      <c r="B377" s="339"/>
      <c r="C377" s="339"/>
      <c r="D377" s="339"/>
      <c r="E377" s="339"/>
      <c r="F377" s="339"/>
      <c r="G377" s="339"/>
      <c r="H377" s="339"/>
      <c r="I377" s="341"/>
      <c r="J377" s="339"/>
      <c r="K377" s="341"/>
      <c r="L377" s="341"/>
      <c r="M377" s="341"/>
      <c r="N377" s="341"/>
      <c r="O377" s="341"/>
      <c r="P377" s="339"/>
      <c r="Q377" s="339"/>
      <c r="R377" s="339"/>
      <c r="S377" s="339"/>
      <c r="T377" s="339"/>
      <c r="U377" s="339"/>
      <c r="V377" s="339"/>
      <c r="W377" s="339"/>
      <c r="X377" s="339"/>
      <c r="Y377" s="339"/>
      <c r="Z377" s="339"/>
    </row>
    <row r="378" spans="1:26" ht="15.75" customHeight="1">
      <c r="A378" s="339"/>
      <c r="B378" s="339"/>
      <c r="C378" s="339"/>
      <c r="D378" s="339"/>
      <c r="E378" s="339"/>
      <c r="F378" s="339"/>
      <c r="G378" s="339"/>
      <c r="H378" s="339"/>
      <c r="I378" s="341"/>
      <c r="J378" s="339"/>
      <c r="K378" s="341"/>
      <c r="L378" s="341"/>
      <c r="M378" s="341"/>
      <c r="N378" s="341"/>
      <c r="O378" s="341"/>
      <c r="P378" s="339"/>
      <c r="Q378" s="339"/>
      <c r="R378" s="339"/>
      <c r="S378" s="339"/>
      <c r="T378" s="339"/>
      <c r="U378" s="339"/>
      <c r="V378" s="339"/>
      <c r="W378" s="339"/>
      <c r="X378" s="339"/>
      <c r="Y378" s="339"/>
      <c r="Z378" s="339"/>
    </row>
    <row r="379" spans="1:26" ht="15.75" customHeight="1">
      <c r="A379" s="339"/>
      <c r="B379" s="339"/>
      <c r="C379" s="339"/>
      <c r="D379" s="339"/>
      <c r="E379" s="339"/>
      <c r="F379" s="339"/>
      <c r="G379" s="339"/>
      <c r="H379" s="339"/>
      <c r="I379" s="341"/>
      <c r="J379" s="339"/>
      <c r="K379" s="341"/>
      <c r="L379" s="341"/>
      <c r="M379" s="341"/>
      <c r="N379" s="341"/>
      <c r="O379" s="341"/>
      <c r="P379" s="339"/>
      <c r="Q379" s="339"/>
      <c r="R379" s="339"/>
      <c r="S379" s="339"/>
      <c r="T379" s="339"/>
      <c r="U379" s="339"/>
      <c r="V379" s="339"/>
      <c r="W379" s="339"/>
      <c r="X379" s="339"/>
      <c r="Y379" s="339"/>
      <c r="Z379" s="339"/>
    </row>
    <row r="380" spans="1:26" ht="15.75" customHeight="1">
      <c r="A380" s="339"/>
      <c r="B380" s="339"/>
      <c r="C380" s="339"/>
      <c r="D380" s="339"/>
      <c r="E380" s="339"/>
      <c r="F380" s="339"/>
      <c r="G380" s="339"/>
      <c r="H380" s="339"/>
      <c r="I380" s="341"/>
      <c r="J380" s="339"/>
      <c r="K380" s="341"/>
      <c r="L380" s="341"/>
      <c r="M380" s="341"/>
      <c r="N380" s="341"/>
      <c r="O380" s="341"/>
      <c r="P380" s="339"/>
      <c r="Q380" s="339"/>
      <c r="R380" s="339"/>
      <c r="S380" s="339"/>
      <c r="T380" s="339"/>
      <c r="U380" s="339"/>
      <c r="V380" s="339"/>
      <c r="W380" s="339"/>
      <c r="X380" s="339"/>
      <c r="Y380" s="339"/>
      <c r="Z380" s="339"/>
    </row>
    <row r="381" spans="1:26" ht="15.75" customHeight="1">
      <c r="A381" s="339"/>
      <c r="B381" s="339"/>
      <c r="C381" s="339"/>
      <c r="D381" s="339"/>
      <c r="E381" s="339"/>
      <c r="F381" s="339"/>
      <c r="G381" s="339"/>
      <c r="H381" s="339"/>
      <c r="I381" s="341"/>
      <c r="J381" s="339"/>
      <c r="K381" s="341"/>
      <c r="L381" s="341"/>
      <c r="M381" s="341"/>
      <c r="N381" s="341"/>
      <c r="O381" s="341"/>
      <c r="P381" s="339"/>
      <c r="Q381" s="339"/>
      <c r="R381" s="339"/>
      <c r="S381" s="339"/>
      <c r="T381" s="339"/>
      <c r="U381" s="339"/>
      <c r="V381" s="339"/>
      <c r="W381" s="339"/>
      <c r="X381" s="339"/>
      <c r="Y381" s="339"/>
      <c r="Z381" s="339"/>
    </row>
    <row r="382" spans="1:26" ht="15.75" customHeight="1">
      <c r="A382" s="339"/>
      <c r="B382" s="339"/>
      <c r="C382" s="339"/>
      <c r="D382" s="339"/>
      <c r="E382" s="339"/>
      <c r="F382" s="339"/>
      <c r="G382" s="339"/>
      <c r="H382" s="339"/>
      <c r="I382" s="341"/>
      <c r="J382" s="339"/>
      <c r="K382" s="341"/>
      <c r="L382" s="341"/>
      <c r="M382" s="341"/>
      <c r="N382" s="341"/>
      <c r="O382" s="341"/>
      <c r="P382" s="339"/>
      <c r="Q382" s="339"/>
      <c r="R382" s="339"/>
      <c r="S382" s="339"/>
      <c r="T382" s="339"/>
      <c r="U382" s="339"/>
      <c r="V382" s="339"/>
      <c r="W382" s="339"/>
      <c r="X382" s="339"/>
      <c r="Y382" s="339"/>
      <c r="Z382" s="339"/>
    </row>
    <row r="383" spans="1:26" ht="15.75" customHeight="1">
      <c r="A383" s="339"/>
      <c r="B383" s="339"/>
      <c r="C383" s="339"/>
      <c r="D383" s="339"/>
      <c r="E383" s="339"/>
      <c r="F383" s="339"/>
      <c r="G383" s="339"/>
      <c r="H383" s="339"/>
      <c r="I383" s="341"/>
      <c r="J383" s="339"/>
      <c r="K383" s="341"/>
      <c r="L383" s="341"/>
      <c r="M383" s="341"/>
      <c r="N383" s="341"/>
      <c r="O383" s="341"/>
      <c r="P383" s="339"/>
      <c r="Q383" s="339"/>
      <c r="R383" s="339"/>
      <c r="S383" s="339"/>
      <c r="T383" s="339"/>
      <c r="U383" s="339"/>
      <c r="V383" s="339"/>
      <c r="W383" s="339"/>
      <c r="X383" s="339"/>
      <c r="Y383" s="339"/>
      <c r="Z383" s="339"/>
    </row>
    <row r="384" spans="1:26" ht="15.75" customHeight="1">
      <c r="A384" s="339"/>
      <c r="B384" s="339"/>
      <c r="C384" s="339"/>
      <c r="D384" s="339"/>
      <c r="E384" s="339"/>
      <c r="F384" s="339"/>
      <c r="G384" s="339"/>
      <c r="H384" s="339"/>
      <c r="I384" s="341"/>
      <c r="J384" s="339"/>
      <c r="K384" s="341"/>
      <c r="L384" s="341"/>
      <c r="M384" s="341"/>
      <c r="N384" s="341"/>
      <c r="O384" s="341"/>
      <c r="P384" s="339"/>
      <c r="Q384" s="339"/>
      <c r="R384" s="339"/>
      <c r="S384" s="339"/>
      <c r="T384" s="339"/>
      <c r="U384" s="339"/>
      <c r="V384" s="339"/>
      <c r="W384" s="339"/>
      <c r="X384" s="339"/>
      <c r="Y384" s="339"/>
      <c r="Z384" s="339"/>
    </row>
    <row r="385" spans="1:26" ht="15.75" customHeight="1">
      <c r="A385" s="339"/>
      <c r="B385" s="339"/>
      <c r="C385" s="339"/>
      <c r="D385" s="339"/>
      <c r="E385" s="339"/>
      <c r="F385" s="339"/>
      <c r="G385" s="339"/>
      <c r="H385" s="339"/>
      <c r="I385" s="341"/>
      <c r="J385" s="339"/>
      <c r="K385" s="341"/>
      <c r="L385" s="341"/>
      <c r="M385" s="341"/>
      <c r="N385" s="341"/>
      <c r="O385" s="341"/>
      <c r="P385" s="339"/>
      <c r="Q385" s="339"/>
      <c r="R385" s="339"/>
      <c r="S385" s="339"/>
      <c r="T385" s="339"/>
      <c r="U385" s="339"/>
      <c r="V385" s="339"/>
      <c r="W385" s="339"/>
      <c r="X385" s="339"/>
      <c r="Y385" s="339"/>
      <c r="Z385" s="339"/>
    </row>
    <row r="386" spans="1:26" ht="15.75" customHeight="1">
      <c r="A386" s="339"/>
      <c r="B386" s="339"/>
      <c r="C386" s="339"/>
      <c r="D386" s="339"/>
      <c r="E386" s="339"/>
      <c r="F386" s="339"/>
      <c r="G386" s="339"/>
      <c r="H386" s="339"/>
      <c r="I386" s="341"/>
      <c r="J386" s="339"/>
      <c r="K386" s="341"/>
      <c r="L386" s="341"/>
      <c r="M386" s="341"/>
      <c r="N386" s="341"/>
      <c r="O386" s="341"/>
      <c r="P386" s="339"/>
      <c r="Q386" s="339"/>
      <c r="R386" s="339"/>
      <c r="S386" s="339"/>
      <c r="T386" s="339"/>
      <c r="U386" s="339"/>
      <c r="V386" s="339"/>
      <c r="W386" s="339"/>
      <c r="X386" s="339"/>
      <c r="Y386" s="339"/>
      <c r="Z386" s="339"/>
    </row>
    <row r="387" spans="1:26" ht="15.75" customHeight="1">
      <c r="A387" s="339"/>
      <c r="B387" s="339"/>
      <c r="C387" s="339"/>
      <c r="D387" s="339"/>
      <c r="E387" s="339"/>
      <c r="F387" s="339"/>
      <c r="G387" s="339"/>
      <c r="H387" s="339"/>
      <c r="I387" s="341"/>
      <c r="J387" s="339"/>
      <c r="K387" s="341"/>
      <c r="L387" s="341"/>
      <c r="M387" s="341"/>
      <c r="N387" s="341"/>
      <c r="O387" s="341"/>
      <c r="P387" s="339"/>
      <c r="Q387" s="339"/>
      <c r="R387" s="339"/>
      <c r="S387" s="339"/>
      <c r="T387" s="339"/>
      <c r="U387" s="339"/>
      <c r="V387" s="339"/>
      <c r="W387" s="339"/>
      <c r="X387" s="339"/>
      <c r="Y387" s="339"/>
      <c r="Z387" s="339"/>
    </row>
    <row r="388" spans="1:26" ht="15.75" customHeight="1">
      <c r="A388" s="339"/>
      <c r="B388" s="339"/>
      <c r="C388" s="339"/>
      <c r="D388" s="339"/>
      <c r="E388" s="339"/>
      <c r="F388" s="339"/>
      <c r="G388" s="339"/>
      <c r="H388" s="339"/>
      <c r="I388" s="341"/>
      <c r="J388" s="339"/>
      <c r="K388" s="341"/>
      <c r="L388" s="341"/>
      <c r="M388" s="341"/>
      <c r="N388" s="341"/>
      <c r="O388" s="341"/>
      <c r="P388" s="339"/>
      <c r="Q388" s="339"/>
      <c r="R388" s="339"/>
      <c r="S388" s="339"/>
      <c r="T388" s="339"/>
      <c r="U388" s="339"/>
      <c r="V388" s="339"/>
      <c r="W388" s="339"/>
      <c r="X388" s="339"/>
      <c r="Y388" s="339"/>
      <c r="Z388" s="339"/>
    </row>
    <row r="389" spans="1:26" ht="15.75" customHeight="1">
      <c r="A389" s="339"/>
      <c r="B389" s="339"/>
      <c r="C389" s="339"/>
      <c r="D389" s="339"/>
      <c r="E389" s="339"/>
      <c r="F389" s="339"/>
      <c r="G389" s="339"/>
      <c r="H389" s="339"/>
      <c r="I389" s="341"/>
      <c r="J389" s="339"/>
      <c r="K389" s="341"/>
      <c r="L389" s="341"/>
      <c r="M389" s="341"/>
      <c r="N389" s="341"/>
      <c r="O389" s="341"/>
      <c r="P389" s="339"/>
      <c r="Q389" s="339"/>
      <c r="R389" s="339"/>
      <c r="S389" s="339"/>
      <c r="T389" s="339"/>
      <c r="U389" s="339"/>
      <c r="V389" s="339"/>
      <c r="W389" s="339"/>
      <c r="X389" s="339"/>
      <c r="Y389" s="339"/>
      <c r="Z389" s="339"/>
    </row>
    <row r="390" spans="1:26" ht="15.75" customHeight="1">
      <c r="A390" s="339"/>
      <c r="B390" s="339"/>
      <c r="C390" s="339"/>
      <c r="D390" s="339"/>
      <c r="E390" s="339"/>
      <c r="F390" s="339"/>
      <c r="G390" s="339"/>
      <c r="H390" s="339"/>
      <c r="I390" s="341"/>
      <c r="J390" s="339"/>
      <c r="K390" s="341"/>
      <c r="L390" s="341"/>
      <c r="M390" s="341"/>
      <c r="N390" s="341"/>
      <c r="O390" s="341"/>
      <c r="P390" s="339"/>
      <c r="Q390" s="339"/>
      <c r="R390" s="339"/>
      <c r="S390" s="339"/>
      <c r="T390" s="339"/>
      <c r="U390" s="339"/>
      <c r="V390" s="339"/>
      <c r="W390" s="339"/>
      <c r="X390" s="339"/>
      <c r="Y390" s="339"/>
      <c r="Z390" s="339"/>
    </row>
    <row r="391" spans="1:26" ht="15.75" customHeight="1">
      <c r="A391" s="339"/>
      <c r="B391" s="339"/>
      <c r="C391" s="339"/>
      <c r="D391" s="339"/>
      <c r="E391" s="339"/>
      <c r="F391" s="339"/>
      <c r="G391" s="339"/>
      <c r="H391" s="339"/>
      <c r="I391" s="341"/>
      <c r="J391" s="339"/>
      <c r="K391" s="341"/>
      <c r="L391" s="341"/>
      <c r="M391" s="341"/>
      <c r="N391" s="341"/>
      <c r="O391" s="341"/>
      <c r="P391" s="339"/>
      <c r="Q391" s="339"/>
      <c r="R391" s="339"/>
      <c r="S391" s="339"/>
      <c r="T391" s="339"/>
      <c r="U391" s="339"/>
      <c r="V391" s="339"/>
      <c r="W391" s="339"/>
      <c r="X391" s="339"/>
      <c r="Y391" s="339"/>
      <c r="Z391" s="339"/>
    </row>
    <row r="392" spans="1:26" ht="15.75" customHeight="1">
      <c r="A392" s="339"/>
      <c r="B392" s="339"/>
      <c r="C392" s="339"/>
      <c r="D392" s="339"/>
      <c r="E392" s="339"/>
      <c r="F392" s="339"/>
      <c r="G392" s="339"/>
      <c r="H392" s="339"/>
      <c r="I392" s="341"/>
      <c r="J392" s="339"/>
      <c r="K392" s="341"/>
      <c r="L392" s="341"/>
      <c r="M392" s="341"/>
      <c r="N392" s="341"/>
      <c r="O392" s="341"/>
      <c r="P392" s="339"/>
      <c r="Q392" s="339"/>
      <c r="R392" s="339"/>
      <c r="S392" s="339"/>
      <c r="T392" s="339"/>
      <c r="U392" s="339"/>
      <c r="V392" s="339"/>
      <c r="W392" s="339"/>
      <c r="X392" s="339"/>
      <c r="Y392" s="339"/>
      <c r="Z392" s="339"/>
    </row>
    <row r="393" spans="1:26" ht="15.75" customHeight="1">
      <c r="A393" s="339"/>
      <c r="B393" s="339"/>
      <c r="C393" s="339"/>
      <c r="D393" s="339"/>
      <c r="E393" s="339"/>
      <c r="F393" s="339"/>
      <c r="G393" s="339"/>
      <c r="H393" s="339"/>
      <c r="I393" s="341"/>
      <c r="J393" s="339"/>
      <c r="K393" s="341"/>
      <c r="L393" s="341"/>
      <c r="M393" s="341"/>
      <c r="N393" s="341"/>
      <c r="O393" s="341"/>
      <c r="P393" s="339"/>
      <c r="Q393" s="339"/>
      <c r="R393" s="339"/>
      <c r="S393" s="339"/>
      <c r="T393" s="339"/>
      <c r="U393" s="339"/>
      <c r="V393" s="339"/>
      <c r="W393" s="339"/>
      <c r="X393" s="339"/>
      <c r="Y393" s="339"/>
      <c r="Z393" s="339"/>
    </row>
    <row r="394" spans="1:26" ht="15.75" customHeight="1">
      <c r="A394" s="339"/>
      <c r="B394" s="339"/>
      <c r="C394" s="339"/>
      <c r="D394" s="339"/>
      <c r="E394" s="339"/>
      <c r="F394" s="339"/>
      <c r="G394" s="339"/>
      <c r="H394" s="339"/>
      <c r="I394" s="341"/>
      <c r="J394" s="339"/>
      <c r="K394" s="341"/>
      <c r="L394" s="341"/>
      <c r="M394" s="341"/>
      <c r="N394" s="341"/>
      <c r="O394" s="341"/>
      <c r="P394" s="339"/>
      <c r="Q394" s="339"/>
      <c r="R394" s="339"/>
      <c r="S394" s="339"/>
      <c r="T394" s="339"/>
      <c r="U394" s="339"/>
      <c r="V394" s="339"/>
      <c r="W394" s="339"/>
      <c r="X394" s="339"/>
      <c r="Y394" s="339"/>
      <c r="Z394" s="339"/>
    </row>
    <row r="395" spans="1:26" ht="15.75" customHeight="1">
      <c r="A395" s="339"/>
      <c r="B395" s="339"/>
      <c r="C395" s="339"/>
      <c r="D395" s="339"/>
      <c r="E395" s="339"/>
      <c r="F395" s="339"/>
      <c r="G395" s="339"/>
      <c r="H395" s="339"/>
      <c r="I395" s="341"/>
      <c r="J395" s="339"/>
      <c r="K395" s="341"/>
      <c r="L395" s="341"/>
      <c r="M395" s="341"/>
      <c r="N395" s="341"/>
      <c r="O395" s="341"/>
      <c r="P395" s="339"/>
      <c r="Q395" s="339"/>
      <c r="R395" s="339"/>
      <c r="S395" s="339"/>
      <c r="T395" s="339"/>
      <c r="U395" s="339"/>
      <c r="V395" s="339"/>
      <c r="W395" s="339"/>
      <c r="X395" s="339"/>
      <c r="Y395" s="339"/>
      <c r="Z395" s="339"/>
    </row>
    <row r="396" spans="1:26" ht="15.75" customHeight="1">
      <c r="A396" s="339"/>
      <c r="B396" s="339"/>
      <c r="C396" s="339"/>
      <c r="D396" s="339"/>
      <c r="E396" s="339"/>
      <c r="F396" s="339"/>
      <c r="G396" s="339"/>
      <c r="H396" s="339"/>
      <c r="I396" s="341"/>
      <c r="J396" s="339"/>
      <c r="K396" s="341"/>
      <c r="L396" s="341"/>
      <c r="M396" s="341"/>
      <c r="N396" s="341"/>
      <c r="O396" s="341"/>
      <c r="P396" s="339"/>
      <c r="Q396" s="339"/>
      <c r="R396" s="339"/>
      <c r="S396" s="339"/>
      <c r="T396" s="339"/>
      <c r="U396" s="339"/>
      <c r="V396" s="339"/>
      <c r="W396" s="339"/>
      <c r="X396" s="339"/>
      <c r="Y396" s="339"/>
      <c r="Z396" s="339"/>
    </row>
    <row r="397" spans="1:26" ht="15.75" customHeight="1">
      <c r="A397" s="339"/>
      <c r="B397" s="339"/>
      <c r="C397" s="339"/>
      <c r="D397" s="339"/>
      <c r="E397" s="339"/>
      <c r="F397" s="339"/>
      <c r="G397" s="339"/>
      <c r="H397" s="339"/>
      <c r="I397" s="341"/>
      <c r="J397" s="339"/>
      <c r="K397" s="341"/>
      <c r="L397" s="341"/>
      <c r="M397" s="341"/>
      <c r="N397" s="341"/>
      <c r="O397" s="341"/>
      <c r="P397" s="339"/>
      <c r="Q397" s="339"/>
      <c r="R397" s="339"/>
      <c r="S397" s="339"/>
      <c r="T397" s="339"/>
      <c r="U397" s="339"/>
      <c r="V397" s="339"/>
      <c r="W397" s="339"/>
      <c r="X397" s="339"/>
      <c r="Y397" s="339"/>
      <c r="Z397" s="339"/>
    </row>
    <row r="398" spans="1:26" ht="15.75" customHeight="1">
      <c r="A398" s="339"/>
      <c r="B398" s="339"/>
      <c r="C398" s="339"/>
      <c r="D398" s="339"/>
      <c r="E398" s="339"/>
      <c r="F398" s="339"/>
      <c r="G398" s="339"/>
      <c r="H398" s="339"/>
      <c r="I398" s="341"/>
      <c r="J398" s="339"/>
      <c r="K398" s="341"/>
      <c r="L398" s="341"/>
      <c r="M398" s="341"/>
      <c r="N398" s="341"/>
      <c r="O398" s="341"/>
      <c r="P398" s="339"/>
      <c r="Q398" s="339"/>
      <c r="R398" s="339"/>
      <c r="S398" s="339"/>
      <c r="T398" s="339"/>
      <c r="U398" s="339"/>
      <c r="V398" s="339"/>
      <c r="W398" s="339"/>
      <c r="X398" s="339"/>
      <c r="Y398" s="339"/>
      <c r="Z398" s="339"/>
    </row>
    <row r="399" spans="1:26" ht="15.75" customHeight="1">
      <c r="A399" s="339"/>
      <c r="B399" s="339"/>
      <c r="C399" s="339"/>
      <c r="D399" s="339"/>
      <c r="E399" s="339"/>
      <c r="F399" s="339"/>
      <c r="G399" s="339"/>
      <c r="H399" s="339"/>
      <c r="I399" s="341"/>
      <c r="J399" s="339"/>
      <c r="K399" s="341"/>
      <c r="L399" s="341"/>
      <c r="M399" s="341"/>
      <c r="N399" s="341"/>
      <c r="O399" s="341"/>
      <c r="P399" s="339"/>
      <c r="Q399" s="339"/>
      <c r="R399" s="339"/>
      <c r="S399" s="339"/>
      <c r="T399" s="339"/>
      <c r="U399" s="339"/>
      <c r="V399" s="339"/>
      <c r="W399" s="339"/>
      <c r="X399" s="339"/>
      <c r="Y399" s="339"/>
      <c r="Z399" s="339"/>
    </row>
    <row r="400" spans="1:26" ht="15.75" customHeight="1">
      <c r="A400" s="339"/>
      <c r="B400" s="339"/>
      <c r="C400" s="339"/>
      <c r="D400" s="339"/>
      <c r="E400" s="339"/>
      <c r="F400" s="339"/>
      <c r="G400" s="339"/>
      <c r="H400" s="339"/>
      <c r="I400" s="341"/>
      <c r="J400" s="339"/>
      <c r="K400" s="341"/>
      <c r="L400" s="341"/>
      <c r="M400" s="341"/>
      <c r="N400" s="341"/>
      <c r="O400" s="341"/>
      <c r="P400" s="339"/>
      <c r="Q400" s="339"/>
      <c r="R400" s="339"/>
      <c r="S400" s="339"/>
      <c r="T400" s="339"/>
      <c r="U400" s="339"/>
      <c r="V400" s="339"/>
      <c r="W400" s="339"/>
      <c r="X400" s="339"/>
      <c r="Y400" s="339"/>
      <c r="Z400" s="339"/>
    </row>
    <row r="401" spans="1:26" ht="15.75" customHeight="1">
      <c r="A401" s="339"/>
      <c r="B401" s="339"/>
      <c r="C401" s="339"/>
      <c r="D401" s="339"/>
      <c r="E401" s="339"/>
      <c r="F401" s="339"/>
      <c r="G401" s="339"/>
      <c r="H401" s="339"/>
      <c r="I401" s="341"/>
      <c r="J401" s="339"/>
      <c r="K401" s="341"/>
      <c r="L401" s="341"/>
      <c r="M401" s="341"/>
      <c r="N401" s="341"/>
      <c r="O401" s="341"/>
      <c r="P401" s="339"/>
      <c r="Q401" s="339"/>
      <c r="R401" s="339"/>
      <c r="S401" s="339"/>
      <c r="T401" s="339"/>
      <c r="U401" s="339"/>
      <c r="V401" s="339"/>
      <c r="W401" s="339"/>
      <c r="X401" s="339"/>
      <c r="Y401" s="339"/>
      <c r="Z401" s="339"/>
    </row>
    <row r="402" spans="1:26" ht="15.75" customHeight="1">
      <c r="A402" s="339"/>
      <c r="B402" s="339"/>
      <c r="C402" s="339"/>
      <c r="D402" s="339"/>
      <c r="E402" s="339"/>
      <c r="F402" s="339"/>
      <c r="G402" s="339"/>
      <c r="H402" s="339"/>
      <c r="I402" s="341"/>
      <c r="J402" s="339"/>
      <c r="K402" s="341"/>
      <c r="L402" s="341"/>
      <c r="M402" s="341"/>
      <c r="N402" s="341"/>
      <c r="O402" s="341"/>
      <c r="P402" s="339"/>
      <c r="Q402" s="339"/>
      <c r="R402" s="339"/>
      <c r="S402" s="339"/>
      <c r="T402" s="339"/>
      <c r="U402" s="339"/>
      <c r="V402" s="339"/>
      <c r="W402" s="339"/>
      <c r="X402" s="339"/>
      <c r="Y402" s="339"/>
      <c r="Z402" s="339"/>
    </row>
    <row r="403" spans="1:26" ht="15.75" customHeight="1">
      <c r="A403" s="339"/>
      <c r="B403" s="339"/>
      <c r="C403" s="339"/>
      <c r="D403" s="339"/>
      <c r="E403" s="339"/>
      <c r="F403" s="339"/>
      <c r="G403" s="339"/>
      <c r="H403" s="339"/>
      <c r="I403" s="341"/>
      <c r="J403" s="339"/>
      <c r="K403" s="341"/>
      <c r="L403" s="341"/>
      <c r="M403" s="341"/>
      <c r="N403" s="341"/>
      <c r="O403" s="341"/>
      <c r="P403" s="339"/>
      <c r="Q403" s="339"/>
      <c r="R403" s="339"/>
      <c r="S403" s="339"/>
      <c r="T403" s="339"/>
      <c r="U403" s="339"/>
      <c r="V403" s="339"/>
      <c r="W403" s="339"/>
      <c r="X403" s="339"/>
      <c r="Y403" s="339"/>
      <c r="Z403" s="339"/>
    </row>
    <row r="404" spans="1:26" ht="15.75" customHeight="1">
      <c r="A404" s="339"/>
      <c r="B404" s="339"/>
      <c r="C404" s="339"/>
      <c r="D404" s="339"/>
      <c r="E404" s="339"/>
      <c r="F404" s="339"/>
      <c r="G404" s="339"/>
      <c r="H404" s="339"/>
      <c r="I404" s="341"/>
      <c r="J404" s="339"/>
      <c r="K404" s="341"/>
      <c r="L404" s="341"/>
      <c r="M404" s="341"/>
      <c r="N404" s="341"/>
      <c r="O404" s="341"/>
      <c r="P404" s="339"/>
      <c r="Q404" s="339"/>
      <c r="R404" s="339"/>
      <c r="S404" s="339"/>
      <c r="T404" s="339"/>
      <c r="U404" s="339"/>
      <c r="V404" s="339"/>
      <c r="W404" s="339"/>
      <c r="X404" s="339"/>
      <c r="Y404" s="339"/>
      <c r="Z404" s="339"/>
    </row>
    <row r="405" spans="1:26" ht="15.75" customHeight="1">
      <c r="A405" s="339"/>
      <c r="B405" s="339"/>
      <c r="C405" s="339"/>
      <c r="D405" s="339"/>
      <c r="E405" s="339"/>
      <c r="F405" s="339"/>
      <c r="G405" s="339"/>
      <c r="H405" s="339"/>
      <c r="I405" s="341"/>
      <c r="J405" s="339"/>
      <c r="K405" s="341"/>
      <c r="L405" s="341"/>
      <c r="M405" s="341"/>
      <c r="N405" s="341"/>
      <c r="O405" s="341"/>
      <c r="P405" s="339"/>
      <c r="Q405" s="339"/>
      <c r="R405" s="339"/>
      <c r="S405" s="339"/>
      <c r="T405" s="339"/>
      <c r="U405" s="339"/>
      <c r="V405" s="339"/>
      <c r="W405" s="339"/>
      <c r="X405" s="339"/>
      <c r="Y405" s="339"/>
      <c r="Z405" s="339"/>
    </row>
    <row r="406" spans="1:26" ht="15.75" customHeight="1">
      <c r="A406" s="339"/>
      <c r="B406" s="339"/>
      <c r="C406" s="339"/>
      <c r="D406" s="339"/>
      <c r="E406" s="339"/>
      <c r="F406" s="339"/>
      <c r="G406" s="339"/>
      <c r="H406" s="339"/>
      <c r="I406" s="341"/>
      <c r="J406" s="339"/>
      <c r="K406" s="341"/>
      <c r="L406" s="341"/>
      <c r="M406" s="341"/>
      <c r="N406" s="341"/>
      <c r="O406" s="341"/>
      <c r="P406" s="339"/>
      <c r="Q406" s="339"/>
      <c r="R406" s="339"/>
      <c r="S406" s="339"/>
      <c r="T406" s="339"/>
      <c r="U406" s="339"/>
      <c r="V406" s="339"/>
      <c r="W406" s="339"/>
      <c r="X406" s="339"/>
      <c r="Y406" s="339"/>
      <c r="Z406" s="339"/>
    </row>
    <row r="407" spans="1:26" ht="15.75" customHeight="1">
      <c r="A407" s="339"/>
      <c r="B407" s="339"/>
      <c r="C407" s="339"/>
      <c r="D407" s="339"/>
      <c r="E407" s="339"/>
      <c r="F407" s="339"/>
      <c r="G407" s="339"/>
      <c r="H407" s="339"/>
      <c r="I407" s="341"/>
      <c r="J407" s="339"/>
      <c r="K407" s="341"/>
      <c r="L407" s="341"/>
      <c r="M407" s="341"/>
      <c r="N407" s="341"/>
      <c r="O407" s="341"/>
      <c r="P407" s="339"/>
      <c r="Q407" s="339"/>
      <c r="R407" s="339"/>
      <c r="S407" s="339"/>
      <c r="T407" s="339"/>
      <c r="U407" s="339"/>
      <c r="V407" s="339"/>
      <c r="W407" s="339"/>
      <c r="X407" s="339"/>
      <c r="Y407" s="339"/>
      <c r="Z407" s="339"/>
    </row>
    <row r="408" spans="1:26" ht="15.75" customHeight="1">
      <c r="A408" s="339"/>
      <c r="B408" s="339"/>
      <c r="C408" s="339"/>
      <c r="D408" s="339"/>
      <c r="E408" s="339"/>
      <c r="F408" s="339"/>
      <c r="G408" s="339"/>
      <c r="H408" s="339"/>
      <c r="I408" s="341"/>
      <c r="J408" s="339"/>
      <c r="K408" s="341"/>
      <c r="L408" s="341"/>
      <c r="M408" s="341"/>
      <c r="N408" s="341"/>
      <c r="O408" s="341"/>
      <c r="P408" s="339"/>
      <c r="Q408" s="339"/>
      <c r="R408" s="339"/>
      <c r="S408" s="339"/>
      <c r="T408" s="339"/>
      <c r="U408" s="339"/>
      <c r="V408" s="339"/>
      <c r="W408" s="339"/>
      <c r="X408" s="339"/>
      <c r="Y408" s="339"/>
      <c r="Z408" s="339"/>
    </row>
    <row r="409" spans="1:26" ht="15.75" customHeight="1">
      <c r="A409" s="339"/>
      <c r="B409" s="339"/>
      <c r="C409" s="339"/>
      <c r="D409" s="339"/>
      <c r="E409" s="339"/>
      <c r="F409" s="339"/>
      <c r="G409" s="339"/>
      <c r="H409" s="339"/>
      <c r="I409" s="341"/>
      <c r="J409" s="339"/>
      <c r="K409" s="341"/>
      <c r="L409" s="341"/>
      <c r="M409" s="341"/>
      <c r="N409" s="341"/>
      <c r="O409" s="341"/>
      <c r="P409" s="339"/>
      <c r="Q409" s="339"/>
      <c r="R409" s="339"/>
      <c r="S409" s="339"/>
      <c r="T409" s="339"/>
      <c r="U409" s="339"/>
      <c r="V409" s="339"/>
      <c r="W409" s="339"/>
      <c r="X409" s="339"/>
      <c r="Y409" s="339"/>
      <c r="Z409" s="339"/>
    </row>
    <row r="410" spans="1:26" ht="15.75" customHeight="1">
      <c r="A410" s="339"/>
      <c r="B410" s="339"/>
      <c r="C410" s="339"/>
      <c r="D410" s="339"/>
      <c r="E410" s="339"/>
      <c r="F410" s="339"/>
      <c r="G410" s="339"/>
      <c r="H410" s="339"/>
      <c r="I410" s="341"/>
      <c r="J410" s="339"/>
      <c r="K410" s="341"/>
      <c r="L410" s="341"/>
      <c r="M410" s="341"/>
      <c r="N410" s="341"/>
      <c r="O410" s="341"/>
      <c r="P410" s="339"/>
      <c r="Q410" s="339"/>
      <c r="R410" s="339"/>
      <c r="S410" s="339"/>
      <c r="T410" s="339"/>
      <c r="U410" s="339"/>
      <c r="V410" s="339"/>
      <c r="W410" s="339"/>
      <c r="X410" s="339"/>
      <c r="Y410" s="339"/>
      <c r="Z410" s="339"/>
    </row>
    <row r="411" spans="1:26" ht="15.75" customHeight="1">
      <c r="A411" s="339"/>
      <c r="B411" s="339"/>
      <c r="C411" s="339"/>
      <c r="D411" s="339"/>
      <c r="E411" s="339"/>
      <c r="F411" s="339"/>
      <c r="G411" s="339"/>
      <c r="H411" s="339"/>
      <c r="I411" s="341"/>
      <c r="J411" s="339"/>
      <c r="K411" s="341"/>
      <c r="L411" s="341"/>
      <c r="M411" s="341"/>
      <c r="N411" s="341"/>
      <c r="O411" s="341"/>
      <c r="P411" s="339"/>
      <c r="Q411" s="339"/>
      <c r="R411" s="339"/>
      <c r="S411" s="339"/>
      <c r="T411" s="339"/>
      <c r="U411" s="339"/>
      <c r="V411" s="339"/>
      <c r="W411" s="339"/>
      <c r="X411" s="339"/>
      <c r="Y411" s="339"/>
      <c r="Z411" s="339"/>
    </row>
    <row r="412" spans="1:26" ht="15.75" customHeight="1">
      <c r="A412" s="339"/>
      <c r="B412" s="339"/>
      <c r="C412" s="339"/>
      <c r="D412" s="339"/>
      <c r="E412" s="339"/>
      <c r="F412" s="339"/>
      <c r="G412" s="339"/>
      <c r="H412" s="339"/>
      <c r="I412" s="341"/>
      <c r="J412" s="339"/>
      <c r="K412" s="341"/>
      <c r="L412" s="341"/>
      <c r="M412" s="341"/>
      <c r="N412" s="341"/>
      <c r="O412" s="341"/>
      <c r="P412" s="339"/>
      <c r="Q412" s="339"/>
      <c r="R412" s="339"/>
      <c r="S412" s="339"/>
      <c r="T412" s="339"/>
      <c r="U412" s="339"/>
      <c r="V412" s="339"/>
      <c r="W412" s="339"/>
      <c r="X412" s="339"/>
      <c r="Y412" s="339"/>
      <c r="Z412" s="339"/>
    </row>
    <row r="413" spans="1:26" ht="15.75" customHeight="1">
      <c r="A413" s="339"/>
      <c r="B413" s="339"/>
      <c r="C413" s="339"/>
      <c r="D413" s="339"/>
      <c r="E413" s="339"/>
      <c r="F413" s="339"/>
      <c r="G413" s="339"/>
      <c r="H413" s="339"/>
      <c r="I413" s="341"/>
      <c r="J413" s="339"/>
      <c r="K413" s="341"/>
      <c r="L413" s="341"/>
      <c r="M413" s="341"/>
      <c r="N413" s="341"/>
      <c r="O413" s="341"/>
      <c r="P413" s="339"/>
      <c r="Q413" s="339"/>
      <c r="R413" s="339"/>
      <c r="S413" s="339"/>
      <c r="T413" s="339"/>
      <c r="U413" s="339"/>
      <c r="V413" s="339"/>
      <c r="W413" s="339"/>
      <c r="X413" s="339"/>
      <c r="Y413" s="339"/>
      <c r="Z413" s="339"/>
    </row>
    <row r="414" spans="1:26" ht="15.75" customHeight="1">
      <c r="A414" s="339"/>
      <c r="B414" s="339"/>
      <c r="C414" s="339"/>
      <c r="D414" s="339"/>
      <c r="E414" s="339"/>
      <c r="F414" s="339"/>
      <c r="G414" s="339"/>
      <c r="H414" s="339"/>
      <c r="I414" s="341"/>
      <c r="J414" s="339"/>
      <c r="K414" s="341"/>
      <c r="L414" s="341"/>
      <c r="M414" s="341"/>
      <c r="N414" s="341"/>
      <c r="O414" s="341"/>
      <c r="P414" s="339"/>
      <c r="Q414" s="339"/>
      <c r="R414" s="339"/>
      <c r="S414" s="339"/>
      <c r="T414" s="339"/>
      <c r="U414" s="339"/>
      <c r="V414" s="339"/>
      <c r="W414" s="339"/>
      <c r="X414" s="339"/>
      <c r="Y414" s="339"/>
      <c r="Z414" s="339"/>
    </row>
    <row r="415" spans="1:26" ht="15.75" customHeight="1">
      <c r="A415" s="339"/>
      <c r="B415" s="339"/>
      <c r="C415" s="339"/>
      <c r="D415" s="339"/>
      <c r="E415" s="339"/>
      <c r="F415" s="339"/>
      <c r="G415" s="339"/>
      <c r="H415" s="339"/>
      <c r="I415" s="341"/>
      <c r="J415" s="339"/>
      <c r="K415" s="341"/>
      <c r="L415" s="341"/>
      <c r="M415" s="341"/>
      <c r="N415" s="341"/>
      <c r="O415" s="341"/>
      <c r="P415" s="339"/>
      <c r="Q415" s="339"/>
      <c r="R415" s="339"/>
      <c r="S415" s="339"/>
      <c r="T415" s="339"/>
      <c r="U415" s="339"/>
      <c r="V415" s="339"/>
      <c r="W415" s="339"/>
      <c r="X415" s="339"/>
      <c r="Y415" s="339"/>
      <c r="Z415" s="339"/>
    </row>
    <row r="416" spans="1:26" ht="15.75" customHeight="1">
      <c r="A416" s="339"/>
      <c r="B416" s="339"/>
      <c r="C416" s="339"/>
      <c r="D416" s="339"/>
      <c r="E416" s="339"/>
      <c r="F416" s="339"/>
      <c r="G416" s="339"/>
      <c r="H416" s="339"/>
      <c r="I416" s="341"/>
      <c r="J416" s="339"/>
      <c r="K416" s="341"/>
      <c r="L416" s="341"/>
      <c r="M416" s="341"/>
      <c r="N416" s="341"/>
      <c r="O416" s="341"/>
      <c r="P416" s="339"/>
      <c r="Q416" s="339"/>
      <c r="R416" s="339"/>
      <c r="S416" s="339"/>
      <c r="T416" s="339"/>
      <c r="U416" s="339"/>
      <c r="V416" s="339"/>
      <c r="W416" s="339"/>
      <c r="X416" s="339"/>
      <c r="Y416" s="339"/>
      <c r="Z416" s="339"/>
    </row>
    <row r="417" spans="1:26" ht="15.75" customHeight="1">
      <c r="A417" s="339"/>
      <c r="B417" s="339"/>
      <c r="C417" s="339"/>
      <c r="D417" s="339"/>
      <c r="E417" s="339"/>
      <c r="F417" s="339"/>
      <c r="G417" s="339"/>
      <c r="H417" s="339"/>
      <c r="I417" s="341"/>
      <c r="J417" s="339"/>
      <c r="K417" s="341"/>
      <c r="L417" s="341"/>
      <c r="M417" s="341"/>
      <c r="N417" s="341"/>
      <c r="O417" s="341"/>
      <c r="P417" s="339"/>
      <c r="Q417" s="339"/>
      <c r="R417" s="339"/>
      <c r="S417" s="339"/>
      <c r="T417" s="339"/>
      <c r="U417" s="339"/>
      <c r="V417" s="339"/>
      <c r="W417" s="339"/>
      <c r="X417" s="339"/>
      <c r="Y417" s="339"/>
      <c r="Z417" s="339"/>
    </row>
    <row r="418" spans="1:26" ht="15.75" customHeight="1">
      <c r="A418" s="339"/>
      <c r="B418" s="339"/>
      <c r="C418" s="339"/>
      <c r="D418" s="339"/>
      <c r="E418" s="339"/>
      <c r="F418" s="339"/>
      <c r="G418" s="339"/>
      <c r="H418" s="339"/>
      <c r="I418" s="341"/>
      <c r="J418" s="339"/>
      <c r="K418" s="341"/>
      <c r="L418" s="341"/>
      <c r="M418" s="341"/>
      <c r="N418" s="341"/>
      <c r="O418" s="341"/>
      <c r="P418" s="339"/>
      <c r="Q418" s="339"/>
      <c r="R418" s="339"/>
      <c r="S418" s="339"/>
      <c r="T418" s="339"/>
      <c r="U418" s="339"/>
      <c r="V418" s="339"/>
      <c r="W418" s="339"/>
      <c r="X418" s="339"/>
      <c r="Y418" s="339"/>
      <c r="Z418" s="339"/>
    </row>
    <row r="419" spans="1:26" ht="15.75" customHeight="1">
      <c r="A419" s="339"/>
      <c r="B419" s="339"/>
      <c r="C419" s="339"/>
      <c r="D419" s="339"/>
      <c r="E419" s="339"/>
      <c r="F419" s="339"/>
      <c r="G419" s="339"/>
      <c r="H419" s="339"/>
      <c r="I419" s="341"/>
      <c r="J419" s="339"/>
      <c r="K419" s="341"/>
      <c r="L419" s="341"/>
      <c r="M419" s="341"/>
      <c r="N419" s="341"/>
      <c r="O419" s="341"/>
      <c r="P419" s="339"/>
      <c r="Q419" s="339"/>
      <c r="R419" s="339"/>
      <c r="S419" s="339"/>
      <c r="T419" s="339"/>
      <c r="U419" s="339"/>
      <c r="V419" s="339"/>
      <c r="W419" s="339"/>
      <c r="X419" s="339"/>
      <c r="Y419" s="339"/>
      <c r="Z419" s="339"/>
    </row>
    <row r="420" spans="1:26" ht="15.75" customHeight="1">
      <c r="A420" s="339"/>
      <c r="B420" s="339"/>
      <c r="C420" s="339"/>
      <c r="D420" s="339"/>
      <c r="E420" s="339"/>
      <c r="F420" s="339"/>
      <c r="G420" s="339"/>
      <c r="H420" s="339"/>
      <c r="I420" s="341"/>
      <c r="J420" s="339"/>
      <c r="K420" s="341"/>
      <c r="L420" s="341"/>
      <c r="M420" s="341"/>
      <c r="N420" s="341"/>
      <c r="O420" s="341"/>
      <c r="P420" s="339"/>
      <c r="Q420" s="339"/>
      <c r="R420" s="339"/>
      <c r="S420" s="339"/>
      <c r="T420" s="339"/>
      <c r="U420" s="339"/>
      <c r="V420" s="339"/>
      <c r="W420" s="339"/>
      <c r="X420" s="339"/>
      <c r="Y420" s="339"/>
      <c r="Z420" s="339"/>
    </row>
    <row r="421" spans="1:26" ht="15.75" customHeight="1">
      <c r="A421" s="339"/>
      <c r="B421" s="339"/>
      <c r="C421" s="339"/>
      <c r="D421" s="339"/>
      <c r="E421" s="339"/>
      <c r="F421" s="339"/>
      <c r="G421" s="339"/>
      <c r="H421" s="339"/>
      <c r="I421" s="341"/>
      <c r="J421" s="339"/>
      <c r="K421" s="341"/>
      <c r="L421" s="341"/>
      <c r="M421" s="341"/>
      <c r="N421" s="341"/>
      <c r="O421" s="341"/>
      <c r="P421" s="339"/>
      <c r="Q421" s="339"/>
      <c r="R421" s="339"/>
      <c r="S421" s="339"/>
      <c r="T421" s="339"/>
      <c r="U421" s="339"/>
      <c r="V421" s="339"/>
      <c r="W421" s="339"/>
      <c r="X421" s="339"/>
      <c r="Y421" s="339"/>
      <c r="Z421" s="339"/>
    </row>
    <row r="422" spans="1:26" ht="15.75" customHeight="1">
      <c r="A422" s="339"/>
      <c r="B422" s="339"/>
      <c r="C422" s="339"/>
      <c r="D422" s="339"/>
      <c r="E422" s="339"/>
      <c r="F422" s="339"/>
      <c r="G422" s="339"/>
      <c r="H422" s="339"/>
      <c r="I422" s="341"/>
      <c r="J422" s="339"/>
      <c r="K422" s="341"/>
      <c r="L422" s="341"/>
      <c r="M422" s="341"/>
      <c r="N422" s="341"/>
      <c r="O422" s="341"/>
      <c r="P422" s="339"/>
      <c r="Q422" s="339"/>
      <c r="R422" s="339"/>
      <c r="S422" s="339"/>
      <c r="T422" s="339"/>
      <c r="U422" s="339"/>
      <c r="V422" s="339"/>
      <c r="W422" s="339"/>
      <c r="X422" s="339"/>
      <c r="Y422" s="339"/>
      <c r="Z422" s="339"/>
    </row>
    <row r="423" spans="1:26" ht="15.75" customHeight="1">
      <c r="A423" s="339"/>
      <c r="B423" s="339"/>
      <c r="C423" s="339"/>
      <c r="D423" s="339"/>
      <c r="E423" s="339"/>
      <c r="F423" s="339"/>
      <c r="G423" s="339"/>
      <c r="H423" s="339"/>
      <c r="I423" s="341"/>
      <c r="J423" s="339"/>
      <c r="K423" s="341"/>
      <c r="L423" s="341"/>
      <c r="M423" s="341"/>
      <c r="N423" s="341"/>
      <c r="O423" s="341"/>
      <c r="P423" s="339"/>
      <c r="Q423" s="339"/>
      <c r="R423" s="339"/>
      <c r="S423" s="339"/>
      <c r="T423" s="339"/>
      <c r="U423" s="339"/>
      <c r="V423" s="339"/>
      <c r="W423" s="339"/>
      <c r="X423" s="339"/>
      <c r="Y423" s="339"/>
      <c r="Z423" s="339"/>
    </row>
    <row r="424" spans="1:26" ht="15.75" customHeight="1">
      <c r="A424" s="339"/>
      <c r="B424" s="339"/>
      <c r="C424" s="339"/>
      <c r="D424" s="339"/>
      <c r="E424" s="339"/>
      <c r="F424" s="339"/>
      <c r="G424" s="339"/>
      <c r="H424" s="339"/>
      <c r="I424" s="341"/>
      <c r="J424" s="339"/>
      <c r="K424" s="341"/>
      <c r="L424" s="341"/>
      <c r="M424" s="341"/>
      <c r="N424" s="341"/>
      <c r="O424" s="341"/>
      <c r="P424" s="339"/>
      <c r="Q424" s="339"/>
      <c r="R424" s="339"/>
      <c r="S424" s="339"/>
      <c r="T424" s="339"/>
      <c r="U424" s="339"/>
      <c r="V424" s="339"/>
      <c r="W424" s="339"/>
      <c r="X424" s="339"/>
      <c r="Y424" s="339"/>
      <c r="Z424" s="339"/>
    </row>
    <row r="425" spans="1:26" ht="15.75" customHeight="1">
      <c r="A425" s="339"/>
      <c r="B425" s="339"/>
      <c r="C425" s="339"/>
      <c r="D425" s="339"/>
      <c r="E425" s="339"/>
      <c r="F425" s="339"/>
      <c r="G425" s="339"/>
      <c r="H425" s="339"/>
      <c r="I425" s="341"/>
      <c r="J425" s="339"/>
      <c r="K425" s="341"/>
      <c r="L425" s="341"/>
      <c r="M425" s="341"/>
      <c r="N425" s="341"/>
      <c r="O425" s="341"/>
      <c r="P425" s="339"/>
      <c r="Q425" s="339"/>
      <c r="R425" s="339"/>
      <c r="S425" s="339"/>
      <c r="T425" s="339"/>
      <c r="U425" s="339"/>
      <c r="V425" s="339"/>
      <c r="W425" s="339"/>
      <c r="X425" s="339"/>
      <c r="Y425" s="339"/>
      <c r="Z425" s="339"/>
    </row>
    <row r="426" spans="1:26" ht="15.75" customHeight="1">
      <c r="A426" s="339"/>
      <c r="B426" s="339"/>
      <c r="C426" s="339"/>
      <c r="D426" s="339"/>
      <c r="E426" s="339"/>
      <c r="F426" s="339"/>
      <c r="G426" s="339"/>
      <c r="H426" s="339"/>
      <c r="I426" s="341"/>
      <c r="J426" s="339"/>
      <c r="K426" s="341"/>
      <c r="L426" s="341"/>
      <c r="M426" s="341"/>
      <c r="N426" s="341"/>
      <c r="O426" s="341"/>
      <c r="P426" s="339"/>
      <c r="Q426" s="339"/>
      <c r="R426" s="339"/>
      <c r="S426" s="339"/>
      <c r="T426" s="339"/>
      <c r="U426" s="339"/>
      <c r="V426" s="339"/>
      <c r="W426" s="339"/>
      <c r="X426" s="339"/>
      <c r="Y426" s="339"/>
      <c r="Z426" s="339"/>
    </row>
    <row r="427" spans="1:26" ht="15.75" customHeight="1">
      <c r="A427" s="339"/>
      <c r="B427" s="339"/>
      <c r="C427" s="339"/>
      <c r="D427" s="339"/>
      <c r="E427" s="339"/>
      <c r="F427" s="339"/>
      <c r="G427" s="339"/>
      <c r="H427" s="339"/>
      <c r="I427" s="341"/>
      <c r="J427" s="339"/>
      <c r="K427" s="341"/>
      <c r="L427" s="341"/>
      <c r="M427" s="341"/>
      <c r="N427" s="341"/>
      <c r="O427" s="341"/>
      <c r="P427" s="339"/>
      <c r="Q427" s="339"/>
      <c r="R427" s="339"/>
      <c r="S427" s="339"/>
      <c r="T427" s="339"/>
      <c r="U427" s="339"/>
      <c r="V427" s="339"/>
      <c r="W427" s="339"/>
      <c r="X427" s="339"/>
      <c r="Y427" s="339"/>
      <c r="Z427" s="339"/>
    </row>
    <row r="428" spans="1:26" ht="15.75" customHeight="1">
      <c r="A428" s="339"/>
      <c r="B428" s="339"/>
      <c r="C428" s="339"/>
      <c r="D428" s="339"/>
      <c r="E428" s="339"/>
      <c r="F428" s="339"/>
      <c r="G428" s="339"/>
      <c r="H428" s="339"/>
      <c r="I428" s="341"/>
      <c r="J428" s="339"/>
      <c r="K428" s="341"/>
      <c r="L428" s="341"/>
      <c r="M428" s="341"/>
      <c r="N428" s="341"/>
      <c r="O428" s="341"/>
      <c r="P428" s="339"/>
      <c r="Q428" s="339"/>
      <c r="R428" s="339"/>
      <c r="S428" s="339"/>
      <c r="T428" s="339"/>
      <c r="U428" s="339"/>
      <c r="V428" s="339"/>
      <c r="W428" s="339"/>
      <c r="X428" s="339"/>
      <c r="Y428" s="339"/>
      <c r="Z428" s="339"/>
    </row>
    <row r="429" spans="1:26" ht="15.75" customHeight="1">
      <c r="A429" s="339"/>
      <c r="B429" s="339"/>
      <c r="C429" s="339"/>
      <c r="D429" s="339"/>
      <c r="E429" s="339"/>
      <c r="F429" s="339"/>
      <c r="G429" s="339"/>
      <c r="H429" s="339"/>
      <c r="I429" s="341"/>
      <c r="J429" s="339"/>
      <c r="K429" s="341"/>
      <c r="L429" s="341"/>
      <c r="M429" s="341"/>
      <c r="N429" s="341"/>
      <c r="O429" s="341"/>
      <c r="P429" s="339"/>
      <c r="Q429" s="339"/>
      <c r="R429" s="339"/>
      <c r="S429" s="339"/>
      <c r="T429" s="339"/>
      <c r="U429" s="339"/>
      <c r="V429" s="339"/>
      <c r="W429" s="339"/>
      <c r="X429" s="339"/>
      <c r="Y429" s="339"/>
      <c r="Z429" s="339"/>
    </row>
    <row r="430" spans="1:26" ht="15.75" customHeight="1">
      <c r="A430" s="339"/>
      <c r="B430" s="339"/>
      <c r="C430" s="339"/>
      <c r="D430" s="339"/>
      <c r="E430" s="339"/>
      <c r="F430" s="339"/>
      <c r="G430" s="339"/>
      <c r="H430" s="339"/>
      <c r="I430" s="341"/>
      <c r="J430" s="339"/>
      <c r="K430" s="341"/>
      <c r="L430" s="341"/>
      <c r="M430" s="341"/>
      <c r="N430" s="341"/>
      <c r="O430" s="341"/>
      <c r="P430" s="339"/>
      <c r="Q430" s="339"/>
      <c r="R430" s="339"/>
      <c r="S430" s="339"/>
      <c r="T430" s="339"/>
      <c r="U430" s="339"/>
      <c r="V430" s="339"/>
      <c r="W430" s="339"/>
      <c r="X430" s="339"/>
      <c r="Y430" s="339"/>
      <c r="Z430" s="339"/>
    </row>
    <row r="431" spans="1:26" ht="15.75" customHeight="1">
      <c r="A431" s="339"/>
      <c r="B431" s="339"/>
      <c r="C431" s="339"/>
      <c r="D431" s="339"/>
      <c r="E431" s="339"/>
      <c r="F431" s="339"/>
      <c r="G431" s="339"/>
      <c r="H431" s="339"/>
      <c r="I431" s="341"/>
      <c r="J431" s="339"/>
      <c r="K431" s="341"/>
      <c r="L431" s="341"/>
      <c r="M431" s="341"/>
      <c r="N431" s="341"/>
      <c r="O431" s="341"/>
      <c r="P431" s="339"/>
      <c r="Q431" s="339"/>
      <c r="R431" s="339"/>
      <c r="S431" s="339"/>
      <c r="T431" s="339"/>
      <c r="U431" s="339"/>
      <c r="V431" s="339"/>
      <c r="W431" s="339"/>
      <c r="X431" s="339"/>
      <c r="Y431" s="339"/>
      <c r="Z431" s="339"/>
    </row>
    <row r="432" spans="1:26" ht="15.75" customHeight="1">
      <c r="A432" s="339"/>
      <c r="B432" s="339"/>
      <c r="C432" s="339"/>
      <c r="D432" s="339"/>
      <c r="E432" s="339"/>
      <c r="F432" s="339"/>
      <c r="G432" s="339"/>
      <c r="H432" s="339"/>
      <c r="I432" s="341"/>
      <c r="J432" s="339"/>
      <c r="K432" s="341"/>
      <c r="L432" s="341"/>
      <c r="M432" s="341"/>
      <c r="N432" s="341"/>
      <c r="O432" s="341"/>
      <c r="P432" s="339"/>
      <c r="Q432" s="339"/>
      <c r="R432" s="339"/>
      <c r="S432" s="339"/>
      <c r="T432" s="339"/>
      <c r="U432" s="339"/>
      <c r="V432" s="339"/>
      <c r="W432" s="339"/>
      <c r="X432" s="339"/>
      <c r="Y432" s="339"/>
      <c r="Z432" s="339"/>
    </row>
    <row r="433" spans="1:26" ht="15.75" customHeight="1">
      <c r="A433" s="339"/>
      <c r="B433" s="339"/>
      <c r="C433" s="339"/>
      <c r="D433" s="339"/>
      <c r="E433" s="339"/>
      <c r="F433" s="339"/>
      <c r="G433" s="339"/>
      <c r="H433" s="339"/>
      <c r="I433" s="341"/>
      <c r="J433" s="339"/>
      <c r="K433" s="341"/>
      <c r="L433" s="341"/>
      <c r="M433" s="341"/>
      <c r="N433" s="341"/>
      <c r="O433" s="341"/>
      <c r="P433" s="339"/>
      <c r="Q433" s="339"/>
      <c r="R433" s="339"/>
      <c r="S433" s="339"/>
      <c r="T433" s="339"/>
      <c r="U433" s="339"/>
      <c r="V433" s="339"/>
      <c r="W433" s="339"/>
      <c r="X433" s="339"/>
      <c r="Y433" s="339"/>
      <c r="Z433" s="339"/>
    </row>
    <row r="434" spans="1:26" ht="15.75" customHeight="1">
      <c r="A434" s="339"/>
      <c r="B434" s="339"/>
      <c r="C434" s="339"/>
      <c r="D434" s="339"/>
      <c r="E434" s="339"/>
      <c r="F434" s="339"/>
      <c r="G434" s="339"/>
      <c r="H434" s="339"/>
      <c r="I434" s="341"/>
      <c r="J434" s="339"/>
      <c r="K434" s="341"/>
      <c r="L434" s="341"/>
      <c r="M434" s="341"/>
      <c r="N434" s="341"/>
      <c r="O434" s="341"/>
      <c r="P434" s="339"/>
      <c r="Q434" s="339"/>
      <c r="R434" s="339"/>
      <c r="S434" s="339"/>
      <c r="T434" s="339"/>
      <c r="U434" s="339"/>
      <c r="V434" s="339"/>
      <c r="W434" s="339"/>
      <c r="X434" s="339"/>
      <c r="Y434" s="339"/>
      <c r="Z434" s="339"/>
    </row>
    <row r="435" spans="1:26" ht="15.75" customHeight="1">
      <c r="A435" s="339"/>
      <c r="B435" s="339"/>
      <c r="C435" s="339"/>
      <c r="D435" s="339"/>
      <c r="E435" s="339"/>
      <c r="F435" s="339"/>
      <c r="G435" s="339"/>
      <c r="H435" s="339"/>
      <c r="I435" s="341"/>
      <c r="J435" s="339"/>
      <c r="K435" s="341"/>
      <c r="L435" s="341"/>
      <c r="M435" s="341"/>
      <c r="N435" s="341"/>
      <c r="O435" s="341"/>
      <c r="P435" s="339"/>
      <c r="Q435" s="339"/>
      <c r="R435" s="339"/>
      <c r="S435" s="339"/>
      <c r="T435" s="339"/>
      <c r="U435" s="339"/>
      <c r="V435" s="339"/>
      <c r="W435" s="339"/>
      <c r="X435" s="339"/>
      <c r="Y435" s="339"/>
      <c r="Z435" s="339"/>
    </row>
    <row r="436" spans="1:26" ht="15.75" customHeight="1">
      <c r="A436" s="339"/>
      <c r="B436" s="339"/>
      <c r="C436" s="339"/>
      <c r="D436" s="339"/>
      <c r="E436" s="339"/>
      <c r="F436" s="339"/>
      <c r="G436" s="339"/>
      <c r="H436" s="339"/>
      <c r="I436" s="341"/>
      <c r="J436" s="339"/>
      <c r="K436" s="341"/>
      <c r="L436" s="341"/>
      <c r="M436" s="341"/>
      <c r="N436" s="341"/>
      <c r="O436" s="341"/>
      <c r="P436" s="339"/>
      <c r="Q436" s="339"/>
      <c r="R436" s="339"/>
      <c r="S436" s="339"/>
      <c r="T436" s="339"/>
      <c r="U436" s="339"/>
      <c r="V436" s="339"/>
      <c r="W436" s="339"/>
      <c r="X436" s="339"/>
      <c r="Y436" s="339"/>
      <c r="Z436" s="339"/>
    </row>
    <row r="437" spans="1:26" ht="15.75" customHeight="1">
      <c r="A437" s="339"/>
      <c r="B437" s="339"/>
      <c r="C437" s="339"/>
      <c r="D437" s="339"/>
      <c r="E437" s="339"/>
      <c r="F437" s="339"/>
      <c r="G437" s="339"/>
      <c r="H437" s="339"/>
      <c r="I437" s="341"/>
      <c r="J437" s="339"/>
      <c r="K437" s="341"/>
      <c r="L437" s="341"/>
      <c r="M437" s="341"/>
      <c r="N437" s="341"/>
      <c r="O437" s="341"/>
      <c r="P437" s="339"/>
      <c r="Q437" s="339"/>
      <c r="R437" s="339"/>
      <c r="S437" s="339"/>
      <c r="T437" s="339"/>
      <c r="U437" s="339"/>
      <c r="V437" s="339"/>
      <c r="W437" s="339"/>
      <c r="X437" s="339"/>
      <c r="Y437" s="339"/>
      <c r="Z437" s="339"/>
    </row>
    <row r="438" spans="1:26" ht="15.75" customHeight="1">
      <c r="A438" s="339"/>
      <c r="B438" s="339"/>
      <c r="C438" s="339"/>
      <c r="D438" s="339"/>
      <c r="E438" s="339"/>
      <c r="F438" s="339"/>
      <c r="G438" s="339"/>
      <c r="H438" s="339"/>
      <c r="I438" s="341"/>
      <c r="J438" s="339"/>
      <c r="K438" s="341"/>
      <c r="L438" s="341"/>
      <c r="M438" s="341"/>
      <c r="N438" s="341"/>
      <c r="O438" s="341"/>
      <c r="P438" s="339"/>
      <c r="Q438" s="339"/>
      <c r="R438" s="339"/>
      <c r="S438" s="339"/>
      <c r="T438" s="339"/>
      <c r="U438" s="339"/>
      <c r="V438" s="339"/>
      <c r="W438" s="339"/>
      <c r="X438" s="339"/>
      <c r="Y438" s="339"/>
      <c r="Z438" s="339"/>
    </row>
    <row r="439" spans="1:26" ht="15.75" customHeight="1">
      <c r="A439" s="339"/>
      <c r="B439" s="339"/>
      <c r="C439" s="339"/>
      <c r="D439" s="339"/>
      <c r="E439" s="339"/>
      <c r="F439" s="339"/>
      <c r="G439" s="339"/>
      <c r="H439" s="339"/>
      <c r="I439" s="341"/>
      <c r="J439" s="339"/>
      <c r="K439" s="341"/>
      <c r="L439" s="341"/>
      <c r="M439" s="341"/>
      <c r="N439" s="341"/>
      <c r="O439" s="341"/>
      <c r="P439" s="339"/>
      <c r="Q439" s="339"/>
      <c r="R439" s="339"/>
      <c r="S439" s="339"/>
      <c r="T439" s="339"/>
      <c r="U439" s="339"/>
      <c r="V439" s="339"/>
      <c r="W439" s="339"/>
      <c r="X439" s="339"/>
      <c r="Y439" s="339"/>
      <c r="Z439" s="339"/>
    </row>
    <row r="440" spans="1:26" ht="15.75" customHeight="1">
      <c r="A440" s="339"/>
      <c r="B440" s="339"/>
      <c r="C440" s="339"/>
      <c r="D440" s="339"/>
      <c r="E440" s="339"/>
      <c r="F440" s="339"/>
      <c r="G440" s="339"/>
      <c r="H440" s="339"/>
      <c r="I440" s="341"/>
      <c r="J440" s="339"/>
      <c r="K440" s="341"/>
      <c r="L440" s="341"/>
      <c r="M440" s="341"/>
      <c r="N440" s="341"/>
      <c r="O440" s="341"/>
      <c r="P440" s="339"/>
      <c r="Q440" s="339"/>
      <c r="R440" s="339"/>
      <c r="S440" s="339"/>
      <c r="T440" s="339"/>
      <c r="U440" s="339"/>
      <c r="V440" s="339"/>
      <c r="W440" s="339"/>
      <c r="X440" s="339"/>
      <c r="Y440" s="339"/>
      <c r="Z440" s="339"/>
    </row>
    <row r="441" spans="1:26" ht="15.75" customHeight="1">
      <c r="A441" s="339"/>
      <c r="B441" s="339"/>
      <c r="C441" s="339"/>
      <c r="D441" s="339"/>
      <c r="E441" s="339"/>
      <c r="F441" s="339"/>
      <c r="G441" s="339"/>
      <c r="H441" s="339"/>
      <c r="I441" s="341"/>
      <c r="J441" s="339"/>
      <c r="K441" s="341"/>
      <c r="L441" s="341"/>
      <c r="M441" s="341"/>
      <c r="N441" s="341"/>
      <c r="O441" s="341"/>
      <c r="P441" s="339"/>
      <c r="Q441" s="339"/>
      <c r="R441" s="339"/>
      <c r="S441" s="339"/>
      <c r="T441" s="339"/>
      <c r="U441" s="339"/>
      <c r="V441" s="339"/>
      <c r="W441" s="339"/>
      <c r="X441" s="339"/>
      <c r="Y441" s="339"/>
      <c r="Z441" s="339"/>
    </row>
    <row r="442" spans="1:26" ht="15.75" customHeight="1">
      <c r="A442" s="339"/>
      <c r="B442" s="339"/>
      <c r="C442" s="339"/>
      <c r="D442" s="339"/>
      <c r="E442" s="339"/>
      <c r="F442" s="339"/>
      <c r="G442" s="339"/>
      <c r="H442" s="339"/>
      <c r="I442" s="341"/>
      <c r="J442" s="339"/>
      <c r="K442" s="341"/>
      <c r="L442" s="341"/>
      <c r="M442" s="341"/>
      <c r="N442" s="341"/>
      <c r="O442" s="341"/>
      <c r="P442" s="339"/>
      <c r="Q442" s="339"/>
      <c r="R442" s="339"/>
      <c r="S442" s="339"/>
      <c r="T442" s="339"/>
      <c r="U442" s="339"/>
      <c r="V442" s="339"/>
      <c r="W442" s="339"/>
      <c r="X442" s="339"/>
      <c r="Y442" s="339"/>
      <c r="Z442" s="339"/>
    </row>
    <row r="443" spans="1:26" ht="15.75" customHeight="1">
      <c r="A443" s="339"/>
      <c r="B443" s="339"/>
      <c r="C443" s="339"/>
      <c r="D443" s="339"/>
      <c r="E443" s="339"/>
      <c r="F443" s="339"/>
      <c r="G443" s="339"/>
      <c r="H443" s="339"/>
      <c r="I443" s="341"/>
      <c r="J443" s="339"/>
      <c r="K443" s="341"/>
      <c r="L443" s="341"/>
      <c r="M443" s="341"/>
      <c r="N443" s="341"/>
      <c r="O443" s="341"/>
      <c r="P443" s="339"/>
      <c r="Q443" s="339"/>
      <c r="R443" s="339"/>
      <c r="S443" s="339"/>
      <c r="T443" s="339"/>
      <c r="U443" s="339"/>
      <c r="V443" s="339"/>
      <c r="W443" s="339"/>
      <c r="X443" s="339"/>
      <c r="Y443" s="339"/>
      <c r="Z443" s="339"/>
    </row>
    <row r="444" spans="1:26" ht="15.75" customHeight="1">
      <c r="A444" s="339"/>
      <c r="B444" s="339"/>
      <c r="C444" s="339"/>
      <c r="D444" s="339"/>
      <c r="E444" s="339"/>
      <c r="F444" s="339"/>
      <c r="G444" s="339"/>
      <c r="H444" s="339"/>
      <c r="I444" s="341"/>
      <c r="J444" s="339"/>
      <c r="K444" s="341"/>
      <c r="L444" s="341"/>
      <c r="M444" s="341"/>
      <c r="N444" s="341"/>
      <c r="O444" s="341"/>
      <c r="P444" s="339"/>
      <c r="Q444" s="339"/>
      <c r="R444" s="339"/>
      <c r="S444" s="339"/>
      <c r="T444" s="339"/>
      <c r="U444" s="339"/>
      <c r="V444" s="339"/>
      <c r="W444" s="339"/>
      <c r="X444" s="339"/>
      <c r="Y444" s="339"/>
      <c r="Z444" s="339"/>
    </row>
    <row r="445" spans="1:26" ht="15.75" customHeight="1">
      <c r="A445" s="339"/>
      <c r="B445" s="339"/>
      <c r="C445" s="339"/>
      <c r="D445" s="339"/>
      <c r="E445" s="339"/>
      <c r="F445" s="339"/>
      <c r="G445" s="339"/>
      <c r="H445" s="339"/>
      <c r="I445" s="341"/>
      <c r="J445" s="339"/>
      <c r="K445" s="341"/>
      <c r="L445" s="341"/>
      <c r="M445" s="341"/>
      <c r="N445" s="341"/>
      <c r="O445" s="341"/>
      <c r="P445" s="339"/>
      <c r="Q445" s="339"/>
      <c r="R445" s="339"/>
      <c r="S445" s="339"/>
      <c r="T445" s="339"/>
      <c r="U445" s="339"/>
      <c r="V445" s="339"/>
      <c r="W445" s="339"/>
      <c r="X445" s="339"/>
      <c r="Y445" s="339"/>
      <c r="Z445" s="339"/>
    </row>
    <row r="446" spans="1:26" ht="15.75" customHeight="1">
      <c r="A446" s="339"/>
      <c r="B446" s="339"/>
      <c r="C446" s="339"/>
      <c r="D446" s="339"/>
      <c r="E446" s="339"/>
      <c r="F446" s="339"/>
      <c r="G446" s="339"/>
      <c r="H446" s="339"/>
      <c r="I446" s="341"/>
      <c r="J446" s="339"/>
      <c r="K446" s="341"/>
      <c r="L446" s="341"/>
      <c r="M446" s="341"/>
      <c r="N446" s="341"/>
      <c r="O446" s="341"/>
      <c r="P446" s="339"/>
      <c r="Q446" s="339"/>
      <c r="R446" s="339"/>
      <c r="S446" s="339"/>
      <c r="T446" s="339"/>
      <c r="U446" s="339"/>
      <c r="V446" s="339"/>
      <c r="W446" s="339"/>
      <c r="X446" s="339"/>
      <c r="Y446" s="339"/>
      <c r="Z446" s="339"/>
    </row>
    <row r="447" spans="1:26" ht="15.75" customHeight="1">
      <c r="A447" s="339"/>
      <c r="B447" s="339"/>
      <c r="C447" s="339"/>
      <c r="D447" s="339"/>
      <c r="E447" s="339"/>
      <c r="F447" s="339"/>
      <c r="G447" s="339"/>
      <c r="H447" s="339"/>
      <c r="I447" s="341"/>
      <c r="J447" s="339"/>
      <c r="K447" s="341"/>
      <c r="L447" s="341"/>
      <c r="M447" s="341"/>
      <c r="N447" s="341"/>
      <c r="O447" s="341"/>
      <c r="P447" s="339"/>
      <c r="Q447" s="339"/>
      <c r="R447" s="339"/>
      <c r="S447" s="339"/>
      <c r="T447" s="339"/>
      <c r="U447" s="339"/>
      <c r="V447" s="339"/>
      <c r="W447" s="339"/>
      <c r="X447" s="339"/>
      <c r="Y447" s="339"/>
      <c r="Z447" s="339"/>
    </row>
    <row r="448" spans="1:26" ht="15.75" customHeight="1">
      <c r="A448" s="339"/>
      <c r="B448" s="339"/>
      <c r="C448" s="339"/>
      <c r="D448" s="339"/>
      <c r="E448" s="339"/>
      <c r="F448" s="339"/>
      <c r="G448" s="339"/>
      <c r="H448" s="339"/>
      <c r="I448" s="341"/>
      <c r="J448" s="339"/>
      <c r="K448" s="341"/>
      <c r="L448" s="341"/>
      <c r="M448" s="341"/>
      <c r="N448" s="341"/>
      <c r="O448" s="341"/>
      <c r="P448" s="339"/>
      <c r="Q448" s="339"/>
      <c r="R448" s="339"/>
      <c r="S448" s="339"/>
      <c r="T448" s="339"/>
      <c r="U448" s="339"/>
      <c r="V448" s="339"/>
      <c r="W448" s="339"/>
      <c r="X448" s="339"/>
      <c r="Y448" s="339"/>
      <c r="Z448" s="339"/>
    </row>
    <row r="449" spans="1:26" ht="15.75" customHeight="1">
      <c r="A449" s="339"/>
      <c r="B449" s="339"/>
      <c r="C449" s="339"/>
      <c r="D449" s="339"/>
      <c r="E449" s="339"/>
      <c r="F449" s="339"/>
      <c r="G449" s="339"/>
      <c r="H449" s="339"/>
      <c r="I449" s="341"/>
      <c r="J449" s="339"/>
      <c r="K449" s="341"/>
      <c r="L449" s="341"/>
      <c r="M449" s="341"/>
      <c r="N449" s="341"/>
      <c r="O449" s="341"/>
      <c r="P449" s="339"/>
      <c r="Q449" s="339"/>
      <c r="R449" s="339"/>
      <c r="S449" s="339"/>
      <c r="T449" s="339"/>
      <c r="U449" s="339"/>
      <c r="V449" s="339"/>
      <c r="W449" s="339"/>
      <c r="X449" s="339"/>
      <c r="Y449" s="339"/>
      <c r="Z449" s="339"/>
    </row>
    <row r="450" spans="1:26" ht="15.75" customHeight="1">
      <c r="A450" s="339"/>
      <c r="B450" s="339"/>
      <c r="C450" s="339"/>
      <c r="D450" s="339"/>
      <c r="E450" s="339"/>
      <c r="F450" s="339"/>
      <c r="G450" s="339"/>
      <c r="H450" s="339"/>
      <c r="I450" s="341"/>
      <c r="J450" s="339"/>
      <c r="K450" s="341"/>
      <c r="L450" s="341"/>
      <c r="M450" s="341"/>
      <c r="N450" s="341"/>
      <c r="O450" s="341"/>
      <c r="P450" s="339"/>
      <c r="Q450" s="339"/>
      <c r="R450" s="339"/>
      <c r="S450" s="339"/>
      <c r="T450" s="339"/>
      <c r="U450" s="339"/>
      <c r="V450" s="339"/>
      <c r="W450" s="339"/>
      <c r="X450" s="339"/>
      <c r="Y450" s="339"/>
      <c r="Z450" s="339"/>
    </row>
    <row r="451" spans="1:26" ht="15.75" customHeight="1">
      <c r="A451" s="339"/>
      <c r="B451" s="339"/>
      <c r="C451" s="339"/>
      <c r="D451" s="339"/>
      <c r="E451" s="339"/>
      <c r="F451" s="339"/>
      <c r="G451" s="339"/>
      <c r="H451" s="339"/>
      <c r="I451" s="341"/>
      <c r="J451" s="339"/>
      <c r="K451" s="341"/>
      <c r="L451" s="341"/>
      <c r="M451" s="341"/>
      <c r="N451" s="341"/>
      <c r="O451" s="341"/>
      <c r="P451" s="339"/>
      <c r="Q451" s="339"/>
      <c r="R451" s="339"/>
      <c r="S451" s="339"/>
      <c r="T451" s="339"/>
      <c r="U451" s="339"/>
      <c r="V451" s="339"/>
      <c r="W451" s="339"/>
      <c r="X451" s="339"/>
      <c r="Y451" s="339"/>
      <c r="Z451" s="339"/>
    </row>
    <row r="452" spans="1:26" ht="15.75" customHeight="1">
      <c r="A452" s="339"/>
      <c r="B452" s="339"/>
      <c r="C452" s="339"/>
      <c r="D452" s="339"/>
      <c r="E452" s="339"/>
      <c r="F452" s="339"/>
      <c r="G452" s="339"/>
      <c r="H452" s="339"/>
      <c r="I452" s="341"/>
      <c r="J452" s="339"/>
      <c r="K452" s="341"/>
      <c r="L452" s="341"/>
      <c r="M452" s="341"/>
      <c r="N452" s="341"/>
      <c r="O452" s="341"/>
      <c r="P452" s="339"/>
      <c r="Q452" s="339"/>
      <c r="R452" s="339"/>
      <c r="S452" s="339"/>
      <c r="T452" s="339"/>
      <c r="U452" s="339"/>
      <c r="V452" s="339"/>
      <c r="W452" s="339"/>
      <c r="X452" s="339"/>
      <c r="Y452" s="339"/>
      <c r="Z452" s="339"/>
    </row>
    <row r="453" spans="1:26" ht="15.75" customHeight="1">
      <c r="A453" s="339"/>
      <c r="B453" s="339"/>
      <c r="C453" s="339"/>
      <c r="D453" s="339"/>
      <c r="E453" s="339"/>
      <c r="F453" s="339"/>
      <c r="G453" s="339"/>
      <c r="H453" s="339"/>
      <c r="I453" s="341"/>
      <c r="J453" s="339"/>
      <c r="K453" s="341"/>
      <c r="L453" s="341"/>
      <c r="M453" s="341"/>
      <c r="N453" s="341"/>
      <c r="O453" s="341"/>
      <c r="P453" s="339"/>
      <c r="Q453" s="339"/>
      <c r="R453" s="339"/>
      <c r="S453" s="339"/>
      <c r="T453" s="339"/>
      <c r="U453" s="339"/>
      <c r="V453" s="339"/>
      <c r="W453" s="339"/>
      <c r="X453" s="339"/>
      <c r="Y453" s="339"/>
      <c r="Z453" s="339"/>
    </row>
    <row r="454" spans="1:26" ht="15.75" customHeight="1">
      <c r="A454" s="339"/>
      <c r="B454" s="339"/>
      <c r="C454" s="339"/>
      <c r="D454" s="339"/>
      <c r="E454" s="339"/>
      <c r="F454" s="339"/>
      <c r="G454" s="339"/>
      <c r="H454" s="339"/>
      <c r="I454" s="341"/>
      <c r="J454" s="339"/>
      <c r="K454" s="341"/>
      <c r="L454" s="341"/>
      <c r="M454" s="341"/>
      <c r="N454" s="341"/>
      <c r="O454" s="341"/>
      <c r="P454" s="339"/>
      <c r="Q454" s="339"/>
      <c r="R454" s="339"/>
      <c r="S454" s="339"/>
      <c r="T454" s="339"/>
      <c r="U454" s="339"/>
      <c r="V454" s="339"/>
      <c r="W454" s="339"/>
      <c r="X454" s="339"/>
      <c r="Y454" s="339"/>
      <c r="Z454" s="339"/>
    </row>
    <row r="455" spans="1:26" ht="15.75" customHeight="1">
      <c r="A455" s="339"/>
      <c r="B455" s="339"/>
      <c r="C455" s="339"/>
      <c r="D455" s="339"/>
      <c r="E455" s="339"/>
      <c r="F455" s="339"/>
      <c r="G455" s="339"/>
      <c r="H455" s="339"/>
      <c r="I455" s="341"/>
      <c r="J455" s="339"/>
      <c r="K455" s="341"/>
      <c r="L455" s="341"/>
      <c r="M455" s="341"/>
      <c r="N455" s="341"/>
      <c r="O455" s="341"/>
      <c r="P455" s="339"/>
      <c r="Q455" s="339"/>
      <c r="R455" s="339"/>
      <c r="S455" s="339"/>
      <c r="T455" s="339"/>
      <c r="U455" s="339"/>
      <c r="V455" s="339"/>
      <c r="W455" s="339"/>
      <c r="X455" s="339"/>
      <c r="Y455" s="339"/>
      <c r="Z455" s="339"/>
    </row>
    <row r="456" spans="1:26" ht="15.75" customHeight="1">
      <c r="A456" s="339"/>
      <c r="B456" s="339"/>
      <c r="C456" s="339"/>
      <c r="D456" s="339"/>
      <c r="E456" s="339"/>
      <c r="F456" s="339"/>
      <c r="G456" s="339"/>
      <c r="H456" s="339"/>
      <c r="I456" s="341"/>
      <c r="J456" s="339"/>
      <c r="K456" s="341"/>
      <c r="L456" s="341"/>
      <c r="M456" s="341"/>
      <c r="N456" s="341"/>
      <c r="O456" s="341"/>
      <c r="P456" s="339"/>
      <c r="Q456" s="339"/>
      <c r="R456" s="339"/>
      <c r="S456" s="339"/>
      <c r="T456" s="339"/>
      <c r="U456" s="339"/>
      <c r="V456" s="339"/>
      <c r="W456" s="339"/>
      <c r="X456" s="339"/>
      <c r="Y456" s="339"/>
      <c r="Z456" s="339"/>
    </row>
    <row r="457" spans="1:26" ht="15.75" customHeight="1">
      <c r="A457" s="339"/>
      <c r="B457" s="339"/>
      <c r="C457" s="339"/>
      <c r="D457" s="339"/>
      <c r="E457" s="339"/>
      <c r="F457" s="339"/>
      <c r="G457" s="339"/>
      <c r="H457" s="339"/>
      <c r="I457" s="341"/>
      <c r="J457" s="339"/>
      <c r="K457" s="341"/>
      <c r="L457" s="341"/>
      <c r="M457" s="341"/>
      <c r="N457" s="341"/>
      <c r="O457" s="341"/>
      <c r="P457" s="339"/>
      <c r="Q457" s="339"/>
      <c r="R457" s="339"/>
      <c r="S457" s="339"/>
      <c r="T457" s="339"/>
      <c r="U457" s="339"/>
      <c r="V457" s="339"/>
      <c r="W457" s="339"/>
      <c r="X457" s="339"/>
      <c r="Y457" s="339"/>
      <c r="Z457" s="339"/>
    </row>
    <row r="458" spans="1:26" ht="15.75" customHeight="1">
      <c r="A458" s="339"/>
      <c r="B458" s="339"/>
      <c r="C458" s="339"/>
      <c r="D458" s="339"/>
      <c r="E458" s="339"/>
      <c r="F458" s="339"/>
      <c r="G458" s="339"/>
      <c r="H458" s="339"/>
      <c r="I458" s="341"/>
      <c r="J458" s="339"/>
      <c r="K458" s="341"/>
      <c r="L458" s="341"/>
      <c r="M458" s="341"/>
      <c r="N458" s="341"/>
      <c r="O458" s="341"/>
      <c r="P458" s="339"/>
      <c r="Q458" s="339"/>
      <c r="R458" s="339"/>
      <c r="S458" s="339"/>
      <c r="T458" s="339"/>
      <c r="U458" s="339"/>
      <c r="V458" s="339"/>
      <c r="W458" s="339"/>
      <c r="X458" s="339"/>
      <c r="Y458" s="339"/>
      <c r="Z458" s="339"/>
    </row>
    <row r="459" spans="1:26" ht="15.75" customHeight="1">
      <c r="A459" s="339"/>
      <c r="B459" s="339"/>
      <c r="C459" s="339"/>
      <c r="D459" s="339"/>
      <c r="E459" s="339"/>
      <c r="F459" s="339"/>
      <c r="G459" s="339"/>
      <c r="H459" s="339"/>
      <c r="I459" s="341"/>
      <c r="J459" s="339"/>
      <c r="K459" s="341"/>
      <c r="L459" s="341"/>
      <c r="M459" s="341"/>
      <c r="N459" s="341"/>
      <c r="O459" s="341"/>
      <c r="P459" s="339"/>
      <c r="Q459" s="339"/>
      <c r="R459" s="339"/>
      <c r="S459" s="339"/>
      <c r="T459" s="339"/>
      <c r="U459" s="339"/>
      <c r="V459" s="339"/>
      <c r="W459" s="339"/>
      <c r="X459" s="339"/>
      <c r="Y459" s="339"/>
      <c r="Z459" s="339"/>
    </row>
    <row r="460" spans="1:26" ht="15.75" customHeight="1">
      <c r="A460" s="339"/>
      <c r="B460" s="339"/>
      <c r="C460" s="339"/>
      <c r="D460" s="339"/>
      <c r="E460" s="339"/>
      <c r="F460" s="339"/>
      <c r="G460" s="339"/>
      <c r="H460" s="339"/>
      <c r="I460" s="341"/>
      <c r="J460" s="339"/>
      <c r="K460" s="341"/>
      <c r="L460" s="341"/>
      <c r="M460" s="341"/>
      <c r="N460" s="341"/>
      <c r="O460" s="341"/>
      <c r="P460" s="339"/>
      <c r="Q460" s="339"/>
      <c r="R460" s="339"/>
      <c r="S460" s="339"/>
      <c r="T460" s="339"/>
      <c r="U460" s="339"/>
      <c r="V460" s="339"/>
      <c r="W460" s="339"/>
      <c r="X460" s="339"/>
      <c r="Y460" s="339"/>
      <c r="Z460" s="339"/>
    </row>
    <row r="461" spans="1:26" ht="15.75" customHeight="1">
      <c r="A461" s="339"/>
      <c r="B461" s="339"/>
      <c r="C461" s="339"/>
      <c r="D461" s="339"/>
      <c r="E461" s="339"/>
      <c r="F461" s="339"/>
      <c r="G461" s="339"/>
      <c r="H461" s="339"/>
      <c r="I461" s="341"/>
      <c r="J461" s="339"/>
      <c r="K461" s="341"/>
      <c r="L461" s="341"/>
      <c r="M461" s="341"/>
      <c r="N461" s="341"/>
      <c r="O461" s="341"/>
      <c r="P461" s="339"/>
      <c r="Q461" s="339"/>
      <c r="R461" s="339"/>
      <c r="S461" s="339"/>
      <c r="T461" s="339"/>
      <c r="U461" s="339"/>
      <c r="V461" s="339"/>
      <c r="W461" s="339"/>
      <c r="X461" s="339"/>
      <c r="Y461" s="339"/>
      <c r="Z461" s="339"/>
    </row>
    <row r="462" spans="1:26" ht="15.75" customHeight="1">
      <c r="A462" s="339"/>
      <c r="B462" s="339"/>
      <c r="C462" s="339"/>
      <c r="D462" s="339"/>
      <c r="E462" s="339"/>
      <c r="F462" s="339"/>
      <c r="G462" s="339"/>
      <c r="H462" s="339"/>
      <c r="I462" s="341"/>
      <c r="J462" s="339"/>
      <c r="K462" s="341"/>
      <c r="L462" s="341"/>
      <c r="M462" s="341"/>
      <c r="N462" s="341"/>
      <c r="O462" s="341"/>
      <c r="P462" s="339"/>
      <c r="Q462" s="339"/>
      <c r="R462" s="339"/>
      <c r="S462" s="339"/>
      <c r="T462" s="339"/>
      <c r="U462" s="339"/>
      <c r="V462" s="339"/>
      <c r="W462" s="339"/>
      <c r="X462" s="339"/>
      <c r="Y462" s="339"/>
      <c r="Z462" s="339"/>
    </row>
    <row r="463" spans="1:26" ht="15.75" customHeight="1">
      <c r="A463" s="339"/>
      <c r="B463" s="339"/>
      <c r="C463" s="339"/>
      <c r="D463" s="339"/>
      <c r="E463" s="339"/>
      <c r="F463" s="339"/>
      <c r="G463" s="339"/>
      <c r="H463" s="339"/>
      <c r="I463" s="341"/>
      <c r="J463" s="339"/>
      <c r="K463" s="341"/>
      <c r="L463" s="341"/>
      <c r="M463" s="341"/>
      <c r="N463" s="341"/>
      <c r="O463" s="341"/>
      <c r="P463" s="339"/>
      <c r="Q463" s="339"/>
      <c r="R463" s="339"/>
      <c r="S463" s="339"/>
      <c r="T463" s="339"/>
      <c r="U463" s="339"/>
      <c r="V463" s="339"/>
      <c r="W463" s="339"/>
      <c r="X463" s="339"/>
      <c r="Y463" s="339"/>
      <c r="Z463" s="339"/>
    </row>
    <row r="464" spans="1:26" ht="15.75" customHeight="1">
      <c r="A464" s="339"/>
      <c r="B464" s="339"/>
      <c r="C464" s="339"/>
      <c r="D464" s="339"/>
      <c r="E464" s="339"/>
      <c r="F464" s="339"/>
      <c r="G464" s="339"/>
      <c r="H464" s="339"/>
      <c r="I464" s="341"/>
      <c r="J464" s="339"/>
      <c r="K464" s="341"/>
      <c r="L464" s="341"/>
      <c r="M464" s="341"/>
      <c r="N464" s="341"/>
      <c r="O464" s="341"/>
      <c r="P464" s="339"/>
      <c r="Q464" s="339"/>
      <c r="R464" s="339"/>
      <c r="S464" s="339"/>
      <c r="T464" s="339"/>
      <c r="U464" s="339"/>
      <c r="V464" s="339"/>
      <c r="W464" s="339"/>
      <c r="X464" s="339"/>
      <c r="Y464" s="339"/>
      <c r="Z464" s="339"/>
    </row>
    <row r="465" spans="1:26" ht="15.75" customHeight="1">
      <c r="A465" s="339"/>
      <c r="B465" s="339"/>
      <c r="C465" s="339"/>
      <c r="D465" s="339"/>
      <c r="E465" s="339"/>
      <c r="F465" s="339"/>
      <c r="G465" s="339"/>
      <c r="H465" s="339"/>
      <c r="I465" s="341"/>
      <c r="J465" s="339"/>
      <c r="K465" s="341"/>
      <c r="L465" s="341"/>
      <c r="M465" s="341"/>
      <c r="N465" s="341"/>
      <c r="O465" s="341"/>
      <c r="P465" s="339"/>
      <c r="Q465" s="339"/>
      <c r="R465" s="339"/>
      <c r="S465" s="339"/>
      <c r="T465" s="339"/>
      <c r="U465" s="339"/>
      <c r="V465" s="339"/>
      <c r="W465" s="339"/>
      <c r="X465" s="339"/>
      <c r="Y465" s="339"/>
      <c r="Z465" s="339"/>
    </row>
    <row r="466" spans="1:26" ht="15.75" customHeight="1">
      <c r="A466" s="339"/>
      <c r="B466" s="339"/>
      <c r="C466" s="339"/>
      <c r="D466" s="339"/>
      <c r="E466" s="339"/>
      <c r="F466" s="339"/>
      <c r="G466" s="339"/>
      <c r="H466" s="339"/>
      <c r="I466" s="341"/>
      <c r="J466" s="339"/>
      <c r="K466" s="341"/>
      <c r="L466" s="341"/>
      <c r="M466" s="341"/>
      <c r="N466" s="341"/>
      <c r="O466" s="341"/>
      <c r="P466" s="339"/>
      <c r="Q466" s="339"/>
      <c r="R466" s="339"/>
      <c r="S466" s="339"/>
      <c r="T466" s="339"/>
      <c r="U466" s="339"/>
      <c r="V466" s="339"/>
      <c r="W466" s="339"/>
      <c r="X466" s="339"/>
      <c r="Y466" s="339"/>
      <c r="Z466" s="339"/>
    </row>
    <row r="467" spans="1:26" ht="15.75" customHeight="1">
      <c r="A467" s="339"/>
      <c r="B467" s="339"/>
      <c r="C467" s="339"/>
      <c r="D467" s="339"/>
      <c r="E467" s="339"/>
      <c r="F467" s="339"/>
      <c r="G467" s="339"/>
      <c r="H467" s="339"/>
      <c r="I467" s="341"/>
      <c r="J467" s="339"/>
      <c r="K467" s="341"/>
      <c r="L467" s="341"/>
      <c r="M467" s="341"/>
      <c r="N467" s="341"/>
      <c r="O467" s="341"/>
      <c r="P467" s="339"/>
      <c r="Q467" s="339"/>
      <c r="R467" s="339"/>
      <c r="S467" s="339"/>
      <c r="T467" s="339"/>
      <c r="U467" s="339"/>
      <c r="V467" s="339"/>
      <c r="W467" s="339"/>
      <c r="X467" s="339"/>
      <c r="Y467" s="339"/>
      <c r="Z467" s="339"/>
    </row>
    <row r="468" spans="1:26" ht="15.75" customHeight="1">
      <c r="A468" s="339"/>
      <c r="B468" s="339"/>
      <c r="C468" s="339"/>
      <c r="D468" s="339"/>
      <c r="E468" s="339"/>
      <c r="F468" s="339"/>
      <c r="G468" s="339"/>
      <c r="H468" s="339"/>
      <c r="I468" s="341"/>
      <c r="J468" s="339"/>
      <c r="K468" s="341"/>
      <c r="L468" s="341"/>
      <c r="M468" s="341"/>
      <c r="N468" s="341"/>
      <c r="O468" s="341"/>
      <c r="P468" s="339"/>
      <c r="Q468" s="339"/>
      <c r="R468" s="339"/>
      <c r="S468" s="339"/>
      <c r="T468" s="339"/>
      <c r="U468" s="339"/>
      <c r="V468" s="339"/>
      <c r="W468" s="339"/>
      <c r="X468" s="339"/>
      <c r="Y468" s="339"/>
      <c r="Z468" s="339"/>
    </row>
    <row r="469" spans="1:26" ht="15.75" customHeight="1">
      <c r="A469" s="339"/>
      <c r="B469" s="339"/>
      <c r="C469" s="339"/>
      <c r="D469" s="339"/>
      <c r="E469" s="339"/>
      <c r="F469" s="339"/>
      <c r="G469" s="339"/>
      <c r="H469" s="339"/>
      <c r="I469" s="341"/>
      <c r="J469" s="339"/>
      <c r="K469" s="341"/>
      <c r="L469" s="341"/>
      <c r="M469" s="341"/>
      <c r="N469" s="341"/>
      <c r="O469" s="341"/>
      <c r="P469" s="339"/>
      <c r="Q469" s="339"/>
      <c r="R469" s="339"/>
      <c r="S469" s="339"/>
      <c r="T469" s="339"/>
      <c r="U469" s="339"/>
      <c r="V469" s="339"/>
      <c r="W469" s="339"/>
      <c r="X469" s="339"/>
      <c r="Y469" s="339"/>
      <c r="Z469" s="339"/>
    </row>
    <row r="470" spans="1:26" ht="15.75" customHeight="1">
      <c r="A470" s="339"/>
      <c r="B470" s="339"/>
      <c r="C470" s="339"/>
      <c r="D470" s="339"/>
      <c r="E470" s="339"/>
      <c r="F470" s="339"/>
      <c r="G470" s="339"/>
      <c r="H470" s="339"/>
      <c r="I470" s="341"/>
      <c r="J470" s="339"/>
      <c r="K470" s="341"/>
      <c r="L470" s="341"/>
      <c r="M470" s="341"/>
      <c r="N470" s="341"/>
      <c r="O470" s="341"/>
      <c r="P470" s="339"/>
      <c r="Q470" s="339"/>
      <c r="R470" s="339"/>
      <c r="S470" s="339"/>
      <c r="T470" s="339"/>
      <c r="U470" s="339"/>
      <c r="V470" s="339"/>
      <c r="W470" s="339"/>
      <c r="X470" s="339"/>
      <c r="Y470" s="339"/>
      <c r="Z470" s="339"/>
    </row>
    <row r="471" spans="1:26" ht="15.75" customHeight="1">
      <c r="A471" s="339"/>
      <c r="B471" s="339"/>
      <c r="C471" s="339"/>
      <c r="D471" s="339"/>
      <c r="E471" s="339"/>
      <c r="F471" s="339"/>
      <c r="G471" s="339"/>
      <c r="H471" s="339"/>
      <c r="I471" s="341"/>
      <c r="J471" s="339"/>
      <c r="K471" s="341"/>
      <c r="L471" s="341"/>
      <c r="M471" s="341"/>
      <c r="N471" s="341"/>
      <c r="O471" s="341"/>
      <c r="P471" s="339"/>
      <c r="Q471" s="339"/>
      <c r="R471" s="339"/>
      <c r="S471" s="339"/>
      <c r="T471" s="339"/>
      <c r="U471" s="339"/>
      <c r="V471" s="339"/>
      <c r="W471" s="339"/>
      <c r="X471" s="339"/>
      <c r="Y471" s="339"/>
      <c r="Z471" s="339"/>
    </row>
    <row r="472" spans="1:26" ht="15.75" customHeight="1">
      <c r="A472" s="339"/>
      <c r="B472" s="339"/>
      <c r="C472" s="339"/>
      <c r="D472" s="339"/>
      <c r="E472" s="339"/>
      <c r="F472" s="339"/>
      <c r="G472" s="339"/>
      <c r="H472" s="339"/>
      <c r="I472" s="341"/>
      <c r="J472" s="339"/>
      <c r="K472" s="341"/>
      <c r="L472" s="341"/>
      <c r="M472" s="341"/>
      <c r="N472" s="341"/>
      <c r="O472" s="341"/>
      <c r="P472" s="339"/>
      <c r="Q472" s="339"/>
      <c r="R472" s="339"/>
      <c r="S472" s="339"/>
      <c r="T472" s="339"/>
      <c r="U472" s="339"/>
      <c r="V472" s="339"/>
      <c r="W472" s="339"/>
      <c r="X472" s="339"/>
      <c r="Y472" s="339"/>
      <c r="Z472" s="339"/>
    </row>
    <row r="473" spans="1:26" ht="15.75" customHeight="1">
      <c r="A473" s="339"/>
      <c r="B473" s="339"/>
      <c r="C473" s="339"/>
      <c r="D473" s="339"/>
      <c r="E473" s="339"/>
      <c r="F473" s="339"/>
      <c r="G473" s="339"/>
      <c r="H473" s="339"/>
      <c r="I473" s="341"/>
      <c r="J473" s="339"/>
      <c r="K473" s="341"/>
      <c r="L473" s="341"/>
      <c r="M473" s="341"/>
      <c r="N473" s="341"/>
      <c r="O473" s="341"/>
      <c r="P473" s="339"/>
      <c r="Q473" s="339"/>
      <c r="R473" s="339"/>
      <c r="S473" s="339"/>
      <c r="T473" s="339"/>
      <c r="U473" s="339"/>
      <c r="V473" s="339"/>
      <c r="W473" s="339"/>
      <c r="X473" s="339"/>
      <c r="Y473" s="339"/>
      <c r="Z473" s="339"/>
    </row>
    <row r="474" spans="1:26" ht="15.75" customHeight="1">
      <c r="A474" s="339"/>
      <c r="B474" s="339"/>
      <c r="C474" s="339"/>
      <c r="D474" s="339"/>
      <c r="E474" s="339"/>
      <c r="F474" s="339"/>
      <c r="G474" s="339"/>
      <c r="H474" s="339"/>
      <c r="I474" s="341"/>
      <c r="J474" s="339"/>
      <c r="K474" s="341"/>
      <c r="L474" s="341"/>
      <c r="M474" s="341"/>
      <c r="N474" s="341"/>
      <c r="O474" s="341"/>
      <c r="P474" s="339"/>
      <c r="Q474" s="339"/>
      <c r="R474" s="339"/>
      <c r="S474" s="339"/>
      <c r="T474" s="339"/>
      <c r="U474" s="339"/>
      <c r="V474" s="339"/>
      <c r="W474" s="339"/>
      <c r="X474" s="339"/>
      <c r="Y474" s="339"/>
      <c r="Z474" s="339"/>
    </row>
    <row r="475" spans="1:26" ht="15.75" customHeight="1">
      <c r="A475" s="339"/>
      <c r="B475" s="339"/>
      <c r="C475" s="339"/>
      <c r="D475" s="339"/>
      <c r="E475" s="339"/>
      <c r="F475" s="339"/>
      <c r="G475" s="339"/>
      <c r="H475" s="339"/>
      <c r="I475" s="341"/>
      <c r="J475" s="339"/>
      <c r="K475" s="341"/>
      <c r="L475" s="341"/>
      <c r="M475" s="341"/>
      <c r="N475" s="341"/>
      <c r="O475" s="341"/>
      <c r="P475" s="339"/>
      <c r="Q475" s="339"/>
      <c r="R475" s="339"/>
      <c r="S475" s="339"/>
      <c r="T475" s="339"/>
      <c r="U475" s="339"/>
      <c r="V475" s="339"/>
      <c r="W475" s="339"/>
      <c r="X475" s="339"/>
      <c r="Y475" s="339"/>
      <c r="Z475" s="339"/>
    </row>
    <row r="476" spans="1:26" ht="15.75" customHeight="1">
      <c r="A476" s="339"/>
      <c r="B476" s="339"/>
      <c r="C476" s="339"/>
      <c r="D476" s="339"/>
      <c r="E476" s="339"/>
      <c r="F476" s="339"/>
      <c r="G476" s="339"/>
      <c r="H476" s="339"/>
      <c r="I476" s="341"/>
      <c r="J476" s="339"/>
      <c r="K476" s="341"/>
      <c r="L476" s="341"/>
      <c r="M476" s="341"/>
      <c r="N476" s="341"/>
      <c r="O476" s="341"/>
      <c r="P476" s="339"/>
      <c r="Q476" s="339"/>
      <c r="R476" s="339"/>
      <c r="S476" s="339"/>
      <c r="T476" s="339"/>
      <c r="U476" s="339"/>
      <c r="V476" s="339"/>
      <c r="W476" s="339"/>
      <c r="X476" s="339"/>
      <c r="Y476" s="339"/>
      <c r="Z476" s="339"/>
    </row>
    <row r="477" spans="1:26" ht="15.75" customHeight="1">
      <c r="A477" s="339"/>
      <c r="B477" s="339"/>
      <c r="C477" s="339"/>
      <c r="D477" s="339"/>
      <c r="E477" s="339"/>
      <c r="F477" s="339"/>
      <c r="G477" s="339"/>
      <c r="H477" s="339"/>
      <c r="I477" s="341"/>
      <c r="J477" s="339"/>
      <c r="K477" s="341"/>
      <c r="L477" s="341"/>
      <c r="M477" s="341"/>
      <c r="N477" s="341"/>
      <c r="O477" s="341"/>
      <c r="P477" s="339"/>
      <c r="Q477" s="339"/>
      <c r="R477" s="339"/>
      <c r="S477" s="339"/>
      <c r="T477" s="339"/>
      <c r="U477" s="339"/>
      <c r="V477" s="339"/>
      <c r="W477" s="339"/>
      <c r="X477" s="339"/>
      <c r="Y477" s="339"/>
      <c r="Z477" s="339"/>
    </row>
    <row r="478" spans="1:26" ht="15.75" customHeight="1">
      <c r="A478" s="339"/>
      <c r="B478" s="339"/>
      <c r="C478" s="339"/>
      <c r="D478" s="339"/>
      <c r="E478" s="339"/>
      <c r="F478" s="339"/>
      <c r="G478" s="339"/>
      <c r="H478" s="339"/>
      <c r="I478" s="341"/>
      <c r="J478" s="339"/>
      <c r="K478" s="341"/>
      <c r="L478" s="341"/>
      <c r="M478" s="341"/>
      <c r="N478" s="341"/>
      <c r="O478" s="341"/>
      <c r="P478" s="339"/>
      <c r="Q478" s="339"/>
      <c r="R478" s="339"/>
      <c r="S478" s="339"/>
      <c r="T478" s="339"/>
      <c r="U478" s="339"/>
      <c r="V478" s="339"/>
      <c r="W478" s="339"/>
      <c r="X478" s="339"/>
      <c r="Y478" s="339"/>
      <c r="Z478" s="339"/>
    </row>
    <row r="479" spans="1:26" ht="15.75" customHeight="1">
      <c r="A479" s="339"/>
      <c r="B479" s="339"/>
      <c r="C479" s="339"/>
      <c r="D479" s="339"/>
      <c r="E479" s="339"/>
      <c r="F479" s="339"/>
      <c r="G479" s="339"/>
      <c r="H479" s="339"/>
      <c r="I479" s="341"/>
      <c r="J479" s="339"/>
      <c r="K479" s="341"/>
      <c r="L479" s="341"/>
      <c r="M479" s="341"/>
      <c r="N479" s="341"/>
      <c r="O479" s="341"/>
      <c r="P479" s="339"/>
      <c r="Q479" s="339"/>
      <c r="R479" s="339"/>
      <c r="S479" s="339"/>
      <c r="T479" s="339"/>
      <c r="U479" s="339"/>
      <c r="V479" s="339"/>
      <c r="W479" s="339"/>
      <c r="X479" s="339"/>
      <c r="Y479" s="339"/>
      <c r="Z479" s="339"/>
    </row>
    <row r="480" spans="1:26" ht="15.75" customHeight="1">
      <c r="A480" s="339"/>
      <c r="B480" s="339"/>
      <c r="C480" s="339"/>
      <c r="D480" s="339"/>
      <c r="E480" s="339"/>
      <c r="F480" s="339"/>
      <c r="G480" s="339"/>
      <c r="H480" s="339"/>
      <c r="I480" s="341"/>
      <c r="J480" s="339"/>
      <c r="K480" s="341"/>
      <c r="L480" s="341"/>
      <c r="M480" s="341"/>
      <c r="N480" s="341"/>
      <c r="O480" s="341"/>
      <c r="P480" s="339"/>
      <c r="Q480" s="339"/>
      <c r="R480" s="339"/>
      <c r="S480" s="339"/>
      <c r="T480" s="339"/>
      <c r="U480" s="339"/>
      <c r="V480" s="339"/>
      <c r="W480" s="339"/>
      <c r="X480" s="339"/>
      <c r="Y480" s="339"/>
      <c r="Z480" s="339"/>
    </row>
    <row r="481" spans="1:26" ht="15.75" customHeight="1">
      <c r="A481" s="339"/>
      <c r="B481" s="339"/>
      <c r="C481" s="339"/>
      <c r="D481" s="339"/>
      <c r="E481" s="339"/>
      <c r="F481" s="339"/>
      <c r="G481" s="339"/>
      <c r="H481" s="339"/>
      <c r="I481" s="341"/>
      <c r="J481" s="339"/>
      <c r="K481" s="341"/>
      <c r="L481" s="341"/>
      <c r="M481" s="341"/>
      <c r="N481" s="341"/>
      <c r="O481" s="341"/>
      <c r="P481" s="339"/>
      <c r="Q481" s="339"/>
      <c r="R481" s="339"/>
      <c r="S481" s="339"/>
      <c r="T481" s="339"/>
      <c r="U481" s="339"/>
      <c r="V481" s="339"/>
      <c r="W481" s="339"/>
      <c r="X481" s="339"/>
      <c r="Y481" s="339"/>
      <c r="Z481" s="339"/>
    </row>
    <row r="482" spans="1:26" ht="15.75" customHeight="1">
      <c r="A482" s="339"/>
      <c r="B482" s="339"/>
      <c r="C482" s="339"/>
      <c r="D482" s="339"/>
      <c r="E482" s="339"/>
      <c r="F482" s="339"/>
      <c r="G482" s="339"/>
      <c r="H482" s="339"/>
      <c r="I482" s="341"/>
      <c r="J482" s="339"/>
      <c r="K482" s="341"/>
      <c r="L482" s="341"/>
      <c r="M482" s="341"/>
      <c r="N482" s="341"/>
      <c r="O482" s="341"/>
      <c r="P482" s="339"/>
      <c r="Q482" s="339"/>
      <c r="R482" s="339"/>
      <c r="S482" s="339"/>
      <c r="T482" s="339"/>
      <c r="U482" s="339"/>
      <c r="V482" s="339"/>
      <c r="W482" s="339"/>
      <c r="X482" s="339"/>
      <c r="Y482" s="339"/>
      <c r="Z482" s="339"/>
    </row>
    <row r="483" spans="1:26" ht="15.75" customHeight="1">
      <c r="A483" s="339"/>
      <c r="B483" s="339"/>
      <c r="C483" s="339"/>
      <c r="D483" s="339"/>
      <c r="E483" s="339"/>
      <c r="F483" s="339"/>
      <c r="G483" s="339"/>
      <c r="H483" s="339"/>
      <c r="I483" s="341"/>
      <c r="J483" s="339"/>
      <c r="K483" s="341"/>
      <c r="L483" s="341"/>
      <c r="M483" s="341"/>
      <c r="N483" s="341"/>
      <c r="O483" s="341"/>
      <c r="P483" s="339"/>
      <c r="Q483" s="339"/>
      <c r="R483" s="339"/>
      <c r="S483" s="339"/>
      <c r="T483" s="339"/>
      <c r="U483" s="339"/>
      <c r="V483" s="339"/>
      <c r="W483" s="339"/>
      <c r="X483" s="339"/>
      <c r="Y483" s="339"/>
      <c r="Z483" s="339"/>
    </row>
    <row r="484" spans="1:26" ht="15.75" customHeight="1">
      <c r="A484" s="339"/>
      <c r="B484" s="339"/>
      <c r="C484" s="339"/>
      <c r="D484" s="339"/>
      <c r="E484" s="339"/>
      <c r="F484" s="339"/>
      <c r="G484" s="339"/>
      <c r="H484" s="339"/>
      <c r="I484" s="341"/>
      <c r="J484" s="339"/>
      <c r="K484" s="341"/>
      <c r="L484" s="341"/>
      <c r="M484" s="341"/>
      <c r="N484" s="341"/>
      <c r="O484" s="341"/>
      <c r="P484" s="339"/>
      <c r="Q484" s="339"/>
      <c r="R484" s="339"/>
      <c r="S484" s="339"/>
      <c r="T484" s="339"/>
      <c r="U484" s="339"/>
      <c r="V484" s="339"/>
      <c r="W484" s="339"/>
      <c r="X484" s="339"/>
      <c r="Y484" s="339"/>
      <c r="Z484" s="339"/>
    </row>
    <row r="485" spans="1:26" ht="15.75" customHeight="1">
      <c r="A485" s="339"/>
      <c r="B485" s="339"/>
      <c r="C485" s="339"/>
      <c r="D485" s="339"/>
      <c r="E485" s="339"/>
      <c r="F485" s="339"/>
      <c r="G485" s="339"/>
      <c r="H485" s="339"/>
      <c r="I485" s="341"/>
      <c r="J485" s="339"/>
      <c r="K485" s="341"/>
      <c r="L485" s="341"/>
      <c r="M485" s="341"/>
      <c r="N485" s="341"/>
      <c r="O485" s="341"/>
      <c r="P485" s="339"/>
      <c r="Q485" s="339"/>
      <c r="R485" s="339"/>
      <c r="S485" s="339"/>
      <c r="T485" s="339"/>
      <c r="U485" s="339"/>
      <c r="V485" s="339"/>
      <c r="W485" s="339"/>
      <c r="X485" s="339"/>
      <c r="Y485" s="339"/>
      <c r="Z485" s="339"/>
    </row>
    <row r="486" spans="1:26" ht="15.75" customHeight="1">
      <c r="A486" s="339"/>
      <c r="B486" s="339"/>
      <c r="C486" s="339"/>
      <c r="D486" s="339"/>
      <c r="E486" s="339"/>
      <c r="F486" s="339"/>
      <c r="G486" s="339"/>
      <c r="H486" s="339"/>
      <c r="I486" s="341"/>
      <c r="J486" s="339"/>
      <c r="K486" s="341"/>
      <c r="L486" s="341"/>
      <c r="M486" s="341"/>
      <c r="N486" s="341"/>
      <c r="O486" s="341"/>
      <c r="P486" s="339"/>
      <c r="Q486" s="339"/>
      <c r="R486" s="339"/>
      <c r="S486" s="339"/>
      <c r="T486" s="339"/>
      <c r="U486" s="339"/>
      <c r="V486" s="339"/>
      <c r="W486" s="339"/>
      <c r="X486" s="339"/>
      <c r="Y486" s="339"/>
      <c r="Z486" s="339"/>
    </row>
    <row r="487" spans="1:26" ht="15.75" customHeight="1">
      <c r="A487" s="339"/>
      <c r="B487" s="339"/>
      <c r="C487" s="339"/>
      <c r="D487" s="339"/>
      <c r="E487" s="339"/>
      <c r="F487" s="339"/>
      <c r="G487" s="339"/>
      <c r="H487" s="339"/>
      <c r="I487" s="341"/>
      <c r="J487" s="339"/>
      <c r="K487" s="341"/>
      <c r="L487" s="341"/>
      <c r="M487" s="341"/>
      <c r="N487" s="341"/>
      <c r="O487" s="341"/>
      <c r="P487" s="339"/>
      <c r="Q487" s="339"/>
      <c r="R487" s="339"/>
      <c r="S487" s="339"/>
      <c r="T487" s="339"/>
      <c r="U487" s="339"/>
      <c r="V487" s="339"/>
      <c r="W487" s="339"/>
      <c r="X487" s="339"/>
      <c r="Y487" s="339"/>
      <c r="Z487" s="339"/>
    </row>
    <row r="488" spans="1:26" ht="15.75" customHeight="1">
      <c r="A488" s="339"/>
      <c r="B488" s="339"/>
      <c r="C488" s="339"/>
      <c r="D488" s="339"/>
      <c r="E488" s="339"/>
      <c r="F488" s="339"/>
      <c r="G488" s="339"/>
      <c r="H488" s="339"/>
      <c r="I488" s="341"/>
      <c r="J488" s="339"/>
      <c r="K488" s="341"/>
      <c r="L488" s="341"/>
      <c r="M488" s="341"/>
      <c r="N488" s="341"/>
      <c r="O488" s="341"/>
      <c r="P488" s="339"/>
      <c r="Q488" s="339"/>
      <c r="R488" s="339"/>
      <c r="S488" s="339"/>
      <c r="T488" s="339"/>
      <c r="U488" s="339"/>
      <c r="V488" s="339"/>
      <c r="W488" s="339"/>
      <c r="X488" s="339"/>
      <c r="Y488" s="339"/>
      <c r="Z488" s="339"/>
    </row>
    <row r="489" spans="1:26" ht="15.75" customHeight="1">
      <c r="A489" s="339"/>
      <c r="B489" s="339"/>
      <c r="C489" s="339"/>
      <c r="D489" s="339"/>
      <c r="E489" s="339"/>
      <c r="F489" s="339"/>
      <c r="G489" s="339"/>
      <c r="H489" s="339"/>
      <c r="I489" s="341"/>
      <c r="J489" s="339"/>
      <c r="K489" s="341"/>
      <c r="L489" s="341"/>
      <c r="M489" s="341"/>
      <c r="N489" s="341"/>
      <c r="O489" s="341"/>
      <c r="P489" s="339"/>
      <c r="Q489" s="339"/>
      <c r="R489" s="339"/>
      <c r="S489" s="339"/>
      <c r="T489" s="339"/>
      <c r="U489" s="339"/>
      <c r="V489" s="339"/>
      <c r="W489" s="339"/>
      <c r="X489" s="339"/>
      <c r="Y489" s="339"/>
      <c r="Z489" s="339"/>
    </row>
    <row r="490" spans="1:26" ht="15.75" customHeight="1">
      <c r="A490" s="339"/>
      <c r="B490" s="339"/>
      <c r="C490" s="339"/>
      <c r="D490" s="339"/>
      <c r="E490" s="339"/>
      <c r="F490" s="339"/>
      <c r="G490" s="339"/>
      <c r="H490" s="339"/>
      <c r="I490" s="341"/>
      <c r="J490" s="339"/>
      <c r="K490" s="341"/>
      <c r="L490" s="341"/>
      <c r="M490" s="341"/>
      <c r="N490" s="341"/>
      <c r="O490" s="341"/>
      <c r="P490" s="339"/>
      <c r="Q490" s="339"/>
      <c r="R490" s="339"/>
      <c r="S490" s="339"/>
      <c r="T490" s="339"/>
      <c r="U490" s="339"/>
      <c r="V490" s="339"/>
      <c r="W490" s="339"/>
      <c r="X490" s="339"/>
      <c r="Y490" s="339"/>
      <c r="Z490" s="339"/>
    </row>
    <row r="491" spans="1:26" ht="15.75" customHeight="1">
      <c r="A491" s="339"/>
      <c r="B491" s="339"/>
      <c r="C491" s="339"/>
      <c r="D491" s="339"/>
      <c r="E491" s="339"/>
      <c r="F491" s="339"/>
      <c r="G491" s="339"/>
      <c r="H491" s="339"/>
      <c r="I491" s="341"/>
      <c r="J491" s="339"/>
      <c r="K491" s="341"/>
      <c r="L491" s="341"/>
      <c r="M491" s="341"/>
      <c r="N491" s="341"/>
      <c r="O491" s="341"/>
      <c r="P491" s="339"/>
      <c r="Q491" s="339"/>
      <c r="R491" s="339"/>
      <c r="S491" s="339"/>
      <c r="T491" s="339"/>
      <c r="U491" s="339"/>
      <c r="V491" s="339"/>
      <c r="W491" s="339"/>
      <c r="X491" s="339"/>
      <c r="Y491" s="339"/>
      <c r="Z491" s="339"/>
    </row>
    <row r="492" spans="1:26" ht="15.75" customHeight="1">
      <c r="A492" s="339"/>
      <c r="B492" s="339"/>
      <c r="C492" s="339"/>
      <c r="D492" s="339"/>
      <c r="E492" s="339"/>
      <c r="F492" s="339"/>
      <c r="G492" s="339"/>
      <c r="H492" s="339"/>
      <c r="I492" s="341"/>
      <c r="J492" s="339"/>
      <c r="K492" s="341"/>
      <c r="L492" s="341"/>
      <c r="M492" s="341"/>
      <c r="N492" s="341"/>
      <c r="O492" s="341"/>
      <c r="P492" s="339"/>
      <c r="Q492" s="339"/>
      <c r="R492" s="339"/>
      <c r="S492" s="339"/>
      <c r="T492" s="339"/>
      <c r="U492" s="339"/>
      <c r="V492" s="339"/>
      <c r="W492" s="339"/>
      <c r="X492" s="339"/>
      <c r="Y492" s="339"/>
      <c r="Z492" s="339"/>
    </row>
    <row r="493" spans="1:26" ht="15.75" customHeight="1">
      <c r="A493" s="339"/>
      <c r="B493" s="339"/>
      <c r="C493" s="339"/>
      <c r="D493" s="339"/>
      <c r="E493" s="339"/>
      <c r="F493" s="339"/>
      <c r="G493" s="339"/>
      <c r="H493" s="339"/>
      <c r="I493" s="341"/>
      <c r="J493" s="339"/>
      <c r="K493" s="341"/>
      <c r="L493" s="341"/>
      <c r="M493" s="341"/>
      <c r="N493" s="341"/>
      <c r="O493" s="341"/>
      <c r="P493" s="339"/>
      <c r="Q493" s="339"/>
      <c r="R493" s="339"/>
      <c r="S493" s="339"/>
      <c r="T493" s="339"/>
      <c r="U493" s="339"/>
      <c r="V493" s="339"/>
      <c r="W493" s="339"/>
      <c r="X493" s="339"/>
      <c r="Y493" s="339"/>
      <c r="Z493" s="339"/>
    </row>
    <row r="494" spans="1:26" ht="15.75" customHeight="1">
      <c r="A494" s="339"/>
      <c r="B494" s="339"/>
      <c r="C494" s="339"/>
      <c r="D494" s="339"/>
      <c r="E494" s="339"/>
      <c r="F494" s="339"/>
      <c r="G494" s="339"/>
      <c r="H494" s="339"/>
      <c r="I494" s="341"/>
      <c r="J494" s="339"/>
      <c r="K494" s="341"/>
      <c r="L494" s="341"/>
      <c r="M494" s="341"/>
      <c r="N494" s="341"/>
      <c r="O494" s="341"/>
      <c r="P494" s="339"/>
      <c r="Q494" s="339"/>
      <c r="R494" s="339"/>
      <c r="S494" s="339"/>
      <c r="T494" s="339"/>
      <c r="U494" s="339"/>
      <c r="V494" s="339"/>
      <c r="W494" s="339"/>
      <c r="X494" s="339"/>
      <c r="Y494" s="339"/>
      <c r="Z494" s="339"/>
    </row>
    <row r="495" spans="1:26" ht="15.75" customHeight="1">
      <c r="A495" s="339"/>
      <c r="B495" s="339"/>
      <c r="C495" s="339"/>
      <c r="D495" s="339"/>
      <c r="E495" s="339"/>
      <c r="F495" s="339"/>
      <c r="G495" s="339"/>
      <c r="H495" s="339"/>
      <c r="I495" s="341"/>
      <c r="J495" s="339"/>
      <c r="K495" s="341"/>
      <c r="L495" s="341"/>
      <c r="M495" s="341"/>
      <c r="N495" s="341"/>
      <c r="O495" s="341"/>
      <c r="P495" s="339"/>
      <c r="Q495" s="339"/>
      <c r="R495" s="339"/>
      <c r="S495" s="339"/>
      <c r="T495" s="339"/>
      <c r="U495" s="339"/>
      <c r="V495" s="339"/>
      <c r="W495" s="339"/>
      <c r="X495" s="339"/>
      <c r="Y495" s="339"/>
      <c r="Z495" s="339"/>
    </row>
    <row r="496" spans="1:26" ht="15.75" customHeight="1">
      <c r="A496" s="339"/>
      <c r="B496" s="339"/>
      <c r="C496" s="339"/>
      <c r="D496" s="339"/>
      <c r="E496" s="339"/>
      <c r="F496" s="339"/>
      <c r="G496" s="339"/>
      <c r="H496" s="339"/>
      <c r="I496" s="341"/>
      <c r="J496" s="339"/>
      <c r="K496" s="341"/>
      <c r="L496" s="341"/>
      <c r="M496" s="341"/>
      <c r="N496" s="341"/>
      <c r="O496" s="341"/>
      <c r="P496" s="339"/>
      <c r="Q496" s="339"/>
      <c r="R496" s="339"/>
      <c r="S496" s="339"/>
      <c r="T496" s="339"/>
      <c r="U496" s="339"/>
      <c r="V496" s="339"/>
      <c r="W496" s="339"/>
      <c r="X496" s="339"/>
      <c r="Y496" s="339"/>
      <c r="Z496" s="339"/>
    </row>
    <row r="497" spans="1:26" ht="15.75" customHeight="1">
      <c r="A497" s="339"/>
      <c r="B497" s="339"/>
      <c r="C497" s="339"/>
      <c r="D497" s="339"/>
      <c r="E497" s="339"/>
      <c r="F497" s="339"/>
      <c r="G497" s="339"/>
      <c r="H497" s="339"/>
      <c r="I497" s="341"/>
      <c r="J497" s="339"/>
      <c r="K497" s="341"/>
      <c r="L497" s="341"/>
      <c r="M497" s="341"/>
      <c r="N497" s="341"/>
      <c r="O497" s="341"/>
      <c r="P497" s="339"/>
      <c r="Q497" s="339"/>
      <c r="R497" s="339"/>
      <c r="S497" s="339"/>
      <c r="T497" s="339"/>
      <c r="U497" s="339"/>
      <c r="V497" s="339"/>
      <c r="W497" s="339"/>
      <c r="X497" s="339"/>
      <c r="Y497" s="339"/>
      <c r="Z497" s="339"/>
    </row>
    <row r="498" spans="1:26" ht="15.75" customHeight="1">
      <c r="A498" s="339"/>
      <c r="B498" s="339"/>
      <c r="C498" s="339"/>
      <c r="D498" s="339"/>
      <c r="E498" s="339"/>
      <c r="F498" s="339"/>
      <c r="G498" s="339"/>
      <c r="H498" s="339"/>
      <c r="I498" s="341"/>
      <c r="J498" s="339"/>
      <c r="K498" s="341"/>
      <c r="L498" s="341"/>
      <c r="M498" s="341"/>
      <c r="N498" s="341"/>
      <c r="O498" s="341"/>
      <c r="P498" s="339"/>
      <c r="Q498" s="339"/>
      <c r="R498" s="339"/>
      <c r="S498" s="339"/>
      <c r="T498" s="339"/>
      <c r="U498" s="339"/>
      <c r="V498" s="339"/>
      <c r="W498" s="339"/>
      <c r="X498" s="339"/>
      <c r="Y498" s="339"/>
      <c r="Z498" s="339"/>
    </row>
    <row r="499" spans="1:26" ht="15.75" customHeight="1">
      <c r="A499" s="339"/>
      <c r="B499" s="339"/>
      <c r="C499" s="339"/>
      <c r="D499" s="339"/>
      <c r="E499" s="339"/>
      <c r="F499" s="339"/>
      <c r="G499" s="339"/>
      <c r="H499" s="339"/>
      <c r="I499" s="341"/>
      <c r="J499" s="339"/>
      <c r="K499" s="341"/>
      <c r="L499" s="341"/>
      <c r="M499" s="341"/>
      <c r="N499" s="341"/>
      <c r="O499" s="341"/>
      <c r="P499" s="339"/>
      <c r="Q499" s="339"/>
      <c r="R499" s="339"/>
      <c r="S499" s="339"/>
      <c r="T499" s="339"/>
      <c r="U499" s="339"/>
      <c r="V499" s="339"/>
      <c r="W499" s="339"/>
      <c r="X499" s="339"/>
      <c r="Y499" s="339"/>
      <c r="Z499" s="339"/>
    </row>
    <row r="500" spans="1:26" ht="15.75" customHeight="1">
      <c r="A500" s="339"/>
      <c r="B500" s="339"/>
      <c r="C500" s="339"/>
      <c r="D500" s="339"/>
      <c r="E500" s="339"/>
      <c r="F500" s="339"/>
      <c r="G500" s="339"/>
      <c r="H500" s="339"/>
      <c r="I500" s="341"/>
      <c r="J500" s="339"/>
      <c r="K500" s="341"/>
      <c r="L500" s="341"/>
      <c r="M500" s="341"/>
      <c r="N500" s="341"/>
      <c r="O500" s="341"/>
      <c r="P500" s="339"/>
      <c r="Q500" s="339"/>
      <c r="R500" s="339"/>
      <c r="S500" s="339"/>
      <c r="T500" s="339"/>
      <c r="U500" s="339"/>
      <c r="V500" s="339"/>
      <c r="W500" s="339"/>
      <c r="X500" s="339"/>
      <c r="Y500" s="339"/>
      <c r="Z500" s="339"/>
    </row>
    <row r="501" spans="1:26" ht="15.75" customHeight="1">
      <c r="A501" s="339"/>
      <c r="B501" s="339"/>
      <c r="C501" s="339"/>
      <c r="D501" s="339"/>
      <c r="E501" s="339"/>
      <c r="F501" s="339"/>
      <c r="G501" s="339"/>
      <c r="H501" s="339"/>
      <c r="I501" s="341"/>
      <c r="J501" s="339"/>
      <c r="K501" s="341"/>
      <c r="L501" s="341"/>
      <c r="M501" s="341"/>
      <c r="N501" s="341"/>
      <c r="O501" s="341"/>
      <c r="P501" s="339"/>
      <c r="Q501" s="339"/>
      <c r="R501" s="339"/>
      <c r="S501" s="339"/>
      <c r="T501" s="339"/>
      <c r="U501" s="339"/>
      <c r="V501" s="339"/>
      <c r="W501" s="339"/>
      <c r="X501" s="339"/>
      <c r="Y501" s="339"/>
      <c r="Z501" s="339"/>
    </row>
    <row r="502" spans="1:26" ht="15.75" customHeight="1">
      <c r="A502" s="339"/>
      <c r="B502" s="339"/>
      <c r="C502" s="339"/>
      <c r="D502" s="339"/>
      <c r="E502" s="339"/>
      <c r="F502" s="339"/>
      <c r="G502" s="339"/>
      <c r="H502" s="339"/>
      <c r="I502" s="341"/>
      <c r="J502" s="339"/>
      <c r="K502" s="341"/>
      <c r="L502" s="341"/>
      <c r="M502" s="341"/>
      <c r="N502" s="341"/>
      <c r="O502" s="341"/>
      <c r="P502" s="339"/>
      <c r="Q502" s="339"/>
      <c r="R502" s="339"/>
      <c r="S502" s="339"/>
      <c r="T502" s="339"/>
      <c r="U502" s="339"/>
      <c r="V502" s="339"/>
      <c r="W502" s="339"/>
      <c r="X502" s="339"/>
      <c r="Y502" s="339"/>
      <c r="Z502" s="339"/>
    </row>
    <row r="503" spans="1:26" ht="15.75" customHeight="1">
      <c r="A503" s="339"/>
      <c r="B503" s="339"/>
      <c r="C503" s="339"/>
      <c r="D503" s="339"/>
      <c r="E503" s="339"/>
      <c r="F503" s="339"/>
      <c r="G503" s="339"/>
      <c r="H503" s="339"/>
      <c r="I503" s="341"/>
      <c r="J503" s="339"/>
      <c r="K503" s="341"/>
      <c r="L503" s="341"/>
      <c r="M503" s="341"/>
      <c r="N503" s="341"/>
      <c r="O503" s="341"/>
      <c r="P503" s="339"/>
      <c r="Q503" s="339"/>
      <c r="R503" s="339"/>
      <c r="S503" s="339"/>
      <c r="T503" s="339"/>
      <c r="U503" s="339"/>
      <c r="V503" s="339"/>
      <c r="W503" s="339"/>
      <c r="X503" s="339"/>
      <c r="Y503" s="339"/>
      <c r="Z503" s="339"/>
    </row>
    <row r="504" spans="1:26" ht="15.75" customHeight="1">
      <c r="A504" s="339"/>
      <c r="B504" s="339"/>
      <c r="C504" s="339"/>
      <c r="D504" s="339"/>
      <c r="E504" s="339"/>
      <c r="F504" s="339"/>
      <c r="G504" s="339"/>
      <c r="H504" s="339"/>
      <c r="I504" s="341"/>
      <c r="J504" s="339"/>
      <c r="K504" s="341"/>
      <c r="L504" s="341"/>
      <c r="M504" s="341"/>
      <c r="N504" s="341"/>
      <c r="O504" s="341"/>
      <c r="P504" s="339"/>
      <c r="Q504" s="339"/>
      <c r="R504" s="339"/>
      <c r="S504" s="339"/>
      <c r="T504" s="339"/>
      <c r="U504" s="339"/>
      <c r="V504" s="339"/>
      <c r="W504" s="339"/>
      <c r="X504" s="339"/>
      <c r="Y504" s="339"/>
      <c r="Z504" s="339"/>
    </row>
    <row r="505" spans="1:26" ht="15.75" customHeight="1">
      <c r="A505" s="339"/>
      <c r="B505" s="339"/>
      <c r="C505" s="339"/>
      <c r="D505" s="339"/>
      <c r="E505" s="339"/>
      <c r="F505" s="339"/>
      <c r="G505" s="339"/>
      <c r="H505" s="339"/>
      <c r="I505" s="341"/>
      <c r="J505" s="339"/>
      <c r="K505" s="341"/>
      <c r="L505" s="341"/>
      <c r="M505" s="341"/>
      <c r="N505" s="341"/>
      <c r="O505" s="341"/>
      <c r="P505" s="339"/>
      <c r="Q505" s="339"/>
      <c r="R505" s="339"/>
      <c r="S505" s="339"/>
      <c r="T505" s="339"/>
      <c r="U505" s="339"/>
      <c r="V505" s="339"/>
      <c r="W505" s="339"/>
      <c r="X505" s="339"/>
      <c r="Y505" s="339"/>
      <c r="Z505" s="339"/>
    </row>
    <row r="506" spans="1:26" ht="15.75" customHeight="1">
      <c r="A506" s="339"/>
      <c r="B506" s="339"/>
      <c r="C506" s="339"/>
      <c r="D506" s="339"/>
      <c r="E506" s="339"/>
      <c r="F506" s="339"/>
      <c r="G506" s="339"/>
      <c r="H506" s="339"/>
      <c r="I506" s="341"/>
      <c r="J506" s="339"/>
      <c r="K506" s="341"/>
      <c r="L506" s="341"/>
      <c r="M506" s="341"/>
      <c r="N506" s="341"/>
      <c r="O506" s="341"/>
      <c r="P506" s="339"/>
      <c r="Q506" s="339"/>
      <c r="R506" s="339"/>
      <c r="S506" s="339"/>
      <c r="T506" s="339"/>
      <c r="U506" s="339"/>
      <c r="V506" s="339"/>
      <c r="W506" s="339"/>
      <c r="X506" s="339"/>
      <c r="Y506" s="339"/>
      <c r="Z506" s="339"/>
    </row>
    <row r="507" spans="1:26" ht="15.75" customHeight="1">
      <c r="A507" s="339"/>
      <c r="B507" s="339"/>
      <c r="C507" s="339"/>
      <c r="D507" s="339"/>
      <c r="E507" s="339"/>
      <c r="F507" s="339"/>
      <c r="G507" s="339"/>
      <c r="H507" s="339"/>
      <c r="I507" s="341"/>
      <c r="J507" s="339"/>
      <c r="K507" s="341"/>
      <c r="L507" s="341"/>
      <c r="M507" s="341"/>
      <c r="N507" s="341"/>
      <c r="O507" s="341"/>
      <c r="P507" s="339"/>
      <c r="Q507" s="339"/>
      <c r="R507" s="339"/>
      <c r="S507" s="339"/>
      <c r="T507" s="339"/>
      <c r="U507" s="339"/>
      <c r="V507" s="339"/>
      <c r="W507" s="339"/>
      <c r="X507" s="339"/>
      <c r="Y507" s="339"/>
      <c r="Z507" s="339"/>
    </row>
    <row r="508" spans="1:26" ht="15.75" customHeight="1">
      <c r="A508" s="339"/>
      <c r="B508" s="339"/>
      <c r="C508" s="339"/>
      <c r="D508" s="339"/>
      <c r="E508" s="339"/>
      <c r="F508" s="339"/>
      <c r="G508" s="339"/>
      <c r="H508" s="339"/>
      <c r="I508" s="341"/>
      <c r="J508" s="339"/>
      <c r="K508" s="341"/>
      <c r="L508" s="341"/>
      <c r="M508" s="341"/>
      <c r="N508" s="341"/>
      <c r="O508" s="341"/>
      <c r="P508" s="339"/>
      <c r="Q508" s="339"/>
      <c r="R508" s="339"/>
      <c r="S508" s="339"/>
      <c r="T508" s="339"/>
      <c r="U508" s="339"/>
      <c r="V508" s="339"/>
      <c r="W508" s="339"/>
      <c r="X508" s="339"/>
      <c r="Y508" s="339"/>
      <c r="Z508" s="339"/>
    </row>
    <row r="509" spans="1:26" ht="15.75" customHeight="1">
      <c r="A509" s="339"/>
      <c r="B509" s="339"/>
      <c r="C509" s="339"/>
      <c r="D509" s="339"/>
      <c r="E509" s="339"/>
      <c r="F509" s="339"/>
      <c r="G509" s="339"/>
      <c r="H509" s="339"/>
      <c r="I509" s="341"/>
      <c r="J509" s="339"/>
      <c r="K509" s="341"/>
      <c r="L509" s="341"/>
      <c r="M509" s="341"/>
      <c r="N509" s="341"/>
      <c r="O509" s="341"/>
      <c r="P509" s="339"/>
      <c r="Q509" s="339"/>
      <c r="R509" s="339"/>
      <c r="S509" s="339"/>
      <c r="T509" s="339"/>
      <c r="U509" s="339"/>
      <c r="V509" s="339"/>
      <c r="W509" s="339"/>
      <c r="X509" s="339"/>
      <c r="Y509" s="339"/>
      <c r="Z509" s="339"/>
    </row>
    <row r="510" spans="1:26" ht="15.75" customHeight="1">
      <c r="A510" s="339"/>
      <c r="B510" s="339"/>
      <c r="C510" s="339"/>
      <c r="D510" s="339"/>
      <c r="E510" s="339"/>
      <c r="F510" s="339"/>
      <c r="G510" s="339"/>
      <c r="H510" s="339"/>
      <c r="I510" s="341"/>
      <c r="J510" s="339"/>
      <c r="K510" s="341"/>
      <c r="L510" s="341"/>
      <c r="M510" s="341"/>
      <c r="N510" s="341"/>
      <c r="O510" s="341"/>
      <c r="P510" s="339"/>
      <c r="Q510" s="339"/>
      <c r="R510" s="339"/>
      <c r="S510" s="339"/>
      <c r="T510" s="339"/>
      <c r="U510" s="339"/>
      <c r="V510" s="339"/>
      <c r="W510" s="339"/>
      <c r="X510" s="339"/>
      <c r="Y510" s="339"/>
      <c r="Z510" s="339"/>
    </row>
    <row r="511" spans="1:26" ht="15.75" customHeight="1">
      <c r="A511" s="339"/>
      <c r="B511" s="339"/>
      <c r="C511" s="339"/>
      <c r="D511" s="339"/>
      <c r="E511" s="339"/>
      <c r="F511" s="339"/>
      <c r="G511" s="339"/>
      <c r="H511" s="339"/>
      <c r="I511" s="341"/>
      <c r="J511" s="339"/>
      <c r="K511" s="341"/>
      <c r="L511" s="341"/>
      <c r="M511" s="341"/>
      <c r="N511" s="341"/>
      <c r="O511" s="341"/>
      <c r="P511" s="339"/>
      <c r="Q511" s="339"/>
      <c r="R511" s="339"/>
      <c r="S511" s="339"/>
      <c r="T511" s="339"/>
      <c r="U511" s="339"/>
      <c r="V511" s="339"/>
      <c r="W511" s="339"/>
      <c r="X511" s="339"/>
      <c r="Y511" s="339"/>
      <c r="Z511" s="339"/>
    </row>
    <row r="512" spans="1:26" ht="15.75" customHeight="1">
      <c r="A512" s="339"/>
      <c r="B512" s="339"/>
      <c r="C512" s="339"/>
      <c r="D512" s="339"/>
      <c r="E512" s="339"/>
      <c r="F512" s="339"/>
      <c r="G512" s="339"/>
      <c r="H512" s="339"/>
      <c r="I512" s="341"/>
      <c r="J512" s="339"/>
      <c r="K512" s="341"/>
      <c r="L512" s="341"/>
      <c r="M512" s="341"/>
      <c r="N512" s="341"/>
      <c r="O512" s="341"/>
      <c r="P512" s="339"/>
      <c r="Q512" s="339"/>
      <c r="R512" s="339"/>
      <c r="S512" s="339"/>
      <c r="T512" s="339"/>
      <c r="U512" s="339"/>
      <c r="V512" s="339"/>
      <c r="W512" s="339"/>
      <c r="X512" s="339"/>
      <c r="Y512" s="339"/>
      <c r="Z512" s="339"/>
    </row>
    <row r="513" spans="1:26" ht="15.75" customHeight="1">
      <c r="A513" s="339"/>
      <c r="B513" s="339"/>
      <c r="C513" s="339"/>
      <c r="D513" s="339"/>
      <c r="E513" s="339"/>
      <c r="F513" s="339"/>
      <c r="G513" s="339"/>
      <c r="H513" s="339"/>
      <c r="I513" s="341"/>
      <c r="J513" s="339"/>
      <c r="K513" s="341"/>
      <c r="L513" s="341"/>
      <c r="M513" s="341"/>
      <c r="N513" s="341"/>
      <c r="O513" s="341"/>
      <c r="P513" s="339"/>
      <c r="Q513" s="339"/>
      <c r="R513" s="339"/>
      <c r="S513" s="339"/>
      <c r="T513" s="339"/>
      <c r="U513" s="339"/>
      <c r="V513" s="339"/>
      <c r="W513" s="339"/>
      <c r="X513" s="339"/>
      <c r="Y513" s="339"/>
      <c r="Z513" s="339"/>
    </row>
    <row r="514" spans="1:26" ht="15.75" customHeight="1">
      <c r="A514" s="339"/>
      <c r="B514" s="339"/>
      <c r="C514" s="339"/>
      <c r="D514" s="339"/>
      <c r="E514" s="339"/>
      <c r="F514" s="339"/>
      <c r="G514" s="339"/>
      <c r="H514" s="339"/>
      <c r="I514" s="341"/>
      <c r="J514" s="339"/>
      <c r="K514" s="341"/>
      <c r="L514" s="341"/>
      <c r="M514" s="341"/>
      <c r="N514" s="341"/>
      <c r="O514" s="341"/>
      <c r="P514" s="339"/>
      <c r="Q514" s="339"/>
      <c r="R514" s="339"/>
      <c r="S514" s="339"/>
      <c r="T514" s="339"/>
      <c r="U514" s="339"/>
      <c r="V514" s="339"/>
      <c r="W514" s="339"/>
      <c r="X514" s="339"/>
      <c r="Y514" s="339"/>
      <c r="Z514" s="339"/>
    </row>
    <row r="515" spans="1:26" ht="15.75" customHeight="1">
      <c r="A515" s="339"/>
      <c r="B515" s="339"/>
      <c r="C515" s="339"/>
      <c r="D515" s="339"/>
      <c r="E515" s="339"/>
      <c r="F515" s="339"/>
      <c r="G515" s="339"/>
      <c r="H515" s="339"/>
      <c r="I515" s="341"/>
      <c r="J515" s="339"/>
      <c r="K515" s="341"/>
      <c r="L515" s="341"/>
      <c r="M515" s="341"/>
      <c r="N515" s="341"/>
      <c r="O515" s="341"/>
      <c r="P515" s="339"/>
      <c r="Q515" s="339"/>
      <c r="R515" s="339"/>
      <c r="S515" s="339"/>
      <c r="T515" s="339"/>
      <c r="U515" s="339"/>
      <c r="V515" s="339"/>
      <c r="W515" s="339"/>
      <c r="X515" s="339"/>
      <c r="Y515" s="339"/>
      <c r="Z515" s="339"/>
    </row>
    <row r="516" spans="1:26" ht="15.75" customHeight="1">
      <c r="A516" s="339"/>
      <c r="B516" s="339"/>
      <c r="C516" s="339"/>
      <c r="D516" s="339"/>
      <c r="E516" s="339"/>
      <c r="F516" s="339"/>
      <c r="G516" s="339"/>
      <c r="H516" s="339"/>
      <c r="I516" s="341"/>
      <c r="J516" s="339"/>
      <c r="K516" s="341"/>
      <c r="L516" s="341"/>
      <c r="M516" s="341"/>
      <c r="N516" s="341"/>
      <c r="O516" s="341"/>
      <c r="P516" s="339"/>
      <c r="Q516" s="339"/>
      <c r="R516" s="339"/>
      <c r="S516" s="339"/>
      <c r="T516" s="339"/>
      <c r="U516" s="339"/>
      <c r="V516" s="339"/>
      <c r="W516" s="339"/>
      <c r="X516" s="339"/>
      <c r="Y516" s="339"/>
      <c r="Z516" s="339"/>
    </row>
    <row r="517" spans="1:26" ht="15.75" customHeight="1">
      <c r="A517" s="339"/>
      <c r="B517" s="339"/>
      <c r="C517" s="339"/>
      <c r="D517" s="339"/>
      <c r="E517" s="339"/>
      <c r="F517" s="339"/>
      <c r="G517" s="339"/>
      <c r="H517" s="339"/>
      <c r="I517" s="341"/>
      <c r="J517" s="339"/>
      <c r="K517" s="341"/>
      <c r="L517" s="341"/>
      <c r="M517" s="341"/>
      <c r="N517" s="341"/>
      <c r="O517" s="341"/>
      <c r="P517" s="339"/>
      <c r="Q517" s="339"/>
      <c r="R517" s="339"/>
      <c r="S517" s="339"/>
      <c r="T517" s="339"/>
      <c r="U517" s="339"/>
      <c r="V517" s="339"/>
      <c r="W517" s="339"/>
      <c r="X517" s="339"/>
      <c r="Y517" s="339"/>
      <c r="Z517" s="339"/>
    </row>
    <row r="518" spans="1:26" ht="15.75" customHeight="1">
      <c r="A518" s="339"/>
      <c r="B518" s="339"/>
      <c r="C518" s="339"/>
      <c r="D518" s="339"/>
      <c r="E518" s="339"/>
      <c r="F518" s="339"/>
      <c r="G518" s="339"/>
      <c r="H518" s="339"/>
      <c r="I518" s="341"/>
      <c r="J518" s="339"/>
      <c r="K518" s="341"/>
      <c r="L518" s="341"/>
      <c r="M518" s="341"/>
      <c r="N518" s="341"/>
      <c r="O518" s="341"/>
      <c r="P518" s="339"/>
      <c r="Q518" s="339"/>
      <c r="R518" s="339"/>
      <c r="S518" s="339"/>
      <c r="T518" s="339"/>
      <c r="U518" s="339"/>
      <c r="V518" s="339"/>
      <c r="W518" s="339"/>
      <c r="X518" s="339"/>
      <c r="Y518" s="339"/>
      <c r="Z518" s="339"/>
    </row>
    <row r="519" spans="1:26" ht="15.75" customHeight="1">
      <c r="A519" s="339"/>
      <c r="B519" s="339"/>
      <c r="C519" s="339"/>
      <c r="D519" s="339"/>
      <c r="E519" s="339"/>
      <c r="F519" s="339"/>
      <c r="G519" s="339"/>
      <c r="H519" s="339"/>
      <c r="I519" s="341"/>
      <c r="J519" s="339"/>
      <c r="K519" s="341"/>
      <c r="L519" s="341"/>
      <c r="M519" s="341"/>
      <c r="N519" s="341"/>
      <c r="O519" s="341"/>
      <c r="P519" s="339"/>
      <c r="Q519" s="339"/>
      <c r="R519" s="339"/>
      <c r="S519" s="339"/>
      <c r="T519" s="339"/>
      <c r="U519" s="339"/>
      <c r="V519" s="339"/>
      <c r="W519" s="339"/>
      <c r="X519" s="339"/>
      <c r="Y519" s="339"/>
      <c r="Z519" s="339"/>
    </row>
    <row r="520" spans="1:26" ht="15.75" customHeight="1">
      <c r="A520" s="339"/>
      <c r="B520" s="339"/>
      <c r="C520" s="339"/>
      <c r="D520" s="339"/>
      <c r="E520" s="339"/>
      <c r="F520" s="339"/>
      <c r="G520" s="339"/>
      <c r="H520" s="339"/>
      <c r="I520" s="341"/>
      <c r="J520" s="339"/>
      <c r="K520" s="341"/>
      <c r="L520" s="341"/>
      <c r="M520" s="341"/>
      <c r="N520" s="341"/>
      <c r="O520" s="341"/>
      <c r="P520" s="339"/>
      <c r="Q520" s="339"/>
      <c r="R520" s="339"/>
      <c r="S520" s="339"/>
      <c r="T520" s="339"/>
      <c r="U520" s="339"/>
      <c r="V520" s="339"/>
      <c r="W520" s="339"/>
      <c r="X520" s="339"/>
      <c r="Y520" s="339"/>
      <c r="Z520" s="339"/>
    </row>
    <row r="521" spans="1:26" ht="15.75" customHeight="1">
      <c r="A521" s="339"/>
      <c r="B521" s="339"/>
      <c r="C521" s="339"/>
      <c r="D521" s="339"/>
      <c r="E521" s="339"/>
      <c r="F521" s="339"/>
      <c r="G521" s="339"/>
      <c r="H521" s="339"/>
      <c r="I521" s="341"/>
      <c r="J521" s="339"/>
      <c r="K521" s="341"/>
      <c r="L521" s="341"/>
      <c r="M521" s="341"/>
      <c r="N521" s="341"/>
      <c r="O521" s="341"/>
      <c r="P521" s="339"/>
      <c r="Q521" s="339"/>
      <c r="R521" s="339"/>
      <c r="S521" s="339"/>
      <c r="T521" s="339"/>
      <c r="U521" s="339"/>
      <c r="V521" s="339"/>
      <c r="W521" s="339"/>
      <c r="X521" s="339"/>
      <c r="Y521" s="339"/>
      <c r="Z521" s="339"/>
    </row>
    <row r="522" spans="1:26" ht="15.75" customHeight="1">
      <c r="A522" s="339"/>
      <c r="B522" s="339"/>
      <c r="C522" s="339"/>
      <c r="D522" s="339"/>
      <c r="E522" s="339"/>
      <c r="F522" s="339"/>
      <c r="G522" s="339"/>
      <c r="H522" s="339"/>
      <c r="I522" s="341"/>
      <c r="J522" s="339"/>
      <c r="K522" s="341"/>
      <c r="L522" s="341"/>
      <c r="M522" s="341"/>
      <c r="N522" s="341"/>
      <c r="O522" s="341"/>
      <c r="P522" s="339"/>
      <c r="Q522" s="339"/>
      <c r="R522" s="339"/>
      <c r="S522" s="339"/>
      <c r="T522" s="339"/>
      <c r="U522" s="339"/>
      <c r="V522" s="339"/>
      <c r="W522" s="339"/>
      <c r="X522" s="339"/>
      <c r="Y522" s="339"/>
      <c r="Z522" s="339"/>
    </row>
    <row r="523" spans="1:26" ht="15.75" customHeight="1">
      <c r="A523" s="339"/>
      <c r="B523" s="339"/>
      <c r="C523" s="339"/>
      <c r="D523" s="339"/>
      <c r="E523" s="339"/>
      <c r="F523" s="339"/>
      <c r="G523" s="339"/>
      <c r="H523" s="339"/>
      <c r="I523" s="341"/>
      <c r="J523" s="339"/>
      <c r="K523" s="341"/>
      <c r="L523" s="341"/>
      <c r="M523" s="341"/>
      <c r="N523" s="341"/>
      <c r="O523" s="341"/>
      <c r="P523" s="339"/>
      <c r="Q523" s="339"/>
      <c r="R523" s="339"/>
      <c r="S523" s="339"/>
      <c r="T523" s="339"/>
      <c r="U523" s="339"/>
      <c r="V523" s="339"/>
      <c r="W523" s="339"/>
      <c r="X523" s="339"/>
      <c r="Y523" s="339"/>
      <c r="Z523" s="339"/>
    </row>
    <row r="524" spans="1:26" ht="15.75" customHeight="1">
      <c r="A524" s="339"/>
      <c r="B524" s="339"/>
      <c r="C524" s="339"/>
      <c r="D524" s="339"/>
      <c r="E524" s="339"/>
      <c r="F524" s="339"/>
      <c r="G524" s="339"/>
      <c r="H524" s="339"/>
      <c r="I524" s="341"/>
      <c r="J524" s="339"/>
      <c r="K524" s="341"/>
      <c r="L524" s="341"/>
      <c r="M524" s="341"/>
      <c r="N524" s="341"/>
      <c r="O524" s="341"/>
      <c r="P524" s="339"/>
      <c r="Q524" s="339"/>
      <c r="R524" s="339"/>
      <c r="S524" s="339"/>
      <c r="T524" s="339"/>
      <c r="U524" s="339"/>
      <c r="V524" s="339"/>
      <c r="W524" s="339"/>
      <c r="X524" s="339"/>
      <c r="Y524" s="339"/>
      <c r="Z524" s="339"/>
    </row>
    <row r="525" spans="1:26" ht="15.75" customHeight="1">
      <c r="A525" s="339"/>
      <c r="B525" s="339"/>
      <c r="C525" s="339"/>
      <c r="D525" s="339"/>
      <c r="E525" s="339"/>
      <c r="F525" s="339"/>
      <c r="G525" s="339"/>
      <c r="H525" s="339"/>
      <c r="I525" s="341"/>
      <c r="J525" s="339"/>
      <c r="K525" s="341"/>
      <c r="L525" s="341"/>
      <c r="M525" s="341"/>
      <c r="N525" s="341"/>
      <c r="O525" s="341"/>
      <c r="P525" s="339"/>
      <c r="Q525" s="339"/>
      <c r="R525" s="339"/>
      <c r="S525" s="339"/>
      <c r="T525" s="339"/>
      <c r="U525" s="339"/>
      <c r="V525" s="339"/>
      <c r="W525" s="339"/>
      <c r="X525" s="339"/>
      <c r="Y525" s="339"/>
      <c r="Z525" s="339"/>
    </row>
    <row r="526" spans="1:26" ht="15.75" customHeight="1">
      <c r="A526" s="339"/>
      <c r="B526" s="339"/>
      <c r="C526" s="339"/>
      <c r="D526" s="339"/>
      <c r="E526" s="339"/>
      <c r="F526" s="339"/>
      <c r="G526" s="339"/>
      <c r="H526" s="339"/>
      <c r="I526" s="341"/>
      <c r="J526" s="339"/>
      <c r="K526" s="341"/>
      <c r="L526" s="341"/>
      <c r="M526" s="341"/>
      <c r="N526" s="341"/>
      <c r="O526" s="341"/>
      <c r="P526" s="339"/>
      <c r="Q526" s="339"/>
      <c r="R526" s="339"/>
      <c r="S526" s="339"/>
      <c r="T526" s="339"/>
      <c r="U526" s="339"/>
      <c r="V526" s="339"/>
      <c r="W526" s="339"/>
      <c r="X526" s="339"/>
      <c r="Y526" s="339"/>
      <c r="Z526" s="339"/>
    </row>
    <row r="527" spans="1:26" ht="15.75" customHeight="1">
      <c r="A527" s="339"/>
      <c r="B527" s="339"/>
      <c r="C527" s="339"/>
      <c r="D527" s="339"/>
      <c r="E527" s="339"/>
      <c r="F527" s="339"/>
      <c r="G527" s="339"/>
      <c r="H527" s="339"/>
      <c r="I527" s="341"/>
      <c r="J527" s="339"/>
      <c r="K527" s="341"/>
      <c r="L527" s="341"/>
      <c r="M527" s="341"/>
      <c r="N527" s="341"/>
      <c r="O527" s="341"/>
      <c r="P527" s="339"/>
      <c r="Q527" s="339"/>
      <c r="R527" s="339"/>
      <c r="S527" s="339"/>
      <c r="T527" s="339"/>
      <c r="U527" s="339"/>
      <c r="V527" s="339"/>
      <c r="W527" s="339"/>
      <c r="X527" s="339"/>
      <c r="Y527" s="339"/>
      <c r="Z527" s="339"/>
    </row>
    <row r="528" spans="1:26" ht="15.75" customHeight="1">
      <c r="A528" s="339"/>
      <c r="B528" s="339"/>
      <c r="C528" s="339"/>
      <c r="D528" s="339"/>
      <c r="E528" s="339"/>
      <c r="F528" s="339"/>
      <c r="G528" s="339"/>
      <c r="H528" s="339"/>
      <c r="I528" s="341"/>
      <c r="J528" s="339"/>
      <c r="K528" s="341"/>
      <c r="L528" s="341"/>
      <c r="M528" s="341"/>
      <c r="N528" s="341"/>
      <c r="O528" s="341"/>
      <c r="P528" s="339"/>
      <c r="Q528" s="339"/>
      <c r="R528" s="339"/>
      <c r="S528" s="339"/>
      <c r="T528" s="339"/>
      <c r="U528" s="339"/>
      <c r="V528" s="339"/>
      <c r="W528" s="339"/>
      <c r="X528" s="339"/>
      <c r="Y528" s="339"/>
      <c r="Z528" s="339"/>
    </row>
    <row r="529" spans="1:26" ht="15.75" customHeight="1">
      <c r="A529" s="339"/>
      <c r="B529" s="339"/>
      <c r="C529" s="339"/>
      <c r="D529" s="339"/>
      <c r="E529" s="339"/>
      <c r="F529" s="339"/>
      <c r="G529" s="339"/>
      <c r="H529" s="339"/>
      <c r="I529" s="341"/>
      <c r="J529" s="339"/>
      <c r="K529" s="341"/>
      <c r="L529" s="341"/>
      <c r="M529" s="341"/>
      <c r="N529" s="341"/>
      <c r="O529" s="341"/>
      <c r="P529" s="339"/>
      <c r="Q529" s="339"/>
      <c r="R529" s="339"/>
      <c r="S529" s="339"/>
      <c r="T529" s="339"/>
      <c r="U529" s="339"/>
      <c r="V529" s="339"/>
      <c r="W529" s="339"/>
      <c r="X529" s="339"/>
      <c r="Y529" s="339"/>
      <c r="Z529" s="339"/>
    </row>
    <row r="530" spans="1:26" ht="15.75" customHeight="1">
      <c r="A530" s="339"/>
      <c r="B530" s="339"/>
      <c r="C530" s="339"/>
      <c r="D530" s="339"/>
      <c r="E530" s="339"/>
      <c r="F530" s="339"/>
      <c r="G530" s="339"/>
      <c r="H530" s="339"/>
      <c r="I530" s="341"/>
      <c r="J530" s="339"/>
      <c r="K530" s="341"/>
      <c r="L530" s="341"/>
      <c r="M530" s="341"/>
      <c r="N530" s="341"/>
      <c r="O530" s="341"/>
      <c r="P530" s="339"/>
      <c r="Q530" s="339"/>
      <c r="R530" s="339"/>
      <c r="S530" s="339"/>
      <c r="T530" s="339"/>
      <c r="U530" s="339"/>
      <c r="V530" s="339"/>
      <c r="W530" s="339"/>
      <c r="X530" s="339"/>
      <c r="Y530" s="339"/>
      <c r="Z530" s="339"/>
    </row>
    <row r="531" spans="1:26" ht="15.75" customHeight="1">
      <c r="A531" s="339"/>
      <c r="B531" s="339"/>
      <c r="C531" s="339"/>
      <c r="D531" s="339"/>
      <c r="E531" s="339"/>
      <c r="F531" s="339"/>
      <c r="G531" s="339"/>
      <c r="H531" s="339"/>
      <c r="I531" s="341"/>
      <c r="J531" s="339"/>
      <c r="K531" s="341"/>
      <c r="L531" s="341"/>
      <c r="M531" s="341"/>
      <c r="N531" s="341"/>
      <c r="O531" s="341"/>
      <c r="P531" s="339"/>
      <c r="Q531" s="339"/>
      <c r="R531" s="339"/>
      <c r="S531" s="339"/>
      <c r="T531" s="339"/>
      <c r="U531" s="339"/>
      <c r="V531" s="339"/>
      <c r="W531" s="339"/>
      <c r="X531" s="339"/>
      <c r="Y531" s="339"/>
      <c r="Z531" s="339"/>
    </row>
    <row r="532" spans="1:26" ht="15.75" customHeight="1">
      <c r="A532" s="339"/>
      <c r="B532" s="339"/>
      <c r="C532" s="339"/>
      <c r="D532" s="339"/>
      <c r="E532" s="339"/>
      <c r="F532" s="339"/>
      <c r="G532" s="339"/>
      <c r="H532" s="339"/>
      <c r="I532" s="341"/>
      <c r="J532" s="339"/>
      <c r="K532" s="341"/>
      <c r="L532" s="341"/>
      <c r="M532" s="341"/>
      <c r="N532" s="341"/>
      <c r="O532" s="341"/>
      <c r="P532" s="339"/>
      <c r="Q532" s="339"/>
      <c r="R532" s="339"/>
      <c r="S532" s="339"/>
      <c r="T532" s="339"/>
      <c r="U532" s="339"/>
      <c r="V532" s="339"/>
      <c r="W532" s="339"/>
      <c r="X532" s="339"/>
      <c r="Y532" s="339"/>
      <c r="Z532" s="339"/>
    </row>
    <row r="533" spans="1:26" ht="15.75" customHeight="1">
      <c r="A533" s="339"/>
      <c r="B533" s="339"/>
      <c r="C533" s="339"/>
      <c r="D533" s="339"/>
      <c r="E533" s="339"/>
      <c r="F533" s="339"/>
      <c r="G533" s="339"/>
      <c r="H533" s="339"/>
      <c r="I533" s="341"/>
      <c r="J533" s="339"/>
      <c r="K533" s="341"/>
      <c r="L533" s="341"/>
      <c r="M533" s="341"/>
      <c r="N533" s="341"/>
      <c r="O533" s="341"/>
      <c r="P533" s="339"/>
      <c r="Q533" s="339"/>
      <c r="R533" s="339"/>
      <c r="S533" s="339"/>
      <c r="T533" s="339"/>
      <c r="U533" s="339"/>
      <c r="V533" s="339"/>
      <c r="W533" s="339"/>
      <c r="X533" s="339"/>
      <c r="Y533" s="339"/>
      <c r="Z533" s="339"/>
    </row>
    <row r="534" spans="1:26" ht="15.75" customHeight="1">
      <c r="A534" s="339"/>
      <c r="B534" s="339"/>
      <c r="C534" s="339"/>
      <c r="D534" s="339"/>
      <c r="E534" s="339"/>
      <c r="F534" s="339"/>
      <c r="G534" s="339"/>
      <c r="H534" s="339"/>
      <c r="I534" s="341"/>
      <c r="J534" s="339"/>
      <c r="K534" s="341"/>
      <c r="L534" s="341"/>
      <c r="M534" s="341"/>
      <c r="N534" s="341"/>
      <c r="O534" s="341"/>
      <c r="P534" s="339"/>
      <c r="Q534" s="339"/>
      <c r="R534" s="339"/>
      <c r="S534" s="339"/>
      <c r="T534" s="339"/>
      <c r="U534" s="339"/>
      <c r="V534" s="339"/>
      <c r="W534" s="339"/>
      <c r="X534" s="339"/>
      <c r="Y534" s="339"/>
      <c r="Z534" s="339"/>
    </row>
    <row r="535" spans="1:26" ht="15.75" customHeight="1">
      <c r="A535" s="339"/>
      <c r="B535" s="339"/>
      <c r="C535" s="339"/>
      <c r="D535" s="339"/>
      <c r="E535" s="339"/>
      <c r="F535" s="339"/>
      <c r="G535" s="339"/>
      <c r="H535" s="339"/>
      <c r="I535" s="341"/>
      <c r="J535" s="339"/>
      <c r="K535" s="341"/>
      <c r="L535" s="341"/>
      <c r="M535" s="341"/>
      <c r="N535" s="341"/>
      <c r="O535" s="341"/>
      <c r="P535" s="339"/>
      <c r="Q535" s="339"/>
      <c r="R535" s="339"/>
      <c r="S535" s="339"/>
      <c r="T535" s="339"/>
      <c r="U535" s="339"/>
      <c r="V535" s="339"/>
      <c r="W535" s="339"/>
      <c r="X535" s="339"/>
      <c r="Y535" s="339"/>
      <c r="Z535" s="339"/>
    </row>
    <row r="536" spans="1:26" ht="15.75" customHeight="1">
      <c r="A536" s="339"/>
      <c r="B536" s="339"/>
      <c r="C536" s="339"/>
      <c r="D536" s="339"/>
      <c r="E536" s="339"/>
      <c r="F536" s="339"/>
      <c r="G536" s="339"/>
      <c r="H536" s="339"/>
      <c r="I536" s="341"/>
      <c r="J536" s="339"/>
      <c r="K536" s="341"/>
      <c r="L536" s="341"/>
      <c r="M536" s="341"/>
      <c r="N536" s="341"/>
      <c r="O536" s="341"/>
      <c r="P536" s="339"/>
      <c r="Q536" s="339"/>
      <c r="R536" s="339"/>
      <c r="S536" s="339"/>
      <c r="T536" s="339"/>
      <c r="U536" s="339"/>
      <c r="V536" s="339"/>
      <c r="W536" s="339"/>
      <c r="X536" s="339"/>
      <c r="Y536" s="339"/>
      <c r="Z536" s="339"/>
    </row>
    <row r="537" spans="1:26" ht="15.75" customHeight="1">
      <c r="A537" s="339"/>
      <c r="B537" s="339"/>
      <c r="C537" s="339"/>
      <c r="D537" s="339"/>
      <c r="E537" s="339"/>
      <c r="F537" s="339"/>
      <c r="G537" s="339"/>
      <c r="H537" s="339"/>
      <c r="I537" s="341"/>
      <c r="J537" s="339"/>
      <c r="K537" s="341"/>
      <c r="L537" s="341"/>
      <c r="M537" s="341"/>
      <c r="N537" s="341"/>
      <c r="O537" s="341"/>
      <c r="P537" s="339"/>
      <c r="Q537" s="339"/>
      <c r="R537" s="339"/>
      <c r="S537" s="339"/>
      <c r="T537" s="339"/>
      <c r="U537" s="339"/>
      <c r="V537" s="339"/>
      <c r="W537" s="339"/>
      <c r="X537" s="339"/>
      <c r="Y537" s="339"/>
      <c r="Z537" s="339"/>
    </row>
    <row r="538" spans="1:26" ht="15.75" customHeight="1">
      <c r="A538" s="339"/>
      <c r="B538" s="339"/>
      <c r="C538" s="339"/>
      <c r="D538" s="339"/>
      <c r="E538" s="339"/>
      <c r="F538" s="339"/>
      <c r="G538" s="339"/>
      <c r="H538" s="339"/>
      <c r="I538" s="341"/>
      <c r="J538" s="339"/>
      <c r="K538" s="341"/>
      <c r="L538" s="341"/>
      <c r="M538" s="341"/>
      <c r="N538" s="341"/>
      <c r="O538" s="341"/>
      <c r="P538" s="339"/>
      <c r="Q538" s="339"/>
      <c r="R538" s="339"/>
      <c r="S538" s="339"/>
      <c r="T538" s="339"/>
      <c r="U538" s="339"/>
      <c r="V538" s="339"/>
      <c r="W538" s="339"/>
      <c r="X538" s="339"/>
      <c r="Y538" s="339"/>
      <c r="Z538" s="339"/>
    </row>
    <row r="539" spans="1:26" ht="15.75" customHeight="1">
      <c r="A539" s="339"/>
      <c r="B539" s="339"/>
      <c r="C539" s="339"/>
      <c r="D539" s="339"/>
      <c r="E539" s="339"/>
      <c r="F539" s="339"/>
      <c r="G539" s="339"/>
      <c r="H539" s="339"/>
      <c r="I539" s="341"/>
      <c r="J539" s="339"/>
      <c r="K539" s="341"/>
      <c r="L539" s="341"/>
      <c r="M539" s="341"/>
      <c r="N539" s="341"/>
      <c r="O539" s="341"/>
      <c r="P539" s="339"/>
      <c r="Q539" s="339"/>
      <c r="R539" s="339"/>
      <c r="S539" s="339"/>
      <c r="T539" s="339"/>
      <c r="U539" s="339"/>
      <c r="V539" s="339"/>
      <c r="W539" s="339"/>
      <c r="X539" s="339"/>
      <c r="Y539" s="339"/>
      <c r="Z539" s="339"/>
    </row>
    <row r="540" spans="1:26" ht="15.75" customHeight="1">
      <c r="A540" s="339"/>
      <c r="B540" s="339"/>
      <c r="C540" s="339"/>
      <c r="D540" s="339"/>
      <c r="E540" s="339"/>
      <c r="F540" s="339"/>
      <c r="G540" s="339"/>
      <c r="H540" s="339"/>
      <c r="I540" s="341"/>
      <c r="J540" s="339"/>
      <c r="K540" s="341"/>
      <c r="L540" s="341"/>
      <c r="M540" s="341"/>
      <c r="N540" s="341"/>
      <c r="O540" s="341"/>
      <c r="P540" s="339"/>
      <c r="Q540" s="339"/>
      <c r="R540" s="339"/>
      <c r="S540" s="339"/>
      <c r="T540" s="339"/>
      <c r="U540" s="339"/>
      <c r="V540" s="339"/>
      <c r="W540" s="339"/>
      <c r="X540" s="339"/>
      <c r="Y540" s="339"/>
      <c r="Z540" s="339"/>
    </row>
    <row r="541" spans="1:26" ht="15.75" customHeight="1">
      <c r="A541" s="339"/>
      <c r="B541" s="339"/>
      <c r="C541" s="339"/>
      <c r="D541" s="339"/>
      <c r="E541" s="339"/>
      <c r="F541" s="339"/>
      <c r="G541" s="339"/>
      <c r="H541" s="339"/>
      <c r="I541" s="341"/>
      <c r="J541" s="339"/>
      <c r="K541" s="341"/>
      <c r="L541" s="341"/>
      <c r="M541" s="341"/>
      <c r="N541" s="341"/>
      <c r="O541" s="341"/>
      <c r="P541" s="339"/>
      <c r="Q541" s="339"/>
      <c r="R541" s="339"/>
      <c r="S541" s="339"/>
      <c r="T541" s="339"/>
      <c r="U541" s="339"/>
      <c r="V541" s="339"/>
      <c r="W541" s="339"/>
      <c r="X541" s="339"/>
      <c r="Y541" s="339"/>
      <c r="Z541" s="339"/>
    </row>
    <row r="542" spans="1:26" ht="15.75" customHeight="1">
      <c r="A542" s="339"/>
      <c r="B542" s="339"/>
      <c r="C542" s="339"/>
      <c r="D542" s="339"/>
      <c r="E542" s="339"/>
      <c r="F542" s="339"/>
      <c r="G542" s="339"/>
      <c r="H542" s="339"/>
      <c r="I542" s="341"/>
      <c r="J542" s="339"/>
      <c r="K542" s="341"/>
      <c r="L542" s="341"/>
      <c r="M542" s="341"/>
      <c r="N542" s="341"/>
      <c r="O542" s="341"/>
      <c r="P542" s="339"/>
      <c r="Q542" s="339"/>
      <c r="R542" s="339"/>
      <c r="S542" s="339"/>
      <c r="T542" s="339"/>
      <c r="U542" s="339"/>
      <c r="V542" s="339"/>
      <c r="W542" s="339"/>
      <c r="X542" s="339"/>
      <c r="Y542" s="339"/>
      <c r="Z542" s="339"/>
    </row>
    <row r="543" spans="1:26" ht="15.75" customHeight="1">
      <c r="A543" s="339"/>
      <c r="B543" s="339"/>
      <c r="C543" s="339"/>
      <c r="D543" s="339"/>
      <c r="E543" s="339"/>
      <c r="F543" s="339"/>
      <c r="G543" s="339"/>
      <c r="H543" s="339"/>
      <c r="I543" s="341"/>
      <c r="J543" s="339"/>
      <c r="K543" s="341"/>
      <c r="L543" s="341"/>
      <c r="M543" s="341"/>
      <c r="N543" s="341"/>
      <c r="O543" s="341"/>
      <c r="P543" s="339"/>
      <c r="Q543" s="339"/>
      <c r="R543" s="339"/>
      <c r="S543" s="339"/>
      <c r="T543" s="339"/>
      <c r="U543" s="339"/>
      <c r="V543" s="339"/>
      <c r="W543" s="339"/>
      <c r="X543" s="339"/>
      <c r="Y543" s="339"/>
      <c r="Z543" s="339"/>
    </row>
    <row r="544" spans="1:26" ht="15.75" customHeight="1">
      <c r="A544" s="339"/>
      <c r="B544" s="339"/>
      <c r="C544" s="339"/>
      <c r="D544" s="339"/>
      <c r="E544" s="339"/>
      <c r="F544" s="339"/>
      <c r="G544" s="339"/>
      <c r="H544" s="339"/>
      <c r="I544" s="341"/>
      <c r="J544" s="339"/>
      <c r="K544" s="341"/>
      <c r="L544" s="341"/>
      <c r="M544" s="341"/>
      <c r="N544" s="341"/>
      <c r="O544" s="341"/>
      <c r="P544" s="339"/>
      <c r="Q544" s="339"/>
      <c r="R544" s="339"/>
      <c r="S544" s="339"/>
      <c r="T544" s="339"/>
      <c r="U544" s="339"/>
      <c r="V544" s="339"/>
      <c r="W544" s="339"/>
      <c r="X544" s="339"/>
      <c r="Y544" s="339"/>
      <c r="Z544" s="339"/>
    </row>
    <row r="545" spans="1:26" ht="15.75" customHeight="1">
      <c r="A545" s="339"/>
      <c r="B545" s="339"/>
      <c r="C545" s="339"/>
      <c r="D545" s="339"/>
      <c r="E545" s="339"/>
      <c r="F545" s="339"/>
      <c r="G545" s="339"/>
      <c r="H545" s="339"/>
      <c r="I545" s="341"/>
      <c r="J545" s="339"/>
      <c r="K545" s="341"/>
      <c r="L545" s="341"/>
      <c r="M545" s="341"/>
      <c r="N545" s="341"/>
      <c r="O545" s="341"/>
      <c r="P545" s="339"/>
      <c r="Q545" s="339"/>
      <c r="R545" s="339"/>
      <c r="S545" s="339"/>
      <c r="T545" s="339"/>
      <c r="U545" s="339"/>
      <c r="V545" s="339"/>
      <c r="W545" s="339"/>
      <c r="X545" s="339"/>
      <c r="Y545" s="339"/>
      <c r="Z545" s="339"/>
    </row>
    <row r="546" spans="1:26" ht="15.75" customHeight="1">
      <c r="A546" s="339"/>
      <c r="B546" s="339"/>
      <c r="C546" s="339"/>
      <c r="D546" s="339"/>
      <c r="E546" s="339"/>
      <c r="F546" s="339"/>
      <c r="G546" s="339"/>
      <c r="H546" s="339"/>
      <c r="I546" s="341"/>
      <c r="J546" s="339"/>
      <c r="K546" s="341"/>
      <c r="L546" s="341"/>
      <c r="M546" s="341"/>
      <c r="N546" s="341"/>
      <c r="O546" s="341"/>
      <c r="P546" s="339"/>
      <c r="Q546" s="339"/>
      <c r="R546" s="339"/>
      <c r="S546" s="339"/>
      <c r="T546" s="339"/>
      <c r="U546" s="339"/>
      <c r="V546" s="339"/>
      <c r="W546" s="339"/>
      <c r="X546" s="339"/>
      <c r="Y546" s="339"/>
      <c r="Z546" s="339"/>
    </row>
    <row r="547" spans="1:26" ht="15.75" customHeight="1">
      <c r="A547" s="339"/>
      <c r="B547" s="339"/>
      <c r="C547" s="339"/>
      <c r="D547" s="339"/>
      <c r="E547" s="339"/>
      <c r="F547" s="339"/>
      <c r="G547" s="339"/>
      <c r="H547" s="339"/>
      <c r="I547" s="341"/>
      <c r="J547" s="339"/>
      <c r="K547" s="341"/>
      <c r="L547" s="341"/>
      <c r="M547" s="341"/>
      <c r="N547" s="341"/>
      <c r="O547" s="341"/>
      <c r="P547" s="339"/>
      <c r="Q547" s="339"/>
      <c r="R547" s="339"/>
      <c r="S547" s="339"/>
      <c r="T547" s="339"/>
      <c r="U547" s="339"/>
      <c r="V547" s="339"/>
      <c r="W547" s="339"/>
      <c r="X547" s="339"/>
      <c r="Y547" s="339"/>
      <c r="Z547" s="339"/>
    </row>
    <row r="548" spans="1:26" ht="15.75" customHeight="1">
      <c r="A548" s="339"/>
      <c r="B548" s="339"/>
      <c r="C548" s="339"/>
      <c r="D548" s="339"/>
      <c r="E548" s="339"/>
      <c r="F548" s="339"/>
      <c r="G548" s="339"/>
      <c r="H548" s="339"/>
      <c r="I548" s="341"/>
      <c r="J548" s="339"/>
      <c r="K548" s="341"/>
      <c r="L548" s="341"/>
      <c r="M548" s="341"/>
      <c r="N548" s="341"/>
      <c r="O548" s="341"/>
      <c r="P548" s="339"/>
      <c r="Q548" s="339"/>
      <c r="R548" s="339"/>
      <c r="S548" s="339"/>
      <c r="T548" s="339"/>
      <c r="U548" s="339"/>
      <c r="V548" s="339"/>
      <c r="W548" s="339"/>
      <c r="X548" s="339"/>
      <c r="Y548" s="339"/>
      <c r="Z548" s="339"/>
    </row>
    <row r="549" spans="1:26" ht="15.75" customHeight="1">
      <c r="A549" s="339"/>
      <c r="B549" s="339"/>
      <c r="C549" s="339"/>
      <c r="D549" s="339"/>
      <c r="E549" s="339"/>
      <c r="F549" s="339"/>
      <c r="G549" s="339"/>
      <c r="H549" s="339"/>
      <c r="I549" s="341"/>
      <c r="J549" s="339"/>
      <c r="K549" s="341"/>
      <c r="L549" s="341"/>
      <c r="M549" s="341"/>
      <c r="N549" s="341"/>
      <c r="O549" s="341"/>
      <c r="P549" s="339"/>
      <c r="Q549" s="339"/>
      <c r="R549" s="339"/>
      <c r="S549" s="339"/>
      <c r="T549" s="339"/>
      <c r="U549" s="339"/>
      <c r="V549" s="339"/>
      <c r="W549" s="339"/>
      <c r="X549" s="339"/>
      <c r="Y549" s="339"/>
      <c r="Z549" s="339"/>
    </row>
    <row r="550" spans="1:26" ht="15.75" customHeight="1">
      <c r="A550" s="339"/>
      <c r="B550" s="339"/>
      <c r="C550" s="339"/>
      <c r="D550" s="339"/>
      <c r="E550" s="339"/>
      <c r="F550" s="339"/>
      <c r="G550" s="339"/>
      <c r="H550" s="339"/>
      <c r="I550" s="341"/>
      <c r="J550" s="339"/>
      <c r="K550" s="341"/>
      <c r="L550" s="341"/>
      <c r="M550" s="341"/>
      <c r="N550" s="341"/>
      <c r="O550" s="341"/>
      <c r="P550" s="339"/>
      <c r="Q550" s="339"/>
      <c r="R550" s="339"/>
      <c r="S550" s="339"/>
      <c r="T550" s="339"/>
      <c r="U550" s="339"/>
      <c r="V550" s="339"/>
      <c r="W550" s="339"/>
      <c r="X550" s="339"/>
      <c r="Y550" s="339"/>
      <c r="Z550" s="339"/>
    </row>
    <row r="551" spans="1:26" ht="15.75" customHeight="1">
      <c r="A551" s="339"/>
      <c r="B551" s="339"/>
      <c r="C551" s="339"/>
      <c r="D551" s="339"/>
      <c r="E551" s="339"/>
      <c r="F551" s="339"/>
      <c r="G551" s="339"/>
      <c r="H551" s="339"/>
      <c r="I551" s="341"/>
      <c r="J551" s="339"/>
      <c r="K551" s="341"/>
      <c r="L551" s="341"/>
      <c r="M551" s="341"/>
      <c r="N551" s="341"/>
      <c r="O551" s="341"/>
      <c r="P551" s="339"/>
      <c r="Q551" s="339"/>
      <c r="R551" s="339"/>
      <c r="S551" s="339"/>
      <c r="T551" s="339"/>
      <c r="U551" s="339"/>
      <c r="V551" s="339"/>
      <c r="W551" s="339"/>
      <c r="X551" s="339"/>
      <c r="Y551" s="339"/>
      <c r="Z551" s="339"/>
    </row>
    <row r="552" spans="1:26" ht="15.75" customHeight="1">
      <c r="A552" s="339"/>
      <c r="B552" s="339"/>
      <c r="C552" s="339"/>
      <c r="D552" s="339"/>
      <c r="E552" s="339"/>
      <c r="F552" s="339"/>
      <c r="G552" s="339"/>
      <c r="H552" s="339"/>
      <c r="I552" s="341"/>
      <c r="J552" s="339"/>
      <c r="K552" s="341"/>
      <c r="L552" s="341"/>
      <c r="M552" s="341"/>
      <c r="N552" s="341"/>
      <c r="O552" s="341"/>
      <c r="P552" s="339"/>
      <c r="Q552" s="339"/>
      <c r="R552" s="339"/>
      <c r="S552" s="339"/>
      <c r="T552" s="339"/>
      <c r="U552" s="339"/>
      <c r="V552" s="339"/>
      <c r="W552" s="339"/>
      <c r="X552" s="339"/>
      <c r="Y552" s="339"/>
      <c r="Z552" s="339"/>
    </row>
    <row r="553" spans="1:26" ht="15.75" customHeight="1">
      <c r="A553" s="339"/>
      <c r="B553" s="339"/>
      <c r="C553" s="339"/>
      <c r="D553" s="339"/>
      <c r="E553" s="339"/>
      <c r="F553" s="339"/>
      <c r="G553" s="339"/>
      <c r="H553" s="339"/>
      <c r="I553" s="341"/>
      <c r="J553" s="339"/>
      <c r="K553" s="341"/>
      <c r="L553" s="341"/>
      <c r="M553" s="341"/>
      <c r="N553" s="341"/>
      <c r="O553" s="341"/>
      <c r="P553" s="339"/>
      <c r="Q553" s="339"/>
      <c r="R553" s="339"/>
      <c r="S553" s="339"/>
      <c r="T553" s="339"/>
      <c r="U553" s="339"/>
      <c r="V553" s="339"/>
      <c r="W553" s="339"/>
      <c r="X553" s="339"/>
      <c r="Y553" s="339"/>
      <c r="Z553" s="339"/>
    </row>
    <row r="554" spans="1:26" ht="15.75" customHeight="1">
      <c r="A554" s="339"/>
      <c r="B554" s="339"/>
      <c r="C554" s="339"/>
      <c r="D554" s="339"/>
      <c r="E554" s="339"/>
      <c r="F554" s="339"/>
      <c r="G554" s="339"/>
      <c r="H554" s="339"/>
      <c r="I554" s="341"/>
      <c r="J554" s="339"/>
      <c r="K554" s="341"/>
      <c r="L554" s="341"/>
      <c r="M554" s="341"/>
      <c r="N554" s="341"/>
      <c r="O554" s="341"/>
      <c r="P554" s="339"/>
      <c r="Q554" s="339"/>
      <c r="R554" s="339"/>
      <c r="S554" s="339"/>
      <c r="T554" s="339"/>
      <c r="U554" s="339"/>
      <c r="V554" s="339"/>
      <c r="W554" s="339"/>
      <c r="X554" s="339"/>
      <c r="Y554" s="339"/>
      <c r="Z554" s="339"/>
    </row>
    <row r="555" spans="1:26" ht="15.75" customHeight="1">
      <c r="A555" s="339"/>
      <c r="B555" s="339"/>
      <c r="C555" s="339"/>
      <c r="D555" s="339"/>
      <c r="E555" s="339"/>
      <c r="F555" s="339"/>
      <c r="G555" s="339"/>
      <c r="H555" s="339"/>
      <c r="I555" s="341"/>
      <c r="J555" s="339"/>
      <c r="K555" s="341"/>
      <c r="L555" s="341"/>
      <c r="M555" s="341"/>
      <c r="N555" s="341"/>
      <c r="O555" s="341"/>
      <c r="P555" s="339"/>
      <c r="Q555" s="339"/>
      <c r="R555" s="339"/>
      <c r="S555" s="339"/>
      <c r="T555" s="339"/>
      <c r="U555" s="339"/>
      <c r="V555" s="339"/>
      <c r="W555" s="339"/>
      <c r="X555" s="339"/>
      <c r="Y555" s="339"/>
      <c r="Z555" s="339"/>
    </row>
    <row r="556" spans="1:26" ht="15.75" customHeight="1">
      <c r="A556" s="339"/>
      <c r="B556" s="339"/>
      <c r="C556" s="339"/>
      <c r="D556" s="339"/>
      <c r="E556" s="339"/>
      <c r="F556" s="339"/>
      <c r="G556" s="339"/>
      <c r="H556" s="339"/>
      <c r="I556" s="341"/>
      <c r="J556" s="339"/>
      <c r="K556" s="341"/>
      <c r="L556" s="341"/>
      <c r="M556" s="341"/>
      <c r="N556" s="341"/>
      <c r="O556" s="341"/>
      <c r="P556" s="339"/>
      <c r="Q556" s="339"/>
      <c r="R556" s="339"/>
      <c r="S556" s="339"/>
      <c r="T556" s="339"/>
      <c r="U556" s="339"/>
      <c r="V556" s="339"/>
      <c r="W556" s="339"/>
      <c r="X556" s="339"/>
      <c r="Y556" s="339"/>
      <c r="Z556" s="339"/>
    </row>
    <row r="557" spans="1:26" ht="15.75" customHeight="1">
      <c r="A557" s="339"/>
      <c r="B557" s="339"/>
      <c r="C557" s="339"/>
      <c r="D557" s="339"/>
      <c r="E557" s="339"/>
      <c r="F557" s="339"/>
      <c r="G557" s="339"/>
      <c r="H557" s="339"/>
      <c r="I557" s="341"/>
      <c r="J557" s="339"/>
      <c r="K557" s="341"/>
      <c r="L557" s="341"/>
      <c r="M557" s="341"/>
      <c r="N557" s="341"/>
      <c r="O557" s="341"/>
      <c r="P557" s="339"/>
      <c r="Q557" s="339"/>
      <c r="R557" s="339"/>
      <c r="S557" s="339"/>
      <c r="T557" s="339"/>
      <c r="U557" s="339"/>
      <c r="V557" s="339"/>
      <c r="W557" s="339"/>
      <c r="X557" s="339"/>
      <c r="Y557" s="339"/>
      <c r="Z557" s="339"/>
    </row>
    <row r="558" spans="1:26" ht="15.75" customHeight="1">
      <c r="A558" s="339"/>
      <c r="B558" s="339"/>
      <c r="C558" s="339"/>
      <c r="D558" s="339"/>
      <c r="E558" s="339"/>
      <c r="F558" s="339"/>
      <c r="G558" s="339"/>
      <c r="H558" s="339"/>
      <c r="I558" s="341"/>
      <c r="J558" s="339"/>
      <c r="K558" s="341"/>
      <c r="L558" s="341"/>
      <c r="M558" s="341"/>
      <c r="N558" s="341"/>
      <c r="O558" s="341"/>
      <c r="P558" s="339"/>
      <c r="Q558" s="339"/>
      <c r="R558" s="339"/>
      <c r="S558" s="339"/>
      <c r="T558" s="339"/>
      <c r="U558" s="339"/>
      <c r="V558" s="339"/>
      <c r="W558" s="339"/>
      <c r="X558" s="339"/>
      <c r="Y558" s="339"/>
      <c r="Z558" s="339"/>
    </row>
    <row r="559" spans="1:26" ht="15.75" customHeight="1">
      <c r="A559" s="339"/>
      <c r="B559" s="339"/>
      <c r="C559" s="339"/>
      <c r="D559" s="339"/>
      <c r="E559" s="339"/>
      <c r="F559" s="339"/>
      <c r="G559" s="339"/>
      <c r="H559" s="339"/>
      <c r="I559" s="341"/>
      <c r="J559" s="339"/>
      <c r="K559" s="341"/>
      <c r="L559" s="341"/>
      <c r="M559" s="341"/>
      <c r="N559" s="341"/>
      <c r="O559" s="341"/>
      <c r="P559" s="339"/>
      <c r="Q559" s="339"/>
      <c r="R559" s="339"/>
      <c r="S559" s="339"/>
      <c r="T559" s="339"/>
      <c r="U559" s="339"/>
      <c r="V559" s="339"/>
      <c r="W559" s="339"/>
      <c r="X559" s="339"/>
      <c r="Y559" s="339"/>
      <c r="Z559" s="339"/>
    </row>
    <row r="560" spans="1:26" ht="15.75" customHeight="1">
      <c r="A560" s="339"/>
      <c r="B560" s="339"/>
      <c r="C560" s="339"/>
      <c r="D560" s="339"/>
      <c r="E560" s="339"/>
      <c r="F560" s="339"/>
      <c r="G560" s="339"/>
      <c r="H560" s="339"/>
      <c r="I560" s="341"/>
      <c r="J560" s="339"/>
      <c r="K560" s="341"/>
      <c r="L560" s="341"/>
      <c r="M560" s="341"/>
      <c r="N560" s="341"/>
      <c r="O560" s="341"/>
      <c r="P560" s="339"/>
      <c r="Q560" s="339"/>
      <c r="R560" s="339"/>
      <c r="S560" s="339"/>
      <c r="T560" s="339"/>
      <c r="U560" s="339"/>
      <c r="V560" s="339"/>
      <c r="W560" s="339"/>
      <c r="X560" s="339"/>
      <c r="Y560" s="339"/>
      <c r="Z560" s="339"/>
    </row>
    <row r="561" spans="1:26" ht="15.75" customHeight="1">
      <c r="A561" s="339"/>
      <c r="B561" s="339"/>
      <c r="C561" s="339"/>
      <c r="D561" s="339"/>
      <c r="E561" s="339"/>
      <c r="F561" s="339"/>
      <c r="G561" s="339"/>
      <c r="H561" s="339"/>
      <c r="I561" s="341"/>
      <c r="J561" s="339"/>
      <c r="K561" s="341"/>
      <c r="L561" s="341"/>
      <c r="M561" s="341"/>
      <c r="N561" s="341"/>
      <c r="O561" s="341"/>
      <c r="P561" s="339"/>
      <c r="Q561" s="339"/>
      <c r="R561" s="339"/>
      <c r="S561" s="339"/>
      <c r="T561" s="339"/>
      <c r="U561" s="339"/>
      <c r="V561" s="339"/>
      <c r="W561" s="339"/>
      <c r="X561" s="339"/>
      <c r="Y561" s="339"/>
      <c r="Z561" s="339"/>
    </row>
    <row r="562" spans="1:26" ht="15.75" customHeight="1">
      <c r="A562" s="339"/>
      <c r="B562" s="339"/>
      <c r="C562" s="339"/>
      <c r="D562" s="339"/>
      <c r="E562" s="339"/>
      <c r="F562" s="339"/>
      <c r="G562" s="339"/>
      <c r="H562" s="339"/>
      <c r="I562" s="341"/>
      <c r="J562" s="339"/>
      <c r="K562" s="341"/>
      <c r="L562" s="341"/>
      <c r="M562" s="341"/>
      <c r="N562" s="341"/>
      <c r="O562" s="341"/>
      <c r="P562" s="339"/>
      <c r="Q562" s="339"/>
      <c r="R562" s="339"/>
      <c r="S562" s="339"/>
      <c r="T562" s="339"/>
      <c r="U562" s="339"/>
      <c r="V562" s="339"/>
      <c r="W562" s="339"/>
      <c r="X562" s="339"/>
      <c r="Y562" s="339"/>
      <c r="Z562" s="339"/>
    </row>
    <row r="563" spans="1:26" ht="15.75" customHeight="1">
      <c r="A563" s="339"/>
      <c r="B563" s="339"/>
      <c r="C563" s="339"/>
      <c r="D563" s="339"/>
      <c r="E563" s="339"/>
      <c r="F563" s="339"/>
      <c r="G563" s="339"/>
      <c r="H563" s="339"/>
      <c r="I563" s="341"/>
      <c r="J563" s="339"/>
      <c r="K563" s="341"/>
      <c r="L563" s="341"/>
      <c r="M563" s="341"/>
      <c r="N563" s="341"/>
      <c r="O563" s="341"/>
      <c r="P563" s="339"/>
      <c r="Q563" s="339"/>
      <c r="R563" s="339"/>
      <c r="S563" s="339"/>
      <c r="T563" s="339"/>
      <c r="U563" s="339"/>
      <c r="V563" s="339"/>
      <c r="W563" s="339"/>
      <c r="X563" s="339"/>
      <c r="Y563" s="339"/>
      <c r="Z563" s="339"/>
    </row>
    <row r="564" spans="1:26" ht="15.75" customHeight="1">
      <c r="A564" s="339"/>
      <c r="B564" s="339"/>
      <c r="C564" s="339"/>
      <c r="D564" s="339"/>
      <c r="E564" s="339"/>
      <c r="F564" s="339"/>
      <c r="G564" s="339"/>
      <c r="H564" s="339"/>
      <c r="I564" s="341"/>
      <c r="J564" s="339"/>
      <c r="K564" s="341"/>
      <c r="L564" s="341"/>
      <c r="M564" s="341"/>
      <c r="N564" s="341"/>
      <c r="O564" s="341"/>
      <c r="P564" s="339"/>
      <c r="Q564" s="339"/>
      <c r="R564" s="339"/>
      <c r="S564" s="339"/>
      <c r="T564" s="339"/>
      <c r="U564" s="339"/>
      <c r="V564" s="339"/>
      <c r="W564" s="339"/>
      <c r="X564" s="339"/>
      <c r="Y564" s="339"/>
      <c r="Z564" s="339"/>
    </row>
    <row r="565" spans="1:26" ht="15.75" customHeight="1">
      <c r="A565" s="339"/>
      <c r="B565" s="339"/>
      <c r="C565" s="339"/>
      <c r="D565" s="339"/>
      <c r="E565" s="339"/>
      <c r="F565" s="339"/>
      <c r="G565" s="339"/>
      <c r="H565" s="339"/>
      <c r="I565" s="341"/>
      <c r="J565" s="339"/>
      <c r="K565" s="341"/>
      <c r="L565" s="341"/>
      <c r="M565" s="341"/>
      <c r="N565" s="341"/>
      <c r="O565" s="341"/>
      <c r="P565" s="339"/>
      <c r="Q565" s="339"/>
      <c r="R565" s="339"/>
      <c r="S565" s="339"/>
      <c r="T565" s="339"/>
      <c r="U565" s="339"/>
      <c r="V565" s="339"/>
      <c r="W565" s="339"/>
      <c r="X565" s="339"/>
      <c r="Y565" s="339"/>
      <c r="Z565" s="339"/>
    </row>
    <row r="566" spans="1:26" ht="15.75" customHeight="1">
      <c r="A566" s="339"/>
      <c r="B566" s="339"/>
      <c r="C566" s="339"/>
      <c r="D566" s="339"/>
      <c r="E566" s="339"/>
      <c r="F566" s="339"/>
      <c r="G566" s="339"/>
      <c r="H566" s="339"/>
      <c r="I566" s="341"/>
      <c r="J566" s="339"/>
      <c r="K566" s="341"/>
      <c r="L566" s="341"/>
      <c r="M566" s="341"/>
      <c r="N566" s="341"/>
      <c r="O566" s="341"/>
      <c r="P566" s="339"/>
      <c r="Q566" s="339"/>
      <c r="R566" s="339"/>
      <c r="S566" s="339"/>
      <c r="T566" s="339"/>
      <c r="U566" s="339"/>
      <c r="V566" s="339"/>
      <c r="W566" s="339"/>
      <c r="X566" s="339"/>
      <c r="Y566" s="339"/>
      <c r="Z566" s="339"/>
    </row>
    <row r="567" spans="1:26" ht="15.75" customHeight="1">
      <c r="A567" s="339"/>
      <c r="B567" s="339"/>
      <c r="C567" s="339"/>
      <c r="D567" s="339"/>
      <c r="E567" s="339"/>
      <c r="F567" s="339"/>
      <c r="G567" s="339"/>
      <c r="H567" s="339"/>
      <c r="I567" s="341"/>
      <c r="J567" s="339"/>
      <c r="K567" s="341"/>
      <c r="L567" s="341"/>
      <c r="M567" s="341"/>
      <c r="N567" s="341"/>
      <c r="O567" s="341"/>
      <c r="P567" s="339"/>
      <c r="Q567" s="339"/>
      <c r="R567" s="339"/>
      <c r="S567" s="339"/>
      <c r="T567" s="339"/>
      <c r="U567" s="339"/>
      <c r="V567" s="339"/>
      <c r="W567" s="339"/>
      <c r="X567" s="339"/>
      <c r="Y567" s="339"/>
      <c r="Z567" s="339"/>
    </row>
    <row r="568" spans="1:26" ht="15.75" customHeight="1">
      <c r="A568" s="339"/>
      <c r="B568" s="339"/>
      <c r="C568" s="339"/>
      <c r="D568" s="339"/>
      <c r="E568" s="339"/>
      <c r="F568" s="339"/>
      <c r="G568" s="339"/>
      <c r="H568" s="339"/>
      <c r="I568" s="341"/>
      <c r="J568" s="339"/>
      <c r="K568" s="341"/>
      <c r="L568" s="341"/>
      <c r="M568" s="341"/>
      <c r="N568" s="341"/>
      <c r="O568" s="341"/>
      <c r="P568" s="339"/>
      <c r="Q568" s="339"/>
      <c r="R568" s="339"/>
      <c r="S568" s="339"/>
      <c r="T568" s="339"/>
      <c r="U568" s="339"/>
      <c r="V568" s="339"/>
      <c r="W568" s="339"/>
      <c r="X568" s="339"/>
      <c r="Y568" s="339"/>
      <c r="Z568" s="339"/>
    </row>
    <row r="569" spans="1:26" ht="15.75" customHeight="1">
      <c r="A569" s="339"/>
      <c r="B569" s="339"/>
      <c r="C569" s="339"/>
      <c r="D569" s="339"/>
      <c r="E569" s="339"/>
      <c r="F569" s="339"/>
      <c r="G569" s="339"/>
      <c r="H569" s="339"/>
      <c r="I569" s="341"/>
      <c r="J569" s="339"/>
      <c r="K569" s="341"/>
      <c r="L569" s="341"/>
      <c r="M569" s="341"/>
      <c r="N569" s="341"/>
      <c r="O569" s="341"/>
      <c r="P569" s="339"/>
      <c r="Q569" s="339"/>
      <c r="R569" s="339"/>
      <c r="S569" s="339"/>
      <c r="T569" s="339"/>
      <c r="U569" s="339"/>
      <c r="V569" s="339"/>
      <c r="W569" s="339"/>
      <c r="X569" s="339"/>
      <c r="Y569" s="339"/>
      <c r="Z569" s="339"/>
    </row>
    <row r="570" spans="1:26" ht="15.75" customHeight="1">
      <c r="A570" s="339"/>
      <c r="B570" s="339"/>
      <c r="C570" s="339"/>
      <c r="D570" s="339"/>
      <c r="E570" s="339"/>
      <c r="F570" s="339"/>
      <c r="G570" s="339"/>
      <c r="H570" s="339"/>
      <c r="I570" s="341"/>
      <c r="J570" s="339"/>
      <c r="K570" s="341"/>
      <c r="L570" s="341"/>
      <c r="M570" s="341"/>
      <c r="N570" s="341"/>
      <c r="O570" s="341"/>
      <c r="P570" s="339"/>
      <c r="Q570" s="339"/>
      <c r="R570" s="339"/>
      <c r="S570" s="339"/>
      <c r="T570" s="339"/>
      <c r="U570" s="339"/>
      <c r="V570" s="339"/>
      <c r="W570" s="339"/>
      <c r="X570" s="339"/>
      <c r="Y570" s="339"/>
      <c r="Z570" s="339"/>
    </row>
    <row r="571" spans="1:26" ht="15.75" customHeight="1">
      <c r="A571" s="339"/>
      <c r="B571" s="339"/>
      <c r="C571" s="339"/>
      <c r="D571" s="339"/>
      <c r="E571" s="339"/>
      <c r="F571" s="339"/>
      <c r="G571" s="339"/>
      <c r="H571" s="339"/>
      <c r="I571" s="341"/>
      <c r="J571" s="339"/>
      <c r="K571" s="341"/>
      <c r="L571" s="341"/>
      <c r="M571" s="341"/>
      <c r="N571" s="341"/>
      <c r="O571" s="341"/>
      <c r="P571" s="339"/>
      <c r="Q571" s="339"/>
      <c r="R571" s="339"/>
      <c r="S571" s="339"/>
      <c r="T571" s="339"/>
      <c r="U571" s="339"/>
      <c r="V571" s="339"/>
      <c r="W571" s="339"/>
      <c r="X571" s="339"/>
      <c r="Y571" s="339"/>
      <c r="Z571" s="339"/>
    </row>
    <row r="572" spans="1:26" ht="15.75" customHeight="1">
      <c r="A572" s="339"/>
      <c r="B572" s="339"/>
      <c r="C572" s="339"/>
      <c r="D572" s="339"/>
      <c r="E572" s="339"/>
      <c r="F572" s="339"/>
      <c r="G572" s="339"/>
      <c r="H572" s="339"/>
      <c r="I572" s="341"/>
      <c r="J572" s="339"/>
      <c r="K572" s="341"/>
      <c r="L572" s="341"/>
      <c r="M572" s="341"/>
      <c r="N572" s="341"/>
      <c r="O572" s="341"/>
      <c r="P572" s="339"/>
      <c r="Q572" s="339"/>
      <c r="R572" s="339"/>
      <c r="S572" s="339"/>
      <c r="T572" s="339"/>
      <c r="U572" s="339"/>
      <c r="V572" s="339"/>
      <c r="W572" s="339"/>
      <c r="X572" s="339"/>
      <c r="Y572" s="339"/>
      <c r="Z572" s="339"/>
    </row>
    <row r="573" spans="1:26" ht="15.75" customHeight="1">
      <c r="A573" s="339"/>
      <c r="B573" s="339"/>
      <c r="C573" s="339"/>
      <c r="D573" s="339"/>
      <c r="E573" s="339"/>
      <c r="F573" s="339"/>
      <c r="G573" s="339"/>
      <c r="H573" s="339"/>
      <c r="I573" s="341"/>
      <c r="J573" s="339"/>
      <c r="K573" s="341"/>
      <c r="L573" s="341"/>
      <c r="M573" s="341"/>
      <c r="N573" s="341"/>
      <c r="O573" s="341"/>
      <c r="P573" s="339"/>
      <c r="Q573" s="339"/>
      <c r="R573" s="339"/>
      <c r="S573" s="339"/>
      <c r="T573" s="339"/>
      <c r="U573" s="339"/>
      <c r="V573" s="339"/>
      <c r="W573" s="339"/>
      <c r="X573" s="339"/>
      <c r="Y573" s="339"/>
      <c r="Z573" s="339"/>
    </row>
    <row r="574" spans="1:26" ht="15.75" customHeight="1">
      <c r="A574" s="339"/>
      <c r="B574" s="339"/>
      <c r="C574" s="339"/>
      <c r="D574" s="339"/>
      <c r="E574" s="339"/>
      <c r="F574" s="339"/>
      <c r="G574" s="339"/>
      <c r="H574" s="339"/>
      <c r="I574" s="341"/>
      <c r="J574" s="339"/>
      <c r="K574" s="341"/>
      <c r="L574" s="341"/>
      <c r="M574" s="341"/>
      <c r="N574" s="341"/>
      <c r="O574" s="341"/>
      <c r="P574" s="339"/>
      <c r="Q574" s="339"/>
      <c r="R574" s="339"/>
      <c r="S574" s="339"/>
      <c r="T574" s="339"/>
      <c r="U574" s="339"/>
      <c r="V574" s="339"/>
      <c r="W574" s="339"/>
      <c r="X574" s="339"/>
      <c r="Y574" s="339"/>
      <c r="Z574" s="339"/>
    </row>
    <row r="575" spans="1:26" ht="15.75" customHeight="1">
      <c r="A575" s="339"/>
      <c r="B575" s="339"/>
      <c r="C575" s="339"/>
      <c r="D575" s="339"/>
      <c r="E575" s="339"/>
      <c r="F575" s="339"/>
      <c r="G575" s="339"/>
      <c r="H575" s="339"/>
      <c r="I575" s="341"/>
      <c r="J575" s="339"/>
      <c r="K575" s="341"/>
      <c r="L575" s="341"/>
      <c r="M575" s="341"/>
      <c r="N575" s="341"/>
      <c r="O575" s="341"/>
      <c r="P575" s="339"/>
      <c r="Q575" s="339"/>
      <c r="R575" s="339"/>
      <c r="S575" s="339"/>
      <c r="T575" s="339"/>
      <c r="U575" s="339"/>
      <c r="V575" s="339"/>
      <c r="W575" s="339"/>
      <c r="X575" s="339"/>
      <c r="Y575" s="339"/>
      <c r="Z575" s="339"/>
    </row>
    <row r="576" spans="1:26" ht="15.75" customHeight="1">
      <c r="A576" s="339"/>
      <c r="B576" s="339"/>
      <c r="C576" s="339"/>
      <c r="D576" s="339"/>
      <c r="E576" s="339"/>
      <c r="F576" s="339"/>
      <c r="G576" s="339"/>
      <c r="H576" s="339"/>
      <c r="I576" s="341"/>
      <c r="J576" s="339"/>
      <c r="K576" s="341"/>
      <c r="L576" s="341"/>
      <c r="M576" s="341"/>
      <c r="N576" s="341"/>
      <c r="O576" s="341"/>
      <c r="P576" s="339"/>
      <c r="Q576" s="339"/>
      <c r="R576" s="339"/>
      <c r="S576" s="339"/>
      <c r="T576" s="339"/>
      <c r="U576" s="339"/>
      <c r="V576" s="339"/>
      <c r="W576" s="339"/>
      <c r="X576" s="339"/>
      <c r="Y576" s="339"/>
      <c r="Z576" s="339"/>
    </row>
    <row r="577" spans="1:26" ht="15.75" customHeight="1">
      <c r="A577" s="339"/>
      <c r="B577" s="339"/>
      <c r="C577" s="339"/>
      <c r="D577" s="339"/>
      <c r="E577" s="339"/>
      <c r="F577" s="339"/>
      <c r="G577" s="339"/>
      <c r="H577" s="339"/>
      <c r="I577" s="341"/>
      <c r="J577" s="339"/>
      <c r="K577" s="341"/>
      <c r="L577" s="341"/>
      <c r="M577" s="341"/>
      <c r="N577" s="341"/>
      <c r="O577" s="341"/>
      <c r="P577" s="339"/>
      <c r="Q577" s="339"/>
      <c r="R577" s="339"/>
      <c r="S577" s="339"/>
      <c r="T577" s="339"/>
      <c r="U577" s="339"/>
      <c r="V577" s="339"/>
      <c r="W577" s="339"/>
      <c r="X577" s="339"/>
      <c r="Y577" s="339"/>
      <c r="Z577" s="339"/>
    </row>
    <row r="578" spans="1:26" ht="15.75" customHeight="1">
      <c r="A578" s="339"/>
      <c r="B578" s="339"/>
      <c r="C578" s="339"/>
      <c r="D578" s="339"/>
      <c r="E578" s="339"/>
      <c r="F578" s="339"/>
      <c r="G578" s="339"/>
      <c r="H578" s="339"/>
      <c r="I578" s="341"/>
      <c r="J578" s="339"/>
      <c r="K578" s="341"/>
      <c r="L578" s="341"/>
      <c r="M578" s="341"/>
      <c r="N578" s="341"/>
      <c r="O578" s="341"/>
      <c r="P578" s="339"/>
      <c r="Q578" s="339"/>
      <c r="R578" s="339"/>
      <c r="S578" s="339"/>
      <c r="T578" s="339"/>
      <c r="U578" s="339"/>
      <c r="V578" s="339"/>
      <c r="W578" s="339"/>
      <c r="X578" s="339"/>
      <c r="Y578" s="339"/>
      <c r="Z578" s="339"/>
    </row>
    <row r="579" spans="1:26" ht="15.75" customHeight="1">
      <c r="A579" s="339"/>
      <c r="B579" s="339"/>
      <c r="C579" s="339"/>
      <c r="D579" s="339"/>
      <c r="E579" s="339"/>
      <c r="F579" s="339"/>
      <c r="G579" s="339"/>
      <c r="H579" s="339"/>
      <c r="I579" s="341"/>
      <c r="J579" s="339"/>
      <c r="K579" s="341"/>
      <c r="L579" s="341"/>
      <c r="M579" s="341"/>
      <c r="N579" s="341"/>
      <c r="O579" s="341"/>
      <c r="P579" s="339"/>
      <c r="Q579" s="339"/>
      <c r="R579" s="339"/>
      <c r="S579" s="339"/>
      <c r="T579" s="339"/>
      <c r="U579" s="339"/>
      <c r="V579" s="339"/>
      <c r="W579" s="339"/>
      <c r="X579" s="339"/>
      <c r="Y579" s="339"/>
      <c r="Z579" s="339"/>
    </row>
    <row r="580" spans="1:26" ht="15.75" customHeight="1">
      <c r="A580" s="339"/>
      <c r="B580" s="339"/>
      <c r="C580" s="339"/>
      <c r="D580" s="339"/>
      <c r="E580" s="339"/>
      <c r="F580" s="339"/>
      <c r="G580" s="339"/>
      <c r="H580" s="339"/>
      <c r="I580" s="341"/>
      <c r="J580" s="339"/>
      <c r="K580" s="341"/>
      <c r="L580" s="341"/>
      <c r="M580" s="341"/>
      <c r="N580" s="341"/>
      <c r="O580" s="341"/>
      <c r="P580" s="339"/>
      <c r="Q580" s="339"/>
      <c r="R580" s="339"/>
      <c r="S580" s="339"/>
      <c r="T580" s="339"/>
      <c r="U580" s="339"/>
      <c r="V580" s="339"/>
      <c r="W580" s="339"/>
      <c r="X580" s="339"/>
      <c r="Y580" s="339"/>
      <c r="Z580" s="339"/>
    </row>
    <row r="581" spans="1:26" ht="15.75" customHeight="1">
      <c r="A581" s="339"/>
      <c r="B581" s="339"/>
      <c r="C581" s="339"/>
      <c r="D581" s="339"/>
      <c r="E581" s="339"/>
      <c r="F581" s="339"/>
      <c r="G581" s="339"/>
      <c r="H581" s="339"/>
      <c r="I581" s="341"/>
      <c r="J581" s="339"/>
      <c r="K581" s="341"/>
      <c r="L581" s="341"/>
      <c r="M581" s="341"/>
      <c r="N581" s="341"/>
      <c r="O581" s="341"/>
      <c r="P581" s="339"/>
      <c r="Q581" s="339"/>
      <c r="R581" s="339"/>
      <c r="S581" s="339"/>
      <c r="T581" s="339"/>
      <c r="U581" s="339"/>
      <c r="V581" s="339"/>
      <c r="W581" s="339"/>
      <c r="X581" s="339"/>
      <c r="Y581" s="339"/>
      <c r="Z581" s="339"/>
    </row>
    <row r="582" spans="1:26" ht="15.75" customHeight="1">
      <c r="A582" s="339"/>
      <c r="B582" s="339"/>
      <c r="C582" s="339"/>
      <c r="D582" s="339"/>
      <c r="E582" s="339"/>
      <c r="F582" s="339"/>
      <c r="G582" s="339"/>
      <c r="H582" s="339"/>
      <c r="I582" s="341"/>
      <c r="J582" s="339"/>
      <c r="K582" s="341"/>
      <c r="L582" s="341"/>
      <c r="M582" s="341"/>
      <c r="N582" s="341"/>
      <c r="O582" s="341"/>
      <c r="P582" s="339"/>
      <c r="Q582" s="339"/>
      <c r="R582" s="339"/>
      <c r="S582" s="339"/>
      <c r="T582" s="339"/>
      <c r="U582" s="339"/>
      <c r="V582" s="339"/>
      <c r="W582" s="339"/>
      <c r="X582" s="339"/>
      <c r="Y582" s="339"/>
      <c r="Z582" s="339"/>
    </row>
    <row r="583" spans="1:26" ht="15.75" customHeight="1">
      <c r="A583" s="339"/>
      <c r="B583" s="339"/>
      <c r="C583" s="339"/>
      <c r="D583" s="339"/>
      <c r="E583" s="339"/>
      <c r="F583" s="339"/>
      <c r="G583" s="339"/>
      <c r="H583" s="339"/>
      <c r="I583" s="341"/>
      <c r="J583" s="339"/>
      <c r="K583" s="341"/>
      <c r="L583" s="341"/>
      <c r="M583" s="341"/>
      <c r="N583" s="341"/>
      <c r="O583" s="341"/>
      <c r="P583" s="339"/>
      <c r="Q583" s="339"/>
      <c r="R583" s="339"/>
      <c r="S583" s="339"/>
      <c r="T583" s="339"/>
      <c r="U583" s="339"/>
      <c r="V583" s="339"/>
      <c r="W583" s="339"/>
      <c r="X583" s="339"/>
      <c r="Y583" s="339"/>
      <c r="Z583" s="339"/>
    </row>
    <row r="584" spans="1:26" ht="15.75" customHeight="1">
      <c r="A584" s="339"/>
      <c r="B584" s="339"/>
      <c r="C584" s="339"/>
      <c r="D584" s="339"/>
      <c r="E584" s="339"/>
      <c r="F584" s="339"/>
      <c r="G584" s="339"/>
      <c r="H584" s="339"/>
      <c r="I584" s="341"/>
      <c r="J584" s="339"/>
      <c r="K584" s="341"/>
      <c r="L584" s="341"/>
      <c r="M584" s="341"/>
      <c r="N584" s="341"/>
      <c r="O584" s="341"/>
      <c r="P584" s="339"/>
      <c r="Q584" s="339"/>
      <c r="R584" s="339"/>
      <c r="S584" s="339"/>
      <c r="T584" s="339"/>
      <c r="U584" s="339"/>
      <c r="V584" s="339"/>
      <c r="W584" s="339"/>
      <c r="X584" s="339"/>
      <c r="Y584" s="339"/>
      <c r="Z584" s="339"/>
    </row>
    <row r="585" spans="1:26" ht="15.75" customHeight="1">
      <c r="A585" s="339"/>
      <c r="B585" s="339"/>
      <c r="C585" s="339"/>
      <c r="D585" s="339"/>
      <c r="E585" s="339"/>
      <c r="F585" s="339"/>
      <c r="G585" s="339"/>
      <c r="H585" s="339"/>
      <c r="I585" s="341"/>
      <c r="J585" s="339"/>
      <c r="K585" s="341"/>
      <c r="L585" s="341"/>
      <c r="M585" s="341"/>
      <c r="N585" s="341"/>
      <c r="O585" s="341"/>
      <c r="P585" s="339"/>
      <c r="Q585" s="339"/>
      <c r="R585" s="339"/>
      <c r="S585" s="339"/>
      <c r="T585" s="339"/>
      <c r="U585" s="339"/>
      <c r="V585" s="339"/>
      <c r="W585" s="339"/>
      <c r="X585" s="339"/>
      <c r="Y585" s="339"/>
      <c r="Z585" s="339"/>
    </row>
    <row r="586" spans="1:26" ht="15.75" customHeight="1">
      <c r="A586" s="339"/>
      <c r="B586" s="339"/>
      <c r="C586" s="339"/>
      <c r="D586" s="339"/>
      <c r="E586" s="339"/>
      <c r="F586" s="339"/>
      <c r="G586" s="339"/>
      <c r="H586" s="339"/>
      <c r="I586" s="341"/>
      <c r="J586" s="339"/>
      <c r="K586" s="341"/>
      <c r="L586" s="341"/>
      <c r="M586" s="341"/>
      <c r="N586" s="341"/>
      <c r="O586" s="341"/>
      <c r="P586" s="339"/>
      <c r="Q586" s="339"/>
      <c r="R586" s="339"/>
      <c r="S586" s="339"/>
      <c r="T586" s="339"/>
      <c r="U586" s="339"/>
      <c r="V586" s="339"/>
      <c r="W586" s="339"/>
      <c r="X586" s="339"/>
      <c r="Y586" s="339"/>
      <c r="Z586" s="339"/>
    </row>
    <row r="587" spans="1:26" ht="15.75" customHeight="1">
      <c r="A587" s="339"/>
      <c r="B587" s="339"/>
      <c r="C587" s="339"/>
      <c r="D587" s="339"/>
      <c r="E587" s="339"/>
      <c r="F587" s="339"/>
      <c r="G587" s="339"/>
      <c r="H587" s="339"/>
      <c r="I587" s="341"/>
      <c r="J587" s="339"/>
      <c r="K587" s="341"/>
      <c r="L587" s="341"/>
      <c r="M587" s="341"/>
      <c r="N587" s="341"/>
      <c r="O587" s="341"/>
      <c r="P587" s="339"/>
      <c r="Q587" s="339"/>
      <c r="R587" s="339"/>
      <c r="S587" s="339"/>
      <c r="T587" s="339"/>
      <c r="U587" s="339"/>
      <c r="V587" s="339"/>
      <c r="W587" s="339"/>
      <c r="X587" s="339"/>
      <c r="Y587" s="339"/>
      <c r="Z587" s="339"/>
    </row>
    <row r="588" spans="1:26" ht="15.75" customHeight="1">
      <c r="A588" s="339"/>
      <c r="B588" s="339"/>
      <c r="C588" s="339"/>
      <c r="D588" s="339"/>
      <c r="E588" s="339"/>
      <c r="F588" s="339"/>
      <c r="G588" s="339"/>
      <c r="H588" s="339"/>
      <c r="I588" s="341"/>
      <c r="J588" s="339"/>
      <c r="K588" s="341"/>
      <c r="L588" s="341"/>
      <c r="M588" s="341"/>
      <c r="N588" s="341"/>
      <c r="O588" s="341"/>
      <c r="P588" s="339"/>
      <c r="Q588" s="339"/>
      <c r="R588" s="339"/>
      <c r="S588" s="339"/>
      <c r="T588" s="339"/>
      <c r="U588" s="339"/>
      <c r="V588" s="339"/>
      <c r="W588" s="339"/>
      <c r="X588" s="339"/>
      <c r="Y588" s="339"/>
      <c r="Z588" s="339"/>
    </row>
    <row r="589" spans="1:26" ht="15.75" customHeight="1">
      <c r="A589" s="339"/>
      <c r="B589" s="339"/>
      <c r="C589" s="339"/>
      <c r="D589" s="339"/>
      <c r="E589" s="339"/>
      <c r="F589" s="339"/>
      <c r="G589" s="339"/>
      <c r="H589" s="339"/>
      <c r="I589" s="341"/>
      <c r="J589" s="339"/>
      <c r="K589" s="341"/>
      <c r="L589" s="341"/>
      <c r="M589" s="341"/>
      <c r="N589" s="341"/>
      <c r="O589" s="341"/>
      <c r="P589" s="339"/>
      <c r="Q589" s="339"/>
      <c r="R589" s="339"/>
      <c r="S589" s="339"/>
      <c r="T589" s="339"/>
      <c r="U589" s="339"/>
      <c r="V589" s="339"/>
      <c r="W589" s="339"/>
      <c r="X589" s="339"/>
      <c r="Y589" s="339"/>
      <c r="Z589" s="339"/>
    </row>
    <row r="590" spans="1:26" ht="15.75" customHeight="1">
      <c r="A590" s="339"/>
      <c r="B590" s="339"/>
      <c r="C590" s="339"/>
      <c r="D590" s="339"/>
      <c r="E590" s="339"/>
      <c r="F590" s="339"/>
      <c r="G590" s="339"/>
      <c r="H590" s="339"/>
      <c r="I590" s="341"/>
      <c r="J590" s="339"/>
      <c r="K590" s="341"/>
      <c r="L590" s="341"/>
      <c r="M590" s="341"/>
      <c r="N590" s="341"/>
      <c r="O590" s="341"/>
      <c r="P590" s="339"/>
      <c r="Q590" s="339"/>
      <c r="R590" s="339"/>
      <c r="S590" s="339"/>
      <c r="T590" s="339"/>
      <c r="U590" s="339"/>
      <c r="V590" s="339"/>
      <c r="W590" s="339"/>
      <c r="X590" s="339"/>
      <c r="Y590" s="339"/>
      <c r="Z590" s="339"/>
    </row>
    <row r="591" spans="1:26" ht="15.75" customHeight="1">
      <c r="A591" s="339"/>
      <c r="B591" s="339"/>
      <c r="C591" s="339"/>
      <c r="D591" s="339"/>
      <c r="E591" s="339"/>
      <c r="F591" s="339"/>
      <c r="G591" s="339"/>
      <c r="H591" s="339"/>
      <c r="I591" s="341"/>
      <c r="J591" s="339"/>
      <c r="K591" s="341"/>
      <c r="L591" s="341"/>
      <c r="M591" s="341"/>
      <c r="N591" s="341"/>
      <c r="O591" s="341"/>
      <c r="P591" s="339"/>
      <c r="Q591" s="339"/>
      <c r="R591" s="339"/>
      <c r="S591" s="339"/>
      <c r="T591" s="339"/>
      <c r="U591" s="339"/>
      <c r="V591" s="339"/>
      <c r="W591" s="339"/>
      <c r="X591" s="339"/>
      <c r="Y591" s="339"/>
      <c r="Z591" s="339"/>
    </row>
    <row r="592" spans="1:26" ht="15.75" customHeight="1">
      <c r="A592" s="339"/>
      <c r="B592" s="339"/>
      <c r="C592" s="339"/>
      <c r="D592" s="339"/>
      <c r="E592" s="339"/>
      <c r="F592" s="339"/>
      <c r="G592" s="339"/>
      <c r="H592" s="339"/>
      <c r="I592" s="341"/>
      <c r="J592" s="339"/>
      <c r="K592" s="341"/>
      <c r="L592" s="341"/>
      <c r="M592" s="341"/>
      <c r="N592" s="341"/>
      <c r="O592" s="341"/>
      <c r="P592" s="339"/>
      <c r="Q592" s="339"/>
      <c r="R592" s="339"/>
      <c r="S592" s="339"/>
      <c r="T592" s="339"/>
      <c r="U592" s="339"/>
      <c r="V592" s="339"/>
      <c r="W592" s="339"/>
      <c r="X592" s="339"/>
      <c r="Y592" s="339"/>
      <c r="Z592" s="339"/>
    </row>
    <row r="593" spans="1:26" ht="15.75" customHeight="1">
      <c r="A593" s="339"/>
      <c r="B593" s="339"/>
      <c r="C593" s="339"/>
      <c r="D593" s="339"/>
      <c r="E593" s="339"/>
      <c r="F593" s="339"/>
      <c r="G593" s="339"/>
      <c r="H593" s="339"/>
      <c r="I593" s="341"/>
      <c r="J593" s="339"/>
      <c r="K593" s="341"/>
      <c r="L593" s="341"/>
      <c r="M593" s="341"/>
      <c r="N593" s="341"/>
      <c r="O593" s="341"/>
      <c r="P593" s="339"/>
      <c r="Q593" s="339"/>
      <c r="R593" s="339"/>
      <c r="S593" s="339"/>
      <c r="T593" s="339"/>
      <c r="U593" s="339"/>
      <c r="V593" s="339"/>
      <c r="W593" s="339"/>
      <c r="X593" s="339"/>
      <c r="Y593" s="339"/>
      <c r="Z593" s="339"/>
    </row>
    <row r="594" spans="1:26" ht="15.75" customHeight="1">
      <c r="A594" s="339"/>
      <c r="B594" s="339"/>
      <c r="C594" s="339"/>
      <c r="D594" s="339"/>
      <c r="E594" s="339"/>
      <c r="F594" s="339"/>
      <c r="G594" s="339"/>
      <c r="H594" s="339"/>
      <c r="I594" s="341"/>
      <c r="J594" s="339"/>
      <c r="K594" s="341"/>
      <c r="L594" s="341"/>
      <c r="M594" s="341"/>
      <c r="N594" s="341"/>
      <c r="O594" s="341"/>
      <c r="P594" s="339"/>
      <c r="Q594" s="339"/>
      <c r="R594" s="339"/>
      <c r="S594" s="339"/>
      <c r="T594" s="339"/>
      <c r="U594" s="339"/>
      <c r="V594" s="339"/>
      <c r="W594" s="339"/>
      <c r="X594" s="339"/>
      <c r="Y594" s="339"/>
      <c r="Z594" s="339"/>
    </row>
    <row r="595" spans="1:26" ht="15.75" customHeight="1">
      <c r="A595" s="339"/>
      <c r="B595" s="339"/>
      <c r="C595" s="339"/>
      <c r="D595" s="339"/>
      <c r="E595" s="339"/>
      <c r="F595" s="339"/>
      <c r="G595" s="339"/>
      <c r="H595" s="339"/>
      <c r="I595" s="341"/>
      <c r="J595" s="339"/>
      <c r="K595" s="341"/>
      <c r="L595" s="341"/>
      <c r="M595" s="341"/>
      <c r="N595" s="341"/>
      <c r="O595" s="341"/>
      <c r="P595" s="339"/>
      <c r="Q595" s="339"/>
      <c r="R595" s="339"/>
      <c r="S595" s="339"/>
      <c r="T595" s="339"/>
      <c r="U595" s="339"/>
      <c r="V595" s="339"/>
      <c r="W595" s="339"/>
      <c r="X595" s="339"/>
      <c r="Y595" s="339"/>
      <c r="Z595" s="339"/>
    </row>
    <row r="596" spans="1:26" ht="15.75" customHeight="1">
      <c r="A596" s="339"/>
      <c r="B596" s="339"/>
      <c r="C596" s="339"/>
      <c r="D596" s="339"/>
      <c r="E596" s="339"/>
      <c r="F596" s="339"/>
      <c r="G596" s="339"/>
      <c r="H596" s="339"/>
      <c r="I596" s="341"/>
      <c r="J596" s="339"/>
      <c r="K596" s="341"/>
      <c r="L596" s="341"/>
      <c r="M596" s="341"/>
      <c r="N596" s="341"/>
      <c r="O596" s="341"/>
      <c r="P596" s="339"/>
      <c r="Q596" s="339"/>
      <c r="R596" s="339"/>
      <c r="S596" s="339"/>
      <c r="T596" s="339"/>
      <c r="U596" s="339"/>
      <c r="V596" s="339"/>
      <c r="W596" s="339"/>
      <c r="X596" s="339"/>
      <c r="Y596" s="339"/>
      <c r="Z596" s="339"/>
    </row>
    <row r="597" spans="1:26" ht="15.75" customHeight="1">
      <c r="A597" s="339"/>
      <c r="B597" s="339"/>
      <c r="C597" s="339"/>
      <c r="D597" s="339"/>
      <c r="E597" s="339"/>
      <c r="F597" s="339"/>
      <c r="G597" s="339"/>
      <c r="H597" s="339"/>
      <c r="I597" s="341"/>
      <c r="J597" s="339"/>
      <c r="K597" s="341"/>
      <c r="L597" s="341"/>
      <c r="M597" s="341"/>
      <c r="N597" s="341"/>
      <c r="O597" s="341"/>
      <c r="P597" s="339"/>
      <c r="Q597" s="339"/>
      <c r="R597" s="339"/>
      <c r="S597" s="339"/>
      <c r="T597" s="339"/>
      <c r="U597" s="339"/>
      <c r="V597" s="339"/>
      <c r="W597" s="339"/>
      <c r="X597" s="339"/>
      <c r="Y597" s="339"/>
      <c r="Z597" s="339"/>
    </row>
    <row r="598" spans="1:26" ht="15.75" customHeight="1">
      <c r="A598" s="339"/>
      <c r="B598" s="339"/>
      <c r="C598" s="339"/>
      <c r="D598" s="339"/>
      <c r="E598" s="339"/>
      <c r="F598" s="339"/>
      <c r="G598" s="339"/>
      <c r="H598" s="339"/>
      <c r="I598" s="341"/>
      <c r="J598" s="339"/>
      <c r="K598" s="341"/>
      <c r="L598" s="341"/>
      <c r="M598" s="341"/>
      <c r="N598" s="341"/>
      <c r="O598" s="341"/>
      <c r="P598" s="339"/>
      <c r="Q598" s="339"/>
      <c r="R598" s="339"/>
      <c r="S598" s="339"/>
      <c r="T598" s="339"/>
      <c r="U598" s="339"/>
      <c r="V598" s="339"/>
      <c r="W598" s="339"/>
      <c r="X598" s="339"/>
      <c r="Y598" s="339"/>
      <c r="Z598" s="339"/>
    </row>
    <row r="599" spans="1:26" ht="15.75" customHeight="1">
      <c r="A599" s="339"/>
      <c r="B599" s="339"/>
      <c r="C599" s="339"/>
      <c r="D599" s="339"/>
      <c r="E599" s="339"/>
      <c r="F599" s="339"/>
      <c r="G599" s="339"/>
      <c r="H599" s="339"/>
      <c r="I599" s="341"/>
      <c r="J599" s="339"/>
      <c r="K599" s="341"/>
      <c r="L599" s="341"/>
      <c r="M599" s="341"/>
      <c r="N599" s="341"/>
      <c r="O599" s="341"/>
      <c r="P599" s="339"/>
      <c r="Q599" s="339"/>
      <c r="R599" s="339"/>
      <c r="S599" s="339"/>
      <c r="T599" s="339"/>
      <c r="U599" s="339"/>
      <c r="V599" s="339"/>
      <c r="W599" s="339"/>
      <c r="X599" s="339"/>
      <c r="Y599" s="339"/>
      <c r="Z599" s="339"/>
    </row>
    <row r="600" spans="1:26" ht="15.75" customHeight="1">
      <c r="A600" s="339"/>
      <c r="B600" s="339"/>
      <c r="C600" s="339"/>
      <c r="D600" s="339"/>
      <c r="E600" s="339"/>
      <c r="F600" s="339"/>
      <c r="G600" s="339"/>
      <c r="H600" s="339"/>
      <c r="I600" s="341"/>
      <c r="J600" s="339"/>
      <c r="K600" s="341"/>
      <c r="L600" s="341"/>
      <c r="M600" s="341"/>
      <c r="N600" s="341"/>
      <c r="O600" s="341"/>
      <c r="P600" s="339"/>
      <c r="Q600" s="339"/>
      <c r="R600" s="339"/>
      <c r="S600" s="339"/>
      <c r="T600" s="339"/>
      <c r="U600" s="339"/>
      <c r="V600" s="339"/>
      <c r="W600" s="339"/>
      <c r="X600" s="339"/>
      <c r="Y600" s="339"/>
      <c r="Z600" s="339"/>
    </row>
    <row r="601" spans="1:26" ht="15.75" customHeight="1">
      <c r="A601" s="339"/>
      <c r="B601" s="339"/>
      <c r="C601" s="339"/>
      <c r="D601" s="339"/>
      <c r="E601" s="339"/>
      <c r="F601" s="339"/>
      <c r="G601" s="339"/>
      <c r="H601" s="339"/>
      <c r="I601" s="341"/>
      <c r="J601" s="339"/>
      <c r="K601" s="341"/>
      <c r="L601" s="341"/>
      <c r="M601" s="341"/>
      <c r="N601" s="341"/>
      <c r="O601" s="341"/>
      <c r="P601" s="339"/>
      <c r="Q601" s="339"/>
      <c r="R601" s="339"/>
      <c r="S601" s="339"/>
      <c r="T601" s="339"/>
      <c r="U601" s="339"/>
      <c r="V601" s="339"/>
      <c r="W601" s="339"/>
      <c r="X601" s="339"/>
      <c r="Y601" s="339"/>
      <c r="Z601" s="339"/>
    </row>
    <row r="602" spans="1:26" ht="15.75" customHeight="1">
      <c r="A602" s="339"/>
      <c r="B602" s="339"/>
      <c r="C602" s="339"/>
      <c r="D602" s="339"/>
      <c r="E602" s="339"/>
      <c r="F602" s="339"/>
      <c r="G602" s="339"/>
      <c r="H602" s="339"/>
      <c r="I602" s="341"/>
      <c r="J602" s="339"/>
      <c r="K602" s="341"/>
      <c r="L602" s="341"/>
      <c r="M602" s="341"/>
      <c r="N602" s="341"/>
      <c r="O602" s="341"/>
      <c r="P602" s="339"/>
      <c r="Q602" s="339"/>
      <c r="R602" s="339"/>
      <c r="S602" s="339"/>
      <c r="T602" s="339"/>
      <c r="U602" s="339"/>
      <c r="V602" s="339"/>
      <c r="W602" s="339"/>
      <c r="X602" s="339"/>
      <c r="Y602" s="339"/>
      <c r="Z602" s="339"/>
    </row>
    <row r="603" spans="1:26" ht="15.75" customHeight="1">
      <c r="A603" s="339"/>
      <c r="B603" s="339"/>
      <c r="C603" s="339"/>
      <c r="D603" s="339"/>
      <c r="E603" s="339"/>
      <c r="F603" s="339"/>
      <c r="G603" s="339"/>
      <c r="H603" s="339"/>
      <c r="I603" s="341"/>
      <c r="J603" s="339"/>
      <c r="K603" s="341"/>
      <c r="L603" s="341"/>
      <c r="M603" s="341"/>
      <c r="N603" s="341"/>
      <c r="O603" s="341"/>
      <c r="P603" s="339"/>
      <c r="Q603" s="339"/>
      <c r="R603" s="339"/>
      <c r="S603" s="339"/>
      <c r="T603" s="339"/>
      <c r="U603" s="339"/>
      <c r="V603" s="339"/>
      <c r="W603" s="339"/>
      <c r="X603" s="339"/>
      <c r="Y603" s="339"/>
      <c r="Z603" s="339"/>
    </row>
    <row r="604" spans="1:26" ht="15.75" customHeight="1">
      <c r="A604" s="339"/>
      <c r="B604" s="339"/>
      <c r="C604" s="339"/>
      <c r="D604" s="339"/>
      <c r="E604" s="339"/>
      <c r="F604" s="339"/>
      <c r="G604" s="339"/>
      <c r="H604" s="339"/>
      <c r="I604" s="341"/>
      <c r="J604" s="339"/>
      <c r="K604" s="341"/>
      <c r="L604" s="341"/>
      <c r="M604" s="341"/>
      <c r="N604" s="341"/>
      <c r="O604" s="341"/>
      <c r="P604" s="339"/>
      <c r="Q604" s="339"/>
      <c r="R604" s="339"/>
      <c r="S604" s="339"/>
      <c r="T604" s="339"/>
      <c r="U604" s="339"/>
      <c r="V604" s="339"/>
      <c r="W604" s="339"/>
      <c r="X604" s="339"/>
      <c r="Y604" s="339"/>
      <c r="Z604" s="339"/>
    </row>
    <row r="605" spans="1:26" ht="15.75" customHeight="1">
      <c r="A605" s="339"/>
      <c r="B605" s="339"/>
      <c r="C605" s="339"/>
      <c r="D605" s="339"/>
      <c r="E605" s="339"/>
      <c r="F605" s="339"/>
      <c r="G605" s="339"/>
      <c r="H605" s="339"/>
      <c r="I605" s="341"/>
      <c r="J605" s="339"/>
      <c r="K605" s="341"/>
      <c r="L605" s="341"/>
      <c r="M605" s="341"/>
      <c r="N605" s="341"/>
      <c r="O605" s="341"/>
      <c r="P605" s="339"/>
      <c r="Q605" s="339"/>
      <c r="R605" s="339"/>
      <c r="S605" s="339"/>
      <c r="T605" s="339"/>
      <c r="U605" s="339"/>
      <c r="V605" s="339"/>
      <c r="W605" s="339"/>
      <c r="X605" s="339"/>
      <c r="Y605" s="339"/>
      <c r="Z605" s="339"/>
    </row>
    <row r="606" spans="1:26" ht="15.75" customHeight="1">
      <c r="A606" s="339"/>
      <c r="B606" s="339"/>
      <c r="C606" s="339"/>
      <c r="D606" s="339"/>
      <c r="E606" s="339"/>
      <c r="F606" s="339"/>
      <c r="G606" s="339"/>
      <c r="H606" s="339"/>
      <c r="I606" s="341"/>
      <c r="J606" s="339"/>
      <c r="K606" s="341"/>
      <c r="L606" s="341"/>
      <c r="M606" s="341"/>
      <c r="N606" s="341"/>
      <c r="O606" s="341"/>
      <c r="P606" s="339"/>
      <c r="Q606" s="339"/>
      <c r="R606" s="339"/>
      <c r="S606" s="339"/>
      <c r="T606" s="339"/>
      <c r="U606" s="339"/>
      <c r="V606" s="339"/>
      <c r="W606" s="339"/>
      <c r="X606" s="339"/>
      <c r="Y606" s="339"/>
      <c r="Z606" s="339"/>
    </row>
    <row r="607" spans="1:26" ht="15.75" customHeight="1">
      <c r="A607" s="339"/>
      <c r="B607" s="339"/>
      <c r="C607" s="339"/>
      <c r="D607" s="339"/>
      <c r="E607" s="339"/>
      <c r="F607" s="339"/>
      <c r="G607" s="339"/>
      <c r="H607" s="339"/>
      <c r="I607" s="341"/>
      <c r="J607" s="339"/>
      <c r="K607" s="341"/>
      <c r="L607" s="341"/>
      <c r="M607" s="341"/>
      <c r="N607" s="341"/>
      <c r="O607" s="341"/>
      <c r="P607" s="339"/>
      <c r="Q607" s="339"/>
      <c r="R607" s="339"/>
      <c r="S607" s="339"/>
      <c r="T607" s="339"/>
      <c r="U607" s="339"/>
      <c r="V607" s="339"/>
      <c r="W607" s="339"/>
      <c r="X607" s="339"/>
      <c r="Y607" s="339"/>
      <c r="Z607" s="339"/>
    </row>
    <row r="608" spans="1:26" ht="15.75" customHeight="1">
      <c r="A608" s="339"/>
      <c r="B608" s="339"/>
      <c r="C608" s="339"/>
      <c r="D608" s="339"/>
      <c r="E608" s="339"/>
      <c r="F608" s="339"/>
      <c r="G608" s="339"/>
      <c r="H608" s="339"/>
      <c r="I608" s="341"/>
      <c r="J608" s="339"/>
      <c r="K608" s="341"/>
      <c r="L608" s="341"/>
      <c r="M608" s="341"/>
      <c r="N608" s="341"/>
      <c r="O608" s="341"/>
      <c r="P608" s="339"/>
      <c r="Q608" s="339"/>
      <c r="R608" s="339"/>
      <c r="S608" s="339"/>
      <c r="T608" s="339"/>
      <c r="U608" s="339"/>
      <c r="V608" s="339"/>
      <c r="W608" s="339"/>
      <c r="X608" s="339"/>
      <c r="Y608" s="339"/>
      <c r="Z608" s="339"/>
    </row>
    <row r="609" spans="1:26" ht="15.75" customHeight="1">
      <c r="A609" s="339"/>
      <c r="B609" s="339"/>
      <c r="C609" s="339"/>
      <c r="D609" s="339"/>
      <c r="E609" s="339"/>
      <c r="F609" s="339"/>
      <c r="G609" s="339"/>
      <c r="H609" s="339"/>
      <c r="I609" s="341"/>
      <c r="J609" s="339"/>
      <c r="K609" s="341"/>
      <c r="L609" s="341"/>
      <c r="M609" s="341"/>
      <c r="N609" s="341"/>
      <c r="O609" s="341"/>
      <c r="P609" s="339"/>
      <c r="Q609" s="339"/>
      <c r="R609" s="339"/>
      <c r="S609" s="339"/>
      <c r="T609" s="339"/>
      <c r="U609" s="339"/>
      <c r="V609" s="339"/>
      <c r="W609" s="339"/>
      <c r="X609" s="339"/>
      <c r="Y609" s="339"/>
      <c r="Z609" s="339"/>
    </row>
    <row r="610" spans="1:26" ht="15.75" customHeight="1">
      <c r="A610" s="339"/>
      <c r="B610" s="339"/>
      <c r="C610" s="339"/>
      <c r="D610" s="339"/>
      <c r="E610" s="339"/>
      <c r="F610" s="339"/>
      <c r="G610" s="339"/>
      <c r="H610" s="339"/>
      <c r="I610" s="341"/>
      <c r="J610" s="339"/>
      <c r="K610" s="341"/>
      <c r="L610" s="341"/>
      <c r="M610" s="341"/>
      <c r="N610" s="341"/>
      <c r="O610" s="341"/>
      <c r="P610" s="339"/>
      <c r="Q610" s="339"/>
      <c r="R610" s="339"/>
      <c r="S610" s="339"/>
      <c r="T610" s="339"/>
      <c r="U610" s="339"/>
      <c r="V610" s="339"/>
      <c r="W610" s="339"/>
      <c r="X610" s="339"/>
      <c r="Y610" s="339"/>
      <c r="Z610" s="339"/>
    </row>
    <row r="611" spans="1:26" ht="15.75" customHeight="1">
      <c r="A611" s="339"/>
      <c r="B611" s="339"/>
      <c r="C611" s="339"/>
      <c r="D611" s="339"/>
      <c r="E611" s="339"/>
      <c r="F611" s="339"/>
      <c r="G611" s="339"/>
      <c r="H611" s="339"/>
      <c r="I611" s="341"/>
      <c r="J611" s="339"/>
      <c r="K611" s="341"/>
      <c r="L611" s="341"/>
      <c r="M611" s="341"/>
      <c r="N611" s="341"/>
      <c r="O611" s="341"/>
      <c r="P611" s="339"/>
      <c r="Q611" s="339"/>
      <c r="R611" s="339"/>
      <c r="S611" s="339"/>
      <c r="T611" s="339"/>
      <c r="U611" s="339"/>
      <c r="V611" s="339"/>
      <c r="W611" s="339"/>
      <c r="X611" s="339"/>
      <c r="Y611" s="339"/>
      <c r="Z611" s="339"/>
    </row>
    <row r="612" spans="1:26" ht="15.75" customHeight="1">
      <c r="A612" s="339"/>
      <c r="B612" s="339"/>
      <c r="C612" s="339"/>
      <c r="D612" s="339"/>
      <c r="E612" s="339"/>
      <c r="F612" s="339"/>
      <c r="G612" s="339"/>
      <c r="H612" s="339"/>
      <c r="I612" s="341"/>
      <c r="J612" s="339"/>
      <c r="K612" s="341"/>
      <c r="L612" s="341"/>
      <c r="M612" s="341"/>
      <c r="N612" s="341"/>
      <c r="O612" s="341"/>
      <c r="P612" s="339"/>
      <c r="Q612" s="339"/>
      <c r="R612" s="339"/>
      <c r="S612" s="339"/>
      <c r="T612" s="339"/>
      <c r="U612" s="339"/>
      <c r="V612" s="339"/>
      <c r="W612" s="339"/>
      <c r="X612" s="339"/>
      <c r="Y612" s="339"/>
      <c r="Z612" s="339"/>
    </row>
    <row r="613" spans="1:26" ht="15.75" customHeight="1">
      <c r="A613" s="339"/>
      <c r="B613" s="339"/>
      <c r="C613" s="339"/>
      <c r="D613" s="339"/>
      <c r="E613" s="339"/>
      <c r="F613" s="339"/>
      <c r="G613" s="339"/>
      <c r="H613" s="339"/>
      <c r="I613" s="341"/>
      <c r="J613" s="339"/>
      <c r="K613" s="341"/>
      <c r="L613" s="341"/>
      <c r="M613" s="341"/>
      <c r="N613" s="341"/>
      <c r="O613" s="341"/>
      <c r="P613" s="339"/>
      <c r="Q613" s="339"/>
      <c r="R613" s="339"/>
      <c r="S613" s="339"/>
      <c r="T613" s="339"/>
      <c r="U613" s="339"/>
      <c r="V613" s="339"/>
      <c r="W613" s="339"/>
      <c r="X613" s="339"/>
      <c r="Y613" s="339"/>
      <c r="Z613" s="339"/>
    </row>
    <row r="614" spans="1:26" ht="15.75" customHeight="1">
      <c r="A614" s="339"/>
      <c r="B614" s="339"/>
      <c r="C614" s="339"/>
      <c r="D614" s="339"/>
      <c r="E614" s="339"/>
      <c r="F614" s="339"/>
      <c r="G614" s="339"/>
      <c r="H614" s="339"/>
      <c r="I614" s="341"/>
      <c r="J614" s="339"/>
      <c r="K614" s="341"/>
      <c r="L614" s="341"/>
      <c r="M614" s="341"/>
      <c r="N614" s="341"/>
      <c r="O614" s="341"/>
      <c r="P614" s="339"/>
      <c r="Q614" s="339"/>
      <c r="R614" s="339"/>
      <c r="S614" s="339"/>
      <c r="T614" s="339"/>
      <c r="U614" s="339"/>
      <c r="V614" s="339"/>
      <c r="W614" s="339"/>
      <c r="X614" s="339"/>
      <c r="Y614" s="339"/>
      <c r="Z614" s="339"/>
    </row>
    <row r="615" spans="1:26" ht="15.75" customHeight="1">
      <c r="A615" s="339"/>
      <c r="B615" s="339"/>
      <c r="C615" s="339"/>
      <c r="D615" s="339"/>
      <c r="E615" s="339"/>
      <c r="F615" s="339"/>
      <c r="G615" s="339"/>
      <c r="H615" s="339"/>
      <c r="I615" s="341"/>
      <c r="J615" s="339"/>
      <c r="K615" s="341"/>
      <c r="L615" s="341"/>
      <c r="M615" s="341"/>
      <c r="N615" s="341"/>
      <c r="O615" s="341"/>
      <c r="P615" s="339"/>
      <c r="Q615" s="339"/>
      <c r="R615" s="339"/>
      <c r="S615" s="339"/>
      <c r="T615" s="339"/>
      <c r="U615" s="339"/>
      <c r="V615" s="339"/>
      <c r="W615" s="339"/>
      <c r="X615" s="339"/>
      <c r="Y615" s="339"/>
      <c r="Z615" s="339"/>
    </row>
    <row r="616" spans="1:26" ht="15.75" customHeight="1">
      <c r="A616" s="339"/>
      <c r="B616" s="339"/>
      <c r="C616" s="339"/>
      <c r="D616" s="339"/>
      <c r="E616" s="339"/>
      <c r="F616" s="339"/>
      <c r="G616" s="339"/>
      <c r="H616" s="339"/>
      <c r="I616" s="341"/>
      <c r="J616" s="339"/>
      <c r="K616" s="341"/>
      <c r="L616" s="341"/>
      <c r="M616" s="341"/>
      <c r="N616" s="341"/>
      <c r="O616" s="341"/>
      <c r="P616" s="339"/>
      <c r="Q616" s="339"/>
      <c r="R616" s="339"/>
      <c r="S616" s="339"/>
      <c r="T616" s="339"/>
      <c r="U616" s="339"/>
      <c r="V616" s="339"/>
      <c r="W616" s="339"/>
      <c r="X616" s="339"/>
      <c r="Y616" s="339"/>
      <c r="Z616" s="339"/>
    </row>
    <row r="617" spans="1:26" ht="15.75" customHeight="1">
      <c r="A617" s="339"/>
      <c r="B617" s="339"/>
      <c r="C617" s="339"/>
      <c r="D617" s="339"/>
      <c r="E617" s="339"/>
      <c r="F617" s="339"/>
      <c r="G617" s="339"/>
      <c r="H617" s="339"/>
      <c r="I617" s="341"/>
      <c r="J617" s="339"/>
      <c r="K617" s="341"/>
      <c r="L617" s="341"/>
      <c r="M617" s="341"/>
      <c r="N617" s="341"/>
      <c r="O617" s="341"/>
      <c r="P617" s="339"/>
      <c r="Q617" s="339"/>
      <c r="R617" s="339"/>
      <c r="S617" s="339"/>
      <c r="T617" s="339"/>
      <c r="U617" s="339"/>
      <c r="V617" s="339"/>
      <c r="W617" s="339"/>
      <c r="X617" s="339"/>
      <c r="Y617" s="339"/>
      <c r="Z617" s="339"/>
    </row>
    <row r="618" spans="1:26" ht="15.75" customHeight="1">
      <c r="A618" s="339"/>
      <c r="B618" s="339"/>
      <c r="C618" s="339"/>
      <c r="D618" s="339"/>
      <c r="E618" s="339"/>
      <c r="F618" s="339"/>
      <c r="G618" s="339"/>
      <c r="H618" s="339"/>
      <c r="I618" s="341"/>
      <c r="J618" s="339"/>
      <c r="K618" s="341"/>
      <c r="L618" s="341"/>
      <c r="M618" s="341"/>
      <c r="N618" s="341"/>
      <c r="O618" s="341"/>
      <c r="P618" s="339"/>
      <c r="Q618" s="339"/>
      <c r="R618" s="339"/>
      <c r="S618" s="339"/>
      <c r="T618" s="339"/>
      <c r="U618" s="339"/>
      <c r="V618" s="339"/>
      <c r="W618" s="339"/>
      <c r="X618" s="339"/>
      <c r="Y618" s="339"/>
      <c r="Z618" s="339"/>
    </row>
    <row r="619" spans="1:26" ht="15.75" customHeight="1">
      <c r="A619" s="339"/>
      <c r="B619" s="339"/>
      <c r="C619" s="339"/>
      <c r="D619" s="339"/>
      <c r="E619" s="339"/>
      <c r="F619" s="339"/>
      <c r="G619" s="339"/>
      <c r="H619" s="339"/>
      <c r="I619" s="341"/>
      <c r="J619" s="339"/>
      <c r="K619" s="341"/>
      <c r="L619" s="341"/>
      <c r="M619" s="341"/>
      <c r="N619" s="341"/>
      <c r="O619" s="341"/>
      <c r="P619" s="339"/>
      <c r="Q619" s="339"/>
      <c r="R619" s="339"/>
      <c r="S619" s="339"/>
      <c r="T619" s="339"/>
      <c r="U619" s="339"/>
      <c r="V619" s="339"/>
      <c r="W619" s="339"/>
      <c r="X619" s="339"/>
      <c r="Y619" s="339"/>
      <c r="Z619" s="339"/>
    </row>
    <row r="620" spans="1:26" ht="15.75" customHeight="1">
      <c r="A620" s="339"/>
      <c r="B620" s="339"/>
      <c r="C620" s="339"/>
      <c r="D620" s="339"/>
      <c r="E620" s="339"/>
      <c r="F620" s="339"/>
      <c r="G620" s="339"/>
      <c r="H620" s="339"/>
      <c r="I620" s="341"/>
      <c r="J620" s="339"/>
      <c r="K620" s="341"/>
      <c r="L620" s="341"/>
      <c r="M620" s="341"/>
      <c r="N620" s="341"/>
      <c r="O620" s="341"/>
      <c r="P620" s="339"/>
      <c r="Q620" s="339"/>
      <c r="R620" s="339"/>
      <c r="S620" s="339"/>
      <c r="T620" s="339"/>
      <c r="U620" s="339"/>
      <c r="V620" s="339"/>
      <c r="W620" s="339"/>
      <c r="X620" s="339"/>
      <c r="Y620" s="339"/>
      <c r="Z620" s="339"/>
    </row>
    <row r="621" spans="1:26" ht="15.75" customHeight="1">
      <c r="A621" s="339"/>
      <c r="B621" s="339"/>
      <c r="C621" s="339"/>
      <c r="D621" s="339"/>
      <c r="E621" s="339"/>
      <c r="F621" s="339"/>
      <c r="G621" s="339"/>
      <c r="H621" s="339"/>
      <c r="I621" s="341"/>
      <c r="J621" s="339"/>
      <c r="K621" s="341"/>
      <c r="L621" s="341"/>
      <c r="M621" s="341"/>
      <c r="N621" s="341"/>
      <c r="O621" s="341"/>
      <c r="P621" s="339"/>
      <c r="Q621" s="339"/>
      <c r="R621" s="339"/>
      <c r="S621" s="339"/>
      <c r="T621" s="339"/>
      <c r="U621" s="339"/>
      <c r="V621" s="339"/>
      <c r="W621" s="339"/>
      <c r="X621" s="339"/>
      <c r="Y621" s="339"/>
      <c r="Z621" s="339"/>
    </row>
    <row r="622" spans="1:26" ht="15.75" customHeight="1">
      <c r="A622" s="339"/>
      <c r="B622" s="339"/>
      <c r="C622" s="339"/>
      <c r="D622" s="339"/>
      <c r="E622" s="339"/>
      <c r="F622" s="339"/>
      <c r="G622" s="339"/>
      <c r="H622" s="339"/>
      <c r="I622" s="341"/>
      <c r="J622" s="339"/>
      <c r="K622" s="341"/>
      <c r="L622" s="341"/>
      <c r="M622" s="341"/>
      <c r="N622" s="341"/>
      <c r="O622" s="341"/>
      <c r="P622" s="339"/>
      <c r="Q622" s="339"/>
      <c r="R622" s="339"/>
      <c r="S622" s="339"/>
      <c r="T622" s="339"/>
      <c r="U622" s="339"/>
      <c r="V622" s="339"/>
      <c r="W622" s="339"/>
      <c r="X622" s="339"/>
      <c r="Y622" s="339"/>
      <c r="Z622" s="339"/>
    </row>
    <row r="623" spans="1:26" ht="15.75" customHeight="1">
      <c r="A623" s="339"/>
      <c r="B623" s="339"/>
      <c r="C623" s="339"/>
      <c r="D623" s="339"/>
      <c r="E623" s="339"/>
      <c r="F623" s="339"/>
      <c r="G623" s="339"/>
      <c r="H623" s="339"/>
      <c r="I623" s="341"/>
      <c r="J623" s="339"/>
      <c r="K623" s="341"/>
      <c r="L623" s="341"/>
      <c r="M623" s="341"/>
      <c r="N623" s="341"/>
      <c r="O623" s="341"/>
      <c r="P623" s="339"/>
      <c r="Q623" s="339"/>
      <c r="R623" s="339"/>
      <c r="S623" s="339"/>
      <c r="T623" s="339"/>
      <c r="U623" s="339"/>
      <c r="V623" s="339"/>
      <c r="W623" s="339"/>
      <c r="X623" s="339"/>
      <c r="Y623" s="339"/>
      <c r="Z623" s="339"/>
    </row>
    <row r="624" spans="1:26" ht="15.75" customHeight="1">
      <c r="A624" s="339"/>
      <c r="B624" s="339"/>
      <c r="C624" s="339"/>
      <c r="D624" s="339"/>
      <c r="E624" s="339"/>
      <c r="F624" s="339"/>
      <c r="G624" s="339"/>
      <c r="H624" s="339"/>
      <c r="I624" s="341"/>
      <c r="J624" s="339"/>
      <c r="K624" s="341"/>
      <c r="L624" s="341"/>
      <c r="M624" s="341"/>
      <c r="N624" s="341"/>
      <c r="O624" s="341"/>
      <c r="P624" s="339"/>
      <c r="Q624" s="339"/>
      <c r="R624" s="339"/>
      <c r="S624" s="339"/>
      <c r="T624" s="339"/>
      <c r="U624" s="339"/>
      <c r="V624" s="339"/>
      <c r="W624" s="339"/>
      <c r="X624" s="339"/>
      <c r="Y624" s="339"/>
      <c r="Z624" s="339"/>
    </row>
    <row r="625" spans="1:26" ht="15.75" customHeight="1">
      <c r="A625" s="339"/>
      <c r="B625" s="339"/>
      <c r="C625" s="339"/>
      <c r="D625" s="339"/>
      <c r="E625" s="339"/>
      <c r="F625" s="339"/>
      <c r="G625" s="339"/>
      <c r="H625" s="339"/>
      <c r="I625" s="341"/>
      <c r="J625" s="339"/>
      <c r="K625" s="341"/>
      <c r="L625" s="341"/>
      <c r="M625" s="341"/>
      <c r="N625" s="341"/>
      <c r="O625" s="341"/>
      <c r="P625" s="339"/>
      <c r="Q625" s="339"/>
      <c r="R625" s="339"/>
      <c r="S625" s="339"/>
      <c r="T625" s="339"/>
      <c r="U625" s="339"/>
      <c r="V625" s="339"/>
      <c r="W625" s="339"/>
      <c r="X625" s="339"/>
      <c r="Y625" s="339"/>
      <c r="Z625" s="339"/>
    </row>
    <row r="626" spans="1:26" ht="15.75" customHeight="1">
      <c r="A626" s="339"/>
      <c r="B626" s="339"/>
      <c r="C626" s="339"/>
      <c r="D626" s="339"/>
      <c r="E626" s="339"/>
      <c r="F626" s="339"/>
      <c r="G626" s="339"/>
      <c r="H626" s="339"/>
      <c r="I626" s="341"/>
      <c r="J626" s="339"/>
      <c r="K626" s="341"/>
      <c r="L626" s="341"/>
      <c r="M626" s="341"/>
      <c r="N626" s="341"/>
      <c r="O626" s="341"/>
      <c r="P626" s="339"/>
      <c r="Q626" s="339"/>
      <c r="R626" s="339"/>
      <c r="S626" s="339"/>
      <c r="T626" s="339"/>
      <c r="U626" s="339"/>
      <c r="V626" s="339"/>
      <c r="W626" s="339"/>
      <c r="X626" s="339"/>
      <c r="Y626" s="339"/>
      <c r="Z626" s="339"/>
    </row>
    <row r="627" spans="1:26" ht="15.75" customHeight="1">
      <c r="A627" s="339"/>
      <c r="B627" s="339"/>
      <c r="C627" s="339"/>
      <c r="D627" s="339"/>
      <c r="E627" s="339"/>
      <c r="F627" s="339"/>
      <c r="G627" s="339"/>
      <c r="H627" s="339"/>
      <c r="I627" s="341"/>
      <c r="J627" s="339"/>
      <c r="K627" s="341"/>
      <c r="L627" s="341"/>
      <c r="M627" s="341"/>
      <c r="N627" s="341"/>
      <c r="O627" s="341"/>
      <c r="P627" s="339"/>
      <c r="Q627" s="339"/>
      <c r="R627" s="339"/>
      <c r="S627" s="339"/>
      <c r="T627" s="339"/>
      <c r="U627" s="339"/>
      <c r="V627" s="339"/>
      <c r="W627" s="339"/>
      <c r="X627" s="339"/>
      <c r="Y627" s="339"/>
      <c r="Z627" s="339"/>
    </row>
    <row r="628" spans="1:26" ht="15.75" customHeight="1">
      <c r="A628" s="339"/>
      <c r="B628" s="339"/>
      <c r="C628" s="339"/>
      <c r="D628" s="339"/>
      <c r="E628" s="339"/>
      <c r="F628" s="339"/>
      <c r="G628" s="339"/>
      <c r="H628" s="339"/>
      <c r="I628" s="341"/>
      <c r="J628" s="339"/>
      <c r="K628" s="341"/>
      <c r="L628" s="341"/>
      <c r="M628" s="341"/>
      <c r="N628" s="341"/>
      <c r="O628" s="341"/>
      <c r="P628" s="339"/>
      <c r="Q628" s="339"/>
      <c r="R628" s="339"/>
      <c r="S628" s="339"/>
      <c r="T628" s="339"/>
      <c r="U628" s="339"/>
      <c r="V628" s="339"/>
      <c r="W628" s="339"/>
      <c r="X628" s="339"/>
      <c r="Y628" s="339"/>
      <c r="Z628" s="339"/>
    </row>
    <row r="629" spans="1:26" ht="15.75" customHeight="1">
      <c r="A629" s="339"/>
      <c r="B629" s="339"/>
      <c r="C629" s="339"/>
      <c r="D629" s="339"/>
      <c r="E629" s="339"/>
      <c r="F629" s="339"/>
      <c r="G629" s="339"/>
      <c r="H629" s="339"/>
      <c r="I629" s="341"/>
      <c r="J629" s="339"/>
      <c r="K629" s="341"/>
      <c r="L629" s="341"/>
      <c r="M629" s="341"/>
      <c r="N629" s="341"/>
      <c r="O629" s="341"/>
      <c r="P629" s="339"/>
      <c r="Q629" s="339"/>
      <c r="R629" s="339"/>
      <c r="S629" s="339"/>
      <c r="T629" s="339"/>
      <c r="U629" s="339"/>
      <c r="V629" s="339"/>
      <c r="W629" s="339"/>
      <c r="X629" s="339"/>
      <c r="Y629" s="339"/>
      <c r="Z629" s="339"/>
    </row>
    <row r="630" spans="1:26" ht="15.75" customHeight="1">
      <c r="A630" s="339"/>
      <c r="B630" s="339"/>
      <c r="C630" s="339"/>
      <c r="D630" s="339"/>
      <c r="E630" s="339"/>
      <c r="F630" s="339"/>
      <c r="G630" s="339"/>
      <c r="H630" s="339"/>
      <c r="I630" s="341"/>
      <c r="J630" s="339"/>
      <c r="K630" s="341"/>
      <c r="L630" s="341"/>
      <c r="M630" s="341"/>
      <c r="N630" s="341"/>
      <c r="O630" s="341"/>
      <c r="P630" s="339"/>
      <c r="Q630" s="339"/>
      <c r="R630" s="339"/>
      <c r="S630" s="339"/>
      <c r="T630" s="339"/>
      <c r="U630" s="339"/>
      <c r="V630" s="339"/>
      <c r="W630" s="339"/>
      <c r="X630" s="339"/>
      <c r="Y630" s="339"/>
      <c r="Z630" s="339"/>
    </row>
    <row r="631" spans="1:26" ht="15.75" customHeight="1">
      <c r="A631" s="339"/>
      <c r="B631" s="339"/>
      <c r="C631" s="339"/>
      <c r="D631" s="339"/>
      <c r="E631" s="339"/>
      <c r="F631" s="339"/>
      <c r="G631" s="339"/>
      <c r="H631" s="339"/>
      <c r="I631" s="341"/>
      <c r="J631" s="339"/>
      <c r="K631" s="341"/>
      <c r="L631" s="341"/>
      <c r="M631" s="341"/>
      <c r="N631" s="341"/>
      <c r="O631" s="341"/>
      <c r="P631" s="339"/>
      <c r="Q631" s="339"/>
      <c r="R631" s="339"/>
      <c r="S631" s="339"/>
      <c r="T631" s="339"/>
      <c r="U631" s="339"/>
      <c r="V631" s="339"/>
      <c r="W631" s="339"/>
      <c r="X631" s="339"/>
      <c r="Y631" s="339"/>
      <c r="Z631" s="339"/>
    </row>
    <row r="632" spans="1:26" ht="15.75" customHeight="1">
      <c r="A632" s="339"/>
      <c r="B632" s="339"/>
      <c r="C632" s="339"/>
      <c r="D632" s="339"/>
      <c r="E632" s="339"/>
      <c r="F632" s="339"/>
      <c r="G632" s="339"/>
      <c r="H632" s="339"/>
      <c r="I632" s="341"/>
      <c r="J632" s="339"/>
      <c r="K632" s="341"/>
      <c r="L632" s="341"/>
      <c r="M632" s="341"/>
      <c r="N632" s="341"/>
      <c r="O632" s="341"/>
      <c r="P632" s="339"/>
      <c r="Q632" s="339"/>
      <c r="R632" s="339"/>
      <c r="S632" s="339"/>
      <c r="T632" s="339"/>
      <c r="U632" s="339"/>
      <c r="V632" s="339"/>
      <c r="W632" s="339"/>
      <c r="X632" s="339"/>
      <c r="Y632" s="339"/>
      <c r="Z632" s="339"/>
    </row>
    <row r="633" spans="1:26" ht="15.75" customHeight="1">
      <c r="A633" s="339"/>
      <c r="B633" s="339"/>
      <c r="C633" s="339"/>
      <c r="D633" s="339"/>
      <c r="E633" s="339"/>
      <c r="F633" s="339"/>
      <c r="G633" s="339"/>
      <c r="H633" s="339"/>
      <c r="I633" s="341"/>
      <c r="J633" s="339"/>
      <c r="K633" s="341"/>
      <c r="L633" s="341"/>
      <c r="M633" s="341"/>
      <c r="N633" s="341"/>
      <c r="O633" s="341"/>
      <c r="P633" s="339"/>
      <c r="Q633" s="339"/>
      <c r="R633" s="339"/>
      <c r="S633" s="339"/>
      <c r="T633" s="339"/>
      <c r="U633" s="339"/>
      <c r="V633" s="339"/>
      <c r="W633" s="339"/>
      <c r="X633" s="339"/>
      <c r="Y633" s="339"/>
      <c r="Z633" s="339"/>
    </row>
    <row r="634" spans="1:26" ht="15.75" customHeight="1">
      <c r="A634" s="339"/>
      <c r="B634" s="339"/>
      <c r="C634" s="339"/>
      <c r="D634" s="339"/>
      <c r="E634" s="339"/>
      <c r="F634" s="339"/>
      <c r="G634" s="339"/>
      <c r="H634" s="339"/>
      <c r="I634" s="341"/>
      <c r="J634" s="339"/>
      <c r="K634" s="341"/>
      <c r="L634" s="341"/>
      <c r="M634" s="341"/>
      <c r="N634" s="341"/>
      <c r="O634" s="341"/>
      <c r="P634" s="339"/>
      <c r="Q634" s="339"/>
      <c r="R634" s="339"/>
      <c r="S634" s="339"/>
      <c r="T634" s="339"/>
      <c r="U634" s="339"/>
      <c r="V634" s="339"/>
      <c r="W634" s="339"/>
      <c r="X634" s="339"/>
      <c r="Y634" s="339"/>
      <c r="Z634" s="339"/>
    </row>
    <row r="635" spans="1:26" ht="15.75" customHeight="1">
      <c r="A635" s="339"/>
      <c r="B635" s="339"/>
      <c r="C635" s="339"/>
      <c r="D635" s="339"/>
      <c r="E635" s="339"/>
      <c r="F635" s="339"/>
      <c r="G635" s="339"/>
      <c r="H635" s="339"/>
      <c r="I635" s="341"/>
      <c r="J635" s="339"/>
      <c r="K635" s="341"/>
      <c r="L635" s="341"/>
      <c r="M635" s="341"/>
      <c r="N635" s="341"/>
      <c r="O635" s="341"/>
      <c r="P635" s="339"/>
      <c r="Q635" s="339"/>
      <c r="R635" s="339"/>
      <c r="S635" s="339"/>
      <c r="T635" s="339"/>
      <c r="U635" s="339"/>
      <c r="V635" s="339"/>
      <c r="W635" s="339"/>
      <c r="X635" s="339"/>
      <c r="Y635" s="339"/>
      <c r="Z635" s="339"/>
    </row>
    <row r="636" spans="1:26" ht="15.75" customHeight="1">
      <c r="A636" s="339"/>
      <c r="B636" s="339"/>
      <c r="C636" s="339"/>
      <c r="D636" s="339"/>
      <c r="E636" s="339"/>
      <c r="F636" s="339"/>
      <c r="G636" s="339"/>
      <c r="H636" s="339"/>
      <c r="I636" s="341"/>
      <c r="J636" s="339"/>
      <c r="K636" s="341"/>
      <c r="L636" s="341"/>
      <c r="M636" s="341"/>
      <c r="N636" s="341"/>
      <c r="O636" s="341"/>
      <c r="P636" s="339"/>
      <c r="Q636" s="339"/>
      <c r="R636" s="339"/>
      <c r="S636" s="339"/>
      <c r="T636" s="339"/>
      <c r="U636" s="339"/>
      <c r="V636" s="339"/>
      <c r="W636" s="339"/>
      <c r="X636" s="339"/>
      <c r="Y636" s="339"/>
      <c r="Z636" s="339"/>
    </row>
    <row r="637" spans="1:26" ht="15.75" customHeight="1">
      <c r="A637" s="339"/>
      <c r="B637" s="339"/>
      <c r="C637" s="339"/>
      <c r="D637" s="339"/>
      <c r="E637" s="339"/>
      <c r="F637" s="339"/>
      <c r="G637" s="339"/>
      <c r="H637" s="339"/>
      <c r="I637" s="341"/>
      <c r="J637" s="339"/>
      <c r="K637" s="341"/>
      <c r="L637" s="341"/>
      <c r="M637" s="341"/>
      <c r="N637" s="341"/>
      <c r="O637" s="341"/>
      <c r="P637" s="339"/>
      <c r="Q637" s="339"/>
      <c r="R637" s="339"/>
      <c r="S637" s="339"/>
      <c r="T637" s="339"/>
      <c r="U637" s="339"/>
      <c r="V637" s="339"/>
      <c r="W637" s="339"/>
      <c r="X637" s="339"/>
      <c r="Y637" s="339"/>
      <c r="Z637" s="339"/>
    </row>
    <row r="638" spans="1:26" ht="15.75" customHeight="1">
      <c r="A638" s="339"/>
      <c r="B638" s="339"/>
      <c r="C638" s="339"/>
      <c r="D638" s="339"/>
      <c r="E638" s="339"/>
      <c r="F638" s="339"/>
      <c r="G638" s="339"/>
      <c r="H638" s="339"/>
      <c r="I638" s="341"/>
      <c r="J638" s="339"/>
      <c r="K638" s="341"/>
      <c r="L638" s="341"/>
      <c r="M638" s="341"/>
      <c r="N638" s="341"/>
      <c r="O638" s="341"/>
      <c r="P638" s="339"/>
      <c r="Q638" s="339"/>
      <c r="R638" s="339"/>
      <c r="S638" s="339"/>
      <c r="T638" s="339"/>
      <c r="U638" s="339"/>
      <c r="V638" s="339"/>
      <c r="W638" s="339"/>
      <c r="X638" s="339"/>
      <c r="Y638" s="339"/>
      <c r="Z638" s="339"/>
    </row>
    <row r="639" spans="1:26" ht="15.75" customHeight="1">
      <c r="A639" s="339"/>
      <c r="B639" s="339"/>
      <c r="C639" s="339"/>
      <c r="D639" s="339"/>
      <c r="E639" s="339"/>
      <c r="F639" s="339"/>
      <c r="G639" s="339"/>
      <c r="H639" s="339"/>
      <c r="I639" s="341"/>
      <c r="J639" s="339"/>
      <c r="K639" s="341"/>
      <c r="L639" s="341"/>
      <c r="M639" s="341"/>
      <c r="N639" s="341"/>
      <c r="O639" s="341"/>
      <c r="P639" s="339"/>
      <c r="Q639" s="339"/>
      <c r="R639" s="339"/>
      <c r="S639" s="339"/>
      <c r="T639" s="339"/>
      <c r="U639" s="339"/>
      <c r="V639" s="339"/>
      <c r="W639" s="339"/>
      <c r="X639" s="339"/>
      <c r="Y639" s="339"/>
      <c r="Z639" s="339"/>
    </row>
    <row r="640" spans="1:26" ht="15.75" customHeight="1">
      <c r="A640" s="339"/>
      <c r="B640" s="339"/>
      <c r="C640" s="339"/>
      <c r="D640" s="339"/>
      <c r="E640" s="339"/>
      <c r="F640" s="339"/>
      <c r="G640" s="339"/>
      <c r="H640" s="339"/>
      <c r="I640" s="341"/>
      <c r="J640" s="339"/>
      <c r="K640" s="341"/>
      <c r="L640" s="341"/>
      <c r="M640" s="341"/>
      <c r="N640" s="341"/>
      <c r="O640" s="341"/>
      <c r="P640" s="339"/>
      <c r="Q640" s="339"/>
      <c r="R640" s="339"/>
      <c r="S640" s="339"/>
      <c r="T640" s="339"/>
      <c r="U640" s="339"/>
      <c r="V640" s="339"/>
      <c r="W640" s="339"/>
      <c r="X640" s="339"/>
      <c r="Y640" s="339"/>
      <c r="Z640" s="339"/>
    </row>
    <row r="641" spans="1:26" ht="15.75" customHeight="1">
      <c r="A641" s="339"/>
      <c r="B641" s="339"/>
      <c r="C641" s="339"/>
      <c r="D641" s="339"/>
      <c r="E641" s="339"/>
      <c r="F641" s="339"/>
      <c r="G641" s="339"/>
      <c r="H641" s="339"/>
      <c r="I641" s="341"/>
      <c r="J641" s="339"/>
      <c r="K641" s="341"/>
      <c r="L641" s="341"/>
      <c r="M641" s="341"/>
      <c r="N641" s="341"/>
      <c r="O641" s="341"/>
      <c r="P641" s="339"/>
      <c r="Q641" s="339"/>
      <c r="R641" s="339"/>
      <c r="S641" s="339"/>
      <c r="T641" s="339"/>
      <c r="U641" s="339"/>
      <c r="V641" s="339"/>
      <c r="W641" s="339"/>
      <c r="X641" s="339"/>
      <c r="Y641" s="339"/>
      <c r="Z641" s="339"/>
    </row>
    <row r="642" spans="1:26" ht="15.75" customHeight="1">
      <c r="A642" s="339"/>
      <c r="B642" s="339"/>
      <c r="C642" s="339"/>
      <c r="D642" s="339"/>
      <c r="E642" s="339"/>
      <c r="F642" s="339"/>
      <c r="G642" s="339"/>
      <c r="H642" s="339"/>
      <c r="I642" s="341"/>
      <c r="J642" s="339"/>
      <c r="K642" s="341"/>
      <c r="L642" s="341"/>
      <c r="M642" s="341"/>
      <c r="N642" s="341"/>
      <c r="O642" s="341"/>
      <c r="P642" s="339"/>
      <c r="Q642" s="339"/>
      <c r="R642" s="339"/>
      <c r="S642" s="339"/>
      <c r="T642" s="339"/>
      <c r="U642" s="339"/>
      <c r="V642" s="339"/>
      <c r="W642" s="339"/>
      <c r="X642" s="339"/>
      <c r="Y642" s="339"/>
      <c r="Z642" s="339"/>
    </row>
    <row r="643" spans="1:26" ht="15.75" customHeight="1">
      <c r="A643" s="339"/>
      <c r="B643" s="339"/>
      <c r="C643" s="339"/>
      <c r="D643" s="339"/>
      <c r="E643" s="339"/>
      <c r="F643" s="339"/>
      <c r="G643" s="339"/>
      <c r="H643" s="339"/>
      <c r="I643" s="341"/>
      <c r="J643" s="339"/>
      <c r="K643" s="341"/>
      <c r="L643" s="341"/>
      <c r="M643" s="341"/>
      <c r="N643" s="341"/>
      <c r="O643" s="341"/>
      <c r="P643" s="339"/>
      <c r="Q643" s="339"/>
      <c r="R643" s="339"/>
      <c r="S643" s="339"/>
      <c r="T643" s="339"/>
      <c r="U643" s="339"/>
      <c r="V643" s="339"/>
      <c r="W643" s="339"/>
      <c r="X643" s="339"/>
      <c r="Y643" s="339"/>
      <c r="Z643" s="339"/>
    </row>
    <row r="644" spans="1:26" ht="15.75" customHeight="1">
      <c r="A644" s="339"/>
      <c r="B644" s="339"/>
      <c r="C644" s="339"/>
      <c r="D644" s="339"/>
      <c r="E644" s="339"/>
      <c r="F644" s="339"/>
      <c r="G644" s="339"/>
      <c r="H644" s="339"/>
      <c r="I644" s="341"/>
      <c r="J644" s="339"/>
      <c r="K644" s="341"/>
      <c r="L644" s="341"/>
      <c r="M644" s="341"/>
      <c r="N644" s="341"/>
      <c r="O644" s="341"/>
      <c r="P644" s="339"/>
      <c r="Q644" s="339"/>
      <c r="R644" s="339"/>
      <c r="S644" s="339"/>
      <c r="T644" s="339"/>
      <c r="U644" s="339"/>
      <c r="V644" s="339"/>
      <c r="W644" s="339"/>
      <c r="X644" s="339"/>
      <c r="Y644" s="339"/>
      <c r="Z644" s="339"/>
    </row>
    <row r="645" spans="1:26" ht="15.75" customHeight="1">
      <c r="A645" s="339"/>
      <c r="B645" s="339"/>
      <c r="C645" s="339"/>
      <c r="D645" s="339"/>
      <c r="E645" s="339"/>
      <c r="F645" s="339"/>
      <c r="G645" s="339"/>
      <c r="H645" s="339"/>
      <c r="I645" s="341"/>
      <c r="J645" s="339"/>
      <c r="K645" s="341"/>
      <c r="L645" s="341"/>
      <c r="M645" s="341"/>
      <c r="N645" s="341"/>
      <c r="O645" s="341"/>
      <c r="P645" s="339"/>
      <c r="Q645" s="339"/>
      <c r="R645" s="339"/>
      <c r="S645" s="339"/>
      <c r="T645" s="339"/>
      <c r="U645" s="339"/>
      <c r="V645" s="339"/>
      <c r="W645" s="339"/>
      <c r="X645" s="339"/>
      <c r="Y645" s="339"/>
      <c r="Z645" s="339"/>
    </row>
    <row r="646" spans="1:26" ht="15.75" customHeight="1">
      <c r="A646" s="339"/>
      <c r="B646" s="339"/>
      <c r="C646" s="339"/>
      <c r="D646" s="339"/>
      <c r="E646" s="339"/>
      <c r="F646" s="339"/>
      <c r="G646" s="339"/>
      <c r="H646" s="339"/>
      <c r="I646" s="341"/>
      <c r="J646" s="339"/>
      <c r="K646" s="341"/>
      <c r="L646" s="341"/>
      <c r="M646" s="341"/>
      <c r="N646" s="341"/>
      <c r="O646" s="341"/>
      <c r="P646" s="339"/>
      <c r="Q646" s="339"/>
      <c r="R646" s="339"/>
      <c r="S646" s="339"/>
      <c r="T646" s="339"/>
      <c r="U646" s="339"/>
      <c r="V646" s="339"/>
      <c r="W646" s="339"/>
      <c r="X646" s="339"/>
      <c r="Y646" s="339"/>
      <c r="Z646" s="339"/>
    </row>
    <row r="647" spans="1:26" ht="15.75" customHeight="1">
      <c r="A647" s="339"/>
      <c r="B647" s="339"/>
      <c r="C647" s="339"/>
      <c r="D647" s="339"/>
      <c r="E647" s="339"/>
      <c r="F647" s="339"/>
      <c r="G647" s="339"/>
      <c r="H647" s="339"/>
      <c r="I647" s="341"/>
      <c r="J647" s="339"/>
      <c r="K647" s="341"/>
      <c r="L647" s="341"/>
      <c r="M647" s="341"/>
      <c r="N647" s="341"/>
      <c r="O647" s="341"/>
      <c r="P647" s="339"/>
      <c r="Q647" s="339"/>
      <c r="R647" s="339"/>
      <c r="S647" s="339"/>
      <c r="T647" s="339"/>
      <c r="U647" s="339"/>
      <c r="V647" s="339"/>
      <c r="W647" s="339"/>
      <c r="X647" s="339"/>
      <c r="Y647" s="339"/>
      <c r="Z647" s="339"/>
    </row>
    <row r="648" spans="1:26" ht="15.75" customHeight="1">
      <c r="A648" s="339"/>
      <c r="B648" s="339"/>
      <c r="C648" s="339"/>
      <c r="D648" s="339"/>
      <c r="E648" s="339"/>
      <c r="F648" s="339"/>
      <c r="G648" s="339"/>
      <c r="H648" s="339"/>
      <c r="I648" s="341"/>
      <c r="J648" s="339"/>
      <c r="K648" s="341"/>
      <c r="L648" s="341"/>
      <c r="M648" s="341"/>
      <c r="N648" s="341"/>
      <c r="O648" s="341"/>
      <c r="P648" s="339"/>
      <c r="Q648" s="339"/>
      <c r="R648" s="339"/>
      <c r="S648" s="339"/>
      <c r="T648" s="339"/>
      <c r="U648" s="339"/>
      <c r="V648" s="339"/>
      <c r="W648" s="339"/>
      <c r="X648" s="339"/>
      <c r="Y648" s="339"/>
      <c r="Z648" s="339"/>
    </row>
    <row r="649" spans="1:26" ht="15.75" customHeight="1">
      <c r="A649" s="339"/>
      <c r="B649" s="339"/>
      <c r="C649" s="339"/>
      <c r="D649" s="339"/>
      <c r="E649" s="339"/>
      <c r="F649" s="339"/>
      <c r="G649" s="339"/>
      <c r="H649" s="339"/>
      <c r="I649" s="341"/>
      <c r="J649" s="339"/>
      <c r="K649" s="341"/>
      <c r="L649" s="341"/>
      <c r="M649" s="341"/>
      <c r="N649" s="341"/>
      <c r="O649" s="341"/>
      <c r="P649" s="339"/>
      <c r="Q649" s="339"/>
      <c r="R649" s="339"/>
      <c r="S649" s="339"/>
      <c r="T649" s="339"/>
      <c r="U649" s="339"/>
      <c r="V649" s="339"/>
      <c r="W649" s="339"/>
      <c r="X649" s="339"/>
      <c r="Y649" s="339"/>
      <c r="Z649" s="339"/>
    </row>
    <row r="650" spans="1:26" ht="15.75" customHeight="1">
      <c r="A650" s="339"/>
      <c r="B650" s="339"/>
      <c r="C650" s="339"/>
      <c r="D650" s="339"/>
      <c r="E650" s="339"/>
      <c r="F650" s="339"/>
      <c r="G650" s="339"/>
      <c r="H650" s="339"/>
      <c r="I650" s="341"/>
      <c r="J650" s="339"/>
      <c r="K650" s="341"/>
      <c r="L650" s="341"/>
      <c r="M650" s="341"/>
      <c r="N650" s="341"/>
      <c r="O650" s="341"/>
      <c r="P650" s="339"/>
      <c r="Q650" s="339"/>
      <c r="R650" s="339"/>
      <c r="S650" s="339"/>
      <c r="T650" s="339"/>
      <c r="U650" s="339"/>
      <c r="V650" s="339"/>
      <c r="W650" s="339"/>
      <c r="X650" s="339"/>
      <c r="Y650" s="339"/>
      <c r="Z650" s="339"/>
    </row>
    <row r="651" spans="1:26" ht="15.75" customHeight="1">
      <c r="A651" s="339"/>
      <c r="B651" s="339"/>
      <c r="C651" s="339"/>
      <c r="D651" s="339"/>
      <c r="E651" s="339"/>
      <c r="F651" s="339"/>
      <c r="G651" s="339"/>
      <c r="H651" s="339"/>
      <c r="I651" s="341"/>
      <c r="J651" s="339"/>
      <c r="K651" s="341"/>
      <c r="L651" s="341"/>
      <c r="M651" s="341"/>
      <c r="N651" s="341"/>
      <c r="O651" s="341"/>
      <c r="P651" s="339"/>
      <c r="Q651" s="339"/>
      <c r="R651" s="339"/>
      <c r="S651" s="339"/>
      <c r="T651" s="339"/>
      <c r="U651" s="339"/>
      <c r="V651" s="339"/>
      <c r="W651" s="339"/>
      <c r="X651" s="339"/>
      <c r="Y651" s="339"/>
      <c r="Z651" s="339"/>
    </row>
    <row r="652" spans="1:26" ht="15.75" customHeight="1">
      <c r="A652" s="339"/>
      <c r="B652" s="339"/>
      <c r="C652" s="339"/>
      <c r="D652" s="339"/>
      <c r="E652" s="339"/>
      <c r="F652" s="339"/>
      <c r="G652" s="339"/>
      <c r="H652" s="339"/>
      <c r="I652" s="341"/>
      <c r="J652" s="339"/>
      <c r="K652" s="341"/>
      <c r="L652" s="341"/>
      <c r="M652" s="341"/>
      <c r="N652" s="341"/>
      <c r="O652" s="341"/>
      <c r="P652" s="339"/>
      <c r="Q652" s="339"/>
      <c r="R652" s="339"/>
      <c r="S652" s="339"/>
      <c r="T652" s="339"/>
      <c r="U652" s="339"/>
      <c r="V652" s="339"/>
      <c r="W652" s="339"/>
      <c r="X652" s="339"/>
      <c r="Y652" s="339"/>
      <c r="Z652" s="339"/>
    </row>
    <row r="653" spans="1:26" ht="15.75" customHeight="1">
      <c r="A653" s="339"/>
      <c r="B653" s="339"/>
      <c r="C653" s="339"/>
      <c r="D653" s="339"/>
      <c r="E653" s="339"/>
      <c r="F653" s="339"/>
      <c r="G653" s="339"/>
      <c r="H653" s="339"/>
      <c r="I653" s="341"/>
      <c r="J653" s="339"/>
      <c r="K653" s="341"/>
      <c r="L653" s="341"/>
      <c r="M653" s="341"/>
      <c r="N653" s="341"/>
      <c r="O653" s="341"/>
      <c r="P653" s="339"/>
      <c r="Q653" s="339"/>
      <c r="R653" s="339"/>
      <c r="S653" s="339"/>
      <c r="T653" s="339"/>
      <c r="U653" s="339"/>
      <c r="V653" s="339"/>
      <c r="W653" s="339"/>
      <c r="X653" s="339"/>
      <c r="Y653" s="339"/>
      <c r="Z653" s="339"/>
    </row>
    <row r="654" spans="1:26" ht="15.75" customHeight="1">
      <c r="A654" s="339"/>
      <c r="B654" s="339"/>
      <c r="C654" s="339"/>
      <c r="D654" s="339"/>
      <c r="E654" s="339"/>
      <c r="F654" s="339"/>
      <c r="G654" s="339"/>
      <c r="H654" s="339"/>
      <c r="I654" s="341"/>
      <c r="J654" s="339"/>
      <c r="K654" s="341"/>
      <c r="L654" s="341"/>
      <c r="M654" s="341"/>
      <c r="N654" s="341"/>
      <c r="O654" s="341"/>
      <c r="P654" s="339"/>
      <c r="Q654" s="339"/>
      <c r="R654" s="339"/>
      <c r="S654" s="339"/>
      <c r="T654" s="339"/>
      <c r="U654" s="339"/>
      <c r="V654" s="339"/>
      <c r="W654" s="339"/>
      <c r="X654" s="339"/>
      <c r="Y654" s="339"/>
      <c r="Z654" s="339"/>
    </row>
    <row r="655" spans="1:26" ht="15.75" customHeight="1">
      <c r="A655" s="339"/>
      <c r="B655" s="339"/>
      <c r="C655" s="339"/>
      <c r="D655" s="339"/>
      <c r="E655" s="339"/>
      <c r="F655" s="339"/>
      <c r="G655" s="339"/>
      <c r="H655" s="339"/>
      <c r="I655" s="341"/>
      <c r="J655" s="339"/>
      <c r="K655" s="341"/>
      <c r="L655" s="341"/>
      <c r="M655" s="341"/>
      <c r="N655" s="341"/>
      <c r="O655" s="341"/>
      <c r="P655" s="339"/>
      <c r="Q655" s="339"/>
      <c r="R655" s="339"/>
      <c r="S655" s="339"/>
      <c r="T655" s="339"/>
      <c r="U655" s="339"/>
      <c r="V655" s="339"/>
      <c r="W655" s="339"/>
      <c r="X655" s="339"/>
      <c r="Y655" s="339"/>
      <c r="Z655" s="339"/>
    </row>
    <row r="656" spans="1:26" ht="15.75" customHeight="1">
      <c r="A656" s="339"/>
      <c r="B656" s="339"/>
      <c r="C656" s="339"/>
      <c r="D656" s="339"/>
      <c r="E656" s="339"/>
      <c r="F656" s="339"/>
      <c r="G656" s="339"/>
      <c r="H656" s="339"/>
      <c r="I656" s="341"/>
      <c r="J656" s="339"/>
      <c r="K656" s="341"/>
      <c r="L656" s="341"/>
      <c r="M656" s="341"/>
      <c r="N656" s="341"/>
      <c r="O656" s="341"/>
      <c r="P656" s="339"/>
      <c r="Q656" s="339"/>
      <c r="R656" s="339"/>
      <c r="S656" s="339"/>
      <c r="T656" s="339"/>
      <c r="U656" s="339"/>
      <c r="V656" s="339"/>
      <c r="W656" s="339"/>
      <c r="X656" s="339"/>
      <c r="Y656" s="339"/>
      <c r="Z656" s="339"/>
    </row>
    <row r="657" spans="1:26" ht="15.75" customHeight="1">
      <c r="A657" s="339"/>
      <c r="B657" s="339"/>
      <c r="C657" s="339"/>
      <c r="D657" s="339"/>
      <c r="E657" s="339"/>
      <c r="F657" s="339"/>
      <c r="G657" s="339"/>
      <c r="H657" s="339"/>
      <c r="I657" s="341"/>
      <c r="J657" s="339"/>
      <c r="K657" s="341"/>
      <c r="L657" s="341"/>
      <c r="M657" s="341"/>
      <c r="N657" s="341"/>
      <c r="O657" s="341"/>
      <c r="P657" s="339"/>
      <c r="Q657" s="339"/>
      <c r="R657" s="339"/>
      <c r="S657" s="339"/>
      <c r="T657" s="339"/>
      <c r="U657" s="339"/>
      <c r="V657" s="339"/>
      <c r="W657" s="339"/>
      <c r="X657" s="339"/>
      <c r="Y657" s="339"/>
      <c r="Z657" s="339"/>
    </row>
    <row r="658" spans="1:26" ht="15.75" customHeight="1">
      <c r="A658" s="339"/>
      <c r="B658" s="339"/>
      <c r="C658" s="339"/>
      <c r="D658" s="339"/>
      <c r="E658" s="339"/>
      <c r="F658" s="339"/>
      <c r="G658" s="339"/>
      <c r="H658" s="339"/>
      <c r="I658" s="341"/>
      <c r="J658" s="339"/>
      <c r="K658" s="341"/>
      <c r="L658" s="341"/>
      <c r="M658" s="341"/>
      <c r="N658" s="341"/>
      <c r="O658" s="341"/>
      <c r="P658" s="339"/>
      <c r="Q658" s="339"/>
      <c r="R658" s="339"/>
      <c r="S658" s="339"/>
      <c r="T658" s="339"/>
      <c r="U658" s="339"/>
      <c r="V658" s="339"/>
      <c r="W658" s="339"/>
      <c r="X658" s="339"/>
      <c r="Y658" s="339"/>
      <c r="Z658" s="339"/>
    </row>
    <row r="659" spans="1:26" ht="15.75" customHeight="1">
      <c r="A659" s="339"/>
      <c r="B659" s="339"/>
      <c r="C659" s="339"/>
      <c r="D659" s="339"/>
      <c r="E659" s="339"/>
      <c r="F659" s="339"/>
      <c r="G659" s="339"/>
      <c r="H659" s="339"/>
      <c r="I659" s="341"/>
      <c r="J659" s="339"/>
      <c r="K659" s="341"/>
      <c r="L659" s="341"/>
      <c r="M659" s="341"/>
      <c r="N659" s="341"/>
      <c r="O659" s="341"/>
      <c r="P659" s="339"/>
      <c r="Q659" s="339"/>
      <c r="R659" s="339"/>
      <c r="S659" s="339"/>
      <c r="T659" s="339"/>
      <c r="U659" s="339"/>
      <c r="V659" s="339"/>
      <c r="W659" s="339"/>
      <c r="X659" s="339"/>
      <c r="Y659" s="339"/>
      <c r="Z659" s="339"/>
    </row>
    <row r="660" spans="1:26" ht="15.75" customHeight="1">
      <c r="A660" s="339"/>
      <c r="B660" s="339"/>
      <c r="C660" s="339"/>
      <c r="D660" s="339"/>
      <c r="E660" s="339"/>
      <c r="F660" s="339"/>
      <c r="G660" s="339"/>
      <c r="H660" s="339"/>
      <c r="I660" s="341"/>
      <c r="J660" s="339"/>
      <c r="K660" s="341"/>
      <c r="L660" s="341"/>
      <c r="M660" s="341"/>
      <c r="N660" s="341"/>
      <c r="O660" s="341"/>
      <c r="P660" s="339"/>
      <c r="Q660" s="339"/>
      <c r="R660" s="339"/>
      <c r="S660" s="339"/>
      <c r="T660" s="339"/>
      <c r="U660" s="339"/>
      <c r="V660" s="339"/>
      <c r="W660" s="339"/>
      <c r="X660" s="339"/>
      <c r="Y660" s="339"/>
      <c r="Z660" s="339"/>
    </row>
    <row r="661" spans="1:26" ht="15.75" customHeight="1">
      <c r="A661" s="339"/>
      <c r="B661" s="339"/>
      <c r="C661" s="339"/>
      <c r="D661" s="339"/>
      <c r="E661" s="339"/>
      <c r="F661" s="339"/>
      <c r="G661" s="339"/>
      <c r="H661" s="339"/>
      <c r="I661" s="341"/>
      <c r="J661" s="339"/>
      <c r="K661" s="341"/>
      <c r="L661" s="341"/>
      <c r="M661" s="341"/>
      <c r="N661" s="341"/>
      <c r="O661" s="341"/>
      <c r="P661" s="339"/>
      <c r="Q661" s="339"/>
      <c r="R661" s="339"/>
      <c r="S661" s="339"/>
      <c r="T661" s="339"/>
      <c r="U661" s="339"/>
      <c r="V661" s="339"/>
      <c r="W661" s="339"/>
      <c r="X661" s="339"/>
      <c r="Y661" s="339"/>
      <c r="Z661" s="339"/>
    </row>
    <row r="662" spans="1:26" ht="15.75" customHeight="1">
      <c r="A662" s="339"/>
      <c r="B662" s="339"/>
      <c r="C662" s="339"/>
      <c r="D662" s="339"/>
      <c r="E662" s="339"/>
      <c r="F662" s="339"/>
      <c r="G662" s="339"/>
      <c r="H662" s="339"/>
      <c r="I662" s="341"/>
      <c r="J662" s="339"/>
      <c r="K662" s="341"/>
      <c r="L662" s="341"/>
      <c r="M662" s="341"/>
      <c r="N662" s="341"/>
      <c r="O662" s="341"/>
      <c r="P662" s="339"/>
      <c r="Q662" s="339"/>
      <c r="R662" s="339"/>
      <c r="S662" s="339"/>
      <c r="T662" s="339"/>
      <c r="U662" s="339"/>
      <c r="V662" s="339"/>
      <c r="W662" s="339"/>
      <c r="X662" s="339"/>
      <c r="Y662" s="339"/>
      <c r="Z662" s="339"/>
    </row>
    <row r="663" spans="1:26" ht="15.75" customHeight="1">
      <c r="A663" s="339"/>
      <c r="B663" s="339"/>
      <c r="C663" s="339"/>
      <c r="D663" s="339"/>
      <c r="E663" s="339"/>
      <c r="F663" s="339"/>
      <c r="G663" s="339"/>
      <c r="H663" s="339"/>
      <c r="I663" s="341"/>
      <c r="J663" s="339"/>
      <c r="K663" s="341"/>
      <c r="L663" s="341"/>
      <c r="M663" s="341"/>
      <c r="N663" s="341"/>
      <c r="O663" s="341"/>
      <c r="P663" s="339"/>
      <c r="Q663" s="339"/>
      <c r="R663" s="339"/>
      <c r="S663" s="339"/>
      <c r="T663" s="339"/>
      <c r="U663" s="339"/>
      <c r="V663" s="339"/>
      <c r="W663" s="339"/>
      <c r="X663" s="339"/>
      <c r="Y663" s="339"/>
      <c r="Z663" s="339"/>
    </row>
    <row r="664" spans="1:26" ht="15.75" customHeight="1">
      <c r="A664" s="339"/>
      <c r="B664" s="339"/>
      <c r="C664" s="339"/>
      <c r="D664" s="339"/>
      <c r="E664" s="339"/>
      <c r="F664" s="339"/>
      <c r="G664" s="339"/>
      <c r="H664" s="339"/>
      <c r="I664" s="341"/>
      <c r="J664" s="339"/>
      <c r="K664" s="341"/>
      <c r="L664" s="341"/>
      <c r="M664" s="341"/>
      <c r="N664" s="341"/>
      <c r="O664" s="341"/>
      <c r="P664" s="339"/>
      <c r="Q664" s="339"/>
      <c r="R664" s="339"/>
      <c r="S664" s="339"/>
      <c r="T664" s="339"/>
      <c r="U664" s="339"/>
      <c r="V664" s="339"/>
      <c r="W664" s="339"/>
      <c r="X664" s="339"/>
      <c r="Y664" s="339"/>
      <c r="Z664" s="339"/>
    </row>
    <row r="665" spans="1:26" ht="15.75" customHeight="1">
      <c r="A665" s="339"/>
      <c r="B665" s="339"/>
      <c r="C665" s="339"/>
      <c r="D665" s="339"/>
      <c r="E665" s="339"/>
      <c r="F665" s="339"/>
      <c r="G665" s="339"/>
      <c r="H665" s="339"/>
      <c r="I665" s="341"/>
      <c r="J665" s="339"/>
      <c r="K665" s="341"/>
      <c r="L665" s="341"/>
      <c r="M665" s="341"/>
      <c r="N665" s="341"/>
      <c r="O665" s="341"/>
      <c r="P665" s="339"/>
      <c r="Q665" s="339"/>
      <c r="R665" s="339"/>
      <c r="S665" s="339"/>
      <c r="T665" s="339"/>
      <c r="U665" s="339"/>
      <c r="V665" s="339"/>
      <c r="W665" s="339"/>
      <c r="X665" s="339"/>
      <c r="Y665" s="339"/>
      <c r="Z665" s="339"/>
    </row>
    <row r="666" spans="1:26" ht="15.75" customHeight="1">
      <c r="A666" s="339"/>
      <c r="B666" s="339"/>
      <c r="C666" s="339"/>
      <c r="D666" s="339"/>
      <c r="E666" s="339"/>
      <c r="F666" s="339"/>
      <c r="G666" s="339"/>
      <c r="H666" s="339"/>
      <c r="I666" s="341"/>
      <c r="J666" s="339"/>
      <c r="K666" s="341"/>
      <c r="L666" s="341"/>
      <c r="M666" s="341"/>
      <c r="N666" s="341"/>
      <c r="O666" s="341"/>
      <c r="P666" s="339"/>
      <c r="Q666" s="339"/>
      <c r="R666" s="339"/>
      <c r="S666" s="339"/>
      <c r="T666" s="339"/>
      <c r="U666" s="339"/>
      <c r="V666" s="339"/>
      <c r="W666" s="339"/>
      <c r="X666" s="339"/>
      <c r="Y666" s="339"/>
      <c r="Z666" s="339"/>
    </row>
    <row r="667" spans="1:26" ht="15.75" customHeight="1">
      <c r="A667" s="339"/>
      <c r="B667" s="339"/>
      <c r="C667" s="339"/>
      <c r="D667" s="339"/>
      <c r="E667" s="339"/>
      <c r="F667" s="339"/>
      <c r="G667" s="339"/>
      <c r="H667" s="339"/>
      <c r="I667" s="341"/>
      <c r="J667" s="339"/>
      <c r="K667" s="341"/>
      <c r="L667" s="341"/>
      <c r="M667" s="341"/>
      <c r="N667" s="341"/>
      <c r="O667" s="341"/>
      <c r="P667" s="339"/>
      <c r="Q667" s="339"/>
      <c r="R667" s="339"/>
      <c r="S667" s="339"/>
      <c r="T667" s="339"/>
      <c r="U667" s="339"/>
      <c r="V667" s="339"/>
      <c r="W667" s="339"/>
      <c r="X667" s="339"/>
      <c r="Y667" s="339"/>
      <c r="Z667" s="339"/>
    </row>
    <row r="668" spans="1:26" ht="15.75" customHeight="1">
      <c r="A668" s="339"/>
      <c r="B668" s="339"/>
      <c r="C668" s="339"/>
      <c r="D668" s="339"/>
      <c r="E668" s="339"/>
      <c r="F668" s="339"/>
      <c r="G668" s="339"/>
      <c r="H668" s="339"/>
      <c r="I668" s="341"/>
      <c r="J668" s="339"/>
      <c r="K668" s="341"/>
      <c r="L668" s="341"/>
      <c r="M668" s="341"/>
      <c r="N668" s="341"/>
      <c r="O668" s="341"/>
      <c r="P668" s="339"/>
      <c r="Q668" s="339"/>
      <c r="R668" s="339"/>
      <c r="S668" s="339"/>
      <c r="T668" s="339"/>
      <c r="U668" s="339"/>
      <c r="V668" s="339"/>
      <c r="W668" s="339"/>
      <c r="X668" s="339"/>
      <c r="Y668" s="339"/>
      <c r="Z668" s="339"/>
    </row>
    <row r="669" spans="1:26" ht="15.75" customHeight="1">
      <c r="A669" s="339"/>
      <c r="B669" s="339"/>
      <c r="C669" s="339"/>
      <c r="D669" s="339"/>
      <c r="E669" s="339"/>
      <c r="F669" s="339"/>
      <c r="G669" s="339"/>
      <c r="H669" s="339"/>
      <c r="I669" s="341"/>
      <c r="J669" s="339"/>
      <c r="K669" s="341"/>
      <c r="L669" s="341"/>
      <c r="M669" s="341"/>
      <c r="N669" s="341"/>
      <c r="O669" s="341"/>
      <c r="P669" s="339"/>
      <c r="Q669" s="339"/>
      <c r="R669" s="339"/>
      <c r="S669" s="339"/>
      <c r="T669" s="339"/>
      <c r="U669" s="339"/>
      <c r="V669" s="339"/>
      <c r="W669" s="339"/>
      <c r="X669" s="339"/>
      <c r="Y669" s="339"/>
      <c r="Z669" s="339"/>
    </row>
    <row r="670" spans="1:26" ht="15.75" customHeight="1">
      <c r="A670" s="339"/>
      <c r="B670" s="339"/>
      <c r="C670" s="339"/>
      <c r="D670" s="339"/>
      <c r="E670" s="339"/>
      <c r="F670" s="339"/>
      <c r="G670" s="339"/>
      <c r="H670" s="339"/>
      <c r="I670" s="341"/>
      <c r="J670" s="339"/>
      <c r="K670" s="341"/>
      <c r="L670" s="341"/>
      <c r="M670" s="341"/>
      <c r="N670" s="341"/>
      <c r="O670" s="341"/>
      <c r="P670" s="339"/>
      <c r="Q670" s="339"/>
      <c r="R670" s="339"/>
      <c r="S670" s="339"/>
      <c r="T670" s="339"/>
      <c r="U670" s="339"/>
      <c r="V670" s="339"/>
      <c r="W670" s="339"/>
      <c r="X670" s="339"/>
      <c r="Y670" s="339"/>
      <c r="Z670" s="339"/>
    </row>
    <row r="671" spans="1:26" ht="15.75" customHeight="1">
      <c r="A671" s="339"/>
      <c r="B671" s="339"/>
      <c r="C671" s="339"/>
      <c r="D671" s="339"/>
      <c r="E671" s="339"/>
      <c r="F671" s="339"/>
      <c r="G671" s="339"/>
      <c r="H671" s="339"/>
      <c r="I671" s="341"/>
      <c r="J671" s="339"/>
      <c r="K671" s="341"/>
      <c r="L671" s="341"/>
      <c r="M671" s="341"/>
      <c r="N671" s="341"/>
      <c r="O671" s="341"/>
      <c r="P671" s="339"/>
      <c r="Q671" s="339"/>
      <c r="R671" s="339"/>
      <c r="S671" s="339"/>
      <c r="T671" s="339"/>
      <c r="U671" s="339"/>
      <c r="V671" s="339"/>
      <c r="W671" s="339"/>
      <c r="X671" s="339"/>
      <c r="Y671" s="339"/>
      <c r="Z671" s="339"/>
    </row>
    <row r="672" spans="1:26" ht="15.75" customHeight="1">
      <c r="A672" s="339"/>
      <c r="B672" s="339"/>
      <c r="C672" s="339"/>
      <c r="D672" s="339"/>
      <c r="E672" s="339"/>
      <c r="F672" s="339"/>
      <c r="G672" s="339"/>
      <c r="H672" s="339"/>
      <c r="I672" s="341"/>
      <c r="J672" s="339"/>
      <c r="K672" s="341"/>
      <c r="L672" s="341"/>
      <c r="M672" s="341"/>
      <c r="N672" s="341"/>
      <c r="O672" s="341"/>
      <c r="P672" s="339"/>
      <c r="Q672" s="339"/>
      <c r="R672" s="339"/>
      <c r="S672" s="339"/>
      <c r="T672" s="339"/>
      <c r="U672" s="339"/>
      <c r="V672" s="339"/>
      <c r="W672" s="339"/>
      <c r="X672" s="339"/>
      <c r="Y672" s="339"/>
      <c r="Z672" s="339"/>
    </row>
    <row r="673" spans="1:26" ht="15.75" customHeight="1">
      <c r="A673" s="339"/>
      <c r="B673" s="339"/>
      <c r="C673" s="339"/>
      <c r="D673" s="339"/>
      <c r="E673" s="339"/>
      <c r="F673" s="339"/>
      <c r="G673" s="339"/>
      <c r="H673" s="339"/>
      <c r="I673" s="341"/>
      <c r="J673" s="339"/>
      <c r="K673" s="341"/>
      <c r="L673" s="341"/>
      <c r="M673" s="341"/>
      <c r="N673" s="341"/>
      <c r="O673" s="341"/>
      <c r="P673" s="339"/>
      <c r="Q673" s="339"/>
      <c r="R673" s="339"/>
      <c r="S673" s="339"/>
      <c r="T673" s="339"/>
      <c r="U673" s="339"/>
      <c r="V673" s="339"/>
      <c r="W673" s="339"/>
      <c r="X673" s="339"/>
      <c r="Y673" s="339"/>
      <c r="Z673" s="339"/>
    </row>
    <row r="674" spans="1:26" ht="15.75" customHeight="1">
      <c r="A674" s="339"/>
      <c r="B674" s="339"/>
      <c r="C674" s="339"/>
      <c r="D674" s="339"/>
      <c r="E674" s="339"/>
      <c r="F674" s="339"/>
      <c r="G674" s="339"/>
      <c r="H674" s="339"/>
      <c r="I674" s="341"/>
      <c r="J674" s="339"/>
      <c r="K674" s="341"/>
      <c r="L674" s="341"/>
      <c r="M674" s="341"/>
      <c r="N674" s="341"/>
      <c r="O674" s="341"/>
      <c r="P674" s="339"/>
      <c r="Q674" s="339"/>
      <c r="R674" s="339"/>
      <c r="S674" s="339"/>
      <c r="T674" s="339"/>
      <c r="U674" s="339"/>
      <c r="V674" s="339"/>
      <c r="W674" s="339"/>
      <c r="X674" s="339"/>
      <c r="Y674" s="339"/>
      <c r="Z674" s="339"/>
    </row>
    <row r="675" spans="1:26" ht="15.75" customHeight="1">
      <c r="A675" s="339"/>
      <c r="B675" s="339"/>
      <c r="C675" s="339"/>
      <c r="D675" s="339"/>
      <c r="E675" s="339"/>
      <c r="F675" s="339"/>
      <c r="G675" s="339"/>
      <c r="H675" s="339"/>
      <c r="I675" s="341"/>
      <c r="J675" s="339"/>
      <c r="K675" s="341"/>
      <c r="L675" s="341"/>
      <c r="M675" s="341"/>
      <c r="N675" s="341"/>
      <c r="O675" s="341"/>
      <c r="P675" s="339"/>
      <c r="Q675" s="339"/>
      <c r="R675" s="339"/>
      <c r="S675" s="339"/>
      <c r="T675" s="339"/>
      <c r="U675" s="339"/>
      <c r="V675" s="339"/>
      <c r="W675" s="339"/>
      <c r="X675" s="339"/>
      <c r="Y675" s="339"/>
      <c r="Z675" s="339"/>
    </row>
    <row r="676" spans="1:26" ht="15.75" customHeight="1">
      <c r="A676" s="339"/>
      <c r="B676" s="339"/>
      <c r="C676" s="339"/>
      <c r="D676" s="339"/>
      <c r="E676" s="339"/>
      <c r="F676" s="339"/>
      <c r="G676" s="339"/>
      <c r="H676" s="339"/>
      <c r="I676" s="341"/>
      <c r="J676" s="339"/>
      <c r="K676" s="341"/>
      <c r="L676" s="341"/>
      <c r="M676" s="341"/>
      <c r="N676" s="341"/>
      <c r="O676" s="341"/>
      <c r="P676" s="339"/>
      <c r="Q676" s="339"/>
      <c r="R676" s="339"/>
      <c r="S676" s="339"/>
      <c r="T676" s="339"/>
      <c r="U676" s="339"/>
      <c r="V676" s="339"/>
      <c r="W676" s="339"/>
      <c r="X676" s="339"/>
      <c r="Y676" s="339"/>
      <c r="Z676" s="339"/>
    </row>
    <row r="677" spans="1:26" ht="15.75" customHeight="1">
      <c r="A677" s="339"/>
      <c r="B677" s="339"/>
      <c r="C677" s="339"/>
      <c r="D677" s="339"/>
      <c r="E677" s="339"/>
      <c r="F677" s="339"/>
      <c r="G677" s="339"/>
      <c r="H677" s="339"/>
      <c r="I677" s="341"/>
      <c r="J677" s="339"/>
      <c r="K677" s="341"/>
      <c r="L677" s="341"/>
      <c r="M677" s="341"/>
      <c r="N677" s="341"/>
      <c r="O677" s="341"/>
      <c r="P677" s="339"/>
      <c r="Q677" s="339"/>
      <c r="R677" s="339"/>
      <c r="S677" s="339"/>
      <c r="T677" s="339"/>
      <c r="U677" s="339"/>
      <c r="V677" s="339"/>
      <c r="W677" s="339"/>
      <c r="X677" s="339"/>
      <c r="Y677" s="339"/>
      <c r="Z677" s="339"/>
    </row>
    <row r="678" spans="1:26" ht="15.75" customHeight="1">
      <c r="A678" s="339"/>
      <c r="B678" s="339"/>
      <c r="C678" s="339"/>
      <c r="D678" s="339"/>
      <c r="E678" s="339"/>
      <c r="F678" s="339"/>
      <c r="G678" s="339"/>
      <c r="H678" s="339"/>
      <c r="I678" s="341"/>
      <c r="J678" s="339"/>
      <c r="K678" s="341"/>
      <c r="L678" s="341"/>
      <c r="M678" s="341"/>
      <c r="N678" s="341"/>
      <c r="O678" s="341"/>
      <c r="P678" s="339"/>
      <c r="Q678" s="339"/>
      <c r="R678" s="339"/>
      <c r="S678" s="339"/>
      <c r="T678" s="339"/>
      <c r="U678" s="339"/>
      <c r="V678" s="339"/>
      <c r="W678" s="339"/>
      <c r="X678" s="339"/>
      <c r="Y678" s="339"/>
      <c r="Z678" s="339"/>
    </row>
    <row r="679" spans="1:26" ht="15.75" customHeight="1">
      <c r="A679" s="339"/>
      <c r="B679" s="339"/>
      <c r="C679" s="339"/>
      <c r="D679" s="339"/>
      <c r="E679" s="339"/>
      <c r="F679" s="339"/>
      <c r="G679" s="339"/>
      <c r="H679" s="339"/>
      <c r="I679" s="341"/>
      <c r="J679" s="339"/>
      <c r="K679" s="341"/>
      <c r="L679" s="341"/>
      <c r="M679" s="341"/>
      <c r="N679" s="341"/>
      <c r="O679" s="341"/>
      <c r="P679" s="339"/>
      <c r="Q679" s="339"/>
      <c r="R679" s="339"/>
      <c r="S679" s="339"/>
      <c r="T679" s="339"/>
      <c r="U679" s="339"/>
      <c r="V679" s="339"/>
      <c r="W679" s="339"/>
      <c r="X679" s="339"/>
      <c r="Y679" s="339"/>
      <c r="Z679" s="339"/>
    </row>
    <row r="680" spans="1:26" ht="15.75" customHeight="1">
      <c r="A680" s="339"/>
      <c r="B680" s="339"/>
      <c r="C680" s="339"/>
      <c r="D680" s="339"/>
      <c r="E680" s="339"/>
      <c r="F680" s="339"/>
      <c r="G680" s="339"/>
      <c r="H680" s="339"/>
      <c r="I680" s="341"/>
      <c r="J680" s="339"/>
      <c r="K680" s="341"/>
      <c r="L680" s="341"/>
      <c r="M680" s="341"/>
      <c r="N680" s="341"/>
      <c r="O680" s="341"/>
      <c r="P680" s="339"/>
      <c r="Q680" s="339"/>
      <c r="R680" s="339"/>
      <c r="S680" s="339"/>
      <c r="T680" s="339"/>
      <c r="U680" s="339"/>
      <c r="V680" s="339"/>
      <c r="W680" s="339"/>
      <c r="X680" s="339"/>
      <c r="Y680" s="339"/>
      <c r="Z680" s="339"/>
    </row>
    <row r="681" spans="1:26" ht="15.75" customHeight="1">
      <c r="A681" s="339"/>
      <c r="B681" s="339"/>
      <c r="C681" s="339"/>
      <c r="D681" s="339"/>
      <c r="E681" s="339"/>
      <c r="F681" s="339"/>
      <c r="G681" s="339"/>
      <c r="H681" s="339"/>
      <c r="I681" s="341"/>
      <c r="J681" s="339"/>
      <c r="K681" s="341"/>
      <c r="L681" s="341"/>
      <c r="M681" s="341"/>
      <c r="N681" s="341"/>
      <c r="O681" s="341"/>
      <c r="P681" s="339"/>
      <c r="Q681" s="339"/>
      <c r="R681" s="339"/>
      <c r="S681" s="339"/>
      <c r="T681" s="339"/>
      <c r="U681" s="339"/>
      <c r="V681" s="339"/>
      <c r="W681" s="339"/>
      <c r="X681" s="339"/>
      <c r="Y681" s="339"/>
      <c r="Z681" s="339"/>
    </row>
    <row r="682" spans="1:26" ht="15.75" customHeight="1">
      <c r="A682" s="339"/>
      <c r="B682" s="339"/>
      <c r="C682" s="339"/>
      <c r="D682" s="339"/>
      <c r="E682" s="339"/>
      <c r="F682" s="339"/>
      <c r="G682" s="339"/>
      <c r="H682" s="339"/>
      <c r="I682" s="341"/>
      <c r="J682" s="339"/>
      <c r="K682" s="341"/>
      <c r="L682" s="341"/>
      <c r="M682" s="341"/>
      <c r="N682" s="341"/>
      <c r="O682" s="341"/>
      <c r="P682" s="339"/>
      <c r="Q682" s="339"/>
      <c r="R682" s="339"/>
      <c r="S682" s="339"/>
      <c r="T682" s="339"/>
      <c r="U682" s="339"/>
      <c r="V682" s="339"/>
      <c r="W682" s="339"/>
      <c r="X682" s="339"/>
      <c r="Y682" s="339"/>
      <c r="Z682" s="339"/>
    </row>
    <row r="683" spans="1:26" ht="15.75" customHeight="1">
      <c r="A683" s="339"/>
      <c r="B683" s="339"/>
      <c r="C683" s="339"/>
      <c r="D683" s="339"/>
      <c r="E683" s="339"/>
      <c r="F683" s="339"/>
      <c r="G683" s="339"/>
      <c r="H683" s="339"/>
      <c r="I683" s="341"/>
      <c r="J683" s="339"/>
      <c r="K683" s="341"/>
      <c r="L683" s="341"/>
      <c r="M683" s="341"/>
      <c r="N683" s="341"/>
      <c r="O683" s="341"/>
      <c r="P683" s="339"/>
      <c r="Q683" s="339"/>
      <c r="R683" s="339"/>
      <c r="S683" s="339"/>
      <c r="T683" s="339"/>
      <c r="U683" s="339"/>
      <c r="V683" s="339"/>
      <c r="W683" s="339"/>
      <c r="X683" s="339"/>
      <c r="Y683" s="339"/>
      <c r="Z683" s="339"/>
    </row>
    <row r="684" spans="1:26" ht="15.75" customHeight="1">
      <c r="A684" s="339"/>
      <c r="B684" s="339"/>
      <c r="C684" s="339"/>
      <c r="D684" s="339"/>
      <c r="E684" s="339"/>
      <c r="F684" s="339"/>
      <c r="G684" s="339"/>
      <c r="H684" s="339"/>
      <c r="I684" s="341"/>
      <c r="J684" s="339"/>
      <c r="K684" s="341"/>
      <c r="L684" s="341"/>
      <c r="M684" s="341"/>
      <c r="N684" s="341"/>
      <c r="O684" s="341"/>
      <c r="P684" s="339"/>
      <c r="Q684" s="339"/>
      <c r="R684" s="339"/>
      <c r="S684" s="339"/>
      <c r="T684" s="339"/>
      <c r="U684" s="339"/>
      <c r="V684" s="339"/>
      <c r="W684" s="339"/>
      <c r="X684" s="339"/>
      <c r="Y684" s="339"/>
      <c r="Z684" s="339"/>
    </row>
    <row r="685" spans="1:26" ht="15.75" customHeight="1">
      <c r="A685" s="339"/>
      <c r="B685" s="339"/>
      <c r="C685" s="339"/>
      <c r="D685" s="339"/>
      <c r="E685" s="339"/>
      <c r="F685" s="339"/>
      <c r="G685" s="339"/>
      <c r="H685" s="339"/>
      <c r="I685" s="341"/>
      <c r="J685" s="339"/>
      <c r="K685" s="341"/>
      <c r="L685" s="341"/>
      <c r="M685" s="341"/>
      <c r="N685" s="341"/>
      <c r="O685" s="341"/>
      <c r="P685" s="339"/>
      <c r="Q685" s="339"/>
      <c r="R685" s="339"/>
      <c r="S685" s="339"/>
      <c r="T685" s="339"/>
      <c r="U685" s="339"/>
      <c r="V685" s="339"/>
      <c r="W685" s="339"/>
      <c r="X685" s="339"/>
      <c r="Y685" s="339"/>
      <c r="Z685" s="339"/>
    </row>
    <row r="686" spans="1:26" ht="15.75" customHeight="1">
      <c r="A686" s="339"/>
      <c r="B686" s="339"/>
      <c r="C686" s="339"/>
      <c r="D686" s="339"/>
      <c r="E686" s="339"/>
      <c r="F686" s="339"/>
      <c r="G686" s="339"/>
      <c r="H686" s="339"/>
      <c r="I686" s="341"/>
      <c r="J686" s="339"/>
      <c r="K686" s="341"/>
      <c r="L686" s="341"/>
      <c r="M686" s="341"/>
      <c r="N686" s="341"/>
      <c r="O686" s="341"/>
      <c r="P686" s="339"/>
      <c r="Q686" s="339"/>
      <c r="R686" s="339"/>
      <c r="S686" s="339"/>
      <c r="T686" s="339"/>
      <c r="U686" s="339"/>
      <c r="V686" s="339"/>
      <c r="W686" s="339"/>
      <c r="X686" s="339"/>
      <c r="Y686" s="339"/>
      <c r="Z686" s="339"/>
    </row>
    <row r="687" spans="1:26" ht="15.75" customHeight="1">
      <c r="A687" s="339"/>
      <c r="B687" s="339"/>
      <c r="C687" s="339"/>
      <c r="D687" s="339"/>
      <c r="E687" s="339"/>
      <c r="F687" s="339"/>
      <c r="G687" s="339"/>
      <c r="H687" s="339"/>
      <c r="I687" s="341"/>
      <c r="J687" s="339"/>
      <c r="K687" s="341"/>
      <c r="L687" s="341"/>
      <c r="M687" s="341"/>
      <c r="N687" s="341"/>
      <c r="O687" s="341"/>
      <c r="P687" s="339"/>
      <c r="Q687" s="339"/>
      <c r="R687" s="339"/>
      <c r="S687" s="339"/>
      <c r="T687" s="339"/>
      <c r="U687" s="339"/>
      <c r="V687" s="339"/>
      <c r="W687" s="339"/>
      <c r="X687" s="339"/>
      <c r="Y687" s="339"/>
      <c r="Z687" s="339"/>
    </row>
    <row r="688" spans="1:26" ht="15.75" customHeight="1">
      <c r="A688" s="339"/>
      <c r="B688" s="339"/>
      <c r="C688" s="339"/>
      <c r="D688" s="339"/>
      <c r="E688" s="339"/>
      <c r="F688" s="339"/>
      <c r="G688" s="339"/>
      <c r="H688" s="339"/>
      <c r="I688" s="341"/>
      <c r="J688" s="339"/>
      <c r="K688" s="341"/>
      <c r="L688" s="341"/>
      <c r="M688" s="341"/>
      <c r="N688" s="341"/>
      <c r="O688" s="341"/>
      <c r="P688" s="339"/>
      <c r="Q688" s="339"/>
      <c r="R688" s="339"/>
      <c r="S688" s="339"/>
      <c r="T688" s="339"/>
      <c r="U688" s="339"/>
      <c r="V688" s="339"/>
      <c r="W688" s="339"/>
      <c r="X688" s="339"/>
      <c r="Y688" s="339"/>
      <c r="Z688" s="339"/>
    </row>
    <row r="689" spans="1:26" ht="15.75" customHeight="1">
      <c r="A689" s="339"/>
      <c r="B689" s="339"/>
      <c r="C689" s="339"/>
      <c r="D689" s="339"/>
      <c r="E689" s="339"/>
      <c r="F689" s="339"/>
      <c r="G689" s="339"/>
      <c r="H689" s="339"/>
      <c r="I689" s="341"/>
      <c r="J689" s="339"/>
      <c r="K689" s="341"/>
      <c r="L689" s="341"/>
      <c r="M689" s="341"/>
      <c r="N689" s="341"/>
      <c r="O689" s="341"/>
      <c r="P689" s="339"/>
      <c r="Q689" s="339"/>
      <c r="R689" s="339"/>
      <c r="S689" s="339"/>
      <c r="T689" s="339"/>
      <c r="U689" s="339"/>
      <c r="V689" s="339"/>
      <c r="W689" s="339"/>
      <c r="X689" s="339"/>
      <c r="Y689" s="339"/>
      <c r="Z689" s="339"/>
    </row>
    <row r="690" spans="1:26" ht="15.75" customHeight="1">
      <c r="A690" s="339"/>
      <c r="B690" s="339"/>
      <c r="C690" s="339"/>
      <c r="D690" s="339"/>
      <c r="E690" s="339"/>
      <c r="F690" s="339"/>
      <c r="G690" s="339"/>
      <c r="H690" s="339"/>
      <c r="I690" s="341"/>
      <c r="J690" s="339"/>
      <c r="K690" s="341"/>
      <c r="L690" s="341"/>
      <c r="M690" s="341"/>
      <c r="N690" s="341"/>
      <c r="O690" s="341"/>
      <c r="P690" s="339"/>
      <c r="Q690" s="339"/>
      <c r="R690" s="339"/>
      <c r="S690" s="339"/>
      <c r="T690" s="339"/>
      <c r="U690" s="339"/>
      <c r="V690" s="339"/>
      <c r="W690" s="339"/>
      <c r="X690" s="339"/>
      <c r="Y690" s="339"/>
      <c r="Z690" s="339"/>
    </row>
    <row r="691" spans="1:26" ht="15.75" customHeight="1">
      <c r="A691" s="339"/>
      <c r="B691" s="339"/>
      <c r="C691" s="339"/>
      <c r="D691" s="339"/>
      <c r="E691" s="339"/>
      <c r="F691" s="339"/>
      <c r="G691" s="339"/>
      <c r="H691" s="339"/>
      <c r="I691" s="341"/>
      <c r="J691" s="339"/>
      <c r="K691" s="341"/>
      <c r="L691" s="341"/>
      <c r="M691" s="341"/>
      <c r="N691" s="341"/>
      <c r="O691" s="341"/>
      <c r="P691" s="339"/>
      <c r="Q691" s="339"/>
      <c r="R691" s="339"/>
      <c r="S691" s="339"/>
      <c r="T691" s="339"/>
      <c r="U691" s="339"/>
      <c r="V691" s="339"/>
      <c r="W691" s="339"/>
      <c r="X691" s="339"/>
      <c r="Y691" s="339"/>
      <c r="Z691" s="339"/>
    </row>
    <row r="692" spans="1:26" ht="15.75" customHeight="1">
      <c r="A692" s="339"/>
      <c r="B692" s="339"/>
      <c r="C692" s="339"/>
      <c r="D692" s="339"/>
      <c r="E692" s="339"/>
      <c r="F692" s="339"/>
      <c r="G692" s="339"/>
      <c r="H692" s="339"/>
      <c r="I692" s="341"/>
      <c r="J692" s="339"/>
      <c r="K692" s="341"/>
      <c r="L692" s="341"/>
      <c r="M692" s="341"/>
      <c r="N692" s="341"/>
      <c r="O692" s="341"/>
      <c r="P692" s="339"/>
      <c r="Q692" s="339"/>
      <c r="R692" s="339"/>
      <c r="S692" s="339"/>
      <c r="T692" s="339"/>
      <c r="U692" s="339"/>
      <c r="V692" s="339"/>
      <c r="W692" s="339"/>
      <c r="X692" s="339"/>
      <c r="Y692" s="339"/>
      <c r="Z692" s="339"/>
    </row>
    <row r="693" spans="1:26" ht="15.75" customHeight="1">
      <c r="A693" s="339"/>
      <c r="B693" s="339"/>
      <c r="C693" s="339"/>
      <c r="D693" s="339"/>
      <c r="E693" s="339"/>
      <c r="F693" s="339"/>
      <c r="G693" s="339"/>
      <c r="H693" s="339"/>
      <c r="I693" s="341"/>
      <c r="J693" s="339"/>
      <c r="K693" s="341"/>
      <c r="L693" s="341"/>
      <c r="M693" s="341"/>
      <c r="N693" s="341"/>
      <c r="O693" s="341"/>
      <c r="P693" s="339"/>
      <c r="Q693" s="339"/>
      <c r="R693" s="339"/>
      <c r="S693" s="339"/>
      <c r="T693" s="339"/>
      <c r="U693" s="339"/>
      <c r="V693" s="339"/>
      <c r="W693" s="339"/>
      <c r="X693" s="339"/>
      <c r="Y693" s="339"/>
      <c r="Z693" s="339"/>
    </row>
    <row r="694" spans="1:26" ht="15.75" customHeight="1">
      <c r="A694" s="339"/>
      <c r="B694" s="339"/>
      <c r="C694" s="339"/>
      <c r="D694" s="339"/>
      <c r="E694" s="339"/>
      <c r="F694" s="339"/>
      <c r="G694" s="339"/>
      <c r="H694" s="339"/>
      <c r="I694" s="341"/>
      <c r="J694" s="339"/>
      <c r="K694" s="341"/>
      <c r="L694" s="341"/>
      <c r="M694" s="341"/>
      <c r="N694" s="341"/>
      <c r="O694" s="341"/>
      <c r="P694" s="339"/>
      <c r="Q694" s="339"/>
      <c r="R694" s="339"/>
      <c r="S694" s="339"/>
      <c r="T694" s="339"/>
      <c r="U694" s="339"/>
      <c r="V694" s="339"/>
      <c r="W694" s="339"/>
      <c r="X694" s="339"/>
      <c r="Y694" s="339"/>
      <c r="Z694" s="339"/>
    </row>
    <row r="695" spans="1:26" ht="15.75" customHeight="1">
      <c r="A695" s="339"/>
      <c r="B695" s="339"/>
      <c r="C695" s="339"/>
      <c r="D695" s="339"/>
      <c r="E695" s="339"/>
      <c r="F695" s="339"/>
      <c r="G695" s="339"/>
      <c r="H695" s="339"/>
      <c r="I695" s="341"/>
      <c r="J695" s="339"/>
      <c r="K695" s="341"/>
      <c r="L695" s="341"/>
      <c r="M695" s="341"/>
      <c r="N695" s="341"/>
      <c r="O695" s="341"/>
      <c r="P695" s="339"/>
      <c r="Q695" s="339"/>
      <c r="R695" s="339"/>
      <c r="S695" s="339"/>
      <c r="T695" s="339"/>
      <c r="U695" s="339"/>
      <c r="V695" s="339"/>
      <c r="W695" s="339"/>
      <c r="X695" s="339"/>
      <c r="Y695" s="339"/>
      <c r="Z695" s="339"/>
    </row>
    <row r="696" spans="1:26" ht="15.75" customHeight="1">
      <c r="A696" s="339"/>
      <c r="B696" s="339"/>
      <c r="C696" s="339"/>
      <c r="D696" s="339"/>
      <c r="E696" s="339"/>
      <c r="F696" s="339"/>
      <c r="G696" s="339"/>
      <c r="H696" s="339"/>
      <c r="I696" s="341"/>
      <c r="J696" s="339"/>
      <c r="K696" s="341"/>
      <c r="L696" s="341"/>
      <c r="M696" s="341"/>
      <c r="N696" s="341"/>
      <c r="O696" s="341"/>
      <c r="P696" s="339"/>
      <c r="Q696" s="339"/>
      <c r="R696" s="339"/>
      <c r="S696" s="339"/>
      <c r="T696" s="339"/>
      <c r="U696" s="339"/>
      <c r="V696" s="339"/>
      <c r="W696" s="339"/>
      <c r="X696" s="339"/>
      <c r="Y696" s="339"/>
      <c r="Z696" s="339"/>
    </row>
    <row r="697" spans="1:26" ht="15.75" customHeight="1">
      <c r="A697" s="339"/>
      <c r="B697" s="339"/>
      <c r="C697" s="339"/>
      <c r="D697" s="339"/>
      <c r="E697" s="339"/>
      <c r="F697" s="339"/>
      <c r="G697" s="339"/>
      <c r="H697" s="339"/>
      <c r="I697" s="341"/>
      <c r="J697" s="339"/>
      <c r="K697" s="341"/>
      <c r="L697" s="341"/>
      <c r="M697" s="341"/>
      <c r="N697" s="341"/>
      <c r="O697" s="341"/>
      <c r="P697" s="339"/>
      <c r="Q697" s="339"/>
      <c r="R697" s="339"/>
      <c r="S697" s="339"/>
      <c r="T697" s="339"/>
      <c r="U697" s="339"/>
      <c r="V697" s="339"/>
      <c r="W697" s="339"/>
      <c r="X697" s="339"/>
      <c r="Y697" s="339"/>
      <c r="Z697" s="339"/>
    </row>
    <row r="698" spans="1:26" ht="15.75" customHeight="1">
      <c r="A698" s="339"/>
      <c r="B698" s="339"/>
      <c r="C698" s="339"/>
      <c r="D698" s="339"/>
      <c r="E698" s="339"/>
      <c r="F698" s="339"/>
      <c r="G698" s="339"/>
      <c r="H698" s="339"/>
      <c r="I698" s="341"/>
      <c r="J698" s="339"/>
      <c r="K698" s="341"/>
      <c r="L698" s="341"/>
      <c r="M698" s="341"/>
      <c r="N698" s="341"/>
      <c r="O698" s="341"/>
      <c r="P698" s="339"/>
      <c r="Q698" s="339"/>
      <c r="R698" s="339"/>
      <c r="S698" s="339"/>
      <c r="T698" s="339"/>
      <c r="U698" s="339"/>
      <c r="V698" s="339"/>
      <c r="W698" s="339"/>
      <c r="X698" s="339"/>
      <c r="Y698" s="339"/>
      <c r="Z698" s="339"/>
    </row>
    <row r="699" spans="1:26" ht="15.75" customHeight="1">
      <c r="A699" s="339"/>
      <c r="B699" s="339"/>
      <c r="C699" s="339"/>
      <c r="D699" s="339"/>
      <c r="E699" s="339"/>
      <c r="F699" s="339"/>
      <c r="G699" s="339"/>
      <c r="H699" s="339"/>
      <c r="I699" s="341"/>
      <c r="J699" s="339"/>
      <c r="K699" s="341"/>
      <c r="L699" s="341"/>
      <c r="M699" s="341"/>
      <c r="N699" s="341"/>
      <c r="O699" s="341"/>
      <c r="P699" s="339"/>
      <c r="Q699" s="339"/>
      <c r="R699" s="339"/>
      <c r="S699" s="339"/>
      <c r="T699" s="339"/>
      <c r="U699" s="339"/>
      <c r="V699" s="339"/>
      <c r="W699" s="339"/>
      <c r="X699" s="339"/>
      <c r="Y699" s="339"/>
      <c r="Z699" s="339"/>
    </row>
    <row r="700" spans="1:26" ht="15.75" customHeight="1">
      <c r="A700" s="339"/>
      <c r="B700" s="339"/>
      <c r="C700" s="339"/>
      <c r="D700" s="339"/>
      <c r="E700" s="339"/>
      <c r="F700" s="339"/>
      <c r="G700" s="339"/>
      <c r="H700" s="339"/>
      <c r="I700" s="341"/>
      <c r="J700" s="339"/>
      <c r="K700" s="341"/>
      <c r="L700" s="341"/>
      <c r="M700" s="341"/>
      <c r="N700" s="341"/>
      <c r="O700" s="341"/>
      <c r="P700" s="339"/>
      <c r="Q700" s="339"/>
      <c r="R700" s="339"/>
      <c r="S700" s="339"/>
      <c r="T700" s="339"/>
      <c r="U700" s="339"/>
      <c r="V700" s="339"/>
      <c r="W700" s="339"/>
      <c r="X700" s="339"/>
      <c r="Y700" s="339"/>
      <c r="Z700" s="339"/>
    </row>
    <row r="701" spans="1:26" ht="15.75" customHeight="1">
      <c r="A701" s="339"/>
      <c r="B701" s="339"/>
      <c r="C701" s="339"/>
      <c r="D701" s="339"/>
      <c r="E701" s="339"/>
      <c r="F701" s="339"/>
      <c r="G701" s="339"/>
      <c r="H701" s="339"/>
      <c r="I701" s="341"/>
      <c r="J701" s="339"/>
      <c r="K701" s="341"/>
      <c r="L701" s="341"/>
      <c r="M701" s="341"/>
      <c r="N701" s="341"/>
      <c r="O701" s="341"/>
      <c r="P701" s="339"/>
      <c r="Q701" s="339"/>
      <c r="R701" s="339"/>
      <c r="S701" s="339"/>
      <c r="T701" s="339"/>
      <c r="U701" s="339"/>
      <c r="V701" s="339"/>
      <c r="W701" s="339"/>
      <c r="X701" s="339"/>
      <c r="Y701" s="339"/>
      <c r="Z701" s="339"/>
    </row>
    <row r="702" spans="1:26" ht="15.75" customHeight="1">
      <c r="A702" s="339"/>
      <c r="B702" s="339"/>
      <c r="C702" s="339"/>
      <c r="D702" s="339"/>
      <c r="E702" s="339"/>
      <c r="F702" s="339"/>
      <c r="G702" s="339"/>
      <c r="H702" s="339"/>
      <c r="I702" s="341"/>
      <c r="J702" s="339"/>
      <c r="K702" s="341"/>
      <c r="L702" s="341"/>
      <c r="M702" s="341"/>
      <c r="N702" s="341"/>
      <c r="O702" s="341"/>
      <c r="P702" s="339"/>
      <c r="Q702" s="339"/>
      <c r="R702" s="339"/>
      <c r="S702" s="339"/>
      <c r="T702" s="339"/>
      <c r="U702" s="339"/>
      <c r="V702" s="339"/>
      <c r="W702" s="339"/>
      <c r="X702" s="339"/>
      <c r="Y702" s="339"/>
      <c r="Z702" s="339"/>
    </row>
    <row r="703" spans="1:26" ht="15.75" customHeight="1">
      <c r="A703" s="339"/>
      <c r="B703" s="339"/>
      <c r="C703" s="339"/>
      <c r="D703" s="339"/>
      <c r="E703" s="339"/>
      <c r="F703" s="339"/>
      <c r="G703" s="339"/>
      <c r="H703" s="339"/>
      <c r="I703" s="341"/>
      <c r="J703" s="339"/>
      <c r="K703" s="341"/>
      <c r="L703" s="341"/>
      <c r="M703" s="341"/>
      <c r="N703" s="341"/>
      <c r="O703" s="341"/>
      <c r="P703" s="339"/>
      <c r="Q703" s="339"/>
      <c r="R703" s="339"/>
      <c r="S703" s="339"/>
      <c r="T703" s="339"/>
      <c r="U703" s="339"/>
      <c r="V703" s="339"/>
      <c r="W703" s="339"/>
      <c r="X703" s="339"/>
      <c r="Y703" s="339"/>
      <c r="Z703" s="339"/>
    </row>
    <row r="704" spans="1:26" ht="15.75" customHeight="1">
      <c r="A704" s="339"/>
      <c r="B704" s="339"/>
      <c r="C704" s="339"/>
      <c r="D704" s="339"/>
      <c r="E704" s="339"/>
      <c r="F704" s="339"/>
      <c r="G704" s="339"/>
      <c r="H704" s="339"/>
      <c r="I704" s="341"/>
      <c r="J704" s="339"/>
      <c r="K704" s="341"/>
      <c r="L704" s="341"/>
      <c r="M704" s="341"/>
      <c r="N704" s="341"/>
      <c r="O704" s="341"/>
      <c r="P704" s="339"/>
      <c r="Q704" s="339"/>
      <c r="R704" s="339"/>
      <c r="S704" s="339"/>
      <c r="T704" s="339"/>
      <c r="U704" s="339"/>
      <c r="V704" s="339"/>
      <c r="W704" s="339"/>
      <c r="X704" s="339"/>
      <c r="Y704" s="339"/>
      <c r="Z704" s="339"/>
    </row>
    <row r="705" spans="1:26" ht="15.75" customHeight="1">
      <c r="A705" s="339"/>
      <c r="B705" s="339"/>
      <c r="C705" s="339"/>
      <c r="D705" s="339"/>
      <c r="E705" s="339"/>
      <c r="F705" s="339"/>
      <c r="G705" s="339"/>
      <c r="H705" s="339"/>
      <c r="I705" s="341"/>
      <c r="J705" s="339"/>
      <c r="K705" s="341"/>
      <c r="L705" s="341"/>
      <c r="M705" s="341"/>
      <c r="N705" s="341"/>
      <c r="O705" s="341"/>
      <c r="P705" s="339"/>
      <c r="Q705" s="339"/>
      <c r="R705" s="339"/>
      <c r="S705" s="339"/>
      <c r="T705" s="339"/>
      <c r="U705" s="339"/>
      <c r="V705" s="339"/>
      <c r="W705" s="339"/>
      <c r="X705" s="339"/>
      <c r="Y705" s="339"/>
      <c r="Z705" s="339"/>
    </row>
    <row r="706" spans="1:26" ht="15.75" customHeight="1">
      <c r="A706" s="339"/>
      <c r="B706" s="339"/>
      <c r="C706" s="339"/>
      <c r="D706" s="339"/>
      <c r="E706" s="339"/>
      <c r="F706" s="339"/>
      <c r="G706" s="339"/>
      <c r="H706" s="339"/>
      <c r="I706" s="341"/>
      <c r="J706" s="339"/>
      <c r="K706" s="341"/>
      <c r="L706" s="341"/>
      <c r="M706" s="341"/>
      <c r="N706" s="341"/>
      <c r="O706" s="341"/>
      <c r="P706" s="339"/>
      <c r="Q706" s="339"/>
      <c r="R706" s="339"/>
      <c r="S706" s="339"/>
      <c r="T706" s="339"/>
      <c r="U706" s="339"/>
      <c r="V706" s="339"/>
      <c r="W706" s="339"/>
      <c r="X706" s="339"/>
      <c r="Y706" s="339"/>
      <c r="Z706" s="339"/>
    </row>
    <row r="707" spans="1:26" ht="15.75" customHeight="1">
      <c r="A707" s="339"/>
      <c r="B707" s="339"/>
      <c r="C707" s="339"/>
      <c r="D707" s="339"/>
      <c r="E707" s="339"/>
      <c r="F707" s="339"/>
      <c r="G707" s="339"/>
      <c r="H707" s="339"/>
      <c r="I707" s="341"/>
      <c r="J707" s="339"/>
      <c r="K707" s="341"/>
      <c r="L707" s="341"/>
      <c r="M707" s="341"/>
      <c r="N707" s="341"/>
      <c r="O707" s="341"/>
      <c r="P707" s="339"/>
      <c r="Q707" s="339"/>
      <c r="R707" s="339"/>
      <c r="S707" s="339"/>
      <c r="T707" s="339"/>
      <c r="U707" s="339"/>
      <c r="V707" s="339"/>
      <c r="W707" s="339"/>
      <c r="X707" s="339"/>
      <c r="Y707" s="339"/>
      <c r="Z707" s="339"/>
    </row>
    <row r="708" spans="1:26" ht="15.75" customHeight="1">
      <c r="A708" s="339"/>
      <c r="B708" s="339"/>
      <c r="C708" s="339"/>
      <c r="D708" s="339"/>
      <c r="E708" s="339"/>
      <c r="F708" s="339"/>
      <c r="G708" s="339"/>
      <c r="H708" s="339"/>
      <c r="I708" s="341"/>
      <c r="J708" s="339"/>
      <c r="K708" s="341"/>
      <c r="L708" s="341"/>
      <c r="M708" s="341"/>
      <c r="N708" s="341"/>
      <c r="O708" s="341"/>
      <c r="P708" s="339"/>
      <c r="Q708" s="339"/>
      <c r="R708" s="339"/>
      <c r="S708" s="339"/>
      <c r="T708" s="339"/>
      <c r="U708" s="339"/>
      <c r="V708" s="339"/>
      <c r="W708" s="339"/>
      <c r="X708" s="339"/>
      <c r="Y708" s="339"/>
      <c r="Z708" s="339"/>
    </row>
    <row r="709" spans="1:26" ht="15.75" customHeight="1">
      <c r="A709" s="339"/>
      <c r="B709" s="339"/>
      <c r="C709" s="339"/>
      <c r="D709" s="339"/>
      <c r="E709" s="339"/>
      <c r="F709" s="339"/>
      <c r="G709" s="339"/>
      <c r="H709" s="339"/>
      <c r="I709" s="341"/>
      <c r="J709" s="339"/>
      <c r="K709" s="341"/>
      <c r="L709" s="341"/>
      <c r="M709" s="341"/>
      <c r="N709" s="341"/>
      <c r="O709" s="341"/>
      <c r="P709" s="339"/>
      <c r="Q709" s="339"/>
      <c r="R709" s="339"/>
      <c r="S709" s="339"/>
      <c r="T709" s="339"/>
      <c r="U709" s="339"/>
      <c r="V709" s="339"/>
      <c r="W709" s="339"/>
      <c r="X709" s="339"/>
      <c r="Y709" s="339"/>
      <c r="Z709" s="339"/>
    </row>
    <row r="710" spans="1:26" ht="15.75" customHeight="1">
      <c r="A710" s="339"/>
      <c r="B710" s="339"/>
      <c r="C710" s="339"/>
      <c r="D710" s="339"/>
      <c r="E710" s="339"/>
      <c r="F710" s="339"/>
      <c r="G710" s="339"/>
      <c r="H710" s="339"/>
      <c r="I710" s="341"/>
      <c r="J710" s="339"/>
      <c r="K710" s="341"/>
      <c r="L710" s="341"/>
      <c r="M710" s="341"/>
      <c r="N710" s="341"/>
      <c r="O710" s="341"/>
      <c r="P710" s="339"/>
      <c r="Q710" s="339"/>
      <c r="R710" s="339"/>
      <c r="S710" s="339"/>
      <c r="T710" s="339"/>
      <c r="U710" s="339"/>
      <c r="V710" s="339"/>
      <c r="W710" s="339"/>
      <c r="X710" s="339"/>
      <c r="Y710" s="339"/>
      <c r="Z710" s="339"/>
    </row>
    <row r="711" spans="1:26" ht="15.75" customHeight="1">
      <c r="A711" s="339"/>
      <c r="B711" s="339"/>
      <c r="C711" s="339"/>
      <c r="D711" s="339"/>
      <c r="E711" s="339"/>
      <c r="F711" s="339"/>
      <c r="G711" s="339"/>
      <c r="H711" s="339"/>
      <c r="I711" s="341"/>
      <c r="J711" s="339"/>
      <c r="K711" s="341"/>
      <c r="L711" s="341"/>
      <c r="M711" s="341"/>
      <c r="N711" s="341"/>
      <c r="O711" s="341"/>
      <c r="P711" s="339"/>
      <c r="Q711" s="339"/>
      <c r="R711" s="339"/>
      <c r="S711" s="339"/>
      <c r="T711" s="339"/>
      <c r="U711" s="339"/>
      <c r="V711" s="339"/>
      <c r="W711" s="339"/>
      <c r="X711" s="339"/>
      <c r="Y711" s="339"/>
      <c r="Z711" s="339"/>
    </row>
    <row r="712" spans="1:26" ht="15.75" customHeight="1">
      <c r="A712" s="339"/>
      <c r="B712" s="339"/>
      <c r="C712" s="339"/>
      <c r="D712" s="339"/>
      <c r="E712" s="339"/>
      <c r="F712" s="339"/>
      <c r="G712" s="339"/>
      <c r="H712" s="339"/>
      <c r="I712" s="341"/>
      <c r="J712" s="339"/>
      <c r="K712" s="341"/>
      <c r="L712" s="341"/>
      <c r="M712" s="341"/>
      <c r="N712" s="341"/>
      <c r="O712" s="341"/>
      <c r="P712" s="339"/>
      <c r="Q712" s="339"/>
      <c r="R712" s="339"/>
      <c r="S712" s="339"/>
      <c r="T712" s="339"/>
      <c r="U712" s="339"/>
      <c r="V712" s="339"/>
      <c r="W712" s="339"/>
      <c r="X712" s="339"/>
      <c r="Y712" s="339"/>
      <c r="Z712" s="339"/>
    </row>
    <row r="713" spans="1:26" ht="15.75" customHeight="1">
      <c r="A713" s="339"/>
      <c r="B713" s="339"/>
      <c r="C713" s="339"/>
      <c r="D713" s="339"/>
      <c r="E713" s="339"/>
      <c r="F713" s="339"/>
      <c r="G713" s="339"/>
      <c r="H713" s="339"/>
      <c r="I713" s="341"/>
      <c r="J713" s="339"/>
      <c r="K713" s="341"/>
      <c r="L713" s="341"/>
      <c r="M713" s="341"/>
      <c r="N713" s="341"/>
      <c r="O713" s="341"/>
      <c r="P713" s="339"/>
      <c r="Q713" s="339"/>
      <c r="R713" s="339"/>
      <c r="S713" s="339"/>
      <c r="T713" s="339"/>
      <c r="U713" s="339"/>
      <c r="V713" s="339"/>
      <c r="W713" s="339"/>
      <c r="X713" s="339"/>
      <c r="Y713" s="339"/>
      <c r="Z713" s="339"/>
    </row>
    <row r="714" spans="1:26" ht="15.75" customHeight="1">
      <c r="A714" s="339"/>
      <c r="B714" s="339"/>
      <c r="C714" s="339"/>
      <c r="D714" s="339"/>
      <c r="E714" s="339"/>
      <c r="F714" s="339"/>
      <c r="G714" s="339"/>
      <c r="H714" s="339"/>
      <c r="I714" s="341"/>
      <c r="J714" s="339"/>
      <c r="K714" s="341"/>
      <c r="L714" s="341"/>
      <c r="M714" s="341"/>
      <c r="N714" s="341"/>
      <c r="O714" s="341"/>
      <c r="P714" s="339"/>
      <c r="Q714" s="339"/>
      <c r="R714" s="339"/>
      <c r="S714" s="339"/>
      <c r="T714" s="339"/>
      <c r="U714" s="339"/>
      <c r="V714" s="339"/>
      <c r="W714" s="339"/>
      <c r="X714" s="339"/>
      <c r="Y714" s="339"/>
      <c r="Z714" s="339"/>
    </row>
    <row r="715" spans="1:26" ht="15.75" customHeight="1">
      <c r="A715" s="339"/>
      <c r="B715" s="339"/>
      <c r="C715" s="339"/>
      <c r="D715" s="339"/>
      <c r="E715" s="339"/>
      <c r="F715" s="339"/>
      <c r="G715" s="339"/>
      <c r="H715" s="339"/>
      <c r="I715" s="341"/>
      <c r="J715" s="339"/>
      <c r="K715" s="341"/>
      <c r="L715" s="341"/>
      <c r="M715" s="341"/>
      <c r="N715" s="341"/>
      <c r="O715" s="341"/>
      <c r="P715" s="339"/>
      <c r="Q715" s="339"/>
      <c r="R715" s="339"/>
      <c r="S715" s="339"/>
      <c r="T715" s="339"/>
      <c r="U715" s="339"/>
      <c r="V715" s="339"/>
      <c r="W715" s="339"/>
      <c r="X715" s="339"/>
      <c r="Y715" s="339"/>
      <c r="Z715" s="339"/>
    </row>
    <row r="716" spans="1:26" ht="15.75" customHeight="1">
      <c r="A716" s="339"/>
      <c r="B716" s="339"/>
      <c r="C716" s="339"/>
      <c r="D716" s="339"/>
      <c r="E716" s="339"/>
      <c r="F716" s="339"/>
      <c r="G716" s="339"/>
      <c r="H716" s="339"/>
      <c r="I716" s="341"/>
      <c r="J716" s="339"/>
      <c r="K716" s="341"/>
      <c r="L716" s="341"/>
      <c r="M716" s="341"/>
      <c r="N716" s="341"/>
      <c r="O716" s="341"/>
      <c r="P716" s="339"/>
      <c r="Q716" s="339"/>
      <c r="R716" s="339"/>
      <c r="S716" s="339"/>
      <c r="T716" s="339"/>
      <c r="U716" s="339"/>
      <c r="V716" s="339"/>
      <c r="W716" s="339"/>
      <c r="X716" s="339"/>
      <c r="Y716" s="339"/>
      <c r="Z716" s="339"/>
    </row>
    <row r="717" spans="1:26" ht="15.75" customHeight="1">
      <c r="A717" s="339"/>
      <c r="B717" s="339"/>
      <c r="C717" s="339"/>
      <c r="D717" s="339"/>
      <c r="E717" s="339"/>
      <c r="F717" s="339"/>
      <c r="G717" s="339"/>
      <c r="H717" s="339"/>
      <c r="I717" s="341"/>
      <c r="J717" s="339"/>
      <c r="K717" s="341"/>
      <c r="L717" s="341"/>
      <c r="M717" s="341"/>
      <c r="N717" s="341"/>
      <c r="O717" s="341"/>
      <c r="P717" s="339"/>
      <c r="Q717" s="339"/>
      <c r="R717" s="339"/>
      <c r="S717" s="339"/>
      <c r="T717" s="339"/>
      <c r="U717" s="339"/>
      <c r="V717" s="339"/>
      <c r="W717" s="339"/>
      <c r="X717" s="339"/>
      <c r="Y717" s="339"/>
      <c r="Z717" s="339"/>
    </row>
    <row r="718" spans="1:26" ht="15.75" customHeight="1">
      <c r="A718" s="339"/>
      <c r="B718" s="339"/>
      <c r="C718" s="339"/>
      <c r="D718" s="339"/>
      <c r="E718" s="339"/>
      <c r="F718" s="339"/>
      <c r="G718" s="339"/>
      <c r="H718" s="339"/>
      <c r="I718" s="341"/>
      <c r="J718" s="339"/>
      <c r="K718" s="341"/>
      <c r="L718" s="341"/>
      <c r="M718" s="341"/>
      <c r="N718" s="341"/>
      <c r="O718" s="341"/>
      <c r="P718" s="339"/>
      <c r="Q718" s="339"/>
      <c r="R718" s="339"/>
      <c r="S718" s="339"/>
      <c r="T718" s="339"/>
      <c r="U718" s="339"/>
      <c r="V718" s="339"/>
      <c r="W718" s="339"/>
      <c r="X718" s="339"/>
      <c r="Y718" s="339"/>
      <c r="Z718" s="339"/>
    </row>
    <row r="719" spans="1:26" ht="15.75" customHeight="1">
      <c r="A719" s="339"/>
      <c r="B719" s="339"/>
      <c r="C719" s="339"/>
      <c r="D719" s="339"/>
      <c r="E719" s="339"/>
      <c r="F719" s="339"/>
      <c r="G719" s="339"/>
      <c r="H719" s="339"/>
      <c r="I719" s="341"/>
      <c r="J719" s="339"/>
      <c r="K719" s="341"/>
      <c r="L719" s="341"/>
      <c r="M719" s="341"/>
      <c r="N719" s="341"/>
      <c r="O719" s="341"/>
      <c r="P719" s="339"/>
      <c r="Q719" s="339"/>
      <c r="R719" s="339"/>
      <c r="S719" s="339"/>
      <c r="T719" s="339"/>
      <c r="U719" s="339"/>
      <c r="V719" s="339"/>
      <c r="W719" s="339"/>
      <c r="X719" s="339"/>
      <c r="Y719" s="339"/>
      <c r="Z719" s="339"/>
    </row>
    <row r="720" spans="1:26" ht="15.75" customHeight="1">
      <c r="A720" s="339"/>
      <c r="B720" s="339"/>
      <c r="C720" s="339"/>
      <c r="D720" s="339"/>
      <c r="E720" s="339"/>
      <c r="F720" s="339"/>
      <c r="G720" s="339"/>
      <c r="H720" s="339"/>
      <c r="I720" s="341"/>
      <c r="J720" s="339"/>
      <c r="K720" s="341"/>
      <c r="L720" s="341"/>
      <c r="M720" s="341"/>
      <c r="N720" s="341"/>
      <c r="O720" s="341"/>
      <c r="P720" s="339"/>
      <c r="Q720" s="339"/>
      <c r="R720" s="339"/>
      <c r="S720" s="339"/>
      <c r="T720" s="339"/>
      <c r="U720" s="339"/>
      <c r="V720" s="339"/>
      <c r="W720" s="339"/>
      <c r="X720" s="339"/>
      <c r="Y720" s="339"/>
      <c r="Z720" s="339"/>
    </row>
    <row r="721" spans="1:26" ht="15.75" customHeight="1">
      <c r="A721" s="339"/>
      <c r="B721" s="339"/>
      <c r="C721" s="339"/>
      <c r="D721" s="339"/>
      <c r="E721" s="339"/>
      <c r="F721" s="339"/>
      <c r="G721" s="339"/>
      <c r="H721" s="339"/>
      <c r="I721" s="341"/>
      <c r="J721" s="339"/>
      <c r="K721" s="341"/>
      <c r="L721" s="341"/>
      <c r="M721" s="341"/>
      <c r="N721" s="341"/>
      <c r="O721" s="341"/>
      <c r="P721" s="339"/>
      <c r="Q721" s="339"/>
      <c r="R721" s="339"/>
      <c r="S721" s="339"/>
      <c r="T721" s="339"/>
      <c r="U721" s="339"/>
      <c r="V721" s="339"/>
      <c r="W721" s="339"/>
      <c r="X721" s="339"/>
      <c r="Y721" s="339"/>
      <c r="Z721" s="339"/>
    </row>
    <row r="722" spans="1:26" ht="15.75" customHeight="1">
      <c r="A722" s="339"/>
      <c r="B722" s="339"/>
      <c r="C722" s="339"/>
      <c r="D722" s="339"/>
      <c r="E722" s="339"/>
      <c r="F722" s="339"/>
      <c r="G722" s="339"/>
      <c r="H722" s="339"/>
      <c r="I722" s="341"/>
      <c r="J722" s="339"/>
      <c r="K722" s="341"/>
      <c r="L722" s="341"/>
      <c r="M722" s="341"/>
      <c r="N722" s="341"/>
      <c r="O722" s="341"/>
      <c r="P722" s="339"/>
      <c r="Q722" s="339"/>
      <c r="R722" s="339"/>
      <c r="S722" s="339"/>
      <c r="T722" s="339"/>
      <c r="U722" s="339"/>
      <c r="V722" s="339"/>
      <c r="W722" s="339"/>
      <c r="X722" s="339"/>
      <c r="Y722" s="339"/>
      <c r="Z722" s="339"/>
    </row>
    <row r="723" spans="1:26" ht="15.75" customHeight="1">
      <c r="A723" s="339"/>
      <c r="B723" s="339"/>
      <c r="C723" s="339"/>
      <c r="D723" s="339"/>
      <c r="E723" s="339"/>
      <c r="F723" s="339"/>
      <c r="G723" s="339"/>
      <c r="H723" s="339"/>
      <c r="I723" s="341"/>
      <c r="J723" s="339"/>
      <c r="K723" s="341"/>
      <c r="L723" s="341"/>
      <c r="M723" s="341"/>
      <c r="N723" s="341"/>
      <c r="O723" s="341"/>
      <c r="P723" s="339"/>
      <c r="Q723" s="339"/>
      <c r="R723" s="339"/>
      <c r="S723" s="339"/>
      <c r="T723" s="339"/>
      <c r="U723" s="339"/>
      <c r="V723" s="339"/>
      <c r="W723" s="339"/>
      <c r="X723" s="339"/>
      <c r="Y723" s="339"/>
      <c r="Z723" s="339"/>
    </row>
    <row r="724" spans="1:26" ht="15.75" customHeight="1">
      <c r="A724" s="339"/>
      <c r="B724" s="339"/>
      <c r="C724" s="339"/>
      <c r="D724" s="339"/>
      <c r="E724" s="339"/>
      <c r="F724" s="339"/>
      <c r="G724" s="339"/>
      <c r="H724" s="339"/>
      <c r="I724" s="341"/>
      <c r="J724" s="339"/>
      <c r="K724" s="341"/>
      <c r="L724" s="341"/>
      <c r="M724" s="341"/>
      <c r="N724" s="341"/>
      <c r="O724" s="341"/>
      <c r="P724" s="339"/>
      <c r="Q724" s="339"/>
      <c r="R724" s="339"/>
      <c r="S724" s="339"/>
      <c r="T724" s="339"/>
      <c r="U724" s="339"/>
      <c r="V724" s="339"/>
      <c r="W724" s="339"/>
      <c r="X724" s="339"/>
      <c r="Y724" s="339"/>
      <c r="Z724" s="339"/>
    </row>
    <row r="725" spans="1:26" ht="15.75" customHeight="1">
      <c r="A725" s="339"/>
      <c r="B725" s="339"/>
      <c r="C725" s="339"/>
      <c r="D725" s="339"/>
      <c r="E725" s="339"/>
      <c r="F725" s="339"/>
      <c r="G725" s="339"/>
      <c r="H725" s="339"/>
      <c r="I725" s="341"/>
      <c r="J725" s="339"/>
      <c r="K725" s="341"/>
      <c r="L725" s="341"/>
      <c r="M725" s="341"/>
      <c r="N725" s="341"/>
      <c r="O725" s="341"/>
      <c r="P725" s="339"/>
      <c r="Q725" s="339"/>
      <c r="R725" s="339"/>
      <c r="S725" s="339"/>
      <c r="T725" s="339"/>
      <c r="U725" s="339"/>
      <c r="V725" s="339"/>
      <c r="W725" s="339"/>
      <c r="X725" s="339"/>
      <c r="Y725" s="339"/>
      <c r="Z725" s="339"/>
    </row>
    <row r="726" spans="1:26" ht="15.75" customHeight="1">
      <c r="A726" s="339"/>
      <c r="B726" s="339"/>
      <c r="C726" s="339"/>
      <c r="D726" s="339"/>
      <c r="E726" s="339"/>
      <c r="F726" s="339"/>
      <c r="G726" s="339"/>
      <c r="H726" s="339"/>
      <c r="I726" s="341"/>
      <c r="J726" s="339"/>
      <c r="K726" s="341"/>
      <c r="L726" s="341"/>
      <c r="M726" s="341"/>
      <c r="N726" s="341"/>
      <c r="O726" s="341"/>
      <c r="P726" s="339"/>
      <c r="Q726" s="339"/>
      <c r="R726" s="339"/>
      <c r="S726" s="339"/>
      <c r="T726" s="339"/>
      <c r="U726" s="339"/>
      <c r="V726" s="339"/>
      <c r="W726" s="339"/>
      <c r="X726" s="339"/>
      <c r="Y726" s="339"/>
      <c r="Z726" s="339"/>
    </row>
    <row r="727" spans="1:26" ht="15.75" customHeight="1">
      <c r="A727" s="339"/>
      <c r="B727" s="339"/>
      <c r="C727" s="339"/>
      <c r="D727" s="339"/>
      <c r="E727" s="339"/>
      <c r="F727" s="339"/>
      <c r="G727" s="339"/>
      <c r="H727" s="339"/>
      <c r="I727" s="341"/>
      <c r="J727" s="339"/>
      <c r="K727" s="341"/>
      <c r="L727" s="341"/>
      <c r="M727" s="341"/>
      <c r="N727" s="341"/>
      <c r="O727" s="341"/>
      <c r="P727" s="339"/>
      <c r="Q727" s="339"/>
      <c r="R727" s="339"/>
      <c r="S727" s="339"/>
      <c r="T727" s="339"/>
      <c r="U727" s="339"/>
      <c r="V727" s="339"/>
      <c r="W727" s="339"/>
      <c r="X727" s="339"/>
      <c r="Y727" s="339"/>
      <c r="Z727" s="339"/>
    </row>
    <row r="728" spans="1:26" ht="15.75" customHeight="1">
      <c r="A728" s="339"/>
      <c r="B728" s="339"/>
      <c r="C728" s="339"/>
      <c r="D728" s="339"/>
      <c r="E728" s="339"/>
      <c r="F728" s="339"/>
      <c r="G728" s="339"/>
      <c r="H728" s="339"/>
      <c r="I728" s="341"/>
      <c r="J728" s="339"/>
      <c r="K728" s="341"/>
      <c r="L728" s="341"/>
      <c r="M728" s="341"/>
      <c r="N728" s="341"/>
      <c r="O728" s="341"/>
      <c r="P728" s="339"/>
      <c r="Q728" s="339"/>
      <c r="R728" s="339"/>
      <c r="S728" s="339"/>
      <c r="T728" s="339"/>
      <c r="U728" s="339"/>
      <c r="V728" s="339"/>
      <c r="W728" s="339"/>
      <c r="X728" s="339"/>
      <c r="Y728" s="339"/>
      <c r="Z728" s="339"/>
    </row>
    <row r="729" spans="1:26" ht="15.75" customHeight="1">
      <c r="A729" s="339"/>
      <c r="B729" s="339"/>
      <c r="C729" s="339"/>
      <c r="D729" s="339"/>
      <c r="E729" s="339"/>
      <c r="F729" s="339"/>
      <c r="G729" s="339"/>
      <c r="H729" s="339"/>
      <c r="I729" s="341"/>
      <c r="J729" s="339"/>
      <c r="K729" s="341"/>
      <c r="L729" s="341"/>
      <c r="M729" s="341"/>
      <c r="N729" s="341"/>
      <c r="O729" s="341"/>
      <c r="P729" s="339"/>
      <c r="Q729" s="339"/>
      <c r="R729" s="339"/>
      <c r="S729" s="339"/>
      <c r="T729" s="339"/>
      <c r="U729" s="339"/>
      <c r="V729" s="339"/>
      <c r="W729" s="339"/>
      <c r="X729" s="339"/>
      <c r="Y729" s="339"/>
      <c r="Z729" s="339"/>
    </row>
    <row r="730" spans="1:26" ht="15.75" customHeight="1">
      <c r="A730" s="339"/>
      <c r="B730" s="339"/>
      <c r="C730" s="339"/>
      <c r="D730" s="339"/>
      <c r="E730" s="339"/>
      <c r="F730" s="339"/>
      <c r="G730" s="339"/>
      <c r="H730" s="339"/>
      <c r="I730" s="341"/>
      <c r="J730" s="339"/>
      <c r="K730" s="341"/>
      <c r="L730" s="341"/>
      <c r="M730" s="341"/>
      <c r="N730" s="341"/>
      <c r="O730" s="341"/>
      <c r="P730" s="339"/>
      <c r="Q730" s="339"/>
      <c r="R730" s="339"/>
      <c r="S730" s="339"/>
      <c r="T730" s="339"/>
      <c r="U730" s="339"/>
      <c r="V730" s="339"/>
      <c r="W730" s="339"/>
      <c r="X730" s="339"/>
      <c r="Y730" s="339"/>
      <c r="Z730" s="339"/>
    </row>
    <row r="731" spans="1:26" ht="15.75" customHeight="1">
      <c r="A731" s="339"/>
      <c r="B731" s="339"/>
      <c r="C731" s="339"/>
      <c r="D731" s="339"/>
      <c r="E731" s="339"/>
      <c r="F731" s="339"/>
      <c r="G731" s="339"/>
      <c r="H731" s="339"/>
      <c r="I731" s="341"/>
      <c r="J731" s="339"/>
      <c r="K731" s="341"/>
      <c r="L731" s="341"/>
      <c r="M731" s="341"/>
      <c r="N731" s="341"/>
      <c r="O731" s="341"/>
      <c r="P731" s="339"/>
      <c r="Q731" s="339"/>
      <c r="R731" s="339"/>
      <c r="S731" s="339"/>
      <c r="T731" s="339"/>
      <c r="U731" s="339"/>
      <c r="V731" s="339"/>
      <c r="W731" s="339"/>
      <c r="X731" s="339"/>
      <c r="Y731" s="339"/>
      <c r="Z731" s="339"/>
    </row>
    <row r="732" spans="1:26" ht="15.75" customHeight="1">
      <c r="A732" s="339"/>
      <c r="B732" s="339"/>
      <c r="C732" s="339"/>
      <c r="D732" s="339"/>
      <c r="E732" s="339"/>
      <c r="F732" s="339"/>
      <c r="G732" s="339"/>
      <c r="H732" s="339"/>
      <c r="I732" s="341"/>
      <c r="J732" s="339"/>
      <c r="K732" s="341"/>
      <c r="L732" s="341"/>
      <c r="M732" s="341"/>
      <c r="N732" s="341"/>
      <c r="O732" s="341"/>
      <c r="P732" s="339"/>
      <c r="Q732" s="339"/>
      <c r="R732" s="339"/>
      <c r="S732" s="339"/>
      <c r="T732" s="339"/>
      <c r="U732" s="339"/>
      <c r="V732" s="339"/>
      <c r="W732" s="339"/>
      <c r="X732" s="339"/>
      <c r="Y732" s="339"/>
      <c r="Z732" s="339"/>
    </row>
    <row r="733" spans="1:26" ht="15.75" customHeight="1">
      <c r="A733" s="339"/>
      <c r="B733" s="339"/>
      <c r="C733" s="339"/>
      <c r="D733" s="339"/>
      <c r="E733" s="339"/>
      <c r="F733" s="339"/>
      <c r="G733" s="339"/>
      <c r="H733" s="339"/>
      <c r="I733" s="341"/>
      <c r="J733" s="339"/>
      <c r="K733" s="341"/>
      <c r="L733" s="341"/>
      <c r="M733" s="341"/>
      <c r="N733" s="341"/>
      <c r="O733" s="341"/>
      <c r="P733" s="339"/>
      <c r="Q733" s="339"/>
      <c r="R733" s="339"/>
      <c r="S733" s="339"/>
      <c r="T733" s="339"/>
      <c r="U733" s="339"/>
      <c r="V733" s="339"/>
      <c r="W733" s="339"/>
      <c r="X733" s="339"/>
      <c r="Y733" s="339"/>
      <c r="Z733" s="339"/>
    </row>
    <row r="734" spans="1:26" ht="15.75" customHeight="1">
      <c r="A734" s="339"/>
      <c r="B734" s="339"/>
      <c r="C734" s="339"/>
      <c r="D734" s="339"/>
      <c r="E734" s="339"/>
      <c r="F734" s="339"/>
      <c r="G734" s="339"/>
      <c r="H734" s="339"/>
      <c r="I734" s="341"/>
      <c r="J734" s="339"/>
      <c r="K734" s="341"/>
      <c r="L734" s="341"/>
      <c r="M734" s="341"/>
      <c r="N734" s="341"/>
      <c r="O734" s="341"/>
      <c r="P734" s="339"/>
      <c r="Q734" s="339"/>
      <c r="R734" s="339"/>
      <c r="S734" s="339"/>
      <c r="T734" s="339"/>
      <c r="U734" s="339"/>
      <c r="V734" s="339"/>
      <c r="W734" s="339"/>
      <c r="X734" s="339"/>
      <c r="Y734" s="339"/>
      <c r="Z734" s="339"/>
    </row>
    <row r="735" spans="1:26" ht="15.75" customHeight="1">
      <c r="A735" s="339"/>
      <c r="B735" s="339"/>
      <c r="C735" s="339"/>
      <c r="D735" s="339"/>
      <c r="E735" s="339"/>
      <c r="F735" s="339"/>
      <c r="G735" s="339"/>
      <c r="H735" s="339"/>
      <c r="I735" s="341"/>
      <c r="J735" s="339"/>
      <c r="K735" s="341"/>
      <c r="L735" s="341"/>
      <c r="M735" s="341"/>
      <c r="N735" s="341"/>
      <c r="O735" s="341"/>
      <c r="P735" s="339"/>
      <c r="Q735" s="339"/>
      <c r="R735" s="339"/>
      <c r="S735" s="339"/>
      <c r="T735" s="339"/>
      <c r="U735" s="339"/>
      <c r="V735" s="339"/>
      <c r="W735" s="339"/>
      <c r="X735" s="339"/>
      <c r="Y735" s="339"/>
      <c r="Z735" s="339"/>
    </row>
    <row r="736" spans="1:26" ht="15.75" customHeight="1">
      <c r="A736" s="339"/>
      <c r="B736" s="339"/>
      <c r="C736" s="339"/>
      <c r="D736" s="339"/>
      <c r="E736" s="339"/>
      <c r="F736" s="339"/>
      <c r="G736" s="339"/>
      <c r="H736" s="339"/>
      <c r="I736" s="341"/>
      <c r="J736" s="339"/>
      <c r="K736" s="341"/>
      <c r="L736" s="341"/>
      <c r="M736" s="341"/>
      <c r="N736" s="341"/>
      <c r="O736" s="341"/>
      <c r="P736" s="339"/>
      <c r="Q736" s="339"/>
      <c r="R736" s="339"/>
      <c r="S736" s="339"/>
      <c r="T736" s="339"/>
      <c r="U736" s="339"/>
      <c r="V736" s="339"/>
      <c r="W736" s="339"/>
      <c r="X736" s="339"/>
      <c r="Y736" s="339"/>
      <c r="Z736" s="339"/>
    </row>
    <row r="737" spans="1:26" ht="15.75" customHeight="1">
      <c r="A737" s="339"/>
      <c r="B737" s="339"/>
      <c r="C737" s="339"/>
      <c r="D737" s="339"/>
      <c r="E737" s="339"/>
      <c r="F737" s="339"/>
      <c r="G737" s="339"/>
      <c r="H737" s="339"/>
      <c r="I737" s="341"/>
      <c r="J737" s="339"/>
      <c r="K737" s="341"/>
      <c r="L737" s="341"/>
      <c r="M737" s="341"/>
      <c r="N737" s="341"/>
      <c r="O737" s="341"/>
      <c r="P737" s="339"/>
      <c r="Q737" s="339"/>
      <c r="R737" s="339"/>
      <c r="S737" s="339"/>
      <c r="T737" s="339"/>
      <c r="U737" s="339"/>
      <c r="V737" s="339"/>
      <c r="W737" s="339"/>
      <c r="X737" s="339"/>
      <c r="Y737" s="339"/>
      <c r="Z737" s="339"/>
    </row>
    <row r="738" spans="1:26" ht="15.75" customHeight="1">
      <c r="A738" s="339"/>
      <c r="B738" s="339"/>
      <c r="C738" s="339"/>
      <c r="D738" s="339"/>
      <c r="E738" s="339"/>
      <c r="F738" s="339"/>
      <c r="G738" s="339"/>
      <c r="H738" s="339"/>
      <c r="I738" s="341"/>
      <c r="J738" s="339"/>
      <c r="K738" s="341"/>
      <c r="L738" s="341"/>
      <c r="M738" s="341"/>
      <c r="N738" s="341"/>
      <c r="O738" s="341"/>
      <c r="P738" s="339"/>
      <c r="Q738" s="339"/>
      <c r="R738" s="339"/>
      <c r="S738" s="339"/>
      <c r="T738" s="339"/>
      <c r="U738" s="339"/>
      <c r="V738" s="339"/>
      <c r="W738" s="339"/>
      <c r="X738" s="339"/>
      <c r="Y738" s="339"/>
      <c r="Z738" s="339"/>
    </row>
    <row r="739" spans="1:26" ht="15.75" customHeight="1">
      <c r="A739" s="339"/>
      <c r="B739" s="339"/>
      <c r="C739" s="339"/>
      <c r="D739" s="339"/>
      <c r="E739" s="339"/>
      <c r="F739" s="339"/>
      <c r="G739" s="339"/>
      <c r="H739" s="339"/>
      <c r="I739" s="341"/>
      <c r="J739" s="339"/>
      <c r="K739" s="341"/>
      <c r="L739" s="341"/>
      <c r="M739" s="341"/>
      <c r="N739" s="341"/>
      <c r="O739" s="341"/>
      <c r="P739" s="339"/>
      <c r="Q739" s="339"/>
      <c r="R739" s="339"/>
      <c r="S739" s="339"/>
      <c r="T739" s="339"/>
      <c r="U739" s="339"/>
      <c r="V739" s="339"/>
      <c r="W739" s="339"/>
      <c r="X739" s="339"/>
      <c r="Y739" s="339"/>
      <c r="Z739" s="339"/>
    </row>
    <row r="740" spans="1:26" ht="15.75" customHeight="1">
      <c r="A740" s="339"/>
      <c r="B740" s="339"/>
      <c r="C740" s="339"/>
      <c r="D740" s="339"/>
      <c r="E740" s="339"/>
      <c r="F740" s="339"/>
      <c r="G740" s="339"/>
      <c r="H740" s="339"/>
      <c r="I740" s="341"/>
      <c r="J740" s="339"/>
      <c r="K740" s="341"/>
      <c r="L740" s="341"/>
      <c r="M740" s="341"/>
      <c r="N740" s="341"/>
      <c r="O740" s="341"/>
      <c r="P740" s="339"/>
      <c r="Q740" s="339"/>
      <c r="R740" s="339"/>
      <c r="S740" s="339"/>
      <c r="T740" s="339"/>
      <c r="U740" s="339"/>
      <c r="V740" s="339"/>
      <c r="W740" s="339"/>
      <c r="X740" s="339"/>
      <c r="Y740" s="339"/>
      <c r="Z740" s="339"/>
    </row>
    <row r="741" spans="1:26" ht="15.75" customHeight="1">
      <c r="A741" s="339"/>
      <c r="B741" s="339"/>
      <c r="C741" s="339"/>
      <c r="D741" s="339"/>
      <c r="E741" s="339"/>
      <c r="F741" s="339"/>
      <c r="G741" s="339"/>
      <c r="H741" s="339"/>
      <c r="I741" s="341"/>
      <c r="J741" s="339"/>
      <c r="K741" s="341"/>
      <c r="L741" s="341"/>
      <c r="M741" s="341"/>
      <c r="N741" s="341"/>
      <c r="O741" s="341"/>
      <c r="P741" s="339"/>
      <c r="Q741" s="339"/>
      <c r="R741" s="339"/>
      <c r="S741" s="339"/>
      <c r="T741" s="339"/>
      <c r="U741" s="339"/>
      <c r="V741" s="339"/>
      <c r="W741" s="339"/>
      <c r="X741" s="339"/>
      <c r="Y741" s="339"/>
      <c r="Z741" s="339"/>
    </row>
    <row r="742" spans="1:26" ht="15.75" customHeight="1">
      <c r="A742" s="339"/>
      <c r="B742" s="339"/>
      <c r="C742" s="339"/>
      <c r="D742" s="339"/>
      <c r="E742" s="339"/>
      <c r="F742" s="339"/>
      <c r="G742" s="339"/>
      <c r="H742" s="339"/>
      <c r="I742" s="341"/>
      <c r="J742" s="339"/>
      <c r="K742" s="341"/>
      <c r="L742" s="341"/>
      <c r="M742" s="341"/>
      <c r="N742" s="341"/>
      <c r="O742" s="341"/>
      <c r="P742" s="339"/>
      <c r="Q742" s="339"/>
      <c r="R742" s="339"/>
      <c r="S742" s="339"/>
      <c r="T742" s="339"/>
      <c r="U742" s="339"/>
      <c r="V742" s="339"/>
      <c r="W742" s="339"/>
      <c r="X742" s="339"/>
      <c r="Y742" s="339"/>
      <c r="Z742" s="339"/>
    </row>
    <row r="743" spans="1:26" ht="15.75" customHeight="1">
      <c r="A743" s="339"/>
      <c r="B743" s="339"/>
      <c r="C743" s="339"/>
      <c r="D743" s="339"/>
      <c r="E743" s="339"/>
      <c r="F743" s="339"/>
      <c r="G743" s="339"/>
      <c r="H743" s="339"/>
      <c r="I743" s="341"/>
      <c r="J743" s="339"/>
      <c r="K743" s="341"/>
      <c r="L743" s="341"/>
      <c r="M743" s="341"/>
      <c r="N743" s="341"/>
      <c r="O743" s="341"/>
      <c r="P743" s="339"/>
      <c r="Q743" s="339"/>
      <c r="R743" s="339"/>
      <c r="S743" s="339"/>
      <c r="T743" s="339"/>
      <c r="U743" s="339"/>
      <c r="V743" s="339"/>
      <c r="W743" s="339"/>
      <c r="X743" s="339"/>
      <c r="Y743" s="339"/>
      <c r="Z743" s="339"/>
    </row>
    <row r="744" spans="1:26" ht="15.75" customHeight="1">
      <c r="A744" s="339"/>
      <c r="B744" s="339"/>
      <c r="C744" s="339"/>
      <c r="D744" s="339"/>
      <c r="E744" s="339"/>
      <c r="F744" s="339"/>
      <c r="G744" s="339"/>
      <c r="H744" s="339"/>
      <c r="I744" s="341"/>
      <c r="J744" s="339"/>
      <c r="K744" s="341"/>
      <c r="L744" s="341"/>
      <c r="M744" s="341"/>
      <c r="N744" s="341"/>
      <c r="O744" s="341"/>
      <c r="P744" s="339"/>
      <c r="Q744" s="339"/>
      <c r="R744" s="339"/>
      <c r="S744" s="339"/>
      <c r="T744" s="339"/>
      <c r="U744" s="339"/>
      <c r="V744" s="339"/>
      <c r="W744" s="339"/>
      <c r="X744" s="339"/>
      <c r="Y744" s="339"/>
      <c r="Z744" s="339"/>
    </row>
    <row r="745" spans="1:26" ht="15.75" customHeight="1">
      <c r="A745" s="339"/>
      <c r="B745" s="339"/>
      <c r="C745" s="339"/>
      <c r="D745" s="339"/>
      <c r="E745" s="339"/>
      <c r="F745" s="339"/>
      <c r="G745" s="339"/>
      <c r="H745" s="339"/>
      <c r="I745" s="341"/>
      <c r="J745" s="339"/>
      <c r="K745" s="341"/>
      <c r="L745" s="341"/>
      <c r="M745" s="341"/>
      <c r="N745" s="341"/>
      <c r="O745" s="341"/>
      <c r="P745" s="339"/>
      <c r="Q745" s="339"/>
      <c r="R745" s="339"/>
      <c r="S745" s="339"/>
      <c r="T745" s="339"/>
      <c r="U745" s="339"/>
      <c r="V745" s="339"/>
      <c r="W745" s="339"/>
      <c r="X745" s="339"/>
      <c r="Y745" s="339"/>
      <c r="Z745" s="339"/>
    </row>
    <row r="746" spans="1:26" ht="15.75" customHeight="1">
      <c r="A746" s="339"/>
      <c r="B746" s="339"/>
      <c r="C746" s="339"/>
      <c r="D746" s="339"/>
      <c r="E746" s="339"/>
      <c r="F746" s="339"/>
      <c r="G746" s="339"/>
      <c r="H746" s="339"/>
      <c r="I746" s="341"/>
      <c r="J746" s="339"/>
      <c r="K746" s="341"/>
      <c r="L746" s="341"/>
      <c r="M746" s="341"/>
      <c r="N746" s="341"/>
      <c r="O746" s="341"/>
      <c r="P746" s="339"/>
      <c r="Q746" s="339"/>
      <c r="R746" s="339"/>
      <c r="S746" s="339"/>
      <c r="T746" s="339"/>
      <c r="U746" s="339"/>
      <c r="V746" s="339"/>
      <c r="W746" s="339"/>
      <c r="X746" s="339"/>
      <c r="Y746" s="339"/>
      <c r="Z746" s="339"/>
    </row>
    <row r="747" spans="1:26" ht="15.75" customHeight="1">
      <c r="A747" s="339"/>
      <c r="B747" s="339"/>
      <c r="C747" s="339"/>
      <c r="D747" s="339"/>
      <c r="E747" s="339"/>
      <c r="F747" s="339"/>
      <c r="G747" s="339"/>
      <c r="H747" s="339"/>
      <c r="I747" s="341"/>
      <c r="J747" s="339"/>
      <c r="K747" s="341"/>
      <c r="L747" s="341"/>
      <c r="M747" s="341"/>
      <c r="N747" s="341"/>
      <c r="O747" s="341"/>
      <c r="P747" s="339"/>
      <c r="Q747" s="339"/>
      <c r="R747" s="339"/>
      <c r="S747" s="339"/>
      <c r="T747" s="339"/>
      <c r="U747" s="339"/>
      <c r="V747" s="339"/>
      <c r="W747" s="339"/>
      <c r="X747" s="339"/>
      <c r="Y747" s="339"/>
      <c r="Z747" s="339"/>
    </row>
    <row r="748" spans="1:26" ht="15.75" customHeight="1">
      <c r="A748" s="339"/>
      <c r="B748" s="339"/>
      <c r="C748" s="339"/>
      <c r="D748" s="339"/>
      <c r="E748" s="339"/>
      <c r="F748" s="339"/>
      <c r="G748" s="339"/>
      <c r="H748" s="339"/>
      <c r="I748" s="341"/>
      <c r="J748" s="339"/>
      <c r="K748" s="341"/>
      <c r="L748" s="341"/>
      <c r="M748" s="341"/>
      <c r="N748" s="341"/>
      <c r="O748" s="341"/>
      <c r="P748" s="339"/>
      <c r="Q748" s="339"/>
      <c r="R748" s="339"/>
      <c r="S748" s="339"/>
      <c r="T748" s="339"/>
      <c r="U748" s="339"/>
      <c r="V748" s="339"/>
      <c r="W748" s="339"/>
      <c r="X748" s="339"/>
      <c r="Y748" s="339"/>
      <c r="Z748" s="339"/>
    </row>
    <row r="749" spans="1:26" ht="15.75" customHeight="1">
      <c r="A749" s="339"/>
      <c r="B749" s="339"/>
      <c r="C749" s="339"/>
      <c r="D749" s="339"/>
      <c r="E749" s="339"/>
      <c r="F749" s="339"/>
      <c r="G749" s="339"/>
      <c r="H749" s="339"/>
      <c r="I749" s="341"/>
      <c r="J749" s="339"/>
      <c r="K749" s="341"/>
      <c r="L749" s="341"/>
      <c r="M749" s="341"/>
      <c r="N749" s="341"/>
      <c r="O749" s="341"/>
      <c r="P749" s="339"/>
      <c r="Q749" s="339"/>
      <c r="R749" s="339"/>
      <c r="S749" s="339"/>
      <c r="T749" s="339"/>
      <c r="U749" s="339"/>
      <c r="V749" s="339"/>
      <c r="W749" s="339"/>
      <c r="X749" s="339"/>
      <c r="Y749" s="339"/>
      <c r="Z749" s="339"/>
    </row>
    <row r="750" spans="1:26" ht="15.75" customHeight="1">
      <c r="A750" s="339"/>
      <c r="B750" s="339"/>
      <c r="C750" s="339"/>
      <c r="D750" s="339"/>
      <c r="E750" s="339"/>
      <c r="F750" s="339"/>
      <c r="G750" s="339"/>
      <c r="H750" s="339"/>
      <c r="I750" s="341"/>
      <c r="J750" s="339"/>
      <c r="K750" s="341"/>
      <c r="L750" s="341"/>
      <c r="M750" s="341"/>
      <c r="N750" s="341"/>
      <c r="O750" s="341"/>
      <c r="P750" s="339"/>
      <c r="Q750" s="339"/>
      <c r="R750" s="339"/>
      <c r="S750" s="339"/>
      <c r="T750" s="339"/>
      <c r="U750" s="339"/>
      <c r="V750" s="339"/>
      <c r="W750" s="339"/>
      <c r="X750" s="339"/>
      <c r="Y750" s="339"/>
      <c r="Z750" s="339"/>
    </row>
    <row r="751" spans="1:26" ht="15.75" customHeight="1">
      <c r="A751" s="339"/>
      <c r="B751" s="339"/>
      <c r="C751" s="339"/>
      <c r="D751" s="339"/>
      <c r="E751" s="339"/>
      <c r="F751" s="339"/>
      <c r="G751" s="339"/>
      <c r="H751" s="339"/>
      <c r="I751" s="341"/>
      <c r="J751" s="339"/>
      <c r="K751" s="341"/>
      <c r="L751" s="341"/>
      <c r="M751" s="341"/>
      <c r="N751" s="341"/>
      <c r="O751" s="341"/>
      <c r="P751" s="339"/>
      <c r="Q751" s="339"/>
      <c r="R751" s="339"/>
      <c r="S751" s="339"/>
      <c r="T751" s="339"/>
      <c r="U751" s="339"/>
      <c r="V751" s="339"/>
      <c r="W751" s="339"/>
      <c r="X751" s="339"/>
      <c r="Y751" s="339"/>
      <c r="Z751" s="339"/>
    </row>
    <row r="752" spans="1:26" ht="15.75" customHeight="1">
      <c r="A752" s="339"/>
      <c r="B752" s="339"/>
      <c r="C752" s="339"/>
      <c r="D752" s="339"/>
      <c r="E752" s="339"/>
      <c r="F752" s="339"/>
      <c r="G752" s="339"/>
      <c r="H752" s="339"/>
      <c r="I752" s="341"/>
      <c r="J752" s="339"/>
      <c r="K752" s="341"/>
      <c r="L752" s="341"/>
      <c r="M752" s="341"/>
      <c r="N752" s="341"/>
      <c r="O752" s="341"/>
      <c r="P752" s="339"/>
      <c r="Q752" s="339"/>
      <c r="R752" s="339"/>
      <c r="S752" s="339"/>
      <c r="T752" s="339"/>
      <c r="U752" s="339"/>
      <c r="V752" s="339"/>
      <c r="W752" s="339"/>
      <c r="X752" s="339"/>
      <c r="Y752" s="339"/>
      <c r="Z752" s="339"/>
    </row>
    <row r="753" spans="1:26" ht="15.75" customHeight="1">
      <c r="A753" s="339"/>
      <c r="B753" s="339"/>
      <c r="C753" s="339"/>
      <c r="D753" s="339"/>
      <c r="E753" s="339"/>
      <c r="F753" s="339"/>
      <c r="G753" s="339"/>
      <c r="H753" s="339"/>
      <c r="I753" s="341"/>
      <c r="J753" s="339"/>
      <c r="K753" s="341"/>
      <c r="L753" s="341"/>
      <c r="M753" s="341"/>
      <c r="N753" s="341"/>
      <c r="O753" s="341"/>
      <c r="P753" s="339"/>
      <c r="Q753" s="339"/>
      <c r="R753" s="339"/>
      <c r="S753" s="339"/>
      <c r="T753" s="339"/>
      <c r="U753" s="339"/>
      <c r="V753" s="339"/>
      <c r="W753" s="339"/>
      <c r="X753" s="339"/>
      <c r="Y753" s="339"/>
      <c r="Z753" s="339"/>
    </row>
    <row r="754" spans="1:26" ht="15.75" customHeight="1">
      <c r="A754" s="339"/>
      <c r="B754" s="339"/>
      <c r="C754" s="339"/>
      <c r="D754" s="339"/>
      <c r="E754" s="339"/>
      <c r="F754" s="339"/>
      <c r="G754" s="339"/>
      <c r="H754" s="339"/>
      <c r="I754" s="341"/>
      <c r="J754" s="339"/>
      <c r="K754" s="341"/>
      <c r="L754" s="341"/>
      <c r="M754" s="341"/>
      <c r="N754" s="341"/>
      <c r="O754" s="341"/>
      <c r="P754" s="339"/>
      <c r="Q754" s="339"/>
      <c r="R754" s="339"/>
      <c r="S754" s="339"/>
      <c r="T754" s="339"/>
      <c r="U754" s="339"/>
      <c r="V754" s="339"/>
      <c r="W754" s="339"/>
      <c r="X754" s="339"/>
      <c r="Y754" s="339"/>
      <c r="Z754" s="339"/>
    </row>
    <row r="755" spans="1:26" ht="15.75" customHeight="1">
      <c r="A755" s="339"/>
      <c r="B755" s="339"/>
      <c r="C755" s="339"/>
      <c r="D755" s="339"/>
      <c r="E755" s="339"/>
      <c r="F755" s="339"/>
      <c r="G755" s="339"/>
      <c r="H755" s="339"/>
      <c r="I755" s="341"/>
      <c r="J755" s="339"/>
      <c r="K755" s="341"/>
      <c r="L755" s="341"/>
      <c r="M755" s="341"/>
      <c r="N755" s="341"/>
      <c r="O755" s="341"/>
      <c r="P755" s="339"/>
      <c r="Q755" s="339"/>
      <c r="R755" s="339"/>
      <c r="S755" s="339"/>
      <c r="T755" s="339"/>
      <c r="U755" s="339"/>
      <c r="V755" s="339"/>
      <c r="W755" s="339"/>
      <c r="X755" s="339"/>
      <c r="Y755" s="339"/>
      <c r="Z755" s="339"/>
    </row>
    <row r="756" spans="1:26" ht="15.75" customHeight="1">
      <c r="A756" s="339"/>
      <c r="B756" s="339"/>
      <c r="C756" s="339"/>
      <c r="D756" s="339"/>
      <c r="E756" s="339"/>
      <c r="F756" s="339"/>
      <c r="G756" s="339"/>
      <c r="H756" s="339"/>
      <c r="I756" s="341"/>
      <c r="J756" s="339"/>
      <c r="K756" s="341"/>
      <c r="L756" s="341"/>
      <c r="M756" s="341"/>
      <c r="N756" s="341"/>
      <c r="O756" s="341"/>
      <c r="P756" s="339"/>
      <c r="Q756" s="339"/>
      <c r="R756" s="339"/>
      <c r="S756" s="339"/>
      <c r="T756" s="339"/>
      <c r="U756" s="339"/>
      <c r="V756" s="339"/>
      <c r="W756" s="339"/>
      <c r="X756" s="339"/>
      <c r="Y756" s="339"/>
      <c r="Z756" s="339"/>
    </row>
    <row r="757" spans="1:26" ht="15.75" customHeight="1">
      <c r="A757" s="339"/>
      <c r="B757" s="339"/>
      <c r="C757" s="339"/>
      <c r="D757" s="339"/>
      <c r="E757" s="339"/>
      <c r="F757" s="339"/>
      <c r="G757" s="339"/>
      <c r="H757" s="339"/>
      <c r="I757" s="341"/>
      <c r="J757" s="339"/>
      <c r="K757" s="341"/>
      <c r="L757" s="341"/>
      <c r="M757" s="341"/>
      <c r="N757" s="341"/>
      <c r="O757" s="341"/>
      <c r="P757" s="339"/>
      <c r="Q757" s="339"/>
      <c r="R757" s="339"/>
      <c r="S757" s="339"/>
      <c r="T757" s="339"/>
      <c r="U757" s="339"/>
      <c r="V757" s="339"/>
      <c r="W757" s="339"/>
      <c r="X757" s="339"/>
      <c r="Y757" s="339"/>
      <c r="Z757" s="339"/>
    </row>
    <row r="758" spans="1:26" ht="15.75" customHeight="1">
      <c r="A758" s="339"/>
      <c r="B758" s="339"/>
      <c r="C758" s="339"/>
      <c r="D758" s="339"/>
      <c r="E758" s="339"/>
      <c r="F758" s="339"/>
      <c r="G758" s="339"/>
      <c r="H758" s="339"/>
      <c r="I758" s="341"/>
      <c r="J758" s="339"/>
      <c r="K758" s="341"/>
      <c r="L758" s="341"/>
      <c r="M758" s="341"/>
      <c r="N758" s="341"/>
      <c r="O758" s="341"/>
      <c r="P758" s="339"/>
      <c r="Q758" s="339"/>
      <c r="R758" s="339"/>
      <c r="S758" s="339"/>
      <c r="T758" s="339"/>
      <c r="U758" s="339"/>
      <c r="V758" s="339"/>
      <c r="W758" s="339"/>
      <c r="X758" s="339"/>
      <c r="Y758" s="339"/>
      <c r="Z758" s="339"/>
    </row>
    <row r="759" spans="1:26" ht="15.75" customHeight="1">
      <c r="A759" s="339"/>
      <c r="B759" s="339"/>
      <c r="C759" s="339"/>
      <c r="D759" s="339"/>
      <c r="E759" s="339"/>
      <c r="F759" s="339"/>
      <c r="G759" s="339"/>
      <c r="H759" s="339"/>
      <c r="I759" s="341"/>
      <c r="J759" s="339"/>
      <c r="K759" s="341"/>
      <c r="L759" s="341"/>
      <c r="M759" s="341"/>
      <c r="N759" s="341"/>
      <c r="O759" s="341"/>
      <c r="P759" s="339"/>
      <c r="Q759" s="339"/>
      <c r="R759" s="339"/>
      <c r="S759" s="339"/>
      <c r="T759" s="339"/>
      <c r="U759" s="339"/>
      <c r="V759" s="339"/>
      <c r="W759" s="339"/>
      <c r="X759" s="339"/>
      <c r="Y759" s="339"/>
      <c r="Z759" s="339"/>
    </row>
    <row r="760" spans="1:26" ht="15.75" customHeight="1">
      <c r="A760" s="339"/>
      <c r="B760" s="339"/>
      <c r="C760" s="339"/>
      <c r="D760" s="339"/>
      <c r="E760" s="339"/>
      <c r="F760" s="339"/>
      <c r="G760" s="339"/>
      <c r="H760" s="339"/>
      <c r="I760" s="341"/>
      <c r="J760" s="339"/>
      <c r="K760" s="341"/>
      <c r="L760" s="341"/>
      <c r="M760" s="341"/>
      <c r="N760" s="341"/>
      <c r="O760" s="341"/>
      <c r="P760" s="339"/>
      <c r="Q760" s="339"/>
      <c r="R760" s="339"/>
      <c r="S760" s="339"/>
      <c r="T760" s="339"/>
      <c r="U760" s="339"/>
      <c r="V760" s="339"/>
      <c r="W760" s="339"/>
      <c r="X760" s="339"/>
      <c r="Y760" s="339"/>
      <c r="Z760" s="339"/>
    </row>
    <row r="761" spans="1:26" ht="15.75" customHeight="1">
      <c r="A761" s="339"/>
      <c r="B761" s="339"/>
      <c r="C761" s="339"/>
      <c r="D761" s="339"/>
      <c r="E761" s="339"/>
      <c r="F761" s="339"/>
      <c r="G761" s="339"/>
      <c r="H761" s="339"/>
      <c r="I761" s="341"/>
      <c r="J761" s="339"/>
      <c r="K761" s="341"/>
      <c r="L761" s="341"/>
      <c r="M761" s="341"/>
      <c r="N761" s="341"/>
      <c r="O761" s="341"/>
      <c r="P761" s="339"/>
      <c r="Q761" s="339"/>
      <c r="R761" s="339"/>
      <c r="S761" s="339"/>
      <c r="T761" s="339"/>
      <c r="U761" s="339"/>
      <c r="V761" s="339"/>
      <c r="W761" s="339"/>
      <c r="X761" s="339"/>
      <c r="Y761" s="339"/>
      <c r="Z761" s="339"/>
    </row>
    <row r="762" spans="1:26" ht="15.75" customHeight="1">
      <c r="A762" s="339"/>
      <c r="B762" s="339"/>
      <c r="C762" s="339"/>
      <c r="D762" s="339"/>
      <c r="E762" s="339"/>
      <c r="F762" s="339"/>
      <c r="G762" s="339"/>
      <c r="H762" s="339"/>
      <c r="I762" s="341"/>
      <c r="J762" s="339"/>
      <c r="K762" s="341"/>
      <c r="L762" s="341"/>
      <c r="M762" s="341"/>
      <c r="N762" s="341"/>
      <c r="O762" s="341"/>
      <c r="P762" s="339"/>
      <c r="Q762" s="339"/>
      <c r="R762" s="339"/>
      <c r="S762" s="339"/>
      <c r="T762" s="339"/>
      <c r="U762" s="339"/>
      <c r="V762" s="339"/>
      <c r="W762" s="339"/>
      <c r="X762" s="339"/>
      <c r="Y762" s="339"/>
      <c r="Z762" s="339"/>
    </row>
    <row r="763" spans="1:26" ht="15.75" customHeight="1">
      <c r="A763" s="339"/>
      <c r="B763" s="339"/>
      <c r="C763" s="339"/>
      <c r="D763" s="339"/>
      <c r="E763" s="339"/>
      <c r="F763" s="339"/>
      <c r="G763" s="339"/>
      <c r="H763" s="339"/>
      <c r="I763" s="341"/>
      <c r="J763" s="339"/>
      <c r="K763" s="341"/>
      <c r="L763" s="341"/>
      <c r="M763" s="341"/>
      <c r="N763" s="341"/>
      <c r="O763" s="341"/>
      <c r="P763" s="339"/>
      <c r="Q763" s="339"/>
      <c r="R763" s="339"/>
      <c r="S763" s="339"/>
      <c r="T763" s="339"/>
      <c r="U763" s="339"/>
      <c r="V763" s="339"/>
      <c r="W763" s="339"/>
      <c r="X763" s="339"/>
      <c r="Y763" s="339"/>
      <c r="Z763" s="339"/>
    </row>
    <row r="764" spans="1:26" ht="15.75" customHeight="1">
      <c r="A764" s="339"/>
      <c r="B764" s="339"/>
      <c r="C764" s="339"/>
      <c r="D764" s="339"/>
      <c r="E764" s="339"/>
      <c r="F764" s="339"/>
      <c r="G764" s="339"/>
      <c r="H764" s="339"/>
      <c r="I764" s="341"/>
      <c r="J764" s="339"/>
      <c r="K764" s="341"/>
      <c r="L764" s="341"/>
      <c r="M764" s="341"/>
      <c r="N764" s="341"/>
      <c r="O764" s="341"/>
      <c r="P764" s="339"/>
      <c r="Q764" s="339"/>
      <c r="R764" s="339"/>
      <c r="S764" s="339"/>
      <c r="T764" s="339"/>
      <c r="U764" s="339"/>
      <c r="V764" s="339"/>
      <c r="W764" s="339"/>
      <c r="X764" s="339"/>
      <c r="Y764" s="339"/>
      <c r="Z764" s="339"/>
    </row>
    <row r="765" spans="1:26" ht="15.75" customHeight="1">
      <c r="A765" s="339"/>
      <c r="B765" s="339"/>
      <c r="C765" s="339"/>
      <c r="D765" s="339"/>
      <c r="E765" s="339"/>
      <c r="F765" s="339"/>
      <c r="G765" s="339"/>
      <c r="H765" s="339"/>
      <c r="I765" s="341"/>
      <c r="J765" s="339"/>
      <c r="K765" s="341"/>
      <c r="L765" s="341"/>
      <c r="M765" s="341"/>
      <c r="N765" s="341"/>
      <c r="O765" s="341"/>
      <c r="P765" s="339"/>
      <c r="Q765" s="339"/>
      <c r="R765" s="339"/>
      <c r="S765" s="339"/>
      <c r="T765" s="339"/>
      <c r="U765" s="339"/>
      <c r="V765" s="339"/>
      <c r="W765" s="339"/>
      <c r="X765" s="339"/>
      <c r="Y765" s="339"/>
      <c r="Z765" s="339"/>
    </row>
    <row r="766" spans="1:26" ht="15.75" customHeight="1">
      <c r="A766" s="339"/>
      <c r="B766" s="339"/>
      <c r="C766" s="339"/>
      <c r="D766" s="339"/>
      <c r="E766" s="339"/>
      <c r="F766" s="339"/>
      <c r="G766" s="339"/>
      <c r="H766" s="339"/>
      <c r="I766" s="341"/>
      <c r="J766" s="339"/>
      <c r="K766" s="341"/>
      <c r="L766" s="341"/>
      <c r="M766" s="341"/>
      <c r="N766" s="341"/>
      <c r="O766" s="341"/>
      <c r="P766" s="339"/>
      <c r="Q766" s="339"/>
      <c r="R766" s="339"/>
      <c r="S766" s="339"/>
      <c r="T766" s="339"/>
      <c r="U766" s="339"/>
      <c r="V766" s="339"/>
      <c r="W766" s="339"/>
      <c r="X766" s="339"/>
      <c r="Y766" s="339"/>
      <c r="Z766" s="339"/>
    </row>
    <row r="767" spans="1:26" ht="15.75" customHeight="1">
      <c r="A767" s="339"/>
      <c r="B767" s="339"/>
      <c r="C767" s="339"/>
      <c r="D767" s="339"/>
      <c r="E767" s="339"/>
      <c r="F767" s="339"/>
      <c r="G767" s="339"/>
      <c r="H767" s="339"/>
      <c r="I767" s="341"/>
      <c r="J767" s="339"/>
      <c r="K767" s="341"/>
      <c r="L767" s="341"/>
      <c r="M767" s="341"/>
      <c r="N767" s="341"/>
      <c r="O767" s="341"/>
      <c r="P767" s="339"/>
      <c r="Q767" s="339"/>
      <c r="R767" s="339"/>
      <c r="S767" s="339"/>
      <c r="T767" s="339"/>
      <c r="U767" s="339"/>
      <c r="V767" s="339"/>
      <c r="W767" s="339"/>
      <c r="X767" s="339"/>
      <c r="Y767" s="339"/>
      <c r="Z767" s="339"/>
    </row>
    <row r="768" spans="1:26" ht="15.75" customHeight="1">
      <c r="A768" s="339"/>
      <c r="B768" s="339"/>
      <c r="C768" s="339"/>
      <c r="D768" s="339"/>
      <c r="E768" s="339"/>
      <c r="F768" s="339"/>
      <c r="G768" s="339"/>
      <c r="H768" s="339"/>
      <c r="I768" s="341"/>
      <c r="J768" s="339"/>
      <c r="K768" s="341"/>
      <c r="L768" s="341"/>
      <c r="M768" s="341"/>
      <c r="N768" s="341"/>
      <c r="O768" s="341"/>
      <c r="P768" s="339"/>
      <c r="Q768" s="339"/>
      <c r="R768" s="339"/>
      <c r="S768" s="339"/>
      <c r="T768" s="339"/>
      <c r="U768" s="339"/>
      <c r="V768" s="339"/>
      <c r="W768" s="339"/>
      <c r="X768" s="339"/>
      <c r="Y768" s="339"/>
      <c r="Z768" s="339"/>
    </row>
    <row r="769" spans="1:26" ht="15.75" customHeight="1">
      <c r="A769" s="339"/>
      <c r="B769" s="339"/>
      <c r="C769" s="339"/>
      <c r="D769" s="339"/>
      <c r="E769" s="339"/>
      <c r="F769" s="339"/>
      <c r="G769" s="339"/>
      <c r="H769" s="339"/>
      <c r="I769" s="341"/>
      <c r="J769" s="339"/>
      <c r="K769" s="341"/>
      <c r="L769" s="341"/>
      <c r="M769" s="341"/>
      <c r="N769" s="341"/>
      <c r="O769" s="341"/>
      <c r="P769" s="339"/>
      <c r="Q769" s="339"/>
      <c r="R769" s="339"/>
      <c r="S769" s="339"/>
      <c r="T769" s="339"/>
      <c r="U769" s="339"/>
      <c r="V769" s="339"/>
      <c r="W769" s="339"/>
      <c r="X769" s="339"/>
      <c r="Y769" s="339"/>
      <c r="Z769" s="339"/>
    </row>
    <row r="770" spans="1:26" ht="15.75" customHeight="1">
      <c r="A770" s="339"/>
      <c r="B770" s="339"/>
      <c r="C770" s="339"/>
      <c r="D770" s="339"/>
      <c r="E770" s="339"/>
      <c r="F770" s="339"/>
      <c r="G770" s="339"/>
      <c r="H770" s="339"/>
      <c r="I770" s="341"/>
      <c r="J770" s="339"/>
      <c r="K770" s="341"/>
      <c r="L770" s="341"/>
      <c r="M770" s="341"/>
      <c r="N770" s="341"/>
      <c r="O770" s="341"/>
      <c r="P770" s="339"/>
      <c r="Q770" s="339"/>
      <c r="R770" s="339"/>
      <c r="S770" s="339"/>
      <c r="T770" s="339"/>
      <c r="U770" s="339"/>
      <c r="V770" s="339"/>
      <c r="W770" s="339"/>
      <c r="X770" s="339"/>
      <c r="Y770" s="339"/>
      <c r="Z770" s="339"/>
    </row>
    <row r="771" spans="1:26" ht="15.75" customHeight="1">
      <c r="A771" s="339"/>
      <c r="B771" s="339"/>
      <c r="C771" s="339"/>
      <c r="D771" s="339"/>
      <c r="E771" s="339"/>
      <c r="F771" s="339"/>
      <c r="G771" s="339"/>
      <c r="H771" s="339"/>
      <c r="I771" s="341"/>
      <c r="J771" s="339"/>
      <c r="K771" s="341"/>
      <c r="L771" s="341"/>
      <c r="M771" s="341"/>
      <c r="N771" s="341"/>
      <c r="O771" s="341"/>
      <c r="P771" s="339"/>
      <c r="Q771" s="339"/>
      <c r="R771" s="339"/>
      <c r="S771" s="339"/>
      <c r="T771" s="339"/>
      <c r="U771" s="339"/>
      <c r="V771" s="339"/>
      <c r="W771" s="339"/>
      <c r="X771" s="339"/>
      <c r="Y771" s="339"/>
      <c r="Z771" s="339"/>
    </row>
    <row r="772" spans="1:26" ht="15.75" customHeight="1">
      <c r="A772" s="339"/>
      <c r="B772" s="339"/>
      <c r="C772" s="339"/>
      <c r="D772" s="339"/>
      <c r="E772" s="339"/>
      <c r="F772" s="339"/>
      <c r="G772" s="339"/>
      <c r="H772" s="339"/>
      <c r="I772" s="341"/>
      <c r="J772" s="339"/>
      <c r="K772" s="341"/>
      <c r="L772" s="341"/>
      <c r="M772" s="341"/>
      <c r="N772" s="341"/>
      <c r="O772" s="341"/>
      <c r="P772" s="339"/>
      <c r="Q772" s="339"/>
      <c r="R772" s="339"/>
      <c r="S772" s="339"/>
      <c r="T772" s="339"/>
      <c r="U772" s="339"/>
      <c r="V772" s="339"/>
      <c r="W772" s="339"/>
      <c r="X772" s="339"/>
      <c r="Y772" s="339"/>
      <c r="Z772" s="339"/>
    </row>
    <row r="773" spans="1:26" ht="15.75" customHeight="1">
      <c r="A773" s="339"/>
      <c r="B773" s="339"/>
      <c r="C773" s="339"/>
      <c r="D773" s="339"/>
      <c r="E773" s="339"/>
      <c r="F773" s="339"/>
      <c r="G773" s="339"/>
      <c r="H773" s="339"/>
      <c r="I773" s="341"/>
      <c r="J773" s="339"/>
      <c r="K773" s="341"/>
      <c r="L773" s="341"/>
      <c r="M773" s="341"/>
      <c r="N773" s="341"/>
      <c r="O773" s="341"/>
      <c r="P773" s="339"/>
      <c r="Q773" s="339"/>
      <c r="R773" s="339"/>
      <c r="S773" s="339"/>
      <c r="T773" s="339"/>
      <c r="U773" s="339"/>
      <c r="V773" s="339"/>
      <c r="W773" s="339"/>
      <c r="X773" s="339"/>
      <c r="Y773" s="339"/>
      <c r="Z773" s="339"/>
    </row>
    <row r="774" spans="1:26" ht="15.75" customHeight="1">
      <c r="A774" s="339"/>
      <c r="B774" s="339"/>
      <c r="C774" s="339"/>
      <c r="D774" s="339"/>
      <c r="E774" s="339"/>
      <c r="F774" s="339"/>
      <c r="G774" s="339"/>
      <c r="H774" s="339"/>
      <c r="I774" s="341"/>
      <c r="J774" s="339"/>
      <c r="K774" s="341"/>
      <c r="L774" s="341"/>
      <c r="M774" s="341"/>
      <c r="N774" s="341"/>
      <c r="O774" s="341"/>
      <c r="P774" s="339"/>
      <c r="Q774" s="339"/>
      <c r="R774" s="339"/>
      <c r="S774" s="339"/>
      <c r="T774" s="339"/>
      <c r="U774" s="339"/>
      <c r="V774" s="339"/>
      <c r="W774" s="339"/>
      <c r="X774" s="339"/>
      <c r="Y774" s="339"/>
      <c r="Z774" s="339"/>
    </row>
    <row r="775" spans="1:26" ht="15.75" customHeight="1">
      <c r="A775" s="339"/>
      <c r="B775" s="339"/>
      <c r="C775" s="339"/>
      <c r="D775" s="339"/>
      <c r="E775" s="339"/>
      <c r="F775" s="339"/>
      <c r="G775" s="339"/>
      <c r="H775" s="339"/>
      <c r="I775" s="341"/>
      <c r="J775" s="339"/>
      <c r="K775" s="341"/>
      <c r="L775" s="341"/>
      <c r="M775" s="341"/>
      <c r="N775" s="341"/>
      <c r="O775" s="341"/>
      <c r="P775" s="339"/>
      <c r="Q775" s="339"/>
      <c r="R775" s="339"/>
      <c r="S775" s="339"/>
      <c r="T775" s="339"/>
      <c r="U775" s="339"/>
      <c r="V775" s="339"/>
      <c r="W775" s="339"/>
      <c r="X775" s="339"/>
      <c r="Y775" s="339"/>
      <c r="Z775" s="339"/>
    </row>
    <row r="776" spans="1:26" ht="15.75" customHeight="1">
      <c r="A776" s="339"/>
      <c r="B776" s="339"/>
      <c r="C776" s="339"/>
      <c r="D776" s="339"/>
      <c r="E776" s="339"/>
      <c r="F776" s="339"/>
      <c r="G776" s="339"/>
      <c r="H776" s="339"/>
      <c r="I776" s="341"/>
      <c r="J776" s="339"/>
      <c r="K776" s="341"/>
      <c r="L776" s="341"/>
      <c r="M776" s="341"/>
      <c r="N776" s="341"/>
      <c r="O776" s="341"/>
      <c r="P776" s="339"/>
      <c r="Q776" s="339"/>
      <c r="R776" s="339"/>
      <c r="S776" s="339"/>
      <c r="T776" s="339"/>
      <c r="U776" s="339"/>
      <c r="V776" s="339"/>
      <c r="W776" s="339"/>
      <c r="X776" s="339"/>
      <c r="Y776" s="339"/>
      <c r="Z776" s="339"/>
    </row>
    <row r="777" spans="1:26" ht="15.75" customHeight="1">
      <c r="A777" s="339"/>
      <c r="B777" s="339"/>
      <c r="C777" s="339"/>
      <c r="D777" s="339"/>
      <c r="E777" s="339"/>
      <c r="F777" s="339"/>
      <c r="G777" s="339"/>
      <c r="H777" s="339"/>
      <c r="I777" s="341"/>
      <c r="J777" s="339"/>
      <c r="K777" s="341"/>
      <c r="L777" s="341"/>
      <c r="M777" s="341"/>
      <c r="N777" s="341"/>
      <c r="O777" s="341"/>
      <c r="P777" s="339"/>
      <c r="Q777" s="339"/>
      <c r="R777" s="339"/>
      <c r="S777" s="339"/>
      <c r="T777" s="339"/>
      <c r="U777" s="339"/>
      <c r="V777" s="339"/>
      <c r="W777" s="339"/>
      <c r="X777" s="339"/>
      <c r="Y777" s="339"/>
      <c r="Z777" s="339"/>
    </row>
    <row r="778" spans="1:26" ht="15.75" customHeight="1">
      <c r="A778" s="339"/>
      <c r="B778" s="339"/>
      <c r="C778" s="339"/>
      <c r="D778" s="339"/>
      <c r="E778" s="339"/>
      <c r="F778" s="339"/>
      <c r="G778" s="339"/>
      <c r="H778" s="339"/>
      <c r="I778" s="341"/>
      <c r="J778" s="339"/>
      <c r="K778" s="341"/>
      <c r="L778" s="341"/>
      <c r="M778" s="341"/>
      <c r="N778" s="341"/>
      <c r="O778" s="341"/>
      <c r="P778" s="339"/>
      <c r="Q778" s="339"/>
      <c r="R778" s="339"/>
      <c r="S778" s="339"/>
      <c r="T778" s="339"/>
      <c r="U778" s="339"/>
      <c r="V778" s="339"/>
      <c r="W778" s="339"/>
      <c r="X778" s="339"/>
      <c r="Y778" s="339"/>
      <c r="Z778" s="339"/>
    </row>
    <row r="779" spans="1:26" ht="15.75" customHeight="1">
      <c r="A779" s="339"/>
      <c r="B779" s="339"/>
      <c r="C779" s="339"/>
      <c r="D779" s="339"/>
      <c r="E779" s="339"/>
      <c r="F779" s="339"/>
      <c r="G779" s="339"/>
      <c r="H779" s="339"/>
      <c r="I779" s="341"/>
      <c r="J779" s="339"/>
      <c r="K779" s="341"/>
      <c r="L779" s="341"/>
      <c r="M779" s="341"/>
      <c r="N779" s="341"/>
      <c r="O779" s="341"/>
      <c r="P779" s="339"/>
      <c r="Q779" s="339"/>
      <c r="R779" s="339"/>
      <c r="S779" s="339"/>
      <c r="T779" s="339"/>
      <c r="U779" s="339"/>
      <c r="V779" s="339"/>
      <c r="W779" s="339"/>
      <c r="X779" s="339"/>
      <c r="Y779" s="339"/>
      <c r="Z779" s="339"/>
    </row>
    <row r="780" spans="1:26" ht="15.75" customHeight="1">
      <c r="A780" s="339"/>
      <c r="B780" s="339"/>
      <c r="C780" s="339"/>
      <c r="D780" s="339"/>
      <c r="E780" s="339"/>
      <c r="F780" s="339"/>
      <c r="G780" s="339"/>
      <c r="H780" s="339"/>
      <c r="I780" s="341"/>
      <c r="J780" s="339"/>
      <c r="K780" s="341"/>
      <c r="L780" s="341"/>
      <c r="M780" s="341"/>
      <c r="N780" s="341"/>
      <c r="O780" s="341"/>
      <c r="P780" s="339"/>
      <c r="Q780" s="339"/>
      <c r="R780" s="339"/>
      <c r="S780" s="339"/>
      <c r="T780" s="339"/>
      <c r="U780" s="339"/>
      <c r="V780" s="339"/>
      <c r="W780" s="339"/>
      <c r="X780" s="339"/>
      <c r="Y780" s="339"/>
      <c r="Z780" s="339"/>
    </row>
    <row r="781" spans="1:26" ht="15.75" customHeight="1">
      <c r="A781" s="339"/>
      <c r="B781" s="339"/>
      <c r="C781" s="339"/>
      <c r="D781" s="339"/>
      <c r="E781" s="339"/>
      <c r="F781" s="339"/>
      <c r="G781" s="339"/>
      <c r="H781" s="339"/>
      <c r="I781" s="341"/>
      <c r="J781" s="339"/>
      <c r="K781" s="341"/>
      <c r="L781" s="341"/>
      <c r="M781" s="341"/>
      <c r="N781" s="341"/>
      <c r="O781" s="341"/>
      <c r="P781" s="339"/>
      <c r="Q781" s="339"/>
      <c r="R781" s="339"/>
      <c r="S781" s="339"/>
      <c r="T781" s="339"/>
      <c r="U781" s="339"/>
      <c r="V781" s="339"/>
      <c r="W781" s="339"/>
      <c r="X781" s="339"/>
      <c r="Y781" s="339"/>
      <c r="Z781" s="339"/>
    </row>
    <row r="782" spans="1:26" ht="15.75" customHeight="1">
      <c r="A782" s="339"/>
      <c r="B782" s="339"/>
      <c r="C782" s="339"/>
      <c r="D782" s="339"/>
      <c r="E782" s="339"/>
      <c r="F782" s="339"/>
      <c r="G782" s="339"/>
      <c r="H782" s="339"/>
      <c r="I782" s="341"/>
      <c r="J782" s="339"/>
      <c r="K782" s="341"/>
      <c r="L782" s="341"/>
      <c r="M782" s="341"/>
      <c r="N782" s="341"/>
      <c r="O782" s="341"/>
      <c r="P782" s="339"/>
      <c r="Q782" s="339"/>
      <c r="R782" s="339"/>
      <c r="S782" s="339"/>
      <c r="T782" s="339"/>
      <c r="U782" s="339"/>
      <c r="V782" s="339"/>
      <c r="W782" s="339"/>
      <c r="X782" s="339"/>
      <c r="Y782" s="339"/>
      <c r="Z782" s="339"/>
    </row>
    <row r="783" spans="1:26" ht="15.75" customHeight="1">
      <c r="A783" s="339"/>
      <c r="B783" s="339"/>
      <c r="C783" s="339"/>
      <c r="D783" s="339"/>
      <c r="E783" s="339"/>
      <c r="F783" s="339"/>
      <c r="G783" s="339"/>
      <c r="H783" s="339"/>
      <c r="I783" s="341"/>
      <c r="J783" s="339"/>
      <c r="K783" s="341"/>
      <c r="L783" s="341"/>
      <c r="M783" s="341"/>
      <c r="N783" s="341"/>
      <c r="O783" s="341"/>
      <c r="P783" s="339"/>
      <c r="Q783" s="339"/>
      <c r="R783" s="339"/>
      <c r="S783" s="339"/>
      <c r="T783" s="339"/>
      <c r="U783" s="339"/>
      <c r="V783" s="339"/>
      <c r="W783" s="339"/>
      <c r="X783" s="339"/>
      <c r="Y783" s="339"/>
      <c r="Z783" s="339"/>
    </row>
    <row r="784" spans="1:26" ht="15.75" customHeight="1">
      <c r="A784" s="339"/>
      <c r="B784" s="339"/>
      <c r="C784" s="339"/>
      <c r="D784" s="339"/>
      <c r="E784" s="339"/>
      <c r="F784" s="339"/>
      <c r="G784" s="339"/>
      <c r="H784" s="339"/>
      <c r="I784" s="341"/>
      <c r="J784" s="339"/>
      <c r="K784" s="341"/>
      <c r="L784" s="341"/>
      <c r="M784" s="341"/>
      <c r="N784" s="341"/>
      <c r="O784" s="341"/>
      <c r="P784" s="339"/>
      <c r="Q784" s="339"/>
      <c r="R784" s="339"/>
      <c r="S784" s="339"/>
      <c r="T784" s="339"/>
      <c r="U784" s="339"/>
      <c r="V784" s="339"/>
      <c r="W784" s="339"/>
      <c r="X784" s="339"/>
      <c r="Y784" s="339"/>
      <c r="Z784" s="339"/>
    </row>
    <row r="785" spans="1:26" ht="15.75" customHeight="1">
      <c r="A785" s="339"/>
      <c r="B785" s="339"/>
      <c r="C785" s="339"/>
      <c r="D785" s="339"/>
      <c r="E785" s="339"/>
      <c r="F785" s="339"/>
      <c r="G785" s="339"/>
      <c r="H785" s="339"/>
      <c r="I785" s="341"/>
      <c r="J785" s="339"/>
      <c r="K785" s="341"/>
      <c r="L785" s="341"/>
      <c r="M785" s="341"/>
      <c r="N785" s="341"/>
      <c r="O785" s="341"/>
      <c r="P785" s="339"/>
      <c r="Q785" s="339"/>
      <c r="R785" s="339"/>
      <c r="S785" s="339"/>
      <c r="T785" s="339"/>
      <c r="U785" s="339"/>
      <c r="V785" s="339"/>
      <c r="W785" s="339"/>
      <c r="X785" s="339"/>
      <c r="Y785" s="339"/>
      <c r="Z785" s="339"/>
    </row>
    <row r="786" spans="1:26" ht="15.75" customHeight="1">
      <c r="A786" s="339"/>
      <c r="B786" s="339"/>
      <c r="C786" s="339"/>
      <c r="D786" s="339"/>
      <c r="E786" s="339"/>
      <c r="F786" s="339"/>
      <c r="G786" s="339"/>
      <c r="H786" s="339"/>
      <c r="I786" s="341"/>
      <c r="J786" s="339"/>
      <c r="K786" s="341"/>
      <c r="L786" s="341"/>
      <c r="M786" s="341"/>
      <c r="N786" s="341"/>
      <c r="O786" s="341"/>
      <c r="P786" s="339"/>
      <c r="Q786" s="339"/>
      <c r="R786" s="339"/>
      <c r="S786" s="339"/>
      <c r="T786" s="339"/>
      <c r="U786" s="339"/>
      <c r="V786" s="339"/>
      <c r="W786" s="339"/>
      <c r="X786" s="339"/>
      <c r="Y786" s="339"/>
      <c r="Z786" s="339"/>
    </row>
    <row r="787" spans="1:26" ht="15.75" customHeight="1">
      <c r="A787" s="339"/>
      <c r="B787" s="339"/>
      <c r="C787" s="339"/>
      <c r="D787" s="339"/>
      <c r="E787" s="339"/>
      <c r="F787" s="339"/>
      <c r="G787" s="339"/>
      <c r="H787" s="339"/>
      <c r="I787" s="341"/>
      <c r="J787" s="339"/>
      <c r="K787" s="341"/>
      <c r="L787" s="341"/>
      <c r="M787" s="341"/>
      <c r="N787" s="341"/>
      <c r="O787" s="341"/>
      <c r="P787" s="339"/>
      <c r="Q787" s="339"/>
      <c r="R787" s="339"/>
      <c r="S787" s="339"/>
      <c r="T787" s="339"/>
      <c r="U787" s="339"/>
      <c r="V787" s="339"/>
      <c r="W787" s="339"/>
      <c r="X787" s="339"/>
      <c r="Y787" s="339"/>
      <c r="Z787" s="339"/>
    </row>
    <row r="788" spans="1:26" ht="15.75" customHeight="1">
      <c r="A788" s="339"/>
      <c r="B788" s="339"/>
      <c r="C788" s="339"/>
      <c r="D788" s="339"/>
      <c r="E788" s="339"/>
      <c r="F788" s="339"/>
      <c r="G788" s="339"/>
      <c r="H788" s="339"/>
      <c r="I788" s="341"/>
      <c r="J788" s="339"/>
      <c r="K788" s="341"/>
      <c r="L788" s="341"/>
      <c r="M788" s="341"/>
      <c r="N788" s="341"/>
      <c r="O788" s="341"/>
      <c r="P788" s="339"/>
      <c r="Q788" s="339"/>
      <c r="R788" s="339"/>
      <c r="S788" s="339"/>
      <c r="T788" s="339"/>
      <c r="U788" s="339"/>
      <c r="V788" s="339"/>
      <c r="W788" s="339"/>
      <c r="X788" s="339"/>
      <c r="Y788" s="339"/>
      <c r="Z788" s="339"/>
    </row>
    <row r="789" spans="1:26" ht="15.75" customHeight="1">
      <c r="A789" s="339"/>
      <c r="B789" s="339"/>
      <c r="C789" s="339"/>
      <c r="D789" s="339"/>
      <c r="E789" s="339"/>
      <c r="F789" s="339"/>
      <c r="G789" s="339"/>
      <c r="H789" s="339"/>
      <c r="I789" s="341"/>
      <c r="J789" s="339"/>
      <c r="K789" s="341"/>
      <c r="L789" s="341"/>
      <c r="M789" s="341"/>
      <c r="N789" s="341"/>
      <c r="O789" s="341"/>
      <c r="P789" s="339"/>
      <c r="Q789" s="339"/>
      <c r="R789" s="339"/>
      <c r="S789" s="339"/>
      <c r="T789" s="339"/>
      <c r="U789" s="339"/>
      <c r="V789" s="339"/>
      <c r="W789" s="339"/>
      <c r="X789" s="339"/>
      <c r="Y789" s="339"/>
      <c r="Z789" s="339"/>
    </row>
    <row r="790" spans="1:26" ht="15.75" customHeight="1">
      <c r="A790" s="339"/>
      <c r="B790" s="339"/>
      <c r="C790" s="339"/>
      <c r="D790" s="339"/>
      <c r="E790" s="339"/>
      <c r="F790" s="339"/>
      <c r="G790" s="339"/>
      <c r="H790" s="339"/>
      <c r="I790" s="341"/>
      <c r="J790" s="339"/>
      <c r="K790" s="341"/>
      <c r="L790" s="341"/>
      <c r="M790" s="341"/>
      <c r="N790" s="341"/>
      <c r="O790" s="341"/>
      <c r="P790" s="339"/>
      <c r="Q790" s="339"/>
      <c r="R790" s="339"/>
      <c r="S790" s="339"/>
      <c r="T790" s="339"/>
      <c r="U790" s="339"/>
      <c r="V790" s="339"/>
      <c r="W790" s="339"/>
      <c r="X790" s="339"/>
      <c r="Y790" s="339"/>
      <c r="Z790" s="339"/>
    </row>
    <row r="791" spans="1:26" ht="15.75" customHeight="1">
      <c r="A791" s="339"/>
      <c r="B791" s="339"/>
      <c r="C791" s="339"/>
      <c r="D791" s="339"/>
      <c r="E791" s="339"/>
      <c r="F791" s="339"/>
      <c r="G791" s="339"/>
      <c r="H791" s="339"/>
      <c r="I791" s="341"/>
      <c r="J791" s="339"/>
      <c r="K791" s="341"/>
      <c r="L791" s="341"/>
      <c r="M791" s="341"/>
      <c r="N791" s="341"/>
      <c r="O791" s="341"/>
      <c r="P791" s="339"/>
      <c r="Q791" s="339"/>
      <c r="R791" s="339"/>
      <c r="S791" s="339"/>
      <c r="T791" s="339"/>
      <c r="U791" s="339"/>
      <c r="V791" s="339"/>
      <c r="W791" s="339"/>
      <c r="X791" s="339"/>
      <c r="Y791" s="339"/>
      <c r="Z791" s="339"/>
    </row>
    <row r="792" spans="1:26" ht="15.75" customHeight="1">
      <c r="A792" s="339"/>
      <c r="B792" s="339"/>
      <c r="C792" s="339"/>
      <c r="D792" s="339"/>
      <c r="E792" s="339"/>
      <c r="F792" s="339"/>
      <c r="G792" s="339"/>
      <c r="H792" s="339"/>
      <c r="I792" s="341"/>
      <c r="J792" s="339"/>
      <c r="K792" s="341"/>
      <c r="L792" s="341"/>
      <c r="M792" s="341"/>
      <c r="N792" s="341"/>
      <c r="O792" s="341"/>
      <c r="P792" s="339"/>
      <c r="Q792" s="339"/>
      <c r="R792" s="339"/>
      <c r="S792" s="339"/>
      <c r="T792" s="339"/>
      <c r="U792" s="339"/>
      <c r="V792" s="339"/>
      <c r="W792" s="339"/>
      <c r="X792" s="339"/>
      <c r="Y792" s="339"/>
      <c r="Z792" s="339"/>
    </row>
    <row r="793" spans="1:26" ht="15.75" customHeight="1">
      <c r="A793" s="339"/>
      <c r="B793" s="339"/>
      <c r="C793" s="339"/>
      <c r="D793" s="339"/>
      <c r="E793" s="339"/>
      <c r="F793" s="339"/>
      <c r="G793" s="339"/>
      <c r="H793" s="339"/>
      <c r="I793" s="341"/>
      <c r="J793" s="339"/>
      <c r="K793" s="341"/>
      <c r="L793" s="341"/>
      <c r="M793" s="341"/>
      <c r="N793" s="341"/>
      <c r="O793" s="341"/>
      <c r="P793" s="339"/>
      <c r="Q793" s="339"/>
      <c r="R793" s="339"/>
      <c r="S793" s="339"/>
      <c r="T793" s="339"/>
      <c r="U793" s="339"/>
      <c r="V793" s="339"/>
      <c r="W793" s="339"/>
      <c r="X793" s="339"/>
      <c r="Y793" s="339"/>
      <c r="Z793" s="339"/>
    </row>
    <row r="794" spans="1:26" ht="15.75" customHeight="1">
      <c r="A794" s="339"/>
      <c r="B794" s="339"/>
      <c r="C794" s="339"/>
      <c r="D794" s="339"/>
      <c r="E794" s="339"/>
      <c r="F794" s="339"/>
      <c r="G794" s="339"/>
      <c r="H794" s="339"/>
      <c r="I794" s="341"/>
      <c r="J794" s="339"/>
      <c r="K794" s="341"/>
      <c r="L794" s="341"/>
      <c r="M794" s="341"/>
      <c r="N794" s="341"/>
      <c r="O794" s="341"/>
      <c r="P794" s="339"/>
      <c r="Q794" s="339"/>
      <c r="R794" s="339"/>
      <c r="S794" s="339"/>
      <c r="T794" s="339"/>
      <c r="U794" s="339"/>
      <c r="V794" s="339"/>
      <c r="W794" s="339"/>
      <c r="X794" s="339"/>
      <c r="Y794" s="339"/>
      <c r="Z794" s="339"/>
    </row>
    <row r="795" spans="1:26" ht="15.75" customHeight="1">
      <c r="A795" s="339"/>
      <c r="B795" s="339"/>
      <c r="C795" s="339"/>
      <c r="D795" s="339"/>
      <c r="E795" s="339"/>
      <c r="F795" s="339"/>
      <c r="G795" s="339"/>
      <c r="H795" s="339"/>
      <c r="I795" s="341"/>
      <c r="J795" s="339"/>
      <c r="K795" s="341"/>
      <c r="L795" s="341"/>
      <c r="M795" s="341"/>
      <c r="N795" s="341"/>
      <c r="O795" s="341"/>
      <c r="P795" s="339"/>
      <c r="Q795" s="339"/>
      <c r="R795" s="339"/>
      <c r="S795" s="339"/>
      <c r="T795" s="339"/>
      <c r="U795" s="339"/>
      <c r="V795" s="339"/>
      <c r="W795" s="339"/>
      <c r="X795" s="339"/>
      <c r="Y795" s="339"/>
      <c r="Z795" s="339"/>
    </row>
    <row r="796" spans="1:26" ht="15.75" customHeight="1">
      <c r="A796" s="339"/>
      <c r="B796" s="339"/>
      <c r="C796" s="339"/>
      <c r="D796" s="339"/>
      <c r="E796" s="339"/>
      <c r="F796" s="339"/>
      <c r="G796" s="339"/>
      <c r="H796" s="339"/>
      <c r="I796" s="341"/>
      <c r="J796" s="339"/>
      <c r="K796" s="341"/>
      <c r="L796" s="341"/>
      <c r="M796" s="341"/>
      <c r="N796" s="341"/>
      <c r="O796" s="341"/>
      <c r="P796" s="339"/>
      <c r="Q796" s="339"/>
      <c r="R796" s="339"/>
      <c r="S796" s="339"/>
      <c r="T796" s="339"/>
      <c r="U796" s="339"/>
      <c r="V796" s="339"/>
      <c r="W796" s="339"/>
      <c r="X796" s="339"/>
      <c r="Y796" s="339"/>
      <c r="Z796" s="339"/>
    </row>
    <row r="797" spans="1:26" ht="15.75" customHeight="1">
      <c r="A797" s="339"/>
      <c r="B797" s="339"/>
      <c r="C797" s="339"/>
      <c r="D797" s="339"/>
      <c r="E797" s="339"/>
      <c r="F797" s="339"/>
      <c r="G797" s="339"/>
      <c r="H797" s="339"/>
      <c r="I797" s="341"/>
      <c r="J797" s="339"/>
      <c r="K797" s="341"/>
      <c r="L797" s="341"/>
      <c r="M797" s="341"/>
      <c r="N797" s="341"/>
      <c r="O797" s="341"/>
      <c r="P797" s="339"/>
      <c r="Q797" s="339"/>
      <c r="R797" s="339"/>
      <c r="S797" s="339"/>
      <c r="T797" s="339"/>
      <c r="U797" s="339"/>
      <c r="V797" s="339"/>
      <c r="W797" s="339"/>
      <c r="X797" s="339"/>
      <c r="Y797" s="339"/>
      <c r="Z797" s="339"/>
    </row>
    <row r="798" spans="1:26" ht="15.75" customHeight="1">
      <c r="A798" s="339"/>
      <c r="B798" s="339"/>
      <c r="C798" s="339"/>
      <c r="D798" s="339"/>
      <c r="E798" s="339"/>
      <c r="F798" s="339"/>
      <c r="G798" s="339"/>
      <c r="H798" s="339"/>
      <c r="I798" s="341"/>
      <c r="J798" s="339"/>
      <c r="K798" s="341"/>
      <c r="L798" s="341"/>
      <c r="M798" s="341"/>
      <c r="N798" s="341"/>
      <c r="O798" s="341"/>
      <c r="P798" s="339"/>
      <c r="Q798" s="339"/>
      <c r="R798" s="339"/>
      <c r="S798" s="339"/>
      <c r="T798" s="339"/>
      <c r="U798" s="339"/>
      <c r="V798" s="339"/>
      <c r="W798" s="339"/>
      <c r="X798" s="339"/>
      <c r="Y798" s="339"/>
      <c r="Z798" s="339"/>
    </row>
    <row r="799" spans="1:26" ht="15.75" customHeight="1">
      <c r="A799" s="339"/>
      <c r="B799" s="339"/>
      <c r="C799" s="339"/>
      <c r="D799" s="339"/>
      <c r="E799" s="339"/>
      <c r="F799" s="339"/>
      <c r="G799" s="339"/>
      <c r="H799" s="339"/>
      <c r="I799" s="341"/>
      <c r="J799" s="339"/>
      <c r="K799" s="341"/>
      <c r="L799" s="341"/>
      <c r="M799" s="341"/>
      <c r="N799" s="341"/>
      <c r="O799" s="341"/>
      <c r="P799" s="339"/>
      <c r="Q799" s="339"/>
      <c r="R799" s="339"/>
      <c r="S799" s="339"/>
      <c r="T799" s="339"/>
      <c r="U799" s="339"/>
      <c r="V799" s="339"/>
      <c r="W799" s="339"/>
      <c r="X799" s="339"/>
      <c r="Y799" s="339"/>
      <c r="Z799" s="339"/>
    </row>
    <row r="800" spans="1:26" ht="15.75" customHeight="1">
      <c r="A800" s="339"/>
      <c r="B800" s="339"/>
      <c r="C800" s="339"/>
      <c r="D800" s="339"/>
      <c r="E800" s="339"/>
      <c r="F800" s="339"/>
      <c r="G800" s="339"/>
      <c r="H800" s="339"/>
      <c r="I800" s="341"/>
      <c r="J800" s="339"/>
      <c r="K800" s="341"/>
      <c r="L800" s="341"/>
      <c r="M800" s="341"/>
      <c r="N800" s="341"/>
      <c r="O800" s="341"/>
      <c r="P800" s="339"/>
      <c r="Q800" s="339"/>
      <c r="R800" s="339"/>
      <c r="S800" s="339"/>
      <c r="T800" s="339"/>
      <c r="U800" s="339"/>
      <c r="V800" s="339"/>
      <c r="W800" s="339"/>
      <c r="X800" s="339"/>
      <c r="Y800" s="339"/>
      <c r="Z800" s="339"/>
    </row>
    <row r="801" spans="1:26" ht="15.75" customHeight="1">
      <c r="A801" s="339"/>
      <c r="B801" s="339"/>
      <c r="C801" s="339"/>
      <c r="D801" s="339"/>
      <c r="E801" s="339"/>
      <c r="F801" s="339"/>
      <c r="G801" s="339"/>
      <c r="H801" s="339"/>
      <c r="I801" s="341"/>
      <c r="J801" s="339"/>
      <c r="K801" s="341"/>
      <c r="L801" s="341"/>
      <c r="M801" s="341"/>
      <c r="N801" s="341"/>
      <c r="O801" s="341"/>
      <c r="P801" s="339"/>
      <c r="Q801" s="339"/>
      <c r="R801" s="339"/>
      <c r="S801" s="339"/>
      <c r="T801" s="339"/>
      <c r="U801" s="339"/>
      <c r="V801" s="339"/>
      <c r="W801" s="339"/>
      <c r="X801" s="339"/>
      <c r="Y801" s="339"/>
      <c r="Z801" s="339"/>
    </row>
    <row r="802" spans="1:26" ht="15.75" customHeight="1">
      <c r="A802" s="339"/>
      <c r="B802" s="339"/>
      <c r="C802" s="339"/>
      <c r="D802" s="339"/>
      <c r="E802" s="339"/>
      <c r="F802" s="339"/>
      <c r="G802" s="339"/>
      <c r="H802" s="339"/>
      <c r="I802" s="341"/>
      <c r="J802" s="339"/>
      <c r="K802" s="341"/>
      <c r="L802" s="341"/>
      <c r="M802" s="341"/>
      <c r="N802" s="341"/>
      <c r="O802" s="341"/>
      <c r="P802" s="339"/>
      <c r="Q802" s="339"/>
      <c r="R802" s="339"/>
      <c r="S802" s="339"/>
      <c r="T802" s="339"/>
      <c r="U802" s="339"/>
      <c r="V802" s="339"/>
      <c r="W802" s="339"/>
      <c r="X802" s="339"/>
      <c r="Y802" s="339"/>
      <c r="Z802" s="339"/>
    </row>
    <row r="803" spans="1:26" ht="15.75" customHeight="1">
      <c r="A803" s="339"/>
      <c r="B803" s="339"/>
      <c r="C803" s="339"/>
      <c r="D803" s="339"/>
      <c r="E803" s="339"/>
      <c r="F803" s="339"/>
      <c r="G803" s="339"/>
      <c r="H803" s="339"/>
      <c r="I803" s="341"/>
      <c r="J803" s="339"/>
      <c r="K803" s="341"/>
      <c r="L803" s="341"/>
      <c r="M803" s="341"/>
      <c r="N803" s="341"/>
      <c r="O803" s="341"/>
      <c r="P803" s="339"/>
      <c r="Q803" s="339"/>
      <c r="R803" s="339"/>
      <c r="S803" s="339"/>
      <c r="T803" s="339"/>
      <c r="U803" s="339"/>
      <c r="V803" s="339"/>
      <c r="W803" s="339"/>
      <c r="X803" s="339"/>
      <c r="Y803" s="339"/>
      <c r="Z803" s="339"/>
    </row>
    <row r="804" spans="1:26" ht="15.75" customHeight="1">
      <c r="A804" s="339"/>
      <c r="B804" s="339"/>
      <c r="C804" s="339"/>
      <c r="D804" s="339"/>
      <c r="E804" s="339"/>
      <c r="F804" s="339"/>
      <c r="G804" s="339"/>
      <c r="H804" s="339"/>
      <c r="I804" s="341"/>
      <c r="J804" s="339"/>
      <c r="K804" s="341"/>
      <c r="L804" s="341"/>
      <c r="M804" s="341"/>
      <c r="N804" s="341"/>
      <c r="O804" s="341"/>
      <c r="P804" s="339"/>
      <c r="Q804" s="339"/>
      <c r="R804" s="339"/>
      <c r="S804" s="339"/>
      <c r="T804" s="339"/>
      <c r="U804" s="339"/>
      <c r="V804" s="339"/>
      <c r="W804" s="339"/>
      <c r="X804" s="339"/>
      <c r="Y804" s="339"/>
      <c r="Z804" s="339"/>
    </row>
    <row r="805" spans="1:26" ht="15.75" customHeight="1">
      <c r="A805" s="339"/>
      <c r="B805" s="339"/>
      <c r="C805" s="339"/>
      <c r="D805" s="339"/>
      <c r="E805" s="339"/>
      <c r="F805" s="339"/>
      <c r="G805" s="339"/>
      <c r="H805" s="339"/>
      <c r="I805" s="341"/>
      <c r="J805" s="339"/>
      <c r="K805" s="341"/>
      <c r="L805" s="341"/>
      <c r="M805" s="341"/>
      <c r="N805" s="341"/>
      <c r="O805" s="341"/>
      <c r="P805" s="339"/>
      <c r="Q805" s="339"/>
      <c r="R805" s="339"/>
      <c r="S805" s="339"/>
      <c r="T805" s="339"/>
      <c r="U805" s="339"/>
      <c r="V805" s="339"/>
      <c r="W805" s="339"/>
      <c r="X805" s="339"/>
      <c r="Y805" s="339"/>
      <c r="Z805" s="339"/>
    </row>
    <row r="806" spans="1:26" ht="15.75" customHeight="1">
      <c r="A806" s="339"/>
      <c r="B806" s="339"/>
      <c r="C806" s="339"/>
      <c r="D806" s="339"/>
      <c r="E806" s="339"/>
      <c r="F806" s="339"/>
      <c r="G806" s="339"/>
      <c r="H806" s="339"/>
      <c r="I806" s="341"/>
      <c r="J806" s="339"/>
      <c r="K806" s="341"/>
      <c r="L806" s="341"/>
      <c r="M806" s="341"/>
      <c r="N806" s="341"/>
      <c r="O806" s="341"/>
      <c r="P806" s="339"/>
      <c r="Q806" s="339"/>
      <c r="R806" s="339"/>
      <c r="S806" s="339"/>
      <c r="T806" s="339"/>
      <c r="U806" s="339"/>
      <c r="V806" s="339"/>
      <c r="W806" s="339"/>
      <c r="X806" s="339"/>
      <c r="Y806" s="339"/>
      <c r="Z806" s="339"/>
    </row>
    <row r="807" spans="1:26" ht="15.75" customHeight="1">
      <c r="A807" s="339"/>
      <c r="B807" s="339"/>
      <c r="C807" s="339"/>
      <c r="D807" s="339"/>
      <c r="E807" s="339"/>
      <c r="F807" s="339"/>
      <c r="G807" s="339"/>
      <c r="H807" s="339"/>
      <c r="I807" s="341"/>
      <c r="J807" s="339"/>
      <c r="K807" s="341"/>
      <c r="L807" s="341"/>
      <c r="M807" s="341"/>
      <c r="N807" s="341"/>
      <c r="O807" s="341"/>
      <c r="P807" s="339"/>
      <c r="Q807" s="339"/>
      <c r="R807" s="339"/>
      <c r="S807" s="339"/>
      <c r="T807" s="339"/>
      <c r="U807" s="339"/>
      <c r="V807" s="339"/>
      <c r="W807" s="339"/>
      <c r="X807" s="339"/>
      <c r="Y807" s="339"/>
      <c r="Z807" s="339"/>
    </row>
    <row r="808" spans="1:26" ht="15.75" customHeight="1">
      <c r="A808" s="339"/>
      <c r="B808" s="339"/>
      <c r="C808" s="339"/>
      <c r="D808" s="339"/>
      <c r="E808" s="339"/>
      <c r="F808" s="339"/>
      <c r="G808" s="339"/>
      <c r="H808" s="339"/>
      <c r="I808" s="341"/>
      <c r="J808" s="339"/>
      <c r="K808" s="341"/>
      <c r="L808" s="341"/>
      <c r="M808" s="341"/>
      <c r="N808" s="341"/>
      <c r="O808" s="341"/>
      <c r="P808" s="339"/>
      <c r="Q808" s="339"/>
      <c r="R808" s="339"/>
      <c r="S808" s="339"/>
      <c r="T808" s="339"/>
      <c r="U808" s="339"/>
      <c r="V808" s="339"/>
      <c r="W808" s="339"/>
      <c r="X808" s="339"/>
      <c r="Y808" s="339"/>
      <c r="Z808" s="339"/>
    </row>
    <row r="809" spans="1:26" ht="15.75" customHeight="1">
      <c r="A809" s="339"/>
      <c r="B809" s="339"/>
      <c r="C809" s="339"/>
      <c r="D809" s="339"/>
      <c r="E809" s="339"/>
      <c r="F809" s="339"/>
      <c r="G809" s="339"/>
      <c r="H809" s="339"/>
      <c r="I809" s="341"/>
      <c r="J809" s="339"/>
      <c r="K809" s="341"/>
      <c r="L809" s="341"/>
      <c r="M809" s="341"/>
      <c r="N809" s="341"/>
      <c r="O809" s="341"/>
      <c r="P809" s="339"/>
      <c r="Q809" s="339"/>
      <c r="R809" s="339"/>
      <c r="S809" s="339"/>
      <c r="T809" s="339"/>
      <c r="U809" s="339"/>
      <c r="V809" s="339"/>
      <c r="W809" s="339"/>
      <c r="X809" s="339"/>
      <c r="Y809" s="339"/>
      <c r="Z809" s="339"/>
    </row>
    <row r="810" spans="1:26" ht="15.75" customHeight="1">
      <c r="A810" s="339"/>
      <c r="B810" s="339"/>
      <c r="C810" s="339"/>
      <c r="D810" s="339"/>
      <c r="E810" s="339"/>
      <c r="F810" s="339"/>
      <c r="G810" s="339"/>
      <c r="H810" s="339"/>
      <c r="I810" s="341"/>
      <c r="J810" s="339"/>
      <c r="K810" s="341"/>
      <c r="L810" s="341"/>
      <c r="M810" s="341"/>
      <c r="N810" s="341"/>
      <c r="O810" s="341"/>
      <c r="P810" s="339"/>
      <c r="Q810" s="339"/>
      <c r="R810" s="339"/>
      <c r="S810" s="339"/>
      <c r="T810" s="339"/>
      <c r="U810" s="339"/>
      <c r="V810" s="339"/>
      <c r="W810" s="339"/>
      <c r="X810" s="339"/>
      <c r="Y810" s="339"/>
      <c r="Z810" s="339"/>
    </row>
    <row r="811" spans="1:26" ht="15.75" customHeight="1">
      <c r="A811" s="339"/>
      <c r="B811" s="339"/>
      <c r="C811" s="339"/>
      <c r="D811" s="339"/>
      <c r="E811" s="339"/>
      <c r="F811" s="339"/>
      <c r="G811" s="339"/>
      <c r="H811" s="339"/>
      <c r="I811" s="341"/>
      <c r="J811" s="339"/>
      <c r="K811" s="341"/>
      <c r="L811" s="341"/>
      <c r="M811" s="341"/>
      <c r="N811" s="341"/>
      <c r="O811" s="341"/>
      <c r="P811" s="339"/>
      <c r="Q811" s="339"/>
      <c r="R811" s="339"/>
      <c r="S811" s="339"/>
      <c r="T811" s="339"/>
      <c r="U811" s="339"/>
      <c r="V811" s="339"/>
      <c r="W811" s="339"/>
      <c r="X811" s="339"/>
      <c r="Y811" s="339"/>
      <c r="Z811" s="339"/>
    </row>
    <row r="812" spans="1:26" ht="15.75" customHeight="1">
      <c r="A812" s="339"/>
      <c r="B812" s="339"/>
      <c r="C812" s="339"/>
      <c r="D812" s="339"/>
      <c r="E812" s="339"/>
      <c r="F812" s="339"/>
      <c r="G812" s="339"/>
      <c r="H812" s="339"/>
      <c r="I812" s="341"/>
      <c r="J812" s="339"/>
      <c r="K812" s="341"/>
      <c r="L812" s="341"/>
      <c r="M812" s="341"/>
      <c r="N812" s="341"/>
      <c r="O812" s="341"/>
      <c r="P812" s="339"/>
      <c r="Q812" s="339"/>
      <c r="R812" s="339"/>
      <c r="S812" s="339"/>
      <c r="T812" s="339"/>
      <c r="U812" s="339"/>
      <c r="V812" s="339"/>
      <c r="W812" s="339"/>
      <c r="X812" s="339"/>
      <c r="Y812" s="339"/>
      <c r="Z812" s="339"/>
    </row>
    <row r="813" spans="1:26" ht="15.75" customHeight="1">
      <c r="A813" s="339"/>
      <c r="B813" s="339"/>
      <c r="C813" s="339"/>
      <c r="D813" s="339"/>
      <c r="E813" s="339"/>
      <c r="F813" s="339"/>
      <c r="G813" s="339"/>
      <c r="H813" s="339"/>
      <c r="I813" s="341"/>
      <c r="J813" s="339"/>
      <c r="K813" s="341"/>
      <c r="L813" s="341"/>
      <c r="M813" s="341"/>
      <c r="N813" s="341"/>
      <c r="O813" s="341"/>
      <c r="P813" s="339"/>
      <c r="Q813" s="339"/>
      <c r="R813" s="339"/>
      <c r="S813" s="339"/>
      <c r="T813" s="339"/>
      <c r="U813" s="339"/>
      <c r="V813" s="339"/>
      <c r="W813" s="339"/>
      <c r="X813" s="339"/>
      <c r="Y813" s="339"/>
      <c r="Z813" s="339"/>
    </row>
    <row r="814" spans="1:26" ht="15.75" customHeight="1">
      <c r="A814" s="339"/>
      <c r="B814" s="339"/>
      <c r="C814" s="339"/>
      <c r="D814" s="339"/>
      <c r="E814" s="339"/>
      <c r="F814" s="339"/>
      <c r="G814" s="339"/>
      <c r="H814" s="339"/>
      <c r="I814" s="341"/>
      <c r="J814" s="339"/>
      <c r="K814" s="341"/>
      <c r="L814" s="341"/>
      <c r="M814" s="341"/>
      <c r="N814" s="341"/>
      <c r="O814" s="341"/>
      <c r="P814" s="339"/>
      <c r="Q814" s="339"/>
      <c r="R814" s="339"/>
      <c r="S814" s="339"/>
      <c r="T814" s="339"/>
      <c r="U814" s="339"/>
      <c r="V814" s="339"/>
      <c r="W814" s="339"/>
      <c r="X814" s="339"/>
      <c r="Y814" s="339"/>
      <c r="Z814" s="339"/>
    </row>
    <row r="815" spans="1:26" ht="15.75" customHeight="1">
      <c r="A815" s="339"/>
      <c r="B815" s="339"/>
      <c r="C815" s="339"/>
      <c r="D815" s="339"/>
      <c r="E815" s="339"/>
      <c r="F815" s="339"/>
      <c r="G815" s="339"/>
      <c r="H815" s="339"/>
      <c r="I815" s="341"/>
      <c r="J815" s="339"/>
      <c r="K815" s="341"/>
      <c r="L815" s="341"/>
      <c r="M815" s="341"/>
      <c r="N815" s="341"/>
      <c r="O815" s="341"/>
      <c r="P815" s="339"/>
      <c r="Q815" s="339"/>
      <c r="R815" s="339"/>
      <c r="S815" s="339"/>
      <c r="T815" s="339"/>
      <c r="U815" s="339"/>
      <c r="V815" s="339"/>
      <c r="W815" s="339"/>
      <c r="X815" s="339"/>
      <c r="Y815" s="339"/>
      <c r="Z815" s="339"/>
    </row>
    <row r="816" spans="1:26" ht="15.75" customHeight="1">
      <c r="A816" s="339"/>
      <c r="B816" s="339"/>
      <c r="C816" s="339"/>
      <c r="D816" s="339"/>
      <c r="E816" s="339"/>
      <c r="F816" s="339"/>
      <c r="G816" s="339"/>
      <c r="H816" s="339"/>
      <c r="I816" s="341"/>
      <c r="J816" s="339"/>
      <c r="K816" s="341"/>
      <c r="L816" s="341"/>
      <c r="M816" s="341"/>
      <c r="N816" s="341"/>
      <c r="O816" s="341"/>
      <c r="P816" s="339"/>
      <c r="Q816" s="339"/>
      <c r="R816" s="339"/>
      <c r="S816" s="339"/>
      <c r="T816" s="339"/>
      <c r="U816" s="339"/>
      <c r="V816" s="339"/>
      <c r="W816" s="339"/>
      <c r="X816" s="339"/>
      <c r="Y816" s="339"/>
      <c r="Z816" s="339"/>
    </row>
    <row r="817" spans="1:26" ht="15.75" customHeight="1">
      <c r="A817" s="339"/>
      <c r="B817" s="339"/>
      <c r="C817" s="339"/>
      <c r="D817" s="339"/>
      <c r="E817" s="339"/>
      <c r="F817" s="339"/>
      <c r="G817" s="339"/>
      <c r="H817" s="339"/>
      <c r="I817" s="341"/>
      <c r="J817" s="339"/>
      <c r="K817" s="341"/>
      <c r="L817" s="341"/>
      <c r="M817" s="341"/>
      <c r="N817" s="341"/>
      <c r="O817" s="341"/>
      <c r="P817" s="339"/>
      <c r="Q817" s="339"/>
      <c r="R817" s="339"/>
      <c r="S817" s="339"/>
      <c r="T817" s="339"/>
      <c r="U817" s="339"/>
      <c r="V817" s="339"/>
      <c r="W817" s="339"/>
      <c r="X817" s="339"/>
      <c r="Y817" s="339"/>
      <c r="Z817" s="339"/>
    </row>
    <row r="818" spans="1:26" ht="15.75" customHeight="1">
      <c r="A818" s="339"/>
      <c r="B818" s="339"/>
      <c r="C818" s="339"/>
      <c r="D818" s="339"/>
      <c r="E818" s="339"/>
      <c r="F818" s="339"/>
      <c r="G818" s="339"/>
      <c r="H818" s="339"/>
      <c r="I818" s="341"/>
      <c r="J818" s="339"/>
      <c r="K818" s="341"/>
      <c r="L818" s="341"/>
      <c r="M818" s="341"/>
      <c r="N818" s="341"/>
      <c r="O818" s="341"/>
      <c r="P818" s="339"/>
      <c r="Q818" s="339"/>
      <c r="R818" s="339"/>
      <c r="S818" s="339"/>
      <c r="T818" s="339"/>
      <c r="U818" s="339"/>
      <c r="V818" s="339"/>
      <c r="W818" s="339"/>
      <c r="X818" s="339"/>
      <c r="Y818" s="339"/>
      <c r="Z818" s="339"/>
    </row>
    <row r="819" spans="1:26" ht="15.75" customHeight="1">
      <c r="A819" s="339"/>
      <c r="B819" s="339"/>
      <c r="C819" s="339"/>
      <c r="D819" s="339"/>
      <c r="E819" s="339"/>
      <c r="F819" s="339"/>
      <c r="G819" s="339"/>
      <c r="H819" s="339"/>
      <c r="I819" s="341"/>
      <c r="J819" s="339"/>
      <c r="K819" s="341"/>
      <c r="L819" s="341"/>
      <c r="M819" s="341"/>
      <c r="N819" s="341"/>
      <c r="O819" s="341"/>
      <c r="P819" s="339"/>
      <c r="Q819" s="339"/>
      <c r="R819" s="339"/>
      <c r="S819" s="339"/>
      <c r="T819" s="339"/>
      <c r="U819" s="339"/>
      <c r="V819" s="339"/>
      <c r="W819" s="339"/>
      <c r="X819" s="339"/>
      <c r="Y819" s="339"/>
      <c r="Z819" s="339"/>
    </row>
    <row r="820" spans="1:26" ht="15.75" customHeight="1">
      <c r="A820" s="339"/>
      <c r="B820" s="339"/>
      <c r="C820" s="339"/>
      <c r="D820" s="339"/>
      <c r="E820" s="339"/>
      <c r="F820" s="339"/>
      <c r="G820" s="339"/>
      <c r="H820" s="339"/>
      <c r="I820" s="341"/>
      <c r="J820" s="339"/>
      <c r="K820" s="341"/>
      <c r="L820" s="341"/>
      <c r="M820" s="341"/>
      <c r="N820" s="341"/>
      <c r="O820" s="341"/>
      <c r="P820" s="339"/>
      <c r="Q820" s="339"/>
      <c r="R820" s="339"/>
      <c r="S820" s="339"/>
      <c r="T820" s="339"/>
      <c r="U820" s="339"/>
      <c r="V820" s="339"/>
      <c r="W820" s="339"/>
      <c r="X820" s="339"/>
      <c r="Y820" s="339"/>
      <c r="Z820" s="339"/>
    </row>
    <row r="821" spans="1:26" ht="15.75" customHeight="1">
      <c r="A821" s="339"/>
      <c r="B821" s="339"/>
      <c r="C821" s="339"/>
      <c r="D821" s="339"/>
      <c r="E821" s="339"/>
      <c r="F821" s="339"/>
      <c r="G821" s="339"/>
      <c r="H821" s="339"/>
      <c r="I821" s="341"/>
      <c r="J821" s="339"/>
      <c r="K821" s="341"/>
      <c r="L821" s="341"/>
      <c r="M821" s="341"/>
      <c r="N821" s="341"/>
      <c r="O821" s="341"/>
      <c r="P821" s="339"/>
      <c r="Q821" s="339"/>
      <c r="R821" s="339"/>
      <c r="S821" s="339"/>
      <c r="T821" s="339"/>
      <c r="U821" s="339"/>
      <c r="V821" s="339"/>
      <c r="W821" s="339"/>
      <c r="X821" s="339"/>
      <c r="Y821" s="339"/>
      <c r="Z821" s="339"/>
    </row>
    <row r="822" spans="1:26" ht="15.75" customHeight="1">
      <c r="A822" s="339"/>
      <c r="B822" s="339"/>
      <c r="C822" s="339"/>
      <c r="D822" s="339"/>
      <c r="E822" s="339"/>
      <c r="F822" s="339"/>
      <c r="G822" s="339"/>
      <c r="H822" s="339"/>
      <c r="I822" s="341"/>
      <c r="J822" s="339"/>
      <c r="K822" s="341"/>
      <c r="L822" s="341"/>
      <c r="M822" s="341"/>
      <c r="N822" s="341"/>
      <c r="O822" s="341"/>
      <c r="P822" s="339"/>
      <c r="Q822" s="339"/>
      <c r="R822" s="339"/>
      <c r="S822" s="339"/>
      <c r="T822" s="339"/>
      <c r="U822" s="339"/>
      <c r="V822" s="339"/>
      <c r="W822" s="339"/>
      <c r="X822" s="339"/>
      <c r="Y822" s="339"/>
      <c r="Z822" s="339"/>
    </row>
    <row r="823" spans="1:26" ht="15.75" customHeight="1">
      <c r="A823" s="339"/>
      <c r="B823" s="339"/>
      <c r="C823" s="339"/>
      <c r="D823" s="339"/>
      <c r="E823" s="339"/>
      <c r="F823" s="339"/>
      <c r="G823" s="339"/>
      <c r="H823" s="339"/>
      <c r="I823" s="341"/>
      <c r="J823" s="339"/>
      <c r="K823" s="341"/>
      <c r="L823" s="341"/>
      <c r="M823" s="341"/>
      <c r="N823" s="341"/>
      <c r="O823" s="341"/>
      <c r="P823" s="339"/>
      <c r="Q823" s="339"/>
      <c r="R823" s="339"/>
      <c r="S823" s="339"/>
      <c r="T823" s="339"/>
      <c r="U823" s="339"/>
      <c r="V823" s="339"/>
      <c r="W823" s="339"/>
      <c r="X823" s="339"/>
      <c r="Y823" s="339"/>
      <c r="Z823" s="339"/>
    </row>
    <row r="824" spans="1:26" ht="15.75" customHeight="1">
      <c r="A824" s="339"/>
      <c r="B824" s="339"/>
      <c r="C824" s="339"/>
      <c r="D824" s="339"/>
      <c r="E824" s="339"/>
      <c r="F824" s="339"/>
      <c r="G824" s="339"/>
      <c r="H824" s="339"/>
      <c r="I824" s="341"/>
      <c r="J824" s="339"/>
      <c r="K824" s="341"/>
      <c r="L824" s="341"/>
      <c r="M824" s="341"/>
      <c r="N824" s="341"/>
      <c r="O824" s="341"/>
      <c r="P824" s="339"/>
      <c r="Q824" s="339"/>
      <c r="R824" s="339"/>
      <c r="S824" s="339"/>
      <c r="T824" s="339"/>
      <c r="U824" s="339"/>
      <c r="V824" s="339"/>
      <c r="W824" s="339"/>
      <c r="X824" s="339"/>
      <c r="Y824" s="339"/>
      <c r="Z824" s="339"/>
    </row>
    <row r="825" spans="1:26" ht="15.75" customHeight="1">
      <c r="A825" s="339"/>
      <c r="B825" s="339"/>
      <c r="C825" s="339"/>
      <c r="D825" s="339"/>
      <c r="E825" s="339"/>
      <c r="F825" s="339"/>
      <c r="G825" s="339"/>
      <c r="H825" s="339"/>
      <c r="I825" s="341"/>
      <c r="J825" s="339"/>
      <c r="K825" s="341"/>
      <c r="L825" s="341"/>
      <c r="M825" s="341"/>
      <c r="N825" s="341"/>
      <c r="O825" s="341"/>
      <c r="P825" s="339"/>
      <c r="Q825" s="339"/>
      <c r="R825" s="339"/>
      <c r="S825" s="339"/>
      <c r="T825" s="339"/>
      <c r="U825" s="339"/>
      <c r="V825" s="339"/>
      <c r="W825" s="339"/>
      <c r="X825" s="339"/>
      <c r="Y825" s="339"/>
      <c r="Z825" s="339"/>
    </row>
    <row r="826" spans="1:26" ht="15.75" customHeight="1">
      <c r="A826" s="339"/>
      <c r="B826" s="339"/>
      <c r="C826" s="339"/>
      <c r="D826" s="339"/>
      <c r="E826" s="339"/>
      <c r="F826" s="339"/>
      <c r="G826" s="339"/>
      <c r="H826" s="339"/>
      <c r="I826" s="341"/>
      <c r="J826" s="339"/>
      <c r="K826" s="341"/>
      <c r="L826" s="341"/>
      <c r="M826" s="341"/>
      <c r="N826" s="341"/>
      <c r="O826" s="341"/>
      <c r="P826" s="339"/>
      <c r="Q826" s="339"/>
      <c r="R826" s="339"/>
      <c r="S826" s="339"/>
      <c r="T826" s="339"/>
      <c r="U826" s="339"/>
      <c r="V826" s="339"/>
      <c r="W826" s="339"/>
      <c r="X826" s="339"/>
      <c r="Y826" s="339"/>
      <c r="Z826" s="339"/>
    </row>
    <row r="827" spans="1:26" ht="15.75" customHeight="1">
      <c r="A827" s="339"/>
      <c r="B827" s="339"/>
      <c r="C827" s="339"/>
      <c r="D827" s="339"/>
      <c r="E827" s="339"/>
      <c r="F827" s="339"/>
      <c r="G827" s="339"/>
      <c r="H827" s="339"/>
      <c r="I827" s="341"/>
      <c r="J827" s="339"/>
      <c r="K827" s="341"/>
      <c r="L827" s="341"/>
      <c r="M827" s="341"/>
      <c r="N827" s="341"/>
      <c r="O827" s="341"/>
      <c r="P827" s="339"/>
      <c r="Q827" s="339"/>
      <c r="R827" s="339"/>
      <c r="S827" s="339"/>
      <c r="T827" s="339"/>
      <c r="U827" s="339"/>
      <c r="V827" s="339"/>
      <c r="W827" s="339"/>
      <c r="X827" s="339"/>
      <c r="Y827" s="339"/>
      <c r="Z827" s="339"/>
    </row>
    <row r="828" spans="1:26" ht="15.75" customHeight="1">
      <c r="A828" s="339"/>
      <c r="B828" s="339"/>
      <c r="C828" s="339"/>
      <c r="D828" s="339"/>
      <c r="E828" s="339"/>
      <c r="F828" s="339"/>
      <c r="G828" s="339"/>
      <c r="H828" s="339"/>
      <c r="I828" s="341"/>
      <c r="J828" s="339"/>
      <c r="K828" s="341"/>
      <c r="L828" s="341"/>
      <c r="M828" s="341"/>
      <c r="N828" s="341"/>
      <c r="O828" s="341"/>
      <c r="P828" s="339"/>
      <c r="Q828" s="339"/>
      <c r="R828" s="339"/>
      <c r="S828" s="339"/>
      <c r="T828" s="339"/>
      <c r="U828" s="339"/>
      <c r="V828" s="339"/>
      <c r="W828" s="339"/>
      <c r="X828" s="339"/>
      <c r="Y828" s="339"/>
      <c r="Z828" s="339"/>
    </row>
    <row r="829" spans="1:26" ht="15.75" customHeight="1">
      <c r="A829" s="339"/>
      <c r="B829" s="339"/>
      <c r="C829" s="339"/>
      <c r="D829" s="339"/>
      <c r="E829" s="339"/>
      <c r="F829" s="339"/>
      <c r="G829" s="339"/>
      <c r="H829" s="339"/>
      <c r="I829" s="341"/>
      <c r="J829" s="339"/>
      <c r="K829" s="341"/>
      <c r="L829" s="341"/>
      <c r="M829" s="341"/>
      <c r="N829" s="341"/>
      <c r="O829" s="341"/>
      <c r="P829" s="339"/>
      <c r="Q829" s="339"/>
      <c r="R829" s="339"/>
      <c r="S829" s="339"/>
      <c r="T829" s="339"/>
      <c r="U829" s="339"/>
      <c r="V829" s="339"/>
      <c r="W829" s="339"/>
      <c r="X829" s="339"/>
      <c r="Y829" s="339"/>
      <c r="Z829" s="339"/>
    </row>
    <row r="830" spans="1:26" ht="15.75" customHeight="1">
      <c r="A830" s="339"/>
      <c r="B830" s="339"/>
      <c r="C830" s="339"/>
      <c r="D830" s="339"/>
      <c r="E830" s="339"/>
      <c r="F830" s="339"/>
      <c r="G830" s="339"/>
      <c r="H830" s="339"/>
      <c r="I830" s="341"/>
      <c r="J830" s="339"/>
      <c r="K830" s="341"/>
      <c r="L830" s="341"/>
      <c r="M830" s="341"/>
      <c r="N830" s="341"/>
      <c r="O830" s="341"/>
      <c r="P830" s="339"/>
      <c r="Q830" s="339"/>
      <c r="R830" s="339"/>
      <c r="S830" s="339"/>
      <c r="T830" s="339"/>
      <c r="U830" s="339"/>
      <c r="V830" s="339"/>
      <c r="W830" s="339"/>
      <c r="X830" s="339"/>
      <c r="Y830" s="339"/>
      <c r="Z830" s="339"/>
    </row>
    <row r="831" spans="1:26" ht="15.75" customHeight="1">
      <c r="A831" s="339"/>
      <c r="B831" s="339"/>
      <c r="C831" s="339"/>
      <c r="D831" s="339"/>
      <c r="E831" s="339"/>
      <c r="F831" s="339"/>
      <c r="G831" s="339"/>
      <c r="H831" s="339"/>
      <c r="I831" s="341"/>
      <c r="J831" s="339"/>
      <c r="K831" s="341"/>
      <c r="L831" s="341"/>
      <c r="M831" s="341"/>
      <c r="N831" s="341"/>
      <c r="O831" s="341"/>
      <c r="P831" s="339"/>
      <c r="Q831" s="339"/>
      <c r="R831" s="339"/>
      <c r="S831" s="339"/>
      <c r="T831" s="339"/>
      <c r="U831" s="339"/>
      <c r="V831" s="339"/>
      <c r="W831" s="339"/>
      <c r="X831" s="339"/>
      <c r="Y831" s="339"/>
      <c r="Z831" s="339"/>
    </row>
    <row r="832" spans="1:26" ht="15.75" customHeight="1">
      <c r="A832" s="339"/>
      <c r="B832" s="339"/>
      <c r="C832" s="339"/>
      <c r="D832" s="339"/>
      <c r="E832" s="339"/>
      <c r="F832" s="339"/>
      <c r="G832" s="339"/>
      <c r="H832" s="339"/>
      <c r="I832" s="341"/>
      <c r="J832" s="339"/>
      <c r="K832" s="341"/>
      <c r="L832" s="341"/>
      <c r="M832" s="341"/>
      <c r="N832" s="341"/>
      <c r="O832" s="341"/>
      <c r="P832" s="339"/>
      <c r="Q832" s="339"/>
      <c r="R832" s="339"/>
      <c r="S832" s="339"/>
      <c r="T832" s="339"/>
      <c r="U832" s="339"/>
      <c r="V832" s="339"/>
      <c r="W832" s="339"/>
      <c r="X832" s="339"/>
      <c r="Y832" s="339"/>
      <c r="Z832" s="339"/>
    </row>
    <row r="833" spans="1:26" ht="15.75" customHeight="1">
      <c r="A833" s="339"/>
      <c r="B833" s="339"/>
      <c r="C833" s="339"/>
      <c r="D833" s="339"/>
      <c r="E833" s="339"/>
      <c r="F833" s="339"/>
      <c r="G833" s="339"/>
      <c r="H833" s="339"/>
      <c r="I833" s="341"/>
      <c r="J833" s="339"/>
      <c r="K833" s="341"/>
      <c r="L833" s="341"/>
      <c r="M833" s="341"/>
      <c r="N833" s="341"/>
      <c r="O833" s="341"/>
      <c r="P833" s="339"/>
      <c r="Q833" s="339"/>
      <c r="R833" s="339"/>
      <c r="S833" s="339"/>
      <c r="T833" s="339"/>
      <c r="U833" s="339"/>
      <c r="V833" s="339"/>
      <c r="W833" s="339"/>
      <c r="X833" s="339"/>
      <c r="Y833" s="339"/>
      <c r="Z833" s="339"/>
    </row>
    <row r="834" spans="1:26" ht="15.75" customHeight="1">
      <c r="A834" s="339"/>
      <c r="B834" s="339"/>
      <c r="C834" s="339"/>
      <c r="D834" s="339"/>
      <c r="E834" s="339"/>
      <c r="F834" s="339"/>
      <c r="G834" s="339"/>
      <c r="H834" s="339"/>
      <c r="I834" s="341"/>
      <c r="J834" s="339"/>
      <c r="K834" s="341"/>
      <c r="L834" s="341"/>
      <c r="M834" s="341"/>
      <c r="N834" s="341"/>
      <c r="O834" s="341"/>
      <c r="P834" s="339"/>
      <c r="Q834" s="339"/>
      <c r="R834" s="339"/>
      <c r="S834" s="339"/>
      <c r="T834" s="339"/>
      <c r="U834" s="339"/>
      <c r="V834" s="339"/>
      <c r="W834" s="339"/>
      <c r="X834" s="339"/>
      <c r="Y834" s="339"/>
      <c r="Z834" s="339"/>
    </row>
    <row r="835" spans="1:26" ht="15.75" customHeight="1">
      <c r="A835" s="339"/>
      <c r="B835" s="339"/>
      <c r="C835" s="339"/>
      <c r="D835" s="339"/>
      <c r="E835" s="339"/>
      <c r="F835" s="339"/>
      <c r="G835" s="339"/>
      <c r="H835" s="339"/>
      <c r="I835" s="341"/>
      <c r="J835" s="339"/>
      <c r="K835" s="341"/>
      <c r="L835" s="341"/>
      <c r="M835" s="341"/>
      <c r="N835" s="341"/>
      <c r="O835" s="341"/>
      <c r="P835" s="339"/>
      <c r="Q835" s="339"/>
      <c r="R835" s="339"/>
      <c r="S835" s="339"/>
      <c r="T835" s="339"/>
      <c r="U835" s="339"/>
      <c r="V835" s="339"/>
      <c r="W835" s="339"/>
      <c r="X835" s="339"/>
      <c r="Y835" s="339"/>
      <c r="Z835" s="339"/>
    </row>
    <row r="836" spans="1:26" ht="15.75" customHeight="1">
      <c r="A836" s="339"/>
      <c r="B836" s="339"/>
      <c r="C836" s="339"/>
      <c r="D836" s="339"/>
      <c r="E836" s="339"/>
      <c r="F836" s="339"/>
      <c r="G836" s="339"/>
      <c r="H836" s="339"/>
      <c r="I836" s="341"/>
      <c r="J836" s="339"/>
      <c r="K836" s="341"/>
      <c r="L836" s="341"/>
      <c r="M836" s="341"/>
      <c r="N836" s="341"/>
      <c r="O836" s="341"/>
      <c r="P836" s="339"/>
      <c r="Q836" s="339"/>
      <c r="R836" s="339"/>
      <c r="S836" s="339"/>
      <c r="T836" s="339"/>
      <c r="U836" s="339"/>
      <c r="V836" s="339"/>
      <c r="W836" s="339"/>
      <c r="X836" s="339"/>
      <c r="Y836" s="339"/>
      <c r="Z836" s="339"/>
    </row>
    <row r="837" spans="1:26" ht="15.75" customHeight="1">
      <c r="A837" s="339"/>
      <c r="B837" s="339"/>
      <c r="C837" s="339"/>
      <c r="D837" s="339"/>
      <c r="E837" s="339"/>
      <c r="F837" s="339"/>
      <c r="G837" s="339"/>
      <c r="H837" s="339"/>
      <c r="I837" s="341"/>
      <c r="J837" s="339"/>
      <c r="K837" s="341"/>
      <c r="L837" s="341"/>
      <c r="M837" s="341"/>
      <c r="N837" s="341"/>
      <c r="O837" s="341"/>
      <c r="P837" s="339"/>
      <c r="Q837" s="339"/>
      <c r="R837" s="339"/>
      <c r="S837" s="339"/>
      <c r="T837" s="339"/>
      <c r="U837" s="339"/>
      <c r="V837" s="339"/>
      <c r="W837" s="339"/>
      <c r="X837" s="339"/>
      <c r="Y837" s="339"/>
      <c r="Z837" s="339"/>
    </row>
    <row r="838" spans="1:26" ht="15.75" customHeight="1">
      <c r="A838" s="339"/>
      <c r="B838" s="339"/>
      <c r="C838" s="339"/>
      <c r="D838" s="339"/>
      <c r="E838" s="339"/>
      <c r="F838" s="339"/>
      <c r="G838" s="339"/>
      <c r="H838" s="339"/>
      <c r="I838" s="341"/>
      <c r="J838" s="339"/>
      <c r="K838" s="341"/>
      <c r="L838" s="341"/>
      <c r="M838" s="341"/>
      <c r="N838" s="341"/>
      <c r="O838" s="341"/>
      <c r="P838" s="339"/>
      <c r="Q838" s="339"/>
      <c r="R838" s="339"/>
      <c r="S838" s="339"/>
      <c r="T838" s="339"/>
      <c r="U838" s="339"/>
      <c r="V838" s="339"/>
      <c r="W838" s="339"/>
      <c r="X838" s="339"/>
      <c r="Y838" s="339"/>
      <c r="Z838" s="339"/>
    </row>
    <row r="839" spans="1:26" ht="15.75" customHeight="1">
      <c r="A839" s="339"/>
      <c r="B839" s="339"/>
      <c r="C839" s="339"/>
      <c r="D839" s="339"/>
      <c r="E839" s="339"/>
      <c r="F839" s="339"/>
      <c r="G839" s="339"/>
      <c r="H839" s="339"/>
      <c r="I839" s="341"/>
      <c r="J839" s="339"/>
      <c r="K839" s="341"/>
      <c r="L839" s="341"/>
      <c r="M839" s="341"/>
      <c r="N839" s="341"/>
      <c r="O839" s="341"/>
      <c r="P839" s="339"/>
      <c r="Q839" s="339"/>
      <c r="R839" s="339"/>
      <c r="S839" s="339"/>
      <c r="T839" s="339"/>
      <c r="U839" s="339"/>
      <c r="V839" s="339"/>
      <c r="W839" s="339"/>
      <c r="X839" s="339"/>
      <c r="Y839" s="339"/>
      <c r="Z839" s="339"/>
    </row>
    <row r="840" spans="1:26" ht="15.75" customHeight="1">
      <c r="A840" s="339"/>
      <c r="B840" s="339"/>
      <c r="C840" s="339"/>
      <c r="D840" s="339"/>
      <c r="E840" s="339"/>
      <c r="F840" s="339"/>
      <c r="G840" s="339"/>
      <c r="H840" s="339"/>
      <c r="I840" s="341"/>
      <c r="J840" s="339"/>
      <c r="K840" s="341"/>
      <c r="L840" s="341"/>
      <c r="M840" s="341"/>
      <c r="N840" s="341"/>
      <c r="O840" s="341"/>
      <c r="P840" s="339"/>
      <c r="Q840" s="339"/>
      <c r="R840" s="339"/>
      <c r="S840" s="339"/>
      <c r="T840" s="339"/>
      <c r="U840" s="339"/>
      <c r="V840" s="339"/>
      <c r="W840" s="339"/>
      <c r="X840" s="339"/>
      <c r="Y840" s="339"/>
      <c r="Z840" s="339"/>
    </row>
    <row r="841" spans="1:26" ht="15.75" customHeight="1">
      <c r="A841" s="339"/>
      <c r="B841" s="339"/>
      <c r="C841" s="339"/>
      <c r="D841" s="339"/>
      <c r="E841" s="339"/>
      <c r="F841" s="339"/>
      <c r="G841" s="339"/>
      <c r="H841" s="339"/>
      <c r="I841" s="341"/>
      <c r="J841" s="339"/>
      <c r="K841" s="341"/>
      <c r="L841" s="341"/>
      <c r="M841" s="341"/>
      <c r="N841" s="341"/>
      <c r="O841" s="341"/>
      <c r="P841" s="339"/>
      <c r="Q841" s="339"/>
      <c r="R841" s="339"/>
      <c r="S841" s="339"/>
      <c r="T841" s="339"/>
      <c r="U841" s="339"/>
      <c r="V841" s="339"/>
      <c r="W841" s="339"/>
      <c r="X841" s="339"/>
      <c r="Y841" s="339"/>
      <c r="Z841" s="339"/>
    </row>
    <row r="842" spans="1:26" ht="15.75" customHeight="1">
      <c r="A842" s="339"/>
      <c r="B842" s="339"/>
      <c r="C842" s="339"/>
      <c r="D842" s="339"/>
      <c r="E842" s="339"/>
      <c r="F842" s="339"/>
      <c r="G842" s="339"/>
      <c r="H842" s="339"/>
      <c r="I842" s="341"/>
      <c r="J842" s="339"/>
      <c r="K842" s="341"/>
      <c r="L842" s="341"/>
      <c r="M842" s="341"/>
      <c r="N842" s="341"/>
      <c r="O842" s="341"/>
      <c r="P842" s="339"/>
      <c r="Q842" s="339"/>
      <c r="R842" s="339"/>
      <c r="S842" s="339"/>
      <c r="T842" s="339"/>
      <c r="U842" s="339"/>
      <c r="V842" s="339"/>
      <c r="W842" s="339"/>
      <c r="X842" s="339"/>
      <c r="Y842" s="339"/>
      <c r="Z842" s="339"/>
    </row>
    <row r="843" spans="1:26" ht="15.75" customHeight="1">
      <c r="A843" s="339"/>
      <c r="B843" s="339"/>
      <c r="C843" s="339"/>
      <c r="D843" s="339"/>
      <c r="E843" s="339"/>
      <c r="F843" s="339"/>
      <c r="G843" s="339"/>
      <c r="H843" s="339"/>
      <c r="I843" s="341"/>
      <c r="J843" s="339"/>
      <c r="K843" s="341"/>
      <c r="L843" s="341"/>
      <c r="M843" s="341"/>
      <c r="N843" s="341"/>
      <c r="O843" s="341"/>
      <c r="P843" s="339"/>
      <c r="Q843" s="339"/>
      <c r="R843" s="339"/>
      <c r="S843" s="339"/>
      <c r="T843" s="339"/>
      <c r="U843" s="339"/>
      <c r="V843" s="339"/>
      <c r="W843" s="339"/>
      <c r="X843" s="339"/>
      <c r="Y843" s="339"/>
      <c r="Z843" s="339"/>
    </row>
    <row r="844" spans="1:26" ht="15.75" customHeight="1">
      <c r="A844" s="339"/>
      <c r="B844" s="339"/>
      <c r="C844" s="339"/>
      <c r="D844" s="339"/>
      <c r="E844" s="339"/>
      <c r="F844" s="339"/>
      <c r="G844" s="339"/>
      <c r="H844" s="339"/>
      <c r="I844" s="341"/>
      <c r="J844" s="339"/>
      <c r="K844" s="341"/>
      <c r="L844" s="341"/>
      <c r="M844" s="341"/>
      <c r="N844" s="341"/>
      <c r="O844" s="341"/>
      <c r="P844" s="339"/>
      <c r="Q844" s="339"/>
      <c r="R844" s="339"/>
      <c r="S844" s="339"/>
      <c r="T844" s="339"/>
      <c r="U844" s="339"/>
      <c r="V844" s="339"/>
      <c r="W844" s="339"/>
      <c r="X844" s="339"/>
      <c r="Y844" s="339"/>
      <c r="Z844" s="339"/>
    </row>
    <row r="845" spans="1:26" ht="15.75" customHeight="1">
      <c r="A845" s="339"/>
      <c r="B845" s="339"/>
      <c r="C845" s="339"/>
      <c r="D845" s="339"/>
      <c r="E845" s="339"/>
      <c r="F845" s="339"/>
      <c r="G845" s="339"/>
      <c r="H845" s="339"/>
      <c r="I845" s="341"/>
      <c r="J845" s="339"/>
      <c r="K845" s="341"/>
      <c r="L845" s="341"/>
      <c r="M845" s="341"/>
      <c r="N845" s="341"/>
      <c r="O845" s="341"/>
      <c r="P845" s="339"/>
      <c r="Q845" s="339"/>
      <c r="R845" s="339"/>
      <c r="S845" s="339"/>
      <c r="T845" s="339"/>
      <c r="U845" s="339"/>
      <c r="V845" s="339"/>
      <c r="W845" s="339"/>
      <c r="X845" s="339"/>
      <c r="Y845" s="339"/>
      <c r="Z845" s="339"/>
    </row>
    <row r="846" spans="1:26" ht="15.75" customHeight="1">
      <c r="A846" s="339"/>
      <c r="B846" s="339"/>
      <c r="C846" s="339"/>
      <c r="D846" s="339"/>
      <c r="E846" s="339"/>
      <c r="F846" s="339"/>
      <c r="G846" s="339"/>
      <c r="H846" s="339"/>
      <c r="I846" s="341"/>
      <c r="J846" s="339"/>
      <c r="K846" s="341"/>
      <c r="L846" s="341"/>
      <c r="M846" s="341"/>
      <c r="N846" s="341"/>
      <c r="O846" s="341"/>
      <c r="P846" s="339"/>
      <c r="Q846" s="339"/>
      <c r="R846" s="339"/>
      <c r="S846" s="339"/>
      <c r="T846" s="339"/>
      <c r="U846" s="339"/>
      <c r="V846" s="339"/>
      <c r="W846" s="339"/>
      <c r="X846" s="339"/>
      <c r="Y846" s="339"/>
      <c r="Z846" s="339"/>
    </row>
    <row r="847" spans="1:26" ht="15.75" customHeight="1">
      <c r="A847" s="339"/>
      <c r="B847" s="339"/>
      <c r="C847" s="339"/>
      <c r="D847" s="339"/>
      <c r="E847" s="339"/>
      <c r="F847" s="339"/>
      <c r="G847" s="339"/>
      <c r="H847" s="339"/>
      <c r="I847" s="341"/>
      <c r="J847" s="339"/>
      <c r="K847" s="341"/>
      <c r="L847" s="341"/>
      <c r="M847" s="341"/>
      <c r="N847" s="341"/>
      <c r="O847" s="341"/>
      <c r="P847" s="339"/>
      <c r="Q847" s="339"/>
      <c r="R847" s="339"/>
      <c r="S847" s="339"/>
      <c r="T847" s="339"/>
      <c r="U847" s="339"/>
      <c r="V847" s="339"/>
      <c r="W847" s="339"/>
      <c r="X847" s="339"/>
      <c r="Y847" s="339"/>
      <c r="Z847" s="339"/>
    </row>
    <row r="848" spans="1:26" ht="15.75" customHeight="1">
      <c r="A848" s="339"/>
      <c r="B848" s="339"/>
      <c r="C848" s="339"/>
      <c r="D848" s="339"/>
      <c r="E848" s="339"/>
      <c r="F848" s="339"/>
      <c r="G848" s="339"/>
      <c r="H848" s="339"/>
      <c r="I848" s="341"/>
      <c r="J848" s="339"/>
      <c r="K848" s="341"/>
      <c r="L848" s="341"/>
      <c r="M848" s="341"/>
      <c r="N848" s="341"/>
      <c r="O848" s="341"/>
      <c r="P848" s="339"/>
      <c r="Q848" s="339"/>
      <c r="R848" s="339"/>
      <c r="S848" s="339"/>
      <c r="T848" s="339"/>
      <c r="U848" s="339"/>
      <c r="V848" s="339"/>
      <c r="W848" s="339"/>
      <c r="X848" s="339"/>
      <c r="Y848" s="339"/>
      <c r="Z848" s="339"/>
    </row>
    <row r="849" spans="1:26" ht="15.75" customHeight="1">
      <c r="A849" s="339"/>
      <c r="B849" s="339"/>
      <c r="C849" s="339"/>
      <c r="D849" s="339"/>
      <c r="E849" s="339"/>
      <c r="F849" s="339"/>
      <c r="G849" s="339"/>
      <c r="H849" s="339"/>
      <c r="I849" s="341"/>
      <c r="J849" s="339"/>
      <c r="K849" s="341"/>
      <c r="L849" s="341"/>
      <c r="M849" s="341"/>
      <c r="N849" s="341"/>
      <c r="O849" s="341"/>
      <c r="P849" s="339"/>
      <c r="Q849" s="339"/>
      <c r="R849" s="339"/>
      <c r="S849" s="339"/>
      <c r="T849" s="339"/>
      <c r="U849" s="339"/>
      <c r="V849" s="339"/>
      <c r="W849" s="339"/>
      <c r="X849" s="339"/>
      <c r="Y849" s="339"/>
      <c r="Z849" s="339"/>
    </row>
    <row r="850" spans="1:26" ht="15.75" customHeight="1">
      <c r="A850" s="339"/>
      <c r="B850" s="339"/>
      <c r="C850" s="339"/>
      <c r="D850" s="339"/>
      <c r="E850" s="339"/>
      <c r="F850" s="339"/>
      <c r="G850" s="339"/>
      <c r="H850" s="339"/>
      <c r="I850" s="341"/>
      <c r="J850" s="339"/>
      <c r="K850" s="341"/>
      <c r="L850" s="341"/>
      <c r="M850" s="341"/>
      <c r="N850" s="341"/>
      <c r="O850" s="341"/>
      <c r="P850" s="339"/>
      <c r="Q850" s="339"/>
      <c r="R850" s="339"/>
      <c r="S850" s="339"/>
      <c r="T850" s="339"/>
      <c r="U850" s="339"/>
      <c r="V850" s="339"/>
      <c r="W850" s="339"/>
      <c r="X850" s="339"/>
      <c r="Y850" s="339"/>
      <c r="Z850" s="339"/>
    </row>
    <row r="851" spans="1:26" ht="15.75" customHeight="1">
      <c r="A851" s="339"/>
      <c r="B851" s="339"/>
      <c r="C851" s="339"/>
      <c r="D851" s="339"/>
      <c r="E851" s="339"/>
      <c r="F851" s="339"/>
      <c r="G851" s="339"/>
      <c r="H851" s="339"/>
      <c r="I851" s="341"/>
      <c r="J851" s="339"/>
      <c r="K851" s="341"/>
      <c r="L851" s="341"/>
      <c r="M851" s="341"/>
      <c r="N851" s="341"/>
      <c r="O851" s="341"/>
      <c r="P851" s="339"/>
      <c r="Q851" s="339"/>
      <c r="R851" s="339"/>
      <c r="S851" s="339"/>
      <c r="T851" s="339"/>
      <c r="U851" s="339"/>
      <c r="V851" s="339"/>
      <c r="W851" s="339"/>
      <c r="X851" s="339"/>
      <c r="Y851" s="339"/>
      <c r="Z851" s="339"/>
    </row>
    <row r="852" spans="1:26" ht="15.75" customHeight="1">
      <c r="A852" s="339"/>
      <c r="B852" s="339"/>
      <c r="C852" s="339"/>
      <c r="D852" s="339"/>
      <c r="E852" s="339"/>
      <c r="F852" s="339"/>
      <c r="G852" s="339"/>
      <c r="H852" s="339"/>
      <c r="I852" s="341"/>
      <c r="J852" s="339"/>
      <c r="K852" s="341"/>
      <c r="L852" s="341"/>
      <c r="M852" s="341"/>
      <c r="N852" s="341"/>
      <c r="O852" s="341"/>
      <c r="P852" s="339"/>
      <c r="Q852" s="339"/>
      <c r="R852" s="339"/>
      <c r="S852" s="339"/>
      <c r="T852" s="339"/>
      <c r="U852" s="339"/>
      <c r="V852" s="339"/>
      <c r="W852" s="339"/>
      <c r="X852" s="339"/>
      <c r="Y852" s="339"/>
      <c r="Z852" s="339"/>
    </row>
    <row r="853" spans="1:26" ht="15.75" customHeight="1">
      <c r="A853" s="339"/>
      <c r="B853" s="339"/>
      <c r="C853" s="339"/>
      <c r="D853" s="339"/>
      <c r="E853" s="339"/>
      <c r="F853" s="339"/>
      <c r="G853" s="339"/>
      <c r="H853" s="339"/>
      <c r="I853" s="341"/>
      <c r="J853" s="339"/>
      <c r="K853" s="341"/>
      <c r="L853" s="341"/>
      <c r="M853" s="341"/>
      <c r="N853" s="341"/>
      <c r="O853" s="341"/>
      <c r="P853" s="339"/>
      <c r="Q853" s="339"/>
      <c r="R853" s="339"/>
      <c r="S853" s="339"/>
      <c r="T853" s="339"/>
      <c r="U853" s="339"/>
      <c r="V853" s="339"/>
      <c r="W853" s="339"/>
      <c r="X853" s="339"/>
      <c r="Y853" s="339"/>
      <c r="Z853" s="339"/>
    </row>
    <row r="854" spans="1:26" ht="15.75" customHeight="1">
      <c r="A854" s="339"/>
      <c r="B854" s="339"/>
      <c r="C854" s="339"/>
      <c r="D854" s="339"/>
      <c r="E854" s="339"/>
      <c r="F854" s="339"/>
      <c r="G854" s="339"/>
      <c r="H854" s="339"/>
      <c r="I854" s="341"/>
      <c r="J854" s="339"/>
      <c r="K854" s="341"/>
      <c r="L854" s="341"/>
      <c r="M854" s="341"/>
      <c r="N854" s="341"/>
      <c r="O854" s="341"/>
      <c r="P854" s="339"/>
      <c r="Q854" s="339"/>
      <c r="R854" s="339"/>
      <c r="S854" s="339"/>
      <c r="T854" s="339"/>
      <c r="U854" s="339"/>
      <c r="V854" s="339"/>
      <c r="W854" s="339"/>
      <c r="X854" s="339"/>
      <c r="Y854" s="339"/>
      <c r="Z854" s="339"/>
    </row>
    <row r="855" spans="1:26" ht="15.75" customHeight="1">
      <c r="A855" s="339"/>
      <c r="B855" s="339"/>
      <c r="C855" s="339"/>
      <c r="D855" s="339"/>
      <c r="E855" s="339"/>
      <c r="F855" s="339"/>
      <c r="G855" s="339"/>
      <c r="H855" s="339"/>
      <c r="I855" s="341"/>
      <c r="J855" s="339"/>
      <c r="K855" s="341"/>
      <c r="L855" s="341"/>
      <c r="M855" s="341"/>
      <c r="N855" s="341"/>
      <c r="O855" s="341"/>
      <c r="P855" s="339"/>
      <c r="Q855" s="339"/>
      <c r="R855" s="339"/>
      <c r="S855" s="339"/>
      <c r="T855" s="339"/>
      <c r="U855" s="339"/>
      <c r="V855" s="339"/>
      <c r="W855" s="339"/>
      <c r="X855" s="339"/>
      <c r="Y855" s="339"/>
      <c r="Z855" s="339"/>
    </row>
    <row r="856" spans="1:26" ht="15.75" customHeight="1">
      <c r="A856" s="339"/>
      <c r="B856" s="339"/>
      <c r="C856" s="339"/>
      <c r="D856" s="339"/>
      <c r="E856" s="339"/>
      <c r="F856" s="339"/>
      <c r="G856" s="339"/>
      <c r="H856" s="339"/>
      <c r="I856" s="341"/>
      <c r="J856" s="339"/>
      <c r="K856" s="341"/>
      <c r="L856" s="341"/>
      <c r="M856" s="341"/>
      <c r="N856" s="341"/>
      <c r="O856" s="341"/>
      <c r="P856" s="339"/>
      <c r="Q856" s="339"/>
      <c r="R856" s="339"/>
      <c r="S856" s="339"/>
      <c r="T856" s="339"/>
      <c r="U856" s="339"/>
      <c r="V856" s="339"/>
      <c r="W856" s="339"/>
      <c r="X856" s="339"/>
      <c r="Y856" s="339"/>
      <c r="Z856" s="339"/>
    </row>
    <row r="857" spans="1:26" ht="15.75" customHeight="1">
      <c r="A857" s="339"/>
      <c r="B857" s="339"/>
      <c r="C857" s="339"/>
      <c r="D857" s="339"/>
      <c r="E857" s="339"/>
      <c r="F857" s="339"/>
      <c r="G857" s="339"/>
      <c r="H857" s="339"/>
      <c r="I857" s="341"/>
      <c r="J857" s="339"/>
      <c r="K857" s="341"/>
      <c r="L857" s="341"/>
      <c r="M857" s="341"/>
      <c r="N857" s="341"/>
      <c r="O857" s="341"/>
      <c r="P857" s="339"/>
      <c r="Q857" s="339"/>
      <c r="R857" s="339"/>
      <c r="S857" s="339"/>
      <c r="T857" s="339"/>
      <c r="U857" s="339"/>
      <c r="V857" s="339"/>
      <c r="W857" s="339"/>
      <c r="X857" s="339"/>
      <c r="Y857" s="339"/>
      <c r="Z857" s="339"/>
    </row>
    <row r="858" spans="1:26" ht="15.75" customHeight="1">
      <c r="A858" s="339"/>
      <c r="B858" s="339"/>
      <c r="C858" s="339"/>
      <c r="D858" s="339"/>
      <c r="E858" s="339"/>
      <c r="F858" s="339"/>
      <c r="G858" s="339"/>
      <c r="H858" s="339"/>
      <c r="I858" s="341"/>
      <c r="J858" s="339"/>
      <c r="K858" s="341"/>
      <c r="L858" s="341"/>
      <c r="M858" s="341"/>
      <c r="N858" s="341"/>
      <c r="O858" s="341"/>
      <c r="P858" s="339"/>
      <c r="Q858" s="339"/>
      <c r="R858" s="339"/>
      <c r="S858" s="339"/>
      <c r="T858" s="339"/>
      <c r="U858" s="339"/>
      <c r="V858" s="339"/>
      <c r="W858" s="339"/>
      <c r="X858" s="339"/>
      <c r="Y858" s="339"/>
      <c r="Z858" s="339"/>
    </row>
    <row r="859" spans="1:26" ht="15.75" customHeight="1">
      <c r="A859" s="339"/>
      <c r="B859" s="339"/>
      <c r="C859" s="339"/>
      <c r="D859" s="339"/>
      <c r="E859" s="339"/>
      <c r="F859" s="339"/>
      <c r="G859" s="339"/>
      <c r="H859" s="339"/>
      <c r="I859" s="341"/>
      <c r="J859" s="339"/>
      <c r="K859" s="341"/>
      <c r="L859" s="341"/>
      <c r="M859" s="341"/>
      <c r="N859" s="341"/>
      <c r="O859" s="341"/>
      <c r="P859" s="339"/>
      <c r="Q859" s="339"/>
      <c r="R859" s="339"/>
      <c r="S859" s="339"/>
      <c r="T859" s="339"/>
      <c r="U859" s="339"/>
      <c r="V859" s="339"/>
      <c r="W859" s="339"/>
      <c r="X859" s="339"/>
      <c r="Y859" s="339"/>
      <c r="Z859" s="339"/>
    </row>
    <row r="860" spans="1:26" ht="15.75" customHeight="1">
      <c r="A860" s="339"/>
      <c r="B860" s="339"/>
      <c r="C860" s="339"/>
      <c r="D860" s="339"/>
      <c r="E860" s="339"/>
      <c r="F860" s="339"/>
      <c r="G860" s="339"/>
      <c r="H860" s="339"/>
      <c r="I860" s="341"/>
      <c r="J860" s="339"/>
      <c r="K860" s="341"/>
      <c r="L860" s="341"/>
      <c r="M860" s="341"/>
      <c r="N860" s="341"/>
      <c r="O860" s="341"/>
      <c r="P860" s="339"/>
      <c r="Q860" s="339"/>
      <c r="R860" s="339"/>
      <c r="S860" s="339"/>
      <c r="T860" s="339"/>
      <c r="U860" s="339"/>
      <c r="V860" s="339"/>
      <c r="W860" s="339"/>
      <c r="X860" s="339"/>
      <c r="Y860" s="339"/>
      <c r="Z860" s="339"/>
    </row>
    <row r="861" spans="1:26" ht="15.75" customHeight="1">
      <c r="A861" s="339"/>
      <c r="B861" s="339"/>
      <c r="C861" s="339"/>
      <c r="D861" s="339"/>
      <c r="E861" s="339"/>
      <c r="F861" s="339"/>
      <c r="G861" s="339"/>
      <c r="H861" s="339"/>
      <c r="I861" s="341"/>
      <c r="J861" s="339"/>
      <c r="K861" s="341"/>
      <c r="L861" s="341"/>
      <c r="M861" s="341"/>
      <c r="N861" s="341"/>
      <c r="O861" s="341"/>
      <c r="P861" s="339"/>
      <c r="Q861" s="339"/>
      <c r="R861" s="339"/>
      <c r="S861" s="339"/>
      <c r="T861" s="339"/>
      <c r="U861" s="339"/>
      <c r="V861" s="339"/>
      <c r="W861" s="339"/>
      <c r="X861" s="339"/>
      <c r="Y861" s="339"/>
      <c r="Z861" s="339"/>
    </row>
    <row r="862" spans="1:26" ht="15.75" customHeight="1">
      <c r="A862" s="339"/>
      <c r="B862" s="339"/>
      <c r="C862" s="339"/>
      <c r="D862" s="339"/>
      <c r="E862" s="339"/>
      <c r="F862" s="339"/>
      <c r="G862" s="339"/>
      <c r="H862" s="339"/>
      <c r="I862" s="341"/>
      <c r="J862" s="339"/>
      <c r="K862" s="341"/>
      <c r="L862" s="341"/>
      <c r="M862" s="341"/>
      <c r="N862" s="341"/>
      <c r="O862" s="341"/>
      <c r="P862" s="339"/>
      <c r="Q862" s="339"/>
      <c r="R862" s="339"/>
      <c r="S862" s="339"/>
      <c r="T862" s="339"/>
      <c r="U862" s="339"/>
      <c r="V862" s="339"/>
      <c r="W862" s="339"/>
      <c r="X862" s="339"/>
      <c r="Y862" s="339"/>
      <c r="Z862" s="339"/>
    </row>
    <row r="863" spans="1:26" ht="15.75" customHeight="1">
      <c r="A863" s="339"/>
      <c r="B863" s="339"/>
      <c r="C863" s="339"/>
      <c r="D863" s="339"/>
      <c r="E863" s="339"/>
      <c r="F863" s="339"/>
      <c r="G863" s="339"/>
      <c r="H863" s="339"/>
      <c r="I863" s="341"/>
      <c r="J863" s="339"/>
      <c r="K863" s="341"/>
      <c r="L863" s="341"/>
      <c r="M863" s="341"/>
      <c r="N863" s="341"/>
      <c r="O863" s="341"/>
      <c r="P863" s="339"/>
      <c r="Q863" s="339"/>
      <c r="R863" s="339"/>
      <c r="S863" s="339"/>
      <c r="T863" s="339"/>
      <c r="U863" s="339"/>
      <c r="V863" s="339"/>
      <c r="W863" s="339"/>
      <c r="X863" s="339"/>
      <c r="Y863" s="339"/>
      <c r="Z863" s="339"/>
    </row>
    <row r="864" spans="1:26" ht="15.75" customHeight="1">
      <c r="A864" s="339"/>
      <c r="B864" s="339"/>
      <c r="C864" s="339"/>
      <c r="D864" s="339"/>
      <c r="E864" s="339"/>
      <c r="F864" s="339"/>
      <c r="G864" s="339"/>
      <c r="H864" s="339"/>
      <c r="I864" s="341"/>
      <c r="J864" s="339"/>
      <c r="K864" s="341"/>
      <c r="L864" s="341"/>
      <c r="M864" s="341"/>
      <c r="N864" s="341"/>
      <c r="O864" s="341"/>
      <c r="P864" s="339"/>
      <c r="Q864" s="339"/>
      <c r="R864" s="339"/>
      <c r="S864" s="339"/>
      <c r="T864" s="339"/>
      <c r="U864" s="339"/>
      <c r="V864" s="339"/>
      <c r="W864" s="339"/>
      <c r="X864" s="339"/>
      <c r="Y864" s="339"/>
      <c r="Z864" s="339"/>
    </row>
    <row r="865" spans="1:26" ht="15.75" customHeight="1">
      <c r="A865" s="339"/>
      <c r="B865" s="339"/>
      <c r="C865" s="339"/>
      <c r="D865" s="339"/>
      <c r="E865" s="339"/>
      <c r="F865" s="339"/>
      <c r="G865" s="339"/>
      <c r="H865" s="339"/>
      <c r="I865" s="341"/>
      <c r="J865" s="339"/>
      <c r="K865" s="341"/>
      <c r="L865" s="341"/>
      <c r="M865" s="341"/>
      <c r="N865" s="341"/>
      <c r="O865" s="341"/>
      <c r="P865" s="339"/>
      <c r="Q865" s="339"/>
      <c r="R865" s="339"/>
      <c r="S865" s="339"/>
      <c r="T865" s="339"/>
      <c r="U865" s="339"/>
      <c r="V865" s="339"/>
      <c r="W865" s="339"/>
      <c r="X865" s="339"/>
      <c r="Y865" s="339"/>
      <c r="Z865" s="339"/>
    </row>
    <row r="866" spans="1:26" ht="15.75" customHeight="1">
      <c r="A866" s="339"/>
      <c r="B866" s="339"/>
      <c r="C866" s="339"/>
      <c r="D866" s="339"/>
      <c r="E866" s="339"/>
      <c r="F866" s="339"/>
      <c r="G866" s="339"/>
      <c r="H866" s="339"/>
      <c r="I866" s="341"/>
      <c r="J866" s="339"/>
      <c r="K866" s="341"/>
      <c r="L866" s="341"/>
      <c r="M866" s="341"/>
      <c r="N866" s="341"/>
      <c r="O866" s="341"/>
      <c r="P866" s="339"/>
      <c r="Q866" s="339"/>
      <c r="R866" s="339"/>
      <c r="S866" s="339"/>
      <c r="T866" s="339"/>
      <c r="U866" s="339"/>
      <c r="V866" s="339"/>
      <c r="W866" s="339"/>
      <c r="X866" s="339"/>
      <c r="Y866" s="339"/>
      <c r="Z866" s="339"/>
    </row>
    <row r="867" spans="1:26" ht="15.75" customHeight="1">
      <c r="A867" s="339"/>
      <c r="B867" s="339"/>
      <c r="C867" s="339"/>
      <c r="D867" s="339"/>
      <c r="E867" s="339"/>
      <c r="F867" s="339"/>
      <c r="G867" s="339"/>
      <c r="H867" s="339"/>
      <c r="I867" s="341"/>
      <c r="J867" s="339"/>
      <c r="K867" s="341"/>
      <c r="L867" s="341"/>
      <c r="M867" s="341"/>
      <c r="N867" s="341"/>
      <c r="O867" s="341"/>
      <c r="P867" s="339"/>
      <c r="Q867" s="339"/>
      <c r="R867" s="339"/>
      <c r="S867" s="339"/>
      <c r="T867" s="339"/>
      <c r="U867" s="339"/>
      <c r="V867" s="339"/>
      <c r="W867" s="339"/>
      <c r="X867" s="339"/>
      <c r="Y867" s="339"/>
      <c r="Z867" s="339"/>
    </row>
    <row r="868" spans="1:26" ht="15.75" customHeight="1">
      <c r="A868" s="339"/>
      <c r="B868" s="339"/>
      <c r="C868" s="339"/>
      <c r="D868" s="339"/>
      <c r="E868" s="339"/>
      <c r="F868" s="339"/>
      <c r="G868" s="339"/>
      <c r="H868" s="339"/>
      <c r="I868" s="341"/>
      <c r="J868" s="339"/>
      <c r="K868" s="341"/>
      <c r="L868" s="341"/>
      <c r="M868" s="341"/>
      <c r="N868" s="341"/>
      <c r="O868" s="341"/>
      <c r="P868" s="339"/>
      <c r="Q868" s="339"/>
      <c r="R868" s="339"/>
      <c r="S868" s="339"/>
      <c r="T868" s="339"/>
      <c r="U868" s="339"/>
      <c r="V868" s="339"/>
      <c r="W868" s="339"/>
      <c r="X868" s="339"/>
      <c r="Y868" s="339"/>
      <c r="Z868" s="339"/>
    </row>
    <row r="869" spans="1:26" ht="15.75" customHeight="1">
      <c r="A869" s="339"/>
      <c r="B869" s="339"/>
      <c r="C869" s="339"/>
      <c r="D869" s="339"/>
      <c r="E869" s="339"/>
      <c r="F869" s="339"/>
      <c r="G869" s="339"/>
      <c r="H869" s="339"/>
      <c r="I869" s="341"/>
      <c r="J869" s="339"/>
      <c r="K869" s="341"/>
      <c r="L869" s="341"/>
      <c r="M869" s="341"/>
      <c r="N869" s="341"/>
      <c r="O869" s="341"/>
      <c r="P869" s="339"/>
      <c r="Q869" s="339"/>
      <c r="R869" s="339"/>
      <c r="S869" s="339"/>
      <c r="T869" s="339"/>
      <c r="U869" s="339"/>
      <c r="V869" s="339"/>
      <c r="W869" s="339"/>
      <c r="X869" s="339"/>
      <c r="Y869" s="339"/>
      <c r="Z869" s="339"/>
    </row>
    <row r="870" spans="1:26" ht="15.75" customHeight="1">
      <c r="A870" s="339"/>
      <c r="B870" s="339"/>
      <c r="C870" s="339"/>
      <c r="D870" s="339"/>
      <c r="E870" s="339"/>
      <c r="F870" s="339"/>
      <c r="G870" s="339"/>
      <c r="H870" s="339"/>
      <c r="I870" s="341"/>
      <c r="J870" s="339"/>
      <c r="K870" s="341"/>
      <c r="L870" s="341"/>
      <c r="M870" s="341"/>
      <c r="N870" s="341"/>
      <c r="O870" s="341"/>
      <c r="P870" s="339"/>
      <c r="Q870" s="339"/>
      <c r="R870" s="339"/>
      <c r="S870" s="339"/>
      <c r="T870" s="339"/>
      <c r="U870" s="339"/>
      <c r="V870" s="339"/>
      <c r="W870" s="339"/>
      <c r="X870" s="339"/>
      <c r="Y870" s="339"/>
      <c r="Z870" s="339"/>
    </row>
    <row r="871" spans="1:26" ht="15.75" customHeight="1">
      <c r="A871" s="339"/>
      <c r="B871" s="339"/>
      <c r="C871" s="339"/>
      <c r="D871" s="339"/>
      <c r="E871" s="339"/>
      <c r="F871" s="339"/>
      <c r="G871" s="339"/>
      <c r="H871" s="339"/>
      <c r="I871" s="341"/>
      <c r="J871" s="339"/>
      <c r="K871" s="341"/>
      <c r="L871" s="341"/>
      <c r="M871" s="341"/>
      <c r="N871" s="341"/>
      <c r="O871" s="341"/>
      <c r="P871" s="339"/>
      <c r="Q871" s="339"/>
      <c r="R871" s="339"/>
      <c r="S871" s="339"/>
      <c r="T871" s="339"/>
      <c r="U871" s="339"/>
      <c r="V871" s="339"/>
      <c r="W871" s="339"/>
      <c r="X871" s="339"/>
      <c r="Y871" s="339"/>
      <c r="Z871" s="339"/>
    </row>
    <row r="872" spans="1:26" ht="15.75" customHeight="1">
      <c r="A872" s="339"/>
      <c r="B872" s="339"/>
      <c r="C872" s="339"/>
      <c r="D872" s="339"/>
      <c r="E872" s="339"/>
      <c r="F872" s="339"/>
      <c r="G872" s="339"/>
      <c r="H872" s="339"/>
      <c r="I872" s="341"/>
      <c r="J872" s="339"/>
      <c r="K872" s="341"/>
      <c r="L872" s="341"/>
      <c r="M872" s="341"/>
      <c r="N872" s="341"/>
      <c r="O872" s="341"/>
      <c r="P872" s="339"/>
      <c r="Q872" s="339"/>
      <c r="R872" s="339"/>
      <c r="S872" s="339"/>
      <c r="T872" s="339"/>
      <c r="U872" s="339"/>
      <c r="V872" s="339"/>
      <c r="W872" s="339"/>
      <c r="X872" s="339"/>
      <c r="Y872" s="339"/>
      <c r="Z872" s="339"/>
    </row>
    <row r="873" spans="1:26" ht="15.75" customHeight="1">
      <c r="A873" s="339"/>
      <c r="B873" s="339"/>
      <c r="C873" s="339"/>
      <c r="D873" s="339"/>
      <c r="E873" s="339"/>
      <c r="F873" s="339"/>
      <c r="G873" s="339"/>
      <c r="H873" s="339"/>
      <c r="I873" s="341"/>
      <c r="J873" s="339"/>
      <c r="K873" s="341"/>
      <c r="L873" s="341"/>
      <c r="M873" s="341"/>
      <c r="N873" s="341"/>
      <c r="O873" s="341"/>
      <c r="P873" s="339"/>
      <c r="Q873" s="339"/>
      <c r="R873" s="339"/>
      <c r="S873" s="339"/>
      <c r="T873" s="339"/>
      <c r="U873" s="339"/>
      <c r="V873" s="339"/>
      <c r="W873" s="339"/>
      <c r="X873" s="339"/>
      <c r="Y873" s="339"/>
      <c r="Z873" s="339"/>
    </row>
    <row r="874" spans="1:26" ht="15.75" customHeight="1">
      <c r="A874" s="339"/>
      <c r="B874" s="339"/>
      <c r="C874" s="339"/>
      <c r="D874" s="339"/>
      <c r="E874" s="339"/>
      <c r="F874" s="339"/>
      <c r="G874" s="339"/>
      <c r="H874" s="339"/>
      <c r="I874" s="341"/>
      <c r="J874" s="339"/>
      <c r="K874" s="341"/>
      <c r="L874" s="341"/>
      <c r="M874" s="341"/>
      <c r="N874" s="341"/>
      <c r="O874" s="341"/>
      <c r="P874" s="339"/>
      <c r="Q874" s="339"/>
      <c r="R874" s="339"/>
      <c r="S874" s="339"/>
      <c r="T874" s="339"/>
      <c r="U874" s="339"/>
      <c r="V874" s="339"/>
      <c r="W874" s="339"/>
      <c r="X874" s="339"/>
      <c r="Y874" s="339"/>
      <c r="Z874" s="339"/>
    </row>
    <row r="875" spans="1:26" ht="15.75" customHeight="1">
      <c r="A875" s="339"/>
      <c r="B875" s="339"/>
      <c r="C875" s="339"/>
      <c r="D875" s="339"/>
      <c r="E875" s="339"/>
      <c r="F875" s="339"/>
      <c r="G875" s="339"/>
      <c r="H875" s="339"/>
      <c r="I875" s="341"/>
      <c r="J875" s="339"/>
      <c r="K875" s="341"/>
      <c r="L875" s="341"/>
      <c r="M875" s="341"/>
      <c r="N875" s="341"/>
      <c r="O875" s="341"/>
      <c r="P875" s="339"/>
      <c r="Q875" s="339"/>
      <c r="R875" s="339"/>
      <c r="S875" s="339"/>
      <c r="T875" s="339"/>
      <c r="U875" s="339"/>
      <c r="V875" s="339"/>
      <c r="W875" s="339"/>
      <c r="X875" s="339"/>
      <c r="Y875" s="339"/>
      <c r="Z875" s="339"/>
    </row>
    <row r="876" spans="1:26" ht="15.75" customHeight="1">
      <c r="A876" s="339"/>
      <c r="B876" s="339"/>
      <c r="C876" s="339"/>
      <c r="D876" s="339"/>
      <c r="E876" s="339"/>
      <c r="F876" s="339"/>
      <c r="G876" s="339"/>
      <c r="H876" s="339"/>
      <c r="I876" s="341"/>
      <c r="J876" s="339"/>
      <c r="K876" s="341"/>
      <c r="L876" s="341"/>
      <c r="M876" s="341"/>
      <c r="N876" s="341"/>
      <c r="O876" s="341"/>
      <c r="P876" s="339"/>
      <c r="Q876" s="339"/>
      <c r="R876" s="339"/>
      <c r="S876" s="339"/>
      <c r="T876" s="339"/>
      <c r="U876" s="339"/>
      <c r="V876" s="339"/>
      <c r="W876" s="339"/>
      <c r="X876" s="339"/>
      <c r="Y876" s="339"/>
      <c r="Z876" s="339"/>
    </row>
    <row r="877" spans="1:26" ht="15.75" customHeight="1">
      <c r="A877" s="339"/>
      <c r="B877" s="339"/>
      <c r="C877" s="339"/>
      <c r="D877" s="339"/>
      <c r="E877" s="339"/>
      <c r="F877" s="339"/>
      <c r="G877" s="339"/>
      <c r="H877" s="339"/>
      <c r="I877" s="341"/>
      <c r="J877" s="339"/>
      <c r="K877" s="341"/>
      <c r="L877" s="341"/>
      <c r="M877" s="341"/>
      <c r="N877" s="341"/>
      <c r="O877" s="341"/>
      <c r="P877" s="339"/>
      <c r="Q877" s="339"/>
      <c r="R877" s="339"/>
      <c r="S877" s="339"/>
      <c r="T877" s="339"/>
      <c r="U877" s="339"/>
      <c r="V877" s="339"/>
      <c r="W877" s="339"/>
      <c r="X877" s="339"/>
      <c r="Y877" s="339"/>
      <c r="Z877" s="339"/>
    </row>
    <row r="878" spans="1:26" ht="15.75" customHeight="1">
      <c r="A878" s="339"/>
      <c r="B878" s="339"/>
      <c r="C878" s="339"/>
      <c r="D878" s="339"/>
      <c r="E878" s="339"/>
      <c r="F878" s="339"/>
      <c r="G878" s="339"/>
      <c r="H878" s="339"/>
      <c r="I878" s="341"/>
      <c r="J878" s="339"/>
      <c r="K878" s="341"/>
      <c r="L878" s="341"/>
      <c r="M878" s="341"/>
      <c r="N878" s="341"/>
      <c r="O878" s="341"/>
      <c r="P878" s="339"/>
      <c r="Q878" s="339"/>
      <c r="R878" s="339"/>
      <c r="S878" s="339"/>
      <c r="T878" s="339"/>
      <c r="U878" s="339"/>
      <c r="V878" s="339"/>
      <c r="W878" s="339"/>
      <c r="X878" s="339"/>
      <c r="Y878" s="339"/>
      <c r="Z878" s="339"/>
    </row>
    <row r="879" spans="1:26" ht="15.75" customHeight="1">
      <c r="A879" s="339"/>
      <c r="B879" s="339"/>
      <c r="C879" s="339"/>
      <c r="D879" s="339"/>
      <c r="E879" s="339"/>
      <c r="F879" s="339"/>
      <c r="G879" s="339"/>
      <c r="H879" s="339"/>
      <c r="I879" s="341"/>
      <c r="J879" s="339"/>
      <c r="K879" s="341"/>
      <c r="L879" s="341"/>
      <c r="M879" s="341"/>
      <c r="N879" s="341"/>
      <c r="O879" s="341"/>
      <c r="P879" s="339"/>
      <c r="Q879" s="339"/>
      <c r="R879" s="339"/>
      <c r="S879" s="339"/>
      <c r="T879" s="339"/>
      <c r="U879" s="339"/>
      <c r="V879" s="339"/>
      <c r="W879" s="339"/>
      <c r="X879" s="339"/>
      <c r="Y879" s="339"/>
      <c r="Z879" s="339"/>
    </row>
    <row r="880" spans="1:26" ht="15.75" customHeight="1">
      <c r="A880" s="339"/>
      <c r="B880" s="339"/>
      <c r="C880" s="339"/>
      <c r="D880" s="339"/>
      <c r="E880" s="339"/>
      <c r="F880" s="339"/>
      <c r="G880" s="339"/>
      <c r="H880" s="339"/>
      <c r="I880" s="341"/>
      <c r="J880" s="339"/>
      <c r="K880" s="341"/>
      <c r="L880" s="341"/>
      <c r="M880" s="341"/>
      <c r="N880" s="341"/>
      <c r="O880" s="341"/>
      <c r="P880" s="339"/>
      <c r="Q880" s="339"/>
      <c r="R880" s="339"/>
      <c r="S880" s="339"/>
      <c r="T880" s="339"/>
      <c r="U880" s="339"/>
      <c r="V880" s="339"/>
      <c r="W880" s="339"/>
      <c r="X880" s="339"/>
      <c r="Y880" s="339"/>
      <c r="Z880" s="339"/>
    </row>
    <row r="881" spans="1:26" ht="15.75" customHeight="1">
      <c r="A881" s="339"/>
      <c r="B881" s="339"/>
      <c r="C881" s="339"/>
      <c r="D881" s="339"/>
      <c r="E881" s="339"/>
      <c r="F881" s="339"/>
      <c r="G881" s="339"/>
      <c r="H881" s="339"/>
      <c r="I881" s="341"/>
      <c r="J881" s="339"/>
      <c r="K881" s="341"/>
      <c r="L881" s="341"/>
      <c r="M881" s="341"/>
      <c r="N881" s="341"/>
      <c r="O881" s="341"/>
      <c r="P881" s="339"/>
      <c r="Q881" s="339"/>
      <c r="R881" s="339"/>
      <c r="S881" s="339"/>
      <c r="T881" s="339"/>
      <c r="U881" s="339"/>
      <c r="V881" s="339"/>
      <c r="W881" s="339"/>
      <c r="X881" s="339"/>
      <c r="Y881" s="339"/>
      <c r="Z881" s="339"/>
    </row>
    <row r="882" spans="1:26" ht="15.75" customHeight="1">
      <c r="A882" s="339"/>
      <c r="B882" s="339"/>
      <c r="C882" s="339"/>
      <c r="D882" s="339"/>
      <c r="E882" s="339"/>
      <c r="F882" s="339"/>
      <c r="G882" s="339"/>
      <c r="H882" s="339"/>
      <c r="I882" s="341"/>
      <c r="J882" s="339"/>
      <c r="K882" s="341"/>
      <c r="L882" s="341"/>
      <c r="M882" s="341"/>
      <c r="N882" s="341"/>
      <c r="O882" s="341"/>
      <c r="P882" s="339"/>
      <c r="Q882" s="339"/>
      <c r="R882" s="339"/>
      <c r="S882" s="339"/>
      <c r="T882" s="339"/>
      <c r="U882" s="339"/>
      <c r="V882" s="339"/>
      <c r="W882" s="339"/>
      <c r="X882" s="339"/>
      <c r="Y882" s="339"/>
      <c r="Z882" s="339"/>
    </row>
    <row r="883" spans="1:26" ht="15.75" customHeight="1">
      <c r="A883" s="339"/>
      <c r="B883" s="339"/>
      <c r="C883" s="339"/>
      <c r="D883" s="339"/>
      <c r="E883" s="339"/>
      <c r="F883" s="339"/>
      <c r="G883" s="339"/>
      <c r="H883" s="339"/>
      <c r="I883" s="341"/>
      <c r="J883" s="339"/>
      <c r="K883" s="341"/>
      <c r="L883" s="341"/>
      <c r="M883" s="341"/>
      <c r="N883" s="341"/>
      <c r="O883" s="341"/>
      <c r="P883" s="339"/>
      <c r="Q883" s="339"/>
      <c r="R883" s="339"/>
      <c r="S883" s="339"/>
      <c r="T883" s="339"/>
      <c r="U883" s="339"/>
      <c r="V883" s="339"/>
      <c r="W883" s="339"/>
      <c r="X883" s="339"/>
      <c r="Y883" s="339"/>
      <c r="Z883" s="339"/>
    </row>
    <row r="884" spans="1:26" ht="15.75" customHeight="1">
      <c r="A884" s="339"/>
      <c r="B884" s="339"/>
      <c r="C884" s="339"/>
      <c r="D884" s="339"/>
      <c r="E884" s="339"/>
      <c r="F884" s="339"/>
      <c r="G884" s="339"/>
      <c r="H884" s="339"/>
      <c r="I884" s="341"/>
      <c r="J884" s="339"/>
      <c r="K884" s="341"/>
      <c r="L884" s="341"/>
      <c r="M884" s="341"/>
      <c r="N884" s="341"/>
      <c r="O884" s="341"/>
      <c r="P884" s="339"/>
      <c r="Q884" s="339"/>
      <c r="R884" s="339"/>
      <c r="S884" s="339"/>
      <c r="T884" s="339"/>
      <c r="U884" s="339"/>
      <c r="V884" s="339"/>
      <c r="W884" s="339"/>
      <c r="X884" s="339"/>
      <c r="Y884" s="339"/>
      <c r="Z884" s="339"/>
    </row>
    <row r="885" spans="1:26" ht="15.75" customHeight="1">
      <c r="A885" s="339"/>
      <c r="B885" s="339"/>
      <c r="C885" s="339"/>
      <c r="D885" s="339"/>
      <c r="E885" s="339"/>
      <c r="F885" s="339"/>
      <c r="G885" s="339"/>
      <c r="H885" s="339"/>
      <c r="I885" s="341"/>
      <c r="J885" s="339"/>
      <c r="K885" s="341"/>
      <c r="L885" s="341"/>
      <c r="M885" s="341"/>
      <c r="N885" s="341"/>
      <c r="O885" s="341"/>
      <c r="P885" s="339"/>
      <c r="Q885" s="339"/>
      <c r="R885" s="339"/>
      <c r="S885" s="339"/>
      <c r="T885" s="339"/>
      <c r="U885" s="339"/>
      <c r="V885" s="339"/>
      <c r="W885" s="339"/>
      <c r="X885" s="339"/>
      <c r="Y885" s="339"/>
      <c r="Z885" s="339"/>
    </row>
    <row r="886" spans="1:26" ht="15.75" customHeight="1">
      <c r="A886" s="339"/>
      <c r="B886" s="339"/>
      <c r="C886" s="339"/>
      <c r="D886" s="339"/>
      <c r="E886" s="339"/>
      <c r="F886" s="339"/>
      <c r="G886" s="339"/>
      <c r="H886" s="339"/>
      <c r="I886" s="341"/>
      <c r="J886" s="339"/>
      <c r="K886" s="341"/>
      <c r="L886" s="341"/>
      <c r="M886" s="341"/>
      <c r="N886" s="341"/>
      <c r="O886" s="341"/>
      <c r="P886" s="339"/>
      <c r="Q886" s="339"/>
      <c r="R886" s="339"/>
      <c r="S886" s="339"/>
      <c r="T886" s="339"/>
      <c r="U886" s="339"/>
      <c r="V886" s="339"/>
      <c r="W886" s="339"/>
      <c r="X886" s="339"/>
      <c r="Y886" s="339"/>
      <c r="Z886" s="339"/>
    </row>
    <row r="887" spans="1:26" ht="15.75" customHeight="1">
      <c r="A887" s="339"/>
      <c r="B887" s="339"/>
      <c r="C887" s="339"/>
      <c r="D887" s="339"/>
      <c r="E887" s="339"/>
      <c r="F887" s="339"/>
      <c r="G887" s="339"/>
      <c r="H887" s="339"/>
      <c r="I887" s="341"/>
      <c r="J887" s="339"/>
      <c r="K887" s="341"/>
      <c r="L887" s="341"/>
      <c r="M887" s="341"/>
      <c r="N887" s="341"/>
      <c r="O887" s="341"/>
      <c r="P887" s="339"/>
      <c r="Q887" s="339"/>
      <c r="R887" s="339"/>
      <c r="S887" s="339"/>
      <c r="T887" s="339"/>
      <c r="U887" s="339"/>
      <c r="V887" s="339"/>
      <c r="W887" s="339"/>
      <c r="X887" s="339"/>
      <c r="Y887" s="339"/>
      <c r="Z887" s="339"/>
    </row>
    <row r="888" spans="1:26" ht="15.75" customHeight="1">
      <c r="A888" s="339"/>
      <c r="B888" s="339"/>
      <c r="C888" s="339"/>
      <c r="D888" s="339"/>
      <c r="E888" s="339"/>
      <c r="F888" s="339"/>
      <c r="G888" s="339"/>
      <c r="H888" s="339"/>
      <c r="I888" s="341"/>
      <c r="J888" s="339"/>
      <c r="K888" s="341"/>
      <c r="L888" s="341"/>
      <c r="M888" s="341"/>
      <c r="N888" s="341"/>
      <c r="O888" s="341"/>
      <c r="P888" s="339"/>
      <c r="Q888" s="339"/>
      <c r="R888" s="339"/>
      <c r="S888" s="339"/>
      <c r="T888" s="339"/>
      <c r="U888" s="339"/>
      <c r="V888" s="339"/>
      <c r="W888" s="339"/>
      <c r="X888" s="339"/>
      <c r="Y888" s="339"/>
      <c r="Z888" s="339"/>
    </row>
    <row r="889" spans="1:26" ht="15.75" customHeight="1">
      <c r="A889" s="339"/>
      <c r="B889" s="339"/>
      <c r="C889" s="339"/>
      <c r="D889" s="339"/>
      <c r="E889" s="339"/>
      <c r="F889" s="339"/>
      <c r="G889" s="339"/>
      <c r="H889" s="339"/>
      <c r="I889" s="341"/>
      <c r="J889" s="339"/>
      <c r="K889" s="341"/>
      <c r="L889" s="341"/>
      <c r="M889" s="341"/>
      <c r="N889" s="341"/>
      <c r="O889" s="341"/>
      <c r="P889" s="339"/>
      <c r="Q889" s="339"/>
      <c r="R889" s="339"/>
      <c r="S889" s="339"/>
      <c r="T889" s="339"/>
      <c r="U889" s="339"/>
      <c r="V889" s="339"/>
      <c r="W889" s="339"/>
      <c r="X889" s="339"/>
      <c r="Y889" s="339"/>
      <c r="Z889" s="339"/>
    </row>
    <row r="890" spans="1:26" ht="15.75" customHeight="1">
      <c r="A890" s="339"/>
      <c r="B890" s="339"/>
      <c r="C890" s="339"/>
      <c r="D890" s="339"/>
      <c r="E890" s="339"/>
      <c r="F890" s="339"/>
      <c r="G890" s="339"/>
      <c r="H890" s="339"/>
      <c r="I890" s="341"/>
      <c r="J890" s="339"/>
      <c r="K890" s="341"/>
      <c r="L890" s="341"/>
      <c r="M890" s="341"/>
      <c r="N890" s="341"/>
      <c r="O890" s="341"/>
      <c r="P890" s="339"/>
      <c r="Q890" s="339"/>
      <c r="R890" s="339"/>
      <c r="S890" s="339"/>
      <c r="T890" s="339"/>
      <c r="U890" s="339"/>
      <c r="V890" s="339"/>
      <c r="W890" s="339"/>
      <c r="X890" s="339"/>
      <c r="Y890" s="339"/>
      <c r="Z890" s="339"/>
    </row>
    <row r="891" spans="1:26" ht="15.75" customHeight="1">
      <c r="A891" s="339"/>
      <c r="B891" s="339"/>
      <c r="C891" s="339"/>
      <c r="D891" s="339"/>
      <c r="E891" s="339"/>
      <c r="F891" s="339"/>
      <c r="G891" s="339"/>
      <c r="H891" s="339"/>
      <c r="I891" s="341"/>
      <c r="J891" s="339"/>
      <c r="K891" s="341"/>
      <c r="L891" s="341"/>
      <c r="M891" s="341"/>
      <c r="N891" s="341"/>
      <c r="O891" s="341"/>
      <c r="P891" s="339"/>
      <c r="Q891" s="339"/>
      <c r="R891" s="339"/>
      <c r="S891" s="339"/>
      <c r="T891" s="339"/>
      <c r="U891" s="339"/>
      <c r="V891" s="339"/>
      <c r="W891" s="339"/>
      <c r="X891" s="339"/>
      <c r="Y891" s="339"/>
      <c r="Z891" s="339"/>
    </row>
    <row r="892" spans="1:26" ht="15.75" customHeight="1">
      <c r="A892" s="339"/>
      <c r="B892" s="339"/>
      <c r="C892" s="339"/>
      <c r="D892" s="339"/>
      <c r="E892" s="339"/>
      <c r="F892" s="339"/>
      <c r="G892" s="339"/>
      <c r="H892" s="339"/>
      <c r="I892" s="341"/>
      <c r="J892" s="339"/>
      <c r="K892" s="341"/>
      <c r="L892" s="341"/>
      <c r="M892" s="341"/>
      <c r="N892" s="341"/>
      <c r="O892" s="341"/>
      <c r="P892" s="339"/>
      <c r="Q892" s="339"/>
      <c r="R892" s="339"/>
      <c r="S892" s="339"/>
      <c r="T892" s="339"/>
      <c r="U892" s="339"/>
      <c r="V892" s="339"/>
      <c r="W892" s="339"/>
      <c r="X892" s="339"/>
      <c r="Y892" s="339"/>
      <c r="Z892" s="339"/>
    </row>
    <row r="893" spans="1:26" ht="15.75" customHeight="1">
      <c r="A893" s="339"/>
      <c r="B893" s="339"/>
      <c r="C893" s="339"/>
      <c r="D893" s="339"/>
      <c r="E893" s="339"/>
      <c r="F893" s="339"/>
      <c r="G893" s="339"/>
      <c r="H893" s="339"/>
      <c r="I893" s="341"/>
      <c r="J893" s="339"/>
      <c r="K893" s="341"/>
      <c r="L893" s="341"/>
      <c r="M893" s="341"/>
      <c r="N893" s="341"/>
      <c r="O893" s="341"/>
      <c r="P893" s="339"/>
      <c r="Q893" s="339"/>
      <c r="R893" s="339"/>
      <c r="S893" s="339"/>
      <c r="T893" s="339"/>
      <c r="U893" s="339"/>
      <c r="V893" s="339"/>
      <c r="W893" s="339"/>
      <c r="X893" s="339"/>
      <c r="Y893" s="339"/>
      <c r="Z893" s="339"/>
    </row>
    <row r="894" spans="1:26" ht="15.75" customHeight="1">
      <c r="A894" s="339"/>
      <c r="B894" s="339"/>
      <c r="C894" s="339"/>
      <c r="D894" s="339"/>
      <c r="E894" s="339"/>
      <c r="F894" s="339"/>
      <c r="G894" s="339"/>
      <c r="H894" s="339"/>
      <c r="I894" s="341"/>
      <c r="J894" s="339"/>
      <c r="K894" s="341"/>
      <c r="L894" s="341"/>
      <c r="M894" s="341"/>
      <c r="N894" s="341"/>
      <c r="O894" s="341"/>
      <c r="P894" s="339"/>
      <c r="Q894" s="339"/>
      <c r="R894" s="339"/>
      <c r="S894" s="339"/>
      <c r="T894" s="339"/>
      <c r="U894" s="339"/>
      <c r="V894" s="339"/>
      <c r="W894" s="339"/>
      <c r="X894" s="339"/>
      <c r="Y894" s="339"/>
      <c r="Z894" s="339"/>
    </row>
    <row r="895" spans="1:26" ht="15.75" customHeight="1">
      <c r="A895" s="339"/>
      <c r="B895" s="339"/>
      <c r="C895" s="339"/>
      <c r="D895" s="339"/>
      <c r="E895" s="339"/>
      <c r="F895" s="339"/>
      <c r="G895" s="339"/>
      <c r="H895" s="339"/>
      <c r="I895" s="341"/>
      <c r="J895" s="339"/>
      <c r="K895" s="341"/>
      <c r="L895" s="341"/>
      <c r="M895" s="341"/>
      <c r="N895" s="341"/>
      <c r="O895" s="341"/>
      <c r="P895" s="339"/>
      <c r="Q895" s="339"/>
      <c r="R895" s="339"/>
      <c r="S895" s="339"/>
      <c r="T895" s="339"/>
      <c r="U895" s="339"/>
      <c r="V895" s="339"/>
      <c r="W895" s="339"/>
      <c r="X895" s="339"/>
      <c r="Y895" s="339"/>
      <c r="Z895" s="339"/>
    </row>
    <row r="896" spans="1:26" ht="15.75" customHeight="1">
      <c r="A896" s="339"/>
      <c r="B896" s="339"/>
      <c r="C896" s="339"/>
      <c r="D896" s="339"/>
      <c r="E896" s="339"/>
      <c r="F896" s="339"/>
      <c r="G896" s="339"/>
      <c r="H896" s="339"/>
      <c r="I896" s="341"/>
      <c r="J896" s="339"/>
      <c r="K896" s="341"/>
      <c r="L896" s="341"/>
      <c r="M896" s="341"/>
      <c r="N896" s="341"/>
      <c r="O896" s="341"/>
      <c r="P896" s="339"/>
      <c r="Q896" s="339"/>
      <c r="R896" s="339"/>
      <c r="S896" s="339"/>
      <c r="T896" s="339"/>
      <c r="U896" s="339"/>
      <c r="V896" s="339"/>
      <c r="W896" s="339"/>
      <c r="X896" s="339"/>
      <c r="Y896" s="339"/>
      <c r="Z896" s="339"/>
    </row>
    <row r="897" spans="1:26" ht="15.75" customHeight="1">
      <c r="A897" s="339"/>
      <c r="B897" s="339"/>
      <c r="C897" s="339"/>
      <c r="D897" s="339"/>
      <c r="E897" s="339"/>
      <c r="F897" s="339"/>
      <c r="G897" s="339"/>
      <c r="H897" s="339"/>
      <c r="I897" s="341"/>
      <c r="J897" s="339"/>
      <c r="K897" s="341"/>
      <c r="L897" s="341"/>
      <c r="M897" s="341"/>
      <c r="N897" s="341"/>
      <c r="O897" s="341"/>
      <c r="P897" s="339"/>
      <c r="Q897" s="339"/>
      <c r="R897" s="339"/>
      <c r="S897" s="339"/>
      <c r="T897" s="339"/>
      <c r="U897" s="339"/>
      <c r="V897" s="339"/>
      <c r="W897" s="339"/>
      <c r="X897" s="339"/>
      <c r="Y897" s="339"/>
      <c r="Z897" s="339"/>
    </row>
    <row r="898" spans="1:26" ht="15.75" customHeight="1">
      <c r="A898" s="339"/>
      <c r="B898" s="339"/>
      <c r="C898" s="339"/>
      <c r="D898" s="339"/>
      <c r="E898" s="339"/>
      <c r="F898" s="339"/>
      <c r="G898" s="339"/>
      <c r="H898" s="339"/>
      <c r="I898" s="341"/>
      <c r="J898" s="339"/>
      <c r="K898" s="341"/>
      <c r="L898" s="341"/>
      <c r="M898" s="341"/>
      <c r="N898" s="341"/>
      <c r="O898" s="341"/>
      <c r="P898" s="339"/>
      <c r="Q898" s="339"/>
      <c r="R898" s="339"/>
      <c r="S898" s="339"/>
      <c r="T898" s="339"/>
      <c r="U898" s="339"/>
      <c r="V898" s="339"/>
      <c r="W898" s="339"/>
      <c r="X898" s="339"/>
      <c r="Y898" s="339"/>
      <c r="Z898" s="339"/>
    </row>
    <row r="899" spans="1:26" ht="15.75" customHeight="1">
      <c r="A899" s="339"/>
      <c r="B899" s="339"/>
      <c r="C899" s="339"/>
      <c r="D899" s="339"/>
      <c r="E899" s="339"/>
      <c r="F899" s="339"/>
      <c r="G899" s="339"/>
      <c r="H899" s="339"/>
      <c r="I899" s="341"/>
      <c r="J899" s="339"/>
      <c r="K899" s="341"/>
      <c r="L899" s="341"/>
      <c r="M899" s="341"/>
      <c r="N899" s="341"/>
      <c r="O899" s="341"/>
      <c r="P899" s="339"/>
      <c r="Q899" s="339"/>
      <c r="R899" s="339"/>
      <c r="S899" s="339"/>
      <c r="T899" s="339"/>
      <c r="U899" s="339"/>
      <c r="V899" s="339"/>
      <c r="W899" s="339"/>
      <c r="X899" s="339"/>
      <c r="Y899" s="339"/>
      <c r="Z899" s="339"/>
    </row>
    <row r="900" spans="1:26" ht="15.75" customHeight="1">
      <c r="A900" s="339"/>
      <c r="B900" s="339"/>
      <c r="C900" s="339"/>
      <c r="D900" s="339"/>
      <c r="E900" s="339"/>
      <c r="F900" s="339"/>
      <c r="G900" s="339"/>
      <c r="H900" s="339"/>
      <c r="I900" s="341"/>
      <c r="J900" s="339"/>
      <c r="K900" s="341"/>
      <c r="L900" s="341"/>
      <c r="M900" s="341"/>
      <c r="N900" s="341"/>
      <c r="O900" s="341"/>
      <c r="P900" s="339"/>
      <c r="Q900" s="339"/>
      <c r="R900" s="339"/>
      <c r="S900" s="339"/>
      <c r="T900" s="339"/>
      <c r="U900" s="339"/>
      <c r="V900" s="339"/>
      <c r="W900" s="339"/>
      <c r="X900" s="339"/>
      <c r="Y900" s="339"/>
      <c r="Z900" s="339"/>
    </row>
    <row r="901" spans="1:26" ht="15.75" customHeight="1">
      <c r="A901" s="339"/>
      <c r="B901" s="339"/>
      <c r="C901" s="339"/>
      <c r="D901" s="339"/>
      <c r="E901" s="339"/>
      <c r="F901" s="339"/>
      <c r="G901" s="339"/>
      <c r="H901" s="339"/>
      <c r="I901" s="341"/>
      <c r="J901" s="339"/>
      <c r="K901" s="341"/>
      <c r="L901" s="341"/>
      <c r="M901" s="341"/>
      <c r="N901" s="341"/>
      <c r="O901" s="341"/>
      <c r="P901" s="339"/>
      <c r="Q901" s="339"/>
      <c r="R901" s="339"/>
      <c r="S901" s="339"/>
      <c r="T901" s="339"/>
      <c r="U901" s="339"/>
      <c r="V901" s="339"/>
      <c r="W901" s="339"/>
      <c r="X901" s="339"/>
      <c r="Y901" s="339"/>
      <c r="Z901" s="339"/>
    </row>
    <row r="902" spans="1:26" ht="15.75" customHeight="1">
      <c r="A902" s="339"/>
      <c r="B902" s="339"/>
      <c r="C902" s="339"/>
      <c r="D902" s="339"/>
      <c r="E902" s="339"/>
      <c r="F902" s="339"/>
      <c r="G902" s="339"/>
      <c r="H902" s="339"/>
      <c r="I902" s="341"/>
      <c r="J902" s="339"/>
      <c r="K902" s="341"/>
      <c r="L902" s="341"/>
      <c r="M902" s="341"/>
      <c r="N902" s="341"/>
      <c r="O902" s="341"/>
      <c r="P902" s="339"/>
      <c r="Q902" s="339"/>
      <c r="R902" s="339"/>
      <c r="S902" s="339"/>
      <c r="T902" s="339"/>
      <c r="U902" s="339"/>
      <c r="V902" s="339"/>
      <c r="W902" s="339"/>
      <c r="X902" s="339"/>
      <c r="Y902" s="339"/>
      <c r="Z902" s="339"/>
    </row>
    <row r="903" spans="1:26" ht="15.75" customHeight="1">
      <c r="A903" s="339"/>
      <c r="B903" s="339"/>
      <c r="C903" s="339"/>
      <c r="D903" s="339"/>
      <c r="E903" s="339"/>
      <c r="F903" s="339"/>
      <c r="G903" s="339"/>
      <c r="H903" s="339"/>
      <c r="I903" s="341"/>
      <c r="J903" s="339"/>
      <c r="K903" s="341"/>
      <c r="L903" s="341"/>
      <c r="M903" s="341"/>
      <c r="N903" s="341"/>
      <c r="O903" s="341"/>
      <c r="P903" s="339"/>
      <c r="Q903" s="339"/>
      <c r="R903" s="339"/>
      <c r="S903" s="339"/>
      <c r="T903" s="339"/>
      <c r="U903" s="339"/>
      <c r="V903" s="339"/>
      <c r="W903" s="339"/>
      <c r="X903" s="339"/>
      <c r="Y903" s="339"/>
      <c r="Z903" s="339"/>
    </row>
    <row r="904" spans="1:26" ht="15.75" customHeight="1">
      <c r="A904" s="339"/>
      <c r="B904" s="339"/>
      <c r="C904" s="339"/>
      <c r="D904" s="339"/>
      <c r="E904" s="339"/>
      <c r="F904" s="339"/>
      <c r="G904" s="339"/>
      <c r="H904" s="339"/>
      <c r="I904" s="341"/>
      <c r="J904" s="339"/>
      <c r="K904" s="341"/>
      <c r="L904" s="341"/>
      <c r="M904" s="341"/>
      <c r="N904" s="341"/>
      <c r="O904" s="341"/>
      <c r="P904" s="339"/>
      <c r="Q904" s="339"/>
      <c r="R904" s="339"/>
      <c r="S904" s="339"/>
      <c r="T904" s="339"/>
      <c r="U904" s="339"/>
      <c r="V904" s="339"/>
      <c r="W904" s="339"/>
      <c r="X904" s="339"/>
      <c r="Y904" s="339"/>
      <c r="Z904" s="339"/>
    </row>
    <row r="905" spans="1:26" ht="15.75" customHeight="1">
      <c r="A905" s="339"/>
      <c r="B905" s="339"/>
      <c r="C905" s="339"/>
      <c r="D905" s="339"/>
      <c r="E905" s="339"/>
      <c r="F905" s="339"/>
      <c r="G905" s="339"/>
      <c r="H905" s="339"/>
      <c r="I905" s="341"/>
      <c r="J905" s="339"/>
      <c r="K905" s="341"/>
      <c r="L905" s="341"/>
      <c r="M905" s="341"/>
      <c r="N905" s="341"/>
      <c r="O905" s="341"/>
      <c r="P905" s="339"/>
      <c r="Q905" s="339"/>
      <c r="R905" s="339"/>
      <c r="S905" s="339"/>
      <c r="T905" s="339"/>
      <c r="U905" s="339"/>
      <c r="V905" s="339"/>
      <c r="W905" s="339"/>
      <c r="X905" s="339"/>
      <c r="Y905" s="339"/>
      <c r="Z905" s="339"/>
    </row>
    <row r="906" spans="1:26" ht="15.75" customHeight="1">
      <c r="A906" s="339"/>
      <c r="B906" s="339"/>
      <c r="C906" s="339"/>
      <c r="D906" s="339"/>
      <c r="E906" s="339"/>
      <c r="F906" s="339"/>
      <c r="G906" s="339"/>
      <c r="H906" s="339"/>
      <c r="I906" s="341"/>
      <c r="J906" s="339"/>
      <c r="K906" s="341"/>
      <c r="L906" s="341"/>
      <c r="M906" s="341"/>
      <c r="N906" s="341"/>
      <c r="O906" s="341"/>
      <c r="P906" s="339"/>
      <c r="Q906" s="339"/>
      <c r="R906" s="339"/>
      <c r="S906" s="339"/>
      <c r="T906" s="339"/>
      <c r="U906" s="339"/>
      <c r="V906" s="339"/>
      <c r="W906" s="339"/>
      <c r="X906" s="339"/>
      <c r="Y906" s="339"/>
      <c r="Z906" s="339"/>
    </row>
    <row r="907" spans="1:26" ht="15.75" customHeight="1">
      <c r="A907" s="339"/>
      <c r="B907" s="339"/>
      <c r="C907" s="339"/>
      <c r="D907" s="339"/>
      <c r="E907" s="339"/>
      <c r="F907" s="339"/>
      <c r="G907" s="339"/>
      <c r="H907" s="339"/>
      <c r="I907" s="341"/>
      <c r="J907" s="339"/>
      <c r="K907" s="341"/>
      <c r="L907" s="341"/>
      <c r="M907" s="341"/>
      <c r="N907" s="341"/>
      <c r="O907" s="341"/>
      <c r="P907" s="339"/>
      <c r="Q907" s="339"/>
      <c r="R907" s="339"/>
      <c r="S907" s="339"/>
      <c r="T907" s="339"/>
      <c r="U907" s="339"/>
      <c r="V907" s="339"/>
      <c r="W907" s="339"/>
      <c r="X907" s="339"/>
      <c r="Y907" s="339"/>
      <c r="Z907" s="339"/>
    </row>
    <row r="908" spans="1:26" ht="15.75" customHeight="1">
      <c r="A908" s="339"/>
      <c r="B908" s="339"/>
      <c r="C908" s="339"/>
      <c r="D908" s="339"/>
      <c r="E908" s="339"/>
      <c r="F908" s="339"/>
      <c r="G908" s="339"/>
      <c r="H908" s="339"/>
      <c r="I908" s="341"/>
      <c r="J908" s="339"/>
      <c r="K908" s="341"/>
      <c r="L908" s="341"/>
      <c r="M908" s="341"/>
      <c r="N908" s="341"/>
      <c r="O908" s="341"/>
      <c r="P908" s="339"/>
      <c r="Q908" s="339"/>
      <c r="R908" s="339"/>
      <c r="S908" s="339"/>
      <c r="T908" s="339"/>
      <c r="U908" s="339"/>
      <c r="V908" s="339"/>
      <c r="W908" s="339"/>
      <c r="X908" s="339"/>
      <c r="Y908" s="339"/>
      <c r="Z908" s="339"/>
    </row>
    <row r="909" spans="1:26" ht="15.75" customHeight="1">
      <c r="A909" s="339"/>
      <c r="B909" s="339"/>
      <c r="C909" s="339"/>
      <c r="D909" s="339"/>
      <c r="E909" s="339"/>
      <c r="F909" s="339"/>
      <c r="G909" s="339"/>
      <c r="H909" s="339"/>
      <c r="I909" s="341"/>
      <c r="J909" s="339"/>
      <c r="K909" s="341"/>
      <c r="L909" s="341"/>
      <c r="M909" s="341"/>
      <c r="N909" s="341"/>
      <c r="O909" s="341"/>
      <c r="P909" s="339"/>
      <c r="Q909" s="339"/>
      <c r="R909" s="339"/>
      <c r="S909" s="339"/>
      <c r="T909" s="339"/>
      <c r="U909" s="339"/>
      <c r="V909" s="339"/>
      <c r="W909" s="339"/>
      <c r="X909" s="339"/>
      <c r="Y909" s="339"/>
      <c r="Z909" s="339"/>
    </row>
    <row r="910" spans="1:26" ht="15.75" customHeight="1">
      <c r="A910" s="339"/>
      <c r="B910" s="339"/>
      <c r="C910" s="339"/>
      <c r="D910" s="339"/>
      <c r="E910" s="339"/>
      <c r="F910" s="339"/>
      <c r="G910" s="339"/>
      <c r="H910" s="339"/>
      <c r="I910" s="341"/>
      <c r="J910" s="339"/>
      <c r="K910" s="341"/>
      <c r="L910" s="341"/>
      <c r="M910" s="341"/>
      <c r="N910" s="341"/>
      <c r="O910" s="341"/>
      <c r="P910" s="339"/>
      <c r="Q910" s="339"/>
      <c r="R910" s="339"/>
      <c r="S910" s="339"/>
      <c r="T910" s="339"/>
      <c r="U910" s="339"/>
      <c r="V910" s="339"/>
      <c r="W910" s="339"/>
      <c r="X910" s="339"/>
      <c r="Y910" s="339"/>
      <c r="Z910" s="339"/>
    </row>
    <row r="911" spans="1:26" ht="15.75" customHeight="1">
      <c r="A911" s="339"/>
      <c r="B911" s="339"/>
      <c r="C911" s="339"/>
      <c r="D911" s="339"/>
      <c r="E911" s="339"/>
      <c r="F911" s="339"/>
      <c r="G911" s="339"/>
      <c r="H911" s="339"/>
      <c r="I911" s="341"/>
      <c r="J911" s="339"/>
      <c r="K911" s="341"/>
      <c r="L911" s="341"/>
      <c r="M911" s="341"/>
      <c r="N911" s="341"/>
      <c r="O911" s="341"/>
      <c r="P911" s="339"/>
      <c r="Q911" s="339"/>
      <c r="R911" s="339"/>
      <c r="S911" s="339"/>
      <c r="T911" s="339"/>
      <c r="U911" s="339"/>
      <c r="V911" s="339"/>
      <c r="W911" s="339"/>
      <c r="X911" s="339"/>
      <c r="Y911" s="339"/>
      <c r="Z911" s="339"/>
    </row>
    <row r="912" spans="1:26" ht="15.75" customHeight="1">
      <c r="A912" s="339"/>
      <c r="B912" s="339"/>
      <c r="C912" s="339"/>
      <c r="D912" s="339"/>
      <c r="E912" s="339"/>
      <c r="F912" s="339"/>
      <c r="G912" s="339"/>
      <c r="H912" s="339"/>
      <c r="I912" s="341"/>
      <c r="J912" s="339"/>
      <c r="K912" s="341"/>
      <c r="L912" s="341"/>
      <c r="M912" s="341"/>
      <c r="N912" s="341"/>
      <c r="O912" s="341"/>
      <c r="P912" s="339"/>
      <c r="Q912" s="339"/>
      <c r="R912" s="339"/>
      <c r="S912" s="339"/>
      <c r="T912" s="339"/>
      <c r="U912" s="339"/>
      <c r="V912" s="339"/>
      <c r="W912" s="339"/>
      <c r="X912" s="339"/>
      <c r="Y912" s="339"/>
      <c r="Z912" s="339"/>
    </row>
    <row r="913" spans="1:26" ht="15.75" customHeight="1">
      <c r="A913" s="339"/>
      <c r="B913" s="339"/>
      <c r="C913" s="339"/>
      <c r="D913" s="339"/>
      <c r="E913" s="339"/>
      <c r="F913" s="339"/>
      <c r="G913" s="339"/>
      <c r="H913" s="339"/>
      <c r="I913" s="341"/>
      <c r="J913" s="339"/>
      <c r="K913" s="341"/>
      <c r="L913" s="341"/>
      <c r="M913" s="341"/>
      <c r="N913" s="341"/>
      <c r="O913" s="341"/>
      <c r="P913" s="339"/>
      <c r="Q913" s="339"/>
      <c r="R913" s="339"/>
      <c r="S913" s="339"/>
      <c r="T913" s="339"/>
      <c r="U913" s="339"/>
      <c r="V913" s="339"/>
      <c r="W913" s="339"/>
      <c r="X913" s="339"/>
      <c r="Y913" s="339"/>
      <c r="Z913" s="339"/>
    </row>
    <row r="914" spans="1:26" ht="15.75" customHeight="1">
      <c r="A914" s="339"/>
      <c r="B914" s="339"/>
      <c r="C914" s="339"/>
      <c r="D914" s="339"/>
      <c r="E914" s="339"/>
      <c r="F914" s="339"/>
      <c r="G914" s="339"/>
      <c r="H914" s="339"/>
      <c r="I914" s="341"/>
      <c r="J914" s="339"/>
      <c r="K914" s="341"/>
      <c r="L914" s="341"/>
      <c r="M914" s="341"/>
      <c r="N914" s="341"/>
      <c r="O914" s="341"/>
      <c r="P914" s="339"/>
      <c r="Q914" s="339"/>
      <c r="R914" s="339"/>
      <c r="S914" s="339"/>
      <c r="T914" s="339"/>
      <c r="U914" s="339"/>
      <c r="V914" s="339"/>
      <c r="W914" s="339"/>
      <c r="X914" s="339"/>
      <c r="Y914" s="339"/>
      <c r="Z914" s="339"/>
    </row>
    <row r="915" spans="1:26" ht="15.75" customHeight="1">
      <c r="A915" s="339"/>
      <c r="B915" s="339"/>
      <c r="C915" s="339"/>
      <c r="D915" s="339"/>
      <c r="E915" s="339"/>
      <c r="F915" s="339"/>
      <c r="G915" s="339"/>
      <c r="H915" s="339"/>
      <c r="I915" s="341"/>
      <c r="J915" s="339"/>
      <c r="K915" s="341"/>
      <c r="L915" s="341"/>
      <c r="M915" s="341"/>
      <c r="N915" s="341"/>
      <c r="O915" s="341"/>
      <c r="P915" s="339"/>
      <c r="Q915" s="339"/>
      <c r="R915" s="339"/>
      <c r="S915" s="339"/>
      <c r="T915" s="339"/>
      <c r="U915" s="339"/>
      <c r="V915" s="339"/>
      <c r="W915" s="339"/>
      <c r="X915" s="339"/>
      <c r="Y915" s="339"/>
      <c r="Z915" s="339"/>
    </row>
    <row r="916" spans="1:26" ht="15.75" customHeight="1">
      <c r="A916" s="339"/>
      <c r="B916" s="339"/>
      <c r="C916" s="339"/>
      <c r="D916" s="339"/>
      <c r="E916" s="339"/>
      <c r="F916" s="339"/>
      <c r="G916" s="339"/>
      <c r="H916" s="339"/>
      <c r="I916" s="341"/>
      <c r="J916" s="339"/>
      <c r="K916" s="341"/>
      <c r="L916" s="341"/>
      <c r="M916" s="341"/>
      <c r="N916" s="341"/>
      <c r="O916" s="341"/>
      <c r="P916" s="339"/>
      <c r="Q916" s="339"/>
      <c r="R916" s="339"/>
      <c r="S916" s="339"/>
      <c r="T916" s="339"/>
      <c r="U916" s="339"/>
      <c r="V916" s="339"/>
      <c r="W916" s="339"/>
      <c r="X916" s="339"/>
      <c r="Y916" s="339"/>
      <c r="Z916" s="339"/>
    </row>
    <row r="917" spans="1:26" ht="15.75" customHeight="1">
      <c r="A917" s="339"/>
      <c r="B917" s="339"/>
      <c r="C917" s="339"/>
      <c r="D917" s="339"/>
      <c r="E917" s="339"/>
      <c r="F917" s="339"/>
      <c r="G917" s="339"/>
      <c r="H917" s="339"/>
      <c r="I917" s="341"/>
      <c r="J917" s="339"/>
      <c r="K917" s="341"/>
      <c r="L917" s="341"/>
      <c r="M917" s="341"/>
      <c r="N917" s="341"/>
      <c r="O917" s="341"/>
      <c r="P917" s="339"/>
      <c r="Q917" s="339"/>
      <c r="R917" s="339"/>
      <c r="S917" s="339"/>
      <c r="T917" s="339"/>
      <c r="U917" s="339"/>
      <c r="V917" s="339"/>
      <c r="W917" s="339"/>
      <c r="X917" s="339"/>
      <c r="Y917" s="339"/>
      <c r="Z917" s="339"/>
    </row>
    <row r="918" spans="1:26" ht="15.75" customHeight="1">
      <c r="A918" s="339"/>
      <c r="B918" s="339"/>
      <c r="C918" s="339"/>
      <c r="D918" s="339"/>
      <c r="E918" s="339"/>
      <c r="F918" s="339"/>
      <c r="G918" s="339"/>
      <c r="H918" s="339"/>
      <c r="I918" s="341"/>
      <c r="J918" s="339"/>
      <c r="K918" s="341"/>
      <c r="L918" s="341"/>
      <c r="M918" s="341"/>
      <c r="N918" s="341"/>
      <c r="O918" s="341"/>
      <c r="P918" s="339"/>
      <c r="Q918" s="339"/>
      <c r="R918" s="339"/>
      <c r="S918" s="339"/>
      <c r="T918" s="339"/>
      <c r="U918" s="339"/>
      <c r="V918" s="339"/>
      <c r="W918" s="339"/>
      <c r="X918" s="339"/>
      <c r="Y918" s="339"/>
      <c r="Z918" s="339"/>
    </row>
    <row r="919" spans="1:26" ht="15.75" customHeight="1">
      <c r="A919" s="339"/>
      <c r="B919" s="339"/>
      <c r="C919" s="339"/>
      <c r="D919" s="339"/>
      <c r="E919" s="339"/>
      <c r="F919" s="339"/>
      <c r="G919" s="339"/>
      <c r="H919" s="339"/>
      <c r="I919" s="341"/>
      <c r="J919" s="339"/>
      <c r="K919" s="341"/>
      <c r="L919" s="341"/>
      <c r="M919" s="341"/>
      <c r="N919" s="341"/>
      <c r="O919" s="341"/>
      <c r="P919" s="339"/>
      <c r="Q919" s="339"/>
      <c r="R919" s="339"/>
      <c r="S919" s="339"/>
      <c r="T919" s="339"/>
      <c r="U919" s="339"/>
      <c r="V919" s="339"/>
      <c r="W919" s="339"/>
      <c r="X919" s="339"/>
      <c r="Y919" s="339"/>
      <c r="Z919" s="339"/>
    </row>
    <row r="920" spans="1:26" ht="15.75" customHeight="1">
      <c r="A920" s="339"/>
      <c r="B920" s="339"/>
      <c r="C920" s="339"/>
      <c r="D920" s="339"/>
      <c r="E920" s="339"/>
      <c r="F920" s="339"/>
      <c r="G920" s="339"/>
      <c r="H920" s="339"/>
      <c r="I920" s="341"/>
      <c r="J920" s="339"/>
      <c r="K920" s="341"/>
      <c r="L920" s="341"/>
      <c r="M920" s="341"/>
      <c r="N920" s="341"/>
      <c r="O920" s="341"/>
      <c r="P920" s="339"/>
      <c r="Q920" s="339"/>
      <c r="R920" s="339"/>
      <c r="S920" s="339"/>
      <c r="T920" s="339"/>
      <c r="U920" s="339"/>
      <c r="V920" s="339"/>
      <c r="W920" s="339"/>
      <c r="X920" s="339"/>
      <c r="Y920" s="339"/>
      <c r="Z920" s="339"/>
    </row>
    <row r="921" spans="1:26" ht="15.75" customHeight="1">
      <c r="A921" s="339"/>
      <c r="B921" s="339"/>
      <c r="C921" s="339"/>
      <c r="D921" s="339"/>
      <c r="E921" s="339"/>
      <c r="F921" s="339"/>
      <c r="G921" s="339"/>
      <c r="H921" s="339"/>
      <c r="I921" s="341"/>
      <c r="J921" s="339"/>
      <c r="K921" s="341"/>
      <c r="L921" s="341"/>
      <c r="M921" s="341"/>
      <c r="N921" s="341"/>
      <c r="O921" s="341"/>
      <c r="P921" s="339"/>
      <c r="Q921" s="339"/>
      <c r="R921" s="339"/>
      <c r="S921" s="339"/>
      <c r="T921" s="339"/>
      <c r="U921" s="339"/>
      <c r="V921" s="339"/>
      <c r="W921" s="339"/>
      <c r="X921" s="339"/>
      <c r="Y921" s="339"/>
      <c r="Z921" s="339"/>
    </row>
    <row r="922" spans="1:26" ht="15.75" customHeight="1">
      <c r="A922" s="339"/>
      <c r="B922" s="339"/>
      <c r="C922" s="339"/>
      <c r="D922" s="339"/>
      <c r="E922" s="339"/>
      <c r="F922" s="339"/>
      <c r="G922" s="339"/>
      <c r="H922" s="339"/>
      <c r="I922" s="341"/>
      <c r="J922" s="339"/>
      <c r="K922" s="341"/>
      <c r="L922" s="341"/>
      <c r="M922" s="341"/>
      <c r="N922" s="341"/>
      <c r="O922" s="341"/>
      <c r="P922" s="339"/>
      <c r="Q922" s="339"/>
      <c r="R922" s="339"/>
      <c r="S922" s="339"/>
      <c r="T922" s="339"/>
      <c r="U922" s="339"/>
      <c r="V922" s="339"/>
      <c r="W922" s="339"/>
      <c r="X922" s="339"/>
      <c r="Y922" s="339"/>
      <c r="Z922" s="339"/>
    </row>
    <row r="923" spans="1:26" ht="15.75" customHeight="1">
      <c r="A923" s="339"/>
      <c r="B923" s="339"/>
      <c r="C923" s="339"/>
      <c r="D923" s="339"/>
      <c r="E923" s="339"/>
      <c r="F923" s="339"/>
      <c r="G923" s="339"/>
      <c r="H923" s="339"/>
      <c r="I923" s="341"/>
      <c r="J923" s="339"/>
      <c r="K923" s="341"/>
      <c r="L923" s="341"/>
      <c r="M923" s="341"/>
      <c r="N923" s="341"/>
      <c r="O923" s="341"/>
      <c r="P923" s="339"/>
      <c r="Q923" s="339"/>
      <c r="R923" s="339"/>
      <c r="S923" s="339"/>
      <c r="T923" s="339"/>
      <c r="U923" s="339"/>
      <c r="V923" s="339"/>
      <c r="W923" s="339"/>
      <c r="X923" s="339"/>
      <c r="Y923" s="339"/>
      <c r="Z923" s="339"/>
    </row>
    <row r="924" spans="1:26" ht="15.75" customHeight="1">
      <c r="A924" s="339"/>
      <c r="B924" s="339"/>
      <c r="C924" s="339"/>
      <c r="D924" s="339"/>
      <c r="E924" s="339"/>
      <c r="F924" s="339"/>
      <c r="G924" s="339"/>
      <c r="H924" s="339"/>
      <c r="I924" s="341"/>
      <c r="J924" s="339"/>
      <c r="K924" s="341"/>
      <c r="L924" s="341"/>
      <c r="M924" s="341"/>
      <c r="N924" s="341"/>
      <c r="O924" s="341"/>
      <c r="P924" s="339"/>
      <c r="Q924" s="339"/>
      <c r="R924" s="339"/>
      <c r="S924" s="339"/>
      <c r="T924" s="339"/>
      <c r="U924" s="339"/>
      <c r="V924" s="339"/>
      <c r="W924" s="339"/>
      <c r="X924" s="339"/>
      <c r="Y924" s="339"/>
      <c r="Z924" s="339"/>
    </row>
    <row r="925" spans="1:26" ht="15.75" customHeight="1">
      <c r="A925" s="339"/>
      <c r="B925" s="339"/>
      <c r="C925" s="339"/>
      <c r="D925" s="339"/>
      <c r="E925" s="339"/>
      <c r="F925" s="339"/>
      <c r="G925" s="339"/>
      <c r="H925" s="339"/>
      <c r="I925" s="341"/>
      <c r="J925" s="339"/>
      <c r="K925" s="341"/>
      <c r="L925" s="341"/>
      <c r="M925" s="341"/>
      <c r="N925" s="341"/>
      <c r="O925" s="341"/>
      <c r="P925" s="339"/>
      <c r="Q925" s="339"/>
      <c r="R925" s="339"/>
      <c r="S925" s="339"/>
      <c r="T925" s="339"/>
      <c r="U925" s="339"/>
      <c r="V925" s="339"/>
      <c r="W925" s="339"/>
      <c r="X925" s="339"/>
      <c r="Y925" s="339"/>
      <c r="Z925" s="339"/>
    </row>
    <row r="926" spans="1:26" ht="15.75" customHeight="1">
      <c r="A926" s="339"/>
      <c r="B926" s="339"/>
      <c r="C926" s="339"/>
      <c r="D926" s="339"/>
      <c r="E926" s="339"/>
      <c r="F926" s="339"/>
      <c r="G926" s="339"/>
      <c r="H926" s="339"/>
      <c r="I926" s="341"/>
      <c r="J926" s="339"/>
      <c r="K926" s="341"/>
      <c r="L926" s="341"/>
      <c r="M926" s="341"/>
      <c r="N926" s="341"/>
      <c r="O926" s="341"/>
      <c r="P926" s="339"/>
      <c r="Q926" s="339"/>
      <c r="R926" s="339"/>
      <c r="S926" s="339"/>
      <c r="T926" s="339"/>
      <c r="U926" s="339"/>
      <c r="V926" s="339"/>
      <c r="W926" s="339"/>
      <c r="X926" s="339"/>
      <c r="Y926" s="339"/>
      <c r="Z926" s="339"/>
    </row>
    <row r="927" spans="1:26" ht="15.75" customHeight="1">
      <c r="A927" s="339"/>
      <c r="B927" s="339"/>
      <c r="C927" s="339"/>
      <c r="D927" s="339"/>
      <c r="E927" s="339"/>
      <c r="F927" s="339"/>
      <c r="G927" s="339"/>
      <c r="H927" s="339"/>
      <c r="I927" s="341"/>
      <c r="J927" s="339"/>
      <c r="K927" s="341"/>
      <c r="L927" s="341"/>
      <c r="M927" s="341"/>
      <c r="N927" s="341"/>
      <c r="O927" s="341"/>
      <c r="P927" s="339"/>
      <c r="Q927" s="339"/>
      <c r="R927" s="339"/>
      <c r="S927" s="339"/>
      <c r="T927" s="339"/>
      <c r="U927" s="339"/>
      <c r="V927" s="339"/>
      <c r="W927" s="339"/>
      <c r="X927" s="339"/>
      <c r="Y927" s="339"/>
      <c r="Z927" s="339"/>
    </row>
    <row r="928" spans="1:26" ht="15.75" customHeight="1">
      <c r="A928" s="339"/>
      <c r="B928" s="339"/>
      <c r="C928" s="339"/>
      <c r="D928" s="339"/>
      <c r="E928" s="339"/>
      <c r="F928" s="339"/>
      <c r="G928" s="339"/>
      <c r="H928" s="339"/>
      <c r="I928" s="341"/>
      <c r="J928" s="339"/>
      <c r="K928" s="341"/>
      <c r="L928" s="341"/>
      <c r="M928" s="341"/>
      <c r="N928" s="341"/>
      <c r="O928" s="341"/>
      <c r="P928" s="339"/>
      <c r="Q928" s="339"/>
      <c r="R928" s="339"/>
      <c r="S928" s="339"/>
      <c r="T928" s="339"/>
      <c r="U928" s="339"/>
      <c r="V928" s="339"/>
      <c r="W928" s="339"/>
      <c r="X928" s="339"/>
      <c r="Y928" s="339"/>
      <c r="Z928" s="339"/>
    </row>
    <row r="929" spans="1:26" ht="15.75" customHeight="1">
      <c r="A929" s="339"/>
      <c r="B929" s="339"/>
      <c r="C929" s="339"/>
      <c r="D929" s="339"/>
      <c r="E929" s="339"/>
      <c r="F929" s="339"/>
      <c r="G929" s="339"/>
      <c r="H929" s="339"/>
      <c r="I929" s="341"/>
      <c r="J929" s="339"/>
      <c r="K929" s="341"/>
      <c r="L929" s="341"/>
      <c r="M929" s="341"/>
      <c r="N929" s="341"/>
      <c r="O929" s="341"/>
      <c r="P929" s="339"/>
      <c r="Q929" s="339"/>
      <c r="R929" s="339"/>
      <c r="S929" s="339"/>
      <c r="T929" s="339"/>
      <c r="U929" s="339"/>
      <c r="V929" s="339"/>
      <c r="W929" s="339"/>
      <c r="X929" s="339"/>
      <c r="Y929" s="339"/>
      <c r="Z929" s="339"/>
    </row>
    <row r="930" spans="1:26" ht="15.75" customHeight="1">
      <c r="A930" s="339"/>
      <c r="B930" s="339"/>
      <c r="C930" s="339"/>
      <c r="D930" s="339"/>
      <c r="E930" s="339"/>
      <c r="F930" s="339"/>
      <c r="G930" s="339"/>
      <c r="H930" s="339"/>
      <c r="I930" s="341"/>
      <c r="J930" s="339"/>
      <c r="K930" s="341"/>
      <c r="L930" s="341"/>
      <c r="M930" s="341"/>
      <c r="N930" s="341"/>
      <c r="O930" s="341"/>
      <c r="P930" s="339"/>
      <c r="Q930" s="339"/>
      <c r="R930" s="339"/>
      <c r="S930" s="339"/>
      <c r="T930" s="339"/>
      <c r="U930" s="339"/>
      <c r="V930" s="339"/>
      <c r="W930" s="339"/>
      <c r="X930" s="339"/>
      <c r="Y930" s="339"/>
      <c r="Z930" s="339"/>
    </row>
    <row r="931" spans="1:26" ht="15.75" customHeight="1">
      <c r="A931" s="339"/>
      <c r="B931" s="339"/>
      <c r="C931" s="339"/>
      <c r="D931" s="339"/>
      <c r="E931" s="339"/>
      <c r="F931" s="339"/>
      <c r="G931" s="339"/>
      <c r="H931" s="339"/>
      <c r="I931" s="341"/>
      <c r="J931" s="339"/>
      <c r="K931" s="341"/>
      <c r="L931" s="341"/>
      <c r="M931" s="341"/>
      <c r="N931" s="341"/>
      <c r="O931" s="341"/>
      <c r="P931" s="339"/>
      <c r="Q931" s="339"/>
      <c r="R931" s="339"/>
      <c r="S931" s="339"/>
      <c r="T931" s="339"/>
      <c r="U931" s="339"/>
      <c r="V931" s="339"/>
      <c r="W931" s="339"/>
      <c r="X931" s="339"/>
      <c r="Y931" s="339"/>
      <c r="Z931" s="339"/>
    </row>
    <row r="932" spans="1:26" ht="15.75" customHeight="1">
      <c r="A932" s="339"/>
      <c r="B932" s="339"/>
      <c r="C932" s="339"/>
      <c r="D932" s="339"/>
      <c r="E932" s="339"/>
      <c r="F932" s="339"/>
      <c r="G932" s="339"/>
      <c r="H932" s="339"/>
      <c r="I932" s="341"/>
      <c r="J932" s="339"/>
      <c r="K932" s="341"/>
      <c r="L932" s="341"/>
      <c r="M932" s="341"/>
      <c r="N932" s="341"/>
      <c r="O932" s="341"/>
      <c r="P932" s="339"/>
      <c r="Q932" s="339"/>
      <c r="R932" s="339"/>
      <c r="S932" s="339"/>
      <c r="T932" s="339"/>
      <c r="U932" s="339"/>
      <c r="V932" s="339"/>
      <c r="W932" s="339"/>
      <c r="X932" s="339"/>
      <c r="Y932" s="339"/>
      <c r="Z932" s="339"/>
    </row>
    <row r="933" spans="1:26" ht="15.75" customHeight="1">
      <c r="A933" s="339"/>
      <c r="B933" s="339"/>
      <c r="C933" s="339"/>
      <c r="D933" s="339"/>
      <c r="E933" s="339"/>
      <c r="F933" s="339"/>
      <c r="G933" s="339"/>
      <c r="H933" s="339"/>
      <c r="I933" s="341"/>
      <c r="J933" s="339"/>
      <c r="K933" s="341"/>
      <c r="L933" s="341"/>
      <c r="M933" s="341"/>
      <c r="N933" s="341"/>
      <c r="O933" s="341"/>
      <c r="P933" s="339"/>
      <c r="Q933" s="339"/>
      <c r="R933" s="339"/>
      <c r="S933" s="339"/>
      <c r="T933" s="339"/>
      <c r="U933" s="339"/>
      <c r="V933" s="339"/>
      <c r="W933" s="339"/>
      <c r="X933" s="339"/>
      <c r="Y933" s="339"/>
      <c r="Z933" s="339"/>
    </row>
    <row r="934" spans="1:26" ht="15.75" customHeight="1">
      <c r="A934" s="339"/>
      <c r="B934" s="339"/>
      <c r="C934" s="339"/>
      <c r="D934" s="339"/>
      <c r="E934" s="339"/>
      <c r="F934" s="339"/>
      <c r="G934" s="339"/>
      <c r="H934" s="339"/>
      <c r="I934" s="341"/>
      <c r="J934" s="339"/>
      <c r="K934" s="341"/>
      <c r="L934" s="341"/>
      <c r="M934" s="341"/>
      <c r="N934" s="341"/>
      <c r="O934" s="341"/>
      <c r="P934" s="339"/>
      <c r="Q934" s="339"/>
      <c r="R934" s="339"/>
      <c r="S934" s="339"/>
      <c r="T934" s="339"/>
      <c r="U934" s="339"/>
      <c r="V934" s="339"/>
      <c r="W934" s="339"/>
      <c r="X934" s="339"/>
      <c r="Y934" s="339"/>
      <c r="Z934" s="339"/>
    </row>
    <row r="935" spans="1:26" ht="15.75" customHeight="1">
      <c r="A935" s="339"/>
      <c r="B935" s="339"/>
      <c r="C935" s="339"/>
      <c r="D935" s="339"/>
      <c r="E935" s="339"/>
      <c r="F935" s="339"/>
      <c r="G935" s="339"/>
      <c r="H935" s="339"/>
      <c r="I935" s="341"/>
      <c r="J935" s="339"/>
      <c r="K935" s="341"/>
      <c r="L935" s="341"/>
      <c r="M935" s="341"/>
      <c r="N935" s="341"/>
      <c r="O935" s="341"/>
      <c r="P935" s="339"/>
      <c r="Q935" s="339"/>
      <c r="R935" s="339"/>
      <c r="S935" s="339"/>
      <c r="T935" s="339"/>
      <c r="U935" s="339"/>
      <c r="V935" s="339"/>
      <c r="W935" s="339"/>
      <c r="X935" s="339"/>
      <c r="Y935" s="339"/>
      <c r="Z935" s="339"/>
    </row>
    <row r="936" spans="1:26" ht="15.75" customHeight="1">
      <c r="A936" s="339"/>
      <c r="B936" s="339"/>
      <c r="C936" s="339"/>
      <c r="D936" s="339"/>
      <c r="E936" s="339"/>
      <c r="F936" s="339"/>
      <c r="G936" s="339"/>
      <c r="H936" s="339"/>
      <c r="I936" s="341"/>
      <c r="J936" s="339"/>
      <c r="K936" s="341"/>
      <c r="L936" s="341"/>
      <c r="M936" s="341"/>
      <c r="N936" s="341"/>
      <c r="O936" s="341"/>
      <c r="P936" s="339"/>
      <c r="Q936" s="339"/>
      <c r="R936" s="339"/>
      <c r="S936" s="339"/>
      <c r="T936" s="339"/>
      <c r="U936" s="339"/>
      <c r="V936" s="339"/>
      <c r="W936" s="339"/>
      <c r="X936" s="339"/>
      <c r="Y936" s="339"/>
      <c r="Z936" s="339"/>
    </row>
    <row r="937" spans="1:26" ht="15.75" customHeight="1">
      <c r="A937" s="339"/>
      <c r="B937" s="339"/>
      <c r="C937" s="339"/>
      <c r="D937" s="339"/>
      <c r="E937" s="339"/>
      <c r="F937" s="339"/>
      <c r="G937" s="339"/>
      <c r="H937" s="339"/>
      <c r="I937" s="341"/>
      <c r="J937" s="339"/>
      <c r="K937" s="341"/>
      <c r="L937" s="341"/>
      <c r="M937" s="341"/>
      <c r="N937" s="341"/>
      <c r="O937" s="341"/>
      <c r="P937" s="339"/>
      <c r="Q937" s="339"/>
      <c r="R937" s="339"/>
      <c r="S937" s="339"/>
      <c r="T937" s="339"/>
      <c r="U937" s="339"/>
      <c r="V937" s="339"/>
      <c r="W937" s="339"/>
      <c r="X937" s="339"/>
      <c r="Y937" s="339"/>
      <c r="Z937" s="339"/>
    </row>
    <row r="938" spans="1:26" ht="15.75" customHeight="1">
      <c r="A938" s="339"/>
      <c r="B938" s="339"/>
      <c r="C938" s="339"/>
      <c r="D938" s="339"/>
      <c r="E938" s="339"/>
      <c r="F938" s="339"/>
      <c r="G938" s="339"/>
      <c r="H938" s="339"/>
      <c r="I938" s="341"/>
      <c r="J938" s="339"/>
      <c r="K938" s="341"/>
      <c r="L938" s="341"/>
      <c r="M938" s="341"/>
      <c r="N938" s="341"/>
      <c r="O938" s="341"/>
      <c r="P938" s="339"/>
      <c r="Q938" s="339"/>
      <c r="R938" s="339"/>
      <c r="S938" s="339"/>
      <c r="T938" s="339"/>
      <c r="U938" s="339"/>
      <c r="V938" s="339"/>
      <c r="W938" s="339"/>
      <c r="X938" s="339"/>
      <c r="Y938" s="339"/>
      <c r="Z938" s="339"/>
    </row>
    <row r="939" spans="1:26" ht="15.75" customHeight="1">
      <c r="A939" s="339"/>
      <c r="B939" s="339"/>
      <c r="C939" s="339"/>
      <c r="D939" s="339"/>
      <c r="E939" s="339"/>
      <c r="F939" s="339"/>
      <c r="G939" s="339"/>
      <c r="H939" s="339"/>
      <c r="I939" s="341"/>
      <c r="J939" s="339"/>
      <c r="K939" s="341"/>
      <c r="L939" s="341"/>
      <c r="M939" s="341"/>
      <c r="N939" s="341"/>
      <c r="O939" s="341"/>
      <c r="P939" s="339"/>
      <c r="Q939" s="339"/>
      <c r="R939" s="339"/>
      <c r="S939" s="339"/>
      <c r="T939" s="339"/>
      <c r="U939" s="339"/>
      <c r="V939" s="339"/>
      <c r="W939" s="339"/>
      <c r="X939" s="339"/>
      <c r="Y939" s="339"/>
      <c r="Z939" s="339"/>
    </row>
    <row r="940" spans="1:26" ht="15.75" customHeight="1">
      <c r="A940" s="339"/>
      <c r="B940" s="339"/>
      <c r="C940" s="339"/>
      <c r="D940" s="339"/>
      <c r="E940" s="339"/>
      <c r="F940" s="339"/>
      <c r="G940" s="339"/>
      <c r="H940" s="339"/>
      <c r="I940" s="341"/>
      <c r="J940" s="339"/>
      <c r="K940" s="341"/>
      <c r="L940" s="341"/>
      <c r="M940" s="341"/>
      <c r="N940" s="341"/>
      <c r="O940" s="341"/>
      <c r="P940" s="339"/>
      <c r="Q940" s="339"/>
      <c r="R940" s="339"/>
      <c r="S940" s="339"/>
      <c r="T940" s="339"/>
      <c r="U940" s="339"/>
      <c r="V940" s="339"/>
      <c r="W940" s="339"/>
      <c r="X940" s="339"/>
      <c r="Y940" s="339"/>
      <c r="Z940" s="339"/>
    </row>
    <row r="941" spans="1:26" ht="15.75" customHeight="1">
      <c r="A941" s="339"/>
      <c r="B941" s="339"/>
      <c r="C941" s="339"/>
      <c r="D941" s="339"/>
      <c r="E941" s="339"/>
      <c r="F941" s="339"/>
      <c r="G941" s="339"/>
      <c r="H941" s="339"/>
      <c r="I941" s="341"/>
      <c r="J941" s="339"/>
      <c r="K941" s="341"/>
      <c r="L941" s="341"/>
      <c r="M941" s="341"/>
      <c r="N941" s="341"/>
      <c r="O941" s="341"/>
      <c r="P941" s="339"/>
      <c r="Q941" s="339"/>
      <c r="R941" s="339"/>
      <c r="S941" s="339"/>
      <c r="T941" s="339"/>
      <c r="U941" s="339"/>
      <c r="V941" s="339"/>
      <c r="W941" s="339"/>
      <c r="X941" s="339"/>
      <c r="Y941" s="339"/>
      <c r="Z941" s="339"/>
    </row>
    <row r="942" spans="1:26" ht="15.75" customHeight="1">
      <c r="A942" s="339"/>
      <c r="B942" s="339"/>
      <c r="C942" s="339"/>
      <c r="D942" s="339"/>
      <c r="E942" s="339"/>
      <c r="F942" s="339"/>
      <c r="G942" s="339"/>
      <c r="H942" s="339"/>
      <c r="I942" s="341"/>
      <c r="J942" s="339"/>
      <c r="K942" s="341"/>
      <c r="L942" s="341"/>
      <c r="M942" s="341"/>
      <c r="N942" s="341"/>
      <c r="O942" s="341"/>
      <c r="P942" s="339"/>
      <c r="Q942" s="339"/>
      <c r="R942" s="339"/>
      <c r="S942" s="339"/>
      <c r="T942" s="339"/>
      <c r="U942" s="339"/>
      <c r="V942" s="339"/>
      <c r="W942" s="339"/>
      <c r="X942" s="339"/>
      <c r="Y942" s="339"/>
      <c r="Z942" s="339"/>
    </row>
    <row r="943" spans="1:26" ht="15.75" customHeight="1">
      <c r="A943" s="339"/>
      <c r="B943" s="339"/>
      <c r="C943" s="339"/>
      <c r="D943" s="339"/>
      <c r="E943" s="339"/>
      <c r="F943" s="339"/>
      <c r="G943" s="339"/>
      <c r="H943" s="339"/>
      <c r="I943" s="341"/>
      <c r="J943" s="339"/>
      <c r="K943" s="341"/>
      <c r="L943" s="341"/>
      <c r="M943" s="341"/>
      <c r="N943" s="341"/>
      <c r="O943" s="341"/>
      <c r="P943" s="339"/>
      <c r="Q943" s="339"/>
      <c r="R943" s="339"/>
      <c r="S943" s="339"/>
      <c r="T943" s="339"/>
      <c r="U943" s="339"/>
      <c r="V943" s="339"/>
      <c r="W943" s="339"/>
      <c r="X943" s="339"/>
      <c r="Y943" s="339"/>
      <c r="Z943" s="339"/>
    </row>
    <row r="944" spans="1:26" ht="15.75" customHeight="1">
      <c r="A944" s="339"/>
      <c r="B944" s="339"/>
      <c r="C944" s="339"/>
      <c r="D944" s="339"/>
      <c r="E944" s="339"/>
      <c r="F944" s="339"/>
      <c r="G944" s="339"/>
      <c r="H944" s="339"/>
      <c r="I944" s="341"/>
      <c r="J944" s="339"/>
      <c r="K944" s="341"/>
      <c r="L944" s="341"/>
      <c r="M944" s="341"/>
      <c r="N944" s="341"/>
      <c r="O944" s="341"/>
      <c r="P944" s="339"/>
      <c r="Q944" s="339"/>
      <c r="R944" s="339"/>
      <c r="S944" s="339"/>
      <c r="T944" s="339"/>
      <c r="U944" s="339"/>
      <c r="V944" s="339"/>
      <c r="W944" s="339"/>
      <c r="X944" s="339"/>
      <c r="Y944" s="339"/>
      <c r="Z944" s="339"/>
    </row>
    <row r="945" spans="1:26" ht="15.75" customHeight="1">
      <c r="A945" s="339"/>
      <c r="B945" s="339"/>
      <c r="C945" s="339"/>
      <c r="D945" s="339"/>
      <c r="E945" s="339"/>
      <c r="F945" s="339"/>
      <c r="G945" s="339"/>
      <c r="H945" s="339"/>
      <c r="I945" s="341"/>
      <c r="J945" s="339"/>
      <c r="K945" s="341"/>
      <c r="L945" s="341"/>
      <c r="M945" s="341"/>
      <c r="N945" s="341"/>
      <c r="O945" s="341"/>
      <c r="P945" s="339"/>
      <c r="Q945" s="339"/>
      <c r="R945" s="339"/>
      <c r="S945" s="339"/>
      <c r="T945" s="339"/>
      <c r="U945" s="339"/>
      <c r="V945" s="339"/>
      <c r="W945" s="339"/>
      <c r="X945" s="339"/>
      <c r="Y945" s="339"/>
      <c r="Z945" s="339"/>
    </row>
    <row r="946" spans="1:26" ht="15.75" customHeight="1">
      <c r="A946" s="339"/>
      <c r="B946" s="339"/>
      <c r="C946" s="339"/>
      <c r="D946" s="339"/>
      <c r="E946" s="339"/>
      <c r="F946" s="339"/>
      <c r="G946" s="339"/>
      <c r="H946" s="339"/>
      <c r="I946" s="341"/>
      <c r="J946" s="339"/>
      <c r="K946" s="341"/>
      <c r="L946" s="341"/>
      <c r="M946" s="341"/>
      <c r="N946" s="341"/>
      <c r="O946" s="341"/>
      <c r="P946" s="339"/>
      <c r="Q946" s="339"/>
      <c r="R946" s="339"/>
      <c r="S946" s="339"/>
      <c r="T946" s="339"/>
      <c r="U946" s="339"/>
      <c r="V946" s="339"/>
      <c r="W946" s="339"/>
      <c r="X946" s="339"/>
      <c r="Y946" s="339"/>
      <c r="Z946" s="339"/>
    </row>
    <row r="947" spans="1:26" ht="15.75" customHeight="1">
      <c r="A947" s="339"/>
      <c r="B947" s="339"/>
      <c r="C947" s="339"/>
      <c r="D947" s="339"/>
      <c r="E947" s="339"/>
      <c r="F947" s="339"/>
      <c r="G947" s="339"/>
      <c r="H947" s="339"/>
      <c r="I947" s="341"/>
      <c r="J947" s="339"/>
      <c r="K947" s="341"/>
      <c r="L947" s="341"/>
      <c r="M947" s="341"/>
      <c r="N947" s="341"/>
      <c r="O947" s="341"/>
      <c r="P947" s="339"/>
      <c r="Q947" s="339"/>
      <c r="R947" s="339"/>
      <c r="S947" s="339"/>
      <c r="T947" s="339"/>
      <c r="U947" s="339"/>
      <c r="V947" s="339"/>
      <c r="W947" s="339"/>
      <c r="X947" s="339"/>
      <c r="Y947" s="339"/>
      <c r="Z947" s="339"/>
    </row>
    <row r="948" spans="1:26" ht="15.75" customHeight="1">
      <c r="A948" s="339"/>
      <c r="B948" s="339"/>
      <c r="C948" s="339"/>
      <c r="D948" s="339"/>
      <c r="E948" s="339"/>
      <c r="F948" s="339"/>
      <c r="G948" s="339"/>
      <c r="H948" s="339"/>
      <c r="I948" s="341"/>
      <c r="J948" s="339"/>
      <c r="K948" s="341"/>
      <c r="L948" s="341"/>
      <c r="M948" s="341"/>
      <c r="N948" s="341"/>
      <c r="O948" s="341"/>
      <c r="P948" s="339"/>
      <c r="Q948" s="339"/>
      <c r="R948" s="339"/>
      <c r="S948" s="339"/>
      <c r="T948" s="339"/>
      <c r="U948" s="339"/>
      <c r="V948" s="339"/>
      <c r="W948" s="339"/>
      <c r="X948" s="339"/>
      <c r="Y948" s="339"/>
      <c r="Z948" s="339"/>
    </row>
    <row r="949" spans="1:26" ht="15.75" customHeight="1">
      <c r="A949" s="339"/>
      <c r="B949" s="339"/>
      <c r="C949" s="339"/>
      <c r="D949" s="339"/>
      <c r="E949" s="339"/>
      <c r="F949" s="339"/>
      <c r="G949" s="339"/>
      <c r="H949" s="339"/>
      <c r="I949" s="341"/>
      <c r="J949" s="339"/>
      <c r="K949" s="341"/>
      <c r="L949" s="341"/>
      <c r="M949" s="341"/>
      <c r="N949" s="341"/>
      <c r="O949" s="341"/>
      <c r="P949" s="339"/>
      <c r="Q949" s="339"/>
      <c r="R949" s="339"/>
      <c r="S949" s="339"/>
      <c r="T949" s="339"/>
      <c r="U949" s="339"/>
      <c r="V949" s="339"/>
      <c r="W949" s="339"/>
      <c r="X949" s="339"/>
      <c r="Y949" s="339"/>
      <c r="Z949" s="339"/>
    </row>
    <row r="950" spans="1:26" ht="15.75" customHeight="1">
      <c r="A950" s="339"/>
      <c r="B950" s="339"/>
      <c r="C950" s="339"/>
      <c r="D950" s="339"/>
      <c r="E950" s="339"/>
      <c r="F950" s="339"/>
      <c r="G950" s="339"/>
      <c r="H950" s="339"/>
      <c r="I950" s="341"/>
      <c r="J950" s="339"/>
      <c r="K950" s="341"/>
      <c r="L950" s="341"/>
      <c r="M950" s="341"/>
      <c r="N950" s="341"/>
      <c r="O950" s="341"/>
      <c r="P950" s="339"/>
      <c r="Q950" s="339"/>
      <c r="R950" s="339"/>
      <c r="S950" s="339"/>
      <c r="T950" s="339"/>
      <c r="U950" s="339"/>
      <c r="V950" s="339"/>
      <c r="W950" s="339"/>
      <c r="X950" s="339"/>
      <c r="Y950" s="339"/>
      <c r="Z950" s="339"/>
    </row>
    <row r="951" spans="1:26" ht="15.75" customHeight="1">
      <c r="A951" s="339"/>
      <c r="B951" s="339"/>
      <c r="C951" s="339"/>
      <c r="D951" s="339"/>
      <c r="E951" s="339"/>
      <c r="F951" s="339"/>
      <c r="G951" s="339"/>
      <c r="H951" s="339"/>
      <c r="I951" s="341"/>
      <c r="J951" s="339"/>
      <c r="K951" s="341"/>
      <c r="L951" s="341"/>
      <c r="M951" s="341"/>
      <c r="N951" s="341"/>
      <c r="O951" s="341"/>
      <c r="P951" s="339"/>
      <c r="Q951" s="339"/>
      <c r="R951" s="339"/>
      <c r="S951" s="339"/>
      <c r="T951" s="339"/>
      <c r="U951" s="339"/>
      <c r="V951" s="339"/>
      <c r="W951" s="339"/>
      <c r="X951" s="339"/>
      <c r="Y951" s="339"/>
      <c r="Z951" s="339"/>
    </row>
    <row r="952" spans="1:26" ht="15.75" customHeight="1">
      <c r="A952" s="339"/>
      <c r="B952" s="339"/>
      <c r="C952" s="339"/>
      <c r="D952" s="339"/>
      <c r="E952" s="339"/>
      <c r="F952" s="339"/>
      <c r="G952" s="339"/>
      <c r="H952" s="339"/>
      <c r="I952" s="341"/>
      <c r="J952" s="339"/>
      <c r="K952" s="341"/>
      <c r="L952" s="341"/>
      <c r="M952" s="341"/>
      <c r="N952" s="341"/>
      <c r="O952" s="341"/>
      <c r="P952" s="339"/>
      <c r="Q952" s="339"/>
      <c r="R952" s="339"/>
      <c r="S952" s="339"/>
      <c r="T952" s="339"/>
      <c r="U952" s="339"/>
      <c r="V952" s="339"/>
      <c r="W952" s="339"/>
      <c r="X952" s="339"/>
      <c r="Y952" s="339"/>
      <c r="Z952" s="339"/>
    </row>
    <row r="953" spans="1:26" ht="15.75" customHeight="1">
      <c r="A953" s="339"/>
      <c r="B953" s="339"/>
      <c r="C953" s="339"/>
      <c r="D953" s="339"/>
      <c r="E953" s="339"/>
      <c r="F953" s="339"/>
      <c r="G953" s="339"/>
      <c r="H953" s="339"/>
      <c r="I953" s="341"/>
      <c r="J953" s="339"/>
      <c r="K953" s="341"/>
      <c r="L953" s="341"/>
      <c r="M953" s="341"/>
      <c r="N953" s="341"/>
      <c r="O953" s="341"/>
      <c r="P953" s="339"/>
      <c r="Q953" s="339"/>
      <c r="R953" s="339"/>
      <c r="S953" s="339"/>
      <c r="T953" s="339"/>
      <c r="U953" s="339"/>
      <c r="V953" s="339"/>
      <c r="W953" s="339"/>
      <c r="X953" s="339"/>
      <c r="Y953" s="339"/>
      <c r="Z953" s="339"/>
    </row>
    <row r="954" spans="1:26" ht="15.75" customHeight="1">
      <c r="A954" s="339"/>
      <c r="B954" s="339"/>
      <c r="C954" s="339"/>
      <c r="D954" s="339"/>
      <c r="E954" s="339"/>
      <c r="F954" s="339"/>
      <c r="G954" s="339"/>
      <c r="H954" s="339"/>
      <c r="I954" s="341"/>
      <c r="J954" s="339"/>
      <c r="K954" s="341"/>
      <c r="L954" s="341"/>
      <c r="M954" s="341"/>
      <c r="N954" s="341"/>
      <c r="O954" s="341"/>
      <c r="P954" s="339"/>
      <c r="Q954" s="339"/>
      <c r="R954" s="339"/>
      <c r="S954" s="339"/>
      <c r="T954" s="339"/>
      <c r="U954" s="339"/>
      <c r="V954" s="339"/>
      <c r="W954" s="339"/>
      <c r="X954" s="339"/>
      <c r="Y954" s="339"/>
      <c r="Z954" s="339"/>
    </row>
    <row r="955" spans="1:26" ht="15.75" customHeight="1">
      <c r="A955" s="339"/>
      <c r="B955" s="339"/>
      <c r="C955" s="339"/>
      <c r="D955" s="339"/>
      <c r="E955" s="339"/>
      <c r="F955" s="339"/>
      <c r="G955" s="339"/>
      <c r="H955" s="339"/>
      <c r="I955" s="341"/>
      <c r="J955" s="339"/>
      <c r="K955" s="341"/>
      <c r="L955" s="341"/>
      <c r="M955" s="341"/>
      <c r="N955" s="341"/>
      <c r="O955" s="341"/>
      <c r="P955" s="339"/>
      <c r="Q955" s="339"/>
      <c r="R955" s="339"/>
      <c r="S955" s="339"/>
      <c r="T955" s="339"/>
      <c r="U955" s="339"/>
      <c r="V955" s="339"/>
      <c r="W955" s="339"/>
      <c r="X955" s="339"/>
      <c r="Y955" s="339"/>
      <c r="Z955" s="339"/>
    </row>
    <row r="956" spans="1:26" ht="15.75" customHeight="1">
      <c r="A956" s="339"/>
      <c r="B956" s="339"/>
      <c r="C956" s="339"/>
      <c r="D956" s="339"/>
      <c r="E956" s="339"/>
      <c r="F956" s="339"/>
      <c r="G956" s="339"/>
      <c r="H956" s="339"/>
      <c r="I956" s="341"/>
      <c r="J956" s="339"/>
      <c r="K956" s="341"/>
      <c r="L956" s="341"/>
      <c r="M956" s="341"/>
      <c r="N956" s="341"/>
      <c r="O956" s="341"/>
      <c r="P956" s="339"/>
      <c r="Q956" s="339"/>
      <c r="R956" s="339"/>
      <c r="S956" s="339"/>
      <c r="T956" s="339"/>
      <c r="U956" s="339"/>
      <c r="V956" s="339"/>
      <c r="W956" s="339"/>
      <c r="X956" s="339"/>
      <c r="Y956" s="339"/>
      <c r="Z956" s="339"/>
    </row>
    <row r="957" spans="1:26" ht="15.75" customHeight="1">
      <c r="A957" s="339"/>
      <c r="B957" s="339"/>
      <c r="C957" s="339"/>
      <c r="D957" s="339"/>
      <c r="E957" s="339"/>
      <c r="F957" s="339"/>
      <c r="G957" s="339"/>
      <c r="H957" s="339"/>
      <c r="I957" s="341"/>
      <c r="J957" s="339"/>
      <c r="K957" s="341"/>
      <c r="L957" s="341"/>
      <c r="M957" s="341"/>
      <c r="N957" s="341"/>
      <c r="O957" s="341"/>
      <c r="P957" s="339"/>
      <c r="Q957" s="339"/>
      <c r="R957" s="339"/>
      <c r="S957" s="339"/>
      <c r="T957" s="339"/>
      <c r="U957" s="339"/>
      <c r="V957" s="339"/>
      <c r="W957" s="339"/>
      <c r="X957" s="339"/>
      <c r="Y957" s="339"/>
      <c r="Z957" s="339"/>
    </row>
    <row r="958" spans="1:26" ht="15.75" customHeight="1">
      <c r="A958" s="339"/>
      <c r="B958" s="339"/>
      <c r="C958" s="339"/>
      <c r="D958" s="339"/>
      <c r="E958" s="339"/>
      <c r="F958" s="339"/>
      <c r="G958" s="339"/>
      <c r="H958" s="339"/>
      <c r="I958" s="341"/>
      <c r="J958" s="339"/>
      <c r="K958" s="341"/>
      <c r="L958" s="341"/>
      <c r="M958" s="341"/>
      <c r="N958" s="341"/>
      <c r="O958" s="341"/>
      <c r="P958" s="339"/>
      <c r="Q958" s="339"/>
      <c r="R958" s="339"/>
      <c r="S958" s="339"/>
      <c r="T958" s="339"/>
      <c r="U958" s="339"/>
      <c r="V958" s="339"/>
      <c r="W958" s="339"/>
      <c r="X958" s="339"/>
      <c r="Y958" s="339"/>
      <c r="Z958" s="339"/>
    </row>
    <row r="959" spans="1:26" ht="15.75" customHeight="1">
      <c r="A959" s="339"/>
      <c r="B959" s="339"/>
      <c r="C959" s="339"/>
      <c r="D959" s="339"/>
      <c r="E959" s="339"/>
      <c r="F959" s="339"/>
      <c r="G959" s="339"/>
      <c r="H959" s="339"/>
      <c r="I959" s="341"/>
      <c r="J959" s="339"/>
      <c r="K959" s="341"/>
      <c r="L959" s="341"/>
      <c r="M959" s="341"/>
      <c r="N959" s="341"/>
      <c r="O959" s="341"/>
      <c r="P959" s="339"/>
      <c r="Q959" s="339"/>
      <c r="R959" s="339"/>
      <c r="S959" s="339"/>
      <c r="T959" s="339"/>
      <c r="U959" s="339"/>
      <c r="V959" s="339"/>
      <c r="W959" s="339"/>
      <c r="X959" s="339"/>
      <c r="Y959" s="339"/>
      <c r="Z959" s="339"/>
    </row>
    <row r="960" spans="1:26" ht="15.75" customHeight="1">
      <c r="A960" s="339"/>
      <c r="B960" s="339"/>
      <c r="C960" s="339"/>
      <c r="D960" s="339"/>
      <c r="E960" s="339"/>
      <c r="F960" s="339"/>
      <c r="G960" s="339"/>
      <c r="H960" s="339"/>
      <c r="I960" s="341"/>
      <c r="J960" s="339"/>
      <c r="K960" s="341"/>
      <c r="L960" s="341"/>
      <c r="M960" s="341"/>
      <c r="N960" s="341"/>
      <c r="O960" s="341"/>
      <c r="P960" s="339"/>
      <c r="Q960" s="339"/>
      <c r="R960" s="339"/>
      <c r="S960" s="339"/>
      <c r="T960" s="339"/>
      <c r="U960" s="339"/>
      <c r="V960" s="339"/>
      <c r="W960" s="339"/>
      <c r="X960" s="339"/>
      <c r="Y960" s="339"/>
      <c r="Z960" s="339"/>
    </row>
    <row r="961" spans="1:26" ht="15.75" customHeight="1">
      <c r="A961" s="339"/>
      <c r="B961" s="339"/>
      <c r="C961" s="339"/>
      <c r="D961" s="339"/>
      <c r="E961" s="339"/>
      <c r="F961" s="339"/>
      <c r="G961" s="339"/>
      <c r="H961" s="339"/>
      <c r="I961" s="341"/>
      <c r="J961" s="339"/>
      <c r="K961" s="341"/>
      <c r="L961" s="341"/>
      <c r="M961" s="341"/>
      <c r="N961" s="341"/>
      <c r="O961" s="341"/>
      <c r="P961" s="339"/>
      <c r="Q961" s="339"/>
      <c r="R961" s="339"/>
      <c r="S961" s="339"/>
      <c r="T961" s="339"/>
      <c r="U961" s="339"/>
      <c r="V961" s="339"/>
      <c r="W961" s="339"/>
      <c r="X961" s="339"/>
      <c r="Y961" s="339"/>
      <c r="Z961" s="339"/>
    </row>
    <row r="962" spans="1:26" ht="15.75" customHeight="1">
      <c r="A962" s="339"/>
      <c r="B962" s="339"/>
      <c r="C962" s="339"/>
      <c r="D962" s="339"/>
      <c r="E962" s="339"/>
      <c r="F962" s="339"/>
      <c r="G962" s="339"/>
      <c r="H962" s="339"/>
      <c r="I962" s="341"/>
      <c r="J962" s="339"/>
      <c r="K962" s="341"/>
      <c r="L962" s="341"/>
      <c r="M962" s="341"/>
      <c r="N962" s="341"/>
      <c r="O962" s="341"/>
      <c r="P962" s="339"/>
      <c r="Q962" s="339"/>
      <c r="R962" s="339"/>
      <c r="S962" s="339"/>
      <c r="T962" s="339"/>
      <c r="U962" s="339"/>
      <c r="V962" s="339"/>
      <c r="W962" s="339"/>
      <c r="X962" s="339"/>
      <c r="Y962" s="339"/>
      <c r="Z962" s="339"/>
    </row>
    <row r="963" spans="1:26" ht="15.75" customHeight="1">
      <c r="A963" s="339"/>
      <c r="B963" s="339"/>
      <c r="C963" s="339"/>
      <c r="D963" s="339"/>
      <c r="E963" s="339"/>
      <c r="F963" s="339"/>
      <c r="G963" s="339"/>
      <c r="H963" s="339"/>
      <c r="I963" s="341"/>
      <c r="J963" s="339"/>
      <c r="K963" s="341"/>
      <c r="L963" s="341"/>
      <c r="M963" s="341"/>
      <c r="N963" s="341"/>
      <c r="O963" s="341"/>
      <c r="P963" s="339"/>
      <c r="Q963" s="339"/>
      <c r="R963" s="339"/>
      <c r="S963" s="339"/>
      <c r="T963" s="339"/>
      <c r="U963" s="339"/>
      <c r="V963" s="339"/>
      <c r="W963" s="339"/>
      <c r="X963" s="339"/>
      <c r="Y963" s="339"/>
      <c r="Z963" s="339"/>
    </row>
    <row r="964" spans="1:26" ht="15.75" customHeight="1">
      <c r="A964" s="339"/>
      <c r="B964" s="339"/>
      <c r="C964" s="339"/>
      <c r="D964" s="339"/>
      <c r="E964" s="339"/>
      <c r="F964" s="339"/>
      <c r="G964" s="339"/>
      <c r="H964" s="339"/>
      <c r="I964" s="341"/>
      <c r="J964" s="339"/>
      <c r="K964" s="341"/>
      <c r="L964" s="341"/>
      <c r="M964" s="341"/>
      <c r="N964" s="341"/>
      <c r="O964" s="341"/>
      <c r="P964" s="339"/>
      <c r="Q964" s="339"/>
      <c r="R964" s="339"/>
      <c r="S964" s="339"/>
      <c r="T964" s="339"/>
      <c r="U964" s="339"/>
      <c r="V964" s="339"/>
      <c r="W964" s="339"/>
      <c r="X964" s="339"/>
      <c r="Y964" s="339"/>
      <c r="Z964" s="339"/>
    </row>
    <row r="965" spans="1:26" ht="15.75" customHeight="1">
      <c r="A965" s="339"/>
      <c r="B965" s="339"/>
      <c r="C965" s="339"/>
      <c r="D965" s="339"/>
      <c r="E965" s="339"/>
      <c r="F965" s="339"/>
      <c r="G965" s="339"/>
      <c r="H965" s="339"/>
      <c r="I965" s="341"/>
      <c r="J965" s="339"/>
      <c r="K965" s="341"/>
      <c r="L965" s="341"/>
      <c r="M965" s="341"/>
      <c r="N965" s="341"/>
      <c r="O965" s="341"/>
      <c r="P965" s="339"/>
      <c r="Q965" s="339"/>
      <c r="R965" s="339"/>
      <c r="S965" s="339"/>
      <c r="T965" s="339"/>
      <c r="U965" s="339"/>
      <c r="V965" s="339"/>
      <c r="W965" s="339"/>
      <c r="X965" s="339"/>
      <c r="Y965" s="339"/>
      <c r="Z965" s="339"/>
    </row>
    <row r="966" spans="1:26" ht="15.75" customHeight="1">
      <c r="A966" s="339"/>
      <c r="B966" s="339"/>
      <c r="C966" s="339"/>
      <c r="D966" s="339"/>
      <c r="E966" s="339"/>
      <c r="F966" s="339"/>
      <c r="G966" s="339"/>
      <c r="H966" s="339"/>
      <c r="I966" s="341"/>
      <c r="J966" s="339"/>
      <c r="K966" s="341"/>
      <c r="L966" s="341"/>
      <c r="M966" s="341"/>
      <c r="N966" s="341"/>
      <c r="O966" s="341"/>
      <c r="P966" s="339"/>
      <c r="Q966" s="339"/>
      <c r="R966" s="339"/>
      <c r="S966" s="339"/>
      <c r="T966" s="339"/>
      <c r="U966" s="339"/>
      <c r="V966" s="339"/>
      <c r="W966" s="339"/>
      <c r="X966" s="339"/>
      <c r="Y966" s="339"/>
      <c r="Z966" s="339"/>
    </row>
    <row r="967" spans="1:26" ht="15.75" customHeight="1">
      <c r="A967" s="339"/>
      <c r="B967" s="339"/>
      <c r="C967" s="339"/>
      <c r="D967" s="339"/>
      <c r="E967" s="339"/>
      <c r="F967" s="339"/>
      <c r="G967" s="339"/>
      <c r="H967" s="339"/>
      <c r="I967" s="341"/>
      <c r="J967" s="339"/>
      <c r="K967" s="341"/>
      <c r="L967" s="341"/>
      <c r="M967" s="341"/>
      <c r="N967" s="341"/>
      <c r="O967" s="341"/>
      <c r="P967" s="339"/>
      <c r="Q967" s="339"/>
      <c r="R967" s="339"/>
      <c r="S967" s="339"/>
      <c r="T967" s="339"/>
      <c r="U967" s="339"/>
      <c r="V967" s="339"/>
      <c r="W967" s="339"/>
      <c r="X967" s="339"/>
      <c r="Y967" s="339"/>
      <c r="Z967" s="339"/>
    </row>
    <row r="968" spans="1:26" ht="15.75" customHeight="1">
      <c r="A968" s="339"/>
      <c r="B968" s="339"/>
      <c r="C968" s="339"/>
      <c r="D968" s="339"/>
      <c r="E968" s="339"/>
      <c r="F968" s="339"/>
      <c r="G968" s="339"/>
      <c r="H968" s="339"/>
      <c r="I968" s="341"/>
      <c r="J968" s="339"/>
      <c r="K968" s="341"/>
      <c r="L968" s="341"/>
      <c r="M968" s="341"/>
      <c r="N968" s="341"/>
      <c r="O968" s="341"/>
      <c r="P968" s="339"/>
      <c r="Q968" s="339"/>
      <c r="R968" s="339"/>
      <c r="S968" s="339"/>
      <c r="T968" s="339"/>
      <c r="U968" s="339"/>
      <c r="V968" s="339"/>
      <c r="W968" s="339"/>
      <c r="X968" s="339"/>
      <c r="Y968" s="339"/>
      <c r="Z968" s="339"/>
    </row>
    <row r="969" spans="1:26" ht="15.75" customHeight="1">
      <c r="A969" s="339"/>
      <c r="B969" s="339"/>
      <c r="C969" s="339"/>
      <c r="D969" s="339"/>
      <c r="E969" s="339"/>
      <c r="F969" s="339"/>
      <c r="G969" s="339"/>
      <c r="H969" s="339"/>
      <c r="I969" s="341"/>
      <c r="J969" s="339"/>
      <c r="K969" s="341"/>
      <c r="L969" s="341"/>
      <c r="M969" s="341"/>
      <c r="N969" s="341"/>
      <c r="O969" s="341"/>
      <c r="P969" s="339"/>
      <c r="Q969" s="339"/>
      <c r="R969" s="339"/>
      <c r="S969" s="339"/>
      <c r="T969" s="339"/>
      <c r="U969" s="339"/>
      <c r="V969" s="339"/>
      <c r="W969" s="339"/>
      <c r="X969" s="339"/>
      <c r="Y969" s="339"/>
      <c r="Z969" s="339"/>
    </row>
    <row r="970" spans="1:26" ht="15.75" customHeight="1">
      <c r="A970" s="339"/>
      <c r="B970" s="339"/>
      <c r="C970" s="339"/>
      <c r="D970" s="339"/>
      <c r="E970" s="339"/>
      <c r="F970" s="339"/>
      <c r="G970" s="339"/>
      <c r="H970" s="339"/>
      <c r="I970" s="341"/>
      <c r="J970" s="339"/>
      <c r="K970" s="341"/>
      <c r="L970" s="341"/>
      <c r="M970" s="341"/>
      <c r="N970" s="341"/>
      <c r="O970" s="341"/>
      <c r="P970" s="339"/>
      <c r="Q970" s="339"/>
      <c r="R970" s="339"/>
      <c r="S970" s="339"/>
      <c r="T970" s="339"/>
      <c r="U970" s="339"/>
      <c r="V970" s="339"/>
      <c r="W970" s="339"/>
      <c r="X970" s="339"/>
      <c r="Y970" s="339"/>
      <c r="Z970" s="339"/>
    </row>
    <row r="971" spans="1:26" ht="15.75" customHeight="1">
      <c r="A971" s="339"/>
      <c r="B971" s="339"/>
      <c r="C971" s="339"/>
      <c r="D971" s="339"/>
      <c r="E971" s="339"/>
      <c r="F971" s="339"/>
      <c r="G971" s="339"/>
      <c r="H971" s="339"/>
      <c r="I971" s="341"/>
      <c r="J971" s="339"/>
      <c r="K971" s="341"/>
      <c r="L971" s="341"/>
      <c r="M971" s="341"/>
      <c r="N971" s="341"/>
      <c r="O971" s="341"/>
      <c r="P971" s="339"/>
      <c r="Q971" s="339"/>
      <c r="R971" s="339"/>
      <c r="S971" s="339"/>
      <c r="T971" s="339"/>
      <c r="U971" s="339"/>
      <c r="V971" s="339"/>
      <c r="W971" s="339"/>
      <c r="X971" s="339"/>
      <c r="Y971" s="339"/>
      <c r="Z971" s="339"/>
    </row>
    <row r="972" spans="1:26" ht="15.75" customHeight="1">
      <c r="A972" s="339"/>
      <c r="B972" s="339"/>
      <c r="C972" s="339"/>
      <c r="D972" s="339"/>
      <c r="E972" s="339"/>
      <c r="F972" s="339"/>
      <c r="G972" s="339"/>
      <c r="H972" s="339"/>
      <c r="I972" s="341"/>
      <c r="J972" s="339"/>
      <c r="K972" s="341"/>
      <c r="L972" s="341"/>
      <c r="M972" s="341"/>
      <c r="N972" s="341"/>
      <c r="O972" s="341"/>
      <c r="P972" s="339"/>
      <c r="Q972" s="339"/>
      <c r="R972" s="339"/>
      <c r="S972" s="339"/>
      <c r="T972" s="339"/>
      <c r="U972" s="339"/>
      <c r="V972" s="339"/>
      <c r="W972" s="339"/>
      <c r="X972" s="339"/>
      <c r="Y972" s="339"/>
      <c r="Z972" s="339"/>
    </row>
    <row r="973" spans="1:26" ht="15.75" customHeight="1">
      <c r="A973" s="339"/>
      <c r="B973" s="339"/>
      <c r="C973" s="339"/>
      <c r="D973" s="339"/>
      <c r="E973" s="339"/>
      <c r="F973" s="339"/>
      <c r="G973" s="339"/>
      <c r="H973" s="339"/>
      <c r="I973" s="341"/>
      <c r="J973" s="339"/>
      <c r="K973" s="341"/>
      <c r="L973" s="341"/>
      <c r="M973" s="341"/>
      <c r="N973" s="341"/>
      <c r="O973" s="341"/>
      <c r="P973" s="339"/>
      <c r="Q973" s="339"/>
      <c r="R973" s="339"/>
      <c r="S973" s="339"/>
      <c r="T973" s="339"/>
      <c r="U973" s="339"/>
      <c r="V973" s="339"/>
      <c r="W973" s="339"/>
      <c r="X973" s="339"/>
      <c r="Y973" s="339"/>
      <c r="Z973" s="339"/>
    </row>
    <row r="974" spans="1:26" ht="15.75" customHeight="1">
      <c r="A974" s="339"/>
      <c r="B974" s="339"/>
      <c r="C974" s="339"/>
      <c r="D974" s="339"/>
      <c r="E974" s="339"/>
      <c r="F974" s="339"/>
      <c r="G974" s="339"/>
      <c r="H974" s="339"/>
      <c r="I974" s="341"/>
      <c r="J974" s="339"/>
      <c r="K974" s="341"/>
      <c r="L974" s="341"/>
      <c r="M974" s="341"/>
      <c r="N974" s="341"/>
      <c r="O974" s="341"/>
      <c r="P974" s="339"/>
      <c r="Q974" s="339"/>
      <c r="R974" s="339"/>
      <c r="S974" s="339"/>
      <c r="T974" s="339"/>
      <c r="U974" s="339"/>
      <c r="V974" s="339"/>
      <c r="W974" s="339"/>
      <c r="X974" s="339"/>
      <c r="Y974" s="339"/>
      <c r="Z974" s="339"/>
    </row>
    <row r="975" spans="1:26" ht="15.75" customHeight="1">
      <c r="A975" s="339"/>
      <c r="B975" s="339"/>
      <c r="C975" s="339"/>
      <c r="D975" s="339"/>
      <c r="E975" s="339"/>
      <c r="F975" s="339"/>
      <c r="G975" s="339"/>
      <c r="H975" s="339"/>
      <c r="I975" s="341"/>
      <c r="J975" s="339"/>
      <c r="K975" s="341"/>
      <c r="L975" s="341"/>
      <c r="M975" s="341"/>
      <c r="N975" s="341"/>
      <c r="O975" s="341"/>
      <c r="P975" s="339"/>
      <c r="Q975" s="339"/>
      <c r="R975" s="339"/>
      <c r="S975" s="339"/>
      <c r="T975" s="339"/>
      <c r="U975" s="339"/>
      <c r="V975" s="339"/>
      <c r="W975" s="339"/>
      <c r="X975" s="339"/>
      <c r="Y975" s="339"/>
      <c r="Z975" s="339"/>
    </row>
    <row r="976" spans="1:26" ht="15.75" customHeight="1">
      <c r="A976" s="339"/>
      <c r="B976" s="339"/>
      <c r="C976" s="339"/>
      <c r="D976" s="339"/>
      <c r="E976" s="339"/>
      <c r="F976" s="339"/>
      <c r="G976" s="339"/>
      <c r="H976" s="339"/>
      <c r="I976" s="341"/>
      <c r="J976" s="339"/>
      <c r="K976" s="341"/>
      <c r="L976" s="341"/>
      <c r="M976" s="341"/>
      <c r="N976" s="341"/>
      <c r="O976" s="341"/>
      <c r="P976" s="339"/>
      <c r="Q976" s="339"/>
      <c r="R976" s="339"/>
      <c r="S976" s="339"/>
      <c r="T976" s="339"/>
      <c r="U976" s="339"/>
      <c r="V976" s="339"/>
      <c r="W976" s="339"/>
      <c r="X976" s="339"/>
      <c r="Y976" s="339"/>
      <c r="Z976" s="339"/>
    </row>
    <row r="977" spans="1:26" ht="15.75" customHeight="1">
      <c r="A977" s="339"/>
      <c r="B977" s="339"/>
      <c r="C977" s="339"/>
      <c r="D977" s="339"/>
      <c r="E977" s="339"/>
      <c r="F977" s="339"/>
      <c r="G977" s="339"/>
      <c r="H977" s="339"/>
      <c r="I977" s="341"/>
      <c r="J977" s="339"/>
      <c r="K977" s="341"/>
      <c r="L977" s="341"/>
      <c r="M977" s="341"/>
      <c r="N977" s="341"/>
      <c r="O977" s="341"/>
      <c r="P977" s="339"/>
      <c r="Q977" s="339"/>
      <c r="R977" s="339"/>
      <c r="S977" s="339"/>
      <c r="T977" s="339"/>
      <c r="U977" s="339"/>
      <c r="V977" s="339"/>
      <c r="W977" s="339"/>
      <c r="X977" s="339"/>
      <c r="Y977" s="339"/>
      <c r="Z977" s="339"/>
    </row>
    <row r="978" spans="1:26" ht="15.75" customHeight="1">
      <c r="A978" s="339"/>
      <c r="B978" s="339"/>
      <c r="C978" s="339"/>
      <c r="D978" s="339"/>
      <c r="E978" s="339"/>
      <c r="F978" s="339"/>
      <c r="G978" s="339"/>
      <c r="H978" s="339"/>
      <c r="I978" s="341"/>
      <c r="J978" s="339"/>
      <c r="K978" s="341"/>
      <c r="L978" s="341"/>
      <c r="M978" s="341"/>
      <c r="N978" s="341"/>
      <c r="O978" s="341"/>
      <c r="P978" s="339"/>
      <c r="Q978" s="339"/>
      <c r="R978" s="339"/>
      <c r="S978" s="339"/>
      <c r="T978" s="339"/>
      <c r="U978" s="339"/>
      <c r="V978" s="339"/>
      <c r="W978" s="339"/>
      <c r="X978" s="339"/>
      <c r="Y978" s="339"/>
      <c r="Z978" s="339"/>
    </row>
    <row r="979" spans="1:26" ht="15.75" customHeight="1">
      <c r="A979" s="339"/>
      <c r="B979" s="339"/>
      <c r="C979" s="339"/>
      <c r="D979" s="339"/>
      <c r="E979" s="339"/>
      <c r="F979" s="339"/>
      <c r="G979" s="339"/>
      <c r="H979" s="339"/>
      <c r="I979" s="341"/>
      <c r="J979" s="339"/>
      <c r="K979" s="341"/>
      <c r="L979" s="341"/>
      <c r="M979" s="341"/>
      <c r="N979" s="341"/>
      <c r="O979" s="341"/>
      <c r="P979" s="339"/>
      <c r="Q979" s="339"/>
      <c r="R979" s="339"/>
      <c r="S979" s="339"/>
      <c r="T979" s="339"/>
      <c r="U979" s="339"/>
      <c r="V979" s="339"/>
      <c r="W979" s="339"/>
      <c r="X979" s="339"/>
      <c r="Y979" s="339"/>
      <c r="Z979" s="339"/>
    </row>
    <row r="980" spans="1:26" ht="15.75" customHeight="1">
      <c r="A980" s="339"/>
      <c r="B980" s="339"/>
      <c r="C980" s="339"/>
      <c r="D980" s="339"/>
      <c r="E980" s="339"/>
      <c r="F980" s="339"/>
      <c r="G980" s="339"/>
      <c r="H980" s="339"/>
      <c r="I980" s="341"/>
      <c r="J980" s="339"/>
      <c r="K980" s="341"/>
      <c r="L980" s="341"/>
      <c r="M980" s="341"/>
      <c r="N980" s="341"/>
      <c r="O980" s="341"/>
      <c r="P980" s="339"/>
      <c r="Q980" s="339"/>
      <c r="R980" s="339"/>
      <c r="S980" s="339"/>
      <c r="T980" s="339"/>
      <c r="U980" s="339"/>
      <c r="V980" s="339"/>
      <c r="W980" s="339"/>
      <c r="X980" s="339"/>
      <c r="Y980" s="339"/>
      <c r="Z980" s="339"/>
    </row>
    <row r="981" spans="1:26" ht="15.75" customHeight="1">
      <c r="A981" s="339"/>
      <c r="B981" s="339"/>
      <c r="C981" s="339"/>
      <c r="D981" s="339"/>
      <c r="E981" s="339"/>
      <c r="F981" s="339"/>
      <c r="G981" s="339"/>
      <c r="H981" s="339"/>
      <c r="I981" s="341"/>
      <c r="J981" s="339"/>
      <c r="K981" s="341"/>
      <c r="L981" s="341"/>
      <c r="M981" s="341"/>
      <c r="N981" s="341"/>
      <c r="O981" s="341"/>
      <c r="P981" s="339"/>
      <c r="Q981" s="339"/>
      <c r="R981" s="339"/>
      <c r="S981" s="339"/>
      <c r="T981" s="339"/>
      <c r="U981" s="339"/>
      <c r="V981" s="339"/>
      <c r="W981" s="339"/>
      <c r="X981" s="339"/>
      <c r="Y981" s="339"/>
      <c r="Z981" s="339"/>
    </row>
    <row r="982" spans="1:26" ht="15.75" customHeight="1">
      <c r="A982" s="339"/>
      <c r="B982" s="339"/>
      <c r="C982" s="339"/>
      <c r="D982" s="339"/>
      <c r="E982" s="339"/>
      <c r="F982" s="339"/>
      <c r="G982" s="339"/>
      <c r="H982" s="339"/>
      <c r="I982" s="341"/>
      <c r="J982" s="339"/>
      <c r="K982" s="341"/>
      <c r="L982" s="341"/>
      <c r="M982" s="341"/>
      <c r="N982" s="341"/>
      <c r="O982" s="341"/>
      <c r="P982" s="339"/>
      <c r="Q982" s="339"/>
      <c r="R982" s="339"/>
      <c r="S982" s="339"/>
      <c r="T982" s="339"/>
      <c r="U982" s="339"/>
      <c r="V982" s="339"/>
      <c r="W982" s="339"/>
      <c r="X982" s="339"/>
      <c r="Y982" s="339"/>
      <c r="Z982" s="339"/>
    </row>
    <row r="983" spans="1:26" ht="15.75" customHeight="1">
      <c r="A983" s="339"/>
      <c r="B983" s="339"/>
      <c r="C983" s="339"/>
      <c r="D983" s="339"/>
      <c r="E983" s="339"/>
      <c r="F983" s="339"/>
      <c r="G983" s="339"/>
      <c r="H983" s="339"/>
      <c r="I983" s="341"/>
      <c r="J983" s="339"/>
      <c r="K983" s="341"/>
      <c r="L983" s="341"/>
      <c r="M983" s="341"/>
      <c r="N983" s="341"/>
      <c r="O983" s="341"/>
      <c r="P983" s="339"/>
      <c r="Q983" s="339"/>
      <c r="R983" s="339"/>
      <c r="S983" s="339"/>
      <c r="T983" s="339"/>
      <c r="U983" s="339"/>
      <c r="V983" s="339"/>
      <c r="W983" s="339"/>
      <c r="X983" s="339"/>
      <c r="Y983" s="339"/>
      <c r="Z983" s="339"/>
    </row>
    <row r="984" spans="1:26" ht="15.75" customHeight="1">
      <c r="A984" s="339"/>
      <c r="B984" s="339"/>
      <c r="C984" s="339"/>
      <c r="D984" s="339"/>
      <c r="E984" s="339"/>
      <c r="F984" s="339"/>
      <c r="G984" s="339"/>
      <c r="H984" s="339"/>
      <c r="I984" s="341"/>
      <c r="J984" s="339"/>
      <c r="K984" s="341"/>
      <c r="L984" s="341"/>
      <c r="M984" s="341"/>
      <c r="N984" s="341"/>
      <c r="O984" s="341"/>
      <c r="P984" s="339"/>
      <c r="Q984" s="339"/>
      <c r="R984" s="339"/>
      <c r="S984" s="339"/>
      <c r="T984" s="339"/>
      <c r="U984" s="339"/>
      <c r="V984" s="339"/>
      <c r="W984" s="339"/>
      <c r="X984" s="339"/>
      <c r="Y984" s="339"/>
      <c r="Z984" s="339"/>
    </row>
    <row r="985" spans="1:26" ht="15.75" customHeight="1">
      <c r="A985" s="339"/>
      <c r="B985" s="339"/>
      <c r="C985" s="339"/>
      <c r="D985" s="339"/>
      <c r="E985" s="339"/>
      <c r="F985" s="339"/>
      <c r="G985" s="339"/>
      <c r="H985" s="339"/>
      <c r="I985" s="341"/>
      <c r="J985" s="339"/>
      <c r="K985" s="341"/>
      <c r="L985" s="341"/>
      <c r="M985" s="341"/>
      <c r="N985" s="341"/>
      <c r="O985" s="341"/>
      <c r="P985" s="339"/>
      <c r="Q985" s="339"/>
      <c r="R985" s="339"/>
      <c r="S985" s="339"/>
      <c r="T985" s="339"/>
      <c r="U985" s="339"/>
      <c r="V985" s="339"/>
      <c r="W985" s="339"/>
      <c r="X985" s="339"/>
      <c r="Y985" s="339"/>
      <c r="Z985" s="339"/>
    </row>
    <row r="986" spans="1:26" ht="15.75" customHeight="1">
      <c r="A986" s="339"/>
      <c r="B986" s="339"/>
      <c r="C986" s="339"/>
      <c r="D986" s="339"/>
      <c r="E986" s="339"/>
      <c r="F986" s="339"/>
      <c r="G986" s="339"/>
      <c r="H986" s="339"/>
      <c r="I986" s="341"/>
      <c r="J986" s="339"/>
      <c r="K986" s="341"/>
      <c r="L986" s="341"/>
      <c r="M986" s="341"/>
      <c r="N986" s="341"/>
      <c r="O986" s="341"/>
      <c r="P986" s="339"/>
      <c r="Q986" s="339"/>
      <c r="R986" s="339"/>
      <c r="S986" s="339"/>
      <c r="T986" s="339"/>
      <c r="U986" s="339"/>
      <c r="V986" s="339"/>
      <c r="W986" s="339"/>
      <c r="X986" s="339"/>
      <c r="Y986" s="339"/>
      <c r="Z986" s="339"/>
    </row>
    <row r="987" spans="1:26" ht="15.75" customHeight="1">
      <c r="A987" s="339"/>
      <c r="B987" s="339"/>
      <c r="C987" s="339"/>
      <c r="D987" s="339"/>
      <c r="E987" s="339"/>
      <c r="F987" s="339"/>
      <c r="G987" s="339"/>
      <c r="H987" s="339"/>
      <c r="I987" s="341"/>
      <c r="J987" s="339"/>
      <c r="K987" s="341"/>
      <c r="L987" s="341"/>
      <c r="M987" s="341"/>
      <c r="N987" s="341"/>
      <c r="O987" s="341"/>
      <c r="P987" s="339"/>
      <c r="Q987" s="339"/>
      <c r="R987" s="339"/>
      <c r="S987" s="339"/>
      <c r="T987" s="339"/>
      <c r="U987" s="339"/>
      <c r="V987" s="339"/>
      <c r="W987" s="339"/>
      <c r="X987" s="339"/>
      <c r="Y987" s="339"/>
      <c r="Z987" s="339"/>
    </row>
    <row r="988" spans="1:26" ht="15.75" customHeight="1">
      <c r="A988" s="339"/>
      <c r="B988" s="339"/>
      <c r="C988" s="339"/>
      <c r="D988" s="339"/>
      <c r="E988" s="339"/>
      <c r="F988" s="339"/>
      <c r="G988" s="339"/>
      <c r="H988" s="339"/>
      <c r="I988" s="341"/>
      <c r="J988" s="339"/>
      <c r="K988" s="341"/>
      <c r="L988" s="341"/>
      <c r="M988" s="341"/>
      <c r="N988" s="341"/>
      <c r="O988" s="341"/>
      <c r="P988" s="339"/>
      <c r="Q988" s="339"/>
      <c r="R988" s="339"/>
      <c r="S988" s="339"/>
      <c r="T988" s="339"/>
      <c r="U988" s="339"/>
      <c r="V988" s="339"/>
      <c r="W988" s="339"/>
      <c r="X988" s="339"/>
      <c r="Y988" s="339"/>
      <c r="Z988" s="339"/>
    </row>
    <row r="989" spans="1:26" ht="15.75" customHeight="1">
      <c r="A989" s="339"/>
      <c r="B989" s="339"/>
      <c r="C989" s="339"/>
      <c r="D989" s="339"/>
      <c r="E989" s="339"/>
      <c r="F989" s="339"/>
      <c r="G989" s="339"/>
      <c r="H989" s="339"/>
      <c r="I989" s="341"/>
      <c r="J989" s="339"/>
      <c r="K989" s="341"/>
      <c r="L989" s="341"/>
      <c r="M989" s="341"/>
      <c r="N989" s="341"/>
      <c r="O989" s="341"/>
      <c r="P989" s="339"/>
      <c r="Q989" s="339"/>
      <c r="R989" s="339"/>
      <c r="S989" s="339"/>
      <c r="T989" s="339"/>
      <c r="U989" s="339"/>
      <c r="V989" s="339"/>
      <c r="W989" s="339"/>
      <c r="X989" s="339"/>
      <c r="Y989" s="339"/>
      <c r="Z989" s="339"/>
    </row>
    <row r="990" spans="1:26" ht="15.75" customHeight="1">
      <c r="A990" s="339"/>
      <c r="B990" s="339"/>
      <c r="C990" s="339"/>
      <c r="D990" s="339"/>
      <c r="E990" s="339"/>
      <c r="F990" s="339"/>
      <c r="G990" s="339"/>
      <c r="H990" s="339"/>
      <c r="I990" s="341"/>
      <c r="J990" s="339"/>
      <c r="K990" s="341"/>
      <c r="L990" s="341"/>
      <c r="M990" s="341"/>
      <c r="N990" s="341"/>
      <c r="O990" s="341"/>
      <c r="P990" s="339"/>
      <c r="Q990" s="339"/>
      <c r="R990" s="339"/>
      <c r="S990" s="339"/>
      <c r="T990" s="339"/>
      <c r="U990" s="339"/>
      <c r="V990" s="339"/>
      <c r="W990" s="339"/>
      <c r="X990" s="339"/>
      <c r="Y990" s="339"/>
      <c r="Z990" s="339"/>
    </row>
    <row r="991" spans="1:26" ht="15.75" customHeight="1">
      <c r="A991" s="339"/>
      <c r="B991" s="339"/>
      <c r="C991" s="339"/>
      <c r="D991" s="339"/>
      <c r="E991" s="339"/>
      <c r="F991" s="339"/>
      <c r="G991" s="339"/>
      <c r="H991" s="339"/>
      <c r="I991" s="341"/>
      <c r="J991" s="339"/>
      <c r="K991" s="341"/>
      <c r="L991" s="341"/>
      <c r="M991" s="341"/>
      <c r="N991" s="341"/>
      <c r="O991" s="341"/>
      <c r="P991" s="339"/>
      <c r="Q991" s="339"/>
      <c r="R991" s="339"/>
      <c r="S991" s="339"/>
      <c r="T991" s="339"/>
      <c r="U991" s="339"/>
      <c r="V991" s="339"/>
      <c r="W991" s="339"/>
      <c r="X991" s="339"/>
      <c r="Y991" s="339"/>
      <c r="Z991" s="339"/>
    </row>
    <row r="992" spans="1:26" ht="15.75" customHeight="1">
      <c r="A992" s="339"/>
      <c r="B992" s="339"/>
      <c r="C992" s="339"/>
      <c r="D992" s="339"/>
      <c r="E992" s="339"/>
      <c r="F992" s="339"/>
      <c r="G992" s="339"/>
      <c r="H992" s="339"/>
      <c r="I992" s="341"/>
      <c r="J992" s="339"/>
      <c r="K992" s="341"/>
      <c r="L992" s="341"/>
      <c r="M992" s="341"/>
      <c r="N992" s="341"/>
      <c r="O992" s="341"/>
      <c r="P992" s="339"/>
      <c r="Q992" s="339"/>
      <c r="R992" s="339"/>
      <c r="S992" s="339"/>
      <c r="T992" s="339"/>
      <c r="U992" s="339"/>
      <c r="V992" s="339"/>
      <c r="W992" s="339"/>
      <c r="X992" s="339"/>
      <c r="Y992" s="339"/>
      <c r="Z992" s="339"/>
    </row>
    <row r="993" spans="1:26" ht="15.75" customHeight="1">
      <c r="A993" s="339"/>
      <c r="B993" s="339"/>
      <c r="C993" s="339"/>
      <c r="D993" s="339"/>
      <c r="E993" s="339"/>
      <c r="F993" s="339"/>
      <c r="G993" s="339"/>
      <c r="H993" s="339"/>
      <c r="I993" s="341"/>
      <c r="J993" s="339"/>
      <c r="K993" s="341"/>
      <c r="L993" s="341"/>
      <c r="M993" s="341"/>
      <c r="N993" s="341"/>
      <c r="O993" s="341"/>
      <c r="P993" s="339"/>
      <c r="Q993" s="339"/>
      <c r="R993" s="339"/>
      <c r="S993" s="339"/>
      <c r="T993" s="339"/>
      <c r="U993" s="339"/>
      <c r="V993" s="339"/>
      <c r="W993" s="339"/>
      <c r="X993" s="339"/>
      <c r="Y993" s="339"/>
      <c r="Z993" s="339"/>
    </row>
    <row r="994" spans="1:26" ht="15.75" customHeight="1">
      <c r="A994" s="339"/>
      <c r="B994" s="339"/>
      <c r="C994" s="339"/>
      <c r="D994" s="339"/>
      <c r="E994" s="339"/>
      <c r="F994" s="339"/>
      <c r="G994" s="339"/>
      <c r="H994" s="339"/>
      <c r="I994" s="341"/>
      <c r="J994" s="339"/>
      <c r="K994" s="341"/>
      <c r="L994" s="341"/>
      <c r="M994" s="341"/>
      <c r="N994" s="341"/>
      <c r="O994" s="341"/>
      <c r="P994" s="339"/>
      <c r="Q994" s="339"/>
      <c r="R994" s="339"/>
      <c r="S994" s="339"/>
      <c r="T994" s="339"/>
      <c r="U994" s="339"/>
      <c r="V994" s="339"/>
      <c r="W994" s="339"/>
      <c r="X994" s="339"/>
      <c r="Y994" s="339"/>
      <c r="Z994" s="339"/>
    </row>
    <row r="995" spans="1:26" ht="15.75" customHeight="1">
      <c r="A995" s="339"/>
      <c r="B995" s="339"/>
      <c r="C995" s="339"/>
      <c r="D995" s="339"/>
      <c r="E995" s="339"/>
      <c r="F995" s="339"/>
      <c r="G995" s="339"/>
      <c r="H995" s="339"/>
      <c r="I995" s="341"/>
      <c r="J995" s="339"/>
      <c r="K995" s="341"/>
      <c r="L995" s="341"/>
      <c r="M995" s="341"/>
      <c r="N995" s="341"/>
      <c r="O995" s="341"/>
      <c r="P995" s="339"/>
      <c r="Q995" s="339"/>
      <c r="R995" s="339"/>
      <c r="S995" s="339"/>
      <c r="T995" s="339"/>
      <c r="U995" s="339"/>
      <c r="V995" s="339"/>
      <c r="W995" s="339"/>
      <c r="X995" s="339"/>
      <c r="Y995" s="339"/>
      <c r="Z995" s="339"/>
    </row>
    <row r="996" spans="1:26" ht="15.75" customHeight="1">
      <c r="A996" s="339"/>
      <c r="B996" s="339"/>
      <c r="C996" s="339"/>
      <c r="D996" s="339"/>
      <c r="E996" s="339"/>
      <c r="F996" s="339"/>
      <c r="G996" s="339"/>
      <c r="H996" s="339"/>
      <c r="I996" s="341"/>
      <c r="J996" s="339"/>
      <c r="K996" s="341"/>
      <c r="L996" s="341"/>
      <c r="M996" s="341"/>
      <c r="N996" s="341"/>
      <c r="O996" s="341"/>
      <c r="P996" s="339"/>
      <c r="Q996" s="339"/>
      <c r="R996" s="339"/>
      <c r="S996" s="339"/>
      <c r="T996" s="339"/>
      <c r="U996" s="339"/>
      <c r="V996" s="339"/>
      <c r="W996" s="339"/>
      <c r="X996" s="339"/>
      <c r="Y996" s="339"/>
      <c r="Z996" s="339"/>
    </row>
    <row r="997" spans="1:26" ht="15.75" customHeight="1">
      <c r="A997" s="339"/>
      <c r="B997" s="339"/>
      <c r="C997" s="339"/>
      <c r="D997" s="339"/>
      <c r="E997" s="339"/>
      <c r="F997" s="339"/>
      <c r="G997" s="339"/>
      <c r="H997" s="339"/>
      <c r="I997" s="341"/>
      <c r="J997" s="339"/>
      <c r="K997" s="341"/>
      <c r="L997" s="341"/>
      <c r="M997" s="341"/>
      <c r="N997" s="341"/>
      <c r="O997" s="341"/>
      <c r="P997" s="339"/>
      <c r="Q997" s="339"/>
      <c r="R997" s="339"/>
      <c r="S997" s="339"/>
      <c r="T997" s="339"/>
      <c r="U997" s="339"/>
      <c r="V997" s="339"/>
      <c r="W997" s="339"/>
      <c r="X997" s="339"/>
      <c r="Y997" s="339"/>
      <c r="Z997" s="339"/>
    </row>
    <row r="998" spans="1:26" ht="15.75" customHeight="1">
      <c r="A998" s="339"/>
      <c r="B998" s="339"/>
      <c r="C998" s="339"/>
      <c r="D998" s="339"/>
      <c r="E998" s="339"/>
      <c r="F998" s="339"/>
      <c r="G998" s="339"/>
      <c r="H998" s="339"/>
      <c r="I998" s="341"/>
      <c r="J998" s="339"/>
      <c r="K998" s="341"/>
      <c r="L998" s="341"/>
      <c r="M998" s="341"/>
      <c r="N998" s="341"/>
      <c r="O998" s="341"/>
      <c r="P998" s="339"/>
      <c r="Q998" s="339"/>
      <c r="R998" s="339"/>
      <c r="S998" s="339"/>
      <c r="T998" s="339"/>
      <c r="U998" s="339"/>
      <c r="V998" s="339"/>
      <c r="W998" s="339"/>
      <c r="X998" s="339"/>
      <c r="Y998" s="339"/>
      <c r="Z998" s="339"/>
    </row>
    <row r="999" spans="1:26" ht="15.75" customHeight="1">
      <c r="A999" s="339"/>
      <c r="B999" s="339"/>
      <c r="C999" s="339"/>
      <c r="D999" s="339"/>
      <c r="E999" s="339"/>
      <c r="F999" s="339"/>
      <c r="G999" s="339"/>
      <c r="H999" s="339"/>
      <c r="I999" s="341"/>
      <c r="J999" s="339"/>
      <c r="K999" s="341"/>
      <c r="L999" s="341"/>
      <c r="M999" s="341"/>
      <c r="N999" s="341"/>
      <c r="O999" s="341"/>
      <c r="P999" s="339"/>
      <c r="Q999" s="339"/>
      <c r="R999" s="339"/>
      <c r="S999" s="339"/>
      <c r="T999" s="339"/>
      <c r="U999" s="339"/>
      <c r="V999" s="339"/>
      <c r="W999" s="339"/>
      <c r="X999" s="339"/>
      <c r="Y999" s="339"/>
      <c r="Z999" s="339"/>
    </row>
    <row r="1000" spans="1:26" ht="15.75" customHeight="1">
      <c r="A1000" s="339"/>
      <c r="B1000" s="339"/>
      <c r="C1000" s="339"/>
      <c r="D1000" s="339"/>
      <c r="E1000" s="339"/>
      <c r="F1000" s="339"/>
      <c r="G1000" s="339"/>
      <c r="H1000" s="339"/>
      <c r="I1000" s="341"/>
      <c r="J1000" s="339"/>
      <c r="K1000" s="341"/>
      <c r="L1000" s="341"/>
      <c r="M1000" s="341"/>
      <c r="N1000" s="341"/>
      <c r="O1000" s="341"/>
      <c r="P1000" s="339"/>
      <c r="Q1000" s="339"/>
      <c r="R1000" s="339"/>
      <c r="S1000" s="339"/>
      <c r="T1000" s="339"/>
      <c r="U1000" s="339"/>
      <c r="V1000" s="339"/>
      <c r="W1000" s="339"/>
      <c r="X1000" s="339"/>
      <c r="Y1000" s="339"/>
      <c r="Z1000" s="339"/>
    </row>
  </sheetData>
  <mergeCells count="20">
    <mergeCell ref="A91:B91"/>
    <mergeCell ref="A106:B106"/>
    <mergeCell ref="A2:B6"/>
    <mergeCell ref="A7:B8"/>
    <mergeCell ref="A9:B9"/>
    <mergeCell ref="A15:B15"/>
    <mergeCell ref="A33:B33"/>
    <mergeCell ref="A54:B54"/>
    <mergeCell ref="A76:B76"/>
    <mergeCell ref="F6:G6"/>
    <mergeCell ref="F7:G7"/>
    <mergeCell ref="I7:J7"/>
    <mergeCell ref="K7:L7"/>
    <mergeCell ref="C2:O3"/>
    <mergeCell ref="C4:G5"/>
    <mergeCell ref="H4:O5"/>
    <mergeCell ref="C6:E6"/>
    <mergeCell ref="H6:H8"/>
    <mergeCell ref="I6:O6"/>
    <mergeCell ref="D7:D8"/>
  </mergeCells>
  <printOptions horizontalCentered="1"/>
  <pageMargins left="0.31496062992125984" right="0.31496062992125984" top="0.74803149606299213" bottom="0.74803149606299213" header="0" footer="0"/>
  <pageSetup paperSize="9" scale="50" fitToWidth="0" fitToHeight="0" orientation="landscape" r:id="rId1"/>
  <headerFooter>
    <oddFooter>&amp;Cหน้า &amp;P/&amp;N</oddFooter>
  </headerFooter>
  <rowBreaks count="4" manualBreakCount="4">
    <brk id="32" max="14" man="1"/>
    <brk id="53" max="14" man="1"/>
    <brk id="75" max="14" man="1"/>
    <brk id="90" max="1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D965"/>
  </sheetPr>
  <dimension ref="A1:U1000"/>
  <sheetViews>
    <sheetView view="pageBreakPreview" zoomScale="60" zoomScaleNormal="100" workbookViewId="0">
      <pane xSplit="2" ySplit="9" topLeftCell="C10" activePane="bottomRight" state="frozen"/>
      <selection activeCell="A91" sqref="A91:XFD114"/>
      <selection pane="topRight" activeCell="A91" sqref="A91:XFD114"/>
      <selection pane="bottomLeft" activeCell="A91" sqref="A91:XFD114"/>
      <selection pane="bottomRight" activeCell="A91" sqref="A91:XFD114"/>
    </sheetView>
  </sheetViews>
  <sheetFormatPr defaultColWidth="14.44140625" defaultRowHeight="15" customHeight="1"/>
  <cols>
    <col min="1" max="1" width="7.21875" customWidth="1"/>
    <col min="2" max="2" width="32.109375" customWidth="1"/>
    <col min="3" max="3" width="16.109375" customWidth="1"/>
    <col min="4" max="4" width="11.77734375" customWidth="1"/>
    <col min="5" max="5" width="15.21875" customWidth="1"/>
    <col min="6" max="6" width="14.44140625" customWidth="1"/>
    <col min="7" max="7" width="8" customWidth="1"/>
    <col min="8" max="8" width="9.77734375" customWidth="1"/>
    <col min="9" max="9" width="10.109375" customWidth="1"/>
    <col min="10" max="11" width="8.77734375" customWidth="1"/>
    <col min="12" max="12" width="10" customWidth="1"/>
    <col min="13" max="14" width="8.77734375" customWidth="1"/>
    <col min="15" max="15" width="10" customWidth="1"/>
    <col min="16" max="17" width="8.77734375" customWidth="1"/>
    <col min="18" max="18" width="10" customWidth="1"/>
    <col min="19" max="20" width="8.77734375" customWidth="1"/>
    <col min="21" max="21" width="10" customWidth="1"/>
  </cols>
  <sheetData>
    <row r="1" spans="1:21" ht="24" customHeight="1">
      <c r="A1" s="1" t="s">
        <v>348</v>
      </c>
      <c r="B1" s="236"/>
      <c r="C1" s="237"/>
      <c r="D1" s="237"/>
      <c r="E1" s="237"/>
      <c r="F1" s="237"/>
      <c r="G1" s="237"/>
      <c r="H1" s="236"/>
      <c r="I1" s="236"/>
      <c r="J1" s="237"/>
      <c r="K1" s="236"/>
      <c r="L1" s="236"/>
      <c r="M1" s="237"/>
      <c r="N1" s="236"/>
      <c r="O1" s="236"/>
      <c r="P1" s="237"/>
      <c r="Q1" s="236"/>
      <c r="R1" s="236"/>
      <c r="S1" s="237"/>
      <c r="T1" s="236"/>
      <c r="U1" s="236"/>
    </row>
    <row r="2" spans="1:21" ht="22.5" customHeight="1">
      <c r="A2" s="774" t="s">
        <v>1</v>
      </c>
      <c r="B2" s="682"/>
      <c r="C2" s="775" t="s">
        <v>349</v>
      </c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  <c r="Q2" s="776"/>
      <c r="R2" s="776"/>
      <c r="S2" s="776"/>
      <c r="T2" s="776"/>
      <c r="U2" s="777"/>
    </row>
    <row r="3" spans="1:21" ht="40.5" customHeight="1">
      <c r="A3" s="660"/>
      <c r="B3" s="661"/>
      <c r="C3" s="793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  <c r="S3" s="670"/>
      <c r="T3" s="670"/>
      <c r="U3" s="768"/>
    </row>
    <row r="4" spans="1:21" ht="44.25" customHeight="1">
      <c r="A4" s="660"/>
      <c r="B4" s="661"/>
      <c r="C4" s="901" t="s">
        <v>246</v>
      </c>
      <c r="D4" s="694"/>
      <c r="E4" s="694"/>
      <c r="F4" s="694"/>
      <c r="G4" s="695"/>
      <c r="H4" s="902" t="s">
        <v>350</v>
      </c>
      <c r="I4" s="694"/>
      <c r="J4" s="694"/>
      <c r="K4" s="694"/>
      <c r="L4" s="694"/>
      <c r="M4" s="694"/>
      <c r="N4" s="694"/>
      <c r="O4" s="694"/>
      <c r="P4" s="694"/>
      <c r="Q4" s="694"/>
      <c r="R4" s="694"/>
      <c r="S4" s="694"/>
      <c r="T4" s="694"/>
      <c r="U4" s="781"/>
    </row>
    <row r="5" spans="1:21" ht="54.75" customHeight="1">
      <c r="A5" s="660"/>
      <c r="B5" s="661"/>
      <c r="C5" s="719"/>
      <c r="D5" s="670"/>
      <c r="E5" s="670"/>
      <c r="F5" s="670"/>
      <c r="G5" s="671"/>
      <c r="H5" s="713"/>
      <c r="I5" s="714"/>
      <c r="J5" s="714"/>
      <c r="K5" s="714"/>
      <c r="L5" s="714"/>
      <c r="M5" s="714"/>
      <c r="N5" s="714"/>
      <c r="O5" s="714"/>
      <c r="P5" s="714"/>
      <c r="Q5" s="714"/>
      <c r="R5" s="714"/>
      <c r="S5" s="714"/>
      <c r="T5" s="714"/>
      <c r="U5" s="778"/>
    </row>
    <row r="6" spans="1:21" ht="56.25" customHeight="1">
      <c r="A6" s="683"/>
      <c r="B6" s="684"/>
      <c r="C6" s="827" t="s">
        <v>9</v>
      </c>
      <c r="D6" s="651"/>
      <c r="E6" s="654"/>
      <c r="F6" s="809" t="s">
        <v>11</v>
      </c>
      <c r="G6" s="839"/>
      <c r="H6" s="810" t="s">
        <v>24</v>
      </c>
      <c r="I6" s="654"/>
      <c r="J6" s="903" t="s">
        <v>231</v>
      </c>
      <c r="K6" s="651"/>
      <c r="L6" s="651"/>
      <c r="M6" s="651"/>
      <c r="N6" s="651"/>
      <c r="O6" s="651"/>
      <c r="P6" s="651"/>
      <c r="Q6" s="651"/>
      <c r="R6" s="651"/>
      <c r="S6" s="651"/>
      <c r="T6" s="651"/>
      <c r="U6" s="756"/>
    </row>
    <row r="7" spans="1:21" ht="78" customHeight="1">
      <c r="A7" s="785" t="s">
        <v>256</v>
      </c>
      <c r="B7" s="659"/>
      <c r="C7" s="616" t="s">
        <v>150</v>
      </c>
      <c r="D7" s="811" t="s">
        <v>257</v>
      </c>
      <c r="E7" s="346" t="s">
        <v>258</v>
      </c>
      <c r="F7" s="812" t="s">
        <v>259</v>
      </c>
      <c r="G7" s="699"/>
      <c r="H7" s="617" t="s">
        <v>234</v>
      </c>
      <c r="I7" s="618" t="s">
        <v>235</v>
      </c>
      <c r="J7" s="900" t="s">
        <v>235</v>
      </c>
      <c r="K7" s="651"/>
      <c r="L7" s="652"/>
      <c r="M7" s="900" t="s">
        <v>236</v>
      </c>
      <c r="N7" s="651"/>
      <c r="O7" s="654"/>
      <c r="P7" s="900" t="s">
        <v>237</v>
      </c>
      <c r="Q7" s="651"/>
      <c r="R7" s="654"/>
      <c r="S7" s="900" t="s">
        <v>238</v>
      </c>
      <c r="T7" s="651"/>
      <c r="U7" s="756"/>
    </row>
    <row r="8" spans="1:21" ht="36.75" customHeight="1">
      <c r="A8" s="662"/>
      <c r="B8" s="663"/>
      <c r="C8" s="619"/>
      <c r="D8" s="665"/>
      <c r="E8" s="252"/>
      <c r="F8" s="253" t="s">
        <v>26</v>
      </c>
      <c r="G8" s="253" t="s">
        <v>27</v>
      </c>
      <c r="H8" s="620" t="s">
        <v>32</v>
      </c>
      <c r="I8" s="255" t="s">
        <v>351</v>
      </c>
      <c r="J8" s="259" t="s">
        <v>30</v>
      </c>
      <c r="K8" s="259" t="s">
        <v>240</v>
      </c>
      <c r="L8" s="594" t="s">
        <v>352</v>
      </c>
      <c r="M8" s="256" t="s">
        <v>31</v>
      </c>
      <c r="N8" s="259" t="s">
        <v>240</v>
      </c>
      <c r="O8" s="594" t="s">
        <v>353</v>
      </c>
      <c r="P8" s="256" t="s">
        <v>31</v>
      </c>
      <c r="Q8" s="259" t="s">
        <v>240</v>
      </c>
      <c r="R8" s="594" t="s">
        <v>353</v>
      </c>
      <c r="S8" s="256" t="s">
        <v>31</v>
      </c>
      <c r="T8" s="259" t="s">
        <v>240</v>
      </c>
      <c r="U8" s="621" t="s">
        <v>353</v>
      </c>
    </row>
    <row r="9" spans="1:21" ht="27" customHeight="1">
      <c r="A9" s="798" t="s">
        <v>34</v>
      </c>
      <c r="B9" s="731"/>
      <c r="C9" s="263">
        <f t="shared" ref="C9:E9" ca="1" si="0">C10+C11</f>
        <v>35378800</v>
      </c>
      <c r="D9" s="264">
        <f t="shared" ca="1" si="0"/>
        <v>0</v>
      </c>
      <c r="E9" s="265">
        <f t="shared" ca="1" si="0"/>
        <v>35378800</v>
      </c>
      <c r="F9" s="266">
        <f ca="1">+F10+F11</f>
        <v>3039822.31</v>
      </c>
      <c r="G9" s="267">
        <f t="shared" ref="G9:G114" ca="1" si="1">IF(C9&gt;0,F9*100/C9,0)</f>
        <v>8.5922142921749742</v>
      </c>
      <c r="H9" s="270">
        <f t="shared" ref="H9:K9" ca="1" si="2">H10+H11</f>
        <v>6565</v>
      </c>
      <c r="I9" s="270">
        <f t="shared" ca="1" si="2"/>
        <v>6565</v>
      </c>
      <c r="J9" s="271">
        <f t="shared" ca="1" si="2"/>
        <v>3025</v>
      </c>
      <c r="K9" s="271">
        <f t="shared" ca="1" si="2"/>
        <v>1756.22</v>
      </c>
      <c r="L9" s="272">
        <f t="shared" ref="L9:L114" ca="1" si="3">IF(I9&gt;0,J9*100/I9,0)</f>
        <v>46.077684691546075</v>
      </c>
      <c r="M9" s="271">
        <f t="shared" ref="M9:N9" ca="1" si="4">M10+M11</f>
        <v>1515</v>
      </c>
      <c r="N9" s="271">
        <f t="shared" ca="1" si="4"/>
        <v>878.13000000000011</v>
      </c>
      <c r="O9" s="272">
        <f t="shared" ref="O9:O114" ca="1" si="5">IF(H9&gt;0,M9*100/H9,0)</f>
        <v>23.076923076923077</v>
      </c>
      <c r="P9" s="271">
        <f t="shared" ref="P9:Q9" ca="1" si="6">P10+P11</f>
        <v>358</v>
      </c>
      <c r="Q9" s="271">
        <f t="shared" ca="1" si="6"/>
        <v>203.71</v>
      </c>
      <c r="R9" s="272">
        <f t="shared" ref="R9:R114" ca="1" si="7">IF(H9&gt;0,P9*100/H9,0)</f>
        <v>5.4531607006854532</v>
      </c>
      <c r="S9" s="271">
        <f t="shared" ref="S9:T9" ca="1" si="8">S10+S11</f>
        <v>271</v>
      </c>
      <c r="T9" s="271">
        <f t="shared" ca="1" si="8"/>
        <v>163.35000000000002</v>
      </c>
      <c r="U9" s="272">
        <f t="shared" ref="U9:U114" ca="1" si="9">IF(H9&gt;0,S9*100/H9,0)</f>
        <v>4.1279512566641277</v>
      </c>
    </row>
    <row r="10" spans="1:21" ht="24" customHeight="1">
      <c r="A10" s="273" t="s">
        <v>35</v>
      </c>
      <c r="B10" s="274"/>
      <c r="C10" s="275">
        <f t="shared" ref="C10:F10" ca="1" si="10">+C15+C33+C54+C76</f>
        <v>10531817</v>
      </c>
      <c r="D10" s="276">
        <f t="shared" ca="1" si="10"/>
        <v>0</v>
      </c>
      <c r="E10" s="276">
        <f t="shared" ca="1" si="10"/>
        <v>10531817</v>
      </c>
      <c r="F10" s="276">
        <f t="shared" ca="1" si="10"/>
        <v>3039822.31</v>
      </c>
      <c r="G10" s="277">
        <f t="shared" ca="1" si="1"/>
        <v>28.863227589313411</v>
      </c>
      <c r="H10" s="279">
        <f t="shared" ref="H10:K10" ca="1" si="11">+H15+H33+H54+H76</f>
        <v>6565</v>
      </c>
      <c r="I10" s="279">
        <f t="shared" ca="1" si="11"/>
        <v>6565</v>
      </c>
      <c r="J10" s="279">
        <f t="shared" ca="1" si="11"/>
        <v>3025</v>
      </c>
      <c r="K10" s="279">
        <f t="shared" ca="1" si="11"/>
        <v>1756.22</v>
      </c>
      <c r="L10" s="277">
        <f t="shared" ca="1" si="3"/>
        <v>46.077684691546075</v>
      </c>
      <c r="M10" s="279">
        <f t="shared" ref="M10:N10" ca="1" si="12">+M15+M33+M54+M76</f>
        <v>1515</v>
      </c>
      <c r="N10" s="279">
        <f t="shared" ca="1" si="12"/>
        <v>878.13000000000011</v>
      </c>
      <c r="O10" s="277">
        <f t="shared" ca="1" si="5"/>
        <v>23.076923076923077</v>
      </c>
      <c r="P10" s="279">
        <f t="shared" ref="P10:Q10" ca="1" si="13">+P15+P33+P54+P76</f>
        <v>358</v>
      </c>
      <c r="Q10" s="279">
        <f t="shared" ca="1" si="13"/>
        <v>203.71</v>
      </c>
      <c r="R10" s="277">
        <f t="shared" ca="1" si="7"/>
        <v>5.4531607006854532</v>
      </c>
      <c r="S10" s="279">
        <f t="shared" ref="S10:T10" ca="1" si="14">+S15+S33+S54+S76</f>
        <v>271</v>
      </c>
      <c r="T10" s="279">
        <f t="shared" ca="1" si="14"/>
        <v>163.35000000000002</v>
      </c>
      <c r="U10" s="277">
        <f t="shared" ca="1" si="9"/>
        <v>4.1279512566641277</v>
      </c>
    </row>
    <row r="11" spans="1:21" ht="24" customHeight="1">
      <c r="A11" s="281" t="s">
        <v>373</v>
      </c>
      <c r="B11" s="282"/>
      <c r="C11" s="283">
        <f t="shared" ref="C11:F11" ca="1" si="15">+C12+C13</f>
        <v>24846983</v>
      </c>
      <c r="D11" s="284">
        <f t="shared" ca="1" si="15"/>
        <v>0</v>
      </c>
      <c r="E11" s="284">
        <f t="shared" ca="1" si="15"/>
        <v>24846983</v>
      </c>
      <c r="F11" s="284">
        <f t="shared" si="15"/>
        <v>0</v>
      </c>
      <c r="G11" s="285">
        <f t="shared" ca="1" si="1"/>
        <v>0</v>
      </c>
      <c r="H11" s="284">
        <f t="shared" ref="H11:K11" si="16">+H12+H13</f>
        <v>0</v>
      </c>
      <c r="I11" s="284">
        <f t="shared" si="16"/>
        <v>0</v>
      </c>
      <c r="J11" s="284">
        <f t="shared" si="16"/>
        <v>0</v>
      </c>
      <c r="K11" s="284">
        <f t="shared" si="16"/>
        <v>0</v>
      </c>
      <c r="L11" s="285">
        <f t="shared" si="3"/>
        <v>0</v>
      </c>
      <c r="M11" s="284">
        <f t="shared" ref="M11:N11" si="17">+M12+M13</f>
        <v>0</v>
      </c>
      <c r="N11" s="284">
        <f t="shared" si="17"/>
        <v>0</v>
      </c>
      <c r="O11" s="285">
        <f t="shared" si="5"/>
        <v>0</v>
      </c>
      <c r="P11" s="284">
        <f t="shared" ref="P11:Q11" si="18">+P12+P13</f>
        <v>0</v>
      </c>
      <c r="Q11" s="284">
        <f t="shared" si="18"/>
        <v>0</v>
      </c>
      <c r="R11" s="285">
        <f t="shared" si="7"/>
        <v>0</v>
      </c>
      <c r="S11" s="284">
        <f t="shared" ref="S11:T11" si="19">+S12+S13</f>
        <v>0</v>
      </c>
      <c r="T11" s="284">
        <f t="shared" si="19"/>
        <v>0</v>
      </c>
      <c r="U11" s="285">
        <f t="shared" si="9"/>
        <v>0</v>
      </c>
    </row>
    <row r="12" spans="1:21" ht="24" hidden="1" customHeight="1">
      <c r="A12" s="281" t="s">
        <v>36</v>
      </c>
      <c r="B12" s="282"/>
      <c r="C12" s="283">
        <f t="shared" ref="C12:F12" ca="1" si="20">+C91</f>
        <v>24846983</v>
      </c>
      <c r="D12" s="284">
        <f t="shared" ca="1" si="20"/>
        <v>0</v>
      </c>
      <c r="E12" s="284">
        <f t="shared" ca="1" si="20"/>
        <v>24846983</v>
      </c>
      <c r="F12" s="284">
        <f t="shared" si="20"/>
        <v>0</v>
      </c>
      <c r="G12" s="285">
        <f t="shared" ca="1" si="1"/>
        <v>0</v>
      </c>
      <c r="H12" s="284">
        <f t="shared" ref="H12:K12" si="21">+H91</f>
        <v>0</v>
      </c>
      <c r="I12" s="284">
        <f t="shared" si="21"/>
        <v>0</v>
      </c>
      <c r="J12" s="284">
        <f t="shared" si="21"/>
        <v>0</v>
      </c>
      <c r="K12" s="284">
        <f t="shared" si="21"/>
        <v>0</v>
      </c>
      <c r="L12" s="285">
        <f t="shared" si="3"/>
        <v>0</v>
      </c>
      <c r="M12" s="284">
        <f t="shared" ref="M12:N12" si="22">+M91</f>
        <v>0</v>
      </c>
      <c r="N12" s="284">
        <f t="shared" si="22"/>
        <v>0</v>
      </c>
      <c r="O12" s="285">
        <f t="shared" si="5"/>
        <v>0</v>
      </c>
      <c r="P12" s="284">
        <f t="shared" ref="P12:Q12" si="23">+P91</f>
        <v>0</v>
      </c>
      <c r="Q12" s="284">
        <f t="shared" si="23"/>
        <v>0</v>
      </c>
      <c r="R12" s="285">
        <f t="shared" si="7"/>
        <v>0</v>
      </c>
      <c r="S12" s="284">
        <f t="shared" ref="S12:T12" si="24">+S91</f>
        <v>0</v>
      </c>
      <c r="T12" s="284">
        <f t="shared" si="24"/>
        <v>0</v>
      </c>
      <c r="U12" s="285">
        <f t="shared" si="9"/>
        <v>0</v>
      </c>
    </row>
    <row r="13" spans="1:21" ht="24" hidden="1" customHeight="1">
      <c r="A13" s="281" t="s">
        <v>37</v>
      </c>
      <c r="B13" s="282"/>
      <c r="C13" s="283">
        <f t="shared" ref="C13:E13" ca="1" si="25">+C106</f>
        <v>0</v>
      </c>
      <c r="D13" s="284">
        <f t="shared" ca="1" si="25"/>
        <v>0</v>
      </c>
      <c r="E13" s="284">
        <f t="shared" ca="1" si="25"/>
        <v>0</v>
      </c>
      <c r="F13" s="284"/>
      <c r="G13" s="285">
        <f t="shared" ca="1" si="1"/>
        <v>0</v>
      </c>
      <c r="H13" s="284">
        <f t="shared" ref="H13:K13" si="26">+H106</f>
        <v>0</v>
      </c>
      <c r="I13" s="284">
        <f t="shared" si="26"/>
        <v>0</v>
      </c>
      <c r="J13" s="284">
        <f t="shared" si="26"/>
        <v>0</v>
      </c>
      <c r="K13" s="284">
        <f t="shared" si="26"/>
        <v>0</v>
      </c>
      <c r="L13" s="285">
        <f t="shared" si="3"/>
        <v>0</v>
      </c>
      <c r="M13" s="284">
        <f t="shared" ref="M13:N13" si="27">+M106</f>
        <v>0</v>
      </c>
      <c r="N13" s="284">
        <f t="shared" si="27"/>
        <v>0</v>
      </c>
      <c r="O13" s="285">
        <f t="shared" si="5"/>
        <v>0</v>
      </c>
      <c r="P13" s="284">
        <f t="shared" ref="P13:Q13" si="28">+P106</f>
        <v>0</v>
      </c>
      <c r="Q13" s="284">
        <f t="shared" si="28"/>
        <v>0</v>
      </c>
      <c r="R13" s="285">
        <f t="shared" si="7"/>
        <v>0</v>
      </c>
      <c r="S13" s="284">
        <f t="shared" ref="S13:T13" si="29">+S106</f>
        <v>0</v>
      </c>
      <c r="T13" s="284">
        <f t="shared" si="29"/>
        <v>0</v>
      </c>
      <c r="U13" s="285">
        <f t="shared" si="9"/>
        <v>0</v>
      </c>
    </row>
    <row r="14" spans="1:21" ht="24" hidden="1" customHeight="1">
      <c r="A14" s="287" t="s">
        <v>260</v>
      </c>
      <c r="B14" s="288"/>
      <c r="C14" s="289">
        <v>0</v>
      </c>
      <c r="D14" s="290">
        <v>0</v>
      </c>
      <c r="E14" s="290">
        <v>0</v>
      </c>
      <c r="F14" s="290"/>
      <c r="G14" s="291">
        <f t="shared" si="1"/>
        <v>0</v>
      </c>
      <c r="H14" s="290">
        <v>0</v>
      </c>
      <c r="I14" s="290">
        <v>0</v>
      </c>
      <c r="J14" s="290">
        <v>0</v>
      </c>
      <c r="K14" s="290">
        <v>0</v>
      </c>
      <c r="L14" s="291">
        <f t="shared" si="3"/>
        <v>0</v>
      </c>
      <c r="M14" s="290">
        <v>0</v>
      </c>
      <c r="N14" s="290">
        <v>0</v>
      </c>
      <c r="O14" s="291">
        <f t="shared" si="5"/>
        <v>0</v>
      </c>
      <c r="P14" s="290">
        <v>0</v>
      </c>
      <c r="Q14" s="290">
        <v>0</v>
      </c>
      <c r="R14" s="291">
        <f t="shared" si="7"/>
        <v>0</v>
      </c>
      <c r="S14" s="290">
        <v>0</v>
      </c>
      <c r="T14" s="290">
        <v>0</v>
      </c>
      <c r="U14" s="291">
        <f t="shared" si="9"/>
        <v>0</v>
      </c>
    </row>
    <row r="15" spans="1:21" ht="21" customHeight="1">
      <c r="A15" s="799" t="s">
        <v>39</v>
      </c>
      <c r="B15" s="652"/>
      <c r="C15" s="292">
        <f t="shared" ref="C15:F15" ca="1" si="30">SUM(C16:C32)</f>
        <v>3209796</v>
      </c>
      <c r="D15" s="279">
        <f t="shared" ca="1" si="30"/>
        <v>0</v>
      </c>
      <c r="E15" s="279">
        <f t="shared" ca="1" si="30"/>
        <v>3209796</v>
      </c>
      <c r="F15" s="278">
        <f t="shared" ca="1" si="30"/>
        <v>523825.2099999999</v>
      </c>
      <c r="G15" s="278">
        <f t="shared" ca="1" si="1"/>
        <v>16.319579499756369</v>
      </c>
      <c r="H15" s="279">
        <f t="shared" ref="H15:K15" ca="1" si="31">SUM(H16:H32)</f>
        <v>1696</v>
      </c>
      <c r="I15" s="279">
        <f t="shared" ca="1" si="31"/>
        <v>1696</v>
      </c>
      <c r="J15" s="279">
        <f t="shared" ca="1" si="31"/>
        <v>521</v>
      </c>
      <c r="K15" s="279">
        <f t="shared" ca="1" si="31"/>
        <v>370.79999999999995</v>
      </c>
      <c r="L15" s="278">
        <f t="shared" ca="1" si="3"/>
        <v>30.71933962264151</v>
      </c>
      <c r="M15" s="279">
        <f t="shared" ref="M15:N15" ca="1" si="32">SUM(M16:M32)</f>
        <v>192</v>
      </c>
      <c r="N15" s="279">
        <f t="shared" ca="1" si="32"/>
        <v>137.15000000000003</v>
      </c>
      <c r="O15" s="278">
        <f t="shared" ca="1" si="5"/>
        <v>11.320754716981131</v>
      </c>
      <c r="P15" s="279">
        <f t="shared" ref="P15:Q15" ca="1" si="33">SUM(P16:P32)</f>
        <v>6</v>
      </c>
      <c r="Q15" s="279">
        <f t="shared" ca="1" si="33"/>
        <v>4.3499999999999996</v>
      </c>
      <c r="R15" s="278">
        <f t="shared" ca="1" si="7"/>
        <v>0.35377358490566035</v>
      </c>
      <c r="S15" s="279">
        <f t="shared" ref="S15:T15" ca="1" si="34">SUM(S16:S32)</f>
        <v>83</v>
      </c>
      <c r="T15" s="279">
        <f t="shared" ca="1" si="34"/>
        <v>53.569999999999993</v>
      </c>
      <c r="U15" s="278">
        <f t="shared" ca="1" si="9"/>
        <v>4.8938679245283021</v>
      </c>
    </row>
    <row r="16" spans="1:21" ht="21" customHeight="1">
      <c r="A16" s="293">
        <v>1</v>
      </c>
      <c r="B16" s="357" t="s">
        <v>40</v>
      </c>
      <c r="C16" s="295">
        <f t="shared" ref="C16:C32" ca="1" si="35">+D16+E16</f>
        <v>395350</v>
      </c>
      <c r="D16" s="296">
        <f ca="1">IFERROR(__xludf.DUMMYFUNCTION("IMPORTRANGE(""https://docs.google.com/spreadsheets/d/1C3CXT74ZlgGe6_JY_1olB1XN4rF0dxEuIIF-xsYjHgg/edit?usp=sharing"",""งบกองทุน!EK20"")"),0)</f>
        <v>0</v>
      </c>
      <c r="E16" s="296">
        <f ca="1">IFERROR(__xludf.DUMMYFUNCTION("IMPORTRANGE(""https://docs.google.com/spreadsheets/d/1C3CXT74ZlgGe6_JY_1olB1XN4rF0dxEuIIF-xsYjHgg/edit?usp=sharing"",""งบกองทุน!EL20"")"),395350)</f>
        <v>395350</v>
      </c>
      <c r="F16" s="297">
        <f ca="1">IFERROR(__xludf.DUMMYFUNCTION("IMPORTRANGE(""https://docs.google.com/spreadsheets/d/11923uPwbBZFjjGgGUA6NLw09EwE0CqkOc4q9oUmW1yo/edit?usp=sharing"",""กำแพงเพชร!M475"")"),0)</f>
        <v>0</v>
      </c>
      <c r="G16" s="297">
        <f t="shared" ca="1" si="1"/>
        <v>0</v>
      </c>
      <c r="H16" s="296">
        <f ca="1">IFERROR(__xludf.DUMMYFUNCTION("IMPORTRANGE(""https://docs.google.com/spreadsheets/d/1C3CXT74ZlgGe6_JY_1olB1XN4rF0dxEuIIF-xsYjHgg/edit?usp=sharing"",""งบกองทุน!EM20"")"),500)</f>
        <v>500</v>
      </c>
      <c r="I16" s="296">
        <f t="shared" ref="I16:I32" ca="1" si="36">H16</f>
        <v>500</v>
      </c>
      <c r="J16" s="296">
        <f ca="1">IFERROR(__xludf.DUMMYFUNCTION("IMPORTRANGE(""https://docs.google.com/spreadsheets/d/11923uPwbBZFjjGgGUA6NLw09EwE0CqkOc4q9oUmW1yo/edit?usp=sharing"",""กำแพงเพชร!J484"")"),26)</f>
        <v>26</v>
      </c>
      <c r="K16" s="296">
        <f ca="1">IFERROR(__xludf.DUMMYFUNCTION("IMPORTRANGE(""https://docs.google.com/spreadsheets/d/11923uPwbBZFjjGgGUA6NLw09EwE0CqkOc4q9oUmW1yo/edit?usp=sharing"",""กำแพงเพชร!J485"")"),34.53)</f>
        <v>34.53</v>
      </c>
      <c r="L16" s="297">
        <f t="shared" ca="1" si="3"/>
        <v>5.2</v>
      </c>
      <c r="M16" s="296">
        <f ca="1">IFERROR(__xludf.DUMMYFUNCTION("IMPORTRANGE(""https://docs.google.com/spreadsheets/d/11923uPwbBZFjjGgGUA6NLw09EwE0CqkOc4q9oUmW1yo/edit?usp=sharing"",""กำแพงเพชร!J486"")"),0)</f>
        <v>0</v>
      </c>
      <c r="N16" s="296">
        <f ca="1">IFERROR(__xludf.DUMMYFUNCTION("IMPORTRANGE(""https://docs.google.com/spreadsheets/d/11923uPwbBZFjjGgGUA6NLw09EwE0CqkOc4q9oUmW1yo/edit?usp=sharing"",""กำแพงเพชร!J487"")"),0)</f>
        <v>0</v>
      </c>
      <c r="O16" s="297">
        <f t="shared" ca="1" si="5"/>
        <v>0</v>
      </c>
      <c r="P16" s="296">
        <f ca="1">IFERROR(__xludf.DUMMYFUNCTION("IMPORTRANGE(""https://docs.google.com/spreadsheets/d/11923uPwbBZFjjGgGUA6NLw09EwE0CqkOc4q9oUmW1yo/edit?usp=sharing"",""กำแพงเพชร!J488"")"),0)</f>
        <v>0</v>
      </c>
      <c r="Q16" s="297">
        <f ca="1">IFERROR(__xludf.DUMMYFUNCTION("IMPORTRANGE(""https://docs.google.com/spreadsheets/d/11923uPwbBZFjjGgGUA6NLw09EwE0CqkOc4q9oUmW1yo/edit?usp=sharing"",""กำแพงเพชร!J489"")"),0)</f>
        <v>0</v>
      </c>
      <c r="R16" s="297">
        <f t="shared" ca="1" si="7"/>
        <v>0</v>
      </c>
      <c r="S16" s="296">
        <f ca="1">IFERROR(__xludf.DUMMYFUNCTION("IMPORTRANGE(""https://docs.google.com/spreadsheets/d/11923uPwbBZFjjGgGUA6NLw09EwE0CqkOc4q9oUmW1yo/edit?usp=sharing"",""กำแพงเพชร!J490"")"),0)</f>
        <v>0</v>
      </c>
      <c r="T16" s="297">
        <f ca="1">IFERROR(__xludf.DUMMYFUNCTION("IMPORTRANGE(""https://docs.google.com/spreadsheets/d/11923uPwbBZFjjGgGUA6NLw09EwE0CqkOc4q9oUmW1yo/edit?usp=sharing"",""กำแพงเพชร!J491"")"),0)</f>
        <v>0</v>
      </c>
      <c r="U16" s="297">
        <f t="shared" ca="1" si="9"/>
        <v>0</v>
      </c>
    </row>
    <row r="17" spans="1:21" ht="24" customHeight="1">
      <c r="A17" s="303">
        <v>2</v>
      </c>
      <c r="B17" s="304" t="s">
        <v>41</v>
      </c>
      <c r="C17" s="305">
        <f t="shared" ca="1" si="35"/>
        <v>359076</v>
      </c>
      <c r="D17" s="306">
        <f ca="1">IFERROR(__xludf.DUMMYFUNCTION("IMPORTRANGE(""https://docs.google.com/spreadsheets/d/1C3CXT74ZlgGe6_JY_1olB1XN4rF0dxEuIIF-xsYjHgg/edit?usp=sharing"",""งบกองทุน!EK21"")"),0)</f>
        <v>0</v>
      </c>
      <c r="E17" s="306">
        <f ca="1">IFERROR(__xludf.DUMMYFUNCTION("IMPORTRANGE(""https://docs.google.com/spreadsheets/d/1C3CXT74ZlgGe6_JY_1olB1XN4rF0dxEuIIF-xsYjHgg/edit?usp=sharing"",""งบกองทุน!EL21"")"),359076)</f>
        <v>359076</v>
      </c>
      <c r="F17" s="307">
        <f ca="1">IFERROR(__xludf.DUMMYFUNCTION("IMPORTRANGE(""https://docs.google.com/spreadsheets/d/11923uPwbBZFjjGgGUA6NLw09EwE0CqkOc4q9oUmW1yo/edit?usp=sharing"",""เชียงราย!M475"")"),71947)</f>
        <v>71947</v>
      </c>
      <c r="G17" s="307">
        <f t="shared" ca="1" si="1"/>
        <v>20.036705321436131</v>
      </c>
      <c r="H17" s="306">
        <f ca="1">IFERROR(__xludf.DUMMYFUNCTION("IMPORTRANGE(""https://docs.google.com/spreadsheets/d/1C3CXT74ZlgGe6_JY_1olB1XN4rF0dxEuIIF-xsYjHgg/edit?usp=sharing"",""งบกองทุน!EM21"")"),176)</f>
        <v>176</v>
      </c>
      <c r="I17" s="306">
        <f t="shared" ca="1" si="36"/>
        <v>176</v>
      </c>
      <c r="J17" s="306">
        <f ca="1">IFERROR(__xludf.DUMMYFUNCTION("IMPORTRANGE(""https://docs.google.com/spreadsheets/d/11923uPwbBZFjjGgGUA6NLw09EwE0CqkOc4q9oUmW1yo/edit?usp=sharing"",""เชียงราย!J484"")"),68)</f>
        <v>68</v>
      </c>
      <c r="K17" s="306">
        <f ca="1">IFERROR(__xludf.DUMMYFUNCTION("IMPORTRANGE(""https://docs.google.com/spreadsheets/d/11923uPwbBZFjjGgGUA6NLw09EwE0CqkOc4q9oUmW1yo/edit?usp=sharing"",""เชียงราย!J485"")"),41.67)</f>
        <v>41.67</v>
      </c>
      <c r="L17" s="307">
        <f t="shared" ca="1" si="3"/>
        <v>38.636363636363633</v>
      </c>
      <c r="M17" s="306">
        <f ca="1">IFERROR(__xludf.DUMMYFUNCTION("IMPORTRANGE(""https://docs.google.com/spreadsheets/d/11923uPwbBZFjjGgGUA6NLw09EwE0CqkOc4q9oUmW1yo/edit?usp=sharing"",""เชียงราย!J486"")"),2)</f>
        <v>2</v>
      </c>
      <c r="N17" s="306">
        <f ca="1">IFERROR(__xludf.DUMMYFUNCTION("IMPORTRANGE(""https://docs.google.com/spreadsheets/d/11923uPwbBZFjjGgGUA6NLw09EwE0CqkOc4q9oUmW1yo/edit?usp=sharing"",""เชียงราย!J487"")"),0.62)</f>
        <v>0.62</v>
      </c>
      <c r="O17" s="307">
        <f t="shared" ca="1" si="5"/>
        <v>1.1363636363636365</v>
      </c>
      <c r="P17" s="306">
        <f ca="1">IFERROR(__xludf.DUMMYFUNCTION("IMPORTRANGE(""https://docs.google.com/spreadsheets/d/11923uPwbBZFjjGgGUA6NLw09EwE0CqkOc4q9oUmW1yo/edit?usp=sharing"",""เชียงราย!J488"")"),2)</f>
        <v>2</v>
      </c>
      <c r="Q17" s="307">
        <f ca="1">IFERROR(__xludf.DUMMYFUNCTION("IMPORTRANGE(""https://docs.google.com/spreadsheets/d/11923uPwbBZFjjGgGUA6NLw09EwE0CqkOc4q9oUmW1yo/edit?usp=sharing"",""เชียงราย!J489"")"),1.28)</f>
        <v>1.28</v>
      </c>
      <c r="R17" s="307">
        <f t="shared" ca="1" si="7"/>
        <v>1.1363636363636365</v>
      </c>
      <c r="S17" s="306">
        <f ca="1">IFERROR(__xludf.DUMMYFUNCTION("IMPORTRANGE(""https://docs.google.com/spreadsheets/d/11923uPwbBZFjjGgGUA6NLw09EwE0CqkOc4q9oUmW1yo/edit?usp=sharing"",""เชียงราย!J490"")"),4)</f>
        <v>4</v>
      </c>
      <c r="T17" s="307">
        <f ca="1">IFERROR(__xludf.DUMMYFUNCTION("IMPORTRANGE(""https://docs.google.com/spreadsheets/d/11923uPwbBZFjjGgGUA6NLw09EwE0CqkOc4q9oUmW1yo/edit?usp=sharing"",""เชียงราย!J491"")"),2.04)</f>
        <v>2.04</v>
      </c>
      <c r="U17" s="307">
        <f t="shared" ca="1" si="9"/>
        <v>2.2727272727272729</v>
      </c>
    </row>
    <row r="18" spans="1:21" ht="21" customHeight="1">
      <c r="A18" s="303">
        <v>3</v>
      </c>
      <c r="B18" s="304" t="s">
        <v>42</v>
      </c>
      <c r="C18" s="305">
        <f t="shared" ca="1" si="35"/>
        <v>153230</v>
      </c>
      <c r="D18" s="306">
        <f ca="1">IFERROR(__xludf.DUMMYFUNCTION("IMPORTRANGE(""https://docs.google.com/spreadsheets/d/1C3CXT74ZlgGe6_JY_1olB1XN4rF0dxEuIIF-xsYjHgg/edit?usp=sharing"",""งบกองทุน!EK22"")"),0)</f>
        <v>0</v>
      </c>
      <c r="E18" s="306">
        <f ca="1">IFERROR(__xludf.DUMMYFUNCTION("IMPORTRANGE(""https://docs.google.com/spreadsheets/d/1C3CXT74ZlgGe6_JY_1olB1XN4rF0dxEuIIF-xsYjHgg/edit?usp=sharing"",""งบกองทุน!EL22"")"),153230)</f>
        <v>153230</v>
      </c>
      <c r="F18" s="307">
        <f ca="1">IFERROR(__xludf.DUMMYFUNCTION("IMPORTRANGE(""https://docs.google.com/spreadsheets/d/11923uPwbBZFjjGgGUA6NLw09EwE0CqkOc4q9oUmW1yo/edit?usp=sharing"",""เชียงใหม่!M475"")"),10920)</f>
        <v>10920</v>
      </c>
      <c r="G18" s="307">
        <f t="shared" ca="1" si="1"/>
        <v>7.126541799908634</v>
      </c>
      <c r="H18" s="306">
        <f ca="1">IFERROR(__xludf.DUMMYFUNCTION("IMPORTRANGE(""https://docs.google.com/spreadsheets/d/1C3CXT74ZlgGe6_JY_1olB1XN4rF0dxEuIIF-xsYjHgg/edit?usp=sharing"",""งบกองทุน!EM22"")"),30)</f>
        <v>30</v>
      </c>
      <c r="I18" s="306">
        <f t="shared" ca="1" si="36"/>
        <v>30</v>
      </c>
      <c r="J18" s="306">
        <f ca="1">IFERROR(__xludf.DUMMYFUNCTION("IMPORTRANGE(""https://docs.google.com/spreadsheets/d/11923uPwbBZFjjGgGUA6NLw09EwE0CqkOc4q9oUmW1yo/edit?usp=sharing"",""เชียงใหม่!J484"")"),31)</f>
        <v>31</v>
      </c>
      <c r="K18" s="306">
        <f ca="1">IFERROR(__xludf.DUMMYFUNCTION("IMPORTRANGE(""https://docs.google.com/spreadsheets/d/11923uPwbBZFjjGgGUA6NLw09EwE0CqkOc4q9oUmW1yo/edit?usp=sharing"",""เชียงใหม่!J485"")"),11.18)</f>
        <v>11.18</v>
      </c>
      <c r="L18" s="307">
        <f t="shared" ca="1" si="3"/>
        <v>103.33333333333333</v>
      </c>
      <c r="M18" s="306">
        <f ca="1">IFERROR(__xludf.DUMMYFUNCTION("IMPORTRANGE(""https://docs.google.com/spreadsheets/d/11923uPwbBZFjjGgGUA6NLw09EwE0CqkOc4q9oUmW1yo/edit?usp=sharing"",""เชียงใหม่!J486"")"),14)</f>
        <v>14</v>
      </c>
      <c r="N18" s="306">
        <f ca="1">IFERROR(__xludf.DUMMYFUNCTION("IMPORTRANGE(""https://docs.google.com/spreadsheets/d/11923uPwbBZFjjGgGUA6NLw09EwE0CqkOc4q9oUmW1yo/edit?usp=sharing"",""เชียงใหม่!J487"")"),4.83)</f>
        <v>4.83</v>
      </c>
      <c r="O18" s="307">
        <f t="shared" ca="1" si="5"/>
        <v>46.666666666666664</v>
      </c>
      <c r="P18" s="306">
        <f ca="1">IFERROR(__xludf.DUMMYFUNCTION("IMPORTRANGE(""https://docs.google.com/spreadsheets/d/11923uPwbBZFjjGgGUA6NLw09EwE0CqkOc4q9oUmW1yo/edit?usp=sharing"",""เชียงใหม่!J488"")"),0)</f>
        <v>0</v>
      </c>
      <c r="Q18" s="307">
        <f ca="1">IFERROR(__xludf.DUMMYFUNCTION("IMPORTRANGE(""https://docs.google.com/spreadsheets/d/11923uPwbBZFjjGgGUA6NLw09EwE0CqkOc4q9oUmW1yo/edit?usp=sharing"",""เชียงใหม่!J489"")"),0)</f>
        <v>0</v>
      </c>
      <c r="R18" s="307">
        <f t="shared" ca="1" si="7"/>
        <v>0</v>
      </c>
      <c r="S18" s="306">
        <f ca="1">IFERROR(__xludf.DUMMYFUNCTION("IMPORTRANGE(""https://docs.google.com/spreadsheets/d/11923uPwbBZFjjGgGUA6NLw09EwE0CqkOc4q9oUmW1yo/edit?usp=sharing"",""เชียงใหม่!J490"")"),0)</f>
        <v>0</v>
      </c>
      <c r="T18" s="307">
        <f ca="1">IFERROR(__xludf.DUMMYFUNCTION("IMPORTRANGE(""https://docs.google.com/spreadsheets/d/11923uPwbBZFjjGgGUA6NLw09EwE0CqkOc4q9oUmW1yo/edit?usp=sharing"",""เชียงใหม่!J491"")"),0)</f>
        <v>0</v>
      </c>
      <c r="U18" s="307">
        <f t="shared" ca="1" si="9"/>
        <v>0</v>
      </c>
    </row>
    <row r="19" spans="1:21" ht="24" customHeight="1">
      <c r="A19" s="303">
        <v>4</v>
      </c>
      <c r="B19" s="304" t="s">
        <v>43</v>
      </c>
      <c r="C19" s="305">
        <f t="shared" ca="1" si="35"/>
        <v>370020</v>
      </c>
      <c r="D19" s="306">
        <f ca="1">IFERROR(__xludf.DUMMYFUNCTION("IMPORTRANGE(""https://docs.google.com/spreadsheets/d/1C3CXT74ZlgGe6_JY_1olB1XN4rF0dxEuIIF-xsYjHgg/edit?usp=sharing"",""งบกองทุน!EK23"")"),0)</f>
        <v>0</v>
      </c>
      <c r="E19" s="306">
        <f ca="1">IFERROR(__xludf.DUMMYFUNCTION("IMPORTRANGE(""https://docs.google.com/spreadsheets/d/1C3CXT74ZlgGe6_JY_1olB1XN4rF0dxEuIIF-xsYjHgg/edit?usp=sharing"",""งบกองทุน!EL23"")"),370020)</f>
        <v>370020</v>
      </c>
      <c r="F19" s="307">
        <f ca="1">IFERROR(__xludf.DUMMYFUNCTION("IMPORTRANGE(""https://docs.google.com/spreadsheets/d/11923uPwbBZFjjGgGUA6NLw09EwE0CqkOc4q9oUmW1yo/edit?usp=sharing"",""ตาก!M475"")"),97050.25)</f>
        <v>97050.25</v>
      </c>
      <c r="G19" s="307">
        <f t="shared" ca="1" si="1"/>
        <v>26.22837954705151</v>
      </c>
      <c r="H19" s="306">
        <f ca="1">IFERROR(__xludf.DUMMYFUNCTION("IMPORTRANGE(""https://docs.google.com/spreadsheets/d/1C3CXT74ZlgGe6_JY_1olB1XN4rF0dxEuIIF-xsYjHgg/edit?usp=sharing"",""งบกองทุน!EM23"")"),220)</f>
        <v>220</v>
      </c>
      <c r="I19" s="306">
        <f t="shared" ca="1" si="36"/>
        <v>220</v>
      </c>
      <c r="J19" s="306">
        <f ca="1">IFERROR(__xludf.DUMMYFUNCTION("IMPORTRANGE(""https://docs.google.com/spreadsheets/d/11923uPwbBZFjjGgGUA6NLw09EwE0CqkOc4q9oUmW1yo/edit?usp=sharing"",""ตาก!J484"")"),0)</f>
        <v>0</v>
      </c>
      <c r="K19" s="306">
        <f ca="1">IFERROR(__xludf.DUMMYFUNCTION("IMPORTRANGE(""https://docs.google.com/spreadsheets/d/11923uPwbBZFjjGgGUA6NLw09EwE0CqkOc4q9oUmW1yo/edit?usp=sharing"",""ตาก!J485"")"),0)</f>
        <v>0</v>
      </c>
      <c r="L19" s="307">
        <f t="shared" ca="1" si="3"/>
        <v>0</v>
      </c>
      <c r="M19" s="306">
        <f ca="1">IFERROR(__xludf.DUMMYFUNCTION("IMPORTRANGE(""https://docs.google.com/spreadsheets/d/11923uPwbBZFjjGgGUA6NLw09EwE0CqkOc4q9oUmW1yo/edit?usp=sharing"",""ตาก!J486"")"),0)</f>
        <v>0</v>
      </c>
      <c r="N19" s="306">
        <f ca="1">IFERROR(__xludf.DUMMYFUNCTION("IMPORTRANGE(""https://docs.google.com/spreadsheets/d/11923uPwbBZFjjGgGUA6NLw09EwE0CqkOc4q9oUmW1yo/edit?usp=sharing"",""ตาก!J487"")"),0)</f>
        <v>0</v>
      </c>
      <c r="O19" s="307">
        <f t="shared" ca="1" si="5"/>
        <v>0</v>
      </c>
      <c r="P19" s="306">
        <f ca="1">IFERROR(__xludf.DUMMYFUNCTION("IMPORTRANGE(""https://docs.google.com/spreadsheets/d/11923uPwbBZFjjGgGUA6NLw09EwE0CqkOc4q9oUmW1yo/edit?usp=sharing"",""ตาก!J488"")"),0)</f>
        <v>0</v>
      </c>
      <c r="Q19" s="307">
        <f ca="1">IFERROR(__xludf.DUMMYFUNCTION("IMPORTRANGE(""https://docs.google.com/spreadsheets/d/11923uPwbBZFjjGgGUA6NLw09EwE0CqkOc4q9oUmW1yo/edit?usp=sharing"",""ตาก!J489"")"),0)</f>
        <v>0</v>
      </c>
      <c r="R19" s="307">
        <f t="shared" ca="1" si="7"/>
        <v>0</v>
      </c>
      <c r="S19" s="306">
        <f ca="1">IFERROR(__xludf.DUMMYFUNCTION("IMPORTRANGE(""https://docs.google.com/spreadsheets/d/11923uPwbBZFjjGgGUA6NLw09EwE0CqkOc4q9oUmW1yo/edit?usp=sharing"",""ตาก!J490"")"),0)</f>
        <v>0</v>
      </c>
      <c r="T19" s="307">
        <f ca="1">IFERROR(__xludf.DUMMYFUNCTION("IMPORTRANGE(""https://docs.google.com/spreadsheets/d/11923uPwbBZFjjGgGUA6NLw09EwE0CqkOc4q9oUmW1yo/edit?usp=sharing"",""ตาก!J491"")"),0)</f>
        <v>0</v>
      </c>
      <c r="U19" s="307">
        <f t="shared" ca="1" si="9"/>
        <v>0</v>
      </c>
    </row>
    <row r="20" spans="1:21" ht="21" customHeight="1">
      <c r="A20" s="303">
        <v>5</v>
      </c>
      <c r="B20" s="304" t="s">
        <v>44</v>
      </c>
      <c r="C20" s="305">
        <f t="shared" ca="1" si="35"/>
        <v>0</v>
      </c>
      <c r="D20" s="306">
        <f ca="1">IFERROR(__xludf.DUMMYFUNCTION("IMPORTRANGE(""https://docs.google.com/spreadsheets/d/1C3CXT74ZlgGe6_JY_1olB1XN4rF0dxEuIIF-xsYjHgg/edit?usp=sharing"",""งบกองทุน!EK24"")"),0)</f>
        <v>0</v>
      </c>
      <c r="E20" s="306">
        <f ca="1">IFERROR(__xludf.DUMMYFUNCTION("IMPORTRANGE(""https://docs.google.com/spreadsheets/d/1C3CXT74ZlgGe6_JY_1olB1XN4rF0dxEuIIF-xsYjHgg/edit?usp=sharing"",""งบกองทุน!EL24"")"),0)</f>
        <v>0</v>
      </c>
      <c r="F20" s="307">
        <f ca="1">IFERROR(__xludf.DUMMYFUNCTION("IMPORTRANGE(""https://docs.google.com/spreadsheets/d/11923uPwbBZFjjGgGUA6NLw09EwE0CqkOc4q9oUmW1yo/edit?usp=sharing"",""นครสวรรค์!M475"")"),0)</f>
        <v>0</v>
      </c>
      <c r="G20" s="307">
        <f t="shared" ca="1" si="1"/>
        <v>0</v>
      </c>
      <c r="H20" s="306">
        <f ca="1">IFERROR(__xludf.DUMMYFUNCTION("IMPORTRANGE(""https://docs.google.com/spreadsheets/d/1C3CXT74ZlgGe6_JY_1olB1XN4rF0dxEuIIF-xsYjHgg/edit?usp=sharing"",""งบกองทุน!EM24"")"),0)</f>
        <v>0</v>
      </c>
      <c r="I20" s="306">
        <f t="shared" ca="1" si="36"/>
        <v>0</v>
      </c>
      <c r="J20" s="306">
        <f ca="1">IFERROR(__xludf.DUMMYFUNCTION("IMPORTRANGE(""https://docs.google.com/spreadsheets/d/11923uPwbBZFjjGgGUA6NLw09EwE0CqkOc4q9oUmW1yo/edit?usp=sharing"",""นครสวรรค์!J484"")"),0)</f>
        <v>0</v>
      </c>
      <c r="K20" s="306">
        <f ca="1">IFERROR(__xludf.DUMMYFUNCTION("IMPORTRANGE(""https://docs.google.com/spreadsheets/d/11923uPwbBZFjjGgGUA6NLw09EwE0CqkOc4q9oUmW1yo/edit?usp=sharing"",""นครสวรรค์!J485"")"),0)</f>
        <v>0</v>
      </c>
      <c r="L20" s="307">
        <f t="shared" ca="1" si="3"/>
        <v>0</v>
      </c>
      <c r="M20" s="306">
        <f ca="1">IFERROR(__xludf.DUMMYFUNCTION("IMPORTRANGE(""https://docs.google.com/spreadsheets/d/11923uPwbBZFjjGgGUA6NLw09EwE0CqkOc4q9oUmW1yo/edit?usp=sharing"",""นครสวรรค์!J486"")"),0)</f>
        <v>0</v>
      </c>
      <c r="N20" s="306">
        <f ca="1">IFERROR(__xludf.DUMMYFUNCTION("IMPORTRANGE(""https://docs.google.com/spreadsheets/d/11923uPwbBZFjjGgGUA6NLw09EwE0CqkOc4q9oUmW1yo/edit?usp=sharing"",""นครสวรรค์!J487"")"),0)</f>
        <v>0</v>
      </c>
      <c r="O20" s="307">
        <f t="shared" ca="1" si="5"/>
        <v>0</v>
      </c>
      <c r="P20" s="306">
        <f ca="1">IFERROR(__xludf.DUMMYFUNCTION("IMPORTRANGE(""https://docs.google.com/spreadsheets/d/11923uPwbBZFjjGgGUA6NLw09EwE0CqkOc4q9oUmW1yo/edit?usp=sharing"",""นครสวรรค์!J488"")"),0)</f>
        <v>0</v>
      </c>
      <c r="Q20" s="307">
        <f ca="1">IFERROR(__xludf.DUMMYFUNCTION("IMPORTRANGE(""https://docs.google.com/spreadsheets/d/11923uPwbBZFjjGgGUA6NLw09EwE0CqkOc4q9oUmW1yo/edit?usp=sharing"",""นครสวรรค์!J489"")"),0)</f>
        <v>0</v>
      </c>
      <c r="R20" s="307">
        <f t="shared" ca="1" si="7"/>
        <v>0</v>
      </c>
      <c r="S20" s="306">
        <f ca="1">IFERROR(__xludf.DUMMYFUNCTION("IMPORTRANGE(""https://docs.google.com/spreadsheets/d/11923uPwbBZFjjGgGUA6NLw09EwE0CqkOc4q9oUmW1yo/edit?usp=sharing"",""นครสวรรค์!J490"")"),0)</f>
        <v>0</v>
      </c>
      <c r="T20" s="307">
        <f ca="1">IFERROR(__xludf.DUMMYFUNCTION("IMPORTRANGE(""https://docs.google.com/spreadsheets/d/11923uPwbBZFjjGgGUA6NLw09EwE0CqkOc4q9oUmW1yo/edit?usp=sharing"",""นครสวรรค์!J491"")"),0)</f>
        <v>0</v>
      </c>
      <c r="U20" s="307">
        <f t="shared" ca="1" si="9"/>
        <v>0</v>
      </c>
    </row>
    <row r="21" spans="1:21" ht="21" customHeight="1">
      <c r="A21" s="303">
        <v>6</v>
      </c>
      <c r="B21" s="304" t="s">
        <v>45</v>
      </c>
      <c r="C21" s="305">
        <f t="shared" ca="1" si="35"/>
        <v>298470</v>
      </c>
      <c r="D21" s="306">
        <f ca="1">IFERROR(__xludf.DUMMYFUNCTION("IMPORTRANGE(""https://docs.google.com/spreadsheets/d/1C3CXT74ZlgGe6_JY_1olB1XN4rF0dxEuIIF-xsYjHgg/edit?usp=sharing"",""งบกองทุน!EK25"")"),0)</f>
        <v>0</v>
      </c>
      <c r="E21" s="306">
        <f ca="1">IFERROR(__xludf.DUMMYFUNCTION("IMPORTRANGE(""https://docs.google.com/spreadsheets/d/1C3CXT74ZlgGe6_JY_1olB1XN4rF0dxEuIIF-xsYjHgg/edit?usp=sharing"",""งบกองทุน!EL25"")"),298470)</f>
        <v>298470</v>
      </c>
      <c r="F21" s="307">
        <f ca="1">IFERROR(__xludf.DUMMYFUNCTION("IMPORTRANGE(""https://docs.google.com/spreadsheets/d/11923uPwbBZFjjGgGUA6NLw09EwE0CqkOc4q9oUmW1yo/edit?usp=sharing"",""น่าน!M475"")"),54370)</f>
        <v>54370</v>
      </c>
      <c r="G21" s="307">
        <f t="shared" ca="1" si="1"/>
        <v>18.216236137635274</v>
      </c>
      <c r="H21" s="306">
        <f ca="1">IFERROR(__xludf.DUMMYFUNCTION("IMPORTRANGE(""https://docs.google.com/spreadsheets/d/1C3CXT74ZlgGe6_JY_1olB1XN4rF0dxEuIIF-xsYjHgg/edit?usp=sharing"",""งบกองทุน!EM25"")"),70)</f>
        <v>70</v>
      </c>
      <c r="I21" s="306">
        <f t="shared" ca="1" si="36"/>
        <v>70</v>
      </c>
      <c r="J21" s="306">
        <f ca="1">IFERROR(__xludf.DUMMYFUNCTION("IMPORTRANGE(""https://docs.google.com/spreadsheets/d/11923uPwbBZFjjGgGUA6NLw09EwE0CqkOc4q9oUmW1yo/edit?usp=sharing"",""น่าน!J484"")"),1)</f>
        <v>1</v>
      </c>
      <c r="K21" s="306">
        <f ca="1">IFERROR(__xludf.DUMMYFUNCTION("IMPORTRANGE(""https://docs.google.com/spreadsheets/d/11923uPwbBZFjjGgGUA6NLw09EwE0CqkOc4q9oUmW1yo/edit?usp=sharing"",""น่าน!J485"")"),1.75)</f>
        <v>1.75</v>
      </c>
      <c r="L21" s="307">
        <f t="shared" ca="1" si="3"/>
        <v>1.4285714285714286</v>
      </c>
      <c r="M21" s="306">
        <f ca="1">IFERROR(__xludf.DUMMYFUNCTION("IMPORTRANGE(""https://docs.google.com/spreadsheets/d/11923uPwbBZFjjGgGUA6NLw09EwE0CqkOc4q9oUmW1yo/edit?usp=sharing"",""น่าน!J486"")"),2)</f>
        <v>2</v>
      </c>
      <c r="N21" s="306">
        <f ca="1">IFERROR(__xludf.DUMMYFUNCTION("IMPORTRANGE(""https://docs.google.com/spreadsheets/d/11923uPwbBZFjjGgGUA6NLw09EwE0CqkOc4q9oUmW1yo/edit?usp=sharing"",""น่าน!J487"")"),0.77)</f>
        <v>0.77</v>
      </c>
      <c r="O21" s="307">
        <f t="shared" ca="1" si="5"/>
        <v>2.8571428571428572</v>
      </c>
      <c r="P21" s="306">
        <f ca="1">IFERROR(__xludf.DUMMYFUNCTION("IMPORTRANGE(""https://docs.google.com/spreadsheets/d/11923uPwbBZFjjGgGUA6NLw09EwE0CqkOc4q9oUmW1yo/edit?usp=sharing"",""น่าน!J488"")"),0)</f>
        <v>0</v>
      </c>
      <c r="Q21" s="307">
        <f ca="1">IFERROR(__xludf.DUMMYFUNCTION("IMPORTRANGE(""https://docs.google.com/spreadsheets/d/11923uPwbBZFjjGgGUA6NLw09EwE0CqkOc4q9oUmW1yo/edit?usp=sharing"",""น่าน!J489"")"),0)</f>
        <v>0</v>
      </c>
      <c r="R21" s="307">
        <f t="shared" ca="1" si="7"/>
        <v>0</v>
      </c>
      <c r="S21" s="306">
        <f ca="1">IFERROR(__xludf.DUMMYFUNCTION("IMPORTRANGE(""https://docs.google.com/spreadsheets/d/11923uPwbBZFjjGgGUA6NLw09EwE0CqkOc4q9oUmW1yo/edit?usp=sharing"",""น่าน!J490"")"),4)</f>
        <v>4</v>
      </c>
      <c r="T21" s="307">
        <f ca="1">IFERROR(__xludf.DUMMYFUNCTION("IMPORTRANGE(""https://docs.google.com/spreadsheets/d/11923uPwbBZFjjGgGUA6NLw09EwE0CqkOc4q9oUmW1yo/edit?usp=sharing"",""น่าน!J491"")"),0.88)</f>
        <v>0.88</v>
      </c>
      <c r="U21" s="307">
        <f t="shared" ca="1" si="9"/>
        <v>5.7142857142857144</v>
      </c>
    </row>
    <row r="22" spans="1:21" ht="21" customHeight="1">
      <c r="A22" s="303">
        <v>7</v>
      </c>
      <c r="B22" s="304" t="s">
        <v>46</v>
      </c>
      <c r="C22" s="305">
        <f t="shared" ca="1" si="35"/>
        <v>138840</v>
      </c>
      <c r="D22" s="306">
        <f ca="1">IFERROR(__xludf.DUMMYFUNCTION("IMPORTRANGE(""https://docs.google.com/spreadsheets/d/1C3CXT74ZlgGe6_JY_1olB1XN4rF0dxEuIIF-xsYjHgg/edit?usp=sharing"",""งบกองทุน!EK26"")"),0)</f>
        <v>0</v>
      </c>
      <c r="E22" s="306">
        <f ca="1">IFERROR(__xludf.DUMMYFUNCTION("IMPORTRANGE(""https://docs.google.com/spreadsheets/d/1C3CXT74ZlgGe6_JY_1olB1XN4rF0dxEuIIF-xsYjHgg/edit?usp=sharing"",""งบกองทุน!EL26"")"),138840)</f>
        <v>138840</v>
      </c>
      <c r="F22" s="307">
        <f ca="1">IFERROR(__xludf.DUMMYFUNCTION("IMPORTRANGE(""https://docs.google.com/spreadsheets/d/11923uPwbBZFjjGgGUA6NLw09EwE0CqkOc4q9oUmW1yo/edit?usp=sharing"",""พะเยา!M475"")"),0)</f>
        <v>0</v>
      </c>
      <c r="G22" s="307">
        <f t="shared" ca="1" si="1"/>
        <v>0</v>
      </c>
      <c r="H22" s="306">
        <f ca="1">IFERROR(__xludf.DUMMYFUNCTION("IMPORTRANGE(""https://docs.google.com/spreadsheets/d/1C3CXT74ZlgGe6_JY_1olB1XN4rF0dxEuIIF-xsYjHgg/edit?usp=sharing"",""งบกองทุน!EM26"")"),40)</f>
        <v>40</v>
      </c>
      <c r="I22" s="306">
        <f t="shared" ca="1" si="36"/>
        <v>40</v>
      </c>
      <c r="J22" s="306">
        <f ca="1">IFERROR(__xludf.DUMMYFUNCTION("IMPORTRANGE(""https://docs.google.com/spreadsheets/d/11923uPwbBZFjjGgGUA6NLw09EwE0CqkOc4q9oUmW1yo/edit?usp=sharing"",""พะเยา!J484"")"),0)</f>
        <v>0</v>
      </c>
      <c r="K22" s="306">
        <f ca="1">IFERROR(__xludf.DUMMYFUNCTION("IMPORTRANGE(""https://docs.google.com/spreadsheets/d/11923uPwbBZFjjGgGUA6NLw09EwE0CqkOc4q9oUmW1yo/edit?usp=sharing"",""พะเยา!J485"")"),0)</f>
        <v>0</v>
      </c>
      <c r="L22" s="307">
        <f t="shared" ca="1" si="3"/>
        <v>0</v>
      </c>
      <c r="M22" s="306">
        <f ca="1">IFERROR(__xludf.DUMMYFUNCTION("IMPORTRANGE(""https://docs.google.com/spreadsheets/d/11923uPwbBZFjjGgGUA6NLw09EwE0CqkOc4q9oUmW1yo/edit?usp=sharing"",""พะเยา!J486"")"),11)</f>
        <v>11</v>
      </c>
      <c r="N22" s="306">
        <f ca="1">IFERROR(__xludf.DUMMYFUNCTION("IMPORTRANGE(""https://docs.google.com/spreadsheets/d/11923uPwbBZFjjGgGUA6NLw09EwE0CqkOc4q9oUmW1yo/edit?usp=sharing"",""พะเยา!J487"")"),5.5)</f>
        <v>5.5</v>
      </c>
      <c r="O22" s="307">
        <f t="shared" ca="1" si="5"/>
        <v>27.5</v>
      </c>
      <c r="P22" s="306">
        <f ca="1">IFERROR(__xludf.DUMMYFUNCTION("IMPORTRANGE(""https://docs.google.com/spreadsheets/d/11923uPwbBZFjjGgGUA6NLw09EwE0CqkOc4q9oUmW1yo/edit?usp=sharing"",""พะเยา!J488"")"),0)</f>
        <v>0</v>
      </c>
      <c r="Q22" s="307">
        <f ca="1">IFERROR(__xludf.DUMMYFUNCTION("IMPORTRANGE(""https://docs.google.com/spreadsheets/d/11923uPwbBZFjjGgGUA6NLw09EwE0CqkOc4q9oUmW1yo/edit?usp=sharing"",""พะเยา!J489"")"),0)</f>
        <v>0</v>
      </c>
      <c r="R22" s="307">
        <f t="shared" ca="1" si="7"/>
        <v>0</v>
      </c>
      <c r="S22" s="306">
        <f ca="1">IFERROR(__xludf.DUMMYFUNCTION("IMPORTRANGE(""https://docs.google.com/spreadsheets/d/11923uPwbBZFjjGgGUA6NLw09EwE0CqkOc4q9oUmW1yo/edit?usp=sharing"",""พะเยา!J490"")"),11)</f>
        <v>11</v>
      </c>
      <c r="T22" s="307">
        <f ca="1">IFERROR(__xludf.DUMMYFUNCTION("IMPORTRANGE(""https://docs.google.com/spreadsheets/d/11923uPwbBZFjjGgGUA6NLw09EwE0CqkOc4q9oUmW1yo/edit?usp=sharing"",""พะเยา!J491"")"),5.5)</f>
        <v>5.5</v>
      </c>
      <c r="U22" s="307">
        <f t="shared" ca="1" si="9"/>
        <v>27.5</v>
      </c>
    </row>
    <row r="23" spans="1:21" ht="21" customHeight="1">
      <c r="A23" s="303">
        <v>8</v>
      </c>
      <c r="B23" s="304" t="s">
        <v>47</v>
      </c>
      <c r="C23" s="305">
        <f t="shared" ca="1" si="35"/>
        <v>352400</v>
      </c>
      <c r="D23" s="306">
        <f ca="1">IFERROR(__xludf.DUMMYFUNCTION("IMPORTRANGE(""https://docs.google.com/spreadsheets/d/1C3CXT74ZlgGe6_JY_1olB1XN4rF0dxEuIIF-xsYjHgg/edit?usp=sharing"",""งบกองทุน!EK27"")"),0)</f>
        <v>0</v>
      </c>
      <c r="E23" s="306">
        <f ca="1">IFERROR(__xludf.DUMMYFUNCTION("IMPORTRANGE(""https://docs.google.com/spreadsheets/d/1C3CXT74ZlgGe6_JY_1olB1XN4rF0dxEuIIF-xsYjHgg/edit?usp=sharing"",""งบกองทุน!EL27"")"),352400)</f>
        <v>352400</v>
      </c>
      <c r="F23" s="307">
        <f ca="1">IFERROR(__xludf.DUMMYFUNCTION("IMPORTRANGE(""https://docs.google.com/spreadsheets/d/11923uPwbBZFjjGgGUA6NLw09EwE0CqkOc4q9oUmW1yo/edit?usp=sharing"",""พิจิตร!M475"")"),88961.9599999999)</f>
        <v>88961.959999999905</v>
      </c>
      <c r="G23" s="307">
        <f t="shared" ca="1" si="1"/>
        <v>25.244597048808146</v>
      </c>
      <c r="H23" s="306">
        <f ca="1">IFERROR(__xludf.DUMMYFUNCTION("IMPORTRANGE(""https://docs.google.com/spreadsheets/d/1C3CXT74ZlgGe6_JY_1olB1XN4rF0dxEuIIF-xsYjHgg/edit?usp=sharing"",""งบกองทุน!EM27"")"),200)</f>
        <v>200</v>
      </c>
      <c r="I23" s="306">
        <f t="shared" ca="1" si="36"/>
        <v>200</v>
      </c>
      <c r="J23" s="306">
        <f ca="1">IFERROR(__xludf.DUMMYFUNCTION("IMPORTRANGE(""https://docs.google.com/spreadsheets/d/11923uPwbBZFjjGgGUA6NLw09EwE0CqkOc4q9oUmW1yo/edit?usp=sharing"",""พิจิตร!J484"")"),159)</f>
        <v>159</v>
      </c>
      <c r="K23" s="306">
        <f ca="1">IFERROR(__xludf.DUMMYFUNCTION("IMPORTRANGE(""https://docs.google.com/spreadsheets/d/11923uPwbBZFjjGgGUA6NLw09EwE0CqkOc4q9oUmW1yo/edit?usp=sharing"",""พิจิตร!J485"")"),97.42)</f>
        <v>97.42</v>
      </c>
      <c r="L23" s="307">
        <f t="shared" ca="1" si="3"/>
        <v>79.5</v>
      </c>
      <c r="M23" s="306">
        <f ca="1">IFERROR(__xludf.DUMMYFUNCTION("IMPORTRANGE(""https://docs.google.com/spreadsheets/d/11923uPwbBZFjjGgGUA6NLw09EwE0CqkOc4q9oUmW1yo/edit?usp=sharing"",""พิจิตร!J486"")"),6)</f>
        <v>6</v>
      </c>
      <c r="N23" s="306">
        <f ca="1">IFERROR(__xludf.DUMMYFUNCTION("IMPORTRANGE(""https://docs.google.com/spreadsheets/d/11923uPwbBZFjjGgGUA6NLw09EwE0CqkOc4q9oUmW1yo/edit?usp=sharing"",""พิจิตร!J487"")"),8.53)</f>
        <v>8.5299999999999994</v>
      </c>
      <c r="O23" s="307">
        <f t="shared" ca="1" si="5"/>
        <v>3</v>
      </c>
      <c r="P23" s="306">
        <f ca="1">IFERROR(__xludf.DUMMYFUNCTION("IMPORTRANGE(""https://docs.google.com/spreadsheets/d/11923uPwbBZFjjGgGUA6NLw09EwE0CqkOc4q9oUmW1yo/edit?usp=sharing"",""พิจิตร!J488"")"),0)</f>
        <v>0</v>
      </c>
      <c r="Q23" s="307">
        <f ca="1">IFERROR(__xludf.DUMMYFUNCTION("IMPORTRANGE(""https://docs.google.com/spreadsheets/d/11923uPwbBZFjjGgGUA6NLw09EwE0CqkOc4q9oUmW1yo/edit?usp=sharing"",""พิจิตร!J489"")"),0)</f>
        <v>0</v>
      </c>
      <c r="R23" s="307">
        <f t="shared" ca="1" si="7"/>
        <v>0</v>
      </c>
      <c r="S23" s="306">
        <f ca="1">IFERROR(__xludf.DUMMYFUNCTION("IMPORTRANGE(""https://docs.google.com/spreadsheets/d/11923uPwbBZFjjGgGUA6NLw09EwE0CqkOc4q9oUmW1yo/edit?usp=sharing"",""พิจิตร!J490"")"),21)</f>
        <v>21</v>
      </c>
      <c r="T23" s="307">
        <f ca="1">IFERROR(__xludf.DUMMYFUNCTION("IMPORTRANGE(""https://docs.google.com/spreadsheets/d/11923uPwbBZFjjGgGUA6NLw09EwE0CqkOc4q9oUmW1yo/edit?usp=sharing"",""พิจิตร!J491"")"),15.26)</f>
        <v>15.26</v>
      </c>
      <c r="U23" s="307">
        <f t="shared" ca="1" si="9"/>
        <v>10.5</v>
      </c>
    </row>
    <row r="24" spans="1:21" ht="21" customHeight="1">
      <c r="A24" s="303">
        <v>9</v>
      </c>
      <c r="B24" s="304" t="s">
        <v>48</v>
      </c>
      <c r="C24" s="305">
        <f t="shared" ca="1" si="35"/>
        <v>127824</v>
      </c>
      <c r="D24" s="306">
        <f ca="1">IFERROR(__xludf.DUMMYFUNCTION("IMPORTRANGE(""https://docs.google.com/spreadsheets/d/1C3CXT74ZlgGe6_JY_1olB1XN4rF0dxEuIIF-xsYjHgg/edit?usp=sharing"",""งบกองทุน!EK28"")"),0)</f>
        <v>0</v>
      </c>
      <c r="E24" s="306">
        <f ca="1">IFERROR(__xludf.DUMMYFUNCTION("IMPORTRANGE(""https://docs.google.com/spreadsheets/d/1C3CXT74ZlgGe6_JY_1olB1XN4rF0dxEuIIF-xsYjHgg/edit?usp=sharing"",""งบกองทุน!EL28"")"),127824)</f>
        <v>127824</v>
      </c>
      <c r="F24" s="307">
        <f ca="1">IFERROR(__xludf.DUMMYFUNCTION("IMPORTRANGE(""https://docs.google.com/spreadsheets/d/11923uPwbBZFjjGgGUA6NLw09EwE0CqkOc4q9oUmW1yo/edit?usp=sharing"",""พิษณุโลก!M475"")"),240)</f>
        <v>240</v>
      </c>
      <c r="G24" s="307">
        <f t="shared" ca="1" si="1"/>
        <v>0.1877581674802854</v>
      </c>
      <c r="H24" s="306">
        <f ca="1">IFERROR(__xludf.DUMMYFUNCTION("IMPORTRANGE(""https://docs.google.com/spreadsheets/d/1C3CXT74ZlgGe6_JY_1olB1XN4rF0dxEuIIF-xsYjHgg/edit?usp=sharing"",""งบกองทุน!EM28"")"),24)</f>
        <v>24</v>
      </c>
      <c r="I24" s="306">
        <f t="shared" ca="1" si="36"/>
        <v>24</v>
      </c>
      <c r="J24" s="306">
        <f ca="1">IFERROR(__xludf.DUMMYFUNCTION("IMPORTRANGE(""https://docs.google.com/spreadsheets/d/11923uPwbBZFjjGgGUA6NLw09EwE0CqkOc4q9oUmW1yo/edit?usp=sharing"",""พิษณุโลก!J484"")"),5)</f>
        <v>5</v>
      </c>
      <c r="K24" s="306">
        <f ca="1">IFERROR(__xludf.DUMMYFUNCTION("IMPORTRANGE(""https://docs.google.com/spreadsheets/d/11923uPwbBZFjjGgGUA6NLw09EwE0CqkOc4q9oUmW1yo/edit?usp=sharing"",""พิษณุโลก!J485"")"),28.33)</f>
        <v>28.33</v>
      </c>
      <c r="L24" s="307">
        <f t="shared" ca="1" si="3"/>
        <v>20.833333333333332</v>
      </c>
      <c r="M24" s="306">
        <f ca="1">IFERROR(__xludf.DUMMYFUNCTION("IMPORTRANGE(""https://docs.google.com/spreadsheets/d/11923uPwbBZFjjGgGUA6NLw09EwE0CqkOc4q9oUmW1yo/edit?usp=sharing"",""พิษณุโลก!J486"")"),3)</f>
        <v>3</v>
      </c>
      <c r="N24" s="306">
        <f ca="1">IFERROR(__xludf.DUMMYFUNCTION("IMPORTRANGE(""https://docs.google.com/spreadsheets/d/11923uPwbBZFjjGgGUA6NLw09EwE0CqkOc4q9oUmW1yo/edit?usp=sharing"",""พิษณุโลก!J487"")"),4.76)</f>
        <v>4.76</v>
      </c>
      <c r="O24" s="307">
        <f t="shared" ca="1" si="5"/>
        <v>12.5</v>
      </c>
      <c r="P24" s="306">
        <f ca="1">IFERROR(__xludf.DUMMYFUNCTION("IMPORTRANGE(""https://docs.google.com/spreadsheets/d/11923uPwbBZFjjGgGUA6NLw09EwE0CqkOc4q9oUmW1yo/edit?usp=sharing"",""พิษณุโลก!J488"")"),0)</f>
        <v>0</v>
      </c>
      <c r="Q24" s="307">
        <f ca="1">IFERROR(__xludf.DUMMYFUNCTION("IMPORTRANGE(""https://docs.google.com/spreadsheets/d/11923uPwbBZFjjGgGUA6NLw09EwE0CqkOc4q9oUmW1yo/edit?usp=sharing"",""พิษณุโลก!J489"")"),0)</f>
        <v>0</v>
      </c>
      <c r="R24" s="307">
        <f t="shared" ca="1" si="7"/>
        <v>0</v>
      </c>
      <c r="S24" s="306">
        <f ca="1">IFERROR(__xludf.DUMMYFUNCTION("IMPORTRANGE(""https://docs.google.com/spreadsheets/d/11923uPwbBZFjjGgGUA6NLw09EwE0CqkOc4q9oUmW1yo/edit?usp=sharing"",""พิษณุโลก!J490"")"),3)</f>
        <v>3</v>
      </c>
      <c r="T24" s="307">
        <f ca="1">IFERROR(__xludf.DUMMYFUNCTION("IMPORTRANGE(""https://docs.google.com/spreadsheets/d/11923uPwbBZFjjGgGUA6NLw09EwE0CqkOc4q9oUmW1yo/edit?usp=sharing"",""พิษณุโลก!J491"")"),4.76)</f>
        <v>4.76</v>
      </c>
      <c r="U24" s="307">
        <f t="shared" ca="1" si="9"/>
        <v>12.5</v>
      </c>
    </row>
    <row r="25" spans="1:21" ht="21" customHeight="1">
      <c r="A25" s="303">
        <v>10</v>
      </c>
      <c r="B25" s="304" t="s">
        <v>49</v>
      </c>
      <c r="C25" s="305">
        <f t="shared" ca="1" si="35"/>
        <v>346950</v>
      </c>
      <c r="D25" s="306">
        <f ca="1">IFERROR(__xludf.DUMMYFUNCTION("IMPORTRANGE(""https://docs.google.com/spreadsheets/d/1C3CXT74ZlgGe6_JY_1olB1XN4rF0dxEuIIF-xsYjHgg/edit?usp=sharing"",""งบกองทุน!EK29"")"),0)</f>
        <v>0</v>
      </c>
      <c r="E25" s="306">
        <f ca="1">IFERROR(__xludf.DUMMYFUNCTION("IMPORTRANGE(""https://docs.google.com/spreadsheets/d/1C3CXT74ZlgGe6_JY_1olB1XN4rF0dxEuIIF-xsYjHgg/edit?usp=sharing"",""งบกองทุน!EL29"")"),346950)</f>
        <v>346950</v>
      </c>
      <c r="F25" s="307">
        <f ca="1">IFERROR(__xludf.DUMMYFUNCTION("IMPORTRANGE(""https://docs.google.com/spreadsheets/d/11923uPwbBZFjjGgGUA6NLw09EwE0CqkOc4q9oUmW1yo/edit?usp=sharing"",""เพชรบูรณ์!M475"")"),149796)</f>
        <v>149796</v>
      </c>
      <c r="G25" s="307">
        <f t="shared" ca="1" si="1"/>
        <v>43.175097276264594</v>
      </c>
      <c r="H25" s="306">
        <f ca="1">IFERROR(__xludf.DUMMYFUNCTION("IMPORTRANGE(""https://docs.google.com/spreadsheets/d/1C3CXT74ZlgGe6_JY_1olB1XN4rF0dxEuIIF-xsYjHgg/edit?usp=sharing"",""งบกองทุน!EM29"")"),300)</f>
        <v>300</v>
      </c>
      <c r="I25" s="306">
        <f t="shared" ca="1" si="36"/>
        <v>300</v>
      </c>
      <c r="J25" s="306">
        <f ca="1">IFERROR(__xludf.DUMMYFUNCTION("IMPORTRANGE(""https://docs.google.com/spreadsheets/d/11923uPwbBZFjjGgGUA6NLw09EwE0CqkOc4q9oUmW1yo/edit?usp=sharing"",""เพชรบูรณ์!J484"")"),169)</f>
        <v>169</v>
      </c>
      <c r="K25" s="306">
        <f ca="1">IFERROR(__xludf.DUMMYFUNCTION("IMPORTRANGE(""https://docs.google.com/spreadsheets/d/11923uPwbBZFjjGgGUA6NLw09EwE0CqkOc4q9oUmW1yo/edit?usp=sharing"",""เพชรบูรณ์!J485"")"),107)</f>
        <v>107</v>
      </c>
      <c r="L25" s="307">
        <f t="shared" ca="1" si="3"/>
        <v>56.333333333333336</v>
      </c>
      <c r="M25" s="306">
        <f ca="1">IFERROR(__xludf.DUMMYFUNCTION("IMPORTRANGE(""https://docs.google.com/spreadsheets/d/11923uPwbBZFjjGgGUA6NLw09EwE0CqkOc4q9oUmW1yo/edit?usp=sharing"",""เพชรบูรณ์!J486"")"),92)</f>
        <v>92</v>
      </c>
      <c r="N25" s="306">
        <f ca="1">IFERROR(__xludf.DUMMYFUNCTION("IMPORTRANGE(""https://docs.google.com/spreadsheets/d/11923uPwbBZFjjGgGUA6NLw09EwE0CqkOc4q9oUmW1yo/edit?usp=sharing"",""เพชรบูรณ์!J487"")"),51.09)</f>
        <v>51.09</v>
      </c>
      <c r="O25" s="307">
        <f t="shared" ca="1" si="5"/>
        <v>30.666666666666668</v>
      </c>
      <c r="P25" s="306">
        <f ca="1">IFERROR(__xludf.DUMMYFUNCTION("IMPORTRANGE(""https://docs.google.com/spreadsheets/d/11923uPwbBZFjjGgGUA6NLw09EwE0CqkOc4q9oUmW1yo/edit?usp=sharing"",""เพชรบูรณ์!J488"")"),0)</f>
        <v>0</v>
      </c>
      <c r="Q25" s="307">
        <f ca="1">IFERROR(__xludf.DUMMYFUNCTION("IMPORTRANGE(""https://docs.google.com/spreadsheets/d/11923uPwbBZFjjGgGUA6NLw09EwE0CqkOc4q9oUmW1yo/edit?usp=sharing"",""เพชรบูรณ์!J489"")"),0)</f>
        <v>0</v>
      </c>
      <c r="R25" s="307">
        <f t="shared" ca="1" si="7"/>
        <v>0</v>
      </c>
      <c r="S25" s="306">
        <f ca="1">IFERROR(__xludf.DUMMYFUNCTION("IMPORTRANGE(""https://docs.google.com/spreadsheets/d/11923uPwbBZFjjGgGUA6NLw09EwE0CqkOc4q9oUmW1yo/edit?usp=sharing"",""เพชรบูรณ์!J490"")"),27)</f>
        <v>27</v>
      </c>
      <c r="T25" s="307">
        <f ca="1">IFERROR(__xludf.DUMMYFUNCTION("IMPORTRANGE(""https://docs.google.com/spreadsheets/d/11923uPwbBZFjjGgGUA6NLw09EwE0CqkOc4q9oUmW1yo/edit?usp=sharing"",""เพชรบูรณ์!J491"")"),14.75)</f>
        <v>14.75</v>
      </c>
      <c r="U25" s="307">
        <f t="shared" ca="1" si="9"/>
        <v>9</v>
      </c>
    </row>
    <row r="26" spans="1:21" ht="21" customHeight="1">
      <c r="A26" s="303">
        <v>11</v>
      </c>
      <c r="B26" s="304" t="s">
        <v>50</v>
      </c>
      <c r="C26" s="305">
        <f t="shared" ca="1" si="35"/>
        <v>0</v>
      </c>
      <c r="D26" s="306">
        <f ca="1">IFERROR(__xludf.DUMMYFUNCTION("IMPORTRANGE(""https://docs.google.com/spreadsheets/d/1C3CXT74ZlgGe6_JY_1olB1XN4rF0dxEuIIF-xsYjHgg/edit?usp=sharing"",""งบกองทุน!EK30"")"),0)</f>
        <v>0</v>
      </c>
      <c r="E26" s="306">
        <f ca="1">IFERROR(__xludf.DUMMYFUNCTION("IMPORTRANGE(""https://docs.google.com/spreadsheets/d/1C3CXT74ZlgGe6_JY_1olB1XN4rF0dxEuIIF-xsYjHgg/edit?usp=sharing"",""งบกองทุน!EL30"")"),0)</f>
        <v>0</v>
      </c>
      <c r="F26" s="307">
        <f ca="1">IFERROR(__xludf.DUMMYFUNCTION("IMPORTRANGE(""https://docs.google.com/spreadsheets/d/11923uPwbBZFjjGgGUA6NLw09EwE0CqkOc4q9oUmW1yo/edit?usp=sharing"",""แพร่!M475"")"),0)</f>
        <v>0</v>
      </c>
      <c r="G26" s="307">
        <f t="shared" ca="1" si="1"/>
        <v>0</v>
      </c>
      <c r="H26" s="306">
        <f ca="1">IFERROR(__xludf.DUMMYFUNCTION("IMPORTRANGE(""https://docs.google.com/spreadsheets/d/1C3CXT74ZlgGe6_JY_1olB1XN4rF0dxEuIIF-xsYjHgg/edit?usp=sharing"",""งบกองทุน!EM30"")"),0)</f>
        <v>0</v>
      </c>
      <c r="I26" s="306">
        <f t="shared" ca="1" si="36"/>
        <v>0</v>
      </c>
      <c r="J26" s="306">
        <f ca="1">IFERROR(__xludf.DUMMYFUNCTION("IMPORTRANGE(""https://docs.google.com/spreadsheets/d/11923uPwbBZFjjGgGUA6NLw09EwE0CqkOc4q9oUmW1yo/edit?usp=sharing"",""แพร่!J484"")"),2)</f>
        <v>2</v>
      </c>
      <c r="K26" s="306">
        <f ca="1">IFERROR(__xludf.DUMMYFUNCTION("IMPORTRANGE(""https://docs.google.com/spreadsheets/d/11923uPwbBZFjjGgGUA6NLw09EwE0CqkOc4q9oUmW1yo/edit?usp=sharing"",""แพร่!J485"")"),1.65)</f>
        <v>1.65</v>
      </c>
      <c r="L26" s="307">
        <f t="shared" ca="1" si="3"/>
        <v>0</v>
      </c>
      <c r="M26" s="306">
        <f ca="1">IFERROR(__xludf.DUMMYFUNCTION("IMPORTRANGE(""https://docs.google.com/spreadsheets/d/11923uPwbBZFjjGgGUA6NLw09EwE0CqkOc4q9oUmW1yo/edit?usp=sharing"",""แพร่!J486"")"),2)</f>
        <v>2</v>
      </c>
      <c r="N26" s="306">
        <f ca="1">IFERROR(__xludf.DUMMYFUNCTION("IMPORTRANGE(""https://docs.google.com/spreadsheets/d/11923uPwbBZFjjGgGUA6NLw09EwE0CqkOc4q9oUmW1yo/edit?usp=sharing"",""แพร่!J487"")"),1.65)</f>
        <v>1.65</v>
      </c>
      <c r="O26" s="307">
        <f t="shared" ca="1" si="5"/>
        <v>0</v>
      </c>
      <c r="P26" s="306">
        <f ca="1">IFERROR(__xludf.DUMMYFUNCTION("IMPORTRANGE(""https://docs.google.com/spreadsheets/d/11923uPwbBZFjjGgGUA6NLw09EwE0CqkOc4q9oUmW1yo/edit?usp=sharing"",""แพร่!J488"")"),0)</f>
        <v>0</v>
      </c>
      <c r="Q26" s="307">
        <f ca="1">IFERROR(__xludf.DUMMYFUNCTION("IMPORTRANGE(""https://docs.google.com/spreadsheets/d/11923uPwbBZFjjGgGUA6NLw09EwE0CqkOc4q9oUmW1yo/edit?usp=sharing"",""แพร่!J489"")"),0)</f>
        <v>0</v>
      </c>
      <c r="R26" s="307">
        <f t="shared" ca="1" si="7"/>
        <v>0</v>
      </c>
      <c r="S26" s="306">
        <f ca="1">IFERROR(__xludf.DUMMYFUNCTION("IMPORTRANGE(""https://docs.google.com/spreadsheets/d/11923uPwbBZFjjGgGUA6NLw09EwE0CqkOc4q9oUmW1yo/edit?usp=sharing"",""แพร่!J490"")"),2)</f>
        <v>2</v>
      </c>
      <c r="T26" s="307">
        <f ca="1">IFERROR(__xludf.DUMMYFUNCTION("IMPORTRANGE(""https://docs.google.com/spreadsheets/d/11923uPwbBZFjjGgGUA6NLw09EwE0CqkOc4q9oUmW1yo/edit?usp=sharing"",""แพร่!J491"")"),1.65)</f>
        <v>1.65</v>
      </c>
      <c r="U26" s="307">
        <f t="shared" ca="1" si="9"/>
        <v>0</v>
      </c>
    </row>
    <row r="27" spans="1:21" ht="21" customHeight="1">
      <c r="A27" s="303">
        <v>12</v>
      </c>
      <c r="B27" s="304" t="s">
        <v>51</v>
      </c>
      <c r="C27" s="305">
        <f t="shared" ca="1" si="35"/>
        <v>128934</v>
      </c>
      <c r="D27" s="306">
        <f ca="1">IFERROR(__xludf.DUMMYFUNCTION("IMPORTRANGE(""https://docs.google.com/spreadsheets/d/1C3CXT74ZlgGe6_JY_1olB1XN4rF0dxEuIIF-xsYjHgg/edit?usp=sharing"",""งบกองทุน!EK31"")"),0)</f>
        <v>0</v>
      </c>
      <c r="E27" s="306">
        <f ca="1">IFERROR(__xludf.DUMMYFUNCTION("IMPORTRANGE(""https://docs.google.com/spreadsheets/d/1C3CXT74ZlgGe6_JY_1olB1XN4rF0dxEuIIF-xsYjHgg/edit?usp=sharing"",""งบกองทุน!EL31"")"),128934)</f>
        <v>128934</v>
      </c>
      <c r="F27" s="307">
        <f ca="1">IFERROR(__xludf.DUMMYFUNCTION("IMPORTRANGE(""https://docs.google.com/spreadsheets/d/11923uPwbBZFjjGgGUA6NLw09EwE0CqkOc4q9oUmW1yo/edit?usp=sharing"",""แม่ฮ่องสอน!M475"")"),44620)</f>
        <v>44620</v>
      </c>
      <c r="G27" s="307">
        <f t="shared" ca="1" si="1"/>
        <v>34.606853118649852</v>
      </c>
      <c r="H27" s="306">
        <f ca="1">IFERROR(__xludf.DUMMYFUNCTION("IMPORTRANGE(""https://docs.google.com/spreadsheets/d/1C3CXT74ZlgGe6_JY_1olB1XN4rF0dxEuIIF-xsYjHgg/edit?usp=sharing"",""งบกองทุน!EM31"")"),34)</f>
        <v>34</v>
      </c>
      <c r="I27" s="306">
        <f t="shared" ca="1" si="36"/>
        <v>34</v>
      </c>
      <c r="J27" s="306">
        <f ca="1">IFERROR(__xludf.DUMMYFUNCTION("IMPORTRANGE(""https://docs.google.com/spreadsheets/d/11923uPwbBZFjjGgGUA6NLw09EwE0CqkOc4q9oUmW1yo/edit?usp=sharing"",""แม่ฮ่องสอน!J484"")"),0)</f>
        <v>0</v>
      </c>
      <c r="K27" s="306">
        <f ca="1">IFERROR(__xludf.DUMMYFUNCTION("IMPORTRANGE(""https://docs.google.com/spreadsheets/d/11923uPwbBZFjjGgGUA6NLw09EwE0CqkOc4q9oUmW1yo/edit?usp=sharing"",""แม่ฮ่องสอน!J485"")"),0)</f>
        <v>0</v>
      </c>
      <c r="L27" s="307">
        <f t="shared" ca="1" si="3"/>
        <v>0</v>
      </c>
      <c r="M27" s="306">
        <f ca="1">IFERROR(__xludf.DUMMYFUNCTION("IMPORTRANGE(""https://docs.google.com/spreadsheets/d/11923uPwbBZFjjGgGUA6NLw09EwE0CqkOc4q9oUmW1yo/edit?usp=sharing"",""แม่ฮ่องสอน!J486"")"),0)</f>
        <v>0</v>
      </c>
      <c r="N27" s="306">
        <f ca="1">IFERROR(__xludf.DUMMYFUNCTION("IMPORTRANGE(""https://docs.google.com/spreadsheets/d/11923uPwbBZFjjGgGUA6NLw09EwE0CqkOc4q9oUmW1yo/edit?usp=sharing"",""แม่ฮ่องสอน!J487"")"),0)</f>
        <v>0</v>
      </c>
      <c r="O27" s="307">
        <f t="shared" ca="1" si="5"/>
        <v>0</v>
      </c>
      <c r="P27" s="306">
        <f ca="1">IFERROR(__xludf.DUMMYFUNCTION("IMPORTRANGE(""https://docs.google.com/spreadsheets/d/11923uPwbBZFjjGgGUA6NLw09EwE0CqkOc4q9oUmW1yo/edit?usp=sharing"",""แม่ฮ่องสอน!J488"")"),0)</f>
        <v>0</v>
      </c>
      <c r="Q27" s="307">
        <f ca="1">IFERROR(__xludf.DUMMYFUNCTION("IMPORTRANGE(""https://docs.google.com/spreadsheets/d/11923uPwbBZFjjGgGUA6NLw09EwE0CqkOc4q9oUmW1yo/edit?usp=sharing"",""แม่ฮ่องสอน!J489"")"),0)</f>
        <v>0</v>
      </c>
      <c r="R27" s="307">
        <f t="shared" ca="1" si="7"/>
        <v>0</v>
      </c>
      <c r="S27" s="306">
        <f ca="1">IFERROR(__xludf.DUMMYFUNCTION("IMPORTRANGE(""https://docs.google.com/spreadsheets/d/11923uPwbBZFjjGgGUA6NLw09EwE0CqkOc4q9oUmW1yo/edit?usp=sharing"",""แม่ฮ่องสอน!J490"")"),0)</f>
        <v>0</v>
      </c>
      <c r="T27" s="307">
        <f ca="1">IFERROR(__xludf.DUMMYFUNCTION("IMPORTRANGE(""https://docs.google.com/spreadsheets/d/11923uPwbBZFjjGgGUA6NLw09EwE0CqkOc4q9oUmW1yo/edit?usp=sharing"",""แม่ฮ่องสอน!J491"")"),0)</f>
        <v>0</v>
      </c>
      <c r="U27" s="307">
        <f t="shared" ca="1" si="9"/>
        <v>0</v>
      </c>
    </row>
    <row r="28" spans="1:21" ht="21" customHeight="1">
      <c r="A28" s="303">
        <v>13</v>
      </c>
      <c r="B28" s="304" t="s">
        <v>52</v>
      </c>
      <c r="C28" s="305">
        <f t="shared" ca="1" si="35"/>
        <v>130655</v>
      </c>
      <c r="D28" s="306">
        <f ca="1">IFERROR(__xludf.DUMMYFUNCTION("IMPORTRANGE(""https://docs.google.com/spreadsheets/d/1C3CXT74ZlgGe6_JY_1olB1XN4rF0dxEuIIF-xsYjHgg/edit?usp=sharing"",""งบกองทุน!EK32"")"),0)</f>
        <v>0</v>
      </c>
      <c r="E28" s="306">
        <f ca="1">IFERROR(__xludf.DUMMYFUNCTION("IMPORTRANGE(""https://docs.google.com/spreadsheets/d/1C3CXT74ZlgGe6_JY_1olB1XN4rF0dxEuIIF-xsYjHgg/edit?usp=sharing"",""งบกองทุน!EL32"")"),130655)</f>
        <v>130655</v>
      </c>
      <c r="F28" s="307">
        <f ca="1">IFERROR(__xludf.DUMMYFUNCTION("IMPORTRANGE(""https://docs.google.com/spreadsheets/d/11923uPwbBZFjjGgGUA6NLw09EwE0CqkOc4q9oUmW1yo/edit?usp=sharing"",""ลำปาง!M475"")"),0)</f>
        <v>0</v>
      </c>
      <c r="G28" s="307">
        <f t="shared" ca="1" si="1"/>
        <v>0</v>
      </c>
      <c r="H28" s="306">
        <f ca="1">IFERROR(__xludf.DUMMYFUNCTION("IMPORTRANGE(""https://docs.google.com/spreadsheets/d/1C3CXT74ZlgGe6_JY_1olB1XN4rF0dxEuIIF-xsYjHgg/edit?usp=sharing"",""งบกองทุน!EM32"")"),5)</f>
        <v>5</v>
      </c>
      <c r="I28" s="306">
        <f t="shared" ca="1" si="36"/>
        <v>5</v>
      </c>
      <c r="J28" s="306">
        <f ca="1">IFERROR(__xludf.DUMMYFUNCTION("IMPORTRANGE(""https://docs.google.com/spreadsheets/d/11923uPwbBZFjjGgGUA6NLw09EwE0CqkOc4q9oUmW1yo/edit?usp=sharing"",""ลำปาง!J484"")"),7)</f>
        <v>7</v>
      </c>
      <c r="K28" s="306">
        <f ca="1">IFERROR(__xludf.DUMMYFUNCTION("IMPORTRANGE(""https://docs.google.com/spreadsheets/d/11923uPwbBZFjjGgGUA6NLw09EwE0CqkOc4q9oUmW1yo/edit?usp=sharing"",""ลำปาง!J485"")"),4.37)</f>
        <v>4.37</v>
      </c>
      <c r="L28" s="307">
        <f t="shared" ca="1" si="3"/>
        <v>140</v>
      </c>
      <c r="M28" s="306">
        <f ca="1">IFERROR(__xludf.DUMMYFUNCTION("IMPORTRANGE(""https://docs.google.com/spreadsheets/d/11923uPwbBZFjjGgGUA6NLw09EwE0CqkOc4q9oUmW1yo/edit?usp=sharing"",""ลำปาง!J486"")"),5)</f>
        <v>5</v>
      </c>
      <c r="N28" s="306">
        <f ca="1">IFERROR(__xludf.DUMMYFUNCTION("IMPORTRANGE(""https://docs.google.com/spreadsheets/d/11923uPwbBZFjjGgGUA6NLw09EwE0CqkOc4q9oUmW1yo/edit?usp=sharing"",""ลำปาง!J487"")"),4.73)</f>
        <v>4.7300000000000004</v>
      </c>
      <c r="O28" s="307">
        <f t="shared" ca="1" si="5"/>
        <v>100</v>
      </c>
      <c r="P28" s="306">
        <f ca="1">IFERROR(__xludf.DUMMYFUNCTION("IMPORTRANGE(""https://docs.google.com/spreadsheets/d/11923uPwbBZFjjGgGUA6NLw09EwE0CqkOc4q9oUmW1yo/edit?usp=sharing"",""ลำปาง!J488"")"),0)</f>
        <v>0</v>
      </c>
      <c r="Q28" s="307">
        <f ca="1">IFERROR(__xludf.DUMMYFUNCTION("IMPORTRANGE(""https://docs.google.com/spreadsheets/d/11923uPwbBZFjjGgGUA6NLw09EwE0CqkOc4q9oUmW1yo/edit?usp=sharing"",""ลำปาง!J489"")"),0)</f>
        <v>0</v>
      </c>
      <c r="R28" s="307">
        <f t="shared" ca="1" si="7"/>
        <v>0</v>
      </c>
      <c r="S28" s="306">
        <f ca="1">IFERROR(__xludf.DUMMYFUNCTION("IMPORTRANGE(""https://docs.google.com/spreadsheets/d/11923uPwbBZFjjGgGUA6NLw09EwE0CqkOc4q9oUmW1yo/edit?usp=sharing"",""ลำปาง!J490"")"),4)</f>
        <v>4</v>
      </c>
      <c r="T28" s="307">
        <f ca="1">IFERROR(__xludf.DUMMYFUNCTION("IMPORTRANGE(""https://docs.google.com/spreadsheets/d/11923uPwbBZFjjGgGUA6NLw09EwE0CqkOc4q9oUmW1yo/edit?usp=sharing"",""ลำปาง!J491"")"),3.23)</f>
        <v>3.23</v>
      </c>
      <c r="U28" s="307">
        <f t="shared" ca="1" si="9"/>
        <v>80</v>
      </c>
    </row>
    <row r="29" spans="1:21" ht="21" customHeight="1">
      <c r="A29" s="303">
        <v>14</v>
      </c>
      <c r="B29" s="304" t="s">
        <v>53</v>
      </c>
      <c r="C29" s="305">
        <f t="shared" ca="1" si="35"/>
        <v>0</v>
      </c>
      <c r="D29" s="306">
        <f ca="1">IFERROR(__xludf.DUMMYFUNCTION("IMPORTRANGE(""https://docs.google.com/spreadsheets/d/1C3CXT74ZlgGe6_JY_1olB1XN4rF0dxEuIIF-xsYjHgg/edit?usp=sharing"",""งบกองทุน!EK33"")"),0)</f>
        <v>0</v>
      </c>
      <c r="E29" s="306">
        <f ca="1">IFERROR(__xludf.DUMMYFUNCTION("IMPORTRANGE(""https://docs.google.com/spreadsheets/d/1C3CXT74ZlgGe6_JY_1olB1XN4rF0dxEuIIF-xsYjHgg/edit?usp=sharing"",""งบกองทุน!EL33"")"),0)</f>
        <v>0</v>
      </c>
      <c r="F29" s="307">
        <f ca="1">IFERROR(__xludf.DUMMYFUNCTION("IMPORTRANGE(""https://docs.google.com/spreadsheets/d/11923uPwbBZFjjGgGUA6NLw09EwE0CqkOc4q9oUmW1yo/edit?usp=sharing"",""ลำพูน!M475"")"),0)</f>
        <v>0</v>
      </c>
      <c r="G29" s="307">
        <f t="shared" ca="1" si="1"/>
        <v>0</v>
      </c>
      <c r="H29" s="306">
        <f ca="1">IFERROR(__xludf.DUMMYFUNCTION("IMPORTRANGE(""https://docs.google.com/spreadsheets/d/1C3CXT74ZlgGe6_JY_1olB1XN4rF0dxEuIIF-xsYjHgg/edit?usp=sharing"",""งบกองทุน!EM33"")"),0)</f>
        <v>0</v>
      </c>
      <c r="I29" s="306">
        <f t="shared" ca="1" si="36"/>
        <v>0</v>
      </c>
      <c r="J29" s="306">
        <f ca="1">IFERROR(__xludf.DUMMYFUNCTION("IMPORTRANGE(""https://docs.google.com/spreadsheets/d/11923uPwbBZFjjGgGUA6NLw09EwE0CqkOc4q9oUmW1yo/edit?usp=sharing"",""ลำพูน!J484"")"),0)</f>
        <v>0</v>
      </c>
      <c r="K29" s="306">
        <f ca="1">IFERROR(__xludf.DUMMYFUNCTION("IMPORTRANGE(""https://docs.google.com/spreadsheets/d/11923uPwbBZFjjGgGUA6NLw09EwE0CqkOc4q9oUmW1yo/edit?usp=sharing"",""ลำพูน!J485"")"),0)</f>
        <v>0</v>
      </c>
      <c r="L29" s="307">
        <f t="shared" ca="1" si="3"/>
        <v>0</v>
      </c>
      <c r="M29" s="306">
        <f ca="1">IFERROR(__xludf.DUMMYFUNCTION("IMPORTRANGE(""https://docs.google.com/spreadsheets/d/11923uPwbBZFjjGgGUA6NLw09EwE0CqkOc4q9oUmW1yo/edit?usp=sharing"",""ลำพูน!J486"")"),0)</f>
        <v>0</v>
      </c>
      <c r="N29" s="306">
        <f ca="1">IFERROR(__xludf.DUMMYFUNCTION("IMPORTRANGE(""https://docs.google.com/spreadsheets/d/11923uPwbBZFjjGgGUA6NLw09EwE0CqkOc4q9oUmW1yo/edit?usp=sharing"",""ลำพูน!J487"")"),0)</f>
        <v>0</v>
      </c>
      <c r="O29" s="307">
        <f t="shared" ca="1" si="5"/>
        <v>0</v>
      </c>
      <c r="P29" s="306">
        <f ca="1">IFERROR(__xludf.DUMMYFUNCTION("IMPORTRANGE(""https://docs.google.com/spreadsheets/d/11923uPwbBZFjjGgGUA6NLw09EwE0CqkOc4q9oUmW1yo/edit?usp=sharing"",""ลำพูน!J488"")"),0)</f>
        <v>0</v>
      </c>
      <c r="Q29" s="307">
        <f ca="1">IFERROR(__xludf.DUMMYFUNCTION("IMPORTRANGE(""https://docs.google.com/spreadsheets/d/11923uPwbBZFjjGgGUA6NLw09EwE0CqkOc4q9oUmW1yo/edit?usp=sharing"",""ลำพูน!J489"")"),0)</f>
        <v>0</v>
      </c>
      <c r="R29" s="307">
        <f t="shared" ca="1" si="7"/>
        <v>0</v>
      </c>
      <c r="S29" s="306">
        <f ca="1">IFERROR(__xludf.DUMMYFUNCTION("IMPORTRANGE(""https://docs.google.com/spreadsheets/d/11923uPwbBZFjjGgGUA6NLw09EwE0CqkOc4q9oUmW1yo/edit?usp=sharing"",""ลำพูน!J490"")"),0)</f>
        <v>0</v>
      </c>
      <c r="T29" s="307">
        <f ca="1">IFERROR(__xludf.DUMMYFUNCTION("IMPORTRANGE(""https://docs.google.com/spreadsheets/d/11923uPwbBZFjjGgGUA6NLw09EwE0CqkOc4q9oUmW1yo/edit?usp=sharing"",""ลำพูน!J491"")"),0)</f>
        <v>0</v>
      </c>
      <c r="U29" s="307">
        <f t="shared" ca="1" si="9"/>
        <v>0</v>
      </c>
    </row>
    <row r="30" spans="1:21" ht="21" customHeight="1">
      <c r="A30" s="303">
        <v>15</v>
      </c>
      <c r="B30" s="304" t="s">
        <v>54</v>
      </c>
      <c r="C30" s="305">
        <f t="shared" ca="1" si="35"/>
        <v>296190</v>
      </c>
      <c r="D30" s="306">
        <f ca="1">IFERROR(__xludf.DUMMYFUNCTION("IMPORTRANGE(""https://docs.google.com/spreadsheets/d/1C3CXT74ZlgGe6_JY_1olB1XN4rF0dxEuIIF-xsYjHgg/edit?usp=sharing"",""งบกองทุน!EK34"")"),0)</f>
        <v>0</v>
      </c>
      <c r="E30" s="306">
        <f ca="1">IFERROR(__xludf.DUMMYFUNCTION("IMPORTRANGE(""https://docs.google.com/spreadsheets/d/1C3CXT74ZlgGe6_JY_1olB1XN4rF0dxEuIIF-xsYjHgg/edit?usp=sharing"",""งบกองทุน!EL34"")"),296190)</f>
        <v>296190</v>
      </c>
      <c r="F30" s="307">
        <f ca="1">IFERROR(__xludf.DUMMYFUNCTION("IMPORTRANGE(""https://docs.google.com/spreadsheets/d/11923uPwbBZFjjGgGUA6NLw09EwE0CqkOc4q9oUmW1yo/edit?usp=sharing"",""สุโขทัย!M475"")"),0)</f>
        <v>0</v>
      </c>
      <c r="G30" s="307">
        <f t="shared" ca="1" si="1"/>
        <v>0</v>
      </c>
      <c r="H30" s="306">
        <f ca="1">IFERROR(__xludf.DUMMYFUNCTION("IMPORTRANGE(""https://docs.google.com/spreadsheets/d/1C3CXT74ZlgGe6_JY_1olB1XN4rF0dxEuIIF-xsYjHgg/edit?usp=sharing"",""งบกองทุน!EM34"")"),90)</f>
        <v>90</v>
      </c>
      <c r="I30" s="306">
        <f t="shared" ca="1" si="36"/>
        <v>90</v>
      </c>
      <c r="J30" s="306">
        <f ca="1">IFERROR(__xludf.DUMMYFUNCTION("IMPORTRANGE(""https://docs.google.com/spreadsheets/d/11923uPwbBZFjjGgGUA6NLw09EwE0CqkOc4q9oUmW1yo/edit?usp=sharing"",""สุโขทัย!J484"")"),47)</f>
        <v>47</v>
      </c>
      <c r="K30" s="306">
        <f ca="1">IFERROR(__xludf.DUMMYFUNCTION("IMPORTRANGE(""https://docs.google.com/spreadsheets/d/11923uPwbBZFjjGgGUA6NLw09EwE0CqkOc4q9oUmW1yo/edit?usp=sharing"",""สุโขทัย!J485"")"),38.77)</f>
        <v>38.770000000000003</v>
      </c>
      <c r="L30" s="307">
        <f t="shared" ca="1" si="3"/>
        <v>52.222222222222221</v>
      </c>
      <c r="M30" s="306">
        <f ca="1">IFERROR(__xludf.DUMMYFUNCTION("IMPORTRANGE(""https://docs.google.com/spreadsheets/d/11923uPwbBZFjjGgGUA6NLw09EwE0CqkOc4q9oUmW1yo/edit?usp=sharing"",""สุโขทัย!J486"")"),46)</f>
        <v>46</v>
      </c>
      <c r="N30" s="306">
        <f ca="1">IFERROR(__xludf.DUMMYFUNCTION("IMPORTRANGE(""https://docs.google.com/spreadsheets/d/11923uPwbBZFjjGgGUA6NLw09EwE0CqkOc4q9oUmW1yo/edit?usp=sharing"",""สุโขทัย!J487"")"),48.06)</f>
        <v>48.06</v>
      </c>
      <c r="O30" s="307">
        <f t="shared" ca="1" si="5"/>
        <v>51.111111111111114</v>
      </c>
      <c r="P30" s="306">
        <f ca="1">IFERROR(__xludf.DUMMYFUNCTION("IMPORTRANGE(""https://docs.google.com/spreadsheets/d/11923uPwbBZFjjGgGUA6NLw09EwE0CqkOc4q9oUmW1yo/edit?usp=sharing"",""สุโขทัย!J488"")"),0)</f>
        <v>0</v>
      </c>
      <c r="Q30" s="307">
        <f ca="1">IFERROR(__xludf.DUMMYFUNCTION("IMPORTRANGE(""https://docs.google.com/spreadsheets/d/11923uPwbBZFjjGgGUA6NLw09EwE0CqkOc4q9oUmW1yo/edit?usp=sharing"",""สุโขทัย!J489"")"),0)</f>
        <v>0</v>
      </c>
      <c r="R30" s="307">
        <f t="shared" ca="1" si="7"/>
        <v>0</v>
      </c>
      <c r="S30" s="306">
        <f ca="1">IFERROR(__xludf.DUMMYFUNCTION("IMPORTRANGE(""https://docs.google.com/spreadsheets/d/11923uPwbBZFjjGgGUA6NLw09EwE0CqkOc4q9oUmW1yo/edit?usp=sharing"",""สุโขทัย!J490"")"),0)</f>
        <v>0</v>
      </c>
      <c r="T30" s="307">
        <f ca="1">IFERROR(__xludf.DUMMYFUNCTION("IMPORTRANGE(""https://docs.google.com/spreadsheets/d/11923uPwbBZFjjGgGUA6NLw09EwE0CqkOc4q9oUmW1yo/edit?usp=sharing"",""สุโขทัย!J491"")"),0)</f>
        <v>0</v>
      </c>
      <c r="U30" s="307">
        <f t="shared" ca="1" si="9"/>
        <v>0</v>
      </c>
    </row>
    <row r="31" spans="1:21" ht="21" customHeight="1">
      <c r="A31" s="303">
        <v>16</v>
      </c>
      <c r="B31" s="304" t="s">
        <v>55</v>
      </c>
      <c r="C31" s="305">
        <f t="shared" ca="1" si="35"/>
        <v>0</v>
      </c>
      <c r="D31" s="306">
        <f ca="1">IFERROR(__xludf.DUMMYFUNCTION("IMPORTRANGE(""https://docs.google.com/spreadsheets/d/1C3CXT74ZlgGe6_JY_1olB1XN4rF0dxEuIIF-xsYjHgg/edit?usp=sharing"",""งบกองทุน!EK35"")"),0)</f>
        <v>0</v>
      </c>
      <c r="E31" s="306">
        <f ca="1">IFERROR(__xludf.DUMMYFUNCTION("IMPORTRANGE(""https://docs.google.com/spreadsheets/d/1C3CXT74ZlgGe6_JY_1olB1XN4rF0dxEuIIF-xsYjHgg/edit?usp=sharing"",""งบกองทุน!EL35"")"),0)</f>
        <v>0</v>
      </c>
      <c r="F31" s="307">
        <f ca="1">IFERROR(__xludf.DUMMYFUNCTION("IMPORTRANGE(""https://docs.google.com/spreadsheets/d/11923uPwbBZFjjGgGUA6NLw09EwE0CqkOc4q9oUmW1yo/edit?usp=sharing"",""อุตรดิตถ์!M475"")"),0)</f>
        <v>0</v>
      </c>
      <c r="G31" s="307">
        <f t="shared" ca="1" si="1"/>
        <v>0</v>
      </c>
      <c r="H31" s="306">
        <f ca="1">IFERROR(__xludf.DUMMYFUNCTION("IMPORTRANGE(""https://docs.google.com/spreadsheets/d/1C3CXT74ZlgGe6_JY_1olB1XN4rF0dxEuIIF-xsYjHgg/edit?usp=sharing"",""งบกองทุน!EM35"")"),0)</f>
        <v>0</v>
      </c>
      <c r="I31" s="306">
        <f t="shared" ca="1" si="36"/>
        <v>0</v>
      </c>
      <c r="J31" s="306">
        <f ca="1">IFERROR(__xludf.DUMMYFUNCTION("IMPORTRANGE(""https://docs.google.com/spreadsheets/d/11923uPwbBZFjjGgGUA6NLw09EwE0CqkOc4q9oUmW1yo/edit?usp=sharing"",""อุตรดิตถ์!J484"")"),2)</f>
        <v>2</v>
      </c>
      <c r="K31" s="306">
        <f ca="1">IFERROR(__xludf.DUMMYFUNCTION("IMPORTRANGE(""https://docs.google.com/spreadsheets/d/11923uPwbBZFjjGgGUA6NLw09EwE0CqkOc4q9oUmW1yo/edit?usp=sharing"",""อุตรดิตถ์!J485"")"),1.11)</f>
        <v>1.1100000000000001</v>
      </c>
      <c r="L31" s="307">
        <f t="shared" ca="1" si="3"/>
        <v>0</v>
      </c>
      <c r="M31" s="306">
        <f ca="1">IFERROR(__xludf.DUMMYFUNCTION("IMPORTRANGE(""https://docs.google.com/spreadsheets/d/11923uPwbBZFjjGgGUA6NLw09EwE0CqkOc4q9oUmW1yo/edit?usp=sharing"",""อุตรดิตถ์!J486"")"),2)</f>
        <v>2</v>
      </c>
      <c r="N31" s="306">
        <f ca="1">IFERROR(__xludf.DUMMYFUNCTION("IMPORTRANGE(""https://docs.google.com/spreadsheets/d/11923uPwbBZFjjGgGUA6NLw09EwE0CqkOc4q9oUmW1yo/edit?usp=sharing"",""อุตรดิตถ์!J487"")"),1.11)</f>
        <v>1.1100000000000001</v>
      </c>
      <c r="O31" s="307">
        <f t="shared" ca="1" si="5"/>
        <v>0</v>
      </c>
      <c r="P31" s="306">
        <f ca="1">IFERROR(__xludf.DUMMYFUNCTION("IMPORTRANGE(""https://docs.google.com/spreadsheets/d/11923uPwbBZFjjGgGUA6NLw09EwE0CqkOc4q9oUmW1yo/edit?usp=sharing"",""อุตรดิตถ์!J488"")"),0)</f>
        <v>0</v>
      </c>
      <c r="Q31" s="307">
        <f ca="1">IFERROR(__xludf.DUMMYFUNCTION("IMPORTRANGE(""https://docs.google.com/spreadsheets/d/11923uPwbBZFjjGgGUA6NLw09EwE0CqkOc4q9oUmW1yo/edit?usp=sharing"",""อุตรดิตถ์!J489"")"),0)</f>
        <v>0</v>
      </c>
      <c r="R31" s="307">
        <f t="shared" ca="1" si="7"/>
        <v>0</v>
      </c>
      <c r="S31" s="306">
        <f ca="1">IFERROR(__xludf.DUMMYFUNCTION("IMPORTRANGE(""https://docs.google.com/spreadsheets/d/11923uPwbBZFjjGgGUA6NLw09EwE0CqkOc4q9oUmW1yo/edit?usp=sharing"",""อุตรดิตถ์!J490"")"),0)</f>
        <v>0</v>
      </c>
      <c r="T31" s="307">
        <f ca="1">IFERROR(__xludf.DUMMYFUNCTION("IMPORTRANGE(""https://docs.google.com/spreadsheets/d/11923uPwbBZFjjGgGUA6NLw09EwE0CqkOc4q9oUmW1yo/edit?usp=sharing"",""อุตรดิตถ์!J491"")"),0)</f>
        <v>0</v>
      </c>
      <c r="U31" s="307">
        <f t="shared" ca="1" si="9"/>
        <v>0</v>
      </c>
    </row>
    <row r="32" spans="1:21" ht="21" customHeight="1">
      <c r="A32" s="310">
        <v>17</v>
      </c>
      <c r="B32" s="311" t="s">
        <v>56</v>
      </c>
      <c r="C32" s="312">
        <f t="shared" ca="1" si="35"/>
        <v>111857</v>
      </c>
      <c r="D32" s="313">
        <f ca="1">IFERROR(__xludf.DUMMYFUNCTION("IMPORTRANGE(""https://docs.google.com/spreadsheets/d/1C3CXT74ZlgGe6_JY_1olB1XN4rF0dxEuIIF-xsYjHgg/edit?usp=sharing"",""งบกองทุน!EK36"")"),0)</f>
        <v>0</v>
      </c>
      <c r="E32" s="313">
        <f ca="1">IFERROR(__xludf.DUMMYFUNCTION("IMPORTRANGE(""https://docs.google.com/spreadsheets/d/1C3CXT74ZlgGe6_JY_1olB1XN4rF0dxEuIIF-xsYjHgg/edit?usp=sharing"",""งบกองทุน!EL36"")"),111857)</f>
        <v>111857</v>
      </c>
      <c r="F32" s="314">
        <f ca="1">IFERROR(__xludf.DUMMYFUNCTION("IMPORTRANGE(""https://docs.google.com/spreadsheets/d/11923uPwbBZFjjGgGUA6NLw09EwE0CqkOc4q9oUmW1yo/edit?usp=sharing"",""อุทัยธานี!M475"")"),5920)</f>
        <v>5920</v>
      </c>
      <c r="G32" s="314">
        <f t="shared" ca="1" si="1"/>
        <v>5.2924716378948125</v>
      </c>
      <c r="H32" s="313">
        <f ca="1">IFERROR(__xludf.DUMMYFUNCTION("IMPORTRANGE(""https://docs.google.com/spreadsheets/d/1C3CXT74ZlgGe6_JY_1olB1XN4rF0dxEuIIF-xsYjHgg/edit?usp=sharing"",""งบกองทุน!EM36"")"),7)</f>
        <v>7</v>
      </c>
      <c r="I32" s="313">
        <f t="shared" ca="1" si="36"/>
        <v>7</v>
      </c>
      <c r="J32" s="313">
        <f ca="1">IFERROR(__xludf.DUMMYFUNCTION("IMPORTRANGE(""https://docs.google.com/spreadsheets/d/11923uPwbBZFjjGgGUA6NLw09EwE0CqkOc4q9oUmW1yo/edit?usp=sharing"",""อุทัยธานี!J484"")"),4)</f>
        <v>4</v>
      </c>
      <c r="K32" s="313">
        <f ca="1">IFERROR(__xludf.DUMMYFUNCTION("IMPORTRANGE(""https://docs.google.com/spreadsheets/d/11923uPwbBZFjjGgGUA6NLw09EwE0CqkOc4q9oUmW1yo/edit?usp=sharing"",""อุทัยธานี!J485"")"),3.02)</f>
        <v>3.02</v>
      </c>
      <c r="L32" s="314">
        <f t="shared" ca="1" si="3"/>
        <v>57.142857142857146</v>
      </c>
      <c r="M32" s="313">
        <f ca="1">IFERROR(__xludf.DUMMYFUNCTION("IMPORTRANGE(""https://docs.google.com/spreadsheets/d/11923uPwbBZFjjGgGUA6NLw09EwE0CqkOc4q9oUmW1yo/edit?usp=sharing"",""อุทัยธานี!J486"")"),7)</f>
        <v>7</v>
      </c>
      <c r="N32" s="313">
        <f ca="1">IFERROR(__xludf.DUMMYFUNCTION("IMPORTRANGE(""https://docs.google.com/spreadsheets/d/11923uPwbBZFjjGgGUA6NLw09EwE0CqkOc4q9oUmW1yo/edit?usp=sharing"",""อุทัยธานี!J487"")"),5.5)</f>
        <v>5.5</v>
      </c>
      <c r="O32" s="314">
        <f t="shared" ca="1" si="5"/>
        <v>100</v>
      </c>
      <c r="P32" s="306">
        <f ca="1">IFERROR(__xludf.DUMMYFUNCTION("IMPORTRANGE(""https://docs.google.com/spreadsheets/d/11923uPwbBZFjjGgGUA6NLw09EwE0CqkOc4q9oUmW1yo/edit?usp=sharing"",""อุทัยธานี!J488"")"),4)</f>
        <v>4</v>
      </c>
      <c r="Q32" s="314">
        <f ca="1">IFERROR(__xludf.DUMMYFUNCTION("IMPORTRANGE(""https://docs.google.com/spreadsheets/d/11923uPwbBZFjjGgGUA6NLw09EwE0CqkOc4q9oUmW1yo/edit?usp=sharing"",""อุทัยธานี!J489"")"),3.07)</f>
        <v>3.07</v>
      </c>
      <c r="R32" s="314">
        <f t="shared" ca="1" si="7"/>
        <v>57.142857142857146</v>
      </c>
      <c r="S32" s="313">
        <f ca="1">IFERROR(__xludf.DUMMYFUNCTION("IMPORTRANGE(""https://docs.google.com/spreadsheets/d/11923uPwbBZFjjGgGUA6NLw09EwE0CqkOc4q9oUmW1yo/edit?usp=sharing"",""อุทัยธานี!J490"")"),7)</f>
        <v>7</v>
      </c>
      <c r="T32" s="314">
        <f ca="1">IFERROR(__xludf.DUMMYFUNCTION("IMPORTRANGE(""https://docs.google.com/spreadsheets/d/11923uPwbBZFjjGgGUA6NLw09EwE0CqkOc4q9oUmW1yo/edit?usp=sharing"",""อุทัยธานี!J491"")"),5.5)</f>
        <v>5.5</v>
      </c>
      <c r="U32" s="314">
        <f t="shared" ca="1" si="9"/>
        <v>100</v>
      </c>
    </row>
    <row r="33" spans="1:21" ht="21" customHeight="1">
      <c r="A33" s="800" t="s">
        <v>57</v>
      </c>
      <c r="B33" s="678"/>
      <c r="C33" s="317">
        <f t="shared" ref="C33:F33" ca="1" si="37">SUM(C34:C53)</f>
        <v>5069674</v>
      </c>
      <c r="D33" s="318">
        <f t="shared" ca="1" si="37"/>
        <v>0</v>
      </c>
      <c r="E33" s="318">
        <f t="shared" ca="1" si="37"/>
        <v>5069674</v>
      </c>
      <c r="F33" s="319">
        <f t="shared" ca="1" si="37"/>
        <v>1838932.1600000001</v>
      </c>
      <c r="G33" s="319">
        <f t="shared" ca="1" si="1"/>
        <v>36.273183640604898</v>
      </c>
      <c r="H33" s="318">
        <f t="shared" ref="H33:K33" ca="1" si="38">SUM(H34:H53)</f>
        <v>3582</v>
      </c>
      <c r="I33" s="318">
        <f t="shared" ca="1" si="38"/>
        <v>3582</v>
      </c>
      <c r="J33" s="318">
        <f t="shared" ca="1" si="38"/>
        <v>1920</v>
      </c>
      <c r="K33" s="318">
        <f t="shared" ca="1" si="38"/>
        <v>1103.95</v>
      </c>
      <c r="L33" s="319">
        <f t="shared" ca="1" si="3"/>
        <v>53.60134003350084</v>
      </c>
      <c r="M33" s="318">
        <f t="shared" ref="M33:N33" ca="1" si="39">SUM(M34:M53)</f>
        <v>1154</v>
      </c>
      <c r="N33" s="318">
        <f t="shared" ca="1" si="39"/>
        <v>678.25000000000011</v>
      </c>
      <c r="O33" s="319">
        <f t="shared" ca="1" si="5"/>
        <v>32.216638749302064</v>
      </c>
      <c r="P33" s="318">
        <f t="shared" ref="P33:Q33" ca="1" si="40">SUM(P34:P53)</f>
        <v>351</v>
      </c>
      <c r="Q33" s="319">
        <f t="shared" ca="1" si="40"/>
        <v>198.77</v>
      </c>
      <c r="R33" s="319">
        <f t="shared" ca="1" si="7"/>
        <v>9.7989949748743719</v>
      </c>
      <c r="S33" s="318">
        <f t="shared" ref="S33:T33" ca="1" si="41">SUM(S34:S53)</f>
        <v>168</v>
      </c>
      <c r="T33" s="319">
        <f t="shared" ca="1" si="41"/>
        <v>91.840000000000018</v>
      </c>
      <c r="U33" s="319">
        <f t="shared" ca="1" si="9"/>
        <v>4.6901172529313229</v>
      </c>
    </row>
    <row r="34" spans="1:21" ht="21" customHeight="1">
      <c r="A34" s="293">
        <v>1</v>
      </c>
      <c r="B34" s="357" t="s">
        <v>58</v>
      </c>
      <c r="C34" s="295">
        <f t="shared" ref="C34:C53" ca="1" si="42">+D34+E34</f>
        <v>148830</v>
      </c>
      <c r="D34" s="296">
        <f ca="1">IFERROR(__xludf.DUMMYFUNCTION("IMPORTRANGE(""https://docs.google.com/spreadsheets/d/1C3CXT74ZlgGe6_JY_1olB1XN4rF0dxEuIIF-xsYjHgg/edit?usp=sharing"",""งบกองทุน!EK38"")"),0)</f>
        <v>0</v>
      </c>
      <c r="E34" s="296">
        <f ca="1">IFERROR(__xludf.DUMMYFUNCTION("IMPORTRANGE(""https://docs.google.com/spreadsheets/d/1C3CXT74ZlgGe6_JY_1olB1XN4rF0dxEuIIF-xsYjHgg/edit?usp=sharing"",""งบกองทุน!EL38"")"),148830)</f>
        <v>148830</v>
      </c>
      <c r="F34" s="297">
        <f ca="1">IFERROR(__xludf.DUMMYFUNCTION("IMPORTRANGE(""https://docs.google.com/spreadsheets/d/1XL5vhW3sbDhbH9Cz0tuDiY8C3ctxq1tqvaCgkFb8cCA/edit?usp=sharing"",""กาฬสินธุ์!M475"")"),0)</f>
        <v>0</v>
      </c>
      <c r="G34" s="297">
        <f t="shared" ca="1" si="1"/>
        <v>0</v>
      </c>
      <c r="H34" s="296">
        <f ca="1">IFERROR(__xludf.DUMMYFUNCTION("IMPORTRANGE(""https://docs.google.com/spreadsheets/d/1C3CXT74ZlgGe6_JY_1olB1XN4rF0dxEuIIF-xsYjHgg/edit?usp=sharing"",""งบกองทุน!EM38"")"),30)</f>
        <v>30</v>
      </c>
      <c r="I34" s="296">
        <f t="shared" ref="I34:I53" ca="1" si="43">H34</f>
        <v>30</v>
      </c>
      <c r="J34" s="296">
        <f ca="1">IFERROR(__xludf.DUMMYFUNCTION("IMPORTRANGE(""https://docs.google.com/spreadsheets/d/1XL5vhW3sbDhbH9Cz0tuDiY8C3ctxq1tqvaCgkFb8cCA/edit?usp=sharing"",""กาฬสินธุ์!J484"")"),0)</f>
        <v>0</v>
      </c>
      <c r="K34" s="296">
        <f ca="1">IFERROR(__xludf.DUMMYFUNCTION("IMPORTRANGE(""https://docs.google.com/spreadsheets/d/1XL5vhW3sbDhbH9Cz0tuDiY8C3ctxq1tqvaCgkFb8cCA/edit?usp=sharing"",""กาฬสินธุ์!J485"")"),0)</f>
        <v>0</v>
      </c>
      <c r="L34" s="297">
        <f t="shared" ca="1" si="3"/>
        <v>0</v>
      </c>
      <c r="M34" s="296">
        <f ca="1">IFERROR(__xludf.DUMMYFUNCTION("IMPORTRANGE(""https://docs.google.com/spreadsheets/d/1XL5vhW3sbDhbH9Cz0tuDiY8C3ctxq1tqvaCgkFb8cCA/edit?usp=sharing"",""กาฬสินธุ์!J486"")"),4)</f>
        <v>4</v>
      </c>
      <c r="N34" s="296">
        <f ca="1">IFERROR(__xludf.DUMMYFUNCTION("IMPORTRANGE(""https://docs.google.com/spreadsheets/d/1XL5vhW3sbDhbH9Cz0tuDiY8C3ctxq1tqvaCgkFb8cCA/edit?usp=sharing"",""กาฬสินธุ์!J487"")"),2.05)</f>
        <v>2.0499999999999998</v>
      </c>
      <c r="O34" s="297">
        <f t="shared" ca="1" si="5"/>
        <v>13.333333333333334</v>
      </c>
      <c r="P34" s="296">
        <f ca="1">IFERROR(__xludf.DUMMYFUNCTION("IMPORTRANGE(""https://docs.google.com/spreadsheets/d/1XL5vhW3sbDhbH9Cz0tuDiY8C3ctxq1tqvaCgkFb8cCA/edit?usp=sharing"",""กาฬสินธุ์!J488"")"),0)</f>
        <v>0</v>
      </c>
      <c r="Q34" s="297">
        <f ca="1">IFERROR(__xludf.DUMMYFUNCTION("IMPORTRANGE(""https://docs.google.com/spreadsheets/d/1XL5vhW3sbDhbH9Cz0tuDiY8C3ctxq1tqvaCgkFb8cCA/edit?usp=sharing"",""กาฬสินธุ์!J489"")"),0)</f>
        <v>0</v>
      </c>
      <c r="R34" s="297">
        <f t="shared" ca="1" si="7"/>
        <v>0</v>
      </c>
      <c r="S34" s="296">
        <f ca="1">IFERROR(__xludf.DUMMYFUNCTION("IMPORTRANGE(""https://docs.google.com/spreadsheets/d/1XL5vhW3sbDhbH9Cz0tuDiY8C3ctxq1tqvaCgkFb8cCA/edit?usp=sharing"",""กาฬสินธุ์!J490"")"),0)</f>
        <v>0</v>
      </c>
      <c r="T34" s="297">
        <f ca="1">IFERROR(__xludf.DUMMYFUNCTION("IMPORTRANGE(""https://docs.google.com/spreadsheets/d/1XL5vhW3sbDhbH9Cz0tuDiY8C3ctxq1tqvaCgkFb8cCA/edit?usp=sharing"",""กาฬสินธุ์!J491"")"),0)</f>
        <v>0</v>
      </c>
      <c r="U34" s="297">
        <f t="shared" ca="1" si="9"/>
        <v>0</v>
      </c>
    </row>
    <row r="35" spans="1:21" ht="21" customHeight="1">
      <c r="A35" s="303">
        <v>2</v>
      </c>
      <c r="B35" s="304" t="s">
        <v>59</v>
      </c>
      <c r="C35" s="305">
        <f t="shared" ca="1" si="42"/>
        <v>172040</v>
      </c>
      <c r="D35" s="306">
        <f ca="1">IFERROR(__xludf.DUMMYFUNCTION("IMPORTRANGE(""https://docs.google.com/spreadsheets/d/1C3CXT74ZlgGe6_JY_1olB1XN4rF0dxEuIIF-xsYjHgg/edit?usp=sharing"",""งบกองทุน!EK39"")"),0)</f>
        <v>0</v>
      </c>
      <c r="E35" s="306">
        <f ca="1">IFERROR(__xludf.DUMMYFUNCTION("IMPORTRANGE(""https://docs.google.com/spreadsheets/d/1C3CXT74ZlgGe6_JY_1olB1XN4rF0dxEuIIF-xsYjHgg/edit?usp=sharing"",""งบกองทุน!EL39"")"),172040)</f>
        <v>172040</v>
      </c>
      <c r="F35" s="307">
        <f ca="1">IFERROR(__xludf.DUMMYFUNCTION("IMPORTRANGE(""https://docs.google.com/spreadsheets/d/1XL5vhW3sbDhbH9Cz0tuDiY8C3ctxq1tqvaCgkFb8cCA/edit?usp=sharing"",""ขอนแก่น!M475"")"),0)</f>
        <v>0</v>
      </c>
      <c r="G35" s="307">
        <f t="shared" ca="1" si="1"/>
        <v>0</v>
      </c>
      <c r="H35" s="306">
        <f ca="1">IFERROR(__xludf.DUMMYFUNCTION("IMPORTRANGE(""https://docs.google.com/spreadsheets/d/1C3CXT74ZlgGe6_JY_1olB1XN4rF0dxEuIIF-xsYjHgg/edit?usp=sharing"",""งบกองทุน!EM39"")"),40)</f>
        <v>40</v>
      </c>
      <c r="I35" s="306">
        <f t="shared" ca="1" si="43"/>
        <v>40</v>
      </c>
      <c r="J35" s="306">
        <f ca="1">IFERROR(__xludf.DUMMYFUNCTION("IMPORTRANGE(""https://docs.google.com/spreadsheets/d/1XL5vhW3sbDhbH9Cz0tuDiY8C3ctxq1tqvaCgkFb8cCA/edit?usp=sharing"",""ขอนแก่น!J484"")"),0)</f>
        <v>0</v>
      </c>
      <c r="K35" s="306">
        <f ca="1">IFERROR(__xludf.DUMMYFUNCTION("IMPORTRANGE(""https://docs.google.com/spreadsheets/d/1XL5vhW3sbDhbH9Cz0tuDiY8C3ctxq1tqvaCgkFb8cCA/edit?usp=sharing"",""ขอนแก่น!J485"")"),0)</f>
        <v>0</v>
      </c>
      <c r="L35" s="307">
        <f t="shared" ca="1" si="3"/>
        <v>0</v>
      </c>
      <c r="M35" s="306">
        <f ca="1">IFERROR(__xludf.DUMMYFUNCTION("IMPORTRANGE(""https://docs.google.com/spreadsheets/d/1XL5vhW3sbDhbH9Cz0tuDiY8C3ctxq1tqvaCgkFb8cCA/edit?usp=sharing"",""ขอนแก่น!J486"")"),0)</f>
        <v>0</v>
      </c>
      <c r="N35" s="306">
        <f ca="1">IFERROR(__xludf.DUMMYFUNCTION("IMPORTRANGE(""https://docs.google.com/spreadsheets/d/1XL5vhW3sbDhbH9Cz0tuDiY8C3ctxq1tqvaCgkFb8cCA/edit?usp=sharing"",""ขอนแก่น!J487"")"),0)</f>
        <v>0</v>
      </c>
      <c r="O35" s="307">
        <f t="shared" ca="1" si="5"/>
        <v>0</v>
      </c>
      <c r="P35" s="306">
        <f ca="1">IFERROR(__xludf.DUMMYFUNCTION("IMPORTRANGE(""https://docs.google.com/spreadsheets/d/1XL5vhW3sbDhbH9Cz0tuDiY8C3ctxq1tqvaCgkFb8cCA/edit?usp=sharing"",""ขอนแก่น!J488"")"),0)</f>
        <v>0</v>
      </c>
      <c r="Q35" s="307">
        <f ca="1">IFERROR(__xludf.DUMMYFUNCTION("IMPORTRANGE(""https://docs.google.com/spreadsheets/d/1XL5vhW3sbDhbH9Cz0tuDiY8C3ctxq1tqvaCgkFb8cCA/edit?usp=sharing"",""ขอนแก่น!J489"")"),0)</f>
        <v>0</v>
      </c>
      <c r="R35" s="307">
        <f t="shared" ca="1" si="7"/>
        <v>0</v>
      </c>
      <c r="S35" s="306">
        <f ca="1">IFERROR(__xludf.DUMMYFUNCTION("IMPORTRANGE(""https://docs.google.com/spreadsheets/d/1XL5vhW3sbDhbH9Cz0tuDiY8C3ctxq1tqvaCgkFb8cCA/edit?usp=sharing"",""ขอนแก่น!J490"")"),0)</f>
        <v>0</v>
      </c>
      <c r="T35" s="307">
        <f ca="1">IFERROR(__xludf.DUMMYFUNCTION("IMPORTRANGE(""https://docs.google.com/spreadsheets/d/1XL5vhW3sbDhbH9Cz0tuDiY8C3ctxq1tqvaCgkFb8cCA/edit?usp=sharing"",""ขอนแก่น!J491"")"),0)</f>
        <v>0</v>
      </c>
      <c r="U35" s="307">
        <f t="shared" ca="1" si="9"/>
        <v>0</v>
      </c>
    </row>
    <row r="36" spans="1:21" ht="21" customHeight="1">
      <c r="A36" s="303">
        <v>3</v>
      </c>
      <c r="B36" s="304" t="s">
        <v>60</v>
      </c>
      <c r="C36" s="305">
        <f t="shared" ca="1" si="42"/>
        <v>0</v>
      </c>
      <c r="D36" s="306">
        <f ca="1">IFERROR(__xludf.DUMMYFUNCTION("IMPORTRANGE(""https://docs.google.com/spreadsheets/d/1C3CXT74ZlgGe6_JY_1olB1XN4rF0dxEuIIF-xsYjHgg/edit?usp=sharing"",""งบกองทุน!EK40"")"),0)</f>
        <v>0</v>
      </c>
      <c r="E36" s="306">
        <f ca="1">IFERROR(__xludf.DUMMYFUNCTION("IMPORTRANGE(""https://docs.google.com/spreadsheets/d/1C3CXT74ZlgGe6_JY_1olB1XN4rF0dxEuIIF-xsYjHgg/edit?usp=sharing"",""งบกองทุน!EL40"")"),0)</f>
        <v>0</v>
      </c>
      <c r="F36" s="307">
        <f ca="1">IFERROR(__xludf.DUMMYFUNCTION("IMPORTRANGE(""https://docs.google.com/spreadsheets/d/1XL5vhW3sbDhbH9Cz0tuDiY8C3ctxq1tqvaCgkFb8cCA/edit?usp=sharing"",""ชัยภูมิ!M475"")"),0)</f>
        <v>0</v>
      </c>
      <c r="G36" s="307">
        <f t="shared" ca="1" si="1"/>
        <v>0</v>
      </c>
      <c r="H36" s="306">
        <f ca="1">IFERROR(__xludf.DUMMYFUNCTION("IMPORTRANGE(""https://docs.google.com/spreadsheets/d/1C3CXT74ZlgGe6_JY_1olB1XN4rF0dxEuIIF-xsYjHgg/edit?usp=sharing"",""งบกองทุน!EM40"")"),0)</f>
        <v>0</v>
      </c>
      <c r="I36" s="306">
        <f t="shared" ca="1" si="43"/>
        <v>0</v>
      </c>
      <c r="J36" s="306">
        <f ca="1">IFERROR(__xludf.DUMMYFUNCTION("IMPORTRANGE(""https://docs.google.com/spreadsheets/d/1XL5vhW3sbDhbH9Cz0tuDiY8C3ctxq1tqvaCgkFb8cCA/edit?usp=sharing"",""ชัยภูมิ!J484"")"),0)</f>
        <v>0</v>
      </c>
      <c r="K36" s="306">
        <f ca="1">IFERROR(__xludf.DUMMYFUNCTION("IMPORTRANGE(""https://docs.google.com/spreadsheets/d/1XL5vhW3sbDhbH9Cz0tuDiY8C3ctxq1tqvaCgkFb8cCA/edit?usp=sharing"",""ชัยภูมิ!J485"")"),0)</f>
        <v>0</v>
      </c>
      <c r="L36" s="307">
        <f t="shared" ca="1" si="3"/>
        <v>0</v>
      </c>
      <c r="M36" s="306">
        <f ca="1">IFERROR(__xludf.DUMMYFUNCTION("IMPORTRANGE(""https://docs.google.com/spreadsheets/d/1XL5vhW3sbDhbH9Cz0tuDiY8C3ctxq1tqvaCgkFb8cCA/edit?usp=sharing"",""ชัยภูมิ!J486"")"),21)</f>
        <v>21</v>
      </c>
      <c r="N36" s="306">
        <f ca="1">IFERROR(__xludf.DUMMYFUNCTION("IMPORTRANGE(""https://docs.google.com/spreadsheets/d/1XL5vhW3sbDhbH9Cz0tuDiY8C3ctxq1tqvaCgkFb8cCA/edit?usp=sharing"",""ชัยภูมิ!J487"")"),12)</f>
        <v>12</v>
      </c>
      <c r="O36" s="307">
        <f t="shared" ca="1" si="5"/>
        <v>0</v>
      </c>
      <c r="P36" s="306">
        <f ca="1">IFERROR(__xludf.DUMMYFUNCTION("IMPORTRANGE(""https://docs.google.com/spreadsheets/d/1XL5vhW3sbDhbH9Cz0tuDiY8C3ctxq1tqvaCgkFb8cCA/edit?usp=sharing"",""ชัยภูมิ!J488"")"),0)</f>
        <v>0</v>
      </c>
      <c r="Q36" s="307">
        <f ca="1">IFERROR(__xludf.DUMMYFUNCTION("IMPORTRANGE(""https://docs.google.com/spreadsheets/d/1XL5vhW3sbDhbH9Cz0tuDiY8C3ctxq1tqvaCgkFb8cCA/edit?usp=sharing"",""ชัยภูมิ!J489"")"),0)</f>
        <v>0</v>
      </c>
      <c r="R36" s="307">
        <f t="shared" ca="1" si="7"/>
        <v>0</v>
      </c>
      <c r="S36" s="306">
        <f ca="1">IFERROR(__xludf.DUMMYFUNCTION("IMPORTRANGE(""https://docs.google.com/spreadsheets/d/1XL5vhW3sbDhbH9Cz0tuDiY8C3ctxq1tqvaCgkFb8cCA/edit?usp=sharing"",""ชัยภูมิ!J490"")"),19)</f>
        <v>19</v>
      </c>
      <c r="T36" s="307">
        <f ca="1">IFERROR(__xludf.DUMMYFUNCTION("IMPORTRANGE(""https://docs.google.com/spreadsheets/d/1XL5vhW3sbDhbH9Cz0tuDiY8C3ctxq1tqvaCgkFb8cCA/edit?usp=sharing"",""ชัยภูมิ!J491"")"),11.09)</f>
        <v>11.09</v>
      </c>
      <c r="U36" s="307">
        <f t="shared" ca="1" si="9"/>
        <v>0</v>
      </c>
    </row>
    <row r="37" spans="1:21" ht="21" customHeight="1">
      <c r="A37" s="303">
        <v>4</v>
      </c>
      <c r="B37" s="304" t="s">
        <v>61</v>
      </c>
      <c r="C37" s="305">
        <f t="shared" ca="1" si="42"/>
        <v>0</v>
      </c>
      <c r="D37" s="306">
        <f ca="1">IFERROR(__xludf.DUMMYFUNCTION("IMPORTRANGE(""https://docs.google.com/spreadsheets/d/1C3CXT74ZlgGe6_JY_1olB1XN4rF0dxEuIIF-xsYjHgg/edit?usp=sharing"",""งบกองทุน!EK41"")"),0)</f>
        <v>0</v>
      </c>
      <c r="E37" s="306">
        <f ca="1">IFERROR(__xludf.DUMMYFUNCTION("IMPORTRANGE(""https://docs.google.com/spreadsheets/d/1C3CXT74ZlgGe6_JY_1olB1XN4rF0dxEuIIF-xsYjHgg/edit?usp=sharing"",""งบกองทุน!EL41"")"),0)</f>
        <v>0</v>
      </c>
      <c r="F37" s="307">
        <f ca="1">IFERROR(__xludf.DUMMYFUNCTION("IMPORTRANGE(""https://docs.google.com/spreadsheets/d/1XL5vhW3sbDhbH9Cz0tuDiY8C3ctxq1tqvaCgkFb8cCA/edit?usp=sharing"",""นครพนม!M475"")"),0)</f>
        <v>0</v>
      </c>
      <c r="G37" s="307">
        <f t="shared" ca="1" si="1"/>
        <v>0</v>
      </c>
      <c r="H37" s="306">
        <f ca="1">IFERROR(__xludf.DUMMYFUNCTION("IMPORTRANGE(""https://docs.google.com/spreadsheets/d/1C3CXT74ZlgGe6_JY_1olB1XN4rF0dxEuIIF-xsYjHgg/edit?usp=sharing"",""งบกองทุน!EM41"")"),0)</f>
        <v>0</v>
      </c>
      <c r="I37" s="306">
        <f t="shared" ca="1" si="43"/>
        <v>0</v>
      </c>
      <c r="J37" s="306">
        <f ca="1">IFERROR(__xludf.DUMMYFUNCTION("IMPORTRANGE(""https://docs.google.com/spreadsheets/d/1XL5vhW3sbDhbH9Cz0tuDiY8C3ctxq1tqvaCgkFb8cCA/edit?usp=sharing"",""นครพนม!J484"")"),7)</f>
        <v>7</v>
      </c>
      <c r="K37" s="306">
        <f ca="1">IFERROR(__xludf.DUMMYFUNCTION("IMPORTRANGE(""https://docs.google.com/spreadsheets/d/1XL5vhW3sbDhbH9Cz0tuDiY8C3ctxq1tqvaCgkFb8cCA/edit?usp=sharing"",""นครพนม!J485"")"),2.85)</f>
        <v>2.85</v>
      </c>
      <c r="L37" s="307">
        <f t="shared" ca="1" si="3"/>
        <v>0</v>
      </c>
      <c r="M37" s="306">
        <f ca="1">IFERROR(__xludf.DUMMYFUNCTION("IMPORTRANGE(""https://docs.google.com/spreadsheets/d/1XL5vhW3sbDhbH9Cz0tuDiY8C3ctxq1tqvaCgkFb8cCA/edit?usp=sharing"",""นครพนม!J486"")"),1)</f>
        <v>1</v>
      </c>
      <c r="N37" s="306">
        <f ca="1">IFERROR(__xludf.DUMMYFUNCTION("IMPORTRANGE(""https://docs.google.com/spreadsheets/d/1XL5vhW3sbDhbH9Cz0tuDiY8C3ctxq1tqvaCgkFb8cCA/edit?usp=sharing"",""นครพนม!J487"")"),0.15)</f>
        <v>0.15</v>
      </c>
      <c r="O37" s="307">
        <f t="shared" ca="1" si="5"/>
        <v>0</v>
      </c>
      <c r="P37" s="306">
        <f ca="1">IFERROR(__xludf.DUMMYFUNCTION("IMPORTRANGE(""https://docs.google.com/spreadsheets/d/1XL5vhW3sbDhbH9Cz0tuDiY8C3ctxq1tqvaCgkFb8cCA/edit?usp=sharing"",""นครพนม!J488"")"),0)</f>
        <v>0</v>
      </c>
      <c r="Q37" s="307">
        <f ca="1">IFERROR(__xludf.DUMMYFUNCTION("IMPORTRANGE(""https://docs.google.com/spreadsheets/d/1XL5vhW3sbDhbH9Cz0tuDiY8C3ctxq1tqvaCgkFb8cCA/edit?usp=sharing"",""นครพนม!J489"")"),0)</f>
        <v>0</v>
      </c>
      <c r="R37" s="307">
        <f t="shared" ca="1" si="7"/>
        <v>0</v>
      </c>
      <c r="S37" s="306">
        <f ca="1">IFERROR(__xludf.DUMMYFUNCTION("IMPORTRANGE(""https://docs.google.com/spreadsheets/d/1XL5vhW3sbDhbH9Cz0tuDiY8C3ctxq1tqvaCgkFb8cCA/edit?usp=sharing"",""นครพนม!J490"")"),0)</f>
        <v>0</v>
      </c>
      <c r="T37" s="307">
        <f ca="1">IFERROR(__xludf.DUMMYFUNCTION("IMPORTRANGE(""https://docs.google.com/spreadsheets/d/1XL5vhW3sbDhbH9Cz0tuDiY8C3ctxq1tqvaCgkFb8cCA/edit?usp=sharing"",""นครพนม!J491"")"),0)</f>
        <v>0</v>
      </c>
      <c r="U37" s="307">
        <f t="shared" ca="1" si="9"/>
        <v>0</v>
      </c>
    </row>
    <row r="38" spans="1:21" ht="21" customHeight="1">
      <c r="A38" s="303">
        <v>5</v>
      </c>
      <c r="B38" s="304" t="s">
        <v>62</v>
      </c>
      <c r="C38" s="305">
        <f t="shared" ca="1" si="42"/>
        <v>1144600</v>
      </c>
      <c r="D38" s="306">
        <f ca="1">IFERROR(__xludf.DUMMYFUNCTION("IMPORTRANGE(""https://docs.google.com/spreadsheets/d/1C3CXT74ZlgGe6_JY_1olB1XN4rF0dxEuIIF-xsYjHgg/edit?usp=sharing"",""งบกองทุน!EK42"")"),0)</f>
        <v>0</v>
      </c>
      <c r="E38" s="306">
        <f ca="1">IFERROR(__xludf.DUMMYFUNCTION("IMPORTRANGE(""https://docs.google.com/spreadsheets/d/1C3CXT74ZlgGe6_JY_1olB1XN4rF0dxEuIIF-xsYjHgg/edit?usp=sharing"",""งบกองทุน!EL42"")"),1144600)</f>
        <v>1144600</v>
      </c>
      <c r="F38" s="307">
        <f ca="1">IFERROR(__xludf.DUMMYFUNCTION("IMPORTRANGE(""https://docs.google.com/spreadsheets/d/1XL5vhW3sbDhbH9Cz0tuDiY8C3ctxq1tqvaCgkFb8cCA/edit?usp=sharing"",""นครราชสีมา!M475"")"),631863.01)</f>
        <v>631863.01</v>
      </c>
      <c r="G38" s="307">
        <f t="shared" ca="1" si="1"/>
        <v>55.203827538004546</v>
      </c>
      <c r="H38" s="306">
        <f ca="1">IFERROR(__xludf.DUMMYFUNCTION("IMPORTRANGE(""https://docs.google.com/spreadsheets/d/1C3CXT74ZlgGe6_JY_1olB1XN4rF0dxEuIIF-xsYjHgg/edit?usp=sharing"",""งบกองทุน!EM42"")"),2000)</f>
        <v>2000</v>
      </c>
      <c r="I38" s="306">
        <f t="shared" ca="1" si="43"/>
        <v>2000</v>
      </c>
      <c r="J38" s="306">
        <f ca="1">IFERROR(__xludf.DUMMYFUNCTION("IMPORTRANGE(""https://docs.google.com/spreadsheets/d/1XL5vhW3sbDhbH9Cz0tuDiY8C3ctxq1tqvaCgkFb8cCA/edit?usp=sharing"",""นครราชสีมา!J484"")"),889)</f>
        <v>889</v>
      </c>
      <c r="K38" s="306">
        <f ca="1">IFERROR(__xludf.DUMMYFUNCTION("IMPORTRANGE(""https://docs.google.com/spreadsheets/d/1XL5vhW3sbDhbH9Cz0tuDiY8C3ctxq1tqvaCgkFb8cCA/edit?usp=sharing"",""นครราชสีมา!J485"")"),496.1)</f>
        <v>496.1</v>
      </c>
      <c r="L38" s="307">
        <f t="shared" ca="1" si="3"/>
        <v>44.45</v>
      </c>
      <c r="M38" s="306">
        <f ca="1">IFERROR(__xludf.DUMMYFUNCTION("IMPORTRANGE(""https://docs.google.com/spreadsheets/d/1XL5vhW3sbDhbH9Cz0tuDiY8C3ctxq1tqvaCgkFb8cCA/edit?usp=sharing"",""นครราชสีมา!J486"")"),634)</f>
        <v>634</v>
      </c>
      <c r="N38" s="306">
        <f ca="1">IFERROR(__xludf.DUMMYFUNCTION("IMPORTRANGE(""https://docs.google.com/spreadsheets/d/1XL5vhW3sbDhbH9Cz0tuDiY8C3ctxq1tqvaCgkFb8cCA/edit?usp=sharing"",""นครราชสีมา!J487"")"),372.72)</f>
        <v>372.72</v>
      </c>
      <c r="O38" s="307">
        <f t="shared" ca="1" si="5"/>
        <v>31.7</v>
      </c>
      <c r="P38" s="306">
        <f ca="1">IFERROR(__xludf.DUMMYFUNCTION("IMPORTRANGE(""https://docs.google.com/spreadsheets/d/1XL5vhW3sbDhbH9Cz0tuDiY8C3ctxq1tqvaCgkFb8cCA/edit?usp=sharing"",""นครราชสีมา!J488"")"),0)</f>
        <v>0</v>
      </c>
      <c r="Q38" s="307">
        <f ca="1">IFERROR(__xludf.DUMMYFUNCTION("IMPORTRANGE(""https://docs.google.com/spreadsheets/d/1XL5vhW3sbDhbH9Cz0tuDiY8C3ctxq1tqvaCgkFb8cCA/edit?usp=sharing"",""นครราชสีมา!J489"")"),0)</f>
        <v>0</v>
      </c>
      <c r="R38" s="307">
        <f t="shared" ca="1" si="7"/>
        <v>0</v>
      </c>
      <c r="S38" s="306">
        <f ca="1">IFERROR(__xludf.DUMMYFUNCTION("IMPORTRANGE(""https://docs.google.com/spreadsheets/d/1XL5vhW3sbDhbH9Cz0tuDiY8C3ctxq1tqvaCgkFb8cCA/edit?usp=sharing"",""นครราชสีมา!J490"")"),37)</f>
        <v>37</v>
      </c>
      <c r="T38" s="307">
        <f ca="1">IFERROR(__xludf.DUMMYFUNCTION("IMPORTRANGE(""https://docs.google.com/spreadsheets/d/1XL5vhW3sbDhbH9Cz0tuDiY8C3ctxq1tqvaCgkFb8cCA/edit?usp=sharing"",""นครราชสีมา!J491"")"),26.11)</f>
        <v>26.11</v>
      </c>
      <c r="U38" s="307">
        <f t="shared" ca="1" si="9"/>
        <v>1.85</v>
      </c>
    </row>
    <row r="39" spans="1:21" ht="21" customHeight="1">
      <c r="A39" s="303">
        <v>6</v>
      </c>
      <c r="B39" s="304" t="s">
        <v>63</v>
      </c>
      <c r="C39" s="305">
        <f t="shared" ca="1" si="42"/>
        <v>144350</v>
      </c>
      <c r="D39" s="306">
        <f ca="1">IFERROR(__xludf.DUMMYFUNCTION("IMPORTRANGE(""https://docs.google.com/spreadsheets/d/1C3CXT74ZlgGe6_JY_1olB1XN4rF0dxEuIIF-xsYjHgg/edit?usp=sharing"",""งบกองทุน!EK43"")"),0)</f>
        <v>0</v>
      </c>
      <c r="E39" s="306">
        <f ca="1">IFERROR(__xludf.DUMMYFUNCTION("IMPORTRANGE(""https://docs.google.com/spreadsheets/d/1C3CXT74ZlgGe6_JY_1olB1XN4rF0dxEuIIF-xsYjHgg/edit?usp=sharing"",""งบกองทุน!EL43"")"),144350)</f>
        <v>144350</v>
      </c>
      <c r="F39" s="307">
        <f ca="1">IFERROR(__xludf.DUMMYFUNCTION("IMPORTRANGE(""https://docs.google.com/spreadsheets/d/1XL5vhW3sbDhbH9Cz0tuDiY8C3ctxq1tqvaCgkFb8cCA/edit?usp=sharing"",""บึงกาฬ!M475"")"),0)</f>
        <v>0</v>
      </c>
      <c r="G39" s="307">
        <f t="shared" ca="1" si="1"/>
        <v>0</v>
      </c>
      <c r="H39" s="306">
        <f ca="1">IFERROR(__xludf.DUMMYFUNCTION("IMPORTRANGE(""https://docs.google.com/spreadsheets/d/1C3CXT74ZlgGe6_JY_1olB1XN4rF0dxEuIIF-xsYjHgg/edit?usp=sharing"",""งบกองทุน!EM43"")"),50)</f>
        <v>50</v>
      </c>
      <c r="I39" s="306">
        <f t="shared" ca="1" si="43"/>
        <v>50</v>
      </c>
      <c r="J39" s="306">
        <f ca="1">IFERROR(__xludf.DUMMYFUNCTION("IMPORTRANGE(""https://docs.google.com/spreadsheets/d/1XL5vhW3sbDhbH9Cz0tuDiY8C3ctxq1tqvaCgkFb8cCA/edit?usp=sharing"",""บึงกาฬ!J484"")"),12)</f>
        <v>12</v>
      </c>
      <c r="K39" s="306">
        <f ca="1">IFERROR(__xludf.DUMMYFUNCTION("IMPORTRANGE(""https://docs.google.com/spreadsheets/d/1XL5vhW3sbDhbH9Cz0tuDiY8C3ctxq1tqvaCgkFb8cCA/edit?usp=sharing"",""บึงกาฬ!J485"")"),60.63)</f>
        <v>60.63</v>
      </c>
      <c r="L39" s="307">
        <f t="shared" ca="1" si="3"/>
        <v>24</v>
      </c>
      <c r="M39" s="306">
        <f ca="1">IFERROR(__xludf.DUMMYFUNCTION("IMPORTRANGE(""https://docs.google.com/spreadsheets/d/1XL5vhW3sbDhbH9Cz0tuDiY8C3ctxq1tqvaCgkFb8cCA/edit?usp=sharing"",""บึงกาฬ!J486"")"),11)</f>
        <v>11</v>
      </c>
      <c r="N39" s="306">
        <f ca="1">IFERROR(__xludf.DUMMYFUNCTION("IMPORTRANGE(""https://docs.google.com/spreadsheets/d/1XL5vhW3sbDhbH9Cz0tuDiY8C3ctxq1tqvaCgkFb8cCA/edit?usp=sharing"",""บึงกาฬ!J487"")"),32.45)</f>
        <v>32.450000000000003</v>
      </c>
      <c r="O39" s="307">
        <f t="shared" ca="1" si="5"/>
        <v>22</v>
      </c>
      <c r="P39" s="306">
        <f ca="1">IFERROR(__xludf.DUMMYFUNCTION("IMPORTRANGE(""https://docs.google.com/spreadsheets/d/1XL5vhW3sbDhbH9Cz0tuDiY8C3ctxq1tqvaCgkFb8cCA/edit?usp=sharing"",""บึงกาฬ!J488"")"),1)</f>
        <v>1</v>
      </c>
      <c r="Q39" s="307">
        <f ca="1">IFERROR(__xludf.DUMMYFUNCTION("IMPORTRANGE(""https://docs.google.com/spreadsheets/d/1XL5vhW3sbDhbH9Cz0tuDiY8C3ctxq1tqvaCgkFb8cCA/edit?usp=sharing"",""บึงกาฬ!J489"")"),12.03)</f>
        <v>12.03</v>
      </c>
      <c r="R39" s="307">
        <f t="shared" ca="1" si="7"/>
        <v>2</v>
      </c>
      <c r="S39" s="306">
        <f ca="1">IFERROR(__xludf.DUMMYFUNCTION("IMPORTRANGE(""https://docs.google.com/spreadsheets/d/1XL5vhW3sbDhbH9Cz0tuDiY8C3ctxq1tqvaCgkFb8cCA/edit?usp=sharing"",""บึงกาฬ!J490"")"),1)</f>
        <v>1</v>
      </c>
      <c r="T39" s="307">
        <f ca="1">IFERROR(__xludf.DUMMYFUNCTION("IMPORTRANGE(""https://docs.google.com/spreadsheets/d/1XL5vhW3sbDhbH9Cz0tuDiY8C3ctxq1tqvaCgkFb8cCA/edit?usp=sharing"",""บึงกาฬ!J491"")"),0.6)</f>
        <v>0.6</v>
      </c>
      <c r="U39" s="307">
        <f t="shared" ca="1" si="9"/>
        <v>2</v>
      </c>
    </row>
    <row r="40" spans="1:21" ht="21" customHeight="1">
      <c r="A40" s="303">
        <v>7</v>
      </c>
      <c r="B40" s="304" t="s">
        <v>64</v>
      </c>
      <c r="C40" s="305">
        <f t="shared" ca="1" si="42"/>
        <v>172040</v>
      </c>
      <c r="D40" s="306">
        <f ca="1">IFERROR(__xludf.DUMMYFUNCTION("IMPORTRANGE(""https://docs.google.com/spreadsheets/d/1C3CXT74ZlgGe6_JY_1olB1XN4rF0dxEuIIF-xsYjHgg/edit?usp=sharing"",""งบกองทุน!EK44"")"),0)</f>
        <v>0</v>
      </c>
      <c r="E40" s="306">
        <f ca="1">IFERROR(__xludf.DUMMYFUNCTION("IMPORTRANGE(""https://docs.google.com/spreadsheets/d/1C3CXT74ZlgGe6_JY_1olB1XN4rF0dxEuIIF-xsYjHgg/edit?usp=sharing"",""งบกองทุน!EL44"")"),172040)</f>
        <v>172040</v>
      </c>
      <c r="F40" s="307">
        <f ca="1">IFERROR(__xludf.DUMMYFUNCTION("IMPORTRANGE(""https://docs.google.com/spreadsheets/d/1XL5vhW3sbDhbH9Cz0tuDiY8C3ctxq1tqvaCgkFb8cCA/edit?usp=sharing"",""บุรีรัมย์!M475"")"),15360)</f>
        <v>15360</v>
      </c>
      <c r="G40" s="307">
        <f t="shared" ca="1" si="1"/>
        <v>8.9281562427342482</v>
      </c>
      <c r="H40" s="306">
        <f ca="1">IFERROR(__xludf.DUMMYFUNCTION("IMPORTRANGE(""https://docs.google.com/spreadsheets/d/1C3CXT74ZlgGe6_JY_1olB1XN4rF0dxEuIIF-xsYjHgg/edit?usp=sharing"",""งบกองทุน!EM44"")"),40)</f>
        <v>40</v>
      </c>
      <c r="I40" s="306">
        <f t="shared" ca="1" si="43"/>
        <v>40</v>
      </c>
      <c r="J40" s="306">
        <f ca="1">IFERROR(__xludf.DUMMYFUNCTION("IMPORTRANGE(""https://docs.google.com/spreadsheets/d/1XL5vhW3sbDhbH9Cz0tuDiY8C3ctxq1tqvaCgkFb8cCA/edit?usp=sharing"",""บุรีรัมย์!J484"")"),42)</f>
        <v>42</v>
      </c>
      <c r="K40" s="306">
        <f ca="1">IFERROR(__xludf.DUMMYFUNCTION("IMPORTRANGE(""https://docs.google.com/spreadsheets/d/1XL5vhW3sbDhbH9Cz0tuDiY8C3ctxq1tqvaCgkFb8cCA/edit?usp=sharing"",""บุรีรัมย์!J485"")"),15.37)</f>
        <v>15.37</v>
      </c>
      <c r="L40" s="307">
        <f t="shared" ca="1" si="3"/>
        <v>105</v>
      </c>
      <c r="M40" s="306">
        <f ca="1">IFERROR(__xludf.DUMMYFUNCTION("IMPORTRANGE(""https://docs.google.com/spreadsheets/d/1XL5vhW3sbDhbH9Cz0tuDiY8C3ctxq1tqvaCgkFb8cCA/edit?usp=sharing"",""บุรีรัมย์!J486"")"),0)</f>
        <v>0</v>
      </c>
      <c r="N40" s="306">
        <f ca="1">IFERROR(__xludf.DUMMYFUNCTION("IMPORTRANGE(""https://docs.google.com/spreadsheets/d/1XL5vhW3sbDhbH9Cz0tuDiY8C3ctxq1tqvaCgkFb8cCA/edit?usp=sharing"",""บุรีรัมย์!J487"")"),0)</f>
        <v>0</v>
      </c>
      <c r="O40" s="307">
        <f t="shared" ca="1" si="5"/>
        <v>0</v>
      </c>
      <c r="P40" s="306">
        <f ca="1">IFERROR(__xludf.DUMMYFUNCTION("IMPORTRANGE(""https://docs.google.com/spreadsheets/d/1XL5vhW3sbDhbH9Cz0tuDiY8C3ctxq1tqvaCgkFb8cCA/edit?usp=sharing"",""บุรีรัมย์!J488"")"),0)</f>
        <v>0</v>
      </c>
      <c r="Q40" s="307">
        <f ca="1">IFERROR(__xludf.DUMMYFUNCTION("IMPORTRANGE(""https://docs.google.com/spreadsheets/d/1XL5vhW3sbDhbH9Cz0tuDiY8C3ctxq1tqvaCgkFb8cCA/edit?usp=sharing"",""บุรีรัมย์!J489"")"),0)</f>
        <v>0</v>
      </c>
      <c r="R40" s="307">
        <f t="shared" ca="1" si="7"/>
        <v>0</v>
      </c>
      <c r="S40" s="306">
        <f ca="1">IFERROR(__xludf.DUMMYFUNCTION("IMPORTRANGE(""https://docs.google.com/spreadsheets/d/1XL5vhW3sbDhbH9Cz0tuDiY8C3ctxq1tqvaCgkFb8cCA/edit?usp=sharing"",""บุรีรัมย์!J490"")"),0)</f>
        <v>0</v>
      </c>
      <c r="T40" s="307">
        <f ca="1">IFERROR(__xludf.DUMMYFUNCTION("IMPORTRANGE(""https://docs.google.com/spreadsheets/d/1XL5vhW3sbDhbH9Cz0tuDiY8C3ctxq1tqvaCgkFb8cCA/edit?usp=sharing"",""บุรีรัมย์!J491"")"),0)</f>
        <v>0</v>
      </c>
      <c r="U40" s="307">
        <f t="shared" ca="1" si="9"/>
        <v>0</v>
      </c>
    </row>
    <row r="41" spans="1:21" ht="21" customHeight="1">
      <c r="A41" s="303">
        <v>8</v>
      </c>
      <c r="B41" s="304" t="s">
        <v>65</v>
      </c>
      <c r="C41" s="305">
        <f t="shared" ca="1" si="42"/>
        <v>0</v>
      </c>
      <c r="D41" s="306">
        <f ca="1">IFERROR(__xludf.DUMMYFUNCTION("IMPORTRANGE(""https://docs.google.com/spreadsheets/d/1C3CXT74ZlgGe6_JY_1olB1XN4rF0dxEuIIF-xsYjHgg/edit?usp=sharing"",""งบกองทุน!EK45"")"),0)</f>
        <v>0</v>
      </c>
      <c r="E41" s="306">
        <f ca="1">IFERROR(__xludf.DUMMYFUNCTION("IMPORTRANGE(""https://docs.google.com/spreadsheets/d/1C3CXT74ZlgGe6_JY_1olB1XN4rF0dxEuIIF-xsYjHgg/edit?usp=sharing"",""งบกองทุน!EL45"")"),0)</f>
        <v>0</v>
      </c>
      <c r="F41" s="307">
        <f ca="1">IFERROR(__xludf.DUMMYFUNCTION("IMPORTRANGE(""https://docs.google.com/spreadsheets/d/1XL5vhW3sbDhbH9Cz0tuDiY8C3ctxq1tqvaCgkFb8cCA/edit?usp=sharing"",""มหาสารคาม!M475"")"),0)</f>
        <v>0</v>
      </c>
      <c r="G41" s="307">
        <f t="shared" ca="1" si="1"/>
        <v>0</v>
      </c>
      <c r="H41" s="306">
        <f ca="1">IFERROR(__xludf.DUMMYFUNCTION("IMPORTRANGE(""https://docs.google.com/spreadsheets/d/1C3CXT74ZlgGe6_JY_1olB1XN4rF0dxEuIIF-xsYjHgg/edit?usp=sharing"",""งบกองทุน!EM45"")"),0)</f>
        <v>0</v>
      </c>
      <c r="I41" s="306">
        <f t="shared" ca="1" si="43"/>
        <v>0</v>
      </c>
      <c r="J41" s="306">
        <f ca="1">IFERROR(__xludf.DUMMYFUNCTION("IMPORTRANGE(""https://docs.google.com/spreadsheets/d/1XL5vhW3sbDhbH9Cz0tuDiY8C3ctxq1tqvaCgkFb8cCA/edit?usp=sharing"",""มหาสารคาม!J484"")"),0)</f>
        <v>0</v>
      </c>
      <c r="K41" s="306">
        <f ca="1">IFERROR(__xludf.DUMMYFUNCTION("IMPORTRANGE(""https://docs.google.com/spreadsheets/d/1XL5vhW3sbDhbH9Cz0tuDiY8C3ctxq1tqvaCgkFb8cCA/edit?usp=sharing"",""มหาสารคาม!J485"")"),0)</f>
        <v>0</v>
      </c>
      <c r="L41" s="307">
        <f t="shared" ca="1" si="3"/>
        <v>0</v>
      </c>
      <c r="M41" s="306">
        <f ca="1">IFERROR(__xludf.DUMMYFUNCTION("IMPORTRANGE(""https://docs.google.com/spreadsheets/d/1XL5vhW3sbDhbH9Cz0tuDiY8C3ctxq1tqvaCgkFb8cCA/edit?usp=sharing"",""มหาสารคาม!J486"")"),0)</f>
        <v>0</v>
      </c>
      <c r="N41" s="306">
        <f ca="1">IFERROR(__xludf.DUMMYFUNCTION("IMPORTRANGE(""https://docs.google.com/spreadsheets/d/1XL5vhW3sbDhbH9Cz0tuDiY8C3ctxq1tqvaCgkFb8cCA/edit?usp=sharing"",""มหาสารคาม!J487"")"),0)</f>
        <v>0</v>
      </c>
      <c r="O41" s="307">
        <f t="shared" ca="1" si="5"/>
        <v>0</v>
      </c>
      <c r="P41" s="306">
        <f ca="1">IFERROR(__xludf.DUMMYFUNCTION("IMPORTRANGE(""https://docs.google.com/spreadsheets/d/1XL5vhW3sbDhbH9Cz0tuDiY8C3ctxq1tqvaCgkFb8cCA/edit?usp=sharing"",""มหาสารคาม!J488"")"),0)</f>
        <v>0</v>
      </c>
      <c r="Q41" s="307">
        <f ca="1">IFERROR(__xludf.DUMMYFUNCTION("IMPORTRANGE(""https://docs.google.com/spreadsheets/d/1XL5vhW3sbDhbH9Cz0tuDiY8C3ctxq1tqvaCgkFb8cCA/edit?usp=sharing"",""มหาสารคาม!J489"")"),0)</f>
        <v>0</v>
      </c>
      <c r="R41" s="307">
        <f t="shared" ca="1" si="7"/>
        <v>0</v>
      </c>
      <c r="S41" s="306">
        <f ca="1">IFERROR(__xludf.DUMMYFUNCTION("IMPORTRANGE(""https://docs.google.com/spreadsheets/d/1XL5vhW3sbDhbH9Cz0tuDiY8C3ctxq1tqvaCgkFb8cCA/edit?usp=sharing"",""มหาสารคาม!J490"")"),0)</f>
        <v>0</v>
      </c>
      <c r="T41" s="307">
        <f ca="1">IFERROR(__xludf.DUMMYFUNCTION("IMPORTRANGE(""https://docs.google.com/spreadsheets/d/1XL5vhW3sbDhbH9Cz0tuDiY8C3ctxq1tqvaCgkFb8cCA/edit?usp=sharing"",""มหาสารคาม!J491"")"),0)</f>
        <v>0</v>
      </c>
      <c r="U41" s="307">
        <f t="shared" ca="1" si="9"/>
        <v>0</v>
      </c>
    </row>
    <row r="42" spans="1:21" ht="21" customHeight="1">
      <c r="A42" s="303">
        <v>9</v>
      </c>
      <c r="B42" s="304" t="s">
        <v>66</v>
      </c>
      <c r="C42" s="305">
        <f t="shared" ca="1" si="42"/>
        <v>134440</v>
      </c>
      <c r="D42" s="306">
        <f ca="1">IFERROR(__xludf.DUMMYFUNCTION("IMPORTRANGE(""https://docs.google.com/spreadsheets/d/1C3CXT74ZlgGe6_JY_1olB1XN4rF0dxEuIIF-xsYjHgg/edit?usp=sharing"",""งบกองทุน!EK46"")"),0)</f>
        <v>0</v>
      </c>
      <c r="E42" s="306">
        <f ca="1">IFERROR(__xludf.DUMMYFUNCTION("IMPORTRANGE(""https://docs.google.com/spreadsheets/d/1C3CXT74ZlgGe6_JY_1olB1XN4rF0dxEuIIF-xsYjHgg/edit?usp=sharing"",""งบกองทุน!EL46"")"),134440)</f>
        <v>134440</v>
      </c>
      <c r="F42" s="307">
        <f ca="1">IFERROR(__xludf.DUMMYFUNCTION("IMPORTRANGE(""https://docs.google.com/spreadsheets/d/1XL5vhW3sbDhbH9Cz0tuDiY8C3ctxq1tqvaCgkFb8cCA/edit?usp=sharing"",""มุกดาหาร!M475"")"),78080)</f>
        <v>78080</v>
      </c>
      <c r="G42" s="307">
        <f t="shared" ca="1" si="1"/>
        <v>58.077952990181494</v>
      </c>
      <c r="H42" s="306">
        <f ca="1">IFERROR(__xludf.DUMMYFUNCTION("IMPORTRANGE(""https://docs.google.com/spreadsheets/d/1C3CXT74ZlgGe6_JY_1olB1XN4rF0dxEuIIF-xsYjHgg/edit?usp=sharing"",""งบกองทุน!EM46"")"),40)</f>
        <v>40</v>
      </c>
      <c r="I42" s="306">
        <f t="shared" ca="1" si="43"/>
        <v>40</v>
      </c>
      <c r="J42" s="306">
        <f ca="1">IFERROR(__xludf.DUMMYFUNCTION("IMPORTRANGE(""https://docs.google.com/spreadsheets/d/1XL5vhW3sbDhbH9Cz0tuDiY8C3ctxq1tqvaCgkFb8cCA/edit?usp=sharing"",""มุกดาหาร!J484"")"),47)</f>
        <v>47</v>
      </c>
      <c r="K42" s="306">
        <f ca="1">IFERROR(__xludf.DUMMYFUNCTION("IMPORTRANGE(""https://docs.google.com/spreadsheets/d/1XL5vhW3sbDhbH9Cz0tuDiY8C3ctxq1tqvaCgkFb8cCA/edit?usp=sharing"",""มุกดาหาร!J485"")"),34.64)</f>
        <v>34.64</v>
      </c>
      <c r="L42" s="307">
        <f t="shared" ca="1" si="3"/>
        <v>117.5</v>
      </c>
      <c r="M42" s="306">
        <f ca="1">IFERROR(__xludf.DUMMYFUNCTION("IMPORTRANGE(""https://docs.google.com/spreadsheets/d/1XL5vhW3sbDhbH9Cz0tuDiY8C3ctxq1tqvaCgkFb8cCA/edit?usp=sharing"",""มุกดาหาร!J486"")"),41)</f>
        <v>41</v>
      </c>
      <c r="N42" s="306">
        <f ca="1">IFERROR(__xludf.DUMMYFUNCTION("IMPORTRANGE(""https://docs.google.com/spreadsheets/d/1XL5vhW3sbDhbH9Cz0tuDiY8C3ctxq1tqvaCgkFb8cCA/edit?usp=sharing"",""มุกดาหาร!J487"")"),33.12)</f>
        <v>33.119999999999997</v>
      </c>
      <c r="O42" s="307">
        <f t="shared" ca="1" si="5"/>
        <v>102.5</v>
      </c>
      <c r="P42" s="306">
        <f ca="1">IFERROR(__xludf.DUMMYFUNCTION("IMPORTRANGE(""https://docs.google.com/spreadsheets/d/1XL5vhW3sbDhbH9Cz0tuDiY8C3ctxq1tqvaCgkFb8cCA/edit?usp=sharing"",""มุกดาหาร!J488"")"),16)</f>
        <v>16</v>
      </c>
      <c r="Q42" s="307">
        <f ca="1">IFERROR(__xludf.DUMMYFUNCTION("IMPORTRANGE(""https://docs.google.com/spreadsheets/d/1XL5vhW3sbDhbH9Cz0tuDiY8C3ctxq1tqvaCgkFb8cCA/edit?usp=sharing"",""มุกดาหาร!J489"")"),9.4)</f>
        <v>9.4</v>
      </c>
      <c r="R42" s="307">
        <f t="shared" ca="1" si="7"/>
        <v>40</v>
      </c>
      <c r="S42" s="306">
        <f ca="1">IFERROR(__xludf.DUMMYFUNCTION("IMPORTRANGE(""https://docs.google.com/spreadsheets/d/1XL5vhW3sbDhbH9Cz0tuDiY8C3ctxq1tqvaCgkFb8cCA/edit?usp=sharing"",""มุกดาหาร!J490"")"),0)</f>
        <v>0</v>
      </c>
      <c r="T42" s="307">
        <f ca="1">IFERROR(__xludf.DUMMYFUNCTION("IMPORTRANGE(""https://docs.google.com/spreadsheets/d/1XL5vhW3sbDhbH9Cz0tuDiY8C3ctxq1tqvaCgkFb8cCA/edit?usp=sharing"",""มุกดาหาร!J491"")"),0)</f>
        <v>0</v>
      </c>
      <c r="U42" s="307">
        <f t="shared" ca="1" si="9"/>
        <v>0</v>
      </c>
    </row>
    <row r="43" spans="1:21" ht="21" customHeight="1">
      <c r="A43" s="303">
        <v>10</v>
      </c>
      <c r="B43" s="304" t="s">
        <v>67</v>
      </c>
      <c r="C43" s="305">
        <f t="shared" ca="1" si="42"/>
        <v>306100</v>
      </c>
      <c r="D43" s="306">
        <f ca="1">IFERROR(__xludf.DUMMYFUNCTION("IMPORTRANGE(""https://docs.google.com/spreadsheets/d/1C3CXT74ZlgGe6_JY_1olB1XN4rF0dxEuIIF-xsYjHgg/edit?usp=sharing"",""งบกองทุน!EK47"")"),0)</f>
        <v>0</v>
      </c>
      <c r="E43" s="306">
        <f ca="1">IFERROR(__xludf.DUMMYFUNCTION("IMPORTRANGE(""https://docs.google.com/spreadsheets/d/1C3CXT74ZlgGe6_JY_1olB1XN4rF0dxEuIIF-xsYjHgg/edit?usp=sharing"",""งบกองทุน!EL47"")"),306100)</f>
        <v>306100</v>
      </c>
      <c r="F43" s="307">
        <f ca="1">IFERROR(__xludf.DUMMYFUNCTION("IMPORTRANGE(""https://docs.google.com/spreadsheets/d/1XL5vhW3sbDhbH9Cz0tuDiY8C3ctxq1tqvaCgkFb8cCA/edit?usp=sharing"",""ยโสธร!M475"")"),85253)</f>
        <v>85253</v>
      </c>
      <c r="G43" s="307">
        <f t="shared" ca="1" si="1"/>
        <v>27.851355766089512</v>
      </c>
      <c r="H43" s="306">
        <f ca="1">IFERROR(__xludf.DUMMYFUNCTION("IMPORTRANGE(""https://docs.google.com/spreadsheets/d/1C3CXT74ZlgGe6_JY_1olB1XN4rF0dxEuIIF-xsYjHgg/edit?usp=sharing"",""งบกองทุน!EM47"")"),100)</f>
        <v>100</v>
      </c>
      <c r="I43" s="306">
        <f t="shared" ca="1" si="43"/>
        <v>100</v>
      </c>
      <c r="J43" s="306">
        <f ca="1">IFERROR(__xludf.DUMMYFUNCTION("IMPORTRANGE(""https://docs.google.com/spreadsheets/d/1XL5vhW3sbDhbH9Cz0tuDiY8C3ctxq1tqvaCgkFb8cCA/edit?usp=sharing"",""ยโสธร!J484"")"),60)</f>
        <v>60</v>
      </c>
      <c r="K43" s="306">
        <f ca="1">IFERROR(__xludf.DUMMYFUNCTION("IMPORTRANGE(""https://docs.google.com/spreadsheets/d/1XL5vhW3sbDhbH9Cz0tuDiY8C3ctxq1tqvaCgkFb8cCA/edit?usp=sharing"",""ยโสธร!J485"")"),22.45)</f>
        <v>22.45</v>
      </c>
      <c r="L43" s="307">
        <f t="shared" ca="1" si="3"/>
        <v>60</v>
      </c>
      <c r="M43" s="306">
        <f ca="1">IFERROR(__xludf.DUMMYFUNCTION("IMPORTRANGE(""https://docs.google.com/spreadsheets/d/1XL5vhW3sbDhbH9Cz0tuDiY8C3ctxq1tqvaCgkFb8cCA/edit?usp=sharing"",""ยโสธร!J486"")"),56)</f>
        <v>56</v>
      </c>
      <c r="N43" s="306">
        <f ca="1">IFERROR(__xludf.DUMMYFUNCTION("IMPORTRANGE(""https://docs.google.com/spreadsheets/d/1XL5vhW3sbDhbH9Cz0tuDiY8C3ctxq1tqvaCgkFb8cCA/edit?usp=sharing"",""ยโสธร!J487"")"),24.15)</f>
        <v>24.15</v>
      </c>
      <c r="O43" s="307">
        <f t="shared" ca="1" si="5"/>
        <v>56</v>
      </c>
      <c r="P43" s="306">
        <f ca="1">IFERROR(__xludf.DUMMYFUNCTION("IMPORTRANGE(""https://docs.google.com/spreadsheets/d/1XL5vhW3sbDhbH9Cz0tuDiY8C3ctxq1tqvaCgkFb8cCA/edit?usp=sharing"",""ยโสธร!J488"")"),0)</f>
        <v>0</v>
      </c>
      <c r="Q43" s="307">
        <f ca="1">IFERROR(__xludf.DUMMYFUNCTION("IMPORTRANGE(""https://docs.google.com/spreadsheets/d/1XL5vhW3sbDhbH9Cz0tuDiY8C3ctxq1tqvaCgkFb8cCA/edit?usp=sharing"",""ยโสธร!J489"")"),0)</f>
        <v>0</v>
      </c>
      <c r="R43" s="307">
        <f t="shared" ca="1" si="7"/>
        <v>0</v>
      </c>
      <c r="S43" s="306">
        <f ca="1">IFERROR(__xludf.DUMMYFUNCTION("IMPORTRANGE(""https://docs.google.com/spreadsheets/d/1XL5vhW3sbDhbH9Cz0tuDiY8C3ctxq1tqvaCgkFb8cCA/edit?usp=sharing"",""ยโสธร!J490"")"),24)</f>
        <v>24</v>
      </c>
      <c r="T43" s="307">
        <f ca="1">IFERROR(__xludf.DUMMYFUNCTION("IMPORTRANGE(""https://docs.google.com/spreadsheets/d/1XL5vhW3sbDhbH9Cz0tuDiY8C3ctxq1tqvaCgkFb8cCA/edit?usp=sharing"",""ยโสธร!J491"")"),12.41)</f>
        <v>12.41</v>
      </c>
      <c r="U43" s="307">
        <f t="shared" ca="1" si="9"/>
        <v>24</v>
      </c>
    </row>
    <row r="44" spans="1:21" ht="21" customHeight="1">
      <c r="A44" s="303">
        <v>11</v>
      </c>
      <c r="B44" s="304" t="s">
        <v>68</v>
      </c>
      <c r="C44" s="305">
        <f t="shared" ca="1" si="42"/>
        <v>297420</v>
      </c>
      <c r="D44" s="306">
        <f ca="1">IFERROR(__xludf.DUMMYFUNCTION("IMPORTRANGE(""https://docs.google.com/spreadsheets/d/1C3CXT74ZlgGe6_JY_1olB1XN4rF0dxEuIIF-xsYjHgg/edit?usp=sharing"",""งบกองทุน!EK48"")"),0)</f>
        <v>0</v>
      </c>
      <c r="E44" s="306">
        <f ca="1">IFERROR(__xludf.DUMMYFUNCTION("IMPORTRANGE(""https://docs.google.com/spreadsheets/d/1C3CXT74ZlgGe6_JY_1olB1XN4rF0dxEuIIF-xsYjHgg/edit?usp=sharing"",""งบกองทุน!EL48"")"),297420)</f>
        <v>297420</v>
      </c>
      <c r="F44" s="307">
        <f ca="1">IFERROR(__xludf.DUMMYFUNCTION("IMPORTRANGE(""https://docs.google.com/spreadsheets/d/1XL5vhW3sbDhbH9Cz0tuDiY8C3ctxq1tqvaCgkFb8cCA/edit?usp=sharing"",""ร้อยเอ็ด!M475"")"),72240.41)</f>
        <v>72240.41</v>
      </c>
      <c r="G44" s="307">
        <f t="shared" ca="1" si="1"/>
        <v>24.289022258086209</v>
      </c>
      <c r="H44" s="306">
        <f ca="1">IFERROR(__xludf.DUMMYFUNCTION("IMPORTRANGE(""https://docs.google.com/spreadsheets/d/1C3CXT74ZlgGe6_JY_1olB1XN4rF0dxEuIIF-xsYjHgg/edit?usp=sharing"",""งบกองทุน!EM48"")"),120)</f>
        <v>120</v>
      </c>
      <c r="I44" s="306">
        <f t="shared" ca="1" si="43"/>
        <v>120</v>
      </c>
      <c r="J44" s="306">
        <f ca="1">IFERROR(__xludf.DUMMYFUNCTION("IMPORTRANGE(""https://docs.google.com/spreadsheets/d/1XL5vhW3sbDhbH9Cz0tuDiY8C3ctxq1tqvaCgkFb8cCA/edit?usp=sharing"",""ร้อยเอ็ด!J484"")"),108)</f>
        <v>108</v>
      </c>
      <c r="K44" s="306">
        <f ca="1">IFERROR(__xludf.DUMMYFUNCTION("IMPORTRANGE(""https://docs.google.com/spreadsheets/d/1XL5vhW3sbDhbH9Cz0tuDiY8C3ctxq1tqvaCgkFb8cCA/edit?usp=sharing"",""ร้อยเอ็ด!J485"")"),58.39)</f>
        <v>58.39</v>
      </c>
      <c r="L44" s="307">
        <f t="shared" ca="1" si="3"/>
        <v>90</v>
      </c>
      <c r="M44" s="306">
        <f ca="1">IFERROR(__xludf.DUMMYFUNCTION("IMPORTRANGE(""https://docs.google.com/spreadsheets/d/1XL5vhW3sbDhbH9Cz0tuDiY8C3ctxq1tqvaCgkFb8cCA/edit?usp=sharing"",""ร้อยเอ็ด!J486"")"),102)</f>
        <v>102</v>
      </c>
      <c r="N44" s="306">
        <f ca="1">IFERROR(__xludf.DUMMYFUNCTION("IMPORTRANGE(""https://docs.google.com/spreadsheets/d/1XL5vhW3sbDhbH9Cz0tuDiY8C3ctxq1tqvaCgkFb8cCA/edit?usp=sharing"",""ร้อยเอ็ด!J487"")"),58.98)</f>
        <v>58.98</v>
      </c>
      <c r="O44" s="307">
        <f t="shared" ca="1" si="5"/>
        <v>85</v>
      </c>
      <c r="P44" s="306">
        <f ca="1">IFERROR(__xludf.DUMMYFUNCTION("IMPORTRANGE(""https://docs.google.com/spreadsheets/d/1XL5vhW3sbDhbH9Cz0tuDiY8C3ctxq1tqvaCgkFb8cCA/edit?usp=sharing"",""ร้อยเอ็ด!J488"")"),82)</f>
        <v>82</v>
      </c>
      <c r="Q44" s="307">
        <f ca="1">IFERROR(__xludf.DUMMYFUNCTION("IMPORTRANGE(""https://docs.google.com/spreadsheets/d/1XL5vhW3sbDhbH9Cz0tuDiY8C3ctxq1tqvaCgkFb8cCA/edit?usp=sharing"",""ร้อยเอ็ด!J489"")"),47.09)</f>
        <v>47.09</v>
      </c>
      <c r="R44" s="307">
        <f t="shared" ca="1" si="7"/>
        <v>68.333333333333329</v>
      </c>
      <c r="S44" s="306">
        <f ca="1">IFERROR(__xludf.DUMMYFUNCTION("IMPORTRANGE(""https://docs.google.com/spreadsheets/d/1XL5vhW3sbDhbH9Cz0tuDiY8C3ctxq1tqvaCgkFb8cCA/edit?usp=sharing"",""ร้อยเอ็ด!J490"")"),0)</f>
        <v>0</v>
      </c>
      <c r="T44" s="307">
        <f ca="1">IFERROR(__xludf.DUMMYFUNCTION("IMPORTRANGE(""https://docs.google.com/spreadsheets/d/1XL5vhW3sbDhbH9Cz0tuDiY8C3ctxq1tqvaCgkFb8cCA/edit?usp=sharing"",""ร้อยเอ็ด!J491"")"),0)</f>
        <v>0</v>
      </c>
      <c r="U44" s="307">
        <f t="shared" ca="1" si="9"/>
        <v>0</v>
      </c>
    </row>
    <row r="45" spans="1:21" ht="21" customHeight="1">
      <c r="A45" s="303">
        <v>12</v>
      </c>
      <c r="B45" s="304" t="s">
        <v>69</v>
      </c>
      <c r="C45" s="305">
        <f t="shared" ca="1" si="42"/>
        <v>257660</v>
      </c>
      <c r="D45" s="306">
        <f ca="1">IFERROR(__xludf.DUMMYFUNCTION("IMPORTRANGE(""https://docs.google.com/spreadsheets/d/1C3CXT74ZlgGe6_JY_1olB1XN4rF0dxEuIIF-xsYjHgg/edit?usp=sharing"",""งบกองทุน!EK49"")"),0)</f>
        <v>0</v>
      </c>
      <c r="E45" s="306">
        <f ca="1">IFERROR(__xludf.DUMMYFUNCTION("IMPORTRANGE(""https://docs.google.com/spreadsheets/d/1C3CXT74ZlgGe6_JY_1olB1XN4rF0dxEuIIF-xsYjHgg/edit?usp=sharing"",""งบกองทุน!EL49"")"),257660)</f>
        <v>257660</v>
      </c>
      <c r="F45" s="307">
        <f ca="1">IFERROR(__xludf.DUMMYFUNCTION("IMPORTRANGE(""https://docs.google.com/spreadsheets/d/1XL5vhW3sbDhbH9Cz0tuDiY8C3ctxq1tqvaCgkFb8cCA/edit?usp=sharing"",""เลย!M475"")"),38669.54)</f>
        <v>38669.54</v>
      </c>
      <c r="G45" s="307">
        <f t="shared" ca="1" si="1"/>
        <v>15.007971745711403</v>
      </c>
      <c r="H45" s="306">
        <f ca="1">IFERROR(__xludf.DUMMYFUNCTION("IMPORTRANGE(""https://docs.google.com/spreadsheets/d/1C3CXT74ZlgGe6_JY_1olB1XN4rF0dxEuIIF-xsYjHgg/edit?usp=sharing"",""งบกองทุน!EM49"")"),60)</f>
        <v>60</v>
      </c>
      <c r="I45" s="306">
        <f t="shared" ca="1" si="43"/>
        <v>60</v>
      </c>
      <c r="J45" s="306">
        <f ca="1">IFERROR(__xludf.DUMMYFUNCTION("IMPORTRANGE(""https://docs.google.com/spreadsheets/d/1XL5vhW3sbDhbH9Cz0tuDiY8C3ctxq1tqvaCgkFb8cCA/edit?usp=sharing"",""เลย!J484"")"),4)</f>
        <v>4</v>
      </c>
      <c r="K45" s="306">
        <f ca="1">IFERROR(__xludf.DUMMYFUNCTION("IMPORTRANGE(""https://docs.google.com/spreadsheets/d/1XL5vhW3sbDhbH9Cz0tuDiY8C3ctxq1tqvaCgkFb8cCA/edit?usp=sharing"",""เลย!J485"")"),1.83)</f>
        <v>1.83</v>
      </c>
      <c r="L45" s="307">
        <f t="shared" ca="1" si="3"/>
        <v>6.666666666666667</v>
      </c>
      <c r="M45" s="306">
        <f ca="1">IFERROR(__xludf.DUMMYFUNCTION("IMPORTRANGE(""https://docs.google.com/spreadsheets/d/1XL5vhW3sbDhbH9Cz0tuDiY8C3ctxq1tqvaCgkFb8cCA/edit?usp=sharing"",""เลย!J486"")"),15)</f>
        <v>15</v>
      </c>
      <c r="N45" s="306">
        <f ca="1">IFERROR(__xludf.DUMMYFUNCTION("IMPORTRANGE(""https://docs.google.com/spreadsheets/d/1XL5vhW3sbDhbH9Cz0tuDiY8C3ctxq1tqvaCgkFb8cCA/edit?usp=sharing"",""เลย!J487"")"),12.49)</f>
        <v>12.49</v>
      </c>
      <c r="O45" s="307">
        <f t="shared" ca="1" si="5"/>
        <v>25</v>
      </c>
      <c r="P45" s="306">
        <f ca="1">IFERROR(__xludf.DUMMYFUNCTION("IMPORTRANGE(""https://docs.google.com/spreadsheets/d/1XL5vhW3sbDhbH9Cz0tuDiY8C3ctxq1tqvaCgkFb8cCA/edit?usp=sharing"",""เลย!J488"")"),0)</f>
        <v>0</v>
      </c>
      <c r="Q45" s="307">
        <f ca="1">IFERROR(__xludf.DUMMYFUNCTION("IMPORTRANGE(""https://docs.google.com/spreadsheets/d/1XL5vhW3sbDhbH9Cz0tuDiY8C3ctxq1tqvaCgkFb8cCA/edit?usp=sharing"",""เลย!J489"")"),0)</f>
        <v>0</v>
      </c>
      <c r="R45" s="307">
        <f t="shared" ca="1" si="7"/>
        <v>0</v>
      </c>
      <c r="S45" s="306">
        <f ca="1">IFERROR(__xludf.DUMMYFUNCTION("IMPORTRANGE(""https://docs.google.com/spreadsheets/d/1XL5vhW3sbDhbH9Cz0tuDiY8C3ctxq1tqvaCgkFb8cCA/edit?usp=sharing"",""เลย!J490"")"),0)</f>
        <v>0</v>
      </c>
      <c r="T45" s="307">
        <f ca="1">IFERROR(__xludf.DUMMYFUNCTION("IMPORTRANGE(""https://docs.google.com/spreadsheets/d/1XL5vhW3sbDhbH9Cz0tuDiY8C3ctxq1tqvaCgkFb8cCA/edit?usp=sharing"",""เลย!J491"")"),0)</f>
        <v>0</v>
      </c>
      <c r="U45" s="307">
        <f t="shared" ca="1" si="9"/>
        <v>0</v>
      </c>
    </row>
    <row r="46" spans="1:21" ht="21" customHeight="1">
      <c r="A46" s="303">
        <v>13</v>
      </c>
      <c r="B46" s="304" t="s">
        <v>70</v>
      </c>
      <c r="C46" s="305">
        <f t="shared" ca="1" si="42"/>
        <v>355750</v>
      </c>
      <c r="D46" s="306">
        <f ca="1">IFERROR(__xludf.DUMMYFUNCTION("IMPORTRANGE(""https://docs.google.com/spreadsheets/d/1C3CXT74ZlgGe6_JY_1olB1XN4rF0dxEuIIF-xsYjHgg/edit?usp=sharing"",""งบกองทุน!EK50"")"),0)</f>
        <v>0</v>
      </c>
      <c r="E46" s="306">
        <f ca="1">IFERROR(__xludf.DUMMYFUNCTION("IMPORTRANGE(""https://docs.google.com/spreadsheets/d/1C3CXT74ZlgGe6_JY_1olB1XN4rF0dxEuIIF-xsYjHgg/edit?usp=sharing"",""งบกองทุน!EL50"")"),355750)</f>
        <v>355750</v>
      </c>
      <c r="F46" s="307">
        <f ca="1">IFERROR(__xludf.DUMMYFUNCTION("IMPORTRANGE(""https://docs.google.com/spreadsheets/d/1XL5vhW3sbDhbH9Cz0tuDiY8C3ctxq1tqvaCgkFb8cCA/edit?usp=sharing"",""ศรีสะเกษ!M475"")"),18451.64)</f>
        <v>18451.64</v>
      </c>
      <c r="G46" s="307">
        <f t="shared" ca="1" si="1"/>
        <v>5.1866872803935351</v>
      </c>
      <c r="H46" s="306">
        <f ca="1">IFERROR(__xludf.DUMMYFUNCTION("IMPORTRANGE(""https://docs.google.com/spreadsheets/d/1C3CXT74ZlgGe6_JY_1olB1XN4rF0dxEuIIF-xsYjHgg/edit?usp=sharing"",""งบกองทุน!EM50"")"),150)</f>
        <v>150</v>
      </c>
      <c r="I46" s="306">
        <f t="shared" ca="1" si="43"/>
        <v>150</v>
      </c>
      <c r="J46" s="306">
        <f ca="1">IFERROR(__xludf.DUMMYFUNCTION("IMPORTRANGE(""https://docs.google.com/spreadsheets/d/1XL5vhW3sbDhbH9Cz0tuDiY8C3ctxq1tqvaCgkFb8cCA/edit?usp=sharing"",""ศรีสะเกษ!J484"")"),24)</f>
        <v>24</v>
      </c>
      <c r="K46" s="306">
        <f ca="1">IFERROR(__xludf.DUMMYFUNCTION("IMPORTRANGE(""https://docs.google.com/spreadsheets/d/1XL5vhW3sbDhbH9Cz0tuDiY8C3ctxq1tqvaCgkFb8cCA/edit?usp=sharing"",""ศรีสะเกษ!J485"")"),11.9)</f>
        <v>11.9</v>
      </c>
      <c r="L46" s="307">
        <f t="shared" ca="1" si="3"/>
        <v>16</v>
      </c>
      <c r="M46" s="306">
        <f ca="1">IFERROR(__xludf.DUMMYFUNCTION("IMPORTRANGE(""https://docs.google.com/spreadsheets/d/1XL5vhW3sbDhbH9Cz0tuDiY8C3ctxq1tqvaCgkFb8cCA/edit?usp=sharing"",""ศรีสะเกษ!J486"")"),12)</f>
        <v>12</v>
      </c>
      <c r="N46" s="306">
        <f ca="1">IFERROR(__xludf.DUMMYFUNCTION("IMPORTRANGE(""https://docs.google.com/spreadsheets/d/1XL5vhW3sbDhbH9Cz0tuDiY8C3ctxq1tqvaCgkFb8cCA/edit?usp=sharing"",""ศรีสะเกษ!J487"")"),5.22)</f>
        <v>5.22</v>
      </c>
      <c r="O46" s="307">
        <f t="shared" ca="1" si="5"/>
        <v>8</v>
      </c>
      <c r="P46" s="306">
        <f ca="1">IFERROR(__xludf.DUMMYFUNCTION("IMPORTRANGE(""https://docs.google.com/spreadsheets/d/1XL5vhW3sbDhbH9Cz0tuDiY8C3ctxq1tqvaCgkFb8cCA/edit?usp=sharing"",""ศรีสะเกษ!J488"")"),0)</f>
        <v>0</v>
      </c>
      <c r="Q46" s="307">
        <f ca="1">IFERROR(__xludf.DUMMYFUNCTION("IMPORTRANGE(""https://docs.google.com/spreadsheets/d/1XL5vhW3sbDhbH9Cz0tuDiY8C3ctxq1tqvaCgkFb8cCA/edit?usp=sharing"",""ศรีสะเกษ!J489"")"),0)</f>
        <v>0</v>
      </c>
      <c r="R46" s="307">
        <f t="shared" ca="1" si="7"/>
        <v>0</v>
      </c>
      <c r="S46" s="306">
        <f ca="1">IFERROR(__xludf.DUMMYFUNCTION("IMPORTRANGE(""https://docs.google.com/spreadsheets/d/1XL5vhW3sbDhbH9Cz0tuDiY8C3ctxq1tqvaCgkFb8cCA/edit?usp=sharing"",""ศรีสะเกษ!J490"")"),68)</f>
        <v>68</v>
      </c>
      <c r="T46" s="307">
        <f ca="1">IFERROR(__xludf.DUMMYFUNCTION("IMPORTRANGE(""https://docs.google.com/spreadsheets/d/1XL5vhW3sbDhbH9Cz0tuDiY8C3ctxq1tqvaCgkFb8cCA/edit?usp=sharing"",""ศรีสะเกษ!J491"")"),26.16)</f>
        <v>26.16</v>
      </c>
      <c r="U46" s="307">
        <f t="shared" ca="1" si="9"/>
        <v>45.333333333333336</v>
      </c>
    </row>
    <row r="47" spans="1:21" ht="21" customHeight="1">
      <c r="A47" s="303">
        <v>14</v>
      </c>
      <c r="B47" s="304" t="s">
        <v>71</v>
      </c>
      <c r="C47" s="305">
        <f t="shared" ca="1" si="42"/>
        <v>330408</v>
      </c>
      <c r="D47" s="306">
        <f ca="1">IFERROR(__xludf.DUMMYFUNCTION("IMPORTRANGE(""https://docs.google.com/spreadsheets/d/1C3CXT74ZlgGe6_JY_1olB1XN4rF0dxEuIIF-xsYjHgg/edit?usp=sharing"",""งบกองทุน!EK51"")"),0)</f>
        <v>0</v>
      </c>
      <c r="E47" s="306">
        <f ca="1">IFERROR(__xludf.DUMMYFUNCTION("IMPORTRANGE(""https://docs.google.com/spreadsheets/d/1C3CXT74ZlgGe6_JY_1olB1XN4rF0dxEuIIF-xsYjHgg/edit?usp=sharing"",""งบกองทุน!EL51"")"),330408)</f>
        <v>330408</v>
      </c>
      <c r="F47" s="307">
        <f ca="1">IFERROR(__xludf.DUMMYFUNCTION("IMPORTRANGE(""https://docs.google.com/spreadsheets/d/1XL5vhW3sbDhbH9Cz0tuDiY8C3ctxq1tqvaCgkFb8cCA/edit?usp=sharing"",""สกลนคร!M475"")"),149567.26)</f>
        <v>149567.26</v>
      </c>
      <c r="G47" s="307">
        <f t="shared" ca="1" si="1"/>
        <v>45.267445098181639</v>
      </c>
      <c r="H47" s="306">
        <f ca="1">IFERROR(__xludf.DUMMYFUNCTION("IMPORTRANGE(""https://docs.google.com/spreadsheets/d/1C3CXT74ZlgGe6_JY_1olB1XN4rF0dxEuIIF-xsYjHgg/edit?usp=sharing"",""งบกองทุน!EM51"")"),216)</f>
        <v>216</v>
      </c>
      <c r="I47" s="306">
        <f t="shared" ca="1" si="43"/>
        <v>216</v>
      </c>
      <c r="J47" s="306">
        <f ca="1">IFERROR(__xludf.DUMMYFUNCTION("IMPORTRANGE(""https://docs.google.com/spreadsheets/d/1XL5vhW3sbDhbH9Cz0tuDiY8C3ctxq1tqvaCgkFb8cCA/edit?usp=sharing"",""สกลนคร!J484"")"),96)</f>
        <v>96</v>
      </c>
      <c r="K47" s="306">
        <f ca="1">IFERROR(__xludf.DUMMYFUNCTION("IMPORTRANGE(""https://docs.google.com/spreadsheets/d/1XL5vhW3sbDhbH9Cz0tuDiY8C3ctxq1tqvaCgkFb8cCA/edit?usp=sharing"",""สกลนคร!J485"")"),45.56)</f>
        <v>45.56</v>
      </c>
      <c r="L47" s="307">
        <f t="shared" ca="1" si="3"/>
        <v>44.444444444444443</v>
      </c>
      <c r="M47" s="306">
        <f ca="1">IFERROR(__xludf.DUMMYFUNCTION("IMPORTRANGE(""https://docs.google.com/spreadsheets/d/1XL5vhW3sbDhbH9Cz0tuDiY8C3ctxq1tqvaCgkFb8cCA/edit?usp=sharing"",""สกลนคร!J486"")"),71)</f>
        <v>71</v>
      </c>
      <c r="N47" s="306">
        <f ca="1">IFERROR(__xludf.DUMMYFUNCTION("IMPORTRANGE(""https://docs.google.com/spreadsheets/d/1XL5vhW3sbDhbH9Cz0tuDiY8C3ctxq1tqvaCgkFb8cCA/edit?usp=sharing"",""สกลนคร!J487"")"),29.98)</f>
        <v>29.98</v>
      </c>
      <c r="O47" s="307">
        <f t="shared" ca="1" si="5"/>
        <v>32.870370370370374</v>
      </c>
      <c r="P47" s="306">
        <f ca="1">IFERROR(__xludf.DUMMYFUNCTION("IMPORTRANGE(""https://docs.google.com/spreadsheets/d/1XL5vhW3sbDhbH9Cz0tuDiY8C3ctxq1tqvaCgkFb8cCA/edit?usp=sharing"",""สกลนคร!J488"")"),19)</f>
        <v>19</v>
      </c>
      <c r="Q47" s="307">
        <f ca="1">IFERROR(__xludf.DUMMYFUNCTION("IMPORTRANGE(""https://docs.google.com/spreadsheets/d/1XL5vhW3sbDhbH9Cz0tuDiY8C3ctxq1tqvaCgkFb8cCA/edit?usp=sharing"",""สกลนคร!J489"")"),8.02)</f>
        <v>8.02</v>
      </c>
      <c r="R47" s="307">
        <f t="shared" ca="1" si="7"/>
        <v>8.7962962962962958</v>
      </c>
      <c r="S47" s="306">
        <f ca="1">IFERROR(__xludf.DUMMYFUNCTION("IMPORTRANGE(""https://docs.google.com/spreadsheets/d/1XL5vhW3sbDhbH9Cz0tuDiY8C3ctxq1tqvaCgkFb8cCA/edit?usp=sharing"",""สกลนคร!J490"")"),4)</f>
        <v>4</v>
      </c>
      <c r="T47" s="307">
        <f ca="1">IFERROR(__xludf.DUMMYFUNCTION("IMPORTRANGE(""https://docs.google.com/spreadsheets/d/1XL5vhW3sbDhbH9Cz0tuDiY8C3ctxq1tqvaCgkFb8cCA/edit?usp=sharing"",""สกลนคร!J491"")"),3.94)</f>
        <v>3.94</v>
      </c>
      <c r="U47" s="307">
        <f t="shared" ca="1" si="9"/>
        <v>1.8518518518518519</v>
      </c>
    </row>
    <row r="48" spans="1:21" ht="21" customHeight="1">
      <c r="A48" s="303">
        <v>15</v>
      </c>
      <c r="B48" s="304" t="s">
        <v>72</v>
      </c>
      <c r="C48" s="305">
        <f t="shared" ca="1" si="42"/>
        <v>321600</v>
      </c>
      <c r="D48" s="306">
        <f ca="1">IFERROR(__xludf.DUMMYFUNCTION("IMPORTRANGE(""https://docs.google.com/spreadsheets/d/1C3CXT74ZlgGe6_JY_1olB1XN4rF0dxEuIIF-xsYjHgg/edit?usp=sharing"",""งบกองทุน!EK52"")"),0)</f>
        <v>0</v>
      </c>
      <c r="E48" s="306">
        <f ca="1">IFERROR(__xludf.DUMMYFUNCTION("IMPORTRANGE(""https://docs.google.com/spreadsheets/d/1C3CXT74ZlgGe6_JY_1olB1XN4rF0dxEuIIF-xsYjHgg/edit?usp=sharing"",""งบกองทุน!EL52"")"),321600)</f>
        <v>321600</v>
      </c>
      <c r="F48" s="307">
        <f ca="1">IFERROR(__xludf.DUMMYFUNCTION("IMPORTRANGE(""https://docs.google.com/spreadsheets/d/1XL5vhW3sbDhbH9Cz0tuDiY8C3ctxq1tqvaCgkFb8cCA/edit?usp=sharing"",""สุรินทร์!M475"")"),112445)</f>
        <v>112445</v>
      </c>
      <c r="G48" s="307">
        <f t="shared" ca="1" si="1"/>
        <v>34.964241293532339</v>
      </c>
      <c r="H48" s="306">
        <f ca="1">IFERROR(__xludf.DUMMYFUNCTION("IMPORTRANGE(""https://docs.google.com/spreadsheets/d/1C3CXT74ZlgGe6_JY_1olB1XN4rF0dxEuIIF-xsYjHgg/edit?usp=sharing"",""งบกองทุน!EM52"")"),100)</f>
        <v>100</v>
      </c>
      <c r="I48" s="306">
        <f t="shared" ca="1" si="43"/>
        <v>100</v>
      </c>
      <c r="J48" s="306">
        <f ca="1">IFERROR(__xludf.DUMMYFUNCTION("IMPORTRANGE(""https://docs.google.com/spreadsheets/d/1XL5vhW3sbDhbH9Cz0tuDiY8C3ctxq1tqvaCgkFb8cCA/edit?usp=sharing"",""สุรินทร์!J484"")"),38)</f>
        <v>38</v>
      </c>
      <c r="K48" s="306">
        <f ca="1">IFERROR(__xludf.DUMMYFUNCTION("IMPORTRANGE(""https://docs.google.com/spreadsheets/d/1XL5vhW3sbDhbH9Cz0tuDiY8C3ctxq1tqvaCgkFb8cCA/edit?usp=sharing"",""สุรินทร์!J485"")"),40.14)</f>
        <v>40.14</v>
      </c>
      <c r="L48" s="307">
        <f t="shared" ca="1" si="3"/>
        <v>38</v>
      </c>
      <c r="M48" s="306">
        <f ca="1">IFERROR(__xludf.DUMMYFUNCTION("IMPORTRANGE(""https://docs.google.com/spreadsheets/d/1XL5vhW3sbDhbH9Cz0tuDiY8C3ctxq1tqvaCgkFb8cCA/edit?usp=sharing"",""สุรินทร์!J486"")"),0)</f>
        <v>0</v>
      </c>
      <c r="N48" s="306">
        <f ca="1">IFERROR(__xludf.DUMMYFUNCTION("IMPORTRANGE(""https://docs.google.com/spreadsheets/d/1XL5vhW3sbDhbH9Cz0tuDiY8C3ctxq1tqvaCgkFb8cCA/edit?usp=sharing"",""สุรินทร์!J487"")"),0)</f>
        <v>0</v>
      </c>
      <c r="O48" s="307">
        <f t="shared" ca="1" si="5"/>
        <v>0</v>
      </c>
      <c r="P48" s="306">
        <f ca="1">IFERROR(__xludf.DUMMYFUNCTION("IMPORTRANGE(""https://docs.google.com/spreadsheets/d/1XL5vhW3sbDhbH9Cz0tuDiY8C3ctxq1tqvaCgkFb8cCA/edit?usp=sharing"",""สุรินทร์!J488"")"),0)</f>
        <v>0</v>
      </c>
      <c r="Q48" s="307">
        <f ca="1">IFERROR(__xludf.DUMMYFUNCTION("IMPORTRANGE(""https://docs.google.com/spreadsheets/d/1XL5vhW3sbDhbH9Cz0tuDiY8C3ctxq1tqvaCgkFb8cCA/edit?usp=sharing"",""สุรินทร์!J489"")"),0)</f>
        <v>0</v>
      </c>
      <c r="R48" s="307">
        <f t="shared" ca="1" si="7"/>
        <v>0</v>
      </c>
      <c r="S48" s="306">
        <f ca="1">IFERROR(__xludf.DUMMYFUNCTION("IMPORTRANGE(""https://docs.google.com/spreadsheets/d/1XL5vhW3sbDhbH9Cz0tuDiY8C3ctxq1tqvaCgkFb8cCA/edit?usp=sharing"",""สุรินทร์!J490"")"),3)</f>
        <v>3</v>
      </c>
      <c r="T48" s="307">
        <f ca="1">IFERROR(__xludf.DUMMYFUNCTION("IMPORTRANGE(""https://docs.google.com/spreadsheets/d/1XL5vhW3sbDhbH9Cz0tuDiY8C3ctxq1tqvaCgkFb8cCA/edit?usp=sharing"",""สุรินทร์!J491"")"),6.12)</f>
        <v>6.12</v>
      </c>
      <c r="U48" s="307">
        <f t="shared" ca="1" si="9"/>
        <v>3</v>
      </c>
    </row>
    <row r="49" spans="1:21" ht="21" customHeight="1">
      <c r="A49" s="303">
        <v>16</v>
      </c>
      <c r="B49" s="304" t="s">
        <v>73</v>
      </c>
      <c r="C49" s="305">
        <f t="shared" ca="1" si="42"/>
        <v>115706</v>
      </c>
      <c r="D49" s="306">
        <f ca="1">IFERROR(__xludf.DUMMYFUNCTION("IMPORTRANGE(""https://docs.google.com/spreadsheets/d/1C3CXT74ZlgGe6_JY_1olB1XN4rF0dxEuIIF-xsYjHgg/edit?usp=sharing"",""งบกองทุน!EK53"")"),0)</f>
        <v>0</v>
      </c>
      <c r="E49" s="306">
        <f ca="1">IFERROR(__xludf.DUMMYFUNCTION("IMPORTRANGE(""https://docs.google.com/spreadsheets/d/1C3CXT74ZlgGe6_JY_1olB1XN4rF0dxEuIIF-xsYjHgg/edit?usp=sharing"",""งบกองทุน!EL53"")"),115706)</f>
        <v>115706</v>
      </c>
      <c r="F49" s="307">
        <f ca="1">IFERROR(__xludf.DUMMYFUNCTION("IMPORTRANGE(""https://docs.google.com/spreadsheets/d/1XL5vhW3sbDhbH9Cz0tuDiY8C3ctxq1tqvaCgkFb8cCA/edit?usp=sharing"",""หนองคาย!M475"")"),800)</f>
        <v>800</v>
      </c>
      <c r="G49" s="307">
        <f t="shared" ca="1" si="1"/>
        <v>0.69140753288507073</v>
      </c>
      <c r="H49" s="306">
        <f ca="1">IFERROR(__xludf.DUMMYFUNCTION("IMPORTRANGE(""https://docs.google.com/spreadsheets/d/1C3CXT74ZlgGe6_JY_1olB1XN4rF0dxEuIIF-xsYjHgg/edit?usp=sharing"",""งบกองทุน!EM53"")"),6)</f>
        <v>6</v>
      </c>
      <c r="I49" s="306">
        <f t="shared" ca="1" si="43"/>
        <v>6</v>
      </c>
      <c r="J49" s="306">
        <f ca="1">IFERROR(__xludf.DUMMYFUNCTION("IMPORTRANGE(""https://docs.google.com/spreadsheets/d/1XL5vhW3sbDhbH9Cz0tuDiY8C3ctxq1tqvaCgkFb8cCA/edit?usp=sharing"",""หนองคาย!J484"")"),7)</f>
        <v>7</v>
      </c>
      <c r="K49" s="306">
        <f ca="1">IFERROR(__xludf.DUMMYFUNCTION("IMPORTRANGE(""https://docs.google.com/spreadsheets/d/1XL5vhW3sbDhbH9Cz0tuDiY8C3ctxq1tqvaCgkFb8cCA/edit?usp=sharing"",""หนองคาย!J485"")"),7.33)</f>
        <v>7.33</v>
      </c>
      <c r="L49" s="307">
        <f t="shared" ca="1" si="3"/>
        <v>116.66666666666667</v>
      </c>
      <c r="M49" s="306">
        <f ca="1">IFERROR(__xludf.DUMMYFUNCTION("IMPORTRANGE(""https://docs.google.com/spreadsheets/d/1XL5vhW3sbDhbH9Cz0tuDiY8C3ctxq1tqvaCgkFb8cCA/edit?usp=sharing"",""หนองคาย!J486"")"),0)</f>
        <v>0</v>
      </c>
      <c r="N49" s="306">
        <f ca="1">IFERROR(__xludf.DUMMYFUNCTION("IMPORTRANGE(""https://docs.google.com/spreadsheets/d/1XL5vhW3sbDhbH9Cz0tuDiY8C3ctxq1tqvaCgkFb8cCA/edit?usp=sharing"",""หนองคาย!J487"")"),0)</f>
        <v>0</v>
      </c>
      <c r="O49" s="307">
        <f t="shared" ca="1" si="5"/>
        <v>0</v>
      </c>
      <c r="P49" s="306">
        <f ca="1">IFERROR(__xludf.DUMMYFUNCTION("IMPORTRANGE(""https://docs.google.com/spreadsheets/d/1XL5vhW3sbDhbH9Cz0tuDiY8C3ctxq1tqvaCgkFb8cCA/edit?usp=sharing"",""หนองคาย!J488"")"),0)</f>
        <v>0</v>
      </c>
      <c r="Q49" s="307">
        <f ca="1">IFERROR(__xludf.DUMMYFUNCTION("IMPORTRANGE(""https://docs.google.com/spreadsheets/d/1XL5vhW3sbDhbH9Cz0tuDiY8C3ctxq1tqvaCgkFb8cCA/edit?usp=sharing"",""หนองคาย!J489"")"),0)</f>
        <v>0</v>
      </c>
      <c r="R49" s="307">
        <f t="shared" ca="1" si="7"/>
        <v>0</v>
      </c>
      <c r="S49" s="306">
        <f ca="1">IFERROR(__xludf.DUMMYFUNCTION("IMPORTRANGE(""https://docs.google.com/spreadsheets/d/1XL5vhW3sbDhbH9Cz0tuDiY8C3ctxq1tqvaCgkFb8cCA/edit?usp=sharing"",""หนองคาย!J490"")"),0)</f>
        <v>0</v>
      </c>
      <c r="T49" s="307">
        <f ca="1">IFERROR(__xludf.DUMMYFUNCTION("IMPORTRANGE(""https://docs.google.com/spreadsheets/d/1XL5vhW3sbDhbH9Cz0tuDiY8C3ctxq1tqvaCgkFb8cCA/edit?usp=sharing"",""หนองคาย!J491"")"),0)</f>
        <v>0</v>
      </c>
      <c r="U49" s="307">
        <f t="shared" ca="1" si="9"/>
        <v>0</v>
      </c>
    </row>
    <row r="50" spans="1:21" ht="21" customHeight="1">
      <c r="A50" s="303">
        <v>17</v>
      </c>
      <c r="B50" s="304" t="s">
        <v>74</v>
      </c>
      <c r="C50" s="305">
        <f t="shared" ca="1" si="42"/>
        <v>327050</v>
      </c>
      <c r="D50" s="306">
        <f ca="1">IFERROR(__xludf.DUMMYFUNCTION("IMPORTRANGE(""https://docs.google.com/spreadsheets/d/1C3CXT74ZlgGe6_JY_1olB1XN4rF0dxEuIIF-xsYjHgg/edit?usp=sharing"",""งบกองทุน!EK54"")"),0)</f>
        <v>0</v>
      </c>
      <c r="E50" s="306">
        <f ca="1">IFERROR(__xludf.DUMMYFUNCTION("IMPORTRANGE(""https://docs.google.com/spreadsheets/d/1C3CXT74ZlgGe6_JY_1olB1XN4rF0dxEuIIF-xsYjHgg/edit?usp=sharing"",""งบกองทุน!EL54"")"),327050)</f>
        <v>327050</v>
      </c>
      <c r="F50" s="307">
        <f ca="1">IFERROR(__xludf.DUMMYFUNCTION("IMPORTRANGE(""https://docs.google.com/spreadsheets/d/1XL5vhW3sbDhbH9Cz0tuDiY8C3ctxq1tqvaCgkFb8cCA/edit?usp=sharing"",""หนองบัวลำภู!M475"")"),81600.03)</f>
        <v>81600.03</v>
      </c>
      <c r="G50" s="307">
        <f t="shared" ca="1" si="1"/>
        <v>24.95032258064516</v>
      </c>
      <c r="H50" s="306">
        <f ca="1">IFERROR(__xludf.DUMMYFUNCTION("IMPORTRANGE(""https://docs.google.com/spreadsheets/d/1C3CXT74ZlgGe6_JY_1olB1XN4rF0dxEuIIF-xsYjHgg/edit?usp=sharing"",""งบกองทุน!EM54"")"),150)</f>
        <v>150</v>
      </c>
      <c r="I50" s="306">
        <f t="shared" ca="1" si="43"/>
        <v>150</v>
      </c>
      <c r="J50" s="306">
        <f ca="1">IFERROR(__xludf.DUMMYFUNCTION("IMPORTRANGE(""https://docs.google.com/spreadsheets/d/1XL5vhW3sbDhbH9Cz0tuDiY8C3ctxq1tqvaCgkFb8cCA/edit?usp=sharing"",""หนองบัวลำภู!J484"")"),63)</f>
        <v>63</v>
      </c>
      <c r="K50" s="306">
        <f ca="1">IFERROR(__xludf.DUMMYFUNCTION("IMPORTRANGE(""https://docs.google.com/spreadsheets/d/1XL5vhW3sbDhbH9Cz0tuDiY8C3ctxq1tqvaCgkFb8cCA/edit?usp=sharing"",""หนองบัวลำภู!J485"")"),39.54)</f>
        <v>39.54</v>
      </c>
      <c r="L50" s="307">
        <f t="shared" ca="1" si="3"/>
        <v>42</v>
      </c>
      <c r="M50" s="306">
        <f ca="1">IFERROR(__xludf.DUMMYFUNCTION("IMPORTRANGE(""https://docs.google.com/spreadsheets/d/1XL5vhW3sbDhbH9Cz0tuDiY8C3ctxq1tqvaCgkFb8cCA/edit?usp=sharing"",""หนองบัวลำภู!J486"")"),0)</f>
        <v>0</v>
      </c>
      <c r="N50" s="306">
        <f ca="1">IFERROR(__xludf.DUMMYFUNCTION("IMPORTRANGE(""https://docs.google.com/spreadsheets/d/1XL5vhW3sbDhbH9Cz0tuDiY8C3ctxq1tqvaCgkFb8cCA/edit?usp=sharing"",""หนองบัวลำภู!J487"")"),0)</f>
        <v>0</v>
      </c>
      <c r="O50" s="307">
        <f t="shared" ca="1" si="5"/>
        <v>0</v>
      </c>
      <c r="P50" s="306">
        <f ca="1">IFERROR(__xludf.DUMMYFUNCTION("IMPORTRANGE(""https://docs.google.com/spreadsheets/d/1XL5vhW3sbDhbH9Cz0tuDiY8C3ctxq1tqvaCgkFb8cCA/edit?usp=sharing"",""หนองบัวลำภู!J488"")"),0)</f>
        <v>0</v>
      </c>
      <c r="Q50" s="307">
        <f ca="1">IFERROR(__xludf.DUMMYFUNCTION("IMPORTRANGE(""https://docs.google.com/spreadsheets/d/1XL5vhW3sbDhbH9Cz0tuDiY8C3ctxq1tqvaCgkFb8cCA/edit?usp=sharing"",""หนองบัวลำภู!J489"")"),0)</f>
        <v>0</v>
      </c>
      <c r="R50" s="307">
        <f t="shared" ca="1" si="7"/>
        <v>0</v>
      </c>
      <c r="S50" s="306">
        <f ca="1">IFERROR(__xludf.DUMMYFUNCTION("IMPORTRANGE(""https://docs.google.com/spreadsheets/d/1XL5vhW3sbDhbH9Cz0tuDiY8C3ctxq1tqvaCgkFb8cCA/edit?usp=sharing"",""หนองบัวลำภู!J490"")"),0)</f>
        <v>0</v>
      </c>
      <c r="T50" s="307">
        <f ca="1">IFERROR(__xludf.DUMMYFUNCTION("IMPORTRANGE(""https://docs.google.com/spreadsheets/d/1XL5vhW3sbDhbH9Cz0tuDiY8C3ctxq1tqvaCgkFb8cCA/edit?usp=sharing"",""หนองบัวลำภู!J491"")"),0)</f>
        <v>0</v>
      </c>
      <c r="U50" s="307">
        <f t="shared" ca="1" si="9"/>
        <v>0</v>
      </c>
    </row>
    <row r="51" spans="1:21" ht="21" customHeight="1">
      <c r="A51" s="303">
        <v>18</v>
      </c>
      <c r="B51" s="304" t="s">
        <v>75</v>
      </c>
      <c r="C51" s="305">
        <f t="shared" ca="1" si="42"/>
        <v>0</v>
      </c>
      <c r="D51" s="306">
        <f ca="1">IFERROR(__xludf.DUMMYFUNCTION("IMPORTRANGE(""https://docs.google.com/spreadsheets/d/1C3CXT74ZlgGe6_JY_1olB1XN4rF0dxEuIIF-xsYjHgg/edit?usp=sharing"",""งบกองทุน!EK55"")"),0)</f>
        <v>0</v>
      </c>
      <c r="E51" s="306">
        <f ca="1">IFERROR(__xludf.DUMMYFUNCTION("IMPORTRANGE(""https://docs.google.com/spreadsheets/d/1C3CXT74ZlgGe6_JY_1olB1XN4rF0dxEuIIF-xsYjHgg/edit?usp=sharing"",""งบกองทุน!EL55"")"),0)</f>
        <v>0</v>
      </c>
      <c r="F51" s="307">
        <f ca="1">IFERROR(__xludf.DUMMYFUNCTION("IMPORTRANGE(""https://docs.google.com/spreadsheets/d/1XL5vhW3sbDhbH9Cz0tuDiY8C3ctxq1tqvaCgkFb8cCA/edit?usp=sharing"",""อำนาจเจริญ!M475"")"),0)</f>
        <v>0</v>
      </c>
      <c r="G51" s="307">
        <f t="shared" ca="1" si="1"/>
        <v>0</v>
      </c>
      <c r="H51" s="306">
        <f ca="1">IFERROR(__xludf.DUMMYFUNCTION("IMPORTRANGE(""https://docs.google.com/spreadsheets/d/1C3CXT74ZlgGe6_JY_1olB1XN4rF0dxEuIIF-xsYjHgg/edit?usp=sharing"",""งบกองทุน!EM55"")"),0)</f>
        <v>0</v>
      </c>
      <c r="I51" s="306">
        <f t="shared" ca="1" si="43"/>
        <v>0</v>
      </c>
      <c r="J51" s="306">
        <f ca="1">IFERROR(__xludf.DUMMYFUNCTION("IMPORTRANGE(""https://docs.google.com/spreadsheets/d/1XL5vhW3sbDhbH9Cz0tuDiY8C3ctxq1tqvaCgkFb8cCA/edit?usp=sharing"",""อำนาจเจริญ!J484"")"),0)</f>
        <v>0</v>
      </c>
      <c r="K51" s="306">
        <f ca="1">IFERROR(__xludf.DUMMYFUNCTION("IMPORTRANGE(""https://docs.google.com/spreadsheets/d/1XL5vhW3sbDhbH9Cz0tuDiY8C3ctxq1tqvaCgkFb8cCA/edit?usp=sharing"",""อำนาจเจริญ!J485"")"),0)</f>
        <v>0</v>
      </c>
      <c r="L51" s="307">
        <f t="shared" ca="1" si="3"/>
        <v>0</v>
      </c>
      <c r="M51" s="306">
        <f ca="1">IFERROR(__xludf.DUMMYFUNCTION("IMPORTRANGE(""https://docs.google.com/spreadsheets/d/1XL5vhW3sbDhbH9Cz0tuDiY8C3ctxq1tqvaCgkFb8cCA/edit?usp=sharing"",""อำนาจเจริญ!J486"")"),0)</f>
        <v>0</v>
      </c>
      <c r="N51" s="306">
        <f ca="1">IFERROR(__xludf.DUMMYFUNCTION("IMPORTRANGE(""https://docs.google.com/spreadsheets/d/1XL5vhW3sbDhbH9Cz0tuDiY8C3ctxq1tqvaCgkFb8cCA/edit?usp=sharing"",""อำนาจเจริญ!J487"")"),0)</f>
        <v>0</v>
      </c>
      <c r="O51" s="307">
        <f t="shared" ca="1" si="5"/>
        <v>0</v>
      </c>
      <c r="P51" s="306">
        <f ca="1">IFERROR(__xludf.DUMMYFUNCTION("IMPORTRANGE(""https://docs.google.com/spreadsheets/d/1XL5vhW3sbDhbH9Cz0tuDiY8C3ctxq1tqvaCgkFb8cCA/edit?usp=sharing"",""อำนาจเจริญ!J488"")"),0)</f>
        <v>0</v>
      </c>
      <c r="Q51" s="307">
        <f ca="1">IFERROR(__xludf.DUMMYFUNCTION("IMPORTRANGE(""https://docs.google.com/spreadsheets/d/1XL5vhW3sbDhbH9Cz0tuDiY8C3ctxq1tqvaCgkFb8cCA/edit?usp=sharing"",""อำนาจเจริญ!J489"")"),0)</f>
        <v>0</v>
      </c>
      <c r="R51" s="307">
        <f t="shared" ca="1" si="7"/>
        <v>0</v>
      </c>
      <c r="S51" s="306">
        <f ca="1">IFERROR(__xludf.DUMMYFUNCTION("IMPORTRANGE(""https://docs.google.com/spreadsheets/d/1XL5vhW3sbDhbH9Cz0tuDiY8C3ctxq1tqvaCgkFb8cCA/edit?usp=sharing"",""อำนาจเจริญ!J490"")"),0)</f>
        <v>0</v>
      </c>
      <c r="T51" s="307">
        <f ca="1">IFERROR(__xludf.DUMMYFUNCTION("IMPORTRANGE(""https://docs.google.com/spreadsheets/d/1XL5vhW3sbDhbH9Cz0tuDiY8C3ctxq1tqvaCgkFb8cCA/edit?usp=sharing"",""อำนาจเจริญ!J491"")"),0)</f>
        <v>0</v>
      </c>
      <c r="U51" s="307">
        <f t="shared" ca="1" si="9"/>
        <v>0</v>
      </c>
    </row>
    <row r="52" spans="1:21" ht="21" customHeight="1">
      <c r="A52" s="303">
        <v>19</v>
      </c>
      <c r="B52" s="304" t="s">
        <v>76</v>
      </c>
      <c r="C52" s="305">
        <f t="shared" ca="1" si="42"/>
        <v>493580</v>
      </c>
      <c r="D52" s="306">
        <f ca="1">IFERROR(__xludf.DUMMYFUNCTION("IMPORTRANGE(""https://docs.google.com/spreadsheets/d/1C3CXT74ZlgGe6_JY_1olB1XN4rF0dxEuIIF-xsYjHgg/edit?usp=sharing"",""งบกองทุน!EK56"")"),0)</f>
        <v>0</v>
      </c>
      <c r="E52" s="306">
        <f ca="1">IFERROR(__xludf.DUMMYFUNCTION("IMPORTRANGE(""https://docs.google.com/spreadsheets/d/1C3CXT74ZlgGe6_JY_1olB1XN4rF0dxEuIIF-xsYjHgg/edit?usp=sharing"",""งบกองทุน!EL56"")"),493580)</f>
        <v>493580</v>
      </c>
      <c r="F52" s="307">
        <f ca="1">IFERROR(__xludf.DUMMYFUNCTION("IMPORTRANGE(""https://docs.google.com/spreadsheets/d/1XL5vhW3sbDhbH9Cz0tuDiY8C3ctxq1tqvaCgkFb8cCA/edit?usp=sharing"",""อุดรธานี!M475"")"),406004.32)</f>
        <v>406004.32</v>
      </c>
      <c r="G52" s="307">
        <f t="shared" ca="1" si="1"/>
        <v>82.2570444507476</v>
      </c>
      <c r="H52" s="306">
        <f ca="1">IFERROR(__xludf.DUMMYFUNCTION("IMPORTRANGE(""https://docs.google.com/spreadsheets/d/1C3CXT74ZlgGe6_JY_1olB1XN4rF0dxEuIIF-xsYjHgg/edit?usp=sharing"",""งบกองทุน!EM56"")"),380)</f>
        <v>380</v>
      </c>
      <c r="I52" s="306">
        <f t="shared" ca="1" si="43"/>
        <v>380</v>
      </c>
      <c r="J52" s="306">
        <f ca="1">IFERROR(__xludf.DUMMYFUNCTION("IMPORTRANGE(""https://docs.google.com/spreadsheets/d/1XL5vhW3sbDhbH9Cz0tuDiY8C3ctxq1tqvaCgkFb8cCA/edit?usp=sharing"",""อุดรธานี!J484"")"),459)</f>
        <v>459</v>
      </c>
      <c r="K52" s="306">
        <f ca="1">IFERROR(__xludf.DUMMYFUNCTION("IMPORTRANGE(""https://docs.google.com/spreadsheets/d/1XL5vhW3sbDhbH9Cz0tuDiY8C3ctxq1tqvaCgkFb8cCA/edit?usp=sharing"",""อุดรธานี!J485"")"),241.72)</f>
        <v>241.72</v>
      </c>
      <c r="L52" s="307">
        <f t="shared" ca="1" si="3"/>
        <v>120.78947368421052</v>
      </c>
      <c r="M52" s="306">
        <f ca="1">IFERROR(__xludf.DUMMYFUNCTION("IMPORTRANGE(""https://docs.google.com/spreadsheets/d/1XL5vhW3sbDhbH9Cz0tuDiY8C3ctxq1tqvaCgkFb8cCA/edit?usp=sharing"",""อุดรธานี!J486"")"),181)</f>
        <v>181</v>
      </c>
      <c r="N52" s="306">
        <f ca="1">IFERROR(__xludf.DUMMYFUNCTION("IMPORTRANGE(""https://docs.google.com/spreadsheets/d/1XL5vhW3sbDhbH9Cz0tuDiY8C3ctxq1tqvaCgkFb8cCA/edit?usp=sharing"",""อุดรธานี!J487"")"),92.46)</f>
        <v>92.46</v>
      </c>
      <c r="O52" s="307">
        <f t="shared" ca="1" si="5"/>
        <v>47.631578947368418</v>
      </c>
      <c r="P52" s="306">
        <f ca="1">IFERROR(__xludf.DUMMYFUNCTION("IMPORTRANGE(""https://docs.google.com/spreadsheets/d/1XL5vhW3sbDhbH9Cz0tuDiY8C3ctxq1tqvaCgkFb8cCA/edit?usp=sharing"",""อุดรธานี!J488"")"),180)</f>
        <v>180</v>
      </c>
      <c r="Q52" s="307">
        <f ca="1">IFERROR(__xludf.DUMMYFUNCTION("IMPORTRANGE(""https://docs.google.com/spreadsheets/d/1XL5vhW3sbDhbH9Cz0tuDiY8C3ctxq1tqvaCgkFb8cCA/edit?usp=sharing"",""อุดรธานี!J489"")"),91.73)</f>
        <v>91.73</v>
      </c>
      <c r="R52" s="307">
        <f t="shared" ca="1" si="7"/>
        <v>47.368421052631582</v>
      </c>
      <c r="S52" s="306">
        <f ca="1">IFERROR(__xludf.DUMMYFUNCTION("IMPORTRANGE(""https://docs.google.com/spreadsheets/d/1XL5vhW3sbDhbH9Cz0tuDiY8C3ctxq1tqvaCgkFb8cCA/edit?usp=sharing"",""อุดรธานี!J490"")"),1)</f>
        <v>1</v>
      </c>
      <c r="T52" s="307">
        <f ca="1">IFERROR(__xludf.DUMMYFUNCTION("IMPORTRANGE(""https://docs.google.com/spreadsheets/d/1XL5vhW3sbDhbH9Cz0tuDiY8C3ctxq1tqvaCgkFb8cCA/edit?usp=sharing"",""อุดรธานี!J491"")"),1.29)</f>
        <v>1.29</v>
      </c>
      <c r="U52" s="307">
        <f t="shared" ca="1" si="9"/>
        <v>0.26315789473684209</v>
      </c>
    </row>
    <row r="53" spans="1:21" ht="21" customHeight="1">
      <c r="A53" s="310">
        <v>20</v>
      </c>
      <c r="B53" s="311" t="s">
        <v>77</v>
      </c>
      <c r="C53" s="312">
        <f t="shared" ca="1" si="42"/>
        <v>348100</v>
      </c>
      <c r="D53" s="313">
        <f ca="1">IFERROR(__xludf.DUMMYFUNCTION("IMPORTRANGE(""https://docs.google.com/spreadsheets/d/1C3CXT74ZlgGe6_JY_1olB1XN4rF0dxEuIIF-xsYjHgg/edit?usp=sharing"",""งบกองทุน!EK57"")"),0)</f>
        <v>0</v>
      </c>
      <c r="E53" s="313">
        <f ca="1">IFERROR(__xludf.DUMMYFUNCTION("IMPORTRANGE(""https://docs.google.com/spreadsheets/d/1C3CXT74ZlgGe6_JY_1olB1XN4rF0dxEuIIF-xsYjHgg/edit?usp=sharing"",""งบกองทุน!EL57"")"),348100)</f>
        <v>348100</v>
      </c>
      <c r="F53" s="314">
        <f ca="1">IFERROR(__xludf.DUMMYFUNCTION("IMPORTRANGE(""https://docs.google.com/spreadsheets/d/1XL5vhW3sbDhbH9Cz0tuDiY8C3ctxq1tqvaCgkFb8cCA/edit?usp=sharing"",""อุบลราชธานี!M475"")"),148597.95)</f>
        <v>148597.95000000001</v>
      </c>
      <c r="G53" s="314">
        <f t="shared" ca="1" si="1"/>
        <v>42.688293593794889</v>
      </c>
      <c r="H53" s="313">
        <f ca="1">IFERROR(__xludf.DUMMYFUNCTION("IMPORTRANGE(""https://docs.google.com/spreadsheets/d/1C3CXT74ZlgGe6_JY_1olB1XN4rF0dxEuIIF-xsYjHgg/edit?usp=sharing"",""งบกองทุน!EM57"")"),100)</f>
        <v>100</v>
      </c>
      <c r="I53" s="313">
        <f t="shared" ca="1" si="43"/>
        <v>100</v>
      </c>
      <c r="J53" s="313">
        <f ca="1">IFERROR(__xludf.DUMMYFUNCTION("IMPORTRANGE(""https://docs.google.com/spreadsheets/d/1XL5vhW3sbDhbH9Cz0tuDiY8C3ctxq1tqvaCgkFb8cCA/edit?usp=sharing"",""อุบลราชธานี!J484"")"),64)</f>
        <v>64</v>
      </c>
      <c r="K53" s="313">
        <f ca="1">IFERROR(__xludf.DUMMYFUNCTION("IMPORTRANGE(""https://docs.google.com/spreadsheets/d/1XL5vhW3sbDhbH9Cz0tuDiY8C3ctxq1tqvaCgkFb8cCA/edit?usp=sharing"",""อุบลราชธานี!J485"")"),25.5)</f>
        <v>25.5</v>
      </c>
      <c r="L53" s="314">
        <f t="shared" ca="1" si="3"/>
        <v>64</v>
      </c>
      <c r="M53" s="313">
        <f ca="1">IFERROR(__xludf.DUMMYFUNCTION("IMPORTRANGE(""https://docs.google.com/spreadsheets/d/1XL5vhW3sbDhbH9Cz0tuDiY8C3ctxq1tqvaCgkFb8cCA/edit?usp=sharing"",""อุบลราชธานี!J486"")"),5)</f>
        <v>5</v>
      </c>
      <c r="N53" s="313">
        <f ca="1">IFERROR(__xludf.DUMMYFUNCTION("IMPORTRANGE(""https://docs.google.com/spreadsheets/d/1XL5vhW3sbDhbH9Cz0tuDiY8C3ctxq1tqvaCgkFb8cCA/edit?usp=sharing"",""อุบลราชธานี!J487"")"),2.48)</f>
        <v>2.48</v>
      </c>
      <c r="O53" s="314">
        <f t="shared" ca="1" si="5"/>
        <v>5</v>
      </c>
      <c r="P53" s="313">
        <f ca="1">IFERROR(__xludf.DUMMYFUNCTION("IMPORTRANGE(""https://docs.google.com/spreadsheets/d/1XL5vhW3sbDhbH9Cz0tuDiY8C3ctxq1tqvaCgkFb8cCA/edit?usp=sharing"",""อุบลราชธานี!J488"")"),53)</f>
        <v>53</v>
      </c>
      <c r="Q53" s="314">
        <f ca="1">IFERROR(__xludf.DUMMYFUNCTION("IMPORTRANGE(""https://docs.google.com/spreadsheets/d/1XL5vhW3sbDhbH9Cz0tuDiY8C3ctxq1tqvaCgkFb8cCA/edit?usp=sharing"",""อุบลราชธานี!J489"")"),30.5)</f>
        <v>30.5</v>
      </c>
      <c r="R53" s="314">
        <f t="shared" ca="1" si="7"/>
        <v>53</v>
      </c>
      <c r="S53" s="313">
        <f ca="1">IFERROR(__xludf.DUMMYFUNCTION("IMPORTRANGE(""https://docs.google.com/spreadsheets/d/1XL5vhW3sbDhbH9Cz0tuDiY8C3ctxq1tqvaCgkFb8cCA/edit?usp=sharing"",""อุบลราชธานี!J490"")"),11)</f>
        <v>11</v>
      </c>
      <c r="T53" s="314">
        <f ca="1">IFERROR(__xludf.DUMMYFUNCTION("IMPORTRANGE(""https://docs.google.com/spreadsheets/d/1XL5vhW3sbDhbH9Cz0tuDiY8C3ctxq1tqvaCgkFb8cCA/edit?usp=sharing"",""อุบลราชธานี!J491"")"),4.12)</f>
        <v>4.12</v>
      </c>
      <c r="U53" s="314">
        <f t="shared" ca="1" si="9"/>
        <v>11</v>
      </c>
    </row>
    <row r="54" spans="1:21" ht="21" customHeight="1">
      <c r="A54" s="801" t="s">
        <v>78</v>
      </c>
      <c r="B54" s="678"/>
      <c r="C54" s="317">
        <f t="shared" ref="C54:F54" ca="1" si="44">SUM(C55:C75)</f>
        <v>1584755</v>
      </c>
      <c r="D54" s="318">
        <f t="shared" ca="1" si="44"/>
        <v>0</v>
      </c>
      <c r="E54" s="318">
        <f t="shared" ca="1" si="44"/>
        <v>1584755</v>
      </c>
      <c r="F54" s="319">
        <f t="shared" ca="1" si="44"/>
        <v>472123.93999999994</v>
      </c>
      <c r="G54" s="319">
        <f t="shared" ca="1" si="1"/>
        <v>29.791604380487829</v>
      </c>
      <c r="H54" s="318">
        <f t="shared" ref="H54:K54" ca="1" si="45">SUM(H55:H75)</f>
        <v>995</v>
      </c>
      <c r="I54" s="318">
        <f t="shared" ca="1" si="45"/>
        <v>995</v>
      </c>
      <c r="J54" s="318">
        <f t="shared" ca="1" si="45"/>
        <v>283</v>
      </c>
      <c r="K54" s="318">
        <f t="shared" ca="1" si="45"/>
        <v>199.63</v>
      </c>
      <c r="L54" s="319">
        <f t="shared" ca="1" si="3"/>
        <v>28.442211055276381</v>
      </c>
      <c r="M54" s="318">
        <f t="shared" ref="M54:N54" ca="1" si="46">SUM(M55:M75)</f>
        <v>83</v>
      </c>
      <c r="N54" s="318">
        <f t="shared" ca="1" si="46"/>
        <v>34.979999999999997</v>
      </c>
      <c r="O54" s="319">
        <f t="shared" ca="1" si="5"/>
        <v>8.3417085427135671</v>
      </c>
      <c r="P54" s="318">
        <f t="shared" ref="P54:Q54" ca="1" si="47">SUM(P55:P75)</f>
        <v>1</v>
      </c>
      <c r="Q54" s="319">
        <f t="shared" ca="1" si="47"/>
        <v>0.59</v>
      </c>
      <c r="R54" s="319">
        <f t="shared" ca="1" si="7"/>
        <v>0.10050251256281408</v>
      </c>
      <c r="S54" s="318">
        <f t="shared" ref="S54:T54" ca="1" si="48">SUM(S55:S75)</f>
        <v>18</v>
      </c>
      <c r="T54" s="319">
        <f t="shared" ca="1" si="48"/>
        <v>16.93</v>
      </c>
      <c r="U54" s="319">
        <f t="shared" ca="1" si="9"/>
        <v>1.8090452261306533</v>
      </c>
    </row>
    <row r="55" spans="1:21" ht="21" customHeight="1">
      <c r="A55" s="293">
        <v>1</v>
      </c>
      <c r="B55" s="357" t="s">
        <v>79</v>
      </c>
      <c r="C55" s="295">
        <f t="shared" ref="C55:C75" ca="1" si="49">+D55+E55</f>
        <v>0</v>
      </c>
      <c r="D55" s="296">
        <f ca="1">IFERROR(__xludf.DUMMYFUNCTION("IMPORTRANGE(""https://docs.google.com/spreadsheets/d/1C3CXT74ZlgGe6_JY_1olB1XN4rF0dxEuIIF-xsYjHgg/edit?usp=sharing"",""งบกองทุน!EK59"")"),0)</f>
        <v>0</v>
      </c>
      <c r="E55" s="296">
        <f ca="1">IFERROR(__xludf.DUMMYFUNCTION("IMPORTRANGE(""https://docs.google.com/spreadsheets/d/1C3CXT74ZlgGe6_JY_1olB1XN4rF0dxEuIIF-xsYjHgg/edit?usp=sharing"",""งบกองทุน!EL59"")"),0)</f>
        <v>0</v>
      </c>
      <c r="F55" s="297">
        <f ca="1">IFERROR(__xludf.DUMMYFUNCTION("IMPORTRANGE(""https://docs.google.com/spreadsheets/d/1SX6NBoVAgQJ6U1MVXOaj8PK2l7WJ3RER9xtqwdhxkhw/edit?usp=sharing"",""กาญจนบุรี!M475"")"),0)</f>
        <v>0</v>
      </c>
      <c r="G55" s="297">
        <f t="shared" ca="1" si="1"/>
        <v>0</v>
      </c>
      <c r="H55" s="296">
        <f ca="1">IFERROR(__xludf.DUMMYFUNCTION("IMPORTRANGE(""https://docs.google.com/spreadsheets/d/1C3CXT74ZlgGe6_JY_1olB1XN4rF0dxEuIIF-xsYjHgg/edit?usp=sharing"",""งบกองทุน!EM59"")"),0)</f>
        <v>0</v>
      </c>
      <c r="I55" s="296">
        <f t="shared" ref="I55:I75" ca="1" si="50">H55</f>
        <v>0</v>
      </c>
      <c r="J55" s="296">
        <f ca="1">IFERROR(__xludf.DUMMYFUNCTION("IMPORTRANGE(""https://docs.google.com/spreadsheets/d/1SX6NBoVAgQJ6U1MVXOaj8PK2l7WJ3RER9xtqwdhxkhw/edit?usp=sharing"",""กาญจนบุรี!J484"")"),0)</f>
        <v>0</v>
      </c>
      <c r="K55" s="296">
        <f ca="1">IFERROR(__xludf.DUMMYFUNCTION("IMPORTRANGE(""https://docs.google.com/spreadsheets/d/1SX6NBoVAgQJ6U1MVXOaj8PK2l7WJ3RER9xtqwdhxkhw/edit?usp=sharing"",""กาญจนบุรี!J485"")"),0)</f>
        <v>0</v>
      </c>
      <c r="L55" s="297">
        <f t="shared" ca="1" si="3"/>
        <v>0</v>
      </c>
      <c r="M55" s="296">
        <f ca="1">IFERROR(__xludf.DUMMYFUNCTION("IMPORTRANGE(""https://docs.google.com/spreadsheets/d/1SX6NBoVAgQJ6U1MVXOaj8PK2l7WJ3RER9xtqwdhxkhw/edit?usp=sharing"",""กาญจนบุรี!J486"")"),0)</f>
        <v>0</v>
      </c>
      <c r="N55" s="296">
        <f ca="1">IFERROR(__xludf.DUMMYFUNCTION("IMPORTRANGE(""https://docs.google.com/spreadsheets/d/1SX6NBoVAgQJ6U1MVXOaj8PK2l7WJ3RER9xtqwdhxkhw/edit?usp=sharing"",""กาญจนบุรี!J487"")"),0)</f>
        <v>0</v>
      </c>
      <c r="O55" s="297">
        <f t="shared" ca="1" si="5"/>
        <v>0</v>
      </c>
      <c r="P55" s="296">
        <f ca="1">IFERROR(__xludf.DUMMYFUNCTION("IMPORTRANGE(""https://docs.google.com/spreadsheets/d/1SX6NBoVAgQJ6U1MVXOaj8PK2l7WJ3RER9xtqwdhxkhw/edit?usp=sharing"",""กาญจนบุรี!J488"")"),0)</f>
        <v>0</v>
      </c>
      <c r="Q55" s="297">
        <f ca="1">IFERROR(__xludf.DUMMYFUNCTION("IMPORTRANGE(""https://docs.google.com/spreadsheets/d/1SX6NBoVAgQJ6U1MVXOaj8PK2l7WJ3RER9xtqwdhxkhw/edit?usp=sharing"",""กาญจนบุรี!J489"")"),0)</f>
        <v>0</v>
      </c>
      <c r="R55" s="297">
        <f t="shared" ca="1" si="7"/>
        <v>0</v>
      </c>
      <c r="S55" s="296">
        <f ca="1">IFERROR(__xludf.DUMMYFUNCTION("IMPORTRANGE(""https://docs.google.com/spreadsheets/d/1SX6NBoVAgQJ6U1MVXOaj8PK2l7WJ3RER9xtqwdhxkhw/edit?usp=sharing"",""กาญจนบุรี!J490"")"),0)</f>
        <v>0</v>
      </c>
      <c r="T55" s="297">
        <f ca="1">IFERROR(__xludf.DUMMYFUNCTION("IMPORTRANGE(""https://docs.google.com/spreadsheets/d/1SX6NBoVAgQJ6U1MVXOaj8PK2l7WJ3RER9xtqwdhxkhw/edit?usp=sharing"",""กาญจนบุรี!J491"")"),0)</f>
        <v>0</v>
      </c>
      <c r="U55" s="297">
        <f t="shared" ca="1" si="9"/>
        <v>0</v>
      </c>
    </row>
    <row r="56" spans="1:21" ht="21" customHeight="1">
      <c r="A56" s="303">
        <v>2</v>
      </c>
      <c r="B56" s="304" t="s">
        <v>80</v>
      </c>
      <c r="C56" s="305">
        <f t="shared" ca="1" si="49"/>
        <v>0</v>
      </c>
      <c r="D56" s="306">
        <f ca="1">IFERROR(__xludf.DUMMYFUNCTION("IMPORTRANGE(""https://docs.google.com/spreadsheets/d/1C3CXT74ZlgGe6_JY_1olB1XN4rF0dxEuIIF-xsYjHgg/edit?usp=sharing"",""งบกองทุน!EK60"")"),0)</f>
        <v>0</v>
      </c>
      <c r="E56" s="306">
        <f ca="1">IFERROR(__xludf.DUMMYFUNCTION("IMPORTRANGE(""https://docs.google.com/spreadsheets/d/1C3CXT74ZlgGe6_JY_1olB1XN4rF0dxEuIIF-xsYjHgg/edit?usp=sharing"",""งบกองทุน!EL60"")"),0)</f>
        <v>0</v>
      </c>
      <c r="F56" s="307">
        <f ca="1">IFERROR(__xludf.DUMMYFUNCTION("IMPORTRANGE(""https://docs.google.com/spreadsheets/d/1SX6NBoVAgQJ6U1MVXOaj8PK2l7WJ3RER9xtqwdhxkhw/edit?usp=sharing"",""จันทบุรี!M475"")"),0)</f>
        <v>0</v>
      </c>
      <c r="G56" s="307">
        <f t="shared" ca="1" si="1"/>
        <v>0</v>
      </c>
      <c r="H56" s="306">
        <f ca="1">IFERROR(__xludf.DUMMYFUNCTION("IMPORTRANGE(""https://docs.google.com/spreadsheets/d/1C3CXT74ZlgGe6_JY_1olB1XN4rF0dxEuIIF-xsYjHgg/edit?usp=sharing"",""งบกองทุน!EM60"")"),0)</f>
        <v>0</v>
      </c>
      <c r="I56" s="306">
        <f t="shared" ca="1" si="50"/>
        <v>0</v>
      </c>
      <c r="J56" s="306">
        <f ca="1">IFERROR(__xludf.DUMMYFUNCTION("IMPORTRANGE(""https://docs.google.com/spreadsheets/d/1SX6NBoVAgQJ6U1MVXOaj8PK2l7WJ3RER9xtqwdhxkhw/edit?usp=sharing"",""จันทบุรี!J484"")"),0)</f>
        <v>0</v>
      </c>
      <c r="K56" s="306">
        <f ca="1">IFERROR(__xludf.DUMMYFUNCTION("IMPORTRANGE(""https://docs.google.com/spreadsheets/d/1SX6NBoVAgQJ6U1MVXOaj8PK2l7WJ3RER9xtqwdhxkhw/edit?usp=sharing"",""จันทบุรี!J485"")"),0)</f>
        <v>0</v>
      </c>
      <c r="L56" s="307">
        <f t="shared" ca="1" si="3"/>
        <v>0</v>
      </c>
      <c r="M56" s="306">
        <f ca="1">IFERROR(__xludf.DUMMYFUNCTION("IMPORTRANGE(""https://docs.google.com/spreadsheets/d/1SX6NBoVAgQJ6U1MVXOaj8PK2l7WJ3RER9xtqwdhxkhw/edit?usp=sharing"",""จันทบุรี!J486"")"),0)</f>
        <v>0</v>
      </c>
      <c r="N56" s="306">
        <f ca="1">IFERROR(__xludf.DUMMYFUNCTION("IMPORTRANGE(""https://docs.google.com/spreadsheets/d/1SX6NBoVAgQJ6U1MVXOaj8PK2l7WJ3RER9xtqwdhxkhw/edit?usp=sharing"",""จันทบุรี!J487"")"),0)</f>
        <v>0</v>
      </c>
      <c r="O56" s="307">
        <f t="shared" ca="1" si="5"/>
        <v>0</v>
      </c>
      <c r="P56" s="306">
        <f ca="1">IFERROR(__xludf.DUMMYFUNCTION("IMPORTRANGE(""https://docs.google.com/spreadsheets/d/1SX6NBoVAgQJ6U1MVXOaj8PK2l7WJ3RER9xtqwdhxkhw/edit?usp=sharing"",""จันทบุรี!J488"")"),0)</f>
        <v>0</v>
      </c>
      <c r="Q56" s="307">
        <f ca="1">IFERROR(__xludf.DUMMYFUNCTION("IMPORTRANGE(""https://docs.google.com/spreadsheets/d/1SX6NBoVAgQJ6U1MVXOaj8PK2l7WJ3RER9xtqwdhxkhw/edit?usp=sharing"",""จันทบุรี!J489"")"),0)</f>
        <v>0</v>
      </c>
      <c r="R56" s="307">
        <f t="shared" ca="1" si="7"/>
        <v>0</v>
      </c>
      <c r="S56" s="306">
        <f ca="1">IFERROR(__xludf.DUMMYFUNCTION("IMPORTRANGE(""https://docs.google.com/spreadsheets/d/1SX6NBoVAgQJ6U1MVXOaj8PK2l7WJ3RER9xtqwdhxkhw/edit?usp=sharing"",""จันทบุรี!J490"")"),0)</f>
        <v>0</v>
      </c>
      <c r="T56" s="307">
        <f ca="1">IFERROR(__xludf.DUMMYFUNCTION("IMPORTRANGE(""https://docs.google.com/spreadsheets/d/1SX6NBoVAgQJ6U1MVXOaj8PK2l7WJ3RER9xtqwdhxkhw/edit?usp=sharing"",""จันทบุรี!J491"")"),0)</f>
        <v>0</v>
      </c>
      <c r="U56" s="307">
        <f t="shared" ca="1" si="9"/>
        <v>0</v>
      </c>
    </row>
    <row r="57" spans="1:21" ht="21" customHeight="1">
      <c r="A57" s="303">
        <v>3</v>
      </c>
      <c r="B57" s="304" t="s">
        <v>81</v>
      </c>
      <c r="C57" s="305">
        <f t="shared" ca="1" si="49"/>
        <v>328200</v>
      </c>
      <c r="D57" s="306">
        <f ca="1">IFERROR(__xludf.DUMMYFUNCTION("IMPORTRANGE(""https://docs.google.com/spreadsheets/d/1C3CXT74ZlgGe6_JY_1olB1XN4rF0dxEuIIF-xsYjHgg/edit?usp=sharing"",""งบกองทุน!EK61"")"),0)</f>
        <v>0</v>
      </c>
      <c r="E57" s="306">
        <f ca="1">IFERROR(__xludf.DUMMYFUNCTION("IMPORTRANGE(""https://docs.google.com/spreadsheets/d/1C3CXT74ZlgGe6_JY_1olB1XN4rF0dxEuIIF-xsYjHgg/edit?usp=sharing"",""งบกองทุน!EL61"")"),328200)</f>
        <v>328200</v>
      </c>
      <c r="F57" s="307">
        <f ca="1">IFERROR(__xludf.DUMMYFUNCTION("IMPORTRANGE(""https://docs.google.com/spreadsheets/d/1SX6NBoVAgQJ6U1MVXOaj8PK2l7WJ3RER9xtqwdhxkhw/edit?usp=sharing"",""ฉะเชิงเทรา!M475"")"),82259.62)</f>
        <v>82259.62</v>
      </c>
      <c r="G57" s="307">
        <f t="shared" ca="1" si="1"/>
        <v>25.063869591712372</v>
      </c>
      <c r="H57" s="306">
        <f ca="1">IFERROR(__xludf.DUMMYFUNCTION("IMPORTRANGE(""https://docs.google.com/spreadsheets/d/1C3CXT74ZlgGe6_JY_1olB1XN4rF0dxEuIIF-xsYjHgg/edit?usp=sharing"",""งบกองทุน!EM61"")"),200)</f>
        <v>200</v>
      </c>
      <c r="I57" s="306">
        <f t="shared" ca="1" si="50"/>
        <v>200</v>
      </c>
      <c r="J57" s="306">
        <f ca="1">IFERROR(__xludf.DUMMYFUNCTION("IMPORTRANGE(""https://docs.google.com/spreadsheets/d/1SX6NBoVAgQJ6U1MVXOaj8PK2l7WJ3RER9xtqwdhxkhw/edit?usp=sharing"",""ฉะเชิงเทรา!J484"")"),132)</f>
        <v>132</v>
      </c>
      <c r="K57" s="306">
        <f ca="1">IFERROR(__xludf.DUMMYFUNCTION("IMPORTRANGE(""https://docs.google.com/spreadsheets/d/1SX6NBoVAgQJ6U1MVXOaj8PK2l7WJ3RER9xtqwdhxkhw/edit?usp=sharing"",""ฉะเชิงเทรา!J485"")"),115.92)</f>
        <v>115.92</v>
      </c>
      <c r="L57" s="307">
        <f t="shared" ca="1" si="3"/>
        <v>66</v>
      </c>
      <c r="M57" s="306">
        <f ca="1">IFERROR(__xludf.DUMMYFUNCTION("IMPORTRANGE(""https://docs.google.com/spreadsheets/d/1SX6NBoVAgQJ6U1MVXOaj8PK2l7WJ3RER9xtqwdhxkhw/edit?usp=sharing"",""ฉะเชิงเทรา!J486"")"),9)</f>
        <v>9</v>
      </c>
      <c r="N57" s="306">
        <f ca="1">IFERROR(__xludf.DUMMYFUNCTION("IMPORTRANGE(""https://docs.google.com/spreadsheets/d/1SX6NBoVAgQJ6U1MVXOaj8PK2l7WJ3RER9xtqwdhxkhw/edit?usp=sharing"",""ฉะเชิงเทรา!J487"")"),9.96)</f>
        <v>9.9600000000000009</v>
      </c>
      <c r="O57" s="307">
        <f t="shared" ca="1" si="5"/>
        <v>4.5</v>
      </c>
      <c r="P57" s="306">
        <f ca="1">IFERROR(__xludf.DUMMYFUNCTION("IMPORTRANGE(""https://docs.google.com/spreadsheets/d/1SX6NBoVAgQJ6U1MVXOaj8PK2l7WJ3RER9xtqwdhxkhw/edit?usp=sharing"",""ฉะเชิงเทรา!J488"")"),0)</f>
        <v>0</v>
      </c>
      <c r="Q57" s="307">
        <f ca="1">IFERROR(__xludf.DUMMYFUNCTION("IMPORTRANGE(""https://docs.google.com/spreadsheets/d/1SX6NBoVAgQJ6U1MVXOaj8PK2l7WJ3RER9xtqwdhxkhw/edit?usp=sharing"",""ฉะเชิงเทรา!J489"")"),0)</f>
        <v>0</v>
      </c>
      <c r="R57" s="307">
        <f t="shared" ca="1" si="7"/>
        <v>0</v>
      </c>
      <c r="S57" s="306">
        <f ca="1">IFERROR(__xludf.DUMMYFUNCTION("IMPORTRANGE(""https://docs.google.com/spreadsheets/d/1SX6NBoVAgQJ6U1MVXOaj8PK2l7WJ3RER9xtqwdhxkhw/edit?usp=sharing"",""ฉะเชิงเทรา!J490"")"),0)</f>
        <v>0</v>
      </c>
      <c r="T57" s="307">
        <f ca="1">IFERROR(__xludf.DUMMYFUNCTION("IMPORTRANGE(""https://docs.google.com/spreadsheets/d/1SX6NBoVAgQJ6U1MVXOaj8PK2l7WJ3RER9xtqwdhxkhw/edit?usp=sharing"",""ฉะเชิงเทรา!J491"")"),0)</f>
        <v>0</v>
      </c>
      <c r="U57" s="307">
        <f t="shared" ca="1" si="9"/>
        <v>0</v>
      </c>
    </row>
    <row r="58" spans="1:21" ht="21" customHeight="1">
      <c r="A58" s="303">
        <v>4</v>
      </c>
      <c r="B58" s="304" t="s">
        <v>82</v>
      </c>
      <c r="C58" s="305">
        <f t="shared" ca="1" si="49"/>
        <v>0</v>
      </c>
      <c r="D58" s="306">
        <f ca="1">IFERROR(__xludf.DUMMYFUNCTION("IMPORTRANGE(""https://docs.google.com/spreadsheets/d/1C3CXT74ZlgGe6_JY_1olB1XN4rF0dxEuIIF-xsYjHgg/edit?usp=sharing"",""งบกองทุน!EK62"")"),0)</f>
        <v>0</v>
      </c>
      <c r="E58" s="306">
        <f ca="1">IFERROR(__xludf.DUMMYFUNCTION("IMPORTRANGE(""https://docs.google.com/spreadsheets/d/1C3CXT74ZlgGe6_JY_1olB1XN4rF0dxEuIIF-xsYjHgg/edit?usp=sharing"",""งบกองทุน!EL62"")"),0)</f>
        <v>0</v>
      </c>
      <c r="F58" s="307">
        <f ca="1">IFERROR(__xludf.DUMMYFUNCTION("IMPORTRANGE(""https://docs.google.com/spreadsheets/d/1SX6NBoVAgQJ6U1MVXOaj8PK2l7WJ3RER9xtqwdhxkhw/edit?usp=sharing"",""ชลบุรี!M475"")"),0)</f>
        <v>0</v>
      </c>
      <c r="G58" s="307">
        <f t="shared" ca="1" si="1"/>
        <v>0</v>
      </c>
      <c r="H58" s="306">
        <f ca="1">IFERROR(__xludf.DUMMYFUNCTION("IMPORTRANGE(""https://docs.google.com/spreadsheets/d/1C3CXT74ZlgGe6_JY_1olB1XN4rF0dxEuIIF-xsYjHgg/edit?usp=sharing"",""งบกองทุน!EM62"")"),0)</f>
        <v>0</v>
      </c>
      <c r="I58" s="306">
        <f t="shared" ca="1" si="50"/>
        <v>0</v>
      </c>
      <c r="J58" s="306">
        <f ca="1">IFERROR(__xludf.DUMMYFUNCTION("IMPORTRANGE(""https://docs.google.com/spreadsheets/d/1SX6NBoVAgQJ6U1MVXOaj8PK2l7WJ3RER9xtqwdhxkhw/edit?usp=sharing"",""ชลบุรี!J484"")"),0)</f>
        <v>0</v>
      </c>
      <c r="K58" s="306">
        <f ca="1">IFERROR(__xludf.DUMMYFUNCTION("IMPORTRANGE(""https://docs.google.com/spreadsheets/d/1SX6NBoVAgQJ6U1MVXOaj8PK2l7WJ3RER9xtqwdhxkhw/edit?usp=sharing"",""ชลบุรี!J485"")"),0)</f>
        <v>0</v>
      </c>
      <c r="L58" s="307">
        <f t="shared" ca="1" si="3"/>
        <v>0</v>
      </c>
      <c r="M58" s="306">
        <f ca="1">IFERROR(__xludf.DUMMYFUNCTION("IMPORTRANGE(""https://docs.google.com/spreadsheets/d/1SX6NBoVAgQJ6U1MVXOaj8PK2l7WJ3RER9xtqwdhxkhw/edit?usp=sharing"",""ชลบุรี!J486"")"),0)</f>
        <v>0</v>
      </c>
      <c r="N58" s="306">
        <f ca="1">IFERROR(__xludf.DUMMYFUNCTION("IMPORTRANGE(""https://docs.google.com/spreadsheets/d/1SX6NBoVAgQJ6U1MVXOaj8PK2l7WJ3RER9xtqwdhxkhw/edit?usp=sharing"",""ชลบุรี!J487"")"),0)</f>
        <v>0</v>
      </c>
      <c r="O58" s="307">
        <f t="shared" ca="1" si="5"/>
        <v>0</v>
      </c>
      <c r="P58" s="306">
        <f ca="1">IFERROR(__xludf.DUMMYFUNCTION("IMPORTRANGE(""https://docs.google.com/spreadsheets/d/1SX6NBoVAgQJ6U1MVXOaj8PK2l7WJ3RER9xtqwdhxkhw/edit?usp=sharing"",""ชลบุรี!J488"")"),0)</f>
        <v>0</v>
      </c>
      <c r="Q58" s="307">
        <f ca="1">IFERROR(__xludf.DUMMYFUNCTION("IMPORTRANGE(""https://docs.google.com/spreadsheets/d/1SX6NBoVAgQJ6U1MVXOaj8PK2l7WJ3RER9xtqwdhxkhw/edit?usp=sharing"",""ชลบุรี!J489"")"),0)</f>
        <v>0</v>
      </c>
      <c r="R58" s="307">
        <f t="shared" ca="1" si="7"/>
        <v>0</v>
      </c>
      <c r="S58" s="306">
        <f ca="1">IFERROR(__xludf.DUMMYFUNCTION("IMPORTRANGE(""https://docs.google.com/spreadsheets/d/1SX6NBoVAgQJ6U1MVXOaj8PK2l7WJ3RER9xtqwdhxkhw/edit?usp=sharing"",""ชลบุรี!J490"")"),0)</f>
        <v>0</v>
      </c>
      <c r="T58" s="307">
        <f ca="1">IFERROR(__xludf.DUMMYFUNCTION("IMPORTRANGE(""https://docs.google.com/spreadsheets/d/1SX6NBoVAgQJ6U1MVXOaj8PK2l7WJ3RER9xtqwdhxkhw/edit?usp=sharing"",""ชลบุรี!J491"")"),0)</f>
        <v>0</v>
      </c>
      <c r="U58" s="307">
        <f t="shared" ca="1" si="9"/>
        <v>0</v>
      </c>
    </row>
    <row r="59" spans="1:21" ht="21" customHeight="1">
      <c r="A59" s="303">
        <v>5</v>
      </c>
      <c r="B59" s="304" t="s">
        <v>83</v>
      </c>
      <c r="C59" s="305">
        <f t="shared" ca="1" si="49"/>
        <v>0</v>
      </c>
      <c r="D59" s="306">
        <f ca="1">IFERROR(__xludf.DUMMYFUNCTION("IMPORTRANGE(""https://docs.google.com/spreadsheets/d/1C3CXT74ZlgGe6_JY_1olB1XN4rF0dxEuIIF-xsYjHgg/edit?usp=sharing"",""งบกองทุน!EK63"")"),0)</f>
        <v>0</v>
      </c>
      <c r="E59" s="306">
        <f ca="1">IFERROR(__xludf.DUMMYFUNCTION("IMPORTRANGE(""https://docs.google.com/spreadsheets/d/1C3CXT74ZlgGe6_JY_1olB1XN4rF0dxEuIIF-xsYjHgg/edit?usp=sharing"",""งบกองทุน!EL63"")"),0)</f>
        <v>0</v>
      </c>
      <c r="F59" s="307">
        <f ca="1">IFERROR(__xludf.DUMMYFUNCTION("IMPORTRANGE(""https://docs.google.com/spreadsheets/d/1SX6NBoVAgQJ6U1MVXOaj8PK2l7WJ3RER9xtqwdhxkhw/edit?usp=sharing"",""ชัยนาท!M475"")"),0)</f>
        <v>0</v>
      </c>
      <c r="G59" s="307">
        <f t="shared" ca="1" si="1"/>
        <v>0</v>
      </c>
      <c r="H59" s="306">
        <f ca="1">IFERROR(__xludf.DUMMYFUNCTION("IMPORTRANGE(""https://docs.google.com/spreadsheets/d/1C3CXT74ZlgGe6_JY_1olB1XN4rF0dxEuIIF-xsYjHgg/edit?usp=sharing"",""งบกองทุน!EM63"")"),0)</f>
        <v>0</v>
      </c>
      <c r="I59" s="306">
        <f t="shared" ca="1" si="50"/>
        <v>0</v>
      </c>
      <c r="J59" s="306">
        <f ca="1">IFERROR(__xludf.DUMMYFUNCTION("IMPORTRANGE(""https://docs.google.com/spreadsheets/d/1SX6NBoVAgQJ6U1MVXOaj8PK2l7WJ3RER9xtqwdhxkhw/edit?usp=sharing"",""ชัยนาท!J484"")"),0)</f>
        <v>0</v>
      </c>
      <c r="K59" s="306">
        <f ca="1">IFERROR(__xludf.DUMMYFUNCTION("IMPORTRANGE(""https://docs.google.com/spreadsheets/d/1SX6NBoVAgQJ6U1MVXOaj8PK2l7WJ3RER9xtqwdhxkhw/edit?usp=sharing"",""ชัยนาท!J485"")"),0)</f>
        <v>0</v>
      </c>
      <c r="L59" s="307">
        <f t="shared" ca="1" si="3"/>
        <v>0</v>
      </c>
      <c r="M59" s="306">
        <f ca="1">IFERROR(__xludf.DUMMYFUNCTION("IMPORTRANGE(""https://docs.google.com/spreadsheets/d/1SX6NBoVAgQJ6U1MVXOaj8PK2l7WJ3RER9xtqwdhxkhw/edit?usp=sharing"",""ชัยนาท!J486"")"),2)</f>
        <v>2</v>
      </c>
      <c r="N59" s="306">
        <f ca="1">IFERROR(__xludf.DUMMYFUNCTION("IMPORTRANGE(""https://docs.google.com/spreadsheets/d/1SX6NBoVAgQJ6U1MVXOaj8PK2l7WJ3RER9xtqwdhxkhw/edit?usp=sharing"",""ชัยนาท!J487"")"),1.42)</f>
        <v>1.42</v>
      </c>
      <c r="O59" s="307">
        <f t="shared" ca="1" si="5"/>
        <v>0</v>
      </c>
      <c r="P59" s="306">
        <f ca="1">IFERROR(__xludf.DUMMYFUNCTION("IMPORTRANGE(""https://docs.google.com/spreadsheets/d/1SX6NBoVAgQJ6U1MVXOaj8PK2l7WJ3RER9xtqwdhxkhw/edit?usp=sharing"",""ชัยนาท!J488"")"),0)</f>
        <v>0</v>
      </c>
      <c r="Q59" s="307">
        <f ca="1">IFERROR(__xludf.DUMMYFUNCTION("IMPORTRANGE(""https://docs.google.com/spreadsheets/d/1SX6NBoVAgQJ6U1MVXOaj8PK2l7WJ3RER9xtqwdhxkhw/edit?usp=sharing"",""ชัยนาท!J489"")"),0)</f>
        <v>0</v>
      </c>
      <c r="R59" s="307">
        <f t="shared" ca="1" si="7"/>
        <v>0</v>
      </c>
      <c r="S59" s="306">
        <f ca="1">IFERROR(__xludf.DUMMYFUNCTION("IMPORTRANGE(""https://docs.google.com/spreadsheets/d/1SX6NBoVAgQJ6U1MVXOaj8PK2l7WJ3RER9xtqwdhxkhw/edit?usp=sharing"",""ชัยนาท!J490"")"),2)</f>
        <v>2</v>
      </c>
      <c r="T59" s="307">
        <f ca="1">IFERROR(__xludf.DUMMYFUNCTION("IMPORTRANGE(""https://docs.google.com/spreadsheets/d/1SX6NBoVAgQJ6U1MVXOaj8PK2l7WJ3RER9xtqwdhxkhw/edit?usp=sharing"",""ชัยนาท!J491"")"),1.42)</f>
        <v>1.42</v>
      </c>
      <c r="U59" s="307">
        <f t="shared" ca="1" si="9"/>
        <v>0</v>
      </c>
    </row>
    <row r="60" spans="1:21" ht="21" customHeight="1">
      <c r="A60" s="303">
        <v>6</v>
      </c>
      <c r="B60" s="304" t="s">
        <v>84</v>
      </c>
      <c r="C60" s="305">
        <f t="shared" ca="1" si="49"/>
        <v>0</v>
      </c>
      <c r="D60" s="306">
        <f ca="1">IFERROR(__xludf.DUMMYFUNCTION("IMPORTRANGE(""https://docs.google.com/spreadsheets/d/1C3CXT74ZlgGe6_JY_1olB1XN4rF0dxEuIIF-xsYjHgg/edit?usp=sharing"",""งบกองทุน!EK64"")"),0)</f>
        <v>0</v>
      </c>
      <c r="E60" s="306">
        <f ca="1">IFERROR(__xludf.DUMMYFUNCTION("IMPORTRANGE(""https://docs.google.com/spreadsheets/d/1C3CXT74ZlgGe6_JY_1olB1XN4rF0dxEuIIF-xsYjHgg/edit?usp=sharing"",""งบกองทุน!EL64"")"),0)</f>
        <v>0</v>
      </c>
      <c r="F60" s="307">
        <f ca="1">IFERROR(__xludf.DUMMYFUNCTION("IMPORTRANGE(""https://docs.google.com/spreadsheets/d/1SX6NBoVAgQJ6U1MVXOaj8PK2l7WJ3RER9xtqwdhxkhw/edit?usp=sharing"",""ตราด!M475"")"),0)</f>
        <v>0</v>
      </c>
      <c r="G60" s="307">
        <f t="shared" ca="1" si="1"/>
        <v>0</v>
      </c>
      <c r="H60" s="306">
        <f ca="1">IFERROR(__xludf.DUMMYFUNCTION("IMPORTRANGE(""https://docs.google.com/spreadsheets/d/1C3CXT74ZlgGe6_JY_1olB1XN4rF0dxEuIIF-xsYjHgg/edit?usp=sharing"",""งบกองทุน!EM64"")"),0)</f>
        <v>0</v>
      </c>
      <c r="I60" s="306">
        <f t="shared" ca="1" si="50"/>
        <v>0</v>
      </c>
      <c r="J60" s="306">
        <f ca="1">IFERROR(__xludf.DUMMYFUNCTION("IMPORTRANGE(""https://docs.google.com/spreadsheets/d/1SX6NBoVAgQJ6U1MVXOaj8PK2l7WJ3RER9xtqwdhxkhw/edit?usp=sharing"",""ตราด!J484"")"),0)</f>
        <v>0</v>
      </c>
      <c r="K60" s="306">
        <f ca="1">IFERROR(__xludf.DUMMYFUNCTION("IMPORTRANGE(""https://docs.google.com/spreadsheets/d/1SX6NBoVAgQJ6U1MVXOaj8PK2l7WJ3RER9xtqwdhxkhw/edit?usp=sharing"",""ตราด!J485"")"),0)</f>
        <v>0</v>
      </c>
      <c r="L60" s="307">
        <f t="shared" ca="1" si="3"/>
        <v>0</v>
      </c>
      <c r="M60" s="306">
        <f ca="1">IFERROR(__xludf.DUMMYFUNCTION("IMPORTRANGE(""https://docs.google.com/spreadsheets/d/1SX6NBoVAgQJ6U1MVXOaj8PK2l7WJ3RER9xtqwdhxkhw/edit?usp=sharing"",""ตราด!J486"")"),0)</f>
        <v>0</v>
      </c>
      <c r="N60" s="306">
        <f ca="1">IFERROR(__xludf.DUMMYFUNCTION("IMPORTRANGE(""https://docs.google.com/spreadsheets/d/1SX6NBoVAgQJ6U1MVXOaj8PK2l7WJ3RER9xtqwdhxkhw/edit?usp=sharing"",""ตราด!J487"")"),0)</f>
        <v>0</v>
      </c>
      <c r="O60" s="307">
        <f t="shared" ca="1" si="5"/>
        <v>0</v>
      </c>
      <c r="P60" s="306">
        <f ca="1">IFERROR(__xludf.DUMMYFUNCTION("IMPORTRANGE(""https://docs.google.com/spreadsheets/d/1SX6NBoVAgQJ6U1MVXOaj8PK2l7WJ3RER9xtqwdhxkhw/edit?usp=sharing"",""ตราด!J488"")"),0)</f>
        <v>0</v>
      </c>
      <c r="Q60" s="307">
        <f ca="1">IFERROR(__xludf.DUMMYFUNCTION("IMPORTRANGE(""https://docs.google.com/spreadsheets/d/1SX6NBoVAgQJ6U1MVXOaj8PK2l7WJ3RER9xtqwdhxkhw/edit?usp=sharing"",""ตราด!J489"")"),0)</f>
        <v>0</v>
      </c>
      <c r="R60" s="307">
        <f t="shared" ca="1" si="7"/>
        <v>0</v>
      </c>
      <c r="S60" s="306">
        <f ca="1">IFERROR(__xludf.DUMMYFUNCTION("IMPORTRANGE(""https://docs.google.com/spreadsheets/d/1SX6NBoVAgQJ6U1MVXOaj8PK2l7WJ3RER9xtqwdhxkhw/edit?usp=sharing"",""ตราด!J490"")"),0)</f>
        <v>0</v>
      </c>
      <c r="T60" s="307">
        <f ca="1">IFERROR(__xludf.DUMMYFUNCTION("IMPORTRANGE(""https://docs.google.com/spreadsheets/d/1SX6NBoVAgQJ6U1MVXOaj8PK2l7WJ3RER9xtqwdhxkhw/edit?usp=sharing"",""ตราด!J491"")"),0)</f>
        <v>0</v>
      </c>
      <c r="U60" s="307">
        <f t="shared" ca="1" si="9"/>
        <v>0</v>
      </c>
    </row>
    <row r="61" spans="1:21" ht="21" customHeight="1">
      <c r="A61" s="303">
        <v>7</v>
      </c>
      <c r="B61" s="304" t="s">
        <v>85</v>
      </c>
      <c r="C61" s="305">
        <f t="shared" ca="1" si="49"/>
        <v>0</v>
      </c>
      <c r="D61" s="306">
        <f ca="1">IFERROR(__xludf.DUMMYFUNCTION("IMPORTRANGE(""https://docs.google.com/spreadsheets/d/1C3CXT74ZlgGe6_JY_1olB1XN4rF0dxEuIIF-xsYjHgg/edit?usp=sharing"",""งบกองทุน!EK65"")"),0)</f>
        <v>0</v>
      </c>
      <c r="E61" s="306">
        <f ca="1">IFERROR(__xludf.DUMMYFUNCTION("IMPORTRANGE(""https://docs.google.com/spreadsheets/d/1C3CXT74ZlgGe6_JY_1olB1XN4rF0dxEuIIF-xsYjHgg/edit?usp=sharing"",""งบกองทุน!EL65"")"),0)</f>
        <v>0</v>
      </c>
      <c r="F61" s="307">
        <f ca="1">IFERROR(__xludf.DUMMYFUNCTION("IMPORTRANGE(""https://docs.google.com/spreadsheets/d/1SX6NBoVAgQJ6U1MVXOaj8PK2l7WJ3RER9xtqwdhxkhw/edit?usp=sharing"",""นครนายก!M475"")"),0)</f>
        <v>0</v>
      </c>
      <c r="G61" s="307">
        <f t="shared" ca="1" si="1"/>
        <v>0</v>
      </c>
      <c r="H61" s="306">
        <f ca="1">IFERROR(__xludf.DUMMYFUNCTION("IMPORTRANGE(""https://docs.google.com/spreadsheets/d/1C3CXT74ZlgGe6_JY_1olB1XN4rF0dxEuIIF-xsYjHgg/edit?usp=sharing"",""งบกองทุน!EM65"")"),0)</f>
        <v>0</v>
      </c>
      <c r="I61" s="306">
        <f t="shared" ca="1" si="50"/>
        <v>0</v>
      </c>
      <c r="J61" s="306">
        <f ca="1">IFERROR(__xludf.DUMMYFUNCTION("IMPORTRANGE(""https://docs.google.com/spreadsheets/d/1SX6NBoVAgQJ6U1MVXOaj8PK2l7WJ3RER9xtqwdhxkhw/edit?usp=sharing"",""นครนายก!J484"")"),0)</f>
        <v>0</v>
      </c>
      <c r="K61" s="306">
        <f ca="1">IFERROR(__xludf.DUMMYFUNCTION("IMPORTRANGE(""https://docs.google.com/spreadsheets/d/1SX6NBoVAgQJ6U1MVXOaj8PK2l7WJ3RER9xtqwdhxkhw/edit?usp=sharing"",""นครนายก!J485"")"),0)</f>
        <v>0</v>
      </c>
      <c r="L61" s="307">
        <f t="shared" ca="1" si="3"/>
        <v>0</v>
      </c>
      <c r="M61" s="306">
        <f ca="1">IFERROR(__xludf.DUMMYFUNCTION("IMPORTRANGE(""https://docs.google.com/spreadsheets/d/1SX6NBoVAgQJ6U1MVXOaj8PK2l7WJ3RER9xtqwdhxkhw/edit?usp=sharing"",""นครนายก!J486"")"),0)</f>
        <v>0</v>
      </c>
      <c r="N61" s="306">
        <f ca="1">IFERROR(__xludf.DUMMYFUNCTION("IMPORTRANGE(""https://docs.google.com/spreadsheets/d/1SX6NBoVAgQJ6U1MVXOaj8PK2l7WJ3RER9xtqwdhxkhw/edit?usp=sharing"",""นครนายก!J487"")"),0)</f>
        <v>0</v>
      </c>
      <c r="O61" s="307">
        <f t="shared" ca="1" si="5"/>
        <v>0</v>
      </c>
      <c r="P61" s="306">
        <f ca="1">IFERROR(__xludf.DUMMYFUNCTION("IMPORTRANGE(""https://docs.google.com/spreadsheets/d/1SX6NBoVAgQJ6U1MVXOaj8PK2l7WJ3RER9xtqwdhxkhw/edit?usp=sharing"",""นครนายก!J488"")"),0)</f>
        <v>0</v>
      </c>
      <c r="Q61" s="307">
        <f ca="1">IFERROR(__xludf.DUMMYFUNCTION("IMPORTRANGE(""https://docs.google.com/spreadsheets/d/1SX6NBoVAgQJ6U1MVXOaj8PK2l7WJ3RER9xtqwdhxkhw/edit?usp=sharing"",""นครนายก!J489"")"),0)</f>
        <v>0</v>
      </c>
      <c r="R61" s="307">
        <f t="shared" ca="1" si="7"/>
        <v>0</v>
      </c>
      <c r="S61" s="306">
        <f ca="1">IFERROR(__xludf.DUMMYFUNCTION("IMPORTRANGE(""https://docs.google.com/spreadsheets/d/1SX6NBoVAgQJ6U1MVXOaj8PK2l7WJ3RER9xtqwdhxkhw/edit?usp=sharing"",""นครนายก!J490"")"),0)</f>
        <v>0</v>
      </c>
      <c r="T61" s="307">
        <f ca="1">IFERROR(__xludf.DUMMYFUNCTION("IMPORTRANGE(""https://docs.google.com/spreadsheets/d/1SX6NBoVAgQJ6U1MVXOaj8PK2l7WJ3RER9xtqwdhxkhw/edit?usp=sharing"",""นครนายก!J491"")"),0)</f>
        <v>0</v>
      </c>
      <c r="U61" s="307">
        <f t="shared" ca="1" si="9"/>
        <v>0</v>
      </c>
    </row>
    <row r="62" spans="1:21" ht="21" customHeight="1">
      <c r="A62" s="303">
        <v>8</v>
      </c>
      <c r="B62" s="304" t="s">
        <v>86</v>
      </c>
      <c r="C62" s="305">
        <f t="shared" ca="1" si="49"/>
        <v>0</v>
      </c>
      <c r="D62" s="306">
        <f ca="1">IFERROR(__xludf.DUMMYFUNCTION("IMPORTRANGE(""https://docs.google.com/spreadsheets/d/1C3CXT74ZlgGe6_JY_1olB1XN4rF0dxEuIIF-xsYjHgg/edit?usp=sharing"",""งบกองทุน!EK66"")"),0)</f>
        <v>0</v>
      </c>
      <c r="E62" s="306">
        <f ca="1">IFERROR(__xludf.DUMMYFUNCTION("IMPORTRANGE(""https://docs.google.com/spreadsheets/d/1C3CXT74ZlgGe6_JY_1olB1XN4rF0dxEuIIF-xsYjHgg/edit?usp=sharing"",""งบกองทุน!EL66"")"),0)</f>
        <v>0</v>
      </c>
      <c r="F62" s="307">
        <f ca="1">IFERROR(__xludf.DUMMYFUNCTION("IMPORTRANGE(""https://docs.google.com/spreadsheets/d/1SX6NBoVAgQJ6U1MVXOaj8PK2l7WJ3RER9xtqwdhxkhw/edit?usp=sharing"",""นครปฐม!M475"")"),0)</f>
        <v>0</v>
      </c>
      <c r="G62" s="307">
        <f t="shared" ca="1" si="1"/>
        <v>0</v>
      </c>
      <c r="H62" s="306">
        <f ca="1">IFERROR(__xludf.DUMMYFUNCTION("IMPORTRANGE(""https://docs.google.com/spreadsheets/d/1C3CXT74ZlgGe6_JY_1olB1XN4rF0dxEuIIF-xsYjHgg/edit?usp=sharing"",""งบกองทุน!EM66"")"),0)</f>
        <v>0</v>
      </c>
      <c r="I62" s="306">
        <f t="shared" ca="1" si="50"/>
        <v>0</v>
      </c>
      <c r="J62" s="306">
        <f ca="1">IFERROR(__xludf.DUMMYFUNCTION("IMPORTRANGE(""https://docs.google.com/spreadsheets/d/1SX6NBoVAgQJ6U1MVXOaj8PK2l7WJ3RER9xtqwdhxkhw/edit?usp=sharing"",""นครปฐม!J484"")"),0)</f>
        <v>0</v>
      </c>
      <c r="K62" s="306">
        <f ca="1">IFERROR(__xludf.DUMMYFUNCTION("IMPORTRANGE(""https://docs.google.com/spreadsheets/d/1SX6NBoVAgQJ6U1MVXOaj8PK2l7WJ3RER9xtqwdhxkhw/edit?usp=sharing"",""นครปฐม!J485"")"),0)</f>
        <v>0</v>
      </c>
      <c r="L62" s="307">
        <f t="shared" ca="1" si="3"/>
        <v>0</v>
      </c>
      <c r="M62" s="306">
        <f ca="1">IFERROR(__xludf.DUMMYFUNCTION("IMPORTRANGE(""https://docs.google.com/spreadsheets/d/1SX6NBoVAgQJ6U1MVXOaj8PK2l7WJ3RER9xtqwdhxkhw/edit?usp=sharing"",""นครปฐม!J486"")"),0)</f>
        <v>0</v>
      </c>
      <c r="N62" s="306">
        <f ca="1">IFERROR(__xludf.DUMMYFUNCTION("IMPORTRANGE(""https://docs.google.com/spreadsheets/d/1SX6NBoVAgQJ6U1MVXOaj8PK2l7WJ3RER9xtqwdhxkhw/edit?usp=sharing"",""นครปฐม!J487"")"),0)</f>
        <v>0</v>
      </c>
      <c r="O62" s="307">
        <f t="shared" ca="1" si="5"/>
        <v>0</v>
      </c>
      <c r="P62" s="306">
        <f ca="1">IFERROR(__xludf.DUMMYFUNCTION("IMPORTRANGE(""https://docs.google.com/spreadsheets/d/1SX6NBoVAgQJ6U1MVXOaj8PK2l7WJ3RER9xtqwdhxkhw/edit?usp=sharing"",""นครปฐม!J488"")"),0)</f>
        <v>0</v>
      </c>
      <c r="Q62" s="307">
        <f ca="1">IFERROR(__xludf.DUMMYFUNCTION("IMPORTRANGE(""https://docs.google.com/spreadsheets/d/1SX6NBoVAgQJ6U1MVXOaj8PK2l7WJ3RER9xtqwdhxkhw/edit?usp=sharing"",""นครปฐม!J489"")"),0)</f>
        <v>0</v>
      </c>
      <c r="R62" s="307">
        <f t="shared" ca="1" si="7"/>
        <v>0</v>
      </c>
      <c r="S62" s="306">
        <f ca="1">IFERROR(__xludf.DUMMYFUNCTION("IMPORTRANGE(""https://docs.google.com/spreadsheets/d/1SX6NBoVAgQJ6U1MVXOaj8PK2l7WJ3RER9xtqwdhxkhw/edit?usp=sharing"",""นครปฐม!J490"")"),0)</f>
        <v>0</v>
      </c>
      <c r="T62" s="307">
        <f ca="1">IFERROR(__xludf.DUMMYFUNCTION("IMPORTRANGE(""https://docs.google.com/spreadsheets/d/1SX6NBoVAgQJ6U1MVXOaj8PK2l7WJ3RER9xtqwdhxkhw/edit?usp=sharing"",""นครปฐม!J491"")"),0)</f>
        <v>0</v>
      </c>
      <c r="U62" s="307">
        <f t="shared" ca="1" si="9"/>
        <v>0</v>
      </c>
    </row>
    <row r="63" spans="1:21" ht="21" customHeight="1">
      <c r="A63" s="303">
        <v>9</v>
      </c>
      <c r="B63" s="304" t="s">
        <v>87</v>
      </c>
      <c r="C63" s="305">
        <f t="shared" ca="1" si="49"/>
        <v>0</v>
      </c>
      <c r="D63" s="306">
        <f ca="1">IFERROR(__xludf.DUMMYFUNCTION("IMPORTRANGE(""https://docs.google.com/spreadsheets/d/1C3CXT74ZlgGe6_JY_1olB1XN4rF0dxEuIIF-xsYjHgg/edit?usp=sharing"",""งบกองทุน!EK67"")"),0)</f>
        <v>0</v>
      </c>
      <c r="E63" s="306">
        <f ca="1">IFERROR(__xludf.DUMMYFUNCTION("IMPORTRANGE(""https://docs.google.com/spreadsheets/d/1C3CXT74ZlgGe6_JY_1olB1XN4rF0dxEuIIF-xsYjHgg/edit?usp=sharing"",""งบกองทุน!EL67"")"),0)</f>
        <v>0</v>
      </c>
      <c r="F63" s="307">
        <f ca="1">IFERROR(__xludf.DUMMYFUNCTION("IMPORTRANGE(""https://docs.google.com/spreadsheets/d/1SX6NBoVAgQJ6U1MVXOaj8PK2l7WJ3RER9xtqwdhxkhw/edit?usp=sharing"",""ปทุมธานี!M475"")"),0)</f>
        <v>0</v>
      </c>
      <c r="G63" s="307">
        <f t="shared" ca="1" si="1"/>
        <v>0</v>
      </c>
      <c r="H63" s="306">
        <f ca="1">IFERROR(__xludf.DUMMYFUNCTION("IMPORTRANGE(""https://docs.google.com/spreadsheets/d/1C3CXT74ZlgGe6_JY_1olB1XN4rF0dxEuIIF-xsYjHgg/edit?usp=sharing"",""งบกองทุน!EM67"")"),0)</f>
        <v>0</v>
      </c>
      <c r="I63" s="306">
        <f t="shared" ca="1" si="50"/>
        <v>0</v>
      </c>
      <c r="J63" s="306">
        <f ca="1">IFERROR(__xludf.DUMMYFUNCTION("IMPORTRANGE(""https://docs.google.com/spreadsheets/d/1SX6NBoVAgQJ6U1MVXOaj8PK2l7WJ3RER9xtqwdhxkhw/edit?usp=sharing"",""ปทุมธานี!J484"")"),0)</f>
        <v>0</v>
      </c>
      <c r="K63" s="306">
        <f ca="1">IFERROR(__xludf.DUMMYFUNCTION("IMPORTRANGE(""https://docs.google.com/spreadsheets/d/1SX6NBoVAgQJ6U1MVXOaj8PK2l7WJ3RER9xtqwdhxkhw/edit?usp=sharing"",""ปทุมธานี!J485"")"),0)</f>
        <v>0</v>
      </c>
      <c r="L63" s="307">
        <f t="shared" ca="1" si="3"/>
        <v>0</v>
      </c>
      <c r="M63" s="306">
        <f ca="1">IFERROR(__xludf.DUMMYFUNCTION("IMPORTRANGE(""https://docs.google.com/spreadsheets/d/1SX6NBoVAgQJ6U1MVXOaj8PK2l7WJ3RER9xtqwdhxkhw/edit?usp=sharing"",""ปทุมธานี!J486"")"),0)</f>
        <v>0</v>
      </c>
      <c r="N63" s="306">
        <f ca="1">IFERROR(__xludf.DUMMYFUNCTION("IMPORTRANGE(""https://docs.google.com/spreadsheets/d/1SX6NBoVAgQJ6U1MVXOaj8PK2l7WJ3RER9xtqwdhxkhw/edit?usp=sharing"",""ปทุมธานี!J487"")"),0)</f>
        <v>0</v>
      </c>
      <c r="O63" s="307">
        <f t="shared" ca="1" si="5"/>
        <v>0</v>
      </c>
      <c r="P63" s="306">
        <f ca="1">IFERROR(__xludf.DUMMYFUNCTION("IMPORTRANGE(""https://docs.google.com/spreadsheets/d/1SX6NBoVAgQJ6U1MVXOaj8PK2l7WJ3RER9xtqwdhxkhw/edit?usp=sharing"",""ปทุมธานี!J488"")"),0)</f>
        <v>0</v>
      </c>
      <c r="Q63" s="307">
        <f ca="1">IFERROR(__xludf.DUMMYFUNCTION("IMPORTRANGE(""https://docs.google.com/spreadsheets/d/1SX6NBoVAgQJ6U1MVXOaj8PK2l7WJ3RER9xtqwdhxkhw/edit?usp=sharing"",""ปทุมธานี!J489"")"),0)</f>
        <v>0</v>
      </c>
      <c r="R63" s="307">
        <f t="shared" ca="1" si="7"/>
        <v>0</v>
      </c>
      <c r="S63" s="306">
        <f ca="1">IFERROR(__xludf.DUMMYFUNCTION("IMPORTRANGE(""https://docs.google.com/spreadsheets/d/1SX6NBoVAgQJ6U1MVXOaj8PK2l7WJ3RER9xtqwdhxkhw/edit?usp=sharing"",""ปทุมธานี!J490"")"),0)</f>
        <v>0</v>
      </c>
      <c r="T63" s="307">
        <f ca="1">IFERROR(__xludf.DUMMYFUNCTION("IMPORTRANGE(""https://docs.google.com/spreadsheets/d/1SX6NBoVAgQJ6U1MVXOaj8PK2l7WJ3RER9xtqwdhxkhw/edit?usp=sharing"",""ปทุมธานี!J491"")"),0)</f>
        <v>0</v>
      </c>
      <c r="U63" s="307">
        <f t="shared" ca="1" si="9"/>
        <v>0</v>
      </c>
    </row>
    <row r="64" spans="1:21" ht="21" customHeight="1">
      <c r="A64" s="303">
        <v>10</v>
      </c>
      <c r="B64" s="304" t="s">
        <v>88</v>
      </c>
      <c r="C64" s="305">
        <f t="shared" ca="1" si="49"/>
        <v>0</v>
      </c>
      <c r="D64" s="306">
        <f ca="1">IFERROR(__xludf.DUMMYFUNCTION("IMPORTRANGE(""https://docs.google.com/spreadsheets/d/1C3CXT74ZlgGe6_JY_1olB1XN4rF0dxEuIIF-xsYjHgg/edit?usp=sharing"",""งบกองทุน!EK68"")"),0)</f>
        <v>0</v>
      </c>
      <c r="E64" s="306">
        <f ca="1">IFERROR(__xludf.DUMMYFUNCTION("IMPORTRANGE(""https://docs.google.com/spreadsheets/d/1C3CXT74ZlgGe6_JY_1olB1XN4rF0dxEuIIF-xsYjHgg/edit?usp=sharing"",""งบกองทุน!EL68"")"),0)</f>
        <v>0</v>
      </c>
      <c r="F64" s="307">
        <f ca="1">IFERROR(__xludf.DUMMYFUNCTION("IMPORTRANGE(""https://docs.google.com/spreadsheets/d/1SX6NBoVAgQJ6U1MVXOaj8PK2l7WJ3RER9xtqwdhxkhw/edit?usp=sharing"",""ประจวบคีรีขันธ์!M475"")"),0)</f>
        <v>0</v>
      </c>
      <c r="G64" s="307">
        <f t="shared" ca="1" si="1"/>
        <v>0</v>
      </c>
      <c r="H64" s="306">
        <f ca="1">IFERROR(__xludf.DUMMYFUNCTION("IMPORTRANGE(""https://docs.google.com/spreadsheets/d/1C3CXT74ZlgGe6_JY_1olB1XN4rF0dxEuIIF-xsYjHgg/edit?usp=sharing"",""งบกองทุน!EM68"")"),0)</f>
        <v>0</v>
      </c>
      <c r="I64" s="306">
        <f t="shared" ca="1" si="50"/>
        <v>0</v>
      </c>
      <c r="J64" s="306">
        <f ca="1">IFERROR(__xludf.DUMMYFUNCTION("IMPORTRANGE(""https://docs.google.com/spreadsheets/d/1SX6NBoVAgQJ6U1MVXOaj8PK2l7WJ3RER9xtqwdhxkhw/edit?usp=sharing"",""ประจวบคีรีขันธ์!J484"")"),54)</f>
        <v>54</v>
      </c>
      <c r="K64" s="306">
        <f ca="1">IFERROR(__xludf.DUMMYFUNCTION("IMPORTRANGE(""https://docs.google.com/spreadsheets/d/1SX6NBoVAgQJ6U1MVXOaj8PK2l7WJ3RER9xtqwdhxkhw/edit?usp=sharing"",""ประจวบคีรีขันธ์!J485"")"),8.21)</f>
        <v>8.2100000000000009</v>
      </c>
      <c r="L64" s="307">
        <f t="shared" ca="1" si="3"/>
        <v>0</v>
      </c>
      <c r="M64" s="306">
        <f ca="1">IFERROR(__xludf.DUMMYFUNCTION("IMPORTRANGE(""https://docs.google.com/spreadsheets/d/1SX6NBoVAgQJ6U1MVXOaj8PK2l7WJ3RER9xtqwdhxkhw/edit?usp=sharing"",""ประจวบคีรีขันธ์!J486"")"),59)</f>
        <v>59</v>
      </c>
      <c r="N64" s="306">
        <f ca="1">IFERROR(__xludf.DUMMYFUNCTION("IMPORTRANGE(""https://docs.google.com/spreadsheets/d/1SX6NBoVAgQJ6U1MVXOaj8PK2l7WJ3RER9xtqwdhxkhw/edit?usp=sharing"",""ประจวบคีรีขันธ์!J487"")"),9.23)</f>
        <v>9.23</v>
      </c>
      <c r="O64" s="307">
        <f t="shared" ca="1" si="5"/>
        <v>0</v>
      </c>
      <c r="P64" s="306">
        <f ca="1">IFERROR(__xludf.DUMMYFUNCTION("IMPORTRANGE(""https://docs.google.com/spreadsheets/d/1SX6NBoVAgQJ6U1MVXOaj8PK2l7WJ3RER9xtqwdhxkhw/edit?usp=sharing"",""ประจวบคีรีขันธ์!J488"")"),0)</f>
        <v>0</v>
      </c>
      <c r="Q64" s="307">
        <f ca="1">IFERROR(__xludf.DUMMYFUNCTION("IMPORTRANGE(""https://docs.google.com/spreadsheets/d/1SX6NBoVAgQJ6U1MVXOaj8PK2l7WJ3RER9xtqwdhxkhw/edit?usp=sharing"",""ประจวบคีรีขันธ์!J489"")"),0)</f>
        <v>0</v>
      </c>
      <c r="R64" s="307">
        <f t="shared" ca="1" si="7"/>
        <v>0</v>
      </c>
      <c r="S64" s="306">
        <f ca="1">IFERROR(__xludf.DUMMYFUNCTION("IMPORTRANGE(""https://docs.google.com/spreadsheets/d/1SX6NBoVAgQJ6U1MVXOaj8PK2l7WJ3RER9xtqwdhxkhw/edit?usp=sharing"",""ประจวบคีรีขันธ์!J490"")"),4)</f>
        <v>4</v>
      </c>
      <c r="T64" s="307">
        <f ca="1">IFERROR(__xludf.DUMMYFUNCTION("IMPORTRANGE(""https://docs.google.com/spreadsheets/d/1SX6NBoVAgQJ6U1MVXOaj8PK2l7WJ3RER9xtqwdhxkhw/edit?usp=sharing"",""ประจวบคีรีขันธ์!J491"")"),0.65)</f>
        <v>0.65</v>
      </c>
      <c r="U64" s="307">
        <f t="shared" ca="1" si="9"/>
        <v>0</v>
      </c>
    </row>
    <row r="65" spans="1:21" ht="21" customHeight="1">
      <c r="A65" s="303">
        <v>11</v>
      </c>
      <c r="B65" s="304" t="s">
        <v>89</v>
      </c>
      <c r="C65" s="305">
        <f t="shared" ca="1" si="49"/>
        <v>106902</v>
      </c>
      <c r="D65" s="306">
        <f ca="1">IFERROR(__xludf.DUMMYFUNCTION("IMPORTRANGE(""https://docs.google.com/spreadsheets/d/1C3CXT74ZlgGe6_JY_1olB1XN4rF0dxEuIIF-xsYjHgg/edit?usp=sharing"",""งบกองทุน!EK69"")"),0)</f>
        <v>0</v>
      </c>
      <c r="E65" s="306">
        <f ca="1">IFERROR(__xludf.DUMMYFUNCTION("IMPORTRANGE(""https://docs.google.com/spreadsheets/d/1C3CXT74ZlgGe6_JY_1olB1XN4rF0dxEuIIF-xsYjHgg/edit?usp=sharing"",""งบกองทุน!EL69"")"),106902)</f>
        <v>106902</v>
      </c>
      <c r="F65" s="307">
        <f ca="1">IFERROR(__xludf.DUMMYFUNCTION("IMPORTRANGE(""https://docs.google.com/spreadsheets/d/1SX6NBoVAgQJ6U1MVXOaj8PK2l7WJ3RER9xtqwdhxkhw/edit?usp=sharing"",""ปราจีนบุรี!M475"")"),0)</f>
        <v>0</v>
      </c>
      <c r="G65" s="307">
        <f t="shared" ca="1" si="1"/>
        <v>0</v>
      </c>
      <c r="H65" s="306">
        <f ca="1">IFERROR(__xludf.DUMMYFUNCTION("IMPORTRANGE(""https://docs.google.com/spreadsheets/d/1C3CXT74ZlgGe6_JY_1olB1XN4rF0dxEuIIF-xsYjHgg/edit?usp=sharing"",""งบกองทุน!EM69"")"),2)</f>
        <v>2</v>
      </c>
      <c r="I65" s="306">
        <f t="shared" ca="1" si="50"/>
        <v>2</v>
      </c>
      <c r="J65" s="306">
        <f ca="1">IFERROR(__xludf.DUMMYFUNCTION("IMPORTRANGE(""https://docs.google.com/spreadsheets/d/1SX6NBoVAgQJ6U1MVXOaj8PK2l7WJ3RER9xtqwdhxkhw/edit?usp=sharing"",""ปราจีนบุรี!J484"")"),0)</f>
        <v>0</v>
      </c>
      <c r="K65" s="306">
        <f ca="1">IFERROR(__xludf.DUMMYFUNCTION("IMPORTRANGE(""https://docs.google.com/spreadsheets/d/1SX6NBoVAgQJ6U1MVXOaj8PK2l7WJ3RER9xtqwdhxkhw/edit?usp=sharing"",""ปราจีนบุรี!J485"")"),0)</f>
        <v>0</v>
      </c>
      <c r="L65" s="307">
        <f t="shared" ca="1" si="3"/>
        <v>0</v>
      </c>
      <c r="M65" s="306">
        <f ca="1">IFERROR(__xludf.DUMMYFUNCTION("IMPORTRANGE(""https://docs.google.com/spreadsheets/d/1SX6NBoVAgQJ6U1MVXOaj8PK2l7WJ3RER9xtqwdhxkhw/edit?usp=sharing"",""ปราจีนบุรี!J486"")"),1)</f>
        <v>1</v>
      </c>
      <c r="N65" s="306">
        <f ca="1">IFERROR(__xludf.DUMMYFUNCTION("IMPORTRANGE(""https://docs.google.com/spreadsheets/d/1SX6NBoVAgQJ6U1MVXOaj8PK2l7WJ3RER9xtqwdhxkhw/edit?usp=sharing"",""ปราจีนบุรี!J487"")"),7)</f>
        <v>7</v>
      </c>
      <c r="O65" s="307">
        <f t="shared" ca="1" si="5"/>
        <v>50</v>
      </c>
      <c r="P65" s="306">
        <f ca="1">IFERROR(__xludf.DUMMYFUNCTION("IMPORTRANGE(""https://docs.google.com/spreadsheets/d/1SX6NBoVAgQJ6U1MVXOaj8PK2l7WJ3RER9xtqwdhxkhw/edit?usp=sharing"",""ปราจีนบุรี!J488"")"),0)</f>
        <v>0</v>
      </c>
      <c r="Q65" s="307">
        <f ca="1">IFERROR(__xludf.DUMMYFUNCTION("IMPORTRANGE(""https://docs.google.com/spreadsheets/d/1SX6NBoVAgQJ6U1MVXOaj8PK2l7WJ3RER9xtqwdhxkhw/edit?usp=sharing"",""ปราจีนบุรี!J489"")"),0)</f>
        <v>0</v>
      </c>
      <c r="R65" s="307">
        <f t="shared" ca="1" si="7"/>
        <v>0</v>
      </c>
      <c r="S65" s="306">
        <f ca="1">IFERROR(__xludf.DUMMYFUNCTION("IMPORTRANGE(""https://docs.google.com/spreadsheets/d/1SX6NBoVAgQJ6U1MVXOaj8PK2l7WJ3RER9xtqwdhxkhw/edit?usp=sharing"",""ปราจีนบุรี!J490"")"),3)</f>
        <v>3</v>
      </c>
      <c r="T65" s="307">
        <f ca="1">IFERROR(__xludf.DUMMYFUNCTION("IMPORTRANGE(""https://docs.google.com/spreadsheets/d/1SX6NBoVAgQJ6U1MVXOaj8PK2l7WJ3RER9xtqwdhxkhw/edit?usp=sharing"",""ปราจีนบุรี!J491"")"),8.68)</f>
        <v>8.68</v>
      </c>
      <c r="U65" s="307">
        <f t="shared" ca="1" si="9"/>
        <v>150</v>
      </c>
    </row>
    <row r="66" spans="1:21" ht="21" customHeight="1">
      <c r="A66" s="303">
        <v>12</v>
      </c>
      <c r="B66" s="304" t="s">
        <v>90</v>
      </c>
      <c r="C66" s="305">
        <f t="shared" ca="1" si="49"/>
        <v>0</v>
      </c>
      <c r="D66" s="306">
        <f ca="1">IFERROR(__xludf.DUMMYFUNCTION("IMPORTRANGE(""https://docs.google.com/spreadsheets/d/1C3CXT74ZlgGe6_JY_1olB1XN4rF0dxEuIIF-xsYjHgg/edit?usp=sharing"",""งบกองทุน!EK70"")"),0)</f>
        <v>0</v>
      </c>
      <c r="E66" s="306">
        <f ca="1">IFERROR(__xludf.DUMMYFUNCTION("IMPORTRANGE(""https://docs.google.com/spreadsheets/d/1C3CXT74ZlgGe6_JY_1olB1XN4rF0dxEuIIF-xsYjHgg/edit?usp=sharing"",""งบกองทุน!EL70"")"),0)</f>
        <v>0</v>
      </c>
      <c r="F66" s="307">
        <f ca="1">IFERROR(__xludf.DUMMYFUNCTION("IMPORTRANGE(""https://docs.google.com/spreadsheets/d/1SX6NBoVAgQJ6U1MVXOaj8PK2l7WJ3RER9xtqwdhxkhw/edit?usp=sharing"",""พระนครศรีอยุธยา!M475"")"),0)</f>
        <v>0</v>
      </c>
      <c r="G66" s="307">
        <f t="shared" ca="1" si="1"/>
        <v>0</v>
      </c>
      <c r="H66" s="306">
        <f ca="1">IFERROR(__xludf.DUMMYFUNCTION("IMPORTRANGE(""https://docs.google.com/spreadsheets/d/1C3CXT74ZlgGe6_JY_1olB1XN4rF0dxEuIIF-xsYjHgg/edit?usp=sharing"",""งบกองทุน!EM70"")"),0)</f>
        <v>0</v>
      </c>
      <c r="I66" s="306">
        <f t="shared" ca="1" si="50"/>
        <v>0</v>
      </c>
      <c r="J66" s="306">
        <f ca="1">IFERROR(__xludf.DUMMYFUNCTION("IMPORTRANGE(""https://docs.google.com/spreadsheets/d/1SX6NBoVAgQJ6U1MVXOaj8PK2l7WJ3RER9xtqwdhxkhw/edit?usp=sharing"",""พระนครศรีอยุธยา!J484"")"),0)</f>
        <v>0</v>
      </c>
      <c r="K66" s="306">
        <f ca="1">IFERROR(__xludf.DUMMYFUNCTION("IMPORTRANGE(""https://docs.google.com/spreadsheets/d/1SX6NBoVAgQJ6U1MVXOaj8PK2l7WJ3RER9xtqwdhxkhw/edit?usp=sharing"",""พระนครศรีอยุธยา!J485"")"),0)</f>
        <v>0</v>
      </c>
      <c r="L66" s="307">
        <f t="shared" ca="1" si="3"/>
        <v>0</v>
      </c>
      <c r="M66" s="306">
        <f ca="1">IFERROR(__xludf.DUMMYFUNCTION("IMPORTRANGE(""https://docs.google.com/spreadsheets/d/1SX6NBoVAgQJ6U1MVXOaj8PK2l7WJ3RER9xtqwdhxkhw/edit?usp=sharing"",""พระนครศรีอยุธยา!J486"")"),0)</f>
        <v>0</v>
      </c>
      <c r="N66" s="306">
        <f ca="1">IFERROR(__xludf.DUMMYFUNCTION("IMPORTRANGE(""https://docs.google.com/spreadsheets/d/1SX6NBoVAgQJ6U1MVXOaj8PK2l7WJ3RER9xtqwdhxkhw/edit?usp=sharing"",""พระนครศรีอยุธยา!J487"")"),0)</f>
        <v>0</v>
      </c>
      <c r="O66" s="307">
        <f t="shared" ca="1" si="5"/>
        <v>0</v>
      </c>
      <c r="P66" s="306">
        <f ca="1">IFERROR(__xludf.DUMMYFUNCTION("IMPORTRANGE(""https://docs.google.com/spreadsheets/d/1SX6NBoVAgQJ6U1MVXOaj8PK2l7WJ3RER9xtqwdhxkhw/edit?usp=sharing"",""พระนครศรีอยุธยา!J488"")"),0)</f>
        <v>0</v>
      </c>
      <c r="Q66" s="307">
        <f ca="1">IFERROR(__xludf.DUMMYFUNCTION("IMPORTRANGE(""https://docs.google.com/spreadsheets/d/1SX6NBoVAgQJ6U1MVXOaj8PK2l7WJ3RER9xtqwdhxkhw/edit?usp=sharing"",""พระนครศรีอยุธยา!J489"")"),0)</f>
        <v>0</v>
      </c>
      <c r="R66" s="307">
        <f t="shared" ca="1" si="7"/>
        <v>0</v>
      </c>
      <c r="S66" s="306">
        <f ca="1">IFERROR(__xludf.DUMMYFUNCTION("IMPORTRANGE(""https://docs.google.com/spreadsheets/d/1SX6NBoVAgQJ6U1MVXOaj8PK2l7WJ3RER9xtqwdhxkhw/edit?usp=sharing"",""พระนครศรีอยุธยา!J490"")"),0)</f>
        <v>0</v>
      </c>
      <c r="T66" s="307">
        <f ca="1">IFERROR(__xludf.DUMMYFUNCTION("IMPORTRANGE(""https://docs.google.com/spreadsheets/d/1SX6NBoVAgQJ6U1MVXOaj8PK2l7WJ3RER9xtqwdhxkhw/edit?usp=sharing"",""พระนครศรีอยุธยา!J491"")"),0)</f>
        <v>0</v>
      </c>
      <c r="U66" s="307">
        <f t="shared" ca="1" si="9"/>
        <v>0</v>
      </c>
    </row>
    <row r="67" spans="1:21" ht="21" customHeight="1">
      <c r="A67" s="303">
        <v>13</v>
      </c>
      <c r="B67" s="304" t="s">
        <v>91</v>
      </c>
      <c r="C67" s="305">
        <f t="shared" ca="1" si="49"/>
        <v>0</v>
      </c>
      <c r="D67" s="306">
        <f ca="1">IFERROR(__xludf.DUMMYFUNCTION("IMPORTRANGE(""https://docs.google.com/spreadsheets/d/1C3CXT74ZlgGe6_JY_1olB1XN4rF0dxEuIIF-xsYjHgg/edit?usp=sharing"",""งบกองทุน!EK71"")"),0)</f>
        <v>0</v>
      </c>
      <c r="E67" s="306">
        <f ca="1">IFERROR(__xludf.DUMMYFUNCTION("IMPORTRANGE(""https://docs.google.com/spreadsheets/d/1C3CXT74ZlgGe6_JY_1olB1XN4rF0dxEuIIF-xsYjHgg/edit?usp=sharing"",""งบกองทุน!EL71"")"),0)</f>
        <v>0</v>
      </c>
      <c r="F67" s="307">
        <f ca="1">IFERROR(__xludf.DUMMYFUNCTION("IMPORTRANGE(""https://docs.google.com/spreadsheets/d/1SX6NBoVAgQJ6U1MVXOaj8PK2l7WJ3RER9xtqwdhxkhw/edit?usp=sharing"",""เพชรบุรี!M475"")"),0)</f>
        <v>0</v>
      </c>
      <c r="G67" s="307">
        <f t="shared" ca="1" si="1"/>
        <v>0</v>
      </c>
      <c r="H67" s="306">
        <f ca="1">IFERROR(__xludf.DUMMYFUNCTION("IMPORTRANGE(""https://docs.google.com/spreadsheets/d/1C3CXT74ZlgGe6_JY_1olB1XN4rF0dxEuIIF-xsYjHgg/edit?usp=sharing"",""งบกองทุน!EM71"")"),0)</f>
        <v>0</v>
      </c>
      <c r="I67" s="306">
        <f t="shared" ca="1" si="50"/>
        <v>0</v>
      </c>
      <c r="J67" s="306">
        <f ca="1">IFERROR(__xludf.DUMMYFUNCTION("IMPORTRANGE(""https://docs.google.com/spreadsheets/d/1SX6NBoVAgQJ6U1MVXOaj8PK2l7WJ3RER9xtqwdhxkhw/edit?usp=sharing"",""เพชรบุรี!J484"")"),0)</f>
        <v>0</v>
      </c>
      <c r="K67" s="306">
        <f ca="1">IFERROR(__xludf.DUMMYFUNCTION("IMPORTRANGE(""https://docs.google.com/spreadsheets/d/1SX6NBoVAgQJ6U1MVXOaj8PK2l7WJ3RER9xtqwdhxkhw/edit?usp=sharing"",""เพชรบุรี!J485"")"),0)</f>
        <v>0</v>
      </c>
      <c r="L67" s="307">
        <f t="shared" ca="1" si="3"/>
        <v>0</v>
      </c>
      <c r="M67" s="306">
        <f ca="1">IFERROR(__xludf.DUMMYFUNCTION("IMPORTRANGE(""https://docs.google.com/spreadsheets/d/1SX6NBoVAgQJ6U1MVXOaj8PK2l7WJ3RER9xtqwdhxkhw/edit?usp=sharing"",""เพชรบุรี!J486"")"),0)</f>
        <v>0</v>
      </c>
      <c r="N67" s="306">
        <f ca="1">IFERROR(__xludf.DUMMYFUNCTION("IMPORTRANGE(""https://docs.google.com/spreadsheets/d/1SX6NBoVAgQJ6U1MVXOaj8PK2l7WJ3RER9xtqwdhxkhw/edit?usp=sharing"",""เพชรบุรี!J487"")"),0)</f>
        <v>0</v>
      </c>
      <c r="O67" s="307">
        <f t="shared" ca="1" si="5"/>
        <v>0</v>
      </c>
      <c r="P67" s="306">
        <f ca="1">IFERROR(__xludf.DUMMYFUNCTION("IMPORTRANGE(""https://docs.google.com/spreadsheets/d/1SX6NBoVAgQJ6U1MVXOaj8PK2l7WJ3RER9xtqwdhxkhw/edit?usp=sharing"",""เพชรบุรี!J488"")"),0)</f>
        <v>0</v>
      </c>
      <c r="Q67" s="307">
        <f ca="1">IFERROR(__xludf.DUMMYFUNCTION("IMPORTRANGE(""https://docs.google.com/spreadsheets/d/1SX6NBoVAgQJ6U1MVXOaj8PK2l7WJ3RER9xtqwdhxkhw/edit?usp=sharing"",""เพชรบุรี!J489"")"),0)</f>
        <v>0</v>
      </c>
      <c r="R67" s="307">
        <f t="shared" ca="1" si="7"/>
        <v>0</v>
      </c>
      <c r="S67" s="306">
        <f ca="1">IFERROR(__xludf.DUMMYFUNCTION("IMPORTRANGE(""https://docs.google.com/spreadsheets/d/1SX6NBoVAgQJ6U1MVXOaj8PK2l7WJ3RER9xtqwdhxkhw/edit?usp=sharing"",""เพชรบุรี!J490"")"),0)</f>
        <v>0</v>
      </c>
      <c r="T67" s="307">
        <f ca="1">IFERROR(__xludf.DUMMYFUNCTION("IMPORTRANGE(""https://docs.google.com/spreadsheets/d/1SX6NBoVAgQJ6U1MVXOaj8PK2l7WJ3RER9xtqwdhxkhw/edit?usp=sharing"",""เพชรบุรี!J491"")"),0)</f>
        <v>0</v>
      </c>
      <c r="U67" s="307">
        <f t="shared" ca="1" si="9"/>
        <v>0</v>
      </c>
    </row>
    <row r="68" spans="1:21" ht="21" customHeight="1">
      <c r="A68" s="303">
        <v>14</v>
      </c>
      <c r="B68" s="304" t="s">
        <v>92</v>
      </c>
      <c r="C68" s="305">
        <f t="shared" ca="1" si="49"/>
        <v>92960</v>
      </c>
      <c r="D68" s="306">
        <f ca="1">IFERROR(__xludf.DUMMYFUNCTION("IMPORTRANGE(""https://docs.google.com/spreadsheets/d/1C3CXT74ZlgGe6_JY_1olB1XN4rF0dxEuIIF-xsYjHgg/edit?usp=sharing"",""งบกองทุน!EK72"")"),0)</f>
        <v>0</v>
      </c>
      <c r="E68" s="306">
        <f ca="1">IFERROR(__xludf.DUMMYFUNCTION("IMPORTRANGE(""https://docs.google.com/spreadsheets/d/1C3CXT74ZlgGe6_JY_1olB1XN4rF0dxEuIIF-xsYjHgg/edit?usp=sharing"",""งบกองทุน!EL72"")"),92960)</f>
        <v>92960</v>
      </c>
      <c r="F68" s="307">
        <f ca="1">IFERROR(__xludf.DUMMYFUNCTION("IMPORTRANGE(""https://docs.google.com/spreadsheets/d/1SX6NBoVAgQJ6U1MVXOaj8PK2l7WJ3RER9xtqwdhxkhw/edit?usp=sharing"",""ระยอง!M475"")"),0)</f>
        <v>0</v>
      </c>
      <c r="G68" s="307">
        <f t="shared" ca="1" si="1"/>
        <v>0</v>
      </c>
      <c r="H68" s="306">
        <f ca="1">IFERROR(__xludf.DUMMYFUNCTION("IMPORTRANGE(""https://docs.google.com/spreadsheets/d/1C3CXT74ZlgGe6_JY_1olB1XN4rF0dxEuIIF-xsYjHgg/edit?usp=sharing"",""งบกองทุน!EM72"")"),0)</f>
        <v>0</v>
      </c>
      <c r="I68" s="306">
        <f t="shared" ca="1" si="50"/>
        <v>0</v>
      </c>
      <c r="J68" s="306">
        <f ca="1">IFERROR(__xludf.DUMMYFUNCTION("IMPORTRANGE(""https://docs.google.com/spreadsheets/d/1SX6NBoVAgQJ6U1MVXOaj8PK2l7WJ3RER9xtqwdhxkhw/edit?usp=sharing"",""ระยอง!J484"")"),1)</f>
        <v>1</v>
      </c>
      <c r="K68" s="306">
        <f ca="1">IFERROR(__xludf.DUMMYFUNCTION("IMPORTRANGE(""https://docs.google.com/spreadsheets/d/1SX6NBoVAgQJ6U1MVXOaj8PK2l7WJ3RER9xtqwdhxkhw/edit?usp=sharing"",""ระยอง!J485"")"),1.36)</f>
        <v>1.36</v>
      </c>
      <c r="L68" s="307">
        <f t="shared" ca="1" si="3"/>
        <v>0</v>
      </c>
      <c r="M68" s="306">
        <f ca="1">IFERROR(__xludf.DUMMYFUNCTION("IMPORTRANGE(""https://docs.google.com/spreadsheets/d/1SX6NBoVAgQJ6U1MVXOaj8PK2l7WJ3RER9xtqwdhxkhw/edit?usp=sharing"",""ระยอง!J486"")"),0)</f>
        <v>0</v>
      </c>
      <c r="N68" s="306">
        <f ca="1">IFERROR(__xludf.DUMMYFUNCTION("IMPORTRANGE(""https://docs.google.com/spreadsheets/d/1SX6NBoVAgQJ6U1MVXOaj8PK2l7WJ3RER9xtqwdhxkhw/edit?usp=sharing"",""ระยอง!J487"")"),0)</f>
        <v>0</v>
      </c>
      <c r="O68" s="307">
        <f t="shared" ca="1" si="5"/>
        <v>0</v>
      </c>
      <c r="P68" s="306">
        <f ca="1">IFERROR(__xludf.DUMMYFUNCTION("IMPORTRANGE(""https://docs.google.com/spreadsheets/d/1SX6NBoVAgQJ6U1MVXOaj8PK2l7WJ3RER9xtqwdhxkhw/edit?usp=sharing"",""ระยอง!J488"")"),0)</f>
        <v>0</v>
      </c>
      <c r="Q68" s="307">
        <f ca="1">IFERROR(__xludf.DUMMYFUNCTION("IMPORTRANGE(""https://docs.google.com/spreadsheets/d/1SX6NBoVAgQJ6U1MVXOaj8PK2l7WJ3RER9xtqwdhxkhw/edit?usp=sharing"",""ระยอง!J489"")"),0)</f>
        <v>0</v>
      </c>
      <c r="R68" s="307">
        <f t="shared" ca="1" si="7"/>
        <v>0</v>
      </c>
      <c r="S68" s="306">
        <f ca="1">IFERROR(__xludf.DUMMYFUNCTION("IMPORTRANGE(""https://docs.google.com/spreadsheets/d/1SX6NBoVAgQJ6U1MVXOaj8PK2l7WJ3RER9xtqwdhxkhw/edit?usp=sharing"",""ระยอง!J490"")"),0)</f>
        <v>0</v>
      </c>
      <c r="T68" s="307">
        <f ca="1">IFERROR(__xludf.DUMMYFUNCTION("IMPORTRANGE(""https://docs.google.com/spreadsheets/d/1SX6NBoVAgQJ6U1MVXOaj8PK2l7WJ3RER9xtqwdhxkhw/edit?usp=sharing"",""ระยอง!J491"")"),0)</f>
        <v>0</v>
      </c>
      <c r="U68" s="307">
        <f t="shared" ca="1" si="9"/>
        <v>0</v>
      </c>
    </row>
    <row r="69" spans="1:21" ht="21" customHeight="1">
      <c r="A69" s="303">
        <v>15</v>
      </c>
      <c r="B69" s="304" t="s">
        <v>93</v>
      </c>
      <c r="C69" s="305">
        <f t="shared" ca="1" si="49"/>
        <v>0</v>
      </c>
      <c r="D69" s="306">
        <f ca="1">IFERROR(__xludf.DUMMYFUNCTION("IMPORTRANGE(""https://docs.google.com/spreadsheets/d/1C3CXT74ZlgGe6_JY_1olB1XN4rF0dxEuIIF-xsYjHgg/edit?usp=sharing"",""งบกองทุน!EK73"")"),0)</f>
        <v>0</v>
      </c>
      <c r="E69" s="306">
        <f ca="1">IFERROR(__xludf.DUMMYFUNCTION("IMPORTRANGE(""https://docs.google.com/spreadsheets/d/1C3CXT74ZlgGe6_JY_1olB1XN4rF0dxEuIIF-xsYjHgg/edit?usp=sharing"",""งบกองทุน!EL73"")"),0)</f>
        <v>0</v>
      </c>
      <c r="F69" s="307">
        <f ca="1">IFERROR(__xludf.DUMMYFUNCTION("IMPORTRANGE(""https://docs.google.com/spreadsheets/d/1SX6NBoVAgQJ6U1MVXOaj8PK2l7WJ3RER9xtqwdhxkhw/edit?usp=sharing"",""ราชบุรี!M475"")"),0)</f>
        <v>0</v>
      </c>
      <c r="G69" s="307">
        <f t="shared" ca="1" si="1"/>
        <v>0</v>
      </c>
      <c r="H69" s="306">
        <f ca="1">IFERROR(__xludf.DUMMYFUNCTION("IMPORTRANGE(""https://docs.google.com/spreadsheets/d/1C3CXT74ZlgGe6_JY_1olB1XN4rF0dxEuIIF-xsYjHgg/edit?usp=sharing"",""งบกองทุน!EM73"")"),0)</f>
        <v>0</v>
      </c>
      <c r="I69" s="306">
        <f t="shared" ca="1" si="50"/>
        <v>0</v>
      </c>
      <c r="J69" s="306">
        <f ca="1">IFERROR(__xludf.DUMMYFUNCTION("IMPORTRANGE(""https://docs.google.com/spreadsheets/d/1SX6NBoVAgQJ6U1MVXOaj8PK2l7WJ3RER9xtqwdhxkhw/edit?usp=sharing"",""ราชบุรี!J484"")"),0)</f>
        <v>0</v>
      </c>
      <c r="K69" s="306">
        <f ca="1">IFERROR(__xludf.DUMMYFUNCTION("IMPORTRANGE(""https://docs.google.com/spreadsheets/d/1SX6NBoVAgQJ6U1MVXOaj8PK2l7WJ3RER9xtqwdhxkhw/edit?usp=sharing"",""ราชบุรี!J485"")"),0)</f>
        <v>0</v>
      </c>
      <c r="L69" s="307">
        <f t="shared" ca="1" si="3"/>
        <v>0</v>
      </c>
      <c r="M69" s="306">
        <f ca="1">IFERROR(__xludf.DUMMYFUNCTION("IMPORTRANGE(""https://docs.google.com/spreadsheets/d/1SX6NBoVAgQJ6U1MVXOaj8PK2l7WJ3RER9xtqwdhxkhw/edit?usp=sharing"",""ราชบุรี!J486"")"),0)</f>
        <v>0</v>
      </c>
      <c r="N69" s="306">
        <f ca="1">IFERROR(__xludf.DUMMYFUNCTION("IMPORTRANGE(""https://docs.google.com/spreadsheets/d/1SX6NBoVAgQJ6U1MVXOaj8PK2l7WJ3RER9xtqwdhxkhw/edit?usp=sharing"",""ราชบุรี!J487"")"),0)</f>
        <v>0</v>
      </c>
      <c r="O69" s="307">
        <f t="shared" ca="1" si="5"/>
        <v>0</v>
      </c>
      <c r="P69" s="306">
        <f ca="1">IFERROR(__xludf.DUMMYFUNCTION("IMPORTRANGE(""https://docs.google.com/spreadsheets/d/1SX6NBoVAgQJ6U1MVXOaj8PK2l7WJ3RER9xtqwdhxkhw/edit?usp=sharing"",""ราชบุรี!J488"")"),0)</f>
        <v>0</v>
      </c>
      <c r="Q69" s="307">
        <f ca="1">IFERROR(__xludf.DUMMYFUNCTION("IMPORTRANGE(""https://docs.google.com/spreadsheets/d/1SX6NBoVAgQJ6U1MVXOaj8PK2l7WJ3RER9xtqwdhxkhw/edit?usp=sharing"",""ราชบุรี!J489"")"),0)</f>
        <v>0</v>
      </c>
      <c r="R69" s="307">
        <f t="shared" ca="1" si="7"/>
        <v>0</v>
      </c>
      <c r="S69" s="306">
        <f ca="1">IFERROR(__xludf.DUMMYFUNCTION("IMPORTRANGE(""https://docs.google.com/spreadsheets/d/1SX6NBoVAgQJ6U1MVXOaj8PK2l7WJ3RER9xtqwdhxkhw/edit?usp=sharing"",""ราชบุรี!J490"")"),0)</f>
        <v>0</v>
      </c>
      <c r="T69" s="307">
        <f ca="1">IFERROR(__xludf.DUMMYFUNCTION("IMPORTRANGE(""https://docs.google.com/spreadsheets/d/1SX6NBoVAgQJ6U1MVXOaj8PK2l7WJ3RER9xtqwdhxkhw/edit?usp=sharing"",""ราชบุรี!J491"")"),0)</f>
        <v>0</v>
      </c>
      <c r="U69" s="307">
        <f t="shared" ca="1" si="9"/>
        <v>0</v>
      </c>
    </row>
    <row r="70" spans="1:21" ht="24" customHeight="1">
      <c r="A70" s="303">
        <v>16</v>
      </c>
      <c r="B70" s="304" t="s">
        <v>94</v>
      </c>
      <c r="C70" s="305">
        <f t="shared" ca="1" si="49"/>
        <v>0</v>
      </c>
      <c r="D70" s="306">
        <f ca="1">IFERROR(__xludf.DUMMYFUNCTION("IMPORTRANGE(""https://docs.google.com/spreadsheets/d/1C3CXT74ZlgGe6_JY_1olB1XN4rF0dxEuIIF-xsYjHgg/edit?usp=sharing"",""งบกองทุน!EK74"")"),0)</f>
        <v>0</v>
      </c>
      <c r="E70" s="306">
        <f ca="1">IFERROR(__xludf.DUMMYFUNCTION("IMPORTRANGE(""https://docs.google.com/spreadsheets/d/1C3CXT74ZlgGe6_JY_1olB1XN4rF0dxEuIIF-xsYjHgg/edit?usp=sharing"",""งบกองทุน!EL74"")"),0)</f>
        <v>0</v>
      </c>
      <c r="F70" s="307">
        <f ca="1">IFERROR(__xludf.DUMMYFUNCTION("IMPORTRANGE(""https://docs.google.com/spreadsheets/d/1SX6NBoVAgQJ6U1MVXOaj8PK2l7WJ3RER9xtqwdhxkhw/edit?usp=sharing"",""ลพบุรี!M475"")"),0)</f>
        <v>0</v>
      </c>
      <c r="G70" s="307">
        <f t="shared" ca="1" si="1"/>
        <v>0</v>
      </c>
      <c r="H70" s="306">
        <f ca="1">IFERROR(__xludf.DUMMYFUNCTION("IMPORTRANGE(""https://docs.google.com/spreadsheets/d/1C3CXT74ZlgGe6_JY_1olB1XN4rF0dxEuIIF-xsYjHgg/edit?usp=sharing"",""งบกองทุน!EM74"")"),0)</f>
        <v>0</v>
      </c>
      <c r="I70" s="306">
        <f t="shared" ca="1" si="50"/>
        <v>0</v>
      </c>
      <c r="J70" s="306">
        <f ca="1">IFERROR(__xludf.DUMMYFUNCTION("IMPORTRANGE(""https://docs.google.com/spreadsheets/d/1SX6NBoVAgQJ6U1MVXOaj8PK2l7WJ3RER9xtqwdhxkhw/edit?usp=sharing"",""ลพบุรี!J484"")"),2)</f>
        <v>2</v>
      </c>
      <c r="K70" s="306">
        <f ca="1">IFERROR(__xludf.DUMMYFUNCTION("IMPORTRANGE(""https://docs.google.com/spreadsheets/d/1SX6NBoVAgQJ6U1MVXOaj8PK2l7WJ3RER9xtqwdhxkhw/edit?usp=sharing"",""ลพบุรี!J485"")"),2.04)</f>
        <v>2.04</v>
      </c>
      <c r="L70" s="307">
        <f t="shared" ca="1" si="3"/>
        <v>0</v>
      </c>
      <c r="M70" s="306">
        <f ca="1">IFERROR(__xludf.DUMMYFUNCTION("IMPORTRANGE(""https://docs.google.com/spreadsheets/d/1SX6NBoVAgQJ6U1MVXOaj8PK2l7WJ3RER9xtqwdhxkhw/edit?usp=sharing"",""ลพบุรี!J486"")"),6)</f>
        <v>6</v>
      </c>
      <c r="N70" s="306">
        <f ca="1">IFERROR(__xludf.DUMMYFUNCTION("IMPORTRANGE(""https://docs.google.com/spreadsheets/d/1SX6NBoVAgQJ6U1MVXOaj8PK2l7WJ3RER9xtqwdhxkhw/edit?usp=sharing"",""ลพบุรี!J487"")"),2.7)</f>
        <v>2.7</v>
      </c>
      <c r="O70" s="307">
        <f t="shared" ca="1" si="5"/>
        <v>0</v>
      </c>
      <c r="P70" s="306">
        <f ca="1">IFERROR(__xludf.DUMMYFUNCTION("IMPORTRANGE(""https://docs.google.com/spreadsheets/d/1SX6NBoVAgQJ6U1MVXOaj8PK2l7WJ3RER9xtqwdhxkhw/edit?usp=sharing"",""ลพบุรี!J488"")"),1)</f>
        <v>1</v>
      </c>
      <c r="Q70" s="307">
        <f ca="1">IFERROR(__xludf.DUMMYFUNCTION("IMPORTRANGE(""https://docs.google.com/spreadsheets/d/1SX6NBoVAgQJ6U1MVXOaj8PK2l7WJ3RER9xtqwdhxkhw/edit?usp=sharing"",""ลพบุรี!J489"")"),0.59)</f>
        <v>0.59</v>
      </c>
      <c r="R70" s="307">
        <f t="shared" ca="1" si="7"/>
        <v>0</v>
      </c>
      <c r="S70" s="306">
        <f ca="1">IFERROR(__xludf.DUMMYFUNCTION("IMPORTRANGE(""https://docs.google.com/spreadsheets/d/1SX6NBoVAgQJ6U1MVXOaj8PK2l7WJ3RER9xtqwdhxkhw/edit?usp=sharing"",""ลพบุรี!J490"")"),3)</f>
        <v>3</v>
      </c>
      <c r="T70" s="307">
        <f ca="1">IFERROR(__xludf.DUMMYFUNCTION("IMPORTRANGE(""https://docs.google.com/spreadsheets/d/1SX6NBoVAgQJ6U1MVXOaj8PK2l7WJ3RER9xtqwdhxkhw/edit?usp=sharing"",""ลพบุรี!J491"")"),1.51)</f>
        <v>1.51</v>
      </c>
      <c r="U70" s="307">
        <f t="shared" ca="1" si="9"/>
        <v>0</v>
      </c>
    </row>
    <row r="71" spans="1:21" ht="21" customHeight="1">
      <c r="A71" s="303">
        <v>17</v>
      </c>
      <c r="B71" s="304" t="s">
        <v>95</v>
      </c>
      <c r="C71" s="305">
        <f t="shared" ca="1" si="49"/>
        <v>370563</v>
      </c>
      <c r="D71" s="306">
        <f ca="1">IFERROR(__xludf.DUMMYFUNCTION("IMPORTRANGE(""https://docs.google.com/spreadsheets/d/1C3CXT74ZlgGe6_JY_1olB1XN4rF0dxEuIIF-xsYjHgg/edit?usp=sharing"",""งบกองทุน!EK75"")"),0)</f>
        <v>0</v>
      </c>
      <c r="E71" s="306">
        <f ca="1">IFERROR(__xludf.DUMMYFUNCTION("IMPORTRANGE(""https://docs.google.com/spreadsheets/d/1C3CXT74ZlgGe6_JY_1olB1XN4rF0dxEuIIF-xsYjHgg/edit?usp=sharing"",""งบกองทุน!EL75"")"),370563)</f>
        <v>370563</v>
      </c>
      <c r="F71" s="307">
        <f ca="1">IFERROR(__xludf.DUMMYFUNCTION("IMPORTRANGE(""https://docs.google.com/spreadsheets/d/1SX6NBoVAgQJ6U1MVXOaj8PK2l7WJ3RER9xtqwdhxkhw/edit?usp=sharing"",""สระแก้ว!M475"")"),69330.91)</f>
        <v>69330.91</v>
      </c>
      <c r="G71" s="307">
        <f t="shared" ca="1" si="1"/>
        <v>18.709614829327268</v>
      </c>
      <c r="H71" s="306">
        <f ca="1">IFERROR(__xludf.DUMMYFUNCTION("IMPORTRANGE(""https://docs.google.com/spreadsheets/d/1C3CXT74ZlgGe6_JY_1olB1XN4rF0dxEuIIF-xsYjHgg/edit?usp=sharing"",""งบกองทุน!EM75"")"),213)</f>
        <v>213</v>
      </c>
      <c r="I71" s="306">
        <f t="shared" ca="1" si="50"/>
        <v>213</v>
      </c>
      <c r="J71" s="306">
        <f ca="1">IFERROR(__xludf.DUMMYFUNCTION("IMPORTRANGE(""https://docs.google.com/spreadsheets/d/1SX6NBoVAgQJ6U1MVXOaj8PK2l7WJ3RER9xtqwdhxkhw/edit?usp=sharing"",""สระแก้ว!J484"")"),0)</f>
        <v>0</v>
      </c>
      <c r="K71" s="306">
        <f ca="1">IFERROR(__xludf.DUMMYFUNCTION("IMPORTRANGE(""https://docs.google.com/spreadsheets/d/1SX6NBoVAgQJ6U1MVXOaj8PK2l7WJ3RER9xtqwdhxkhw/edit?usp=sharing"",""สระแก้ว!J485"")"),0)</f>
        <v>0</v>
      </c>
      <c r="L71" s="307">
        <f t="shared" ca="1" si="3"/>
        <v>0</v>
      </c>
      <c r="M71" s="306">
        <f ca="1">IFERROR(__xludf.DUMMYFUNCTION("IMPORTRANGE(""https://docs.google.com/spreadsheets/d/1SX6NBoVAgQJ6U1MVXOaj8PK2l7WJ3RER9xtqwdhxkhw/edit?usp=sharing"",""สระแก้ว!J486"")"),0)</f>
        <v>0</v>
      </c>
      <c r="N71" s="306">
        <f ca="1">IFERROR(__xludf.DUMMYFUNCTION("IMPORTRANGE(""https://docs.google.com/spreadsheets/d/1SX6NBoVAgQJ6U1MVXOaj8PK2l7WJ3RER9xtqwdhxkhw/edit?usp=sharing"",""สระแก้ว!J487"")"),0)</f>
        <v>0</v>
      </c>
      <c r="O71" s="307">
        <f t="shared" ca="1" si="5"/>
        <v>0</v>
      </c>
      <c r="P71" s="306">
        <f ca="1">IFERROR(__xludf.DUMMYFUNCTION("IMPORTRANGE(""https://docs.google.com/spreadsheets/d/1SX6NBoVAgQJ6U1MVXOaj8PK2l7WJ3RER9xtqwdhxkhw/edit?usp=sharing"",""สระแก้ว!J488"")"),0)</f>
        <v>0</v>
      </c>
      <c r="Q71" s="307">
        <f ca="1">IFERROR(__xludf.DUMMYFUNCTION("IMPORTRANGE(""https://docs.google.com/spreadsheets/d/1SX6NBoVAgQJ6U1MVXOaj8PK2l7WJ3RER9xtqwdhxkhw/edit?usp=sharing"",""สระแก้ว!J489"")"),0)</f>
        <v>0</v>
      </c>
      <c r="R71" s="307">
        <f t="shared" ca="1" si="7"/>
        <v>0</v>
      </c>
      <c r="S71" s="306">
        <f ca="1">IFERROR(__xludf.DUMMYFUNCTION("IMPORTRANGE(""https://docs.google.com/spreadsheets/d/1SX6NBoVAgQJ6U1MVXOaj8PK2l7WJ3RER9xtqwdhxkhw/edit?usp=sharing"",""สระแก้ว!J490"")"),0)</f>
        <v>0</v>
      </c>
      <c r="T71" s="307">
        <f ca="1">IFERROR(__xludf.DUMMYFUNCTION("IMPORTRANGE(""https://docs.google.com/spreadsheets/d/1SX6NBoVAgQJ6U1MVXOaj8PK2l7WJ3RER9xtqwdhxkhw/edit?usp=sharing"",""สระแก้ว!J491"")"),0)</f>
        <v>0</v>
      </c>
      <c r="U71" s="307">
        <f t="shared" ca="1" si="9"/>
        <v>0</v>
      </c>
    </row>
    <row r="72" spans="1:21" ht="21" customHeight="1">
      <c r="A72" s="303">
        <v>18</v>
      </c>
      <c r="B72" s="304" t="s">
        <v>96</v>
      </c>
      <c r="C72" s="305">
        <f t="shared" ca="1" si="49"/>
        <v>377750</v>
      </c>
      <c r="D72" s="306">
        <f ca="1">IFERROR(__xludf.DUMMYFUNCTION("IMPORTRANGE(""https://docs.google.com/spreadsheets/d/1C3CXT74ZlgGe6_JY_1olB1XN4rF0dxEuIIF-xsYjHgg/edit?usp=sharing"",""งบกองทุน!EK76"")"),0)</f>
        <v>0</v>
      </c>
      <c r="E72" s="306">
        <f ca="1">IFERROR(__xludf.DUMMYFUNCTION("IMPORTRANGE(""https://docs.google.com/spreadsheets/d/1C3CXT74ZlgGe6_JY_1olB1XN4rF0dxEuIIF-xsYjHgg/edit?usp=sharing"",""งบกองทุน!EL76"")"),377750)</f>
        <v>377750</v>
      </c>
      <c r="F72" s="307">
        <f ca="1">IFERROR(__xludf.DUMMYFUNCTION("IMPORTRANGE(""https://docs.google.com/spreadsheets/d/1SX6NBoVAgQJ6U1MVXOaj8PK2l7WJ3RER9xtqwdhxkhw/edit?usp=sharing"",""สระบุรี!M475"")"),193394.68)</f>
        <v>193394.68</v>
      </c>
      <c r="G72" s="307">
        <f t="shared" ca="1" si="1"/>
        <v>51.196473858371938</v>
      </c>
      <c r="H72" s="306">
        <f ca="1">IFERROR(__xludf.DUMMYFUNCTION("IMPORTRANGE(""https://docs.google.com/spreadsheets/d/1C3CXT74ZlgGe6_JY_1olB1XN4rF0dxEuIIF-xsYjHgg/edit?usp=sharing"",""งบกองทุน!EM76"")"),500)</f>
        <v>500</v>
      </c>
      <c r="I72" s="306">
        <f t="shared" ca="1" si="50"/>
        <v>500</v>
      </c>
      <c r="J72" s="306">
        <f ca="1">IFERROR(__xludf.DUMMYFUNCTION("IMPORTRANGE(""https://docs.google.com/spreadsheets/d/1SX6NBoVAgQJ6U1MVXOaj8PK2l7WJ3RER9xtqwdhxkhw/edit?usp=sharing"",""สระบุรี!J484"")"),26)</f>
        <v>26</v>
      </c>
      <c r="K72" s="306">
        <f ca="1">IFERROR(__xludf.DUMMYFUNCTION("IMPORTRANGE(""https://docs.google.com/spreadsheets/d/1SX6NBoVAgQJ6U1MVXOaj8PK2l7WJ3RER9xtqwdhxkhw/edit?usp=sharing"",""สระบุรี!J485"")"),34.53)</f>
        <v>34.53</v>
      </c>
      <c r="L72" s="307">
        <f t="shared" ca="1" si="3"/>
        <v>5.2</v>
      </c>
      <c r="M72" s="306">
        <f ca="1">IFERROR(__xludf.DUMMYFUNCTION("IMPORTRANGE(""https://docs.google.com/spreadsheets/d/1SX6NBoVAgQJ6U1MVXOaj8PK2l7WJ3RER9xtqwdhxkhw/edit?usp=sharing"",""สระบุรี!J486"")"),0)</f>
        <v>0</v>
      </c>
      <c r="N72" s="306">
        <f ca="1">IFERROR(__xludf.DUMMYFUNCTION("IMPORTRANGE(""https://docs.google.com/spreadsheets/d/1SX6NBoVAgQJ6U1MVXOaj8PK2l7WJ3RER9xtqwdhxkhw/edit?usp=sharing"",""สระบุรี!J487"")"),0)</f>
        <v>0</v>
      </c>
      <c r="O72" s="307">
        <f t="shared" ca="1" si="5"/>
        <v>0</v>
      </c>
      <c r="P72" s="306">
        <f ca="1">IFERROR(__xludf.DUMMYFUNCTION("IMPORTRANGE(""https://docs.google.com/spreadsheets/d/1SX6NBoVAgQJ6U1MVXOaj8PK2l7WJ3RER9xtqwdhxkhw/edit?usp=sharing"",""สระบุรี!J488"")"),0)</f>
        <v>0</v>
      </c>
      <c r="Q72" s="307">
        <f ca="1">IFERROR(__xludf.DUMMYFUNCTION("IMPORTRANGE(""https://docs.google.com/spreadsheets/d/1SX6NBoVAgQJ6U1MVXOaj8PK2l7WJ3RER9xtqwdhxkhw/edit?usp=sharing"",""สระบุรี!J489"")"),0)</f>
        <v>0</v>
      </c>
      <c r="R72" s="307">
        <f t="shared" ca="1" si="7"/>
        <v>0</v>
      </c>
      <c r="S72" s="306">
        <f ca="1">IFERROR(__xludf.DUMMYFUNCTION("IMPORTRANGE(""https://docs.google.com/spreadsheets/d/1SX6NBoVAgQJ6U1MVXOaj8PK2l7WJ3RER9xtqwdhxkhw/edit?usp=sharing"",""สระบุรี!J490"")"),0)</f>
        <v>0</v>
      </c>
      <c r="T72" s="307">
        <f ca="1">IFERROR(__xludf.DUMMYFUNCTION("IMPORTRANGE(""https://docs.google.com/spreadsheets/d/1SX6NBoVAgQJ6U1MVXOaj8PK2l7WJ3RER9xtqwdhxkhw/edit?usp=sharing"",""สระบุรี!J491"")"),0)</f>
        <v>0</v>
      </c>
      <c r="U72" s="307">
        <f t="shared" ca="1" si="9"/>
        <v>0</v>
      </c>
    </row>
    <row r="73" spans="1:21" ht="21" customHeight="1">
      <c r="A73" s="303">
        <v>19</v>
      </c>
      <c r="B73" s="304" t="s">
        <v>97</v>
      </c>
      <c r="C73" s="305">
        <f t="shared" ca="1" si="49"/>
        <v>0</v>
      </c>
      <c r="D73" s="306">
        <f ca="1">IFERROR(__xludf.DUMMYFUNCTION("IMPORTRANGE(""https://docs.google.com/spreadsheets/d/1C3CXT74ZlgGe6_JY_1olB1XN4rF0dxEuIIF-xsYjHgg/edit?usp=sharing"",""งบกองทุน!EK77"")"),0)</f>
        <v>0</v>
      </c>
      <c r="E73" s="306">
        <f ca="1">IFERROR(__xludf.DUMMYFUNCTION("IMPORTRANGE(""https://docs.google.com/spreadsheets/d/1C3CXT74ZlgGe6_JY_1olB1XN4rF0dxEuIIF-xsYjHgg/edit?usp=sharing"",""งบกองทุน!EL77"")"),0)</f>
        <v>0</v>
      </c>
      <c r="F73" s="307">
        <f ca="1">IFERROR(__xludf.DUMMYFUNCTION("IMPORTRANGE(""https://docs.google.com/spreadsheets/d/1SX6NBoVAgQJ6U1MVXOaj8PK2l7WJ3RER9xtqwdhxkhw/edit?usp=sharing"",""สิงห์บุรี!M475"")"),0)</f>
        <v>0</v>
      </c>
      <c r="G73" s="307">
        <f t="shared" ca="1" si="1"/>
        <v>0</v>
      </c>
      <c r="H73" s="306">
        <f ca="1">IFERROR(__xludf.DUMMYFUNCTION("IMPORTRANGE(""https://docs.google.com/spreadsheets/d/1C3CXT74ZlgGe6_JY_1olB1XN4rF0dxEuIIF-xsYjHgg/edit?usp=sharing"",""งบกองทุน!EM77"")"),0)</f>
        <v>0</v>
      </c>
      <c r="I73" s="306">
        <f t="shared" ca="1" si="50"/>
        <v>0</v>
      </c>
      <c r="J73" s="306">
        <f ca="1">IFERROR(__xludf.DUMMYFUNCTION("IMPORTRANGE(""https://docs.google.com/spreadsheets/d/1SX6NBoVAgQJ6U1MVXOaj8PK2l7WJ3RER9xtqwdhxkhw/edit?usp=sharing"",""สิงห์บุรี!J484"")"),0)</f>
        <v>0</v>
      </c>
      <c r="K73" s="306">
        <f ca="1">IFERROR(__xludf.DUMMYFUNCTION("IMPORTRANGE(""https://docs.google.com/spreadsheets/d/1SX6NBoVAgQJ6U1MVXOaj8PK2l7WJ3RER9xtqwdhxkhw/edit?usp=sharing"",""สิงห์บุรี!J485"")"),0)</f>
        <v>0</v>
      </c>
      <c r="L73" s="307">
        <f t="shared" ca="1" si="3"/>
        <v>0</v>
      </c>
      <c r="M73" s="306">
        <f ca="1">IFERROR(__xludf.DUMMYFUNCTION("IMPORTRANGE(""https://docs.google.com/spreadsheets/d/1SX6NBoVAgQJ6U1MVXOaj8PK2l7WJ3RER9xtqwdhxkhw/edit?usp=sharing"",""สิงห์บุรี!J486"")"),0)</f>
        <v>0</v>
      </c>
      <c r="N73" s="306">
        <f ca="1">IFERROR(__xludf.DUMMYFUNCTION("IMPORTRANGE(""https://docs.google.com/spreadsheets/d/1SX6NBoVAgQJ6U1MVXOaj8PK2l7WJ3RER9xtqwdhxkhw/edit?usp=sharing"",""สิงห์บุรี!J487"")"),0)</f>
        <v>0</v>
      </c>
      <c r="O73" s="307">
        <f t="shared" ca="1" si="5"/>
        <v>0</v>
      </c>
      <c r="P73" s="306">
        <f ca="1">IFERROR(__xludf.DUMMYFUNCTION("IMPORTRANGE(""https://docs.google.com/spreadsheets/d/1SX6NBoVAgQJ6U1MVXOaj8PK2l7WJ3RER9xtqwdhxkhw/edit?usp=sharing"",""สิงห์บุรี!J488"")"),0)</f>
        <v>0</v>
      </c>
      <c r="Q73" s="307">
        <f ca="1">IFERROR(__xludf.DUMMYFUNCTION("IMPORTRANGE(""https://docs.google.com/spreadsheets/d/1SX6NBoVAgQJ6U1MVXOaj8PK2l7WJ3RER9xtqwdhxkhw/edit?usp=sharing"",""สิงห์บุรี!J489"")"),0)</f>
        <v>0</v>
      </c>
      <c r="R73" s="307">
        <f t="shared" ca="1" si="7"/>
        <v>0</v>
      </c>
      <c r="S73" s="306">
        <f ca="1">IFERROR(__xludf.DUMMYFUNCTION("IMPORTRANGE(""https://docs.google.com/spreadsheets/d/1SX6NBoVAgQJ6U1MVXOaj8PK2l7WJ3RER9xtqwdhxkhw/edit?usp=sharing"",""สิงห์บุรี!J490"")"),0)</f>
        <v>0</v>
      </c>
      <c r="T73" s="307">
        <f ca="1">IFERROR(__xludf.DUMMYFUNCTION("IMPORTRANGE(""https://docs.google.com/spreadsheets/d/1SX6NBoVAgQJ6U1MVXOaj8PK2l7WJ3RER9xtqwdhxkhw/edit?usp=sharing"",""สิงห์บุรี!J491"")"),0)</f>
        <v>0</v>
      </c>
      <c r="U73" s="307">
        <f t="shared" ca="1" si="9"/>
        <v>0</v>
      </c>
    </row>
    <row r="74" spans="1:21" ht="21" customHeight="1">
      <c r="A74" s="303">
        <v>20</v>
      </c>
      <c r="B74" s="304" t="s">
        <v>98</v>
      </c>
      <c r="C74" s="305">
        <f t="shared" ca="1" si="49"/>
        <v>308380</v>
      </c>
      <c r="D74" s="306">
        <f ca="1">IFERROR(__xludf.DUMMYFUNCTION("IMPORTRANGE(""https://docs.google.com/spreadsheets/d/1C3CXT74ZlgGe6_JY_1olB1XN4rF0dxEuIIF-xsYjHgg/edit?usp=sharing"",""งบกองทุน!EK78"")"),0)</f>
        <v>0</v>
      </c>
      <c r="E74" s="306">
        <f ca="1">IFERROR(__xludf.DUMMYFUNCTION("IMPORTRANGE(""https://docs.google.com/spreadsheets/d/1C3CXT74ZlgGe6_JY_1olB1XN4rF0dxEuIIF-xsYjHgg/edit?usp=sharing"",""งบกองทุน!EL78"")"),308380)</f>
        <v>308380</v>
      </c>
      <c r="F74" s="307">
        <f ca="1">IFERROR(__xludf.DUMMYFUNCTION("IMPORTRANGE(""https://docs.google.com/spreadsheets/d/1SX6NBoVAgQJ6U1MVXOaj8PK2l7WJ3RER9xtqwdhxkhw/edit?usp=sharing"",""สุพรรณบุรี!M475"")"),127138.73)</f>
        <v>127138.73</v>
      </c>
      <c r="G74" s="307">
        <f t="shared" ca="1" si="1"/>
        <v>41.227942797846815</v>
      </c>
      <c r="H74" s="306">
        <f ca="1">IFERROR(__xludf.DUMMYFUNCTION("IMPORTRANGE(""https://docs.google.com/spreadsheets/d/1C3CXT74ZlgGe6_JY_1olB1XN4rF0dxEuIIF-xsYjHgg/edit?usp=sharing"",""งบกองทุน!EM78"")"),80)</f>
        <v>80</v>
      </c>
      <c r="I74" s="306">
        <f t="shared" ca="1" si="50"/>
        <v>80</v>
      </c>
      <c r="J74" s="306">
        <f ca="1">IFERROR(__xludf.DUMMYFUNCTION("IMPORTRANGE(""https://docs.google.com/spreadsheets/d/1SX6NBoVAgQJ6U1MVXOaj8PK2l7WJ3RER9xtqwdhxkhw/edit?usp=sharing"",""สุพรรณบุรี!J484"")"),68)</f>
        <v>68</v>
      </c>
      <c r="K74" s="306">
        <f ca="1">IFERROR(__xludf.DUMMYFUNCTION("IMPORTRANGE(""https://docs.google.com/spreadsheets/d/1SX6NBoVAgQJ6U1MVXOaj8PK2l7WJ3RER9xtqwdhxkhw/edit?usp=sharing"",""สุพรรณบุรี!J485"")"),37.57)</f>
        <v>37.57</v>
      </c>
      <c r="L74" s="307">
        <f t="shared" ca="1" si="3"/>
        <v>85</v>
      </c>
      <c r="M74" s="306">
        <f ca="1">IFERROR(__xludf.DUMMYFUNCTION("IMPORTRANGE(""https://docs.google.com/spreadsheets/d/1SX6NBoVAgQJ6U1MVXOaj8PK2l7WJ3RER9xtqwdhxkhw/edit?usp=sharing"",""สุพรรณบุรี!J486"")"),6)</f>
        <v>6</v>
      </c>
      <c r="N74" s="306">
        <f ca="1">IFERROR(__xludf.DUMMYFUNCTION("IMPORTRANGE(""https://docs.google.com/spreadsheets/d/1SX6NBoVAgQJ6U1MVXOaj8PK2l7WJ3RER9xtqwdhxkhw/edit?usp=sharing"",""สุพรรณบุรี!J487"")"),4.67)</f>
        <v>4.67</v>
      </c>
      <c r="O74" s="307">
        <f t="shared" ca="1" si="5"/>
        <v>7.5</v>
      </c>
      <c r="P74" s="306">
        <f ca="1">IFERROR(__xludf.DUMMYFUNCTION("IMPORTRANGE(""https://docs.google.com/spreadsheets/d/1SX6NBoVAgQJ6U1MVXOaj8PK2l7WJ3RER9xtqwdhxkhw/edit?usp=sharing"",""สุพรรณบุรี!J488"")"),0)</f>
        <v>0</v>
      </c>
      <c r="Q74" s="307">
        <f ca="1">IFERROR(__xludf.DUMMYFUNCTION("IMPORTRANGE(""https://docs.google.com/spreadsheets/d/1SX6NBoVAgQJ6U1MVXOaj8PK2l7WJ3RER9xtqwdhxkhw/edit?usp=sharing"",""สุพรรณบุรี!J489"")"),0)</f>
        <v>0</v>
      </c>
      <c r="R74" s="307">
        <f t="shared" ca="1" si="7"/>
        <v>0</v>
      </c>
      <c r="S74" s="306">
        <f ca="1">IFERROR(__xludf.DUMMYFUNCTION("IMPORTRANGE(""https://docs.google.com/spreadsheets/d/1SX6NBoVAgQJ6U1MVXOaj8PK2l7WJ3RER9xtqwdhxkhw/edit?usp=sharing"",""สุพรรณบุรี!J490"")"),6)</f>
        <v>6</v>
      </c>
      <c r="T74" s="307">
        <f ca="1">IFERROR(__xludf.DUMMYFUNCTION("IMPORTRANGE(""https://docs.google.com/spreadsheets/d/1SX6NBoVAgQJ6U1MVXOaj8PK2l7WJ3RER9xtqwdhxkhw/edit?usp=sharing"",""สุพรรณบุรี!J491"")"),4.67)</f>
        <v>4.67</v>
      </c>
      <c r="U74" s="307">
        <f t="shared" ca="1" si="9"/>
        <v>7.5</v>
      </c>
    </row>
    <row r="75" spans="1:21" ht="21" customHeight="1">
      <c r="A75" s="310">
        <v>21</v>
      </c>
      <c r="B75" s="311" t="s">
        <v>99</v>
      </c>
      <c r="C75" s="312">
        <f t="shared" ca="1" si="49"/>
        <v>0</v>
      </c>
      <c r="D75" s="313">
        <f ca="1">IFERROR(__xludf.DUMMYFUNCTION("IMPORTRANGE(""https://docs.google.com/spreadsheets/d/1C3CXT74ZlgGe6_JY_1olB1XN4rF0dxEuIIF-xsYjHgg/edit?usp=sharing"",""งบกองทุน!EK79"")"),0)</f>
        <v>0</v>
      </c>
      <c r="E75" s="313">
        <f ca="1">IFERROR(__xludf.DUMMYFUNCTION("IMPORTRANGE(""https://docs.google.com/spreadsheets/d/1C3CXT74ZlgGe6_JY_1olB1XN4rF0dxEuIIF-xsYjHgg/edit?usp=sharing"",""งบกองทุน!EL79"")"),0)</f>
        <v>0</v>
      </c>
      <c r="F75" s="314">
        <f ca="1">IFERROR(__xludf.DUMMYFUNCTION("IMPORTRANGE(""https://docs.google.com/spreadsheets/d/1SX6NBoVAgQJ6U1MVXOaj8PK2l7WJ3RER9xtqwdhxkhw/edit?usp=sharing"",""อ่างทอง!M475"")"),0)</f>
        <v>0</v>
      </c>
      <c r="G75" s="314">
        <f t="shared" ca="1" si="1"/>
        <v>0</v>
      </c>
      <c r="H75" s="313">
        <f ca="1">IFERROR(__xludf.DUMMYFUNCTION("IMPORTRANGE(""https://docs.google.com/spreadsheets/d/1C3CXT74ZlgGe6_JY_1olB1XN4rF0dxEuIIF-xsYjHgg/edit?usp=sharing"",""งบกองทุน!EM79"")"),0)</f>
        <v>0</v>
      </c>
      <c r="I75" s="313">
        <f t="shared" ca="1" si="50"/>
        <v>0</v>
      </c>
      <c r="J75" s="313">
        <f ca="1">IFERROR(__xludf.DUMMYFUNCTION("IMPORTRANGE(""https://docs.google.com/spreadsheets/d/1SX6NBoVAgQJ6U1MVXOaj8PK2l7WJ3RER9xtqwdhxkhw/edit?usp=sharing"",""อ่างทอง!J484"")"),0)</f>
        <v>0</v>
      </c>
      <c r="K75" s="313">
        <f ca="1">IFERROR(__xludf.DUMMYFUNCTION("IMPORTRANGE(""https://docs.google.com/spreadsheets/d/1SX6NBoVAgQJ6U1MVXOaj8PK2l7WJ3RER9xtqwdhxkhw/edit?usp=sharing"",""อ่างทอง!J485"")"),0)</f>
        <v>0</v>
      </c>
      <c r="L75" s="314">
        <f t="shared" ca="1" si="3"/>
        <v>0</v>
      </c>
      <c r="M75" s="313">
        <f ca="1">IFERROR(__xludf.DUMMYFUNCTION("IMPORTRANGE(""https://docs.google.com/spreadsheets/d/1SX6NBoVAgQJ6U1MVXOaj8PK2l7WJ3RER9xtqwdhxkhw/edit?usp=sharing"",""อ่างทอง!J486"")"),0)</f>
        <v>0</v>
      </c>
      <c r="N75" s="313">
        <f ca="1">IFERROR(__xludf.DUMMYFUNCTION("IMPORTRANGE(""https://docs.google.com/spreadsheets/d/1SX6NBoVAgQJ6U1MVXOaj8PK2l7WJ3RER9xtqwdhxkhw/edit?usp=sharing"",""อ่างทอง!J487"")"),0)</f>
        <v>0</v>
      </c>
      <c r="O75" s="314">
        <f t="shared" ca="1" si="5"/>
        <v>0</v>
      </c>
      <c r="P75" s="313">
        <f ca="1">IFERROR(__xludf.DUMMYFUNCTION("IMPORTRANGE(""https://docs.google.com/spreadsheets/d/1SX6NBoVAgQJ6U1MVXOaj8PK2l7WJ3RER9xtqwdhxkhw/edit?usp=sharing"",""อ่างทอง!J488"")"),0)</f>
        <v>0</v>
      </c>
      <c r="Q75" s="314">
        <f ca="1">IFERROR(__xludf.DUMMYFUNCTION("IMPORTRANGE(""https://docs.google.com/spreadsheets/d/1SX6NBoVAgQJ6U1MVXOaj8PK2l7WJ3RER9xtqwdhxkhw/edit?usp=sharing"",""อ่างทอง!J489"")"),0)</f>
        <v>0</v>
      </c>
      <c r="R75" s="314">
        <f t="shared" ca="1" si="7"/>
        <v>0</v>
      </c>
      <c r="S75" s="313">
        <f ca="1">IFERROR(__xludf.DUMMYFUNCTION("IMPORTRANGE(""https://docs.google.com/spreadsheets/d/1SX6NBoVAgQJ6U1MVXOaj8PK2l7WJ3RER9xtqwdhxkhw/edit?usp=sharing"",""อ่างทอง!J490"")"),0)</f>
        <v>0</v>
      </c>
      <c r="T75" s="314">
        <f ca="1">IFERROR(__xludf.DUMMYFUNCTION("IMPORTRANGE(""https://docs.google.com/spreadsheets/d/1SX6NBoVAgQJ6U1MVXOaj8PK2l7WJ3RER9xtqwdhxkhw/edit?usp=sharing"",""อ่างทอง!J491"")"),0)</f>
        <v>0</v>
      </c>
      <c r="U75" s="314">
        <f t="shared" ca="1" si="9"/>
        <v>0</v>
      </c>
    </row>
    <row r="76" spans="1:21" ht="21" customHeight="1">
      <c r="A76" s="802" t="s">
        <v>100</v>
      </c>
      <c r="B76" s="652"/>
      <c r="C76" s="317">
        <f t="shared" ref="C76:F76" ca="1" si="51">SUM(C77:C90)</f>
        <v>667592</v>
      </c>
      <c r="D76" s="318">
        <f t="shared" ca="1" si="51"/>
        <v>0</v>
      </c>
      <c r="E76" s="318">
        <f t="shared" ca="1" si="51"/>
        <v>667592</v>
      </c>
      <c r="F76" s="319">
        <f t="shared" ca="1" si="51"/>
        <v>204941</v>
      </c>
      <c r="G76" s="319">
        <f t="shared" ca="1" si="1"/>
        <v>30.698540425888865</v>
      </c>
      <c r="H76" s="318">
        <f t="shared" ref="H76:K76" ca="1" si="52">SUM(H77:H90)</f>
        <v>292</v>
      </c>
      <c r="I76" s="318">
        <f t="shared" ca="1" si="52"/>
        <v>292</v>
      </c>
      <c r="J76" s="318">
        <f t="shared" ca="1" si="52"/>
        <v>301</v>
      </c>
      <c r="K76" s="318">
        <f t="shared" ca="1" si="52"/>
        <v>81.839999999999989</v>
      </c>
      <c r="L76" s="319">
        <f t="shared" ca="1" si="3"/>
        <v>103.08219178082192</v>
      </c>
      <c r="M76" s="318">
        <f t="shared" ref="M76:N76" ca="1" si="53">SUM(M77:M90)</f>
        <v>86</v>
      </c>
      <c r="N76" s="318">
        <f t="shared" ca="1" si="53"/>
        <v>27.75</v>
      </c>
      <c r="O76" s="319">
        <f t="shared" ca="1" si="5"/>
        <v>29.452054794520549</v>
      </c>
      <c r="P76" s="318">
        <f t="shared" ref="P76:Q76" ca="1" si="54">SUM(P77:P90)</f>
        <v>0</v>
      </c>
      <c r="Q76" s="319">
        <f t="shared" ca="1" si="54"/>
        <v>0</v>
      </c>
      <c r="R76" s="319">
        <f t="shared" ca="1" si="7"/>
        <v>0</v>
      </c>
      <c r="S76" s="318">
        <f t="shared" ref="S76:T76" ca="1" si="55">SUM(S77:S90)</f>
        <v>2</v>
      </c>
      <c r="T76" s="319">
        <f t="shared" ca="1" si="55"/>
        <v>1.01</v>
      </c>
      <c r="U76" s="319">
        <f t="shared" ca="1" si="9"/>
        <v>0.68493150684931503</v>
      </c>
    </row>
    <row r="77" spans="1:21" ht="21" customHeight="1">
      <c r="A77" s="293">
        <v>1</v>
      </c>
      <c r="B77" s="357" t="s">
        <v>101</v>
      </c>
      <c r="C77" s="295">
        <f t="shared" ref="C77:C90" ca="1" si="56">+D77+E77</f>
        <v>0</v>
      </c>
      <c r="D77" s="296">
        <f ca="1">IFERROR(__xludf.DUMMYFUNCTION("IMPORTRANGE(""https://docs.google.com/spreadsheets/d/1C3CXT74ZlgGe6_JY_1olB1XN4rF0dxEuIIF-xsYjHgg/edit?usp=sharing"",""งบกองทุน!EK81"")"),0)</f>
        <v>0</v>
      </c>
      <c r="E77" s="296">
        <f ca="1">IFERROR(__xludf.DUMMYFUNCTION("IMPORTRANGE(""https://docs.google.com/spreadsheets/d/1C3CXT74ZlgGe6_JY_1olB1XN4rF0dxEuIIF-xsYjHgg/edit?usp=sharing"",""งบกองทุน!EL81"")"),0)</f>
        <v>0</v>
      </c>
      <c r="F77" s="297">
        <f ca="1">IFERROR(__xludf.DUMMYFUNCTION("IMPORTRANGE(""https://docs.google.com/spreadsheets/d/1IYY_tgx_IHuhSq3AJ5eI5OnqOPBNLWSHKh2a30DoXe8/edit?usp=sharing"",""กระบี่!M475"")"),0)</f>
        <v>0</v>
      </c>
      <c r="G77" s="297">
        <f t="shared" ca="1" si="1"/>
        <v>0</v>
      </c>
      <c r="H77" s="296">
        <f ca="1">IFERROR(__xludf.DUMMYFUNCTION("IMPORTRANGE(""https://docs.google.com/spreadsheets/d/1C3CXT74ZlgGe6_JY_1olB1XN4rF0dxEuIIF-xsYjHgg/edit?usp=sharing"",""งบกองทุน!EM81"")"),0)</f>
        <v>0</v>
      </c>
      <c r="I77" s="296">
        <f t="shared" ref="I77:I90" ca="1" si="57">H77</f>
        <v>0</v>
      </c>
      <c r="J77" s="296">
        <f ca="1">IFERROR(__xludf.DUMMYFUNCTION("IMPORTRANGE(""https://docs.google.com/spreadsheets/d/1IYY_tgx_IHuhSq3AJ5eI5OnqOPBNLWSHKh2a30DoXe8/edit?usp=sharing"",""กระบี่!J484"")"),0)</f>
        <v>0</v>
      </c>
      <c r="K77" s="296">
        <f ca="1">IFERROR(__xludf.DUMMYFUNCTION("IMPORTRANGE(""https://docs.google.com/spreadsheets/d/1IYY_tgx_IHuhSq3AJ5eI5OnqOPBNLWSHKh2a30DoXe8/edit?usp=sharing"",""กระบี่!J485"")"),0)</f>
        <v>0</v>
      </c>
      <c r="L77" s="297">
        <f t="shared" ca="1" si="3"/>
        <v>0</v>
      </c>
      <c r="M77" s="296">
        <f ca="1">IFERROR(__xludf.DUMMYFUNCTION("IMPORTRANGE(""https://docs.google.com/spreadsheets/d/1IYY_tgx_IHuhSq3AJ5eI5OnqOPBNLWSHKh2a30DoXe8/edit?usp=sharing"",""กระบี่!J486"")"),0)</f>
        <v>0</v>
      </c>
      <c r="N77" s="296">
        <f ca="1">IFERROR(__xludf.DUMMYFUNCTION("IMPORTRANGE(""https://docs.google.com/spreadsheets/d/1IYY_tgx_IHuhSq3AJ5eI5OnqOPBNLWSHKh2a30DoXe8/edit?usp=sharing"",""กระบี่!J487"")"),0)</f>
        <v>0</v>
      </c>
      <c r="O77" s="297">
        <f t="shared" ca="1" si="5"/>
        <v>0</v>
      </c>
      <c r="P77" s="296">
        <f ca="1">IFERROR(__xludf.DUMMYFUNCTION("IMPORTRANGE(""https://docs.google.com/spreadsheets/d/1IYY_tgx_IHuhSq3AJ5eI5OnqOPBNLWSHKh2a30DoXe8/edit?usp=sharing"",""กระบี่!J488"")"),0)</f>
        <v>0</v>
      </c>
      <c r="Q77" s="297">
        <f ca="1">IFERROR(__xludf.DUMMYFUNCTION("IMPORTRANGE(""https://docs.google.com/spreadsheets/d/1IYY_tgx_IHuhSq3AJ5eI5OnqOPBNLWSHKh2a30DoXe8/edit?usp=sharing"",""กระบี่!J489"")"),0)</f>
        <v>0</v>
      </c>
      <c r="R77" s="297">
        <f t="shared" ca="1" si="7"/>
        <v>0</v>
      </c>
      <c r="S77" s="296">
        <f ca="1">IFERROR(__xludf.DUMMYFUNCTION("IMPORTRANGE(""https://docs.google.com/spreadsheets/d/1IYY_tgx_IHuhSq3AJ5eI5OnqOPBNLWSHKh2a30DoXe8/edit?usp=sharing"",""กระบี่!J490"")"),0)</f>
        <v>0</v>
      </c>
      <c r="T77" s="297">
        <f ca="1">IFERROR(__xludf.DUMMYFUNCTION("IMPORTRANGE(""https://docs.google.com/spreadsheets/d/1IYY_tgx_IHuhSq3AJ5eI5OnqOPBNLWSHKh2a30DoXe8/edit?usp=sharing"",""กระบี่!J491"")"),0)</f>
        <v>0</v>
      </c>
      <c r="U77" s="297">
        <f t="shared" ca="1" si="9"/>
        <v>0</v>
      </c>
    </row>
    <row r="78" spans="1:21" ht="21" customHeight="1">
      <c r="A78" s="303">
        <v>2</v>
      </c>
      <c r="B78" s="304" t="s">
        <v>102</v>
      </c>
      <c r="C78" s="305">
        <f t="shared" ca="1" si="56"/>
        <v>0</v>
      </c>
      <c r="D78" s="306">
        <f ca="1">IFERROR(__xludf.DUMMYFUNCTION("IMPORTRANGE(""https://docs.google.com/spreadsheets/d/1C3CXT74ZlgGe6_JY_1olB1XN4rF0dxEuIIF-xsYjHgg/edit?usp=sharing"",""งบกองทุน!EK82"")"),0)</f>
        <v>0</v>
      </c>
      <c r="E78" s="306">
        <f ca="1">IFERROR(__xludf.DUMMYFUNCTION("IMPORTRANGE(""https://docs.google.com/spreadsheets/d/1C3CXT74ZlgGe6_JY_1olB1XN4rF0dxEuIIF-xsYjHgg/edit?usp=sharing"",""งบกองทุน!EL82"")"),0)</f>
        <v>0</v>
      </c>
      <c r="F78" s="307">
        <f ca="1">IFERROR(__xludf.DUMMYFUNCTION("IMPORTRANGE(""https://docs.google.com/spreadsheets/d/1IYY_tgx_IHuhSq3AJ5eI5OnqOPBNLWSHKh2a30DoXe8/edit?usp=sharing"",""ชุมพร!M475"")"),0)</f>
        <v>0</v>
      </c>
      <c r="G78" s="307">
        <f t="shared" ca="1" si="1"/>
        <v>0</v>
      </c>
      <c r="H78" s="306">
        <f ca="1">IFERROR(__xludf.DUMMYFUNCTION("IMPORTRANGE(""https://docs.google.com/spreadsheets/d/1C3CXT74ZlgGe6_JY_1olB1XN4rF0dxEuIIF-xsYjHgg/edit?usp=sharing"",""งบกองทุน!EM82"")"),0)</f>
        <v>0</v>
      </c>
      <c r="I78" s="306">
        <f t="shared" ca="1" si="57"/>
        <v>0</v>
      </c>
      <c r="J78" s="306">
        <f ca="1">IFERROR(__xludf.DUMMYFUNCTION("IMPORTRANGE(""https://docs.google.com/spreadsheets/d/1IYY_tgx_IHuhSq3AJ5eI5OnqOPBNLWSHKh2a30DoXe8/edit?usp=sharing"",""ชุมพร!J484"")"),2)</f>
        <v>2</v>
      </c>
      <c r="K78" s="306">
        <f ca="1">IFERROR(__xludf.DUMMYFUNCTION("IMPORTRANGE(""https://docs.google.com/spreadsheets/d/1IYY_tgx_IHuhSq3AJ5eI5OnqOPBNLWSHKh2a30DoXe8/edit?usp=sharing"",""ชุมพร!J485"")"),0.88)</f>
        <v>0.88</v>
      </c>
      <c r="L78" s="307">
        <f t="shared" ca="1" si="3"/>
        <v>0</v>
      </c>
      <c r="M78" s="306">
        <f ca="1">IFERROR(__xludf.DUMMYFUNCTION("IMPORTRANGE(""https://docs.google.com/spreadsheets/d/1IYY_tgx_IHuhSq3AJ5eI5OnqOPBNLWSHKh2a30DoXe8/edit?usp=sharing"",""ชุมพร!J486"")"),0)</f>
        <v>0</v>
      </c>
      <c r="N78" s="306">
        <f ca="1">IFERROR(__xludf.DUMMYFUNCTION("IMPORTRANGE(""https://docs.google.com/spreadsheets/d/1IYY_tgx_IHuhSq3AJ5eI5OnqOPBNLWSHKh2a30DoXe8/edit?usp=sharing"",""ชุมพร!J487"")"),0)</f>
        <v>0</v>
      </c>
      <c r="O78" s="307">
        <f t="shared" ca="1" si="5"/>
        <v>0</v>
      </c>
      <c r="P78" s="306">
        <f ca="1">IFERROR(__xludf.DUMMYFUNCTION("IMPORTRANGE(""https://docs.google.com/spreadsheets/d/1IYY_tgx_IHuhSq3AJ5eI5OnqOPBNLWSHKh2a30DoXe8/edit?usp=sharing"",""ชุมพร!J488"")"),0)</f>
        <v>0</v>
      </c>
      <c r="Q78" s="307">
        <f ca="1">IFERROR(__xludf.DUMMYFUNCTION("IMPORTRANGE(""https://docs.google.com/spreadsheets/d/1IYY_tgx_IHuhSq3AJ5eI5OnqOPBNLWSHKh2a30DoXe8/edit?usp=sharing"",""ชุมพร!J489"")"),0)</f>
        <v>0</v>
      </c>
      <c r="R78" s="307">
        <f t="shared" ca="1" si="7"/>
        <v>0</v>
      </c>
      <c r="S78" s="306">
        <f ca="1">IFERROR(__xludf.DUMMYFUNCTION("IMPORTRANGE(""https://docs.google.com/spreadsheets/d/1IYY_tgx_IHuhSq3AJ5eI5OnqOPBNLWSHKh2a30DoXe8/edit?usp=sharing"",""ชุมพร!J490"")"),0)</f>
        <v>0</v>
      </c>
      <c r="T78" s="307">
        <f ca="1">IFERROR(__xludf.DUMMYFUNCTION("IMPORTRANGE(""https://docs.google.com/spreadsheets/d/1IYY_tgx_IHuhSq3AJ5eI5OnqOPBNLWSHKh2a30DoXe8/edit?usp=sharing"",""ชุมพร!J491"")"),0)</f>
        <v>0</v>
      </c>
      <c r="U78" s="307">
        <f t="shared" ca="1" si="9"/>
        <v>0</v>
      </c>
    </row>
    <row r="79" spans="1:21" ht="21" customHeight="1">
      <c r="A79" s="303">
        <v>3</v>
      </c>
      <c r="B79" s="304" t="s">
        <v>103</v>
      </c>
      <c r="C79" s="305">
        <f t="shared" ca="1" si="56"/>
        <v>0</v>
      </c>
      <c r="D79" s="306">
        <f ca="1">IFERROR(__xludf.DUMMYFUNCTION("IMPORTRANGE(""https://docs.google.com/spreadsheets/d/1C3CXT74ZlgGe6_JY_1olB1XN4rF0dxEuIIF-xsYjHgg/edit?usp=sharing"",""งบกองทุน!EK83"")"),0)</f>
        <v>0</v>
      </c>
      <c r="E79" s="306">
        <f ca="1">IFERROR(__xludf.DUMMYFUNCTION("IMPORTRANGE(""https://docs.google.com/spreadsheets/d/1C3CXT74ZlgGe6_JY_1olB1XN4rF0dxEuIIF-xsYjHgg/edit?usp=sharing"",""งบกองทุน!EL83"")"),0)</f>
        <v>0</v>
      </c>
      <c r="F79" s="307">
        <f ca="1">IFERROR(__xludf.DUMMYFUNCTION("IMPORTRANGE(""https://docs.google.com/spreadsheets/d/1IYY_tgx_IHuhSq3AJ5eI5OnqOPBNLWSHKh2a30DoXe8/edit?usp=sharing"",""ตรัง!M475"")"),0)</f>
        <v>0</v>
      </c>
      <c r="G79" s="307">
        <f t="shared" ca="1" si="1"/>
        <v>0</v>
      </c>
      <c r="H79" s="306">
        <f ca="1">IFERROR(__xludf.DUMMYFUNCTION("IMPORTRANGE(""https://docs.google.com/spreadsheets/d/1C3CXT74ZlgGe6_JY_1olB1XN4rF0dxEuIIF-xsYjHgg/edit?usp=sharing"",""งบกองทุน!EM83"")"),0)</f>
        <v>0</v>
      </c>
      <c r="I79" s="306">
        <f t="shared" ca="1" si="57"/>
        <v>0</v>
      </c>
      <c r="J79" s="306">
        <f ca="1">IFERROR(__xludf.DUMMYFUNCTION("IMPORTRANGE(""https://docs.google.com/spreadsheets/d/1IYY_tgx_IHuhSq3AJ5eI5OnqOPBNLWSHKh2a30DoXe8/edit?usp=sharing"",""ตรัง!J484"")"),0)</f>
        <v>0</v>
      </c>
      <c r="K79" s="306">
        <f ca="1">IFERROR(__xludf.DUMMYFUNCTION("IMPORTRANGE(""https://docs.google.com/spreadsheets/d/1IYY_tgx_IHuhSq3AJ5eI5OnqOPBNLWSHKh2a30DoXe8/edit?usp=sharing"",""ตรัง!J485"")"),0)</f>
        <v>0</v>
      </c>
      <c r="L79" s="307">
        <f t="shared" ca="1" si="3"/>
        <v>0</v>
      </c>
      <c r="M79" s="306">
        <f ca="1">IFERROR(__xludf.DUMMYFUNCTION("IMPORTRANGE(""https://docs.google.com/spreadsheets/d/1IYY_tgx_IHuhSq3AJ5eI5OnqOPBNLWSHKh2a30DoXe8/edit?usp=sharing"",""ตรัง!J486"")"),0)</f>
        <v>0</v>
      </c>
      <c r="N79" s="306">
        <f ca="1">IFERROR(__xludf.DUMMYFUNCTION("IMPORTRANGE(""https://docs.google.com/spreadsheets/d/1IYY_tgx_IHuhSq3AJ5eI5OnqOPBNLWSHKh2a30DoXe8/edit?usp=sharing"",""ตรัง!J487"")"),0)</f>
        <v>0</v>
      </c>
      <c r="O79" s="307">
        <f t="shared" ca="1" si="5"/>
        <v>0</v>
      </c>
      <c r="P79" s="306">
        <f ca="1">IFERROR(__xludf.DUMMYFUNCTION("IMPORTRANGE(""https://docs.google.com/spreadsheets/d/1IYY_tgx_IHuhSq3AJ5eI5OnqOPBNLWSHKh2a30DoXe8/edit?usp=sharing"",""ตรัง!J488"")"),0)</f>
        <v>0</v>
      </c>
      <c r="Q79" s="307">
        <f ca="1">IFERROR(__xludf.DUMMYFUNCTION("IMPORTRANGE(""https://docs.google.com/spreadsheets/d/1IYY_tgx_IHuhSq3AJ5eI5OnqOPBNLWSHKh2a30DoXe8/edit?usp=sharing"",""ตรัง!J489"")"),0)</f>
        <v>0</v>
      </c>
      <c r="R79" s="307">
        <f t="shared" ca="1" si="7"/>
        <v>0</v>
      </c>
      <c r="S79" s="306">
        <f ca="1">IFERROR(__xludf.DUMMYFUNCTION("IMPORTRANGE(""https://docs.google.com/spreadsheets/d/1IYY_tgx_IHuhSq3AJ5eI5OnqOPBNLWSHKh2a30DoXe8/edit?usp=sharing"",""ตรัง!J490"")"),0)</f>
        <v>0</v>
      </c>
      <c r="T79" s="307">
        <f ca="1">IFERROR(__xludf.DUMMYFUNCTION("IMPORTRANGE(""https://docs.google.com/spreadsheets/d/1IYY_tgx_IHuhSq3AJ5eI5OnqOPBNLWSHKh2a30DoXe8/edit?usp=sharing"",""ตรัง!J491"")"),0)</f>
        <v>0</v>
      </c>
      <c r="U79" s="307">
        <f t="shared" ca="1" si="9"/>
        <v>0</v>
      </c>
    </row>
    <row r="80" spans="1:21" ht="21" customHeight="1">
      <c r="A80" s="303">
        <v>4</v>
      </c>
      <c r="B80" s="304" t="s">
        <v>104</v>
      </c>
      <c r="C80" s="305">
        <f t="shared" ca="1" si="56"/>
        <v>147177</v>
      </c>
      <c r="D80" s="306">
        <f ca="1">IFERROR(__xludf.DUMMYFUNCTION("IMPORTRANGE(""https://docs.google.com/spreadsheets/d/1C3CXT74ZlgGe6_JY_1olB1XN4rF0dxEuIIF-xsYjHgg/edit?usp=sharing"",""งบกองทุน!EK84"")"),0)</f>
        <v>0</v>
      </c>
      <c r="E80" s="306">
        <f ca="1">IFERROR(__xludf.DUMMYFUNCTION("IMPORTRANGE(""https://docs.google.com/spreadsheets/d/1C3CXT74ZlgGe6_JY_1olB1XN4rF0dxEuIIF-xsYjHgg/edit?usp=sharing"",""งบกองทุน!EL84"")"),147177)</f>
        <v>147177</v>
      </c>
      <c r="F80" s="307">
        <f ca="1">IFERROR(__xludf.DUMMYFUNCTION("IMPORTRANGE(""https://docs.google.com/spreadsheets/d/1IYY_tgx_IHuhSq3AJ5eI5OnqOPBNLWSHKh2a30DoXe8/edit?usp=sharing"",""นครศรีธรรมราช!M475"")"),4921)</f>
        <v>4921</v>
      </c>
      <c r="G80" s="307">
        <f t="shared" ca="1" si="1"/>
        <v>3.3435930885940057</v>
      </c>
      <c r="H80" s="306">
        <f ca="1">IFERROR(__xludf.DUMMYFUNCTION("IMPORTRANGE(""https://docs.google.com/spreadsheets/d/1C3CXT74ZlgGe6_JY_1olB1XN4rF0dxEuIIF-xsYjHgg/edit?usp=sharing"",""งบกองทุน!EM84"")"),27)</f>
        <v>27</v>
      </c>
      <c r="I80" s="306">
        <f t="shared" ca="1" si="57"/>
        <v>27</v>
      </c>
      <c r="J80" s="306">
        <f ca="1">IFERROR(__xludf.DUMMYFUNCTION("IMPORTRANGE(""https://docs.google.com/spreadsheets/d/1IYY_tgx_IHuhSq3AJ5eI5OnqOPBNLWSHKh2a30DoXe8/edit?usp=sharing"",""นครศรีธรรมราช!J484"")"),0)</f>
        <v>0</v>
      </c>
      <c r="K80" s="306">
        <f ca="1">IFERROR(__xludf.DUMMYFUNCTION("IMPORTRANGE(""https://docs.google.com/spreadsheets/d/1IYY_tgx_IHuhSq3AJ5eI5OnqOPBNLWSHKh2a30DoXe8/edit?usp=sharing"",""นครศรีธรรมราช!J485"")"),0)</f>
        <v>0</v>
      </c>
      <c r="L80" s="307">
        <f t="shared" ca="1" si="3"/>
        <v>0</v>
      </c>
      <c r="M80" s="306">
        <f ca="1">IFERROR(__xludf.DUMMYFUNCTION("IMPORTRANGE(""https://docs.google.com/spreadsheets/d/1IYY_tgx_IHuhSq3AJ5eI5OnqOPBNLWSHKh2a30DoXe8/edit?usp=sharing"",""นครศรีธรรมราช!J486"")"),2)</f>
        <v>2</v>
      </c>
      <c r="N80" s="306">
        <f ca="1">IFERROR(__xludf.DUMMYFUNCTION("IMPORTRANGE(""https://docs.google.com/spreadsheets/d/1IYY_tgx_IHuhSq3AJ5eI5OnqOPBNLWSHKh2a30DoXe8/edit?usp=sharing"",""นครศรีธรรมราช!J487"")"),1.01)</f>
        <v>1.01</v>
      </c>
      <c r="O80" s="307">
        <f t="shared" ca="1" si="5"/>
        <v>7.4074074074074074</v>
      </c>
      <c r="P80" s="306">
        <f ca="1">IFERROR(__xludf.DUMMYFUNCTION("IMPORTRANGE(""https://docs.google.com/spreadsheets/d/1IYY_tgx_IHuhSq3AJ5eI5OnqOPBNLWSHKh2a30DoXe8/edit?usp=sharing"",""นครศรีธรรมราช!J488"")"),0)</f>
        <v>0</v>
      </c>
      <c r="Q80" s="307">
        <f ca="1">IFERROR(__xludf.DUMMYFUNCTION("IMPORTRANGE(""https://docs.google.com/spreadsheets/d/1IYY_tgx_IHuhSq3AJ5eI5OnqOPBNLWSHKh2a30DoXe8/edit?usp=sharing"",""นครศรีธรรมราช!J489"")"),0)</f>
        <v>0</v>
      </c>
      <c r="R80" s="307">
        <f t="shared" ca="1" si="7"/>
        <v>0</v>
      </c>
      <c r="S80" s="306">
        <f ca="1">IFERROR(__xludf.DUMMYFUNCTION("IMPORTRANGE(""https://docs.google.com/spreadsheets/d/1IYY_tgx_IHuhSq3AJ5eI5OnqOPBNLWSHKh2a30DoXe8/edit?usp=sharing"",""นครศรีธรรมราช!J490"")"),2)</f>
        <v>2</v>
      </c>
      <c r="T80" s="307">
        <f ca="1">IFERROR(__xludf.DUMMYFUNCTION("IMPORTRANGE(""https://docs.google.com/spreadsheets/d/1IYY_tgx_IHuhSq3AJ5eI5OnqOPBNLWSHKh2a30DoXe8/edit?usp=sharing"",""นครศรีธรรมราช!J491"")"),1.01)</f>
        <v>1.01</v>
      </c>
      <c r="U80" s="307">
        <f t="shared" ca="1" si="9"/>
        <v>7.4074074074074074</v>
      </c>
    </row>
    <row r="81" spans="1:21" ht="21" customHeight="1">
      <c r="A81" s="303">
        <v>5</v>
      </c>
      <c r="B81" s="304" t="s">
        <v>105</v>
      </c>
      <c r="C81" s="305">
        <f t="shared" ca="1" si="56"/>
        <v>0</v>
      </c>
      <c r="D81" s="306">
        <f ca="1">IFERROR(__xludf.DUMMYFUNCTION("IMPORTRANGE(""https://docs.google.com/spreadsheets/d/1C3CXT74ZlgGe6_JY_1olB1XN4rF0dxEuIIF-xsYjHgg/edit?usp=sharing"",""งบกองทุน!EK85"")"),0)</f>
        <v>0</v>
      </c>
      <c r="E81" s="306">
        <f ca="1">IFERROR(__xludf.DUMMYFUNCTION("IMPORTRANGE(""https://docs.google.com/spreadsheets/d/1C3CXT74ZlgGe6_JY_1olB1XN4rF0dxEuIIF-xsYjHgg/edit?usp=sharing"",""งบกองทุน!EL85"")"),0)</f>
        <v>0</v>
      </c>
      <c r="F81" s="307">
        <f ca="1">IFERROR(__xludf.DUMMYFUNCTION("IMPORTRANGE(""https://docs.google.com/spreadsheets/d/1IYY_tgx_IHuhSq3AJ5eI5OnqOPBNLWSHKh2a30DoXe8/edit?usp=sharing"",""นราธิวาส!M475"")"),0)</f>
        <v>0</v>
      </c>
      <c r="G81" s="307">
        <f t="shared" ca="1" si="1"/>
        <v>0</v>
      </c>
      <c r="H81" s="306">
        <f ca="1">IFERROR(__xludf.DUMMYFUNCTION("IMPORTRANGE(""https://docs.google.com/spreadsheets/d/1C3CXT74ZlgGe6_JY_1olB1XN4rF0dxEuIIF-xsYjHgg/edit?usp=sharing"",""งบกองทุน!EM85"")"),0)</f>
        <v>0</v>
      </c>
      <c r="I81" s="306">
        <f t="shared" ca="1" si="57"/>
        <v>0</v>
      </c>
      <c r="J81" s="306">
        <f ca="1">IFERROR(__xludf.DUMMYFUNCTION("IMPORTRANGE(""https://docs.google.com/spreadsheets/d/1IYY_tgx_IHuhSq3AJ5eI5OnqOPBNLWSHKh2a30DoXe8/edit?usp=sharing"",""นราธิวาส!J484"")"),0)</f>
        <v>0</v>
      </c>
      <c r="K81" s="306">
        <f ca="1">IFERROR(__xludf.DUMMYFUNCTION("IMPORTRANGE(""https://docs.google.com/spreadsheets/d/1IYY_tgx_IHuhSq3AJ5eI5OnqOPBNLWSHKh2a30DoXe8/edit?usp=sharing"",""นราธิวาส!J485"")"),0)</f>
        <v>0</v>
      </c>
      <c r="L81" s="307">
        <f t="shared" ca="1" si="3"/>
        <v>0</v>
      </c>
      <c r="M81" s="306">
        <f ca="1">IFERROR(__xludf.DUMMYFUNCTION("IMPORTRANGE(""https://docs.google.com/spreadsheets/d/1IYY_tgx_IHuhSq3AJ5eI5OnqOPBNLWSHKh2a30DoXe8/edit?usp=sharing"",""นราธิวาส!J486"")"),0)</f>
        <v>0</v>
      </c>
      <c r="N81" s="306">
        <f ca="1">IFERROR(__xludf.DUMMYFUNCTION("IMPORTRANGE(""https://docs.google.com/spreadsheets/d/1IYY_tgx_IHuhSq3AJ5eI5OnqOPBNLWSHKh2a30DoXe8/edit?usp=sharing"",""นราธิวาส!J487"")"),0)</f>
        <v>0</v>
      </c>
      <c r="O81" s="307">
        <f t="shared" ca="1" si="5"/>
        <v>0</v>
      </c>
      <c r="P81" s="306">
        <f ca="1">IFERROR(__xludf.DUMMYFUNCTION("IMPORTRANGE(""https://docs.google.com/spreadsheets/d/1IYY_tgx_IHuhSq3AJ5eI5OnqOPBNLWSHKh2a30DoXe8/edit?usp=sharing"",""นราธิวาส!J488"")"),0)</f>
        <v>0</v>
      </c>
      <c r="Q81" s="307">
        <f ca="1">IFERROR(__xludf.DUMMYFUNCTION("IMPORTRANGE(""https://docs.google.com/spreadsheets/d/1IYY_tgx_IHuhSq3AJ5eI5OnqOPBNLWSHKh2a30DoXe8/edit?usp=sharing"",""นราธิวาส!J489"")"),0)</f>
        <v>0</v>
      </c>
      <c r="R81" s="307">
        <f t="shared" ca="1" si="7"/>
        <v>0</v>
      </c>
      <c r="S81" s="306">
        <f ca="1">IFERROR(__xludf.DUMMYFUNCTION("IMPORTRANGE(""https://docs.google.com/spreadsheets/d/1IYY_tgx_IHuhSq3AJ5eI5OnqOPBNLWSHKh2a30DoXe8/edit?usp=sharing"",""นราธิวาส!J490"")"),0)</f>
        <v>0</v>
      </c>
      <c r="T81" s="307">
        <f ca="1">IFERROR(__xludf.DUMMYFUNCTION("IMPORTRANGE(""https://docs.google.com/spreadsheets/d/1IYY_tgx_IHuhSq3AJ5eI5OnqOPBNLWSHKh2a30DoXe8/edit?usp=sharing"",""นราธิวาส!J491"")"),0)</f>
        <v>0</v>
      </c>
      <c r="U81" s="307">
        <f t="shared" ca="1" si="9"/>
        <v>0</v>
      </c>
    </row>
    <row r="82" spans="1:21" ht="21" customHeight="1">
      <c r="A82" s="303">
        <v>6</v>
      </c>
      <c r="B82" s="304" t="s">
        <v>106</v>
      </c>
      <c r="C82" s="305">
        <f t="shared" ca="1" si="56"/>
        <v>0</v>
      </c>
      <c r="D82" s="306">
        <f ca="1">IFERROR(__xludf.DUMMYFUNCTION("IMPORTRANGE(""https://docs.google.com/spreadsheets/d/1C3CXT74ZlgGe6_JY_1olB1XN4rF0dxEuIIF-xsYjHgg/edit?usp=sharing"",""งบกองทุน!EK86"")"),0)</f>
        <v>0</v>
      </c>
      <c r="E82" s="306">
        <f ca="1">IFERROR(__xludf.DUMMYFUNCTION("IMPORTRANGE(""https://docs.google.com/spreadsheets/d/1C3CXT74ZlgGe6_JY_1olB1XN4rF0dxEuIIF-xsYjHgg/edit?usp=sharing"",""งบกองทุน!EL86"")"),0)</f>
        <v>0</v>
      </c>
      <c r="F82" s="307">
        <f ca="1">IFERROR(__xludf.DUMMYFUNCTION("IMPORTRANGE(""https://docs.google.com/spreadsheets/d/1IYY_tgx_IHuhSq3AJ5eI5OnqOPBNLWSHKh2a30DoXe8/edit?usp=sharing"",""ปัตตานี!M475"")"),0)</f>
        <v>0</v>
      </c>
      <c r="G82" s="307">
        <f t="shared" ca="1" si="1"/>
        <v>0</v>
      </c>
      <c r="H82" s="306">
        <f ca="1">IFERROR(__xludf.DUMMYFUNCTION("IMPORTRANGE(""https://docs.google.com/spreadsheets/d/1C3CXT74ZlgGe6_JY_1olB1XN4rF0dxEuIIF-xsYjHgg/edit?usp=sharing"",""งบกองทุน!EM86"")"),0)</f>
        <v>0</v>
      </c>
      <c r="I82" s="306">
        <f t="shared" ca="1" si="57"/>
        <v>0</v>
      </c>
      <c r="J82" s="306">
        <f ca="1">IFERROR(__xludf.DUMMYFUNCTION("IMPORTRANGE(""https://docs.google.com/spreadsheets/d/1IYY_tgx_IHuhSq3AJ5eI5OnqOPBNLWSHKh2a30DoXe8/edit?usp=sharing"",""ปัตตานี!J484"")"),0)</f>
        <v>0</v>
      </c>
      <c r="K82" s="306">
        <f ca="1">IFERROR(__xludf.DUMMYFUNCTION("IMPORTRANGE(""https://docs.google.com/spreadsheets/d/1IYY_tgx_IHuhSq3AJ5eI5OnqOPBNLWSHKh2a30DoXe8/edit?usp=sharing"",""ปัตตานี!J485"")"),0)</f>
        <v>0</v>
      </c>
      <c r="L82" s="307">
        <f t="shared" ca="1" si="3"/>
        <v>0</v>
      </c>
      <c r="M82" s="306">
        <f ca="1">IFERROR(__xludf.DUMMYFUNCTION("IMPORTRANGE(""https://docs.google.com/spreadsheets/d/1IYY_tgx_IHuhSq3AJ5eI5OnqOPBNLWSHKh2a30DoXe8/edit?usp=sharing"",""ปัตตานี!J486"")"),0)</f>
        <v>0</v>
      </c>
      <c r="N82" s="306">
        <f ca="1">IFERROR(__xludf.DUMMYFUNCTION("IMPORTRANGE(""https://docs.google.com/spreadsheets/d/1IYY_tgx_IHuhSq3AJ5eI5OnqOPBNLWSHKh2a30DoXe8/edit?usp=sharing"",""ปัตตานี!J487"")"),0)</f>
        <v>0</v>
      </c>
      <c r="O82" s="307">
        <f t="shared" ca="1" si="5"/>
        <v>0</v>
      </c>
      <c r="P82" s="306">
        <f ca="1">IFERROR(__xludf.DUMMYFUNCTION("IMPORTRANGE(""https://docs.google.com/spreadsheets/d/1IYY_tgx_IHuhSq3AJ5eI5OnqOPBNLWSHKh2a30DoXe8/edit?usp=sharing"",""ปัตตานี!J488"")"),0)</f>
        <v>0</v>
      </c>
      <c r="Q82" s="307">
        <f ca="1">IFERROR(__xludf.DUMMYFUNCTION("IMPORTRANGE(""https://docs.google.com/spreadsheets/d/1IYY_tgx_IHuhSq3AJ5eI5OnqOPBNLWSHKh2a30DoXe8/edit?usp=sharing"",""ปัตตานี!J489"")"),0)</f>
        <v>0</v>
      </c>
      <c r="R82" s="307">
        <f t="shared" ca="1" si="7"/>
        <v>0</v>
      </c>
      <c r="S82" s="306">
        <f ca="1">IFERROR(__xludf.DUMMYFUNCTION("IMPORTRANGE(""https://docs.google.com/spreadsheets/d/1IYY_tgx_IHuhSq3AJ5eI5OnqOPBNLWSHKh2a30DoXe8/edit?usp=sharing"",""ปัตตานี!J490"")"),0)</f>
        <v>0</v>
      </c>
      <c r="T82" s="307">
        <f ca="1">IFERROR(__xludf.DUMMYFUNCTION("IMPORTRANGE(""https://docs.google.com/spreadsheets/d/1IYY_tgx_IHuhSq3AJ5eI5OnqOPBNLWSHKh2a30DoXe8/edit?usp=sharing"",""ปัตตานี!J491"")"),0)</f>
        <v>0</v>
      </c>
      <c r="U82" s="307">
        <f t="shared" ca="1" si="9"/>
        <v>0</v>
      </c>
    </row>
    <row r="83" spans="1:21" ht="21" customHeight="1">
      <c r="A83" s="303">
        <v>7</v>
      </c>
      <c r="B83" s="304" t="s">
        <v>107</v>
      </c>
      <c r="C83" s="305">
        <f t="shared" ca="1" si="56"/>
        <v>0</v>
      </c>
      <c r="D83" s="306">
        <f ca="1">IFERROR(__xludf.DUMMYFUNCTION("IMPORTRANGE(""https://docs.google.com/spreadsheets/d/1C3CXT74ZlgGe6_JY_1olB1XN4rF0dxEuIIF-xsYjHgg/edit?usp=sharing"",""งบกองทุน!EK87"")"),0)</f>
        <v>0</v>
      </c>
      <c r="E83" s="306">
        <f ca="1">IFERROR(__xludf.DUMMYFUNCTION("IMPORTRANGE(""https://docs.google.com/spreadsheets/d/1C3CXT74ZlgGe6_JY_1olB1XN4rF0dxEuIIF-xsYjHgg/edit?usp=sharing"",""งบกองทุน!EL87"")"),0)</f>
        <v>0</v>
      </c>
      <c r="F83" s="307">
        <f ca="1">IFERROR(__xludf.DUMMYFUNCTION("IMPORTRANGE(""https://docs.google.com/spreadsheets/d/1IYY_tgx_IHuhSq3AJ5eI5OnqOPBNLWSHKh2a30DoXe8/edit?usp=sharing"",""พังงา!M475"")"),0)</f>
        <v>0</v>
      </c>
      <c r="G83" s="307">
        <f t="shared" ca="1" si="1"/>
        <v>0</v>
      </c>
      <c r="H83" s="306">
        <f ca="1">IFERROR(__xludf.DUMMYFUNCTION("IMPORTRANGE(""https://docs.google.com/spreadsheets/d/1C3CXT74ZlgGe6_JY_1olB1XN4rF0dxEuIIF-xsYjHgg/edit?usp=sharing"",""งบกองทุน!EM87"")"),0)</f>
        <v>0</v>
      </c>
      <c r="I83" s="306">
        <f t="shared" ca="1" si="57"/>
        <v>0</v>
      </c>
      <c r="J83" s="306">
        <f ca="1">IFERROR(__xludf.DUMMYFUNCTION("IMPORTRANGE(""https://docs.google.com/spreadsheets/d/1IYY_tgx_IHuhSq3AJ5eI5OnqOPBNLWSHKh2a30DoXe8/edit?usp=sharing"",""พังงา!J484"")"),0)</f>
        <v>0</v>
      </c>
      <c r="K83" s="306">
        <f ca="1">IFERROR(__xludf.DUMMYFUNCTION("IMPORTRANGE(""https://docs.google.com/spreadsheets/d/1IYY_tgx_IHuhSq3AJ5eI5OnqOPBNLWSHKh2a30DoXe8/edit?usp=sharing"",""พังงา!J485"")"),0)</f>
        <v>0</v>
      </c>
      <c r="L83" s="307">
        <f t="shared" ca="1" si="3"/>
        <v>0</v>
      </c>
      <c r="M83" s="306">
        <f ca="1">IFERROR(__xludf.DUMMYFUNCTION("IMPORTRANGE(""https://docs.google.com/spreadsheets/d/1IYY_tgx_IHuhSq3AJ5eI5OnqOPBNLWSHKh2a30DoXe8/edit?usp=sharing"",""พังงา!J486"")"),0)</f>
        <v>0</v>
      </c>
      <c r="N83" s="306">
        <f ca="1">IFERROR(__xludf.DUMMYFUNCTION("IMPORTRANGE(""https://docs.google.com/spreadsheets/d/1IYY_tgx_IHuhSq3AJ5eI5OnqOPBNLWSHKh2a30DoXe8/edit?usp=sharing"",""พังงา!J487"")"),0)</f>
        <v>0</v>
      </c>
      <c r="O83" s="307">
        <f t="shared" ca="1" si="5"/>
        <v>0</v>
      </c>
      <c r="P83" s="306">
        <f ca="1">IFERROR(__xludf.DUMMYFUNCTION("IMPORTRANGE(""https://docs.google.com/spreadsheets/d/1IYY_tgx_IHuhSq3AJ5eI5OnqOPBNLWSHKh2a30DoXe8/edit?usp=sharing"",""พังงา!J488"")"),0)</f>
        <v>0</v>
      </c>
      <c r="Q83" s="307">
        <f ca="1">IFERROR(__xludf.DUMMYFUNCTION("IMPORTRANGE(""https://docs.google.com/spreadsheets/d/1IYY_tgx_IHuhSq3AJ5eI5OnqOPBNLWSHKh2a30DoXe8/edit?usp=sharing"",""พังงา!J489"")"),0)</f>
        <v>0</v>
      </c>
      <c r="R83" s="307">
        <f t="shared" ca="1" si="7"/>
        <v>0</v>
      </c>
      <c r="S83" s="306">
        <f ca="1">IFERROR(__xludf.DUMMYFUNCTION("IMPORTRANGE(""https://docs.google.com/spreadsheets/d/1IYY_tgx_IHuhSq3AJ5eI5OnqOPBNLWSHKh2a30DoXe8/edit?usp=sharing"",""พังงา!J490"")"),0)</f>
        <v>0</v>
      </c>
      <c r="T83" s="307">
        <f ca="1">IFERROR(__xludf.DUMMYFUNCTION("IMPORTRANGE(""https://docs.google.com/spreadsheets/d/1IYY_tgx_IHuhSq3AJ5eI5OnqOPBNLWSHKh2a30DoXe8/edit?usp=sharing"",""พังงา!J491"")"),0)</f>
        <v>0</v>
      </c>
      <c r="U83" s="307">
        <f t="shared" ca="1" si="9"/>
        <v>0</v>
      </c>
    </row>
    <row r="84" spans="1:21" ht="21" customHeight="1">
      <c r="A84" s="303">
        <v>8</v>
      </c>
      <c r="B84" s="304" t="s">
        <v>108</v>
      </c>
      <c r="C84" s="305">
        <f t="shared" ca="1" si="56"/>
        <v>143795</v>
      </c>
      <c r="D84" s="306">
        <f ca="1">IFERROR(__xludf.DUMMYFUNCTION("IMPORTRANGE(""https://docs.google.com/spreadsheets/d/1C3CXT74ZlgGe6_JY_1olB1XN4rF0dxEuIIF-xsYjHgg/edit?usp=sharing"",""งบกองทุน!EK88"")"),0)</f>
        <v>0</v>
      </c>
      <c r="E84" s="306">
        <f ca="1">IFERROR(__xludf.DUMMYFUNCTION("IMPORTRANGE(""https://docs.google.com/spreadsheets/d/1C3CXT74ZlgGe6_JY_1olB1XN4rF0dxEuIIF-xsYjHgg/edit?usp=sharing"",""งบกองทุน!EL88"")"),143795)</f>
        <v>143795</v>
      </c>
      <c r="F84" s="307">
        <f ca="1">IFERROR(__xludf.DUMMYFUNCTION("IMPORTRANGE(""https://docs.google.com/spreadsheets/d/1IYY_tgx_IHuhSq3AJ5eI5OnqOPBNLWSHKh2a30DoXe8/edit?usp=sharing"",""พัทลุง!M475"")"),0)</f>
        <v>0</v>
      </c>
      <c r="G84" s="307">
        <f t="shared" ca="1" si="1"/>
        <v>0</v>
      </c>
      <c r="H84" s="306">
        <f ca="1">IFERROR(__xludf.DUMMYFUNCTION("IMPORTRANGE(""https://docs.google.com/spreadsheets/d/1C3CXT74ZlgGe6_JY_1olB1XN4rF0dxEuIIF-xsYjHgg/edit?usp=sharing"",""งบกองทุน!EM88"")"),45)</f>
        <v>45</v>
      </c>
      <c r="I84" s="306">
        <f t="shared" ca="1" si="57"/>
        <v>45</v>
      </c>
      <c r="J84" s="306">
        <f ca="1">IFERROR(__xludf.DUMMYFUNCTION("IMPORTRANGE(""https://docs.google.com/spreadsheets/d/1IYY_tgx_IHuhSq3AJ5eI5OnqOPBNLWSHKh2a30DoXe8/edit?usp=sharing"",""พัทลุง!J484"")"),0)</f>
        <v>0</v>
      </c>
      <c r="K84" s="306">
        <f ca="1">IFERROR(__xludf.DUMMYFUNCTION("IMPORTRANGE(""https://docs.google.com/spreadsheets/d/1IYY_tgx_IHuhSq3AJ5eI5OnqOPBNLWSHKh2a30DoXe8/edit?usp=sharing"",""พัทลุง!J485"")"),0)</f>
        <v>0</v>
      </c>
      <c r="L84" s="307">
        <f t="shared" ca="1" si="3"/>
        <v>0</v>
      </c>
      <c r="M84" s="306">
        <f ca="1">IFERROR(__xludf.DUMMYFUNCTION("IMPORTRANGE(""https://docs.google.com/spreadsheets/d/1IYY_tgx_IHuhSq3AJ5eI5OnqOPBNLWSHKh2a30DoXe8/edit?usp=sharing"",""พัทลุง!J486"")"),1)</f>
        <v>1</v>
      </c>
      <c r="N84" s="306">
        <f ca="1">IFERROR(__xludf.DUMMYFUNCTION("IMPORTRANGE(""https://docs.google.com/spreadsheets/d/1IYY_tgx_IHuhSq3AJ5eI5OnqOPBNLWSHKh2a30DoXe8/edit?usp=sharing"",""พัทลุง!J487"")"),0.75)</f>
        <v>0.75</v>
      </c>
      <c r="O84" s="307">
        <f t="shared" ca="1" si="5"/>
        <v>2.2222222222222223</v>
      </c>
      <c r="P84" s="306">
        <f ca="1">IFERROR(__xludf.DUMMYFUNCTION("IMPORTRANGE(""https://docs.google.com/spreadsheets/d/1IYY_tgx_IHuhSq3AJ5eI5OnqOPBNLWSHKh2a30DoXe8/edit?usp=sharing"",""พัทลุง!J488"")"),0)</f>
        <v>0</v>
      </c>
      <c r="Q84" s="307">
        <f ca="1">IFERROR(__xludf.DUMMYFUNCTION("IMPORTRANGE(""https://docs.google.com/spreadsheets/d/1IYY_tgx_IHuhSq3AJ5eI5OnqOPBNLWSHKh2a30DoXe8/edit?usp=sharing"",""พัทลุง!J489"")"),0)</f>
        <v>0</v>
      </c>
      <c r="R84" s="307">
        <f t="shared" ca="1" si="7"/>
        <v>0</v>
      </c>
      <c r="S84" s="306">
        <f ca="1">IFERROR(__xludf.DUMMYFUNCTION("IMPORTRANGE(""https://docs.google.com/spreadsheets/d/1IYY_tgx_IHuhSq3AJ5eI5OnqOPBNLWSHKh2a30DoXe8/edit?usp=sharing"",""พัทลุง!J490"")"),0)</f>
        <v>0</v>
      </c>
      <c r="T84" s="307">
        <f ca="1">IFERROR(__xludf.DUMMYFUNCTION("IMPORTRANGE(""https://docs.google.com/spreadsheets/d/1IYY_tgx_IHuhSq3AJ5eI5OnqOPBNLWSHKh2a30DoXe8/edit?usp=sharing"",""พัทลุง!J491"")"),0)</f>
        <v>0</v>
      </c>
      <c r="U84" s="307">
        <f t="shared" ca="1" si="9"/>
        <v>0</v>
      </c>
    </row>
    <row r="85" spans="1:21" ht="21" customHeight="1">
      <c r="A85" s="303">
        <v>9</v>
      </c>
      <c r="B85" s="304" t="s">
        <v>109</v>
      </c>
      <c r="C85" s="305">
        <f t="shared" ca="1" si="56"/>
        <v>0</v>
      </c>
      <c r="D85" s="306">
        <f ca="1">IFERROR(__xludf.DUMMYFUNCTION("IMPORTRANGE(""https://docs.google.com/spreadsheets/d/1C3CXT74ZlgGe6_JY_1olB1XN4rF0dxEuIIF-xsYjHgg/edit?usp=sharing"",""งบกองทุน!EK89"")"),0)</f>
        <v>0</v>
      </c>
      <c r="E85" s="306">
        <f ca="1">IFERROR(__xludf.DUMMYFUNCTION("IMPORTRANGE(""https://docs.google.com/spreadsheets/d/1C3CXT74ZlgGe6_JY_1olB1XN4rF0dxEuIIF-xsYjHgg/edit?usp=sharing"",""งบกองทุน!EL89"")"),0)</f>
        <v>0</v>
      </c>
      <c r="F85" s="307">
        <f ca="1">IFERROR(__xludf.DUMMYFUNCTION("IMPORTRANGE(""https://docs.google.com/spreadsheets/d/1IYY_tgx_IHuhSq3AJ5eI5OnqOPBNLWSHKh2a30DoXe8/edit?usp=sharing"",""ภูเก็ต!M475"")"),0)</f>
        <v>0</v>
      </c>
      <c r="G85" s="307">
        <f t="shared" ca="1" si="1"/>
        <v>0</v>
      </c>
      <c r="H85" s="306">
        <f ca="1">IFERROR(__xludf.DUMMYFUNCTION("IMPORTRANGE(""https://docs.google.com/spreadsheets/d/1C3CXT74ZlgGe6_JY_1olB1XN4rF0dxEuIIF-xsYjHgg/edit?usp=sharing"",""งบกองทุน!EM89"")"),0)</f>
        <v>0</v>
      </c>
      <c r="I85" s="306">
        <f t="shared" ca="1" si="57"/>
        <v>0</v>
      </c>
      <c r="J85" s="306">
        <f ca="1">IFERROR(__xludf.DUMMYFUNCTION("IMPORTRANGE(""https://docs.google.com/spreadsheets/d/1IYY_tgx_IHuhSq3AJ5eI5OnqOPBNLWSHKh2a30DoXe8/edit?usp=sharing"",""ภูเก็ต!J484"")"),0)</f>
        <v>0</v>
      </c>
      <c r="K85" s="306">
        <f ca="1">IFERROR(__xludf.DUMMYFUNCTION("IMPORTRANGE(""https://docs.google.com/spreadsheets/d/1IYY_tgx_IHuhSq3AJ5eI5OnqOPBNLWSHKh2a30DoXe8/edit?usp=sharing"",""ภูเก็ต!J485"")"),0)</f>
        <v>0</v>
      </c>
      <c r="L85" s="307">
        <f t="shared" ca="1" si="3"/>
        <v>0</v>
      </c>
      <c r="M85" s="306">
        <f ca="1">IFERROR(__xludf.DUMMYFUNCTION("IMPORTRANGE(""https://docs.google.com/spreadsheets/d/1IYY_tgx_IHuhSq3AJ5eI5OnqOPBNLWSHKh2a30DoXe8/edit?usp=sharing"",""ภูเก็ต!J486"")"),0)</f>
        <v>0</v>
      </c>
      <c r="N85" s="306">
        <f ca="1">IFERROR(__xludf.DUMMYFUNCTION("IMPORTRANGE(""https://docs.google.com/spreadsheets/d/1IYY_tgx_IHuhSq3AJ5eI5OnqOPBNLWSHKh2a30DoXe8/edit?usp=sharing"",""ภูเก็ต!J487"")"),0)</f>
        <v>0</v>
      </c>
      <c r="O85" s="307">
        <f t="shared" ca="1" si="5"/>
        <v>0</v>
      </c>
      <c r="P85" s="306">
        <f ca="1">IFERROR(__xludf.DUMMYFUNCTION("IMPORTRANGE(""https://docs.google.com/spreadsheets/d/1IYY_tgx_IHuhSq3AJ5eI5OnqOPBNLWSHKh2a30DoXe8/edit?usp=sharing"",""ภูเก็ต!J488"")"),0)</f>
        <v>0</v>
      </c>
      <c r="Q85" s="307">
        <f ca="1">IFERROR(__xludf.DUMMYFUNCTION("IMPORTRANGE(""https://docs.google.com/spreadsheets/d/1IYY_tgx_IHuhSq3AJ5eI5OnqOPBNLWSHKh2a30DoXe8/edit?usp=sharing"",""ภูเก็ต!J489"")"),0)</f>
        <v>0</v>
      </c>
      <c r="R85" s="307">
        <f t="shared" ca="1" si="7"/>
        <v>0</v>
      </c>
      <c r="S85" s="306">
        <f ca="1">IFERROR(__xludf.DUMMYFUNCTION("IMPORTRANGE(""https://docs.google.com/spreadsheets/d/1IYY_tgx_IHuhSq3AJ5eI5OnqOPBNLWSHKh2a30DoXe8/edit?usp=sharing"",""ภูเก็ต!J490"")"),0)</f>
        <v>0</v>
      </c>
      <c r="T85" s="307">
        <f ca="1">IFERROR(__xludf.DUMMYFUNCTION("IMPORTRANGE(""https://docs.google.com/spreadsheets/d/1IYY_tgx_IHuhSq3AJ5eI5OnqOPBNLWSHKh2a30DoXe8/edit?usp=sharing"",""ภูเก็ต!J491"")"),0)</f>
        <v>0</v>
      </c>
      <c r="U85" s="307">
        <f t="shared" ca="1" si="9"/>
        <v>0</v>
      </c>
    </row>
    <row r="86" spans="1:21" ht="21" customHeight="1">
      <c r="A86" s="303">
        <v>10</v>
      </c>
      <c r="B86" s="304" t="s">
        <v>110</v>
      </c>
      <c r="C86" s="305">
        <f t="shared" ca="1" si="56"/>
        <v>0</v>
      </c>
      <c r="D86" s="306">
        <f ca="1">IFERROR(__xludf.DUMMYFUNCTION("IMPORTRANGE(""https://docs.google.com/spreadsheets/d/1C3CXT74ZlgGe6_JY_1olB1XN4rF0dxEuIIF-xsYjHgg/edit?usp=sharing"",""งบกองทุน!EK90"")"),0)</f>
        <v>0</v>
      </c>
      <c r="E86" s="306">
        <f ca="1">IFERROR(__xludf.DUMMYFUNCTION("IMPORTRANGE(""https://docs.google.com/spreadsheets/d/1C3CXT74ZlgGe6_JY_1olB1XN4rF0dxEuIIF-xsYjHgg/edit?usp=sharing"",""งบกองทุน!EL90"")"),0)</f>
        <v>0</v>
      </c>
      <c r="F86" s="307">
        <f ca="1">IFERROR(__xludf.DUMMYFUNCTION("IMPORTRANGE(""https://docs.google.com/spreadsheets/d/1IYY_tgx_IHuhSq3AJ5eI5OnqOPBNLWSHKh2a30DoXe8/edit?usp=sharing"",""ยะลา!M475"")"),0)</f>
        <v>0</v>
      </c>
      <c r="G86" s="307">
        <f t="shared" ca="1" si="1"/>
        <v>0</v>
      </c>
      <c r="H86" s="306">
        <f ca="1">IFERROR(__xludf.DUMMYFUNCTION("IMPORTRANGE(""https://docs.google.com/spreadsheets/d/1C3CXT74ZlgGe6_JY_1olB1XN4rF0dxEuIIF-xsYjHgg/edit?usp=sharing"",""งบกองทุน!EM90"")"),0)</f>
        <v>0</v>
      </c>
      <c r="I86" s="306">
        <f t="shared" ca="1" si="57"/>
        <v>0</v>
      </c>
      <c r="J86" s="306">
        <f ca="1">IFERROR(__xludf.DUMMYFUNCTION("IMPORTRANGE(""https://docs.google.com/spreadsheets/d/1IYY_tgx_IHuhSq3AJ5eI5OnqOPBNLWSHKh2a30DoXe8/edit?usp=sharing"",""ยะลา!J484"")"),0)</f>
        <v>0</v>
      </c>
      <c r="K86" s="306">
        <f ca="1">IFERROR(__xludf.DUMMYFUNCTION("IMPORTRANGE(""https://docs.google.com/spreadsheets/d/1IYY_tgx_IHuhSq3AJ5eI5OnqOPBNLWSHKh2a30DoXe8/edit?usp=sharing"",""ยะลา!J485"")"),0)</f>
        <v>0</v>
      </c>
      <c r="L86" s="307">
        <f t="shared" ca="1" si="3"/>
        <v>0</v>
      </c>
      <c r="M86" s="306">
        <f ca="1">IFERROR(__xludf.DUMMYFUNCTION("IMPORTRANGE(""https://docs.google.com/spreadsheets/d/1IYY_tgx_IHuhSq3AJ5eI5OnqOPBNLWSHKh2a30DoXe8/edit?usp=sharing"",""ยะลา!J486"")"),0)</f>
        <v>0</v>
      </c>
      <c r="N86" s="306">
        <f ca="1">IFERROR(__xludf.DUMMYFUNCTION("IMPORTRANGE(""https://docs.google.com/spreadsheets/d/1IYY_tgx_IHuhSq3AJ5eI5OnqOPBNLWSHKh2a30DoXe8/edit?usp=sharing"",""ยะลา!J487"")"),0)</f>
        <v>0</v>
      </c>
      <c r="O86" s="307">
        <f t="shared" ca="1" si="5"/>
        <v>0</v>
      </c>
      <c r="P86" s="306">
        <f ca="1">IFERROR(__xludf.DUMMYFUNCTION("IMPORTRANGE(""https://docs.google.com/spreadsheets/d/1IYY_tgx_IHuhSq3AJ5eI5OnqOPBNLWSHKh2a30DoXe8/edit?usp=sharing"",""ยะลา!J488"")"),0)</f>
        <v>0</v>
      </c>
      <c r="Q86" s="307">
        <f ca="1">IFERROR(__xludf.DUMMYFUNCTION("IMPORTRANGE(""https://docs.google.com/spreadsheets/d/1IYY_tgx_IHuhSq3AJ5eI5OnqOPBNLWSHKh2a30DoXe8/edit?usp=sharing"",""ยะลา!J489"")"),0)</f>
        <v>0</v>
      </c>
      <c r="R86" s="307">
        <f t="shared" ca="1" si="7"/>
        <v>0</v>
      </c>
      <c r="S86" s="306">
        <f ca="1">IFERROR(__xludf.DUMMYFUNCTION("IMPORTRANGE(""https://docs.google.com/spreadsheets/d/1IYY_tgx_IHuhSq3AJ5eI5OnqOPBNLWSHKh2a30DoXe8/edit?usp=sharing"",""ยะลา!J490"")"),0)</f>
        <v>0</v>
      </c>
      <c r="T86" s="307">
        <f ca="1">IFERROR(__xludf.DUMMYFUNCTION("IMPORTRANGE(""https://docs.google.com/spreadsheets/d/1IYY_tgx_IHuhSq3AJ5eI5OnqOPBNLWSHKh2a30DoXe8/edit?usp=sharing"",""ยะลา!J491"")"),0)</f>
        <v>0</v>
      </c>
      <c r="U86" s="307">
        <f t="shared" ca="1" si="9"/>
        <v>0</v>
      </c>
    </row>
    <row r="87" spans="1:21" ht="21" customHeight="1">
      <c r="A87" s="303">
        <v>11</v>
      </c>
      <c r="B87" s="304" t="s">
        <v>111</v>
      </c>
      <c r="C87" s="305">
        <f t="shared" ca="1" si="56"/>
        <v>0</v>
      </c>
      <c r="D87" s="306">
        <f ca="1">IFERROR(__xludf.DUMMYFUNCTION("IMPORTRANGE(""https://docs.google.com/spreadsheets/d/1C3CXT74ZlgGe6_JY_1olB1XN4rF0dxEuIIF-xsYjHgg/edit?usp=sharing"",""งบกองทุน!EK91"")"),0)</f>
        <v>0</v>
      </c>
      <c r="E87" s="306">
        <f ca="1">IFERROR(__xludf.DUMMYFUNCTION("IMPORTRANGE(""https://docs.google.com/spreadsheets/d/1C3CXT74ZlgGe6_JY_1olB1XN4rF0dxEuIIF-xsYjHgg/edit?usp=sharing"",""งบกองทุน!EL91"")"),0)</f>
        <v>0</v>
      </c>
      <c r="F87" s="307">
        <f ca="1">IFERROR(__xludf.DUMMYFUNCTION("IMPORTRANGE(""https://docs.google.com/spreadsheets/d/1IYY_tgx_IHuhSq3AJ5eI5OnqOPBNLWSHKh2a30DoXe8/edit?usp=sharing"",""ระนอง!M475"")"),0)</f>
        <v>0</v>
      </c>
      <c r="G87" s="307">
        <f t="shared" ca="1" si="1"/>
        <v>0</v>
      </c>
      <c r="H87" s="306">
        <f ca="1">IFERROR(__xludf.DUMMYFUNCTION("IMPORTRANGE(""https://docs.google.com/spreadsheets/d/1C3CXT74ZlgGe6_JY_1olB1XN4rF0dxEuIIF-xsYjHgg/edit?usp=sharing"",""งบกองทุน!EM91"")"),0)</f>
        <v>0</v>
      </c>
      <c r="I87" s="306">
        <f t="shared" ca="1" si="57"/>
        <v>0</v>
      </c>
      <c r="J87" s="306">
        <f ca="1">IFERROR(__xludf.DUMMYFUNCTION("IMPORTRANGE(""https://docs.google.com/spreadsheets/d/1IYY_tgx_IHuhSq3AJ5eI5OnqOPBNLWSHKh2a30DoXe8/edit?usp=sharing"",""ระนอง!J484"")"),0)</f>
        <v>0</v>
      </c>
      <c r="K87" s="306">
        <f ca="1">IFERROR(__xludf.DUMMYFUNCTION("IMPORTRANGE(""https://docs.google.com/spreadsheets/d/1IYY_tgx_IHuhSq3AJ5eI5OnqOPBNLWSHKh2a30DoXe8/edit?usp=sharing"",""ระนอง!J485"")"),0)</f>
        <v>0</v>
      </c>
      <c r="L87" s="307">
        <f t="shared" ca="1" si="3"/>
        <v>0</v>
      </c>
      <c r="M87" s="306">
        <f ca="1">IFERROR(__xludf.DUMMYFUNCTION("IMPORTRANGE(""https://docs.google.com/spreadsheets/d/1IYY_tgx_IHuhSq3AJ5eI5OnqOPBNLWSHKh2a30DoXe8/edit?usp=sharing"",""ระนอง!J486"")"),0)</f>
        <v>0</v>
      </c>
      <c r="N87" s="306">
        <f ca="1">IFERROR(__xludf.DUMMYFUNCTION("IMPORTRANGE(""https://docs.google.com/spreadsheets/d/1IYY_tgx_IHuhSq3AJ5eI5OnqOPBNLWSHKh2a30DoXe8/edit?usp=sharing"",""ระนอง!J487"")"),0)</f>
        <v>0</v>
      </c>
      <c r="O87" s="307">
        <f t="shared" ca="1" si="5"/>
        <v>0</v>
      </c>
      <c r="P87" s="306">
        <f ca="1">IFERROR(__xludf.DUMMYFUNCTION("IMPORTRANGE(""https://docs.google.com/spreadsheets/d/1IYY_tgx_IHuhSq3AJ5eI5OnqOPBNLWSHKh2a30DoXe8/edit?usp=sharing"",""ระนอง!J488"")"),0)</f>
        <v>0</v>
      </c>
      <c r="Q87" s="307">
        <f ca="1">IFERROR(__xludf.DUMMYFUNCTION("IMPORTRANGE(""https://docs.google.com/spreadsheets/d/1IYY_tgx_IHuhSq3AJ5eI5OnqOPBNLWSHKh2a30DoXe8/edit?usp=sharing"",""ระนอง!J489"")"),0)</f>
        <v>0</v>
      </c>
      <c r="R87" s="307">
        <f t="shared" ca="1" si="7"/>
        <v>0</v>
      </c>
      <c r="S87" s="306">
        <f ca="1">IFERROR(__xludf.DUMMYFUNCTION("IMPORTRANGE(""https://docs.google.com/spreadsheets/d/1IYY_tgx_IHuhSq3AJ5eI5OnqOPBNLWSHKh2a30DoXe8/edit?usp=sharing"",""ระนอง!J490"")"),0)</f>
        <v>0</v>
      </c>
      <c r="T87" s="307">
        <f ca="1">IFERROR(__xludf.DUMMYFUNCTION("IMPORTRANGE(""https://docs.google.com/spreadsheets/d/1IYY_tgx_IHuhSq3AJ5eI5OnqOPBNLWSHKh2a30DoXe8/edit?usp=sharing"",""ระนอง!J491"")"),0)</f>
        <v>0</v>
      </c>
      <c r="U87" s="307">
        <f t="shared" ca="1" si="9"/>
        <v>0</v>
      </c>
    </row>
    <row r="88" spans="1:21" ht="24" customHeight="1">
      <c r="A88" s="303">
        <v>12</v>
      </c>
      <c r="B88" s="304" t="s">
        <v>112</v>
      </c>
      <c r="C88" s="305">
        <f t="shared" ca="1" si="56"/>
        <v>376620</v>
      </c>
      <c r="D88" s="306">
        <f ca="1">IFERROR(__xludf.DUMMYFUNCTION("IMPORTRANGE(""https://docs.google.com/spreadsheets/d/1C3CXT74ZlgGe6_JY_1olB1XN4rF0dxEuIIF-xsYjHgg/edit?usp=sharing"",""งบกองทุน!EK92"")"),0)</f>
        <v>0</v>
      </c>
      <c r="E88" s="306">
        <f ca="1">IFERROR(__xludf.DUMMYFUNCTION("IMPORTRANGE(""https://docs.google.com/spreadsheets/d/1C3CXT74ZlgGe6_JY_1olB1XN4rF0dxEuIIF-xsYjHgg/edit?usp=sharing"",""งบกองทุน!EL92"")"),376620)</f>
        <v>376620</v>
      </c>
      <c r="F88" s="307">
        <f ca="1">IFERROR(__xludf.DUMMYFUNCTION("IMPORTRANGE(""https://docs.google.com/spreadsheets/d/1IYY_tgx_IHuhSq3AJ5eI5OnqOPBNLWSHKh2a30DoXe8/edit?usp=sharing"",""สงขลา!M475"")"),200020)</f>
        <v>200020</v>
      </c>
      <c r="G88" s="307">
        <f t="shared" ca="1" si="1"/>
        <v>53.109234772449682</v>
      </c>
      <c r="H88" s="306">
        <f ca="1">IFERROR(__xludf.DUMMYFUNCTION("IMPORTRANGE(""https://docs.google.com/spreadsheets/d/1C3CXT74ZlgGe6_JY_1olB1XN4rF0dxEuIIF-xsYjHgg/edit?usp=sharing"",""งบกองทุน!EM92"")"),220)</f>
        <v>220</v>
      </c>
      <c r="I88" s="306">
        <f t="shared" ca="1" si="57"/>
        <v>220</v>
      </c>
      <c r="J88" s="306">
        <f ca="1">IFERROR(__xludf.DUMMYFUNCTION("IMPORTRANGE(""https://docs.google.com/spreadsheets/d/1IYY_tgx_IHuhSq3AJ5eI5OnqOPBNLWSHKh2a30DoXe8/edit?usp=sharing"",""สงขลา!J484"")"),299)</f>
        <v>299</v>
      </c>
      <c r="K88" s="306">
        <f ca="1">IFERROR(__xludf.DUMMYFUNCTION("IMPORTRANGE(""https://docs.google.com/spreadsheets/d/1IYY_tgx_IHuhSq3AJ5eI5OnqOPBNLWSHKh2a30DoXe8/edit?usp=sharing"",""สงขลา!J485"")"),80.96)</f>
        <v>80.959999999999994</v>
      </c>
      <c r="L88" s="307">
        <f t="shared" ca="1" si="3"/>
        <v>135.90909090909091</v>
      </c>
      <c r="M88" s="306">
        <f ca="1">IFERROR(__xludf.DUMMYFUNCTION("IMPORTRANGE(""https://docs.google.com/spreadsheets/d/1IYY_tgx_IHuhSq3AJ5eI5OnqOPBNLWSHKh2a30DoXe8/edit?usp=sharing"",""สงขลา!J486"")"),83)</f>
        <v>83</v>
      </c>
      <c r="N88" s="306">
        <f ca="1">IFERROR(__xludf.DUMMYFUNCTION("IMPORTRANGE(""https://docs.google.com/spreadsheets/d/1IYY_tgx_IHuhSq3AJ5eI5OnqOPBNLWSHKh2a30DoXe8/edit?usp=sharing"",""สงขลา!J487"")"),25.99)</f>
        <v>25.99</v>
      </c>
      <c r="O88" s="307">
        <f t="shared" ca="1" si="5"/>
        <v>37.727272727272727</v>
      </c>
      <c r="P88" s="306">
        <f ca="1">IFERROR(__xludf.DUMMYFUNCTION("IMPORTRANGE(""https://docs.google.com/spreadsheets/d/1IYY_tgx_IHuhSq3AJ5eI5OnqOPBNLWSHKh2a30DoXe8/edit?usp=sharing"",""สงขลา!J488"")"),0)</f>
        <v>0</v>
      </c>
      <c r="Q88" s="307">
        <f ca="1">IFERROR(__xludf.DUMMYFUNCTION("IMPORTRANGE(""https://docs.google.com/spreadsheets/d/1IYY_tgx_IHuhSq3AJ5eI5OnqOPBNLWSHKh2a30DoXe8/edit?usp=sharing"",""สงขลา!J489"")"),0)</f>
        <v>0</v>
      </c>
      <c r="R88" s="307">
        <f t="shared" ca="1" si="7"/>
        <v>0</v>
      </c>
      <c r="S88" s="306">
        <f ca="1">IFERROR(__xludf.DUMMYFUNCTION("IMPORTRANGE(""https://docs.google.com/spreadsheets/d/1IYY_tgx_IHuhSq3AJ5eI5OnqOPBNLWSHKh2a30DoXe8/edit?usp=sharing"",""สงขลา!J490"")"),0)</f>
        <v>0</v>
      </c>
      <c r="T88" s="307">
        <f ca="1">IFERROR(__xludf.DUMMYFUNCTION("IMPORTRANGE(""https://docs.google.com/spreadsheets/d/1IYY_tgx_IHuhSq3AJ5eI5OnqOPBNLWSHKh2a30DoXe8/edit?usp=sharing"",""สงขลา!J491"")"),0)</f>
        <v>0</v>
      </c>
      <c r="U88" s="307">
        <f t="shared" ca="1" si="9"/>
        <v>0</v>
      </c>
    </row>
    <row r="89" spans="1:21" ht="24" customHeight="1">
      <c r="A89" s="303">
        <v>13</v>
      </c>
      <c r="B89" s="304" t="s">
        <v>113</v>
      </c>
      <c r="C89" s="305">
        <f t="shared" ca="1" si="56"/>
        <v>0</v>
      </c>
      <c r="D89" s="306">
        <f ca="1">IFERROR(__xludf.DUMMYFUNCTION("IMPORTRANGE(""https://docs.google.com/spreadsheets/d/1C3CXT74ZlgGe6_JY_1olB1XN4rF0dxEuIIF-xsYjHgg/edit?usp=sharing"",""งบกองทุน!EK93"")"),0)</f>
        <v>0</v>
      </c>
      <c r="E89" s="306">
        <f ca="1">IFERROR(__xludf.DUMMYFUNCTION("IMPORTRANGE(""https://docs.google.com/spreadsheets/d/1C3CXT74ZlgGe6_JY_1olB1XN4rF0dxEuIIF-xsYjHgg/edit?usp=sharing"",""งบกองทุน!EL93"")"),0)</f>
        <v>0</v>
      </c>
      <c r="F89" s="307">
        <f ca="1">IFERROR(__xludf.DUMMYFUNCTION("IMPORTRANGE(""https://docs.google.com/spreadsheets/d/1IYY_tgx_IHuhSq3AJ5eI5OnqOPBNLWSHKh2a30DoXe8/edit?usp=sharing"",""สตูล!M475"")"),0)</f>
        <v>0</v>
      </c>
      <c r="G89" s="307">
        <f t="shared" ca="1" si="1"/>
        <v>0</v>
      </c>
      <c r="H89" s="306">
        <f ca="1">IFERROR(__xludf.DUMMYFUNCTION("IMPORTRANGE(""https://docs.google.com/spreadsheets/d/1C3CXT74ZlgGe6_JY_1olB1XN4rF0dxEuIIF-xsYjHgg/edit?usp=sharing"",""งบกองทุน!EM93"")"),0)</f>
        <v>0</v>
      </c>
      <c r="I89" s="306">
        <f t="shared" ca="1" si="57"/>
        <v>0</v>
      </c>
      <c r="J89" s="306">
        <f ca="1">IFERROR(__xludf.DUMMYFUNCTION("IMPORTRANGE(""https://docs.google.com/spreadsheets/d/1IYY_tgx_IHuhSq3AJ5eI5OnqOPBNLWSHKh2a30DoXe8/edit?usp=sharing"",""สตูล!J484"")"),0)</f>
        <v>0</v>
      </c>
      <c r="K89" s="306">
        <f ca="1">IFERROR(__xludf.DUMMYFUNCTION("IMPORTRANGE(""https://docs.google.com/spreadsheets/d/1IYY_tgx_IHuhSq3AJ5eI5OnqOPBNLWSHKh2a30DoXe8/edit?usp=sharing"",""สตูล!J485"")"),0)</f>
        <v>0</v>
      </c>
      <c r="L89" s="307">
        <f t="shared" ca="1" si="3"/>
        <v>0</v>
      </c>
      <c r="M89" s="306">
        <f ca="1">IFERROR(__xludf.DUMMYFUNCTION("IMPORTRANGE(""https://docs.google.com/spreadsheets/d/1IYY_tgx_IHuhSq3AJ5eI5OnqOPBNLWSHKh2a30DoXe8/edit?usp=sharing"",""สตูล!J486"")"),0)</f>
        <v>0</v>
      </c>
      <c r="N89" s="306">
        <f ca="1">IFERROR(__xludf.DUMMYFUNCTION("IMPORTRANGE(""https://docs.google.com/spreadsheets/d/1IYY_tgx_IHuhSq3AJ5eI5OnqOPBNLWSHKh2a30DoXe8/edit?usp=sharing"",""สตูล!J487"")"),0)</f>
        <v>0</v>
      </c>
      <c r="O89" s="307">
        <f t="shared" ca="1" si="5"/>
        <v>0</v>
      </c>
      <c r="P89" s="306">
        <f ca="1">IFERROR(__xludf.DUMMYFUNCTION("IMPORTRANGE(""https://docs.google.com/spreadsheets/d/1IYY_tgx_IHuhSq3AJ5eI5OnqOPBNLWSHKh2a30DoXe8/edit?usp=sharing"",""สตูล!J488"")"),0)</f>
        <v>0</v>
      </c>
      <c r="Q89" s="307">
        <f ca="1">IFERROR(__xludf.DUMMYFUNCTION("IMPORTRANGE(""https://docs.google.com/spreadsheets/d/1IYY_tgx_IHuhSq3AJ5eI5OnqOPBNLWSHKh2a30DoXe8/edit?usp=sharing"",""สตูล!J489"")"),0)</f>
        <v>0</v>
      </c>
      <c r="R89" s="307">
        <f t="shared" ca="1" si="7"/>
        <v>0</v>
      </c>
      <c r="S89" s="306">
        <f ca="1">IFERROR(__xludf.DUMMYFUNCTION("IMPORTRANGE(""https://docs.google.com/spreadsheets/d/1IYY_tgx_IHuhSq3AJ5eI5OnqOPBNLWSHKh2a30DoXe8/edit?usp=sharing"",""สตูล!J490"")"),0)</f>
        <v>0</v>
      </c>
      <c r="T89" s="307">
        <f ca="1">IFERROR(__xludf.DUMMYFUNCTION("IMPORTRANGE(""https://docs.google.com/spreadsheets/d/1IYY_tgx_IHuhSq3AJ5eI5OnqOPBNLWSHKh2a30DoXe8/edit?usp=sharing"",""สตูล!J491"")"),0)</f>
        <v>0</v>
      </c>
      <c r="U89" s="307">
        <f t="shared" ca="1" si="9"/>
        <v>0</v>
      </c>
    </row>
    <row r="90" spans="1:21" ht="24" customHeight="1">
      <c r="A90" s="310">
        <v>14</v>
      </c>
      <c r="B90" s="311" t="s">
        <v>114</v>
      </c>
      <c r="C90" s="312">
        <f t="shared" ca="1" si="56"/>
        <v>0</v>
      </c>
      <c r="D90" s="313">
        <f ca="1">IFERROR(__xludf.DUMMYFUNCTION("IMPORTRANGE(""https://docs.google.com/spreadsheets/d/1C3CXT74ZlgGe6_JY_1olB1XN4rF0dxEuIIF-xsYjHgg/edit?usp=sharing"",""งบกองทุน!EK94"")"),0)</f>
        <v>0</v>
      </c>
      <c r="E90" s="313">
        <f ca="1">IFERROR(__xludf.DUMMYFUNCTION("IMPORTRANGE(""https://docs.google.com/spreadsheets/d/1C3CXT74ZlgGe6_JY_1olB1XN4rF0dxEuIIF-xsYjHgg/edit?usp=sharing"",""งบกองทุน!EL94"")"),0)</f>
        <v>0</v>
      </c>
      <c r="F90" s="314">
        <f ca="1">IFERROR(__xludf.DUMMYFUNCTION("IMPORTRANGE(""https://docs.google.com/spreadsheets/d/1IYY_tgx_IHuhSq3AJ5eI5OnqOPBNLWSHKh2a30DoXe8/edit?usp=sharing"",""สุราษฎร์ธานี!M475"")"),0)</f>
        <v>0</v>
      </c>
      <c r="G90" s="314">
        <f t="shared" ca="1" si="1"/>
        <v>0</v>
      </c>
      <c r="H90" s="313">
        <f ca="1">IFERROR(__xludf.DUMMYFUNCTION("IMPORTRANGE(""https://docs.google.com/spreadsheets/d/1C3CXT74ZlgGe6_JY_1olB1XN4rF0dxEuIIF-xsYjHgg/edit?usp=sharing"",""งบกองทุน!EM94"")"),0)</f>
        <v>0</v>
      </c>
      <c r="I90" s="313">
        <f t="shared" ca="1" si="57"/>
        <v>0</v>
      </c>
      <c r="J90" s="313">
        <f ca="1">IFERROR(__xludf.DUMMYFUNCTION("IMPORTRANGE(""https://docs.google.com/spreadsheets/d/1IYY_tgx_IHuhSq3AJ5eI5OnqOPBNLWSHKh2a30DoXe8/edit?usp=sharing"",""สุราษฎร์ธานี!J484"")"),0)</f>
        <v>0</v>
      </c>
      <c r="K90" s="313">
        <f ca="1">IFERROR(__xludf.DUMMYFUNCTION("IMPORTRANGE(""https://docs.google.com/spreadsheets/d/1IYY_tgx_IHuhSq3AJ5eI5OnqOPBNLWSHKh2a30DoXe8/edit?usp=sharing"",""สุราษฎร์ธานี!J485"")"),0)</f>
        <v>0</v>
      </c>
      <c r="L90" s="314">
        <f t="shared" ca="1" si="3"/>
        <v>0</v>
      </c>
      <c r="M90" s="313">
        <f ca="1">IFERROR(__xludf.DUMMYFUNCTION("IMPORTRANGE(""https://docs.google.com/spreadsheets/d/1IYY_tgx_IHuhSq3AJ5eI5OnqOPBNLWSHKh2a30DoXe8/edit?usp=sharing"",""สุราษฎร์ธานี!J486"")"),0)</f>
        <v>0</v>
      </c>
      <c r="N90" s="313">
        <f ca="1">IFERROR(__xludf.DUMMYFUNCTION("IMPORTRANGE(""https://docs.google.com/spreadsheets/d/1IYY_tgx_IHuhSq3AJ5eI5OnqOPBNLWSHKh2a30DoXe8/edit?usp=sharing"",""สุราษฎร์ธานี!J487"")"),0)</f>
        <v>0</v>
      </c>
      <c r="O90" s="314">
        <f t="shared" ca="1" si="5"/>
        <v>0</v>
      </c>
      <c r="P90" s="313">
        <f ca="1">IFERROR(__xludf.DUMMYFUNCTION("IMPORTRANGE(""https://docs.google.com/spreadsheets/d/1IYY_tgx_IHuhSq3AJ5eI5OnqOPBNLWSHKh2a30DoXe8/edit?usp=sharing"",""สุราษฎร์ธานี!J488"")"),0)</f>
        <v>0</v>
      </c>
      <c r="Q90" s="314">
        <f ca="1">IFERROR(__xludf.DUMMYFUNCTION("IMPORTRANGE(""https://docs.google.com/spreadsheets/d/1IYY_tgx_IHuhSq3AJ5eI5OnqOPBNLWSHKh2a30DoXe8/edit?usp=sharing"",""สุราษฎร์ธานี!J489"")"),0)</f>
        <v>0</v>
      </c>
      <c r="R90" s="314">
        <f t="shared" ca="1" si="7"/>
        <v>0</v>
      </c>
      <c r="S90" s="313">
        <f ca="1">IFERROR(__xludf.DUMMYFUNCTION("IMPORTRANGE(""https://docs.google.com/spreadsheets/d/1IYY_tgx_IHuhSq3AJ5eI5OnqOPBNLWSHKh2a30DoXe8/edit?usp=sharing"",""สุราษฎร์ธานี!J490"")"),0)</f>
        <v>0</v>
      </c>
      <c r="T90" s="314">
        <f ca="1">IFERROR(__xludf.DUMMYFUNCTION("IMPORTRANGE(""https://docs.google.com/spreadsheets/d/1IYY_tgx_IHuhSq3AJ5eI5OnqOPBNLWSHKh2a30DoXe8/edit?usp=sharing"",""สุราษฎร์ธานี!J491"")"),0)</f>
        <v>0</v>
      </c>
      <c r="U90" s="314">
        <f t="shared" ca="1" si="9"/>
        <v>0</v>
      </c>
    </row>
    <row r="91" spans="1:21" ht="21" hidden="1" customHeight="1">
      <c r="A91" s="791" t="s">
        <v>115</v>
      </c>
      <c r="B91" s="652"/>
      <c r="C91" s="322">
        <f t="shared" ref="C91:F91" ca="1" si="58">+C92+C93+C94+C95+C96+C97+C98+C99+C100+C101+C102+C103+C104+C105</f>
        <v>24846983</v>
      </c>
      <c r="D91" s="323">
        <f t="shared" ca="1" si="58"/>
        <v>0</v>
      </c>
      <c r="E91" s="323">
        <f t="shared" ca="1" si="58"/>
        <v>24846983</v>
      </c>
      <c r="F91" s="323">
        <f t="shared" si="58"/>
        <v>0</v>
      </c>
      <c r="G91" s="324">
        <f t="shared" ca="1" si="1"/>
        <v>0</v>
      </c>
      <c r="H91" s="323">
        <f t="shared" ref="H91:K91" si="59">+H92+H93+H94+H95+H96+H97+H98+H99+H100+H101+H102+H103+H104+H105</f>
        <v>0</v>
      </c>
      <c r="I91" s="323">
        <f t="shared" si="59"/>
        <v>0</v>
      </c>
      <c r="J91" s="323">
        <f t="shared" si="59"/>
        <v>0</v>
      </c>
      <c r="K91" s="323">
        <f t="shared" si="59"/>
        <v>0</v>
      </c>
      <c r="L91" s="324">
        <f t="shared" si="3"/>
        <v>0</v>
      </c>
      <c r="M91" s="323">
        <f t="shared" ref="M91:N91" si="60">+M92+M93+M94+M95+M96+M97+M98+M99+M100+M101+M102+M103+M104+M105</f>
        <v>0</v>
      </c>
      <c r="N91" s="323">
        <f t="shared" si="60"/>
        <v>0</v>
      </c>
      <c r="O91" s="324">
        <f t="shared" si="5"/>
        <v>0</v>
      </c>
      <c r="P91" s="323">
        <f t="shared" ref="P91:Q91" si="61">+P92+P93+P94+P95+P96+P97+P98+P99+P100+P101+P102+P103+P104+P105</f>
        <v>0</v>
      </c>
      <c r="Q91" s="323">
        <f t="shared" si="61"/>
        <v>0</v>
      </c>
      <c r="R91" s="324">
        <f t="shared" si="7"/>
        <v>0</v>
      </c>
      <c r="S91" s="323">
        <f t="shared" ref="S91:T91" si="62">+S92+S93+S94+S95+S96+S97+S98+S99+S100+S101+S102+S103+S104+S105</f>
        <v>0</v>
      </c>
      <c r="T91" s="323">
        <f t="shared" si="62"/>
        <v>0</v>
      </c>
      <c r="U91" s="324">
        <f t="shared" si="9"/>
        <v>0</v>
      </c>
    </row>
    <row r="92" spans="1:21" ht="24" hidden="1" customHeight="1">
      <c r="A92" s="325">
        <v>1</v>
      </c>
      <c r="B92" s="326" t="s">
        <v>116</v>
      </c>
      <c r="C92" s="295">
        <f t="shared" ref="C92:C105" ca="1" si="63">+D92+E92</f>
        <v>0</v>
      </c>
      <c r="D92" s="296">
        <f ca="1">IFERROR(__xludf.DUMMYFUNCTION("IMPORTRANGE(""https://docs.google.com/spreadsheets/d/1C3CXT74ZlgGe6_JY_1olB1XN4rF0dxEuIIF-xsYjHgg/edit?usp=sharing"",""งบกองทุน!EK96"")"),0)</f>
        <v>0</v>
      </c>
      <c r="E92" s="296">
        <f ca="1">IFERROR(__xludf.DUMMYFUNCTION("IMPORTRANGE(""https://docs.google.com/spreadsheets/d/1C3CXT74ZlgGe6_JY_1olB1XN4rF0dxEuIIF-xsYjHgg/edit?usp=sharing"",""งบกองทุน!EL96"")"),0)</f>
        <v>0</v>
      </c>
      <c r="F92" s="297">
        <v>0</v>
      </c>
      <c r="G92" s="297">
        <f t="shared" ca="1" si="1"/>
        <v>0</v>
      </c>
      <c r="H92" s="296">
        <v>0</v>
      </c>
      <c r="I92" s="296">
        <v>0</v>
      </c>
      <c r="J92" s="296">
        <v>0</v>
      </c>
      <c r="K92" s="296">
        <v>0</v>
      </c>
      <c r="L92" s="297">
        <f t="shared" si="3"/>
        <v>0</v>
      </c>
      <c r="M92" s="296">
        <v>0</v>
      </c>
      <c r="N92" s="296">
        <v>0</v>
      </c>
      <c r="O92" s="297">
        <f t="shared" si="5"/>
        <v>0</v>
      </c>
      <c r="P92" s="296">
        <v>0</v>
      </c>
      <c r="Q92" s="297">
        <v>0</v>
      </c>
      <c r="R92" s="297">
        <f t="shared" si="7"/>
        <v>0</v>
      </c>
      <c r="S92" s="296">
        <v>0</v>
      </c>
      <c r="T92" s="297">
        <v>0</v>
      </c>
      <c r="U92" s="297">
        <f t="shared" si="9"/>
        <v>0</v>
      </c>
    </row>
    <row r="93" spans="1:21" ht="24" hidden="1" customHeight="1">
      <c r="A93" s="327">
        <v>2</v>
      </c>
      <c r="B93" s="328" t="s">
        <v>117</v>
      </c>
      <c r="C93" s="305">
        <f t="shared" ca="1" si="63"/>
        <v>0</v>
      </c>
      <c r="D93" s="306">
        <f ca="1">IFERROR(__xludf.DUMMYFUNCTION("IMPORTRANGE(""https://docs.google.com/spreadsheets/d/1C3CXT74ZlgGe6_JY_1olB1XN4rF0dxEuIIF-xsYjHgg/edit?usp=sharing"",""งบกองทุน!EK97"")"),0)</f>
        <v>0</v>
      </c>
      <c r="E93" s="306">
        <f ca="1">IFERROR(__xludf.DUMMYFUNCTION("IMPORTRANGE(""https://docs.google.com/spreadsheets/d/1C3CXT74ZlgGe6_JY_1olB1XN4rF0dxEuIIF-xsYjHgg/edit?usp=sharing"",""งบกองทุน!EL97"")"),0)</f>
        <v>0</v>
      </c>
      <c r="F93" s="307">
        <v>0</v>
      </c>
      <c r="G93" s="307">
        <f t="shared" ca="1" si="1"/>
        <v>0</v>
      </c>
      <c r="H93" s="306">
        <v>0</v>
      </c>
      <c r="I93" s="306">
        <v>0</v>
      </c>
      <c r="J93" s="306">
        <v>0</v>
      </c>
      <c r="K93" s="306">
        <v>0</v>
      </c>
      <c r="L93" s="307">
        <f t="shared" si="3"/>
        <v>0</v>
      </c>
      <c r="M93" s="306">
        <v>0</v>
      </c>
      <c r="N93" s="306">
        <v>0</v>
      </c>
      <c r="O93" s="307">
        <f t="shared" si="5"/>
        <v>0</v>
      </c>
      <c r="P93" s="306">
        <v>0</v>
      </c>
      <c r="Q93" s="307">
        <v>0</v>
      </c>
      <c r="R93" s="307">
        <f t="shared" si="7"/>
        <v>0</v>
      </c>
      <c r="S93" s="306">
        <v>0</v>
      </c>
      <c r="T93" s="307">
        <v>0</v>
      </c>
      <c r="U93" s="307">
        <f t="shared" si="9"/>
        <v>0</v>
      </c>
    </row>
    <row r="94" spans="1:21" ht="24" hidden="1" customHeight="1">
      <c r="A94" s="327">
        <v>3</v>
      </c>
      <c r="B94" s="328" t="s">
        <v>118</v>
      </c>
      <c r="C94" s="305">
        <f t="shared" ca="1" si="63"/>
        <v>0</v>
      </c>
      <c r="D94" s="306">
        <f ca="1">IFERROR(__xludf.DUMMYFUNCTION("IMPORTRANGE(""https://docs.google.com/spreadsheets/d/1C3CXT74ZlgGe6_JY_1olB1XN4rF0dxEuIIF-xsYjHgg/edit?usp=sharing"",""งบกองทุน!EK98"")"),0)</f>
        <v>0</v>
      </c>
      <c r="E94" s="306">
        <f ca="1">IFERROR(__xludf.DUMMYFUNCTION("IMPORTRANGE(""https://docs.google.com/spreadsheets/d/1C3CXT74ZlgGe6_JY_1olB1XN4rF0dxEuIIF-xsYjHgg/edit?usp=sharing"",""งบกองทุน!EL98"")"),0)</f>
        <v>0</v>
      </c>
      <c r="F94" s="307">
        <v>0</v>
      </c>
      <c r="G94" s="307">
        <f t="shared" ca="1" si="1"/>
        <v>0</v>
      </c>
      <c r="H94" s="306">
        <v>0</v>
      </c>
      <c r="I94" s="306">
        <v>0</v>
      </c>
      <c r="J94" s="306">
        <v>0</v>
      </c>
      <c r="K94" s="306">
        <v>0</v>
      </c>
      <c r="L94" s="307">
        <f t="shared" si="3"/>
        <v>0</v>
      </c>
      <c r="M94" s="306">
        <v>0</v>
      </c>
      <c r="N94" s="306">
        <v>0</v>
      </c>
      <c r="O94" s="307">
        <f t="shared" si="5"/>
        <v>0</v>
      </c>
      <c r="P94" s="306">
        <v>0</v>
      </c>
      <c r="Q94" s="307">
        <v>0</v>
      </c>
      <c r="R94" s="307">
        <f t="shared" si="7"/>
        <v>0</v>
      </c>
      <c r="S94" s="306">
        <v>0</v>
      </c>
      <c r="T94" s="307">
        <v>0</v>
      </c>
      <c r="U94" s="307">
        <f t="shared" si="9"/>
        <v>0</v>
      </c>
    </row>
    <row r="95" spans="1:21" ht="24" hidden="1" customHeight="1">
      <c r="A95" s="327">
        <f t="shared" ref="A95:A105" si="64">+A94+1</f>
        <v>4</v>
      </c>
      <c r="B95" s="328" t="s">
        <v>119</v>
      </c>
      <c r="C95" s="305">
        <f t="shared" ca="1" si="63"/>
        <v>0</v>
      </c>
      <c r="D95" s="306">
        <f ca="1">IFERROR(__xludf.DUMMYFUNCTION("IMPORTRANGE(""https://docs.google.com/spreadsheets/d/1C3CXT74ZlgGe6_JY_1olB1XN4rF0dxEuIIF-xsYjHgg/edit?usp=sharing"",""งบกองทุน!EK99"")"),0)</f>
        <v>0</v>
      </c>
      <c r="E95" s="306">
        <f ca="1">IFERROR(__xludf.DUMMYFUNCTION("IMPORTRANGE(""https://docs.google.com/spreadsheets/d/1C3CXT74ZlgGe6_JY_1olB1XN4rF0dxEuIIF-xsYjHgg/edit?usp=sharing"",""งบกองทุน!EL99"")"),0)</f>
        <v>0</v>
      </c>
      <c r="F95" s="307">
        <v>0</v>
      </c>
      <c r="G95" s="307">
        <f t="shared" ca="1" si="1"/>
        <v>0</v>
      </c>
      <c r="H95" s="306">
        <v>0</v>
      </c>
      <c r="I95" s="306">
        <v>0</v>
      </c>
      <c r="J95" s="306">
        <v>0</v>
      </c>
      <c r="K95" s="306">
        <v>0</v>
      </c>
      <c r="L95" s="307">
        <f t="shared" si="3"/>
        <v>0</v>
      </c>
      <c r="M95" s="306">
        <v>0</v>
      </c>
      <c r="N95" s="306">
        <v>0</v>
      </c>
      <c r="O95" s="307">
        <f t="shared" si="5"/>
        <v>0</v>
      </c>
      <c r="P95" s="306">
        <v>0</v>
      </c>
      <c r="Q95" s="307">
        <v>0</v>
      </c>
      <c r="R95" s="307">
        <f t="shared" si="7"/>
        <v>0</v>
      </c>
      <c r="S95" s="306">
        <v>0</v>
      </c>
      <c r="T95" s="307">
        <v>0</v>
      </c>
      <c r="U95" s="307">
        <f t="shared" si="9"/>
        <v>0</v>
      </c>
    </row>
    <row r="96" spans="1:21" ht="24" hidden="1" customHeight="1">
      <c r="A96" s="327">
        <f t="shared" si="64"/>
        <v>5</v>
      </c>
      <c r="B96" s="328" t="s">
        <v>120</v>
      </c>
      <c r="C96" s="305">
        <f t="shared" ca="1" si="63"/>
        <v>0</v>
      </c>
      <c r="D96" s="306">
        <f ca="1">IFERROR(__xludf.DUMMYFUNCTION("IMPORTRANGE(""https://docs.google.com/spreadsheets/d/1C3CXT74ZlgGe6_JY_1olB1XN4rF0dxEuIIF-xsYjHgg/edit?usp=sharing"",""งบกองทุน!EK100"")"),0)</f>
        <v>0</v>
      </c>
      <c r="E96" s="306">
        <f ca="1">IFERROR(__xludf.DUMMYFUNCTION("IMPORTRANGE(""https://docs.google.com/spreadsheets/d/1C3CXT74ZlgGe6_JY_1olB1XN4rF0dxEuIIF-xsYjHgg/edit?usp=sharing"",""งบกองทุน!EL100"")"),0)</f>
        <v>0</v>
      </c>
      <c r="F96" s="307">
        <v>0</v>
      </c>
      <c r="G96" s="307">
        <f t="shared" ca="1" si="1"/>
        <v>0</v>
      </c>
      <c r="H96" s="306">
        <v>0</v>
      </c>
      <c r="I96" s="306">
        <v>0</v>
      </c>
      <c r="J96" s="306">
        <v>0</v>
      </c>
      <c r="K96" s="306">
        <v>0</v>
      </c>
      <c r="L96" s="307">
        <f t="shared" si="3"/>
        <v>0</v>
      </c>
      <c r="M96" s="306">
        <v>0</v>
      </c>
      <c r="N96" s="306">
        <v>0</v>
      </c>
      <c r="O96" s="307">
        <f t="shared" si="5"/>
        <v>0</v>
      </c>
      <c r="P96" s="306">
        <v>0</v>
      </c>
      <c r="Q96" s="307">
        <v>0</v>
      </c>
      <c r="R96" s="307">
        <f t="shared" si="7"/>
        <v>0</v>
      </c>
      <c r="S96" s="306">
        <v>0</v>
      </c>
      <c r="T96" s="307">
        <v>0</v>
      </c>
      <c r="U96" s="307">
        <f t="shared" si="9"/>
        <v>0</v>
      </c>
    </row>
    <row r="97" spans="1:21" ht="24" hidden="1" customHeight="1">
      <c r="A97" s="327">
        <f t="shared" si="64"/>
        <v>6</v>
      </c>
      <c r="B97" s="328" t="s">
        <v>121</v>
      </c>
      <c r="C97" s="305">
        <f t="shared" ca="1" si="63"/>
        <v>24846983</v>
      </c>
      <c r="D97" s="306">
        <f ca="1">IFERROR(__xludf.DUMMYFUNCTION("IMPORTRANGE(""https://docs.google.com/spreadsheets/d/1C3CXT74ZlgGe6_JY_1olB1XN4rF0dxEuIIF-xsYjHgg/edit?usp=sharing"",""งบกองทุน!EK101"")"),0)</f>
        <v>0</v>
      </c>
      <c r="E97" s="306">
        <f ca="1">IFERROR(__xludf.DUMMYFUNCTION("IMPORTRANGE(""https://docs.google.com/spreadsheets/d/1C3CXT74ZlgGe6_JY_1olB1XN4rF0dxEuIIF-xsYjHgg/edit?usp=sharing"",""งบกองทุน!EL101"")"),24846983)</f>
        <v>24846983</v>
      </c>
      <c r="F97" s="307">
        <v>0</v>
      </c>
      <c r="G97" s="307">
        <f t="shared" ca="1" si="1"/>
        <v>0</v>
      </c>
      <c r="H97" s="306">
        <v>0</v>
      </c>
      <c r="I97" s="306">
        <v>0</v>
      </c>
      <c r="J97" s="306">
        <v>0</v>
      </c>
      <c r="K97" s="306">
        <v>0</v>
      </c>
      <c r="L97" s="307">
        <f t="shared" si="3"/>
        <v>0</v>
      </c>
      <c r="M97" s="306">
        <v>0</v>
      </c>
      <c r="N97" s="306">
        <v>0</v>
      </c>
      <c r="O97" s="307">
        <f t="shared" si="5"/>
        <v>0</v>
      </c>
      <c r="P97" s="306">
        <v>0</v>
      </c>
      <c r="Q97" s="307">
        <v>0</v>
      </c>
      <c r="R97" s="307">
        <f t="shared" si="7"/>
        <v>0</v>
      </c>
      <c r="S97" s="306">
        <v>0</v>
      </c>
      <c r="T97" s="307">
        <v>0</v>
      </c>
      <c r="U97" s="307">
        <f t="shared" si="9"/>
        <v>0</v>
      </c>
    </row>
    <row r="98" spans="1:21" ht="24" hidden="1" customHeight="1">
      <c r="A98" s="327">
        <f t="shared" si="64"/>
        <v>7</v>
      </c>
      <c r="B98" s="328" t="s">
        <v>122</v>
      </c>
      <c r="C98" s="305">
        <f t="shared" ca="1" si="63"/>
        <v>0</v>
      </c>
      <c r="D98" s="306">
        <f ca="1">IFERROR(__xludf.DUMMYFUNCTION("IMPORTRANGE(""https://docs.google.com/spreadsheets/d/1C3CXT74ZlgGe6_JY_1olB1XN4rF0dxEuIIF-xsYjHgg/edit?usp=sharing"",""งบกองทุน!EK102"")"),0)</f>
        <v>0</v>
      </c>
      <c r="E98" s="306">
        <f ca="1">IFERROR(__xludf.DUMMYFUNCTION("IMPORTRANGE(""https://docs.google.com/spreadsheets/d/1C3CXT74ZlgGe6_JY_1olB1XN4rF0dxEuIIF-xsYjHgg/edit?usp=sharing"",""งบกองทุน!EL102"")"),0)</f>
        <v>0</v>
      </c>
      <c r="F98" s="307">
        <v>0</v>
      </c>
      <c r="G98" s="307">
        <f t="shared" ca="1" si="1"/>
        <v>0</v>
      </c>
      <c r="H98" s="306">
        <v>0</v>
      </c>
      <c r="I98" s="306">
        <v>0</v>
      </c>
      <c r="J98" s="306">
        <v>0</v>
      </c>
      <c r="K98" s="306">
        <v>0</v>
      </c>
      <c r="L98" s="307">
        <f t="shared" si="3"/>
        <v>0</v>
      </c>
      <c r="M98" s="306">
        <v>0</v>
      </c>
      <c r="N98" s="306">
        <v>0</v>
      </c>
      <c r="O98" s="307">
        <f t="shared" si="5"/>
        <v>0</v>
      </c>
      <c r="P98" s="306">
        <v>0</v>
      </c>
      <c r="Q98" s="307">
        <v>0</v>
      </c>
      <c r="R98" s="307">
        <f t="shared" si="7"/>
        <v>0</v>
      </c>
      <c r="S98" s="306">
        <v>0</v>
      </c>
      <c r="T98" s="307">
        <v>0</v>
      </c>
      <c r="U98" s="307">
        <f t="shared" si="9"/>
        <v>0</v>
      </c>
    </row>
    <row r="99" spans="1:21" ht="24" hidden="1" customHeight="1">
      <c r="A99" s="327">
        <f t="shared" si="64"/>
        <v>8</v>
      </c>
      <c r="B99" s="328" t="s">
        <v>123</v>
      </c>
      <c r="C99" s="305">
        <f t="shared" ca="1" si="63"/>
        <v>0</v>
      </c>
      <c r="D99" s="306">
        <f ca="1">IFERROR(__xludf.DUMMYFUNCTION("IMPORTRANGE(""https://docs.google.com/spreadsheets/d/1C3CXT74ZlgGe6_JY_1olB1XN4rF0dxEuIIF-xsYjHgg/edit?usp=sharing"",""งบกองทุน!EK103"")"),0)</f>
        <v>0</v>
      </c>
      <c r="E99" s="306">
        <f ca="1">IFERROR(__xludf.DUMMYFUNCTION("IMPORTRANGE(""https://docs.google.com/spreadsheets/d/1C3CXT74ZlgGe6_JY_1olB1XN4rF0dxEuIIF-xsYjHgg/edit?usp=sharing"",""งบกองทุน!EL103"")"),0)</f>
        <v>0</v>
      </c>
      <c r="F99" s="307">
        <v>0</v>
      </c>
      <c r="G99" s="307">
        <f t="shared" ca="1" si="1"/>
        <v>0</v>
      </c>
      <c r="H99" s="306">
        <v>0</v>
      </c>
      <c r="I99" s="306">
        <v>0</v>
      </c>
      <c r="J99" s="306">
        <v>0</v>
      </c>
      <c r="K99" s="306">
        <v>0</v>
      </c>
      <c r="L99" s="307">
        <f t="shared" si="3"/>
        <v>0</v>
      </c>
      <c r="M99" s="306">
        <v>0</v>
      </c>
      <c r="N99" s="306">
        <v>0</v>
      </c>
      <c r="O99" s="307">
        <f t="shared" si="5"/>
        <v>0</v>
      </c>
      <c r="P99" s="306">
        <v>0</v>
      </c>
      <c r="Q99" s="307">
        <v>0</v>
      </c>
      <c r="R99" s="307">
        <f t="shared" si="7"/>
        <v>0</v>
      </c>
      <c r="S99" s="306">
        <v>0</v>
      </c>
      <c r="T99" s="307">
        <v>0</v>
      </c>
      <c r="U99" s="307">
        <f t="shared" si="9"/>
        <v>0</v>
      </c>
    </row>
    <row r="100" spans="1:21" ht="24" hidden="1" customHeight="1">
      <c r="A100" s="327">
        <f t="shared" si="64"/>
        <v>9</v>
      </c>
      <c r="B100" s="328" t="s">
        <v>124</v>
      </c>
      <c r="C100" s="305">
        <f t="shared" ca="1" si="63"/>
        <v>0</v>
      </c>
      <c r="D100" s="306">
        <f ca="1">IFERROR(__xludf.DUMMYFUNCTION("IMPORTRANGE(""https://docs.google.com/spreadsheets/d/1C3CXT74ZlgGe6_JY_1olB1XN4rF0dxEuIIF-xsYjHgg/edit?usp=sharing"",""งบกองทุน!EK104"")"),0)</f>
        <v>0</v>
      </c>
      <c r="E100" s="306">
        <f ca="1">IFERROR(__xludf.DUMMYFUNCTION("IMPORTRANGE(""https://docs.google.com/spreadsheets/d/1C3CXT74ZlgGe6_JY_1olB1XN4rF0dxEuIIF-xsYjHgg/edit?usp=sharing"",""งบกองทุน!EL104"")"),0)</f>
        <v>0</v>
      </c>
      <c r="F100" s="307">
        <v>0</v>
      </c>
      <c r="G100" s="307">
        <f t="shared" ca="1" si="1"/>
        <v>0</v>
      </c>
      <c r="H100" s="306">
        <v>0</v>
      </c>
      <c r="I100" s="306">
        <v>0</v>
      </c>
      <c r="J100" s="306">
        <v>0</v>
      </c>
      <c r="K100" s="306">
        <v>0</v>
      </c>
      <c r="L100" s="307">
        <f t="shared" si="3"/>
        <v>0</v>
      </c>
      <c r="M100" s="306">
        <v>0</v>
      </c>
      <c r="N100" s="306">
        <v>0</v>
      </c>
      <c r="O100" s="307">
        <f t="shared" si="5"/>
        <v>0</v>
      </c>
      <c r="P100" s="306">
        <v>0</v>
      </c>
      <c r="Q100" s="307">
        <v>0</v>
      </c>
      <c r="R100" s="307">
        <f t="shared" si="7"/>
        <v>0</v>
      </c>
      <c r="S100" s="306">
        <v>0</v>
      </c>
      <c r="T100" s="307">
        <v>0</v>
      </c>
      <c r="U100" s="307">
        <f t="shared" si="9"/>
        <v>0</v>
      </c>
    </row>
    <row r="101" spans="1:21" ht="24" hidden="1" customHeight="1">
      <c r="A101" s="327">
        <f t="shared" si="64"/>
        <v>10</v>
      </c>
      <c r="B101" s="328" t="s">
        <v>125</v>
      </c>
      <c r="C101" s="305">
        <f t="shared" ca="1" si="63"/>
        <v>0</v>
      </c>
      <c r="D101" s="306">
        <f ca="1">IFERROR(__xludf.DUMMYFUNCTION("IMPORTRANGE(""https://docs.google.com/spreadsheets/d/1C3CXT74ZlgGe6_JY_1olB1XN4rF0dxEuIIF-xsYjHgg/edit?usp=sharing"",""งบกองทุน!EK105"")"),0)</f>
        <v>0</v>
      </c>
      <c r="E101" s="306">
        <f ca="1">IFERROR(__xludf.DUMMYFUNCTION("IMPORTRANGE(""https://docs.google.com/spreadsheets/d/1C3CXT74ZlgGe6_JY_1olB1XN4rF0dxEuIIF-xsYjHgg/edit?usp=sharing"",""งบกองทุน!EL105"")"),0)</f>
        <v>0</v>
      </c>
      <c r="F101" s="307">
        <v>0</v>
      </c>
      <c r="G101" s="307">
        <f t="shared" ca="1" si="1"/>
        <v>0</v>
      </c>
      <c r="H101" s="306">
        <v>0</v>
      </c>
      <c r="I101" s="306">
        <v>0</v>
      </c>
      <c r="J101" s="306">
        <v>0</v>
      </c>
      <c r="K101" s="306">
        <v>0</v>
      </c>
      <c r="L101" s="307">
        <f t="shared" si="3"/>
        <v>0</v>
      </c>
      <c r="M101" s="306">
        <v>0</v>
      </c>
      <c r="N101" s="306">
        <v>0</v>
      </c>
      <c r="O101" s="307">
        <f t="shared" si="5"/>
        <v>0</v>
      </c>
      <c r="P101" s="306">
        <v>0</v>
      </c>
      <c r="Q101" s="307">
        <v>0</v>
      </c>
      <c r="R101" s="307">
        <f t="shared" si="7"/>
        <v>0</v>
      </c>
      <c r="S101" s="306">
        <v>0</v>
      </c>
      <c r="T101" s="307">
        <v>0</v>
      </c>
      <c r="U101" s="307">
        <f t="shared" si="9"/>
        <v>0</v>
      </c>
    </row>
    <row r="102" spans="1:21" ht="24" hidden="1" customHeight="1">
      <c r="A102" s="327">
        <f t="shared" si="64"/>
        <v>11</v>
      </c>
      <c r="B102" s="328" t="s">
        <v>126</v>
      </c>
      <c r="C102" s="305">
        <f t="shared" ca="1" si="63"/>
        <v>0</v>
      </c>
      <c r="D102" s="306">
        <f ca="1">IFERROR(__xludf.DUMMYFUNCTION("IMPORTRANGE(""https://docs.google.com/spreadsheets/d/1C3CXT74ZlgGe6_JY_1olB1XN4rF0dxEuIIF-xsYjHgg/edit?usp=sharing"",""งบกองทุน!EK106"")"),0)</f>
        <v>0</v>
      </c>
      <c r="E102" s="306">
        <f ca="1">IFERROR(__xludf.DUMMYFUNCTION("IMPORTRANGE(""https://docs.google.com/spreadsheets/d/1C3CXT74ZlgGe6_JY_1olB1XN4rF0dxEuIIF-xsYjHgg/edit?usp=sharing"",""งบกองทุน!EL106"")"),0)</f>
        <v>0</v>
      </c>
      <c r="F102" s="307">
        <v>0</v>
      </c>
      <c r="G102" s="307">
        <f t="shared" ca="1" si="1"/>
        <v>0</v>
      </c>
      <c r="H102" s="306">
        <v>0</v>
      </c>
      <c r="I102" s="306">
        <v>0</v>
      </c>
      <c r="J102" s="306">
        <v>0</v>
      </c>
      <c r="K102" s="306">
        <v>0</v>
      </c>
      <c r="L102" s="307">
        <f t="shared" si="3"/>
        <v>0</v>
      </c>
      <c r="M102" s="306">
        <v>0</v>
      </c>
      <c r="N102" s="306">
        <v>0</v>
      </c>
      <c r="O102" s="307">
        <f t="shared" si="5"/>
        <v>0</v>
      </c>
      <c r="P102" s="306">
        <v>0</v>
      </c>
      <c r="Q102" s="307">
        <v>0</v>
      </c>
      <c r="R102" s="307">
        <f t="shared" si="7"/>
        <v>0</v>
      </c>
      <c r="S102" s="306">
        <v>0</v>
      </c>
      <c r="T102" s="307">
        <v>0</v>
      </c>
      <c r="U102" s="307">
        <f t="shared" si="9"/>
        <v>0</v>
      </c>
    </row>
    <row r="103" spans="1:21" ht="24" hidden="1" customHeight="1">
      <c r="A103" s="327">
        <f t="shared" si="64"/>
        <v>12</v>
      </c>
      <c r="B103" s="328" t="s">
        <v>127</v>
      </c>
      <c r="C103" s="305">
        <f t="shared" ca="1" si="63"/>
        <v>0</v>
      </c>
      <c r="D103" s="306">
        <f ca="1">IFERROR(__xludf.DUMMYFUNCTION("IMPORTRANGE(""https://docs.google.com/spreadsheets/d/1C3CXT74ZlgGe6_JY_1olB1XN4rF0dxEuIIF-xsYjHgg/edit?usp=sharing"",""งบกองทุน!EK107"")"),0)</f>
        <v>0</v>
      </c>
      <c r="E103" s="306">
        <f ca="1">IFERROR(__xludf.DUMMYFUNCTION("IMPORTRANGE(""https://docs.google.com/spreadsheets/d/1C3CXT74ZlgGe6_JY_1olB1XN4rF0dxEuIIF-xsYjHgg/edit?usp=sharing"",""งบกองทุน!EL107"")"),0)</f>
        <v>0</v>
      </c>
      <c r="F103" s="307">
        <v>0</v>
      </c>
      <c r="G103" s="307">
        <f t="shared" ca="1" si="1"/>
        <v>0</v>
      </c>
      <c r="H103" s="306">
        <v>0</v>
      </c>
      <c r="I103" s="306">
        <v>0</v>
      </c>
      <c r="J103" s="306">
        <v>0</v>
      </c>
      <c r="K103" s="306">
        <v>0</v>
      </c>
      <c r="L103" s="307">
        <f t="shared" si="3"/>
        <v>0</v>
      </c>
      <c r="M103" s="306">
        <v>0</v>
      </c>
      <c r="N103" s="306">
        <v>0</v>
      </c>
      <c r="O103" s="307">
        <f t="shared" si="5"/>
        <v>0</v>
      </c>
      <c r="P103" s="306">
        <v>0</v>
      </c>
      <c r="Q103" s="307">
        <v>0</v>
      </c>
      <c r="R103" s="307">
        <f t="shared" si="7"/>
        <v>0</v>
      </c>
      <c r="S103" s="306">
        <v>0</v>
      </c>
      <c r="T103" s="307">
        <v>0</v>
      </c>
      <c r="U103" s="307">
        <f t="shared" si="9"/>
        <v>0</v>
      </c>
    </row>
    <row r="104" spans="1:21" ht="24" hidden="1" customHeight="1">
      <c r="A104" s="327">
        <f t="shared" si="64"/>
        <v>13</v>
      </c>
      <c r="B104" s="328" t="s">
        <v>128</v>
      </c>
      <c r="C104" s="305">
        <f t="shared" ca="1" si="63"/>
        <v>0</v>
      </c>
      <c r="D104" s="306">
        <f ca="1">IFERROR(__xludf.DUMMYFUNCTION("IMPORTRANGE(""https://docs.google.com/spreadsheets/d/1C3CXT74ZlgGe6_JY_1olB1XN4rF0dxEuIIF-xsYjHgg/edit?usp=sharing"",""งบกองทุน!EK108"")"),0)</f>
        <v>0</v>
      </c>
      <c r="E104" s="306">
        <f ca="1">IFERROR(__xludf.DUMMYFUNCTION("IMPORTRANGE(""https://docs.google.com/spreadsheets/d/1C3CXT74ZlgGe6_JY_1olB1XN4rF0dxEuIIF-xsYjHgg/edit?usp=sharing"",""งบกองทุน!EL108"")"),0)</f>
        <v>0</v>
      </c>
      <c r="F104" s="307">
        <v>0</v>
      </c>
      <c r="G104" s="307">
        <f t="shared" ca="1" si="1"/>
        <v>0</v>
      </c>
      <c r="H104" s="306">
        <v>0</v>
      </c>
      <c r="I104" s="306">
        <v>0</v>
      </c>
      <c r="J104" s="306">
        <v>0</v>
      </c>
      <c r="K104" s="306">
        <v>0</v>
      </c>
      <c r="L104" s="307">
        <f t="shared" si="3"/>
        <v>0</v>
      </c>
      <c r="M104" s="306">
        <v>0</v>
      </c>
      <c r="N104" s="306">
        <v>0</v>
      </c>
      <c r="O104" s="307">
        <f t="shared" si="5"/>
        <v>0</v>
      </c>
      <c r="P104" s="306">
        <v>0</v>
      </c>
      <c r="Q104" s="307">
        <v>0</v>
      </c>
      <c r="R104" s="307">
        <f t="shared" si="7"/>
        <v>0</v>
      </c>
      <c r="S104" s="306">
        <v>0</v>
      </c>
      <c r="T104" s="307">
        <v>0</v>
      </c>
      <c r="U104" s="307">
        <f t="shared" si="9"/>
        <v>0</v>
      </c>
    </row>
    <row r="105" spans="1:21" ht="24" hidden="1" customHeight="1">
      <c r="A105" s="329">
        <f t="shared" si="64"/>
        <v>14</v>
      </c>
      <c r="B105" s="330" t="s">
        <v>129</v>
      </c>
      <c r="C105" s="312">
        <f t="shared" ca="1" si="63"/>
        <v>0</v>
      </c>
      <c r="D105" s="313">
        <f ca="1">IFERROR(__xludf.DUMMYFUNCTION("IMPORTRANGE(""https://docs.google.com/spreadsheets/d/1C3CXT74ZlgGe6_JY_1olB1XN4rF0dxEuIIF-xsYjHgg/edit?usp=sharing"",""งบกองทุน!EK109"")"),0)</f>
        <v>0</v>
      </c>
      <c r="E105" s="313">
        <f ca="1">IFERROR(__xludf.DUMMYFUNCTION("IMPORTRANGE(""https://docs.google.com/spreadsheets/d/1C3CXT74ZlgGe6_JY_1olB1XN4rF0dxEuIIF-xsYjHgg/edit?usp=sharing"",""งบกองทุน!EL109"")"),0)</f>
        <v>0</v>
      </c>
      <c r="F105" s="314">
        <v>0</v>
      </c>
      <c r="G105" s="314">
        <f t="shared" ca="1" si="1"/>
        <v>0</v>
      </c>
      <c r="H105" s="313">
        <v>0</v>
      </c>
      <c r="I105" s="313">
        <v>0</v>
      </c>
      <c r="J105" s="313">
        <v>0</v>
      </c>
      <c r="K105" s="313">
        <v>0</v>
      </c>
      <c r="L105" s="314">
        <f t="shared" si="3"/>
        <v>0</v>
      </c>
      <c r="M105" s="313">
        <v>0</v>
      </c>
      <c r="N105" s="313">
        <v>0</v>
      </c>
      <c r="O105" s="314">
        <f t="shared" si="5"/>
        <v>0</v>
      </c>
      <c r="P105" s="313">
        <v>0</v>
      </c>
      <c r="Q105" s="314">
        <v>0</v>
      </c>
      <c r="R105" s="314">
        <f t="shared" si="7"/>
        <v>0</v>
      </c>
      <c r="S105" s="313">
        <v>0</v>
      </c>
      <c r="T105" s="314">
        <v>0</v>
      </c>
      <c r="U105" s="314">
        <f t="shared" si="9"/>
        <v>0</v>
      </c>
    </row>
    <row r="106" spans="1:21" ht="27.75" hidden="1" customHeight="1">
      <c r="A106" s="791" t="s">
        <v>130</v>
      </c>
      <c r="B106" s="652"/>
      <c r="C106" s="322">
        <f t="shared" ref="C106:F106" ca="1" si="65">+C107+C108+C109+C110+C111+C112+C113+C114</f>
        <v>0</v>
      </c>
      <c r="D106" s="323">
        <f t="shared" ca="1" si="65"/>
        <v>0</v>
      </c>
      <c r="E106" s="323">
        <f t="shared" ca="1" si="65"/>
        <v>0</v>
      </c>
      <c r="F106" s="323">
        <f t="shared" si="65"/>
        <v>0</v>
      </c>
      <c r="G106" s="324">
        <f t="shared" ca="1" si="1"/>
        <v>0</v>
      </c>
      <c r="H106" s="323">
        <f t="shared" ref="H106:K106" si="66">+H107+H108+H109+H110+H111+H112+H113+H114</f>
        <v>0</v>
      </c>
      <c r="I106" s="323">
        <f t="shared" si="66"/>
        <v>0</v>
      </c>
      <c r="J106" s="323">
        <f t="shared" si="66"/>
        <v>0</v>
      </c>
      <c r="K106" s="323">
        <f t="shared" si="66"/>
        <v>0</v>
      </c>
      <c r="L106" s="324">
        <f t="shared" si="3"/>
        <v>0</v>
      </c>
      <c r="M106" s="323">
        <f t="shared" ref="M106:N106" si="67">+M107+M108+M109+M110+M111+M112+M113+M114</f>
        <v>0</v>
      </c>
      <c r="N106" s="323">
        <f t="shared" si="67"/>
        <v>0</v>
      </c>
      <c r="O106" s="324">
        <f t="shared" si="5"/>
        <v>0</v>
      </c>
      <c r="P106" s="323">
        <f t="shared" ref="P106:Q106" si="68">+P107+P108+P109+P110+P111+P112+P113+P114</f>
        <v>0</v>
      </c>
      <c r="Q106" s="323">
        <f t="shared" si="68"/>
        <v>0</v>
      </c>
      <c r="R106" s="324">
        <f t="shared" si="7"/>
        <v>0</v>
      </c>
      <c r="S106" s="323">
        <f t="shared" ref="S106:T106" si="69">+S107+S108+S109+S110+S111+S112+S113+S114</f>
        <v>0</v>
      </c>
      <c r="T106" s="323">
        <f t="shared" si="69"/>
        <v>0</v>
      </c>
      <c r="U106" s="324">
        <f t="shared" si="9"/>
        <v>0</v>
      </c>
    </row>
    <row r="107" spans="1:21" ht="24" hidden="1" customHeight="1">
      <c r="A107" s="325">
        <v>1</v>
      </c>
      <c r="B107" s="326" t="s">
        <v>131</v>
      </c>
      <c r="C107" s="295">
        <f t="shared" ref="C107:C114" ca="1" si="70">+D107+E107</f>
        <v>0</v>
      </c>
      <c r="D107" s="296">
        <f ca="1">IFERROR(__xludf.DUMMYFUNCTION("IMPORTRANGE(""https://docs.google.com/spreadsheets/d/1C3CXT74ZlgGe6_JY_1olB1XN4rF0dxEuIIF-xsYjHgg/edit?usp=sharing"",""งบกองทุน!EK111"")"),0)</f>
        <v>0</v>
      </c>
      <c r="E107" s="296">
        <f ca="1">IFERROR(__xludf.DUMMYFUNCTION("IMPORTRANGE(""https://docs.google.com/spreadsheets/d/1C3CXT74ZlgGe6_JY_1olB1XN4rF0dxEuIIF-xsYjHgg/edit?usp=sharing"",""งบกองทุน!EL111"")"),0)</f>
        <v>0</v>
      </c>
      <c r="F107" s="297">
        <v>0</v>
      </c>
      <c r="G107" s="297">
        <f t="shared" ca="1" si="1"/>
        <v>0</v>
      </c>
      <c r="H107" s="296">
        <v>0</v>
      </c>
      <c r="I107" s="296">
        <v>0</v>
      </c>
      <c r="J107" s="296">
        <v>0</v>
      </c>
      <c r="K107" s="296">
        <v>0</v>
      </c>
      <c r="L107" s="297">
        <f t="shared" si="3"/>
        <v>0</v>
      </c>
      <c r="M107" s="296">
        <v>0</v>
      </c>
      <c r="N107" s="296">
        <v>0</v>
      </c>
      <c r="O107" s="297">
        <f t="shared" si="5"/>
        <v>0</v>
      </c>
      <c r="P107" s="296">
        <v>0</v>
      </c>
      <c r="Q107" s="297">
        <v>0</v>
      </c>
      <c r="R107" s="297">
        <f t="shared" si="7"/>
        <v>0</v>
      </c>
      <c r="S107" s="296">
        <v>0</v>
      </c>
      <c r="T107" s="297">
        <v>0</v>
      </c>
      <c r="U107" s="297">
        <f t="shared" si="9"/>
        <v>0</v>
      </c>
    </row>
    <row r="108" spans="1:21" ht="24" hidden="1" customHeight="1">
      <c r="A108" s="327">
        <v>2</v>
      </c>
      <c r="B108" s="328" t="s">
        <v>132</v>
      </c>
      <c r="C108" s="305">
        <f t="shared" ca="1" si="70"/>
        <v>0</v>
      </c>
      <c r="D108" s="306">
        <f ca="1">IFERROR(__xludf.DUMMYFUNCTION("IMPORTRANGE(""https://docs.google.com/spreadsheets/d/1C3CXT74ZlgGe6_JY_1olB1XN4rF0dxEuIIF-xsYjHgg/edit?usp=sharing"",""งบกองทุน!EK112"")"),0)</f>
        <v>0</v>
      </c>
      <c r="E108" s="306">
        <f ca="1">IFERROR(__xludf.DUMMYFUNCTION("IMPORTRANGE(""https://docs.google.com/spreadsheets/d/1C3CXT74ZlgGe6_JY_1olB1XN4rF0dxEuIIF-xsYjHgg/edit?usp=sharing"",""งบกองทุน!EL112"")"),0)</f>
        <v>0</v>
      </c>
      <c r="F108" s="307">
        <v>0</v>
      </c>
      <c r="G108" s="307">
        <f t="shared" ca="1" si="1"/>
        <v>0</v>
      </c>
      <c r="H108" s="306">
        <v>0</v>
      </c>
      <c r="I108" s="306">
        <v>0</v>
      </c>
      <c r="J108" s="306">
        <v>0</v>
      </c>
      <c r="K108" s="306">
        <v>0</v>
      </c>
      <c r="L108" s="307">
        <f t="shared" si="3"/>
        <v>0</v>
      </c>
      <c r="M108" s="306">
        <v>0</v>
      </c>
      <c r="N108" s="306">
        <v>0</v>
      </c>
      <c r="O108" s="307">
        <f t="shared" si="5"/>
        <v>0</v>
      </c>
      <c r="P108" s="306">
        <v>0</v>
      </c>
      <c r="Q108" s="307">
        <v>0</v>
      </c>
      <c r="R108" s="307">
        <f t="shared" si="7"/>
        <v>0</v>
      </c>
      <c r="S108" s="306">
        <v>0</v>
      </c>
      <c r="T108" s="307">
        <v>0</v>
      </c>
      <c r="U108" s="307">
        <f t="shared" si="9"/>
        <v>0</v>
      </c>
    </row>
    <row r="109" spans="1:21" ht="24" hidden="1" customHeight="1">
      <c r="A109" s="327">
        <v>3</v>
      </c>
      <c r="B109" s="328" t="s">
        <v>133</v>
      </c>
      <c r="C109" s="305">
        <f t="shared" ca="1" si="70"/>
        <v>0</v>
      </c>
      <c r="D109" s="306">
        <f ca="1">IFERROR(__xludf.DUMMYFUNCTION("IMPORTRANGE(""https://docs.google.com/spreadsheets/d/1C3CXT74ZlgGe6_JY_1olB1XN4rF0dxEuIIF-xsYjHgg/edit?usp=sharing"",""งบกองทุน!EK113"")"),0)</f>
        <v>0</v>
      </c>
      <c r="E109" s="306">
        <f ca="1">IFERROR(__xludf.DUMMYFUNCTION("IMPORTRANGE(""https://docs.google.com/spreadsheets/d/1C3CXT74ZlgGe6_JY_1olB1XN4rF0dxEuIIF-xsYjHgg/edit?usp=sharing"",""งบกองทุน!EL113"")"),0)</f>
        <v>0</v>
      </c>
      <c r="F109" s="307">
        <v>0</v>
      </c>
      <c r="G109" s="307">
        <f t="shared" ca="1" si="1"/>
        <v>0</v>
      </c>
      <c r="H109" s="306">
        <v>0</v>
      </c>
      <c r="I109" s="306">
        <v>0</v>
      </c>
      <c r="J109" s="306">
        <v>0</v>
      </c>
      <c r="K109" s="306">
        <v>0</v>
      </c>
      <c r="L109" s="307">
        <f t="shared" si="3"/>
        <v>0</v>
      </c>
      <c r="M109" s="306">
        <v>0</v>
      </c>
      <c r="N109" s="306">
        <v>0</v>
      </c>
      <c r="O109" s="307">
        <f t="shared" si="5"/>
        <v>0</v>
      </c>
      <c r="P109" s="306">
        <v>0</v>
      </c>
      <c r="Q109" s="307">
        <v>0</v>
      </c>
      <c r="R109" s="307">
        <f t="shared" si="7"/>
        <v>0</v>
      </c>
      <c r="S109" s="306">
        <v>0</v>
      </c>
      <c r="T109" s="307">
        <v>0</v>
      </c>
      <c r="U109" s="307">
        <f t="shared" si="9"/>
        <v>0</v>
      </c>
    </row>
    <row r="110" spans="1:21" ht="24" hidden="1" customHeight="1">
      <c r="A110" s="327">
        <f t="shared" ref="A110:A112" si="71">+A109+1</f>
        <v>4</v>
      </c>
      <c r="B110" s="328" t="s">
        <v>134</v>
      </c>
      <c r="C110" s="305">
        <f t="shared" ca="1" si="70"/>
        <v>0</v>
      </c>
      <c r="D110" s="306">
        <f ca="1">IFERROR(__xludf.DUMMYFUNCTION("IMPORTRANGE(""https://docs.google.com/spreadsheets/d/1C3CXT74ZlgGe6_JY_1olB1XN4rF0dxEuIIF-xsYjHgg/edit?usp=sharing"",""งบกองทุน!EK114"")"),0)</f>
        <v>0</v>
      </c>
      <c r="E110" s="306">
        <f ca="1">IFERROR(__xludf.DUMMYFUNCTION("IMPORTRANGE(""https://docs.google.com/spreadsheets/d/1C3CXT74ZlgGe6_JY_1olB1XN4rF0dxEuIIF-xsYjHgg/edit?usp=sharing"",""งบกองทุน!EL114"")"),0)</f>
        <v>0</v>
      </c>
      <c r="F110" s="307">
        <v>0</v>
      </c>
      <c r="G110" s="307">
        <f t="shared" ca="1" si="1"/>
        <v>0</v>
      </c>
      <c r="H110" s="306">
        <v>0</v>
      </c>
      <c r="I110" s="306">
        <v>0</v>
      </c>
      <c r="J110" s="306">
        <v>0</v>
      </c>
      <c r="K110" s="306">
        <v>0</v>
      </c>
      <c r="L110" s="307">
        <f t="shared" si="3"/>
        <v>0</v>
      </c>
      <c r="M110" s="306">
        <v>0</v>
      </c>
      <c r="N110" s="306">
        <v>0</v>
      </c>
      <c r="O110" s="307">
        <f t="shared" si="5"/>
        <v>0</v>
      </c>
      <c r="P110" s="306">
        <v>0</v>
      </c>
      <c r="Q110" s="307">
        <v>0</v>
      </c>
      <c r="R110" s="307">
        <f t="shared" si="7"/>
        <v>0</v>
      </c>
      <c r="S110" s="306">
        <v>0</v>
      </c>
      <c r="T110" s="307">
        <v>0</v>
      </c>
      <c r="U110" s="307">
        <f t="shared" si="9"/>
        <v>0</v>
      </c>
    </row>
    <row r="111" spans="1:21" ht="24" hidden="1" customHeight="1">
      <c r="A111" s="327">
        <f t="shared" si="71"/>
        <v>5</v>
      </c>
      <c r="B111" s="328" t="s">
        <v>135</v>
      </c>
      <c r="C111" s="305">
        <f t="shared" ca="1" si="70"/>
        <v>0</v>
      </c>
      <c r="D111" s="306">
        <f ca="1">IFERROR(__xludf.DUMMYFUNCTION("IMPORTRANGE(""https://docs.google.com/spreadsheets/d/1C3CXT74ZlgGe6_JY_1olB1XN4rF0dxEuIIF-xsYjHgg/edit?usp=sharing"",""งบกองทุน!EK115"")"),0)</f>
        <v>0</v>
      </c>
      <c r="E111" s="306">
        <f ca="1">IFERROR(__xludf.DUMMYFUNCTION("IMPORTRANGE(""https://docs.google.com/spreadsheets/d/1C3CXT74ZlgGe6_JY_1olB1XN4rF0dxEuIIF-xsYjHgg/edit?usp=sharing"",""งบกองทุน!EL115"")"),0)</f>
        <v>0</v>
      </c>
      <c r="F111" s="307">
        <v>0</v>
      </c>
      <c r="G111" s="307">
        <f t="shared" ca="1" si="1"/>
        <v>0</v>
      </c>
      <c r="H111" s="306">
        <v>0</v>
      </c>
      <c r="I111" s="306">
        <v>0</v>
      </c>
      <c r="J111" s="306">
        <v>0</v>
      </c>
      <c r="K111" s="306">
        <v>0</v>
      </c>
      <c r="L111" s="307">
        <f t="shared" si="3"/>
        <v>0</v>
      </c>
      <c r="M111" s="306">
        <v>0</v>
      </c>
      <c r="N111" s="306">
        <v>0</v>
      </c>
      <c r="O111" s="307">
        <f t="shared" si="5"/>
        <v>0</v>
      </c>
      <c r="P111" s="306">
        <v>0</v>
      </c>
      <c r="Q111" s="307">
        <v>0</v>
      </c>
      <c r="R111" s="307">
        <f t="shared" si="7"/>
        <v>0</v>
      </c>
      <c r="S111" s="306">
        <v>0</v>
      </c>
      <c r="T111" s="307">
        <v>0</v>
      </c>
      <c r="U111" s="307">
        <f t="shared" si="9"/>
        <v>0</v>
      </c>
    </row>
    <row r="112" spans="1:21" ht="24" hidden="1" customHeight="1">
      <c r="A112" s="327">
        <f t="shared" si="71"/>
        <v>6</v>
      </c>
      <c r="B112" s="328" t="s">
        <v>136</v>
      </c>
      <c r="C112" s="305">
        <f t="shared" ca="1" si="70"/>
        <v>0</v>
      </c>
      <c r="D112" s="306">
        <f ca="1">IFERROR(__xludf.DUMMYFUNCTION("IMPORTRANGE(""https://docs.google.com/spreadsheets/d/1C3CXT74ZlgGe6_JY_1olB1XN4rF0dxEuIIF-xsYjHgg/edit?usp=sharing"",""งบกองทุน!EK116"")"),0)</f>
        <v>0</v>
      </c>
      <c r="E112" s="306">
        <f ca="1">IFERROR(__xludf.DUMMYFUNCTION("IMPORTRANGE(""https://docs.google.com/spreadsheets/d/1C3CXT74ZlgGe6_JY_1olB1XN4rF0dxEuIIF-xsYjHgg/edit?usp=sharing"",""งบกองทุน!EL116"")"),0)</f>
        <v>0</v>
      </c>
      <c r="F112" s="307">
        <v>0</v>
      </c>
      <c r="G112" s="307">
        <f t="shared" ca="1" si="1"/>
        <v>0</v>
      </c>
      <c r="H112" s="306">
        <v>0</v>
      </c>
      <c r="I112" s="306">
        <v>0</v>
      </c>
      <c r="J112" s="306">
        <v>0</v>
      </c>
      <c r="K112" s="306">
        <v>0</v>
      </c>
      <c r="L112" s="307">
        <f t="shared" si="3"/>
        <v>0</v>
      </c>
      <c r="M112" s="306">
        <v>0</v>
      </c>
      <c r="N112" s="306">
        <v>0</v>
      </c>
      <c r="O112" s="307">
        <f t="shared" si="5"/>
        <v>0</v>
      </c>
      <c r="P112" s="306">
        <v>0</v>
      </c>
      <c r="Q112" s="307">
        <v>0</v>
      </c>
      <c r="R112" s="307">
        <f t="shared" si="7"/>
        <v>0</v>
      </c>
      <c r="S112" s="306">
        <v>0</v>
      </c>
      <c r="T112" s="307">
        <v>0</v>
      </c>
      <c r="U112" s="307">
        <f t="shared" si="9"/>
        <v>0</v>
      </c>
    </row>
    <row r="113" spans="1:21" ht="24" hidden="1" customHeight="1">
      <c r="A113" s="327">
        <v>7</v>
      </c>
      <c r="B113" s="328" t="s">
        <v>140</v>
      </c>
      <c r="C113" s="305">
        <f t="shared" ca="1" si="70"/>
        <v>0</v>
      </c>
      <c r="D113" s="306">
        <f ca="1">IFERROR(__xludf.DUMMYFUNCTION("IMPORTRANGE(""https://docs.google.com/spreadsheets/d/1C3CXT74ZlgGe6_JY_1olB1XN4rF0dxEuIIF-xsYjHgg/edit?usp=sharing"",""งบกองทุน!EK117"")"),0)</f>
        <v>0</v>
      </c>
      <c r="E113" s="306">
        <f ca="1">IFERROR(__xludf.DUMMYFUNCTION("IMPORTRANGE(""https://docs.google.com/spreadsheets/d/1C3CXT74ZlgGe6_JY_1olB1XN4rF0dxEuIIF-xsYjHgg/edit?usp=sharing"",""งบกองทุน!EL117"")"),0)</f>
        <v>0</v>
      </c>
      <c r="F113" s="307">
        <v>0</v>
      </c>
      <c r="G113" s="307">
        <f t="shared" ca="1" si="1"/>
        <v>0</v>
      </c>
      <c r="H113" s="306">
        <v>0</v>
      </c>
      <c r="I113" s="306">
        <v>0</v>
      </c>
      <c r="J113" s="306">
        <v>0</v>
      </c>
      <c r="K113" s="306">
        <v>0</v>
      </c>
      <c r="L113" s="307">
        <f t="shared" si="3"/>
        <v>0</v>
      </c>
      <c r="M113" s="306">
        <v>0</v>
      </c>
      <c r="N113" s="306">
        <v>0</v>
      </c>
      <c r="O113" s="307">
        <f t="shared" si="5"/>
        <v>0</v>
      </c>
      <c r="P113" s="306">
        <v>0</v>
      </c>
      <c r="Q113" s="307">
        <v>0</v>
      </c>
      <c r="R113" s="307">
        <f t="shared" si="7"/>
        <v>0</v>
      </c>
      <c r="S113" s="306">
        <v>0</v>
      </c>
      <c r="T113" s="307">
        <v>0</v>
      </c>
      <c r="U113" s="307">
        <f t="shared" si="9"/>
        <v>0</v>
      </c>
    </row>
    <row r="114" spans="1:21" ht="24" hidden="1" customHeight="1">
      <c r="A114" s="329">
        <v>8</v>
      </c>
      <c r="B114" s="330" t="s">
        <v>141</v>
      </c>
      <c r="C114" s="331">
        <f t="shared" ca="1" si="70"/>
        <v>0</v>
      </c>
      <c r="D114" s="332">
        <f ca="1">IFERROR(__xludf.DUMMYFUNCTION("IMPORTRANGE(""https://docs.google.com/spreadsheets/d/1C3CXT74ZlgGe6_JY_1olB1XN4rF0dxEuIIF-xsYjHgg/edit?usp=sharing"",""งบกองทุน!EK118"")"),0)</f>
        <v>0</v>
      </c>
      <c r="E114" s="332">
        <f ca="1">IFERROR(__xludf.DUMMYFUNCTION("IMPORTRANGE(""https://docs.google.com/spreadsheets/d/1C3CXT74ZlgGe6_JY_1olB1XN4rF0dxEuIIF-xsYjHgg/edit?usp=sharing"",""งบกองทุน!EL118"")"),0)</f>
        <v>0</v>
      </c>
      <c r="F114" s="333">
        <v>0</v>
      </c>
      <c r="G114" s="333">
        <f t="shared" ca="1" si="1"/>
        <v>0</v>
      </c>
      <c r="H114" s="332">
        <v>0</v>
      </c>
      <c r="I114" s="332">
        <v>0</v>
      </c>
      <c r="J114" s="332">
        <v>0</v>
      </c>
      <c r="K114" s="332">
        <v>0</v>
      </c>
      <c r="L114" s="333">
        <f t="shared" si="3"/>
        <v>0</v>
      </c>
      <c r="M114" s="332">
        <v>0</v>
      </c>
      <c r="N114" s="332">
        <v>0</v>
      </c>
      <c r="O114" s="333">
        <f t="shared" si="5"/>
        <v>0</v>
      </c>
      <c r="P114" s="306">
        <v>0</v>
      </c>
      <c r="Q114" s="333">
        <v>0</v>
      </c>
      <c r="R114" s="333">
        <f t="shared" si="7"/>
        <v>0</v>
      </c>
      <c r="S114" s="332">
        <v>0</v>
      </c>
      <c r="T114" s="333">
        <v>0</v>
      </c>
      <c r="U114" s="333">
        <f t="shared" si="9"/>
        <v>0</v>
      </c>
    </row>
    <row r="115" spans="1:21" ht="24" customHeight="1">
      <c r="A115" s="336"/>
      <c r="B115" s="336"/>
      <c r="C115" s="336"/>
      <c r="D115" s="336"/>
      <c r="E115" s="336"/>
      <c r="F115" s="336"/>
      <c r="G115" s="336"/>
      <c r="H115" s="336"/>
      <c r="I115" s="336"/>
      <c r="J115" s="338"/>
      <c r="K115" s="336"/>
      <c r="L115" s="336"/>
      <c r="M115" s="338"/>
      <c r="N115" s="336"/>
      <c r="O115" s="336"/>
      <c r="P115" s="338"/>
      <c r="Q115" s="336"/>
      <c r="R115" s="336"/>
      <c r="S115" s="338"/>
      <c r="T115" s="336"/>
      <c r="U115" s="336"/>
    </row>
    <row r="116" spans="1:21" ht="24" customHeight="1">
      <c r="A116" s="336"/>
      <c r="B116" s="336"/>
      <c r="C116" s="336"/>
      <c r="D116" s="336"/>
      <c r="E116" s="336"/>
      <c r="F116" s="336"/>
      <c r="G116" s="336"/>
      <c r="H116" s="336"/>
      <c r="I116" s="336"/>
      <c r="J116" s="338"/>
      <c r="K116" s="336"/>
      <c r="L116" s="336"/>
      <c r="M116" s="338"/>
      <c r="N116" s="336"/>
      <c r="O116" s="336"/>
      <c r="P116" s="338"/>
      <c r="Q116" s="336"/>
      <c r="R116" s="336"/>
      <c r="S116" s="338"/>
      <c r="T116" s="336"/>
      <c r="U116" s="336"/>
    </row>
    <row r="117" spans="1:21" ht="24" customHeight="1">
      <c r="A117" s="336"/>
      <c r="B117" s="336"/>
      <c r="C117" s="336"/>
      <c r="D117" s="336"/>
      <c r="E117" s="336"/>
      <c r="F117" s="336"/>
      <c r="G117" s="336"/>
      <c r="H117" s="336"/>
      <c r="I117" s="336"/>
      <c r="J117" s="338"/>
      <c r="K117" s="336"/>
      <c r="L117" s="336"/>
      <c r="M117" s="338"/>
      <c r="N117" s="336"/>
      <c r="O117" s="336"/>
      <c r="P117" s="338"/>
      <c r="Q117" s="336"/>
      <c r="R117" s="336"/>
      <c r="S117" s="338"/>
      <c r="T117" s="336"/>
      <c r="U117" s="336"/>
    </row>
    <row r="118" spans="1:21" ht="24" customHeight="1">
      <c r="A118" s="336"/>
      <c r="B118" s="336"/>
      <c r="C118" s="336"/>
      <c r="D118" s="336"/>
      <c r="E118" s="336"/>
      <c r="F118" s="336"/>
      <c r="G118" s="336"/>
      <c r="H118" s="336"/>
      <c r="I118" s="336"/>
      <c r="J118" s="338"/>
      <c r="K118" s="336"/>
      <c r="L118" s="336"/>
      <c r="M118" s="338"/>
      <c r="N118" s="336"/>
      <c r="O118" s="336"/>
      <c r="P118" s="338"/>
      <c r="Q118" s="336"/>
      <c r="R118" s="336"/>
      <c r="S118" s="338"/>
      <c r="T118" s="336"/>
      <c r="U118" s="336"/>
    </row>
    <row r="119" spans="1:21" ht="24" customHeight="1">
      <c r="A119" s="336"/>
      <c r="B119" s="336"/>
      <c r="C119" s="336"/>
      <c r="D119" s="336"/>
      <c r="E119" s="336"/>
      <c r="F119" s="336"/>
      <c r="G119" s="336"/>
      <c r="H119" s="336"/>
      <c r="I119" s="336"/>
      <c r="J119" s="338"/>
      <c r="K119" s="336"/>
      <c r="L119" s="336"/>
      <c r="M119" s="338"/>
      <c r="N119" s="336"/>
      <c r="O119" s="336"/>
      <c r="P119" s="338"/>
      <c r="Q119" s="336"/>
      <c r="R119" s="336"/>
      <c r="S119" s="338"/>
      <c r="T119" s="336"/>
      <c r="U119" s="336"/>
    </row>
    <row r="120" spans="1:21" ht="24" customHeight="1">
      <c r="A120" s="336"/>
      <c r="B120" s="336"/>
      <c r="C120" s="336"/>
      <c r="D120" s="336"/>
      <c r="E120" s="336"/>
      <c r="F120" s="336"/>
      <c r="G120" s="336"/>
      <c r="H120" s="336"/>
      <c r="I120" s="336"/>
      <c r="J120" s="338"/>
      <c r="K120" s="336"/>
      <c r="L120" s="336"/>
      <c r="M120" s="338"/>
      <c r="N120" s="336"/>
      <c r="O120" s="336"/>
      <c r="P120" s="338"/>
      <c r="Q120" s="336"/>
      <c r="R120" s="336"/>
      <c r="S120" s="338"/>
      <c r="T120" s="336"/>
      <c r="U120" s="336"/>
    </row>
    <row r="121" spans="1:21" ht="24" customHeight="1">
      <c r="A121" s="336"/>
      <c r="B121" s="336"/>
      <c r="C121" s="336"/>
      <c r="D121" s="336"/>
      <c r="E121" s="336"/>
      <c r="F121" s="336"/>
      <c r="G121" s="336"/>
      <c r="H121" s="336"/>
      <c r="I121" s="336"/>
      <c r="J121" s="338"/>
      <c r="K121" s="336"/>
      <c r="L121" s="336"/>
      <c r="M121" s="338"/>
      <c r="N121" s="336"/>
      <c r="O121" s="336"/>
      <c r="P121" s="338"/>
      <c r="Q121" s="336"/>
      <c r="R121" s="336"/>
      <c r="S121" s="338"/>
      <c r="T121" s="336"/>
      <c r="U121" s="336"/>
    </row>
    <row r="122" spans="1:21" ht="24" customHeight="1">
      <c r="A122" s="336"/>
      <c r="B122" s="336"/>
      <c r="C122" s="336"/>
      <c r="D122" s="336"/>
      <c r="E122" s="336"/>
      <c r="F122" s="336"/>
      <c r="G122" s="336"/>
      <c r="H122" s="336"/>
      <c r="I122" s="336"/>
      <c r="J122" s="338"/>
      <c r="K122" s="336"/>
      <c r="L122" s="336"/>
      <c r="M122" s="338"/>
      <c r="N122" s="336"/>
      <c r="O122" s="336"/>
      <c r="P122" s="338"/>
      <c r="Q122" s="336"/>
      <c r="R122" s="336"/>
      <c r="S122" s="338"/>
      <c r="T122" s="336"/>
      <c r="U122" s="336"/>
    </row>
    <row r="123" spans="1:21" ht="24" customHeight="1">
      <c r="A123" s="336"/>
      <c r="B123" s="336"/>
      <c r="C123" s="336"/>
      <c r="D123" s="336"/>
      <c r="E123" s="336"/>
      <c r="F123" s="336"/>
      <c r="G123" s="336"/>
      <c r="H123" s="336"/>
      <c r="I123" s="336"/>
      <c r="J123" s="338"/>
      <c r="K123" s="336"/>
      <c r="L123" s="336"/>
      <c r="M123" s="338"/>
      <c r="N123" s="336"/>
      <c r="O123" s="336"/>
      <c r="P123" s="338"/>
      <c r="Q123" s="336"/>
      <c r="R123" s="336"/>
      <c r="S123" s="338"/>
      <c r="T123" s="336"/>
      <c r="U123" s="336"/>
    </row>
    <row r="124" spans="1:21" ht="24" customHeight="1">
      <c r="A124" s="336"/>
      <c r="B124" s="336"/>
      <c r="C124" s="336"/>
      <c r="D124" s="336"/>
      <c r="E124" s="336"/>
      <c r="F124" s="336"/>
      <c r="G124" s="336"/>
      <c r="H124" s="336"/>
      <c r="I124" s="336"/>
      <c r="J124" s="338"/>
      <c r="K124" s="336"/>
      <c r="L124" s="336"/>
      <c r="M124" s="338"/>
      <c r="N124" s="336"/>
      <c r="O124" s="336"/>
      <c r="P124" s="338"/>
      <c r="Q124" s="336"/>
      <c r="R124" s="336"/>
      <c r="S124" s="338"/>
      <c r="T124" s="336"/>
      <c r="U124" s="336"/>
    </row>
    <row r="125" spans="1:21" ht="24" customHeight="1">
      <c r="A125" s="336"/>
      <c r="B125" s="336"/>
      <c r="C125" s="336"/>
      <c r="D125" s="336"/>
      <c r="E125" s="336"/>
      <c r="F125" s="336"/>
      <c r="G125" s="336"/>
      <c r="H125" s="336"/>
      <c r="I125" s="336"/>
      <c r="J125" s="338"/>
      <c r="K125" s="336"/>
      <c r="L125" s="336"/>
      <c r="M125" s="338"/>
      <c r="N125" s="336"/>
      <c r="O125" s="336"/>
      <c r="P125" s="338"/>
      <c r="Q125" s="336"/>
      <c r="R125" s="336"/>
      <c r="S125" s="338"/>
      <c r="T125" s="336"/>
      <c r="U125" s="336"/>
    </row>
    <row r="126" spans="1:21" ht="24" customHeight="1">
      <c r="A126" s="336"/>
      <c r="B126" s="336"/>
      <c r="C126" s="336"/>
      <c r="D126" s="336"/>
      <c r="E126" s="336"/>
      <c r="F126" s="336"/>
      <c r="G126" s="336"/>
      <c r="H126" s="336"/>
      <c r="I126" s="336"/>
      <c r="J126" s="338"/>
      <c r="K126" s="336"/>
      <c r="L126" s="336"/>
      <c r="M126" s="338"/>
      <c r="N126" s="336"/>
      <c r="O126" s="336"/>
      <c r="P126" s="338"/>
      <c r="Q126" s="336"/>
      <c r="R126" s="336"/>
      <c r="S126" s="338"/>
      <c r="T126" s="336"/>
      <c r="U126" s="336"/>
    </row>
    <row r="127" spans="1:21" ht="24" customHeight="1">
      <c r="A127" s="336"/>
      <c r="B127" s="336"/>
      <c r="C127" s="336"/>
      <c r="D127" s="336"/>
      <c r="E127" s="336"/>
      <c r="F127" s="336"/>
      <c r="G127" s="336"/>
      <c r="H127" s="336"/>
      <c r="I127" s="336"/>
      <c r="J127" s="338"/>
      <c r="K127" s="336"/>
      <c r="L127" s="336"/>
      <c r="M127" s="338"/>
      <c r="N127" s="336"/>
      <c r="O127" s="336"/>
      <c r="P127" s="338"/>
      <c r="Q127" s="336"/>
      <c r="R127" s="336"/>
      <c r="S127" s="338"/>
      <c r="T127" s="336"/>
      <c r="U127" s="336"/>
    </row>
    <row r="128" spans="1:21" ht="24" customHeight="1">
      <c r="A128" s="336"/>
      <c r="B128" s="336"/>
      <c r="C128" s="336"/>
      <c r="D128" s="336"/>
      <c r="E128" s="336"/>
      <c r="F128" s="336"/>
      <c r="G128" s="336"/>
      <c r="H128" s="336"/>
      <c r="I128" s="336"/>
      <c r="J128" s="338"/>
      <c r="K128" s="336"/>
      <c r="L128" s="336"/>
      <c r="M128" s="338"/>
      <c r="N128" s="336"/>
      <c r="O128" s="336"/>
      <c r="P128" s="338"/>
      <c r="Q128" s="336"/>
      <c r="R128" s="336"/>
      <c r="S128" s="338"/>
      <c r="T128" s="336"/>
      <c r="U128" s="336"/>
    </row>
    <row r="129" spans="1:21" ht="24" customHeight="1">
      <c r="A129" s="336"/>
      <c r="B129" s="336"/>
      <c r="C129" s="336"/>
      <c r="D129" s="336"/>
      <c r="E129" s="336"/>
      <c r="F129" s="336"/>
      <c r="G129" s="336"/>
      <c r="H129" s="336"/>
      <c r="I129" s="336"/>
      <c r="J129" s="338"/>
      <c r="K129" s="336"/>
      <c r="L129" s="336"/>
      <c r="M129" s="338"/>
      <c r="N129" s="336"/>
      <c r="O129" s="336"/>
      <c r="P129" s="338"/>
      <c r="Q129" s="336"/>
      <c r="R129" s="336"/>
      <c r="S129" s="338"/>
      <c r="T129" s="336"/>
      <c r="U129" s="336"/>
    </row>
    <row r="130" spans="1:21" ht="24" customHeight="1">
      <c r="A130" s="336"/>
      <c r="B130" s="336"/>
      <c r="C130" s="336"/>
      <c r="D130" s="336"/>
      <c r="E130" s="336"/>
      <c r="F130" s="336"/>
      <c r="G130" s="336"/>
      <c r="H130" s="336"/>
      <c r="I130" s="336"/>
      <c r="J130" s="338"/>
      <c r="K130" s="336"/>
      <c r="L130" s="336"/>
      <c r="M130" s="338"/>
      <c r="N130" s="336"/>
      <c r="O130" s="336"/>
      <c r="P130" s="338"/>
      <c r="Q130" s="336"/>
      <c r="R130" s="336"/>
      <c r="S130" s="338"/>
      <c r="T130" s="336"/>
      <c r="U130" s="336"/>
    </row>
    <row r="131" spans="1:21" ht="24" customHeight="1">
      <c r="A131" s="336"/>
      <c r="B131" s="336"/>
      <c r="C131" s="336"/>
      <c r="D131" s="336"/>
      <c r="E131" s="336"/>
      <c r="F131" s="336"/>
      <c r="G131" s="336"/>
      <c r="H131" s="336"/>
      <c r="I131" s="336"/>
      <c r="J131" s="338"/>
      <c r="K131" s="336"/>
      <c r="L131" s="336"/>
      <c r="M131" s="338"/>
      <c r="N131" s="336"/>
      <c r="O131" s="336"/>
      <c r="P131" s="338"/>
      <c r="Q131" s="336"/>
      <c r="R131" s="336"/>
      <c r="S131" s="338"/>
      <c r="T131" s="336"/>
      <c r="U131" s="336"/>
    </row>
    <row r="132" spans="1:21" ht="24" customHeight="1">
      <c r="A132" s="336"/>
      <c r="B132" s="336"/>
      <c r="C132" s="336"/>
      <c r="D132" s="336"/>
      <c r="E132" s="336"/>
      <c r="F132" s="336"/>
      <c r="G132" s="336"/>
      <c r="H132" s="336"/>
      <c r="I132" s="336"/>
      <c r="J132" s="338"/>
      <c r="K132" s="336"/>
      <c r="L132" s="336"/>
      <c r="M132" s="338"/>
      <c r="N132" s="336"/>
      <c r="O132" s="336"/>
      <c r="P132" s="338"/>
      <c r="Q132" s="336"/>
      <c r="R132" s="336"/>
      <c r="S132" s="338"/>
      <c r="T132" s="336"/>
      <c r="U132" s="336"/>
    </row>
    <row r="133" spans="1:21" ht="24" customHeight="1">
      <c r="A133" s="336"/>
      <c r="B133" s="336"/>
      <c r="C133" s="336"/>
      <c r="D133" s="336"/>
      <c r="E133" s="336"/>
      <c r="F133" s="336"/>
      <c r="G133" s="336"/>
      <c r="H133" s="336"/>
      <c r="I133" s="336"/>
      <c r="J133" s="338"/>
      <c r="K133" s="336"/>
      <c r="L133" s="336"/>
      <c r="M133" s="338"/>
      <c r="N133" s="336"/>
      <c r="O133" s="336"/>
      <c r="P133" s="338"/>
      <c r="Q133" s="336"/>
      <c r="R133" s="336"/>
      <c r="S133" s="338"/>
      <c r="T133" s="336"/>
      <c r="U133" s="336"/>
    </row>
    <row r="134" spans="1:21" ht="24" customHeight="1">
      <c r="A134" s="336"/>
      <c r="B134" s="336"/>
      <c r="C134" s="336"/>
      <c r="D134" s="336"/>
      <c r="E134" s="336"/>
      <c r="F134" s="336"/>
      <c r="G134" s="336"/>
      <c r="H134" s="336"/>
      <c r="I134" s="336"/>
      <c r="J134" s="338"/>
      <c r="K134" s="336"/>
      <c r="L134" s="336"/>
      <c r="M134" s="338"/>
      <c r="N134" s="336"/>
      <c r="O134" s="336"/>
      <c r="P134" s="338"/>
      <c r="Q134" s="336"/>
      <c r="R134" s="336"/>
      <c r="S134" s="338"/>
      <c r="T134" s="336"/>
      <c r="U134" s="336"/>
    </row>
    <row r="135" spans="1:21" ht="24" customHeight="1">
      <c r="A135" s="336"/>
      <c r="B135" s="336"/>
      <c r="C135" s="336"/>
      <c r="D135" s="336"/>
      <c r="E135" s="336"/>
      <c r="F135" s="336"/>
      <c r="G135" s="336"/>
      <c r="H135" s="336"/>
      <c r="I135" s="336"/>
      <c r="J135" s="338"/>
      <c r="K135" s="336"/>
      <c r="L135" s="336"/>
      <c r="M135" s="338"/>
      <c r="N135" s="336"/>
      <c r="O135" s="336"/>
      <c r="P135" s="338"/>
      <c r="Q135" s="336"/>
      <c r="R135" s="336"/>
      <c r="S135" s="338"/>
      <c r="T135" s="336"/>
      <c r="U135" s="336"/>
    </row>
    <row r="136" spans="1:21" ht="24" customHeight="1">
      <c r="A136" s="336"/>
      <c r="B136" s="336"/>
      <c r="C136" s="336"/>
      <c r="D136" s="336"/>
      <c r="E136" s="336"/>
      <c r="F136" s="336"/>
      <c r="G136" s="336"/>
      <c r="H136" s="336"/>
      <c r="I136" s="336"/>
      <c r="J136" s="338"/>
      <c r="K136" s="336"/>
      <c r="L136" s="336"/>
      <c r="M136" s="338"/>
      <c r="N136" s="336"/>
      <c r="O136" s="336"/>
      <c r="P136" s="338"/>
      <c r="Q136" s="336"/>
      <c r="R136" s="336"/>
      <c r="S136" s="338"/>
      <c r="T136" s="336"/>
      <c r="U136" s="336"/>
    </row>
    <row r="137" spans="1:21" ht="24" customHeight="1">
      <c r="A137" s="336"/>
      <c r="B137" s="336"/>
      <c r="C137" s="336"/>
      <c r="D137" s="336"/>
      <c r="E137" s="336"/>
      <c r="F137" s="336"/>
      <c r="G137" s="336"/>
      <c r="H137" s="336"/>
      <c r="I137" s="336"/>
      <c r="J137" s="338"/>
      <c r="K137" s="336"/>
      <c r="L137" s="336"/>
      <c r="M137" s="338"/>
      <c r="N137" s="336"/>
      <c r="O137" s="336"/>
      <c r="P137" s="338"/>
      <c r="Q137" s="336"/>
      <c r="R137" s="336"/>
      <c r="S137" s="338"/>
      <c r="T137" s="336"/>
      <c r="U137" s="336"/>
    </row>
    <row r="138" spans="1:21" ht="24" customHeight="1">
      <c r="A138" s="336"/>
      <c r="B138" s="336"/>
      <c r="C138" s="336"/>
      <c r="D138" s="336"/>
      <c r="E138" s="336"/>
      <c r="F138" s="336"/>
      <c r="G138" s="336"/>
      <c r="H138" s="336"/>
      <c r="I138" s="336"/>
      <c r="J138" s="338"/>
      <c r="K138" s="336"/>
      <c r="L138" s="336"/>
      <c r="M138" s="338"/>
      <c r="N138" s="336"/>
      <c r="O138" s="336"/>
      <c r="P138" s="338"/>
      <c r="Q138" s="336"/>
      <c r="R138" s="336"/>
      <c r="S138" s="338"/>
      <c r="T138" s="336"/>
      <c r="U138" s="336"/>
    </row>
    <row r="139" spans="1:21" ht="24" customHeight="1">
      <c r="A139" s="336"/>
      <c r="B139" s="336"/>
      <c r="C139" s="336"/>
      <c r="D139" s="336"/>
      <c r="E139" s="336"/>
      <c r="F139" s="336"/>
      <c r="G139" s="336"/>
      <c r="H139" s="336"/>
      <c r="I139" s="336"/>
      <c r="J139" s="338"/>
      <c r="K139" s="336"/>
      <c r="L139" s="336"/>
      <c r="M139" s="338"/>
      <c r="N139" s="336"/>
      <c r="O139" s="336"/>
      <c r="P139" s="338"/>
      <c r="Q139" s="336"/>
      <c r="R139" s="336"/>
      <c r="S139" s="338"/>
      <c r="T139" s="336"/>
      <c r="U139" s="336"/>
    </row>
    <row r="140" spans="1:21" ht="24" customHeight="1">
      <c r="A140" s="336"/>
      <c r="B140" s="336"/>
      <c r="C140" s="336"/>
      <c r="D140" s="336"/>
      <c r="E140" s="336"/>
      <c r="F140" s="336"/>
      <c r="G140" s="336"/>
      <c r="H140" s="336"/>
      <c r="I140" s="336"/>
      <c r="J140" s="338"/>
      <c r="K140" s="336"/>
      <c r="L140" s="336"/>
      <c r="M140" s="338"/>
      <c r="N140" s="336"/>
      <c r="O140" s="336"/>
      <c r="P140" s="338"/>
      <c r="Q140" s="336"/>
      <c r="R140" s="336"/>
      <c r="S140" s="338"/>
      <c r="T140" s="336"/>
      <c r="U140" s="336"/>
    </row>
    <row r="141" spans="1:21" ht="24" customHeight="1">
      <c r="A141" s="336"/>
      <c r="B141" s="336"/>
      <c r="C141" s="336"/>
      <c r="D141" s="336"/>
      <c r="E141" s="336"/>
      <c r="F141" s="336"/>
      <c r="G141" s="336"/>
      <c r="H141" s="336"/>
      <c r="I141" s="336"/>
      <c r="J141" s="338"/>
      <c r="K141" s="336"/>
      <c r="L141" s="336"/>
      <c r="M141" s="338"/>
      <c r="N141" s="336"/>
      <c r="O141" s="336"/>
      <c r="P141" s="338"/>
      <c r="Q141" s="336"/>
      <c r="R141" s="336"/>
      <c r="S141" s="338"/>
      <c r="T141" s="336"/>
      <c r="U141" s="336"/>
    </row>
    <row r="142" spans="1:21" ht="24" customHeight="1">
      <c r="A142" s="336"/>
      <c r="B142" s="336"/>
      <c r="C142" s="336"/>
      <c r="D142" s="336"/>
      <c r="E142" s="336"/>
      <c r="F142" s="336"/>
      <c r="G142" s="336"/>
      <c r="H142" s="336"/>
      <c r="I142" s="336"/>
      <c r="J142" s="338"/>
      <c r="K142" s="336"/>
      <c r="L142" s="336"/>
      <c r="M142" s="338"/>
      <c r="N142" s="336"/>
      <c r="O142" s="336"/>
      <c r="P142" s="338"/>
      <c r="Q142" s="336"/>
      <c r="R142" s="336"/>
      <c r="S142" s="338"/>
      <c r="T142" s="336"/>
      <c r="U142" s="336"/>
    </row>
    <row r="143" spans="1:21" ht="24" customHeight="1">
      <c r="A143" s="336"/>
      <c r="B143" s="336"/>
      <c r="C143" s="336"/>
      <c r="D143" s="336"/>
      <c r="E143" s="336"/>
      <c r="F143" s="336"/>
      <c r="G143" s="336"/>
      <c r="H143" s="336"/>
      <c r="I143" s="336"/>
      <c r="J143" s="338"/>
      <c r="K143" s="336"/>
      <c r="L143" s="336"/>
      <c r="M143" s="338"/>
      <c r="N143" s="336"/>
      <c r="O143" s="336"/>
      <c r="P143" s="338"/>
      <c r="Q143" s="336"/>
      <c r="R143" s="336"/>
      <c r="S143" s="338"/>
      <c r="T143" s="336"/>
      <c r="U143" s="336"/>
    </row>
    <row r="144" spans="1:21" ht="24" customHeight="1">
      <c r="A144" s="336"/>
      <c r="B144" s="336"/>
      <c r="C144" s="336"/>
      <c r="D144" s="336"/>
      <c r="E144" s="336"/>
      <c r="F144" s="336"/>
      <c r="G144" s="336"/>
      <c r="H144" s="336"/>
      <c r="I144" s="336"/>
      <c r="J144" s="338"/>
      <c r="K144" s="336"/>
      <c r="L144" s="336"/>
      <c r="M144" s="338"/>
      <c r="N144" s="336"/>
      <c r="O144" s="336"/>
      <c r="P144" s="338"/>
      <c r="Q144" s="336"/>
      <c r="R144" s="336"/>
      <c r="S144" s="338"/>
      <c r="T144" s="336"/>
      <c r="U144" s="336"/>
    </row>
    <row r="145" spans="1:21" ht="24" customHeight="1">
      <c r="A145" s="336"/>
      <c r="B145" s="336"/>
      <c r="C145" s="336"/>
      <c r="D145" s="336"/>
      <c r="E145" s="336"/>
      <c r="F145" s="336"/>
      <c r="G145" s="336"/>
      <c r="H145" s="336"/>
      <c r="I145" s="336"/>
      <c r="J145" s="338"/>
      <c r="K145" s="336"/>
      <c r="L145" s="336"/>
      <c r="M145" s="338"/>
      <c r="N145" s="336"/>
      <c r="O145" s="336"/>
      <c r="P145" s="338"/>
      <c r="Q145" s="336"/>
      <c r="R145" s="336"/>
      <c r="S145" s="338"/>
      <c r="T145" s="336"/>
      <c r="U145" s="336"/>
    </row>
    <row r="146" spans="1:21" ht="24" customHeight="1">
      <c r="A146" s="336"/>
      <c r="B146" s="336"/>
      <c r="C146" s="336"/>
      <c r="D146" s="336"/>
      <c r="E146" s="336"/>
      <c r="F146" s="336"/>
      <c r="G146" s="336"/>
      <c r="H146" s="336"/>
      <c r="I146" s="336"/>
      <c r="J146" s="338"/>
      <c r="K146" s="336"/>
      <c r="L146" s="336"/>
      <c r="M146" s="338"/>
      <c r="N146" s="336"/>
      <c r="O146" s="336"/>
      <c r="P146" s="338"/>
      <c r="Q146" s="336"/>
      <c r="R146" s="336"/>
      <c r="S146" s="338"/>
      <c r="T146" s="336"/>
      <c r="U146" s="336"/>
    </row>
    <row r="147" spans="1:21" ht="24" customHeight="1">
      <c r="A147" s="336"/>
      <c r="B147" s="336"/>
      <c r="C147" s="336"/>
      <c r="D147" s="336"/>
      <c r="E147" s="336"/>
      <c r="F147" s="336"/>
      <c r="G147" s="336"/>
      <c r="H147" s="336"/>
      <c r="I147" s="336"/>
      <c r="J147" s="338"/>
      <c r="K147" s="336"/>
      <c r="L147" s="336"/>
      <c r="M147" s="338"/>
      <c r="N147" s="336"/>
      <c r="O147" s="336"/>
      <c r="P147" s="338"/>
      <c r="Q147" s="336"/>
      <c r="R147" s="336"/>
      <c r="S147" s="338"/>
      <c r="T147" s="336"/>
      <c r="U147" s="336"/>
    </row>
    <row r="148" spans="1:21" ht="24" customHeight="1">
      <c r="A148" s="336"/>
      <c r="B148" s="336"/>
      <c r="C148" s="336"/>
      <c r="D148" s="336"/>
      <c r="E148" s="336"/>
      <c r="F148" s="336"/>
      <c r="G148" s="336"/>
      <c r="H148" s="336"/>
      <c r="I148" s="336"/>
      <c r="J148" s="338"/>
      <c r="K148" s="336"/>
      <c r="L148" s="336"/>
      <c r="M148" s="338"/>
      <c r="N148" s="336"/>
      <c r="O148" s="336"/>
      <c r="P148" s="338"/>
      <c r="Q148" s="336"/>
      <c r="R148" s="336"/>
      <c r="S148" s="338"/>
      <c r="T148" s="336"/>
      <c r="U148" s="336"/>
    </row>
    <row r="149" spans="1:21" ht="24" customHeight="1">
      <c r="A149" s="336"/>
      <c r="B149" s="336"/>
      <c r="C149" s="336"/>
      <c r="D149" s="336"/>
      <c r="E149" s="336"/>
      <c r="F149" s="336"/>
      <c r="G149" s="336"/>
      <c r="H149" s="336"/>
      <c r="I149" s="336"/>
      <c r="J149" s="338"/>
      <c r="K149" s="336"/>
      <c r="L149" s="336"/>
      <c r="M149" s="338"/>
      <c r="N149" s="336"/>
      <c r="O149" s="336"/>
      <c r="P149" s="338"/>
      <c r="Q149" s="336"/>
      <c r="R149" s="336"/>
      <c r="S149" s="338"/>
      <c r="T149" s="336"/>
      <c r="U149" s="336"/>
    </row>
    <row r="150" spans="1:21" ht="24" customHeight="1">
      <c r="A150" s="336"/>
      <c r="B150" s="336"/>
      <c r="C150" s="336"/>
      <c r="D150" s="336"/>
      <c r="E150" s="336"/>
      <c r="F150" s="336"/>
      <c r="G150" s="336"/>
      <c r="H150" s="336"/>
      <c r="I150" s="336"/>
      <c r="J150" s="338"/>
      <c r="K150" s="336"/>
      <c r="L150" s="336"/>
      <c r="M150" s="338"/>
      <c r="N150" s="336"/>
      <c r="O150" s="336"/>
      <c r="P150" s="338"/>
      <c r="Q150" s="336"/>
      <c r="R150" s="336"/>
      <c r="S150" s="338"/>
      <c r="T150" s="336"/>
      <c r="U150" s="336"/>
    </row>
    <row r="151" spans="1:21" ht="24" customHeight="1">
      <c r="A151" s="336"/>
      <c r="B151" s="336"/>
      <c r="C151" s="336"/>
      <c r="D151" s="336"/>
      <c r="E151" s="336"/>
      <c r="F151" s="336"/>
      <c r="G151" s="336"/>
      <c r="H151" s="336"/>
      <c r="I151" s="336"/>
      <c r="J151" s="338"/>
      <c r="K151" s="336"/>
      <c r="L151" s="336"/>
      <c r="M151" s="338"/>
      <c r="N151" s="336"/>
      <c r="O151" s="336"/>
      <c r="P151" s="338"/>
      <c r="Q151" s="336"/>
      <c r="R151" s="336"/>
      <c r="S151" s="338"/>
      <c r="T151" s="336"/>
      <c r="U151" s="336"/>
    </row>
    <row r="152" spans="1:21" ht="24" customHeight="1">
      <c r="A152" s="336"/>
      <c r="B152" s="336"/>
      <c r="C152" s="336"/>
      <c r="D152" s="336"/>
      <c r="E152" s="336"/>
      <c r="F152" s="336"/>
      <c r="G152" s="336"/>
      <c r="H152" s="336"/>
      <c r="I152" s="336"/>
      <c r="J152" s="338"/>
      <c r="K152" s="336"/>
      <c r="L152" s="336"/>
      <c r="M152" s="338"/>
      <c r="N152" s="336"/>
      <c r="O152" s="336"/>
      <c r="P152" s="338"/>
      <c r="Q152" s="336"/>
      <c r="R152" s="336"/>
      <c r="S152" s="338"/>
      <c r="T152" s="336"/>
      <c r="U152" s="336"/>
    </row>
    <row r="153" spans="1:21" ht="24" customHeight="1">
      <c r="A153" s="336"/>
      <c r="B153" s="336"/>
      <c r="C153" s="336"/>
      <c r="D153" s="336"/>
      <c r="E153" s="336"/>
      <c r="F153" s="336"/>
      <c r="G153" s="336"/>
      <c r="H153" s="336"/>
      <c r="I153" s="336"/>
      <c r="J153" s="338"/>
      <c r="K153" s="336"/>
      <c r="L153" s="336"/>
      <c r="M153" s="338"/>
      <c r="N153" s="336"/>
      <c r="O153" s="336"/>
      <c r="P153" s="338"/>
      <c r="Q153" s="336"/>
      <c r="R153" s="336"/>
      <c r="S153" s="338"/>
      <c r="T153" s="336"/>
      <c r="U153" s="336"/>
    </row>
    <row r="154" spans="1:21" ht="24" customHeight="1">
      <c r="A154" s="336"/>
      <c r="B154" s="336"/>
      <c r="C154" s="336"/>
      <c r="D154" s="336"/>
      <c r="E154" s="336"/>
      <c r="F154" s="336"/>
      <c r="G154" s="336"/>
      <c r="H154" s="336"/>
      <c r="I154" s="336"/>
      <c r="J154" s="338"/>
      <c r="K154" s="336"/>
      <c r="L154" s="336"/>
      <c r="M154" s="338"/>
      <c r="N154" s="336"/>
      <c r="O154" s="336"/>
      <c r="P154" s="338"/>
      <c r="Q154" s="336"/>
      <c r="R154" s="336"/>
      <c r="S154" s="338"/>
      <c r="T154" s="336"/>
      <c r="U154" s="336"/>
    </row>
    <row r="155" spans="1:21" ht="24" customHeight="1">
      <c r="A155" s="336"/>
      <c r="B155" s="336"/>
      <c r="C155" s="336"/>
      <c r="D155" s="336"/>
      <c r="E155" s="336"/>
      <c r="F155" s="336"/>
      <c r="G155" s="336"/>
      <c r="H155" s="336"/>
      <c r="I155" s="336"/>
      <c r="J155" s="338"/>
      <c r="K155" s="336"/>
      <c r="L155" s="336"/>
      <c r="M155" s="338"/>
      <c r="N155" s="336"/>
      <c r="O155" s="336"/>
      <c r="P155" s="338"/>
      <c r="Q155" s="336"/>
      <c r="R155" s="336"/>
      <c r="S155" s="338"/>
      <c r="T155" s="336"/>
      <c r="U155" s="336"/>
    </row>
    <row r="156" spans="1:21" ht="24" customHeight="1">
      <c r="A156" s="336"/>
      <c r="B156" s="336"/>
      <c r="C156" s="336"/>
      <c r="D156" s="336"/>
      <c r="E156" s="336"/>
      <c r="F156" s="336"/>
      <c r="G156" s="336"/>
      <c r="H156" s="336"/>
      <c r="I156" s="336"/>
      <c r="J156" s="338"/>
      <c r="K156" s="336"/>
      <c r="L156" s="336"/>
      <c r="M156" s="338"/>
      <c r="N156" s="336"/>
      <c r="O156" s="336"/>
      <c r="P156" s="338"/>
      <c r="Q156" s="336"/>
      <c r="R156" s="336"/>
      <c r="S156" s="338"/>
      <c r="T156" s="336"/>
      <c r="U156" s="336"/>
    </row>
    <row r="157" spans="1:21" ht="24" customHeight="1">
      <c r="A157" s="336"/>
      <c r="B157" s="336"/>
      <c r="C157" s="336"/>
      <c r="D157" s="336"/>
      <c r="E157" s="336"/>
      <c r="F157" s="336"/>
      <c r="G157" s="336"/>
      <c r="H157" s="336"/>
      <c r="I157" s="336"/>
      <c r="J157" s="338"/>
      <c r="K157" s="336"/>
      <c r="L157" s="336"/>
      <c r="M157" s="338"/>
      <c r="N157" s="336"/>
      <c r="O157" s="336"/>
      <c r="P157" s="338"/>
      <c r="Q157" s="336"/>
      <c r="R157" s="336"/>
      <c r="S157" s="338"/>
      <c r="T157" s="336"/>
      <c r="U157" s="336"/>
    </row>
    <row r="158" spans="1:21" ht="24" customHeight="1">
      <c r="A158" s="336"/>
      <c r="B158" s="336"/>
      <c r="C158" s="336"/>
      <c r="D158" s="336"/>
      <c r="E158" s="336"/>
      <c r="F158" s="336"/>
      <c r="G158" s="336"/>
      <c r="H158" s="336"/>
      <c r="I158" s="336"/>
      <c r="J158" s="338"/>
      <c r="K158" s="336"/>
      <c r="L158" s="336"/>
      <c r="M158" s="338"/>
      <c r="N158" s="336"/>
      <c r="O158" s="336"/>
      <c r="P158" s="338"/>
      <c r="Q158" s="336"/>
      <c r="R158" s="336"/>
      <c r="S158" s="338"/>
      <c r="T158" s="336"/>
      <c r="U158" s="336"/>
    </row>
    <row r="159" spans="1:21" ht="24" customHeight="1">
      <c r="A159" s="336"/>
      <c r="B159" s="336"/>
      <c r="C159" s="336"/>
      <c r="D159" s="336"/>
      <c r="E159" s="336"/>
      <c r="F159" s="336"/>
      <c r="G159" s="336"/>
      <c r="H159" s="336"/>
      <c r="I159" s="336"/>
      <c r="J159" s="338"/>
      <c r="K159" s="336"/>
      <c r="L159" s="336"/>
      <c r="M159" s="338"/>
      <c r="N159" s="336"/>
      <c r="O159" s="336"/>
      <c r="P159" s="338"/>
      <c r="Q159" s="336"/>
      <c r="R159" s="336"/>
      <c r="S159" s="338"/>
      <c r="T159" s="336"/>
      <c r="U159" s="336"/>
    </row>
    <row r="160" spans="1:21" ht="24" customHeight="1">
      <c r="A160" s="336"/>
      <c r="B160" s="336"/>
      <c r="C160" s="336"/>
      <c r="D160" s="336"/>
      <c r="E160" s="336"/>
      <c r="F160" s="336"/>
      <c r="G160" s="336"/>
      <c r="H160" s="336"/>
      <c r="I160" s="336"/>
      <c r="J160" s="338"/>
      <c r="K160" s="336"/>
      <c r="L160" s="336"/>
      <c r="M160" s="338"/>
      <c r="N160" s="336"/>
      <c r="O160" s="336"/>
      <c r="P160" s="338"/>
      <c r="Q160" s="336"/>
      <c r="R160" s="336"/>
      <c r="S160" s="338"/>
      <c r="T160" s="336"/>
      <c r="U160" s="336"/>
    </row>
    <row r="161" spans="1:21" ht="24" customHeight="1">
      <c r="A161" s="336"/>
      <c r="B161" s="336"/>
      <c r="C161" s="336"/>
      <c r="D161" s="336"/>
      <c r="E161" s="336"/>
      <c r="F161" s="336"/>
      <c r="G161" s="336"/>
      <c r="H161" s="336"/>
      <c r="I161" s="336"/>
      <c r="J161" s="338"/>
      <c r="K161" s="336"/>
      <c r="L161" s="336"/>
      <c r="M161" s="338"/>
      <c r="N161" s="336"/>
      <c r="O161" s="336"/>
      <c r="P161" s="338"/>
      <c r="Q161" s="336"/>
      <c r="R161" s="336"/>
      <c r="S161" s="338"/>
      <c r="T161" s="336"/>
      <c r="U161" s="336"/>
    </row>
    <row r="162" spans="1:21" ht="24" customHeight="1">
      <c r="A162" s="336"/>
      <c r="B162" s="336"/>
      <c r="C162" s="336"/>
      <c r="D162" s="336"/>
      <c r="E162" s="336"/>
      <c r="F162" s="336"/>
      <c r="G162" s="336"/>
      <c r="H162" s="336"/>
      <c r="I162" s="336"/>
      <c r="J162" s="338"/>
      <c r="K162" s="336"/>
      <c r="L162" s="336"/>
      <c r="M162" s="338"/>
      <c r="N162" s="336"/>
      <c r="O162" s="336"/>
      <c r="P162" s="338"/>
      <c r="Q162" s="336"/>
      <c r="R162" s="336"/>
      <c r="S162" s="338"/>
      <c r="T162" s="336"/>
      <c r="U162" s="336"/>
    </row>
    <row r="163" spans="1:21" ht="24" customHeight="1">
      <c r="A163" s="336"/>
      <c r="B163" s="336"/>
      <c r="C163" s="336"/>
      <c r="D163" s="336"/>
      <c r="E163" s="336"/>
      <c r="F163" s="336"/>
      <c r="G163" s="336"/>
      <c r="H163" s="336"/>
      <c r="I163" s="336"/>
      <c r="J163" s="338"/>
      <c r="K163" s="336"/>
      <c r="L163" s="336"/>
      <c r="M163" s="338"/>
      <c r="N163" s="336"/>
      <c r="O163" s="336"/>
      <c r="P163" s="338"/>
      <c r="Q163" s="336"/>
      <c r="R163" s="336"/>
      <c r="S163" s="338"/>
      <c r="T163" s="336"/>
      <c r="U163" s="336"/>
    </row>
    <row r="164" spans="1:21" ht="24" customHeight="1">
      <c r="A164" s="336"/>
      <c r="B164" s="336"/>
      <c r="C164" s="336"/>
      <c r="D164" s="336"/>
      <c r="E164" s="336"/>
      <c r="F164" s="336"/>
      <c r="G164" s="336"/>
      <c r="H164" s="336"/>
      <c r="I164" s="336"/>
      <c r="J164" s="338"/>
      <c r="K164" s="336"/>
      <c r="L164" s="336"/>
      <c r="M164" s="338"/>
      <c r="N164" s="336"/>
      <c r="O164" s="336"/>
      <c r="P164" s="338"/>
      <c r="Q164" s="336"/>
      <c r="R164" s="336"/>
      <c r="S164" s="338"/>
      <c r="T164" s="336"/>
      <c r="U164" s="336"/>
    </row>
    <row r="165" spans="1:21" ht="24" customHeight="1">
      <c r="A165" s="336"/>
      <c r="B165" s="336"/>
      <c r="C165" s="336"/>
      <c r="D165" s="336"/>
      <c r="E165" s="336"/>
      <c r="F165" s="336"/>
      <c r="G165" s="336"/>
      <c r="H165" s="336"/>
      <c r="I165" s="336"/>
      <c r="J165" s="338"/>
      <c r="K165" s="336"/>
      <c r="L165" s="336"/>
      <c r="M165" s="338"/>
      <c r="N165" s="336"/>
      <c r="O165" s="336"/>
      <c r="P165" s="338"/>
      <c r="Q165" s="336"/>
      <c r="R165" s="336"/>
      <c r="S165" s="338"/>
      <c r="T165" s="336"/>
      <c r="U165" s="336"/>
    </row>
    <row r="166" spans="1:21" ht="24" customHeight="1">
      <c r="A166" s="336"/>
      <c r="B166" s="336"/>
      <c r="C166" s="336"/>
      <c r="D166" s="336"/>
      <c r="E166" s="336"/>
      <c r="F166" s="336"/>
      <c r="G166" s="336"/>
      <c r="H166" s="336"/>
      <c r="I166" s="336"/>
      <c r="J166" s="338"/>
      <c r="K166" s="336"/>
      <c r="L166" s="336"/>
      <c r="M166" s="338"/>
      <c r="N166" s="336"/>
      <c r="O166" s="336"/>
      <c r="P166" s="338"/>
      <c r="Q166" s="336"/>
      <c r="R166" s="336"/>
      <c r="S166" s="338"/>
      <c r="T166" s="336"/>
      <c r="U166" s="336"/>
    </row>
    <row r="167" spans="1:21" ht="24" customHeight="1">
      <c r="A167" s="336"/>
      <c r="B167" s="336"/>
      <c r="C167" s="336"/>
      <c r="D167" s="336"/>
      <c r="E167" s="336"/>
      <c r="F167" s="336"/>
      <c r="G167" s="336"/>
      <c r="H167" s="336"/>
      <c r="I167" s="336"/>
      <c r="J167" s="338"/>
      <c r="K167" s="336"/>
      <c r="L167" s="336"/>
      <c r="M167" s="338"/>
      <c r="N167" s="336"/>
      <c r="O167" s="336"/>
      <c r="P167" s="338"/>
      <c r="Q167" s="336"/>
      <c r="R167" s="336"/>
      <c r="S167" s="338"/>
      <c r="T167" s="336"/>
      <c r="U167" s="336"/>
    </row>
    <row r="168" spans="1:21" ht="24" customHeight="1">
      <c r="A168" s="336"/>
      <c r="B168" s="336"/>
      <c r="C168" s="336"/>
      <c r="D168" s="336"/>
      <c r="E168" s="336"/>
      <c r="F168" s="336"/>
      <c r="G168" s="336"/>
      <c r="H168" s="336"/>
      <c r="I168" s="336"/>
      <c r="J168" s="338"/>
      <c r="K168" s="336"/>
      <c r="L168" s="336"/>
      <c r="M168" s="338"/>
      <c r="N168" s="336"/>
      <c r="O168" s="336"/>
      <c r="P168" s="338"/>
      <c r="Q168" s="336"/>
      <c r="R168" s="336"/>
      <c r="S168" s="338"/>
      <c r="T168" s="336"/>
      <c r="U168" s="336"/>
    </row>
    <row r="169" spans="1:21" ht="24" customHeight="1">
      <c r="A169" s="336"/>
      <c r="B169" s="336"/>
      <c r="C169" s="336"/>
      <c r="D169" s="336"/>
      <c r="E169" s="336"/>
      <c r="F169" s="336"/>
      <c r="G169" s="336"/>
      <c r="H169" s="336"/>
      <c r="I169" s="336"/>
      <c r="J169" s="338"/>
      <c r="K169" s="336"/>
      <c r="L169" s="336"/>
      <c r="M169" s="338"/>
      <c r="N169" s="336"/>
      <c r="O169" s="336"/>
      <c r="P169" s="338"/>
      <c r="Q169" s="336"/>
      <c r="R169" s="336"/>
      <c r="S169" s="338"/>
      <c r="T169" s="336"/>
      <c r="U169" s="336"/>
    </row>
    <row r="170" spans="1:21" ht="24" customHeight="1">
      <c r="A170" s="336"/>
      <c r="B170" s="336"/>
      <c r="C170" s="336"/>
      <c r="D170" s="336"/>
      <c r="E170" s="336"/>
      <c r="F170" s="336"/>
      <c r="G170" s="336"/>
      <c r="H170" s="336"/>
      <c r="I170" s="336"/>
      <c r="J170" s="338"/>
      <c r="K170" s="336"/>
      <c r="L170" s="336"/>
      <c r="M170" s="338"/>
      <c r="N170" s="336"/>
      <c r="O170" s="336"/>
      <c r="P170" s="338"/>
      <c r="Q170" s="336"/>
      <c r="R170" s="336"/>
      <c r="S170" s="338"/>
      <c r="T170" s="336"/>
      <c r="U170" s="336"/>
    </row>
    <row r="171" spans="1:21" ht="24" customHeight="1">
      <c r="A171" s="336"/>
      <c r="B171" s="336"/>
      <c r="C171" s="336"/>
      <c r="D171" s="336"/>
      <c r="E171" s="336"/>
      <c r="F171" s="336"/>
      <c r="G171" s="336"/>
      <c r="H171" s="336"/>
      <c r="I171" s="336"/>
      <c r="J171" s="338"/>
      <c r="K171" s="336"/>
      <c r="L171" s="336"/>
      <c r="M171" s="338"/>
      <c r="N171" s="336"/>
      <c r="O171" s="336"/>
      <c r="P171" s="338"/>
      <c r="Q171" s="336"/>
      <c r="R171" s="336"/>
      <c r="S171" s="338"/>
      <c r="T171" s="336"/>
      <c r="U171" s="336"/>
    </row>
    <row r="172" spans="1:21" ht="24" customHeight="1">
      <c r="A172" s="336"/>
      <c r="B172" s="336"/>
      <c r="C172" s="336"/>
      <c r="D172" s="336"/>
      <c r="E172" s="336"/>
      <c r="F172" s="336"/>
      <c r="G172" s="336"/>
      <c r="H172" s="336"/>
      <c r="I172" s="336"/>
      <c r="J172" s="338"/>
      <c r="K172" s="336"/>
      <c r="L172" s="336"/>
      <c r="M172" s="338"/>
      <c r="N172" s="336"/>
      <c r="O172" s="336"/>
      <c r="P172" s="338"/>
      <c r="Q172" s="336"/>
      <c r="R172" s="336"/>
      <c r="S172" s="338"/>
      <c r="T172" s="336"/>
      <c r="U172" s="336"/>
    </row>
    <row r="173" spans="1:21" ht="24" customHeight="1">
      <c r="A173" s="336"/>
      <c r="B173" s="336"/>
      <c r="C173" s="336"/>
      <c r="D173" s="336"/>
      <c r="E173" s="336"/>
      <c r="F173" s="336"/>
      <c r="G173" s="336"/>
      <c r="H173" s="336"/>
      <c r="I173" s="336"/>
      <c r="J173" s="338"/>
      <c r="K173" s="336"/>
      <c r="L173" s="336"/>
      <c r="M173" s="338"/>
      <c r="N173" s="336"/>
      <c r="O173" s="336"/>
      <c r="P173" s="338"/>
      <c r="Q173" s="336"/>
      <c r="R173" s="336"/>
      <c r="S173" s="338"/>
      <c r="T173" s="336"/>
      <c r="U173" s="336"/>
    </row>
    <row r="174" spans="1:21" ht="24" customHeight="1">
      <c r="A174" s="336"/>
      <c r="B174" s="336"/>
      <c r="C174" s="336"/>
      <c r="D174" s="336"/>
      <c r="E174" s="336"/>
      <c r="F174" s="336"/>
      <c r="G174" s="336"/>
      <c r="H174" s="336"/>
      <c r="I174" s="336"/>
      <c r="J174" s="338"/>
      <c r="K174" s="336"/>
      <c r="L174" s="336"/>
      <c r="M174" s="338"/>
      <c r="N174" s="336"/>
      <c r="O174" s="336"/>
      <c r="P174" s="338"/>
      <c r="Q174" s="336"/>
      <c r="R174" s="336"/>
      <c r="S174" s="338"/>
      <c r="T174" s="336"/>
      <c r="U174" s="336"/>
    </row>
    <row r="175" spans="1:21" ht="24" customHeight="1">
      <c r="A175" s="336"/>
      <c r="B175" s="336"/>
      <c r="C175" s="336"/>
      <c r="D175" s="336"/>
      <c r="E175" s="336"/>
      <c r="F175" s="336"/>
      <c r="G175" s="336"/>
      <c r="H175" s="336"/>
      <c r="I175" s="336"/>
      <c r="J175" s="338"/>
      <c r="K175" s="336"/>
      <c r="L175" s="336"/>
      <c r="M175" s="338"/>
      <c r="N175" s="336"/>
      <c r="O175" s="336"/>
      <c r="P175" s="338"/>
      <c r="Q175" s="336"/>
      <c r="R175" s="336"/>
      <c r="S175" s="338"/>
      <c r="T175" s="336"/>
      <c r="U175" s="336"/>
    </row>
    <row r="176" spans="1:21" ht="24" customHeight="1">
      <c r="A176" s="336"/>
      <c r="B176" s="336"/>
      <c r="C176" s="336"/>
      <c r="D176" s="336"/>
      <c r="E176" s="336"/>
      <c r="F176" s="336"/>
      <c r="G176" s="336"/>
      <c r="H176" s="336"/>
      <c r="I176" s="336"/>
      <c r="J176" s="338"/>
      <c r="K176" s="336"/>
      <c r="L176" s="336"/>
      <c r="M176" s="338"/>
      <c r="N176" s="336"/>
      <c r="O176" s="336"/>
      <c r="P176" s="338"/>
      <c r="Q176" s="336"/>
      <c r="R176" s="336"/>
      <c r="S176" s="338"/>
      <c r="T176" s="336"/>
      <c r="U176" s="336"/>
    </row>
    <row r="177" spans="1:21" ht="24" customHeight="1">
      <c r="A177" s="336"/>
      <c r="B177" s="336"/>
      <c r="C177" s="336"/>
      <c r="D177" s="336"/>
      <c r="E177" s="336"/>
      <c r="F177" s="336"/>
      <c r="G177" s="336"/>
      <c r="H177" s="336"/>
      <c r="I177" s="336"/>
      <c r="J177" s="338"/>
      <c r="K177" s="336"/>
      <c r="L177" s="336"/>
      <c r="M177" s="338"/>
      <c r="N177" s="336"/>
      <c r="O177" s="336"/>
      <c r="P177" s="338"/>
      <c r="Q177" s="336"/>
      <c r="R177" s="336"/>
      <c r="S177" s="338"/>
      <c r="T177" s="336"/>
      <c r="U177" s="336"/>
    </row>
    <row r="178" spans="1:21" ht="24" customHeight="1">
      <c r="A178" s="336"/>
      <c r="B178" s="336"/>
      <c r="C178" s="336"/>
      <c r="D178" s="336"/>
      <c r="E178" s="336"/>
      <c r="F178" s="336"/>
      <c r="G178" s="336"/>
      <c r="H178" s="336"/>
      <c r="I178" s="336"/>
      <c r="J178" s="338"/>
      <c r="K178" s="336"/>
      <c r="L178" s="336"/>
      <c r="M178" s="338"/>
      <c r="N178" s="336"/>
      <c r="O178" s="336"/>
      <c r="P178" s="338"/>
      <c r="Q178" s="336"/>
      <c r="R178" s="336"/>
      <c r="S178" s="338"/>
      <c r="T178" s="336"/>
      <c r="U178" s="336"/>
    </row>
    <row r="179" spans="1:21" ht="24" customHeight="1">
      <c r="A179" s="336"/>
      <c r="B179" s="336"/>
      <c r="C179" s="336"/>
      <c r="D179" s="336"/>
      <c r="E179" s="336"/>
      <c r="F179" s="336"/>
      <c r="G179" s="336"/>
      <c r="H179" s="336"/>
      <c r="I179" s="336"/>
      <c r="J179" s="338"/>
      <c r="K179" s="336"/>
      <c r="L179" s="336"/>
      <c r="M179" s="338"/>
      <c r="N179" s="336"/>
      <c r="O179" s="336"/>
      <c r="P179" s="338"/>
      <c r="Q179" s="336"/>
      <c r="R179" s="336"/>
      <c r="S179" s="338"/>
      <c r="T179" s="336"/>
      <c r="U179" s="336"/>
    </row>
    <row r="180" spans="1:21" ht="24" customHeight="1">
      <c r="A180" s="336"/>
      <c r="B180" s="336"/>
      <c r="C180" s="336"/>
      <c r="D180" s="336"/>
      <c r="E180" s="336"/>
      <c r="F180" s="336"/>
      <c r="G180" s="336"/>
      <c r="H180" s="336"/>
      <c r="I180" s="336"/>
      <c r="J180" s="338"/>
      <c r="K180" s="336"/>
      <c r="L180" s="336"/>
      <c r="M180" s="338"/>
      <c r="N180" s="336"/>
      <c r="O180" s="336"/>
      <c r="P180" s="338"/>
      <c r="Q180" s="336"/>
      <c r="R180" s="336"/>
      <c r="S180" s="338"/>
      <c r="T180" s="336"/>
      <c r="U180" s="336"/>
    </row>
    <row r="181" spans="1:21" ht="24" customHeight="1">
      <c r="A181" s="336"/>
      <c r="B181" s="336"/>
      <c r="C181" s="336"/>
      <c r="D181" s="336"/>
      <c r="E181" s="336"/>
      <c r="F181" s="336"/>
      <c r="G181" s="336"/>
      <c r="H181" s="336"/>
      <c r="I181" s="336"/>
      <c r="J181" s="338"/>
      <c r="K181" s="336"/>
      <c r="L181" s="336"/>
      <c r="M181" s="338"/>
      <c r="N181" s="336"/>
      <c r="O181" s="336"/>
      <c r="P181" s="338"/>
      <c r="Q181" s="336"/>
      <c r="R181" s="336"/>
      <c r="S181" s="338"/>
      <c r="T181" s="336"/>
      <c r="U181" s="336"/>
    </row>
    <row r="182" spans="1:21" ht="24" customHeight="1">
      <c r="A182" s="336"/>
      <c r="B182" s="336"/>
      <c r="C182" s="336"/>
      <c r="D182" s="336"/>
      <c r="E182" s="336"/>
      <c r="F182" s="336"/>
      <c r="G182" s="336"/>
      <c r="H182" s="336"/>
      <c r="I182" s="336"/>
      <c r="J182" s="338"/>
      <c r="K182" s="336"/>
      <c r="L182" s="336"/>
      <c r="M182" s="338"/>
      <c r="N182" s="336"/>
      <c r="O182" s="336"/>
      <c r="P182" s="338"/>
      <c r="Q182" s="336"/>
      <c r="R182" s="336"/>
      <c r="S182" s="338"/>
      <c r="T182" s="336"/>
      <c r="U182" s="336"/>
    </row>
    <row r="183" spans="1:21" ht="24" customHeight="1">
      <c r="A183" s="336"/>
      <c r="B183" s="336"/>
      <c r="C183" s="336"/>
      <c r="D183" s="336"/>
      <c r="E183" s="336"/>
      <c r="F183" s="336"/>
      <c r="G183" s="336"/>
      <c r="H183" s="336"/>
      <c r="I183" s="336"/>
      <c r="J183" s="338"/>
      <c r="K183" s="336"/>
      <c r="L183" s="336"/>
      <c r="M183" s="338"/>
      <c r="N183" s="336"/>
      <c r="O183" s="336"/>
      <c r="P183" s="338"/>
      <c r="Q183" s="336"/>
      <c r="R183" s="336"/>
      <c r="S183" s="338"/>
      <c r="T183" s="336"/>
      <c r="U183" s="336"/>
    </row>
    <row r="184" spans="1:21" ht="24" customHeight="1">
      <c r="A184" s="336"/>
      <c r="B184" s="336"/>
      <c r="C184" s="336"/>
      <c r="D184" s="336"/>
      <c r="E184" s="336"/>
      <c r="F184" s="336"/>
      <c r="G184" s="336"/>
      <c r="H184" s="336"/>
      <c r="I184" s="336"/>
      <c r="J184" s="338"/>
      <c r="K184" s="336"/>
      <c r="L184" s="336"/>
      <c r="M184" s="338"/>
      <c r="N184" s="336"/>
      <c r="O184" s="336"/>
      <c r="P184" s="338"/>
      <c r="Q184" s="336"/>
      <c r="R184" s="336"/>
      <c r="S184" s="338"/>
      <c r="T184" s="336"/>
      <c r="U184" s="336"/>
    </row>
    <row r="185" spans="1:21" ht="24" customHeight="1">
      <c r="A185" s="336"/>
      <c r="B185" s="336"/>
      <c r="C185" s="336"/>
      <c r="D185" s="336"/>
      <c r="E185" s="336"/>
      <c r="F185" s="336"/>
      <c r="G185" s="336"/>
      <c r="H185" s="336"/>
      <c r="I185" s="336"/>
      <c r="J185" s="338"/>
      <c r="K185" s="336"/>
      <c r="L185" s="336"/>
      <c r="M185" s="338"/>
      <c r="N185" s="336"/>
      <c r="O185" s="336"/>
      <c r="P185" s="338"/>
      <c r="Q185" s="336"/>
      <c r="R185" s="336"/>
      <c r="S185" s="338"/>
      <c r="T185" s="336"/>
      <c r="U185" s="336"/>
    </row>
    <row r="186" spans="1:21" ht="24" customHeight="1">
      <c r="A186" s="336"/>
      <c r="B186" s="336"/>
      <c r="C186" s="336"/>
      <c r="D186" s="336"/>
      <c r="E186" s="336"/>
      <c r="F186" s="336"/>
      <c r="G186" s="336"/>
      <c r="H186" s="336"/>
      <c r="I186" s="336"/>
      <c r="J186" s="338"/>
      <c r="K186" s="336"/>
      <c r="L186" s="336"/>
      <c r="M186" s="338"/>
      <c r="N186" s="336"/>
      <c r="O186" s="336"/>
      <c r="P186" s="338"/>
      <c r="Q186" s="336"/>
      <c r="R186" s="336"/>
      <c r="S186" s="338"/>
      <c r="T186" s="336"/>
      <c r="U186" s="336"/>
    </row>
    <row r="187" spans="1:21" ht="24" customHeight="1">
      <c r="A187" s="336"/>
      <c r="B187" s="336"/>
      <c r="C187" s="336"/>
      <c r="D187" s="336"/>
      <c r="E187" s="336"/>
      <c r="F187" s="336"/>
      <c r="G187" s="336"/>
      <c r="H187" s="336"/>
      <c r="I187" s="336"/>
      <c r="J187" s="338"/>
      <c r="K187" s="336"/>
      <c r="L187" s="336"/>
      <c r="M187" s="338"/>
      <c r="N187" s="336"/>
      <c r="O187" s="336"/>
      <c r="P187" s="338"/>
      <c r="Q187" s="336"/>
      <c r="R187" s="336"/>
      <c r="S187" s="338"/>
      <c r="T187" s="336"/>
      <c r="U187" s="336"/>
    </row>
    <row r="188" spans="1:21" ht="24" customHeight="1">
      <c r="A188" s="336"/>
      <c r="B188" s="336"/>
      <c r="C188" s="336"/>
      <c r="D188" s="336"/>
      <c r="E188" s="336"/>
      <c r="F188" s="336"/>
      <c r="G188" s="336"/>
      <c r="H188" s="336"/>
      <c r="I188" s="336"/>
      <c r="J188" s="338"/>
      <c r="K188" s="336"/>
      <c r="L188" s="336"/>
      <c r="M188" s="338"/>
      <c r="N188" s="336"/>
      <c r="O188" s="336"/>
      <c r="P188" s="338"/>
      <c r="Q188" s="336"/>
      <c r="R188" s="336"/>
      <c r="S188" s="338"/>
      <c r="T188" s="336"/>
      <c r="U188" s="336"/>
    </row>
    <row r="189" spans="1:21" ht="24" customHeight="1">
      <c r="A189" s="336"/>
      <c r="B189" s="336"/>
      <c r="C189" s="336"/>
      <c r="D189" s="336"/>
      <c r="E189" s="336"/>
      <c r="F189" s="336"/>
      <c r="G189" s="336"/>
      <c r="H189" s="336"/>
      <c r="I189" s="336"/>
      <c r="J189" s="338"/>
      <c r="K189" s="336"/>
      <c r="L189" s="336"/>
      <c r="M189" s="338"/>
      <c r="N189" s="336"/>
      <c r="O189" s="336"/>
      <c r="P189" s="338"/>
      <c r="Q189" s="336"/>
      <c r="R189" s="336"/>
      <c r="S189" s="338"/>
      <c r="T189" s="336"/>
      <c r="U189" s="336"/>
    </row>
    <row r="190" spans="1:21" ht="24" customHeight="1">
      <c r="A190" s="336"/>
      <c r="B190" s="336"/>
      <c r="C190" s="336"/>
      <c r="D190" s="336"/>
      <c r="E190" s="336"/>
      <c r="F190" s="336"/>
      <c r="G190" s="336"/>
      <c r="H190" s="336"/>
      <c r="I190" s="336"/>
      <c r="J190" s="338"/>
      <c r="K190" s="336"/>
      <c r="L190" s="336"/>
      <c r="M190" s="338"/>
      <c r="N190" s="336"/>
      <c r="O190" s="336"/>
      <c r="P190" s="338"/>
      <c r="Q190" s="336"/>
      <c r="R190" s="336"/>
      <c r="S190" s="338"/>
      <c r="T190" s="336"/>
      <c r="U190" s="336"/>
    </row>
    <row r="191" spans="1:21" ht="24" customHeight="1">
      <c r="A191" s="336"/>
      <c r="B191" s="336"/>
      <c r="C191" s="336"/>
      <c r="D191" s="336"/>
      <c r="E191" s="336"/>
      <c r="F191" s="336"/>
      <c r="G191" s="336"/>
      <c r="H191" s="336"/>
      <c r="I191" s="336"/>
      <c r="J191" s="338"/>
      <c r="K191" s="336"/>
      <c r="L191" s="336"/>
      <c r="M191" s="338"/>
      <c r="N191" s="336"/>
      <c r="O191" s="336"/>
      <c r="P191" s="338"/>
      <c r="Q191" s="336"/>
      <c r="R191" s="336"/>
      <c r="S191" s="338"/>
      <c r="T191" s="336"/>
      <c r="U191" s="336"/>
    </row>
    <row r="192" spans="1:21" ht="24" customHeight="1">
      <c r="A192" s="336"/>
      <c r="B192" s="336"/>
      <c r="C192" s="336"/>
      <c r="D192" s="336"/>
      <c r="E192" s="336"/>
      <c r="F192" s="336"/>
      <c r="G192" s="336"/>
      <c r="H192" s="336"/>
      <c r="I192" s="336"/>
      <c r="J192" s="338"/>
      <c r="K192" s="336"/>
      <c r="L192" s="336"/>
      <c r="M192" s="338"/>
      <c r="N192" s="336"/>
      <c r="O192" s="336"/>
      <c r="P192" s="338"/>
      <c r="Q192" s="336"/>
      <c r="R192" s="336"/>
      <c r="S192" s="338"/>
      <c r="T192" s="336"/>
      <c r="U192" s="336"/>
    </row>
    <row r="193" spans="1:21" ht="24" customHeight="1">
      <c r="A193" s="336"/>
      <c r="B193" s="336"/>
      <c r="C193" s="336"/>
      <c r="D193" s="336"/>
      <c r="E193" s="336"/>
      <c r="F193" s="336"/>
      <c r="G193" s="336"/>
      <c r="H193" s="336"/>
      <c r="I193" s="336"/>
      <c r="J193" s="338"/>
      <c r="K193" s="336"/>
      <c r="L193" s="336"/>
      <c r="M193" s="338"/>
      <c r="N193" s="336"/>
      <c r="O193" s="336"/>
      <c r="P193" s="338"/>
      <c r="Q193" s="336"/>
      <c r="R193" s="336"/>
      <c r="S193" s="338"/>
      <c r="T193" s="336"/>
      <c r="U193" s="336"/>
    </row>
    <row r="194" spans="1:21" ht="24" customHeight="1">
      <c r="A194" s="336"/>
      <c r="B194" s="336"/>
      <c r="C194" s="336"/>
      <c r="D194" s="336"/>
      <c r="E194" s="336"/>
      <c r="F194" s="336"/>
      <c r="G194" s="336"/>
      <c r="H194" s="336"/>
      <c r="I194" s="336"/>
      <c r="J194" s="338"/>
      <c r="K194" s="336"/>
      <c r="L194" s="336"/>
      <c r="M194" s="338"/>
      <c r="N194" s="336"/>
      <c r="O194" s="336"/>
      <c r="P194" s="338"/>
      <c r="Q194" s="336"/>
      <c r="R194" s="336"/>
      <c r="S194" s="338"/>
      <c r="T194" s="336"/>
      <c r="U194" s="336"/>
    </row>
    <row r="195" spans="1:21" ht="24" customHeight="1">
      <c r="A195" s="336"/>
      <c r="B195" s="336"/>
      <c r="C195" s="336"/>
      <c r="D195" s="336"/>
      <c r="E195" s="336"/>
      <c r="F195" s="336"/>
      <c r="G195" s="336"/>
      <c r="H195" s="336"/>
      <c r="I195" s="336"/>
      <c r="J195" s="338"/>
      <c r="K195" s="336"/>
      <c r="L195" s="336"/>
      <c r="M195" s="338"/>
      <c r="N195" s="336"/>
      <c r="O195" s="336"/>
      <c r="P195" s="338"/>
      <c r="Q195" s="336"/>
      <c r="R195" s="336"/>
      <c r="S195" s="338"/>
      <c r="T195" s="336"/>
      <c r="U195" s="336"/>
    </row>
    <row r="196" spans="1:21" ht="24" customHeight="1">
      <c r="A196" s="336"/>
      <c r="B196" s="336"/>
      <c r="C196" s="336"/>
      <c r="D196" s="336"/>
      <c r="E196" s="336"/>
      <c r="F196" s="336"/>
      <c r="G196" s="336"/>
      <c r="H196" s="336"/>
      <c r="I196" s="336"/>
      <c r="J196" s="338"/>
      <c r="K196" s="336"/>
      <c r="L196" s="336"/>
      <c r="M196" s="338"/>
      <c r="N196" s="336"/>
      <c r="O196" s="336"/>
      <c r="P196" s="338"/>
      <c r="Q196" s="336"/>
      <c r="R196" s="336"/>
      <c r="S196" s="338"/>
      <c r="T196" s="336"/>
      <c r="U196" s="336"/>
    </row>
    <row r="197" spans="1:21" ht="24" customHeight="1">
      <c r="A197" s="336"/>
      <c r="B197" s="336"/>
      <c r="C197" s="336"/>
      <c r="D197" s="336"/>
      <c r="E197" s="336"/>
      <c r="F197" s="336"/>
      <c r="G197" s="336"/>
      <c r="H197" s="336"/>
      <c r="I197" s="336"/>
      <c r="J197" s="338"/>
      <c r="K197" s="336"/>
      <c r="L197" s="336"/>
      <c r="M197" s="338"/>
      <c r="N197" s="336"/>
      <c r="O197" s="336"/>
      <c r="P197" s="338"/>
      <c r="Q197" s="336"/>
      <c r="R197" s="336"/>
      <c r="S197" s="338"/>
      <c r="T197" s="336"/>
      <c r="U197" s="336"/>
    </row>
    <row r="198" spans="1:21" ht="24" customHeight="1">
      <c r="A198" s="336"/>
      <c r="B198" s="336"/>
      <c r="C198" s="336"/>
      <c r="D198" s="336"/>
      <c r="E198" s="336"/>
      <c r="F198" s="336"/>
      <c r="G198" s="336"/>
      <c r="H198" s="336"/>
      <c r="I198" s="336"/>
      <c r="J198" s="338"/>
      <c r="K198" s="336"/>
      <c r="L198" s="336"/>
      <c r="M198" s="338"/>
      <c r="N198" s="336"/>
      <c r="O198" s="336"/>
      <c r="P198" s="338"/>
      <c r="Q198" s="336"/>
      <c r="R198" s="336"/>
      <c r="S198" s="338"/>
      <c r="T198" s="336"/>
      <c r="U198" s="336"/>
    </row>
    <row r="199" spans="1:21" ht="24" customHeight="1">
      <c r="A199" s="336"/>
      <c r="B199" s="336"/>
      <c r="C199" s="336"/>
      <c r="D199" s="336"/>
      <c r="E199" s="336"/>
      <c r="F199" s="336"/>
      <c r="G199" s="336"/>
      <c r="H199" s="336"/>
      <c r="I199" s="336"/>
      <c r="J199" s="338"/>
      <c r="K199" s="336"/>
      <c r="L199" s="336"/>
      <c r="M199" s="338"/>
      <c r="N199" s="336"/>
      <c r="O199" s="336"/>
      <c r="P199" s="338"/>
      <c r="Q199" s="336"/>
      <c r="R199" s="336"/>
      <c r="S199" s="338"/>
      <c r="T199" s="336"/>
      <c r="U199" s="336"/>
    </row>
    <row r="200" spans="1:21" ht="24" customHeight="1">
      <c r="A200" s="336"/>
      <c r="B200" s="336"/>
      <c r="C200" s="336"/>
      <c r="D200" s="336"/>
      <c r="E200" s="336"/>
      <c r="F200" s="336"/>
      <c r="G200" s="336"/>
      <c r="H200" s="336"/>
      <c r="I200" s="336"/>
      <c r="J200" s="338"/>
      <c r="K200" s="336"/>
      <c r="L200" s="336"/>
      <c r="M200" s="338"/>
      <c r="N200" s="336"/>
      <c r="O200" s="336"/>
      <c r="P200" s="338"/>
      <c r="Q200" s="336"/>
      <c r="R200" s="336"/>
      <c r="S200" s="338"/>
      <c r="T200" s="336"/>
      <c r="U200" s="336"/>
    </row>
    <row r="201" spans="1:21" ht="24" customHeight="1">
      <c r="A201" s="336"/>
      <c r="B201" s="336"/>
      <c r="C201" s="336"/>
      <c r="D201" s="336"/>
      <c r="E201" s="336"/>
      <c r="F201" s="336"/>
      <c r="G201" s="336"/>
      <c r="H201" s="336"/>
      <c r="I201" s="336"/>
      <c r="J201" s="338"/>
      <c r="K201" s="336"/>
      <c r="L201" s="336"/>
      <c r="M201" s="338"/>
      <c r="N201" s="336"/>
      <c r="O201" s="336"/>
      <c r="P201" s="338"/>
      <c r="Q201" s="336"/>
      <c r="R201" s="336"/>
      <c r="S201" s="338"/>
      <c r="T201" s="336"/>
      <c r="U201" s="336"/>
    </row>
    <row r="202" spans="1:21" ht="24" customHeight="1">
      <c r="A202" s="336"/>
      <c r="B202" s="336"/>
      <c r="C202" s="336"/>
      <c r="D202" s="336"/>
      <c r="E202" s="336"/>
      <c r="F202" s="336"/>
      <c r="G202" s="336"/>
      <c r="H202" s="336"/>
      <c r="I202" s="336"/>
      <c r="J202" s="338"/>
      <c r="K202" s="336"/>
      <c r="L202" s="336"/>
      <c r="M202" s="338"/>
      <c r="N202" s="336"/>
      <c r="O202" s="336"/>
      <c r="P202" s="338"/>
      <c r="Q202" s="336"/>
      <c r="R202" s="336"/>
      <c r="S202" s="338"/>
      <c r="T202" s="336"/>
      <c r="U202" s="336"/>
    </row>
    <row r="203" spans="1:21" ht="24" customHeight="1">
      <c r="A203" s="336"/>
      <c r="B203" s="336"/>
      <c r="C203" s="336"/>
      <c r="D203" s="336"/>
      <c r="E203" s="336"/>
      <c r="F203" s="336"/>
      <c r="G203" s="336"/>
      <c r="H203" s="336"/>
      <c r="I203" s="336"/>
      <c r="J203" s="338"/>
      <c r="K203" s="336"/>
      <c r="L203" s="336"/>
      <c r="M203" s="338"/>
      <c r="N203" s="336"/>
      <c r="O203" s="336"/>
      <c r="P203" s="338"/>
      <c r="Q203" s="336"/>
      <c r="R203" s="336"/>
      <c r="S203" s="338"/>
      <c r="T203" s="336"/>
      <c r="U203" s="336"/>
    </row>
    <row r="204" spans="1:21" ht="24" customHeight="1">
      <c r="A204" s="336"/>
      <c r="B204" s="336"/>
      <c r="C204" s="336"/>
      <c r="D204" s="336"/>
      <c r="E204" s="336"/>
      <c r="F204" s="336"/>
      <c r="G204" s="336"/>
      <c r="H204" s="336"/>
      <c r="I204" s="336"/>
      <c r="J204" s="338"/>
      <c r="K204" s="336"/>
      <c r="L204" s="336"/>
      <c r="M204" s="338"/>
      <c r="N204" s="336"/>
      <c r="O204" s="336"/>
      <c r="P204" s="338"/>
      <c r="Q204" s="336"/>
      <c r="R204" s="336"/>
      <c r="S204" s="338"/>
      <c r="T204" s="336"/>
      <c r="U204" s="336"/>
    </row>
    <row r="205" spans="1:21" ht="24" customHeight="1">
      <c r="A205" s="336"/>
      <c r="B205" s="336"/>
      <c r="C205" s="336"/>
      <c r="D205" s="336"/>
      <c r="E205" s="336"/>
      <c r="F205" s="336"/>
      <c r="G205" s="336"/>
      <c r="H205" s="336"/>
      <c r="I205" s="336"/>
      <c r="J205" s="338"/>
      <c r="K205" s="336"/>
      <c r="L205" s="336"/>
      <c r="M205" s="338"/>
      <c r="N205" s="336"/>
      <c r="O205" s="336"/>
      <c r="P205" s="338"/>
      <c r="Q205" s="336"/>
      <c r="R205" s="336"/>
      <c r="S205" s="338"/>
      <c r="T205" s="336"/>
      <c r="U205" s="336"/>
    </row>
    <row r="206" spans="1:21" ht="24" customHeight="1">
      <c r="A206" s="336"/>
      <c r="B206" s="336"/>
      <c r="C206" s="336"/>
      <c r="D206" s="336"/>
      <c r="E206" s="336"/>
      <c r="F206" s="336"/>
      <c r="G206" s="336"/>
      <c r="H206" s="336"/>
      <c r="I206" s="336"/>
      <c r="J206" s="338"/>
      <c r="K206" s="336"/>
      <c r="L206" s="336"/>
      <c r="M206" s="338"/>
      <c r="N206" s="336"/>
      <c r="O206" s="336"/>
      <c r="P206" s="338"/>
      <c r="Q206" s="336"/>
      <c r="R206" s="336"/>
      <c r="S206" s="338"/>
      <c r="T206" s="336"/>
      <c r="U206" s="336"/>
    </row>
    <row r="207" spans="1:21" ht="24" customHeight="1">
      <c r="A207" s="336"/>
      <c r="B207" s="336"/>
      <c r="C207" s="336"/>
      <c r="D207" s="336"/>
      <c r="E207" s="336"/>
      <c r="F207" s="336"/>
      <c r="G207" s="336"/>
      <c r="H207" s="336"/>
      <c r="I207" s="336"/>
      <c r="J207" s="338"/>
      <c r="K207" s="336"/>
      <c r="L207" s="336"/>
      <c r="M207" s="338"/>
      <c r="N207" s="336"/>
      <c r="O207" s="336"/>
      <c r="P207" s="338"/>
      <c r="Q207" s="336"/>
      <c r="R207" s="336"/>
      <c r="S207" s="338"/>
      <c r="T207" s="336"/>
      <c r="U207" s="336"/>
    </row>
    <row r="208" spans="1:21" ht="24" customHeight="1">
      <c r="A208" s="336"/>
      <c r="B208" s="336"/>
      <c r="C208" s="336"/>
      <c r="D208" s="336"/>
      <c r="E208" s="336"/>
      <c r="F208" s="336"/>
      <c r="G208" s="336"/>
      <c r="H208" s="336"/>
      <c r="I208" s="336"/>
      <c r="J208" s="338"/>
      <c r="K208" s="336"/>
      <c r="L208" s="336"/>
      <c r="M208" s="338"/>
      <c r="N208" s="336"/>
      <c r="O208" s="336"/>
      <c r="P208" s="338"/>
      <c r="Q208" s="336"/>
      <c r="R208" s="336"/>
      <c r="S208" s="338"/>
      <c r="T208" s="336"/>
      <c r="U208" s="336"/>
    </row>
    <row r="209" spans="1:21" ht="24" customHeight="1">
      <c r="A209" s="336"/>
      <c r="B209" s="336"/>
      <c r="C209" s="336"/>
      <c r="D209" s="336"/>
      <c r="E209" s="336"/>
      <c r="F209" s="336"/>
      <c r="G209" s="336"/>
      <c r="H209" s="336"/>
      <c r="I209" s="336"/>
      <c r="J209" s="338"/>
      <c r="K209" s="336"/>
      <c r="L209" s="336"/>
      <c r="M209" s="338"/>
      <c r="N209" s="336"/>
      <c r="O209" s="336"/>
      <c r="P209" s="338"/>
      <c r="Q209" s="336"/>
      <c r="R209" s="336"/>
      <c r="S209" s="338"/>
      <c r="T209" s="336"/>
      <c r="U209" s="336"/>
    </row>
    <row r="210" spans="1:21" ht="24" customHeight="1">
      <c r="A210" s="336"/>
      <c r="B210" s="336"/>
      <c r="C210" s="336"/>
      <c r="D210" s="336"/>
      <c r="E210" s="336"/>
      <c r="F210" s="336"/>
      <c r="G210" s="336"/>
      <c r="H210" s="336"/>
      <c r="I210" s="336"/>
      <c r="J210" s="338"/>
      <c r="K210" s="336"/>
      <c r="L210" s="336"/>
      <c r="M210" s="338"/>
      <c r="N210" s="336"/>
      <c r="O210" s="336"/>
      <c r="P210" s="338"/>
      <c r="Q210" s="336"/>
      <c r="R210" s="336"/>
      <c r="S210" s="338"/>
      <c r="T210" s="336"/>
      <c r="U210" s="336"/>
    </row>
    <row r="211" spans="1:21" ht="24" customHeight="1">
      <c r="A211" s="336"/>
      <c r="B211" s="336"/>
      <c r="C211" s="336"/>
      <c r="D211" s="336"/>
      <c r="E211" s="336"/>
      <c r="F211" s="336"/>
      <c r="G211" s="336"/>
      <c r="H211" s="336"/>
      <c r="I211" s="336"/>
      <c r="J211" s="338"/>
      <c r="K211" s="336"/>
      <c r="L211" s="336"/>
      <c r="M211" s="338"/>
      <c r="N211" s="336"/>
      <c r="O211" s="336"/>
      <c r="P211" s="338"/>
      <c r="Q211" s="336"/>
      <c r="R211" s="336"/>
      <c r="S211" s="338"/>
      <c r="T211" s="336"/>
      <c r="U211" s="336"/>
    </row>
    <row r="212" spans="1:21" ht="24" customHeight="1">
      <c r="A212" s="336"/>
      <c r="B212" s="336"/>
      <c r="C212" s="336"/>
      <c r="D212" s="336"/>
      <c r="E212" s="336"/>
      <c r="F212" s="336"/>
      <c r="G212" s="336"/>
      <c r="H212" s="336"/>
      <c r="I212" s="336"/>
      <c r="J212" s="338"/>
      <c r="K212" s="336"/>
      <c r="L212" s="336"/>
      <c r="M212" s="338"/>
      <c r="N212" s="336"/>
      <c r="O212" s="336"/>
      <c r="P212" s="338"/>
      <c r="Q212" s="336"/>
      <c r="R212" s="336"/>
      <c r="S212" s="338"/>
      <c r="T212" s="336"/>
      <c r="U212" s="336"/>
    </row>
    <row r="213" spans="1:21" ht="24" customHeight="1">
      <c r="A213" s="336"/>
      <c r="B213" s="336"/>
      <c r="C213" s="336"/>
      <c r="D213" s="336"/>
      <c r="E213" s="336"/>
      <c r="F213" s="336"/>
      <c r="G213" s="336"/>
      <c r="H213" s="336"/>
      <c r="I213" s="336"/>
      <c r="J213" s="338"/>
      <c r="K213" s="336"/>
      <c r="L213" s="336"/>
      <c r="M213" s="338"/>
      <c r="N213" s="336"/>
      <c r="O213" s="336"/>
      <c r="P213" s="338"/>
      <c r="Q213" s="336"/>
      <c r="R213" s="336"/>
      <c r="S213" s="338"/>
      <c r="T213" s="336"/>
      <c r="U213" s="336"/>
    </row>
    <row r="214" spans="1:21" ht="24" customHeight="1">
      <c r="A214" s="336"/>
      <c r="B214" s="336"/>
      <c r="C214" s="336"/>
      <c r="D214" s="336"/>
      <c r="E214" s="336"/>
      <c r="F214" s="336"/>
      <c r="G214" s="336"/>
      <c r="H214" s="336"/>
      <c r="I214" s="336"/>
      <c r="J214" s="338"/>
      <c r="K214" s="336"/>
      <c r="L214" s="336"/>
      <c r="M214" s="338"/>
      <c r="N214" s="336"/>
      <c r="O214" s="336"/>
      <c r="P214" s="338"/>
      <c r="Q214" s="336"/>
      <c r="R214" s="336"/>
      <c r="S214" s="338"/>
      <c r="T214" s="336"/>
      <c r="U214" s="336"/>
    </row>
    <row r="215" spans="1:21" ht="24" customHeight="1">
      <c r="A215" s="336"/>
      <c r="B215" s="336"/>
      <c r="C215" s="336"/>
      <c r="D215" s="336"/>
      <c r="E215" s="336"/>
      <c r="F215" s="336"/>
      <c r="G215" s="336"/>
      <c r="H215" s="336"/>
      <c r="I215" s="336"/>
      <c r="J215" s="338"/>
      <c r="K215" s="336"/>
      <c r="L215" s="336"/>
      <c r="M215" s="338"/>
      <c r="N215" s="336"/>
      <c r="O215" s="336"/>
      <c r="P215" s="338"/>
      <c r="Q215" s="336"/>
      <c r="R215" s="336"/>
      <c r="S215" s="338"/>
      <c r="T215" s="336"/>
      <c r="U215" s="336"/>
    </row>
    <row r="216" spans="1:21" ht="24" customHeight="1">
      <c r="A216" s="336"/>
      <c r="B216" s="336"/>
      <c r="C216" s="336"/>
      <c r="D216" s="336"/>
      <c r="E216" s="336"/>
      <c r="F216" s="336"/>
      <c r="G216" s="336"/>
      <c r="H216" s="336"/>
      <c r="I216" s="336"/>
      <c r="J216" s="338"/>
      <c r="K216" s="336"/>
      <c r="L216" s="336"/>
      <c r="M216" s="338"/>
      <c r="N216" s="336"/>
      <c r="O216" s="336"/>
      <c r="P216" s="338"/>
      <c r="Q216" s="336"/>
      <c r="R216" s="336"/>
      <c r="S216" s="338"/>
      <c r="T216" s="336"/>
      <c r="U216" s="336"/>
    </row>
    <row r="217" spans="1:21" ht="24" customHeight="1">
      <c r="A217" s="336"/>
      <c r="B217" s="336"/>
      <c r="C217" s="336"/>
      <c r="D217" s="336"/>
      <c r="E217" s="336"/>
      <c r="F217" s="336"/>
      <c r="G217" s="336"/>
      <c r="H217" s="336"/>
      <c r="I217" s="336"/>
      <c r="J217" s="338"/>
      <c r="K217" s="336"/>
      <c r="L217" s="336"/>
      <c r="M217" s="338"/>
      <c r="N217" s="336"/>
      <c r="O217" s="336"/>
      <c r="P217" s="338"/>
      <c r="Q217" s="336"/>
      <c r="R217" s="336"/>
      <c r="S217" s="338"/>
      <c r="T217" s="336"/>
      <c r="U217" s="336"/>
    </row>
    <row r="218" spans="1:21" ht="24" customHeight="1">
      <c r="A218" s="336"/>
      <c r="B218" s="336"/>
      <c r="C218" s="336"/>
      <c r="D218" s="336"/>
      <c r="E218" s="336"/>
      <c r="F218" s="336"/>
      <c r="G218" s="336"/>
      <c r="H218" s="336"/>
      <c r="I218" s="336"/>
      <c r="J218" s="338"/>
      <c r="K218" s="336"/>
      <c r="L218" s="336"/>
      <c r="M218" s="338"/>
      <c r="N218" s="336"/>
      <c r="O218" s="336"/>
      <c r="P218" s="338"/>
      <c r="Q218" s="336"/>
      <c r="R218" s="336"/>
      <c r="S218" s="338"/>
      <c r="T218" s="336"/>
      <c r="U218" s="336"/>
    </row>
    <row r="219" spans="1:21" ht="24" customHeight="1">
      <c r="A219" s="336"/>
      <c r="B219" s="336"/>
      <c r="C219" s="336"/>
      <c r="D219" s="336"/>
      <c r="E219" s="336"/>
      <c r="F219" s="336"/>
      <c r="G219" s="336"/>
      <c r="H219" s="336"/>
      <c r="I219" s="336"/>
      <c r="J219" s="338"/>
      <c r="K219" s="336"/>
      <c r="L219" s="336"/>
      <c r="M219" s="338"/>
      <c r="N219" s="336"/>
      <c r="O219" s="336"/>
      <c r="P219" s="338"/>
      <c r="Q219" s="336"/>
      <c r="R219" s="336"/>
      <c r="S219" s="338"/>
      <c r="T219" s="336"/>
      <c r="U219" s="336"/>
    </row>
    <row r="220" spans="1:21" ht="24" customHeight="1">
      <c r="A220" s="336"/>
      <c r="B220" s="336"/>
      <c r="C220" s="336"/>
      <c r="D220" s="336"/>
      <c r="E220" s="336"/>
      <c r="F220" s="336"/>
      <c r="G220" s="336"/>
      <c r="H220" s="336"/>
      <c r="I220" s="336"/>
      <c r="J220" s="338"/>
      <c r="K220" s="336"/>
      <c r="L220" s="336"/>
      <c r="M220" s="338"/>
      <c r="N220" s="336"/>
      <c r="O220" s="336"/>
      <c r="P220" s="338"/>
      <c r="Q220" s="336"/>
      <c r="R220" s="336"/>
      <c r="S220" s="338"/>
      <c r="T220" s="336"/>
      <c r="U220" s="336"/>
    </row>
    <row r="221" spans="1:21" ht="24" customHeight="1">
      <c r="A221" s="336"/>
      <c r="B221" s="336"/>
      <c r="C221" s="336"/>
      <c r="D221" s="336"/>
      <c r="E221" s="336"/>
      <c r="F221" s="336"/>
      <c r="G221" s="336"/>
      <c r="H221" s="336"/>
      <c r="I221" s="336"/>
      <c r="J221" s="338"/>
      <c r="K221" s="336"/>
      <c r="L221" s="336"/>
      <c r="M221" s="338"/>
      <c r="N221" s="336"/>
      <c r="O221" s="336"/>
      <c r="P221" s="338"/>
      <c r="Q221" s="336"/>
      <c r="R221" s="336"/>
      <c r="S221" s="338"/>
      <c r="T221" s="336"/>
      <c r="U221" s="336"/>
    </row>
    <row r="222" spans="1:21" ht="24" customHeight="1">
      <c r="A222" s="336"/>
      <c r="B222" s="336"/>
      <c r="C222" s="336"/>
      <c r="D222" s="336"/>
      <c r="E222" s="336"/>
      <c r="F222" s="336"/>
      <c r="G222" s="336"/>
      <c r="H222" s="336"/>
      <c r="I222" s="336"/>
      <c r="J222" s="338"/>
      <c r="K222" s="336"/>
      <c r="L222" s="336"/>
      <c r="M222" s="338"/>
      <c r="N222" s="336"/>
      <c r="O222" s="336"/>
      <c r="P222" s="338"/>
      <c r="Q222" s="336"/>
      <c r="R222" s="336"/>
      <c r="S222" s="338"/>
      <c r="T222" s="336"/>
      <c r="U222" s="336"/>
    </row>
    <row r="223" spans="1:21" ht="24" customHeight="1">
      <c r="A223" s="336"/>
      <c r="B223" s="336"/>
      <c r="C223" s="336"/>
      <c r="D223" s="336"/>
      <c r="E223" s="336"/>
      <c r="F223" s="336"/>
      <c r="G223" s="336"/>
      <c r="H223" s="336"/>
      <c r="I223" s="336"/>
      <c r="J223" s="338"/>
      <c r="K223" s="336"/>
      <c r="L223" s="336"/>
      <c r="M223" s="338"/>
      <c r="N223" s="336"/>
      <c r="O223" s="336"/>
      <c r="P223" s="338"/>
      <c r="Q223" s="336"/>
      <c r="R223" s="336"/>
      <c r="S223" s="338"/>
      <c r="T223" s="336"/>
      <c r="U223" s="336"/>
    </row>
    <row r="224" spans="1:21" ht="24" customHeight="1">
      <c r="A224" s="336"/>
      <c r="B224" s="336"/>
      <c r="C224" s="336"/>
      <c r="D224" s="336"/>
      <c r="E224" s="336"/>
      <c r="F224" s="336"/>
      <c r="G224" s="336"/>
      <c r="H224" s="336"/>
      <c r="I224" s="336"/>
      <c r="J224" s="338"/>
      <c r="K224" s="336"/>
      <c r="L224" s="336"/>
      <c r="M224" s="338"/>
      <c r="N224" s="336"/>
      <c r="O224" s="336"/>
      <c r="P224" s="338"/>
      <c r="Q224" s="336"/>
      <c r="R224" s="336"/>
      <c r="S224" s="338"/>
      <c r="T224" s="336"/>
      <c r="U224" s="336"/>
    </row>
    <row r="225" spans="1:21" ht="24" customHeight="1">
      <c r="A225" s="336"/>
      <c r="B225" s="336"/>
      <c r="C225" s="336"/>
      <c r="D225" s="336"/>
      <c r="E225" s="336"/>
      <c r="F225" s="336"/>
      <c r="G225" s="336"/>
      <c r="H225" s="336"/>
      <c r="I225" s="336"/>
      <c r="J225" s="338"/>
      <c r="K225" s="336"/>
      <c r="L225" s="336"/>
      <c r="M225" s="338"/>
      <c r="N225" s="336"/>
      <c r="O225" s="336"/>
      <c r="P225" s="338"/>
      <c r="Q225" s="336"/>
      <c r="R225" s="336"/>
      <c r="S225" s="338"/>
      <c r="T225" s="336"/>
      <c r="U225" s="336"/>
    </row>
    <row r="226" spans="1:21" ht="24" customHeight="1">
      <c r="A226" s="336"/>
      <c r="B226" s="336"/>
      <c r="C226" s="336"/>
      <c r="D226" s="336"/>
      <c r="E226" s="336"/>
      <c r="F226" s="336"/>
      <c r="G226" s="336"/>
      <c r="H226" s="336"/>
      <c r="I226" s="336"/>
      <c r="J226" s="338"/>
      <c r="K226" s="336"/>
      <c r="L226" s="336"/>
      <c r="M226" s="338"/>
      <c r="N226" s="336"/>
      <c r="O226" s="336"/>
      <c r="P226" s="338"/>
      <c r="Q226" s="336"/>
      <c r="R226" s="336"/>
      <c r="S226" s="338"/>
      <c r="T226" s="336"/>
      <c r="U226" s="336"/>
    </row>
    <row r="227" spans="1:21" ht="24" customHeight="1">
      <c r="A227" s="336"/>
      <c r="B227" s="336"/>
      <c r="C227" s="336"/>
      <c r="D227" s="336"/>
      <c r="E227" s="336"/>
      <c r="F227" s="336"/>
      <c r="G227" s="336"/>
      <c r="H227" s="336"/>
      <c r="I227" s="336"/>
      <c r="J227" s="338"/>
      <c r="K227" s="336"/>
      <c r="L227" s="336"/>
      <c r="M227" s="338"/>
      <c r="N227" s="336"/>
      <c r="O227" s="336"/>
      <c r="P227" s="338"/>
      <c r="Q227" s="336"/>
      <c r="R227" s="336"/>
      <c r="S227" s="338"/>
      <c r="T227" s="336"/>
      <c r="U227" s="336"/>
    </row>
    <row r="228" spans="1:21" ht="24" customHeight="1">
      <c r="A228" s="336"/>
      <c r="B228" s="336"/>
      <c r="C228" s="336"/>
      <c r="D228" s="336"/>
      <c r="E228" s="336"/>
      <c r="F228" s="336"/>
      <c r="G228" s="336"/>
      <c r="H228" s="336"/>
      <c r="I228" s="336"/>
      <c r="J228" s="338"/>
      <c r="K228" s="336"/>
      <c r="L228" s="336"/>
      <c r="M228" s="338"/>
      <c r="N228" s="336"/>
      <c r="O228" s="336"/>
      <c r="P228" s="338"/>
      <c r="Q228" s="336"/>
      <c r="R228" s="336"/>
      <c r="S228" s="338"/>
      <c r="T228" s="336"/>
      <c r="U228" s="336"/>
    </row>
    <row r="229" spans="1:21" ht="24" customHeight="1">
      <c r="A229" s="336"/>
      <c r="B229" s="336"/>
      <c r="C229" s="336"/>
      <c r="D229" s="336"/>
      <c r="E229" s="336"/>
      <c r="F229" s="336"/>
      <c r="G229" s="336"/>
      <c r="H229" s="336"/>
      <c r="I229" s="336"/>
      <c r="J229" s="338"/>
      <c r="K229" s="336"/>
      <c r="L229" s="336"/>
      <c r="M229" s="338"/>
      <c r="N229" s="336"/>
      <c r="O229" s="336"/>
      <c r="P229" s="338"/>
      <c r="Q229" s="336"/>
      <c r="R229" s="336"/>
      <c r="S229" s="338"/>
      <c r="T229" s="336"/>
      <c r="U229" s="336"/>
    </row>
    <row r="230" spans="1:21" ht="24" customHeight="1">
      <c r="A230" s="336"/>
      <c r="B230" s="336"/>
      <c r="C230" s="336"/>
      <c r="D230" s="336"/>
      <c r="E230" s="336"/>
      <c r="F230" s="336"/>
      <c r="G230" s="336"/>
      <c r="H230" s="336"/>
      <c r="I230" s="336"/>
      <c r="J230" s="338"/>
      <c r="K230" s="336"/>
      <c r="L230" s="336"/>
      <c r="M230" s="338"/>
      <c r="N230" s="336"/>
      <c r="O230" s="336"/>
      <c r="P230" s="338"/>
      <c r="Q230" s="336"/>
      <c r="R230" s="336"/>
      <c r="S230" s="338"/>
      <c r="T230" s="336"/>
      <c r="U230" s="336"/>
    </row>
    <row r="231" spans="1:21" ht="24" customHeight="1">
      <c r="A231" s="336"/>
      <c r="B231" s="336"/>
      <c r="C231" s="336"/>
      <c r="D231" s="336"/>
      <c r="E231" s="336"/>
      <c r="F231" s="336"/>
      <c r="G231" s="336"/>
      <c r="H231" s="336"/>
      <c r="I231" s="336"/>
      <c r="J231" s="338"/>
      <c r="K231" s="336"/>
      <c r="L231" s="336"/>
      <c r="M231" s="338"/>
      <c r="N231" s="336"/>
      <c r="O231" s="336"/>
      <c r="P231" s="338"/>
      <c r="Q231" s="336"/>
      <c r="R231" s="336"/>
      <c r="S231" s="338"/>
      <c r="T231" s="336"/>
      <c r="U231" s="336"/>
    </row>
    <row r="232" spans="1:21" ht="24" customHeight="1">
      <c r="A232" s="336"/>
      <c r="B232" s="336"/>
      <c r="C232" s="336"/>
      <c r="D232" s="336"/>
      <c r="E232" s="336"/>
      <c r="F232" s="336"/>
      <c r="G232" s="336"/>
      <c r="H232" s="336"/>
      <c r="I232" s="336"/>
      <c r="J232" s="338"/>
      <c r="K232" s="336"/>
      <c r="L232" s="336"/>
      <c r="M232" s="338"/>
      <c r="N232" s="336"/>
      <c r="O232" s="336"/>
      <c r="P232" s="338"/>
      <c r="Q232" s="336"/>
      <c r="R232" s="336"/>
      <c r="S232" s="338"/>
      <c r="T232" s="336"/>
      <c r="U232" s="336"/>
    </row>
    <row r="233" spans="1:21" ht="24" customHeight="1">
      <c r="A233" s="336"/>
      <c r="B233" s="336"/>
      <c r="C233" s="336"/>
      <c r="D233" s="336"/>
      <c r="E233" s="336"/>
      <c r="F233" s="336"/>
      <c r="G233" s="336"/>
      <c r="H233" s="336"/>
      <c r="I233" s="336"/>
      <c r="J233" s="338"/>
      <c r="K233" s="336"/>
      <c r="L233" s="336"/>
      <c r="M233" s="338"/>
      <c r="N233" s="336"/>
      <c r="O233" s="336"/>
      <c r="P233" s="338"/>
      <c r="Q233" s="336"/>
      <c r="R233" s="336"/>
      <c r="S233" s="338"/>
      <c r="T233" s="336"/>
      <c r="U233" s="336"/>
    </row>
    <row r="234" spans="1:21" ht="24" customHeight="1">
      <c r="A234" s="336"/>
      <c r="B234" s="336"/>
      <c r="C234" s="336"/>
      <c r="D234" s="336"/>
      <c r="E234" s="336"/>
      <c r="F234" s="336"/>
      <c r="G234" s="336"/>
      <c r="H234" s="336"/>
      <c r="I234" s="336"/>
      <c r="J234" s="338"/>
      <c r="K234" s="336"/>
      <c r="L234" s="336"/>
      <c r="M234" s="338"/>
      <c r="N234" s="336"/>
      <c r="O234" s="336"/>
      <c r="P234" s="338"/>
      <c r="Q234" s="336"/>
      <c r="R234" s="336"/>
      <c r="S234" s="338"/>
      <c r="T234" s="336"/>
      <c r="U234" s="336"/>
    </row>
    <row r="235" spans="1:21" ht="24" customHeight="1">
      <c r="A235" s="336"/>
      <c r="B235" s="336"/>
      <c r="C235" s="336"/>
      <c r="D235" s="336"/>
      <c r="E235" s="336"/>
      <c r="F235" s="336"/>
      <c r="G235" s="336"/>
      <c r="H235" s="336"/>
      <c r="I235" s="336"/>
      <c r="J235" s="338"/>
      <c r="K235" s="336"/>
      <c r="L235" s="336"/>
      <c r="M235" s="338"/>
      <c r="N235" s="336"/>
      <c r="O235" s="336"/>
      <c r="P235" s="338"/>
      <c r="Q235" s="336"/>
      <c r="R235" s="336"/>
      <c r="S235" s="338"/>
      <c r="T235" s="336"/>
      <c r="U235" s="336"/>
    </row>
    <row r="236" spans="1:21" ht="24" customHeight="1">
      <c r="A236" s="336"/>
      <c r="B236" s="336"/>
      <c r="C236" s="336"/>
      <c r="D236" s="336"/>
      <c r="E236" s="336"/>
      <c r="F236" s="336"/>
      <c r="G236" s="336"/>
      <c r="H236" s="336"/>
      <c r="I236" s="336"/>
      <c r="J236" s="338"/>
      <c r="K236" s="336"/>
      <c r="L236" s="336"/>
      <c r="M236" s="338"/>
      <c r="N236" s="336"/>
      <c r="O236" s="336"/>
      <c r="P236" s="338"/>
      <c r="Q236" s="336"/>
      <c r="R236" s="336"/>
      <c r="S236" s="338"/>
      <c r="T236" s="336"/>
      <c r="U236" s="336"/>
    </row>
    <row r="237" spans="1:21" ht="24" customHeight="1">
      <c r="A237" s="336"/>
      <c r="B237" s="336"/>
      <c r="C237" s="336"/>
      <c r="D237" s="336"/>
      <c r="E237" s="336"/>
      <c r="F237" s="336"/>
      <c r="G237" s="336"/>
      <c r="H237" s="336"/>
      <c r="I237" s="336"/>
      <c r="J237" s="338"/>
      <c r="K237" s="336"/>
      <c r="L237" s="336"/>
      <c r="M237" s="338"/>
      <c r="N237" s="336"/>
      <c r="O237" s="336"/>
      <c r="P237" s="338"/>
      <c r="Q237" s="336"/>
      <c r="R237" s="336"/>
      <c r="S237" s="338"/>
      <c r="T237" s="336"/>
      <c r="U237" s="336"/>
    </row>
    <row r="238" spans="1:21" ht="24" customHeight="1">
      <c r="A238" s="336"/>
      <c r="B238" s="336"/>
      <c r="C238" s="336"/>
      <c r="D238" s="336"/>
      <c r="E238" s="336"/>
      <c r="F238" s="336"/>
      <c r="G238" s="336"/>
      <c r="H238" s="336"/>
      <c r="I238" s="336"/>
      <c r="J238" s="338"/>
      <c r="K238" s="336"/>
      <c r="L238" s="336"/>
      <c r="M238" s="338"/>
      <c r="N238" s="336"/>
      <c r="O238" s="336"/>
      <c r="P238" s="338"/>
      <c r="Q238" s="336"/>
      <c r="R238" s="336"/>
      <c r="S238" s="338"/>
      <c r="T238" s="336"/>
      <c r="U238" s="336"/>
    </row>
    <row r="239" spans="1:21" ht="24" customHeight="1">
      <c r="A239" s="336"/>
      <c r="B239" s="336"/>
      <c r="C239" s="336"/>
      <c r="D239" s="336"/>
      <c r="E239" s="336"/>
      <c r="F239" s="336"/>
      <c r="G239" s="336"/>
      <c r="H239" s="336"/>
      <c r="I239" s="336"/>
      <c r="J239" s="338"/>
      <c r="K239" s="336"/>
      <c r="L239" s="336"/>
      <c r="M239" s="338"/>
      <c r="N239" s="336"/>
      <c r="O239" s="336"/>
      <c r="P239" s="338"/>
      <c r="Q239" s="336"/>
      <c r="R239" s="336"/>
      <c r="S239" s="338"/>
      <c r="T239" s="336"/>
      <c r="U239" s="336"/>
    </row>
    <row r="240" spans="1:21" ht="24" customHeight="1">
      <c r="A240" s="336"/>
      <c r="B240" s="336"/>
      <c r="C240" s="336"/>
      <c r="D240" s="336"/>
      <c r="E240" s="336"/>
      <c r="F240" s="336"/>
      <c r="G240" s="336"/>
      <c r="H240" s="336"/>
      <c r="I240" s="336"/>
      <c r="J240" s="338"/>
      <c r="K240" s="336"/>
      <c r="L240" s="336"/>
      <c r="M240" s="338"/>
      <c r="N240" s="336"/>
      <c r="O240" s="336"/>
      <c r="P240" s="338"/>
      <c r="Q240" s="336"/>
      <c r="R240" s="336"/>
      <c r="S240" s="338"/>
      <c r="T240" s="336"/>
      <c r="U240" s="336"/>
    </row>
    <row r="241" spans="1:21" ht="24" customHeight="1">
      <c r="A241" s="336"/>
      <c r="B241" s="336"/>
      <c r="C241" s="336"/>
      <c r="D241" s="336"/>
      <c r="E241" s="336"/>
      <c r="F241" s="336"/>
      <c r="G241" s="336"/>
      <c r="H241" s="336"/>
      <c r="I241" s="336"/>
      <c r="J241" s="338"/>
      <c r="K241" s="336"/>
      <c r="L241" s="336"/>
      <c r="M241" s="338"/>
      <c r="N241" s="336"/>
      <c r="O241" s="336"/>
      <c r="P241" s="338"/>
      <c r="Q241" s="336"/>
      <c r="R241" s="336"/>
      <c r="S241" s="338"/>
      <c r="T241" s="336"/>
      <c r="U241" s="336"/>
    </row>
    <row r="242" spans="1:21" ht="24" customHeight="1">
      <c r="A242" s="336"/>
      <c r="B242" s="336"/>
      <c r="C242" s="336"/>
      <c r="D242" s="336"/>
      <c r="E242" s="336"/>
      <c r="F242" s="336"/>
      <c r="G242" s="336"/>
      <c r="H242" s="336"/>
      <c r="I242" s="336"/>
      <c r="J242" s="338"/>
      <c r="K242" s="336"/>
      <c r="L242" s="336"/>
      <c r="M242" s="338"/>
      <c r="N242" s="336"/>
      <c r="O242" s="336"/>
      <c r="P242" s="338"/>
      <c r="Q242" s="336"/>
      <c r="R242" s="336"/>
      <c r="S242" s="338"/>
      <c r="T242" s="336"/>
      <c r="U242" s="336"/>
    </row>
    <row r="243" spans="1:21" ht="24" customHeight="1">
      <c r="A243" s="336"/>
      <c r="B243" s="336"/>
      <c r="C243" s="336"/>
      <c r="D243" s="336"/>
      <c r="E243" s="336"/>
      <c r="F243" s="336"/>
      <c r="G243" s="336"/>
      <c r="H243" s="336"/>
      <c r="I243" s="336"/>
      <c r="J243" s="338"/>
      <c r="K243" s="336"/>
      <c r="L243" s="336"/>
      <c r="M243" s="338"/>
      <c r="N243" s="336"/>
      <c r="O243" s="336"/>
      <c r="P243" s="338"/>
      <c r="Q243" s="336"/>
      <c r="R243" s="336"/>
      <c r="S243" s="338"/>
      <c r="T243" s="336"/>
      <c r="U243" s="336"/>
    </row>
    <row r="244" spans="1:21" ht="24" customHeight="1">
      <c r="A244" s="336"/>
      <c r="B244" s="336"/>
      <c r="C244" s="336"/>
      <c r="D244" s="336"/>
      <c r="E244" s="336"/>
      <c r="F244" s="336"/>
      <c r="G244" s="336"/>
      <c r="H244" s="336"/>
      <c r="I244" s="336"/>
      <c r="J244" s="338"/>
      <c r="K244" s="336"/>
      <c r="L244" s="336"/>
      <c r="M244" s="338"/>
      <c r="N244" s="336"/>
      <c r="O244" s="336"/>
      <c r="P244" s="338"/>
      <c r="Q244" s="336"/>
      <c r="R244" s="336"/>
      <c r="S244" s="338"/>
      <c r="T244" s="336"/>
      <c r="U244" s="336"/>
    </row>
    <row r="245" spans="1:21" ht="24" customHeight="1">
      <c r="A245" s="336"/>
      <c r="B245" s="336"/>
      <c r="C245" s="336"/>
      <c r="D245" s="336"/>
      <c r="E245" s="336"/>
      <c r="F245" s="336"/>
      <c r="G245" s="336"/>
      <c r="H245" s="336"/>
      <c r="I245" s="336"/>
      <c r="J245" s="338"/>
      <c r="K245" s="336"/>
      <c r="L245" s="336"/>
      <c r="M245" s="338"/>
      <c r="N245" s="336"/>
      <c r="O245" s="336"/>
      <c r="P245" s="338"/>
      <c r="Q245" s="336"/>
      <c r="R245" s="336"/>
      <c r="S245" s="338"/>
      <c r="T245" s="336"/>
      <c r="U245" s="336"/>
    </row>
    <row r="246" spans="1:21" ht="24" customHeight="1">
      <c r="A246" s="336"/>
      <c r="B246" s="336"/>
      <c r="C246" s="336"/>
      <c r="D246" s="336"/>
      <c r="E246" s="336"/>
      <c r="F246" s="336"/>
      <c r="G246" s="336"/>
      <c r="H246" s="336"/>
      <c r="I246" s="336"/>
      <c r="J246" s="338"/>
      <c r="K246" s="336"/>
      <c r="L246" s="336"/>
      <c r="M246" s="338"/>
      <c r="N246" s="336"/>
      <c r="O246" s="336"/>
      <c r="P246" s="338"/>
      <c r="Q246" s="336"/>
      <c r="R246" s="336"/>
      <c r="S246" s="338"/>
      <c r="T246" s="336"/>
      <c r="U246" s="336"/>
    </row>
    <row r="247" spans="1:21" ht="24" customHeight="1">
      <c r="A247" s="336"/>
      <c r="B247" s="336"/>
      <c r="C247" s="336"/>
      <c r="D247" s="336"/>
      <c r="E247" s="336"/>
      <c r="F247" s="336"/>
      <c r="G247" s="336"/>
      <c r="H247" s="336"/>
      <c r="I247" s="336"/>
      <c r="J247" s="338"/>
      <c r="K247" s="336"/>
      <c r="L247" s="336"/>
      <c r="M247" s="338"/>
      <c r="N247" s="336"/>
      <c r="O247" s="336"/>
      <c r="P247" s="338"/>
      <c r="Q247" s="336"/>
      <c r="R247" s="336"/>
      <c r="S247" s="338"/>
      <c r="T247" s="336"/>
      <c r="U247" s="336"/>
    </row>
    <row r="248" spans="1:21" ht="24" customHeight="1">
      <c r="A248" s="336"/>
      <c r="B248" s="336"/>
      <c r="C248" s="336"/>
      <c r="D248" s="336"/>
      <c r="E248" s="336"/>
      <c r="F248" s="336"/>
      <c r="G248" s="336"/>
      <c r="H248" s="336"/>
      <c r="I248" s="336"/>
      <c r="J248" s="338"/>
      <c r="K248" s="336"/>
      <c r="L248" s="336"/>
      <c r="M248" s="338"/>
      <c r="N248" s="336"/>
      <c r="O248" s="336"/>
      <c r="P248" s="338"/>
      <c r="Q248" s="336"/>
      <c r="R248" s="336"/>
      <c r="S248" s="338"/>
      <c r="T248" s="336"/>
      <c r="U248" s="336"/>
    </row>
    <row r="249" spans="1:21" ht="24" customHeight="1">
      <c r="A249" s="336"/>
      <c r="B249" s="336"/>
      <c r="C249" s="336"/>
      <c r="D249" s="336"/>
      <c r="E249" s="336"/>
      <c r="F249" s="336"/>
      <c r="G249" s="336"/>
      <c r="H249" s="336"/>
      <c r="I249" s="336"/>
      <c r="J249" s="338"/>
      <c r="K249" s="336"/>
      <c r="L249" s="336"/>
      <c r="M249" s="338"/>
      <c r="N249" s="336"/>
      <c r="O249" s="336"/>
      <c r="P249" s="338"/>
      <c r="Q249" s="336"/>
      <c r="R249" s="336"/>
      <c r="S249" s="338"/>
      <c r="T249" s="336"/>
      <c r="U249" s="336"/>
    </row>
    <row r="250" spans="1:21" ht="24" customHeight="1">
      <c r="A250" s="336"/>
      <c r="B250" s="336"/>
      <c r="C250" s="336"/>
      <c r="D250" s="336"/>
      <c r="E250" s="336"/>
      <c r="F250" s="336"/>
      <c r="G250" s="336"/>
      <c r="H250" s="336"/>
      <c r="I250" s="336"/>
      <c r="J250" s="338"/>
      <c r="K250" s="336"/>
      <c r="L250" s="336"/>
      <c r="M250" s="338"/>
      <c r="N250" s="336"/>
      <c r="O250" s="336"/>
      <c r="P250" s="338"/>
      <c r="Q250" s="336"/>
      <c r="R250" s="336"/>
      <c r="S250" s="338"/>
      <c r="T250" s="336"/>
      <c r="U250" s="336"/>
    </row>
    <row r="251" spans="1:21" ht="24" customHeight="1">
      <c r="A251" s="336"/>
      <c r="B251" s="336"/>
      <c r="C251" s="336"/>
      <c r="D251" s="336"/>
      <c r="E251" s="336"/>
      <c r="F251" s="336"/>
      <c r="G251" s="336"/>
      <c r="H251" s="336"/>
      <c r="I251" s="336"/>
      <c r="J251" s="338"/>
      <c r="K251" s="336"/>
      <c r="L251" s="336"/>
      <c r="M251" s="338"/>
      <c r="N251" s="336"/>
      <c r="O251" s="336"/>
      <c r="P251" s="338"/>
      <c r="Q251" s="336"/>
      <c r="R251" s="336"/>
      <c r="S251" s="338"/>
      <c r="T251" s="336"/>
      <c r="U251" s="336"/>
    </row>
    <row r="252" spans="1:21" ht="24" customHeight="1">
      <c r="A252" s="336"/>
      <c r="B252" s="336"/>
      <c r="C252" s="336"/>
      <c r="D252" s="336"/>
      <c r="E252" s="336"/>
      <c r="F252" s="336"/>
      <c r="G252" s="336"/>
      <c r="H252" s="336"/>
      <c r="I252" s="336"/>
      <c r="J252" s="338"/>
      <c r="K252" s="336"/>
      <c r="L252" s="336"/>
      <c r="M252" s="338"/>
      <c r="N252" s="336"/>
      <c r="O252" s="336"/>
      <c r="P252" s="338"/>
      <c r="Q252" s="336"/>
      <c r="R252" s="336"/>
      <c r="S252" s="338"/>
      <c r="T252" s="336"/>
      <c r="U252" s="336"/>
    </row>
    <row r="253" spans="1:21" ht="24" customHeight="1">
      <c r="A253" s="336"/>
      <c r="B253" s="336"/>
      <c r="C253" s="336"/>
      <c r="D253" s="336"/>
      <c r="E253" s="336"/>
      <c r="F253" s="336"/>
      <c r="G253" s="336"/>
      <c r="H253" s="336"/>
      <c r="I253" s="336"/>
      <c r="J253" s="338"/>
      <c r="K253" s="336"/>
      <c r="L253" s="336"/>
      <c r="M253" s="338"/>
      <c r="N253" s="336"/>
      <c r="O253" s="336"/>
      <c r="P253" s="338"/>
      <c r="Q253" s="336"/>
      <c r="R253" s="336"/>
      <c r="S253" s="338"/>
      <c r="T253" s="336"/>
      <c r="U253" s="336"/>
    </row>
    <row r="254" spans="1:21" ht="24" customHeight="1">
      <c r="A254" s="336"/>
      <c r="B254" s="336"/>
      <c r="C254" s="336"/>
      <c r="D254" s="336"/>
      <c r="E254" s="336"/>
      <c r="F254" s="336"/>
      <c r="G254" s="336"/>
      <c r="H254" s="336"/>
      <c r="I254" s="336"/>
      <c r="J254" s="338"/>
      <c r="K254" s="336"/>
      <c r="L254" s="336"/>
      <c r="M254" s="338"/>
      <c r="N254" s="336"/>
      <c r="O254" s="336"/>
      <c r="P254" s="338"/>
      <c r="Q254" s="336"/>
      <c r="R254" s="336"/>
      <c r="S254" s="338"/>
      <c r="T254" s="336"/>
      <c r="U254" s="336"/>
    </row>
    <row r="255" spans="1:21" ht="24" customHeight="1">
      <c r="A255" s="336"/>
      <c r="B255" s="336"/>
      <c r="C255" s="336"/>
      <c r="D255" s="336"/>
      <c r="E255" s="336"/>
      <c r="F255" s="336"/>
      <c r="G255" s="336"/>
      <c r="H255" s="336"/>
      <c r="I255" s="336"/>
      <c r="J255" s="338"/>
      <c r="K255" s="336"/>
      <c r="L255" s="336"/>
      <c r="M255" s="338"/>
      <c r="N255" s="336"/>
      <c r="O255" s="336"/>
      <c r="P255" s="338"/>
      <c r="Q255" s="336"/>
      <c r="R255" s="336"/>
      <c r="S255" s="338"/>
      <c r="T255" s="336"/>
      <c r="U255" s="336"/>
    </row>
    <row r="256" spans="1:21" ht="24" customHeight="1">
      <c r="A256" s="336"/>
      <c r="B256" s="336"/>
      <c r="C256" s="336"/>
      <c r="D256" s="336"/>
      <c r="E256" s="336"/>
      <c r="F256" s="336"/>
      <c r="G256" s="336"/>
      <c r="H256" s="336"/>
      <c r="I256" s="336"/>
      <c r="J256" s="338"/>
      <c r="K256" s="336"/>
      <c r="L256" s="336"/>
      <c r="M256" s="338"/>
      <c r="N256" s="336"/>
      <c r="O256" s="336"/>
      <c r="P256" s="338"/>
      <c r="Q256" s="336"/>
      <c r="R256" s="336"/>
      <c r="S256" s="338"/>
      <c r="T256" s="336"/>
      <c r="U256" s="336"/>
    </row>
    <row r="257" spans="1:21" ht="24" customHeight="1">
      <c r="A257" s="336"/>
      <c r="B257" s="336"/>
      <c r="C257" s="336"/>
      <c r="D257" s="336"/>
      <c r="E257" s="336"/>
      <c r="F257" s="336"/>
      <c r="G257" s="336"/>
      <c r="H257" s="336"/>
      <c r="I257" s="336"/>
      <c r="J257" s="338"/>
      <c r="K257" s="336"/>
      <c r="L257" s="336"/>
      <c r="M257" s="338"/>
      <c r="N257" s="336"/>
      <c r="O257" s="336"/>
      <c r="P257" s="338"/>
      <c r="Q257" s="336"/>
      <c r="R257" s="336"/>
      <c r="S257" s="338"/>
      <c r="T257" s="336"/>
      <c r="U257" s="336"/>
    </row>
    <row r="258" spans="1:21" ht="24" customHeight="1">
      <c r="A258" s="336"/>
      <c r="B258" s="336"/>
      <c r="C258" s="336"/>
      <c r="D258" s="336"/>
      <c r="E258" s="336"/>
      <c r="F258" s="336"/>
      <c r="G258" s="336"/>
      <c r="H258" s="336"/>
      <c r="I258" s="336"/>
      <c r="J258" s="338"/>
      <c r="K258" s="336"/>
      <c r="L258" s="336"/>
      <c r="M258" s="338"/>
      <c r="N258" s="336"/>
      <c r="O258" s="336"/>
      <c r="P258" s="338"/>
      <c r="Q258" s="336"/>
      <c r="R258" s="336"/>
      <c r="S258" s="338"/>
      <c r="T258" s="336"/>
      <c r="U258" s="336"/>
    </row>
    <row r="259" spans="1:21" ht="24" customHeight="1">
      <c r="A259" s="336"/>
      <c r="B259" s="336"/>
      <c r="C259" s="336"/>
      <c r="D259" s="336"/>
      <c r="E259" s="336"/>
      <c r="F259" s="336"/>
      <c r="G259" s="336"/>
      <c r="H259" s="336"/>
      <c r="I259" s="336"/>
      <c r="J259" s="338"/>
      <c r="K259" s="336"/>
      <c r="L259" s="336"/>
      <c r="M259" s="338"/>
      <c r="N259" s="336"/>
      <c r="O259" s="336"/>
      <c r="P259" s="338"/>
      <c r="Q259" s="336"/>
      <c r="R259" s="336"/>
      <c r="S259" s="338"/>
      <c r="T259" s="336"/>
      <c r="U259" s="336"/>
    </row>
    <row r="260" spans="1:21" ht="24" customHeight="1">
      <c r="A260" s="336"/>
      <c r="B260" s="336"/>
      <c r="C260" s="336"/>
      <c r="D260" s="336"/>
      <c r="E260" s="336"/>
      <c r="F260" s="336"/>
      <c r="G260" s="336"/>
      <c r="H260" s="336"/>
      <c r="I260" s="336"/>
      <c r="J260" s="338"/>
      <c r="K260" s="336"/>
      <c r="L260" s="336"/>
      <c r="M260" s="338"/>
      <c r="N260" s="336"/>
      <c r="O260" s="336"/>
      <c r="P260" s="338"/>
      <c r="Q260" s="336"/>
      <c r="R260" s="336"/>
      <c r="S260" s="338"/>
      <c r="T260" s="336"/>
      <c r="U260" s="336"/>
    </row>
    <row r="261" spans="1:21" ht="24" customHeight="1">
      <c r="A261" s="336"/>
      <c r="B261" s="336"/>
      <c r="C261" s="336"/>
      <c r="D261" s="336"/>
      <c r="E261" s="336"/>
      <c r="F261" s="336"/>
      <c r="G261" s="336"/>
      <c r="H261" s="336"/>
      <c r="I261" s="336"/>
      <c r="J261" s="338"/>
      <c r="K261" s="336"/>
      <c r="L261" s="336"/>
      <c r="M261" s="338"/>
      <c r="N261" s="336"/>
      <c r="O261" s="336"/>
      <c r="P261" s="338"/>
      <c r="Q261" s="336"/>
      <c r="R261" s="336"/>
      <c r="S261" s="338"/>
      <c r="T261" s="336"/>
      <c r="U261" s="336"/>
    </row>
    <row r="262" spans="1:21" ht="24" customHeight="1">
      <c r="A262" s="336"/>
      <c r="B262" s="336"/>
      <c r="C262" s="336"/>
      <c r="D262" s="336"/>
      <c r="E262" s="336"/>
      <c r="F262" s="336"/>
      <c r="G262" s="336"/>
      <c r="H262" s="336"/>
      <c r="I262" s="336"/>
      <c r="J262" s="338"/>
      <c r="K262" s="336"/>
      <c r="L262" s="336"/>
      <c r="M262" s="338"/>
      <c r="N262" s="336"/>
      <c r="O262" s="336"/>
      <c r="P262" s="338"/>
      <c r="Q262" s="336"/>
      <c r="R262" s="336"/>
      <c r="S262" s="338"/>
      <c r="T262" s="336"/>
      <c r="U262" s="336"/>
    </row>
    <row r="263" spans="1:21" ht="24" customHeight="1">
      <c r="A263" s="336"/>
      <c r="B263" s="336"/>
      <c r="C263" s="336"/>
      <c r="D263" s="336"/>
      <c r="E263" s="336"/>
      <c r="F263" s="336"/>
      <c r="G263" s="336"/>
      <c r="H263" s="336"/>
      <c r="I263" s="336"/>
      <c r="J263" s="338"/>
      <c r="K263" s="336"/>
      <c r="L263" s="336"/>
      <c r="M263" s="338"/>
      <c r="N263" s="336"/>
      <c r="O263" s="336"/>
      <c r="P263" s="338"/>
      <c r="Q263" s="336"/>
      <c r="R263" s="336"/>
      <c r="S263" s="338"/>
      <c r="T263" s="336"/>
      <c r="U263" s="336"/>
    </row>
    <row r="264" spans="1:21" ht="24" customHeight="1">
      <c r="A264" s="336"/>
      <c r="B264" s="336"/>
      <c r="C264" s="336"/>
      <c r="D264" s="336"/>
      <c r="E264" s="336"/>
      <c r="F264" s="336"/>
      <c r="G264" s="336"/>
      <c r="H264" s="336"/>
      <c r="I264" s="336"/>
      <c r="J264" s="338"/>
      <c r="K264" s="336"/>
      <c r="L264" s="336"/>
      <c r="M264" s="338"/>
      <c r="N264" s="336"/>
      <c r="O264" s="336"/>
      <c r="P264" s="338"/>
      <c r="Q264" s="336"/>
      <c r="R264" s="336"/>
      <c r="S264" s="338"/>
      <c r="T264" s="336"/>
      <c r="U264" s="336"/>
    </row>
    <row r="265" spans="1:21" ht="24" customHeight="1">
      <c r="A265" s="336"/>
      <c r="B265" s="336"/>
      <c r="C265" s="336"/>
      <c r="D265" s="336"/>
      <c r="E265" s="336"/>
      <c r="F265" s="336"/>
      <c r="G265" s="336"/>
      <c r="H265" s="336"/>
      <c r="I265" s="336"/>
      <c r="J265" s="338"/>
      <c r="K265" s="336"/>
      <c r="L265" s="336"/>
      <c r="M265" s="338"/>
      <c r="N265" s="336"/>
      <c r="O265" s="336"/>
      <c r="P265" s="338"/>
      <c r="Q265" s="336"/>
      <c r="R265" s="336"/>
      <c r="S265" s="338"/>
      <c r="T265" s="336"/>
      <c r="U265" s="336"/>
    </row>
    <row r="266" spans="1:21" ht="24" customHeight="1">
      <c r="A266" s="336"/>
      <c r="B266" s="336"/>
      <c r="C266" s="336"/>
      <c r="D266" s="336"/>
      <c r="E266" s="336"/>
      <c r="F266" s="336"/>
      <c r="G266" s="336"/>
      <c r="H266" s="336"/>
      <c r="I266" s="336"/>
      <c r="J266" s="338"/>
      <c r="K266" s="336"/>
      <c r="L266" s="336"/>
      <c r="M266" s="338"/>
      <c r="N266" s="336"/>
      <c r="O266" s="336"/>
      <c r="P266" s="338"/>
      <c r="Q266" s="336"/>
      <c r="R266" s="336"/>
      <c r="S266" s="338"/>
      <c r="T266" s="336"/>
      <c r="U266" s="336"/>
    </row>
    <row r="267" spans="1:21" ht="24" customHeight="1">
      <c r="A267" s="336"/>
      <c r="B267" s="336"/>
      <c r="C267" s="336"/>
      <c r="D267" s="336"/>
      <c r="E267" s="336"/>
      <c r="F267" s="336"/>
      <c r="G267" s="336"/>
      <c r="H267" s="336"/>
      <c r="I267" s="336"/>
      <c r="J267" s="338"/>
      <c r="K267" s="336"/>
      <c r="L267" s="336"/>
      <c r="M267" s="338"/>
      <c r="N267" s="336"/>
      <c r="O267" s="336"/>
      <c r="P267" s="338"/>
      <c r="Q267" s="336"/>
      <c r="R267" s="336"/>
      <c r="S267" s="338"/>
      <c r="T267" s="336"/>
      <c r="U267" s="336"/>
    </row>
    <row r="268" spans="1:21" ht="24" customHeight="1">
      <c r="A268" s="336"/>
      <c r="B268" s="336"/>
      <c r="C268" s="336"/>
      <c r="D268" s="336"/>
      <c r="E268" s="336"/>
      <c r="F268" s="336"/>
      <c r="G268" s="336"/>
      <c r="H268" s="336"/>
      <c r="I268" s="336"/>
      <c r="J268" s="338"/>
      <c r="K268" s="336"/>
      <c r="L268" s="336"/>
      <c r="M268" s="338"/>
      <c r="N268" s="336"/>
      <c r="O268" s="336"/>
      <c r="P268" s="338"/>
      <c r="Q268" s="336"/>
      <c r="R268" s="336"/>
      <c r="S268" s="338"/>
      <c r="T268" s="336"/>
      <c r="U268" s="336"/>
    </row>
    <row r="269" spans="1:21" ht="24" customHeight="1">
      <c r="A269" s="336"/>
      <c r="B269" s="336"/>
      <c r="C269" s="336"/>
      <c r="D269" s="336"/>
      <c r="E269" s="336"/>
      <c r="F269" s="336"/>
      <c r="G269" s="336"/>
      <c r="H269" s="336"/>
      <c r="I269" s="336"/>
      <c r="J269" s="338"/>
      <c r="K269" s="336"/>
      <c r="L269" s="336"/>
      <c r="M269" s="338"/>
      <c r="N269" s="336"/>
      <c r="O269" s="336"/>
      <c r="P269" s="338"/>
      <c r="Q269" s="336"/>
      <c r="R269" s="336"/>
      <c r="S269" s="338"/>
      <c r="T269" s="336"/>
      <c r="U269" s="336"/>
    </row>
    <row r="270" spans="1:21" ht="24" customHeight="1">
      <c r="A270" s="336"/>
      <c r="B270" s="336"/>
      <c r="C270" s="336"/>
      <c r="D270" s="336"/>
      <c r="E270" s="336"/>
      <c r="F270" s="336"/>
      <c r="G270" s="336"/>
      <c r="H270" s="336"/>
      <c r="I270" s="336"/>
      <c r="J270" s="338"/>
      <c r="K270" s="336"/>
      <c r="L270" s="336"/>
      <c r="M270" s="338"/>
      <c r="N270" s="336"/>
      <c r="O270" s="336"/>
      <c r="P270" s="338"/>
      <c r="Q270" s="336"/>
      <c r="R270" s="336"/>
      <c r="S270" s="338"/>
      <c r="T270" s="336"/>
      <c r="U270" s="336"/>
    </row>
    <row r="271" spans="1:21" ht="24" customHeight="1">
      <c r="A271" s="336"/>
      <c r="B271" s="336"/>
      <c r="C271" s="336"/>
      <c r="D271" s="336"/>
      <c r="E271" s="336"/>
      <c r="F271" s="336"/>
      <c r="G271" s="336"/>
      <c r="H271" s="336"/>
      <c r="I271" s="336"/>
      <c r="J271" s="338"/>
      <c r="K271" s="336"/>
      <c r="L271" s="336"/>
      <c r="M271" s="338"/>
      <c r="N271" s="336"/>
      <c r="O271" s="336"/>
      <c r="P271" s="338"/>
      <c r="Q271" s="336"/>
      <c r="R271" s="336"/>
      <c r="S271" s="338"/>
      <c r="T271" s="336"/>
      <c r="U271" s="336"/>
    </row>
    <row r="272" spans="1:21" ht="24" customHeight="1">
      <c r="A272" s="336"/>
      <c r="B272" s="336"/>
      <c r="C272" s="336"/>
      <c r="D272" s="336"/>
      <c r="E272" s="336"/>
      <c r="F272" s="336"/>
      <c r="G272" s="336"/>
      <c r="H272" s="336"/>
      <c r="I272" s="336"/>
      <c r="J272" s="338"/>
      <c r="K272" s="336"/>
      <c r="L272" s="336"/>
      <c r="M272" s="338"/>
      <c r="N272" s="336"/>
      <c r="O272" s="336"/>
      <c r="P272" s="338"/>
      <c r="Q272" s="336"/>
      <c r="R272" s="336"/>
      <c r="S272" s="338"/>
      <c r="T272" s="336"/>
      <c r="U272" s="336"/>
    </row>
    <row r="273" spans="1:21" ht="24" customHeight="1">
      <c r="A273" s="336"/>
      <c r="B273" s="336"/>
      <c r="C273" s="336"/>
      <c r="D273" s="336"/>
      <c r="E273" s="336"/>
      <c r="F273" s="336"/>
      <c r="G273" s="336"/>
      <c r="H273" s="336"/>
      <c r="I273" s="336"/>
      <c r="J273" s="338"/>
      <c r="K273" s="336"/>
      <c r="L273" s="336"/>
      <c r="M273" s="338"/>
      <c r="N273" s="336"/>
      <c r="O273" s="336"/>
      <c r="P273" s="338"/>
      <c r="Q273" s="336"/>
      <c r="R273" s="336"/>
      <c r="S273" s="338"/>
      <c r="T273" s="336"/>
      <c r="U273" s="336"/>
    </row>
    <row r="274" spans="1:21" ht="24" customHeight="1">
      <c r="A274" s="336"/>
      <c r="B274" s="336"/>
      <c r="C274" s="336"/>
      <c r="D274" s="336"/>
      <c r="E274" s="336"/>
      <c r="F274" s="336"/>
      <c r="G274" s="336"/>
      <c r="H274" s="336"/>
      <c r="I274" s="336"/>
      <c r="J274" s="338"/>
      <c r="K274" s="336"/>
      <c r="L274" s="336"/>
      <c r="M274" s="338"/>
      <c r="N274" s="336"/>
      <c r="O274" s="336"/>
      <c r="P274" s="338"/>
      <c r="Q274" s="336"/>
      <c r="R274" s="336"/>
      <c r="S274" s="338"/>
      <c r="T274" s="336"/>
      <c r="U274" s="336"/>
    </row>
    <row r="275" spans="1:21" ht="24" customHeight="1">
      <c r="A275" s="336"/>
      <c r="B275" s="336"/>
      <c r="C275" s="336"/>
      <c r="D275" s="336"/>
      <c r="E275" s="336"/>
      <c r="F275" s="336"/>
      <c r="G275" s="336"/>
      <c r="H275" s="336"/>
      <c r="I275" s="336"/>
      <c r="J275" s="338"/>
      <c r="K275" s="336"/>
      <c r="L275" s="336"/>
      <c r="M275" s="338"/>
      <c r="N275" s="336"/>
      <c r="O275" s="336"/>
      <c r="P275" s="338"/>
      <c r="Q275" s="336"/>
      <c r="R275" s="336"/>
      <c r="S275" s="338"/>
      <c r="T275" s="336"/>
      <c r="U275" s="336"/>
    </row>
    <row r="276" spans="1:21" ht="24" customHeight="1">
      <c r="A276" s="336"/>
      <c r="B276" s="336"/>
      <c r="C276" s="336"/>
      <c r="D276" s="336"/>
      <c r="E276" s="336"/>
      <c r="F276" s="336"/>
      <c r="G276" s="336"/>
      <c r="H276" s="336"/>
      <c r="I276" s="336"/>
      <c r="J276" s="338"/>
      <c r="K276" s="336"/>
      <c r="L276" s="336"/>
      <c r="M276" s="338"/>
      <c r="N276" s="336"/>
      <c r="O276" s="336"/>
      <c r="P276" s="338"/>
      <c r="Q276" s="336"/>
      <c r="R276" s="336"/>
      <c r="S276" s="338"/>
      <c r="T276" s="336"/>
      <c r="U276" s="336"/>
    </row>
    <row r="277" spans="1:21" ht="24" customHeight="1">
      <c r="A277" s="336"/>
      <c r="B277" s="336"/>
      <c r="C277" s="336"/>
      <c r="D277" s="336"/>
      <c r="E277" s="336"/>
      <c r="F277" s="336"/>
      <c r="G277" s="336"/>
      <c r="H277" s="336"/>
      <c r="I277" s="336"/>
      <c r="J277" s="338"/>
      <c r="K277" s="336"/>
      <c r="L277" s="336"/>
      <c r="M277" s="338"/>
      <c r="N277" s="336"/>
      <c r="O277" s="336"/>
      <c r="P277" s="338"/>
      <c r="Q277" s="336"/>
      <c r="R277" s="336"/>
      <c r="S277" s="338"/>
      <c r="T277" s="336"/>
      <c r="U277" s="336"/>
    </row>
    <row r="278" spans="1:21" ht="24" customHeight="1">
      <c r="A278" s="336"/>
      <c r="B278" s="336"/>
      <c r="C278" s="336"/>
      <c r="D278" s="336"/>
      <c r="E278" s="336"/>
      <c r="F278" s="336"/>
      <c r="G278" s="336"/>
      <c r="H278" s="336"/>
      <c r="I278" s="336"/>
      <c r="J278" s="338"/>
      <c r="K278" s="336"/>
      <c r="L278" s="336"/>
      <c r="M278" s="338"/>
      <c r="N278" s="336"/>
      <c r="O278" s="336"/>
      <c r="P278" s="338"/>
      <c r="Q278" s="336"/>
      <c r="R278" s="336"/>
      <c r="S278" s="338"/>
      <c r="T278" s="336"/>
      <c r="U278" s="336"/>
    </row>
    <row r="279" spans="1:21" ht="24" customHeight="1">
      <c r="A279" s="336"/>
      <c r="B279" s="336"/>
      <c r="C279" s="336"/>
      <c r="D279" s="336"/>
      <c r="E279" s="336"/>
      <c r="F279" s="336"/>
      <c r="G279" s="336"/>
      <c r="H279" s="336"/>
      <c r="I279" s="336"/>
      <c r="J279" s="338"/>
      <c r="K279" s="336"/>
      <c r="L279" s="336"/>
      <c r="M279" s="338"/>
      <c r="N279" s="336"/>
      <c r="O279" s="336"/>
      <c r="P279" s="338"/>
      <c r="Q279" s="336"/>
      <c r="R279" s="336"/>
      <c r="S279" s="338"/>
      <c r="T279" s="336"/>
      <c r="U279" s="336"/>
    </row>
    <row r="280" spans="1:21" ht="24" customHeight="1">
      <c r="A280" s="336"/>
      <c r="B280" s="336"/>
      <c r="C280" s="336"/>
      <c r="D280" s="336"/>
      <c r="E280" s="336"/>
      <c r="F280" s="336"/>
      <c r="G280" s="336"/>
      <c r="H280" s="336"/>
      <c r="I280" s="336"/>
      <c r="J280" s="338"/>
      <c r="K280" s="336"/>
      <c r="L280" s="336"/>
      <c r="M280" s="338"/>
      <c r="N280" s="336"/>
      <c r="O280" s="336"/>
      <c r="P280" s="338"/>
      <c r="Q280" s="336"/>
      <c r="R280" s="336"/>
      <c r="S280" s="338"/>
      <c r="T280" s="336"/>
      <c r="U280" s="336"/>
    </row>
    <row r="281" spans="1:21" ht="24" customHeight="1">
      <c r="A281" s="336"/>
      <c r="B281" s="336"/>
      <c r="C281" s="336"/>
      <c r="D281" s="336"/>
      <c r="E281" s="336"/>
      <c r="F281" s="336"/>
      <c r="G281" s="336"/>
      <c r="H281" s="336"/>
      <c r="I281" s="336"/>
      <c r="J281" s="338"/>
      <c r="K281" s="336"/>
      <c r="L281" s="336"/>
      <c r="M281" s="338"/>
      <c r="N281" s="336"/>
      <c r="O281" s="336"/>
      <c r="P281" s="338"/>
      <c r="Q281" s="336"/>
      <c r="R281" s="336"/>
      <c r="S281" s="338"/>
      <c r="T281" s="336"/>
      <c r="U281" s="336"/>
    </row>
    <row r="282" spans="1:21" ht="24" customHeight="1">
      <c r="A282" s="336"/>
      <c r="B282" s="336"/>
      <c r="C282" s="336"/>
      <c r="D282" s="336"/>
      <c r="E282" s="336"/>
      <c r="F282" s="336"/>
      <c r="G282" s="336"/>
      <c r="H282" s="336"/>
      <c r="I282" s="336"/>
      <c r="J282" s="338"/>
      <c r="K282" s="336"/>
      <c r="L282" s="336"/>
      <c r="M282" s="338"/>
      <c r="N282" s="336"/>
      <c r="O282" s="336"/>
      <c r="P282" s="338"/>
      <c r="Q282" s="336"/>
      <c r="R282" s="336"/>
      <c r="S282" s="338"/>
      <c r="T282" s="336"/>
      <c r="U282" s="336"/>
    </row>
    <row r="283" spans="1:21" ht="24" customHeight="1">
      <c r="A283" s="336"/>
      <c r="B283" s="336"/>
      <c r="C283" s="336"/>
      <c r="D283" s="336"/>
      <c r="E283" s="336"/>
      <c r="F283" s="336"/>
      <c r="G283" s="336"/>
      <c r="H283" s="336"/>
      <c r="I283" s="336"/>
      <c r="J283" s="338"/>
      <c r="K283" s="336"/>
      <c r="L283" s="336"/>
      <c r="M283" s="338"/>
      <c r="N283" s="336"/>
      <c r="O283" s="336"/>
      <c r="P283" s="338"/>
      <c r="Q283" s="336"/>
      <c r="R283" s="336"/>
      <c r="S283" s="338"/>
      <c r="T283" s="336"/>
      <c r="U283" s="336"/>
    </row>
    <row r="284" spans="1:21" ht="24" customHeight="1">
      <c r="A284" s="336"/>
      <c r="B284" s="336"/>
      <c r="C284" s="336"/>
      <c r="D284" s="336"/>
      <c r="E284" s="336"/>
      <c r="F284" s="336"/>
      <c r="G284" s="336"/>
      <c r="H284" s="336"/>
      <c r="I284" s="336"/>
      <c r="J284" s="338"/>
      <c r="K284" s="336"/>
      <c r="L284" s="336"/>
      <c r="M284" s="338"/>
      <c r="N284" s="336"/>
      <c r="O284" s="336"/>
      <c r="P284" s="338"/>
      <c r="Q284" s="336"/>
      <c r="R284" s="336"/>
      <c r="S284" s="338"/>
      <c r="T284" s="336"/>
      <c r="U284" s="336"/>
    </row>
    <row r="285" spans="1:21" ht="24" customHeight="1">
      <c r="A285" s="336"/>
      <c r="B285" s="336"/>
      <c r="C285" s="336"/>
      <c r="D285" s="336"/>
      <c r="E285" s="336"/>
      <c r="F285" s="336"/>
      <c r="G285" s="336"/>
      <c r="H285" s="336"/>
      <c r="I285" s="336"/>
      <c r="J285" s="338"/>
      <c r="K285" s="336"/>
      <c r="L285" s="336"/>
      <c r="M285" s="338"/>
      <c r="N285" s="336"/>
      <c r="O285" s="336"/>
      <c r="P285" s="338"/>
      <c r="Q285" s="336"/>
      <c r="R285" s="336"/>
      <c r="S285" s="338"/>
      <c r="T285" s="336"/>
      <c r="U285" s="336"/>
    </row>
    <row r="286" spans="1:21" ht="24" customHeight="1">
      <c r="A286" s="336"/>
      <c r="B286" s="336"/>
      <c r="C286" s="336"/>
      <c r="D286" s="336"/>
      <c r="E286" s="336"/>
      <c r="F286" s="336"/>
      <c r="G286" s="336"/>
      <c r="H286" s="336"/>
      <c r="I286" s="336"/>
      <c r="J286" s="338"/>
      <c r="K286" s="336"/>
      <c r="L286" s="336"/>
      <c r="M286" s="338"/>
      <c r="N286" s="336"/>
      <c r="O286" s="336"/>
      <c r="P286" s="338"/>
      <c r="Q286" s="336"/>
      <c r="R286" s="336"/>
      <c r="S286" s="338"/>
      <c r="T286" s="336"/>
      <c r="U286" s="336"/>
    </row>
    <row r="287" spans="1:21" ht="24" customHeight="1">
      <c r="A287" s="336"/>
      <c r="B287" s="336"/>
      <c r="C287" s="336"/>
      <c r="D287" s="336"/>
      <c r="E287" s="336"/>
      <c r="F287" s="336"/>
      <c r="G287" s="336"/>
      <c r="H287" s="336"/>
      <c r="I287" s="336"/>
      <c r="J287" s="338"/>
      <c r="K287" s="336"/>
      <c r="L287" s="336"/>
      <c r="M287" s="338"/>
      <c r="N287" s="336"/>
      <c r="O287" s="336"/>
      <c r="P287" s="338"/>
      <c r="Q287" s="336"/>
      <c r="R287" s="336"/>
      <c r="S287" s="338"/>
      <c r="T287" s="336"/>
      <c r="U287" s="336"/>
    </row>
    <row r="288" spans="1:21" ht="24" customHeight="1">
      <c r="A288" s="336"/>
      <c r="B288" s="336"/>
      <c r="C288" s="336"/>
      <c r="D288" s="336"/>
      <c r="E288" s="336"/>
      <c r="F288" s="336"/>
      <c r="G288" s="336"/>
      <c r="H288" s="336"/>
      <c r="I288" s="336"/>
      <c r="J288" s="338"/>
      <c r="K288" s="336"/>
      <c r="L288" s="336"/>
      <c r="M288" s="338"/>
      <c r="N288" s="336"/>
      <c r="O288" s="336"/>
      <c r="P288" s="338"/>
      <c r="Q288" s="336"/>
      <c r="R288" s="336"/>
      <c r="S288" s="338"/>
      <c r="T288" s="336"/>
      <c r="U288" s="336"/>
    </row>
    <row r="289" spans="1:21" ht="24" customHeight="1">
      <c r="A289" s="336"/>
      <c r="B289" s="336"/>
      <c r="C289" s="336"/>
      <c r="D289" s="336"/>
      <c r="E289" s="336"/>
      <c r="F289" s="336"/>
      <c r="G289" s="336"/>
      <c r="H289" s="336"/>
      <c r="I289" s="336"/>
      <c r="J289" s="338"/>
      <c r="K289" s="336"/>
      <c r="L289" s="336"/>
      <c r="M289" s="338"/>
      <c r="N289" s="336"/>
      <c r="O289" s="336"/>
      <c r="P289" s="338"/>
      <c r="Q289" s="336"/>
      <c r="R289" s="336"/>
      <c r="S289" s="338"/>
      <c r="T289" s="336"/>
      <c r="U289" s="336"/>
    </row>
    <row r="290" spans="1:21" ht="24" customHeight="1">
      <c r="A290" s="336"/>
      <c r="B290" s="336"/>
      <c r="C290" s="336"/>
      <c r="D290" s="336"/>
      <c r="E290" s="336"/>
      <c r="F290" s="336"/>
      <c r="G290" s="336"/>
      <c r="H290" s="336"/>
      <c r="I290" s="336"/>
      <c r="J290" s="338"/>
      <c r="K290" s="336"/>
      <c r="L290" s="336"/>
      <c r="M290" s="338"/>
      <c r="N290" s="336"/>
      <c r="O290" s="336"/>
      <c r="P290" s="338"/>
      <c r="Q290" s="336"/>
      <c r="R290" s="336"/>
      <c r="S290" s="338"/>
      <c r="T290" s="336"/>
      <c r="U290" s="336"/>
    </row>
    <row r="291" spans="1:21" ht="24" customHeight="1">
      <c r="A291" s="336"/>
      <c r="B291" s="336"/>
      <c r="C291" s="336"/>
      <c r="D291" s="336"/>
      <c r="E291" s="336"/>
      <c r="F291" s="336"/>
      <c r="G291" s="336"/>
      <c r="H291" s="336"/>
      <c r="I291" s="336"/>
      <c r="J291" s="338"/>
      <c r="K291" s="336"/>
      <c r="L291" s="336"/>
      <c r="M291" s="338"/>
      <c r="N291" s="336"/>
      <c r="O291" s="336"/>
      <c r="P291" s="338"/>
      <c r="Q291" s="336"/>
      <c r="R291" s="336"/>
      <c r="S291" s="338"/>
      <c r="T291" s="336"/>
      <c r="U291" s="336"/>
    </row>
    <row r="292" spans="1:21" ht="24" customHeight="1">
      <c r="A292" s="336"/>
      <c r="B292" s="336"/>
      <c r="C292" s="336"/>
      <c r="D292" s="336"/>
      <c r="E292" s="336"/>
      <c r="F292" s="336"/>
      <c r="G292" s="336"/>
      <c r="H292" s="336"/>
      <c r="I292" s="336"/>
      <c r="J292" s="338"/>
      <c r="K292" s="336"/>
      <c r="L292" s="336"/>
      <c r="M292" s="338"/>
      <c r="N292" s="336"/>
      <c r="O292" s="336"/>
      <c r="P292" s="338"/>
      <c r="Q292" s="336"/>
      <c r="R292" s="336"/>
      <c r="S292" s="338"/>
      <c r="T292" s="336"/>
      <c r="U292" s="336"/>
    </row>
    <row r="293" spans="1:21" ht="24" customHeight="1">
      <c r="A293" s="336"/>
      <c r="B293" s="336"/>
      <c r="C293" s="336"/>
      <c r="D293" s="336"/>
      <c r="E293" s="336"/>
      <c r="F293" s="336"/>
      <c r="G293" s="336"/>
      <c r="H293" s="336"/>
      <c r="I293" s="336"/>
      <c r="J293" s="338"/>
      <c r="K293" s="336"/>
      <c r="L293" s="336"/>
      <c r="M293" s="338"/>
      <c r="N293" s="336"/>
      <c r="O293" s="336"/>
      <c r="P293" s="338"/>
      <c r="Q293" s="336"/>
      <c r="R293" s="336"/>
      <c r="S293" s="338"/>
      <c r="T293" s="336"/>
      <c r="U293" s="336"/>
    </row>
    <row r="294" spans="1:21" ht="24" customHeight="1">
      <c r="A294" s="336"/>
      <c r="B294" s="336"/>
      <c r="C294" s="336"/>
      <c r="D294" s="336"/>
      <c r="E294" s="336"/>
      <c r="F294" s="336"/>
      <c r="G294" s="336"/>
      <c r="H294" s="336"/>
      <c r="I294" s="336"/>
      <c r="J294" s="338"/>
      <c r="K294" s="336"/>
      <c r="L294" s="336"/>
      <c r="M294" s="338"/>
      <c r="N294" s="336"/>
      <c r="O294" s="336"/>
      <c r="P294" s="338"/>
      <c r="Q294" s="336"/>
      <c r="R294" s="336"/>
      <c r="S294" s="338"/>
      <c r="T294" s="336"/>
      <c r="U294" s="336"/>
    </row>
    <row r="295" spans="1:21" ht="24" customHeight="1">
      <c r="A295" s="336"/>
      <c r="B295" s="336"/>
      <c r="C295" s="336"/>
      <c r="D295" s="336"/>
      <c r="E295" s="336"/>
      <c r="F295" s="336"/>
      <c r="G295" s="336"/>
      <c r="H295" s="336"/>
      <c r="I295" s="336"/>
      <c r="J295" s="338"/>
      <c r="K295" s="336"/>
      <c r="L295" s="336"/>
      <c r="M295" s="338"/>
      <c r="N295" s="336"/>
      <c r="O295" s="336"/>
      <c r="P295" s="338"/>
      <c r="Q295" s="336"/>
      <c r="R295" s="336"/>
      <c r="S295" s="338"/>
      <c r="T295" s="336"/>
      <c r="U295" s="336"/>
    </row>
    <row r="296" spans="1:21" ht="24" customHeight="1">
      <c r="A296" s="336"/>
      <c r="B296" s="336"/>
      <c r="C296" s="336"/>
      <c r="D296" s="336"/>
      <c r="E296" s="336"/>
      <c r="F296" s="336"/>
      <c r="G296" s="336"/>
      <c r="H296" s="336"/>
      <c r="I296" s="336"/>
      <c r="J296" s="338"/>
      <c r="K296" s="336"/>
      <c r="L296" s="336"/>
      <c r="M296" s="338"/>
      <c r="N296" s="336"/>
      <c r="O296" s="336"/>
      <c r="P296" s="338"/>
      <c r="Q296" s="336"/>
      <c r="R296" s="336"/>
      <c r="S296" s="338"/>
      <c r="T296" s="336"/>
      <c r="U296" s="336"/>
    </row>
    <row r="297" spans="1:21" ht="24" customHeight="1">
      <c r="A297" s="336"/>
      <c r="B297" s="336"/>
      <c r="C297" s="336"/>
      <c r="D297" s="336"/>
      <c r="E297" s="336"/>
      <c r="F297" s="336"/>
      <c r="G297" s="336"/>
      <c r="H297" s="336"/>
      <c r="I297" s="336"/>
      <c r="J297" s="338"/>
      <c r="K297" s="336"/>
      <c r="L297" s="336"/>
      <c r="M297" s="338"/>
      <c r="N297" s="336"/>
      <c r="O297" s="336"/>
      <c r="P297" s="338"/>
      <c r="Q297" s="336"/>
      <c r="R297" s="336"/>
      <c r="S297" s="338"/>
      <c r="T297" s="336"/>
      <c r="U297" s="336"/>
    </row>
    <row r="298" spans="1:21" ht="24" customHeight="1">
      <c r="A298" s="336"/>
      <c r="B298" s="336"/>
      <c r="C298" s="336"/>
      <c r="D298" s="336"/>
      <c r="E298" s="336"/>
      <c r="F298" s="336"/>
      <c r="G298" s="336"/>
      <c r="H298" s="336"/>
      <c r="I298" s="336"/>
      <c r="J298" s="338"/>
      <c r="K298" s="336"/>
      <c r="L298" s="336"/>
      <c r="M298" s="338"/>
      <c r="N298" s="336"/>
      <c r="O298" s="336"/>
      <c r="P298" s="338"/>
      <c r="Q298" s="336"/>
      <c r="R298" s="336"/>
      <c r="S298" s="338"/>
      <c r="T298" s="336"/>
      <c r="U298" s="336"/>
    </row>
    <row r="299" spans="1:21" ht="24" customHeight="1">
      <c r="A299" s="336"/>
      <c r="B299" s="336"/>
      <c r="C299" s="336"/>
      <c r="D299" s="336"/>
      <c r="E299" s="336"/>
      <c r="F299" s="336"/>
      <c r="G299" s="336"/>
      <c r="H299" s="336"/>
      <c r="I299" s="336"/>
      <c r="J299" s="338"/>
      <c r="K299" s="336"/>
      <c r="L299" s="336"/>
      <c r="M299" s="338"/>
      <c r="N299" s="336"/>
      <c r="O299" s="336"/>
      <c r="P299" s="338"/>
      <c r="Q299" s="336"/>
      <c r="R299" s="336"/>
      <c r="S299" s="338"/>
      <c r="T299" s="336"/>
      <c r="U299" s="336"/>
    </row>
    <row r="300" spans="1:21" ht="24" customHeight="1">
      <c r="A300" s="336"/>
      <c r="B300" s="336"/>
      <c r="C300" s="336"/>
      <c r="D300" s="336"/>
      <c r="E300" s="336"/>
      <c r="F300" s="336"/>
      <c r="G300" s="336"/>
      <c r="H300" s="336"/>
      <c r="I300" s="336"/>
      <c r="J300" s="338"/>
      <c r="K300" s="336"/>
      <c r="L300" s="336"/>
      <c r="M300" s="338"/>
      <c r="N300" s="336"/>
      <c r="O300" s="336"/>
      <c r="P300" s="338"/>
      <c r="Q300" s="336"/>
      <c r="R300" s="336"/>
      <c r="S300" s="338"/>
      <c r="T300" s="336"/>
      <c r="U300" s="336"/>
    </row>
    <row r="301" spans="1:21" ht="24" customHeight="1">
      <c r="A301" s="336"/>
      <c r="B301" s="336"/>
      <c r="C301" s="336"/>
      <c r="D301" s="336"/>
      <c r="E301" s="336"/>
      <c r="F301" s="336"/>
      <c r="G301" s="336"/>
      <c r="H301" s="336"/>
      <c r="I301" s="336"/>
      <c r="J301" s="338"/>
      <c r="K301" s="336"/>
      <c r="L301" s="336"/>
      <c r="M301" s="338"/>
      <c r="N301" s="336"/>
      <c r="O301" s="336"/>
      <c r="P301" s="338"/>
      <c r="Q301" s="336"/>
      <c r="R301" s="336"/>
      <c r="S301" s="338"/>
      <c r="T301" s="336"/>
      <c r="U301" s="336"/>
    </row>
    <row r="302" spans="1:21" ht="24" customHeight="1">
      <c r="A302" s="336"/>
      <c r="B302" s="336"/>
      <c r="C302" s="336"/>
      <c r="D302" s="336"/>
      <c r="E302" s="336"/>
      <c r="F302" s="336"/>
      <c r="G302" s="336"/>
      <c r="H302" s="336"/>
      <c r="I302" s="336"/>
      <c r="J302" s="338"/>
      <c r="K302" s="336"/>
      <c r="L302" s="336"/>
      <c r="M302" s="338"/>
      <c r="N302" s="336"/>
      <c r="O302" s="336"/>
      <c r="P302" s="338"/>
      <c r="Q302" s="336"/>
      <c r="R302" s="336"/>
      <c r="S302" s="338"/>
      <c r="T302" s="336"/>
      <c r="U302" s="336"/>
    </row>
    <row r="303" spans="1:21" ht="24" customHeight="1">
      <c r="A303" s="336"/>
      <c r="B303" s="336"/>
      <c r="C303" s="336"/>
      <c r="D303" s="336"/>
      <c r="E303" s="336"/>
      <c r="F303" s="336"/>
      <c r="G303" s="336"/>
      <c r="H303" s="336"/>
      <c r="I303" s="336"/>
      <c r="J303" s="338"/>
      <c r="K303" s="336"/>
      <c r="L303" s="336"/>
      <c r="M303" s="338"/>
      <c r="N303" s="336"/>
      <c r="O303" s="336"/>
      <c r="P303" s="338"/>
      <c r="Q303" s="336"/>
      <c r="R303" s="336"/>
      <c r="S303" s="338"/>
      <c r="T303" s="336"/>
      <c r="U303" s="336"/>
    </row>
    <row r="304" spans="1:21" ht="24" customHeight="1">
      <c r="A304" s="336"/>
      <c r="B304" s="336"/>
      <c r="C304" s="336"/>
      <c r="D304" s="336"/>
      <c r="E304" s="336"/>
      <c r="F304" s="336"/>
      <c r="G304" s="336"/>
      <c r="H304" s="336"/>
      <c r="I304" s="336"/>
      <c r="J304" s="338"/>
      <c r="K304" s="336"/>
      <c r="L304" s="336"/>
      <c r="M304" s="338"/>
      <c r="N304" s="336"/>
      <c r="O304" s="336"/>
      <c r="P304" s="338"/>
      <c r="Q304" s="336"/>
      <c r="R304" s="336"/>
      <c r="S304" s="338"/>
      <c r="T304" s="336"/>
      <c r="U304" s="336"/>
    </row>
    <row r="305" spans="1:21" ht="24" customHeight="1">
      <c r="A305" s="336"/>
      <c r="B305" s="336"/>
      <c r="C305" s="336"/>
      <c r="D305" s="336"/>
      <c r="E305" s="336"/>
      <c r="F305" s="336"/>
      <c r="G305" s="336"/>
      <c r="H305" s="336"/>
      <c r="I305" s="336"/>
      <c r="J305" s="338"/>
      <c r="K305" s="336"/>
      <c r="L305" s="336"/>
      <c r="M305" s="338"/>
      <c r="N305" s="336"/>
      <c r="O305" s="336"/>
      <c r="P305" s="338"/>
      <c r="Q305" s="336"/>
      <c r="R305" s="336"/>
      <c r="S305" s="338"/>
      <c r="T305" s="336"/>
      <c r="U305" s="336"/>
    </row>
    <row r="306" spans="1:21" ht="24" customHeight="1">
      <c r="A306" s="336"/>
      <c r="B306" s="336"/>
      <c r="C306" s="336"/>
      <c r="D306" s="336"/>
      <c r="E306" s="336"/>
      <c r="F306" s="336"/>
      <c r="G306" s="336"/>
      <c r="H306" s="336"/>
      <c r="I306" s="336"/>
      <c r="J306" s="338"/>
      <c r="K306" s="336"/>
      <c r="L306" s="336"/>
      <c r="M306" s="338"/>
      <c r="N306" s="336"/>
      <c r="O306" s="336"/>
      <c r="P306" s="338"/>
      <c r="Q306" s="336"/>
      <c r="R306" s="336"/>
      <c r="S306" s="338"/>
      <c r="T306" s="336"/>
      <c r="U306" s="336"/>
    </row>
    <row r="307" spans="1:21" ht="24" customHeight="1">
      <c r="A307" s="336"/>
      <c r="B307" s="336"/>
      <c r="C307" s="336"/>
      <c r="D307" s="336"/>
      <c r="E307" s="336"/>
      <c r="F307" s="336"/>
      <c r="G307" s="336"/>
      <c r="H307" s="336"/>
      <c r="I307" s="336"/>
      <c r="J307" s="338"/>
      <c r="K307" s="336"/>
      <c r="L307" s="336"/>
      <c r="M307" s="338"/>
      <c r="N307" s="336"/>
      <c r="O307" s="336"/>
      <c r="P307" s="338"/>
      <c r="Q307" s="336"/>
      <c r="R307" s="336"/>
      <c r="S307" s="338"/>
      <c r="T307" s="336"/>
      <c r="U307" s="336"/>
    </row>
    <row r="308" spans="1:21" ht="24" customHeight="1">
      <c r="A308" s="336"/>
      <c r="B308" s="336"/>
      <c r="C308" s="336"/>
      <c r="D308" s="336"/>
      <c r="E308" s="336"/>
      <c r="F308" s="336"/>
      <c r="G308" s="336"/>
      <c r="H308" s="336"/>
      <c r="I308" s="336"/>
      <c r="J308" s="338"/>
      <c r="K308" s="336"/>
      <c r="L308" s="336"/>
      <c r="M308" s="338"/>
      <c r="N308" s="336"/>
      <c r="O308" s="336"/>
      <c r="P308" s="338"/>
      <c r="Q308" s="336"/>
      <c r="R308" s="336"/>
      <c r="S308" s="338"/>
      <c r="T308" s="336"/>
      <c r="U308" s="336"/>
    </row>
    <row r="309" spans="1:21" ht="24" customHeight="1">
      <c r="A309" s="336"/>
      <c r="B309" s="336"/>
      <c r="C309" s="336"/>
      <c r="D309" s="336"/>
      <c r="E309" s="336"/>
      <c r="F309" s="336"/>
      <c r="G309" s="336"/>
      <c r="H309" s="336"/>
      <c r="I309" s="336"/>
      <c r="J309" s="338"/>
      <c r="K309" s="336"/>
      <c r="L309" s="336"/>
      <c r="M309" s="338"/>
      <c r="N309" s="336"/>
      <c r="O309" s="336"/>
      <c r="P309" s="338"/>
      <c r="Q309" s="336"/>
      <c r="R309" s="336"/>
      <c r="S309" s="338"/>
      <c r="T309" s="336"/>
      <c r="U309" s="336"/>
    </row>
    <row r="310" spans="1:21" ht="24" customHeight="1">
      <c r="A310" s="336"/>
      <c r="B310" s="336"/>
      <c r="C310" s="336"/>
      <c r="D310" s="336"/>
      <c r="E310" s="336"/>
      <c r="F310" s="336"/>
      <c r="G310" s="336"/>
      <c r="H310" s="336"/>
      <c r="I310" s="336"/>
      <c r="J310" s="338"/>
      <c r="K310" s="336"/>
      <c r="L310" s="336"/>
      <c r="M310" s="338"/>
      <c r="N310" s="336"/>
      <c r="O310" s="336"/>
      <c r="P310" s="338"/>
      <c r="Q310" s="336"/>
      <c r="R310" s="336"/>
      <c r="S310" s="338"/>
      <c r="T310" s="336"/>
      <c r="U310" s="336"/>
    </row>
    <row r="311" spans="1:21" ht="24" customHeight="1">
      <c r="A311" s="336"/>
      <c r="B311" s="336"/>
      <c r="C311" s="336"/>
      <c r="D311" s="336"/>
      <c r="E311" s="336"/>
      <c r="F311" s="336"/>
      <c r="G311" s="336"/>
      <c r="H311" s="336"/>
      <c r="I311" s="336"/>
      <c r="J311" s="338"/>
      <c r="K311" s="336"/>
      <c r="L311" s="336"/>
      <c r="M311" s="338"/>
      <c r="N311" s="336"/>
      <c r="O311" s="336"/>
      <c r="P311" s="338"/>
      <c r="Q311" s="336"/>
      <c r="R311" s="336"/>
      <c r="S311" s="338"/>
      <c r="T311" s="336"/>
      <c r="U311" s="336"/>
    </row>
    <row r="312" spans="1:21" ht="24" customHeight="1">
      <c r="A312" s="336"/>
      <c r="B312" s="336"/>
      <c r="C312" s="336"/>
      <c r="D312" s="336"/>
      <c r="E312" s="336"/>
      <c r="F312" s="336"/>
      <c r="G312" s="336"/>
      <c r="H312" s="336"/>
      <c r="I312" s="336"/>
      <c r="J312" s="338"/>
      <c r="K312" s="336"/>
      <c r="L312" s="336"/>
      <c r="M312" s="338"/>
      <c r="N312" s="336"/>
      <c r="O312" s="336"/>
      <c r="P312" s="338"/>
      <c r="Q312" s="336"/>
      <c r="R312" s="336"/>
      <c r="S312" s="338"/>
      <c r="T312" s="336"/>
      <c r="U312" s="336"/>
    </row>
    <row r="313" spans="1:21" ht="24" customHeight="1">
      <c r="A313" s="336"/>
      <c r="B313" s="336"/>
      <c r="C313" s="336"/>
      <c r="D313" s="336"/>
      <c r="E313" s="336"/>
      <c r="F313" s="336"/>
      <c r="G313" s="336"/>
      <c r="H313" s="336"/>
      <c r="I313" s="336"/>
      <c r="J313" s="338"/>
      <c r="K313" s="336"/>
      <c r="L313" s="336"/>
      <c r="M313" s="338"/>
      <c r="N313" s="336"/>
      <c r="O313" s="336"/>
      <c r="P313" s="338"/>
      <c r="Q313" s="336"/>
      <c r="R313" s="336"/>
      <c r="S313" s="338"/>
      <c r="T313" s="336"/>
      <c r="U313" s="336"/>
    </row>
    <row r="314" spans="1:21" ht="24" customHeight="1">
      <c r="A314" s="336"/>
      <c r="B314" s="336"/>
      <c r="C314" s="336"/>
      <c r="D314" s="336"/>
      <c r="E314" s="336"/>
      <c r="F314" s="336"/>
      <c r="G314" s="336"/>
      <c r="H314" s="336"/>
      <c r="I314" s="336"/>
      <c r="J314" s="338"/>
      <c r="K314" s="336"/>
      <c r="L314" s="336"/>
      <c r="M314" s="338"/>
      <c r="N314" s="336"/>
      <c r="O314" s="336"/>
      <c r="P314" s="338"/>
      <c r="Q314" s="336"/>
      <c r="R314" s="336"/>
      <c r="S314" s="338"/>
      <c r="T314" s="336"/>
      <c r="U314" s="336"/>
    </row>
    <row r="315" spans="1:21" ht="15.75" customHeight="1">
      <c r="A315" s="339"/>
      <c r="B315" s="339"/>
      <c r="C315" s="339"/>
      <c r="D315" s="339"/>
      <c r="E315" s="339"/>
      <c r="F315" s="339"/>
      <c r="G315" s="339"/>
      <c r="H315" s="339"/>
      <c r="I315" s="339"/>
      <c r="J315" s="341"/>
      <c r="K315" s="339"/>
      <c r="L315" s="339"/>
      <c r="M315" s="341"/>
      <c r="N315" s="339"/>
      <c r="O315" s="339"/>
      <c r="P315" s="341"/>
      <c r="Q315" s="339"/>
      <c r="R315" s="339"/>
      <c r="S315" s="341"/>
      <c r="T315" s="339"/>
      <c r="U315" s="339"/>
    </row>
    <row r="316" spans="1:21" ht="15.75" customHeight="1">
      <c r="A316" s="339"/>
      <c r="B316" s="339"/>
      <c r="C316" s="339"/>
      <c r="D316" s="339"/>
      <c r="E316" s="339"/>
      <c r="F316" s="339"/>
      <c r="G316" s="339"/>
      <c r="H316" s="339"/>
      <c r="I316" s="339"/>
      <c r="J316" s="341"/>
      <c r="K316" s="339"/>
      <c r="L316" s="339"/>
      <c r="M316" s="341"/>
      <c r="N316" s="339"/>
      <c r="O316" s="339"/>
      <c r="P316" s="341"/>
      <c r="Q316" s="339"/>
      <c r="R316" s="339"/>
      <c r="S316" s="341"/>
      <c r="T316" s="339"/>
      <c r="U316" s="339"/>
    </row>
    <row r="317" spans="1:21" ht="15.75" customHeight="1">
      <c r="A317" s="339"/>
      <c r="B317" s="339"/>
      <c r="C317" s="339"/>
      <c r="D317" s="339"/>
      <c r="E317" s="339"/>
      <c r="F317" s="339"/>
      <c r="G317" s="339"/>
      <c r="H317" s="339"/>
      <c r="I317" s="339"/>
      <c r="J317" s="341"/>
      <c r="K317" s="339"/>
      <c r="L317" s="339"/>
      <c r="M317" s="341"/>
      <c r="N317" s="339"/>
      <c r="O317" s="339"/>
      <c r="P317" s="341"/>
      <c r="Q317" s="339"/>
      <c r="R317" s="339"/>
      <c r="S317" s="341"/>
      <c r="T317" s="339"/>
      <c r="U317" s="339"/>
    </row>
    <row r="318" spans="1:21" ht="15.75" customHeight="1">
      <c r="A318" s="339"/>
      <c r="B318" s="339"/>
      <c r="C318" s="339"/>
      <c r="D318" s="339"/>
      <c r="E318" s="339"/>
      <c r="F318" s="339"/>
      <c r="G318" s="339"/>
      <c r="H318" s="339"/>
      <c r="I318" s="339"/>
      <c r="J318" s="341"/>
      <c r="K318" s="339"/>
      <c r="L318" s="339"/>
      <c r="M318" s="341"/>
      <c r="N318" s="339"/>
      <c r="O318" s="339"/>
      <c r="P318" s="341"/>
      <c r="Q318" s="339"/>
      <c r="R318" s="339"/>
      <c r="S318" s="341"/>
      <c r="T318" s="339"/>
      <c r="U318" s="339"/>
    </row>
    <row r="319" spans="1:21" ht="15.75" customHeight="1">
      <c r="A319" s="339"/>
      <c r="B319" s="339"/>
      <c r="C319" s="339"/>
      <c r="D319" s="339"/>
      <c r="E319" s="339"/>
      <c r="F319" s="339"/>
      <c r="G319" s="339"/>
      <c r="H319" s="339"/>
      <c r="I319" s="339"/>
      <c r="J319" s="341"/>
      <c r="K319" s="339"/>
      <c r="L319" s="339"/>
      <c r="M319" s="341"/>
      <c r="N319" s="339"/>
      <c r="O319" s="339"/>
      <c r="P319" s="341"/>
      <c r="Q319" s="339"/>
      <c r="R319" s="339"/>
      <c r="S319" s="341"/>
      <c r="T319" s="339"/>
      <c r="U319" s="339"/>
    </row>
    <row r="320" spans="1:21" ht="15.75" customHeight="1">
      <c r="A320" s="339"/>
      <c r="B320" s="339"/>
      <c r="C320" s="339"/>
      <c r="D320" s="339"/>
      <c r="E320" s="339"/>
      <c r="F320" s="339"/>
      <c r="G320" s="339"/>
      <c r="H320" s="339"/>
      <c r="I320" s="339"/>
      <c r="J320" s="341"/>
      <c r="K320" s="339"/>
      <c r="L320" s="339"/>
      <c r="M320" s="341"/>
      <c r="N320" s="339"/>
      <c r="O320" s="339"/>
      <c r="P320" s="341"/>
      <c r="Q320" s="339"/>
      <c r="R320" s="339"/>
      <c r="S320" s="341"/>
      <c r="T320" s="339"/>
      <c r="U320" s="339"/>
    </row>
    <row r="321" spans="1:21" ht="15.75" customHeight="1">
      <c r="A321" s="339"/>
      <c r="B321" s="339"/>
      <c r="C321" s="339"/>
      <c r="D321" s="339"/>
      <c r="E321" s="339"/>
      <c r="F321" s="339"/>
      <c r="G321" s="339"/>
      <c r="H321" s="339"/>
      <c r="I321" s="339"/>
      <c r="J321" s="341"/>
      <c r="K321" s="339"/>
      <c r="L321" s="339"/>
      <c r="M321" s="341"/>
      <c r="N321" s="339"/>
      <c r="O321" s="339"/>
      <c r="P321" s="341"/>
      <c r="Q321" s="339"/>
      <c r="R321" s="339"/>
      <c r="S321" s="341"/>
      <c r="T321" s="339"/>
      <c r="U321" s="339"/>
    </row>
    <row r="322" spans="1:21" ht="15.75" customHeight="1">
      <c r="A322" s="339"/>
      <c r="B322" s="339"/>
      <c r="C322" s="339"/>
      <c r="D322" s="339"/>
      <c r="E322" s="339"/>
      <c r="F322" s="339"/>
      <c r="G322" s="339"/>
      <c r="H322" s="339"/>
      <c r="I322" s="339"/>
      <c r="J322" s="341"/>
      <c r="K322" s="339"/>
      <c r="L322" s="339"/>
      <c r="M322" s="341"/>
      <c r="N322" s="339"/>
      <c r="O322" s="339"/>
      <c r="P322" s="341"/>
      <c r="Q322" s="339"/>
      <c r="R322" s="339"/>
      <c r="S322" s="341"/>
      <c r="T322" s="339"/>
      <c r="U322" s="339"/>
    </row>
    <row r="323" spans="1:21" ht="15.75" customHeight="1">
      <c r="A323" s="339"/>
      <c r="B323" s="339"/>
      <c r="C323" s="339"/>
      <c r="D323" s="339"/>
      <c r="E323" s="339"/>
      <c r="F323" s="339"/>
      <c r="G323" s="339"/>
      <c r="H323" s="339"/>
      <c r="I323" s="339"/>
      <c r="J323" s="341"/>
      <c r="K323" s="339"/>
      <c r="L323" s="339"/>
      <c r="M323" s="341"/>
      <c r="N323" s="339"/>
      <c r="O323" s="339"/>
      <c r="P323" s="341"/>
      <c r="Q323" s="339"/>
      <c r="R323" s="339"/>
      <c r="S323" s="341"/>
      <c r="T323" s="339"/>
      <c r="U323" s="339"/>
    </row>
    <row r="324" spans="1:21" ht="15.75" customHeight="1">
      <c r="A324" s="339"/>
      <c r="B324" s="339"/>
      <c r="C324" s="339"/>
      <c r="D324" s="339"/>
      <c r="E324" s="339"/>
      <c r="F324" s="339"/>
      <c r="G324" s="339"/>
      <c r="H324" s="339"/>
      <c r="I324" s="339"/>
      <c r="J324" s="341"/>
      <c r="K324" s="339"/>
      <c r="L324" s="339"/>
      <c r="M324" s="341"/>
      <c r="N324" s="339"/>
      <c r="O324" s="339"/>
      <c r="P324" s="341"/>
      <c r="Q324" s="339"/>
      <c r="R324" s="339"/>
      <c r="S324" s="341"/>
      <c r="T324" s="339"/>
      <c r="U324" s="339"/>
    </row>
    <row r="325" spans="1:21" ht="15.75" customHeight="1">
      <c r="A325" s="339"/>
      <c r="B325" s="339"/>
      <c r="C325" s="339"/>
      <c r="D325" s="339"/>
      <c r="E325" s="339"/>
      <c r="F325" s="339"/>
      <c r="G325" s="339"/>
      <c r="H325" s="339"/>
      <c r="I325" s="339"/>
      <c r="J325" s="341"/>
      <c r="K325" s="339"/>
      <c r="L325" s="339"/>
      <c r="M325" s="341"/>
      <c r="N325" s="339"/>
      <c r="O325" s="339"/>
      <c r="P325" s="341"/>
      <c r="Q325" s="339"/>
      <c r="R325" s="339"/>
      <c r="S325" s="341"/>
      <c r="T325" s="339"/>
      <c r="U325" s="339"/>
    </row>
    <row r="326" spans="1:21" ht="15.75" customHeight="1">
      <c r="A326" s="339"/>
      <c r="B326" s="339"/>
      <c r="C326" s="339"/>
      <c r="D326" s="339"/>
      <c r="E326" s="339"/>
      <c r="F326" s="339"/>
      <c r="G326" s="339"/>
      <c r="H326" s="339"/>
      <c r="I326" s="339"/>
      <c r="J326" s="341"/>
      <c r="K326" s="339"/>
      <c r="L326" s="339"/>
      <c r="M326" s="341"/>
      <c r="N326" s="339"/>
      <c r="O326" s="339"/>
      <c r="P326" s="341"/>
      <c r="Q326" s="339"/>
      <c r="R326" s="339"/>
      <c r="S326" s="341"/>
      <c r="T326" s="339"/>
      <c r="U326" s="339"/>
    </row>
    <row r="327" spans="1:21" ht="15.75" customHeight="1">
      <c r="A327" s="339"/>
      <c r="B327" s="339"/>
      <c r="C327" s="339"/>
      <c r="D327" s="339"/>
      <c r="E327" s="339"/>
      <c r="F327" s="339"/>
      <c r="G327" s="339"/>
      <c r="H327" s="339"/>
      <c r="I327" s="339"/>
      <c r="J327" s="341"/>
      <c r="K327" s="339"/>
      <c r="L327" s="339"/>
      <c r="M327" s="341"/>
      <c r="N327" s="339"/>
      <c r="O327" s="339"/>
      <c r="P327" s="341"/>
      <c r="Q327" s="339"/>
      <c r="R327" s="339"/>
      <c r="S327" s="341"/>
      <c r="T327" s="339"/>
      <c r="U327" s="339"/>
    </row>
    <row r="328" spans="1:21" ht="15.75" customHeight="1">
      <c r="A328" s="339"/>
      <c r="B328" s="339"/>
      <c r="C328" s="339"/>
      <c r="D328" s="339"/>
      <c r="E328" s="339"/>
      <c r="F328" s="339"/>
      <c r="G328" s="339"/>
      <c r="H328" s="339"/>
      <c r="I328" s="339"/>
      <c r="J328" s="341"/>
      <c r="K328" s="339"/>
      <c r="L328" s="339"/>
      <c r="M328" s="341"/>
      <c r="N328" s="339"/>
      <c r="O328" s="339"/>
      <c r="P328" s="341"/>
      <c r="Q328" s="339"/>
      <c r="R328" s="339"/>
      <c r="S328" s="341"/>
      <c r="T328" s="339"/>
      <c r="U328" s="339"/>
    </row>
    <row r="329" spans="1:21" ht="15.75" customHeight="1">
      <c r="A329" s="339"/>
      <c r="B329" s="339"/>
      <c r="C329" s="339"/>
      <c r="D329" s="339"/>
      <c r="E329" s="339"/>
      <c r="F329" s="339"/>
      <c r="G329" s="339"/>
      <c r="H329" s="339"/>
      <c r="I329" s="339"/>
      <c r="J329" s="341"/>
      <c r="K329" s="339"/>
      <c r="L329" s="339"/>
      <c r="M329" s="341"/>
      <c r="N329" s="339"/>
      <c r="O329" s="339"/>
      <c r="P329" s="341"/>
      <c r="Q329" s="339"/>
      <c r="R329" s="339"/>
      <c r="S329" s="341"/>
      <c r="T329" s="339"/>
      <c r="U329" s="339"/>
    </row>
    <row r="330" spans="1:21" ht="15.75" customHeight="1">
      <c r="A330" s="339"/>
      <c r="B330" s="339"/>
      <c r="C330" s="339"/>
      <c r="D330" s="339"/>
      <c r="E330" s="339"/>
      <c r="F330" s="339"/>
      <c r="G330" s="339"/>
      <c r="H330" s="339"/>
      <c r="I330" s="339"/>
      <c r="J330" s="341"/>
      <c r="K330" s="339"/>
      <c r="L330" s="339"/>
      <c r="M330" s="341"/>
      <c r="N330" s="339"/>
      <c r="O330" s="339"/>
      <c r="P330" s="341"/>
      <c r="Q330" s="339"/>
      <c r="R330" s="339"/>
      <c r="S330" s="341"/>
      <c r="T330" s="339"/>
      <c r="U330" s="339"/>
    </row>
    <row r="331" spans="1:21" ht="15.75" customHeight="1">
      <c r="A331" s="339"/>
      <c r="B331" s="339"/>
      <c r="C331" s="339"/>
      <c r="D331" s="339"/>
      <c r="E331" s="339"/>
      <c r="F331" s="339"/>
      <c r="G331" s="339"/>
      <c r="H331" s="339"/>
      <c r="I331" s="339"/>
      <c r="J331" s="341"/>
      <c r="K331" s="339"/>
      <c r="L331" s="339"/>
      <c r="M331" s="341"/>
      <c r="N331" s="339"/>
      <c r="O331" s="339"/>
      <c r="P331" s="341"/>
      <c r="Q331" s="339"/>
      <c r="R331" s="339"/>
      <c r="S331" s="341"/>
      <c r="T331" s="339"/>
      <c r="U331" s="339"/>
    </row>
    <row r="332" spans="1:21" ht="15.75" customHeight="1">
      <c r="A332" s="339"/>
      <c r="B332" s="339"/>
      <c r="C332" s="339"/>
      <c r="D332" s="339"/>
      <c r="E332" s="339"/>
      <c r="F332" s="339"/>
      <c r="G332" s="339"/>
      <c r="H332" s="339"/>
      <c r="I332" s="339"/>
      <c r="J332" s="341"/>
      <c r="K332" s="339"/>
      <c r="L332" s="339"/>
      <c r="M332" s="341"/>
      <c r="N332" s="339"/>
      <c r="O332" s="339"/>
      <c r="P332" s="341"/>
      <c r="Q332" s="339"/>
      <c r="R332" s="339"/>
      <c r="S332" s="341"/>
      <c r="T332" s="339"/>
      <c r="U332" s="339"/>
    </row>
    <row r="333" spans="1:21" ht="15.75" customHeight="1">
      <c r="A333" s="339"/>
      <c r="B333" s="339"/>
      <c r="C333" s="339"/>
      <c r="D333" s="339"/>
      <c r="E333" s="339"/>
      <c r="F333" s="339"/>
      <c r="G333" s="339"/>
      <c r="H333" s="339"/>
      <c r="I333" s="339"/>
      <c r="J333" s="341"/>
      <c r="K333" s="339"/>
      <c r="L333" s="339"/>
      <c r="M333" s="341"/>
      <c r="N333" s="339"/>
      <c r="O333" s="339"/>
      <c r="P333" s="341"/>
      <c r="Q333" s="339"/>
      <c r="R333" s="339"/>
      <c r="S333" s="341"/>
      <c r="T333" s="339"/>
      <c r="U333" s="339"/>
    </row>
    <row r="334" spans="1:21" ht="15.75" customHeight="1">
      <c r="A334" s="339"/>
      <c r="B334" s="339"/>
      <c r="C334" s="339"/>
      <c r="D334" s="339"/>
      <c r="E334" s="339"/>
      <c r="F334" s="339"/>
      <c r="G334" s="339"/>
      <c r="H334" s="339"/>
      <c r="I334" s="339"/>
      <c r="J334" s="341"/>
      <c r="K334" s="339"/>
      <c r="L334" s="339"/>
      <c r="M334" s="341"/>
      <c r="N334" s="339"/>
      <c r="O334" s="339"/>
      <c r="P334" s="341"/>
      <c r="Q334" s="339"/>
      <c r="R334" s="339"/>
      <c r="S334" s="341"/>
      <c r="T334" s="339"/>
      <c r="U334" s="339"/>
    </row>
    <row r="335" spans="1:21" ht="15.75" customHeight="1">
      <c r="A335" s="339"/>
      <c r="B335" s="339"/>
      <c r="C335" s="339"/>
      <c r="D335" s="339"/>
      <c r="E335" s="339"/>
      <c r="F335" s="339"/>
      <c r="G335" s="339"/>
      <c r="H335" s="339"/>
      <c r="I335" s="339"/>
      <c r="J335" s="341"/>
      <c r="K335" s="339"/>
      <c r="L335" s="339"/>
      <c r="M335" s="341"/>
      <c r="N335" s="339"/>
      <c r="O335" s="339"/>
      <c r="P335" s="341"/>
      <c r="Q335" s="339"/>
      <c r="R335" s="339"/>
      <c r="S335" s="341"/>
      <c r="T335" s="339"/>
      <c r="U335" s="339"/>
    </row>
    <row r="336" spans="1:21" ht="15.75" customHeight="1">
      <c r="A336" s="339"/>
      <c r="B336" s="339"/>
      <c r="C336" s="339"/>
      <c r="D336" s="339"/>
      <c r="E336" s="339"/>
      <c r="F336" s="339"/>
      <c r="G336" s="339"/>
      <c r="H336" s="339"/>
      <c r="I336" s="339"/>
      <c r="J336" s="341"/>
      <c r="K336" s="339"/>
      <c r="L336" s="339"/>
      <c r="M336" s="341"/>
      <c r="N336" s="339"/>
      <c r="O336" s="339"/>
      <c r="P336" s="341"/>
      <c r="Q336" s="339"/>
      <c r="R336" s="339"/>
      <c r="S336" s="341"/>
      <c r="T336" s="339"/>
      <c r="U336" s="339"/>
    </row>
    <row r="337" spans="1:21" ht="15.75" customHeight="1">
      <c r="A337" s="339"/>
      <c r="B337" s="339"/>
      <c r="C337" s="339"/>
      <c r="D337" s="339"/>
      <c r="E337" s="339"/>
      <c r="F337" s="339"/>
      <c r="G337" s="339"/>
      <c r="H337" s="339"/>
      <c r="I337" s="339"/>
      <c r="J337" s="341"/>
      <c r="K337" s="339"/>
      <c r="L337" s="339"/>
      <c r="M337" s="341"/>
      <c r="N337" s="339"/>
      <c r="O337" s="339"/>
      <c r="P337" s="341"/>
      <c r="Q337" s="339"/>
      <c r="R337" s="339"/>
      <c r="S337" s="341"/>
      <c r="T337" s="339"/>
      <c r="U337" s="339"/>
    </row>
    <row r="338" spans="1:21" ht="15.75" customHeight="1">
      <c r="A338" s="339"/>
      <c r="B338" s="339"/>
      <c r="C338" s="339"/>
      <c r="D338" s="339"/>
      <c r="E338" s="339"/>
      <c r="F338" s="339"/>
      <c r="G338" s="339"/>
      <c r="H338" s="339"/>
      <c r="I338" s="339"/>
      <c r="J338" s="341"/>
      <c r="K338" s="339"/>
      <c r="L338" s="339"/>
      <c r="M338" s="341"/>
      <c r="N338" s="339"/>
      <c r="O338" s="339"/>
      <c r="P338" s="341"/>
      <c r="Q338" s="339"/>
      <c r="R338" s="339"/>
      <c r="S338" s="341"/>
      <c r="T338" s="339"/>
      <c r="U338" s="339"/>
    </row>
    <row r="339" spans="1:21" ht="15.75" customHeight="1">
      <c r="A339" s="339"/>
      <c r="B339" s="339"/>
      <c r="C339" s="339"/>
      <c r="D339" s="339"/>
      <c r="E339" s="339"/>
      <c r="F339" s="339"/>
      <c r="G339" s="339"/>
      <c r="H339" s="339"/>
      <c r="I339" s="339"/>
      <c r="J339" s="341"/>
      <c r="K339" s="339"/>
      <c r="L339" s="339"/>
      <c r="M339" s="341"/>
      <c r="N339" s="339"/>
      <c r="O339" s="339"/>
      <c r="P339" s="341"/>
      <c r="Q339" s="339"/>
      <c r="R339" s="339"/>
      <c r="S339" s="341"/>
      <c r="T339" s="339"/>
      <c r="U339" s="339"/>
    </row>
    <row r="340" spans="1:21" ht="15.75" customHeight="1">
      <c r="A340" s="339"/>
      <c r="B340" s="339"/>
      <c r="C340" s="339"/>
      <c r="D340" s="339"/>
      <c r="E340" s="339"/>
      <c r="F340" s="339"/>
      <c r="G340" s="339"/>
      <c r="H340" s="339"/>
      <c r="I340" s="339"/>
      <c r="J340" s="341"/>
      <c r="K340" s="339"/>
      <c r="L340" s="339"/>
      <c r="M340" s="341"/>
      <c r="N340" s="339"/>
      <c r="O340" s="339"/>
      <c r="P340" s="341"/>
      <c r="Q340" s="339"/>
      <c r="R340" s="339"/>
      <c r="S340" s="341"/>
      <c r="T340" s="339"/>
      <c r="U340" s="339"/>
    </row>
    <row r="341" spans="1:21" ht="15.75" customHeight="1">
      <c r="A341" s="339"/>
      <c r="B341" s="339"/>
      <c r="C341" s="339"/>
      <c r="D341" s="339"/>
      <c r="E341" s="339"/>
      <c r="F341" s="339"/>
      <c r="G341" s="339"/>
      <c r="H341" s="339"/>
      <c r="I341" s="339"/>
      <c r="J341" s="341"/>
      <c r="K341" s="339"/>
      <c r="L341" s="339"/>
      <c r="M341" s="341"/>
      <c r="N341" s="339"/>
      <c r="O341" s="339"/>
      <c r="P341" s="341"/>
      <c r="Q341" s="339"/>
      <c r="R341" s="339"/>
      <c r="S341" s="341"/>
      <c r="T341" s="339"/>
      <c r="U341" s="339"/>
    </row>
    <row r="342" spans="1:21" ht="15.75" customHeight="1">
      <c r="A342" s="339"/>
      <c r="B342" s="339"/>
      <c r="C342" s="339"/>
      <c r="D342" s="339"/>
      <c r="E342" s="339"/>
      <c r="F342" s="339"/>
      <c r="G342" s="339"/>
      <c r="H342" s="339"/>
      <c r="I342" s="339"/>
      <c r="J342" s="341"/>
      <c r="K342" s="339"/>
      <c r="L342" s="339"/>
      <c r="M342" s="341"/>
      <c r="N342" s="339"/>
      <c r="O342" s="339"/>
      <c r="P342" s="341"/>
      <c r="Q342" s="339"/>
      <c r="R342" s="339"/>
      <c r="S342" s="341"/>
      <c r="T342" s="339"/>
      <c r="U342" s="339"/>
    </row>
    <row r="343" spans="1:21" ht="15.75" customHeight="1">
      <c r="A343" s="339"/>
      <c r="B343" s="339"/>
      <c r="C343" s="339"/>
      <c r="D343" s="339"/>
      <c r="E343" s="339"/>
      <c r="F343" s="339"/>
      <c r="G343" s="339"/>
      <c r="H343" s="339"/>
      <c r="I343" s="339"/>
      <c r="J343" s="341"/>
      <c r="K343" s="339"/>
      <c r="L343" s="339"/>
      <c r="M343" s="341"/>
      <c r="N343" s="339"/>
      <c r="O343" s="339"/>
      <c r="P343" s="341"/>
      <c r="Q343" s="339"/>
      <c r="R343" s="339"/>
      <c r="S343" s="341"/>
      <c r="T343" s="339"/>
      <c r="U343" s="339"/>
    </row>
    <row r="344" spans="1:21" ht="15.75" customHeight="1">
      <c r="A344" s="339"/>
      <c r="B344" s="339"/>
      <c r="C344" s="339"/>
      <c r="D344" s="339"/>
      <c r="E344" s="339"/>
      <c r="F344" s="339"/>
      <c r="G344" s="339"/>
      <c r="H344" s="339"/>
      <c r="I344" s="339"/>
      <c r="J344" s="341"/>
      <c r="K344" s="339"/>
      <c r="L344" s="339"/>
      <c r="M344" s="341"/>
      <c r="N344" s="339"/>
      <c r="O344" s="339"/>
      <c r="P344" s="341"/>
      <c r="Q344" s="339"/>
      <c r="R344" s="339"/>
      <c r="S344" s="341"/>
      <c r="T344" s="339"/>
      <c r="U344" s="339"/>
    </row>
    <row r="345" spans="1:21" ht="15.75" customHeight="1">
      <c r="A345" s="339"/>
      <c r="B345" s="339"/>
      <c r="C345" s="339"/>
      <c r="D345" s="339"/>
      <c r="E345" s="339"/>
      <c r="F345" s="339"/>
      <c r="G345" s="339"/>
      <c r="H345" s="339"/>
      <c r="I345" s="339"/>
      <c r="J345" s="341"/>
      <c r="K345" s="339"/>
      <c r="L345" s="339"/>
      <c r="M345" s="341"/>
      <c r="N345" s="339"/>
      <c r="O345" s="339"/>
      <c r="P345" s="341"/>
      <c r="Q345" s="339"/>
      <c r="R345" s="339"/>
      <c r="S345" s="341"/>
      <c r="T345" s="339"/>
      <c r="U345" s="339"/>
    </row>
    <row r="346" spans="1:21" ht="15.75" customHeight="1">
      <c r="A346" s="339"/>
      <c r="B346" s="339"/>
      <c r="C346" s="339"/>
      <c r="D346" s="339"/>
      <c r="E346" s="339"/>
      <c r="F346" s="339"/>
      <c r="G346" s="339"/>
      <c r="H346" s="339"/>
      <c r="I346" s="339"/>
      <c r="J346" s="341"/>
      <c r="K346" s="339"/>
      <c r="L346" s="339"/>
      <c r="M346" s="341"/>
      <c r="N346" s="339"/>
      <c r="O346" s="339"/>
      <c r="P346" s="341"/>
      <c r="Q346" s="339"/>
      <c r="R346" s="339"/>
      <c r="S346" s="341"/>
      <c r="T346" s="339"/>
      <c r="U346" s="339"/>
    </row>
    <row r="347" spans="1:21" ht="15.75" customHeight="1">
      <c r="A347" s="339"/>
      <c r="B347" s="339"/>
      <c r="C347" s="339"/>
      <c r="D347" s="339"/>
      <c r="E347" s="339"/>
      <c r="F347" s="339"/>
      <c r="G347" s="339"/>
      <c r="H347" s="339"/>
      <c r="I347" s="339"/>
      <c r="J347" s="341"/>
      <c r="K347" s="339"/>
      <c r="L347" s="339"/>
      <c r="M347" s="341"/>
      <c r="N347" s="339"/>
      <c r="O347" s="339"/>
      <c r="P347" s="341"/>
      <c r="Q347" s="339"/>
      <c r="R347" s="339"/>
      <c r="S347" s="341"/>
      <c r="T347" s="339"/>
      <c r="U347" s="339"/>
    </row>
    <row r="348" spans="1:21" ht="15.75" customHeight="1">
      <c r="A348" s="339"/>
      <c r="B348" s="339"/>
      <c r="C348" s="339"/>
      <c r="D348" s="339"/>
      <c r="E348" s="339"/>
      <c r="F348" s="339"/>
      <c r="G348" s="339"/>
      <c r="H348" s="339"/>
      <c r="I348" s="339"/>
      <c r="J348" s="341"/>
      <c r="K348" s="339"/>
      <c r="L348" s="339"/>
      <c r="M348" s="341"/>
      <c r="N348" s="339"/>
      <c r="O348" s="339"/>
      <c r="P348" s="341"/>
      <c r="Q348" s="339"/>
      <c r="R348" s="339"/>
      <c r="S348" s="341"/>
      <c r="T348" s="339"/>
      <c r="U348" s="339"/>
    </row>
    <row r="349" spans="1:21" ht="15.75" customHeight="1">
      <c r="A349" s="339"/>
      <c r="B349" s="339"/>
      <c r="C349" s="339"/>
      <c r="D349" s="339"/>
      <c r="E349" s="339"/>
      <c r="F349" s="339"/>
      <c r="G349" s="339"/>
      <c r="H349" s="339"/>
      <c r="I349" s="339"/>
      <c r="J349" s="341"/>
      <c r="K349" s="339"/>
      <c r="L349" s="339"/>
      <c r="M349" s="341"/>
      <c r="N349" s="339"/>
      <c r="O349" s="339"/>
      <c r="P349" s="341"/>
      <c r="Q349" s="339"/>
      <c r="R349" s="339"/>
      <c r="S349" s="341"/>
      <c r="T349" s="339"/>
      <c r="U349" s="339"/>
    </row>
    <row r="350" spans="1:21" ht="15.75" customHeight="1">
      <c r="A350" s="339"/>
      <c r="B350" s="339"/>
      <c r="C350" s="339"/>
      <c r="D350" s="339"/>
      <c r="E350" s="339"/>
      <c r="F350" s="339"/>
      <c r="G350" s="339"/>
      <c r="H350" s="339"/>
      <c r="I350" s="339"/>
      <c r="J350" s="341"/>
      <c r="K350" s="339"/>
      <c r="L350" s="339"/>
      <c r="M350" s="341"/>
      <c r="N350" s="339"/>
      <c r="O350" s="339"/>
      <c r="P350" s="341"/>
      <c r="Q350" s="339"/>
      <c r="R350" s="339"/>
      <c r="S350" s="341"/>
      <c r="T350" s="339"/>
      <c r="U350" s="339"/>
    </row>
    <row r="351" spans="1:21" ht="15.75" customHeight="1">
      <c r="A351" s="339"/>
      <c r="B351" s="339"/>
      <c r="C351" s="339"/>
      <c r="D351" s="339"/>
      <c r="E351" s="339"/>
      <c r="F351" s="339"/>
      <c r="G351" s="339"/>
      <c r="H351" s="339"/>
      <c r="I351" s="339"/>
      <c r="J351" s="341"/>
      <c r="K351" s="339"/>
      <c r="L351" s="339"/>
      <c r="M351" s="341"/>
      <c r="N351" s="339"/>
      <c r="O351" s="339"/>
      <c r="P351" s="341"/>
      <c r="Q351" s="339"/>
      <c r="R351" s="339"/>
      <c r="S351" s="341"/>
      <c r="T351" s="339"/>
      <c r="U351" s="339"/>
    </row>
    <row r="352" spans="1:21" ht="15.75" customHeight="1">
      <c r="A352" s="339"/>
      <c r="B352" s="339"/>
      <c r="C352" s="339"/>
      <c r="D352" s="339"/>
      <c r="E352" s="339"/>
      <c r="F352" s="339"/>
      <c r="G352" s="339"/>
      <c r="H352" s="339"/>
      <c r="I352" s="339"/>
      <c r="J352" s="341"/>
      <c r="K352" s="339"/>
      <c r="L352" s="339"/>
      <c r="M352" s="341"/>
      <c r="N352" s="339"/>
      <c r="O352" s="339"/>
      <c r="P352" s="341"/>
      <c r="Q352" s="339"/>
      <c r="R352" s="339"/>
      <c r="S352" s="341"/>
      <c r="T352" s="339"/>
      <c r="U352" s="339"/>
    </row>
    <row r="353" spans="1:21" ht="15.75" customHeight="1">
      <c r="A353" s="339"/>
      <c r="B353" s="339"/>
      <c r="C353" s="339"/>
      <c r="D353" s="339"/>
      <c r="E353" s="339"/>
      <c r="F353" s="339"/>
      <c r="G353" s="339"/>
      <c r="H353" s="339"/>
      <c r="I353" s="339"/>
      <c r="J353" s="341"/>
      <c r="K353" s="339"/>
      <c r="L353" s="339"/>
      <c r="M353" s="341"/>
      <c r="N353" s="339"/>
      <c r="O353" s="339"/>
      <c r="P353" s="341"/>
      <c r="Q353" s="339"/>
      <c r="R353" s="339"/>
      <c r="S353" s="341"/>
      <c r="T353" s="339"/>
      <c r="U353" s="339"/>
    </row>
    <row r="354" spans="1:21" ht="15.75" customHeight="1">
      <c r="A354" s="339"/>
      <c r="B354" s="339"/>
      <c r="C354" s="339"/>
      <c r="D354" s="339"/>
      <c r="E354" s="339"/>
      <c r="F354" s="339"/>
      <c r="G354" s="339"/>
      <c r="H354" s="339"/>
      <c r="I354" s="339"/>
      <c r="J354" s="341"/>
      <c r="K354" s="339"/>
      <c r="L354" s="339"/>
      <c r="M354" s="341"/>
      <c r="N354" s="339"/>
      <c r="O354" s="339"/>
      <c r="P354" s="341"/>
      <c r="Q354" s="339"/>
      <c r="R354" s="339"/>
      <c r="S354" s="341"/>
      <c r="T354" s="339"/>
      <c r="U354" s="339"/>
    </row>
    <row r="355" spans="1:21" ht="15.75" customHeight="1">
      <c r="A355" s="339"/>
      <c r="B355" s="339"/>
      <c r="C355" s="339"/>
      <c r="D355" s="339"/>
      <c r="E355" s="339"/>
      <c r="F355" s="339"/>
      <c r="G355" s="339"/>
      <c r="H355" s="339"/>
      <c r="I355" s="339"/>
      <c r="J355" s="341"/>
      <c r="K355" s="339"/>
      <c r="L355" s="339"/>
      <c r="M355" s="341"/>
      <c r="N355" s="339"/>
      <c r="O355" s="339"/>
      <c r="P355" s="341"/>
      <c r="Q355" s="339"/>
      <c r="R355" s="339"/>
      <c r="S355" s="341"/>
      <c r="T355" s="339"/>
      <c r="U355" s="339"/>
    </row>
    <row r="356" spans="1:21" ht="15.75" customHeight="1">
      <c r="A356" s="339"/>
      <c r="B356" s="339"/>
      <c r="C356" s="339"/>
      <c r="D356" s="339"/>
      <c r="E356" s="339"/>
      <c r="F356" s="339"/>
      <c r="G356" s="339"/>
      <c r="H356" s="339"/>
      <c r="I356" s="339"/>
      <c r="J356" s="341"/>
      <c r="K356" s="339"/>
      <c r="L356" s="339"/>
      <c r="M356" s="341"/>
      <c r="N356" s="339"/>
      <c r="O356" s="339"/>
      <c r="P356" s="341"/>
      <c r="Q356" s="339"/>
      <c r="R356" s="339"/>
      <c r="S356" s="341"/>
      <c r="T356" s="339"/>
      <c r="U356" s="339"/>
    </row>
    <row r="357" spans="1:21" ht="15.75" customHeight="1">
      <c r="A357" s="339"/>
      <c r="B357" s="339"/>
      <c r="C357" s="339"/>
      <c r="D357" s="339"/>
      <c r="E357" s="339"/>
      <c r="F357" s="339"/>
      <c r="G357" s="339"/>
      <c r="H357" s="339"/>
      <c r="I357" s="339"/>
      <c r="J357" s="341"/>
      <c r="K357" s="339"/>
      <c r="L357" s="339"/>
      <c r="M357" s="341"/>
      <c r="N357" s="339"/>
      <c r="O357" s="339"/>
      <c r="P357" s="341"/>
      <c r="Q357" s="339"/>
      <c r="R357" s="339"/>
      <c r="S357" s="341"/>
      <c r="T357" s="339"/>
      <c r="U357" s="339"/>
    </row>
    <row r="358" spans="1:21" ht="15.75" customHeight="1">
      <c r="A358" s="339"/>
      <c r="B358" s="339"/>
      <c r="C358" s="339"/>
      <c r="D358" s="339"/>
      <c r="E358" s="339"/>
      <c r="F358" s="339"/>
      <c r="G358" s="339"/>
      <c r="H358" s="339"/>
      <c r="I358" s="339"/>
      <c r="J358" s="341"/>
      <c r="K358" s="339"/>
      <c r="L358" s="339"/>
      <c r="M358" s="341"/>
      <c r="N358" s="339"/>
      <c r="O358" s="339"/>
      <c r="P358" s="341"/>
      <c r="Q358" s="339"/>
      <c r="R358" s="339"/>
      <c r="S358" s="341"/>
      <c r="T358" s="339"/>
      <c r="U358" s="339"/>
    </row>
    <row r="359" spans="1:21" ht="15.75" customHeight="1">
      <c r="A359" s="339"/>
      <c r="B359" s="339"/>
      <c r="C359" s="339"/>
      <c r="D359" s="339"/>
      <c r="E359" s="339"/>
      <c r="F359" s="339"/>
      <c r="G359" s="339"/>
      <c r="H359" s="339"/>
      <c r="I359" s="339"/>
      <c r="J359" s="341"/>
      <c r="K359" s="339"/>
      <c r="L359" s="339"/>
      <c r="M359" s="341"/>
      <c r="N359" s="339"/>
      <c r="O359" s="339"/>
      <c r="P359" s="341"/>
      <c r="Q359" s="339"/>
      <c r="R359" s="339"/>
      <c r="S359" s="341"/>
      <c r="T359" s="339"/>
      <c r="U359" s="339"/>
    </row>
    <row r="360" spans="1:21" ht="15.75" customHeight="1">
      <c r="A360" s="339"/>
      <c r="B360" s="339"/>
      <c r="C360" s="339"/>
      <c r="D360" s="339"/>
      <c r="E360" s="339"/>
      <c r="F360" s="339"/>
      <c r="G360" s="339"/>
      <c r="H360" s="339"/>
      <c r="I360" s="339"/>
      <c r="J360" s="341"/>
      <c r="K360" s="339"/>
      <c r="L360" s="339"/>
      <c r="M360" s="341"/>
      <c r="N360" s="339"/>
      <c r="O360" s="339"/>
      <c r="P360" s="341"/>
      <c r="Q360" s="339"/>
      <c r="R360" s="339"/>
      <c r="S360" s="341"/>
      <c r="T360" s="339"/>
      <c r="U360" s="339"/>
    </row>
    <row r="361" spans="1:21" ht="15.75" customHeight="1">
      <c r="A361" s="339"/>
      <c r="B361" s="339"/>
      <c r="C361" s="339"/>
      <c r="D361" s="339"/>
      <c r="E361" s="339"/>
      <c r="F361" s="339"/>
      <c r="G361" s="339"/>
      <c r="H361" s="339"/>
      <c r="I361" s="339"/>
      <c r="J361" s="341"/>
      <c r="K361" s="339"/>
      <c r="L361" s="339"/>
      <c r="M361" s="341"/>
      <c r="N361" s="339"/>
      <c r="O361" s="339"/>
      <c r="P361" s="341"/>
      <c r="Q361" s="339"/>
      <c r="R361" s="339"/>
      <c r="S361" s="341"/>
      <c r="T361" s="339"/>
      <c r="U361" s="339"/>
    </row>
    <row r="362" spans="1:21" ht="15.75" customHeight="1">
      <c r="A362" s="339"/>
      <c r="B362" s="339"/>
      <c r="C362" s="339"/>
      <c r="D362" s="339"/>
      <c r="E362" s="339"/>
      <c r="F362" s="339"/>
      <c r="G362" s="339"/>
      <c r="H362" s="339"/>
      <c r="I362" s="339"/>
      <c r="J362" s="341"/>
      <c r="K362" s="339"/>
      <c r="L362" s="339"/>
      <c r="M362" s="341"/>
      <c r="N362" s="339"/>
      <c r="O362" s="339"/>
      <c r="P362" s="341"/>
      <c r="Q362" s="339"/>
      <c r="R362" s="339"/>
      <c r="S362" s="341"/>
      <c r="T362" s="339"/>
      <c r="U362" s="339"/>
    </row>
    <row r="363" spans="1:21" ht="15.75" customHeight="1">
      <c r="A363" s="339"/>
      <c r="B363" s="339"/>
      <c r="C363" s="339"/>
      <c r="D363" s="339"/>
      <c r="E363" s="339"/>
      <c r="F363" s="339"/>
      <c r="G363" s="339"/>
      <c r="H363" s="339"/>
      <c r="I363" s="339"/>
      <c r="J363" s="341"/>
      <c r="K363" s="339"/>
      <c r="L363" s="339"/>
      <c r="M363" s="341"/>
      <c r="N363" s="339"/>
      <c r="O363" s="339"/>
      <c r="P363" s="341"/>
      <c r="Q363" s="339"/>
      <c r="R363" s="339"/>
      <c r="S363" s="341"/>
      <c r="T363" s="339"/>
      <c r="U363" s="339"/>
    </row>
    <row r="364" spans="1:21" ht="15.75" customHeight="1">
      <c r="A364" s="339"/>
      <c r="B364" s="339"/>
      <c r="C364" s="339"/>
      <c r="D364" s="339"/>
      <c r="E364" s="339"/>
      <c r="F364" s="339"/>
      <c r="G364" s="339"/>
      <c r="H364" s="339"/>
      <c r="I364" s="339"/>
      <c r="J364" s="341"/>
      <c r="K364" s="339"/>
      <c r="L364" s="339"/>
      <c r="M364" s="341"/>
      <c r="N364" s="339"/>
      <c r="O364" s="339"/>
      <c r="P364" s="341"/>
      <c r="Q364" s="339"/>
      <c r="R364" s="339"/>
      <c r="S364" s="341"/>
      <c r="T364" s="339"/>
      <c r="U364" s="339"/>
    </row>
    <row r="365" spans="1:21" ht="15.75" customHeight="1">
      <c r="A365" s="339"/>
      <c r="B365" s="339"/>
      <c r="C365" s="339"/>
      <c r="D365" s="339"/>
      <c r="E365" s="339"/>
      <c r="F365" s="339"/>
      <c r="G365" s="339"/>
      <c r="H365" s="339"/>
      <c r="I365" s="339"/>
      <c r="J365" s="341"/>
      <c r="K365" s="339"/>
      <c r="L365" s="339"/>
      <c r="M365" s="341"/>
      <c r="N365" s="339"/>
      <c r="O365" s="339"/>
      <c r="P365" s="341"/>
      <c r="Q365" s="339"/>
      <c r="R365" s="339"/>
      <c r="S365" s="341"/>
      <c r="T365" s="339"/>
      <c r="U365" s="339"/>
    </row>
    <row r="366" spans="1:21" ht="15.75" customHeight="1">
      <c r="A366" s="339"/>
      <c r="B366" s="339"/>
      <c r="C366" s="339"/>
      <c r="D366" s="339"/>
      <c r="E366" s="339"/>
      <c r="F366" s="339"/>
      <c r="G366" s="339"/>
      <c r="H366" s="339"/>
      <c r="I366" s="339"/>
      <c r="J366" s="341"/>
      <c r="K366" s="339"/>
      <c r="L366" s="339"/>
      <c r="M366" s="341"/>
      <c r="N366" s="339"/>
      <c r="O366" s="339"/>
      <c r="P366" s="341"/>
      <c r="Q366" s="339"/>
      <c r="R366" s="339"/>
      <c r="S366" s="341"/>
      <c r="T366" s="339"/>
      <c r="U366" s="339"/>
    </row>
    <row r="367" spans="1:21" ht="15.75" customHeight="1">
      <c r="A367" s="339"/>
      <c r="B367" s="339"/>
      <c r="C367" s="339"/>
      <c r="D367" s="339"/>
      <c r="E367" s="339"/>
      <c r="F367" s="339"/>
      <c r="G367" s="339"/>
      <c r="H367" s="339"/>
      <c r="I367" s="339"/>
      <c r="J367" s="341"/>
      <c r="K367" s="339"/>
      <c r="L367" s="339"/>
      <c r="M367" s="341"/>
      <c r="N367" s="339"/>
      <c r="O367" s="339"/>
      <c r="P367" s="341"/>
      <c r="Q367" s="339"/>
      <c r="R367" s="339"/>
      <c r="S367" s="341"/>
      <c r="T367" s="339"/>
      <c r="U367" s="339"/>
    </row>
    <row r="368" spans="1:21" ht="15.75" customHeight="1">
      <c r="A368" s="339"/>
      <c r="B368" s="339"/>
      <c r="C368" s="339"/>
      <c r="D368" s="339"/>
      <c r="E368" s="339"/>
      <c r="F368" s="339"/>
      <c r="G368" s="339"/>
      <c r="H368" s="339"/>
      <c r="I368" s="339"/>
      <c r="J368" s="341"/>
      <c r="K368" s="339"/>
      <c r="L368" s="339"/>
      <c r="M368" s="341"/>
      <c r="N368" s="339"/>
      <c r="O368" s="339"/>
      <c r="P368" s="341"/>
      <c r="Q368" s="339"/>
      <c r="R368" s="339"/>
      <c r="S368" s="341"/>
      <c r="T368" s="339"/>
      <c r="U368" s="339"/>
    </row>
    <row r="369" spans="1:21" ht="15.75" customHeight="1">
      <c r="A369" s="339"/>
      <c r="B369" s="339"/>
      <c r="C369" s="339"/>
      <c r="D369" s="339"/>
      <c r="E369" s="339"/>
      <c r="F369" s="339"/>
      <c r="G369" s="339"/>
      <c r="H369" s="339"/>
      <c r="I369" s="339"/>
      <c r="J369" s="341"/>
      <c r="K369" s="339"/>
      <c r="L369" s="339"/>
      <c r="M369" s="341"/>
      <c r="N369" s="339"/>
      <c r="O369" s="339"/>
      <c r="P369" s="341"/>
      <c r="Q369" s="339"/>
      <c r="R369" s="339"/>
      <c r="S369" s="341"/>
      <c r="T369" s="339"/>
      <c r="U369" s="339"/>
    </row>
    <row r="370" spans="1:21" ht="15.75" customHeight="1">
      <c r="A370" s="339"/>
      <c r="B370" s="339"/>
      <c r="C370" s="339"/>
      <c r="D370" s="339"/>
      <c r="E370" s="339"/>
      <c r="F370" s="339"/>
      <c r="G370" s="339"/>
      <c r="H370" s="339"/>
      <c r="I370" s="339"/>
      <c r="J370" s="341"/>
      <c r="K370" s="339"/>
      <c r="L370" s="339"/>
      <c r="M370" s="341"/>
      <c r="N370" s="339"/>
      <c r="O370" s="339"/>
      <c r="P370" s="341"/>
      <c r="Q370" s="339"/>
      <c r="R370" s="339"/>
      <c r="S370" s="341"/>
      <c r="T370" s="339"/>
      <c r="U370" s="339"/>
    </row>
    <row r="371" spans="1:21" ht="15.75" customHeight="1">
      <c r="A371" s="339"/>
      <c r="B371" s="339"/>
      <c r="C371" s="339"/>
      <c r="D371" s="339"/>
      <c r="E371" s="339"/>
      <c r="F371" s="339"/>
      <c r="G371" s="339"/>
      <c r="H371" s="339"/>
      <c r="I371" s="339"/>
      <c r="J371" s="341"/>
      <c r="K371" s="339"/>
      <c r="L371" s="339"/>
      <c r="M371" s="341"/>
      <c r="N371" s="339"/>
      <c r="O371" s="339"/>
      <c r="P371" s="341"/>
      <c r="Q371" s="339"/>
      <c r="R371" s="339"/>
      <c r="S371" s="341"/>
      <c r="T371" s="339"/>
      <c r="U371" s="339"/>
    </row>
    <row r="372" spans="1:21" ht="15.75" customHeight="1">
      <c r="A372" s="339"/>
      <c r="B372" s="339"/>
      <c r="C372" s="339"/>
      <c r="D372" s="339"/>
      <c r="E372" s="339"/>
      <c r="F372" s="339"/>
      <c r="G372" s="339"/>
      <c r="H372" s="339"/>
      <c r="I372" s="339"/>
      <c r="J372" s="341"/>
      <c r="K372" s="339"/>
      <c r="L372" s="339"/>
      <c r="M372" s="341"/>
      <c r="N372" s="339"/>
      <c r="O372" s="339"/>
      <c r="P372" s="341"/>
      <c r="Q372" s="339"/>
      <c r="R372" s="339"/>
      <c r="S372" s="341"/>
      <c r="T372" s="339"/>
      <c r="U372" s="339"/>
    </row>
    <row r="373" spans="1:21" ht="15.75" customHeight="1">
      <c r="A373" s="339"/>
      <c r="B373" s="339"/>
      <c r="C373" s="339"/>
      <c r="D373" s="339"/>
      <c r="E373" s="339"/>
      <c r="F373" s="339"/>
      <c r="G373" s="339"/>
      <c r="H373" s="339"/>
      <c r="I373" s="339"/>
      <c r="J373" s="341"/>
      <c r="K373" s="339"/>
      <c r="L373" s="339"/>
      <c r="M373" s="341"/>
      <c r="N373" s="339"/>
      <c r="O373" s="339"/>
      <c r="P373" s="341"/>
      <c r="Q373" s="339"/>
      <c r="R373" s="339"/>
      <c r="S373" s="341"/>
      <c r="T373" s="339"/>
      <c r="U373" s="339"/>
    </row>
    <row r="374" spans="1:21" ht="15.75" customHeight="1">
      <c r="A374" s="339"/>
      <c r="B374" s="339"/>
      <c r="C374" s="339"/>
      <c r="D374" s="339"/>
      <c r="E374" s="339"/>
      <c r="F374" s="339"/>
      <c r="G374" s="339"/>
      <c r="H374" s="339"/>
      <c r="I374" s="339"/>
      <c r="J374" s="341"/>
      <c r="K374" s="339"/>
      <c r="L374" s="339"/>
      <c r="M374" s="341"/>
      <c r="N374" s="339"/>
      <c r="O374" s="339"/>
      <c r="P374" s="341"/>
      <c r="Q374" s="339"/>
      <c r="R374" s="339"/>
      <c r="S374" s="341"/>
      <c r="T374" s="339"/>
      <c r="U374" s="339"/>
    </row>
    <row r="375" spans="1:21" ht="15.75" customHeight="1">
      <c r="A375" s="339"/>
      <c r="B375" s="339"/>
      <c r="C375" s="339"/>
      <c r="D375" s="339"/>
      <c r="E375" s="339"/>
      <c r="F375" s="339"/>
      <c r="G375" s="339"/>
      <c r="H375" s="339"/>
      <c r="I375" s="339"/>
      <c r="J375" s="341"/>
      <c r="K375" s="339"/>
      <c r="L375" s="339"/>
      <c r="M375" s="341"/>
      <c r="N375" s="339"/>
      <c r="O375" s="339"/>
      <c r="P375" s="341"/>
      <c r="Q375" s="339"/>
      <c r="R375" s="339"/>
      <c r="S375" s="341"/>
      <c r="T375" s="339"/>
      <c r="U375" s="339"/>
    </row>
    <row r="376" spans="1:21" ht="15.75" customHeight="1">
      <c r="A376" s="339"/>
      <c r="B376" s="339"/>
      <c r="C376" s="339"/>
      <c r="D376" s="339"/>
      <c r="E376" s="339"/>
      <c r="F376" s="339"/>
      <c r="G376" s="339"/>
      <c r="H376" s="339"/>
      <c r="I376" s="339"/>
      <c r="J376" s="341"/>
      <c r="K376" s="339"/>
      <c r="L376" s="339"/>
      <c r="M376" s="341"/>
      <c r="N376" s="339"/>
      <c r="O376" s="339"/>
      <c r="P376" s="341"/>
      <c r="Q376" s="339"/>
      <c r="R376" s="339"/>
      <c r="S376" s="341"/>
      <c r="T376" s="339"/>
      <c r="U376" s="339"/>
    </row>
    <row r="377" spans="1:21" ht="15.75" customHeight="1">
      <c r="A377" s="339"/>
      <c r="B377" s="339"/>
      <c r="C377" s="339"/>
      <c r="D377" s="339"/>
      <c r="E377" s="339"/>
      <c r="F377" s="339"/>
      <c r="G377" s="339"/>
      <c r="H377" s="339"/>
      <c r="I377" s="339"/>
      <c r="J377" s="341"/>
      <c r="K377" s="339"/>
      <c r="L377" s="339"/>
      <c r="M377" s="341"/>
      <c r="N377" s="339"/>
      <c r="O377" s="339"/>
      <c r="P377" s="341"/>
      <c r="Q377" s="339"/>
      <c r="R377" s="339"/>
      <c r="S377" s="341"/>
      <c r="T377" s="339"/>
      <c r="U377" s="339"/>
    </row>
    <row r="378" spans="1:21" ht="15.75" customHeight="1">
      <c r="A378" s="339"/>
      <c r="B378" s="339"/>
      <c r="C378" s="339"/>
      <c r="D378" s="339"/>
      <c r="E378" s="339"/>
      <c r="F378" s="339"/>
      <c r="G378" s="339"/>
      <c r="H378" s="339"/>
      <c r="I378" s="339"/>
      <c r="J378" s="341"/>
      <c r="K378" s="339"/>
      <c r="L378" s="339"/>
      <c r="M378" s="341"/>
      <c r="N378" s="339"/>
      <c r="O378" s="339"/>
      <c r="P378" s="341"/>
      <c r="Q378" s="339"/>
      <c r="R378" s="339"/>
      <c r="S378" s="341"/>
      <c r="T378" s="339"/>
      <c r="U378" s="339"/>
    </row>
    <row r="379" spans="1:21" ht="15.75" customHeight="1">
      <c r="A379" s="339"/>
      <c r="B379" s="339"/>
      <c r="C379" s="339"/>
      <c r="D379" s="339"/>
      <c r="E379" s="339"/>
      <c r="F379" s="339"/>
      <c r="G379" s="339"/>
      <c r="H379" s="339"/>
      <c r="I379" s="339"/>
      <c r="J379" s="341"/>
      <c r="K379" s="339"/>
      <c r="L379" s="339"/>
      <c r="M379" s="341"/>
      <c r="N379" s="339"/>
      <c r="O379" s="339"/>
      <c r="P379" s="341"/>
      <c r="Q379" s="339"/>
      <c r="R379" s="339"/>
      <c r="S379" s="341"/>
      <c r="T379" s="339"/>
      <c r="U379" s="339"/>
    </row>
    <row r="380" spans="1:21" ht="15.75" customHeight="1">
      <c r="A380" s="339"/>
      <c r="B380" s="339"/>
      <c r="C380" s="339"/>
      <c r="D380" s="339"/>
      <c r="E380" s="339"/>
      <c r="F380" s="339"/>
      <c r="G380" s="339"/>
      <c r="H380" s="339"/>
      <c r="I380" s="339"/>
      <c r="J380" s="341"/>
      <c r="K380" s="339"/>
      <c r="L380" s="339"/>
      <c r="M380" s="341"/>
      <c r="N380" s="339"/>
      <c r="O380" s="339"/>
      <c r="P380" s="341"/>
      <c r="Q380" s="339"/>
      <c r="R380" s="339"/>
      <c r="S380" s="341"/>
      <c r="T380" s="339"/>
      <c r="U380" s="339"/>
    </row>
    <row r="381" spans="1:21" ht="15.75" customHeight="1">
      <c r="A381" s="339"/>
      <c r="B381" s="339"/>
      <c r="C381" s="339"/>
      <c r="D381" s="339"/>
      <c r="E381" s="339"/>
      <c r="F381" s="339"/>
      <c r="G381" s="339"/>
      <c r="H381" s="339"/>
      <c r="I381" s="339"/>
      <c r="J381" s="341"/>
      <c r="K381" s="339"/>
      <c r="L381" s="339"/>
      <c r="M381" s="341"/>
      <c r="N381" s="339"/>
      <c r="O381" s="339"/>
      <c r="P381" s="341"/>
      <c r="Q381" s="339"/>
      <c r="R381" s="339"/>
      <c r="S381" s="341"/>
      <c r="T381" s="339"/>
      <c r="U381" s="339"/>
    </row>
    <row r="382" spans="1:21" ht="15.75" customHeight="1">
      <c r="A382" s="339"/>
      <c r="B382" s="339"/>
      <c r="C382" s="339"/>
      <c r="D382" s="339"/>
      <c r="E382" s="339"/>
      <c r="F382" s="339"/>
      <c r="G382" s="339"/>
      <c r="H382" s="339"/>
      <c r="I382" s="339"/>
      <c r="J382" s="341"/>
      <c r="K382" s="339"/>
      <c r="L382" s="339"/>
      <c r="M382" s="341"/>
      <c r="N382" s="339"/>
      <c r="O382" s="339"/>
      <c r="P382" s="341"/>
      <c r="Q382" s="339"/>
      <c r="R382" s="339"/>
      <c r="S382" s="341"/>
      <c r="T382" s="339"/>
      <c r="U382" s="339"/>
    </row>
    <row r="383" spans="1:21" ht="15.75" customHeight="1">
      <c r="A383" s="339"/>
      <c r="B383" s="339"/>
      <c r="C383" s="339"/>
      <c r="D383" s="339"/>
      <c r="E383" s="339"/>
      <c r="F383" s="339"/>
      <c r="G383" s="339"/>
      <c r="H383" s="339"/>
      <c r="I383" s="339"/>
      <c r="J383" s="341"/>
      <c r="K383" s="339"/>
      <c r="L383" s="339"/>
      <c r="M383" s="341"/>
      <c r="N383" s="339"/>
      <c r="O383" s="339"/>
      <c r="P383" s="341"/>
      <c r="Q383" s="339"/>
      <c r="R383" s="339"/>
      <c r="S383" s="341"/>
      <c r="T383" s="339"/>
      <c r="U383" s="339"/>
    </row>
    <row r="384" spans="1:21" ht="15.75" customHeight="1">
      <c r="A384" s="339"/>
      <c r="B384" s="339"/>
      <c r="C384" s="339"/>
      <c r="D384" s="339"/>
      <c r="E384" s="339"/>
      <c r="F384" s="339"/>
      <c r="G384" s="339"/>
      <c r="H384" s="339"/>
      <c r="I384" s="339"/>
      <c r="J384" s="341"/>
      <c r="K384" s="339"/>
      <c r="L384" s="339"/>
      <c r="M384" s="341"/>
      <c r="N384" s="339"/>
      <c r="O384" s="339"/>
      <c r="P384" s="341"/>
      <c r="Q384" s="339"/>
      <c r="R384" s="339"/>
      <c r="S384" s="341"/>
      <c r="T384" s="339"/>
      <c r="U384" s="339"/>
    </row>
    <row r="385" spans="1:21" ht="15.75" customHeight="1">
      <c r="A385" s="339"/>
      <c r="B385" s="339"/>
      <c r="C385" s="339"/>
      <c r="D385" s="339"/>
      <c r="E385" s="339"/>
      <c r="F385" s="339"/>
      <c r="G385" s="339"/>
      <c r="H385" s="339"/>
      <c r="I385" s="339"/>
      <c r="J385" s="341"/>
      <c r="K385" s="339"/>
      <c r="L385" s="339"/>
      <c r="M385" s="341"/>
      <c r="N385" s="339"/>
      <c r="O385" s="339"/>
      <c r="P385" s="341"/>
      <c r="Q385" s="339"/>
      <c r="R385" s="339"/>
      <c r="S385" s="341"/>
      <c r="T385" s="339"/>
      <c r="U385" s="339"/>
    </row>
    <row r="386" spans="1:21" ht="15.75" customHeight="1">
      <c r="A386" s="339"/>
      <c r="B386" s="339"/>
      <c r="C386" s="339"/>
      <c r="D386" s="339"/>
      <c r="E386" s="339"/>
      <c r="F386" s="339"/>
      <c r="G386" s="339"/>
      <c r="H386" s="339"/>
      <c r="I386" s="339"/>
      <c r="J386" s="341"/>
      <c r="K386" s="339"/>
      <c r="L386" s="339"/>
      <c r="M386" s="341"/>
      <c r="N386" s="339"/>
      <c r="O386" s="339"/>
      <c r="P386" s="341"/>
      <c r="Q386" s="339"/>
      <c r="R386" s="339"/>
      <c r="S386" s="341"/>
      <c r="T386" s="339"/>
      <c r="U386" s="339"/>
    </row>
    <row r="387" spans="1:21" ht="15.75" customHeight="1">
      <c r="A387" s="339"/>
      <c r="B387" s="339"/>
      <c r="C387" s="339"/>
      <c r="D387" s="339"/>
      <c r="E387" s="339"/>
      <c r="F387" s="339"/>
      <c r="G387" s="339"/>
      <c r="H387" s="339"/>
      <c r="I387" s="339"/>
      <c r="J387" s="341"/>
      <c r="K387" s="339"/>
      <c r="L387" s="339"/>
      <c r="M387" s="341"/>
      <c r="N387" s="339"/>
      <c r="O387" s="339"/>
      <c r="P387" s="341"/>
      <c r="Q387" s="339"/>
      <c r="R387" s="339"/>
      <c r="S387" s="341"/>
      <c r="T387" s="339"/>
      <c r="U387" s="339"/>
    </row>
    <row r="388" spans="1:21" ht="15.75" customHeight="1">
      <c r="A388" s="339"/>
      <c r="B388" s="339"/>
      <c r="C388" s="339"/>
      <c r="D388" s="339"/>
      <c r="E388" s="339"/>
      <c r="F388" s="339"/>
      <c r="G388" s="339"/>
      <c r="H388" s="339"/>
      <c r="I388" s="339"/>
      <c r="J388" s="341"/>
      <c r="K388" s="339"/>
      <c r="L388" s="339"/>
      <c r="M388" s="341"/>
      <c r="N388" s="339"/>
      <c r="O388" s="339"/>
      <c r="P388" s="341"/>
      <c r="Q388" s="339"/>
      <c r="R388" s="339"/>
      <c r="S388" s="341"/>
      <c r="T388" s="339"/>
      <c r="U388" s="339"/>
    </row>
    <row r="389" spans="1:21" ht="15.75" customHeight="1">
      <c r="A389" s="339"/>
      <c r="B389" s="339"/>
      <c r="C389" s="339"/>
      <c r="D389" s="339"/>
      <c r="E389" s="339"/>
      <c r="F389" s="339"/>
      <c r="G389" s="339"/>
      <c r="H389" s="339"/>
      <c r="I389" s="339"/>
      <c r="J389" s="341"/>
      <c r="K389" s="339"/>
      <c r="L389" s="339"/>
      <c r="M389" s="341"/>
      <c r="N389" s="339"/>
      <c r="O389" s="339"/>
      <c r="P389" s="341"/>
      <c r="Q389" s="339"/>
      <c r="R389" s="339"/>
      <c r="S389" s="341"/>
      <c r="T389" s="339"/>
      <c r="U389" s="339"/>
    </row>
    <row r="390" spans="1:21" ht="15.75" customHeight="1">
      <c r="A390" s="339"/>
      <c r="B390" s="339"/>
      <c r="C390" s="339"/>
      <c r="D390" s="339"/>
      <c r="E390" s="339"/>
      <c r="F390" s="339"/>
      <c r="G390" s="339"/>
      <c r="H390" s="339"/>
      <c r="I390" s="339"/>
      <c r="J390" s="341"/>
      <c r="K390" s="339"/>
      <c r="L390" s="339"/>
      <c r="M390" s="341"/>
      <c r="N390" s="339"/>
      <c r="O390" s="339"/>
      <c r="P390" s="341"/>
      <c r="Q390" s="339"/>
      <c r="R390" s="339"/>
      <c r="S390" s="341"/>
      <c r="T390" s="339"/>
      <c r="U390" s="339"/>
    </row>
    <row r="391" spans="1:21" ht="15.75" customHeight="1">
      <c r="A391" s="339"/>
      <c r="B391" s="339"/>
      <c r="C391" s="339"/>
      <c r="D391" s="339"/>
      <c r="E391" s="339"/>
      <c r="F391" s="339"/>
      <c r="G391" s="339"/>
      <c r="H391" s="339"/>
      <c r="I391" s="339"/>
      <c r="J391" s="341"/>
      <c r="K391" s="339"/>
      <c r="L391" s="339"/>
      <c r="M391" s="341"/>
      <c r="N391" s="339"/>
      <c r="O391" s="339"/>
      <c r="P391" s="341"/>
      <c r="Q391" s="339"/>
      <c r="R391" s="339"/>
      <c r="S391" s="341"/>
      <c r="T391" s="339"/>
      <c r="U391" s="339"/>
    </row>
    <row r="392" spans="1:21" ht="15.75" customHeight="1">
      <c r="A392" s="339"/>
      <c r="B392" s="339"/>
      <c r="C392" s="339"/>
      <c r="D392" s="339"/>
      <c r="E392" s="339"/>
      <c r="F392" s="339"/>
      <c r="G392" s="339"/>
      <c r="H392" s="339"/>
      <c r="I392" s="339"/>
      <c r="J392" s="341"/>
      <c r="K392" s="339"/>
      <c r="L392" s="339"/>
      <c r="M392" s="341"/>
      <c r="N392" s="339"/>
      <c r="O392" s="339"/>
      <c r="P392" s="341"/>
      <c r="Q392" s="339"/>
      <c r="R392" s="339"/>
      <c r="S392" s="341"/>
      <c r="T392" s="339"/>
      <c r="U392" s="339"/>
    </row>
    <row r="393" spans="1:21" ht="15.75" customHeight="1">
      <c r="A393" s="339"/>
      <c r="B393" s="339"/>
      <c r="C393" s="339"/>
      <c r="D393" s="339"/>
      <c r="E393" s="339"/>
      <c r="F393" s="339"/>
      <c r="G393" s="339"/>
      <c r="H393" s="339"/>
      <c r="I393" s="339"/>
      <c r="J393" s="341"/>
      <c r="K393" s="339"/>
      <c r="L393" s="339"/>
      <c r="M393" s="341"/>
      <c r="N393" s="339"/>
      <c r="O393" s="339"/>
      <c r="P393" s="341"/>
      <c r="Q393" s="339"/>
      <c r="R393" s="339"/>
      <c r="S393" s="341"/>
      <c r="T393" s="339"/>
      <c r="U393" s="339"/>
    </row>
    <row r="394" spans="1:21" ht="15.75" customHeight="1">
      <c r="A394" s="339"/>
      <c r="B394" s="339"/>
      <c r="C394" s="339"/>
      <c r="D394" s="339"/>
      <c r="E394" s="339"/>
      <c r="F394" s="339"/>
      <c r="G394" s="339"/>
      <c r="H394" s="339"/>
      <c r="I394" s="339"/>
      <c r="J394" s="341"/>
      <c r="K394" s="339"/>
      <c r="L394" s="339"/>
      <c r="M394" s="341"/>
      <c r="N394" s="339"/>
      <c r="O394" s="339"/>
      <c r="P394" s="341"/>
      <c r="Q394" s="339"/>
      <c r="R394" s="339"/>
      <c r="S394" s="341"/>
      <c r="T394" s="339"/>
      <c r="U394" s="339"/>
    </row>
    <row r="395" spans="1:21" ht="15.75" customHeight="1">
      <c r="A395" s="339"/>
      <c r="B395" s="339"/>
      <c r="C395" s="339"/>
      <c r="D395" s="339"/>
      <c r="E395" s="339"/>
      <c r="F395" s="339"/>
      <c r="G395" s="339"/>
      <c r="H395" s="339"/>
      <c r="I395" s="339"/>
      <c r="J395" s="341"/>
      <c r="K395" s="339"/>
      <c r="L395" s="339"/>
      <c r="M395" s="341"/>
      <c r="N395" s="339"/>
      <c r="O395" s="339"/>
      <c r="P395" s="341"/>
      <c r="Q395" s="339"/>
      <c r="R395" s="339"/>
      <c r="S395" s="341"/>
      <c r="T395" s="339"/>
      <c r="U395" s="339"/>
    </row>
    <row r="396" spans="1:21" ht="15.75" customHeight="1">
      <c r="A396" s="339"/>
      <c r="B396" s="339"/>
      <c r="C396" s="339"/>
      <c r="D396" s="339"/>
      <c r="E396" s="339"/>
      <c r="F396" s="339"/>
      <c r="G396" s="339"/>
      <c r="H396" s="339"/>
      <c r="I396" s="339"/>
      <c r="J396" s="341"/>
      <c r="K396" s="339"/>
      <c r="L396" s="339"/>
      <c r="M396" s="341"/>
      <c r="N396" s="339"/>
      <c r="O396" s="339"/>
      <c r="P396" s="341"/>
      <c r="Q396" s="339"/>
      <c r="R396" s="339"/>
      <c r="S396" s="341"/>
      <c r="T396" s="339"/>
      <c r="U396" s="339"/>
    </row>
    <row r="397" spans="1:21" ht="15.75" customHeight="1">
      <c r="A397" s="339"/>
      <c r="B397" s="339"/>
      <c r="C397" s="339"/>
      <c r="D397" s="339"/>
      <c r="E397" s="339"/>
      <c r="F397" s="339"/>
      <c r="G397" s="339"/>
      <c r="H397" s="339"/>
      <c r="I397" s="339"/>
      <c r="J397" s="341"/>
      <c r="K397" s="339"/>
      <c r="L397" s="339"/>
      <c r="M397" s="341"/>
      <c r="N397" s="339"/>
      <c r="O397" s="339"/>
      <c r="P397" s="341"/>
      <c r="Q397" s="339"/>
      <c r="R397" s="339"/>
      <c r="S397" s="341"/>
      <c r="T397" s="339"/>
      <c r="U397" s="339"/>
    </row>
    <row r="398" spans="1:21" ht="15.75" customHeight="1">
      <c r="A398" s="339"/>
      <c r="B398" s="339"/>
      <c r="C398" s="339"/>
      <c r="D398" s="339"/>
      <c r="E398" s="339"/>
      <c r="F398" s="339"/>
      <c r="G398" s="339"/>
      <c r="H398" s="339"/>
      <c r="I398" s="339"/>
      <c r="J398" s="341"/>
      <c r="K398" s="339"/>
      <c r="L398" s="339"/>
      <c r="M398" s="341"/>
      <c r="N398" s="339"/>
      <c r="O398" s="339"/>
      <c r="P398" s="341"/>
      <c r="Q398" s="339"/>
      <c r="R398" s="339"/>
      <c r="S398" s="341"/>
      <c r="T398" s="339"/>
      <c r="U398" s="339"/>
    </row>
    <row r="399" spans="1:21" ht="15.75" customHeight="1">
      <c r="A399" s="339"/>
      <c r="B399" s="339"/>
      <c r="C399" s="339"/>
      <c r="D399" s="339"/>
      <c r="E399" s="339"/>
      <c r="F399" s="339"/>
      <c r="G399" s="339"/>
      <c r="H399" s="339"/>
      <c r="I399" s="339"/>
      <c r="J399" s="341"/>
      <c r="K399" s="339"/>
      <c r="L399" s="339"/>
      <c r="M399" s="341"/>
      <c r="N399" s="339"/>
      <c r="O399" s="339"/>
      <c r="P399" s="341"/>
      <c r="Q399" s="339"/>
      <c r="R399" s="339"/>
      <c r="S399" s="341"/>
      <c r="T399" s="339"/>
      <c r="U399" s="339"/>
    </row>
    <row r="400" spans="1:21" ht="15.75" customHeight="1">
      <c r="A400" s="339"/>
      <c r="B400" s="339"/>
      <c r="C400" s="339"/>
      <c r="D400" s="339"/>
      <c r="E400" s="339"/>
      <c r="F400" s="339"/>
      <c r="G400" s="339"/>
      <c r="H400" s="339"/>
      <c r="I400" s="339"/>
      <c r="J400" s="341"/>
      <c r="K400" s="339"/>
      <c r="L400" s="339"/>
      <c r="M400" s="341"/>
      <c r="N400" s="339"/>
      <c r="O400" s="339"/>
      <c r="P400" s="341"/>
      <c r="Q400" s="339"/>
      <c r="R400" s="339"/>
      <c r="S400" s="341"/>
      <c r="T400" s="339"/>
      <c r="U400" s="339"/>
    </row>
    <row r="401" spans="1:21" ht="15.75" customHeight="1">
      <c r="A401" s="339"/>
      <c r="B401" s="339"/>
      <c r="C401" s="339"/>
      <c r="D401" s="339"/>
      <c r="E401" s="339"/>
      <c r="F401" s="339"/>
      <c r="G401" s="339"/>
      <c r="H401" s="339"/>
      <c r="I401" s="339"/>
      <c r="J401" s="341"/>
      <c r="K401" s="339"/>
      <c r="L401" s="339"/>
      <c r="M401" s="341"/>
      <c r="N401" s="339"/>
      <c r="O401" s="339"/>
      <c r="P401" s="341"/>
      <c r="Q401" s="339"/>
      <c r="R401" s="339"/>
      <c r="S401" s="341"/>
      <c r="T401" s="339"/>
      <c r="U401" s="339"/>
    </row>
    <row r="402" spans="1:21" ht="15.75" customHeight="1">
      <c r="A402" s="339"/>
      <c r="B402" s="339"/>
      <c r="C402" s="339"/>
      <c r="D402" s="339"/>
      <c r="E402" s="339"/>
      <c r="F402" s="339"/>
      <c r="G402" s="339"/>
      <c r="H402" s="339"/>
      <c r="I402" s="339"/>
      <c r="J402" s="341"/>
      <c r="K402" s="339"/>
      <c r="L402" s="339"/>
      <c r="M402" s="341"/>
      <c r="N402" s="339"/>
      <c r="O402" s="339"/>
      <c r="P402" s="341"/>
      <c r="Q402" s="339"/>
      <c r="R402" s="339"/>
      <c r="S402" s="341"/>
      <c r="T402" s="339"/>
      <c r="U402" s="339"/>
    </row>
    <row r="403" spans="1:21" ht="15.75" customHeight="1">
      <c r="A403" s="339"/>
      <c r="B403" s="339"/>
      <c r="C403" s="339"/>
      <c r="D403" s="339"/>
      <c r="E403" s="339"/>
      <c r="F403" s="339"/>
      <c r="G403" s="339"/>
      <c r="H403" s="339"/>
      <c r="I403" s="339"/>
      <c r="J403" s="341"/>
      <c r="K403" s="339"/>
      <c r="L403" s="339"/>
      <c r="M403" s="341"/>
      <c r="N403" s="339"/>
      <c r="O403" s="339"/>
      <c r="P403" s="341"/>
      <c r="Q403" s="339"/>
      <c r="R403" s="339"/>
      <c r="S403" s="341"/>
      <c r="T403" s="339"/>
      <c r="U403" s="339"/>
    </row>
    <row r="404" spans="1:21" ht="15.75" customHeight="1">
      <c r="A404" s="339"/>
      <c r="B404" s="339"/>
      <c r="C404" s="339"/>
      <c r="D404" s="339"/>
      <c r="E404" s="339"/>
      <c r="F404" s="339"/>
      <c r="G404" s="339"/>
      <c r="H404" s="339"/>
      <c r="I404" s="339"/>
      <c r="J404" s="341"/>
      <c r="K404" s="339"/>
      <c r="L404" s="339"/>
      <c r="M404" s="341"/>
      <c r="N404" s="339"/>
      <c r="O404" s="339"/>
      <c r="P404" s="341"/>
      <c r="Q404" s="339"/>
      <c r="R404" s="339"/>
      <c r="S404" s="341"/>
      <c r="T404" s="339"/>
      <c r="U404" s="339"/>
    </row>
    <row r="405" spans="1:21" ht="15.75" customHeight="1">
      <c r="A405" s="339"/>
      <c r="B405" s="339"/>
      <c r="C405" s="339"/>
      <c r="D405" s="339"/>
      <c r="E405" s="339"/>
      <c r="F405" s="339"/>
      <c r="G405" s="339"/>
      <c r="H405" s="339"/>
      <c r="I405" s="339"/>
      <c r="J405" s="341"/>
      <c r="K405" s="339"/>
      <c r="L405" s="339"/>
      <c r="M405" s="341"/>
      <c r="N405" s="339"/>
      <c r="O405" s="339"/>
      <c r="P405" s="341"/>
      <c r="Q405" s="339"/>
      <c r="R405" s="339"/>
      <c r="S405" s="341"/>
      <c r="T405" s="339"/>
      <c r="U405" s="339"/>
    </row>
    <row r="406" spans="1:21" ht="15.75" customHeight="1">
      <c r="A406" s="339"/>
      <c r="B406" s="339"/>
      <c r="C406" s="339"/>
      <c r="D406" s="339"/>
      <c r="E406" s="339"/>
      <c r="F406" s="339"/>
      <c r="G406" s="339"/>
      <c r="H406" s="339"/>
      <c r="I406" s="339"/>
      <c r="J406" s="341"/>
      <c r="K406" s="339"/>
      <c r="L406" s="339"/>
      <c r="M406" s="341"/>
      <c r="N406" s="339"/>
      <c r="O406" s="339"/>
      <c r="P406" s="341"/>
      <c r="Q406" s="339"/>
      <c r="R406" s="339"/>
      <c r="S406" s="341"/>
      <c r="T406" s="339"/>
      <c r="U406" s="339"/>
    </row>
    <row r="407" spans="1:21" ht="15.75" customHeight="1">
      <c r="A407" s="339"/>
      <c r="B407" s="339"/>
      <c r="C407" s="339"/>
      <c r="D407" s="339"/>
      <c r="E407" s="339"/>
      <c r="F407" s="339"/>
      <c r="G407" s="339"/>
      <c r="H407" s="339"/>
      <c r="I407" s="339"/>
      <c r="J407" s="341"/>
      <c r="K407" s="339"/>
      <c r="L407" s="339"/>
      <c r="M407" s="341"/>
      <c r="N407" s="339"/>
      <c r="O407" s="339"/>
      <c r="P407" s="341"/>
      <c r="Q407" s="339"/>
      <c r="R407" s="339"/>
      <c r="S407" s="341"/>
      <c r="T407" s="339"/>
      <c r="U407" s="339"/>
    </row>
    <row r="408" spans="1:21" ht="15.75" customHeight="1">
      <c r="A408" s="339"/>
      <c r="B408" s="339"/>
      <c r="C408" s="339"/>
      <c r="D408" s="339"/>
      <c r="E408" s="339"/>
      <c r="F408" s="339"/>
      <c r="G408" s="339"/>
      <c r="H408" s="339"/>
      <c r="I408" s="339"/>
      <c r="J408" s="341"/>
      <c r="K408" s="339"/>
      <c r="L408" s="339"/>
      <c r="M408" s="341"/>
      <c r="N408" s="339"/>
      <c r="O408" s="339"/>
      <c r="P408" s="341"/>
      <c r="Q408" s="339"/>
      <c r="R408" s="339"/>
      <c r="S408" s="341"/>
      <c r="T408" s="339"/>
      <c r="U408" s="339"/>
    </row>
    <row r="409" spans="1:21" ht="15.75" customHeight="1">
      <c r="A409" s="339"/>
      <c r="B409" s="339"/>
      <c r="C409" s="339"/>
      <c r="D409" s="339"/>
      <c r="E409" s="339"/>
      <c r="F409" s="339"/>
      <c r="G409" s="339"/>
      <c r="H409" s="339"/>
      <c r="I409" s="339"/>
      <c r="J409" s="341"/>
      <c r="K409" s="339"/>
      <c r="L409" s="339"/>
      <c r="M409" s="341"/>
      <c r="N409" s="339"/>
      <c r="O409" s="339"/>
      <c r="P409" s="341"/>
      <c r="Q409" s="339"/>
      <c r="R409" s="339"/>
      <c r="S409" s="341"/>
      <c r="T409" s="339"/>
      <c r="U409" s="339"/>
    </row>
    <row r="410" spans="1:21" ht="15.75" customHeight="1">
      <c r="A410" s="339"/>
      <c r="B410" s="339"/>
      <c r="C410" s="339"/>
      <c r="D410" s="339"/>
      <c r="E410" s="339"/>
      <c r="F410" s="339"/>
      <c r="G410" s="339"/>
      <c r="H410" s="339"/>
      <c r="I410" s="339"/>
      <c r="J410" s="341"/>
      <c r="K410" s="339"/>
      <c r="L410" s="339"/>
      <c r="M410" s="341"/>
      <c r="N410" s="339"/>
      <c r="O410" s="339"/>
      <c r="P410" s="341"/>
      <c r="Q410" s="339"/>
      <c r="R410" s="339"/>
      <c r="S410" s="341"/>
      <c r="T410" s="339"/>
      <c r="U410" s="339"/>
    </row>
    <row r="411" spans="1:21" ht="15.75" customHeight="1">
      <c r="A411" s="339"/>
      <c r="B411" s="339"/>
      <c r="C411" s="339"/>
      <c r="D411" s="339"/>
      <c r="E411" s="339"/>
      <c r="F411" s="339"/>
      <c r="G411" s="339"/>
      <c r="H411" s="339"/>
      <c r="I411" s="339"/>
      <c r="J411" s="341"/>
      <c r="K411" s="339"/>
      <c r="L411" s="339"/>
      <c r="M411" s="341"/>
      <c r="N411" s="339"/>
      <c r="O411" s="339"/>
      <c r="P411" s="341"/>
      <c r="Q411" s="339"/>
      <c r="R411" s="339"/>
      <c r="S411" s="341"/>
      <c r="T411" s="339"/>
      <c r="U411" s="339"/>
    </row>
    <row r="412" spans="1:21" ht="15.75" customHeight="1">
      <c r="A412" s="339"/>
      <c r="B412" s="339"/>
      <c r="C412" s="339"/>
      <c r="D412" s="339"/>
      <c r="E412" s="339"/>
      <c r="F412" s="339"/>
      <c r="G412" s="339"/>
      <c r="H412" s="339"/>
      <c r="I412" s="339"/>
      <c r="J412" s="341"/>
      <c r="K412" s="339"/>
      <c r="L412" s="339"/>
      <c r="M412" s="341"/>
      <c r="N412" s="339"/>
      <c r="O412" s="339"/>
      <c r="P412" s="341"/>
      <c r="Q412" s="339"/>
      <c r="R412" s="339"/>
      <c r="S412" s="341"/>
      <c r="T412" s="339"/>
      <c r="U412" s="339"/>
    </row>
    <row r="413" spans="1:21" ht="15.75" customHeight="1">
      <c r="A413" s="339"/>
      <c r="B413" s="339"/>
      <c r="C413" s="339"/>
      <c r="D413" s="339"/>
      <c r="E413" s="339"/>
      <c r="F413" s="339"/>
      <c r="G413" s="339"/>
      <c r="H413" s="339"/>
      <c r="I413" s="339"/>
      <c r="J413" s="341"/>
      <c r="K413" s="339"/>
      <c r="L413" s="339"/>
      <c r="M413" s="341"/>
      <c r="N413" s="339"/>
      <c r="O413" s="339"/>
      <c r="P413" s="341"/>
      <c r="Q413" s="339"/>
      <c r="R413" s="339"/>
      <c r="S413" s="341"/>
      <c r="T413" s="339"/>
      <c r="U413" s="339"/>
    </row>
    <row r="414" spans="1:21" ht="15.75" customHeight="1">
      <c r="A414" s="339"/>
      <c r="B414" s="339"/>
      <c r="C414" s="339"/>
      <c r="D414" s="339"/>
      <c r="E414" s="339"/>
      <c r="F414" s="339"/>
      <c r="G414" s="339"/>
      <c r="H414" s="339"/>
      <c r="I414" s="339"/>
      <c r="J414" s="341"/>
      <c r="K414" s="339"/>
      <c r="L414" s="339"/>
      <c r="M414" s="341"/>
      <c r="N414" s="339"/>
      <c r="O414" s="339"/>
      <c r="P414" s="341"/>
      <c r="Q414" s="339"/>
      <c r="R414" s="339"/>
      <c r="S414" s="341"/>
      <c r="T414" s="339"/>
      <c r="U414" s="339"/>
    </row>
    <row r="415" spans="1:21" ht="15.75" customHeight="1">
      <c r="A415" s="339"/>
      <c r="B415" s="339"/>
      <c r="C415" s="339"/>
      <c r="D415" s="339"/>
      <c r="E415" s="339"/>
      <c r="F415" s="339"/>
      <c r="G415" s="339"/>
      <c r="H415" s="339"/>
      <c r="I415" s="339"/>
      <c r="J415" s="341"/>
      <c r="K415" s="339"/>
      <c r="L415" s="339"/>
      <c r="M415" s="341"/>
      <c r="N415" s="339"/>
      <c r="O415" s="339"/>
      <c r="P415" s="341"/>
      <c r="Q415" s="339"/>
      <c r="R415" s="339"/>
      <c r="S415" s="341"/>
      <c r="T415" s="339"/>
      <c r="U415" s="339"/>
    </row>
    <row r="416" spans="1:21" ht="15.75" customHeight="1">
      <c r="A416" s="339"/>
      <c r="B416" s="339"/>
      <c r="C416" s="339"/>
      <c r="D416" s="339"/>
      <c r="E416" s="339"/>
      <c r="F416" s="339"/>
      <c r="G416" s="339"/>
      <c r="H416" s="339"/>
      <c r="I416" s="339"/>
      <c r="J416" s="341"/>
      <c r="K416" s="339"/>
      <c r="L416" s="339"/>
      <c r="M416" s="341"/>
      <c r="N416" s="339"/>
      <c r="O416" s="339"/>
      <c r="P416" s="341"/>
      <c r="Q416" s="339"/>
      <c r="R416" s="339"/>
      <c r="S416" s="341"/>
      <c r="T416" s="339"/>
      <c r="U416" s="339"/>
    </row>
    <row r="417" spans="1:21" ht="15.75" customHeight="1">
      <c r="A417" s="339"/>
      <c r="B417" s="339"/>
      <c r="C417" s="339"/>
      <c r="D417" s="339"/>
      <c r="E417" s="339"/>
      <c r="F417" s="339"/>
      <c r="G417" s="339"/>
      <c r="H417" s="339"/>
      <c r="I417" s="339"/>
      <c r="J417" s="341"/>
      <c r="K417" s="339"/>
      <c r="L417" s="339"/>
      <c r="M417" s="341"/>
      <c r="N417" s="339"/>
      <c r="O417" s="339"/>
      <c r="P417" s="341"/>
      <c r="Q417" s="339"/>
      <c r="R417" s="339"/>
      <c r="S417" s="341"/>
      <c r="T417" s="339"/>
      <c r="U417" s="339"/>
    </row>
    <row r="418" spans="1:21" ht="15.75" customHeight="1">
      <c r="A418" s="339"/>
      <c r="B418" s="339"/>
      <c r="C418" s="339"/>
      <c r="D418" s="339"/>
      <c r="E418" s="339"/>
      <c r="F418" s="339"/>
      <c r="G418" s="339"/>
      <c r="H418" s="339"/>
      <c r="I418" s="339"/>
      <c r="J418" s="341"/>
      <c r="K418" s="339"/>
      <c r="L418" s="339"/>
      <c r="M418" s="341"/>
      <c r="N418" s="339"/>
      <c r="O418" s="339"/>
      <c r="P418" s="341"/>
      <c r="Q418" s="339"/>
      <c r="R418" s="339"/>
      <c r="S418" s="341"/>
      <c r="T418" s="339"/>
      <c r="U418" s="339"/>
    </row>
    <row r="419" spans="1:21" ht="15.75" customHeight="1">
      <c r="A419" s="339"/>
      <c r="B419" s="339"/>
      <c r="C419" s="339"/>
      <c r="D419" s="339"/>
      <c r="E419" s="339"/>
      <c r="F419" s="339"/>
      <c r="G419" s="339"/>
      <c r="H419" s="339"/>
      <c r="I419" s="339"/>
      <c r="J419" s="341"/>
      <c r="K419" s="339"/>
      <c r="L419" s="339"/>
      <c r="M419" s="341"/>
      <c r="N419" s="339"/>
      <c r="O419" s="339"/>
      <c r="P419" s="341"/>
      <c r="Q419" s="339"/>
      <c r="R419" s="339"/>
      <c r="S419" s="341"/>
      <c r="T419" s="339"/>
      <c r="U419" s="339"/>
    </row>
    <row r="420" spans="1:21" ht="15.75" customHeight="1">
      <c r="A420" s="339"/>
      <c r="B420" s="339"/>
      <c r="C420" s="339"/>
      <c r="D420" s="339"/>
      <c r="E420" s="339"/>
      <c r="F420" s="339"/>
      <c r="G420" s="339"/>
      <c r="H420" s="339"/>
      <c r="I420" s="339"/>
      <c r="J420" s="341"/>
      <c r="K420" s="339"/>
      <c r="L420" s="339"/>
      <c r="M420" s="341"/>
      <c r="N420" s="339"/>
      <c r="O420" s="339"/>
      <c r="P420" s="341"/>
      <c r="Q420" s="339"/>
      <c r="R420" s="339"/>
      <c r="S420" s="341"/>
      <c r="T420" s="339"/>
      <c r="U420" s="339"/>
    </row>
    <row r="421" spans="1:21" ht="15.75" customHeight="1">
      <c r="A421" s="339"/>
      <c r="B421" s="339"/>
      <c r="C421" s="339"/>
      <c r="D421" s="339"/>
      <c r="E421" s="339"/>
      <c r="F421" s="339"/>
      <c r="G421" s="339"/>
      <c r="H421" s="339"/>
      <c r="I421" s="339"/>
      <c r="J421" s="341"/>
      <c r="K421" s="339"/>
      <c r="L421" s="339"/>
      <c r="M421" s="341"/>
      <c r="N421" s="339"/>
      <c r="O421" s="339"/>
      <c r="P421" s="341"/>
      <c r="Q421" s="339"/>
      <c r="R421" s="339"/>
      <c r="S421" s="341"/>
      <c r="T421" s="339"/>
      <c r="U421" s="339"/>
    </row>
    <row r="422" spans="1:21" ht="15.75" customHeight="1">
      <c r="A422" s="339"/>
      <c r="B422" s="339"/>
      <c r="C422" s="339"/>
      <c r="D422" s="339"/>
      <c r="E422" s="339"/>
      <c r="F422" s="339"/>
      <c r="G422" s="339"/>
      <c r="H422" s="339"/>
      <c r="I422" s="339"/>
      <c r="J422" s="341"/>
      <c r="K422" s="339"/>
      <c r="L422" s="339"/>
      <c r="M422" s="341"/>
      <c r="N422" s="339"/>
      <c r="O422" s="339"/>
      <c r="P422" s="341"/>
      <c r="Q422" s="339"/>
      <c r="R422" s="339"/>
      <c r="S422" s="341"/>
      <c r="T422" s="339"/>
      <c r="U422" s="339"/>
    </row>
    <row r="423" spans="1:21" ht="15.75" customHeight="1">
      <c r="A423" s="339"/>
      <c r="B423" s="339"/>
      <c r="C423" s="339"/>
      <c r="D423" s="339"/>
      <c r="E423" s="339"/>
      <c r="F423" s="339"/>
      <c r="G423" s="339"/>
      <c r="H423" s="339"/>
      <c r="I423" s="339"/>
      <c r="J423" s="341"/>
      <c r="K423" s="339"/>
      <c r="L423" s="339"/>
      <c r="M423" s="341"/>
      <c r="N423" s="339"/>
      <c r="O423" s="339"/>
      <c r="P423" s="341"/>
      <c r="Q423" s="339"/>
      <c r="R423" s="339"/>
      <c r="S423" s="341"/>
      <c r="T423" s="339"/>
      <c r="U423" s="339"/>
    </row>
    <row r="424" spans="1:21" ht="15.75" customHeight="1">
      <c r="A424" s="339"/>
      <c r="B424" s="339"/>
      <c r="C424" s="339"/>
      <c r="D424" s="339"/>
      <c r="E424" s="339"/>
      <c r="F424" s="339"/>
      <c r="G424" s="339"/>
      <c r="H424" s="339"/>
      <c r="I424" s="339"/>
      <c r="J424" s="341"/>
      <c r="K424" s="339"/>
      <c r="L424" s="339"/>
      <c r="M424" s="341"/>
      <c r="N424" s="339"/>
      <c r="O424" s="339"/>
      <c r="P424" s="341"/>
      <c r="Q424" s="339"/>
      <c r="R424" s="339"/>
      <c r="S424" s="341"/>
      <c r="T424" s="339"/>
      <c r="U424" s="339"/>
    </row>
    <row r="425" spans="1:21" ht="15.75" customHeight="1">
      <c r="A425" s="339"/>
      <c r="B425" s="339"/>
      <c r="C425" s="339"/>
      <c r="D425" s="339"/>
      <c r="E425" s="339"/>
      <c r="F425" s="339"/>
      <c r="G425" s="339"/>
      <c r="H425" s="339"/>
      <c r="I425" s="339"/>
      <c r="J425" s="341"/>
      <c r="K425" s="339"/>
      <c r="L425" s="339"/>
      <c r="M425" s="341"/>
      <c r="N425" s="339"/>
      <c r="O425" s="339"/>
      <c r="P425" s="341"/>
      <c r="Q425" s="339"/>
      <c r="R425" s="339"/>
      <c r="S425" s="341"/>
      <c r="T425" s="339"/>
      <c r="U425" s="339"/>
    </row>
    <row r="426" spans="1:21" ht="15.75" customHeight="1">
      <c r="A426" s="339"/>
      <c r="B426" s="339"/>
      <c r="C426" s="339"/>
      <c r="D426" s="339"/>
      <c r="E426" s="339"/>
      <c r="F426" s="339"/>
      <c r="G426" s="339"/>
      <c r="H426" s="339"/>
      <c r="I426" s="339"/>
      <c r="J426" s="341"/>
      <c r="K426" s="339"/>
      <c r="L426" s="339"/>
      <c r="M426" s="341"/>
      <c r="N426" s="339"/>
      <c r="O426" s="339"/>
      <c r="P426" s="341"/>
      <c r="Q426" s="339"/>
      <c r="R426" s="339"/>
      <c r="S426" s="341"/>
      <c r="T426" s="339"/>
      <c r="U426" s="339"/>
    </row>
    <row r="427" spans="1:21" ht="15.75" customHeight="1">
      <c r="A427" s="339"/>
      <c r="B427" s="339"/>
      <c r="C427" s="339"/>
      <c r="D427" s="339"/>
      <c r="E427" s="339"/>
      <c r="F427" s="339"/>
      <c r="G427" s="339"/>
      <c r="H427" s="339"/>
      <c r="I427" s="339"/>
      <c r="J427" s="341"/>
      <c r="K427" s="339"/>
      <c r="L427" s="339"/>
      <c r="M427" s="341"/>
      <c r="N427" s="339"/>
      <c r="O427" s="339"/>
      <c r="P427" s="341"/>
      <c r="Q427" s="339"/>
      <c r="R427" s="339"/>
      <c r="S427" s="341"/>
      <c r="T427" s="339"/>
      <c r="U427" s="339"/>
    </row>
    <row r="428" spans="1:21" ht="15.75" customHeight="1">
      <c r="A428" s="339"/>
      <c r="B428" s="339"/>
      <c r="C428" s="339"/>
      <c r="D428" s="339"/>
      <c r="E428" s="339"/>
      <c r="F428" s="339"/>
      <c r="G428" s="339"/>
      <c r="H428" s="339"/>
      <c r="I428" s="339"/>
      <c r="J428" s="341"/>
      <c r="K428" s="339"/>
      <c r="L428" s="339"/>
      <c r="M428" s="341"/>
      <c r="N428" s="339"/>
      <c r="O428" s="339"/>
      <c r="P428" s="341"/>
      <c r="Q428" s="339"/>
      <c r="R428" s="339"/>
      <c r="S428" s="341"/>
      <c r="T428" s="339"/>
      <c r="U428" s="339"/>
    </row>
    <row r="429" spans="1:21" ht="15.75" customHeight="1">
      <c r="A429" s="339"/>
      <c r="B429" s="339"/>
      <c r="C429" s="339"/>
      <c r="D429" s="339"/>
      <c r="E429" s="339"/>
      <c r="F429" s="339"/>
      <c r="G429" s="339"/>
      <c r="H429" s="339"/>
      <c r="I429" s="339"/>
      <c r="J429" s="341"/>
      <c r="K429" s="339"/>
      <c r="L429" s="339"/>
      <c r="M429" s="341"/>
      <c r="N429" s="339"/>
      <c r="O429" s="339"/>
      <c r="P429" s="341"/>
      <c r="Q429" s="339"/>
      <c r="R429" s="339"/>
      <c r="S429" s="341"/>
      <c r="T429" s="339"/>
      <c r="U429" s="339"/>
    </row>
    <row r="430" spans="1:21" ht="15.75" customHeight="1">
      <c r="A430" s="339"/>
      <c r="B430" s="339"/>
      <c r="C430" s="339"/>
      <c r="D430" s="339"/>
      <c r="E430" s="339"/>
      <c r="F430" s="339"/>
      <c r="G430" s="339"/>
      <c r="H430" s="339"/>
      <c r="I430" s="339"/>
      <c r="J430" s="341"/>
      <c r="K430" s="339"/>
      <c r="L430" s="339"/>
      <c r="M430" s="341"/>
      <c r="N430" s="339"/>
      <c r="O430" s="339"/>
      <c r="P430" s="341"/>
      <c r="Q430" s="339"/>
      <c r="R430" s="339"/>
      <c r="S430" s="341"/>
      <c r="T430" s="339"/>
      <c r="U430" s="339"/>
    </row>
    <row r="431" spans="1:21" ht="15.75" customHeight="1">
      <c r="A431" s="339"/>
      <c r="B431" s="339"/>
      <c r="C431" s="339"/>
      <c r="D431" s="339"/>
      <c r="E431" s="339"/>
      <c r="F431" s="339"/>
      <c r="G431" s="339"/>
      <c r="H431" s="339"/>
      <c r="I431" s="339"/>
      <c r="J431" s="341"/>
      <c r="K431" s="339"/>
      <c r="L431" s="339"/>
      <c r="M431" s="341"/>
      <c r="N431" s="339"/>
      <c r="O431" s="339"/>
      <c r="P431" s="341"/>
      <c r="Q431" s="339"/>
      <c r="R431" s="339"/>
      <c r="S431" s="341"/>
      <c r="T431" s="339"/>
      <c r="U431" s="339"/>
    </row>
    <row r="432" spans="1:21" ht="15.75" customHeight="1">
      <c r="A432" s="339"/>
      <c r="B432" s="339"/>
      <c r="C432" s="339"/>
      <c r="D432" s="339"/>
      <c r="E432" s="339"/>
      <c r="F432" s="339"/>
      <c r="G432" s="339"/>
      <c r="H432" s="339"/>
      <c r="I432" s="339"/>
      <c r="J432" s="341"/>
      <c r="K432" s="339"/>
      <c r="L432" s="339"/>
      <c r="M432" s="341"/>
      <c r="N432" s="339"/>
      <c r="O432" s="339"/>
      <c r="P432" s="341"/>
      <c r="Q432" s="339"/>
      <c r="R432" s="339"/>
      <c r="S432" s="341"/>
      <c r="T432" s="339"/>
      <c r="U432" s="339"/>
    </row>
    <row r="433" spans="1:21" ht="15.75" customHeight="1">
      <c r="A433" s="339"/>
      <c r="B433" s="339"/>
      <c r="C433" s="339"/>
      <c r="D433" s="339"/>
      <c r="E433" s="339"/>
      <c r="F433" s="339"/>
      <c r="G433" s="339"/>
      <c r="H433" s="339"/>
      <c r="I433" s="339"/>
      <c r="J433" s="341"/>
      <c r="K433" s="339"/>
      <c r="L433" s="339"/>
      <c r="M433" s="341"/>
      <c r="N433" s="339"/>
      <c r="O433" s="339"/>
      <c r="P433" s="341"/>
      <c r="Q433" s="339"/>
      <c r="R433" s="339"/>
      <c r="S433" s="341"/>
      <c r="T433" s="339"/>
      <c r="U433" s="339"/>
    </row>
    <row r="434" spans="1:21" ht="15.75" customHeight="1">
      <c r="A434" s="339"/>
      <c r="B434" s="339"/>
      <c r="C434" s="339"/>
      <c r="D434" s="339"/>
      <c r="E434" s="339"/>
      <c r="F434" s="339"/>
      <c r="G434" s="339"/>
      <c r="H434" s="339"/>
      <c r="I434" s="339"/>
      <c r="J434" s="341"/>
      <c r="K434" s="339"/>
      <c r="L434" s="339"/>
      <c r="M434" s="341"/>
      <c r="N434" s="339"/>
      <c r="O434" s="339"/>
      <c r="P434" s="341"/>
      <c r="Q434" s="339"/>
      <c r="R434" s="339"/>
      <c r="S434" s="341"/>
      <c r="T434" s="339"/>
      <c r="U434" s="339"/>
    </row>
    <row r="435" spans="1:21" ht="15.75" customHeight="1">
      <c r="A435" s="339"/>
      <c r="B435" s="339"/>
      <c r="C435" s="339"/>
      <c r="D435" s="339"/>
      <c r="E435" s="339"/>
      <c r="F435" s="339"/>
      <c r="G435" s="339"/>
      <c r="H435" s="339"/>
      <c r="I435" s="339"/>
      <c r="J435" s="341"/>
      <c r="K435" s="339"/>
      <c r="L435" s="339"/>
      <c r="M435" s="341"/>
      <c r="N435" s="339"/>
      <c r="O435" s="339"/>
      <c r="P435" s="341"/>
      <c r="Q435" s="339"/>
      <c r="R435" s="339"/>
      <c r="S435" s="341"/>
      <c r="T435" s="339"/>
      <c r="U435" s="339"/>
    </row>
    <row r="436" spans="1:21" ht="15.75" customHeight="1">
      <c r="A436" s="339"/>
      <c r="B436" s="339"/>
      <c r="C436" s="339"/>
      <c r="D436" s="339"/>
      <c r="E436" s="339"/>
      <c r="F436" s="339"/>
      <c r="G436" s="339"/>
      <c r="H436" s="339"/>
      <c r="I436" s="339"/>
      <c r="J436" s="341"/>
      <c r="K436" s="339"/>
      <c r="L436" s="339"/>
      <c r="M436" s="341"/>
      <c r="N436" s="339"/>
      <c r="O436" s="339"/>
      <c r="P436" s="341"/>
      <c r="Q436" s="339"/>
      <c r="R436" s="339"/>
      <c r="S436" s="341"/>
      <c r="T436" s="339"/>
      <c r="U436" s="339"/>
    </row>
    <row r="437" spans="1:21" ht="15.75" customHeight="1">
      <c r="A437" s="339"/>
      <c r="B437" s="339"/>
      <c r="C437" s="339"/>
      <c r="D437" s="339"/>
      <c r="E437" s="339"/>
      <c r="F437" s="339"/>
      <c r="G437" s="339"/>
      <c r="H437" s="339"/>
      <c r="I437" s="339"/>
      <c r="J437" s="341"/>
      <c r="K437" s="339"/>
      <c r="L437" s="339"/>
      <c r="M437" s="341"/>
      <c r="N437" s="339"/>
      <c r="O437" s="339"/>
      <c r="P437" s="341"/>
      <c r="Q437" s="339"/>
      <c r="R437" s="339"/>
      <c r="S437" s="341"/>
      <c r="T437" s="339"/>
      <c r="U437" s="339"/>
    </row>
    <row r="438" spans="1:21" ht="15.75" customHeight="1">
      <c r="A438" s="339"/>
      <c r="B438" s="339"/>
      <c r="C438" s="339"/>
      <c r="D438" s="339"/>
      <c r="E438" s="339"/>
      <c r="F438" s="339"/>
      <c r="G438" s="339"/>
      <c r="H438" s="339"/>
      <c r="I438" s="339"/>
      <c r="J438" s="341"/>
      <c r="K438" s="339"/>
      <c r="L438" s="339"/>
      <c r="M438" s="341"/>
      <c r="N438" s="339"/>
      <c r="O438" s="339"/>
      <c r="P438" s="341"/>
      <c r="Q438" s="339"/>
      <c r="R438" s="339"/>
      <c r="S438" s="341"/>
      <c r="T438" s="339"/>
      <c r="U438" s="339"/>
    </row>
    <row r="439" spans="1:21" ht="15.75" customHeight="1">
      <c r="A439" s="339"/>
      <c r="B439" s="339"/>
      <c r="C439" s="339"/>
      <c r="D439" s="339"/>
      <c r="E439" s="339"/>
      <c r="F439" s="339"/>
      <c r="G439" s="339"/>
      <c r="H439" s="339"/>
      <c r="I439" s="339"/>
      <c r="J439" s="341"/>
      <c r="K439" s="339"/>
      <c r="L439" s="339"/>
      <c r="M439" s="341"/>
      <c r="N439" s="339"/>
      <c r="O439" s="339"/>
      <c r="P439" s="341"/>
      <c r="Q439" s="339"/>
      <c r="R439" s="339"/>
      <c r="S439" s="341"/>
      <c r="T439" s="339"/>
      <c r="U439" s="339"/>
    </row>
    <row r="440" spans="1:21" ht="15.75" customHeight="1">
      <c r="A440" s="339"/>
      <c r="B440" s="339"/>
      <c r="C440" s="339"/>
      <c r="D440" s="339"/>
      <c r="E440" s="339"/>
      <c r="F440" s="339"/>
      <c r="G440" s="339"/>
      <c r="H440" s="339"/>
      <c r="I440" s="339"/>
      <c r="J440" s="341"/>
      <c r="K440" s="339"/>
      <c r="L440" s="339"/>
      <c r="M440" s="341"/>
      <c r="N440" s="339"/>
      <c r="O440" s="339"/>
      <c r="P440" s="341"/>
      <c r="Q440" s="339"/>
      <c r="R440" s="339"/>
      <c r="S440" s="341"/>
      <c r="T440" s="339"/>
      <c r="U440" s="339"/>
    </row>
    <row r="441" spans="1:21" ht="15.75" customHeight="1">
      <c r="A441" s="339"/>
      <c r="B441" s="339"/>
      <c r="C441" s="339"/>
      <c r="D441" s="339"/>
      <c r="E441" s="339"/>
      <c r="F441" s="339"/>
      <c r="G441" s="339"/>
      <c r="H441" s="339"/>
      <c r="I441" s="339"/>
      <c r="J441" s="341"/>
      <c r="K441" s="339"/>
      <c r="L441" s="339"/>
      <c r="M441" s="341"/>
      <c r="N441" s="339"/>
      <c r="O441" s="339"/>
      <c r="P441" s="341"/>
      <c r="Q441" s="339"/>
      <c r="R441" s="339"/>
      <c r="S441" s="341"/>
      <c r="T441" s="339"/>
      <c r="U441" s="339"/>
    </row>
    <row r="442" spans="1:21" ht="15.75" customHeight="1">
      <c r="A442" s="339"/>
      <c r="B442" s="339"/>
      <c r="C442" s="339"/>
      <c r="D442" s="339"/>
      <c r="E442" s="339"/>
      <c r="F442" s="339"/>
      <c r="G442" s="339"/>
      <c r="H442" s="339"/>
      <c r="I442" s="339"/>
      <c r="J442" s="341"/>
      <c r="K442" s="339"/>
      <c r="L442" s="339"/>
      <c r="M442" s="341"/>
      <c r="N442" s="339"/>
      <c r="O442" s="339"/>
      <c r="P442" s="341"/>
      <c r="Q442" s="339"/>
      <c r="R442" s="339"/>
      <c r="S442" s="341"/>
      <c r="T442" s="339"/>
      <c r="U442" s="339"/>
    </row>
    <row r="443" spans="1:21" ht="15.75" customHeight="1">
      <c r="A443" s="339"/>
      <c r="B443" s="339"/>
      <c r="C443" s="339"/>
      <c r="D443" s="339"/>
      <c r="E443" s="339"/>
      <c r="F443" s="339"/>
      <c r="G443" s="339"/>
      <c r="H443" s="339"/>
      <c r="I443" s="339"/>
      <c r="J443" s="341"/>
      <c r="K443" s="339"/>
      <c r="L443" s="339"/>
      <c r="M443" s="341"/>
      <c r="N443" s="339"/>
      <c r="O443" s="339"/>
      <c r="P443" s="341"/>
      <c r="Q443" s="339"/>
      <c r="R443" s="339"/>
      <c r="S443" s="341"/>
      <c r="T443" s="339"/>
      <c r="U443" s="339"/>
    </row>
    <row r="444" spans="1:21" ht="15.75" customHeight="1">
      <c r="A444" s="339"/>
      <c r="B444" s="339"/>
      <c r="C444" s="339"/>
      <c r="D444" s="339"/>
      <c r="E444" s="339"/>
      <c r="F444" s="339"/>
      <c r="G444" s="339"/>
      <c r="H444" s="339"/>
      <c r="I444" s="339"/>
      <c r="J444" s="341"/>
      <c r="K444" s="339"/>
      <c r="L444" s="339"/>
      <c r="M444" s="341"/>
      <c r="N444" s="339"/>
      <c r="O444" s="339"/>
      <c r="P444" s="341"/>
      <c r="Q444" s="339"/>
      <c r="R444" s="339"/>
      <c r="S444" s="341"/>
      <c r="T444" s="339"/>
      <c r="U444" s="339"/>
    </row>
    <row r="445" spans="1:21" ht="15.75" customHeight="1">
      <c r="A445" s="339"/>
      <c r="B445" s="339"/>
      <c r="C445" s="339"/>
      <c r="D445" s="339"/>
      <c r="E445" s="339"/>
      <c r="F445" s="339"/>
      <c r="G445" s="339"/>
      <c r="H445" s="339"/>
      <c r="I445" s="339"/>
      <c r="J445" s="341"/>
      <c r="K445" s="339"/>
      <c r="L445" s="339"/>
      <c r="M445" s="341"/>
      <c r="N445" s="339"/>
      <c r="O445" s="339"/>
      <c r="P445" s="341"/>
      <c r="Q445" s="339"/>
      <c r="R445" s="339"/>
      <c r="S445" s="341"/>
      <c r="T445" s="339"/>
      <c r="U445" s="339"/>
    </row>
    <row r="446" spans="1:21" ht="15.75" customHeight="1">
      <c r="A446" s="339"/>
      <c r="B446" s="339"/>
      <c r="C446" s="339"/>
      <c r="D446" s="339"/>
      <c r="E446" s="339"/>
      <c r="F446" s="339"/>
      <c r="G446" s="339"/>
      <c r="H446" s="339"/>
      <c r="I446" s="339"/>
      <c r="J446" s="341"/>
      <c r="K446" s="339"/>
      <c r="L446" s="339"/>
      <c r="M446" s="341"/>
      <c r="N446" s="339"/>
      <c r="O446" s="339"/>
      <c r="P446" s="341"/>
      <c r="Q446" s="339"/>
      <c r="R446" s="339"/>
      <c r="S446" s="341"/>
      <c r="T446" s="339"/>
      <c r="U446" s="339"/>
    </row>
    <row r="447" spans="1:21" ht="15.75" customHeight="1">
      <c r="A447" s="339"/>
      <c r="B447" s="339"/>
      <c r="C447" s="339"/>
      <c r="D447" s="339"/>
      <c r="E447" s="339"/>
      <c r="F447" s="339"/>
      <c r="G447" s="339"/>
      <c r="H447" s="339"/>
      <c r="I447" s="339"/>
      <c r="J447" s="341"/>
      <c r="K447" s="339"/>
      <c r="L447" s="339"/>
      <c r="M447" s="341"/>
      <c r="N447" s="339"/>
      <c r="O447" s="339"/>
      <c r="P447" s="341"/>
      <c r="Q447" s="339"/>
      <c r="R447" s="339"/>
      <c r="S447" s="341"/>
      <c r="T447" s="339"/>
      <c r="U447" s="339"/>
    </row>
    <row r="448" spans="1:21" ht="15.75" customHeight="1">
      <c r="A448" s="339"/>
      <c r="B448" s="339"/>
      <c r="C448" s="339"/>
      <c r="D448" s="339"/>
      <c r="E448" s="339"/>
      <c r="F448" s="339"/>
      <c r="G448" s="339"/>
      <c r="H448" s="339"/>
      <c r="I448" s="339"/>
      <c r="J448" s="341"/>
      <c r="K448" s="339"/>
      <c r="L448" s="339"/>
      <c r="M448" s="341"/>
      <c r="N448" s="339"/>
      <c r="O448" s="339"/>
      <c r="P448" s="341"/>
      <c r="Q448" s="339"/>
      <c r="R448" s="339"/>
      <c r="S448" s="341"/>
      <c r="T448" s="339"/>
      <c r="U448" s="339"/>
    </row>
    <row r="449" spans="1:21" ht="15.75" customHeight="1">
      <c r="A449" s="339"/>
      <c r="B449" s="339"/>
      <c r="C449" s="339"/>
      <c r="D449" s="339"/>
      <c r="E449" s="339"/>
      <c r="F449" s="339"/>
      <c r="G449" s="339"/>
      <c r="H449" s="339"/>
      <c r="I449" s="339"/>
      <c r="J449" s="341"/>
      <c r="K449" s="339"/>
      <c r="L449" s="339"/>
      <c r="M449" s="341"/>
      <c r="N449" s="339"/>
      <c r="O449" s="339"/>
      <c r="P449" s="341"/>
      <c r="Q449" s="339"/>
      <c r="R449" s="339"/>
      <c r="S449" s="341"/>
      <c r="T449" s="339"/>
      <c r="U449" s="339"/>
    </row>
    <row r="450" spans="1:21" ht="15.75" customHeight="1">
      <c r="A450" s="339"/>
      <c r="B450" s="339"/>
      <c r="C450" s="339"/>
      <c r="D450" s="339"/>
      <c r="E450" s="339"/>
      <c r="F450" s="339"/>
      <c r="G450" s="339"/>
      <c r="H450" s="339"/>
      <c r="I450" s="339"/>
      <c r="J450" s="341"/>
      <c r="K450" s="339"/>
      <c r="L450" s="339"/>
      <c r="M450" s="341"/>
      <c r="N450" s="339"/>
      <c r="O450" s="339"/>
      <c r="P450" s="341"/>
      <c r="Q450" s="339"/>
      <c r="R450" s="339"/>
      <c r="S450" s="341"/>
      <c r="T450" s="339"/>
      <c r="U450" s="339"/>
    </row>
    <row r="451" spans="1:21" ht="15.75" customHeight="1">
      <c r="A451" s="339"/>
      <c r="B451" s="339"/>
      <c r="C451" s="339"/>
      <c r="D451" s="339"/>
      <c r="E451" s="339"/>
      <c r="F451" s="339"/>
      <c r="G451" s="339"/>
      <c r="H451" s="339"/>
      <c r="I451" s="339"/>
      <c r="J451" s="341"/>
      <c r="K451" s="339"/>
      <c r="L451" s="339"/>
      <c r="M451" s="341"/>
      <c r="N451" s="339"/>
      <c r="O451" s="339"/>
      <c r="P451" s="341"/>
      <c r="Q451" s="339"/>
      <c r="R451" s="339"/>
      <c r="S451" s="341"/>
      <c r="T451" s="339"/>
      <c r="U451" s="339"/>
    </row>
    <row r="452" spans="1:21" ht="15.75" customHeight="1">
      <c r="A452" s="339"/>
      <c r="B452" s="339"/>
      <c r="C452" s="339"/>
      <c r="D452" s="339"/>
      <c r="E452" s="339"/>
      <c r="F452" s="339"/>
      <c r="G452" s="339"/>
      <c r="H452" s="339"/>
      <c r="I452" s="339"/>
      <c r="J452" s="341"/>
      <c r="K452" s="339"/>
      <c r="L452" s="339"/>
      <c r="M452" s="341"/>
      <c r="N452" s="339"/>
      <c r="O452" s="339"/>
      <c r="P452" s="341"/>
      <c r="Q452" s="339"/>
      <c r="R452" s="339"/>
      <c r="S452" s="341"/>
      <c r="T452" s="339"/>
      <c r="U452" s="339"/>
    </row>
    <row r="453" spans="1:21" ht="15.75" customHeight="1">
      <c r="A453" s="339"/>
      <c r="B453" s="339"/>
      <c r="C453" s="339"/>
      <c r="D453" s="339"/>
      <c r="E453" s="339"/>
      <c r="F453" s="339"/>
      <c r="G453" s="339"/>
      <c r="H453" s="339"/>
      <c r="I453" s="339"/>
      <c r="J453" s="341"/>
      <c r="K453" s="339"/>
      <c r="L453" s="339"/>
      <c r="M453" s="341"/>
      <c r="N453" s="339"/>
      <c r="O453" s="339"/>
      <c r="P453" s="341"/>
      <c r="Q453" s="339"/>
      <c r="R453" s="339"/>
      <c r="S453" s="341"/>
      <c r="T453" s="339"/>
      <c r="U453" s="339"/>
    </row>
    <row r="454" spans="1:21" ht="15.75" customHeight="1">
      <c r="A454" s="339"/>
      <c r="B454" s="339"/>
      <c r="C454" s="339"/>
      <c r="D454" s="339"/>
      <c r="E454" s="339"/>
      <c r="F454" s="339"/>
      <c r="G454" s="339"/>
      <c r="H454" s="339"/>
      <c r="I454" s="339"/>
      <c r="J454" s="341"/>
      <c r="K454" s="339"/>
      <c r="L454" s="339"/>
      <c r="M454" s="341"/>
      <c r="N454" s="339"/>
      <c r="O454" s="339"/>
      <c r="P454" s="341"/>
      <c r="Q454" s="339"/>
      <c r="R454" s="339"/>
      <c r="S454" s="341"/>
      <c r="T454" s="339"/>
      <c r="U454" s="339"/>
    </row>
    <row r="455" spans="1:21" ht="15.75" customHeight="1">
      <c r="A455" s="339"/>
      <c r="B455" s="339"/>
      <c r="C455" s="339"/>
      <c r="D455" s="339"/>
      <c r="E455" s="339"/>
      <c r="F455" s="339"/>
      <c r="G455" s="339"/>
      <c r="H455" s="339"/>
      <c r="I455" s="339"/>
      <c r="J455" s="341"/>
      <c r="K455" s="339"/>
      <c r="L455" s="339"/>
      <c r="M455" s="341"/>
      <c r="N455" s="339"/>
      <c r="O455" s="339"/>
      <c r="P455" s="341"/>
      <c r="Q455" s="339"/>
      <c r="R455" s="339"/>
      <c r="S455" s="341"/>
      <c r="T455" s="339"/>
      <c r="U455" s="339"/>
    </row>
    <row r="456" spans="1:21" ht="15.75" customHeight="1">
      <c r="A456" s="339"/>
      <c r="B456" s="339"/>
      <c r="C456" s="339"/>
      <c r="D456" s="339"/>
      <c r="E456" s="339"/>
      <c r="F456" s="339"/>
      <c r="G456" s="339"/>
      <c r="H456" s="339"/>
      <c r="I456" s="339"/>
      <c r="J456" s="341"/>
      <c r="K456" s="339"/>
      <c r="L456" s="339"/>
      <c r="M456" s="341"/>
      <c r="N456" s="339"/>
      <c r="O456" s="339"/>
      <c r="P456" s="341"/>
      <c r="Q456" s="339"/>
      <c r="R456" s="339"/>
      <c r="S456" s="341"/>
      <c r="T456" s="339"/>
      <c r="U456" s="339"/>
    </row>
    <row r="457" spans="1:21" ht="15.75" customHeight="1">
      <c r="A457" s="339"/>
      <c r="B457" s="339"/>
      <c r="C457" s="339"/>
      <c r="D457" s="339"/>
      <c r="E457" s="339"/>
      <c r="F457" s="339"/>
      <c r="G457" s="339"/>
      <c r="H457" s="339"/>
      <c r="I457" s="339"/>
      <c r="J457" s="341"/>
      <c r="K457" s="339"/>
      <c r="L457" s="339"/>
      <c r="M457" s="341"/>
      <c r="N457" s="339"/>
      <c r="O457" s="339"/>
      <c r="P457" s="341"/>
      <c r="Q457" s="339"/>
      <c r="R457" s="339"/>
      <c r="S457" s="341"/>
      <c r="T457" s="339"/>
      <c r="U457" s="339"/>
    </row>
    <row r="458" spans="1:21" ht="15.75" customHeight="1">
      <c r="A458" s="339"/>
      <c r="B458" s="339"/>
      <c r="C458" s="339"/>
      <c r="D458" s="339"/>
      <c r="E458" s="339"/>
      <c r="F458" s="339"/>
      <c r="G458" s="339"/>
      <c r="H458" s="339"/>
      <c r="I458" s="339"/>
      <c r="J458" s="341"/>
      <c r="K458" s="339"/>
      <c r="L458" s="339"/>
      <c r="M458" s="341"/>
      <c r="N458" s="339"/>
      <c r="O458" s="339"/>
      <c r="P458" s="341"/>
      <c r="Q458" s="339"/>
      <c r="R458" s="339"/>
      <c r="S458" s="341"/>
      <c r="T458" s="339"/>
      <c r="U458" s="339"/>
    </row>
    <row r="459" spans="1:21" ht="15.75" customHeight="1">
      <c r="A459" s="339"/>
      <c r="B459" s="339"/>
      <c r="C459" s="339"/>
      <c r="D459" s="339"/>
      <c r="E459" s="339"/>
      <c r="F459" s="339"/>
      <c r="G459" s="339"/>
      <c r="H459" s="339"/>
      <c r="I459" s="339"/>
      <c r="J459" s="341"/>
      <c r="K459" s="339"/>
      <c r="L459" s="339"/>
      <c r="M459" s="341"/>
      <c r="N459" s="339"/>
      <c r="O459" s="339"/>
      <c r="P459" s="341"/>
      <c r="Q459" s="339"/>
      <c r="R459" s="339"/>
      <c r="S459" s="341"/>
      <c r="T459" s="339"/>
      <c r="U459" s="339"/>
    </row>
    <row r="460" spans="1:21" ht="15.75" customHeight="1">
      <c r="A460" s="339"/>
      <c r="B460" s="339"/>
      <c r="C460" s="339"/>
      <c r="D460" s="339"/>
      <c r="E460" s="339"/>
      <c r="F460" s="339"/>
      <c r="G460" s="339"/>
      <c r="H460" s="339"/>
      <c r="I460" s="339"/>
      <c r="J460" s="341"/>
      <c r="K460" s="339"/>
      <c r="L460" s="339"/>
      <c r="M460" s="341"/>
      <c r="N460" s="339"/>
      <c r="O460" s="339"/>
      <c r="P460" s="341"/>
      <c r="Q460" s="339"/>
      <c r="R460" s="339"/>
      <c r="S460" s="341"/>
      <c r="T460" s="339"/>
      <c r="U460" s="339"/>
    </row>
    <row r="461" spans="1:21" ht="15.75" customHeight="1">
      <c r="A461" s="339"/>
      <c r="B461" s="339"/>
      <c r="C461" s="339"/>
      <c r="D461" s="339"/>
      <c r="E461" s="339"/>
      <c r="F461" s="339"/>
      <c r="G461" s="339"/>
      <c r="H461" s="339"/>
      <c r="I461" s="339"/>
      <c r="J461" s="341"/>
      <c r="K461" s="339"/>
      <c r="L461" s="339"/>
      <c r="M461" s="341"/>
      <c r="N461" s="339"/>
      <c r="O461" s="339"/>
      <c r="P461" s="341"/>
      <c r="Q461" s="339"/>
      <c r="R461" s="339"/>
      <c r="S461" s="341"/>
      <c r="T461" s="339"/>
      <c r="U461" s="339"/>
    </row>
    <row r="462" spans="1:21" ht="15.75" customHeight="1">
      <c r="A462" s="339"/>
      <c r="B462" s="339"/>
      <c r="C462" s="339"/>
      <c r="D462" s="339"/>
      <c r="E462" s="339"/>
      <c r="F462" s="339"/>
      <c r="G462" s="339"/>
      <c r="H462" s="339"/>
      <c r="I462" s="339"/>
      <c r="J462" s="341"/>
      <c r="K462" s="339"/>
      <c r="L462" s="339"/>
      <c r="M462" s="341"/>
      <c r="N462" s="339"/>
      <c r="O462" s="339"/>
      <c r="P462" s="341"/>
      <c r="Q462" s="339"/>
      <c r="R462" s="339"/>
      <c r="S462" s="341"/>
      <c r="T462" s="339"/>
      <c r="U462" s="339"/>
    </row>
    <row r="463" spans="1:21" ht="15.75" customHeight="1">
      <c r="A463" s="339"/>
      <c r="B463" s="339"/>
      <c r="C463" s="339"/>
      <c r="D463" s="339"/>
      <c r="E463" s="339"/>
      <c r="F463" s="339"/>
      <c r="G463" s="339"/>
      <c r="H463" s="339"/>
      <c r="I463" s="339"/>
      <c r="J463" s="341"/>
      <c r="K463" s="339"/>
      <c r="L463" s="339"/>
      <c r="M463" s="341"/>
      <c r="N463" s="339"/>
      <c r="O463" s="339"/>
      <c r="P463" s="341"/>
      <c r="Q463" s="339"/>
      <c r="R463" s="339"/>
      <c r="S463" s="341"/>
      <c r="T463" s="339"/>
      <c r="U463" s="339"/>
    </row>
    <row r="464" spans="1:21" ht="15.75" customHeight="1">
      <c r="A464" s="339"/>
      <c r="B464" s="339"/>
      <c r="C464" s="339"/>
      <c r="D464" s="339"/>
      <c r="E464" s="339"/>
      <c r="F464" s="339"/>
      <c r="G464" s="339"/>
      <c r="H464" s="339"/>
      <c r="I464" s="339"/>
      <c r="J464" s="341"/>
      <c r="K464" s="339"/>
      <c r="L464" s="339"/>
      <c r="M464" s="341"/>
      <c r="N464" s="339"/>
      <c r="O464" s="339"/>
      <c r="P464" s="341"/>
      <c r="Q464" s="339"/>
      <c r="R464" s="339"/>
      <c r="S464" s="341"/>
      <c r="T464" s="339"/>
      <c r="U464" s="339"/>
    </row>
    <row r="465" spans="1:21" ht="15.75" customHeight="1">
      <c r="A465" s="339"/>
      <c r="B465" s="339"/>
      <c r="C465" s="339"/>
      <c r="D465" s="339"/>
      <c r="E465" s="339"/>
      <c r="F465" s="339"/>
      <c r="G465" s="339"/>
      <c r="H465" s="339"/>
      <c r="I465" s="339"/>
      <c r="J465" s="341"/>
      <c r="K465" s="339"/>
      <c r="L465" s="339"/>
      <c r="M465" s="341"/>
      <c r="N465" s="339"/>
      <c r="O465" s="339"/>
      <c r="P465" s="341"/>
      <c r="Q465" s="339"/>
      <c r="R465" s="339"/>
      <c r="S465" s="341"/>
      <c r="T465" s="339"/>
      <c r="U465" s="339"/>
    </row>
    <row r="466" spans="1:21" ht="15.75" customHeight="1">
      <c r="A466" s="339"/>
      <c r="B466" s="339"/>
      <c r="C466" s="339"/>
      <c r="D466" s="339"/>
      <c r="E466" s="339"/>
      <c r="F466" s="339"/>
      <c r="G466" s="339"/>
      <c r="H466" s="339"/>
      <c r="I466" s="339"/>
      <c r="J466" s="341"/>
      <c r="K466" s="339"/>
      <c r="L466" s="339"/>
      <c r="M466" s="341"/>
      <c r="N466" s="339"/>
      <c r="O466" s="339"/>
      <c r="P466" s="341"/>
      <c r="Q466" s="339"/>
      <c r="R466" s="339"/>
      <c r="S466" s="341"/>
      <c r="T466" s="339"/>
      <c r="U466" s="339"/>
    </row>
    <row r="467" spans="1:21" ht="15.75" customHeight="1">
      <c r="A467" s="339"/>
      <c r="B467" s="339"/>
      <c r="C467" s="339"/>
      <c r="D467" s="339"/>
      <c r="E467" s="339"/>
      <c r="F467" s="339"/>
      <c r="G467" s="339"/>
      <c r="H467" s="339"/>
      <c r="I467" s="339"/>
      <c r="J467" s="341"/>
      <c r="K467" s="339"/>
      <c r="L467" s="339"/>
      <c r="M467" s="341"/>
      <c r="N467" s="339"/>
      <c r="O467" s="339"/>
      <c r="P467" s="341"/>
      <c r="Q467" s="339"/>
      <c r="R467" s="339"/>
      <c r="S467" s="341"/>
      <c r="T467" s="339"/>
      <c r="U467" s="339"/>
    </row>
    <row r="468" spans="1:21" ht="15.75" customHeight="1">
      <c r="A468" s="339"/>
      <c r="B468" s="339"/>
      <c r="C468" s="339"/>
      <c r="D468" s="339"/>
      <c r="E468" s="339"/>
      <c r="F468" s="339"/>
      <c r="G468" s="339"/>
      <c r="H468" s="339"/>
      <c r="I468" s="339"/>
      <c r="J468" s="341"/>
      <c r="K468" s="339"/>
      <c r="L468" s="339"/>
      <c r="M468" s="341"/>
      <c r="N468" s="339"/>
      <c r="O468" s="339"/>
      <c r="P468" s="341"/>
      <c r="Q468" s="339"/>
      <c r="R468" s="339"/>
      <c r="S468" s="341"/>
      <c r="T468" s="339"/>
      <c r="U468" s="339"/>
    </row>
    <row r="469" spans="1:21" ht="15.75" customHeight="1">
      <c r="A469" s="339"/>
      <c r="B469" s="339"/>
      <c r="C469" s="339"/>
      <c r="D469" s="339"/>
      <c r="E469" s="339"/>
      <c r="F469" s="339"/>
      <c r="G469" s="339"/>
      <c r="H469" s="339"/>
      <c r="I469" s="339"/>
      <c r="J469" s="341"/>
      <c r="K469" s="339"/>
      <c r="L469" s="339"/>
      <c r="M469" s="341"/>
      <c r="N469" s="339"/>
      <c r="O469" s="339"/>
      <c r="P469" s="341"/>
      <c r="Q469" s="339"/>
      <c r="R469" s="339"/>
      <c r="S469" s="341"/>
      <c r="T469" s="339"/>
      <c r="U469" s="339"/>
    </row>
    <row r="470" spans="1:21" ht="15.75" customHeight="1">
      <c r="A470" s="339"/>
      <c r="B470" s="339"/>
      <c r="C470" s="339"/>
      <c r="D470" s="339"/>
      <c r="E470" s="339"/>
      <c r="F470" s="339"/>
      <c r="G470" s="339"/>
      <c r="H470" s="339"/>
      <c r="I470" s="339"/>
      <c r="J470" s="341"/>
      <c r="K470" s="339"/>
      <c r="L470" s="339"/>
      <c r="M470" s="341"/>
      <c r="N470" s="339"/>
      <c r="O470" s="339"/>
      <c r="P470" s="341"/>
      <c r="Q470" s="339"/>
      <c r="R470" s="339"/>
      <c r="S470" s="341"/>
      <c r="T470" s="339"/>
      <c r="U470" s="339"/>
    </row>
    <row r="471" spans="1:21" ht="15.75" customHeight="1">
      <c r="A471" s="339"/>
      <c r="B471" s="339"/>
      <c r="C471" s="339"/>
      <c r="D471" s="339"/>
      <c r="E471" s="339"/>
      <c r="F471" s="339"/>
      <c r="G471" s="339"/>
      <c r="H471" s="339"/>
      <c r="I471" s="339"/>
      <c r="J471" s="341"/>
      <c r="K471" s="339"/>
      <c r="L471" s="339"/>
      <c r="M471" s="341"/>
      <c r="N471" s="339"/>
      <c r="O471" s="339"/>
      <c r="P471" s="341"/>
      <c r="Q471" s="339"/>
      <c r="R471" s="339"/>
      <c r="S471" s="341"/>
      <c r="T471" s="339"/>
      <c r="U471" s="339"/>
    </row>
    <row r="472" spans="1:21" ht="15.75" customHeight="1">
      <c r="A472" s="339"/>
      <c r="B472" s="339"/>
      <c r="C472" s="339"/>
      <c r="D472" s="339"/>
      <c r="E472" s="339"/>
      <c r="F472" s="339"/>
      <c r="G472" s="339"/>
      <c r="H472" s="339"/>
      <c r="I472" s="339"/>
      <c r="J472" s="341"/>
      <c r="K472" s="339"/>
      <c r="L472" s="339"/>
      <c r="M472" s="341"/>
      <c r="N472" s="339"/>
      <c r="O472" s="339"/>
      <c r="P472" s="341"/>
      <c r="Q472" s="339"/>
      <c r="R472" s="339"/>
      <c r="S472" s="341"/>
      <c r="T472" s="339"/>
      <c r="U472" s="339"/>
    </row>
    <row r="473" spans="1:21" ht="15.75" customHeight="1">
      <c r="A473" s="339"/>
      <c r="B473" s="339"/>
      <c r="C473" s="339"/>
      <c r="D473" s="339"/>
      <c r="E473" s="339"/>
      <c r="F473" s="339"/>
      <c r="G473" s="339"/>
      <c r="H473" s="339"/>
      <c r="I473" s="339"/>
      <c r="J473" s="341"/>
      <c r="K473" s="339"/>
      <c r="L473" s="339"/>
      <c r="M473" s="341"/>
      <c r="N473" s="339"/>
      <c r="O473" s="339"/>
      <c r="P473" s="341"/>
      <c r="Q473" s="339"/>
      <c r="R473" s="339"/>
      <c r="S473" s="341"/>
      <c r="T473" s="339"/>
      <c r="U473" s="339"/>
    </row>
    <row r="474" spans="1:21" ht="15.75" customHeight="1">
      <c r="A474" s="339"/>
      <c r="B474" s="339"/>
      <c r="C474" s="339"/>
      <c r="D474" s="339"/>
      <c r="E474" s="339"/>
      <c r="F474" s="339"/>
      <c r="G474" s="339"/>
      <c r="H474" s="339"/>
      <c r="I474" s="339"/>
      <c r="J474" s="341"/>
      <c r="K474" s="339"/>
      <c r="L474" s="339"/>
      <c r="M474" s="341"/>
      <c r="N474" s="339"/>
      <c r="O474" s="339"/>
      <c r="P474" s="341"/>
      <c r="Q474" s="339"/>
      <c r="R474" s="339"/>
      <c r="S474" s="341"/>
      <c r="T474" s="339"/>
      <c r="U474" s="339"/>
    </row>
    <row r="475" spans="1:21" ht="15.75" customHeight="1">
      <c r="A475" s="339"/>
      <c r="B475" s="339"/>
      <c r="C475" s="339"/>
      <c r="D475" s="339"/>
      <c r="E475" s="339"/>
      <c r="F475" s="339"/>
      <c r="G475" s="339"/>
      <c r="H475" s="339"/>
      <c r="I475" s="339"/>
      <c r="J475" s="341"/>
      <c r="K475" s="339"/>
      <c r="L475" s="339"/>
      <c r="M475" s="341"/>
      <c r="N475" s="339"/>
      <c r="O475" s="339"/>
      <c r="P475" s="341"/>
      <c r="Q475" s="339"/>
      <c r="R475" s="339"/>
      <c r="S475" s="341"/>
      <c r="T475" s="339"/>
      <c r="U475" s="339"/>
    </row>
    <row r="476" spans="1:21" ht="15.75" customHeight="1">
      <c r="A476" s="339"/>
      <c r="B476" s="339"/>
      <c r="C476" s="339"/>
      <c r="D476" s="339"/>
      <c r="E476" s="339"/>
      <c r="F476" s="339"/>
      <c r="G476" s="339"/>
      <c r="H476" s="339"/>
      <c r="I476" s="339"/>
      <c r="J476" s="341"/>
      <c r="K476" s="339"/>
      <c r="L476" s="339"/>
      <c r="M476" s="341"/>
      <c r="N476" s="339"/>
      <c r="O476" s="339"/>
      <c r="P476" s="341"/>
      <c r="Q476" s="339"/>
      <c r="R476" s="339"/>
      <c r="S476" s="341"/>
      <c r="T476" s="339"/>
      <c r="U476" s="339"/>
    </row>
    <row r="477" spans="1:21" ht="15.75" customHeight="1">
      <c r="A477" s="339"/>
      <c r="B477" s="339"/>
      <c r="C477" s="339"/>
      <c r="D477" s="339"/>
      <c r="E477" s="339"/>
      <c r="F477" s="339"/>
      <c r="G477" s="339"/>
      <c r="H477" s="339"/>
      <c r="I477" s="339"/>
      <c r="J477" s="341"/>
      <c r="K477" s="339"/>
      <c r="L477" s="339"/>
      <c r="M477" s="341"/>
      <c r="N477" s="339"/>
      <c r="O477" s="339"/>
      <c r="P477" s="341"/>
      <c r="Q477" s="339"/>
      <c r="R477" s="339"/>
      <c r="S477" s="341"/>
      <c r="T477" s="339"/>
      <c r="U477" s="339"/>
    </row>
    <row r="478" spans="1:21" ht="15.75" customHeight="1">
      <c r="A478" s="339"/>
      <c r="B478" s="339"/>
      <c r="C478" s="339"/>
      <c r="D478" s="339"/>
      <c r="E478" s="339"/>
      <c r="F478" s="339"/>
      <c r="G478" s="339"/>
      <c r="H478" s="339"/>
      <c r="I478" s="339"/>
      <c r="J478" s="341"/>
      <c r="K478" s="339"/>
      <c r="L478" s="339"/>
      <c r="M478" s="341"/>
      <c r="N478" s="339"/>
      <c r="O478" s="339"/>
      <c r="P478" s="341"/>
      <c r="Q478" s="339"/>
      <c r="R478" s="339"/>
      <c r="S478" s="341"/>
      <c r="T478" s="339"/>
      <c r="U478" s="339"/>
    </row>
    <row r="479" spans="1:21" ht="15.75" customHeight="1">
      <c r="A479" s="339"/>
      <c r="B479" s="339"/>
      <c r="C479" s="339"/>
      <c r="D479" s="339"/>
      <c r="E479" s="339"/>
      <c r="F479" s="339"/>
      <c r="G479" s="339"/>
      <c r="H479" s="339"/>
      <c r="I479" s="339"/>
      <c r="J479" s="341"/>
      <c r="K479" s="339"/>
      <c r="L479" s="339"/>
      <c r="M479" s="341"/>
      <c r="N479" s="339"/>
      <c r="O479" s="339"/>
      <c r="P479" s="341"/>
      <c r="Q479" s="339"/>
      <c r="R479" s="339"/>
      <c r="S479" s="341"/>
      <c r="T479" s="339"/>
      <c r="U479" s="339"/>
    </row>
    <row r="480" spans="1:21" ht="15.75" customHeight="1">
      <c r="A480" s="339"/>
      <c r="B480" s="339"/>
      <c r="C480" s="339"/>
      <c r="D480" s="339"/>
      <c r="E480" s="339"/>
      <c r="F480" s="339"/>
      <c r="G480" s="339"/>
      <c r="H480" s="339"/>
      <c r="I480" s="339"/>
      <c r="J480" s="341"/>
      <c r="K480" s="339"/>
      <c r="L480" s="339"/>
      <c r="M480" s="341"/>
      <c r="N480" s="339"/>
      <c r="O480" s="339"/>
      <c r="P480" s="341"/>
      <c r="Q480" s="339"/>
      <c r="R480" s="339"/>
      <c r="S480" s="341"/>
      <c r="T480" s="339"/>
      <c r="U480" s="339"/>
    </row>
    <row r="481" spans="1:21" ht="15.75" customHeight="1">
      <c r="A481" s="339"/>
      <c r="B481" s="339"/>
      <c r="C481" s="339"/>
      <c r="D481" s="339"/>
      <c r="E481" s="339"/>
      <c r="F481" s="339"/>
      <c r="G481" s="339"/>
      <c r="H481" s="339"/>
      <c r="I481" s="339"/>
      <c r="J481" s="341"/>
      <c r="K481" s="339"/>
      <c r="L481" s="339"/>
      <c r="M481" s="341"/>
      <c r="N481" s="339"/>
      <c r="O481" s="339"/>
      <c r="P481" s="341"/>
      <c r="Q481" s="339"/>
      <c r="R481" s="339"/>
      <c r="S481" s="341"/>
      <c r="T481" s="339"/>
      <c r="U481" s="339"/>
    </row>
    <row r="482" spans="1:21" ht="15.75" customHeight="1">
      <c r="A482" s="339"/>
      <c r="B482" s="339"/>
      <c r="C482" s="339"/>
      <c r="D482" s="339"/>
      <c r="E482" s="339"/>
      <c r="F482" s="339"/>
      <c r="G482" s="339"/>
      <c r="H482" s="339"/>
      <c r="I482" s="339"/>
      <c r="J482" s="341"/>
      <c r="K482" s="339"/>
      <c r="L482" s="339"/>
      <c r="M482" s="341"/>
      <c r="N482" s="339"/>
      <c r="O482" s="339"/>
      <c r="P482" s="341"/>
      <c r="Q482" s="339"/>
      <c r="R482" s="339"/>
      <c r="S482" s="341"/>
      <c r="T482" s="339"/>
      <c r="U482" s="339"/>
    </row>
    <row r="483" spans="1:21" ht="15.75" customHeight="1">
      <c r="A483" s="339"/>
      <c r="B483" s="339"/>
      <c r="C483" s="339"/>
      <c r="D483" s="339"/>
      <c r="E483" s="339"/>
      <c r="F483" s="339"/>
      <c r="G483" s="339"/>
      <c r="H483" s="339"/>
      <c r="I483" s="339"/>
      <c r="J483" s="341"/>
      <c r="K483" s="339"/>
      <c r="L483" s="339"/>
      <c r="M483" s="341"/>
      <c r="N483" s="339"/>
      <c r="O483" s="339"/>
      <c r="P483" s="341"/>
      <c r="Q483" s="339"/>
      <c r="R483" s="339"/>
      <c r="S483" s="341"/>
      <c r="T483" s="339"/>
      <c r="U483" s="339"/>
    </row>
    <row r="484" spans="1:21" ht="15.75" customHeight="1">
      <c r="A484" s="339"/>
      <c r="B484" s="339"/>
      <c r="C484" s="339"/>
      <c r="D484" s="339"/>
      <c r="E484" s="339"/>
      <c r="F484" s="339"/>
      <c r="G484" s="339"/>
      <c r="H484" s="339"/>
      <c r="I484" s="339"/>
      <c r="J484" s="341"/>
      <c r="K484" s="339"/>
      <c r="L484" s="339"/>
      <c r="M484" s="341"/>
      <c r="N484" s="339"/>
      <c r="O484" s="339"/>
      <c r="P484" s="341"/>
      <c r="Q484" s="339"/>
      <c r="R484" s="339"/>
      <c r="S484" s="341"/>
      <c r="T484" s="339"/>
      <c r="U484" s="339"/>
    </row>
    <row r="485" spans="1:21" ht="15.75" customHeight="1">
      <c r="A485" s="339"/>
      <c r="B485" s="339"/>
      <c r="C485" s="339"/>
      <c r="D485" s="339"/>
      <c r="E485" s="339"/>
      <c r="F485" s="339"/>
      <c r="G485" s="339"/>
      <c r="H485" s="339"/>
      <c r="I485" s="339"/>
      <c r="J485" s="341"/>
      <c r="K485" s="339"/>
      <c r="L485" s="339"/>
      <c r="M485" s="341"/>
      <c r="N485" s="339"/>
      <c r="O485" s="339"/>
      <c r="P485" s="341"/>
      <c r="Q485" s="339"/>
      <c r="R485" s="339"/>
      <c r="S485" s="341"/>
      <c r="T485" s="339"/>
      <c r="U485" s="339"/>
    </row>
    <row r="486" spans="1:21" ht="15.75" customHeight="1">
      <c r="A486" s="339"/>
      <c r="B486" s="339"/>
      <c r="C486" s="339"/>
      <c r="D486" s="339"/>
      <c r="E486" s="339"/>
      <c r="F486" s="339"/>
      <c r="G486" s="339"/>
      <c r="H486" s="339"/>
      <c r="I486" s="339"/>
      <c r="J486" s="341"/>
      <c r="K486" s="339"/>
      <c r="L486" s="339"/>
      <c r="M486" s="341"/>
      <c r="N486" s="339"/>
      <c r="O486" s="339"/>
      <c r="P486" s="341"/>
      <c r="Q486" s="339"/>
      <c r="R486" s="339"/>
      <c r="S486" s="341"/>
      <c r="T486" s="339"/>
      <c r="U486" s="339"/>
    </row>
    <row r="487" spans="1:21" ht="15.75" customHeight="1">
      <c r="A487" s="339"/>
      <c r="B487" s="339"/>
      <c r="C487" s="339"/>
      <c r="D487" s="339"/>
      <c r="E487" s="339"/>
      <c r="F487" s="339"/>
      <c r="G487" s="339"/>
      <c r="H487" s="339"/>
      <c r="I487" s="339"/>
      <c r="J487" s="341"/>
      <c r="K487" s="339"/>
      <c r="L487" s="339"/>
      <c r="M487" s="341"/>
      <c r="N487" s="339"/>
      <c r="O487" s="339"/>
      <c r="P487" s="341"/>
      <c r="Q487" s="339"/>
      <c r="R487" s="339"/>
      <c r="S487" s="341"/>
      <c r="T487" s="339"/>
      <c r="U487" s="339"/>
    </row>
    <row r="488" spans="1:21" ht="15.75" customHeight="1">
      <c r="A488" s="339"/>
      <c r="B488" s="339"/>
      <c r="C488" s="339"/>
      <c r="D488" s="339"/>
      <c r="E488" s="339"/>
      <c r="F488" s="339"/>
      <c r="G488" s="339"/>
      <c r="H488" s="339"/>
      <c r="I488" s="339"/>
      <c r="J488" s="341"/>
      <c r="K488" s="339"/>
      <c r="L488" s="339"/>
      <c r="M488" s="341"/>
      <c r="N488" s="339"/>
      <c r="O488" s="339"/>
      <c r="P488" s="341"/>
      <c r="Q488" s="339"/>
      <c r="R488" s="339"/>
      <c r="S488" s="341"/>
      <c r="T488" s="339"/>
      <c r="U488" s="339"/>
    </row>
    <row r="489" spans="1:21" ht="15.75" customHeight="1">
      <c r="A489" s="339"/>
      <c r="B489" s="339"/>
      <c r="C489" s="339"/>
      <c r="D489" s="339"/>
      <c r="E489" s="339"/>
      <c r="F489" s="339"/>
      <c r="G489" s="339"/>
      <c r="H489" s="339"/>
      <c r="I489" s="339"/>
      <c r="J489" s="341"/>
      <c r="K489" s="339"/>
      <c r="L489" s="339"/>
      <c r="M489" s="341"/>
      <c r="N489" s="339"/>
      <c r="O489" s="339"/>
      <c r="P489" s="341"/>
      <c r="Q489" s="339"/>
      <c r="R489" s="339"/>
      <c r="S489" s="341"/>
      <c r="T489" s="339"/>
      <c r="U489" s="339"/>
    </row>
    <row r="490" spans="1:21" ht="15.75" customHeight="1">
      <c r="A490" s="339"/>
      <c r="B490" s="339"/>
      <c r="C490" s="339"/>
      <c r="D490" s="339"/>
      <c r="E490" s="339"/>
      <c r="F490" s="339"/>
      <c r="G490" s="339"/>
      <c r="H490" s="339"/>
      <c r="I490" s="339"/>
      <c r="J490" s="341"/>
      <c r="K490" s="339"/>
      <c r="L490" s="339"/>
      <c r="M490" s="341"/>
      <c r="N490" s="339"/>
      <c r="O490" s="339"/>
      <c r="P490" s="341"/>
      <c r="Q490" s="339"/>
      <c r="R490" s="339"/>
      <c r="S490" s="341"/>
      <c r="T490" s="339"/>
      <c r="U490" s="339"/>
    </row>
    <row r="491" spans="1:21" ht="15.75" customHeight="1">
      <c r="A491" s="339"/>
      <c r="B491" s="339"/>
      <c r="C491" s="339"/>
      <c r="D491" s="339"/>
      <c r="E491" s="339"/>
      <c r="F491" s="339"/>
      <c r="G491" s="339"/>
      <c r="H491" s="339"/>
      <c r="I491" s="339"/>
      <c r="J491" s="341"/>
      <c r="K491" s="339"/>
      <c r="L491" s="339"/>
      <c r="M491" s="341"/>
      <c r="N491" s="339"/>
      <c r="O491" s="339"/>
      <c r="P491" s="341"/>
      <c r="Q491" s="339"/>
      <c r="R491" s="339"/>
      <c r="S491" s="341"/>
      <c r="T491" s="339"/>
      <c r="U491" s="339"/>
    </row>
    <row r="492" spans="1:21" ht="15.75" customHeight="1">
      <c r="A492" s="339"/>
      <c r="B492" s="339"/>
      <c r="C492" s="339"/>
      <c r="D492" s="339"/>
      <c r="E492" s="339"/>
      <c r="F492" s="339"/>
      <c r="G492" s="339"/>
      <c r="H492" s="339"/>
      <c r="I492" s="339"/>
      <c r="J492" s="341"/>
      <c r="K492" s="339"/>
      <c r="L492" s="339"/>
      <c r="M492" s="341"/>
      <c r="N492" s="339"/>
      <c r="O492" s="339"/>
      <c r="P492" s="341"/>
      <c r="Q492" s="339"/>
      <c r="R492" s="339"/>
      <c r="S492" s="341"/>
      <c r="T492" s="339"/>
      <c r="U492" s="339"/>
    </row>
    <row r="493" spans="1:21" ht="15.75" customHeight="1">
      <c r="A493" s="339"/>
      <c r="B493" s="339"/>
      <c r="C493" s="339"/>
      <c r="D493" s="339"/>
      <c r="E493" s="339"/>
      <c r="F493" s="339"/>
      <c r="G493" s="339"/>
      <c r="H493" s="339"/>
      <c r="I493" s="339"/>
      <c r="J493" s="341"/>
      <c r="K493" s="339"/>
      <c r="L493" s="339"/>
      <c r="M493" s="341"/>
      <c r="N493" s="339"/>
      <c r="O493" s="339"/>
      <c r="P493" s="341"/>
      <c r="Q493" s="339"/>
      <c r="R493" s="339"/>
      <c r="S493" s="341"/>
      <c r="T493" s="339"/>
      <c r="U493" s="339"/>
    </row>
    <row r="494" spans="1:21" ht="15.75" customHeight="1">
      <c r="A494" s="339"/>
      <c r="B494" s="339"/>
      <c r="C494" s="339"/>
      <c r="D494" s="339"/>
      <c r="E494" s="339"/>
      <c r="F494" s="339"/>
      <c r="G494" s="339"/>
      <c r="H494" s="339"/>
      <c r="I494" s="339"/>
      <c r="J494" s="341"/>
      <c r="K494" s="339"/>
      <c r="L494" s="339"/>
      <c r="M494" s="341"/>
      <c r="N494" s="339"/>
      <c r="O494" s="339"/>
      <c r="P494" s="341"/>
      <c r="Q494" s="339"/>
      <c r="R494" s="339"/>
      <c r="S494" s="341"/>
      <c r="T494" s="339"/>
      <c r="U494" s="339"/>
    </row>
    <row r="495" spans="1:21" ht="15.75" customHeight="1">
      <c r="A495" s="339"/>
      <c r="B495" s="339"/>
      <c r="C495" s="339"/>
      <c r="D495" s="339"/>
      <c r="E495" s="339"/>
      <c r="F495" s="339"/>
      <c r="G495" s="339"/>
      <c r="H495" s="339"/>
      <c r="I495" s="339"/>
      <c r="J495" s="341"/>
      <c r="K495" s="339"/>
      <c r="L495" s="339"/>
      <c r="M495" s="341"/>
      <c r="N495" s="339"/>
      <c r="O495" s="339"/>
      <c r="P495" s="341"/>
      <c r="Q495" s="339"/>
      <c r="R495" s="339"/>
      <c r="S495" s="341"/>
      <c r="T495" s="339"/>
      <c r="U495" s="339"/>
    </row>
    <row r="496" spans="1:21" ht="15.75" customHeight="1">
      <c r="A496" s="339"/>
      <c r="B496" s="339"/>
      <c r="C496" s="339"/>
      <c r="D496" s="339"/>
      <c r="E496" s="339"/>
      <c r="F496" s="339"/>
      <c r="G496" s="339"/>
      <c r="H496" s="339"/>
      <c r="I496" s="339"/>
      <c r="J496" s="341"/>
      <c r="K496" s="339"/>
      <c r="L496" s="339"/>
      <c r="M496" s="341"/>
      <c r="N496" s="339"/>
      <c r="O496" s="339"/>
      <c r="P496" s="341"/>
      <c r="Q496" s="339"/>
      <c r="R496" s="339"/>
      <c r="S496" s="341"/>
      <c r="T496" s="339"/>
      <c r="U496" s="339"/>
    </row>
    <row r="497" spans="1:21" ht="15.75" customHeight="1">
      <c r="A497" s="339"/>
      <c r="B497" s="339"/>
      <c r="C497" s="339"/>
      <c r="D497" s="339"/>
      <c r="E497" s="339"/>
      <c r="F497" s="339"/>
      <c r="G497" s="339"/>
      <c r="H497" s="339"/>
      <c r="I497" s="339"/>
      <c r="J497" s="341"/>
      <c r="K497" s="339"/>
      <c r="L497" s="339"/>
      <c r="M497" s="341"/>
      <c r="N497" s="339"/>
      <c r="O497" s="339"/>
      <c r="P497" s="341"/>
      <c r="Q497" s="339"/>
      <c r="R497" s="339"/>
      <c r="S497" s="341"/>
      <c r="T497" s="339"/>
      <c r="U497" s="339"/>
    </row>
    <row r="498" spans="1:21" ht="15.75" customHeight="1">
      <c r="A498" s="339"/>
      <c r="B498" s="339"/>
      <c r="C498" s="339"/>
      <c r="D498" s="339"/>
      <c r="E498" s="339"/>
      <c r="F498" s="339"/>
      <c r="G498" s="339"/>
      <c r="H498" s="339"/>
      <c r="I498" s="339"/>
      <c r="J498" s="341"/>
      <c r="K498" s="339"/>
      <c r="L498" s="339"/>
      <c r="M498" s="341"/>
      <c r="N498" s="339"/>
      <c r="O498" s="339"/>
      <c r="P498" s="341"/>
      <c r="Q498" s="339"/>
      <c r="R498" s="339"/>
      <c r="S498" s="341"/>
      <c r="T498" s="339"/>
      <c r="U498" s="339"/>
    </row>
    <row r="499" spans="1:21" ht="15.75" customHeight="1">
      <c r="A499" s="339"/>
      <c r="B499" s="339"/>
      <c r="C499" s="339"/>
      <c r="D499" s="339"/>
      <c r="E499" s="339"/>
      <c r="F499" s="339"/>
      <c r="G499" s="339"/>
      <c r="H499" s="339"/>
      <c r="I499" s="339"/>
      <c r="J499" s="341"/>
      <c r="K499" s="339"/>
      <c r="L499" s="339"/>
      <c r="M499" s="341"/>
      <c r="N499" s="339"/>
      <c r="O499" s="339"/>
      <c r="P499" s="341"/>
      <c r="Q499" s="339"/>
      <c r="R499" s="339"/>
      <c r="S499" s="341"/>
      <c r="T499" s="339"/>
      <c r="U499" s="339"/>
    </row>
    <row r="500" spans="1:21" ht="15.75" customHeight="1">
      <c r="A500" s="339"/>
      <c r="B500" s="339"/>
      <c r="C500" s="339"/>
      <c r="D500" s="339"/>
      <c r="E500" s="339"/>
      <c r="F500" s="339"/>
      <c r="G500" s="339"/>
      <c r="H500" s="339"/>
      <c r="I500" s="339"/>
      <c r="J500" s="341"/>
      <c r="K500" s="339"/>
      <c r="L500" s="339"/>
      <c r="M500" s="341"/>
      <c r="N500" s="339"/>
      <c r="O500" s="339"/>
      <c r="P500" s="341"/>
      <c r="Q500" s="339"/>
      <c r="R500" s="339"/>
      <c r="S500" s="341"/>
      <c r="T500" s="339"/>
      <c r="U500" s="339"/>
    </row>
    <row r="501" spans="1:21" ht="15.75" customHeight="1">
      <c r="A501" s="339"/>
      <c r="B501" s="339"/>
      <c r="C501" s="339"/>
      <c r="D501" s="339"/>
      <c r="E501" s="339"/>
      <c r="F501" s="339"/>
      <c r="G501" s="339"/>
      <c r="H501" s="339"/>
      <c r="I501" s="339"/>
      <c r="J501" s="341"/>
      <c r="K501" s="339"/>
      <c r="L501" s="339"/>
      <c r="M501" s="341"/>
      <c r="N501" s="339"/>
      <c r="O501" s="339"/>
      <c r="P501" s="341"/>
      <c r="Q501" s="339"/>
      <c r="R501" s="339"/>
      <c r="S501" s="341"/>
      <c r="T501" s="339"/>
      <c r="U501" s="339"/>
    </row>
    <row r="502" spans="1:21" ht="15.75" customHeight="1">
      <c r="A502" s="339"/>
      <c r="B502" s="339"/>
      <c r="C502" s="339"/>
      <c r="D502" s="339"/>
      <c r="E502" s="339"/>
      <c r="F502" s="339"/>
      <c r="G502" s="339"/>
      <c r="H502" s="339"/>
      <c r="I502" s="339"/>
      <c r="J502" s="341"/>
      <c r="K502" s="339"/>
      <c r="L502" s="339"/>
      <c r="M502" s="341"/>
      <c r="N502" s="339"/>
      <c r="O502" s="339"/>
      <c r="P502" s="341"/>
      <c r="Q502" s="339"/>
      <c r="R502" s="339"/>
      <c r="S502" s="341"/>
      <c r="T502" s="339"/>
      <c r="U502" s="339"/>
    </row>
    <row r="503" spans="1:21" ht="15.75" customHeight="1">
      <c r="A503" s="339"/>
      <c r="B503" s="339"/>
      <c r="C503" s="339"/>
      <c r="D503" s="339"/>
      <c r="E503" s="339"/>
      <c r="F503" s="339"/>
      <c r="G503" s="339"/>
      <c r="H503" s="339"/>
      <c r="I503" s="339"/>
      <c r="J503" s="341"/>
      <c r="K503" s="339"/>
      <c r="L503" s="339"/>
      <c r="M503" s="341"/>
      <c r="N503" s="339"/>
      <c r="O503" s="339"/>
      <c r="P503" s="341"/>
      <c r="Q503" s="339"/>
      <c r="R503" s="339"/>
      <c r="S503" s="341"/>
      <c r="T503" s="339"/>
      <c r="U503" s="339"/>
    </row>
    <row r="504" spans="1:21" ht="15.75" customHeight="1">
      <c r="A504" s="339"/>
      <c r="B504" s="339"/>
      <c r="C504" s="339"/>
      <c r="D504" s="339"/>
      <c r="E504" s="339"/>
      <c r="F504" s="339"/>
      <c r="G504" s="339"/>
      <c r="H504" s="339"/>
      <c r="I504" s="339"/>
      <c r="J504" s="341"/>
      <c r="K504" s="339"/>
      <c r="L504" s="339"/>
      <c r="M504" s="341"/>
      <c r="N504" s="339"/>
      <c r="O504" s="339"/>
      <c r="P504" s="341"/>
      <c r="Q504" s="339"/>
      <c r="R504" s="339"/>
      <c r="S504" s="341"/>
      <c r="T504" s="339"/>
      <c r="U504" s="339"/>
    </row>
    <row r="505" spans="1:21" ht="15.75" customHeight="1">
      <c r="A505" s="339"/>
      <c r="B505" s="339"/>
      <c r="C505" s="339"/>
      <c r="D505" s="339"/>
      <c r="E505" s="339"/>
      <c r="F505" s="339"/>
      <c r="G505" s="339"/>
      <c r="H505" s="339"/>
      <c r="I505" s="339"/>
      <c r="J505" s="341"/>
      <c r="K505" s="339"/>
      <c r="L505" s="339"/>
      <c r="M505" s="341"/>
      <c r="N505" s="339"/>
      <c r="O505" s="339"/>
      <c r="P505" s="341"/>
      <c r="Q505" s="339"/>
      <c r="R505" s="339"/>
      <c r="S505" s="341"/>
      <c r="T505" s="339"/>
      <c r="U505" s="339"/>
    </row>
    <row r="506" spans="1:21" ht="15.75" customHeight="1">
      <c r="A506" s="339"/>
      <c r="B506" s="339"/>
      <c r="C506" s="339"/>
      <c r="D506" s="339"/>
      <c r="E506" s="339"/>
      <c r="F506" s="339"/>
      <c r="G506" s="339"/>
      <c r="H506" s="339"/>
      <c r="I506" s="339"/>
      <c r="J506" s="341"/>
      <c r="K506" s="339"/>
      <c r="L506" s="339"/>
      <c r="M506" s="341"/>
      <c r="N506" s="339"/>
      <c r="O506" s="339"/>
      <c r="P506" s="341"/>
      <c r="Q506" s="339"/>
      <c r="R506" s="339"/>
      <c r="S506" s="341"/>
      <c r="T506" s="339"/>
      <c r="U506" s="339"/>
    </row>
    <row r="507" spans="1:21" ht="15.75" customHeight="1">
      <c r="A507" s="339"/>
      <c r="B507" s="339"/>
      <c r="C507" s="339"/>
      <c r="D507" s="339"/>
      <c r="E507" s="339"/>
      <c r="F507" s="339"/>
      <c r="G507" s="339"/>
      <c r="H507" s="339"/>
      <c r="I507" s="339"/>
      <c r="J507" s="341"/>
      <c r="K507" s="339"/>
      <c r="L507" s="339"/>
      <c r="M507" s="341"/>
      <c r="N507" s="339"/>
      <c r="O507" s="339"/>
      <c r="P507" s="341"/>
      <c r="Q507" s="339"/>
      <c r="R507" s="339"/>
      <c r="S507" s="341"/>
      <c r="T507" s="339"/>
      <c r="U507" s="339"/>
    </row>
    <row r="508" spans="1:21" ht="15.75" customHeight="1">
      <c r="A508" s="339"/>
      <c r="B508" s="339"/>
      <c r="C508" s="339"/>
      <c r="D508" s="339"/>
      <c r="E508" s="339"/>
      <c r="F508" s="339"/>
      <c r="G508" s="339"/>
      <c r="H508" s="339"/>
      <c r="I508" s="339"/>
      <c r="J508" s="341"/>
      <c r="K508" s="339"/>
      <c r="L508" s="339"/>
      <c r="M508" s="341"/>
      <c r="N508" s="339"/>
      <c r="O508" s="339"/>
      <c r="P508" s="341"/>
      <c r="Q508" s="339"/>
      <c r="R508" s="339"/>
      <c r="S508" s="341"/>
      <c r="T508" s="339"/>
      <c r="U508" s="339"/>
    </row>
    <row r="509" spans="1:21" ht="15.75" customHeight="1">
      <c r="A509" s="339"/>
      <c r="B509" s="339"/>
      <c r="C509" s="339"/>
      <c r="D509" s="339"/>
      <c r="E509" s="339"/>
      <c r="F509" s="339"/>
      <c r="G509" s="339"/>
      <c r="H509" s="339"/>
      <c r="I509" s="339"/>
      <c r="J509" s="341"/>
      <c r="K509" s="339"/>
      <c r="L509" s="339"/>
      <c r="M509" s="341"/>
      <c r="N509" s="339"/>
      <c r="O509" s="339"/>
      <c r="P509" s="341"/>
      <c r="Q509" s="339"/>
      <c r="R509" s="339"/>
      <c r="S509" s="341"/>
      <c r="T509" s="339"/>
      <c r="U509" s="339"/>
    </row>
    <row r="510" spans="1:21" ht="15.75" customHeight="1">
      <c r="A510" s="339"/>
      <c r="B510" s="339"/>
      <c r="C510" s="339"/>
      <c r="D510" s="339"/>
      <c r="E510" s="339"/>
      <c r="F510" s="339"/>
      <c r="G510" s="339"/>
      <c r="H510" s="339"/>
      <c r="I510" s="339"/>
      <c r="J510" s="341"/>
      <c r="K510" s="339"/>
      <c r="L510" s="339"/>
      <c r="M510" s="341"/>
      <c r="N510" s="339"/>
      <c r="O510" s="339"/>
      <c r="P510" s="341"/>
      <c r="Q510" s="339"/>
      <c r="R510" s="339"/>
      <c r="S510" s="341"/>
      <c r="T510" s="339"/>
      <c r="U510" s="339"/>
    </row>
    <row r="511" spans="1:21" ht="15.75" customHeight="1">
      <c r="A511" s="339"/>
      <c r="B511" s="339"/>
      <c r="C511" s="339"/>
      <c r="D511" s="339"/>
      <c r="E511" s="339"/>
      <c r="F511" s="339"/>
      <c r="G511" s="339"/>
      <c r="H511" s="339"/>
      <c r="I511" s="339"/>
      <c r="J511" s="341"/>
      <c r="K511" s="339"/>
      <c r="L511" s="339"/>
      <c r="M511" s="341"/>
      <c r="N511" s="339"/>
      <c r="O511" s="339"/>
      <c r="P511" s="341"/>
      <c r="Q511" s="339"/>
      <c r="R511" s="339"/>
      <c r="S511" s="341"/>
      <c r="T511" s="339"/>
      <c r="U511" s="339"/>
    </row>
    <row r="512" spans="1:21" ht="15.75" customHeight="1">
      <c r="A512" s="339"/>
      <c r="B512" s="339"/>
      <c r="C512" s="339"/>
      <c r="D512" s="339"/>
      <c r="E512" s="339"/>
      <c r="F512" s="339"/>
      <c r="G512" s="339"/>
      <c r="H512" s="339"/>
      <c r="I512" s="339"/>
      <c r="J512" s="341"/>
      <c r="K512" s="339"/>
      <c r="L512" s="339"/>
      <c r="M512" s="341"/>
      <c r="N512" s="339"/>
      <c r="O512" s="339"/>
      <c r="P512" s="341"/>
      <c r="Q512" s="339"/>
      <c r="R512" s="339"/>
      <c r="S512" s="341"/>
      <c r="T512" s="339"/>
      <c r="U512" s="339"/>
    </row>
    <row r="513" spans="1:21" ht="15.75" customHeight="1">
      <c r="A513" s="339"/>
      <c r="B513" s="339"/>
      <c r="C513" s="339"/>
      <c r="D513" s="339"/>
      <c r="E513" s="339"/>
      <c r="F513" s="339"/>
      <c r="G513" s="339"/>
      <c r="H513" s="339"/>
      <c r="I513" s="339"/>
      <c r="J513" s="341"/>
      <c r="K513" s="339"/>
      <c r="L513" s="339"/>
      <c r="M513" s="341"/>
      <c r="N513" s="339"/>
      <c r="O513" s="339"/>
      <c r="P513" s="341"/>
      <c r="Q513" s="339"/>
      <c r="R513" s="339"/>
      <c r="S513" s="341"/>
      <c r="T513" s="339"/>
      <c r="U513" s="339"/>
    </row>
    <row r="514" spans="1:21" ht="15.75" customHeight="1">
      <c r="A514" s="339"/>
      <c r="B514" s="339"/>
      <c r="C514" s="339"/>
      <c r="D514" s="339"/>
      <c r="E514" s="339"/>
      <c r="F514" s="339"/>
      <c r="G514" s="339"/>
      <c r="H514" s="339"/>
      <c r="I514" s="339"/>
      <c r="J514" s="341"/>
      <c r="K514" s="339"/>
      <c r="L514" s="339"/>
      <c r="M514" s="341"/>
      <c r="N514" s="339"/>
      <c r="O514" s="339"/>
      <c r="P514" s="341"/>
      <c r="Q514" s="339"/>
      <c r="R514" s="339"/>
      <c r="S514" s="341"/>
      <c r="T514" s="339"/>
      <c r="U514" s="339"/>
    </row>
    <row r="515" spans="1:21" ht="15.75" customHeight="1">
      <c r="A515" s="339"/>
      <c r="B515" s="339"/>
      <c r="C515" s="339"/>
      <c r="D515" s="339"/>
      <c r="E515" s="339"/>
      <c r="F515" s="339"/>
      <c r="G515" s="339"/>
      <c r="H515" s="339"/>
      <c r="I515" s="339"/>
      <c r="J515" s="341"/>
      <c r="K515" s="339"/>
      <c r="L515" s="339"/>
      <c r="M515" s="341"/>
      <c r="N515" s="339"/>
      <c r="O515" s="339"/>
      <c r="P515" s="341"/>
      <c r="Q515" s="339"/>
      <c r="R515" s="339"/>
      <c r="S515" s="341"/>
      <c r="T515" s="339"/>
      <c r="U515" s="339"/>
    </row>
    <row r="516" spans="1:21" ht="15.75" customHeight="1">
      <c r="A516" s="339"/>
      <c r="B516" s="339"/>
      <c r="C516" s="339"/>
      <c r="D516" s="339"/>
      <c r="E516" s="339"/>
      <c r="F516" s="339"/>
      <c r="G516" s="339"/>
      <c r="H516" s="339"/>
      <c r="I516" s="339"/>
      <c r="J516" s="341"/>
      <c r="K516" s="339"/>
      <c r="L516" s="339"/>
      <c r="M516" s="341"/>
      <c r="N516" s="339"/>
      <c r="O516" s="339"/>
      <c r="P516" s="341"/>
      <c r="Q516" s="339"/>
      <c r="R516" s="339"/>
      <c r="S516" s="341"/>
      <c r="T516" s="339"/>
      <c r="U516" s="339"/>
    </row>
    <row r="517" spans="1:21" ht="15.75" customHeight="1">
      <c r="A517" s="339"/>
      <c r="B517" s="339"/>
      <c r="C517" s="339"/>
      <c r="D517" s="339"/>
      <c r="E517" s="339"/>
      <c r="F517" s="339"/>
      <c r="G517" s="339"/>
      <c r="H517" s="339"/>
      <c r="I517" s="339"/>
      <c r="J517" s="341"/>
      <c r="K517" s="339"/>
      <c r="L517" s="339"/>
      <c r="M517" s="341"/>
      <c r="N517" s="339"/>
      <c r="O517" s="339"/>
      <c r="P517" s="341"/>
      <c r="Q517" s="339"/>
      <c r="R517" s="339"/>
      <c r="S517" s="341"/>
      <c r="T517" s="339"/>
      <c r="U517" s="339"/>
    </row>
    <row r="518" spans="1:21" ht="15.75" customHeight="1">
      <c r="A518" s="339"/>
      <c r="B518" s="339"/>
      <c r="C518" s="339"/>
      <c r="D518" s="339"/>
      <c r="E518" s="339"/>
      <c r="F518" s="339"/>
      <c r="G518" s="339"/>
      <c r="H518" s="339"/>
      <c r="I518" s="339"/>
      <c r="J518" s="341"/>
      <c r="K518" s="339"/>
      <c r="L518" s="339"/>
      <c r="M518" s="341"/>
      <c r="N518" s="339"/>
      <c r="O518" s="339"/>
      <c r="P518" s="341"/>
      <c r="Q518" s="339"/>
      <c r="R518" s="339"/>
      <c r="S518" s="341"/>
      <c r="T518" s="339"/>
      <c r="U518" s="339"/>
    </row>
    <row r="519" spans="1:21" ht="15.75" customHeight="1">
      <c r="A519" s="339"/>
      <c r="B519" s="339"/>
      <c r="C519" s="339"/>
      <c r="D519" s="339"/>
      <c r="E519" s="339"/>
      <c r="F519" s="339"/>
      <c r="G519" s="339"/>
      <c r="H519" s="339"/>
      <c r="I519" s="339"/>
      <c r="J519" s="341"/>
      <c r="K519" s="339"/>
      <c r="L519" s="339"/>
      <c r="M519" s="341"/>
      <c r="N519" s="339"/>
      <c r="O519" s="339"/>
      <c r="P519" s="341"/>
      <c r="Q519" s="339"/>
      <c r="R519" s="339"/>
      <c r="S519" s="341"/>
      <c r="T519" s="339"/>
      <c r="U519" s="339"/>
    </row>
    <row r="520" spans="1:21" ht="15.75" customHeight="1">
      <c r="A520" s="339"/>
      <c r="B520" s="339"/>
      <c r="C520" s="339"/>
      <c r="D520" s="339"/>
      <c r="E520" s="339"/>
      <c r="F520" s="339"/>
      <c r="G520" s="339"/>
      <c r="H520" s="339"/>
      <c r="I520" s="339"/>
      <c r="J520" s="341"/>
      <c r="K520" s="339"/>
      <c r="L520" s="339"/>
      <c r="M520" s="341"/>
      <c r="N520" s="339"/>
      <c r="O520" s="339"/>
      <c r="P520" s="341"/>
      <c r="Q520" s="339"/>
      <c r="R520" s="339"/>
      <c r="S520" s="341"/>
      <c r="T520" s="339"/>
      <c r="U520" s="339"/>
    </row>
    <row r="521" spans="1:21" ht="15.75" customHeight="1">
      <c r="A521" s="339"/>
      <c r="B521" s="339"/>
      <c r="C521" s="339"/>
      <c r="D521" s="339"/>
      <c r="E521" s="339"/>
      <c r="F521" s="339"/>
      <c r="G521" s="339"/>
      <c r="H521" s="339"/>
      <c r="I521" s="339"/>
      <c r="J521" s="341"/>
      <c r="K521" s="339"/>
      <c r="L521" s="339"/>
      <c r="M521" s="341"/>
      <c r="N521" s="339"/>
      <c r="O521" s="339"/>
      <c r="P521" s="341"/>
      <c r="Q521" s="339"/>
      <c r="R521" s="339"/>
      <c r="S521" s="341"/>
      <c r="T521" s="339"/>
      <c r="U521" s="339"/>
    </row>
    <row r="522" spans="1:21" ht="15.75" customHeight="1">
      <c r="A522" s="339"/>
      <c r="B522" s="339"/>
      <c r="C522" s="339"/>
      <c r="D522" s="339"/>
      <c r="E522" s="339"/>
      <c r="F522" s="339"/>
      <c r="G522" s="339"/>
      <c r="H522" s="339"/>
      <c r="I522" s="339"/>
      <c r="J522" s="341"/>
      <c r="K522" s="339"/>
      <c r="L522" s="339"/>
      <c r="M522" s="341"/>
      <c r="N522" s="339"/>
      <c r="O522" s="339"/>
      <c r="P522" s="341"/>
      <c r="Q522" s="339"/>
      <c r="R522" s="339"/>
      <c r="S522" s="341"/>
      <c r="T522" s="339"/>
      <c r="U522" s="339"/>
    </row>
    <row r="523" spans="1:21" ht="15.75" customHeight="1">
      <c r="A523" s="339"/>
      <c r="B523" s="339"/>
      <c r="C523" s="339"/>
      <c r="D523" s="339"/>
      <c r="E523" s="339"/>
      <c r="F523" s="339"/>
      <c r="G523" s="339"/>
      <c r="H523" s="339"/>
      <c r="I523" s="339"/>
      <c r="J523" s="341"/>
      <c r="K523" s="339"/>
      <c r="L523" s="339"/>
      <c r="M523" s="341"/>
      <c r="N523" s="339"/>
      <c r="O523" s="339"/>
      <c r="P523" s="341"/>
      <c r="Q523" s="339"/>
      <c r="R523" s="339"/>
      <c r="S523" s="341"/>
      <c r="T523" s="339"/>
      <c r="U523" s="339"/>
    </row>
    <row r="524" spans="1:21" ht="15.75" customHeight="1">
      <c r="A524" s="339"/>
      <c r="B524" s="339"/>
      <c r="C524" s="339"/>
      <c r="D524" s="339"/>
      <c r="E524" s="339"/>
      <c r="F524" s="339"/>
      <c r="G524" s="339"/>
      <c r="H524" s="339"/>
      <c r="I524" s="339"/>
      <c r="J524" s="341"/>
      <c r="K524" s="339"/>
      <c r="L524" s="339"/>
      <c r="M524" s="341"/>
      <c r="N524" s="339"/>
      <c r="O524" s="339"/>
      <c r="P524" s="341"/>
      <c r="Q524" s="339"/>
      <c r="R524" s="339"/>
      <c r="S524" s="341"/>
      <c r="T524" s="339"/>
      <c r="U524" s="339"/>
    </row>
    <row r="525" spans="1:21" ht="15.75" customHeight="1">
      <c r="A525" s="339"/>
      <c r="B525" s="339"/>
      <c r="C525" s="339"/>
      <c r="D525" s="339"/>
      <c r="E525" s="339"/>
      <c r="F525" s="339"/>
      <c r="G525" s="339"/>
      <c r="H525" s="339"/>
      <c r="I525" s="339"/>
      <c r="J525" s="341"/>
      <c r="K525" s="339"/>
      <c r="L525" s="339"/>
      <c r="M525" s="341"/>
      <c r="N525" s="339"/>
      <c r="O525" s="339"/>
      <c r="P525" s="341"/>
      <c r="Q525" s="339"/>
      <c r="R525" s="339"/>
      <c r="S525" s="341"/>
      <c r="T525" s="339"/>
      <c r="U525" s="339"/>
    </row>
    <row r="526" spans="1:21" ht="15.75" customHeight="1">
      <c r="A526" s="339"/>
      <c r="B526" s="339"/>
      <c r="C526" s="339"/>
      <c r="D526" s="339"/>
      <c r="E526" s="339"/>
      <c r="F526" s="339"/>
      <c r="G526" s="339"/>
      <c r="H526" s="339"/>
      <c r="I526" s="339"/>
      <c r="J526" s="341"/>
      <c r="K526" s="339"/>
      <c r="L526" s="339"/>
      <c r="M526" s="341"/>
      <c r="N526" s="339"/>
      <c r="O526" s="339"/>
      <c r="P526" s="341"/>
      <c r="Q526" s="339"/>
      <c r="R526" s="339"/>
      <c r="S526" s="341"/>
      <c r="T526" s="339"/>
      <c r="U526" s="339"/>
    </row>
    <row r="527" spans="1:21" ht="15.75" customHeight="1">
      <c r="A527" s="339"/>
      <c r="B527" s="339"/>
      <c r="C527" s="339"/>
      <c r="D527" s="339"/>
      <c r="E527" s="339"/>
      <c r="F527" s="339"/>
      <c r="G527" s="339"/>
      <c r="H527" s="339"/>
      <c r="I527" s="339"/>
      <c r="J527" s="341"/>
      <c r="K527" s="339"/>
      <c r="L527" s="339"/>
      <c r="M527" s="341"/>
      <c r="N527" s="339"/>
      <c r="O527" s="339"/>
      <c r="P527" s="341"/>
      <c r="Q527" s="339"/>
      <c r="R527" s="339"/>
      <c r="S527" s="341"/>
      <c r="T527" s="339"/>
      <c r="U527" s="339"/>
    </row>
    <row r="528" spans="1:21" ht="15.75" customHeight="1">
      <c r="A528" s="339"/>
      <c r="B528" s="339"/>
      <c r="C528" s="339"/>
      <c r="D528" s="339"/>
      <c r="E528" s="339"/>
      <c r="F528" s="339"/>
      <c r="G528" s="339"/>
      <c r="H528" s="339"/>
      <c r="I528" s="339"/>
      <c r="J528" s="341"/>
      <c r="K528" s="339"/>
      <c r="L528" s="339"/>
      <c r="M528" s="341"/>
      <c r="N528" s="339"/>
      <c r="O528" s="339"/>
      <c r="P528" s="341"/>
      <c r="Q528" s="339"/>
      <c r="R528" s="339"/>
      <c r="S528" s="341"/>
      <c r="T528" s="339"/>
      <c r="U528" s="339"/>
    </row>
    <row r="529" spans="1:21" ht="15.75" customHeight="1">
      <c r="A529" s="339"/>
      <c r="B529" s="339"/>
      <c r="C529" s="339"/>
      <c r="D529" s="339"/>
      <c r="E529" s="339"/>
      <c r="F529" s="339"/>
      <c r="G529" s="339"/>
      <c r="H529" s="339"/>
      <c r="I529" s="339"/>
      <c r="J529" s="341"/>
      <c r="K529" s="339"/>
      <c r="L529" s="339"/>
      <c r="M529" s="341"/>
      <c r="N529" s="339"/>
      <c r="O529" s="339"/>
      <c r="P529" s="341"/>
      <c r="Q529" s="339"/>
      <c r="R529" s="339"/>
      <c r="S529" s="341"/>
      <c r="T529" s="339"/>
      <c r="U529" s="339"/>
    </row>
    <row r="530" spans="1:21" ht="15.75" customHeight="1">
      <c r="A530" s="339"/>
      <c r="B530" s="339"/>
      <c r="C530" s="339"/>
      <c r="D530" s="339"/>
      <c r="E530" s="339"/>
      <c r="F530" s="339"/>
      <c r="G530" s="339"/>
      <c r="H530" s="339"/>
      <c r="I530" s="339"/>
      <c r="J530" s="341"/>
      <c r="K530" s="339"/>
      <c r="L530" s="339"/>
      <c r="M530" s="341"/>
      <c r="N530" s="339"/>
      <c r="O530" s="339"/>
      <c r="P530" s="341"/>
      <c r="Q530" s="339"/>
      <c r="R530" s="339"/>
      <c r="S530" s="341"/>
      <c r="T530" s="339"/>
      <c r="U530" s="339"/>
    </row>
    <row r="531" spans="1:21" ht="15.75" customHeight="1">
      <c r="A531" s="339"/>
      <c r="B531" s="339"/>
      <c r="C531" s="339"/>
      <c r="D531" s="339"/>
      <c r="E531" s="339"/>
      <c r="F531" s="339"/>
      <c r="G531" s="339"/>
      <c r="H531" s="339"/>
      <c r="I531" s="339"/>
      <c r="J531" s="341"/>
      <c r="K531" s="339"/>
      <c r="L531" s="339"/>
      <c r="M531" s="341"/>
      <c r="N531" s="339"/>
      <c r="O531" s="339"/>
      <c r="P531" s="341"/>
      <c r="Q531" s="339"/>
      <c r="R531" s="339"/>
      <c r="S531" s="341"/>
      <c r="T531" s="339"/>
      <c r="U531" s="339"/>
    </row>
    <row r="532" spans="1:21" ht="15.75" customHeight="1">
      <c r="A532" s="339"/>
      <c r="B532" s="339"/>
      <c r="C532" s="339"/>
      <c r="D532" s="339"/>
      <c r="E532" s="339"/>
      <c r="F532" s="339"/>
      <c r="G532" s="339"/>
      <c r="H532" s="339"/>
      <c r="I532" s="339"/>
      <c r="J532" s="341"/>
      <c r="K532" s="339"/>
      <c r="L532" s="339"/>
      <c r="M532" s="341"/>
      <c r="N532" s="339"/>
      <c r="O532" s="339"/>
      <c r="P532" s="341"/>
      <c r="Q532" s="339"/>
      <c r="R532" s="339"/>
      <c r="S532" s="341"/>
      <c r="T532" s="339"/>
      <c r="U532" s="339"/>
    </row>
    <row r="533" spans="1:21" ht="15.75" customHeight="1">
      <c r="A533" s="339"/>
      <c r="B533" s="339"/>
      <c r="C533" s="339"/>
      <c r="D533" s="339"/>
      <c r="E533" s="339"/>
      <c r="F533" s="339"/>
      <c r="G533" s="339"/>
      <c r="H533" s="339"/>
      <c r="I533" s="339"/>
      <c r="J533" s="341"/>
      <c r="K533" s="339"/>
      <c r="L533" s="339"/>
      <c r="M533" s="341"/>
      <c r="N533" s="339"/>
      <c r="O533" s="339"/>
      <c r="P533" s="341"/>
      <c r="Q533" s="339"/>
      <c r="R533" s="339"/>
      <c r="S533" s="341"/>
      <c r="T533" s="339"/>
      <c r="U533" s="339"/>
    </row>
    <row r="534" spans="1:21" ht="15.75" customHeight="1">
      <c r="A534" s="339"/>
      <c r="B534" s="339"/>
      <c r="C534" s="339"/>
      <c r="D534" s="339"/>
      <c r="E534" s="339"/>
      <c r="F534" s="339"/>
      <c r="G534" s="339"/>
      <c r="H534" s="339"/>
      <c r="I534" s="339"/>
      <c r="J534" s="341"/>
      <c r="K534" s="339"/>
      <c r="L534" s="339"/>
      <c r="M534" s="341"/>
      <c r="N534" s="339"/>
      <c r="O534" s="339"/>
      <c r="P534" s="341"/>
      <c r="Q534" s="339"/>
      <c r="R534" s="339"/>
      <c r="S534" s="341"/>
      <c r="T534" s="339"/>
      <c r="U534" s="339"/>
    </row>
    <row r="535" spans="1:21" ht="15.75" customHeight="1">
      <c r="A535" s="339"/>
      <c r="B535" s="339"/>
      <c r="C535" s="339"/>
      <c r="D535" s="339"/>
      <c r="E535" s="339"/>
      <c r="F535" s="339"/>
      <c r="G535" s="339"/>
      <c r="H535" s="339"/>
      <c r="I535" s="339"/>
      <c r="J535" s="341"/>
      <c r="K535" s="339"/>
      <c r="L535" s="339"/>
      <c r="M535" s="341"/>
      <c r="N535" s="339"/>
      <c r="O535" s="339"/>
      <c r="P535" s="341"/>
      <c r="Q535" s="339"/>
      <c r="R535" s="339"/>
      <c r="S535" s="341"/>
      <c r="T535" s="339"/>
      <c r="U535" s="339"/>
    </row>
    <row r="536" spans="1:21" ht="15.75" customHeight="1">
      <c r="A536" s="339"/>
      <c r="B536" s="339"/>
      <c r="C536" s="339"/>
      <c r="D536" s="339"/>
      <c r="E536" s="339"/>
      <c r="F536" s="339"/>
      <c r="G536" s="339"/>
      <c r="H536" s="339"/>
      <c r="I536" s="339"/>
      <c r="J536" s="341"/>
      <c r="K536" s="339"/>
      <c r="L536" s="339"/>
      <c r="M536" s="341"/>
      <c r="N536" s="339"/>
      <c r="O536" s="339"/>
      <c r="P536" s="341"/>
      <c r="Q536" s="339"/>
      <c r="R536" s="339"/>
      <c r="S536" s="341"/>
      <c r="T536" s="339"/>
      <c r="U536" s="339"/>
    </row>
    <row r="537" spans="1:21" ht="15.75" customHeight="1">
      <c r="A537" s="339"/>
      <c r="B537" s="339"/>
      <c r="C537" s="339"/>
      <c r="D537" s="339"/>
      <c r="E537" s="339"/>
      <c r="F537" s="339"/>
      <c r="G537" s="339"/>
      <c r="H537" s="339"/>
      <c r="I537" s="339"/>
      <c r="J537" s="341"/>
      <c r="K537" s="339"/>
      <c r="L537" s="339"/>
      <c r="M537" s="341"/>
      <c r="N537" s="339"/>
      <c r="O537" s="339"/>
      <c r="P537" s="341"/>
      <c r="Q537" s="339"/>
      <c r="R537" s="339"/>
      <c r="S537" s="341"/>
      <c r="T537" s="339"/>
      <c r="U537" s="339"/>
    </row>
    <row r="538" spans="1:21" ht="15.75" customHeight="1">
      <c r="A538" s="339"/>
      <c r="B538" s="339"/>
      <c r="C538" s="339"/>
      <c r="D538" s="339"/>
      <c r="E538" s="339"/>
      <c r="F538" s="339"/>
      <c r="G538" s="339"/>
      <c r="H538" s="339"/>
      <c r="I538" s="339"/>
      <c r="J538" s="341"/>
      <c r="K538" s="339"/>
      <c r="L538" s="339"/>
      <c r="M538" s="341"/>
      <c r="N538" s="339"/>
      <c r="O538" s="339"/>
      <c r="P538" s="341"/>
      <c r="Q538" s="339"/>
      <c r="R538" s="339"/>
      <c r="S538" s="341"/>
      <c r="T538" s="339"/>
      <c r="U538" s="339"/>
    </row>
    <row r="539" spans="1:21" ht="15.75" customHeight="1">
      <c r="A539" s="339"/>
      <c r="B539" s="339"/>
      <c r="C539" s="339"/>
      <c r="D539" s="339"/>
      <c r="E539" s="339"/>
      <c r="F539" s="339"/>
      <c r="G539" s="339"/>
      <c r="H539" s="339"/>
      <c r="I539" s="339"/>
      <c r="J539" s="341"/>
      <c r="K539" s="339"/>
      <c r="L539" s="339"/>
      <c r="M539" s="341"/>
      <c r="N539" s="339"/>
      <c r="O539" s="339"/>
      <c r="P539" s="341"/>
      <c r="Q539" s="339"/>
      <c r="R539" s="339"/>
      <c r="S539" s="341"/>
      <c r="T539" s="339"/>
      <c r="U539" s="339"/>
    </row>
    <row r="540" spans="1:21" ht="15.75" customHeight="1">
      <c r="A540" s="339"/>
      <c r="B540" s="339"/>
      <c r="C540" s="339"/>
      <c r="D540" s="339"/>
      <c r="E540" s="339"/>
      <c r="F540" s="339"/>
      <c r="G540" s="339"/>
      <c r="H540" s="339"/>
      <c r="I540" s="339"/>
      <c r="J540" s="341"/>
      <c r="K540" s="339"/>
      <c r="L540" s="339"/>
      <c r="M540" s="341"/>
      <c r="N540" s="339"/>
      <c r="O540" s="339"/>
      <c r="P540" s="341"/>
      <c r="Q540" s="339"/>
      <c r="R540" s="339"/>
      <c r="S540" s="341"/>
      <c r="T540" s="339"/>
      <c r="U540" s="339"/>
    </row>
    <row r="541" spans="1:21" ht="15.75" customHeight="1">
      <c r="A541" s="339"/>
      <c r="B541" s="339"/>
      <c r="C541" s="339"/>
      <c r="D541" s="339"/>
      <c r="E541" s="339"/>
      <c r="F541" s="339"/>
      <c r="G541" s="339"/>
      <c r="H541" s="339"/>
      <c r="I541" s="339"/>
      <c r="J541" s="341"/>
      <c r="K541" s="339"/>
      <c r="L541" s="339"/>
      <c r="M541" s="341"/>
      <c r="N541" s="339"/>
      <c r="O541" s="339"/>
      <c r="P541" s="341"/>
      <c r="Q541" s="339"/>
      <c r="R541" s="339"/>
      <c r="S541" s="341"/>
      <c r="T541" s="339"/>
      <c r="U541" s="339"/>
    </row>
    <row r="542" spans="1:21" ht="15.75" customHeight="1">
      <c r="A542" s="339"/>
      <c r="B542" s="339"/>
      <c r="C542" s="339"/>
      <c r="D542" s="339"/>
      <c r="E542" s="339"/>
      <c r="F542" s="339"/>
      <c r="G542" s="339"/>
      <c r="H542" s="339"/>
      <c r="I542" s="339"/>
      <c r="J542" s="341"/>
      <c r="K542" s="339"/>
      <c r="L542" s="339"/>
      <c r="M542" s="341"/>
      <c r="N542" s="339"/>
      <c r="O542" s="339"/>
      <c r="P542" s="341"/>
      <c r="Q542" s="339"/>
      <c r="R542" s="339"/>
      <c r="S542" s="341"/>
      <c r="T542" s="339"/>
      <c r="U542" s="339"/>
    </row>
    <row r="543" spans="1:21" ht="15.75" customHeight="1">
      <c r="A543" s="339"/>
      <c r="B543" s="339"/>
      <c r="C543" s="339"/>
      <c r="D543" s="339"/>
      <c r="E543" s="339"/>
      <c r="F543" s="339"/>
      <c r="G543" s="339"/>
      <c r="H543" s="339"/>
      <c r="I543" s="339"/>
      <c r="J543" s="341"/>
      <c r="K543" s="339"/>
      <c r="L543" s="339"/>
      <c r="M543" s="341"/>
      <c r="N543" s="339"/>
      <c r="O543" s="339"/>
      <c r="P543" s="341"/>
      <c r="Q543" s="339"/>
      <c r="R543" s="339"/>
      <c r="S543" s="341"/>
      <c r="T543" s="339"/>
      <c r="U543" s="339"/>
    </row>
    <row r="544" spans="1:21" ht="15.75" customHeight="1">
      <c r="A544" s="339"/>
      <c r="B544" s="339"/>
      <c r="C544" s="339"/>
      <c r="D544" s="339"/>
      <c r="E544" s="339"/>
      <c r="F544" s="339"/>
      <c r="G544" s="339"/>
      <c r="H544" s="339"/>
      <c r="I544" s="339"/>
      <c r="J544" s="341"/>
      <c r="K544" s="339"/>
      <c r="L544" s="339"/>
      <c r="M544" s="341"/>
      <c r="N544" s="339"/>
      <c r="O544" s="339"/>
      <c r="P544" s="341"/>
      <c r="Q544" s="339"/>
      <c r="R544" s="339"/>
      <c r="S544" s="341"/>
      <c r="T544" s="339"/>
      <c r="U544" s="339"/>
    </row>
    <row r="545" spans="1:21" ht="15.75" customHeight="1">
      <c r="A545" s="339"/>
      <c r="B545" s="339"/>
      <c r="C545" s="339"/>
      <c r="D545" s="339"/>
      <c r="E545" s="339"/>
      <c r="F545" s="339"/>
      <c r="G545" s="339"/>
      <c r="H545" s="339"/>
      <c r="I545" s="339"/>
      <c r="J545" s="341"/>
      <c r="K545" s="339"/>
      <c r="L545" s="339"/>
      <c r="M545" s="341"/>
      <c r="N545" s="339"/>
      <c r="O545" s="339"/>
      <c r="P545" s="341"/>
      <c r="Q545" s="339"/>
      <c r="R545" s="339"/>
      <c r="S545" s="341"/>
      <c r="T545" s="339"/>
      <c r="U545" s="339"/>
    </row>
    <row r="546" spans="1:21" ht="15.75" customHeight="1">
      <c r="A546" s="339"/>
      <c r="B546" s="339"/>
      <c r="C546" s="339"/>
      <c r="D546" s="339"/>
      <c r="E546" s="339"/>
      <c r="F546" s="339"/>
      <c r="G546" s="339"/>
      <c r="H546" s="339"/>
      <c r="I546" s="339"/>
      <c r="J546" s="341"/>
      <c r="K546" s="339"/>
      <c r="L546" s="339"/>
      <c r="M546" s="341"/>
      <c r="N546" s="339"/>
      <c r="O546" s="339"/>
      <c r="P546" s="341"/>
      <c r="Q546" s="339"/>
      <c r="R546" s="339"/>
      <c r="S546" s="341"/>
      <c r="T546" s="339"/>
      <c r="U546" s="339"/>
    </row>
    <row r="547" spans="1:21" ht="15.75" customHeight="1">
      <c r="A547" s="339"/>
      <c r="B547" s="339"/>
      <c r="C547" s="339"/>
      <c r="D547" s="339"/>
      <c r="E547" s="339"/>
      <c r="F547" s="339"/>
      <c r="G547" s="339"/>
      <c r="H547" s="339"/>
      <c r="I547" s="339"/>
      <c r="J547" s="341"/>
      <c r="K547" s="339"/>
      <c r="L547" s="339"/>
      <c r="M547" s="341"/>
      <c r="N547" s="339"/>
      <c r="O547" s="339"/>
      <c r="P547" s="341"/>
      <c r="Q547" s="339"/>
      <c r="R547" s="339"/>
      <c r="S547" s="341"/>
      <c r="T547" s="339"/>
      <c r="U547" s="339"/>
    </row>
    <row r="548" spans="1:21" ht="15.75" customHeight="1">
      <c r="A548" s="339"/>
      <c r="B548" s="339"/>
      <c r="C548" s="339"/>
      <c r="D548" s="339"/>
      <c r="E548" s="339"/>
      <c r="F548" s="339"/>
      <c r="G548" s="339"/>
      <c r="H548" s="339"/>
      <c r="I548" s="339"/>
      <c r="J548" s="341"/>
      <c r="K548" s="339"/>
      <c r="L548" s="339"/>
      <c r="M548" s="341"/>
      <c r="N548" s="339"/>
      <c r="O548" s="339"/>
      <c r="P548" s="341"/>
      <c r="Q548" s="339"/>
      <c r="R548" s="339"/>
      <c r="S548" s="341"/>
      <c r="T548" s="339"/>
      <c r="U548" s="339"/>
    </row>
    <row r="549" spans="1:21" ht="15.75" customHeight="1">
      <c r="A549" s="339"/>
      <c r="B549" s="339"/>
      <c r="C549" s="339"/>
      <c r="D549" s="339"/>
      <c r="E549" s="339"/>
      <c r="F549" s="339"/>
      <c r="G549" s="339"/>
      <c r="H549" s="339"/>
      <c r="I549" s="339"/>
      <c r="J549" s="341"/>
      <c r="K549" s="339"/>
      <c r="L549" s="339"/>
      <c r="M549" s="341"/>
      <c r="N549" s="339"/>
      <c r="O549" s="339"/>
      <c r="P549" s="341"/>
      <c r="Q549" s="339"/>
      <c r="R549" s="339"/>
      <c r="S549" s="341"/>
      <c r="T549" s="339"/>
      <c r="U549" s="339"/>
    </row>
    <row r="550" spans="1:21" ht="15.75" customHeight="1">
      <c r="A550" s="339"/>
      <c r="B550" s="339"/>
      <c r="C550" s="339"/>
      <c r="D550" s="339"/>
      <c r="E550" s="339"/>
      <c r="F550" s="339"/>
      <c r="G550" s="339"/>
      <c r="H550" s="339"/>
      <c r="I550" s="339"/>
      <c r="J550" s="341"/>
      <c r="K550" s="339"/>
      <c r="L550" s="339"/>
      <c r="M550" s="341"/>
      <c r="N550" s="339"/>
      <c r="O550" s="339"/>
      <c r="P550" s="341"/>
      <c r="Q550" s="339"/>
      <c r="R550" s="339"/>
      <c r="S550" s="341"/>
      <c r="T550" s="339"/>
      <c r="U550" s="339"/>
    </row>
    <row r="551" spans="1:21" ht="15.75" customHeight="1">
      <c r="A551" s="339"/>
      <c r="B551" s="339"/>
      <c r="C551" s="339"/>
      <c r="D551" s="339"/>
      <c r="E551" s="339"/>
      <c r="F551" s="339"/>
      <c r="G551" s="339"/>
      <c r="H551" s="339"/>
      <c r="I551" s="339"/>
      <c r="J551" s="341"/>
      <c r="K551" s="339"/>
      <c r="L551" s="339"/>
      <c r="M551" s="341"/>
      <c r="N551" s="339"/>
      <c r="O551" s="339"/>
      <c r="P551" s="341"/>
      <c r="Q551" s="339"/>
      <c r="R551" s="339"/>
      <c r="S551" s="341"/>
      <c r="T551" s="339"/>
      <c r="U551" s="339"/>
    </row>
    <row r="552" spans="1:21" ht="15.75" customHeight="1">
      <c r="A552" s="339"/>
      <c r="B552" s="339"/>
      <c r="C552" s="339"/>
      <c r="D552" s="339"/>
      <c r="E552" s="339"/>
      <c r="F552" s="339"/>
      <c r="G552" s="339"/>
      <c r="H552" s="339"/>
      <c r="I552" s="339"/>
      <c r="J552" s="341"/>
      <c r="K552" s="339"/>
      <c r="L552" s="339"/>
      <c r="M552" s="341"/>
      <c r="N552" s="339"/>
      <c r="O552" s="339"/>
      <c r="P552" s="341"/>
      <c r="Q552" s="339"/>
      <c r="R552" s="339"/>
      <c r="S552" s="341"/>
      <c r="T552" s="339"/>
      <c r="U552" s="339"/>
    </row>
    <row r="553" spans="1:21" ht="15.75" customHeight="1">
      <c r="A553" s="339"/>
      <c r="B553" s="339"/>
      <c r="C553" s="339"/>
      <c r="D553" s="339"/>
      <c r="E553" s="339"/>
      <c r="F553" s="339"/>
      <c r="G553" s="339"/>
      <c r="H553" s="339"/>
      <c r="I553" s="339"/>
      <c r="J553" s="341"/>
      <c r="K553" s="339"/>
      <c r="L553" s="339"/>
      <c r="M553" s="341"/>
      <c r="N553" s="339"/>
      <c r="O553" s="339"/>
      <c r="P553" s="341"/>
      <c r="Q553" s="339"/>
      <c r="R553" s="339"/>
      <c r="S553" s="341"/>
      <c r="T553" s="339"/>
      <c r="U553" s="339"/>
    </row>
    <row r="554" spans="1:21" ht="15.75" customHeight="1">
      <c r="A554" s="339"/>
      <c r="B554" s="339"/>
      <c r="C554" s="339"/>
      <c r="D554" s="339"/>
      <c r="E554" s="339"/>
      <c r="F554" s="339"/>
      <c r="G554" s="339"/>
      <c r="H554" s="339"/>
      <c r="I554" s="339"/>
      <c r="J554" s="341"/>
      <c r="K554" s="339"/>
      <c r="L554" s="339"/>
      <c r="M554" s="341"/>
      <c r="N554" s="339"/>
      <c r="O554" s="339"/>
      <c r="P554" s="341"/>
      <c r="Q554" s="339"/>
      <c r="R554" s="339"/>
      <c r="S554" s="341"/>
      <c r="T554" s="339"/>
      <c r="U554" s="339"/>
    </row>
    <row r="555" spans="1:21" ht="15.75" customHeight="1">
      <c r="A555" s="339"/>
      <c r="B555" s="339"/>
      <c r="C555" s="339"/>
      <c r="D555" s="339"/>
      <c r="E555" s="339"/>
      <c r="F555" s="339"/>
      <c r="G555" s="339"/>
      <c r="H555" s="339"/>
      <c r="I555" s="339"/>
      <c r="J555" s="341"/>
      <c r="K555" s="339"/>
      <c r="L555" s="339"/>
      <c r="M555" s="341"/>
      <c r="N555" s="339"/>
      <c r="O555" s="339"/>
      <c r="P555" s="341"/>
      <c r="Q555" s="339"/>
      <c r="R555" s="339"/>
      <c r="S555" s="341"/>
      <c r="T555" s="339"/>
      <c r="U555" s="339"/>
    </row>
    <row r="556" spans="1:21" ht="15.75" customHeight="1">
      <c r="A556" s="339"/>
      <c r="B556" s="339"/>
      <c r="C556" s="339"/>
      <c r="D556" s="339"/>
      <c r="E556" s="339"/>
      <c r="F556" s="339"/>
      <c r="G556" s="339"/>
      <c r="H556" s="339"/>
      <c r="I556" s="339"/>
      <c r="J556" s="341"/>
      <c r="K556" s="339"/>
      <c r="L556" s="339"/>
      <c r="M556" s="341"/>
      <c r="N556" s="339"/>
      <c r="O556" s="339"/>
      <c r="P556" s="341"/>
      <c r="Q556" s="339"/>
      <c r="R556" s="339"/>
      <c r="S556" s="341"/>
      <c r="T556" s="339"/>
      <c r="U556" s="339"/>
    </row>
    <row r="557" spans="1:21" ht="15.75" customHeight="1">
      <c r="A557" s="339"/>
      <c r="B557" s="339"/>
      <c r="C557" s="339"/>
      <c r="D557" s="339"/>
      <c r="E557" s="339"/>
      <c r="F557" s="339"/>
      <c r="G557" s="339"/>
      <c r="H557" s="339"/>
      <c r="I557" s="339"/>
      <c r="J557" s="341"/>
      <c r="K557" s="339"/>
      <c r="L557" s="339"/>
      <c r="M557" s="341"/>
      <c r="N557" s="339"/>
      <c r="O557" s="339"/>
      <c r="P557" s="341"/>
      <c r="Q557" s="339"/>
      <c r="R557" s="339"/>
      <c r="S557" s="341"/>
      <c r="T557" s="339"/>
      <c r="U557" s="339"/>
    </row>
    <row r="558" spans="1:21" ht="15.75" customHeight="1">
      <c r="A558" s="339"/>
      <c r="B558" s="339"/>
      <c r="C558" s="339"/>
      <c r="D558" s="339"/>
      <c r="E558" s="339"/>
      <c r="F558" s="339"/>
      <c r="G558" s="339"/>
      <c r="H558" s="339"/>
      <c r="I558" s="339"/>
      <c r="J558" s="341"/>
      <c r="K558" s="339"/>
      <c r="L558" s="339"/>
      <c r="M558" s="341"/>
      <c r="N558" s="339"/>
      <c r="O558" s="339"/>
      <c r="P558" s="341"/>
      <c r="Q558" s="339"/>
      <c r="R558" s="339"/>
      <c r="S558" s="341"/>
      <c r="T558" s="339"/>
      <c r="U558" s="339"/>
    </row>
    <row r="559" spans="1:21" ht="15.75" customHeight="1">
      <c r="A559" s="339"/>
      <c r="B559" s="339"/>
      <c r="C559" s="339"/>
      <c r="D559" s="339"/>
      <c r="E559" s="339"/>
      <c r="F559" s="339"/>
      <c r="G559" s="339"/>
      <c r="H559" s="339"/>
      <c r="I559" s="339"/>
      <c r="J559" s="341"/>
      <c r="K559" s="339"/>
      <c r="L559" s="339"/>
      <c r="M559" s="341"/>
      <c r="N559" s="339"/>
      <c r="O559" s="339"/>
      <c r="P559" s="341"/>
      <c r="Q559" s="339"/>
      <c r="R559" s="339"/>
      <c r="S559" s="341"/>
      <c r="T559" s="339"/>
      <c r="U559" s="339"/>
    </row>
    <row r="560" spans="1:21" ht="15.75" customHeight="1">
      <c r="A560" s="339"/>
      <c r="B560" s="339"/>
      <c r="C560" s="339"/>
      <c r="D560" s="339"/>
      <c r="E560" s="339"/>
      <c r="F560" s="339"/>
      <c r="G560" s="339"/>
      <c r="H560" s="339"/>
      <c r="I560" s="339"/>
      <c r="J560" s="341"/>
      <c r="K560" s="339"/>
      <c r="L560" s="339"/>
      <c r="M560" s="341"/>
      <c r="N560" s="339"/>
      <c r="O560" s="339"/>
      <c r="P560" s="341"/>
      <c r="Q560" s="339"/>
      <c r="R560" s="339"/>
      <c r="S560" s="341"/>
      <c r="T560" s="339"/>
      <c r="U560" s="339"/>
    </row>
    <row r="561" spans="1:21" ht="15.75" customHeight="1">
      <c r="A561" s="339"/>
      <c r="B561" s="339"/>
      <c r="C561" s="339"/>
      <c r="D561" s="339"/>
      <c r="E561" s="339"/>
      <c r="F561" s="339"/>
      <c r="G561" s="339"/>
      <c r="H561" s="339"/>
      <c r="I561" s="339"/>
      <c r="J561" s="341"/>
      <c r="K561" s="339"/>
      <c r="L561" s="339"/>
      <c r="M561" s="341"/>
      <c r="N561" s="339"/>
      <c r="O561" s="339"/>
      <c r="P561" s="341"/>
      <c r="Q561" s="339"/>
      <c r="R561" s="339"/>
      <c r="S561" s="341"/>
      <c r="T561" s="339"/>
      <c r="U561" s="339"/>
    </row>
    <row r="562" spans="1:21" ht="15.75" customHeight="1">
      <c r="A562" s="339"/>
      <c r="B562" s="339"/>
      <c r="C562" s="339"/>
      <c r="D562" s="339"/>
      <c r="E562" s="339"/>
      <c r="F562" s="339"/>
      <c r="G562" s="339"/>
      <c r="H562" s="339"/>
      <c r="I562" s="339"/>
      <c r="J562" s="341"/>
      <c r="K562" s="339"/>
      <c r="L562" s="339"/>
      <c r="M562" s="341"/>
      <c r="N562" s="339"/>
      <c r="O562" s="339"/>
      <c r="P562" s="341"/>
      <c r="Q562" s="339"/>
      <c r="R562" s="339"/>
      <c r="S562" s="341"/>
      <c r="T562" s="339"/>
      <c r="U562" s="339"/>
    </row>
    <row r="563" spans="1:21" ht="15.75" customHeight="1">
      <c r="A563" s="339"/>
      <c r="B563" s="339"/>
      <c r="C563" s="339"/>
      <c r="D563" s="339"/>
      <c r="E563" s="339"/>
      <c r="F563" s="339"/>
      <c r="G563" s="339"/>
      <c r="H563" s="339"/>
      <c r="I563" s="339"/>
      <c r="J563" s="341"/>
      <c r="K563" s="339"/>
      <c r="L563" s="339"/>
      <c r="M563" s="341"/>
      <c r="N563" s="339"/>
      <c r="O563" s="339"/>
      <c r="P563" s="341"/>
      <c r="Q563" s="339"/>
      <c r="R563" s="339"/>
      <c r="S563" s="341"/>
      <c r="T563" s="339"/>
      <c r="U563" s="339"/>
    </row>
    <row r="564" spans="1:21" ht="15.75" customHeight="1">
      <c r="A564" s="339"/>
      <c r="B564" s="339"/>
      <c r="C564" s="339"/>
      <c r="D564" s="339"/>
      <c r="E564" s="339"/>
      <c r="F564" s="339"/>
      <c r="G564" s="339"/>
      <c r="H564" s="339"/>
      <c r="I564" s="339"/>
      <c r="J564" s="341"/>
      <c r="K564" s="339"/>
      <c r="L564" s="339"/>
      <c r="M564" s="341"/>
      <c r="N564" s="339"/>
      <c r="O564" s="339"/>
      <c r="P564" s="341"/>
      <c r="Q564" s="339"/>
      <c r="R564" s="339"/>
      <c r="S564" s="341"/>
      <c r="T564" s="339"/>
      <c r="U564" s="339"/>
    </row>
    <row r="565" spans="1:21" ht="15.75" customHeight="1">
      <c r="A565" s="339"/>
      <c r="B565" s="339"/>
      <c r="C565" s="339"/>
      <c r="D565" s="339"/>
      <c r="E565" s="339"/>
      <c r="F565" s="339"/>
      <c r="G565" s="339"/>
      <c r="H565" s="339"/>
      <c r="I565" s="339"/>
      <c r="J565" s="341"/>
      <c r="K565" s="339"/>
      <c r="L565" s="339"/>
      <c r="M565" s="341"/>
      <c r="N565" s="339"/>
      <c r="O565" s="339"/>
      <c r="P565" s="341"/>
      <c r="Q565" s="339"/>
      <c r="R565" s="339"/>
      <c r="S565" s="341"/>
      <c r="T565" s="339"/>
      <c r="U565" s="339"/>
    </row>
    <row r="566" spans="1:21" ht="15.75" customHeight="1">
      <c r="A566" s="339"/>
      <c r="B566" s="339"/>
      <c r="C566" s="339"/>
      <c r="D566" s="339"/>
      <c r="E566" s="339"/>
      <c r="F566" s="339"/>
      <c r="G566" s="339"/>
      <c r="H566" s="339"/>
      <c r="I566" s="339"/>
      <c r="J566" s="341"/>
      <c r="K566" s="339"/>
      <c r="L566" s="339"/>
      <c r="M566" s="341"/>
      <c r="N566" s="339"/>
      <c r="O566" s="339"/>
      <c r="P566" s="341"/>
      <c r="Q566" s="339"/>
      <c r="R566" s="339"/>
      <c r="S566" s="341"/>
      <c r="T566" s="339"/>
      <c r="U566" s="339"/>
    </row>
    <row r="567" spans="1:21" ht="15.75" customHeight="1">
      <c r="A567" s="339"/>
      <c r="B567" s="339"/>
      <c r="C567" s="339"/>
      <c r="D567" s="339"/>
      <c r="E567" s="339"/>
      <c r="F567" s="339"/>
      <c r="G567" s="339"/>
      <c r="H567" s="339"/>
      <c r="I567" s="339"/>
      <c r="J567" s="341"/>
      <c r="K567" s="339"/>
      <c r="L567" s="339"/>
      <c r="M567" s="341"/>
      <c r="N567" s="339"/>
      <c r="O567" s="339"/>
      <c r="P567" s="341"/>
      <c r="Q567" s="339"/>
      <c r="R567" s="339"/>
      <c r="S567" s="341"/>
      <c r="T567" s="339"/>
      <c r="U567" s="339"/>
    </row>
    <row r="568" spans="1:21" ht="15.75" customHeight="1">
      <c r="A568" s="339"/>
      <c r="B568" s="339"/>
      <c r="C568" s="339"/>
      <c r="D568" s="339"/>
      <c r="E568" s="339"/>
      <c r="F568" s="339"/>
      <c r="G568" s="339"/>
      <c r="H568" s="339"/>
      <c r="I568" s="339"/>
      <c r="J568" s="341"/>
      <c r="K568" s="339"/>
      <c r="L568" s="339"/>
      <c r="M568" s="341"/>
      <c r="N568" s="339"/>
      <c r="O568" s="339"/>
      <c r="P568" s="341"/>
      <c r="Q568" s="339"/>
      <c r="R568" s="339"/>
      <c r="S568" s="341"/>
      <c r="T568" s="339"/>
      <c r="U568" s="339"/>
    </row>
    <row r="569" spans="1:21" ht="15.75" customHeight="1">
      <c r="A569" s="339"/>
      <c r="B569" s="339"/>
      <c r="C569" s="339"/>
      <c r="D569" s="339"/>
      <c r="E569" s="339"/>
      <c r="F569" s="339"/>
      <c r="G569" s="339"/>
      <c r="H569" s="339"/>
      <c r="I569" s="339"/>
      <c r="J569" s="341"/>
      <c r="K569" s="339"/>
      <c r="L569" s="339"/>
      <c r="M569" s="341"/>
      <c r="N569" s="339"/>
      <c r="O569" s="339"/>
      <c r="P569" s="341"/>
      <c r="Q569" s="339"/>
      <c r="R569" s="339"/>
      <c r="S569" s="341"/>
      <c r="T569" s="339"/>
      <c r="U569" s="339"/>
    </row>
    <row r="570" spans="1:21" ht="15.75" customHeight="1">
      <c r="A570" s="339"/>
      <c r="B570" s="339"/>
      <c r="C570" s="339"/>
      <c r="D570" s="339"/>
      <c r="E570" s="339"/>
      <c r="F570" s="339"/>
      <c r="G570" s="339"/>
      <c r="H570" s="339"/>
      <c r="I570" s="339"/>
      <c r="J570" s="341"/>
      <c r="K570" s="339"/>
      <c r="L570" s="339"/>
      <c r="M570" s="341"/>
      <c r="N570" s="339"/>
      <c r="O570" s="339"/>
      <c r="P570" s="341"/>
      <c r="Q570" s="339"/>
      <c r="R570" s="339"/>
      <c r="S570" s="341"/>
      <c r="T570" s="339"/>
      <c r="U570" s="339"/>
    </row>
    <row r="571" spans="1:21" ht="15.75" customHeight="1">
      <c r="A571" s="339"/>
      <c r="B571" s="339"/>
      <c r="C571" s="339"/>
      <c r="D571" s="339"/>
      <c r="E571" s="339"/>
      <c r="F571" s="339"/>
      <c r="G571" s="339"/>
      <c r="H571" s="339"/>
      <c r="I571" s="339"/>
      <c r="J571" s="341"/>
      <c r="K571" s="339"/>
      <c r="L571" s="339"/>
      <c r="M571" s="341"/>
      <c r="N571" s="339"/>
      <c r="O571" s="339"/>
      <c r="P571" s="341"/>
      <c r="Q571" s="339"/>
      <c r="R571" s="339"/>
      <c r="S571" s="341"/>
      <c r="T571" s="339"/>
      <c r="U571" s="339"/>
    </row>
    <row r="572" spans="1:21" ht="15.75" customHeight="1">
      <c r="A572" s="339"/>
      <c r="B572" s="339"/>
      <c r="C572" s="339"/>
      <c r="D572" s="339"/>
      <c r="E572" s="339"/>
      <c r="F572" s="339"/>
      <c r="G572" s="339"/>
      <c r="H572" s="339"/>
      <c r="I572" s="339"/>
      <c r="J572" s="341"/>
      <c r="K572" s="339"/>
      <c r="L572" s="339"/>
      <c r="M572" s="341"/>
      <c r="N572" s="339"/>
      <c r="O572" s="339"/>
      <c r="P572" s="341"/>
      <c r="Q572" s="339"/>
      <c r="R572" s="339"/>
      <c r="S572" s="341"/>
      <c r="T572" s="339"/>
      <c r="U572" s="339"/>
    </row>
    <row r="573" spans="1:21" ht="15.75" customHeight="1">
      <c r="A573" s="339"/>
      <c r="B573" s="339"/>
      <c r="C573" s="339"/>
      <c r="D573" s="339"/>
      <c r="E573" s="339"/>
      <c r="F573" s="339"/>
      <c r="G573" s="339"/>
      <c r="H573" s="339"/>
      <c r="I573" s="339"/>
      <c r="J573" s="341"/>
      <c r="K573" s="339"/>
      <c r="L573" s="339"/>
      <c r="M573" s="341"/>
      <c r="N573" s="339"/>
      <c r="O573" s="339"/>
      <c r="P573" s="341"/>
      <c r="Q573" s="339"/>
      <c r="R573" s="339"/>
      <c r="S573" s="341"/>
      <c r="T573" s="339"/>
      <c r="U573" s="339"/>
    </row>
    <row r="574" spans="1:21" ht="15.75" customHeight="1">
      <c r="A574" s="339"/>
      <c r="B574" s="339"/>
      <c r="C574" s="339"/>
      <c r="D574" s="339"/>
      <c r="E574" s="339"/>
      <c r="F574" s="339"/>
      <c r="G574" s="339"/>
      <c r="H574" s="339"/>
      <c r="I574" s="339"/>
      <c r="J574" s="341"/>
      <c r="K574" s="339"/>
      <c r="L574" s="339"/>
      <c r="M574" s="341"/>
      <c r="N574" s="339"/>
      <c r="O574" s="339"/>
      <c r="P574" s="341"/>
      <c r="Q574" s="339"/>
      <c r="R574" s="339"/>
      <c r="S574" s="341"/>
      <c r="T574" s="339"/>
      <c r="U574" s="339"/>
    </row>
    <row r="575" spans="1:21" ht="15.75" customHeight="1">
      <c r="A575" s="339"/>
      <c r="B575" s="339"/>
      <c r="C575" s="339"/>
      <c r="D575" s="339"/>
      <c r="E575" s="339"/>
      <c r="F575" s="339"/>
      <c r="G575" s="339"/>
      <c r="H575" s="339"/>
      <c r="I575" s="339"/>
      <c r="J575" s="341"/>
      <c r="K575" s="339"/>
      <c r="L575" s="339"/>
      <c r="M575" s="341"/>
      <c r="N575" s="339"/>
      <c r="O575" s="339"/>
      <c r="P575" s="341"/>
      <c r="Q575" s="339"/>
      <c r="R575" s="339"/>
      <c r="S575" s="341"/>
      <c r="T575" s="339"/>
      <c r="U575" s="339"/>
    </row>
    <row r="576" spans="1:21" ht="15.75" customHeight="1">
      <c r="A576" s="339"/>
      <c r="B576" s="339"/>
      <c r="C576" s="339"/>
      <c r="D576" s="339"/>
      <c r="E576" s="339"/>
      <c r="F576" s="339"/>
      <c r="G576" s="339"/>
      <c r="H576" s="339"/>
      <c r="I576" s="339"/>
      <c r="J576" s="341"/>
      <c r="K576" s="339"/>
      <c r="L576" s="339"/>
      <c r="M576" s="341"/>
      <c r="N576" s="339"/>
      <c r="O576" s="339"/>
      <c r="P576" s="341"/>
      <c r="Q576" s="339"/>
      <c r="R576" s="339"/>
      <c r="S576" s="341"/>
      <c r="T576" s="339"/>
      <c r="U576" s="339"/>
    </row>
    <row r="577" spans="1:21" ht="15.75" customHeight="1">
      <c r="A577" s="339"/>
      <c r="B577" s="339"/>
      <c r="C577" s="339"/>
      <c r="D577" s="339"/>
      <c r="E577" s="339"/>
      <c r="F577" s="339"/>
      <c r="G577" s="339"/>
      <c r="H577" s="339"/>
      <c r="I577" s="339"/>
      <c r="J577" s="341"/>
      <c r="K577" s="339"/>
      <c r="L577" s="339"/>
      <c r="M577" s="341"/>
      <c r="N577" s="339"/>
      <c r="O577" s="339"/>
      <c r="P577" s="341"/>
      <c r="Q577" s="339"/>
      <c r="R577" s="339"/>
      <c r="S577" s="341"/>
      <c r="T577" s="339"/>
      <c r="U577" s="339"/>
    </row>
    <row r="578" spans="1:21" ht="15.75" customHeight="1">
      <c r="A578" s="339"/>
      <c r="B578" s="339"/>
      <c r="C578" s="339"/>
      <c r="D578" s="339"/>
      <c r="E578" s="339"/>
      <c r="F578" s="339"/>
      <c r="G578" s="339"/>
      <c r="H578" s="339"/>
      <c r="I578" s="339"/>
      <c r="J578" s="341"/>
      <c r="K578" s="339"/>
      <c r="L578" s="339"/>
      <c r="M578" s="341"/>
      <c r="N578" s="339"/>
      <c r="O578" s="339"/>
      <c r="P578" s="341"/>
      <c r="Q578" s="339"/>
      <c r="R578" s="339"/>
      <c r="S578" s="341"/>
      <c r="T578" s="339"/>
      <c r="U578" s="339"/>
    </row>
    <row r="579" spans="1:21" ht="15.75" customHeight="1">
      <c r="A579" s="339"/>
      <c r="B579" s="339"/>
      <c r="C579" s="339"/>
      <c r="D579" s="339"/>
      <c r="E579" s="339"/>
      <c r="F579" s="339"/>
      <c r="G579" s="339"/>
      <c r="H579" s="339"/>
      <c r="I579" s="339"/>
      <c r="J579" s="341"/>
      <c r="K579" s="339"/>
      <c r="L579" s="339"/>
      <c r="M579" s="341"/>
      <c r="N579" s="339"/>
      <c r="O579" s="339"/>
      <c r="P579" s="341"/>
      <c r="Q579" s="339"/>
      <c r="R579" s="339"/>
      <c r="S579" s="341"/>
      <c r="T579" s="339"/>
      <c r="U579" s="339"/>
    </row>
    <row r="580" spans="1:21" ht="15.75" customHeight="1">
      <c r="A580" s="339"/>
      <c r="B580" s="339"/>
      <c r="C580" s="339"/>
      <c r="D580" s="339"/>
      <c r="E580" s="339"/>
      <c r="F580" s="339"/>
      <c r="G580" s="339"/>
      <c r="H580" s="339"/>
      <c r="I580" s="339"/>
      <c r="J580" s="341"/>
      <c r="K580" s="339"/>
      <c r="L580" s="339"/>
      <c r="M580" s="341"/>
      <c r="N580" s="339"/>
      <c r="O580" s="339"/>
      <c r="P580" s="341"/>
      <c r="Q580" s="339"/>
      <c r="R580" s="339"/>
      <c r="S580" s="341"/>
      <c r="T580" s="339"/>
      <c r="U580" s="339"/>
    </row>
    <row r="581" spans="1:21" ht="15.75" customHeight="1">
      <c r="A581" s="339"/>
      <c r="B581" s="339"/>
      <c r="C581" s="339"/>
      <c r="D581" s="339"/>
      <c r="E581" s="339"/>
      <c r="F581" s="339"/>
      <c r="G581" s="339"/>
      <c r="H581" s="339"/>
      <c r="I581" s="339"/>
      <c r="J581" s="341"/>
      <c r="K581" s="339"/>
      <c r="L581" s="339"/>
      <c r="M581" s="341"/>
      <c r="N581" s="339"/>
      <c r="O581" s="339"/>
      <c r="P581" s="341"/>
      <c r="Q581" s="339"/>
      <c r="R581" s="339"/>
      <c r="S581" s="341"/>
      <c r="T581" s="339"/>
      <c r="U581" s="339"/>
    </row>
    <row r="582" spans="1:21" ht="15.75" customHeight="1">
      <c r="A582" s="339"/>
      <c r="B582" s="339"/>
      <c r="C582" s="339"/>
      <c r="D582" s="339"/>
      <c r="E582" s="339"/>
      <c r="F582" s="339"/>
      <c r="G582" s="339"/>
      <c r="H582" s="339"/>
      <c r="I582" s="339"/>
      <c r="J582" s="341"/>
      <c r="K582" s="339"/>
      <c r="L582" s="339"/>
      <c r="M582" s="341"/>
      <c r="N582" s="339"/>
      <c r="O582" s="339"/>
      <c r="P582" s="341"/>
      <c r="Q582" s="339"/>
      <c r="R582" s="339"/>
      <c r="S582" s="341"/>
      <c r="T582" s="339"/>
      <c r="U582" s="339"/>
    </row>
    <row r="583" spans="1:21" ht="15.75" customHeight="1">
      <c r="A583" s="339"/>
      <c r="B583" s="339"/>
      <c r="C583" s="339"/>
      <c r="D583" s="339"/>
      <c r="E583" s="339"/>
      <c r="F583" s="339"/>
      <c r="G583" s="339"/>
      <c r="H583" s="339"/>
      <c r="I583" s="339"/>
      <c r="J583" s="341"/>
      <c r="K583" s="339"/>
      <c r="L583" s="339"/>
      <c r="M583" s="341"/>
      <c r="N583" s="339"/>
      <c r="O583" s="339"/>
      <c r="P583" s="341"/>
      <c r="Q583" s="339"/>
      <c r="R583" s="339"/>
      <c r="S583" s="341"/>
      <c r="T583" s="339"/>
      <c r="U583" s="339"/>
    </row>
    <row r="584" spans="1:21" ht="15.75" customHeight="1">
      <c r="A584" s="339"/>
      <c r="B584" s="339"/>
      <c r="C584" s="339"/>
      <c r="D584" s="339"/>
      <c r="E584" s="339"/>
      <c r="F584" s="339"/>
      <c r="G584" s="339"/>
      <c r="H584" s="339"/>
      <c r="I584" s="339"/>
      <c r="J584" s="341"/>
      <c r="K584" s="339"/>
      <c r="L584" s="339"/>
      <c r="M584" s="341"/>
      <c r="N584" s="339"/>
      <c r="O584" s="339"/>
      <c r="P584" s="341"/>
      <c r="Q584" s="339"/>
      <c r="R584" s="339"/>
      <c r="S584" s="341"/>
      <c r="T584" s="339"/>
      <c r="U584" s="339"/>
    </row>
    <row r="585" spans="1:21" ht="15.75" customHeight="1">
      <c r="A585" s="339"/>
      <c r="B585" s="339"/>
      <c r="C585" s="339"/>
      <c r="D585" s="339"/>
      <c r="E585" s="339"/>
      <c r="F585" s="339"/>
      <c r="G585" s="339"/>
      <c r="H585" s="339"/>
      <c r="I585" s="339"/>
      <c r="J585" s="341"/>
      <c r="K585" s="339"/>
      <c r="L585" s="339"/>
      <c r="M585" s="341"/>
      <c r="N585" s="339"/>
      <c r="O585" s="339"/>
      <c r="P585" s="341"/>
      <c r="Q585" s="339"/>
      <c r="R585" s="339"/>
      <c r="S585" s="341"/>
      <c r="T585" s="339"/>
      <c r="U585" s="339"/>
    </row>
    <row r="586" spans="1:21" ht="15.75" customHeight="1">
      <c r="A586" s="339"/>
      <c r="B586" s="339"/>
      <c r="C586" s="339"/>
      <c r="D586" s="339"/>
      <c r="E586" s="339"/>
      <c r="F586" s="339"/>
      <c r="G586" s="339"/>
      <c r="H586" s="339"/>
      <c r="I586" s="339"/>
      <c r="J586" s="341"/>
      <c r="K586" s="339"/>
      <c r="L586" s="339"/>
      <c r="M586" s="341"/>
      <c r="N586" s="339"/>
      <c r="O586" s="339"/>
      <c r="P586" s="341"/>
      <c r="Q586" s="339"/>
      <c r="R586" s="339"/>
      <c r="S586" s="341"/>
      <c r="T586" s="339"/>
      <c r="U586" s="339"/>
    </row>
    <row r="587" spans="1:21" ht="15.75" customHeight="1">
      <c r="A587" s="339"/>
      <c r="B587" s="339"/>
      <c r="C587" s="339"/>
      <c r="D587" s="339"/>
      <c r="E587" s="339"/>
      <c r="F587" s="339"/>
      <c r="G587" s="339"/>
      <c r="H587" s="339"/>
      <c r="I587" s="339"/>
      <c r="J587" s="341"/>
      <c r="K587" s="339"/>
      <c r="L587" s="339"/>
      <c r="M587" s="341"/>
      <c r="N587" s="339"/>
      <c r="O587" s="339"/>
      <c r="P587" s="341"/>
      <c r="Q587" s="339"/>
      <c r="R587" s="339"/>
      <c r="S587" s="341"/>
      <c r="T587" s="339"/>
      <c r="U587" s="339"/>
    </row>
    <row r="588" spans="1:21" ht="15.75" customHeight="1">
      <c r="A588" s="339"/>
      <c r="B588" s="339"/>
      <c r="C588" s="339"/>
      <c r="D588" s="339"/>
      <c r="E588" s="339"/>
      <c r="F588" s="339"/>
      <c r="G588" s="339"/>
      <c r="H588" s="339"/>
      <c r="I588" s="339"/>
      <c r="J588" s="341"/>
      <c r="K588" s="339"/>
      <c r="L588" s="339"/>
      <c r="M588" s="341"/>
      <c r="N588" s="339"/>
      <c r="O588" s="339"/>
      <c r="P588" s="341"/>
      <c r="Q588" s="339"/>
      <c r="R588" s="339"/>
      <c r="S588" s="341"/>
      <c r="T588" s="339"/>
      <c r="U588" s="339"/>
    </row>
    <row r="589" spans="1:21" ht="15.75" customHeight="1">
      <c r="A589" s="339"/>
      <c r="B589" s="339"/>
      <c r="C589" s="339"/>
      <c r="D589" s="339"/>
      <c r="E589" s="339"/>
      <c r="F589" s="339"/>
      <c r="G589" s="339"/>
      <c r="H589" s="339"/>
      <c r="I589" s="339"/>
      <c r="J589" s="341"/>
      <c r="K589" s="339"/>
      <c r="L589" s="339"/>
      <c r="M589" s="341"/>
      <c r="N589" s="339"/>
      <c r="O589" s="339"/>
      <c r="P589" s="341"/>
      <c r="Q589" s="339"/>
      <c r="R589" s="339"/>
      <c r="S589" s="341"/>
      <c r="T589" s="339"/>
      <c r="U589" s="339"/>
    </row>
    <row r="590" spans="1:21" ht="15.75" customHeight="1">
      <c r="A590" s="339"/>
      <c r="B590" s="339"/>
      <c r="C590" s="339"/>
      <c r="D590" s="339"/>
      <c r="E590" s="339"/>
      <c r="F590" s="339"/>
      <c r="G590" s="339"/>
      <c r="H590" s="339"/>
      <c r="I590" s="339"/>
      <c r="J590" s="341"/>
      <c r="K590" s="339"/>
      <c r="L590" s="339"/>
      <c r="M590" s="341"/>
      <c r="N590" s="339"/>
      <c r="O590" s="339"/>
      <c r="P590" s="341"/>
      <c r="Q590" s="339"/>
      <c r="R590" s="339"/>
      <c r="S590" s="341"/>
      <c r="T590" s="339"/>
      <c r="U590" s="339"/>
    </row>
    <row r="591" spans="1:21" ht="15.75" customHeight="1">
      <c r="A591" s="339"/>
      <c r="B591" s="339"/>
      <c r="C591" s="339"/>
      <c r="D591" s="339"/>
      <c r="E591" s="339"/>
      <c r="F591" s="339"/>
      <c r="G591" s="339"/>
      <c r="H591" s="339"/>
      <c r="I591" s="339"/>
      <c r="J591" s="341"/>
      <c r="K591" s="339"/>
      <c r="L591" s="339"/>
      <c r="M591" s="341"/>
      <c r="N591" s="339"/>
      <c r="O591" s="339"/>
      <c r="P591" s="341"/>
      <c r="Q591" s="339"/>
      <c r="R591" s="339"/>
      <c r="S591" s="341"/>
      <c r="T591" s="339"/>
      <c r="U591" s="339"/>
    </row>
    <row r="592" spans="1:21" ht="15.75" customHeight="1">
      <c r="A592" s="339"/>
      <c r="B592" s="339"/>
      <c r="C592" s="339"/>
      <c r="D592" s="339"/>
      <c r="E592" s="339"/>
      <c r="F592" s="339"/>
      <c r="G592" s="339"/>
      <c r="H592" s="339"/>
      <c r="I592" s="339"/>
      <c r="J592" s="341"/>
      <c r="K592" s="339"/>
      <c r="L592" s="339"/>
      <c r="M592" s="341"/>
      <c r="N592" s="339"/>
      <c r="O592" s="339"/>
      <c r="P592" s="341"/>
      <c r="Q592" s="339"/>
      <c r="R592" s="339"/>
      <c r="S592" s="341"/>
      <c r="T592" s="339"/>
      <c r="U592" s="339"/>
    </row>
    <row r="593" spans="1:21" ht="15.75" customHeight="1">
      <c r="A593" s="339"/>
      <c r="B593" s="339"/>
      <c r="C593" s="339"/>
      <c r="D593" s="339"/>
      <c r="E593" s="339"/>
      <c r="F593" s="339"/>
      <c r="G593" s="339"/>
      <c r="H593" s="339"/>
      <c r="I593" s="339"/>
      <c r="J593" s="341"/>
      <c r="K593" s="339"/>
      <c r="L593" s="339"/>
      <c r="M593" s="341"/>
      <c r="N593" s="339"/>
      <c r="O593" s="339"/>
      <c r="P593" s="341"/>
      <c r="Q593" s="339"/>
      <c r="R593" s="339"/>
      <c r="S593" s="341"/>
      <c r="T593" s="339"/>
      <c r="U593" s="339"/>
    </row>
    <row r="594" spans="1:21" ht="15.75" customHeight="1">
      <c r="A594" s="339"/>
      <c r="B594" s="339"/>
      <c r="C594" s="339"/>
      <c r="D594" s="339"/>
      <c r="E594" s="339"/>
      <c r="F594" s="339"/>
      <c r="G594" s="339"/>
      <c r="H594" s="339"/>
      <c r="I594" s="339"/>
      <c r="J594" s="341"/>
      <c r="K594" s="339"/>
      <c r="L594" s="339"/>
      <c r="M594" s="341"/>
      <c r="N594" s="339"/>
      <c r="O594" s="339"/>
      <c r="P594" s="341"/>
      <c r="Q594" s="339"/>
      <c r="R594" s="339"/>
      <c r="S594" s="341"/>
      <c r="T594" s="339"/>
      <c r="U594" s="339"/>
    </row>
    <row r="595" spans="1:21" ht="15.75" customHeight="1">
      <c r="A595" s="339"/>
      <c r="B595" s="339"/>
      <c r="C595" s="339"/>
      <c r="D595" s="339"/>
      <c r="E595" s="339"/>
      <c r="F595" s="339"/>
      <c r="G595" s="339"/>
      <c r="H595" s="339"/>
      <c r="I595" s="339"/>
      <c r="J595" s="341"/>
      <c r="K595" s="339"/>
      <c r="L595" s="339"/>
      <c r="M595" s="341"/>
      <c r="N595" s="339"/>
      <c r="O595" s="339"/>
      <c r="P595" s="341"/>
      <c r="Q595" s="339"/>
      <c r="R595" s="339"/>
      <c r="S595" s="341"/>
      <c r="T595" s="339"/>
      <c r="U595" s="339"/>
    </row>
    <row r="596" spans="1:21" ht="15.75" customHeight="1">
      <c r="A596" s="339"/>
      <c r="B596" s="339"/>
      <c r="C596" s="339"/>
      <c r="D596" s="339"/>
      <c r="E596" s="339"/>
      <c r="F596" s="339"/>
      <c r="G596" s="339"/>
      <c r="H596" s="339"/>
      <c r="I596" s="339"/>
      <c r="J596" s="341"/>
      <c r="K596" s="339"/>
      <c r="L596" s="339"/>
      <c r="M596" s="341"/>
      <c r="N596" s="339"/>
      <c r="O596" s="339"/>
      <c r="P596" s="341"/>
      <c r="Q596" s="339"/>
      <c r="R596" s="339"/>
      <c r="S596" s="341"/>
      <c r="T596" s="339"/>
      <c r="U596" s="339"/>
    </row>
    <row r="597" spans="1:21" ht="15.75" customHeight="1">
      <c r="A597" s="339"/>
      <c r="B597" s="339"/>
      <c r="C597" s="339"/>
      <c r="D597" s="339"/>
      <c r="E597" s="339"/>
      <c r="F597" s="339"/>
      <c r="G597" s="339"/>
      <c r="H597" s="339"/>
      <c r="I597" s="339"/>
      <c r="J597" s="341"/>
      <c r="K597" s="339"/>
      <c r="L597" s="339"/>
      <c r="M597" s="341"/>
      <c r="N597" s="339"/>
      <c r="O597" s="339"/>
      <c r="P597" s="341"/>
      <c r="Q597" s="339"/>
      <c r="R597" s="339"/>
      <c r="S597" s="341"/>
      <c r="T597" s="339"/>
      <c r="U597" s="339"/>
    </row>
    <row r="598" spans="1:21" ht="15.75" customHeight="1">
      <c r="A598" s="339"/>
      <c r="B598" s="339"/>
      <c r="C598" s="339"/>
      <c r="D598" s="339"/>
      <c r="E598" s="339"/>
      <c r="F598" s="339"/>
      <c r="G598" s="339"/>
      <c r="H598" s="339"/>
      <c r="I598" s="339"/>
      <c r="J598" s="341"/>
      <c r="K598" s="339"/>
      <c r="L598" s="339"/>
      <c r="M598" s="341"/>
      <c r="N598" s="339"/>
      <c r="O598" s="339"/>
      <c r="P598" s="341"/>
      <c r="Q598" s="339"/>
      <c r="R598" s="339"/>
      <c r="S598" s="341"/>
      <c r="T598" s="339"/>
      <c r="U598" s="339"/>
    </row>
    <row r="599" spans="1:21" ht="15.75" customHeight="1">
      <c r="A599" s="339"/>
      <c r="B599" s="339"/>
      <c r="C599" s="339"/>
      <c r="D599" s="339"/>
      <c r="E599" s="339"/>
      <c r="F599" s="339"/>
      <c r="G599" s="339"/>
      <c r="H599" s="339"/>
      <c r="I599" s="339"/>
      <c r="J599" s="341"/>
      <c r="K599" s="339"/>
      <c r="L599" s="339"/>
      <c r="M599" s="341"/>
      <c r="N599" s="339"/>
      <c r="O599" s="339"/>
      <c r="P599" s="341"/>
      <c r="Q599" s="339"/>
      <c r="R599" s="339"/>
      <c r="S599" s="341"/>
      <c r="T599" s="339"/>
      <c r="U599" s="339"/>
    </row>
    <row r="600" spans="1:21" ht="15.75" customHeight="1">
      <c r="A600" s="339"/>
      <c r="B600" s="339"/>
      <c r="C600" s="339"/>
      <c r="D600" s="339"/>
      <c r="E600" s="339"/>
      <c r="F600" s="339"/>
      <c r="G600" s="339"/>
      <c r="H600" s="339"/>
      <c r="I600" s="339"/>
      <c r="J600" s="341"/>
      <c r="K600" s="339"/>
      <c r="L600" s="339"/>
      <c r="M600" s="341"/>
      <c r="N600" s="339"/>
      <c r="O600" s="339"/>
      <c r="P600" s="341"/>
      <c r="Q600" s="339"/>
      <c r="R600" s="339"/>
      <c r="S600" s="341"/>
      <c r="T600" s="339"/>
      <c r="U600" s="339"/>
    </row>
    <row r="601" spans="1:21" ht="15.75" customHeight="1">
      <c r="A601" s="339"/>
      <c r="B601" s="339"/>
      <c r="C601" s="339"/>
      <c r="D601" s="339"/>
      <c r="E601" s="339"/>
      <c r="F601" s="339"/>
      <c r="G601" s="339"/>
      <c r="H601" s="339"/>
      <c r="I601" s="339"/>
      <c r="J601" s="341"/>
      <c r="K601" s="339"/>
      <c r="L601" s="339"/>
      <c r="M601" s="341"/>
      <c r="N601" s="339"/>
      <c r="O601" s="339"/>
      <c r="P601" s="341"/>
      <c r="Q601" s="339"/>
      <c r="R601" s="339"/>
      <c r="S601" s="341"/>
      <c r="T601" s="339"/>
      <c r="U601" s="339"/>
    </row>
    <row r="602" spans="1:21" ht="15.75" customHeight="1">
      <c r="A602" s="339"/>
      <c r="B602" s="339"/>
      <c r="C602" s="339"/>
      <c r="D602" s="339"/>
      <c r="E602" s="339"/>
      <c r="F602" s="339"/>
      <c r="G602" s="339"/>
      <c r="H602" s="339"/>
      <c r="I602" s="339"/>
      <c r="J602" s="341"/>
      <c r="K602" s="339"/>
      <c r="L602" s="339"/>
      <c r="M602" s="341"/>
      <c r="N602" s="339"/>
      <c r="O602" s="339"/>
      <c r="P602" s="341"/>
      <c r="Q602" s="339"/>
      <c r="R602" s="339"/>
      <c r="S602" s="341"/>
      <c r="T602" s="339"/>
      <c r="U602" s="339"/>
    </row>
    <row r="603" spans="1:21" ht="15.75" customHeight="1">
      <c r="A603" s="339"/>
      <c r="B603" s="339"/>
      <c r="C603" s="339"/>
      <c r="D603" s="339"/>
      <c r="E603" s="339"/>
      <c r="F603" s="339"/>
      <c r="G603" s="339"/>
      <c r="H603" s="339"/>
      <c r="I603" s="339"/>
      <c r="J603" s="341"/>
      <c r="K603" s="339"/>
      <c r="L603" s="339"/>
      <c r="M603" s="341"/>
      <c r="N603" s="339"/>
      <c r="O603" s="339"/>
      <c r="P603" s="341"/>
      <c r="Q603" s="339"/>
      <c r="R603" s="339"/>
      <c r="S603" s="341"/>
      <c r="T603" s="339"/>
      <c r="U603" s="339"/>
    </row>
    <row r="604" spans="1:21" ht="15.75" customHeight="1">
      <c r="A604" s="339"/>
      <c r="B604" s="339"/>
      <c r="C604" s="339"/>
      <c r="D604" s="339"/>
      <c r="E604" s="339"/>
      <c r="F604" s="339"/>
      <c r="G604" s="339"/>
      <c r="H604" s="339"/>
      <c r="I604" s="339"/>
      <c r="J604" s="341"/>
      <c r="K604" s="339"/>
      <c r="L604" s="339"/>
      <c r="M604" s="341"/>
      <c r="N604" s="339"/>
      <c r="O604" s="339"/>
      <c r="P604" s="341"/>
      <c r="Q604" s="339"/>
      <c r="R604" s="339"/>
      <c r="S604" s="341"/>
      <c r="T604" s="339"/>
      <c r="U604" s="339"/>
    </row>
    <row r="605" spans="1:21" ht="15.75" customHeight="1">
      <c r="A605" s="339"/>
      <c r="B605" s="339"/>
      <c r="C605" s="339"/>
      <c r="D605" s="339"/>
      <c r="E605" s="339"/>
      <c r="F605" s="339"/>
      <c r="G605" s="339"/>
      <c r="H605" s="339"/>
      <c r="I605" s="339"/>
      <c r="J605" s="341"/>
      <c r="K605" s="339"/>
      <c r="L605" s="339"/>
      <c r="M605" s="341"/>
      <c r="N605" s="339"/>
      <c r="O605" s="339"/>
      <c r="P605" s="341"/>
      <c r="Q605" s="339"/>
      <c r="R605" s="339"/>
      <c r="S605" s="341"/>
      <c r="T605" s="339"/>
      <c r="U605" s="339"/>
    </row>
    <row r="606" spans="1:21" ht="15.75" customHeight="1">
      <c r="A606" s="339"/>
      <c r="B606" s="339"/>
      <c r="C606" s="339"/>
      <c r="D606" s="339"/>
      <c r="E606" s="339"/>
      <c r="F606" s="339"/>
      <c r="G606" s="339"/>
      <c r="H606" s="339"/>
      <c r="I606" s="339"/>
      <c r="J606" s="341"/>
      <c r="K606" s="339"/>
      <c r="L606" s="339"/>
      <c r="M606" s="341"/>
      <c r="N606" s="339"/>
      <c r="O606" s="339"/>
      <c r="P606" s="341"/>
      <c r="Q606" s="339"/>
      <c r="R606" s="339"/>
      <c r="S606" s="341"/>
      <c r="T606" s="339"/>
      <c r="U606" s="339"/>
    </row>
    <row r="607" spans="1:21" ht="15.75" customHeight="1">
      <c r="A607" s="339"/>
      <c r="B607" s="339"/>
      <c r="C607" s="339"/>
      <c r="D607" s="339"/>
      <c r="E607" s="339"/>
      <c r="F607" s="339"/>
      <c r="G607" s="339"/>
      <c r="H607" s="339"/>
      <c r="I607" s="339"/>
      <c r="J607" s="341"/>
      <c r="K607" s="339"/>
      <c r="L607" s="339"/>
      <c r="M607" s="341"/>
      <c r="N607" s="339"/>
      <c r="O607" s="339"/>
      <c r="P607" s="341"/>
      <c r="Q607" s="339"/>
      <c r="R607" s="339"/>
      <c r="S607" s="341"/>
      <c r="T607" s="339"/>
      <c r="U607" s="339"/>
    </row>
    <row r="608" spans="1:21" ht="15.75" customHeight="1">
      <c r="A608" s="339"/>
      <c r="B608" s="339"/>
      <c r="C608" s="339"/>
      <c r="D608" s="339"/>
      <c r="E608" s="339"/>
      <c r="F608" s="339"/>
      <c r="G608" s="339"/>
      <c r="H608" s="339"/>
      <c r="I608" s="339"/>
      <c r="J608" s="341"/>
      <c r="K608" s="339"/>
      <c r="L608" s="339"/>
      <c r="M608" s="341"/>
      <c r="N608" s="339"/>
      <c r="O608" s="339"/>
      <c r="P608" s="341"/>
      <c r="Q608" s="339"/>
      <c r="R608" s="339"/>
      <c r="S608" s="341"/>
      <c r="T608" s="339"/>
      <c r="U608" s="339"/>
    </row>
    <row r="609" spans="1:21" ht="15.75" customHeight="1">
      <c r="A609" s="339"/>
      <c r="B609" s="339"/>
      <c r="C609" s="339"/>
      <c r="D609" s="339"/>
      <c r="E609" s="339"/>
      <c r="F609" s="339"/>
      <c r="G609" s="339"/>
      <c r="H609" s="339"/>
      <c r="I609" s="339"/>
      <c r="J609" s="341"/>
      <c r="K609" s="339"/>
      <c r="L609" s="339"/>
      <c r="M609" s="341"/>
      <c r="N609" s="339"/>
      <c r="O609" s="339"/>
      <c r="P609" s="341"/>
      <c r="Q609" s="339"/>
      <c r="R609" s="339"/>
      <c r="S609" s="341"/>
      <c r="T609" s="339"/>
      <c r="U609" s="339"/>
    </row>
    <row r="610" spans="1:21" ht="15.75" customHeight="1">
      <c r="A610" s="339"/>
      <c r="B610" s="339"/>
      <c r="C610" s="339"/>
      <c r="D610" s="339"/>
      <c r="E610" s="339"/>
      <c r="F610" s="339"/>
      <c r="G610" s="339"/>
      <c r="H610" s="339"/>
      <c r="I610" s="339"/>
      <c r="J610" s="341"/>
      <c r="K610" s="339"/>
      <c r="L610" s="339"/>
      <c r="M610" s="341"/>
      <c r="N610" s="339"/>
      <c r="O610" s="339"/>
      <c r="P610" s="341"/>
      <c r="Q610" s="339"/>
      <c r="R610" s="339"/>
      <c r="S610" s="341"/>
      <c r="T610" s="339"/>
      <c r="U610" s="339"/>
    </row>
    <row r="611" spans="1:21" ht="15.75" customHeight="1">
      <c r="A611" s="339"/>
      <c r="B611" s="339"/>
      <c r="C611" s="339"/>
      <c r="D611" s="339"/>
      <c r="E611" s="339"/>
      <c r="F611" s="339"/>
      <c r="G611" s="339"/>
      <c r="H611" s="339"/>
      <c r="I611" s="339"/>
      <c r="J611" s="341"/>
      <c r="K611" s="339"/>
      <c r="L611" s="339"/>
      <c r="M611" s="341"/>
      <c r="N611" s="339"/>
      <c r="O611" s="339"/>
      <c r="P611" s="341"/>
      <c r="Q611" s="339"/>
      <c r="R611" s="339"/>
      <c r="S611" s="341"/>
      <c r="T611" s="339"/>
      <c r="U611" s="339"/>
    </row>
    <row r="612" spans="1:21" ht="15.75" customHeight="1">
      <c r="A612" s="339"/>
      <c r="B612" s="339"/>
      <c r="C612" s="339"/>
      <c r="D612" s="339"/>
      <c r="E612" s="339"/>
      <c r="F612" s="339"/>
      <c r="G612" s="339"/>
      <c r="H612" s="339"/>
      <c r="I612" s="339"/>
      <c r="J612" s="341"/>
      <c r="K612" s="339"/>
      <c r="L612" s="339"/>
      <c r="M612" s="341"/>
      <c r="N612" s="339"/>
      <c r="O612" s="339"/>
      <c r="P612" s="341"/>
      <c r="Q612" s="339"/>
      <c r="R612" s="339"/>
      <c r="S612" s="341"/>
      <c r="T612" s="339"/>
      <c r="U612" s="339"/>
    </row>
    <row r="613" spans="1:21" ht="15.75" customHeight="1">
      <c r="A613" s="339"/>
      <c r="B613" s="339"/>
      <c r="C613" s="339"/>
      <c r="D613" s="339"/>
      <c r="E613" s="339"/>
      <c r="F613" s="339"/>
      <c r="G613" s="339"/>
      <c r="H613" s="339"/>
      <c r="I613" s="339"/>
      <c r="J613" s="341"/>
      <c r="K613" s="339"/>
      <c r="L613" s="339"/>
      <c r="M613" s="341"/>
      <c r="N613" s="339"/>
      <c r="O613" s="339"/>
      <c r="P613" s="341"/>
      <c r="Q613" s="339"/>
      <c r="R613" s="339"/>
      <c r="S613" s="341"/>
      <c r="T613" s="339"/>
      <c r="U613" s="339"/>
    </row>
    <row r="614" spans="1:21" ht="15.75" customHeight="1">
      <c r="A614" s="339"/>
      <c r="B614" s="339"/>
      <c r="C614" s="339"/>
      <c r="D614" s="339"/>
      <c r="E614" s="339"/>
      <c r="F614" s="339"/>
      <c r="G614" s="339"/>
      <c r="H614" s="339"/>
      <c r="I614" s="339"/>
      <c r="J614" s="341"/>
      <c r="K614" s="339"/>
      <c r="L614" s="339"/>
      <c r="M614" s="341"/>
      <c r="N614" s="339"/>
      <c r="O614" s="339"/>
      <c r="P614" s="341"/>
      <c r="Q614" s="339"/>
      <c r="R614" s="339"/>
      <c r="S614" s="341"/>
      <c r="T614" s="339"/>
      <c r="U614" s="339"/>
    </row>
    <row r="615" spans="1:21" ht="15.75" customHeight="1">
      <c r="A615" s="339"/>
      <c r="B615" s="339"/>
      <c r="C615" s="339"/>
      <c r="D615" s="339"/>
      <c r="E615" s="339"/>
      <c r="F615" s="339"/>
      <c r="G615" s="339"/>
      <c r="H615" s="339"/>
      <c r="I615" s="339"/>
      <c r="J615" s="341"/>
      <c r="K615" s="339"/>
      <c r="L615" s="339"/>
      <c r="M615" s="341"/>
      <c r="N615" s="339"/>
      <c r="O615" s="339"/>
      <c r="P615" s="341"/>
      <c r="Q615" s="339"/>
      <c r="R615" s="339"/>
      <c r="S615" s="341"/>
      <c r="T615" s="339"/>
      <c r="U615" s="339"/>
    </row>
    <row r="616" spans="1:21" ht="15.75" customHeight="1">
      <c r="A616" s="339"/>
      <c r="B616" s="339"/>
      <c r="C616" s="339"/>
      <c r="D616" s="339"/>
      <c r="E616" s="339"/>
      <c r="F616" s="339"/>
      <c r="G616" s="339"/>
      <c r="H616" s="339"/>
      <c r="I616" s="339"/>
      <c r="J616" s="341"/>
      <c r="K616" s="339"/>
      <c r="L616" s="339"/>
      <c r="M616" s="341"/>
      <c r="N616" s="339"/>
      <c r="O616" s="339"/>
      <c r="P616" s="341"/>
      <c r="Q616" s="339"/>
      <c r="R616" s="339"/>
      <c r="S616" s="341"/>
      <c r="T616" s="339"/>
      <c r="U616" s="339"/>
    </row>
    <row r="617" spans="1:21" ht="15.75" customHeight="1">
      <c r="A617" s="339"/>
      <c r="B617" s="339"/>
      <c r="C617" s="339"/>
      <c r="D617" s="339"/>
      <c r="E617" s="339"/>
      <c r="F617" s="339"/>
      <c r="G617" s="339"/>
      <c r="H617" s="339"/>
      <c r="I617" s="339"/>
      <c r="J617" s="341"/>
      <c r="K617" s="339"/>
      <c r="L617" s="339"/>
      <c r="M617" s="341"/>
      <c r="N617" s="339"/>
      <c r="O617" s="339"/>
      <c r="P617" s="341"/>
      <c r="Q617" s="339"/>
      <c r="R617" s="339"/>
      <c r="S617" s="341"/>
      <c r="T617" s="339"/>
      <c r="U617" s="339"/>
    </row>
    <row r="618" spans="1:21" ht="15.75" customHeight="1">
      <c r="A618" s="339"/>
      <c r="B618" s="339"/>
      <c r="C618" s="339"/>
      <c r="D618" s="339"/>
      <c r="E618" s="339"/>
      <c r="F618" s="339"/>
      <c r="G618" s="339"/>
      <c r="H618" s="339"/>
      <c r="I618" s="339"/>
      <c r="J618" s="341"/>
      <c r="K618" s="339"/>
      <c r="L618" s="339"/>
      <c r="M618" s="341"/>
      <c r="N618" s="339"/>
      <c r="O618" s="339"/>
      <c r="P618" s="341"/>
      <c r="Q618" s="339"/>
      <c r="R618" s="339"/>
      <c r="S618" s="341"/>
      <c r="T618" s="339"/>
      <c r="U618" s="339"/>
    </row>
    <row r="619" spans="1:21" ht="15.75" customHeight="1">
      <c r="A619" s="339"/>
      <c r="B619" s="339"/>
      <c r="C619" s="339"/>
      <c r="D619" s="339"/>
      <c r="E619" s="339"/>
      <c r="F619" s="339"/>
      <c r="G619" s="339"/>
      <c r="H619" s="339"/>
      <c r="I619" s="339"/>
      <c r="J619" s="341"/>
      <c r="K619" s="339"/>
      <c r="L619" s="339"/>
      <c r="M619" s="341"/>
      <c r="N619" s="339"/>
      <c r="O619" s="339"/>
      <c r="P619" s="341"/>
      <c r="Q619" s="339"/>
      <c r="R619" s="339"/>
      <c r="S619" s="341"/>
      <c r="T619" s="339"/>
      <c r="U619" s="339"/>
    </row>
    <row r="620" spans="1:21" ht="15.75" customHeight="1">
      <c r="A620" s="339"/>
      <c r="B620" s="339"/>
      <c r="C620" s="339"/>
      <c r="D620" s="339"/>
      <c r="E620" s="339"/>
      <c r="F620" s="339"/>
      <c r="G620" s="339"/>
      <c r="H620" s="339"/>
      <c r="I620" s="339"/>
      <c r="J620" s="341"/>
      <c r="K620" s="339"/>
      <c r="L620" s="339"/>
      <c r="M620" s="341"/>
      <c r="N620" s="339"/>
      <c r="O620" s="339"/>
      <c r="P620" s="341"/>
      <c r="Q620" s="339"/>
      <c r="R620" s="339"/>
      <c r="S620" s="341"/>
      <c r="T620" s="339"/>
      <c r="U620" s="339"/>
    </row>
    <row r="621" spans="1:21" ht="15.75" customHeight="1">
      <c r="A621" s="339"/>
      <c r="B621" s="339"/>
      <c r="C621" s="339"/>
      <c r="D621" s="339"/>
      <c r="E621" s="339"/>
      <c r="F621" s="339"/>
      <c r="G621" s="339"/>
      <c r="H621" s="339"/>
      <c r="I621" s="339"/>
      <c r="J621" s="341"/>
      <c r="K621" s="339"/>
      <c r="L621" s="339"/>
      <c r="M621" s="341"/>
      <c r="N621" s="339"/>
      <c r="O621" s="339"/>
      <c r="P621" s="341"/>
      <c r="Q621" s="339"/>
      <c r="R621" s="339"/>
      <c r="S621" s="341"/>
      <c r="T621" s="339"/>
      <c r="U621" s="339"/>
    </row>
    <row r="622" spans="1:21" ht="15.75" customHeight="1">
      <c r="A622" s="339"/>
      <c r="B622" s="339"/>
      <c r="C622" s="339"/>
      <c r="D622" s="339"/>
      <c r="E622" s="339"/>
      <c r="F622" s="339"/>
      <c r="G622" s="339"/>
      <c r="H622" s="339"/>
      <c r="I622" s="339"/>
      <c r="J622" s="341"/>
      <c r="K622" s="339"/>
      <c r="L622" s="339"/>
      <c r="M622" s="341"/>
      <c r="N622" s="339"/>
      <c r="O622" s="339"/>
      <c r="P622" s="341"/>
      <c r="Q622" s="339"/>
      <c r="R622" s="339"/>
      <c r="S622" s="341"/>
      <c r="T622" s="339"/>
      <c r="U622" s="339"/>
    </row>
    <row r="623" spans="1:21" ht="15.75" customHeight="1">
      <c r="A623" s="339"/>
      <c r="B623" s="339"/>
      <c r="C623" s="339"/>
      <c r="D623" s="339"/>
      <c r="E623" s="339"/>
      <c r="F623" s="339"/>
      <c r="G623" s="339"/>
      <c r="H623" s="339"/>
      <c r="I623" s="339"/>
      <c r="J623" s="341"/>
      <c r="K623" s="339"/>
      <c r="L623" s="339"/>
      <c r="M623" s="341"/>
      <c r="N623" s="339"/>
      <c r="O623" s="339"/>
      <c r="P623" s="341"/>
      <c r="Q623" s="339"/>
      <c r="R623" s="339"/>
      <c r="S623" s="341"/>
      <c r="T623" s="339"/>
      <c r="U623" s="339"/>
    </row>
    <row r="624" spans="1:21" ht="15.75" customHeight="1">
      <c r="A624" s="339"/>
      <c r="B624" s="339"/>
      <c r="C624" s="339"/>
      <c r="D624" s="339"/>
      <c r="E624" s="339"/>
      <c r="F624" s="339"/>
      <c r="G624" s="339"/>
      <c r="H624" s="339"/>
      <c r="I624" s="339"/>
      <c r="J624" s="341"/>
      <c r="K624" s="339"/>
      <c r="L624" s="339"/>
      <c r="M624" s="341"/>
      <c r="N624" s="339"/>
      <c r="O624" s="339"/>
      <c r="P624" s="341"/>
      <c r="Q624" s="339"/>
      <c r="R624" s="339"/>
      <c r="S624" s="341"/>
      <c r="T624" s="339"/>
      <c r="U624" s="339"/>
    </row>
    <row r="625" spans="1:21" ht="15.75" customHeight="1">
      <c r="A625" s="339"/>
      <c r="B625" s="339"/>
      <c r="C625" s="339"/>
      <c r="D625" s="339"/>
      <c r="E625" s="339"/>
      <c r="F625" s="339"/>
      <c r="G625" s="339"/>
      <c r="H625" s="339"/>
      <c r="I625" s="339"/>
      <c r="J625" s="341"/>
      <c r="K625" s="339"/>
      <c r="L625" s="339"/>
      <c r="M625" s="341"/>
      <c r="N625" s="339"/>
      <c r="O625" s="339"/>
      <c r="P625" s="341"/>
      <c r="Q625" s="339"/>
      <c r="R625" s="339"/>
      <c r="S625" s="341"/>
      <c r="T625" s="339"/>
      <c r="U625" s="339"/>
    </row>
    <row r="626" spans="1:21" ht="15.75" customHeight="1">
      <c r="A626" s="339"/>
      <c r="B626" s="339"/>
      <c r="C626" s="339"/>
      <c r="D626" s="339"/>
      <c r="E626" s="339"/>
      <c r="F626" s="339"/>
      <c r="G626" s="339"/>
      <c r="H626" s="339"/>
      <c r="I626" s="339"/>
      <c r="J626" s="341"/>
      <c r="K626" s="339"/>
      <c r="L626" s="339"/>
      <c r="M626" s="341"/>
      <c r="N626" s="339"/>
      <c r="O626" s="339"/>
      <c r="P626" s="341"/>
      <c r="Q626" s="339"/>
      <c r="R626" s="339"/>
      <c r="S626" s="341"/>
      <c r="T626" s="339"/>
      <c r="U626" s="339"/>
    </row>
    <row r="627" spans="1:21" ht="15.75" customHeight="1">
      <c r="A627" s="339"/>
      <c r="B627" s="339"/>
      <c r="C627" s="339"/>
      <c r="D627" s="339"/>
      <c r="E627" s="339"/>
      <c r="F627" s="339"/>
      <c r="G627" s="339"/>
      <c r="H627" s="339"/>
      <c r="I627" s="339"/>
      <c r="J627" s="341"/>
      <c r="K627" s="339"/>
      <c r="L627" s="339"/>
      <c r="M627" s="341"/>
      <c r="N627" s="339"/>
      <c r="O627" s="339"/>
      <c r="P627" s="341"/>
      <c r="Q627" s="339"/>
      <c r="R627" s="339"/>
      <c r="S627" s="341"/>
      <c r="T627" s="339"/>
      <c r="U627" s="339"/>
    </row>
    <row r="628" spans="1:21" ht="15.75" customHeight="1">
      <c r="A628" s="339"/>
      <c r="B628" s="339"/>
      <c r="C628" s="339"/>
      <c r="D628" s="339"/>
      <c r="E628" s="339"/>
      <c r="F628" s="339"/>
      <c r="G628" s="339"/>
      <c r="H628" s="339"/>
      <c r="I628" s="339"/>
      <c r="J628" s="341"/>
      <c r="K628" s="339"/>
      <c r="L628" s="339"/>
      <c r="M628" s="341"/>
      <c r="N628" s="339"/>
      <c r="O628" s="339"/>
      <c r="P628" s="341"/>
      <c r="Q628" s="339"/>
      <c r="R628" s="339"/>
      <c r="S628" s="341"/>
      <c r="T628" s="339"/>
      <c r="U628" s="339"/>
    </row>
    <row r="629" spans="1:21" ht="15.75" customHeight="1">
      <c r="A629" s="339"/>
      <c r="B629" s="339"/>
      <c r="C629" s="339"/>
      <c r="D629" s="339"/>
      <c r="E629" s="339"/>
      <c r="F629" s="339"/>
      <c r="G629" s="339"/>
      <c r="H629" s="339"/>
      <c r="I629" s="339"/>
      <c r="J629" s="341"/>
      <c r="K629" s="339"/>
      <c r="L629" s="339"/>
      <c r="M629" s="341"/>
      <c r="N629" s="339"/>
      <c r="O629" s="339"/>
      <c r="P629" s="341"/>
      <c r="Q629" s="339"/>
      <c r="R629" s="339"/>
      <c r="S629" s="341"/>
      <c r="T629" s="339"/>
      <c r="U629" s="339"/>
    </row>
    <row r="630" spans="1:21" ht="15.75" customHeight="1">
      <c r="A630" s="339"/>
      <c r="B630" s="339"/>
      <c r="C630" s="339"/>
      <c r="D630" s="339"/>
      <c r="E630" s="339"/>
      <c r="F630" s="339"/>
      <c r="G630" s="339"/>
      <c r="H630" s="339"/>
      <c r="I630" s="339"/>
      <c r="J630" s="341"/>
      <c r="K630" s="339"/>
      <c r="L630" s="339"/>
      <c r="M630" s="341"/>
      <c r="N630" s="339"/>
      <c r="O630" s="339"/>
      <c r="P630" s="341"/>
      <c r="Q630" s="339"/>
      <c r="R630" s="339"/>
      <c r="S630" s="341"/>
      <c r="T630" s="339"/>
      <c r="U630" s="339"/>
    </row>
    <row r="631" spans="1:21" ht="15.75" customHeight="1">
      <c r="A631" s="339"/>
      <c r="B631" s="339"/>
      <c r="C631" s="339"/>
      <c r="D631" s="339"/>
      <c r="E631" s="339"/>
      <c r="F631" s="339"/>
      <c r="G631" s="339"/>
      <c r="H631" s="339"/>
      <c r="I631" s="339"/>
      <c r="J631" s="341"/>
      <c r="K631" s="339"/>
      <c r="L631" s="339"/>
      <c r="M631" s="341"/>
      <c r="N631" s="339"/>
      <c r="O631" s="339"/>
      <c r="P631" s="341"/>
      <c r="Q631" s="339"/>
      <c r="R631" s="339"/>
      <c r="S631" s="341"/>
      <c r="T631" s="339"/>
      <c r="U631" s="339"/>
    </row>
    <row r="632" spans="1:21" ht="15.75" customHeight="1">
      <c r="A632" s="339"/>
      <c r="B632" s="339"/>
      <c r="C632" s="339"/>
      <c r="D632" s="339"/>
      <c r="E632" s="339"/>
      <c r="F632" s="339"/>
      <c r="G632" s="339"/>
      <c r="H632" s="339"/>
      <c r="I632" s="339"/>
      <c r="J632" s="341"/>
      <c r="K632" s="339"/>
      <c r="L632" s="339"/>
      <c r="M632" s="341"/>
      <c r="N632" s="339"/>
      <c r="O632" s="339"/>
      <c r="P632" s="341"/>
      <c r="Q632" s="339"/>
      <c r="R632" s="339"/>
      <c r="S632" s="341"/>
      <c r="T632" s="339"/>
      <c r="U632" s="339"/>
    </row>
    <row r="633" spans="1:21" ht="15.75" customHeight="1">
      <c r="A633" s="339"/>
      <c r="B633" s="339"/>
      <c r="C633" s="339"/>
      <c r="D633" s="339"/>
      <c r="E633" s="339"/>
      <c r="F633" s="339"/>
      <c r="G633" s="339"/>
      <c r="H633" s="339"/>
      <c r="I633" s="339"/>
      <c r="J633" s="341"/>
      <c r="K633" s="339"/>
      <c r="L633" s="339"/>
      <c r="M633" s="341"/>
      <c r="N633" s="339"/>
      <c r="O633" s="339"/>
      <c r="P633" s="341"/>
      <c r="Q633" s="339"/>
      <c r="R633" s="339"/>
      <c r="S633" s="341"/>
      <c r="T633" s="339"/>
      <c r="U633" s="339"/>
    </row>
    <row r="634" spans="1:21" ht="15.75" customHeight="1">
      <c r="A634" s="339"/>
      <c r="B634" s="339"/>
      <c r="C634" s="339"/>
      <c r="D634" s="339"/>
      <c r="E634" s="339"/>
      <c r="F634" s="339"/>
      <c r="G634" s="339"/>
      <c r="H634" s="339"/>
      <c r="I634" s="339"/>
      <c r="J634" s="341"/>
      <c r="K634" s="339"/>
      <c r="L634" s="339"/>
      <c r="M634" s="341"/>
      <c r="N634" s="339"/>
      <c r="O634" s="339"/>
      <c r="P634" s="341"/>
      <c r="Q634" s="339"/>
      <c r="R634" s="339"/>
      <c r="S634" s="341"/>
      <c r="T634" s="339"/>
      <c r="U634" s="339"/>
    </row>
    <row r="635" spans="1:21" ht="15.75" customHeight="1">
      <c r="A635" s="339"/>
      <c r="B635" s="339"/>
      <c r="C635" s="339"/>
      <c r="D635" s="339"/>
      <c r="E635" s="339"/>
      <c r="F635" s="339"/>
      <c r="G635" s="339"/>
      <c r="H635" s="339"/>
      <c r="I635" s="339"/>
      <c r="J635" s="341"/>
      <c r="K635" s="339"/>
      <c r="L635" s="339"/>
      <c r="M635" s="341"/>
      <c r="N635" s="339"/>
      <c r="O635" s="339"/>
      <c r="P635" s="341"/>
      <c r="Q635" s="339"/>
      <c r="R635" s="339"/>
      <c r="S635" s="341"/>
      <c r="T635" s="339"/>
      <c r="U635" s="339"/>
    </row>
    <row r="636" spans="1:21" ht="15.75" customHeight="1">
      <c r="A636" s="339"/>
      <c r="B636" s="339"/>
      <c r="C636" s="339"/>
      <c r="D636" s="339"/>
      <c r="E636" s="339"/>
      <c r="F636" s="339"/>
      <c r="G636" s="339"/>
      <c r="H636" s="339"/>
      <c r="I636" s="339"/>
      <c r="J636" s="341"/>
      <c r="K636" s="339"/>
      <c r="L636" s="339"/>
      <c r="M636" s="341"/>
      <c r="N636" s="339"/>
      <c r="O636" s="339"/>
      <c r="P636" s="341"/>
      <c r="Q636" s="339"/>
      <c r="R636" s="339"/>
      <c r="S636" s="341"/>
      <c r="T636" s="339"/>
      <c r="U636" s="339"/>
    </row>
    <row r="637" spans="1:21" ht="15.75" customHeight="1">
      <c r="A637" s="339"/>
      <c r="B637" s="339"/>
      <c r="C637" s="339"/>
      <c r="D637" s="339"/>
      <c r="E637" s="339"/>
      <c r="F637" s="339"/>
      <c r="G637" s="339"/>
      <c r="H637" s="339"/>
      <c r="I637" s="339"/>
      <c r="J637" s="341"/>
      <c r="K637" s="339"/>
      <c r="L637" s="339"/>
      <c r="M637" s="341"/>
      <c r="N637" s="339"/>
      <c r="O637" s="339"/>
      <c r="P637" s="341"/>
      <c r="Q637" s="339"/>
      <c r="R637" s="339"/>
      <c r="S637" s="341"/>
      <c r="T637" s="339"/>
      <c r="U637" s="339"/>
    </row>
    <row r="638" spans="1:21" ht="15.75" customHeight="1">
      <c r="A638" s="339"/>
      <c r="B638" s="339"/>
      <c r="C638" s="339"/>
      <c r="D638" s="339"/>
      <c r="E638" s="339"/>
      <c r="F638" s="339"/>
      <c r="G638" s="339"/>
      <c r="H638" s="339"/>
      <c r="I638" s="339"/>
      <c r="J638" s="341"/>
      <c r="K638" s="339"/>
      <c r="L638" s="339"/>
      <c r="M638" s="341"/>
      <c r="N638" s="339"/>
      <c r="O638" s="339"/>
      <c r="P638" s="341"/>
      <c r="Q638" s="339"/>
      <c r="R638" s="339"/>
      <c r="S638" s="341"/>
      <c r="T638" s="339"/>
      <c r="U638" s="339"/>
    </row>
    <row r="639" spans="1:21" ht="15.75" customHeight="1">
      <c r="A639" s="339"/>
      <c r="B639" s="339"/>
      <c r="C639" s="339"/>
      <c r="D639" s="339"/>
      <c r="E639" s="339"/>
      <c r="F639" s="339"/>
      <c r="G639" s="339"/>
      <c r="H639" s="339"/>
      <c r="I639" s="339"/>
      <c r="J639" s="341"/>
      <c r="K639" s="339"/>
      <c r="L639" s="339"/>
      <c r="M639" s="341"/>
      <c r="N639" s="339"/>
      <c r="O639" s="339"/>
      <c r="P639" s="341"/>
      <c r="Q639" s="339"/>
      <c r="R639" s="339"/>
      <c r="S639" s="341"/>
      <c r="T639" s="339"/>
      <c r="U639" s="339"/>
    </row>
    <row r="640" spans="1:21" ht="15.75" customHeight="1">
      <c r="A640" s="339"/>
      <c r="B640" s="339"/>
      <c r="C640" s="339"/>
      <c r="D640" s="339"/>
      <c r="E640" s="339"/>
      <c r="F640" s="339"/>
      <c r="G640" s="339"/>
      <c r="H640" s="339"/>
      <c r="I640" s="339"/>
      <c r="J640" s="341"/>
      <c r="K640" s="339"/>
      <c r="L640" s="339"/>
      <c r="M640" s="341"/>
      <c r="N640" s="339"/>
      <c r="O640" s="339"/>
      <c r="P640" s="341"/>
      <c r="Q640" s="339"/>
      <c r="R640" s="339"/>
      <c r="S640" s="341"/>
      <c r="T640" s="339"/>
      <c r="U640" s="339"/>
    </row>
    <row r="641" spans="1:21" ht="15.75" customHeight="1">
      <c r="A641" s="339"/>
      <c r="B641" s="339"/>
      <c r="C641" s="339"/>
      <c r="D641" s="339"/>
      <c r="E641" s="339"/>
      <c r="F641" s="339"/>
      <c r="G641" s="339"/>
      <c r="H641" s="339"/>
      <c r="I641" s="339"/>
      <c r="J641" s="341"/>
      <c r="K641" s="339"/>
      <c r="L641" s="339"/>
      <c r="M641" s="341"/>
      <c r="N641" s="339"/>
      <c r="O641" s="339"/>
      <c r="P641" s="341"/>
      <c r="Q641" s="339"/>
      <c r="R641" s="339"/>
      <c r="S641" s="341"/>
      <c r="T641" s="339"/>
      <c r="U641" s="339"/>
    </row>
    <row r="642" spans="1:21" ht="15.75" customHeight="1">
      <c r="A642" s="339"/>
      <c r="B642" s="339"/>
      <c r="C642" s="339"/>
      <c r="D642" s="339"/>
      <c r="E642" s="339"/>
      <c r="F642" s="339"/>
      <c r="G642" s="339"/>
      <c r="H642" s="339"/>
      <c r="I642" s="339"/>
      <c r="J642" s="341"/>
      <c r="K642" s="339"/>
      <c r="L642" s="339"/>
      <c r="M642" s="341"/>
      <c r="N642" s="339"/>
      <c r="O642" s="339"/>
      <c r="P642" s="341"/>
      <c r="Q642" s="339"/>
      <c r="R642" s="339"/>
      <c r="S642" s="341"/>
      <c r="T642" s="339"/>
      <c r="U642" s="339"/>
    </row>
    <row r="643" spans="1:21" ht="15.75" customHeight="1">
      <c r="A643" s="339"/>
      <c r="B643" s="339"/>
      <c r="C643" s="339"/>
      <c r="D643" s="339"/>
      <c r="E643" s="339"/>
      <c r="F643" s="339"/>
      <c r="G643" s="339"/>
      <c r="H643" s="339"/>
      <c r="I643" s="339"/>
      <c r="J643" s="341"/>
      <c r="K643" s="339"/>
      <c r="L643" s="339"/>
      <c r="M643" s="341"/>
      <c r="N643" s="339"/>
      <c r="O643" s="339"/>
      <c r="P643" s="341"/>
      <c r="Q643" s="339"/>
      <c r="R643" s="339"/>
      <c r="S643" s="341"/>
      <c r="T643" s="339"/>
      <c r="U643" s="339"/>
    </row>
    <row r="644" spans="1:21" ht="15.75" customHeight="1">
      <c r="A644" s="339"/>
      <c r="B644" s="339"/>
      <c r="C644" s="339"/>
      <c r="D644" s="339"/>
      <c r="E644" s="339"/>
      <c r="F644" s="339"/>
      <c r="G644" s="339"/>
      <c r="H644" s="339"/>
      <c r="I644" s="339"/>
      <c r="J644" s="341"/>
      <c r="K644" s="339"/>
      <c r="L644" s="339"/>
      <c r="M644" s="341"/>
      <c r="N644" s="339"/>
      <c r="O644" s="339"/>
      <c r="P644" s="341"/>
      <c r="Q644" s="339"/>
      <c r="R644" s="339"/>
      <c r="S644" s="341"/>
      <c r="T644" s="339"/>
      <c r="U644" s="339"/>
    </row>
    <row r="645" spans="1:21" ht="15.75" customHeight="1">
      <c r="A645" s="339"/>
      <c r="B645" s="339"/>
      <c r="C645" s="339"/>
      <c r="D645" s="339"/>
      <c r="E645" s="339"/>
      <c r="F645" s="339"/>
      <c r="G645" s="339"/>
      <c r="H645" s="339"/>
      <c r="I645" s="339"/>
      <c r="J645" s="341"/>
      <c r="K645" s="339"/>
      <c r="L645" s="339"/>
      <c r="M645" s="341"/>
      <c r="N645" s="339"/>
      <c r="O645" s="339"/>
      <c r="P645" s="341"/>
      <c r="Q645" s="339"/>
      <c r="R645" s="339"/>
      <c r="S645" s="341"/>
      <c r="T645" s="339"/>
      <c r="U645" s="339"/>
    </row>
    <row r="646" spans="1:21" ht="15.75" customHeight="1">
      <c r="A646" s="339"/>
      <c r="B646" s="339"/>
      <c r="C646" s="339"/>
      <c r="D646" s="339"/>
      <c r="E646" s="339"/>
      <c r="F646" s="339"/>
      <c r="G646" s="339"/>
      <c r="H646" s="339"/>
      <c r="I646" s="339"/>
      <c r="J646" s="341"/>
      <c r="K646" s="339"/>
      <c r="L646" s="339"/>
      <c r="M646" s="341"/>
      <c r="N646" s="339"/>
      <c r="O646" s="339"/>
      <c r="P646" s="341"/>
      <c r="Q646" s="339"/>
      <c r="R646" s="339"/>
      <c r="S646" s="341"/>
      <c r="T646" s="339"/>
      <c r="U646" s="339"/>
    </row>
    <row r="647" spans="1:21" ht="15.75" customHeight="1">
      <c r="A647" s="339"/>
      <c r="B647" s="339"/>
      <c r="C647" s="339"/>
      <c r="D647" s="339"/>
      <c r="E647" s="339"/>
      <c r="F647" s="339"/>
      <c r="G647" s="339"/>
      <c r="H647" s="339"/>
      <c r="I647" s="339"/>
      <c r="J647" s="341"/>
      <c r="K647" s="339"/>
      <c r="L647" s="339"/>
      <c r="M647" s="341"/>
      <c r="N647" s="339"/>
      <c r="O647" s="339"/>
      <c r="P647" s="341"/>
      <c r="Q647" s="339"/>
      <c r="R647" s="339"/>
      <c r="S647" s="341"/>
      <c r="T647" s="339"/>
      <c r="U647" s="339"/>
    </row>
    <row r="648" spans="1:21" ht="15.75" customHeight="1">
      <c r="A648" s="339"/>
      <c r="B648" s="339"/>
      <c r="C648" s="339"/>
      <c r="D648" s="339"/>
      <c r="E648" s="339"/>
      <c r="F648" s="339"/>
      <c r="G648" s="339"/>
      <c r="H648" s="339"/>
      <c r="I648" s="339"/>
      <c r="J648" s="341"/>
      <c r="K648" s="339"/>
      <c r="L648" s="339"/>
      <c r="M648" s="341"/>
      <c r="N648" s="339"/>
      <c r="O648" s="339"/>
      <c r="P648" s="341"/>
      <c r="Q648" s="339"/>
      <c r="R648" s="339"/>
      <c r="S648" s="341"/>
      <c r="T648" s="339"/>
      <c r="U648" s="339"/>
    </row>
    <row r="649" spans="1:21" ht="15.75" customHeight="1">
      <c r="A649" s="339"/>
      <c r="B649" s="339"/>
      <c r="C649" s="339"/>
      <c r="D649" s="339"/>
      <c r="E649" s="339"/>
      <c r="F649" s="339"/>
      <c r="G649" s="339"/>
      <c r="H649" s="339"/>
      <c r="I649" s="339"/>
      <c r="J649" s="341"/>
      <c r="K649" s="339"/>
      <c r="L649" s="339"/>
      <c r="M649" s="341"/>
      <c r="N649" s="339"/>
      <c r="O649" s="339"/>
      <c r="P649" s="341"/>
      <c r="Q649" s="339"/>
      <c r="R649" s="339"/>
      <c r="S649" s="341"/>
      <c r="T649" s="339"/>
      <c r="U649" s="339"/>
    </row>
    <row r="650" spans="1:21" ht="15.75" customHeight="1">
      <c r="A650" s="339"/>
      <c r="B650" s="339"/>
      <c r="C650" s="339"/>
      <c r="D650" s="339"/>
      <c r="E650" s="339"/>
      <c r="F650" s="339"/>
      <c r="G650" s="339"/>
      <c r="H650" s="339"/>
      <c r="I650" s="339"/>
      <c r="J650" s="341"/>
      <c r="K650" s="339"/>
      <c r="L650" s="339"/>
      <c r="M650" s="341"/>
      <c r="N650" s="339"/>
      <c r="O650" s="339"/>
      <c r="P650" s="341"/>
      <c r="Q650" s="339"/>
      <c r="R650" s="339"/>
      <c r="S650" s="341"/>
      <c r="T650" s="339"/>
      <c r="U650" s="339"/>
    </row>
    <row r="651" spans="1:21" ht="15.75" customHeight="1">
      <c r="A651" s="339"/>
      <c r="B651" s="339"/>
      <c r="C651" s="339"/>
      <c r="D651" s="339"/>
      <c r="E651" s="339"/>
      <c r="F651" s="339"/>
      <c r="G651" s="339"/>
      <c r="H651" s="339"/>
      <c r="I651" s="339"/>
      <c r="J651" s="341"/>
      <c r="K651" s="339"/>
      <c r="L651" s="339"/>
      <c r="M651" s="341"/>
      <c r="N651" s="339"/>
      <c r="O651" s="339"/>
      <c r="P651" s="341"/>
      <c r="Q651" s="339"/>
      <c r="R651" s="339"/>
      <c r="S651" s="341"/>
      <c r="T651" s="339"/>
      <c r="U651" s="339"/>
    </row>
    <row r="652" spans="1:21" ht="15.75" customHeight="1">
      <c r="A652" s="339"/>
      <c r="B652" s="339"/>
      <c r="C652" s="339"/>
      <c r="D652" s="339"/>
      <c r="E652" s="339"/>
      <c r="F652" s="339"/>
      <c r="G652" s="339"/>
      <c r="H652" s="339"/>
      <c r="I652" s="339"/>
      <c r="J652" s="341"/>
      <c r="K652" s="339"/>
      <c r="L652" s="339"/>
      <c r="M652" s="341"/>
      <c r="N652" s="339"/>
      <c r="O652" s="339"/>
      <c r="P652" s="341"/>
      <c r="Q652" s="339"/>
      <c r="R652" s="339"/>
      <c r="S652" s="341"/>
      <c r="T652" s="339"/>
      <c r="U652" s="339"/>
    </row>
    <row r="653" spans="1:21" ht="15.75" customHeight="1">
      <c r="A653" s="339"/>
      <c r="B653" s="339"/>
      <c r="C653" s="339"/>
      <c r="D653" s="339"/>
      <c r="E653" s="339"/>
      <c r="F653" s="339"/>
      <c r="G653" s="339"/>
      <c r="H653" s="339"/>
      <c r="I653" s="339"/>
      <c r="J653" s="341"/>
      <c r="K653" s="339"/>
      <c r="L653" s="339"/>
      <c r="M653" s="341"/>
      <c r="N653" s="339"/>
      <c r="O653" s="339"/>
      <c r="P653" s="341"/>
      <c r="Q653" s="339"/>
      <c r="R653" s="339"/>
      <c r="S653" s="341"/>
      <c r="T653" s="339"/>
      <c r="U653" s="339"/>
    </row>
    <row r="654" spans="1:21" ht="15.75" customHeight="1">
      <c r="A654" s="339"/>
      <c r="B654" s="339"/>
      <c r="C654" s="339"/>
      <c r="D654" s="339"/>
      <c r="E654" s="339"/>
      <c r="F654" s="339"/>
      <c r="G654" s="339"/>
      <c r="H654" s="339"/>
      <c r="I654" s="339"/>
      <c r="J654" s="341"/>
      <c r="K654" s="339"/>
      <c r="L654" s="339"/>
      <c r="M654" s="341"/>
      <c r="N654" s="339"/>
      <c r="O654" s="339"/>
      <c r="P654" s="341"/>
      <c r="Q654" s="339"/>
      <c r="R654" s="339"/>
      <c r="S654" s="341"/>
      <c r="T654" s="339"/>
      <c r="U654" s="339"/>
    </row>
    <row r="655" spans="1:21" ht="15.75" customHeight="1">
      <c r="A655" s="339"/>
      <c r="B655" s="339"/>
      <c r="C655" s="339"/>
      <c r="D655" s="339"/>
      <c r="E655" s="339"/>
      <c r="F655" s="339"/>
      <c r="G655" s="339"/>
      <c r="H655" s="339"/>
      <c r="I655" s="339"/>
      <c r="J655" s="341"/>
      <c r="K655" s="339"/>
      <c r="L655" s="339"/>
      <c r="M655" s="341"/>
      <c r="N655" s="339"/>
      <c r="O655" s="339"/>
      <c r="P655" s="341"/>
      <c r="Q655" s="339"/>
      <c r="R655" s="339"/>
      <c r="S655" s="341"/>
      <c r="T655" s="339"/>
      <c r="U655" s="339"/>
    </row>
    <row r="656" spans="1:21" ht="15.75" customHeight="1">
      <c r="A656" s="339"/>
      <c r="B656" s="339"/>
      <c r="C656" s="339"/>
      <c r="D656" s="339"/>
      <c r="E656" s="339"/>
      <c r="F656" s="339"/>
      <c r="G656" s="339"/>
      <c r="H656" s="339"/>
      <c r="I656" s="339"/>
      <c r="J656" s="341"/>
      <c r="K656" s="339"/>
      <c r="L656" s="339"/>
      <c r="M656" s="341"/>
      <c r="N656" s="339"/>
      <c r="O656" s="339"/>
      <c r="P656" s="341"/>
      <c r="Q656" s="339"/>
      <c r="R656" s="339"/>
      <c r="S656" s="341"/>
      <c r="T656" s="339"/>
      <c r="U656" s="339"/>
    </row>
    <row r="657" spans="1:21" ht="15.75" customHeight="1">
      <c r="A657" s="339"/>
      <c r="B657" s="339"/>
      <c r="C657" s="339"/>
      <c r="D657" s="339"/>
      <c r="E657" s="339"/>
      <c r="F657" s="339"/>
      <c r="G657" s="339"/>
      <c r="H657" s="339"/>
      <c r="I657" s="339"/>
      <c r="J657" s="341"/>
      <c r="K657" s="339"/>
      <c r="L657" s="339"/>
      <c r="M657" s="341"/>
      <c r="N657" s="339"/>
      <c r="O657" s="339"/>
      <c r="P657" s="341"/>
      <c r="Q657" s="339"/>
      <c r="R657" s="339"/>
      <c r="S657" s="341"/>
      <c r="T657" s="339"/>
      <c r="U657" s="339"/>
    </row>
    <row r="658" spans="1:21" ht="15.75" customHeight="1">
      <c r="A658" s="339"/>
      <c r="B658" s="339"/>
      <c r="C658" s="339"/>
      <c r="D658" s="339"/>
      <c r="E658" s="339"/>
      <c r="F658" s="339"/>
      <c r="G658" s="339"/>
      <c r="H658" s="339"/>
      <c r="I658" s="339"/>
      <c r="J658" s="341"/>
      <c r="K658" s="339"/>
      <c r="L658" s="339"/>
      <c r="M658" s="341"/>
      <c r="N658" s="339"/>
      <c r="O658" s="339"/>
      <c r="P658" s="341"/>
      <c r="Q658" s="339"/>
      <c r="R658" s="339"/>
      <c r="S658" s="341"/>
      <c r="T658" s="339"/>
      <c r="U658" s="339"/>
    </row>
    <row r="659" spans="1:21" ht="15.75" customHeight="1">
      <c r="A659" s="339"/>
      <c r="B659" s="339"/>
      <c r="C659" s="339"/>
      <c r="D659" s="339"/>
      <c r="E659" s="339"/>
      <c r="F659" s="339"/>
      <c r="G659" s="339"/>
      <c r="H659" s="339"/>
      <c r="I659" s="339"/>
      <c r="J659" s="341"/>
      <c r="K659" s="339"/>
      <c r="L659" s="339"/>
      <c r="M659" s="341"/>
      <c r="N659" s="339"/>
      <c r="O659" s="339"/>
      <c r="P659" s="341"/>
      <c r="Q659" s="339"/>
      <c r="R659" s="339"/>
      <c r="S659" s="341"/>
      <c r="T659" s="339"/>
      <c r="U659" s="339"/>
    </row>
    <row r="660" spans="1:21" ht="15.75" customHeight="1">
      <c r="A660" s="339"/>
      <c r="B660" s="339"/>
      <c r="C660" s="339"/>
      <c r="D660" s="339"/>
      <c r="E660" s="339"/>
      <c r="F660" s="339"/>
      <c r="G660" s="339"/>
      <c r="H660" s="339"/>
      <c r="I660" s="339"/>
      <c r="J660" s="341"/>
      <c r="K660" s="339"/>
      <c r="L660" s="339"/>
      <c r="M660" s="341"/>
      <c r="N660" s="339"/>
      <c r="O660" s="339"/>
      <c r="P660" s="341"/>
      <c r="Q660" s="339"/>
      <c r="R660" s="339"/>
      <c r="S660" s="341"/>
      <c r="T660" s="339"/>
      <c r="U660" s="339"/>
    </row>
    <row r="661" spans="1:21" ht="15.75" customHeight="1">
      <c r="A661" s="339"/>
      <c r="B661" s="339"/>
      <c r="C661" s="339"/>
      <c r="D661" s="339"/>
      <c r="E661" s="339"/>
      <c r="F661" s="339"/>
      <c r="G661" s="339"/>
      <c r="H661" s="339"/>
      <c r="I661" s="339"/>
      <c r="J661" s="341"/>
      <c r="K661" s="339"/>
      <c r="L661" s="339"/>
      <c r="M661" s="341"/>
      <c r="N661" s="339"/>
      <c r="O661" s="339"/>
      <c r="P661" s="341"/>
      <c r="Q661" s="339"/>
      <c r="R661" s="339"/>
      <c r="S661" s="341"/>
      <c r="T661" s="339"/>
      <c r="U661" s="339"/>
    </row>
    <row r="662" spans="1:21" ht="15.75" customHeight="1">
      <c r="A662" s="339"/>
      <c r="B662" s="339"/>
      <c r="C662" s="339"/>
      <c r="D662" s="339"/>
      <c r="E662" s="339"/>
      <c r="F662" s="339"/>
      <c r="G662" s="339"/>
      <c r="H662" s="339"/>
      <c r="I662" s="339"/>
      <c r="J662" s="341"/>
      <c r="K662" s="339"/>
      <c r="L662" s="339"/>
      <c r="M662" s="341"/>
      <c r="N662" s="339"/>
      <c r="O662" s="339"/>
      <c r="P662" s="341"/>
      <c r="Q662" s="339"/>
      <c r="R662" s="339"/>
      <c r="S662" s="341"/>
      <c r="T662" s="339"/>
      <c r="U662" s="339"/>
    </row>
    <row r="663" spans="1:21" ht="15.75" customHeight="1">
      <c r="A663" s="339"/>
      <c r="B663" s="339"/>
      <c r="C663" s="339"/>
      <c r="D663" s="339"/>
      <c r="E663" s="339"/>
      <c r="F663" s="339"/>
      <c r="G663" s="339"/>
      <c r="H663" s="339"/>
      <c r="I663" s="339"/>
      <c r="J663" s="341"/>
      <c r="K663" s="339"/>
      <c r="L663" s="339"/>
      <c r="M663" s="341"/>
      <c r="N663" s="339"/>
      <c r="O663" s="339"/>
      <c r="P663" s="341"/>
      <c r="Q663" s="339"/>
      <c r="R663" s="339"/>
      <c r="S663" s="341"/>
      <c r="T663" s="339"/>
      <c r="U663" s="339"/>
    </row>
    <row r="664" spans="1:21" ht="15.75" customHeight="1">
      <c r="A664" s="339"/>
      <c r="B664" s="339"/>
      <c r="C664" s="339"/>
      <c r="D664" s="339"/>
      <c r="E664" s="339"/>
      <c r="F664" s="339"/>
      <c r="G664" s="339"/>
      <c r="H664" s="339"/>
      <c r="I664" s="339"/>
      <c r="J664" s="341"/>
      <c r="K664" s="339"/>
      <c r="L664" s="339"/>
      <c r="M664" s="341"/>
      <c r="N664" s="339"/>
      <c r="O664" s="339"/>
      <c r="P664" s="341"/>
      <c r="Q664" s="339"/>
      <c r="R664" s="339"/>
      <c r="S664" s="341"/>
      <c r="T664" s="339"/>
      <c r="U664" s="339"/>
    </row>
    <row r="665" spans="1:21" ht="15.75" customHeight="1">
      <c r="A665" s="339"/>
      <c r="B665" s="339"/>
      <c r="C665" s="339"/>
      <c r="D665" s="339"/>
      <c r="E665" s="339"/>
      <c r="F665" s="339"/>
      <c r="G665" s="339"/>
      <c r="H665" s="339"/>
      <c r="I665" s="339"/>
      <c r="J665" s="341"/>
      <c r="K665" s="339"/>
      <c r="L665" s="339"/>
      <c r="M665" s="341"/>
      <c r="N665" s="339"/>
      <c r="O665" s="339"/>
      <c r="P665" s="341"/>
      <c r="Q665" s="339"/>
      <c r="R665" s="339"/>
      <c r="S665" s="341"/>
      <c r="T665" s="339"/>
      <c r="U665" s="339"/>
    </row>
    <row r="666" spans="1:21" ht="15.75" customHeight="1">
      <c r="A666" s="339"/>
      <c r="B666" s="339"/>
      <c r="C666" s="339"/>
      <c r="D666" s="339"/>
      <c r="E666" s="339"/>
      <c r="F666" s="339"/>
      <c r="G666" s="339"/>
      <c r="H666" s="339"/>
      <c r="I666" s="339"/>
      <c r="J666" s="341"/>
      <c r="K666" s="339"/>
      <c r="L666" s="339"/>
      <c r="M666" s="341"/>
      <c r="N666" s="339"/>
      <c r="O666" s="339"/>
      <c r="P666" s="341"/>
      <c r="Q666" s="339"/>
      <c r="R666" s="339"/>
      <c r="S666" s="341"/>
      <c r="T666" s="339"/>
      <c r="U666" s="339"/>
    </row>
    <row r="667" spans="1:21" ht="15.75" customHeight="1">
      <c r="A667" s="339"/>
      <c r="B667" s="339"/>
      <c r="C667" s="339"/>
      <c r="D667" s="339"/>
      <c r="E667" s="339"/>
      <c r="F667" s="339"/>
      <c r="G667" s="339"/>
      <c r="H667" s="339"/>
      <c r="I667" s="339"/>
      <c r="J667" s="341"/>
      <c r="K667" s="339"/>
      <c r="L667" s="339"/>
      <c r="M667" s="341"/>
      <c r="N667" s="339"/>
      <c r="O667" s="339"/>
      <c r="P667" s="341"/>
      <c r="Q667" s="339"/>
      <c r="R667" s="339"/>
      <c r="S667" s="341"/>
      <c r="T667" s="339"/>
      <c r="U667" s="339"/>
    </row>
    <row r="668" spans="1:21" ht="15.75" customHeight="1">
      <c r="A668" s="339"/>
      <c r="B668" s="339"/>
      <c r="C668" s="339"/>
      <c r="D668" s="339"/>
      <c r="E668" s="339"/>
      <c r="F668" s="339"/>
      <c r="G668" s="339"/>
      <c r="H668" s="339"/>
      <c r="I668" s="339"/>
      <c r="J668" s="341"/>
      <c r="K668" s="339"/>
      <c r="L668" s="339"/>
      <c r="M668" s="341"/>
      <c r="N668" s="339"/>
      <c r="O668" s="339"/>
      <c r="P668" s="341"/>
      <c r="Q668" s="339"/>
      <c r="R668" s="339"/>
      <c r="S668" s="341"/>
      <c r="T668" s="339"/>
      <c r="U668" s="339"/>
    </row>
    <row r="669" spans="1:21" ht="15.75" customHeight="1">
      <c r="A669" s="339"/>
      <c r="B669" s="339"/>
      <c r="C669" s="339"/>
      <c r="D669" s="339"/>
      <c r="E669" s="339"/>
      <c r="F669" s="339"/>
      <c r="G669" s="339"/>
      <c r="H669" s="339"/>
      <c r="I669" s="339"/>
      <c r="J669" s="341"/>
      <c r="K669" s="339"/>
      <c r="L669" s="339"/>
      <c r="M669" s="341"/>
      <c r="N669" s="339"/>
      <c r="O669" s="339"/>
      <c r="P669" s="341"/>
      <c r="Q669" s="339"/>
      <c r="R669" s="339"/>
      <c r="S669" s="341"/>
      <c r="T669" s="339"/>
      <c r="U669" s="339"/>
    </row>
    <row r="670" spans="1:21" ht="15.75" customHeight="1">
      <c r="A670" s="339"/>
      <c r="B670" s="339"/>
      <c r="C670" s="339"/>
      <c r="D670" s="339"/>
      <c r="E670" s="339"/>
      <c r="F670" s="339"/>
      <c r="G670" s="339"/>
      <c r="H670" s="339"/>
      <c r="I670" s="339"/>
      <c r="J670" s="341"/>
      <c r="K670" s="339"/>
      <c r="L670" s="339"/>
      <c r="M670" s="341"/>
      <c r="N670" s="339"/>
      <c r="O670" s="339"/>
      <c r="P670" s="341"/>
      <c r="Q670" s="339"/>
      <c r="R670" s="339"/>
      <c r="S670" s="341"/>
      <c r="T670" s="339"/>
      <c r="U670" s="339"/>
    </row>
    <row r="671" spans="1:21" ht="15.75" customHeight="1">
      <c r="A671" s="339"/>
      <c r="B671" s="339"/>
      <c r="C671" s="339"/>
      <c r="D671" s="339"/>
      <c r="E671" s="339"/>
      <c r="F671" s="339"/>
      <c r="G671" s="339"/>
      <c r="H671" s="339"/>
      <c r="I671" s="339"/>
      <c r="J671" s="341"/>
      <c r="K671" s="339"/>
      <c r="L671" s="339"/>
      <c r="M671" s="341"/>
      <c r="N671" s="339"/>
      <c r="O671" s="339"/>
      <c r="P671" s="341"/>
      <c r="Q671" s="339"/>
      <c r="R671" s="339"/>
      <c r="S671" s="341"/>
      <c r="T671" s="339"/>
      <c r="U671" s="339"/>
    </row>
    <row r="672" spans="1:21" ht="15.75" customHeight="1">
      <c r="A672" s="339"/>
      <c r="B672" s="339"/>
      <c r="C672" s="339"/>
      <c r="D672" s="339"/>
      <c r="E672" s="339"/>
      <c r="F672" s="339"/>
      <c r="G672" s="339"/>
      <c r="H672" s="339"/>
      <c r="I672" s="339"/>
      <c r="J672" s="341"/>
      <c r="K672" s="339"/>
      <c r="L672" s="339"/>
      <c r="M672" s="341"/>
      <c r="N672" s="339"/>
      <c r="O672" s="339"/>
      <c r="P672" s="341"/>
      <c r="Q672" s="339"/>
      <c r="R672" s="339"/>
      <c r="S672" s="341"/>
      <c r="T672" s="339"/>
      <c r="U672" s="339"/>
    </row>
    <row r="673" spans="1:21" ht="15.75" customHeight="1">
      <c r="A673" s="339"/>
      <c r="B673" s="339"/>
      <c r="C673" s="339"/>
      <c r="D673" s="339"/>
      <c r="E673" s="339"/>
      <c r="F673" s="339"/>
      <c r="G673" s="339"/>
      <c r="H673" s="339"/>
      <c r="I673" s="339"/>
      <c r="J673" s="341"/>
      <c r="K673" s="339"/>
      <c r="L673" s="339"/>
      <c r="M673" s="341"/>
      <c r="N673" s="339"/>
      <c r="O673" s="339"/>
      <c r="P673" s="341"/>
      <c r="Q673" s="339"/>
      <c r="R673" s="339"/>
      <c r="S673" s="341"/>
      <c r="T673" s="339"/>
      <c r="U673" s="339"/>
    </row>
    <row r="674" spans="1:21" ht="15.75" customHeight="1">
      <c r="A674" s="339"/>
      <c r="B674" s="339"/>
      <c r="C674" s="339"/>
      <c r="D674" s="339"/>
      <c r="E674" s="339"/>
      <c r="F674" s="339"/>
      <c r="G674" s="339"/>
      <c r="H674" s="339"/>
      <c r="I674" s="339"/>
      <c r="J674" s="341"/>
      <c r="K674" s="339"/>
      <c r="L674" s="339"/>
      <c r="M674" s="341"/>
      <c r="N674" s="339"/>
      <c r="O674" s="339"/>
      <c r="P674" s="341"/>
      <c r="Q674" s="339"/>
      <c r="R674" s="339"/>
      <c r="S674" s="341"/>
      <c r="T674" s="339"/>
      <c r="U674" s="339"/>
    </row>
    <row r="675" spans="1:21" ht="15.75" customHeight="1">
      <c r="A675" s="339"/>
      <c r="B675" s="339"/>
      <c r="C675" s="339"/>
      <c r="D675" s="339"/>
      <c r="E675" s="339"/>
      <c r="F675" s="339"/>
      <c r="G675" s="339"/>
      <c r="H675" s="339"/>
      <c r="I675" s="339"/>
      <c r="J675" s="341"/>
      <c r="K675" s="339"/>
      <c r="L675" s="339"/>
      <c r="M675" s="341"/>
      <c r="N675" s="339"/>
      <c r="O675" s="339"/>
      <c r="P675" s="341"/>
      <c r="Q675" s="339"/>
      <c r="R675" s="339"/>
      <c r="S675" s="341"/>
      <c r="T675" s="339"/>
      <c r="U675" s="339"/>
    </row>
    <row r="676" spans="1:21" ht="15.75" customHeight="1">
      <c r="A676" s="339"/>
      <c r="B676" s="339"/>
      <c r="C676" s="339"/>
      <c r="D676" s="339"/>
      <c r="E676" s="339"/>
      <c r="F676" s="339"/>
      <c r="G676" s="339"/>
      <c r="H676" s="339"/>
      <c r="I676" s="339"/>
      <c r="J676" s="341"/>
      <c r="K676" s="339"/>
      <c r="L676" s="339"/>
      <c r="M676" s="341"/>
      <c r="N676" s="339"/>
      <c r="O676" s="339"/>
      <c r="P676" s="341"/>
      <c r="Q676" s="339"/>
      <c r="R676" s="339"/>
      <c r="S676" s="341"/>
      <c r="T676" s="339"/>
      <c r="U676" s="339"/>
    </row>
    <row r="677" spans="1:21" ht="15.75" customHeight="1">
      <c r="A677" s="339"/>
      <c r="B677" s="339"/>
      <c r="C677" s="339"/>
      <c r="D677" s="339"/>
      <c r="E677" s="339"/>
      <c r="F677" s="339"/>
      <c r="G677" s="339"/>
      <c r="H677" s="339"/>
      <c r="I677" s="339"/>
      <c r="J677" s="341"/>
      <c r="K677" s="339"/>
      <c r="L677" s="339"/>
      <c r="M677" s="341"/>
      <c r="N677" s="339"/>
      <c r="O677" s="339"/>
      <c r="P677" s="341"/>
      <c r="Q677" s="339"/>
      <c r="R677" s="339"/>
      <c r="S677" s="341"/>
      <c r="T677" s="339"/>
      <c r="U677" s="339"/>
    </row>
    <row r="678" spans="1:21" ht="15.75" customHeight="1">
      <c r="A678" s="339"/>
      <c r="B678" s="339"/>
      <c r="C678" s="339"/>
      <c r="D678" s="339"/>
      <c r="E678" s="339"/>
      <c r="F678" s="339"/>
      <c r="G678" s="339"/>
      <c r="H678" s="339"/>
      <c r="I678" s="339"/>
      <c r="J678" s="341"/>
      <c r="K678" s="339"/>
      <c r="L678" s="339"/>
      <c r="M678" s="341"/>
      <c r="N678" s="339"/>
      <c r="O678" s="339"/>
      <c r="P678" s="341"/>
      <c r="Q678" s="339"/>
      <c r="R678" s="339"/>
      <c r="S678" s="341"/>
      <c r="T678" s="339"/>
      <c r="U678" s="339"/>
    </row>
    <row r="679" spans="1:21" ht="15.75" customHeight="1">
      <c r="A679" s="339"/>
      <c r="B679" s="339"/>
      <c r="C679" s="339"/>
      <c r="D679" s="339"/>
      <c r="E679" s="339"/>
      <c r="F679" s="339"/>
      <c r="G679" s="339"/>
      <c r="H679" s="339"/>
      <c r="I679" s="339"/>
      <c r="J679" s="341"/>
      <c r="K679" s="339"/>
      <c r="L679" s="339"/>
      <c r="M679" s="341"/>
      <c r="N679" s="339"/>
      <c r="O679" s="339"/>
      <c r="P679" s="341"/>
      <c r="Q679" s="339"/>
      <c r="R679" s="339"/>
      <c r="S679" s="341"/>
      <c r="T679" s="339"/>
      <c r="U679" s="339"/>
    </row>
    <row r="680" spans="1:21" ht="15.75" customHeight="1">
      <c r="A680" s="339"/>
      <c r="B680" s="339"/>
      <c r="C680" s="339"/>
      <c r="D680" s="339"/>
      <c r="E680" s="339"/>
      <c r="F680" s="339"/>
      <c r="G680" s="339"/>
      <c r="H680" s="339"/>
      <c r="I680" s="339"/>
      <c r="J680" s="341"/>
      <c r="K680" s="339"/>
      <c r="L680" s="339"/>
      <c r="M680" s="341"/>
      <c r="N680" s="339"/>
      <c r="O680" s="339"/>
      <c r="P680" s="341"/>
      <c r="Q680" s="339"/>
      <c r="R680" s="339"/>
      <c r="S680" s="341"/>
      <c r="T680" s="339"/>
      <c r="U680" s="339"/>
    </row>
    <row r="681" spans="1:21" ht="15.75" customHeight="1">
      <c r="A681" s="339"/>
      <c r="B681" s="339"/>
      <c r="C681" s="339"/>
      <c r="D681" s="339"/>
      <c r="E681" s="339"/>
      <c r="F681" s="339"/>
      <c r="G681" s="339"/>
      <c r="H681" s="339"/>
      <c r="I681" s="339"/>
      <c r="J681" s="341"/>
      <c r="K681" s="339"/>
      <c r="L681" s="339"/>
      <c r="M681" s="341"/>
      <c r="N681" s="339"/>
      <c r="O681" s="339"/>
      <c r="P681" s="341"/>
      <c r="Q681" s="339"/>
      <c r="R681" s="339"/>
      <c r="S681" s="341"/>
      <c r="T681" s="339"/>
      <c r="U681" s="339"/>
    </row>
    <row r="682" spans="1:21" ht="15.75" customHeight="1">
      <c r="A682" s="339"/>
      <c r="B682" s="339"/>
      <c r="C682" s="339"/>
      <c r="D682" s="339"/>
      <c r="E682" s="339"/>
      <c r="F682" s="339"/>
      <c r="G682" s="339"/>
      <c r="H682" s="339"/>
      <c r="I682" s="339"/>
      <c r="J682" s="341"/>
      <c r="K682" s="339"/>
      <c r="L682" s="339"/>
      <c r="M682" s="341"/>
      <c r="N682" s="339"/>
      <c r="O682" s="339"/>
      <c r="P682" s="341"/>
      <c r="Q682" s="339"/>
      <c r="R682" s="339"/>
      <c r="S682" s="341"/>
      <c r="T682" s="339"/>
      <c r="U682" s="339"/>
    </row>
    <row r="683" spans="1:21" ht="15.75" customHeight="1">
      <c r="A683" s="339"/>
      <c r="B683" s="339"/>
      <c r="C683" s="339"/>
      <c r="D683" s="339"/>
      <c r="E683" s="339"/>
      <c r="F683" s="339"/>
      <c r="G683" s="339"/>
      <c r="H683" s="339"/>
      <c r="I683" s="339"/>
      <c r="J683" s="341"/>
      <c r="K683" s="339"/>
      <c r="L683" s="339"/>
      <c r="M683" s="341"/>
      <c r="N683" s="339"/>
      <c r="O683" s="339"/>
      <c r="P683" s="341"/>
      <c r="Q683" s="339"/>
      <c r="R683" s="339"/>
      <c r="S683" s="341"/>
      <c r="T683" s="339"/>
      <c r="U683" s="339"/>
    </row>
    <row r="684" spans="1:21" ht="15.75" customHeight="1">
      <c r="A684" s="339"/>
      <c r="B684" s="339"/>
      <c r="C684" s="339"/>
      <c r="D684" s="339"/>
      <c r="E684" s="339"/>
      <c r="F684" s="339"/>
      <c r="G684" s="339"/>
      <c r="H684" s="339"/>
      <c r="I684" s="339"/>
      <c r="J684" s="341"/>
      <c r="K684" s="339"/>
      <c r="L684" s="339"/>
      <c r="M684" s="341"/>
      <c r="N684" s="339"/>
      <c r="O684" s="339"/>
      <c r="P684" s="341"/>
      <c r="Q684" s="339"/>
      <c r="R684" s="339"/>
      <c r="S684" s="341"/>
      <c r="T684" s="339"/>
      <c r="U684" s="339"/>
    </row>
    <row r="685" spans="1:21" ht="15.75" customHeight="1">
      <c r="A685" s="339"/>
      <c r="B685" s="339"/>
      <c r="C685" s="339"/>
      <c r="D685" s="339"/>
      <c r="E685" s="339"/>
      <c r="F685" s="339"/>
      <c r="G685" s="339"/>
      <c r="H685" s="339"/>
      <c r="I685" s="339"/>
      <c r="J685" s="341"/>
      <c r="K685" s="339"/>
      <c r="L685" s="339"/>
      <c r="M685" s="341"/>
      <c r="N685" s="339"/>
      <c r="O685" s="339"/>
      <c r="P685" s="341"/>
      <c r="Q685" s="339"/>
      <c r="R685" s="339"/>
      <c r="S685" s="341"/>
      <c r="T685" s="339"/>
      <c r="U685" s="339"/>
    </row>
    <row r="686" spans="1:21" ht="15.75" customHeight="1">
      <c r="A686" s="339"/>
      <c r="B686" s="339"/>
      <c r="C686" s="339"/>
      <c r="D686" s="339"/>
      <c r="E686" s="339"/>
      <c r="F686" s="339"/>
      <c r="G686" s="339"/>
      <c r="H686" s="339"/>
      <c r="I686" s="339"/>
      <c r="J686" s="341"/>
      <c r="K686" s="339"/>
      <c r="L686" s="339"/>
      <c r="M686" s="341"/>
      <c r="N686" s="339"/>
      <c r="O686" s="339"/>
      <c r="P686" s="341"/>
      <c r="Q686" s="339"/>
      <c r="R686" s="339"/>
      <c r="S686" s="341"/>
      <c r="T686" s="339"/>
      <c r="U686" s="339"/>
    </row>
    <row r="687" spans="1:21" ht="15.75" customHeight="1">
      <c r="A687" s="339"/>
      <c r="B687" s="339"/>
      <c r="C687" s="339"/>
      <c r="D687" s="339"/>
      <c r="E687" s="339"/>
      <c r="F687" s="339"/>
      <c r="G687" s="339"/>
      <c r="H687" s="339"/>
      <c r="I687" s="339"/>
      <c r="J687" s="341"/>
      <c r="K687" s="339"/>
      <c r="L687" s="339"/>
      <c r="M687" s="341"/>
      <c r="N687" s="339"/>
      <c r="O687" s="339"/>
      <c r="P687" s="341"/>
      <c r="Q687" s="339"/>
      <c r="R687" s="339"/>
      <c r="S687" s="341"/>
      <c r="T687" s="339"/>
      <c r="U687" s="339"/>
    </row>
    <row r="688" spans="1:21" ht="15.75" customHeight="1">
      <c r="A688" s="339"/>
      <c r="B688" s="339"/>
      <c r="C688" s="339"/>
      <c r="D688" s="339"/>
      <c r="E688" s="339"/>
      <c r="F688" s="339"/>
      <c r="G688" s="339"/>
      <c r="H688" s="339"/>
      <c r="I688" s="339"/>
      <c r="J688" s="341"/>
      <c r="K688" s="339"/>
      <c r="L688" s="339"/>
      <c r="M688" s="341"/>
      <c r="N688" s="339"/>
      <c r="O688" s="339"/>
      <c r="P688" s="341"/>
      <c r="Q688" s="339"/>
      <c r="R688" s="339"/>
      <c r="S688" s="341"/>
      <c r="T688" s="339"/>
      <c r="U688" s="339"/>
    </row>
    <row r="689" spans="1:21" ht="15.75" customHeight="1">
      <c r="A689" s="339"/>
      <c r="B689" s="339"/>
      <c r="C689" s="339"/>
      <c r="D689" s="339"/>
      <c r="E689" s="339"/>
      <c r="F689" s="339"/>
      <c r="G689" s="339"/>
      <c r="H689" s="339"/>
      <c r="I689" s="339"/>
      <c r="J689" s="341"/>
      <c r="K689" s="339"/>
      <c r="L689" s="339"/>
      <c r="M689" s="341"/>
      <c r="N689" s="339"/>
      <c r="O689" s="339"/>
      <c r="P689" s="341"/>
      <c r="Q689" s="339"/>
      <c r="R689" s="339"/>
      <c r="S689" s="341"/>
      <c r="T689" s="339"/>
      <c r="U689" s="339"/>
    </row>
    <row r="690" spans="1:21" ht="15.75" customHeight="1">
      <c r="A690" s="339"/>
      <c r="B690" s="339"/>
      <c r="C690" s="339"/>
      <c r="D690" s="339"/>
      <c r="E690" s="339"/>
      <c r="F690" s="339"/>
      <c r="G690" s="339"/>
      <c r="H690" s="339"/>
      <c r="I690" s="339"/>
      <c r="J690" s="341"/>
      <c r="K690" s="339"/>
      <c r="L690" s="339"/>
      <c r="M690" s="341"/>
      <c r="N690" s="339"/>
      <c r="O690" s="339"/>
      <c r="P690" s="341"/>
      <c r="Q690" s="339"/>
      <c r="R690" s="339"/>
      <c r="S690" s="341"/>
      <c r="T690" s="339"/>
      <c r="U690" s="339"/>
    </row>
    <row r="691" spans="1:21" ht="15.75" customHeight="1">
      <c r="A691" s="339"/>
      <c r="B691" s="339"/>
      <c r="C691" s="339"/>
      <c r="D691" s="339"/>
      <c r="E691" s="339"/>
      <c r="F691" s="339"/>
      <c r="G691" s="339"/>
      <c r="H691" s="339"/>
      <c r="I691" s="339"/>
      <c r="J691" s="341"/>
      <c r="K691" s="339"/>
      <c r="L691" s="339"/>
      <c r="M691" s="341"/>
      <c r="N691" s="339"/>
      <c r="O691" s="339"/>
      <c r="P691" s="341"/>
      <c r="Q691" s="339"/>
      <c r="R691" s="339"/>
      <c r="S691" s="341"/>
      <c r="T691" s="339"/>
      <c r="U691" s="339"/>
    </row>
    <row r="692" spans="1:21" ht="15.75" customHeight="1">
      <c r="A692" s="339"/>
      <c r="B692" s="339"/>
      <c r="C692" s="339"/>
      <c r="D692" s="339"/>
      <c r="E692" s="339"/>
      <c r="F692" s="339"/>
      <c r="G692" s="339"/>
      <c r="H692" s="339"/>
      <c r="I692" s="339"/>
      <c r="J692" s="341"/>
      <c r="K692" s="339"/>
      <c r="L692" s="339"/>
      <c r="M692" s="341"/>
      <c r="N692" s="339"/>
      <c r="O692" s="339"/>
      <c r="P692" s="341"/>
      <c r="Q692" s="339"/>
      <c r="R692" s="339"/>
      <c r="S692" s="341"/>
      <c r="T692" s="339"/>
      <c r="U692" s="339"/>
    </row>
    <row r="693" spans="1:21" ht="15.75" customHeight="1">
      <c r="A693" s="339"/>
      <c r="B693" s="339"/>
      <c r="C693" s="339"/>
      <c r="D693" s="339"/>
      <c r="E693" s="339"/>
      <c r="F693" s="339"/>
      <c r="G693" s="339"/>
      <c r="H693" s="339"/>
      <c r="I693" s="339"/>
      <c r="J693" s="341"/>
      <c r="K693" s="339"/>
      <c r="L693" s="339"/>
      <c r="M693" s="341"/>
      <c r="N693" s="339"/>
      <c r="O693" s="339"/>
      <c r="P693" s="341"/>
      <c r="Q693" s="339"/>
      <c r="R693" s="339"/>
      <c r="S693" s="341"/>
      <c r="T693" s="339"/>
      <c r="U693" s="339"/>
    </row>
    <row r="694" spans="1:21" ht="15.75" customHeight="1">
      <c r="A694" s="339"/>
      <c r="B694" s="339"/>
      <c r="C694" s="339"/>
      <c r="D694" s="339"/>
      <c r="E694" s="339"/>
      <c r="F694" s="339"/>
      <c r="G694" s="339"/>
      <c r="H694" s="339"/>
      <c r="I694" s="339"/>
      <c r="J694" s="341"/>
      <c r="K694" s="339"/>
      <c r="L694" s="339"/>
      <c r="M694" s="341"/>
      <c r="N694" s="339"/>
      <c r="O694" s="339"/>
      <c r="P694" s="341"/>
      <c r="Q694" s="339"/>
      <c r="R694" s="339"/>
      <c r="S694" s="341"/>
      <c r="T694" s="339"/>
      <c r="U694" s="339"/>
    </row>
    <row r="695" spans="1:21" ht="15.75" customHeight="1">
      <c r="A695" s="339"/>
      <c r="B695" s="339"/>
      <c r="C695" s="339"/>
      <c r="D695" s="339"/>
      <c r="E695" s="339"/>
      <c r="F695" s="339"/>
      <c r="G695" s="339"/>
      <c r="H695" s="339"/>
      <c r="I695" s="339"/>
      <c r="J695" s="341"/>
      <c r="K695" s="339"/>
      <c r="L695" s="339"/>
      <c r="M695" s="341"/>
      <c r="N695" s="339"/>
      <c r="O695" s="339"/>
      <c r="P695" s="341"/>
      <c r="Q695" s="339"/>
      <c r="R695" s="339"/>
      <c r="S695" s="341"/>
      <c r="T695" s="339"/>
      <c r="U695" s="339"/>
    </row>
    <row r="696" spans="1:21" ht="15.75" customHeight="1">
      <c r="A696" s="339"/>
      <c r="B696" s="339"/>
      <c r="C696" s="339"/>
      <c r="D696" s="339"/>
      <c r="E696" s="339"/>
      <c r="F696" s="339"/>
      <c r="G696" s="339"/>
      <c r="H696" s="339"/>
      <c r="I696" s="339"/>
      <c r="J696" s="341"/>
      <c r="K696" s="339"/>
      <c r="L696" s="339"/>
      <c r="M696" s="341"/>
      <c r="N696" s="339"/>
      <c r="O696" s="339"/>
      <c r="P696" s="341"/>
      <c r="Q696" s="339"/>
      <c r="R696" s="339"/>
      <c r="S696" s="341"/>
      <c r="T696" s="339"/>
      <c r="U696" s="339"/>
    </row>
    <row r="697" spans="1:21" ht="15.75" customHeight="1">
      <c r="A697" s="339"/>
      <c r="B697" s="339"/>
      <c r="C697" s="339"/>
      <c r="D697" s="339"/>
      <c r="E697" s="339"/>
      <c r="F697" s="339"/>
      <c r="G697" s="339"/>
      <c r="H697" s="339"/>
      <c r="I697" s="339"/>
      <c r="J697" s="341"/>
      <c r="K697" s="339"/>
      <c r="L697" s="339"/>
      <c r="M697" s="341"/>
      <c r="N697" s="339"/>
      <c r="O697" s="339"/>
      <c r="P697" s="341"/>
      <c r="Q697" s="339"/>
      <c r="R697" s="339"/>
      <c r="S697" s="341"/>
      <c r="T697" s="339"/>
      <c r="U697" s="339"/>
    </row>
    <row r="698" spans="1:21" ht="15.75" customHeight="1">
      <c r="A698" s="339"/>
      <c r="B698" s="339"/>
      <c r="C698" s="339"/>
      <c r="D698" s="339"/>
      <c r="E698" s="339"/>
      <c r="F698" s="339"/>
      <c r="G698" s="339"/>
      <c r="H698" s="339"/>
      <c r="I698" s="339"/>
      <c r="J698" s="341"/>
      <c r="K698" s="339"/>
      <c r="L698" s="339"/>
      <c r="M698" s="341"/>
      <c r="N698" s="339"/>
      <c r="O698" s="339"/>
      <c r="P698" s="341"/>
      <c r="Q698" s="339"/>
      <c r="R698" s="339"/>
      <c r="S698" s="341"/>
      <c r="T698" s="339"/>
      <c r="U698" s="339"/>
    </row>
    <row r="699" spans="1:21" ht="15.75" customHeight="1">
      <c r="A699" s="339"/>
      <c r="B699" s="339"/>
      <c r="C699" s="339"/>
      <c r="D699" s="339"/>
      <c r="E699" s="339"/>
      <c r="F699" s="339"/>
      <c r="G699" s="339"/>
      <c r="H699" s="339"/>
      <c r="I699" s="339"/>
      <c r="J699" s="341"/>
      <c r="K699" s="339"/>
      <c r="L699" s="339"/>
      <c r="M699" s="341"/>
      <c r="N699" s="339"/>
      <c r="O699" s="339"/>
      <c r="P699" s="341"/>
      <c r="Q699" s="339"/>
      <c r="R699" s="339"/>
      <c r="S699" s="341"/>
      <c r="T699" s="339"/>
      <c r="U699" s="339"/>
    </row>
    <row r="700" spans="1:21" ht="15.75" customHeight="1">
      <c r="A700" s="339"/>
      <c r="B700" s="339"/>
      <c r="C700" s="339"/>
      <c r="D700" s="339"/>
      <c r="E700" s="339"/>
      <c r="F700" s="339"/>
      <c r="G700" s="339"/>
      <c r="H700" s="339"/>
      <c r="I700" s="339"/>
      <c r="J700" s="341"/>
      <c r="K700" s="339"/>
      <c r="L700" s="339"/>
      <c r="M700" s="341"/>
      <c r="N700" s="339"/>
      <c r="O700" s="339"/>
      <c r="P700" s="341"/>
      <c r="Q700" s="339"/>
      <c r="R700" s="339"/>
      <c r="S700" s="341"/>
      <c r="T700" s="339"/>
      <c r="U700" s="339"/>
    </row>
    <row r="701" spans="1:21" ht="15.75" customHeight="1">
      <c r="A701" s="339"/>
      <c r="B701" s="339"/>
      <c r="C701" s="339"/>
      <c r="D701" s="339"/>
      <c r="E701" s="339"/>
      <c r="F701" s="339"/>
      <c r="G701" s="339"/>
      <c r="H701" s="339"/>
      <c r="I701" s="339"/>
      <c r="J701" s="341"/>
      <c r="K701" s="339"/>
      <c r="L701" s="339"/>
      <c r="M701" s="341"/>
      <c r="N701" s="339"/>
      <c r="O701" s="339"/>
      <c r="P701" s="341"/>
      <c r="Q701" s="339"/>
      <c r="R701" s="339"/>
      <c r="S701" s="341"/>
      <c r="T701" s="339"/>
      <c r="U701" s="339"/>
    </row>
    <row r="702" spans="1:21" ht="15.75" customHeight="1">
      <c r="A702" s="339"/>
      <c r="B702" s="339"/>
      <c r="C702" s="339"/>
      <c r="D702" s="339"/>
      <c r="E702" s="339"/>
      <c r="F702" s="339"/>
      <c r="G702" s="339"/>
      <c r="H702" s="339"/>
      <c r="I702" s="339"/>
      <c r="J702" s="341"/>
      <c r="K702" s="339"/>
      <c r="L702" s="339"/>
      <c r="M702" s="341"/>
      <c r="N702" s="339"/>
      <c r="O702" s="339"/>
      <c r="P702" s="341"/>
      <c r="Q702" s="339"/>
      <c r="R702" s="339"/>
      <c r="S702" s="341"/>
      <c r="T702" s="339"/>
      <c r="U702" s="339"/>
    </row>
    <row r="703" spans="1:21" ht="15.75" customHeight="1">
      <c r="A703" s="339"/>
      <c r="B703" s="339"/>
      <c r="C703" s="339"/>
      <c r="D703" s="339"/>
      <c r="E703" s="339"/>
      <c r="F703" s="339"/>
      <c r="G703" s="339"/>
      <c r="H703" s="339"/>
      <c r="I703" s="339"/>
      <c r="J703" s="341"/>
      <c r="K703" s="339"/>
      <c r="L703" s="339"/>
      <c r="M703" s="341"/>
      <c r="N703" s="339"/>
      <c r="O703" s="339"/>
      <c r="P703" s="341"/>
      <c r="Q703" s="339"/>
      <c r="R703" s="339"/>
      <c r="S703" s="341"/>
      <c r="T703" s="339"/>
      <c r="U703" s="339"/>
    </row>
    <row r="704" spans="1:21" ht="15.75" customHeight="1">
      <c r="A704" s="339"/>
      <c r="B704" s="339"/>
      <c r="C704" s="339"/>
      <c r="D704" s="339"/>
      <c r="E704" s="339"/>
      <c r="F704" s="339"/>
      <c r="G704" s="339"/>
      <c r="H704" s="339"/>
      <c r="I704" s="339"/>
      <c r="J704" s="341"/>
      <c r="K704" s="339"/>
      <c r="L704" s="339"/>
      <c r="M704" s="341"/>
      <c r="N704" s="339"/>
      <c r="O704" s="339"/>
      <c r="P704" s="341"/>
      <c r="Q704" s="339"/>
      <c r="R704" s="339"/>
      <c r="S704" s="341"/>
      <c r="T704" s="339"/>
      <c r="U704" s="339"/>
    </row>
    <row r="705" spans="1:21" ht="15.75" customHeight="1">
      <c r="A705" s="339"/>
      <c r="B705" s="339"/>
      <c r="C705" s="339"/>
      <c r="D705" s="339"/>
      <c r="E705" s="339"/>
      <c r="F705" s="339"/>
      <c r="G705" s="339"/>
      <c r="H705" s="339"/>
      <c r="I705" s="339"/>
      <c r="J705" s="341"/>
      <c r="K705" s="339"/>
      <c r="L705" s="339"/>
      <c r="M705" s="341"/>
      <c r="N705" s="339"/>
      <c r="O705" s="339"/>
      <c r="P705" s="341"/>
      <c r="Q705" s="339"/>
      <c r="R705" s="339"/>
      <c r="S705" s="341"/>
      <c r="T705" s="339"/>
      <c r="U705" s="339"/>
    </row>
    <row r="706" spans="1:21" ht="15.75" customHeight="1">
      <c r="A706" s="339"/>
      <c r="B706" s="339"/>
      <c r="C706" s="339"/>
      <c r="D706" s="339"/>
      <c r="E706" s="339"/>
      <c r="F706" s="339"/>
      <c r="G706" s="339"/>
      <c r="H706" s="339"/>
      <c r="I706" s="339"/>
      <c r="J706" s="341"/>
      <c r="K706" s="339"/>
      <c r="L706" s="339"/>
      <c r="M706" s="341"/>
      <c r="N706" s="339"/>
      <c r="O706" s="339"/>
      <c r="P706" s="341"/>
      <c r="Q706" s="339"/>
      <c r="R706" s="339"/>
      <c r="S706" s="341"/>
      <c r="T706" s="339"/>
      <c r="U706" s="339"/>
    </row>
    <row r="707" spans="1:21" ht="15.75" customHeight="1">
      <c r="A707" s="339"/>
      <c r="B707" s="339"/>
      <c r="C707" s="339"/>
      <c r="D707" s="339"/>
      <c r="E707" s="339"/>
      <c r="F707" s="339"/>
      <c r="G707" s="339"/>
      <c r="H707" s="339"/>
      <c r="I707" s="339"/>
      <c r="J707" s="341"/>
      <c r="K707" s="339"/>
      <c r="L707" s="339"/>
      <c r="M707" s="341"/>
      <c r="N707" s="339"/>
      <c r="O707" s="339"/>
      <c r="P707" s="341"/>
      <c r="Q707" s="339"/>
      <c r="R707" s="339"/>
      <c r="S707" s="341"/>
      <c r="T707" s="339"/>
      <c r="U707" s="339"/>
    </row>
    <row r="708" spans="1:21" ht="15.75" customHeight="1">
      <c r="A708" s="339"/>
      <c r="B708" s="339"/>
      <c r="C708" s="339"/>
      <c r="D708" s="339"/>
      <c r="E708" s="339"/>
      <c r="F708" s="339"/>
      <c r="G708" s="339"/>
      <c r="H708" s="339"/>
      <c r="I708" s="339"/>
      <c r="J708" s="341"/>
      <c r="K708" s="339"/>
      <c r="L708" s="339"/>
      <c r="M708" s="341"/>
      <c r="N708" s="339"/>
      <c r="O708" s="339"/>
      <c r="P708" s="341"/>
      <c r="Q708" s="339"/>
      <c r="R708" s="339"/>
      <c r="S708" s="341"/>
      <c r="T708" s="339"/>
      <c r="U708" s="339"/>
    </row>
    <row r="709" spans="1:21" ht="15.75" customHeight="1">
      <c r="A709" s="339"/>
      <c r="B709" s="339"/>
      <c r="C709" s="339"/>
      <c r="D709" s="339"/>
      <c r="E709" s="339"/>
      <c r="F709" s="339"/>
      <c r="G709" s="339"/>
      <c r="H709" s="339"/>
      <c r="I709" s="339"/>
      <c r="J709" s="341"/>
      <c r="K709" s="339"/>
      <c r="L709" s="339"/>
      <c r="M709" s="341"/>
      <c r="N709" s="339"/>
      <c r="O709" s="339"/>
      <c r="P709" s="341"/>
      <c r="Q709" s="339"/>
      <c r="R709" s="339"/>
      <c r="S709" s="341"/>
      <c r="T709" s="339"/>
      <c r="U709" s="339"/>
    </row>
    <row r="710" spans="1:21" ht="15.75" customHeight="1">
      <c r="A710" s="339"/>
      <c r="B710" s="339"/>
      <c r="C710" s="339"/>
      <c r="D710" s="339"/>
      <c r="E710" s="339"/>
      <c r="F710" s="339"/>
      <c r="G710" s="339"/>
      <c r="H710" s="339"/>
      <c r="I710" s="339"/>
      <c r="J710" s="341"/>
      <c r="K710" s="339"/>
      <c r="L710" s="339"/>
      <c r="M710" s="341"/>
      <c r="N710" s="339"/>
      <c r="O710" s="339"/>
      <c r="P710" s="341"/>
      <c r="Q710" s="339"/>
      <c r="R710" s="339"/>
      <c r="S710" s="341"/>
      <c r="T710" s="339"/>
      <c r="U710" s="339"/>
    </row>
    <row r="711" spans="1:21" ht="15.75" customHeight="1">
      <c r="A711" s="339"/>
      <c r="B711" s="339"/>
      <c r="C711" s="339"/>
      <c r="D711" s="339"/>
      <c r="E711" s="339"/>
      <c r="F711" s="339"/>
      <c r="G711" s="339"/>
      <c r="H711" s="339"/>
      <c r="I711" s="339"/>
      <c r="J711" s="341"/>
      <c r="K711" s="339"/>
      <c r="L711" s="339"/>
      <c r="M711" s="341"/>
      <c r="N711" s="339"/>
      <c r="O711" s="339"/>
      <c r="P711" s="341"/>
      <c r="Q711" s="339"/>
      <c r="R711" s="339"/>
      <c r="S711" s="341"/>
      <c r="T711" s="339"/>
      <c r="U711" s="339"/>
    </row>
    <row r="712" spans="1:21" ht="15.75" customHeight="1">
      <c r="A712" s="339"/>
      <c r="B712" s="339"/>
      <c r="C712" s="339"/>
      <c r="D712" s="339"/>
      <c r="E712" s="339"/>
      <c r="F712" s="339"/>
      <c r="G712" s="339"/>
      <c r="H712" s="339"/>
      <c r="I712" s="339"/>
      <c r="J712" s="341"/>
      <c r="K712" s="339"/>
      <c r="L712" s="339"/>
      <c r="M712" s="341"/>
      <c r="N712" s="339"/>
      <c r="O712" s="339"/>
      <c r="P712" s="341"/>
      <c r="Q712" s="339"/>
      <c r="R712" s="339"/>
      <c r="S712" s="341"/>
      <c r="T712" s="339"/>
      <c r="U712" s="339"/>
    </row>
    <row r="713" spans="1:21" ht="15.75" customHeight="1">
      <c r="A713" s="339"/>
      <c r="B713" s="339"/>
      <c r="C713" s="339"/>
      <c r="D713" s="339"/>
      <c r="E713" s="339"/>
      <c r="F713" s="339"/>
      <c r="G713" s="339"/>
      <c r="H713" s="339"/>
      <c r="I713" s="339"/>
      <c r="J713" s="341"/>
      <c r="K713" s="339"/>
      <c r="L713" s="339"/>
      <c r="M713" s="341"/>
      <c r="N713" s="339"/>
      <c r="O713" s="339"/>
      <c r="P713" s="341"/>
      <c r="Q713" s="339"/>
      <c r="R713" s="339"/>
      <c r="S713" s="341"/>
      <c r="T713" s="339"/>
      <c r="U713" s="339"/>
    </row>
    <row r="714" spans="1:21" ht="15.75" customHeight="1">
      <c r="A714" s="339"/>
      <c r="B714" s="339"/>
      <c r="C714" s="339"/>
      <c r="D714" s="339"/>
      <c r="E714" s="339"/>
      <c r="F714" s="339"/>
      <c r="G714" s="339"/>
      <c r="H714" s="339"/>
      <c r="I714" s="339"/>
      <c r="J714" s="341"/>
      <c r="K714" s="339"/>
      <c r="L714" s="339"/>
      <c r="M714" s="341"/>
      <c r="N714" s="339"/>
      <c r="O714" s="339"/>
      <c r="P714" s="341"/>
      <c r="Q714" s="339"/>
      <c r="R714" s="339"/>
      <c r="S714" s="341"/>
      <c r="T714" s="339"/>
      <c r="U714" s="339"/>
    </row>
    <row r="715" spans="1:21" ht="15.75" customHeight="1">
      <c r="A715" s="339"/>
      <c r="B715" s="339"/>
      <c r="C715" s="339"/>
      <c r="D715" s="339"/>
      <c r="E715" s="339"/>
      <c r="F715" s="339"/>
      <c r="G715" s="339"/>
      <c r="H715" s="339"/>
      <c r="I715" s="339"/>
      <c r="J715" s="341"/>
      <c r="K715" s="339"/>
      <c r="L715" s="339"/>
      <c r="M715" s="341"/>
      <c r="N715" s="339"/>
      <c r="O715" s="339"/>
      <c r="P715" s="341"/>
      <c r="Q715" s="339"/>
      <c r="R715" s="339"/>
      <c r="S715" s="341"/>
      <c r="T715" s="339"/>
      <c r="U715" s="339"/>
    </row>
    <row r="716" spans="1:21" ht="15.75" customHeight="1">
      <c r="A716" s="339"/>
      <c r="B716" s="339"/>
      <c r="C716" s="339"/>
      <c r="D716" s="339"/>
      <c r="E716" s="339"/>
      <c r="F716" s="339"/>
      <c r="G716" s="339"/>
      <c r="H716" s="339"/>
      <c r="I716" s="339"/>
      <c r="J716" s="341"/>
      <c r="K716" s="339"/>
      <c r="L716" s="339"/>
      <c r="M716" s="341"/>
      <c r="N716" s="339"/>
      <c r="O716" s="339"/>
      <c r="P716" s="341"/>
      <c r="Q716" s="339"/>
      <c r="R716" s="339"/>
      <c r="S716" s="341"/>
      <c r="T716" s="339"/>
      <c r="U716" s="339"/>
    </row>
    <row r="717" spans="1:21" ht="15.75" customHeight="1">
      <c r="A717" s="339"/>
      <c r="B717" s="339"/>
      <c r="C717" s="339"/>
      <c r="D717" s="339"/>
      <c r="E717" s="339"/>
      <c r="F717" s="339"/>
      <c r="G717" s="339"/>
      <c r="H717" s="339"/>
      <c r="I717" s="339"/>
      <c r="J717" s="341"/>
      <c r="K717" s="339"/>
      <c r="L717" s="339"/>
      <c r="M717" s="341"/>
      <c r="N717" s="339"/>
      <c r="O717" s="339"/>
      <c r="P717" s="341"/>
      <c r="Q717" s="339"/>
      <c r="R717" s="339"/>
      <c r="S717" s="341"/>
      <c r="T717" s="339"/>
      <c r="U717" s="339"/>
    </row>
    <row r="718" spans="1:21" ht="15.75" customHeight="1">
      <c r="A718" s="339"/>
      <c r="B718" s="339"/>
      <c r="C718" s="339"/>
      <c r="D718" s="339"/>
      <c r="E718" s="339"/>
      <c r="F718" s="339"/>
      <c r="G718" s="339"/>
      <c r="H718" s="339"/>
      <c r="I718" s="339"/>
      <c r="J718" s="341"/>
      <c r="K718" s="339"/>
      <c r="L718" s="339"/>
      <c r="M718" s="341"/>
      <c r="N718" s="339"/>
      <c r="O718" s="339"/>
      <c r="P718" s="341"/>
      <c r="Q718" s="339"/>
      <c r="R718" s="339"/>
      <c r="S718" s="341"/>
      <c r="T718" s="339"/>
      <c r="U718" s="339"/>
    </row>
    <row r="719" spans="1:21" ht="15.75" customHeight="1">
      <c r="A719" s="339"/>
      <c r="B719" s="339"/>
      <c r="C719" s="339"/>
      <c r="D719" s="339"/>
      <c r="E719" s="339"/>
      <c r="F719" s="339"/>
      <c r="G719" s="339"/>
      <c r="H719" s="339"/>
      <c r="I719" s="339"/>
      <c r="J719" s="341"/>
      <c r="K719" s="339"/>
      <c r="L719" s="339"/>
      <c r="M719" s="341"/>
      <c r="N719" s="339"/>
      <c r="O719" s="339"/>
      <c r="P719" s="341"/>
      <c r="Q719" s="339"/>
      <c r="R719" s="339"/>
      <c r="S719" s="341"/>
      <c r="T719" s="339"/>
      <c r="U719" s="339"/>
    </row>
    <row r="720" spans="1:21" ht="15.75" customHeight="1">
      <c r="A720" s="339"/>
      <c r="B720" s="339"/>
      <c r="C720" s="339"/>
      <c r="D720" s="339"/>
      <c r="E720" s="339"/>
      <c r="F720" s="339"/>
      <c r="G720" s="339"/>
      <c r="H720" s="339"/>
      <c r="I720" s="339"/>
      <c r="J720" s="341"/>
      <c r="K720" s="339"/>
      <c r="L720" s="339"/>
      <c r="M720" s="341"/>
      <c r="N720" s="339"/>
      <c r="O720" s="339"/>
      <c r="P720" s="341"/>
      <c r="Q720" s="339"/>
      <c r="R720" s="339"/>
      <c r="S720" s="341"/>
      <c r="T720" s="339"/>
      <c r="U720" s="339"/>
    </row>
    <row r="721" spans="1:21" ht="15.75" customHeight="1">
      <c r="A721" s="339"/>
      <c r="B721" s="339"/>
      <c r="C721" s="339"/>
      <c r="D721" s="339"/>
      <c r="E721" s="339"/>
      <c r="F721" s="339"/>
      <c r="G721" s="339"/>
      <c r="H721" s="339"/>
      <c r="I721" s="339"/>
      <c r="J721" s="341"/>
      <c r="K721" s="339"/>
      <c r="L721" s="339"/>
      <c r="M721" s="341"/>
      <c r="N721" s="339"/>
      <c r="O721" s="339"/>
      <c r="P721" s="341"/>
      <c r="Q721" s="339"/>
      <c r="R721" s="339"/>
      <c r="S721" s="341"/>
      <c r="T721" s="339"/>
      <c r="U721" s="339"/>
    </row>
    <row r="722" spans="1:21" ht="15.75" customHeight="1">
      <c r="A722" s="339"/>
      <c r="B722" s="339"/>
      <c r="C722" s="339"/>
      <c r="D722" s="339"/>
      <c r="E722" s="339"/>
      <c r="F722" s="339"/>
      <c r="G722" s="339"/>
      <c r="H722" s="339"/>
      <c r="I722" s="339"/>
      <c r="J722" s="341"/>
      <c r="K722" s="339"/>
      <c r="L722" s="339"/>
      <c r="M722" s="341"/>
      <c r="N722" s="339"/>
      <c r="O722" s="339"/>
      <c r="P722" s="341"/>
      <c r="Q722" s="339"/>
      <c r="R722" s="339"/>
      <c r="S722" s="341"/>
      <c r="T722" s="339"/>
      <c r="U722" s="339"/>
    </row>
    <row r="723" spans="1:21" ht="15.75" customHeight="1">
      <c r="A723" s="339"/>
      <c r="B723" s="339"/>
      <c r="C723" s="339"/>
      <c r="D723" s="339"/>
      <c r="E723" s="339"/>
      <c r="F723" s="339"/>
      <c r="G723" s="339"/>
      <c r="H723" s="339"/>
      <c r="I723" s="339"/>
      <c r="J723" s="341"/>
      <c r="K723" s="339"/>
      <c r="L723" s="339"/>
      <c r="M723" s="341"/>
      <c r="N723" s="339"/>
      <c r="O723" s="339"/>
      <c r="P723" s="341"/>
      <c r="Q723" s="339"/>
      <c r="R723" s="339"/>
      <c r="S723" s="341"/>
      <c r="T723" s="339"/>
      <c r="U723" s="339"/>
    </row>
    <row r="724" spans="1:21" ht="15.75" customHeight="1">
      <c r="A724" s="339"/>
      <c r="B724" s="339"/>
      <c r="C724" s="339"/>
      <c r="D724" s="339"/>
      <c r="E724" s="339"/>
      <c r="F724" s="339"/>
      <c r="G724" s="339"/>
      <c r="H724" s="339"/>
      <c r="I724" s="339"/>
      <c r="J724" s="341"/>
      <c r="K724" s="339"/>
      <c r="L724" s="339"/>
      <c r="M724" s="341"/>
      <c r="N724" s="339"/>
      <c r="O724" s="339"/>
      <c r="P724" s="341"/>
      <c r="Q724" s="339"/>
      <c r="R724" s="339"/>
      <c r="S724" s="341"/>
      <c r="T724" s="339"/>
      <c r="U724" s="339"/>
    </row>
    <row r="725" spans="1:21" ht="15.75" customHeight="1">
      <c r="A725" s="339"/>
      <c r="B725" s="339"/>
      <c r="C725" s="339"/>
      <c r="D725" s="339"/>
      <c r="E725" s="339"/>
      <c r="F725" s="339"/>
      <c r="G725" s="339"/>
      <c r="H725" s="339"/>
      <c r="I725" s="339"/>
      <c r="J725" s="341"/>
      <c r="K725" s="339"/>
      <c r="L725" s="339"/>
      <c r="M725" s="341"/>
      <c r="N725" s="339"/>
      <c r="O725" s="339"/>
      <c r="P725" s="341"/>
      <c r="Q725" s="339"/>
      <c r="R725" s="339"/>
      <c r="S725" s="341"/>
      <c r="T725" s="339"/>
      <c r="U725" s="339"/>
    </row>
    <row r="726" spans="1:21" ht="15.75" customHeight="1">
      <c r="A726" s="339"/>
      <c r="B726" s="339"/>
      <c r="C726" s="339"/>
      <c r="D726" s="339"/>
      <c r="E726" s="339"/>
      <c r="F726" s="339"/>
      <c r="G726" s="339"/>
      <c r="H726" s="339"/>
      <c r="I726" s="339"/>
      <c r="J726" s="341"/>
      <c r="K726" s="339"/>
      <c r="L726" s="339"/>
      <c r="M726" s="341"/>
      <c r="N726" s="339"/>
      <c r="O726" s="339"/>
      <c r="P726" s="341"/>
      <c r="Q726" s="339"/>
      <c r="R726" s="339"/>
      <c r="S726" s="341"/>
      <c r="T726" s="339"/>
      <c r="U726" s="339"/>
    </row>
    <row r="727" spans="1:21" ht="15.75" customHeight="1">
      <c r="A727" s="339"/>
      <c r="B727" s="339"/>
      <c r="C727" s="339"/>
      <c r="D727" s="339"/>
      <c r="E727" s="339"/>
      <c r="F727" s="339"/>
      <c r="G727" s="339"/>
      <c r="H727" s="339"/>
      <c r="I727" s="339"/>
      <c r="J727" s="341"/>
      <c r="K727" s="339"/>
      <c r="L727" s="339"/>
      <c r="M727" s="341"/>
      <c r="N727" s="339"/>
      <c r="O727" s="339"/>
      <c r="P727" s="341"/>
      <c r="Q727" s="339"/>
      <c r="R727" s="339"/>
      <c r="S727" s="341"/>
      <c r="T727" s="339"/>
      <c r="U727" s="339"/>
    </row>
    <row r="728" spans="1:21" ht="15.75" customHeight="1">
      <c r="A728" s="339"/>
      <c r="B728" s="339"/>
      <c r="C728" s="339"/>
      <c r="D728" s="339"/>
      <c r="E728" s="339"/>
      <c r="F728" s="339"/>
      <c r="G728" s="339"/>
      <c r="H728" s="339"/>
      <c r="I728" s="339"/>
      <c r="J728" s="341"/>
      <c r="K728" s="339"/>
      <c r="L728" s="339"/>
      <c r="M728" s="341"/>
      <c r="N728" s="339"/>
      <c r="O728" s="339"/>
      <c r="P728" s="341"/>
      <c r="Q728" s="339"/>
      <c r="R728" s="339"/>
      <c r="S728" s="341"/>
      <c r="T728" s="339"/>
      <c r="U728" s="339"/>
    </row>
    <row r="729" spans="1:21" ht="15.75" customHeight="1">
      <c r="A729" s="339"/>
      <c r="B729" s="339"/>
      <c r="C729" s="339"/>
      <c r="D729" s="339"/>
      <c r="E729" s="339"/>
      <c r="F729" s="339"/>
      <c r="G729" s="339"/>
      <c r="H729" s="339"/>
      <c r="I729" s="339"/>
      <c r="J729" s="341"/>
      <c r="K729" s="339"/>
      <c r="L729" s="339"/>
      <c r="M729" s="341"/>
      <c r="N729" s="339"/>
      <c r="O729" s="339"/>
      <c r="P729" s="341"/>
      <c r="Q729" s="339"/>
      <c r="R729" s="339"/>
      <c r="S729" s="341"/>
      <c r="T729" s="339"/>
      <c r="U729" s="339"/>
    </row>
    <row r="730" spans="1:21" ht="15.75" customHeight="1">
      <c r="A730" s="339"/>
      <c r="B730" s="339"/>
      <c r="C730" s="339"/>
      <c r="D730" s="339"/>
      <c r="E730" s="339"/>
      <c r="F730" s="339"/>
      <c r="G730" s="339"/>
      <c r="H730" s="339"/>
      <c r="I730" s="339"/>
      <c r="J730" s="341"/>
      <c r="K730" s="339"/>
      <c r="L730" s="339"/>
      <c r="M730" s="341"/>
      <c r="N730" s="339"/>
      <c r="O730" s="339"/>
      <c r="P730" s="341"/>
      <c r="Q730" s="339"/>
      <c r="R730" s="339"/>
      <c r="S730" s="341"/>
      <c r="T730" s="339"/>
      <c r="U730" s="339"/>
    </row>
    <row r="731" spans="1:21" ht="15.75" customHeight="1">
      <c r="A731" s="339"/>
      <c r="B731" s="339"/>
      <c r="C731" s="339"/>
      <c r="D731" s="339"/>
      <c r="E731" s="339"/>
      <c r="F731" s="339"/>
      <c r="G731" s="339"/>
      <c r="H731" s="339"/>
      <c r="I731" s="339"/>
      <c r="J731" s="341"/>
      <c r="K731" s="339"/>
      <c r="L731" s="339"/>
      <c r="M731" s="341"/>
      <c r="N731" s="339"/>
      <c r="O731" s="339"/>
      <c r="P731" s="341"/>
      <c r="Q731" s="339"/>
      <c r="R731" s="339"/>
      <c r="S731" s="341"/>
      <c r="T731" s="339"/>
      <c r="U731" s="339"/>
    </row>
    <row r="732" spans="1:21" ht="15.75" customHeight="1">
      <c r="A732" s="339"/>
      <c r="B732" s="339"/>
      <c r="C732" s="339"/>
      <c r="D732" s="339"/>
      <c r="E732" s="339"/>
      <c r="F732" s="339"/>
      <c r="G732" s="339"/>
      <c r="H732" s="339"/>
      <c r="I732" s="339"/>
      <c r="J732" s="341"/>
      <c r="K732" s="339"/>
      <c r="L732" s="339"/>
      <c r="M732" s="341"/>
      <c r="N732" s="339"/>
      <c r="O732" s="339"/>
      <c r="P732" s="341"/>
      <c r="Q732" s="339"/>
      <c r="R732" s="339"/>
      <c r="S732" s="341"/>
      <c r="T732" s="339"/>
      <c r="U732" s="339"/>
    </row>
    <row r="733" spans="1:21" ht="15.75" customHeight="1">
      <c r="A733" s="339"/>
      <c r="B733" s="339"/>
      <c r="C733" s="339"/>
      <c r="D733" s="339"/>
      <c r="E733" s="339"/>
      <c r="F733" s="339"/>
      <c r="G733" s="339"/>
      <c r="H733" s="339"/>
      <c r="I733" s="339"/>
      <c r="J733" s="341"/>
      <c r="K733" s="339"/>
      <c r="L733" s="339"/>
      <c r="M733" s="341"/>
      <c r="N733" s="339"/>
      <c r="O733" s="339"/>
      <c r="P733" s="341"/>
      <c r="Q733" s="339"/>
      <c r="R733" s="339"/>
      <c r="S733" s="341"/>
      <c r="T733" s="339"/>
      <c r="U733" s="339"/>
    </row>
    <row r="734" spans="1:21" ht="15.75" customHeight="1">
      <c r="A734" s="339"/>
      <c r="B734" s="339"/>
      <c r="C734" s="339"/>
      <c r="D734" s="339"/>
      <c r="E734" s="339"/>
      <c r="F734" s="339"/>
      <c r="G734" s="339"/>
      <c r="H734" s="339"/>
      <c r="I734" s="339"/>
      <c r="J734" s="341"/>
      <c r="K734" s="339"/>
      <c r="L734" s="339"/>
      <c r="M734" s="341"/>
      <c r="N734" s="339"/>
      <c r="O734" s="339"/>
      <c r="P734" s="341"/>
      <c r="Q734" s="339"/>
      <c r="R734" s="339"/>
      <c r="S734" s="341"/>
      <c r="T734" s="339"/>
      <c r="U734" s="339"/>
    </row>
    <row r="735" spans="1:21" ht="15.75" customHeight="1">
      <c r="A735" s="339"/>
      <c r="B735" s="339"/>
      <c r="C735" s="339"/>
      <c r="D735" s="339"/>
      <c r="E735" s="339"/>
      <c r="F735" s="339"/>
      <c r="G735" s="339"/>
      <c r="H735" s="339"/>
      <c r="I735" s="339"/>
      <c r="J735" s="341"/>
      <c r="K735" s="339"/>
      <c r="L735" s="339"/>
      <c r="M735" s="341"/>
      <c r="N735" s="339"/>
      <c r="O735" s="339"/>
      <c r="P735" s="341"/>
      <c r="Q735" s="339"/>
      <c r="R735" s="339"/>
      <c r="S735" s="341"/>
      <c r="T735" s="339"/>
      <c r="U735" s="339"/>
    </row>
    <row r="736" spans="1:21" ht="15.75" customHeight="1">
      <c r="A736" s="339"/>
      <c r="B736" s="339"/>
      <c r="C736" s="339"/>
      <c r="D736" s="339"/>
      <c r="E736" s="339"/>
      <c r="F736" s="339"/>
      <c r="G736" s="339"/>
      <c r="H736" s="339"/>
      <c r="I736" s="339"/>
      <c r="J736" s="341"/>
      <c r="K736" s="339"/>
      <c r="L736" s="339"/>
      <c r="M736" s="341"/>
      <c r="N736" s="339"/>
      <c r="O736" s="339"/>
      <c r="P736" s="341"/>
      <c r="Q736" s="339"/>
      <c r="R736" s="339"/>
      <c r="S736" s="341"/>
      <c r="T736" s="339"/>
      <c r="U736" s="339"/>
    </row>
    <row r="737" spans="1:21" ht="15.75" customHeight="1">
      <c r="A737" s="339"/>
      <c r="B737" s="339"/>
      <c r="C737" s="339"/>
      <c r="D737" s="339"/>
      <c r="E737" s="339"/>
      <c r="F737" s="339"/>
      <c r="G737" s="339"/>
      <c r="H737" s="339"/>
      <c r="I737" s="339"/>
      <c r="J737" s="341"/>
      <c r="K737" s="339"/>
      <c r="L737" s="339"/>
      <c r="M737" s="341"/>
      <c r="N737" s="339"/>
      <c r="O737" s="339"/>
      <c r="P737" s="341"/>
      <c r="Q737" s="339"/>
      <c r="R737" s="339"/>
      <c r="S737" s="341"/>
      <c r="T737" s="339"/>
      <c r="U737" s="339"/>
    </row>
    <row r="738" spans="1:21" ht="15.75" customHeight="1">
      <c r="A738" s="339"/>
      <c r="B738" s="339"/>
      <c r="C738" s="339"/>
      <c r="D738" s="339"/>
      <c r="E738" s="339"/>
      <c r="F738" s="339"/>
      <c r="G738" s="339"/>
      <c r="H738" s="339"/>
      <c r="I738" s="339"/>
      <c r="J738" s="341"/>
      <c r="K738" s="339"/>
      <c r="L738" s="339"/>
      <c r="M738" s="341"/>
      <c r="N738" s="339"/>
      <c r="O738" s="339"/>
      <c r="P738" s="341"/>
      <c r="Q738" s="339"/>
      <c r="R738" s="339"/>
      <c r="S738" s="341"/>
      <c r="T738" s="339"/>
      <c r="U738" s="339"/>
    </row>
    <row r="739" spans="1:21" ht="15.75" customHeight="1">
      <c r="A739" s="339"/>
      <c r="B739" s="339"/>
      <c r="C739" s="339"/>
      <c r="D739" s="339"/>
      <c r="E739" s="339"/>
      <c r="F739" s="339"/>
      <c r="G739" s="339"/>
      <c r="H739" s="339"/>
      <c r="I739" s="339"/>
      <c r="J739" s="341"/>
      <c r="K739" s="339"/>
      <c r="L739" s="339"/>
      <c r="M739" s="341"/>
      <c r="N739" s="339"/>
      <c r="O739" s="339"/>
      <c r="P739" s="341"/>
      <c r="Q739" s="339"/>
      <c r="R739" s="339"/>
      <c r="S739" s="341"/>
      <c r="T739" s="339"/>
      <c r="U739" s="339"/>
    </row>
    <row r="740" spans="1:21" ht="15.75" customHeight="1">
      <c r="A740" s="339"/>
      <c r="B740" s="339"/>
      <c r="C740" s="339"/>
      <c r="D740" s="339"/>
      <c r="E740" s="339"/>
      <c r="F740" s="339"/>
      <c r="G740" s="339"/>
      <c r="H740" s="339"/>
      <c r="I740" s="339"/>
      <c r="J740" s="341"/>
      <c r="K740" s="339"/>
      <c r="L740" s="339"/>
      <c r="M740" s="341"/>
      <c r="N740" s="339"/>
      <c r="O740" s="339"/>
      <c r="P740" s="341"/>
      <c r="Q740" s="339"/>
      <c r="R740" s="339"/>
      <c r="S740" s="341"/>
      <c r="T740" s="339"/>
      <c r="U740" s="339"/>
    </row>
    <row r="741" spans="1:21" ht="15.75" customHeight="1">
      <c r="A741" s="339"/>
      <c r="B741" s="339"/>
      <c r="C741" s="339"/>
      <c r="D741" s="339"/>
      <c r="E741" s="339"/>
      <c r="F741" s="339"/>
      <c r="G741" s="339"/>
      <c r="H741" s="339"/>
      <c r="I741" s="339"/>
      <c r="J741" s="341"/>
      <c r="K741" s="339"/>
      <c r="L741" s="339"/>
      <c r="M741" s="341"/>
      <c r="N741" s="339"/>
      <c r="O741" s="339"/>
      <c r="P741" s="341"/>
      <c r="Q741" s="339"/>
      <c r="R741" s="339"/>
      <c r="S741" s="341"/>
      <c r="T741" s="339"/>
      <c r="U741" s="339"/>
    </row>
    <row r="742" spans="1:21" ht="15.75" customHeight="1">
      <c r="A742" s="339"/>
      <c r="B742" s="339"/>
      <c r="C742" s="339"/>
      <c r="D742" s="339"/>
      <c r="E742" s="339"/>
      <c r="F742" s="339"/>
      <c r="G742" s="339"/>
      <c r="H742" s="339"/>
      <c r="I742" s="339"/>
      <c r="J742" s="341"/>
      <c r="K742" s="339"/>
      <c r="L742" s="339"/>
      <c r="M742" s="341"/>
      <c r="N742" s="339"/>
      <c r="O742" s="339"/>
      <c r="P742" s="341"/>
      <c r="Q742" s="339"/>
      <c r="R742" s="339"/>
      <c r="S742" s="341"/>
      <c r="T742" s="339"/>
      <c r="U742" s="339"/>
    </row>
    <row r="743" spans="1:21" ht="15.75" customHeight="1">
      <c r="A743" s="339"/>
      <c r="B743" s="339"/>
      <c r="C743" s="339"/>
      <c r="D743" s="339"/>
      <c r="E743" s="339"/>
      <c r="F743" s="339"/>
      <c r="G743" s="339"/>
      <c r="H743" s="339"/>
      <c r="I743" s="339"/>
      <c r="J743" s="341"/>
      <c r="K743" s="339"/>
      <c r="L743" s="339"/>
      <c r="M743" s="341"/>
      <c r="N743" s="339"/>
      <c r="O743" s="339"/>
      <c r="P743" s="341"/>
      <c r="Q743" s="339"/>
      <c r="R743" s="339"/>
      <c r="S743" s="341"/>
      <c r="T743" s="339"/>
      <c r="U743" s="339"/>
    </row>
    <row r="744" spans="1:21" ht="15.75" customHeight="1">
      <c r="A744" s="339"/>
      <c r="B744" s="339"/>
      <c r="C744" s="339"/>
      <c r="D744" s="339"/>
      <c r="E744" s="339"/>
      <c r="F744" s="339"/>
      <c r="G744" s="339"/>
      <c r="H744" s="339"/>
      <c r="I744" s="339"/>
      <c r="J744" s="341"/>
      <c r="K744" s="339"/>
      <c r="L744" s="339"/>
      <c r="M744" s="341"/>
      <c r="N744" s="339"/>
      <c r="O744" s="339"/>
      <c r="P744" s="341"/>
      <c r="Q744" s="339"/>
      <c r="R744" s="339"/>
      <c r="S744" s="341"/>
      <c r="T744" s="339"/>
      <c r="U744" s="339"/>
    </row>
    <row r="745" spans="1:21" ht="15.75" customHeight="1">
      <c r="A745" s="339"/>
      <c r="B745" s="339"/>
      <c r="C745" s="339"/>
      <c r="D745" s="339"/>
      <c r="E745" s="339"/>
      <c r="F745" s="339"/>
      <c r="G745" s="339"/>
      <c r="H745" s="339"/>
      <c r="I745" s="339"/>
      <c r="J745" s="341"/>
      <c r="K745" s="339"/>
      <c r="L745" s="339"/>
      <c r="M745" s="341"/>
      <c r="N745" s="339"/>
      <c r="O745" s="339"/>
      <c r="P745" s="341"/>
      <c r="Q745" s="339"/>
      <c r="R745" s="339"/>
      <c r="S745" s="341"/>
      <c r="T745" s="339"/>
      <c r="U745" s="339"/>
    </row>
    <row r="746" spans="1:21" ht="15.75" customHeight="1">
      <c r="A746" s="339"/>
      <c r="B746" s="339"/>
      <c r="C746" s="339"/>
      <c r="D746" s="339"/>
      <c r="E746" s="339"/>
      <c r="F746" s="339"/>
      <c r="G746" s="339"/>
      <c r="H746" s="339"/>
      <c r="I746" s="339"/>
      <c r="J746" s="341"/>
      <c r="K746" s="339"/>
      <c r="L746" s="339"/>
      <c r="M746" s="341"/>
      <c r="N746" s="339"/>
      <c r="O746" s="339"/>
      <c r="P746" s="341"/>
      <c r="Q746" s="339"/>
      <c r="R746" s="339"/>
      <c r="S746" s="341"/>
      <c r="T746" s="339"/>
      <c r="U746" s="339"/>
    </row>
    <row r="747" spans="1:21" ht="15.75" customHeight="1">
      <c r="A747" s="339"/>
      <c r="B747" s="339"/>
      <c r="C747" s="339"/>
      <c r="D747" s="339"/>
      <c r="E747" s="339"/>
      <c r="F747" s="339"/>
      <c r="G747" s="339"/>
      <c r="H747" s="339"/>
      <c r="I747" s="339"/>
      <c r="J747" s="341"/>
      <c r="K747" s="339"/>
      <c r="L747" s="339"/>
      <c r="M747" s="341"/>
      <c r="N747" s="339"/>
      <c r="O747" s="339"/>
      <c r="P747" s="341"/>
      <c r="Q747" s="339"/>
      <c r="R747" s="339"/>
      <c r="S747" s="341"/>
      <c r="T747" s="339"/>
      <c r="U747" s="339"/>
    </row>
    <row r="748" spans="1:21" ht="15.75" customHeight="1">
      <c r="A748" s="339"/>
      <c r="B748" s="339"/>
      <c r="C748" s="339"/>
      <c r="D748" s="339"/>
      <c r="E748" s="339"/>
      <c r="F748" s="339"/>
      <c r="G748" s="339"/>
      <c r="H748" s="339"/>
      <c r="I748" s="339"/>
      <c r="J748" s="341"/>
      <c r="K748" s="339"/>
      <c r="L748" s="339"/>
      <c r="M748" s="341"/>
      <c r="N748" s="339"/>
      <c r="O748" s="339"/>
      <c r="P748" s="341"/>
      <c r="Q748" s="339"/>
      <c r="R748" s="339"/>
      <c r="S748" s="341"/>
      <c r="T748" s="339"/>
      <c r="U748" s="339"/>
    </row>
    <row r="749" spans="1:21" ht="15.75" customHeight="1">
      <c r="A749" s="339"/>
      <c r="B749" s="339"/>
      <c r="C749" s="339"/>
      <c r="D749" s="339"/>
      <c r="E749" s="339"/>
      <c r="F749" s="339"/>
      <c r="G749" s="339"/>
      <c r="H749" s="339"/>
      <c r="I749" s="339"/>
      <c r="J749" s="341"/>
      <c r="K749" s="339"/>
      <c r="L749" s="339"/>
      <c r="M749" s="341"/>
      <c r="N749" s="339"/>
      <c r="O749" s="339"/>
      <c r="P749" s="341"/>
      <c r="Q749" s="339"/>
      <c r="R749" s="339"/>
      <c r="S749" s="341"/>
      <c r="T749" s="339"/>
      <c r="U749" s="339"/>
    </row>
    <row r="750" spans="1:21" ht="15.75" customHeight="1">
      <c r="A750" s="339"/>
      <c r="B750" s="339"/>
      <c r="C750" s="339"/>
      <c r="D750" s="339"/>
      <c r="E750" s="339"/>
      <c r="F750" s="339"/>
      <c r="G750" s="339"/>
      <c r="H750" s="339"/>
      <c r="I750" s="339"/>
      <c r="J750" s="341"/>
      <c r="K750" s="339"/>
      <c r="L750" s="339"/>
      <c r="M750" s="341"/>
      <c r="N750" s="339"/>
      <c r="O750" s="339"/>
      <c r="P750" s="341"/>
      <c r="Q750" s="339"/>
      <c r="R750" s="339"/>
      <c r="S750" s="341"/>
      <c r="T750" s="339"/>
      <c r="U750" s="339"/>
    </row>
    <row r="751" spans="1:21" ht="15.75" customHeight="1">
      <c r="A751" s="339"/>
      <c r="B751" s="339"/>
      <c r="C751" s="339"/>
      <c r="D751" s="339"/>
      <c r="E751" s="339"/>
      <c r="F751" s="339"/>
      <c r="G751" s="339"/>
      <c r="H751" s="339"/>
      <c r="I751" s="339"/>
      <c r="J751" s="341"/>
      <c r="K751" s="339"/>
      <c r="L751" s="339"/>
      <c r="M751" s="341"/>
      <c r="N751" s="339"/>
      <c r="O751" s="339"/>
      <c r="P751" s="341"/>
      <c r="Q751" s="339"/>
      <c r="R751" s="339"/>
      <c r="S751" s="341"/>
      <c r="T751" s="339"/>
      <c r="U751" s="339"/>
    </row>
    <row r="752" spans="1:21" ht="15.75" customHeight="1">
      <c r="A752" s="339"/>
      <c r="B752" s="339"/>
      <c r="C752" s="339"/>
      <c r="D752" s="339"/>
      <c r="E752" s="339"/>
      <c r="F752" s="339"/>
      <c r="G752" s="339"/>
      <c r="H752" s="339"/>
      <c r="I752" s="339"/>
      <c r="J752" s="341"/>
      <c r="K752" s="339"/>
      <c r="L752" s="339"/>
      <c r="M752" s="341"/>
      <c r="N752" s="339"/>
      <c r="O752" s="339"/>
      <c r="P752" s="341"/>
      <c r="Q752" s="339"/>
      <c r="R752" s="339"/>
      <c r="S752" s="341"/>
      <c r="T752" s="339"/>
      <c r="U752" s="339"/>
    </row>
    <row r="753" spans="1:21" ht="15.75" customHeight="1">
      <c r="A753" s="339"/>
      <c r="B753" s="339"/>
      <c r="C753" s="339"/>
      <c r="D753" s="339"/>
      <c r="E753" s="339"/>
      <c r="F753" s="339"/>
      <c r="G753" s="339"/>
      <c r="H753" s="339"/>
      <c r="I753" s="339"/>
      <c r="J753" s="341"/>
      <c r="K753" s="339"/>
      <c r="L753" s="339"/>
      <c r="M753" s="341"/>
      <c r="N753" s="339"/>
      <c r="O753" s="339"/>
      <c r="P753" s="341"/>
      <c r="Q753" s="339"/>
      <c r="R753" s="339"/>
      <c r="S753" s="341"/>
      <c r="T753" s="339"/>
      <c r="U753" s="339"/>
    </row>
    <row r="754" spans="1:21" ht="15.75" customHeight="1">
      <c r="A754" s="339"/>
      <c r="B754" s="339"/>
      <c r="C754" s="339"/>
      <c r="D754" s="339"/>
      <c r="E754" s="339"/>
      <c r="F754" s="339"/>
      <c r="G754" s="339"/>
      <c r="H754" s="339"/>
      <c r="I754" s="339"/>
      <c r="J754" s="341"/>
      <c r="K754" s="339"/>
      <c r="L754" s="339"/>
      <c r="M754" s="341"/>
      <c r="N754" s="339"/>
      <c r="O754" s="339"/>
      <c r="P754" s="341"/>
      <c r="Q754" s="339"/>
      <c r="R754" s="339"/>
      <c r="S754" s="341"/>
      <c r="T754" s="339"/>
      <c r="U754" s="339"/>
    </row>
    <row r="755" spans="1:21" ht="15.75" customHeight="1">
      <c r="A755" s="339"/>
      <c r="B755" s="339"/>
      <c r="C755" s="339"/>
      <c r="D755" s="339"/>
      <c r="E755" s="339"/>
      <c r="F755" s="339"/>
      <c r="G755" s="339"/>
      <c r="H755" s="339"/>
      <c r="I755" s="339"/>
      <c r="J755" s="341"/>
      <c r="K755" s="339"/>
      <c r="L755" s="339"/>
      <c r="M755" s="341"/>
      <c r="N755" s="339"/>
      <c r="O755" s="339"/>
      <c r="P755" s="341"/>
      <c r="Q755" s="339"/>
      <c r="R755" s="339"/>
      <c r="S755" s="341"/>
      <c r="T755" s="339"/>
      <c r="U755" s="339"/>
    </row>
    <row r="756" spans="1:21" ht="15.75" customHeight="1">
      <c r="A756" s="339"/>
      <c r="B756" s="339"/>
      <c r="C756" s="339"/>
      <c r="D756" s="339"/>
      <c r="E756" s="339"/>
      <c r="F756" s="339"/>
      <c r="G756" s="339"/>
      <c r="H756" s="339"/>
      <c r="I756" s="339"/>
      <c r="J756" s="341"/>
      <c r="K756" s="339"/>
      <c r="L756" s="339"/>
      <c r="M756" s="341"/>
      <c r="N756" s="339"/>
      <c r="O756" s="339"/>
      <c r="P756" s="341"/>
      <c r="Q756" s="339"/>
      <c r="R756" s="339"/>
      <c r="S756" s="341"/>
      <c r="T756" s="339"/>
      <c r="U756" s="339"/>
    </row>
    <row r="757" spans="1:21" ht="15.75" customHeight="1">
      <c r="A757" s="339"/>
      <c r="B757" s="339"/>
      <c r="C757" s="339"/>
      <c r="D757" s="339"/>
      <c r="E757" s="339"/>
      <c r="F757" s="339"/>
      <c r="G757" s="339"/>
      <c r="H757" s="339"/>
      <c r="I757" s="339"/>
      <c r="J757" s="341"/>
      <c r="K757" s="339"/>
      <c r="L757" s="339"/>
      <c r="M757" s="341"/>
      <c r="N757" s="339"/>
      <c r="O757" s="339"/>
      <c r="P757" s="341"/>
      <c r="Q757" s="339"/>
      <c r="R757" s="339"/>
      <c r="S757" s="341"/>
      <c r="T757" s="339"/>
      <c r="U757" s="339"/>
    </row>
    <row r="758" spans="1:21" ht="15.75" customHeight="1">
      <c r="A758" s="339"/>
      <c r="B758" s="339"/>
      <c r="C758" s="339"/>
      <c r="D758" s="339"/>
      <c r="E758" s="339"/>
      <c r="F758" s="339"/>
      <c r="G758" s="339"/>
      <c r="H758" s="339"/>
      <c r="I758" s="339"/>
      <c r="J758" s="341"/>
      <c r="K758" s="339"/>
      <c r="L758" s="339"/>
      <c r="M758" s="341"/>
      <c r="N758" s="339"/>
      <c r="O758" s="339"/>
      <c r="P758" s="341"/>
      <c r="Q758" s="339"/>
      <c r="R758" s="339"/>
      <c r="S758" s="341"/>
      <c r="T758" s="339"/>
      <c r="U758" s="339"/>
    </row>
    <row r="759" spans="1:21" ht="15.75" customHeight="1">
      <c r="A759" s="339"/>
      <c r="B759" s="339"/>
      <c r="C759" s="339"/>
      <c r="D759" s="339"/>
      <c r="E759" s="339"/>
      <c r="F759" s="339"/>
      <c r="G759" s="339"/>
      <c r="H759" s="339"/>
      <c r="I759" s="339"/>
      <c r="J759" s="341"/>
      <c r="K759" s="339"/>
      <c r="L759" s="339"/>
      <c r="M759" s="341"/>
      <c r="N759" s="339"/>
      <c r="O759" s="339"/>
      <c r="P759" s="341"/>
      <c r="Q759" s="339"/>
      <c r="R759" s="339"/>
      <c r="S759" s="341"/>
      <c r="T759" s="339"/>
      <c r="U759" s="339"/>
    </row>
    <row r="760" spans="1:21" ht="15.75" customHeight="1">
      <c r="A760" s="339"/>
      <c r="B760" s="339"/>
      <c r="C760" s="339"/>
      <c r="D760" s="339"/>
      <c r="E760" s="339"/>
      <c r="F760" s="339"/>
      <c r="G760" s="339"/>
      <c r="H760" s="339"/>
      <c r="I760" s="339"/>
      <c r="J760" s="341"/>
      <c r="K760" s="339"/>
      <c r="L760" s="339"/>
      <c r="M760" s="341"/>
      <c r="N760" s="339"/>
      <c r="O760" s="339"/>
      <c r="P760" s="341"/>
      <c r="Q760" s="339"/>
      <c r="R760" s="339"/>
      <c r="S760" s="341"/>
      <c r="T760" s="339"/>
      <c r="U760" s="339"/>
    </row>
    <row r="761" spans="1:21" ht="15.75" customHeight="1">
      <c r="A761" s="339"/>
      <c r="B761" s="339"/>
      <c r="C761" s="339"/>
      <c r="D761" s="339"/>
      <c r="E761" s="339"/>
      <c r="F761" s="339"/>
      <c r="G761" s="339"/>
      <c r="H761" s="339"/>
      <c r="I761" s="339"/>
      <c r="J761" s="341"/>
      <c r="K761" s="339"/>
      <c r="L761" s="339"/>
      <c r="M761" s="341"/>
      <c r="N761" s="339"/>
      <c r="O761" s="339"/>
      <c r="P761" s="341"/>
      <c r="Q761" s="339"/>
      <c r="R761" s="339"/>
      <c r="S761" s="341"/>
      <c r="T761" s="339"/>
      <c r="U761" s="339"/>
    </row>
    <row r="762" spans="1:21" ht="15.75" customHeight="1">
      <c r="A762" s="339"/>
      <c r="B762" s="339"/>
      <c r="C762" s="339"/>
      <c r="D762" s="339"/>
      <c r="E762" s="339"/>
      <c r="F762" s="339"/>
      <c r="G762" s="339"/>
      <c r="H762" s="339"/>
      <c r="I762" s="339"/>
      <c r="J762" s="341"/>
      <c r="K762" s="339"/>
      <c r="L762" s="339"/>
      <c r="M762" s="341"/>
      <c r="N762" s="339"/>
      <c r="O762" s="339"/>
      <c r="P762" s="341"/>
      <c r="Q762" s="339"/>
      <c r="R762" s="339"/>
      <c r="S762" s="341"/>
      <c r="T762" s="339"/>
      <c r="U762" s="339"/>
    </row>
    <row r="763" spans="1:21" ht="15.75" customHeight="1">
      <c r="A763" s="339"/>
      <c r="B763" s="339"/>
      <c r="C763" s="339"/>
      <c r="D763" s="339"/>
      <c r="E763" s="339"/>
      <c r="F763" s="339"/>
      <c r="G763" s="339"/>
      <c r="H763" s="339"/>
      <c r="I763" s="339"/>
      <c r="J763" s="341"/>
      <c r="K763" s="339"/>
      <c r="L763" s="339"/>
      <c r="M763" s="341"/>
      <c r="N763" s="339"/>
      <c r="O763" s="339"/>
      <c r="P763" s="341"/>
      <c r="Q763" s="339"/>
      <c r="R763" s="339"/>
      <c r="S763" s="341"/>
      <c r="T763" s="339"/>
      <c r="U763" s="339"/>
    </row>
    <row r="764" spans="1:21" ht="15.75" customHeight="1">
      <c r="A764" s="339"/>
      <c r="B764" s="339"/>
      <c r="C764" s="339"/>
      <c r="D764" s="339"/>
      <c r="E764" s="339"/>
      <c r="F764" s="339"/>
      <c r="G764" s="339"/>
      <c r="H764" s="339"/>
      <c r="I764" s="339"/>
      <c r="J764" s="341"/>
      <c r="K764" s="339"/>
      <c r="L764" s="339"/>
      <c r="M764" s="341"/>
      <c r="N764" s="339"/>
      <c r="O764" s="339"/>
      <c r="P764" s="341"/>
      <c r="Q764" s="339"/>
      <c r="R764" s="339"/>
      <c r="S764" s="341"/>
      <c r="T764" s="339"/>
      <c r="U764" s="339"/>
    </row>
    <row r="765" spans="1:21" ht="15.75" customHeight="1">
      <c r="A765" s="339"/>
      <c r="B765" s="339"/>
      <c r="C765" s="339"/>
      <c r="D765" s="339"/>
      <c r="E765" s="339"/>
      <c r="F765" s="339"/>
      <c r="G765" s="339"/>
      <c r="H765" s="339"/>
      <c r="I765" s="339"/>
      <c r="J765" s="341"/>
      <c r="K765" s="339"/>
      <c r="L765" s="339"/>
      <c r="M765" s="341"/>
      <c r="N765" s="339"/>
      <c r="O765" s="339"/>
      <c r="P765" s="341"/>
      <c r="Q765" s="339"/>
      <c r="R765" s="339"/>
      <c r="S765" s="341"/>
      <c r="T765" s="339"/>
      <c r="U765" s="339"/>
    </row>
    <row r="766" spans="1:21" ht="15.75" customHeight="1">
      <c r="A766" s="339"/>
      <c r="B766" s="339"/>
      <c r="C766" s="339"/>
      <c r="D766" s="339"/>
      <c r="E766" s="339"/>
      <c r="F766" s="339"/>
      <c r="G766" s="339"/>
      <c r="H766" s="339"/>
      <c r="I766" s="339"/>
      <c r="J766" s="341"/>
      <c r="K766" s="339"/>
      <c r="L766" s="339"/>
      <c r="M766" s="341"/>
      <c r="N766" s="339"/>
      <c r="O766" s="339"/>
      <c r="P766" s="341"/>
      <c r="Q766" s="339"/>
      <c r="R766" s="339"/>
      <c r="S766" s="341"/>
      <c r="T766" s="339"/>
      <c r="U766" s="339"/>
    </row>
    <row r="767" spans="1:21" ht="15.75" customHeight="1">
      <c r="A767" s="339"/>
      <c r="B767" s="339"/>
      <c r="C767" s="339"/>
      <c r="D767" s="339"/>
      <c r="E767" s="339"/>
      <c r="F767" s="339"/>
      <c r="G767" s="339"/>
      <c r="H767" s="339"/>
      <c r="I767" s="339"/>
      <c r="J767" s="341"/>
      <c r="K767" s="339"/>
      <c r="L767" s="339"/>
      <c r="M767" s="341"/>
      <c r="N767" s="339"/>
      <c r="O767" s="339"/>
      <c r="P767" s="341"/>
      <c r="Q767" s="339"/>
      <c r="R767" s="339"/>
      <c r="S767" s="341"/>
      <c r="T767" s="339"/>
      <c r="U767" s="339"/>
    </row>
    <row r="768" spans="1:21" ht="15.75" customHeight="1">
      <c r="A768" s="339"/>
      <c r="B768" s="339"/>
      <c r="C768" s="339"/>
      <c r="D768" s="339"/>
      <c r="E768" s="339"/>
      <c r="F768" s="339"/>
      <c r="G768" s="339"/>
      <c r="H768" s="339"/>
      <c r="I768" s="339"/>
      <c r="J768" s="341"/>
      <c r="K768" s="339"/>
      <c r="L768" s="339"/>
      <c r="M768" s="341"/>
      <c r="N768" s="339"/>
      <c r="O768" s="339"/>
      <c r="P768" s="341"/>
      <c r="Q768" s="339"/>
      <c r="R768" s="339"/>
      <c r="S768" s="341"/>
      <c r="T768" s="339"/>
      <c r="U768" s="339"/>
    </row>
    <row r="769" spans="1:21" ht="15.75" customHeight="1">
      <c r="A769" s="339"/>
      <c r="B769" s="339"/>
      <c r="C769" s="339"/>
      <c r="D769" s="339"/>
      <c r="E769" s="339"/>
      <c r="F769" s="339"/>
      <c r="G769" s="339"/>
      <c r="H769" s="339"/>
      <c r="I769" s="339"/>
      <c r="J769" s="341"/>
      <c r="K769" s="339"/>
      <c r="L769" s="339"/>
      <c r="M769" s="341"/>
      <c r="N769" s="339"/>
      <c r="O769" s="339"/>
      <c r="P769" s="341"/>
      <c r="Q769" s="339"/>
      <c r="R769" s="339"/>
      <c r="S769" s="341"/>
      <c r="T769" s="339"/>
      <c r="U769" s="339"/>
    </row>
    <row r="770" spans="1:21" ht="15.75" customHeight="1">
      <c r="A770" s="339"/>
      <c r="B770" s="339"/>
      <c r="C770" s="339"/>
      <c r="D770" s="339"/>
      <c r="E770" s="339"/>
      <c r="F770" s="339"/>
      <c r="G770" s="339"/>
      <c r="H770" s="339"/>
      <c r="I770" s="339"/>
      <c r="J770" s="341"/>
      <c r="K770" s="339"/>
      <c r="L770" s="339"/>
      <c r="M770" s="341"/>
      <c r="N770" s="339"/>
      <c r="O770" s="339"/>
      <c r="P770" s="341"/>
      <c r="Q770" s="339"/>
      <c r="R770" s="339"/>
      <c r="S770" s="341"/>
      <c r="T770" s="339"/>
      <c r="U770" s="339"/>
    </row>
    <row r="771" spans="1:21" ht="15.75" customHeight="1">
      <c r="A771" s="339"/>
      <c r="B771" s="339"/>
      <c r="C771" s="339"/>
      <c r="D771" s="339"/>
      <c r="E771" s="339"/>
      <c r="F771" s="339"/>
      <c r="G771" s="339"/>
      <c r="H771" s="339"/>
      <c r="I771" s="339"/>
      <c r="J771" s="341"/>
      <c r="K771" s="339"/>
      <c r="L771" s="339"/>
      <c r="M771" s="341"/>
      <c r="N771" s="339"/>
      <c r="O771" s="339"/>
      <c r="P771" s="341"/>
      <c r="Q771" s="339"/>
      <c r="R771" s="339"/>
      <c r="S771" s="341"/>
      <c r="T771" s="339"/>
      <c r="U771" s="339"/>
    </row>
    <row r="772" spans="1:21" ht="15.75" customHeight="1">
      <c r="A772" s="339"/>
      <c r="B772" s="339"/>
      <c r="C772" s="339"/>
      <c r="D772" s="339"/>
      <c r="E772" s="339"/>
      <c r="F772" s="339"/>
      <c r="G772" s="339"/>
      <c r="H772" s="339"/>
      <c r="I772" s="339"/>
      <c r="J772" s="341"/>
      <c r="K772" s="339"/>
      <c r="L772" s="339"/>
      <c r="M772" s="341"/>
      <c r="N772" s="339"/>
      <c r="O772" s="339"/>
      <c r="P772" s="341"/>
      <c r="Q772" s="339"/>
      <c r="R772" s="339"/>
      <c r="S772" s="341"/>
      <c r="T772" s="339"/>
      <c r="U772" s="339"/>
    </row>
    <row r="773" spans="1:21" ht="15.75" customHeight="1">
      <c r="A773" s="339"/>
      <c r="B773" s="339"/>
      <c r="C773" s="339"/>
      <c r="D773" s="339"/>
      <c r="E773" s="339"/>
      <c r="F773" s="339"/>
      <c r="G773" s="339"/>
      <c r="H773" s="339"/>
      <c r="I773" s="339"/>
      <c r="J773" s="341"/>
      <c r="K773" s="339"/>
      <c r="L773" s="339"/>
      <c r="M773" s="341"/>
      <c r="N773" s="339"/>
      <c r="O773" s="339"/>
      <c r="P773" s="341"/>
      <c r="Q773" s="339"/>
      <c r="R773" s="339"/>
      <c r="S773" s="341"/>
      <c r="T773" s="339"/>
      <c r="U773" s="339"/>
    </row>
    <row r="774" spans="1:21" ht="15.75" customHeight="1">
      <c r="A774" s="339"/>
      <c r="B774" s="339"/>
      <c r="C774" s="339"/>
      <c r="D774" s="339"/>
      <c r="E774" s="339"/>
      <c r="F774" s="339"/>
      <c r="G774" s="339"/>
      <c r="H774" s="339"/>
      <c r="I774" s="339"/>
      <c r="J774" s="341"/>
      <c r="K774" s="339"/>
      <c r="L774" s="339"/>
      <c r="M774" s="341"/>
      <c r="N774" s="339"/>
      <c r="O774" s="339"/>
      <c r="P774" s="341"/>
      <c r="Q774" s="339"/>
      <c r="R774" s="339"/>
      <c r="S774" s="341"/>
      <c r="T774" s="339"/>
      <c r="U774" s="339"/>
    </row>
    <row r="775" spans="1:21" ht="15.75" customHeight="1">
      <c r="A775" s="339"/>
      <c r="B775" s="339"/>
      <c r="C775" s="339"/>
      <c r="D775" s="339"/>
      <c r="E775" s="339"/>
      <c r="F775" s="339"/>
      <c r="G775" s="339"/>
      <c r="H775" s="339"/>
      <c r="I775" s="339"/>
      <c r="J775" s="341"/>
      <c r="K775" s="339"/>
      <c r="L775" s="339"/>
      <c r="M775" s="341"/>
      <c r="N775" s="339"/>
      <c r="O775" s="339"/>
      <c r="P775" s="341"/>
      <c r="Q775" s="339"/>
      <c r="R775" s="339"/>
      <c r="S775" s="341"/>
      <c r="T775" s="339"/>
      <c r="U775" s="339"/>
    </row>
    <row r="776" spans="1:21" ht="15.75" customHeight="1">
      <c r="A776" s="339"/>
      <c r="B776" s="339"/>
      <c r="C776" s="339"/>
      <c r="D776" s="339"/>
      <c r="E776" s="339"/>
      <c r="F776" s="339"/>
      <c r="G776" s="339"/>
      <c r="H776" s="339"/>
      <c r="I776" s="339"/>
      <c r="J776" s="341"/>
      <c r="K776" s="339"/>
      <c r="L776" s="339"/>
      <c r="M776" s="341"/>
      <c r="N776" s="339"/>
      <c r="O776" s="339"/>
      <c r="P776" s="341"/>
      <c r="Q776" s="339"/>
      <c r="R776" s="339"/>
      <c r="S776" s="341"/>
      <c r="T776" s="339"/>
      <c r="U776" s="339"/>
    </row>
    <row r="777" spans="1:21" ht="15.75" customHeight="1">
      <c r="A777" s="339"/>
      <c r="B777" s="339"/>
      <c r="C777" s="339"/>
      <c r="D777" s="339"/>
      <c r="E777" s="339"/>
      <c r="F777" s="339"/>
      <c r="G777" s="339"/>
      <c r="H777" s="339"/>
      <c r="I777" s="339"/>
      <c r="J777" s="341"/>
      <c r="K777" s="339"/>
      <c r="L777" s="339"/>
      <c r="M777" s="341"/>
      <c r="N777" s="339"/>
      <c r="O777" s="339"/>
      <c r="P777" s="341"/>
      <c r="Q777" s="339"/>
      <c r="R777" s="339"/>
      <c r="S777" s="341"/>
      <c r="T777" s="339"/>
      <c r="U777" s="339"/>
    </row>
    <row r="778" spans="1:21" ht="15.75" customHeight="1">
      <c r="A778" s="339"/>
      <c r="B778" s="339"/>
      <c r="C778" s="339"/>
      <c r="D778" s="339"/>
      <c r="E778" s="339"/>
      <c r="F778" s="339"/>
      <c r="G778" s="339"/>
      <c r="H778" s="339"/>
      <c r="I778" s="339"/>
      <c r="J778" s="341"/>
      <c r="K778" s="339"/>
      <c r="L778" s="339"/>
      <c r="M778" s="341"/>
      <c r="N778" s="339"/>
      <c r="O778" s="339"/>
      <c r="P778" s="341"/>
      <c r="Q778" s="339"/>
      <c r="R778" s="339"/>
      <c r="S778" s="341"/>
      <c r="T778" s="339"/>
      <c r="U778" s="339"/>
    </row>
    <row r="779" spans="1:21" ht="15.75" customHeight="1">
      <c r="A779" s="339"/>
      <c r="B779" s="339"/>
      <c r="C779" s="339"/>
      <c r="D779" s="339"/>
      <c r="E779" s="339"/>
      <c r="F779" s="339"/>
      <c r="G779" s="339"/>
      <c r="H779" s="339"/>
      <c r="I779" s="339"/>
      <c r="J779" s="341"/>
      <c r="K779" s="339"/>
      <c r="L779" s="339"/>
      <c r="M779" s="341"/>
      <c r="N779" s="339"/>
      <c r="O779" s="339"/>
      <c r="P779" s="341"/>
      <c r="Q779" s="339"/>
      <c r="R779" s="339"/>
      <c r="S779" s="341"/>
      <c r="T779" s="339"/>
      <c r="U779" s="339"/>
    </row>
    <row r="780" spans="1:21" ht="15.75" customHeight="1">
      <c r="A780" s="339"/>
      <c r="B780" s="339"/>
      <c r="C780" s="339"/>
      <c r="D780" s="339"/>
      <c r="E780" s="339"/>
      <c r="F780" s="339"/>
      <c r="G780" s="339"/>
      <c r="H780" s="339"/>
      <c r="I780" s="339"/>
      <c r="J780" s="341"/>
      <c r="K780" s="339"/>
      <c r="L780" s="339"/>
      <c r="M780" s="341"/>
      <c r="N780" s="339"/>
      <c r="O780" s="339"/>
      <c r="P780" s="341"/>
      <c r="Q780" s="339"/>
      <c r="R780" s="339"/>
      <c r="S780" s="341"/>
      <c r="T780" s="339"/>
      <c r="U780" s="339"/>
    </row>
    <row r="781" spans="1:21" ht="15.75" customHeight="1">
      <c r="A781" s="339"/>
      <c r="B781" s="339"/>
      <c r="C781" s="339"/>
      <c r="D781" s="339"/>
      <c r="E781" s="339"/>
      <c r="F781" s="339"/>
      <c r="G781" s="339"/>
      <c r="H781" s="339"/>
      <c r="I781" s="339"/>
      <c r="J781" s="341"/>
      <c r="K781" s="339"/>
      <c r="L781" s="339"/>
      <c r="M781" s="341"/>
      <c r="N781" s="339"/>
      <c r="O781" s="339"/>
      <c r="P781" s="341"/>
      <c r="Q781" s="339"/>
      <c r="R781" s="339"/>
      <c r="S781" s="341"/>
      <c r="T781" s="339"/>
      <c r="U781" s="339"/>
    </row>
    <row r="782" spans="1:21" ht="15.75" customHeight="1">
      <c r="A782" s="339"/>
      <c r="B782" s="339"/>
      <c r="C782" s="339"/>
      <c r="D782" s="339"/>
      <c r="E782" s="339"/>
      <c r="F782" s="339"/>
      <c r="G782" s="339"/>
      <c r="H782" s="339"/>
      <c r="I782" s="339"/>
      <c r="J782" s="341"/>
      <c r="K782" s="339"/>
      <c r="L782" s="339"/>
      <c r="M782" s="341"/>
      <c r="N782" s="339"/>
      <c r="O782" s="339"/>
      <c r="P782" s="341"/>
      <c r="Q782" s="339"/>
      <c r="R782" s="339"/>
      <c r="S782" s="341"/>
      <c r="T782" s="339"/>
      <c r="U782" s="339"/>
    </row>
    <row r="783" spans="1:21" ht="15.75" customHeight="1">
      <c r="A783" s="339"/>
      <c r="B783" s="339"/>
      <c r="C783" s="339"/>
      <c r="D783" s="339"/>
      <c r="E783" s="339"/>
      <c r="F783" s="339"/>
      <c r="G783" s="339"/>
      <c r="H783" s="339"/>
      <c r="I783" s="339"/>
      <c r="J783" s="341"/>
      <c r="K783" s="339"/>
      <c r="L783" s="339"/>
      <c r="M783" s="341"/>
      <c r="N783" s="339"/>
      <c r="O783" s="339"/>
      <c r="P783" s="341"/>
      <c r="Q783" s="339"/>
      <c r="R783" s="339"/>
      <c r="S783" s="341"/>
      <c r="T783" s="339"/>
      <c r="U783" s="339"/>
    </row>
    <row r="784" spans="1:21" ht="15.75" customHeight="1">
      <c r="A784" s="339"/>
      <c r="B784" s="339"/>
      <c r="C784" s="339"/>
      <c r="D784" s="339"/>
      <c r="E784" s="339"/>
      <c r="F784" s="339"/>
      <c r="G784" s="339"/>
      <c r="H784" s="339"/>
      <c r="I784" s="339"/>
      <c r="J784" s="341"/>
      <c r="K784" s="339"/>
      <c r="L784" s="339"/>
      <c r="M784" s="341"/>
      <c r="N784" s="339"/>
      <c r="O784" s="339"/>
      <c r="P784" s="341"/>
      <c r="Q784" s="339"/>
      <c r="R784" s="339"/>
      <c r="S784" s="341"/>
      <c r="T784" s="339"/>
      <c r="U784" s="339"/>
    </row>
    <row r="785" spans="1:21" ht="15.75" customHeight="1">
      <c r="A785" s="339"/>
      <c r="B785" s="339"/>
      <c r="C785" s="339"/>
      <c r="D785" s="339"/>
      <c r="E785" s="339"/>
      <c r="F785" s="339"/>
      <c r="G785" s="339"/>
      <c r="H785" s="339"/>
      <c r="I785" s="339"/>
      <c r="J785" s="341"/>
      <c r="K785" s="339"/>
      <c r="L785" s="339"/>
      <c r="M785" s="341"/>
      <c r="N785" s="339"/>
      <c r="O785" s="339"/>
      <c r="P785" s="341"/>
      <c r="Q785" s="339"/>
      <c r="R785" s="339"/>
      <c r="S785" s="341"/>
      <c r="T785" s="339"/>
      <c r="U785" s="339"/>
    </row>
    <row r="786" spans="1:21" ht="15.75" customHeight="1">
      <c r="A786" s="339"/>
      <c r="B786" s="339"/>
      <c r="C786" s="339"/>
      <c r="D786" s="339"/>
      <c r="E786" s="339"/>
      <c r="F786" s="339"/>
      <c r="G786" s="339"/>
      <c r="H786" s="339"/>
      <c r="I786" s="339"/>
      <c r="J786" s="341"/>
      <c r="K786" s="339"/>
      <c r="L786" s="339"/>
      <c r="M786" s="341"/>
      <c r="N786" s="339"/>
      <c r="O786" s="339"/>
      <c r="P786" s="341"/>
      <c r="Q786" s="339"/>
      <c r="R786" s="339"/>
      <c r="S786" s="341"/>
      <c r="T786" s="339"/>
      <c r="U786" s="339"/>
    </row>
    <row r="787" spans="1:21" ht="15.75" customHeight="1">
      <c r="A787" s="339"/>
      <c r="B787" s="339"/>
      <c r="C787" s="339"/>
      <c r="D787" s="339"/>
      <c r="E787" s="339"/>
      <c r="F787" s="339"/>
      <c r="G787" s="339"/>
      <c r="H787" s="339"/>
      <c r="I787" s="339"/>
      <c r="J787" s="341"/>
      <c r="K787" s="339"/>
      <c r="L787" s="339"/>
      <c r="M787" s="341"/>
      <c r="N787" s="339"/>
      <c r="O787" s="339"/>
      <c r="P787" s="341"/>
      <c r="Q787" s="339"/>
      <c r="R787" s="339"/>
      <c r="S787" s="341"/>
      <c r="T787" s="339"/>
      <c r="U787" s="339"/>
    </row>
    <row r="788" spans="1:21" ht="15.75" customHeight="1">
      <c r="A788" s="339"/>
      <c r="B788" s="339"/>
      <c r="C788" s="339"/>
      <c r="D788" s="339"/>
      <c r="E788" s="339"/>
      <c r="F788" s="339"/>
      <c r="G788" s="339"/>
      <c r="H788" s="339"/>
      <c r="I788" s="339"/>
      <c r="J788" s="341"/>
      <c r="K788" s="339"/>
      <c r="L788" s="339"/>
      <c r="M788" s="341"/>
      <c r="N788" s="339"/>
      <c r="O788" s="339"/>
      <c r="P788" s="341"/>
      <c r="Q788" s="339"/>
      <c r="R788" s="339"/>
      <c r="S788" s="341"/>
      <c r="T788" s="339"/>
      <c r="U788" s="339"/>
    </row>
    <row r="789" spans="1:21" ht="15.75" customHeight="1">
      <c r="A789" s="339"/>
      <c r="B789" s="339"/>
      <c r="C789" s="339"/>
      <c r="D789" s="339"/>
      <c r="E789" s="339"/>
      <c r="F789" s="339"/>
      <c r="G789" s="339"/>
      <c r="H789" s="339"/>
      <c r="I789" s="339"/>
      <c r="J789" s="341"/>
      <c r="K789" s="339"/>
      <c r="L789" s="339"/>
      <c r="M789" s="341"/>
      <c r="N789" s="339"/>
      <c r="O789" s="339"/>
      <c r="P789" s="341"/>
      <c r="Q789" s="339"/>
      <c r="R789" s="339"/>
      <c r="S789" s="341"/>
      <c r="T789" s="339"/>
      <c r="U789" s="339"/>
    </row>
    <row r="790" spans="1:21" ht="15.75" customHeight="1">
      <c r="A790" s="339"/>
      <c r="B790" s="339"/>
      <c r="C790" s="339"/>
      <c r="D790" s="339"/>
      <c r="E790" s="339"/>
      <c r="F790" s="339"/>
      <c r="G790" s="339"/>
      <c r="H790" s="339"/>
      <c r="I790" s="339"/>
      <c r="J790" s="341"/>
      <c r="K790" s="339"/>
      <c r="L790" s="339"/>
      <c r="M790" s="341"/>
      <c r="N790" s="339"/>
      <c r="O790" s="339"/>
      <c r="P790" s="341"/>
      <c r="Q790" s="339"/>
      <c r="R790" s="339"/>
      <c r="S790" s="341"/>
      <c r="T790" s="339"/>
      <c r="U790" s="339"/>
    </row>
    <row r="791" spans="1:21" ht="15.75" customHeight="1">
      <c r="A791" s="339"/>
      <c r="B791" s="339"/>
      <c r="C791" s="339"/>
      <c r="D791" s="339"/>
      <c r="E791" s="339"/>
      <c r="F791" s="339"/>
      <c r="G791" s="339"/>
      <c r="H791" s="339"/>
      <c r="I791" s="339"/>
      <c r="J791" s="341"/>
      <c r="K791" s="339"/>
      <c r="L791" s="339"/>
      <c r="M791" s="341"/>
      <c r="N791" s="339"/>
      <c r="O791" s="339"/>
      <c r="P791" s="341"/>
      <c r="Q791" s="339"/>
      <c r="R791" s="339"/>
      <c r="S791" s="341"/>
      <c r="T791" s="339"/>
      <c r="U791" s="339"/>
    </row>
    <row r="792" spans="1:21" ht="15.75" customHeight="1">
      <c r="A792" s="339"/>
      <c r="B792" s="339"/>
      <c r="C792" s="339"/>
      <c r="D792" s="339"/>
      <c r="E792" s="339"/>
      <c r="F792" s="339"/>
      <c r="G792" s="339"/>
      <c r="H792" s="339"/>
      <c r="I792" s="339"/>
      <c r="J792" s="341"/>
      <c r="K792" s="339"/>
      <c r="L792" s="339"/>
      <c r="M792" s="341"/>
      <c r="N792" s="339"/>
      <c r="O792" s="339"/>
      <c r="P792" s="341"/>
      <c r="Q792" s="339"/>
      <c r="R792" s="339"/>
      <c r="S792" s="341"/>
      <c r="T792" s="339"/>
      <c r="U792" s="339"/>
    </row>
    <row r="793" spans="1:21" ht="15.75" customHeight="1">
      <c r="A793" s="339"/>
      <c r="B793" s="339"/>
      <c r="C793" s="339"/>
      <c r="D793" s="339"/>
      <c r="E793" s="339"/>
      <c r="F793" s="339"/>
      <c r="G793" s="339"/>
      <c r="H793" s="339"/>
      <c r="I793" s="339"/>
      <c r="J793" s="341"/>
      <c r="K793" s="339"/>
      <c r="L793" s="339"/>
      <c r="M793" s="341"/>
      <c r="N793" s="339"/>
      <c r="O793" s="339"/>
      <c r="P793" s="341"/>
      <c r="Q793" s="339"/>
      <c r="R793" s="339"/>
      <c r="S793" s="341"/>
      <c r="T793" s="339"/>
      <c r="U793" s="339"/>
    </row>
    <row r="794" spans="1:21" ht="15.75" customHeight="1">
      <c r="A794" s="339"/>
      <c r="B794" s="339"/>
      <c r="C794" s="339"/>
      <c r="D794" s="339"/>
      <c r="E794" s="339"/>
      <c r="F794" s="339"/>
      <c r="G794" s="339"/>
      <c r="H794" s="339"/>
      <c r="I794" s="339"/>
      <c r="J794" s="341"/>
      <c r="K794" s="339"/>
      <c r="L794" s="339"/>
      <c r="M794" s="341"/>
      <c r="N794" s="339"/>
      <c r="O794" s="339"/>
      <c r="P794" s="341"/>
      <c r="Q794" s="339"/>
      <c r="R794" s="339"/>
      <c r="S794" s="341"/>
      <c r="T794" s="339"/>
      <c r="U794" s="339"/>
    </row>
    <row r="795" spans="1:21" ht="15.75" customHeight="1">
      <c r="A795" s="339"/>
      <c r="B795" s="339"/>
      <c r="C795" s="339"/>
      <c r="D795" s="339"/>
      <c r="E795" s="339"/>
      <c r="F795" s="339"/>
      <c r="G795" s="339"/>
      <c r="H795" s="339"/>
      <c r="I795" s="339"/>
      <c r="J795" s="341"/>
      <c r="K795" s="339"/>
      <c r="L795" s="339"/>
      <c r="M795" s="341"/>
      <c r="N795" s="339"/>
      <c r="O795" s="339"/>
      <c r="P795" s="341"/>
      <c r="Q795" s="339"/>
      <c r="R795" s="339"/>
      <c r="S795" s="341"/>
      <c r="T795" s="339"/>
      <c r="U795" s="339"/>
    </row>
    <row r="796" spans="1:21" ht="15.75" customHeight="1">
      <c r="A796" s="339"/>
      <c r="B796" s="339"/>
      <c r="C796" s="339"/>
      <c r="D796" s="339"/>
      <c r="E796" s="339"/>
      <c r="F796" s="339"/>
      <c r="G796" s="339"/>
      <c r="H796" s="339"/>
      <c r="I796" s="339"/>
      <c r="J796" s="341"/>
      <c r="K796" s="339"/>
      <c r="L796" s="339"/>
      <c r="M796" s="341"/>
      <c r="N796" s="339"/>
      <c r="O796" s="339"/>
      <c r="P796" s="341"/>
      <c r="Q796" s="339"/>
      <c r="R796" s="339"/>
      <c r="S796" s="341"/>
      <c r="T796" s="339"/>
      <c r="U796" s="339"/>
    </row>
    <row r="797" spans="1:21" ht="15.75" customHeight="1">
      <c r="A797" s="339"/>
      <c r="B797" s="339"/>
      <c r="C797" s="339"/>
      <c r="D797" s="339"/>
      <c r="E797" s="339"/>
      <c r="F797" s="339"/>
      <c r="G797" s="339"/>
      <c r="H797" s="339"/>
      <c r="I797" s="339"/>
      <c r="J797" s="341"/>
      <c r="K797" s="339"/>
      <c r="L797" s="339"/>
      <c r="M797" s="341"/>
      <c r="N797" s="339"/>
      <c r="O797" s="339"/>
      <c r="P797" s="341"/>
      <c r="Q797" s="339"/>
      <c r="R797" s="339"/>
      <c r="S797" s="341"/>
      <c r="T797" s="339"/>
      <c r="U797" s="339"/>
    </row>
    <row r="798" spans="1:21" ht="15.75" customHeight="1">
      <c r="A798" s="339"/>
      <c r="B798" s="339"/>
      <c r="C798" s="339"/>
      <c r="D798" s="339"/>
      <c r="E798" s="339"/>
      <c r="F798" s="339"/>
      <c r="G798" s="339"/>
      <c r="H798" s="339"/>
      <c r="I798" s="339"/>
      <c r="J798" s="341"/>
      <c r="K798" s="339"/>
      <c r="L798" s="339"/>
      <c r="M798" s="341"/>
      <c r="N798" s="339"/>
      <c r="O798" s="339"/>
      <c r="P798" s="341"/>
      <c r="Q798" s="339"/>
      <c r="R798" s="339"/>
      <c r="S798" s="341"/>
      <c r="T798" s="339"/>
      <c r="U798" s="339"/>
    </row>
    <row r="799" spans="1:21" ht="15.75" customHeight="1">
      <c r="A799" s="339"/>
      <c r="B799" s="339"/>
      <c r="C799" s="339"/>
      <c r="D799" s="339"/>
      <c r="E799" s="339"/>
      <c r="F799" s="339"/>
      <c r="G799" s="339"/>
      <c r="H799" s="339"/>
      <c r="I799" s="339"/>
      <c r="J799" s="341"/>
      <c r="K799" s="339"/>
      <c r="L799" s="339"/>
      <c r="M799" s="341"/>
      <c r="N799" s="339"/>
      <c r="O799" s="339"/>
      <c r="P799" s="341"/>
      <c r="Q799" s="339"/>
      <c r="R799" s="339"/>
      <c r="S799" s="341"/>
      <c r="T799" s="339"/>
      <c r="U799" s="339"/>
    </row>
    <row r="800" spans="1:21" ht="15.75" customHeight="1">
      <c r="A800" s="339"/>
      <c r="B800" s="339"/>
      <c r="C800" s="339"/>
      <c r="D800" s="339"/>
      <c r="E800" s="339"/>
      <c r="F800" s="339"/>
      <c r="G800" s="339"/>
      <c r="H800" s="339"/>
      <c r="I800" s="339"/>
      <c r="J800" s="341"/>
      <c r="K800" s="339"/>
      <c r="L800" s="339"/>
      <c r="M800" s="341"/>
      <c r="N800" s="339"/>
      <c r="O800" s="339"/>
      <c r="P800" s="341"/>
      <c r="Q800" s="339"/>
      <c r="R800" s="339"/>
      <c r="S800" s="341"/>
      <c r="T800" s="339"/>
      <c r="U800" s="339"/>
    </row>
    <row r="801" spans="1:21" ht="15.75" customHeight="1">
      <c r="A801" s="339"/>
      <c r="B801" s="339"/>
      <c r="C801" s="339"/>
      <c r="D801" s="339"/>
      <c r="E801" s="339"/>
      <c r="F801" s="339"/>
      <c r="G801" s="339"/>
      <c r="H801" s="339"/>
      <c r="I801" s="339"/>
      <c r="J801" s="341"/>
      <c r="K801" s="339"/>
      <c r="L801" s="339"/>
      <c r="M801" s="341"/>
      <c r="N801" s="339"/>
      <c r="O801" s="339"/>
      <c r="P801" s="341"/>
      <c r="Q801" s="339"/>
      <c r="R801" s="339"/>
      <c r="S801" s="341"/>
      <c r="T801" s="339"/>
      <c r="U801" s="339"/>
    </row>
    <row r="802" spans="1:21" ht="15.75" customHeight="1">
      <c r="A802" s="339"/>
      <c r="B802" s="339"/>
      <c r="C802" s="339"/>
      <c r="D802" s="339"/>
      <c r="E802" s="339"/>
      <c r="F802" s="339"/>
      <c r="G802" s="339"/>
      <c r="H802" s="339"/>
      <c r="I802" s="339"/>
      <c r="J802" s="341"/>
      <c r="K802" s="339"/>
      <c r="L802" s="339"/>
      <c r="M802" s="341"/>
      <c r="N802" s="339"/>
      <c r="O802" s="339"/>
      <c r="P802" s="341"/>
      <c r="Q802" s="339"/>
      <c r="R802" s="339"/>
      <c r="S802" s="341"/>
      <c r="T802" s="339"/>
      <c r="U802" s="339"/>
    </row>
    <row r="803" spans="1:21" ht="15.75" customHeight="1">
      <c r="A803" s="339"/>
      <c r="B803" s="339"/>
      <c r="C803" s="339"/>
      <c r="D803" s="339"/>
      <c r="E803" s="339"/>
      <c r="F803" s="339"/>
      <c r="G803" s="339"/>
      <c r="H803" s="339"/>
      <c r="I803" s="339"/>
      <c r="J803" s="341"/>
      <c r="K803" s="339"/>
      <c r="L803" s="339"/>
      <c r="M803" s="341"/>
      <c r="N803" s="339"/>
      <c r="O803" s="339"/>
      <c r="P803" s="341"/>
      <c r="Q803" s="339"/>
      <c r="R803" s="339"/>
      <c r="S803" s="341"/>
      <c r="T803" s="339"/>
      <c r="U803" s="339"/>
    </row>
    <row r="804" spans="1:21" ht="15.75" customHeight="1">
      <c r="A804" s="339"/>
      <c r="B804" s="339"/>
      <c r="C804" s="339"/>
      <c r="D804" s="339"/>
      <c r="E804" s="339"/>
      <c r="F804" s="339"/>
      <c r="G804" s="339"/>
      <c r="H804" s="339"/>
      <c r="I804" s="339"/>
      <c r="J804" s="341"/>
      <c r="K804" s="339"/>
      <c r="L804" s="339"/>
      <c r="M804" s="341"/>
      <c r="N804" s="339"/>
      <c r="O804" s="339"/>
      <c r="P804" s="341"/>
      <c r="Q804" s="339"/>
      <c r="R804" s="339"/>
      <c r="S804" s="341"/>
      <c r="T804" s="339"/>
      <c r="U804" s="339"/>
    </row>
    <row r="805" spans="1:21" ht="15.75" customHeight="1">
      <c r="A805" s="339"/>
      <c r="B805" s="339"/>
      <c r="C805" s="339"/>
      <c r="D805" s="339"/>
      <c r="E805" s="339"/>
      <c r="F805" s="339"/>
      <c r="G805" s="339"/>
      <c r="H805" s="339"/>
      <c r="I805" s="339"/>
      <c r="J805" s="341"/>
      <c r="K805" s="339"/>
      <c r="L805" s="339"/>
      <c r="M805" s="341"/>
      <c r="N805" s="339"/>
      <c r="O805" s="339"/>
      <c r="P805" s="341"/>
      <c r="Q805" s="339"/>
      <c r="R805" s="339"/>
      <c r="S805" s="341"/>
      <c r="T805" s="339"/>
      <c r="U805" s="339"/>
    </row>
    <row r="806" spans="1:21" ht="15.75" customHeight="1">
      <c r="A806" s="339"/>
      <c r="B806" s="339"/>
      <c r="C806" s="339"/>
      <c r="D806" s="339"/>
      <c r="E806" s="339"/>
      <c r="F806" s="339"/>
      <c r="G806" s="339"/>
      <c r="H806" s="339"/>
      <c r="I806" s="339"/>
      <c r="J806" s="341"/>
      <c r="K806" s="339"/>
      <c r="L806" s="339"/>
      <c r="M806" s="341"/>
      <c r="N806" s="339"/>
      <c r="O806" s="339"/>
      <c r="P806" s="341"/>
      <c r="Q806" s="339"/>
      <c r="R806" s="339"/>
      <c r="S806" s="341"/>
      <c r="T806" s="339"/>
      <c r="U806" s="339"/>
    </row>
    <row r="807" spans="1:21" ht="15.75" customHeight="1">
      <c r="A807" s="339"/>
      <c r="B807" s="339"/>
      <c r="C807" s="339"/>
      <c r="D807" s="339"/>
      <c r="E807" s="339"/>
      <c r="F807" s="339"/>
      <c r="G807" s="339"/>
      <c r="H807" s="339"/>
      <c r="I807" s="339"/>
      <c r="J807" s="341"/>
      <c r="K807" s="339"/>
      <c r="L807" s="339"/>
      <c r="M807" s="341"/>
      <c r="N807" s="339"/>
      <c r="O807" s="339"/>
      <c r="P807" s="341"/>
      <c r="Q807" s="339"/>
      <c r="R807" s="339"/>
      <c r="S807" s="341"/>
      <c r="T807" s="339"/>
      <c r="U807" s="339"/>
    </row>
    <row r="808" spans="1:21" ht="15.75" customHeight="1">
      <c r="A808" s="339"/>
      <c r="B808" s="339"/>
      <c r="C808" s="339"/>
      <c r="D808" s="339"/>
      <c r="E808" s="339"/>
      <c r="F808" s="339"/>
      <c r="G808" s="339"/>
      <c r="H808" s="339"/>
      <c r="I808" s="339"/>
      <c r="J808" s="341"/>
      <c r="K808" s="339"/>
      <c r="L808" s="339"/>
      <c r="M808" s="341"/>
      <c r="N808" s="339"/>
      <c r="O808" s="339"/>
      <c r="P808" s="341"/>
      <c r="Q808" s="339"/>
      <c r="R808" s="339"/>
      <c r="S808" s="341"/>
      <c r="T808" s="339"/>
      <c r="U808" s="339"/>
    </row>
    <row r="809" spans="1:21" ht="15.75" customHeight="1">
      <c r="A809" s="339"/>
      <c r="B809" s="339"/>
      <c r="C809" s="339"/>
      <c r="D809" s="339"/>
      <c r="E809" s="339"/>
      <c r="F809" s="339"/>
      <c r="G809" s="339"/>
      <c r="H809" s="339"/>
      <c r="I809" s="339"/>
      <c r="J809" s="341"/>
      <c r="K809" s="339"/>
      <c r="L809" s="339"/>
      <c r="M809" s="341"/>
      <c r="N809" s="339"/>
      <c r="O809" s="339"/>
      <c r="P809" s="341"/>
      <c r="Q809" s="339"/>
      <c r="R809" s="339"/>
      <c r="S809" s="341"/>
      <c r="T809" s="339"/>
      <c r="U809" s="339"/>
    </row>
    <row r="810" spans="1:21" ht="15.75" customHeight="1">
      <c r="A810" s="339"/>
      <c r="B810" s="339"/>
      <c r="C810" s="339"/>
      <c r="D810" s="339"/>
      <c r="E810" s="339"/>
      <c r="F810" s="339"/>
      <c r="G810" s="339"/>
      <c r="H810" s="339"/>
      <c r="I810" s="339"/>
      <c r="J810" s="341"/>
      <c r="K810" s="339"/>
      <c r="L810" s="339"/>
      <c r="M810" s="341"/>
      <c r="N810" s="339"/>
      <c r="O810" s="339"/>
      <c r="P810" s="341"/>
      <c r="Q810" s="339"/>
      <c r="R810" s="339"/>
      <c r="S810" s="341"/>
      <c r="T810" s="339"/>
      <c r="U810" s="339"/>
    </row>
    <row r="811" spans="1:21" ht="15.75" customHeight="1">
      <c r="A811" s="339"/>
      <c r="B811" s="339"/>
      <c r="C811" s="339"/>
      <c r="D811" s="339"/>
      <c r="E811" s="339"/>
      <c r="F811" s="339"/>
      <c r="G811" s="339"/>
      <c r="H811" s="339"/>
      <c r="I811" s="339"/>
      <c r="J811" s="341"/>
      <c r="K811" s="339"/>
      <c r="L811" s="339"/>
      <c r="M811" s="341"/>
      <c r="N811" s="339"/>
      <c r="O811" s="339"/>
      <c r="P811" s="341"/>
      <c r="Q811" s="339"/>
      <c r="R811" s="339"/>
      <c r="S811" s="341"/>
      <c r="T811" s="339"/>
      <c r="U811" s="339"/>
    </row>
    <row r="812" spans="1:21" ht="15.75" customHeight="1">
      <c r="A812" s="339"/>
      <c r="B812" s="339"/>
      <c r="C812" s="339"/>
      <c r="D812" s="339"/>
      <c r="E812" s="339"/>
      <c r="F812" s="339"/>
      <c r="G812" s="339"/>
      <c r="H812" s="339"/>
      <c r="I812" s="339"/>
      <c r="J812" s="341"/>
      <c r="K812" s="339"/>
      <c r="L812" s="339"/>
      <c r="M812" s="341"/>
      <c r="N812" s="339"/>
      <c r="O812" s="339"/>
      <c r="P812" s="341"/>
      <c r="Q812" s="339"/>
      <c r="R812" s="339"/>
      <c r="S812" s="341"/>
      <c r="T812" s="339"/>
      <c r="U812" s="339"/>
    </row>
    <row r="813" spans="1:21" ht="15.75" customHeight="1">
      <c r="A813" s="339"/>
      <c r="B813" s="339"/>
      <c r="C813" s="339"/>
      <c r="D813" s="339"/>
      <c r="E813" s="339"/>
      <c r="F813" s="339"/>
      <c r="G813" s="339"/>
      <c r="H813" s="339"/>
      <c r="I813" s="339"/>
      <c r="J813" s="341"/>
      <c r="K813" s="339"/>
      <c r="L813" s="339"/>
      <c r="M813" s="341"/>
      <c r="N813" s="339"/>
      <c r="O813" s="339"/>
      <c r="P813" s="341"/>
      <c r="Q813" s="339"/>
      <c r="R813" s="339"/>
      <c r="S813" s="341"/>
      <c r="T813" s="339"/>
      <c r="U813" s="339"/>
    </row>
    <row r="814" spans="1:21" ht="15.75" customHeight="1">
      <c r="A814" s="339"/>
      <c r="B814" s="339"/>
      <c r="C814" s="339"/>
      <c r="D814" s="339"/>
      <c r="E814" s="339"/>
      <c r="F814" s="339"/>
      <c r="G814" s="339"/>
      <c r="H814" s="339"/>
      <c r="I814" s="339"/>
      <c r="J814" s="341"/>
      <c r="K814" s="339"/>
      <c r="L814" s="339"/>
      <c r="M814" s="341"/>
      <c r="N814" s="339"/>
      <c r="O814" s="339"/>
      <c r="P814" s="341"/>
      <c r="Q814" s="339"/>
      <c r="R814" s="339"/>
      <c r="S814" s="341"/>
      <c r="T814" s="339"/>
      <c r="U814" s="339"/>
    </row>
    <row r="815" spans="1:21" ht="15.75" customHeight="1">
      <c r="A815" s="339"/>
      <c r="B815" s="339"/>
      <c r="C815" s="339"/>
      <c r="D815" s="339"/>
      <c r="E815" s="339"/>
      <c r="F815" s="339"/>
      <c r="G815" s="339"/>
      <c r="H815" s="339"/>
      <c r="I815" s="339"/>
      <c r="J815" s="341"/>
      <c r="K815" s="339"/>
      <c r="L815" s="339"/>
      <c r="M815" s="341"/>
      <c r="N815" s="339"/>
      <c r="O815" s="339"/>
      <c r="P815" s="341"/>
      <c r="Q815" s="339"/>
      <c r="R815" s="339"/>
      <c r="S815" s="341"/>
      <c r="T815" s="339"/>
      <c r="U815" s="339"/>
    </row>
    <row r="816" spans="1:21" ht="15.75" customHeight="1">
      <c r="A816" s="339"/>
      <c r="B816" s="339"/>
      <c r="C816" s="339"/>
      <c r="D816" s="339"/>
      <c r="E816" s="339"/>
      <c r="F816" s="339"/>
      <c r="G816" s="339"/>
      <c r="H816" s="339"/>
      <c r="I816" s="339"/>
      <c r="J816" s="341"/>
      <c r="K816" s="339"/>
      <c r="L816" s="339"/>
      <c r="M816" s="341"/>
      <c r="N816" s="339"/>
      <c r="O816" s="339"/>
      <c r="P816" s="341"/>
      <c r="Q816" s="339"/>
      <c r="R816" s="339"/>
      <c r="S816" s="341"/>
      <c r="T816" s="339"/>
      <c r="U816" s="339"/>
    </row>
    <row r="817" spans="1:21" ht="15.75" customHeight="1">
      <c r="A817" s="339"/>
      <c r="B817" s="339"/>
      <c r="C817" s="339"/>
      <c r="D817" s="339"/>
      <c r="E817" s="339"/>
      <c r="F817" s="339"/>
      <c r="G817" s="339"/>
      <c r="H817" s="339"/>
      <c r="I817" s="339"/>
      <c r="J817" s="341"/>
      <c r="K817" s="339"/>
      <c r="L817" s="339"/>
      <c r="M817" s="341"/>
      <c r="N817" s="339"/>
      <c r="O817" s="339"/>
      <c r="P817" s="341"/>
      <c r="Q817" s="339"/>
      <c r="R817" s="339"/>
      <c r="S817" s="341"/>
      <c r="T817" s="339"/>
      <c r="U817" s="339"/>
    </row>
    <row r="818" spans="1:21" ht="15.75" customHeight="1">
      <c r="A818" s="339"/>
      <c r="B818" s="339"/>
      <c r="C818" s="339"/>
      <c r="D818" s="339"/>
      <c r="E818" s="339"/>
      <c r="F818" s="339"/>
      <c r="G818" s="339"/>
      <c r="H818" s="339"/>
      <c r="I818" s="339"/>
      <c r="J818" s="341"/>
      <c r="K818" s="339"/>
      <c r="L818" s="339"/>
      <c r="M818" s="341"/>
      <c r="N818" s="339"/>
      <c r="O818" s="339"/>
      <c r="P818" s="341"/>
      <c r="Q818" s="339"/>
      <c r="R818" s="339"/>
      <c r="S818" s="341"/>
      <c r="T818" s="339"/>
      <c r="U818" s="339"/>
    </row>
    <row r="819" spans="1:21" ht="15.75" customHeight="1">
      <c r="A819" s="339"/>
      <c r="B819" s="339"/>
      <c r="C819" s="339"/>
      <c r="D819" s="339"/>
      <c r="E819" s="339"/>
      <c r="F819" s="339"/>
      <c r="G819" s="339"/>
      <c r="H819" s="339"/>
      <c r="I819" s="339"/>
      <c r="J819" s="341"/>
      <c r="K819" s="339"/>
      <c r="L819" s="339"/>
      <c r="M819" s="341"/>
      <c r="N819" s="339"/>
      <c r="O819" s="339"/>
      <c r="P819" s="341"/>
      <c r="Q819" s="339"/>
      <c r="R819" s="339"/>
      <c r="S819" s="341"/>
      <c r="T819" s="339"/>
      <c r="U819" s="339"/>
    </row>
    <row r="820" spans="1:21" ht="15.75" customHeight="1">
      <c r="A820" s="339"/>
      <c r="B820" s="339"/>
      <c r="C820" s="339"/>
      <c r="D820" s="339"/>
      <c r="E820" s="339"/>
      <c r="F820" s="339"/>
      <c r="G820" s="339"/>
      <c r="H820" s="339"/>
      <c r="I820" s="339"/>
      <c r="J820" s="341"/>
      <c r="K820" s="339"/>
      <c r="L820" s="339"/>
      <c r="M820" s="341"/>
      <c r="N820" s="339"/>
      <c r="O820" s="339"/>
      <c r="P820" s="341"/>
      <c r="Q820" s="339"/>
      <c r="R820" s="339"/>
      <c r="S820" s="341"/>
      <c r="T820" s="339"/>
      <c r="U820" s="339"/>
    </row>
    <row r="821" spans="1:21" ht="15.75" customHeight="1">
      <c r="A821" s="339"/>
      <c r="B821" s="339"/>
      <c r="C821" s="339"/>
      <c r="D821" s="339"/>
      <c r="E821" s="339"/>
      <c r="F821" s="339"/>
      <c r="G821" s="339"/>
      <c r="H821" s="339"/>
      <c r="I821" s="339"/>
      <c r="J821" s="341"/>
      <c r="K821" s="339"/>
      <c r="L821" s="339"/>
      <c r="M821" s="341"/>
      <c r="N821" s="339"/>
      <c r="O821" s="339"/>
      <c r="P821" s="341"/>
      <c r="Q821" s="339"/>
      <c r="R821" s="339"/>
      <c r="S821" s="341"/>
      <c r="T821" s="339"/>
      <c r="U821" s="339"/>
    </row>
    <row r="822" spans="1:21" ht="15.75" customHeight="1">
      <c r="A822" s="339"/>
      <c r="B822" s="339"/>
      <c r="C822" s="339"/>
      <c r="D822" s="339"/>
      <c r="E822" s="339"/>
      <c r="F822" s="339"/>
      <c r="G822" s="339"/>
      <c r="H822" s="339"/>
      <c r="I822" s="339"/>
      <c r="J822" s="341"/>
      <c r="K822" s="339"/>
      <c r="L822" s="339"/>
      <c r="M822" s="341"/>
      <c r="N822" s="339"/>
      <c r="O822" s="339"/>
      <c r="P822" s="341"/>
      <c r="Q822" s="339"/>
      <c r="R822" s="339"/>
      <c r="S822" s="341"/>
      <c r="T822" s="339"/>
      <c r="U822" s="339"/>
    </row>
    <row r="823" spans="1:21" ht="15.75" customHeight="1">
      <c r="A823" s="339"/>
      <c r="B823" s="339"/>
      <c r="C823" s="339"/>
      <c r="D823" s="339"/>
      <c r="E823" s="339"/>
      <c r="F823" s="339"/>
      <c r="G823" s="339"/>
      <c r="H823" s="339"/>
      <c r="I823" s="339"/>
      <c r="J823" s="341"/>
      <c r="K823" s="339"/>
      <c r="L823" s="339"/>
      <c r="M823" s="341"/>
      <c r="N823" s="339"/>
      <c r="O823" s="339"/>
      <c r="P823" s="341"/>
      <c r="Q823" s="339"/>
      <c r="R823" s="339"/>
      <c r="S823" s="341"/>
      <c r="T823" s="339"/>
      <c r="U823" s="339"/>
    </row>
    <row r="824" spans="1:21" ht="15.75" customHeight="1">
      <c r="A824" s="339"/>
      <c r="B824" s="339"/>
      <c r="C824" s="339"/>
      <c r="D824" s="339"/>
      <c r="E824" s="339"/>
      <c r="F824" s="339"/>
      <c r="G824" s="339"/>
      <c r="H824" s="339"/>
      <c r="I824" s="339"/>
      <c r="J824" s="341"/>
      <c r="K824" s="339"/>
      <c r="L824" s="339"/>
      <c r="M824" s="341"/>
      <c r="N824" s="339"/>
      <c r="O824" s="339"/>
      <c r="P824" s="341"/>
      <c r="Q824" s="339"/>
      <c r="R824" s="339"/>
      <c r="S824" s="341"/>
      <c r="T824" s="339"/>
      <c r="U824" s="339"/>
    </row>
    <row r="825" spans="1:21" ht="15.75" customHeight="1">
      <c r="A825" s="339"/>
      <c r="B825" s="339"/>
      <c r="C825" s="339"/>
      <c r="D825" s="339"/>
      <c r="E825" s="339"/>
      <c r="F825" s="339"/>
      <c r="G825" s="339"/>
      <c r="H825" s="339"/>
      <c r="I825" s="339"/>
      <c r="J825" s="341"/>
      <c r="K825" s="339"/>
      <c r="L825" s="339"/>
      <c r="M825" s="341"/>
      <c r="N825" s="339"/>
      <c r="O825" s="339"/>
      <c r="P825" s="341"/>
      <c r="Q825" s="339"/>
      <c r="R825" s="339"/>
      <c r="S825" s="341"/>
      <c r="T825" s="339"/>
      <c r="U825" s="339"/>
    </row>
    <row r="826" spans="1:21" ht="15.75" customHeight="1">
      <c r="A826" s="339"/>
      <c r="B826" s="339"/>
      <c r="C826" s="339"/>
      <c r="D826" s="339"/>
      <c r="E826" s="339"/>
      <c r="F826" s="339"/>
      <c r="G826" s="339"/>
      <c r="H826" s="339"/>
      <c r="I826" s="339"/>
      <c r="J826" s="341"/>
      <c r="K826" s="339"/>
      <c r="L826" s="339"/>
      <c r="M826" s="341"/>
      <c r="N826" s="339"/>
      <c r="O826" s="339"/>
      <c r="P826" s="341"/>
      <c r="Q826" s="339"/>
      <c r="R826" s="339"/>
      <c r="S826" s="341"/>
      <c r="T826" s="339"/>
      <c r="U826" s="339"/>
    </row>
    <row r="827" spans="1:21" ht="15.75" customHeight="1">
      <c r="A827" s="339"/>
      <c r="B827" s="339"/>
      <c r="C827" s="339"/>
      <c r="D827" s="339"/>
      <c r="E827" s="339"/>
      <c r="F827" s="339"/>
      <c r="G827" s="339"/>
      <c r="H827" s="339"/>
      <c r="I827" s="339"/>
      <c r="J827" s="341"/>
      <c r="K827" s="339"/>
      <c r="L827" s="339"/>
      <c r="M827" s="341"/>
      <c r="N827" s="339"/>
      <c r="O827" s="339"/>
      <c r="P827" s="341"/>
      <c r="Q827" s="339"/>
      <c r="R827" s="339"/>
      <c r="S827" s="341"/>
      <c r="T827" s="339"/>
      <c r="U827" s="339"/>
    </row>
    <row r="828" spans="1:21" ht="15.75" customHeight="1">
      <c r="A828" s="339"/>
      <c r="B828" s="339"/>
      <c r="C828" s="339"/>
      <c r="D828" s="339"/>
      <c r="E828" s="339"/>
      <c r="F828" s="339"/>
      <c r="G828" s="339"/>
      <c r="H828" s="339"/>
      <c r="I828" s="339"/>
      <c r="J828" s="341"/>
      <c r="K828" s="339"/>
      <c r="L828" s="339"/>
      <c r="M828" s="341"/>
      <c r="N828" s="339"/>
      <c r="O828" s="339"/>
      <c r="P828" s="341"/>
      <c r="Q828" s="339"/>
      <c r="R828" s="339"/>
      <c r="S828" s="341"/>
      <c r="T828" s="339"/>
      <c r="U828" s="339"/>
    </row>
    <row r="829" spans="1:21" ht="15.75" customHeight="1">
      <c r="A829" s="339"/>
      <c r="B829" s="339"/>
      <c r="C829" s="339"/>
      <c r="D829" s="339"/>
      <c r="E829" s="339"/>
      <c r="F829" s="339"/>
      <c r="G829" s="339"/>
      <c r="H829" s="339"/>
      <c r="I829" s="339"/>
      <c r="J829" s="341"/>
      <c r="K829" s="339"/>
      <c r="L829" s="339"/>
      <c r="M829" s="341"/>
      <c r="N829" s="339"/>
      <c r="O829" s="339"/>
      <c r="P829" s="341"/>
      <c r="Q829" s="339"/>
      <c r="R829" s="339"/>
      <c r="S829" s="341"/>
      <c r="T829" s="339"/>
      <c r="U829" s="339"/>
    </row>
    <row r="830" spans="1:21" ht="15.75" customHeight="1">
      <c r="A830" s="339"/>
      <c r="B830" s="339"/>
      <c r="C830" s="339"/>
      <c r="D830" s="339"/>
      <c r="E830" s="339"/>
      <c r="F830" s="339"/>
      <c r="G830" s="339"/>
      <c r="H830" s="339"/>
      <c r="I830" s="339"/>
      <c r="J830" s="341"/>
      <c r="K830" s="339"/>
      <c r="L830" s="339"/>
      <c r="M830" s="341"/>
      <c r="N830" s="339"/>
      <c r="O830" s="339"/>
      <c r="P830" s="341"/>
      <c r="Q830" s="339"/>
      <c r="R830" s="339"/>
      <c r="S830" s="341"/>
      <c r="T830" s="339"/>
      <c r="U830" s="339"/>
    </row>
    <row r="831" spans="1:21" ht="15.75" customHeight="1">
      <c r="A831" s="339"/>
      <c r="B831" s="339"/>
      <c r="C831" s="339"/>
      <c r="D831" s="339"/>
      <c r="E831" s="339"/>
      <c r="F831" s="339"/>
      <c r="G831" s="339"/>
      <c r="H831" s="339"/>
      <c r="I831" s="339"/>
      <c r="J831" s="341"/>
      <c r="K831" s="339"/>
      <c r="L831" s="339"/>
      <c r="M831" s="341"/>
      <c r="N831" s="339"/>
      <c r="O831" s="339"/>
      <c r="P831" s="341"/>
      <c r="Q831" s="339"/>
      <c r="R831" s="339"/>
      <c r="S831" s="341"/>
      <c r="T831" s="339"/>
      <c r="U831" s="339"/>
    </row>
    <row r="832" spans="1:21" ht="15.75" customHeight="1">
      <c r="A832" s="339"/>
      <c r="B832" s="339"/>
      <c r="C832" s="339"/>
      <c r="D832" s="339"/>
      <c r="E832" s="339"/>
      <c r="F832" s="339"/>
      <c r="G832" s="339"/>
      <c r="H832" s="339"/>
      <c r="I832" s="339"/>
      <c r="J832" s="341"/>
      <c r="K832" s="339"/>
      <c r="L832" s="339"/>
      <c r="M832" s="341"/>
      <c r="N832" s="339"/>
      <c r="O832" s="339"/>
      <c r="P832" s="341"/>
      <c r="Q832" s="339"/>
      <c r="R832" s="339"/>
      <c r="S832" s="341"/>
      <c r="T832" s="339"/>
      <c r="U832" s="339"/>
    </row>
    <row r="833" spans="1:21" ht="15.75" customHeight="1">
      <c r="A833" s="339"/>
      <c r="B833" s="339"/>
      <c r="C833" s="339"/>
      <c r="D833" s="339"/>
      <c r="E833" s="339"/>
      <c r="F833" s="339"/>
      <c r="G833" s="339"/>
      <c r="H833" s="339"/>
      <c r="I833" s="339"/>
      <c r="J833" s="341"/>
      <c r="K833" s="339"/>
      <c r="L833" s="339"/>
      <c r="M833" s="341"/>
      <c r="N833" s="339"/>
      <c r="O833" s="339"/>
      <c r="P833" s="341"/>
      <c r="Q833" s="339"/>
      <c r="R833" s="339"/>
      <c r="S833" s="341"/>
      <c r="T833" s="339"/>
      <c r="U833" s="339"/>
    </row>
    <row r="834" spans="1:21" ht="15.75" customHeight="1">
      <c r="A834" s="339"/>
      <c r="B834" s="339"/>
      <c r="C834" s="339"/>
      <c r="D834" s="339"/>
      <c r="E834" s="339"/>
      <c r="F834" s="339"/>
      <c r="G834" s="339"/>
      <c r="H834" s="339"/>
      <c r="I834" s="339"/>
      <c r="J834" s="341"/>
      <c r="K834" s="339"/>
      <c r="L834" s="339"/>
      <c r="M834" s="341"/>
      <c r="N834" s="339"/>
      <c r="O834" s="339"/>
      <c r="P834" s="341"/>
      <c r="Q834" s="339"/>
      <c r="R834" s="339"/>
      <c r="S834" s="341"/>
      <c r="T834" s="339"/>
      <c r="U834" s="339"/>
    </row>
    <row r="835" spans="1:21" ht="15.75" customHeight="1">
      <c r="A835" s="339"/>
      <c r="B835" s="339"/>
      <c r="C835" s="339"/>
      <c r="D835" s="339"/>
      <c r="E835" s="339"/>
      <c r="F835" s="339"/>
      <c r="G835" s="339"/>
      <c r="H835" s="339"/>
      <c r="I835" s="339"/>
      <c r="J835" s="341"/>
      <c r="K835" s="339"/>
      <c r="L835" s="339"/>
      <c r="M835" s="341"/>
      <c r="N835" s="339"/>
      <c r="O835" s="339"/>
      <c r="P835" s="341"/>
      <c r="Q835" s="339"/>
      <c r="R835" s="339"/>
      <c r="S835" s="341"/>
      <c r="T835" s="339"/>
      <c r="U835" s="339"/>
    </row>
    <row r="836" spans="1:21" ht="15.75" customHeight="1">
      <c r="A836" s="339"/>
      <c r="B836" s="339"/>
      <c r="C836" s="339"/>
      <c r="D836" s="339"/>
      <c r="E836" s="339"/>
      <c r="F836" s="339"/>
      <c r="G836" s="339"/>
      <c r="H836" s="339"/>
      <c r="I836" s="339"/>
      <c r="J836" s="341"/>
      <c r="K836" s="339"/>
      <c r="L836" s="339"/>
      <c r="M836" s="341"/>
      <c r="N836" s="339"/>
      <c r="O836" s="339"/>
      <c r="P836" s="341"/>
      <c r="Q836" s="339"/>
      <c r="R836" s="339"/>
      <c r="S836" s="341"/>
      <c r="T836" s="339"/>
      <c r="U836" s="339"/>
    </row>
    <row r="837" spans="1:21" ht="15.75" customHeight="1">
      <c r="A837" s="339"/>
      <c r="B837" s="339"/>
      <c r="C837" s="339"/>
      <c r="D837" s="339"/>
      <c r="E837" s="339"/>
      <c r="F837" s="339"/>
      <c r="G837" s="339"/>
      <c r="H837" s="339"/>
      <c r="I837" s="339"/>
      <c r="J837" s="341"/>
      <c r="K837" s="339"/>
      <c r="L837" s="339"/>
      <c r="M837" s="341"/>
      <c r="N837" s="339"/>
      <c r="O837" s="339"/>
      <c r="P837" s="341"/>
      <c r="Q837" s="339"/>
      <c r="R837" s="339"/>
      <c r="S837" s="341"/>
      <c r="T837" s="339"/>
      <c r="U837" s="339"/>
    </row>
    <row r="838" spans="1:21" ht="15.75" customHeight="1">
      <c r="A838" s="339"/>
      <c r="B838" s="339"/>
      <c r="C838" s="339"/>
      <c r="D838" s="339"/>
      <c r="E838" s="339"/>
      <c r="F838" s="339"/>
      <c r="G838" s="339"/>
      <c r="H838" s="339"/>
      <c r="I838" s="339"/>
      <c r="J838" s="341"/>
      <c r="K838" s="339"/>
      <c r="L838" s="339"/>
      <c r="M838" s="341"/>
      <c r="N838" s="339"/>
      <c r="O838" s="339"/>
      <c r="P838" s="341"/>
      <c r="Q838" s="339"/>
      <c r="R838" s="339"/>
      <c r="S838" s="341"/>
      <c r="T838" s="339"/>
      <c r="U838" s="339"/>
    </row>
    <row r="839" spans="1:21" ht="15.75" customHeight="1">
      <c r="A839" s="339"/>
      <c r="B839" s="339"/>
      <c r="C839" s="339"/>
      <c r="D839" s="339"/>
      <c r="E839" s="339"/>
      <c r="F839" s="339"/>
      <c r="G839" s="339"/>
      <c r="H839" s="339"/>
      <c r="I839" s="339"/>
      <c r="J839" s="341"/>
      <c r="K839" s="339"/>
      <c r="L839" s="339"/>
      <c r="M839" s="341"/>
      <c r="N839" s="339"/>
      <c r="O839" s="339"/>
      <c r="P839" s="341"/>
      <c r="Q839" s="339"/>
      <c r="R839" s="339"/>
      <c r="S839" s="341"/>
      <c r="T839" s="339"/>
      <c r="U839" s="339"/>
    </row>
    <row r="840" spans="1:21" ht="15.75" customHeight="1">
      <c r="A840" s="339"/>
      <c r="B840" s="339"/>
      <c r="C840" s="339"/>
      <c r="D840" s="339"/>
      <c r="E840" s="339"/>
      <c r="F840" s="339"/>
      <c r="G840" s="339"/>
      <c r="H840" s="339"/>
      <c r="I840" s="339"/>
      <c r="J840" s="341"/>
      <c r="K840" s="339"/>
      <c r="L840" s="339"/>
      <c r="M840" s="341"/>
      <c r="N840" s="339"/>
      <c r="O840" s="339"/>
      <c r="P840" s="341"/>
      <c r="Q840" s="339"/>
      <c r="R840" s="339"/>
      <c r="S840" s="341"/>
      <c r="T840" s="339"/>
      <c r="U840" s="339"/>
    </row>
    <row r="841" spans="1:21" ht="15.75" customHeight="1">
      <c r="A841" s="339"/>
      <c r="B841" s="339"/>
      <c r="C841" s="339"/>
      <c r="D841" s="339"/>
      <c r="E841" s="339"/>
      <c r="F841" s="339"/>
      <c r="G841" s="339"/>
      <c r="H841" s="339"/>
      <c r="I841" s="339"/>
      <c r="J841" s="341"/>
      <c r="K841" s="339"/>
      <c r="L841" s="339"/>
      <c r="M841" s="341"/>
      <c r="N841" s="339"/>
      <c r="O841" s="339"/>
      <c r="P841" s="341"/>
      <c r="Q841" s="339"/>
      <c r="R841" s="339"/>
      <c r="S841" s="341"/>
      <c r="T841" s="339"/>
      <c r="U841" s="339"/>
    </row>
    <row r="842" spans="1:21" ht="15.75" customHeight="1">
      <c r="A842" s="339"/>
      <c r="B842" s="339"/>
      <c r="C842" s="339"/>
      <c r="D842" s="339"/>
      <c r="E842" s="339"/>
      <c r="F842" s="339"/>
      <c r="G842" s="339"/>
      <c r="H842" s="339"/>
      <c r="I842" s="339"/>
      <c r="J842" s="341"/>
      <c r="K842" s="339"/>
      <c r="L842" s="339"/>
      <c r="M842" s="341"/>
      <c r="N842" s="339"/>
      <c r="O842" s="339"/>
      <c r="P842" s="341"/>
      <c r="Q842" s="339"/>
      <c r="R842" s="339"/>
      <c r="S842" s="341"/>
      <c r="T842" s="339"/>
      <c r="U842" s="339"/>
    </row>
    <row r="843" spans="1:21" ht="15.75" customHeight="1">
      <c r="A843" s="339"/>
      <c r="B843" s="339"/>
      <c r="C843" s="339"/>
      <c r="D843" s="339"/>
      <c r="E843" s="339"/>
      <c r="F843" s="339"/>
      <c r="G843" s="339"/>
      <c r="H843" s="339"/>
      <c r="I843" s="339"/>
      <c r="J843" s="341"/>
      <c r="K843" s="339"/>
      <c r="L843" s="339"/>
      <c r="M843" s="341"/>
      <c r="N843" s="339"/>
      <c r="O843" s="339"/>
      <c r="P843" s="341"/>
      <c r="Q843" s="339"/>
      <c r="R843" s="339"/>
      <c r="S843" s="341"/>
      <c r="T843" s="339"/>
      <c r="U843" s="339"/>
    </row>
    <row r="844" spans="1:21" ht="15.75" customHeight="1">
      <c r="A844" s="339"/>
      <c r="B844" s="339"/>
      <c r="C844" s="339"/>
      <c r="D844" s="339"/>
      <c r="E844" s="339"/>
      <c r="F844" s="339"/>
      <c r="G844" s="339"/>
      <c r="H844" s="339"/>
      <c r="I844" s="339"/>
      <c r="J844" s="341"/>
      <c r="K844" s="339"/>
      <c r="L844" s="339"/>
      <c r="M844" s="341"/>
      <c r="N844" s="339"/>
      <c r="O844" s="339"/>
      <c r="P844" s="341"/>
      <c r="Q844" s="339"/>
      <c r="R844" s="339"/>
      <c r="S844" s="341"/>
      <c r="T844" s="339"/>
      <c r="U844" s="339"/>
    </row>
    <row r="845" spans="1:21" ht="15.75" customHeight="1">
      <c r="A845" s="339"/>
      <c r="B845" s="339"/>
      <c r="C845" s="339"/>
      <c r="D845" s="339"/>
      <c r="E845" s="339"/>
      <c r="F845" s="339"/>
      <c r="G845" s="339"/>
      <c r="H845" s="339"/>
      <c r="I845" s="339"/>
      <c r="J845" s="341"/>
      <c r="K845" s="339"/>
      <c r="L845" s="339"/>
      <c r="M845" s="341"/>
      <c r="N845" s="339"/>
      <c r="O845" s="339"/>
      <c r="P845" s="341"/>
      <c r="Q845" s="339"/>
      <c r="R845" s="339"/>
      <c r="S845" s="341"/>
      <c r="T845" s="339"/>
      <c r="U845" s="339"/>
    </row>
    <row r="846" spans="1:21" ht="15.75" customHeight="1">
      <c r="A846" s="339"/>
      <c r="B846" s="339"/>
      <c r="C846" s="339"/>
      <c r="D846" s="339"/>
      <c r="E846" s="339"/>
      <c r="F846" s="339"/>
      <c r="G846" s="339"/>
      <c r="H846" s="339"/>
      <c r="I846" s="339"/>
      <c r="J846" s="341"/>
      <c r="K846" s="339"/>
      <c r="L846" s="339"/>
      <c r="M846" s="341"/>
      <c r="N846" s="339"/>
      <c r="O846" s="339"/>
      <c r="P846" s="341"/>
      <c r="Q846" s="339"/>
      <c r="R846" s="339"/>
      <c r="S846" s="341"/>
      <c r="T846" s="339"/>
      <c r="U846" s="339"/>
    </row>
    <row r="847" spans="1:21" ht="15.75" customHeight="1">
      <c r="A847" s="339"/>
      <c r="B847" s="339"/>
      <c r="C847" s="339"/>
      <c r="D847" s="339"/>
      <c r="E847" s="339"/>
      <c r="F847" s="339"/>
      <c r="G847" s="339"/>
      <c r="H847" s="339"/>
      <c r="I847" s="339"/>
      <c r="J847" s="341"/>
      <c r="K847" s="339"/>
      <c r="L847" s="339"/>
      <c r="M847" s="341"/>
      <c r="N847" s="339"/>
      <c r="O847" s="339"/>
      <c r="P847" s="341"/>
      <c r="Q847" s="339"/>
      <c r="R847" s="339"/>
      <c r="S847" s="341"/>
      <c r="T847" s="339"/>
      <c r="U847" s="339"/>
    </row>
    <row r="848" spans="1:21" ht="15.75" customHeight="1">
      <c r="A848" s="339"/>
      <c r="B848" s="339"/>
      <c r="C848" s="339"/>
      <c r="D848" s="339"/>
      <c r="E848" s="339"/>
      <c r="F848" s="339"/>
      <c r="G848" s="339"/>
      <c r="H848" s="339"/>
      <c r="I848" s="339"/>
      <c r="J848" s="341"/>
      <c r="K848" s="339"/>
      <c r="L848" s="339"/>
      <c r="M848" s="341"/>
      <c r="N848" s="339"/>
      <c r="O848" s="339"/>
      <c r="P848" s="341"/>
      <c r="Q848" s="339"/>
      <c r="R848" s="339"/>
      <c r="S848" s="341"/>
      <c r="T848" s="339"/>
      <c r="U848" s="339"/>
    </row>
    <row r="849" spans="1:21" ht="15.75" customHeight="1">
      <c r="A849" s="339"/>
      <c r="B849" s="339"/>
      <c r="C849" s="339"/>
      <c r="D849" s="339"/>
      <c r="E849" s="339"/>
      <c r="F849" s="339"/>
      <c r="G849" s="339"/>
      <c r="H849" s="339"/>
      <c r="I849" s="339"/>
      <c r="J849" s="341"/>
      <c r="K849" s="339"/>
      <c r="L849" s="339"/>
      <c r="M849" s="341"/>
      <c r="N849" s="339"/>
      <c r="O849" s="339"/>
      <c r="P849" s="341"/>
      <c r="Q849" s="339"/>
      <c r="R849" s="339"/>
      <c r="S849" s="341"/>
      <c r="T849" s="339"/>
      <c r="U849" s="339"/>
    </row>
    <row r="850" spans="1:21" ht="15.75" customHeight="1">
      <c r="A850" s="339"/>
      <c r="B850" s="339"/>
      <c r="C850" s="339"/>
      <c r="D850" s="339"/>
      <c r="E850" s="339"/>
      <c r="F850" s="339"/>
      <c r="G850" s="339"/>
      <c r="H850" s="339"/>
      <c r="I850" s="339"/>
      <c r="J850" s="341"/>
      <c r="K850" s="339"/>
      <c r="L850" s="339"/>
      <c r="M850" s="341"/>
      <c r="N850" s="339"/>
      <c r="O850" s="339"/>
      <c r="P850" s="341"/>
      <c r="Q850" s="339"/>
      <c r="R850" s="339"/>
      <c r="S850" s="341"/>
      <c r="T850" s="339"/>
      <c r="U850" s="339"/>
    </row>
    <row r="851" spans="1:21" ht="15.75" customHeight="1">
      <c r="A851" s="339"/>
      <c r="B851" s="339"/>
      <c r="C851" s="339"/>
      <c r="D851" s="339"/>
      <c r="E851" s="339"/>
      <c r="F851" s="339"/>
      <c r="G851" s="339"/>
      <c r="H851" s="339"/>
      <c r="I851" s="339"/>
      <c r="J851" s="341"/>
      <c r="K851" s="339"/>
      <c r="L851" s="339"/>
      <c r="M851" s="341"/>
      <c r="N851" s="339"/>
      <c r="O851" s="339"/>
      <c r="P851" s="341"/>
      <c r="Q851" s="339"/>
      <c r="R851" s="339"/>
      <c r="S851" s="341"/>
      <c r="T851" s="339"/>
      <c r="U851" s="339"/>
    </row>
    <row r="852" spans="1:21" ht="15.75" customHeight="1">
      <c r="A852" s="339"/>
      <c r="B852" s="339"/>
      <c r="C852" s="339"/>
      <c r="D852" s="339"/>
      <c r="E852" s="339"/>
      <c r="F852" s="339"/>
      <c r="G852" s="339"/>
      <c r="H852" s="339"/>
      <c r="I852" s="339"/>
      <c r="J852" s="341"/>
      <c r="K852" s="339"/>
      <c r="L852" s="339"/>
      <c r="M852" s="341"/>
      <c r="N852" s="339"/>
      <c r="O852" s="339"/>
      <c r="P852" s="341"/>
      <c r="Q852" s="339"/>
      <c r="R852" s="339"/>
      <c r="S852" s="341"/>
      <c r="T852" s="339"/>
      <c r="U852" s="339"/>
    </row>
    <row r="853" spans="1:21" ht="15.75" customHeight="1">
      <c r="A853" s="339"/>
      <c r="B853" s="339"/>
      <c r="C853" s="339"/>
      <c r="D853" s="339"/>
      <c r="E853" s="339"/>
      <c r="F853" s="339"/>
      <c r="G853" s="339"/>
      <c r="H853" s="339"/>
      <c r="I853" s="339"/>
      <c r="J853" s="341"/>
      <c r="K853" s="339"/>
      <c r="L853" s="339"/>
      <c r="M853" s="341"/>
      <c r="N853" s="339"/>
      <c r="O853" s="339"/>
      <c r="P853" s="341"/>
      <c r="Q853" s="339"/>
      <c r="R853" s="339"/>
      <c r="S853" s="341"/>
      <c r="T853" s="339"/>
      <c r="U853" s="339"/>
    </row>
    <row r="854" spans="1:21" ht="15.75" customHeight="1">
      <c r="A854" s="339"/>
      <c r="B854" s="339"/>
      <c r="C854" s="339"/>
      <c r="D854" s="339"/>
      <c r="E854" s="339"/>
      <c r="F854" s="339"/>
      <c r="G854" s="339"/>
      <c r="H854" s="339"/>
      <c r="I854" s="339"/>
      <c r="J854" s="341"/>
      <c r="K854" s="339"/>
      <c r="L854" s="339"/>
      <c r="M854" s="341"/>
      <c r="N854" s="339"/>
      <c r="O854" s="339"/>
      <c r="P854" s="341"/>
      <c r="Q854" s="339"/>
      <c r="R854" s="339"/>
      <c r="S854" s="341"/>
      <c r="T854" s="339"/>
      <c r="U854" s="339"/>
    </row>
    <row r="855" spans="1:21" ht="15.75" customHeight="1">
      <c r="A855" s="339"/>
      <c r="B855" s="339"/>
      <c r="C855" s="339"/>
      <c r="D855" s="339"/>
      <c r="E855" s="339"/>
      <c r="F855" s="339"/>
      <c r="G855" s="339"/>
      <c r="H855" s="339"/>
      <c r="I855" s="339"/>
      <c r="J855" s="341"/>
      <c r="K855" s="339"/>
      <c r="L855" s="339"/>
      <c r="M855" s="341"/>
      <c r="N855" s="339"/>
      <c r="O855" s="339"/>
      <c r="P855" s="341"/>
      <c r="Q855" s="339"/>
      <c r="R855" s="339"/>
      <c r="S855" s="341"/>
      <c r="T855" s="339"/>
      <c r="U855" s="339"/>
    </row>
    <row r="856" spans="1:21" ht="15.75" customHeight="1">
      <c r="A856" s="339"/>
      <c r="B856" s="339"/>
      <c r="C856" s="339"/>
      <c r="D856" s="339"/>
      <c r="E856" s="339"/>
      <c r="F856" s="339"/>
      <c r="G856" s="339"/>
      <c r="H856" s="339"/>
      <c r="I856" s="339"/>
      <c r="J856" s="341"/>
      <c r="K856" s="339"/>
      <c r="L856" s="339"/>
      <c r="M856" s="341"/>
      <c r="N856" s="339"/>
      <c r="O856" s="339"/>
      <c r="P856" s="341"/>
      <c r="Q856" s="339"/>
      <c r="R856" s="339"/>
      <c r="S856" s="341"/>
      <c r="T856" s="339"/>
      <c r="U856" s="339"/>
    </row>
    <row r="857" spans="1:21" ht="15.75" customHeight="1">
      <c r="A857" s="339"/>
      <c r="B857" s="339"/>
      <c r="C857" s="339"/>
      <c r="D857" s="339"/>
      <c r="E857" s="339"/>
      <c r="F857" s="339"/>
      <c r="G857" s="339"/>
      <c r="H857" s="339"/>
      <c r="I857" s="339"/>
      <c r="J857" s="341"/>
      <c r="K857" s="339"/>
      <c r="L857" s="339"/>
      <c r="M857" s="341"/>
      <c r="N857" s="339"/>
      <c r="O857" s="339"/>
      <c r="P857" s="341"/>
      <c r="Q857" s="339"/>
      <c r="R857" s="339"/>
      <c r="S857" s="341"/>
      <c r="T857" s="339"/>
      <c r="U857" s="339"/>
    </row>
    <row r="858" spans="1:21" ht="15.75" customHeight="1">
      <c r="A858" s="339"/>
      <c r="B858" s="339"/>
      <c r="C858" s="339"/>
      <c r="D858" s="339"/>
      <c r="E858" s="339"/>
      <c r="F858" s="339"/>
      <c r="G858" s="339"/>
      <c r="H858" s="339"/>
      <c r="I858" s="339"/>
      <c r="J858" s="341"/>
      <c r="K858" s="339"/>
      <c r="L858" s="339"/>
      <c r="M858" s="341"/>
      <c r="N858" s="339"/>
      <c r="O858" s="339"/>
      <c r="P858" s="341"/>
      <c r="Q858" s="339"/>
      <c r="R858" s="339"/>
      <c r="S858" s="341"/>
      <c r="T858" s="339"/>
      <c r="U858" s="339"/>
    </row>
    <row r="859" spans="1:21" ht="15.75" customHeight="1">
      <c r="A859" s="339"/>
      <c r="B859" s="339"/>
      <c r="C859" s="339"/>
      <c r="D859" s="339"/>
      <c r="E859" s="339"/>
      <c r="F859" s="339"/>
      <c r="G859" s="339"/>
      <c r="H859" s="339"/>
      <c r="I859" s="339"/>
      <c r="J859" s="341"/>
      <c r="K859" s="339"/>
      <c r="L859" s="339"/>
      <c r="M859" s="341"/>
      <c r="N859" s="339"/>
      <c r="O859" s="339"/>
      <c r="P859" s="341"/>
      <c r="Q859" s="339"/>
      <c r="R859" s="339"/>
      <c r="S859" s="341"/>
      <c r="T859" s="339"/>
      <c r="U859" s="339"/>
    </row>
    <row r="860" spans="1:21" ht="15.75" customHeight="1">
      <c r="A860" s="339"/>
      <c r="B860" s="339"/>
      <c r="C860" s="339"/>
      <c r="D860" s="339"/>
      <c r="E860" s="339"/>
      <c r="F860" s="339"/>
      <c r="G860" s="339"/>
      <c r="H860" s="339"/>
      <c r="I860" s="339"/>
      <c r="J860" s="341"/>
      <c r="K860" s="339"/>
      <c r="L860" s="339"/>
      <c r="M860" s="341"/>
      <c r="N860" s="339"/>
      <c r="O860" s="339"/>
      <c r="P860" s="341"/>
      <c r="Q860" s="339"/>
      <c r="R860" s="339"/>
      <c r="S860" s="341"/>
      <c r="T860" s="339"/>
      <c r="U860" s="339"/>
    </row>
    <row r="861" spans="1:21" ht="15.75" customHeight="1">
      <c r="A861" s="339"/>
      <c r="B861" s="339"/>
      <c r="C861" s="339"/>
      <c r="D861" s="339"/>
      <c r="E861" s="339"/>
      <c r="F861" s="339"/>
      <c r="G861" s="339"/>
      <c r="H861" s="339"/>
      <c r="I861" s="339"/>
      <c r="J861" s="341"/>
      <c r="K861" s="339"/>
      <c r="L861" s="339"/>
      <c r="M861" s="341"/>
      <c r="N861" s="339"/>
      <c r="O861" s="339"/>
      <c r="P861" s="341"/>
      <c r="Q861" s="339"/>
      <c r="R861" s="339"/>
      <c r="S861" s="341"/>
      <c r="T861" s="339"/>
      <c r="U861" s="339"/>
    </row>
    <row r="862" spans="1:21" ht="15.75" customHeight="1">
      <c r="A862" s="339"/>
      <c r="B862" s="339"/>
      <c r="C862" s="339"/>
      <c r="D862" s="339"/>
      <c r="E862" s="339"/>
      <c r="F862" s="339"/>
      <c r="G862" s="339"/>
      <c r="H862" s="339"/>
      <c r="I862" s="339"/>
      <c r="J862" s="341"/>
      <c r="K862" s="339"/>
      <c r="L862" s="339"/>
      <c r="M862" s="341"/>
      <c r="N862" s="339"/>
      <c r="O862" s="339"/>
      <c r="P862" s="341"/>
      <c r="Q862" s="339"/>
      <c r="R862" s="339"/>
      <c r="S862" s="341"/>
      <c r="T862" s="339"/>
      <c r="U862" s="339"/>
    </row>
    <row r="863" spans="1:21" ht="15.75" customHeight="1">
      <c r="A863" s="339"/>
      <c r="B863" s="339"/>
      <c r="C863" s="339"/>
      <c r="D863" s="339"/>
      <c r="E863" s="339"/>
      <c r="F863" s="339"/>
      <c r="G863" s="339"/>
      <c r="H863" s="339"/>
      <c r="I863" s="339"/>
      <c r="J863" s="341"/>
      <c r="K863" s="339"/>
      <c r="L863" s="339"/>
      <c r="M863" s="341"/>
      <c r="N863" s="339"/>
      <c r="O863" s="339"/>
      <c r="P863" s="341"/>
      <c r="Q863" s="339"/>
      <c r="R863" s="339"/>
      <c r="S863" s="341"/>
      <c r="T863" s="339"/>
      <c r="U863" s="339"/>
    </row>
    <row r="864" spans="1:21" ht="15.75" customHeight="1">
      <c r="A864" s="339"/>
      <c r="B864" s="339"/>
      <c r="C864" s="339"/>
      <c r="D864" s="339"/>
      <c r="E864" s="339"/>
      <c r="F864" s="339"/>
      <c r="G864" s="339"/>
      <c r="H864" s="339"/>
      <c r="I864" s="339"/>
      <c r="J864" s="341"/>
      <c r="K864" s="339"/>
      <c r="L864" s="339"/>
      <c r="M864" s="341"/>
      <c r="N864" s="339"/>
      <c r="O864" s="339"/>
      <c r="P864" s="341"/>
      <c r="Q864" s="339"/>
      <c r="R864" s="339"/>
      <c r="S864" s="341"/>
      <c r="T864" s="339"/>
      <c r="U864" s="339"/>
    </row>
    <row r="865" spans="1:21" ht="15.75" customHeight="1">
      <c r="A865" s="339"/>
      <c r="B865" s="339"/>
      <c r="C865" s="339"/>
      <c r="D865" s="339"/>
      <c r="E865" s="339"/>
      <c r="F865" s="339"/>
      <c r="G865" s="339"/>
      <c r="H865" s="339"/>
      <c r="I865" s="339"/>
      <c r="J865" s="341"/>
      <c r="K865" s="339"/>
      <c r="L865" s="339"/>
      <c r="M865" s="341"/>
      <c r="N865" s="339"/>
      <c r="O865" s="339"/>
      <c r="P865" s="341"/>
      <c r="Q865" s="339"/>
      <c r="R865" s="339"/>
      <c r="S865" s="341"/>
      <c r="T865" s="339"/>
      <c r="U865" s="339"/>
    </row>
    <row r="866" spans="1:21" ht="15.75" customHeight="1">
      <c r="A866" s="339"/>
      <c r="B866" s="339"/>
      <c r="C866" s="339"/>
      <c r="D866" s="339"/>
      <c r="E866" s="339"/>
      <c r="F866" s="339"/>
      <c r="G866" s="339"/>
      <c r="H866" s="339"/>
      <c r="I866" s="339"/>
      <c r="J866" s="341"/>
      <c r="K866" s="339"/>
      <c r="L866" s="339"/>
      <c r="M866" s="341"/>
      <c r="N866" s="339"/>
      <c r="O866" s="339"/>
      <c r="P866" s="341"/>
      <c r="Q866" s="339"/>
      <c r="R866" s="339"/>
      <c r="S866" s="341"/>
      <c r="T866" s="339"/>
      <c r="U866" s="339"/>
    </row>
    <row r="867" spans="1:21" ht="15.75" customHeight="1">
      <c r="A867" s="339"/>
      <c r="B867" s="339"/>
      <c r="C867" s="339"/>
      <c r="D867" s="339"/>
      <c r="E867" s="339"/>
      <c r="F867" s="339"/>
      <c r="G867" s="339"/>
      <c r="H867" s="339"/>
      <c r="I867" s="339"/>
      <c r="J867" s="341"/>
      <c r="K867" s="339"/>
      <c r="L867" s="339"/>
      <c r="M867" s="341"/>
      <c r="N867" s="339"/>
      <c r="O867" s="339"/>
      <c r="P867" s="341"/>
      <c r="Q867" s="339"/>
      <c r="R867" s="339"/>
      <c r="S867" s="341"/>
      <c r="T867" s="339"/>
      <c r="U867" s="339"/>
    </row>
    <row r="868" spans="1:21" ht="15.75" customHeight="1">
      <c r="A868" s="339"/>
      <c r="B868" s="339"/>
      <c r="C868" s="339"/>
      <c r="D868" s="339"/>
      <c r="E868" s="339"/>
      <c r="F868" s="339"/>
      <c r="G868" s="339"/>
      <c r="H868" s="339"/>
      <c r="I868" s="339"/>
      <c r="J868" s="341"/>
      <c r="K868" s="339"/>
      <c r="L868" s="339"/>
      <c r="M868" s="341"/>
      <c r="N868" s="339"/>
      <c r="O868" s="339"/>
      <c r="P868" s="341"/>
      <c r="Q868" s="339"/>
      <c r="R868" s="339"/>
      <c r="S868" s="341"/>
      <c r="T868" s="339"/>
      <c r="U868" s="339"/>
    </row>
    <row r="869" spans="1:21" ht="15.75" customHeight="1">
      <c r="A869" s="339"/>
      <c r="B869" s="339"/>
      <c r="C869" s="339"/>
      <c r="D869" s="339"/>
      <c r="E869" s="339"/>
      <c r="F869" s="339"/>
      <c r="G869" s="339"/>
      <c r="H869" s="339"/>
      <c r="I869" s="339"/>
      <c r="J869" s="341"/>
      <c r="K869" s="339"/>
      <c r="L869" s="339"/>
      <c r="M869" s="341"/>
      <c r="N869" s="339"/>
      <c r="O869" s="339"/>
      <c r="P869" s="341"/>
      <c r="Q869" s="339"/>
      <c r="R869" s="339"/>
      <c r="S869" s="341"/>
      <c r="T869" s="339"/>
      <c r="U869" s="339"/>
    </row>
    <row r="870" spans="1:21" ht="15.75" customHeight="1">
      <c r="A870" s="339"/>
      <c r="B870" s="339"/>
      <c r="C870" s="339"/>
      <c r="D870" s="339"/>
      <c r="E870" s="339"/>
      <c r="F870" s="339"/>
      <c r="G870" s="339"/>
      <c r="H870" s="339"/>
      <c r="I870" s="339"/>
      <c r="J870" s="341"/>
      <c r="K870" s="339"/>
      <c r="L870" s="339"/>
      <c r="M870" s="341"/>
      <c r="N870" s="339"/>
      <c r="O870" s="339"/>
      <c r="P870" s="341"/>
      <c r="Q870" s="339"/>
      <c r="R870" s="339"/>
      <c r="S870" s="341"/>
      <c r="T870" s="339"/>
      <c r="U870" s="339"/>
    </row>
    <row r="871" spans="1:21" ht="15.75" customHeight="1">
      <c r="A871" s="339"/>
      <c r="B871" s="339"/>
      <c r="C871" s="339"/>
      <c r="D871" s="339"/>
      <c r="E871" s="339"/>
      <c r="F871" s="339"/>
      <c r="G871" s="339"/>
      <c r="H871" s="339"/>
      <c r="I871" s="339"/>
      <c r="J871" s="341"/>
      <c r="K871" s="339"/>
      <c r="L871" s="339"/>
      <c r="M871" s="341"/>
      <c r="N871" s="339"/>
      <c r="O871" s="339"/>
      <c r="P871" s="341"/>
      <c r="Q871" s="339"/>
      <c r="R871" s="339"/>
      <c r="S871" s="341"/>
      <c r="T871" s="339"/>
      <c r="U871" s="339"/>
    </row>
    <row r="872" spans="1:21" ht="15.75" customHeight="1">
      <c r="A872" s="339"/>
      <c r="B872" s="339"/>
      <c r="C872" s="339"/>
      <c r="D872" s="339"/>
      <c r="E872" s="339"/>
      <c r="F872" s="339"/>
      <c r="G872" s="339"/>
      <c r="H872" s="339"/>
      <c r="I872" s="339"/>
      <c r="J872" s="341"/>
      <c r="K872" s="339"/>
      <c r="L872" s="339"/>
      <c r="M872" s="341"/>
      <c r="N872" s="339"/>
      <c r="O872" s="339"/>
      <c r="P872" s="341"/>
      <c r="Q872" s="339"/>
      <c r="R872" s="339"/>
      <c r="S872" s="341"/>
      <c r="T872" s="339"/>
      <c r="U872" s="339"/>
    </row>
    <row r="873" spans="1:21" ht="15.75" customHeight="1">
      <c r="A873" s="339"/>
      <c r="B873" s="339"/>
      <c r="C873" s="339"/>
      <c r="D873" s="339"/>
      <c r="E873" s="339"/>
      <c r="F873" s="339"/>
      <c r="G873" s="339"/>
      <c r="H873" s="339"/>
      <c r="I873" s="339"/>
      <c r="J873" s="341"/>
      <c r="K873" s="339"/>
      <c r="L873" s="339"/>
      <c r="M873" s="341"/>
      <c r="N873" s="339"/>
      <c r="O873" s="339"/>
      <c r="P873" s="341"/>
      <c r="Q873" s="339"/>
      <c r="R873" s="339"/>
      <c r="S873" s="341"/>
      <c r="T873" s="339"/>
      <c r="U873" s="339"/>
    </row>
    <row r="874" spans="1:21" ht="15.75" customHeight="1">
      <c r="A874" s="339"/>
      <c r="B874" s="339"/>
      <c r="C874" s="339"/>
      <c r="D874" s="339"/>
      <c r="E874" s="339"/>
      <c r="F874" s="339"/>
      <c r="G874" s="339"/>
      <c r="H874" s="339"/>
      <c r="I874" s="339"/>
      <c r="J874" s="341"/>
      <c r="K874" s="339"/>
      <c r="L874" s="339"/>
      <c r="M874" s="341"/>
      <c r="N874" s="339"/>
      <c r="O874" s="339"/>
      <c r="P874" s="341"/>
      <c r="Q874" s="339"/>
      <c r="R874" s="339"/>
      <c r="S874" s="341"/>
      <c r="T874" s="339"/>
      <c r="U874" s="339"/>
    </row>
    <row r="875" spans="1:21" ht="15.75" customHeight="1">
      <c r="A875" s="339"/>
      <c r="B875" s="339"/>
      <c r="C875" s="339"/>
      <c r="D875" s="339"/>
      <c r="E875" s="339"/>
      <c r="F875" s="339"/>
      <c r="G875" s="339"/>
      <c r="H875" s="339"/>
      <c r="I875" s="339"/>
      <c r="J875" s="341"/>
      <c r="K875" s="339"/>
      <c r="L875" s="339"/>
      <c r="M875" s="341"/>
      <c r="N875" s="339"/>
      <c r="O875" s="339"/>
      <c r="P875" s="341"/>
      <c r="Q875" s="339"/>
      <c r="R875" s="339"/>
      <c r="S875" s="341"/>
      <c r="T875" s="339"/>
      <c r="U875" s="339"/>
    </row>
    <row r="876" spans="1:21" ht="15.75" customHeight="1">
      <c r="A876" s="339"/>
      <c r="B876" s="339"/>
      <c r="C876" s="339"/>
      <c r="D876" s="339"/>
      <c r="E876" s="339"/>
      <c r="F876" s="339"/>
      <c r="G876" s="339"/>
      <c r="H876" s="339"/>
      <c r="I876" s="339"/>
      <c r="J876" s="341"/>
      <c r="K876" s="339"/>
      <c r="L876" s="339"/>
      <c r="M876" s="341"/>
      <c r="N876" s="339"/>
      <c r="O876" s="339"/>
      <c r="P876" s="341"/>
      <c r="Q876" s="339"/>
      <c r="R876" s="339"/>
      <c r="S876" s="341"/>
      <c r="T876" s="339"/>
      <c r="U876" s="339"/>
    </row>
    <row r="877" spans="1:21" ht="15.75" customHeight="1">
      <c r="A877" s="339"/>
      <c r="B877" s="339"/>
      <c r="C877" s="339"/>
      <c r="D877" s="339"/>
      <c r="E877" s="339"/>
      <c r="F877" s="339"/>
      <c r="G877" s="339"/>
      <c r="H877" s="339"/>
      <c r="I877" s="339"/>
      <c r="J877" s="341"/>
      <c r="K877" s="339"/>
      <c r="L877" s="339"/>
      <c r="M877" s="341"/>
      <c r="N877" s="339"/>
      <c r="O877" s="339"/>
      <c r="P877" s="341"/>
      <c r="Q877" s="339"/>
      <c r="R877" s="339"/>
      <c r="S877" s="341"/>
      <c r="T877" s="339"/>
      <c r="U877" s="339"/>
    </row>
    <row r="878" spans="1:21" ht="15.75" customHeight="1">
      <c r="A878" s="339"/>
      <c r="B878" s="339"/>
      <c r="C878" s="339"/>
      <c r="D878" s="339"/>
      <c r="E878" s="339"/>
      <c r="F878" s="339"/>
      <c r="G878" s="339"/>
      <c r="H878" s="339"/>
      <c r="I878" s="339"/>
      <c r="J878" s="341"/>
      <c r="K878" s="339"/>
      <c r="L878" s="339"/>
      <c r="M878" s="341"/>
      <c r="N878" s="339"/>
      <c r="O878" s="339"/>
      <c r="P878" s="341"/>
      <c r="Q878" s="339"/>
      <c r="R878" s="339"/>
      <c r="S878" s="341"/>
      <c r="T878" s="339"/>
      <c r="U878" s="339"/>
    </row>
    <row r="879" spans="1:21" ht="15.75" customHeight="1">
      <c r="A879" s="339"/>
      <c r="B879" s="339"/>
      <c r="C879" s="339"/>
      <c r="D879" s="339"/>
      <c r="E879" s="339"/>
      <c r="F879" s="339"/>
      <c r="G879" s="339"/>
      <c r="H879" s="339"/>
      <c r="I879" s="339"/>
      <c r="J879" s="341"/>
      <c r="K879" s="339"/>
      <c r="L879" s="339"/>
      <c r="M879" s="341"/>
      <c r="N879" s="339"/>
      <c r="O879" s="339"/>
      <c r="P879" s="341"/>
      <c r="Q879" s="339"/>
      <c r="R879" s="339"/>
      <c r="S879" s="341"/>
      <c r="T879" s="339"/>
      <c r="U879" s="339"/>
    </row>
    <row r="880" spans="1:21" ht="15.75" customHeight="1">
      <c r="A880" s="339"/>
      <c r="B880" s="339"/>
      <c r="C880" s="339"/>
      <c r="D880" s="339"/>
      <c r="E880" s="339"/>
      <c r="F880" s="339"/>
      <c r="G880" s="339"/>
      <c r="H880" s="339"/>
      <c r="I880" s="339"/>
      <c r="J880" s="341"/>
      <c r="K880" s="339"/>
      <c r="L880" s="339"/>
      <c r="M880" s="341"/>
      <c r="N880" s="339"/>
      <c r="O880" s="339"/>
      <c r="P880" s="341"/>
      <c r="Q880" s="339"/>
      <c r="R880" s="339"/>
      <c r="S880" s="341"/>
      <c r="T880" s="339"/>
      <c r="U880" s="339"/>
    </row>
    <row r="881" spans="1:21" ht="15.75" customHeight="1">
      <c r="A881" s="339"/>
      <c r="B881" s="339"/>
      <c r="C881" s="339"/>
      <c r="D881" s="339"/>
      <c r="E881" s="339"/>
      <c r="F881" s="339"/>
      <c r="G881" s="339"/>
      <c r="H881" s="339"/>
      <c r="I881" s="339"/>
      <c r="J881" s="341"/>
      <c r="K881" s="339"/>
      <c r="L881" s="339"/>
      <c r="M881" s="341"/>
      <c r="N881" s="339"/>
      <c r="O881" s="339"/>
      <c r="P881" s="341"/>
      <c r="Q881" s="339"/>
      <c r="R881" s="339"/>
      <c r="S881" s="341"/>
      <c r="T881" s="339"/>
      <c r="U881" s="339"/>
    </row>
    <row r="882" spans="1:21" ht="15.75" customHeight="1">
      <c r="A882" s="339"/>
      <c r="B882" s="339"/>
      <c r="C882" s="339"/>
      <c r="D882" s="339"/>
      <c r="E882" s="339"/>
      <c r="F882" s="339"/>
      <c r="G882" s="339"/>
      <c r="H882" s="339"/>
      <c r="I882" s="339"/>
      <c r="J882" s="341"/>
      <c r="K882" s="339"/>
      <c r="L882" s="339"/>
      <c r="M882" s="341"/>
      <c r="N882" s="339"/>
      <c r="O882" s="339"/>
      <c r="P882" s="341"/>
      <c r="Q882" s="339"/>
      <c r="R882" s="339"/>
      <c r="S882" s="341"/>
      <c r="T882" s="339"/>
      <c r="U882" s="339"/>
    </row>
    <row r="883" spans="1:21" ht="15.75" customHeight="1">
      <c r="A883" s="339"/>
      <c r="B883" s="339"/>
      <c r="C883" s="339"/>
      <c r="D883" s="339"/>
      <c r="E883" s="339"/>
      <c r="F883" s="339"/>
      <c r="G883" s="339"/>
      <c r="H883" s="339"/>
      <c r="I883" s="339"/>
      <c r="J883" s="341"/>
      <c r="K883" s="339"/>
      <c r="L883" s="339"/>
      <c r="M883" s="341"/>
      <c r="N883" s="339"/>
      <c r="O883" s="339"/>
      <c r="P883" s="341"/>
      <c r="Q883" s="339"/>
      <c r="R883" s="339"/>
      <c r="S883" s="341"/>
      <c r="T883" s="339"/>
      <c r="U883" s="339"/>
    </row>
    <row r="884" spans="1:21" ht="15.75" customHeight="1">
      <c r="A884" s="339"/>
      <c r="B884" s="339"/>
      <c r="C884" s="339"/>
      <c r="D884" s="339"/>
      <c r="E884" s="339"/>
      <c r="F884" s="339"/>
      <c r="G884" s="339"/>
      <c r="H884" s="339"/>
      <c r="I884" s="339"/>
      <c r="J884" s="341"/>
      <c r="K884" s="339"/>
      <c r="L884" s="339"/>
      <c r="M884" s="341"/>
      <c r="N884" s="339"/>
      <c r="O884" s="339"/>
      <c r="P884" s="341"/>
      <c r="Q884" s="339"/>
      <c r="R884" s="339"/>
      <c r="S884" s="341"/>
      <c r="T884" s="339"/>
      <c r="U884" s="339"/>
    </row>
    <row r="885" spans="1:21" ht="15.75" customHeight="1">
      <c r="A885" s="339"/>
      <c r="B885" s="339"/>
      <c r="C885" s="339"/>
      <c r="D885" s="339"/>
      <c r="E885" s="339"/>
      <c r="F885" s="339"/>
      <c r="G885" s="339"/>
      <c r="H885" s="339"/>
      <c r="I885" s="339"/>
      <c r="J885" s="341"/>
      <c r="K885" s="339"/>
      <c r="L885" s="339"/>
      <c r="M885" s="341"/>
      <c r="N885" s="339"/>
      <c r="O885" s="339"/>
      <c r="P885" s="341"/>
      <c r="Q885" s="339"/>
      <c r="R885" s="339"/>
      <c r="S885" s="341"/>
      <c r="T885" s="339"/>
      <c r="U885" s="339"/>
    </row>
    <row r="886" spans="1:21" ht="15.75" customHeight="1">
      <c r="A886" s="339"/>
      <c r="B886" s="339"/>
      <c r="C886" s="339"/>
      <c r="D886" s="339"/>
      <c r="E886" s="339"/>
      <c r="F886" s="339"/>
      <c r="G886" s="339"/>
      <c r="H886" s="339"/>
      <c r="I886" s="339"/>
      <c r="J886" s="341"/>
      <c r="K886" s="339"/>
      <c r="L886" s="339"/>
      <c r="M886" s="341"/>
      <c r="N886" s="339"/>
      <c r="O886" s="339"/>
      <c r="P886" s="341"/>
      <c r="Q886" s="339"/>
      <c r="R886" s="339"/>
      <c r="S886" s="341"/>
      <c r="T886" s="339"/>
      <c r="U886" s="339"/>
    </row>
    <row r="887" spans="1:21" ht="15.75" customHeight="1">
      <c r="A887" s="339"/>
      <c r="B887" s="339"/>
      <c r="C887" s="339"/>
      <c r="D887" s="339"/>
      <c r="E887" s="339"/>
      <c r="F887" s="339"/>
      <c r="G887" s="339"/>
      <c r="H887" s="339"/>
      <c r="I887" s="339"/>
      <c r="J887" s="341"/>
      <c r="K887" s="339"/>
      <c r="L887" s="339"/>
      <c r="M887" s="341"/>
      <c r="N887" s="339"/>
      <c r="O887" s="339"/>
      <c r="P887" s="341"/>
      <c r="Q887" s="339"/>
      <c r="R887" s="339"/>
      <c r="S887" s="341"/>
      <c r="T887" s="339"/>
      <c r="U887" s="339"/>
    </row>
    <row r="888" spans="1:21" ht="15.75" customHeight="1">
      <c r="A888" s="339"/>
      <c r="B888" s="339"/>
      <c r="C888" s="339"/>
      <c r="D888" s="339"/>
      <c r="E888" s="339"/>
      <c r="F888" s="339"/>
      <c r="G888" s="339"/>
      <c r="H888" s="339"/>
      <c r="I888" s="339"/>
      <c r="J888" s="341"/>
      <c r="K888" s="339"/>
      <c r="L888" s="339"/>
      <c r="M888" s="341"/>
      <c r="N888" s="339"/>
      <c r="O888" s="339"/>
      <c r="P888" s="341"/>
      <c r="Q888" s="339"/>
      <c r="R888" s="339"/>
      <c r="S888" s="341"/>
      <c r="T888" s="339"/>
      <c r="U888" s="339"/>
    </row>
    <row r="889" spans="1:21" ht="15.75" customHeight="1">
      <c r="A889" s="339"/>
      <c r="B889" s="339"/>
      <c r="C889" s="339"/>
      <c r="D889" s="339"/>
      <c r="E889" s="339"/>
      <c r="F889" s="339"/>
      <c r="G889" s="339"/>
      <c r="H889" s="339"/>
      <c r="I889" s="339"/>
      <c r="J889" s="341"/>
      <c r="K889" s="339"/>
      <c r="L889" s="339"/>
      <c r="M889" s="341"/>
      <c r="N889" s="339"/>
      <c r="O889" s="339"/>
      <c r="P889" s="341"/>
      <c r="Q889" s="339"/>
      <c r="R889" s="339"/>
      <c r="S889" s="341"/>
      <c r="T889" s="339"/>
      <c r="U889" s="339"/>
    </row>
    <row r="890" spans="1:21" ht="15.75" customHeight="1">
      <c r="A890" s="339"/>
      <c r="B890" s="339"/>
      <c r="C890" s="339"/>
      <c r="D890" s="339"/>
      <c r="E890" s="339"/>
      <c r="F890" s="339"/>
      <c r="G890" s="339"/>
      <c r="H890" s="339"/>
      <c r="I890" s="339"/>
      <c r="J890" s="341"/>
      <c r="K890" s="339"/>
      <c r="L890" s="339"/>
      <c r="M890" s="341"/>
      <c r="N890" s="339"/>
      <c r="O890" s="339"/>
      <c r="P890" s="341"/>
      <c r="Q890" s="339"/>
      <c r="R890" s="339"/>
      <c r="S890" s="341"/>
      <c r="T890" s="339"/>
      <c r="U890" s="339"/>
    </row>
    <row r="891" spans="1:21" ht="15.75" customHeight="1">
      <c r="A891" s="339"/>
      <c r="B891" s="339"/>
      <c r="C891" s="339"/>
      <c r="D891" s="339"/>
      <c r="E891" s="339"/>
      <c r="F891" s="339"/>
      <c r="G891" s="339"/>
      <c r="H891" s="339"/>
      <c r="I891" s="339"/>
      <c r="J891" s="341"/>
      <c r="K891" s="339"/>
      <c r="L891" s="339"/>
      <c r="M891" s="341"/>
      <c r="N891" s="339"/>
      <c r="O891" s="339"/>
      <c r="P891" s="341"/>
      <c r="Q891" s="339"/>
      <c r="R891" s="339"/>
      <c r="S891" s="341"/>
      <c r="T891" s="339"/>
      <c r="U891" s="339"/>
    </row>
    <row r="892" spans="1:21" ht="15.75" customHeight="1">
      <c r="A892" s="339"/>
      <c r="B892" s="339"/>
      <c r="C892" s="339"/>
      <c r="D892" s="339"/>
      <c r="E892" s="339"/>
      <c r="F892" s="339"/>
      <c r="G892" s="339"/>
      <c r="H892" s="339"/>
      <c r="I892" s="339"/>
      <c r="J892" s="341"/>
      <c r="K892" s="339"/>
      <c r="L892" s="339"/>
      <c r="M892" s="341"/>
      <c r="N892" s="339"/>
      <c r="O892" s="339"/>
      <c r="P892" s="341"/>
      <c r="Q892" s="339"/>
      <c r="R892" s="339"/>
      <c r="S892" s="341"/>
      <c r="T892" s="339"/>
      <c r="U892" s="339"/>
    </row>
    <row r="893" spans="1:21" ht="15.75" customHeight="1">
      <c r="A893" s="339"/>
      <c r="B893" s="339"/>
      <c r="C893" s="339"/>
      <c r="D893" s="339"/>
      <c r="E893" s="339"/>
      <c r="F893" s="339"/>
      <c r="G893" s="339"/>
      <c r="H893" s="339"/>
      <c r="I893" s="339"/>
      <c r="J893" s="341"/>
      <c r="K893" s="339"/>
      <c r="L893" s="339"/>
      <c r="M893" s="341"/>
      <c r="N893" s="339"/>
      <c r="O893" s="339"/>
      <c r="P893" s="341"/>
      <c r="Q893" s="339"/>
      <c r="R893" s="339"/>
      <c r="S893" s="341"/>
      <c r="T893" s="339"/>
      <c r="U893" s="339"/>
    </row>
    <row r="894" spans="1:21" ht="15.75" customHeight="1">
      <c r="A894" s="339"/>
      <c r="B894" s="339"/>
      <c r="C894" s="339"/>
      <c r="D894" s="339"/>
      <c r="E894" s="339"/>
      <c r="F894" s="339"/>
      <c r="G894" s="339"/>
      <c r="H894" s="339"/>
      <c r="I894" s="339"/>
      <c r="J894" s="341"/>
      <c r="K894" s="339"/>
      <c r="L894" s="339"/>
      <c r="M894" s="341"/>
      <c r="N894" s="339"/>
      <c r="O894" s="339"/>
      <c r="P894" s="341"/>
      <c r="Q894" s="339"/>
      <c r="R894" s="339"/>
      <c r="S894" s="341"/>
      <c r="T894" s="339"/>
      <c r="U894" s="339"/>
    </row>
    <row r="895" spans="1:21" ht="15.75" customHeight="1">
      <c r="A895" s="339"/>
      <c r="B895" s="339"/>
      <c r="C895" s="339"/>
      <c r="D895" s="339"/>
      <c r="E895" s="339"/>
      <c r="F895" s="339"/>
      <c r="G895" s="339"/>
      <c r="H895" s="339"/>
      <c r="I895" s="339"/>
      <c r="J895" s="341"/>
      <c r="K895" s="339"/>
      <c r="L895" s="339"/>
      <c r="M895" s="341"/>
      <c r="N895" s="339"/>
      <c r="O895" s="339"/>
      <c r="P895" s="341"/>
      <c r="Q895" s="339"/>
      <c r="R895" s="339"/>
      <c r="S895" s="341"/>
      <c r="T895" s="339"/>
      <c r="U895" s="339"/>
    </row>
    <row r="896" spans="1:21" ht="15.75" customHeight="1">
      <c r="A896" s="339"/>
      <c r="B896" s="339"/>
      <c r="C896" s="339"/>
      <c r="D896" s="339"/>
      <c r="E896" s="339"/>
      <c r="F896" s="339"/>
      <c r="G896" s="339"/>
      <c r="H896" s="339"/>
      <c r="I896" s="339"/>
      <c r="J896" s="341"/>
      <c r="K896" s="339"/>
      <c r="L896" s="339"/>
      <c r="M896" s="341"/>
      <c r="N896" s="339"/>
      <c r="O896" s="339"/>
      <c r="P896" s="341"/>
      <c r="Q896" s="339"/>
      <c r="R896" s="339"/>
      <c r="S896" s="341"/>
      <c r="T896" s="339"/>
      <c r="U896" s="339"/>
    </row>
    <row r="897" spans="1:21" ht="15.75" customHeight="1">
      <c r="A897" s="339"/>
      <c r="B897" s="339"/>
      <c r="C897" s="339"/>
      <c r="D897" s="339"/>
      <c r="E897" s="339"/>
      <c r="F897" s="339"/>
      <c r="G897" s="339"/>
      <c r="H897" s="339"/>
      <c r="I897" s="339"/>
      <c r="J897" s="341"/>
      <c r="K897" s="339"/>
      <c r="L897" s="339"/>
      <c r="M897" s="341"/>
      <c r="N897" s="339"/>
      <c r="O897" s="339"/>
      <c r="P897" s="341"/>
      <c r="Q897" s="339"/>
      <c r="R897" s="339"/>
      <c r="S897" s="341"/>
      <c r="T897" s="339"/>
      <c r="U897" s="339"/>
    </row>
    <row r="898" spans="1:21" ht="15.75" customHeight="1">
      <c r="A898" s="339"/>
      <c r="B898" s="339"/>
      <c r="C898" s="339"/>
      <c r="D898" s="339"/>
      <c r="E898" s="339"/>
      <c r="F898" s="339"/>
      <c r="G898" s="339"/>
      <c r="H898" s="339"/>
      <c r="I898" s="339"/>
      <c r="J898" s="341"/>
      <c r="K898" s="339"/>
      <c r="L898" s="339"/>
      <c r="M898" s="341"/>
      <c r="N898" s="339"/>
      <c r="O898" s="339"/>
      <c r="P898" s="341"/>
      <c r="Q898" s="339"/>
      <c r="R898" s="339"/>
      <c r="S898" s="341"/>
      <c r="T898" s="339"/>
      <c r="U898" s="339"/>
    </row>
    <row r="899" spans="1:21" ht="15.75" customHeight="1">
      <c r="A899" s="339"/>
      <c r="B899" s="339"/>
      <c r="C899" s="339"/>
      <c r="D899" s="339"/>
      <c r="E899" s="339"/>
      <c r="F899" s="339"/>
      <c r="G899" s="339"/>
      <c r="H899" s="339"/>
      <c r="I899" s="339"/>
      <c r="J899" s="341"/>
      <c r="K899" s="339"/>
      <c r="L899" s="339"/>
      <c r="M899" s="341"/>
      <c r="N899" s="339"/>
      <c r="O899" s="339"/>
      <c r="P899" s="341"/>
      <c r="Q899" s="339"/>
      <c r="R899" s="339"/>
      <c r="S899" s="341"/>
      <c r="T899" s="339"/>
      <c r="U899" s="339"/>
    </row>
    <row r="900" spans="1:21" ht="15.75" customHeight="1">
      <c r="A900" s="339"/>
      <c r="B900" s="339"/>
      <c r="C900" s="339"/>
      <c r="D900" s="339"/>
      <c r="E900" s="339"/>
      <c r="F900" s="339"/>
      <c r="G900" s="339"/>
      <c r="H900" s="339"/>
      <c r="I900" s="339"/>
      <c r="J900" s="341"/>
      <c r="K900" s="339"/>
      <c r="L900" s="339"/>
      <c r="M900" s="341"/>
      <c r="N900" s="339"/>
      <c r="O900" s="339"/>
      <c r="P900" s="341"/>
      <c r="Q900" s="339"/>
      <c r="R900" s="339"/>
      <c r="S900" s="341"/>
      <c r="T900" s="339"/>
      <c r="U900" s="339"/>
    </row>
    <row r="901" spans="1:21" ht="15.75" customHeight="1">
      <c r="A901" s="339"/>
      <c r="B901" s="339"/>
      <c r="C901" s="339"/>
      <c r="D901" s="339"/>
      <c r="E901" s="339"/>
      <c r="F901" s="339"/>
      <c r="G901" s="339"/>
      <c r="H901" s="339"/>
      <c r="I901" s="339"/>
      <c r="J901" s="341"/>
      <c r="K901" s="339"/>
      <c r="L901" s="339"/>
      <c r="M901" s="341"/>
      <c r="N901" s="339"/>
      <c r="O901" s="339"/>
      <c r="P901" s="341"/>
      <c r="Q901" s="339"/>
      <c r="R901" s="339"/>
      <c r="S901" s="341"/>
      <c r="T901" s="339"/>
      <c r="U901" s="339"/>
    </row>
    <row r="902" spans="1:21" ht="15.75" customHeight="1">
      <c r="A902" s="339"/>
      <c r="B902" s="339"/>
      <c r="C902" s="339"/>
      <c r="D902" s="339"/>
      <c r="E902" s="339"/>
      <c r="F902" s="339"/>
      <c r="G902" s="339"/>
      <c r="H902" s="339"/>
      <c r="I902" s="339"/>
      <c r="J902" s="341"/>
      <c r="K902" s="339"/>
      <c r="L902" s="339"/>
      <c r="M902" s="341"/>
      <c r="N902" s="339"/>
      <c r="O902" s="339"/>
      <c r="P902" s="341"/>
      <c r="Q902" s="339"/>
      <c r="R902" s="339"/>
      <c r="S902" s="341"/>
      <c r="T902" s="339"/>
      <c r="U902" s="339"/>
    </row>
    <row r="903" spans="1:21" ht="15.75" customHeight="1">
      <c r="A903" s="339"/>
      <c r="B903" s="339"/>
      <c r="C903" s="339"/>
      <c r="D903" s="339"/>
      <c r="E903" s="339"/>
      <c r="F903" s="339"/>
      <c r="G903" s="339"/>
      <c r="H903" s="339"/>
      <c r="I903" s="339"/>
      <c r="J903" s="341"/>
      <c r="K903" s="339"/>
      <c r="L903" s="339"/>
      <c r="M903" s="341"/>
      <c r="N903" s="339"/>
      <c r="O903" s="339"/>
      <c r="P903" s="341"/>
      <c r="Q903" s="339"/>
      <c r="R903" s="339"/>
      <c r="S903" s="341"/>
      <c r="T903" s="339"/>
      <c r="U903" s="339"/>
    </row>
    <row r="904" spans="1:21" ht="15.75" customHeight="1">
      <c r="A904" s="339"/>
      <c r="B904" s="339"/>
      <c r="C904" s="339"/>
      <c r="D904" s="339"/>
      <c r="E904" s="339"/>
      <c r="F904" s="339"/>
      <c r="G904" s="339"/>
      <c r="H904" s="339"/>
      <c r="I904" s="339"/>
      <c r="J904" s="341"/>
      <c r="K904" s="339"/>
      <c r="L904" s="339"/>
      <c r="M904" s="341"/>
      <c r="N904" s="339"/>
      <c r="O904" s="339"/>
      <c r="P904" s="341"/>
      <c r="Q904" s="339"/>
      <c r="R904" s="339"/>
      <c r="S904" s="341"/>
      <c r="T904" s="339"/>
      <c r="U904" s="339"/>
    </row>
    <row r="905" spans="1:21" ht="15.75" customHeight="1">
      <c r="A905" s="339"/>
      <c r="B905" s="339"/>
      <c r="C905" s="339"/>
      <c r="D905" s="339"/>
      <c r="E905" s="339"/>
      <c r="F905" s="339"/>
      <c r="G905" s="339"/>
      <c r="H905" s="339"/>
      <c r="I905" s="339"/>
      <c r="J905" s="341"/>
      <c r="K905" s="339"/>
      <c r="L905" s="339"/>
      <c r="M905" s="341"/>
      <c r="N905" s="339"/>
      <c r="O905" s="339"/>
      <c r="P905" s="341"/>
      <c r="Q905" s="339"/>
      <c r="R905" s="339"/>
      <c r="S905" s="341"/>
      <c r="T905" s="339"/>
      <c r="U905" s="339"/>
    </row>
    <row r="906" spans="1:21" ht="15.75" customHeight="1">
      <c r="A906" s="339"/>
      <c r="B906" s="339"/>
      <c r="C906" s="339"/>
      <c r="D906" s="339"/>
      <c r="E906" s="339"/>
      <c r="F906" s="339"/>
      <c r="G906" s="339"/>
      <c r="H906" s="339"/>
      <c r="I906" s="339"/>
      <c r="J906" s="341"/>
      <c r="K906" s="339"/>
      <c r="L906" s="339"/>
      <c r="M906" s="341"/>
      <c r="N906" s="339"/>
      <c r="O906" s="339"/>
      <c r="P906" s="341"/>
      <c r="Q906" s="339"/>
      <c r="R906" s="339"/>
      <c r="S906" s="341"/>
      <c r="T906" s="339"/>
      <c r="U906" s="339"/>
    </row>
    <row r="907" spans="1:21" ht="15.75" customHeight="1">
      <c r="A907" s="339"/>
      <c r="B907" s="339"/>
      <c r="C907" s="339"/>
      <c r="D907" s="339"/>
      <c r="E907" s="339"/>
      <c r="F907" s="339"/>
      <c r="G907" s="339"/>
      <c r="H907" s="339"/>
      <c r="I907" s="339"/>
      <c r="J907" s="341"/>
      <c r="K907" s="339"/>
      <c r="L907" s="339"/>
      <c r="M907" s="341"/>
      <c r="N907" s="339"/>
      <c r="O907" s="339"/>
      <c r="P907" s="341"/>
      <c r="Q907" s="339"/>
      <c r="R907" s="339"/>
      <c r="S907" s="341"/>
      <c r="T907" s="339"/>
      <c r="U907" s="339"/>
    </row>
    <row r="908" spans="1:21" ht="15.75" customHeight="1">
      <c r="A908" s="339"/>
      <c r="B908" s="339"/>
      <c r="C908" s="339"/>
      <c r="D908" s="339"/>
      <c r="E908" s="339"/>
      <c r="F908" s="339"/>
      <c r="G908" s="339"/>
      <c r="H908" s="339"/>
      <c r="I908" s="339"/>
      <c r="J908" s="341"/>
      <c r="K908" s="339"/>
      <c r="L908" s="339"/>
      <c r="M908" s="341"/>
      <c r="N908" s="339"/>
      <c r="O908" s="339"/>
      <c r="P908" s="341"/>
      <c r="Q908" s="339"/>
      <c r="R908" s="339"/>
      <c r="S908" s="341"/>
      <c r="T908" s="339"/>
      <c r="U908" s="339"/>
    </row>
    <row r="909" spans="1:21" ht="15.75" customHeight="1">
      <c r="A909" s="339"/>
      <c r="B909" s="339"/>
      <c r="C909" s="339"/>
      <c r="D909" s="339"/>
      <c r="E909" s="339"/>
      <c r="F909" s="339"/>
      <c r="G909" s="339"/>
      <c r="H909" s="339"/>
      <c r="I909" s="339"/>
      <c r="J909" s="341"/>
      <c r="K909" s="339"/>
      <c r="L909" s="339"/>
      <c r="M909" s="341"/>
      <c r="N909" s="339"/>
      <c r="O909" s="339"/>
      <c r="P909" s="341"/>
      <c r="Q909" s="339"/>
      <c r="R909" s="339"/>
      <c r="S909" s="341"/>
      <c r="T909" s="339"/>
      <c r="U909" s="339"/>
    </row>
    <row r="910" spans="1:21" ht="15.75" customHeight="1">
      <c r="A910" s="339"/>
      <c r="B910" s="339"/>
      <c r="C910" s="339"/>
      <c r="D910" s="339"/>
      <c r="E910" s="339"/>
      <c r="F910" s="339"/>
      <c r="G910" s="339"/>
      <c r="H910" s="339"/>
      <c r="I910" s="339"/>
      <c r="J910" s="341"/>
      <c r="K910" s="339"/>
      <c r="L910" s="339"/>
      <c r="M910" s="341"/>
      <c r="N910" s="339"/>
      <c r="O910" s="339"/>
      <c r="P910" s="341"/>
      <c r="Q910" s="339"/>
      <c r="R910" s="339"/>
      <c r="S910" s="341"/>
      <c r="T910" s="339"/>
      <c r="U910" s="339"/>
    </row>
    <row r="911" spans="1:21" ht="15.75" customHeight="1">
      <c r="A911" s="339"/>
      <c r="B911" s="339"/>
      <c r="C911" s="339"/>
      <c r="D911" s="339"/>
      <c r="E911" s="339"/>
      <c r="F911" s="339"/>
      <c r="G911" s="339"/>
      <c r="H911" s="339"/>
      <c r="I911" s="339"/>
      <c r="J911" s="341"/>
      <c r="K911" s="339"/>
      <c r="L911" s="339"/>
      <c r="M911" s="341"/>
      <c r="N911" s="339"/>
      <c r="O911" s="339"/>
      <c r="P911" s="341"/>
      <c r="Q911" s="339"/>
      <c r="R911" s="339"/>
      <c r="S911" s="341"/>
      <c r="T911" s="339"/>
      <c r="U911" s="339"/>
    </row>
    <row r="912" spans="1:21" ht="15.75" customHeight="1">
      <c r="A912" s="339"/>
      <c r="B912" s="339"/>
      <c r="C912" s="339"/>
      <c r="D912" s="339"/>
      <c r="E912" s="339"/>
      <c r="F912" s="339"/>
      <c r="G912" s="339"/>
      <c r="H912" s="339"/>
      <c r="I912" s="339"/>
      <c r="J912" s="341"/>
      <c r="K912" s="339"/>
      <c r="L912" s="339"/>
      <c r="M912" s="341"/>
      <c r="N912" s="339"/>
      <c r="O912" s="339"/>
      <c r="P912" s="341"/>
      <c r="Q912" s="339"/>
      <c r="R912" s="339"/>
      <c r="S912" s="341"/>
      <c r="T912" s="339"/>
      <c r="U912" s="339"/>
    </row>
    <row r="913" spans="1:21" ht="15.75" customHeight="1">
      <c r="A913" s="339"/>
      <c r="B913" s="339"/>
      <c r="C913" s="339"/>
      <c r="D913" s="339"/>
      <c r="E913" s="339"/>
      <c r="F913" s="339"/>
      <c r="G913" s="339"/>
      <c r="H913" s="339"/>
      <c r="I913" s="339"/>
      <c r="J913" s="341"/>
      <c r="K913" s="339"/>
      <c r="L913" s="339"/>
      <c r="M913" s="341"/>
      <c r="N913" s="339"/>
      <c r="O913" s="339"/>
      <c r="P913" s="341"/>
      <c r="Q913" s="339"/>
      <c r="R913" s="339"/>
      <c r="S913" s="341"/>
      <c r="T913" s="339"/>
      <c r="U913" s="339"/>
    </row>
    <row r="914" spans="1:21" ht="15.75" customHeight="1">
      <c r="A914" s="339"/>
      <c r="B914" s="339"/>
      <c r="C914" s="339"/>
      <c r="D914" s="339"/>
      <c r="E914" s="339"/>
      <c r="F914" s="339"/>
      <c r="G914" s="339"/>
      <c r="H914" s="339"/>
      <c r="I914" s="339"/>
      <c r="J914" s="341"/>
      <c r="K914" s="339"/>
      <c r="L914" s="339"/>
      <c r="M914" s="341"/>
      <c r="N914" s="339"/>
      <c r="O914" s="339"/>
      <c r="P914" s="341"/>
      <c r="Q914" s="339"/>
      <c r="R914" s="339"/>
      <c r="S914" s="341"/>
      <c r="T914" s="339"/>
      <c r="U914" s="339"/>
    </row>
    <row r="915" spans="1:21" ht="15.75" customHeight="1">
      <c r="A915" s="339"/>
      <c r="B915" s="339"/>
      <c r="C915" s="339"/>
      <c r="D915" s="339"/>
      <c r="E915" s="339"/>
      <c r="F915" s="339"/>
      <c r="G915" s="339"/>
      <c r="H915" s="339"/>
      <c r="I915" s="339"/>
      <c r="J915" s="341"/>
      <c r="K915" s="339"/>
      <c r="L915" s="339"/>
      <c r="M915" s="341"/>
      <c r="N915" s="339"/>
      <c r="O915" s="339"/>
      <c r="P915" s="341"/>
      <c r="Q915" s="339"/>
      <c r="R915" s="339"/>
      <c r="S915" s="341"/>
      <c r="T915" s="339"/>
      <c r="U915" s="339"/>
    </row>
    <row r="916" spans="1:21" ht="15.75" customHeight="1">
      <c r="A916" s="339"/>
      <c r="B916" s="339"/>
      <c r="C916" s="339"/>
      <c r="D916" s="339"/>
      <c r="E916" s="339"/>
      <c r="F916" s="339"/>
      <c r="G916" s="339"/>
      <c r="H916" s="339"/>
      <c r="I916" s="339"/>
      <c r="J916" s="341"/>
      <c r="K916" s="339"/>
      <c r="L916" s="339"/>
      <c r="M916" s="341"/>
      <c r="N916" s="339"/>
      <c r="O916" s="339"/>
      <c r="P916" s="341"/>
      <c r="Q916" s="339"/>
      <c r="R916" s="339"/>
      <c r="S916" s="341"/>
      <c r="T916" s="339"/>
      <c r="U916" s="339"/>
    </row>
    <row r="917" spans="1:21" ht="15.75" customHeight="1">
      <c r="A917" s="339"/>
      <c r="B917" s="339"/>
      <c r="C917" s="339"/>
      <c r="D917" s="339"/>
      <c r="E917" s="339"/>
      <c r="F917" s="339"/>
      <c r="G917" s="339"/>
      <c r="H917" s="339"/>
      <c r="I917" s="339"/>
      <c r="J917" s="341"/>
      <c r="K917" s="339"/>
      <c r="L917" s="339"/>
      <c r="M917" s="341"/>
      <c r="N917" s="339"/>
      <c r="O917" s="339"/>
      <c r="P917" s="341"/>
      <c r="Q917" s="339"/>
      <c r="R917" s="339"/>
      <c r="S917" s="341"/>
      <c r="T917" s="339"/>
      <c r="U917" s="339"/>
    </row>
    <row r="918" spans="1:21" ht="15.75" customHeight="1">
      <c r="A918" s="339"/>
      <c r="B918" s="339"/>
      <c r="C918" s="339"/>
      <c r="D918" s="339"/>
      <c r="E918" s="339"/>
      <c r="F918" s="339"/>
      <c r="G918" s="339"/>
      <c r="H918" s="339"/>
      <c r="I918" s="339"/>
      <c r="J918" s="341"/>
      <c r="K918" s="339"/>
      <c r="L918" s="339"/>
      <c r="M918" s="341"/>
      <c r="N918" s="339"/>
      <c r="O918" s="339"/>
      <c r="P918" s="341"/>
      <c r="Q918" s="339"/>
      <c r="R918" s="339"/>
      <c r="S918" s="341"/>
      <c r="T918" s="339"/>
      <c r="U918" s="339"/>
    </row>
    <row r="919" spans="1:21" ht="15.75" customHeight="1">
      <c r="A919" s="339"/>
      <c r="B919" s="339"/>
      <c r="C919" s="339"/>
      <c r="D919" s="339"/>
      <c r="E919" s="339"/>
      <c r="F919" s="339"/>
      <c r="G919" s="339"/>
      <c r="H919" s="339"/>
      <c r="I919" s="339"/>
      <c r="J919" s="341"/>
      <c r="K919" s="339"/>
      <c r="L919" s="339"/>
      <c r="M919" s="341"/>
      <c r="N919" s="339"/>
      <c r="O919" s="339"/>
      <c r="P919" s="341"/>
      <c r="Q919" s="339"/>
      <c r="R919" s="339"/>
      <c r="S919" s="341"/>
      <c r="T919" s="339"/>
      <c r="U919" s="339"/>
    </row>
    <row r="920" spans="1:21" ht="15.75" customHeight="1">
      <c r="A920" s="339"/>
      <c r="B920" s="339"/>
      <c r="C920" s="339"/>
      <c r="D920" s="339"/>
      <c r="E920" s="339"/>
      <c r="F920" s="339"/>
      <c r="G920" s="339"/>
      <c r="H920" s="339"/>
      <c r="I920" s="339"/>
      <c r="J920" s="341"/>
      <c r="K920" s="339"/>
      <c r="L920" s="339"/>
      <c r="M920" s="341"/>
      <c r="N920" s="339"/>
      <c r="O920" s="339"/>
      <c r="P920" s="341"/>
      <c r="Q920" s="339"/>
      <c r="R920" s="339"/>
      <c r="S920" s="341"/>
      <c r="T920" s="339"/>
      <c r="U920" s="339"/>
    </row>
    <row r="921" spans="1:21" ht="15.75" customHeight="1">
      <c r="A921" s="339"/>
      <c r="B921" s="339"/>
      <c r="C921" s="339"/>
      <c r="D921" s="339"/>
      <c r="E921" s="339"/>
      <c r="F921" s="339"/>
      <c r="G921" s="339"/>
      <c r="H921" s="339"/>
      <c r="I921" s="339"/>
      <c r="J921" s="341"/>
      <c r="K921" s="339"/>
      <c r="L921" s="339"/>
      <c r="M921" s="341"/>
      <c r="N921" s="339"/>
      <c r="O921" s="339"/>
      <c r="P921" s="341"/>
      <c r="Q921" s="339"/>
      <c r="R921" s="339"/>
      <c r="S921" s="341"/>
      <c r="T921" s="339"/>
      <c r="U921" s="339"/>
    </row>
    <row r="922" spans="1:21" ht="15.75" customHeight="1">
      <c r="A922" s="339"/>
      <c r="B922" s="339"/>
      <c r="C922" s="339"/>
      <c r="D922" s="339"/>
      <c r="E922" s="339"/>
      <c r="F922" s="339"/>
      <c r="G922" s="339"/>
      <c r="H922" s="339"/>
      <c r="I922" s="339"/>
      <c r="J922" s="341"/>
      <c r="K922" s="339"/>
      <c r="L922" s="339"/>
      <c r="M922" s="341"/>
      <c r="N922" s="339"/>
      <c r="O922" s="339"/>
      <c r="P922" s="341"/>
      <c r="Q922" s="339"/>
      <c r="R922" s="339"/>
      <c r="S922" s="341"/>
      <c r="T922" s="339"/>
      <c r="U922" s="339"/>
    </row>
    <row r="923" spans="1:21" ht="15.75" customHeight="1">
      <c r="A923" s="339"/>
      <c r="B923" s="339"/>
      <c r="C923" s="339"/>
      <c r="D923" s="339"/>
      <c r="E923" s="339"/>
      <c r="F923" s="339"/>
      <c r="G923" s="339"/>
      <c r="H923" s="339"/>
      <c r="I923" s="339"/>
      <c r="J923" s="341"/>
      <c r="K923" s="339"/>
      <c r="L923" s="339"/>
      <c r="M923" s="341"/>
      <c r="N923" s="339"/>
      <c r="O923" s="339"/>
      <c r="P923" s="341"/>
      <c r="Q923" s="339"/>
      <c r="R923" s="339"/>
      <c r="S923" s="341"/>
      <c r="T923" s="339"/>
      <c r="U923" s="339"/>
    </row>
    <row r="924" spans="1:21" ht="15.75" customHeight="1">
      <c r="A924" s="339"/>
      <c r="B924" s="339"/>
      <c r="C924" s="339"/>
      <c r="D924" s="339"/>
      <c r="E924" s="339"/>
      <c r="F924" s="339"/>
      <c r="G924" s="339"/>
      <c r="H924" s="339"/>
      <c r="I924" s="339"/>
      <c r="J924" s="341"/>
      <c r="K924" s="339"/>
      <c r="L924" s="339"/>
      <c r="M924" s="341"/>
      <c r="N924" s="339"/>
      <c r="O924" s="339"/>
      <c r="P924" s="341"/>
      <c r="Q924" s="339"/>
      <c r="R924" s="339"/>
      <c r="S924" s="341"/>
      <c r="T924" s="339"/>
      <c r="U924" s="339"/>
    </row>
    <row r="925" spans="1:21" ht="15.75" customHeight="1">
      <c r="A925" s="339"/>
      <c r="B925" s="339"/>
      <c r="C925" s="339"/>
      <c r="D925" s="339"/>
      <c r="E925" s="339"/>
      <c r="F925" s="339"/>
      <c r="G925" s="339"/>
      <c r="H925" s="339"/>
      <c r="I925" s="339"/>
      <c r="J925" s="341"/>
      <c r="K925" s="339"/>
      <c r="L925" s="339"/>
      <c r="M925" s="341"/>
      <c r="N925" s="339"/>
      <c r="O925" s="339"/>
      <c r="P925" s="341"/>
      <c r="Q925" s="339"/>
      <c r="R925" s="339"/>
      <c r="S925" s="341"/>
      <c r="T925" s="339"/>
      <c r="U925" s="339"/>
    </row>
    <row r="926" spans="1:21" ht="15.75" customHeight="1">
      <c r="A926" s="339"/>
      <c r="B926" s="339"/>
      <c r="C926" s="339"/>
      <c r="D926" s="339"/>
      <c r="E926" s="339"/>
      <c r="F926" s="339"/>
      <c r="G926" s="339"/>
      <c r="H926" s="339"/>
      <c r="I926" s="339"/>
      <c r="J926" s="341"/>
      <c r="K926" s="339"/>
      <c r="L926" s="339"/>
      <c r="M926" s="341"/>
      <c r="N926" s="339"/>
      <c r="O926" s="339"/>
      <c r="P926" s="341"/>
      <c r="Q926" s="339"/>
      <c r="R926" s="339"/>
      <c r="S926" s="341"/>
      <c r="T926" s="339"/>
      <c r="U926" s="339"/>
    </row>
    <row r="927" spans="1:21" ht="15.75" customHeight="1">
      <c r="A927" s="339"/>
      <c r="B927" s="339"/>
      <c r="C927" s="339"/>
      <c r="D927" s="339"/>
      <c r="E927" s="339"/>
      <c r="F927" s="339"/>
      <c r="G927" s="339"/>
      <c r="H927" s="339"/>
      <c r="I927" s="339"/>
      <c r="J927" s="341"/>
      <c r="K927" s="339"/>
      <c r="L927" s="339"/>
      <c r="M927" s="341"/>
      <c r="N927" s="339"/>
      <c r="O927" s="339"/>
      <c r="P927" s="341"/>
      <c r="Q927" s="339"/>
      <c r="R927" s="339"/>
      <c r="S927" s="341"/>
      <c r="T927" s="339"/>
      <c r="U927" s="339"/>
    </row>
    <row r="928" spans="1:21" ht="15.75" customHeight="1">
      <c r="A928" s="339"/>
      <c r="B928" s="339"/>
      <c r="C928" s="339"/>
      <c r="D928" s="339"/>
      <c r="E928" s="339"/>
      <c r="F928" s="339"/>
      <c r="G928" s="339"/>
      <c r="H928" s="339"/>
      <c r="I928" s="339"/>
      <c r="J928" s="341"/>
      <c r="K928" s="339"/>
      <c r="L928" s="339"/>
      <c r="M928" s="341"/>
      <c r="N928" s="339"/>
      <c r="O928" s="339"/>
      <c r="P928" s="341"/>
      <c r="Q928" s="339"/>
      <c r="R928" s="339"/>
      <c r="S928" s="341"/>
      <c r="T928" s="339"/>
      <c r="U928" s="339"/>
    </row>
    <row r="929" spans="1:21" ht="15.75" customHeight="1">
      <c r="A929" s="339"/>
      <c r="B929" s="339"/>
      <c r="C929" s="339"/>
      <c r="D929" s="339"/>
      <c r="E929" s="339"/>
      <c r="F929" s="339"/>
      <c r="G929" s="339"/>
      <c r="H929" s="339"/>
      <c r="I929" s="339"/>
      <c r="J929" s="341"/>
      <c r="K929" s="339"/>
      <c r="L929" s="339"/>
      <c r="M929" s="341"/>
      <c r="N929" s="339"/>
      <c r="O929" s="339"/>
      <c r="P929" s="341"/>
      <c r="Q929" s="339"/>
      <c r="R929" s="339"/>
      <c r="S929" s="341"/>
      <c r="T929" s="339"/>
      <c r="U929" s="339"/>
    </row>
    <row r="930" spans="1:21" ht="15.75" customHeight="1">
      <c r="A930" s="339"/>
      <c r="B930" s="339"/>
      <c r="C930" s="339"/>
      <c r="D930" s="339"/>
      <c r="E930" s="339"/>
      <c r="F930" s="339"/>
      <c r="G930" s="339"/>
      <c r="H930" s="339"/>
      <c r="I930" s="339"/>
      <c r="J930" s="341"/>
      <c r="K930" s="339"/>
      <c r="L930" s="339"/>
      <c r="M930" s="341"/>
      <c r="N930" s="339"/>
      <c r="O930" s="339"/>
      <c r="P930" s="341"/>
      <c r="Q930" s="339"/>
      <c r="R930" s="339"/>
      <c r="S930" s="341"/>
      <c r="T930" s="339"/>
      <c r="U930" s="339"/>
    </row>
    <row r="931" spans="1:21" ht="15.75" customHeight="1">
      <c r="A931" s="339"/>
      <c r="B931" s="339"/>
      <c r="C931" s="339"/>
      <c r="D931" s="339"/>
      <c r="E931" s="339"/>
      <c r="F931" s="339"/>
      <c r="G931" s="339"/>
      <c r="H931" s="339"/>
      <c r="I931" s="339"/>
      <c r="J931" s="341"/>
      <c r="K931" s="339"/>
      <c r="L931" s="339"/>
      <c r="M931" s="341"/>
      <c r="N931" s="339"/>
      <c r="O931" s="339"/>
      <c r="P931" s="341"/>
      <c r="Q931" s="339"/>
      <c r="R931" s="339"/>
      <c r="S931" s="341"/>
      <c r="T931" s="339"/>
      <c r="U931" s="339"/>
    </row>
    <row r="932" spans="1:21" ht="15.75" customHeight="1">
      <c r="A932" s="339"/>
      <c r="B932" s="339"/>
      <c r="C932" s="339"/>
      <c r="D932" s="339"/>
      <c r="E932" s="339"/>
      <c r="F932" s="339"/>
      <c r="G932" s="339"/>
      <c r="H932" s="339"/>
      <c r="I932" s="339"/>
      <c r="J932" s="341"/>
      <c r="K932" s="339"/>
      <c r="L932" s="339"/>
      <c r="M932" s="341"/>
      <c r="N932" s="339"/>
      <c r="O932" s="339"/>
      <c r="P932" s="341"/>
      <c r="Q932" s="339"/>
      <c r="R932" s="339"/>
      <c r="S932" s="341"/>
      <c r="T932" s="339"/>
      <c r="U932" s="339"/>
    </row>
    <row r="933" spans="1:21" ht="15.75" customHeight="1">
      <c r="A933" s="339"/>
      <c r="B933" s="339"/>
      <c r="C933" s="339"/>
      <c r="D933" s="339"/>
      <c r="E933" s="339"/>
      <c r="F933" s="339"/>
      <c r="G933" s="339"/>
      <c r="H933" s="339"/>
      <c r="I933" s="339"/>
      <c r="J933" s="341"/>
      <c r="K933" s="339"/>
      <c r="L933" s="339"/>
      <c r="M933" s="341"/>
      <c r="N933" s="339"/>
      <c r="O933" s="339"/>
      <c r="P933" s="341"/>
      <c r="Q933" s="339"/>
      <c r="R933" s="339"/>
      <c r="S933" s="341"/>
      <c r="T933" s="339"/>
      <c r="U933" s="339"/>
    </row>
    <row r="934" spans="1:21" ht="15.75" customHeight="1">
      <c r="A934" s="339"/>
      <c r="B934" s="339"/>
      <c r="C934" s="339"/>
      <c r="D934" s="339"/>
      <c r="E934" s="339"/>
      <c r="F934" s="339"/>
      <c r="G934" s="339"/>
      <c r="H934" s="339"/>
      <c r="I934" s="339"/>
      <c r="J934" s="341"/>
      <c r="K934" s="339"/>
      <c r="L934" s="339"/>
      <c r="M934" s="341"/>
      <c r="N934" s="339"/>
      <c r="O934" s="339"/>
      <c r="P934" s="341"/>
      <c r="Q934" s="339"/>
      <c r="R934" s="339"/>
      <c r="S934" s="341"/>
      <c r="T934" s="339"/>
      <c r="U934" s="339"/>
    </row>
    <row r="935" spans="1:21" ht="15.75" customHeight="1">
      <c r="A935" s="339"/>
      <c r="B935" s="339"/>
      <c r="C935" s="339"/>
      <c r="D935" s="339"/>
      <c r="E935" s="339"/>
      <c r="F935" s="339"/>
      <c r="G935" s="339"/>
      <c r="H935" s="339"/>
      <c r="I935" s="339"/>
      <c r="J935" s="341"/>
      <c r="K935" s="339"/>
      <c r="L935" s="339"/>
      <c r="M935" s="341"/>
      <c r="N935" s="339"/>
      <c r="O935" s="339"/>
      <c r="P935" s="341"/>
      <c r="Q935" s="339"/>
      <c r="R935" s="339"/>
      <c r="S935" s="341"/>
      <c r="T935" s="339"/>
      <c r="U935" s="339"/>
    </row>
    <row r="936" spans="1:21" ht="15.75" customHeight="1">
      <c r="A936" s="339"/>
      <c r="B936" s="339"/>
      <c r="C936" s="339"/>
      <c r="D936" s="339"/>
      <c r="E936" s="339"/>
      <c r="F936" s="339"/>
      <c r="G936" s="339"/>
      <c r="H936" s="339"/>
      <c r="I936" s="339"/>
      <c r="J936" s="341"/>
      <c r="K936" s="339"/>
      <c r="L936" s="339"/>
      <c r="M936" s="341"/>
      <c r="N936" s="339"/>
      <c r="O936" s="339"/>
      <c r="P936" s="341"/>
      <c r="Q936" s="339"/>
      <c r="R936" s="339"/>
      <c r="S936" s="341"/>
      <c r="T936" s="339"/>
      <c r="U936" s="339"/>
    </row>
    <row r="937" spans="1:21" ht="15.75" customHeight="1">
      <c r="A937" s="339"/>
      <c r="B937" s="339"/>
      <c r="C937" s="339"/>
      <c r="D937" s="339"/>
      <c r="E937" s="339"/>
      <c r="F937" s="339"/>
      <c r="G937" s="339"/>
      <c r="H937" s="339"/>
      <c r="I937" s="339"/>
      <c r="J937" s="341"/>
      <c r="K937" s="339"/>
      <c r="L937" s="339"/>
      <c r="M937" s="341"/>
      <c r="N937" s="339"/>
      <c r="O937" s="339"/>
      <c r="P937" s="341"/>
      <c r="Q937" s="339"/>
      <c r="R937" s="339"/>
      <c r="S937" s="341"/>
      <c r="T937" s="339"/>
      <c r="U937" s="339"/>
    </row>
    <row r="938" spans="1:21" ht="15.75" customHeight="1">
      <c r="A938" s="339"/>
      <c r="B938" s="339"/>
      <c r="C938" s="339"/>
      <c r="D938" s="339"/>
      <c r="E938" s="339"/>
      <c r="F938" s="339"/>
      <c r="G938" s="339"/>
      <c r="H938" s="339"/>
      <c r="I938" s="339"/>
      <c r="J938" s="341"/>
      <c r="K938" s="339"/>
      <c r="L938" s="339"/>
      <c r="M938" s="341"/>
      <c r="N938" s="339"/>
      <c r="O938" s="339"/>
      <c r="P938" s="341"/>
      <c r="Q938" s="339"/>
      <c r="R938" s="339"/>
      <c r="S938" s="341"/>
      <c r="T938" s="339"/>
      <c r="U938" s="339"/>
    </row>
    <row r="939" spans="1:21" ht="15.75" customHeight="1">
      <c r="A939" s="339"/>
      <c r="B939" s="339"/>
      <c r="C939" s="339"/>
      <c r="D939" s="339"/>
      <c r="E939" s="339"/>
      <c r="F939" s="339"/>
      <c r="G939" s="339"/>
      <c r="H939" s="339"/>
      <c r="I939" s="339"/>
      <c r="J939" s="341"/>
      <c r="K939" s="339"/>
      <c r="L939" s="339"/>
      <c r="M939" s="341"/>
      <c r="N939" s="339"/>
      <c r="O939" s="339"/>
      <c r="P939" s="341"/>
      <c r="Q939" s="339"/>
      <c r="R939" s="339"/>
      <c r="S939" s="341"/>
      <c r="T939" s="339"/>
      <c r="U939" s="339"/>
    </row>
    <row r="940" spans="1:21" ht="15.75" customHeight="1">
      <c r="A940" s="339"/>
      <c r="B940" s="339"/>
      <c r="C940" s="339"/>
      <c r="D940" s="339"/>
      <c r="E940" s="339"/>
      <c r="F940" s="339"/>
      <c r="G940" s="339"/>
      <c r="H940" s="339"/>
      <c r="I940" s="339"/>
      <c r="J940" s="341"/>
      <c r="K940" s="339"/>
      <c r="L940" s="339"/>
      <c r="M940" s="341"/>
      <c r="N940" s="339"/>
      <c r="O940" s="339"/>
      <c r="P940" s="341"/>
      <c r="Q940" s="339"/>
      <c r="R940" s="339"/>
      <c r="S940" s="341"/>
      <c r="T940" s="339"/>
      <c r="U940" s="339"/>
    </row>
    <row r="941" spans="1:21" ht="15.75" customHeight="1">
      <c r="A941" s="339"/>
      <c r="B941" s="339"/>
      <c r="C941" s="339"/>
      <c r="D941" s="339"/>
      <c r="E941" s="339"/>
      <c r="F941" s="339"/>
      <c r="G941" s="339"/>
      <c r="H941" s="339"/>
      <c r="I941" s="339"/>
      <c r="J941" s="341"/>
      <c r="K941" s="339"/>
      <c r="L941" s="339"/>
      <c r="M941" s="341"/>
      <c r="N941" s="339"/>
      <c r="O941" s="339"/>
      <c r="P941" s="341"/>
      <c r="Q941" s="339"/>
      <c r="R941" s="339"/>
      <c r="S941" s="341"/>
      <c r="T941" s="339"/>
      <c r="U941" s="339"/>
    </row>
    <row r="942" spans="1:21" ht="15.75" customHeight="1">
      <c r="A942" s="339"/>
      <c r="B942" s="339"/>
      <c r="C942" s="339"/>
      <c r="D942" s="339"/>
      <c r="E942" s="339"/>
      <c r="F942" s="339"/>
      <c r="G942" s="339"/>
      <c r="H942" s="339"/>
      <c r="I942" s="339"/>
      <c r="J942" s="341"/>
      <c r="K942" s="339"/>
      <c r="L942" s="339"/>
      <c r="M942" s="341"/>
      <c r="N942" s="339"/>
      <c r="O942" s="339"/>
      <c r="P942" s="341"/>
      <c r="Q942" s="339"/>
      <c r="R942" s="339"/>
      <c r="S942" s="341"/>
      <c r="T942" s="339"/>
      <c r="U942" s="339"/>
    </row>
    <row r="943" spans="1:21" ht="15.75" customHeight="1">
      <c r="A943" s="339"/>
      <c r="B943" s="339"/>
      <c r="C943" s="339"/>
      <c r="D943" s="339"/>
      <c r="E943" s="339"/>
      <c r="F943" s="339"/>
      <c r="G943" s="339"/>
      <c r="H943" s="339"/>
      <c r="I943" s="339"/>
      <c r="J943" s="341"/>
      <c r="K943" s="339"/>
      <c r="L943" s="339"/>
      <c r="M943" s="341"/>
      <c r="N943" s="339"/>
      <c r="O943" s="339"/>
      <c r="P943" s="341"/>
      <c r="Q943" s="339"/>
      <c r="R943" s="339"/>
      <c r="S943" s="341"/>
      <c r="T943" s="339"/>
      <c r="U943" s="339"/>
    </row>
    <row r="944" spans="1:21" ht="15.75" customHeight="1">
      <c r="A944" s="339"/>
      <c r="B944" s="339"/>
      <c r="C944" s="339"/>
      <c r="D944" s="339"/>
      <c r="E944" s="339"/>
      <c r="F944" s="339"/>
      <c r="G944" s="339"/>
      <c r="H944" s="339"/>
      <c r="I944" s="339"/>
      <c r="J944" s="341"/>
      <c r="K944" s="339"/>
      <c r="L944" s="339"/>
      <c r="M944" s="341"/>
      <c r="N944" s="339"/>
      <c r="O944" s="339"/>
      <c r="P944" s="341"/>
      <c r="Q944" s="339"/>
      <c r="R944" s="339"/>
      <c r="S944" s="341"/>
      <c r="T944" s="339"/>
      <c r="U944" s="339"/>
    </row>
    <row r="945" spans="1:21" ht="15.75" customHeight="1">
      <c r="A945" s="339"/>
      <c r="B945" s="339"/>
      <c r="C945" s="339"/>
      <c r="D945" s="339"/>
      <c r="E945" s="339"/>
      <c r="F945" s="339"/>
      <c r="G945" s="339"/>
      <c r="H945" s="339"/>
      <c r="I945" s="339"/>
      <c r="J945" s="341"/>
      <c r="K945" s="339"/>
      <c r="L945" s="339"/>
      <c r="M945" s="341"/>
      <c r="N945" s="339"/>
      <c r="O945" s="339"/>
      <c r="P945" s="341"/>
      <c r="Q945" s="339"/>
      <c r="R945" s="339"/>
      <c r="S945" s="341"/>
      <c r="T945" s="339"/>
      <c r="U945" s="339"/>
    </row>
    <row r="946" spans="1:21" ht="15.75" customHeight="1">
      <c r="A946" s="339"/>
      <c r="B946" s="339"/>
      <c r="C946" s="339"/>
      <c r="D946" s="339"/>
      <c r="E946" s="339"/>
      <c r="F946" s="339"/>
      <c r="G946" s="339"/>
      <c r="H946" s="339"/>
      <c r="I946" s="339"/>
      <c r="J946" s="341"/>
      <c r="K946" s="339"/>
      <c r="L946" s="339"/>
      <c r="M946" s="341"/>
      <c r="N946" s="339"/>
      <c r="O946" s="339"/>
      <c r="P946" s="341"/>
      <c r="Q946" s="339"/>
      <c r="R946" s="339"/>
      <c r="S946" s="341"/>
      <c r="T946" s="339"/>
      <c r="U946" s="339"/>
    </row>
    <row r="947" spans="1:21" ht="15.75" customHeight="1">
      <c r="A947" s="339"/>
      <c r="B947" s="339"/>
      <c r="C947" s="339"/>
      <c r="D947" s="339"/>
      <c r="E947" s="339"/>
      <c r="F947" s="339"/>
      <c r="G947" s="339"/>
      <c r="H947" s="339"/>
      <c r="I947" s="339"/>
      <c r="J947" s="341"/>
      <c r="K947" s="339"/>
      <c r="L947" s="339"/>
      <c r="M947" s="341"/>
      <c r="N947" s="339"/>
      <c r="O947" s="339"/>
      <c r="P947" s="341"/>
      <c r="Q947" s="339"/>
      <c r="R947" s="339"/>
      <c r="S947" s="341"/>
      <c r="T947" s="339"/>
      <c r="U947" s="339"/>
    </row>
    <row r="948" spans="1:21" ht="15.75" customHeight="1">
      <c r="A948" s="339"/>
      <c r="B948" s="339"/>
      <c r="C948" s="339"/>
      <c r="D948" s="339"/>
      <c r="E948" s="339"/>
      <c r="F948" s="339"/>
      <c r="G948" s="339"/>
      <c r="H948" s="339"/>
      <c r="I948" s="339"/>
      <c r="J948" s="341"/>
      <c r="K948" s="339"/>
      <c r="L948" s="339"/>
      <c r="M948" s="341"/>
      <c r="N948" s="339"/>
      <c r="O948" s="339"/>
      <c r="P948" s="341"/>
      <c r="Q948" s="339"/>
      <c r="R948" s="339"/>
      <c r="S948" s="341"/>
      <c r="T948" s="339"/>
      <c r="U948" s="339"/>
    </row>
    <row r="949" spans="1:21" ht="15.75" customHeight="1">
      <c r="A949" s="339"/>
      <c r="B949" s="339"/>
      <c r="C949" s="339"/>
      <c r="D949" s="339"/>
      <c r="E949" s="339"/>
      <c r="F949" s="339"/>
      <c r="G949" s="339"/>
      <c r="H949" s="339"/>
      <c r="I949" s="339"/>
      <c r="J949" s="341"/>
      <c r="K949" s="339"/>
      <c r="L949" s="339"/>
      <c r="M949" s="341"/>
      <c r="N949" s="339"/>
      <c r="O949" s="339"/>
      <c r="P949" s="341"/>
      <c r="Q949" s="339"/>
      <c r="R949" s="339"/>
      <c r="S949" s="341"/>
      <c r="T949" s="339"/>
      <c r="U949" s="339"/>
    </row>
    <row r="950" spans="1:21" ht="15.75" customHeight="1">
      <c r="A950" s="339"/>
      <c r="B950" s="339"/>
      <c r="C950" s="339"/>
      <c r="D950" s="339"/>
      <c r="E950" s="339"/>
      <c r="F950" s="339"/>
      <c r="G950" s="339"/>
      <c r="H950" s="339"/>
      <c r="I950" s="339"/>
      <c r="J950" s="341"/>
      <c r="K950" s="339"/>
      <c r="L950" s="339"/>
      <c r="M950" s="341"/>
      <c r="N950" s="339"/>
      <c r="O950" s="339"/>
      <c r="P950" s="341"/>
      <c r="Q950" s="339"/>
      <c r="R950" s="339"/>
      <c r="S950" s="341"/>
      <c r="T950" s="339"/>
      <c r="U950" s="339"/>
    </row>
    <row r="951" spans="1:21" ht="15.75" customHeight="1">
      <c r="A951" s="339"/>
      <c r="B951" s="339"/>
      <c r="C951" s="339"/>
      <c r="D951" s="339"/>
      <c r="E951" s="339"/>
      <c r="F951" s="339"/>
      <c r="G951" s="339"/>
      <c r="H951" s="339"/>
      <c r="I951" s="339"/>
      <c r="J951" s="341"/>
      <c r="K951" s="339"/>
      <c r="L951" s="339"/>
      <c r="M951" s="341"/>
      <c r="N951" s="339"/>
      <c r="O951" s="339"/>
      <c r="P951" s="341"/>
      <c r="Q951" s="339"/>
      <c r="R951" s="339"/>
      <c r="S951" s="341"/>
      <c r="T951" s="339"/>
      <c r="U951" s="339"/>
    </row>
    <row r="952" spans="1:21" ht="15.75" customHeight="1">
      <c r="A952" s="339"/>
      <c r="B952" s="339"/>
      <c r="C952" s="339"/>
      <c r="D952" s="339"/>
      <c r="E952" s="339"/>
      <c r="F952" s="339"/>
      <c r="G952" s="339"/>
      <c r="H952" s="339"/>
      <c r="I952" s="339"/>
      <c r="J952" s="341"/>
      <c r="K952" s="339"/>
      <c r="L952" s="339"/>
      <c r="M952" s="341"/>
      <c r="N952" s="339"/>
      <c r="O952" s="339"/>
      <c r="P952" s="341"/>
      <c r="Q952" s="339"/>
      <c r="R952" s="339"/>
      <c r="S952" s="341"/>
      <c r="T952" s="339"/>
      <c r="U952" s="339"/>
    </row>
    <row r="953" spans="1:21" ht="15.75" customHeight="1">
      <c r="A953" s="339"/>
      <c r="B953" s="339"/>
      <c r="C953" s="339"/>
      <c r="D953" s="339"/>
      <c r="E953" s="339"/>
      <c r="F953" s="339"/>
      <c r="G953" s="339"/>
      <c r="H953" s="339"/>
      <c r="I953" s="339"/>
      <c r="J953" s="341"/>
      <c r="K953" s="339"/>
      <c r="L953" s="339"/>
      <c r="M953" s="341"/>
      <c r="N953" s="339"/>
      <c r="O953" s="339"/>
      <c r="P953" s="341"/>
      <c r="Q953" s="339"/>
      <c r="R953" s="339"/>
      <c r="S953" s="341"/>
      <c r="T953" s="339"/>
      <c r="U953" s="339"/>
    </row>
    <row r="954" spans="1:21" ht="15.75" customHeight="1">
      <c r="A954" s="339"/>
      <c r="B954" s="339"/>
      <c r="C954" s="339"/>
      <c r="D954" s="339"/>
      <c r="E954" s="339"/>
      <c r="F954" s="339"/>
      <c r="G954" s="339"/>
      <c r="H954" s="339"/>
      <c r="I954" s="339"/>
      <c r="J954" s="341"/>
      <c r="K954" s="339"/>
      <c r="L954" s="339"/>
      <c r="M954" s="341"/>
      <c r="N954" s="339"/>
      <c r="O954" s="339"/>
      <c r="P954" s="341"/>
      <c r="Q954" s="339"/>
      <c r="R954" s="339"/>
      <c r="S954" s="341"/>
      <c r="T954" s="339"/>
      <c r="U954" s="339"/>
    </row>
    <row r="955" spans="1:21" ht="15.75" customHeight="1">
      <c r="A955" s="339"/>
      <c r="B955" s="339"/>
      <c r="C955" s="339"/>
      <c r="D955" s="339"/>
      <c r="E955" s="339"/>
      <c r="F955" s="339"/>
      <c r="G955" s="339"/>
      <c r="H955" s="339"/>
      <c r="I955" s="339"/>
      <c r="J955" s="341"/>
      <c r="K955" s="339"/>
      <c r="L955" s="339"/>
      <c r="M955" s="341"/>
      <c r="N955" s="339"/>
      <c r="O955" s="339"/>
      <c r="P955" s="341"/>
      <c r="Q955" s="339"/>
      <c r="R955" s="339"/>
      <c r="S955" s="341"/>
      <c r="T955" s="339"/>
      <c r="U955" s="339"/>
    </row>
    <row r="956" spans="1:21" ht="15.75" customHeight="1">
      <c r="A956" s="339"/>
      <c r="B956" s="339"/>
      <c r="C956" s="339"/>
      <c r="D956" s="339"/>
      <c r="E956" s="339"/>
      <c r="F956" s="339"/>
      <c r="G956" s="339"/>
      <c r="H956" s="339"/>
      <c r="I956" s="339"/>
      <c r="J956" s="341"/>
      <c r="K956" s="339"/>
      <c r="L956" s="339"/>
      <c r="M956" s="341"/>
      <c r="N956" s="339"/>
      <c r="O956" s="339"/>
      <c r="P956" s="341"/>
      <c r="Q956" s="339"/>
      <c r="R956" s="339"/>
      <c r="S956" s="341"/>
      <c r="T956" s="339"/>
      <c r="U956" s="339"/>
    </row>
    <row r="957" spans="1:21" ht="15.75" customHeight="1">
      <c r="A957" s="339"/>
      <c r="B957" s="339"/>
      <c r="C957" s="339"/>
      <c r="D957" s="339"/>
      <c r="E957" s="339"/>
      <c r="F957" s="339"/>
      <c r="G957" s="339"/>
      <c r="H957" s="339"/>
      <c r="I957" s="339"/>
      <c r="J957" s="341"/>
      <c r="K957" s="339"/>
      <c r="L957" s="339"/>
      <c r="M957" s="341"/>
      <c r="N957" s="339"/>
      <c r="O957" s="339"/>
      <c r="P957" s="341"/>
      <c r="Q957" s="339"/>
      <c r="R957" s="339"/>
      <c r="S957" s="341"/>
      <c r="T957" s="339"/>
      <c r="U957" s="339"/>
    </row>
    <row r="958" spans="1:21" ht="15.75" customHeight="1">
      <c r="A958" s="339"/>
      <c r="B958" s="339"/>
      <c r="C958" s="339"/>
      <c r="D958" s="339"/>
      <c r="E958" s="339"/>
      <c r="F958" s="339"/>
      <c r="G958" s="339"/>
      <c r="H958" s="339"/>
      <c r="I958" s="339"/>
      <c r="J958" s="341"/>
      <c r="K958" s="339"/>
      <c r="L958" s="339"/>
      <c r="M958" s="341"/>
      <c r="N958" s="339"/>
      <c r="O958" s="339"/>
      <c r="P958" s="341"/>
      <c r="Q958" s="339"/>
      <c r="R958" s="339"/>
      <c r="S958" s="341"/>
      <c r="T958" s="339"/>
      <c r="U958" s="339"/>
    </row>
    <row r="959" spans="1:21" ht="15.75" customHeight="1">
      <c r="A959" s="339"/>
      <c r="B959" s="339"/>
      <c r="C959" s="339"/>
      <c r="D959" s="339"/>
      <c r="E959" s="339"/>
      <c r="F959" s="339"/>
      <c r="G959" s="339"/>
      <c r="H959" s="339"/>
      <c r="I959" s="339"/>
      <c r="J959" s="341"/>
      <c r="K959" s="339"/>
      <c r="L959" s="339"/>
      <c r="M959" s="341"/>
      <c r="N959" s="339"/>
      <c r="O959" s="339"/>
      <c r="P959" s="341"/>
      <c r="Q959" s="339"/>
      <c r="R959" s="339"/>
      <c r="S959" s="341"/>
      <c r="T959" s="339"/>
      <c r="U959" s="339"/>
    </row>
    <row r="960" spans="1:21" ht="15.75" customHeight="1">
      <c r="A960" s="339"/>
      <c r="B960" s="339"/>
      <c r="C960" s="339"/>
      <c r="D960" s="339"/>
      <c r="E960" s="339"/>
      <c r="F960" s="339"/>
      <c r="G960" s="339"/>
      <c r="H960" s="339"/>
      <c r="I960" s="339"/>
      <c r="J960" s="341"/>
      <c r="K960" s="339"/>
      <c r="L960" s="339"/>
      <c r="M960" s="341"/>
      <c r="N960" s="339"/>
      <c r="O960" s="339"/>
      <c r="P960" s="341"/>
      <c r="Q960" s="339"/>
      <c r="R960" s="339"/>
      <c r="S960" s="341"/>
      <c r="T960" s="339"/>
      <c r="U960" s="339"/>
    </row>
    <row r="961" spans="1:21" ht="15.75" customHeight="1">
      <c r="A961" s="339"/>
      <c r="B961" s="339"/>
      <c r="C961" s="339"/>
      <c r="D961" s="339"/>
      <c r="E961" s="339"/>
      <c r="F961" s="339"/>
      <c r="G961" s="339"/>
      <c r="H961" s="339"/>
      <c r="I961" s="339"/>
      <c r="J961" s="341"/>
      <c r="K961" s="339"/>
      <c r="L961" s="339"/>
      <c r="M961" s="341"/>
      <c r="N961" s="339"/>
      <c r="O961" s="339"/>
      <c r="P961" s="341"/>
      <c r="Q961" s="339"/>
      <c r="R961" s="339"/>
      <c r="S961" s="341"/>
      <c r="T961" s="339"/>
      <c r="U961" s="339"/>
    </row>
    <row r="962" spans="1:21" ht="15.75" customHeight="1">
      <c r="A962" s="339"/>
      <c r="B962" s="339"/>
      <c r="C962" s="339"/>
      <c r="D962" s="339"/>
      <c r="E962" s="339"/>
      <c r="F962" s="339"/>
      <c r="G962" s="339"/>
      <c r="H962" s="339"/>
      <c r="I962" s="339"/>
      <c r="J962" s="341"/>
      <c r="K962" s="339"/>
      <c r="L962" s="339"/>
      <c r="M962" s="341"/>
      <c r="N962" s="339"/>
      <c r="O962" s="339"/>
      <c r="P962" s="341"/>
      <c r="Q962" s="339"/>
      <c r="R962" s="339"/>
      <c r="S962" s="341"/>
      <c r="T962" s="339"/>
      <c r="U962" s="339"/>
    </row>
    <row r="963" spans="1:21" ht="15.75" customHeight="1">
      <c r="A963" s="339"/>
      <c r="B963" s="339"/>
      <c r="C963" s="339"/>
      <c r="D963" s="339"/>
      <c r="E963" s="339"/>
      <c r="F963" s="339"/>
      <c r="G963" s="339"/>
      <c r="H963" s="339"/>
      <c r="I963" s="339"/>
      <c r="J963" s="341"/>
      <c r="K963" s="339"/>
      <c r="L963" s="339"/>
      <c r="M963" s="341"/>
      <c r="N963" s="339"/>
      <c r="O963" s="339"/>
      <c r="P963" s="341"/>
      <c r="Q963" s="339"/>
      <c r="R963" s="339"/>
      <c r="S963" s="341"/>
      <c r="T963" s="339"/>
      <c r="U963" s="339"/>
    </row>
    <row r="964" spans="1:21" ht="15.75" customHeight="1">
      <c r="A964" s="339"/>
      <c r="B964" s="339"/>
      <c r="C964" s="339"/>
      <c r="D964" s="339"/>
      <c r="E964" s="339"/>
      <c r="F964" s="339"/>
      <c r="G964" s="339"/>
      <c r="H964" s="339"/>
      <c r="I964" s="339"/>
      <c r="J964" s="341"/>
      <c r="K964" s="339"/>
      <c r="L964" s="339"/>
      <c r="M964" s="341"/>
      <c r="N964" s="339"/>
      <c r="O964" s="339"/>
      <c r="P964" s="341"/>
      <c r="Q964" s="339"/>
      <c r="R964" s="339"/>
      <c r="S964" s="341"/>
      <c r="T964" s="339"/>
      <c r="U964" s="339"/>
    </row>
    <row r="965" spans="1:21" ht="15.75" customHeight="1">
      <c r="A965" s="339"/>
      <c r="B965" s="339"/>
      <c r="C965" s="339"/>
      <c r="D965" s="339"/>
      <c r="E965" s="339"/>
      <c r="F965" s="339"/>
      <c r="G965" s="339"/>
      <c r="H965" s="339"/>
      <c r="I965" s="339"/>
      <c r="J965" s="341"/>
      <c r="K965" s="339"/>
      <c r="L965" s="339"/>
      <c r="M965" s="341"/>
      <c r="N965" s="339"/>
      <c r="O965" s="339"/>
      <c r="P965" s="341"/>
      <c r="Q965" s="339"/>
      <c r="R965" s="339"/>
      <c r="S965" s="341"/>
      <c r="T965" s="339"/>
      <c r="U965" s="339"/>
    </row>
    <row r="966" spans="1:21" ht="15.75" customHeight="1">
      <c r="A966" s="339"/>
      <c r="B966" s="339"/>
      <c r="C966" s="339"/>
      <c r="D966" s="339"/>
      <c r="E966" s="339"/>
      <c r="F966" s="339"/>
      <c r="G966" s="339"/>
      <c r="H966" s="339"/>
      <c r="I966" s="339"/>
      <c r="J966" s="341"/>
      <c r="K966" s="339"/>
      <c r="L966" s="339"/>
      <c r="M966" s="341"/>
      <c r="N966" s="339"/>
      <c r="O966" s="339"/>
      <c r="P966" s="341"/>
      <c r="Q966" s="339"/>
      <c r="R966" s="339"/>
      <c r="S966" s="341"/>
      <c r="T966" s="339"/>
      <c r="U966" s="339"/>
    </row>
    <row r="967" spans="1:21" ht="15.75" customHeight="1">
      <c r="A967" s="339"/>
      <c r="B967" s="339"/>
      <c r="C967" s="339"/>
      <c r="D967" s="339"/>
      <c r="E967" s="339"/>
      <c r="F967" s="339"/>
      <c r="G967" s="339"/>
      <c r="H967" s="339"/>
      <c r="I967" s="339"/>
      <c r="J967" s="341"/>
      <c r="K967" s="339"/>
      <c r="L967" s="339"/>
      <c r="M967" s="341"/>
      <c r="N967" s="339"/>
      <c r="O967" s="339"/>
      <c r="P967" s="341"/>
      <c r="Q967" s="339"/>
      <c r="R967" s="339"/>
      <c r="S967" s="341"/>
      <c r="T967" s="339"/>
      <c r="U967" s="339"/>
    </row>
    <row r="968" spans="1:21" ht="15.75" customHeight="1">
      <c r="A968" s="339"/>
      <c r="B968" s="339"/>
      <c r="C968" s="339"/>
      <c r="D968" s="339"/>
      <c r="E968" s="339"/>
      <c r="F968" s="339"/>
      <c r="G968" s="339"/>
      <c r="H968" s="339"/>
      <c r="I968" s="339"/>
      <c r="J968" s="341"/>
      <c r="K968" s="339"/>
      <c r="L968" s="339"/>
      <c r="M968" s="341"/>
      <c r="N968" s="339"/>
      <c r="O968" s="339"/>
      <c r="P968" s="341"/>
      <c r="Q968" s="339"/>
      <c r="R968" s="339"/>
      <c r="S968" s="341"/>
      <c r="T968" s="339"/>
      <c r="U968" s="339"/>
    </row>
    <row r="969" spans="1:21" ht="15.75" customHeight="1">
      <c r="A969" s="339"/>
      <c r="B969" s="339"/>
      <c r="C969" s="339"/>
      <c r="D969" s="339"/>
      <c r="E969" s="339"/>
      <c r="F969" s="339"/>
      <c r="G969" s="339"/>
      <c r="H969" s="339"/>
      <c r="I969" s="339"/>
      <c r="J969" s="341"/>
      <c r="K969" s="339"/>
      <c r="L969" s="339"/>
      <c r="M969" s="341"/>
      <c r="N969" s="339"/>
      <c r="O969" s="339"/>
      <c r="P969" s="341"/>
      <c r="Q969" s="339"/>
      <c r="R969" s="339"/>
      <c r="S969" s="341"/>
      <c r="T969" s="339"/>
      <c r="U969" s="339"/>
    </row>
    <row r="970" spans="1:21" ht="15.75" customHeight="1">
      <c r="A970" s="339"/>
      <c r="B970" s="339"/>
      <c r="C970" s="339"/>
      <c r="D970" s="339"/>
      <c r="E970" s="339"/>
      <c r="F970" s="339"/>
      <c r="G970" s="339"/>
      <c r="H970" s="339"/>
      <c r="I970" s="339"/>
      <c r="J970" s="341"/>
      <c r="K970" s="339"/>
      <c r="L970" s="339"/>
      <c r="M970" s="341"/>
      <c r="N970" s="339"/>
      <c r="O970" s="339"/>
      <c r="P970" s="341"/>
      <c r="Q970" s="339"/>
      <c r="R970" s="339"/>
      <c r="S970" s="341"/>
      <c r="T970" s="339"/>
      <c r="U970" s="339"/>
    </row>
    <row r="971" spans="1:21" ht="15.75" customHeight="1">
      <c r="A971" s="339"/>
      <c r="B971" s="339"/>
      <c r="C971" s="339"/>
      <c r="D971" s="339"/>
      <c r="E971" s="339"/>
      <c r="F971" s="339"/>
      <c r="G971" s="339"/>
      <c r="H971" s="339"/>
      <c r="I971" s="339"/>
      <c r="J971" s="341"/>
      <c r="K971" s="339"/>
      <c r="L971" s="339"/>
      <c r="M971" s="341"/>
      <c r="N971" s="339"/>
      <c r="O971" s="339"/>
      <c r="P971" s="341"/>
      <c r="Q971" s="339"/>
      <c r="R971" s="339"/>
      <c r="S971" s="341"/>
      <c r="T971" s="339"/>
      <c r="U971" s="339"/>
    </row>
    <row r="972" spans="1:21" ht="15.75" customHeight="1">
      <c r="A972" s="339"/>
      <c r="B972" s="339"/>
      <c r="C972" s="339"/>
      <c r="D972" s="339"/>
      <c r="E972" s="339"/>
      <c r="F972" s="339"/>
      <c r="G972" s="339"/>
      <c r="H972" s="339"/>
      <c r="I972" s="339"/>
      <c r="J972" s="341"/>
      <c r="K972" s="339"/>
      <c r="L972" s="339"/>
      <c r="M972" s="341"/>
      <c r="N972" s="339"/>
      <c r="O972" s="339"/>
      <c r="P972" s="341"/>
      <c r="Q972" s="339"/>
      <c r="R972" s="339"/>
      <c r="S972" s="341"/>
      <c r="T972" s="339"/>
      <c r="U972" s="339"/>
    </row>
    <row r="973" spans="1:21" ht="15.75" customHeight="1">
      <c r="A973" s="339"/>
      <c r="B973" s="339"/>
      <c r="C973" s="339"/>
      <c r="D973" s="339"/>
      <c r="E973" s="339"/>
      <c r="F973" s="339"/>
      <c r="G973" s="339"/>
      <c r="H973" s="339"/>
      <c r="I973" s="339"/>
      <c r="J973" s="341"/>
      <c r="K973" s="339"/>
      <c r="L973" s="339"/>
      <c r="M973" s="341"/>
      <c r="N973" s="339"/>
      <c r="O973" s="339"/>
      <c r="P973" s="341"/>
      <c r="Q973" s="339"/>
      <c r="R973" s="339"/>
      <c r="S973" s="341"/>
      <c r="T973" s="339"/>
      <c r="U973" s="339"/>
    </row>
    <row r="974" spans="1:21" ht="15.75" customHeight="1">
      <c r="A974" s="339"/>
      <c r="B974" s="339"/>
      <c r="C974" s="339"/>
      <c r="D974" s="339"/>
      <c r="E974" s="339"/>
      <c r="F974" s="339"/>
      <c r="G974" s="339"/>
      <c r="H974" s="339"/>
      <c r="I974" s="339"/>
      <c r="J974" s="341"/>
      <c r="K974" s="339"/>
      <c r="L974" s="339"/>
      <c r="M974" s="341"/>
      <c r="N974" s="339"/>
      <c r="O974" s="339"/>
      <c r="P974" s="341"/>
      <c r="Q974" s="339"/>
      <c r="R974" s="339"/>
      <c r="S974" s="341"/>
      <c r="T974" s="339"/>
      <c r="U974" s="339"/>
    </row>
    <row r="975" spans="1:21" ht="15.75" customHeight="1">
      <c r="A975" s="339"/>
      <c r="B975" s="339"/>
      <c r="C975" s="339"/>
      <c r="D975" s="339"/>
      <c r="E975" s="339"/>
      <c r="F975" s="339"/>
      <c r="G975" s="339"/>
      <c r="H975" s="339"/>
      <c r="I975" s="339"/>
      <c r="J975" s="341"/>
      <c r="K975" s="339"/>
      <c r="L975" s="339"/>
      <c r="M975" s="341"/>
      <c r="N975" s="339"/>
      <c r="O975" s="339"/>
      <c r="P975" s="341"/>
      <c r="Q975" s="339"/>
      <c r="R975" s="339"/>
      <c r="S975" s="341"/>
      <c r="T975" s="339"/>
      <c r="U975" s="339"/>
    </row>
    <row r="976" spans="1:21" ht="15.75" customHeight="1">
      <c r="A976" s="339"/>
      <c r="B976" s="339"/>
      <c r="C976" s="339"/>
      <c r="D976" s="339"/>
      <c r="E976" s="339"/>
      <c r="F976" s="339"/>
      <c r="G976" s="339"/>
      <c r="H976" s="339"/>
      <c r="I976" s="339"/>
      <c r="J976" s="341"/>
      <c r="K976" s="339"/>
      <c r="L976" s="339"/>
      <c r="M976" s="341"/>
      <c r="N976" s="339"/>
      <c r="O976" s="339"/>
      <c r="P976" s="341"/>
      <c r="Q976" s="339"/>
      <c r="R976" s="339"/>
      <c r="S976" s="341"/>
      <c r="T976" s="339"/>
      <c r="U976" s="339"/>
    </row>
    <row r="977" spans="1:21" ht="15.75" customHeight="1">
      <c r="A977" s="339"/>
      <c r="B977" s="339"/>
      <c r="C977" s="339"/>
      <c r="D977" s="339"/>
      <c r="E977" s="339"/>
      <c r="F977" s="339"/>
      <c r="G977" s="339"/>
      <c r="H977" s="339"/>
      <c r="I977" s="339"/>
      <c r="J977" s="341"/>
      <c r="K977" s="339"/>
      <c r="L977" s="339"/>
      <c r="M977" s="341"/>
      <c r="N977" s="339"/>
      <c r="O977" s="339"/>
      <c r="P977" s="341"/>
      <c r="Q977" s="339"/>
      <c r="R977" s="339"/>
      <c r="S977" s="341"/>
      <c r="T977" s="339"/>
      <c r="U977" s="339"/>
    </row>
    <row r="978" spans="1:21" ht="15.75" customHeight="1">
      <c r="A978" s="339"/>
      <c r="B978" s="339"/>
      <c r="C978" s="339"/>
      <c r="D978" s="339"/>
      <c r="E978" s="339"/>
      <c r="F978" s="339"/>
      <c r="G978" s="339"/>
      <c r="H978" s="339"/>
      <c r="I978" s="339"/>
      <c r="J978" s="341"/>
      <c r="K978" s="339"/>
      <c r="L978" s="339"/>
      <c r="M978" s="341"/>
      <c r="N978" s="339"/>
      <c r="O978" s="339"/>
      <c r="P978" s="341"/>
      <c r="Q978" s="339"/>
      <c r="R978" s="339"/>
      <c r="S978" s="341"/>
      <c r="T978" s="339"/>
      <c r="U978" s="339"/>
    </row>
    <row r="979" spans="1:21" ht="15.75" customHeight="1">
      <c r="A979" s="339"/>
      <c r="B979" s="339"/>
      <c r="C979" s="339"/>
      <c r="D979" s="339"/>
      <c r="E979" s="339"/>
      <c r="F979" s="339"/>
      <c r="G979" s="339"/>
      <c r="H979" s="339"/>
      <c r="I979" s="339"/>
      <c r="J979" s="341"/>
      <c r="K979" s="339"/>
      <c r="L979" s="339"/>
      <c r="M979" s="341"/>
      <c r="N979" s="339"/>
      <c r="O979" s="339"/>
      <c r="P979" s="341"/>
      <c r="Q979" s="339"/>
      <c r="R979" s="339"/>
      <c r="S979" s="341"/>
      <c r="T979" s="339"/>
      <c r="U979" s="339"/>
    </row>
    <row r="980" spans="1:21" ht="15.75" customHeight="1">
      <c r="A980" s="339"/>
      <c r="B980" s="339"/>
      <c r="C980" s="339"/>
      <c r="D980" s="339"/>
      <c r="E980" s="339"/>
      <c r="F980" s="339"/>
      <c r="G980" s="339"/>
      <c r="H980" s="339"/>
      <c r="I980" s="339"/>
      <c r="J980" s="341"/>
      <c r="K980" s="339"/>
      <c r="L980" s="339"/>
      <c r="M980" s="341"/>
      <c r="N980" s="339"/>
      <c r="O980" s="339"/>
      <c r="P980" s="341"/>
      <c r="Q980" s="339"/>
      <c r="R980" s="339"/>
      <c r="S980" s="341"/>
      <c r="T980" s="339"/>
      <c r="U980" s="339"/>
    </row>
    <row r="981" spans="1:21" ht="15.75" customHeight="1">
      <c r="A981" s="339"/>
      <c r="B981" s="339"/>
      <c r="C981" s="339"/>
      <c r="D981" s="339"/>
      <c r="E981" s="339"/>
      <c r="F981" s="339"/>
      <c r="G981" s="339"/>
      <c r="H981" s="339"/>
      <c r="I981" s="339"/>
      <c r="J981" s="341"/>
      <c r="K981" s="339"/>
      <c r="L981" s="339"/>
      <c r="M981" s="341"/>
      <c r="N981" s="339"/>
      <c r="O981" s="339"/>
      <c r="P981" s="341"/>
      <c r="Q981" s="339"/>
      <c r="R981" s="339"/>
      <c r="S981" s="341"/>
      <c r="T981" s="339"/>
      <c r="U981" s="339"/>
    </row>
    <row r="982" spans="1:21" ht="15.75" customHeight="1">
      <c r="A982" s="339"/>
      <c r="B982" s="339"/>
      <c r="C982" s="339"/>
      <c r="D982" s="339"/>
      <c r="E982" s="339"/>
      <c r="F982" s="339"/>
      <c r="G982" s="339"/>
      <c r="H982" s="339"/>
      <c r="I982" s="339"/>
      <c r="J982" s="341"/>
      <c r="K982" s="339"/>
      <c r="L982" s="339"/>
      <c r="M982" s="341"/>
      <c r="N982" s="339"/>
      <c r="O982" s="339"/>
      <c r="P982" s="341"/>
      <c r="Q982" s="339"/>
      <c r="R982" s="339"/>
      <c r="S982" s="341"/>
      <c r="T982" s="339"/>
      <c r="U982" s="339"/>
    </row>
    <row r="983" spans="1:21" ht="15.75" customHeight="1">
      <c r="A983" s="339"/>
      <c r="B983" s="339"/>
      <c r="C983" s="339"/>
      <c r="D983" s="339"/>
      <c r="E983" s="339"/>
      <c r="F983" s="339"/>
      <c r="G983" s="339"/>
      <c r="H983" s="339"/>
      <c r="I983" s="339"/>
      <c r="J983" s="341"/>
      <c r="K983" s="339"/>
      <c r="L983" s="339"/>
      <c r="M983" s="341"/>
      <c r="N983" s="339"/>
      <c r="O983" s="339"/>
      <c r="P983" s="341"/>
      <c r="Q983" s="339"/>
      <c r="R983" s="339"/>
      <c r="S983" s="341"/>
      <c r="T983" s="339"/>
      <c r="U983" s="339"/>
    </row>
    <row r="984" spans="1:21" ht="15.75" customHeight="1">
      <c r="A984" s="339"/>
      <c r="B984" s="339"/>
      <c r="C984" s="339"/>
      <c r="D984" s="339"/>
      <c r="E984" s="339"/>
      <c r="F984" s="339"/>
      <c r="G984" s="339"/>
      <c r="H984" s="339"/>
      <c r="I984" s="339"/>
      <c r="J984" s="341"/>
      <c r="K984" s="339"/>
      <c r="L984" s="339"/>
      <c r="M984" s="341"/>
      <c r="N984" s="339"/>
      <c r="O984" s="339"/>
      <c r="P984" s="341"/>
      <c r="Q984" s="339"/>
      <c r="R984" s="339"/>
      <c r="S984" s="341"/>
      <c r="T984" s="339"/>
      <c r="U984" s="339"/>
    </row>
    <row r="985" spans="1:21" ht="15.75" customHeight="1">
      <c r="A985" s="339"/>
      <c r="B985" s="339"/>
      <c r="C985" s="339"/>
      <c r="D985" s="339"/>
      <c r="E985" s="339"/>
      <c r="F985" s="339"/>
      <c r="G985" s="339"/>
      <c r="H985" s="339"/>
      <c r="I985" s="339"/>
      <c r="J985" s="341"/>
      <c r="K985" s="339"/>
      <c r="L985" s="339"/>
      <c r="M985" s="341"/>
      <c r="N985" s="339"/>
      <c r="O985" s="339"/>
      <c r="P985" s="341"/>
      <c r="Q985" s="339"/>
      <c r="R985" s="339"/>
      <c r="S985" s="341"/>
      <c r="T985" s="339"/>
      <c r="U985" s="339"/>
    </row>
    <row r="986" spans="1:21" ht="15.75" customHeight="1">
      <c r="A986" s="339"/>
      <c r="B986" s="339"/>
      <c r="C986" s="339"/>
      <c r="D986" s="339"/>
      <c r="E986" s="339"/>
      <c r="F986" s="339"/>
      <c r="G986" s="339"/>
      <c r="H986" s="339"/>
      <c r="I986" s="339"/>
      <c r="J986" s="341"/>
      <c r="K986" s="339"/>
      <c r="L986" s="339"/>
      <c r="M986" s="341"/>
      <c r="N986" s="339"/>
      <c r="O986" s="339"/>
      <c r="P986" s="341"/>
      <c r="Q986" s="339"/>
      <c r="R986" s="339"/>
      <c r="S986" s="341"/>
      <c r="T986" s="339"/>
      <c r="U986" s="339"/>
    </row>
    <row r="987" spans="1:21" ht="15.75" customHeight="1">
      <c r="A987" s="339"/>
      <c r="B987" s="339"/>
      <c r="C987" s="339"/>
      <c r="D987" s="339"/>
      <c r="E987" s="339"/>
      <c r="F987" s="339"/>
      <c r="G987" s="339"/>
      <c r="H987" s="339"/>
      <c r="I987" s="339"/>
      <c r="J987" s="341"/>
      <c r="K987" s="339"/>
      <c r="L987" s="339"/>
      <c r="M987" s="341"/>
      <c r="N987" s="339"/>
      <c r="O987" s="339"/>
      <c r="P987" s="341"/>
      <c r="Q987" s="339"/>
      <c r="R987" s="339"/>
      <c r="S987" s="341"/>
      <c r="T987" s="339"/>
      <c r="U987" s="339"/>
    </row>
    <row r="988" spans="1:21" ht="15.75" customHeight="1">
      <c r="A988" s="339"/>
      <c r="B988" s="339"/>
      <c r="C988" s="339"/>
      <c r="D988" s="339"/>
      <c r="E988" s="339"/>
      <c r="F988" s="339"/>
      <c r="G988" s="339"/>
      <c r="H988" s="339"/>
      <c r="I988" s="339"/>
      <c r="J988" s="341"/>
      <c r="K988" s="339"/>
      <c r="L988" s="339"/>
      <c r="M988" s="341"/>
      <c r="N988" s="339"/>
      <c r="O988" s="339"/>
      <c r="P988" s="341"/>
      <c r="Q988" s="339"/>
      <c r="R988" s="339"/>
      <c r="S988" s="341"/>
      <c r="T988" s="339"/>
      <c r="U988" s="339"/>
    </row>
    <row r="989" spans="1:21" ht="15.75" customHeight="1">
      <c r="A989" s="339"/>
      <c r="B989" s="339"/>
      <c r="C989" s="339"/>
      <c r="D989" s="339"/>
      <c r="E989" s="339"/>
      <c r="F989" s="339"/>
      <c r="G989" s="339"/>
      <c r="H989" s="339"/>
      <c r="I989" s="339"/>
      <c r="J989" s="341"/>
      <c r="K989" s="339"/>
      <c r="L989" s="339"/>
      <c r="M989" s="341"/>
      <c r="N989" s="339"/>
      <c r="O989" s="339"/>
      <c r="P989" s="341"/>
      <c r="Q989" s="339"/>
      <c r="R989" s="339"/>
      <c r="S989" s="341"/>
      <c r="T989" s="339"/>
      <c r="U989" s="339"/>
    </row>
    <row r="990" spans="1:21" ht="15.75" customHeight="1">
      <c r="A990" s="339"/>
      <c r="B990" s="339"/>
      <c r="C990" s="339"/>
      <c r="D990" s="339"/>
      <c r="E990" s="339"/>
      <c r="F990" s="339"/>
      <c r="G990" s="339"/>
      <c r="H990" s="339"/>
      <c r="I990" s="339"/>
      <c r="J990" s="341"/>
      <c r="K990" s="339"/>
      <c r="L990" s="339"/>
      <c r="M990" s="341"/>
      <c r="N990" s="339"/>
      <c r="O990" s="339"/>
      <c r="P990" s="341"/>
      <c r="Q990" s="339"/>
      <c r="R990" s="339"/>
      <c r="S990" s="341"/>
      <c r="T990" s="339"/>
      <c r="U990" s="339"/>
    </row>
    <row r="991" spans="1:21" ht="15.75" customHeight="1">
      <c r="A991" s="339"/>
      <c r="B991" s="339"/>
      <c r="C991" s="339"/>
      <c r="D991" s="339"/>
      <c r="E991" s="339"/>
      <c r="F991" s="339"/>
      <c r="G991" s="339"/>
      <c r="H991" s="339"/>
      <c r="I991" s="339"/>
      <c r="J991" s="341"/>
      <c r="K991" s="339"/>
      <c r="L991" s="339"/>
      <c r="M991" s="341"/>
      <c r="N991" s="339"/>
      <c r="O991" s="339"/>
      <c r="P991" s="341"/>
      <c r="Q991" s="339"/>
      <c r="R991" s="339"/>
      <c r="S991" s="341"/>
      <c r="T991" s="339"/>
      <c r="U991" s="339"/>
    </row>
    <row r="992" spans="1:21" ht="15.75" customHeight="1">
      <c r="A992" s="339"/>
      <c r="B992" s="339"/>
      <c r="C992" s="339"/>
      <c r="D992" s="339"/>
      <c r="E992" s="339"/>
      <c r="F992" s="339"/>
      <c r="G992" s="339"/>
      <c r="H992" s="339"/>
      <c r="I992" s="339"/>
      <c r="J992" s="341"/>
      <c r="K992" s="339"/>
      <c r="L992" s="339"/>
      <c r="M992" s="341"/>
      <c r="N992" s="339"/>
      <c r="O992" s="339"/>
      <c r="P992" s="341"/>
      <c r="Q992" s="339"/>
      <c r="R992" s="339"/>
      <c r="S992" s="341"/>
      <c r="T992" s="339"/>
      <c r="U992" s="339"/>
    </row>
    <row r="993" spans="1:21" ht="15.75" customHeight="1">
      <c r="A993" s="339"/>
      <c r="B993" s="339"/>
      <c r="C993" s="339"/>
      <c r="D993" s="339"/>
      <c r="E993" s="339"/>
      <c r="F993" s="339"/>
      <c r="G993" s="339"/>
      <c r="H993" s="339"/>
      <c r="I993" s="339"/>
      <c r="J993" s="341"/>
      <c r="K993" s="339"/>
      <c r="L993" s="339"/>
      <c r="M993" s="341"/>
      <c r="N993" s="339"/>
      <c r="O993" s="339"/>
      <c r="P993" s="341"/>
      <c r="Q993" s="339"/>
      <c r="R993" s="339"/>
      <c r="S993" s="341"/>
      <c r="T993" s="339"/>
      <c r="U993" s="339"/>
    </row>
    <row r="994" spans="1:21" ht="15.75" customHeight="1">
      <c r="A994" s="339"/>
      <c r="B994" s="339"/>
      <c r="C994" s="339"/>
      <c r="D994" s="339"/>
      <c r="E994" s="339"/>
      <c r="F994" s="339"/>
      <c r="G994" s="339"/>
      <c r="H994" s="339"/>
      <c r="I994" s="339"/>
      <c r="J994" s="341"/>
      <c r="K994" s="339"/>
      <c r="L994" s="339"/>
      <c r="M994" s="341"/>
      <c r="N994" s="339"/>
      <c r="O994" s="339"/>
      <c r="P994" s="341"/>
      <c r="Q994" s="339"/>
      <c r="R994" s="339"/>
      <c r="S994" s="341"/>
      <c r="T994" s="339"/>
      <c r="U994" s="339"/>
    </row>
    <row r="995" spans="1:21" ht="15.75" customHeight="1">
      <c r="A995" s="339"/>
      <c r="B995" s="339"/>
      <c r="C995" s="339"/>
      <c r="D995" s="339"/>
      <c r="E995" s="339"/>
      <c r="F995" s="339"/>
      <c r="G995" s="339"/>
      <c r="H995" s="339"/>
      <c r="I995" s="339"/>
      <c r="J995" s="341"/>
      <c r="K995" s="339"/>
      <c r="L995" s="339"/>
      <c r="M995" s="341"/>
      <c r="N995" s="339"/>
      <c r="O995" s="339"/>
      <c r="P995" s="341"/>
      <c r="Q995" s="339"/>
      <c r="R995" s="339"/>
      <c r="S995" s="341"/>
      <c r="T995" s="339"/>
      <c r="U995" s="339"/>
    </row>
    <row r="996" spans="1:21" ht="15.75" customHeight="1">
      <c r="A996" s="339"/>
      <c r="B996" s="339"/>
      <c r="C996" s="339"/>
      <c r="D996" s="339"/>
      <c r="E996" s="339"/>
      <c r="F996" s="339"/>
      <c r="G996" s="339"/>
      <c r="H996" s="339"/>
      <c r="I996" s="339"/>
      <c r="J996" s="341"/>
      <c r="K996" s="339"/>
      <c r="L996" s="339"/>
      <c r="M996" s="341"/>
      <c r="N996" s="339"/>
      <c r="O996" s="339"/>
      <c r="P996" s="341"/>
      <c r="Q996" s="339"/>
      <c r="R996" s="339"/>
      <c r="S996" s="341"/>
      <c r="T996" s="339"/>
      <c r="U996" s="339"/>
    </row>
    <row r="997" spans="1:21" ht="15.75" customHeight="1">
      <c r="A997" s="339"/>
      <c r="B997" s="339"/>
      <c r="C997" s="339"/>
      <c r="D997" s="339"/>
      <c r="E997" s="339"/>
      <c r="F997" s="339"/>
      <c r="G997" s="339"/>
      <c r="H997" s="339"/>
      <c r="I997" s="339"/>
      <c r="J997" s="341"/>
      <c r="K997" s="339"/>
      <c r="L997" s="339"/>
      <c r="M997" s="341"/>
      <c r="N997" s="339"/>
      <c r="O997" s="339"/>
      <c r="P997" s="341"/>
      <c r="Q997" s="339"/>
      <c r="R997" s="339"/>
      <c r="S997" s="341"/>
      <c r="T997" s="339"/>
      <c r="U997" s="339"/>
    </row>
    <row r="998" spans="1:21" ht="15.75" customHeight="1">
      <c r="A998" s="339"/>
      <c r="B998" s="339"/>
      <c r="C998" s="339"/>
      <c r="D998" s="339"/>
      <c r="E998" s="339"/>
      <c r="F998" s="339"/>
      <c r="G998" s="339"/>
      <c r="H998" s="339"/>
      <c r="I998" s="339"/>
      <c r="J998" s="341"/>
      <c r="K998" s="339"/>
      <c r="L998" s="339"/>
      <c r="M998" s="341"/>
      <c r="N998" s="339"/>
      <c r="O998" s="339"/>
      <c r="P998" s="341"/>
      <c r="Q998" s="339"/>
      <c r="R998" s="339"/>
      <c r="S998" s="341"/>
      <c r="T998" s="339"/>
      <c r="U998" s="339"/>
    </row>
    <row r="999" spans="1:21" ht="15.75" customHeight="1">
      <c r="A999" s="339"/>
      <c r="B999" s="339"/>
      <c r="C999" s="339"/>
      <c r="D999" s="339"/>
      <c r="E999" s="339"/>
      <c r="F999" s="339"/>
      <c r="G999" s="339"/>
      <c r="H999" s="339"/>
      <c r="I999" s="339"/>
      <c r="J999" s="341"/>
      <c r="K999" s="339"/>
      <c r="L999" s="339"/>
      <c r="M999" s="341"/>
      <c r="N999" s="339"/>
      <c r="O999" s="339"/>
      <c r="P999" s="341"/>
      <c r="Q999" s="339"/>
      <c r="R999" s="339"/>
      <c r="S999" s="341"/>
      <c r="T999" s="339"/>
      <c r="U999" s="339"/>
    </row>
    <row r="1000" spans="1:21" ht="15.75" customHeight="1">
      <c r="A1000" s="339"/>
      <c r="B1000" s="339"/>
      <c r="C1000" s="339"/>
      <c r="D1000" s="339"/>
      <c r="E1000" s="339"/>
      <c r="F1000" s="339"/>
      <c r="G1000" s="339"/>
      <c r="H1000" s="339"/>
      <c r="I1000" s="339"/>
      <c r="J1000" s="341"/>
      <c r="K1000" s="339"/>
      <c r="L1000" s="339"/>
      <c r="M1000" s="341"/>
      <c r="N1000" s="339"/>
      <c r="O1000" s="339"/>
      <c r="P1000" s="341"/>
      <c r="Q1000" s="339"/>
      <c r="R1000" s="339"/>
      <c r="S1000" s="341"/>
      <c r="T1000" s="339"/>
      <c r="U1000" s="339"/>
    </row>
  </sheetData>
  <mergeCells count="22">
    <mergeCell ref="D7:D8"/>
    <mergeCell ref="A9:B9"/>
    <mergeCell ref="A15:B15"/>
    <mergeCell ref="A33:B33"/>
    <mergeCell ref="A54:B54"/>
    <mergeCell ref="A76:B76"/>
    <mergeCell ref="A91:B91"/>
    <mergeCell ref="A106:B106"/>
    <mergeCell ref="A2:B6"/>
    <mergeCell ref="A7:B8"/>
    <mergeCell ref="C2:U3"/>
    <mergeCell ref="C4:G5"/>
    <mergeCell ref="H4:U5"/>
    <mergeCell ref="C6:E6"/>
    <mergeCell ref="F6:G6"/>
    <mergeCell ref="H6:I6"/>
    <mergeCell ref="J6:U6"/>
    <mergeCell ref="F7:G7"/>
    <mergeCell ref="J7:L7"/>
    <mergeCell ref="M7:O7"/>
    <mergeCell ref="P7:R7"/>
    <mergeCell ref="S7:U7"/>
  </mergeCells>
  <printOptions horizontalCentered="1"/>
  <pageMargins left="0.31496062992125984" right="0.31496062992125984" top="0.74803149606299213" bottom="0.74803149606299213" header="0" footer="0"/>
  <pageSetup paperSize="9" scale="50" fitToWidth="0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D965"/>
    <pageSetUpPr fitToPage="1"/>
  </sheetPr>
  <dimension ref="A1:AD1000"/>
  <sheetViews>
    <sheetView view="pageBreakPreview" zoomScale="60" zoomScaleNormal="100" workbookViewId="0">
      <pane xSplit="2" topLeftCell="C1" activePane="topRight" state="frozen"/>
      <selection activeCell="A91" sqref="A91:XFD114"/>
      <selection pane="topRight" activeCell="A91" sqref="A91:XFD114"/>
    </sheetView>
  </sheetViews>
  <sheetFormatPr defaultColWidth="14.44140625" defaultRowHeight="15" customHeight="1"/>
  <cols>
    <col min="1" max="1" width="7.21875" customWidth="1"/>
    <col min="2" max="2" width="32.109375" customWidth="1"/>
    <col min="3" max="3" width="14.109375" customWidth="1"/>
    <col min="4" max="4" width="10" customWidth="1"/>
    <col min="5" max="6" width="12.44140625" customWidth="1"/>
    <col min="7" max="7" width="10" customWidth="1"/>
    <col min="8" max="8" width="12" customWidth="1"/>
    <col min="9" max="9" width="12.21875" customWidth="1"/>
    <col min="10" max="10" width="13" customWidth="1"/>
    <col min="11" max="11" width="12" customWidth="1"/>
    <col min="12" max="12" width="9" customWidth="1"/>
    <col min="13" max="13" width="15.21875" customWidth="1"/>
    <col min="14" max="14" width="9" customWidth="1"/>
    <col min="15" max="15" width="15.21875" customWidth="1"/>
    <col min="16" max="16" width="9" customWidth="1"/>
    <col min="17" max="17" width="13" customWidth="1"/>
    <col min="18" max="18" width="9" customWidth="1"/>
    <col min="19" max="19" width="9.109375" customWidth="1"/>
    <col min="20" max="20" width="9" customWidth="1"/>
    <col min="21" max="21" width="9.44140625" customWidth="1"/>
    <col min="22" max="22" width="9" customWidth="1"/>
    <col min="23" max="24" width="11" customWidth="1"/>
    <col min="25" max="25" width="9.5546875" customWidth="1"/>
    <col min="26" max="26" width="9" customWidth="1"/>
    <col min="27" max="27" width="10.21875" customWidth="1"/>
    <col min="28" max="28" width="10.44140625" customWidth="1"/>
    <col min="29" max="30" width="15.5546875" customWidth="1"/>
  </cols>
  <sheetData>
    <row r="1" spans="1:30" ht="24" customHeight="1">
      <c r="A1" s="1" t="s">
        <v>354</v>
      </c>
      <c r="B1" s="236"/>
      <c r="C1" s="237"/>
      <c r="D1" s="237"/>
      <c r="E1" s="237"/>
      <c r="F1" s="237"/>
      <c r="G1" s="237"/>
      <c r="H1" s="237"/>
      <c r="I1" s="237"/>
      <c r="J1" s="237"/>
      <c r="K1" s="236"/>
      <c r="L1" s="238"/>
      <c r="M1" s="236"/>
      <c r="N1" s="238"/>
      <c r="O1" s="236"/>
      <c r="P1" s="238"/>
      <c r="Q1" s="236"/>
      <c r="R1" s="238"/>
      <c r="S1" s="236"/>
      <c r="T1" s="238"/>
      <c r="U1" s="236"/>
      <c r="V1" s="238"/>
      <c r="W1" s="239"/>
      <c r="X1" s="239"/>
      <c r="Y1" s="236"/>
      <c r="Z1" s="238"/>
      <c r="AA1" s="236"/>
      <c r="AB1" s="236"/>
      <c r="AC1" s="236"/>
      <c r="AD1" s="236"/>
    </row>
    <row r="2" spans="1:30" ht="22.5" customHeight="1">
      <c r="A2" s="774" t="s">
        <v>1</v>
      </c>
      <c r="B2" s="682"/>
      <c r="C2" s="803" t="s">
        <v>355</v>
      </c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  <c r="Q2" s="776"/>
      <c r="R2" s="776"/>
      <c r="S2" s="776"/>
      <c r="T2" s="776"/>
      <c r="U2" s="776"/>
      <c r="V2" s="776"/>
      <c r="W2" s="776"/>
      <c r="X2" s="776"/>
      <c r="Y2" s="776"/>
      <c r="Z2" s="776"/>
      <c r="AA2" s="776"/>
      <c r="AB2" s="776"/>
      <c r="AC2" s="776"/>
      <c r="AD2" s="777"/>
    </row>
    <row r="3" spans="1:30" ht="40.5" customHeight="1">
      <c r="A3" s="660"/>
      <c r="B3" s="661"/>
      <c r="C3" s="793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  <c r="S3" s="670"/>
      <c r="T3" s="670"/>
      <c r="U3" s="670"/>
      <c r="V3" s="670"/>
      <c r="W3" s="670"/>
      <c r="X3" s="670"/>
      <c r="Y3" s="670"/>
      <c r="Z3" s="670"/>
      <c r="AA3" s="670"/>
      <c r="AB3" s="670"/>
      <c r="AC3" s="670"/>
      <c r="AD3" s="768"/>
    </row>
    <row r="4" spans="1:30" ht="44.25" customHeight="1">
      <c r="A4" s="660"/>
      <c r="B4" s="661"/>
      <c r="C4" s="901" t="s">
        <v>246</v>
      </c>
      <c r="D4" s="694"/>
      <c r="E4" s="694"/>
      <c r="F4" s="694"/>
      <c r="G4" s="695"/>
      <c r="H4" s="907" t="s">
        <v>356</v>
      </c>
      <c r="I4" s="694"/>
      <c r="J4" s="695"/>
      <c r="K4" s="783" t="s">
        <v>357</v>
      </c>
      <c r="L4" s="651"/>
      <c r="M4" s="651"/>
      <c r="N4" s="651"/>
      <c r="O4" s="651"/>
      <c r="P4" s="651"/>
      <c r="Q4" s="651"/>
      <c r="R4" s="651"/>
      <c r="S4" s="651"/>
      <c r="T4" s="651"/>
      <c r="U4" s="651"/>
      <c r="V4" s="651"/>
      <c r="W4" s="651"/>
      <c r="X4" s="654"/>
      <c r="Y4" s="883" t="s">
        <v>358</v>
      </c>
      <c r="Z4" s="651"/>
      <c r="AA4" s="651"/>
      <c r="AB4" s="651"/>
      <c r="AC4" s="651"/>
      <c r="AD4" s="756"/>
    </row>
    <row r="5" spans="1:30" ht="54.75" customHeight="1">
      <c r="A5" s="660"/>
      <c r="B5" s="661"/>
      <c r="C5" s="719"/>
      <c r="D5" s="670"/>
      <c r="E5" s="670"/>
      <c r="F5" s="670"/>
      <c r="G5" s="671"/>
      <c r="H5" s="719"/>
      <c r="I5" s="670"/>
      <c r="J5" s="671"/>
      <c r="K5" s="908" t="s">
        <v>231</v>
      </c>
      <c r="L5" s="651"/>
      <c r="M5" s="651"/>
      <c r="N5" s="651"/>
      <c r="O5" s="651"/>
      <c r="P5" s="651"/>
      <c r="Q5" s="651"/>
      <c r="R5" s="651"/>
      <c r="S5" s="651"/>
      <c r="T5" s="651"/>
      <c r="U5" s="651"/>
      <c r="V5" s="651"/>
      <c r="W5" s="651"/>
      <c r="X5" s="654"/>
      <c r="Y5" s="908" t="s">
        <v>231</v>
      </c>
      <c r="Z5" s="651"/>
      <c r="AA5" s="651"/>
      <c r="AB5" s="651"/>
      <c r="AC5" s="651"/>
      <c r="AD5" s="756"/>
    </row>
    <row r="6" spans="1:30" ht="56.25" customHeight="1">
      <c r="A6" s="683"/>
      <c r="B6" s="684"/>
      <c r="C6" s="909" t="s">
        <v>9</v>
      </c>
      <c r="D6" s="651"/>
      <c r="E6" s="654"/>
      <c r="F6" s="809" t="s">
        <v>11</v>
      </c>
      <c r="G6" s="839"/>
      <c r="H6" s="910" t="s">
        <v>150</v>
      </c>
      <c r="I6" s="911" t="s">
        <v>359</v>
      </c>
      <c r="J6" s="912" t="s">
        <v>360</v>
      </c>
      <c r="K6" s="905" t="s">
        <v>361</v>
      </c>
      <c r="L6" s="817"/>
      <c r="M6" s="904" t="s">
        <v>362</v>
      </c>
      <c r="N6" s="817"/>
      <c r="O6" s="904" t="s">
        <v>363</v>
      </c>
      <c r="P6" s="817"/>
      <c r="Q6" s="905" t="s">
        <v>364</v>
      </c>
      <c r="R6" s="817"/>
      <c r="S6" s="904" t="s">
        <v>365</v>
      </c>
      <c r="T6" s="817"/>
      <c r="U6" s="906" t="s">
        <v>366</v>
      </c>
      <c r="V6" s="698"/>
      <c r="W6" s="698"/>
      <c r="X6" s="699"/>
      <c r="Y6" s="906" t="s">
        <v>366</v>
      </c>
      <c r="Z6" s="698"/>
      <c r="AA6" s="698"/>
      <c r="AB6" s="699"/>
      <c r="AC6" s="790" t="s">
        <v>367</v>
      </c>
      <c r="AD6" s="756"/>
    </row>
    <row r="7" spans="1:30" ht="78" customHeight="1">
      <c r="A7" s="785" t="s">
        <v>256</v>
      </c>
      <c r="B7" s="659"/>
      <c r="C7" s="616" t="s">
        <v>150</v>
      </c>
      <c r="D7" s="811" t="s">
        <v>257</v>
      </c>
      <c r="E7" s="346" t="s">
        <v>258</v>
      </c>
      <c r="F7" s="812" t="s">
        <v>259</v>
      </c>
      <c r="G7" s="678"/>
      <c r="H7" s="888"/>
      <c r="I7" s="888"/>
      <c r="J7" s="913"/>
      <c r="K7" s="719"/>
      <c r="L7" s="671"/>
      <c r="M7" s="719"/>
      <c r="N7" s="671"/>
      <c r="O7" s="719"/>
      <c r="P7" s="671"/>
      <c r="Q7" s="719"/>
      <c r="R7" s="671"/>
      <c r="S7" s="719"/>
      <c r="T7" s="671"/>
      <c r="U7" s="823" t="s">
        <v>368</v>
      </c>
      <c r="V7" s="654"/>
      <c r="W7" s="622" t="s">
        <v>369</v>
      </c>
      <c r="X7" s="623" t="s">
        <v>369</v>
      </c>
      <c r="Y7" s="823" t="s">
        <v>368</v>
      </c>
      <c r="Z7" s="654"/>
      <c r="AA7" s="622" t="s">
        <v>369</v>
      </c>
      <c r="AB7" s="623" t="s">
        <v>369</v>
      </c>
      <c r="AC7" s="623" t="s">
        <v>370</v>
      </c>
      <c r="AD7" s="624" t="s">
        <v>371</v>
      </c>
    </row>
    <row r="8" spans="1:30" ht="36.75" customHeight="1">
      <c r="A8" s="662"/>
      <c r="B8" s="663"/>
      <c r="C8" s="619"/>
      <c r="D8" s="665"/>
      <c r="E8" s="252"/>
      <c r="F8" s="253" t="s">
        <v>26</v>
      </c>
      <c r="G8" s="625" t="s">
        <v>27</v>
      </c>
      <c r="H8" s="258" t="s">
        <v>239</v>
      </c>
      <c r="I8" s="626" t="s">
        <v>239</v>
      </c>
      <c r="J8" s="626" t="s">
        <v>239</v>
      </c>
      <c r="K8" s="627" t="s">
        <v>240</v>
      </c>
      <c r="L8" s="628" t="s">
        <v>27</v>
      </c>
      <c r="M8" s="627" t="s">
        <v>240</v>
      </c>
      <c r="N8" s="628" t="s">
        <v>27</v>
      </c>
      <c r="O8" s="627" t="s">
        <v>240</v>
      </c>
      <c r="P8" s="628" t="s">
        <v>27</v>
      </c>
      <c r="Q8" s="627" t="s">
        <v>240</v>
      </c>
      <c r="R8" s="628" t="s">
        <v>27</v>
      </c>
      <c r="S8" s="627" t="s">
        <v>240</v>
      </c>
      <c r="T8" s="628" t="s">
        <v>27</v>
      </c>
      <c r="U8" s="627" t="s">
        <v>240</v>
      </c>
      <c r="V8" s="628" t="s">
        <v>27</v>
      </c>
      <c r="W8" s="627" t="s">
        <v>239</v>
      </c>
      <c r="X8" s="627" t="s">
        <v>239</v>
      </c>
      <c r="Y8" s="627" t="s">
        <v>240</v>
      </c>
      <c r="Z8" s="628" t="s">
        <v>27</v>
      </c>
      <c r="AA8" s="627" t="s">
        <v>239</v>
      </c>
      <c r="AB8" s="627" t="s">
        <v>239</v>
      </c>
      <c r="AC8" s="627" t="s">
        <v>239</v>
      </c>
      <c r="AD8" s="629" t="s">
        <v>239</v>
      </c>
    </row>
    <row r="9" spans="1:30" ht="27" customHeight="1">
      <c r="A9" s="798" t="s">
        <v>34</v>
      </c>
      <c r="B9" s="731"/>
      <c r="C9" s="419">
        <f t="shared" ref="C9:E9" ca="1" si="0">C10+C11</f>
        <v>863900</v>
      </c>
      <c r="D9" s="264">
        <f t="shared" ca="1" si="0"/>
        <v>0</v>
      </c>
      <c r="E9" s="265">
        <f t="shared" ca="1" si="0"/>
        <v>863900</v>
      </c>
      <c r="F9" s="266">
        <f ca="1">+F10+F11</f>
        <v>148200.04</v>
      </c>
      <c r="G9" s="267">
        <f t="shared" ref="G9:G114" ca="1" si="1">IF(C9&gt;0,F9*100/C9,0)</f>
        <v>17.154767912952888</v>
      </c>
      <c r="H9" s="268">
        <f t="shared" ref="H9:H10" ca="1" si="2">+I9+J9</f>
        <v>13348.84</v>
      </c>
      <c r="I9" s="268">
        <v>6700</v>
      </c>
      <c r="J9" s="270">
        <f t="shared" ref="J9:K9" ca="1" si="3">J10+J11</f>
        <v>6648.8399999999992</v>
      </c>
      <c r="K9" s="271">
        <f t="shared" ca="1" si="3"/>
        <v>5528.3050000000003</v>
      </c>
      <c r="L9" s="269">
        <f t="shared" ref="L9:L114" ca="1" si="4">IF(H9&gt;0,K9*100/H9,0)</f>
        <v>41.414122875096261</v>
      </c>
      <c r="M9" s="271">
        <f ca="1">M10+M11</f>
        <v>4625.1500000000005</v>
      </c>
      <c r="N9" s="269">
        <f t="shared" ref="N9:N114" ca="1" si="5">IF($H9&gt;0,M9*100/$H9,0)</f>
        <v>34.648328993380701</v>
      </c>
      <c r="O9" s="271">
        <f ca="1">O10+O11</f>
        <v>3672.5200000000004</v>
      </c>
      <c r="P9" s="269">
        <f t="shared" ref="P9:P114" ca="1" si="6">IF($H9&gt;0,O9*100/$H9,0)</f>
        <v>27.51190365604802</v>
      </c>
      <c r="Q9" s="271">
        <f ca="1">Q10+Q11</f>
        <v>2758.52</v>
      </c>
      <c r="R9" s="269">
        <f t="shared" ref="R9:R114" ca="1" si="7">IF($H9&gt;0,Q9*100/$H9,0)</f>
        <v>20.664866759958169</v>
      </c>
      <c r="S9" s="271">
        <f ca="1">S10+S11</f>
        <v>483</v>
      </c>
      <c r="T9" s="269">
        <f t="shared" ref="T9:T114" ca="1" si="8">IF($H9&gt;0,S9*100/$H9,0)</f>
        <v>3.6182919264894928</v>
      </c>
      <c r="U9" s="271">
        <f ca="1">U10+U11</f>
        <v>267</v>
      </c>
      <c r="V9" s="269">
        <f t="shared" ref="V9:V114" ca="1" si="9">IF($H9&gt;0,U9*100/$H9,0)</f>
        <v>2.0001737978730736</v>
      </c>
      <c r="W9" s="271">
        <f t="shared" ref="W9:Y9" ca="1" si="10">W10+W11</f>
        <v>267</v>
      </c>
      <c r="X9" s="271">
        <f t="shared" ca="1" si="10"/>
        <v>0</v>
      </c>
      <c r="Y9" s="271">
        <f t="shared" ca="1" si="10"/>
        <v>267</v>
      </c>
      <c r="Z9" s="269">
        <f t="shared" ref="Z9:Z114" ca="1" si="11">IF($H9&gt;0,Y9*100/$H9,0)</f>
        <v>2.0001737978730736</v>
      </c>
      <c r="AA9" s="271">
        <f t="shared" ref="AA9:AD9" ca="1" si="12">AA10+AA11</f>
        <v>125</v>
      </c>
      <c r="AB9" s="271">
        <f t="shared" ca="1" si="12"/>
        <v>142</v>
      </c>
      <c r="AC9" s="271">
        <f t="shared" ca="1" si="12"/>
        <v>248</v>
      </c>
      <c r="AD9" s="271">
        <f t="shared" ca="1" si="12"/>
        <v>348</v>
      </c>
    </row>
    <row r="10" spans="1:30" ht="24" customHeight="1">
      <c r="A10" s="273" t="s">
        <v>35</v>
      </c>
      <c r="B10" s="274"/>
      <c r="C10" s="275">
        <f t="shared" ref="C10:F10" ca="1" si="13">+C15+C33+C54+C76</f>
        <v>630840</v>
      </c>
      <c r="D10" s="276">
        <f t="shared" ca="1" si="13"/>
        <v>0</v>
      </c>
      <c r="E10" s="276">
        <f t="shared" ca="1" si="13"/>
        <v>630840</v>
      </c>
      <c r="F10" s="276">
        <f t="shared" ca="1" si="13"/>
        <v>148200.04</v>
      </c>
      <c r="G10" s="277">
        <f t="shared" ca="1" si="1"/>
        <v>23.492492549616383</v>
      </c>
      <c r="H10" s="276">
        <f t="shared" ca="1" si="2"/>
        <v>13348.84</v>
      </c>
      <c r="I10" s="276">
        <v>6700</v>
      </c>
      <c r="J10" s="279">
        <f t="shared" ref="J10:K10" ca="1" si="14">+J15+J33+J54+J76</f>
        <v>6648.8399999999992</v>
      </c>
      <c r="K10" s="279">
        <f t="shared" ca="1" si="14"/>
        <v>5528.3050000000003</v>
      </c>
      <c r="L10" s="278">
        <f t="shared" ca="1" si="4"/>
        <v>41.414122875096261</v>
      </c>
      <c r="M10" s="279">
        <f ca="1">+M15+M33+M54+M76</f>
        <v>4625.1500000000005</v>
      </c>
      <c r="N10" s="278">
        <f t="shared" ca="1" si="5"/>
        <v>34.648328993380701</v>
      </c>
      <c r="O10" s="630">
        <f ca="1">+O15+O33+O54+O76</f>
        <v>3672.5200000000004</v>
      </c>
      <c r="P10" s="278">
        <f t="shared" ca="1" si="6"/>
        <v>27.51190365604802</v>
      </c>
      <c r="Q10" s="630">
        <f ca="1">+Q15+Q33+Q54+Q76</f>
        <v>2758.52</v>
      </c>
      <c r="R10" s="278">
        <f t="shared" ca="1" si="7"/>
        <v>20.664866759958169</v>
      </c>
      <c r="S10" s="630">
        <f ca="1">+S15+S33+S54+S76</f>
        <v>483</v>
      </c>
      <c r="T10" s="278">
        <f t="shared" ca="1" si="8"/>
        <v>3.6182919264894928</v>
      </c>
      <c r="U10" s="631">
        <f ca="1">+U15+U33+U54+U76</f>
        <v>267</v>
      </c>
      <c r="V10" s="278">
        <f t="shared" ca="1" si="9"/>
        <v>2.0001737978730736</v>
      </c>
      <c r="W10" s="631">
        <f t="shared" ref="W10:Y10" ca="1" si="15">+W15+W33+W54+W76</f>
        <v>267</v>
      </c>
      <c r="X10" s="631">
        <f t="shared" ca="1" si="15"/>
        <v>0</v>
      </c>
      <c r="Y10" s="279">
        <f t="shared" ca="1" si="15"/>
        <v>267</v>
      </c>
      <c r="Z10" s="278">
        <f t="shared" ca="1" si="11"/>
        <v>2.0001737978730736</v>
      </c>
      <c r="AA10" s="630">
        <f t="shared" ref="AA10:AD10" ca="1" si="16">+AA15+AA33+AA54+AA76</f>
        <v>125</v>
      </c>
      <c r="AB10" s="630">
        <f t="shared" ca="1" si="16"/>
        <v>142</v>
      </c>
      <c r="AC10" s="630">
        <f t="shared" ca="1" si="16"/>
        <v>248</v>
      </c>
      <c r="AD10" s="632">
        <f t="shared" ca="1" si="16"/>
        <v>348</v>
      </c>
    </row>
    <row r="11" spans="1:30" ht="24" customHeight="1">
      <c r="A11" s="281" t="s">
        <v>373</v>
      </c>
      <c r="B11" s="282"/>
      <c r="C11" s="283">
        <f t="shared" ref="C11:F11" ca="1" si="17">+C12+C13</f>
        <v>233060</v>
      </c>
      <c r="D11" s="284">
        <f t="shared" ca="1" si="17"/>
        <v>0</v>
      </c>
      <c r="E11" s="284">
        <f t="shared" ca="1" si="17"/>
        <v>233060</v>
      </c>
      <c r="F11" s="284">
        <f t="shared" ca="1" si="17"/>
        <v>0</v>
      </c>
      <c r="G11" s="285">
        <f t="shared" ca="1" si="1"/>
        <v>0</v>
      </c>
      <c r="H11" s="284">
        <v>0</v>
      </c>
      <c r="I11" s="284">
        <v>0</v>
      </c>
      <c r="J11" s="284">
        <v>0</v>
      </c>
      <c r="K11" s="284">
        <f>+K12+K13</f>
        <v>0</v>
      </c>
      <c r="L11" s="285">
        <f t="shared" si="4"/>
        <v>0</v>
      </c>
      <c r="M11" s="284">
        <f>+M12+M13</f>
        <v>0</v>
      </c>
      <c r="N11" s="285">
        <f t="shared" si="5"/>
        <v>0</v>
      </c>
      <c r="O11" s="284">
        <f>+O12+O13</f>
        <v>0</v>
      </c>
      <c r="P11" s="285">
        <f t="shared" si="6"/>
        <v>0</v>
      </c>
      <c r="Q11" s="284">
        <f>+Q12+Q13</f>
        <v>0</v>
      </c>
      <c r="R11" s="285">
        <f t="shared" si="7"/>
        <v>0</v>
      </c>
      <c r="S11" s="284">
        <f>+S12+S13</f>
        <v>0</v>
      </c>
      <c r="T11" s="285">
        <f t="shared" si="8"/>
        <v>0</v>
      </c>
      <c r="U11" s="633">
        <f>+U12+U13</f>
        <v>0</v>
      </c>
      <c r="V11" s="285">
        <f t="shared" si="9"/>
        <v>0</v>
      </c>
      <c r="W11" s="633">
        <f t="shared" ref="W11:Y11" si="18">+W12+W13</f>
        <v>0</v>
      </c>
      <c r="X11" s="633">
        <f t="shared" si="18"/>
        <v>0</v>
      </c>
      <c r="Y11" s="284">
        <f t="shared" si="18"/>
        <v>0</v>
      </c>
      <c r="Z11" s="285">
        <f t="shared" si="11"/>
        <v>0</v>
      </c>
      <c r="AA11" s="284">
        <f t="shared" ref="AA11:AD11" si="19">+AA12+AA13</f>
        <v>0</v>
      </c>
      <c r="AB11" s="284">
        <f t="shared" si="19"/>
        <v>0</v>
      </c>
      <c r="AC11" s="284">
        <f t="shared" si="19"/>
        <v>0</v>
      </c>
      <c r="AD11" s="604">
        <f t="shared" si="19"/>
        <v>0</v>
      </c>
    </row>
    <row r="12" spans="1:30" ht="24" hidden="1" customHeight="1">
      <c r="A12" s="281" t="s">
        <v>36</v>
      </c>
      <c r="B12" s="282"/>
      <c r="C12" s="283">
        <f t="shared" ref="C12:F12" ca="1" si="20">+C91</f>
        <v>233060</v>
      </c>
      <c r="D12" s="284">
        <f t="shared" ca="1" si="20"/>
        <v>0</v>
      </c>
      <c r="E12" s="284">
        <f t="shared" ca="1" si="20"/>
        <v>233060</v>
      </c>
      <c r="F12" s="284">
        <f t="shared" ca="1" si="20"/>
        <v>0</v>
      </c>
      <c r="G12" s="285">
        <f t="shared" ca="1" si="1"/>
        <v>0</v>
      </c>
      <c r="H12" s="284">
        <v>0</v>
      </c>
      <c r="I12" s="284">
        <v>0</v>
      </c>
      <c r="J12" s="284">
        <v>0</v>
      </c>
      <c r="K12" s="284">
        <f>+K91</f>
        <v>0</v>
      </c>
      <c r="L12" s="285">
        <f t="shared" si="4"/>
        <v>0</v>
      </c>
      <c r="M12" s="284">
        <f>+M91</f>
        <v>0</v>
      </c>
      <c r="N12" s="285">
        <f t="shared" si="5"/>
        <v>0</v>
      </c>
      <c r="O12" s="284">
        <f>+O91</f>
        <v>0</v>
      </c>
      <c r="P12" s="285">
        <f t="shared" si="6"/>
        <v>0</v>
      </c>
      <c r="Q12" s="284">
        <f>+Q91</f>
        <v>0</v>
      </c>
      <c r="R12" s="285">
        <f t="shared" si="7"/>
        <v>0</v>
      </c>
      <c r="S12" s="284">
        <f>+S91</f>
        <v>0</v>
      </c>
      <c r="T12" s="285">
        <f t="shared" si="8"/>
        <v>0</v>
      </c>
      <c r="U12" s="633">
        <f>+U91</f>
        <v>0</v>
      </c>
      <c r="V12" s="285">
        <f t="shared" si="9"/>
        <v>0</v>
      </c>
      <c r="W12" s="633">
        <f t="shared" ref="W12:Y12" si="21">+W91</f>
        <v>0</v>
      </c>
      <c r="X12" s="633">
        <f t="shared" si="21"/>
        <v>0</v>
      </c>
      <c r="Y12" s="284">
        <f t="shared" si="21"/>
        <v>0</v>
      </c>
      <c r="Z12" s="285">
        <f t="shared" si="11"/>
        <v>0</v>
      </c>
      <c r="AA12" s="284">
        <f t="shared" ref="AA12:AD12" si="22">+AA91</f>
        <v>0</v>
      </c>
      <c r="AB12" s="284">
        <f t="shared" si="22"/>
        <v>0</v>
      </c>
      <c r="AC12" s="284">
        <f t="shared" si="22"/>
        <v>0</v>
      </c>
      <c r="AD12" s="604">
        <f t="shared" si="22"/>
        <v>0</v>
      </c>
    </row>
    <row r="13" spans="1:30" ht="24" hidden="1" customHeight="1">
      <c r="A13" s="281" t="s">
        <v>37</v>
      </c>
      <c r="B13" s="282"/>
      <c r="C13" s="283">
        <f t="shared" ref="C13:E13" ca="1" si="23">+C106</f>
        <v>0</v>
      </c>
      <c r="D13" s="284">
        <f t="shared" ca="1" si="23"/>
        <v>0</v>
      </c>
      <c r="E13" s="284">
        <f t="shared" ca="1" si="23"/>
        <v>0</v>
      </c>
      <c r="F13" s="284"/>
      <c r="G13" s="285">
        <f t="shared" ca="1" si="1"/>
        <v>0</v>
      </c>
      <c r="H13" s="284">
        <v>0</v>
      </c>
      <c r="I13" s="284">
        <v>0</v>
      </c>
      <c r="J13" s="284">
        <v>0</v>
      </c>
      <c r="K13" s="284">
        <f>+K106</f>
        <v>0</v>
      </c>
      <c r="L13" s="285">
        <f t="shared" si="4"/>
        <v>0</v>
      </c>
      <c r="M13" s="284">
        <f>+M106</f>
        <v>0</v>
      </c>
      <c r="N13" s="285">
        <f t="shared" si="5"/>
        <v>0</v>
      </c>
      <c r="O13" s="284">
        <f>+O106</f>
        <v>0</v>
      </c>
      <c r="P13" s="285">
        <f t="shared" si="6"/>
        <v>0</v>
      </c>
      <c r="Q13" s="284">
        <f>+Q106</f>
        <v>0</v>
      </c>
      <c r="R13" s="285">
        <f t="shared" si="7"/>
        <v>0</v>
      </c>
      <c r="S13" s="284">
        <f>+S106</f>
        <v>0</v>
      </c>
      <c r="T13" s="285">
        <f t="shared" si="8"/>
        <v>0</v>
      </c>
      <c r="U13" s="633">
        <f>+U106</f>
        <v>0</v>
      </c>
      <c r="V13" s="285">
        <f t="shared" si="9"/>
        <v>0</v>
      </c>
      <c r="W13" s="633">
        <f t="shared" ref="W13:Y13" si="24">+W106</f>
        <v>0</v>
      </c>
      <c r="X13" s="633">
        <f t="shared" si="24"/>
        <v>0</v>
      </c>
      <c r="Y13" s="284">
        <f t="shared" si="24"/>
        <v>0</v>
      </c>
      <c r="Z13" s="285">
        <f t="shared" si="11"/>
        <v>0</v>
      </c>
      <c r="AA13" s="284">
        <f t="shared" ref="AA13:AD13" si="25">+AA106</f>
        <v>0</v>
      </c>
      <c r="AB13" s="284">
        <f t="shared" si="25"/>
        <v>0</v>
      </c>
      <c r="AC13" s="284">
        <f t="shared" si="25"/>
        <v>0</v>
      </c>
      <c r="AD13" s="604">
        <f t="shared" si="25"/>
        <v>0</v>
      </c>
    </row>
    <row r="14" spans="1:30" ht="24" hidden="1" customHeight="1">
      <c r="A14" s="287" t="s">
        <v>260</v>
      </c>
      <c r="B14" s="288"/>
      <c r="C14" s="289">
        <v>0</v>
      </c>
      <c r="D14" s="290">
        <v>0</v>
      </c>
      <c r="E14" s="290">
        <v>0</v>
      </c>
      <c r="F14" s="290"/>
      <c r="G14" s="291">
        <f t="shared" si="1"/>
        <v>0</v>
      </c>
      <c r="H14" s="290" t="e">
        <f>+#REF!+#REF!</f>
        <v>#REF!</v>
      </c>
      <c r="I14" s="290">
        <v>0</v>
      </c>
      <c r="J14" s="290">
        <v>0</v>
      </c>
      <c r="K14" s="290">
        <v>0</v>
      </c>
      <c r="L14" s="291" t="e">
        <f t="shared" si="4"/>
        <v>#REF!</v>
      </c>
      <c r="M14" s="290">
        <v>0</v>
      </c>
      <c r="N14" s="291" t="e">
        <f t="shared" si="5"/>
        <v>#REF!</v>
      </c>
      <c r="O14" s="290">
        <v>0</v>
      </c>
      <c r="P14" s="291" t="e">
        <f t="shared" si="6"/>
        <v>#REF!</v>
      </c>
      <c r="Q14" s="290">
        <v>0</v>
      </c>
      <c r="R14" s="291" t="e">
        <f t="shared" si="7"/>
        <v>#REF!</v>
      </c>
      <c r="S14" s="290">
        <v>0</v>
      </c>
      <c r="T14" s="291" t="e">
        <f t="shared" si="8"/>
        <v>#REF!</v>
      </c>
      <c r="U14" s="634">
        <v>0</v>
      </c>
      <c r="V14" s="291" t="e">
        <f t="shared" si="9"/>
        <v>#REF!</v>
      </c>
      <c r="W14" s="634">
        <v>0</v>
      </c>
      <c r="X14" s="634">
        <v>0</v>
      </c>
      <c r="Y14" s="290">
        <v>0</v>
      </c>
      <c r="Z14" s="291" t="e">
        <f t="shared" si="11"/>
        <v>#REF!</v>
      </c>
      <c r="AA14" s="290">
        <v>0</v>
      </c>
      <c r="AB14" s="290">
        <v>0</v>
      </c>
      <c r="AC14" s="290">
        <v>0</v>
      </c>
      <c r="AD14" s="605">
        <v>0</v>
      </c>
    </row>
    <row r="15" spans="1:30" ht="21" customHeight="1">
      <c r="A15" s="799" t="s">
        <v>39</v>
      </c>
      <c r="B15" s="652"/>
      <c r="C15" s="292">
        <f t="shared" ref="C15:F15" ca="1" si="26">SUM(C16:C32)</f>
        <v>135050</v>
      </c>
      <c r="D15" s="279">
        <f t="shared" ca="1" si="26"/>
        <v>0</v>
      </c>
      <c r="E15" s="279">
        <f t="shared" ca="1" si="26"/>
        <v>135050</v>
      </c>
      <c r="F15" s="278">
        <f t="shared" ca="1" si="26"/>
        <v>29916</v>
      </c>
      <c r="G15" s="278">
        <f t="shared" ca="1" si="1"/>
        <v>22.151795631247687</v>
      </c>
      <c r="H15" s="279">
        <v>1470</v>
      </c>
      <c r="I15" s="279">
        <v>1470</v>
      </c>
      <c r="J15" s="279">
        <f t="shared" ref="J15:K15" ca="1" si="27">SUM(J16:J32)</f>
        <v>3997</v>
      </c>
      <c r="K15" s="279">
        <f t="shared" ca="1" si="27"/>
        <v>1482.75</v>
      </c>
      <c r="L15" s="278">
        <f t="shared" ca="1" si="4"/>
        <v>100.86734693877551</v>
      </c>
      <c r="M15" s="279">
        <f ca="1">SUM(M16:M32)</f>
        <v>1275.75</v>
      </c>
      <c r="N15" s="278">
        <f t="shared" ca="1" si="5"/>
        <v>86.785714285714292</v>
      </c>
      <c r="O15" s="279">
        <f ca="1">SUM(O16:O32)</f>
        <v>399.75</v>
      </c>
      <c r="P15" s="278">
        <f t="shared" ca="1" si="6"/>
        <v>27.193877551020407</v>
      </c>
      <c r="Q15" s="279">
        <f ca="1">SUM(Q16:Q32)</f>
        <v>399.75</v>
      </c>
      <c r="R15" s="278">
        <f t="shared" ca="1" si="7"/>
        <v>27.193877551020407</v>
      </c>
      <c r="S15" s="279">
        <f ca="1">SUM(S16:S32)</f>
        <v>0</v>
      </c>
      <c r="T15" s="278">
        <f t="shared" ca="1" si="8"/>
        <v>0</v>
      </c>
      <c r="U15" s="635">
        <f ca="1">SUM(U16:U32)</f>
        <v>0</v>
      </c>
      <c r="V15" s="278">
        <f t="shared" ca="1" si="9"/>
        <v>0</v>
      </c>
      <c r="W15" s="635">
        <f t="shared" ref="W15:Y15" ca="1" si="28">SUM(W16:W32)</f>
        <v>0</v>
      </c>
      <c r="X15" s="635">
        <f t="shared" ca="1" si="28"/>
        <v>0</v>
      </c>
      <c r="Y15" s="279">
        <f t="shared" ca="1" si="28"/>
        <v>0</v>
      </c>
      <c r="Z15" s="278">
        <f t="shared" ca="1" si="11"/>
        <v>0</v>
      </c>
      <c r="AA15" s="279">
        <f t="shared" ref="AA15:AD15" ca="1" si="29">SUM(AA16:AA32)</f>
        <v>0</v>
      </c>
      <c r="AB15" s="279">
        <f t="shared" ca="1" si="29"/>
        <v>0</v>
      </c>
      <c r="AC15" s="279">
        <f t="shared" ca="1" si="29"/>
        <v>0</v>
      </c>
      <c r="AD15" s="603">
        <f t="shared" ca="1" si="29"/>
        <v>100</v>
      </c>
    </row>
    <row r="16" spans="1:30" ht="21" customHeight="1">
      <c r="A16" s="293">
        <v>1</v>
      </c>
      <c r="B16" s="357" t="s">
        <v>40</v>
      </c>
      <c r="C16" s="295">
        <f t="shared" ref="C16:C32" ca="1" si="30">+D16+E16</f>
        <v>8900</v>
      </c>
      <c r="D16" s="296">
        <f ca="1">IFERROR(__xludf.DUMMYFUNCTION("IMPORTRANGE(""https://docs.google.com/spreadsheets/d/1C3CXT74ZlgGe6_JY_1olB1XN4rF0dxEuIIF-xsYjHgg/edit?usp=sharing"",""งบกองทุน!EV20"")"),0)</f>
        <v>0</v>
      </c>
      <c r="E16" s="296">
        <f ca="1">IFERROR(__xludf.DUMMYFUNCTION("IMPORTRANGE(""https://docs.google.com/spreadsheets/d/1C3CXT74ZlgGe6_JY_1olB1XN4rF0dxEuIIF-xsYjHgg/edit?usp=sharing"",""งบกองทุน!EW20"")"),8900)</f>
        <v>8900</v>
      </c>
      <c r="F16" s="297">
        <f ca="1">IFERROR(__xludf.DUMMYFUNCTION("IMPORTRANGE(""https://docs.google.com/spreadsheets/d/11923uPwbBZFjjGgGUA6NLw09EwE0CqkOc4q9oUmW1yo/edit?usp=sharing"",""กำแพงเพชร!M492"")"),1200)</f>
        <v>1200</v>
      </c>
      <c r="G16" s="297">
        <f t="shared" ca="1" si="1"/>
        <v>13.48314606741573</v>
      </c>
      <c r="H16" s="636">
        <f t="shared" ref="H16:H32" ca="1" si="31">+I16+J16</f>
        <v>100</v>
      </c>
      <c r="I16" s="636">
        <f ca="1">IFERROR(__xludf.DUMMYFUNCTION("IMPORTRANGE(""https://docs.google.com/spreadsheets/d/1C3CXT74ZlgGe6_JY_1olB1XN4rF0dxEuIIF-xsYjHgg/edit?usp=sharing"",""งบกองทุน!EZ20"")"),100)</f>
        <v>100</v>
      </c>
      <c r="J16" s="636">
        <f ca="1">IFERROR(__xludf.DUMMYFUNCTION("IMPORTRANGE(""https://docs.google.com/spreadsheets/d/1C3CXT74ZlgGe6_JY_1olB1XN4rF0dxEuIIF-xsYjHgg/edit?usp=sharing"",""งบกองทุน!FF20"")"),0)</f>
        <v>0</v>
      </c>
      <c r="K16" s="296">
        <f ca="1">IFERROR(__xludf.DUMMYFUNCTION("IMPORTRANGE(""https://docs.google.com/spreadsheets/d/11923uPwbBZFjjGgGUA6NLw09EwE0CqkOc4q9oUmW1yo/edit?usp=sharing"",""กำแพงเพชร!J507"")"),0)</f>
        <v>0</v>
      </c>
      <c r="L16" s="297">
        <f t="shared" ca="1" si="4"/>
        <v>0</v>
      </c>
      <c r="M16" s="296">
        <f ca="1">IFERROR(__xludf.DUMMYFUNCTION("IMPORTRANGE(""https://docs.google.com/spreadsheets/d/11923uPwbBZFjjGgGUA6NLw09EwE0CqkOc4q9oUmW1yo/edit?usp=sharing"",""กำแพงเพชร!J508"")"),0)</f>
        <v>0</v>
      </c>
      <c r="N16" s="297">
        <f t="shared" ca="1" si="5"/>
        <v>0</v>
      </c>
      <c r="O16" s="296">
        <f ca="1">IFERROR(__xludf.DUMMYFUNCTION("IMPORTRANGE(""https://docs.google.com/spreadsheets/d/11923uPwbBZFjjGgGUA6NLw09EwE0CqkOc4q9oUmW1yo/edit?usp=sharing"",""กำแพงเพชร!J509"")"),0)</f>
        <v>0</v>
      </c>
      <c r="P16" s="297">
        <f t="shared" ca="1" si="6"/>
        <v>0</v>
      </c>
      <c r="Q16" s="296">
        <f ca="1">IFERROR(__xludf.DUMMYFUNCTION("IMPORTRANGE(""https://docs.google.com/spreadsheets/d/11923uPwbBZFjjGgGUA6NLw09EwE0CqkOc4q9oUmW1yo/edit?usp=sharing"",""กำแพงเพชร!J510"")"),0)</f>
        <v>0</v>
      </c>
      <c r="R16" s="297">
        <f t="shared" ca="1" si="7"/>
        <v>0</v>
      </c>
      <c r="S16" s="296">
        <f ca="1">IFERROR(__xludf.DUMMYFUNCTION("IMPORTRANGE(""https://docs.google.com/spreadsheets/d/11923uPwbBZFjjGgGUA6NLw09EwE0CqkOc4q9oUmW1yo/edit?usp=sharing"",""กำแพงเพชร!J511"")"),0)</f>
        <v>0</v>
      </c>
      <c r="T16" s="297">
        <f t="shared" ca="1" si="8"/>
        <v>0</v>
      </c>
      <c r="U16" s="637">
        <f t="shared" ref="U16:U32" ca="1" si="32">SUM(W16,X16)</f>
        <v>0</v>
      </c>
      <c r="V16" s="297">
        <f t="shared" ca="1" si="9"/>
        <v>0</v>
      </c>
      <c r="W16" s="637">
        <f ca="1">IFERROR(__xludf.DUMMYFUNCTION("IMPORTRANGE(""https://docs.google.com/spreadsheets/d/11923uPwbBZFjjGgGUA6NLw09EwE0CqkOc4q9oUmW1yo/edit?usp=sharing"",""กำแพงเพชร!J513"")"),0)</f>
        <v>0</v>
      </c>
      <c r="X16" s="637">
        <f ca="1">IFERROR(__xludf.DUMMYFUNCTION("IMPORTRANGE(""https://docs.google.com/spreadsheets/d/11923uPwbBZFjjGgGUA6NLw09EwE0CqkOc4q9oUmW1yo/edit?usp=sharing"",""กำแพงเพชร!J514"")"),0)</f>
        <v>0</v>
      </c>
      <c r="Y16" s="296">
        <f t="shared" ref="Y16:Y32" ca="1" si="33">SUM(AA16,AB16)</f>
        <v>0</v>
      </c>
      <c r="Z16" s="297">
        <f t="shared" ca="1" si="11"/>
        <v>0</v>
      </c>
      <c r="AA16" s="296">
        <f ca="1">IFERROR(__xludf.DUMMYFUNCTION("IMPORTRANGE(""https://docs.google.com/spreadsheets/d/11923uPwbBZFjjGgGUA6NLw09EwE0CqkOc4q9oUmW1yo/edit?usp=sharing"",""กำแพงเพชร!J517"")"),0)</f>
        <v>0</v>
      </c>
      <c r="AB16" s="296">
        <f ca="1">IFERROR(__xludf.DUMMYFUNCTION("IMPORTRANGE(""https://docs.google.com/spreadsheets/d/11923uPwbBZFjjGgGUA6NLw09EwE0CqkOc4q9oUmW1yo/edit?usp=sharing"",""กำแพงเพชร!J518"")"),0)</f>
        <v>0</v>
      </c>
      <c r="AC16" s="296">
        <f ca="1">IFERROR(__xludf.DUMMYFUNCTION("IMPORTRANGE(""https://docs.google.com/spreadsheets/d/11923uPwbBZFjjGgGUA6NLw09EwE0CqkOc4q9oUmW1yo/edit?usp=sharing"",""กำแพงเพชร!J520"")"),0)</f>
        <v>0</v>
      </c>
      <c r="AD16" s="607">
        <f ca="1">IFERROR(__xludf.DUMMYFUNCTION("IMPORTRANGE(""https://docs.google.com/spreadsheets/d/11923uPwbBZFjjGgGUA6NLw09EwE0CqkOc4q9oUmW1yo/edit?usp=sharing"",""กำแพงเพชร!J521"")"),0)</f>
        <v>0</v>
      </c>
    </row>
    <row r="17" spans="1:30" ht="24" customHeight="1">
      <c r="A17" s="303">
        <v>2</v>
      </c>
      <c r="B17" s="304" t="s">
        <v>41</v>
      </c>
      <c r="C17" s="305">
        <f t="shared" ca="1" si="30"/>
        <v>15500</v>
      </c>
      <c r="D17" s="306">
        <f ca="1">IFERROR(__xludf.DUMMYFUNCTION("IMPORTRANGE(""https://docs.google.com/spreadsheets/d/1C3CXT74ZlgGe6_JY_1olB1XN4rF0dxEuIIF-xsYjHgg/edit?usp=sharing"",""งบกองทุน!EV21"")"),0)</f>
        <v>0</v>
      </c>
      <c r="E17" s="306">
        <f ca="1">IFERROR(__xludf.DUMMYFUNCTION("IMPORTRANGE(""https://docs.google.com/spreadsheets/d/1C3CXT74ZlgGe6_JY_1olB1XN4rF0dxEuIIF-xsYjHgg/edit?usp=sharing"",""งบกองทุน!EW21"")"),15500)</f>
        <v>15500</v>
      </c>
      <c r="F17" s="307">
        <f ca="1">IFERROR(__xludf.DUMMYFUNCTION("IMPORTRANGE(""https://docs.google.com/spreadsheets/d/11923uPwbBZFjjGgGUA6NLw09EwE0CqkOc4q9oUmW1yo/edit?usp=sharing"",""เชียงราย!M492"")"),2600)</f>
        <v>2600</v>
      </c>
      <c r="G17" s="307">
        <f t="shared" ca="1" si="1"/>
        <v>16.774193548387096</v>
      </c>
      <c r="H17" s="638">
        <f t="shared" ca="1" si="31"/>
        <v>2508</v>
      </c>
      <c r="I17" s="638">
        <f ca="1">IFERROR(__xludf.DUMMYFUNCTION("IMPORTRANGE(""https://docs.google.com/spreadsheets/d/1C3CXT74ZlgGe6_JY_1olB1XN4rF0dxEuIIF-xsYjHgg/edit?usp=sharing"",""งบกองทุน!EZ21"")"),220)</f>
        <v>220</v>
      </c>
      <c r="J17" s="638">
        <f ca="1">IFERROR(__xludf.DUMMYFUNCTION("IMPORTRANGE(""https://docs.google.com/spreadsheets/d/1C3CXT74ZlgGe6_JY_1olB1XN4rF0dxEuIIF-xsYjHgg/edit?usp=sharing"",""งบกองทุน!FF21"")"),2288)</f>
        <v>2288</v>
      </c>
      <c r="K17" s="306">
        <f ca="1">IFERROR(__xludf.DUMMYFUNCTION("IMPORTRANGE(""https://docs.google.com/spreadsheets/d/11923uPwbBZFjjGgGUA6NLw09EwE0CqkOc4q9oUmW1yo/edit?usp=sharing"",""เชียงราย!J507"")"),876)</f>
        <v>876</v>
      </c>
      <c r="L17" s="307">
        <f t="shared" ca="1" si="4"/>
        <v>34.928229665071768</v>
      </c>
      <c r="M17" s="306">
        <f ca="1">IFERROR(__xludf.DUMMYFUNCTION("IMPORTRANGE(""https://docs.google.com/spreadsheets/d/11923uPwbBZFjjGgGUA6NLw09EwE0CqkOc4q9oUmW1yo/edit?usp=sharing"",""เชียงราย!J508"")"),876)</f>
        <v>876</v>
      </c>
      <c r="N17" s="307">
        <f t="shared" ca="1" si="5"/>
        <v>34.928229665071768</v>
      </c>
      <c r="O17" s="306">
        <f ca="1">IFERROR(__xludf.DUMMYFUNCTION("IMPORTRANGE(""https://docs.google.com/spreadsheets/d/11923uPwbBZFjjGgGUA6NLw09EwE0CqkOc4q9oUmW1yo/edit?usp=sharing"",""เชียงราย!J509"")"),0)</f>
        <v>0</v>
      </c>
      <c r="P17" s="307">
        <f t="shared" ca="1" si="6"/>
        <v>0</v>
      </c>
      <c r="Q17" s="306">
        <f ca="1">IFERROR(__xludf.DUMMYFUNCTION("IMPORTRANGE(""https://docs.google.com/spreadsheets/d/11923uPwbBZFjjGgGUA6NLw09EwE0CqkOc4q9oUmW1yo/edit?usp=sharing"",""เชียงราย!J510"")"),0)</f>
        <v>0</v>
      </c>
      <c r="R17" s="307">
        <f t="shared" ca="1" si="7"/>
        <v>0</v>
      </c>
      <c r="S17" s="306">
        <f ca="1">IFERROR(__xludf.DUMMYFUNCTION("IMPORTRANGE(""https://docs.google.com/spreadsheets/d/11923uPwbBZFjjGgGUA6NLw09EwE0CqkOc4q9oUmW1yo/edit?usp=sharing"",""เชียงราย!J511"")"),0)</f>
        <v>0</v>
      </c>
      <c r="T17" s="307">
        <f t="shared" ca="1" si="8"/>
        <v>0</v>
      </c>
      <c r="U17" s="639">
        <f t="shared" ca="1" si="32"/>
        <v>0</v>
      </c>
      <c r="V17" s="307">
        <f t="shared" ca="1" si="9"/>
        <v>0</v>
      </c>
      <c r="W17" s="639">
        <f ca="1">IFERROR(__xludf.DUMMYFUNCTION("IMPORTRANGE(""https://docs.google.com/spreadsheets/d/11923uPwbBZFjjGgGUA6NLw09EwE0CqkOc4q9oUmW1yo/edit?usp=sharing"",""เชียงราย!J513"")"),0)</f>
        <v>0</v>
      </c>
      <c r="X17" s="639">
        <f ca="1">IFERROR(__xludf.DUMMYFUNCTION("IMPORTRANGE(""https://docs.google.com/spreadsheets/d/11923uPwbBZFjjGgGUA6NLw09EwE0CqkOc4q9oUmW1yo/edit?usp=sharing"",""เชียงราย!J514"")"),0)</f>
        <v>0</v>
      </c>
      <c r="Y17" s="306">
        <f t="shared" ca="1" si="33"/>
        <v>0</v>
      </c>
      <c r="Z17" s="307">
        <f t="shared" ca="1" si="11"/>
        <v>0</v>
      </c>
      <c r="AA17" s="306">
        <f ca="1">IFERROR(__xludf.DUMMYFUNCTION("IMPORTRANGE(""https://docs.google.com/spreadsheets/d/11923uPwbBZFjjGgGUA6NLw09EwE0CqkOc4q9oUmW1yo/edit?usp=sharing"",""เชียงราย!J517"")"),0)</f>
        <v>0</v>
      </c>
      <c r="AB17" s="306">
        <f ca="1">IFERROR(__xludf.DUMMYFUNCTION("IMPORTRANGE(""https://docs.google.com/spreadsheets/d/11923uPwbBZFjjGgGUA6NLw09EwE0CqkOc4q9oUmW1yo/edit?usp=sharing"",""เชียงราย!J518"")"),0)</f>
        <v>0</v>
      </c>
      <c r="AC17" s="306">
        <f ca="1">IFERROR(__xludf.DUMMYFUNCTION("IMPORTRANGE(""https://docs.google.com/spreadsheets/d/11923uPwbBZFjjGgGUA6NLw09EwE0CqkOc4q9oUmW1yo/edit?usp=sharing"",""เชียงราย!J520"")"),0)</f>
        <v>0</v>
      </c>
      <c r="AD17" s="609">
        <f ca="1">IFERROR(__xludf.DUMMYFUNCTION("IMPORTRANGE(""https://docs.google.com/spreadsheets/d/11923uPwbBZFjjGgGUA6NLw09EwE0CqkOc4q9oUmW1yo/edit?usp=sharing"",""เชียงราย!J521"")"),0)</f>
        <v>0</v>
      </c>
    </row>
    <row r="18" spans="1:30" ht="21" customHeight="1">
      <c r="A18" s="303">
        <v>3</v>
      </c>
      <c r="B18" s="304" t="s">
        <v>42</v>
      </c>
      <c r="C18" s="305">
        <f t="shared" ca="1" si="30"/>
        <v>10900</v>
      </c>
      <c r="D18" s="306">
        <f ca="1">IFERROR(__xludf.DUMMYFUNCTION("IMPORTRANGE(""https://docs.google.com/spreadsheets/d/1C3CXT74ZlgGe6_JY_1olB1XN4rF0dxEuIIF-xsYjHgg/edit?usp=sharing"",""งบกองทุน!EV22"")"),0)</f>
        <v>0</v>
      </c>
      <c r="E18" s="306">
        <f ca="1">IFERROR(__xludf.DUMMYFUNCTION("IMPORTRANGE(""https://docs.google.com/spreadsheets/d/1C3CXT74ZlgGe6_JY_1olB1XN4rF0dxEuIIF-xsYjHgg/edit?usp=sharing"",""งบกองทุน!EW22"")"),10900)</f>
        <v>10900</v>
      </c>
      <c r="F18" s="307">
        <f ca="1">IFERROR(__xludf.DUMMYFUNCTION("IMPORTRANGE(""https://docs.google.com/spreadsheets/d/11923uPwbBZFjjGgGUA6NLw09EwE0CqkOc4q9oUmW1yo/edit?usp=sharing"",""เชียงใหม่!M492"")"),2380)</f>
        <v>2380</v>
      </c>
      <c r="G18" s="307">
        <f t="shared" ca="1" si="1"/>
        <v>21.834862385321102</v>
      </c>
      <c r="H18" s="638">
        <f t="shared" ca="1" si="31"/>
        <v>200</v>
      </c>
      <c r="I18" s="638">
        <f ca="1">IFERROR(__xludf.DUMMYFUNCTION("IMPORTRANGE(""https://docs.google.com/spreadsheets/d/1C3CXT74ZlgGe6_JY_1olB1XN4rF0dxEuIIF-xsYjHgg/edit?usp=sharing"",""งบกองทุน!EZ22"")"),100)</f>
        <v>100</v>
      </c>
      <c r="J18" s="638">
        <f ca="1">IFERROR(__xludf.DUMMYFUNCTION("IMPORTRANGE(""https://docs.google.com/spreadsheets/d/1C3CXT74ZlgGe6_JY_1olB1XN4rF0dxEuIIF-xsYjHgg/edit?usp=sharing"",""งบกองทุน!FF22"")"),100)</f>
        <v>100</v>
      </c>
      <c r="K18" s="306">
        <f ca="1">IFERROR(__xludf.DUMMYFUNCTION("IMPORTRANGE(""https://docs.google.com/spreadsheets/d/11923uPwbBZFjjGgGUA6NLw09EwE0CqkOc4q9oUmW1yo/edit?usp=sharing"",""เชียงใหม่!J507"")"),110.75)</f>
        <v>110.75</v>
      </c>
      <c r="L18" s="307">
        <f t="shared" ca="1" si="4"/>
        <v>55.375</v>
      </c>
      <c r="M18" s="306">
        <f ca="1">IFERROR(__xludf.DUMMYFUNCTION("IMPORTRANGE(""https://docs.google.com/spreadsheets/d/11923uPwbBZFjjGgGUA6NLw09EwE0CqkOc4q9oUmW1yo/edit?usp=sharing"",""เชียงใหม่!J508"")"),110.75)</f>
        <v>110.75</v>
      </c>
      <c r="N18" s="307">
        <f t="shared" ca="1" si="5"/>
        <v>55.375</v>
      </c>
      <c r="O18" s="306">
        <f ca="1">IFERROR(__xludf.DUMMYFUNCTION("IMPORTRANGE(""https://docs.google.com/spreadsheets/d/11923uPwbBZFjjGgGUA6NLw09EwE0CqkOc4q9oUmW1yo/edit?usp=sharing"",""เชียงใหม่!J509"")"),110.75)</f>
        <v>110.75</v>
      </c>
      <c r="P18" s="307">
        <f t="shared" ca="1" si="6"/>
        <v>55.375</v>
      </c>
      <c r="Q18" s="306">
        <f ca="1">IFERROR(__xludf.DUMMYFUNCTION("IMPORTRANGE(""https://docs.google.com/spreadsheets/d/11923uPwbBZFjjGgGUA6NLw09EwE0CqkOc4q9oUmW1yo/edit?usp=sharing"",""เชียงใหม่!J510"")"),110.75)</f>
        <v>110.75</v>
      </c>
      <c r="R18" s="307">
        <f t="shared" ca="1" si="7"/>
        <v>55.375</v>
      </c>
      <c r="S18" s="306">
        <f ca="1">IFERROR(__xludf.DUMMYFUNCTION("IMPORTRANGE(""https://docs.google.com/spreadsheets/d/11923uPwbBZFjjGgGUA6NLw09EwE0CqkOc4q9oUmW1yo/edit?usp=sharing"",""เชียงใหม่!J511"")"),0)</f>
        <v>0</v>
      </c>
      <c r="T18" s="307">
        <f t="shared" ca="1" si="8"/>
        <v>0</v>
      </c>
      <c r="U18" s="639">
        <f t="shared" ca="1" si="32"/>
        <v>0</v>
      </c>
      <c r="V18" s="307">
        <f t="shared" ca="1" si="9"/>
        <v>0</v>
      </c>
      <c r="W18" s="639">
        <f ca="1">IFERROR(__xludf.DUMMYFUNCTION("IMPORTRANGE(""https://docs.google.com/spreadsheets/d/11923uPwbBZFjjGgGUA6NLw09EwE0CqkOc4q9oUmW1yo/edit?usp=sharing"",""เชียงใหม่!J513"")"),0)</f>
        <v>0</v>
      </c>
      <c r="X18" s="639">
        <f ca="1">IFERROR(__xludf.DUMMYFUNCTION("IMPORTRANGE(""https://docs.google.com/spreadsheets/d/11923uPwbBZFjjGgGUA6NLw09EwE0CqkOc4q9oUmW1yo/edit?usp=sharing"",""เชียงใหม่!J514"")"),0)</f>
        <v>0</v>
      </c>
      <c r="Y18" s="306">
        <f t="shared" ca="1" si="33"/>
        <v>0</v>
      </c>
      <c r="Z18" s="307">
        <f t="shared" ca="1" si="11"/>
        <v>0</v>
      </c>
      <c r="AA18" s="306">
        <f ca="1">IFERROR(__xludf.DUMMYFUNCTION("IMPORTRANGE(""https://docs.google.com/spreadsheets/d/11923uPwbBZFjjGgGUA6NLw09EwE0CqkOc4q9oUmW1yo/edit?usp=sharing"",""เชียงใหม่!J517"")"),0)</f>
        <v>0</v>
      </c>
      <c r="AB18" s="306">
        <f ca="1">IFERROR(__xludf.DUMMYFUNCTION("IMPORTRANGE(""https://docs.google.com/spreadsheets/d/11923uPwbBZFjjGgGUA6NLw09EwE0CqkOc4q9oUmW1yo/edit?usp=sharing"",""เชียงใหม่!J518"")"),0)</f>
        <v>0</v>
      </c>
      <c r="AC18" s="306">
        <f ca="1">IFERROR(__xludf.DUMMYFUNCTION("IMPORTRANGE(""https://docs.google.com/spreadsheets/d/11923uPwbBZFjjGgGUA6NLw09EwE0CqkOc4q9oUmW1yo/edit?usp=sharing"",""เชียงใหม่!J520"")"),0)</f>
        <v>0</v>
      </c>
      <c r="AD18" s="609">
        <f ca="1">IFERROR(__xludf.DUMMYFUNCTION("IMPORTRANGE(""https://docs.google.com/spreadsheets/d/11923uPwbBZFjjGgGUA6NLw09EwE0CqkOc4q9oUmW1yo/edit?usp=sharing"",""เชียงใหม่!J521"")"),100)</f>
        <v>100</v>
      </c>
    </row>
    <row r="19" spans="1:30" ht="24" customHeight="1">
      <c r="A19" s="303">
        <v>4</v>
      </c>
      <c r="B19" s="304" t="s">
        <v>43</v>
      </c>
      <c r="C19" s="305">
        <f t="shared" ca="1" si="30"/>
        <v>8100</v>
      </c>
      <c r="D19" s="306">
        <f ca="1">IFERROR(__xludf.DUMMYFUNCTION("IMPORTRANGE(""https://docs.google.com/spreadsheets/d/1C3CXT74ZlgGe6_JY_1olB1XN4rF0dxEuIIF-xsYjHgg/edit?usp=sharing"",""งบกองทุน!EV23"")"),0)</f>
        <v>0</v>
      </c>
      <c r="E19" s="306">
        <f ca="1">IFERROR(__xludf.DUMMYFUNCTION("IMPORTRANGE(""https://docs.google.com/spreadsheets/d/1C3CXT74ZlgGe6_JY_1olB1XN4rF0dxEuIIF-xsYjHgg/edit?usp=sharing"",""งบกองทุน!EW23"")"),8100)</f>
        <v>8100</v>
      </c>
      <c r="F19" s="307">
        <f ca="1">IFERROR(__xludf.DUMMYFUNCTION("IMPORTRANGE(""https://docs.google.com/spreadsheets/d/11923uPwbBZFjjGgGUA6NLw09EwE0CqkOc4q9oUmW1yo/edit?usp=sharing"",""ตาก!M492"")"),800)</f>
        <v>800</v>
      </c>
      <c r="G19" s="307">
        <f t="shared" ca="1" si="1"/>
        <v>9.8765432098765427</v>
      </c>
      <c r="H19" s="638">
        <f t="shared" ca="1" si="31"/>
        <v>100</v>
      </c>
      <c r="I19" s="638">
        <f ca="1">IFERROR(__xludf.DUMMYFUNCTION("IMPORTRANGE(""https://docs.google.com/spreadsheets/d/1C3CXT74ZlgGe6_JY_1olB1XN4rF0dxEuIIF-xsYjHgg/edit?usp=sharing"",""งบกองทุน!EZ23"")"),100)</f>
        <v>100</v>
      </c>
      <c r="J19" s="638">
        <f ca="1">IFERROR(__xludf.DUMMYFUNCTION("IMPORTRANGE(""https://docs.google.com/spreadsheets/d/1C3CXT74ZlgGe6_JY_1olB1XN4rF0dxEuIIF-xsYjHgg/edit?usp=sharing"",""งบกองทุน!FF23"")"),0)</f>
        <v>0</v>
      </c>
      <c r="K19" s="306">
        <f ca="1">IFERROR(__xludf.DUMMYFUNCTION("IMPORTRANGE(""https://docs.google.com/spreadsheets/d/11923uPwbBZFjjGgGUA6NLw09EwE0CqkOc4q9oUmW1yo/edit?usp=sharing"",""ตาก!J507"")"),0)</f>
        <v>0</v>
      </c>
      <c r="L19" s="307">
        <f t="shared" ca="1" si="4"/>
        <v>0</v>
      </c>
      <c r="M19" s="306">
        <f ca="1">IFERROR(__xludf.DUMMYFUNCTION("IMPORTRANGE(""https://docs.google.com/spreadsheets/d/11923uPwbBZFjjGgGUA6NLw09EwE0CqkOc4q9oUmW1yo/edit?usp=sharing"",""ตาก!J508"")"),0)</f>
        <v>0</v>
      </c>
      <c r="N19" s="307">
        <f t="shared" ca="1" si="5"/>
        <v>0</v>
      </c>
      <c r="O19" s="306">
        <f ca="1">IFERROR(__xludf.DUMMYFUNCTION("IMPORTRANGE(""https://docs.google.com/spreadsheets/d/11923uPwbBZFjjGgGUA6NLw09EwE0CqkOc4q9oUmW1yo/edit?usp=sharing"",""ตาก!J509"")"),0)</f>
        <v>0</v>
      </c>
      <c r="P19" s="307">
        <f t="shared" ca="1" si="6"/>
        <v>0</v>
      </c>
      <c r="Q19" s="306">
        <f ca="1">IFERROR(__xludf.DUMMYFUNCTION("IMPORTRANGE(""https://docs.google.com/spreadsheets/d/11923uPwbBZFjjGgGUA6NLw09EwE0CqkOc4q9oUmW1yo/edit?usp=sharing"",""ตาก!J510"")"),0)</f>
        <v>0</v>
      </c>
      <c r="R19" s="307">
        <f t="shared" ca="1" si="7"/>
        <v>0</v>
      </c>
      <c r="S19" s="306">
        <f ca="1">IFERROR(__xludf.DUMMYFUNCTION("IMPORTRANGE(""https://docs.google.com/spreadsheets/d/11923uPwbBZFjjGgGUA6NLw09EwE0CqkOc4q9oUmW1yo/edit?usp=sharing"",""ตาก!J511"")"),0)</f>
        <v>0</v>
      </c>
      <c r="T19" s="307">
        <f t="shared" ca="1" si="8"/>
        <v>0</v>
      </c>
      <c r="U19" s="639">
        <f t="shared" ca="1" si="32"/>
        <v>0</v>
      </c>
      <c r="V19" s="307">
        <f t="shared" ca="1" si="9"/>
        <v>0</v>
      </c>
      <c r="W19" s="639">
        <f ca="1">IFERROR(__xludf.DUMMYFUNCTION("IMPORTRANGE(""https://docs.google.com/spreadsheets/d/11923uPwbBZFjjGgGUA6NLw09EwE0CqkOc4q9oUmW1yo/edit?usp=sharing"",""ตาก!J513"")"),0)</f>
        <v>0</v>
      </c>
      <c r="X19" s="639">
        <f ca="1">IFERROR(__xludf.DUMMYFUNCTION("IMPORTRANGE(""https://docs.google.com/spreadsheets/d/11923uPwbBZFjjGgGUA6NLw09EwE0CqkOc4q9oUmW1yo/edit?usp=sharing"",""ตาก!J514"")"),0)</f>
        <v>0</v>
      </c>
      <c r="Y19" s="306">
        <f t="shared" ca="1" si="33"/>
        <v>0</v>
      </c>
      <c r="Z19" s="307">
        <f t="shared" ca="1" si="11"/>
        <v>0</v>
      </c>
      <c r="AA19" s="306">
        <f ca="1">IFERROR(__xludf.DUMMYFUNCTION("IMPORTRANGE(""https://docs.google.com/spreadsheets/d/11923uPwbBZFjjGgGUA6NLw09EwE0CqkOc4q9oUmW1yo/edit?usp=sharing"",""ตาก!J517"")"),0)</f>
        <v>0</v>
      </c>
      <c r="AB19" s="306">
        <f ca="1">IFERROR(__xludf.DUMMYFUNCTION("IMPORTRANGE(""https://docs.google.com/spreadsheets/d/11923uPwbBZFjjGgGUA6NLw09EwE0CqkOc4q9oUmW1yo/edit?usp=sharing"",""ตาก!J518"")"),0)</f>
        <v>0</v>
      </c>
      <c r="AC19" s="306">
        <f ca="1">IFERROR(__xludf.DUMMYFUNCTION("IMPORTRANGE(""https://docs.google.com/spreadsheets/d/11923uPwbBZFjjGgGUA6NLw09EwE0CqkOc4q9oUmW1yo/edit?usp=sharing"",""ตาก!J520"")"),0)</f>
        <v>0</v>
      </c>
      <c r="AD19" s="609">
        <f ca="1">IFERROR(__xludf.DUMMYFUNCTION("IMPORTRANGE(""https://docs.google.com/spreadsheets/d/11923uPwbBZFjjGgGUA6NLw09EwE0CqkOc4q9oUmW1yo/edit?usp=sharing"",""ตาก!J521"")"),0)</f>
        <v>0</v>
      </c>
    </row>
    <row r="20" spans="1:30" ht="21" customHeight="1">
      <c r="A20" s="303">
        <v>5</v>
      </c>
      <c r="B20" s="304" t="s">
        <v>44</v>
      </c>
      <c r="C20" s="305">
        <f t="shared" ca="1" si="30"/>
        <v>5350</v>
      </c>
      <c r="D20" s="306">
        <f ca="1">IFERROR(__xludf.DUMMYFUNCTION("IMPORTRANGE(""https://docs.google.com/spreadsheets/d/1C3CXT74ZlgGe6_JY_1olB1XN4rF0dxEuIIF-xsYjHgg/edit?usp=sharing"",""งบกองทุน!EV24"")"),0)</f>
        <v>0</v>
      </c>
      <c r="E20" s="306">
        <f ca="1">IFERROR(__xludf.DUMMYFUNCTION("IMPORTRANGE(""https://docs.google.com/spreadsheets/d/1C3CXT74ZlgGe6_JY_1olB1XN4rF0dxEuIIF-xsYjHgg/edit?usp=sharing"",""งบกองทุน!EW24"")"),5350)</f>
        <v>5350</v>
      </c>
      <c r="F20" s="307">
        <f ca="1">IFERROR(__xludf.DUMMYFUNCTION("IMPORTRANGE(""https://docs.google.com/spreadsheets/d/11923uPwbBZFjjGgGUA6NLw09EwE0CqkOc4q9oUmW1yo/edit?usp=sharing"",""นครสวรรค์!M492"")"),800)</f>
        <v>800</v>
      </c>
      <c r="G20" s="307">
        <f t="shared" ca="1" si="1"/>
        <v>14.953271028037383</v>
      </c>
      <c r="H20" s="638">
        <f t="shared" ca="1" si="31"/>
        <v>50</v>
      </c>
      <c r="I20" s="638">
        <f ca="1">IFERROR(__xludf.DUMMYFUNCTION("IMPORTRANGE(""https://docs.google.com/spreadsheets/d/1C3CXT74ZlgGe6_JY_1olB1XN4rF0dxEuIIF-xsYjHgg/edit?usp=sharing"",""งบกองทุน!EZ24"")"),50)</f>
        <v>50</v>
      </c>
      <c r="J20" s="638">
        <f ca="1">IFERROR(__xludf.DUMMYFUNCTION("IMPORTRANGE(""https://docs.google.com/spreadsheets/d/1C3CXT74ZlgGe6_JY_1olB1XN4rF0dxEuIIF-xsYjHgg/edit?usp=sharing"",""งบกองทุน!FF24"")"),0)</f>
        <v>0</v>
      </c>
      <c r="K20" s="306">
        <f ca="1">IFERROR(__xludf.DUMMYFUNCTION("IMPORTRANGE(""https://docs.google.com/spreadsheets/d/11923uPwbBZFjjGgGUA6NLw09EwE0CqkOc4q9oUmW1yo/edit?usp=sharing"",""นครสวรรค์!J507"")"),14)</f>
        <v>14</v>
      </c>
      <c r="L20" s="307">
        <f t="shared" ca="1" si="4"/>
        <v>28</v>
      </c>
      <c r="M20" s="306">
        <f ca="1">IFERROR(__xludf.DUMMYFUNCTION("IMPORTRANGE(""https://docs.google.com/spreadsheets/d/11923uPwbBZFjjGgGUA6NLw09EwE0CqkOc4q9oUmW1yo/edit?usp=sharing"",""นครสวรรค์!J508"")"),0)</f>
        <v>0</v>
      </c>
      <c r="N20" s="307">
        <f t="shared" ca="1" si="5"/>
        <v>0</v>
      </c>
      <c r="O20" s="306">
        <f ca="1">IFERROR(__xludf.DUMMYFUNCTION("IMPORTRANGE(""https://docs.google.com/spreadsheets/d/11923uPwbBZFjjGgGUA6NLw09EwE0CqkOc4q9oUmW1yo/edit?usp=sharing"",""นครสวรรค์!J509"")"),0)</f>
        <v>0</v>
      </c>
      <c r="P20" s="307">
        <f t="shared" ca="1" si="6"/>
        <v>0</v>
      </c>
      <c r="Q20" s="306">
        <f ca="1">IFERROR(__xludf.DUMMYFUNCTION("IMPORTRANGE(""https://docs.google.com/spreadsheets/d/11923uPwbBZFjjGgGUA6NLw09EwE0CqkOc4q9oUmW1yo/edit?usp=sharing"",""นครสวรรค์!J510"")"),0)</f>
        <v>0</v>
      </c>
      <c r="R20" s="307">
        <f t="shared" ca="1" si="7"/>
        <v>0</v>
      </c>
      <c r="S20" s="306">
        <f ca="1">IFERROR(__xludf.DUMMYFUNCTION("IMPORTRANGE(""https://docs.google.com/spreadsheets/d/11923uPwbBZFjjGgGUA6NLw09EwE0CqkOc4q9oUmW1yo/edit?usp=sharing"",""นครสวรรค์!J511"")"),0)</f>
        <v>0</v>
      </c>
      <c r="T20" s="307">
        <f t="shared" ca="1" si="8"/>
        <v>0</v>
      </c>
      <c r="U20" s="639">
        <f t="shared" ca="1" si="32"/>
        <v>0</v>
      </c>
      <c r="V20" s="307">
        <f t="shared" ca="1" si="9"/>
        <v>0</v>
      </c>
      <c r="W20" s="639">
        <f ca="1">IFERROR(__xludf.DUMMYFUNCTION("IMPORTRANGE(""https://docs.google.com/spreadsheets/d/11923uPwbBZFjjGgGUA6NLw09EwE0CqkOc4q9oUmW1yo/edit?usp=sharing"",""นครสวรรค์!J513"")"),0)</f>
        <v>0</v>
      </c>
      <c r="X20" s="639">
        <f ca="1">IFERROR(__xludf.DUMMYFUNCTION("IMPORTRANGE(""https://docs.google.com/spreadsheets/d/11923uPwbBZFjjGgGUA6NLw09EwE0CqkOc4q9oUmW1yo/edit?usp=sharing"",""นครสวรรค์!J514"")"),0)</f>
        <v>0</v>
      </c>
      <c r="Y20" s="306">
        <f t="shared" ca="1" si="33"/>
        <v>0</v>
      </c>
      <c r="Z20" s="307">
        <f t="shared" ca="1" si="11"/>
        <v>0</v>
      </c>
      <c r="AA20" s="306">
        <f ca="1">IFERROR(__xludf.DUMMYFUNCTION("IMPORTRANGE(""https://docs.google.com/spreadsheets/d/11923uPwbBZFjjGgGUA6NLw09EwE0CqkOc4q9oUmW1yo/edit?usp=sharing"",""นครสวรรค์!J517"")"),0)</f>
        <v>0</v>
      </c>
      <c r="AB20" s="306">
        <f ca="1">IFERROR(__xludf.DUMMYFUNCTION("IMPORTRANGE(""https://docs.google.com/spreadsheets/d/11923uPwbBZFjjGgGUA6NLw09EwE0CqkOc4q9oUmW1yo/edit?usp=sharing"",""นครสวรรค์!J518"")"),0)</f>
        <v>0</v>
      </c>
      <c r="AC20" s="306">
        <f ca="1">IFERROR(__xludf.DUMMYFUNCTION("IMPORTRANGE(""https://docs.google.com/spreadsheets/d/11923uPwbBZFjjGgGUA6NLw09EwE0CqkOc4q9oUmW1yo/edit?usp=sharing"",""นครสวรรค์!J520"")"),0)</f>
        <v>0</v>
      </c>
      <c r="AD20" s="609">
        <f ca="1">IFERROR(__xludf.DUMMYFUNCTION("IMPORTRANGE(""https://docs.google.com/spreadsheets/d/11923uPwbBZFjjGgGUA6NLw09EwE0CqkOc4q9oUmW1yo/edit?usp=sharing"",""นครสวรรค์!J521"")"),0)</f>
        <v>0</v>
      </c>
    </row>
    <row r="21" spans="1:30" ht="21" customHeight="1">
      <c r="A21" s="303">
        <v>6</v>
      </c>
      <c r="B21" s="304" t="s">
        <v>45</v>
      </c>
      <c r="C21" s="305">
        <f t="shared" ca="1" si="30"/>
        <v>8900</v>
      </c>
      <c r="D21" s="306">
        <f ca="1">IFERROR(__xludf.DUMMYFUNCTION("IMPORTRANGE(""https://docs.google.com/spreadsheets/d/1C3CXT74ZlgGe6_JY_1olB1XN4rF0dxEuIIF-xsYjHgg/edit?usp=sharing"",""งบกองทุน!EV25"")"),0)</f>
        <v>0</v>
      </c>
      <c r="E21" s="306">
        <f ca="1">IFERROR(__xludf.DUMMYFUNCTION("IMPORTRANGE(""https://docs.google.com/spreadsheets/d/1C3CXT74ZlgGe6_JY_1olB1XN4rF0dxEuIIF-xsYjHgg/edit?usp=sharing"",""งบกองทุน!EW25"")"),8900)</f>
        <v>8900</v>
      </c>
      <c r="F21" s="307">
        <f ca="1">IFERROR(__xludf.DUMMYFUNCTION("IMPORTRANGE(""https://docs.google.com/spreadsheets/d/11923uPwbBZFjjGgGUA6NLw09EwE0CqkOc4q9oUmW1yo/edit?usp=sharing"",""น่าน!M492"")"),1800)</f>
        <v>1800</v>
      </c>
      <c r="G21" s="307">
        <f t="shared" ca="1" si="1"/>
        <v>20.224719101123597</v>
      </c>
      <c r="H21" s="638">
        <f t="shared" ca="1" si="31"/>
        <v>100</v>
      </c>
      <c r="I21" s="638">
        <f ca="1">IFERROR(__xludf.DUMMYFUNCTION("IMPORTRANGE(""https://docs.google.com/spreadsheets/d/1C3CXT74ZlgGe6_JY_1olB1XN4rF0dxEuIIF-xsYjHgg/edit?usp=sharing"",""งบกองทุน!EZ25"")"),100)</f>
        <v>100</v>
      </c>
      <c r="J21" s="638">
        <f ca="1">IFERROR(__xludf.DUMMYFUNCTION("IMPORTRANGE(""https://docs.google.com/spreadsheets/d/1C3CXT74ZlgGe6_JY_1olB1XN4rF0dxEuIIF-xsYjHgg/edit?usp=sharing"",""งบกองทุน!FF25"")"),0)</f>
        <v>0</v>
      </c>
      <c r="K21" s="306">
        <f ca="1">IFERROR(__xludf.DUMMYFUNCTION("IMPORTRANGE(""https://docs.google.com/spreadsheets/d/11923uPwbBZFjjGgGUA6NLw09EwE0CqkOc4q9oUmW1yo/edit?usp=sharing"",""น่าน!J507"")"),164)</f>
        <v>164</v>
      </c>
      <c r="L21" s="307">
        <f t="shared" ca="1" si="4"/>
        <v>164</v>
      </c>
      <c r="M21" s="306">
        <f ca="1">IFERROR(__xludf.DUMMYFUNCTION("IMPORTRANGE(""https://docs.google.com/spreadsheets/d/11923uPwbBZFjjGgGUA6NLw09EwE0CqkOc4q9oUmW1yo/edit?usp=sharing"",""น่าน!J508"")"),129)</f>
        <v>129</v>
      </c>
      <c r="N21" s="307">
        <f t="shared" ca="1" si="5"/>
        <v>129</v>
      </c>
      <c r="O21" s="306">
        <f ca="1">IFERROR(__xludf.DUMMYFUNCTION("IMPORTRANGE(""https://docs.google.com/spreadsheets/d/11923uPwbBZFjjGgGUA6NLw09EwE0CqkOc4q9oUmW1yo/edit?usp=sharing"",""น่าน!J509"")"),129)</f>
        <v>129</v>
      </c>
      <c r="P21" s="307">
        <f t="shared" ca="1" si="6"/>
        <v>129</v>
      </c>
      <c r="Q21" s="306">
        <f ca="1">IFERROR(__xludf.DUMMYFUNCTION("IMPORTRANGE(""https://docs.google.com/spreadsheets/d/11923uPwbBZFjjGgGUA6NLw09EwE0CqkOc4q9oUmW1yo/edit?usp=sharing"",""น่าน!J510"")"),129)</f>
        <v>129</v>
      </c>
      <c r="R21" s="307">
        <f t="shared" ca="1" si="7"/>
        <v>129</v>
      </c>
      <c r="S21" s="306">
        <f ca="1">IFERROR(__xludf.DUMMYFUNCTION("IMPORTRANGE(""https://docs.google.com/spreadsheets/d/11923uPwbBZFjjGgGUA6NLw09EwE0CqkOc4q9oUmW1yo/edit?usp=sharing"",""น่าน!J511"")"),0)</f>
        <v>0</v>
      </c>
      <c r="T21" s="307">
        <f t="shared" ca="1" si="8"/>
        <v>0</v>
      </c>
      <c r="U21" s="639">
        <f t="shared" ca="1" si="32"/>
        <v>0</v>
      </c>
      <c r="V21" s="307">
        <f t="shared" ca="1" si="9"/>
        <v>0</v>
      </c>
      <c r="W21" s="639">
        <f ca="1">IFERROR(__xludf.DUMMYFUNCTION("IMPORTRANGE(""https://docs.google.com/spreadsheets/d/11923uPwbBZFjjGgGUA6NLw09EwE0CqkOc4q9oUmW1yo/edit?usp=sharing"",""น่าน!J513"")"),0)</f>
        <v>0</v>
      </c>
      <c r="X21" s="639">
        <f ca="1">IFERROR(__xludf.DUMMYFUNCTION("IMPORTRANGE(""https://docs.google.com/spreadsheets/d/11923uPwbBZFjjGgGUA6NLw09EwE0CqkOc4q9oUmW1yo/edit?usp=sharing"",""น่าน!J514"")"),0)</f>
        <v>0</v>
      </c>
      <c r="Y21" s="306">
        <f t="shared" ca="1" si="33"/>
        <v>0</v>
      </c>
      <c r="Z21" s="307">
        <f t="shared" ca="1" si="11"/>
        <v>0</v>
      </c>
      <c r="AA21" s="306">
        <f ca="1">IFERROR(__xludf.DUMMYFUNCTION("IMPORTRANGE(""https://docs.google.com/spreadsheets/d/11923uPwbBZFjjGgGUA6NLw09EwE0CqkOc4q9oUmW1yo/edit?usp=sharing"",""น่าน!J517"")"),0)</f>
        <v>0</v>
      </c>
      <c r="AB21" s="306">
        <f ca="1">IFERROR(__xludf.DUMMYFUNCTION("IMPORTRANGE(""https://docs.google.com/spreadsheets/d/11923uPwbBZFjjGgGUA6NLw09EwE0CqkOc4q9oUmW1yo/edit?usp=sharing"",""น่าน!J518"")"),0)</f>
        <v>0</v>
      </c>
      <c r="AC21" s="306">
        <f ca="1">IFERROR(__xludf.DUMMYFUNCTION("IMPORTRANGE(""https://docs.google.com/spreadsheets/d/11923uPwbBZFjjGgGUA6NLw09EwE0CqkOc4q9oUmW1yo/edit?usp=sharing"",""น่าน!J520"")"),0)</f>
        <v>0</v>
      </c>
      <c r="AD21" s="609">
        <f ca="1">IFERROR(__xludf.DUMMYFUNCTION("IMPORTRANGE(""https://docs.google.com/spreadsheets/d/11923uPwbBZFjjGgGUA6NLw09EwE0CqkOc4q9oUmW1yo/edit?usp=sharing"",""น่าน!J521"")"),0)</f>
        <v>0</v>
      </c>
    </row>
    <row r="22" spans="1:30" ht="21" customHeight="1">
      <c r="A22" s="303">
        <v>7</v>
      </c>
      <c r="B22" s="304" t="s">
        <v>46</v>
      </c>
      <c r="C22" s="305">
        <f t="shared" ca="1" si="30"/>
        <v>14050</v>
      </c>
      <c r="D22" s="306">
        <f ca="1">IFERROR(__xludf.DUMMYFUNCTION("IMPORTRANGE(""https://docs.google.com/spreadsheets/d/1C3CXT74ZlgGe6_JY_1olB1XN4rF0dxEuIIF-xsYjHgg/edit?usp=sharing"",""งบกองทุน!EV26"")"),0)</f>
        <v>0</v>
      </c>
      <c r="E22" s="306">
        <f ca="1">IFERROR(__xludf.DUMMYFUNCTION("IMPORTRANGE(""https://docs.google.com/spreadsheets/d/1C3CXT74ZlgGe6_JY_1olB1XN4rF0dxEuIIF-xsYjHgg/edit?usp=sharing"",""งบกองทุน!EW26"")"),14050)</f>
        <v>14050</v>
      </c>
      <c r="F22" s="307">
        <f ca="1">IFERROR(__xludf.DUMMYFUNCTION("IMPORTRANGE(""https://docs.google.com/spreadsheets/d/11923uPwbBZFjjGgGUA6NLw09EwE0CqkOc4q9oUmW1yo/edit?usp=sharing"",""พะเยา!M492"")"),2100)</f>
        <v>2100</v>
      </c>
      <c r="G22" s="307">
        <f t="shared" ca="1" si="1"/>
        <v>14.946619217081851</v>
      </c>
      <c r="H22" s="638">
        <f t="shared" ca="1" si="31"/>
        <v>150</v>
      </c>
      <c r="I22" s="638">
        <f ca="1">IFERROR(__xludf.DUMMYFUNCTION("IMPORTRANGE(""https://docs.google.com/spreadsheets/d/1C3CXT74ZlgGe6_JY_1olB1XN4rF0dxEuIIF-xsYjHgg/edit?usp=sharing"",""งบกองทุน!EZ26"")"),150)</f>
        <v>150</v>
      </c>
      <c r="J22" s="638">
        <f ca="1">IFERROR(__xludf.DUMMYFUNCTION("IMPORTRANGE(""https://docs.google.com/spreadsheets/d/1C3CXT74ZlgGe6_JY_1olB1XN4rF0dxEuIIF-xsYjHgg/edit?usp=sharing"",""งบกองทุน!FF26"")"),0)</f>
        <v>0</v>
      </c>
      <c r="K22" s="306">
        <f ca="1">IFERROR(__xludf.DUMMYFUNCTION("IMPORTRANGE(""https://docs.google.com/spreadsheets/d/11923uPwbBZFjjGgGUA6NLw09EwE0CqkOc4q9oUmW1yo/edit?usp=sharing"",""พะเยา!J507"")"),0)</f>
        <v>0</v>
      </c>
      <c r="L22" s="307">
        <f t="shared" ca="1" si="4"/>
        <v>0</v>
      </c>
      <c r="M22" s="306">
        <f ca="1">IFERROR(__xludf.DUMMYFUNCTION("IMPORTRANGE(""https://docs.google.com/spreadsheets/d/11923uPwbBZFjjGgGUA6NLw09EwE0CqkOc4q9oUmW1yo/edit?usp=sharing"",""พะเยา!J508"")"),0)</f>
        <v>0</v>
      </c>
      <c r="N22" s="307">
        <f t="shared" ca="1" si="5"/>
        <v>0</v>
      </c>
      <c r="O22" s="306">
        <f ca="1">IFERROR(__xludf.DUMMYFUNCTION("IMPORTRANGE(""https://docs.google.com/spreadsheets/d/11923uPwbBZFjjGgGUA6NLw09EwE0CqkOc4q9oUmW1yo/edit?usp=sharing"",""พะเยา!J509"")"),0)</f>
        <v>0</v>
      </c>
      <c r="P22" s="307">
        <f t="shared" ca="1" si="6"/>
        <v>0</v>
      </c>
      <c r="Q22" s="306">
        <f ca="1">IFERROR(__xludf.DUMMYFUNCTION("IMPORTRANGE(""https://docs.google.com/spreadsheets/d/11923uPwbBZFjjGgGUA6NLw09EwE0CqkOc4q9oUmW1yo/edit?usp=sharing"",""พะเยา!J510"")"),0)</f>
        <v>0</v>
      </c>
      <c r="R22" s="307">
        <f t="shared" ca="1" si="7"/>
        <v>0</v>
      </c>
      <c r="S22" s="306">
        <f ca="1">IFERROR(__xludf.DUMMYFUNCTION("IMPORTRANGE(""https://docs.google.com/spreadsheets/d/11923uPwbBZFjjGgGUA6NLw09EwE0CqkOc4q9oUmW1yo/edit?usp=sharing"",""พะเยา!J511"")"),0)</f>
        <v>0</v>
      </c>
      <c r="T22" s="307">
        <f t="shared" ca="1" si="8"/>
        <v>0</v>
      </c>
      <c r="U22" s="639">
        <f t="shared" ca="1" si="32"/>
        <v>0</v>
      </c>
      <c r="V22" s="307">
        <f t="shared" ca="1" si="9"/>
        <v>0</v>
      </c>
      <c r="W22" s="639">
        <f ca="1">IFERROR(__xludf.DUMMYFUNCTION("IMPORTRANGE(""https://docs.google.com/spreadsheets/d/11923uPwbBZFjjGgGUA6NLw09EwE0CqkOc4q9oUmW1yo/edit?usp=sharing"",""พะเยา!J513"")"),0)</f>
        <v>0</v>
      </c>
      <c r="X22" s="639">
        <f ca="1">IFERROR(__xludf.DUMMYFUNCTION("IMPORTRANGE(""https://docs.google.com/spreadsheets/d/11923uPwbBZFjjGgGUA6NLw09EwE0CqkOc4q9oUmW1yo/edit?usp=sharing"",""พะเยา!J514"")"),0)</f>
        <v>0</v>
      </c>
      <c r="Y22" s="306">
        <f t="shared" ca="1" si="33"/>
        <v>0</v>
      </c>
      <c r="Z22" s="307">
        <f t="shared" ca="1" si="11"/>
        <v>0</v>
      </c>
      <c r="AA22" s="306">
        <f ca="1">IFERROR(__xludf.DUMMYFUNCTION("IMPORTRANGE(""https://docs.google.com/spreadsheets/d/11923uPwbBZFjjGgGUA6NLw09EwE0CqkOc4q9oUmW1yo/edit?usp=sharing"",""พะเยา!J517"")"),0)</f>
        <v>0</v>
      </c>
      <c r="AB22" s="306">
        <f ca="1">IFERROR(__xludf.DUMMYFUNCTION("IMPORTRANGE(""https://docs.google.com/spreadsheets/d/11923uPwbBZFjjGgGUA6NLw09EwE0CqkOc4q9oUmW1yo/edit?usp=sharing"",""พะเยา!J518"")"),0)</f>
        <v>0</v>
      </c>
      <c r="AC22" s="306">
        <f ca="1">IFERROR(__xludf.DUMMYFUNCTION("IMPORTRANGE(""https://docs.google.com/spreadsheets/d/11923uPwbBZFjjGgGUA6NLw09EwE0CqkOc4q9oUmW1yo/edit?usp=sharing"",""พะเยา!J520"")"),0)</f>
        <v>0</v>
      </c>
      <c r="AD22" s="609">
        <f ca="1">IFERROR(__xludf.DUMMYFUNCTION("IMPORTRANGE(""https://docs.google.com/spreadsheets/d/11923uPwbBZFjjGgGUA6NLw09EwE0CqkOc4q9oUmW1yo/edit?usp=sharing"",""พะเยา!J521"")"),0)</f>
        <v>0</v>
      </c>
    </row>
    <row r="23" spans="1:30" ht="21" customHeight="1">
      <c r="A23" s="303">
        <v>8</v>
      </c>
      <c r="B23" s="304" t="s">
        <v>47</v>
      </c>
      <c r="C23" s="305">
        <f t="shared" ca="1" si="30"/>
        <v>4550</v>
      </c>
      <c r="D23" s="306">
        <f ca="1">IFERROR(__xludf.DUMMYFUNCTION("IMPORTRANGE(""https://docs.google.com/spreadsheets/d/1C3CXT74ZlgGe6_JY_1olB1XN4rF0dxEuIIF-xsYjHgg/edit?usp=sharing"",""งบกองทุน!EV27"")"),0)</f>
        <v>0</v>
      </c>
      <c r="E23" s="306">
        <f ca="1">IFERROR(__xludf.DUMMYFUNCTION("IMPORTRANGE(""https://docs.google.com/spreadsheets/d/1C3CXT74ZlgGe6_JY_1olB1XN4rF0dxEuIIF-xsYjHgg/edit?usp=sharing"",""งบกองทุน!EW27"")"),4550)</f>
        <v>4550</v>
      </c>
      <c r="F23" s="307">
        <f ca="1">IFERROR(__xludf.DUMMYFUNCTION("IMPORTRANGE(""https://docs.google.com/spreadsheets/d/11923uPwbBZFjjGgGUA6NLw09EwE0CqkOc4q9oUmW1yo/edit?usp=sharing"",""พิจิตร!M492"")"),1394)</f>
        <v>1394</v>
      </c>
      <c r="G23" s="307">
        <f t="shared" ca="1" si="1"/>
        <v>30.637362637362639</v>
      </c>
      <c r="H23" s="638">
        <f t="shared" ca="1" si="31"/>
        <v>50</v>
      </c>
      <c r="I23" s="638">
        <f ca="1">IFERROR(__xludf.DUMMYFUNCTION("IMPORTRANGE(""https://docs.google.com/spreadsheets/d/1C3CXT74ZlgGe6_JY_1olB1XN4rF0dxEuIIF-xsYjHgg/edit?usp=sharing"",""งบกองทุน!EZ27"")"),50)</f>
        <v>50</v>
      </c>
      <c r="J23" s="638">
        <f ca="1">IFERROR(__xludf.DUMMYFUNCTION("IMPORTRANGE(""https://docs.google.com/spreadsheets/d/1C3CXT74ZlgGe6_JY_1olB1XN4rF0dxEuIIF-xsYjHgg/edit?usp=sharing"",""งบกองทุน!FF27"")"),0)</f>
        <v>0</v>
      </c>
      <c r="K23" s="306">
        <f ca="1">IFERROR(__xludf.DUMMYFUNCTION("IMPORTRANGE(""https://docs.google.com/spreadsheets/d/11923uPwbBZFjjGgGUA6NLw09EwE0CqkOc4q9oUmW1yo/edit?usp=sharing"",""พิจิตร!J507"")"),0)</f>
        <v>0</v>
      </c>
      <c r="L23" s="307">
        <f t="shared" ca="1" si="4"/>
        <v>0</v>
      </c>
      <c r="M23" s="306">
        <f ca="1">IFERROR(__xludf.DUMMYFUNCTION("IMPORTRANGE(""https://docs.google.com/spreadsheets/d/11923uPwbBZFjjGgGUA6NLw09EwE0CqkOc4q9oUmW1yo/edit?usp=sharing"",""พิจิตร!J508"")"),0)</f>
        <v>0</v>
      </c>
      <c r="N23" s="307">
        <f t="shared" ca="1" si="5"/>
        <v>0</v>
      </c>
      <c r="O23" s="306">
        <f ca="1">IFERROR(__xludf.DUMMYFUNCTION("IMPORTRANGE(""https://docs.google.com/spreadsheets/d/11923uPwbBZFjjGgGUA6NLw09EwE0CqkOc4q9oUmW1yo/edit?usp=sharing"",""พิจิตร!J509"")"),0)</f>
        <v>0</v>
      </c>
      <c r="P23" s="307">
        <f t="shared" ca="1" si="6"/>
        <v>0</v>
      </c>
      <c r="Q23" s="306">
        <f ca="1">IFERROR(__xludf.DUMMYFUNCTION("IMPORTRANGE(""https://docs.google.com/spreadsheets/d/11923uPwbBZFjjGgGUA6NLw09EwE0CqkOc4q9oUmW1yo/edit?usp=sharing"",""พิจิตร!J510"")"),0)</f>
        <v>0</v>
      </c>
      <c r="R23" s="307">
        <f t="shared" ca="1" si="7"/>
        <v>0</v>
      </c>
      <c r="S23" s="306">
        <f ca="1">IFERROR(__xludf.DUMMYFUNCTION("IMPORTRANGE(""https://docs.google.com/spreadsheets/d/11923uPwbBZFjjGgGUA6NLw09EwE0CqkOc4q9oUmW1yo/edit?usp=sharing"",""พิจิตร!J511"")"),0)</f>
        <v>0</v>
      </c>
      <c r="T23" s="307">
        <f t="shared" ca="1" si="8"/>
        <v>0</v>
      </c>
      <c r="U23" s="639">
        <f t="shared" ca="1" si="32"/>
        <v>0</v>
      </c>
      <c r="V23" s="307">
        <f t="shared" ca="1" si="9"/>
        <v>0</v>
      </c>
      <c r="W23" s="639">
        <f ca="1">IFERROR(__xludf.DUMMYFUNCTION("IMPORTRANGE(""https://docs.google.com/spreadsheets/d/11923uPwbBZFjjGgGUA6NLw09EwE0CqkOc4q9oUmW1yo/edit?usp=sharing"",""พิจิตร!J513"")"),0)</f>
        <v>0</v>
      </c>
      <c r="X23" s="639">
        <f ca="1">IFERROR(__xludf.DUMMYFUNCTION("IMPORTRANGE(""https://docs.google.com/spreadsheets/d/11923uPwbBZFjjGgGUA6NLw09EwE0CqkOc4q9oUmW1yo/edit?usp=sharing"",""พิจิตร!J514"")"),0)</f>
        <v>0</v>
      </c>
      <c r="Y23" s="306">
        <f t="shared" ca="1" si="33"/>
        <v>0</v>
      </c>
      <c r="Z23" s="307">
        <f t="shared" ca="1" si="11"/>
        <v>0</v>
      </c>
      <c r="AA23" s="306">
        <f ca="1">IFERROR(__xludf.DUMMYFUNCTION("IMPORTRANGE(""https://docs.google.com/spreadsheets/d/11923uPwbBZFjjGgGUA6NLw09EwE0CqkOc4q9oUmW1yo/edit?usp=sharing"",""พิจิตร!J517"")"),0)</f>
        <v>0</v>
      </c>
      <c r="AB23" s="306">
        <f ca="1">IFERROR(__xludf.DUMMYFUNCTION("IMPORTRANGE(""https://docs.google.com/spreadsheets/d/11923uPwbBZFjjGgGUA6NLw09EwE0CqkOc4q9oUmW1yo/edit?usp=sharing"",""พิจิตร!J518"")"),0)</f>
        <v>0</v>
      </c>
      <c r="AC23" s="306">
        <f ca="1">IFERROR(__xludf.DUMMYFUNCTION("IMPORTRANGE(""https://docs.google.com/spreadsheets/d/11923uPwbBZFjjGgGUA6NLw09EwE0CqkOc4q9oUmW1yo/edit?usp=sharing"",""พิจิตร!J520"")"),0)</f>
        <v>0</v>
      </c>
      <c r="AD23" s="609">
        <f ca="1">IFERROR(__xludf.DUMMYFUNCTION("IMPORTRANGE(""https://docs.google.com/spreadsheets/d/11923uPwbBZFjjGgGUA6NLw09EwE0CqkOc4q9oUmW1yo/edit?usp=sharing"",""พิจิตร!J521"")"),0)</f>
        <v>0</v>
      </c>
    </row>
    <row r="24" spans="1:30" ht="21" customHeight="1">
      <c r="A24" s="303">
        <v>9</v>
      </c>
      <c r="B24" s="304" t="s">
        <v>48</v>
      </c>
      <c r="C24" s="305">
        <f t="shared" ca="1" si="30"/>
        <v>4550</v>
      </c>
      <c r="D24" s="306">
        <f ca="1">IFERROR(__xludf.DUMMYFUNCTION("IMPORTRANGE(""https://docs.google.com/spreadsheets/d/1C3CXT74ZlgGe6_JY_1olB1XN4rF0dxEuIIF-xsYjHgg/edit?usp=sharing"",""งบกองทุน!EV28"")"),0)</f>
        <v>0</v>
      </c>
      <c r="E24" s="306">
        <f ca="1">IFERROR(__xludf.DUMMYFUNCTION("IMPORTRANGE(""https://docs.google.com/spreadsheets/d/1C3CXT74ZlgGe6_JY_1olB1XN4rF0dxEuIIF-xsYjHgg/edit?usp=sharing"",""งบกองทุน!EW28"")"),4550)</f>
        <v>4550</v>
      </c>
      <c r="F24" s="307">
        <f ca="1">IFERROR(__xludf.DUMMYFUNCTION("IMPORTRANGE(""https://docs.google.com/spreadsheets/d/11923uPwbBZFjjGgGUA6NLw09EwE0CqkOc4q9oUmW1yo/edit?usp=sharing"",""พิษณุโลก!M492"")"),400)</f>
        <v>400</v>
      </c>
      <c r="G24" s="307">
        <f t="shared" ca="1" si="1"/>
        <v>8.791208791208792</v>
      </c>
      <c r="H24" s="638">
        <f t="shared" ca="1" si="31"/>
        <v>82</v>
      </c>
      <c r="I24" s="638">
        <f ca="1">IFERROR(__xludf.DUMMYFUNCTION("IMPORTRANGE(""https://docs.google.com/spreadsheets/d/1C3CXT74ZlgGe6_JY_1olB1XN4rF0dxEuIIF-xsYjHgg/edit?usp=sharing"",""งบกองทุน!EZ28"")"),50)</f>
        <v>50</v>
      </c>
      <c r="J24" s="638">
        <f ca="1">IFERROR(__xludf.DUMMYFUNCTION("IMPORTRANGE(""https://docs.google.com/spreadsheets/d/1C3CXT74ZlgGe6_JY_1olB1XN4rF0dxEuIIF-xsYjHgg/edit?usp=sharing"",""งบกองทุน!FF28"")"),32)</f>
        <v>32</v>
      </c>
      <c r="K24" s="306">
        <f ca="1">IFERROR(__xludf.DUMMYFUNCTION("IMPORTRANGE(""https://docs.google.com/spreadsheets/d/11923uPwbBZFjjGgGUA6NLw09EwE0CqkOc4q9oUmW1yo/edit?usp=sharing"",""พิษณุโลก!J507"")"),41)</f>
        <v>41</v>
      </c>
      <c r="L24" s="307">
        <f t="shared" ca="1" si="4"/>
        <v>50</v>
      </c>
      <c r="M24" s="306">
        <f ca="1">IFERROR(__xludf.DUMMYFUNCTION("IMPORTRANGE(""https://docs.google.com/spreadsheets/d/11923uPwbBZFjjGgGUA6NLw09EwE0CqkOc4q9oUmW1yo/edit?usp=sharing"",""พิษณุโลก!J508"")"),41)</f>
        <v>41</v>
      </c>
      <c r="N24" s="307">
        <f t="shared" ca="1" si="5"/>
        <v>50</v>
      </c>
      <c r="O24" s="306">
        <f ca="1">IFERROR(__xludf.DUMMYFUNCTION("IMPORTRANGE(""https://docs.google.com/spreadsheets/d/11923uPwbBZFjjGgGUA6NLw09EwE0CqkOc4q9oUmW1yo/edit?usp=sharing"",""พิษณุโลก!J509"")"),41)</f>
        <v>41</v>
      </c>
      <c r="P24" s="307">
        <f t="shared" ca="1" si="6"/>
        <v>50</v>
      </c>
      <c r="Q24" s="306">
        <f ca="1">IFERROR(__xludf.DUMMYFUNCTION("IMPORTRANGE(""https://docs.google.com/spreadsheets/d/11923uPwbBZFjjGgGUA6NLw09EwE0CqkOc4q9oUmW1yo/edit?usp=sharing"",""พิษณุโลก!J510"")"),41)</f>
        <v>41</v>
      </c>
      <c r="R24" s="307">
        <f t="shared" ca="1" si="7"/>
        <v>50</v>
      </c>
      <c r="S24" s="306">
        <f ca="1">IFERROR(__xludf.DUMMYFUNCTION("IMPORTRANGE(""https://docs.google.com/spreadsheets/d/11923uPwbBZFjjGgGUA6NLw09EwE0CqkOc4q9oUmW1yo/edit?usp=sharing"",""พิษณุโลก!J511"")"),0)</f>
        <v>0</v>
      </c>
      <c r="T24" s="307">
        <f t="shared" ca="1" si="8"/>
        <v>0</v>
      </c>
      <c r="U24" s="639">
        <f t="shared" ca="1" si="32"/>
        <v>0</v>
      </c>
      <c r="V24" s="307">
        <f t="shared" ca="1" si="9"/>
        <v>0</v>
      </c>
      <c r="W24" s="639">
        <f ca="1">IFERROR(__xludf.DUMMYFUNCTION("IMPORTRANGE(""https://docs.google.com/spreadsheets/d/11923uPwbBZFjjGgGUA6NLw09EwE0CqkOc4q9oUmW1yo/edit?usp=sharing"",""พิษณุโลก!J513"")"),0)</f>
        <v>0</v>
      </c>
      <c r="X24" s="639">
        <f ca="1">IFERROR(__xludf.DUMMYFUNCTION("IMPORTRANGE(""https://docs.google.com/spreadsheets/d/11923uPwbBZFjjGgGUA6NLw09EwE0CqkOc4q9oUmW1yo/edit?usp=sharing"",""พิษณุโลก!J514"")"),0)</f>
        <v>0</v>
      </c>
      <c r="Y24" s="306">
        <f t="shared" ca="1" si="33"/>
        <v>0</v>
      </c>
      <c r="Z24" s="307">
        <f t="shared" ca="1" si="11"/>
        <v>0</v>
      </c>
      <c r="AA24" s="306">
        <f ca="1">IFERROR(__xludf.DUMMYFUNCTION("IMPORTRANGE(""https://docs.google.com/spreadsheets/d/11923uPwbBZFjjGgGUA6NLw09EwE0CqkOc4q9oUmW1yo/edit?usp=sharing"",""พิษณุโลก!J517"")"),0)</f>
        <v>0</v>
      </c>
      <c r="AB24" s="306">
        <f ca="1">IFERROR(__xludf.DUMMYFUNCTION("IMPORTRANGE(""https://docs.google.com/spreadsheets/d/11923uPwbBZFjjGgGUA6NLw09EwE0CqkOc4q9oUmW1yo/edit?usp=sharing"",""พิษณุโลก!J518"")"),0)</f>
        <v>0</v>
      </c>
      <c r="AC24" s="306">
        <f ca="1">IFERROR(__xludf.DUMMYFUNCTION("IMPORTRANGE(""https://docs.google.com/spreadsheets/d/11923uPwbBZFjjGgGUA6NLw09EwE0CqkOc4q9oUmW1yo/edit?usp=sharing"",""พิษณุโลก!J520"")"),0)</f>
        <v>0</v>
      </c>
      <c r="AD24" s="609">
        <f ca="1">IFERROR(__xludf.DUMMYFUNCTION("IMPORTRANGE(""https://docs.google.com/spreadsheets/d/11923uPwbBZFjjGgGUA6NLw09EwE0CqkOc4q9oUmW1yo/edit?usp=sharing"",""พิษณุโลก!J521"")"),0)</f>
        <v>0</v>
      </c>
    </row>
    <row r="25" spans="1:30" ht="21" customHeight="1">
      <c r="A25" s="303">
        <v>10</v>
      </c>
      <c r="B25" s="304" t="s">
        <v>49</v>
      </c>
      <c r="C25" s="305">
        <f t="shared" ca="1" si="30"/>
        <v>7300</v>
      </c>
      <c r="D25" s="306">
        <f ca="1">IFERROR(__xludf.DUMMYFUNCTION("IMPORTRANGE(""https://docs.google.com/spreadsheets/d/1C3CXT74ZlgGe6_JY_1olB1XN4rF0dxEuIIF-xsYjHgg/edit?usp=sharing"",""งบกองทุน!EV29"")"),0)</f>
        <v>0</v>
      </c>
      <c r="E25" s="306">
        <f ca="1">IFERROR(__xludf.DUMMYFUNCTION("IMPORTRANGE(""https://docs.google.com/spreadsheets/d/1C3CXT74ZlgGe6_JY_1olB1XN4rF0dxEuIIF-xsYjHgg/edit?usp=sharing"",""งบกองทุน!EW29"")"),7300)</f>
        <v>7300</v>
      </c>
      <c r="F25" s="307">
        <f ca="1">IFERROR(__xludf.DUMMYFUNCTION("IMPORTRANGE(""https://docs.google.com/spreadsheets/d/11923uPwbBZFjjGgGUA6NLw09EwE0CqkOc4q9oUmW1yo/edit?usp=sharing"",""เพชรบูรณ์!M492"")"),450)</f>
        <v>450</v>
      </c>
      <c r="G25" s="307">
        <f t="shared" ca="1" si="1"/>
        <v>6.1643835616438354</v>
      </c>
      <c r="H25" s="638">
        <f t="shared" ca="1" si="31"/>
        <v>100</v>
      </c>
      <c r="I25" s="638">
        <f ca="1">IFERROR(__xludf.DUMMYFUNCTION("IMPORTRANGE(""https://docs.google.com/spreadsheets/d/1C3CXT74ZlgGe6_JY_1olB1XN4rF0dxEuIIF-xsYjHgg/edit?usp=sharing"",""งบกองทุน!EZ29"")"),100)</f>
        <v>100</v>
      </c>
      <c r="J25" s="638">
        <f ca="1">IFERROR(__xludf.DUMMYFUNCTION("IMPORTRANGE(""https://docs.google.com/spreadsheets/d/1C3CXT74ZlgGe6_JY_1olB1XN4rF0dxEuIIF-xsYjHgg/edit?usp=sharing"",""งบกองทุน!FF29"")"),0)</f>
        <v>0</v>
      </c>
      <c r="K25" s="306">
        <f ca="1">IFERROR(__xludf.DUMMYFUNCTION("IMPORTRANGE(""https://docs.google.com/spreadsheets/d/11923uPwbBZFjjGgGUA6NLw09EwE0CqkOc4q9oUmW1yo/edit?usp=sharing"",""เพชรบูรณ์!J507"")"),0)</f>
        <v>0</v>
      </c>
      <c r="L25" s="307">
        <f t="shared" ca="1" si="4"/>
        <v>0</v>
      </c>
      <c r="M25" s="306">
        <f ca="1">IFERROR(__xludf.DUMMYFUNCTION("IMPORTRANGE(""https://docs.google.com/spreadsheets/d/11923uPwbBZFjjGgGUA6NLw09EwE0CqkOc4q9oUmW1yo/edit?usp=sharing"",""เพชรบูรณ์!J508"")"),0)</f>
        <v>0</v>
      </c>
      <c r="N25" s="307">
        <f t="shared" ca="1" si="5"/>
        <v>0</v>
      </c>
      <c r="O25" s="306">
        <f ca="1">IFERROR(__xludf.DUMMYFUNCTION("IMPORTRANGE(""https://docs.google.com/spreadsheets/d/11923uPwbBZFjjGgGUA6NLw09EwE0CqkOc4q9oUmW1yo/edit?usp=sharing"",""เพชรบูรณ์!J509"")"),0)</f>
        <v>0</v>
      </c>
      <c r="P25" s="307">
        <f t="shared" ca="1" si="6"/>
        <v>0</v>
      </c>
      <c r="Q25" s="306">
        <f ca="1">IFERROR(__xludf.DUMMYFUNCTION("IMPORTRANGE(""https://docs.google.com/spreadsheets/d/11923uPwbBZFjjGgGUA6NLw09EwE0CqkOc4q9oUmW1yo/edit?usp=sharing"",""เพชรบูรณ์!J510"")"),0)</f>
        <v>0</v>
      </c>
      <c r="R25" s="307">
        <f t="shared" ca="1" si="7"/>
        <v>0</v>
      </c>
      <c r="S25" s="306">
        <f ca="1">IFERROR(__xludf.DUMMYFUNCTION("IMPORTRANGE(""https://docs.google.com/spreadsheets/d/11923uPwbBZFjjGgGUA6NLw09EwE0CqkOc4q9oUmW1yo/edit?usp=sharing"",""เพชรบูรณ์!J511"")"),0)</f>
        <v>0</v>
      </c>
      <c r="T25" s="307">
        <f t="shared" ca="1" si="8"/>
        <v>0</v>
      </c>
      <c r="U25" s="639">
        <f t="shared" ca="1" si="32"/>
        <v>0</v>
      </c>
      <c r="V25" s="307">
        <f t="shared" ca="1" si="9"/>
        <v>0</v>
      </c>
      <c r="W25" s="639">
        <f ca="1">IFERROR(__xludf.DUMMYFUNCTION("IMPORTRANGE(""https://docs.google.com/spreadsheets/d/11923uPwbBZFjjGgGUA6NLw09EwE0CqkOc4q9oUmW1yo/edit?usp=sharing"",""เพชรบูรณ์!J513"")"),0)</f>
        <v>0</v>
      </c>
      <c r="X25" s="639">
        <f ca="1">IFERROR(__xludf.DUMMYFUNCTION("IMPORTRANGE(""https://docs.google.com/spreadsheets/d/11923uPwbBZFjjGgGUA6NLw09EwE0CqkOc4q9oUmW1yo/edit?usp=sharing"",""เพชรบูรณ์!J514"")"),0)</f>
        <v>0</v>
      </c>
      <c r="Y25" s="306">
        <f t="shared" ca="1" si="33"/>
        <v>0</v>
      </c>
      <c r="Z25" s="307">
        <f t="shared" ca="1" si="11"/>
        <v>0</v>
      </c>
      <c r="AA25" s="306">
        <f ca="1">IFERROR(__xludf.DUMMYFUNCTION("IMPORTRANGE(""https://docs.google.com/spreadsheets/d/11923uPwbBZFjjGgGUA6NLw09EwE0CqkOc4q9oUmW1yo/edit?usp=sharing"",""เพชรบูรณ์!J517"")"),0)</f>
        <v>0</v>
      </c>
      <c r="AB25" s="306">
        <f ca="1">IFERROR(__xludf.DUMMYFUNCTION("IMPORTRANGE(""https://docs.google.com/spreadsheets/d/11923uPwbBZFjjGgGUA6NLw09EwE0CqkOc4q9oUmW1yo/edit?usp=sharing"",""เพชรบูรณ์!J518"")"),0)</f>
        <v>0</v>
      </c>
      <c r="AC25" s="306">
        <f ca="1">IFERROR(__xludf.DUMMYFUNCTION("IMPORTRANGE(""https://docs.google.com/spreadsheets/d/11923uPwbBZFjjGgGUA6NLw09EwE0CqkOc4q9oUmW1yo/edit?usp=sharing"",""เพชรบูรณ์!J520"")"),0)</f>
        <v>0</v>
      </c>
      <c r="AD25" s="609">
        <f ca="1">IFERROR(__xludf.DUMMYFUNCTION("IMPORTRANGE(""https://docs.google.com/spreadsheets/d/11923uPwbBZFjjGgGUA6NLw09EwE0CqkOc4q9oUmW1yo/edit?usp=sharing"",""เพชรบูรณ์!J521"")"),0)</f>
        <v>0</v>
      </c>
    </row>
    <row r="26" spans="1:30" ht="21" customHeight="1">
      <c r="A26" s="303">
        <v>11</v>
      </c>
      <c r="B26" s="304" t="s">
        <v>50</v>
      </c>
      <c r="C26" s="305">
        <f t="shared" ca="1" si="30"/>
        <v>4550</v>
      </c>
      <c r="D26" s="306">
        <f ca="1">IFERROR(__xludf.DUMMYFUNCTION("IMPORTRANGE(""https://docs.google.com/spreadsheets/d/1C3CXT74ZlgGe6_JY_1olB1XN4rF0dxEuIIF-xsYjHgg/edit?usp=sharing"",""งบกองทุน!EV30"")"),0)</f>
        <v>0</v>
      </c>
      <c r="E26" s="306">
        <f ca="1">IFERROR(__xludf.DUMMYFUNCTION("IMPORTRANGE(""https://docs.google.com/spreadsheets/d/1C3CXT74ZlgGe6_JY_1olB1XN4rF0dxEuIIF-xsYjHgg/edit?usp=sharing"",""งบกองทุน!EW30"")"),4550)</f>
        <v>4550</v>
      </c>
      <c r="F26" s="307">
        <f ca="1">IFERROR(__xludf.DUMMYFUNCTION("IMPORTRANGE(""https://docs.google.com/spreadsheets/d/11923uPwbBZFjjGgGUA6NLw09EwE0CqkOc4q9oUmW1yo/edit?usp=sharing"",""แพร่!M492"")"),432)</f>
        <v>432</v>
      </c>
      <c r="G26" s="307">
        <f t="shared" ca="1" si="1"/>
        <v>9.4945054945054945</v>
      </c>
      <c r="H26" s="638">
        <f t="shared" ca="1" si="31"/>
        <v>50</v>
      </c>
      <c r="I26" s="638">
        <f ca="1">IFERROR(__xludf.DUMMYFUNCTION("IMPORTRANGE(""https://docs.google.com/spreadsheets/d/1C3CXT74ZlgGe6_JY_1olB1XN4rF0dxEuIIF-xsYjHgg/edit?usp=sharing"",""งบกองทุน!EZ30"")"),50)</f>
        <v>50</v>
      </c>
      <c r="J26" s="638">
        <f ca="1">IFERROR(__xludf.DUMMYFUNCTION("IMPORTRANGE(""https://docs.google.com/spreadsheets/d/1C3CXT74ZlgGe6_JY_1olB1XN4rF0dxEuIIF-xsYjHgg/edit?usp=sharing"",""งบกองทุน!FF30"")"),0)</f>
        <v>0</v>
      </c>
      <c r="K26" s="306">
        <f ca="1">IFERROR(__xludf.DUMMYFUNCTION("IMPORTRANGE(""https://docs.google.com/spreadsheets/d/11923uPwbBZFjjGgGUA6NLw09EwE0CqkOc4q9oUmW1yo/edit?usp=sharing"",""แพร่!J507"")"),0)</f>
        <v>0</v>
      </c>
      <c r="L26" s="307">
        <f t="shared" ca="1" si="4"/>
        <v>0</v>
      </c>
      <c r="M26" s="306">
        <f ca="1">IFERROR(__xludf.DUMMYFUNCTION("IMPORTRANGE(""https://docs.google.com/spreadsheets/d/11923uPwbBZFjjGgGUA6NLw09EwE0CqkOc4q9oUmW1yo/edit?usp=sharing"",""แพร่!J508"")"),0)</f>
        <v>0</v>
      </c>
      <c r="N26" s="307">
        <f t="shared" ca="1" si="5"/>
        <v>0</v>
      </c>
      <c r="O26" s="306">
        <f ca="1">IFERROR(__xludf.DUMMYFUNCTION("IMPORTRANGE(""https://docs.google.com/spreadsheets/d/11923uPwbBZFjjGgGUA6NLw09EwE0CqkOc4q9oUmW1yo/edit?usp=sharing"",""แพร่!J509"")"),0)</f>
        <v>0</v>
      </c>
      <c r="P26" s="307">
        <f t="shared" ca="1" si="6"/>
        <v>0</v>
      </c>
      <c r="Q26" s="306">
        <f ca="1">IFERROR(__xludf.DUMMYFUNCTION("IMPORTRANGE(""https://docs.google.com/spreadsheets/d/11923uPwbBZFjjGgGUA6NLw09EwE0CqkOc4q9oUmW1yo/edit?usp=sharing"",""แพร่!J510"")"),0)</f>
        <v>0</v>
      </c>
      <c r="R26" s="307">
        <f t="shared" ca="1" si="7"/>
        <v>0</v>
      </c>
      <c r="S26" s="306">
        <f ca="1">IFERROR(__xludf.DUMMYFUNCTION("IMPORTRANGE(""https://docs.google.com/spreadsheets/d/11923uPwbBZFjjGgGUA6NLw09EwE0CqkOc4q9oUmW1yo/edit?usp=sharing"",""แพร่!J511"")"),0)</f>
        <v>0</v>
      </c>
      <c r="T26" s="307">
        <f t="shared" ca="1" si="8"/>
        <v>0</v>
      </c>
      <c r="U26" s="639">
        <f t="shared" ca="1" si="32"/>
        <v>0</v>
      </c>
      <c r="V26" s="307">
        <f t="shared" ca="1" si="9"/>
        <v>0</v>
      </c>
      <c r="W26" s="639">
        <f ca="1">IFERROR(__xludf.DUMMYFUNCTION("IMPORTRANGE(""https://docs.google.com/spreadsheets/d/11923uPwbBZFjjGgGUA6NLw09EwE0CqkOc4q9oUmW1yo/edit?usp=sharing"",""แพร่!J513"")"),0)</f>
        <v>0</v>
      </c>
      <c r="X26" s="639">
        <f ca="1">IFERROR(__xludf.DUMMYFUNCTION("IMPORTRANGE(""https://docs.google.com/spreadsheets/d/11923uPwbBZFjjGgGUA6NLw09EwE0CqkOc4q9oUmW1yo/edit?usp=sharing"",""แพร่!J514"")"),0)</f>
        <v>0</v>
      </c>
      <c r="Y26" s="306">
        <f t="shared" ca="1" si="33"/>
        <v>0</v>
      </c>
      <c r="Z26" s="307">
        <f t="shared" ca="1" si="11"/>
        <v>0</v>
      </c>
      <c r="AA26" s="306">
        <f ca="1">IFERROR(__xludf.DUMMYFUNCTION("IMPORTRANGE(""https://docs.google.com/spreadsheets/d/11923uPwbBZFjjGgGUA6NLw09EwE0CqkOc4q9oUmW1yo/edit?usp=sharing"",""แพร่!J517"")"),0)</f>
        <v>0</v>
      </c>
      <c r="AB26" s="306">
        <f ca="1">IFERROR(__xludf.DUMMYFUNCTION("IMPORTRANGE(""https://docs.google.com/spreadsheets/d/11923uPwbBZFjjGgGUA6NLw09EwE0CqkOc4q9oUmW1yo/edit?usp=sharing"",""แพร่!J518"")"),0)</f>
        <v>0</v>
      </c>
      <c r="AC26" s="306">
        <f ca="1">IFERROR(__xludf.DUMMYFUNCTION("IMPORTRANGE(""https://docs.google.com/spreadsheets/d/11923uPwbBZFjjGgGUA6NLw09EwE0CqkOc4q9oUmW1yo/edit?usp=sharing"",""แพร่!J520"")"),0)</f>
        <v>0</v>
      </c>
      <c r="AD26" s="609">
        <f ca="1">IFERROR(__xludf.DUMMYFUNCTION("IMPORTRANGE(""https://docs.google.com/spreadsheets/d/11923uPwbBZFjjGgGUA6NLw09EwE0CqkOc4q9oUmW1yo/edit?usp=sharing"",""แพร่!J521"")"),0)</f>
        <v>0</v>
      </c>
    </row>
    <row r="27" spans="1:30" ht="21" customHeight="1">
      <c r="A27" s="303">
        <v>12</v>
      </c>
      <c r="B27" s="304" t="s">
        <v>51</v>
      </c>
      <c r="C27" s="305">
        <f t="shared" ca="1" si="30"/>
        <v>6950</v>
      </c>
      <c r="D27" s="306">
        <f ca="1">IFERROR(__xludf.DUMMYFUNCTION("IMPORTRANGE(""https://docs.google.com/spreadsheets/d/1C3CXT74ZlgGe6_JY_1olB1XN4rF0dxEuIIF-xsYjHgg/edit?usp=sharing"",""งบกองทุน!EV31"")"),0)</f>
        <v>0</v>
      </c>
      <c r="E27" s="306">
        <f ca="1">IFERROR(__xludf.DUMMYFUNCTION("IMPORTRANGE(""https://docs.google.com/spreadsheets/d/1C3CXT74ZlgGe6_JY_1olB1XN4rF0dxEuIIF-xsYjHgg/edit?usp=sharing"",""งบกองทุน!EW31"")"),6950)</f>
        <v>6950</v>
      </c>
      <c r="F27" s="307">
        <f ca="1">IFERROR(__xludf.DUMMYFUNCTION("IMPORTRANGE(""https://docs.google.com/spreadsheets/d/11923uPwbBZFjjGgGUA6NLw09EwE0CqkOc4q9oUmW1yo/edit?usp=sharing"",""แม่ฮ่องสอน!M492"")"),3910)</f>
        <v>3910</v>
      </c>
      <c r="G27" s="307">
        <f t="shared" ca="1" si="1"/>
        <v>56.258992805755398</v>
      </c>
      <c r="H27" s="638">
        <f t="shared" ca="1" si="31"/>
        <v>50</v>
      </c>
      <c r="I27" s="638">
        <f ca="1">IFERROR(__xludf.DUMMYFUNCTION("IMPORTRANGE(""https://docs.google.com/spreadsheets/d/1C3CXT74ZlgGe6_JY_1olB1XN4rF0dxEuIIF-xsYjHgg/edit?usp=sharing"",""งบกองทุน!EZ31"")"),50)</f>
        <v>50</v>
      </c>
      <c r="J27" s="638">
        <f ca="1">IFERROR(__xludf.DUMMYFUNCTION("IMPORTRANGE(""https://docs.google.com/spreadsheets/d/1C3CXT74ZlgGe6_JY_1olB1XN4rF0dxEuIIF-xsYjHgg/edit?usp=sharing"",""งบกองทุน!FF31"")"),0)</f>
        <v>0</v>
      </c>
      <c r="K27" s="306">
        <f ca="1">IFERROR(__xludf.DUMMYFUNCTION("IMPORTRANGE(""https://docs.google.com/spreadsheets/d/11923uPwbBZFjjGgGUA6NLw09EwE0CqkOc4q9oUmW1yo/edit?usp=sharing"",""แม่ฮ่องสอน!J507"")"),0)</f>
        <v>0</v>
      </c>
      <c r="L27" s="307">
        <f t="shared" ca="1" si="4"/>
        <v>0</v>
      </c>
      <c r="M27" s="306">
        <f ca="1">IFERROR(__xludf.DUMMYFUNCTION("IMPORTRANGE(""https://docs.google.com/spreadsheets/d/11923uPwbBZFjjGgGUA6NLw09EwE0CqkOc4q9oUmW1yo/edit?usp=sharing"",""แม่ฮ่องสอน!J508"")"),0)</f>
        <v>0</v>
      </c>
      <c r="N27" s="307">
        <f t="shared" ca="1" si="5"/>
        <v>0</v>
      </c>
      <c r="O27" s="306">
        <f ca="1">IFERROR(__xludf.DUMMYFUNCTION("IMPORTRANGE(""https://docs.google.com/spreadsheets/d/11923uPwbBZFjjGgGUA6NLw09EwE0CqkOc4q9oUmW1yo/edit?usp=sharing"",""แม่ฮ่องสอน!J509"")"),0)</f>
        <v>0</v>
      </c>
      <c r="P27" s="307">
        <f t="shared" ca="1" si="6"/>
        <v>0</v>
      </c>
      <c r="Q27" s="306">
        <f ca="1">IFERROR(__xludf.DUMMYFUNCTION("IMPORTRANGE(""https://docs.google.com/spreadsheets/d/11923uPwbBZFjjGgGUA6NLw09EwE0CqkOc4q9oUmW1yo/edit?usp=sharing"",""แม่ฮ่องสอน!J510"")"),0)</f>
        <v>0</v>
      </c>
      <c r="R27" s="307">
        <f t="shared" ca="1" si="7"/>
        <v>0</v>
      </c>
      <c r="S27" s="306">
        <f ca="1">IFERROR(__xludf.DUMMYFUNCTION("IMPORTRANGE(""https://docs.google.com/spreadsheets/d/11923uPwbBZFjjGgGUA6NLw09EwE0CqkOc4q9oUmW1yo/edit?usp=sharing"",""แม่ฮ่องสอน!J511"")"),0)</f>
        <v>0</v>
      </c>
      <c r="T27" s="307">
        <f t="shared" ca="1" si="8"/>
        <v>0</v>
      </c>
      <c r="U27" s="639">
        <f t="shared" ca="1" si="32"/>
        <v>0</v>
      </c>
      <c r="V27" s="307">
        <f t="shared" ca="1" si="9"/>
        <v>0</v>
      </c>
      <c r="W27" s="639">
        <f ca="1">IFERROR(__xludf.DUMMYFUNCTION("IMPORTRANGE(""https://docs.google.com/spreadsheets/d/11923uPwbBZFjjGgGUA6NLw09EwE0CqkOc4q9oUmW1yo/edit?usp=sharing"",""แม่ฮ่องสอน!J513"")"),0)</f>
        <v>0</v>
      </c>
      <c r="X27" s="639">
        <f ca="1">IFERROR(__xludf.DUMMYFUNCTION("IMPORTRANGE(""https://docs.google.com/spreadsheets/d/11923uPwbBZFjjGgGUA6NLw09EwE0CqkOc4q9oUmW1yo/edit?usp=sharing"",""แม่ฮ่องสอน!J514"")"),0)</f>
        <v>0</v>
      </c>
      <c r="Y27" s="306">
        <f t="shared" ca="1" si="33"/>
        <v>0</v>
      </c>
      <c r="Z27" s="307">
        <f t="shared" ca="1" si="11"/>
        <v>0</v>
      </c>
      <c r="AA27" s="306">
        <f ca="1">IFERROR(__xludf.DUMMYFUNCTION("IMPORTRANGE(""https://docs.google.com/spreadsheets/d/11923uPwbBZFjjGgGUA6NLw09EwE0CqkOc4q9oUmW1yo/edit?usp=sharing"",""แม่ฮ่องสอน!J517"")"),0)</f>
        <v>0</v>
      </c>
      <c r="AB27" s="306">
        <f ca="1">IFERROR(__xludf.DUMMYFUNCTION("IMPORTRANGE(""https://docs.google.com/spreadsheets/d/11923uPwbBZFjjGgGUA6NLw09EwE0CqkOc4q9oUmW1yo/edit?usp=sharing"",""แม่ฮ่องสอน!J518"")"),0)</f>
        <v>0</v>
      </c>
      <c r="AC27" s="306">
        <f ca="1">IFERROR(__xludf.DUMMYFUNCTION("IMPORTRANGE(""https://docs.google.com/spreadsheets/d/11923uPwbBZFjjGgGUA6NLw09EwE0CqkOc4q9oUmW1yo/edit?usp=sharing"",""แม่ฮ่องสอน!J520"")"),0)</f>
        <v>0</v>
      </c>
      <c r="AD27" s="609">
        <f ca="1">IFERROR(__xludf.DUMMYFUNCTION("IMPORTRANGE(""https://docs.google.com/spreadsheets/d/11923uPwbBZFjjGgGUA6NLw09EwE0CqkOc4q9oUmW1yo/edit?usp=sharing"",""แม่ฮ่องสอน!J521"")"),0)</f>
        <v>0</v>
      </c>
    </row>
    <row r="28" spans="1:30" ht="21" customHeight="1">
      <c r="A28" s="303">
        <v>13</v>
      </c>
      <c r="B28" s="304" t="s">
        <v>52</v>
      </c>
      <c r="C28" s="305">
        <f t="shared" ca="1" si="30"/>
        <v>8900</v>
      </c>
      <c r="D28" s="306">
        <f ca="1">IFERROR(__xludf.DUMMYFUNCTION("IMPORTRANGE(""https://docs.google.com/spreadsheets/d/1C3CXT74ZlgGe6_JY_1olB1XN4rF0dxEuIIF-xsYjHgg/edit?usp=sharing"",""งบกองทุน!EV32"")"),0)</f>
        <v>0</v>
      </c>
      <c r="E28" s="306">
        <f ca="1">IFERROR(__xludf.DUMMYFUNCTION("IMPORTRANGE(""https://docs.google.com/spreadsheets/d/1C3CXT74ZlgGe6_JY_1olB1XN4rF0dxEuIIF-xsYjHgg/edit?usp=sharing"",""งบกองทุน!EW32"")"),8900)</f>
        <v>8900</v>
      </c>
      <c r="F28" s="307">
        <f ca="1">IFERROR(__xludf.DUMMYFUNCTION("IMPORTRANGE(""https://docs.google.com/spreadsheets/d/11923uPwbBZFjjGgGUA6NLw09EwE0CqkOc4q9oUmW1yo/edit?usp=sharing"",""ลำปาง!M492"")"),3400)</f>
        <v>3400</v>
      </c>
      <c r="G28" s="307">
        <f t="shared" ca="1" si="1"/>
        <v>38.202247191011239</v>
      </c>
      <c r="H28" s="638">
        <f t="shared" ca="1" si="31"/>
        <v>100</v>
      </c>
      <c r="I28" s="638">
        <f ca="1">IFERROR(__xludf.DUMMYFUNCTION("IMPORTRANGE(""https://docs.google.com/spreadsheets/d/1C3CXT74ZlgGe6_JY_1olB1XN4rF0dxEuIIF-xsYjHgg/edit?usp=sharing"",""งบกองทุน!EZ32"")"),100)</f>
        <v>100</v>
      </c>
      <c r="J28" s="638">
        <f ca="1">IFERROR(__xludf.DUMMYFUNCTION("IMPORTRANGE(""https://docs.google.com/spreadsheets/d/1C3CXT74ZlgGe6_JY_1olB1XN4rF0dxEuIIF-xsYjHgg/edit?usp=sharing"",""งบกองทุน!FF32"")"),0)</f>
        <v>0</v>
      </c>
      <c r="K28" s="306">
        <f ca="1">IFERROR(__xludf.DUMMYFUNCTION("IMPORTRANGE(""https://docs.google.com/spreadsheets/d/11923uPwbBZFjjGgGUA6NLw09EwE0CqkOc4q9oUmW1yo/edit?usp=sharing"",""ลำปาง!J507"")"),0)</f>
        <v>0</v>
      </c>
      <c r="L28" s="307">
        <f t="shared" ca="1" si="4"/>
        <v>0</v>
      </c>
      <c r="M28" s="306">
        <f ca="1">IFERROR(__xludf.DUMMYFUNCTION("IMPORTRANGE(""https://docs.google.com/spreadsheets/d/11923uPwbBZFjjGgGUA6NLw09EwE0CqkOc4q9oUmW1yo/edit?usp=sharing"",""ลำปาง!J508"")"),0)</f>
        <v>0</v>
      </c>
      <c r="N28" s="307">
        <f t="shared" ca="1" si="5"/>
        <v>0</v>
      </c>
      <c r="O28" s="306">
        <f ca="1">IFERROR(__xludf.DUMMYFUNCTION("IMPORTRANGE(""https://docs.google.com/spreadsheets/d/11923uPwbBZFjjGgGUA6NLw09EwE0CqkOc4q9oUmW1yo/edit?usp=sharing"",""ลำปาง!J509"")"),0)</f>
        <v>0</v>
      </c>
      <c r="P28" s="307">
        <f t="shared" ca="1" si="6"/>
        <v>0</v>
      </c>
      <c r="Q28" s="306">
        <f ca="1">IFERROR(__xludf.DUMMYFUNCTION("IMPORTRANGE(""https://docs.google.com/spreadsheets/d/11923uPwbBZFjjGgGUA6NLw09EwE0CqkOc4q9oUmW1yo/edit?usp=sharing"",""ลำปาง!J510"")"),0)</f>
        <v>0</v>
      </c>
      <c r="R28" s="307">
        <f t="shared" ca="1" si="7"/>
        <v>0</v>
      </c>
      <c r="S28" s="306">
        <f ca="1">IFERROR(__xludf.DUMMYFUNCTION("IMPORTRANGE(""https://docs.google.com/spreadsheets/d/11923uPwbBZFjjGgGUA6NLw09EwE0CqkOc4q9oUmW1yo/edit?usp=sharing"",""ลำปาง!J511"")"),0)</f>
        <v>0</v>
      </c>
      <c r="T28" s="307">
        <f t="shared" ca="1" si="8"/>
        <v>0</v>
      </c>
      <c r="U28" s="639">
        <f t="shared" ca="1" si="32"/>
        <v>0</v>
      </c>
      <c r="V28" s="307">
        <f t="shared" ca="1" si="9"/>
        <v>0</v>
      </c>
      <c r="W28" s="639">
        <f ca="1">IFERROR(__xludf.DUMMYFUNCTION("IMPORTRANGE(""https://docs.google.com/spreadsheets/d/11923uPwbBZFjjGgGUA6NLw09EwE0CqkOc4q9oUmW1yo/edit?usp=sharing"",""ลำปาง!J513"")"),0)</f>
        <v>0</v>
      </c>
      <c r="X28" s="639">
        <f ca="1">IFERROR(__xludf.DUMMYFUNCTION("IMPORTRANGE(""https://docs.google.com/spreadsheets/d/11923uPwbBZFjjGgGUA6NLw09EwE0CqkOc4q9oUmW1yo/edit?usp=sharing"",""ลำปาง!J514"")"),0)</f>
        <v>0</v>
      </c>
      <c r="Y28" s="306">
        <f t="shared" ca="1" si="33"/>
        <v>0</v>
      </c>
      <c r="Z28" s="307">
        <f t="shared" ca="1" si="11"/>
        <v>0</v>
      </c>
      <c r="AA28" s="306">
        <f ca="1">IFERROR(__xludf.DUMMYFUNCTION("IMPORTRANGE(""https://docs.google.com/spreadsheets/d/11923uPwbBZFjjGgGUA6NLw09EwE0CqkOc4q9oUmW1yo/edit?usp=sharing"",""ลำปาง!J517"")"),0)</f>
        <v>0</v>
      </c>
      <c r="AB28" s="306">
        <f ca="1">IFERROR(__xludf.DUMMYFUNCTION("IMPORTRANGE(""https://docs.google.com/spreadsheets/d/11923uPwbBZFjjGgGUA6NLw09EwE0CqkOc4q9oUmW1yo/edit?usp=sharing"",""ลำปาง!J518"")"),0)</f>
        <v>0</v>
      </c>
      <c r="AC28" s="306">
        <f ca="1">IFERROR(__xludf.DUMMYFUNCTION("IMPORTRANGE(""https://docs.google.com/spreadsheets/d/11923uPwbBZFjjGgGUA6NLw09EwE0CqkOc4q9oUmW1yo/edit?usp=sharing"",""ลำปาง!J520"")"),0)</f>
        <v>0</v>
      </c>
      <c r="AD28" s="609">
        <f ca="1">IFERROR(__xludf.DUMMYFUNCTION("IMPORTRANGE(""https://docs.google.com/spreadsheets/d/11923uPwbBZFjjGgGUA6NLw09EwE0CqkOc4q9oUmW1yo/edit?usp=sharing"",""ลำปาง!J521"")"),0)</f>
        <v>0</v>
      </c>
    </row>
    <row r="29" spans="1:30" ht="21" customHeight="1">
      <c r="A29" s="303">
        <v>14</v>
      </c>
      <c r="B29" s="304" t="s">
        <v>53</v>
      </c>
      <c r="C29" s="305">
        <f t="shared" ca="1" si="30"/>
        <v>4550</v>
      </c>
      <c r="D29" s="306">
        <f ca="1">IFERROR(__xludf.DUMMYFUNCTION("IMPORTRANGE(""https://docs.google.com/spreadsheets/d/1C3CXT74ZlgGe6_JY_1olB1XN4rF0dxEuIIF-xsYjHgg/edit?usp=sharing"",""งบกองทุน!EV33"")"),0)</f>
        <v>0</v>
      </c>
      <c r="E29" s="306">
        <f ca="1">IFERROR(__xludf.DUMMYFUNCTION("IMPORTRANGE(""https://docs.google.com/spreadsheets/d/1C3CXT74ZlgGe6_JY_1olB1XN4rF0dxEuIIF-xsYjHgg/edit?usp=sharing"",""งบกองทุน!EW33"")"),4550)</f>
        <v>4550</v>
      </c>
      <c r="F29" s="307">
        <f ca="1">IFERROR(__xludf.DUMMYFUNCTION("IMPORTRANGE(""https://docs.google.com/spreadsheets/d/11923uPwbBZFjjGgGUA6NLw09EwE0CqkOc4q9oUmW1yo/edit?usp=sharing"",""ลำพูน!M492"")"),850)</f>
        <v>850</v>
      </c>
      <c r="G29" s="307">
        <f t="shared" ca="1" si="1"/>
        <v>18.681318681318682</v>
      </c>
      <c r="H29" s="638">
        <f t="shared" ca="1" si="31"/>
        <v>50</v>
      </c>
      <c r="I29" s="638">
        <f ca="1">IFERROR(__xludf.DUMMYFUNCTION("IMPORTRANGE(""https://docs.google.com/spreadsheets/d/1C3CXT74ZlgGe6_JY_1olB1XN4rF0dxEuIIF-xsYjHgg/edit?usp=sharing"",""งบกองทุน!EZ33"")"),50)</f>
        <v>50</v>
      </c>
      <c r="J29" s="638">
        <f ca="1">IFERROR(__xludf.DUMMYFUNCTION("IMPORTRANGE(""https://docs.google.com/spreadsheets/d/1C3CXT74ZlgGe6_JY_1olB1XN4rF0dxEuIIF-xsYjHgg/edit?usp=sharing"",""งบกองทุน!FF33"")"),0)</f>
        <v>0</v>
      </c>
      <c r="K29" s="306">
        <f ca="1">IFERROR(__xludf.DUMMYFUNCTION("IMPORTRANGE(""https://docs.google.com/spreadsheets/d/11923uPwbBZFjjGgGUA6NLw09EwE0CqkOc4q9oUmW1yo/edit?usp=sharing"",""ลำพูน!J507"")"),119)</f>
        <v>119</v>
      </c>
      <c r="L29" s="307">
        <f t="shared" ca="1" si="4"/>
        <v>238</v>
      </c>
      <c r="M29" s="306">
        <f ca="1">IFERROR(__xludf.DUMMYFUNCTION("IMPORTRANGE(""https://docs.google.com/spreadsheets/d/11923uPwbBZFjjGgGUA6NLw09EwE0CqkOc4q9oUmW1yo/edit?usp=sharing"",""ลำพูน!J508"")"),119)</f>
        <v>119</v>
      </c>
      <c r="N29" s="307">
        <f t="shared" ca="1" si="5"/>
        <v>238</v>
      </c>
      <c r="O29" s="306">
        <f ca="1">IFERROR(__xludf.DUMMYFUNCTION("IMPORTRANGE(""https://docs.google.com/spreadsheets/d/11923uPwbBZFjjGgGUA6NLw09EwE0CqkOc4q9oUmW1yo/edit?usp=sharing"",""ลำพูน!J509"")"),119)</f>
        <v>119</v>
      </c>
      <c r="P29" s="307">
        <f t="shared" ca="1" si="6"/>
        <v>238</v>
      </c>
      <c r="Q29" s="306">
        <f ca="1">IFERROR(__xludf.DUMMYFUNCTION("IMPORTRANGE(""https://docs.google.com/spreadsheets/d/11923uPwbBZFjjGgGUA6NLw09EwE0CqkOc4q9oUmW1yo/edit?usp=sharing"",""ลำพูน!J510"")"),119)</f>
        <v>119</v>
      </c>
      <c r="R29" s="307">
        <f t="shared" ca="1" si="7"/>
        <v>238</v>
      </c>
      <c r="S29" s="306">
        <f ca="1">IFERROR(__xludf.DUMMYFUNCTION("IMPORTRANGE(""https://docs.google.com/spreadsheets/d/11923uPwbBZFjjGgGUA6NLw09EwE0CqkOc4q9oUmW1yo/edit?usp=sharing"",""ลำพูน!J511"")"),0)</f>
        <v>0</v>
      </c>
      <c r="T29" s="307">
        <f t="shared" ca="1" si="8"/>
        <v>0</v>
      </c>
      <c r="U29" s="639">
        <f t="shared" ca="1" si="32"/>
        <v>0</v>
      </c>
      <c r="V29" s="307">
        <f t="shared" ca="1" si="9"/>
        <v>0</v>
      </c>
      <c r="W29" s="639">
        <f ca="1">IFERROR(__xludf.DUMMYFUNCTION("IMPORTRANGE(""https://docs.google.com/spreadsheets/d/11923uPwbBZFjjGgGUA6NLw09EwE0CqkOc4q9oUmW1yo/edit?usp=sharing"",""ลำพูน!J513"")"),0)</f>
        <v>0</v>
      </c>
      <c r="X29" s="639">
        <f ca="1">IFERROR(__xludf.DUMMYFUNCTION("IMPORTRANGE(""https://docs.google.com/spreadsheets/d/11923uPwbBZFjjGgGUA6NLw09EwE0CqkOc4q9oUmW1yo/edit?usp=sharing"",""ลำพูน!J514"")"),0)</f>
        <v>0</v>
      </c>
      <c r="Y29" s="306">
        <f t="shared" ca="1" si="33"/>
        <v>0</v>
      </c>
      <c r="Z29" s="307">
        <f t="shared" ca="1" si="11"/>
        <v>0</v>
      </c>
      <c r="AA29" s="306">
        <f ca="1">IFERROR(__xludf.DUMMYFUNCTION("IMPORTRANGE(""https://docs.google.com/spreadsheets/d/11923uPwbBZFjjGgGUA6NLw09EwE0CqkOc4q9oUmW1yo/edit?usp=sharing"",""ลำพูน!J517"")"),0)</f>
        <v>0</v>
      </c>
      <c r="AB29" s="306">
        <f ca="1">IFERROR(__xludf.DUMMYFUNCTION("IMPORTRANGE(""https://docs.google.com/spreadsheets/d/11923uPwbBZFjjGgGUA6NLw09EwE0CqkOc4q9oUmW1yo/edit?usp=sharing"",""ลำพูน!J518"")"),0)</f>
        <v>0</v>
      </c>
      <c r="AC29" s="306">
        <f ca="1">IFERROR(__xludf.DUMMYFUNCTION("IMPORTRANGE(""https://docs.google.com/spreadsheets/d/11923uPwbBZFjjGgGUA6NLw09EwE0CqkOc4q9oUmW1yo/edit?usp=sharing"",""ลำพูน!J520"")"),0)</f>
        <v>0</v>
      </c>
      <c r="AD29" s="609">
        <f ca="1">IFERROR(__xludf.DUMMYFUNCTION("IMPORTRANGE(""https://docs.google.com/spreadsheets/d/11923uPwbBZFjjGgGUA6NLw09EwE0CqkOc4q9oUmW1yo/edit?usp=sharing"",""ลำพูน!J521"")"),0)</f>
        <v>0</v>
      </c>
    </row>
    <row r="30" spans="1:30" ht="21" customHeight="1">
      <c r="A30" s="303">
        <v>15</v>
      </c>
      <c r="B30" s="304" t="s">
        <v>54</v>
      </c>
      <c r="C30" s="305">
        <f t="shared" ca="1" si="30"/>
        <v>7300</v>
      </c>
      <c r="D30" s="306">
        <f ca="1">IFERROR(__xludf.DUMMYFUNCTION("IMPORTRANGE(""https://docs.google.com/spreadsheets/d/1C3CXT74ZlgGe6_JY_1olB1XN4rF0dxEuIIF-xsYjHgg/edit?usp=sharing"",""งบกองทุน!EV34"")"),0)</f>
        <v>0</v>
      </c>
      <c r="E30" s="306">
        <f ca="1">IFERROR(__xludf.DUMMYFUNCTION("IMPORTRANGE(""https://docs.google.com/spreadsheets/d/1C3CXT74ZlgGe6_JY_1olB1XN4rF0dxEuIIF-xsYjHgg/edit?usp=sharing"",""งบกองทุน!EW34"")"),7300)</f>
        <v>7300</v>
      </c>
      <c r="F30" s="307">
        <f ca="1">IFERROR(__xludf.DUMMYFUNCTION("IMPORTRANGE(""https://docs.google.com/spreadsheets/d/11923uPwbBZFjjGgGUA6NLw09EwE0CqkOc4q9oUmW1yo/edit?usp=sharing"",""สุโขทัย!M492"")"),0)</f>
        <v>0</v>
      </c>
      <c r="G30" s="307">
        <f t="shared" ca="1" si="1"/>
        <v>0</v>
      </c>
      <c r="H30" s="638">
        <f t="shared" ca="1" si="31"/>
        <v>100</v>
      </c>
      <c r="I30" s="638">
        <f ca="1">IFERROR(__xludf.DUMMYFUNCTION("IMPORTRANGE(""https://docs.google.com/spreadsheets/d/1C3CXT74ZlgGe6_JY_1olB1XN4rF0dxEuIIF-xsYjHgg/edit?usp=sharing"",""งบกองทุน!EZ34"")"),100)</f>
        <v>100</v>
      </c>
      <c r="J30" s="638">
        <f ca="1">IFERROR(__xludf.DUMMYFUNCTION("IMPORTRANGE(""https://docs.google.com/spreadsheets/d/1C3CXT74ZlgGe6_JY_1olB1XN4rF0dxEuIIF-xsYjHgg/edit?usp=sharing"",""งบกองทุน!FF34"")"),0)</f>
        <v>0</v>
      </c>
      <c r="K30" s="306">
        <f ca="1">IFERROR(__xludf.DUMMYFUNCTION("IMPORTRANGE(""https://docs.google.com/spreadsheets/d/11923uPwbBZFjjGgGUA6NLw09EwE0CqkOc4q9oUmW1yo/edit?usp=sharing"",""สุโขทัย!J507"")"),158)</f>
        <v>158</v>
      </c>
      <c r="L30" s="307">
        <f t="shared" ca="1" si="4"/>
        <v>158</v>
      </c>
      <c r="M30" s="306">
        <f ca="1">IFERROR(__xludf.DUMMYFUNCTION("IMPORTRANGE(""https://docs.google.com/spreadsheets/d/11923uPwbBZFjjGgGUA6NLw09EwE0CqkOc4q9oUmW1yo/edit?usp=sharing"",""สุโขทัย!J508"")"),0)</f>
        <v>0</v>
      </c>
      <c r="N30" s="307">
        <f t="shared" ca="1" si="5"/>
        <v>0</v>
      </c>
      <c r="O30" s="306">
        <f ca="1">IFERROR(__xludf.DUMMYFUNCTION("IMPORTRANGE(""https://docs.google.com/spreadsheets/d/11923uPwbBZFjjGgGUA6NLw09EwE0CqkOc4q9oUmW1yo/edit?usp=sharing"",""สุโขทัย!J509"")"),0)</f>
        <v>0</v>
      </c>
      <c r="P30" s="307">
        <f t="shared" ca="1" si="6"/>
        <v>0</v>
      </c>
      <c r="Q30" s="306">
        <f ca="1">IFERROR(__xludf.DUMMYFUNCTION("IMPORTRANGE(""https://docs.google.com/spreadsheets/d/11923uPwbBZFjjGgGUA6NLw09EwE0CqkOc4q9oUmW1yo/edit?usp=sharing"",""สุโขทัย!J510"")"),0)</f>
        <v>0</v>
      </c>
      <c r="R30" s="307">
        <f t="shared" ca="1" si="7"/>
        <v>0</v>
      </c>
      <c r="S30" s="306">
        <f ca="1">IFERROR(__xludf.DUMMYFUNCTION("IMPORTRANGE(""https://docs.google.com/spreadsheets/d/11923uPwbBZFjjGgGUA6NLw09EwE0CqkOc4q9oUmW1yo/edit?usp=sharing"",""สุโขทัย!J511"")"),0)</f>
        <v>0</v>
      </c>
      <c r="T30" s="307">
        <f t="shared" ca="1" si="8"/>
        <v>0</v>
      </c>
      <c r="U30" s="639">
        <f t="shared" ca="1" si="32"/>
        <v>0</v>
      </c>
      <c r="V30" s="307">
        <f t="shared" ca="1" si="9"/>
        <v>0</v>
      </c>
      <c r="W30" s="639">
        <f ca="1">IFERROR(__xludf.DUMMYFUNCTION("IMPORTRANGE(""https://docs.google.com/spreadsheets/d/11923uPwbBZFjjGgGUA6NLw09EwE0CqkOc4q9oUmW1yo/edit?usp=sharing"",""สุโขทัย!J513"")"),0)</f>
        <v>0</v>
      </c>
      <c r="X30" s="639">
        <f ca="1">IFERROR(__xludf.DUMMYFUNCTION("IMPORTRANGE(""https://docs.google.com/spreadsheets/d/11923uPwbBZFjjGgGUA6NLw09EwE0CqkOc4q9oUmW1yo/edit?usp=sharing"",""สุโขทัย!J514"")"),0)</f>
        <v>0</v>
      </c>
      <c r="Y30" s="306">
        <f t="shared" ca="1" si="33"/>
        <v>0</v>
      </c>
      <c r="Z30" s="307">
        <f t="shared" ca="1" si="11"/>
        <v>0</v>
      </c>
      <c r="AA30" s="306">
        <f ca="1">IFERROR(__xludf.DUMMYFUNCTION("IMPORTRANGE(""https://docs.google.com/spreadsheets/d/11923uPwbBZFjjGgGUA6NLw09EwE0CqkOc4q9oUmW1yo/edit?usp=sharing"",""สุโขทัย!J517"")"),0)</f>
        <v>0</v>
      </c>
      <c r="AB30" s="306">
        <f ca="1">IFERROR(__xludf.DUMMYFUNCTION("IMPORTRANGE(""https://docs.google.com/spreadsheets/d/11923uPwbBZFjjGgGUA6NLw09EwE0CqkOc4q9oUmW1yo/edit?usp=sharing"",""สุโขทัย!J518"")"),0)</f>
        <v>0</v>
      </c>
      <c r="AC30" s="306">
        <f ca="1">IFERROR(__xludf.DUMMYFUNCTION("IMPORTRANGE(""https://docs.google.com/spreadsheets/d/11923uPwbBZFjjGgGUA6NLw09EwE0CqkOc4q9oUmW1yo/edit?usp=sharing"",""สุโขทัย!J520"")"),0)</f>
        <v>0</v>
      </c>
      <c r="AD30" s="609">
        <f ca="1">IFERROR(__xludf.DUMMYFUNCTION("IMPORTRANGE(""https://docs.google.com/spreadsheets/d/11923uPwbBZFjjGgGUA6NLw09EwE0CqkOc4q9oUmW1yo/edit?usp=sharing"",""สุโขทัย!J521"")"),0)</f>
        <v>0</v>
      </c>
    </row>
    <row r="31" spans="1:30" ht="21" customHeight="1">
      <c r="A31" s="303">
        <v>16</v>
      </c>
      <c r="B31" s="304" t="s">
        <v>55</v>
      </c>
      <c r="C31" s="305">
        <f t="shared" ca="1" si="30"/>
        <v>6150</v>
      </c>
      <c r="D31" s="306">
        <f ca="1">IFERROR(__xludf.DUMMYFUNCTION("IMPORTRANGE(""https://docs.google.com/spreadsheets/d/1C3CXT74ZlgGe6_JY_1olB1XN4rF0dxEuIIF-xsYjHgg/edit?usp=sharing"",""งบกองทุน!EV35"")"),0)</f>
        <v>0</v>
      </c>
      <c r="E31" s="306">
        <f ca="1">IFERROR(__xludf.DUMMYFUNCTION("IMPORTRANGE(""https://docs.google.com/spreadsheets/d/1C3CXT74ZlgGe6_JY_1olB1XN4rF0dxEuIIF-xsYjHgg/edit?usp=sharing"",""งบกองทุน!EW35"")"),6150)</f>
        <v>6150</v>
      </c>
      <c r="F31" s="307">
        <f ca="1">IFERROR(__xludf.DUMMYFUNCTION("IMPORTRANGE(""https://docs.google.com/spreadsheets/d/11923uPwbBZFjjGgGUA6NLw09EwE0CqkOc4q9oUmW1yo/edit?usp=sharing"",""อุตรดิตถ์!M492"")"),1600)</f>
        <v>1600</v>
      </c>
      <c r="G31" s="307">
        <f t="shared" ca="1" si="1"/>
        <v>26.016260162601625</v>
      </c>
      <c r="H31" s="638">
        <f t="shared" ca="1" si="31"/>
        <v>1627</v>
      </c>
      <c r="I31" s="638">
        <f ca="1">IFERROR(__xludf.DUMMYFUNCTION("IMPORTRANGE(""https://docs.google.com/spreadsheets/d/1C3CXT74ZlgGe6_JY_1olB1XN4rF0dxEuIIF-xsYjHgg/edit?usp=sharing"",""งบกองทุน!EZ35"")"),50)</f>
        <v>50</v>
      </c>
      <c r="J31" s="638">
        <f ca="1">IFERROR(__xludf.DUMMYFUNCTION("IMPORTRANGE(""https://docs.google.com/spreadsheets/d/1C3CXT74ZlgGe6_JY_1olB1XN4rF0dxEuIIF-xsYjHgg/edit?usp=sharing"",""งบกองทุน!FF35"")"),1577)</f>
        <v>1577</v>
      </c>
      <c r="K31" s="306">
        <f ca="1">IFERROR(__xludf.DUMMYFUNCTION("IMPORTRANGE(""https://docs.google.com/spreadsheets/d/11923uPwbBZFjjGgGUA6NLw09EwE0CqkOc4q9oUmW1yo/edit?usp=sharing"",""อุตรดิตถ์!J507"")"),0)</f>
        <v>0</v>
      </c>
      <c r="L31" s="307">
        <f t="shared" ca="1" si="4"/>
        <v>0</v>
      </c>
      <c r="M31" s="306">
        <f ca="1">IFERROR(__xludf.DUMMYFUNCTION("IMPORTRANGE(""https://docs.google.com/spreadsheets/d/11923uPwbBZFjjGgGUA6NLw09EwE0CqkOc4q9oUmW1yo/edit?usp=sharing"",""อุตรดิตถ์!J508"")"),0)</f>
        <v>0</v>
      </c>
      <c r="N31" s="307">
        <f t="shared" ca="1" si="5"/>
        <v>0</v>
      </c>
      <c r="O31" s="306">
        <f ca="1">IFERROR(__xludf.DUMMYFUNCTION("IMPORTRANGE(""https://docs.google.com/spreadsheets/d/11923uPwbBZFjjGgGUA6NLw09EwE0CqkOc4q9oUmW1yo/edit?usp=sharing"",""อุตรดิตถ์!J509"")"),0)</f>
        <v>0</v>
      </c>
      <c r="P31" s="307">
        <f t="shared" ca="1" si="6"/>
        <v>0</v>
      </c>
      <c r="Q31" s="306">
        <f ca="1">IFERROR(__xludf.DUMMYFUNCTION("IMPORTRANGE(""https://docs.google.com/spreadsheets/d/11923uPwbBZFjjGgGUA6NLw09EwE0CqkOc4q9oUmW1yo/edit?usp=sharing"",""อุตรดิตถ์!J510"")"),0)</f>
        <v>0</v>
      </c>
      <c r="R31" s="307">
        <f t="shared" ca="1" si="7"/>
        <v>0</v>
      </c>
      <c r="S31" s="306">
        <f ca="1">IFERROR(__xludf.DUMMYFUNCTION("IMPORTRANGE(""https://docs.google.com/spreadsheets/d/11923uPwbBZFjjGgGUA6NLw09EwE0CqkOc4q9oUmW1yo/edit?usp=sharing"",""อุตรดิตถ์!J511"")"),0)</f>
        <v>0</v>
      </c>
      <c r="T31" s="307">
        <f t="shared" ca="1" si="8"/>
        <v>0</v>
      </c>
      <c r="U31" s="639">
        <f t="shared" ca="1" si="32"/>
        <v>0</v>
      </c>
      <c r="V31" s="307">
        <f t="shared" ca="1" si="9"/>
        <v>0</v>
      </c>
      <c r="W31" s="639">
        <f ca="1">IFERROR(__xludf.DUMMYFUNCTION("IMPORTRANGE(""https://docs.google.com/spreadsheets/d/11923uPwbBZFjjGgGUA6NLw09EwE0CqkOc4q9oUmW1yo/edit?usp=sharing"",""อุตรดิตถ์!J513"")"),0)</f>
        <v>0</v>
      </c>
      <c r="X31" s="639">
        <f ca="1">IFERROR(__xludf.DUMMYFUNCTION("IMPORTRANGE(""https://docs.google.com/spreadsheets/d/11923uPwbBZFjjGgGUA6NLw09EwE0CqkOc4q9oUmW1yo/edit?usp=sharing"",""อุตรดิตถ์!J514"")"),0)</f>
        <v>0</v>
      </c>
      <c r="Y31" s="306">
        <f t="shared" ca="1" si="33"/>
        <v>0</v>
      </c>
      <c r="Z31" s="307">
        <f t="shared" ca="1" si="11"/>
        <v>0</v>
      </c>
      <c r="AA31" s="306">
        <f ca="1">IFERROR(__xludf.DUMMYFUNCTION("IMPORTRANGE(""https://docs.google.com/spreadsheets/d/11923uPwbBZFjjGgGUA6NLw09EwE0CqkOc4q9oUmW1yo/edit?usp=sharing"",""อุตรดิตถ์!J517"")"),0)</f>
        <v>0</v>
      </c>
      <c r="AB31" s="306">
        <f ca="1">IFERROR(__xludf.DUMMYFUNCTION("IMPORTRANGE(""https://docs.google.com/spreadsheets/d/11923uPwbBZFjjGgGUA6NLw09EwE0CqkOc4q9oUmW1yo/edit?usp=sharing"",""อุตรดิตถ์!J518"")"),0)</f>
        <v>0</v>
      </c>
      <c r="AC31" s="306">
        <f ca="1">IFERROR(__xludf.DUMMYFUNCTION("IMPORTRANGE(""https://docs.google.com/spreadsheets/d/11923uPwbBZFjjGgGUA6NLw09EwE0CqkOc4q9oUmW1yo/edit?usp=sharing"",""อุตรดิตถ์!J520"")"),0)</f>
        <v>0</v>
      </c>
      <c r="AD31" s="609">
        <f ca="1">IFERROR(__xludf.DUMMYFUNCTION("IMPORTRANGE(""https://docs.google.com/spreadsheets/d/11923uPwbBZFjjGgGUA6NLw09EwE0CqkOc4q9oUmW1yo/edit?usp=sharing"",""อุตรดิตถ์!J521"")"),0)</f>
        <v>0</v>
      </c>
    </row>
    <row r="32" spans="1:30" ht="21" customHeight="1">
      <c r="A32" s="310">
        <v>17</v>
      </c>
      <c r="B32" s="311" t="s">
        <v>56</v>
      </c>
      <c r="C32" s="312">
        <f t="shared" ca="1" si="30"/>
        <v>8550</v>
      </c>
      <c r="D32" s="313">
        <f ca="1">IFERROR(__xludf.DUMMYFUNCTION("IMPORTRANGE(""https://docs.google.com/spreadsheets/d/1C3CXT74ZlgGe6_JY_1olB1XN4rF0dxEuIIF-xsYjHgg/edit?usp=sharing"",""งบกองทุน!EV36"")"),0)</f>
        <v>0</v>
      </c>
      <c r="E32" s="313">
        <f ca="1">IFERROR(__xludf.DUMMYFUNCTION("IMPORTRANGE(""https://docs.google.com/spreadsheets/d/1C3CXT74ZlgGe6_JY_1olB1XN4rF0dxEuIIF-xsYjHgg/edit?usp=sharing"",""งบกองทุน!EW36"")"),8550)</f>
        <v>8550</v>
      </c>
      <c r="F32" s="314">
        <f ca="1">IFERROR(__xludf.DUMMYFUNCTION("IMPORTRANGE(""https://docs.google.com/spreadsheets/d/11923uPwbBZFjjGgGUA6NLw09EwE0CqkOc4q9oUmW1yo/edit?usp=sharing"",""อุทัยธานี!M492"")"),5800)</f>
        <v>5800</v>
      </c>
      <c r="G32" s="314">
        <f t="shared" ca="1" si="1"/>
        <v>67.836257309941516</v>
      </c>
      <c r="H32" s="640">
        <f t="shared" ca="1" si="31"/>
        <v>50</v>
      </c>
      <c r="I32" s="640">
        <f ca="1">IFERROR(__xludf.DUMMYFUNCTION("IMPORTRANGE(""https://docs.google.com/spreadsheets/d/1C3CXT74ZlgGe6_JY_1olB1XN4rF0dxEuIIF-xsYjHgg/edit?usp=sharing"",""งบกองทุน!EZ36"")"),50)</f>
        <v>50</v>
      </c>
      <c r="J32" s="640">
        <f ca="1">IFERROR(__xludf.DUMMYFUNCTION("IMPORTRANGE(""https://docs.google.com/spreadsheets/d/1C3CXT74ZlgGe6_JY_1olB1XN4rF0dxEuIIF-xsYjHgg/edit?usp=sharing"",""งบกองทุน!FF36"")"),0)</f>
        <v>0</v>
      </c>
      <c r="K32" s="313">
        <f ca="1">IFERROR(__xludf.DUMMYFUNCTION("IMPORTRANGE(""https://docs.google.com/spreadsheets/d/11923uPwbBZFjjGgGUA6NLw09EwE0CqkOc4q9oUmW1yo/edit?usp=sharing"",""อุทัยธานี!J507"")"),0)</f>
        <v>0</v>
      </c>
      <c r="L32" s="314">
        <f t="shared" ca="1" si="4"/>
        <v>0</v>
      </c>
      <c r="M32" s="313">
        <f ca="1">IFERROR(__xludf.DUMMYFUNCTION("IMPORTRANGE(""https://docs.google.com/spreadsheets/d/11923uPwbBZFjjGgGUA6NLw09EwE0CqkOc4q9oUmW1yo/edit?usp=sharing"",""อุทัยธานี!J508"")"),0)</f>
        <v>0</v>
      </c>
      <c r="N32" s="314">
        <f t="shared" ca="1" si="5"/>
        <v>0</v>
      </c>
      <c r="O32" s="313">
        <f ca="1">IFERROR(__xludf.DUMMYFUNCTION("IMPORTRANGE(""https://docs.google.com/spreadsheets/d/11923uPwbBZFjjGgGUA6NLw09EwE0CqkOc4q9oUmW1yo/edit?usp=sharing"",""อุทัยธานี!J509"")"),0)</f>
        <v>0</v>
      </c>
      <c r="P32" s="314">
        <f t="shared" ca="1" si="6"/>
        <v>0</v>
      </c>
      <c r="Q32" s="313">
        <f ca="1">IFERROR(__xludf.DUMMYFUNCTION("IMPORTRANGE(""https://docs.google.com/spreadsheets/d/11923uPwbBZFjjGgGUA6NLw09EwE0CqkOc4q9oUmW1yo/edit?usp=sharing"",""อุทัยธานี!J510"")"),0)</f>
        <v>0</v>
      </c>
      <c r="R32" s="314">
        <f t="shared" ca="1" si="7"/>
        <v>0</v>
      </c>
      <c r="S32" s="313">
        <f ca="1">IFERROR(__xludf.DUMMYFUNCTION("IMPORTRANGE(""https://docs.google.com/spreadsheets/d/11923uPwbBZFjjGgGUA6NLw09EwE0CqkOc4q9oUmW1yo/edit?usp=sharing"",""อุทัยธานี!J511"")"),0)</f>
        <v>0</v>
      </c>
      <c r="T32" s="314">
        <f t="shared" ca="1" si="8"/>
        <v>0</v>
      </c>
      <c r="U32" s="641">
        <f t="shared" ca="1" si="32"/>
        <v>0</v>
      </c>
      <c r="V32" s="314">
        <f t="shared" ca="1" si="9"/>
        <v>0</v>
      </c>
      <c r="W32" s="641">
        <f ca="1">IFERROR(__xludf.DUMMYFUNCTION("IMPORTRANGE(""https://docs.google.com/spreadsheets/d/11923uPwbBZFjjGgGUA6NLw09EwE0CqkOc4q9oUmW1yo/edit?usp=sharing"",""อุทัยธานี!J513"")"),0)</f>
        <v>0</v>
      </c>
      <c r="X32" s="641">
        <f ca="1">IFERROR(__xludf.DUMMYFUNCTION("IMPORTRANGE(""https://docs.google.com/spreadsheets/d/11923uPwbBZFjjGgGUA6NLw09EwE0CqkOc4q9oUmW1yo/edit?usp=sharing"",""อุทัยธานี!J514"")"),0)</f>
        <v>0</v>
      </c>
      <c r="Y32" s="313">
        <f t="shared" ca="1" si="33"/>
        <v>0</v>
      </c>
      <c r="Z32" s="314">
        <f t="shared" ca="1" si="11"/>
        <v>0</v>
      </c>
      <c r="AA32" s="313">
        <f ca="1">IFERROR(__xludf.DUMMYFUNCTION("IMPORTRANGE(""https://docs.google.com/spreadsheets/d/11923uPwbBZFjjGgGUA6NLw09EwE0CqkOc4q9oUmW1yo/edit?usp=sharing"",""อุทัยธานี!J517"")"),0)</f>
        <v>0</v>
      </c>
      <c r="AB32" s="313">
        <f ca="1">IFERROR(__xludf.DUMMYFUNCTION("IMPORTRANGE(""https://docs.google.com/spreadsheets/d/11923uPwbBZFjjGgGUA6NLw09EwE0CqkOc4q9oUmW1yo/edit?usp=sharing"",""อุทัยธานี!J518"")"),0)</f>
        <v>0</v>
      </c>
      <c r="AC32" s="313">
        <f ca="1">IFERROR(__xludf.DUMMYFUNCTION("IMPORTRANGE(""https://docs.google.com/spreadsheets/d/11923uPwbBZFjjGgGUA6NLw09EwE0CqkOc4q9oUmW1yo/edit?usp=sharing"",""อุทัยธานี!J520"")"),0)</f>
        <v>0</v>
      </c>
      <c r="AD32" s="611">
        <f ca="1">IFERROR(__xludf.DUMMYFUNCTION("IMPORTRANGE(""https://docs.google.com/spreadsheets/d/11923uPwbBZFjjGgGUA6NLw09EwE0CqkOc4q9oUmW1yo/edit?usp=sharing"",""อุทัยธานี!J521"")"),0)</f>
        <v>0</v>
      </c>
    </row>
    <row r="33" spans="1:30" ht="21" customHeight="1">
      <c r="A33" s="800" t="s">
        <v>57</v>
      </c>
      <c r="B33" s="678"/>
      <c r="C33" s="317">
        <f t="shared" ref="C33:F33" ca="1" si="34">SUM(C34:C53)</f>
        <v>223250</v>
      </c>
      <c r="D33" s="318">
        <f t="shared" ca="1" si="34"/>
        <v>0</v>
      </c>
      <c r="E33" s="318">
        <f t="shared" ca="1" si="34"/>
        <v>223250</v>
      </c>
      <c r="F33" s="319">
        <f t="shared" ca="1" si="34"/>
        <v>45999</v>
      </c>
      <c r="G33" s="319">
        <f t="shared" ca="1" si="1"/>
        <v>20.604255319148937</v>
      </c>
      <c r="H33" s="318">
        <f t="shared" ref="H33:K33" ca="1" si="35">SUM(H34:H53)</f>
        <v>2556</v>
      </c>
      <c r="I33" s="318">
        <f t="shared" ca="1" si="35"/>
        <v>2270</v>
      </c>
      <c r="J33" s="318">
        <f t="shared" ca="1" si="35"/>
        <v>286</v>
      </c>
      <c r="K33" s="318">
        <f t="shared" ca="1" si="35"/>
        <v>1446.22</v>
      </c>
      <c r="L33" s="319">
        <f t="shared" ca="1" si="4"/>
        <v>56.581377151799686</v>
      </c>
      <c r="M33" s="318">
        <f ca="1">SUM(M34:M53)</f>
        <v>1278.22</v>
      </c>
      <c r="N33" s="319">
        <f t="shared" ca="1" si="5"/>
        <v>50.008607198748045</v>
      </c>
      <c r="O33" s="318">
        <f ca="1">SUM(O34:O53)</f>
        <v>1369.22</v>
      </c>
      <c r="P33" s="319">
        <f t="shared" ca="1" si="6"/>
        <v>53.568857589984347</v>
      </c>
      <c r="Q33" s="318">
        <f ca="1">SUM(Q34:Q53)</f>
        <v>538.22</v>
      </c>
      <c r="R33" s="319">
        <f t="shared" ca="1" si="7"/>
        <v>21.057120500782471</v>
      </c>
      <c r="S33" s="318">
        <f ca="1">SUM(S34:S53)</f>
        <v>165</v>
      </c>
      <c r="T33" s="319">
        <f t="shared" ca="1" si="8"/>
        <v>6.455399061032864</v>
      </c>
      <c r="U33" s="318">
        <f ca="1">SUM(U34:U53)</f>
        <v>0</v>
      </c>
      <c r="V33" s="319">
        <f t="shared" ca="1" si="9"/>
        <v>0</v>
      </c>
      <c r="W33" s="318">
        <f t="shared" ref="W33:Y33" ca="1" si="36">SUM(W34:W53)</f>
        <v>0</v>
      </c>
      <c r="X33" s="318">
        <f t="shared" ca="1" si="36"/>
        <v>0</v>
      </c>
      <c r="Y33" s="318">
        <f t="shared" ca="1" si="36"/>
        <v>0</v>
      </c>
      <c r="Z33" s="319">
        <f t="shared" ca="1" si="11"/>
        <v>0</v>
      </c>
      <c r="AA33" s="318">
        <f t="shared" ref="AA33:AD33" ca="1" si="37">SUM(AA34:AA53)</f>
        <v>0</v>
      </c>
      <c r="AB33" s="318">
        <f t="shared" ca="1" si="37"/>
        <v>0</v>
      </c>
      <c r="AC33" s="318">
        <f t="shared" ca="1" si="37"/>
        <v>0</v>
      </c>
      <c r="AD33" s="612">
        <f t="shared" ca="1" si="37"/>
        <v>0</v>
      </c>
    </row>
    <row r="34" spans="1:30" ht="21" customHeight="1">
      <c r="A34" s="293">
        <v>1</v>
      </c>
      <c r="B34" s="357" t="s">
        <v>58</v>
      </c>
      <c r="C34" s="295">
        <f t="shared" ref="C34:C53" ca="1" si="38">+D34+E34</f>
        <v>4550</v>
      </c>
      <c r="D34" s="296">
        <f ca="1">IFERROR(__xludf.DUMMYFUNCTION("IMPORTRANGE(""https://docs.google.com/spreadsheets/d/1C3CXT74ZlgGe6_JY_1olB1XN4rF0dxEuIIF-xsYjHgg/edit?usp=sharing"",""งบกองทุน!EV38"")"),0)</f>
        <v>0</v>
      </c>
      <c r="E34" s="296">
        <f ca="1">IFERROR(__xludf.DUMMYFUNCTION("IMPORTRANGE(""https://docs.google.com/spreadsheets/d/1C3CXT74ZlgGe6_JY_1olB1XN4rF0dxEuIIF-xsYjHgg/edit?usp=sharing"",""งบกองทุน!EW38"")"),4550)</f>
        <v>4550</v>
      </c>
      <c r="F34" s="297">
        <f ca="1">IFERROR(__xludf.DUMMYFUNCTION("IMPORTRANGE(""https://docs.google.com/spreadsheets/d/1XL5vhW3sbDhbH9Cz0tuDiY8C3ctxq1tqvaCgkFb8cCA/edit?usp=sharing"",""กาฬสินธุ์!M492"")"),1400)</f>
        <v>1400</v>
      </c>
      <c r="G34" s="297">
        <f t="shared" ca="1" si="1"/>
        <v>30.76923076923077</v>
      </c>
      <c r="H34" s="636">
        <f t="shared" ref="H34:H53" ca="1" si="39">+I34+J34</f>
        <v>50</v>
      </c>
      <c r="I34" s="636">
        <f ca="1">IFERROR(__xludf.DUMMYFUNCTION("IMPORTRANGE(""https://docs.google.com/spreadsheets/d/1C3CXT74ZlgGe6_JY_1olB1XN4rF0dxEuIIF-xsYjHgg/edit?usp=sharing"",""งบกองทุน!EZ38"")"),50)</f>
        <v>50</v>
      </c>
      <c r="J34" s="636">
        <f ca="1">IFERROR(__xludf.DUMMYFUNCTION("IMPORTRANGE(""https://docs.google.com/spreadsheets/d/1C3CXT74ZlgGe6_JY_1olB1XN4rF0dxEuIIF-xsYjHgg/edit?usp=sharing"",""งบกองทุน!FF38"")"),0)</f>
        <v>0</v>
      </c>
      <c r="K34" s="296">
        <f ca="1">IFERROR(__xludf.DUMMYFUNCTION("IMPORTRANGE(""https://docs.google.com/spreadsheets/d/1XL5vhW3sbDhbH9Cz0tuDiY8C3ctxq1tqvaCgkFb8cCA/edit?usp=sharing"",""กาฬสินธุ์!J507"")"),0)</f>
        <v>0</v>
      </c>
      <c r="L34" s="297">
        <f t="shared" ca="1" si="4"/>
        <v>0</v>
      </c>
      <c r="M34" s="296">
        <f ca="1">IFERROR(__xludf.DUMMYFUNCTION("IMPORTRANGE(""https://docs.google.com/spreadsheets/d/1XL5vhW3sbDhbH9Cz0tuDiY8C3ctxq1tqvaCgkFb8cCA/edit?usp=sharing"",""กาฬสินธุ์!J508"")"),0)</f>
        <v>0</v>
      </c>
      <c r="N34" s="297">
        <f t="shared" ca="1" si="5"/>
        <v>0</v>
      </c>
      <c r="O34" s="296">
        <f ca="1">IFERROR(__xludf.DUMMYFUNCTION("IMPORTRANGE(""https://docs.google.com/spreadsheets/d/1XL5vhW3sbDhbH9Cz0tuDiY8C3ctxq1tqvaCgkFb8cCA/edit?usp=sharing"",""กาฬสินธุ์!J509"")"),0)</f>
        <v>0</v>
      </c>
      <c r="P34" s="297">
        <f t="shared" ca="1" si="6"/>
        <v>0</v>
      </c>
      <c r="Q34" s="296">
        <f ca="1">IFERROR(__xludf.DUMMYFUNCTION("IMPORTRANGE(""https://docs.google.com/spreadsheets/d/1XL5vhW3sbDhbH9Cz0tuDiY8C3ctxq1tqvaCgkFb8cCA/edit?usp=sharing"",""กาฬสินธุ์!J510"")"),0)</f>
        <v>0</v>
      </c>
      <c r="R34" s="297">
        <f t="shared" ca="1" si="7"/>
        <v>0</v>
      </c>
      <c r="S34" s="296">
        <f ca="1">IFERROR(__xludf.DUMMYFUNCTION("IMPORTRANGE(""https://docs.google.com/spreadsheets/d/1XL5vhW3sbDhbH9Cz0tuDiY8C3ctxq1tqvaCgkFb8cCA/edit?usp=sharing"",""กาฬสินธุ์!J511"")"),0)</f>
        <v>0</v>
      </c>
      <c r="T34" s="297">
        <f t="shared" ca="1" si="8"/>
        <v>0</v>
      </c>
      <c r="U34" s="637">
        <f t="shared" ref="U34:U53" ca="1" si="40">SUM(W34,X34)</f>
        <v>0</v>
      </c>
      <c r="V34" s="297">
        <f t="shared" ca="1" si="9"/>
        <v>0</v>
      </c>
      <c r="W34" s="637">
        <f ca="1">IFERROR(__xludf.DUMMYFUNCTION("IMPORTRANGE(""https://docs.google.com/spreadsheets/d/1XL5vhW3sbDhbH9Cz0tuDiY8C3ctxq1tqvaCgkFb8cCA/edit?usp=sharing"",""กาฬสินธุ์!J513"")"),0)</f>
        <v>0</v>
      </c>
      <c r="X34" s="637">
        <f ca="1">IFERROR(__xludf.DUMMYFUNCTION("IMPORTRANGE(""https://docs.google.com/spreadsheets/d/1XL5vhW3sbDhbH9Cz0tuDiY8C3ctxq1tqvaCgkFb8cCA/edit?usp=sharing"",""กาฬสินธุ์!J514"")"),0)</f>
        <v>0</v>
      </c>
      <c r="Y34" s="296">
        <f t="shared" ref="Y34:Y53" ca="1" si="41">SUM(AA34,AB34)</f>
        <v>0</v>
      </c>
      <c r="Z34" s="297">
        <f t="shared" ca="1" si="11"/>
        <v>0</v>
      </c>
      <c r="AA34" s="296">
        <f ca="1">IFERROR(__xludf.DUMMYFUNCTION("IMPORTRANGE(""https://docs.google.com/spreadsheets/d/1XL5vhW3sbDhbH9Cz0tuDiY8C3ctxq1tqvaCgkFb8cCA/edit?usp=sharing"",""กาฬสินธุ์!J517"")"),0)</f>
        <v>0</v>
      </c>
      <c r="AB34" s="296">
        <f ca="1">IFERROR(__xludf.DUMMYFUNCTION("IMPORTRANGE(""https://docs.google.com/spreadsheets/d/1XL5vhW3sbDhbH9Cz0tuDiY8C3ctxq1tqvaCgkFb8cCA/edit?usp=sharing"",""กาฬสินธุ์!J518"")"),0)</f>
        <v>0</v>
      </c>
      <c r="AC34" s="296">
        <f ca="1">IFERROR(__xludf.DUMMYFUNCTION("IMPORTRANGE(""https://docs.google.com/spreadsheets/d/1XL5vhW3sbDhbH9Cz0tuDiY8C3ctxq1tqvaCgkFb8cCA/edit?usp=sharing"",""กาฬสินธุ์!J520"")"),0)</f>
        <v>0</v>
      </c>
      <c r="AD34" s="607">
        <f ca="1">IFERROR(__xludf.DUMMYFUNCTION("IMPORTRANGE(""https://docs.google.com/spreadsheets/d/1XL5vhW3sbDhbH9Cz0tuDiY8C3ctxq1tqvaCgkFb8cCA/edit?usp=sharing"",""กาฬสินธุ์!J521"")"),0)</f>
        <v>0</v>
      </c>
    </row>
    <row r="35" spans="1:30" ht="21" customHeight="1">
      <c r="A35" s="303">
        <v>2</v>
      </c>
      <c r="B35" s="304" t="s">
        <v>59</v>
      </c>
      <c r="C35" s="305">
        <f t="shared" ca="1" si="38"/>
        <v>10500</v>
      </c>
      <c r="D35" s="306">
        <f ca="1">IFERROR(__xludf.DUMMYFUNCTION("IMPORTRANGE(""https://docs.google.com/spreadsheets/d/1C3CXT74ZlgGe6_JY_1olB1XN4rF0dxEuIIF-xsYjHgg/edit?usp=sharing"",""งบกองทุน!EV39"")"),0)</f>
        <v>0</v>
      </c>
      <c r="E35" s="306">
        <f ca="1">IFERROR(__xludf.DUMMYFUNCTION("IMPORTRANGE(""https://docs.google.com/spreadsheets/d/1C3CXT74ZlgGe6_JY_1olB1XN4rF0dxEuIIF-xsYjHgg/edit?usp=sharing"",""งบกองทุน!EW39"")"),10500)</f>
        <v>10500</v>
      </c>
      <c r="F35" s="307">
        <f ca="1">IFERROR(__xludf.DUMMYFUNCTION("IMPORTRANGE(""https://docs.google.com/spreadsheets/d/1XL5vhW3sbDhbH9Cz0tuDiY8C3ctxq1tqvaCgkFb8cCA/edit?usp=sharing"",""ขอนแก่น!M492"")"),5450)</f>
        <v>5450</v>
      </c>
      <c r="G35" s="307">
        <f t="shared" ca="1" si="1"/>
        <v>51.904761904761905</v>
      </c>
      <c r="H35" s="638">
        <f t="shared" ca="1" si="39"/>
        <v>100</v>
      </c>
      <c r="I35" s="638">
        <f ca="1">IFERROR(__xludf.DUMMYFUNCTION("IMPORTRANGE(""https://docs.google.com/spreadsheets/d/1C3CXT74ZlgGe6_JY_1olB1XN4rF0dxEuIIF-xsYjHgg/edit?usp=sharing"",""งบกองทุน!EZ39"")"),100)</f>
        <v>100</v>
      </c>
      <c r="J35" s="638">
        <f ca="1">IFERROR(__xludf.DUMMYFUNCTION("IMPORTRANGE(""https://docs.google.com/spreadsheets/d/1C3CXT74ZlgGe6_JY_1olB1XN4rF0dxEuIIF-xsYjHgg/edit?usp=sharing"",""งบกองทุน!FF39"")"),0)</f>
        <v>0</v>
      </c>
      <c r="K35" s="306">
        <f ca="1">IFERROR(__xludf.DUMMYFUNCTION("IMPORTRANGE(""https://docs.google.com/spreadsheets/d/1XL5vhW3sbDhbH9Cz0tuDiY8C3ctxq1tqvaCgkFb8cCA/edit?usp=sharing"",""ขอนแก่น!J507"")"),0)</f>
        <v>0</v>
      </c>
      <c r="L35" s="307">
        <f t="shared" ca="1" si="4"/>
        <v>0</v>
      </c>
      <c r="M35" s="306">
        <f ca="1">IFERROR(__xludf.DUMMYFUNCTION("IMPORTRANGE(""https://docs.google.com/spreadsheets/d/1XL5vhW3sbDhbH9Cz0tuDiY8C3ctxq1tqvaCgkFb8cCA/edit?usp=sharing"",""ขอนแก่น!J508"")"),0)</f>
        <v>0</v>
      </c>
      <c r="N35" s="307">
        <f t="shared" ca="1" si="5"/>
        <v>0</v>
      </c>
      <c r="O35" s="306">
        <f ca="1">IFERROR(__xludf.DUMMYFUNCTION("IMPORTRANGE(""https://docs.google.com/spreadsheets/d/1XL5vhW3sbDhbH9Cz0tuDiY8C3ctxq1tqvaCgkFb8cCA/edit?usp=sharing"",""ขอนแก่น!J509"")"),0)</f>
        <v>0</v>
      </c>
      <c r="P35" s="307">
        <f t="shared" ca="1" si="6"/>
        <v>0</v>
      </c>
      <c r="Q35" s="306">
        <f ca="1">IFERROR(__xludf.DUMMYFUNCTION("IMPORTRANGE(""https://docs.google.com/spreadsheets/d/1XL5vhW3sbDhbH9Cz0tuDiY8C3ctxq1tqvaCgkFb8cCA/edit?usp=sharing"",""ขอนแก่น!J510"")"),0)</f>
        <v>0</v>
      </c>
      <c r="R35" s="307">
        <f t="shared" ca="1" si="7"/>
        <v>0</v>
      </c>
      <c r="S35" s="306">
        <f ca="1">IFERROR(__xludf.DUMMYFUNCTION("IMPORTRANGE(""https://docs.google.com/spreadsheets/d/1XL5vhW3sbDhbH9Cz0tuDiY8C3ctxq1tqvaCgkFb8cCA/edit?usp=sharing"",""ขอนแก่น!J511"")"),0)</f>
        <v>0</v>
      </c>
      <c r="T35" s="307">
        <f t="shared" ca="1" si="8"/>
        <v>0</v>
      </c>
      <c r="U35" s="639">
        <f t="shared" ca="1" si="40"/>
        <v>0</v>
      </c>
      <c r="V35" s="307">
        <f t="shared" ca="1" si="9"/>
        <v>0</v>
      </c>
      <c r="W35" s="639">
        <f ca="1">IFERROR(__xludf.DUMMYFUNCTION("IMPORTRANGE(""https://docs.google.com/spreadsheets/d/1XL5vhW3sbDhbH9Cz0tuDiY8C3ctxq1tqvaCgkFb8cCA/edit?usp=sharing"",""ขอนแก่น!J513"")"),0)</f>
        <v>0</v>
      </c>
      <c r="X35" s="639">
        <f ca="1">IFERROR(__xludf.DUMMYFUNCTION("IMPORTRANGE(""https://docs.google.com/spreadsheets/d/1XL5vhW3sbDhbH9Cz0tuDiY8C3ctxq1tqvaCgkFb8cCA/edit?usp=sharing"",""ขอนแก่น!J514"")"),0)</f>
        <v>0</v>
      </c>
      <c r="Y35" s="306">
        <f t="shared" ca="1" si="41"/>
        <v>0</v>
      </c>
      <c r="Z35" s="307">
        <f t="shared" ca="1" si="11"/>
        <v>0</v>
      </c>
      <c r="AA35" s="306">
        <f ca="1">IFERROR(__xludf.DUMMYFUNCTION("IMPORTRANGE(""https://docs.google.com/spreadsheets/d/1XL5vhW3sbDhbH9Cz0tuDiY8C3ctxq1tqvaCgkFb8cCA/edit?usp=sharing"",""ขอนแก่น!J517"")"),0)</f>
        <v>0</v>
      </c>
      <c r="AB35" s="306">
        <f ca="1">IFERROR(__xludf.DUMMYFUNCTION("IMPORTRANGE(""https://docs.google.com/spreadsheets/d/1XL5vhW3sbDhbH9Cz0tuDiY8C3ctxq1tqvaCgkFb8cCA/edit?usp=sharing"",""ขอนแก่น!J518"")"),0)</f>
        <v>0</v>
      </c>
      <c r="AC35" s="306">
        <f ca="1">IFERROR(__xludf.DUMMYFUNCTION("IMPORTRANGE(""https://docs.google.com/spreadsheets/d/1XL5vhW3sbDhbH9Cz0tuDiY8C3ctxq1tqvaCgkFb8cCA/edit?usp=sharing"",""ขอนแก่น!J520"")"),0)</f>
        <v>0</v>
      </c>
      <c r="AD35" s="609">
        <f ca="1">IFERROR(__xludf.DUMMYFUNCTION("IMPORTRANGE(""https://docs.google.com/spreadsheets/d/1XL5vhW3sbDhbH9Cz0tuDiY8C3ctxq1tqvaCgkFb8cCA/edit?usp=sharing"",""ขอนแก่น!J521"")"),0)</f>
        <v>0</v>
      </c>
    </row>
    <row r="36" spans="1:30" ht="21" customHeight="1">
      <c r="A36" s="303">
        <v>3</v>
      </c>
      <c r="B36" s="304" t="s">
        <v>60</v>
      </c>
      <c r="C36" s="305">
        <f t="shared" ca="1" si="38"/>
        <v>7300</v>
      </c>
      <c r="D36" s="306">
        <f ca="1">IFERROR(__xludf.DUMMYFUNCTION("IMPORTRANGE(""https://docs.google.com/spreadsheets/d/1C3CXT74ZlgGe6_JY_1olB1XN4rF0dxEuIIF-xsYjHgg/edit?usp=sharing"",""งบกองทุน!EV40"")"),0)</f>
        <v>0</v>
      </c>
      <c r="E36" s="306">
        <f ca="1">IFERROR(__xludf.DUMMYFUNCTION("IMPORTRANGE(""https://docs.google.com/spreadsheets/d/1C3CXT74ZlgGe6_JY_1olB1XN4rF0dxEuIIF-xsYjHgg/edit?usp=sharing"",""งบกองทุน!EW40"")"),7300)</f>
        <v>7300</v>
      </c>
      <c r="F36" s="307">
        <f ca="1">IFERROR(__xludf.DUMMYFUNCTION("IMPORTRANGE(""https://docs.google.com/spreadsheets/d/1XL5vhW3sbDhbH9Cz0tuDiY8C3ctxq1tqvaCgkFb8cCA/edit?usp=sharing"",""ชัยภูมิ!M492"")"),720)</f>
        <v>720</v>
      </c>
      <c r="G36" s="307">
        <f t="shared" ca="1" si="1"/>
        <v>9.8630136986301373</v>
      </c>
      <c r="H36" s="638">
        <f t="shared" ca="1" si="39"/>
        <v>100</v>
      </c>
      <c r="I36" s="638">
        <f ca="1">IFERROR(__xludf.DUMMYFUNCTION("IMPORTRANGE(""https://docs.google.com/spreadsheets/d/1C3CXT74ZlgGe6_JY_1olB1XN4rF0dxEuIIF-xsYjHgg/edit?usp=sharing"",""งบกองทุน!EZ40"")"),100)</f>
        <v>100</v>
      </c>
      <c r="J36" s="638">
        <f ca="1">IFERROR(__xludf.DUMMYFUNCTION("IMPORTRANGE(""https://docs.google.com/spreadsheets/d/1C3CXT74ZlgGe6_JY_1olB1XN4rF0dxEuIIF-xsYjHgg/edit?usp=sharing"",""งบกองทุน!FF40"")"),0)</f>
        <v>0</v>
      </c>
      <c r="K36" s="306">
        <f ca="1">IFERROR(__xludf.DUMMYFUNCTION("IMPORTRANGE(""https://docs.google.com/spreadsheets/d/1XL5vhW3sbDhbH9Cz0tuDiY8C3ctxq1tqvaCgkFb8cCA/edit?usp=sharing"",""ชัยภูมิ!J507"")"),0)</f>
        <v>0</v>
      </c>
      <c r="L36" s="307">
        <f t="shared" ca="1" si="4"/>
        <v>0</v>
      </c>
      <c r="M36" s="306">
        <f ca="1">IFERROR(__xludf.DUMMYFUNCTION("IMPORTRANGE(""https://docs.google.com/spreadsheets/d/1XL5vhW3sbDhbH9Cz0tuDiY8C3ctxq1tqvaCgkFb8cCA/edit?usp=sharing"",""ชัยภูมิ!J508"")"),0)</f>
        <v>0</v>
      </c>
      <c r="N36" s="307">
        <f t="shared" ca="1" si="5"/>
        <v>0</v>
      </c>
      <c r="O36" s="306">
        <f ca="1">IFERROR(__xludf.DUMMYFUNCTION("IMPORTRANGE(""https://docs.google.com/spreadsheets/d/1XL5vhW3sbDhbH9Cz0tuDiY8C3ctxq1tqvaCgkFb8cCA/edit?usp=sharing"",""ชัยภูมิ!J509"")"),0)</f>
        <v>0</v>
      </c>
      <c r="P36" s="307">
        <f t="shared" ca="1" si="6"/>
        <v>0</v>
      </c>
      <c r="Q36" s="306">
        <f ca="1">IFERROR(__xludf.DUMMYFUNCTION("IMPORTRANGE(""https://docs.google.com/spreadsheets/d/1XL5vhW3sbDhbH9Cz0tuDiY8C3ctxq1tqvaCgkFb8cCA/edit?usp=sharing"",""ชัยภูมิ!J510"")"),0)</f>
        <v>0</v>
      </c>
      <c r="R36" s="307">
        <f t="shared" ca="1" si="7"/>
        <v>0</v>
      </c>
      <c r="S36" s="306">
        <f ca="1">IFERROR(__xludf.DUMMYFUNCTION("IMPORTRANGE(""https://docs.google.com/spreadsheets/d/1XL5vhW3sbDhbH9Cz0tuDiY8C3ctxq1tqvaCgkFb8cCA/edit?usp=sharing"",""ชัยภูมิ!J511"")"),0)</f>
        <v>0</v>
      </c>
      <c r="T36" s="307">
        <f t="shared" ca="1" si="8"/>
        <v>0</v>
      </c>
      <c r="U36" s="639">
        <f t="shared" ca="1" si="40"/>
        <v>0</v>
      </c>
      <c r="V36" s="307">
        <f t="shared" ca="1" si="9"/>
        <v>0</v>
      </c>
      <c r="W36" s="639">
        <f ca="1">IFERROR(__xludf.DUMMYFUNCTION("IMPORTRANGE(""https://docs.google.com/spreadsheets/d/1XL5vhW3sbDhbH9Cz0tuDiY8C3ctxq1tqvaCgkFb8cCA/edit?usp=sharing"",""ชัยภูมิ!J513"")"),0)</f>
        <v>0</v>
      </c>
      <c r="X36" s="639">
        <f ca="1">IFERROR(__xludf.DUMMYFUNCTION("IMPORTRANGE(""https://docs.google.com/spreadsheets/d/1XL5vhW3sbDhbH9Cz0tuDiY8C3ctxq1tqvaCgkFb8cCA/edit?usp=sharing"",""ชัยภูมิ!J514"")"),0)</f>
        <v>0</v>
      </c>
      <c r="Y36" s="306">
        <f t="shared" ca="1" si="41"/>
        <v>0</v>
      </c>
      <c r="Z36" s="307">
        <f t="shared" ca="1" si="11"/>
        <v>0</v>
      </c>
      <c r="AA36" s="306">
        <f ca="1">IFERROR(__xludf.DUMMYFUNCTION("IMPORTRANGE(""https://docs.google.com/spreadsheets/d/1XL5vhW3sbDhbH9Cz0tuDiY8C3ctxq1tqvaCgkFb8cCA/edit?usp=sharing"",""ชัยภูมิ!J517"")"),0)</f>
        <v>0</v>
      </c>
      <c r="AB36" s="306">
        <f ca="1">IFERROR(__xludf.DUMMYFUNCTION("IMPORTRANGE(""https://docs.google.com/spreadsheets/d/1XL5vhW3sbDhbH9Cz0tuDiY8C3ctxq1tqvaCgkFb8cCA/edit?usp=sharing"",""ชัยภูมิ!J518"")"),0)</f>
        <v>0</v>
      </c>
      <c r="AC36" s="306">
        <f ca="1">IFERROR(__xludf.DUMMYFUNCTION("IMPORTRANGE(""https://docs.google.com/spreadsheets/d/1XL5vhW3sbDhbH9Cz0tuDiY8C3ctxq1tqvaCgkFb8cCA/edit?usp=sharing"",""ชัยภูมิ!J520"")"),0)</f>
        <v>0</v>
      </c>
      <c r="AD36" s="609">
        <f ca="1">IFERROR(__xludf.DUMMYFUNCTION("IMPORTRANGE(""https://docs.google.com/spreadsheets/d/1XL5vhW3sbDhbH9Cz0tuDiY8C3ctxq1tqvaCgkFb8cCA/edit?usp=sharing"",""ชัยภูมิ!J521"")"),0)</f>
        <v>0</v>
      </c>
    </row>
    <row r="37" spans="1:30" ht="21" customHeight="1">
      <c r="A37" s="303">
        <v>4</v>
      </c>
      <c r="B37" s="304" t="s">
        <v>61</v>
      </c>
      <c r="C37" s="305">
        <f t="shared" ca="1" si="38"/>
        <v>16100</v>
      </c>
      <c r="D37" s="306">
        <f ca="1">IFERROR(__xludf.DUMMYFUNCTION("IMPORTRANGE(""https://docs.google.com/spreadsheets/d/1C3CXT74ZlgGe6_JY_1olB1XN4rF0dxEuIIF-xsYjHgg/edit?usp=sharing"",""งบกองทุน!EV41"")"),0)</f>
        <v>0</v>
      </c>
      <c r="E37" s="306">
        <f ca="1">IFERROR(__xludf.DUMMYFUNCTION("IMPORTRANGE(""https://docs.google.com/spreadsheets/d/1C3CXT74ZlgGe6_JY_1olB1XN4rF0dxEuIIF-xsYjHgg/edit?usp=sharing"",""งบกองทุน!EW41"")"),16100)</f>
        <v>16100</v>
      </c>
      <c r="F37" s="307">
        <f ca="1">IFERROR(__xludf.DUMMYFUNCTION("IMPORTRANGE(""https://docs.google.com/spreadsheets/d/1XL5vhW3sbDhbH9Cz0tuDiY8C3ctxq1tqvaCgkFb8cCA/edit?usp=sharing"",""นครพนม!M492"")"),1350)</f>
        <v>1350</v>
      </c>
      <c r="G37" s="307">
        <f t="shared" ca="1" si="1"/>
        <v>8.3850931677018625</v>
      </c>
      <c r="H37" s="638">
        <f t="shared" ca="1" si="39"/>
        <v>288</v>
      </c>
      <c r="I37" s="638">
        <f ca="1">IFERROR(__xludf.DUMMYFUNCTION("IMPORTRANGE(""https://docs.google.com/spreadsheets/d/1C3CXT74ZlgGe6_JY_1olB1XN4rF0dxEuIIF-xsYjHgg/edit?usp=sharing"",""งบกองทุน!EZ41"")"),100)</f>
        <v>100</v>
      </c>
      <c r="J37" s="638">
        <f ca="1">IFERROR(__xludf.DUMMYFUNCTION("IMPORTRANGE(""https://docs.google.com/spreadsheets/d/1C3CXT74ZlgGe6_JY_1olB1XN4rF0dxEuIIF-xsYjHgg/edit?usp=sharing"",""งบกองทุน!FF41"")"),188)</f>
        <v>188</v>
      </c>
      <c r="K37" s="306">
        <f ca="1">IFERROR(__xludf.DUMMYFUNCTION("IMPORTRANGE(""https://docs.google.com/spreadsheets/d/1XL5vhW3sbDhbH9Cz0tuDiY8C3ctxq1tqvaCgkFb8cCA/edit?usp=sharing"",""นครพนม!J507"")"),35)</f>
        <v>35</v>
      </c>
      <c r="L37" s="307">
        <f t="shared" ca="1" si="4"/>
        <v>12.152777777777779</v>
      </c>
      <c r="M37" s="306">
        <f ca="1">IFERROR(__xludf.DUMMYFUNCTION("IMPORTRANGE(""https://docs.google.com/spreadsheets/d/1XL5vhW3sbDhbH9Cz0tuDiY8C3ctxq1tqvaCgkFb8cCA/edit?usp=sharing"",""นครพนม!J508"")"),35)</f>
        <v>35</v>
      </c>
      <c r="N37" s="307">
        <f t="shared" ca="1" si="5"/>
        <v>12.152777777777779</v>
      </c>
      <c r="O37" s="306">
        <f ca="1">IFERROR(__xludf.DUMMYFUNCTION("IMPORTRANGE(""https://docs.google.com/spreadsheets/d/1XL5vhW3sbDhbH9Cz0tuDiY8C3ctxq1tqvaCgkFb8cCA/edit?usp=sharing"",""นครพนม!J509"")"),35)</f>
        <v>35</v>
      </c>
      <c r="P37" s="307">
        <f t="shared" ca="1" si="6"/>
        <v>12.152777777777779</v>
      </c>
      <c r="Q37" s="306">
        <f ca="1">IFERROR(__xludf.DUMMYFUNCTION("IMPORTRANGE(""https://docs.google.com/spreadsheets/d/1XL5vhW3sbDhbH9Cz0tuDiY8C3ctxq1tqvaCgkFb8cCA/edit?usp=sharing"",""นครพนม!J510"")"),35)</f>
        <v>35</v>
      </c>
      <c r="R37" s="307">
        <f t="shared" ca="1" si="7"/>
        <v>12.152777777777779</v>
      </c>
      <c r="S37" s="306">
        <f ca="1">IFERROR(__xludf.DUMMYFUNCTION("IMPORTRANGE(""https://docs.google.com/spreadsheets/d/1XL5vhW3sbDhbH9Cz0tuDiY8C3ctxq1tqvaCgkFb8cCA/edit?usp=sharing"",""นครพนม!J511"")"),0)</f>
        <v>0</v>
      </c>
      <c r="T37" s="307">
        <f t="shared" ca="1" si="8"/>
        <v>0</v>
      </c>
      <c r="U37" s="639">
        <f t="shared" ca="1" si="40"/>
        <v>0</v>
      </c>
      <c r="V37" s="307">
        <f t="shared" ca="1" si="9"/>
        <v>0</v>
      </c>
      <c r="W37" s="639">
        <f ca="1">IFERROR(__xludf.DUMMYFUNCTION("IMPORTRANGE(""https://docs.google.com/spreadsheets/d/1XL5vhW3sbDhbH9Cz0tuDiY8C3ctxq1tqvaCgkFb8cCA/edit?usp=sharing"",""นครพนม!J513"")"),0)</f>
        <v>0</v>
      </c>
      <c r="X37" s="639">
        <f ca="1">IFERROR(__xludf.DUMMYFUNCTION("IMPORTRANGE(""https://docs.google.com/spreadsheets/d/1XL5vhW3sbDhbH9Cz0tuDiY8C3ctxq1tqvaCgkFb8cCA/edit?usp=sharing"",""นครพนม!J514"")"),0)</f>
        <v>0</v>
      </c>
      <c r="Y37" s="306">
        <f t="shared" ca="1" si="41"/>
        <v>0</v>
      </c>
      <c r="Z37" s="307">
        <f t="shared" ca="1" si="11"/>
        <v>0</v>
      </c>
      <c r="AA37" s="306">
        <f ca="1">IFERROR(__xludf.DUMMYFUNCTION("IMPORTRANGE(""https://docs.google.com/spreadsheets/d/1XL5vhW3sbDhbH9Cz0tuDiY8C3ctxq1tqvaCgkFb8cCA/edit?usp=sharing"",""นครพนม!J517"")"),0)</f>
        <v>0</v>
      </c>
      <c r="AB37" s="306">
        <f ca="1">IFERROR(__xludf.DUMMYFUNCTION("IMPORTRANGE(""https://docs.google.com/spreadsheets/d/1XL5vhW3sbDhbH9Cz0tuDiY8C3ctxq1tqvaCgkFb8cCA/edit?usp=sharing"",""นครพนม!J518"")"),0)</f>
        <v>0</v>
      </c>
      <c r="AC37" s="306">
        <f ca="1">IFERROR(__xludf.DUMMYFUNCTION("IMPORTRANGE(""https://docs.google.com/spreadsheets/d/1XL5vhW3sbDhbH9Cz0tuDiY8C3ctxq1tqvaCgkFb8cCA/edit?usp=sharing"",""นครพนม!J520"")"),0)</f>
        <v>0</v>
      </c>
      <c r="AD37" s="609">
        <f ca="1">IFERROR(__xludf.DUMMYFUNCTION("IMPORTRANGE(""https://docs.google.com/spreadsheets/d/1XL5vhW3sbDhbH9Cz0tuDiY8C3ctxq1tqvaCgkFb8cCA/edit?usp=sharing"",""นครพนม!J521"")"),0)</f>
        <v>0</v>
      </c>
    </row>
    <row r="38" spans="1:30" ht="21" customHeight="1">
      <c r="A38" s="303">
        <v>5</v>
      </c>
      <c r="B38" s="304" t="s">
        <v>62</v>
      </c>
      <c r="C38" s="305">
        <f t="shared" ca="1" si="38"/>
        <v>30900</v>
      </c>
      <c r="D38" s="306">
        <f ca="1">IFERROR(__xludf.DUMMYFUNCTION("IMPORTRANGE(""https://docs.google.com/spreadsheets/d/1C3CXT74ZlgGe6_JY_1olB1XN4rF0dxEuIIF-xsYjHgg/edit?usp=sharing"",""งบกองทุน!EV42"")"),0)</f>
        <v>0</v>
      </c>
      <c r="E38" s="306">
        <f ca="1">IFERROR(__xludf.DUMMYFUNCTION("IMPORTRANGE(""https://docs.google.com/spreadsheets/d/1C3CXT74ZlgGe6_JY_1olB1XN4rF0dxEuIIF-xsYjHgg/edit?usp=sharing"",""งบกองทุน!EW42"")"),30900)</f>
        <v>30900</v>
      </c>
      <c r="F38" s="307">
        <f ca="1">IFERROR(__xludf.DUMMYFUNCTION("IMPORTRANGE(""https://docs.google.com/spreadsheets/d/1XL5vhW3sbDhbH9Cz0tuDiY8C3ctxq1tqvaCgkFb8cCA/edit?usp=sharing"",""นครราชสีมา!M492"")"),3400)</f>
        <v>3400</v>
      </c>
      <c r="G38" s="307">
        <f t="shared" ca="1" si="1"/>
        <v>11.003236245954692</v>
      </c>
      <c r="H38" s="638">
        <f t="shared" ca="1" si="39"/>
        <v>500</v>
      </c>
      <c r="I38" s="638">
        <f ca="1">IFERROR(__xludf.DUMMYFUNCTION("IMPORTRANGE(""https://docs.google.com/spreadsheets/d/1C3CXT74ZlgGe6_JY_1olB1XN4rF0dxEuIIF-xsYjHgg/edit?usp=sharing"",""งบกองทุน!EZ42"")"),500)</f>
        <v>500</v>
      </c>
      <c r="J38" s="638">
        <f ca="1">IFERROR(__xludf.DUMMYFUNCTION("IMPORTRANGE(""https://docs.google.com/spreadsheets/d/1C3CXT74ZlgGe6_JY_1olB1XN4rF0dxEuIIF-xsYjHgg/edit?usp=sharing"",""งบกองทุน!FF42"")"),0)</f>
        <v>0</v>
      </c>
      <c r="K38" s="306">
        <f ca="1">IFERROR(__xludf.DUMMYFUNCTION("IMPORTRANGE(""https://docs.google.com/spreadsheets/d/1XL5vhW3sbDhbH9Cz0tuDiY8C3ctxq1tqvaCgkFb8cCA/edit?usp=sharing"",""นครราชสีมา!J507"")"),753)</f>
        <v>753</v>
      </c>
      <c r="L38" s="307">
        <f t="shared" ca="1" si="4"/>
        <v>150.6</v>
      </c>
      <c r="M38" s="306">
        <f ca="1">IFERROR(__xludf.DUMMYFUNCTION("IMPORTRANGE(""https://docs.google.com/spreadsheets/d/1XL5vhW3sbDhbH9Cz0tuDiY8C3ctxq1tqvaCgkFb8cCA/edit?usp=sharing"",""นครราชสีมา!J508"")"),603)</f>
        <v>603</v>
      </c>
      <c r="N38" s="307">
        <f t="shared" ca="1" si="5"/>
        <v>120.6</v>
      </c>
      <c r="O38" s="306">
        <f ca="1">IFERROR(__xludf.DUMMYFUNCTION("IMPORTRANGE(""https://docs.google.com/spreadsheets/d/1XL5vhW3sbDhbH9Cz0tuDiY8C3ctxq1tqvaCgkFb8cCA/edit?usp=sharing"",""นครราชสีมา!J509"")"),753)</f>
        <v>753</v>
      </c>
      <c r="P38" s="307">
        <f t="shared" ca="1" si="6"/>
        <v>150.6</v>
      </c>
      <c r="Q38" s="306">
        <f ca="1">IFERROR(__xludf.DUMMYFUNCTION("IMPORTRANGE(""https://docs.google.com/spreadsheets/d/1XL5vhW3sbDhbH9Cz0tuDiY8C3ctxq1tqvaCgkFb8cCA/edit?usp=sharing"",""นครราชสีมา!J510"")"),0)</f>
        <v>0</v>
      </c>
      <c r="R38" s="307">
        <f t="shared" ca="1" si="7"/>
        <v>0</v>
      </c>
      <c r="S38" s="306">
        <f ca="1">IFERROR(__xludf.DUMMYFUNCTION("IMPORTRANGE(""https://docs.google.com/spreadsheets/d/1XL5vhW3sbDhbH9Cz0tuDiY8C3ctxq1tqvaCgkFb8cCA/edit?usp=sharing"",""นครราชสีมา!J511"")"),0)</f>
        <v>0</v>
      </c>
      <c r="T38" s="307">
        <f t="shared" ca="1" si="8"/>
        <v>0</v>
      </c>
      <c r="U38" s="639">
        <f t="shared" ca="1" si="40"/>
        <v>0</v>
      </c>
      <c r="V38" s="307">
        <f t="shared" ca="1" si="9"/>
        <v>0</v>
      </c>
      <c r="W38" s="639">
        <f ca="1">IFERROR(__xludf.DUMMYFUNCTION("IMPORTRANGE(""https://docs.google.com/spreadsheets/d/1XL5vhW3sbDhbH9Cz0tuDiY8C3ctxq1tqvaCgkFb8cCA/edit?usp=sharing"",""นครราชสีมา!J513"")"),0)</f>
        <v>0</v>
      </c>
      <c r="X38" s="639">
        <f ca="1">IFERROR(__xludf.DUMMYFUNCTION("IMPORTRANGE(""https://docs.google.com/spreadsheets/d/1XL5vhW3sbDhbH9Cz0tuDiY8C3ctxq1tqvaCgkFb8cCA/edit?usp=sharing"",""นครราชสีมา!J514"")"),0)</f>
        <v>0</v>
      </c>
      <c r="Y38" s="306">
        <f t="shared" ca="1" si="41"/>
        <v>0</v>
      </c>
      <c r="Z38" s="307">
        <f t="shared" ca="1" si="11"/>
        <v>0</v>
      </c>
      <c r="AA38" s="306">
        <f ca="1">IFERROR(__xludf.DUMMYFUNCTION("IMPORTRANGE(""https://docs.google.com/spreadsheets/d/1XL5vhW3sbDhbH9Cz0tuDiY8C3ctxq1tqvaCgkFb8cCA/edit?usp=sharing"",""นครราชสีมา!J517"")"),0)</f>
        <v>0</v>
      </c>
      <c r="AB38" s="306">
        <f ca="1">IFERROR(__xludf.DUMMYFUNCTION("IMPORTRANGE(""https://docs.google.com/spreadsheets/d/1XL5vhW3sbDhbH9Cz0tuDiY8C3ctxq1tqvaCgkFb8cCA/edit?usp=sharing"",""นครราชสีมา!J518"")"),0)</f>
        <v>0</v>
      </c>
      <c r="AC38" s="306">
        <f ca="1">IFERROR(__xludf.DUMMYFUNCTION("IMPORTRANGE(""https://docs.google.com/spreadsheets/d/1XL5vhW3sbDhbH9Cz0tuDiY8C3ctxq1tqvaCgkFb8cCA/edit?usp=sharing"",""นครราชสีมา!J520"")"),0)</f>
        <v>0</v>
      </c>
      <c r="AD38" s="609">
        <f ca="1">IFERROR(__xludf.DUMMYFUNCTION("IMPORTRANGE(""https://docs.google.com/spreadsheets/d/1XL5vhW3sbDhbH9Cz0tuDiY8C3ctxq1tqvaCgkFb8cCA/edit?usp=sharing"",""นครราชสีมา!J521"")"),0)</f>
        <v>0</v>
      </c>
    </row>
    <row r="39" spans="1:30" ht="21" customHeight="1">
      <c r="A39" s="303">
        <v>6</v>
      </c>
      <c r="B39" s="304" t="s">
        <v>63</v>
      </c>
      <c r="C39" s="305">
        <f t="shared" ca="1" si="38"/>
        <v>5350</v>
      </c>
      <c r="D39" s="306">
        <f ca="1">IFERROR(__xludf.DUMMYFUNCTION("IMPORTRANGE(""https://docs.google.com/spreadsheets/d/1C3CXT74ZlgGe6_JY_1olB1XN4rF0dxEuIIF-xsYjHgg/edit?usp=sharing"",""งบกองทุน!EV43"")"),0)</f>
        <v>0</v>
      </c>
      <c r="E39" s="306">
        <f ca="1">IFERROR(__xludf.DUMMYFUNCTION("IMPORTRANGE(""https://docs.google.com/spreadsheets/d/1C3CXT74ZlgGe6_JY_1olB1XN4rF0dxEuIIF-xsYjHgg/edit?usp=sharing"",""งบกองทุน!EW43"")"),5350)</f>
        <v>5350</v>
      </c>
      <c r="F39" s="307">
        <f ca="1">IFERROR(__xludf.DUMMYFUNCTION("IMPORTRANGE(""https://docs.google.com/spreadsheets/d/1XL5vhW3sbDhbH9Cz0tuDiY8C3ctxq1tqvaCgkFb8cCA/edit?usp=sharing"",""บึงกาฬ!M492"")"),0)</f>
        <v>0</v>
      </c>
      <c r="G39" s="307">
        <f t="shared" ca="1" si="1"/>
        <v>0</v>
      </c>
      <c r="H39" s="638">
        <f t="shared" ca="1" si="39"/>
        <v>50</v>
      </c>
      <c r="I39" s="638">
        <f ca="1">IFERROR(__xludf.DUMMYFUNCTION("IMPORTRANGE(""https://docs.google.com/spreadsheets/d/1C3CXT74ZlgGe6_JY_1olB1XN4rF0dxEuIIF-xsYjHgg/edit?usp=sharing"",""งบกองทุน!EZ43"")"),50)</f>
        <v>50</v>
      </c>
      <c r="J39" s="638">
        <f ca="1">IFERROR(__xludf.DUMMYFUNCTION("IMPORTRANGE(""https://docs.google.com/spreadsheets/d/1C3CXT74ZlgGe6_JY_1olB1XN4rF0dxEuIIF-xsYjHgg/edit?usp=sharing"",""งบกองทุน!FF43"")"),0)</f>
        <v>0</v>
      </c>
      <c r="K39" s="306">
        <f ca="1">IFERROR(__xludf.DUMMYFUNCTION("IMPORTRANGE(""https://docs.google.com/spreadsheets/d/1XL5vhW3sbDhbH9Cz0tuDiY8C3ctxq1tqvaCgkFb8cCA/edit?usp=sharing"",""บึงกาฬ!J507"")"),0)</f>
        <v>0</v>
      </c>
      <c r="L39" s="307">
        <f t="shared" ca="1" si="4"/>
        <v>0</v>
      </c>
      <c r="M39" s="306">
        <f ca="1">IFERROR(__xludf.DUMMYFUNCTION("IMPORTRANGE(""https://docs.google.com/spreadsheets/d/1XL5vhW3sbDhbH9Cz0tuDiY8C3ctxq1tqvaCgkFb8cCA/edit?usp=sharing"",""บึงกาฬ!J508"")"),0)</f>
        <v>0</v>
      </c>
      <c r="N39" s="307">
        <f t="shared" ca="1" si="5"/>
        <v>0</v>
      </c>
      <c r="O39" s="306">
        <f ca="1">IFERROR(__xludf.DUMMYFUNCTION("IMPORTRANGE(""https://docs.google.com/spreadsheets/d/1XL5vhW3sbDhbH9Cz0tuDiY8C3ctxq1tqvaCgkFb8cCA/edit?usp=sharing"",""บึงกาฬ!J509"")"),0)</f>
        <v>0</v>
      </c>
      <c r="P39" s="307">
        <f t="shared" ca="1" si="6"/>
        <v>0</v>
      </c>
      <c r="Q39" s="306">
        <f ca="1">IFERROR(__xludf.DUMMYFUNCTION("IMPORTRANGE(""https://docs.google.com/spreadsheets/d/1XL5vhW3sbDhbH9Cz0tuDiY8C3ctxq1tqvaCgkFb8cCA/edit?usp=sharing"",""บึงกาฬ!J510"")"),0)</f>
        <v>0</v>
      </c>
      <c r="R39" s="307">
        <f t="shared" ca="1" si="7"/>
        <v>0</v>
      </c>
      <c r="S39" s="306">
        <f ca="1">IFERROR(__xludf.DUMMYFUNCTION("IMPORTRANGE(""https://docs.google.com/spreadsheets/d/1XL5vhW3sbDhbH9Cz0tuDiY8C3ctxq1tqvaCgkFb8cCA/edit?usp=sharing"",""บึงกาฬ!J511"")"),0)</f>
        <v>0</v>
      </c>
      <c r="T39" s="307">
        <f t="shared" ca="1" si="8"/>
        <v>0</v>
      </c>
      <c r="U39" s="639">
        <f t="shared" ca="1" si="40"/>
        <v>0</v>
      </c>
      <c r="V39" s="307">
        <f t="shared" ca="1" si="9"/>
        <v>0</v>
      </c>
      <c r="W39" s="639">
        <f ca="1">IFERROR(__xludf.DUMMYFUNCTION("IMPORTRANGE(""https://docs.google.com/spreadsheets/d/1XL5vhW3sbDhbH9Cz0tuDiY8C3ctxq1tqvaCgkFb8cCA/edit?usp=sharing"",""บึงกาฬ!J513"")"),0)</f>
        <v>0</v>
      </c>
      <c r="X39" s="639">
        <f ca="1">IFERROR(__xludf.DUMMYFUNCTION("IMPORTRANGE(""https://docs.google.com/spreadsheets/d/1XL5vhW3sbDhbH9Cz0tuDiY8C3ctxq1tqvaCgkFb8cCA/edit?usp=sharing"",""บึงกาฬ!J514"")"),0)</f>
        <v>0</v>
      </c>
      <c r="Y39" s="306">
        <f t="shared" ca="1" si="41"/>
        <v>0</v>
      </c>
      <c r="Z39" s="307">
        <f t="shared" ca="1" si="11"/>
        <v>0</v>
      </c>
      <c r="AA39" s="306">
        <f ca="1">IFERROR(__xludf.DUMMYFUNCTION("IMPORTRANGE(""https://docs.google.com/spreadsheets/d/1XL5vhW3sbDhbH9Cz0tuDiY8C3ctxq1tqvaCgkFb8cCA/edit?usp=sharing"",""บึงกาฬ!J517"")"),0)</f>
        <v>0</v>
      </c>
      <c r="AB39" s="306">
        <f ca="1">IFERROR(__xludf.DUMMYFUNCTION("IMPORTRANGE(""https://docs.google.com/spreadsheets/d/1XL5vhW3sbDhbH9Cz0tuDiY8C3ctxq1tqvaCgkFb8cCA/edit?usp=sharing"",""บึงกาฬ!J518"")"),0)</f>
        <v>0</v>
      </c>
      <c r="AC39" s="306">
        <f ca="1">IFERROR(__xludf.DUMMYFUNCTION("IMPORTRANGE(""https://docs.google.com/spreadsheets/d/1XL5vhW3sbDhbH9Cz0tuDiY8C3ctxq1tqvaCgkFb8cCA/edit?usp=sharing"",""บึงกาฬ!J520"")"),0)</f>
        <v>0</v>
      </c>
      <c r="AD39" s="609">
        <f ca="1">IFERROR(__xludf.DUMMYFUNCTION("IMPORTRANGE(""https://docs.google.com/spreadsheets/d/1XL5vhW3sbDhbH9Cz0tuDiY8C3ctxq1tqvaCgkFb8cCA/edit?usp=sharing"",""บึงกาฬ!J521"")"),0)</f>
        <v>0</v>
      </c>
    </row>
    <row r="40" spans="1:30" ht="21" customHeight="1">
      <c r="A40" s="303">
        <v>7</v>
      </c>
      <c r="B40" s="304" t="s">
        <v>64</v>
      </c>
      <c r="C40" s="305">
        <f t="shared" ca="1" si="38"/>
        <v>7300</v>
      </c>
      <c r="D40" s="306">
        <f ca="1">IFERROR(__xludf.DUMMYFUNCTION("IMPORTRANGE(""https://docs.google.com/spreadsheets/d/1C3CXT74ZlgGe6_JY_1olB1XN4rF0dxEuIIF-xsYjHgg/edit?usp=sharing"",""งบกองทุน!EV44"")"),0)</f>
        <v>0</v>
      </c>
      <c r="E40" s="306">
        <f ca="1">IFERROR(__xludf.DUMMYFUNCTION("IMPORTRANGE(""https://docs.google.com/spreadsheets/d/1C3CXT74ZlgGe6_JY_1olB1XN4rF0dxEuIIF-xsYjHgg/edit?usp=sharing"",""งบกองทุน!EW44"")"),7300)</f>
        <v>7300</v>
      </c>
      <c r="F40" s="307">
        <f ca="1">IFERROR(__xludf.DUMMYFUNCTION("IMPORTRANGE(""https://docs.google.com/spreadsheets/d/1XL5vhW3sbDhbH9Cz0tuDiY8C3ctxq1tqvaCgkFb8cCA/edit?usp=sharing"",""บุรีรัมย์!M492"")"),1800)</f>
        <v>1800</v>
      </c>
      <c r="G40" s="307">
        <f t="shared" ca="1" si="1"/>
        <v>24.657534246575342</v>
      </c>
      <c r="H40" s="638">
        <f t="shared" ca="1" si="39"/>
        <v>100</v>
      </c>
      <c r="I40" s="638">
        <f ca="1">IFERROR(__xludf.DUMMYFUNCTION("IMPORTRANGE(""https://docs.google.com/spreadsheets/d/1C3CXT74ZlgGe6_JY_1olB1XN4rF0dxEuIIF-xsYjHgg/edit?usp=sharing"",""งบกองทุน!EZ44"")"),100)</f>
        <v>100</v>
      </c>
      <c r="J40" s="638">
        <f ca="1">IFERROR(__xludf.DUMMYFUNCTION("IMPORTRANGE(""https://docs.google.com/spreadsheets/d/1C3CXT74ZlgGe6_JY_1olB1XN4rF0dxEuIIF-xsYjHgg/edit?usp=sharing"",""งบกองทุน!FF44"")"),0)</f>
        <v>0</v>
      </c>
      <c r="K40" s="306">
        <f ca="1">IFERROR(__xludf.DUMMYFUNCTION("IMPORTRANGE(""https://docs.google.com/spreadsheets/d/1XL5vhW3sbDhbH9Cz0tuDiY8C3ctxq1tqvaCgkFb8cCA/edit?usp=sharing"",""บุรีรัมย์!J507"")"),57)</f>
        <v>57</v>
      </c>
      <c r="L40" s="307">
        <f t="shared" ca="1" si="4"/>
        <v>57</v>
      </c>
      <c r="M40" s="306">
        <f ca="1">IFERROR(__xludf.DUMMYFUNCTION("IMPORTRANGE(""https://docs.google.com/spreadsheets/d/1XL5vhW3sbDhbH9Cz0tuDiY8C3ctxq1tqvaCgkFb8cCA/edit?usp=sharing"",""บุรีรัมย์!J508"")"),57)</f>
        <v>57</v>
      </c>
      <c r="N40" s="307">
        <f t="shared" ca="1" si="5"/>
        <v>57</v>
      </c>
      <c r="O40" s="306">
        <f ca="1">IFERROR(__xludf.DUMMYFUNCTION("IMPORTRANGE(""https://docs.google.com/spreadsheets/d/1XL5vhW3sbDhbH9Cz0tuDiY8C3ctxq1tqvaCgkFb8cCA/edit?usp=sharing"",""บุรีรัมย์!J509"")"),57)</f>
        <v>57</v>
      </c>
      <c r="P40" s="307">
        <f t="shared" ca="1" si="6"/>
        <v>57</v>
      </c>
      <c r="Q40" s="306">
        <f ca="1">IFERROR(__xludf.DUMMYFUNCTION("IMPORTRANGE(""https://docs.google.com/spreadsheets/d/1XL5vhW3sbDhbH9Cz0tuDiY8C3ctxq1tqvaCgkFb8cCA/edit?usp=sharing"",""บุรีรัมย์!J510"")"),57)</f>
        <v>57</v>
      </c>
      <c r="R40" s="307">
        <f t="shared" ca="1" si="7"/>
        <v>57</v>
      </c>
      <c r="S40" s="306">
        <f ca="1">IFERROR(__xludf.DUMMYFUNCTION("IMPORTRANGE(""https://docs.google.com/spreadsheets/d/1XL5vhW3sbDhbH9Cz0tuDiY8C3ctxq1tqvaCgkFb8cCA/edit?usp=sharing"",""บุรีรัมย์!J511"")"),0)</f>
        <v>0</v>
      </c>
      <c r="T40" s="307">
        <f t="shared" ca="1" si="8"/>
        <v>0</v>
      </c>
      <c r="U40" s="639">
        <f t="shared" ca="1" si="40"/>
        <v>0</v>
      </c>
      <c r="V40" s="307">
        <f t="shared" ca="1" si="9"/>
        <v>0</v>
      </c>
      <c r="W40" s="639">
        <f ca="1">IFERROR(__xludf.DUMMYFUNCTION("IMPORTRANGE(""https://docs.google.com/spreadsheets/d/1XL5vhW3sbDhbH9Cz0tuDiY8C3ctxq1tqvaCgkFb8cCA/edit?usp=sharing"",""บุรีรัมย์!J513"")"),0)</f>
        <v>0</v>
      </c>
      <c r="X40" s="639">
        <f ca="1">IFERROR(__xludf.DUMMYFUNCTION("IMPORTRANGE(""https://docs.google.com/spreadsheets/d/1XL5vhW3sbDhbH9Cz0tuDiY8C3ctxq1tqvaCgkFb8cCA/edit?usp=sharing"",""บุรีรัมย์!J514"")"),0)</f>
        <v>0</v>
      </c>
      <c r="Y40" s="306">
        <f t="shared" ca="1" si="41"/>
        <v>0</v>
      </c>
      <c r="Z40" s="307">
        <f t="shared" ca="1" si="11"/>
        <v>0</v>
      </c>
      <c r="AA40" s="306">
        <f ca="1">IFERROR(__xludf.DUMMYFUNCTION("IMPORTRANGE(""https://docs.google.com/spreadsheets/d/1XL5vhW3sbDhbH9Cz0tuDiY8C3ctxq1tqvaCgkFb8cCA/edit?usp=sharing"",""บุรีรัมย์!J517"")"),0)</f>
        <v>0</v>
      </c>
      <c r="AB40" s="306">
        <f ca="1">IFERROR(__xludf.DUMMYFUNCTION("IMPORTRANGE(""https://docs.google.com/spreadsheets/d/1XL5vhW3sbDhbH9Cz0tuDiY8C3ctxq1tqvaCgkFb8cCA/edit?usp=sharing"",""บุรีรัมย์!J518"")"),0)</f>
        <v>0</v>
      </c>
      <c r="AC40" s="306">
        <f ca="1">IFERROR(__xludf.DUMMYFUNCTION("IMPORTRANGE(""https://docs.google.com/spreadsheets/d/1XL5vhW3sbDhbH9Cz0tuDiY8C3ctxq1tqvaCgkFb8cCA/edit?usp=sharing"",""บุรีรัมย์!J520"")"),0)</f>
        <v>0</v>
      </c>
      <c r="AD40" s="609">
        <f ca="1">IFERROR(__xludf.DUMMYFUNCTION("IMPORTRANGE(""https://docs.google.com/spreadsheets/d/1XL5vhW3sbDhbH9Cz0tuDiY8C3ctxq1tqvaCgkFb8cCA/edit?usp=sharing"",""บุรีรัมย์!J521"")"),0)</f>
        <v>0</v>
      </c>
    </row>
    <row r="41" spans="1:30" ht="21" customHeight="1">
      <c r="A41" s="303">
        <v>8</v>
      </c>
      <c r="B41" s="304" t="s">
        <v>65</v>
      </c>
      <c r="C41" s="305">
        <f t="shared" ca="1" si="38"/>
        <v>15300</v>
      </c>
      <c r="D41" s="306">
        <f ca="1">IFERROR(__xludf.DUMMYFUNCTION("IMPORTRANGE(""https://docs.google.com/spreadsheets/d/1C3CXT74ZlgGe6_JY_1olB1XN4rF0dxEuIIF-xsYjHgg/edit?usp=sharing"",""งบกองทุน!EV45"")"),0)</f>
        <v>0</v>
      </c>
      <c r="E41" s="306">
        <f ca="1">IFERROR(__xludf.DUMMYFUNCTION("IMPORTRANGE(""https://docs.google.com/spreadsheets/d/1C3CXT74ZlgGe6_JY_1olB1XN4rF0dxEuIIF-xsYjHgg/edit?usp=sharing"",""งบกองทุน!EW45"")"),15300)</f>
        <v>15300</v>
      </c>
      <c r="F41" s="307">
        <f ca="1">IFERROR(__xludf.DUMMYFUNCTION("IMPORTRANGE(""https://docs.google.com/spreadsheets/d/1XL5vhW3sbDhbH9Cz0tuDiY8C3ctxq1tqvaCgkFb8cCA/edit?usp=sharing"",""มหาสารคาม!M492"")"),6200)</f>
        <v>6200</v>
      </c>
      <c r="G41" s="307">
        <f t="shared" ca="1" si="1"/>
        <v>40.522875816993462</v>
      </c>
      <c r="H41" s="638">
        <f t="shared" ca="1" si="39"/>
        <v>100</v>
      </c>
      <c r="I41" s="638">
        <f ca="1">IFERROR(__xludf.DUMMYFUNCTION("IMPORTRANGE(""https://docs.google.com/spreadsheets/d/1C3CXT74ZlgGe6_JY_1olB1XN4rF0dxEuIIF-xsYjHgg/edit?usp=sharing"",""งบกองทุน!EZ45"")"),100)</f>
        <v>100</v>
      </c>
      <c r="J41" s="638">
        <f ca="1">IFERROR(__xludf.DUMMYFUNCTION("IMPORTRANGE(""https://docs.google.com/spreadsheets/d/1C3CXT74ZlgGe6_JY_1olB1XN4rF0dxEuIIF-xsYjHgg/edit?usp=sharing"",""งบกองทุน!FF45"")"),0)</f>
        <v>0</v>
      </c>
      <c r="K41" s="306">
        <f ca="1">IFERROR(__xludf.DUMMYFUNCTION("IMPORTRANGE(""https://docs.google.com/spreadsheets/d/1XL5vhW3sbDhbH9Cz0tuDiY8C3ctxq1tqvaCgkFb8cCA/edit?usp=sharing"",""มหาสารคาม!J507"")"),77)</f>
        <v>77</v>
      </c>
      <c r="L41" s="307">
        <f t="shared" ca="1" si="4"/>
        <v>77</v>
      </c>
      <c r="M41" s="306">
        <f ca="1">IFERROR(__xludf.DUMMYFUNCTION("IMPORTRANGE(""https://docs.google.com/spreadsheets/d/1XL5vhW3sbDhbH9Cz0tuDiY8C3ctxq1tqvaCgkFb8cCA/edit?usp=sharing"",""มหาสารคาม!J508"")"),77)</f>
        <v>77</v>
      </c>
      <c r="N41" s="307">
        <f t="shared" ca="1" si="5"/>
        <v>77</v>
      </c>
      <c r="O41" s="306">
        <f ca="1">IFERROR(__xludf.DUMMYFUNCTION("IMPORTRANGE(""https://docs.google.com/spreadsheets/d/1XL5vhW3sbDhbH9Cz0tuDiY8C3ctxq1tqvaCgkFb8cCA/edit?usp=sharing"",""มหาสารคาม!J509"")"),0)</f>
        <v>0</v>
      </c>
      <c r="P41" s="307">
        <f t="shared" ca="1" si="6"/>
        <v>0</v>
      </c>
      <c r="Q41" s="306">
        <f ca="1">IFERROR(__xludf.DUMMYFUNCTION("IMPORTRANGE(""https://docs.google.com/spreadsheets/d/1XL5vhW3sbDhbH9Cz0tuDiY8C3ctxq1tqvaCgkFb8cCA/edit?usp=sharing"",""มหาสารคาม!J510"")"),0)</f>
        <v>0</v>
      </c>
      <c r="R41" s="307">
        <f t="shared" ca="1" si="7"/>
        <v>0</v>
      </c>
      <c r="S41" s="306">
        <f ca="1">IFERROR(__xludf.DUMMYFUNCTION("IMPORTRANGE(""https://docs.google.com/spreadsheets/d/1XL5vhW3sbDhbH9Cz0tuDiY8C3ctxq1tqvaCgkFb8cCA/edit?usp=sharing"",""มหาสารคาม!J511"")"),0)</f>
        <v>0</v>
      </c>
      <c r="T41" s="307">
        <f t="shared" ca="1" si="8"/>
        <v>0</v>
      </c>
      <c r="U41" s="639">
        <f t="shared" ca="1" si="40"/>
        <v>0</v>
      </c>
      <c r="V41" s="307">
        <f t="shared" ca="1" si="9"/>
        <v>0</v>
      </c>
      <c r="W41" s="639">
        <f ca="1">IFERROR(__xludf.DUMMYFUNCTION("IMPORTRANGE(""https://docs.google.com/spreadsheets/d/1XL5vhW3sbDhbH9Cz0tuDiY8C3ctxq1tqvaCgkFb8cCA/edit?usp=sharing"",""มหาสารคาม!J513"")"),0)</f>
        <v>0</v>
      </c>
      <c r="X41" s="639">
        <f ca="1">IFERROR(__xludf.DUMMYFUNCTION("IMPORTRANGE(""https://docs.google.com/spreadsheets/d/1XL5vhW3sbDhbH9Cz0tuDiY8C3ctxq1tqvaCgkFb8cCA/edit?usp=sharing"",""มหาสารคาม!J514"")"),0)</f>
        <v>0</v>
      </c>
      <c r="Y41" s="306">
        <f t="shared" ca="1" si="41"/>
        <v>0</v>
      </c>
      <c r="Z41" s="307">
        <f t="shared" ca="1" si="11"/>
        <v>0</v>
      </c>
      <c r="AA41" s="306">
        <f ca="1">IFERROR(__xludf.DUMMYFUNCTION("IMPORTRANGE(""https://docs.google.com/spreadsheets/d/1XL5vhW3sbDhbH9Cz0tuDiY8C3ctxq1tqvaCgkFb8cCA/edit?usp=sharing"",""มหาสารคาม!J517"")"),0)</f>
        <v>0</v>
      </c>
      <c r="AB41" s="306">
        <f ca="1">IFERROR(__xludf.DUMMYFUNCTION("IMPORTRANGE(""https://docs.google.com/spreadsheets/d/1XL5vhW3sbDhbH9Cz0tuDiY8C3ctxq1tqvaCgkFb8cCA/edit?usp=sharing"",""มหาสารคาม!J518"")"),0)</f>
        <v>0</v>
      </c>
      <c r="AC41" s="306">
        <f ca="1">IFERROR(__xludf.DUMMYFUNCTION("IMPORTRANGE(""https://docs.google.com/spreadsheets/d/1XL5vhW3sbDhbH9Cz0tuDiY8C3ctxq1tqvaCgkFb8cCA/edit?usp=sharing"",""มหาสารคาม!J520"")"),0)</f>
        <v>0</v>
      </c>
      <c r="AD41" s="609">
        <f ca="1">IFERROR(__xludf.DUMMYFUNCTION("IMPORTRANGE(""https://docs.google.com/spreadsheets/d/1XL5vhW3sbDhbH9Cz0tuDiY8C3ctxq1tqvaCgkFb8cCA/edit?usp=sharing"",""มหาสารคาม!J521"")"),0)</f>
        <v>0</v>
      </c>
    </row>
    <row r="42" spans="1:30" ht="21" customHeight="1">
      <c r="A42" s="303">
        <v>9</v>
      </c>
      <c r="B42" s="304" t="s">
        <v>66</v>
      </c>
      <c r="C42" s="305">
        <f t="shared" ca="1" si="38"/>
        <v>8100</v>
      </c>
      <c r="D42" s="306">
        <f ca="1">IFERROR(__xludf.DUMMYFUNCTION("IMPORTRANGE(""https://docs.google.com/spreadsheets/d/1C3CXT74ZlgGe6_JY_1olB1XN4rF0dxEuIIF-xsYjHgg/edit?usp=sharing"",""งบกองทุน!EV46"")"),0)</f>
        <v>0</v>
      </c>
      <c r="E42" s="306">
        <f ca="1">IFERROR(__xludf.DUMMYFUNCTION("IMPORTRANGE(""https://docs.google.com/spreadsheets/d/1C3CXT74ZlgGe6_JY_1olB1XN4rF0dxEuIIF-xsYjHgg/edit?usp=sharing"",""งบกองทุน!EW46"")"),8100)</f>
        <v>8100</v>
      </c>
      <c r="F42" s="307">
        <f ca="1">IFERROR(__xludf.DUMMYFUNCTION("IMPORTRANGE(""https://docs.google.com/spreadsheets/d/1XL5vhW3sbDhbH9Cz0tuDiY8C3ctxq1tqvaCgkFb8cCA/edit?usp=sharing"",""มุกดาหาร!M492"")"),800)</f>
        <v>800</v>
      </c>
      <c r="G42" s="307">
        <f t="shared" ca="1" si="1"/>
        <v>9.8765432098765427</v>
      </c>
      <c r="H42" s="638">
        <f t="shared" ca="1" si="39"/>
        <v>100</v>
      </c>
      <c r="I42" s="638">
        <f ca="1">IFERROR(__xludf.DUMMYFUNCTION("IMPORTRANGE(""https://docs.google.com/spreadsheets/d/1C3CXT74ZlgGe6_JY_1olB1XN4rF0dxEuIIF-xsYjHgg/edit?usp=sharing"",""งบกองทุน!EZ46"")"),100)</f>
        <v>100</v>
      </c>
      <c r="J42" s="638">
        <f ca="1">IFERROR(__xludf.DUMMYFUNCTION("IMPORTRANGE(""https://docs.google.com/spreadsheets/d/1C3CXT74ZlgGe6_JY_1olB1XN4rF0dxEuIIF-xsYjHgg/edit?usp=sharing"",""งบกองทุน!FF46"")"),0)</f>
        <v>0</v>
      </c>
      <c r="K42" s="306">
        <f ca="1">IFERROR(__xludf.DUMMYFUNCTION("IMPORTRANGE(""https://docs.google.com/spreadsheets/d/1XL5vhW3sbDhbH9Cz0tuDiY8C3ctxq1tqvaCgkFb8cCA/edit?usp=sharing"",""มุกดาหาร!J507"")"),0)</f>
        <v>0</v>
      </c>
      <c r="L42" s="307">
        <f t="shared" ca="1" si="4"/>
        <v>0</v>
      </c>
      <c r="M42" s="306">
        <f ca="1">IFERROR(__xludf.DUMMYFUNCTION("IMPORTRANGE(""https://docs.google.com/spreadsheets/d/1XL5vhW3sbDhbH9Cz0tuDiY8C3ctxq1tqvaCgkFb8cCA/edit?usp=sharing"",""มุกดาหาร!J508"")"),0)</f>
        <v>0</v>
      </c>
      <c r="N42" s="307">
        <f t="shared" ca="1" si="5"/>
        <v>0</v>
      </c>
      <c r="O42" s="306">
        <f ca="1">IFERROR(__xludf.DUMMYFUNCTION("IMPORTRANGE(""https://docs.google.com/spreadsheets/d/1XL5vhW3sbDhbH9Cz0tuDiY8C3ctxq1tqvaCgkFb8cCA/edit?usp=sharing"",""มุกดาหาร!J509"")"),0)</f>
        <v>0</v>
      </c>
      <c r="P42" s="307">
        <f t="shared" ca="1" si="6"/>
        <v>0</v>
      </c>
      <c r="Q42" s="306">
        <f ca="1">IFERROR(__xludf.DUMMYFUNCTION("IMPORTRANGE(""https://docs.google.com/spreadsheets/d/1XL5vhW3sbDhbH9Cz0tuDiY8C3ctxq1tqvaCgkFb8cCA/edit?usp=sharing"",""มุกดาหาร!J510"")"),0)</f>
        <v>0</v>
      </c>
      <c r="R42" s="307">
        <f t="shared" ca="1" si="7"/>
        <v>0</v>
      </c>
      <c r="S42" s="306">
        <f ca="1">IFERROR(__xludf.DUMMYFUNCTION("IMPORTRANGE(""https://docs.google.com/spreadsheets/d/1XL5vhW3sbDhbH9Cz0tuDiY8C3ctxq1tqvaCgkFb8cCA/edit?usp=sharing"",""มุกดาหาร!J511"")"),0)</f>
        <v>0</v>
      </c>
      <c r="T42" s="307">
        <f t="shared" ca="1" si="8"/>
        <v>0</v>
      </c>
      <c r="U42" s="639">
        <f t="shared" ca="1" si="40"/>
        <v>0</v>
      </c>
      <c r="V42" s="307">
        <f t="shared" ca="1" si="9"/>
        <v>0</v>
      </c>
      <c r="W42" s="639">
        <f ca="1">IFERROR(__xludf.DUMMYFUNCTION("IMPORTRANGE(""https://docs.google.com/spreadsheets/d/1XL5vhW3sbDhbH9Cz0tuDiY8C3ctxq1tqvaCgkFb8cCA/edit?usp=sharing"",""มุกดาหาร!J513"")"),0)</f>
        <v>0</v>
      </c>
      <c r="X42" s="639">
        <f ca="1">IFERROR(__xludf.DUMMYFUNCTION("IMPORTRANGE(""https://docs.google.com/spreadsheets/d/1XL5vhW3sbDhbH9Cz0tuDiY8C3ctxq1tqvaCgkFb8cCA/edit?usp=sharing"",""มุกดาหาร!J514"")"),0)</f>
        <v>0</v>
      </c>
      <c r="Y42" s="306">
        <f t="shared" ca="1" si="41"/>
        <v>0</v>
      </c>
      <c r="Z42" s="307">
        <f t="shared" ca="1" si="11"/>
        <v>0</v>
      </c>
      <c r="AA42" s="306">
        <f ca="1">IFERROR(__xludf.DUMMYFUNCTION("IMPORTRANGE(""https://docs.google.com/spreadsheets/d/1XL5vhW3sbDhbH9Cz0tuDiY8C3ctxq1tqvaCgkFb8cCA/edit?usp=sharing"",""มุกดาหาร!J517"")"),0)</f>
        <v>0</v>
      </c>
      <c r="AB42" s="306">
        <f ca="1">IFERROR(__xludf.DUMMYFUNCTION("IMPORTRANGE(""https://docs.google.com/spreadsheets/d/1XL5vhW3sbDhbH9Cz0tuDiY8C3ctxq1tqvaCgkFb8cCA/edit?usp=sharing"",""มุกดาหาร!J518"")"),0)</f>
        <v>0</v>
      </c>
      <c r="AC42" s="306">
        <f ca="1">IFERROR(__xludf.DUMMYFUNCTION("IMPORTRANGE(""https://docs.google.com/spreadsheets/d/1XL5vhW3sbDhbH9Cz0tuDiY8C3ctxq1tqvaCgkFb8cCA/edit?usp=sharing"",""มุกดาหาร!J520"")"),0)</f>
        <v>0</v>
      </c>
      <c r="AD42" s="609">
        <f ca="1">IFERROR(__xludf.DUMMYFUNCTION("IMPORTRANGE(""https://docs.google.com/spreadsheets/d/1XL5vhW3sbDhbH9Cz0tuDiY8C3ctxq1tqvaCgkFb8cCA/edit?usp=sharing"",""มุกดาหาร!J521"")"),0)</f>
        <v>0</v>
      </c>
    </row>
    <row r="43" spans="1:30" ht="21" customHeight="1">
      <c r="A43" s="303">
        <v>10</v>
      </c>
      <c r="B43" s="304" t="s">
        <v>67</v>
      </c>
      <c r="C43" s="305">
        <f t="shared" ca="1" si="38"/>
        <v>13700</v>
      </c>
      <c r="D43" s="306">
        <f ca="1">IFERROR(__xludf.DUMMYFUNCTION("IMPORTRANGE(""https://docs.google.com/spreadsheets/d/1C3CXT74ZlgGe6_JY_1olB1XN4rF0dxEuIIF-xsYjHgg/edit?usp=sharing"",""งบกองทุน!EV47"")"),0)</f>
        <v>0</v>
      </c>
      <c r="E43" s="306">
        <f ca="1">IFERROR(__xludf.DUMMYFUNCTION("IMPORTRANGE(""https://docs.google.com/spreadsheets/d/1C3CXT74ZlgGe6_JY_1olB1XN4rF0dxEuIIF-xsYjHgg/edit?usp=sharing"",""งบกองทุน!EW47"")"),13700)</f>
        <v>13700</v>
      </c>
      <c r="F43" s="307">
        <f ca="1">IFERROR(__xludf.DUMMYFUNCTION("IMPORTRANGE(""https://docs.google.com/spreadsheets/d/1XL5vhW3sbDhbH9Cz0tuDiY8C3ctxq1tqvaCgkFb8cCA/edit?usp=sharing"",""ยโสธร!M492"")"),5849)</f>
        <v>5849</v>
      </c>
      <c r="G43" s="307">
        <f t="shared" ca="1" si="1"/>
        <v>42.693430656934304</v>
      </c>
      <c r="H43" s="638">
        <f t="shared" ca="1" si="39"/>
        <v>100</v>
      </c>
      <c r="I43" s="638">
        <f ca="1">IFERROR(__xludf.DUMMYFUNCTION("IMPORTRANGE(""https://docs.google.com/spreadsheets/d/1C3CXT74ZlgGe6_JY_1olB1XN4rF0dxEuIIF-xsYjHgg/edit?usp=sharing"",""งบกองทุน!EZ47"")"),100)</f>
        <v>100</v>
      </c>
      <c r="J43" s="638">
        <f ca="1">IFERROR(__xludf.DUMMYFUNCTION("IMPORTRANGE(""https://docs.google.com/spreadsheets/d/1C3CXT74ZlgGe6_JY_1olB1XN4rF0dxEuIIF-xsYjHgg/edit?usp=sharing"",""งบกองทุน!FF47"")"),0)</f>
        <v>0</v>
      </c>
      <c r="K43" s="306">
        <f ca="1">IFERROR(__xludf.DUMMYFUNCTION("IMPORTRANGE(""https://docs.google.com/spreadsheets/d/1XL5vhW3sbDhbH9Cz0tuDiY8C3ctxq1tqvaCgkFb8cCA/edit?usp=sharing"",""ยโสธร!J507"")"),81.22)</f>
        <v>81.22</v>
      </c>
      <c r="L43" s="307">
        <f t="shared" ca="1" si="4"/>
        <v>81.22</v>
      </c>
      <c r="M43" s="306">
        <f ca="1">IFERROR(__xludf.DUMMYFUNCTION("IMPORTRANGE(""https://docs.google.com/spreadsheets/d/1XL5vhW3sbDhbH9Cz0tuDiY8C3ctxq1tqvaCgkFb8cCA/edit?usp=sharing"",""ยโสธร!J508"")"),81.22)</f>
        <v>81.22</v>
      </c>
      <c r="N43" s="307">
        <f t="shared" ca="1" si="5"/>
        <v>81.22</v>
      </c>
      <c r="O43" s="306">
        <f ca="1">IFERROR(__xludf.DUMMYFUNCTION("IMPORTRANGE(""https://docs.google.com/spreadsheets/d/1XL5vhW3sbDhbH9Cz0tuDiY8C3ctxq1tqvaCgkFb8cCA/edit?usp=sharing"",""ยโสธร!J509"")"),81.22)</f>
        <v>81.22</v>
      </c>
      <c r="P43" s="307">
        <f t="shared" ca="1" si="6"/>
        <v>81.22</v>
      </c>
      <c r="Q43" s="306">
        <f ca="1">IFERROR(__xludf.DUMMYFUNCTION("IMPORTRANGE(""https://docs.google.com/spreadsheets/d/1XL5vhW3sbDhbH9Cz0tuDiY8C3ctxq1tqvaCgkFb8cCA/edit?usp=sharing"",""ยโสธร!J510"")"),81.22)</f>
        <v>81.22</v>
      </c>
      <c r="R43" s="307">
        <f t="shared" ca="1" si="7"/>
        <v>81.22</v>
      </c>
      <c r="S43" s="306">
        <f ca="1">IFERROR(__xludf.DUMMYFUNCTION("IMPORTRANGE(""https://docs.google.com/spreadsheets/d/1XL5vhW3sbDhbH9Cz0tuDiY8C3ctxq1tqvaCgkFb8cCA/edit?usp=sharing"",""ยโสธร!J511"")"),0)</f>
        <v>0</v>
      </c>
      <c r="T43" s="307">
        <f t="shared" ca="1" si="8"/>
        <v>0</v>
      </c>
      <c r="U43" s="639">
        <f t="shared" ca="1" si="40"/>
        <v>0</v>
      </c>
      <c r="V43" s="307">
        <f t="shared" ca="1" si="9"/>
        <v>0</v>
      </c>
      <c r="W43" s="639">
        <f ca="1">IFERROR(__xludf.DUMMYFUNCTION("IMPORTRANGE(""https://docs.google.com/spreadsheets/d/1XL5vhW3sbDhbH9Cz0tuDiY8C3ctxq1tqvaCgkFb8cCA/edit?usp=sharing"",""ยโสธร!J513"")"),0)</f>
        <v>0</v>
      </c>
      <c r="X43" s="639">
        <f ca="1">IFERROR(__xludf.DUMMYFUNCTION("IMPORTRANGE(""https://docs.google.com/spreadsheets/d/1XL5vhW3sbDhbH9Cz0tuDiY8C3ctxq1tqvaCgkFb8cCA/edit?usp=sharing"",""ยโสธร!J514"")"),0)</f>
        <v>0</v>
      </c>
      <c r="Y43" s="306">
        <f t="shared" ca="1" si="41"/>
        <v>0</v>
      </c>
      <c r="Z43" s="307">
        <f t="shared" ca="1" si="11"/>
        <v>0</v>
      </c>
      <c r="AA43" s="306">
        <f ca="1">IFERROR(__xludf.DUMMYFUNCTION("IMPORTRANGE(""https://docs.google.com/spreadsheets/d/1XL5vhW3sbDhbH9Cz0tuDiY8C3ctxq1tqvaCgkFb8cCA/edit?usp=sharing"",""ยโสธร!J517"")"),0)</f>
        <v>0</v>
      </c>
      <c r="AB43" s="306">
        <f ca="1">IFERROR(__xludf.DUMMYFUNCTION("IMPORTRANGE(""https://docs.google.com/spreadsheets/d/1XL5vhW3sbDhbH9Cz0tuDiY8C3ctxq1tqvaCgkFb8cCA/edit?usp=sharing"",""ยโสธร!J518"")"),0)</f>
        <v>0</v>
      </c>
      <c r="AC43" s="306">
        <f ca="1">IFERROR(__xludf.DUMMYFUNCTION("IMPORTRANGE(""https://docs.google.com/spreadsheets/d/1XL5vhW3sbDhbH9Cz0tuDiY8C3ctxq1tqvaCgkFb8cCA/edit?usp=sharing"",""ยโสธร!J520"")"),0)</f>
        <v>0</v>
      </c>
      <c r="AD43" s="609">
        <f ca="1">IFERROR(__xludf.DUMMYFUNCTION("IMPORTRANGE(""https://docs.google.com/spreadsheets/d/1XL5vhW3sbDhbH9Cz0tuDiY8C3ctxq1tqvaCgkFb8cCA/edit?usp=sharing"",""ยโสธร!J521"")"),0)</f>
        <v>0</v>
      </c>
    </row>
    <row r="44" spans="1:30" ht="21" customHeight="1">
      <c r="A44" s="303">
        <v>11</v>
      </c>
      <c r="B44" s="304" t="s">
        <v>68</v>
      </c>
      <c r="C44" s="305">
        <f t="shared" ca="1" si="38"/>
        <v>7300</v>
      </c>
      <c r="D44" s="306">
        <f ca="1">IFERROR(__xludf.DUMMYFUNCTION("IMPORTRANGE(""https://docs.google.com/spreadsheets/d/1C3CXT74ZlgGe6_JY_1olB1XN4rF0dxEuIIF-xsYjHgg/edit?usp=sharing"",""งบกองทุน!EV48"")"),0)</f>
        <v>0</v>
      </c>
      <c r="E44" s="306">
        <f ca="1">IFERROR(__xludf.DUMMYFUNCTION("IMPORTRANGE(""https://docs.google.com/spreadsheets/d/1C3CXT74ZlgGe6_JY_1olB1XN4rF0dxEuIIF-xsYjHgg/edit?usp=sharing"",""งบกองทุน!EW48"")"),7300)</f>
        <v>7300</v>
      </c>
      <c r="F44" s="307">
        <f ca="1">IFERROR(__xludf.DUMMYFUNCTION("IMPORTRANGE(""https://docs.google.com/spreadsheets/d/1XL5vhW3sbDhbH9Cz0tuDiY8C3ctxq1tqvaCgkFb8cCA/edit?usp=sharing"",""ร้อยเอ็ด!M492"")"),1300)</f>
        <v>1300</v>
      </c>
      <c r="G44" s="307">
        <f t="shared" ca="1" si="1"/>
        <v>17.80821917808219</v>
      </c>
      <c r="H44" s="638">
        <f t="shared" ca="1" si="39"/>
        <v>150</v>
      </c>
      <c r="I44" s="638">
        <f ca="1">IFERROR(__xludf.DUMMYFUNCTION("IMPORTRANGE(""https://docs.google.com/spreadsheets/d/1C3CXT74ZlgGe6_JY_1olB1XN4rF0dxEuIIF-xsYjHgg/edit?usp=sharing"",""งบกองทุน!EZ48"")"),100)</f>
        <v>100</v>
      </c>
      <c r="J44" s="638">
        <f ca="1">IFERROR(__xludf.DUMMYFUNCTION("IMPORTRANGE(""https://docs.google.com/spreadsheets/d/1C3CXT74ZlgGe6_JY_1olB1XN4rF0dxEuIIF-xsYjHgg/edit?usp=sharing"",""งบกองทุน!FF48"")"),50)</f>
        <v>50</v>
      </c>
      <c r="K44" s="306">
        <f ca="1">IFERROR(__xludf.DUMMYFUNCTION("IMPORTRANGE(""https://docs.google.com/spreadsheets/d/1XL5vhW3sbDhbH9Cz0tuDiY8C3ctxq1tqvaCgkFb8cCA/edit?usp=sharing"",""ร้อยเอ็ด!J507"")"),100)</f>
        <v>100</v>
      </c>
      <c r="L44" s="307">
        <f t="shared" ca="1" si="4"/>
        <v>66.666666666666671</v>
      </c>
      <c r="M44" s="306">
        <f ca="1">IFERROR(__xludf.DUMMYFUNCTION("IMPORTRANGE(""https://docs.google.com/spreadsheets/d/1XL5vhW3sbDhbH9Cz0tuDiY8C3ctxq1tqvaCgkFb8cCA/edit?usp=sharing"",""ร้อยเอ็ด!J508"")"),100)</f>
        <v>100</v>
      </c>
      <c r="N44" s="307">
        <f t="shared" ca="1" si="5"/>
        <v>66.666666666666671</v>
      </c>
      <c r="O44" s="306">
        <f ca="1">IFERROR(__xludf.DUMMYFUNCTION("IMPORTRANGE(""https://docs.google.com/spreadsheets/d/1XL5vhW3sbDhbH9Cz0tuDiY8C3ctxq1tqvaCgkFb8cCA/edit?usp=sharing"",""ร้อยเอ็ด!J509"")"),100)</f>
        <v>100</v>
      </c>
      <c r="P44" s="307">
        <f t="shared" ca="1" si="6"/>
        <v>66.666666666666671</v>
      </c>
      <c r="Q44" s="306">
        <f ca="1">IFERROR(__xludf.DUMMYFUNCTION("IMPORTRANGE(""https://docs.google.com/spreadsheets/d/1XL5vhW3sbDhbH9Cz0tuDiY8C3ctxq1tqvaCgkFb8cCA/edit?usp=sharing"",""ร้อยเอ็ด!J510"")"),100)</f>
        <v>100</v>
      </c>
      <c r="R44" s="307">
        <f t="shared" ca="1" si="7"/>
        <v>66.666666666666671</v>
      </c>
      <c r="S44" s="306">
        <f ca="1">IFERROR(__xludf.DUMMYFUNCTION("IMPORTRANGE(""https://docs.google.com/spreadsheets/d/1XL5vhW3sbDhbH9Cz0tuDiY8C3ctxq1tqvaCgkFb8cCA/edit?usp=sharing"",""ร้อยเอ็ด!J511"")"),0)</f>
        <v>0</v>
      </c>
      <c r="T44" s="307">
        <f t="shared" ca="1" si="8"/>
        <v>0</v>
      </c>
      <c r="U44" s="639">
        <f t="shared" ca="1" si="40"/>
        <v>0</v>
      </c>
      <c r="V44" s="307">
        <f t="shared" ca="1" si="9"/>
        <v>0</v>
      </c>
      <c r="W44" s="639">
        <f ca="1">IFERROR(__xludf.DUMMYFUNCTION("IMPORTRANGE(""https://docs.google.com/spreadsheets/d/1XL5vhW3sbDhbH9Cz0tuDiY8C3ctxq1tqvaCgkFb8cCA/edit?usp=sharing"",""ร้อยเอ็ด!J513"")"),0)</f>
        <v>0</v>
      </c>
      <c r="X44" s="639">
        <f ca="1">IFERROR(__xludf.DUMMYFUNCTION("IMPORTRANGE(""https://docs.google.com/spreadsheets/d/1XL5vhW3sbDhbH9Cz0tuDiY8C3ctxq1tqvaCgkFb8cCA/edit?usp=sharing"",""ร้อยเอ็ด!J514"")"),0)</f>
        <v>0</v>
      </c>
      <c r="Y44" s="306">
        <f t="shared" ca="1" si="41"/>
        <v>0</v>
      </c>
      <c r="Z44" s="307">
        <f t="shared" ca="1" si="11"/>
        <v>0</v>
      </c>
      <c r="AA44" s="306">
        <f ca="1">IFERROR(__xludf.DUMMYFUNCTION("IMPORTRANGE(""https://docs.google.com/spreadsheets/d/1XL5vhW3sbDhbH9Cz0tuDiY8C3ctxq1tqvaCgkFb8cCA/edit?usp=sharing"",""ร้อยเอ็ด!J517"")"),0)</f>
        <v>0</v>
      </c>
      <c r="AB44" s="306">
        <f ca="1">IFERROR(__xludf.DUMMYFUNCTION("IMPORTRANGE(""https://docs.google.com/spreadsheets/d/1XL5vhW3sbDhbH9Cz0tuDiY8C3ctxq1tqvaCgkFb8cCA/edit?usp=sharing"",""ร้อยเอ็ด!J518"")"),0)</f>
        <v>0</v>
      </c>
      <c r="AC44" s="306">
        <f ca="1">IFERROR(__xludf.DUMMYFUNCTION("IMPORTRANGE(""https://docs.google.com/spreadsheets/d/1XL5vhW3sbDhbH9Cz0tuDiY8C3ctxq1tqvaCgkFb8cCA/edit?usp=sharing"",""ร้อยเอ็ด!J520"")"),0)</f>
        <v>0</v>
      </c>
      <c r="AD44" s="609">
        <f ca="1">IFERROR(__xludf.DUMMYFUNCTION("IMPORTRANGE(""https://docs.google.com/spreadsheets/d/1XL5vhW3sbDhbH9Cz0tuDiY8C3ctxq1tqvaCgkFb8cCA/edit?usp=sharing"",""ร้อยเอ็ด!J521"")"),0)</f>
        <v>0</v>
      </c>
    </row>
    <row r="45" spans="1:30" ht="21" customHeight="1">
      <c r="A45" s="303">
        <v>12</v>
      </c>
      <c r="B45" s="304" t="s">
        <v>69</v>
      </c>
      <c r="C45" s="305">
        <f t="shared" ca="1" si="38"/>
        <v>8400</v>
      </c>
      <c r="D45" s="306">
        <f ca="1">IFERROR(__xludf.DUMMYFUNCTION("IMPORTRANGE(""https://docs.google.com/spreadsheets/d/1C3CXT74ZlgGe6_JY_1olB1XN4rF0dxEuIIF-xsYjHgg/edit?usp=sharing"",""งบกองทุน!EV49"")"),0)</f>
        <v>0</v>
      </c>
      <c r="E45" s="306">
        <f ca="1">IFERROR(__xludf.DUMMYFUNCTION("IMPORTRANGE(""https://docs.google.com/spreadsheets/d/1C3CXT74ZlgGe6_JY_1olB1XN4rF0dxEuIIF-xsYjHgg/edit?usp=sharing"",""งบกองทุน!EW49"")"),8400)</f>
        <v>8400</v>
      </c>
      <c r="F45" s="307">
        <f ca="1">IFERROR(__xludf.DUMMYFUNCTION("IMPORTRANGE(""https://docs.google.com/spreadsheets/d/1XL5vhW3sbDhbH9Cz0tuDiY8C3ctxq1tqvaCgkFb8cCA/edit?usp=sharing"",""เลย!M492"")"),300)</f>
        <v>300</v>
      </c>
      <c r="G45" s="307">
        <f t="shared" ca="1" si="1"/>
        <v>3.5714285714285716</v>
      </c>
      <c r="H45" s="638">
        <f t="shared" ca="1" si="39"/>
        <v>120</v>
      </c>
      <c r="I45" s="638">
        <f ca="1">IFERROR(__xludf.DUMMYFUNCTION("IMPORTRANGE(""https://docs.google.com/spreadsheets/d/1C3CXT74ZlgGe6_JY_1olB1XN4rF0dxEuIIF-xsYjHgg/edit?usp=sharing"",""งบกองทุน!EZ49"")"),120)</f>
        <v>120</v>
      </c>
      <c r="J45" s="638">
        <f ca="1">IFERROR(__xludf.DUMMYFUNCTION("IMPORTRANGE(""https://docs.google.com/spreadsheets/d/1C3CXT74ZlgGe6_JY_1olB1XN4rF0dxEuIIF-xsYjHgg/edit?usp=sharing"",""งบกองทุน!FF49"")"),0)</f>
        <v>0</v>
      </c>
      <c r="K45" s="306">
        <f ca="1">IFERROR(__xludf.DUMMYFUNCTION("IMPORTRANGE(""https://docs.google.com/spreadsheets/d/1XL5vhW3sbDhbH9Cz0tuDiY8C3ctxq1tqvaCgkFb8cCA/edit?usp=sharing"",""เลย!J507"")"),100)</f>
        <v>100</v>
      </c>
      <c r="L45" s="307">
        <f t="shared" ca="1" si="4"/>
        <v>83.333333333333329</v>
      </c>
      <c r="M45" s="306">
        <f ca="1">IFERROR(__xludf.DUMMYFUNCTION("IMPORTRANGE(""https://docs.google.com/spreadsheets/d/1XL5vhW3sbDhbH9Cz0tuDiY8C3ctxq1tqvaCgkFb8cCA/edit?usp=sharing"",""เลย!J508"")"),100)</f>
        <v>100</v>
      </c>
      <c r="N45" s="307">
        <f t="shared" ca="1" si="5"/>
        <v>83.333333333333329</v>
      </c>
      <c r="O45" s="306">
        <f ca="1">IFERROR(__xludf.DUMMYFUNCTION("IMPORTRANGE(""https://docs.google.com/spreadsheets/d/1XL5vhW3sbDhbH9Cz0tuDiY8C3ctxq1tqvaCgkFb8cCA/edit?usp=sharing"",""เลย!J509"")"),100)</f>
        <v>100</v>
      </c>
      <c r="P45" s="307">
        <f t="shared" ca="1" si="6"/>
        <v>83.333333333333329</v>
      </c>
      <c r="Q45" s="306">
        <f ca="1">IFERROR(__xludf.DUMMYFUNCTION("IMPORTRANGE(""https://docs.google.com/spreadsheets/d/1XL5vhW3sbDhbH9Cz0tuDiY8C3ctxq1tqvaCgkFb8cCA/edit?usp=sharing"",""เลย!J510"")"),100)</f>
        <v>100</v>
      </c>
      <c r="R45" s="307">
        <f t="shared" ca="1" si="7"/>
        <v>83.333333333333329</v>
      </c>
      <c r="S45" s="306">
        <f ca="1">IFERROR(__xludf.DUMMYFUNCTION("IMPORTRANGE(""https://docs.google.com/spreadsheets/d/1XL5vhW3sbDhbH9Cz0tuDiY8C3ctxq1tqvaCgkFb8cCA/edit?usp=sharing"",""เลย!J511"")"),0)</f>
        <v>0</v>
      </c>
      <c r="T45" s="307">
        <f t="shared" ca="1" si="8"/>
        <v>0</v>
      </c>
      <c r="U45" s="639">
        <f t="shared" ca="1" si="40"/>
        <v>0</v>
      </c>
      <c r="V45" s="307">
        <f t="shared" ca="1" si="9"/>
        <v>0</v>
      </c>
      <c r="W45" s="639">
        <f ca="1">IFERROR(__xludf.DUMMYFUNCTION("IMPORTRANGE(""https://docs.google.com/spreadsheets/d/1XL5vhW3sbDhbH9Cz0tuDiY8C3ctxq1tqvaCgkFb8cCA/edit?usp=sharing"",""เลย!J513"")"),0)</f>
        <v>0</v>
      </c>
      <c r="X45" s="639">
        <f ca="1">IFERROR(__xludf.DUMMYFUNCTION("IMPORTRANGE(""https://docs.google.com/spreadsheets/d/1XL5vhW3sbDhbH9Cz0tuDiY8C3ctxq1tqvaCgkFb8cCA/edit?usp=sharing"",""เลย!J514"")"),0)</f>
        <v>0</v>
      </c>
      <c r="Y45" s="306">
        <f t="shared" ca="1" si="41"/>
        <v>0</v>
      </c>
      <c r="Z45" s="307">
        <f t="shared" ca="1" si="11"/>
        <v>0</v>
      </c>
      <c r="AA45" s="306">
        <f ca="1">IFERROR(__xludf.DUMMYFUNCTION("IMPORTRANGE(""https://docs.google.com/spreadsheets/d/1XL5vhW3sbDhbH9Cz0tuDiY8C3ctxq1tqvaCgkFb8cCA/edit?usp=sharing"",""เลย!J517"")"),0)</f>
        <v>0</v>
      </c>
      <c r="AB45" s="306">
        <f ca="1">IFERROR(__xludf.DUMMYFUNCTION("IMPORTRANGE(""https://docs.google.com/spreadsheets/d/1XL5vhW3sbDhbH9Cz0tuDiY8C3ctxq1tqvaCgkFb8cCA/edit?usp=sharing"",""เลย!J518"")"),0)</f>
        <v>0</v>
      </c>
      <c r="AC45" s="306">
        <f ca="1">IFERROR(__xludf.DUMMYFUNCTION("IMPORTRANGE(""https://docs.google.com/spreadsheets/d/1XL5vhW3sbDhbH9Cz0tuDiY8C3ctxq1tqvaCgkFb8cCA/edit?usp=sharing"",""เลย!J520"")"),0)</f>
        <v>0</v>
      </c>
      <c r="AD45" s="609">
        <f ca="1">IFERROR(__xludf.DUMMYFUNCTION("IMPORTRANGE(""https://docs.google.com/spreadsheets/d/1XL5vhW3sbDhbH9Cz0tuDiY8C3ctxq1tqvaCgkFb8cCA/edit?usp=sharing"",""เลย!J521"")"),0)</f>
        <v>0</v>
      </c>
    </row>
    <row r="46" spans="1:30" ht="21" customHeight="1">
      <c r="A46" s="303">
        <v>13</v>
      </c>
      <c r="B46" s="304" t="s">
        <v>70</v>
      </c>
      <c r="C46" s="305">
        <f t="shared" ca="1" si="38"/>
        <v>9700</v>
      </c>
      <c r="D46" s="306">
        <f ca="1">IFERROR(__xludf.DUMMYFUNCTION("IMPORTRANGE(""https://docs.google.com/spreadsheets/d/1C3CXT74ZlgGe6_JY_1olB1XN4rF0dxEuIIF-xsYjHgg/edit?usp=sharing"",""งบกองทุน!EV50"")"),0)</f>
        <v>0</v>
      </c>
      <c r="E46" s="306">
        <f ca="1">IFERROR(__xludf.DUMMYFUNCTION("IMPORTRANGE(""https://docs.google.com/spreadsheets/d/1C3CXT74ZlgGe6_JY_1olB1XN4rF0dxEuIIF-xsYjHgg/edit?usp=sharing"",""งบกองทุน!EW50"")"),9700)</f>
        <v>9700</v>
      </c>
      <c r="F46" s="307">
        <f ca="1">IFERROR(__xludf.DUMMYFUNCTION("IMPORTRANGE(""https://docs.google.com/spreadsheets/d/1XL5vhW3sbDhbH9Cz0tuDiY8C3ctxq1tqvaCgkFb8cCA/edit?usp=sharing"",""ศรีสะเกษ!M492"")"),0)</f>
        <v>0</v>
      </c>
      <c r="G46" s="307">
        <f t="shared" ca="1" si="1"/>
        <v>0</v>
      </c>
      <c r="H46" s="638">
        <f t="shared" ca="1" si="39"/>
        <v>100</v>
      </c>
      <c r="I46" s="638">
        <f ca="1">IFERROR(__xludf.DUMMYFUNCTION("IMPORTRANGE(""https://docs.google.com/spreadsheets/d/1C3CXT74ZlgGe6_JY_1olB1XN4rF0dxEuIIF-xsYjHgg/edit?usp=sharing"",""งบกองทุน!EZ50"")"),100)</f>
        <v>100</v>
      </c>
      <c r="J46" s="638">
        <f ca="1">IFERROR(__xludf.DUMMYFUNCTION("IMPORTRANGE(""https://docs.google.com/spreadsheets/d/1C3CXT74ZlgGe6_JY_1olB1XN4rF0dxEuIIF-xsYjHgg/edit?usp=sharing"",""งบกองทุน!FF50"")"),0)</f>
        <v>0</v>
      </c>
      <c r="K46" s="306">
        <f ca="1">IFERROR(__xludf.DUMMYFUNCTION("IMPORTRANGE(""https://docs.google.com/spreadsheets/d/1XL5vhW3sbDhbH9Cz0tuDiY8C3ctxq1tqvaCgkFb8cCA/edit?usp=sharing"",""ศรีสะเกษ!J507"")"),0)</f>
        <v>0</v>
      </c>
      <c r="L46" s="307">
        <f t="shared" ca="1" si="4"/>
        <v>0</v>
      </c>
      <c r="M46" s="306">
        <f ca="1">IFERROR(__xludf.DUMMYFUNCTION("IMPORTRANGE(""https://docs.google.com/spreadsheets/d/1XL5vhW3sbDhbH9Cz0tuDiY8C3ctxq1tqvaCgkFb8cCA/edit?usp=sharing"",""ศรีสะเกษ!J508"")"),0)</f>
        <v>0</v>
      </c>
      <c r="N46" s="307">
        <f t="shared" ca="1" si="5"/>
        <v>0</v>
      </c>
      <c r="O46" s="306">
        <f ca="1">IFERROR(__xludf.DUMMYFUNCTION("IMPORTRANGE(""https://docs.google.com/spreadsheets/d/1XL5vhW3sbDhbH9Cz0tuDiY8C3ctxq1tqvaCgkFb8cCA/edit?usp=sharing"",""ศรีสะเกษ!J509"")"),0)</f>
        <v>0</v>
      </c>
      <c r="P46" s="307">
        <f t="shared" ca="1" si="6"/>
        <v>0</v>
      </c>
      <c r="Q46" s="306">
        <f ca="1">IFERROR(__xludf.DUMMYFUNCTION("IMPORTRANGE(""https://docs.google.com/spreadsheets/d/1XL5vhW3sbDhbH9Cz0tuDiY8C3ctxq1tqvaCgkFb8cCA/edit?usp=sharing"",""ศรีสะเกษ!J510"")"),0)</f>
        <v>0</v>
      </c>
      <c r="R46" s="307">
        <f t="shared" ca="1" si="7"/>
        <v>0</v>
      </c>
      <c r="S46" s="306">
        <f ca="1">IFERROR(__xludf.DUMMYFUNCTION("IMPORTRANGE(""https://docs.google.com/spreadsheets/d/1XL5vhW3sbDhbH9Cz0tuDiY8C3ctxq1tqvaCgkFb8cCA/edit?usp=sharing"",""ศรีสะเกษ!J511"")"),0)</f>
        <v>0</v>
      </c>
      <c r="T46" s="307">
        <f t="shared" ca="1" si="8"/>
        <v>0</v>
      </c>
      <c r="U46" s="639">
        <f t="shared" ca="1" si="40"/>
        <v>0</v>
      </c>
      <c r="V46" s="307">
        <f t="shared" ca="1" si="9"/>
        <v>0</v>
      </c>
      <c r="W46" s="639">
        <f ca="1">IFERROR(__xludf.DUMMYFUNCTION("IMPORTRANGE(""https://docs.google.com/spreadsheets/d/1XL5vhW3sbDhbH9Cz0tuDiY8C3ctxq1tqvaCgkFb8cCA/edit?usp=sharing"",""ศรีสะเกษ!J513"")"),0)</f>
        <v>0</v>
      </c>
      <c r="X46" s="639">
        <f ca="1">IFERROR(__xludf.DUMMYFUNCTION("IMPORTRANGE(""https://docs.google.com/spreadsheets/d/1XL5vhW3sbDhbH9Cz0tuDiY8C3ctxq1tqvaCgkFb8cCA/edit?usp=sharing"",""ศรีสะเกษ!J514"")"),0)</f>
        <v>0</v>
      </c>
      <c r="Y46" s="306">
        <f t="shared" ca="1" si="41"/>
        <v>0</v>
      </c>
      <c r="Z46" s="307">
        <f t="shared" ca="1" si="11"/>
        <v>0</v>
      </c>
      <c r="AA46" s="306">
        <f ca="1">IFERROR(__xludf.DUMMYFUNCTION("IMPORTRANGE(""https://docs.google.com/spreadsheets/d/1XL5vhW3sbDhbH9Cz0tuDiY8C3ctxq1tqvaCgkFb8cCA/edit?usp=sharing"",""ศรีสะเกษ!J517"")"),0)</f>
        <v>0</v>
      </c>
      <c r="AB46" s="306">
        <f ca="1">IFERROR(__xludf.DUMMYFUNCTION("IMPORTRANGE(""https://docs.google.com/spreadsheets/d/1XL5vhW3sbDhbH9Cz0tuDiY8C3ctxq1tqvaCgkFb8cCA/edit?usp=sharing"",""ศรีสะเกษ!J518"")"),0)</f>
        <v>0</v>
      </c>
      <c r="AC46" s="306">
        <f ca="1">IFERROR(__xludf.DUMMYFUNCTION("IMPORTRANGE(""https://docs.google.com/spreadsheets/d/1XL5vhW3sbDhbH9Cz0tuDiY8C3ctxq1tqvaCgkFb8cCA/edit?usp=sharing"",""ศรีสะเกษ!J520"")"),0)</f>
        <v>0</v>
      </c>
      <c r="AD46" s="609">
        <f ca="1">IFERROR(__xludf.DUMMYFUNCTION("IMPORTRANGE(""https://docs.google.com/spreadsheets/d/1XL5vhW3sbDhbH9Cz0tuDiY8C3ctxq1tqvaCgkFb8cCA/edit?usp=sharing"",""ศรีสะเกษ!J521"")"),0)</f>
        <v>0</v>
      </c>
    </row>
    <row r="47" spans="1:30" ht="21" customHeight="1">
      <c r="A47" s="303">
        <v>14</v>
      </c>
      <c r="B47" s="304" t="s">
        <v>71</v>
      </c>
      <c r="C47" s="305">
        <f t="shared" ca="1" si="38"/>
        <v>20900</v>
      </c>
      <c r="D47" s="306">
        <f ca="1">IFERROR(__xludf.DUMMYFUNCTION("IMPORTRANGE(""https://docs.google.com/spreadsheets/d/1C3CXT74ZlgGe6_JY_1olB1XN4rF0dxEuIIF-xsYjHgg/edit?usp=sharing"",""งบกองทุน!EV51"")"),0)</f>
        <v>0</v>
      </c>
      <c r="E47" s="306">
        <f ca="1">IFERROR(__xludf.DUMMYFUNCTION("IMPORTRANGE(""https://docs.google.com/spreadsheets/d/1C3CXT74ZlgGe6_JY_1olB1XN4rF0dxEuIIF-xsYjHgg/edit?usp=sharing"",""งบกองทุน!EW51"")"),20900)</f>
        <v>20900</v>
      </c>
      <c r="F47" s="307">
        <f ca="1">IFERROR(__xludf.DUMMYFUNCTION("IMPORTRANGE(""https://docs.google.com/spreadsheets/d/1XL5vhW3sbDhbH9Cz0tuDiY8C3ctxq1tqvaCgkFb8cCA/edit?usp=sharing"",""สกลนคร!M492"")"),0)</f>
        <v>0</v>
      </c>
      <c r="G47" s="307">
        <f t="shared" ca="1" si="1"/>
        <v>0</v>
      </c>
      <c r="H47" s="638">
        <f t="shared" ca="1" si="39"/>
        <v>100</v>
      </c>
      <c r="I47" s="638">
        <f ca="1">IFERROR(__xludf.DUMMYFUNCTION("IMPORTRANGE(""https://docs.google.com/spreadsheets/d/1C3CXT74ZlgGe6_JY_1olB1XN4rF0dxEuIIF-xsYjHgg/edit?usp=sharing"",""งบกองทุน!EZ51"")"),100)</f>
        <v>100</v>
      </c>
      <c r="J47" s="638">
        <f ca="1">IFERROR(__xludf.DUMMYFUNCTION("IMPORTRANGE(""https://docs.google.com/spreadsheets/d/1C3CXT74ZlgGe6_JY_1olB1XN4rF0dxEuIIF-xsYjHgg/edit?usp=sharing"",""งบกองทุน!FF51"")"),0)</f>
        <v>0</v>
      </c>
      <c r="K47" s="306">
        <f ca="1">IFERROR(__xludf.DUMMYFUNCTION("IMPORTRANGE(""https://docs.google.com/spreadsheets/d/1XL5vhW3sbDhbH9Cz0tuDiY8C3ctxq1tqvaCgkFb8cCA/edit?usp=sharing"",""สกลนคร!J507"")"),0)</f>
        <v>0</v>
      </c>
      <c r="L47" s="307">
        <f t="shared" ca="1" si="4"/>
        <v>0</v>
      </c>
      <c r="M47" s="306">
        <f ca="1">IFERROR(__xludf.DUMMYFUNCTION("IMPORTRANGE(""https://docs.google.com/spreadsheets/d/1XL5vhW3sbDhbH9Cz0tuDiY8C3ctxq1tqvaCgkFb8cCA/edit?usp=sharing"",""สกลนคร!J508"")"),0)</f>
        <v>0</v>
      </c>
      <c r="N47" s="307">
        <f t="shared" ca="1" si="5"/>
        <v>0</v>
      </c>
      <c r="O47" s="306">
        <f ca="1">IFERROR(__xludf.DUMMYFUNCTION("IMPORTRANGE(""https://docs.google.com/spreadsheets/d/1XL5vhW3sbDhbH9Cz0tuDiY8C3ctxq1tqvaCgkFb8cCA/edit?usp=sharing"",""สกลนคร!J509"")"),0)</f>
        <v>0</v>
      </c>
      <c r="P47" s="307">
        <f t="shared" ca="1" si="6"/>
        <v>0</v>
      </c>
      <c r="Q47" s="306">
        <f ca="1">IFERROR(__xludf.DUMMYFUNCTION("IMPORTRANGE(""https://docs.google.com/spreadsheets/d/1XL5vhW3sbDhbH9Cz0tuDiY8C3ctxq1tqvaCgkFb8cCA/edit?usp=sharing"",""สกลนคร!J510"")"),0)</f>
        <v>0</v>
      </c>
      <c r="R47" s="307">
        <f t="shared" ca="1" si="7"/>
        <v>0</v>
      </c>
      <c r="S47" s="306">
        <f ca="1">IFERROR(__xludf.DUMMYFUNCTION("IMPORTRANGE(""https://docs.google.com/spreadsheets/d/1XL5vhW3sbDhbH9Cz0tuDiY8C3ctxq1tqvaCgkFb8cCA/edit?usp=sharing"",""สกลนคร!J511"")"),0)</f>
        <v>0</v>
      </c>
      <c r="T47" s="307">
        <f t="shared" ca="1" si="8"/>
        <v>0</v>
      </c>
      <c r="U47" s="639">
        <f t="shared" ca="1" si="40"/>
        <v>0</v>
      </c>
      <c r="V47" s="307">
        <f t="shared" ca="1" si="9"/>
        <v>0</v>
      </c>
      <c r="W47" s="639">
        <f ca="1">IFERROR(__xludf.DUMMYFUNCTION("IMPORTRANGE(""https://docs.google.com/spreadsheets/d/1XL5vhW3sbDhbH9Cz0tuDiY8C3ctxq1tqvaCgkFb8cCA/edit?usp=sharing"",""สกลนคร!J513"")"),0)</f>
        <v>0</v>
      </c>
      <c r="X47" s="639">
        <f ca="1">IFERROR(__xludf.DUMMYFUNCTION("IMPORTRANGE(""https://docs.google.com/spreadsheets/d/1XL5vhW3sbDhbH9Cz0tuDiY8C3ctxq1tqvaCgkFb8cCA/edit?usp=sharing"",""สกลนคร!J514"")"),0)</f>
        <v>0</v>
      </c>
      <c r="Y47" s="306">
        <f t="shared" ca="1" si="41"/>
        <v>0</v>
      </c>
      <c r="Z47" s="307">
        <f t="shared" ca="1" si="11"/>
        <v>0</v>
      </c>
      <c r="AA47" s="306">
        <f ca="1">IFERROR(__xludf.DUMMYFUNCTION("IMPORTRANGE(""https://docs.google.com/spreadsheets/d/1XL5vhW3sbDhbH9Cz0tuDiY8C3ctxq1tqvaCgkFb8cCA/edit?usp=sharing"",""สกลนคร!J517"")"),0)</f>
        <v>0</v>
      </c>
      <c r="AB47" s="306">
        <f ca="1">IFERROR(__xludf.DUMMYFUNCTION("IMPORTRANGE(""https://docs.google.com/spreadsheets/d/1XL5vhW3sbDhbH9Cz0tuDiY8C3ctxq1tqvaCgkFb8cCA/edit?usp=sharing"",""สกลนคร!J518"")"),0)</f>
        <v>0</v>
      </c>
      <c r="AC47" s="306">
        <f ca="1">IFERROR(__xludf.DUMMYFUNCTION("IMPORTRANGE(""https://docs.google.com/spreadsheets/d/1XL5vhW3sbDhbH9Cz0tuDiY8C3ctxq1tqvaCgkFb8cCA/edit?usp=sharing"",""สกลนคร!J520"")"),0)</f>
        <v>0</v>
      </c>
      <c r="AD47" s="609">
        <f ca="1">IFERROR(__xludf.DUMMYFUNCTION("IMPORTRANGE(""https://docs.google.com/spreadsheets/d/1XL5vhW3sbDhbH9Cz0tuDiY8C3ctxq1tqvaCgkFb8cCA/edit?usp=sharing"",""สกลนคร!J521"")"),0)</f>
        <v>0</v>
      </c>
    </row>
    <row r="48" spans="1:30" ht="21" customHeight="1">
      <c r="A48" s="303">
        <v>15</v>
      </c>
      <c r="B48" s="304" t="s">
        <v>72</v>
      </c>
      <c r="C48" s="305">
        <f t="shared" ca="1" si="38"/>
        <v>21600</v>
      </c>
      <c r="D48" s="306">
        <f ca="1">IFERROR(__xludf.DUMMYFUNCTION("IMPORTRANGE(""https://docs.google.com/spreadsheets/d/1C3CXT74ZlgGe6_JY_1olB1XN4rF0dxEuIIF-xsYjHgg/edit?usp=sharing"",""งบกองทุน!EV52"")"),0)</f>
        <v>0</v>
      </c>
      <c r="E48" s="306">
        <f ca="1">IFERROR(__xludf.DUMMYFUNCTION("IMPORTRANGE(""https://docs.google.com/spreadsheets/d/1C3CXT74ZlgGe6_JY_1olB1XN4rF0dxEuIIF-xsYjHgg/edit?usp=sharing"",""งบกองทุน!EW52"")"),21600)</f>
        <v>21600</v>
      </c>
      <c r="F48" s="307">
        <f ca="1">IFERROR(__xludf.DUMMYFUNCTION("IMPORTRANGE(""https://docs.google.com/spreadsheets/d/1XL5vhW3sbDhbH9Cz0tuDiY8C3ctxq1tqvaCgkFb8cCA/edit?usp=sharing"",""สุรินทร์!M492"")"),9915)</f>
        <v>9915</v>
      </c>
      <c r="G48" s="307">
        <f t="shared" ca="1" si="1"/>
        <v>45.902777777777779</v>
      </c>
      <c r="H48" s="638">
        <f t="shared" ca="1" si="39"/>
        <v>248</v>
      </c>
      <c r="I48" s="638">
        <f ca="1">IFERROR(__xludf.DUMMYFUNCTION("IMPORTRANGE(""https://docs.google.com/spreadsheets/d/1C3CXT74ZlgGe6_JY_1olB1XN4rF0dxEuIIF-xsYjHgg/edit?usp=sharing"",""งบกองทุน!EZ52"")"),200)</f>
        <v>200</v>
      </c>
      <c r="J48" s="638">
        <f ca="1">IFERROR(__xludf.DUMMYFUNCTION("IMPORTRANGE(""https://docs.google.com/spreadsheets/d/1C3CXT74ZlgGe6_JY_1olB1XN4rF0dxEuIIF-xsYjHgg/edit?usp=sharing"",""งบกองทุน!FF52"")"),48)</f>
        <v>48</v>
      </c>
      <c r="K48" s="306">
        <f ca="1">IFERROR(__xludf.DUMMYFUNCTION("IMPORTRANGE(""https://docs.google.com/spreadsheets/d/1XL5vhW3sbDhbH9Cz0tuDiY8C3ctxq1tqvaCgkFb8cCA/edit?usp=sharing"",""สุรินทร์!J507"")"),129)</f>
        <v>129</v>
      </c>
      <c r="L48" s="307">
        <f t="shared" ca="1" si="4"/>
        <v>52.016129032258064</v>
      </c>
      <c r="M48" s="306">
        <f ca="1">IFERROR(__xludf.DUMMYFUNCTION("IMPORTRANGE(""https://docs.google.com/spreadsheets/d/1XL5vhW3sbDhbH9Cz0tuDiY8C3ctxq1tqvaCgkFb8cCA/edit?usp=sharing"",""สุรินทร์!J508"")"),129)</f>
        <v>129</v>
      </c>
      <c r="N48" s="307">
        <f t="shared" ca="1" si="5"/>
        <v>52.016129032258064</v>
      </c>
      <c r="O48" s="306">
        <f ca="1">IFERROR(__xludf.DUMMYFUNCTION("IMPORTRANGE(""https://docs.google.com/spreadsheets/d/1XL5vhW3sbDhbH9Cz0tuDiY8C3ctxq1tqvaCgkFb8cCA/edit?usp=sharing"",""สุรินทร์!J509"")"),129)</f>
        <v>129</v>
      </c>
      <c r="P48" s="307">
        <f t="shared" ca="1" si="6"/>
        <v>52.016129032258064</v>
      </c>
      <c r="Q48" s="306">
        <f ca="1">IFERROR(__xludf.DUMMYFUNCTION("IMPORTRANGE(""https://docs.google.com/spreadsheets/d/1XL5vhW3sbDhbH9Cz0tuDiY8C3ctxq1tqvaCgkFb8cCA/edit?usp=sharing"",""สุรินทร์!J510"")"),129)</f>
        <v>129</v>
      </c>
      <c r="R48" s="307">
        <f t="shared" ca="1" si="7"/>
        <v>52.016129032258064</v>
      </c>
      <c r="S48" s="306">
        <f ca="1">IFERROR(__xludf.DUMMYFUNCTION("IMPORTRANGE(""https://docs.google.com/spreadsheets/d/1XL5vhW3sbDhbH9Cz0tuDiY8C3ctxq1tqvaCgkFb8cCA/edit?usp=sharing"",""สุรินทร์!J511"")"),129)</f>
        <v>129</v>
      </c>
      <c r="T48" s="307">
        <f t="shared" ca="1" si="8"/>
        <v>52.016129032258064</v>
      </c>
      <c r="U48" s="639">
        <f t="shared" ca="1" si="40"/>
        <v>0</v>
      </c>
      <c r="V48" s="307">
        <f t="shared" ca="1" si="9"/>
        <v>0</v>
      </c>
      <c r="W48" s="639">
        <f ca="1">IFERROR(__xludf.DUMMYFUNCTION("IMPORTRANGE(""https://docs.google.com/spreadsheets/d/1XL5vhW3sbDhbH9Cz0tuDiY8C3ctxq1tqvaCgkFb8cCA/edit?usp=sharing"",""สุรินทร์!J513"")"),0)</f>
        <v>0</v>
      </c>
      <c r="X48" s="639">
        <f ca="1">IFERROR(__xludf.DUMMYFUNCTION("IMPORTRANGE(""https://docs.google.com/spreadsheets/d/1XL5vhW3sbDhbH9Cz0tuDiY8C3ctxq1tqvaCgkFb8cCA/edit?usp=sharing"",""สุรินทร์!J514"")"),0)</f>
        <v>0</v>
      </c>
      <c r="Y48" s="306">
        <f t="shared" ca="1" si="41"/>
        <v>0</v>
      </c>
      <c r="Z48" s="307">
        <f t="shared" ca="1" si="11"/>
        <v>0</v>
      </c>
      <c r="AA48" s="306">
        <f ca="1">IFERROR(__xludf.DUMMYFUNCTION("IMPORTRANGE(""https://docs.google.com/spreadsheets/d/1XL5vhW3sbDhbH9Cz0tuDiY8C3ctxq1tqvaCgkFb8cCA/edit?usp=sharing"",""สุรินทร์!J517"")"),0)</f>
        <v>0</v>
      </c>
      <c r="AB48" s="306">
        <f ca="1">IFERROR(__xludf.DUMMYFUNCTION("IMPORTRANGE(""https://docs.google.com/spreadsheets/d/1XL5vhW3sbDhbH9Cz0tuDiY8C3ctxq1tqvaCgkFb8cCA/edit?usp=sharing"",""สุรินทร์!J518"")"),0)</f>
        <v>0</v>
      </c>
      <c r="AC48" s="306">
        <f ca="1">IFERROR(__xludf.DUMMYFUNCTION("IMPORTRANGE(""https://docs.google.com/spreadsheets/d/1XL5vhW3sbDhbH9Cz0tuDiY8C3ctxq1tqvaCgkFb8cCA/edit?usp=sharing"",""สุรินทร์!J520"")"),0)</f>
        <v>0</v>
      </c>
      <c r="AD48" s="609">
        <f ca="1">IFERROR(__xludf.DUMMYFUNCTION("IMPORTRANGE(""https://docs.google.com/spreadsheets/d/1XL5vhW3sbDhbH9Cz0tuDiY8C3ctxq1tqvaCgkFb8cCA/edit?usp=sharing"",""สุรินทร์!J521"")"),0)</f>
        <v>0</v>
      </c>
    </row>
    <row r="49" spans="1:30" ht="21" customHeight="1">
      <c r="A49" s="303">
        <v>16</v>
      </c>
      <c r="B49" s="304" t="s">
        <v>73</v>
      </c>
      <c r="C49" s="305">
        <f t="shared" ca="1" si="38"/>
        <v>11300</v>
      </c>
      <c r="D49" s="306">
        <f ca="1">IFERROR(__xludf.DUMMYFUNCTION("IMPORTRANGE(""https://docs.google.com/spreadsheets/d/1C3CXT74ZlgGe6_JY_1olB1XN4rF0dxEuIIF-xsYjHgg/edit?usp=sharing"",""งบกองทุน!EV53"")"),0)</f>
        <v>0</v>
      </c>
      <c r="E49" s="306">
        <f ca="1">IFERROR(__xludf.DUMMYFUNCTION("IMPORTRANGE(""https://docs.google.com/spreadsheets/d/1C3CXT74ZlgGe6_JY_1olB1XN4rF0dxEuIIF-xsYjHgg/edit?usp=sharing"",""งบกองทุน!EW53"")"),11300)</f>
        <v>11300</v>
      </c>
      <c r="F49" s="307">
        <f ca="1">IFERROR(__xludf.DUMMYFUNCTION("IMPORTRANGE(""https://docs.google.com/spreadsheets/d/1XL5vhW3sbDhbH9Cz0tuDiY8C3ctxq1tqvaCgkFb8cCA/edit?usp=sharing"",""หนองคาย!M492"")"),2220)</f>
        <v>2220</v>
      </c>
      <c r="G49" s="307">
        <f t="shared" ca="1" si="1"/>
        <v>19.646017699115045</v>
      </c>
      <c r="H49" s="638">
        <f t="shared" ca="1" si="39"/>
        <v>100</v>
      </c>
      <c r="I49" s="638">
        <f ca="1">IFERROR(__xludf.DUMMYFUNCTION("IMPORTRANGE(""https://docs.google.com/spreadsheets/d/1C3CXT74ZlgGe6_JY_1olB1XN4rF0dxEuIIF-xsYjHgg/edit?usp=sharing"",""งบกองทุน!EZ53"")"),100)</f>
        <v>100</v>
      </c>
      <c r="J49" s="638">
        <f ca="1">IFERROR(__xludf.DUMMYFUNCTION("IMPORTRANGE(""https://docs.google.com/spreadsheets/d/1C3CXT74ZlgGe6_JY_1olB1XN4rF0dxEuIIF-xsYjHgg/edit?usp=sharing"",""งบกองทุน!FF53"")"),0)</f>
        <v>0</v>
      </c>
      <c r="K49" s="306">
        <f ca="1">IFERROR(__xludf.DUMMYFUNCTION("IMPORTRANGE(""https://docs.google.com/spreadsheets/d/1XL5vhW3sbDhbH9Cz0tuDiY8C3ctxq1tqvaCgkFb8cCA/edit?usp=sharing"",""หนองคาย!J507"")"),0)</f>
        <v>0</v>
      </c>
      <c r="L49" s="307">
        <f t="shared" ca="1" si="4"/>
        <v>0</v>
      </c>
      <c r="M49" s="306">
        <f ca="1">IFERROR(__xludf.DUMMYFUNCTION("IMPORTRANGE(""https://docs.google.com/spreadsheets/d/1XL5vhW3sbDhbH9Cz0tuDiY8C3ctxq1tqvaCgkFb8cCA/edit?usp=sharing"",""หนองคาย!J508"")"),0)</f>
        <v>0</v>
      </c>
      <c r="N49" s="307">
        <f t="shared" ca="1" si="5"/>
        <v>0</v>
      </c>
      <c r="O49" s="306">
        <f ca="1">IFERROR(__xludf.DUMMYFUNCTION("IMPORTRANGE(""https://docs.google.com/spreadsheets/d/1XL5vhW3sbDhbH9Cz0tuDiY8C3ctxq1tqvaCgkFb8cCA/edit?usp=sharing"",""หนองคาย!J509"")"),0)</f>
        <v>0</v>
      </c>
      <c r="P49" s="307">
        <f t="shared" ca="1" si="6"/>
        <v>0</v>
      </c>
      <c r="Q49" s="306">
        <f ca="1">IFERROR(__xludf.DUMMYFUNCTION("IMPORTRANGE(""https://docs.google.com/spreadsheets/d/1XL5vhW3sbDhbH9Cz0tuDiY8C3ctxq1tqvaCgkFb8cCA/edit?usp=sharing"",""หนองคาย!J510"")"),0)</f>
        <v>0</v>
      </c>
      <c r="R49" s="307">
        <f t="shared" ca="1" si="7"/>
        <v>0</v>
      </c>
      <c r="S49" s="306">
        <f ca="1">IFERROR(__xludf.DUMMYFUNCTION("IMPORTRANGE(""https://docs.google.com/spreadsheets/d/1XL5vhW3sbDhbH9Cz0tuDiY8C3ctxq1tqvaCgkFb8cCA/edit?usp=sharing"",""หนองคาย!J511"")"),0)</f>
        <v>0</v>
      </c>
      <c r="T49" s="307">
        <f t="shared" ca="1" si="8"/>
        <v>0</v>
      </c>
      <c r="U49" s="639">
        <f t="shared" ca="1" si="40"/>
        <v>0</v>
      </c>
      <c r="V49" s="307">
        <f t="shared" ca="1" si="9"/>
        <v>0</v>
      </c>
      <c r="W49" s="639">
        <f ca="1">IFERROR(__xludf.DUMMYFUNCTION("IMPORTRANGE(""https://docs.google.com/spreadsheets/d/1XL5vhW3sbDhbH9Cz0tuDiY8C3ctxq1tqvaCgkFb8cCA/edit?usp=sharing"",""หนองคาย!J513"")"),0)</f>
        <v>0</v>
      </c>
      <c r="X49" s="639">
        <f ca="1">IFERROR(__xludf.DUMMYFUNCTION("IMPORTRANGE(""https://docs.google.com/spreadsheets/d/1XL5vhW3sbDhbH9Cz0tuDiY8C3ctxq1tqvaCgkFb8cCA/edit?usp=sharing"",""หนองคาย!J514"")"),0)</f>
        <v>0</v>
      </c>
      <c r="Y49" s="306">
        <f t="shared" ca="1" si="41"/>
        <v>0</v>
      </c>
      <c r="Z49" s="307">
        <f t="shared" ca="1" si="11"/>
        <v>0</v>
      </c>
      <c r="AA49" s="306">
        <f ca="1">IFERROR(__xludf.DUMMYFUNCTION("IMPORTRANGE(""https://docs.google.com/spreadsheets/d/1XL5vhW3sbDhbH9Cz0tuDiY8C3ctxq1tqvaCgkFb8cCA/edit?usp=sharing"",""หนองคาย!J517"")"),0)</f>
        <v>0</v>
      </c>
      <c r="AB49" s="306">
        <f ca="1">IFERROR(__xludf.DUMMYFUNCTION("IMPORTRANGE(""https://docs.google.com/spreadsheets/d/1XL5vhW3sbDhbH9Cz0tuDiY8C3ctxq1tqvaCgkFb8cCA/edit?usp=sharing"",""หนองคาย!J518"")"),0)</f>
        <v>0</v>
      </c>
      <c r="AC49" s="306">
        <f ca="1">IFERROR(__xludf.DUMMYFUNCTION("IMPORTRANGE(""https://docs.google.com/spreadsheets/d/1XL5vhW3sbDhbH9Cz0tuDiY8C3ctxq1tqvaCgkFb8cCA/edit?usp=sharing"",""หนองคาย!J520"")"),0)</f>
        <v>0</v>
      </c>
      <c r="AD49" s="609">
        <f ca="1">IFERROR(__xludf.DUMMYFUNCTION("IMPORTRANGE(""https://docs.google.com/spreadsheets/d/1XL5vhW3sbDhbH9Cz0tuDiY8C3ctxq1tqvaCgkFb8cCA/edit?usp=sharing"",""หนองคาย!J521"")"),0)</f>
        <v>0</v>
      </c>
    </row>
    <row r="50" spans="1:30" ht="21" customHeight="1">
      <c r="A50" s="303">
        <v>17</v>
      </c>
      <c r="B50" s="304" t="s">
        <v>74</v>
      </c>
      <c r="C50" s="305">
        <f t="shared" ca="1" si="38"/>
        <v>11300</v>
      </c>
      <c r="D50" s="306">
        <f ca="1">IFERROR(__xludf.DUMMYFUNCTION("IMPORTRANGE(""https://docs.google.com/spreadsheets/d/1C3CXT74ZlgGe6_JY_1olB1XN4rF0dxEuIIF-xsYjHgg/edit?usp=sharing"",""งบกองทุน!EV54"")"),0)</f>
        <v>0</v>
      </c>
      <c r="E50" s="306">
        <f ca="1">IFERROR(__xludf.DUMMYFUNCTION("IMPORTRANGE(""https://docs.google.com/spreadsheets/d/1C3CXT74ZlgGe6_JY_1olB1XN4rF0dxEuIIF-xsYjHgg/edit?usp=sharing"",""งบกองทุน!EW54"")"),11300)</f>
        <v>11300</v>
      </c>
      <c r="F50" s="307">
        <f ca="1">IFERROR(__xludf.DUMMYFUNCTION("IMPORTRANGE(""https://docs.google.com/spreadsheets/d/1XL5vhW3sbDhbH9Cz0tuDiY8C3ctxq1tqvaCgkFb8cCA/edit?usp=sharing"",""หนองบัวลำภู!M492"")"),2795)</f>
        <v>2795</v>
      </c>
      <c r="G50" s="307">
        <f t="shared" ca="1" si="1"/>
        <v>24.734513274336283</v>
      </c>
      <c r="H50" s="638">
        <f t="shared" ca="1" si="39"/>
        <v>100</v>
      </c>
      <c r="I50" s="638">
        <f ca="1">IFERROR(__xludf.DUMMYFUNCTION("IMPORTRANGE(""https://docs.google.com/spreadsheets/d/1C3CXT74ZlgGe6_JY_1olB1XN4rF0dxEuIIF-xsYjHgg/edit?usp=sharing"",""งบกองทุน!EZ54"")"),100)</f>
        <v>100</v>
      </c>
      <c r="J50" s="638">
        <f ca="1">IFERROR(__xludf.DUMMYFUNCTION("IMPORTRANGE(""https://docs.google.com/spreadsheets/d/1C3CXT74ZlgGe6_JY_1olB1XN4rF0dxEuIIF-xsYjHgg/edit?usp=sharing"",""งบกองทุน!FF54"")"),0)</f>
        <v>0</v>
      </c>
      <c r="K50" s="306">
        <f ca="1">IFERROR(__xludf.DUMMYFUNCTION("IMPORTRANGE(""https://docs.google.com/spreadsheets/d/1XL5vhW3sbDhbH9Cz0tuDiY8C3ctxq1tqvaCgkFb8cCA/edit?usp=sharing"",""หนองบัวลำภู!J507"")"),0)</f>
        <v>0</v>
      </c>
      <c r="L50" s="307">
        <f t="shared" ca="1" si="4"/>
        <v>0</v>
      </c>
      <c r="M50" s="306">
        <f ca="1">IFERROR(__xludf.DUMMYFUNCTION("IMPORTRANGE(""https://docs.google.com/spreadsheets/d/1XL5vhW3sbDhbH9Cz0tuDiY8C3ctxq1tqvaCgkFb8cCA/edit?usp=sharing"",""หนองบัวลำภู!J508"")"),0)</f>
        <v>0</v>
      </c>
      <c r="N50" s="307">
        <f t="shared" ca="1" si="5"/>
        <v>0</v>
      </c>
      <c r="O50" s="306">
        <f ca="1">IFERROR(__xludf.DUMMYFUNCTION("IMPORTRANGE(""https://docs.google.com/spreadsheets/d/1XL5vhW3sbDhbH9Cz0tuDiY8C3ctxq1tqvaCgkFb8cCA/edit?usp=sharing"",""หนองบัวลำภู!J509"")"),0)</f>
        <v>0</v>
      </c>
      <c r="P50" s="307">
        <f t="shared" ca="1" si="6"/>
        <v>0</v>
      </c>
      <c r="Q50" s="306">
        <f ca="1">IFERROR(__xludf.DUMMYFUNCTION("IMPORTRANGE(""https://docs.google.com/spreadsheets/d/1XL5vhW3sbDhbH9Cz0tuDiY8C3ctxq1tqvaCgkFb8cCA/edit?usp=sharing"",""หนองบัวลำภู!J510"")"),0)</f>
        <v>0</v>
      </c>
      <c r="R50" s="307">
        <f t="shared" ca="1" si="7"/>
        <v>0</v>
      </c>
      <c r="S50" s="306">
        <f ca="1">IFERROR(__xludf.DUMMYFUNCTION("IMPORTRANGE(""https://docs.google.com/spreadsheets/d/1XL5vhW3sbDhbH9Cz0tuDiY8C3ctxq1tqvaCgkFb8cCA/edit?usp=sharing"",""หนองบัวลำภู!J511"")"),0)</f>
        <v>0</v>
      </c>
      <c r="T50" s="307">
        <f t="shared" ca="1" si="8"/>
        <v>0</v>
      </c>
      <c r="U50" s="639">
        <f t="shared" ca="1" si="40"/>
        <v>0</v>
      </c>
      <c r="V50" s="307">
        <f t="shared" ca="1" si="9"/>
        <v>0</v>
      </c>
      <c r="W50" s="639">
        <f ca="1">IFERROR(__xludf.DUMMYFUNCTION("IMPORTRANGE(""https://docs.google.com/spreadsheets/d/1XL5vhW3sbDhbH9Cz0tuDiY8C3ctxq1tqvaCgkFb8cCA/edit?usp=sharing"",""หนองบัวลำภู!J513"")"),0)</f>
        <v>0</v>
      </c>
      <c r="X50" s="639">
        <f ca="1">IFERROR(__xludf.DUMMYFUNCTION("IMPORTRANGE(""https://docs.google.com/spreadsheets/d/1XL5vhW3sbDhbH9Cz0tuDiY8C3ctxq1tqvaCgkFb8cCA/edit?usp=sharing"",""หนองบัวลำภู!J514"")"),0)</f>
        <v>0</v>
      </c>
      <c r="Y50" s="306">
        <f t="shared" ca="1" si="41"/>
        <v>0</v>
      </c>
      <c r="Z50" s="307">
        <f t="shared" ca="1" si="11"/>
        <v>0</v>
      </c>
      <c r="AA50" s="306">
        <f ca="1">IFERROR(__xludf.DUMMYFUNCTION("IMPORTRANGE(""https://docs.google.com/spreadsheets/d/1XL5vhW3sbDhbH9Cz0tuDiY8C3ctxq1tqvaCgkFb8cCA/edit?usp=sharing"",""หนองบัวลำภู!J517"")"),0)</f>
        <v>0</v>
      </c>
      <c r="AB50" s="306">
        <f ca="1">IFERROR(__xludf.DUMMYFUNCTION("IMPORTRANGE(""https://docs.google.com/spreadsheets/d/1XL5vhW3sbDhbH9Cz0tuDiY8C3ctxq1tqvaCgkFb8cCA/edit?usp=sharing"",""หนองบัวลำภู!J518"")"),0)</f>
        <v>0</v>
      </c>
      <c r="AC50" s="306">
        <f ca="1">IFERROR(__xludf.DUMMYFUNCTION("IMPORTRANGE(""https://docs.google.com/spreadsheets/d/1XL5vhW3sbDhbH9Cz0tuDiY8C3ctxq1tqvaCgkFb8cCA/edit?usp=sharing"",""หนองบัวลำภู!J520"")"),0)</f>
        <v>0</v>
      </c>
      <c r="AD50" s="609">
        <f ca="1">IFERROR(__xludf.DUMMYFUNCTION("IMPORTRANGE(""https://docs.google.com/spreadsheets/d/1XL5vhW3sbDhbH9Cz0tuDiY8C3ctxq1tqvaCgkFb8cCA/edit?usp=sharing"",""หนองบัวลำภู!J521"")"),0)</f>
        <v>0</v>
      </c>
    </row>
    <row r="51" spans="1:30" ht="21" customHeight="1">
      <c r="A51" s="303">
        <v>18</v>
      </c>
      <c r="B51" s="304" t="s">
        <v>75</v>
      </c>
      <c r="C51" s="305">
        <f t="shared" ca="1" si="38"/>
        <v>4550</v>
      </c>
      <c r="D51" s="306">
        <f ca="1">IFERROR(__xludf.DUMMYFUNCTION("IMPORTRANGE(""https://docs.google.com/spreadsheets/d/1C3CXT74ZlgGe6_JY_1olB1XN4rF0dxEuIIF-xsYjHgg/edit?usp=sharing"",""งบกองทุน!EV55"")"),0)</f>
        <v>0</v>
      </c>
      <c r="E51" s="306">
        <f ca="1">IFERROR(__xludf.DUMMYFUNCTION("IMPORTRANGE(""https://docs.google.com/spreadsheets/d/1C3CXT74ZlgGe6_JY_1olB1XN4rF0dxEuIIF-xsYjHgg/edit?usp=sharing"",""งบกองทุน!EW55"")"),4550)</f>
        <v>4550</v>
      </c>
      <c r="F51" s="307">
        <f ca="1">IFERROR(__xludf.DUMMYFUNCTION("IMPORTRANGE(""https://docs.google.com/spreadsheets/d/1XL5vhW3sbDhbH9Cz0tuDiY8C3ctxq1tqvaCgkFb8cCA/edit?usp=sharing"",""อำนาจเจริญ!M492"")"),1000)</f>
        <v>1000</v>
      </c>
      <c r="G51" s="307">
        <f t="shared" ca="1" si="1"/>
        <v>21.978021978021978</v>
      </c>
      <c r="H51" s="638">
        <f t="shared" ca="1" si="39"/>
        <v>50</v>
      </c>
      <c r="I51" s="638">
        <f ca="1">IFERROR(__xludf.DUMMYFUNCTION("IMPORTRANGE(""https://docs.google.com/spreadsheets/d/1C3CXT74ZlgGe6_JY_1olB1XN4rF0dxEuIIF-xsYjHgg/edit?usp=sharing"",""งบกองทุน!EZ55"")"),50)</f>
        <v>50</v>
      </c>
      <c r="J51" s="638">
        <f ca="1">IFERROR(__xludf.DUMMYFUNCTION("IMPORTRANGE(""https://docs.google.com/spreadsheets/d/1C3CXT74ZlgGe6_JY_1olB1XN4rF0dxEuIIF-xsYjHgg/edit?usp=sharing"",""งบกองทุน!FF55"")"),0)</f>
        <v>0</v>
      </c>
      <c r="K51" s="306">
        <f ca="1">IFERROR(__xludf.DUMMYFUNCTION("IMPORTRANGE(""https://docs.google.com/spreadsheets/d/1XL5vhW3sbDhbH9Cz0tuDiY8C3ctxq1tqvaCgkFb8cCA/edit?usp=sharing"",""อำนาจเจริญ!J507"")"),18)</f>
        <v>18</v>
      </c>
      <c r="L51" s="307">
        <f t="shared" ca="1" si="4"/>
        <v>36</v>
      </c>
      <c r="M51" s="306">
        <f ca="1">IFERROR(__xludf.DUMMYFUNCTION("IMPORTRANGE(""https://docs.google.com/spreadsheets/d/1XL5vhW3sbDhbH9Cz0tuDiY8C3ctxq1tqvaCgkFb8cCA/edit?usp=sharing"",""อำนาจเจริญ!J508"")"),0)</f>
        <v>0</v>
      </c>
      <c r="N51" s="307">
        <f t="shared" ca="1" si="5"/>
        <v>0</v>
      </c>
      <c r="O51" s="306">
        <f ca="1">IFERROR(__xludf.DUMMYFUNCTION("IMPORTRANGE(""https://docs.google.com/spreadsheets/d/1XL5vhW3sbDhbH9Cz0tuDiY8C3ctxq1tqvaCgkFb8cCA/edit?usp=sharing"",""อำนาจเจริญ!J509"")"),18)</f>
        <v>18</v>
      </c>
      <c r="P51" s="307">
        <f t="shared" ca="1" si="6"/>
        <v>36</v>
      </c>
      <c r="Q51" s="306">
        <f ca="1">IFERROR(__xludf.DUMMYFUNCTION("IMPORTRANGE(""https://docs.google.com/spreadsheets/d/1XL5vhW3sbDhbH9Cz0tuDiY8C3ctxq1tqvaCgkFb8cCA/edit?usp=sharing"",""อำนาจเจริญ!J510"")"),0)</f>
        <v>0</v>
      </c>
      <c r="R51" s="307">
        <f t="shared" ca="1" si="7"/>
        <v>0</v>
      </c>
      <c r="S51" s="306">
        <f ca="1">IFERROR(__xludf.DUMMYFUNCTION("IMPORTRANGE(""https://docs.google.com/spreadsheets/d/1XL5vhW3sbDhbH9Cz0tuDiY8C3ctxq1tqvaCgkFb8cCA/edit?usp=sharing"",""อำนาจเจริญ!J511"")"),0)</f>
        <v>0</v>
      </c>
      <c r="T51" s="307">
        <f t="shared" ca="1" si="8"/>
        <v>0</v>
      </c>
      <c r="U51" s="639">
        <f t="shared" ca="1" si="40"/>
        <v>0</v>
      </c>
      <c r="V51" s="307">
        <f t="shared" ca="1" si="9"/>
        <v>0</v>
      </c>
      <c r="W51" s="639">
        <f ca="1">IFERROR(__xludf.DUMMYFUNCTION("IMPORTRANGE(""https://docs.google.com/spreadsheets/d/1XL5vhW3sbDhbH9Cz0tuDiY8C3ctxq1tqvaCgkFb8cCA/edit?usp=sharing"",""อำนาจเจริญ!J513"")"),0)</f>
        <v>0</v>
      </c>
      <c r="X51" s="639">
        <f ca="1">IFERROR(__xludf.DUMMYFUNCTION("IMPORTRANGE(""https://docs.google.com/spreadsheets/d/1XL5vhW3sbDhbH9Cz0tuDiY8C3ctxq1tqvaCgkFb8cCA/edit?usp=sharing"",""อำนาจเจริญ!J514"")"),0)</f>
        <v>0</v>
      </c>
      <c r="Y51" s="306">
        <f t="shared" ca="1" si="41"/>
        <v>0</v>
      </c>
      <c r="Z51" s="307">
        <f t="shared" ca="1" si="11"/>
        <v>0</v>
      </c>
      <c r="AA51" s="306">
        <f ca="1">IFERROR(__xludf.DUMMYFUNCTION("IMPORTRANGE(""https://docs.google.com/spreadsheets/d/1XL5vhW3sbDhbH9Cz0tuDiY8C3ctxq1tqvaCgkFb8cCA/edit?usp=sharing"",""อำนาจเจริญ!J517"")"),0)</f>
        <v>0</v>
      </c>
      <c r="AB51" s="306">
        <f ca="1">IFERROR(__xludf.DUMMYFUNCTION("IMPORTRANGE(""https://docs.google.com/spreadsheets/d/1XL5vhW3sbDhbH9Cz0tuDiY8C3ctxq1tqvaCgkFb8cCA/edit?usp=sharing"",""อำนาจเจริญ!J518"")"),0)</f>
        <v>0</v>
      </c>
      <c r="AC51" s="306">
        <f ca="1">IFERROR(__xludf.DUMMYFUNCTION("IMPORTRANGE(""https://docs.google.com/spreadsheets/d/1XL5vhW3sbDhbH9Cz0tuDiY8C3ctxq1tqvaCgkFb8cCA/edit?usp=sharing"",""อำนาจเจริญ!J520"")"),0)</f>
        <v>0</v>
      </c>
      <c r="AD51" s="609">
        <f ca="1">IFERROR(__xludf.DUMMYFUNCTION("IMPORTRANGE(""https://docs.google.com/spreadsheets/d/1XL5vhW3sbDhbH9Cz0tuDiY8C3ctxq1tqvaCgkFb8cCA/edit?usp=sharing"",""อำนาจเจริญ!J521"")"),0)</f>
        <v>0</v>
      </c>
    </row>
    <row r="52" spans="1:30" ht="21" customHeight="1">
      <c r="A52" s="303">
        <v>19</v>
      </c>
      <c r="B52" s="304" t="s">
        <v>76</v>
      </c>
      <c r="C52" s="305">
        <f t="shared" ca="1" si="38"/>
        <v>4550</v>
      </c>
      <c r="D52" s="306">
        <f ca="1">IFERROR(__xludf.DUMMYFUNCTION("IMPORTRANGE(""https://docs.google.com/spreadsheets/d/1C3CXT74ZlgGe6_JY_1olB1XN4rF0dxEuIIF-xsYjHgg/edit?usp=sharing"",""งบกองทุน!EV56"")"),0)</f>
        <v>0</v>
      </c>
      <c r="E52" s="306">
        <f ca="1">IFERROR(__xludf.DUMMYFUNCTION("IMPORTRANGE(""https://docs.google.com/spreadsheets/d/1C3CXT74ZlgGe6_JY_1olB1XN4rF0dxEuIIF-xsYjHgg/edit?usp=sharing"",""งบกองทุน!EW56"")"),4550)</f>
        <v>4550</v>
      </c>
      <c r="F52" s="307">
        <f ca="1">IFERROR(__xludf.DUMMYFUNCTION("IMPORTRANGE(""https://docs.google.com/spreadsheets/d/1XL5vhW3sbDhbH9Cz0tuDiY8C3ctxq1tqvaCgkFb8cCA/edit?usp=sharing"",""อุดรธานี!M492"")"),780)</f>
        <v>780</v>
      </c>
      <c r="G52" s="307">
        <f t="shared" ca="1" si="1"/>
        <v>17.142857142857142</v>
      </c>
      <c r="H52" s="638">
        <f t="shared" ca="1" si="39"/>
        <v>50</v>
      </c>
      <c r="I52" s="638">
        <f ca="1">IFERROR(__xludf.DUMMYFUNCTION("IMPORTRANGE(""https://docs.google.com/spreadsheets/d/1C3CXT74ZlgGe6_JY_1olB1XN4rF0dxEuIIF-xsYjHgg/edit?usp=sharing"",""งบกองทุน!EZ56"")"),50)</f>
        <v>50</v>
      </c>
      <c r="J52" s="638">
        <f ca="1">IFERROR(__xludf.DUMMYFUNCTION("IMPORTRANGE(""https://docs.google.com/spreadsheets/d/1C3CXT74ZlgGe6_JY_1olB1XN4rF0dxEuIIF-xsYjHgg/edit?usp=sharing"",""งบกองทุน!FF56"")"),0)</f>
        <v>0</v>
      </c>
      <c r="K52" s="306">
        <f ca="1">IFERROR(__xludf.DUMMYFUNCTION("IMPORTRANGE(""https://docs.google.com/spreadsheets/d/1XL5vhW3sbDhbH9Cz0tuDiY8C3ctxq1tqvaCgkFb8cCA/edit?usp=sharing"",""อุดรธานี!J507"")"),0)</f>
        <v>0</v>
      </c>
      <c r="L52" s="307">
        <f t="shared" ca="1" si="4"/>
        <v>0</v>
      </c>
      <c r="M52" s="306">
        <f ca="1">IFERROR(__xludf.DUMMYFUNCTION("IMPORTRANGE(""https://docs.google.com/spreadsheets/d/1XL5vhW3sbDhbH9Cz0tuDiY8C3ctxq1tqvaCgkFb8cCA/edit?usp=sharing"",""อุดรธานี!J508"")"),0)</f>
        <v>0</v>
      </c>
      <c r="N52" s="307">
        <f t="shared" ca="1" si="5"/>
        <v>0</v>
      </c>
      <c r="O52" s="306">
        <f ca="1">IFERROR(__xludf.DUMMYFUNCTION("IMPORTRANGE(""https://docs.google.com/spreadsheets/d/1XL5vhW3sbDhbH9Cz0tuDiY8C3ctxq1tqvaCgkFb8cCA/edit?usp=sharing"",""อุดรธานี!J509"")"),0)</f>
        <v>0</v>
      </c>
      <c r="P52" s="307">
        <f t="shared" ca="1" si="6"/>
        <v>0</v>
      </c>
      <c r="Q52" s="306">
        <f ca="1">IFERROR(__xludf.DUMMYFUNCTION("IMPORTRANGE(""https://docs.google.com/spreadsheets/d/1XL5vhW3sbDhbH9Cz0tuDiY8C3ctxq1tqvaCgkFb8cCA/edit?usp=sharing"",""อุดรธานี!J510"")"),0)</f>
        <v>0</v>
      </c>
      <c r="R52" s="307">
        <f t="shared" ca="1" si="7"/>
        <v>0</v>
      </c>
      <c r="S52" s="306">
        <f ca="1">IFERROR(__xludf.DUMMYFUNCTION("IMPORTRANGE(""https://docs.google.com/spreadsheets/d/1XL5vhW3sbDhbH9Cz0tuDiY8C3ctxq1tqvaCgkFb8cCA/edit?usp=sharing"",""อุดรธานี!J511"")"),0)</f>
        <v>0</v>
      </c>
      <c r="T52" s="307">
        <f t="shared" ca="1" si="8"/>
        <v>0</v>
      </c>
      <c r="U52" s="639">
        <f t="shared" ca="1" si="40"/>
        <v>0</v>
      </c>
      <c r="V52" s="307">
        <f t="shared" ca="1" si="9"/>
        <v>0</v>
      </c>
      <c r="W52" s="639">
        <f ca="1">IFERROR(__xludf.DUMMYFUNCTION("IMPORTRANGE(""https://docs.google.com/spreadsheets/d/1XL5vhW3sbDhbH9Cz0tuDiY8C3ctxq1tqvaCgkFb8cCA/edit?usp=sharing"",""อุดรธานี!J513"")"),0)</f>
        <v>0</v>
      </c>
      <c r="X52" s="639">
        <f ca="1">IFERROR(__xludf.DUMMYFUNCTION("IMPORTRANGE(""https://docs.google.com/spreadsheets/d/1XL5vhW3sbDhbH9Cz0tuDiY8C3ctxq1tqvaCgkFb8cCA/edit?usp=sharing"",""อุดรธานี!J514"")"),0)</f>
        <v>0</v>
      </c>
      <c r="Y52" s="306">
        <f t="shared" ca="1" si="41"/>
        <v>0</v>
      </c>
      <c r="Z52" s="307">
        <f t="shared" ca="1" si="11"/>
        <v>0</v>
      </c>
      <c r="AA52" s="306">
        <f ca="1">IFERROR(__xludf.DUMMYFUNCTION("IMPORTRANGE(""https://docs.google.com/spreadsheets/d/1XL5vhW3sbDhbH9Cz0tuDiY8C3ctxq1tqvaCgkFb8cCA/edit?usp=sharing"",""อุดรธานี!J517"")"),0)</f>
        <v>0</v>
      </c>
      <c r="AB52" s="306">
        <f ca="1">IFERROR(__xludf.DUMMYFUNCTION("IMPORTRANGE(""https://docs.google.com/spreadsheets/d/1XL5vhW3sbDhbH9Cz0tuDiY8C3ctxq1tqvaCgkFb8cCA/edit?usp=sharing"",""อุดรธานี!J518"")"),0)</f>
        <v>0</v>
      </c>
      <c r="AC52" s="306">
        <f ca="1">IFERROR(__xludf.DUMMYFUNCTION("IMPORTRANGE(""https://docs.google.com/spreadsheets/d/1XL5vhW3sbDhbH9Cz0tuDiY8C3ctxq1tqvaCgkFb8cCA/edit?usp=sharing"",""อุดรธานี!J520"")"),0)</f>
        <v>0</v>
      </c>
      <c r="AD52" s="609">
        <f ca="1">IFERROR(__xludf.DUMMYFUNCTION("IMPORTRANGE(""https://docs.google.com/spreadsheets/d/1XL5vhW3sbDhbH9Cz0tuDiY8C3ctxq1tqvaCgkFb8cCA/edit?usp=sharing"",""อุดรธานี!J521"")"),0)</f>
        <v>0</v>
      </c>
    </row>
    <row r="53" spans="1:30" ht="21" customHeight="1">
      <c r="A53" s="310">
        <v>20</v>
      </c>
      <c r="B53" s="311" t="s">
        <v>77</v>
      </c>
      <c r="C53" s="312">
        <f t="shared" ca="1" si="38"/>
        <v>4550</v>
      </c>
      <c r="D53" s="313">
        <f ca="1">IFERROR(__xludf.DUMMYFUNCTION("IMPORTRANGE(""https://docs.google.com/spreadsheets/d/1C3CXT74ZlgGe6_JY_1olB1XN4rF0dxEuIIF-xsYjHgg/edit?usp=sharing"",""งบกองทุน!EV57"")"),0)</f>
        <v>0</v>
      </c>
      <c r="E53" s="313">
        <f ca="1">IFERROR(__xludf.DUMMYFUNCTION("IMPORTRANGE(""https://docs.google.com/spreadsheets/d/1C3CXT74ZlgGe6_JY_1olB1XN4rF0dxEuIIF-xsYjHgg/edit?usp=sharing"",""งบกองทุน!EW57"")"),4550)</f>
        <v>4550</v>
      </c>
      <c r="F53" s="314">
        <f ca="1">IFERROR(__xludf.DUMMYFUNCTION("IMPORTRANGE(""https://docs.google.com/spreadsheets/d/1XL5vhW3sbDhbH9Cz0tuDiY8C3ctxq1tqvaCgkFb8cCA/edit?usp=sharing"",""อุบลราชธานี!M492"")"),720)</f>
        <v>720</v>
      </c>
      <c r="G53" s="314">
        <f t="shared" ca="1" si="1"/>
        <v>15.824175824175825</v>
      </c>
      <c r="H53" s="640">
        <f t="shared" ca="1" si="39"/>
        <v>50</v>
      </c>
      <c r="I53" s="640">
        <f ca="1">IFERROR(__xludf.DUMMYFUNCTION("IMPORTRANGE(""https://docs.google.com/spreadsheets/d/1C3CXT74ZlgGe6_JY_1olB1XN4rF0dxEuIIF-xsYjHgg/edit?usp=sharing"",""งบกองทุน!EZ57"")"),50)</f>
        <v>50</v>
      </c>
      <c r="J53" s="640">
        <f ca="1">IFERROR(__xludf.DUMMYFUNCTION("IMPORTRANGE(""https://docs.google.com/spreadsheets/d/1C3CXT74ZlgGe6_JY_1olB1XN4rF0dxEuIIF-xsYjHgg/edit?usp=sharing"",""งบกองทุน!FF57"")"),0)</f>
        <v>0</v>
      </c>
      <c r="K53" s="313">
        <f ca="1">IFERROR(__xludf.DUMMYFUNCTION("IMPORTRANGE(""https://docs.google.com/spreadsheets/d/1XL5vhW3sbDhbH9Cz0tuDiY8C3ctxq1tqvaCgkFb8cCA/edit?usp=sharing"",""อุบลราชธานี!J507"")"),96)</f>
        <v>96</v>
      </c>
      <c r="L53" s="314">
        <f t="shared" ca="1" si="4"/>
        <v>192</v>
      </c>
      <c r="M53" s="313">
        <f ca="1">IFERROR(__xludf.DUMMYFUNCTION("IMPORTRANGE(""https://docs.google.com/spreadsheets/d/1XL5vhW3sbDhbH9Cz0tuDiY8C3ctxq1tqvaCgkFb8cCA/edit?usp=sharing"",""อุบลราชธานี!J508"")"),96)</f>
        <v>96</v>
      </c>
      <c r="N53" s="314">
        <f t="shared" ca="1" si="5"/>
        <v>192</v>
      </c>
      <c r="O53" s="313">
        <f ca="1">IFERROR(__xludf.DUMMYFUNCTION("IMPORTRANGE(""https://docs.google.com/spreadsheets/d/1XL5vhW3sbDhbH9Cz0tuDiY8C3ctxq1tqvaCgkFb8cCA/edit?usp=sharing"",""อุบลราชธานี!J509"")"),96)</f>
        <v>96</v>
      </c>
      <c r="P53" s="314">
        <f t="shared" ca="1" si="6"/>
        <v>192</v>
      </c>
      <c r="Q53" s="313">
        <f ca="1">IFERROR(__xludf.DUMMYFUNCTION("IMPORTRANGE(""https://docs.google.com/spreadsheets/d/1XL5vhW3sbDhbH9Cz0tuDiY8C3ctxq1tqvaCgkFb8cCA/edit?usp=sharing"",""อุบลราชธานี!J510"")"),36)</f>
        <v>36</v>
      </c>
      <c r="R53" s="314">
        <f t="shared" ca="1" si="7"/>
        <v>72</v>
      </c>
      <c r="S53" s="313">
        <f ca="1">IFERROR(__xludf.DUMMYFUNCTION("IMPORTRANGE(""https://docs.google.com/spreadsheets/d/1XL5vhW3sbDhbH9Cz0tuDiY8C3ctxq1tqvaCgkFb8cCA/edit?usp=sharing"",""อุบลราชธานี!J511"")"),36)</f>
        <v>36</v>
      </c>
      <c r="T53" s="314">
        <f t="shared" ca="1" si="8"/>
        <v>72</v>
      </c>
      <c r="U53" s="641">
        <f t="shared" ca="1" si="40"/>
        <v>0</v>
      </c>
      <c r="V53" s="314">
        <f t="shared" ca="1" si="9"/>
        <v>0</v>
      </c>
      <c r="W53" s="641">
        <f ca="1">IFERROR(__xludf.DUMMYFUNCTION("IMPORTRANGE(""https://docs.google.com/spreadsheets/d/1XL5vhW3sbDhbH9Cz0tuDiY8C3ctxq1tqvaCgkFb8cCA/edit?usp=sharing"",""อุบลราชธานี!J513"")"),0)</f>
        <v>0</v>
      </c>
      <c r="X53" s="641">
        <f ca="1">IFERROR(__xludf.DUMMYFUNCTION("IMPORTRANGE(""https://docs.google.com/spreadsheets/d/1XL5vhW3sbDhbH9Cz0tuDiY8C3ctxq1tqvaCgkFb8cCA/edit?usp=sharing"",""อุบลราชธานี!J514"")"),0)</f>
        <v>0</v>
      </c>
      <c r="Y53" s="313">
        <f t="shared" ca="1" si="41"/>
        <v>0</v>
      </c>
      <c r="Z53" s="314">
        <f t="shared" ca="1" si="11"/>
        <v>0</v>
      </c>
      <c r="AA53" s="313">
        <f ca="1">IFERROR(__xludf.DUMMYFUNCTION("IMPORTRANGE(""https://docs.google.com/spreadsheets/d/1XL5vhW3sbDhbH9Cz0tuDiY8C3ctxq1tqvaCgkFb8cCA/edit?usp=sharing"",""อุบลราชธานี!J517"")"),0)</f>
        <v>0</v>
      </c>
      <c r="AB53" s="313">
        <f ca="1">IFERROR(__xludf.DUMMYFUNCTION("IMPORTRANGE(""https://docs.google.com/spreadsheets/d/1XL5vhW3sbDhbH9Cz0tuDiY8C3ctxq1tqvaCgkFb8cCA/edit?usp=sharing"",""อุบลราชธานี!J518"")"),0)</f>
        <v>0</v>
      </c>
      <c r="AC53" s="313">
        <f ca="1">IFERROR(__xludf.DUMMYFUNCTION("IMPORTRANGE(""https://docs.google.com/spreadsheets/d/1XL5vhW3sbDhbH9Cz0tuDiY8C3ctxq1tqvaCgkFb8cCA/edit?usp=sharing"",""อุบลราชธานี!J520"")"),0)</f>
        <v>0</v>
      </c>
      <c r="AD53" s="611">
        <f ca="1">IFERROR(__xludf.DUMMYFUNCTION("IMPORTRANGE(""https://docs.google.com/spreadsheets/d/1XL5vhW3sbDhbH9Cz0tuDiY8C3ctxq1tqvaCgkFb8cCA/edit?usp=sharing"",""อุบลราชธานี!J521"")"),0)</f>
        <v>0</v>
      </c>
    </row>
    <row r="54" spans="1:30" ht="21" customHeight="1">
      <c r="A54" s="801" t="s">
        <v>78</v>
      </c>
      <c r="B54" s="678"/>
      <c r="C54" s="317">
        <f t="shared" ref="C54:F54" ca="1" si="42">SUM(C55:C75)</f>
        <v>148960</v>
      </c>
      <c r="D54" s="318">
        <f t="shared" ca="1" si="42"/>
        <v>0</v>
      </c>
      <c r="E54" s="318">
        <f t="shared" ca="1" si="42"/>
        <v>148960</v>
      </c>
      <c r="F54" s="319">
        <f t="shared" ca="1" si="42"/>
        <v>42968.2</v>
      </c>
      <c r="G54" s="319">
        <f t="shared" ca="1" si="1"/>
        <v>28.845461868958111</v>
      </c>
      <c r="H54" s="318">
        <f t="shared" ref="H54:K54" ca="1" si="43">SUM(H55:H75)</f>
        <v>3683</v>
      </c>
      <c r="I54" s="318">
        <f t="shared" ca="1" si="43"/>
        <v>1632</v>
      </c>
      <c r="J54" s="318">
        <f t="shared" ca="1" si="43"/>
        <v>2051</v>
      </c>
      <c r="K54" s="318">
        <f t="shared" ca="1" si="43"/>
        <v>1656.6849999999999</v>
      </c>
      <c r="L54" s="319">
        <f t="shared" ca="1" si="4"/>
        <v>44.981944067336407</v>
      </c>
      <c r="M54" s="318">
        <f ca="1">SUM(M55:M75)</f>
        <v>1188.6300000000001</v>
      </c>
      <c r="N54" s="319">
        <f t="shared" ca="1" si="5"/>
        <v>32.27341840890579</v>
      </c>
      <c r="O54" s="318">
        <f ca="1">SUM(O55:O75)</f>
        <v>1021</v>
      </c>
      <c r="P54" s="319">
        <f t="shared" ca="1" si="6"/>
        <v>27.721965788759164</v>
      </c>
      <c r="Q54" s="318">
        <f ca="1">SUM(Q55:Q75)</f>
        <v>938</v>
      </c>
      <c r="R54" s="319">
        <f t="shared" ca="1" si="7"/>
        <v>25.468368178115668</v>
      </c>
      <c r="S54" s="318">
        <f ca="1">SUM(S55:S75)</f>
        <v>252</v>
      </c>
      <c r="T54" s="319">
        <f t="shared" ca="1" si="8"/>
        <v>6.8422481672549553</v>
      </c>
      <c r="U54" s="318">
        <f ca="1">SUM(U55:U75)</f>
        <v>0</v>
      </c>
      <c r="V54" s="319">
        <f t="shared" ca="1" si="9"/>
        <v>0</v>
      </c>
      <c r="W54" s="318">
        <f t="shared" ref="W54:Y54" ca="1" si="44">SUM(W55:W75)</f>
        <v>0</v>
      </c>
      <c r="X54" s="318">
        <f t="shared" ca="1" si="44"/>
        <v>0</v>
      </c>
      <c r="Y54" s="318">
        <f t="shared" ca="1" si="44"/>
        <v>0</v>
      </c>
      <c r="Z54" s="319">
        <f t="shared" ca="1" si="11"/>
        <v>0</v>
      </c>
      <c r="AA54" s="318">
        <f t="shared" ref="AA54:AD54" ca="1" si="45">SUM(AA55:AA75)</f>
        <v>0</v>
      </c>
      <c r="AB54" s="318">
        <f t="shared" ca="1" si="45"/>
        <v>0</v>
      </c>
      <c r="AC54" s="318">
        <f t="shared" ca="1" si="45"/>
        <v>0</v>
      </c>
      <c r="AD54" s="612">
        <f t="shared" ca="1" si="45"/>
        <v>0</v>
      </c>
    </row>
    <row r="55" spans="1:30" ht="21" customHeight="1">
      <c r="A55" s="293">
        <v>1</v>
      </c>
      <c r="B55" s="357" t="s">
        <v>79</v>
      </c>
      <c r="C55" s="295">
        <f t="shared" ref="C55:C75" ca="1" si="46">+D55+E55</f>
        <v>18300</v>
      </c>
      <c r="D55" s="296">
        <f ca="1">IFERROR(__xludf.DUMMYFUNCTION("IMPORTRANGE(""https://docs.google.com/spreadsheets/d/1C3CXT74ZlgGe6_JY_1olB1XN4rF0dxEuIIF-xsYjHgg/edit?usp=sharing"",""งบกองทุน!EV59"")"),0)</f>
        <v>0</v>
      </c>
      <c r="E55" s="296">
        <f ca="1">IFERROR(__xludf.DUMMYFUNCTION("IMPORTRANGE(""https://docs.google.com/spreadsheets/d/1C3CXT74ZlgGe6_JY_1olB1XN4rF0dxEuIIF-xsYjHgg/edit?usp=sharing"",""งบกองทุน!EW59"")"),18300)</f>
        <v>18300</v>
      </c>
      <c r="F55" s="297">
        <f ca="1">IFERROR(__xludf.DUMMYFUNCTION("IMPORTRANGE(""https://docs.google.com/spreadsheets/d/1SX6NBoVAgQJ6U1MVXOaj8PK2l7WJ3RER9xtqwdhxkhw/edit?usp=sharing"",""กาญจนบุรี!M492"")"),320)</f>
        <v>320</v>
      </c>
      <c r="G55" s="297">
        <f t="shared" ca="1" si="1"/>
        <v>1.7486338797814207</v>
      </c>
      <c r="H55" s="636">
        <f t="shared" ref="H55:H75" ca="1" si="47">+I55+J55</f>
        <v>300</v>
      </c>
      <c r="I55" s="636">
        <f ca="1">IFERROR(__xludf.DUMMYFUNCTION("IMPORTRANGE(""https://docs.google.com/spreadsheets/d/1C3CXT74ZlgGe6_JY_1olB1XN4rF0dxEuIIF-xsYjHgg/edit?usp=sharing"",""งบกองทุน!EZ59"")"),300)</f>
        <v>300</v>
      </c>
      <c r="J55" s="636">
        <f ca="1">IFERROR(__xludf.DUMMYFUNCTION("IMPORTRANGE(""https://docs.google.com/spreadsheets/d/1C3CXT74ZlgGe6_JY_1olB1XN4rF0dxEuIIF-xsYjHgg/edit?usp=sharing"",""งบกองทุน!FF59"")"),0)</f>
        <v>0</v>
      </c>
      <c r="K55" s="296">
        <f ca="1">IFERROR(__xludf.DUMMYFUNCTION("IMPORTRANGE(""https://docs.google.com/spreadsheets/d/1SX6NBoVAgQJ6U1MVXOaj8PK2l7WJ3RER9xtqwdhxkhw/edit?usp=sharing"",""กาญจนบุรี!J507"")"),136.63)</f>
        <v>136.63</v>
      </c>
      <c r="L55" s="297">
        <f t="shared" ca="1" si="4"/>
        <v>45.543333333333337</v>
      </c>
      <c r="M55" s="296">
        <f ca="1">IFERROR(__xludf.DUMMYFUNCTION("IMPORTRANGE(""https://docs.google.com/spreadsheets/d/1SX6NBoVAgQJ6U1MVXOaj8PK2l7WJ3RER9xtqwdhxkhw/edit?usp=sharing"",""กาญจนบุรี!J508"")"),136.63)</f>
        <v>136.63</v>
      </c>
      <c r="N55" s="297">
        <f t="shared" ca="1" si="5"/>
        <v>45.543333333333337</v>
      </c>
      <c r="O55" s="296">
        <f ca="1">IFERROR(__xludf.DUMMYFUNCTION("IMPORTRANGE(""https://docs.google.com/spreadsheets/d/1SX6NBoVAgQJ6U1MVXOaj8PK2l7WJ3RER9xtqwdhxkhw/edit?usp=sharing"",""กาญจนบุรี!J509"")"),0)</f>
        <v>0</v>
      </c>
      <c r="P55" s="297">
        <f t="shared" ca="1" si="6"/>
        <v>0</v>
      </c>
      <c r="Q55" s="296">
        <f ca="1">IFERROR(__xludf.DUMMYFUNCTION("IMPORTRANGE(""https://docs.google.com/spreadsheets/d/1SX6NBoVAgQJ6U1MVXOaj8PK2l7WJ3RER9xtqwdhxkhw/edit?usp=sharing"",""กาญจนบุรี!J510"")"),0)</f>
        <v>0</v>
      </c>
      <c r="R55" s="297">
        <f t="shared" ca="1" si="7"/>
        <v>0</v>
      </c>
      <c r="S55" s="296">
        <f ca="1">IFERROR(__xludf.DUMMYFUNCTION("IMPORTRANGE(""https://docs.google.com/spreadsheets/d/1SX6NBoVAgQJ6U1MVXOaj8PK2l7WJ3RER9xtqwdhxkhw/edit?usp=sharing"",""กาญจนบุรี!J511"")"),0)</f>
        <v>0</v>
      </c>
      <c r="T55" s="297">
        <f t="shared" ca="1" si="8"/>
        <v>0</v>
      </c>
      <c r="U55" s="637">
        <f t="shared" ref="U55:U75" ca="1" si="48">SUM(W55,X55)</f>
        <v>0</v>
      </c>
      <c r="V55" s="297">
        <f t="shared" ca="1" si="9"/>
        <v>0</v>
      </c>
      <c r="W55" s="637">
        <f ca="1">IFERROR(__xludf.DUMMYFUNCTION("IMPORTRANGE(""https://docs.google.com/spreadsheets/d/1SX6NBoVAgQJ6U1MVXOaj8PK2l7WJ3RER9xtqwdhxkhw/edit?usp=sharing"",""กาญจนบุรี!J513"")"),0)</f>
        <v>0</v>
      </c>
      <c r="X55" s="637">
        <f ca="1">IFERROR(__xludf.DUMMYFUNCTION("IMPORTRANGE(""https://docs.google.com/spreadsheets/d/1SX6NBoVAgQJ6U1MVXOaj8PK2l7WJ3RER9xtqwdhxkhw/edit?usp=sharing"",""กาญจนบุรี!J514"")"),0)</f>
        <v>0</v>
      </c>
      <c r="Y55" s="296">
        <f t="shared" ref="Y55:Y75" ca="1" si="49">SUM(AA55,AB55)</f>
        <v>0</v>
      </c>
      <c r="Z55" s="297">
        <f t="shared" ca="1" si="11"/>
        <v>0</v>
      </c>
      <c r="AA55" s="296">
        <f ca="1">IFERROR(__xludf.DUMMYFUNCTION("IMPORTRANGE(""https://docs.google.com/spreadsheets/d/1SX6NBoVAgQJ6U1MVXOaj8PK2l7WJ3RER9xtqwdhxkhw/edit?usp=sharing"",""กาญจนบุรี!J517"")"),0)</f>
        <v>0</v>
      </c>
      <c r="AB55" s="296">
        <f ca="1">IFERROR(__xludf.DUMMYFUNCTION("IMPORTRANGE(""https://docs.google.com/spreadsheets/d/1SX6NBoVAgQJ6U1MVXOaj8PK2l7WJ3RER9xtqwdhxkhw/edit?usp=sharing"",""กาญจนบุรี!J518"")"),0)</f>
        <v>0</v>
      </c>
      <c r="AC55" s="296">
        <f ca="1">IFERROR(__xludf.DUMMYFUNCTION("IMPORTRANGE(""https://docs.google.com/spreadsheets/d/1SX6NBoVAgQJ6U1MVXOaj8PK2l7WJ3RER9xtqwdhxkhw/edit?usp=sharing"",""กาญจนบุรี!J520"")"),0)</f>
        <v>0</v>
      </c>
      <c r="AD55" s="607">
        <f ca="1">IFERROR(__xludf.DUMMYFUNCTION("IMPORTRANGE(""https://docs.google.com/spreadsheets/d/1SX6NBoVAgQJ6U1MVXOaj8PK2l7WJ3RER9xtqwdhxkhw/edit?usp=sharing"",""กาญจนบุรี!J521"")"),0)</f>
        <v>0</v>
      </c>
    </row>
    <row r="56" spans="1:30" ht="21" customHeight="1">
      <c r="A56" s="303">
        <v>2</v>
      </c>
      <c r="B56" s="304" t="s">
        <v>80</v>
      </c>
      <c r="C56" s="305">
        <f t="shared" ca="1" si="46"/>
        <v>4550</v>
      </c>
      <c r="D56" s="306">
        <f ca="1">IFERROR(__xludf.DUMMYFUNCTION("IMPORTRANGE(""https://docs.google.com/spreadsheets/d/1C3CXT74ZlgGe6_JY_1olB1XN4rF0dxEuIIF-xsYjHgg/edit?usp=sharing"",""งบกองทุน!EV60"")"),0)</f>
        <v>0</v>
      </c>
      <c r="E56" s="306">
        <f ca="1">IFERROR(__xludf.DUMMYFUNCTION("IMPORTRANGE(""https://docs.google.com/spreadsheets/d/1C3CXT74ZlgGe6_JY_1olB1XN4rF0dxEuIIF-xsYjHgg/edit?usp=sharing"",""งบกองทุน!EW60"")"),4550)</f>
        <v>4550</v>
      </c>
      <c r="F56" s="307">
        <f ca="1">IFERROR(__xludf.DUMMYFUNCTION("IMPORTRANGE(""https://docs.google.com/spreadsheets/d/1SX6NBoVAgQJ6U1MVXOaj8PK2l7WJ3RER9xtqwdhxkhw/edit?usp=sharing"",""จันทบุรี!M492"")"),650)</f>
        <v>650</v>
      </c>
      <c r="G56" s="307">
        <f t="shared" ca="1" si="1"/>
        <v>14.285714285714286</v>
      </c>
      <c r="H56" s="638">
        <f t="shared" ca="1" si="47"/>
        <v>50</v>
      </c>
      <c r="I56" s="638">
        <f ca="1">IFERROR(__xludf.DUMMYFUNCTION("IMPORTRANGE(""https://docs.google.com/spreadsheets/d/1C3CXT74ZlgGe6_JY_1olB1XN4rF0dxEuIIF-xsYjHgg/edit?usp=sharing"",""งบกองทุน!EZ60"")"),50)</f>
        <v>50</v>
      </c>
      <c r="J56" s="638">
        <f ca="1">IFERROR(__xludf.DUMMYFUNCTION("IMPORTRANGE(""https://docs.google.com/spreadsheets/d/1C3CXT74ZlgGe6_JY_1olB1XN4rF0dxEuIIF-xsYjHgg/edit?usp=sharing"",""งบกองทุน!FF60"")"),0)</f>
        <v>0</v>
      </c>
      <c r="K56" s="306">
        <f ca="1">IFERROR(__xludf.DUMMYFUNCTION("IMPORTRANGE(""https://docs.google.com/spreadsheets/d/1SX6NBoVAgQJ6U1MVXOaj8PK2l7WJ3RER9xtqwdhxkhw/edit?usp=sharing"",""จันทบุรี!J507"")"),0)</f>
        <v>0</v>
      </c>
      <c r="L56" s="307">
        <f t="shared" ca="1" si="4"/>
        <v>0</v>
      </c>
      <c r="M56" s="306">
        <f ca="1">IFERROR(__xludf.DUMMYFUNCTION("IMPORTRANGE(""https://docs.google.com/spreadsheets/d/1SX6NBoVAgQJ6U1MVXOaj8PK2l7WJ3RER9xtqwdhxkhw/edit?usp=sharing"",""จันทบุรี!J508"")"),0)</f>
        <v>0</v>
      </c>
      <c r="N56" s="307">
        <f t="shared" ca="1" si="5"/>
        <v>0</v>
      </c>
      <c r="O56" s="306">
        <f ca="1">IFERROR(__xludf.DUMMYFUNCTION("IMPORTRANGE(""https://docs.google.com/spreadsheets/d/1SX6NBoVAgQJ6U1MVXOaj8PK2l7WJ3RER9xtqwdhxkhw/edit?usp=sharing"",""จันทบุรี!J509"")"),0)</f>
        <v>0</v>
      </c>
      <c r="P56" s="307">
        <f t="shared" ca="1" si="6"/>
        <v>0</v>
      </c>
      <c r="Q56" s="306">
        <f ca="1">IFERROR(__xludf.DUMMYFUNCTION("IMPORTRANGE(""https://docs.google.com/spreadsheets/d/1SX6NBoVAgQJ6U1MVXOaj8PK2l7WJ3RER9xtqwdhxkhw/edit?usp=sharing"",""จันทบุรี!J510"")"),0)</f>
        <v>0</v>
      </c>
      <c r="R56" s="307">
        <f t="shared" ca="1" si="7"/>
        <v>0</v>
      </c>
      <c r="S56" s="306">
        <f ca="1">IFERROR(__xludf.DUMMYFUNCTION("IMPORTRANGE(""https://docs.google.com/spreadsheets/d/1SX6NBoVAgQJ6U1MVXOaj8PK2l7WJ3RER9xtqwdhxkhw/edit?usp=sharing"",""จันทบุรี!J511"")"),0)</f>
        <v>0</v>
      </c>
      <c r="T56" s="307">
        <f t="shared" ca="1" si="8"/>
        <v>0</v>
      </c>
      <c r="U56" s="639">
        <f t="shared" ca="1" si="48"/>
        <v>0</v>
      </c>
      <c r="V56" s="307">
        <f t="shared" ca="1" si="9"/>
        <v>0</v>
      </c>
      <c r="W56" s="639">
        <f ca="1">IFERROR(__xludf.DUMMYFUNCTION("IMPORTRANGE(""https://docs.google.com/spreadsheets/d/1SX6NBoVAgQJ6U1MVXOaj8PK2l7WJ3RER9xtqwdhxkhw/edit?usp=sharing"",""จันทบุรี!J513"")"),0)</f>
        <v>0</v>
      </c>
      <c r="X56" s="639">
        <f ca="1">IFERROR(__xludf.DUMMYFUNCTION("IMPORTRANGE(""https://docs.google.com/spreadsheets/d/1SX6NBoVAgQJ6U1MVXOaj8PK2l7WJ3RER9xtqwdhxkhw/edit?usp=sharing"",""จันทบุรี!J514"")"),0)</f>
        <v>0</v>
      </c>
      <c r="Y56" s="306">
        <f t="shared" ca="1" si="49"/>
        <v>0</v>
      </c>
      <c r="Z56" s="307">
        <f t="shared" ca="1" si="11"/>
        <v>0</v>
      </c>
      <c r="AA56" s="306">
        <f ca="1">IFERROR(__xludf.DUMMYFUNCTION("IMPORTRANGE(""https://docs.google.com/spreadsheets/d/1SX6NBoVAgQJ6U1MVXOaj8PK2l7WJ3RER9xtqwdhxkhw/edit?usp=sharing"",""จันทบุรี!J517"")"),0)</f>
        <v>0</v>
      </c>
      <c r="AB56" s="306">
        <f ca="1">IFERROR(__xludf.DUMMYFUNCTION("IMPORTRANGE(""https://docs.google.com/spreadsheets/d/1SX6NBoVAgQJ6U1MVXOaj8PK2l7WJ3RER9xtqwdhxkhw/edit?usp=sharing"",""จันทบุรี!J518"")"),0)</f>
        <v>0</v>
      </c>
      <c r="AC56" s="306">
        <f ca="1">IFERROR(__xludf.DUMMYFUNCTION("IMPORTRANGE(""https://docs.google.com/spreadsheets/d/1SX6NBoVAgQJ6U1MVXOaj8PK2l7WJ3RER9xtqwdhxkhw/edit?usp=sharing"",""จันทบุรี!J520"")"),0)</f>
        <v>0</v>
      </c>
      <c r="AD56" s="609">
        <f ca="1">IFERROR(__xludf.DUMMYFUNCTION("IMPORTRANGE(""https://docs.google.com/spreadsheets/d/1SX6NBoVAgQJ6U1MVXOaj8PK2l7WJ3RER9xtqwdhxkhw/edit?usp=sharing"",""จันทบุรี!J521"")"),0)</f>
        <v>0</v>
      </c>
    </row>
    <row r="57" spans="1:30" ht="21" customHeight="1">
      <c r="A57" s="303">
        <v>3</v>
      </c>
      <c r="B57" s="304" t="s">
        <v>81</v>
      </c>
      <c r="C57" s="305">
        <f t="shared" ca="1" si="46"/>
        <v>5460</v>
      </c>
      <c r="D57" s="306">
        <f ca="1">IFERROR(__xludf.DUMMYFUNCTION("IMPORTRANGE(""https://docs.google.com/spreadsheets/d/1C3CXT74ZlgGe6_JY_1olB1XN4rF0dxEuIIF-xsYjHgg/edit?usp=sharing"",""งบกองทุน!EV61"")"),0)</f>
        <v>0</v>
      </c>
      <c r="E57" s="306">
        <f ca="1">IFERROR(__xludf.DUMMYFUNCTION("IMPORTRANGE(""https://docs.google.com/spreadsheets/d/1C3CXT74ZlgGe6_JY_1olB1XN4rF0dxEuIIF-xsYjHgg/edit?usp=sharing"",""งบกองทุน!EW61"")"),5460)</f>
        <v>5460</v>
      </c>
      <c r="F57" s="307">
        <f ca="1">IFERROR(__xludf.DUMMYFUNCTION("IMPORTRANGE(""https://docs.google.com/spreadsheets/d/1SX6NBoVAgQJ6U1MVXOaj8PK2l7WJ3RER9xtqwdhxkhw/edit?usp=sharing"",""ฉะเชิงเทรา!M492"")"),900)</f>
        <v>900</v>
      </c>
      <c r="G57" s="307">
        <f t="shared" ca="1" si="1"/>
        <v>16.483516483516482</v>
      </c>
      <c r="H57" s="638">
        <f t="shared" ca="1" si="47"/>
        <v>52</v>
      </c>
      <c r="I57" s="638">
        <f ca="1">IFERROR(__xludf.DUMMYFUNCTION("IMPORTRANGE(""https://docs.google.com/spreadsheets/d/1C3CXT74ZlgGe6_JY_1olB1XN4rF0dxEuIIF-xsYjHgg/edit?usp=sharing"",""งบกองทุน!EZ61"")"),52)</f>
        <v>52</v>
      </c>
      <c r="J57" s="638">
        <f ca="1">IFERROR(__xludf.DUMMYFUNCTION("IMPORTRANGE(""https://docs.google.com/spreadsheets/d/1C3CXT74ZlgGe6_JY_1olB1XN4rF0dxEuIIF-xsYjHgg/edit?usp=sharing"",""งบกองทุน!FF61"")"),0)</f>
        <v>0</v>
      </c>
      <c r="K57" s="306">
        <f ca="1">IFERROR(__xludf.DUMMYFUNCTION("IMPORTRANGE(""https://docs.google.com/spreadsheets/d/1SX6NBoVAgQJ6U1MVXOaj8PK2l7WJ3RER9xtqwdhxkhw/edit?usp=sharing"",""ฉะเชิงเทรา!J507"")"),50.055)</f>
        <v>50.055</v>
      </c>
      <c r="L57" s="307">
        <f t="shared" ca="1" si="4"/>
        <v>96.259615384615387</v>
      </c>
      <c r="M57" s="306">
        <f ca="1">IFERROR(__xludf.DUMMYFUNCTION("IMPORTRANGE(""https://docs.google.com/spreadsheets/d/1SX6NBoVAgQJ6U1MVXOaj8PK2l7WJ3RER9xtqwdhxkhw/edit?usp=sharing"",""ฉะเชิงเทรา!J508"")"),0)</f>
        <v>0</v>
      </c>
      <c r="N57" s="307">
        <f t="shared" ca="1" si="5"/>
        <v>0</v>
      </c>
      <c r="O57" s="306">
        <f ca="1">IFERROR(__xludf.DUMMYFUNCTION("IMPORTRANGE(""https://docs.google.com/spreadsheets/d/1SX6NBoVAgQJ6U1MVXOaj8PK2l7WJ3RER9xtqwdhxkhw/edit?usp=sharing"",""ฉะเชิงเทรา!J509"")"),0)</f>
        <v>0</v>
      </c>
      <c r="P57" s="307">
        <f t="shared" ca="1" si="6"/>
        <v>0</v>
      </c>
      <c r="Q57" s="306">
        <f ca="1">IFERROR(__xludf.DUMMYFUNCTION("IMPORTRANGE(""https://docs.google.com/spreadsheets/d/1SX6NBoVAgQJ6U1MVXOaj8PK2l7WJ3RER9xtqwdhxkhw/edit?usp=sharing"",""ฉะเชิงเทรา!J510"")"),0)</f>
        <v>0</v>
      </c>
      <c r="R57" s="307">
        <f t="shared" ca="1" si="7"/>
        <v>0</v>
      </c>
      <c r="S57" s="306">
        <f ca="1">IFERROR(__xludf.DUMMYFUNCTION("IMPORTRANGE(""https://docs.google.com/spreadsheets/d/1SX6NBoVAgQJ6U1MVXOaj8PK2l7WJ3RER9xtqwdhxkhw/edit?usp=sharing"",""ฉะเชิงเทรา!J511"")"),0)</f>
        <v>0</v>
      </c>
      <c r="T57" s="307">
        <f t="shared" ca="1" si="8"/>
        <v>0</v>
      </c>
      <c r="U57" s="639">
        <f t="shared" ca="1" si="48"/>
        <v>0</v>
      </c>
      <c r="V57" s="307">
        <f t="shared" ca="1" si="9"/>
        <v>0</v>
      </c>
      <c r="W57" s="639">
        <f ca="1">IFERROR(__xludf.DUMMYFUNCTION("IMPORTRANGE(""https://docs.google.com/spreadsheets/d/1SX6NBoVAgQJ6U1MVXOaj8PK2l7WJ3RER9xtqwdhxkhw/edit?usp=sharing"",""ฉะเชิงเทรา!J513"")"),0)</f>
        <v>0</v>
      </c>
      <c r="X57" s="639">
        <f ca="1">IFERROR(__xludf.DUMMYFUNCTION("IMPORTRANGE(""https://docs.google.com/spreadsheets/d/1SX6NBoVAgQJ6U1MVXOaj8PK2l7WJ3RER9xtqwdhxkhw/edit?usp=sharing"",""ฉะเชิงเทรา!J514"")"),0)</f>
        <v>0</v>
      </c>
      <c r="Y57" s="306">
        <f t="shared" ca="1" si="49"/>
        <v>0</v>
      </c>
      <c r="Z57" s="307">
        <f t="shared" ca="1" si="11"/>
        <v>0</v>
      </c>
      <c r="AA57" s="306">
        <f ca="1">IFERROR(__xludf.DUMMYFUNCTION("IMPORTRANGE(""https://docs.google.com/spreadsheets/d/1SX6NBoVAgQJ6U1MVXOaj8PK2l7WJ3RER9xtqwdhxkhw/edit?usp=sharing"",""ฉะเชิงเทรา!J517"")"),0)</f>
        <v>0</v>
      </c>
      <c r="AB57" s="306">
        <f ca="1">IFERROR(__xludf.DUMMYFUNCTION("IMPORTRANGE(""https://docs.google.com/spreadsheets/d/1SX6NBoVAgQJ6U1MVXOaj8PK2l7WJ3RER9xtqwdhxkhw/edit?usp=sharing"",""ฉะเชิงเทรา!J518"")"),0)</f>
        <v>0</v>
      </c>
      <c r="AC57" s="306">
        <f ca="1">IFERROR(__xludf.DUMMYFUNCTION("IMPORTRANGE(""https://docs.google.com/spreadsheets/d/1SX6NBoVAgQJ6U1MVXOaj8PK2l7WJ3RER9xtqwdhxkhw/edit?usp=sharing"",""ฉะเชิงเทรา!J520"")"),0)</f>
        <v>0</v>
      </c>
      <c r="AD57" s="609">
        <f ca="1">IFERROR(__xludf.DUMMYFUNCTION("IMPORTRANGE(""https://docs.google.com/spreadsheets/d/1SX6NBoVAgQJ6U1MVXOaj8PK2l7WJ3RER9xtqwdhxkhw/edit?usp=sharing"",""ฉะเชิงเทรา!J521"")"),0)</f>
        <v>0</v>
      </c>
    </row>
    <row r="58" spans="1:30" ht="21" customHeight="1">
      <c r="A58" s="303">
        <v>4</v>
      </c>
      <c r="B58" s="304" t="s">
        <v>82</v>
      </c>
      <c r="C58" s="305">
        <f t="shared" ca="1" si="46"/>
        <v>4550</v>
      </c>
      <c r="D58" s="306">
        <f ca="1">IFERROR(__xludf.DUMMYFUNCTION("IMPORTRANGE(""https://docs.google.com/spreadsheets/d/1C3CXT74ZlgGe6_JY_1olB1XN4rF0dxEuIIF-xsYjHgg/edit?usp=sharing"",""งบกองทุน!EV62"")"),0)</f>
        <v>0</v>
      </c>
      <c r="E58" s="306">
        <f ca="1">IFERROR(__xludf.DUMMYFUNCTION("IMPORTRANGE(""https://docs.google.com/spreadsheets/d/1C3CXT74ZlgGe6_JY_1olB1XN4rF0dxEuIIF-xsYjHgg/edit?usp=sharing"",""งบกองทุน!EW62"")"),4550)</f>
        <v>4550</v>
      </c>
      <c r="F58" s="307">
        <f ca="1">IFERROR(__xludf.DUMMYFUNCTION("IMPORTRANGE(""https://docs.google.com/spreadsheets/d/1SX6NBoVAgQJ6U1MVXOaj8PK2l7WJ3RER9xtqwdhxkhw/edit?usp=sharing"",""ชลบุรี!M492"")"),300)</f>
        <v>300</v>
      </c>
      <c r="G58" s="307">
        <f t="shared" ca="1" si="1"/>
        <v>6.5934065934065931</v>
      </c>
      <c r="H58" s="638">
        <f t="shared" ca="1" si="47"/>
        <v>50</v>
      </c>
      <c r="I58" s="638">
        <f ca="1">IFERROR(__xludf.DUMMYFUNCTION("IMPORTRANGE(""https://docs.google.com/spreadsheets/d/1C3CXT74ZlgGe6_JY_1olB1XN4rF0dxEuIIF-xsYjHgg/edit?usp=sharing"",""งบกองทุน!EZ62"")"),50)</f>
        <v>50</v>
      </c>
      <c r="J58" s="638">
        <f ca="1">IFERROR(__xludf.DUMMYFUNCTION("IMPORTRANGE(""https://docs.google.com/spreadsheets/d/1C3CXT74ZlgGe6_JY_1olB1XN4rF0dxEuIIF-xsYjHgg/edit?usp=sharing"",""งบกองทุน!FF62"")"),0)</f>
        <v>0</v>
      </c>
      <c r="K58" s="306">
        <f ca="1">IFERROR(__xludf.DUMMYFUNCTION("IMPORTRANGE(""https://docs.google.com/spreadsheets/d/1SX6NBoVAgQJ6U1MVXOaj8PK2l7WJ3RER9xtqwdhxkhw/edit?usp=sharing"",""ชลบุรี!J507"")"),0)</f>
        <v>0</v>
      </c>
      <c r="L58" s="307">
        <f t="shared" ca="1" si="4"/>
        <v>0</v>
      </c>
      <c r="M58" s="306">
        <f ca="1">IFERROR(__xludf.DUMMYFUNCTION("IMPORTRANGE(""https://docs.google.com/spreadsheets/d/1SX6NBoVAgQJ6U1MVXOaj8PK2l7WJ3RER9xtqwdhxkhw/edit?usp=sharing"",""ชลบุรี!J508"")"),0)</f>
        <v>0</v>
      </c>
      <c r="N58" s="307">
        <f t="shared" ca="1" si="5"/>
        <v>0</v>
      </c>
      <c r="O58" s="306">
        <f ca="1">IFERROR(__xludf.DUMMYFUNCTION("IMPORTRANGE(""https://docs.google.com/spreadsheets/d/1SX6NBoVAgQJ6U1MVXOaj8PK2l7WJ3RER9xtqwdhxkhw/edit?usp=sharing"",""ชลบุรี!J509"")"),0)</f>
        <v>0</v>
      </c>
      <c r="P58" s="307">
        <f t="shared" ca="1" si="6"/>
        <v>0</v>
      </c>
      <c r="Q58" s="306">
        <f ca="1">IFERROR(__xludf.DUMMYFUNCTION("IMPORTRANGE(""https://docs.google.com/spreadsheets/d/1SX6NBoVAgQJ6U1MVXOaj8PK2l7WJ3RER9xtqwdhxkhw/edit?usp=sharing"",""ชลบุรี!J510"")"),0)</f>
        <v>0</v>
      </c>
      <c r="R58" s="307">
        <f t="shared" ca="1" si="7"/>
        <v>0</v>
      </c>
      <c r="S58" s="306">
        <f ca="1">IFERROR(__xludf.DUMMYFUNCTION("IMPORTRANGE(""https://docs.google.com/spreadsheets/d/1SX6NBoVAgQJ6U1MVXOaj8PK2l7WJ3RER9xtqwdhxkhw/edit?usp=sharing"",""ชลบุรี!J511"")"),0)</f>
        <v>0</v>
      </c>
      <c r="T58" s="307">
        <f t="shared" ca="1" si="8"/>
        <v>0</v>
      </c>
      <c r="U58" s="639">
        <f t="shared" ca="1" si="48"/>
        <v>0</v>
      </c>
      <c r="V58" s="307">
        <f t="shared" ca="1" si="9"/>
        <v>0</v>
      </c>
      <c r="W58" s="639">
        <f ca="1">IFERROR(__xludf.DUMMYFUNCTION("IMPORTRANGE(""https://docs.google.com/spreadsheets/d/1SX6NBoVAgQJ6U1MVXOaj8PK2l7WJ3RER9xtqwdhxkhw/edit?usp=sharing"",""ชลบุรี!J513"")"),0)</f>
        <v>0</v>
      </c>
      <c r="X58" s="639">
        <f ca="1">IFERROR(__xludf.DUMMYFUNCTION("IMPORTRANGE(""https://docs.google.com/spreadsheets/d/1SX6NBoVAgQJ6U1MVXOaj8PK2l7WJ3RER9xtqwdhxkhw/edit?usp=sharing"",""ชลบุรี!J514"")"),0)</f>
        <v>0</v>
      </c>
      <c r="Y58" s="306">
        <f t="shared" ca="1" si="49"/>
        <v>0</v>
      </c>
      <c r="Z58" s="307">
        <f t="shared" ca="1" si="11"/>
        <v>0</v>
      </c>
      <c r="AA58" s="306">
        <f ca="1">IFERROR(__xludf.DUMMYFUNCTION("IMPORTRANGE(""https://docs.google.com/spreadsheets/d/1SX6NBoVAgQJ6U1MVXOaj8PK2l7WJ3RER9xtqwdhxkhw/edit?usp=sharing"",""ชลบุรี!J517"")"),0)</f>
        <v>0</v>
      </c>
      <c r="AB58" s="306">
        <f ca="1">IFERROR(__xludf.DUMMYFUNCTION("IMPORTRANGE(""https://docs.google.com/spreadsheets/d/1SX6NBoVAgQJ6U1MVXOaj8PK2l7WJ3RER9xtqwdhxkhw/edit?usp=sharing"",""ชลบุรี!J518"")"),0)</f>
        <v>0</v>
      </c>
      <c r="AC58" s="306">
        <f ca="1">IFERROR(__xludf.DUMMYFUNCTION("IMPORTRANGE(""https://docs.google.com/spreadsheets/d/1SX6NBoVAgQJ6U1MVXOaj8PK2l7WJ3RER9xtqwdhxkhw/edit?usp=sharing"",""ชลบุรี!J520"")"),0)</f>
        <v>0</v>
      </c>
      <c r="AD58" s="609">
        <f ca="1">IFERROR(__xludf.DUMMYFUNCTION("IMPORTRANGE(""https://docs.google.com/spreadsheets/d/1SX6NBoVAgQJ6U1MVXOaj8PK2l7WJ3RER9xtqwdhxkhw/edit?usp=sharing"",""ชลบุรี!J521"")"),0)</f>
        <v>0</v>
      </c>
    </row>
    <row r="59" spans="1:30" ht="21" customHeight="1">
      <c r="A59" s="303">
        <v>5</v>
      </c>
      <c r="B59" s="304" t="s">
        <v>83</v>
      </c>
      <c r="C59" s="305">
        <f t="shared" ca="1" si="46"/>
        <v>4550</v>
      </c>
      <c r="D59" s="306">
        <f ca="1">IFERROR(__xludf.DUMMYFUNCTION("IMPORTRANGE(""https://docs.google.com/spreadsheets/d/1C3CXT74ZlgGe6_JY_1olB1XN4rF0dxEuIIF-xsYjHgg/edit?usp=sharing"",""งบกองทุน!EV63"")"),0)</f>
        <v>0</v>
      </c>
      <c r="E59" s="306">
        <f ca="1">IFERROR(__xludf.DUMMYFUNCTION("IMPORTRANGE(""https://docs.google.com/spreadsheets/d/1C3CXT74ZlgGe6_JY_1olB1XN4rF0dxEuIIF-xsYjHgg/edit?usp=sharing"",""งบกองทุน!EW63"")"),4550)</f>
        <v>4550</v>
      </c>
      <c r="F59" s="307">
        <f ca="1">IFERROR(__xludf.DUMMYFUNCTION("IMPORTRANGE(""https://docs.google.com/spreadsheets/d/1SX6NBoVAgQJ6U1MVXOaj8PK2l7WJ3RER9xtqwdhxkhw/edit?usp=sharing"",""ชัยนาท!M492"")"),1740)</f>
        <v>1740</v>
      </c>
      <c r="G59" s="307">
        <f t="shared" ca="1" si="1"/>
        <v>38.241758241758241</v>
      </c>
      <c r="H59" s="638">
        <f t="shared" ca="1" si="47"/>
        <v>50</v>
      </c>
      <c r="I59" s="638">
        <f ca="1">IFERROR(__xludf.DUMMYFUNCTION("IMPORTRANGE(""https://docs.google.com/spreadsheets/d/1C3CXT74ZlgGe6_JY_1olB1XN4rF0dxEuIIF-xsYjHgg/edit?usp=sharing"",""งบกองทุน!EZ63"")"),50)</f>
        <v>50</v>
      </c>
      <c r="J59" s="638">
        <f ca="1">IFERROR(__xludf.DUMMYFUNCTION("IMPORTRANGE(""https://docs.google.com/spreadsheets/d/1C3CXT74ZlgGe6_JY_1olB1XN4rF0dxEuIIF-xsYjHgg/edit?usp=sharing"",""งบกองทุน!FF63"")"),0)</f>
        <v>0</v>
      </c>
      <c r="K59" s="306">
        <f ca="1">IFERROR(__xludf.DUMMYFUNCTION("IMPORTRANGE(""https://docs.google.com/spreadsheets/d/1SX6NBoVAgQJ6U1MVXOaj8PK2l7WJ3RER9xtqwdhxkhw/edit?usp=sharing"",""ชัยนาท!J507"")"),86)</f>
        <v>86</v>
      </c>
      <c r="L59" s="307">
        <f t="shared" ca="1" si="4"/>
        <v>172</v>
      </c>
      <c r="M59" s="306">
        <f ca="1">IFERROR(__xludf.DUMMYFUNCTION("IMPORTRANGE(""https://docs.google.com/spreadsheets/d/1SX6NBoVAgQJ6U1MVXOaj8PK2l7WJ3RER9xtqwdhxkhw/edit?usp=sharing"",""ชัยนาท!J508"")"),86)</f>
        <v>86</v>
      </c>
      <c r="N59" s="307">
        <f t="shared" ca="1" si="5"/>
        <v>172</v>
      </c>
      <c r="O59" s="306">
        <f ca="1">IFERROR(__xludf.DUMMYFUNCTION("IMPORTRANGE(""https://docs.google.com/spreadsheets/d/1SX6NBoVAgQJ6U1MVXOaj8PK2l7WJ3RER9xtqwdhxkhw/edit?usp=sharing"",""ชัยนาท!J509"")"),70)</f>
        <v>70</v>
      </c>
      <c r="P59" s="307">
        <f t="shared" ca="1" si="6"/>
        <v>140</v>
      </c>
      <c r="Q59" s="306">
        <f ca="1">IFERROR(__xludf.DUMMYFUNCTION("IMPORTRANGE(""https://docs.google.com/spreadsheets/d/1SX6NBoVAgQJ6U1MVXOaj8PK2l7WJ3RER9xtqwdhxkhw/edit?usp=sharing"",""ชัยนาท!J510"")"),70)</f>
        <v>70</v>
      </c>
      <c r="R59" s="307">
        <f t="shared" ca="1" si="7"/>
        <v>140</v>
      </c>
      <c r="S59" s="306">
        <f ca="1">IFERROR(__xludf.DUMMYFUNCTION("IMPORTRANGE(""https://docs.google.com/spreadsheets/d/1SX6NBoVAgQJ6U1MVXOaj8PK2l7WJ3RER9xtqwdhxkhw/edit?usp=sharing"",""ชัยนาท!J511"")"),70)</f>
        <v>70</v>
      </c>
      <c r="T59" s="307">
        <f t="shared" ca="1" si="8"/>
        <v>140</v>
      </c>
      <c r="U59" s="639">
        <f t="shared" ca="1" si="48"/>
        <v>0</v>
      </c>
      <c r="V59" s="307">
        <f t="shared" ca="1" si="9"/>
        <v>0</v>
      </c>
      <c r="W59" s="639">
        <f ca="1">IFERROR(__xludf.DUMMYFUNCTION("IMPORTRANGE(""https://docs.google.com/spreadsheets/d/1SX6NBoVAgQJ6U1MVXOaj8PK2l7WJ3RER9xtqwdhxkhw/edit?usp=sharing"",""ชัยนาท!J513"")"),0)</f>
        <v>0</v>
      </c>
      <c r="X59" s="639">
        <f ca="1">IFERROR(__xludf.DUMMYFUNCTION("IMPORTRANGE(""https://docs.google.com/spreadsheets/d/1SX6NBoVAgQJ6U1MVXOaj8PK2l7WJ3RER9xtqwdhxkhw/edit?usp=sharing"",""ชัยนาท!J514"")"),0)</f>
        <v>0</v>
      </c>
      <c r="Y59" s="306">
        <f t="shared" ca="1" si="49"/>
        <v>0</v>
      </c>
      <c r="Z59" s="307">
        <f t="shared" ca="1" si="11"/>
        <v>0</v>
      </c>
      <c r="AA59" s="306">
        <f ca="1">IFERROR(__xludf.DUMMYFUNCTION("IMPORTRANGE(""https://docs.google.com/spreadsheets/d/1SX6NBoVAgQJ6U1MVXOaj8PK2l7WJ3RER9xtqwdhxkhw/edit?usp=sharing"",""ชัยนาท!J517"")"),0)</f>
        <v>0</v>
      </c>
      <c r="AB59" s="306">
        <f ca="1">IFERROR(__xludf.DUMMYFUNCTION("IMPORTRANGE(""https://docs.google.com/spreadsheets/d/1SX6NBoVAgQJ6U1MVXOaj8PK2l7WJ3RER9xtqwdhxkhw/edit?usp=sharing"",""ชัยนาท!J518"")"),0)</f>
        <v>0</v>
      </c>
      <c r="AC59" s="306">
        <f ca="1">IFERROR(__xludf.DUMMYFUNCTION("IMPORTRANGE(""https://docs.google.com/spreadsheets/d/1SX6NBoVAgQJ6U1MVXOaj8PK2l7WJ3RER9xtqwdhxkhw/edit?usp=sharing"",""ชัยนาท!J520"")"),0)</f>
        <v>0</v>
      </c>
      <c r="AD59" s="609">
        <f ca="1">IFERROR(__xludf.DUMMYFUNCTION("IMPORTRANGE(""https://docs.google.com/spreadsheets/d/1SX6NBoVAgQJ6U1MVXOaj8PK2l7WJ3RER9xtqwdhxkhw/edit?usp=sharing"",""ชัยนาท!J521"")"),0)</f>
        <v>0</v>
      </c>
    </row>
    <row r="60" spans="1:30" ht="21" customHeight="1">
      <c r="A60" s="303">
        <v>6</v>
      </c>
      <c r="B60" s="304" t="s">
        <v>84</v>
      </c>
      <c r="C60" s="305">
        <f t="shared" ca="1" si="46"/>
        <v>6150</v>
      </c>
      <c r="D60" s="306">
        <f ca="1">IFERROR(__xludf.DUMMYFUNCTION("IMPORTRANGE(""https://docs.google.com/spreadsheets/d/1C3CXT74ZlgGe6_JY_1olB1XN4rF0dxEuIIF-xsYjHgg/edit?usp=sharing"",""งบกองทุน!EV64"")"),0)</f>
        <v>0</v>
      </c>
      <c r="E60" s="306">
        <f ca="1">IFERROR(__xludf.DUMMYFUNCTION("IMPORTRANGE(""https://docs.google.com/spreadsheets/d/1C3CXT74ZlgGe6_JY_1olB1XN4rF0dxEuIIF-xsYjHgg/edit?usp=sharing"",""งบกองทุน!EW64"")"),6150)</f>
        <v>6150</v>
      </c>
      <c r="F60" s="307">
        <f ca="1">IFERROR(__xludf.DUMMYFUNCTION("IMPORTRANGE(""https://docs.google.com/spreadsheets/d/1SX6NBoVAgQJ6U1MVXOaj8PK2l7WJ3RER9xtqwdhxkhw/edit?usp=sharing"",""ตราด!M492"")"),3400)</f>
        <v>3400</v>
      </c>
      <c r="G60" s="307">
        <f t="shared" ca="1" si="1"/>
        <v>55.284552845528452</v>
      </c>
      <c r="H60" s="638">
        <f t="shared" ca="1" si="47"/>
        <v>50</v>
      </c>
      <c r="I60" s="638">
        <f ca="1">IFERROR(__xludf.DUMMYFUNCTION("IMPORTRANGE(""https://docs.google.com/spreadsheets/d/1C3CXT74ZlgGe6_JY_1olB1XN4rF0dxEuIIF-xsYjHgg/edit?usp=sharing"",""งบกองทุน!EZ64"")"),50)</f>
        <v>50</v>
      </c>
      <c r="J60" s="638">
        <f ca="1">IFERROR(__xludf.DUMMYFUNCTION("IMPORTRANGE(""https://docs.google.com/spreadsheets/d/1C3CXT74ZlgGe6_JY_1olB1XN4rF0dxEuIIF-xsYjHgg/edit?usp=sharing"",""งบกองทุน!FF64"")"),0)</f>
        <v>0</v>
      </c>
      <c r="K60" s="306">
        <f ca="1">IFERROR(__xludf.DUMMYFUNCTION("IMPORTRANGE(""https://docs.google.com/spreadsheets/d/1SX6NBoVAgQJ6U1MVXOaj8PK2l7WJ3RER9xtqwdhxkhw/edit?usp=sharing"",""ตราด!J507"")"),0)</f>
        <v>0</v>
      </c>
      <c r="L60" s="307">
        <f t="shared" ca="1" si="4"/>
        <v>0</v>
      </c>
      <c r="M60" s="306">
        <f ca="1">IFERROR(__xludf.DUMMYFUNCTION("IMPORTRANGE(""https://docs.google.com/spreadsheets/d/1SX6NBoVAgQJ6U1MVXOaj8PK2l7WJ3RER9xtqwdhxkhw/edit?usp=sharing"",""ตราด!J508"")"),0)</f>
        <v>0</v>
      </c>
      <c r="N60" s="307">
        <f t="shared" ca="1" si="5"/>
        <v>0</v>
      </c>
      <c r="O60" s="306">
        <f ca="1">IFERROR(__xludf.DUMMYFUNCTION("IMPORTRANGE(""https://docs.google.com/spreadsheets/d/1SX6NBoVAgQJ6U1MVXOaj8PK2l7WJ3RER9xtqwdhxkhw/edit?usp=sharing"",""ตราด!J509"")"),0)</f>
        <v>0</v>
      </c>
      <c r="P60" s="307">
        <f t="shared" ca="1" si="6"/>
        <v>0</v>
      </c>
      <c r="Q60" s="306">
        <f ca="1">IFERROR(__xludf.DUMMYFUNCTION("IMPORTRANGE(""https://docs.google.com/spreadsheets/d/1SX6NBoVAgQJ6U1MVXOaj8PK2l7WJ3RER9xtqwdhxkhw/edit?usp=sharing"",""ตราด!J510"")"),0)</f>
        <v>0</v>
      </c>
      <c r="R60" s="307">
        <f t="shared" ca="1" si="7"/>
        <v>0</v>
      </c>
      <c r="S60" s="306">
        <f ca="1">IFERROR(__xludf.DUMMYFUNCTION("IMPORTRANGE(""https://docs.google.com/spreadsheets/d/1SX6NBoVAgQJ6U1MVXOaj8PK2l7WJ3RER9xtqwdhxkhw/edit?usp=sharing"",""ตราด!J511"")"),0)</f>
        <v>0</v>
      </c>
      <c r="T60" s="307">
        <f t="shared" ca="1" si="8"/>
        <v>0</v>
      </c>
      <c r="U60" s="639">
        <f t="shared" ca="1" si="48"/>
        <v>0</v>
      </c>
      <c r="V60" s="307">
        <f t="shared" ca="1" si="9"/>
        <v>0</v>
      </c>
      <c r="W60" s="639">
        <f ca="1">IFERROR(__xludf.DUMMYFUNCTION("IMPORTRANGE(""https://docs.google.com/spreadsheets/d/1SX6NBoVAgQJ6U1MVXOaj8PK2l7WJ3RER9xtqwdhxkhw/edit?usp=sharing"",""ตราด!J513"")"),0)</f>
        <v>0</v>
      </c>
      <c r="X60" s="639">
        <f ca="1">IFERROR(__xludf.DUMMYFUNCTION("IMPORTRANGE(""https://docs.google.com/spreadsheets/d/1SX6NBoVAgQJ6U1MVXOaj8PK2l7WJ3RER9xtqwdhxkhw/edit?usp=sharing"",""ตราด!J514"")"),0)</f>
        <v>0</v>
      </c>
      <c r="Y60" s="306">
        <f t="shared" ca="1" si="49"/>
        <v>0</v>
      </c>
      <c r="Z60" s="307">
        <f t="shared" ca="1" si="11"/>
        <v>0</v>
      </c>
      <c r="AA60" s="306">
        <f ca="1">IFERROR(__xludf.DUMMYFUNCTION("IMPORTRANGE(""https://docs.google.com/spreadsheets/d/1SX6NBoVAgQJ6U1MVXOaj8PK2l7WJ3RER9xtqwdhxkhw/edit?usp=sharing"",""ตราด!J517"")"),0)</f>
        <v>0</v>
      </c>
      <c r="AB60" s="306">
        <f ca="1">IFERROR(__xludf.DUMMYFUNCTION("IMPORTRANGE(""https://docs.google.com/spreadsheets/d/1SX6NBoVAgQJ6U1MVXOaj8PK2l7WJ3RER9xtqwdhxkhw/edit?usp=sharing"",""ตราด!J518"")"),0)</f>
        <v>0</v>
      </c>
      <c r="AC60" s="306">
        <f ca="1">IFERROR(__xludf.DUMMYFUNCTION("IMPORTRANGE(""https://docs.google.com/spreadsheets/d/1SX6NBoVAgQJ6U1MVXOaj8PK2l7WJ3RER9xtqwdhxkhw/edit?usp=sharing"",""ตราด!J520"")"),0)</f>
        <v>0</v>
      </c>
      <c r="AD60" s="609">
        <f ca="1">IFERROR(__xludf.DUMMYFUNCTION("IMPORTRANGE(""https://docs.google.com/spreadsheets/d/1SX6NBoVAgQJ6U1MVXOaj8PK2l7WJ3RER9xtqwdhxkhw/edit?usp=sharing"",""ตราด!J521"")"),0)</f>
        <v>0</v>
      </c>
    </row>
    <row r="61" spans="1:30" ht="21" customHeight="1">
      <c r="A61" s="303">
        <v>7</v>
      </c>
      <c r="B61" s="304" t="s">
        <v>85</v>
      </c>
      <c r="C61" s="305">
        <f t="shared" ca="1" si="46"/>
        <v>6950</v>
      </c>
      <c r="D61" s="306">
        <f ca="1">IFERROR(__xludf.DUMMYFUNCTION("IMPORTRANGE(""https://docs.google.com/spreadsheets/d/1C3CXT74ZlgGe6_JY_1olB1XN4rF0dxEuIIF-xsYjHgg/edit?usp=sharing"",""งบกองทุน!EV65"")"),0)</f>
        <v>0</v>
      </c>
      <c r="E61" s="306">
        <f ca="1">IFERROR(__xludf.DUMMYFUNCTION("IMPORTRANGE(""https://docs.google.com/spreadsheets/d/1C3CXT74ZlgGe6_JY_1olB1XN4rF0dxEuIIF-xsYjHgg/edit?usp=sharing"",""งบกองทุน!EW65"")"),6950)</f>
        <v>6950</v>
      </c>
      <c r="F61" s="307">
        <f ca="1">IFERROR(__xludf.DUMMYFUNCTION("IMPORTRANGE(""https://docs.google.com/spreadsheets/d/1SX6NBoVAgQJ6U1MVXOaj8PK2l7WJ3RER9xtqwdhxkhw/edit?usp=sharing"",""นครนายก!M492"")"),0)</f>
        <v>0</v>
      </c>
      <c r="G61" s="307">
        <f t="shared" ca="1" si="1"/>
        <v>0</v>
      </c>
      <c r="H61" s="638">
        <f t="shared" ca="1" si="47"/>
        <v>50</v>
      </c>
      <c r="I61" s="638">
        <f ca="1">IFERROR(__xludf.DUMMYFUNCTION("IMPORTRANGE(""https://docs.google.com/spreadsheets/d/1C3CXT74ZlgGe6_JY_1olB1XN4rF0dxEuIIF-xsYjHgg/edit?usp=sharing"",""งบกองทุน!EZ65"")"),50)</f>
        <v>50</v>
      </c>
      <c r="J61" s="638">
        <f ca="1">IFERROR(__xludf.DUMMYFUNCTION("IMPORTRANGE(""https://docs.google.com/spreadsheets/d/1C3CXT74ZlgGe6_JY_1olB1XN4rF0dxEuIIF-xsYjHgg/edit?usp=sharing"",""งบกองทุน!FF65"")"),0)</f>
        <v>0</v>
      </c>
      <c r="K61" s="306">
        <f ca="1">IFERROR(__xludf.DUMMYFUNCTION("IMPORTRANGE(""https://docs.google.com/spreadsheets/d/1SX6NBoVAgQJ6U1MVXOaj8PK2l7WJ3RER9xtqwdhxkhw/edit?usp=sharing"",""นครนายก!J507"")"),0)</f>
        <v>0</v>
      </c>
      <c r="L61" s="307">
        <f t="shared" ca="1" si="4"/>
        <v>0</v>
      </c>
      <c r="M61" s="306">
        <f ca="1">IFERROR(__xludf.DUMMYFUNCTION("IMPORTRANGE(""https://docs.google.com/spreadsheets/d/1SX6NBoVAgQJ6U1MVXOaj8PK2l7WJ3RER9xtqwdhxkhw/edit?usp=sharing"",""นครนายก!J508"")"),0)</f>
        <v>0</v>
      </c>
      <c r="N61" s="307">
        <f t="shared" ca="1" si="5"/>
        <v>0</v>
      </c>
      <c r="O61" s="306">
        <f ca="1">IFERROR(__xludf.DUMMYFUNCTION("IMPORTRANGE(""https://docs.google.com/spreadsheets/d/1SX6NBoVAgQJ6U1MVXOaj8PK2l7WJ3RER9xtqwdhxkhw/edit?usp=sharing"",""นครนายก!J509"")"),0)</f>
        <v>0</v>
      </c>
      <c r="P61" s="307">
        <f t="shared" ca="1" si="6"/>
        <v>0</v>
      </c>
      <c r="Q61" s="306">
        <f ca="1">IFERROR(__xludf.DUMMYFUNCTION("IMPORTRANGE(""https://docs.google.com/spreadsheets/d/1SX6NBoVAgQJ6U1MVXOaj8PK2l7WJ3RER9xtqwdhxkhw/edit?usp=sharing"",""นครนายก!J510"")"),0)</f>
        <v>0</v>
      </c>
      <c r="R61" s="307">
        <f t="shared" ca="1" si="7"/>
        <v>0</v>
      </c>
      <c r="S61" s="306">
        <f ca="1">IFERROR(__xludf.DUMMYFUNCTION("IMPORTRANGE(""https://docs.google.com/spreadsheets/d/1SX6NBoVAgQJ6U1MVXOaj8PK2l7WJ3RER9xtqwdhxkhw/edit?usp=sharing"",""นครนายก!J511"")"),0)</f>
        <v>0</v>
      </c>
      <c r="T61" s="307">
        <f t="shared" ca="1" si="8"/>
        <v>0</v>
      </c>
      <c r="U61" s="639">
        <f t="shared" ca="1" si="48"/>
        <v>0</v>
      </c>
      <c r="V61" s="307">
        <f t="shared" ca="1" si="9"/>
        <v>0</v>
      </c>
      <c r="W61" s="639">
        <f ca="1">IFERROR(__xludf.DUMMYFUNCTION("IMPORTRANGE(""https://docs.google.com/spreadsheets/d/1SX6NBoVAgQJ6U1MVXOaj8PK2l7WJ3RER9xtqwdhxkhw/edit?usp=sharing"",""นครนายก!J513"")"),0)</f>
        <v>0</v>
      </c>
      <c r="X61" s="639">
        <f ca="1">IFERROR(__xludf.DUMMYFUNCTION("IMPORTRANGE(""https://docs.google.com/spreadsheets/d/1SX6NBoVAgQJ6U1MVXOaj8PK2l7WJ3RER9xtqwdhxkhw/edit?usp=sharing"",""นครนายก!J514"")"),0)</f>
        <v>0</v>
      </c>
      <c r="Y61" s="306">
        <f t="shared" ca="1" si="49"/>
        <v>0</v>
      </c>
      <c r="Z61" s="307">
        <f t="shared" ca="1" si="11"/>
        <v>0</v>
      </c>
      <c r="AA61" s="306">
        <f ca="1">IFERROR(__xludf.DUMMYFUNCTION("IMPORTRANGE(""https://docs.google.com/spreadsheets/d/1SX6NBoVAgQJ6U1MVXOaj8PK2l7WJ3RER9xtqwdhxkhw/edit?usp=sharing"",""นครนายก!J517"")"),0)</f>
        <v>0</v>
      </c>
      <c r="AB61" s="306">
        <f ca="1">IFERROR(__xludf.DUMMYFUNCTION("IMPORTRANGE(""https://docs.google.com/spreadsheets/d/1SX6NBoVAgQJ6U1MVXOaj8PK2l7WJ3RER9xtqwdhxkhw/edit?usp=sharing"",""นครนายก!J518"")"),0)</f>
        <v>0</v>
      </c>
      <c r="AC61" s="306">
        <f ca="1">IFERROR(__xludf.DUMMYFUNCTION("IMPORTRANGE(""https://docs.google.com/spreadsheets/d/1SX6NBoVAgQJ6U1MVXOaj8PK2l7WJ3RER9xtqwdhxkhw/edit?usp=sharing"",""นครนายก!J520"")"),0)</f>
        <v>0</v>
      </c>
      <c r="AD61" s="609">
        <f ca="1">IFERROR(__xludf.DUMMYFUNCTION("IMPORTRANGE(""https://docs.google.com/spreadsheets/d/1SX6NBoVAgQJ6U1MVXOaj8PK2l7WJ3RER9xtqwdhxkhw/edit?usp=sharing"",""นครนายก!J521"")"),0)</f>
        <v>0</v>
      </c>
    </row>
    <row r="62" spans="1:30" ht="21" customHeight="1">
      <c r="A62" s="303">
        <v>8</v>
      </c>
      <c r="B62" s="304" t="s">
        <v>86</v>
      </c>
      <c r="C62" s="305">
        <f t="shared" ca="1" si="46"/>
        <v>4550</v>
      </c>
      <c r="D62" s="306">
        <f ca="1">IFERROR(__xludf.DUMMYFUNCTION("IMPORTRANGE(""https://docs.google.com/spreadsheets/d/1C3CXT74ZlgGe6_JY_1olB1XN4rF0dxEuIIF-xsYjHgg/edit?usp=sharing"",""งบกองทุน!EV66"")"),0)</f>
        <v>0</v>
      </c>
      <c r="E62" s="306">
        <f ca="1">IFERROR(__xludf.DUMMYFUNCTION("IMPORTRANGE(""https://docs.google.com/spreadsheets/d/1C3CXT74ZlgGe6_JY_1olB1XN4rF0dxEuIIF-xsYjHgg/edit?usp=sharing"",""งบกองทุน!EW66"")"),4550)</f>
        <v>4550</v>
      </c>
      <c r="F62" s="307">
        <f ca="1">IFERROR(__xludf.DUMMYFUNCTION("IMPORTRANGE(""https://docs.google.com/spreadsheets/d/1SX6NBoVAgQJ6U1MVXOaj8PK2l7WJ3RER9xtqwdhxkhw/edit?usp=sharing"",""นครปฐม!M492"")"),400)</f>
        <v>400</v>
      </c>
      <c r="G62" s="307">
        <f t="shared" ca="1" si="1"/>
        <v>8.791208791208792</v>
      </c>
      <c r="H62" s="638">
        <f t="shared" ca="1" si="47"/>
        <v>50</v>
      </c>
      <c r="I62" s="638">
        <f ca="1">IFERROR(__xludf.DUMMYFUNCTION("IMPORTRANGE(""https://docs.google.com/spreadsheets/d/1C3CXT74ZlgGe6_JY_1olB1XN4rF0dxEuIIF-xsYjHgg/edit?usp=sharing"",""งบกองทุน!EZ66"")"),50)</f>
        <v>50</v>
      </c>
      <c r="J62" s="638">
        <f ca="1">IFERROR(__xludf.DUMMYFUNCTION("IMPORTRANGE(""https://docs.google.com/spreadsheets/d/1C3CXT74ZlgGe6_JY_1olB1XN4rF0dxEuIIF-xsYjHgg/edit?usp=sharing"",""งบกองทุน!FF66"")"),0)</f>
        <v>0</v>
      </c>
      <c r="K62" s="306">
        <f ca="1">IFERROR(__xludf.DUMMYFUNCTION("IMPORTRANGE(""https://docs.google.com/spreadsheets/d/1SX6NBoVAgQJ6U1MVXOaj8PK2l7WJ3RER9xtqwdhxkhw/edit?usp=sharing"",""นครปฐม!J507"")"),0)</f>
        <v>0</v>
      </c>
      <c r="L62" s="307">
        <f t="shared" ca="1" si="4"/>
        <v>0</v>
      </c>
      <c r="M62" s="306">
        <f ca="1">IFERROR(__xludf.DUMMYFUNCTION("IMPORTRANGE(""https://docs.google.com/spreadsheets/d/1SX6NBoVAgQJ6U1MVXOaj8PK2l7WJ3RER9xtqwdhxkhw/edit?usp=sharing"",""นครปฐม!J508"")"),0)</f>
        <v>0</v>
      </c>
      <c r="N62" s="307">
        <f t="shared" ca="1" si="5"/>
        <v>0</v>
      </c>
      <c r="O62" s="306">
        <f ca="1">IFERROR(__xludf.DUMMYFUNCTION("IMPORTRANGE(""https://docs.google.com/spreadsheets/d/1SX6NBoVAgQJ6U1MVXOaj8PK2l7WJ3RER9xtqwdhxkhw/edit?usp=sharing"",""นครปฐม!J509"")"),0)</f>
        <v>0</v>
      </c>
      <c r="P62" s="307">
        <f t="shared" ca="1" si="6"/>
        <v>0</v>
      </c>
      <c r="Q62" s="306">
        <f ca="1">IFERROR(__xludf.DUMMYFUNCTION("IMPORTRANGE(""https://docs.google.com/spreadsheets/d/1SX6NBoVAgQJ6U1MVXOaj8PK2l7WJ3RER9xtqwdhxkhw/edit?usp=sharing"",""นครปฐม!J510"")"),0)</f>
        <v>0</v>
      </c>
      <c r="R62" s="307">
        <f t="shared" ca="1" si="7"/>
        <v>0</v>
      </c>
      <c r="S62" s="306">
        <f ca="1">IFERROR(__xludf.DUMMYFUNCTION("IMPORTRANGE(""https://docs.google.com/spreadsheets/d/1SX6NBoVAgQJ6U1MVXOaj8PK2l7WJ3RER9xtqwdhxkhw/edit?usp=sharing"",""นครปฐม!J511"")"),0)</f>
        <v>0</v>
      </c>
      <c r="T62" s="307">
        <f t="shared" ca="1" si="8"/>
        <v>0</v>
      </c>
      <c r="U62" s="639">
        <f t="shared" ca="1" si="48"/>
        <v>0</v>
      </c>
      <c r="V62" s="307">
        <f t="shared" ca="1" si="9"/>
        <v>0</v>
      </c>
      <c r="W62" s="639">
        <f ca="1">IFERROR(__xludf.DUMMYFUNCTION("IMPORTRANGE(""https://docs.google.com/spreadsheets/d/1SX6NBoVAgQJ6U1MVXOaj8PK2l7WJ3RER9xtqwdhxkhw/edit?usp=sharing"",""นครปฐม!J513"")"),0)</f>
        <v>0</v>
      </c>
      <c r="X62" s="639">
        <f ca="1">IFERROR(__xludf.DUMMYFUNCTION("IMPORTRANGE(""https://docs.google.com/spreadsheets/d/1SX6NBoVAgQJ6U1MVXOaj8PK2l7WJ3RER9xtqwdhxkhw/edit?usp=sharing"",""นครปฐม!J514"")"),0)</f>
        <v>0</v>
      </c>
      <c r="Y62" s="306">
        <f t="shared" ca="1" si="49"/>
        <v>0</v>
      </c>
      <c r="Z62" s="307">
        <f t="shared" ca="1" si="11"/>
        <v>0</v>
      </c>
      <c r="AA62" s="306">
        <f ca="1">IFERROR(__xludf.DUMMYFUNCTION("IMPORTRANGE(""https://docs.google.com/spreadsheets/d/1SX6NBoVAgQJ6U1MVXOaj8PK2l7WJ3RER9xtqwdhxkhw/edit?usp=sharing"",""นครปฐม!J517"")"),0)</f>
        <v>0</v>
      </c>
      <c r="AB62" s="306">
        <f ca="1">IFERROR(__xludf.DUMMYFUNCTION("IMPORTRANGE(""https://docs.google.com/spreadsheets/d/1SX6NBoVAgQJ6U1MVXOaj8PK2l7WJ3RER9xtqwdhxkhw/edit?usp=sharing"",""นครปฐม!J518"")"),0)</f>
        <v>0</v>
      </c>
      <c r="AC62" s="306">
        <f ca="1">IFERROR(__xludf.DUMMYFUNCTION("IMPORTRANGE(""https://docs.google.com/spreadsheets/d/1SX6NBoVAgQJ6U1MVXOaj8PK2l7WJ3RER9xtqwdhxkhw/edit?usp=sharing"",""นครปฐม!J520"")"),0)</f>
        <v>0</v>
      </c>
      <c r="AD62" s="609">
        <f ca="1">IFERROR(__xludf.DUMMYFUNCTION("IMPORTRANGE(""https://docs.google.com/spreadsheets/d/1SX6NBoVAgQJ6U1MVXOaj8PK2l7WJ3RER9xtqwdhxkhw/edit?usp=sharing"",""นครปฐม!J521"")"),0)</f>
        <v>0</v>
      </c>
    </row>
    <row r="63" spans="1:30" ht="21" customHeight="1">
      <c r="A63" s="303">
        <v>9</v>
      </c>
      <c r="B63" s="304" t="s">
        <v>87</v>
      </c>
      <c r="C63" s="305">
        <f t="shared" ca="1" si="46"/>
        <v>7300</v>
      </c>
      <c r="D63" s="306">
        <f ca="1">IFERROR(__xludf.DUMMYFUNCTION("IMPORTRANGE(""https://docs.google.com/spreadsheets/d/1C3CXT74ZlgGe6_JY_1olB1XN4rF0dxEuIIF-xsYjHgg/edit?usp=sharing"",""งบกองทุน!EV67"")"),0)</f>
        <v>0</v>
      </c>
      <c r="E63" s="306">
        <f ca="1">IFERROR(__xludf.DUMMYFUNCTION("IMPORTRANGE(""https://docs.google.com/spreadsheets/d/1C3CXT74ZlgGe6_JY_1olB1XN4rF0dxEuIIF-xsYjHgg/edit?usp=sharing"",""งบกองทุน!EW67"")"),7300)</f>
        <v>7300</v>
      </c>
      <c r="F63" s="307">
        <f ca="1">IFERROR(__xludf.DUMMYFUNCTION("IMPORTRANGE(""https://docs.google.com/spreadsheets/d/1SX6NBoVAgQJ6U1MVXOaj8PK2l7WJ3RER9xtqwdhxkhw/edit?usp=sharing"",""ปทุมธานี!M492"")"),1460)</f>
        <v>1460</v>
      </c>
      <c r="G63" s="307">
        <f t="shared" ca="1" si="1"/>
        <v>20</v>
      </c>
      <c r="H63" s="638">
        <f t="shared" ca="1" si="47"/>
        <v>100</v>
      </c>
      <c r="I63" s="638">
        <f ca="1">IFERROR(__xludf.DUMMYFUNCTION("IMPORTRANGE(""https://docs.google.com/spreadsheets/d/1C3CXT74ZlgGe6_JY_1olB1XN4rF0dxEuIIF-xsYjHgg/edit?usp=sharing"",""งบกองทุน!EZ67"")"),100)</f>
        <v>100</v>
      </c>
      <c r="J63" s="638">
        <f ca="1">IFERROR(__xludf.DUMMYFUNCTION("IMPORTRANGE(""https://docs.google.com/spreadsheets/d/1C3CXT74ZlgGe6_JY_1olB1XN4rF0dxEuIIF-xsYjHgg/edit?usp=sharing"",""งบกองทุน!FF67"")"),0)</f>
        <v>0</v>
      </c>
      <c r="K63" s="306">
        <f ca="1">IFERROR(__xludf.DUMMYFUNCTION("IMPORTRANGE(""https://docs.google.com/spreadsheets/d/1SX6NBoVAgQJ6U1MVXOaj8PK2l7WJ3RER9xtqwdhxkhw/edit?usp=sharing"",""ปทุมธานี!J507"")"),84)</f>
        <v>84</v>
      </c>
      <c r="L63" s="307">
        <f t="shared" ca="1" si="4"/>
        <v>84</v>
      </c>
      <c r="M63" s="306">
        <f ca="1">IFERROR(__xludf.DUMMYFUNCTION("IMPORTRANGE(""https://docs.google.com/spreadsheets/d/1SX6NBoVAgQJ6U1MVXOaj8PK2l7WJ3RER9xtqwdhxkhw/edit?usp=sharing"",""ปทุมธานี!J508"")"),84)</f>
        <v>84</v>
      </c>
      <c r="N63" s="307">
        <f t="shared" ca="1" si="5"/>
        <v>84</v>
      </c>
      <c r="O63" s="306">
        <f ca="1">IFERROR(__xludf.DUMMYFUNCTION("IMPORTRANGE(""https://docs.google.com/spreadsheets/d/1SX6NBoVAgQJ6U1MVXOaj8PK2l7WJ3RER9xtqwdhxkhw/edit?usp=sharing"",""ปทุมธานี!J509"")"),84)</f>
        <v>84</v>
      </c>
      <c r="P63" s="307">
        <f t="shared" ca="1" si="6"/>
        <v>84</v>
      </c>
      <c r="Q63" s="306">
        <f ca="1">IFERROR(__xludf.DUMMYFUNCTION("IMPORTRANGE(""https://docs.google.com/spreadsheets/d/1SX6NBoVAgQJ6U1MVXOaj8PK2l7WJ3RER9xtqwdhxkhw/edit?usp=sharing"",""ปทุมธานี!J510"")"),84)</f>
        <v>84</v>
      </c>
      <c r="R63" s="307">
        <f t="shared" ca="1" si="7"/>
        <v>84</v>
      </c>
      <c r="S63" s="306">
        <f ca="1">IFERROR(__xludf.DUMMYFUNCTION("IMPORTRANGE(""https://docs.google.com/spreadsheets/d/1SX6NBoVAgQJ6U1MVXOaj8PK2l7WJ3RER9xtqwdhxkhw/edit?usp=sharing"",""ปทุมธานี!J511"")"),0)</f>
        <v>0</v>
      </c>
      <c r="T63" s="307">
        <f t="shared" ca="1" si="8"/>
        <v>0</v>
      </c>
      <c r="U63" s="639">
        <f t="shared" ca="1" si="48"/>
        <v>0</v>
      </c>
      <c r="V63" s="307">
        <f t="shared" ca="1" si="9"/>
        <v>0</v>
      </c>
      <c r="W63" s="639">
        <f ca="1">IFERROR(__xludf.DUMMYFUNCTION("IMPORTRANGE(""https://docs.google.com/spreadsheets/d/1SX6NBoVAgQJ6U1MVXOaj8PK2l7WJ3RER9xtqwdhxkhw/edit?usp=sharing"",""ปทุมธานี!J513"")"),0)</f>
        <v>0</v>
      </c>
      <c r="X63" s="639">
        <f ca="1">IFERROR(__xludf.DUMMYFUNCTION("IMPORTRANGE(""https://docs.google.com/spreadsheets/d/1SX6NBoVAgQJ6U1MVXOaj8PK2l7WJ3RER9xtqwdhxkhw/edit?usp=sharing"",""ปทุมธานี!J514"")"),0)</f>
        <v>0</v>
      </c>
      <c r="Y63" s="306">
        <f t="shared" ca="1" si="49"/>
        <v>0</v>
      </c>
      <c r="Z63" s="307">
        <f t="shared" ca="1" si="11"/>
        <v>0</v>
      </c>
      <c r="AA63" s="306">
        <f ca="1">IFERROR(__xludf.DUMMYFUNCTION("IMPORTRANGE(""https://docs.google.com/spreadsheets/d/1SX6NBoVAgQJ6U1MVXOaj8PK2l7WJ3RER9xtqwdhxkhw/edit?usp=sharing"",""ปทุมธานี!J517"")"),0)</f>
        <v>0</v>
      </c>
      <c r="AB63" s="306">
        <f ca="1">IFERROR(__xludf.DUMMYFUNCTION("IMPORTRANGE(""https://docs.google.com/spreadsheets/d/1SX6NBoVAgQJ6U1MVXOaj8PK2l7WJ3RER9xtqwdhxkhw/edit?usp=sharing"",""ปทุมธานี!J518"")"),0)</f>
        <v>0</v>
      </c>
      <c r="AC63" s="306">
        <f ca="1">IFERROR(__xludf.DUMMYFUNCTION("IMPORTRANGE(""https://docs.google.com/spreadsheets/d/1SX6NBoVAgQJ6U1MVXOaj8PK2l7WJ3RER9xtqwdhxkhw/edit?usp=sharing"",""ปทุมธานี!J520"")"),0)</f>
        <v>0</v>
      </c>
      <c r="AD63" s="609">
        <f ca="1">IFERROR(__xludf.DUMMYFUNCTION("IMPORTRANGE(""https://docs.google.com/spreadsheets/d/1SX6NBoVAgQJ6U1MVXOaj8PK2l7WJ3RER9xtqwdhxkhw/edit?usp=sharing"",""ปทุมธานี!J521"")"),0)</f>
        <v>0</v>
      </c>
    </row>
    <row r="64" spans="1:30" ht="21" customHeight="1">
      <c r="A64" s="303">
        <v>10</v>
      </c>
      <c r="B64" s="304" t="s">
        <v>88</v>
      </c>
      <c r="C64" s="305">
        <f t="shared" ca="1" si="46"/>
        <v>6950</v>
      </c>
      <c r="D64" s="306">
        <f ca="1">IFERROR(__xludf.DUMMYFUNCTION("IMPORTRANGE(""https://docs.google.com/spreadsheets/d/1C3CXT74ZlgGe6_JY_1olB1XN4rF0dxEuIIF-xsYjHgg/edit?usp=sharing"",""งบกองทุน!EV68"")"),0)</f>
        <v>0</v>
      </c>
      <c r="E64" s="306">
        <f ca="1">IFERROR(__xludf.DUMMYFUNCTION("IMPORTRANGE(""https://docs.google.com/spreadsheets/d/1C3CXT74ZlgGe6_JY_1olB1XN4rF0dxEuIIF-xsYjHgg/edit?usp=sharing"",""งบกองทุน!EW68"")"),6950)</f>
        <v>6950</v>
      </c>
      <c r="F64" s="307">
        <f ca="1">IFERROR(__xludf.DUMMYFUNCTION("IMPORTRANGE(""https://docs.google.com/spreadsheets/d/1SX6NBoVAgQJ6U1MVXOaj8PK2l7WJ3RER9xtqwdhxkhw/edit?usp=sharing"",""ประจวบคีรีขันธ์!M492"")"),2930)</f>
        <v>2930</v>
      </c>
      <c r="G64" s="307">
        <f t="shared" ca="1" si="1"/>
        <v>42.158273381294961</v>
      </c>
      <c r="H64" s="638">
        <f t="shared" ca="1" si="47"/>
        <v>50</v>
      </c>
      <c r="I64" s="638">
        <f ca="1">IFERROR(__xludf.DUMMYFUNCTION("IMPORTRANGE(""https://docs.google.com/spreadsheets/d/1C3CXT74ZlgGe6_JY_1olB1XN4rF0dxEuIIF-xsYjHgg/edit?usp=sharing"",""งบกองทุน!EZ68"")"),50)</f>
        <v>50</v>
      </c>
      <c r="J64" s="638">
        <f ca="1">IFERROR(__xludf.DUMMYFUNCTION("IMPORTRANGE(""https://docs.google.com/spreadsheets/d/1C3CXT74ZlgGe6_JY_1olB1XN4rF0dxEuIIF-xsYjHgg/edit?usp=sharing"",""งบกองทุน!FF68"")"),0)</f>
        <v>0</v>
      </c>
      <c r="K64" s="306">
        <f ca="1">IFERROR(__xludf.DUMMYFUNCTION("IMPORTRANGE(""https://docs.google.com/spreadsheets/d/1SX6NBoVAgQJ6U1MVXOaj8PK2l7WJ3RER9xtqwdhxkhw/edit?usp=sharing"",""ประจวบคีรีขันธ์!J507"")"),15)</f>
        <v>15</v>
      </c>
      <c r="L64" s="307">
        <f t="shared" ca="1" si="4"/>
        <v>30</v>
      </c>
      <c r="M64" s="306">
        <f ca="1">IFERROR(__xludf.DUMMYFUNCTION("IMPORTRANGE(""https://docs.google.com/spreadsheets/d/1SX6NBoVAgQJ6U1MVXOaj8PK2l7WJ3RER9xtqwdhxkhw/edit?usp=sharing"",""ประจวบคีรีขันธ์!J508"")"),15)</f>
        <v>15</v>
      </c>
      <c r="N64" s="307">
        <f t="shared" ca="1" si="5"/>
        <v>30</v>
      </c>
      <c r="O64" s="306">
        <f ca="1">IFERROR(__xludf.DUMMYFUNCTION("IMPORTRANGE(""https://docs.google.com/spreadsheets/d/1SX6NBoVAgQJ6U1MVXOaj8PK2l7WJ3RER9xtqwdhxkhw/edit?usp=sharing"",""ประจวบคีรีขันธ์!J509"")"),0)</f>
        <v>0</v>
      </c>
      <c r="P64" s="307">
        <f t="shared" ca="1" si="6"/>
        <v>0</v>
      </c>
      <c r="Q64" s="306">
        <f ca="1">IFERROR(__xludf.DUMMYFUNCTION("IMPORTRANGE(""https://docs.google.com/spreadsheets/d/1SX6NBoVAgQJ6U1MVXOaj8PK2l7WJ3RER9xtqwdhxkhw/edit?usp=sharing"",""ประจวบคีรีขันธ์!J510"")"),0)</f>
        <v>0</v>
      </c>
      <c r="R64" s="307">
        <f t="shared" ca="1" si="7"/>
        <v>0</v>
      </c>
      <c r="S64" s="306">
        <f ca="1">IFERROR(__xludf.DUMMYFUNCTION("IMPORTRANGE(""https://docs.google.com/spreadsheets/d/1SX6NBoVAgQJ6U1MVXOaj8PK2l7WJ3RER9xtqwdhxkhw/edit?usp=sharing"",""ประจวบคีรีขันธ์!J511"")"),0)</f>
        <v>0</v>
      </c>
      <c r="T64" s="307">
        <f t="shared" ca="1" si="8"/>
        <v>0</v>
      </c>
      <c r="U64" s="639">
        <f t="shared" ca="1" si="48"/>
        <v>0</v>
      </c>
      <c r="V64" s="307">
        <f t="shared" ca="1" si="9"/>
        <v>0</v>
      </c>
      <c r="W64" s="639">
        <f ca="1">IFERROR(__xludf.DUMMYFUNCTION("IMPORTRANGE(""https://docs.google.com/spreadsheets/d/1SX6NBoVAgQJ6U1MVXOaj8PK2l7WJ3RER9xtqwdhxkhw/edit?usp=sharing"",""ประจวบคีรีขันธ์!J513"")"),0)</f>
        <v>0</v>
      </c>
      <c r="X64" s="639">
        <f ca="1">IFERROR(__xludf.DUMMYFUNCTION("IMPORTRANGE(""https://docs.google.com/spreadsheets/d/1SX6NBoVAgQJ6U1MVXOaj8PK2l7WJ3RER9xtqwdhxkhw/edit?usp=sharing"",""ประจวบคีรีขันธ์!J514"")"),0)</f>
        <v>0</v>
      </c>
      <c r="Y64" s="306">
        <f t="shared" ca="1" si="49"/>
        <v>0</v>
      </c>
      <c r="Z64" s="307">
        <f t="shared" ca="1" si="11"/>
        <v>0</v>
      </c>
      <c r="AA64" s="306">
        <f ca="1">IFERROR(__xludf.DUMMYFUNCTION("IMPORTRANGE(""https://docs.google.com/spreadsheets/d/1SX6NBoVAgQJ6U1MVXOaj8PK2l7WJ3RER9xtqwdhxkhw/edit?usp=sharing"",""ประจวบคีรีขันธ์!J517"")"),0)</f>
        <v>0</v>
      </c>
      <c r="AB64" s="306">
        <f ca="1">IFERROR(__xludf.DUMMYFUNCTION("IMPORTRANGE(""https://docs.google.com/spreadsheets/d/1SX6NBoVAgQJ6U1MVXOaj8PK2l7WJ3RER9xtqwdhxkhw/edit?usp=sharing"",""ประจวบคีรีขันธ์!J518"")"),0)</f>
        <v>0</v>
      </c>
      <c r="AC64" s="306">
        <f ca="1">IFERROR(__xludf.DUMMYFUNCTION("IMPORTRANGE(""https://docs.google.com/spreadsheets/d/1SX6NBoVAgQJ6U1MVXOaj8PK2l7WJ3RER9xtqwdhxkhw/edit?usp=sharing"",""ประจวบคีรีขันธ์!J520"")"),0)</f>
        <v>0</v>
      </c>
      <c r="AD64" s="609">
        <f ca="1">IFERROR(__xludf.DUMMYFUNCTION("IMPORTRANGE(""https://docs.google.com/spreadsheets/d/1SX6NBoVAgQJ6U1MVXOaj8PK2l7WJ3RER9xtqwdhxkhw/edit?usp=sharing"",""ประจวบคีรีขันธ์!J521"")"),0)</f>
        <v>0</v>
      </c>
    </row>
    <row r="65" spans="1:30" ht="21" customHeight="1">
      <c r="A65" s="303">
        <v>11</v>
      </c>
      <c r="B65" s="304" t="s">
        <v>89</v>
      </c>
      <c r="C65" s="305">
        <f t="shared" ca="1" si="46"/>
        <v>4550</v>
      </c>
      <c r="D65" s="306">
        <f ca="1">IFERROR(__xludf.DUMMYFUNCTION("IMPORTRANGE(""https://docs.google.com/spreadsheets/d/1C3CXT74ZlgGe6_JY_1olB1XN4rF0dxEuIIF-xsYjHgg/edit?usp=sharing"",""งบกองทุน!EV69"")"),0)</f>
        <v>0</v>
      </c>
      <c r="E65" s="306">
        <f ca="1">IFERROR(__xludf.DUMMYFUNCTION("IMPORTRANGE(""https://docs.google.com/spreadsheets/d/1C3CXT74ZlgGe6_JY_1olB1XN4rF0dxEuIIF-xsYjHgg/edit?usp=sharing"",""งบกองทุน!EW69"")"),4550)</f>
        <v>4550</v>
      </c>
      <c r="F65" s="307">
        <f ca="1">IFERROR(__xludf.DUMMYFUNCTION("IMPORTRANGE(""https://docs.google.com/spreadsheets/d/1SX6NBoVAgQJ6U1MVXOaj8PK2l7WJ3RER9xtqwdhxkhw/edit?usp=sharing"",""ปราจีนบุรี!M492"")"),800)</f>
        <v>800</v>
      </c>
      <c r="G65" s="307">
        <f t="shared" ca="1" si="1"/>
        <v>17.582417582417584</v>
      </c>
      <c r="H65" s="638">
        <f t="shared" ca="1" si="47"/>
        <v>50</v>
      </c>
      <c r="I65" s="638">
        <f ca="1">IFERROR(__xludf.DUMMYFUNCTION("IMPORTRANGE(""https://docs.google.com/spreadsheets/d/1C3CXT74ZlgGe6_JY_1olB1XN4rF0dxEuIIF-xsYjHgg/edit?usp=sharing"",""งบกองทุน!EZ69"")"),50)</f>
        <v>50</v>
      </c>
      <c r="J65" s="638">
        <f ca="1">IFERROR(__xludf.DUMMYFUNCTION("IMPORTRANGE(""https://docs.google.com/spreadsheets/d/1C3CXT74ZlgGe6_JY_1olB1XN4rF0dxEuIIF-xsYjHgg/edit?usp=sharing"",""งบกองทุน!FF69"")"),0)</f>
        <v>0</v>
      </c>
      <c r="K65" s="306">
        <f ca="1">IFERROR(__xludf.DUMMYFUNCTION("IMPORTRANGE(""https://docs.google.com/spreadsheets/d/1SX6NBoVAgQJ6U1MVXOaj8PK2l7WJ3RER9xtqwdhxkhw/edit?usp=sharing"",""ปราจีนบุรี!J507"")"),0)</f>
        <v>0</v>
      </c>
      <c r="L65" s="307">
        <f t="shared" ca="1" si="4"/>
        <v>0</v>
      </c>
      <c r="M65" s="306">
        <f ca="1">IFERROR(__xludf.DUMMYFUNCTION("IMPORTRANGE(""https://docs.google.com/spreadsheets/d/1SX6NBoVAgQJ6U1MVXOaj8PK2l7WJ3RER9xtqwdhxkhw/edit?usp=sharing"",""ปราจีนบุรี!J508"")"),0)</f>
        <v>0</v>
      </c>
      <c r="N65" s="307">
        <f t="shared" ca="1" si="5"/>
        <v>0</v>
      </c>
      <c r="O65" s="306">
        <f ca="1">IFERROR(__xludf.DUMMYFUNCTION("IMPORTRANGE(""https://docs.google.com/spreadsheets/d/1SX6NBoVAgQJ6U1MVXOaj8PK2l7WJ3RER9xtqwdhxkhw/edit?usp=sharing"",""ปราจีนบุรี!J509"")"),0)</f>
        <v>0</v>
      </c>
      <c r="P65" s="307">
        <f t="shared" ca="1" si="6"/>
        <v>0</v>
      </c>
      <c r="Q65" s="306">
        <f ca="1">IFERROR(__xludf.DUMMYFUNCTION("IMPORTRANGE(""https://docs.google.com/spreadsheets/d/1SX6NBoVAgQJ6U1MVXOaj8PK2l7WJ3RER9xtqwdhxkhw/edit?usp=sharing"",""ปราจีนบุรี!J510"")"),0)</f>
        <v>0</v>
      </c>
      <c r="R65" s="307">
        <f t="shared" ca="1" si="7"/>
        <v>0</v>
      </c>
      <c r="S65" s="306">
        <f ca="1">IFERROR(__xludf.DUMMYFUNCTION("IMPORTRANGE(""https://docs.google.com/spreadsheets/d/1SX6NBoVAgQJ6U1MVXOaj8PK2l7WJ3RER9xtqwdhxkhw/edit?usp=sharing"",""ปราจีนบุรี!J511"")"),0)</f>
        <v>0</v>
      </c>
      <c r="T65" s="307">
        <f t="shared" ca="1" si="8"/>
        <v>0</v>
      </c>
      <c r="U65" s="639">
        <f t="shared" ca="1" si="48"/>
        <v>0</v>
      </c>
      <c r="V65" s="307">
        <f t="shared" ca="1" si="9"/>
        <v>0</v>
      </c>
      <c r="W65" s="639">
        <f ca="1">IFERROR(__xludf.DUMMYFUNCTION("IMPORTRANGE(""https://docs.google.com/spreadsheets/d/1SX6NBoVAgQJ6U1MVXOaj8PK2l7WJ3RER9xtqwdhxkhw/edit?usp=sharing"",""ปราจีนบุรี!J513"")"),0)</f>
        <v>0</v>
      </c>
      <c r="X65" s="639">
        <f ca="1">IFERROR(__xludf.DUMMYFUNCTION("IMPORTRANGE(""https://docs.google.com/spreadsheets/d/1SX6NBoVAgQJ6U1MVXOaj8PK2l7WJ3RER9xtqwdhxkhw/edit?usp=sharing"",""ปราจีนบุรี!J514"")"),0)</f>
        <v>0</v>
      </c>
      <c r="Y65" s="306">
        <f t="shared" ca="1" si="49"/>
        <v>0</v>
      </c>
      <c r="Z65" s="307">
        <f t="shared" ca="1" si="11"/>
        <v>0</v>
      </c>
      <c r="AA65" s="306">
        <f ca="1">IFERROR(__xludf.DUMMYFUNCTION("IMPORTRANGE(""https://docs.google.com/spreadsheets/d/1SX6NBoVAgQJ6U1MVXOaj8PK2l7WJ3RER9xtqwdhxkhw/edit?usp=sharing"",""ปราจีนบุรี!J517"")"),0)</f>
        <v>0</v>
      </c>
      <c r="AB65" s="306">
        <f ca="1">IFERROR(__xludf.DUMMYFUNCTION("IMPORTRANGE(""https://docs.google.com/spreadsheets/d/1SX6NBoVAgQJ6U1MVXOaj8PK2l7WJ3RER9xtqwdhxkhw/edit?usp=sharing"",""ปราจีนบุรี!J518"")"),0)</f>
        <v>0</v>
      </c>
      <c r="AC65" s="306">
        <f ca="1">IFERROR(__xludf.DUMMYFUNCTION("IMPORTRANGE(""https://docs.google.com/spreadsheets/d/1SX6NBoVAgQJ6U1MVXOaj8PK2l7WJ3RER9xtqwdhxkhw/edit?usp=sharing"",""ปราจีนบุรี!J520"")"),0)</f>
        <v>0</v>
      </c>
      <c r="AD65" s="609">
        <f ca="1">IFERROR(__xludf.DUMMYFUNCTION("IMPORTRANGE(""https://docs.google.com/spreadsheets/d/1SX6NBoVAgQJ6U1MVXOaj8PK2l7WJ3RER9xtqwdhxkhw/edit?usp=sharing"",""ปราจีนบุรี!J521"")"),0)</f>
        <v>0</v>
      </c>
    </row>
    <row r="66" spans="1:30" ht="21" customHeight="1">
      <c r="A66" s="303">
        <v>12</v>
      </c>
      <c r="B66" s="304" t="s">
        <v>90</v>
      </c>
      <c r="C66" s="305">
        <f t="shared" ca="1" si="46"/>
        <v>7300</v>
      </c>
      <c r="D66" s="306">
        <f ca="1">IFERROR(__xludf.DUMMYFUNCTION("IMPORTRANGE(""https://docs.google.com/spreadsheets/d/1C3CXT74ZlgGe6_JY_1olB1XN4rF0dxEuIIF-xsYjHgg/edit?usp=sharing"",""งบกองทุน!EV70"")"),0)</f>
        <v>0</v>
      </c>
      <c r="E66" s="306">
        <f ca="1">IFERROR(__xludf.DUMMYFUNCTION("IMPORTRANGE(""https://docs.google.com/spreadsheets/d/1C3CXT74ZlgGe6_JY_1olB1XN4rF0dxEuIIF-xsYjHgg/edit?usp=sharing"",""งบกองทุน!EW70"")"),7300)</f>
        <v>7300</v>
      </c>
      <c r="F66" s="307">
        <f ca="1">IFERROR(__xludf.DUMMYFUNCTION("IMPORTRANGE(""https://docs.google.com/spreadsheets/d/1SX6NBoVAgQJ6U1MVXOaj8PK2l7WJ3RER9xtqwdhxkhw/edit?usp=sharing"",""พระนครศรีอยุธยา!M492"")"),385.2)</f>
        <v>385.2</v>
      </c>
      <c r="G66" s="307">
        <f t="shared" ca="1" si="1"/>
        <v>5.2767123287671236</v>
      </c>
      <c r="H66" s="638">
        <f t="shared" ca="1" si="47"/>
        <v>100</v>
      </c>
      <c r="I66" s="638">
        <f ca="1">IFERROR(__xludf.DUMMYFUNCTION("IMPORTRANGE(""https://docs.google.com/spreadsheets/d/1C3CXT74ZlgGe6_JY_1olB1XN4rF0dxEuIIF-xsYjHgg/edit?usp=sharing"",""งบกองทุน!EZ70"")"),100)</f>
        <v>100</v>
      </c>
      <c r="J66" s="638">
        <f ca="1">IFERROR(__xludf.DUMMYFUNCTION("IMPORTRANGE(""https://docs.google.com/spreadsheets/d/1C3CXT74ZlgGe6_JY_1olB1XN4rF0dxEuIIF-xsYjHgg/edit?usp=sharing"",""งบกองทุน!FF70"")"),0)</f>
        <v>0</v>
      </c>
      <c r="K66" s="306">
        <f ca="1">IFERROR(__xludf.DUMMYFUNCTION("IMPORTRANGE(""https://docs.google.com/spreadsheets/d/1SX6NBoVAgQJ6U1MVXOaj8PK2l7WJ3RER9xtqwdhxkhw/edit?usp=sharing"",""พระนครศรีอยุธยา!J507"")"),280)</f>
        <v>280</v>
      </c>
      <c r="L66" s="307">
        <f t="shared" ca="1" si="4"/>
        <v>280</v>
      </c>
      <c r="M66" s="306">
        <f ca="1">IFERROR(__xludf.DUMMYFUNCTION("IMPORTRANGE(""https://docs.google.com/spreadsheets/d/1SX6NBoVAgQJ6U1MVXOaj8PK2l7WJ3RER9xtqwdhxkhw/edit?usp=sharing"",""พระนครศรีอยุธยา!J508"")"),280)</f>
        <v>280</v>
      </c>
      <c r="N66" s="307">
        <f t="shared" ca="1" si="5"/>
        <v>280</v>
      </c>
      <c r="O66" s="306">
        <f ca="1">IFERROR(__xludf.DUMMYFUNCTION("IMPORTRANGE(""https://docs.google.com/spreadsheets/d/1SX6NBoVAgQJ6U1MVXOaj8PK2l7WJ3RER9xtqwdhxkhw/edit?usp=sharing"",""พระนครศรีอยุธยา!J509"")"),280)</f>
        <v>280</v>
      </c>
      <c r="P66" s="307">
        <f t="shared" ca="1" si="6"/>
        <v>280</v>
      </c>
      <c r="Q66" s="306">
        <f ca="1">IFERROR(__xludf.DUMMYFUNCTION("IMPORTRANGE(""https://docs.google.com/spreadsheets/d/1SX6NBoVAgQJ6U1MVXOaj8PK2l7WJ3RER9xtqwdhxkhw/edit?usp=sharing"",""พระนครศรีอยุธยา!J510"")"),280)</f>
        <v>280</v>
      </c>
      <c r="R66" s="307">
        <f t="shared" ca="1" si="7"/>
        <v>280</v>
      </c>
      <c r="S66" s="306">
        <f ca="1">IFERROR(__xludf.DUMMYFUNCTION("IMPORTRANGE(""https://docs.google.com/spreadsheets/d/1SX6NBoVAgQJ6U1MVXOaj8PK2l7WJ3RER9xtqwdhxkhw/edit?usp=sharing"",""พระนครศรีอยุธยา!J511"")"),0)</f>
        <v>0</v>
      </c>
      <c r="T66" s="307">
        <f t="shared" ca="1" si="8"/>
        <v>0</v>
      </c>
      <c r="U66" s="639">
        <f t="shared" ca="1" si="48"/>
        <v>0</v>
      </c>
      <c r="V66" s="307">
        <f t="shared" ca="1" si="9"/>
        <v>0</v>
      </c>
      <c r="W66" s="639">
        <f ca="1">IFERROR(__xludf.DUMMYFUNCTION("IMPORTRANGE(""https://docs.google.com/spreadsheets/d/1SX6NBoVAgQJ6U1MVXOaj8PK2l7WJ3RER9xtqwdhxkhw/edit?usp=sharing"",""พระนครศรีอยุธยา!J513"")"),0)</f>
        <v>0</v>
      </c>
      <c r="X66" s="639">
        <f ca="1">IFERROR(__xludf.DUMMYFUNCTION("IMPORTRANGE(""https://docs.google.com/spreadsheets/d/1SX6NBoVAgQJ6U1MVXOaj8PK2l7WJ3RER9xtqwdhxkhw/edit?usp=sharing"",""พระนครศรีอยุธยา!J514"")"),0)</f>
        <v>0</v>
      </c>
      <c r="Y66" s="306">
        <f t="shared" ca="1" si="49"/>
        <v>0</v>
      </c>
      <c r="Z66" s="307">
        <f t="shared" ca="1" si="11"/>
        <v>0</v>
      </c>
      <c r="AA66" s="306">
        <f ca="1">IFERROR(__xludf.DUMMYFUNCTION("IMPORTRANGE(""https://docs.google.com/spreadsheets/d/1SX6NBoVAgQJ6U1MVXOaj8PK2l7WJ3RER9xtqwdhxkhw/edit?usp=sharing"",""พระนครศรีอยุธยา!J517"")"),0)</f>
        <v>0</v>
      </c>
      <c r="AB66" s="306">
        <f ca="1">IFERROR(__xludf.DUMMYFUNCTION("IMPORTRANGE(""https://docs.google.com/spreadsheets/d/1SX6NBoVAgQJ6U1MVXOaj8PK2l7WJ3RER9xtqwdhxkhw/edit?usp=sharing"",""พระนครศรีอยุธยา!J518"")"),0)</f>
        <v>0</v>
      </c>
      <c r="AC66" s="306">
        <f ca="1">IFERROR(__xludf.DUMMYFUNCTION("IMPORTRANGE(""https://docs.google.com/spreadsheets/d/1SX6NBoVAgQJ6U1MVXOaj8PK2l7WJ3RER9xtqwdhxkhw/edit?usp=sharing"",""พระนครศรีอยุธยา!J520"")"),0)</f>
        <v>0</v>
      </c>
      <c r="AD66" s="609">
        <f ca="1">IFERROR(__xludf.DUMMYFUNCTION("IMPORTRANGE(""https://docs.google.com/spreadsheets/d/1SX6NBoVAgQJ6U1MVXOaj8PK2l7WJ3RER9xtqwdhxkhw/edit?usp=sharing"",""พระนครศรีอยุธยา!J521"")"),0)</f>
        <v>0</v>
      </c>
    </row>
    <row r="67" spans="1:30" ht="21" customHeight="1">
      <c r="A67" s="303">
        <v>13</v>
      </c>
      <c r="B67" s="304" t="s">
        <v>91</v>
      </c>
      <c r="C67" s="305">
        <f t="shared" ca="1" si="46"/>
        <v>4550</v>
      </c>
      <c r="D67" s="306">
        <f ca="1">IFERROR(__xludf.DUMMYFUNCTION("IMPORTRANGE(""https://docs.google.com/spreadsheets/d/1C3CXT74ZlgGe6_JY_1olB1XN4rF0dxEuIIF-xsYjHgg/edit?usp=sharing"",""งบกองทุน!EV71"")"),0)</f>
        <v>0</v>
      </c>
      <c r="E67" s="306">
        <f ca="1">IFERROR(__xludf.DUMMYFUNCTION("IMPORTRANGE(""https://docs.google.com/spreadsheets/d/1C3CXT74ZlgGe6_JY_1olB1XN4rF0dxEuIIF-xsYjHgg/edit?usp=sharing"",""งบกองทุน!EW71"")"),4550)</f>
        <v>4550</v>
      </c>
      <c r="F67" s="307">
        <f ca="1">IFERROR(__xludf.DUMMYFUNCTION("IMPORTRANGE(""https://docs.google.com/spreadsheets/d/1SX6NBoVAgQJ6U1MVXOaj8PK2l7WJ3RER9xtqwdhxkhw/edit?usp=sharing"",""เพชรบุรี!M492"")"),950)</f>
        <v>950</v>
      </c>
      <c r="G67" s="307">
        <f t="shared" ca="1" si="1"/>
        <v>20.87912087912088</v>
      </c>
      <c r="H67" s="638">
        <f t="shared" ca="1" si="47"/>
        <v>50</v>
      </c>
      <c r="I67" s="638">
        <f ca="1">IFERROR(__xludf.DUMMYFUNCTION("IMPORTRANGE(""https://docs.google.com/spreadsheets/d/1C3CXT74ZlgGe6_JY_1olB1XN4rF0dxEuIIF-xsYjHgg/edit?usp=sharing"",""งบกองทุน!EZ71"")"),50)</f>
        <v>50</v>
      </c>
      <c r="J67" s="638">
        <f ca="1">IFERROR(__xludf.DUMMYFUNCTION("IMPORTRANGE(""https://docs.google.com/spreadsheets/d/1C3CXT74ZlgGe6_JY_1olB1XN4rF0dxEuIIF-xsYjHgg/edit?usp=sharing"",""งบกองทุน!FF71"")"),0)</f>
        <v>0</v>
      </c>
      <c r="K67" s="306">
        <f ca="1">IFERROR(__xludf.DUMMYFUNCTION("IMPORTRANGE(""https://docs.google.com/spreadsheets/d/1SX6NBoVAgQJ6U1MVXOaj8PK2l7WJ3RER9xtqwdhxkhw/edit?usp=sharing"",""เพชรบุรี!J507"")"),0)</f>
        <v>0</v>
      </c>
      <c r="L67" s="307">
        <f t="shared" ca="1" si="4"/>
        <v>0</v>
      </c>
      <c r="M67" s="306">
        <f ca="1">IFERROR(__xludf.DUMMYFUNCTION("IMPORTRANGE(""https://docs.google.com/spreadsheets/d/1SX6NBoVAgQJ6U1MVXOaj8PK2l7WJ3RER9xtqwdhxkhw/edit?usp=sharing"",""เพชรบุรี!J508"")"),0)</f>
        <v>0</v>
      </c>
      <c r="N67" s="307">
        <f t="shared" ca="1" si="5"/>
        <v>0</v>
      </c>
      <c r="O67" s="306">
        <f ca="1">IFERROR(__xludf.DUMMYFUNCTION("IMPORTRANGE(""https://docs.google.com/spreadsheets/d/1SX6NBoVAgQJ6U1MVXOaj8PK2l7WJ3RER9xtqwdhxkhw/edit?usp=sharing"",""เพชรบุรี!J509"")"),0)</f>
        <v>0</v>
      </c>
      <c r="P67" s="307">
        <f t="shared" ca="1" si="6"/>
        <v>0</v>
      </c>
      <c r="Q67" s="306">
        <f ca="1">IFERROR(__xludf.DUMMYFUNCTION("IMPORTRANGE(""https://docs.google.com/spreadsheets/d/1SX6NBoVAgQJ6U1MVXOaj8PK2l7WJ3RER9xtqwdhxkhw/edit?usp=sharing"",""เพชรบุรี!J510"")"),0)</f>
        <v>0</v>
      </c>
      <c r="R67" s="307">
        <f t="shared" ca="1" si="7"/>
        <v>0</v>
      </c>
      <c r="S67" s="306">
        <f ca="1">IFERROR(__xludf.DUMMYFUNCTION("IMPORTRANGE(""https://docs.google.com/spreadsheets/d/1SX6NBoVAgQJ6U1MVXOaj8PK2l7WJ3RER9xtqwdhxkhw/edit?usp=sharing"",""เพชรบุรี!J511"")"),0)</f>
        <v>0</v>
      </c>
      <c r="T67" s="307">
        <f t="shared" ca="1" si="8"/>
        <v>0</v>
      </c>
      <c r="U67" s="639">
        <f t="shared" ca="1" si="48"/>
        <v>0</v>
      </c>
      <c r="V67" s="307">
        <f t="shared" ca="1" si="9"/>
        <v>0</v>
      </c>
      <c r="W67" s="639">
        <f ca="1">IFERROR(__xludf.DUMMYFUNCTION("IMPORTRANGE(""https://docs.google.com/spreadsheets/d/1SX6NBoVAgQJ6U1MVXOaj8PK2l7WJ3RER9xtqwdhxkhw/edit?usp=sharing"",""เพชรบุรี!J513"")"),0)</f>
        <v>0</v>
      </c>
      <c r="X67" s="639">
        <f ca="1">IFERROR(__xludf.DUMMYFUNCTION("IMPORTRANGE(""https://docs.google.com/spreadsheets/d/1SX6NBoVAgQJ6U1MVXOaj8PK2l7WJ3RER9xtqwdhxkhw/edit?usp=sharing"",""เพชรบุรี!J514"")"),0)</f>
        <v>0</v>
      </c>
      <c r="Y67" s="306">
        <f t="shared" ca="1" si="49"/>
        <v>0</v>
      </c>
      <c r="Z67" s="307">
        <f t="shared" ca="1" si="11"/>
        <v>0</v>
      </c>
      <c r="AA67" s="306">
        <f ca="1">IFERROR(__xludf.DUMMYFUNCTION("IMPORTRANGE(""https://docs.google.com/spreadsheets/d/1SX6NBoVAgQJ6U1MVXOaj8PK2l7WJ3RER9xtqwdhxkhw/edit?usp=sharing"",""เพชรบุรี!J517"")"),0)</f>
        <v>0</v>
      </c>
      <c r="AB67" s="306">
        <f ca="1">IFERROR(__xludf.DUMMYFUNCTION("IMPORTRANGE(""https://docs.google.com/spreadsheets/d/1SX6NBoVAgQJ6U1MVXOaj8PK2l7WJ3RER9xtqwdhxkhw/edit?usp=sharing"",""เพชรบุรี!J518"")"),0)</f>
        <v>0</v>
      </c>
      <c r="AC67" s="306">
        <f ca="1">IFERROR(__xludf.DUMMYFUNCTION("IMPORTRANGE(""https://docs.google.com/spreadsheets/d/1SX6NBoVAgQJ6U1MVXOaj8PK2l7WJ3RER9xtqwdhxkhw/edit?usp=sharing"",""เพชรบุรี!J520"")"),0)</f>
        <v>0</v>
      </c>
      <c r="AD67" s="609">
        <f ca="1">IFERROR(__xludf.DUMMYFUNCTION("IMPORTRANGE(""https://docs.google.com/spreadsheets/d/1SX6NBoVAgQJ6U1MVXOaj8PK2l7WJ3RER9xtqwdhxkhw/edit?usp=sharing"",""เพชรบุรี!J521"")"),0)</f>
        <v>0</v>
      </c>
    </row>
    <row r="68" spans="1:30" ht="21" customHeight="1">
      <c r="A68" s="303">
        <v>14</v>
      </c>
      <c r="B68" s="304" t="s">
        <v>92</v>
      </c>
      <c r="C68" s="305">
        <f t="shared" ca="1" si="46"/>
        <v>4550</v>
      </c>
      <c r="D68" s="306">
        <f ca="1">IFERROR(__xludf.DUMMYFUNCTION("IMPORTRANGE(""https://docs.google.com/spreadsheets/d/1C3CXT74ZlgGe6_JY_1olB1XN4rF0dxEuIIF-xsYjHgg/edit?usp=sharing"",""งบกองทุน!EV72"")"),0)</f>
        <v>0</v>
      </c>
      <c r="E68" s="306">
        <f ca="1">IFERROR(__xludf.DUMMYFUNCTION("IMPORTRANGE(""https://docs.google.com/spreadsheets/d/1C3CXT74ZlgGe6_JY_1olB1XN4rF0dxEuIIF-xsYjHgg/edit?usp=sharing"",""งบกองทุน!EW72"")"),4550)</f>
        <v>4550</v>
      </c>
      <c r="F68" s="307">
        <f ca="1">IFERROR(__xludf.DUMMYFUNCTION("IMPORTRANGE(""https://docs.google.com/spreadsheets/d/1SX6NBoVAgQJ6U1MVXOaj8PK2l7WJ3RER9xtqwdhxkhw/edit?usp=sharing"",""ระยอง!M492"")"),1300)</f>
        <v>1300</v>
      </c>
      <c r="G68" s="307">
        <f t="shared" ca="1" si="1"/>
        <v>28.571428571428573</v>
      </c>
      <c r="H68" s="638">
        <f t="shared" ca="1" si="47"/>
        <v>50</v>
      </c>
      <c r="I68" s="638">
        <f ca="1">IFERROR(__xludf.DUMMYFUNCTION("IMPORTRANGE(""https://docs.google.com/spreadsheets/d/1C3CXT74ZlgGe6_JY_1olB1XN4rF0dxEuIIF-xsYjHgg/edit?usp=sharing"",""งบกองทุน!EZ72"")"),50)</f>
        <v>50</v>
      </c>
      <c r="J68" s="638">
        <f ca="1">IFERROR(__xludf.DUMMYFUNCTION("IMPORTRANGE(""https://docs.google.com/spreadsheets/d/1C3CXT74ZlgGe6_JY_1olB1XN4rF0dxEuIIF-xsYjHgg/edit?usp=sharing"",""งบกองทุน!FF72"")"),0)</f>
        <v>0</v>
      </c>
      <c r="K68" s="306">
        <f ca="1">IFERROR(__xludf.DUMMYFUNCTION("IMPORTRANGE(""https://docs.google.com/spreadsheets/d/1SX6NBoVAgQJ6U1MVXOaj8PK2l7WJ3RER9xtqwdhxkhw/edit?usp=sharing"",""ระยอง!J507"")"),0)</f>
        <v>0</v>
      </c>
      <c r="L68" s="307">
        <f t="shared" ca="1" si="4"/>
        <v>0</v>
      </c>
      <c r="M68" s="306">
        <f ca="1">IFERROR(__xludf.DUMMYFUNCTION("IMPORTRANGE(""https://docs.google.com/spreadsheets/d/1SX6NBoVAgQJ6U1MVXOaj8PK2l7WJ3RER9xtqwdhxkhw/edit?usp=sharing"",""ระยอง!J508"")"),0)</f>
        <v>0</v>
      </c>
      <c r="N68" s="307">
        <f t="shared" ca="1" si="5"/>
        <v>0</v>
      </c>
      <c r="O68" s="306">
        <f ca="1">IFERROR(__xludf.DUMMYFUNCTION("IMPORTRANGE(""https://docs.google.com/spreadsheets/d/1SX6NBoVAgQJ6U1MVXOaj8PK2l7WJ3RER9xtqwdhxkhw/edit?usp=sharing"",""ระยอง!J509"")"),0)</f>
        <v>0</v>
      </c>
      <c r="P68" s="307">
        <f t="shared" ca="1" si="6"/>
        <v>0</v>
      </c>
      <c r="Q68" s="306">
        <f ca="1">IFERROR(__xludf.DUMMYFUNCTION("IMPORTRANGE(""https://docs.google.com/spreadsheets/d/1SX6NBoVAgQJ6U1MVXOaj8PK2l7WJ3RER9xtqwdhxkhw/edit?usp=sharing"",""ระยอง!J510"")"),0)</f>
        <v>0</v>
      </c>
      <c r="R68" s="307">
        <f t="shared" ca="1" si="7"/>
        <v>0</v>
      </c>
      <c r="S68" s="306">
        <f ca="1">IFERROR(__xludf.DUMMYFUNCTION("IMPORTRANGE(""https://docs.google.com/spreadsheets/d/1SX6NBoVAgQJ6U1MVXOaj8PK2l7WJ3RER9xtqwdhxkhw/edit?usp=sharing"",""ระยอง!J511"")"),0)</f>
        <v>0</v>
      </c>
      <c r="T68" s="307">
        <f t="shared" ca="1" si="8"/>
        <v>0</v>
      </c>
      <c r="U68" s="639">
        <f t="shared" ca="1" si="48"/>
        <v>0</v>
      </c>
      <c r="V68" s="307">
        <f t="shared" ca="1" si="9"/>
        <v>0</v>
      </c>
      <c r="W68" s="639">
        <f ca="1">IFERROR(__xludf.DUMMYFUNCTION("IMPORTRANGE(""https://docs.google.com/spreadsheets/d/1SX6NBoVAgQJ6U1MVXOaj8PK2l7WJ3RER9xtqwdhxkhw/edit?usp=sharing"",""ระยอง!J513"")"),0)</f>
        <v>0</v>
      </c>
      <c r="X68" s="639">
        <f ca="1">IFERROR(__xludf.DUMMYFUNCTION("IMPORTRANGE(""https://docs.google.com/spreadsheets/d/1SX6NBoVAgQJ6U1MVXOaj8PK2l7WJ3RER9xtqwdhxkhw/edit?usp=sharing"",""ระยอง!J514"")"),0)</f>
        <v>0</v>
      </c>
      <c r="Y68" s="306">
        <f t="shared" ca="1" si="49"/>
        <v>0</v>
      </c>
      <c r="Z68" s="307">
        <f t="shared" ca="1" si="11"/>
        <v>0</v>
      </c>
      <c r="AA68" s="306">
        <f ca="1">IFERROR(__xludf.DUMMYFUNCTION("IMPORTRANGE(""https://docs.google.com/spreadsheets/d/1SX6NBoVAgQJ6U1MVXOaj8PK2l7WJ3RER9xtqwdhxkhw/edit?usp=sharing"",""ระยอง!J517"")"),0)</f>
        <v>0</v>
      </c>
      <c r="AB68" s="306">
        <f ca="1">IFERROR(__xludf.DUMMYFUNCTION("IMPORTRANGE(""https://docs.google.com/spreadsheets/d/1SX6NBoVAgQJ6U1MVXOaj8PK2l7WJ3RER9xtqwdhxkhw/edit?usp=sharing"",""ระยอง!J518"")"),0)</f>
        <v>0</v>
      </c>
      <c r="AC68" s="306">
        <f ca="1">IFERROR(__xludf.DUMMYFUNCTION("IMPORTRANGE(""https://docs.google.com/spreadsheets/d/1SX6NBoVAgQJ6U1MVXOaj8PK2l7WJ3RER9xtqwdhxkhw/edit?usp=sharing"",""ระยอง!J520"")"),0)</f>
        <v>0</v>
      </c>
      <c r="AD68" s="609">
        <f ca="1">IFERROR(__xludf.DUMMYFUNCTION("IMPORTRANGE(""https://docs.google.com/spreadsheets/d/1SX6NBoVAgQJ6U1MVXOaj8PK2l7WJ3RER9xtqwdhxkhw/edit?usp=sharing"",""ระยอง!J521"")"),0)</f>
        <v>0</v>
      </c>
    </row>
    <row r="69" spans="1:30" ht="21" customHeight="1">
      <c r="A69" s="303">
        <v>15</v>
      </c>
      <c r="B69" s="304" t="s">
        <v>93</v>
      </c>
      <c r="C69" s="305">
        <f t="shared" ca="1" si="46"/>
        <v>5350</v>
      </c>
      <c r="D69" s="306">
        <f ca="1">IFERROR(__xludf.DUMMYFUNCTION("IMPORTRANGE(""https://docs.google.com/spreadsheets/d/1C3CXT74ZlgGe6_JY_1olB1XN4rF0dxEuIIF-xsYjHgg/edit?usp=sharing"",""งบกองทุน!EV73"")"),0)</f>
        <v>0</v>
      </c>
      <c r="E69" s="306">
        <f ca="1">IFERROR(__xludf.DUMMYFUNCTION("IMPORTRANGE(""https://docs.google.com/spreadsheets/d/1C3CXT74ZlgGe6_JY_1olB1XN4rF0dxEuIIF-xsYjHgg/edit?usp=sharing"",""งบกองทุน!EW73"")"),5350)</f>
        <v>5350</v>
      </c>
      <c r="F69" s="307">
        <f ca="1">IFERROR(__xludf.DUMMYFUNCTION("IMPORTRANGE(""https://docs.google.com/spreadsheets/d/1SX6NBoVAgQJ6U1MVXOaj8PK2l7WJ3RER9xtqwdhxkhw/edit?usp=sharing"",""ราชบุรี!M492"")"),300)</f>
        <v>300</v>
      </c>
      <c r="G69" s="307">
        <f t="shared" ca="1" si="1"/>
        <v>5.6074766355140184</v>
      </c>
      <c r="H69" s="638">
        <f t="shared" ca="1" si="47"/>
        <v>50</v>
      </c>
      <c r="I69" s="638">
        <f ca="1">IFERROR(__xludf.DUMMYFUNCTION("IMPORTRANGE(""https://docs.google.com/spreadsheets/d/1C3CXT74ZlgGe6_JY_1olB1XN4rF0dxEuIIF-xsYjHgg/edit?usp=sharing"",""งบกองทุน!EZ73"")"),50)</f>
        <v>50</v>
      </c>
      <c r="J69" s="638">
        <f ca="1">IFERROR(__xludf.DUMMYFUNCTION("IMPORTRANGE(""https://docs.google.com/spreadsheets/d/1C3CXT74ZlgGe6_JY_1olB1XN4rF0dxEuIIF-xsYjHgg/edit?usp=sharing"",""งบกองทุน!FF73"")"),0)</f>
        <v>0</v>
      </c>
      <c r="K69" s="306">
        <f ca="1">IFERROR(__xludf.DUMMYFUNCTION("IMPORTRANGE(""https://docs.google.com/spreadsheets/d/1SX6NBoVAgQJ6U1MVXOaj8PK2l7WJ3RER9xtqwdhxkhw/edit?usp=sharing"",""ราชบุรี!J507"")"),0)</f>
        <v>0</v>
      </c>
      <c r="L69" s="307">
        <f t="shared" ca="1" si="4"/>
        <v>0</v>
      </c>
      <c r="M69" s="306">
        <f ca="1">IFERROR(__xludf.DUMMYFUNCTION("IMPORTRANGE(""https://docs.google.com/spreadsheets/d/1SX6NBoVAgQJ6U1MVXOaj8PK2l7WJ3RER9xtqwdhxkhw/edit?usp=sharing"",""ราชบุรี!J508"")"),0)</f>
        <v>0</v>
      </c>
      <c r="N69" s="307">
        <f t="shared" ca="1" si="5"/>
        <v>0</v>
      </c>
      <c r="O69" s="306">
        <f ca="1">IFERROR(__xludf.DUMMYFUNCTION("IMPORTRANGE(""https://docs.google.com/spreadsheets/d/1SX6NBoVAgQJ6U1MVXOaj8PK2l7WJ3RER9xtqwdhxkhw/edit?usp=sharing"",""ราชบุรี!J509"")"),0)</f>
        <v>0</v>
      </c>
      <c r="P69" s="307">
        <f t="shared" ca="1" si="6"/>
        <v>0</v>
      </c>
      <c r="Q69" s="306">
        <f ca="1">IFERROR(__xludf.DUMMYFUNCTION("IMPORTRANGE(""https://docs.google.com/spreadsheets/d/1SX6NBoVAgQJ6U1MVXOaj8PK2l7WJ3RER9xtqwdhxkhw/edit?usp=sharing"",""ราชบุรี!J510"")"),0)</f>
        <v>0</v>
      </c>
      <c r="R69" s="307">
        <f t="shared" ca="1" si="7"/>
        <v>0</v>
      </c>
      <c r="S69" s="306">
        <f ca="1">IFERROR(__xludf.DUMMYFUNCTION("IMPORTRANGE(""https://docs.google.com/spreadsheets/d/1SX6NBoVAgQJ6U1MVXOaj8PK2l7WJ3RER9xtqwdhxkhw/edit?usp=sharing"",""ราชบุรี!J511"")"),0)</f>
        <v>0</v>
      </c>
      <c r="T69" s="307">
        <f t="shared" ca="1" si="8"/>
        <v>0</v>
      </c>
      <c r="U69" s="639">
        <f t="shared" ca="1" si="48"/>
        <v>0</v>
      </c>
      <c r="V69" s="307">
        <f t="shared" ca="1" si="9"/>
        <v>0</v>
      </c>
      <c r="W69" s="639">
        <f ca="1">IFERROR(__xludf.DUMMYFUNCTION("IMPORTRANGE(""https://docs.google.com/spreadsheets/d/1SX6NBoVAgQJ6U1MVXOaj8PK2l7WJ3RER9xtqwdhxkhw/edit?usp=sharing"",""ราชบุรี!J513"")"),0)</f>
        <v>0</v>
      </c>
      <c r="X69" s="639">
        <f ca="1">IFERROR(__xludf.DUMMYFUNCTION("IMPORTRANGE(""https://docs.google.com/spreadsheets/d/1SX6NBoVAgQJ6U1MVXOaj8PK2l7WJ3RER9xtqwdhxkhw/edit?usp=sharing"",""ราชบุรี!J514"")"),0)</f>
        <v>0</v>
      </c>
      <c r="Y69" s="306">
        <f t="shared" ca="1" si="49"/>
        <v>0</v>
      </c>
      <c r="Z69" s="307">
        <f t="shared" ca="1" si="11"/>
        <v>0</v>
      </c>
      <c r="AA69" s="306">
        <f ca="1">IFERROR(__xludf.DUMMYFUNCTION("IMPORTRANGE(""https://docs.google.com/spreadsheets/d/1SX6NBoVAgQJ6U1MVXOaj8PK2l7WJ3RER9xtqwdhxkhw/edit?usp=sharing"",""ราชบุรี!J517"")"),0)</f>
        <v>0</v>
      </c>
      <c r="AB69" s="306">
        <f ca="1">IFERROR(__xludf.DUMMYFUNCTION("IMPORTRANGE(""https://docs.google.com/spreadsheets/d/1SX6NBoVAgQJ6U1MVXOaj8PK2l7WJ3RER9xtqwdhxkhw/edit?usp=sharing"",""ราชบุรี!J518"")"),0)</f>
        <v>0</v>
      </c>
      <c r="AC69" s="306">
        <f ca="1">IFERROR(__xludf.DUMMYFUNCTION("IMPORTRANGE(""https://docs.google.com/spreadsheets/d/1SX6NBoVAgQJ6U1MVXOaj8PK2l7WJ3RER9xtqwdhxkhw/edit?usp=sharing"",""ราชบุรี!J520"")"),0)</f>
        <v>0</v>
      </c>
      <c r="AD69" s="609">
        <f ca="1">IFERROR(__xludf.DUMMYFUNCTION("IMPORTRANGE(""https://docs.google.com/spreadsheets/d/1SX6NBoVAgQJ6U1MVXOaj8PK2l7WJ3RER9xtqwdhxkhw/edit?usp=sharing"",""ราชบุรี!J521"")"),0)</f>
        <v>0</v>
      </c>
    </row>
    <row r="70" spans="1:30" ht="24" customHeight="1">
      <c r="A70" s="303">
        <v>16</v>
      </c>
      <c r="B70" s="304" t="s">
        <v>94</v>
      </c>
      <c r="C70" s="305">
        <f t="shared" ca="1" si="46"/>
        <v>8900</v>
      </c>
      <c r="D70" s="306">
        <f ca="1">IFERROR(__xludf.DUMMYFUNCTION("IMPORTRANGE(""https://docs.google.com/spreadsheets/d/1C3CXT74ZlgGe6_JY_1olB1XN4rF0dxEuIIF-xsYjHgg/edit?usp=sharing"",""งบกองทุน!EV74"")"),0)</f>
        <v>0</v>
      </c>
      <c r="E70" s="306">
        <f ca="1">IFERROR(__xludf.DUMMYFUNCTION("IMPORTRANGE(""https://docs.google.com/spreadsheets/d/1C3CXT74ZlgGe6_JY_1olB1XN4rF0dxEuIIF-xsYjHgg/edit?usp=sharing"",""งบกองทุน!EW74"")"),8900)</f>
        <v>8900</v>
      </c>
      <c r="F70" s="307">
        <f ca="1">IFERROR(__xludf.DUMMYFUNCTION("IMPORTRANGE(""https://docs.google.com/spreadsheets/d/1SX6NBoVAgQJ6U1MVXOaj8PK2l7WJ3RER9xtqwdhxkhw/edit?usp=sharing"",""ลพบุรี!M492"")"),648)</f>
        <v>648</v>
      </c>
      <c r="G70" s="307">
        <f t="shared" ca="1" si="1"/>
        <v>7.2808988764044944</v>
      </c>
      <c r="H70" s="638">
        <f t="shared" ca="1" si="47"/>
        <v>860</v>
      </c>
      <c r="I70" s="638">
        <f ca="1">IFERROR(__xludf.DUMMYFUNCTION("IMPORTRANGE(""https://docs.google.com/spreadsheets/d/1C3CXT74ZlgGe6_JY_1olB1XN4rF0dxEuIIF-xsYjHgg/edit?usp=sharing"",""งบกองทุน!EZ74"")"),100)</f>
        <v>100</v>
      </c>
      <c r="J70" s="638">
        <f ca="1">IFERROR(__xludf.DUMMYFUNCTION("IMPORTRANGE(""https://docs.google.com/spreadsheets/d/1C3CXT74ZlgGe6_JY_1olB1XN4rF0dxEuIIF-xsYjHgg/edit?usp=sharing"",""งบกองทุน!FF74"")"),760)</f>
        <v>760</v>
      </c>
      <c r="K70" s="306">
        <f ca="1">IFERROR(__xludf.DUMMYFUNCTION("IMPORTRANGE(""https://docs.google.com/spreadsheets/d/1SX6NBoVAgQJ6U1MVXOaj8PK2l7WJ3RER9xtqwdhxkhw/edit?usp=sharing"",""ลพบุรี!J507"")"),0)</f>
        <v>0</v>
      </c>
      <c r="L70" s="307">
        <f t="shared" ca="1" si="4"/>
        <v>0</v>
      </c>
      <c r="M70" s="306">
        <f ca="1">IFERROR(__xludf.DUMMYFUNCTION("IMPORTRANGE(""https://docs.google.com/spreadsheets/d/1SX6NBoVAgQJ6U1MVXOaj8PK2l7WJ3RER9xtqwdhxkhw/edit?usp=sharing"",""ลพบุรี!J508"")"),0)</f>
        <v>0</v>
      </c>
      <c r="N70" s="307">
        <f t="shared" ca="1" si="5"/>
        <v>0</v>
      </c>
      <c r="O70" s="306">
        <f ca="1">IFERROR(__xludf.DUMMYFUNCTION("IMPORTRANGE(""https://docs.google.com/spreadsheets/d/1SX6NBoVAgQJ6U1MVXOaj8PK2l7WJ3RER9xtqwdhxkhw/edit?usp=sharing"",""ลพบุรี!J509"")"),0)</f>
        <v>0</v>
      </c>
      <c r="P70" s="307">
        <f t="shared" ca="1" si="6"/>
        <v>0</v>
      </c>
      <c r="Q70" s="306">
        <f ca="1">IFERROR(__xludf.DUMMYFUNCTION("IMPORTRANGE(""https://docs.google.com/spreadsheets/d/1SX6NBoVAgQJ6U1MVXOaj8PK2l7WJ3RER9xtqwdhxkhw/edit?usp=sharing"",""ลพบุรี!J510"")"),0)</f>
        <v>0</v>
      </c>
      <c r="R70" s="307">
        <f t="shared" ca="1" si="7"/>
        <v>0</v>
      </c>
      <c r="S70" s="306">
        <f ca="1">IFERROR(__xludf.DUMMYFUNCTION("IMPORTRANGE(""https://docs.google.com/spreadsheets/d/1SX6NBoVAgQJ6U1MVXOaj8PK2l7WJ3RER9xtqwdhxkhw/edit?usp=sharing"",""ลพบุรี!J511"")"),0)</f>
        <v>0</v>
      </c>
      <c r="T70" s="307">
        <f t="shared" ca="1" si="8"/>
        <v>0</v>
      </c>
      <c r="U70" s="639">
        <f t="shared" ca="1" si="48"/>
        <v>0</v>
      </c>
      <c r="V70" s="307">
        <f t="shared" ca="1" si="9"/>
        <v>0</v>
      </c>
      <c r="W70" s="639">
        <f ca="1">IFERROR(__xludf.DUMMYFUNCTION("IMPORTRANGE(""https://docs.google.com/spreadsheets/d/1SX6NBoVAgQJ6U1MVXOaj8PK2l7WJ3RER9xtqwdhxkhw/edit?usp=sharing"",""ลพบุรี!J513"")"),0)</f>
        <v>0</v>
      </c>
      <c r="X70" s="639">
        <f ca="1">IFERROR(__xludf.DUMMYFUNCTION("IMPORTRANGE(""https://docs.google.com/spreadsheets/d/1SX6NBoVAgQJ6U1MVXOaj8PK2l7WJ3RER9xtqwdhxkhw/edit?usp=sharing"",""ลพบุรี!J514"")"),0)</f>
        <v>0</v>
      </c>
      <c r="Y70" s="306">
        <f t="shared" ca="1" si="49"/>
        <v>0</v>
      </c>
      <c r="Z70" s="307">
        <f t="shared" ca="1" si="11"/>
        <v>0</v>
      </c>
      <c r="AA70" s="306">
        <f ca="1">IFERROR(__xludf.DUMMYFUNCTION("IMPORTRANGE(""https://docs.google.com/spreadsheets/d/1SX6NBoVAgQJ6U1MVXOaj8PK2l7WJ3RER9xtqwdhxkhw/edit?usp=sharing"",""ลพบุรี!J517"")"),0)</f>
        <v>0</v>
      </c>
      <c r="AB70" s="306">
        <f ca="1">IFERROR(__xludf.DUMMYFUNCTION("IMPORTRANGE(""https://docs.google.com/spreadsheets/d/1SX6NBoVAgQJ6U1MVXOaj8PK2l7WJ3RER9xtqwdhxkhw/edit?usp=sharing"",""ลพบุรี!J518"")"),0)</f>
        <v>0</v>
      </c>
      <c r="AC70" s="306">
        <f ca="1">IFERROR(__xludf.DUMMYFUNCTION("IMPORTRANGE(""https://docs.google.com/spreadsheets/d/1SX6NBoVAgQJ6U1MVXOaj8PK2l7WJ3RER9xtqwdhxkhw/edit?usp=sharing"",""ลพบุรี!J520"")"),0)</f>
        <v>0</v>
      </c>
      <c r="AD70" s="609">
        <f ca="1">IFERROR(__xludf.DUMMYFUNCTION("IMPORTRANGE(""https://docs.google.com/spreadsheets/d/1SX6NBoVAgQJ6U1MVXOaj8PK2l7WJ3RER9xtqwdhxkhw/edit?usp=sharing"",""ลพบุรี!J521"")"),0)</f>
        <v>0</v>
      </c>
    </row>
    <row r="71" spans="1:30" ht="21" customHeight="1">
      <c r="A71" s="303">
        <v>17</v>
      </c>
      <c r="B71" s="304" t="s">
        <v>95</v>
      </c>
      <c r="C71" s="305">
        <f t="shared" ca="1" si="46"/>
        <v>12900</v>
      </c>
      <c r="D71" s="306">
        <f ca="1">IFERROR(__xludf.DUMMYFUNCTION("IMPORTRANGE(""https://docs.google.com/spreadsheets/d/1C3CXT74ZlgGe6_JY_1olB1XN4rF0dxEuIIF-xsYjHgg/edit?usp=sharing"",""งบกองทุน!EV75"")"),0)</f>
        <v>0</v>
      </c>
      <c r="E71" s="306">
        <f ca="1">IFERROR(__xludf.DUMMYFUNCTION("IMPORTRANGE(""https://docs.google.com/spreadsheets/d/1C3CXT74ZlgGe6_JY_1olB1XN4rF0dxEuIIF-xsYjHgg/edit?usp=sharing"",""งบกองทุน!EW75"")"),12900)</f>
        <v>12900</v>
      </c>
      <c r="F71" s="307">
        <f ca="1">IFERROR(__xludf.DUMMYFUNCTION("IMPORTRANGE(""https://docs.google.com/spreadsheets/d/1SX6NBoVAgQJ6U1MVXOaj8PK2l7WJ3RER9xtqwdhxkhw/edit?usp=sharing"",""สระแก้ว!M492"")"),7400)</f>
        <v>7400</v>
      </c>
      <c r="G71" s="307">
        <f t="shared" ca="1" si="1"/>
        <v>57.36434108527132</v>
      </c>
      <c r="H71" s="638">
        <f t="shared" ca="1" si="47"/>
        <v>100</v>
      </c>
      <c r="I71" s="638">
        <f ca="1">IFERROR(__xludf.DUMMYFUNCTION("IMPORTRANGE(""https://docs.google.com/spreadsheets/d/1C3CXT74ZlgGe6_JY_1olB1XN4rF0dxEuIIF-xsYjHgg/edit?usp=sharing"",""งบกองทุน!EZ75"")"),100)</f>
        <v>100</v>
      </c>
      <c r="J71" s="638">
        <f ca="1">IFERROR(__xludf.DUMMYFUNCTION("IMPORTRANGE(""https://docs.google.com/spreadsheets/d/1C3CXT74ZlgGe6_JY_1olB1XN4rF0dxEuIIF-xsYjHgg/edit?usp=sharing"",""งบกองทุน!FF75"")"),0)</f>
        <v>0</v>
      </c>
      <c r="K71" s="306">
        <f ca="1">IFERROR(__xludf.DUMMYFUNCTION("IMPORTRANGE(""https://docs.google.com/spreadsheets/d/1SX6NBoVAgQJ6U1MVXOaj8PK2l7WJ3RER9xtqwdhxkhw/edit?usp=sharing"",""สระแก้ว!J507"")"),199)</f>
        <v>199</v>
      </c>
      <c r="L71" s="307">
        <f t="shared" ca="1" si="4"/>
        <v>199</v>
      </c>
      <c r="M71" s="306">
        <f ca="1">IFERROR(__xludf.DUMMYFUNCTION("IMPORTRANGE(""https://docs.google.com/spreadsheets/d/1SX6NBoVAgQJ6U1MVXOaj8PK2l7WJ3RER9xtqwdhxkhw/edit?usp=sharing"",""สระแก้ว!J508"")"),199)</f>
        <v>199</v>
      </c>
      <c r="N71" s="307">
        <f t="shared" ca="1" si="5"/>
        <v>199</v>
      </c>
      <c r="O71" s="306">
        <f ca="1">IFERROR(__xludf.DUMMYFUNCTION("IMPORTRANGE(""https://docs.google.com/spreadsheets/d/1SX6NBoVAgQJ6U1MVXOaj8PK2l7WJ3RER9xtqwdhxkhw/edit?usp=sharing"",""สระแก้ว!J509"")"),199)</f>
        <v>199</v>
      </c>
      <c r="P71" s="307">
        <f t="shared" ca="1" si="6"/>
        <v>199</v>
      </c>
      <c r="Q71" s="306">
        <f ca="1">IFERROR(__xludf.DUMMYFUNCTION("IMPORTRANGE(""https://docs.google.com/spreadsheets/d/1SX6NBoVAgQJ6U1MVXOaj8PK2l7WJ3RER9xtqwdhxkhw/edit?usp=sharing"",""สระแก้ว!J510"")"),199)</f>
        <v>199</v>
      </c>
      <c r="R71" s="307">
        <f t="shared" ca="1" si="7"/>
        <v>199</v>
      </c>
      <c r="S71" s="306">
        <f ca="1">IFERROR(__xludf.DUMMYFUNCTION("IMPORTRANGE(""https://docs.google.com/spreadsheets/d/1SX6NBoVAgQJ6U1MVXOaj8PK2l7WJ3RER9xtqwdhxkhw/edit?usp=sharing"",""สระแก้ว!J511"")"),0)</f>
        <v>0</v>
      </c>
      <c r="T71" s="307">
        <f t="shared" ca="1" si="8"/>
        <v>0</v>
      </c>
      <c r="U71" s="639">
        <f t="shared" ca="1" si="48"/>
        <v>0</v>
      </c>
      <c r="V71" s="307">
        <f t="shared" ca="1" si="9"/>
        <v>0</v>
      </c>
      <c r="W71" s="639">
        <f ca="1">IFERROR(__xludf.DUMMYFUNCTION("IMPORTRANGE(""https://docs.google.com/spreadsheets/d/1SX6NBoVAgQJ6U1MVXOaj8PK2l7WJ3RER9xtqwdhxkhw/edit?usp=sharing"",""สระแก้ว!J513"")"),0)</f>
        <v>0</v>
      </c>
      <c r="X71" s="639">
        <f ca="1">IFERROR(__xludf.DUMMYFUNCTION("IMPORTRANGE(""https://docs.google.com/spreadsheets/d/1SX6NBoVAgQJ6U1MVXOaj8PK2l7WJ3RER9xtqwdhxkhw/edit?usp=sharing"",""สระแก้ว!J514"")"),0)</f>
        <v>0</v>
      </c>
      <c r="Y71" s="306">
        <f t="shared" ca="1" si="49"/>
        <v>0</v>
      </c>
      <c r="Z71" s="307">
        <f t="shared" ca="1" si="11"/>
        <v>0</v>
      </c>
      <c r="AA71" s="306">
        <f ca="1">IFERROR(__xludf.DUMMYFUNCTION("IMPORTRANGE(""https://docs.google.com/spreadsheets/d/1SX6NBoVAgQJ6U1MVXOaj8PK2l7WJ3RER9xtqwdhxkhw/edit?usp=sharing"",""สระแก้ว!J517"")"),0)</f>
        <v>0</v>
      </c>
      <c r="AB71" s="306">
        <f ca="1">IFERROR(__xludf.DUMMYFUNCTION("IMPORTRANGE(""https://docs.google.com/spreadsheets/d/1SX6NBoVAgQJ6U1MVXOaj8PK2l7WJ3RER9xtqwdhxkhw/edit?usp=sharing"",""สระแก้ว!J518"")"),0)</f>
        <v>0</v>
      </c>
      <c r="AC71" s="306">
        <f ca="1">IFERROR(__xludf.DUMMYFUNCTION("IMPORTRANGE(""https://docs.google.com/spreadsheets/d/1SX6NBoVAgQJ6U1MVXOaj8PK2l7WJ3RER9xtqwdhxkhw/edit?usp=sharing"",""สระแก้ว!J520"")"),0)</f>
        <v>0</v>
      </c>
      <c r="AD71" s="609">
        <f ca="1">IFERROR(__xludf.DUMMYFUNCTION("IMPORTRANGE(""https://docs.google.com/spreadsheets/d/1SX6NBoVAgQJ6U1MVXOaj8PK2l7WJ3RER9xtqwdhxkhw/edit?usp=sharing"",""สระแก้ว!J521"")"),0)</f>
        <v>0</v>
      </c>
    </row>
    <row r="72" spans="1:30" ht="21" customHeight="1">
      <c r="A72" s="303">
        <v>18</v>
      </c>
      <c r="B72" s="304" t="s">
        <v>96</v>
      </c>
      <c r="C72" s="305">
        <f t="shared" ca="1" si="46"/>
        <v>4550</v>
      </c>
      <c r="D72" s="306">
        <f ca="1">IFERROR(__xludf.DUMMYFUNCTION("IMPORTRANGE(""https://docs.google.com/spreadsheets/d/1C3CXT74ZlgGe6_JY_1olB1XN4rF0dxEuIIF-xsYjHgg/edit?usp=sharing"",""งบกองทุน!EV76"")"),0)</f>
        <v>0</v>
      </c>
      <c r="E72" s="306">
        <f ca="1">IFERROR(__xludf.DUMMYFUNCTION("IMPORTRANGE(""https://docs.google.com/spreadsheets/d/1C3CXT74ZlgGe6_JY_1olB1XN4rF0dxEuIIF-xsYjHgg/edit?usp=sharing"",""งบกองทุน!EW76"")"),4550)</f>
        <v>4550</v>
      </c>
      <c r="F72" s="307">
        <f ca="1">IFERROR(__xludf.DUMMYFUNCTION("IMPORTRANGE(""https://docs.google.com/spreadsheets/d/1SX6NBoVAgQJ6U1MVXOaj8PK2l7WJ3RER9xtqwdhxkhw/edit?usp=sharing"",""สระบุรี!M492"")"),720)</f>
        <v>720</v>
      </c>
      <c r="G72" s="307">
        <f t="shared" ca="1" si="1"/>
        <v>15.824175824175825</v>
      </c>
      <c r="H72" s="638">
        <f t="shared" ca="1" si="47"/>
        <v>50</v>
      </c>
      <c r="I72" s="638">
        <f ca="1">IFERROR(__xludf.DUMMYFUNCTION("IMPORTRANGE(""https://docs.google.com/spreadsheets/d/1C3CXT74ZlgGe6_JY_1olB1XN4rF0dxEuIIF-xsYjHgg/edit?usp=sharing"",""งบกองทุน!EZ76"")"),50)</f>
        <v>50</v>
      </c>
      <c r="J72" s="638">
        <f ca="1">IFERROR(__xludf.DUMMYFUNCTION("IMPORTRANGE(""https://docs.google.com/spreadsheets/d/1C3CXT74ZlgGe6_JY_1olB1XN4rF0dxEuIIF-xsYjHgg/edit?usp=sharing"",""งบกองทุน!FF76"")"),0)</f>
        <v>0</v>
      </c>
      <c r="K72" s="306">
        <f ca="1">IFERROR(__xludf.DUMMYFUNCTION("IMPORTRANGE(""https://docs.google.com/spreadsheets/d/1SX6NBoVAgQJ6U1MVXOaj8PK2l7WJ3RER9xtqwdhxkhw/edit?usp=sharing"",""สระบุรี!J507"")"),0)</f>
        <v>0</v>
      </c>
      <c r="L72" s="307">
        <f t="shared" ca="1" si="4"/>
        <v>0</v>
      </c>
      <c r="M72" s="306">
        <f ca="1">IFERROR(__xludf.DUMMYFUNCTION("IMPORTRANGE(""https://docs.google.com/spreadsheets/d/1SX6NBoVAgQJ6U1MVXOaj8PK2l7WJ3RER9xtqwdhxkhw/edit?usp=sharing"",""สระบุรี!J508"")"),0)</f>
        <v>0</v>
      </c>
      <c r="N72" s="307">
        <f t="shared" ca="1" si="5"/>
        <v>0</v>
      </c>
      <c r="O72" s="306">
        <f ca="1">IFERROR(__xludf.DUMMYFUNCTION("IMPORTRANGE(""https://docs.google.com/spreadsheets/d/1SX6NBoVAgQJ6U1MVXOaj8PK2l7WJ3RER9xtqwdhxkhw/edit?usp=sharing"",""สระบุรี!J509"")"),0)</f>
        <v>0</v>
      </c>
      <c r="P72" s="307">
        <f t="shared" ca="1" si="6"/>
        <v>0</v>
      </c>
      <c r="Q72" s="306">
        <f ca="1">IFERROR(__xludf.DUMMYFUNCTION("IMPORTRANGE(""https://docs.google.com/spreadsheets/d/1SX6NBoVAgQJ6U1MVXOaj8PK2l7WJ3RER9xtqwdhxkhw/edit?usp=sharing"",""สระบุรี!J510"")"),0)</f>
        <v>0</v>
      </c>
      <c r="R72" s="307">
        <f t="shared" ca="1" si="7"/>
        <v>0</v>
      </c>
      <c r="S72" s="306">
        <f ca="1">IFERROR(__xludf.DUMMYFUNCTION("IMPORTRANGE(""https://docs.google.com/spreadsheets/d/1SX6NBoVAgQJ6U1MVXOaj8PK2l7WJ3RER9xtqwdhxkhw/edit?usp=sharing"",""สระบุรี!J511"")"),0)</f>
        <v>0</v>
      </c>
      <c r="T72" s="307">
        <f t="shared" ca="1" si="8"/>
        <v>0</v>
      </c>
      <c r="U72" s="639">
        <f t="shared" ca="1" si="48"/>
        <v>0</v>
      </c>
      <c r="V72" s="307">
        <f t="shared" ca="1" si="9"/>
        <v>0</v>
      </c>
      <c r="W72" s="639">
        <f ca="1">IFERROR(__xludf.DUMMYFUNCTION("IMPORTRANGE(""https://docs.google.com/spreadsheets/d/1SX6NBoVAgQJ6U1MVXOaj8PK2l7WJ3RER9xtqwdhxkhw/edit?usp=sharing"",""สระบุรี!J513"")"),0)</f>
        <v>0</v>
      </c>
      <c r="X72" s="639">
        <f ca="1">IFERROR(__xludf.DUMMYFUNCTION("IMPORTRANGE(""https://docs.google.com/spreadsheets/d/1SX6NBoVAgQJ6U1MVXOaj8PK2l7WJ3RER9xtqwdhxkhw/edit?usp=sharing"",""สระบุรี!J514"")"),0)</f>
        <v>0</v>
      </c>
      <c r="Y72" s="306">
        <f t="shared" ca="1" si="49"/>
        <v>0</v>
      </c>
      <c r="Z72" s="307">
        <f t="shared" ca="1" si="11"/>
        <v>0</v>
      </c>
      <c r="AA72" s="306">
        <f ca="1">IFERROR(__xludf.DUMMYFUNCTION("IMPORTRANGE(""https://docs.google.com/spreadsheets/d/1SX6NBoVAgQJ6U1MVXOaj8PK2l7WJ3RER9xtqwdhxkhw/edit?usp=sharing"",""สระบุรี!J517"")"),0)</f>
        <v>0</v>
      </c>
      <c r="AB72" s="306">
        <f ca="1">IFERROR(__xludf.DUMMYFUNCTION("IMPORTRANGE(""https://docs.google.com/spreadsheets/d/1SX6NBoVAgQJ6U1MVXOaj8PK2l7WJ3RER9xtqwdhxkhw/edit?usp=sharing"",""สระบุรี!J518"")"),0)</f>
        <v>0</v>
      </c>
      <c r="AC72" s="306">
        <f ca="1">IFERROR(__xludf.DUMMYFUNCTION("IMPORTRANGE(""https://docs.google.com/spreadsheets/d/1SX6NBoVAgQJ6U1MVXOaj8PK2l7WJ3RER9xtqwdhxkhw/edit?usp=sharing"",""สระบุรี!J520"")"),0)</f>
        <v>0</v>
      </c>
      <c r="AD72" s="609">
        <f ca="1">IFERROR(__xludf.DUMMYFUNCTION("IMPORTRANGE(""https://docs.google.com/spreadsheets/d/1SX6NBoVAgQJ6U1MVXOaj8PK2l7WJ3RER9xtqwdhxkhw/edit?usp=sharing"",""สระบุรี!J521"")"),0)</f>
        <v>0</v>
      </c>
    </row>
    <row r="73" spans="1:30" ht="21" customHeight="1">
      <c r="A73" s="303">
        <v>19</v>
      </c>
      <c r="B73" s="304" t="s">
        <v>97</v>
      </c>
      <c r="C73" s="305">
        <f t="shared" ca="1" si="46"/>
        <v>7300</v>
      </c>
      <c r="D73" s="306">
        <f ca="1">IFERROR(__xludf.DUMMYFUNCTION("IMPORTRANGE(""https://docs.google.com/spreadsheets/d/1C3CXT74ZlgGe6_JY_1olB1XN4rF0dxEuIIF-xsYjHgg/edit?usp=sharing"",""งบกองทุน!EV77"")"),0)</f>
        <v>0</v>
      </c>
      <c r="E73" s="306">
        <f ca="1">IFERROR(__xludf.DUMMYFUNCTION("IMPORTRANGE(""https://docs.google.com/spreadsheets/d/1C3CXT74ZlgGe6_JY_1olB1XN4rF0dxEuIIF-xsYjHgg/edit?usp=sharing"",""งบกองทุน!EW77"")"),7300)</f>
        <v>7300</v>
      </c>
      <c r="F73" s="307">
        <f ca="1">IFERROR(__xludf.DUMMYFUNCTION("IMPORTRANGE(""https://docs.google.com/spreadsheets/d/1SX6NBoVAgQJ6U1MVXOaj8PK2l7WJ3RER9xtqwdhxkhw/edit?usp=sharing"",""สิงห์บุรี!M492"")"),4300)</f>
        <v>4300</v>
      </c>
      <c r="G73" s="307">
        <f t="shared" ca="1" si="1"/>
        <v>58.904109589041099</v>
      </c>
      <c r="H73" s="638">
        <f t="shared" ca="1" si="47"/>
        <v>1025</v>
      </c>
      <c r="I73" s="638">
        <f ca="1">IFERROR(__xludf.DUMMYFUNCTION("IMPORTRANGE(""https://docs.google.com/spreadsheets/d/1C3CXT74ZlgGe6_JY_1olB1XN4rF0dxEuIIF-xsYjHgg/edit?usp=sharing"",""งบกองทุน!EZ77"")"),100)</f>
        <v>100</v>
      </c>
      <c r="J73" s="638">
        <f ca="1">IFERROR(__xludf.DUMMYFUNCTION("IMPORTRANGE(""https://docs.google.com/spreadsheets/d/1C3CXT74ZlgGe6_JY_1olB1XN4rF0dxEuIIF-xsYjHgg/edit?usp=sharing"",""งบกองทุน!FF77"")"),925)</f>
        <v>925</v>
      </c>
      <c r="K73" s="306">
        <f ca="1">IFERROR(__xludf.DUMMYFUNCTION("IMPORTRANGE(""https://docs.google.com/spreadsheets/d/1SX6NBoVAgQJ6U1MVXOaj8PK2l7WJ3RER9xtqwdhxkhw/edit?usp=sharing"",""สิงห์บุรี!J507"")"),200)</f>
        <v>200</v>
      </c>
      <c r="L73" s="307">
        <f t="shared" ca="1" si="4"/>
        <v>19.512195121951219</v>
      </c>
      <c r="M73" s="306">
        <f ca="1">IFERROR(__xludf.DUMMYFUNCTION("IMPORTRANGE(""https://docs.google.com/spreadsheets/d/1SX6NBoVAgQJ6U1MVXOaj8PK2l7WJ3RER9xtqwdhxkhw/edit?usp=sharing"",""สิงห์บุรี!J508"")"),200)</f>
        <v>200</v>
      </c>
      <c r="N73" s="307">
        <f t="shared" ca="1" si="5"/>
        <v>19.512195121951219</v>
      </c>
      <c r="O73" s="306">
        <f ca="1">IFERROR(__xludf.DUMMYFUNCTION("IMPORTRANGE(""https://docs.google.com/spreadsheets/d/1SX6NBoVAgQJ6U1MVXOaj8PK2l7WJ3RER9xtqwdhxkhw/edit?usp=sharing"",""สิงห์บุรี!J509"")"),200)</f>
        <v>200</v>
      </c>
      <c r="P73" s="307">
        <f t="shared" ca="1" si="6"/>
        <v>19.512195121951219</v>
      </c>
      <c r="Q73" s="306">
        <f ca="1">IFERROR(__xludf.DUMMYFUNCTION("IMPORTRANGE(""https://docs.google.com/spreadsheets/d/1SX6NBoVAgQJ6U1MVXOaj8PK2l7WJ3RER9xtqwdhxkhw/edit?usp=sharing"",""สิงห์บุรี!J510"")"),200)</f>
        <v>200</v>
      </c>
      <c r="R73" s="307">
        <f t="shared" ca="1" si="7"/>
        <v>19.512195121951219</v>
      </c>
      <c r="S73" s="306">
        <f ca="1">IFERROR(__xludf.DUMMYFUNCTION("IMPORTRANGE(""https://docs.google.com/spreadsheets/d/1SX6NBoVAgQJ6U1MVXOaj8PK2l7WJ3RER9xtqwdhxkhw/edit?usp=sharing"",""สิงห์บุรี!J511"")"),77)</f>
        <v>77</v>
      </c>
      <c r="T73" s="307">
        <f t="shared" ca="1" si="8"/>
        <v>7.5121951219512191</v>
      </c>
      <c r="U73" s="639">
        <f t="shared" ca="1" si="48"/>
        <v>0</v>
      </c>
      <c r="V73" s="307">
        <f t="shared" ca="1" si="9"/>
        <v>0</v>
      </c>
      <c r="W73" s="639">
        <f ca="1">IFERROR(__xludf.DUMMYFUNCTION("IMPORTRANGE(""https://docs.google.com/spreadsheets/d/1SX6NBoVAgQJ6U1MVXOaj8PK2l7WJ3RER9xtqwdhxkhw/edit?usp=sharing"",""สิงห์บุรี!J513"")"),0)</f>
        <v>0</v>
      </c>
      <c r="X73" s="639">
        <f ca="1">IFERROR(__xludf.DUMMYFUNCTION("IMPORTRANGE(""https://docs.google.com/spreadsheets/d/1SX6NBoVAgQJ6U1MVXOaj8PK2l7WJ3RER9xtqwdhxkhw/edit?usp=sharing"",""สิงห์บุรี!J514"")"),0)</f>
        <v>0</v>
      </c>
      <c r="Y73" s="306">
        <f t="shared" ca="1" si="49"/>
        <v>0</v>
      </c>
      <c r="Z73" s="307">
        <f t="shared" ca="1" si="11"/>
        <v>0</v>
      </c>
      <c r="AA73" s="306">
        <f ca="1">IFERROR(__xludf.DUMMYFUNCTION("IMPORTRANGE(""https://docs.google.com/spreadsheets/d/1SX6NBoVAgQJ6U1MVXOaj8PK2l7WJ3RER9xtqwdhxkhw/edit?usp=sharing"",""สิงห์บุรี!J517"")"),0)</f>
        <v>0</v>
      </c>
      <c r="AB73" s="306">
        <f ca="1">IFERROR(__xludf.DUMMYFUNCTION("IMPORTRANGE(""https://docs.google.com/spreadsheets/d/1SX6NBoVAgQJ6U1MVXOaj8PK2l7WJ3RER9xtqwdhxkhw/edit?usp=sharing"",""สิงห์บุรี!J518"")"),0)</f>
        <v>0</v>
      </c>
      <c r="AC73" s="306">
        <f ca="1">IFERROR(__xludf.DUMMYFUNCTION("IMPORTRANGE(""https://docs.google.com/spreadsheets/d/1SX6NBoVAgQJ6U1MVXOaj8PK2l7WJ3RER9xtqwdhxkhw/edit?usp=sharing"",""สิงห์บุรี!J520"")"),0)</f>
        <v>0</v>
      </c>
      <c r="AD73" s="609">
        <f ca="1">IFERROR(__xludf.DUMMYFUNCTION("IMPORTRANGE(""https://docs.google.com/spreadsheets/d/1SX6NBoVAgQJ6U1MVXOaj8PK2l7WJ3RER9xtqwdhxkhw/edit?usp=sharing"",""สิงห์บุรี!J521"")"),0)</f>
        <v>0</v>
      </c>
    </row>
    <row r="74" spans="1:30" ht="21" customHeight="1">
      <c r="A74" s="303">
        <v>20</v>
      </c>
      <c r="B74" s="304" t="s">
        <v>98</v>
      </c>
      <c r="C74" s="305">
        <f t="shared" ca="1" si="46"/>
        <v>8900</v>
      </c>
      <c r="D74" s="306">
        <f ca="1">IFERROR(__xludf.DUMMYFUNCTION("IMPORTRANGE(""https://docs.google.com/spreadsheets/d/1C3CXT74ZlgGe6_JY_1olB1XN4rF0dxEuIIF-xsYjHgg/edit?usp=sharing"",""งบกองทุน!EV78"")"),0)</f>
        <v>0</v>
      </c>
      <c r="E74" s="306">
        <f ca="1">IFERROR(__xludf.DUMMYFUNCTION("IMPORTRANGE(""https://docs.google.com/spreadsheets/d/1C3CXT74ZlgGe6_JY_1olB1XN4rF0dxEuIIF-xsYjHgg/edit?usp=sharing"",""งบกองทุน!EW78"")"),8900)</f>
        <v>8900</v>
      </c>
      <c r="F74" s="307">
        <f ca="1">IFERROR(__xludf.DUMMYFUNCTION("IMPORTRANGE(""https://docs.google.com/spreadsheets/d/1SX6NBoVAgQJ6U1MVXOaj8PK2l7WJ3RER9xtqwdhxkhw/edit?usp=sharing"",""สุพรรณบุรี!M492"")"),12895)</f>
        <v>12895</v>
      </c>
      <c r="G74" s="307">
        <f t="shared" ca="1" si="1"/>
        <v>144.88764044943821</v>
      </c>
      <c r="H74" s="638">
        <f t="shared" ca="1" si="47"/>
        <v>173</v>
      </c>
      <c r="I74" s="638">
        <f ca="1">IFERROR(__xludf.DUMMYFUNCTION("IMPORTRANGE(""https://docs.google.com/spreadsheets/d/1C3CXT74ZlgGe6_JY_1olB1XN4rF0dxEuIIF-xsYjHgg/edit?usp=sharing"",""งบกองทุน!EZ78"")"),100)</f>
        <v>100</v>
      </c>
      <c r="J74" s="638">
        <f ca="1">IFERROR(__xludf.DUMMYFUNCTION("IMPORTRANGE(""https://docs.google.com/spreadsheets/d/1C3CXT74ZlgGe6_JY_1olB1XN4rF0dxEuIIF-xsYjHgg/edit?usp=sharing"",""งบกองทุน!FF78"")"),73)</f>
        <v>73</v>
      </c>
      <c r="K74" s="306">
        <f ca="1">IFERROR(__xludf.DUMMYFUNCTION("IMPORTRANGE(""https://docs.google.com/spreadsheets/d/1SX6NBoVAgQJ6U1MVXOaj8PK2l7WJ3RER9xtqwdhxkhw/edit?usp=sharing"",""สุพรรณบุรี!J507"")"),188)</f>
        <v>188</v>
      </c>
      <c r="L74" s="307">
        <f t="shared" ca="1" si="4"/>
        <v>108.67052023121387</v>
      </c>
      <c r="M74" s="306">
        <f ca="1">IFERROR(__xludf.DUMMYFUNCTION("IMPORTRANGE(""https://docs.google.com/spreadsheets/d/1SX6NBoVAgQJ6U1MVXOaj8PK2l7WJ3RER9xtqwdhxkhw/edit?usp=sharing"",""สุพรรณบุรี!J508"")"),188)</f>
        <v>188</v>
      </c>
      <c r="N74" s="307">
        <f t="shared" ca="1" si="5"/>
        <v>108.67052023121387</v>
      </c>
      <c r="O74" s="306">
        <f ca="1">IFERROR(__xludf.DUMMYFUNCTION("IMPORTRANGE(""https://docs.google.com/spreadsheets/d/1SX6NBoVAgQJ6U1MVXOaj8PK2l7WJ3RER9xtqwdhxkhw/edit?usp=sharing"",""สุพรรณบุรี!J509"")"),188)</f>
        <v>188</v>
      </c>
      <c r="P74" s="307">
        <f t="shared" ca="1" si="6"/>
        <v>108.67052023121387</v>
      </c>
      <c r="Q74" s="306">
        <f ca="1">IFERROR(__xludf.DUMMYFUNCTION("IMPORTRANGE(""https://docs.google.com/spreadsheets/d/1SX6NBoVAgQJ6U1MVXOaj8PK2l7WJ3RER9xtqwdhxkhw/edit?usp=sharing"",""สุพรรณบุรี!J510"")"),105)</f>
        <v>105</v>
      </c>
      <c r="R74" s="307">
        <f t="shared" ca="1" si="7"/>
        <v>60.693641618497111</v>
      </c>
      <c r="S74" s="306">
        <f ca="1">IFERROR(__xludf.DUMMYFUNCTION("IMPORTRANGE(""https://docs.google.com/spreadsheets/d/1SX6NBoVAgQJ6U1MVXOaj8PK2l7WJ3RER9xtqwdhxkhw/edit?usp=sharing"",""สุพรรณบุรี!J511"")"),105)</f>
        <v>105</v>
      </c>
      <c r="T74" s="307">
        <f t="shared" ca="1" si="8"/>
        <v>60.693641618497111</v>
      </c>
      <c r="U74" s="639">
        <f t="shared" ca="1" si="48"/>
        <v>0</v>
      </c>
      <c r="V74" s="307">
        <f t="shared" ca="1" si="9"/>
        <v>0</v>
      </c>
      <c r="W74" s="639">
        <f ca="1">IFERROR(__xludf.DUMMYFUNCTION("IMPORTRANGE(""https://docs.google.com/spreadsheets/d/1SX6NBoVAgQJ6U1MVXOaj8PK2l7WJ3RER9xtqwdhxkhw/edit?usp=sharing"",""สุพรรณบุรี!J513"")"),0)</f>
        <v>0</v>
      </c>
      <c r="X74" s="639">
        <f ca="1">IFERROR(__xludf.DUMMYFUNCTION("IMPORTRANGE(""https://docs.google.com/spreadsheets/d/1SX6NBoVAgQJ6U1MVXOaj8PK2l7WJ3RER9xtqwdhxkhw/edit?usp=sharing"",""สุพรรณบุรี!J514"")"),0)</f>
        <v>0</v>
      </c>
      <c r="Y74" s="306">
        <f t="shared" ca="1" si="49"/>
        <v>0</v>
      </c>
      <c r="Z74" s="307">
        <f t="shared" ca="1" si="11"/>
        <v>0</v>
      </c>
      <c r="AA74" s="306">
        <f ca="1">IFERROR(__xludf.DUMMYFUNCTION("IMPORTRANGE(""https://docs.google.com/spreadsheets/d/1SX6NBoVAgQJ6U1MVXOaj8PK2l7WJ3RER9xtqwdhxkhw/edit?usp=sharing"",""สุพรรณบุรี!J517"")"),0)</f>
        <v>0</v>
      </c>
      <c r="AB74" s="306">
        <f ca="1">IFERROR(__xludf.DUMMYFUNCTION("IMPORTRANGE(""https://docs.google.com/spreadsheets/d/1SX6NBoVAgQJ6U1MVXOaj8PK2l7WJ3RER9xtqwdhxkhw/edit?usp=sharing"",""สุพรรณบุรี!J518"")"),0)</f>
        <v>0</v>
      </c>
      <c r="AC74" s="306">
        <f ca="1">IFERROR(__xludf.DUMMYFUNCTION("IMPORTRANGE(""https://docs.google.com/spreadsheets/d/1SX6NBoVAgQJ6U1MVXOaj8PK2l7WJ3RER9xtqwdhxkhw/edit?usp=sharing"",""สุพรรณบุรี!J520"")"),0)</f>
        <v>0</v>
      </c>
      <c r="AD74" s="609">
        <f ca="1">IFERROR(__xludf.DUMMYFUNCTION("IMPORTRANGE(""https://docs.google.com/spreadsheets/d/1SX6NBoVAgQJ6U1MVXOaj8PK2l7WJ3RER9xtqwdhxkhw/edit?usp=sharing"",""สุพรรณบุรี!J521"")"),0)</f>
        <v>0</v>
      </c>
    </row>
    <row r="75" spans="1:30" ht="21" customHeight="1">
      <c r="A75" s="310">
        <v>21</v>
      </c>
      <c r="B75" s="311" t="s">
        <v>99</v>
      </c>
      <c r="C75" s="312">
        <f t="shared" ca="1" si="46"/>
        <v>10800</v>
      </c>
      <c r="D75" s="313">
        <f ca="1">IFERROR(__xludf.DUMMYFUNCTION("IMPORTRANGE(""https://docs.google.com/spreadsheets/d/1C3CXT74ZlgGe6_JY_1olB1XN4rF0dxEuIIF-xsYjHgg/edit?usp=sharing"",""งบกองทุน!EV79"")"),0)</f>
        <v>0</v>
      </c>
      <c r="E75" s="313">
        <f ca="1">IFERROR(__xludf.DUMMYFUNCTION("IMPORTRANGE(""https://docs.google.com/spreadsheets/d/1C3CXT74ZlgGe6_JY_1olB1XN4rF0dxEuIIF-xsYjHgg/edit?usp=sharing"",""งบกองทุน!EW79"")"),10800)</f>
        <v>10800</v>
      </c>
      <c r="F75" s="314">
        <f ca="1">IFERROR(__xludf.DUMMYFUNCTION("IMPORTRANGE(""https://docs.google.com/spreadsheets/d/1SX6NBoVAgQJ6U1MVXOaj8PK2l7WJ3RER9xtqwdhxkhw/edit?usp=sharing"",""อ่างทอง!M492"")"),1170)</f>
        <v>1170</v>
      </c>
      <c r="G75" s="314">
        <f t="shared" ca="1" si="1"/>
        <v>10.833333333333334</v>
      </c>
      <c r="H75" s="640">
        <f t="shared" ca="1" si="47"/>
        <v>373</v>
      </c>
      <c r="I75" s="640">
        <f ca="1">IFERROR(__xludf.DUMMYFUNCTION("IMPORTRANGE(""https://docs.google.com/spreadsheets/d/1C3CXT74ZlgGe6_JY_1olB1XN4rF0dxEuIIF-xsYjHgg/edit?usp=sharing"",""งบกองทุน!EZ79"")"),80)</f>
        <v>80</v>
      </c>
      <c r="J75" s="640">
        <f ca="1">IFERROR(__xludf.DUMMYFUNCTION("IMPORTRANGE(""https://docs.google.com/spreadsheets/d/1C3CXT74ZlgGe6_JY_1olB1XN4rF0dxEuIIF-xsYjHgg/edit?usp=sharing"",""งบกองทุน!FF79"")"),293)</f>
        <v>293</v>
      </c>
      <c r="K75" s="313">
        <f ca="1">IFERROR(__xludf.DUMMYFUNCTION("IMPORTRANGE(""https://docs.google.com/spreadsheets/d/1SX6NBoVAgQJ6U1MVXOaj8PK2l7WJ3RER9xtqwdhxkhw/edit?usp=sharing"",""อ่างทอง!J507"")"),418)</f>
        <v>418</v>
      </c>
      <c r="L75" s="314">
        <f t="shared" ca="1" si="4"/>
        <v>112.06434316353888</v>
      </c>
      <c r="M75" s="313">
        <f ca="1">IFERROR(__xludf.DUMMYFUNCTION("IMPORTRANGE(""https://docs.google.com/spreadsheets/d/1SX6NBoVAgQJ6U1MVXOaj8PK2l7WJ3RER9xtqwdhxkhw/edit?usp=sharing"",""อ่างทอง!J508"")"),0)</f>
        <v>0</v>
      </c>
      <c r="N75" s="314">
        <f t="shared" ca="1" si="5"/>
        <v>0</v>
      </c>
      <c r="O75" s="313">
        <f ca="1">IFERROR(__xludf.DUMMYFUNCTION("IMPORTRANGE(""https://docs.google.com/spreadsheets/d/1SX6NBoVAgQJ6U1MVXOaj8PK2l7WJ3RER9xtqwdhxkhw/edit?usp=sharing"",""อ่างทอง!J509"")"),0)</f>
        <v>0</v>
      </c>
      <c r="P75" s="314">
        <f t="shared" ca="1" si="6"/>
        <v>0</v>
      </c>
      <c r="Q75" s="313">
        <f ca="1">IFERROR(__xludf.DUMMYFUNCTION("IMPORTRANGE(""https://docs.google.com/spreadsheets/d/1SX6NBoVAgQJ6U1MVXOaj8PK2l7WJ3RER9xtqwdhxkhw/edit?usp=sharing"",""อ่างทอง!J510"")"),0)</f>
        <v>0</v>
      </c>
      <c r="R75" s="314">
        <f t="shared" ca="1" si="7"/>
        <v>0</v>
      </c>
      <c r="S75" s="313">
        <f ca="1">IFERROR(__xludf.DUMMYFUNCTION("IMPORTRANGE(""https://docs.google.com/spreadsheets/d/1SX6NBoVAgQJ6U1MVXOaj8PK2l7WJ3RER9xtqwdhxkhw/edit?usp=sharing"",""อ่างทอง!J511"")"),0)</f>
        <v>0</v>
      </c>
      <c r="T75" s="314">
        <f t="shared" ca="1" si="8"/>
        <v>0</v>
      </c>
      <c r="U75" s="641">
        <f t="shared" ca="1" si="48"/>
        <v>0</v>
      </c>
      <c r="V75" s="314">
        <f t="shared" ca="1" si="9"/>
        <v>0</v>
      </c>
      <c r="W75" s="641">
        <f ca="1">IFERROR(__xludf.DUMMYFUNCTION("IMPORTRANGE(""https://docs.google.com/spreadsheets/d/1SX6NBoVAgQJ6U1MVXOaj8PK2l7WJ3RER9xtqwdhxkhw/edit?usp=sharing"",""อ่างทอง!J513"")"),0)</f>
        <v>0</v>
      </c>
      <c r="X75" s="641">
        <f ca="1">IFERROR(__xludf.DUMMYFUNCTION("IMPORTRANGE(""https://docs.google.com/spreadsheets/d/1SX6NBoVAgQJ6U1MVXOaj8PK2l7WJ3RER9xtqwdhxkhw/edit?usp=sharing"",""อ่างทอง!J514"")"),0)</f>
        <v>0</v>
      </c>
      <c r="Y75" s="313">
        <f t="shared" ca="1" si="49"/>
        <v>0</v>
      </c>
      <c r="Z75" s="314">
        <f t="shared" ca="1" si="11"/>
        <v>0</v>
      </c>
      <c r="AA75" s="313">
        <f ca="1">IFERROR(__xludf.DUMMYFUNCTION("IMPORTRANGE(""https://docs.google.com/spreadsheets/d/1SX6NBoVAgQJ6U1MVXOaj8PK2l7WJ3RER9xtqwdhxkhw/edit?usp=sharing"",""อ่างทอง!J517"")"),0)</f>
        <v>0</v>
      </c>
      <c r="AB75" s="313">
        <f ca="1">IFERROR(__xludf.DUMMYFUNCTION("IMPORTRANGE(""https://docs.google.com/spreadsheets/d/1SX6NBoVAgQJ6U1MVXOaj8PK2l7WJ3RER9xtqwdhxkhw/edit?usp=sharing"",""อ่างทอง!J518"")"),0)</f>
        <v>0</v>
      </c>
      <c r="AC75" s="313">
        <f ca="1">IFERROR(__xludf.DUMMYFUNCTION("IMPORTRANGE(""https://docs.google.com/spreadsheets/d/1SX6NBoVAgQJ6U1MVXOaj8PK2l7WJ3RER9xtqwdhxkhw/edit?usp=sharing"",""อ่างทอง!J520"")"),0)</f>
        <v>0</v>
      </c>
      <c r="AD75" s="611">
        <f ca="1">IFERROR(__xludf.DUMMYFUNCTION("IMPORTRANGE(""https://docs.google.com/spreadsheets/d/1SX6NBoVAgQJ6U1MVXOaj8PK2l7WJ3RER9xtqwdhxkhw/edit?usp=sharing"",""อ่างทอง!J521"")"),0)</f>
        <v>0</v>
      </c>
    </row>
    <row r="76" spans="1:30" ht="21" customHeight="1">
      <c r="A76" s="802" t="s">
        <v>100</v>
      </c>
      <c r="B76" s="652"/>
      <c r="C76" s="317">
        <f t="shared" ref="C76:F76" ca="1" si="50">SUM(C77:C90)</f>
        <v>123580</v>
      </c>
      <c r="D76" s="318">
        <f t="shared" ca="1" si="50"/>
        <v>0</v>
      </c>
      <c r="E76" s="318">
        <f t="shared" ca="1" si="50"/>
        <v>123580</v>
      </c>
      <c r="F76" s="319">
        <f t="shared" ca="1" si="50"/>
        <v>29316.84</v>
      </c>
      <c r="G76" s="319">
        <f t="shared" ca="1" si="1"/>
        <v>23.722964881048714</v>
      </c>
      <c r="H76" s="318">
        <f t="shared" ref="H76:K76" ca="1" si="51">SUM(H77:H90)</f>
        <v>1642.839999999999</v>
      </c>
      <c r="I76" s="318">
        <f t="shared" ca="1" si="51"/>
        <v>1328</v>
      </c>
      <c r="J76" s="318">
        <f t="shared" ca="1" si="51"/>
        <v>314.83999999999901</v>
      </c>
      <c r="K76" s="318">
        <f t="shared" ca="1" si="51"/>
        <v>942.65</v>
      </c>
      <c r="L76" s="319">
        <f t="shared" ca="1" si="4"/>
        <v>57.379294392637178</v>
      </c>
      <c r="M76" s="318">
        <f ca="1">SUM(M77:M90)</f>
        <v>882.55</v>
      </c>
      <c r="N76" s="319">
        <f t="shared" ca="1" si="5"/>
        <v>53.72099534951672</v>
      </c>
      <c r="O76" s="318">
        <f ca="1">SUM(O77:O90)</f>
        <v>882.55</v>
      </c>
      <c r="P76" s="319">
        <f t="shared" ca="1" si="6"/>
        <v>53.72099534951672</v>
      </c>
      <c r="Q76" s="318">
        <f ca="1">SUM(Q77:Q90)</f>
        <v>882.55</v>
      </c>
      <c r="R76" s="319">
        <f t="shared" ca="1" si="7"/>
        <v>53.72099534951672</v>
      </c>
      <c r="S76" s="318">
        <f ca="1">SUM(S77:S90)</f>
        <v>66</v>
      </c>
      <c r="T76" s="319">
        <f t="shared" ca="1" si="8"/>
        <v>4.0174332253901808</v>
      </c>
      <c r="U76" s="318">
        <f ca="1">SUM(U77:U90)</f>
        <v>267</v>
      </c>
      <c r="V76" s="319">
        <f t="shared" ca="1" si="9"/>
        <v>16.252343502714822</v>
      </c>
      <c r="W76" s="318">
        <f t="shared" ref="W76:Y76" ca="1" si="52">SUM(W77:W90)</f>
        <v>267</v>
      </c>
      <c r="X76" s="318">
        <f t="shared" ca="1" si="52"/>
        <v>0</v>
      </c>
      <c r="Y76" s="318">
        <f t="shared" ca="1" si="52"/>
        <v>267</v>
      </c>
      <c r="Z76" s="319">
        <f t="shared" ca="1" si="11"/>
        <v>16.252343502714822</v>
      </c>
      <c r="AA76" s="318">
        <f t="shared" ref="AA76:AD76" ca="1" si="53">SUM(AA77:AA90)</f>
        <v>125</v>
      </c>
      <c r="AB76" s="318">
        <f t="shared" ca="1" si="53"/>
        <v>142</v>
      </c>
      <c r="AC76" s="318">
        <f t="shared" ca="1" si="53"/>
        <v>248</v>
      </c>
      <c r="AD76" s="612">
        <f t="shared" ca="1" si="53"/>
        <v>248</v>
      </c>
    </row>
    <row r="77" spans="1:30" ht="21" customHeight="1">
      <c r="A77" s="293">
        <v>1</v>
      </c>
      <c r="B77" s="357" t="s">
        <v>101</v>
      </c>
      <c r="C77" s="295">
        <f t="shared" ref="C77:C90" ca="1" si="54">+D77+E77</f>
        <v>26140</v>
      </c>
      <c r="D77" s="296">
        <f ca="1">IFERROR(__xludf.DUMMYFUNCTION("IMPORTRANGE(""https://docs.google.com/spreadsheets/d/1C3CXT74ZlgGe6_JY_1olB1XN4rF0dxEuIIF-xsYjHgg/edit?usp=sharing"",""งบกองทุน!EV81"")"),0)</f>
        <v>0</v>
      </c>
      <c r="E77" s="296">
        <f ca="1">IFERROR(__xludf.DUMMYFUNCTION("IMPORTRANGE(""https://docs.google.com/spreadsheets/d/1C3CXT74ZlgGe6_JY_1olB1XN4rF0dxEuIIF-xsYjHgg/edit?usp=sharing"",""งบกองทุน!EW81"")"),26140)</f>
        <v>26140</v>
      </c>
      <c r="F77" s="297">
        <f ca="1">IFERROR(__xludf.DUMMYFUNCTION("IMPORTRANGE(""https://docs.google.com/spreadsheets/d/1IYY_tgx_IHuhSq3AJ5eI5OnqOPBNLWSHKh2a30DoXe8/edit?usp=sharing"",""กระบี่!M492"")"),2600)</f>
        <v>2600</v>
      </c>
      <c r="G77" s="297">
        <f t="shared" ca="1" si="1"/>
        <v>9.946442234123948</v>
      </c>
      <c r="H77" s="636">
        <f t="shared" ref="H77:H90" ca="1" si="55">+I77+J77</f>
        <v>428</v>
      </c>
      <c r="I77" s="636">
        <f ca="1">IFERROR(__xludf.DUMMYFUNCTION("IMPORTRANGE(""https://docs.google.com/spreadsheets/d/1C3CXT74ZlgGe6_JY_1olB1XN4rF0dxEuIIF-xsYjHgg/edit?usp=sharing"",""งบกองทุน!EZ81"")"),428)</f>
        <v>428</v>
      </c>
      <c r="J77" s="636">
        <f ca="1">IFERROR(__xludf.DUMMYFUNCTION("IMPORTRANGE(""https://docs.google.com/spreadsheets/d/1C3CXT74ZlgGe6_JY_1olB1XN4rF0dxEuIIF-xsYjHgg/edit?usp=sharing"",""งบกองทุน!FF81"")"),0)</f>
        <v>0</v>
      </c>
      <c r="K77" s="296">
        <f ca="1">IFERROR(__xludf.DUMMYFUNCTION("IMPORTRANGE(""https://docs.google.com/spreadsheets/d/1IYY_tgx_IHuhSq3AJ5eI5OnqOPBNLWSHKh2a30DoXe8/edit?usp=sharing"",""กระบี่!J507"")"),0)</f>
        <v>0</v>
      </c>
      <c r="L77" s="297">
        <f t="shared" ca="1" si="4"/>
        <v>0</v>
      </c>
      <c r="M77" s="296">
        <f ca="1">IFERROR(__xludf.DUMMYFUNCTION("IMPORTRANGE(""https://docs.google.com/spreadsheets/d/1IYY_tgx_IHuhSq3AJ5eI5OnqOPBNLWSHKh2a30DoXe8/edit?usp=sharing"",""กระบี่!J508"")"),0)</f>
        <v>0</v>
      </c>
      <c r="N77" s="297">
        <f t="shared" ca="1" si="5"/>
        <v>0</v>
      </c>
      <c r="O77" s="296">
        <f ca="1">IFERROR(__xludf.DUMMYFUNCTION("IMPORTRANGE(""https://docs.google.com/spreadsheets/d/1IYY_tgx_IHuhSq3AJ5eI5OnqOPBNLWSHKh2a30DoXe8/edit?usp=sharing"",""กระบี่!J509"")"),0)</f>
        <v>0</v>
      </c>
      <c r="P77" s="297">
        <f t="shared" ca="1" si="6"/>
        <v>0</v>
      </c>
      <c r="Q77" s="296">
        <f ca="1">IFERROR(__xludf.DUMMYFUNCTION("IMPORTRANGE(""https://docs.google.com/spreadsheets/d/1IYY_tgx_IHuhSq3AJ5eI5OnqOPBNLWSHKh2a30DoXe8/edit?usp=sharing"",""กระบี่!J510"")"),0)</f>
        <v>0</v>
      </c>
      <c r="R77" s="297">
        <f t="shared" ca="1" si="7"/>
        <v>0</v>
      </c>
      <c r="S77" s="296">
        <f ca="1">IFERROR(__xludf.DUMMYFUNCTION("IMPORTRANGE(""https://docs.google.com/spreadsheets/d/1IYY_tgx_IHuhSq3AJ5eI5OnqOPBNLWSHKh2a30DoXe8/edit?usp=sharing"",""กระบี่!J511"")"),0)</f>
        <v>0</v>
      </c>
      <c r="T77" s="297">
        <f t="shared" ca="1" si="8"/>
        <v>0</v>
      </c>
      <c r="U77" s="637">
        <f t="shared" ref="U77:U90" ca="1" si="56">SUM(W77,X77)</f>
        <v>0</v>
      </c>
      <c r="V77" s="297">
        <f t="shared" ca="1" si="9"/>
        <v>0</v>
      </c>
      <c r="W77" s="637">
        <f ca="1">IFERROR(__xludf.DUMMYFUNCTION("IMPORTRANGE(""https://docs.google.com/spreadsheets/d/1IYY_tgx_IHuhSq3AJ5eI5OnqOPBNLWSHKh2a30DoXe8/edit?usp=sharing"",""กระบี่!J515"")"),0)</f>
        <v>0</v>
      </c>
      <c r="X77" s="637">
        <f ca="1">IFERROR(__xludf.DUMMYFUNCTION("IMPORTRANGE(""https://docs.google.com/spreadsheets/d/1IYY_tgx_IHuhSq3AJ5eI5OnqOPBNLWSHKh2a30DoXe8/edit?usp=sharing"",""กระบี่!J514"")"),0)</f>
        <v>0</v>
      </c>
      <c r="Y77" s="296">
        <f t="shared" ref="Y77:Y90" ca="1" si="57">SUM(AA77,AB77)</f>
        <v>0</v>
      </c>
      <c r="Z77" s="297">
        <f t="shared" ca="1" si="11"/>
        <v>0</v>
      </c>
      <c r="AA77" s="296">
        <f ca="1">IFERROR(__xludf.DUMMYFUNCTION("IMPORTRANGE(""https://docs.google.com/spreadsheets/d/1IYY_tgx_IHuhSq3AJ5eI5OnqOPBNLWSHKh2a30DoXe8/edit?usp=sharing"",""กระบี่!J517"")"),0)</f>
        <v>0</v>
      </c>
      <c r="AB77" s="296">
        <f ca="1">IFERROR(__xludf.DUMMYFUNCTION("IMPORTRANGE(""https://docs.google.com/spreadsheets/d/1IYY_tgx_IHuhSq3AJ5eI5OnqOPBNLWSHKh2a30DoXe8/edit?usp=sharing"",""กระบี่!J518"")"),0)</f>
        <v>0</v>
      </c>
      <c r="AC77" s="296">
        <f ca="1">IFERROR(__xludf.DUMMYFUNCTION("IMPORTRANGE(""https://docs.google.com/spreadsheets/d/1IYY_tgx_IHuhSq3AJ5eI5OnqOPBNLWSHKh2a30DoXe8/edit?usp=sharing"",""กระบี่!J520"")"),0)</f>
        <v>0</v>
      </c>
      <c r="AD77" s="607">
        <f ca="1">IFERROR(__xludf.DUMMYFUNCTION("IMPORTRANGE(""https://docs.google.com/spreadsheets/d/1IYY_tgx_IHuhSq3AJ5eI5OnqOPBNLWSHKh2a30DoXe8/edit?usp=sharing"",""กระบี่!J521"")"),0)</f>
        <v>0</v>
      </c>
    </row>
    <row r="78" spans="1:30" ht="21" customHeight="1">
      <c r="A78" s="303">
        <v>2</v>
      </c>
      <c r="B78" s="304" t="s">
        <v>102</v>
      </c>
      <c r="C78" s="305">
        <f t="shared" ca="1" si="54"/>
        <v>12900</v>
      </c>
      <c r="D78" s="306">
        <f ca="1">IFERROR(__xludf.DUMMYFUNCTION("IMPORTRANGE(""https://docs.google.com/spreadsheets/d/1C3CXT74ZlgGe6_JY_1olB1XN4rF0dxEuIIF-xsYjHgg/edit?usp=sharing"",""งบกองทุน!EV82"")"),0)</f>
        <v>0</v>
      </c>
      <c r="E78" s="306">
        <f ca="1">IFERROR(__xludf.DUMMYFUNCTION("IMPORTRANGE(""https://docs.google.com/spreadsheets/d/1C3CXT74ZlgGe6_JY_1olB1XN4rF0dxEuIIF-xsYjHgg/edit?usp=sharing"",""งบกองทุน!EW82"")"),12900)</f>
        <v>12900</v>
      </c>
      <c r="F78" s="307">
        <f ca="1">IFERROR(__xludf.DUMMYFUNCTION("IMPORTRANGE(""https://docs.google.com/spreadsheets/d/1IYY_tgx_IHuhSq3AJ5eI5OnqOPBNLWSHKh2a30DoXe8/edit?usp=sharing"",""ชุมพร!M492"")"),3200)</f>
        <v>3200</v>
      </c>
      <c r="G78" s="307">
        <f t="shared" ca="1" si="1"/>
        <v>24.806201550387598</v>
      </c>
      <c r="H78" s="638">
        <f t="shared" ca="1" si="55"/>
        <v>100</v>
      </c>
      <c r="I78" s="638">
        <f ca="1">IFERROR(__xludf.DUMMYFUNCTION("IMPORTRANGE(""https://docs.google.com/spreadsheets/d/1C3CXT74ZlgGe6_JY_1olB1XN4rF0dxEuIIF-xsYjHgg/edit?usp=sharing"",""งบกองทุน!EZ82"")"),100)</f>
        <v>100</v>
      </c>
      <c r="J78" s="638">
        <f ca="1">IFERROR(__xludf.DUMMYFUNCTION("IMPORTRANGE(""https://docs.google.com/spreadsheets/d/1C3CXT74ZlgGe6_JY_1olB1XN4rF0dxEuIIF-xsYjHgg/edit?usp=sharing"",""งบกองทุน!FF82"")"),0)</f>
        <v>0</v>
      </c>
      <c r="K78" s="306">
        <f ca="1">IFERROR(__xludf.DUMMYFUNCTION("IMPORTRANGE(""https://docs.google.com/spreadsheets/d/1IYY_tgx_IHuhSq3AJ5eI5OnqOPBNLWSHKh2a30DoXe8/edit?usp=sharing"",""ชุมพร!J507"")"),0)</f>
        <v>0</v>
      </c>
      <c r="L78" s="307">
        <f t="shared" ca="1" si="4"/>
        <v>0</v>
      </c>
      <c r="M78" s="306">
        <f ca="1">IFERROR(__xludf.DUMMYFUNCTION("IMPORTRANGE(""https://docs.google.com/spreadsheets/d/1IYY_tgx_IHuhSq3AJ5eI5OnqOPBNLWSHKh2a30DoXe8/edit?usp=sharing"",""ชุมพร!J508"")"),0)</f>
        <v>0</v>
      </c>
      <c r="N78" s="307">
        <f t="shared" ca="1" si="5"/>
        <v>0</v>
      </c>
      <c r="O78" s="306">
        <f ca="1">IFERROR(__xludf.DUMMYFUNCTION("IMPORTRANGE(""https://docs.google.com/spreadsheets/d/1IYY_tgx_IHuhSq3AJ5eI5OnqOPBNLWSHKh2a30DoXe8/edit?usp=sharing"",""ชุมพร!J509"")"),0)</f>
        <v>0</v>
      </c>
      <c r="P78" s="307">
        <f t="shared" ca="1" si="6"/>
        <v>0</v>
      </c>
      <c r="Q78" s="306">
        <f ca="1">IFERROR(__xludf.DUMMYFUNCTION("IMPORTRANGE(""https://docs.google.com/spreadsheets/d/1IYY_tgx_IHuhSq3AJ5eI5OnqOPBNLWSHKh2a30DoXe8/edit?usp=sharing"",""ชุมพร!J510"")"),0)</f>
        <v>0</v>
      </c>
      <c r="R78" s="307">
        <f t="shared" ca="1" si="7"/>
        <v>0</v>
      </c>
      <c r="S78" s="306">
        <f ca="1">IFERROR(__xludf.DUMMYFUNCTION("IMPORTRANGE(""https://docs.google.com/spreadsheets/d/1IYY_tgx_IHuhSq3AJ5eI5OnqOPBNLWSHKh2a30DoXe8/edit?usp=sharing"",""ชุมพร!J511"")"),0)</f>
        <v>0</v>
      </c>
      <c r="T78" s="307">
        <f t="shared" ca="1" si="8"/>
        <v>0</v>
      </c>
      <c r="U78" s="639">
        <f t="shared" ca="1" si="56"/>
        <v>0</v>
      </c>
      <c r="V78" s="307">
        <f t="shared" ca="1" si="9"/>
        <v>0</v>
      </c>
      <c r="W78" s="639">
        <f ca="1">IFERROR(__xludf.DUMMYFUNCTION("IMPORTRANGE(""https://docs.google.com/spreadsheets/d/1IYY_tgx_IHuhSq3AJ5eI5OnqOPBNLWSHKh2a30DoXe8/edit?usp=sharing"",""ชุมพร!J515"")"),0)</f>
        <v>0</v>
      </c>
      <c r="X78" s="639">
        <f ca="1">IFERROR(__xludf.DUMMYFUNCTION("IMPORTRANGE(""https://docs.google.com/spreadsheets/d/1IYY_tgx_IHuhSq3AJ5eI5OnqOPBNLWSHKh2a30DoXe8/edit?usp=sharing"",""ชุมพร!J514"")"),0)</f>
        <v>0</v>
      </c>
      <c r="Y78" s="306">
        <f t="shared" ca="1" si="57"/>
        <v>0</v>
      </c>
      <c r="Z78" s="307">
        <f t="shared" ca="1" si="11"/>
        <v>0</v>
      </c>
      <c r="AA78" s="306">
        <f ca="1">IFERROR(__xludf.DUMMYFUNCTION("IMPORTRANGE(""https://docs.google.com/spreadsheets/d/1IYY_tgx_IHuhSq3AJ5eI5OnqOPBNLWSHKh2a30DoXe8/edit?usp=sharing"",""ชุมพร!J517"")"),0)</f>
        <v>0</v>
      </c>
      <c r="AB78" s="306">
        <f ca="1">IFERROR(__xludf.DUMMYFUNCTION("IMPORTRANGE(""https://docs.google.com/spreadsheets/d/1IYY_tgx_IHuhSq3AJ5eI5OnqOPBNLWSHKh2a30DoXe8/edit?usp=sharing"",""ชุมพร!J518"")"),0)</f>
        <v>0</v>
      </c>
      <c r="AC78" s="306">
        <f ca="1">IFERROR(__xludf.DUMMYFUNCTION("IMPORTRANGE(""https://docs.google.com/spreadsheets/d/1IYY_tgx_IHuhSq3AJ5eI5OnqOPBNLWSHKh2a30DoXe8/edit?usp=sharing"",""ชุมพร!J520"")"),0)</f>
        <v>0</v>
      </c>
      <c r="AD78" s="609">
        <f ca="1">IFERROR(__xludf.DUMMYFUNCTION("IMPORTRANGE(""https://docs.google.com/spreadsheets/d/1IYY_tgx_IHuhSq3AJ5eI5OnqOPBNLWSHKh2a30DoXe8/edit?usp=sharing"",""ชุมพร!J521"")"),0)</f>
        <v>0</v>
      </c>
    </row>
    <row r="79" spans="1:30" ht="21" customHeight="1">
      <c r="A79" s="303">
        <v>3</v>
      </c>
      <c r="B79" s="304" t="s">
        <v>103</v>
      </c>
      <c r="C79" s="305">
        <f t="shared" ca="1" si="54"/>
        <v>11750</v>
      </c>
      <c r="D79" s="306">
        <f ca="1">IFERROR(__xludf.DUMMYFUNCTION("IMPORTRANGE(""https://docs.google.com/spreadsheets/d/1C3CXT74ZlgGe6_JY_1olB1XN4rF0dxEuIIF-xsYjHgg/edit?usp=sharing"",""งบกองทุน!EV83"")"),0)</f>
        <v>0</v>
      </c>
      <c r="E79" s="306">
        <f ca="1">IFERROR(__xludf.DUMMYFUNCTION("IMPORTRANGE(""https://docs.google.com/spreadsheets/d/1C3CXT74ZlgGe6_JY_1olB1XN4rF0dxEuIIF-xsYjHgg/edit?usp=sharing"",""งบกองทุน!EW83"")"),11750)</f>
        <v>11750</v>
      </c>
      <c r="F79" s="307">
        <f ca="1">IFERROR(__xludf.DUMMYFUNCTION("IMPORTRANGE(""https://docs.google.com/spreadsheets/d/1IYY_tgx_IHuhSq3AJ5eI5OnqOPBNLWSHKh2a30DoXe8/edit?usp=sharing"",""ตรัง!M492"")"),6196.84)</f>
        <v>6196.84</v>
      </c>
      <c r="G79" s="307">
        <f t="shared" ca="1" si="1"/>
        <v>52.739063829787234</v>
      </c>
      <c r="H79" s="638">
        <f t="shared" ca="1" si="55"/>
        <v>50</v>
      </c>
      <c r="I79" s="638">
        <f ca="1">IFERROR(__xludf.DUMMYFUNCTION("IMPORTRANGE(""https://docs.google.com/spreadsheets/d/1C3CXT74ZlgGe6_JY_1olB1XN4rF0dxEuIIF-xsYjHgg/edit?usp=sharing"",""งบกองทุน!EZ83"")"),50)</f>
        <v>50</v>
      </c>
      <c r="J79" s="638">
        <f ca="1">IFERROR(__xludf.DUMMYFUNCTION("IMPORTRANGE(""https://docs.google.com/spreadsheets/d/1C3CXT74ZlgGe6_JY_1olB1XN4rF0dxEuIIF-xsYjHgg/edit?usp=sharing"",""งบกองทุน!FF83"")"),0)</f>
        <v>0</v>
      </c>
      <c r="K79" s="306">
        <f ca="1">IFERROR(__xludf.DUMMYFUNCTION("IMPORTRANGE(""https://docs.google.com/spreadsheets/d/1IYY_tgx_IHuhSq3AJ5eI5OnqOPBNLWSHKh2a30DoXe8/edit?usp=sharing"",""ตรัง!J507"")"),0)</f>
        <v>0</v>
      </c>
      <c r="L79" s="307">
        <f t="shared" ca="1" si="4"/>
        <v>0</v>
      </c>
      <c r="M79" s="306">
        <f ca="1">IFERROR(__xludf.DUMMYFUNCTION("IMPORTRANGE(""https://docs.google.com/spreadsheets/d/1IYY_tgx_IHuhSq3AJ5eI5OnqOPBNLWSHKh2a30DoXe8/edit?usp=sharing"",""ตรัง!J508"")"),0)</f>
        <v>0</v>
      </c>
      <c r="N79" s="307">
        <f t="shared" ca="1" si="5"/>
        <v>0</v>
      </c>
      <c r="O79" s="306">
        <f ca="1">IFERROR(__xludf.DUMMYFUNCTION("IMPORTRANGE(""https://docs.google.com/spreadsheets/d/1IYY_tgx_IHuhSq3AJ5eI5OnqOPBNLWSHKh2a30DoXe8/edit?usp=sharing"",""ตรัง!J509"")"),0)</f>
        <v>0</v>
      </c>
      <c r="P79" s="307">
        <f t="shared" ca="1" si="6"/>
        <v>0</v>
      </c>
      <c r="Q79" s="306">
        <f ca="1">IFERROR(__xludf.DUMMYFUNCTION("IMPORTRANGE(""https://docs.google.com/spreadsheets/d/1IYY_tgx_IHuhSq3AJ5eI5OnqOPBNLWSHKh2a30DoXe8/edit?usp=sharing"",""ตรัง!J510"")"),0)</f>
        <v>0</v>
      </c>
      <c r="R79" s="307">
        <f t="shared" ca="1" si="7"/>
        <v>0</v>
      </c>
      <c r="S79" s="306">
        <f ca="1">IFERROR(__xludf.DUMMYFUNCTION("IMPORTRANGE(""https://docs.google.com/spreadsheets/d/1IYY_tgx_IHuhSq3AJ5eI5OnqOPBNLWSHKh2a30DoXe8/edit?usp=sharing"",""ตรัง!J511"")"),0)</f>
        <v>0</v>
      </c>
      <c r="T79" s="307">
        <f t="shared" ca="1" si="8"/>
        <v>0</v>
      </c>
      <c r="U79" s="639">
        <f t="shared" ca="1" si="56"/>
        <v>0</v>
      </c>
      <c r="V79" s="307">
        <f t="shared" ca="1" si="9"/>
        <v>0</v>
      </c>
      <c r="W79" s="639">
        <f ca="1">IFERROR(__xludf.DUMMYFUNCTION("IMPORTRANGE(""https://docs.google.com/spreadsheets/d/1IYY_tgx_IHuhSq3AJ5eI5OnqOPBNLWSHKh2a30DoXe8/edit?usp=sharing"",""ตรัง!J515"")"),0)</f>
        <v>0</v>
      </c>
      <c r="X79" s="639">
        <f ca="1">IFERROR(__xludf.DUMMYFUNCTION("IMPORTRANGE(""https://docs.google.com/spreadsheets/d/1IYY_tgx_IHuhSq3AJ5eI5OnqOPBNLWSHKh2a30DoXe8/edit?usp=sharing"",""ตรัง!J514"")"),0)</f>
        <v>0</v>
      </c>
      <c r="Y79" s="306">
        <f t="shared" ca="1" si="57"/>
        <v>0</v>
      </c>
      <c r="Z79" s="307">
        <f t="shared" ca="1" si="11"/>
        <v>0</v>
      </c>
      <c r="AA79" s="306">
        <f ca="1">IFERROR(__xludf.DUMMYFUNCTION("IMPORTRANGE(""https://docs.google.com/spreadsheets/d/1IYY_tgx_IHuhSq3AJ5eI5OnqOPBNLWSHKh2a30DoXe8/edit?usp=sharing"",""ตรัง!J517"")"),0)</f>
        <v>0</v>
      </c>
      <c r="AB79" s="306">
        <f ca="1">IFERROR(__xludf.DUMMYFUNCTION("IMPORTRANGE(""https://docs.google.com/spreadsheets/d/1IYY_tgx_IHuhSq3AJ5eI5OnqOPBNLWSHKh2a30DoXe8/edit?usp=sharing"",""ตรัง!J518"")"),0)</f>
        <v>0</v>
      </c>
      <c r="AC79" s="306">
        <f ca="1">IFERROR(__xludf.DUMMYFUNCTION("IMPORTRANGE(""https://docs.google.com/spreadsheets/d/1IYY_tgx_IHuhSq3AJ5eI5OnqOPBNLWSHKh2a30DoXe8/edit?usp=sharing"",""ตรัง!J520"")"),0)</f>
        <v>0</v>
      </c>
      <c r="AD79" s="609">
        <f ca="1">IFERROR(__xludf.DUMMYFUNCTION("IMPORTRANGE(""https://docs.google.com/spreadsheets/d/1IYY_tgx_IHuhSq3AJ5eI5OnqOPBNLWSHKh2a30DoXe8/edit?usp=sharing"",""ตรัง!J521"")"),0)</f>
        <v>0</v>
      </c>
    </row>
    <row r="80" spans="1:30" ht="21" customHeight="1">
      <c r="A80" s="303">
        <v>4</v>
      </c>
      <c r="B80" s="304" t="s">
        <v>104</v>
      </c>
      <c r="C80" s="305">
        <f t="shared" ca="1" si="54"/>
        <v>4550</v>
      </c>
      <c r="D80" s="306">
        <f ca="1">IFERROR(__xludf.DUMMYFUNCTION("IMPORTRANGE(""https://docs.google.com/spreadsheets/d/1C3CXT74ZlgGe6_JY_1olB1XN4rF0dxEuIIF-xsYjHgg/edit?usp=sharing"",""งบกองทุน!EV84"")"),0)</f>
        <v>0</v>
      </c>
      <c r="E80" s="306">
        <f ca="1">IFERROR(__xludf.DUMMYFUNCTION("IMPORTRANGE(""https://docs.google.com/spreadsheets/d/1C3CXT74ZlgGe6_JY_1olB1XN4rF0dxEuIIF-xsYjHgg/edit?usp=sharing"",""งบกองทุน!EW84"")"),4550)</f>
        <v>4550</v>
      </c>
      <c r="F80" s="307">
        <f ca="1">IFERROR(__xludf.DUMMYFUNCTION("IMPORTRANGE(""https://docs.google.com/spreadsheets/d/1IYY_tgx_IHuhSq3AJ5eI5OnqOPBNLWSHKh2a30DoXe8/edit?usp=sharing"",""นครศรีธรรมราช!M492"")"),1800)</f>
        <v>1800</v>
      </c>
      <c r="G80" s="307">
        <f t="shared" ca="1" si="1"/>
        <v>39.560439560439562</v>
      </c>
      <c r="H80" s="638">
        <f t="shared" ca="1" si="55"/>
        <v>50</v>
      </c>
      <c r="I80" s="638">
        <f ca="1">IFERROR(__xludf.DUMMYFUNCTION("IMPORTRANGE(""https://docs.google.com/spreadsheets/d/1C3CXT74ZlgGe6_JY_1olB1XN4rF0dxEuIIF-xsYjHgg/edit?usp=sharing"",""งบกองทุน!EZ84"")"),50)</f>
        <v>50</v>
      </c>
      <c r="J80" s="638">
        <f ca="1">IFERROR(__xludf.DUMMYFUNCTION("IMPORTRANGE(""https://docs.google.com/spreadsheets/d/1C3CXT74ZlgGe6_JY_1olB1XN4rF0dxEuIIF-xsYjHgg/edit?usp=sharing"",""งบกองทุน!FF84"")"),0)</f>
        <v>0</v>
      </c>
      <c r="K80" s="306">
        <f ca="1">IFERROR(__xludf.DUMMYFUNCTION("IMPORTRANGE(""https://docs.google.com/spreadsheets/d/1IYY_tgx_IHuhSq3AJ5eI5OnqOPBNLWSHKh2a30DoXe8/edit?usp=sharing"",""นครศรีธรรมราช!J507"")"),0)</f>
        <v>0</v>
      </c>
      <c r="L80" s="307">
        <f t="shared" ca="1" si="4"/>
        <v>0</v>
      </c>
      <c r="M80" s="306">
        <f ca="1">IFERROR(__xludf.DUMMYFUNCTION("IMPORTRANGE(""https://docs.google.com/spreadsheets/d/1IYY_tgx_IHuhSq3AJ5eI5OnqOPBNLWSHKh2a30DoXe8/edit?usp=sharing"",""นครศรีธรรมราช!J508"")"),0)</f>
        <v>0</v>
      </c>
      <c r="N80" s="307">
        <f t="shared" ca="1" si="5"/>
        <v>0</v>
      </c>
      <c r="O80" s="306">
        <f ca="1">IFERROR(__xludf.DUMMYFUNCTION("IMPORTRANGE(""https://docs.google.com/spreadsheets/d/1IYY_tgx_IHuhSq3AJ5eI5OnqOPBNLWSHKh2a30DoXe8/edit?usp=sharing"",""นครศรีธรรมราช!J509"")"),0)</f>
        <v>0</v>
      </c>
      <c r="P80" s="307">
        <f t="shared" ca="1" si="6"/>
        <v>0</v>
      </c>
      <c r="Q80" s="306">
        <f ca="1">IFERROR(__xludf.DUMMYFUNCTION("IMPORTRANGE(""https://docs.google.com/spreadsheets/d/1IYY_tgx_IHuhSq3AJ5eI5OnqOPBNLWSHKh2a30DoXe8/edit?usp=sharing"",""นครศรีธรรมราช!J510"")"),0)</f>
        <v>0</v>
      </c>
      <c r="R80" s="307">
        <f t="shared" ca="1" si="7"/>
        <v>0</v>
      </c>
      <c r="S80" s="306">
        <f ca="1">IFERROR(__xludf.DUMMYFUNCTION("IMPORTRANGE(""https://docs.google.com/spreadsheets/d/1IYY_tgx_IHuhSq3AJ5eI5OnqOPBNLWSHKh2a30DoXe8/edit?usp=sharing"",""นครศรีธรรมราช!J511"")"),0)</f>
        <v>0</v>
      </c>
      <c r="T80" s="307">
        <f t="shared" ca="1" si="8"/>
        <v>0</v>
      </c>
      <c r="U80" s="639">
        <f t="shared" ca="1" si="56"/>
        <v>0</v>
      </c>
      <c r="V80" s="307">
        <f t="shared" ca="1" si="9"/>
        <v>0</v>
      </c>
      <c r="W80" s="639">
        <f ca="1">IFERROR(__xludf.DUMMYFUNCTION("IMPORTRANGE(""https://docs.google.com/spreadsheets/d/1IYY_tgx_IHuhSq3AJ5eI5OnqOPBNLWSHKh2a30DoXe8/edit?usp=sharing"",""นครศรีธรรมราช!J515"")"),0)</f>
        <v>0</v>
      </c>
      <c r="X80" s="639">
        <f ca="1">IFERROR(__xludf.DUMMYFUNCTION("IMPORTRANGE(""https://docs.google.com/spreadsheets/d/1IYY_tgx_IHuhSq3AJ5eI5OnqOPBNLWSHKh2a30DoXe8/edit?usp=sharing"",""นครศรีธรรมราช!J514"")"),0)</f>
        <v>0</v>
      </c>
      <c r="Y80" s="306">
        <f t="shared" ca="1" si="57"/>
        <v>0</v>
      </c>
      <c r="Z80" s="307">
        <f t="shared" ca="1" si="11"/>
        <v>0</v>
      </c>
      <c r="AA80" s="306">
        <f ca="1">IFERROR(__xludf.DUMMYFUNCTION("IMPORTRANGE(""https://docs.google.com/spreadsheets/d/1IYY_tgx_IHuhSq3AJ5eI5OnqOPBNLWSHKh2a30DoXe8/edit?usp=sharing"",""นครศรีธรรมราช!J517"")"),0)</f>
        <v>0</v>
      </c>
      <c r="AB80" s="306">
        <f ca="1">IFERROR(__xludf.DUMMYFUNCTION("IMPORTRANGE(""https://docs.google.com/spreadsheets/d/1IYY_tgx_IHuhSq3AJ5eI5OnqOPBNLWSHKh2a30DoXe8/edit?usp=sharing"",""นครศรีธรรมราช!J518"")"),0)</f>
        <v>0</v>
      </c>
      <c r="AC80" s="306">
        <f ca="1">IFERROR(__xludf.DUMMYFUNCTION("IMPORTRANGE(""https://docs.google.com/spreadsheets/d/1IYY_tgx_IHuhSq3AJ5eI5OnqOPBNLWSHKh2a30DoXe8/edit?usp=sharing"",""นครศรีธรรมราช!J520"")"),0)</f>
        <v>0</v>
      </c>
      <c r="AD80" s="609">
        <f ca="1">IFERROR(__xludf.DUMMYFUNCTION("IMPORTRANGE(""https://docs.google.com/spreadsheets/d/1IYY_tgx_IHuhSq3AJ5eI5OnqOPBNLWSHKh2a30DoXe8/edit?usp=sharing"",""นครศรีธรรมราช!J521"")"),0)</f>
        <v>0</v>
      </c>
    </row>
    <row r="81" spans="1:30" ht="21" customHeight="1">
      <c r="A81" s="303">
        <v>5</v>
      </c>
      <c r="B81" s="304" t="s">
        <v>105</v>
      </c>
      <c r="C81" s="305">
        <f t="shared" ca="1" si="54"/>
        <v>10690</v>
      </c>
      <c r="D81" s="306">
        <f ca="1">IFERROR(__xludf.DUMMYFUNCTION("IMPORTRANGE(""https://docs.google.com/spreadsheets/d/1C3CXT74ZlgGe6_JY_1olB1XN4rF0dxEuIIF-xsYjHgg/edit?usp=sharing"",""งบกองทุน!EV85"")"),0)</f>
        <v>0</v>
      </c>
      <c r="E81" s="306">
        <f ca="1">IFERROR(__xludf.DUMMYFUNCTION("IMPORTRANGE(""https://docs.google.com/spreadsheets/d/1C3CXT74ZlgGe6_JY_1olB1XN4rF0dxEuIIF-xsYjHgg/edit?usp=sharing"",""งบกองทุน!EW85"")"),10690)</f>
        <v>10690</v>
      </c>
      <c r="F81" s="307">
        <f ca="1">IFERROR(__xludf.DUMMYFUNCTION("IMPORTRANGE(""https://docs.google.com/spreadsheets/d/1IYY_tgx_IHuhSq3AJ5eI5OnqOPBNLWSHKh2a30DoXe8/edit?usp=sharing"",""นราธิวาส!M492"")"),2600)</f>
        <v>2600</v>
      </c>
      <c r="G81" s="307">
        <f t="shared" ca="1" si="1"/>
        <v>24.321796071094482</v>
      </c>
      <c r="H81" s="638">
        <f t="shared" ca="1" si="55"/>
        <v>316.83999999999901</v>
      </c>
      <c r="I81" s="638">
        <f ca="1">IFERROR(__xludf.DUMMYFUNCTION("IMPORTRANGE(""https://docs.google.com/spreadsheets/d/1C3CXT74ZlgGe6_JY_1olB1XN4rF0dxEuIIF-xsYjHgg/edit?usp=sharing"",""งบกองทุน!EZ85"")"),50)</f>
        <v>50</v>
      </c>
      <c r="J81" s="638">
        <f ca="1">IFERROR(__xludf.DUMMYFUNCTION("IMPORTRANGE(""https://docs.google.com/spreadsheets/d/1C3CXT74ZlgGe6_JY_1olB1XN4rF0dxEuIIF-xsYjHgg/edit?usp=sharing"",""งบกองทุน!FF85"")"),266.839999999999)</f>
        <v>266.83999999999901</v>
      </c>
      <c r="K81" s="306">
        <f ca="1">IFERROR(__xludf.DUMMYFUNCTION("IMPORTRANGE(""https://docs.google.com/spreadsheets/d/1IYY_tgx_IHuhSq3AJ5eI5OnqOPBNLWSHKh2a30DoXe8/edit?usp=sharing"",""นราธิวาส!J507"")"),50)</f>
        <v>50</v>
      </c>
      <c r="L81" s="307">
        <f t="shared" ca="1" si="4"/>
        <v>15.780835753061531</v>
      </c>
      <c r="M81" s="306">
        <f ca="1">IFERROR(__xludf.DUMMYFUNCTION("IMPORTRANGE(""https://docs.google.com/spreadsheets/d/1IYY_tgx_IHuhSq3AJ5eI5OnqOPBNLWSHKh2a30DoXe8/edit?usp=sharing"",""นราธิวาส!J508"")"),36)</f>
        <v>36</v>
      </c>
      <c r="N81" s="307">
        <f t="shared" ca="1" si="5"/>
        <v>11.362201742204302</v>
      </c>
      <c r="O81" s="306">
        <f ca="1">IFERROR(__xludf.DUMMYFUNCTION("IMPORTRANGE(""https://docs.google.com/spreadsheets/d/1IYY_tgx_IHuhSq3AJ5eI5OnqOPBNLWSHKh2a30DoXe8/edit?usp=sharing"",""นราธิวาส!J509"")"),36)</f>
        <v>36</v>
      </c>
      <c r="P81" s="307">
        <f t="shared" ca="1" si="6"/>
        <v>11.362201742204302</v>
      </c>
      <c r="Q81" s="306">
        <f ca="1">IFERROR(__xludf.DUMMYFUNCTION("IMPORTRANGE(""https://docs.google.com/spreadsheets/d/1IYY_tgx_IHuhSq3AJ5eI5OnqOPBNLWSHKh2a30DoXe8/edit?usp=sharing"",""นราธิวาส!J510"")"),36)</f>
        <v>36</v>
      </c>
      <c r="R81" s="307">
        <f t="shared" ca="1" si="7"/>
        <v>11.362201742204302</v>
      </c>
      <c r="S81" s="306">
        <f ca="1">IFERROR(__xludf.DUMMYFUNCTION("IMPORTRANGE(""https://docs.google.com/spreadsheets/d/1IYY_tgx_IHuhSq3AJ5eI5OnqOPBNLWSHKh2a30DoXe8/edit?usp=sharing"",""นราธิวาส!J511"")"),36)</f>
        <v>36</v>
      </c>
      <c r="T81" s="307">
        <f t="shared" ca="1" si="8"/>
        <v>11.362201742204302</v>
      </c>
      <c r="U81" s="639">
        <f t="shared" ca="1" si="56"/>
        <v>267</v>
      </c>
      <c r="V81" s="307">
        <f t="shared" ca="1" si="9"/>
        <v>84.269662921348583</v>
      </c>
      <c r="W81" s="639">
        <f ca="1">IFERROR(__xludf.DUMMYFUNCTION("IMPORTRANGE(""https://docs.google.com/spreadsheets/d/1IYY_tgx_IHuhSq3AJ5eI5OnqOPBNLWSHKh2a30DoXe8/edit?usp=sharing"",""นราธิวาส!J515"")"),267)</f>
        <v>267</v>
      </c>
      <c r="X81" s="639">
        <f ca="1">IFERROR(__xludf.DUMMYFUNCTION("IMPORTRANGE(""https://docs.google.com/spreadsheets/d/1IYY_tgx_IHuhSq3AJ5eI5OnqOPBNLWSHKh2a30DoXe8/edit?usp=sharing"",""นราธิวาส!J514"")"),0)</f>
        <v>0</v>
      </c>
      <c r="Y81" s="306">
        <f t="shared" ca="1" si="57"/>
        <v>267</v>
      </c>
      <c r="Z81" s="307">
        <f t="shared" ca="1" si="11"/>
        <v>84.269662921348583</v>
      </c>
      <c r="AA81" s="306">
        <f ca="1">IFERROR(__xludf.DUMMYFUNCTION("IMPORTRANGE(""https://docs.google.com/spreadsheets/d/1IYY_tgx_IHuhSq3AJ5eI5OnqOPBNLWSHKh2a30DoXe8/edit?usp=sharing"",""นราธิวาส!J517"")"),125)</f>
        <v>125</v>
      </c>
      <c r="AB81" s="306">
        <f ca="1">IFERROR(__xludf.DUMMYFUNCTION("IMPORTRANGE(""https://docs.google.com/spreadsheets/d/1IYY_tgx_IHuhSq3AJ5eI5OnqOPBNLWSHKh2a30DoXe8/edit?usp=sharing"",""นราธิวาส!J518"")"),142)</f>
        <v>142</v>
      </c>
      <c r="AC81" s="306">
        <f ca="1">IFERROR(__xludf.DUMMYFUNCTION("IMPORTRANGE(""https://docs.google.com/spreadsheets/d/1IYY_tgx_IHuhSq3AJ5eI5OnqOPBNLWSHKh2a30DoXe8/edit?usp=sharing"",""นราธิวาส!J520"")"),248)</f>
        <v>248</v>
      </c>
      <c r="AD81" s="609">
        <f ca="1">IFERROR(__xludf.DUMMYFUNCTION("IMPORTRANGE(""https://docs.google.com/spreadsheets/d/1IYY_tgx_IHuhSq3AJ5eI5OnqOPBNLWSHKh2a30DoXe8/edit?usp=sharing"",""นราธิวาส!J521"")"),248)</f>
        <v>248</v>
      </c>
    </row>
    <row r="82" spans="1:30" ht="21" customHeight="1">
      <c r="A82" s="303">
        <v>6</v>
      </c>
      <c r="B82" s="304" t="s">
        <v>106</v>
      </c>
      <c r="C82" s="305">
        <f t="shared" ca="1" si="54"/>
        <v>7300</v>
      </c>
      <c r="D82" s="306">
        <f ca="1">IFERROR(__xludf.DUMMYFUNCTION("IMPORTRANGE(""https://docs.google.com/spreadsheets/d/1C3CXT74ZlgGe6_JY_1olB1XN4rF0dxEuIIF-xsYjHgg/edit?usp=sharing"",""งบกองทุน!EV86"")"),0)</f>
        <v>0</v>
      </c>
      <c r="E82" s="306">
        <f ca="1">IFERROR(__xludf.DUMMYFUNCTION("IMPORTRANGE(""https://docs.google.com/spreadsheets/d/1C3CXT74ZlgGe6_JY_1olB1XN4rF0dxEuIIF-xsYjHgg/edit?usp=sharing"",""งบกองทุน!EW86"")"),7300)</f>
        <v>7300</v>
      </c>
      <c r="F82" s="307">
        <f ca="1">IFERROR(__xludf.DUMMYFUNCTION("IMPORTRANGE(""https://docs.google.com/spreadsheets/d/1IYY_tgx_IHuhSq3AJ5eI5OnqOPBNLWSHKh2a30DoXe8/edit?usp=sharing"",""ปัตตานี!M492"")"),0)</f>
        <v>0</v>
      </c>
      <c r="G82" s="307">
        <f t="shared" ca="1" si="1"/>
        <v>0</v>
      </c>
      <c r="H82" s="638">
        <f t="shared" ca="1" si="55"/>
        <v>100</v>
      </c>
      <c r="I82" s="638">
        <f ca="1">IFERROR(__xludf.DUMMYFUNCTION("IMPORTRANGE(""https://docs.google.com/spreadsheets/d/1C3CXT74ZlgGe6_JY_1olB1XN4rF0dxEuIIF-xsYjHgg/edit?usp=sharing"",""งบกองทุน!EZ86"")"),100)</f>
        <v>100</v>
      </c>
      <c r="J82" s="638">
        <f ca="1">IFERROR(__xludf.DUMMYFUNCTION("IMPORTRANGE(""https://docs.google.com/spreadsheets/d/1C3CXT74ZlgGe6_JY_1olB1XN4rF0dxEuIIF-xsYjHgg/edit?usp=sharing"",""งบกองทุน!FF86"")"),0)</f>
        <v>0</v>
      </c>
      <c r="K82" s="306">
        <f ca="1">IFERROR(__xludf.DUMMYFUNCTION("IMPORTRANGE(""https://docs.google.com/spreadsheets/d/1IYY_tgx_IHuhSq3AJ5eI5OnqOPBNLWSHKh2a30DoXe8/edit?usp=sharing"",""ปัตตานี!J507"")"),513.55)</f>
        <v>513.54999999999995</v>
      </c>
      <c r="L82" s="307">
        <f t="shared" ca="1" si="4"/>
        <v>513.54999999999995</v>
      </c>
      <c r="M82" s="306">
        <f ca="1">IFERROR(__xludf.DUMMYFUNCTION("IMPORTRANGE(""https://docs.google.com/spreadsheets/d/1IYY_tgx_IHuhSq3AJ5eI5OnqOPBNLWSHKh2a30DoXe8/edit?usp=sharing"",""ปัตตานี!J508"")"),513.55)</f>
        <v>513.54999999999995</v>
      </c>
      <c r="N82" s="307">
        <f t="shared" ca="1" si="5"/>
        <v>513.54999999999995</v>
      </c>
      <c r="O82" s="306">
        <f ca="1">IFERROR(__xludf.DUMMYFUNCTION("IMPORTRANGE(""https://docs.google.com/spreadsheets/d/1IYY_tgx_IHuhSq3AJ5eI5OnqOPBNLWSHKh2a30DoXe8/edit?usp=sharing"",""ปัตตานี!J509"")"),513.55)</f>
        <v>513.54999999999995</v>
      </c>
      <c r="P82" s="307">
        <f t="shared" ca="1" si="6"/>
        <v>513.54999999999995</v>
      </c>
      <c r="Q82" s="306">
        <f ca="1">IFERROR(__xludf.DUMMYFUNCTION("IMPORTRANGE(""https://docs.google.com/spreadsheets/d/1IYY_tgx_IHuhSq3AJ5eI5OnqOPBNLWSHKh2a30DoXe8/edit?usp=sharing"",""ปัตตานี!J510"")"),513.55)</f>
        <v>513.54999999999995</v>
      </c>
      <c r="R82" s="307">
        <f t="shared" ca="1" si="7"/>
        <v>513.54999999999995</v>
      </c>
      <c r="S82" s="306">
        <f ca="1">IFERROR(__xludf.DUMMYFUNCTION("IMPORTRANGE(""https://docs.google.com/spreadsheets/d/1IYY_tgx_IHuhSq3AJ5eI5OnqOPBNLWSHKh2a30DoXe8/edit?usp=sharing"",""ปัตตานี!J511"")"),0)</f>
        <v>0</v>
      </c>
      <c r="T82" s="307">
        <f t="shared" ca="1" si="8"/>
        <v>0</v>
      </c>
      <c r="U82" s="639">
        <f t="shared" ca="1" si="56"/>
        <v>0</v>
      </c>
      <c r="V82" s="307">
        <f t="shared" ca="1" si="9"/>
        <v>0</v>
      </c>
      <c r="W82" s="639">
        <f ca="1">IFERROR(__xludf.DUMMYFUNCTION("IMPORTRANGE(""https://docs.google.com/spreadsheets/d/1IYY_tgx_IHuhSq3AJ5eI5OnqOPBNLWSHKh2a30DoXe8/edit?usp=sharing"",""ปัตตานี!J515"")"),0)</f>
        <v>0</v>
      </c>
      <c r="X82" s="639">
        <f ca="1">IFERROR(__xludf.DUMMYFUNCTION("IMPORTRANGE(""https://docs.google.com/spreadsheets/d/1IYY_tgx_IHuhSq3AJ5eI5OnqOPBNLWSHKh2a30DoXe8/edit?usp=sharing"",""ปัตตานี!J514"")"),0)</f>
        <v>0</v>
      </c>
      <c r="Y82" s="306">
        <f t="shared" ca="1" si="57"/>
        <v>0</v>
      </c>
      <c r="Z82" s="307">
        <f t="shared" ca="1" si="11"/>
        <v>0</v>
      </c>
      <c r="AA82" s="306">
        <f ca="1">IFERROR(__xludf.DUMMYFUNCTION("IMPORTRANGE(""https://docs.google.com/spreadsheets/d/1IYY_tgx_IHuhSq3AJ5eI5OnqOPBNLWSHKh2a30DoXe8/edit?usp=sharing"",""ปัตตานี!J517"")"),0)</f>
        <v>0</v>
      </c>
      <c r="AB82" s="306">
        <f ca="1">IFERROR(__xludf.DUMMYFUNCTION("IMPORTRANGE(""https://docs.google.com/spreadsheets/d/1IYY_tgx_IHuhSq3AJ5eI5OnqOPBNLWSHKh2a30DoXe8/edit?usp=sharing"",""ปัตตานี!J518"")"),0)</f>
        <v>0</v>
      </c>
      <c r="AC82" s="306">
        <f ca="1">IFERROR(__xludf.DUMMYFUNCTION("IMPORTRANGE(""https://docs.google.com/spreadsheets/d/1IYY_tgx_IHuhSq3AJ5eI5OnqOPBNLWSHKh2a30DoXe8/edit?usp=sharing"",""ปัตตานี!J520"")"),0)</f>
        <v>0</v>
      </c>
      <c r="AD82" s="609">
        <f ca="1">IFERROR(__xludf.DUMMYFUNCTION("IMPORTRANGE(""https://docs.google.com/spreadsheets/d/1IYY_tgx_IHuhSq3AJ5eI5OnqOPBNLWSHKh2a30DoXe8/edit?usp=sharing"",""ปัตตานี!J521"")"),0)</f>
        <v>0</v>
      </c>
    </row>
    <row r="83" spans="1:30" ht="21" customHeight="1">
      <c r="A83" s="303">
        <v>7</v>
      </c>
      <c r="B83" s="304" t="s">
        <v>107</v>
      </c>
      <c r="C83" s="305">
        <f t="shared" ca="1" si="54"/>
        <v>5350</v>
      </c>
      <c r="D83" s="306">
        <f ca="1">IFERROR(__xludf.DUMMYFUNCTION("IMPORTRANGE(""https://docs.google.com/spreadsheets/d/1C3CXT74ZlgGe6_JY_1olB1XN4rF0dxEuIIF-xsYjHgg/edit?usp=sharing"",""งบกองทุน!EV87"")"),0)</f>
        <v>0</v>
      </c>
      <c r="E83" s="306">
        <f ca="1">IFERROR(__xludf.DUMMYFUNCTION("IMPORTRANGE(""https://docs.google.com/spreadsheets/d/1C3CXT74ZlgGe6_JY_1olB1XN4rF0dxEuIIF-xsYjHgg/edit?usp=sharing"",""งบกองทุน!EW87"")"),5350)</f>
        <v>5350</v>
      </c>
      <c r="F83" s="307">
        <f ca="1">IFERROR(__xludf.DUMMYFUNCTION("IMPORTRANGE(""https://docs.google.com/spreadsheets/d/1IYY_tgx_IHuhSq3AJ5eI5OnqOPBNLWSHKh2a30DoXe8/edit?usp=sharing"",""พังงา!M492"")"),1920)</f>
        <v>1920</v>
      </c>
      <c r="G83" s="307">
        <f t="shared" ca="1" si="1"/>
        <v>35.887850467289717</v>
      </c>
      <c r="H83" s="638">
        <f t="shared" ca="1" si="55"/>
        <v>50</v>
      </c>
      <c r="I83" s="638">
        <f ca="1">IFERROR(__xludf.DUMMYFUNCTION("IMPORTRANGE(""https://docs.google.com/spreadsheets/d/1C3CXT74ZlgGe6_JY_1olB1XN4rF0dxEuIIF-xsYjHgg/edit?usp=sharing"",""งบกองทุน!EZ87"")"),50)</f>
        <v>50</v>
      </c>
      <c r="J83" s="638">
        <f ca="1">IFERROR(__xludf.DUMMYFUNCTION("IMPORTRANGE(""https://docs.google.com/spreadsheets/d/1C3CXT74ZlgGe6_JY_1olB1XN4rF0dxEuIIF-xsYjHgg/edit?usp=sharing"",""งบกองทุน!FF87"")"),0)</f>
        <v>0</v>
      </c>
      <c r="K83" s="306">
        <f ca="1">IFERROR(__xludf.DUMMYFUNCTION("IMPORTRANGE(""https://docs.google.com/spreadsheets/d/1IYY_tgx_IHuhSq3AJ5eI5OnqOPBNLWSHKh2a30DoXe8/edit?usp=sharing"",""พังงา!J507"")"),0)</f>
        <v>0</v>
      </c>
      <c r="L83" s="307">
        <f t="shared" ca="1" si="4"/>
        <v>0</v>
      </c>
      <c r="M83" s="306">
        <f ca="1">IFERROR(__xludf.DUMMYFUNCTION("IMPORTRANGE(""https://docs.google.com/spreadsheets/d/1IYY_tgx_IHuhSq3AJ5eI5OnqOPBNLWSHKh2a30DoXe8/edit?usp=sharing"",""พังงา!J508"")"),0)</f>
        <v>0</v>
      </c>
      <c r="N83" s="307">
        <f t="shared" ca="1" si="5"/>
        <v>0</v>
      </c>
      <c r="O83" s="306">
        <f ca="1">IFERROR(__xludf.DUMMYFUNCTION("IMPORTRANGE(""https://docs.google.com/spreadsheets/d/1IYY_tgx_IHuhSq3AJ5eI5OnqOPBNLWSHKh2a30DoXe8/edit?usp=sharing"",""พังงา!J509"")"),0)</f>
        <v>0</v>
      </c>
      <c r="P83" s="307">
        <f t="shared" ca="1" si="6"/>
        <v>0</v>
      </c>
      <c r="Q83" s="306">
        <f ca="1">IFERROR(__xludf.DUMMYFUNCTION("IMPORTRANGE(""https://docs.google.com/spreadsheets/d/1IYY_tgx_IHuhSq3AJ5eI5OnqOPBNLWSHKh2a30DoXe8/edit?usp=sharing"",""พังงา!J510"")"),0)</f>
        <v>0</v>
      </c>
      <c r="R83" s="307">
        <f t="shared" ca="1" si="7"/>
        <v>0</v>
      </c>
      <c r="S83" s="306">
        <f ca="1">IFERROR(__xludf.DUMMYFUNCTION("IMPORTRANGE(""https://docs.google.com/spreadsheets/d/1IYY_tgx_IHuhSq3AJ5eI5OnqOPBNLWSHKh2a30DoXe8/edit?usp=sharing"",""พังงา!J511"")"),0)</f>
        <v>0</v>
      </c>
      <c r="T83" s="307">
        <f t="shared" ca="1" si="8"/>
        <v>0</v>
      </c>
      <c r="U83" s="639">
        <f t="shared" ca="1" si="56"/>
        <v>0</v>
      </c>
      <c r="V83" s="307">
        <f t="shared" ca="1" si="9"/>
        <v>0</v>
      </c>
      <c r="W83" s="639">
        <f ca="1">IFERROR(__xludf.DUMMYFUNCTION("IMPORTRANGE(""https://docs.google.com/spreadsheets/d/1IYY_tgx_IHuhSq3AJ5eI5OnqOPBNLWSHKh2a30DoXe8/edit?usp=sharing"",""พังงา!J515"")"),0)</f>
        <v>0</v>
      </c>
      <c r="X83" s="639">
        <f ca="1">IFERROR(__xludf.DUMMYFUNCTION("IMPORTRANGE(""https://docs.google.com/spreadsheets/d/1IYY_tgx_IHuhSq3AJ5eI5OnqOPBNLWSHKh2a30DoXe8/edit?usp=sharing"",""พังงา!J514"")"),0)</f>
        <v>0</v>
      </c>
      <c r="Y83" s="306">
        <f t="shared" ca="1" si="57"/>
        <v>0</v>
      </c>
      <c r="Z83" s="307">
        <f t="shared" ca="1" si="11"/>
        <v>0</v>
      </c>
      <c r="AA83" s="306">
        <f ca="1">IFERROR(__xludf.DUMMYFUNCTION("IMPORTRANGE(""https://docs.google.com/spreadsheets/d/1IYY_tgx_IHuhSq3AJ5eI5OnqOPBNLWSHKh2a30DoXe8/edit?usp=sharing"",""พังงา!J517"")"),0)</f>
        <v>0</v>
      </c>
      <c r="AB83" s="306">
        <f ca="1">IFERROR(__xludf.DUMMYFUNCTION("IMPORTRANGE(""https://docs.google.com/spreadsheets/d/1IYY_tgx_IHuhSq3AJ5eI5OnqOPBNLWSHKh2a30DoXe8/edit?usp=sharing"",""พังงา!J518"")"),0)</f>
        <v>0</v>
      </c>
      <c r="AC83" s="306">
        <f ca="1">IFERROR(__xludf.DUMMYFUNCTION("IMPORTRANGE(""https://docs.google.com/spreadsheets/d/1IYY_tgx_IHuhSq3AJ5eI5OnqOPBNLWSHKh2a30DoXe8/edit?usp=sharing"",""พังงา!J520"")"),0)</f>
        <v>0</v>
      </c>
      <c r="AD83" s="609">
        <f ca="1">IFERROR(__xludf.DUMMYFUNCTION("IMPORTRANGE(""https://docs.google.com/spreadsheets/d/1IYY_tgx_IHuhSq3AJ5eI5OnqOPBNLWSHKh2a30DoXe8/edit?usp=sharing"",""พังงา!J521"")"),0)</f>
        <v>0</v>
      </c>
    </row>
    <row r="84" spans="1:30" ht="21" customHeight="1">
      <c r="A84" s="303">
        <v>8</v>
      </c>
      <c r="B84" s="304" t="s">
        <v>108</v>
      </c>
      <c r="C84" s="305">
        <f t="shared" ca="1" si="54"/>
        <v>4550</v>
      </c>
      <c r="D84" s="306">
        <f ca="1">IFERROR(__xludf.DUMMYFUNCTION("IMPORTRANGE(""https://docs.google.com/spreadsheets/d/1C3CXT74ZlgGe6_JY_1olB1XN4rF0dxEuIIF-xsYjHgg/edit?usp=sharing"",""งบกองทุน!EV88"")"),0)</f>
        <v>0</v>
      </c>
      <c r="E84" s="306">
        <f ca="1">IFERROR(__xludf.DUMMYFUNCTION("IMPORTRANGE(""https://docs.google.com/spreadsheets/d/1C3CXT74ZlgGe6_JY_1olB1XN4rF0dxEuIIF-xsYjHgg/edit?usp=sharing"",""งบกองทุน!EW88"")"),4550)</f>
        <v>4550</v>
      </c>
      <c r="F84" s="307">
        <f ca="1">IFERROR(__xludf.DUMMYFUNCTION("IMPORTRANGE(""https://docs.google.com/spreadsheets/d/1IYY_tgx_IHuhSq3AJ5eI5OnqOPBNLWSHKh2a30DoXe8/edit?usp=sharing"",""พัทลุง!M492"")"),1400)</f>
        <v>1400</v>
      </c>
      <c r="G84" s="307">
        <f t="shared" ca="1" si="1"/>
        <v>30.76923076923077</v>
      </c>
      <c r="H84" s="638">
        <f t="shared" ca="1" si="55"/>
        <v>50</v>
      </c>
      <c r="I84" s="638">
        <f ca="1">IFERROR(__xludf.DUMMYFUNCTION("IMPORTRANGE(""https://docs.google.com/spreadsheets/d/1C3CXT74ZlgGe6_JY_1olB1XN4rF0dxEuIIF-xsYjHgg/edit?usp=sharing"",""งบกองทุน!EZ88"")"),50)</f>
        <v>50</v>
      </c>
      <c r="J84" s="638">
        <f ca="1">IFERROR(__xludf.DUMMYFUNCTION("IMPORTRANGE(""https://docs.google.com/spreadsheets/d/1C3CXT74ZlgGe6_JY_1olB1XN4rF0dxEuIIF-xsYjHgg/edit?usp=sharing"",""งบกองทุน!FF88"")"),0)</f>
        <v>0</v>
      </c>
      <c r="K84" s="306">
        <f ca="1">IFERROR(__xludf.DUMMYFUNCTION("IMPORTRANGE(""https://docs.google.com/spreadsheets/d/1IYY_tgx_IHuhSq3AJ5eI5OnqOPBNLWSHKh2a30DoXe8/edit?usp=sharing"",""พัทลุง!J507"")"),30)</f>
        <v>30</v>
      </c>
      <c r="L84" s="307">
        <f t="shared" ca="1" si="4"/>
        <v>60</v>
      </c>
      <c r="M84" s="306">
        <f ca="1">IFERROR(__xludf.DUMMYFUNCTION("IMPORTRANGE(""https://docs.google.com/spreadsheets/d/1IYY_tgx_IHuhSq3AJ5eI5OnqOPBNLWSHKh2a30DoXe8/edit?usp=sharing"",""พัทลุง!J508"")"),30)</f>
        <v>30</v>
      </c>
      <c r="N84" s="307">
        <f t="shared" ca="1" si="5"/>
        <v>60</v>
      </c>
      <c r="O84" s="306">
        <f ca="1">IFERROR(__xludf.DUMMYFUNCTION("IMPORTRANGE(""https://docs.google.com/spreadsheets/d/1IYY_tgx_IHuhSq3AJ5eI5OnqOPBNLWSHKh2a30DoXe8/edit?usp=sharing"",""พัทลุง!J509"")"),30)</f>
        <v>30</v>
      </c>
      <c r="P84" s="307">
        <f t="shared" ca="1" si="6"/>
        <v>60</v>
      </c>
      <c r="Q84" s="306">
        <f ca="1">IFERROR(__xludf.DUMMYFUNCTION("IMPORTRANGE(""https://docs.google.com/spreadsheets/d/1IYY_tgx_IHuhSq3AJ5eI5OnqOPBNLWSHKh2a30DoXe8/edit?usp=sharing"",""พัทลุง!J510"")"),30)</f>
        <v>30</v>
      </c>
      <c r="R84" s="307">
        <f t="shared" ca="1" si="7"/>
        <v>60</v>
      </c>
      <c r="S84" s="306">
        <f ca="1">IFERROR(__xludf.DUMMYFUNCTION("IMPORTRANGE(""https://docs.google.com/spreadsheets/d/1IYY_tgx_IHuhSq3AJ5eI5OnqOPBNLWSHKh2a30DoXe8/edit?usp=sharing"",""พัทลุง!J511"")"),30)</f>
        <v>30</v>
      </c>
      <c r="T84" s="307">
        <f t="shared" ca="1" si="8"/>
        <v>60</v>
      </c>
      <c r="U84" s="639">
        <f t="shared" ca="1" si="56"/>
        <v>0</v>
      </c>
      <c r="V84" s="307">
        <f t="shared" ca="1" si="9"/>
        <v>0</v>
      </c>
      <c r="W84" s="639">
        <f ca="1">IFERROR(__xludf.DUMMYFUNCTION("IMPORTRANGE(""https://docs.google.com/spreadsheets/d/1IYY_tgx_IHuhSq3AJ5eI5OnqOPBNLWSHKh2a30DoXe8/edit?usp=sharing"",""พัทลุง!J515"")"),0)</f>
        <v>0</v>
      </c>
      <c r="X84" s="639">
        <f ca="1">IFERROR(__xludf.DUMMYFUNCTION("IMPORTRANGE(""https://docs.google.com/spreadsheets/d/1IYY_tgx_IHuhSq3AJ5eI5OnqOPBNLWSHKh2a30DoXe8/edit?usp=sharing"",""พัทลุง!J514"")"),0)</f>
        <v>0</v>
      </c>
      <c r="Y84" s="306">
        <f t="shared" ca="1" si="57"/>
        <v>0</v>
      </c>
      <c r="Z84" s="307">
        <f t="shared" ca="1" si="11"/>
        <v>0</v>
      </c>
      <c r="AA84" s="306">
        <f ca="1">IFERROR(__xludf.DUMMYFUNCTION("IMPORTRANGE(""https://docs.google.com/spreadsheets/d/1IYY_tgx_IHuhSq3AJ5eI5OnqOPBNLWSHKh2a30DoXe8/edit?usp=sharing"",""พัทลุง!J517"")"),0)</f>
        <v>0</v>
      </c>
      <c r="AB84" s="306">
        <f ca="1">IFERROR(__xludf.DUMMYFUNCTION("IMPORTRANGE(""https://docs.google.com/spreadsheets/d/1IYY_tgx_IHuhSq3AJ5eI5OnqOPBNLWSHKh2a30DoXe8/edit?usp=sharing"",""พัทลุง!J518"")"),0)</f>
        <v>0</v>
      </c>
      <c r="AC84" s="306">
        <f ca="1">IFERROR(__xludf.DUMMYFUNCTION("IMPORTRANGE(""https://docs.google.com/spreadsheets/d/1IYY_tgx_IHuhSq3AJ5eI5OnqOPBNLWSHKh2a30DoXe8/edit?usp=sharing"",""พัทลุง!J520"")"),0)</f>
        <v>0</v>
      </c>
      <c r="AD84" s="609">
        <f ca="1">IFERROR(__xludf.DUMMYFUNCTION("IMPORTRANGE(""https://docs.google.com/spreadsheets/d/1IYY_tgx_IHuhSq3AJ5eI5OnqOPBNLWSHKh2a30DoXe8/edit?usp=sharing"",""พัทลุง!J521"")"),0)</f>
        <v>0</v>
      </c>
    </row>
    <row r="85" spans="1:30" ht="21" customHeight="1">
      <c r="A85" s="303">
        <v>9</v>
      </c>
      <c r="B85" s="304" t="s">
        <v>109</v>
      </c>
      <c r="C85" s="305">
        <f t="shared" ca="1" si="54"/>
        <v>7300</v>
      </c>
      <c r="D85" s="306">
        <f ca="1">IFERROR(__xludf.DUMMYFUNCTION("IMPORTRANGE(""https://docs.google.com/spreadsheets/d/1C3CXT74ZlgGe6_JY_1olB1XN4rF0dxEuIIF-xsYjHgg/edit?usp=sharing"",""งบกองทุน!EV89"")"),0)</f>
        <v>0</v>
      </c>
      <c r="E85" s="306">
        <f ca="1">IFERROR(__xludf.DUMMYFUNCTION("IMPORTRANGE(""https://docs.google.com/spreadsheets/d/1C3CXT74ZlgGe6_JY_1olB1XN4rF0dxEuIIF-xsYjHgg/edit?usp=sharing"",""งบกองทุน!EW89"")"),7300)</f>
        <v>7300</v>
      </c>
      <c r="F85" s="307">
        <f ca="1">IFERROR(__xludf.DUMMYFUNCTION("IMPORTRANGE(""https://docs.google.com/spreadsheets/d/1IYY_tgx_IHuhSq3AJ5eI5OnqOPBNLWSHKh2a30DoXe8/edit?usp=sharing"",""ภูเก็ต!M492"")"),400)</f>
        <v>400</v>
      </c>
      <c r="G85" s="307">
        <f t="shared" ca="1" si="1"/>
        <v>5.4794520547945202</v>
      </c>
      <c r="H85" s="638">
        <f t="shared" ca="1" si="55"/>
        <v>100</v>
      </c>
      <c r="I85" s="638">
        <f ca="1">IFERROR(__xludf.DUMMYFUNCTION("IMPORTRANGE(""https://docs.google.com/spreadsheets/d/1C3CXT74ZlgGe6_JY_1olB1XN4rF0dxEuIIF-xsYjHgg/edit?usp=sharing"",""งบกองทุน!EZ89"")"),100)</f>
        <v>100</v>
      </c>
      <c r="J85" s="638">
        <f ca="1">IFERROR(__xludf.DUMMYFUNCTION("IMPORTRANGE(""https://docs.google.com/spreadsheets/d/1C3CXT74ZlgGe6_JY_1olB1XN4rF0dxEuIIF-xsYjHgg/edit?usp=sharing"",""งบกองทุน!FF89"")"),0)</f>
        <v>0</v>
      </c>
      <c r="K85" s="306">
        <f ca="1">IFERROR(__xludf.DUMMYFUNCTION("IMPORTRANGE(""https://docs.google.com/spreadsheets/d/1IYY_tgx_IHuhSq3AJ5eI5OnqOPBNLWSHKh2a30DoXe8/edit?usp=sharing"",""ภูเก็ต!J507"")"),0)</f>
        <v>0</v>
      </c>
      <c r="L85" s="307">
        <f t="shared" ca="1" si="4"/>
        <v>0</v>
      </c>
      <c r="M85" s="306">
        <f ca="1">IFERROR(__xludf.DUMMYFUNCTION("IMPORTRANGE(""https://docs.google.com/spreadsheets/d/1IYY_tgx_IHuhSq3AJ5eI5OnqOPBNLWSHKh2a30DoXe8/edit?usp=sharing"",""ภูเก็ต!J508"")"),0)</f>
        <v>0</v>
      </c>
      <c r="N85" s="307">
        <f t="shared" ca="1" si="5"/>
        <v>0</v>
      </c>
      <c r="O85" s="306">
        <f ca="1">IFERROR(__xludf.DUMMYFUNCTION("IMPORTRANGE(""https://docs.google.com/spreadsheets/d/1IYY_tgx_IHuhSq3AJ5eI5OnqOPBNLWSHKh2a30DoXe8/edit?usp=sharing"",""ภูเก็ต!J509"")"),0)</f>
        <v>0</v>
      </c>
      <c r="P85" s="307">
        <f t="shared" ca="1" si="6"/>
        <v>0</v>
      </c>
      <c r="Q85" s="306">
        <f ca="1">IFERROR(__xludf.DUMMYFUNCTION("IMPORTRANGE(""https://docs.google.com/spreadsheets/d/1IYY_tgx_IHuhSq3AJ5eI5OnqOPBNLWSHKh2a30DoXe8/edit?usp=sharing"",""ภูเก็ต!J510"")"),0)</f>
        <v>0</v>
      </c>
      <c r="R85" s="307">
        <f t="shared" ca="1" si="7"/>
        <v>0</v>
      </c>
      <c r="S85" s="306">
        <f ca="1">IFERROR(__xludf.DUMMYFUNCTION("IMPORTRANGE(""https://docs.google.com/spreadsheets/d/1IYY_tgx_IHuhSq3AJ5eI5OnqOPBNLWSHKh2a30DoXe8/edit?usp=sharing"",""ภูเก็ต!J511"")"),0)</f>
        <v>0</v>
      </c>
      <c r="T85" s="307">
        <f t="shared" ca="1" si="8"/>
        <v>0</v>
      </c>
      <c r="U85" s="639">
        <f t="shared" ca="1" si="56"/>
        <v>0</v>
      </c>
      <c r="V85" s="307">
        <f t="shared" ca="1" si="9"/>
        <v>0</v>
      </c>
      <c r="W85" s="639">
        <f ca="1">IFERROR(__xludf.DUMMYFUNCTION("IMPORTRANGE(""https://docs.google.com/spreadsheets/d/1IYY_tgx_IHuhSq3AJ5eI5OnqOPBNLWSHKh2a30DoXe8/edit?usp=sharing"",""ภูเก็ต!J515"")"),0)</f>
        <v>0</v>
      </c>
      <c r="X85" s="639">
        <f ca="1">IFERROR(__xludf.DUMMYFUNCTION("IMPORTRANGE(""https://docs.google.com/spreadsheets/d/1IYY_tgx_IHuhSq3AJ5eI5OnqOPBNLWSHKh2a30DoXe8/edit?usp=sharing"",""ภูเก็ต!J514"")"),0)</f>
        <v>0</v>
      </c>
      <c r="Y85" s="306">
        <f t="shared" ca="1" si="57"/>
        <v>0</v>
      </c>
      <c r="Z85" s="307">
        <f t="shared" ca="1" si="11"/>
        <v>0</v>
      </c>
      <c r="AA85" s="306">
        <f ca="1">IFERROR(__xludf.DUMMYFUNCTION("IMPORTRANGE(""https://docs.google.com/spreadsheets/d/1IYY_tgx_IHuhSq3AJ5eI5OnqOPBNLWSHKh2a30DoXe8/edit?usp=sharing"",""ภูเก็ต!J517"")"),0)</f>
        <v>0</v>
      </c>
      <c r="AB85" s="306">
        <f ca="1">IFERROR(__xludf.DUMMYFUNCTION("IMPORTRANGE(""https://docs.google.com/spreadsheets/d/1IYY_tgx_IHuhSq3AJ5eI5OnqOPBNLWSHKh2a30DoXe8/edit?usp=sharing"",""ภูเก็ต!J518"")"),0)</f>
        <v>0</v>
      </c>
      <c r="AC85" s="306">
        <f ca="1">IFERROR(__xludf.DUMMYFUNCTION("IMPORTRANGE(""https://docs.google.com/spreadsheets/d/1IYY_tgx_IHuhSq3AJ5eI5OnqOPBNLWSHKh2a30DoXe8/edit?usp=sharing"",""ภูเก็ต!J520"")"),0)</f>
        <v>0</v>
      </c>
      <c r="AD85" s="609">
        <f ca="1">IFERROR(__xludf.DUMMYFUNCTION("IMPORTRANGE(""https://docs.google.com/spreadsheets/d/1IYY_tgx_IHuhSq3AJ5eI5OnqOPBNLWSHKh2a30DoXe8/edit?usp=sharing"",""ภูเก็ต!J521"")"),0)</f>
        <v>0</v>
      </c>
    </row>
    <row r="86" spans="1:30" ht="21" customHeight="1">
      <c r="A86" s="303">
        <v>10</v>
      </c>
      <c r="B86" s="304" t="s">
        <v>110</v>
      </c>
      <c r="C86" s="305">
        <f t="shared" ca="1" si="54"/>
        <v>4550</v>
      </c>
      <c r="D86" s="306">
        <f ca="1">IFERROR(__xludf.DUMMYFUNCTION("IMPORTRANGE(""https://docs.google.com/spreadsheets/d/1C3CXT74ZlgGe6_JY_1olB1XN4rF0dxEuIIF-xsYjHgg/edit?usp=sharing"",""งบกองทุน!EV90"")"),0)</f>
        <v>0</v>
      </c>
      <c r="E86" s="306">
        <f ca="1">IFERROR(__xludf.DUMMYFUNCTION("IMPORTRANGE(""https://docs.google.com/spreadsheets/d/1C3CXT74ZlgGe6_JY_1olB1XN4rF0dxEuIIF-xsYjHgg/edit?usp=sharing"",""งบกองทุน!EW90"")"),4550)</f>
        <v>4550</v>
      </c>
      <c r="F86" s="307">
        <f ca="1">IFERROR(__xludf.DUMMYFUNCTION("IMPORTRANGE(""https://docs.google.com/spreadsheets/d/1IYY_tgx_IHuhSq3AJ5eI5OnqOPBNLWSHKh2a30DoXe8/edit?usp=sharing"",""ยะลา!M492"")"),1800)</f>
        <v>1800</v>
      </c>
      <c r="G86" s="307">
        <f t="shared" ca="1" si="1"/>
        <v>39.560439560439562</v>
      </c>
      <c r="H86" s="638">
        <f t="shared" ca="1" si="55"/>
        <v>50</v>
      </c>
      <c r="I86" s="638">
        <f ca="1">IFERROR(__xludf.DUMMYFUNCTION("IMPORTRANGE(""https://docs.google.com/spreadsheets/d/1C3CXT74ZlgGe6_JY_1olB1XN4rF0dxEuIIF-xsYjHgg/edit?usp=sharing"",""งบกองทุน!EZ90"")"),50)</f>
        <v>50</v>
      </c>
      <c r="J86" s="638">
        <f ca="1">IFERROR(__xludf.DUMMYFUNCTION("IMPORTRANGE(""https://docs.google.com/spreadsheets/d/1C3CXT74ZlgGe6_JY_1olB1XN4rF0dxEuIIF-xsYjHgg/edit?usp=sharing"",""งบกองทุน!FF90"")"),0)</f>
        <v>0</v>
      </c>
      <c r="K86" s="306">
        <f ca="1">IFERROR(__xludf.DUMMYFUNCTION("IMPORTRANGE(""https://docs.google.com/spreadsheets/d/1IYY_tgx_IHuhSq3AJ5eI5OnqOPBNLWSHKh2a30DoXe8/edit?usp=sharing"",""ยะลา!J507"")"),0)</f>
        <v>0</v>
      </c>
      <c r="L86" s="307">
        <f t="shared" ca="1" si="4"/>
        <v>0</v>
      </c>
      <c r="M86" s="306">
        <f ca="1">IFERROR(__xludf.DUMMYFUNCTION("IMPORTRANGE(""https://docs.google.com/spreadsheets/d/1IYY_tgx_IHuhSq3AJ5eI5OnqOPBNLWSHKh2a30DoXe8/edit?usp=sharing"",""ยะลา!J508"")"),0)</f>
        <v>0</v>
      </c>
      <c r="N86" s="307">
        <f t="shared" ca="1" si="5"/>
        <v>0</v>
      </c>
      <c r="O86" s="306">
        <f ca="1">IFERROR(__xludf.DUMMYFUNCTION("IMPORTRANGE(""https://docs.google.com/spreadsheets/d/1IYY_tgx_IHuhSq3AJ5eI5OnqOPBNLWSHKh2a30DoXe8/edit?usp=sharing"",""ยะลา!J509"")"),0)</f>
        <v>0</v>
      </c>
      <c r="P86" s="307">
        <f t="shared" ca="1" si="6"/>
        <v>0</v>
      </c>
      <c r="Q86" s="306">
        <f ca="1">IFERROR(__xludf.DUMMYFUNCTION("IMPORTRANGE(""https://docs.google.com/spreadsheets/d/1IYY_tgx_IHuhSq3AJ5eI5OnqOPBNLWSHKh2a30DoXe8/edit?usp=sharing"",""ยะลา!J510"")"),0)</f>
        <v>0</v>
      </c>
      <c r="R86" s="307">
        <f t="shared" ca="1" si="7"/>
        <v>0</v>
      </c>
      <c r="S86" s="306">
        <f ca="1">IFERROR(__xludf.DUMMYFUNCTION("IMPORTRANGE(""https://docs.google.com/spreadsheets/d/1IYY_tgx_IHuhSq3AJ5eI5OnqOPBNLWSHKh2a30DoXe8/edit?usp=sharing"",""ยะลา!J511"")"),0)</f>
        <v>0</v>
      </c>
      <c r="T86" s="307">
        <f t="shared" ca="1" si="8"/>
        <v>0</v>
      </c>
      <c r="U86" s="639">
        <f t="shared" ca="1" si="56"/>
        <v>0</v>
      </c>
      <c r="V86" s="307">
        <f t="shared" ca="1" si="9"/>
        <v>0</v>
      </c>
      <c r="W86" s="639">
        <f ca="1">IFERROR(__xludf.DUMMYFUNCTION("IMPORTRANGE(""https://docs.google.com/spreadsheets/d/1IYY_tgx_IHuhSq3AJ5eI5OnqOPBNLWSHKh2a30DoXe8/edit?usp=sharing"",""ยะลา!J515"")"),0)</f>
        <v>0</v>
      </c>
      <c r="X86" s="639">
        <f ca="1">IFERROR(__xludf.DUMMYFUNCTION("IMPORTRANGE(""https://docs.google.com/spreadsheets/d/1IYY_tgx_IHuhSq3AJ5eI5OnqOPBNLWSHKh2a30DoXe8/edit?usp=sharing"",""ยะลา!J514"")"),0)</f>
        <v>0</v>
      </c>
      <c r="Y86" s="306">
        <f t="shared" ca="1" si="57"/>
        <v>0</v>
      </c>
      <c r="Z86" s="307">
        <f t="shared" ca="1" si="11"/>
        <v>0</v>
      </c>
      <c r="AA86" s="306">
        <f ca="1">IFERROR(__xludf.DUMMYFUNCTION("IMPORTRANGE(""https://docs.google.com/spreadsheets/d/1IYY_tgx_IHuhSq3AJ5eI5OnqOPBNLWSHKh2a30DoXe8/edit?usp=sharing"",""ยะลา!J517"")"),0)</f>
        <v>0</v>
      </c>
      <c r="AB86" s="306">
        <f ca="1">IFERROR(__xludf.DUMMYFUNCTION("IMPORTRANGE(""https://docs.google.com/spreadsheets/d/1IYY_tgx_IHuhSq3AJ5eI5OnqOPBNLWSHKh2a30DoXe8/edit?usp=sharing"",""ยะลา!J518"")"),0)</f>
        <v>0</v>
      </c>
      <c r="AC86" s="306">
        <f ca="1">IFERROR(__xludf.DUMMYFUNCTION("IMPORTRANGE(""https://docs.google.com/spreadsheets/d/1IYY_tgx_IHuhSq3AJ5eI5OnqOPBNLWSHKh2a30DoXe8/edit?usp=sharing"",""ยะลา!J520"")"),0)</f>
        <v>0</v>
      </c>
      <c r="AD86" s="609">
        <f ca="1">IFERROR(__xludf.DUMMYFUNCTION("IMPORTRANGE(""https://docs.google.com/spreadsheets/d/1IYY_tgx_IHuhSq3AJ5eI5OnqOPBNLWSHKh2a30DoXe8/edit?usp=sharing"",""ยะลา!J521"")"),0)</f>
        <v>0</v>
      </c>
    </row>
    <row r="87" spans="1:30" ht="21" customHeight="1">
      <c r="A87" s="303">
        <v>11</v>
      </c>
      <c r="B87" s="304" t="s">
        <v>111</v>
      </c>
      <c r="C87" s="305">
        <f t="shared" ca="1" si="54"/>
        <v>7750</v>
      </c>
      <c r="D87" s="306">
        <f ca="1">IFERROR(__xludf.DUMMYFUNCTION("IMPORTRANGE(""https://docs.google.com/spreadsheets/d/1C3CXT74ZlgGe6_JY_1olB1XN4rF0dxEuIIF-xsYjHgg/edit?usp=sharing"",""งบกองทุน!EV91"")"),0)</f>
        <v>0</v>
      </c>
      <c r="E87" s="306">
        <f ca="1">IFERROR(__xludf.DUMMYFUNCTION("IMPORTRANGE(""https://docs.google.com/spreadsheets/d/1C3CXT74ZlgGe6_JY_1olB1XN4rF0dxEuIIF-xsYjHgg/edit?usp=sharing"",""งบกองทุน!EW91"")"),7750)</f>
        <v>7750</v>
      </c>
      <c r="F87" s="307">
        <f ca="1">IFERROR(__xludf.DUMMYFUNCTION("IMPORTRANGE(""https://docs.google.com/spreadsheets/d/1IYY_tgx_IHuhSq3AJ5eI5OnqOPBNLWSHKh2a30DoXe8/edit?usp=sharing"",""ระนอง!M492"")"),3400)</f>
        <v>3400</v>
      </c>
      <c r="G87" s="307">
        <f t="shared" ca="1" si="1"/>
        <v>43.87096774193548</v>
      </c>
      <c r="H87" s="638">
        <f t="shared" ca="1" si="55"/>
        <v>50</v>
      </c>
      <c r="I87" s="638">
        <f ca="1">IFERROR(__xludf.DUMMYFUNCTION("IMPORTRANGE(""https://docs.google.com/spreadsheets/d/1C3CXT74ZlgGe6_JY_1olB1XN4rF0dxEuIIF-xsYjHgg/edit?usp=sharing"",""งบกองทุน!EZ91"")"),50)</f>
        <v>50</v>
      </c>
      <c r="J87" s="638">
        <f ca="1">IFERROR(__xludf.DUMMYFUNCTION("IMPORTRANGE(""https://docs.google.com/spreadsheets/d/1C3CXT74ZlgGe6_JY_1olB1XN4rF0dxEuIIF-xsYjHgg/edit?usp=sharing"",""งบกองทุน!FF91"")"),0)</f>
        <v>0</v>
      </c>
      <c r="K87" s="306">
        <f ca="1">IFERROR(__xludf.DUMMYFUNCTION("IMPORTRANGE(""https://docs.google.com/spreadsheets/d/1IYY_tgx_IHuhSq3AJ5eI5OnqOPBNLWSHKh2a30DoXe8/edit?usp=sharing"",""ระนอง!J507"")"),0)</f>
        <v>0</v>
      </c>
      <c r="L87" s="307">
        <f t="shared" ca="1" si="4"/>
        <v>0</v>
      </c>
      <c r="M87" s="306">
        <f ca="1">IFERROR(__xludf.DUMMYFUNCTION("IMPORTRANGE(""https://docs.google.com/spreadsheets/d/1IYY_tgx_IHuhSq3AJ5eI5OnqOPBNLWSHKh2a30DoXe8/edit?usp=sharing"",""ระนอง!J508"")"),0)</f>
        <v>0</v>
      </c>
      <c r="N87" s="307">
        <f t="shared" ca="1" si="5"/>
        <v>0</v>
      </c>
      <c r="O87" s="306">
        <f ca="1">IFERROR(__xludf.DUMMYFUNCTION("IMPORTRANGE(""https://docs.google.com/spreadsheets/d/1IYY_tgx_IHuhSq3AJ5eI5OnqOPBNLWSHKh2a30DoXe8/edit?usp=sharing"",""ระนอง!J509"")"),0)</f>
        <v>0</v>
      </c>
      <c r="P87" s="307">
        <f t="shared" ca="1" si="6"/>
        <v>0</v>
      </c>
      <c r="Q87" s="306">
        <f ca="1">IFERROR(__xludf.DUMMYFUNCTION("IMPORTRANGE(""https://docs.google.com/spreadsheets/d/1IYY_tgx_IHuhSq3AJ5eI5OnqOPBNLWSHKh2a30DoXe8/edit?usp=sharing"",""ระนอง!J510"")"),0)</f>
        <v>0</v>
      </c>
      <c r="R87" s="307">
        <f t="shared" ca="1" si="7"/>
        <v>0</v>
      </c>
      <c r="S87" s="306">
        <f ca="1">IFERROR(__xludf.DUMMYFUNCTION("IMPORTRANGE(""https://docs.google.com/spreadsheets/d/1IYY_tgx_IHuhSq3AJ5eI5OnqOPBNLWSHKh2a30DoXe8/edit?usp=sharing"",""ระนอง!J511"")"),0)</f>
        <v>0</v>
      </c>
      <c r="T87" s="307">
        <f t="shared" ca="1" si="8"/>
        <v>0</v>
      </c>
      <c r="U87" s="639">
        <f t="shared" ca="1" si="56"/>
        <v>0</v>
      </c>
      <c r="V87" s="307">
        <f t="shared" ca="1" si="9"/>
        <v>0</v>
      </c>
      <c r="W87" s="639">
        <f ca="1">IFERROR(__xludf.DUMMYFUNCTION("IMPORTRANGE(""https://docs.google.com/spreadsheets/d/1IYY_tgx_IHuhSq3AJ5eI5OnqOPBNLWSHKh2a30DoXe8/edit?usp=sharing"",""ระนอง!J515"")"),0)</f>
        <v>0</v>
      </c>
      <c r="X87" s="639">
        <f ca="1">IFERROR(__xludf.DUMMYFUNCTION("IMPORTRANGE(""https://docs.google.com/spreadsheets/d/1IYY_tgx_IHuhSq3AJ5eI5OnqOPBNLWSHKh2a30DoXe8/edit?usp=sharing"",""ระนอง!J514"")"),0)</f>
        <v>0</v>
      </c>
      <c r="Y87" s="306">
        <f t="shared" ca="1" si="57"/>
        <v>0</v>
      </c>
      <c r="Z87" s="307">
        <f t="shared" ca="1" si="11"/>
        <v>0</v>
      </c>
      <c r="AA87" s="306">
        <f ca="1">IFERROR(__xludf.DUMMYFUNCTION("IMPORTRANGE(""https://docs.google.com/spreadsheets/d/1IYY_tgx_IHuhSq3AJ5eI5OnqOPBNLWSHKh2a30DoXe8/edit?usp=sharing"",""ระนอง!J517"")"),0)</f>
        <v>0</v>
      </c>
      <c r="AB87" s="306">
        <f ca="1">IFERROR(__xludf.DUMMYFUNCTION("IMPORTRANGE(""https://docs.google.com/spreadsheets/d/1IYY_tgx_IHuhSq3AJ5eI5OnqOPBNLWSHKh2a30DoXe8/edit?usp=sharing"",""ระนอง!J518"")"),0)</f>
        <v>0</v>
      </c>
      <c r="AC87" s="306">
        <f ca="1">IFERROR(__xludf.DUMMYFUNCTION("IMPORTRANGE(""https://docs.google.com/spreadsheets/d/1IYY_tgx_IHuhSq3AJ5eI5OnqOPBNLWSHKh2a30DoXe8/edit?usp=sharing"",""ระนอง!J520"")"),0)</f>
        <v>0</v>
      </c>
      <c r="AD87" s="609">
        <f ca="1">IFERROR(__xludf.DUMMYFUNCTION("IMPORTRANGE(""https://docs.google.com/spreadsheets/d/1IYY_tgx_IHuhSq3AJ5eI5OnqOPBNLWSHKh2a30DoXe8/edit?usp=sharing"",""ระนอง!J521"")"),0)</f>
        <v>0</v>
      </c>
    </row>
    <row r="88" spans="1:30" ht="24" customHeight="1">
      <c r="A88" s="303">
        <v>12</v>
      </c>
      <c r="B88" s="304" t="s">
        <v>112</v>
      </c>
      <c r="C88" s="305">
        <f t="shared" ca="1" si="54"/>
        <v>4550</v>
      </c>
      <c r="D88" s="306">
        <f ca="1">IFERROR(__xludf.DUMMYFUNCTION("IMPORTRANGE(""https://docs.google.com/spreadsheets/d/1C3CXT74ZlgGe6_JY_1olB1XN4rF0dxEuIIF-xsYjHgg/edit?usp=sharing"",""งบกองทุน!EV92"")"),0)</f>
        <v>0</v>
      </c>
      <c r="E88" s="306">
        <f ca="1">IFERROR(__xludf.DUMMYFUNCTION("IMPORTRANGE(""https://docs.google.com/spreadsheets/d/1C3CXT74ZlgGe6_JY_1olB1XN4rF0dxEuIIF-xsYjHgg/edit?usp=sharing"",""งบกองทุน!EW92"")"),4550)</f>
        <v>4550</v>
      </c>
      <c r="F88" s="307">
        <f ca="1">IFERROR(__xludf.DUMMYFUNCTION("IMPORTRANGE(""https://docs.google.com/spreadsheets/d/1IYY_tgx_IHuhSq3AJ5eI5OnqOPBNLWSHKh2a30DoXe8/edit?usp=sharing"",""สงขลา!M492"")"),500)</f>
        <v>500</v>
      </c>
      <c r="G88" s="307">
        <f t="shared" ca="1" si="1"/>
        <v>10.989010989010989</v>
      </c>
      <c r="H88" s="638">
        <f t="shared" ca="1" si="55"/>
        <v>98</v>
      </c>
      <c r="I88" s="638">
        <f ca="1">IFERROR(__xludf.DUMMYFUNCTION("IMPORTRANGE(""https://docs.google.com/spreadsheets/d/1C3CXT74ZlgGe6_JY_1olB1XN4rF0dxEuIIF-xsYjHgg/edit?usp=sharing"",""งบกองทุน!EZ92"")"),50)</f>
        <v>50</v>
      </c>
      <c r="J88" s="638">
        <f ca="1">IFERROR(__xludf.DUMMYFUNCTION("IMPORTRANGE(""https://docs.google.com/spreadsheets/d/1C3CXT74ZlgGe6_JY_1olB1XN4rF0dxEuIIF-xsYjHgg/edit?usp=sharing"",""งบกองทุน!FF92"")"),48)</f>
        <v>48</v>
      </c>
      <c r="K88" s="306">
        <f ca="1">IFERROR(__xludf.DUMMYFUNCTION("IMPORTRANGE(""https://docs.google.com/spreadsheets/d/1IYY_tgx_IHuhSq3AJ5eI5OnqOPBNLWSHKh2a30DoXe8/edit?usp=sharing"",""สงขลา!J507"")"),303.42)</f>
        <v>303.42</v>
      </c>
      <c r="L88" s="307">
        <f t="shared" ca="1" si="4"/>
        <v>309.61224489795916</v>
      </c>
      <c r="M88" s="306">
        <f ca="1">IFERROR(__xludf.DUMMYFUNCTION("IMPORTRANGE(""https://docs.google.com/spreadsheets/d/1IYY_tgx_IHuhSq3AJ5eI5OnqOPBNLWSHKh2a30DoXe8/edit?usp=sharing"",""สงขลา!J508"")"),303)</f>
        <v>303</v>
      </c>
      <c r="N88" s="307">
        <f t="shared" ca="1" si="5"/>
        <v>309.18367346938777</v>
      </c>
      <c r="O88" s="306">
        <f ca="1">IFERROR(__xludf.DUMMYFUNCTION("IMPORTRANGE(""https://docs.google.com/spreadsheets/d/1IYY_tgx_IHuhSq3AJ5eI5OnqOPBNLWSHKh2a30DoXe8/edit?usp=sharing"",""สงขลา!J509"")"),303)</f>
        <v>303</v>
      </c>
      <c r="P88" s="307">
        <f t="shared" ca="1" si="6"/>
        <v>309.18367346938777</v>
      </c>
      <c r="Q88" s="306">
        <f ca="1">IFERROR(__xludf.DUMMYFUNCTION("IMPORTRANGE(""https://docs.google.com/spreadsheets/d/1IYY_tgx_IHuhSq3AJ5eI5OnqOPBNLWSHKh2a30DoXe8/edit?usp=sharing"",""สงขลา!J510"")"),303)</f>
        <v>303</v>
      </c>
      <c r="R88" s="307">
        <f t="shared" ca="1" si="7"/>
        <v>309.18367346938777</v>
      </c>
      <c r="S88" s="306">
        <f ca="1">IFERROR(__xludf.DUMMYFUNCTION("IMPORTRANGE(""https://docs.google.com/spreadsheets/d/1IYY_tgx_IHuhSq3AJ5eI5OnqOPBNLWSHKh2a30DoXe8/edit?usp=sharing"",""สงขลา!J511"")"),0)</f>
        <v>0</v>
      </c>
      <c r="T88" s="307">
        <f t="shared" ca="1" si="8"/>
        <v>0</v>
      </c>
      <c r="U88" s="639">
        <f t="shared" ca="1" si="56"/>
        <v>0</v>
      </c>
      <c r="V88" s="307">
        <f t="shared" ca="1" si="9"/>
        <v>0</v>
      </c>
      <c r="W88" s="639">
        <f ca="1">IFERROR(__xludf.DUMMYFUNCTION("IMPORTRANGE(""https://docs.google.com/spreadsheets/d/1IYY_tgx_IHuhSq3AJ5eI5OnqOPBNLWSHKh2a30DoXe8/edit?usp=sharing"",""สงขลา!J515"")"),0)</f>
        <v>0</v>
      </c>
      <c r="X88" s="639">
        <f ca="1">IFERROR(__xludf.DUMMYFUNCTION("IMPORTRANGE(""https://docs.google.com/spreadsheets/d/1IYY_tgx_IHuhSq3AJ5eI5OnqOPBNLWSHKh2a30DoXe8/edit?usp=sharing"",""สงขลา!J514"")"),0)</f>
        <v>0</v>
      </c>
      <c r="Y88" s="306">
        <f t="shared" ca="1" si="57"/>
        <v>0</v>
      </c>
      <c r="Z88" s="307">
        <f t="shared" ca="1" si="11"/>
        <v>0</v>
      </c>
      <c r="AA88" s="306">
        <f ca="1">IFERROR(__xludf.DUMMYFUNCTION("IMPORTRANGE(""https://docs.google.com/spreadsheets/d/1IYY_tgx_IHuhSq3AJ5eI5OnqOPBNLWSHKh2a30DoXe8/edit?usp=sharing"",""สงขลา!J517"")"),0)</f>
        <v>0</v>
      </c>
      <c r="AB88" s="306">
        <f ca="1">IFERROR(__xludf.DUMMYFUNCTION("IMPORTRANGE(""https://docs.google.com/spreadsheets/d/1IYY_tgx_IHuhSq3AJ5eI5OnqOPBNLWSHKh2a30DoXe8/edit?usp=sharing"",""สงขลา!J518"")"),0)</f>
        <v>0</v>
      </c>
      <c r="AC88" s="306">
        <f ca="1">IFERROR(__xludf.DUMMYFUNCTION("IMPORTRANGE(""https://docs.google.com/spreadsheets/d/1IYY_tgx_IHuhSq3AJ5eI5OnqOPBNLWSHKh2a30DoXe8/edit?usp=sharing"",""สงขลา!J520"")"),0)</f>
        <v>0</v>
      </c>
      <c r="AD88" s="609">
        <f ca="1">IFERROR(__xludf.DUMMYFUNCTION("IMPORTRANGE(""https://docs.google.com/spreadsheets/d/1IYY_tgx_IHuhSq3AJ5eI5OnqOPBNLWSHKh2a30DoXe8/edit?usp=sharing"",""สงขลา!J521"")"),0)</f>
        <v>0</v>
      </c>
    </row>
    <row r="89" spans="1:30" ht="24" customHeight="1">
      <c r="A89" s="303">
        <v>13</v>
      </c>
      <c r="B89" s="304" t="s">
        <v>113</v>
      </c>
      <c r="C89" s="305">
        <f t="shared" ca="1" si="54"/>
        <v>8100</v>
      </c>
      <c r="D89" s="306">
        <f ca="1">IFERROR(__xludf.DUMMYFUNCTION("IMPORTRANGE(""https://docs.google.com/spreadsheets/d/1C3CXT74ZlgGe6_JY_1olB1XN4rF0dxEuIIF-xsYjHgg/edit?usp=sharing"",""งบกองทุน!EV93"")"),0)</f>
        <v>0</v>
      </c>
      <c r="E89" s="306">
        <f ca="1">IFERROR(__xludf.DUMMYFUNCTION("IMPORTRANGE(""https://docs.google.com/spreadsheets/d/1C3CXT74ZlgGe6_JY_1olB1XN4rF0dxEuIIF-xsYjHgg/edit?usp=sharing"",""งบกองทุน!EW93"")"),8100)</f>
        <v>8100</v>
      </c>
      <c r="F89" s="307">
        <f ca="1">IFERROR(__xludf.DUMMYFUNCTION("IMPORTRANGE(""https://docs.google.com/spreadsheets/d/1IYY_tgx_IHuhSq3AJ5eI5OnqOPBNLWSHKh2a30DoXe8/edit?usp=sharing"",""สตูล!M492"")"),900)</f>
        <v>900</v>
      </c>
      <c r="G89" s="307">
        <f t="shared" ca="1" si="1"/>
        <v>11.111111111111111</v>
      </c>
      <c r="H89" s="638">
        <f t="shared" ca="1" si="55"/>
        <v>100</v>
      </c>
      <c r="I89" s="638">
        <f ca="1">IFERROR(__xludf.DUMMYFUNCTION("IMPORTRANGE(""https://docs.google.com/spreadsheets/d/1C3CXT74ZlgGe6_JY_1olB1XN4rF0dxEuIIF-xsYjHgg/edit?usp=sharing"",""งบกองทุน!EZ93"")"),100)</f>
        <v>100</v>
      </c>
      <c r="J89" s="638">
        <f ca="1">IFERROR(__xludf.DUMMYFUNCTION("IMPORTRANGE(""https://docs.google.com/spreadsheets/d/1C3CXT74ZlgGe6_JY_1olB1XN4rF0dxEuIIF-xsYjHgg/edit?usp=sharing"",""งบกองทุน!FF93"")"),0)</f>
        <v>0</v>
      </c>
      <c r="K89" s="306">
        <f ca="1">IFERROR(__xludf.DUMMYFUNCTION("IMPORTRANGE(""https://docs.google.com/spreadsheets/d/1IYY_tgx_IHuhSq3AJ5eI5OnqOPBNLWSHKh2a30DoXe8/edit?usp=sharing"",""สตูล!J507"")"),0)</f>
        <v>0</v>
      </c>
      <c r="L89" s="307">
        <f t="shared" ca="1" si="4"/>
        <v>0</v>
      </c>
      <c r="M89" s="306">
        <f ca="1">IFERROR(__xludf.DUMMYFUNCTION("IMPORTRANGE(""https://docs.google.com/spreadsheets/d/1IYY_tgx_IHuhSq3AJ5eI5OnqOPBNLWSHKh2a30DoXe8/edit?usp=sharing"",""สตูล!J508"")"),0)</f>
        <v>0</v>
      </c>
      <c r="N89" s="307">
        <f t="shared" ca="1" si="5"/>
        <v>0</v>
      </c>
      <c r="O89" s="306">
        <f ca="1">IFERROR(__xludf.DUMMYFUNCTION("IMPORTRANGE(""https://docs.google.com/spreadsheets/d/1IYY_tgx_IHuhSq3AJ5eI5OnqOPBNLWSHKh2a30DoXe8/edit?usp=sharing"",""สตูล!J509"")"),0)</f>
        <v>0</v>
      </c>
      <c r="P89" s="307">
        <f t="shared" ca="1" si="6"/>
        <v>0</v>
      </c>
      <c r="Q89" s="306">
        <f ca="1">IFERROR(__xludf.DUMMYFUNCTION("IMPORTRANGE(""https://docs.google.com/spreadsheets/d/1IYY_tgx_IHuhSq3AJ5eI5OnqOPBNLWSHKh2a30DoXe8/edit?usp=sharing"",""สตูล!J510"")"),0)</f>
        <v>0</v>
      </c>
      <c r="R89" s="307">
        <f t="shared" ca="1" si="7"/>
        <v>0</v>
      </c>
      <c r="S89" s="306">
        <f ca="1">IFERROR(__xludf.DUMMYFUNCTION("IMPORTRANGE(""https://docs.google.com/spreadsheets/d/1IYY_tgx_IHuhSq3AJ5eI5OnqOPBNLWSHKh2a30DoXe8/edit?usp=sharing"",""สตูล!J511"")"),0)</f>
        <v>0</v>
      </c>
      <c r="T89" s="307">
        <f t="shared" ca="1" si="8"/>
        <v>0</v>
      </c>
      <c r="U89" s="639">
        <f t="shared" ca="1" si="56"/>
        <v>0</v>
      </c>
      <c r="V89" s="307">
        <f t="shared" ca="1" si="9"/>
        <v>0</v>
      </c>
      <c r="W89" s="639">
        <f ca="1">IFERROR(__xludf.DUMMYFUNCTION("IMPORTRANGE(""https://docs.google.com/spreadsheets/d/1IYY_tgx_IHuhSq3AJ5eI5OnqOPBNLWSHKh2a30DoXe8/edit?usp=sharing"",""สตูล!J515"")"),0)</f>
        <v>0</v>
      </c>
      <c r="X89" s="639">
        <f ca="1">IFERROR(__xludf.DUMMYFUNCTION("IMPORTRANGE(""https://docs.google.com/spreadsheets/d/1IYY_tgx_IHuhSq3AJ5eI5OnqOPBNLWSHKh2a30DoXe8/edit?usp=sharing"",""สตูล!J514"")"),0)</f>
        <v>0</v>
      </c>
      <c r="Y89" s="306">
        <f t="shared" ca="1" si="57"/>
        <v>0</v>
      </c>
      <c r="Z89" s="307">
        <f t="shared" ca="1" si="11"/>
        <v>0</v>
      </c>
      <c r="AA89" s="306">
        <f ca="1">IFERROR(__xludf.DUMMYFUNCTION("IMPORTRANGE(""https://docs.google.com/spreadsheets/d/1IYY_tgx_IHuhSq3AJ5eI5OnqOPBNLWSHKh2a30DoXe8/edit?usp=sharing"",""สตูล!J517"")"),0)</f>
        <v>0</v>
      </c>
      <c r="AB89" s="306">
        <f ca="1">IFERROR(__xludf.DUMMYFUNCTION("IMPORTRANGE(""https://docs.google.com/spreadsheets/d/1IYY_tgx_IHuhSq3AJ5eI5OnqOPBNLWSHKh2a30DoXe8/edit?usp=sharing"",""สตูล!J518"")"),0)</f>
        <v>0</v>
      </c>
      <c r="AC89" s="306">
        <f ca="1">IFERROR(__xludf.DUMMYFUNCTION("IMPORTRANGE(""https://docs.google.com/spreadsheets/d/1IYY_tgx_IHuhSq3AJ5eI5OnqOPBNLWSHKh2a30DoXe8/edit?usp=sharing"",""สตูล!J520"")"),0)</f>
        <v>0</v>
      </c>
      <c r="AD89" s="609">
        <f ca="1">IFERROR(__xludf.DUMMYFUNCTION("IMPORTRANGE(""https://docs.google.com/spreadsheets/d/1IYY_tgx_IHuhSq3AJ5eI5OnqOPBNLWSHKh2a30DoXe8/edit?usp=sharing"",""สตูล!J521"")"),0)</f>
        <v>0</v>
      </c>
    </row>
    <row r="90" spans="1:30" ht="24" customHeight="1">
      <c r="A90" s="310">
        <v>14</v>
      </c>
      <c r="B90" s="311" t="s">
        <v>114</v>
      </c>
      <c r="C90" s="312">
        <f t="shared" ca="1" si="54"/>
        <v>8100</v>
      </c>
      <c r="D90" s="313">
        <f ca="1">IFERROR(__xludf.DUMMYFUNCTION("IMPORTRANGE(""https://docs.google.com/spreadsheets/d/1C3CXT74ZlgGe6_JY_1olB1XN4rF0dxEuIIF-xsYjHgg/edit?usp=sharing"",""งบกองทุน!EV94"")"),0)</f>
        <v>0</v>
      </c>
      <c r="E90" s="313">
        <f ca="1">IFERROR(__xludf.DUMMYFUNCTION("IMPORTRANGE(""https://docs.google.com/spreadsheets/d/1C3CXT74ZlgGe6_JY_1olB1XN4rF0dxEuIIF-xsYjHgg/edit?usp=sharing"",""งบกองทุน!EW94"")"),8100)</f>
        <v>8100</v>
      </c>
      <c r="F90" s="314">
        <f ca="1">IFERROR(__xludf.DUMMYFUNCTION("IMPORTRANGE(""https://docs.google.com/spreadsheets/d/1IYY_tgx_IHuhSq3AJ5eI5OnqOPBNLWSHKh2a30DoXe8/edit?usp=sharing"",""สุราษฎร์ธานี!M492"")"),2600)</f>
        <v>2600</v>
      </c>
      <c r="G90" s="314">
        <f t="shared" ca="1" si="1"/>
        <v>32.098765432098766</v>
      </c>
      <c r="H90" s="640">
        <f t="shared" ca="1" si="55"/>
        <v>100</v>
      </c>
      <c r="I90" s="640">
        <f ca="1">IFERROR(__xludf.DUMMYFUNCTION("IMPORTRANGE(""https://docs.google.com/spreadsheets/d/1C3CXT74ZlgGe6_JY_1olB1XN4rF0dxEuIIF-xsYjHgg/edit?usp=sharing"",""งบกองทุน!EZ94"")"),100)</f>
        <v>100</v>
      </c>
      <c r="J90" s="640">
        <f ca="1">IFERROR(__xludf.DUMMYFUNCTION("IMPORTRANGE(""https://docs.google.com/spreadsheets/d/1C3CXT74ZlgGe6_JY_1olB1XN4rF0dxEuIIF-xsYjHgg/edit?usp=sharing"",""งบกองทุน!FF94"")"),0)</f>
        <v>0</v>
      </c>
      <c r="K90" s="313">
        <f ca="1">IFERROR(__xludf.DUMMYFUNCTION("IMPORTRANGE(""https://docs.google.com/spreadsheets/d/1IYY_tgx_IHuhSq3AJ5eI5OnqOPBNLWSHKh2a30DoXe8/edit?usp=sharing"",""สุราษฎร์ธานี!J507"")"),45.68)</f>
        <v>45.68</v>
      </c>
      <c r="L90" s="314">
        <f t="shared" ca="1" si="4"/>
        <v>45.68</v>
      </c>
      <c r="M90" s="313">
        <f ca="1">IFERROR(__xludf.DUMMYFUNCTION("IMPORTRANGE(""https://docs.google.com/spreadsheets/d/1IYY_tgx_IHuhSq3AJ5eI5OnqOPBNLWSHKh2a30DoXe8/edit?usp=sharing"",""สุราษฎร์ธานี!J508"")"),0)</f>
        <v>0</v>
      </c>
      <c r="N90" s="314">
        <f t="shared" ca="1" si="5"/>
        <v>0</v>
      </c>
      <c r="O90" s="313">
        <f ca="1">IFERROR(__xludf.DUMMYFUNCTION("IMPORTRANGE(""https://docs.google.com/spreadsheets/d/1IYY_tgx_IHuhSq3AJ5eI5OnqOPBNLWSHKh2a30DoXe8/edit?usp=sharing"",""สุราษฎร์ธานี!J509"")"),0)</f>
        <v>0</v>
      </c>
      <c r="P90" s="314">
        <f t="shared" ca="1" si="6"/>
        <v>0</v>
      </c>
      <c r="Q90" s="313">
        <f ca="1">IFERROR(__xludf.DUMMYFUNCTION("IMPORTRANGE(""https://docs.google.com/spreadsheets/d/1IYY_tgx_IHuhSq3AJ5eI5OnqOPBNLWSHKh2a30DoXe8/edit?usp=sharing"",""สุราษฎร์ธานี!J510"")"),0)</f>
        <v>0</v>
      </c>
      <c r="R90" s="314">
        <f t="shared" ca="1" si="7"/>
        <v>0</v>
      </c>
      <c r="S90" s="313">
        <f ca="1">IFERROR(__xludf.DUMMYFUNCTION("IMPORTRANGE(""https://docs.google.com/spreadsheets/d/1IYY_tgx_IHuhSq3AJ5eI5OnqOPBNLWSHKh2a30DoXe8/edit?usp=sharing"",""สุราษฎร์ธานี!J511"")"),0)</f>
        <v>0</v>
      </c>
      <c r="T90" s="314">
        <f t="shared" ca="1" si="8"/>
        <v>0</v>
      </c>
      <c r="U90" s="641">
        <f t="shared" ca="1" si="56"/>
        <v>0</v>
      </c>
      <c r="V90" s="314">
        <f t="shared" ca="1" si="9"/>
        <v>0</v>
      </c>
      <c r="W90" s="641">
        <f ca="1">IFERROR(__xludf.DUMMYFUNCTION("IMPORTRANGE(""https://docs.google.com/spreadsheets/d/1IYY_tgx_IHuhSq3AJ5eI5OnqOPBNLWSHKh2a30DoXe8/edit?usp=sharing"",""สุราษฎร์ธานี!J515"")"),0)</f>
        <v>0</v>
      </c>
      <c r="X90" s="641">
        <f ca="1">IFERROR(__xludf.DUMMYFUNCTION("IMPORTRANGE(""https://docs.google.com/spreadsheets/d/1IYY_tgx_IHuhSq3AJ5eI5OnqOPBNLWSHKh2a30DoXe8/edit?usp=sharing"",""สุราษฎร์ธานี!J514"")"),0)</f>
        <v>0</v>
      </c>
      <c r="Y90" s="313">
        <f t="shared" ca="1" si="57"/>
        <v>0</v>
      </c>
      <c r="Z90" s="314">
        <f t="shared" ca="1" si="11"/>
        <v>0</v>
      </c>
      <c r="AA90" s="313">
        <f ca="1">IFERROR(__xludf.DUMMYFUNCTION("IMPORTRANGE(""https://docs.google.com/spreadsheets/d/1IYY_tgx_IHuhSq3AJ5eI5OnqOPBNLWSHKh2a30DoXe8/edit?usp=sharing"",""สุราษฎร์ธานี!J517"")"),0)</f>
        <v>0</v>
      </c>
      <c r="AB90" s="313">
        <f ca="1">IFERROR(__xludf.DUMMYFUNCTION("IMPORTRANGE(""https://docs.google.com/spreadsheets/d/1IYY_tgx_IHuhSq3AJ5eI5OnqOPBNLWSHKh2a30DoXe8/edit?usp=sharing"",""สุราษฎร์ธานี!J518"")"),0)</f>
        <v>0</v>
      </c>
      <c r="AC90" s="313">
        <f ca="1">IFERROR(__xludf.DUMMYFUNCTION("IMPORTRANGE(""https://docs.google.com/spreadsheets/d/1IYY_tgx_IHuhSq3AJ5eI5OnqOPBNLWSHKh2a30DoXe8/edit?usp=sharing"",""สุราษฎร์ธานี!J520"")"),0)</f>
        <v>0</v>
      </c>
      <c r="AD90" s="611">
        <f ca="1">IFERROR(__xludf.DUMMYFUNCTION("IMPORTRANGE(""https://docs.google.com/spreadsheets/d/1IYY_tgx_IHuhSq3AJ5eI5OnqOPBNLWSHKh2a30DoXe8/edit?usp=sharing"",""สุราษฎร์ธานี!J521"")"),0)</f>
        <v>0</v>
      </c>
    </row>
    <row r="91" spans="1:30" ht="21" hidden="1" customHeight="1">
      <c r="A91" s="791" t="s">
        <v>115</v>
      </c>
      <c r="B91" s="652"/>
      <c r="C91" s="322">
        <f t="shared" ref="C91:F91" ca="1" si="58">+C92+C93+C94+C95+C96+C97+C98+C99+C100+C101+C102+C103+C104+C105</f>
        <v>233060</v>
      </c>
      <c r="D91" s="323">
        <f t="shared" ca="1" si="58"/>
        <v>0</v>
      </c>
      <c r="E91" s="323">
        <f t="shared" ca="1" si="58"/>
        <v>233060</v>
      </c>
      <c r="F91" s="323">
        <f t="shared" ca="1" si="58"/>
        <v>0</v>
      </c>
      <c r="G91" s="324">
        <f t="shared" ca="1" si="1"/>
        <v>0</v>
      </c>
      <c r="H91" s="323">
        <f t="shared" ref="H91:K91" ca="1" si="59">+H92+H93+H94+H95+H96+H97+H98+H99+H100+H101+H102+H103+H104+H105</f>
        <v>0</v>
      </c>
      <c r="I91" s="323">
        <f t="shared" ca="1" si="59"/>
        <v>0</v>
      </c>
      <c r="J91" s="323">
        <f t="shared" ca="1" si="59"/>
        <v>0</v>
      </c>
      <c r="K91" s="323">
        <f t="shared" si="59"/>
        <v>0</v>
      </c>
      <c r="L91" s="324">
        <f t="shared" ca="1" si="4"/>
        <v>0</v>
      </c>
      <c r="M91" s="323">
        <f>+M92+M93+M94+M95+M96+M97+M98+M99+M100+M101+M102+M103+M104+M105</f>
        <v>0</v>
      </c>
      <c r="N91" s="324">
        <f t="shared" ca="1" si="5"/>
        <v>0</v>
      </c>
      <c r="O91" s="323">
        <f>+O92+O93+O94+O95+O96+O97+O98+O99+O100+O101+O102+O103+O104+O105</f>
        <v>0</v>
      </c>
      <c r="P91" s="324">
        <f t="shared" ca="1" si="6"/>
        <v>0</v>
      </c>
      <c r="Q91" s="323">
        <f>+Q92+Q93+Q94+Q95+Q96+Q97+Q98+Q99+Q100+Q101+Q102+Q103+Q104+Q105</f>
        <v>0</v>
      </c>
      <c r="R91" s="324">
        <f t="shared" ca="1" si="7"/>
        <v>0</v>
      </c>
      <c r="S91" s="323">
        <f>+S92+S93+S94+S95+S96+S97+S98+S99+S100+S101+S102+S103+S104+S105</f>
        <v>0</v>
      </c>
      <c r="T91" s="324">
        <f t="shared" ca="1" si="8"/>
        <v>0</v>
      </c>
      <c r="U91" s="323">
        <f>+U92+U93+U94+U95+U96+U97+U98+U99+U100+U101+U102+U103+U104+U105</f>
        <v>0</v>
      </c>
      <c r="V91" s="324">
        <f t="shared" ca="1" si="9"/>
        <v>0</v>
      </c>
      <c r="W91" s="323">
        <f t="shared" ref="W91:Y91" si="60">+W92+W93+W94+W95+W96+W97+W98+W99+W100+W101+W102+W103+W104+W105</f>
        <v>0</v>
      </c>
      <c r="X91" s="323">
        <f t="shared" si="60"/>
        <v>0</v>
      </c>
      <c r="Y91" s="323">
        <f t="shared" si="60"/>
        <v>0</v>
      </c>
      <c r="Z91" s="324">
        <f t="shared" ca="1" si="11"/>
        <v>0</v>
      </c>
      <c r="AA91" s="323">
        <f t="shared" ref="AA91:AD91" si="61">+AA92+AA93+AA94+AA95+AA96+AA97+AA98+AA99+AA100+AA101+AA102+AA103+AA104+AA105</f>
        <v>0</v>
      </c>
      <c r="AB91" s="323">
        <f t="shared" si="61"/>
        <v>0</v>
      </c>
      <c r="AC91" s="323">
        <f t="shared" si="61"/>
        <v>0</v>
      </c>
      <c r="AD91" s="613">
        <f t="shared" si="61"/>
        <v>0</v>
      </c>
    </row>
    <row r="92" spans="1:30" ht="24" hidden="1" customHeight="1">
      <c r="A92" s="325">
        <v>1</v>
      </c>
      <c r="B92" s="326" t="s">
        <v>116</v>
      </c>
      <c r="C92" s="295">
        <f t="shared" ref="C92:C105" ca="1" si="62">+D92+E92</f>
        <v>0</v>
      </c>
      <c r="D92" s="296">
        <f ca="1">IFERROR(__xludf.DUMMYFUNCTION("IMPORTRANGE(""https://docs.google.com/spreadsheets/d/1C3CXT74ZlgGe6_JY_1olB1XN4rF0dxEuIIF-xsYjHgg/edit?usp=sharing"",""งบกองทุน!EV96"")"),0)</f>
        <v>0</v>
      </c>
      <c r="E92" s="296">
        <f ca="1">IFERROR(__xludf.DUMMYFUNCTION("IMPORTRANGE(""https://docs.google.com/spreadsheets/d/1C3CXT74ZlgGe6_JY_1olB1XN4rF0dxEuIIF-xsYjHgg/edit?usp=sharing"",""งบกองทุน!EW96"")"),0)</f>
        <v>0</v>
      </c>
      <c r="F92" s="297">
        <v>0</v>
      </c>
      <c r="G92" s="297">
        <f t="shared" ca="1" si="1"/>
        <v>0</v>
      </c>
      <c r="H92" s="636">
        <f t="shared" ref="H92:H105" ca="1" si="63">+I92+J92</f>
        <v>0</v>
      </c>
      <c r="I92" s="636">
        <f ca="1">IFERROR(__xludf.DUMMYFUNCTION("IMPORTRANGE(""https://docs.google.com/spreadsheets/d/1C3CXT74ZlgGe6_JY_1olB1XN4rF0dxEuIIF-xsYjHgg/edit?usp=sharing"",""งบกองทุน!EZ96"")"),0)</f>
        <v>0</v>
      </c>
      <c r="J92" s="636">
        <f ca="1">IFERROR(__xludf.DUMMYFUNCTION("IMPORTRANGE(""https://docs.google.com/spreadsheets/d/1C3CXT74ZlgGe6_JY_1olB1XN4rF0dxEuIIF-xsYjHgg/edit?usp=sharing"",""งบกองทุน!FF96"")"),0)</f>
        <v>0</v>
      </c>
      <c r="K92" s="296">
        <v>0</v>
      </c>
      <c r="L92" s="297">
        <f t="shared" ca="1" si="4"/>
        <v>0</v>
      </c>
      <c r="M92" s="296">
        <v>0</v>
      </c>
      <c r="N92" s="297">
        <f t="shared" ca="1" si="5"/>
        <v>0</v>
      </c>
      <c r="O92" s="296">
        <v>0</v>
      </c>
      <c r="P92" s="297">
        <f t="shared" ca="1" si="6"/>
        <v>0</v>
      </c>
      <c r="Q92" s="296">
        <v>0</v>
      </c>
      <c r="R92" s="297">
        <f t="shared" ca="1" si="7"/>
        <v>0</v>
      </c>
      <c r="S92" s="296">
        <v>0</v>
      </c>
      <c r="T92" s="297">
        <f t="shared" ca="1" si="8"/>
        <v>0</v>
      </c>
      <c r="U92" s="637">
        <f t="shared" ref="U92:U105" si="64">SUM(W92,X92)</f>
        <v>0</v>
      </c>
      <c r="V92" s="297">
        <f t="shared" ca="1" si="9"/>
        <v>0</v>
      </c>
      <c r="W92" s="637">
        <v>0</v>
      </c>
      <c r="X92" s="637">
        <v>0</v>
      </c>
      <c r="Y92" s="296">
        <f t="shared" ref="Y92:Y105" si="65">SUM(AA92,AB92)</f>
        <v>0</v>
      </c>
      <c r="Z92" s="297">
        <f t="shared" ca="1" si="11"/>
        <v>0</v>
      </c>
      <c r="AA92" s="296">
        <v>0</v>
      </c>
      <c r="AB92" s="296">
        <v>0</v>
      </c>
      <c r="AC92" s="296">
        <v>0</v>
      </c>
      <c r="AD92" s="607">
        <v>0</v>
      </c>
    </row>
    <row r="93" spans="1:30" ht="24" hidden="1" customHeight="1">
      <c r="A93" s="327">
        <v>2</v>
      </c>
      <c r="B93" s="328" t="s">
        <v>117</v>
      </c>
      <c r="C93" s="305">
        <f t="shared" ca="1" si="62"/>
        <v>0</v>
      </c>
      <c r="D93" s="306">
        <f ca="1">IFERROR(__xludf.DUMMYFUNCTION("IMPORTRANGE(""https://docs.google.com/spreadsheets/d/1C3CXT74ZlgGe6_JY_1olB1XN4rF0dxEuIIF-xsYjHgg/edit?usp=sharing"",""งบกองทุน!EV97"")"),0)</f>
        <v>0</v>
      </c>
      <c r="E93" s="306">
        <f ca="1">IFERROR(__xludf.DUMMYFUNCTION("IMPORTRANGE(""https://docs.google.com/spreadsheets/d/1C3CXT74ZlgGe6_JY_1olB1XN4rF0dxEuIIF-xsYjHgg/edit?usp=sharing"",""งบกองทุน!EW97"")"),0)</f>
        <v>0</v>
      </c>
      <c r="F93" s="307">
        <v>0</v>
      </c>
      <c r="G93" s="307">
        <f t="shared" ca="1" si="1"/>
        <v>0</v>
      </c>
      <c r="H93" s="638">
        <f t="shared" ca="1" si="63"/>
        <v>0</v>
      </c>
      <c r="I93" s="638">
        <f ca="1">IFERROR(__xludf.DUMMYFUNCTION("IMPORTRANGE(""https://docs.google.com/spreadsheets/d/1C3CXT74ZlgGe6_JY_1olB1XN4rF0dxEuIIF-xsYjHgg/edit?usp=sharing"",""งบกองทุน!EZ97"")"),0)</f>
        <v>0</v>
      </c>
      <c r="J93" s="638">
        <f ca="1">IFERROR(__xludf.DUMMYFUNCTION("IMPORTRANGE(""https://docs.google.com/spreadsheets/d/1C3CXT74ZlgGe6_JY_1olB1XN4rF0dxEuIIF-xsYjHgg/edit?usp=sharing"",""งบกองทุน!FF97"")"),0)</f>
        <v>0</v>
      </c>
      <c r="K93" s="306">
        <v>0</v>
      </c>
      <c r="L93" s="307">
        <f t="shared" ca="1" si="4"/>
        <v>0</v>
      </c>
      <c r="M93" s="306">
        <v>0</v>
      </c>
      <c r="N93" s="307">
        <f t="shared" ca="1" si="5"/>
        <v>0</v>
      </c>
      <c r="O93" s="306">
        <v>0</v>
      </c>
      <c r="P93" s="307">
        <f t="shared" ca="1" si="6"/>
        <v>0</v>
      </c>
      <c r="Q93" s="306">
        <v>0</v>
      </c>
      <c r="R93" s="307">
        <f t="shared" ca="1" si="7"/>
        <v>0</v>
      </c>
      <c r="S93" s="306">
        <v>0</v>
      </c>
      <c r="T93" s="307">
        <f t="shared" ca="1" si="8"/>
        <v>0</v>
      </c>
      <c r="U93" s="639">
        <f t="shared" si="64"/>
        <v>0</v>
      </c>
      <c r="V93" s="307">
        <f t="shared" ca="1" si="9"/>
        <v>0</v>
      </c>
      <c r="W93" s="639">
        <v>0</v>
      </c>
      <c r="X93" s="639">
        <v>0</v>
      </c>
      <c r="Y93" s="306">
        <f t="shared" si="65"/>
        <v>0</v>
      </c>
      <c r="Z93" s="307">
        <f t="shared" ca="1" si="11"/>
        <v>0</v>
      </c>
      <c r="AA93" s="306">
        <v>0</v>
      </c>
      <c r="AB93" s="306">
        <v>0</v>
      </c>
      <c r="AC93" s="306">
        <v>0</v>
      </c>
      <c r="AD93" s="609">
        <v>0</v>
      </c>
    </row>
    <row r="94" spans="1:30" ht="24" hidden="1" customHeight="1">
      <c r="A94" s="327">
        <v>3</v>
      </c>
      <c r="B94" s="328" t="s">
        <v>118</v>
      </c>
      <c r="C94" s="305">
        <f t="shared" ca="1" si="62"/>
        <v>0</v>
      </c>
      <c r="D94" s="306">
        <f ca="1">IFERROR(__xludf.DUMMYFUNCTION("IMPORTRANGE(""https://docs.google.com/spreadsheets/d/1C3CXT74ZlgGe6_JY_1olB1XN4rF0dxEuIIF-xsYjHgg/edit?usp=sharing"",""งบกองทุน!EV98"")"),0)</f>
        <v>0</v>
      </c>
      <c r="E94" s="306">
        <f ca="1">IFERROR(__xludf.DUMMYFUNCTION("IMPORTRANGE(""https://docs.google.com/spreadsheets/d/1C3CXT74ZlgGe6_JY_1olB1XN4rF0dxEuIIF-xsYjHgg/edit?usp=sharing"",""งบกองทุน!EW98"")"),0)</f>
        <v>0</v>
      </c>
      <c r="F94" s="307">
        <v>0</v>
      </c>
      <c r="G94" s="307">
        <f t="shared" ca="1" si="1"/>
        <v>0</v>
      </c>
      <c r="H94" s="638">
        <f t="shared" ca="1" si="63"/>
        <v>0</v>
      </c>
      <c r="I94" s="638">
        <f ca="1">IFERROR(__xludf.DUMMYFUNCTION("IMPORTRANGE(""https://docs.google.com/spreadsheets/d/1C3CXT74ZlgGe6_JY_1olB1XN4rF0dxEuIIF-xsYjHgg/edit?usp=sharing"",""งบกองทุน!EZ98"")"),0)</f>
        <v>0</v>
      </c>
      <c r="J94" s="638">
        <f ca="1">IFERROR(__xludf.DUMMYFUNCTION("IMPORTRANGE(""https://docs.google.com/spreadsheets/d/1C3CXT74ZlgGe6_JY_1olB1XN4rF0dxEuIIF-xsYjHgg/edit?usp=sharing"",""งบกองทุน!FF98"")"),0)</f>
        <v>0</v>
      </c>
      <c r="K94" s="306">
        <v>0</v>
      </c>
      <c r="L94" s="307">
        <f t="shared" ca="1" si="4"/>
        <v>0</v>
      </c>
      <c r="M94" s="306">
        <v>0</v>
      </c>
      <c r="N94" s="307">
        <f t="shared" ca="1" si="5"/>
        <v>0</v>
      </c>
      <c r="O94" s="306">
        <v>0</v>
      </c>
      <c r="P94" s="307">
        <f t="shared" ca="1" si="6"/>
        <v>0</v>
      </c>
      <c r="Q94" s="306">
        <v>0</v>
      </c>
      <c r="R94" s="307">
        <f t="shared" ca="1" si="7"/>
        <v>0</v>
      </c>
      <c r="S94" s="306">
        <v>0</v>
      </c>
      <c r="T94" s="307">
        <f t="shared" ca="1" si="8"/>
        <v>0</v>
      </c>
      <c r="U94" s="639">
        <f t="shared" si="64"/>
        <v>0</v>
      </c>
      <c r="V94" s="307">
        <f t="shared" ca="1" si="9"/>
        <v>0</v>
      </c>
      <c r="W94" s="639">
        <v>0</v>
      </c>
      <c r="X94" s="639">
        <v>0</v>
      </c>
      <c r="Y94" s="306">
        <f t="shared" si="65"/>
        <v>0</v>
      </c>
      <c r="Z94" s="307">
        <f t="shared" ca="1" si="11"/>
        <v>0</v>
      </c>
      <c r="AA94" s="306">
        <v>0</v>
      </c>
      <c r="AB94" s="306">
        <v>0</v>
      </c>
      <c r="AC94" s="306">
        <v>0</v>
      </c>
      <c r="AD94" s="609">
        <v>0</v>
      </c>
    </row>
    <row r="95" spans="1:30" ht="24" hidden="1" customHeight="1">
      <c r="A95" s="327">
        <f t="shared" ref="A95:A105" si="66">+A94+1</f>
        <v>4</v>
      </c>
      <c r="B95" s="328" t="s">
        <v>119</v>
      </c>
      <c r="C95" s="305">
        <f t="shared" ca="1" si="62"/>
        <v>0</v>
      </c>
      <c r="D95" s="306">
        <f ca="1">IFERROR(__xludf.DUMMYFUNCTION("IMPORTRANGE(""https://docs.google.com/spreadsheets/d/1C3CXT74ZlgGe6_JY_1olB1XN4rF0dxEuIIF-xsYjHgg/edit?usp=sharing"",""งบกองทุน!EV99"")"),0)</f>
        <v>0</v>
      </c>
      <c r="E95" s="306">
        <f ca="1">IFERROR(__xludf.DUMMYFUNCTION("IMPORTRANGE(""https://docs.google.com/spreadsheets/d/1C3CXT74ZlgGe6_JY_1olB1XN4rF0dxEuIIF-xsYjHgg/edit?usp=sharing"",""งบกองทุน!EW99"")"),0)</f>
        <v>0</v>
      </c>
      <c r="F95" s="307">
        <v>0</v>
      </c>
      <c r="G95" s="307">
        <f t="shared" ca="1" si="1"/>
        <v>0</v>
      </c>
      <c r="H95" s="638">
        <f t="shared" ca="1" si="63"/>
        <v>0</v>
      </c>
      <c r="I95" s="638">
        <f ca="1">IFERROR(__xludf.DUMMYFUNCTION("IMPORTRANGE(""https://docs.google.com/spreadsheets/d/1C3CXT74ZlgGe6_JY_1olB1XN4rF0dxEuIIF-xsYjHgg/edit?usp=sharing"",""งบกองทุน!EZ99"")"),0)</f>
        <v>0</v>
      </c>
      <c r="J95" s="638">
        <f ca="1">IFERROR(__xludf.DUMMYFUNCTION("IMPORTRANGE(""https://docs.google.com/spreadsheets/d/1C3CXT74ZlgGe6_JY_1olB1XN4rF0dxEuIIF-xsYjHgg/edit?usp=sharing"",""งบกองทุน!FF99"")"),0)</f>
        <v>0</v>
      </c>
      <c r="K95" s="306">
        <v>0</v>
      </c>
      <c r="L95" s="307">
        <f t="shared" ca="1" si="4"/>
        <v>0</v>
      </c>
      <c r="M95" s="306">
        <v>0</v>
      </c>
      <c r="N95" s="307">
        <f t="shared" ca="1" si="5"/>
        <v>0</v>
      </c>
      <c r="O95" s="306">
        <v>0</v>
      </c>
      <c r="P95" s="307">
        <f t="shared" ca="1" si="6"/>
        <v>0</v>
      </c>
      <c r="Q95" s="306">
        <v>0</v>
      </c>
      <c r="R95" s="307">
        <f t="shared" ca="1" si="7"/>
        <v>0</v>
      </c>
      <c r="S95" s="306">
        <v>0</v>
      </c>
      <c r="T95" s="307">
        <f t="shared" ca="1" si="8"/>
        <v>0</v>
      </c>
      <c r="U95" s="639">
        <f t="shared" si="64"/>
        <v>0</v>
      </c>
      <c r="V95" s="307">
        <f t="shared" ca="1" si="9"/>
        <v>0</v>
      </c>
      <c r="W95" s="639">
        <v>0</v>
      </c>
      <c r="X95" s="639">
        <v>0</v>
      </c>
      <c r="Y95" s="306">
        <f t="shared" si="65"/>
        <v>0</v>
      </c>
      <c r="Z95" s="307">
        <f t="shared" ca="1" si="11"/>
        <v>0</v>
      </c>
      <c r="AA95" s="306">
        <v>0</v>
      </c>
      <c r="AB95" s="306">
        <v>0</v>
      </c>
      <c r="AC95" s="306">
        <v>0</v>
      </c>
      <c r="AD95" s="609">
        <v>0</v>
      </c>
    </row>
    <row r="96" spans="1:30" ht="24" hidden="1" customHeight="1">
      <c r="A96" s="327">
        <f t="shared" si="66"/>
        <v>5</v>
      </c>
      <c r="B96" s="328" t="s">
        <v>120</v>
      </c>
      <c r="C96" s="305">
        <f t="shared" ca="1" si="62"/>
        <v>0</v>
      </c>
      <c r="D96" s="306">
        <f ca="1">IFERROR(__xludf.DUMMYFUNCTION("IMPORTRANGE(""https://docs.google.com/spreadsheets/d/1C3CXT74ZlgGe6_JY_1olB1XN4rF0dxEuIIF-xsYjHgg/edit?usp=sharing"",""งบกองทุน!EV100"")"),0)</f>
        <v>0</v>
      </c>
      <c r="E96" s="306">
        <f ca="1">IFERROR(__xludf.DUMMYFUNCTION("IMPORTRANGE(""https://docs.google.com/spreadsheets/d/1C3CXT74ZlgGe6_JY_1olB1XN4rF0dxEuIIF-xsYjHgg/edit?usp=sharing"",""งบกองทุน!EW100"")"),0)</f>
        <v>0</v>
      </c>
      <c r="F96" s="307">
        <v>0</v>
      </c>
      <c r="G96" s="307">
        <f t="shared" ca="1" si="1"/>
        <v>0</v>
      </c>
      <c r="H96" s="638">
        <f t="shared" ca="1" si="63"/>
        <v>0</v>
      </c>
      <c r="I96" s="638">
        <f ca="1">IFERROR(__xludf.DUMMYFUNCTION("IMPORTRANGE(""https://docs.google.com/spreadsheets/d/1C3CXT74ZlgGe6_JY_1olB1XN4rF0dxEuIIF-xsYjHgg/edit?usp=sharing"",""งบกองทุน!EZ100"")"),0)</f>
        <v>0</v>
      </c>
      <c r="J96" s="638">
        <f ca="1">IFERROR(__xludf.DUMMYFUNCTION("IMPORTRANGE(""https://docs.google.com/spreadsheets/d/1C3CXT74ZlgGe6_JY_1olB1XN4rF0dxEuIIF-xsYjHgg/edit?usp=sharing"",""งบกองทุน!FF100"")"),0)</f>
        <v>0</v>
      </c>
      <c r="K96" s="306">
        <v>0</v>
      </c>
      <c r="L96" s="307">
        <f t="shared" ca="1" si="4"/>
        <v>0</v>
      </c>
      <c r="M96" s="306">
        <v>0</v>
      </c>
      <c r="N96" s="307">
        <f t="shared" ca="1" si="5"/>
        <v>0</v>
      </c>
      <c r="O96" s="306">
        <v>0</v>
      </c>
      <c r="P96" s="307">
        <f t="shared" ca="1" si="6"/>
        <v>0</v>
      </c>
      <c r="Q96" s="306">
        <v>0</v>
      </c>
      <c r="R96" s="307">
        <f t="shared" ca="1" si="7"/>
        <v>0</v>
      </c>
      <c r="S96" s="306">
        <v>0</v>
      </c>
      <c r="T96" s="307">
        <f t="shared" ca="1" si="8"/>
        <v>0</v>
      </c>
      <c r="U96" s="639">
        <f t="shared" si="64"/>
        <v>0</v>
      </c>
      <c r="V96" s="307">
        <f t="shared" ca="1" si="9"/>
        <v>0</v>
      </c>
      <c r="W96" s="639">
        <v>0</v>
      </c>
      <c r="X96" s="639">
        <v>0</v>
      </c>
      <c r="Y96" s="306">
        <f t="shared" si="65"/>
        <v>0</v>
      </c>
      <c r="Z96" s="307">
        <f t="shared" ca="1" si="11"/>
        <v>0</v>
      </c>
      <c r="AA96" s="306">
        <v>0</v>
      </c>
      <c r="AB96" s="306">
        <v>0</v>
      </c>
      <c r="AC96" s="306">
        <v>0</v>
      </c>
      <c r="AD96" s="609">
        <v>0</v>
      </c>
    </row>
    <row r="97" spans="1:30" ht="24" hidden="1" customHeight="1">
      <c r="A97" s="327">
        <f t="shared" si="66"/>
        <v>6</v>
      </c>
      <c r="B97" s="328" t="s">
        <v>121</v>
      </c>
      <c r="C97" s="305">
        <f t="shared" ca="1" si="62"/>
        <v>233060</v>
      </c>
      <c r="D97" s="306">
        <f ca="1">IFERROR(__xludf.DUMMYFUNCTION("IMPORTRANGE(""https://docs.google.com/spreadsheets/d/1C3CXT74ZlgGe6_JY_1olB1XN4rF0dxEuIIF-xsYjHgg/edit?usp=sharing"",""งบกองทุน!EV101"")"),0)</f>
        <v>0</v>
      </c>
      <c r="E97" s="306">
        <f ca="1">IFERROR(__xludf.DUMMYFUNCTION("IMPORTRANGE(""https://docs.google.com/spreadsheets/d/1C3CXT74ZlgGe6_JY_1olB1XN4rF0dxEuIIF-xsYjHgg/edit?usp=sharing"",""งบกองทุน!EW101"")"),233060)</f>
        <v>233060</v>
      </c>
      <c r="F97" s="307">
        <f ca="1">IFERROR(__xludf.DUMMYFUNCTION("IMPORTRANGE(""https://docs.google.com/spreadsheets/d/1muirlRDkqiswvy_NRZ3Yh955hx-PF6_HhssUYiSJj8o/edit?usp=sharing"",""กองทุนส่วนกลาง!AR10"")"),0)</f>
        <v>0</v>
      </c>
      <c r="G97" s="307">
        <f t="shared" ca="1" si="1"/>
        <v>0</v>
      </c>
      <c r="H97" s="638">
        <f t="shared" ca="1" si="63"/>
        <v>0</v>
      </c>
      <c r="I97" s="638">
        <f ca="1">IFERROR(__xludf.DUMMYFUNCTION("IMPORTRANGE(""https://docs.google.com/spreadsheets/d/1C3CXT74ZlgGe6_JY_1olB1XN4rF0dxEuIIF-xsYjHgg/edit?usp=sharing"",""งบกองทุน!EZ101"")"),0)</f>
        <v>0</v>
      </c>
      <c r="J97" s="638">
        <f ca="1">IFERROR(__xludf.DUMMYFUNCTION("IMPORTRANGE(""https://docs.google.com/spreadsheets/d/1C3CXT74ZlgGe6_JY_1olB1XN4rF0dxEuIIF-xsYjHgg/edit?usp=sharing"",""งบกองทุน!FF101"")"),0)</f>
        <v>0</v>
      </c>
      <c r="K97" s="306">
        <v>0</v>
      </c>
      <c r="L97" s="307">
        <f t="shared" ca="1" si="4"/>
        <v>0</v>
      </c>
      <c r="M97" s="306">
        <v>0</v>
      </c>
      <c r="N97" s="307">
        <f t="shared" ca="1" si="5"/>
        <v>0</v>
      </c>
      <c r="O97" s="306">
        <v>0</v>
      </c>
      <c r="P97" s="307">
        <f t="shared" ca="1" si="6"/>
        <v>0</v>
      </c>
      <c r="Q97" s="306">
        <v>0</v>
      </c>
      <c r="R97" s="307">
        <f t="shared" ca="1" si="7"/>
        <v>0</v>
      </c>
      <c r="S97" s="306">
        <v>0</v>
      </c>
      <c r="T97" s="307">
        <f t="shared" ca="1" si="8"/>
        <v>0</v>
      </c>
      <c r="U97" s="639">
        <f t="shared" si="64"/>
        <v>0</v>
      </c>
      <c r="V97" s="307">
        <f t="shared" ca="1" si="9"/>
        <v>0</v>
      </c>
      <c r="W97" s="639">
        <v>0</v>
      </c>
      <c r="X97" s="639">
        <v>0</v>
      </c>
      <c r="Y97" s="306">
        <f t="shared" si="65"/>
        <v>0</v>
      </c>
      <c r="Z97" s="307">
        <f t="shared" ca="1" si="11"/>
        <v>0</v>
      </c>
      <c r="AA97" s="306">
        <v>0</v>
      </c>
      <c r="AB97" s="306">
        <v>0</v>
      </c>
      <c r="AC97" s="306">
        <v>0</v>
      </c>
      <c r="AD97" s="609">
        <v>0</v>
      </c>
    </row>
    <row r="98" spans="1:30" ht="24" hidden="1" customHeight="1">
      <c r="A98" s="327">
        <f t="shared" si="66"/>
        <v>7</v>
      </c>
      <c r="B98" s="328" t="s">
        <v>122</v>
      </c>
      <c r="C98" s="305">
        <f t="shared" ca="1" si="62"/>
        <v>0</v>
      </c>
      <c r="D98" s="306">
        <f ca="1">IFERROR(__xludf.DUMMYFUNCTION("IMPORTRANGE(""https://docs.google.com/spreadsheets/d/1C3CXT74ZlgGe6_JY_1olB1XN4rF0dxEuIIF-xsYjHgg/edit?usp=sharing"",""งบกองทุน!EV102"")"),0)</f>
        <v>0</v>
      </c>
      <c r="E98" s="306">
        <f ca="1">IFERROR(__xludf.DUMMYFUNCTION("IMPORTRANGE(""https://docs.google.com/spreadsheets/d/1C3CXT74ZlgGe6_JY_1olB1XN4rF0dxEuIIF-xsYjHgg/edit?usp=sharing"",""งบกองทุน!EW102"")"),0)</f>
        <v>0</v>
      </c>
      <c r="F98" s="307">
        <v>0</v>
      </c>
      <c r="G98" s="307">
        <f t="shared" ca="1" si="1"/>
        <v>0</v>
      </c>
      <c r="H98" s="638">
        <f t="shared" ca="1" si="63"/>
        <v>0</v>
      </c>
      <c r="I98" s="638">
        <f ca="1">IFERROR(__xludf.DUMMYFUNCTION("IMPORTRANGE(""https://docs.google.com/spreadsheets/d/1C3CXT74ZlgGe6_JY_1olB1XN4rF0dxEuIIF-xsYjHgg/edit?usp=sharing"",""งบกองทุน!EZ102"")"),0)</f>
        <v>0</v>
      </c>
      <c r="J98" s="638">
        <f ca="1">IFERROR(__xludf.DUMMYFUNCTION("IMPORTRANGE(""https://docs.google.com/spreadsheets/d/1C3CXT74ZlgGe6_JY_1olB1XN4rF0dxEuIIF-xsYjHgg/edit?usp=sharing"",""งบกองทุน!FF102"")"),0)</f>
        <v>0</v>
      </c>
      <c r="K98" s="306">
        <v>0</v>
      </c>
      <c r="L98" s="307">
        <f t="shared" ca="1" si="4"/>
        <v>0</v>
      </c>
      <c r="M98" s="306">
        <v>0</v>
      </c>
      <c r="N98" s="307">
        <f t="shared" ca="1" si="5"/>
        <v>0</v>
      </c>
      <c r="O98" s="306">
        <v>0</v>
      </c>
      <c r="P98" s="307">
        <f t="shared" ca="1" si="6"/>
        <v>0</v>
      </c>
      <c r="Q98" s="306">
        <v>0</v>
      </c>
      <c r="R98" s="307">
        <f t="shared" ca="1" si="7"/>
        <v>0</v>
      </c>
      <c r="S98" s="306">
        <v>0</v>
      </c>
      <c r="T98" s="307">
        <f t="shared" ca="1" si="8"/>
        <v>0</v>
      </c>
      <c r="U98" s="639">
        <f t="shared" si="64"/>
        <v>0</v>
      </c>
      <c r="V98" s="307">
        <f t="shared" ca="1" si="9"/>
        <v>0</v>
      </c>
      <c r="W98" s="639">
        <v>0</v>
      </c>
      <c r="X98" s="639">
        <v>0</v>
      </c>
      <c r="Y98" s="306">
        <f t="shared" si="65"/>
        <v>0</v>
      </c>
      <c r="Z98" s="307">
        <f t="shared" ca="1" si="11"/>
        <v>0</v>
      </c>
      <c r="AA98" s="306">
        <v>0</v>
      </c>
      <c r="AB98" s="306">
        <v>0</v>
      </c>
      <c r="AC98" s="306">
        <v>0</v>
      </c>
      <c r="AD98" s="609">
        <v>0</v>
      </c>
    </row>
    <row r="99" spans="1:30" ht="24" hidden="1" customHeight="1">
      <c r="A99" s="327">
        <f t="shared" si="66"/>
        <v>8</v>
      </c>
      <c r="B99" s="328" t="s">
        <v>123</v>
      </c>
      <c r="C99" s="305">
        <f t="shared" ca="1" si="62"/>
        <v>0</v>
      </c>
      <c r="D99" s="306">
        <f ca="1">IFERROR(__xludf.DUMMYFUNCTION("IMPORTRANGE(""https://docs.google.com/spreadsheets/d/1C3CXT74ZlgGe6_JY_1olB1XN4rF0dxEuIIF-xsYjHgg/edit?usp=sharing"",""งบกองทุน!EV103"")"),0)</f>
        <v>0</v>
      </c>
      <c r="E99" s="306">
        <f ca="1">IFERROR(__xludf.DUMMYFUNCTION("IMPORTRANGE(""https://docs.google.com/spreadsheets/d/1C3CXT74ZlgGe6_JY_1olB1XN4rF0dxEuIIF-xsYjHgg/edit?usp=sharing"",""งบกองทุน!EW103"")"),0)</f>
        <v>0</v>
      </c>
      <c r="F99" s="307">
        <v>0</v>
      </c>
      <c r="G99" s="307">
        <f t="shared" ca="1" si="1"/>
        <v>0</v>
      </c>
      <c r="H99" s="638">
        <f t="shared" ca="1" si="63"/>
        <v>0</v>
      </c>
      <c r="I99" s="638">
        <f ca="1">IFERROR(__xludf.DUMMYFUNCTION("IMPORTRANGE(""https://docs.google.com/spreadsheets/d/1C3CXT74ZlgGe6_JY_1olB1XN4rF0dxEuIIF-xsYjHgg/edit?usp=sharing"",""งบกองทุน!EZ103"")"),0)</f>
        <v>0</v>
      </c>
      <c r="J99" s="638">
        <f ca="1">IFERROR(__xludf.DUMMYFUNCTION("IMPORTRANGE(""https://docs.google.com/spreadsheets/d/1C3CXT74ZlgGe6_JY_1olB1XN4rF0dxEuIIF-xsYjHgg/edit?usp=sharing"",""งบกองทุน!FF103"")"),0)</f>
        <v>0</v>
      </c>
      <c r="K99" s="306">
        <v>0</v>
      </c>
      <c r="L99" s="307">
        <f t="shared" ca="1" si="4"/>
        <v>0</v>
      </c>
      <c r="M99" s="306">
        <v>0</v>
      </c>
      <c r="N99" s="307">
        <f t="shared" ca="1" si="5"/>
        <v>0</v>
      </c>
      <c r="O99" s="306">
        <v>0</v>
      </c>
      <c r="P99" s="307">
        <f t="shared" ca="1" si="6"/>
        <v>0</v>
      </c>
      <c r="Q99" s="306">
        <v>0</v>
      </c>
      <c r="R99" s="307">
        <f t="shared" ca="1" si="7"/>
        <v>0</v>
      </c>
      <c r="S99" s="306">
        <v>0</v>
      </c>
      <c r="T99" s="307">
        <f t="shared" ca="1" si="8"/>
        <v>0</v>
      </c>
      <c r="U99" s="639">
        <f t="shared" si="64"/>
        <v>0</v>
      </c>
      <c r="V99" s="307">
        <f t="shared" ca="1" si="9"/>
        <v>0</v>
      </c>
      <c r="W99" s="639">
        <v>0</v>
      </c>
      <c r="X99" s="639">
        <v>0</v>
      </c>
      <c r="Y99" s="306">
        <f t="shared" si="65"/>
        <v>0</v>
      </c>
      <c r="Z99" s="307">
        <f t="shared" ca="1" si="11"/>
        <v>0</v>
      </c>
      <c r="AA99" s="306">
        <v>0</v>
      </c>
      <c r="AB99" s="306">
        <v>0</v>
      </c>
      <c r="AC99" s="306">
        <v>0</v>
      </c>
      <c r="AD99" s="609">
        <v>0</v>
      </c>
    </row>
    <row r="100" spans="1:30" ht="24" hidden="1" customHeight="1">
      <c r="A100" s="327">
        <f t="shared" si="66"/>
        <v>9</v>
      </c>
      <c r="B100" s="328" t="s">
        <v>124</v>
      </c>
      <c r="C100" s="305">
        <f t="shared" ca="1" si="62"/>
        <v>0</v>
      </c>
      <c r="D100" s="306">
        <f ca="1">IFERROR(__xludf.DUMMYFUNCTION("IMPORTRANGE(""https://docs.google.com/spreadsheets/d/1C3CXT74ZlgGe6_JY_1olB1XN4rF0dxEuIIF-xsYjHgg/edit?usp=sharing"",""งบกองทุน!EV104"")"),0)</f>
        <v>0</v>
      </c>
      <c r="E100" s="306">
        <f ca="1">IFERROR(__xludf.DUMMYFUNCTION("IMPORTRANGE(""https://docs.google.com/spreadsheets/d/1C3CXT74ZlgGe6_JY_1olB1XN4rF0dxEuIIF-xsYjHgg/edit?usp=sharing"",""งบกองทุน!EW104"")"),0)</f>
        <v>0</v>
      </c>
      <c r="F100" s="307">
        <v>0</v>
      </c>
      <c r="G100" s="307">
        <f t="shared" ca="1" si="1"/>
        <v>0</v>
      </c>
      <c r="H100" s="638">
        <f t="shared" ca="1" si="63"/>
        <v>0</v>
      </c>
      <c r="I100" s="638">
        <f ca="1">IFERROR(__xludf.DUMMYFUNCTION("IMPORTRANGE(""https://docs.google.com/spreadsheets/d/1C3CXT74ZlgGe6_JY_1olB1XN4rF0dxEuIIF-xsYjHgg/edit?usp=sharing"",""งบกองทุน!EZ104"")"),0)</f>
        <v>0</v>
      </c>
      <c r="J100" s="638">
        <f ca="1">IFERROR(__xludf.DUMMYFUNCTION("IMPORTRANGE(""https://docs.google.com/spreadsheets/d/1C3CXT74ZlgGe6_JY_1olB1XN4rF0dxEuIIF-xsYjHgg/edit?usp=sharing"",""งบกองทุน!FF104"")"),0)</f>
        <v>0</v>
      </c>
      <c r="K100" s="306">
        <v>0</v>
      </c>
      <c r="L100" s="307">
        <f t="shared" ca="1" si="4"/>
        <v>0</v>
      </c>
      <c r="M100" s="306">
        <v>0</v>
      </c>
      <c r="N100" s="307">
        <f t="shared" ca="1" si="5"/>
        <v>0</v>
      </c>
      <c r="O100" s="306">
        <v>0</v>
      </c>
      <c r="P100" s="307">
        <f t="shared" ca="1" si="6"/>
        <v>0</v>
      </c>
      <c r="Q100" s="306">
        <v>0</v>
      </c>
      <c r="R100" s="307">
        <f t="shared" ca="1" si="7"/>
        <v>0</v>
      </c>
      <c r="S100" s="306">
        <v>0</v>
      </c>
      <c r="T100" s="307">
        <f t="shared" ca="1" si="8"/>
        <v>0</v>
      </c>
      <c r="U100" s="639">
        <f t="shared" si="64"/>
        <v>0</v>
      </c>
      <c r="V100" s="307">
        <f t="shared" ca="1" si="9"/>
        <v>0</v>
      </c>
      <c r="W100" s="639">
        <v>0</v>
      </c>
      <c r="X100" s="639">
        <v>0</v>
      </c>
      <c r="Y100" s="306">
        <f t="shared" si="65"/>
        <v>0</v>
      </c>
      <c r="Z100" s="307">
        <f t="shared" ca="1" si="11"/>
        <v>0</v>
      </c>
      <c r="AA100" s="306">
        <v>0</v>
      </c>
      <c r="AB100" s="306">
        <v>0</v>
      </c>
      <c r="AC100" s="306">
        <v>0</v>
      </c>
      <c r="AD100" s="609">
        <v>0</v>
      </c>
    </row>
    <row r="101" spans="1:30" ht="24" hidden="1" customHeight="1">
      <c r="A101" s="327">
        <f t="shared" si="66"/>
        <v>10</v>
      </c>
      <c r="B101" s="328" t="s">
        <v>125</v>
      </c>
      <c r="C101" s="305">
        <f t="shared" ca="1" si="62"/>
        <v>0</v>
      </c>
      <c r="D101" s="306">
        <f ca="1">IFERROR(__xludf.DUMMYFUNCTION("IMPORTRANGE(""https://docs.google.com/spreadsheets/d/1C3CXT74ZlgGe6_JY_1olB1XN4rF0dxEuIIF-xsYjHgg/edit?usp=sharing"",""งบกองทุน!EV105"")"),0)</f>
        <v>0</v>
      </c>
      <c r="E101" s="306">
        <f ca="1">IFERROR(__xludf.DUMMYFUNCTION("IMPORTRANGE(""https://docs.google.com/spreadsheets/d/1C3CXT74ZlgGe6_JY_1olB1XN4rF0dxEuIIF-xsYjHgg/edit?usp=sharing"",""งบกองทุน!EW105"")"),0)</f>
        <v>0</v>
      </c>
      <c r="F101" s="307">
        <v>0</v>
      </c>
      <c r="G101" s="307">
        <f t="shared" ca="1" si="1"/>
        <v>0</v>
      </c>
      <c r="H101" s="638">
        <f t="shared" ca="1" si="63"/>
        <v>0</v>
      </c>
      <c r="I101" s="638">
        <f ca="1">IFERROR(__xludf.DUMMYFUNCTION("IMPORTRANGE(""https://docs.google.com/spreadsheets/d/1C3CXT74ZlgGe6_JY_1olB1XN4rF0dxEuIIF-xsYjHgg/edit?usp=sharing"",""งบกองทุน!EZ105"")"),0)</f>
        <v>0</v>
      </c>
      <c r="J101" s="638">
        <f ca="1">IFERROR(__xludf.DUMMYFUNCTION("IMPORTRANGE(""https://docs.google.com/spreadsheets/d/1C3CXT74ZlgGe6_JY_1olB1XN4rF0dxEuIIF-xsYjHgg/edit?usp=sharing"",""งบกองทุน!FF105"")"),0)</f>
        <v>0</v>
      </c>
      <c r="K101" s="306">
        <v>0</v>
      </c>
      <c r="L101" s="307">
        <f t="shared" ca="1" si="4"/>
        <v>0</v>
      </c>
      <c r="M101" s="306">
        <v>0</v>
      </c>
      <c r="N101" s="307">
        <f t="shared" ca="1" si="5"/>
        <v>0</v>
      </c>
      <c r="O101" s="306">
        <v>0</v>
      </c>
      <c r="P101" s="307">
        <f t="shared" ca="1" si="6"/>
        <v>0</v>
      </c>
      <c r="Q101" s="306">
        <v>0</v>
      </c>
      <c r="R101" s="307">
        <f t="shared" ca="1" si="7"/>
        <v>0</v>
      </c>
      <c r="S101" s="306">
        <v>0</v>
      </c>
      <c r="T101" s="307">
        <f t="shared" ca="1" si="8"/>
        <v>0</v>
      </c>
      <c r="U101" s="639">
        <f t="shared" si="64"/>
        <v>0</v>
      </c>
      <c r="V101" s="307">
        <f t="shared" ca="1" si="9"/>
        <v>0</v>
      </c>
      <c r="W101" s="639">
        <v>0</v>
      </c>
      <c r="X101" s="639">
        <v>0</v>
      </c>
      <c r="Y101" s="306">
        <f t="shared" si="65"/>
        <v>0</v>
      </c>
      <c r="Z101" s="307">
        <f t="shared" ca="1" si="11"/>
        <v>0</v>
      </c>
      <c r="AA101" s="306">
        <v>0</v>
      </c>
      <c r="AB101" s="306">
        <v>0</v>
      </c>
      <c r="AC101" s="306">
        <v>0</v>
      </c>
      <c r="AD101" s="609">
        <v>0</v>
      </c>
    </row>
    <row r="102" spans="1:30" ht="24" hidden="1" customHeight="1">
      <c r="A102" s="327">
        <f t="shared" si="66"/>
        <v>11</v>
      </c>
      <c r="B102" s="328" t="s">
        <v>126</v>
      </c>
      <c r="C102" s="305">
        <f t="shared" ca="1" si="62"/>
        <v>0</v>
      </c>
      <c r="D102" s="306">
        <f ca="1">IFERROR(__xludf.DUMMYFUNCTION("IMPORTRANGE(""https://docs.google.com/spreadsheets/d/1C3CXT74ZlgGe6_JY_1olB1XN4rF0dxEuIIF-xsYjHgg/edit?usp=sharing"",""งบกองทุน!EV106"")"),0)</f>
        <v>0</v>
      </c>
      <c r="E102" s="306">
        <f ca="1">IFERROR(__xludf.DUMMYFUNCTION("IMPORTRANGE(""https://docs.google.com/spreadsheets/d/1C3CXT74ZlgGe6_JY_1olB1XN4rF0dxEuIIF-xsYjHgg/edit?usp=sharing"",""งบกองทุน!EW106"")"),0)</f>
        <v>0</v>
      </c>
      <c r="F102" s="307">
        <v>0</v>
      </c>
      <c r="G102" s="307">
        <f t="shared" ca="1" si="1"/>
        <v>0</v>
      </c>
      <c r="H102" s="638">
        <f t="shared" ca="1" si="63"/>
        <v>0</v>
      </c>
      <c r="I102" s="638">
        <f ca="1">IFERROR(__xludf.DUMMYFUNCTION("IMPORTRANGE(""https://docs.google.com/spreadsheets/d/1C3CXT74ZlgGe6_JY_1olB1XN4rF0dxEuIIF-xsYjHgg/edit?usp=sharing"",""งบกองทุน!EZ106"")"),0)</f>
        <v>0</v>
      </c>
      <c r="J102" s="638">
        <f ca="1">IFERROR(__xludf.DUMMYFUNCTION("IMPORTRANGE(""https://docs.google.com/spreadsheets/d/1C3CXT74ZlgGe6_JY_1olB1XN4rF0dxEuIIF-xsYjHgg/edit?usp=sharing"",""งบกองทุน!FF106"")"),0)</f>
        <v>0</v>
      </c>
      <c r="K102" s="306">
        <v>0</v>
      </c>
      <c r="L102" s="307">
        <f t="shared" ca="1" si="4"/>
        <v>0</v>
      </c>
      <c r="M102" s="306">
        <v>0</v>
      </c>
      <c r="N102" s="307">
        <f t="shared" ca="1" si="5"/>
        <v>0</v>
      </c>
      <c r="O102" s="306">
        <v>0</v>
      </c>
      <c r="P102" s="307">
        <f t="shared" ca="1" si="6"/>
        <v>0</v>
      </c>
      <c r="Q102" s="306">
        <v>0</v>
      </c>
      <c r="R102" s="307">
        <f t="shared" ca="1" si="7"/>
        <v>0</v>
      </c>
      <c r="S102" s="306">
        <v>0</v>
      </c>
      <c r="T102" s="307">
        <f t="shared" ca="1" si="8"/>
        <v>0</v>
      </c>
      <c r="U102" s="639">
        <f t="shared" si="64"/>
        <v>0</v>
      </c>
      <c r="V102" s="307">
        <f t="shared" ca="1" si="9"/>
        <v>0</v>
      </c>
      <c r="W102" s="639">
        <v>0</v>
      </c>
      <c r="X102" s="639">
        <v>0</v>
      </c>
      <c r="Y102" s="306">
        <f t="shared" si="65"/>
        <v>0</v>
      </c>
      <c r="Z102" s="307">
        <f t="shared" ca="1" si="11"/>
        <v>0</v>
      </c>
      <c r="AA102" s="306">
        <v>0</v>
      </c>
      <c r="AB102" s="306">
        <v>0</v>
      </c>
      <c r="AC102" s="306">
        <v>0</v>
      </c>
      <c r="AD102" s="609">
        <v>0</v>
      </c>
    </row>
    <row r="103" spans="1:30" ht="24" hidden="1" customHeight="1">
      <c r="A103" s="327">
        <f t="shared" si="66"/>
        <v>12</v>
      </c>
      <c r="B103" s="328" t="s">
        <v>127</v>
      </c>
      <c r="C103" s="305">
        <f t="shared" ca="1" si="62"/>
        <v>0</v>
      </c>
      <c r="D103" s="306">
        <f ca="1">IFERROR(__xludf.DUMMYFUNCTION("IMPORTRANGE(""https://docs.google.com/spreadsheets/d/1C3CXT74ZlgGe6_JY_1olB1XN4rF0dxEuIIF-xsYjHgg/edit?usp=sharing"",""งบกองทุน!EV107"")"),0)</f>
        <v>0</v>
      </c>
      <c r="E103" s="306">
        <f ca="1">IFERROR(__xludf.DUMMYFUNCTION("IMPORTRANGE(""https://docs.google.com/spreadsheets/d/1C3CXT74ZlgGe6_JY_1olB1XN4rF0dxEuIIF-xsYjHgg/edit?usp=sharing"",""งบกองทุน!EW107"")"),0)</f>
        <v>0</v>
      </c>
      <c r="F103" s="307">
        <v>0</v>
      </c>
      <c r="G103" s="307">
        <f t="shared" ca="1" si="1"/>
        <v>0</v>
      </c>
      <c r="H103" s="638">
        <f t="shared" ca="1" si="63"/>
        <v>0</v>
      </c>
      <c r="I103" s="638">
        <f ca="1">IFERROR(__xludf.DUMMYFUNCTION("IMPORTRANGE(""https://docs.google.com/spreadsheets/d/1C3CXT74ZlgGe6_JY_1olB1XN4rF0dxEuIIF-xsYjHgg/edit?usp=sharing"",""งบกองทุน!EZ107"")"),0)</f>
        <v>0</v>
      </c>
      <c r="J103" s="638">
        <f ca="1">IFERROR(__xludf.DUMMYFUNCTION("IMPORTRANGE(""https://docs.google.com/spreadsheets/d/1C3CXT74ZlgGe6_JY_1olB1XN4rF0dxEuIIF-xsYjHgg/edit?usp=sharing"",""งบกองทุน!FF107"")"),0)</f>
        <v>0</v>
      </c>
      <c r="K103" s="306">
        <v>0</v>
      </c>
      <c r="L103" s="307">
        <f t="shared" ca="1" si="4"/>
        <v>0</v>
      </c>
      <c r="M103" s="306">
        <v>0</v>
      </c>
      <c r="N103" s="307">
        <f t="shared" ca="1" si="5"/>
        <v>0</v>
      </c>
      <c r="O103" s="306">
        <v>0</v>
      </c>
      <c r="P103" s="307">
        <f t="shared" ca="1" si="6"/>
        <v>0</v>
      </c>
      <c r="Q103" s="306">
        <v>0</v>
      </c>
      <c r="R103" s="307">
        <f t="shared" ca="1" si="7"/>
        <v>0</v>
      </c>
      <c r="S103" s="306">
        <v>0</v>
      </c>
      <c r="T103" s="307">
        <f t="shared" ca="1" si="8"/>
        <v>0</v>
      </c>
      <c r="U103" s="639">
        <f t="shared" si="64"/>
        <v>0</v>
      </c>
      <c r="V103" s="307">
        <f t="shared" ca="1" si="9"/>
        <v>0</v>
      </c>
      <c r="W103" s="639">
        <v>0</v>
      </c>
      <c r="X103" s="639">
        <v>0</v>
      </c>
      <c r="Y103" s="306">
        <f t="shared" si="65"/>
        <v>0</v>
      </c>
      <c r="Z103" s="307">
        <f t="shared" ca="1" si="11"/>
        <v>0</v>
      </c>
      <c r="AA103" s="306">
        <v>0</v>
      </c>
      <c r="AB103" s="306">
        <v>0</v>
      </c>
      <c r="AC103" s="306">
        <v>0</v>
      </c>
      <c r="AD103" s="609">
        <v>0</v>
      </c>
    </row>
    <row r="104" spans="1:30" ht="24" hidden="1" customHeight="1">
      <c r="A104" s="327">
        <f t="shared" si="66"/>
        <v>13</v>
      </c>
      <c r="B104" s="328" t="s">
        <v>128</v>
      </c>
      <c r="C104" s="305">
        <f t="shared" ca="1" si="62"/>
        <v>0</v>
      </c>
      <c r="D104" s="306">
        <f ca="1">IFERROR(__xludf.DUMMYFUNCTION("IMPORTRANGE(""https://docs.google.com/spreadsheets/d/1C3CXT74ZlgGe6_JY_1olB1XN4rF0dxEuIIF-xsYjHgg/edit?usp=sharing"",""งบกองทุน!EV108"")"),0)</f>
        <v>0</v>
      </c>
      <c r="E104" s="306">
        <f ca="1">IFERROR(__xludf.DUMMYFUNCTION("IMPORTRANGE(""https://docs.google.com/spreadsheets/d/1C3CXT74ZlgGe6_JY_1olB1XN4rF0dxEuIIF-xsYjHgg/edit?usp=sharing"",""งบกองทุน!EW108"")"),0)</f>
        <v>0</v>
      </c>
      <c r="F104" s="307">
        <v>0</v>
      </c>
      <c r="G104" s="307">
        <f t="shared" ca="1" si="1"/>
        <v>0</v>
      </c>
      <c r="H104" s="638">
        <f t="shared" ca="1" si="63"/>
        <v>0</v>
      </c>
      <c r="I104" s="638">
        <f ca="1">IFERROR(__xludf.DUMMYFUNCTION("IMPORTRANGE(""https://docs.google.com/spreadsheets/d/1C3CXT74ZlgGe6_JY_1olB1XN4rF0dxEuIIF-xsYjHgg/edit?usp=sharing"",""งบกองทุน!EZ108"")"),0)</f>
        <v>0</v>
      </c>
      <c r="J104" s="638">
        <f ca="1">IFERROR(__xludf.DUMMYFUNCTION("IMPORTRANGE(""https://docs.google.com/spreadsheets/d/1C3CXT74ZlgGe6_JY_1olB1XN4rF0dxEuIIF-xsYjHgg/edit?usp=sharing"",""งบกองทุน!FF108"")"),0)</f>
        <v>0</v>
      </c>
      <c r="K104" s="306">
        <v>0</v>
      </c>
      <c r="L104" s="307">
        <f t="shared" ca="1" si="4"/>
        <v>0</v>
      </c>
      <c r="M104" s="306">
        <v>0</v>
      </c>
      <c r="N104" s="307">
        <f t="shared" ca="1" si="5"/>
        <v>0</v>
      </c>
      <c r="O104" s="306">
        <v>0</v>
      </c>
      <c r="P104" s="307">
        <f t="shared" ca="1" si="6"/>
        <v>0</v>
      </c>
      <c r="Q104" s="306">
        <v>0</v>
      </c>
      <c r="R104" s="307">
        <f t="shared" ca="1" si="7"/>
        <v>0</v>
      </c>
      <c r="S104" s="306">
        <v>0</v>
      </c>
      <c r="T104" s="307">
        <f t="shared" ca="1" si="8"/>
        <v>0</v>
      </c>
      <c r="U104" s="639">
        <f t="shared" si="64"/>
        <v>0</v>
      </c>
      <c r="V104" s="307">
        <f t="shared" ca="1" si="9"/>
        <v>0</v>
      </c>
      <c r="W104" s="639">
        <v>0</v>
      </c>
      <c r="X104" s="639">
        <v>0</v>
      </c>
      <c r="Y104" s="306">
        <f t="shared" si="65"/>
        <v>0</v>
      </c>
      <c r="Z104" s="307">
        <f t="shared" ca="1" si="11"/>
        <v>0</v>
      </c>
      <c r="AA104" s="306">
        <v>0</v>
      </c>
      <c r="AB104" s="306">
        <v>0</v>
      </c>
      <c r="AC104" s="306">
        <v>0</v>
      </c>
      <c r="AD104" s="609">
        <v>0</v>
      </c>
    </row>
    <row r="105" spans="1:30" ht="24" hidden="1" customHeight="1">
      <c r="A105" s="329">
        <f t="shared" si="66"/>
        <v>14</v>
      </c>
      <c r="B105" s="330" t="s">
        <v>129</v>
      </c>
      <c r="C105" s="312">
        <f t="shared" ca="1" si="62"/>
        <v>0</v>
      </c>
      <c r="D105" s="313">
        <f ca="1">IFERROR(__xludf.DUMMYFUNCTION("IMPORTRANGE(""https://docs.google.com/spreadsheets/d/1C3CXT74ZlgGe6_JY_1olB1XN4rF0dxEuIIF-xsYjHgg/edit?usp=sharing"",""งบกองทุน!EV109"")"),0)</f>
        <v>0</v>
      </c>
      <c r="E105" s="313">
        <f ca="1">IFERROR(__xludf.DUMMYFUNCTION("IMPORTRANGE(""https://docs.google.com/spreadsheets/d/1C3CXT74ZlgGe6_JY_1olB1XN4rF0dxEuIIF-xsYjHgg/edit?usp=sharing"",""งบกองทุน!EW109"")"),0)</f>
        <v>0</v>
      </c>
      <c r="F105" s="314">
        <v>0</v>
      </c>
      <c r="G105" s="314">
        <f t="shared" ca="1" si="1"/>
        <v>0</v>
      </c>
      <c r="H105" s="640">
        <f t="shared" ca="1" si="63"/>
        <v>0</v>
      </c>
      <c r="I105" s="640">
        <f ca="1">IFERROR(__xludf.DUMMYFUNCTION("IMPORTRANGE(""https://docs.google.com/spreadsheets/d/1C3CXT74ZlgGe6_JY_1olB1XN4rF0dxEuIIF-xsYjHgg/edit?usp=sharing"",""งบกองทุน!EZ109"")"),0)</f>
        <v>0</v>
      </c>
      <c r="J105" s="640">
        <f ca="1">IFERROR(__xludf.DUMMYFUNCTION("IMPORTRANGE(""https://docs.google.com/spreadsheets/d/1C3CXT74ZlgGe6_JY_1olB1XN4rF0dxEuIIF-xsYjHgg/edit?usp=sharing"",""งบกองทุน!FF109"")"),0)</f>
        <v>0</v>
      </c>
      <c r="K105" s="313">
        <v>0</v>
      </c>
      <c r="L105" s="314">
        <f t="shared" ca="1" si="4"/>
        <v>0</v>
      </c>
      <c r="M105" s="313">
        <v>0</v>
      </c>
      <c r="N105" s="314">
        <f t="shared" ca="1" si="5"/>
        <v>0</v>
      </c>
      <c r="O105" s="313">
        <v>0</v>
      </c>
      <c r="P105" s="314">
        <f t="shared" ca="1" si="6"/>
        <v>0</v>
      </c>
      <c r="Q105" s="313">
        <v>0</v>
      </c>
      <c r="R105" s="314">
        <f t="shared" ca="1" si="7"/>
        <v>0</v>
      </c>
      <c r="S105" s="313">
        <v>0</v>
      </c>
      <c r="T105" s="314">
        <f t="shared" ca="1" si="8"/>
        <v>0</v>
      </c>
      <c r="U105" s="641">
        <f t="shared" si="64"/>
        <v>0</v>
      </c>
      <c r="V105" s="314">
        <f t="shared" ca="1" si="9"/>
        <v>0</v>
      </c>
      <c r="W105" s="641">
        <v>0</v>
      </c>
      <c r="X105" s="641">
        <v>0</v>
      </c>
      <c r="Y105" s="313">
        <f t="shared" si="65"/>
        <v>0</v>
      </c>
      <c r="Z105" s="314">
        <f t="shared" ca="1" si="11"/>
        <v>0</v>
      </c>
      <c r="AA105" s="313">
        <v>0</v>
      </c>
      <c r="AB105" s="313">
        <v>0</v>
      </c>
      <c r="AC105" s="313">
        <v>0</v>
      </c>
      <c r="AD105" s="611">
        <v>0</v>
      </c>
    </row>
    <row r="106" spans="1:30" ht="27.75" hidden="1" customHeight="1">
      <c r="A106" s="791" t="s">
        <v>130</v>
      </c>
      <c r="B106" s="652"/>
      <c r="C106" s="322">
        <f t="shared" ref="C106:F106" ca="1" si="67">+C107+C108+C109+C110+C111+C112+C113+C114</f>
        <v>0</v>
      </c>
      <c r="D106" s="323">
        <f t="shared" ca="1" si="67"/>
        <v>0</v>
      </c>
      <c r="E106" s="323">
        <f t="shared" ca="1" si="67"/>
        <v>0</v>
      </c>
      <c r="F106" s="323">
        <f t="shared" si="67"/>
        <v>0</v>
      </c>
      <c r="G106" s="324">
        <f t="shared" ca="1" si="1"/>
        <v>0</v>
      </c>
      <c r="H106" s="323">
        <f t="shared" ref="H106:K106" ca="1" si="68">+H107+H108+H109+H110+H111+H112+H113+H114</f>
        <v>0</v>
      </c>
      <c r="I106" s="323">
        <f t="shared" ca="1" si="68"/>
        <v>0</v>
      </c>
      <c r="J106" s="323">
        <f t="shared" ca="1" si="68"/>
        <v>0</v>
      </c>
      <c r="K106" s="323">
        <f t="shared" si="68"/>
        <v>0</v>
      </c>
      <c r="L106" s="324">
        <f t="shared" ca="1" si="4"/>
        <v>0</v>
      </c>
      <c r="M106" s="323">
        <f>+M107+M108+M109+M110+M111+M112+M113+M114</f>
        <v>0</v>
      </c>
      <c r="N106" s="324">
        <f t="shared" ca="1" si="5"/>
        <v>0</v>
      </c>
      <c r="O106" s="323">
        <f>+O107+O108+O109+O110+O111+O112+O113+O114</f>
        <v>0</v>
      </c>
      <c r="P106" s="324">
        <f t="shared" ca="1" si="6"/>
        <v>0</v>
      </c>
      <c r="Q106" s="323">
        <f>+Q107+Q108+Q109+Q110+Q111+Q112+Q113+Q114</f>
        <v>0</v>
      </c>
      <c r="R106" s="324">
        <f t="shared" ca="1" si="7"/>
        <v>0</v>
      </c>
      <c r="S106" s="323">
        <f>+S107+S108+S109+S110+S111+S112+S113+S114</f>
        <v>0</v>
      </c>
      <c r="T106" s="324">
        <f t="shared" ca="1" si="8"/>
        <v>0</v>
      </c>
      <c r="U106" s="323">
        <f>+U107+U108+U109+U110+U111+U112+U113+U114</f>
        <v>0</v>
      </c>
      <c r="V106" s="324">
        <f t="shared" ca="1" si="9"/>
        <v>0</v>
      </c>
      <c r="W106" s="323">
        <f t="shared" ref="W106:Y106" si="69">+W107+W108+W109+W110+W111+W112+W113+W114</f>
        <v>0</v>
      </c>
      <c r="X106" s="323">
        <f t="shared" si="69"/>
        <v>0</v>
      </c>
      <c r="Y106" s="323">
        <f t="shared" si="69"/>
        <v>0</v>
      </c>
      <c r="Z106" s="324">
        <f t="shared" ca="1" si="11"/>
        <v>0</v>
      </c>
      <c r="AA106" s="323">
        <f t="shared" ref="AA106:AD106" si="70">+AA107+AA108+AA109+AA110+AA111+AA112+AA113+AA114</f>
        <v>0</v>
      </c>
      <c r="AB106" s="323">
        <f t="shared" si="70"/>
        <v>0</v>
      </c>
      <c r="AC106" s="323">
        <f t="shared" si="70"/>
        <v>0</v>
      </c>
      <c r="AD106" s="613">
        <f t="shared" si="70"/>
        <v>0</v>
      </c>
    </row>
    <row r="107" spans="1:30" ht="24" hidden="1" customHeight="1">
      <c r="A107" s="325">
        <v>1</v>
      </c>
      <c r="B107" s="326" t="s">
        <v>131</v>
      </c>
      <c r="C107" s="295">
        <f t="shared" ref="C107:C114" ca="1" si="71">+D107+E107</f>
        <v>0</v>
      </c>
      <c r="D107" s="296">
        <f ca="1">IFERROR(__xludf.DUMMYFUNCTION("IMPORTRANGE(""https://docs.google.com/spreadsheets/d/1C3CXT74ZlgGe6_JY_1olB1XN4rF0dxEuIIF-xsYjHgg/edit?usp=sharing"",""งบกองทุน!EV111"")"),0)</f>
        <v>0</v>
      </c>
      <c r="E107" s="296">
        <f ca="1">IFERROR(__xludf.DUMMYFUNCTION("IMPORTRANGE(""https://docs.google.com/spreadsheets/d/1C3CXT74ZlgGe6_JY_1olB1XN4rF0dxEuIIF-xsYjHgg/edit?usp=sharing"",""งบกองทุน!EW111"")"),0)</f>
        <v>0</v>
      </c>
      <c r="F107" s="297">
        <v>0</v>
      </c>
      <c r="G107" s="297">
        <f t="shared" ca="1" si="1"/>
        <v>0</v>
      </c>
      <c r="H107" s="636">
        <f t="shared" ref="H107:H114" ca="1" si="72">+I107+J107</f>
        <v>0</v>
      </c>
      <c r="I107" s="636">
        <f ca="1">IFERROR(__xludf.DUMMYFUNCTION("IMPORTRANGE(""https://docs.google.com/spreadsheets/d/1C3CXT74ZlgGe6_JY_1olB1XN4rF0dxEuIIF-xsYjHgg/edit?usp=sharing"",""งบกองทุน!EZ111"")"),0)</f>
        <v>0</v>
      </c>
      <c r="J107" s="296">
        <f ca="1">IFERROR(__xludf.DUMMYFUNCTION("IMPORTRANGE(""https://docs.google.com/spreadsheets/d/1C3CXT74ZlgGe6_JY_1olB1XN4rF0dxEuIIF-xsYjHgg/edit?usp=sharing"",""งบกองทุน!FF111"")"),0)</f>
        <v>0</v>
      </c>
      <c r="K107" s="296">
        <v>0</v>
      </c>
      <c r="L107" s="297">
        <f t="shared" ca="1" si="4"/>
        <v>0</v>
      </c>
      <c r="M107" s="296">
        <v>0</v>
      </c>
      <c r="N107" s="297">
        <f t="shared" ca="1" si="5"/>
        <v>0</v>
      </c>
      <c r="O107" s="296">
        <v>0</v>
      </c>
      <c r="P107" s="297">
        <f t="shared" ca="1" si="6"/>
        <v>0</v>
      </c>
      <c r="Q107" s="296">
        <v>0</v>
      </c>
      <c r="R107" s="297">
        <f t="shared" ca="1" si="7"/>
        <v>0</v>
      </c>
      <c r="S107" s="296">
        <v>0</v>
      </c>
      <c r="T107" s="297">
        <f t="shared" ca="1" si="8"/>
        <v>0</v>
      </c>
      <c r="U107" s="637">
        <f t="shared" ref="U107:U114" si="73">SUM(W107,X107)</f>
        <v>0</v>
      </c>
      <c r="V107" s="297">
        <f t="shared" ca="1" si="9"/>
        <v>0</v>
      </c>
      <c r="W107" s="637">
        <v>0</v>
      </c>
      <c r="X107" s="637">
        <v>0</v>
      </c>
      <c r="Y107" s="296">
        <f t="shared" ref="Y107:Y114" si="74">SUM(AA107,AB107)</f>
        <v>0</v>
      </c>
      <c r="Z107" s="297">
        <f t="shared" ca="1" si="11"/>
        <v>0</v>
      </c>
      <c r="AA107" s="296">
        <v>0</v>
      </c>
      <c r="AB107" s="296">
        <v>0</v>
      </c>
      <c r="AC107" s="296">
        <v>0</v>
      </c>
      <c r="AD107" s="607">
        <v>0</v>
      </c>
    </row>
    <row r="108" spans="1:30" ht="24" hidden="1" customHeight="1">
      <c r="A108" s="327">
        <v>2</v>
      </c>
      <c r="B108" s="328" t="s">
        <v>132</v>
      </c>
      <c r="C108" s="305">
        <f t="shared" ca="1" si="71"/>
        <v>0</v>
      </c>
      <c r="D108" s="306">
        <f ca="1">IFERROR(__xludf.DUMMYFUNCTION("IMPORTRANGE(""https://docs.google.com/spreadsheets/d/1C3CXT74ZlgGe6_JY_1olB1XN4rF0dxEuIIF-xsYjHgg/edit?usp=sharing"",""งบกองทุน!EV112"")"),0)</f>
        <v>0</v>
      </c>
      <c r="E108" s="306">
        <f ca="1">IFERROR(__xludf.DUMMYFUNCTION("IMPORTRANGE(""https://docs.google.com/spreadsheets/d/1C3CXT74ZlgGe6_JY_1olB1XN4rF0dxEuIIF-xsYjHgg/edit?usp=sharing"",""งบกองทุน!EW112"")"),0)</f>
        <v>0</v>
      </c>
      <c r="F108" s="307">
        <v>0</v>
      </c>
      <c r="G108" s="307">
        <f t="shared" ca="1" si="1"/>
        <v>0</v>
      </c>
      <c r="H108" s="638">
        <f t="shared" ca="1" si="72"/>
        <v>0</v>
      </c>
      <c r="I108" s="638">
        <f ca="1">IFERROR(__xludf.DUMMYFUNCTION("IMPORTRANGE(""https://docs.google.com/spreadsheets/d/1C3CXT74ZlgGe6_JY_1olB1XN4rF0dxEuIIF-xsYjHgg/edit?usp=sharing"",""งบกองทุน!EZ112"")"),0)</f>
        <v>0</v>
      </c>
      <c r="J108" s="306">
        <f ca="1">IFERROR(__xludf.DUMMYFUNCTION("IMPORTRANGE(""https://docs.google.com/spreadsheets/d/1C3CXT74ZlgGe6_JY_1olB1XN4rF0dxEuIIF-xsYjHgg/edit?usp=sharing"",""งบกองทุน!FF112"")"),0)</f>
        <v>0</v>
      </c>
      <c r="K108" s="306">
        <v>0</v>
      </c>
      <c r="L108" s="307">
        <f t="shared" ca="1" si="4"/>
        <v>0</v>
      </c>
      <c r="M108" s="306">
        <v>0</v>
      </c>
      <c r="N108" s="307">
        <f t="shared" ca="1" si="5"/>
        <v>0</v>
      </c>
      <c r="O108" s="306">
        <v>0</v>
      </c>
      <c r="P108" s="307">
        <f t="shared" ca="1" si="6"/>
        <v>0</v>
      </c>
      <c r="Q108" s="306">
        <v>0</v>
      </c>
      <c r="R108" s="307">
        <f t="shared" ca="1" si="7"/>
        <v>0</v>
      </c>
      <c r="S108" s="306">
        <v>0</v>
      </c>
      <c r="T108" s="307">
        <f t="shared" ca="1" si="8"/>
        <v>0</v>
      </c>
      <c r="U108" s="639">
        <f t="shared" si="73"/>
        <v>0</v>
      </c>
      <c r="V108" s="307">
        <f t="shared" ca="1" si="9"/>
        <v>0</v>
      </c>
      <c r="W108" s="639">
        <v>0</v>
      </c>
      <c r="X108" s="639">
        <v>0</v>
      </c>
      <c r="Y108" s="306">
        <f t="shared" si="74"/>
        <v>0</v>
      </c>
      <c r="Z108" s="307">
        <f t="shared" ca="1" si="11"/>
        <v>0</v>
      </c>
      <c r="AA108" s="306">
        <v>0</v>
      </c>
      <c r="AB108" s="306">
        <v>0</v>
      </c>
      <c r="AC108" s="306">
        <v>0</v>
      </c>
      <c r="AD108" s="609">
        <v>0</v>
      </c>
    </row>
    <row r="109" spans="1:30" ht="24" hidden="1" customHeight="1">
      <c r="A109" s="327">
        <v>3</v>
      </c>
      <c r="B109" s="328" t="s">
        <v>133</v>
      </c>
      <c r="C109" s="305">
        <f t="shared" ca="1" si="71"/>
        <v>0</v>
      </c>
      <c r="D109" s="306">
        <f ca="1">IFERROR(__xludf.DUMMYFUNCTION("IMPORTRANGE(""https://docs.google.com/spreadsheets/d/1C3CXT74ZlgGe6_JY_1olB1XN4rF0dxEuIIF-xsYjHgg/edit?usp=sharing"",""งบกองทุน!EV113"")"),0)</f>
        <v>0</v>
      </c>
      <c r="E109" s="306">
        <f ca="1">IFERROR(__xludf.DUMMYFUNCTION("IMPORTRANGE(""https://docs.google.com/spreadsheets/d/1C3CXT74ZlgGe6_JY_1olB1XN4rF0dxEuIIF-xsYjHgg/edit?usp=sharing"",""งบกองทุน!EW113"")"),0)</f>
        <v>0</v>
      </c>
      <c r="F109" s="307">
        <v>0</v>
      </c>
      <c r="G109" s="307">
        <f t="shared" ca="1" si="1"/>
        <v>0</v>
      </c>
      <c r="H109" s="638">
        <f t="shared" ca="1" si="72"/>
        <v>0</v>
      </c>
      <c r="I109" s="638">
        <f ca="1">IFERROR(__xludf.DUMMYFUNCTION("IMPORTRANGE(""https://docs.google.com/spreadsheets/d/1C3CXT74ZlgGe6_JY_1olB1XN4rF0dxEuIIF-xsYjHgg/edit?usp=sharing"",""งบกองทุน!EZ113"")"),0)</f>
        <v>0</v>
      </c>
      <c r="J109" s="306">
        <f ca="1">IFERROR(__xludf.DUMMYFUNCTION("IMPORTRANGE(""https://docs.google.com/spreadsheets/d/1C3CXT74ZlgGe6_JY_1olB1XN4rF0dxEuIIF-xsYjHgg/edit?usp=sharing"",""งบกองทุน!FF113"")"),0)</f>
        <v>0</v>
      </c>
      <c r="K109" s="306">
        <v>0</v>
      </c>
      <c r="L109" s="307">
        <f t="shared" ca="1" si="4"/>
        <v>0</v>
      </c>
      <c r="M109" s="306">
        <v>0</v>
      </c>
      <c r="N109" s="307">
        <f t="shared" ca="1" si="5"/>
        <v>0</v>
      </c>
      <c r="O109" s="306">
        <v>0</v>
      </c>
      <c r="P109" s="307">
        <f t="shared" ca="1" si="6"/>
        <v>0</v>
      </c>
      <c r="Q109" s="306">
        <v>0</v>
      </c>
      <c r="R109" s="307">
        <f t="shared" ca="1" si="7"/>
        <v>0</v>
      </c>
      <c r="S109" s="306">
        <v>0</v>
      </c>
      <c r="T109" s="307">
        <f t="shared" ca="1" si="8"/>
        <v>0</v>
      </c>
      <c r="U109" s="639">
        <f t="shared" si="73"/>
        <v>0</v>
      </c>
      <c r="V109" s="307">
        <f t="shared" ca="1" si="9"/>
        <v>0</v>
      </c>
      <c r="W109" s="639">
        <v>0</v>
      </c>
      <c r="X109" s="639">
        <v>0</v>
      </c>
      <c r="Y109" s="306">
        <f t="shared" si="74"/>
        <v>0</v>
      </c>
      <c r="Z109" s="307">
        <f t="shared" ca="1" si="11"/>
        <v>0</v>
      </c>
      <c r="AA109" s="306">
        <v>0</v>
      </c>
      <c r="AB109" s="306">
        <v>0</v>
      </c>
      <c r="AC109" s="306">
        <v>0</v>
      </c>
      <c r="AD109" s="609">
        <v>0</v>
      </c>
    </row>
    <row r="110" spans="1:30" ht="24" hidden="1" customHeight="1">
      <c r="A110" s="327">
        <f t="shared" ref="A110:A112" si="75">+A109+1</f>
        <v>4</v>
      </c>
      <c r="B110" s="328" t="s">
        <v>134</v>
      </c>
      <c r="C110" s="305">
        <f t="shared" ca="1" si="71"/>
        <v>0</v>
      </c>
      <c r="D110" s="306">
        <f ca="1">IFERROR(__xludf.DUMMYFUNCTION("IMPORTRANGE(""https://docs.google.com/spreadsheets/d/1C3CXT74ZlgGe6_JY_1olB1XN4rF0dxEuIIF-xsYjHgg/edit?usp=sharing"",""งบกองทุน!EV114"")"),0)</f>
        <v>0</v>
      </c>
      <c r="E110" s="306">
        <f ca="1">IFERROR(__xludf.DUMMYFUNCTION("IMPORTRANGE(""https://docs.google.com/spreadsheets/d/1C3CXT74ZlgGe6_JY_1olB1XN4rF0dxEuIIF-xsYjHgg/edit?usp=sharing"",""งบกองทุน!EW114"")"),0)</f>
        <v>0</v>
      </c>
      <c r="F110" s="307">
        <v>0</v>
      </c>
      <c r="G110" s="307">
        <f t="shared" ca="1" si="1"/>
        <v>0</v>
      </c>
      <c r="H110" s="638">
        <f t="shared" ca="1" si="72"/>
        <v>0</v>
      </c>
      <c r="I110" s="638">
        <f ca="1">IFERROR(__xludf.DUMMYFUNCTION("IMPORTRANGE(""https://docs.google.com/spreadsheets/d/1C3CXT74ZlgGe6_JY_1olB1XN4rF0dxEuIIF-xsYjHgg/edit?usp=sharing"",""งบกองทุน!EZ114"")"),0)</f>
        <v>0</v>
      </c>
      <c r="J110" s="306">
        <f ca="1">IFERROR(__xludf.DUMMYFUNCTION("IMPORTRANGE(""https://docs.google.com/spreadsheets/d/1C3CXT74ZlgGe6_JY_1olB1XN4rF0dxEuIIF-xsYjHgg/edit?usp=sharing"",""งบกองทุน!FF114"")"),0)</f>
        <v>0</v>
      </c>
      <c r="K110" s="306">
        <v>0</v>
      </c>
      <c r="L110" s="307">
        <f t="shared" ca="1" si="4"/>
        <v>0</v>
      </c>
      <c r="M110" s="306">
        <v>0</v>
      </c>
      <c r="N110" s="307">
        <f t="shared" ca="1" si="5"/>
        <v>0</v>
      </c>
      <c r="O110" s="306">
        <v>0</v>
      </c>
      <c r="P110" s="307">
        <f t="shared" ca="1" si="6"/>
        <v>0</v>
      </c>
      <c r="Q110" s="306">
        <v>0</v>
      </c>
      <c r="R110" s="307">
        <f t="shared" ca="1" si="7"/>
        <v>0</v>
      </c>
      <c r="S110" s="306">
        <v>0</v>
      </c>
      <c r="T110" s="307">
        <f t="shared" ca="1" si="8"/>
        <v>0</v>
      </c>
      <c r="U110" s="639">
        <f t="shared" si="73"/>
        <v>0</v>
      </c>
      <c r="V110" s="307">
        <f t="shared" ca="1" si="9"/>
        <v>0</v>
      </c>
      <c r="W110" s="639">
        <v>0</v>
      </c>
      <c r="X110" s="639">
        <v>0</v>
      </c>
      <c r="Y110" s="306">
        <f t="shared" si="74"/>
        <v>0</v>
      </c>
      <c r="Z110" s="307">
        <f t="shared" ca="1" si="11"/>
        <v>0</v>
      </c>
      <c r="AA110" s="306">
        <v>0</v>
      </c>
      <c r="AB110" s="306">
        <v>0</v>
      </c>
      <c r="AC110" s="306">
        <v>0</v>
      </c>
      <c r="AD110" s="609">
        <v>0</v>
      </c>
    </row>
    <row r="111" spans="1:30" ht="24" hidden="1" customHeight="1">
      <c r="A111" s="327">
        <f t="shared" si="75"/>
        <v>5</v>
      </c>
      <c r="B111" s="328" t="s">
        <v>135</v>
      </c>
      <c r="C111" s="305">
        <f t="shared" ca="1" si="71"/>
        <v>0</v>
      </c>
      <c r="D111" s="306">
        <f ca="1">IFERROR(__xludf.DUMMYFUNCTION("IMPORTRANGE(""https://docs.google.com/spreadsheets/d/1C3CXT74ZlgGe6_JY_1olB1XN4rF0dxEuIIF-xsYjHgg/edit?usp=sharing"",""งบกองทุน!EV115"")"),0)</f>
        <v>0</v>
      </c>
      <c r="E111" s="306">
        <f ca="1">IFERROR(__xludf.DUMMYFUNCTION("IMPORTRANGE(""https://docs.google.com/spreadsheets/d/1C3CXT74ZlgGe6_JY_1olB1XN4rF0dxEuIIF-xsYjHgg/edit?usp=sharing"",""งบกองทุน!EW115"")"),0)</f>
        <v>0</v>
      </c>
      <c r="F111" s="307">
        <v>0</v>
      </c>
      <c r="G111" s="307">
        <f t="shared" ca="1" si="1"/>
        <v>0</v>
      </c>
      <c r="H111" s="638">
        <f t="shared" ca="1" si="72"/>
        <v>0</v>
      </c>
      <c r="I111" s="638">
        <f ca="1">IFERROR(__xludf.DUMMYFUNCTION("IMPORTRANGE(""https://docs.google.com/spreadsheets/d/1C3CXT74ZlgGe6_JY_1olB1XN4rF0dxEuIIF-xsYjHgg/edit?usp=sharing"",""งบกองทุน!EZ115"")"),0)</f>
        <v>0</v>
      </c>
      <c r="J111" s="306">
        <f ca="1">IFERROR(__xludf.DUMMYFUNCTION("IMPORTRANGE(""https://docs.google.com/spreadsheets/d/1C3CXT74ZlgGe6_JY_1olB1XN4rF0dxEuIIF-xsYjHgg/edit?usp=sharing"",""งบกองทุน!FF115"")"),0)</f>
        <v>0</v>
      </c>
      <c r="K111" s="306">
        <v>0</v>
      </c>
      <c r="L111" s="307">
        <f t="shared" ca="1" si="4"/>
        <v>0</v>
      </c>
      <c r="M111" s="306">
        <v>0</v>
      </c>
      <c r="N111" s="307">
        <f t="shared" ca="1" si="5"/>
        <v>0</v>
      </c>
      <c r="O111" s="306">
        <v>0</v>
      </c>
      <c r="P111" s="307">
        <f t="shared" ca="1" si="6"/>
        <v>0</v>
      </c>
      <c r="Q111" s="306">
        <v>0</v>
      </c>
      <c r="R111" s="307">
        <f t="shared" ca="1" si="7"/>
        <v>0</v>
      </c>
      <c r="S111" s="306">
        <v>0</v>
      </c>
      <c r="T111" s="307">
        <f t="shared" ca="1" si="8"/>
        <v>0</v>
      </c>
      <c r="U111" s="639">
        <f t="shared" si="73"/>
        <v>0</v>
      </c>
      <c r="V111" s="307">
        <f t="shared" ca="1" si="9"/>
        <v>0</v>
      </c>
      <c r="W111" s="639">
        <v>0</v>
      </c>
      <c r="X111" s="639">
        <v>0</v>
      </c>
      <c r="Y111" s="306">
        <f t="shared" si="74"/>
        <v>0</v>
      </c>
      <c r="Z111" s="307">
        <f t="shared" ca="1" si="11"/>
        <v>0</v>
      </c>
      <c r="AA111" s="306">
        <v>0</v>
      </c>
      <c r="AB111" s="306">
        <v>0</v>
      </c>
      <c r="AC111" s="306">
        <v>0</v>
      </c>
      <c r="AD111" s="609">
        <v>0</v>
      </c>
    </row>
    <row r="112" spans="1:30" ht="24" hidden="1" customHeight="1">
      <c r="A112" s="327">
        <f t="shared" si="75"/>
        <v>6</v>
      </c>
      <c r="B112" s="328" t="s">
        <v>136</v>
      </c>
      <c r="C112" s="305">
        <f t="shared" ca="1" si="71"/>
        <v>0</v>
      </c>
      <c r="D112" s="306">
        <f ca="1">IFERROR(__xludf.DUMMYFUNCTION("IMPORTRANGE(""https://docs.google.com/spreadsheets/d/1C3CXT74ZlgGe6_JY_1olB1XN4rF0dxEuIIF-xsYjHgg/edit?usp=sharing"",""งบกองทุน!EV116"")"),0)</f>
        <v>0</v>
      </c>
      <c r="E112" s="306">
        <f ca="1">IFERROR(__xludf.DUMMYFUNCTION("IMPORTRANGE(""https://docs.google.com/spreadsheets/d/1C3CXT74ZlgGe6_JY_1olB1XN4rF0dxEuIIF-xsYjHgg/edit?usp=sharing"",""งบกองทุน!EW116"")"),0)</f>
        <v>0</v>
      </c>
      <c r="F112" s="307">
        <v>0</v>
      </c>
      <c r="G112" s="307">
        <f t="shared" ca="1" si="1"/>
        <v>0</v>
      </c>
      <c r="H112" s="638">
        <f t="shared" ca="1" si="72"/>
        <v>0</v>
      </c>
      <c r="I112" s="638">
        <f ca="1">IFERROR(__xludf.DUMMYFUNCTION("IMPORTRANGE(""https://docs.google.com/spreadsheets/d/1C3CXT74ZlgGe6_JY_1olB1XN4rF0dxEuIIF-xsYjHgg/edit?usp=sharing"",""งบกองทุน!EZ116"")"),0)</f>
        <v>0</v>
      </c>
      <c r="J112" s="306">
        <f ca="1">IFERROR(__xludf.DUMMYFUNCTION("IMPORTRANGE(""https://docs.google.com/spreadsheets/d/1C3CXT74ZlgGe6_JY_1olB1XN4rF0dxEuIIF-xsYjHgg/edit?usp=sharing"",""งบกองทุน!FF116"")"),0)</f>
        <v>0</v>
      </c>
      <c r="K112" s="306">
        <v>0</v>
      </c>
      <c r="L112" s="307">
        <f t="shared" ca="1" si="4"/>
        <v>0</v>
      </c>
      <c r="M112" s="306">
        <v>0</v>
      </c>
      <c r="N112" s="307">
        <f t="shared" ca="1" si="5"/>
        <v>0</v>
      </c>
      <c r="O112" s="306">
        <v>0</v>
      </c>
      <c r="P112" s="307">
        <f t="shared" ca="1" si="6"/>
        <v>0</v>
      </c>
      <c r="Q112" s="306">
        <v>0</v>
      </c>
      <c r="R112" s="307">
        <f t="shared" ca="1" si="7"/>
        <v>0</v>
      </c>
      <c r="S112" s="306">
        <v>0</v>
      </c>
      <c r="T112" s="307">
        <f t="shared" ca="1" si="8"/>
        <v>0</v>
      </c>
      <c r="U112" s="639">
        <f t="shared" si="73"/>
        <v>0</v>
      </c>
      <c r="V112" s="307">
        <f t="shared" ca="1" si="9"/>
        <v>0</v>
      </c>
      <c r="W112" s="639">
        <v>0</v>
      </c>
      <c r="X112" s="639">
        <v>0</v>
      </c>
      <c r="Y112" s="306">
        <f t="shared" si="74"/>
        <v>0</v>
      </c>
      <c r="Z112" s="307">
        <f t="shared" ca="1" si="11"/>
        <v>0</v>
      </c>
      <c r="AA112" s="306">
        <v>0</v>
      </c>
      <c r="AB112" s="306">
        <v>0</v>
      </c>
      <c r="AC112" s="306">
        <v>0</v>
      </c>
      <c r="AD112" s="609">
        <v>0</v>
      </c>
    </row>
    <row r="113" spans="1:30" ht="24" hidden="1" customHeight="1">
      <c r="A113" s="327">
        <v>7</v>
      </c>
      <c r="B113" s="328" t="s">
        <v>140</v>
      </c>
      <c r="C113" s="305">
        <f t="shared" ca="1" si="71"/>
        <v>0</v>
      </c>
      <c r="D113" s="306">
        <f ca="1">IFERROR(__xludf.DUMMYFUNCTION("IMPORTRANGE(""https://docs.google.com/spreadsheets/d/1C3CXT74ZlgGe6_JY_1olB1XN4rF0dxEuIIF-xsYjHgg/edit?usp=sharing"",""งบกองทุน!EV117"")"),0)</f>
        <v>0</v>
      </c>
      <c r="E113" s="306">
        <f ca="1">IFERROR(__xludf.DUMMYFUNCTION("IMPORTRANGE(""https://docs.google.com/spreadsheets/d/1C3CXT74ZlgGe6_JY_1olB1XN4rF0dxEuIIF-xsYjHgg/edit?usp=sharing"",""งบกองทุน!EW117"")"),0)</f>
        <v>0</v>
      </c>
      <c r="F113" s="307">
        <v>0</v>
      </c>
      <c r="G113" s="307">
        <f t="shared" ca="1" si="1"/>
        <v>0</v>
      </c>
      <c r="H113" s="638">
        <f t="shared" ca="1" si="72"/>
        <v>0</v>
      </c>
      <c r="I113" s="638">
        <f ca="1">IFERROR(__xludf.DUMMYFUNCTION("IMPORTRANGE(""https://docs.google.com/spreadsheets/d/1C3CXT74ZlgGe6_JY_1olB1XN4rF0dxEuIIF-xsYjHgg/edit?usp=sharing"",""งบกองทุน!EZ117"")"),0)</f>
        <v>0</v>
      </c>
      <c r="J113" s="306">
        <f ca="1">IFERROR(__xludf.DUMMYFUNCTION("IMPORTRANGE(""https://docs.google.com/spreadsheets/d/1C3CXT74ZlgGe6_JY_1olB1XN4rF0dxEuIIF-xsYjHgg/edit?usp=sharing"",""งบกองทุน!FF117"")"),0)</f>
        <v>0</v>
      </c>
      <c r="K113" s="306">
        <v>0</v>
      </c>
      <c r="L113" s="307">
        <f t="shared" ca="1" si="4"/>
        <v>0</v>
      </c>
      <c r="M113" s="306">
        <v>0</v>
      </c>
      <c r="N113" s="307">
        <f t="shared" ca="1" si="5"/>
        <v>0</v>
      </c>
      <c r="O113" s="306">
        <v>0</v>
      </c>
      <c r="P113" s="307">
        <f t="shared" ca="1" si="6"/>
        <v>0</v>
      </c>
      <c r="Q113" s="306">
        <v>0</v>
      </c>
      <c r="R113" s="307">
        <f t="shared" ca="1" si="7"/>
        <v>0</v>
      </c>
      <c r="S113" s="306">
        <v>0</v>
      </c>
      <c r="T113" s="307">
        <f t="shared" ca="1" si="8"/>
        <v>0</v>
      </c>
      <c r="U113" s="639">
        <f t="shared" si="73"/>
        <v>0</v>
      </c>
      <c r="V113" s="307">
        <f t="shared" ca="1" si="9"/>
        <v>0</v>
      </c>
      <c r="W113" s="639">
        <v>0</v>
      </c>
      <c r="X113" s="639">
        <v>0</v>
      </c>
      <c r="Y113" s="306">
        <f t="shared" si="74"/>
        <v>0</v>
      </c>
      <c r="Z113" s="307">
        <f t="shared" ca="1" si="11"/>
        <v>0</v>
      </c>
      <c r="AA113" s="306">
        <v>0</v>
      </c>
      <c r="AB113" s="306">
        <v>0</v>
      </c>
      <c r="AC113" s="306">
        <v>0</v>
      </c>
      <c r="AD113" s="609">
        <v>0</v>
      </c>
    </row>
    <row r="114" spans="1:30" ht="24" hidden="1" customHeight="1">
      <c r="A114" s="329">
        <v>8</v>
      </c>
      <c r="B114" s="330" t="s">
        <v>141</v>
      </c>
      <c r="C114" s="331">
        <f t="shared" ca="1" si="71"/>
        <v>0</v>
      </c>
      <c r="D114" s="332">
        <f ca="1">IFERROR(__xludf.DUMMYFUNCTION("IMPORTRANGE(""https://docs.google.com/spreadsheets/d/1C3CXT74ZlgGe6_JY_1olB1XN4rF0dxEuIIF-xsYjHgg/edit?usp=sharing"",""งบกองทุน!EV118"")"),0)</f>
        <v>0</v>
      </c>
      <c r="E114" s="332">
        <f ca="1">IFERROR(__xludf.DUMMYFUNCTION("IMPORTRANGE(""https://docs.google.com/spreadsheets/d/1C3CXT74ZlgGe6_JY_1olB1XN4rF0dxEuIIF-xsYjHgg/edit?usp=sharing"",""งบกองทุน!EW118"")"),0)</f>
        <v>0</v>
      </c>
      <c r="F114" s="333">
        <v>0</v>
      </c>
      <c r="G114" s="333">
        <f t="shared" ca="1" si="1"/>
        <v>0</v>
      </c>
      <c r="H114" s="642">
        <f t="shared" ca="1" si="72"/>
        <v>0</v>
      </c>
      <c r="I114" s="642">
        <f ca="1">IFERROR(__xludf.DUMMYFUNCTION("IMPORTRANGE(""https://docs.google.com/spreadsheets/d/1C3CXT74ZlgGe6_JY_1olB1XN4rF0dxEuIIF-xsYjHgg/edit?usp=sharing"",""งบกองทุน!EZ118"")"),0)</f>
        <v>0</v>
      </c>
      <c r="J114" s="332">
        <f ca="1">IFERROR(__xludf.DUMMYFUNCTION("IMPORTRANGE(""https://docs.google.com/spreadsheets/d/1C3CXT74ZlgGe6_JY_1olB1XN4rF0dxEuIIF-xsYjHgg/edit?usp=sharing"",""งบกองทุน!FF118"")"),0)</f>
        <v>0</v>
      </c>
      <c r="K114" s="332">
        <v>0</v>
      </c>
      <c r="L114" s="333">
        <f t="shared" ca="1" si="4"/>
        <v>0</v>
      </c>
      <c r="M114" s="332">
        <v>0</v>
      </c>
      <c r="N114" s="333">
        <f t="shared" ca="1" si="5"/>
        <v>0</v>
      </c>
      <c r="O114" s="332">
        <v>0</v>
      </c>
      <c r="P114" s="333">
        <f t="shared" ca="1" si="6"/>
        <v>0</v>
      </c>
      <c r="Q114" s="332">
        <v>0</v>
      </c>
      <c r="R114" s="333">
        <f t="shared" ca="1" si="7"/>
        <v>0</v>
      </c>
      <c r="S114" s="332">
        <v>0</v>
      </c>
      <c r="T114" s="333">
        <f t="shared" ca="1" si="8"/>
        <v>0</v>
      </c>
      <c r="U114" s="643">
        <f t="shared" si="73"/>
        <v>0</v>
      </c>
      <c r="V114" s="333">
        <f t="shared" ca="1" si="9"/>
        <v>0</v>
      </c>
      <c r="W114" s="643">
        <v>0</v>
      </c>
      <c r="X114" s="643">
        <v>0</v>
      </c>
      <c r="Y114" s="332">
        <f t="shared" si="74"/>
        <v>0</v>
      </c>
      <c r="Z114" s="333">
        <f t="shared" ca="1" si="11"/>
        <v>0</v>
      </c>
      <c r="AA114" s="332">
        <v>0</v>
      </c>
      <c r="AB114" s="332">
        <v>0</v>
      </c>
      <c r="AC114" s="332">
        <v>0</v>
      </c>
      <c r="AD114" s="615">
        <v>0</v>
      </c>
    </row>
    <row r="115" spans="1:30" ht="24" customHeight="1">
      <c r="A115" s="336"/>
      <c r="B115" s="336"/>
      <c r="C115" s="336"/>
      <c r="D115" s="336"/>
      <c r="E115" s="336"/>
      <c r="F115" s="336"/>
      <c r="G115" s="336"/>
      <c r="H115" s="336"/>
      <c r="I115" s="336"/>
      <c r="J115" s="336"/>
      <c r="K115" s="336"/>
      <c r="L115" s="337"/>
      <c r="M115" s="336"/>
      <c r="N115" s="337"/>
      <c r="O115" s="336"/>
      <c r="P115" s="337"/>
      <c r="Q115" s="336"/>
      <c r="R115" s="337"/>
      <c r="S115" s="336"/>
      <c r="T115" s="337"/>
      <c r="U115" s="336"/>
      <c r="V115" s="337"/>
      <c r="W115" s="644"/>
      <c r="X115" s="644"/>
      <c r="Y115" s="336"/>
      <c r="Z115" s="337"/>
      <c r="AA115" s="336"/>
      <c r="AB115" s="336"/>
      <c r="AC115" s="336"/>
      <c r="AD115" s="336"/>
    </row>
    <row r="116" spans="1:30" ht="24" customHeight="1">
      <c r="A116" s="336"/>
      <c r="B116" s="336"/>
      <c r="C116" s="336"/>
      <c r="D116" s="336"/>
      <c r="E116" s="336"/>
      <c r="F116" s="336"/>
      <c r="G116" s="336"/>
      <c r="H116" s="336"/>
      <c r="I116" s="336"/>
      <c r="J116" s="336"/>
      <c r="K116" s="336"/>
      <c r="L116" s="337"/>
      <c r="M116" s="336"/>
      <c r="N116" s="337"/>
      <c r="O116" s="336"/>
      <c r="P116" s="337"/>
      <c r="Q116" s="336"/>
      <c r="R116" s="337"/>
      <c r="S116" s="336"/>
      <c r="T116" s="337"/>
      <c r="U116" s="336"/>
      <c r="V116" s="337"/>
      <c r="W116" s="644"/>
      <c r="X116" s="644"/>
      <c r="Y116" s="336"/>
      <c r="Z116" s="337"/>
      <c r="AA116" s="336"/>
      <c r="AB116" s="336"/>
      <c r="AC116" s="336"/>
      <c r="AD116" s="336"/>
    </row>
    <row r="117" spans="1:30" ht="24" customHeight="1">
      <c r="A117" s="336"/>
      <c r="B117" s="336"/>
      <c r="C117" s="336"/>
      <c r="D117" s="336"/>
      <c r="E117" s="336"/>
      <c r="F117" s="336"/>
      <c r="G117" s="336"/>
      <c r="H117" s="336"/>
      <c r="I117" s="336"/>
      <c r="J117" s="336"/>
      <c r="K117" s="336"/>
      <c r="L117" s="337"/>
      <c r="M117" s="336"/>
      <c r="N117" s="337"/>
      <c r="O117" s="336"/>
      <c r="P117" s="337"/>
      <c r="Q117" s="336"/>
      <c r="R117" s="337"/>
      <c r="S117" s="336"/>
      <c r="T117" s="337"/>
      <c r="U117" s="336"/>
      <c r="V117" s="337"/>
      <c r="W117" s="644"/>
      <c r="X117" s="644"/>
      <c r="Y117" s="336"/>
      <c r="Z117" s="337"/>
      <c r="AA117" s="336"/>
      <c r="AB117" s="336"/>
      <c r="AC117" s="336"/>
      <c r="AD117" s="336"/>
    </row>
    <row r="118" spans="1:30" ht="24" customHeight="1">
      <c r="A118" s="336"/>
      <c r="B118" s="336"/>
      <c r="C118" s="336"/>
      <c r="D118" s="336"/>
      <c r="E118" s="336"/>
      <c r="F118" s="336"/>
      <c r="G118" s="336"/>
      <c r="H118" s="336"/>
      <c r="I118" s="336"/>
      <c r="J118" s="336"/>
      <c r="K118" s="336"/>
      <c r="L118" s="337"/>
      <c r="M118" s="336"/>
      <c r="N118" s="337"/>
      <c r="O118" s="336"/>
      <c r="P118" s="337"/>
      <c r="Q118" s="336"/>
      <c r="R118" s="337"/>
      <c r="S118" s="336"/>
      <c r="T118" s="337"/>
      <c r="U118" s="336"/>
      <c r="V118" s="337"/>
      <c r="W118" s="644"/>
      <c r="X118" s="644"/>
      <c r="Y118" s="336"/>
      <c r="Z118" s="337"/>
      <c r="AA118" s="336"/>
      <c r="AB118" s="336"/>
      <c r="AC118" s="336"/>
      <c r="AD118" s="336"/>
    </row>
    <row r="119" spans="1:30" ht="24" customHeight="1">
      <c r="A119" s="336"/>
      <c r="B119" s="336"/>
      <c r="C119" s="336"/>
      <c r="D119" s="336"/>
      <c r="E119" s="336"/>
      <c r="F119" s="336"/>
      <c r="G119" s="336"/>
      <c r="H119" s="336"/>
      <c r="I119" s="336"/>
      <c r="J119" s="336"/>
      <c r="K119" s="336"/>
      <c r="L119" s="337"/>
      <c r="M119" s="336"/>
      <c r="N119" s="337"/>
      <c r="O119" s="336"/>
      <c r="P119" s="337"/>
      <c r="Q119" s="336"/>
      <c r="R119" s="337"/>
      <c r="S119" s="336"/>
      <c r="T119" s="337"/>
      <c r="U119" s="336"/>
      <c r="V119" s="337"/>
      <c r="W119" s="644"/>
      <c r="X119" s="644"/>
      <c r="Y119" s="336"/>
      <c r="Z119" s="337"/>
      <c r="AA119" s="336"/>
      <c r="AB119" s="336"/>
      <c r="AC119" s="336"/>
      <c r="AD119" s="336"/>
    </row>
    <row r="120" spans="1:30" ht="24" customHeight="1">
      <c r="A120" s="336"/>
      <c r="B120" s="336"/>
      <c r="C120" s="336"/>
      <c r="D120" s="336"/>
      <c r="E120" s="336"/>
      <c r="F120" s="336"/>
      <c r="G120" s="336"/>
      <c r="H120" s="336"/>
      <c r="I120" s="336"/>
      <c r="J120" s="336"/>
      <c r="K120" s="336"/>
      <c r="L120" s="337"/>
      <c r="M120" s="336"/>
      <c r="N120" s="337"/>
      <c r="O120" s="336"/>
      <c r="P120" s="337"/>
      <c r="Q120" s="336"/>
      <c r="R120" s="337"/>
      <c r="S120" s="336"/>
      <c r="T120" s="337"/>
      <c r="U120" s="336"/>
      <c r="V120" s="337"/>
      <c r="W120" s="644"/>
      <c r="X120" s="644"/>
      <c r="Y120" s="336"/>
      <c r="Z120" s="337"/>
      <c r="AA120" s="336"/>
      <c r="AB120" s="336"/>
      <c r="AC120" s="336"/>
      <c r="AD120" s="336"/>
    </row>
    <row r="121" spans="1:30" ht="24" customHeight="1">
      <c r="A121" s="336"/>
      <c r="B121" s="336"/>
      <c r="C121" s="336"/>
      <c r="D121" s="336"/>
      <c r="E121" s="336"/>
      <c r="F121" s="336"/>
      <c r="G121" s="336"/>
      <c r="H121" s="336"/>
      <c r="I121" s="336"/>
      <c r="J121" s="336"/>
      <c r="K121" s="336"/>
      <c r="L121" s="337"/>
      <c r="M121" s="336"/>
      <c r="N121" s="337"/>
      <c r="O121" s="336"/>
      <c r="P121" s="337"/>
      <c r="Q121" s="336"/>
      <c r="R121" s="337"/>
      <c r="S121" s="336"/>
      <c r="T121" s="337"/>
      <c r="U121" s="336"/>
      <c r="V121" s="337"/>
      <c r="W121" s="644"/>
      <c r="X121" s="644"/>
      <c r="Y121" s="336"/>
      <c r="Z121" s="337"/>
      <c r="AA121" s="336"/>
      <c r="AB121" s="336"/>
      <c r="AC121" s="336"/>
      <c r="AD121" s="336"/>
    </row>
    <row r="122" spans="1:30" ht="24" customHeight="1">
      <c r="A122" s="336"/>
      <c r="B122" s="336"/>
      <c r="C122" s="336"/>
      <c r="D122" s="336"/>
      <c r="E122" s="336"/>
      <c r="F122" s="336"/>
      <c r="G122" s="336"/>
      <c r="H122" s="336"/>
      <c r="I122" s="336"/>
      <c r="J122" s="336"/>
      <c r="K122" s="336"/>
      <c r="L122" s="337"/>
      <c r="M122" s="336"/>
      <c r="N122" s="337"/>
      <c r="O122" s="336"/>
      <c r="P122" s="337"/>
      <c r="Q122" s="336"/>
      <c r="R122" s="337"/>
      <c r="S122" s="336"/>
      <c r="T122" s="337"/>
      <c r="U122" s="336"/>
      <c r="V122" s="337"/>
      <c r="W122" s="644"/>
      <c r="X122" s="644"/>
      <c r="Y122" s="336"/>
      <c r="Z122" s="337"/>
      <c r="AA122" s="336"/>
      <c r="AB122" s="336"/>
      <c r="AC122" s="336"/>
      <c r="AD122" s="336"/>
    </row>
    <row r="123" spans="1:30" ht="24" customHeight="1">
      <c r="A123" s="336"/>
      <c r="B123" s="336"/>
      <c r="C123" s="336"/>
      <c r="D123" s="336"/>
      <c r="E123" s="336"/>
      <c r="F123" s="336"/>
      <c r="G123" s="336"/>
      <c r="H123" s="336"/>
      <c r="I123" s="336"/>
      <c r="J123" s="336"/>
      <c r="K123" s="336"/>
      <c r="L123" s="337"/>
      <c r="M123" s="336"/>
      <c r="N123" s="337"/>
      <c r="O123" s="336"/>
      <c r="P123" s="337"/>
      <c r="Q123" s="336"/>
      <c r="R123" s="337"/>
      <c r="S123" s="336"/>
      <c r="T123" s="337"/>
      <c r="U123" s="336"/>
      <c r="V123" s="337"/>
      <c r="W123" s="644"/>
      <c r="X123" s="644"/>
      <c r="Y123" s="336"/>
      <c r="Z123" s="337"/>
      <c r="AA123" s="336"/>
      <c r="AB123" s="336"/>
      <c r="AC123" s="336"/>
      <c r="AD123" s="336"/>
    </row>
    <row r="124" spans="1:30" ht="24" customHeight="1">
      <c r="A124" s="336"/>
      <c r="B124" s="336"/>
      <c r="C124" s="336"/>
      <c r="D124" s="336"/>
      <c r="E124" s="336"/>
      <c r="F124" s="336"/>
      <c r="G124" s="336"/>
      <c r="H124" s="336"/>
      <c r="I124" s="336"/>
      <c r="J124" s="336"/>
      <c r="K124" s="336"/>
      <c r="L124" s="337"/>
      <c r="M124" s="336"/>
      <c r="N124" s="337"/>
      <c r="O124" s="336"/>
      <c r="P124" s="337"/>
      <c r="Q124" s="336"/>
      <c r="R124" s="337"/>
      <c r="S124" s="336"/>
      <c r="T124" s="337"/>
      <c r="U124" s="336"/>
      <c r="V124" s="337"/>
      <c r="W124" s="644"/>
      <c r="X124" s="644"/>
      <c r="Y124" s="336"/>
      <c r="Z124" s="337"/>
      <c r="AA124" s="336"/>
      <c r="AB124" s="336"/>
      <c r="AC124" s="336"/>
      <c r="AD124" s="336"/>
    </row>
    <row r="125" spans="1:30" ht="24" customHeight="1">
      <c r="A125" s="336"/>
      <c r="B125" s="336"/>
      <c r="C125" s="336"/>
      <c r="D125" s="336"/>
      <c r="E125" s="336"/>
      <c r="F125" s="336"/>
      <c r="G125" s="336"/>
      <c r="H125" s="336"/>
      <c r="I125" s="336"/>
      <c r="J125" s="336"/>
      <c r="K125" s="336"/>
      <c r="L125" s="337"/>
      <c r="M125" s="336"/>
      <c r="N125" s="337"/>
      <c r="O125" s="336"/>
      <c r="P125" s="337"/>
      <c r="Q125" s="336"/>
      <c r="R125" s="337"/>
      <c r="S125" s="336"/>
      <c r="T125" s="337"/>
      <c r="U125" s="336"/>
      <c r="V125" s="337"/>
      <c r="W125" s="644"/>
      <c r="X125" s="644"/>
      <c r="Y125" s="336"/>
      <c r="Z125" s="337"/>
      <c r="AA125" s="336"/>
      <c r="AB125" s="336"/>
      <c r="AC125" s="336"/>
      <c r="AD125" s="336"/>
    </row>
    <row r="126" spans="1:30" ht="24" customHeight="1">
      <c r="A126" s="336"/>
      <c r="B126" s="336"/>
      <c r="C126" s="336"/>
      <c r="D126" s="336"/>
      <c r="E126" s="336"/>
      <c r="F126" s="336"/>
      <c r="G126" s="336"/>
      <c r="H126" s="336"/>
      <c r="I126" s="336"/>
      <c r="J126" s="336"/>
      <c r="K126" s="336"/>
      <c r="L126" s="337"/>
      <c r="M126" s="336"/>
      <c r="N126" s="337"/>
      <c r="O126" s="336"/>
      <c r="P126" s="337"/>
      <c r="Q126" s="336"/>
      <c r="R126" s="337"/>
      <c r="S126" s="336"/>
      <c r="T126" s="337"/>
      <c r="U126" s="336"/>
      <c r="V126" s="337"/>
      <c r="W126" s="644"/>
      <c r="X126" s="644"/>
      <c r="Y126" s="336"/>
      <c r="Z126" s="337"/>
      <c r="AA126" s="336"/>
      <c r="AB126" s="336"/>
      <c r="AC126" s="336"/>
      <c r="AD126" s="336"/>
    </row>
    <row r="127" spans="1:30" ht="24" customHeight="1">
      <c r="A127" s="336"/>
      <c r="B127" s="336"/>
      <c r="C127" s="336"/>
      <c r="D127" s="336"/>
      <c r="E127" s="336"/>
      <c r="F127" s="336"/>
      <c r="G127" s="336"/>
      <c r="H127" s="336"/>
      <c r="I127" s="336"/>
      <c r="J127" s="336"/>
      <c r="K127" s="336"/>
      <c r="L127" s="337"/>
      <c r="M127" s="336"/>
      <c r="N127" s="337"/>
      <c r="O127" s="336"/>
      <c r="P127" s="337"/>
      <c r="Q127" s="336"/>
      <c r="R127" s="337"/>
      <c r="S127" s="336"/>
      <c r="T127" s="337"/>
      <c r="U127" s="336"/>
      <c r="V127" s="337"/>
      <c r="W127" s="644"/>
      <c r="X127" s="644"/>
      <c r="Y127" s="336"/>
      <c r="Z127" s="337"/>
      <c r="AA127" s="336"/>
      <c r="AB127" s="336"/>
      <c r="AC127" s="336"/>
      <c r="AD127" s="336"/>
    </row>
    <row r="128" spans="1:30" ht="24" customHeight="1">
      <c r="A128" s="336"/>
      <c r="B128" s="336"/>
      <c r="C128" s="336"/>
      <c r="D128" s="336"/>
      <c r="E128" s="336"/>
      <c r="F128" s="336"/>
      <c r="G128" s="336"/>
      <c r="H128" s="336"/>
      <c r="I128" s="336"/>
      <c r="J128" s="336"/>
      <c r="K128" s="336"/>
      <c r="L128" s="337"/>
      <c r="M128" s="336"/>
      <c r="N128" s="337"/>
      <c r="O128" s="336"/>
      <c r="P128" s="337"/>
      <c r="Q128" s="336"/>
      <c r="R128" s="337"/>
      <c r="S128" s="336"/>
      <c r="T128" s="337"/>
      <c r="U128" s="336"/>
      <c r="V128" s="337"/>
      <c r="W128" s="644"/>
      <c r="X128" s="644"/>
      <c r="Y128" s="336"/>
      <c r="Z128" s="337"/>
      <c r="AA128" s="336"/>
      <c r="AB128" s="336"/>
      <c r="AC128" s="336"/>
      <c r="AD128" s="336"/>
    </row>
    <row r="129" spans="1:30" ht="24" customHeight="1">
      <c r="A129" s="336"/>
      <c r="B129" s="336"/>
      <c r="C129" s="336"/>
      <c r="D129" s="336"/>
      <c r="E129" s="336"/>
      <c r="F129" s="336"/>
      <c r="G129" s="336"/>
      <c r="H129" s="336"/>
      <c r="I129" s="336"/>
      <c r="J129" s="336"/>
      <c r="K129" s="336"/>
      <c r="L129" s="337"/>
      <c r="M129" s="336"/>
      <c r="N129" s="337"/>
      <c r="O129" s="336"/>
      <c r="P129" s="337"/>
      <c r="Q129" s="336"/>
      <c r="R129" s="337"/>
      <c r="S129" s="336"/>
      <c r="T129" s="337"/>
      <c r="U129" s="336"/>
      <c r="V129" s="337"/>
      <c r="W129" s="644"/>
      <c r="X129" s="644"/>
      <c r="Y129" s="336"/>
      <c r="Z129" s="337"/>
      <c r="AA129" s="336"/>
      <c r="AB129" s="336"/>
      <c r="AC129" s="336"/>
      <c r="AD129" s="336"/>
    </row>
    <row r="130" spans="1:30" ht="24" customHeight="1">
      <c r="A130" s="336"/>
      <c r="B130" s="336"/>
      <c r="C130" s="336"/>
      <c r="D130" s="336"/>
      <c r="E130" s="336"/>
      <c r="F130" s="336"/>
      <c r="G130" s="336"/>
      <c r="H130" s="336"/>
      <c r="I130" s="336"/>
      <c r="J130" s="336"/>
      <c r="K130" s="336"/>
      <c r="L130" s="337"/>
      <c r="M130" s="336"/>
      <c r="N130" s="337"/>
      <c r="O130" s="336"/>
      <c r="P130" s="337"/>
      <c r="Q130" s="336"/>
      <c r="R130" s="337"/>
      <c r="S130" s="336"/>
      <c r="T130" s="337"/>
      <c r="U130" s="336"/>
      <c r="V130" s="337"/>
      <c r="W130" s="644"/>
      <c r="X130" s="644"/>
      <c r="Y130" s="336"/>
      <c r="Z130" s="337"/>
      <c r="AA130" s="336"/>
      <c r="AB130" s="336"/>
      <c r="AC130" s="336"/>
      <c r="AD130" s="336"/>
    </row>
    <row r="131" spans="1:30" ht="24" customHeight="1">
      <c r="A131" s="336"/>
      <c r="B131" s="336"/>
      <c r="C131" s="336"/>
      <c r="D131" s="336"/>
      <c r="E131" s="336"/>
      <c r="F131" s="336"/>
      <c r="G131" s="336"/>
      <c r="H131" s="336"/>
      <c r="I131" s="336"/>
      <c r="J131" s="336"/>
      <c r="K131" s="336"/>
      <c r="L131" s="337"/>
      <c r="M131" s="336"/>
      <c r="N131" s="337"/>
      <c r="O131" s="336"/>
      <c r="P131" s="337"/>
      <c r="Q131" s="336"/>
      <c r="R131" s="337"/>
      <c r="S131" s="336"/>
      <c r="T131" s="337"/>
      <c r="U131" s="336"/>
      <c r="V131" s="337"/>
      <c r="W131" s="644"/>
      <c r="X131" s="644"/>
      <c r="Y131" s="336"/>
      <c r="Z131" s="337"/>
      <c r="AA131" s="336"/>
      <c r="AB131" s="336"/>
      <c r="AC131" s="336"/>
      <c r="AD131" s="336"/>
    </row>
    <row r="132" spans="1:30" ht="24" customHeight="1">
      <c r="A132" s="336"/>
      <c r="B132" s="336"/>
      <c r="C132" s="336"/>
      <c r="D132" s="336"/>
      <c r="E132" s="336"/>
      <c r="F132" s="336"/>
      <c r="G132" s="336"/>
      <c r="H132" s="336"/>
      <c r="I132" s="336"/>
      <c r="J132" s="336"/>
      <c r="K132" s="336"/>
      <c r="L132" s="337"/>
      <c r="M132" s="336"/>
      <c r="N132" s="337"/>
      <c r="O132" s="336"/>
      <c r="P132" s="337"/>
      <c r="Q132" s="336"/>
      <c r="R132" s="337"/>
      <c r="S132" s="336"/>
      <c r="T132" s="337"/>
      <c r="U132" s="336"/>
      <c r="V132" s="337"/>
      <c r="W132" s="644"/>
      <c r="X132" s="644"/>
      <c r="Y132" s="336"/>
      <c r="Z132" s="337"/>
      <c r="AA132" s="336"/>
      <c r="AB132" s="336"/>
      <c r="AC132" s="336"/>
      <c r="AD132" s="336"/>
    </row>
    <row r="133" spans="1:30" ht="24" customHeight="1">
      <c r="A133" s="336"/>
      <c r="B133" s="336"/>
      <c r="C133" s="336"/>
      <c r="D133" s="336"/>
      <c r="E133" s="336"/>
      <c r="F133" s="336"/>
      <c r="G133" s="336"/>
      <c r="H133" s="336"/>
      <c r="I133" s="336"/>
      <c r="J133" s="336"/>
      <c r="K133" s="336"/>
      <c r="L133" s="337"/>
      <c r="M133" s="336"/>
      <c r="N133" s="337"/>
      <c r="O133" s="336"/>
      <c r="P133" s="337"/>
      <c r="Q133" s="336"/>
      <c r="R133" s="337"/>
      <c r="S133" s="336"/>
      <c r="T133" s="337"/>
      <c r="U133" s="336"/>
      <c r="V133" s="337"/>
      <c r="W133" s="644"/>
      <c r="X133" s="644"/>
      <c r="Y133" s="336"/>
      <c r="Z133" s="337"/>
      <c r="AA133" s="336"/>
      <c r="AB133" s="336"/>
      <c r="AC133" s="336"/>
      <c r="AD133" s="336"/>
    </row>
    <row r="134" spans="1:30" ht="24" customHeight="1">
      <c r="A134" s="336"/>
      <c r="B134" s="336"/>
      <c r="C134" s="336"/>
      <c r="D134" s="336"/>
      <c r="E134" s="336"/>
      <c r="F134" s="336"/>
      <c r="G134" s="336"/>
      <c r="H134" s="336"/>
      <c r="I134" s="336"/>
      <c r="J134" s="336"/>
      <c r="K134" s="336"/>
      <c r="L134" s="337"/>
      <c r="M134" s="336"/>
      <c r="N134" s="337"/>
      <c r="O134" s="336"/>
      <c r="P134" s="337"/>
      <c r="Q134" s="336"/>
      <c r="R134" s="337"/>
      <c r="S134" s="336"/>
      <c r="T134" s="337"/>
      <c r="U134" s="336"/>
      <c r="V134" s="337"/>
      <c r="W134" s="644"/>
      <c r="X134" s="644"/>
      <c r="Y134" s="336"/>
      <c r="Z134" s="337"/>
      <c r="AA134" s="336"/>
      <c r="AB134" s="336"/>
      <c r="AC134" s="336"/>
      <c r="AD134" s="336"/>
    </row>
    <row r="135" spans="1:30" ht="24" customHeight="1">
      <c r="A135" s="336"/>
      <c r="B135" s="336"/>
      <c r="C135" s="336"/>
      <c r="D135" s="336"/>
      <c r="E135" s="336"/>
      <c r="F135" s="336"/>
      <c r="G135" s="336"/>
      <c r="H135" s="336"/>
      <c r="I135" s="336"/>
      <c r="J135" s="336"/>
      <c r="K135" s="336"/>
      <c r="L135" s="337"/>
      <c r="M135" s="336"/>
      <c r="N135" s="337"/>
      <c r="O135" s="336"/>
      <c r="P135" s="337"/>
      <c r="Q135" s="336"/>
      <c r="R135" s="337"/>
      <c r="S135" s="336"/>
      <c r="T135" s="337"/>
      <c r="U135" s="336"/>
      <c r="V135" s="337"/>
      <c r="W135" s="644"/>
      <c r="X135" s="644"/>
      <c r="Y135" s="336"/>
      <c r="Z135" s="337"/>
      <c r="AA135" s="336"/>
      <c r="AB135" s="336"/>
      <c r="AC135" s="336"/>
      <c r="AD135" s="336"/>
    </row>
    <row r="136" spans="1:30" ht="24" customHeight="1">
      <c r="A136" s="336"/>
      <c r="B136" s="336"/>
      <c r="C136" s="336"/>
      <c r="D136" s="336"/>
      <c r="E136" s="336"/>
      <c r="F136" s="336"/>
      <c r="G136" s="336"/>
      <c r="H136" s="336"/>
      <c r="I136" s="336"/>
      <c r="J136" s="336"/>
      <c r="K136" s="336"/>
      <c r="L136" s="337"/>
      <c r="M136" s="336"/>
      <c r="N136" s="337"/>
      <c r="O136" s="336"/>
      <c r="P136" s="337"/>
      <c r="Q136" s="336"/>
      <c r="R136" s="337"/>
      <c r="S136" s="336"/>
      <c r="T136" s="337"/>
      <c r="U136" s="336"/>
      <c r="V136" s="337"/>
      <c r="W136" s="644"/>
      <c r="X136" s="644"/>
      <c r="Y136" s="336"/>
      <c r="Z136" s="337"/>
      <c r="AA136" s="336"/>
      <c r="AB136" s="336"/>
      <c r="AC136" s="336"/>
      <c r="AD136" s="336"/>
    </row>
    <row r="137" spans="1:30" ht="24" customHeight="1">
      <c r="A137" s="336"/>
      <c r="B137" s="336"/>
      <c r="C137" s="336"/>
      <c r="D137" s="336"/>
      <c r="E137" s="336"/>
      <c r="F137" s="336"/>
      <c r="G137" s="336"/>
      <c r="H137" s="336"/>
      <c r="I137" s="336"/>
      <c r="J137" s="336"/>
      <c r="K137" s="336"/>
      <c r="L137" s="337"/>
      <c r="M137" s="336"/>
      <c r="N137" s="337"/>
      <c r="O137" s="336"/>
      <c r="P137" s="337"/>
      <c r="Q137" s="336"/>
      <c r="R137" s="337"/>
      <c r="S137" s="336"/>
      <c r="T137" s="337"/>
      <c r="U137" s="336"/>
      <c r="V137" s="337"/>
      <c r="W137" s="644"/>
      <c r="X137" s="644"/>
      <c r="Y137" s="336"/>
      <c r="Z137" s="337"/>
      <c r="AA137" s="336"/>
      <c r="AB137" s="336"/>
      <c r="AC137" s="336"/>
      <c r="AD137" s="336"/>
    </row>
    <row r="138" spans="1:30" ht="24" customHeight="1">
      <c r="A138" s="336"/>
      <c r="B138" s="336"/>
      <c r="C138" s="336"/>
      <c r="D138" s="336"/>
      <c r="E138" s="336"/>
      <c r="F138" s="336"/>
      <c r="G138" s="336"/>
      <c r="H138" s="336"/>
      <c r="I138" s="336"/>
      <c r="J138" s="336"/>
      <c r="K138" s="336"/>
      <c r="L138" s="337"/>
      <c r="M138" s="336"/>
      <c r="N138" s="337"/>
      <c r="O138" s="336"/>
      <c r="P138" s="337"/>
      <c r="Q138" s="336"/>
      <c r="R138" s="337"/>
      <c r="S138" s="336"/>
      <c r="T138" s="337"/>
      <c r="U138" s="336"/>
      <c r="V138" s="337"/>
      <c r="W138" s="644"/>
      <c r="X138" s="644"/>
      <c r="Y138" s="336"/>
      <c r="Z138" s="337"/>
      <c r="AA138" s="336"/>
      <c r="AB138" s="336"/>
      <c r="AC138" s="336"/>
      <c r="AD138" s="336"/>
    </row>
    <row r="139" spans="1:30" ht="24" customHeight="1">
      <c r="A139" s="336"/>
      <c r="B139" s="336"/>
      <c r="C139" s="336"/>
      <c r="D139" s="336"/>
      <c r="E139" s="336"/>
      <c r="F139" s="336"/>
      <c r="G139" s="336"/>
      <c r="H139" s="336"/>
      <c r="I139" s="336"/>
      <c r="J139" s="336"/>
      <c r="K139" s="336"/>
      <c r="L139" s="337"/>
      <c r="M139" s="336"/>
      <c r="N139" s="337"/>
      <c r="O139" s="336"/>
      <c r="P139" s="337"/>
      <c r="Q139" s="336"/>
      <c r="R139" s="337"/>
      <c r="S139" s="336"/>
      <c r="T139" s="337"/>
      <c r="U139" s="336"/>
      <c r="V139" s="337"/>
      <c r="W139" s="644"/>
      <c r="X139" s="644"/>
      <c r="Y139" s="336"/>
      <c r="Z139" s="337"/>
      <c r="AA139" s="336"/>
      <c r="AB139" s="336"/>
      <c r="AC139" s="336"/>
      <c r="AD139" s="336"/>
    </row>
    <row r="140" spans="1:30" ht="24" customHeight="1">
      <c r="A140" s="336"/>
      <c r="B140" s="336"/>
      <c r="C140" s="336"/>
      <c r="D140" s="336"/>
      <c r="E140" s="336"/>
      <c r="F140" s="336"/>
      <c r="G140" s="336"/>
      <c r="H140" s="336"/>
      <c r="I140" s="336"/>
      <c r="J140" s="336"/>
      <c r="K140" s="336"/>
      <c r="L140" s="337"/>
      <c r="M140" s="336"/>
      <c r="N140" s="337"/>
      <c r="O140" s="336"/>
      <c r="P140" s="337"/>
      <c r="Q140" s="336"/>
      <c r="R140" s="337"/>
      <c r="S140" s="336"/>
      <c r="T140" s="337"/>
      <c r="U140" s="336"/>
      <c r="V140" s="337"/>
      <c r="W140" s="644"/>
      <c r="X140" s="644"/>
      <c r="Y140" s="336"/>
      <c r="Z140" s="337"/>
      <c r="AA140" s="336"/>
      <c r="AB140" s="336"/>
      <c r="AC140" s="336"/>
      <c r="AD140" s="336"/>
    </row>
    <row r="141" spans="1:30" ht="24" customHeight="1">
      <c r="A141" s="336"/>
      <c r="B141" s="336"/>
      <c r="C141" s="336"/>
      <c r="D141" s="336"/>
      <c r="E141" s="336"/>
      <c r="F141" s="336"/>
      <c r="G141" s="336"/>
      <c r="H141" s="336"/>
      <c r="I141" s="336"/>
      <c r="J141" s="336"/>
      <c r="K141" s="336"/>
      <c r="L141" s="337"/>
      <c r="M141" s="336"/>
      <c r="N141" s="337"/>
      <c r="O141" s="336"/>
      <c r="P141" s="337"/>
      <c r="Q141" s="336"/>
      <c r="R141" s="337"/>
      <c r="S141" s="336"/>
      <c r="T141" s="337"/>
      <c r="U141" s="336"/>
      <c r="V141" s="337"/>
      <c r="W141" s="644"/>
      <c r="X141" s="644"/>
      <c r="Y141" s="336"/>
      <c r="Z141" s="337"/>
      <c r="AA141" s="336"/>
      <c r="AB141" s="336"/>
      <c r="AC141" s="336"/>
      <c r="AD141" s="336"/>
    </row>
    <row r="142" spans="1:30" ht="24" customHeight="1">
      <c r="A142" s="336"/>
      <c r="B142" s="336"/>
      <c r="C142" s="336"/>
      <c r="D142" s="336"/>
      <c r="E142" s="336"/>
      <c r="F142" s="336"/>
      <c r="G142" s="336"/>
      <c r="H142" s="336"/>
      <c r="I142" s="336"/>
      <c r="J142" s="336"/>
      <c r="K142" s="336"/>
      <c r="L142" s="337"/>
      <c r="M142" s="336"/>
      <c r="N142" s="337"/>
      <c r="O142" s="336"/>
      <c r="P142" s="337"/>
      <c r="Q142" s="336"/>
      <c r="R142" s="337"/>
      <c r="S142" s="336"/>
      <c r="T142" s="337"/>
      <c r="U142" s="336"/>
      <c r="V142" s="337"/>
      <c r="W142" s="644"/>
      <c r="X142" s="644"/>
      <c r="Y142" s="336"/>
      <c r="Z142" s="337"/>
      <c r="AA142" s="336"/>
      <c r="AB142" s="336"/>
      <c r="AC142" s="336"/>
      <c r="AD142" s="336"/>
    </row>
    <row r="143" spans="1:30" ht="24" customHeight="1">
      <c r="A143" s="336"/>
      <c r="B143" s="336"/>
      <c r="C143" s="336"/>
      <c r="D143" s="336"/>
      <c r="E143" s="336"/>
      <c r="F143" s="336"/>
      <c r="G143" s="336"/>
      <c r="H143" s="336"/>
      <c r="I143" s="336"/>
      <c r="J143" s="336"/>
      <c r="K143" s="336"/>
      <c r="L143" s="337"/>
      <c r="M143" s="336"/>
      <c r="N143" s="337"/>
      <c r="O143" s="336"/>
      <c r="P143" s="337"/>
      <c r="Q143" s="336"/>
      <c r="R143" s="337"/>
      <c r="S143" s="336"/>
      <c r="T143" s="337"/>
      <c r="U143" s="336"/>
      <c r="V143" s="337"/>
      <c r="W143" s="644"/>
      <c r="X143" s="644"/>
      <c r="Y143" s="336"/>
      <c r="Z143" s="337"/>
      <c r="AA143" s="336"/>
      <c r="AB143" s="336"/>
      <c r="AC143" s="336"/>
      <c r="AD143" s="336"/>
    </row>
    <row r="144" spans="1:30" ht="24" customHeight="1">
      <c r="A144" s="336"/>
      <c r="B144" s="336"/>
      <c r="C144" s="336"/>
      <c r="D144" s="336"/>
      <c r="E144" s="336"/>
      <c r="F144" s="336"/>
      <c r="G144" s="336"/>
      <c r="H144" s="336"/>
      <c r="I144" s="336"/>
      <c r="J144" s="336"/>
      <c r="K144" s="336"/>
      <c r="L144" s="337"/>
      <c r="M144" s="336"/>
      <c r="N144" s="337"/>
      <c r="O144" s="336"/>
      <c r="P144" s="337"/>
      <c r="Q144" s="336"/>
      <c r="R144" s="337"/>
      <c r="S144" s="336"/>
      <c r="T144" s="337"/>
      <c r="U144" s="336"/>
      <c r="V144" s="337"/>
      <c r="W144" s="644"/>
      <c r="X144" s="644"/>
      <c r="Y144" s="336"/>
      <c r="Z144" s="337"/>
      <c r="AA144" s="336"/>
      <c r="AB144" s="336"/>
      <c r="AC144" s="336"/>
      <c r="AD144" s="336"/>
    </row>
    <row r="145" spans="1:30" ht="24" customHeight="1">
      <c r="A145" s="336"/>
      <c r="B145" s="336"/>
      <c r="C145" s="336"/>
      <c r="D145" s="336"/>
      <c r="E145" s="336"/>
      <c r="F145" s="336"/>
      <c r="G145" s="336"/>
      <c r="H145" s="336"/>
      <c r="I145" s="336"/>
      <c r="J145" s="336"/>
      <c r="K145" s="336"/>
      <c r="L145" s="337"/>
      <c r="M145" s="336"/>
      <c r="N145" s="337"/>
      <c r="O145" s="336"/>
      <c r="P145" s="337"/>
      <c r="Q145" s="336"/>
      <c r="R145" s="337"/>
      <c r="S145" s="336"/>
      <c r="T145" s="337"/>
      <c r="U145" s="336"/>
      <c r="V145" s="337"/>
      <c r="W145" s="644"/>
      <c r="X145" s="644"/>
      <c r="Y145" s="336"/>
      <c r="Z145" s="337"/>
      <c r="AA145" s="336"/>
      <c r="AB145" s="336"/>
      <c r="AC145" s="336"/>
      <c r="AD145" s="336"/>
    </row>
    <row r="146" spans="1:30" ht="24" customHeight="1">
      <c r="A146" s="336"/>
      <c r="B146" s="336"/>
      <c r="C146" s="336"/>
      <c r="D146" s="336"/>
      <c r="E146" s="336"/>
      <c r="F146" s="336"/>
      <c r="G146" s="336"/>
      <c r="H146" s="336"/>
      <c r="I146" s="336"/>
      <c r="J146" s="336"/>
      <c r="K146" s="336"/>
      <c r="L146" s="337"/>
      <c r="M146" s="336"/>
      <c r="N146" s="337"/>
      <c r="O146" s="336"/>
      <c r="P146" s="337"/>
      <c r="Q146" s="336"/>
      <c r="R146" s="337"/>
      <c r="S146" s="336"/>
      <c r="T146" s="337"/>
      <c r="U146" s="336"/>
      <c r="V146" s="337"/>
      <c r="W146" s="644"/>
      <c r="X146" s="644"/>
      <c r="Y146" s="336"/>
      <c r="Z146" s="337"/>
      <c r="AA146" s="336"/>
      <c r="AB146" s="336"/>
      <c r="AC146" s="336"/>
      <c r="AD146" s="336"/>
    </row>
    <row r="147" spans="1:30" ht="24" customHeight="1">
      <c r="A147" s="336"/>
      <c r="B147" s="336"/>
      <c r="C147" s="336"/>
      <c r="D147" s="336"/>
      <c r="E147" s="336"/>
      <c r="F147" s="336"/>
      <c r="G147" s="336"/>
      <c r="H147" s="336"/>
      <c r="I147" s="336"/>
      <c r="J147" s="336"/>
      <c r="K147" s="336"/>
      <c r="L147" s="337"/>
      <c r="M147" s="336"/>
      <c r="N147" s="337"/>
      <c r="O147" s="336"/>
      <c r="P147" s="337"/>
      <c r="Q147" s="336"/>
      <c r="R147" s="337"/>
      <c r="S147" s="336"/>
      <c r="T147" s="337"/>
      <c r="U147" s="336"/>
      <c r="V147" s="337"/>
      <c r="W147" s="644"/>
      <c r="X147" s="644"/>
      <c r="Y147" s="336"/>
      <c r="Z147" s="337"/>
      <c r="AA147" s="336"/>
      <c r="AB147" s="336"/>
      <c r="AC147" s="336"/>
      <c r="AD147" s="336"/>
    </row>
    <row r="148" spans="1:30" ht="24" customHeight="1">
      <c r="A148" s="336"/>
      <c r="B148" s="336"/>
      <c r="C148" s="336"/>
      <c r="D148" s="336"/>
      <c r="E148" s="336"/>
      <c r="F148" s="336"/>
      <c r="G148" s="336"/>
      <c r="H148" s="336"/>
      <c r="I148" s="336"/>
      <c r="J148" s="336"/>
      <c r="K148" s="336"/>
      <c r="L148" s="337"/>
      <c r="M148" s="336"/>
      <c r="N148" s="337"/>
      <c r="O148" s="336"/>
      <c r="P148" s="337"/>
      <c r="Q148" s="336"/>
      <c r="R148" s="337"/>
      <c r="S148" s="336"/>
      <c r="T148" s="337"/>
      <c r="U148" s="336"/>
      <c r="V148" s="337"/>
      <c r="W148" s="644"/>
      <c r="X148" s="644"/>
      <c r="Y148" s="336"/>
      <c r="Z148" s="337"/>
      <c r="AA148" s="336"/>
      <c r="AB148" s="336"/>
      <c r="AC148" s="336"/>
      <c r="AD148" s="336"/>
    </row>
    <row r="149" spans="1:30" ht="24" customHeight="1">
      <c r="A149" s="336"/>
      <c r="B149" s="336"/>
      <c r="C149" s="336"/>
      <c r="D149" s="336"/>
      <c r="E149" s="336"/>
      <c r="F149" s="336"/>
      <c r="G149" s="336"/>
      <c r="H149" s="336"/>
      <c r="I149" s="336"/>
      <c r="J149" s="336"/>
      <c r="K149" s="336"/>
      <c r="L149" s="337"/>
      <c r="M149" s="336"/>
      <c r="N149" s="337"/>
      <c r="O149" s="336"/>
      <c r="P149" s="337"/>
      <c r="Q149" s="336"/>
      <c r="R149" s="337"/>
      <c r="S149" s="336"/>
      <c r="T149" s="337"/>
      <c r="U149" s="336"/>
      <c r="V149" s="337"/>
      <c r="W149" s="644"/>
      <c r="X149" s="644"/>
      <c r="Y149" s="336"/>
      <c r="Z149" s="337"/>
      <c r="AA149" s="336"/>
      <c r="AB149" s="336"/>
      <c r="AC149" s="336"/>
      <c r="AD149" s="336"/>
    </row>
    <row r="150" spans="1:30" ht="24" customHeight="1">
      <c r="A150" s="336"/>
      <c r="B150" s="336"/>
      <c r="C150" s="336"/>
      <c r="D150" s="336"/>
      <c r="E150" s="336"/>
      <c r="F150" s="336"/>
      <c r="G150" s="336"/>
      <c r="H150" s="336"/>
      <c r="I150" s="336"/>
      <c r="J150" s="336"/>
      <c r="K150" s="336"/>
      <c r="L150" s="337"/>
      <c r="M150" s="336"/>
      <c r="N150" s="337"/>
      <c r="O150" s="336"/>
      <c r="P150" s="337"/>
      <c r="Q150" s="336"/>
      <c r="R150" s="337"/>
      <c r="S150" s="336"/>
      <c r="T150" s="337"/>
      <c r="U150" s="336"/>
      <c r="V150" s="337"/>
      <c r="W150" s="644"/>
      <c r="X150" s="644"/>
      <c r="Y150" s="336"/>
      <c r="Z150" s="337"/>
      <c r="AA150" s="336"/>
      <c r="AB150" s="336"/>
      <c r="AC150" s="336"/>
      <c r="AD150" s="336"/>
    </row>
    <row r="151" spans="1:30" ht="24" customHeight="1">
      <c r="A151" s="336"/>
      <c r="B151" s="336"/>
      <c r="C151" s="336"/>
      <c r="D151" s="336"/>
      <c r="E151" s="336"/>
      <c r="F151" s="336"/>
      <c r="G151" s="336"/>
      <c r="H151" s="336"/>
      <c r="I151" s="336"/>
      <c r="J151" s="336"/>
      <c r="K151" s="336"/>
      <c r="L151" s="337"/>
      <c r="M151" s="336"/>
      <c r="N151" s="337"/>
      <c r="O151" s="336"/>
      <c r="P151" s="337"/>
      <c r="Q151" s="336"/>
      <c r="R151" s="337"/>
      <c r="S151" s="336"/>
      <c r="T151" s="337"/>
      <c r="U151" s="336"/>
      <c r="V151" s="337"/>
      <c r="W151" s="644"/>
      <c r="X151" s="644"/>
      <c r="Y151" s="336"/>
      <c r="Z151" s="337"/>
      <c r="AA151" s="336"/>
      <c r="AB151" s="336"/>
      <c r="AC151" s="336"/>
      <c r="AD151" s="336"/>
    </row>
    <row r="152" spans="1:30" ht="24" customHeight="1">
      <c r="A152" s="336"/>
      <c r="B152" s="336"/>
      <c r="C152" s="336"/>
      <c r="D152" s="336"/>
      <c r="E152" s="336"/>
      <c r="F152" s="336"/>
      <c r="G152" s="336"/>
      <c r="H152" s="336"/>
      <c r="I152" s="336"/>
      <c r="J152" s="336"/>
      <c r="K152" s="336"/>
      <c r="L152" s="337"/>
      <c r="M152" s="336"/>
      <c r="N152" s="337"/>
      <c r="O152" s="336"/>
      <c r="P152" s="337"/>
      <c r="Q152" s="336"/>
      <c r="R152" s="337"/>
      <c r="S152" s="336"/>
      <c r="T152" s="337"/>
      <c r="U152" s="336"/>
      <c r="V152" s="337"/>
      <c r="W152" s="644"/>
      <c r="X152" s="644"/>
      <c r="Y152" s="336"/>
      <c r="Z152" s="337"/>
      <c r="AA152" s="336"/>
      <c r="AB152" s="336"/>
      <c r="AC152" s="336"/>
      <c r="AD152" s="336"/>
    </row>
    <row r="153" spans="1:30" ht="24" customHeight="1">
      <c r="A153" s="336"/>
      <c r="B153" s="336"/>
      <c r="C153" s="336"/>
      <c r="D153" s="336"/>
      <c r="E153" s="336"/>
      <c r="F153" s="336"/>
      <c r="G153" s="336"/>
      <c r="H153" s="336"/>
      <c r="I153" s="336"/>
      <c r="J153" s="336"/>
      <c r="K153" s="336"/>
      <c r="L153" s="337"/>
      <c r="M153" s="336"/>
      <c r="N153" s="337"/>
      <c r="O153" s="336"/>
      <c r="P153" s="337"/>
      <c r="Q153" s="336"/>
      <c r="R153" s="337"/>
      <c r="S153" s="336"/>
      <c r="T153" s="337"/>
      <c r="U153" s="336"/>
      <c r="V153" s="337"/>
      <c r="W153" s="644"/>
      <c r="X153" s="644"/>
      <c r="Y153" s="336"/>
      <c r="Z153" s="337"/>
      <c r="AA153" s="336"/>
      <c r="AB153" s="336"/>
      <c r="AC153" s="336"/>
      <c r="AD153" s="336"/>
    </row>
    <row r="154" spans="1:30" ht="24" customHeight="1">
      <c r="A154" s="336"/>
      <c r="B154" s="336"/>
      <c r="C154" s="336"/>
      <c r="D154" s="336"/>
      <c r="E154" s="336"/>
      <c r="F154" s="336"/>
      <c r="G154" s="336"/>
      <c r="H154" s="336"/>
      <c r="I154" s="336"/>
      <c r="J154" s="336"/>
      <c r="K154" s="336"/>
      <c r="L154" s="337"/>
      <c r="M154" s="336"/>
      <c r="N154" s="337"/>
      <c r="O154" s="336"/>
      <c r="P154" s="337"/>
      <c r="Q154" s="336"/>
      <c r="R154" s="337"/>
      <c r="S154" s="336"/>
      <c r="T154" s="337"/>
      <c r="U154" s="336"/>
      <c r="V154" s="337"/>
      <c r="W154" s="644"/>
      <c r="X154" s="644"/>
      <c r="Y154" s="336"/>
      <c r="Z154" s="337"/>
      <c r="AA154" s="336"/>
      <c r="AB154" s="336"/>
      <c r="AC154" s="336"/>
      <c r="AD154" s="336"/>
    </row>
    <row r="155" spans="1:30" ht="24" customHeight="1">
      <c r="A155" s="336"/>
      <c r="B155" s="336"/>
      <c r="C155" s="336"/>
      <c r="D155" s="336"/>
      <c r="E155" s="336"/>
      <c r="F155" s="336"/>
      <c r="G155" s="336"/>
      <c r="H155" s="336"/>
      <c r="I155" s="336"/>
      <c r="J155" s="336"/>
      <c r="K155" s="336"/>
      <c r="L155" s="337"/>
      <c r="M155" s="336"/>
      <c r="N155" s="337"/>
      <c r="O155" s="336"/>
      <c r="P155" s="337"/>
      <c r="Q155" s="336"/>
      <c r="R155" s="337"/>
      <c r="S155" s="336"/>
      <c r="T155" s="337"/>
      <c r="U155" s="336"/>
      <c r="V155" s="337"/>
      <c r="W155" s="644"/>
      <c r="X155" s="644"/>
      <c r="Y155" s="336"/>
      <c r="Z155" s="337"/>
      <c r="AA155" s="336"/>
      <c r="AB155" s="336"/>
      <c r="AC155" s="336"/>
      <c r="AD155" s="336"/>
    </row>
    <row r="156" spans="1:30" ht="24" customHeight="1">
      <c r="A156" s="336"/>
      <c r="B156" s="336"/>
      <c r="C156" s="336"/>
      <c r="D156" s="336"/>
      <c r="E156" s="336"/>
      <c r="F156" s="336"/>
      <c r="G156" s="336"/>
      <c r="H156" s="336"/>
      <c r="I156" s="336"/>
      <c r="J156" s="336"/>
      <c r="K156" s="336"/>
      <c r="L156" s="337"/>
      <c r="M156" s="336"/>
      <c r="N156" s="337"/>
      <c r="O156" s="336"/>
      <c r="P156" s="337"/>
      <c r="Q156" s="336"/>
      <c r="R156" s="337"/>
      <c r="S156" s="336"/>
      <c r="T156" s="337"/>
      <c r="U156" s="336"/>
      <c r="V156" s="337"/>
      <c r="W156" s="644"/>
      <c r="X156" s="644"/>
      <c r="Y156" s="336"/>
      <c r="Z156" s="337"/>
      <c r="AA156" s="336"/>
      <c r="AB156" s="336"/>
      <c r="AC156" s="336"/>
      <c r="AD156" s="336"/>
    </row>
    <row r="157" spans="1:30" ht="24" customHeight="1">
      <c r="A157" s="336"/>
      <c r="B157" s="336"/>
      <c r="C157" s="336"/>
      <c r="D157" s="336"/>
      <c r="E157" s="336"/>
      <c r="F157" s="336"/>
      <c r="G157" s="336"/>
      <c r="H157" s="336"/>
      <c r="I157" s="336"/>
      <c r="J157" s="336"/>
      <c r="K157" s="336"/>
      <c r="L157" s="337"/>
      <c r="M157" s="336"/>
      <c r="N157" s="337"/>
      <c r="O157" s="336"/>
      <c r="P157" s="337"/>
      <c r="Q157" s="336"/>
      <c r="R157" s="337"/>
      <c r="S157" s="336"/>
      <c r="T157" s="337"/>
      <c r="U157" s="336"/>
      <c r="V157" s="337"/>
      <c r="W157" s="644"/>
      <c r="X157" s="644"/>
      <c r="Y157" s="336"/>
      <c r="Z157" s="337"/>
      <c r="AA157" s="336"/>
      <c r="AB157" s="336"/>
      <c r="AC157" s="336"/>
      <c r="AD157" s="336"/>
    </row>
    <row r="158" spans="1:30" ht="24" customHeight="1">
      <c r="A158" s="336"/>
      <c r="B158" s="336"/>
      <c r="C158" s="336"/>
      <c r="D158" s="336"/>
      <c r="E158" s="336"/>
      <c r="F158" s="336"/>
      <c r="G158" s="336"/>
      <c r="H158" s="336"/>
      <c r="I158" s="336"/>
      <c r="J158" s="336"/>
      <c r="K158" s="336"/>
      <c r="L158" s="337"/>
      <c r="M158" s="336"/>
      <c r="N158" s="337"/>
      <c r="O158" s="336"/>
      <c r="P158" s="337"/>
      <c r="Q158" s="336"/>
      <c r="R158" s="337"/>
      <c r="S158" s="336"/>
      <c r="T158" s="337"/>
      <c r="U158" s="336"/>
      <c r="V158" s="337"/>
      <c r="W158" s="644"/>
      <c r="X158" s="644"/>
      <c r="Y158" s="336"/>
      <c r="Z158" s="337"/>
      <c r="AA158" s="336"/>
      <c r="AB158" s="336"/>
      <c r="AC158" s="336"/>
      <c r="AD158" s="336"/>
    </row>
    <row r="159" spans="1:30" ht="24" customHeight="1">
      <c r="A159" s="336"/>
      <c r="B159" s="336"/>
      <c r="C159" s="336"/>
      <c r="D159" s="336"/>
      <c r="E159" s="336"/>
      <c r="F159" s="336"/>
      <c r="G159" s="336"/>
      <c r="H159" s="336"/>
      <c r="I159" s="336"/>
      <c r="J159" s="336"/>
      <c r="K159" s="336"/>
      <c r="L159" s="337"/>
      <c r="M159" s="336"/>
      <c r="N159" s="337"/>
      <c r="O159" s="336"/>
      <c r="P159" s="337"/>
      <c r="Q159" s="336"/>
      <c r="R159" s="337"/>
      <c r="S159" s="336"/>
      <c r="T159" s="337"/>
      <c r="U159" s="336"/>
      <c r="V159" s="337"/>
      <c r="W159" s="644"/>
      <c r="X159" s="644"/>
      <c r="Y159" s="336"/>
      <c r="Z159" s="337"/>
      <c r="AA159" s="336"/>
      <c r="AB159" s="336"/>
      <c r="AC159" s="336"/>
      <c r="AD159" s="336"/>
    </row>
    <row r="160" spans="1:30" ht="24" customHeight="1">
      <c r="A160" s="336"/>
      <c r="B160" s="336"/>
      <c r="C160" s="336"/>
      <c r="D160" s="336"/>
      <c r="E160" s="336"/>
      <c r="F160" s="336"/>
      <c r="G160" s="336"/>
      <c r="H160" s="336"/>
      <c r="I160" s="336"/>
      <c r="J160" s="336"/>
      <c r="K160" s="336"/>
      <c r="L160" s="337"/>
      <c r="M160" s="336"/>
      <c r="N160" s="337"/>
      <c r="O160" s="336"/>
      <c r="P160" s="337"/>
      <c r="Q160" s="336"/>
      <c r="R160" s="337"/>
      <c r="S160" s="336"/>
      <c r="T160" s="337"/>
      <c r="U160" s="336"/>
      <c r="V160" s="337"/>
      <c r="W160" s="644"/>
      <c r="X160" s="644"/>
      <c r="Y160" s="336"/>
      <c r="Z160" s="337"/>
      <c r="AA160" s="336"/>
      <c r="AB160" s="336"/>
      <c r="AC160" s="336"/>
      <c r="AD160" s="336"/>
    </row>
    <row r="161" spans="1:30" ht="24" customHeight="1">
      <c r="A161" s="336"/>
      <c r="B161" s="336"/>
      <c r="C161" s="336"/>
      <c r="D161" s="336"/>
      <c r="E161" s="336"/>
      <c r="F161" s="336"/>
      <c r="G161" s="336"/>
      <c r="H161" s="336"/>
      <c r="I161" s="336"/>
      <c r="J161" s="336"/>
      <c r="K161" s="336"/>
      <c r="L161" s="337"/>
      <c r="M161" s="336"/>
      <c r="N161" s="337"/>
      <c r="O161" s="336"/>
      <c r="P161" s="337"/>
      <c r="Q161" s="336"/>
      <c r="R161" s="337"/>
      <c r="S161" s="336"/>
      <c r="T161" s="337"/>
      <c r="U161" s="336"/>
      <c r="V161" s="337"/>
      <c r="W161" s="644"/>
      <c r="X161" s="644"/>
      <c r="Y161" s="336"/>
      <c r="Z161" s="337"/>
      <c r="AA161" s="336"/>
      <c r="AB161" s="336"/>
      <c r="AC161" s="336"/>
      <c r="AD161" s="336"/>
    </row>
    <row r="162" spans="1:30" ht="24" customHeight="1">
      <c r="A162" s="336"/>
      <c r="B162" s="336"/>
      <c r="C162" s="336"/>
      <c r="D162" s="336"/>
      <c r="E162" s="336"/>
      <c r="F162" s="336"/>
      <c r="G162" s="336"/>
      <c r="H162" s="336"/>
      <c r="I162" s="336"/>
      <c r="J162" s="336"/>
      <c r="K162" s="336"/>
      <c r="L162" s="337"/>
      <c r="M162" s="336"/>
      <c r="N162" s="337"/>
      <c r="O162" s="336"/>
      <c r="P162" s="337"/>
      <c r="Q162" s="336"/>
      <c r="R162" s="337"/>
      <c r="S162" s="336"/>
      <c r="T162" s="337"/>
      <c r="U162" s="336"/>
      <c r="V162" s="337"/>
      <c r="W162" s="644"/>
      <c r="X162" s="644"/>
      <c r="Y162" s="336"/>
      <c r="Z162" s="337"/>
      <c r="AA162" s="336"/>
      <c r="AB162" s="336"/>
      <c r="AC162" s="336"/>
      <c r="AD162" s="336"/>
    </row>
    <row r="163" spans="1:30" ht="24" customHeight="1">
      <c r="A163" s="336"/>
      <c r="B163" s="336"/>
      <c r="C163" s="336"/>
      <c r="D163" s="336"/>
      <c r="E163" s="336"/>
      <c r="F163" s="336"/>
      <c r="G163" s="336"/>
      <c r="H163" s="336"/>
      <c r="I163" s="336"/>
      <c r="J163" s="336"/>
      <c r="K163" s="336"/>
      <c r="L163" s="337"/>
      <c r="M163" s="336"/>
      <c r="N163" s="337"/>
      <c r="O163" s="336"/>
      <c r="P163" s="337"/>
      <c r="Q163" s="336"/>
      <c r="R163" s="337"/>
      <c r="S163" s="336"/>
      <c r="T163" s="337"/>
      <c r="U163" s="336"/>
      <c r="V163" s="337"/>
      <c r="W163" s="644"/>
      <c r="X163" s="644"/>
      <c r="Y163" s="336"/>
      <c r="Z163" s="337"/>
      <c r="AA163" s="336"/>
      <c r="AB163" s="336"/>
      <c r="AC163" s="336"/>
      <c r="AD163" s="336"/>
    </row>
    <row r="164" spans="1:30" ht="24" customHeight="1">
      <c r="A164" s="336"/>
      <c r="B164" s="336"/>
      <c r="C164" s="336"/>
      <c r="D164" s="336"/>
      <c r="E164" s="336"/>
      <c r="F164" s="336"/>
      <c r="G164" s="336"/>
      <c r="H164" s="336"/>
      <c r="I164" s="336"/>
      <c r="J164" s="336"/>
      <c r="K164" s="336"/>
      <c r="L164" s="337"/>
      <c r="M164" s="336"/>
      <c r="N164" s="337"/>
      <c r="O164" s="336"/>
      <c r="P164" s="337"/>
      <c r="Q164" s="336"/>
      <c r="R164" s="337"/>
      <c r="S164" s="336"/>
      <c r="T164" s="337"/>
      <c r="U164" s="336"/>
      <c r="V164" s="337"/>
      <c r="W164" s="644"/>
      <c r="X164" s="644"/>
      <c r="Y164" s="336"/>
      <c r="Z164" s="337"/>
      <c r="AA164" s="336"/>
      <c r="AB164" s="336"/>
      <c r="AC164" s="336"/>
      <c r="AD164" s="336"/>
    </row>
    <row r="165" spans="1:30" ht="24" customHeight="1">
      <c r="A165" s="336"/>
      <c r="B165" s="336"/>
      <c r="C165" s="336"/>
      <c r="D165" s="336"/>
      <c r="E165" s="336"/>
      <c r="F165" s="336"/>
      <c r="G165" s="336"/>
      <c r="H165" s="336"/>
      <c r="I165" s="336"/>
      <c r="J165" s="336"/>
      <c r="K165" s="336"/>
      <c r="L165" s="337"/>
      <c r="M165" s="336"/>
      <c r="N165" s="337"/>
      <c r="O165" s="336"/>
      <c r="P165" s="337"/>
      <c r="Q165" s="336"/>
      <c r="R165" s="337"/>
      <c r="S165" s="336"/>
      <c r="T165" s="337"/>
      <c r="U165" s="336"/>
      <c r="V165" s="337"/>
      <c r="W165" s="644"/>
      <c r="X165" s="644"/>
      <c r="Y165" s="336"/>
      <c r="Z165" s="337"/>
      <c r="AA165" s="336"/>
      <c r="AB165" s="336"/>
      <c r="AC165" s="336"/>
      <c r="AD165" s="336"/>
    </row>
    <row r="166" spans="1:30" ht="24" customHeight="1">
      <c r="A166" s="336"/>
      <c r="B166" s="336"/>
      <c r="C166" s="336"/>
      <c r="D166" s="336"/>
      <c r="E166" s="336"/>
      <c r="F166" s="336"/>
      <c r="G166" s="336"/>
      <c r="H166" s="336"/>
      <c r="I166" s="336"/>
      <c r="J166" s="336"/>
      <c r="K166" s="336"/>
      <c r="L166" s="337"/>
      <c r="M166" s="336"/>
      <c r="N166" s="337"/>
      <c r="O166" s="336"/>
      <c r="P166" s="337"/>
      <c r="Q166" s="336"/>
      <c r="R166" s="337"/>
      <c r="S166" s="336"/>
      <c r="T166" s="337"/>
      <c r="U166" s="336"/>
      <c r="V166" s="337"/>
      <c r="W166" s="644"/>
      <c r="X166" s="644"/>
      <c r="Y166" s="336"/>
      <c r="Z166" s="337"/>
      <c r="AA166" s="336"/>
      <c r="AB166" s="336"/>
      <c r="AC166" s="336"/>
      <c r="AD166" s="336"/>
    </row>
    <row r="167" spans="1:30" ht="24" customHeight="1">
      <c r="A167" s="336"/>
      <c r="B167" s="336"/>
      <c r="C167" s="336"/>
      <c r="D167" s="336"/>
      <c r="E167" s="336"/>
      <c r="F167" s="336"/>
      <c r="G167" s="336"/>
      <c r="H167" s="336"/>
      <c r="I167" s="336"/>
      <c r="J167" s="336"/>
      <c r="K167" s="336"/>
      <c r="L167" s="337"/>
      <c r="M167" s="336"/>
      <c r="N167" s="337"/>
      <c r="O167" s="336"/>
      <c r="P167" s="337"/>
      <c r="Q167" s="336"/>
      <c r="R167" s="337"/>
      <c r="S167" s="336"/>
      <c r="T167" s="337"/>
      <c r="U167" s="336"/>
      <c r="V167" s="337"/>
      <c r="W167" s="644"/>
      <c r="X167" s="644"/>
      <c r="Y167" s="336"/>
      <c r="Z167" s="337"/>
      <c r="AA167" s="336"/>
      <c r="AB167" s="336"/>
      <c r="AC167" s="336"/>
      <c r="AD167" s="336"/>
    </row>
    <row r="168" spans="1:30" ht="24" customHeight="1">
      <c r="A168" s="336"/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7"/>
      <c r="M168" s="336"/>
      <c r="N168" s="337"/>
      <c r="O168" s="336"/>
      <c r="P168" s="337"/>
      <c r="Q168" s="336"/>
      <c r="R168" s="337"/>
      <c r="S168" s="336"/>
      <c r="T168" s="337"/>
      <c r="U168" s="336"/>
      <c r="V168" s="337"/>
      <c r="W168" s="644"/>
      <c r="X168" s="644"/>
      <c r="Y168" s="336"/>
      <c r="Z168" s="337"/>
      <c r="AA168" s="336"/>
      <c r="AB168" s="336"/>
      <c r="AC168" s="336"/>
      <c r="AD168" s="336"/>
    </row>
    <row r="169" spans="1:30" ht="24" customHeight="1">
      <c r="A169" s="336"/>
      <c r="B169" s="336"/>
      <c r="C169" s="336"/>
      <c r="D169" s="336"/>
      <c r="E169" s="336"/>
      <c r="F169" s="336"/>
      <c r="G169" s="336"/>
      <c r="H169" s="336"/>
      <c r="I169" s="336"/>
      <c r="J169" s="336"/>
      <c r="K169" s="336"/>
      <c r="L169" s="337"/>
      <c r="M169" s="336"/>
      <c r="N169" s="337"/>
      <c r="O169" s="336"/>
      <c r="P169" s="337"/>
      <c r="Q169" s="336"/>
      <c r="R169" s="337"/>
      <c r="S169" s="336"/>
      <c r="T169" s="337"/>
      <c r="U169" s="336"/>
      <c r="V169" s="337"/>
      <c r="W169" s="644"/>
      <c r="X169" s="644"/>
      <c r="Y169" s="336"/>
      <c r="Z169" s="337"/>
      <c r="AA169" s="336"/>
      <c r="AB169" s="336"/>
      <c r="AC169" s="336"/>
      <c r="AD169" s="336"/>
    </row>
    <row r="170" spans="1:30" ht="24" customHeight="1">
      <c r="A170" s="336"/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7"/>
      <c r="M170" s="336"/>
      <c r="N170" s="337"/>
      <c r="O170" s="336"/>
      <c r="P170" s="337"/>
      <c r="Q170" s="336"/>
      <c r="R170" s="337"/>
      <c r="S170" s="336"/>
      <c r="T170" s="337"/>
      <c r="U170" s="336"/>
      <c r="V170" s="337"/>
      <c r="W170" s="644"/>
      <c r="X170" s="644"/>
      <c r="Y170" s="336"/>
      <c r="Z170" s="337"/>
      <c r="AA170" s="336"/>
      <c r="AB170" s="336"/>
      <c r="AC170" s="336"/>
      <c r="AD170" s="336"/>
    </row>
    <row r="171" spans="1:30" ht="24" customHeight="1">
      <c r="A171" s="336"/>
      <c r="B171" s="336"/>
      <c r="C171" s="336"/>
      <c r="D171" s="336"/>
      <c r="E171" s="336"/>
      <c r="F171" s="336"/>
      <c r="G171" s="336"/>
      <c r="H171" s="336"/>
      <c r="I171" s="336"/>
      <c r="J171" s="336"/>
      <c r="K171" s="336"/>
      <c r="L171" s="337"/>
      <c r="M171" s="336"/>
      <c r="N171" s="337"/>
      <c r="O171" s="336"/>
      <c r="P171" s="337"/>
      <c r="Q171" s="336"/>
      <c r="R171" s="337"/>
      <c r="S171" s="336"/>
      <c r="T171" s="337"/>
      <c r="U171" s="336"/>
      <c r="V171" s="337"/>
      <c r="W171" s="644"/>
      <c r="X171" s="644"/>
      <c r="Y171" s="336"/>
      <c r="Z171" s="337"/>
      <c r="AA171" s="336"/>
      <c r="AB171" s="336"/>
      <c r="AC171" s="336"/>
      <c r="AD171" s="336"/>
    </row>
    <row r="172" spans="1:30" ht="24" customHeight="1">
      <c r="A172" s="336"/>
      <c r="B172" s="336"/>
      <c r="C172" s="336"/>
      <c r="D172" s="336"/>
      <c r="E172" s="336"/>
      <c r="F172" s="336"/>
      <c r="G172" s="336"/>
      <c r="H172" s="336"/>
      <c r="I172" s="336"/>
      <c r="J172" s="336"/>
      <c r="K172" s="336"/>
      <c r="L172" s="337"/>
      <c r="M172" s="336"/>
      <c r="N172" s="337"/>
      <c r="O172" s="336"/>
      <c r="P172" s="337"/>
      <c r="Q172" s="336"/>
      <c r="R172" s="337"/>
      <c r="S172" s="336"/>
      <c r="T172" s="337"/>
      <c r="U172" s="336"/>
      <c r="V172" s="337"/>
      <c r="W172" s="644"/>
      <c r="X172" s="644"/>
      <c r="Y172" s="336"/>
      <c r="Z172" s="337"/>
      <c r="AA172" s="336"/>
      <c r="AB172" s="336"/>
      <c r="AC172" s="336"/>
      <c r="AD172" s="336"/>
    </row>
    <row r="173" spans="1:30" ht="24" customHeight="1">
      <c r="A173" s="336"/>
      <c r="B173" s="336"/>
      <c r="C173" s="336"/>
      <c r="D173" s="336"/>
      <c r="E173" s="336"/>
      <c r="F173" s="336"/>
      <c r="G173" s="336"/>
      <c r="H173" s="336"/>
      <c r="I173" s="336"/>
      <c r="J173" s="336"/>
      <c r="K173" s="336"/>
      <c r="L173" s="337"/>
      <c r="M173" s="336"/>
      <c r="N173" s="337"/>
      <c r="O173" s="336"/>
      <c r="P173" s="337"/>
      <c r="Q173" s="336"/>
      <c r="R173" s="337"/>
      <c r="S173" s="336"/>
      <c r="T173" s="337"/>
      <c r="U173" s="336"/>
      <c r="V173" s="337"/>
      <c r="W173" s="644"/>
      <c r="X173" s="644"/>
      <c r="Y173" s="336"/>
      <c r="Z173" s="337"/>
      <c r="AA173" s="336"/>
      <c r="AB173" s="336"/>
      <c r="AC173" s="336"/>
      <c r="AD173" s="336"/>
    </row>
    <row r="174" spans="1:30" ht="24" customHeight="1">
      <c r="A174" s="336"/>
      <c r="B174" s="336"/>
      <c r="C174" s="336"/>
      <c r="D174" s="336"/>
      <c r="E174" s="336"/>
      <c r="F174" s="336"/>
      <c r="G174" s="336"/>
      <c r="H174" s="336"/>
      <c r="I174" s="336"/>
      <c r="J174" s="336"/>
      <c r="K174" s="336"/>
      <c r="L174" s="337"/>
      <c r="M174" s="336"/>
      <c r="N174" s="337"/>
      <c r="O174" s="336"/>
      <c r="P174" s="337"/>
      <c r="Q174" s="336"/>
      <c r="R174" s="337"/>
      <c r="S174" s="336"/>
      <c r="T174" s="337"/>
      <c r="U174" s="336"/>
      <c r="V174" s="337"/>
      <c r="W174" s="644"/>
      <c r="X174" s="644"/>
      <c r="Y174" s="336"/>
      <c r="Z174" s="337"/>
      <c r="AA174" s="336"/>
      <c r="AB174" s="336"/>
      <c r="AC174" s="336"/>
      <c r="AD174" s="336"/>
    </row>
    <row r="175" spans="1:30" ht="24" customHeight="1">
      <c r="A175" s="336"/>
      <c r="B175" s="336"/>
      <c r="C175" s="336"/>
      <c r="D175" s="336"/>
      <c r="E175" s="336"/>
      <c r="F175" s="336"/>
      <c r="G175" s="336"/>
      <c r="H175" s="336"/>
      <c r="I175" s="336"/>
      <c r="J175" s="336"/>
      <c r="K175" s="336"/>
      <c r="L175" s="337"/>
      <c r="M175" s="336"/>
      <c r="N175" s="337"/>
      <c r="O175" s="336"/>
      <c r="P175" s="337"/>
      <c r="Q175" s="336"/>
      <c r="R175" s="337"/>
      <c r="S175" s="336"/>
      <c r="T175" s="337"/>
      <c r="U175" s="336"/>
      <c r="V175" s="337"/>
      <c r="W175" s="644"/>
      <c r="X175" s="644"/>
      <c r="Y175" s="336"/>
      <c r="Z175" s="337"/>
      <c r="AA175" s="336"/>
      <c r="AB175" s="336"/>
      <c r="AC175" s="336"/>
      <c r="AD175" s="336"/>
    </row>
    <row r="176" spans="1:30" ht="24" customHeight="1">
      <c r="A176" s="336"/>
      <c r="B176" s="336"/>
      <c r="C176" s="336"/>
      <c r="D176" s="336"/>
      <c r="E176" s="336"/>
      <c r="F176" s="336"/>
      <c r="G176" s="336"/>
      <c r="H176" s="336"/>
      <c r="I176" s="336"/>
      <c r="J176" s="336"/>
      <c r="K176" s="336"/>
      <c r="L176" s="337"/>
      <c r="M176" s="336"/>
      <c r="N176" s="337"/>
      <c r="O176" s="336"/>
      <c r="P176" s="337"/>
      <c r="Q176" s="336"/>
      <c r="R176" s="337"/>
      <c r="S176" s="336"/>
      <c r="T176" s="337"/>
      <c r="U176" s="336"/>
      <c r="V176" s="337"/>
      <c r="W176" s="644"/>
      <c r="X176" s="644"/>
      <c r="Y176" s="336"/>
      <c r="Z176" s="337"/>
      <c r="AA176" s="336"/>
      <c r="AB176" s="336"/>
      <c r="AC176" s="336"/>
      <c r="AD176" s="336"/>
    </row>
    <row r="177" spans="1:30" ht="24" customHeight="1">
      <c r="A177" s="336"/>
      <c r="B177" s="336"/>
      <c r="C177" s="336"/>
      <c r="D177" s="336"/>
      <c r="E177" s="336"/>
      <c r="F177" s="336"/>
      <c r="G177" s="336"/>
      <c r="H177" s="336"/>
      <c r="I177" s="336"/>
      <c r="J177" s="336"/>
      <c r="K177" s="336"/>
      <c r="L177" s="337"/>
      <c r="M177" s="336"/>
      <c r="N177" s="337"/>
      <c r="O177" s="336"/>
      <c r="P177" s="337"/>
      <c r="Q177" s="336"/>
      <c r="R177" s="337"/>
      <c r="S177" s="336"/>
      <c r="T177" s="337"/>
      <c r="U177" s="336"/>
      <c r="V177" s="337"/>
      <c r="W177" s="644"/>
      <c r="X177" s="644"/>
      <c r="Y177" s="336"/>
      <c r="Z177" s="337"/>
      <c r="AA177" s="336"/>
      <c r="AB177" s="336"/>
      <c r="AC177" s="336"/>
      <c r="AD177" s="336"/>
    </row>
    <row r="178" spans="1:30" ht="24" customHeight="1">
      <c r="A178" s="336"/>
      <c r="B178" s="336"/>
      <c r="C178" s="336"/>
      <c r="D178" s="336"/>
      <c r="E178" s="336"/>
      <c r="F178" s="336"/>
      <c r="G178" s="336"/>
      <c r="H178" s="336"/>
      <c r="I178" s="336"/>
      <c r="J178" s="336"/>
      <c r="K178" s="336"/>
      <c r="L178" s="337"/>
      <c r="M178" s="336"/>
      <c r="N178" s="337"/>
      <c r="O178" s="336"/>
      <c r="P178" s="337"/>
      <c r="Q178" s="336"/>
      <c r="R178" s="337"/>
      <c r="S178" s="336"/>
      <c r="T178" s="337"/>
      <c r="U178" s="336"/>
      <c r="V178" s="337"/>
      <c r="W178" s="644"/>
      <c r="X178" s="644"/>
      <c r="Y178" s="336"/>
      <c r="Z178" s="337"/>
      <c r="AA178" s="336"/>
      <c r="AB178" s="336"/>
      <c r="AC178" s="336"/>
      <c r="AD178" s="336"/>
    </row>
    <row r="179" spans="1:30" ht="24" customHeight="1">
      <c r="A179" s="336"/>
      <c r="B179" s="336"/>
      <c r="C179" s="336"/>
      <c r="D179" s="336"/>
      <c r="E179" s="336"/>
      <c r="F179" s="336"/>
      <c r="G179" s="336"/>
      <c r="H179" s="336"/>
      <c r="I179" s="336"/>
      <c r="J179" s="336"/>
      <c r="K179" s="336"/>
      <c r="L179" s="337"/>
      <c r="M179" s="336"/>
      <c r="N179" s="337"/>
      <c r="O179" s="336"/>
      <c r="P179" s="337"/>
      <c r="Q179" s="336"/>
      <c r="R179" s="337"/>
      <c r="S179" s="336"/>
      <c r="T179" s="337"/>
      <c r="U179" s="336"/>
      <c r="V179" s="337"/>
      <c r="W179" s="644"/>
      <c r="X179" s="644"/>
      <c r="Y179" s="336"/>
      <c r="Z179" s="337"/>
      <c r="AA179" s="336"/>
      <c r="AB179" s="336"/>
      <c r="AC179" s="336"/>
      <c r="AD179" s="336"/>
    </row>
    <row r="180" spans="1:30" ht="24" customHeight="1">
      <c r="A180" s="336"/>
      <c r="B180" s="336"/>
      <c r="C180" s="336"/>
      <c r="D180" s="336"/>
      <c r="E180" s="336"/>
      <c r="F180" s="336"/>
      <c r="G180" s="336"/>
      <c r="H180" s="336"/>
      <c r="I180" s="336"/>
      <c r="J180" s="336"/>
      <c r="K180" s="336"/>
      <c r="L180" s="337"/>
      <c r="M180" s="336"/>
      <c r="N180" s="337"/>
      <c r="O180" s="336"/>
      <c r="P180" s="337"/>
      <c r="Q180" s="336"/>
      <c r="R180" s="337"/>
      <c r="S180" s="336"/>
      <c r="T180" s="337"/>
      <c r="U180" s="336"/>
      <c r="V180" s="337"/>
      <c r="W180" s="644"/>
      <c r="X180" s="644"/>
      <c r="Y180" s="336"/>
      <c r="Z180" s="337"/>
      <c r="AA180" s="336"/>
      <c r="AB180" s="336"/>
      <c r="AC180" s="336"/>
      <c r="AD180" s="336"/>
    </row>
    <row r="181" spans="1:30" ht="24" customHeight="1">
      <c r="A181" s="336"/>
      <c r="B181" s="336"/>
      <c r="C181" s="336"/>
      <c r="D181" s="336"/>
      <c r="E181" s="336"/>
      <c r="F181" s="336"/>
      <c r="G181" s="336"/>
      <c r="H181" s="336"/>
      <c r="I181" s="336"/>
      <c r="J181" s="336"/>
      <c r="K181" s="336"/>
      <c r="L181" s="337"/>
      <c r="M181" s="336"/>
      <c r="N181" s="337"/>
      <c r="O181" s="336"/>
      <c r="P181" s="337"/>
      <c r="Q181" s="336"/>
      <c r="R181" s="337"/>
      <c r="S181" s="336"/>
      <c r="T181" s="337"/>
      <c r="U181" s="336"/>
      <c r="V181" s="337"/>
      <c r="W181" s="644"/>
      <c r="X181" s="644"/>
      <c r="Y181" s="336"/>
      <c r="Z181" s="337"/>
      <c r="AA181" s="336"/>
      <c r="AB181" s="336"/>
      <c r="AC181" s="336"/>
      <c r="AD181" s="336"/>
    </row>
    <row r="182" spans="1:30" ht="24" customHeight="1">
      <c r="A182" s="336"/>
      <c r="B182" s="336"/>
      <c r="C182" s="336"/>
      <c r="D182" s="336"/>
      <c r="E182" s="336"/>
      <c r="F182" s="336"/>
      <c r="G182" s="336"/>
      <c r="H182" s="336"/>
      <c r="I182" s="336"/>
      <c r="J182" s="336"/>
      <c r="K182" s="336"/>
      <c r="L182" s="337"/>
      <c r="M182" s="336"/>
      <c r="N182" s="337"/>
      <c r="O182" s="336"/>
      <c r="P182" s="337"/>
      <c r="Q182" s="336"/>
      <c r="R182" s="337"/>
      <c r="S182" s="336"/>
      <c r="T182" s="337"/>
      <c r="U182" s="336"/>
      <c r="V182" s="337"/>
      <c r="W182" s="644"/>
      <c r="X182" s="644"/>
      <c r="Y182" s="336"/>
      <c r="Z182" s="337"/>
      <c r="AA182" s="336"/>
      <c r="AB182" s="336"/>
      <c r="AC182" s="336"/>
      <c r="AD182" s="336"/>
    </row>
    <row r="183" spans="1:30" ht="24" customHeight="1">
      <c r="A183" s="336"/>
      <c r="B183" s="336"/>
      <c r="C183" s="336"/>
      <c r="D183" s="336"/>
      <c r="E183" s="336"/>
      <c r="F183" s="336"/>
      <c r="G183" s="336"/>
      <c r="H183" s="336"/>
      <c r="I183" s="336"/>
      <c r="J183" s="336"/>
      <c r="K183" s="336"/>
      <c r="L183" s="337"/>
      <c r="M183" s="336"/>
      <c r="N183" s="337"/>
      <c r="O183" s="336"/>
      <c r="P183" s="337"/>
      <c r="Q183" s="336"/>
      <c r="R183" s="337"/>
      <c r="S183" s="336"/>
      <c r="T183" s="337"/>
      <c r="U183" s="336"/>
      <c r="V183" s="337"/>
      <c r="W183" s="644"/>
      <c r="X183" s="644"/>
      <c r="Y183" s="336"/>
      <c r="Z183" s="337"/>
      <c r="AA183" s="336"/>
      <c r="AB183" s="336"/>
      <c r="AC183" s="336"/>
      <c r="AD183" s="336"/>
    </row>
    <row r="184" spans="1:30" ht="24" customHeight="1">
      <c r="A184" s="336"/>
      <c r="B184" s="336"/>
      <c r="C184" s="336"/>
      <c r="D184" s="336"/>
      <c r="E184" s="336"/>
      <c r="F184" s="336"/>
      <c r="G184" s="336"/>
      <c r="H184" s="336"/>
      <c r="I184" s="336"/>
      <c r="J184" s="336"/>
      <c r="K184" s="336"/>
      <c r="L184" s="337"/>
      <c r="M184" s="336"/>
      <c r="N184" s="337"/>
      <c r="O184" s="336"/>
      <c r="P184" s="337"/>
      <c r="Q184" s="336"/>
      <c r="R184" s="337"/>
      <c r="S184" s="336"/>
      <c r="T184" s="337"/>
      <c r="U184" s="336"/>
      <c r="V184" s="337"/>
      <c r="W184" s="644"/>
      <c r="X184" s="644"/>
      <c r="Y184" s="336"/>
      <c r="Z184" s="337"/>
      <c r="AA184" s="336"/>
      <c r="AB184" s="336"/>
      <c r="AC184" s="336"/>
      <c r="AD184" s="336"/>
    </row>
    <row r="185" spans="1:30" ht="24" customHeight="1">
      <c r="A185" s="336"/>
      <c r="B185" s="336"/>
      <c r="C185" s="336"/>
      <c r="D185" s="336"/>
      <c r="E185" s="336"/>
      <c r="F185" s="336"/>
      <c r="G185" s="336"/>
      <c r="H185" s="336"/>
      <c r="I185" s="336"/>
      <c r="J185" s="336"/>
      <c r="K185" s="336"/>
      <c r="L185" s="337"/>
      <c r="M185" s="336"/>
      <c r="N185" s="337"/>
      <c r="O185" s="336"/>
      <c r="P185" s="337"/>
      <c r="Q185" s="336"/>
      <c r="R185" s="337"/>
      <c r="S185" s="336"/>
      <c r="T185" s="337"/>
      <c r="U185" s="336"/>
      <c r="V185" s="337"/>
      <c r="W185" s="644"/>
      <c r="X185" s="644"/>
      <c r="Y185" s="336"/>
      <c r="Z185" s="337"/>
      <c r="AA185" s="336"/>
      <c r="AB185" s="336"/>
      <c r="AC185" s="336"/>
      <c r="AD185" s="336"/>
    </row>
    <row r="186" spans="1:30" ht="24" customHeight="1">
      <c r="A186" s="336"/>
      <c r="B186" s="336"/>
      <c r="C186" s="336"/>
      <c r="D186" s="336"/>
      <c r="E186" s="336"/>
      <c r="F186" s="336"/>
      <c r="G186" s="336"/>
      <c r="H186" s="336"/>
      <c r="I186" s="336"/>
      <c r="J186" s="336"/>
      <c r="K186" s="336"/>
      <c r="L186" s="337"/>
      <c r="M186" s="336"/>
      <c r="N186" s="337"/>
      <c r="O186" s="336"/>
      <c r="P186" s="337"/>
      <c r="Q186" s="336"/>
      <c r="R186" s="337"/>
      <c r="S186" s="336"/>
      <c r="T186" s="337"/>
      <c r="U186" s="336"/>
      <c r="V186" s="337"/>
      <c r="W186" s="644"/>
      <c r="X186" s="644"/>
      <c r="Y186" s="336"/>
      <c r="Z186" s="337"/>
      <c r="AA186" s="336"/>
      <c r="AB186" s="336"/>
      <c r="AC186" s="336"/>
      <c r="AD186" s="336"/>
    </row>
    <row r="187" spans="1:30" ht="24" customHeight="1">
      <c r="A187" s="336"/>
      <c r="B187" s="336"/>
      <c r="C187" s="336"/>
      <c r="D187" s="336"/>
      <c r="E187" s="336"/>
      <c r="F187" s="336"/>
      <c r="G187" s="336"/>
      <c r="H187" s="336"/>
      <c r="I187" s="336"/>
      <c r="J187" s="336"/>
      <c r="K187" s="336"/>
      <c r="L187" s="337"/>
      <c r="M187" s="336"/>
      <c r="N187" s="337"/>
      <c r="O187" s="336"/>
      <c r="P187" s="337"/>
      <c r="Q187" s="336"/>
      <c r="R187" s="337"/>
      <c r="S187" s="336"/>
      <c r="T187" s="337"/>
      <c r="U187" s="336"/>
      <c r="V187" s="337"/>
      <c r="W187" s="644"/>
      <c r="X187" s="644"/>
      <c r="Y187" s="336"/>
      <c r="Z187" s="337"/>
      <c r="AA187" s="336"/>
      <c r="AB187" s="336"/>
      <c r="AC187" s="336"/>
      <c r="AD187" s="336"/>
    </row>
    <row r="188" spans="1:30" ht="24" customHeight="1">
      <c r="A188" s="336"/>
      <c r="B188" s="336"/>
      <c r="C188" s="336"/>
      <c r="D188" s="336"/>
      <c r="E188" s="336"/>
      <c r="F188" s="336"/>
      <c r="G188" s="336"/>
      <c r="H188" s="336"/>
      <c r="I188" s="336"/>
      <c r="J188" s="336"/>
      <c r="K188" s="336"/>
      <c r="L188" s="337"/>
      <c r="M188" s="336"/>
      <c r="N188" s="337"/>
      <c r="O188" s="336"/>
      <c r="P188" s="337"/>
      <c r="Q188" s="336"/>
      <c r="R188" s="337"/>
      <c r="S188" s="336"/>
      <c r="T188" s="337"/>
      <c r="U188" s="336"/>
      <c r="V188" s="337"/>
      <c r="W188" s="644"/>
      <c r="X188" s="644"/>
      <c r="Y188" s="336"/>
      <c r="Z188" s="337"/>
      <c r="AA188" s="336"/>
      <c r="AB188" s="336"/>
      <c r="AC188" s="336"/>
      <c r="AD188" s="336"/>
    </row>
    <row r="189" spans="1:30" ht="24" customHeight="1">
      <c r="A189" s="336"/>
      <c r="B189" s="336"/>
      <c r="C189" s="336"/>
      <c r="D189" s="336"/>
      <c r="E189" s="336"/>
      <c r="F189" s="336"/>
      <c r="G189" s="336"/>
      <c r="H189" s="336"/>
      <c r="I189" s="336"/>
      <c r="J189" s="336"/>
      <c r="K189" s="336"/>
      <c r="L189" s="337"/>
      <c r="M189" s="336"/>
      <c r="N189" s="337"/>
      <c r="O189" s="336"/>
      <c r="P189" s="337"/>
      <c r="Q189" s="336"/>
      <c r="R189" s="337"/>
      <c r="S189" s="336"/>
      <c r="T189" s="337"/>
      <c r="U189" s="336"/>
      <c r="V189" s="337"/>
      <c r="W189" s="644"/>
      <c r="X189" s="644"/>
      <c r="Y189" s="336"/>
      <c r="Z189" s="337"/>
      <c r="AA189" s="336"/>
      <c r="AB189" s="336"/>
      <c r="AC189" s="336"/>
      <c r="AD189" s="336"/>
    </row>
    <row r="190" spans="1:30" ht="24" customHeight="1">
      <c r="A190" s="336"/>
      <c r="B190" s="336"/>
      <c r="C190" s="336"/>
      <c r="D190" s="336"/>
      <c r="E190" s="336"/>
      <c r="F190" s="336"/>
      <c r="G190" s="336"/>
      <c r="H190" s="336"/>
      <c r="I190" s="336"/>
      <c r="J190" s="336"/>
      <c r="K190" s="336"/>
      <c r="L190" s="337"/>
      <c r="M190" s="336"/>
      <c r="N190" s="337"/>
      <c r="O190" s="336"/>
      <c r="P190" s="337"/>
      <c r="Q190" s="336"/>
      <c r="R190" s="337"/>
      <c r="S190" s="336"/>
      <c r="T190" s="337"/>
      <c r="U190" s="336"/>
      <c r="V190" s="337"/>
      <c r="W190" s="644"/>
      <c r="X190" s="644"/>
      <c r="Y190" s="336"/>
      <c r="Z190" s="337"/>
      <c r="AA190" s="336"/>
      <c r="AB190" s="336"/>
      <c r="AC190" s="336"/>
      <c r="AD190" s="336"/>
    </row>
    <row r="191" spans="1:30" ht="24" customHeight="1">
      <c r="A191" s="336"/>
      <c r="B191" s="336"/>
      <c r="C191" s="336"/>
      <c r="D191" s="336"/>
      <c r="E191" s="336"/>
      <c r="F191" s="336"/>
      <c r="G191" s="336"/>
      <c r="H191" s="336"/>
      <c r="I191" s="336"/>
      <c r="J191" s="336"/>
      <c r="K191" s="336"/>
      <c r="L191" s="337"/>
      <c r="M191" s="336"/>
      <c r="N191" s="337"/>
      <c r="O191" s="336"/>
      <c r="P191" s="337"/>
      <c r="Q191" s="336"/>
      <c r="R191" s="337"/>
      <c r="S191" s="336"/>
      <c r="T191" s="337"/>
      <c r="U191" s="336"/>
      <c r="V191" s="337"/>
      <c r="W191" s="644"/>
      <c r="X191" s="644"/>
      <c r="Y191" s="336"/>
      <c r="Z191" s="337"/>
      <c r="AA191" s="336"/>
      <c r="AB191" s="336"/>
      <c r="AC191" s="336"/>
      <c r="AD191" s="336"/>
    </row>
    <row r="192" spans="1:30" ht="24" customHeight="1">
      <c r="A192" s="336"/>
      <c r="B192" s="336"/>
      <c r="C192" s="336"/>
      <c r="D192" s="336"/>
      <c r="E192" s="336"/>
      <c r="F192" s="336"/>
      <c r="G192" s="336"/>
      <c r="H192" s="336"/>
      <c r="I192" s="336"/>
      <c r="J192" s="336"/>
      <c r="K192" s="336"/>
      <c r="L192" s="337"/>
      <c r="M192" s="336"/>
      <c r="N192" s="337"/>
      <c r="O192" s="336"/>
      <c r="P192" s="337"/>
      <c r="Q192" s="336"/>
      <c r="R192" s="337"/>
      <c r="S192" s="336"/>
      <c r="T192" s="337"/>
      <c r="U192" s="336"/>
      <c r="V192" s="337"/>
      <c r="W192" s="644"/>
      <c r="X192" s="644"/>
      <c r="Y192" s="336"/>
      <c r="Z192" s="337"/>
      <c r="AA192" s="336"/>
      <c r="AB192" s="336"/>
      <c r="AC192" s="336"/>
      <c r="AD192" s="336"/>
    </row>
    <row r="193" spans="1:30" ht="24" customHeight="1">
      <c r="A193" s="336"/>
      <c r="B193" s="336"/>
      <c r="C193" s="336"/>
      <c r="D193" s="336"/>
      <c r="E193" s="336"/>
      <c r="F193" s="336"/>
      <c r="G193" s="336"/>
      <c r="H193" s="336"/>
      <c r="I193" s="336"/>
      <c r="J193" s="336"/>
      <c r="K193" s="336"/>
      <c r="L193" s="337"/>
      <c r="M193" s="336"/>
      <c r="N193" s="337"/>
      <c r="O193" s="336"/>
      <c r="P193" s="337"/>
      <c r="Q193" s="336"/>
      <c r="R193" s="337"/>
      <c r="S193" s="336"/>
      <c r="T193" s="337"/>
      <c r="U193" s="336"/>
      <c r="V193" s="337"/>
      <c r="W193" s="644"/>
      <c r="X193" s="644"/>
      <c r="Y193" s="336"/>
      <c r="Z193" s="337"/>
      <c r="AA193" s="336"/>
      <c r="AB193" s="336"/>
      <c r="AC193" s="336"/>
      <c r="AD193" s="336"/>
    </row>
    <row r="194" spans="1:30" ht="24" customHeight="1">
      <c r="A194" s="336"/>
      <c r="B194" s="336"/>
      <c r="C194" s="336"/>
      <c r="D194" s="336"/>
      <c r="E194" s="336"/>
      <c r="F194" s="336"/>
      <c r="G194" s="336"/>
      <c r="H194" s="336"/>
      <c r="I194" s="336"/>
      <c r="J194" s="336"/>
      <c r="K194" s="336"/>
      <c r="L194" s="337"/>
      <c r="M194" s="336"/>
      <c r="N194" s="337"/>
      <c r="O194" s="336"/>
      <c r="P194" s="337"/>
      <c r="Q194" s="336"/>
      <c r="R194" s="337"/>
      <c r="S194" s="336"/>
      <c r="T194" s="337"/>
      <c r="U194" s="336"/>
      <c r="V194" s="337"/>
      <c r="W194" s="644"/>
      <c r="X194" s="644"/>
      <c r="Y194" s="336"/>
      <c r="Z194" s="337"/>
      <c r="AA194" s="336"/>
      <c r="AB194" s="336"/>
      <c r="AC194" s="336"/>
      <c r="AD194" s="336"/>
    </row>
    <row r="195" spans="1:30" ht="24" customHeight="1">
      <c r="A195" s="336"/>
      <c r="B195" s="336"/>
      <c r="C195" s="336"/>
      <c r="D195" s="336"/>
      <c r="E195" s="336"/>
      <c r="F195" s="336"/>
      <c r="G195" s="336"/>
      <c r="H195" s="336"/>
      <c r="I195" s="336"/>
      <c r="J195" s="336"/>
      <c r="K195" s="336"/>
      <c r="L195" s="337"/>
      <c r="M195" s="336"/>
      <c r="N195" s="337"/>
      <c r="O195" s="336"/>
      <c r="P195" s="337"/>
      <c r="Q195" s="336"/>
      <c r="R195" s="337"/>
      <c r="S195" s="336"/>
      <c r="T195" s="337"/>
      <c r="U195" s="336"/>
      <c r="V195" s="337"/>
      <c r="W195" s="644"/>
      <c r="X195" s="644"/>
      <c r="Y195" s="336"/>
      <c r="Z195" s="337"/>
      <c r="AA195" s="336"/>
      <c r="AB195" s="336"/>
      <c r="AC195" s="336"/>
      <c r="AD195" s="336"/>
    </row>
    <row r="196" spans="1:30" ht="24" customHeight="1">
      <c r="A196" s="336"/>
      <c r="B196" s="336"/>
      <c r="C196" s="336"/>
      <c r="D196" s="336"/>
      <c r="E196" s="336"/>
      <c r="F196" s="336"/>
      <c r="G196" s="336"/>
      <c r="H196" s="336"/>
      <c r="I196" s="336"/>
      <c r="J196" s="336"/>
      <c r="K196" s="336"/>
      <c r="L196" s="337"/>
      <c r="M196" s="336"/>
      <c r="N196" s="337"/>
      <c r="O196" s="336"/>
      <c r="P196" s="337"/>
      <c r="Q196" s="336"/>
      <c r="R196" s="337"/>
      <c r="S196" s="336"/>
      <c r="T196" s="337"/>
      <c r="U196" s="336"/>
      <c r="V196" s="337"/>
      <c r="W196" s="644"/>
      <c r="X196" s="644"/>
      <c r="Y196" s="336"/>
      <c r="Z196" s="337"/>
      <c r="AA196" s="336"/>
      <c r="AB196" s="336"/>
      <c r="AC196" s="336"/>
      <c r="AD196" s="336"/>
    </row>
    <row r="197" spans="1:30" ht="24" customHeight="1">
      <c r="A197" s="336"/>
      <c r="B197" s="336"/>
      <c r="C197" s="336"/>
      <c r="D197" s="336"/>
      <c r="E197" s="336"/>
      <c r="F197" s="336"/>
      <c r="G197" s="336"/>
      <c r="H197" s="336"/>
      <c r="I197" s="336"/>
      <c r="J197" s="336"/>
      <c r="K197" s="336"/>
      <c r="L197" s="337"/>
      <c r="M197" s="336"/>
      <c r="N197" s="337"/>
      <c r="O197" s="336"/>
      <c r="P197" s="337"/>
      <c r="Q197" s="336"/>
      <c r="R197" s="337"/>
      <c r="S197" s="336"/>
      <c r="T197" s="337"/>
      <c r="U197" s="336"/>
      <c r="V197" s="337"/>
      <c r="W197" s="644"/>
      <c r="X197" s="644"/>
      <c r="Y197" s="336"/>
      <c r="Z197" s="337"/>
      <c r="AA197" s="336"/>
      <c r="AB197" s="336"/>
      <c r="AC197" s="336"/>
      <c r="AD197" s="336"/>
    </row>
    <row r="198" spans="1:30" ht="24" customHeight="1">
      <c r="A198" s="336"/>
      <c r="B198" s="336"/>
      <c r="C198" s="336"/>
      <c r="D198" s="336"/>
      <c r="E198" s="336"/>
      <c r="F198" s="336"/>
      <c r="G198" s="336"/>
      <c r="H198" s="336"/>
      <c r="I198" s="336"/>
      <c r="J198" s="336"/>
      <c r="K198" s="336"/>
      <c r="L198" s="337"/>
      <c r="M198" s="336"/>
      <c r="N198" s="337"/>
      <c r="O198" s="336"/>
      <c r="P198" s="337"/>
      <c r="Q198" s="336"/>
      <c r="R198" s="337"/>
      <c r="S198" s="336"/>
      <c r="T198" s="337"/>
      <c r="U198" s="336"/>
      <c r="V198" s="337"/>
      <c r="W198" s="644"/>
      <c r="X198" s="644"/>
      <c r="Y198" s="336"/>
      <c r="Z198" s="337"/>
      <c r="AA198" s="336"/>
      <c r="AB198" s="336"/>
      <c r="AC198" s="336"/>
      <c r="AD198" s="336"/>
    </row>
    <row r="199" spans="1:30" ht="24" customHeight="1">
      <c r="A199" s="336"/>
      <c r="B199" s="336"/>
      <c r="C199" s="336"/>
      <c r="D199" s="336"/>
      <c r="E199" s="336"/>
      <c r="F199" s="336"/>
      <c r="G199" s="336"/>
      <c r="H199" s="336"/>
      <c r="I199" s="336"/>
      <c r="J199" s="336"/>
      <c r="K199" s="336"/>
      <c r="L199" s="337"/>
      <c r="M199" s="336"/>
      <c r="N199" s="337"/>
      <c r="O199" s="336"/>
      <c r="P199" s="337"/>
      <c r="Q199" s="336"/>
      <c r="R199" s="337"/>
      <c r="S199" s="336"/>
      <c r="T199" s="337"/>
      <c r="U199" s="336"/>
      <c r="V199" s="337"/>
      <c r="W199" s="644"/>
      <c r="X199" s="644"/>
      <c r="Y199" s="336"/>
      <c r="Z199" s="337"/>
      <c r="AA199" s="336"/>
      <c r="AB199" s="336"/>
      <c r="AC199" s="336"/>
      <c r="AD199" s="336"/>
    </row>
    <row r="200" spans="1:30" ht="24" customHeight="1">
      <c r="A200" s="336"/>
      <c r="B200" s="336"/>
      <c r="C200" s="336"/>
      <c r="D200" s="336"/>
      <c r="E200" s="336"/>
      <c r="F200" s="336"/>
      <c r="G200" s="336"/>
      <c r="H200" s="336"/>
      <c r="I200" s="336"/>
      <c r="J200" s="336"/>
      <c r="K200" s="336"/>
      <c r="L200" s="337"/>
      <c r="M200" s="336"/>
      <c r="N200" s="337"/>
      <c r="O200" s="336"/>
      <c r="P200" s="337"/>
      <c r="Q200" s="336"/>
      <c r="R200" s="337"/>
      <c r="S200" s="336"/>
      <c r="T200" s="337"/>
      <c r="U200" s="336"/>
      <c r="V200" s="337"/>
      <c r="W200" s="644"/>
      <c r="X200" s="644"/>
      <c r="Y200" s="336"/>
      <c r="Z200" s="337"/>
      <c r="AA200" s="336"/>
      <c r="AB200" s="336"/>
      <c r="AC200" s="336"/>
      <c r="AD200" s="336"/>
    </row>
    <row r="201" spans="1:30" ht="24" customHeight="1">
      <c r="A201" s="336"/>
      <c r="B201" s="336"/>
      <c r="C201" s="336"/>
      <c r="D201" s="336"/>
      <c r="E201" s="336"/>
      <c r="F201" s="336"/>
      <c r="G201" s="336"/>
      <c r="H201" s="336"/>
      <c r="I201" s="336"/>
      <c r="J201" s="336"/>
      <c r="K201" s="336"/>
      <c r="L201" s="337"/>
      <c r="M201" s="336"/>
      <c r="N201" s="337"/>
      <c r="O201" s="336"/>
      <c r="P201" s="337"/>
      <c r="Q201" s="336"/>
      <c r="R201" s="337"/>
      <c r="S201" s="336"/>
      <c r="T201" s="337"/>
      <c r="U201" s="336"/>
      <c r="V201" s="337"/>
      <c r="W201" s="644"/>
      <c r="X201" s="644"/>
      <c r="Y201" s="336"/>
      <c r="Z201" s="337"/>
      <c r="AA201" s="336"/>
      <c r="AB201" s="336"/>
      <c r="AC201" s="336"/>
      <c r="AD201" s="336"/>
    </row>
    <row r="202" spans="1:30" ht="24" customHeight="1">
      <c r="A202" s="336"/>
      <c r="B202" s="336"/>
      <c r="C202" s="336"/>
      <c r="D202" s="336"/>
      <c r="E202" s="336"/>
      <c r="F202" s="336"/>
      <c r="G202" s="336"/>
      <c r="H202" s="336"/>
      <c r="I202" s="336"/>
      <c r="J202" s="336"/>
      <c r="K202" s="336"/>
      <c r="L202" s="337"/>
      <c r="M202" s="336"/>
      <c r="N202" s="337"/>
      <c r="O202" s="336"/>
      <c r="P202" s="337"/>
      <c r="Q202" s="336"/>
      <c r="R202" s="337"/>
      <c r="S202" s="336"/>
      <c r="T202" s="337"/>
      <c r="U202" s="336"/>
      <c r="V202" s="337"/>
      <c r="W202" s="644"/>
      <c r="X202" s="644"/>
      <c r="Y202" s="336"/>
      <c r="Z202" s="337"/>
      <c r="AA202" s="336"/>
      <c r="AB202" s="336"/>
      <c r="AC202" s="336"/>
      <c r="AD202" s="336"/>
    </row>
    <row r="203" spans="1:30" ht="24" customHeight="1">
      <c r="A203" s="336"/>
      <c r="B203" s="336"/>
      <c r="C203" s="336"/>
      <c r="D203" s="336"/>
      <c r="E203" s="336"/>
      <c r="F203" s="336"/>
      <c r="G203" s="336"/>
      <c r="H203" s="336"/>
      <c r="I203" s="336"/>
      <c r="J203" s="336"/>
      <c r="K203" s="336"/>
      <c r="L203" s="337"/>
      <c r="M203" s="336"/>
      <c r="N203" s="337"/>
      <c r="O203" s="336"/>
      <c r="P203" s="337"/>
      <c r="Q203" s="336"/>
      <c r="R203" s="337"/>
      <c r="S203" s="336"/>
      <c r="T203" s="337"/>
      <c r="U203" s="336"/>
      <c r="V203" s="337"/>
      <c r="W203" s="644"/>
      <c r="X203" s="644"/>
      <c r="Y203" s="336"/>
      <c r="Z203" s="337"/>
      <c r="AA203" s="336"/>
      <c r="AB203" s="336"/>
      <c r="AC203" s="336"/>
      <c r="AD203" s="336"/>
    </row>
    <row r="204" spans="1:30" ht="24" customHeight="1">
      <c r="A204" s="336"/>
      <c r="B204" s="336"/>
      <c r="C204" s="336"/>
      <c r="D204" s="336"/>
      <c r="E204" s="336"/>
      <c r="F204" s="336"/>
      <c r="G204" s="336"/>
      <c r="H204" s="336"/>
      <c r="I204" s="336"/>
      <c r="J204" s="336"/>
      <c r="K204" s="336"/>
      <c r="L204" s="337"/>
      <c r="M204" s="336"/>
      <c r="N204" s="337"/>
      <c r="O204" s="336"/>
      <c r="P204" s="337"/>
      <c r="Q204" s="336"/>
      <c r="R204" s="337"/>
      <c r="S204" s="336"/>
      <c r="T204" s="337"/>
      <c r="U204" s="336"/>
      <c r="V204" s="337"/>
      <c r="W204" s="644"/>
      <c r="X204" s="644"/>
      <c r="Y204" s="336"/>
      <c r="Z204" s="337"/>
      <c r="AA204" s="336"/>
      <c r="AB204" s="336"/>
      <c r="AC204" s="336"/>
      <c r="AD204" s="336"/>
    </row>
    <row r="205" spans="1:30" ht="24" customHeight="1">
      <c r="A205" s="336"/>
      <c r="B205" s="336"/>
      <c r="C205" s="336"/>
      <c r="D205" s="336"/>
      <c r="E205" s="336"/>
      <c r="F205" s="336"/>
      <c r="G205" s="336"/>
      <c r="H205" s="336"/>
      <c r="I205" s="336"/>
      <c r="J205" s="336"/>
      <c r="K205" s="336"/>
      <c r="L205" s="337"/>
      <c r="M205" s="336"/>
      <c r="N205" s="337"/>
      <c r="O205" s="336"/>
      <c r="P205" s="337"/>
      <c r="Q205" s="336"/>
      <c r="R205" s="337"/>
      <c r="S205" s="336"/>
      <c r="T205" s="337"/>
      <c r="U205" s="336"/>
      <c r="V205" s="337"/>
      <c r="W205" s="644"/>
      <c r="X205" s="644"/>
      <c r="Y205" s="336"/>
      <c r="Z205" s="337"/>
      <c r="AA205" s="336"/>
      <c r="AB205" s="336"/>
      <c r="AC205" s="336"/>
      <c r="AD205" s="336"/>
    </row>
    <row r="206" spans="1:30" ht="24" customHeight="1">
      <c r="A206" s="336"/>
      <c r="B206" s="336"/>
      <c r="C206" s="336"/>
      <c r="D206" s="336"/>
      <c r="E206" s="336"/>
      <c r="F206" s="336"/>
      <c r="G206" s="336"/>
      <c r="H206" s="336"/>
      <c r="I206" s="336"/>
      <c r="J206" s="336"/>
      <c r="K206" s="336"/>
      <c r="L206" s="337"/>
      <c r="M206" s="336"/>
      <c r="N206" s="337"/>
      <c r="O206" s="336"/>
      <c r="P206" s="337"/>
      <c r="Q206" s="336"/>
      <c r="R206" s="337"/>
      <c r="S206" s="336"/>
      <c r="T206" s="337"/>
      <c r="U206" s="336"/>
      <c r="V206" s="337"/>
      <c r="W206" s="644"/>
      <c r="X206" s="644"/>
      <c r="Y206" s="336"/>
      <c r="Z206" s="337"/>
      <c r="AA206" s="336"/>
      <c r="AB206" s="336"/>
      <c r="AC206" s="336"/>
      <c r="AD206" s="336"/>
    </row>
    <row r="207" spans="1:30" ht="24" customHeight="1">
      <c r="A207" s="336"/>
      <c r="B207" s="336"/>
      <c r="C207" s="336"/>
      <c r="D207" s="336"/>
      <c r="E207" s="336"/>
      <c r="F207" s="336"/>
      <c r="G207" s="336"/>
      <c r="H207" s="336"/>
      <c r="I207" s="336"/>
      <c r="J207" s="336"/>
      <c r="K207" s="336"/>
      <c r="L207" s="337"/>
      <c r="M207" s="336"/>
      <c r="N207" s="337"/>
      <c r="O207" s="336"/>
      <c r="P207" s="337"/>
      <c r="Q207" s="336"/>
      <c r="R207" s="337"/>
      <c r="S207" s="336"/>
      <c r="T207" s="337"/>
      <c r="U207" s="336"/>
      <c r="V207" s="337"/>
      <c r="W207" s="644"/>
      <c r="X207" s="644"/>
      <c r="Y207" s="336"/>
      <c r="Z207" s="337"/>
      <c r="AA207" s="336"/>
      <c r="AB207" s="336"/>
      <c r="AC207" s="336"/>
      <c r="AD207" s="336"/>
    </row>
    <row r="208" spans="1:30" ht="24" customHeight="1">
      <c r="A208" s="336"/>
      <c r="B208" s="336"/>
      <c r="C208" s="336"/>
      <c r="D208" s="336"/>
      <c r="E208" s="336"/>
      <c r="F208" s="336"/>
      <c r="G208" s="336"/>
      <c r="H208" s="336"/>
      <c r="I208" s="336"/>
      <c r="J208" s="336"/>
      <c r="K208" s="336"/>
      <c r="L208" s="337"/>
      <c r="M208" s="336"/>
      <c r="N208" s="337"/>
      <c r="O208" s="336"/>
      <c r="P208" s="337"/>
      <c r="Q208" s="336"/>
      <c r="R208" s="337"/>
      <c r="S208" s="336"/>
      <c r="T208" s="337"/>
      <c r="U208" s="336"/>
      <c r="V208" s="337"/>
      <c r="W208" s="644"/>
      <c r="X208" s="644"/>
      <c r="Y208" s="336"/>
      <c r="Z208" s="337"/>
      <c r="AA208" s="336"/>
      <c r="AB208" s="336"/>
      <c r="AC208" s="336"/>
      <c r="AD208" s="336"/>
    </row>
    <row r="209" spans="1:30" ht="24" customHeight="1">
      <c r="A209" s="336"/>
      <c r="B209" s="336"/>
      <c r="C209" s="336"/>
      <c r="D209" s="336"/>
      <c r="E209" s="336"/>
      <c r="F209" s="336"/>
      <c r="G209" s="336"/>
      <c r="H209" s="336"/>
      <c r="I209" s="336"/>
      <c r="J209" s="336"/>
      <c r="K209" s="336"/>
      <c r="L209" s="337"/>
      <c r="M209" s="336"/>
      <c r="N209" s="337"/>
      <c r="O209" s="336"/>
      <c r="P209" s="337"/>
      <c r="Q209" s="336"/>
      <c r="R209" s="337"/>
      <c r="S209" s="336"/>
      <c r="T209" s="337"/>
      <c r="U209" s="336"/>
      <c r="V209" s="337"/>
      <c r="W209" s="644"/>
      <c r="X209" s="644"/>
      <c r="Y209" s="336"/>
      <c r="Z209" s="337"/>
      <c r="AA209" s="336"/>
      <c r="AB209" s="336"/>
      <c r="AC209" s="336"/>
      <c r="AD209" s="336"/>
    </row>
    <row r="210" spans="1:30" ht="24" customHeight="1">
      <c r="A210" s="336"/>
      <c r="B210" s="336"/>
      <c r="C210" s="336"/>
      <c r="D210" s="336"/>
      <c r="E210" s="336"/>
      <c r="F210" s="336"/>
      <c r="G210" s="336"/>
      <c r="H210" s="336"/>
      <c r="I210" s="336"/>
      <c r="J210" s="336"/>
      <c r="K210" s="336"/>
      <c r="L210" s="337"/>
      <c r="M210" s="336"/>
      <c r="N210" s="337"/>
      <c r="O210" s="336"/>
      <c r="P210" s="337"/>
      <c r="Q210" s="336"/>
      <c r="R210" s="337"/>
      <c r="S210" s="336"/>
      <c r="T210" s="337"/>
      <c r="U210" s="336"/>
      <c r="V210" s="337"/>
      <c r="W210" s="644"/>
      <c r="X210" s="644"/>
      <c r="Y210" s="336"/>
      <c r="Z210" s="337"/>
      <c r="AA210" s="336"/>
      <c r="AB210" s="336"/>
      <c r="AC210" s="336"/>
      <c r="AD210" s="336"/>
    </row>
    <row r="211" spans="1:30" ht="24" customHeight="1">
      <c r="A211" s="336"/>
      <c r="B211" s="336"/>
      <c r="C211" s="336"/>
      <c r="D211" s="336"/>
      <c r="E211" s="336"/>
      <c r="F211" s="336"/>
      <c r="G211" s="336"/>
      <c r="H211" s="336"/>
      <c r="I211" s="336"/>
      <c r="J211" s="336"/>
      <c r="K211" s="336"/>
      <c r="L211" s="337"/>
      <c r="M211" s="336"/>
      <c r="N211" s="337"/>
      <c r="O211" s="336"/>
      <c r="P211" s="337"/>
      <c r="Q211" s="336"/>
      <c r="R211" s="337"/>
      <c r="S211" s="336"/>
      <c r="T211" s="337"/>
      <c r="U211" s="336"/>
      <c r="V211" s="337"/>
      <c r="W211" s="644"/>
      <c r="X211" s="644"/>
      <c r="Y211" s="336"/>
      <c r="Z211" s="337"/>
      <c r="AA211" s="336"/>
      <c r="AB211" s="336"/>
      <c r="AC211" s="336"/>
      <c r="AD211" s="336"/>
    </row>
    <row r="212" spans="1:30" ht="24" customHeight="1">
      <c r="A212" s="336"/>
      <c r="B212" s="336"/>
      <c r="C212" s="336"/>
      <c r="D212" s="336"/>
      <c r="E212" s="336"/>
      <c r="F212" s="336"/>
      <c r="G212" s="336"/>
      <c r="H212" s="336"/>
      <c r="I212" s="336"/>
      <c r="J212" s="336"/>
      <c r="K212" s="336"/>
      <c r="L212" s="337"/>
      <c r="M212" s="336"/>
      <c r="N212" s="337"/>
      <c r="O212" s="336"/>
      <c r="P212" s="337"/>
      <c r="Q212" s="336"/>
      <c r="R212" s="337"/>
      <c r="S212" s="336"/>
      <c r="T212" s="337"/>
      <c r="U212" s="336"/>
      <c r="V212" s="337"/>
      <c r="W212" s="644"/>
      <c r="X212" s="644"/>
      <c r="Y212" s="336"/>
      <c r="Z212" s="337"/>
      <c r="AA212" s="336"/>
      <c r="AB212" s="336"/>
      <c r="AC212" s="336"/>
      <c r="AD212" s="336"/>
    </row>
    <row r="213" spans="1:30" ht="24" customHeight="1">
      <c r="A213" s="336"/>
      <c r="B213" s="336"/>
      <c r="C213" s="336"/>
      <c r="D213" s="336"/>
      <c r="E213" s="336"/>
      <c r="F213" s="336"/>
      <c r="G213" s="336"/>
      <c r="H213" s="336"/>
      <c r="I213" s="336"/>
      <c r="J213" s="336"/>
      <c r="K213" s="336"/>
      <c r="L213" s="337"/>
      <c r="M213" s="336"/>
      <c r="N213" s="337"/>
      <c r="O213" s="336"/>
      <c r="P213" s="337"/>
      <c r="Q213" s="336"/>
      <c r="R213" s="337"/>
      <c r="S213" s="336"/>
      <c r="T213" s="337"/>
      <c r="U213" s="336"/>
      <c r="V213" s="337"/>
      <c r="W213" s="644"/>
      <c r="X213" s="644"/>
      <c r="Y213" s="336"/>
      <c r="Z213" s="337"/>
      <c r="AA213" s="336"/>
      <c r="AB213" s="336"/>
      <c r="AC213" s="336"/>
      <c r="AD213" s="336"/>
    </row>
    <row r="214" spans="1:30" ht="24" customHeight="1">
      <c r="A214" s="336"/>
      <c r="B214" s="336"/>
      <c r="C214" s="336"/>
      <c r="D214" s="336"/>
      <c r="E214" s="336"/>
      <c r="F214" s="336"/>
      <c r="G214" s="336"/>
      <c r="H214" s="336"/>
      <c r="I214" s="336"/>
      <c r="J214" s="336"/>
      <c r="K214" s="336"/>
      <c r="L214" s="337"/>
      <c r="M214" s="336"/>
      <c r="N214" s="337"/>
      <c r="O214" s="336"/>
      <c r="P214" s="337"/>
      <c r="Q214" s="336"/>
      <c r="R214" s="337"/>
      <c r="S214" s="336"/>
      <c r="T214" s="337"/>
      <c r="U214" s="336"/>
      <c r="V214" s="337"/>
      <c r="W214" s="644"/>
      <c r="X214" s="644"/>
      <c r="Y214" s="336"/>
      <c r="Z214" s="337"/>
      <c r="AA214" s="336"/>
      <c r="AB214" s="336"/>
      <c r="AC214" s="336"/>
      <c r="AD214" s="336"/>
    </row>
    <row r="215" spans="1:30" ht="24" customHeight="1">
      <c r="A215" s="336"/>
      <c r="B215" s="336"/>
      <c r="C215" s="336"/>
      <c r="D215" s="336"/>
      <c r="E215" s="336"/>
      <c r="F215" s="336"/>
      <c r="G215" s="336"/>
      <c r="H215" s="336"/>
      <c r="I215" s="336"/>
      <c r="J215" s="336"/>
      <c r="K215" s="336"/>
      <c r="L215" s="337"/>
      <c r="M215" s="336"/>
      <c r="N215" s="337"/>
      <c r="O215" s="336"/>
      <c r="P215" s="337"/>
      <c r="Q215" s="336"/>
      <c r="R215" s="337"/>
      <c r="S215" s="336"/>
      <c r="T215" s="337"/>
      <c r="U215" s="336"/>
      <c r="V215" s="337"/>
      <c r="W215" s="644"/>
      <c r="X215" s="644"/>
      <c r="Y215" s="336"/>
      <c r="Z215" s="337"/>
      <c r="AA215" s="336"/>
      <c r="AB215" s="336"/>
      <c r="AC215" s="336"/>
      <c r="AD215" s="336"/>
    </row>
    <row r="216" spans="1:30" ht="24" customHeight="1">
      <c r="A216" s="336"/>
      <c r="B216" s="336"/>
      <c r="C216" s="336"/>
      <c r="D216" s="336"/>
      <c r="E216" s="336"/>
      <c r="F216" s="336"/>
      <c r="G216" s="336"/>
      <c r="H216" s="336"/>
      <c r="I216" s="336"/>
      <c r="J216" s="336"/>
      <c r="K216" s="336"/>
      <c r="L216" s="337"/>
      <c r="M216" s="336"/>
      <c r="N216" s="337"/>
      <c r="O216" s="336"/>
      <c r="P216" s="337"/>
      <c r="Q216" s="336"/>
      <c r="R216" s="337"/>
      <c r="S216" s="336"/>
      <c r="T216" s="337"/>
      <c r="U216" s="336"/>
      <c r="V216" s="337"/>
      <c r="W216" s="644"/>
      <c r="X216" s="644"/>
      <c r="Y216" s="336"/>
      <c r="Z216" s="337"/>
      <c r="AA216" s="336"/>
      <c r="AB216" s="336"/>
      <c r="AC216" s="336"/>
      <c r="AD216" s="336"/>
    </row>
    <row r="217" spans="1:30" ht="24" customHeight="1">
      <c r="A217" s="336"/>
      <c r="B217" s="336"/>
      <c r="C217" s="336"/>
      <c r="D217" s="336"/>
      <c r="E217" s="336"/>
      <c r="F217" s="336"/>
      <c r="G217" s="336"/>
      <c r="H217" s="336"/>
      <c r="I217" s="336"/>
      <c r="J217" s="336"/>
      <c r="K217" s="336"/>
      <c r="L217" s="337"/>
      <c r="M217" s="336"/>
      <c r="N217" s="337"/>
      <c r="O217" s="336"/>
      <c r="P217" s="337"/>
      <c r="Q217" s="336"/>
      <c r="R217" s="337"/>
      <c r="S217" s="336"/>
      <c r="T217" s="337"/>
      <c r="U217" s="336"/>
      <c r="V217" s="337"/>
      <c r="W217" s="644"/>
      <c r="X217" s="644"/>
      <c r="Y217" s="336"/>
      <c r="Z217" s="337"/>
      <c r="AA217" s="336"/>
      <c r="AB217" s="336"/>
      <c r="AC217" s="336"/>
      <c r="AD217" s="336"/>
    </row>
    <row r="218" spans="1:30" ht="24" customHeight="1">
      <c r="A218" s="336"/>
      <c r="B218" s="336"/>
      <c r="C218" s="336"/>
      <c r="D218" s="336"/>
      <c r="E218" s="336"/>
      <c r="F218" s="336"/>
      <c r="G218" s="336"/>
      <c r="H218" s="336"/>
      <c r="I218" s="336"/>
      <c r="J218" s="336"/>
      <c r="K218" s="336"/>
      <c r="L218" s="337"/>
      <c r="M218" s="336"/>
      <c r="N218" s="337"/>
      <c r="O218" s="336"/>
      <c r="P218" s="337"/>
      <c r="Q218" s="336"/>
      <c r="R218" s="337"/>
      <c r="S218" s="336"/>
      <c r="T218" s="337"/>
      <c r="U218" s="336"/>
      <c r="V218" s="337"/>
      <c r="W218" s="644"/>
      <c r="X218" s="644"/>
      <c r="Y218" s="336"/>
      <c r="Z218" s="337"/>
      <c r="AA218" s="336"/>
      <c r="AB218" s="336"/>
      <c r="AC218" s="336"/>
      <c r="AD218" s="336"/>
    </row>
    <row r="219" spans="1:30" ht="24" customHeight="1">
      <c r="A219" s="336"/>
      <c r="B219" s="336"/>
      <c r="C219" s="336"/>
      <c r="D219" s="336"/>
      <c r="E219" s="336"/>
      <c r="F219" s="336"/>
      <c r="G219" s="336"/>
      <c r="H219" s="336"/>
      <c r="I219" s="336"/>
      <c r="J219" s="336"/>
      <c r="K219" s="336"/>
      <c r="L219" s="337"/>
      <c r="M219" s="336"/>
      <c r="N219" s="337"/>
      <c r="O219" s="336"/>
      <c r="P219" s="337"/>
      <c r="Q219" s="336"/>
      <c r="R219" s="337"/>
      <c r="S219" s="336"/>
      <c r="T219" s="337"/>
      <c r="U219" s="336"/>
      <c r="V219" s="337"/>
      <c r="W219" s="644"/>
      <c r="X219" s="644"/>
      <c r="Y219" s="336"/>
      <c r="Z219" s="337"/>
      <c r="AA219" s="336"/>
      <c r="AB219" s="336"/>
      <c r="AC219" s="336"/>
      <c r="AD219" s="336"/>
    </row>
    <row r="220" spans="1:30" ht="24" customHeight="1">
      <c r="A220" s="336"/>
      <c r="B220" s="336"/>
      <c r="C220" s="336"/>
      <c r="D220" s="336"/>
      <c r="E220" s="336"/>
      <c r="F220" s="336"/>
      <c r="G220" s="336"/>
      <c r="H220" s="336"/>
      <c r="I220" s="336"/>
      <c r="J220" s="336"/>
      <c r="K220" s="336"/>
      <c r="L220" s="337"/>
      <c r="M220" s="336"/>
      <c r="N220" s="337"/>
      <c r="O220" s="336"/>
      <c r="P220" s="337"/>
      <c r="Q220" s="336"/>
      <c r="R220" s="337"/>
      <c r="S220" s="336"/>
      <c r="T220" s="337"/>
      <c r="U220" s="336"/>
      <c r="V220" s="337"/>
      <c r="W220" s="644"/>
      <c r="X220" s="644"/>
      <c r="Y220" s="336"/>
      <c r="Z220" s="337"/>
      <c r="AA220" s="336"/>
      <c r="AB220" s="336"/>
      <c r="AC220" s="336"/>
      <c r="AD220" s="336"/>
    </row>
    <row r="221" spans="1:30" ht="24" customHeight="1">
      <c r="A221" s="336"/>
      <c r="B221" s="336"/>
      <c r="C221" s="336"/>
      <c r="D221" s="336"/>
      <c r="E221" s="336"/>
      <c r="F221" s="336"/>
      <c r="G221" s="336"/>
      <c r="H221" s="336"/>
      <c r="I221" s="336"/>
      <c r="J221" s="336"/>
      <c r="K221" s="336"/>
      <c r="L221" s="337"/>
      <c r="M221" s="336"/>
      <c r="N221" s="337"/>
      <c r="O221" s="336"/>
      <c r="P221" s="337"/>
      <c r="Q221" s="336"/>
      <c r="R221" s="337"/>
      <c r="S221" s="336"/>
      <c r="T221" s="337"/>
      <c r="U221" s="336"/>
      <c r="V221" s="337"/>
      <c r="W221" s="644"/>
      <c r="X221" s="644"/>
      <c r="Y221" s="336"/>
      <c r="Z221" s="337"/>
      <c r="AA221" s="336"/>
      <c r="AB221" s="336"/>
      <c r="AC221" s="336"/>
      <c r="AD221" s="336"/>
    </row>
    <row r="222" spans="1:30" ht="24" customHeight="1">
      <c r="A222" s="336"/>
      <c r="B222" s="336"/>
      <c r="C222" s="336"/>
      <c r="D222" s="336"/>
      <c r="E222" s="336"/>
      <c r="F222" s="336"/>
      <c r="G222" s="336"/>
      <c r="H222" s="336"/>
      <c r="I222" s="336"/>
      <c r="J222" s="336"/>
      <c r="K222" s="336"/>
      <c r="L222" s="337"/>
      <c r="M222" s="336"/>
      <c r="N222" s="337"/>
      <c r="O222" s="336"/>
      <c r="P222" s="337"/>
      <c r="Q222" s="336"/>
      <c r="R222" s="337"/>
      <c r="S222" s="336"/>
      <c r="T222" s="337"/>
      <c r="U222" s="336"/>
      <c r="V222" s="337"/>
      <c r="W222" s="644"/>
      <c r="X222" s="644"/>
      <c r="Y222" s="336"/>
      <c r="Z222" s="337"/>
      <c r="AA222" s="336"/>
      <c r="AB222" s="336"/>
      <c r="AC222" s="336"/>
      <c r="AD222" s="336"/>
    </row>
    <row r="223" spans="1:30" ht="24" customHeight="1">
      <c r="A223" s="336"/>
      <c r="B223" s="336"/>
      <c r="C223" s="336"/>
      <c r="D223" s="336"/>
      <c r="E223" s="336"/>
      <c r="F223" s="336"/>
      <c r="G223" s="336"/>
      <c r="H223" s="336"/>
      <c r="I223" s="336"/>
      <c r="J223" s="336"/>
      <c r="K223" s="336"/>
      <c r="L223" s="337"/>
      <c r="M223" s="336"/>
      <c r="N223" s="337"/>
      <c r="O223" s="336"/>
      <c r="P223" s="337"/>
      <c r="Q223" s="336"/>
      <c r="R223" s="337"/>
      <c r="S223" s="336"/>
      <c r="T223" s="337"/>
      <c r="U223" s="336"/>
      <c r="V223" s="337"/>
      <c r="W223" s="644"/>
      <c r="X223" s="644"/>
      <c r="Y223" s="336"/>
      <c r="Z223" s="337"/>
      <c r="AA223" s="336"/>
      <c r="AB223" s="336"/>
      <c r="AC223" s="336"/>
      <c r="AD223" s="336"/>
    </row>
    <row r="224" spans="1:30" ht="24" customHeight="1">
      <c r="A224" s="336"/>
      <c r="B224" s="336"/>
      <c r="C224" s="336"/>
      <c r="D224" s="336"/>
      <c r="E224" s="336"/>
      <c r="F224" s="336"/>
      <c r="G224" s="336"/>
      <c r="H224" s="336"/>
      <c r="I224" s="336"/>
      <c r="J224" s="336"/>
      <c r="K224" s="336"/>
      <c r="L224" s="337"/>
      <c r="M224" s="336"/>
      <c r="N224" s="337"/>
      <c r="O224" s="336"/>
      <c r="P224" s="337"/>
      <c r="Q224" s="336"/>
      <c r="R224" s="337"/>
      <c r="S224" s="336"/>
      <c r="T224" s="337"/>
      <c r="U224" s="336"/>
      <c r="V224" s="337"/>
      <c r="W224" s="644"/>
      <c r="X224" s="644"/>
      <c r="Y224" s="336"/>
      <c r="Z224" s="337"/>
      <c r="AA224" s="336"/>
      <c r="AB224" s="336"/>
      <c r="AC224" s="336"/>
      <c r="AD224" s="336"/>
    </row>
    <row r="225" spans="1:30" ht="24" customHeight="1">
      <c r="A225" s="336"/>
      <c r="B225" s="336"/>
      <c r="C225" s="336"/>
      <c r="D225" s="336"/>
      <c r="E225" s="336"/>
      <c r="F225" s="336"/>
      <c r="G225" s="336"/>
      <c r="H225" s="336"/>
      <c r="I225" s="336"/>
      <c r="J225" s="336"/>
      <c r="K225" s="336"/>
      <c r="L225" s="337"/>
      <c r="M225" s="336"/>
      <c r="N225" s="337"/>
      <c r="O225" s="336"/>
      <c r="P225" s="337"/>
      <c r="Q225" s="336"/>
      <c r="R225" s="337"/>
      <c r="S225" s="336"/>
      <c r="T225" s="337"/>
      <c r="U225" s="336"/>
      <c r="V225" s="337"/>
      <c r="W225" s="644"/>
      <c r="X225" s="644"/>
      <c r="Y225" s="336"/>
      <c r="Z225" s="337"/>
      <c r="AA225" s="336"/>
      <c r="AB225" s="336"/>
      <c r="AC225" s="336"/>
      <c r="AD225" s="336"/>
    </row>
    <row r="226" spans="1:30" ht="24" customHeight="1">
      <c r="A226" s="336"/>
      <c r="B226" s="336"/>
      <c r="C226" s="336"/>
      <c r="D226" s="336"/>
      <c r="E226" s="336"/>
      <c r="F226" s="336"/>
      <c r="G226" s="336"/>
      <c r="H226" s="336"/>
      <c r="I226" s="336"/>
      <c r="J226" s="336"/>
      <c r="K226" s="336"/>
      <c r="L226" s="337"/>
      <c r="M226" s="336"/>
      <c r="N226" s="337"/>
      <c r="O226" s="336"/>
      <c r="P226" s="337"/>
      <c r="Q226" s="336"/>
      <c r="R226" s="337"/>
      <c r="S226" s="336"/>
      <c r="T226" s="337"/>
      <c r="U226" s="336"/>
      <c r="V226" s="337"/>
      <c r="W226" s="644"/>
      <c r="X226" s="644"/>
      <c r="Y226" s="336"/>
      <c r="Z226" s="337"/>
      <c r="AA226" s="336"/>
      <c r="AB226" s="336"/>
      <c r="AC226" s="336"/>
      <c r="AD226" s="336"/>
    </row>
    <row r="227" spans="1:30" ht="24" customHeight="1">
      <c r="A227" s="336"/>
      <c r="B227" s="336"/>
      <c r="C227" s="336"/>
      <c r="D227" s="336"/>
      <c r="E227" s="336"/>
      <c r="F227" s="336"/>
      <c r="G227" s="336"/>
      <c r="H227" s="336"/>
      <c r="I227" s="336"/>
      <c r="J227" s="336"/>
      <c r="K227" s="336"/>
      <c r="L227" s="337"/>
      <c r="M227" s="336"/>
      <c r="N227" s="337"/>
      <c r="O227" s="336"/>
      <c r="P227" s="337"/>
      <c r="Q227" s="336"/>
      <c r="R227" s="337"/>
      <c r="S227" s="336"/>
      <c r="T227" s="337"/>
      <c r="U227" s="336"/>
      <c r="V227" s="337"/>
      <c r="W227" s="644"/>
      <c r="X227" s="644"/>
      <c r="Y227" s="336"/>
      <c r="Z227" s="337"/>
      <c r="AA227" s="336"/>
      <c r="AB227" s="336"/>
      <c r="AC227" s="336"/>
      <c r="AD227" s="336"/>
    </row>
    <row r="228" spans="1:30" ht="24" customHeight="1">
      <c r="A228" s="336"/>
      <c r="B228" s="336"/>
      <c r="C228" s="336"/>
      <c r="D228" s="336"/>
      <c r="E228" s="336"/>
      <c r="F228" s="336"/>
      <c r="G228" s="336"/>
      <c r="H228" s="336"/>
      <c r="I228" s="336"/>
      <c r="J228" s="336"/>
      <c r="K228" s="336"/>
      <c r="L228" s="337"/>
      <c r="M228" s="336"/>
      <c r="N228" s="337"/>
      <c r="O228" s="336"/>
      <c r="P228" s="337"/>
      <c r="Q228" s="336"/>
      <c r="R228" s="337"/>
      <c r="S228" s="336"/>
      <c r="T228" s="337"/>
      <c r="U228" s="336"/>
      <c r="V228" s="337"/>
      <c r="W228" s="644"/>
      <c r="X228" s="644"/>
      <c r="Y228" s="336"/>
      <c r="Z228" s="337"/>
      <c r="AA228" s="336"/>
      <c r="AB228" s="336"/>
      <c r="AC228" s="336"/>
      <c r="AD228" s="336"/>
    </row>
    <row r="229" spans="1:30" ht="24" customHeight="1">
      <c r="A229" s="336"/>
      <c r="B229" s="336"/>
      <c r="C229" s="336"/>
      <c r="D229" s="336"/>
      <c r="E229" s="336"/>
      <c r="F229" s="336"/>
      <c r="G229" s="336"/>
      <c r="H229" s="336"/>
      <c r="I229" s="336"/>
      <c r="J229" s="336"/>
      <c r="K229" s="336"/>
      <c r="L229" s="337"/>
      <c r="M229" s="336"/>
      <c r="N229" s="337"/>
      <c r="O229" s="336"/>
      <c r="P229" s="337"/>
      <c r="Q229" s="336"/>
      <c r="R229" s="337"/>
      <c r="S229" s="336"/>
      <c r="T229" s="337"/>
      <c r="U229" s="336"/>
      <c r="V229" s="337"/>
      <c r="W229" s="644"/>
      <c r="X229" s="644"/>
      <c r="Y229" s="336"/>
      <c r="Z229" s="337"/>
      <c r="AA229" s="336"/>
      <c r="AB229" s="336"/>
      <c r="AC229" s="336"/>
      <c r="AD229" s="336"/>
    </row>
    <row r="230" spans="1:30" ht="24" customHeight="1">
      <c r="A230" s="336"/>
      <c r="B230" s="336"/>
      <c r="C230" s="336"/>
      <c r="D230" s="336"/>
      <c r="E230" s="336"/>
      <c r="F230" s="336"/>
      <c r="G230" s="336"/>
      <c r="H230" s="336"/>
      <c r="I230" s="336"/>
      <c r="J230" s="336"/>
      <c r="K230" s="336"/>
      <c r="L230" s="337"/>
      <c r="M230" s="336"/>
      <c r="N230" s="337"/>
      <c r="O230" s="336"/>
      <c r="P230" s="337"/>
      <c r="Q230" s="336"/>
      <c r="R230" s="337"/>
      <c r="S230" s="336"/>
      <c r="T230" s="337"/>
      <c r="U230" s="336"/>
      <c r="V230" s="337"/>
      <c r="W230" s="644"/>
      <c r="X230" s="644"/>
      <c r="Y230" s="336"/>
      <c r="Z230" s="337"/>
      <c r="AA230" s="336"/>
      <c r="AB230" s="336"/>
      <c r="AC230" s="336"/>
      <c r="AD230" s="336"/>
    </row>
    <row r="231" spans="1:30" ht="24" customHeight="1">
      <c r="A231" s="336"/>
      <c r="B231" s="336"/>
      <c r="C231" s="336"/>
      <c r="D231" s="336"/>
      <c r="E231" s="336"/>
      <c r="F231" s="336"/>
      <c r="G231" s="336"/>
      <c r="H231" s="336"/>
      <c r="I231" s="336"/>
      <c r="J231" s="336"/>
      <c r="K231" s="336"/>
      <c r="L231" s="337"/>
      <c r="M231" s="336"/>
      <c r="N231" s="337"/>
      <c r="O231" s="336"/>
      <c r="P231" s="337"/>
      <c r="Q231" s="336"/>
      <c r="R231" s="337"/>
      <c r="S231" s="336"/>
      <c r="T231" s="337"/>
      <c r="U231" s="336"/>
      <c r="V231" s="337"/>
      <c r="W231" s="644"/>
      <c r="X231" s="644"/>
      <c r="Y231" s="336"/>
      <c r="Z231" s="337"/>
      <c r="AA231" s="336"/>
      <c r="AB231" s="336"/>
      <c r="AC231" s="336"/>
      <c r="AD231" s="336"/>
    </row>
    <row r="232" spans="1:30" ht="24" customHeight="1">
      <c r="A232" s="336"/>
      <c r="B232" s="336"/>
      <c r="C232" s="336"/>
      <c r="D232" s="336"/>
      <c r="E232" s="336"/>
      <c r="F232" s="336"/>
      <c r="G232" s="336"/>
      <c r="H232" s="336"/>
      <c r="I232" s="336"/>
      <c r="J232" s="336"/>
      <c r="K232" s="336"/>
      <c r="L232" s="337"/>
      <c r="M232" s="336"/>
      <c r="N232" s="337"/>
      <c r="O232" s="336"/>
      <c r="P232" s="337"/>
      <c r="Q232" s="336"/>
      <c r="R232" s="337"/>
      <c r="S232" s="336"/>
      <c r="T232" s="337"/>
      <c r="U232" s="336"/>
      <c r="V232" s="337"/>
      <c r="W232" s="644"/>
      <c r="X232" s="644"/>
      <c r="Y232" s="336"/>
      <c r="Z232" s="337"/>
      <c r="AA232" s="336"/>
      <c r="AB232" s="336"/>
      <c r="AC232" s="336"/>
      <c r="AD232" s="336"/>
    </row>
    <row r="233" spans="1:30" ht="24" customHeight="1">
      <c r="A233" s="336"/>
      <c r="B233" s="336"/>
      <c r="C233" s="336"/>
      <c r="D233" s="336"/>
      <c r="E233" s="336"/>
      <c r="F233" s="336"/>
      <c r="G233" s="336"/>
      <c r="H233" s="336"/>
      <c r="I233" s="336"/>
      <c r="J233" s="336"/>
      <c r="K233" s="336"/>
      <c r="L233" s="337"/>
      <c r="M233" s="336"/>
      <c r="N233" s="337"/>
      <c r="O233" s="336"/>
      <c r="P233" s="337"/>
      <c r="Q233" s="336"/>
      <c r="R233" s="337"/>
      <c r="S233" s="336"/>
      <c r="T233" s="337"/>
      <c r="U233" s="336"/>
      <c r="V233" s="337"/>
      <c r="W233" s="644"/>
      <c r="X233" s="644"/>
      <c r="Y233" s="336"/>
      <c r="Z233" s="337"/>
      <c r="AA233" s="336"/>
      <c r="AB233" s="336"/>
      <c r="AC233" s="336"/>
      <c r="AD233" s="336"/>
    </row>
    <row r="234" spans="1:30" ht="24" customHeight="1">
      <c r="A234" s="336"/>
      <c r="B234" s="336"/>
      <c r="C234" s="336"/>
      <c r="D234" s="336"/>
      <c r="E234" s="336"/>
      <c r="F234" s="336"/>
      <c r="G234" s="336"/>
      <c r="H234" s="336"/>
      <c r="I234" s="336"/>
      <c r="J234" s="336"/>
      <c r="K234" s="336"/>
      <c r="L234" s="337"/>
      <c r="M234" s="336"/>
      <c r="N234" s="337"/>
      <c r="O234" s="336"/>
      <c r="P234" s="337"/>
      <c r="Q234" s="336"/>
      <c r="R234" s="337"/>
      <c r="S234" s="336"/>
      <c r="T234" s="337"/>
      <c r="U234" s="336"/>
      <c r="V234" s="337"/>
      <c r="W234" s="644"/>
      <c r="X234" s="644"/>
      <c r="Y234" s="336"/>
      <c r="Z234" s="337"/>
      <c r="AA234" s="336"/>
      <c r="AB234" s="336"/>
      <c r="AC234" s="336"/>
      <c r="AD234" s="336"/>
    </row>
    <row r="235" spans="1:30" ht="24" customHeight="1">
      <c r="A235" s="336"/>
      <c r="B235" s="336"/>
      <c r="C235" s="336"/>
      <c r="D235" s="336"/>
      <c r="E235" s="336"/>
      <c r="F235" s="336"/>
      <c r="G235" s="336"/>
      <c r="H235" s="336"/>
      <c r="I235" s="336"/>
      <c r="J235" s="336"/>
      <c r="K235" s="336"/>
      <c r="L235" s="337"/>
      <c r="M235" s="336"/>
      <c r="N235" s="337"/>
      <c r="O235" s="336"/>
      <c r="P235" s="337"/>
      <c r="Q235" s="336"/>
      <c r="R235" s="337"/>
      <c r="S235" s="336"/>
      <c r="T235" s="337"/>
      <c r="U235" s="336"/>
      <c r="V235" s="337"/>
      <c r="W235" s="644"/>
      <c r="X235" s="644"/>
      <c r="Y235" s="336"/>
      <c r="Z235" s="337"/>
      <c r="AA235" s="336"/>
      <c r="AB235" s="336"/>
      <c r="AC235" s="336"/>
      <c r="AD235" s="336"/>
    </row>
    <row r="236" spans="1:30" ht="24" customHeight="1">
      <c r="A236" s="336"/>
      <c r="B236" s="336"/>
      <c r="C236" s="336"/>
      <c r="D236" s="336"/>
      <c r="E236" s="336"/>
      <c r="F236" s="336"/>
      <c r="G236" s="336"/>
      <c r="H236" s="336"/>
      <c r="I236" s="336"/>
      <c r="J236" s="336"/>
      <c r="K236" s="336"/>
      <c r="L236" s="337"/>
      <c r="M236" s="336"/>
      <c r="N236" s="337"/>
      <c r="O236" s="336"/>
      <c r="P236" s="337"/>
      <c r="Q236" s="336"/>
      <c r="R236" s="337"/>
      <c r="S236" s="336"/>
      <c r="T236" s="337"/>
      <c r="U236" s="336"/>
      <c r="V236" s="337"/>
      <c r="W236" s="644"/>
      <c r="X236" s="644"/>
      <c r="Y236" s="336"/>
      <c r="Z236" s="337"/>
      <c r="AA236" s="336"/>
      <c r="AB236" s="336"/>
      <c r="AC236" s="336"/>
      <c r="AD236" s="336"/>
    </row>
    <row r="237" spans="1:30" ht="24" customHeight="1">
      <c r="A237" s="336"/>
      <c r="B237" s="336"/>
      <c r="C237" s="336"/>
      <c r="D237" s="336"/>
      <c r="E237" s="336"/>
      <c r="F237" s="336"/>
      <c r="G237" s="336"/>
      <c r="H237" s="336"/>
      <c r="I237" s="336"/>
      <c r="J237" s="336"/>
      <c r="K237" s="336"/>
      <c r="L237" s="337"/>
      <c r="M237" s="336"/>
      <c r="N237" s="337"/>
      <c r="O237" s="336"/>
      <c r="P237" s="337"/>
      <c r="Q237" s="336"/>
      <c r="R237" s="337"/>
      <c r="S237" s="336"/>
      <c r="T237" s="337"/>
      <c r="U237" s="336"/>
      <c r="V237" s="337"/>
      <c r="W237" s="644"/>
      <c r="X237" s="644"/>
      <c r="Y237" s="336"/>
      <c r="Z237" s="337"/>
      <c r="AA237" s="336"/>
      <c r="AB237" s="336"/>
      <c r="AC237" s="336"/>
      <c r="AD237" s="336"/>
    </row>
    <row r="238" spans="1:30" ht="24" customHeight="1">
      <c r="A238" s="336"/>
      <c r="B238" s="336"/>
      <c r="C238" s="336"/>
      <c r="D238" s="336"/>
      <c r="E238" s="336"/>
      <c r="F238" s="336"/>
      <c r="G238" s="336"/>
      <c r="H238" s="336"/>
      <c r="I238" s="336"/>
      <c r="J238" s="336"/>
      <c r="K238" s="336"/>
      <c r="L238" s="337"/>
      <c r="M238" s="336"/>
      <c r="N238" s="337"/>
      <c r="O238" s="336"/>
      <c r="P238" s="337"/>
      <c r="Q238" s="336"/>
      <c r="R238" s="337"/>
      <c r="S238" s="336"/>
      <c r="T238" s="337"/>
      <c r="U238" s="336"/>
      <c r="V238" s="337"/>
      <c r="W238" s="644"/>
      <c r="X238" s="644"/>
      <c r="Y238" s="336"/>
      <c r="Z238" s="337"/>
      <c r="AA238" s="336"/>
      <c r="AB238" s="336"/>
      <c r="AC238" s="336"/>
      <c r="AD238" s="336"/>
    </row>
    <row r="239" spans="1:30" ht="24" customHeight="1">
      <c r="A239" s="336"/>
      <c r="B239" s="336"/>
      <c r="C239" s="336"/>
      <c r="D239" s="336"/>
      <c r="E239" s="336"/>
      <c r="F239" s="336"/>
      <c r="G239" s="336"/>
      <c r="H239" s="336"/>
      <c r="I239" s="336"/>
      <c r="J239" s="336"/>
      <c r="K239" s="336"/>
      <c r="L239" s="337"/>
      <c r="M239" s="336"/>
      <c r="N239" s="337"/>
      <c r="O239" s="336"/>
      <c r="P239" s="337"/>
      <c r="Q239" s="336"/>
      <c r="R239" s="337"/>
      <c r="S239" s="336"/>
      <c r="T239" s="337"/>
      <c r="U239" s="336"/>
      <c r="V239" s="337"/>
      <c r="W239" s="644"/>
      <c r="X239" s="644"/>
      <c r="Y239" s="336"/>
      <c r="Z239" s="337"/>
      <c r="AA239" s="336"/>
      <c r="AB239" s="336"/>
      <c r="AC239" s="336"/>
      <c r="AD239" s="336"/>
    </row>
    <row r="240" spans="1:30" ht="24" customHeight="1">
      <c r="A240" s="336"/>
      <c r="B240" s="336"/>
      <c r="C240" s="336"/>
      <c r="D240" s="336"/>
      <c r="E240" s="336"/>
      <c r="F240" s="336"/>
      <c r="G240" s="336"/>
      <c r="H240" s="336"/>
      <c r="I240" s="336"/>
      <c r="J240" s="336"/>
      <c r="K240" s="336"/>
      <c r="L240" s="337"/>
      <c r="M240" s="336"/>
      <c r="N240" s="337"/>
      <c r="O240" s="336"/>
      <c r="P240" s="337"/>
      <c r="Q240" s="336"/>
      <c r="R240" s="337"/>
      <c r="S240" s="336"/>
      <c r="T240" s="337"/>
      <c r="U240" s="336"/>
      <c r="V240" s="337"/>
      <c r="W240" s="644"/>
      <c r="X240" s="644"/>
      <c r="Y240" s="336"/>
      <c r="Z240" s="337"/>
      <c r="AA240" s="336"/>
      <c r="AB240" s="336"/>
      <c r="AC240" s="336"/>
      <c r="AD240" s="336"/>
    </row>
    <row r="241" spans="1:30" ht="24" customHeight="1">
      <c r="A241" s="336"/>
      <c r="B241" s="336"/>
      <c r="C241" s="336"/>
      <c r="D241" s="336"/>
      <c r="E241" s="336"/>
      <c r="F241" s="336"/>
      <c r="G241" s="336"/>
      <c r="H241" s="336"/>
      <c r="I241" s="336"/>
      <c r="J241" s="336"/>
      <c r="K241" s="336"/>
      <c r="L241" s="337"/>
      <c r="M241" s="336"/>
      <c r="N241" s="337"/>
      <c r="O241" s="336"/>
      <c r="P241" s="337"/>
      <c r="Q241" s="336"/>
      <c r="R241" s="337"/>
      <c r="S241" s="336"/>
      <c r="T241" s="337"/>
      <c r="U241" s="336"/>
      <c r="V241" s="337"/>
      <c r="W241" s="644"/>
      <c r="X241" s="644"/>
      <c r="Y241" s="336"/>
      <c r="Z241" s="337"/>
      <c r="AA241" s="336"/>
      <c r="AB241" s="336"/>
      <c r="AC241" s="336"/>
      <c r="AD241" s="336"/>
    </row>
    <row r="242" spans="1:30" ht="24" customHeight="1">
      <c r="A242" s="336"/>
      <c r="B242" s="336"/>
      <c r="C242" s="336"/>
      <c r="D242" s="336"/>
      <c r="E242" s="336"/>
      <c r="F242" s="336"/>
      <c r="G242" s="336"/>
      <c r="H242" s="336"/>
      <c r="I242" s="336"/>
      <c r="J242" s="336"/>
      <c r="K242" s="336"/>
      <c r="L242" s="337"/>
      <c r="M242" s="336"/>
      <c r="N242" s="337"/>
      <c r="O242" s="336"/>
      <c r="P242" s="337"/>
      <c r="Q242" s="336"/>
      <c r="R242" s="337"/>
      <c r="S242" s="336"/>
      <c r="T242" s="337"/>
      <c r="U242" s="336"/>
      <c r="V242" s="337"/>
      <c r="W242" s="644"/>
      <c r="X242" s="644"/>
      <c r="Y242" s="336"/>
      <c r="Z242" s="337"/>
      <c r="AA242" s="336"/>
      <c r="AB242" s="336"/>
      <c r="AC242" s="336"/>
      <c r="AD242" s="336"/>
    </row>
    <row r="243" spans="1:30" ht="24" customHeight="1">
      <c r="A243" s="336"/>
      <c r="B243" s="336"/>
      <c r="C243" s="336"/>
      <c r="D243" s="336"/>
      <c r="E243" s="336"/>
      <c r="F243" s="336"/>
      <c r="G243" s="336"/>
      <c r="H243" s="336"/>
      <c r="I243" s="336"/>
      <c r="J243" s="336"/>
      <c r="K243" s="336"/>
      <c r="L243" s="337"/>
      <c r="M243" s="336"/>
      <c r="N243" s="337"/>
      <c r="O243" s="336"/>
      <c r="P243" s="337"/>
      <c r="Q243" s="336"/>
      <c r="R243" s="337"/>
      <c r="S243" s="336"/>
      <c r="T243" s="337"/>
      <c r="U243" s="336"/>
      <c r="V243" s="337"/>
      <c r="W243" s="644"/>
      <c r="X243" s="644"/>
      <c r="Y243" s="336"/>
      <c r="Z243" s="337"/>
      <c r="AA243" s="336"/>
      <c r="AB243" s="336"/>
      <c r="AC243" s="336"/>
      <c r="AD243" s="336"/>
    </row>
    <row r="244" spans="1:30" ht="24" customHeight="1">
      <c r="A244" s="336"/>
      <c r="B244" s="336"/>
      <c r="C244" s="336"/>
      <c r="D244" s="336"/>
      <c r="E244" s="336"/>
      <c r="F244" s="336"/>
      <c r="G244" s="336"/>
      <c r="H244" s="336"/>
      <c r="I244" s="336"/>
      <c r="J244" s="336"/>
      <c r="K244" s="336"/>
      <c r="L244" s="337"/>
      <c r="M244" s="336"/>
      <c r="N244" s="337"/>
      <c r="O244" s="336"/>
      <c r="P244" s="337"/>
      <c r="Q244" s="336"/>
      <c r="R244" s="337"/>
      <c r="S244" s="336"/>
      <c r="T244" s="337"/>
      <c r="U244" s="336"/>
      <c r="V244" s="337"/>
      <c r="W244" s="644"/>
      <c r="X244" s="644"/>
      <c r="Y244" s="336"/>
      <c r="Z244" s="337"/>
      <c r="AA244" s="336"/>
      <c r="AB244" s="336"/>
      <c r="AC244" s="336"/>
      <c r="AD244" s="336"/>
    </row>
    <row r="245" spans="1:30" ht="24" customHeight="1">
      <c r="A245" s="336"/>
      <c r="B245" s="336"/>
      <c r="C245" s="336"/>
      <c r="D245" s="336"/>
      <c r="E245" s="336"/>
      <c r="F245" s="336"/>
      <c r="G245" s="336"/>
      <c r="H245" s="336"/>
      <c r="I245" s="336"/>
      <c r="J245" s="336"/>
      <c r="K245" s="336"/>
      <c r="L245" s="337"/>
      <c r="M245" s="336"/>
      <c r="N245" s="337"/>
      <c r="O245" s="336"/>
      <c r="P245" s="337"/>
      <c r="Q245" s="336"/>
      <c r="R245" s="337"/>
      <c r="S245" s="336"/>
      <c r="T245" s="337"/>
      <c r="U245" s="336"/>
      <c r="V245" s="337"/>
      <c r="W245" s="644"/>
      <c r="X245" s="644"/>
      <c r="Y245" s="336"/>
      <c r="Z245" s="337"/>
      <c r="AA245" s="336"/>
      <c r="AB245" s="336"/>
      <c r="AC245" s="336"/>
      <c r="AD245" s="336"/>
    </row>
    <row r="246" spans="1:30" ht="24" customHeight="1">
      <c r="A246" s="336"/>
      <c r="B246" s="336"/>
      <c r="C246" s="336"/>
      <c r="D246" s="336"/>
      <c r="E246" s="336"/>
      <c r="F246" s="336"/>
      <c r="G246" s="336"/>
      <c r="H246" s="336"/>
      <c r="I246" s="336"/>
      <c r="J246" s="336"/>
      <c r="K246" s="336"/>
      <c r="L246" s="337"/>
      <c r="M246" s="336"/>
      <c r="N246" s="337"/>
      <c r="O246" s="336"/>
      <c r="P246" s="337"/>
      <c r="Q246" s="336"/>
      <c r="R246" s="337"/>
      <c r="S246" s="336"/>
      <c r="T246" s="337"/>
      <c r="U246" s="336"/>
      <c r="V246" s="337"/>
      <c r="W246" s="644"/>
      <c r="X246" s="644"/>
      <c r="Y246" s="336"/>
      <c r="Z246" s="337"/>
      <c r="AA246" s="336"/>
      <c r="AB246" s="336"/>
      <c r="AC246" s="336"/>
      <c r="AD246" s="336"/>
    </row>
    <row r="247" spans="1:30" ht="24" customHeight="1">
      <c r="A247" s="336"/>
      <c r="B247" s="336"/>
      <c r="C247" s="336"/>
      <c r="D247" s="336"/>
      <c r="E247" s="336"/>
      <c r="F247" s="336"/>
      <c r="G247" s="336"/>
      <c r="H247" s="336"/>
      <c r="I247" s="336"/>
      <c r="J247" s="336"/>
      <c r="K247" s="336"/>
      <c r="L247" s="337"/>
      <c r="M247" s="336"/>
      <c r="N247" s="337"/>
      <c r="O247" s="336"/>
      <c r="P247" s="337"/>
      <c r="Q247" s="336"/>
      <c r="R247" s="337"/>
      <c r="S247" s="336"/>
      <c r="T247" s="337"/>
      <c r="U247" s="336"/>
      <c r="V247" s="337"/>
      <c r="W247" s="644"/>
      <c r="X247" s="644"/>
      <c r="Y247" s="336"/>
      <c r="Z247" s="337"/>
      <c r="AA247" s="336"/>
      <c r="AB247" s="336"/>
      <c r="AC247" s="336"/>
      <c r="AD247" s="336"/>
    </row>
    <row r="248" spans="1:30" ht="24" customHeight="1">
      <c r="A248" s="336"/>
      <c r="B248" s="336"/>
      <c r="C248" s="336"/>
      <c r="D248" s="336"/>
      <c r="E248" s="336"/>
      <c r="F248" s="336"/>
      <c r="G248" s="336"/>
      <c r="H248" s="336"/>
      <c r="I248" s="336"/>
      <c r="J248" s="336"/>
      <c r="K248" s="336"/>
      <c r="L248" s="337"/>
      <c r="M248" s="336"/>
      <c r="N248" s="337"/>
      <c r="O248" s="336"/>
      <c r="P248" s="337"/>
      <c r="Q248" s="336"/>
      <c r="R248" s="337"/>
      <c r="S248" s="336"/>
      <c r="T248" s="337"/>
      <c r="U248" s="336"/>
      <c r="V248" s="337"/>
      <c r="W248" s="644"/>
      <c r="X248" s="644"/>
      <c r="Y248" s="336"/>
      <c r="Z248" s="337"/>
      <c r="AA248" s="336"/>
      <c r="AB248" s="336"/>
      <c r="AC248" s="336"/>
      <c r="AD248" s="336"/>
    </row>
    <row r="249" spans="1:30" ht="24" customHeight="1">
      <c r="A249" s="336"/>
      <c r="B249" s="336"/>
      <c r="C249" s="336"/>
      <c r="D249" s="336"/>
      <c r="E249" s="336"/>
      <c r="F249" s="336"/>
      <c r="G249" s="336"/>
      <c r="H249" s="336"/>
      <c r="I249" s="336"/>
      <c r="J249" s="336"/>
      <c r="K249" s="336"/>
      <c r="L249" s="337"/>
      <c r="M249" s="336"/>
      <c r="N249" s="337"/>
      <c r="O249" s="336"/>
      <c r="P249" s="337"/>
      <c r="Q249" s="336"/>
      <c r="R249" s="337"/>
      <c r="S249" s="336"/>
      <c r="T249" s="337"/>
      <c r="U249" s="336"/>
      <c r="V249" s="337"/>
      <c r="W249" s="644"/>
      <c r="X249" s="644"/>
      <c r="Y249" s="336"/>
      <c r="Z249" s="337"/>
      <c r="AA249" s="336"/>
      <c r="AB249" s="336"/>
      <c r="AC249" s="336"/>
      <c r="AD249" s="336"/>
    </row>
    <row r="250" spans="1:30" ht="24" customHeight="1">
      <c r="A250" s="336"/>
      <c r="B250" s="336"/>
      <c r="C250" s="336"/>
      <c r="D250" s="336"/>
      <c r="E250" s="336"/>
      <c r="F250" s="336"/>
      <c r="G250" s="336"/>
      <c r="H250" s="336"/>
      <c r="I250" s="336"/>
      <c r="J250" s="336"/>
      <c r="K250" s="336"/>
      <c r="L250" s="337"/>
      <c r="M250" s="336"/>
      <c r="N250" s="337"/>
      <c r="O250" s="336"/>
      <c r="P250" s="337"/>
      <c r="Q250" s="336"/>
      <c r="R250" s="337"/>
      <c r="S250" s="336"/>
      <c r="T250" s="337"/>
      <c r="U250" s="336"/>
      <c r="V250" s="337"/>
      <c r="W250" s="644"/>
      <c r="X250" s="644"/>
      <c r="Y250" s="336"/>
      <c r="Z250" s="337"/>
      <c r="AA250" s="336"/>
      <c r="AB250" s="336"/>
      <c r="AC250" s="336"/>
      <c r="AD250" s="336"/>
    </row>
    <row r="251" spans="1:30" ht="24" customHeight="1">
      <c r="A251" s="336"/>
      <c r="B251" s="336"/>
      <c r="C251" s="336"/>
      <c r="D251" s="336"/>
      <c r="E251" s="336"/>
      <c r="F251" s="336"/>
      <c r="G251" s="336"/>
      <c r="H251" s="336"/>
      <c r="I251" s="336"/>
      <c r="J251" s="336"/>
      <c r="K251" s="336"/>
      <c r="L251" s="337"/>
      <c r="M251" s="336"/>
      <c r="N251" s="337"/>
      <c r="O251" s="336"/>
      <c r="P251" s="337"/>
      <c r="Q251" s="336"/>
      <c r="R251" s="337"/>
      <c r="S251" s="336"/>
      <c r="T251" s="337"/>
      <c r="U251" s="336"/>
      <c r="V251" s="337"/>
      <c r="W251" s="644"/>
      <c r="X251" s="644"/>
      <c r="Y251" s="336"/>
      <c r="Z251" s="337"/>
      <c r="AA251" s="336"/>
      <c r="AB251" s="336"/>
      <c r="AC251" s="336"/>
      <c r="AD251" s="336"/>
    </row>
    <row r="252" spans="1:30" ht="24" customHeight="1">
      <c r="A252" s="336"/>
      <c r="B252" s="336"/>
      <c r="C252" s="336"/>
      <c r="D252" s="336"/>
      <c r="E252" s="336"/>
      <c r="F252" s="336"/>
      <c r="G252" s="336"/>
      <c r="H252" s="336"/>
      <c r="I252" s="336"/>
      <c r="J252" s="336"/>
      <c r="K252" s="336"/>
      <c r="L252" s="337"/>
      <c r="M252" s="336"/>
      <c r="N252" s="337"/>
      <c r="O252" s="336"/>
      <c r="P252" s="337"/>
      <c r="Q252" s="336"/>
      <c r="R252" s="337"/>
      <c r="S252" s="336"/>
      <c r="T252" s="337"/>
      <c r="U252" s="336"/>
      <c r="V252" s="337"/>
      <c r="W252" s="644"/>
      <c r="X252" s="644"/>
      <c r="Y252" s="336"/>
      <c r="Z252" s="337"/>
      <c r="AA252" s="336"/>
      <c r="AB252" s="336"/>
      <c r="AC252" s="336"/>
      <c r="AD252" s="336"/>
    </row>
    <row r="253" spans="1:30" ht="24" customHeight="1">
      <c r="A253" s="336"/>
      <c r="B253" s="336"/>
      <c r="C253" s="336"/>
      <c r="D253" s="336"/>
      <c r="E253" s="336"/>
      <c r="F253" s="336"/>
      <c r="G253" s="336"/>
      <c r="H253" s="336"/>
      <c r="I253" s="336"/>
      <c r="J253" s="336"/>
      <c r="K253" s="336"/>
      <c r="L253" s="337"/>
      <c r="M253" s="336"/>
      <c r="N253" s="337"/>
      <c r="O253" s="336"/>
      <c r="P253" s="337"/>
      <c r="Q253" s="336"/>
      <c r="R253" s="337"/>
      <c r="S253" s="336"/>
      <c r="T253" s="337"/>
      <c r="U253" s="336"/>
      <c r="V253" s="337"/>
      <c r="W253" s="644"/>
      <c r="X253" s="644"/>
      <c r="Y253" s="336"/>
      <c r="Z253" s="337"/>
      <c r="AA253" s="336"/>
      <c r="AB253" s="336"/>
      <c r="AC253" s="336"/>
      <c r="AD253" s="336"/>
    </row>
    <row r="254" spans="1:30" ht="24" customHeight="1">
      <c r="A254" s="336"/>
      <c r="B254" s="336"/>
      <c r="C254" s="336"/>
      <c r="D254" s="336"/>
      <c r="E254" s="336"/>
      <c r="F254" s="336"/>
      <c r="G254" s="336"/>
      <c r="H254" s="336"/>
      <c r="I254" s="336"/>
      <c r="J254" s="336"/>
      <c r="K254" s="336"/>
      <c r="L254" s="337"/>
      <c r="M254" s="336"/>
      <c r="N254" s="337"/>
      <c r="O254" s="336"/>
      <c r="P254" s="337"/>
      <c r="Q254" s="336"/>
      <c r="R254" s="337"/>
      <c r="S254" s="336"/>
      <c r="T254" s="337"/>
      <c r="U254" s="336"/>
      <c r="V254" s="337"/>
      <c r="W254" s="644"/>
      <c r="X254" s="644"/>
      <c r="Y254" s="336"/>
      <c r="Z254" s="337"/>
      <c r="AA254" s="336"/>
      <c r="AB254" s="336"/>
      <c r="AC254" s="336"/>
      <c r="AD254" s="336"/>
    </row>
    <row r="255" spans="1:30" ht="24" customHeight="1">
      <c r="A255" s="336"/>
      <c r="B255" s="336"/>
      <c r="C255" s="336"/>
      <c r="D255" s="336"/>
      <c r="E255" s="336"/>
      <c r="F255" s="336"/>
      <c r="G255" s="336"/>
      <c r="H255" s="336"/>
      <c r="I255" s="336"/>
      <c r="J255" s="336"/>
      <c r="K255" s="336"/>
      <c r="L255" s="337"/>
      <c r="M255" s="336"/>
      <c r="N255" s="337"/>
      <c r="O255" s="336"/>
      <c r="P255" s="337"/>
      <c r="Q255" s="336"/>
      <c r="R255" s="337"/>
      <c r="S255" s="336"/>
      <c r="T255" s="337"/>
      <c r="U255" s="336"/>
      <c r="V255" s="337"/>
      <c r="W255" s="644"/>
      <c r="X255" s="644"/>
      <c r="Y255" s="336"/>
      <c r="Z255" s="337"/>
      <c r="AA255" s="336"/>
      <c r="AB255" s="336"/>
      <c r="AC255" s="336"/>
      <c r="AD255" s="336"/>
    </row>
    <row r="256" spans="1:30" ht="24" customHeight="1">
      <c r="A256" s="336"/>
      <c r="B256" s="336"/>
      <c r="C256" s="336"/>
      <c r="D256" s="336"/>
      <c r="E256" s="336"/>
      <c r="F256" s="336"/>
      <c r="G256" s="336"/>
      <c r="H256" s="336"/>
      <c r="I256" s="336"/>
      <c r="J256" s="336"/>
      <c r="K256" s="336"/>
      <c r="L256" s="337"/>
      <c r="M256" s="336"/>
      <c r="N256" s="337"/>
      <c r="O256" s="336"/>
      <c r="P256" s="337"/>
      <c r="Q256" s="336"/>
      <c r="R256" s="337"/>
      <c r="S256" s="336"/>
      <c r="T256" s="337"/>
      <c r="U256" s="336"/>
      <c r="V256" s="337"/>
      <c r="W256" s="644"/>
      <c r="X256" s="644"/>
      <c r="Y256" s="336"/>
      <c r="Z256" s="337"/>
      <c r="AA256" s="336"/>
      <c r="AB256" s="336"/>
      <c r="AC256" s="336"/>
      <c r="AD256" s="336"/>
    </row>
    <row r="257" spans="1:30" ht="24" customHeight="1">
      <c r="A257" s="336"/>
      <c r="B257" s="336"/>
      <c r="C257" s="336"/>
      <c r="D257" s="336"/>
      <c r="E257" s="336"/>
      <c r="F257" s="336"/>
      <c r="G257" s="336"/>
      <c r="H257" s="336"/>
      <c r="I257" s="336"/>
      <c r="J257" s="336"/>
      <c r="K257" s="336"/>
      <c r="L257" s="337"/>
      <c r="M257" s="336"/>
      <c r="N257" s="337"/>
      <c r="O257" s="336"/>
      <c r="P257" s="337"/>
      <c r="Q257" s="336"/>
      <c r="R257" s="337"/>
      <c r="S257" s="336"/>
      <c r="T257" s="337"/>
      <c r="U257" s="336"/>
      <c r="V257" s="337"/>
      <c r="W257" s="644"/>
      <c r="X257" s="644"/>
      <c r="Y257" s="336"/>
      <c r="Z257" s="337"/>
      <c r="AA257" s="336"/>
      <c r="AB257" s="336"/>
      <c r="AC257" s="336"/>
      <c r="AD257" s="336"/>
    </row>
    <row r="258" spans="1:30" ht="24" customHeight="1">
      <c r="A258" s="336"/>
      <c r="B258" s="336"/>
      <c r="C258" s="336"/>
      <c r="D258" s="336"/>
      <c r="E258" s="336"/>
      <c r="F258" s="336"/>
      <c r="G258" s="336"/>
      <c r="H258" s="336"/>
      <c r="I258" s="336"/>
      <c r="J258" s="336"/>
      <c r="K258" s="336"/>
      <c r="L258" s="337"/>
      <c r="M258" s="336"/>
      <c r="N258" s="337"/>
      <c r="O258" s="336"/>
      <c r="P258" s="337"/>
      <c r="Q258" s="336"/>
      <c r="R258" s="337"/>
      <c r="S258" s="336"/>
      <c r="T258" s="337"/>
      <c r="U258" s="336"/>
      <c r="V258" s="337"/>
      <c r="W258" s="644"/>
      <c r="X258" s="644"/>
      <c r="Y258" s="336"/>
      <c r="Z258" s="337"/>
      <c r="AA258" s="336"/>
      <c r="AB258" s="336"/>
      <c r="AC258" s="336"/>
      <c r="AD258" s="336"/>
    </row>
    <row r="259" spans="1:30" ht="24" customHeight="1">
      <c r="A259" s="336"/>
      <c r="B259" s="336"/>
      <c r="C259" s="336"/>
      <c r="D259" s="336"/>
      <c r="E259" s="336"/>
      <c r="F259" s="336"/>
      <c r="G259" s="336"/>
      <c r="H259" s="336"/>
      <c r="I259" s="336"/>
      <c r="J259" s="336"/>
      <c r="K259" s="336"/>
      <c r="L259" s="337"/>
      <c r="M259" s="336"/>
      <c r="N259" s="337"/>
      <c r="O259" s="336"/>
      <c r="P259" s="337"/>
      <c r="Q259" s="336"/>
      <c r="R259" s="337"/>
      <c r="S259" s="336"/>
      <c r="T259" s="337"/>
      <c r="U259" s="336"/>
      <c r="V259" s="337"/>
      <c r="W259" s="644"/>
      <c r="X259" s="644"/>
      <c r="Y259" s="336"/>
      <c r="Z259" s="337"/>
      <c r="AA259" s="336"/>
      <c r="AB259" s="336"/>
      <c r="AC259" s="336"/>
      <c r="AD259" s="336"/>
    </row>
    <row r="260" spans="1:30" ht="24" customHeight="1">
      <c r="A260" s="336"/>
      <c r="B260" s="336"/>
      <c r="C260" s="336"/>
      <c r="D260" s="336"/>
      <c r="E260" s="336"/>
      <c r="F260" s="336"/>
      <c r="G260" s="336"/>
      <c r="H260" s="336"/>
      <c r="I260" s="336"/>
      <c r="J260" s="336"/>
      <c r="K260" s="336"/>
      <c r="L260" s="337"/>
      <c r="M260" s="336"/>
      <c r="N260" s="337"/>
      <c r="O260" s="336"/>
      <c r="P260" s="337"/>
      <c r="Q260" s="336"/>
      <c r="R260" s="337"/>
      <c r="S260" s="336"/>
      <c r="T260" s="337"/>
      <c r="U260" s="336"/>
      <c r="V260" s="337"/>
      <c r="W260" s="644"/>
      <c r="X260" s="644"/>
      <c r="Y260" s="336"/>
      <c r="Z260" s="337"/>
      <c r="AA260" s="336"/>
      <c r="AB260" s="336"/>
      <c r="AC260" s="336"/>
      <c r="AD260" s="336"/>
    </row>
    <row r="261" spans="1:30" ht="24" customHeight="1">
      <c r="A261" s="336"/>
      <c r="B261" s="336"/>
      <c r="C261" s="336"/>
      <c r="D261" s="336"/>
      <c r="E261" s="336"/>
      <c r="F261" s="336"/>
      <c r="G261" s="336"/>
      <c r="H261" s="336"/>
      <c r="I261" s="336"/>
      <c r="J261" s="336"/>
      <c r="K261" s="336"/>
      <c r="L261" s="337"/>
      <c r="M261" s="336"/>
      <c r="N261" s="337"/>
      <c r="O261" s="336"/>
      <c r="P261" s="337"/>
      <c r="Q261" s="336"/>
      <c r="R261" s="337"/>
      <c r="S261" s="336"/>
      <c r="T261" s="337"/>
      <c r="U261" s="336"/>
      <c r="V261" s="337"/>
      <c r="W261" s="644"/>
      <c r="X261" s="644"/>
      <c r="Y261" s="336"/>
      <c r="Z261" s="337"/>
      <c r="AA261" s="336"/>
      <c r="AB261" s="336"/>
      <c r="AC261" s="336"/>
      <c r="AD261" s="336"/>
    </row>
    <row r="262" spans="1:30" ht="24" customHeight="1">
      <c r="A262" s="336"/>
      <c r="B262" s="336"/>
      <c r="C262" s="336"/>
      <c r="D262" s="336"/>
      <c r="E262" s="336"/>
      <c r="F262" s="336"/>
      <c r="G262" s="336"/>
      <c r="H262" s="336"/>
      <c r="I262" s="336"/>
      <c r="J262" s="336"/>
      <c r="K262" s="336"/>
      <c r="L262" s="337"/>
      <c r="M262" s="336"/>
      <c r="N262" s="337"/>
      <c r="O262" s="336"/>
      <c r="P262" s="337"/>
      <c r="Q262" s="336"/>
      <c r="R262" s="337"/>
      <c r="S262" s="336"/>
      <c r="T262" s="337"/>
      <c r="U262" s="336"/>
      <c r="V262" s="337"/>
      <c r="W262" s="644"/>
      <c r="X262" s="644"/>
      <c r="Y262" s="336"/>
      <c r="Z262" s="337"/>
      <c r="AA262" s="336"/>
      <c r="AB262" s="336"/>
      <c r="AC262" s="336"/>
      <c r="AD262" s="336"/>
    </row>
    <row r="263" spans="1:30" ht="24" customHeight="1">
      <c r="A263" s="336"/>
      <c r="B263" s="336"/>
      <c r="C263" s="336"/>
      <c r="D263" s="336"/>
      <c r="E263" s="336"/>
      <c r="F263" s="336"/>
      <c r="G263" s="336"/>
      <c r="H263" s="336"/>
      <c r="I263" s="336"/>
      <c r="J263" s="336"/>
      <c r="K263" s="336"/>
      <c r="L263" s="337"/>
      <c r="M263" s="336"/>
      <c r="N263" s="337"/>
      <c r="O263" s="336"/>
      <c r="P263" s="337"/>
      <c r="Q263" s="336"/>
      <c r="R263" s="337"/>
      <c r="S263" s="336"/>
      <c r="T263" s="337"/>
      <c r="U263" s="336"/>
      <c r="V263" s="337"/>
      <c r="W263" s="644"/>
      <c r="X263" s="644"/>
      <c r="Y263" s="336"/>
      <c r="Z263" s="337"/>
      <c r="AA263" s="336"/>
      <c r="AB263" s="336"/>
      <c r="AC263" s="336"/>
      <c r="AD263" s="336"/>
    </row>
    <row r="264" spans="1:30" ht="24" customHeight="1">
      <c r="A264" s="336"/>
      <c r="B264" s="336"/>
      <c r="C264" s="336"/>
      <c r="D264" s="336"/>
      <c r="E264" s="336"/>
      <c r="F264" s="336"/>
      <c r="G264" s="336"/>
      <c r="H264" s="336"/>
      <c r="I264" s="336"/>
      <c r="J264" s="336"/>
      <c r="K264" s="336"/>
      <c r="L264" s="337"/>
      <c r="M264" s="336"/>
      <c r="N264" s="337"/>
      <c r="O264" s="336"/>
      <c r="P264" s="337"/>
      <c r="Q264" s="336"/>
      <c r="R264" s="337"/>
      <c r="S264" s="336"/>
      <c r="T264" s="337"/>
      <c r="U264" s="336"/>
      <c r="V264" s="337"/>
      <c r="W264" s="644"/>
      <c r="X264" s="644"/>
      <c r="Y264" s="336"/>
      <c r="Z264" s="337"/>
      <c r="AA264" s="336"/>
      <c r="AB264" s="336"/>
      <c r="AC264" s="336"/>
      <c r="AD264" s="336"/>
    </row>
    <row r="265" spans="1:30" ht="24" customHeight="1">
      <c r="A265" s="336"/>
      <c r="B265" s="336"/>
      <c r="C265" s="336"/>
      <c r="D265" s="336"/>
      <c r="E265" s="336"/>
      <c r="F265" s="336"/>
      <c r="G265" s="336"/>
      <c r="H265" s="336"/>
      <c r="I265" s="336"/>
      <c r="J265" s="336"/>
      <c r="K265" s="336"/>
      <c r="L265" s="337"/>
      <c r="M265" s="336"/>
      <c r="N265" s="337"/>
      <c r="O265" s="336"/>
      <c r="P265" s="337"/>
      <c r="Q265" s="336"/>
      <c r="R265" s="337"/>
      <c r="S265" s="336"/>
      <c r="T265" s="337"/>
      <c r="U265" s="336"/>
      <c r="V265" s="337"/>
      <c r="W265" s="644"/>
      <c r="X265" s="644"/>
      <c r="Y265" s="336"/>
      <c r="Z265" s="337"/>
      <c r="AA265" s="336"/>
      <c r="AB265" s="336"/>
      <c r="AC265" s="336"/>
      <c r="AD265" s="336"/>
    </row>
    <row r="266" spans="1:30" ht="24" customHeight="1">
      <c r="A266" s="336"/>
      <c r="B266" s="336"/>
      <c r="C266" s="336"/>
      <c r="D266" s="336"/>
      <c r="E266" s="336"/>
      <c r="F266" s="336"/>
      <c r="G266" s="336"/>
      <c r="H266" s="336"/>
      <c r="I266" s="336"/>
      <c r="J266" s="336"/>
      <c r="K266" s="336"/>
      <c r="L266" s="337"/>
      <c r="M266" s="336"/>
      <c r="N266" s="337"/>
      <c r="O266" s="336"/>
      <c r="P266" s="337"/>
      <c r="Q266" s="336"/>
      <c r="R266" s="337"/>
      <c r="S266" s="336"/>
      <c r="T266" s="337"/>
      <c r="U266" s="336"/>
      <c r="V266" s="337"/>
      <c r="W266" s="644"/>
      <c r="X266" s="644"/>
      <c r="Y266" s="336"/>
      <c r="Z266" s="337"/>
      <c r="AA266" s="336"/>
      <c r="AB266" s="336"/>
      <c r="AC266" s="336"/>
      <c r="AD266" s="336"/>
    </row>
    <row r="267" spans="1:30" ht="24" customHeight="1">
      <c r="A267" s="336"/>
      <c r="B267" s="336"/>
      <c r="C267" s="336"/>
      <c r="D267" s="336"/>
      <c r="E267" s="336"/>
      <c r="F267" s="336"/>
      <c r="G267" s="336"/>
      <c r="H267" s="336"/>
      <c r="I267" s="336"/>
      <c r="J267" s="336"/>
      <c r="K267" s="336"/>
      <c r="L267" s="337"/>
      <c r="M267" s="336"/>
      <c r="N267" s="337"/>
      <c r="O267" s="336"/>
      <c r="P267" s="337"/>
      <c r="Q267" s="336"/>
      <c r="R267" s="337"/>
      <c r="S267" s="336"/>
      <c r="T267" s="337"/>
      <c r="U267" s="336"/>
      <c r="V267" s="337"/>
      <c r="W267" s="644"/>
      <c r="X267" s="644"/>
      <c r="Y267" s="336"/>
      <c r="Z267" s="337"/>
      <c r="AA267" s="336"/>
      <c r="AB267" s="336"/>
      <c r="AC267" s="336"/>
      <c r="AD267" s="336"/>
    </row>
    <row r="268" spans="1:30" ht="24" customHeight="1">
      <c r="A268" s="336"/>
      <c r="B268" s="336"/>
      <c r="C268" s="336"/>
      <c r="D268" s="336"/>
      <c r="E268" s="336"/>
      <c r="F268" s="336"/>
      <c r="G268" s="336"/>
      <c r="H268" s="336"/>
      <c r="I268" s="336"/>
      <c r="J268" s="336"/>
      <c r="K268" s="336"/>
      <c r="L268" s="337"/>
      <c r="M268" s="336"/>
      <c r="N268" s="337"/>
      <c r="O268" s="336"/>
      <c r="P268" s="337"/>
      <c r="Q268" s="336"/>
      <c r="R268" s="337"/>
      <c r="S268" s="336"/>
      <c r="T268" s="337"/>
      <c r="U268" s="336"/>
      <c r="V268" s="337"/>
      <c r="W268" s="644"/>
      <c r="X268" s="644"/>
      <c r="Y268" s="336"/>
      <c r="Z268" s="337"/>
      <c r="AA268" s="336"/>
      <c r="AB268" s="336"/>
      <c r="AC268" s="336"/>
      <c r="AD268" s="336"/>
    </row>
    <row r="269" spans="1:30" ht="24" customHeight="1">
      <c r="A269" s="336"/>
      <c r="B269" s="336"/>
      <c r="C269" s="336"/>
      <c r="D269" s="336"/>
      <c r="E269" s="336"/>
      <c r="F269" s="336"/>
      <c r="G269" s="336"/>
      <c r="H269" s="336"/>
      <c r="I269" s="336"/>
      <c r="J269" s="336"/>
      <c r="K269" s="336"/>
      <c r="L269" s="337"/>
      <c r="M269" s="336"/>
      <c r="N269" s="337"/>
      <c r="O269" s="336"/>
      <c r="P269" s="337"/>
      <c r="Q269" s="336"/>
      <c r="R269" s="337"/>
      <c r="S269" s="336"/>
      <c r="T269" s="337"/>
      <c r="U269" s="336"/>
      <c r="V269" s="337"/>
      <c r="W269" s="644"/>
      <c r="X269" s="644"/>
      <c r="Y269" s="336"/>
      <c r="Z269" s="337"/>
      <c r="AA269" s="336"/>
      <c r="AB269" s="336"/>
      <c r="AC269" s="336"/>
      <c r="AD269" s="336"/>
    </row>
    <row r="270" spans="1:30" ht="24" customHeight="1">
      <c r="A270" s="336"/>
      <c r="B270" s="336"/>
      <c r="C270" s="336"/>
      <c r="D270" s="336"/>
      <c r="E270" s="336"/>
      <c r="F270" s="336"/>
      <c r="G270" s="336"/>
      <c r="H270" s="336"/>
      <c r="I270" s="336"/>
      <c r="J270" s="336"/>
      <c r="K270" s="336"/>
      <c r="L270" s="337"/>
      <c r="M270" s="336"/>
      <c r="N270" s="337"/>
      <c r="O270" s="336"/>
      <c r="P270" s="337"/>
      <c r="Q270" s="336"/>
      <c r="R270" s="337"/>
      <c r="S270" s="336"/>
      <c r="T270" s="337"/>
      <c r="U270" s="336"/>
      <c r="V270" s="337"/>
      <c r="W270" s="644"/>
      <c r="X270" s="644"/>
      <c r="Y270" s="336"/>
      <c r="Z270" s="337"/>
      <c r="AA270" s="336"/>
      <c r="AB270" s="336"/>
      <c r="AC270" s="336"/>
      <c r="AD270" s="336"/>
    </row>
    <row r="271" spans="1:30" ht="24" customHeight="1">
      <c r="A271" s="336"/>
      <c r="B271" s="336"/>
      <c r="C271" s="336"/>
      <c r="D271" s="336"/>
      <c r="E271" s="336"/>
      <c r="F271" s="336"/>
      <c r="G271" s="336"/>
      <c r="H271" s="336"/>
      <c r="I271" s="336"/>
      <c r="J271" s="336"/>
      <c r="K271" s="336"/>
      <c r="L271" s="337"/>
      <c r="M271" s="336"/>
      <c r="N271" s="337"/>
      <c r="O271" s="336"/>
      <c r="P271" s="337"/>
      <c r="Q271" s="336"/>
      <c r="R271" s="337"/>
      <c r="S271" s="336"/>
      <c r="T271" s="337"/>
      <c r="U271" s="336"/>
      <c r="V271" s="337"/>
      <c r="W271" s="644"/>
      <c r="X271" s="644"/>
      <c r="Y271" s="336"/>
      <c r="Z271" s="337"/>
      <c r="AA271" s="336"/>
      <c r="AB271" s="336"/>
      <c r="AC271" s="336"/>
      <c r="AD271" s="336"/>
    </row>
    <row r="272" spans="1:30" ht="24" customHeight="1">
      <c r="A272" s="336"/>
      <c r="B272" s="336"/>
      <c r="C272" s="336"/>
      <c r="D272" s="336"/>
      <c r="E272" s="336"/>
      <c r="F272" s="336"/>
      <c r="G272" s="336"/>
      <c r="H272" s="336"/>
      <c r="I272" s="336"/>
      <c r="J272" s="336"/>
      <c r="K272" s="336"/>
      <c r="L272" s="337"/>
      <c r="M272" s="336"/>
      <c r="N272" s="337"/>
      <c r="O272" s="336"/>
      <c r="P272" s="337"/>
      <c r="Q272" s="336"/>
      <c r="R272" s="337"/>
      <c r="S272" s="336"/>
      <c r="T272" s="337"/>
      <c r="U272" s="336"/>
      <c r="V272" s="337"/>
      <c r="W272" s="644"/>
      <c r="X272" s="644"/>
      <c r="Y272" s="336"/>
      <c r="Z272" s="337"/>
      <c r="AA272" s="336"/>
      <c r="AB272" s="336"/>
      <c r="AC272" s="336"/>
      <c r="AD272" s="336"/>
    </row>
    <row r="273" spans="1:30" ht="24" customHeight="1">
      <c r="A273" s="336"/>
      <c r="B273" s="336"/>
      <c r="C273" s="336"/>
      <c r="D273" s="336"/>
      <c r="E273" s="336"/>
      <c r="F273" s="336"/>
      <c r="G273" s="336"/>
      <c r="H273" s="336"/>
      <c r="I273" s="336"/>
      <c r="J273" s="336"/>
      <c r="K273" s="336"/>
      <c r="L273" s="337"/>
      <c r="M273" s="336"/>
      <c r="N273" s="337"/>
      <c r="O273" s="336"/>
      <c r="P273" s="337"/>
      <c r="Q273" s="336"/>
      <c r="R273" s="337"/>
      <c r="S273" s="336"/>
      <c r="T273" s="337"/>
      <c r="U273" s="336"/>
      <c r="V273" s="337"/>
      <c r="W273" s="644"/>
      <c r="X273" s="644"/>
      <c r="Y273" s="336"/>
      <c r="Z273" s="337"/>
      <c r="AA273" s="336"/>
      <c r="AB273" s="336"/>
      <c r="AC273" s="336"/>
      <c r="AD273" s="336"/>
    </row>
    <row r="274" spans="1:30" ht="24" customHeight="1">
      <c r="A274" s="336"/>
      <c r="B274" s="336"/>
      <c r="C274" s="336"/>
      <c r="D274" s="336"/>
      <c r="E274" s="336"/>
      <c r="F274" s="336"/>
      <c r="G274" s="336"/>
      <c r="H274" s="336"/>
      <c r="I274" s="336"/>
      <c r="J274" s="336"/>
      <c r="K274" s="336"/>
      <c r="L274" s="337"/>
      <c r="M274" s="336"/>
      <c r="N274" s="337"/>
      <c r="O274" s="336"/>
      <c r="P274" s="337"/>
      <c r="Q274" s="336"/>
      <c r="R274" s="337"/>
      <c r="S274" s="336"/>
      <c r="T274" s="337"/>
      <c r="U274" s="336"/>
      <c r="V274" s="337"/>
      <c r="W274" s="644"/>
      <c r="X274" s="644"/>
      <c r="Y274" s="336"/>
      <c r="Z274" s="337"/>
      <c r="AA274" s="336"/>
      <c r="AB274" s="336"/>
      <c r="AC274" s="336"/>
      <c r="AD274" s="336"/>
    </row>
    <row r="275" spans="1:30" ht="24" customHeight="1">
      <c r="A275" s="336"/>
      <c r="B275" s="336"/>
      <c r="C275" s="336"/>
      <c r="D275" s="336"/>
      <c r="E275" s="336"/>
      <c r="F275" s="336"/>
      <c r="G275" s="336"/>
      <c r="H275" s="336"/>
      <c r="I275" s="336"/>
      <c r="J275" s="336"/>
      <c r="K275" s="336"/>
      <c r="L275" s="337"/>
      <c r="M275" s="336"/>
      <c r="N275" s="337"/>
      <c r="O275" s="336"/>
      <c r="P275" s="337"/>
      <c r="Q275" s="336"/>
      <c r="R275" s="337"/>
      <c r="S275" s="336"/>
      <c r="T275" s="337"/>
      <c r="U275" s="336"/>
      <c r="V275" s="337"/>
      <c r="W275" s="644"/>
      <c r="X275" s="644"/>
      <c r="Y275" s="336"/>
      <c r="Z275" s="337"/>
      <c r="AA275" s="336"/>
      <c r="AB275" s="336"/>
      <c r="AC275" s="336"/>
      <c r="AD275" s="336"/>
    </row>
    <row r="276" spans="1:30" ht="24" customHeight="1">
      <c r="A276" s="336"/>
      <c r="B276" s="336"/>
      <c r="C276" s="336"/>
      <c r="D276" s="336"/>
      <c r="E276" s="336"/>
      <c r="F276" s="336"/>
      <c r="G276" s="336"/>
      <c r="H276" s="336"/>
      <c r="I276" s="336"/>
      <c r="J276" s="336"/>
      <c r="K276" s="336"/>
      <c r="L276" s="337"/>
      <c r="M276" s="336"/>
      <c r="N276" s="337"/>
      <c r="O276" s="336"/>
      <c r="P276" s="337"/>
      <c r="Q276" s="336"/>
      <c r="R276" s="337"/>
      <c r="S276" s="336"/>
      <c r="T276" s="337"/>
      <c r="U276" s="336"/>
      <c r="V276" s="337"/>
      <c r="W276" s="644"/>
      <c r="X276" s="644"/>
      <c r="Y276" s="336"/>
      <c r="Z276" s="337"/>
      <c r="AA276" s="336"/>
      <c r="AB276" s="336"/>
      <c r="AC276" s="336"/>
      <c r="AD276" s="336"/>
    </row>
    <row r="277" spans="1:30" ht="24" customHeight="1">
      <c r="A277" s="336"/>
      <c r="B277" s="336"/>
      <c r="C277" s="336"/>
      <c r="D277" s="336"/>
      <c r="E277" s="336"/>
      <c r="F277" s="336"/>
      <c r="G277" s="336"/>
      <c r="H277" s="336"/>
      <c r="I277" s="336"/>
      <c r="J277" s="336"/>
      <c r="K277" s="336"/>
      <c r="L277" s="337"/>
      <c r="M277" s="336"/>
      <c r="N277" s="337"/>
      <c r="O277" s="336"/>
      <c r="P277" s="337"/>
      <c r="Q277" s="336"/>
      <c r="R277" s="337"/>
      <c r="S277" s="336"/>
      <c r="T277" s="337"/>
      <c r="U277" s="336"/>
      <c r="V277" s="337"/>
      <c r="W277" s="644"/>
      <c r="X277" s="644"/>
      <c r="Y277" s="336"/>
      <c r="Z277" s="337"/>
      <c r="AA277" s="336"/>
      <c r="AB277" s="336"/>
      <c r="AC277" s="336"/>
      <c r="AD277" s="336"/>
    </row>
    <row r="278" spans="1:30" ht="24" customHeight="1">
      <c r="A278" s="336"/>
      <c r="B278" s="336"/>
      <c r="C278" s="336"/>
      <c r="D278" s="336"/>
      <c r="E278" s="336"/>
      <c r="F278" s="336"/>
      <c r="G278" s="336"/>
      <c r="H278" s="336"/>
      <c r="I278" s="336"/>
      <c r="J278" s="336"/>
      <c r="K278" s="336"/>
      <c r="L278" s="337"/>
      <c r="M278" s="336"/>
      <c r="N278" s="337"/>
      <c r="O278" s="336"/>
      <c r="P278" s="337"/>
      <c r="Q278" s="336"/>
      <c r="R278" s="337"/>
      <c r="S278" s="336"/>
      <c r="T278" s="337"/>
      <c r="U278" s="336"/>
      <c r="V278" s="337"/>
      <c r="W278" s="644"/>
      <c r="X278" s="644"/>
      <c r="Y278" s="336"/>
      <c r="Z278" s="337"/>
      <c r="AA278" s="336"/>
      <c r="AB278" s="336"/>
      <c r="AC278" s="336"/>
      <c r="AD278" s="336"/>
    </row>
    <row r="279" spans="1:30" ht="24" customHeight="1">
      <c r="A279" s="336"/>
      <c r="B279" s="336"/>
      <c r="C279" s="336"/>
      <c r="D279" s="336"/>
      <c r="E279" s="336"/>
      <c r="F279" s="336"/>
      <c r="G279" s="336"/>
      <c r="H279" s="336"/>
      <c r="I279" s="336"/>
      <c r="J279" s="336"/>
      <c r="K279" s="336"/>
      <c r="L279" s="337"/>
      <c r="M279" s="336"/>
      <c r="N279" s="337"/>
      <c r="O279" s="336"/>
      <c r="P279" s="337"/>
      <c r="Q279" s="336"/>
      <c r="R279" s="337"/>
      <c r="S279" s="336"/>
      <c r="T279" s="337"/>
      <c r="U279" s="336"/>
      <c r="V279" s="337"/>
      <c r="W279" s="644"/>
      <c r="X279" s="644"/>
      <c r="Y279" s="336"/>
      <c r="Z279" s="337"/>
      <c r="AA279" s="336"/>
      <c r="AB279" s="336"/>
      <c r="AC279" s="336"/>
      <c r="AD279" s="336"/>
    </row>
    <row r="280" spans="1:30" ht="24" customHeight="1">
      <c r="A280" s="336"/>
      <c r="B280" s="336"/>
      <c r="C280" s="336"/>
      <c r="D280" s="336"/>
      <c r="E280" s="336"/>
      <c r="F280" s="336"/>
      <c r="G280" s="336"/>
      <c r="H280" s="336"/>
      <c r="I280" s="336"/>
      <c r="J280" s="336"/>
      <c r="K280" s="336"/>
      <c r="L280" s="337"/>
      <c r="M280" s="336"/>
      <c r="N280" s="337"/>
      <c r="O280" s="336"/>
      <c r="P280" s="337"/>
      <c r="Q280" s="336"/>
      <c r="R280" s="337"/>
      <c r="S280" s="336"/>
      <c r="T280" s="337"/>
      <c r="U280" s="336"/>
      <c r="V280" s="337"/>
      <c r="W280" s="644"/>
      <c r="X280" s="644"/>
      <c r="Y280" s="336"/>
      <c r="Z280" s="337"/>
      <c r="AA280" s="336"/>
      <c r="AB280" s="336"/>
      <c r="AC280" s="336"/>
      <c r="AD280" s="336"/>
    </row>
    <row r="281" spans="1:30" ht="24" customHeight="1">
      <c r="A281" s="336"/>
      <c r="B281" s="336"/>
      <c r="C281" s="336"/>
      <c r="D281" s="336"/>
      <c r="E281" s="336"/>
      <c r="F281" s="336"/>
      <c r="G281" s="336"/>
      <c r="H281" s="336"/>
      <c r="I281" s="336"/>
      <c r="J281" s="336"/>
      <c r="K281" s="336"/>
      <c r="L281" s="337"/>
      <c r="M281" s="336"/>
      <c r="N281" s="337"/>
      <c r="O281" s="336"/>
      <c r="P281" s="337"/>
      <c r="Q281" s="336"/>
      <c r="R281" s="337"/>
      <c r="S281" s="336"/>
      <c r="T281" s="337"/>
      <c r="U281" s="336"/>
      <c r="V281" s="337"/>
      <c r="W281" s="644"/>
      <c r="X281" s="644"/>
      <c r="Y281" s="336"/>
      <c r="Z281" s="337"/>
      <c r="AA281" s="336"/>
      <c r="AB281" s="336"/>
      <c r="AC281" s="336"/>
      <c r="AD281" s="336"/>
    </row>
    <row r="282" spans="1:30" ht="24" customHeight="1">
      <c r="A282" s="336"/>
      <c r="B282" s="336"/>
      <c r="C282" s="336"/>
      <c r="D282" s="336"/>
      <c r="E282" s="336"/>
      <c r="F282" s="336"/>
      <c r="G282" s="336"/>
      <c r="H282" s="336"/>
      <c r="I282" s="336"/>
      <c r="J282" s="336"/>
      <c r="K282" s="336"/>
      <c r="L282" s="337"/>
      <c r="M282" s="336"/>
      <c r="N282" s="337"/>
      <c r="O282" s="336"/>
      <c r="P282" s="337"/>
      <c r="Q282" s="336"/>
      <c r="R282" s="337"/>
      <c r="S282" s="336"/>
      <c r="T282" s="337"/>
      <c r="U282" s="336"/>
      <c r="V282" s="337"/>
      <c r="W282" s="644"/>
      <c r="X282" s="644"/>
      <c r="Y282" s="336"/>
      <c r="Z282" s="337"/>
      <c r="AA282" s="336"/>
      <c r="AB282" s="336"/>
      <c r="AC282" s="336"/>
      <c r="AD282" s="336"/>
    </row>
    <row r="283" spans="1:30" ht="24" customHeight="1">
      <c r="A283" s="336"/>
      <c r="B283" s="336"/>
      <c r="C283" s="336"/>
      <c r="D283" s="336"/>
      <c r="E283" s="336"/>
      <c r="F283" s="336"/>
      <c r="G283" s="336"/>
      <c r="H283" s="336"/>
      <c r="I283" s="336"/>
      <c r="J283" s="336"/>
      <c r="K283" s="336"/>
      <c r="L283" s="337"/>
      <c r="M283" s="336"/>
      <c r="N283" s="337"/>
      <c r="O283" s="336"/>
      <c r="P283" s="337"/>
      <c r="Q283" s="336"/>
      <c r="R283" s="337"/>
      <c r="S283" s="336"/>
      <c r="T283" s="337"/>
      <c r="U283" s="336"/>
      <c r="V283" s="337"/>
      <c r="W283" s="644"/>
      <c r="X283" s="644"/>
      <c r="Y283" s="336"/>
      <c r="Z283" s="337"/>
      <c r="AA283" s="336"/>
      <c r="AB283" s="336"/>
      <c r="AC283" s="336"/>
      <c r="AD283" s="336"/>
    </row>
    <row r="284" spans="1:30" ht="24" customHeight="1">
      <c r="A284" s="336"/>
      <c r="B284" s="336"/>
      <c r="C284" s="336"/>
      <c r="D284" s="336"/>
      <c r="E284" s="336"/>
      <c r="F284" s="336"/>
      <c r="G284" s="336"/>
      <c r="H284" s="336"/>
      <c r="I284" s="336"/>
      <c r="J284" s="336"/>
      <c r="K284" s="336"/>
      <c r="L284" s="337"/>
      <c r="M284" s="336"/>
      <c r="N284" s="337"/>
      <c r="O284" s="336"/>
      <c r="P284" s="337"/>
      <c r="Q284" s="336"/>
      <c r="R284" s="337"/>
      <c r="S284" s="336"/>
      <c r="T284" s="337"/>
      <c r="U284" s="336"/>
      <c r="V284" s="337"/>
      <c r="W284" s="644"/>
      <c r="X284" s="644"/>
      <c r="Y284" s="336"/>
      <c r="Z284" s="337"/>
      <c r="AA284" s="336"/>
      <c r="AB284" s="336"/>
      <c r="AC284" s="336"/>
      <c r="AD284" s="336"/>
    </row>
    <row r="285" spans="1:30" ht="24" customHeight="1">
      <c r="A285" s="336"/>
      <c r="B285" s="336"/>
      <c r="C285" s="336"/>
      <c r="D285" s="336"/>
      <c r="E285" s="336"/>
      <c r="F285" s="336"/>
      <c r="G285" s="336"/>
      <c r="H285" s="336"/>
      <c r="I285" s="336"/>
      <c r="J285" s="336"/>
      <c r="K285" s="336"/>
      <c r="L285" s="337"/>
      <c r="M285" s="336"/>
      <c r="N285" s="337"/>
      <c r="O285" s="336"/>
      <c r="P285" s="337"/>
      <c r="Q285" s="336"/>
      <c r="R285" s="337"/>
      <c r="S285" s="336"/>
      <c r="T285" s="337"/>
      <c r="U285" s="336"/>
      <c r="V285" s="337"/>
      <c r="W285" s="644"/>
      <c r="X285" s="644"/>
      <c r="Y285" s="336"/>
      <c r="Z285" s="337"/>
      <c r="AA285" s="336"/>
      <c r="AB285" s="336"/>
      <c r="AC285" s="336"/>
      <c r="AD285" s="336"/>
    </row>
    <row r="286" spans="1:30" ht="24" customHeight="1">
      <c r="A286" s="336"/>
      <c r="B286" s="336"/>
      <c r="C286" s="336"/>
      <c r="D286" s="336"/>
      <c r="E286" s="336"/>
      <c r="F286" s="336"/>
      <c r="G286" s="336"/>
      <c r="H286" s="336"/>
      <c r="I286" s="336"/>
      <c r="J286" s="336"/>
      <c r="K286" s="336"/>
      <c r="L286" s="337"/>
      <c r="M286" s="336"/>
      <c r="N286" s="337"/>
      <c r="O286" s="336"/>
      <c r="P286" s="337"/>
      <c r="Q286" s="336"/>
      <c r="R286" s="337"/>
      <c r="S286" s="336"/>
      <c r="T286" s="337"/>
      <c r="U286" s="336"/>
      <c r="V286" s="337"/>
      <c r="W286" s="644"/>
      <c r="X286" s="644"/>
      <c r="Y286" s="336"/>
      <c r="Z286" s="337"/>
      <c r="AA286" s="336"/>
      <c r="AB286" s="336"/>
      <c r="AC286" s="336"/>
      <c r="AD286" s="336"/>
    </row>
    <row r="287" spans="1:30" ht="24" customHeight="1">
      <c r="A287" s="336"/>
      <c r="B287" s="336"/>
      <c r="C287" s="336"/>
      <c r="D287" s="336"/>
      <c r="E287" s="336"/>
      <c r="F287" s="336"/>
      <c r="G287" s="336"/>
      <c r="H287" s="336"/>
      <c r="I287" s="336"/>
      <c r="J287" s="336"/>
      <c r="K287" s="336"/>
      <c r="L287" s="337"/>
      <c r="M287" s="336"/>
      <c r="N287" s="337"/>
      <c r="O287" s="336"/>
      <c r="P287" s="337"/>
      <c r="Q287" s="336"/>
      <c r="R287" s="337"/>
      <c r="S287" s="336"/>
      <c r="T287" s="337"/>
      <c r="U287" s="336"/>
      <c r="V287" s="337"/>
      <c r="W287" s="644"/>
      <c r="X287" s="644"/>
      <c r="Y287" s="336"/>
      <c r="Z287" s="337"/>
      <c r="AA287" s="336"/>
      <c r="AB287" s="336"/>
      <c r="AC287" s="336"/>
      <c r="AD287" s="336"/>
    </row>
    <row r="288" spans="1:30" ht="24" customHeight="1">
      <c r="A288" s="336"/>
      <c r="B288" s="336"/>
      <c r="C288" s="336"/>
      <c r="D288" s="336"/>
      <c r="E288" s="336"/>
      <c r="F288" s="336"/>
      <c r="G288" s="336"/>
      <c r="H288" s="336"/>
      <c r="I288" s="336"/>
      <c r="J288" s="336"/>
      <c r="K288" s="336"/>
      <c r="L288" s="337"/>
      <c r="M288" s="336"/>
      <c r="N288" s="337"/>
      <c r="O288" s="336"/>
      <c r="P288" s="337"/>
      <c r="Q288" s="336"/>
      <c r="R288" s="337"/>
      <c r="S288" s="336"/>
      <c r="T288" s="337"/>
      <c r="U288" s="336"/>
      <c r="V288" s="337"/>
      <c r="W288" s="644"/>
      <c r="X288" s="644"/>
      <c r="Y288" s="336"/>
      <c r="Z288" s="337"/>
      <c r="AA288" s="336"/>
      <c r="AB288" s="336"/>
      <c r="AC288" s="336"/>
      <c r="AD288" s="336"/>
    </row>
    <row r="289" spans="1:30" ht="24" customHeight="1">
      <c r="A289" s="336"/>
      <c r="B289" s="336"/>
      <c r="C289" s="336"/>
      <c r="D289" s="336"/>
      <c r="E289" s="336"/>
      <c r="F289" s="336"/>
      <c r="G289" s="336"/>
      <c r="H289" s="336"/>
      <c r="I289" s="336"/>
      <c r="J289" s="336"/>
      <c r="K289" s="336"/>
      <c r="L289" s="337"/>
      <c r="M289" s="336"/>
      <c r="N289" s="337"/>
      <c r="O289" s="336"/>
      <c r="P289" s="337"/>
      <c r="Q289" s="336"/>
      <c r="R289" s="337"/>
      <c r="S289" s="336"/>
      <c r="T289" s="337"/>
      <c r="U289" s="336"/>
      <c r="V289" s="337"/>
      <c r="W289" s="644"/>
      <c r="X289" s="644"/>
      <c r="Y289" s="336"/>
      <c r="Z289" s="337"/>
      <c r="AA289" s="336"/>
      <c r="AB289" s="336"/>
      <c r="AC289" s="336"/>
      <c r="AD289" s="336"/>
    </row>
    <row r="290" spans="1:30" ht="24" customHeight="1">
      <c r="A290" s="336"/>
      <c r="B290" s="336"/>
      <c r="C290" s="336"/>
      <c r="D290" s="336"/>
      <c r="E290" s="336"/>
      <c r="F290" s="336"/>
      <c r="G290" s="336"/>
      <c r="H290" s="336"/>
      <c r="I290" s="336"/>
      <c r="J290" s="336"/>
      <c r="K290" s="336"/>
      <c r="L290" s="337"/>
      <c r="M290" s="336"/>
      <c r="N290" s="337"/>
      <c r="O290" s="336"/>
      <c r="P290" s="337"/>
      <c r="Q290" s="336"/>
      <c r="R290" s="337"/>
      <c r="S290" s="336"/>
      <c r="T290" s="337"/>
      <c r="U290" s="336"/>
      <c r="V290" s="337"/>
      <c r="W290" s="644"/>
      <c r="X290" s="644"/>
      <c r="Y290" s="336"/>
      <c r="Z290" s="337"/>
      <c r="AA290" s="336"/>
      <c r="AB290" s="336"/>
      <c r="AC290" s="336"/>
      <c r="AD290" s="336"/>
    </row>
    <row r="291" spans="1:30" ht="24" customHeight="1">
      <c r="A291" s="336"/>
      <c r="B291" s="336"/>
      <c r="C291" s="336"/>
      <c r="D291" s="336"/>
      <c r="E291" s="336"/>
      <c r="F291" s="336"/>
      <c r="G291" s="336"/>
      <c r="H291" s="336"/>
      <c r="I291" s="336"/>
      <c r="J291" s="336"/>
      <c r="K291" s="336"/>
      <c r="L291" s="337"/>
      <c r="M291" s="336"/>
      <c r="N291" s="337"/>
      <c r="O291" s="336"/>
      <c r="P291" s="337"/>
      <c r="Q291" s="336"/>
      <c r="R291" s="337"/>
      <c r="S291" s="336"/>
      <c r="T291" s="337"/>
      <c r="U291" s="336"/>
      <c r="V291" s="337"/>
      <c r="W291" s="644"/>
      <c r="X291" s="644"/>
      <c r="Y291" s="336"/>
      <c r="Z291" s="337"/>
      <c r="AA291" s="336"/>
      <c r="AB291" s="336"/>
      <c r="AC291" s="336"/>
      <c r="AD291" s="336"/>
    </row>
    <row r="292" spans="1:30" ht="24" customHeight="1">
      <c r="A292" s="336"/>
      <c r="B292" s="336"/>
      <c r="C292" s="336"/>
      <c r="D292" s="336"/>
      <c r="E292" s="336"/>
      <c r="F292" s="336"/>
      <c r="G292" s="336"/>
      <c r="H292" s="336"/>
      <c r="I292" s="336"/>
      <c r="J292" s="336"/>
      <c r="K292" s="336"/>
      <c r="L292" s="337"/>
      <c r="M292" s="336"/>
      <c r="N292" s="337"/>
      <c r="O292" s="336"/>
      <c r="P292" s="337"/>
      <c r="Q292" s="336"/>
      <c r="R292" s="337"/>
      <c r="S292" s="336"/>
      <c r="T292" s="337"/>
      <c r="U292" s="336"/>
      <c r="V292" s="337"/>
      <c r="W292" s="644"/>
      <c r="X292" s="644"/>
      <c r="Y292" s="336"/>
      <c r="Z292" s="337"/>
      <c r="AA292" s="336"/>
      <c r="AB292" s="336"/>
      <c r="AC292" s="336"/>
      <c r="AD292" s="336"/>
    </row>
    <row r="293" spans="1:30" ht="24" customHeight="1">
      <c r="A293" s="336"/>
      <c r="B293" s="336"/>
      <c r="C293" s="336"/>
      <c r="D293" s="336"/>
      <c r="E293" s="336"/>
      <c r="F293" s="336"/>
      <c r="G293" s="336"/>
      <c r="H293" s="336"/>
      <c r="I293" s="336"/>
      <c r="J293" s="336"/>
      <c r="K293" s="336"/>
      <c r="L293" s="337"/>
      <c r="M293" s="336"/>
      <c r="N293" s="337"/>
      <c r="O293" s="336"/>
      <c r="P293" s="337"/>
      <c r="Q293" s="336"/>
      <c r="R293" s="337"/>
      <c r="S293" s="336"/>
      <c r="T293" s="337"/>
      <c r="U293" s="336"/>
      <c r="V293" s="337"/>
      <c r="W293" s="644"/>
      <c r="X293" s="644"/>
      <c r="Y293" s="336"/>
      <c r="Z293" s="337"/>
      <c r="AA293" s="336"/>
      <c r="AB293" s="336"/>
      <c r="AC293" s="336"/>
      <c r="AD293" s="336"/>
    </row>
    <row r="294" spans="1:30" ht="24" customHeight="1">
      <c r="A294" s="336"/>
      <c r="B294" s="336"/>
      <c r="C294" s="336"/>
      <c r="D294" s="336"/>
      <c r="E294" s="336"/>
      <c r="F294" s="336"/>
      <c r="G294" s="336"/>
      <c r="H294" s="336"/>
      <c r="I294" s="336"/>
      <c r="J294" s="336"/>
      <c r="K294" s="336"/>
      <c r="L294" s="337"/>
      <c r="M294" s="336"/>
      <c r="N294" s="337"/>
      <c r="O294" s="336"/>
      <c r="P294" s="337"/>
      <c r="Q294" s="336"/>
      <c r="R294" s="337"/>
      <c r="S294" s="336"/>
      <c r="T294" s="337"/>
      <c r="U294" s="336"/>
      <c r="V294" s="337"/>
      <c r="W294" s="644"/>
      <c r="X294" s="644"/>
      <c r="Y294" s="336"/>
      <c r="Z294" s="337"/>
      <c r="AA294" s="336"/>
      <c r="AB294" s="336"/>
      <c r="AC294" s="336"/>
      <c r="AD294" s="336"/>
    </row>
    <row r="295" spans="1:30" ht="24" customHeight="1">
      <c r="A295" s="336"/>
      <c r="B295" s="336"/>
      <c r="C295" s="336"/>
      <c r="D295" s="336"/>
      <c r="E295" s="336"/>
      <c r="F295" s="336"/>
      <c r="G295" s="336"/>
      <c r="H295" s="336"/>
      <c r="I295" s="336"/>
      <c r="J295" s="336"/>
      <c r="K295" s="336"/>
      <c r="L295" s="337"/>
      <c r="M295" s="336"/>
      <c r="N295" s="337"/>
      <c r="O295" s="336"/>
      <c r="P295" s="337"/>
      <c r="Q295" s="336"/>
      <c r="R295" s="337"/>
      <c r="S295" s="336"/>
      <c r="T295" s="337"/>
      <c r="U295" s="336"/>
      <c r="V295" s="337"/>
      <c r="W295" s="644"/>
      <c r="X295" s="644"/>
      <c r="Y295" s="336"/>
      <c r="Z295" s="337"/>
      <c r="AA295" s="336"/>
      <c r="AB295" s="336"/>
      <c r="AC295" s="336"/>
      <c r="AD295" s="336"/>
    </row>
    <row r="296" spans="1:30" ht="24" customHeight="1">
      <c r="A296" s="336"/>
      <c r="B296" s="336"/>
      <c r="C296" s="336"/>
      <c r="D296" s="336"/>
      <c r="E296" s="336"/>
      <c r="F296" s="336"/>
      <c r="G296" s="336"/>
      <c r="H296" s="336"/>
      <c r="I296" s="336"/>
      <c r="J296" s="336"/>
      <c r="K296" s="336"/>
      <c r="L296" s="337"/>
      <c r="M296" s="336"/>
      <c r="N296" s="337"/>
      <c r="O296" s="336"/>
      <c r="P296" s="337"/>
      <c r="Q296" s="336"/>
      <c r="R296" s="337"/>
      <c r="S296" s="336"/>
      <c r="T296" s="337"/>
      <c r="U296" s="336"/>
      <c r="V296" s="337"/>
      <c r="W296" s="644"/>
      <c r="X296" s="644"/>
      <c r="Y296" s="336"/>
      <c r="Z296" s="337"/>
      <c r="AA296" s="336"/>
      <c r="AB296" s="336"/>
      <c r="AC296" s="336"/>
      <c r="AD296" s="336"/>
    </row>
    <row r="297" spans="1:30" ht="24" customHeight="1">
      <c r="A297" s="336"/>
      <c r="B297" s="336"/>
      <c r="C297" s="336"/>
      <c r="D297" s="336"/>
      <c r="E297" s="336"/>
      <c r="F297" s="336"/>
      <c r="G297" s="336"/>
      <c r="H297" s="336"/>
      <c r="I297" s="336"/>
      <c r="J297" s="336"/>
      <c r="K297" s="336"/>
      <c r="L297" s="337"/>
      <c r="M297" s="336"/>
      <c r="N297" s="337"/>
      <c r="O297" s="336"/>
      <c r="P297" s="337"/>
      <c r="Q297" s="336"/>
      <c r="R297" s="337"/>
      <c r="S297" s="336"/>
      <c r="T297" s="337"/>
      <c r="U297" s="336"/>
      <c r="V297" s="337"/>
      <c r="W297" s="644"/>
      <c r="X297" s="644"/>
      <c r="Y297" s="336"/>
      <c r="Z297" s="337"/>
      <c r="AA297" s="336"/>
      <c r="AB297" s="336"/>
      <c r="AC297" s="336"/>
      <c r="AD297" s="336"/>
    </row>
    <row r="298" spans="1:30" ht="24" customHeight="1">
      <c r="A298" s="336"/>
      <c r="B298" s="336"/>
      <c r="C298" s="336"/>
      <c r="D298" s="336"/>
      <c r="E298" s="336"/>
      <c r="F298" s="336"/>
      <c r="G298" s="336"/>
      <c r="H298" s="336"/>
      <c r="I298" s="336"/>
      <c r="J298" s="336"/>
      <c r="K298" s="336"/>
      <c r="L298" s="337"/>
      <c r="M298" s="336"/>
      <c r="N298" s="337"/>
      <c r="O298" s="336"/>
      <c r="P298" s="337"/>
      <c r="Q298" s="336"/>
      <c r="R298" s="337"/>
      <c r="S298" s="336"/>
      <c r="T298" s="337"/>
      <c r="U298" s="336"/>
      <c r="V298" s="337"/>
      <c r="W298" s="644"/>
      <c r="X298" s="644"/>
      <c r="Y298" s="336"/>
      <c r="Z298" s="337"/>
      <c r="AA298" s="336"/>
      <c r="AB298" s="336"/>
      <c r="AC298" s="336"/>
      <c r="AD298" s="336"/>
    </row>
    <row r="299" spans="1:30" ht="24" customHeight="1">
      <c r="A299" s="336"/>
      <c r="B299" s="336"/>
      <c r="C299" s="336"/>
      <c r="D299" s="336"/>
      <c r="E299" s="336"/>
      <c r="F299" s="336"/>
      <c r="G299" s="336"/>
      <c r="H299" s="336"/>
      <c r="I299" s="336"/>
      <c r="J299" s="336"/>
      <c r="K299" s="336"/>
      <c r="L299" s="337"/>
      <c r="M299" s="336"/>
      <c r="N299" s="337"/>
      <c r="O299" s="336"/>
      <c r="P299" s="337"/>
      <c r="Q299" s="336"/>
      <c r="R299" s="337"/>
      <c r="S299" s="336"/>
      <c r="T299" s="337"/>
      <c r="U299" s="336"/>
      <c r="V299" s="337"/>
      <c r="W299" s="644"/>
      <c r="X299" s="644"/>
      <c r="Y299" s="336"/>
      <c r="Z299" s="337"/>
      <c r="AA299" s="336"/>
      <c r="AB299" s="336"/>
      <c r="AC299" s="336"/>
      <c r="AD299" s="336"/>
    </row>
    <row r="300" spans="1:30" ht="24" customHeight="1">
      <c r="A300" s="336"/>
      <c r="B300" s="336"/>
      <c r="C300" s="336"/>
      <c r="D300" s="336"/>
      <c r="E300" s="336"/>
      <c r="F300" s="336"/>
      <c r="G300" s="336"/>
      <c r="H300" s="336"/>
      <c r="I300" s="336"/>
      <c r="J300" s="336"/>
      <c r="K300" s="336"/>
      <c r="L300" s="337"/>
      <c r="M300" s="336"/>
      <c r="N300" s="337"/>
      <c r="O300" s="336"/>
      <c r="P300" s="337"/>
      <c r="Q300" s="336"/>
      <c r="R300" s="337"/>
      <c r="S300" s="336"/>
      <c r="T300" s="337"/>
      <c r="U300" s="336"/>
      <c r="V300" s="337"/>
      <c r="W300" s="644"/>
      <c r="X300" s="644"/>
      <c r="Y300" s="336"/>
      <c r="Z300" s="337"/>
      <c r="AA300" s="336"/>
      <c r="AB300" s="336"/>
      <c r="AC300" s="336"/>
      <c r="AD300" s="336"/>
    </row>
    <row r="301" spans="1:30" ht="24" customHeight="1">
      <c r="A301" s="336"/>
      <c r="B301" s="336"/>
      <c r="C301" s="336"/>
      <c r="D301" s="336"/>
      <c r="E301" s="336"/>
      <c r="F301" s="336"/>
      <c r="G301" s="336"/>
      <c r="H301" s="336"/>
      <c r="I301" s="336"/>
      <c r="J301" s="336"/>
      <c r="K301" s="336"/>
      <c r="L301" s="337"/>
      <c r="M301" s="336"/>
      <c r="N301" s="337"/>
      <c r="O301" s="336"/>
      <c r="P301" s="337"/>
      <c r="Q301" s="336"/>
      <c r="R301" s="337"/>
      <c r="S301" s="336"/>
      <c r="T301" s="337"/>
      <c r="U301" s="336"/>
      <c r="V301" s="337"/>
      <c r="W301" s="644"/>
      <c r="X301" s="644"/>
      <c r="Y301" s="336"/>
      <c r="Z301" s="337"/>
      <c r="AA301" s="336"/>
      <c r="AB301" s="336"/>
      <c r="AC301" s="336"/>
      <c r="AD301" s="336"/>
    </row>
    <row r="302" spans="1:30" ht="24" customHeight="1">
      <c r="A302" s="336"/>
      <c r="B302" s="336"/>
      <c r="C302" s="336"/>
      <c r="D302" s="336"/>
      <c r="E302" s="336"/>
      <c r="F302" s="336"/>
      <c r="G302" s="336"/>
      <c r="H302" s="336"/>
      <c r="I302" s="336"/>
      <c r="J302" s="336"/>
      <c r="K302" s="336"/>
      <c r="L302" s="337"/>
      <c r="M302" s="336"/>
      <c r="N302" s="337"/>
      <c r="O302" s="336"/>
      <c r="P302" s="337"/>
      <c r="Q302" s="336"/>
      <c r="R302" s="337"/>
      <c r="S302" s="336"/>
      <c r="T302" s="337"/>
      <c r="U302" s="336"/>
      <c r="V302" s="337"/>
      <c r="W302" s="644"/>
      <c r="X302" s="644"/>
      <c r="Y302" s="336"/>
      <c r="Z302" s="337"/>
      <c r="AA302" s="336"/>
      <c r="AB302" s="336"/>
      <c r="AC302" s="336"/>
      <c r="AD302" s="336"/>
    </row>
    <row r="303" spans="1:30" ht="24" customHeight="1">
      <c r="A303" s="336"/>
      <c r="B303" s="336"/>
      <c r="C303" s="336"/>
      <c r="D303" s="336"/>
      <c r="E303" s="336"/>
      <c r="F303" s="336"/>
      <c r="G303" s="336"/>
      <c r="H303" s="336"/>
      <c r="I303" s="336"/>
      <c r="J303" s="336"/>
      <c r="K303" s="336"/>
      <c r="L303" s="337"/>
      <c r="M303" s="336"/>
      <c r="N303" s="337"/>
      <c r="O303" s="336"/>
      <c r="P303" s="337"/>
      <c r="Q303" s="336"/>
      <c r="R303" s="337"/>
      <c r="S303" s="336"/>
      <c r="T303" s="337"/>
      <c r="U303" s="336"/>
      <c r="V303" s="337"/>
      <c r="W303" s="644"/>
      <c r="X303" s="644"/>
      <c r="Y303" s="336"/>
      <c r="Z303" s="337"/>
      <c r="AA303" s="336"/>
      <c r="AB303" s="336"/>
      <c r="AC303" s="336"/>
      <c r="AD303" s="336"/>
    </row>
    <row r="304" spans="1:30" ht="24" customHeight="1">
      <c r="A304" s="336"/>
      <c r="B304" s="336"/>
      <c r="C304" s="336"/>
      <c r="D304" s="336"/>
      <c r="E304" s="336"/>
      <c r="F304" s="336"/>
      <c r="G304" s="336"/>
      <c r="H304" s="336"/>
      <c r="I304" s="336"/>
      <c r="J304" s="336"/>
      <c r="K304" s="336"/>
      <c r="L304" s="337"/>
      <c r="M304" s="336"/>
      <c r="N304" s="337"/>
      <c r="O304" s="336"/>
      <c r="P304" s="337"/>
      <c r="Q304" s="336"/>
      <c r="R304" s="337"/>
      <c r="S304" s="336"/>
      <c r="T304" s="337"/>
      <c r="U304" s="336"/>
      <c r="V304" s="337"/>
      <c r="W304" s="644"/>
      <c r="X304" s="644"/>
      <c r="Y304" s="336"/>
      <c r="Z304" s="337"/>
      <c r="AA304" s="336"/>
      <c r="AB304" s="336"/>
      <c r="AC304" s="336"/>
      <c r="AD304" s="336"/>
    </row>
    <row r="305" spans="1:30" ht="24" customHeight="1">
      <c r="A305" s="336"/>
      <c r="B305" s="336"/>
      <c r="C305" s="336"/>
      <c r="D305" s="336"/>
      <c r="E305" s="336"/>
      <c r="F305" s="336"/>
      <c r="G305" s="336"/>
      <c r="H305" s="336"/>
      <c r="I305" s="336"/>
      <c r="J305" s="336"/>
      <c r="K305" s="336"/>
      <c r="L305" s="337"/>
      <c r="M305" s="336"/>
      <c r="N305" s="337"/>
      <c r="O305" s="336"/>
      <c r="P305" s="337"/>
      <c r="Q305" s="336"/>
      <c r="R305" s="337"/>
      <c r="S305" s="336"/>
      <c r="T305" s="337"/>
      <c r="U305" s="336"/>
      <c r="V305" s="337"/>
      <c r="W305" s="644"/>
      <c r="X305" s="644"/>
      <c r="Y305" s="336"/>
      <c r="Z305" s="337"/>
      <c r="AA305" s="336"/>
      <c r="AB305" s="336"/>
      <c r="AC305" s="336"/>
      <c r="AD305" s="336"/>
    </row>
    <row r="306" spans="1:30" ht="24" customHeight="1">
      <c r="A306" s="336"/>
      <c r="B306" s="336"/>
      <c r="C306" s="336"/>
      <c r="D306" s="336"/>
      <c r="E306" s="336"/>
      <c r="F306" s="336"/>
      <c r="G306" s="336"/>
      <c r="H306" s="336"/>
      <c r="I306" s="336"/>
      <c r="J306" s="336"/>
      <c r="K306" s="336"/>
      <c r="L306" s="337"/>
      <c r="M306" s="336"/>
      <c r="N306" s="337"/>
      <c r="O306" s="336"/>
      <c r="P306" s="337"/>
      <c r="Q306" s="336"/>
      <c r="R306" s="337"/>
      <c r="S306" s="336"/>
      <c r="T306" s="337"/>
      <c r="U306" s="336"/>
      <c r="V306" s="337"/>
      <c r="W306" s="644"/>
      <c r="X306" s="644"/>
      <c r="Y306" s="336"/>
      <c r="Z306" s="337"/>
      <c r="AA306" s="336"/>
      <c r="AB306" s="336"/>
      <c r="AC306" s="336"/>
      <c r="AD306" s="336"/>
    </row>
    <row r="307" spans="1:30" ht="24" customHeight="1">
      <c r="A307" s="336"/>
      <c r="B307" s="336"/>
      <c r="C307" s="336"/>
      <c r="D307" s="336"/>
      <c r="E307" s="336"/>
      <c r="F307" s="336"/>
      <c r="G307" s="336"/>
      <c r="H307" s="336"/>
      <c r="I307" s="336"/>
      <c r="J307" s="336"/>
      <c r="K307" s="336"/>
      <c r="L307" s="337"/>
      <c r="M307" s="336"/>
      <c r="N307" s="337"/>
      <c r="O307" s="336"/>
      <c r="P307" s="337"/>
      <c r="Q307" s="336"/>
      <c r="R307" s="337"/>
      <c r="S307" s="336"/>
      <c r="T307" s="337"/>
      <c r="U307" s="336"/>
      <c r="V307" s="337"/>
      <c r="W307" s="644"/>
      <c r="X307" s="644"/>
      <c r="Y307" s="336"/>
      <c r="Z307" s="337"/>
      <c r="AA307" s="336"/>
      <c r="AB307" s="336"/>
      <c r="AC307" s="336"/>
      <c r="AD307" s="336"/>
    </row>
    <row r="308" spans="1:30" ht="24" customHeight="1">
      <c r="A308" s="336"/>
      <c r="B308" s="336"/>
      <c r="C308" s="336"/>
      <c r="D308" s="336"/>
      <c r="E308" s="336"/>
      <c r="F308" s="336"/>
      <c r="G308" s="336"/>
      <c r="H308" s="336"/>
      <c r="I308" s="336"/>
      <c r="J308" s="336"/>
      <c r="K308" s="336"/>
      <c r="L308" s="337"/>
      <c r="M308" s="336"/>
      <c r="N308" s="337"/>
      <c r="O308" s="336"/>
      <c r="P308" s="337"/>
      <c r="Q308" s="336"/>
      <c r="R308" s="337"/>
      <c r="S308" s="336"/>
      <c r="T308" s="337"/>
      <c r="U308" s="336"/>
      <c r="V308" s="337"/>
      <c r="W308" s="644"/>
      <c r="X308" s="644"/>
      <c r="Y308" s="336"/>
      <c r="Z308" s="337"/>
      <c r="AA308" s="336"/>
      <c r="AB308" s="336"/>
      <c r="AC308" s="336"/>
      <c r="AD308" s="336"/>
    </row>
    <row r="309" spans="1:30" ht="24" customHeight="1">
      <c r="A309" s="336"/>
      <c r="B309" s="336"/>
      <c r="C309" s="336"/>
      <c r="D309" s="336"/>
      <c r="E309" s="336"/>
      <c r="F309" s="336"/>
      <c r="G309" s="336"/>
      <c r="H309" s="336"/>
      <c r="I309" s="336"/>
      <c r="J309" s="336"/>
      <c r="K309" s="336"/>
      <c r="L309" s="337"/>
      <c r="M309" s="336"/>
      <c r="N309" s="337"/>
      <c r="O309" s="336"/>
      <c r="P309" s="337"/>
      <c r="Q309" s="336"/>
      <c r="R309" s="337"/>
      <c r="S309" s="336"/>
      <c r="T309" s="337"/>
      <c r="U309" s="336"/>
      <c r="V309" s="337"/>
      <c r="W309" s="644"/>
      <c r="X309" s="644"/>
      <c r="Y309" s="336"/>
      <c r="Z309" s="337"/>
      <c r="AA309" s="336"/>
      <c r="AB309" s="336"/>
      <c r="AC309" s="336"/>
      <c r="AD309" s="336"/>
    </row>
    <row r="310" spans="1:30" ht="24" customHeight="1">
      <c r="A310" s="336"/>
      <c r="B310" s="336"/>
      <c r="C310" s="336"/>
      <c r="D310" s="336"/>
      <c r="E310" s="336"/>
      <c r="F310" s="336"/>
      <c r="G310" s="336"/>
      <c r="H310" s="336"/>
      <c r="I310" s="336"/>
      <c r="J310" s="336"/>
      <c r="K310" s="336"/>
      <c r="L310" s="337"/>
      <c r="M310" s="336"/>
      <c r="N310" s="337"/>
      <c r="O310" s="336"/>
      <c r="P310" s="337"/>
      <c r="Q310" s="336"/>
      <c r="R310" s="337"/>
      <c r="S310" s="336"/>
      <c r="T310" s="337"/>
      <c r="U310" s="336"/>
      <c r="V310" s="337"/>
      <c r="W310" s="644"/>
      <c r="X310" s="644"/>
      <c r="Y310" s="336"/>
      <c r="Z310" s="337"/>
      <c r="AA310" s="336"/>
      <c r="AB310" s="336"/>
      <c r="AC310" s="336"/>
      <c r="AD310" s="336"/>
    </row>
    <row r="311" spans="1:30" ht="24" customHeight="1">
      <c r="A311" s="336"/>
      <c r="B311" s="336"/>
      <c r="C311" s="336"/>
      <c r="D311" s="336"/>
      <c r="E311" s="336"/>
      <c r="F311" s="336"/>
      <c r="G311" s="336"/>
      <c r="H311" s="336"/>
      <c r="I311" s="336"/>
      <c r="J311" s="336"/>
      <c r="K311" s="336"/>
      <c r="L311" s="337"/>
      <c r="M311" s="336"/>
      <c r="N311" s="337"/>
      <c r="O311" s="336"/>
      <c r="P311" s="337"/>
      <c r="Q311" s="336"/>
      <c r="R311" s="337"/>
      <c r="S311" s="336"/>
      <c r="T311" s="337"/>
      <c r="U311" s="336"/>
      <c r="V311" s="337"/>
      <c r="W311" s="644"/>
      <c r="X311" s="644"/>
      <c r="Y311" s="336"/>
      <c r="Z311" s="337"/>
      <c r="AA311" s="336"/>
      <c r="AB311" s="336"/>
      <c r="AC311" s="336"/>
      <c r="AD311" s="336"/>
    </row>
    <row r="312" spans="1:30" ht="24" customHeight="1">
      <c r="A312" s="336"/>
      <c r="B312" s="336"/>
      <c r="C312" s="336"/>
      <c r="D312" s="336"/>
      <c r="E312" s="336"/>
      <c r="F312" s="336"/>
      <c r="G312" s="336"/>
      <c r="H312" s="336"/>
      <c r="I312" s="336"/>
      <c r="J312" s="336"/>
      <c r="K312" s="336"/>
      <c r="L312" s="337"/>
      <c r="M312" s="336"/>
      <c r="N312" s="337"/>
      <c r="O312" s="336"/>
      <c r="P312" s="337"/>
      <c r="Q312" s="336"/>
      <c r="R312" s="337"/>
      <c r="S312" s="336"/>
      <c r="T312" s="337"/>
      <c r="U312" s="336"/>
      <c r="V312" s="337"/>
      <c r="W312" s="644"/>
      <c r="X312" s="644"/>
      <c r="Y312" s="336"/>
      <c r="Z312" s="337"/>
      <c r="AA312" s="336"/>
      <c r="AB312" s="336"/>
      <c r="AC312" s="336"/>
      <c r="AD312" s="336"/>
    </row>
    <row r="313" spans="1:30" ht="24" customHeight="1">
      <c r="A313" s="336"/>
      <c r="B313" s="336"/>
      <c r="C313" s="336"/>
      <c r="D313" s="336"/>
      <c r="E313" s="336"/>
      <c r="F313" s="336"/>
      <c r="G313" s="336"/>
      <c r="H313" s="336"/>
      <c r="I313" s="336"/>
      <c r="J313" s="336"/>
      <c r="K313" s="336"/>
      <c r="L313" s="337"/>
      <c r="M313" s="336"/>
      <c r="N313" s="337"/>
      <c r="O313" s="336"/>
      <c r="P313" s="337"/>
      <c r="Q313" s="336"/>
      <c r="R313" s="337"/>
      <c r="S313" s="336"/>
      <c r="T313" s="337"/>
      <c r="U313" s="336"/>
      <c r="V313" s="337"/>
      <c r="W313" s="644"/>
      <c r="X313" s="644"/>
      <c r="Y313" s="336"/>
      <c r="Z313" s="337"/>
      <c r="AA313" s="336"/>
      <c r="AB313" s="336"/>
      <c r="AC313" s="336"/>
      <c r="AD313" s="336"/>
    </row>
    <row r="314" spans="1:30" ht="24" customHeight="1">
      <c r="A314" s="336"/>
      <c r="B314" s="336"/>
      <c r="C314" s="336"/>
      <c r="D314" s="336"/>
      <c r="E314" s="336"/>
      <c r="F314" s="336"/>
      <c r="G314" s="336"/>
      <c r="H314" s="336"/>
      <c r="I314" s="336"/>
      <c r="J314" s="336"/>
      <c r="K314" s="336"/>
      <c r="L314" s="337"/>
      <c r="M314" s="336"/>
      <c r="N314" s="337"/>
      <c r="O314" s="336"/>
      <c r="P314" s="337"/>
      <c r="Q314" s="336"/>
      <c r="R314" s="337"/>
      <c r="S314" s="336"/>
      <c r="T314" s="337"/>
      <c r="U314" s="336"/>
      <c r="V314" s="337"/>
      <c r="W314" s="644"/>
      <c r="X314" s="644"/>
      <c r="Y314" s="336"/>
      <c r="Z314" s="337"/>
      <c r="AA314" s="336"/>
      <c r="AB314" s="336"/>
      <c r="AC314" s="336"/>
      <c r="AD314" s="336"/>
    </row>
    <row r="315" spans="1:30" ht="15.75" customHeight="1">
      <c r="A315" s="339"/>
      <c r="B315" s="339"/>
      <c r="C315" s="339"/>
      <c r="D315" s="339"/>
      <c r="E315" s="339"/>
      <c r="F315" s="339"/>
      <c r="G315" s="339"/>
      <c r="H315" s="339"/>
      <c r="I315" s="339"/>
      <c r="J315" s="339"/>
      <c r="K315" s="339"/>
      <c r="L315" s="340"/>
      <c r="M315" s="339"/>
      <c r="N315" s="340"/>
      <c r="O315" s="339"/>
      <c r="P315" s="340"/>
      <c r="Q315" s="339"/>
      <c r="R315" s="340"/>
      <c r="S315" s="339"/>
      <c r="T315" s="340"/>
      <c r="U315" s="339"/>
      <c r="V315" s="340"/>
      <c r="W315" s="339"/>
      <c r="X315" s="339"/>
      <c r="Y315" s="339"/>
      <c r="Z315" s="340"/>
      <c r="AA315" s="339"/>
      <c r="AB315" s="339"/>
      <c r="AC315" s="339"/>
      <c r="AD315" s="339"/>
    </row>
    <row r="316" spans="1:30" ht="15.75" customHeight="1">
      <c r="A316" s="339"/>
      <c r="B316" s="339"/>
      <c r="C316" s="339"/>
      <c r="D316" s="339"/>
      <c r="E316" s="339"/>
      <c r="F316" s="339"/>
      <c r="G316" s="339"/>
      <c r="H316" s="339"/>
      <c r="I316" s="339"/>
      <c r="J316" s="339"/>
      <c r="K316" s="339"/>
      <c r="L316" s="340"/>
      <c r="M316" s="339"/>
      <c r="N316" s="340"/>
      <c r="O316" s="339"/>
      <c r="P316" s="340"/>
      <c r="Q316" s="339"/>
      <c r="R316" s="340"/>
      <c r="S316" s="339"/>
      <c r="T316" s="340"/>
      <c r="U316" s="339"/>
      <c r="V316" s="340"/>
      <c r="W316" s="339"/>
      <c r="X316" s="339"/>
      <c r="Y316" s="339"/>
      <c r="Z316" s="340"/>
      <c r="AA316" s="339"/>
      <c r="AB316" s="339"/>
      <c r="AC316" s="339"/>
      <c r="AD316" s="339"/>
    </row>
    <row r="317" spans="1:30" ht="15.75" customHeight="1">
      <c r="A317" s="339"/>
      <c r="B317" s="339"/>
      <c r="C317" s="339"/>
      <c r="D317" s="339"/>
      <c r="E317" s="339"/>
      <c r="F317" s="339"/>
      <c r="G317" s="339"/>
      <c r="H317" s="339"/>
      <c r="I317" s="339"/>
      <c r="J317" s="339"/>
      <c r="K317" s="339"/>
      <c r="L317" s="340"/>
      <c r="M317" s="339"/>
      <c r="N317" s="340"/>
      <c r="O317" s="339"/>
      <c r="P317" s="340"/>
      <c r="Q317" s="339"/>
      <c r="R317" s="340"/>
      <c r="S317" s="339"/>
      <c r="T317" s="340"/>
      <c r="U317" s="339"/>
      <c r="V317" s="340"/>
      <c r="W317" s="339"/>
      <c r="X317" s="339"/>
      <c r="Y317" s="339"/>
      <c r="Z317" s="340"/>
      <c r="AA317" s="339"/>
      <c r="AB317" s="339"/>
      <c r="AC317" s="339"/>
      <c r="AD317" s="339"/>
    </row>
    <row r="318" spans="1:30" ht="15.75" customHeight="1">
      <c r="A318" s="339"/>
      <c r="B318" s="339"/>
      <c r="C318" s="339"/>
      <c r="D318" s="339"/>
      <c r="E318" s="339"/>
      <c r="F318" s="339"/>
      <c r="G318" s="339"/>
      <c r="H318" s="339"/>
      <c r="I318" s="339"/>
      <c r="J318" s="339"/>
      <c r="K318" s="339"/>
      <c r="L318" s="340"/>
      <c r="M318" s="339"/>
      <c r="N318" s="340"/>
      <c r="O318" s="339"/>
      <c r="P318" s="340"/>
      <c r="Q318" s="339"/>
      <c r="R318" s="340"/>
      <c r="S318" s="339"/>
      <c r="T318" s="340"/>
      <c r="U318" s="339"/>
      <c r="V318" s="340"/>
      <c r="W318" s="339"/>
      <c r="X318" s="339"/>
      <c r="Y318" s="339"/>
      <c r="Z318" s="340"/>
      <c r="AA318" s="339"/>
      <c r="AB318" s="339"/>
      <c r="AC318" s="339"/>
      <c r="AD318" s="339"/>
    </row>
    <row r="319" spans="1:30" ht="15.75" customHeight="1">
      <c r="A319" s="339"/>
      <c r="B319" s="339"/>
      <c r="C319" s="339"/>
      <c r="D319" s="339"/>
      <c r="E319" s="339"/>
      <c r="F319" s="339"/>
      <c r="G319" s="339"/>
      <c r="H319" s="339"/>
      <c r="I319" s="339"/>
      <c r="J319" s="339"/>
      <c r="K319" s="339"/>
      <c r="L319" s="340"/>
      <c r="M319" s="339"/>
      <c r="N319" s="340"/>
      <c r="O319" s="339"/>
      <c r="P319" s="340"/>
      <c r="Q319" s="339"/>
      <c r="R319" s="340"/>
      <c r="S319" s="339"/>
      <c r="T319" s="340"/>
      <c r="U319" s="339"/>
      <c r="V319" s="340"/>
      <c r="W319" s="339"/>
      <c r="X319" s="339"/>
      <c r="Y319" s="339"/>
      <c r="Z319" s="340"/>
      <c r="AA319" s="339"/>
      <c r="AB319" s="339"/>
      <c r="AC319" s="339"/>
      <c r="AD319" s="339"/>
    </row>
    <row r="320" spans="1:30" ht="15.75" customHeight="1">
      <c r="A320" s="339"/>
      <c r="B320" s="339"/>
      <c r="C320" s="339"/>
      <c r="D320" s="339"/>
      <c r="E320" s="339"/>
      <c r="F320" s="339"/>
      <c r="G320" s="339"/>
      <c r="H320" s="339"/>
      <c r="I320" s="339"/>
      <c r="J320" s="339"/>
      <c r="K320" s="339"/>
      <c r="L320" s="340"/>
      <c r="M320" s="339"/>
      <c r="N320" s="340"/>
      <c r="O320" s="339"/>
      <c r="P320" s="340"/>
      <c r="Q320" s="339"/>
      <c r="R320" s="340"/>
      <c r="S320" s="339"/>
      <c r="T320" s="340"/>
      <c r="U320" s="339"/>
      <c r="V320" s="340"/>
      <c r="W320" s="339"/>
      <c r="X320" s="339"/>
      <c r="Y320" s="339"/>
      <c r="Z320" s="340"/>
      <c r="AA320" s="339"/>
      <c r="AB320" s="339"/>
      <c r="AC320" s="339"/>
      <c r="AD320" s="339"/>
    </row>
    <row r="321" spans="1:30" ht="15.75" customHeight="1">
      <c r="A321" s="339"/>
      <c r="B321" s="339"/>
      <c r="C321" s="339"/>
      <c r="D321" s="339"/>
      <c r="E321" s="339"/>
      <c r="F321" s="339"/>
      <c r="G321" s="339"/>
      <c r="H321" s="339"/>
      <c r="I321" s="339"/>
      <c r="J321" s="339"/>
      <c r="K321" s="339"/>
      <c r="L321" s="340"/>
      <c r="M321" s="339"/>
      <c r="N321" s="340"/>
      <c r="O321" s="339"/>
      <c r="P321" s="340"/>
      <c r="Q321" s="339"/>
      <c r="R321" s="340"/>
      <c r="S321" s="339"/>
      <c r="T321" s="340"/>
      <c r="U321" s="339"/>
      <c r="V321" s="340"/>
      <c r="W321" s="339"/>
      <c r="X321" s="339"/>
      <c r="Y321" s="339"/>
      <c r="Z321" s="340"/>
      <c r="AA321" s="339"/>
      <c r="AB321" s="339"/>
      <c r="AC321" s="339"/>
      <c r="AD321" s="339"/>
    </row>
    <row r="322" spans="1:30" ht="15.75" customHeight="1">
      <c r="A322" s="339"/>
      <c r="B322" s="339"/>
      <c r="C322" s="339"/>
      <c r="D322" s="339"/>
      <c r="E322" s="339"/>
      <c r="F322" s="339"/>
      <c r="G322" s="339"/>
      <c r="H322" s="339"/>
      <c r="I322" s="339"/>
      <c r="J322" s="339"/>
      <c r="K322" s="339"/>
      <c r="L322" s="340"/>
      <c r="M322" s="339"/>
      <c r="N322" s="340"/>
      <c r="O322" s="339"/>
      <c r="P322" s="340"/>
      <c r="Q322" s="339"/>
      <c r="R322" s="340"/>
      <c r="S322" s="339"/>
      <c r="T322" s="340"/>
      <c r="U322" s="339"/>
      <c r="V322" s="340"/>
      <c r="W322" s="339"/>
      <c r="X322" s="339"/>
      <c r="Y322" s="339"/>
      <c r="Z322" s="340"/>
      <c r="AA322" s="339"/>
      <c r="AB322" s="339"/>
      <c r="AC322" s="339"/>
      <c r="AD322" s="339"/>
    </row>
    <row r="323" spans="1:30" ht="15.75" customHeight="1">
      <c r="A323" s="339"/>
      <c r="B323" s="339"/>
      <c r="C323" s="339"/>
      <c r="D323" s="339"/>
      <c r="E323" s="339"/>
      <c r="F323" s="339"/>
      <c r="G323" s="339"/>
      <c r="H323" s="339"/>
      <c r="I323" s="339"/>
      <c r="J323" s="339"/>
      <c r="K323" s="339"/>
      <c r="L323" s="340"/>
      <c r="M323" s="339"/>
      <c r="N323" s="340"/>
      <c r="O323" s="339"/>
      <c r="P323" s="340"/>
      <c r="Q323" s="339"/>
      <c r="R323" s="340"/>
      <c r="S323" s="339"/>
      <c r="T323" s="340"/>
      <c r="U323" s="339"/>
      <c r="V323" s="340"/>
      <c r="W323" s="339"/>
      <c r="X323" s="339"/>
      <c r="Y323" s="339"/>
      <c r="Z323" s="340"/>
      <c r="AA323" s="339"/>
      <c r="AB323" s="339"/>
      <c r="AC323" s="339"/>
      <c r="AD323" s="339"/>
    </row>
    <row r="324" spans="1:30" ht="15.75" customHeight="1">
      <c r="A324" s="339"/>
      <c r="B324" s="339"/>
      <c r="C324" s="339"/>
      <c r="D324" s="339"/>
      <c r="E324" s="339"/>
      <c r="F324" s="339"/>
      <c r="G324" s="339"/>
      <c r="H324" s="339"/>
      <c r="I324" s="339"/>
      <c r="J324" s="339"/>
      <c r="K324" s="339"/>
      <c r="L324" s="340"/>
      <c r="M324" s="339"/>
      <c r="N324" s="340"/>
      <c r="O324" s="339"/>
      <c r="P324" s="340"/>
      <c r="Q324" s="339"/>
      <c r="R324" s="340"/>
      <c r="S324" s="339"/>
      <c r="T324" s="340"/>
      <c r="U324" s="339"/>
      <c r="V324" s="340"/>
      <c r="W324" s="339"/>
      <c r="X324" s="339"/>
      <c r="Y324" s="339"/>
      <c r="Z324" s="340"/>
      <c r="AA324" s="339"/>
      <c r="AB324" s="339"/>
      <c r="AC324" s="339"/>
      <c r="AD324" s="339"/>
    </row>
    <row r="325" spans="1:30" ht="15.75" customHeight="1">
      <c r="A325" s="339"/>
      <c r="B325" s="339"/>
      <c r="C325" s="339"/>
      <c r="D325" s="339"/>
      <c r="E325" s="339"/>
      <c r="F325" s="339"/>
      <c r="G325" s="339"/>
      <c r="H325" s="339"/>
      <c r="I325" s="339"/>
      <c r="J325" s="339"/>
      <c r="K325" s="339"/>
      <c r="L325" s="340"/>
      <c r="M325" s="339"/>
      <c r="N325" s="340"/>
      <c r="O325" s="339"/>
      <c r="P325" s="340"/>
      <c r="Q325" s="339"/>
      <c r="R325" s="340"/>
      <c r="S325" s="339"/>
      <c r="T325" s="340"/>
      <c r="U325" s="339"/>
      <c r="V325" s="340"/>
      <c r="W325" s="339"/>
      <c r="X325" s="339"/>
      <c r="Y325" s="339"/>
      <c r="Z325" s="340"/>
      <c r="AA325" s="339"/>
      <c r="AB325" s="339"/>
      <c r="AC325" s="339"/>
      <c r="AD325" s="339"/>
    </row>
    <row r="326" spans="1:30" ht="15.75" customHeight="1">
      <c r="A326" s="339"/>
      <c r="B326" s="339"/>
      <c r="C326" s="339"/>
      <c r="D326" s="339"/>
      <c r="E326" s="339"/>
      <c r="F326" s="339"/>
      <c r="G326" s="339"/>
      <c r="H326" s="339"/>
      <c r="I326" s="339"/>
      <c r="J326" s="339"/>
      <c r="K326" s="339"/>
      <c r="L326" s="340"/>
      <c r="M326" s="339"/>
      <c r="N326" s="340"/>
      <c r="O326" s="339"/>
      <c r="P326" s="340"/>
      <c r="Q326" s="339"/>
      <c r="R326" s="340"/>
      <c r="S326" s="339"/>
      <c r="T326" s="340"/>
      <c r="U326" s="339"/>
      <c r="V326" s="340"/>
      <c r="W326" s="339"/>
      <c r="X326" s="339"/>
      <c r="Y326" s="339"/>
      <c r="Z326" s="340"/>
      <c r="AA326" s="339"/>
      <c r="AB326" s="339"/>
      <c r="AC326" s="339"/>
      <c r="AD326" s="339"/>
    </row>
    <row r="327" spans="1:30" ht="15.75" customHeight="1">
      <c r="A327" s="339"/>
      <c r="B327" s="339"/>
      <c r="C327" s="339"/>
      <c r="D327" s="339"/>
      <c r="E327" s="339"/>
      <c r="F327" s="339"/>
      <c r="G327" s="339"/>
      <c r="H327" s="339"/>
      <c r="I327" s="339"/>
      <c r="J327" s="339"/>
      <c r="K327" s="339"/>
      <c r="L327" s="340"/>
      <c r="M327" s="339"/>
      <c r="N327" s="340"/>
      <c r="O327" s="339"/>
      <c r="P327" s="340"/>
      <c r="Q327" s="339"/>
      <c r="R327" s="340"/>
      <c r="S327" s="339"/>
      <c r="T327" s="340"/>
      <c r="U327" s="339"/>
      <c r="V327" s="340"/>
      <c r="W327" s="339"/>
      <c r="X327" s="339"/>
      <c r="Y327" s="339"/>
      <c r="Z327" s="340"/>
      <c r="AA327" s="339"/>
      <c r="AB327" s="339"/>
      <c r="AC327" s="339"/>
      <c r="AD327" s="339"/>
    </row>
    <row r="328" spans="1:30" ht="15.75" customHeight="1">
      <c r="A328" s="339"/>
      <c r="B328" s="339"/>
      <c r="C328" s="339"/>
      <c r="D328" s="339"/>
      <c r="E328" s="339"/>
      <c r="F328" s="339"/>
      <c r="G328" s="339"/>
      <c r="H328" s="339"/>
      <c r="I328" s="339"/>
      <c r="J328" s="339"/>
      <c r="K328" s="339"/>
      <c r="L328" s="340"/>
      <c r="M328" s="339"/>
      <c r="N328" s="340"/>
      <c r="O328" s="339"/>
      <c r="P328" s="340"/>
      <c r="Q328" s="339"/>
      <c r="R328" s="340"/>
      <c r="S328" s="339"/>
      <c r="T328" s="340"/>
      <c r="U328" s="339"/>
      <c r="V328" s="340"/>
      <c r="W328" s="339"/>
      <c r="X328" s="339"/>
      <c r="Y328" s="339"/>
      <c r="Z328" s="340"/>
      <c r="AA328" s="339"/>
      <c r="AB328" s="339"/>
      <c r="AC328" s="339"/>
      <c r="AD328" s="339"/>
    </row>
    <row r="329" spans="1:30" ht="15.75" customHeight="1">
      <c r="A329" s="339"/>
      <c r="B329" s="339"/>
      <c r="C329" s="339"/>
      <c r="D329" s="339"/>
      <c r="E329" s="339"/>
      <c r="F329" s="339"/>
      <c r="G329" s="339"/>
      <c r="H329" s="339"/>
      <c r="I329" s="339"/>
      <c r="J329" s="339"/>
      <c r="K329" s="339"/>
      <c r="L329" s="340"/>
      <c r="M329" s="339"/>
      <c r="N329" s="340"/>
      <c r="O329" s="339"/>
      <c r="P329" s="340"/>
      <c r="Q329" s="339"/>
      <c r="R329" s="340"/>
      <c r="S329" s="339"/>
      <c r="T329" s="340"/>
      <c r="U329" s="339"/>
      <c r="V329" s="340"/>
      <c r="W329" s="339"/>
      <c r="X329" s="339"/>
      <c r="Y329" s="339"/>
      <c r="Z329" s="340"/>
      <c r="AA329" s="339"/>
      <c r="AB329" s="339"/>
      <c r="AC329" s="339"/>
      <c r="AD329" s="339"/>
    </row>
    <row r="330" spans="1:30" ht="15.75" customHeight="1">
      <c r="A330" s="339"/>
      <c r="B330" s="339"/>
      <c r="C330" s="339"/>
      <c r="D330" s="339"/>
      <c r="E330" s="339"/>
      <c r="F330" s="339"/>
      <c r="G330" s="339"/>
      <c r="H330" s="339"/>
      <c r="I330" s="339"/>
      <c r="J330" s="339"/>
      <c r="K330" s="339"/>
      <c r="L330" s="340"/>
      <c r="M330" s="339"/>
      <c r="N330" s="340"/>
      <c r="O330" s="339"/>
      <c r="P330" s="340"/>
      <c r="Q330" s="339"/>
      <c r="R330" s="340"/>
      <c r="S330" s="339"/>
      <c r="T330" s="340"/>
      <c r="U330" s="339"/>
      <c r="V330" s="340"/>
      <c r="W330" s="339"/>
      <c r="X330" s="339"/>
      <c r="Y330" s="339"/>
      <c r="Z330" s="340"/>
      <c r="AA330" s="339"/>
      <c r="AB330" s="339"/>
      <c r="AC330" s="339"/>
      <c r="AD330" s="339"/>
    </row>
    <row r="331" spans="1:30" ht="15.75" customHeight="1">
      <c r="A331" s="339"/>
      <c r="B331" s="339"/>
      <c r="C331" s="339"/>
      <c r="D331" s="339"/>
      <c r="E331" s="339"/>
      <c r="F331" s="339"/>
      <c r="G331" s="339"/>
      <c r="H331" s="339"/>
      <c r="I331" s="339"/>
      <c r="J331" s="339"/>
      <c r="K331" s="339"/>
      <c r="L331" s="340"/>
      <c r="M331" s="339"/>
      <c r="N331" s="340"/>
      <c r="O331" s="339"/>
      <c r="P331" s="340"/>
      <c r="Q331" s="339"/>
      <c r="R331" s="340"/>
      <c r="S331" s="339"/>
      <c r="T331" s="340"/>
      <c r="U331" s="339"/>
      <c r="V331" s="340"/>
      <c r="W331" s="339"/>
      <c r="X331" s="339"/>
      <c r="Y331" s="339"/>
      <c r="Z331" s="340"/>
      <c r="AA331" s="339"/>
      <c r="AB331" s="339"/>
      <c r="AC331" s="339"/>
      <c r="AD331" s="339"/>
    </row>
    <row r="332" spans="1:30" ht="15.75" customHeight="1">
      <c r="A332" s="339"/>
      <c r="B332" s="339"/>
      <c r="C332" s="339"/>
      <c r="D332" s="339"/>
      <c r="E332" s="339"/>
      <c r="F332" s="339"/>
      <c r="G332" s="339"/>
      <c r="H332" s="339"/>
      <c r="I332" s="339"/>
      <c r="J332" s="339"/>
      <c r="K332" s="339"/>
      <c r="L332" s="340"/>
      <c r="M332" s="339"/>
      <c r="N332" s="340"/>
      <c r="O332" s="339"/>
      <c r="P332" s="340"/>
      <c r="Q332" s="339"/>
      <c r="R332" s="340"/>
      <c r="S332" s="339"/>
      <c r="T332" s="340"/>
      <c r="U332" s="339"/>
      <c r="V332" s="340"/>
      <c r="W332" s="339"/>
      <c r="X332" s="339"/>
      <c r="Y332" s="339"/>
      <c r="Z332" s="340"/>
      <c r="AA332" s="339"/>
      <c r="AB332" s="339"/>
      <c r="AC332" s="339"/>
      <c r="AD332" s="339"/>
    </row>
    <row r="333" spans="1:30" ht="15.75" customHeight="1">
      <c r="A333" s="339"/>
      <c r="B333" s="339"/>
      <c r="C333" s="339"/>
      <c r="D333" s="339"/>
      <c r="E333" s="339"/>
      <c r="F333" s="339"/>
      <c r="G333" s="339"/>
      <c r="H333" s="339"/>
      <c r="I333" s="339"/>
      <c r="J333" s="339"/>
      <c r="K333" s="339"/>
      <c r="L333" s="340"/>
      <c r="M333" s="339"/>
      <c r="N333" s="340"/>
      <c r="O333" s="339"/>
      <c r="P333" s="340"/>
      <c r="Q333" s="339"/>
      <c r="R333" s="340"/>
      <c r="S333" s="339"/>
      <c r="T333" s="340"/>
      <c r="U333" s="339"/>
      <c r="V333" s="340"/>
      <c r="W333" s="339"/>
      <c r="X333" s="339"/>
      <c r="Y333" s="339"/>
      <c r="Z333" s="340"/>
      <c r="AA333" s="339"/>
      <c r="AB333" s="339"/>
      <c r="AC333" s="339"/>
      <c r="AD333" s="339"/>
    </row>
    <row r="334" spans="1:30" ht="15.75" customHeight="1">
      <c r="A334" s="339"/>
      <c r="B334" s="339"/>
      <c r="C334" s="339"/>
      <c r="D334" s="339"/>
      <c r="E334" s="339"/>
      <c r="F334" s="339"/>
      <c r="G334" s="339"/>
      <c r="H334" s="339"/>
      <c r="I334" s="339"/>
      <c r="J334" s="339"/>
      <c r="K334" s="339"/>
      <c r="L334" s="340"/>
      <c r="M334" s="339"/>
      <c r="N334" s="340"/>
      <c r="O334" s="339"/>
      <c r="P334" s="340"/>
      <c r="Q334" s="339"/>
      <c r="R334" s="340"/>
      <c r="S334" s="339"/>
      <c r="T334" s="340"/>
      <c r="U334" s="339"/>
      <c r="V334" s="340"/>
      <c r="W334" s="339"/>
      <c r="X334" s="339"/>
      <c r="Y334" s="339"/>
      <c r="Z334" s="340"/>
      <c r="AA334" s="339"/>
      <c r="AB334" s="339"/>
      <c r="AC334" s="339"/>
      <c r="AD334" s="339"/>
    </row>
    <row r="335" spans="1:30" ht="15.75" customHeight="1">
      <c r="A335" s="339"/>
      <c r="B335" s="339"/>
      <c r="C335" s="339"/>
      <c r="D335" s="339"/>
      <c r="E335" s="339"/>
      <c r="F335" s="339"/>
      <c r="G335" s="339"/>
      <c r="H335" s="339"/>
      <c r="I335" s="339"/>
      <c r="J335" s="339"/>
      <c r="K335" s="339"/>
      <c r="L335" s="340"/>
      <c r="M335" s="339"/>
      <c r="N335" s="340"/>
      <c r="O335" s="339"/>
      <c r="P335" s="340"/>
      <c r="Q335" s="339"/>
      <c r="R335" s="340"/>
      <c r="S335" s="339"/>
      <c r="T335" s="340"/>
      <c r="U335" s="339"/>
      <c r="V335" s="340"/>
      <c r="W335" s="339"/>
      <c r="X335" s="339"/>
      <c r="Y335" s="339"/>
      <c r="Z335" s="340"/>
      <c r="AA335" s="339"/>
      <c r="AB335" s="339"/>
      <c r="AC335" s="339"/>
      <c r="AD335" s="339"/>
    </row>
    <row r="336" spans="1:30" ht="15.75" customHeight="1">
      <c r="A336" s="339"/>
      <c r="B336" s="339"/>
      <c r="C336" s="339"/>
      <c r="D336" s="339"/>
      <c r="E336" s="339"/>
      <c r="F336" s="339"/>
      <c r="G336" s="339"/>
      <c r="H336" s="339"/>
      <c r="I336" s="339"/>
      <c r="J336" s="339"/>
      <c r="K336" s="339"/>
      <c r="L336" s="340"/>
      <c r="M336" s="339"/>
      <c r="N336" s="340"/>
      <c r="O336" s="339"/>
      <c r="P336" s="340"/>
      <c r="Q336" s="339"/>
      <c r="R336" s="340"/>
      <c r="S336" s="339"/>
      <c r="T336" s="340"/>
      <c r="U336" s="339"/>
      <c r="V336" s="340"/>
      <c r="W336" s="339"/>
      <c r="X336" s="339"/>
      <c r="Y336" s="339"/>
      <c r="Z336" s="340"/>
      <c r="AA336" s="339"/>
      <c r="AB336" s="339"/>
      <c r="AC336" s="339"/>
      <c r="AD336" s="339"/>
    </row>
    <row r="337" spans="1:30" ht="15.75" customHeight="1">
      <c r="A337" s="339"/>
      <c r="B337" s="339"/>
      <c r="C337" s="339"/>
      <c r="D337" s="339"/>
      <c r="E337" s="339"/>
      <c r="F337" s="339"/>
      <c r="G337" s="339"/>
      <c r="H337" s="339"/>
      <c r="I337" s="339"/>
      <c r="J337" s="339"/>
      <c r="K337" s="339"/>
      <c r="L337" s="340"/>
      <c r="M337" s="339"/>
      <c r="N337" s="340"/>
      <c r="O337" s="339"/>
      <c r="P337" s="340"/>
      <c r="Q337" s="339"/>
      <c r="R337" s="340"/>
      <c r="S337" s="339"/>
      <c r="T337" s="340"/>
      <c r="U337" s="339"/>
      <c r="V337" s="340"/>
      <c r="W337" s="339"/>
      <c r="X337" s="339"/>
      <c r="Y337" s="339"/>
      <c r="Z337" s="340"/>
      <c r="AA337" s="339"/>
      <c r="AB337" s="339"/>
      <c r="AC337" s="339"/>
      <c r="AD337" s="339"/>
    </row>
    <row r="338" spans="1:30" ht="15.75" customHeight="1">
      <c r="A338" s="339"/>
      <c r="B338" s="339"/>
      <c r="C338" s="339"/>
      <c r="D338" s="339"/>
      <c r="E338" s="339"/>
      <c r="F338" s="339"/>
      <c r="G338" s="339"/>
      <c r="H338" s="339"/>
      <c r="I338" s="339"/>
      <c r="J338" s="339"/>
      <c r="K338" s="339"/>
      <c r="L338" s="340"/>
      <c r="M338" s="339"/>
      <c r="N338" s="340"/>
      <c r="O338" s="339"/>
      <c r="P338" s="340"/>
      <c r="Q338" s="339"/>
      <c r="R338" s="340"/>
      <c r="S338" s="339"/>
      <c r="T338" s="340"/>
      <c r="U338" s="339"/>
      <c r="V338" s="340"/>
      <c r="W338" s="339"/>
      <c r="X338" s="339"/>
      <c r="Y338" s="339"/>
      <c r="Z338" s="340"/>
      <c r="AA338" s="339"/>
      <c r="AB338" s="339"/>
      <c r="AC338" s="339"/>
      <c r="AD338" s="339"/>
    </row>
    <row r="339" spans="1:30" ht="15.75" customHeight="1">
      <c r="A339" s="339"/>
      <c r="B339" s="339"/>
      <c r="C339" s="339"/>
      <c r="D339" s="339"/>
      <c r="E339" s="339"/>
      <c r="F339" s="339"/>
      <c r="G339" s="339"/>
      <c r="H339" s="339"/>
      <c r="I339" s="339"/>
      <c r="J339" s="339"/>
      <c r="K339" s="339"/>
      <c r="L339" s="340"/>
      <c r="M339" s="339"/>
      <c r="N339" s="340"/>
      <c r="O339" s="339"/>
      <c r="P339" s="340"/>
      <c r="Q339" s="339"/>
      <c r="R339" s="340"/>
      <c r="S339" s="339"/>
      <c r="T339" s="340"/>
      <c r="U339" s="339"/>
      <c r="V339" s="340"/>
      <c r="W339" s="339"/>
      <c r="X339" s="339"/>
      <c r="Y339" s="339"/>
      <c r="Z339" s="340"/>
      <c r="AA339" s="339"/>
      <c r="AB339" s="339"/>
      <c r="AC339" s="339"/>
      <c r="AD339" s="339"/>
    </row>
    <row r="340" spans="1:30" ht="15.75" customHeight="1">
      <c r="A340" s="339"/>
      <c r="B340" s="339"/>
      <c r="C340" s="339"/>
      <c r="D340" s="339"/>
      <c r="E340" s="339"/>
      <c r="F340" s="339"/>
      <c r="G340" s="339"/>
      <c r="H340" s="339"/>
      <c r="I340" s="339"/>
      <c r="J340" s="339"/>
      <c r="K340" s="339"/>
      <c r="L340" s="340"/>
      <c r="M340" s="339"/>
      <c r="N340" s="340"/>
      <c r="O340" s="339"/>
      <c r="P340" s="340"/>
      <c r="Q340" s="339"/>
      <c r="R340" s="340"/>
      <c r="S340" s="339"/>
      <c r="T340" s="340"/>
      <c r="U340" s="339"/>
      <c r="V340" s="340"/>
      <c r="W340" s="339"/>
      <c r="X340" s="339"/>
      <c r="Y340" s="339"/>
      <c r="Z340" s="340"/>
      <c r="AA340" s="339"/>
      <c r="AB340" s="339"/>
      <c r="AC340" s="339"/>
      <c r="AD340" s="339"/>
    </row>
    <row r="341" spans="1:30" ht="15.75" customHeight="1">
      <c r="A341" s="339"/>
      <c r="B341" s="339"/>
      <c r="C341" s="339"/>
      <c r="D341" s="339"/>
      <c r="E341" s="339"/>
      <c r="F341" s="339"/>
      <c r="G341" s="339"/>
      <c r="H341" s="339"/>
      <c r="I341" s="339"/>
      <c r="J341" s="339"/>
      <c r="K341" s="339"/>
      <c r="L341" s="340"/>
      <c r="M341" s="339"/>
      <c r="N341" s="340"/>
      <c r="O341" s="339"/>
      <c r="P341" s="340"/>
      <c r="Q341" s="339"/>
      <c r="R341" s="340"/>
      <c r="S341" s="339"/>
      <c r="T341" s="340"/>
      <c r="U341" s="339"/>
      <c r="V341" s="340"/>
      <c r="W341" s="339"/>
      <c r="X341" s="339"/>
      <c r="Y341" s="339"/>
      <c r="Z341" s="340"/>
      <c r="AA341" s="339"/>
      <c r="AB341" s="339"/>
      <c r="AC341" s="339"/>
      <c r="AD341" s="339"/>
    </row>
    <row r="342" spans="1:30" ht="15.75" customHeight="1">
      <c r="A342" s="339"/>
      <c r="B342" s="339"/>
      <c r="C342" s="339"/>
      <c r="D342" s="339"/>
      <c r="E342" s="339"/>
      <c r="F342" s="339"/>
      <c r="G342" s="339"/>
      <c r="H342" s="339"/>
      <c r="I342" s="339"/>
      <c r="J342" s="339"/>
      <c r="K342" s="339"/>
      <c r="L342" s="340"/>
      <c r="M342" s="339"/>
      <c r="N342" s="340"/>
      <c r="O342" s="339"/>
      <c r="P342" s="340"/>
      <c r="Q342" s="339"/>
      <c r="R342" s="340"/>
      <c r="S342" s="339"/>
      <c r="T342" s="340"/>
      <c r="U342" s="339"/>
      <c r="V342" s="340"/>
      <c r="W342" s="339"/>
      <c r="X342" s="339"/>
      <c r="Y342" s="339"/>
      <c r="Z342" s="340"/>
      <c r="AA342" s="339"/>
      <c r="AB342" s="339"/>
      <c r="AC342" s="339"/>
      <c r="AD342" s="339"/>
    </row>
    <row r="343" spans="1:30" ht="15.75" customHeight="1">
      <c r="A343" s="339"/>
      <c r="B343" s="339"/>
      <c r="C343" s="339"/>
      <c r="D343" s="339"/>
      <c r="E343" s="339"/>
      <c r="F343" s="339"/>
      <c r="G343" s="339"/>
      <c r="H343" s="339"/>
      <c r="I343" s="339"/>
      <c r="J343" s="339"/>
      <c r="K343" s="339"/>
      <c r="L343" s="340"/>
      <c r="M343" s="339"/>
      <c r="N343" s="340"/>
      <c r="O343" s="339"/>
      <c r="P343" s="340"/>
      <c r="Q343" s="339"/>
      <c r="R343" s="340"/>
      <c r="S343" s="339"/>
      <c r="T343" s="340"/>
      <c r="U343" s="339"/>
      <c r="V343" s="340"/>
      <c r="W343" s="339"/>
      <c r="X343" s="339"/>
      <c r="Y343" s="339"/>
      <c r="Z343" s="340"/>
      <c r="AA343" s="339"/>
      <c r="AB343" s="339"/>
      <c r="AC343" s="339"/>
      <c r="AD343" s="339"/>
    </row>
    <row r="344" spans="1:30" ht="15.75" customHeight="1">
      <c r="A344" s="339"/>
      <c r="B344" s="339"/>
      <c r="C344" s="339"/>
      <c r="D344" s="339"/>
      <c r="E344" s="339"/>
      <c r="F344" s="339"/>
      <c r="G344" s="339"/>
      <c r="H344" s="339"/>
      <c r="I344" s="339"/>
      <c r="J344" s="339"/>
      <c r="K344" s="339"/>
      <c r="L344" s="340"/>
      <c r="M344" s="339"/>
      <c r="N344" s="340"/>
      <c r="O344" s="339"/>
      <c r="P344" s="340"/>
      <c r="Q344" s="339"/>
      <c r="R344" s="340"/>
      <c r="S344" s="339"/>
      <c r="T344" s="340"/>
      <c r="U344" s="339"/>
      <c r="V344" s="340"/>
      <c r="W344" s="339"/>
      <c r="X344" s="339"/>
      <c r="Y344" s="339"/>
      <c r="Z344" s="340"/>
      <c r="AA344" s="339"/>
      <c r="AB344" s="339"/>
      <c r="AC344" s="339"/>
      <c r="AD344" s="339"/>
    </row>
    <row r="345" spans="1:30" ht="15.75" customHeight="1">
      <c r="A345" s="339"/>
      <c r="B345" s="339"/>
      <c r="C345" s="339"/>
      <c r="D345" s="339"/>
      <c r="E345" s="339"/>
      <c r="F345" s="339"/>
      <c r="G345" s="339"/>
      <c r="H345" s="339"/>
      <c r="I345" s="339"/>
      <c r="J345" s="339"/>
      <c r="K345" s="339"/>
      <c r="L345" s="340"/>
      <c r="M345" s="339"/>
      <c r="N345" s="340"/>
      <c r="O345" s="339"/>
      <c r="P345" s="340"/>
      <c r="Q345" s="339"/>
      <c r="R345" s="340"/>
      <c r="S345" s="339"/>
      <c r="T345" s="340"/>
      <c r="U345" s="339"/>
      <c r="V345" s="340"/>
      <c r="W345" s="339"/>
      <c r="X345" s="339"/>
      <c r="Y345" s="339"/>
      <c r="Z345" s="340"/>
      <c r="AA345" s="339"/>
      <c r="AB345" s="339"/>
      <c r="AC345" s="339"/>
      <c r="AD345" s="339"/>
    </row>
    <row r="346" spans="1:30" ht="15.75" customHeight="1">
      <c r="A346" s="339"/>
      <c r="B346" s="339"/>
      <c r="C346" s="339"/>
      <c r="D346" s="339"/>
      <c r="E346" s="339"/>
      <c r="F346" s="339"/>
      <c r="G346" s="339"/>
      <c r="H346" s="339"/>
      <c r="I346" s="339"/>
      <c r="J346" s="339"/>
      <c r="K346" s="339"/>
      <c r="L346" s="340"/>
      <c r="M346" s="339"/>
      <c r="N346" s="340"/>
      <c r="O346" s="339"/>
      <c r="P346" s="340"/>
      <c r="Q346" s="339"/>
      <c r="R346" s="340"/>
      <c r="S346" s="339"/>
      <c r="T346" s="340"/>
      <c r="U346" s="339"/>
      <c r="V346" s="340"/>
      <c r="W346" s="339"/>
      <c r="X346" s="339"/>
      <c r="Y346" s="339"/>
      <c r="Z346" s="340"/>
      <c r="AA346" s="339"/>
      <c r="AB346" s="339"/>
      <c r="AC346" s="339"/>
      <c r="AD346" s="339"/>
    </row>
    <row r="347" spans="1:30" ht="15.75" customHeight="1">
      <c r="A347" s="339"/>
      <c r="B347" s="339"/>
      <c r="C347" s="339"/>
      <c r="D347" s="339"/>
      <c r="E347" s="339"/>
      <c r="F347" s="339"/>
      <c r="G347" s="339"/>
      <c r="H347" s="339"/>
      <c r="I347" s="339"/>
      <c r="J347" s="339"/>
      <c r="K347" s="339"/>
      <c r="L347" s="340"/>
      <c r="M347" s="339"/>
      <c r="N347" s="340"/>
      <c r="O347" s="339"/>
      <c r="P347" s="340"/>
      <c r="Q347" s="339"/>
      <c r="R347" s="340"/>
      <c r="S347" s="339"/>
      <c r="T347" s="340"/>
      <c r="U347" s="339"/>
      <c r="V347" s="340"/>
      <c r="W347" s="339"/>
      <c r="X347" s="339"/>
      <c r="Y347" s="339"/>
      <c r="Z347" s="340"/>
      <c r="AA347" s="339"/>
      <c r="AB347" s="339"/>
      <c r="AC347" s="339"/>
      <c r="AD347" s="339"/>
    </row>
    <row r="348" spans="1:30" ht="15.75" customHeight="1">
      <c r="A348" s="339"/>
      <c r="B348" s="339"/>
      <c r="C348" s="339"/>
      <c r="D348" s="339"/>
      <c r="E348" s="339"/>
      <c r="F348" s="339"/>
      <c r="G348" s="339"/>
      <c r="H348" s="339"/>
      <c r="I348" s="339"/>
      <c r="J348" s="339"/>
      <c r="K348" s="339"/>
      <c r="L348" s="340"/>
      <c r="M348" s="339"/>
      <c r="N348" s="340"/>
      <c r="O348" s="339"/>
      <c r="P348" s="340"/>
      <c r="Q348" s="339"/>
      <c r="R348" s="340"/>
      <c r="S348" s="339"/>
      <c r="T348" s="340"/>
      <c r="U348" s="339"/>
      <c r="V348" s="340"/>
      <c r="W348" s="339"/>
      <c r="X348" s="339"/>
      <c r="Y348" s="339"/>
      <c r="Z348" s="340"/>
      <c r="AA348" s="339"/>
      <c r="AB348" s="339"/>
      <c r="AC348" s="339"/>
      <c r="AD348" s="339"/>
    </row>
    <row r="349" spans="1:30" ht="15.75" customHeight="1">
      <c r="A349" s="339"/>
      <c r="B349" s="339"/>
      <c r="C349" s="339"/>
      <c r="D349" s="339"/>
      <c r="E349" s="339"/>
      <c r="F349" s="339"/>
      <c r="G349" s="339"/>
      <c r="H349" s="339"/>
      <c r="I349" s="339"/>
      <c r="J349" s="339"/>
      <c r="K349" s="339"/>
      <c r="L349" s="340"/>
      <c r="M349" s="339"/>
      <c r="N349" s="340"/>
      <c r="O349" s="339"/>
      <c r="P349" s="340"/>
      <c r="Q349" s="339"/>
      <c r="R349" s="340"/>
      <c r="S349" s="339"/>
      <c r="T349" s="340"/>
      <c r="U349" s="339"/>
      <c r="V349" s="340"/>
      <c r="W349" s="339"/>
      <c r="X349" s="339"/>
      <c r="Y349" s="339"/>
      <c r="Z349" s="340"/>
      <c r="AA349" s="339"/>
      <c r="AB349" s="339"/>
      <c r="AC349" s="339"/>
      <c r="AD349" s="339"/>
    </row>
    <row r="350" spans="1:30" ht="15.75" customHeight="1">
      <c r="A350" s="339"/>
      <c r="B350" s="339"/>
      <c r="C350" s="339"/>
      <c r="D350" s="339"/>
      <c r="E350" s="339"/>
      <c r="F350" s="339"/>
      <c r="G350" s="339"/>
      <c r="H350" s="339"/>
      <c r="I350" s="339"/>
      <c r="J350" s="339"/>
      <c r="K350" s="339"/>
      <c r="L350" s="340"/>
      <c r="M350" s="339"/>
      <c r="N350" s="340"/>
      <c r="O350" s="339"/>
      <c r="P350" s="340"/>
      <c r="Q350" s="339"/>
      <c r="R350" s="340"/>
      <c r="S350" s="339"/>
      <c r="T350" s="340"/>
      <c r="U350" s="339"/>
      <c r="V350" s="340"/>
      <c r="W350" s="339"/>
      <c r="X350" s="339"/>
      <c r="Y350" s="339"/>
      <c r="Z350" s="340"/>
      <c r="AA350" s="339"/>
      <c r="AB350" s="339"/>
      <c r="AC350" s="339"/>
      <c r="AD350" s="339"/>
    </row>
    <row r="351" spans="1:30" ht="15.75" customHeight="1">
      <c r="A351" s="339"/>
      <c r="B351" s="339"/>
      <c r="C351" s="339"/>
      <c r="D351" s="339"/>
      <c r="E351" s="339"/>
      <c r="F351" s="339"/>
      <c r="G351" s="339"/>
      <c r="H351" s="339"/>
      <c r="I351" s="339"/>
      <c r="J351" s="339"/>
      <c r="K351" s="339"/>
      <c r="L351" s="340"/>
      <c r="M351" s="339"/>
      <c r="N351" s="340"/>
      <c r="O351" s="339"/>
      <c r="P351" s="340"/>
      <c r="Q351" s="339"/>
      <c r="R351" s="340"/>
      <c r="S351" s="339"/>
      <c r="T351" s="340"/>
      <c r="U351" s="339"/>
      <c r="V351" s="340"/>
      <c r="W351" s="339"/>
      <c r="X351" s="339"/>
      <c r="Y351" s="339"/>
      <c r="Z351" s="340"/>
      <c r="AA351" s="339"/>
      <c r="AB351" s="339"/>
      <c r="AC351" s="339"/>
      <c r="AD351" s="339"/>
    </row>
    <row r="352" spans="1:30" ht="15.75" customHeight="1">
      <c r="A352" s="339"/>
      <c r="B352" s="339"/>
      <c r="C352" s="339"/>
      <c r="D352" s="339"/>
      <c r="E352" s="339"/>
      <c r="F352" s="339"/>
      <c r="G352" s="339"/>
      <c r="H352" s="339"/>
      <c r="I352" s="339"/>
      <c r="J352" s="339"/>
      <c r="K352" s="339"/>
      <c r="L352" s="340"/>
      <c r="M352" s="339"/>
      <c r="N352" s="340"/>
      <c r="O352" s="339"/>
      <c r="P352" s="340"/>
      <c r="Q352" s="339"/>
      <c r="R352" s="340"/>
      <c r="S352" s="339"/>
      <c r="T352" s="340"/>
      <c r="U352" s="339"/>
      <c r="V352" s="340"/>
      <c r="W352" s="339"/>
      <c r="X352" s="339"/>
      <c r="Y352" s="339"/>
      <c r="Z352" s="340"/>
      <c r="AA352" s="339"/>
      <c r="AB352" s="339"/>
      <c r="AC352" s="339"/>
      <c r="AD352" s="339"/>
    </row>
    <row r="353" spans="1:30" ht="15.75" customHeight="1">
      <c r="A353" s="339"/>
      <c r="B353" s="339"/>
      <c r="C353" s="339"/>
      <c r="D353" s="339"/>
      <c r="E353" s="339"/>
      <c r="F353" s="339"/>
      <c r="G353" s="339"/>
      <c r="H353" s="339"/>
      <c r="I353" s="339"/>
      <c r="J353" s="339"/>
      <c r="K353" s="339"/>
      <c r="L353" s="340"/>
      <c r="M353" s="339"/>
      <c r="N353" s="340"/>
      <c r="O353" s="339"/>
      <c r="P353" s="340"/>
      <c r="Q353" s="339"/>
      <c r="R353" s="340"/>
      <c r="S353" s="339"/>
      <c r="T353" s="340"/>
      <c r="U353" s="339"/>
      <c r="V353" s="340"/>
      <c r="W353" s="339"/>
      <c r="X353" s="339"/>
      <c r="Y353" s="339"/>
      <c r="Z353" s="340"/>
      <c r="AA353" s="339"/>
      <c r="AB353" s="339"/>
      <c r="AC353" s="339"/>
      <c r="AD353" s="339"/>
    </row>
    <row r="354" spans="1:30" ht="15.75" customHeight="1">
      <c r="A354" s="339"/>
      <c r="B354" s="339"/>
      <c r="C354" s="339"/>
      <c r="D354" s="339"/>
      <c r="E354" s="339"/>
      <c r="F354" s="339"/>
      <c r="G354" s="339"/>
      <c r="H354" s="339"/>
      <c r="I354" s="339"/>
      <c r="J354" s="339"/>
      <c r="K354" s="339"/>
      <c r="L354" s="340"/>
      <c r="M354" s="339"/>
      <c r="N354" s="340"/>
      <c r="O354" s="339"/>
      <c r="P354" s="340"/>
      <c r="Q354" s="339"/>
      <c r="R354" s="340"/>
      <c r="S354" s="339"/>
      <c r="T354" s="340"/>
      <c r="U354" s="339"/>
      <c r="V354" s="340"/>
      <c r="W354" s="339"/>
      <c r="X354" s="339"/>
      <c r="Y354" s="339"/>
      <c r="Z354" s="340"/>
      <c r="AA354" s="339"/>
      <c r="AB354" s="339"/>
      <c r="AC354" s="339"/>
      <c r="AD354" s="339"/>
    </row>
    <row r="355" spans="1:30" ht="15.75" customHeight="1">
      <c r="A355" s="339"/>
      <c r="B355" s="339"/>
      <c r="C355" s="339"/>
      <c r="D355" s="339"/>
      <c r="E355" s="339"/>
      <c r="F355" s="339"/>
      <c r="G355" s="339"/>
      <c r="H355" s="339"/>
      <c r="I355" s="339"/>
      <c r="J355" s="339"/>
      <c r="K355" s="339"/>
      <c r="L355" s="340"/>
      <c r="M355" s="339"/>
      <c r="N355" s="340"/>
      <c r="O355" s="339"/>
      <c r="P355" s="340"/>
      <c r="Q355" s="339"/>
      <c r="R355" s="340"/>
      <c r="S355" s="339"/>
      <c r="T355" s="340"/>
      <c r="U355" s="339"/>
      <c r="V355" s="340"/>
      <c r="W355" s="339"/>
      <c r="X355" s="339"/>
      <c r="Y355" s="339"/>
      <c r="Z355" s="340"/>
      <c r="AA355" s="339"/>
      <c r="AB355" s="339"/>
      <c r="AC355" s="339"/>
      <c r="AD355" s="339"/>
    </row>
    <row r="356" spans="1:30" ht="15.75" customHeight="1">
      <c r="A356" s="339"/>
      <c r="B356" s="339"/>
      <c r="C356" s="339"/>
      <c r="D356" s="339"/>
      <c r="E356" s="339"/>
      <c r="F356" s="339"/>
      <c r="G356" s="339"/>
      <c r="H356" s="339"/>
      <c r="I356" s="339"/>
      <c r="J356" s="339"/>
      <c r="K356" s="339"/>
      <c r="L356" s="340"/>
      <c r="M356" s="339"/>
      <c r="N356" s="340"/>
      <c r="O356" s="339"/>
      <c r="P356" s="340"/>
      <c r="Q356" s="339"/>
      <c r="R356" s="340"/>
      <c r="S356" s="339"/>
      <c r="T356" s="340"/>
      <c r="U356" s="339"/>
      <c r="V356" s="340"/>
      <c r="W356" s="339"/>
      <c r="X356" s="339"/>
      <c r="Y356" s="339"/>
      <c r="Z356" s="340"/>
      <c r="AA356" s="339"/>
      <c r="AB356" s="339"/>
      <c r="AC356" s="339"/>
      <c r="AD356" s="339"/>
    </row>
    <row r="357" spans="1:30" ht="15.75" customHeight="1">
      <c r="A357" s="339"/>
      <c r="B357" s="339"/>
      <c r="C357" s="339"/>
      <c r="D357" s="339"/>
      <c r="E357" s="339"/>
      <c r="F357" s="339"/>
      <c r="G357" s="339"/>
      <c r="H357" s="339"/>
      <c r="I357" s="339"/>
      <c r="J357" s="339"/>
      <c r="K357" s="339"/>
      <c r="L357" s="340"/>
      <c r="M357" s="339"/>
      <c r="N357" s="340"/>
      <c r="O357" s="339"/>
      <c r="P357" s="340"/>
      <c r="Q357" s="339"/>
      <c r="R357" s="340"/>
      <c r="S357" s="339"/>
      <c r="T357" s="340"/>
      <c r="U357" s="339"/>
      <c r="V357" s="340"/>
      <c r="W357" s="339"/>
      <c r="X357" s="339"/>
      <c r="Y357" s="339"/>
      <c r="Z357" s="340"/>
      <c r="AA357" s="339"/>
      <c r="AB357" s="339"/>
      <c r="AC357" s="339"/>
      <c r="AD357" s="339"/>
    </row>
    <row r="358" spans="1:30" ht="15.75" customHeight="1">
      <c r="A358" s="339"/>
      <c r="B358" s="339"/>
      <c r="C358" s="339"/>
      <c r="D358" s="339"/>
      <c r="E358" s="339"/>
      <c r="F358" s="339"/>
      <c r="G358" s="339"/>
      <c r="H358" s="339"/>
      <c r="I358" s="339"/>
      <c r="J358" s="339"/>
      <c r="K358" s="339"/>
      <c r="L358" s="340"/>
      <c r="M358" s="339"/>
      <c r="N358" s="340"/>
      <c r="O358" s="339"/>
      <c r="P358" s="340"/>
      <c r="Q358" s="339"/>
      <c r="R358" s="340"/>
      <c r="S358" s="339"/>
      <c r="T358" s="340"/>
      <c r="U358" s="339"/>
      <c r="V358" s="340"/>
      <c r="W358" s="339"/>
      <c r="X358" s="339"/>
      <c r="Y358" s="339"/>
      <c r="Z358" s="340"/>
      <c r="AA358" s="339"/>
      <c r="AB358" s="339"/>
      <c r="AC358" s="339"/>
      <c r="AD358" s="339"/>
    </row>
    <row r="359" spans="1:30" ht="15.75" customHeight="1">
      <c r="A359" s="339"/>
      <c r="B359" s="339"/>
      <c r="C359" s="339"/>
      <c r="D359" s="339"/>
      <c r="E359" s="339"/>
      <c r="F359" s="339"/>
      <c r="G359" s="339"/>
      <c r="H359" s="339"/>
      <c r="I359" s="339"/>
      <c r="J359" s="339"/>
      <c r="K359" s="339"/>
      <c r="L359" s="340"/>
      <c r="M359" s="339"/>
      <c r="N359" s="340"/>
      <c r="O359" s="339"/>
      <c r="P359" s="340"/>
      <c r="Q359" s="339"/>
      <c r="R359" s="340"/>
      <c r="S359" s="339"/>
      <c r="T359" s="340"/>
      <c r="U359" s="339"/>
      <c r="V359" s="340"/>
      <c r="W359" s="339"/>
      <c r="X359" s="339"/>
      <c r="Y359" s="339"/>
      <c r="Z359" s="340"/>
      <c r="AA359" s="339"/>
      <c r="AB359" s="339"/>
      <c r="AC359" s="339"/>
      <c r="AD359" s="339"/>
    </row>
    <row r="360" spans="1:30" ht="15.75" customHeight="1">
      <c r="A360" s="339"/>
      <c r="B360" s="339"/>
      <c r="C360" s="339"/>
      <c r="D360" s="339"/>
      <c r="E360" s="339"/>
      <c r="F360" s="339"/>
      <c r="G360" s="339"/>
      <c r="H360" s="339"/>
      <c r="I360" s="339"/>
      <c r="J360" s="339"/>
      <c r="K360" s="339"/>
      <c r="L360" s="340"/>
      <c r="M360" s="339"/>
      <c r="N360" s="340"/>
      <c r="O360" s="339"/>
      <c r="P360" s="340"/>
      <c r="Q360" s="339"/>
      <c r="R360" s="340"/>
      <c r="S360" s="339"/>
      <c r="T360" s="340"/>
      <c r="U360" s="339"/>
      <c r="V360" s="340"/>
      <c r="W360" s="339"/>
      <c r="X360" s="339"/>
      <c r="Y360" s="339"/>
      <c r="Z360" s="340"/>
      <c r="AA360" s="339"/>
      <c r="AB360" s="339"/>
      <c r="AC360" s="339"/>
      <c r="AD360" s="339"/>
    </row>
    <row r="361" spans="1:30" ht="15.75" customHeight="1">
      <c r="A361" s="339"/>
      <c r="B361" s="339"/>
      <c r="C361" s="339"/>
      <c r="D361" s="339"/>
      <c r="E361" s="339"/>
      <c r="F361" s="339"/>
      <c r="G361" s="339"/>
      <c r="H361" s="339"/>
      <c r="I361" s="339"/>
      <c r="J361" s="339"/>
      <c r="K361" s="339"/>
      <c r="L361" s="340"/>
      <c r="M361" s="339"/>
      <c r="N361" s="340"/>
      <c r="O361" s="339"/>
      <c r="P361" s="340"/>
      <c r="Q361" s="339"/>
      <c r="R361" s="340"/>
      <c r="S361" s="339"/>
      <c r="T361" s="340"/>
      <c r="U361" s="339"/>
      <c r="V361" s="340"/>
      <c r="W361" s="339"/>
      <c r="X361" s="339"/>
      <c r="Y361" s="339"/>
      <c r="Z361" s="340"/>
      <c r="AA361" s="339"/>
      <c r="AB361" s="339"/>
      <c r="AC361" s="339"/>
      <c r="AD361" s="339"/>
    </row>
    <row r="362" spans="1:30" ht="15.75" customHeight="1">
      <c r="A362" s="339"/>
      <c r="B362" s="339"/>
      <c r="C362" s="339"/>
      <c r="D362" s="339"/>
      <c r="E362" s="339"/>
      <c r="F362" s="339"/>
      <c r="G362" s="339"/>
      <c r="H362" s="339"/>
      <c r="I362" s="339"/>
      <c r="J362" s="339"/>
      <c r="K362" s="339"/>
      <c r="L362" s="340"/>
      <c r="M362" s="339"/>
      <c r="N362" s="340"/>
      <c r="O362" s="339"/>
      <c r="P362" s="340"/>
      <c r="Q362" s="339"/>
      <c r="R362" s="340"/>
      <c r="S362" s="339"/>
      <c r="T362" s="340"/>
      <c r="U362" s="339"/>
      <c r="V362" s="340"/>
      <c r="W362" s="339"/>
      <c r="X362" s="339"/>
      <c r="Y362" s="339"/>
      <c r="Z362" s="340"/>
      <c r="AA362" s="339"/>
      <c r="AB362" s="339"/>
      <c r="AC362" s="339"/>
      <c r="AD362" s="339"/>
    </row>
    <row r="363" spans="1:30" ht="15.75" customHeight="1">
      <c r="A363" s="339"/>
      <c r="B363" s="339"/>
      <c r="C363" s="339"/>
      <c r="D363" s="339"/>
      <c r="E363" s="339"/>
      <c r="F363" s="339"/>
      <c r="G363" s="339"/>
      <c r="H363" s="339"/>
      <c r="I363" s="339"/>
      <c r="J363" s="339"/>
      <c r="K363" s="339"/>
      <c r="L363" s="340"/>
      <c r="M363" s="339"/>
      <c r="N363" s="340"/>
      <c r="O363" s="339"/>
      <c r="P363" s="340"/>
      <c r="Q363" s="339"/>
      <c r="R363" s="340"/>
      <c r="S363" s="339"/>
      <c r="T363" s="340"/>
      <c r="U363" s="339"/>
      <c r="V363" s="340"/>
      <c r="W363" s="339"/>
      <c r="X363" s="339"/>
      <c r="Y363" s="339"/>
      <c r="Z363" s="340"/>
      <c r="AA363" s="339"/>
      <c r="AB363" s="339"/>
      <c r="AC363" s="339"/>
      <c r="AD363" s="339"/>
    </row>
    <row r="364" spans="1:30" ht="15.75" customHeight="1">
      <c r="A364" s="339"/>
      <c r="B364" s="339"/>
      <c r="C364" s="339"/>
      <c r="D364" s="339"/>
      <c r="E364" s="339"/>
      <c r="F364" s="339"/>
      <c r="G364" s="339"/>
      <c r="H364" s="339"/>
      <c r="I364" s="339"/>
      <c r="J364" s="339"/>
      <c r="K364" s="339"/>
      <c r="L364" s="340"/>
      <c r="M364" s="339"/>
      <c r="N364" s="340"/>
      <c r="O364" s="339"/>
      <c r="P364" s="340"/>
      <c r="Q364" s="339"/>
      <c r="R364" s="340"/>
      <c r="S364" s="339"/>
      <c r="T364" s="340"/>
      <c r="U364" s="339"/>
      <c r="V364" s="340"/>
      <c r="W364" s="339"/>
      <c r="X364" s="339"/>
      <c r="Y364" s="339"/>
      <c r="Z364" s="340"/>
      <c r="AA364" s="339"/>
      <c r="AB364" s="339"/>
      <c r="AC364" s="339"/>
      <c r="AD364" s="339"/>
    </row>
    <row r="365" spans="1:30" ht="15.75" customHeight="1">
      <c r="A365" s="339"/>
      <c r="B365" s="339"/>
      <c r="C365" s="339"/>
      <c r="D365" s="339"/>
      <c r="E365" s="339"/>
      <c r="F365" s="339"/>
      <c r="G365" s="339"/>
      <c r="H365" s="339"/>
      <c r="I365" s="339"/>
      <c r="J365" s="339"/>
      <c r="K365" s="339"/>
      <c r="L365" s="340"/>
      <c r="M365" s="339"/>
      <c r="N365" s="340"/>
      <c r="O365" s="339"/>
      <c r="P365" s="340"/>
      <c r="Q365" s="339"/>
      <c r="R365" s="340"/>
      <c r="S365" s="339"/>
      <c r="T365" s="340"/>
      <c r="U365" s="339"/>
      <c r="V365" s="340"/>
      <c r="W365" s="339"/>
      <c r="X365" s="339"/>
      <c r="Y365" s="339"/>
      <c r="Z365" s="340"/>
      <c r="AA365" s="339"/>
      <c r="AB365" s="339"/>
      <c r="AC365" s="339"/>
      <c r="AD365" s="339"/>
    </row>
    <row r="366" spans="1:30" ht="15.75" customHeight="1">
      <c r="A366" s="339"/>
      <c r="B366" s="339"/>
      <c r="C366" s="339"/>
      <c r="D366" s="339"/>
      <c r="E366" s="339"/>
      <c r="F366" s="339"/>
      <c r="G366" s="339"/>
      <c r="H366" s="339"/>
      <c r="I366" s="339"/>
      <c r="J366" s="339"/>
      <c r="K366" s="339"/>
      <c r="L366" s="340"/>
      <c r="M366" s="339"/>
      <c r="N366" s="340"/>
      <c r="O366" s="339"/>
      <c r="P366" s="340"/>
      <c r="Q366" s="339"/>
      <c r="R366" s="340"/>
      <c r="S366" s="339"/>
      <c r="T366" s="340"/>
      <c r="U366" s="339"/>
      <c r="V366" s="340"/>
      <c r="W366" s="339"/>
      <c r="X366" s="339"/>
      <c r="Y366" s="339"/>
      <c r="Z366" s="340"/>
      <c r="AA366" s="339"/>
      <c r="AB366" s="339"/>
      <c r="AC366" s="339"/>
      <c r="AD366" s="339"/>
    </row>
    <row r="367" spans="1:30" ht="15.75" customHeight="1">
      <c r="A367" s="339"/>
      <c r="B367" s="339"/>
      <c r="C367" s="339"/>
      <c r="D367" s="339"/>
      <c r="E367" s="339"/>
      <c r="F367" s="339"/>
      <c r="G367" s="339"/>
      <c r="H367" s="339"/>
      <c r="I367" s="339"/>
      <c r="J367" s="339"/>
      <c r="K367" s="339"/>
      <c r="L367" s="340"/>
      <c r="M367" s="339"/>
      <c r="N367" s="340"/>
      <c r="O367" s="339"/>
      <c r="P367" s="340"/>
      <c r="Q367" s="339"/>
      <c r="R367" s="340"/>
      <c r="S367" s="339"/>
      <c r="T367" s="340"/>
      <c r="U367" s="339"/>
      <c r="V367" s="340"/>
      <c r="W367" s="339"/>
      <c r="X367" s="339"/>
      <c r="Y367" s="339"/>
      <c r="Z367" s="340"/>
      <c r="AA367" s="339"/>
      <c r="AB367" s="339"/>
      <c r="AC367" s="339"/>
      <c r="AD367" s="339"/>
    </row>
    <row r="368" spans="1:30" ht="15.75" customHeight="1">
      <c r="A368" s="339"/>
      <c r="B368" s="339"/>
      <c r="C368" s="339"/>
      <c r="D368" s="339"/>
      <c r="E368" s="339"/>
      <c r="F368" s="339"/>
      <c r="G368" s="339"/>
      <c r="H368" s="339"/>
      <c r="I368" s="339"/>
      <c r="J368" s="339"/>
      <c r="K368" s="339"/>
      <c r="L368" s="340"/>
      <c r="M368" s="339"/>
      <c r="N368" s="340"/>
      <c r="O368" s="339"/>
      <c r="P368" s="340"/>
      <c r="Q368" s="339"/>
      <c r="R368" s="340"/>
      <c r="S368" s="339"/>
      <c r="T368" s="340"/>
      <c r="U368" s="339"/>
      <c r="V368" s="340"/>
      <c r="W368" s="339"/>
      <c r="X368" s="339"/>
      <c r="Y368" s="339"/>
      <c r="Z368" s="340"/>
      <c r="AA368" s="339"/>
      <c r="AB368" s="339"/>
      <c r="AC368" s="339"/>
      <c r="AD368" s="339"/>
    </row>
    <row r="369" spans="1:30" ht="15.75" customHeight="1">
      <c r="A369" s="339"/>
      <c r="B369" s="339"/>
      <c r="C369" s="339"/>
      <c r="D369" s="339"/>
      <c r="E369" s="339"/>
      <c r="F369" s="339"/>
      <c r="G369" s="339"/>
      <c r="H369" s="339"/>
      <c r="I369" s="339"/>
      <c r="J369" s="339"/>
      <c r="K369" s="339"/>
      <c r="L369" s="340"/>
      <c r="M369" s="339"/>
      <c r="N369" s="340"/>
      <c r="O369" s="339"/>
      <c r="P369" s="340"/>
      <c r="Q369" s="339"/>
      <c r="R369" s="340"/>
      <c r="S369" s="339"/>
      <c r="T369" s="340"/>
      <c r="U369" s="339"/>
      <c r="V369" s="340"/>
      <c r="W369" s="339"/>
      <c r="X369" s="339"/>
      <c r="Y369" s="339"/>
      <c r="Z369" s="340"/>
      <c r="AA369" s="339"/>
      <c r="AB369" s="339"/>
      <c r="AC369" s="339"/>
      <c r="AD369" s="339"/>
    </row>
    <row r="370" spans="1:30" ht="15.75" customHeight="1">
      <c r="A370" s="339"/>
      <c r="B370" s="339"/>
      <c r="C370" s="339"/>
      <c r="D370" s="339"/>
      <c r="E370" s="339"/>
      <c r="F370" s="339"/>
      <c r="G370" s="339"/>
      <c r="H370" s="339"/>
      <c r="I370" s="339"/>
      <c r="J370" s="339"/>
      <c r="K370" s="339"/>
      <c r="L370" s="340"/>
      <c r="M370" s="339"/>
      <c r="N370" s="340"/>
      <c r="O370" s="339"/>
      <c r="P370" s="340"/>
      <c r="Q370" s="339"/>
      <c r="R370" s="340"/>
      <c r="S370" s="339"/>
      <c r="T370" s="340"/>
      <c r="U370" s="339"/>
      <c r="V370" s="340"/>
      <c r="W370" s="339"/>
      <c r="X370" s="339"/>
      <c r="Y370" s="339"/>
      <c r="Z370" s="340"/>
      <c r="AA370" s="339"/>
      <c r="AB370" s="339"/>
      <c r="AC370" s="339"/>
      <c r="AD370" s="339"/>
    </row>
    <row r="371" spans="1:30" ht="15.75" customHeight="1">
      <c r="A371" s="339"/>
      <c r="B371" s="339"/>
      <c r="C371" s="339"/>
      <c r="D371" s="339"/>
      <c r="E371" s="339"/>
      <c r="F371" s="339"/>
      <c r="G371" s="339"/>
      <c r="H371" s="339"/>
      <c r="I371" s="339"/>
      <c r="J371" s="339"/>
      <c r="K371" s="339"/>
      <c r="L371" s="340"/>
      <c r="M371" s="339"/>
      <c r="N371" s="340"/>
      <c r="O371" s="339"/>
      <c r="P371" s="340"/>
      <c r="Q371" s="339"/>
      <c r="R371" s="340"/>
      <c r="S371" s="339"/>
      <c r="T371" s="340"/>
      <c r="U371" s="339"/>
      <c r="V371" s="340"/>
      <c r="W371" s="339"/>
      <c r="X371" s="339"/>
      <c r="Y371" s="339"/>
      <c r="Z371" s="340"/>
      <c r="AA371" s="339"/>
      <c r="AB371" s="339"/>
      <c r="AC371" s="339"/>
      <c r="AD371" s="339"/>
    </row>
    <row r="372" spans="1:30" ht="15.75" customHeight="1">
      <c r="A372" s="339"/>
      <c r="B372" s="339"/>
      <c r="C372" s="339"/>
      <c r="D372" s="339"/>
      <c r="E372" s="339"/>
      <c r="F372" s="339"/>
      <c r="G372" s="339"/>
      <c r="H372" s="339"/>
      <c r="I372" s="339"/>
      <c r="J372" s="339"/>
      <c r="K372" s="339"/>
      <c r="L372" s="340"/>
      <c r="M372" s="339"/>
      <c r="N372" s="340"/>
      <c r="O372" s="339"/>
      <c r="P372" s="340"/>
      <c r="Q372" s="339"/>
      <c r="R372" s="340"/>
      <c r="S372" s="339"/>
      <c r="T372" s="340"/>
      <c r="U372" s="339"/>
      <c r="V372" s="340"/>
      <c r="W372" s="339"/>
      <c r="X372" s="339"/>
      <c r="Y372" s="339"/>
      <c r="Z372" s="340"/>
      <c r="AA372" s="339"/>
      <c r="AB372" s="339"/>
      <c r="AC372" s="339"/>
      <c r="AD372" s="339"/>
    </row>
    <row r="373" spans="1:30" ht="15.75" customHeight="1">
      <c r="A373" s="339"/>
      <c r="B373" s="339"/>
      <c r="C373" s="339"/>
      <c r="D373" s="339"/>
      <c r="E373" s="339"/>
      <c r="F373" s="339"/>
      <c r="G373" s="339"/>
      <c r="H373" s="339"/>
      <c r="I373" s="339"/>
      <c r="J373" s="339"/>
      <c r="K373" s="339"/>
      <c r="L373" s="340"/>
      <c r="M373" s="339"/>
      <c r="N373" s="340"/>
      <c r="O373" s="339"/>
      <c r="P373" s="340"/>
      <c r="Q373" s="339"/>
      <c r="R373" s="340"/>
      <c r="S373" s="339"/>
      <c r="T373" s="340"/>
      <c r="U373" s="339"/>
      <c r="V373" s="340"/>
      <c r="W373" s="339"/>
      <c r="X373" s="339"/>
      <c r="Y373" s="339"/>
      <c r="Z373" s="340"/>
      <c r="AA373" s="339"/>
      <c r="AB373" s="339"/>
      <c r="AC373" s="339"/>
      <c r="AD373" s="339"/>
    </row>
    <row r="374" spans="1:30" ht="15.75" customHeight="1">
      <c r="A374" s="339"/>
      <c r="B374" s="339"/>
      <c r="C374" s="339"/>
      <c r="D374" s="339"/>
      <c r="E374" s="339"/>
      <c r="F374" s="339"/>
      <c r="G374" s="339"/>
      <c r="H374" s="339"/>
      <c r="I374" s="339"/>
      <c r="J374" s="339"/>
      <c r="K374" s="339"/>
      <c r="L374" s="340"/>
      <c r="M374" s="339"/>
      <c r="N374" s="340"/>
      <c r="O374" s="339"/>
      <c r="P374" s="340"/>
      <c r="Q374" s="339"/>
      <c r="R374" s="340"/>
      <c r="S374" s="339"/>
      <c r="T374" s="340"/>
      <c r="U374" s="339"/>
      <c r="V374" s="340"/>
      <c r="W374" s="339"/>
      <c r="X374" s="339"/>
      <c r="Y374" s="339"/>
      <c r="Z374" s="340"/>
      <c r="AA374" s="339"/>
      <c r="AB374" s="339"/>
      <c r="AC374" s="339"/>
      <c r="AD374" s="339"/>
    </row>
    <row r="375" spans="1:30" ht="15.75" customHeight="1">
      <c r="A375" s="339"/>
      <c r="B375" s="339"/>
      <c r="C375" s="339"/>
      <c r="D375" s="339"/>
      <c r="E375" s="339"/>
      <c r="F375" s="339"/>
      <c r="G375" s="339"/>
      <c r="H375" s="339"/>
      <c r="I375" s="339"/>
      <c r="J375" s="339"/>
      <c r="K375" s="339"/>
      <c r="L375" s="340"/>
      <c r="M375" s="339"/>
      <c r="N375" s="340"/>
      <c r="O375" s="339"/>
      <c r="P375" s="340"/>
      <c r="Q375" s="339"/>
      <c r="R375" s="340"/>
      <c r="S375" s="339"/>
      <c r="T375" s="340"/>
      <c r="U375" s="339"/>
      <c r="V375" s="340"/>
      <c r="W375" s="339"/>
      <c r="X375" s="339"/>
      <c r="Y375" s="339"/>
      <c r="Z375" s="340"/>
      <c r="AA375" s="339"/>
      <c r="AB375" s="339"/>
      <c r="AC375" s="339"/>
      <c r="AD375" s="339"/>
    </row>
    <row r="376" spans="1:30" ht="15.75" customHeight="1">
      <c r="A376" s="339"/>
      <c r="B376" s="339"/>
      <c r="C376" s="339"/>
      <c r="D376" s="339"/>
      <c r="E376" s="339"/>
      <c r="F376" s="339"/>
      <c r="G376" s="339"/>
      <c r="H376" s="339"/>
      <c r="I376" s="339"/>
      <c r="J376" s="339"/>
      <c r="K376" s="339"/>
      <c r="L376" s="340"/>
      <c r="M376" s="339"/>
      <c r="N376" s="340"/>
      <c r="O376" s="339"/>
      <c r="P376" s="340"/>
      <c r="Q376" s="339"/>
      <c r="R376" s="340"/>
      <c r="S376" s="339"/>
      <c r="T376" s="340"/>
      <c r="U376" s="339"/>
      <c r="V376" s="340"/>
      <c r="W376" s="339"/>
      <c r="X376" s="339"/>
      <c r="Y376" s="339"/>
      <c r="Z376" s="340"/>
      <c r="AA376" s="339"/>
      <c r="AB376" s="339"/>
      <c r="AC376" s="339"/>
      <c r="AD376" s="339"/>
    </row>
    <row r="377" spans="1:30" ht="15.75" customHeight="1">
      <c r="A377" s="339"/>
      <c r="B377" s="339"/>
      <c r="C377" s="339"/>
      <c r="D377" s="339"/>
      <c r="E377" s="339"/>
      <c r="F377" s="339"/>
      <c r="G377" s="339"/>
      <c r="H377" s="339"/>
      <c r="I377" s="339"/>
      <c r="J377" s="339"/>
      <c r="K377" s="339"/>
      <c r="L377" s="340"/>
      <c r="M377" s="339"/>
      <c r="N377" s="340"/>
      <c r="O377" s="339"/>
      <c r="P377" s="340"/>
      <c r="Q377" s="339"/>
      <c r="R377" s="340"/>
      <c r="S377" s="339"/>
      <c r="T377" s="340"/>
      <c r="U377" s="339"/>
      <c r="V377" s="340"/>
      <c r="W377" s="339"/>
      <c r="X377" s="339"/>
      <c r="Y377" s="339"/>
      <c r="Z377" s="340"/>
      <c r="AA377" s="339"/>
      <c r="AB377" s="339"/>
      <c r="AC377" s="339"/>
      <c r="AD377" s="339"/>
    </row>
    <row r="378" spans="1:30" ht="15.75" customHeight="1">
      <c r="A378" s="339"/>
      <c r="B378" s="339"/>
      <c r="C378" s="339"/>
      <c r="D378" s="339"/>
      <c r="E378" s="339"/>
      <c r="F378" s="339"/>
      <c r="G378" s="339"/>
      <c r="H378" s="339"/>
      <c r="I378" s="339"/>
      <c r="J378" s="339"/>
      <c r="K378" s="339"/>
      <c r="L378" s="340"/>
      <c r="M378" s="339"/>
      <c r="N378" s="340"/>
      <c r="O378" s="339"/>
      <c r="P378" s="340"/>
      <c r="Q378" s="339"/>
      <c r="R378" s="340"/>
      <c r="S378" s="339"/>
      <c r="T378" s="340"/>
      <c r="U378" s="339"/>
      <c r="V378" s="340"/>
      <c r="W378" s="339"/>
      <c r="X378" s="339"/>
      <c r="Y378" s="339"/>
      <c r="Z378" s="340"/>
      <c r="AA378" s="339"/>
      <c r="AB378" s="339"/>
      <c r="AC378" s="339"/>
      <c r="AD378" s="339"/>
    </row>
    <row r="379" spans="1:30" ht="15.75" customHeight="1">
      <c r="A379" s="339"/>
      <c r="B379" s="339"/>
      <c r="C379" s="339"/>
      <c r="D379" s="339"/>
      <c r="E379" s="339"/>
      <c r="F379" s="339"/>
      <c r="G379" s="339"/>
      <c r="H379" s="339"/>
      <c r="I379" s="339"/>
      <c r="J379" s="339"/>
      <c r="K379" s="339"/>
      <c r="L379" s="340"/>
      <c r="M379" s="339"/>
      <c r="N379" s="340"/>
      <c r="O379" s="339"/>
      <c r="P379" s="340"/>
      <c r="Q379" s="339"/>
      <c r="R379" s="340"/>
      <c r="S379" s="339"/>
      <c r="T379" s="340"/>
      <c r="U379" s="339"/>
      <c r="V379" s="340"/>
      <c r="W379" s="339"/>
      <c r="X379" s="339"/>
      <c r="Y379" s="339"/>
      <c r="Z379" s="340"/>
      <c r="AA379" s="339"/>
      <c r="AB379" s="339"/>
      <c r="AC379" s="339"/>
      <c r="AD379" s="339"/>
    </row>
    <row r="380" spans="1:30" ht="15.75" customHeight="1">
      <c r="A380" s="339"/>
      <c r="B380" s="339"/>
      <c r="C380" s="339"/>
      <c r="D380" s="339"/>
      <c r="E380" s="339"/>
      <c r="F380" s="339"/>
      <c r="G380" s="339"/>
      <c r="H380" s="339"/>
      <c r="I380" s="339"/>
      <c r="J380" s="339"/>
      <c r="K380" s="339"/>
      <c r="L380" s="340"/>
      <c r="M380" s="339"/>
      <c r="N380" s="340"/>
      <c r="O380" s="339"/>
      <c r="P380" s="340"/>
      <c r="Q380" s="339"/>
      <c r="R380" s="340"/>
      <c r="S380" s="339"/>
      <c r="T380" s="340"/>
      <c r="U380" s="339"/>
      <c r="V380" s="340"/>
      <c r="W380" s="339"/>
      <c r="X380" s="339"/>
      <c r="Y380" s="339"/>
      <c r="Z380" s="340"/>
      <c r="AA380" s="339"/>
      <c r="AB380" s="339"/>
      <c r="AC380" s="339"/>
      <c r="AD380" s="339"/>
    </row>
    <row r="381" spans="1:30" ht="15.75" customHeight="1">
      <c r="A381" s="339"/>
      <c r="B381" s="339"/>
      <c r="C381" s="339"/>
      <c r="D381" s="339"/>
      <c r="E381" s="339"/>
      <c r="F381" s="339"/>
      <c r="G381" s="339"/>
      <c r="H381" s="339"/>
      <c r="I381" s="339"/>
      <c r="J381" s="339"/>
      <c r="K381" s="339"/>
      <c r="L381" s="340"/>
      <c r="M381" s="339"/>
      <c r="N381" s="340"/>
      <c r="O381" s="339"/>
      <c r="P381" s="340"/>
      <c r="Q381" s="339"/>
      <c r="R381" s="340"/>
      <c r="S381" s="339"/>
      <c r="T381" s="340"/>
      <c r="U381" s="339"/>
      <c r="V381" s="340"/>
      <c r="W381" s="339"/>
      <c r="X381" s="339"/>
      <c r="Y381" s="339"/>
      <c r="Z381" s="340"/>
      <c r="AA381" s="339"/>
      <c r="AB381" s="339"/>
      <c r="AC381" s="339"/>
      <c r="AD381" s="339"/>
    </row>
    <row r="382" spans="1:30" ht="15.75" customHeight="1">
      <c r="A382" s="339"/>
      <c r="B382" s="339"/>
      <c r="C382" s="339"/>
      <c r="D382" s="339"/>
      <c r="E382" s="339"/>
      <c r="F382" s="339"/>
      <c r="G382" s="339"/>
      <c r="H382" s="339"/>
      <c r="I382" s="339"/>
      <c r="J382" s="339"/>
      <c r="K382" s="339"/>
      <c r="L382" s="340"/>
      <c r="M382" s="339"/>
      <c r="N382" s="340"/>
      <c r="O382" s="339"/>
      <c r="P382" s="340"/>
      <c r="Q382" s="339"/>
      <c r="R382" s="340"/>
      <c r="S382" s="339"/>
      <c r="T382" s="340"/>
      <c r="U382" s="339"/>
      <c r="V382" s="340"/>
      <c r="W382" s="339"/>
      <c r="X382" s="339"/>
      <c r="Y382" s="339"/>
      <c r="Z382" s="340"/>
      <c r="AA382" s="339"/>
      <c r="AB382" s="339"/>
      <c r="AC382" s="339"/>
      <c r="AD382" s="339"/>
    </row>
    <row r="383" spans="1:30" ht="15.75" customHeight="1">
      <c r="A383" s="339"/>
      <c r="B383" s="339"/>
      <c r="C383" s="339"/>
      <c r="D383" s="339"/>
      <c r="E383" s="339"/>
      <c r="F383" s="339"/>
      <c r="G383" s="339"/>
      <c r="H383" s="339"/>
      <c r="I383" s="339"/>
      <c r="J383" s="339"/>
      <c r="K383" s="339"/>
      <c r="L383" s="340"/>
      <c r="M383" s="339"/>
      <c r="N383" s="340"/>
      <c r="O383" s="339"/>
      <c r="P383" s="340"/>
      <c r="Q383" s="339"/>
      <c r="R383" s="340"/>
      <c r="S383" s="339"/>
      <c r="T383" s="340"/>
      <c r="U383" s="339"/>
      <c r="V383" s="340"/>
      <c r="W383" s="339"/>
      <c r="X383" s="339"/>
      <c r="Y383" s="339"/>
      <c r="Z383" s="340"/>
      <c r="AA383" s="339"/>
      <c r="AB383" s="339"/>
      <c r="AC383" s="339"/>
      <c r="AD383" s="339"/>
    </row>
    <row r="384" spans="1:30" ht="15.75" customHeight="1">
      <c r="A384" s="339"/>
      <c r="B384" s="339"/>
      <c r="C384" s="339"/>
      <c r="D384" s="339"/>
      <c r="E384" s="339"/>
      <c r="F384" s="339"/>
      <c r="G384" s="339"/>
      <c r="H384" s="339"/>
      <c r="I384" s="339"/>
      <c r="J384" s="339"/>
      <c r="K384" s="339"/>
      <c r="L384" s="340"/>
      <c r="M384" s="339"/>
      <c r="N384" s="340"/>
      <c r="O384" s="339"/>
      <c r="P384" s="340"/>
      <c r="Q384" s="339"/>
      <c r="R384" s="340"/>
      <c r="S384" s="339"/>
      <c r="T384" s="340"/>
      <c r="U384" s="339"/>
      <c r="V384" s="340"/>
      <c r="W384" s="339"/>
      <c r="X384" s="339"/>
      <c r="Y384" s="339"/>
      <c r="Z384" s="340"/>
      <c r="AA384" s="339"/>
      <c r="AB384" s="339"/>
      <c r="AC384" s="339"/>
      <c r="AD384" s="339"/>
    </row>
    <row r="385" spans="1:30" ht="15.75" customHeight="1">
      <c r="A385" s="339"/>
      <c r="B385" s="339"/>
      <c r="C385" s="339"/>
      <c r="D385" s="339"/>
      <c r="E385" s="339"/>
      <c r="F385" s="339"/>
      <c r="G385" s="339"/>
      <c r="H385" s="339"/>
      <c r="I385" s="339"/>
      <c r="J385" s="339"/>
      <c r="K385" s="339"/>
      <c r="L385" s="340"/>
      <c r="M385" s="339"/>
      <c r="N385" s="340"/>
      <c r="O385" s="339"/>
      <c r="P385" s="340"/>
      <c r="Q385" s="339"/>
      <c r="R385" s="340"/>
      <c r="S385" s="339"/>
      <c r="T385" s="340"/>
      <c r="U385" s="339"/>
      <c r="V385" s="340"/>
      <c r="W385" s="339"/>
      <c r="X385" s="339"/>
      <c r="Y385" s="339"/>
      <c r="Z385" s="340"/>
      <c r="AA385" s="339"/>
      <c r="AB385" s="339"/>
      <c r="AC385" s="339"/>
      <c r="AD385" s="339"/>
    </row>
    <row r="386" spans="1:30" ht="15.75" customHeight="1">
      <c r="A386" s="339"/>
      <c r="B386" s="339"/>
      <c r="C386" s="339"/>
      <c r="D386" s="339"/>
      <c r="E386" s="339"/>
      <c r="F386" s="339"/>
      <c r="G386" s="339"/>
      <c r="H386" s="339"/>
      <c r="I386" s="339"/>
      <c r="J386" s="339"/>
      <c r="K386" s="339"/>
      <c r="L386" s="340"/>
      <c r="M386" s="339"/>
      <c r="N386" s="340"/>
      <c r="O386" s="339"/>
      <c r="P386" s="340"/>
      <c r="Q386" s="339"/>
      <c r="R386" s="340"/>
      <c r="S386" s="339"/>
      <c r="T386" s="340"/>
      <c r="U386" s="339"/>
      <c r="V386" s="340"/>
      <c r="W386" s="339"/>
      <c r="X386" s="339"/>
      <c r="Y386" s="339"/>
      <c r="Z386" s="340"/>
      <c r="AA386" s="339"/>
      <c r="AB386" s="339"/>
      <c r="AC386" s="339"/>
      <c r="AD386" s="339"/>
    </row>
    <row r="387" spans="1:30" ht="15.75" customHeight="1">
      <c r="A387" s="339"/>
      <c r="B387" s="339"/>
      <c r="C387" s="339"/>
      <c r="D387" s="339"/>
      <c r="E387" s="339"/>
      <c r="F387" s="339"/>
      <c r="G387" s="339"/>
      <c r="H387" s="339"/>
      <c r="I387" s="339"/>
      <c r="J387" s="339"/>
      <c r="K387" s="339"/>
      <c r="L387" s="340"/>
      <c r="M387" s="339"/>
      <c r="N387" s="340"/>
      <c r="O387" s="339"/>
      <c r="P387" s="340"/>
      <c r="Q387" s="339"/>
      <c r="R387" s="340"/>
      <c r="S387" s="339"/>
      <c r="T387" s="340"/>
      <c r="U387" s="339"/>
      <c r="V387" s="340"/>
      <c r="W387" s="339"/>
      <c r="X387" s="339"/>
      <c r="Y387" s="339"/>
      <c r="Z387" s="340"/>
      <c r="AA387" s="339"/>
      <c r="AB387" s="339"/>
      <c r="AC387" s="339"/>
      <c r="AD387" s="339"/>
    </row>
    <row r="388" spans="1:30" ht="15.75" customHeight="1">
      <c r="A388" s="339"/>
      <c r="B388" s="339"/>
      <c r="C388" s="339"/>
      <c r="D388" s="339"/>
      <c r="E388" s="339"/>
      <c r="F388" s="339"/>
      <c r="G388" s="339"/>
      <c r="H388" s="339"/>
      <c r="I388" s="339"/>
      <c r="J388" s="339"/>
      <c r="K388" s="339"/>
      <c r="L388" s="340"/>
      <c r="M388" s="339"/>
      <c r="N388" s="340"/>
      <c r="O388" s="339"/>
      <c r="P388" s="340"/>
      <c r="Q388" s="339"/>
      <c r="R388" s="340"/>
      <c r="S388" s="339"/>
      <c r="T388" s="340"/>
      <c r="U388" s="339"/>
      <c r="V388" s="340"/>
      <c r="W388" s="339"/>
      <c r="X388" s="339"/>
      <c r="Y388" s="339"/>
      <c r="Z388" s="340"/>
      <c r="AA388" s="339"/>
      <c r="AB388" s="339"/>
      <c r="AC388" s="339"/>
      <c r="AD388" s="339"/>
    </row>
    <row r="389" spans="1:30" ht="15.75" customHeight="1">
      <c r="A389" s="339"/>
      <c r="B389" s="339"/>
      <c r="C389" s="339"/>
      <c r="D389" s="339"/>
      <c r="E389" s="339"/>
      <c r="F389" s="339"/>
      <c r="G389" s="339"/>
      <c r="H389" s="339"/>
      <c r="I389" s="339"/>
      <c r="J389" s="339"/>
      <c r="K389" s="339"/>
      <c r="L389" s="340"/>
      <c r="M389" s="339"/>
      <c r="N389" s="340"/>
      <c r="O389" s="339"/>
      <c r="P389" s="340"/>
      <c r="Q389" s="339"/>
      <c r="R389" s="340"/>
      <c r="S389" s="339"/>
      <c r="T389" s="340"/>
      <c r="U389" s="339"/>
      <c r="V389" s="340"/>
      <c r="W389" s="339"/>
      <c r="X389" s="339"/>
      <c r="Y389" s="339"/>
      <c r="Z389" s="340"/>
      <c r="AA389" s="339"/>
      <c r="AB389" s="339"/>
      <c r="AC389" s="339"/>
      <c r="AD389" s="339"/>
    </row>
    <row r="390" spans="1:30" ht="15.75" customHeight="1">
      <c r="A390" s="339"/>
      <c r="B390" s="339"/>
      <c r="C390" s="339"/>
      <c r="D390" s="339"/>
      <c r="E390" s="339"/>
      <c r="F390" s="339"/>
      <c r="G390" s="339"/>
      <c r="H390" s="339"/>
      <c r="I390" s="339"/>
      <c r="J390" s="339"/>
      <c r="K390" s="339"/>
      <c r="L390" s="340"/>
      <c r="M390" s="339"/>
      <c r="N390" s="340"/>
      <c r="O390" s="339"/>
      <c r="P390" s="340"/>
      <c r="Q390" s="339"/>
      <c r="R390" s="340"/>
      <c r="S390" s="339"/>
      <c r="T390" s="340"/>
      <c r="U390" s="339"/>
      <c r="V390" s="340"/>
      <c r="W390" s="339"/>
      <c r="X390" s="339"/>
      <c r="Y390" s="339"/>
      <c r="Z390" s="340"/>
      <c r="AA390" s="339"/>
      <c r="AB390" s="339"/>
      <c r="AC390" s="339"/>
      <c r="AD390" s="339"/>
    </row>
    <row r="391" spans="1:30" ht="15.75" customHeight="1">
      <c r="A391" s="339"/>
      <c r="B391" s="339"/>
      <c r="C391" s="339"/>
      <c r="D391" s="339"/>
      <c r="E391" s="339"/>
      <c r="F391" s="339"/>
      <c r="G391" s="339"/>
      <c r="H391" s="339"/>
      <c r="I391" s="339"/>
      <c r="J391" s="339"/>
      <c r="K391" s="339"/>
      <c r="L391" s="340"/>
      <c r="M391" s="339"/>
      <c r="N391" s="340"/>
      <c r="O391" s="339"/>
      <c r="P391" s="340"/>
      <c r="Q391" s="339"/>
      <c r="R391" s="340"/>
      <c r="S391" s="339"/>
      <c r="T391" s="340"/>
      <c r="U391" s="339"/>
      <c r="V391" s="340"/>
      <c r="W391" s="339"/>
      <c r="X391" s="339"/>
      <c r="Y391" s="339"/>
      <c r="Z391" s="340"/>
      <c r="AA391" s="339"/>
      <c r="AB391" s="339"/>
      <c r="AC391" s="339"/>
      <c r="AD391" s="339"/>
    </row>
    <row r="392" spans="1:30" ht="15.75" customHeight="1">
      <c r="A392" s="339"/>
      <c r="B392" s="339"/>
      <c r="C392" s="339"/>
      <c r="D392" s="339"/>
      <c r="E392" s="339"/>
      <c r="F392" s="339"/>
      <c r="G392" s="339"/>
      <c r="H392" s="339"/>
      <c r="I392" s="339"/>
      <c r="J392" s="339"/>
      <c r="K392" s="339"/>
      <c r="L392" s="340"/>
      <c r="M392" s="339"/>
      <c r="N392" s="340"/>
      <c r="O392" s="339"/>
      <c r="P392" s="340"/>
      <c r="Q392" s="339"/>
      <c r="R392" s="340"/>
      <c r="S392" s="339"/>
      <c r="T392" s="340"/>
      <c r="U392" s="339"/>
      <c r="V392" s="340"/>
      <c r="W392" s="339"/>
      <c r="X392" s="339"/>
      <c r="Y392" s="339"/>
      <c r="Z392" s="340"/>
      <c r="AA392" s="339"/>
      <c r="AB392" s="339"/>
      <c r="AC392" s="339"/>
      <c r="AD392" s="339"/>
    </row>
    <row r="393" spans="1:30" ht="15.75" customHeight="1">
      <c r="A393" s="339"/>
      <c r="B393" s="339"/>
      <c r="C393" s="339"/>
      <c r="D393" s="339"/>
      <c r="E393" s="339"/>
      <c r="F393" s="339"/>
      <c r="G393" s="339"/>
      <c r="H393" s="339"/>
      <c r="I393" s="339"/>
      <c r="J393" s="339"/>
      <c r="K393" s="339"/>
      <c r="L393" s="340"/>
      <c r="M393" s="339"/>
      <c r="N393" s="340"/>
      <c r="O393" s="339"/>
      <c r="P393" s="340"/>
      <c r="Q393" s="339"/>
      <c r="R393" s="340"/>
      <c r="S393" s="339"/>
      <c r="T393" s="340"/>
      <c r="U393" s="339"/>
      <c r="V393" s="340"/>
      <c r="W393" s="339"/>
      <c r="X393" s="339"/>
      <c r="Y393" s="339"/>
      <c r="Z393" s="340"/>
      <c r="AA393" s="339"/>
      <c r="AB393" s="339"/>
      <c r="AC393" s="339"/>
      <c r="AD393" s="339"/>
    </row>
    <row r="394" spans="1:30" ht="15.75" customHeight="1">
      <c r="A394" s="339"/>
      <c r="B394" s="339"/>
      <c r="C394" s="339"/>
      <c r="D394" s="339"/>
      <c r="E394" s="339"/>
      <c r="F394" s="339"/>
      <c r="G394" s="339"/>
      <c r="H394" s="339"/>
      <c r="I394" s="339"/>
      <c r="J394" s="339"/>
      <c r="K394" s="339"/>
      <c r="L394" s="340"/>
      <c r="M394" s="339"/>
      <c r="N394" s="340"/>
      <c r="O394" s="339"/>
      <c r="P394" s="340"/>
      <c r="Q394" s="339"/>
      <c r="R394" s="340"/>
      <c r="S394" s="339"/>
      <c r="T394" s="340"/>
      <c r="U394" s="339"/>
      <c r="V394" s="340"/>
      <c r="W394" s="339"/>
      <c r="X394" s="339"/>
      <c r="Y394" s="339"/>
      <c r="Z394" s="340"/>
      <c r="AA394" s="339"/>
      <c r="AB394" s="339"/>
      <c r="AC394" s="339"/>
      <c r="AD394" s="339"/>
    </row>
    <row r="395" spans="1:30" ht="15.75" customHeight="1">
      <c r="A395" s="339"/>
      <c r="B395" s="339"/>
      <c r="C395" s="339"/>
      <c r="D395" s="339"/>
      <c r="E395" s="339"/>
      <c r="F395" s="339"/>
      <c r="G395" s="339"/>
      <c r="H395" s="339"/>
      <c r="I395" s="339"/>
      <c r="J395" s="339"/>
      <c r="K395" s="339"/>
      <c r="L395" s="340"/>
      <c r="M395" s="339"/>
      <c r="N395" s="340"/>
      <c r="O395" s="339"/>
      <c r="P395" s="340"/>
      <c r="Q395" s="339"/>
      <c r="R395" s="340"/>
      <c r="S395" s="339"/>
      <c r="T395" s="340"/>
      <c r="U395" s="339"/>
      <c r="V395" s="340"/>
      <c r="W395" s="339"/>
      <c r="X395" s="339"/>
      <c r="Y395" s="339"/>
      <c r="Z395" s="340"/>
      <c r="AA395" s="339"/>
      <c r="AB395" s="339"/>
      <c r="AC395" s="339"/>
      <c r="AD395" s="339"/>
    </row>
    <row r="396" spans="1:30" ht="15.75" customHeight="1">
      <c r="A396" s="339"/>
      <c r="B396" s="339"/>
      <c r="C396" s="339"/>
      <c r="D396" s="339"/>
      <c r="E396" s="339"/>
      <c r="F396" s="339"/>
      <c r="G396" s="339"/>
      <c r="H396" s="339"/>
      <c r="I396" s="339"/>
      <c r="J396" s="339"/>
      <c r="K396" s="339"/>
      <c r="L396" s="340"/>
      <c r="M396" s="339"/>
      <c r="N396" s="340"/>
      <c r="O396" s="339"/>
      <c r="P396" s="340"/>
      <c r="Q396" s="339"/>
      <c r="R396" s="340"/>
      <c r="S396" s="339"/>
      <c r="T396" s="340"/>
      <c r="U396" s="339"/>
      <c r="V396" s="340"/>
      <c r="W396" s="339"/>
      <c r="X396" s="339"/>
      <c r="Y396" s="339"/>
      <c r="Z396" s="340"/>
      <c r="AA396" s="339"/>
      <c r="AB396" s="339"/>
      <c r="AC396" s="339"/>
      <c r="AD396" s="339"/>
    </row>
    <row r="397" spans="1:30" ht="15.75" customHeight="1">
      <c r="A397" s="339"/>
      <c r="B397" s="339"/>
      <c r="C397" s="339"/>
      <c r="D397" s="339"/>
      <c r="E397" s="339"/>
      <c r="F397" s="339"/>
      <c r="G397" s="339"/>
      <c r="H397" s="339"/>
      <c r="I397" s="339"/>
      <c r="J397" s="339"/>
      <c r="K397" s="339"/>
      <c r="L397" s="340"/>
      <c r="M397" s="339"/>
      <c r="N397" s="340"/>
      <c r="O397" s="339"/>
      <c r="P397" s="340"/>
      <c r="Q397" s="339"/>
      <c r="R397" s="340"/>
      <c r="S397" s="339"/>
      <c r="T397" s="340"/>
      <c r="U397" s="339"/>
      <c r="V397" s="340"/>
      <c r="W397" s="339"/>
      <c r="X397" s="339"/>
      <c r="Y397" s="339"/>
      <c r="Z397" s="340"/>
      <c r="AA397" s="339"/>
      <c r="AB397" s="339"/>
      <c r="AC397" s="339"/>
      <c r="AD397" s="339"/>
    </row>
    <row r="398" spans="1:30" ht="15.75" customHeight="1">
      <c r="A398" s="339"/>
      <c r="B398" s="339"/>
      <c r="C398" s="339"/>
      <c r="D398" s="339"/>
      <c r="E398" s="339"/>
      <c r="F398" s="339"/>
      <c r="G398" s="339"/>
      <c r="H398" s="339"/>
      <c r="I398" s="339"/>
      <c r="J398" s="339"/>
      <c r="K398" s="339"/>
      <c r="L398" s="340"/>
      <c r="M398" s="339"/>
      <c r="N398" s="340"/>
      <c r="O398" s="339"/>
      <c r="P398" s="340"/>
      <c r="Q398" s="339"/>
      <c r="R398" s="340"/>
      <c r="S398" s="339"/>
      <c r="T398" s="340"/>
      <c r="U398" s="339"/>
      <c r="V398" s="340"/>
      <c r="W398" s="339"/>
      <c r="X398" s="339"/>
      <c r="Y398" s="339"/>
      <c r="Z398" s="340"/>
      <c r="AA398" s="339"/>
      <c r="AB398" s="339"/>
      <c r="AC398" s="339"/>
      <c r="AD398" s="339"/>
    </row>
    <row r="399" spans="1:30" ht="15.75" customHeight="1">
      <c r="A399" s="339"/>
      <c r="B399" s="339"/>
      <c r="C399" s="339"/>
      <c r="D399" s="339"/>
      <c r="E399" s="339"/>
      <c r="F399" s="339"/>
      <c r="G399" s="339"/>
      <c r="H399" s="339"/>
      <c r="I399" s="339"/>
      <c r="J399" s="339"/>
      <c r="K399" s="339"/>
      <c r="L399" s="340"/>
      <c r="M399" s="339"/>
      <c r="N399" s="340"/>
      <c r="O399" s="339"/>
      <c r="P399" s="340"/>
      <c r="Q399" s="339"/>
      <c r="R399" s="340"/>
      <c r="S399" s="339"/>
      <c r="T399" s="340"/>
      <c r="U399" s="339"/>
      <c r="V399" s="340"/>
      <c r="W399" s="339"/>
      <c r="X399" s="339"/>
      <c r="Y399" s="339"/>
      <c r="Z399" s="340"/>
      <c r="AA399" s="339"/>
      <c r="AB399" s="339"/>
      <c r="AC399" s="339"/>
      <c r="AD399" s="339"/>
    </row>
    <row r="400" spans="1:30" ht="15.75" customHeight="1">
      <c r="A400" s="339"/>
      <c r="B400" s="339"/>
      <c r="C400" s="339"/>
      <c r="D400" s="339"/>
      <c r="E400" s="339"/>
      <c r="F400" s="339"/>
      <c r="G400" s="339"/>
      <c r="H400" s="339"/>
      <c r="I400" s="339"/>
      <c r="J400" s="339"/>
      <c r="K400" s="339"/>
      <c r="L400" s="340"/>
      <c r="M400" s="339"/>
      <c r="N400" s="340"/>
      <c r="O400" s="339"/>
      <c r="P400" s="340"/>
      <c r="Q400" s="339"/>
      <c r="R400" s="340"/>
      <c r="S400" s="339"/>
      <c r="T400" s="340"/>
      <c r="U400" s="339"/>
      <c r="V400" s="340"/>
      <c r="W400" s="339"/>
      <c r="X400" s="339"/>
      <c r="Y400" s="339"/>
      <c r="Z400" s="340"/>
      <c r="AA400" s="339"/>
      <c r="AB400" s="339"/>
      <c r="AC400" s="339"/>
      <c r="AD400" s="339"/>
    </row>
    <row r="401" spans="1:30" ht="15.75" customHeight="1">
      <c r="A401" s="339"/>
      <c r="B401" s="339"/>
      <c r="C401" s="339"/>
      <c r="D401" s="339"/>
      <c r="E401" s="339"/>
      <c r="F401" s="339"/>
      <c r="G401" s="339"/>
      <c r="H401" s="339"/>
      <c r="I401" s="339"/>
      <c r="J401" s="339"/>
      <c r="K401" s="339"/>
      <c r="L401" s="340"/>
      <c r="M401" s="339"/>
      <c r="N401" s="340"/>
      <c r="O401" s="339"/>
      <c r="P401" s="340"/>
      <c r="Q401" s="339"/>
      <c r="R401" s="340"/>
      <c r="S401" s="339"/>
      <c r="T401" s="340"/>
      <c r="U401" s="339"/>
      <c r="V401" s="340"/>
      <c r="W401" s="339"/>
      <c r="X401" s="339"/>
      <c r="Y401" s="339"/>
      <c r="Z401" s="340"/>
      <c r="AA401" s="339"/>
      <c r="AB401" s="339"/>
      <c r="AC401" s="339"/>
      <c r="AD401" s="339"/>
    </row>
    <row r="402" spans="1:30" ht="15.75" customHeight="1">
      <c r="A402" s="339"/>
      <c r="B402" s="339"/>
      <c r="C402" s="339"/>
      <c r="D402" s="339"/>
      <c r="E402" s="339"/>
      <c r="F402" s="339"/>
      <c r="G402" s="339"/>
      <c r="H402" s="339"/>
      <c r="I402" s="339"/>
      <c r="J402" s="339"/>
      <c r="K402" s="339"/>
      <c r="L402" s="340"/>
      <c r="M402" s="339"/>
      <c r="N402" s="340"/>
      <c r="O402" s="339"/>
      <c r="P402" s="340"/>
      <c r="Q402" s="339"/>
      <c r="R402" s="340"/>
      <c r="S402" s="339"/>
      <c r="T402" s="340"/>
      <c r="U402" s="339"/>
      <c r="V402" s="340"/>
      <c r="W402" s="339"/>
      <c r="X402" s="339"/>
      <c r="Y402" s="339"/>
      <c r="Z402" s="340"/>
      <c r="AA402" s="339"/>
      <c r="AB402" s="339"/>
      <c r="AC402" s="339"/>
      <c r="AD402" s="339"/>
    </row>
    <row r="403" spans="1:30" ht="15.75" customHeight="1">
      <c r="A403" s="339"/>
      <c r="B403" s="339"/>
      <c r="C403" s="339"/>
      <c r="D403" s="339"/>
      <c r="E403" s="339"/>
      <c r="F403" s="339"/>
      <c r="G403" s="339"/>
      <c r="H403" s="339"/>
      <c r="I403" s="339"/>
      <c r="J403" s="339"/>
      <c r="K403" s="339"/>
      <c r="L403" s="340"/>
      <c r="M403" s="339"/>
      <c r="N403" s="340"/>
      <c r="O403" s="339"/>
      <c r="P403" s="340"/>
      <c r="Q403" s="339"/>
      <c r="R403" s="340"/>
      <c r="S403" s="339"/>
      <c r="T403" s="340"/>
      <c r="U403" s="339"/>
      <c r="V403" s="340"/>
      <c r="W403" s="339"/>
      <c r="X403" s="339"/>
      <c r="Y403" s="339"/>
      <c r="Z403" s="340"/>
      <c r="AA403" s="339"/>
      <c r="AB403" s="339"/>
      <c r="AC403" s="339"/>
      <c r="AD403" s="339"/>
    </row>
    <row r="404" spans="1:30" ht="15.75" customHeight="1">
      <c r="A404" s="339"/>
      <c r="B404" s="339"/>
      <c r="C404" s="339"/>
      <c r="D404" s="339"/>
      <c r="E404" s="339"/>
      <c r="F404" s="339"/>
      <c r="G404" s="339"/>
      <c r="H404" s="339"/>
      <c r="I404" s="339"/>
      <c r="J404" s="339"/>
      <c r="K404" s="339"/>
      <c r="L404" s="340"/>
      <c r="M404" s="339"/>
      <c r="N404" s="340"/>
      <c r="O404" s="339"/>
      <c r="P404" s="340"/>
      <c r="Q404" s="339"/>
      <c r="R404" s="340"/>
      <c r="S404" s="339"/>
      <c r="T404" s="340"/>
      <c r="U404" s="339"/>
      <c r="V404" s="340"/>
      <c r="W404" s="339"/>
      <c r="X404" s="339"/>
      <c r="Y404" s="339"/>
      <c r="Z404" s="340"/>
      <c r="AA404" s="339"/>
      <c r="AB404" s="339"/>
      <c r="AC404" s="339"/>
      <c r="AD404" s="339"/>
    </row>
    <row r="405" spans="1:30" ht="15.75" customHeight="1">
      <c r="A405" s="339"/>
      <c r="B405" s="339"/>
      <c r="C405" s="339"/>
      <c r="D405" s="339"/>
      <c r="E405" s="339"/>
      <c r="F405" s="339"/>
      <c r="G405" s="339"/>
      <c r="H405" s="339"/>
      <c r="I405" s="339"/>
      <c r="J405" s="339"/>
      <c r="K405" s="339"/>
      <c r="L405" s="340"/>
      <c r="M405" s="339"/>
      <c r="N405" s="340"/>
      <c r="O405" s="339"/>
      <c r="P405" s="340"/>
      <c r="Q405" s="339"/>
      <c r="R405" s="340"/>
      <c r="S405" s="339"/>
      <c r="T405" s="340"/>
      <c r="U405" s="339"/>
      <c r="V405" s="340"/>
      <c r="W405" s="339"/>
      <c r="X405" s="339"/>
      <c r="Y405" s="339"/>
      <c r="Z405" s="340"/>
      <c r="AA405" s="339"/>
      <c r="AB405" s="339"/>
      <c r="AC405" s="339"/>
      <c r="AD405" s="339"/>
    </row>
    <row r="406" spans="1:30" ht="15.75" customHeight="1">
      <c r="A406" s="339"/>
      <c r="B406" s="339"/>
      <c r="C406" s="339"/>
      <c r="D406" s="339"/>
      <c r="E406" s="339"/>
      <c r="F406" s="339"/>
      <c r="G406" s="339"/>
      <c r="H406" s="339"/>
      <c r="I406" s="339"/>
      <c r="J406" s="339"/>
      <c r="K406" s="339"/>
      <c r="L406" s="340"/>
      <c r="M406" s="339"/>
      <c r="N406" s="340"/>
      <c r="O406" s="339"/>
      <c r="P406" s="340"/>
      <c r="Q406" s="339"/>
      <c r="R406" s="340"/>
      <c r="S406" s="339"/>
      <c r="T406" s="340"/>
      <c r="U406" s="339"/>
      <c r="V406" s="340"/>
      <c r="W406" s="339"/>
      <c r="X406" s="339"/>
      <c r="Y406" s="339"/>
      <c r="Z406" s="340"/>
      <c r="AA406" s="339"/>
      <c r="AB406" s="339"/>
      <c r="AC406" s="339"/>
      <c r="AD406" s="339"/>
    </row>
    <row r="407" spans="1:30" ht="15.75" customHeight="1">
      <c r="A407" s="339"/>
      <c r="B407" s="339"/>
      <c r="C407" s="339"/>
      <c r="D407" s="339"/>
      <c r="E407" s="339"/>
      <c r="F407" s="339"/>
      <c r="G407" s="339"/>
      <c r="H407" s="339"/>
      <c r="I407" s="339"/>
      <c r="J407" s="339"/>
      <c r="K407" s="339"/>
      <c r="L407" s="340"/>
      <c r="M407" s="339"/>
      <c r="N407" s="340"/>
      <c r="O407" s="339"/>
      <c r="P407" s="340"/>
      <c r="Q407" s="339"/>
      <c r="R407" s="340"/>
      <c r="S407" s="339"/>
      <c r="T407" s="340"/>
      <c r="U407" s="339"/>
      <c r="V407" s="340"/>
      <c r="W407" s="339"/>
      <c r="X407" s="339"/>
      <c r="Y407" s="339"/>
      <c r="Z407" s="340"/>
      <c r="AA407" s="339"/>
      <c r="AB407" s="339"/>
      <c r="AC407" s="339"/>
      <c r="AD407" s="339"/>
    </row>
    <row r="408" spans="1:30" ht="15.75" customHeight="1">
      <c r="A408" s="339"/>
      <c r="B408" s="339"/>
      <c r="C408" s="339"/>
      <c r="D408" s="339"/>
      <c r="E408" s="339"/>
      <c r="F408" s="339"/>
      <c r="G408" s="339"/>
      <c r="H408" s="339"/>
      <c r="I408" s="339"/>
      <c r="J408" s="339"/>
      <c r="K408" s="339"/>
      <c r="L408" s="340"/>
      <c r="M408" s="339"/>
      <c r="N408" s="340"/>
      <c r="O408" s="339"/>
      <c r="P408" s="340"/>
      <c r="Q408" s="339"/>
      <c r="R408" s="340"/>
      <c r="S408" s="339"/>
      <c r="T408" s="340"/>
      <c r="U408" s="339"/>
      <c r="V408" s="340"/>
      <c r="W408" s="339"/>
      <c r="X408" s="339"/>
      <c r="Y408" s="339"/>
      <c r="Z408" s="340"/>
      <c r="AA408" s="339"/>
      <c r="AB408" s="339"/>
      <c r="AC408" s="339"/>
      <c r="AD408" s="339"/>
    </row>
    <row r="409" spans="1:30" ht="15.75" customHeight="1">
      <c r="A409" s="339"/>
      <c r="B409" s="339"/>
      <c r="C409" s="339"/>
      <c r="D409" s="339"/>
      <c r="E409" s="339"/>
      <c r="F409" s="339"/>
      <c r="G409" s="339"/>
      <c r="H409" s="339"/>
      <c r="I409" s="339"/>
      <c r="J409" s="339"/>
      <c r="K409" s="339"/>
      <c r="L409" s="340"/>
      <c r="M409" s="339"/>
      <c r="N409" s="340"/>
      <c r="O409" s="339"/>
      <c r="P409" s="340"/>
      <c r="Q409" s="339"/>
      <c r="R409" s="340"/>
      <c r="S409" s="339"/>
      <c r="T409" s="340"/>
      <c r="U409" s="339"/>
      <c r="V409" s="340"/>
      <c r="W409" s="339"/>
      <c r="X409" s="339"/>
      <c r="Y409" s="339"/>
      <c r="Z409" s="340"/>
      <c r="AA409" s="339"/>
      <c r="AB409" s="339"/>
      <c r="AC409" s="339"/>
      <c r="AD409" s="339"/>
    </row>
    <row r="410" spans="1:30" ht="15.75" customHeight="1">
      <c r="A410" s="339"/>
      <c r="B410" s="339"/>
      <c r="C410" s="339"/>
      <c r="D410" s="339"/>
      <c r="E410" s="339"/>
      <c r="F410" s="339"/>
      <c r="G410" s="339"/>
      <c r="H410" s="339"/>
      <c r="I410" s="339"/>
      <c r="J410" s="339"/>
      <c r="K410" s="339"/>
      <c r="L410" s="340"/>
      <c r="M410" s="339"/>
      <c r="N410" s="340"/>
      <c r="O410" s="339"/>
      <c r="P410" s="340"/>
      <c r="Q410" s="339"/>
      <c r="R410" s="340"/>
      <c r="S410" s="339"/>
      <c r="T410" s="340"/>
      <c r="U410" s="339"/>
      <c r="V410" s="340"/>
      <c r="W410" s="339"/>
      <c r="X410" s="339"/>
      <c r="Y410" s="339"/>
      <c r="Z410" s="340"/>
      <c r="AA410" s="339"/>
      <c r="AB410" s="339"/>
      <c r="AC410" s="339"/>
      <c r="AD410" s="339"/>
    </row>
    <row r="411" spans="1:30" ht="15.75" customHeight="1">
      <c r="A411" s="339"/>
      <c r="B411" s="339"/>
      <c r="C411" s="339"/>
      <c r="D411" s="339"/>
      <c r="E411" s="339"/>
      <c r="F411" s="339"/>
      <c r="G411" s="339"/>
      <c r="H411" s="339"/>
      <c r="I411" s="339"/>
      <c r="J411" s="339"/>
      <c r="K411" s="339"/>
      <c r="L411" s="340"/>
      <c r="M411" s="339"/>
      <c r="N411" s="340"/>
      <c r="O411" s="339"/>
      <c r="P411" s="340"/>
      <c r="Q411" s="339"/>
      <c r="R411" s="340"/>
      <c r="S411" s="339"/>
      <c r="T411" s="340"/>
      <c r="U411" s="339"/>
      <c r="V411" s="340"/>
      <c r="W411" s="339"/>
      <c r="X411" s="339"/>
      <c r="Y411" s="339"/>
      <c r="Z411" s="340"/>
      <c r="AA411" s="339"/>
      <c r="AB411" s="339"/>
      <c r="AC411" s="339"/>
      <c r="AD411" s="339"/>
    </row>
    <row r="412" spans="1:30" ht="15.75" customHeight="1">
      <c r="A412" s="339"/>
      <c r="B412" s="339"/>
      <c r="C412" s="339"/>
      <c r="D412" s="339"/>
      <c r="E412" s="339"/>
      <c r="F412" s="339"/>
      <c r="G412" s="339"/>
      <c r="H412" s="339"/>
      <c r="I412" s="339"/>
      <c r="J412" s="339"/>
      <c r="K412" s="339"/>
      <c r="L412" s="340"/>
      <c r="M412" s="339"/>
      <c r="N412" s="340"/>
      <c r="O412" s="339"/>
      <c r="P412" s="340"/>
      <c r="Q412" s="339"/>
      <c r="R412" s="340"/>
      <c r="S412" s="339"/>
      <c r="T412" s="340"/>
      <c r="U412" s="339"/>
      <c r="V412" s="340"/>
      <c r="W412" s="339"/>
      <c r="X412" s="339"/>
      <c r="Y412" s="339"/>
      <c r="Z412" s="340"/>
      <c r="AA412" s="339"/>
      <c r="AB412" s="339"/>
      <c r="AC412" s="339"/>
      <c r="AD412" s="339"/>
    </row>
    <row r="413" spans="1:30" ht="15.75" customHeight="1">
      <c r="A413" s="339"/>
      <c r="B413" s="339"/>
      <c r="C413" s="339"/>
      <c r="D413" s="339"/>
      <c r="E413" s="339"/>
      <c r="F413" s="339"/>
      <c r="G413" s="339"/>
      <c r="H413" s="339"/>
      <c r="I413" s="339"/>
      <c r="J413" s="339"/>
      <c r="K413" s="339"/>
      <c r="L413" s="340"/>
      <c r="M413" s="339"/>
      <c r="N413" s="340"/>
      <c r="O413" s="339"/>
      <c r="P413" s="340"/>
      <c r="Q413" s="339"/>
      <c r="R413" s="340"/>
      <c r="S413" s="339"/>
      <c r="T413" s="340"/>
      <c r="U413" s="339"/>
      <c r="V413" s="340"/>
      <c r="W413" s="339"/>
      <c r="X413" s="339"/>
      <c r="Y413" s="339"/>
      <c r="Z413" s="340"/>
      <c r="AA413" s="339"/>
      <c r="AB413" s="339"/>
      <c r="AC413" s="339"/>
      <c r="AD413" s="339"/>
    </row>
    <row r="414" spans="1:30" ht="15.75" customHeight="1">
      <c r="A414" s="339"/>
      <c r="B414" s="339"/>
      <c r="C414" s="339"/>
      <c r="D414" s="339"/>
      <c r="E414" s="339"/>
      <c r="F414" s="339"/>
      <c r="G414" s="339"/>
      <c r="H414" s="339"/>
      <c r="I414" s="339"/>
      <c r="J414" s="339"/>
      <c r="K414" s="339"/>
      <c r="L414" s="340"/>
      <c r="M414" s="339"/>
      <c r="N414" s="340"/>
      <c r="O414" s="339"/>
      <c r="P414" s="340"/>
      <c r="Q414" s="339"/>
      <c r="R414" s="340"/>
      <c r="S414" s="339"/>
      <c r="T414" s="340"/>
      <c r="U414" s="339"/>
      <c r="V414" s="340"/>
      <c r="W414" s="339"/>
      <c r="X414" s="339"/>
      <c r="Y414" s="339"/>
      <c r="Z414" s="340"/>
      <c r="AA414" s="339"/>
      <c r="AB414" s="339"/>
      <c r="AC414" s="339"/>
      <c r="AD414" s="339"/>
    </row>
    <row r="415" spans="1:30" ht="15.75" customHeight="1">
      <c r="A415" s="339"/>
      <c r="B415" s="339"/>
      <c r="C415" s="339"/>
      <c r="D415" s="339"/>
      <c r="E415" s="339"/>
      <c r="F415" s="339"/>
      <c r="G415" s="339"/>
      <c r="H415" s="339"/>
      <c r="I415" s="339"/>
      <c r="J415" s="339"/>
      <c r="K415" s="339"/>
      <c r="L415" s="340"/>
      <c r="M415" s="339"/>
      <c r="N415" s="340"/>
      <c r="O415" s="339"/>
      <c r="P415" s="340"/>
      <c r="Q415" s="339"/>
      <c r="R415" s="340"/>
      <c r="S415" s="339"/>
      <c r="T415" s="340"/>
      <c r="U415" s="339"/>
      <c r="V415" s="340"/>
      <c r="W415" s="339"/>
      <c r="X415" s="339"/>
      <c r="Y415" s="339"/>
      <c r="Z415" s="340"/>
      <c r="AA415" s="339"/>
      <c r="AB415" s="339"/>
      <c r="AC415" s="339"/>
      <c r="AD415" s="339"/>
    </row>
    <row r="416" spans="1:30" ht="15.75" customHeight="1">
      <c r="A416" s="339"/>
      <c r="B416" s="339"/>
      <c r="C416" s="339"/>
      <c r="D416" s="339"/>
      <c r="E416" s="339"/>
      <c r="F416" s="339"/>
      <c r="G416" s="339"/>
      <c r="H416" s="339"/>
      <c r="I416" s="339"/>
      <c r="J416" s="339"/>
      <c r="K416" s="339"/>
      <c r="L416" s="340"/>
      <c r="M416" s="339"/>
      <c r="N416" s="340"/>
      <c r="O416" s="339"/>
      <c r="P416" s="340"/>
      <c r="Q416" s="339"/>
      <c r="R416" s="340"/>
      <c r="S416" s="339"/>
      <c r="T416" s="340"/>
      <c r="U416" s="339"/>
      <c r="V416" s="340"/>
      <c r="W416" s="339"/>
      <c r="X416" s="339"/>
      <c r="Y416" s="339"/>
      <c r="Z416" s="340"/>
      <c r="AA416" s="339"/>
      <c r="AB416" s="339"/>
      <c r="AC416" s="339"/>
      <c r="AD416" s="339"/>
    </row>
    <row r="417" spans="1:30" ht="15.75" customHeight="1">
      <c r="A417" s="339"/>
      <c r="B417" s="339"/>
      <c r="C417" s="339"/>
      <c r="D417" s="339"/>
      <c r="E417" s="339"/>
      <c r="F417" s="339"/>
      <c r="G417" s="339"/>
      <c r="H417" s="339"/>
      <c r="I417" s="339"/>
      <c r="J417" s="339"/>
      <c r="K417" s="339"/>
      <c r="L417" s="340"/>
      <c r="M417" s="339"/>
      <c r="N417" s="340"/>
      <c r="O417" s="339"/>
      <c r="P417" s="340"/>
      <c r="Q417" s="339"/>
      <c r="R417" s="340"/>
      <c r="S417" s="339"/>
      <c r="T417" s="340"/>
      <c r="U417" s="339"/>
      <c r="V417" s="340"/>
      <c r="W417" s="339"/>
      <c r="X417" s="339"/>
      <c r="Y417" s="339"/>
      <c r="Z417" s="340"/>
      <c r="AA417" s="339"/>
      <c r="AB417" s="339"/>
      <c r="AC417" s="339"/>
      <c r="AD417" s="339"/>
    </row>
    <row r="418" spans="1:30" ht="15.75" customHeight="1">
      <c r="A418" s="339"/>
      <c r="B418" s="339"/>
      <c r="C418" s="339"/>
      <c r="D418" s="339"/>
      <c r="E418" s="339"/>
      <c r="F418" s="339"/>
      <c r="G418" s="339"/>
      <c r="H418" s="339"/>
      <c r="I418" s="339"/>
      <c r="J418" s="339"/>
      <c r="K418" s="339"/>
      <c r="L418" s="340"/>
      <c r="M418" s="339"/>
      <c r="N418" s="340"/>
      <c r="O418" s="339"/>
      <c r="P418" s="340"/>
      <c r="Q418" s="339"/>
      <c r="R418" s="340"/>
      <c r="S418" s="339"/>
      <c r="T418" s="340"/>
      <c r="U418" s="339"/>
      <c r="V418" s="340"/>
      <c r="W418" s="339"/>
      <c r="X418" s="339"/>
      <c r="Y418" s="339"/>
      <c r="Z418" s="340"/>
      <c r="AA418" s="339"/>
      <c r="AB418" s="339"/>
      <c r="AC418" s="339"/>
      <c r="AD418" s="339"/>
    </row>
    <row r="419" spans="1:30" ht="15.75" customHeight="1">
      <c r="A419" s="339"/>
      <c r="B419" s="339"/>
      <c r="C419" s="339"/>
      <c r="D419" s="339"/>
      <c r="E419" s="339"/>
      <c r="F419" s="339"/>
      <c r="G419" s="339"/>
      <c r="H419" s="339"/>
      <c r="I419" s="339"/>
      <c r="J419" s="339"/>
      <c r="K419" s="339"/>
      <c r="L419" s="340"/>
      <c r="M419" s="339"/>
      <c r="N419" s="340"/>
      <c r="O419" s="339"/>
      <c r="P419" s="340"/>
      <c r="Q419" s="339"/>
      <c r="R419" s="340"/>
      <c r="S419" s="339"/>
      <c r="T419" s="340"/>
      <c r="U419" s="339"/>
      <c r="V419" s="340"/>
      <c r="W419" s="339"/>
      <c r="X419" s="339"/>
      <c r="Y419" s="339"/>
      <c r="Z419" s="340"/>
      <c r="AA419" s="339"/>
      <c r="AB419" s="339"/>
      <c r="AC419" s="339"/>
      <c r="AD419" s="339"/>
    </row>
    <row r="420" spans="1:30" ht="15.75" customHeight="1">
      <c r="A420" s="339"/>
      <c r="B420" s="339"/>
      <c r="C420" s="339"/>
      <c r="D420" s="339"/>
      <c r="E420" s="339"/>
      <c r="F420" s="339"/>
      <c r="G420" s="339"/>
      <c r="H420" s="339"/>
      <c r="I420" s="339"/>
      <c r="J420" s="339"/>
      <c r="K420" s="339"/>
      <c r="L420" s="340"/>
      <c r="M420" s="339"/>
      <c r="N420" s="340"/>
      <c r="O420" s="339"/>
      <c r="P420" s="340"/>
      <c r="Q420" s="339"/>
      <c r="R420" s="340"/>
      <c r="S420" s="339"/>
      <c r="T420" s="340"/>
      <c r="U420" s="339"/>
      <c r="V420" s="340"/>
      <c r="W420" s="339"/>
      <c r="X420" s="339"/>
      <c r="Y420" s="339"/>
      <c r="Z420" s="340"/>
      <c r="AA420" s="339"/>
      <c r="AB420" s="339"/>
      <c r="AC420" s="339"/>
      <c r="AD420" s="339"/>
    </row>
    <row r="421" spans="1:30" ht="15.75" customHeight="1">
      <c r="A421" s="339"/>
      <c r="B421" s="339"/>
      <c r="C421" s="339"/>
      <c r="D421" s="339"/>
      <c r="E421" s="339"/>
      <c r="F421" s="339"/>
      <c r="G421" s="339"/>
      <c r="H421" s="339"/>
      <c r="I421" s="339"/>
      <c r="J421" s="339"/>
      <c r="K421" s="339"/>
      <c r="L421" s="340"/>
      <c r="M421" s="339"/>
      <c r="N421" s="340"/>
      <c r="O421" s="339"/>
      <c r="P421" s="340"/>
      <c r="Q421" s="339"/>
      <c r="R421" s="340"/>
      <c r="S421" s="339"/>
      <c r="T421" s="340"/>
      <c r="U421" s="339"/>
      <c r="V421" s="340"/>
      <c r="W421" s="339"/>
      <c r="X421" s="339"/>
      <c r="Y421" s="339"/>
      <c r="Z421" s="340"/>
      <c r="AA421" s="339"/>
      <c r="AB421" s="339"/>
      <c r="AC421" s="339"/>
      <c r="AD421" s="339"/>
    </row>
    <row r="422" spans="1:30" ht="15.75" customHeight="1">
      <c r="A422" s="339"/>
      <c r="B422" s="339"/>
      <c r="C422" s="339"/>
      <c r="D422" s="339"/>
      <c r="E422" s="339"/>
      <c r="F422" s="339"/>
      <c r="G422" s="339"/>
      <c r="H422" s="339"/>
      <c r="I422" s="339"/>
      <c r="J422" s="339"/>
      <c r="K422" s="339"/>
      <c r="L422" s="340"/>
      <c r="M422" s="339"/>
      <c r="N422" s="340"/>
      <c r="O422" s="339"/>
      <c r="P422" s="340"/>
      <c r="Q422" s="339"/>
      <c r="R422" s="340"/>
      <c r="S422" s="339"/>
      <c r="T422" s="340"/>
      <c r="U422" s="339"/>
      <c r="V422" s="340"/>
      <c r="W422" s="339"/>
      <c r="X422" s="339"/>
      <c r="Y422" s="339"/>
      <c r="Z422" s="340"/>
      <c r="AA422" s="339"/>
      <c r="AB422" s="339"/>
      <c r="AC422" s="339"/>
      <c r="AD422" s="339"/>
    </row>
    <row r="423" spans="1:30" ht="15.75" customHeight="1">
      <c r="A423" s="339"/>
      <c r="B423" s="339"/>
      <c r="C423" s="339"/>
      <c r="D423" s="339"/>
      <c r="E423" s="339"/>
      <c r="F423" s="339"/>
      <c r="G423" s="339"/>
      <c r="H423" s="339"/>
      <c r="I423" s="339"/>
      <c r="J423" s="339"/>
      <c r="K423" s="339"/>
      <c r="L423" s="340"/>
      <c r="M423" s="339"/>
      <c r="N423" s="340"/>
      <c r="O423" s="339"/>
      <c r="P423" s="340"/>
      <c r="Q423" s="339"/>
      <c r="R423" s="340"/>
      <c r="S423" s="339"/>
      <c r="T423" s="340"/>
      <c r="U423" s="339"/>
      <c r="V423" s="340"/>
      <c r="W423" s="339"/>
      <c r="X423" s="339"/>
      <c r="Y423" s="339"/>
      <c r="Z423" s="340"/>
      <c r="AA423" s="339"/>
      <c r="AB423" s="339"/>
      <c r="AC423" s="339"/>
      <c r="AD423" s="339"/>
    </row>
    <row r="424" spans="1:30" ht="15.75" customHeight="1">
      <c r="A424" s="339"/>
      <c r="B424" s="339"/>
      <c r="C424" s="339"/>
      <c r="D424" s="339"/>
      <c r="E424" s="339"/>
      <c r="F424" s="339"/>
      <c r="G424" s="339"/>
      <c r="H424" s="339"/>
      <c r="I424" s="339"/>
      <c r="J424" s="339"/>
      <c r="K424" s="339"/>
      <c r="L424" s="340"/>
      <c r="M424" s="339"/>
      <c r="N424" s="340"/>
      <c r="O424" s="339"/>
      <c r="P424" s="340"/>
      <c r="Q424" s="339"/>
      <c r="R424" s="340"/>
      <c r="S424" s="339"/>
      <c r="T424" s="340"/>
      <c r="U424" s="339"/>
      <c r="V424" s="340"/>
      <c r="W424" s="339"/>
      <c r="X424" s="339"/>
      <c r="Y424" s="339"/>
      <c r="Z424" s="340"/>
      <c r="AA424" s="339"/>
      <c r="AB424" s="339"/>
      <c r="AC424" s="339"/>
      <c r="AD424" s="339"/>
    </row>
    <row r="425" spans="1:30" ht="15.75" customHeight="1">
      <c r="A425" s="339"/>
      <c r="B425" s="339"/>
      <c r="C425" s="339"/>
      <c r="D425" s="339"/>
      <c r="E425" s="339"/>
      <c r="F425" s="339"/>
      <c r="G425" s="339"/>
      <c r="H425" s="339"/>
      <c r="I425" s="339"/>
      <c r="J425" s="339"/>
      <c r="K425" s="339"/>
      <c r="L425" s="340"/>
      <c r="M425" s="339"/>
      <c r="N425" s="340"/>
      <c r="O425" s="339"/>
      <c r="P425" s="340"/>
      <c r="Q425" s="339"/>
      <c r="R425" s="340"/>
      <c r="S425" s="339"/>
      <c r="T425" s="340"/>
      <c r="U425" s="339"/>
      <c r="V425" s="340"/>
      <c r="W425" s="339"/>
      <c r="X425" s="339"/>
      <c r="Y425" s="339"/>
      <c r="Z425" s="340"/>
      <c r="AA425" s="339"/>
      <c r="AB425" s="339"/>
      <c r="AC425" s="339"/>
      <c r="AD425" s="339"/>
    </row>
    <row r="426" spans="1:30" ht="15.75" customHeight="1">
      <c r="A426" s="339"/>
      <c r="B426" s="339"/>
      <c r="C426" s="339"/>
      <c r="D426" s="339"/>
      <c r="E426" s="339"/>
      <c r="F426" s="339"/>
      <c r="G426" s="339"/>
      <c r="H426" s="339"/>
      <c r="I426" s="339"/>
      <c r="J426" s="339"/>
      <c r="K426" s="339"/>
      <c r="L426" s="340"/>
      <c r="M426" s="339"/>
      <c r="N426" s="340"/>
      <c r="O426" s="339"/>
      <c r="P426" s="340"/>
      <c r="Q426" s="339"/>
      <c r="R426" s="340"/>
      <c r="S426" s="339"/>
      <c r="T426" s="340"/>
      <c r="U426" s="339"/>
      <c r="V426" s="340"/>
      <c r="W426" s="339"/>
      <c r="X426" s="339"/>
      <c r="Y426" s="339"/>
      <c r="Z426" s="340"/>
      <c r="AA426" s="339"/>
      <c r="AB426" s="339"/>
      <c r="AC426" s="339"/>
      <c r="AD426" s="339"/>
    </row>
    <row r="427" spans="1:30" ht="15.75" customHeight="1">
      <c r="A427" s="339"/>
      <c r="B427" s="339"/>
      <c r="C427" s="339"/>
      <c r="D427" s="339"/>
      <c r="E427" s="339"/>
      <c r="F427" s="339"/>
      <c r="G427" s="339"/>
      <c r="H427" s="339"/>
      <c r="I427" s="339"/>
      <c r="J427" s="339"/>
      <c r="K427" s="339"/>
      <c r="L427" s="340"/>
      <c r="M427" s="339"/>
      <c r="N427" s="340"/>
      <c r="O427" s="339"/>
      <c r="P427" s="340"/>
      <c r="Q427" s="339"/>
      <c r="R427" s="340"/>
      <c r="S427" s="339"/>
      <c r="T427" s="340"/>
      <c r="U427" s="339"/>
      <c r="V427" s="340"/>
      <c r="W427" s="339"/>
      <c r="X427" s="339"/>
      <c r="Y427" s="339"/>
      <c r="Z427" s="340"/>
      <c r="AA427" s="339"/>
      <c r="AB427" s="339"/>
      <c r="AC427" s="339"/>
      <c r="AD427" s="339"/>
    </row>
    <row r="428" spans="1:30" ht="15.75" customHeight="1">
      <c r="A428" s="339"/>
      <c r="B428" s="339"/>
      <c r="C428" s="339"/>
      <c r="D428" s="339"/>
      <c r="E428" s="339"/>
      <c r="F428" s="339"/>
      <c r="G428" s="339"/>
      <c r="H428" s="339"/>
      <c r="I428" s="339"/>
      <c r="J428" s="339"/>
      <c r="K428" s="339"/>
      <c r="L428" s="340"/>
      <c r="M428" s="339"/>
      <c r="N428" s="340"/>
      <c r="O428" s="339"/>
      <c r="P428" s="340"/>
      <c r="Q428" s="339"/>
      <c r="R428" s="340"/>
      <c r="S428" s="339"/>
      <c r="T428" s="340"/>
      <c r="U428" s="339"/>
      <c r="V428" s="340"/>
      <c r="W428" s="339"/>
      <c r="X428" s="339"/>
      <c r="Y428" s="339"/>
      <c r="Z428" s="340"/>
      <c r="AA428" s="339"/>
      <c r="AB428" s="339"/>
      <c r="AC428" s="339"/>
      <c r="AD428" s="339"/>
    </row>
    <row r="429" spans="1:30" ht="15.75" customHeight="1">
      <c r="A429" s="339"/>
      <c r="B429" s="339"/>
      <c r="C429" s="339"/>
      <c r="D429" s="339"/>
      <c r="E429" s="339"/>
      <c r="F429" s="339"/>
      <c r="G429" s="339"/>
      <c r="H429" s="339"/>
      <c r="I429" s="339"/>
      <c r="J429" s="339"/>
      <c r="K429" s="339"/>
      <c r="L429" s="340"/>
      <c r="M429" s="339"/>
      <c r="N429" s="340"/>
      <c r="O429" s="339"/>
      <c r="P429" s="340"/>
      <c r="Q429" s="339"/>
      <c r="R429" s="340"/>
      <c r="S429" s="339"/>
      <c r="T429" s="340"/>
      <c r="U429" s="339"/>
      <c r="V429" s="340"/>
      <c r="W429" s="339"/>
      <c r="X429" s="339"/>
      <c r="Y429" s="339"/>
      <c r="Z429" s="340"/>
      <c r="AA429" s="339"/>
      <c r="AB429" s="339"/>
      <c r="AC429" s="339"/>
      <c r="AD429" s="339"/>
    </row>
    <row r="430" spans="1:30" ht="15.75" customHeight="1">
      <c r="A430" s="339"/>
      <c r="B430" s="339"/>
      <c r="C430" s="339"/>
      <c r="D430" s="339"/>
      <c r="E430" s="339"/>
      <c r="F430" s="339"/>
      <c r="G430" s="339"/>
      <c r="H430" s="339"/>
      <c r="I430" s="339"/>
      <c r="J430" s="339"/>
      <c r="K430" s="339"/>
      <c r="L430" s="340"/>
      <c r="M430" s="339"/>
      <c r="N430" s="340"/>
      <c r="O430" s="339"/>
      <c r="P430" s="340"/>
      <c r="Q430" s="339"/>
      <c r="R430" s="340"/>
      <c r="S430" s="339"/>
      <c r="T430" s="340"/>
      <c r="U430" s="339"/>
      <c r="V430" s="340"/>
      <c r="W430" s="339"/>
      <c r="X430" s="339"/>
      <c r="Y430" s="339"/>
      <c r="Z430" s="340"/>
      <c r="AA430" s="339"/>
      <c r="AB430" s="339"/>
      <c r="AC430" s="339"/>
      <c r="AD430" s="339"/>
    </row>
    <row r="431" spans="1:30" ht="15.75" customHeight="1">
      <c r="A431" s="339"/>
      <c r="B431" s="339"/>
      <c r="C431" s="339"/>
      <c r="D431" s="339"/>
      <c r="E431" s="339"/>
      <c r="F431" s="339"/>
      <c r="G431" s="339"/>
      <c r="H431" s="339"/>
      <c r="I431" s="339"/>
      <c r="J431" s="339"/>
      <c r="K431" s="339"/>
      <c r="L431" s="340"/>
      <c r="M431" s="339"/>
      <c r="N431" s="340"/>
      <c r="O431" s="339"/>
      <c r="P431" s="340"/>
      <c r="Q431" s="339"/>
      <c r="R431" s="340"/>
      <c r="S431" s="339"/>
      <c r="T431" s="340"/>
      <c r="U431" s="339"/>
      <c r="V431" s="340"/>
      <c r="W431" s="339"/>
      <c r="X431" s="339"/>
      <c r="Y431" s="339"/>
      <c r="Z431" s="340"/>
      <c r="AA431" s="339"/>
      <c r="AB431" s="339"/>
      <c r="AC431" s="339"/>
      <c r="AD431" s="339"/>
    </row>
    <row r="432" spans="1:30" ht="15.75" customHeight="1">
      <c r="A432" s="339"/>
      <c r="B432" s="339"/>
      <c r="C432" s="339"/>
      <c r="D432" s="339"/>
      <c r="E432" s="339"/>
      <c r="F432" s="339"/>
      <c r="G432" s="339"/>
      <c r="H432" s="339"/>
      <c r="I432" s="339"/>
      <c r="J432" s="339"/>
      <c r="K432" s="339"/>
      <c r="L432" s="340"/>
      <c r="M432" s="339"/>
      <c r="N432" s="340"/>
      <c r="O432" s="339"/>
      <c r="P432" s="340"/>
      <c r="Q432" s="339"/>
      <c r="R432" s="340"/>
      <c r="S432" s="339"/>
      <c r="T432" s="340"/>
      <c r="U432" s="339"/>
      <c r="V432" s="340"/>
      <c r="W432" s="339"/>
      <c r="X432" s="339"/>
      <c r="Y432" s="339"/>
      <c r="Z432" s="340"/>
      <c r="AA432" s="339"/>
      <c r="AB432" s="339"/>
      <c r="AC432" s="339"/>
      <c r="AD432" s="339"/>
    </row>
    <row r="433" spans="1:30" ht="15.75" customHeight="1">
      <c r="A433" s="339"/>
      <c r="B433" s="339"/>
      <c r="C433" s="339"/>
      <c r="D433" s="339"/>
      <c r="E433" s="339"/>
      <c r="F433" s="339"/>
      <c r="G433" s="339"/>
      <c r="H433" s="339"/>
      <c r="I433" s="339"/>
      <c r="J433" s="339"/>
      <c r="K433" s="339"/>
      <c r="L433" s="340"/>
      <c r="M433" s="339"/>
      <c r="N433" s="340"/>
      <c r="O433" s="339"/>
      <c r="P433" s="340"/>
      <c r="Q433" s="339"/>
      <c r="R433" s="340"/>
      <c r="S433" s="339"/>
      <c r="T433" s="340"/>
      <c r="U433" s="339"/>
      <c r="V433" s="340"/>
      <c r="W433" s="339"/>
      <c r="X433" s="339"/>
      <c r="Y433" s="339"/>
      <c r="Z433" s="340"/>
      <c r="AA433" s="339"/>
      <c r="AB433" s="339"/>
      <c r="AC433" s="339"/>
      <c r="AD433" s="339"/>
    </row>
    <row r="434" spans="1:30" ht="15.75" customHeight="1">
      <c r="A434" s="339"/>
      <c r="B434" s="339"/>
      <c r="C434" s="339"/>
      <c r="D434" s="339"/>
      <c r="E434" s="339"/>
      <c r="F434" s="339"/>
      <c r="G434" s="339"/>
      <c r="H434" s="339"/>
      <c r="I434" s="339"/>
      <c r="J434" s="339"/>
      <c r="K434" s="339"/>
      <c r="L434" s="340"/>
      <c r="M434" s="339"/>
      <c r="N434" s="340"/>
      <c r="O434" s="339"/>
      <c r="P434" s="340"/>
      <c r="Q434" s="339"/>
      <c r="R434" s="340"/>
      <c r="S434" s="339"/>
      <c r="T434" s="340"/>
      <c r="U434" s="339"/>
      <c r="V434" s="340"/>
      <c r="W434" s="339"/>
      <c r="X434" s="339"/>
      <c r="Y434" s="339"/>
      <c r="Z434" s="340"/>
      <c r="AA434" s="339"/>
      <c r="AB434" s="339"/>
      <c r="AC434" s="339"/>
      <c r="AD434" s="339"/>
    </row>
    <row r="435" spans="1:30" ht="15.75" customHeight="1">
      <c r="A435" s="339"/>
      <c r="B435" s="339"/>
      <c r="C435" s="339"/>
      <c r="D435" s="339"/>
      <c r="E435" s="339"/>
      <c r="F435" s="339"/>
      <c r="G435" s="339"/>
      <c r="H435" s="339"/>
      <c r="I435" s="339"/>
      <c r="J435" s="339"/>
      <c r="K435" s="339"/>
      <c r="L435" s="340"/>
      <c r="M435" s="339"/>
      <c r="N435" s="340"/>
      <c r="O435" s="339"/>
      <c r="P435" s="340"/>
      <c r="Q435" s="339"/>
      <c r="R435" s="340"/>
      <c r="S435" s="339"/>
      <c r="T435" s="340"/>
      <c r="U435" s="339"/>
      <c r="V435" s="340"/>
      <c r="W435" s="339"/>
      <c r="X435" s="339"/>
      <c r="Y435" s="339"/>
      <c r="Z435" s="340"/>
      <c r="AA435" s="339"/>
      <c r="AB435" s="339"/>
      <c r="AC435" s="339"/>
      <c r="AD435" s="339"/>
    </row>
    <row r="436" spans="1:30" ht="15.75" customHeight="1">
      <c r="A436" s="339"/>
      <c r="B436" s="339"/>
      <c r="C436" s="339"/>
      <c r="D436" s="339"/>
      <c r="E436" s="339"/>
      <c r="F436" s="339"/>
      <c r="G436" s="339"/>
      <c r="H436" s="339"/>
      <c r="I436" s="339"/>
      <c r="J436" s="339"/>
      <c r="K436" s="339"/>
      <c r="L436" s="340"/>
      <c r="M436" s="339"/>
      <c r="N436" s="340"/>
      <c r="O436" s="339"/>
      <c r="P436" s="340"/>
      <c r="Q436" s="339"/>
      <c r="R436" s="340"/>
      <c r="S436" s="339"/>
      <c r="T436" s="340"/>
      <c r="U436" s="339"/>
      <c r="V436" s="340"/>
      <c r="W436" s="339"/>
      <c r="X436" s="339"/>
      <c r="Y436" s="339"/>
      <c r="Z436" s="340"/>
      <c r="AA436" s="339"/>
      <c r="AB436" s="339"/>
      <c r="AC436" s="339"/>
      <c r="AD436" s="339"/>
    </row>
    <row r="437" spans="1:30" ht="15.75" customHeight="1">
      <c r="A437" s="339"/>
      <c r="B437" s="339"/>
      <c r="C437" s="339"/>
      <c r="D437" s="339"/>
      <c r="E437" s="339"/>
      <c r="F437" s="339"/>
      <c r="G437" s="339"/>
      <c r="H437" s="339"/>
      <c r="I437" s="339"/>
      <c r="J437" s="339"/>
      <c r="K437" s="339"/>
      <c r="L437" s="340"/>
      <c r="M437" s="339"/>
      <c r="N437" s="340"/>
      <c r="O437" s="339"/>
      <c r="P437" s="340"/>
      <c r="Q437" s="339"/>
      <c r="R437" s="340"/>
      <c r="S437" s="339"/>
      <c r="T437" s="340"/>
      <c r="U437" s="339"/>
      <c r="V437" s="340"/>
      <c r="W437" s="339"/>
      <c r="X437" s="339"/>
      <c r="Y437" s="339"/>
      <c r="Z437" s="340"/>
      <c r="AA437" s="339"/>
      <c r="AB437" s="339"/>
      <c r="AC437" s="339"/>
      <c r="AD437" s="339"/>
    </row>
    <row r="438" spans="1:30" ht="15.75" customHeight="1">
      <c r="A438" s="339"/>
      <c r="B438" s="339"/>
      <c r="C438" s="339"/>
      <c r="D438" s="339"/>
      <c r="E438" s="339"/>
      <c r="F438" s="339"/>
      <c r="G438" s="339"/>
      <c r="H438" s="339"/>
      <c r="I438" s="339"/>
      <c r="J438" s="339"/>
      <c r="K438" s="339"/>
      <c r="L438" s="340"/>
      <c r="M438" s="339"/>
      <c r="N438" s="340"/>
      <c r="O438" s="339"/>
      <c r="P438" s="340"/>
      <c r="Q438" s="339"/>
      <c r="R438" s="340"/>
      <c r="S438" s="339"/>
      <c r="T438" s="340"/>
      <c r="U438" s="339"/>
      <c r="V438" s="340"/>
      <c r="W438" s="339"/>
      <c r="X438" s="339"/>
      <c r="Y438" s="339"/>
      <c r="Z438" s="340"/>
      <c r="AA438" s="339"/>
      <c r="AB438" s="339"/>
      <c r="AC438" s="339"/>
      <c r="AD438" s="339"/>
    </row>
    <row r="439" spans="1:30" ht="15.75" customHeight="1">
      <c r="A439" s="339"/>
      <c r="B439" s="339"/>
      <c r="C439" s="339"/>
      <c r="D439" s="339"/>
      <c r="E439" s="339"/>
      <c r="F439" s="339"/>
      <c r="G439" s="339"/>
      <c r="H439" s="339"/>
      <c r="I439" s="339"/>
      <c r="J439" s="339"/>
      <c r="K439" s="339"/>
      <c r="L439" s="340"/>
      <c r="M439" s="339"/>
      <c r="N439" s="340"/>
      <c r="O439" s="339"/>
      <c r="P439" s="340"/>
      <c r="Q439" s="339"/>
      <c r="R439" s="340"/>
      <c r="S439" s="339"/>
      <c r="T439" s="340"/>
      <c r="U439" s="339"/>
      <c r="V439" s="340"/>
      <c r="W439" s="339"/>
      <c r="X439" s="339"/>
      <c r="Y439" s="339"/>
      <c r="Z439" s="340"/>
      <c r="AA439" s="339"/>
      <c r="AB439" s="339"/>
      <c r="AC439" s="339"/>
      <c r="AD439" s="339"/>
    </row>
    <row r="440" spans="1:30" ht="15.75" customHeight="1">
      <c r="A440" s="339"/>
      <c r="B440" s="339"/>
      <c r="C440" s="339"/>
      <c r="D440" s="339"/>
      <c r="E440" s="339"/>
      <c r="F440" s="339"/>
      <c r="G440" s="339"/>
      <c r="H440" s="339"/>
      <c r="I440" s="339"/>
      <c r="J440" s="339"/>
      <c r="K440" s="339"/>
      <c r="L440" s="340"/>
      <c r="M440" s="339"/>
      <c r="N440" s="340"/>
      <c r="O440" s="339"/>
      <c r="P440" s="340"/>
      <c r="Q440" s="339"/>
      <c r="R440" s="340"/>
      <c r="S440" s="339"/>
      <c r="T440" s="340"/>
      <c r="U440" s="339"/>
      <c r="V440" s="340"/>
      <c r="W440" s="339"/>
      <c r="X440" s="339"/>
      <c r="Y440" s="339"/>
      <c r="Z440" s="340"/>
      <c r="AA440" s="339"/>
      <c r="AB440" s="339"/>
      <c r="AC440" s="339"/>
      <c r="AD440" s="339"/>
    </row>
    <row r="441" spans="1:30" ht="15.75" customHeight="1">
      <c r="A441" s="339"/>
      <c r="B441" s="339"/>
      <c r="C441" s="339"/>
      <c r="D441" s="339"/>
      <c r="E441" s="339"/>
      <c r="F441" s="339"/>
      <c r="G441" s="339"/>
      <c r="H441" s="339"/>
      <c r="I441" s="339"/>
      <c r="J441" s="339"/>
      <c r="K441" s="339"/>
      <c r="L441" s="340"/>
      <c r="M441" s="339"/>
      <c r="N441" s="340"/>
      <c r="O441" s="339"/>
      <c r="P441" s="340"/>
      <c r="Q441" s="339"/>
      <c r="R441" s="340"/>
      <c r="S441" s="339"/>
      <c r="T441" s="340"/>
      <c r="U441" s="339"/>
      <c r="V441" s="340"/>
      <c r="W441" s="339"/>
      <c r="X441" s="339"/>
      <c r="Y441" s="339"/>
      <c r="Z441" s="340"/>
      <c r="AA441" s="339"/>
      <c r="AB441" s="339"/>
      <c r="AC441" s="339"/>
      <c r="AD441" s="339"/>
    </row>
    <row r="442" spans="1:30" ht="15.75" customHeight="1">
      <c r="A442" s="339"/>
      <c r="B442" s="339"/>
      <c r="C442" s="339"/>
      <c r="D442" s="339"/>
      <c r="E442" s="339"/>
      <c r="F442" s="339"/>
      <c r="G442" s="339"/>
      <c r="H442" s="339"/>
      <c r="I442" s="339"/>
      <c r="J442" s="339"/>
      <c r="K442" s="339"/>
      <c r="L442" s="340"/>
      <c r="M442" s="339"/>
      <c r="N442" s="340"/>
      <c r="O442" s="339"/>
      <c r="P442" s="340"/>
      <c r="Q442" s="339"/>
      <c r="R442" s="340"/>
      <c r="S442" s="339"/>
      <c r="T442" s="340"/>
      <c r="U442" s="339"/>
      <c r="V442" s="340"/>
      <c r="W442" s="339"/>
      <c r="X442" s="339"/>
      <c r="Y442" s="339"/>
      <c r="Z442" s="340"/>
      <c r="AA442" s="339"/>
      <c r="AB442" s="339"/>
      <c r="AC442" s="339"/>
      <c r="AD442" s="339"/>
    </row>
    <row r="443" spans="1:30" ht="15.75" customHeight="1">
      <c r="A443" s="339"/>
      <c r="B443" s="339"/>
      <c r="C443" s="339"/>
      <c r="D443" s="339"/>
      <c r="E443" s="339"/>
      <c r="F443" s="339"/>
      <c r="G443" s="339"/>
      <c r="H443" s="339"/>
      <c r="I443" s="339"/>
      <c r="J443" s="339"/>
      <c r="K443" s="339"/>
      <c r="L443" s="340"/>
      <c r="M443" s="339"/>
      <c r="N443" s="340"/>
      <c r="O443" s="339"/>
      <c r="P443" s="340"/>
      <c r="Q443" s="339"/>
      <c r="R443" s="340"/>
      <c r="S443" s="339"/>
      <c r="T443" s="340"/>
      <c r="U443" s="339"/>
      <c r="V443" s="340"/>
      <c r="W443" s="339"/>
      <c r="X443" s="339"/>
      <c r="Y443" s="339"/>
      <c r="Z443" s="340"/>
      <c r="AA443" s="339"/>
      <c r="AB443" s="339"/>
      <c r="AC443" s="339"/>
      <c r="AD443" s="339"/>
    </row>
    <row r="444" spans="1:30" ht="15.75" customHeight="1">
      <c r="A444" s="339"/>
      <c r="B444" s="339"/>
      <c r="C444" s="339"/>
      <c r="D444" s="339"/>
      <c r="E444" s="339"/>
      <c r="F444" s="339"/>
      <c r="G444" s="339"/>
      <c r="H444" s="339"/>
      <c r="I444" s="339"/>
      <c r="J444" s="339"/>
      <c r="K444" s="339"/>
      <c r="L444" s="340"/>
      <c r="M444" s="339"/>
      <c r="N444" s="340"/>
      <c r="O444" s="339"/>
      <c r="P444" s="340"/>
      <c r="Q444" s="339"/>
      <c r="R444" s="340"/>
      <c r="S444" s="339"/>
      <c r="T444" s="340"/>
      <c r="U444" s="339"/>
      <c r="V444" s="340"/>
      <c r="W444" s="339"/>
      <c r="X444" s="339"/>
      <c r="Y444" s="339"/>
      <c r="Z444" s="340"/>
      <c r="AA444" s="339"/>
      <c r="AB444" s="339"/>
      <c r="AC444" s="339"/>
      <c r="AD444" s="339"/>
    </row>
    <row r="445" spans="1:30" ht="15.75" customHeight="1">
      <c r="A445" s="339"/>
      <c r="B445" s="339"/>
      <c r="C445" s="339"/>
      <c r="D445" s="339"/>
      <c r="E445" s="339"/>
      <c r="F445" s="339"/>
      <c r="G445" s="339"/>
      <c r="H445" s="339"/>
      <c r="I445" s="339"/>
      <c r="J445" s="339"/>
      <c r="K445" s="339"/>
      <c r="L445" s="340"/>
      <c r="M445" s="339"/>
      <c r="N445" s="340"/>
      <c r="O445" s="339"/>
      <c r="P445" s="340"/>
      <c r="Q445" s="339"/>
      <c r="R445" s="340"/>
      <c r="S445" s="339"/>
      <c r="T445" s="340"/>
      <c r="U445" s="339"/>
      <c r="V445" s="340"/>
      <c r="W445" s="339"/>
      <c r="X445" s="339"/>
      <c r="Y445" s="339"/>
      <c r="Z445" s="340"/>
      <c r="AA445" s="339"/>
      <c r="AB445" s="339"/>
      <c r="AC445" s="339"/>
      <c r="AD445" s="339"/>
    </row>
    <row r="446" spans="1:30" ht="15.75" customHeight="1">
      <c r="A446" s="339"/>
      <c r="B446" s="339"/>
      <c r="C446" s="339"/>
      <c r="D446" s="339"/>
      <c r="E446" s="339"/>
      <c r="F446" s="339"/>
      <c r="G446" s="339"/>
      <c r="H446" s="339"/>
      <c r="I446" s="339"/>
      <c r="J446" s="339"/>
      <c r="K446" s="339"/>
      <c r="L446" s="340"/>
      <c r="M446" s="339"/>
      <c r="N446" s="340"/>
      <c r="O446" s="339"/>
      <c r="P446" s="340"/>
      <c r="Q446" s="339"/>
      <c r="R446" s="340"/>
      <c r="S446" s="339"/>
      <c r="T446" s="340"/>
      <c r="U446" s="339"/>
      <c r="V446" s="340"/>
      <c r="W446" s="339"/>
      <c r="X446" s="339"/>
      <c r="Y446" s="339"/>
      <c r="Z446" s="340"/>
      <c r="AA446" s="339"/>
      <c r="AB446" s="339"/>
      <c r="AC446" s="339"/>
      <c r="AD446" s="339"/>
    </row>
    <row r="447" spans="1:30" ht="15.75" customHeight="1">
      <c r="A447" s="339"/>
      <c r="B447" s="339"/>
      <c r="C447" s="339"/>
      <c r="D447" s="339"/>
      <c r="E447" s="339"/>
      <c r="F447" s="339"/>
      <c r="G447" s="339"/>
      <c r="H447" s="339"/>
      <c r="I447" s="339"/>
      <c r="J447" s="339"/>
      <c r="K447" s="339"/>
      <c r="L447" s="340"/>
      <c r="M447" s="339"/>
      <c r="N447" s="340"/>
      <c r="O447" s="339"/>
      <c r="P447" s="340"/>
      <c r="Q447" s="339"/>
      <c r="R447" s="340"/>
      <c r="S447" s="339"/>
      <c r="T447" s="340"/>
      <c r="U447" s="339"/>
      <c r="V447" s="340"/>
      <c r="W447" s="339"/>
      <c r="X447" s="339"/>
      <c r="Y447" s="339"/>
      <c r="Z447" s="340"/>
      <c r="AA447" s="339"/>
      <c r="AB447" s="339"/>
      <c r="AC447" s="339"/>
      <c r="AD447" s="339"/>
    </row>
    <row r="448" spans="1:30" ht="15.75" customHeight="1">
      <c r="A448" s="339"/>
      <c r="B448" s="339"/>
      <c r="C448" s="339"/>
      <c r="D448" s="339"/>
      <c r="E448" s="339"/>
      <c r="F448" s="339"/>
      <c r="G448" s="339"/>
      <c r="H448" s="339"/>
      <c r="I448" s="339"/>
      <c r="J448" s="339"/>
      <c r="K448" s="339"/>
      <c r="L448" s="340"/>
      <c r="M448" s="339"/>
      <c r="N448" s="340"/>
      <c r="O448" s="339"/>
      <c r="P448" s="340"/>
      <c r="Q448" s="339"/>
      <c r="R448" s="340"/>
      <c r="S448" s="339"/>
      <c r="T448" s="340"/>
      <c r="U448" s="339"/>
      <c r="V448" s="340"/>
      <c r="W448" s="339"/>
      <c r="X448" s="339"/>
      <c r="Y448" s="339"/>
      <c r="Z448" s="340"/>
      <c r="AA448" s="339"/>
      <c r="AB448" s="339"/>
      <c r="AC448" s="339"/>
      <c r="AD448" s="339"/>
    </row>
    <row r="449" spans="1:30" ht="15.75" customHeight="1">
      <c r="A449" s="339"/>
      <c r="B449" s="339"/>
      <c r="C449" s="339"/>
      <c r="D449" s="339"/>
      <c r="E449" s="339"/>
      <c r="F449" s="339"/>
      <c r="G449" s="339"/>
      <c r="H449" s="339"/>
      <c r="I449" s="339"/>
      <c r="J449" s="339"/>
      <c r="K449" s="339"/>
      <c r="L449" s="340"/>
      <c r="M449" s="339"/>
      <c r="N449" s="340"/>
      <c r="O449" s="339"/>
      <c r="P449" s="340"/>
      <c r="Q449" s="339"/>
      <c r="R449" s="340"/>
      <c r="S449" s="339"/>
      <c r="T449" s="340"/>
      <c r="U449" s="339"/>
      <c r="V449" s="340"/>
      <c r="W449" s="339"/>
      <c r="X449" s="339"/>
      <c r="Y449" s="339"/>
      <c r="Z449" s="340"/>
      <c r="AA449" s="339"/>
      <c r="AB449" s="339"/>
      <c r="AC449" s="339"/>
      <c r="AD449" s="339"/>
    </row>
    <row r="450" spans="1:30" ht="15.75" customHeight="1">
      <c r="A450" s="339"/>
      <c r="B450" s="339"/>
      <c r="C450" s="339"/>
      <c r="D450" s="339"/>
      <c r="E450" s="339"/>
      <c r="F450" s="339"/>
      <c r="G450" s="339"/>
      <c r="H450" s="339"/>
      <c r="I450" s="339"/>
      <c r="J450" s="339"/>
      <c r="K450" s="339"/>
      <c r="L450" s="340"/>
      <c r="M450" s="339"/>
      <c r="N450" s="340"/>
      <c r="O450" s="339"/>
      <c r="P450" s="340"/>
      <c r="Q450" s="339"/>
      <c r="R450" s="340"/>
      <c r="S450" s="339"/>
      <c r="T450" s="340"/>
      <c r="U450" s="339"/>
      <c r="V450" s="340"/>
      <c r="W450" s="339"/>
      <c r="X450" s="339"/>
      <c r="Y450" s="339"/>
      <c r="Z450" s="340"/>
      <c r="AA450" s="339"/>
      <c r="AB450" s="339"/>
      <c r="AC450" s="339"/>
      <c r="AD450" s="339"/>
    </row>
    <row r="451" spans="1:30" ht="15.75" customHeight="1">
      <c r="A451" s="339"/>
      <c r="B451" s="339"/>
      <c r="C451" s="339"/>
      <c r="D451" s="339"/>
      <c r="E451" s="339"/>
      <c r="F451" s="339"/>
      <c r="G451" s="339"/>
      <c r="H451" s="339"/>
      <c r="I451" s="339"/>
      <c r="J451" s="339"/>
      <c r="K451" s="339"/>
      <c r="L451" s="340"/>
      <c r="M451" s="339"/>
      <c r="N451" s="340"/>
      <c r="O451" s="339"/>
      <c r="P451" s="340"/>
      <c r="Q451" s="339"/>
      <c r="R451" s="340"/>
      <c r="S451" s="339"/>
      <c r="T451" s="340"/>
      <c r="U451" s="339"/>
      <c r="V451" s="340"/>
      <c r="W451" s="339"/>
      <c r="X451" s="339"/>
      <c r="Y451" s="339"/>
      <c r="Z451" s="340"/>
      <c r="AA451" s="339"/>
      <c r="AB451" s="339"/>
      <c r="AC451" s="339"/>
      <c r="AD451" s="339"/>
    </row>
    <row r="452" spans="1:30" ht="15.75" customHeight="1">
      <c r="A452" s="339"/>
      <c r="B452" s="339"/>
      <c r="C452" s="339"/>
      <c r="D452" s="339"/>
      <c r="E452" s="339"/>
      <c r="F452" s="339"/>
      <c r="G452" s="339"/>
      <c r="H452" s="339"/>
      <c r="I452" s="339"/>
      <c r="J452" s="339"/>
      <c r="K452" s="339"/>
      <c r="L452" s="340"/>
      <c r="M452" s="339"/>
      <c r="N452" s="340"/>
      <c r="O452" s="339"/>
      <c r="P452" s="340"/>
      <c r="Q452" s="339"/>
      <c r="R452" s="340"/>
      <c r="S452" s="339"/>
      <c r="T452" s="340"/>
      <c r="U452" s="339"/>
      <c r="V452" s="340"/>
      <c r="W452" s="339"/>
      <c r="X452" s="339"/>
      <c r="Y452" s="339"/>
      <c r="Z452" s="340"/>
      <c r="AA452" s="339"/>
      <c r="AB452" s="339"/>
      <c r="AC452" s="339"/>
      <c r="AD452" s="339"/>
    </row>
    <row r="453" spans="1:30" ht="15.75" customHeight="1">
      <c r="A453" s="339"/>
      <c r="B453" s="339"/>
      <c r="C453" s="339"/>
      <c r="D453" s="339"/>
      <c r="E453" s="339"/>
      <c r="F453" s="339"/>
      <c r="G453" s="339"/>
      <c r="H453" s="339"/>
      <c r="I453" s="339"/>
      <c r="J453" s="339"/>
      <c r="K453" s="339"/>
      <c r="L453" s="340"/>
      <c r="M453" s="339"/>
      <c r="N453" s="340"/>
      <c r="O453" s="339"/>
      <c r="P453" s="340"/>
      <c r="Q453" s="339"/>
      <c r="R453" s="340"/>
      <c r="S453" s="339"/>
      <c r="T453" s="340"/>
      <c r="U453" s="339"/>
      <c r="V453" s="340"/>
      <c r="W453" s="339"/>
      <c r="X453" s="339"/>
      <c r="Y453" s="339"/>
      <c r="Z453" s="340"/>
      <c r="AA453" s="339"/>
      <c r="AB453" s="339"/>
      <c r="AC453" s="339"/>
      <c r="AD453" s="339"/>
    </row>
    <row r="454" spans="1:30" ht="15.75" customHeight="1">
      <c r="A454" s="339"/>
      <c r="B454" s="339"/>
      <c r="C454" s="339"/>
      <c r="D454" s="339"/>
      <c r="E454" s="339"/>
      <c r="F454" s="339"/>
      <c r="G454" s="339"/>
      <c r="H454" s="339"/>
      <c r="I454" s="339"/>
      <c r="J454" s="339"/>
      <c r="K454" s="339"/>
      <c r="L454" s="340"/>
      <c r="M454" s="339"/>
      <c r="N454" s="340"/>
      <c r="O454" s="339"/>
      <c r="P454" s="340"/>
      <c r="Q454" s="339"/>
      <c r="R454" s="340"/>
      <c r="S454" s="339"/>
      <c r="T454" s="340"/>
      <c r="U454" s="339"/>
      <c r="V454" s="340"/>
      <c r="W454" s="339"/>
      <c r="X454" s="339"/>
      <c r="Y454" s="339"/>
      <c r="Z454" s="340"/>
      <c r="AA454" s="339"/>
      <c r="AB454" s="339"/>
      <c r="AC454" s="339"/>
      <c r="AD454" s="339"/>
    </row>
    <row r="455" spans="1:30" ht="15.75" customHeight="1">
      <c r="A455" s="339"/>
      <c r="B455" s="339"/>
      <c r="C455" s="339"/>
      <c r="D455" s="339"/>
      <c r="E455" s="339"/>
      <c r="F455" s="339"/>
      <c r="G455" s="339"/>
      <c r="H455" s="339"/>
      <c r="I455" s="339"/>
      <c r="J455" s="339"/>
      <c r="K455" s="339"/>
      <c r="L455" s="340"/>
      <c r="M455" s="339"/>
      <c r="N455" s="340"/>
      <c r="O455" s="339"/>
      <c r="P455" s="340"/>
      <c r="Q455" s="339"/>
      <c r="R455" s="340"/>
      <c r="S455" s="339"/>
      <c r="T455" s="340"/>
      <c r="U455" s="339"/>
      <c r="V455" s="340"/>
      <c r="W455" s="339"/>
      <c r="X455" s="339"/>
      <c r="Y455" s="339"/>
      <c r="Z455" s="340"/>
      <c r="AA455" s="339"/>
      <c r="AB455" s="339"/>
      <c r="AC455" s="339"/>
      <c r="AD455" s="339"/>
    </row>
    <row r="456" spans="1:30" ht="15.75" customHeight="1">
      <c r="A456" s="339"/>
      <c r="B456" s="339"/>
      <c r="C456" s="339"/>
      <c r="D456" s="339"/>
      <c r="E456" s="339"/>
      <c r="F456" s="339"/>
      <c r="G456" s="339"/>
      <c r="H456" s="339"/>
      <c r="I456" s="339"/>
      <c r="J456" s="339"/>
      <c r="K456" s="339"/>
      <c r="L456" s="340"/>
      <c r="M456" s="339"/>
      <c r="N456" s="340"/>
      <c r="O456" s="339"/>
      <c r="P456" s="340"/>
      <c r="Q456" s="339"/>
      <c r="R456" s="340"/>
      <c r="S456" s="339"/>
      <c r="T456" s="340"/>
      <c r="U456" s="339"/>
      <c r="V456" s="340"/>
      <c r="W456" s="339"/>
      <c r="X456" s="339"/>
      <c r="Y456" s="339"/>
      <c r="Z456" s="340"/>
      <c r="AA456" s="339"/>
      <c r="AB456" s="339"/>
      <c r="AC456" s="339"/>
      <c r="AD456" s="339"/>
    </row>
    <row r="457" spans="1:30" ht="15.75" customHeight="1">
      <c r="A457" s="339"/>
      <c r="B457" s="339"/>
      <c r="C457" s="339"/>
      <c r="D457" s="339"/>
      <c r="E457" s="339"/>
      <c r="F457" s="339"/>
      <c r="G457" s="339"/>
      <c r="H457" s="339"/>
      <c r="I457" s="339"/>
      <c r="J457" s="339"/>
      <c r="K457" s="339"/>
      <c r="L457" s="340"/>
      <c r="M457" s="339"/>
      <c r="N457" s="340"/>
      <c r="O457" s="339"/>
      <c r="P457" s="340"/>
      <c r="Q457" s="339"/>
      <c r="R457" s="340"/>
      <c r="S457" s="339"/>
      <c r="T457" s="340"/>
      <c r="U457" s="339"/>
      <c r="V457" s="340"/>
      <c r="W457" s="339"/>
      <c r="X457" s="339"/>
      <c r="Y457" s="339"/>
      <c r="Z457" s="340"/>
      <c r="AA457" s="339"/>
      <c r="AB457" s="339"/>
      <c r="AC457" s="339"/>
      <c r="AD457" s="339"/>
    </row>
    <row r="458" spans="1:30" ht="15.75" customHeight="1">
      <c r="A458" s="339"/>
      <c r="B458" s="339"/>
      <c r="C458" s="339"/>
      <c r="D458" s="339"/>
      <c r="E458" s="339"/>
      <c r="F458" s="339"/>
      <c r="G458" s="339"/>
      <c r="H458" s="339"/>
      <c r="I458" s="339"/>
      <c r="J458" s="339"/>
      <c r="K458" s="339"/>
      <c r="L458" s="340"/>
      <c r="M458" s="339"/>
      <c r="N458" s="340"/>
      <c r="O458" s="339"/>
      <c r="P458" s="340"/>
      <c r="Q458" s="339"/>
      <c r="R458" s="340"/>
      <c r="S458" s="339"/>
      <c r="T458" s="340"/>
      <c r="U458" s="339"/>
      <c r="V458" s="340"/>
      <c r="W458" s="339"/>
      <c r="X458" s="339"/>
      <c r="Y458" s="339"/>
      <c r="Z458" s="340"/>
      <c r="AA458" s="339"/>
      <c r="AB458" s="339"/>
      <c r="AC458" s="339"/>
      <c r="AD458" s="339"/>
    </row>
    <row r="459" spans="1:30" ht="15.75" customHeight="1">
      <c r="A459" s="339"/>
      <c r="B459" s="339"/>
      <c r="C459" s="339"/>
      <c r="D459" s="339"/>
      <c r="E459" s="339"/>
      <c r="F459" s="339"/>
      <c r="G459" s="339"/>
      <c r="H459" s="339"/>
      <c r="I459" s="339"/>
      <c r="J459" s="339"/>
      <c r="K459" s="339"/>
      <c r="L459" s="340"/>
      <c r="M459" s="339"/>
      <c r="N459" s="340"/>
      <c r="O459" s="339"/>
      <c r="P459" s="340"/>
      <c r="Q459" s="339"/>
      <c r="R459" s="340"/>
      <c r="S459" s="339"/>
      <c r="T459" s="340"/>
      <c r="U459" s="339"/>
      <c r="V459" s="340"/>
      <c r="W459" s="339"/>
      <c r="X459" s="339"/>
      <c r="Y459" s="339"/>
      <c r="Z459" s="340"/>
      <c r="AA459" s="339"/>
      <c r="AB459" s="339"/>
      <c r="AC459" s="339"/>
      <c r="AD459" s="339"/>
    </row>
    <row r="460" spans="1:30" ht="15.75" customHeight="1">
      <c r="A460" s="339"/>
      <c r="B460" s="339"/>
      <c r="C460" s="339"/>
      <c r="D460" s="339"/>
      <c r="E460" s="339"/>
      <c r="F460" s="339"/>
      <c r="G460" s="339"/>
      <c r="H460" s="339"/>
      <c r="I460" s="339"/>
      <c r="J460" s="339"/>
      <c r="K460" s="339"/>
      <c r="L460" s="340"/>
      <c r="M460" s="339"/>
      <c r="N460" s="340"/>
      <c r="O460" s="339"/>
      <c r="P460" s="340"/>
      <c r="Q460" s="339"/>
      <c r="R460" s="340"/>
      <c r="S460" s="339"/>
      <c r="T460" s="340"/>
      <c r="U460" s="339"/>
      <c r="V460" s="340"/>
      <c r="W460" s="339"/>
      <c r="X460" s="339"/>
      <c r="Y460" s="339"/>
      <c r="Z460" s="340"/>
      <c r="AA460" s="339"/>
      <c r="AB460" s="339"/>
      <c r="AC460" s="339"/>
      <c r="AD460" s="339"/>
    </row>
    <row r="461" spans="1:30" ht="15.75" customHeight="1">
      <c r="A461" s="339"/>
      <c r="B461" s="339"/>
      <c r="C461" s="339"/>
      <c r="D461" s="339"/>
      <c r="E461" s="339"/>
      <c r="F461" s="339"/>
      <c r="G461" s="339"/>
      <c r="H461" s="339"/>
      <c r="I461" s="339"/>
      <c r="J461" s="339"/>
      <c r="K461" s="339"/>
      <c r="L461" s="340"/>
      <c r="M461" s="339"/>
      <c r="N461" s="340"/>
      <c r="O461" s="339"/>
      <c r="P461" s="340"/>
      <c r="Q461" s="339"/>
      <c r="R461" s="340"/>
      <c r="S461" s="339"/>
      <c r="T461" s="340"/>
      <c r="U461" s="339"/>
      <c r="V461" s="340"/>
      <c r="W461" s="339"/>
      <c r="X461" s="339"/>
      <c r="Y461" s="339"/>
      <c r="Z461" s="340"/>
      <c r="AA461" s="339"/>
      <c r="AB461" s="339"/>
      <c r="AC461" s="339"/>
      <c r="AD461" s="339"/>
    </row>
    <row r="462" spans="1:30" ht="15.75" customHeight="1">
      <c r="A462" s="339"/>
      <c r="B462" s="339"/>
      <c r="C462" s="339"/>
      <c r="D462" s="339"/>
      <c r="E462" s="339"/>
      <c r="F462" s="339"/>
      <c r="G462" s="339"/>
      <c r="H462" s="339"/>
      <c r="I462" s="339"/>
      <c r="J462" s="339"/>
      <c r="K462" s="339"/>
      <c r="L462" s="340"/>
      <c r="M462" s="339"/>
      <c r="N462" s="340"/>
      <c r="O462" s="339"/>
      <c r="P462" s="340"/>
      <c r="Q462" s="339"/>
      <c r="R462" s="340"/>
      <c r="S462" s="339"/>
      <c r="T462" s="340"/>
      <c r="U462" s="339"/>
      <c r="V462" s="340"/>
      <c r="W462" s="339"/>
      <c r="X462" s="339"/>
      <c r="Y462" s="339"/>
      <c r="Z462" s="340"/>
      <c r="AA462" s="339"/>
      <c r="AB462" s="339"/>
      <c r="AC462" s="339"/>
      <c r="AD462" s="339"/>
    </row>
    <row r="463" spans="1:30" ht="15.75" customHeight="1">
      <c r="A463" s="339"/>
      <c r="B463" s="339"/>
      <c r="C463" s="339"/>
      <c r="D463" s="339"/>
      <c r="E463" s="339"/>
      <c r="F463" s="339"/>
      <c r="G463" s="339"/>
      <c r="H463" s="339"/>
      <c r="I463" s="339"/>
      <c r="J463" s="339"/>
      <c r="K463" s="339"/>
      <c r="L463" s="340"/>
      <c r="M463" s="339"/>
      <c r="N463" s="340"/>
      <c r="O463" s="339"/>
      <c r="P463" s="340"/>
      <c r="Q463" s="339"/>
      <c r="R463" s="340"/>
      <c r="S463" s="339"/>
      <c r="T463" s="340"/>
      <c r="U463" s="339"/>
      <c r="V463" s="340"/>
      <c r="W463" s="339"/>
      <c r="X463" s="339"/>
      <c r="Y463" s="339"/>
      <c r="Z463" s="340"/>
      <c r="AA463" s="339"/>
      <c r="AB463" s="339"/>
      <c r="AC463" s="339"/>
      <c r="AD463" s="339"/>
    </row>
    <row r="464" spans="1:30" ht="15.75" customHeight="1">
      <c r="A464" s="339"/>
      <c r="B464" s="339"/>
      <c r="C464" s="339"/>
      <c r="D464" s="339"/>
      <c r="E464" s="339"/>
      <c r="F464" s="339"/>
      <c r="G464" s="339"/>
      <c r="H464" s="339"/>
      <c r="I464" s="339"/>
      <c r="J464" s="339"/>
      <c r="K464" s="339"/>
      <c r="L464" s="340"/>
      <c r="M464" s="339"/>
      <c r="N464" s="340"/>
      <c r="O464" s="339"/>
      <c r="P464" s="340"/>
      <c r="Q464" s="339"/>
      <c r="R464" s="340"/>
      <c r="S464" s="339"/>
      <c r="T464" s="340"/>
      <c r="U464" s="339"/>
      <c r="V464" s="340"/>
      <c r="W464" s="339"/>
      <c r="X464" s="339"/>
      <c r="Y464" s="339"/>
      <c r="Z464" s="340"/>
      <c r="AA464" s="339"/>
      <c r="AB464" s="339"/>
      <c r="AC464" s="339"/>
      <c r="AD464" s="339"/>
    </row>
    <row r="465" spans="1:30" ht="15.75" customHeight="1">
      <c r="A465" s="339"/>
      <c r="B465" s="339"/>
      <c r="C465" s="339"/>
      <c r="D465" s="339"/>
      <c r="E465" s="339"/>
      <c r="F465" s="339"/>
      <c r="G465" s="339"/>
      <c r="H465" s="339"/>
      <c r="I465" s="339"/>
      <c r="J465" s="339"/>
      <c r="K465" s="339"/>
      <c r="L465" s="340"/>
      <c r="M465" s="339"/>
      <c r="N465" s="340"/>
      <c r="O465" s="339"/>
      <c r="P465" s="340"/>
      <c r="Q465" s="339"/>
      <c r="R465" s="340"/>
      <c r="S465" s="339"/>
      <c r="T465" s="340"/>
      <c r="U465" s="339"/>
      <c r="V465" s="340"/>
      <c r="W465" s="339"/>
      <c r="X465" s="339"/>
      <c r="Y465" s="339"/>
      <c r="Z465" s="340"/>
      <c r="AA465" s="339"/>
      <c r="AB465" s="339"/>
      <c r="AC465" s="339"/>
      <c r="AD465" s="339"/>
    </row>
    <row r="466" spans="1:30" ht="15.75" customHeight="1">
      <c r="A466" s="339"/>
      <c r="B466" s="339"/>
      <c r="C466" s="339"/>
      <c r="D466" s="339"/>
      <c r="E466" s="339"/>
      <c r="F466" s="339"/>
      <c r="G466" s="339"/>
      <c r="H466" s="339"/>
      <c r="I466" s="339"/>
      <c r="J466" s="339"/>
      <c r="K466" s="339"/>
      <c r="L466" s="340"/>
      <c r="M466" s="339"/>
      <c r="N466" s="340"/>
      <c r="O466" s="339"/>
      <c r="P466" s="340"/>
      <c r="Q466" s="339"/>
      <c r="R466" s="340"/>
      <c r="S466" s="339"/>
      <c r="T466" s="340"/>
      <c r="U466" s="339"/>
      <c r="V466" s="340"/>
      <c r="W466" s="339"/>
      <c r="X466" s="339"/>
      <c r="Y466" s="339"/>
      <c r="Z466" s="340"/>
      <c r="AA466" s="339"/>
      <c r="AB466" s="339"/>
      <c r="AC466" s="339"/>
      <c r="AD466" s="339"/>
    </row>
    <row r="467" spans="1:30" ht="15.75" customHeight="1">
      <c r="A467" s="339"/>
      <c r="B467" s="339"/>
      <c r="C467" s="339"/>
      <c r="D467" s="339"/>
      <c r="E467" s="339"/>
      <c r="F467" s="339"/>
      <c r="G467" s="339"/>
      <c r="H467" s="339"/>
      <c r="I467" s="339"/>
      <c r="J467" s="339"/>
      <c r="K467" s="339"/>
      <c r="L467" s="340"/>
      <c r="M467" s="339"/>
      <c r="N467" s="340"/>
      <c r="O467" s="339"/>
      <c r="P467" s="340"/>
      <c r="Q467" s="339"/>
      <c r="R467" s="340"/>
      <c r="S467" s="339"/>
      <c r="T467" s="340"/>
      <c r="U467" s="339"/>
      <c r="V467" s="340"/>
      <c r="W467" s="339"/>
      <c r="X467" s="339"/>
      <c r="Y467" s="339"/>
      <c r="Z467" s="340"/>
      <c r="AA467" s="339"/>
      <c r="AB467" s="339"/>
      <c r="AC467" s="339"/>
      <c r="AD467" s="339"/>
    </row>
    <row r="468" spans="1:30" ht="15.75" customHeight="1">
      <c r="A468" s="339"/>
      <c r="B468" s="339"/>
      <c r="C468" s="339"/>
      <c r="D468" s="339"/>
      <c r="E468" s="339"/>
      <c r="F468" s="339"/>
      <c r="G468" s="339"/>
      <c r="H468" s="339"/>
      <c r="I468" s="339"/>
      <c r="J468" s="339"/>
      <c r="K468" s="339"/>
      <c r="L468" s="340"/>
      <c r="M468" s="339"/>
      <c r="N468" s="340"/>
      <c r="O468" s="339"/>
      <c r="P468" s="340"/>
      <c r="Q468" s="339"/>
      <c r="R468" s="340"/>
      <c r="S468" s="339"/>
      <c r="T468" s="340"/>
      <c r="U468" s="339"/>
      <c r="V468" s="340"/>
      <c r="W468" s="339"/>
      <c r="X468" s="339"/>
      <c r="Y468" s="339"/>
      <c r="Z468" s="340"/>
      <c r="AA468" s="339"/>
      <c r="AB468" s="339"/>
      <c r="AC468" s="339"/>
      <c r="AD468" s="339"/>
    </row>
    <row r="469" spans="1:30" ht="15.75" customHeight="1">
      <c r="A469" s="339"/>
      <c r="B469" s="339"/>
      <c r="C469" s="339"/>
      <c r="D469" s="339"/>
      <c r="E469" s="339"/>
      <c r="F469" s="339"/>
      <c r="G469" s="339"/>
      <c r="H469" s="339"/>
      <c r="I469" s="339"/>
      <c r="J469" s="339"/>
      <c r="K469" s="339"/>
      <c r="L469" s="340"/>
      <c r="M469" s="339"/>
      <c r="N469" s="340"/>
      <c r="O469" s="339"/>
      <c r="P469" s="340"/>
      <c r="Q469" s="339"/>
      <c r="R469" s="340"/>
      <c r="S469" s="339"/>
      <c r="T469" s="340"/>
      <c r="U469" s="339"/>
      <c r="V469" s="340"/>
      <c r="W469" s="339"/>
      <c r="X469" s="339"/>
      <c r="Y469" s="339"/>
      <c r="Z469" s="340"/>
      <c r="AA469" s="339"/>
      <c r="AB469" s="339"/>
      <c r="AC469" s="339"/>
      <c r="AD469" s="339"/>
    </row>
    <row r="470" spans="1:30" ht="15.75" customHeight="1">
      <c r="A470" s="339"/>
      <c r="B470" s="339"/>
      <c r="C470" s="339"/>
      <c r="D470" s="339"/>
      <c r="E470" s="339"/>
      <c r="F470" s="339"/>
      <c r="G470" s="339"/>
      <c r="H470" s="339"/>
      <c r="I470" s="339"/>
      <c r="J470" s="339"/>
      <c r="K470" s="339"/>
      <c r="L470" s="340"/>
      <c r="M470" s="339"/>
      <c r="N470" s="340"/>
      <c r="O470" s="339"/>
      <c r="P470" s="340"/>
      <c r="Q470" s="339"/>
      <c r="R470" s="340"/>
      <c r="S470" s="339"/>
      <c r="T470" s="340"/>
      <c r="U470" s="339"/>
      <c r="V470" s="340"/>
      <c r="W470" s="339"/>
      <c r="X470" s="339"/>
      <c r="Y470" s="339"/>
      <c r="Z470" s="340"/>
      <c r="AA470" s="339"/>
      <c r="AB470" s="339"/>
      <c r="AC470" s="339"/>
      <c r="AD470" s="339"/>
    </row>
    <row r="471" spans="1:30" ht="15.75" customHeight="1">
      <c r="A471" s="339"/>
      <c r="B471" s="339"/>
      <c r="C471" s="339"/>
      <c r="D471" s="339"/>
      <c r="E471" s="339"/>
      <c r="F471" s="339"/>
      <c r="G471" s="339"/>
      <c r="H471" s="339"/>
      <c r="I471" s="339"/>
      <c r="J471" s="339"/>
      <c r="K471" s="339"/>
      <c r="L471" s="340"/>
      <c r="M471" s="339"/>
      <c r="N471" s="340"/>
      <c r="O471" s="339"/>
      <c r="P471" s="340"/>
      <c r="Q471" s="339"/>
      <c r="R471" s="340"/>
      <c r="S471" s="339"/>
      <c r="T471" s="340"/>
      <c r="U471" s="339"/>
      <c r="V471" s="340"/>
      <c r="W471" s="339"/>
      <c r="X471" s="339"/>
      <c r="Y471" s="339"/>
      <c r="Z471" s="340"/>
      <c r="AA471" s="339"/>
      <c r="AB471" s="339"/>
      <c r="AC471" s="339"/>
      <c r="AD471" s="339"/>
    </row>
    <row r="472" spans="1:30" ht="15.75" customHeight="1">
      <c r="A472" s="339"/>
      <c r="B472" s="339"/>
      <c r="C472" s="339"/>
      <c r="D472" s="339"/>
      <c r="E472" s="339"/>
      <c r="F472" s="339"/>
      <c r="G472" s="339"/>
      <c r="H472" s="339"/>
      <c r="I472" s="339"/>
      <c r="J472" s="339"/>
      <c r="K472" s="339"/>
      <c r="L472" s="340"/>
      <c r="M472" s="339"/>
      <c r="N472" s="340"/>
      <c r="O472" s="339"/>
      <c r="P472" s="340"/>
      <c r="Q472" s="339"/>
      <c r="R472" s="340"/>
      <c r="S472" s="339"/>
      <c r="T472" s="340"/>
      <c r="U472" s="339"/>
      <c r="V472" s="340"/>
      <c r="W472" s="339"/>
      <c r="X472" s="339"/>
      <c r="Y472" s="339"/>
      <c r="Z472" s="340"/>
      <c r="AA472" s="339"/>
      <c r="AB472" s="339"/>
      <c r="AC472" s="339"/>
      <c r="AD472" s="339"/>
    </row>
    <row r="473" spans="1:30" ht="15.75" customHeight="1">
      <c r="A473" s="339"/>
      <c r="B473" s="339"/>
      <c r="C473" s="339"/>
      <c r="D473" s="339"/>
      <c r="E473" s="339"/>
      <c r="F473" s="339"/>
      <c r="G473" s="339"/>
      <c r="H473" s="339"/>
      <c r="I473" s="339"/>
      <c r="J473" s="339"/>
      <c r="K473" s="339"/>
      <c r="L473" s="340"/>
      <c r="M473" s="339"/>
      <c r="N473" s="340"/>
      <c r="O473" s="339"/>
      <c r="P473" s="340"/>
      <c r="Q473" s="339"/>
      <c r="R473" s="340"/>
      <c r="S473" s="339"/>
      <c r="T473" s="340"/>
      <c r="U473" s="339"/>
      <c r="V473" s="340"/>
      <c r="W473" s="339"/>
      <c r="X473" s="339"/>
      <c r="Y473" s="339"/>
      <c r="Z473" s="340"/>
      <c r="AA473" s="339"/>
      <c r="AB473" s="339"/>
      <c r="AC473" s="339"/>
      <c r="AD473" s="339"/>
    </row>
    <row r="474" spans="1:30" ht="15.75" customHeight="1">
      <c r="A474" s="339"/>
      <c r="B474" s="339"/>
      <c r="C474" s="339"/>
      <c r="D474" s="339"/>
      <c r="E474" s="339"/>
      <c r="F474" s="339"/>
      <c r="G474" s="339"/>
      <c r="H474" s="339"/>
      <c r="I474" s="339"/>
      <c r="J474" s="339"/>
      <c r="K474" s="339"/>
      <c r="L474" s="340"/>
      <c r="M474" s="339"/>
      <c r="N474" s="340"/>
      <c r="O474" s="339"/>
      <c r="P474" s="340"/>
      <c r="Q474" s="339"/>
      <c r="R474" s="340"/>
      <c r="S474" s="339"/>
      <c r="T474" s="340"/>
      <c r="U474" s="339"/>
      <c r="V474" s="340"/>
      <c r="W474" s="339"/>
      <c r="X474" s="339"/>
      <c r="Y474" s="339"/>
      <c r="Z474" s="340"/>
      <c r="AA474" s="339"/>
      <c r="AB474" s="339"/>
      <c r="AC474" s="339"/>
      <c r="AD474" s="339"/>
    </row>
    <row r="475" spans="1:30" ht="15.75" customHeight="1">
      <c r="A475" s="339"/>
      <c r="B475" s="339"/>
      <c r="C475" s="339"/>
      <c r="D475" s="339"/>
      <c r="E475" s="339"/>
      <c r="F475" s="339"/>
      <c r="G475" s="339"/>
      <c r="H475" s="339"/>
      <c r="I475" s="339"/>
      <c r="J475" s="339"/>
      <c r="K475" s="339"/>
      <c r="L475" s="340"/>
      <c r="M475" s="339"/>
      <c r="N475" s="340"/>
      <c r="O475" s="339"/>
      <c r="P475" s="340"/>
      <c r="Q475" s="339"/>
      <c r="R475" s="340"/>
      <c r="S475" s="339"/>
      <c r="T475" s="340"/>
      <c r="U475" s="339"/>
      <c r="V475" s="340"/>
      <c r="W475" s="339"/>
      <c r="X475" s="339"/>
      <c r="Y475" s="339"/>
      <c r="Z475" s="340"/>
      <c r="AA475" s="339"/>
      <c r="AB475" s="339"/>
      <c r="AC475" s="339"/>
      <c r="AD475" s="339"/>
    </row>
    <row r="476" spans="1:30" ht="15.75" customHeight="1">
      <c r="A476" s="339"/>
      <c r="B476" s="339"/>
      <c r="C476" s="339"/>
      <c r="D476" s="339"/>
      <c r="E476" s="339"/>
      <c r="F476" s="339"/>
      <c r="G476" s="339"/>
      <c r="H476" s="339"/>
      <c r="I476" s="339"/>
      <c r="J476" s="339"/>
      <c r="K476" s="339"/>
      <c r="L476" s="340"/>
      <c r="M476" s="339"/>
      <c r="N476" s="340"/>
      <c r="O476" s="339"/>
      <c r="P476" s="340"/>
      <c r="Q476" s="339"/>
      <c r="R476" s="340"/>
      <c r="S476" s="339"/>
      <c r="T476" s="340"/>
      <c r="U476" s="339"/>
      <c r="V476" s="340"/>
      <c r="W476" s="339"/>
      <c r="X476" s="339"/>
      <c r="Y476" s="339"/>
      <c r="Z476" s="340"/>
      <c r="AA476" s="339"/>
      <c r="AB476" s="339"/>
      <c r="AC476" s="339"/>
      <c r="AD476" s="339"/>
    </row>
    <row r="477" spans="1:30" ht="15.75" customHeight="1">
      <c r="A477" s="339"/>
      <c r="B477" s="339"/>
      <c r="C477" s="339"/>
      <c r="D477" s="339"/>
      <c r="E477" s="339"/>
      <c r="F477" s="339"/>
      <c r="G477" s="339"/>
      <c r="H477" s="339"/>
      <c r="I477" s="339"/>
      <c r="J477" s="339"/>
      <c r="K477" s="339"/>
      <c r="L477" s="340"/>
      <c r="M477" s="339"/>
      <c r="N477" s="340"/>
      <c r="O477" s="339"/>
      <c r="P477" s="340"/>
      <c r="Q477" s="339"/>
      <c r="R477" s="340"/>
      <c r="S477" s="339"/>
      <c r="T477" s="340"/>
      <c r="U477" s="339"/>
      <c r="V477" s="340"/>
      <c r="W477" s="339"/>
      <c r="X477" s="339"/>
      <c r="Y477" s="339"/>
      <c r="Z477" s="340"/>
      <c r="AA477" s="339"/>
      <c r="AB477" s="339"/>
      <c r="AC477" s="339"/>
      <c r="AD477" s="339"/>
    </row>
    <row r="478" spans="1:30" ht="15.75" customHeight="1">
      <c r="A478" s="339"/>
      <c r="B478" s="339"/>
      <c r="C478" s="339"/>
      <c r="D478" s="339"/>
      <c r="E478" s="339"/>
      <c r="F478" s="339"/>
      <c r="G478" s="339"/>
      <c r="H478" s="339"/>
      <c r="I478" s="339"/>
      <c r="J478" s="339"/>
      <c r="K478" s="339"/>
      <c r="L478" s="340"/>
      <c r="M478" s="339"/>
      <c r="N478" s="340"/>
      <c r="O478" s="339"/>
      <c r="P478" s="340"/>
      <c r="Q478" s="339"/>
      <c r="R478" s="340"/>
      <c r="S478" s="339"/>
      <c r="T478" s="340"/>
      <c r="U478" s="339"/>
      <c r="V478" s="340"/>
      <c r="W478" s="339"/>
      <c r="X478" s="339"/>
      <c r="Y478" s="339"/>
      <c r="Z478" s="340"/>
      <c r="AA478" s="339"/>
      <c r="AB478" s="339"/>
      <c r="AC478" s="339"/>
      <c r="AD478" s="339"/>
    </row>
    <row r="479" spans="1:30" ht="15.75" customHeight="1">
      <c r="A479" s="339"/>
      <c r="B479" s="339"/>
      <c r="C479" s="339"/>
      <c r="D479" s="339"/>
      <c r="E479" s="339"/>
      <c r="F479" s="339"/>
      <c r="G479" s="339"/>
      <c r="H479" s="339"/>
      <c r="I479" s="339"/>
      <c r="J479" s="339"/>
      <c r="K479" s="339"/>
      <c r="L479" s="340"/>
      <c r="M479" s="339"/>
      <c r="N479" s="340"/>
      <c r="O479" s="339"/>
      <c r="P479" s="340"/>
      <c r="Q479" s="339"/>
      <c r="R479" s="340"/>
      <c r="S479" s="339"/>
      <c r="T479" s="340"/>
      <c r="U479" s="339"/>
      <c r="V479" s="340"/>
      <c r="W479" s="339"/>
      <c r="X479" s="339"/>
      <c r="Y479" s="339"/>
      <c r="Z479" s="340"/>
      <c r="AA479" s="339"/>
      <c r="AB479" s="339"/>
      <c r="AC479" s="339"/>
      <c r="AD479" s="339"/>
    </row>
    <row r="480" spans="1:30" ht="15.75" customHeight="1">
      <c r="A480" s="339"/>
      <c r="B480" s="339"/>
      <c r="C480" s="339"/>
      <c r="D480" s="339"/>
      <c r="E480" s="339"/>
      <c r="F480" s="339"/>
      <c r="G480" s="339"/>
      <c r="H480" s="339"/>
      <c r="I480" s="339"/>
      <c r="J480" s="339"/>
      <c r="K480" s="339"/>
      <c r="L480" s="340"/>
      <c r="M480" s="339"/>
      <c r="N480" s="340"/>
      <c r="O480" s="339"/>
      <c r="P480" s="340"/>
      <c r="Q480" s="339"/>
      <c r="R480" s="340"/>
      <c r="S480" s="339"/>
      <c r="T480" s="340"/>
      <c r="U480" s="339"/>
      <c r="V480" s="340"/>
      <c r="W480" s="339"/>
      <c r="X480" s="339"/>
      <c r="Y480" s="339"/>
      <c r="Z480" s="340"/>
      <c r="AA480" s="339"/>
      <c r="AB480" s="339"/>
      <c r="AC480" s="339"/>
      <c r="AD480" s="339"/>
    </row>
    <row r="481" spans="1:30" ht="15.75" customHeight="1">
      <c r="A481" s="339"/>
      <c r="B481" s="339"/>
      <c r="C481" s="339"/>
      <c r="D481" s="339"/>
      <c r="E481" s="339"/>
      <c r="F481" s="339"/>
      <c r="G481" s="339"/>
      <c r="H481" s="339"/>
      <c r="I481" s="339"/>
      <c r="J481" s="339"/>
      <c r="K481" s="339"/>
      <c r="L481" s="340"/>
      <c r="M481" s="339"/>
      <c r="N481" s="340"/>
      <c r="O481" s="339"/>
      <c r="P481" s="340"/>
      <c r="Q481" s="339"/>
      <c r="R481" s="340"/>
      <c r="S481" s="339"/>
      <c r="T481" s="340"/>
      <c r="U481" s="339"/>
      <c r="V481" s="340"/>
      <c r="W481" s="339"/>
      <c r="X481" s="339"/>
      <c r="Y481" s="339"/>
      <c r="Z481" s="340"/>
      <c r="AA481" s="339"/>
      <c r="AB481" s="339"/>
      <c r="AC481" s="339"/>
      <c r="AD481" s="339"/>
    </row>
    <row r="482" spans="1:30" ht="15.75" customHeight="1">
      <c r="A482" s="339"/>
      <c r="B482" s="339"/>
      <c r="C482" s="339"/>
      <c r="D482" s="339"/>
      <c r="E482" s="339"/>
      <c r="F482" s="339"/>
      <c r="G482" s="339"/>
      <c r="H482" s="339"/>
      <c r="I482" s="339"/>
      <c r="J482" s="339"/>
      <c r="K482" s="339"/>
      <c r="L482" s="340"/>
      <c r="M482" s="339"/>
      <c r="N482" s="340"/>
      <c r="O482" s="339"/>
      <c r="P482" s="340"/>
      <c r="Q482" s="339"/>
      <c r="R482" s="340"/>
      <c r="S482" s="339"/>
      <c r="T482" s="340"/>
      <c r="U482" s="339"/>
      <c r="V482" s="340"/>
      <c r="W482" s="339"/>
      <c r="X482" s="339"/>
      <c r="Y482" s="339"/>
      <c r="Z482" s="340"/>
      <c r="AA482" s="339"/>
      <c r="AB482" s="339"/>
      <c r="AC482" s="339"/>
      <c r="AD482" s="339"/>
    </row>
    <row r="483" spans="1:30" ht="15.75" customHeight="1">
      <c r="A483" s="339"/>
      <c r="B483" s="339"/>
      <c r="C483" s="339"/>
      <c r="D483" s="339"/>
      <c r="E483" s="339"/>
      <c r="F483" s="339"/>
      <c r="G483" s="339"/>
      <c r="H483" s="339"/>
      <c r="I483" s="339"/>
      <c r="J483" s="339"/>
      <c r="K483" s="339"/>
      <c r="L483" s="340"/>
      <c r="M483" s="339"/>
      <c r="N483" s="340"/>
      <c r="O483" s="339"/>
      <c r="P483" s="340"/>
      <c r="Q483" s="339"/>
      <c r="R483" s="340"/>
      <c r="S483" s="339"/>
      <c r="T483" s="340"/>
      <c r="U483" s="339"/>
      <c r="V483" s="340"/>
      <c r="W483" s="339"/>
      <c r="X483" s="339"/>
      <c r="Y483" s="339"/>
      <c r="Z483" s="340"/>
      <c r="AA483" s="339"/>
      <c r="AB483" s="339"/>
      <c r="AC483" s="339"/>
      <c r="AD483" s="339"/>
    </row>
    <row r="484" spans="1:30" ht="15.75" customHeight="1">
      <c r="A484" s="339"/>
      <c r="B484" s="339"/>
      <c r="C484" s="339"/>
      <c r="D484" s="339"/>
      <c r="E484" s="339"/>
      <c r="F484" s="339"/>
      <c r="G484" s="339"/>
      <c r="H484" s="339"/>
      <c r="I484" s="339"/>
      <c r="J484" s="339"/>
      <c r="K484" s="339"/>
      <c r="L484" s="340"/>
      <c r="M484" s="339"/>
      <c r="N484" s="340"/>
      <c r="O484" s="339"/>
      <c r="P484" s="340"/>
      <c r="Q484" s="339"/>
      <c r="R484" s="340"/>
      <c r="S484" s="339"/>
      <c r="T484" s="340"/>
      <c r="U484" s="339"/>
      <c r="V484" s="340"/>
      <c r="W484" s="339"/>
      <c r="X484" s="339"/>
      <c r="Y484" s="339"/>
      <c r="Z484" s="340"/>
      <c r="AA484" s="339"/>
      <c r="AB484" s="339"/>
      <c r="AC484" s="339"/>
      <c r="AD484" s="339"/>
    </row>
    <row r="485" spans="1:30" ht="15.75" customHeight="1">
      <c r="A485" s="339"/>
      <c r="B485" s="339"/>
      <c r="C485" s="339"/>
      <c r="D485" s="339"/>
      <c r="E485" s="339"/>
      <c r="F485" s="339"/>
      <c r="G485" s="339"/>
      <c r="H485" s="339"/>
      <c r="I485" s="339"/>
      <c r="J485" s="339"/>
      <c r="K485" s="339"/>
      <c r="L485" s="340"/>
      <c r="M485" s="339"/>
      <c r="N485" s="340"/>
      <c r="O485" s="339"/>
      <c r="P485" s="340"/>
      <c r="Q485" s="339"/>
      <c r="R485" s="340"/>
      <c r="S485" s="339"/>
      <c r="T485" s="340"/>
      <c r="U485" s="339"/>
      <c r="V485" s="340"/>
      <c r="W485" s="339"/>
      <c r="X485" s="339"/>
      <c r="Y485" s="339"/>
      <c r="Z485" s="340"/>
      <c r="AA485" s="339"/>
      <c r="AB485" s="339"/>
      <c r="AC485" s="339"/>
      <c r="AD485" s="339"/>
    </row>
    <row r="486" spans="1:30" ht="15.75" customHeight="1">
      <c r="A486" s="339"/>
      <c r="B486" s="339"/>
      <c r="C486" s="339"/>
      <c r="D486" s="339"/>
      <c r="E486" s="339"/>
      <c r="F486" s="339"/>
      <c r="G486" s="339"/>
      <c r="H486" s="339"/>
      <c r="I486" s="339"/>
      <c r="J486" s="339"/>
      <c r="K486" s="339"/>
      <c r="L486" s="340"/>
      <c r="M486" s="339"/>
      <c r="N486" s="340"/>
      <c r="O486" s="339"/>
      <c r="P486" s="340"/>
      <c r="Q486" s="339"/>
      <c r="R486" s="340"/>
      <c r="S486" s="339"/>
      <c r="T486" s="340"/>
      <c r="U486" s="339"/>
      <c r="V486" s="340"/>
      <c r="W486" s="339"/>
      <c r="X486" s="339"/>
      <c r="Y486" s="339"/>
      <c r="Z486" s="340"/>
      <c r="AA486" s="339"/>
      <c r="AB486" s="339"/>
      <c r="AC486" s="339"/>
      <c r="AD486" s="339"/>
    </row>
    <row r="487" spans="1:30" ht="15.75" customHeight="1">
      <c r="A487" s="339"/>
      <c r="B487" s="339"/>
      <c r="C487" s="339"/>
      <c r="D487" s="339"/>
      <c r="E487" s="339"/>
      <c r="F487" s="339"/>
      <c r="G487" s="339"/>
      <c r="H487" s="339"/>
      <c r="I487" s="339"/>
      <c r="J487" s="339"/>
      <c r="K487" s="339"/>
      <c r="L487" s="340"/>
      <c r="M487" s="339"/>
      <c r="N487" s="340"/>
      <c r="O487" s="339"/>
      <c r="P487" s="340"/>
      <c r="Q487" s="339"/>
      <c r="R487" s="340"/>
      <c r="S487" s="339"/>
      <c r="T487" s="340"/>
      <c r="U487" s="339"/>
      <c r="V487" s="340"/>
      <c r="W487" s="339"/>
      <c r="X487" s="339"/>
      <c r="Y487" s="339"/>
      <c r="Z487" s="340"/>
      <c r="AA487" s="339"/>
      <c r="AB487" s="339"/>
      <c r="AC487" s="339"/>
      <c r="AD487" s="339"/>
    </row>
    <row r="488" spans="1:30" ht="15.75" customHeight="1">
      <c r="A488" s="339"/>
      <c r="B488" s="339"/>
      <c r="C488" s="339"/>
      <c r="D488" s="339"/>
      <c r="E488" s="339"/>
      <c r="F488" s="339"/>
      <c r="G488" s="339"/>
      <c r="H488" s="339"/>
      <c r="I488" s="339"/>
      <c r="J488" s="339"/>
      <c r="K488" s="339"/>
      <c r="L488" s="340"/>
      <c r="M488" s="339"/>
      <c r="N488" s="340"/>
      <c r="O488" s="339"/>
      <c r="P488" s="340"/>
      <c r="Q488" s="339"/>
      <c r="R488" s="340"/>
      <c r="S488" s="339"/>
      <c r="T488" s="340"/>
      <c r="U488" s="339"/>
      <c r="V488" s="340"/>
      <c r="W488" s="339"/>
      <c r="X488" s="339"/>
      <c r="Y488" s="339"/>
      <c r="Z488" s="340"/>
      <c r="AA488" s="339"/>
      <c r="AB488" s="339"/>
      <c r="AC488" s="339"/>
      <c r="AD488" s="339"/>
    </row>
    <row r="489" spans="1:30" ht="15.75" customHeight="1">
      <c r="A489" s="339"/>
      <c r="B489" s="339"/>
      <c r="C489" s="339"/>
      <c r="D489" s="339"/>
      <c r="E489" s="339"/>
      <c r="F489" s="339"/>
      <c r="G489" s="339"/>
      <c r="H489" s="339"/>
      <c r="I489" s="339"/>
      <c r="J489" s="339"/>
      <c r="K489" s="339"/>
      <c r="L489" s="340"/>
      <c r="M489" s="339"/>
      <c r="N489" s="340"/>
      <c r="O489" s="339"/>
      <c r="P489" s="340"/>
      <c r="Q489" s="339"/>
      <c r="R489" s="340"/>
      <c r="S489" s="339"/>
      <c r="T489" s="340"/>
      <c r="U489" s="339"/>
      <c r="V489" s="340"/>
      <c r="W489" s="339"/>
      <c r="X489" s="339"/>
      <c r="Y489" s="339"/>
      <c r="Z489" s="340"/>
      <c r="AA489" s="339"/>
      <c r="AB489" s="339"/>
      <c r="AC489" s="339"/>
      <c r="AD489" s="339"/>
    </row>
    <row r="490" spans="1:30" ht="15.75" customHeight="1">
      <c r="A490" s="339"/>
      <c r="B490" s="339"/>
      <c r="C490" s="339"/>
      <c r="D490" s="339"/>
      <c r="E490" s="339"/>
      <c r="F490" s="339"/>
      <c r="G490" s="339"/>
      <c r="H490" s="339"/>
      <c r="I490" s="339"/>
      <c r="J490" s="339"/>
      <c r="K490" s="339"/>
      <c r="L490" s="340"/>
      <c r="M490" s="339"/>
      <c r="N490" s="340"/>
      <c r="O490" s="339"/>
      <c r="P490" s="340"/>
      <c r="Q490" s="339"/>
      <c r="R490" s="340"/>
      <c r="S490" s="339"/>
      <c r="T490" s="340"/>
      <c r="U490" s="339"/>
      <c r="V490" s="340"/>
      <c r="W490" s="339"/>
      <c r="X490" s="339"/>
      <c r="Y490" s="339"/>
      <c r="Z490" s="340"/>
      <c r="AA490" s="339"/>
      <c r="AB490" s="339"/>
      <c r="AC490" s="339"/>
      <c r="AD490" s="339"/>
    </row>
    <row r="491" spans="1:30" ht="15.75" customHeight="1">
      <c r="A491" s="339"/>
      <c r="B491" s="339"/>
      <c r="C491" s="339"/>
      <c r="D491" s="339"/>
      <c r="E491" s="339"/>
      <c r="F491" s="339"/>
      <c r="G491" s="339"/>
      <c r="H491" s="339"/>
      <c r="I491" s="339"/>
      <c r="J491" s="339"/>
      <c r="K491" s="339"/>
      <c r="L491" s="340"/>
      <c r="M491" s="339"/>
      <c r="N491" s="340"/>
      <c r="O491" s="339"/>
      <c r="P491" s="340"/>
      <c r="Q491" s="339"/>
      <c r="R491" s="340"/>
      <c r="S491" s="339"/>
      <c r="T491" s="340"/>
      <c r="U491" s="339"/>
      <c r="V491" s="340"/>
      <c r="W491" s="339"/>
      <c r="X491" s="339"/>
      <c r="Y491" s="339"/>
      <c r="Z491" s="340"/>
      <c r="AA491" s="339"/>
      <c r="AB491" s="339"/>
      <c r="AC491" s="339"/>
      <c r="AD491" s="339"/>
    </row>
    <row r="492" spans="1:30" ht="15.75" customHeight="1">
      <c r="A492" s="339"/>
      <c r="B492" s="339"/>
      <c r="C492" s="339"/>
      <c r="D492" s="339"/>
      <c r="E492" s="339"/>
      <c r="F492" s="339"/>
      <c r="G492" s="339"/>
      <c r="H492" s="339"/>
      <c r="I492" s="339"/>
      <c r="J492" s="339"/>
      <c r="K492" s="339"/>
      <c r="L492" s="340"/>
      <c r="M492" s="339"/>
      <c r="N492" s="340"/>
      <c r="O492" s="339"/>
      <c r="P492" s="340"/>
      <c r="Q492" s="339"/>
      <c r="R492" s="340"/>
      <c r="S492" s="339"/>
      <c r="T492" s="340"/>
      <c r="U492" s="339"/>
      <c r="V492" s="340"/>
      <c r="W492" s="339"/>
      <c r="X492" s="339"/>
      <c r="Y492" s="339"/>
      <c r="Z492" s="340"/>
      <c r="AA492" s="339"/>
      <c r="AB492" s="339"/>
      <c r="AC492" s="339"/>
      <c r="AD492" s="339"/>
    </row>
    <row r="493" spans="1:30" ht="15.75" customHeight="1">
      <c r="A493" s="339"/>
      <c r="B493" s="339"/>
      <c r="C493" s="339"/>
      <c r="D493" s="339"/>
      <c r="E493" s="339"/>
      <c r="F493" s="339"/>
      <c r="G493" s="339"/>
      <c r="H493" s="339"/>
      <c r="I493" s="339"/>
      <c r="J493" s="339"/>
      <c r="K493" s="339"/>
      <c r="L493" s="340"/>
      <c r="M493" s="339"/>
      <c r="N493" s="340"/>
      <c r="O493" s="339"/>
      <c r="P493" s="340"/>
      <c r="Q493" s="339"/>
      <c r="R493" s="340"/>
      <c r="S493" s="339"/>
      <c r="T493" s="340"/>
      <c r="U493" s="339"/>
      <c r="V493" s="340"/>
      <c r="W493" s="339"/>
      <c r="X493" s="339"/>
      <c r="Y493" s="339"/>
      <c r="Z493" s="340"/>
      <c r="AA493" s="339"/>
      <c r="AB493" s="339"/>
      <c r="AC493" s="339"/>
      <c r="AD493" s="339"/>
    </row>
    <row r="494" spans="1:30" ht="15.75" customHeight="1">
      <c r="A494" s="339"/>
      <c r="B494" s="339"/>
      <c r="C494" s="339"/>
      <c r="D494" s="339"/>
      <c r="E494" s="339"/>
      <c r="F494" s="339"/>
      <c r="G494" s="339"/>
      <c r="H494" s="339"/>
      <c r="I494" s="339"/>
      <c r="J494" s="339"/>
      <c r="K494" s="339"/>
      <c r="L494" s="340"/>
      <c r="M494" s="339"/>
      <c r="N494" s="340"/>
      <c r="O494" s="339"/>
      <c r="P494" s="340"/>
      <c r="Q494" s="339"/>
      <c r="R494" s="340"/>
      <c r="S494" s="339"/>
      <c r="T494" s="340"/>
      <c r="U494" s="339"/>
      <c r="V494" s="340"/>
      <c r="W494" s="339"/>
      <c r="X494" s="339"/>
      <c r="Y494" s="339"/>
      <c r="Z494" s="340"/>
      <c r="AA494" s="339"/>
      <c r="AB494" s="339"/>
      <c r="AC494" s="339"/>
      <c r="AD494" s="339"/>
    </row>
    <row r="495" spans="1:30" ht="15.75" customHeight="1">
      <c r="A495" s="339"/>
      <c r="B495" s="339"/>
      <c r="C495" s="339"/>
      <c r="D495" s="339"/>
      <c r="E495" s="339"/>
      <c r="F495" s="339"/>
      <c r="G495" s="339"/>
      <c r="H495" s="339"/>
      <c r="I495" s="339"/>
      <c r="J495" s="339"/>
      <c r="K495" s="339"/>
      <c r="L495" s="340"/>
      <c r="M495" s="339"/>
      <c r="N495" s="340"/>
      <c r="O495" s="339"/>
      <c r="P495" s="340"/>
      <c r="Q495" s="339"/>
      <c r="R495" s="340"/>
      <c r="S495" s="339"/>
      <c r="T495" s="340"/>
      <c r="U495" s="339"/>
      <c r="V495" s="340"/>
      <c r="W495" s="339"/>
      <c r="X495" s="339"/>
      <c r="Y495" s="339"/>
      <c r="Z495" s="340"/>
      <c r="AA495" s="339"/>
      <c r="AB495" s="339"/>
      <c r="AC495" s="339"/>
      <c r="AD495" s="339"/>
    </row>
    <row r="496" spans="1:30" ht="15.75" customHeight="1">
      <c r="A496" s="339"/>
      <c r="B496" s="339"/>
      <c r="C496" s="339"/>
      <c r="D496" s="339"/>
      <c r="E496" s="339"/>
      <c r="F496" s="339"/>
      <c r="G496" s="339"/>
      <c r="H496" s="339"/>
      <c r="I496" s="339"/>
      <c r="J496" s="339"/>
      <c r="K496" s="339"/>
      <c r="L496" s="340"/>
      <c r="M496" s="339"/>
      <c r="N496" s="340"/>
      <c r="O496" s="339"/>
      <c r="P496" s="340"/>
      <c r="Q496" s="339"/>
      <c r="R496" s="340"/>
      <c r="S496" s="339"/>
      <c r="T496" s="340"/>
      <c r="U496" s="339"/>
      <c r="V496" s="340"/>
      <c r="W496" s="339"/>
      <c r="X496" s="339"/>
      <c r="Y496" s="339"/>
      <c r="Z496" s="340"/>
      <c r="AA496" s="339"/>
      <c r="AB496" s="339"/>
      <c r="AC496" s="339"/>
      <c r="AD496" s="339"/>
    </row>
    <row r="497" spans="1:30" ht="15.75" customHeight="1">
      <c r="A497" s="339"/>
      <c r="B497" s="339"/>
      <c r="C497" s="339"/>
      <c r="D497" s="339"/>
      <c r="E497" s="339"/>
      <c r="F497" s="339"/>
      <c r="G497" s="339"/>
      <c r="H497" s="339"/>
      <c r="I497" s="339"/>
      <c r="J497" s="339"/>
      <c r="K497" s="339"/>
      <c r="L497" s="340"/>
      <c r="M497" s="339"/>
      <c r="N497" s="340"/>
      <c r="O497" s="339"/>
      <c r="P497" s="340"/>
      <c r="Q497" s="339"/>
      <c r="R497" s="340"/>
      <c r="S497" s="339"/>
      <c r="T497" s="340"/>
      <c r="U497" s="339"/>
      <c r="V497" s="340"/>
      <c r="W497" s="339"/>
      <c r="X497" s="339"/>
      <c r="Y497" s="339"/>
      <c r="Z497" s="340"/>
      <c r="AA497" s="339"/>
      <c r="AB497" s="339"/>
      <c r="AC497" s="339"/>
      <c r="AD497" s="339"/>
    </row>
    <row r="498" spans="1:30" ht="15.75" customHeight="1">
      <c r="A498" s="339"/>
      <c r="B498" s="339"/>
      <c r="C498" s="339"/>
      <c r="D498" s="339"/>
      <c r="E498" s="339"/>
      <c r="F498" s="339"/>
      <c r="G498" s="339"/>
      <c r="H498" s="339"/>
      <c r="I498" s="339"/>
      <c r="J498" s="339"/>
      <c r="K498" s="339"/>
      <c r="L498" s="340"/>
      <c r="M498" s="339"/>
      <c r="N498" s="340"/>
      <c r="O498" s="339"/>
      <c r="P498" s="340"/>
      <c r="Q498" s="339"/>
      <c r="R498" s="340"/>
      <c r="S498" s="339"/>
      <c r="T498" s="340"/>
      <c r="U498" s="339"/>
      <c r="V498" s="340"/>
      <c r="W498" s="339"/>
      <c r="X498" s="339"/>
      <c r="Y498" s="339"/>
      <c r="Z498" s="340"/>
      <c r="AA498" s="339"/>
      <c r="AB498" s="339"/>
      <c r="AC498" s="339"/>
      <c r="AD498" s="339"/>
    </row>
    <row r="499" spans="1:30" ht="15.75" customHeight="1">
      <c r="A499" s="339"/>
      <c r="B499" s="339"/>
      <c r="C499" s="339"/>
      <c r="D499" s="339"/>
      <c r="E499" s="339"/>
      <c r="F499" s="339"/>
      <c r="G499" s="339"/>
      <c r="H499" s="339"/>
      <c r="I499" s="339"/>
      <c r="J499" s="339"/>
      <c r="K499" s="339"/>
      <c r="L499" s="340"/>
      <c r="M499" s="339"/>
      <c r="N499" s="340"/>
      <c r="O499" s="339"/>
      <c r="P499" s="340"/>
      <c r="Q499" s="339"/>
      <c r="R499" s="340"/>
      <c r="S499" s="339"/>
      <c r="T499" s="340"/>
      <c r="U499" s="339"/>
      <c r="V499" s="340"/>
      <c r="W499" s="339"/>
      <c r="X499" s="339"/>
      <c r="Y499" s="339"/>
      <c r="Z499" s="340"/>
      <c r="AA499" s="339"/>
      <c r="AB499" s="339"/>
      <c r="AC499" s="339"/>
      <c r="AD499" s="339"/>
    </row>
    <row r="500" spans="1:30" ht="15.75" customHeight="1">
      <c r="A500" s="339"/>
      <c r="B500" s="339"/>
      <c r="C500" s="339"/>
      <c r="D500" s="339"/>
      <c r="E500" s="339"/>
      <c r="F500" s="339"/>
      <c r="G500" s="339"/>
      <c r="H500" s="339"/>
      <c r="I500" s="339"/>
      <c r="J500" s="339"/>
      <c r="K500" s="339"/>
      <c r="L500" s="340"/>
      <c r="M500" s="339"/>
      <c r="N500" s="340"/>
      <c r="O500" s="339"/>
      <c r="P500" s="340"/>
      <c r="Q500" s="339"/>
      <c r="R500" s="340"/>
      <c r="S500" s="339"/>
      <c r="T500" s="340"/>
      <c r="U500" s="339"/>
      <c r="V500" s="340"/>
      <c r="W500" s="339"/>
      <c r="X500" s="339"/>
      <c r="Y500" s="339"/>
      <c r="Z500" s="340"/>
      <c r="AA500" s="339"/>
      <c r="AB500" s="339"/>
      <c r="AC500" s="339"/>
      <c r="AD500" s="339"/>
    </row>
    <row r="501" spans="1:30" ht="15.75" customHeight="1">
      <c r="A501" s="339"/>
      <c r="B501" s="339"/>
      <c r="C501" s="339"/>
      <c r="D501" s="339"/>
      <c r="E501" s="339"/>
      <c r="F501" s="339"/>
      <c r="G501" s="339"/>
      <c r="H501" s="339"/>
      <c r="I501" s="339"/>
      <c r="J501" s="339"/>
      <c r="K501" s="339"/>
      <c r="L501" s="340"/>
      <c r="M501" s="339"/>
      <c r="N501" s="340"/>
      <c r="O501" s="339"/>
      <c r="P501" s="340"/>
      <c r="Q501" s="339"/>
      <c r="R501" s="340"/>
      <c r="S501" s="339"/>
      <c r="T501" s="340"/>
      <c r="U501" s="339"/>
      <c r="V501" s="340"/>
      <c r="W501" s="339"/>
      <c r="X501" s="339"/>
      <c r="Y501" s="339"/>
      <c r="Z501" s="340"/>
      <c r="AA501" s="339"/>
      <c r="AB501" s="339"/>
      <c r="AC501" s="339"/>
      <c r="AD501" s="339"/>
    </row>
    <row r="502" spans="1:30" ht="15.75" customHeight="1">
      <c r="A502" s="339"/>
      <c r="B502" s="339"/>
      <c r="C502" s="339"/>
      <c r="D502" s="339"/>
      <c r="E502" s="339"/>
      <c r="F502" s="339"/>
      <c r="G502" s="339"/>
      <c r="H502" s="339"/>
      <c r="I502" s="339"/>
      <c r="J502" s="339"/>
      <c r="K502" s="339"/>
      <c r="L502" s="340"/>
      <c r="M502" s="339"/>
      <c r="N502" s="340"/>
      <c r="O502" s="339"/>
      <c r="P502" s="340"/>
      <c r="Q502" s="339"/>
      <c r="R502" s="340"/>
      <c r="S502" s="339"/>
      <c r="T502" s="340"/>
      <c r="U502" s="339"/>
      <c r="V502" s="340"/>
      <c r="W502" s="339"/>
      <c r="X502" s="339"/>
      <c r="Y502" s="339"/>
      <c r="Z502" s="340"/>
      <c r="AA502" s="339"/>
      <c r="AB502" s="339"/>
      <c r="AC502" s="339"/>
      <c r="AD502" s="339"/>
    </row>
    <row r="503" spans="1:30" ht="15.75" customHeight="1">
      <c r="A503" s="339"/>
      <c r="B503" s="339"/>
      <c r="C503" s="339"/>
      <c r="D503" s="339"/>
      <c r="E503" s="339"/>
      <c r="F503" s="339"/>
      <c r="G503" s="339"/>
      <c r="H503" s="339"/>
      <c r="I503" s="339"/>
      <c r="J503" s="339"/>
      <c r="K503" s="339"/>
      <c r="L503" s="340"/>
      <c r="M503" s="339"/>
      <c r="N503" s="340"/>
      <c r="O503" s="339"/>
      <c r="P503" s="340"/>
      <c r="Q503" s="339"/>
      <c r="R503" s="340"/>
      <c r="S503" s="339"/>
      <c r="T503" s="340"/>
      <c r="U503" s="339"/>
      <c r="V503" s="340"/>
      <c r="W503" s="339"/>
      <c r="X503" s="339"/>
      <c r="Y503" s="339"/>
      <c r="Z503" s="340"/>
      <c r="AA503" s="339"/>
      <c r="AB503" s="339"/>
      <c r="AC503" s="339"/>
      <c r="AD503" s="339"/>
    </row>
    <row r="504" spans="1:30" ht="15.75" customHeight="1">
      <c r="A504" s="339"/>
      <c r="B504" s="339"/>
      <c r="C504" s="339"/>
      <c r="D504" s="339"/>
      <c r="E504" s="339"/>
      <c r="F504" s="339"/>
      <c r="G504" s="339"/>
      <c r="H504" s="339"/>
      <c r="I504" s="339"/>
      <c r="J504" s="339"/>
      <c r="K504" s="339"/>
      <c r="L504" s="340"/>
      <c r="M504" s="339"/>
      <c r="N504" s="340"/>
      <c r="O504" s="339"/>
      <c r="P504" s="340"/>
      <c r="Q504" s="339"/>
      <c r="R504" s="340"/>
      <c r="S504" s="339"/>
      <c r="T504" s="340"/>
      <c r="U504" s="339"/>
      <c r="V504" s="340"/>
      <c r="W504" s="339"/>
      <c r="X504" s="339"/>
      <c r="Y504" s="339"/>
      <c r="Z504" s="340"/>
      <c r="AA504" s="339"/>
      <c r="AB504" s="339"/>
      <c r="AC504" s="339"/>
      <c r="AD504" s="339"/>
    </row>
    <row r="505" spans="1:30" ht="15.75" customHeight="1">
      <c r="A505" s="339"/>
      <c r="B505" s="339"/>
      <c r="C505" s="339"/>
      <c r="D505" s="339"/>
      <c r="E505" s="339"/>
      <c r="F505" s="339"/>
      <c r="G505" s="339"/>
      <c r="H505" s="339"/>
      <c r="I505" s="339"/>
      <c r="J505" s="339"/>
      <c r="K505" s="339"/>
      <c r="L505" s="340"/>
      <c r="M505" s="339"/>
      <c r="N505" s="340"/>
      <c r="O505" s="339"/>
      <c r="P505" s="340"/>
      <c r="Q505" s="339"/>
      <c r="R505" s="340"/>
      <c r="S505" s="339"/>
      <c r="T505" s="340"/>
      <c r="U505" s="339"/>
      <c r="V505" s="340"/>
      <c r="W505" s="339"/>
      <c r="X505" s="339"/>
      <c r="Y505" s="339"/>
      <c r="Z505" s="340"/>
      <c r="AA505" s="339"/>
      <c r="AB505" s="339"/>
      <c r="AC505" s="339"/>
      <c r="AD505" s="339"/>
    </row>
    <row r="506" spans="1:30" ht="15.75" customHeight="1">
      <c r="A506" s="339"/>
      <c r="B506" s="339"/>
      <c r="C506" s="339"/>
      <c r="D506" s="339"/>
      <c r="E506" s="339"/>
      <c r="F506" s="339"/>
      <c r="G506" s="339"/>
      <c r="H506" s="339"/>
      <c r="I506" s="339"/>
      <c r="J506" s="339"/>
      <c r="K506" s="339"/>
      <c r="L506" s="340"/>
      <c r="M506" s="339"/>
      <c r="N506" s="340"/>
      <c r="O506" s="339"/>
      <c r="P506" s="340"/>
      <c r="Q506" s="339"/>
      <c r="R506" s="340"/>
      <c r="S506" s="339"/>
      <c r="T506" s="340"/>
      <c r="U506" s="339"/>
      <c r="V506" s="340"/>
      <c r="W506" s="339"/>
      <c r="X506" s="339"/>
      <c r="Y506" s="339"/>
      <c r="Z506" s="340"/>
      <c r="AA506" s="339"/>
      <c r="AB506" s="339"/>
      <c r="AC506" s="339"/>
      <c r="AD506" s="339"/>
    </row>
    <row r="507" spans="1:30" ht="15.75" customHeight="1">
      <c r="A507" s="339"/>
      <c r="B507" s="339"/>
      <c r="C507" s="339"/>
      <c r="D507" s="339"/>
      <c r="E507" s="339"/>
      <c r="F507" s="339"/>
      <c r="G507" s="339"/>
      <c r="H507" s="339"/>
      <c r="I507" s="339"/>
      <c r="J507" s="339"/>
      <c r="K507" s="339"/>
      <c r="L507" s="340"/>
      <c r="M507" s="339"/>
      <c r="N507" s="340"/>
      <c r="O507" s="339"/>
      <c r="P507" s="340"/>
      <c r="Q507" s="339"/>
      <c r="R507" s="340"/>
      <c r="S507" s="339"/>
      <c r="T507" s="340"/>
      <c r="U507" s="339"/>
      <c r="V507" s="340"/>
      <c r="W507" s="339"/>
      <c r="X507" s="339"/>
      <c r="Y507" s="339"/>
      <c r="Z507" s="340"/>
      <c r="AA507" s="339"/>
      <c r="AB507" s="339"/>
      <c r="AC507" s="339"/>
      <c r="AD507" s="339"/>
    </row>
    <row r="508" spans="1:30" ht="15.75" customHeight="1">
      <c r="A508" s="339"/>
      <c r="B508" s="339"/>
      <c r="C508" s="339"/>
      <c r="D508" s="339"/>
      <c r="E508" s="339"/>
      <c r="F508" s="339"/>
      <c r="G508" s="339"/>
      <c r="H508" s="339"/>
      <c r="I508" s="339"/>
      <c r="J508" s="339"/>
      <c r="K508" s="339"/>
      <c r="L508" s="340"/>
      <c r="M508" s="339"/>
      <c r="N508" s="340"/>
      <c r="O508" s="339"/>
      <c r="P508" s="340"/>
      <c r="Q508" s="339"/>
      <c r="R508" s="340"/>
      <c r="S508" s="339"/>
      <c r="T508" s="340"/>
      <c r="U508" s="339"/>
      <c r="V508" s="340"/>
      <c r="W508" s="339"/>
      <c r="X508" s="339"/>
      <c r="Y508" s="339"/>
      <c r="Z508" s="340"/>
      <c r="AA508" s="339"/>
      <c r="AB508" s="339"/>
      <c r="AC508" s="339"/>
      <c r="AD508" s="339"/>
    </row>
    <row r="509" spans="1:30" ht="15.75" customHeight="1">
      <c r="A509" s="339"/>
      <c r="B509" s="339"/>
      <c r="C509" s="339"/>
      <c r="D509" s="339"/>
      <c r="E509" s="339"/>
      <c r="F509" s="339"/>
      <c r="G509" s="339"/>
      <c r="H509" s="339"/>
      <c r="I509" s="339"/>
      <c r="J509" s="339"/>
      <c r="K509" s="339"/>
      <c r="L509" s="340"/>
      <c r="M509" s="339"/>
      <c r="N509" s="340"/>
      <c r="O509" s="339"/>
      <c r="P509" s="340"/>
      <c r="Q509" s="339"/>
      <c r="R509" s="340"/>
      <c r="S509" s="339"/>
      <c r="T509" s="340"/>
      <c r="U509" s="339"/>
      <c r="V509" s="340"/>
      <c r="W509" s="339"/>
      <c r="X509" s="339"/>
      <c r="Y509" s="339"/>
      <c r="Z509" s="340"/>
      <c r="AA509" s="339"/>
      <c r="AB509" s="339"/>
      <c r="AC509" s="339"/>
      <c r="AD509" s="339"/>
    </row>
    <row r="510" spans="1:30" ht="15.75" customHeight="1">
      <c r="A510" s="339"/>
      <c r="B510" s="339"/>
      <c r="C510" s="339"/>
      <c r="D510" s="339"/>
      <c r="E510" s="339"/>
      <c r="F510" s="339"/>
      <c r="G510" s="339"/>
      <c r="H510" s="339"/>
      <c r="I510" s="339"/>
      <c r="J510" s="339"/>
      <c r="K510" s="339"/>
      <c r="L510" s="340"/>
      <c r="M510" s="339"/>
      <c r="N510" s="340"/>
      <c r="O510" s="339"/>
      <c r="P510" s="340"/>
      <c r="Q510" s="339"/>
      <c r="R510" s="340"/>
      <c r="S510" s="339"/>
      <c r="T510" s="340"/>
      <c r="U510" s="339"/>
      <c r="V510" s="340"/>
      <c r="W510" s="339"/>
      <c r="X510" s="339"/>
      <c r="Y510" s="339"/>
      <c r="Z510" s="340"/>
      <c r="AA510" s="339"/>
      <c r="AB510" s="339"/>
      <c r="AC510" s="339"/>
      <c r="AD510" s="339"/>
    </row>
    <row r="511" spans="1:30" ht="15.75" customHeight="1">
      <c r="A511" s="339"/>
      <c r="B511" s="339"/>
      <c r="C511" s="339"/>
      <c r="D511" s="339"/>
      <c r="E511" s="339"/>
      <c r="F511" s="339"/>
      <c r="G511" s="339"/>
      <c r="H511" s="339"/>
      <c r="I511" s="339"/>
      <c r="J511" s="339"/>
      <c r="K511" s="339"/>
      <c r="L511" s="340"/>
      <c r="M511" s="339"/>
      <c r="N511" s="340"/>
      <c r="O511" s="339"/>
      <c r="P511" s="340"/>
      <c r="Q511" s="339"/>
      <c r="R511" s="340"/>
      <c r="S511" s="339"/>
      <c r="T511" s="340"/>
      <c r="U511" s="339"/>
      <c r="V511" s="340"/>
      <c r="W511" s="339"/>
      <c r="X511" s="339"/>
      <c r="Y511" s="339"/>
      <c r="Z511" s="340"/>
      <c r="AA511" s="339"/>
      <c r="AB511" s="339"/>
      <c r="AC511" s="339"/>
      <c r="AD511" s="339"/>
    </row>
    <row r="512" spans="1:30" ht="15.75" customHeight="1">
      <c r="A512" s="339"/>
      <c r="B512" s="339"/>
      <c r="C512" s="339"/>
      <c r="D512" s="339"/>
      <c r="E512" s="339"/>
      <c r="F512" s="339"/>
      <c r="G512" s="339"/>
      <c r="H512" s="339"/>
      <c r="I512" s="339"/>
      <c r="J512" s="339"/>
      <c r="K512" s="339"/>
      <c r="L512" s="340"/>
      <c r="M512" s="339"/>
      <c r="N512" s="340"/>
      <c r="O512" s="339"/>
      <c r="P512" s="340"/>
      <c r="Q512" s="339"/>
      <c r="R512" s="340"/>
      <c r="S512" s="339"/>
      <c r="T512" s="340"/>
      <c r="U512" s="339"/>
      <c r="V512" s="340"/>
      <c r="W512" s="339"/>
      <c r="X512" s="339"/>
      <c r="Y512" s="339"/>
      <c r="Z512" s="340"/>
      <c r="AA512" s="339"/>
      <c r="AB512" s="339"/>
      <c r="AC512" s="339"/>
      <c r="AD512" s="339"/>
    </row>
    <row r="513" spans="1:30" ht="15.75" customHeight="1">
      <c r="A513" s="339"/>
      <c r="B513" s="339"/>
      <c r="C513" s="339"/>
      <c r="D513" s="339"/>
      <c r="E513" s="339"/>
      <c r="F513" s="339"/>
      <c r="G513" s="339"/>
      <c r="H513" s="339"/>
      <c r="I513" s="339"/>
      <c r="J513" s="339"/>
      <c r="K513" s="339"/>
      <c r="L513" s="340"/>
      <c r="M513" s="339"/>
      <c r="N513" s="340"/>
      <c r="O513" s="339"/>
      <c r="P513" s="340"/>
      <c r="Q513" s="339"/>
      <c r="R513" s="340"/>
      <c r="S513" s="339"/>
      <c r="T513" s="340"/>
      <c r="U513" s="339"/>
      <c r="V513" s="340"/>
      <c r="W513" s="339"/>
      <c r="X513" s="339"/>
      <c r="Y513" s="339"/>
      <c r="Z513" s="340"/>
      <c r="AA513" s="339"/>
      <c r="AB513" s="339"/>
      <c r="AC513" s="339"/>
      <c r="AD513" s="339"/>
    </row>
    <row r="514" spans="1:30" ht="15.75" customHeight="1">
      <c r="A514" s="339"/>
      <c r="B514" s="339"/>
      <c r="C514" s="339"/>
      <c r="D514" s="339"/>
      <c r="E514" s="339"/>
      <c r="F514" s="339"/>
      <c r="G514" s="339"/>
      <c r="H514" s="339"/>
      <c r="I514" s="339"/>
      <c r="J514" s="339"/>
      <c r="K514" s="339"/>
      <c r="L514" s="340"/>
      <c r="M514" s="339"/>
      <c r="N514" s="340"/>
      <c r="O514" s="339"/>
      <c r="P514" s="340"/>
      <c r="Q514" s="339"/>
      <c r="R514" s="340"/>
      <c r="S514" s="339"/>
      <c r="T514" s="340"/>
      <c r="U514" s="339"/>
      <c r="V514" s="340"/>
      <c r="W514" s="339"/>
      <c r="X514" s="339"/>
      <c r="Y514" s="339"/>
      <c r="Z514" s="340"/>
      <c r="AA514" s="339"/>
      <c r="AB514" s="339"/>
      <c r="AC514" s="339"/>
      <c r="AD514" s="339"/>
    </row>
    <row r="515" spans="1:30" ht="15.75" customHeight="1">
      <c r="A515" s="339"/>
      <c r="B515" s="339"/>
      <c r="C515" s="339"/>
      <c r="D515" s="339"/>
      <c r="E515" s="339"/>
      <c r="F515" s="339"/>
      <c r="G515" s="339"/>
      <c r="H515" s="339"/>
      <c r="I515" s="339"/>
      <c r="J515" s="339"/>
      <c r="K515" s="339"/>
      <c r="L515" s="340"/>
      <c r="M515" s="339"/>
      <c r="N515" s="340"/>
      <c r="O515" s="339"/>
      <c r="P515" s="340"/>
      <c r="Q515" s="339"/>
      <c r="R515" s="340"/>
      <c r="S515" s="339"/>
      <c r="T515" s="340"/>
      <c r="U515" s="339"/>
      <c r="V515" s="340"/>
      <c r="W515" s="339"/>
      <c r="X515" s="339"/>
      <c r="Y515" s="339"/>
      <c r="Z515" s="340"/>
      <c r="AA515" s="339"/>
      <c r="AB515" s="339"/>
      <c r="AC515" s="339"/>
      <c r="AD515" s="339"/>
    </row>
    <row r="516" spans="1:30" ht="15.75" customHeight="1">
      <c r="A516" s="339"/>
      <c r="B516" s="339"/>
      <c r="C516" s="339"/>
      <c r="D516" s="339"/>
      <c r="E516" s="339"/>
      <c r="F516" s="339"/>
      <c r="G516" s="339"/>
      <c r="H516" s="339"/>
      <c r="I516" s="339"/>
      <c r="J516" s="339"/>
      <c r="K516" s="339"/>
      <c r="L516" s="340"/>
      <c r="M516" s="339"/>
      <c r="N516" s="340"/>
      <c r="O516" s="339"/>
      <c r="P516" s="340"/>
      <c r="Q516" s="339"/>
      <c r="R516" s="340"/>
      <c r="S516" s="339"/>
      <c r="T516" s="340"/>
      <c r="U516" s="339"/>
      <c r="V516" s="340"/>
      <c r="W516" s="339"/>
      <c r="X516" s="339"/>
      <c r="Y516" s="339"/>
      <c r="Z516" s="340"/>
      <c r="AA516" s="339"/>
      <c r="AB516" s="339"/>
      <c r="AC516" s="339"/>
      <c r="AD516" s="339"/>
    </row>
    <row r="517" spans="1:30" ht="15.75" customHeight="1">
      <c r="A517" s="339"/>
      <c r="B517" s="339"/>
      <c r="C517" s="339"/>
      <c r="D517" s="339"/>
      <c r="E517" s="339"/>
      <c r="F517" s="339"/>
      <c r="G517" s="339"/>
      <c r="H517" s="339"/>
      <c r="I517" s="339"/>
      <c r="J517" s="339"/>
      <c r="K517" s="339"/>
      <c r="L517" s="340"/>
      <c r="M517" s="339"/>
      <c r="N517" s="340"/>
      <c r="O517" s="339"/>
      <c r="P517" s="340"/>
      <c r="Q517" s="339"/>
      <c r="R517" s="340"/>
      <c r="S517" s="339"/>
      <c r="T517" s="340"/>
      <c r="U517" s="339"/>
      <c r="V517" s="340"/>
      <c r="W517" s="339"/>
      <c r="X517" s="339"/>
      <c r="Y517" s="339"/>
      <c r="Z517" s="340"/>
      <c r="AA517" s="339"/>
      <c r="AB517" s="339"/>
      <c r="AC517" s="339"/>
      <c r="AD517" s="339"/>
    </row>
    <row r="518" spans="1:30" ht="15.75" customHeight="1">
      <c r="A518" s="339"/>
      <c r="B518" s="339"/>
      <c r="C518" s="339"/>
      <c r="D518" s="339"/>
      <c r="E518" s="339"/>
      <c r="F518" s="339"/>
      <c r="G518" s="339"/>
      <c r="H518" s="339"/>
      <c r="I518" s="339"/>
      <c r="J518" s="339"/>
      <c r="K518" s="339"/>
      <c r="L518" s="340"/>
      <c r="M518" s="339"/>
      <c r="N518" s="340"/>
      <c r="O518" s="339"/>
      <c r="P518" s="340"/>
      <c r="Q518" s="339"/>
      <c r="R518" s="340"/>
      <c r="S518" s="339"/>
      <c r="T518" s="340"/>
      <c r="U518" s="339"/>
      <c r="V518" s="340"/>
      <c r="W518" s="339"/>
      <c r="X518" s="339"/>
      <c r="Y518" s="339"/>
      <c r="Z518" s="340"/>
      <c r="AA518" s="339"/>
      <c r="AB518" s="339"/>
      <c r="AC518" s="339"/>
      <c r="AD518" s="339"/>
    </row>
    <row r="519" spans="1:30" ht="15.75" customHeight="1">
      <c r="A519" s="339"/>
      <c r="B519" s="339"/>
      <c r="C519" s="339"/>
      <c r="D519" s="339"/>
      <c r="E519" s="339"/>
      <c r="F519" s="339"/>
      <c r="G519" s="339"/>
      <c r="H519" s="339"/>
      <c r="I519" s="339"/>
      <c r="J519" s="339"/>
      <c r="K519" s="339"/>
      <c r="L519" s="340"/>
      <c r="M519" s="339"/>
      <c r="N519" s="340"/>
      <c r="O519" s="339"/>
      <c r="P519" s="340"/>
      <c r="Q519" s="339"/>
      <c r="R519" s="340"/>
      <c r="S519" s="339"/>
      <c r="T519" s="340"/>
      <c r="U519" s="339"/>
      <c r="V519" s="340"/>
      <c r="W519" s="339"/>
      <c r="X519" s="339"/>
      <c r="Y519" s="339"/>
      <c r="Z519" s="340"/>
      <c r="AA519" s="339"/>
      <c r="AB519" s="339"/>
      <c r="AC519" s="339"/>
      <c r="AD519" s="339"/>
    </row>
    <row r="520" spans="1:30" ht="15.75" customHeight="1">
      <c r="A520" s="339"/>
      <c r="B520" s="339"/>
      <c r="C520" s="339"/>
      <c r="D520" s="339"/>
      <c r="E520" s="339"/>
      <c r="F520" s="339"/>
      <c r="G520" s="339"/>
      <c r="H520" s="339"/>
      <c r="I520" s="339"/>
      <c r="J520" s="339"/>
      <c r="K520" s="339"/>
      <c r="L520" s="340"/>
      <c r="M520" s="339"/>
      <c r="N520" s="340"/>
      <c r="O520" s="339"/>
      <c r="P520" s="340"/>
      <c r="Q520" s="339"/>
      <c r="R520" s="340"/>
      <c r="S520" s="339"/>
      <c r="T520" s="340"/>
      <c r="U520" s="339"/>
      <c r="V520" s="340"/>
      <c r="W520" s="339"/>
      <c r="X520" s="339"/>
      <c r="Y520" s="339"/>
      <c r="Z520" s="340"/>
      <c r="AA520" s="339"/>
      <c r="AB520" s="339"/>
      <c r="AC520" s="339"/>
      <c r="AD520" s="339"/>
    </row>
    <row r="521" spans="1:30" ht="15.75" customHeight="1">
      <c r="A521" s="339"/>
      <c r="B521" s="339"/>
      <c r="C521" s="339"/>
      <c r="D521" s="339"/>
      <c r="E521" s="339"/>
      <c r="F521" s="339"/>
      <c r="G521" s="339"/>
      <c r="H521" s="339"/>
      <c r="I521" s="339"/>
      <c r="J521" s="339"/>
      <c r="K521" s="339"/>
      <c r="L521" s="340"/>
      <c r="M521" s="339"/>
      <c r="N521" s="340"/>
      <c r="O521" s="339"/>
      <c r="P521" s="340"/>
      <c r="Q521" s="339"/>
      <c r="R521" s="340"/>
      <c r="S521" s="339"/>
      <c r="T521" s="340"/>
      <c r="U521" s="339"/>
      <c r="V521" s="340"/>
      <c r="W521" s="339"/>
      <c r="X521" s="339"/>
      <c r="Y521" s="339"/>
      <c r="Z521" s="340"/>
      <c r="AA521" s="339"/>
      <c r="AB521" s="339"/>
      <c r="AC521" s="339"/>
      <c r="AD521" s="339"/>
    </row>
    <row r="522" spans="1:30" ht="15.75" customHeight="1">
      <c r="A522" s="339"/>
      <c r="B522" s="339"/>
      <c r="C522" s="339"/>
      <c r="D522" s="339"/>
      <c r="E522" s="339"/>
      <c r="F522" s="339"/>
      <c r="G522" s="339"/>
      <c r="H522" s="339"/>
      <c r="I522" s="339"/>
      <c r="J522" s="339"/>
      <c r="K522" s="339"/>
      <c r="L522" s="340"/>
      <c r="M522" s="339"/>
      <c r="N522" s="340"/>
      <c r="O522" s="339"/>
      <c r="P522" s="340"/>
      <c r="Q522" s="339"/>
      <c r="R522" s="340"/>
      <c r="S522" s="339"/>
      <c r="T522" s="340"/>
      <c r="U522" s="339"/>
      <c r="V522" s="340"/>
      <c r="W522" s="339"/>
      <c r="X522" s="339"/>
      <c r="Y522" s="339"/>
      <c r="Z522" s="340"/>
      <c r="AA522" s="339"/>
      <c r="AB522" s="339"/>
      <c r="AC522" s="339"/>
      <c r="AD522" s="339"/>
    </row>
    <row r="523" spans="1:30" ht="15.75" customHeight="1">
      <c r="A523" s="339"/>
      <c r="B523" s="339"/>
      <c r="C523" s="339"/>
      <c r="D523" s="339"/>
      <c r="E523" s="339"/>
      <c r="F523" s="339"/>
      <c r="G523" s="339"/>
      <c r="H523" s="339"/>
      <c r="I523" s="339"/>
      <c r="J523" s="339"/>
      <c r="K523" s="339"/>
      <c r="L523" s="340"/>
      <c r="M523" s="339"/>
      <c r="N523" s="340"/>
      <c r="O523" s="339"/>
      <c r="P523" s="340"/>
      <c r="Q523" s="339"/>
      <c r="R523" s="340"/>
      <c r="S523" s="339"/>
      <c r="T523" s="340"/>
      <c r="U523" s="339"/>
      <c r="V523" s="340"/>
      <c r="W523" s="339"/>
      <c r="X523" s="339"/>
      <c r="Y523" s="339"/>
      <c r="Z523" s="340"/>
      <c r="AA523" s="339"/>
      <c r="AB523" s="339"/>
      <c r="AC523" s="339"/>
      <c r="AD523" s="339"/>
    </row>
    <row r="524" spans="1:30" ht="15.75" customHeight="1">
      <c r="A524" s="339"/>
      <c r="B524" s="339"/>
      <c r="C524" s="339"/>
      <c r="D524" s="339"/>
      <c r="E524" s="339"/>
      <c r="F524" s="339"/>
      <c r="G524" s="339"/>
      <c r="H524" s="339"/>
      <c r="I524" s="339"/>
      <c r="J524" s="339"/>
      <c r="K524" s="339"/>
      <c r="L524" s="340"/>
      <c r="M524" s="339"/>
      <c r="N524" s="340"/>
      <c r="O524" s="339"/>
      <c r="P524" s="340"/>
      <c r="Q524" s="339"/>
      <c r="R524" s="340"/>
      <c r="S524" s="339"/>
      <c r="T524" s="340"/>
      <c r="U524" s="339"/>
      <c r="V524" s="340"/>
      <c r="W524" s="339"/>
      <c r="X524" s="339"/>
      <c r="Y524" s="339"/>
      <c r="Z524" s="340"/>
      <c r="AA524" s="339"/>
      <c r="AB524" s="339"/>
      <c r="AC524" s="339"/>
      <c r="AD524" s="339"/>
    </row>
    <row r="525" spans="1:30" ht="15.75" customHeight="1">
      <c r="A525" s="339"/>
      <c r="B525" s="339"/>
      <c r="C525" s="339"/>
      <c r="D525" s="339"/>
      <c r="E525" s="339"/>
      <c r="F525" s="339"/>
      <c r="G525" s="339"/>
      <c r="H525" s="339"/>
      <c r="I525" s="339"/>
      <c r="J525" s="339"/>
      <c r="K525" s="339"/>
      <c r="L525" s="340"/>
      <c r="M525" s="339"/>
      <c r="N525" s="340"/>
      <c r="O525" s="339"/>
      <c r="P525" s="340"/>
      <c r="Q525" s="339"/>
      <c r="R525" s="340"/>
      <c r="S525" s="339"/>
      <c r="T525" s="340"/>
      <c r="U525" s="339"/>
      <c r="V525" s="340"/>
      <c r="W525" s="339"/>
      <c r="X525" s="339"/>
      <c r="Y525" s="339"/>
      <c r="Z525" s="340"/>
      <c r="AA525" s="339"/>
      <c r="AB525" s="339"/>
      <c r="AC525" s="339"/>
      <c r="AD525" s="339"/>
    </row>
    <row r="526" spans="1:30" ht="15.75" customHeight="1">
      <c r="A526" s="339"/>
      <c r="B526" s="339"/>
      <c r="C526" s="339"/>
      <c r="D526" s="339"/>
      <c r="E526" s="339"/>
      <c r="F526" s="339"/>
      <c r="G526" s="339"/>
      <c r="H526" s="339"/>
      <c r="I526" s="339"/>
      <c r="J526" s="339"/>
      <c r="K526" s="339"/>
      <c r="L526" s="340"/>
      <c r="M526" s="339"/>
      <c r="N526" s="340"/>
      <c r="O526" s="339"/>
      <c r="P526" s="340"/>
      <c r="Q526" s="339"/>
      <c r="R526" s="340"/>
      <c r="S526" s="339"/>
      <c r="T526" s="340"/>
      <c r="U526" s="339"/>
      <c r="V526" s="340"/>
      <c r="W526" s="339"/>
      <c r="X526" s="339"/>
      <c r="Y526" s="339"/>
      <c r="Z526" s="340"/>
      <c r="AA526" s="339"/>
      <c r="AB526" s="339"/>
      <c r="AC526" s="339"/>
      <c r="AD526" s="339"/>
    </row>
    <row r="527" spans="1:30" ht="15.75" customHeight="1">
      <c r="A527" s="339"/>
      <c r="B527" s="339"/>
      <c r="C527" s="339"/>
      <c r="D527" s="339"/>
      <c r="E527" s="339"/>
      <c r="F527" s="339"/>
      <c r="G527" s="339"/>
      <c r="H527" s="339"/>
      <c r="I527" s="339"/>
      <c r="J527" s="339"/>
      <c r="K527" s="339"/>
      <c r="L527" s="340"/>
      <c r="M527" s="339"/>
      <c r="N527" s="340"/>
      <c r="O527" s="339"/>
      <c r="P527" s="340"/>
      <c r="Q527" s="339"/>
      <c r="R527" s="340"/>
      <c r="S527" s="339"/>
      <c r="T527" s="340"/>
      <c r="U527" s="339"/>
      <c r="V527" s="340"/>
      <c r="W527" s="339"/>
      <c r="X527" s="339"/>
      <c r="Y527" s="339"/>
      <c r="Z527" s="340"/>
      <c r="AA527" s="339"/>
      <c r="AB527" s="339"/>
      <c r="AC527" s="339"/>
      <c r="AD527" s="339"/>
    </row>
    <row r="528" spans="1:30" ht="15.75" customHeight="1">
      <c r="A528" s="339"/>
      <c r="B528" s="339"/>
      <c r="C528" s="339"/>
      <c r="D528" s="339"/>
      <c r="E528" s="339"/>
      <c r="F528" s="339"/>
      <c r="G528" s="339"/>
      <c r="H528" s="339"/>
      <c r="I528" s="339"/>
      <c r="J528" s="339"/>
      <c r="K528" s="339"/>
      <c r="L528" s="340"/>
      <c r="M528" s="339"/>
      <c r="N528" s="340"/>
      <c r="O528" s="339"/>
      <c r="P528" s="340"/>
      <c r="Q528" s="339"/>
      <c r="R528" s="340"/>
      <c r="S528" s="339"/>
      <c r="T528" s="340"/>
      <c r="U528" s="339"/>
      <c r="V528" s="340"/>
      <c r="W528" s="339"/>
      <c r="X528" s="339"/>
      <c r="Y528" s="339"/>
      <c r="Z528" s="340"/>
      <c r="AA528" s="339"/>
      <c r="AB528" s="339"/>
      <c r="AC528" s="339"/>
      <c r="AD528" s="339"/>
    </row>
    <row r="529" spans="1:30" ht="15.75" customHeight="1">
      <c r="A529" s="339"/>
      <c r="B529" s="339"/>
      <c r="C529" s="339"/>
      <c r="D529" s="339"/>
      <c r="E529" s="339"/>
      <c r="F529" s="339"/>
      <c r="G529" s="339"/>
      <c r="H529" s="339"/>
      <c r="I529" s="339"/>
      <c r="J529" s="339"/>
      <c r="K529" s="339"/>
      <c r="L529" s="340"/>
      <c r="M529" s="339"/>
      <c r="N529" s="340"/>
      <c r="O529" s="339"/>
      <c r="P529" s="340"/>
      <c r="Q529" s="339"/>
      <c r="R529" s="340"/>
      <c r="S529" s="339"/>
      <c r="T529" s="340"/>
      <c r="U529" s="339"/>
      <c r="V529" s="340"/>
      <c r="W529" s="339"/>
      <c r="X529" s="339"/>
      <c r="Y529" s="339"/>
      <c r="Z529" s="340"/>
      <c r="AA529" s="339"/>
      <c r="AB529" s="339"/>
      <c r="AC529" s="339"/>
      <c r="AD529" s="339"/>
    </row>
    <row r="530" spans="1:30" ht="15.75" customHeight="1">
      <c r="A530" s="339"/>
      <c r="B530" s="339"/>
      <c r="C530" s="339"/>
      <c r="D530" s="339"/>
      <c r="E530" s="339"/>
      <c r="F530" s="339"/>
      <c r="G530" s="339"/>
      <c r="H530" s="339"/>
      <c r="I530" s="339"/>
      <c r="J530" s="339"/>
      <c r="K530" s="339"/>
      <c r="L530" s="340"/>
      <c r="M530" s="339"/>
      <c r="N530" s="340"/>
      <c r="O530" s="339"/>
      <c r="P530" s="340"/>
      <c r="Q530" s="339"/>
      <c r="R530" s="340"/>
      <c r="S530" s="339"/>
      <c r="T530" s="340"/>
      <c r="U530" s="339"/>
      <c r="V530" s="340"/>
      <c r="W530" s="339"/>
      <c r="X530" s="339"/>
      <c r="Y530" s="339"/>
      <c r="Z530" s="340"/>
      <c r="AA530" s="339"/>
      <c r="AB530" s="339"/>
      <c r="AC530" s="339"/>
      <c r="AD530" s="339"/>
    </row>
    <row r="531" spans="1:30" ht="15.75" customHeight="1">
      <c r="A531" s="339"/>
      <c r="B531" s="339"/>
      <c r="C531" s="339"/>
      <c r="D531" s="339"/>
      <c r="E531" s="339"/>
      <c r="F531" s="339"/>
      <c r="G531" s="339"/>
      <c r="H531" s="339"/>
      <c r="I531" s="339"/>
      <c r="J531" s="339"/>
      <c r="K531" s="339"/>
      <c r="L531" s="340"/>
      <c r="M531" s="339"/>
      <c r="N531" s="340"/>
      <c r="O531" s="339"/>
      <c r="P531" s="340"/>
      <c r="Q531" s="339"/>
      <c r="R531" s="340"/>
      <c r="S531" s="339"/>
      <c r="T531" s="340"/>
      <c r="U531" s="339"/>
      <c r="V531" s="340"/>
      <c r="W531" s="339"/>
      <c r="X531" s="339"/>
      <c r="Y531" s="339"/>
      <c r="Z531" s="340"/>
      <c r="AA531" s="339"/>
      <c r="AB531" s="339"/>
      <c r="AC531" s="339"/>
      <c r="AD531" s="339"/>
    </row>
    <row r="532" spans="1:30" ht="15.75" customHeight="1">
      <c r="A532" s="339"/>
      <c r="B532" s="339"/>
      <c r="C532" s="339"/>
      <c r="D532" s="339"/>
      <c r="E532" s="339"/>
      <c r="F532" s="339"/>
      <c r="G532" s="339"/>
      <c r="H532" s="339"/>
      <c r="I532" s="339"/>
      <c r="J532" s="339"/>
      <c r="K532" s="339"/>
      <c r="L532" s="340"/>
      <c r="M532" s="339"/>
      <c r="N532" s="340"/>
      <c r="O532" s="339"/>
      <c r="P532" s="340"/>
      <c r="Q532" s="339"/>
      <c r="R532" s="340"/>
      <c r="S532" s="339"/>
      <c r="T532" s="340"/>
      <c r="U532" s="339"/>
      <c r="V532" s="340"/>
      <c r="W532" s="339"/>
      <c r="X532" s="339"/>
      <c r="Y532" s="339"/>
      <c r="Z532" s="340"/>
      <c r="AA532" s="339"/>
      <c r="AB532" s="339"/>
      <c r="AC532" s="339"/>
      <c r="AD532" s="339"/>
    </row>
    <row r="533" spans="1:30" ht="15.75" customHeight="1">
      <c r="A533" s="339"/>
      <c r="B533" s="339"/>
      <c r="C533" s="339"/>
      <c r="D533" s="339"/>
      <c r="E533" s="339"/>
      <c r="F533" s="339"/>
      <c r="G533" s="339"/>
      <c r="H533" s="339"/>
      <c r="I533" s="339"/>
      <c r="J533" s="339"/>
      <c r="K533" s="339"/>
      <c r="L533" s="340"/>
      <c r="M533" s="339"/>
      <c r="N533" s="340"/>
      <c r="O533" s="339"/>
      <c r="P533" s="340"/>
      <c r="Q533" s="339"/>
      <c r="R533" s="340"/>
      <c r="S533" s="339"/>
      <c r="T533" s="340"/>
      <c r="U533" s="339"/>
      <c r="V533" s="340"/>
      <c r="W533" s="339"/>
      <c r="X533" s="339"/>
      <c r="Y533" s="339"/>
      <c r="Z533" s="340"/>
      <c r="AA533" s="339"/>
      <c r="AB533" s="339"/>
      <c r="AC533" s="339"/>
      <c r="AD533" s="339"/>
    </row>
    <row r="534" spans="1:30" ht="15.75" customHeight="1">
      <c r="A534" s="339"/>
      <c r="B534" s="339"/>
      <c r="C534" s="339"/>
      <c r="D534" s="339"/>
      <c r="E534" s="339"/>
      <c r="F534" s="339"/>
      <c r="G534" s="339"/>
      <c r="H534" s="339"/>
      <c r="I534" s="339"/>
      <c r="J534" s="339"/>
      <c r="K534" s="339"/>
      <c r="L534" s="340"/>
      <c r="M534" s="339"/>
      <c r="N534" s="340"/>
      <c r="O534" s="339"/>
      <c r="P534" s="340"/>
      <c r="Q534" s="339"/>
      <c r="R534" s="340"/>
      <c r="S534" s="339"/>
      <c r="T534" s="340"/>
      <c r="U534" s="339"/>
      <c r="V534" s="340"/>
      <c r="W534" s="339"/>
      <c r="X534" s="339"/>
      <c r="Y534" s="339"/>
      <c r="Z534" s="340"/>
      <c r="AA534" s="339"/>
      <c r="AB534" s="339"/>
      <c r="AC534" s="339"/>
      <c r="AD534" s="339"/>
    </row>
    <row r="535" spans="1:30" ht="15.75" customHeight="1">
      <c r="A535" s="339"/>
      <c r="B535" s="339"/>
      <c r="C535" s="339"/>
      <c r="D535" s="339"/>
      <c r="E535" s="339"/>
      <c r="F535" s="339"/>
      <c r="G535" s="339"/>
      <c r="H535" s="339"/>
      <c r="I535" s="339"/>
      <c r="J535" s="339"/>
      <c r="K535" s="339"/>
      <c r="L535" s="340"/>
      <c r="M535" s="339"/>
      <c r="N535" s="340"/>
      <c r="O535" s="339"/>
      <c r="P535" s="340"/>
      <c r="Q535" s="339"/>
      <c r="R535" s="340"/>
      <c r="S535" s="339"/>
      <c r="T535" s="340"/>
      <c r="U535" s="339"/>
      <c r="V535" s="340"/>
      <c r="W535" s="339"/>
      <c r="X535" s="339"/>
      <c r="Y535" s="339"/>
      <c r="Z535" s="340"/>
      <c r="AA535" s="339"/>
      <c r="AB535" s="339"/>
      <c r="AC535" s="339"/>
      <c r="AD535" s="339"/>
    </row>
    <row r="536" spans="1:30" ht="15.75" customHeight="1">
      <c r="A536" s="339"/>
      <c r="B536" s="339"/>
      <c r="C536" s="339"/>
      <c r="D536" s="339"/>
      <c r="E536" s="339"/>
      <c r="F536" s="339"/>
      <c r="G536" s="339"/>
      <c r="H536" s="339"/>
      <c r="I536" s="339"/>
      <c r="J536" s="339"/>
      <c r="K536" s="339"/>
      <c r="L536" s="340"/>
      <c r="M536" s="339"/>
      <c r="N536" s="340"/>
      <c r="O536" s="339"/>
      <c r="P536" s="340"/>
      <c r="Q536" s="339"/>
      <c r="R536" s="340"/>
      <c r="S536" s="339"/>
      <c r="T536" s="340"/>
      <c r="U536" s="339"/>
      <c r="V536" s="340"/>
      <c r="W536" s="339"/>
      <c r="X536" s="339"/>
      <c r="Y536" s="339"/>
      <c r="Z536" s="340"/>
      <c r="AA536" s="339"/>
      <c r="AB536" s="339"/>
      <c r="AC536" s="339"/>
      <c r="AD536" s="339"/>
    </row>
    <row r="537" spans="1:30" ht="15.75" customHeight="1">
      <c r="A537" s="339"/>
      <c r="B537" s="339"/>
      <c r="C537" s="339"/>
      <c r="D537" s="339"/>
      <c r="E537" s="339"/>
      <c r="F537" s="339"/>
      <c r="G537" s="339"/>
      <c r="H537" s="339"/>
      <c r="I537" s="339"/>
      <c r="J537" s="339"/>
      <c r="K537" s="339"/>
      <c r="L537" s="340"/>
      <c r="M537" s="339"/>
      <c r="N537" s="340"/>
      <c r="O537" s="339"/>
      <c r="P537" s="340"/>
      <c r="Q537" s="339"/>
      <c r="R537" s="340"/>
      <c r="S537" s="339"/>
      <c r="T537" s="340"/>
      <c r="U537" s="339"/>
      <c r="V537" s="340"/>
      <c r="W537" s="339"/>
      <c r="X537" s="339"/>
      <c r="Y537" s="339"/>
      <c r="Z537" s="340"/>
      <c r="AA537" s="339"/>
      <c r="AB537" s="339"/>
      <c r="AC537" s="339"/>
      <c r="AD537" s="339"/>
    </row>
    <row r="538" spans="1:30" ht="15.75" customHeight="1">
      <c r="A538" s="339"/>
      <c r="B538" s="339"/>
      <c r="C538" s="339"/>
      <c r="D538" s="339"/>
      <c r="E538" s="339"/>
      <c r="F538" s="339"/>
      <c r="G538" s="339"/>
      <c r="H538" s="339"/>
      <c r="I538" s="339"/>
      <c r="J538" s="339"/>
      <c r="K538" s="339"/>
      <c r="L538" s="340"/>
      <c r="M538" s="339"/>
      <c r="N538" s="340"/>
      <c r="O538" s="339"/>
      <c r="P538" s="340"/>
      <c r="Q538" s="339"/>
      <c r="R538" s="340"/>
      <c r="S538" s="339"/>
      <c r="T538" s="340"/>
      <c r="U538" s="339"/>
      <c r="V538" s="340"/>
      <c r="W538" s="339"/>
      <c r="X538" s="339"/>
      <c r="Y538" s="339"/>
      <c r="Z538" s="340"/>
      <c r="AA538" s="339"/>
      <c r="AB538" s="339"/>
      <c r="AC538" s="339"/>
      <c r="AD538" s="339"/>
    </row>
    <row r="539" spans="1:30" ht="15.75" customHeight="1">
      <c r="A539" s="339"/>
      <c r="B539" s="339"/>
      <c r="C539" s="339"/>
      <c r="D539" s="339"/>
      <c r="E539" s="339"/>
      <c r="F539" s="339"/>
      <c r="G539" s="339"/>
      <c r="H539" s="339"/>
      <c r="I539" s="339"/>
      <c r="J539" s="339"/>
      <c r="K539" s="339"/>
      <c r="L539" s="340"/>
      <c r="M539" s="339"/>
      <c r="N539" s="340"/>
      <c r="O539" s="339"/>
      <c r="P539" s="340"/>
      <c r="Q539" s="339"/>
      <c r="R539" s="340"/>
      <c r="S539" s="339"/>
      <c r="T539" s="340"/>
      <c r="U539" s="339"/>
      <c r="V539" s="340"/>
      <c r="W539" s="339"/>
      <c r="X539" s="339"/>
      <c r="Y539" s="339"/>
      <c r="Z539" s="340"/>
      <c r="AA539" s="339"/>
      <c r="AB539" s="339"/>
      <c r="AC539" s="339"/>
      <c r="AD539" s="339"/>
    </row>
    <row r="540" spans="1:30" ht="15.75" customHeight="1">
      <c r="A540" s="339"/>
      <c r="B540" s="339"/>
      <c r="C540" s="339"/>
      <c r="D540" s="339"/>
      <c r="E540" s="339"/>
      <c r="F540" s="339"/>
      <c r="G540" s="339"/>
      <c r="H540" s="339"/>
      <c r="I540" s="339"/>
      <c r="J540" s="339"/>
      <c r="K540" s="339"/>
      <c r="L540" s="340"/>
      <c r="M540" s="339"/>
      <c r="N540" s="340"/>
      <c r="O540" s="339"/>
      <c r="P540" s="340"/>
      <c r="Q540" s="339"/>
      <c r="R540" s="340"/>
      <c r="S540" s="339"/>
      <c r="T540" s="340"/>
      <c r="U540" s="339"/>
      <c r="V540" s="340"/>
      <c r="W540" s="339"/>
      <c r="X540" s="339"/>
      <c r="Y540" s="339"/>
      <c r="Z540" s="340"/>
      <c r="AA540" s="339"/>
      <c r="AB540" s="339"/>
      <c r="AC540" s="339"/>
      <c r="AD540" s="339"/>
    </row>
    <row r="541" spans="1:30" ht="15.75" customHeight="1">
      <c r="A541" s="339"/>
      <c r="B541" s="339"/>
      <c r="C541" s="339"/>
      <c r="D541" s="339"/>
      <c r="E541" s="339"/>
      <c r="F541" s="339"/>
      <c r="G541" s="339"/>
      <c r="H541" s="339"/>
      <c r="I541" s="339"/>
      <c r="J541" s="339"/>
      <c r="K541" s="339"/>
      <c r="L541" s="340"/>
      <c r="M541" s="339"/>
      <c r="N541" s="340"/>
      <c r="O541" s="339"/>
      <c r="P541" s="340"/>
      <c r="Q541" s="339"/>
      <c r="R541" s="340"/>
      <c r="S541" s="339"/>
      <c r="T541" s="340"/>
      <c r="U541" s="339"/>
      <c r="V541" s="340"/>
      <c r="W541" s="339"/>
      <c r="X541" s="339"/>
      <c r="Y541" s="339"/>
      <c r="Z541" s="340"/>
      <c r="AA541" s="339"/>
      <c r="AB541" s="339"/>
      <c r="AC541" s="339"/>
      <c r="AD541" s="339"/>
    </row>
    <row r="542" spans="1:30" ht="15.75" customHeight="1">
      <c r="A542" s="339"/>
      <c r="B542" s="339"/>
      <c r="C542" s="339"/>
      <c r="D542" s="339"/>
      <c r="E542" s="339"/>
      <c r="F542" s="339"/>
      <c r="G542" s="339"/>
      <c r="H542" s="339"/>
      <c r="I542" s="339"/>
      <c r="J542" s="339"/>
      <c r="K542" s="339"/>
      <c r="L542" s="340"/>
      <c r="M542" s="339"/>
      <c r="N542" s="340"/>
      <c r="O542" s="339"/>
      <c r="P542" s="340"/>
      <c r="Q542" s="339"/>
      <c r="R542" s="340"/>
      <c r="S542" s="339"/>
      <c r="T542" s="340"/>
      <c r="U542" s="339"/>
      <c r="V542" s="340"/>
      <c r="W542" s="339"/>
      <c r="X542" s="339"/>
      <c r="Y542" s="339"/>
      <c r="Z542" s="340"/>
      <c r="AA542" s="339"/>
      <c r="AB542" s="339"/>
      <c r="AC542" s="339"/>
      <c r="AD542" s="339"/>
    </row>
    <row r="543" spans="1:30" ht="15.75" customHeight="1">
      <c r="A543" s="339"/>
      <c r="B543" s="339"/>
      <c r="C543" s="339"/>
      <c r="D543" s="339"/>
      <c r="E543" s="339"/>
      <c r="F543" s="339"/>
      <c r="G543" s="339"/>
      <c r="H543" s="339"/>
      <c r="I543" s="339"/>
      <c r="J543" s="339"/>
      <c r="K543" s="339"/>
      <c r="L543" s="340"/>
      <c r="M543" s="339"/>
      <c r="N543" s="340"/>
      <c r="O543" s="339"/>
      <c r="P543" s="340"/>
      <c r="Q543" s="339"/>
      <c r="R543" s="340"/>
      <c r="S543" s="339"/>
      <c r="T543" s="340"/>
      <c r="U543" s="339"/>
      <c r="V543" s="340"/>
      <c r="W543" s="339"/>
      <c r="X543" s="339"/>
      <c r="Y543" s="339"/>
      <c r="Z543" s="340"/>
      <c r="AA543" s="339"/>
      <c r="AB543" s="339"/>
      <c r="AC543" s="339"/>
      <c r="AD543" s="339"/>
    </row>
    <row r="544" spans="1:30" ht="15.75" customHeight="1">
      <c r="A544" s="339"/>
      <c r="B544" s="339"/>
      <c r="C544" s="339"/>
      <c r="D544" s="339"/>
      <c r="E544" s="339"/>
      <c r="F544" s="339"/>
      <c r="G544" s="339"/>
      <c r="H544" s="339"/>
      <c r="I544" s="339"/>
      <c r="J544" s="339"/>
      <c r="K544" s="339"/>
      <c r="L544" s="340"/>
      <c r="M544" s="339"/>
      <c r="N544" s="340"/>
      <c r="O544" s="339"/>
      <c r="P544" s="340"/>
      <c r="Q544" s="339"/>
      <c r="R544" s="340"/>
      <c r="S544" s="339"/>
      <c r="T544" s="340"/>
      <c r="U544" s="339"/>
      <c r="V544" s="340"/>
      <c r="W544" s="339"/>
      <c r="X544" s="339"/>
      <c r="Y544" s="339"/>
      <c r="Z544" s="340"/>
      <c r="AA544" s="339"/>
      <c r="AB544" s="339"/>
      <c r="AC544" s="339"/>
      <c r="AD544" s="339"/>
    </row>
    <row r="545" spans="1:30" ht="15.75" customHeight="1">
      <c r="A545" s="339"/>
      <c r="B545" s="339"/>
      <c r="C545" s="339"/>
      <c r="D545" s="339"/>
      <c r="E545" s="339"/>
      <c r="F545" s="339"/>
      <c r="G545" s="339"/>
      <c r="H545" s="339"/>
      <c r="I545" s="339"/>
      <c r="J545" s="339"/>
      <c r="K545" s="339"/>
      <c r="L545" s="340"/>
      <c r="M545" s="339"/>
      <c r="N545" s="340"/>
      <c r="O545" s="339"/>
      <c r="P545" s="340"/>
      <c r="Q545" s="339"/>
      <c r="R545" s="340"/>
      <c r="S545" s="339"/>
      <c r="T545" s="340"/>
      <c r="U545" s="339"/>
      <c r="V545" s="340"/>
      <c r="W545" s="339"/>
      <c r="X545" s="339"/>
      <c r="Y545" s="339"/>
      <c r="Z545" s="340"/>
      <c r="AA545" s="339"/>
      <c r="AB545" s="339"/>
      <c r="AC545" s="339"/>
      <c r="AD545" s="339"/>
    </row>
    <row r="546" spans="1:30" ht="15.75" customHeight="1">
      <c r="A546" s="339"/>
      <c r="B546" s="339"/>
      <c r="C546" s="339"/>
      <c r="D546" s="339"/>
      <c r="E546" s="339"/>
      <c r="F546" s="339"/>
      <c r="G546" s="339"/>
      <c r="H546" s="339"/>
      <c r="I546" s="339"/>
      <c r="J546" s="339"/>
      <c r="K546" s="339"/>
      <c r="L546" s="340"/>
      <c r="M546" s="339"/>
      <c r="N546" s="340"/>
      <c r="O546" s="339"/>
      <c r="P546" s="340"/>
      <c r="Q546" s="339"/>
      <c r="R546" s="340"/>
      <c r="S546" s="339"/>
      <c r="T546" s="340"/>
      <c r="U546" s="339"/>
      <c r="V546" s="340"/>
      <c r="W546" s="339"/>
      <c r="X546" s="339"/>
      <c r="Y546" s="339"/>
      <c r="Z546" s="340"/>
      <c r="AA546" s="339"/>
      <c r="AB546" s="339"/>
      <c r="AC546" s="339"/>
      <c r="AD546" s="339"/>
    </row>
    <row r="547" spans="1:30" ht="15.75" customHeight="1">
      <c r="A547" s="339"/>
      <c r="B547" s="339"/>
      <c r="C547" s="339"/>
      <c r="D547" s="339"/>
      <c r="E547" s="339"/>
      <c r="F547" s="339"/>
      <c r="G547" s="339"/>
      <c r="H547" s="339"/>
      <c r="I547" s="339"/>
      <c r="J547" s="339"/>
      <c r="K547" s="339"/>
      <c r="L547" s="340"/>
      <c r="M547" s="339"/>
      <c r="N547" s="340"/>
      <c r="O547" s="339"/>
      <c r="P547" s="340"/>
      <c r="Q547" s="339"/>
      <c r="R547" s="340"/>
      <c r="S547" s="339"/>
      <c r="T547" s="340"/>
      <c r="U547" s="339"/>
      <c r="V547" s="340"/>
      <c r="W547" s="339"/>
      <c r="X547" s="339"/>
      <c r="Y547" s="339"/>
      <c r="Z547" s="340"/>
      <c r="AA547" s="339"/>
      <c r="AB547" s="339"/>
      <c r="AC547" s="339"/>
      <c r="AD547" s="339"/>
    </row>
    <row r="548" spans="1:30" ht="15.75" customHeight="1">
      <c r="A548" s="339"/>
      <c r="B548" s="339"/>
      <c r="C548" s="339"/>
      <c r="D548" s="339"/>
      <c r="E548" s="339"/>
      <c r="F548" s="339"/>
      <c r="G548" s="339"/>
      <c r="H548" s="339"/>
      <c r="I548" s="339"/>
      <c r="J548" s="339"/>
      <c r="K548" s="339"/>
      <c r="L548" s="340"/>
      <c r="M548" s="339"/>
      <c r="N548" s="340"/>
      <c r="O548" s="339"/>
      <c r="P548" s="340"/>
      <c r="Q548" s="339"/>
      <c r="R548" s="340"/>
      <c r="S548" s="339"/>
      <c r="T548" s="340"/>
      <c r="U548" s="339"/>
      <c r="V548" s="340"/>
      <c r="W548" s="339"/>
      <c r="X548" s="339"/>
      <c r="Y548" s="339"/>
      <c r="Z548" s="340"/>
      <c r="AA548" s="339"/>
      <c r="AB548" s="339"/>
      <c r="AC548" s="339"/>
      <c r="AD548" s="339"/>
    </row>
    <row r="549" spans="1:30" ht="15.75" customHeight="1">
      <c r="A549" s="339"/>
      <c r="B549" s="339"/>
      <c r="C549" s="339"/>
      <c r="D549" s="339"/>
      <c r="E549" s="339"/>
      <c r="F549" s="339"/>
      <c r="G549" s="339"/>
      <c r="H549" s="339"/>
      <c r="I549" s="339"/>
      <c r="J549" s="339"/>
      <c r="K549" s="339"/>
      <c r="L549" s="340"/>
      <c r="M549" s="339"/>
      <c r="N549" s="340"/>
      <c r="O549" s="339"/>
      <c r="P549" s="340"/>
      <c r="Q549" s="339"/>
      <c r="R549" s="340"/>
      <c r="S549" s="339"/>
      <c r="T549" s="340"/>
      <c r="U549" s="339"/>
      <c r="V549" s="340"/>
      <c r="W549" s="339"/>
      <c r="X549" s="339"/>
      <c r="Y549" s="339"/>
      <c r="Z549" s="340"/>
      <c r="AA549" s="339"/>
      <c r="AB549" s="339"/>
      <c r="AC549" s="339"/>
      <c r="AD549" s="339"/>
    </row>
    <row r="550" spans="1:30" ht="15.75" customHeight="1">
      <c r="A550" s="339"/>
      <c r="B550" s="339"/>
      <c r="C550" s="339"/>
      <c r="D550" s="339"/>
      <c r="E550" s="339"/>
      <c r="F550" s="339"/>
      <c r="G550" s="339"/>
      <c r="H550" s="339"/>
      <c r="I550" s="339"/>
      <c r="J550" s="339"/>
      <c r="K550" s="339"/>
      <c r="L550" s="340"/>
      <c r="M550" s="339"/>
      <c r="N550" s="340"/>
      <c r="O550" s="339"/>
      <c r="P550" s="340"/>
      <c r="Q550" s="339"/>
      <c r="R550" s="340"/>
      <c r="S550" s="339"/>
      <c r="T550" s="340"/>
      <c r="U550" s="339"/>
      <c r="V550" s="340"/>
      <c r="W550" s="339"/>
      <c r="X550" s="339"/>
      <c r="Y550" s="339"/>
      <c r="Z550" s="340"/>
      <c r="AA550" s="339"/>
      <c r="AB550" s="339"/>
      <c r="AC550" s="339"/>
      <c r="AD550" s="339"/>
    </row>
    <row r="551" spans="1:30" ht="15.75" customHeight="1">
      <c r="A551" s="339"/>
      <c r="B551" s="339"/>
      <c r="C551" s="339"/>
      <c r="D551" s="339"/>
      <c r="E551" s="339"/>
      <c r="F551" s="339"/>
      <c r="G551" s="339"/>
      <c r="H551" s="339"/>
      <c r="I551" s="339"/>
      <c r="J551" s="339"/>
      <c r="K551" s="339"/>
      <c r="L551" s="340"/>
      <c r="M551" s="339"/>
      <c r="N551" s="340"/>
      <c r="O551" s="339"/>
      <c r="P551" s="340"/>
      <c r="Q551" s="339"/>
      <c r="R551" s="340"/>
      <c r="S551" s="339"/>
      <c r="T551" s="340"/>
      <c r="U551" s="339"/>
      <c r="V551" s="340"/>
      <c r="W551" s="339"/>
      <c r="X551" s="339"/>
      <c r="Y551" s="339"/>
      <c r="Z551" s="340"/>
      <c r="AA551" s="339"/>
      <c r="AB551" s="339"/>
      <c r="AC551" s="339"/>
      <c r="AD551" s="339"/>
    </row>
    <row r="552" spans="1:30" ht="15.75" customHeight="1">
      <c r="A552" s="339"/>
      <c r="B552" s="339"/>
      <c r="C552" s="339"/>
      <c r="D552" s="339"/>
      <c r="E552" s="339"/>
      <c r="F552" s="339"/>
      <c r="G552" s="339"/>
      <c r="H552" s="339"/>
      <c r="I552" s="339"/>
      <c r="J552" s="339"/>
      <c r="K552" s="339"/>
      <c r="L552" s="340"/>
      <c r="M552" s="339"/>
      <c r="N552" s="340"/>
      <c r="O552" s="339"/>
      <c r="P552" s="340"/>
      <c r="Q552" s="339"/>
      <c r="R552" s="340"/>
      <c r="S552" s="339"/>
      <c r="T552" s="340"/>
      <c r="U552" s="339"/>
      <c r="V552" s="340"/>
      <c r="W552" s="339"/>
      <c r="X552" s="339"/>
      <c r="Y552" s="339"/>
      <c r="Z552" s="340"/>
      <c r="AA552" s="339"/>
      <c r="AB552" s="339"/>
      <c r="AC552" s="339"/>
      <c r="AD552" s="339"/>
    </row>
    <row r="553" spans="1:30" ht="15.75" customHeight="1">
      <c r="A553" s="339"/>
      <c r="B553" s="339"/>
      <c r="C553" s="339"/>
      <c r="D553" s="339"/>
      <c r="E553" s="339"/>
      <c r="F553" s="339"/>
      <c r="G553" s="339"/>
      <c r="H553" s="339"/>
      <c r="I553" s="339"/>
      <c r="J553" s="339"/>
      <c r="K553" s="339"/>
      <c r="L553" s="340"/>
      <c r="M553" s="339"/>
      <c r="N553" s="340"/>
      <c r="O553" s="339"/>
      <c r="P553" s="340"/>
      <c r="Q553" s="339"/>
      <c r="R553" s="340"/>
      <c r="S553" s="339"/>
      <c r="T553" s="340"/>
      <c r="U553" s="339"/>
      <c r="V553" s="340"/>
      <c r="W553" s="339"/>
      <c r="X553" s="339"/>
      <c r="Y553" s="339"/>
      <c r="Z553" s="340"/>
      <c r="AA553" s="339"/>
      <c r="AB553" s="339"/>
      <c r="AC553" s="339"/>
      <c r="AD553" s="339"/>
    </row>
    <row r="554" spans="1:30" ht="15.75" customHeight="1">
      <c r="A554" s="339"/>
      <c r="B554" s="339"/>
      <c r="C554" s="339"/>
      <c r="D554" s="339"/>
      <c r="E554" s="339"/>
      <c r="F554" s="339"/>
      <c r="G554" s="339"/>
      <c r="H554" s="339"/>
      <c r="I554" s="339"/>
      <c r="J554" s="339"/>
      <c r="K554" s="339"/>
      <c r="L554" s="340"/>
      <c r="M554" s="339"/>
      <c r="N554" s="340"/>
      <c r="O554" s="339"/>
      <c r="P554" s="340"/>
      <c r="Q554" s="339"/>
      <c r="R554" s="340"/>
      <c r="S554" s="339"/>
      <c r="T554" s="340"/>
      <c r="U554" s="339"/>
      <c r="V554" s="340"/>
      <c r="W554" s="339"/>
      <c r="X554" s="339"/>
      <c r="Y554" s="339"/>
      <c r="Z554" s="340"/>
      <c r="AA554" s="339"/>
      <c r="AB554" s="339"/>
      <c r="AC554" s="339"/>
      <c r="AD554" s="339"/>
    </row>
    <row r="555" spans="1:30" ht="15.75" customHeight="1">
      <c r="A555" s="339"/>
      <c r="B555" s="339"/>
      <c r="C555" s="339"/>
      <c r="D555" s="339"/>
      <c r="E555" s="339"/>
      <c r="F555" s="339"/>
      <c r="G555" s="339"/>
      <c r="H555" s="339"/>
      <c r="I555" s="339"/>
      <c r="J555" s="339"/>
      <c r="K555" s="339"/>
      <c r="L555" s="340"/>
      <c r="M555" s="339"/>
      <c r="N555" s="340"/>
      <c r="O555" s="339"/>
      <c r="P555" s="340"/>
      <c r="Q555" s="339"/>
      <c r="R555" s="340"/>
      <c r="S555" s="339"/>
      <c r="T555" s="340"/>
      <c r="U555" s="339"/>
      <c r="V555" s="340"/>
      <c r="W555" s="339"/>
      <c r="X555" s="339"/>
      <c r="Y555" s="339"/>
      <c r="Z555" s="340"/>
      <c r="AA555" s="339"/>
      <c r="AB555" s="339"/>
      <c r="AC555" s="339"/>
      <c r="AD555" s="339"/>
    </row>
    <row r="556" spans="1:30" ht="15.75" customHeight="1">
      <c r="A556" s="339"/>
      <c r="B556" s="339"/>
      <c r="C556" s="339"/>
      <c r="D556" s="339"/>
      <c r="E556" s="339"/>
      <c r="F556" s="339"/>
      <c r="G556" s="339"/>
      <c r="H556" s="339"/>
      <c r="I556" s="339"/>
      <c r="J556" s="339"/>
      <c r="K556" s="339"/>
      <c r="L556" s="340"/>
      <c r="M556" s="339"/>
      <c r="N556" s="340"/>
      <c r="O556" s="339"/>
      <c r="P556" s="340"/>
      <c r="Q556" s="339"/>
      <c r="R556" s="340"/>
      <c r="S556" s="339"/>
      <c r="T556" s="340"/>
      <c r="U556" s="339"/>
      <c r="V556" s="340"/>
      <c r="W556" s="339"/>
      <c r="X556" s="339"/>
      <c r="Y556" s="339"/>
      <c r="Z556" s="340"/>
      <c r="AA556" s="339"/>
      <c r="AB556" s="339"/>
      <c r="AC556" s="339"/>
      <c r="AD556" s="339"/>
    </row>
    <row r="557" spans="1:30" ht="15.75" customHeight="1">
      <c r="A557" s="339"/>
      <c r="B557" s="339"/>
      <c r="C557" s="339"/>
      <c r="D557" s="339"/>
      <c r="E557" s="339"/>
      <c r="F557" s="339"/>
      <c r="G557" s="339"/>
      <c r="H557" s="339"/>
      <c r="I557" s="339"/>
      <c r="J557" s="339"/>
      <c r="K557" s="339"/>
      <c r="L557" s="340"/>
      <c r="M557" s="339"/>
      <c r="N557" s="340"/>
      <c r="O557" s="339"/>
      <c r="P557" s="340"/>
      <c r="Q557" s="339"/>
      <c r="R557" s="340"/>
      <c r="S557" s="339"/>
      <c r="T557" s="340"/>
      <c r="U557" s="339"/>
      <c r="V557" s="340"/>
      <c r="W557" s="339"/>
      <c r="X557" s="339"/>
      <c r="Y557" s="339"/>
      <c r="Z557" s="340"/>
      <c r="AA557" s="339"/>
      <c r="AB557" s="339"/>
      <c r="AC557" s="339"/>
      <c r="AD557" s="339"/>
    </row>
    <row r="558" spans="1:30" ht="15.75" customHeight="1">
      <c r="A558" s="339"/>
      <c r="B558" s="339"/>
      <c r="C558" s="339"/>
      <c r="D558" s="339"/>
      <c r="E558" s="339"/>
      <c r="F558" s="339"/>
      <c r="G558" s="339"/>
      <c r="H558" s="339"/>
      <c r="I558" s="339"/>
      <c r="J558" s="339"/>
      <c r="K558" s="339"/>
      <c r="L558" s="340"/>
      <c r="M558" s="339"/>
      <c r="N558" s="340"/>
      <c r="O558" s="339"/>
      <c r="P558" s="340"/>
      <c r="Q558" s="339"/>
      <c r="R558" s="340"/>
      <c r="S558" s="339"/>
      <c r="T558" s="340"/>
      <c r="U558" s="339"/>
      <c r="V558" s="340"/>
      <c r="W558" s="339"/>
      <c r="X558" s="339"/>
      <c r="Y558" s="339"/>
      <c r="Z558" s="340"/>
      <c r="AA558" s="339"/>
      <c r="AB558" s="339"/>
      <c r="AC558" s="339"/>
      <c r="AD558" s="339"/>
    </row>
    <row r="559" spans="1:30" ht="15.75" customHeight="1">
      <c r="A559" s="339"/>
      <c r="B559" s="339"/>
      <c r="C559" s="339"/>
      <c r="D559" s="339"/>
      <c r="E559" s="339"/>
      <c r="F559" s="339"/>
      <c r="G559" s="339"/>
      <c r="H559" s="339"/>
      <c r="I559" s="339"/>
      <c r="J559" s="339"/>
      <c r="K559" s="339"/>
      <c r="L559" s="340"/>
      <c r="M559" s="339"/>
      <c r="N559" s="340"/>
      <c r="O559" s="339"/>
      <c r="P559" s="340"/>
      <c r="Q559" s="339"/>
      <c r="R559" s="340"/>
      <c r="S559" s="339"/>
      <c r="T559" s="340"/>
      <c r="U559" s="339"/>
      <c r="V559" s="340"/>
      <c r="W559" s="339"/>
      <c r="X559" s="339"/>
      <c r="Y559" s="339"/>
      <c r="Z559" s="340"/>
      <c r="AA559" s="339"/>
      <c r="AB559" s="339"/>
      <c r="AC559" s="339"/>
      <c r="AD559" s="339"/>
    </row>
    <row r="560" spans="1:30" ht="15.75" customHeight="1">
      <c r="A560" s="339"/>
      <c r="B560" s="339"/>
      <c r="C560" s="339"/>
      <c r="D560" s="339"/>
      <c r="E560" s="339"/>
      <c r="F560" s="339"/>
      <c r="G560" s="339"/>
      <c r="H560" s="339"/>
      <c r="I560" s="339"/>
      <c r="J560" s="339"/>
      <c r="K560" s="339"/>
      <c r="L560" s="340"/>
      <c r="M560" s="339"/>
      <c r="N560" s="340"/>
      <c r="O560" s="339"/>
      <c r="P560" s="340"/>
      <c r="Q560" s="339"/>
      <c r="R560" s="340"/>
      <c r="S560" s="339"/>
      <c r="T560" s="340"/>
      <c r="U560" s="339"/>
      <c r="V560" s="340"/>
      <c r="W560" s="339"/>
      <c r="X560" s="339"/>
      <c r="Y560" s="339"/>
      <c r="Z560" s="340"/>
      <c r="AA560" s="339"/>
      <c r="AB560" s="339"/>
      <c r="AC560" s="339"/>
      <c r="AD560" s="339"/>
    </row>
    <row r="561" spans="1:30" ht="15.75" customHeight="1">
      <c r="A561" s="339"/>
      <c r="B561" s="339"/>
      <c r="C561" s="339"/>
      <c r="D561" s="339"/>
      <c r="E561" s="339"/>
      <c r="F561" s="339"/>
      <c r="G561" s="339"/>
      <c r="H561" s="339"/>
      <c r="I561" s="339"/>
      <c r="J561" s="339"/>
      <c r="K561" s="339"/>
      <c r="L561" s="340"/>
      <c r="M561" s="339"/>
      <c r="N561" s="340"/>
      <c r="O561" s="339"/>
      <c r="P561" s="340"/>
      <c r="Q561" s="339"/>
      <c r="R561" s="340"/>
      <c r="S561" s="339"/>
      <c r="T561" s="340"/>
      <c r="U561" s="339"/>
      <c r="V561" s="340"/>
      <c r="W561" s="339"/>
      <c r="X561" s="339"/>
      <c r="Y561" s="339"/>
      <c r="Z561" s="340"/>
      <c r="AA561" s="339"/>
      <c r="AB561" s="339"/>
      <c r="AC561" s="339"/>
      <c r="AD561" s="339"/>
    </row>
    <row r="562" spans="1:30" ht="15.75" customHeight="1">
      <c r="A562" s="339"/>
      <c r="B562" s="339"/>
      <c r="C562" s="339"/>
      <c r="D562" s="339"/>
      <c r="E562" s="339"/>
      <c r="F562" s="339"/>
      <c r="G562" s="339"/>
      <c r="H562" s="339"/>
      <c r="I562" s="339"/>
      <c r="J562" s="339"/>
      <c r="K562" s="339"/>
      <c r="L562" s="340"/>
      <c r="M562" s="339"/>
      <c r="N562" s="340"/>
      <c r="O562" s="339"/>
      <c r="P562" s="340"/>
      <c r="Q562" s="339"/>
      <c r="R562" s="340"/>
      <c r="S562" s="339"/>
      <c r="T562" s="340"/>
      <c r="U562" s="339"/>
      <c r="V562" s="340"/>
      <c r="W562" s="339"/>
      <c r="X562" s="339"/>
      <c r="Y562" s="339"/>
      <c r="Z562" s="340"/>
      <c r="AA562" s="339"/>
      <c r="AB562" s="339"/>
      <c r="AC562" s="339"/>
      <c r="AD562" s="339"/>
    </row>
    <row r="563" spans="1:30" ht="15.75" customHeight="1">
      <c r="A563" s="339"/>
      <c r="B563" s="339"/>
      <c r="C563" s="339"/>
      <c r="D563" s="339"/>
      <c r="E563" s="339"/>
      <c r="F563" s="339"/>
      <c r="G563" s="339"/>
      <c r="H563" s="339"/>
      <c r="I563" s="339"/>
      <c r="J563" s="339"/>
      <c r="K563" s="339"/>
      <c r="L563" s="340"/>
      <c r="M563" s="339"/>
      <c r="N563" s="340"/>
      <c r="O563" s="339"/>
      <c r="P563" s="340"/>
      <c r="Q563" s="339"/>
      <c r="R563" s="340"/>
      <c r="S563" s="339"/>
      <c r="T563" s="340"/>
      <c r="U563" s="339"/>
      <c r="V563" s="340"/>
      <c r="W563" s="339"/>
      <c r="X563" s="339"/>
      <c r="Y563" s="339"/>
      <c r="Z563" s="340"/>
      <c r="AA563" s="339"/>
      <c r="AB563" s="339"/>
      <c r="AC563" s="339"/>
      <c r="AD563" s="339"/>
    </row>
    <row r="564" spans="1:30" ht="15.75" customHeight="1">
      <c r="A564" s="339"/>
      <c r="B564" s="339"/>
      <c r="C564" s="339"/>
      <c r="D564" s="339"/>
      <c r="E564" s="339"/>
      <c r="F564" s="339"/>
      <c r="G564" s="339"/>
      <c r="H564" s="339"/>
      <c r="I564" s="339"/>
      <c r="J564" s="339"/>
      <c r="K564" s="339"/>
      <c r="L564" s="340"/>
      <c r="M564" s="339"/>
      <c r="N564" s="340"/>
      <c r="O564" s="339"/>
      <c r="P564" s="340"/>
      <c r="Q564" s="339"/>
      <c r="R564" s="340"/>
      <c r="S564" s="339"/>
      <c r="T564" s="340"/>
      <c r="U564" s="339"/>
      <c r="V564" s="340"/>
      <c r="W564" s="339"/>
      <c r="X564" s="339"/>
      <c r="Y564" s="339"/>
      <c r="Z564" s="340"/>
      <c r="AA564" s="339"/>
      <c r="AB564" s="339"/>
      <c r="AC564" s="339"/>
      <c r="AD564" s="339"/>
    </row>
    <row r="565" spans="1:30" ht="15.75" customHeight="1">
      <c r="A565" s="339"/>
      <c r="B565" s="339"/>
      <c r="C565" s="339"/>
      <c r="D565" s="339"/>
      <c r="E565" s="339"/>
      <c r="F565" s="339"/>
      <c r="G565" s="339"/>
      <c r="H565" s="339"/>
      <c r="I565" s="339"/>
      <c r="J565" s="339"/>
      <c r="K565" s="339"/>
      <c r="L565" s="340"/>
      <c r="M565" s="339"/>
      <c r="N565" s="340"/>
      <c r="O565" s="339"/>
      <c r="P565" s="340"/>
      <c r="Q565" s="339"/>
      <c r="R565" s="340"/>
      <c r="S565" s="339"/>
      <c r="T565" s="340"/>
      <c r="U565" s="339"/>
      <c r="V565" s="340"/>
      <c r="W565" s="339"/>
      <c r="X565" s="339"/>
      <c r="Y565" s="339"/>
      <c r="Z565" s="340"/>
      <c r="AA565" s="339"/>
      <c r="AB565" s="339"/>
      <c r="AC565" s="339"/>
      <c r="AD565" s="339"/>
    </row>
    <row r="566" spans="1:30" ht="15.75" customHeight="1">
      <c r="A566" s="339"/>
      <c r="B566" s="339"/>
      <c r="C566" s="339"/>
      <c r="D566" s="339"/>
      <c r="E566" s="339"/>
      <c r="F566" s="339"/>
      <c r="G566" s="339"/>
      <c r="H566" s="339"/>
      <c r="I566" s="339"/>
      <c r="J566" s="339"/>
      <c r="K566" s="339"/>
      <c r="L566" s="340"/>
      <c r="M566" s="339"/>
      <c r="N566" s="340"/>
      <c r="O566" s="339"/>
      <c r="P566" s="340"/>
      <c r="Q566" s="339"/>
      <c r="R566" s="340"/>
      <c r="S566" s="339"/>
      <c r="T566" s="340"/>
      <c r="U566" s="339"/>
      <c r="V566" s="340"/>
      <c r="W566" s="339"/>
      <c r="X566" s="339"/>
      <c r="Y566" s="339"/>
      <c r="Z566" s="340"/>
      <c r="AA566" s="339"/>
      <c r="AB566" s="339"/>
      <c r="AC566" s="339"/>
      <c r="AD566" s="339"/>
    </row>
    <row r="567" spans="1:30" ht="15.75" customHeight="1">
      <c r="A567" s="339"/>
      <c r="B567" s="339"/>
      <c r="C567" s="339"/>
      <c r="D567" s="339"/>
      <c r="E567" s="339"/>
      <c r="F567" s="339"/>
      <c r="G567" s="339"/>
      <c r="H567" s="339"/>
      <c r="I567" s="339"/>
      <c r="J567" s="339"/>
      <c r="K567" s="339"/>
      <c r="L567" s="340"/>
      <c r="M567" s="339"/>
      <c r="N567" s="340"/>
      <c r="O567" s="339"/>
      <c r="P567" s="340"/>
      <c r="Q567" s="339"/>
      <c r="R567" s="340"/>
      <c r="S567" s="339"/>
      <c r="T567" s="340"/>
      <c r="U567" s="339"/>
      <c r="V567" s="340"/>
      <c r="W567" s="339"/>
      <c r="X567" s="339"/>
      <c r="Y567" s="339"/>
      <c r="Z567" s="340"/>
      <c r="AA567" s="339"/>
      <c r="AB567" s="339"/>
      <c r="AC567" s="339"/>
      <c r="AD567" s="339"/>
    </row>
    <row r="568" spans="1:30" ht="15.75" customHeight="1">
      <c r="A568" s="339"/>
      <c r="B568" s="339"/>
      <c r="C568" s="339"/>
      <c r="D568" s="339"/>
      <c r="E568" s="339"/>
      <c r="F568" s="339"/>
      <c r="G568" s="339"/>
      <c r="H568" s="339"/>
      <c r="I568" s="339"/>
      <c r="J568" s="339"/>
      <c r="K568" s="339"/>
      <c r="L568" s="340"/>
      <c r="M568" s="339"/>
      <c r="N568" s="340"/>
      <c r="O568" s="339"/>
      <c r="P568" s="340"/>
      <c r="Q568" s="339"/>
      <c r="R568" s="340"/>
      <c r="S568" s="339"/>
      <c r="T568" s="340"/>
      <c r="U568" s="339"/>
      <c r="V568" s="340"/>
      <c r="W568" s="339"/>
      <c r="X568" s="339"/>
      <c r="Y568" s="339"/>
      <c r="Z568" s="340"/>
      <c r="AA568" s="339"/>
      <c r="AB568" s="339"/>
      <c r="AC568" s="339"/>
      <c r="AD568" s="339"/>
    </row>
    <row r="569" spans="1:30" ht="15.75" customHeight="1">
      <c r="A569" s="339"/>
      <c r="B569" s="339"/>
      <c r="C569" s="339"/>
      <c r="D569" s="339"/>
      <c r="E569" s="339"/>
      <c r="F569" s="339"/>
      <c r="G569" s="339"/>
      <c r="H569" s="339"/>
      <c r="I569" s="339"/>
      <c r="J569" s="339"/>
      <c r="K569" s="339"/>
      <c r="L569" s="340"/>
      <c r="M569" s="339"/>
      <c r="N569" s="340"/>
      <c r="O569" s="339"/>
      <c r="P569" s="340"/>
      <c r="Q569" s="339"/>
      <c r="R569" s="340"/>
      <c r="S569" s="339"/>
      <c r="T569" s="340"/>
      <c r="U569" s="339"/>
      <c r="V569" s="340"/>
      <c r="W569" s="339"/>
      <c r="X569" s="339"/>
      <c r="Y569" s="339"/>
      <c r="Z569" s="340"/>
      <c r="AA569" s="339"/>
      <c r="AB569" s="339"/>
      <c r="AC569" s="339"/>
      <c r="AD569" s="339"/>
    </row>
    <row r="570" spans="1:30" ht="15.75" customHeight="1">
      <c r="A570" s="339"/>
      <c r="B570" s="339"/>
      <c r="C570" s="339"/>
      <c r="D570" s="339"/>
      <c r="E570" s="339"/>
      <c r="F570" s="339"/>
      <c r="G570" s="339"/>
      <c r="H570" s="339"/>
      <c r="I570" s="339"/>
      <c r="J570" s="339"/>
      <c r="K570" s="339"/>
      <c r="L570" s="340"/>
      <c r="M570" s="339"/>
      <c r="N570" s="340"/>
      <c r="O570" s="339"/>
      <c r="P570" s="340"/>
      <c r="Q570" s="339"/>
      <c r="R570" s="340"/>
      <c r="S570" s="339"/>
      <c r="T570" s="340"/>
      <c r="U570" s="339"/>
      <c r="V570" s="340"/>
      <c r="W570" s="339"/>
      <c r="X570" s="339"/>
      <c r="Y570" s="339"/>
      <c r="Z570" s="340"/>
      <c r="AA570" s="339"/>
      <c r="AB570" s="339"/>
      <c r="AC570" s="339"/>
      <c r="AD570" s="339"/>
    </row>
    <row r="571" spans="1:30" ht="15.75" customHeight="1">
      <c r="A571" s="339"/>
      <c r="B571" s="339"/>
      <c r="C571" s="339"/>
      <c r="D571" s="339"/>
      <c r="E571" s="339"/>
      <c r="F571" s="339"/>
      <c r="G571" s="339"/>
      <c r="H571" s="339"/>
      <c r="I571" s="339"/>
      <c r="J571" s="339"/>
      <c r="K571" s="339"/>
      <c r="L571" s="340"/>
      <c r="M571" s="339"/>
      <c r="N571" s="340"/>
      <c r="O571" s="339"/>
      <c r="P571" s="340"/>
      <c r="Q571" s="339"/>
      <c r="R571" s="340"/>
      <c r="S571" s="339"/>
      <c r="T571" s="340"/>
      <c r="U571" s="339"/>
      <c r="V571" s="340"/>
      <c r="W571" s="339"/>
      <c r="X571" s="339"/>
      <c r="Y571" s="339"/>
      <c r="Z571" s="340"/>
      <c r="AA571" s="339"/>
      <c r="AB571" s="339"/>
      <c r="AC571" s="339"/>
      <c r="AD571" s="339"/>
    </row>
    <row r="572" spans="1:30" ht="15.75" customHeight="1">
      <c r="A572" s="339"/>
      <c r="B572" s="339"/>
      <c r="C572" s="339"/>
      <c r="D572" s="339"/>
      <c r="E572" s="339"/>
      <c r="F572" s="339"/>
      <c r="G572" s="339"/>
      <c r="H572" s="339"/>
      <c r="I572" s="339"/>
      <c r="J572" s="339"/>
      <c r="K572" s="339"/>
      <c r="L572" s="340"/>
      <c r="M572" s="339"/>
      <c r="N572" s="340"/>
      <c r="O572" s="339"/>
      <c r="P572" s="340"/>
      <c r="Q572" s="339"/>
      <c r="R572" s="340"/>
      <c r="S572" s="339"/>
      <c r="T572" s="340"/>
      <c r="U572" s="339"/>
      <c r="V572" s="340"/>
      <c r="W572" s="339"/>
      <c r="X572" s="339"/>
      <c r="Y572" s="339"/>
      <c r="Z572" s="340"/>
      <c r="AA572" s="339"/>
      <c r="AB572" s="339"/>
      <c r="AC572" s="339"/>
      <c r="AD572" s="339"/>
    </row>
    <row r="573" spans="1:30" ht="15.75" customHeight="1">
      <c r="A573" s="339"/>
      <c r="B573" s="339"/>
      <c r="C573" s="339"/>
      <c r="D573" s="339"/>
      <c r="E573" s="339"/>
      <c r="F573" s="339"/>
      <c r="G573" s="339"/>
      <c r="H573" s="339"/>
      <c r="I573" s="339"/>
      <c r="J573" s="339"/>
      <c r="K573" s="339"/>
      <c r="L573" s="340"/>
      <c r="M573" s="339"/>
      <c r="N573" s="340"/>
      <c r="O573" s="339"/>
      <c r="P573" s="340"/>
      <c r="Q573" s="339"/>
      <c r="R573" s="340"/>
      <c r="S573" s="339"/>
      <c r="T573" s="340"/>
      <c r="U573" s="339"/>
      <c r="V573" s="340"/>
      <c r="W573" s="339"/>
      <c r="X573" s="339"/>
      <c r="Y573" s="339"/>
      <c r="Z573" s="340"/>
      <c r="AA573" s="339"/>
      <c r="AB573" s="339"/>
      <c r="AC573" s="339"/>
      <c r="AD573" s="339"/>
    </row>
    <row r="574" spans="1:30" ht="15.75" customHeight="1">
      <c r="A574" s="339"/>
      <c r="B574" s="339"/>
      <c r="C574" s="339"/>
      <c r="D574" s="339"/>
      <c r="E574" s="339"/>
      <c r="F574" s="339"/>
      <c r="G574" s="339"/>
      <c r="H574" s="339"/>
      <c r="I574" s="339"/>
      <c r="J574" s="339"/>
      <c r="K574" s="339"/>
      <c r="L574" s="340"/>
      <c r="M574" s="339"/>
      <c r="N574" s="340"/>
      <c r="O574" s="339"/>
      <c r="P574" s="340"/>
      <c r="Q574" s="339"/>
      <c r="R574" s="340"/>
      <c r="S574" s="339"/>
      <c r="T574" s="340"/>
      <c r="U574" s="339"/>
      <c r="V574" s="340"/>
      <c r="W574" s="339"/>
      <c r="X574" s="339"/>
      <c r="Y574" s="339"/>
      <c r="Z574" s="340"/>
      <c r="AA574" s="339"/>
      <c r="AB574" s="339"/>
      <c r="AC574" s="339"/>
      <c r="AD574" s="339"/>
    </row>
    <row r="575" spans="1:30" ht="15.75" customHeight="1">
      <c r="A575" s="339"/>
      <c r="B575" s="339"/>
      <c r="C575" s="339"/>
      <c r="D575" s="339"/>
      <c r="E575" s="339"/>
      <c r="F575" s="339"/>
      <c r="G575" s="339"/>
      <c r="H575" s="339"/>
      <c r="I575" s="339"/>
      <c r="J575" s="339"/>
      <c r="K575" s="339"/>
      <c r="L575" s="340"/>
      <c r="M575" s="339"/>
      <c r="N575" s="340"/>
      <c r="O575" s="339"/>
      <c r="P575" s="340"/>
      <c r="Q575" s="339"/>
      <c r="R575" s="340"/>
      <c r="S575" s="339"/>
      <c r="T575" s="340"/>
      <c r="U575" s="339"/>
      <c r="V575" s="340"/>
      <c r="W575" s="339"/>
      <c r="X575" s="339"/>
      <c r="Y575" s="339"/>
      <c r="Z575" s="340"/>
      <c r="AA575" s="339"/>
      <c r="AB575" s="339"/>
      <c r="AC575" s="339"/>
      <c r="AD575" s="339"/>
    </row>
    <row r="576" spans="1:30" ht="15.75" customHeight="1">
      <c r="A576" s="339"/>
      <c r="B576" s="339"/>
      <c r="C576" s="339"/>
      <c r="D576" s="339"/>
      <c r="E576" s="339"/>
      <c r="F576" s="339"/>
      <c r="G576" s="339"/>
      <c r="H576" s="339"/>
      <c r="I576" s="339"/>
      <c r="J576" s="339"/>
      <c r="K576" s="339"/>
      <c r="L576" s="340"/>
      <c r="M576" s="339"/>
      <c r="N576" s="340"/>
      <c r="O576" s="339"/>
      <c r="P576" s="340"/>
      <c r="Q576" s="339"/>
      <c r="R576" s="340"/>
      <c r="S576" s="339"/>
      <c r="T576" s="340"/>
      <c r="U576" s="339"/>
      <c r="V576" s="340"/>
      <c r="W576" s="339"/>
      <c r="X576" s="339"/>
      <c r="Y576" s="339"/>
      <c r="Z576" s="340"/>
      <c r="AA576" s="339"/>
      <c r="AB576" s="339"/>
      <c r="AC576" s="339"/>
      <c r="AD576" s="339"/>
    </row>
    <row r="577" spans="1:30" ht="15.75" customHeight="1">
      <c r="A577" s="339"/>
      <c r="B577" s="339"/>
      <c r="C577" s="339"/>
      <c r="D577" s="339"/>
      <c r="E577" s="339"/>
      <c r="F577" s="339"/>
      <c r="G577" s="339"/>
      <c r="H577" s="339"/>
      <c r="I577" s="339"/>
      <c r="J577" s="339"/>
      <c r="K577" s="339"/>
      <c r="L577" s="340"/>
      <c r="M577" s="339"/>
      <c r="N577" s="340"/>
      <c r="O577" s="339"/>
      <c r="P577" s="340"/>
      <c r="Q577" s="339"/>
      <c r="R577" s="340"/>
      <c r="S577" s="339"/>
      <c r="T577" s="340"/>
      <c r="U577" s="339"/>
      <c r="V577" s="340"/>
      <c r="W577" s="339"/>
      <c r="X577" s="339"/>
      <c r="Y577" s="339"/>
      <c r="Z577" s="340"/>
      <c r="AA577" s="339"/>
      <c r="AB577" s="339"/>
      <c r="AC577" s="339"/>
      <c r="AD577" s="339"/>
    </row>
    <row r="578" spans="1:30" ht="15.75" customHeight="1">
      <c r="A578" s="339"/>
      <c r="B578" s="339"/>
      <c r="C578" s="339"/>
      <c r="D578" s="339"/>
      <c r="E578" s="339"/>
      <c r="F578" s="339"/>
      <c r="G578" s="339"/>
      <c r="H578" s="339"/>
      <c r="I578" s="339"/>
      <c r="J578" s="339"/>
      <c r="K578" s="339"/>
      <c r="L578" s="340"/>
      <c r="M578" s="339"/>
      <c r="N578" s="340"/>
      <c r="O578" s="339"/>
      <c r="P578" s="340"/>
      <c r="Q578" s="339"/>
      <c r="R578" s="340"/>
      <c r="S578" s="339"/>
      <c r="T578" s="340"/>
      <c r="U578" s="339"/>
      <c r="V578" s="340"/>
      <c r="W578" s="339"/>
      <c r="X578" s="339"/>
      <c r="Y578" s="339"/>
      <c r="Z578" s="340"/>
      <c r="AA578" s="339"/>
      <c r="AB578" s="339"/>
      <c r="AC578" s="339"/>
      <c r="AD578" s="339"/>
    </row>
    <row r="579" spans="1:30" ht="15.75" customHeight="1">
      <c r="A579" s="339"/>
      <c r="B579" s="339"/>
      <c r="C579" s="339"/>
      <c r="D579" s="339"/>
      <c r="E579" s="339"/>
      <c r="F579" s="339"/>
      <c r="G579" s="339"/>
      <c r="H579" s="339"/>
      <c r="I579" s="339"/>
      <c r="J579" s="339"/>
      <c r="K579" s="339"/>
      <c r="L579" s="340"/>
      <c r="M579" s="339"/>
      <c r="N579" s="340"/>
      <c r="O579" s="339"/>
      <c r="P579" s="340"/>
      <c r="Q579" s="339"/>
      <c r="R579" s="340"/>
      <c r="S579" s="339"/>
      <c r="T579" s="340"/>
      <c r="U579" s="339"/>
      <c r="V579" s="340"/>
      <c r="W579" s="339"/>
      <c r="X579" s="339"/>
      <c r="Y579" s="339"/>
      <c r="Z579" s="340"/>
      <c r="AA579" s="339"/>
      <c r="AB579" s="339"/>
      <c r="AC579" s="339"/>
      <c r="AD579" s="339"/>
    </row>
    <row r="580" spans="1:30" ht="15.75" customHeight="1">
      <c r="A580" s="339"/>
      <c r="B580" s="339"/>
      <c r="C580" s="339"/>
      <c r="D580" s="339"/>
      <c r="E580" s="339"/>
      <c r="F580" s="339"/>
      <c r="G580" s="339"/>
      <c r="H580" s="339"/>
      <c r="I580" s="339"/>
      <c r="J580" s="339"/>
      <c r="K580" s="339"/>
      <c r="L580" s="340"/>
      <c r="M580" s="339"/>
      <c r="N580" s="340"/>
      <c r="O580" s="339"/>
      <c r="P580" s="340"/>
      <c r="Q580" s="339"/>
      <c r="R580" s="340"/>
      <c r="S580" s="339"/>
      <c r="T580" s="340"/>
      <c r="U580" s="339"/>
      <c r="V580" s="340"/>
      <c r="W580" s="339"/>
      <c r="X580" s="339"/>
      <c r="Y580" s="339"/>
      <c r="Z580" s="340"/>
      <c r="AA580" s="339"/>
      <c r="AB580" s="339"/>
      <c r="AC580" s="339"/>
      <c r="AD580" s="339"/>
    </row>
    <row r="581" spans="1:30" ht="15.75" customHeight="1">
      <c r="A581" s="339"/>
      <c r="B581" s="339"/>
      <c r="C581" s="339"/>
      <c r="D581" s="339"/>
      <c r="E581" s="339"/>
      <c r="F581" s="339"/>
      <c r="G581" s="339"/>
      <c r="H581" s="339"/>
      <c r="I581" s="339"/>
      <c r="J581" s="339"/>
      <c r="K581" s="339"/>
      <c r="L581" s="340"/>
      <c r="M581" s="339"/>
      <c r="N581" s="340"/>
      <c r="O581" s="339"/>
      <c r="P581" s="340"/>
      <c r="Q581" s="339"/>
      <c r="R581" s="340"/>
      <c r="S581" s="339"/>
      <c r="T581" s="340"/>
      <c r="U581" s="339"/>
      <c r="V581" s="340"/>
      <c r="W581" s="339"/>
      <c r="X581" s="339"/>
      <c r="Y581" s="339"/>
      <c r="Z581" s="340"/>
      <c r="AA581" s="339"/>
      <c r="AB581" s="339"/>
      <c r="AC581" s="339"/>
      <c r="AD581" s="339"/>
    </row>
    <row r="582" spans="1:30" ht="15.75" customHeight="1">
      <c r="A582" s="339"/>
      <c r="B582" s="339"/>
      <c r="C582" s="339"/>
      <c r="D582" s="339"/>
      <c r="E582" s="339"/>
      <c r="F582" s="339"/>
      <c r="G582" s="339"/>
      <c r="H582" s="339"/>
      <c r="I582" s="339"/>
      <c r="J582" s="339"/>
      <c r="K582" s="339"/>
      <c r="L582" s="340"/>
      <c r="M582" s="339"/>
      <c r="N582" s="340"/>
      <c r="O582" s="339"/>
      <c r="P582" s="340"/>
      <c r="Q582" s="339"/>
      <c r="R582" s="340"/>
      <c r="S582" s="339"/>
      <c r="T582" s="340"/>
      <c r="U582" s="339"/>
      <c r="V582" s="340"/>
      <c r="W582" s="339"/>
      <c r="X582" s="339"/>
      <c r="Y582" s="339"/>
      <c r="Z582" s="340"/>
      <c r="AA582" s="339"/>
      <c r="AB582" s="339"/>
      <c r="AC582" s="339"/>
      <c r="AD582" s="339"/>
    </row>
    <row r="583" spans="1:30" ht="15.75" customHeight="1">
      <c r="A583" s="339"/>
      <c r="B583" s="339"/>
      <c r="C583" s="339"/>
      <c r="D583" s="339"/>
      <c r="E583" s="339"/>
      <c r="F583" s="339"/>
      <c r="G583" s="339"/>
      <c r="H583" s="339"/>
      <c r="I583" s="339"/>
      <c r="J583" s="339"/>
      <c r="K583" s="339"/>
      <c r="L583" s="340"/>
      <c r="M583" s="339"/>
      <c r="N583" s="340"/>
      <c r="O583" s="339"/>
      <c r="P583" s="340"/>
      <c r="Q583" s="339"/>
      <c r="R583" s="340"/>
      <c r="S583" s="339"/>
      <c r="T583" s="340"/>
      <c r="U583" s="339"/>
      <c r="V583" s="340"/>
      <c r="W583" s="339"/>
      <c r="X583" s="339"/>
      <c r="Y583" s="339"/>
      <c r="Z583" s="340"/>
      <c r="AA583" s="339"/>
      <c r="AB583" s="339"/>
      <c r="AC583" s="339"/>
      <c r="AD583" s="339"/>
    </row>
    <row r="584" spans="1:30" ht="15.75" customHeight="1">
      <c r="A584" s="339"/>
      <c r="B584" s="339"/>
      <c r="C584" s="339"/>
      <c r="D584" s="339"/>
      <c r="E584" s="339"/>
      <c r="F584" s="339"/>
      <c r="G584" s="339"/>
      <c r="H584" s="339"/>
      <c r="I584" s="339"/>
      <c r="J584" s="339"/>
      <c r="K584" s="339"/>
      <c r="L584" s="340"/>
      <c r="M584" s="339"/>
      <c r="N584" s="340"/>
      <c r="O584" s="339"/>
      <c r="P584" s="340"/>
      <c r="Q584" s="339"/>
      <c r="R584" s="340"/>
      <c r="S584" s="339"/>
      <c r="T584" s="340"/>
      <c r="U584" s="339"/>
      <c r="V584" s="340"/>
      <c r="W584" s="339"/>
      <c r="X584" s="339"/>
      <c r="Y584" s="339"/>
      <c r="Z584" s="340"/>
      <c r="AA584" s="339"/>
      <c r="AB584" s="339"/>
      <c r="AC584" s="339"/>
      <c r="AD584" s="339"/>
    </row>
    <row r="585" spans="1:30" ht="15.75" customHeight="1">
      <c r="A585" s="339"/>
      <c r="B585" s="339"/>
      <c r="C585" s="339"/>
      <c r="D585" s="339"/>
      <c r="E585" s="339"/>
      <c r="F585" s="339"/>
      <c r="G585" s="339"/>
      <c r="H585" s="339"/>
      <c r="I585" s="339"/>
      <c r="J585" s="339"/>
      <c r="K585" s="339"/>
      <c r="L585" s="340"/>
      <c r="M585" s="339"/>
      <c r="N585" s="340"/>
      <c r="O585" s="339"/>
      <c r="P585" s="340"/>
      <c r="Q585" s="339"/>
      <c r="R585" s="340"/>
      <c r="S585" s="339"/>
      <c r="T585" s="340"/>
      <c r="U585" s="339"/>
      <c r="V585" s="340"/>
      <c r="W585" s="339"/>
      <c r="X585" s="339"/>
      <c r="Y585" s="339"/>
      <c r="Z585" s="340"/>
      <c r="AA585" s="339"/>
      <c r="AB585" s="339"/>
      <c r="AC585" s="339"/>
      <c r="AD585" s="339"/>
    </row>
    <row r="586" spans="1:30" ht="15.75" customHeight="1">
      <c r="A586" s="339"/>
      <c r="B586" s="339"/>
      <c r="C586" s="339"/>
      <c r="D586" s="339"/>
      <c r="E586" s="339"/>
      <c r="F586" s="339"/>
      <c r="G586" s="339"/>
      <c r="H586" s="339"/>
      <c r="I586" s="339"/>
      <c r="J586" s="339"/>
      <c r="K586" s="339"/>
      <c r="L586" s="340"/>
      <c r="M586" s="339"/>
      <c r="N586" s="340"/>
      <c r="O586" s="339"/>
      <c r="P586" s="340"/>
      <c r="Q586" s="339"/>
      <c r="R586" s="340"/>
      <c r="S586" s="339"/>
      <c r="T586" s="340"/>
      <c r="U586" s="339"/>
      <c r="V586" s="340"/>
      <c r="W586" s="339"/>
      <c r="X586" s="339"/>
      <c r="Y586" s="339"/>
      <c r="Z586" s="340"/>
      <c r="AA586" s="339"/>
      <c r="AB586" s="339"/>
      <c r="AC586" s="339"/>
      <c r="AD586" s="339"/>
    </row>
    <row r="587" spans="1:30" ht="15.75" customHeight="1">
      <c r="A587" s="339"/>
      <c r="B587" s="339"/>
      <c r="C587" s="339"/>
      <c r="D587" s="339"/>
      <c r="E587" s="339"/>
      <c r="F587" s="339"/>
      <c r="G587" s="339"/>
      <c r="H587" s="339"/>
      <c r="I587" s="339"/>
      <c r="J587" s="339"/>
      <c r="K587" s="339"/>
      <c r="L587" s="340"/>
      <c r="M587" s="339"/>
      <c r="N587" s="340"/>
      <c r="O587" s="339"/>
      <c r="P587" s="340"/>
      <c r="Q587" s="339"/>
      <c r="R587" s="340"/>
      <c r="S587" s="339"/>
      <c r="T587" s="340"/>
      <c r="U587" s="339"/>
      <c r="V587" s="340"/>
      <c r="W587" s="339"/>
      <c r="X587" s="339"/>
      <c r="Y587" s="339"/>
      <c r="Z587" s="340"/>
      <c r="AA587" s="339"/>
      <c r="AB587" s="339"/>
      <c r="AC587" s="339"/>
      <c r="AD587" s="339"/>
    </row>
    <row r="588" spans="1:30" ht="15.75" customHeight="1">
      <c r="A588" s="339"/>
      <c r="B588" s="339"/>
      <c r="C588" s="339"/>
      <c r="D588" s="339"/>
      <c r="E588" s="339"/>
      <c r="F588" s="339"/>
      <c r="G588" s="339"/>
      <c r="H588" s="339"/>
      <c r="I588" s="339"/>
      <c r="J588" s="339"/>
      <c r="K588" s="339"/>
      <c r="L588" s="340"/>
      <c r="M588" s="339"/>
      <c r="N588" s="340"/>
      <c r="O588" s="339"/>
      <c r="P588" s="340"/>
      <c r="Q588" s="339"/>
      <c r="R588" s="340"/>
      <c r="S588" s="339"/>
      <c r="T588" s="340"/>
      <c r="U588" s="339"/>
      <c r="V588" s="340"/>
      <c r="W588" s="339"/>
      <c r="X588" s="339"/>
      <c r="Y588" s="339"/>
      <c r="Z588" s="340"/>
      <c r="AA588" s="339"/>
      <c r="AB588" s="339"/>
      <c r="AC588" s="339"/>
      <c r="AD588" s="339"/>
    </row>
    <row r="589" spans="1:30" ht="15.75" customHeight="1">
      <c r="A589" s="339"/>
      <c r="B589" s="339"/>
      <c r="C589" s="339"/>
      <c r="D589" s="339"/>
      <c r="E589" s="339"/>
      <c r="F589" s="339"/>
      <c r="G589" s="339"/>
      <c r="H589" s="339"/>
      <c r="I589" s="339"/>
      <c r="J589" s="339"/>
      <c r="K589" s="339"/>
      <c r="L589" s="340"/>
      <c r="M589" s="339"/>
      <c r="N589" s="340"/>
      <c r="O589" s="339"/>
      <c r="P589" s="340"/>
      <c r="Q589" s="339"/>
      <c r="R589" s="340"/>
      <c r="S589" s="339"/>
      <c r="T589" s="340"/>
      <c r="U589" s="339"/>
      <c r="V589" s="340"/>
      <c r="W589" s="339"/>
      <c r="X589" s="339"/>
      <c r="Y589" s="339"/>
      <c r="Z589" s="340"/>
      <c r="AA589" s="339"/>
      <c r="AB589" s="339"/>
      <c r="AC589" s="339"/>
      <c r="AD589" s="339"/>
    </row>
    <row r="590" spans="1:30" ht="15.75" customHeight="1">
      <c r="A590" s="339"/>
      <c r="B590" s="339"/>
      <c r="C590" s="339"/>
      <c r="D590" s="339"/>
      <c r="E590" s="339"/>
      <c r="F590" s="339"/>
      <c r="G590" s="339"/>
      <c r="H590" s="339"/>
      <c r="I590" s="339"/>
      <c r="J590" s="339"/>
      <c r="K590" s="339"/>
      <c r="L590" s="340"/>
      <c r="M590" s="339"/>
      <c r="N590" s="340"/>
      <c r="O590" s="339"/>
      <c r="P590" s="340"/>
      <c r="Q590" s="339"/>
      <c r="R590" s="340"/>
      <c r="S590" s="339"/>
      <c r="T590" s="340"/>
      <c r="U590" s="339"/>
      <c r="V590" s="340"/>
      <c r="W590" s="339"/>
      <c r="X590" s="339"/>
      <c r="Y590" s="339"/>
      <c r="Z590" s="340"/>
      <c r="AA590" s="339"/>
      <c r="AB590" s="339"/>
      <c r="AC590" s="339"/>
      <c r="AD590" s="339"/>
    </row>
    <row r="591" spans="1:30" ht="15.75" customHeight="1">
      <c r="A591" s="339"/>
      <c r="B591" s="339"/>
      <c r="C591" s="339"/>
      <c r="D591" s="339"/>
      <c r="E591" s="339"/>
      <c r="F591" s="339"/>
      <c r="G591" s="339"/>
      <c r="H591" s="339"/>
      <c r="I591" s="339"/>
      <c r="J591" s="339"/>
      <c r="K591" s="339"/>
      <c r="L591" s="340"/>
      <c r="M591" s="339"/>
      <c r="N591" s="340"/>
      <c r="O591" s="339"/>
      <c r="P591" s="340"/>
      <c r="Q591" s="339"/>
      <c r="R591" s="340"/>
      <c r="S591" s="339"/>
      <c r="T591" s="340"/>
      <c r="U591" s="339"/>
      <c r="V591" s="340"/>
      <c r="W591" s="339"/>
      <c r="X591" s="339"/>
      <c r="Y591" s="339"/>
      <c r="Z591" s="340"/>
      <c r="AA591" s="339"/>
      <c r="AB591" s="339"/>
      <c r="AC591" s="339"/>
      <c r="AD591" s="339"/>
    </row>
    <row r="592" spans="1:30" ht="15.75" customHeight="1">
      <c r="A592" s="339"/>
      <c r="B592" s="339"/>
      <c r="C592" s="339"/>
      <c r="D592" s="339"/>
      <c r="E592" s="339"/>
      <c r="F592" s="339"/>
      <c r="G592" s="339"/>
      <c r="H592" s="339"/>
      <c r="I592" s="339"/>
      <c r="J592" s="339"/>
      <c r="K592" s="339"/>
      <c r="L592" s="340"/>
      <c r="M592" s="339"/>
      <c r="N592" s="340"/>
      <c r="O592" s="339"/>
      <c r="P592" s="340"/>
      <c r="Q592" s="339"/>
      <c r="R592" s="340"/>
      <c r="S592" s="339"/>
      <c r="T592" s="340"/>
      <c r="U592" s="339"/>
      <c r="V592" s="340"/>
      <c r="W592" s="339"/>
      <c r="X592" s="339"/>
      <c r="Y592" s="339"/>
      <c r="Z592" s="340"/>
      <c r="AA592" s="339"/>
      <c r="AB592" s="339"/>
      <c r="AC592" s="339"/>
      <c r="AD592" s="339"/>
    </row>
    <row r="593" spans="1:30" ht="15.75" customHeight="1">
      <c r="A593" s="339"/>
      <c r="B593" s="339"/>
      <c r="C593" s="339"/>
      <c r="D593" s="339"/>
      <c r="E593" s="339"/>
      <c r="F593" s="339"/>
      <c r="G593" s="339"/>
      <c r="H593" s="339"/>
      <c r="I593" s="339"/>
      <c r="J593" s="339"/>
      <c r="K593" s="339"/>
      <c r="L593" s="340"/>
      <c r="M593" s="339"/>
      <c r="N593" s="340"/>
      <c r="O593" s="339"/>
      <c r="P593" s="340"/>
      <c r="Q593" s="339"/>
      <c r="R593" s="340"/>
      <c r="S593" s="339"/>
      <c r="T593" s="340"/>
      <c r="U593" s="339"/>
      <c r="V593" s="340"/>
      <c r="W593" s="339"/>
      <c r="X593" s="339"/>
      <c r="Y593" s="339"/>
      <c r="Z593" s="340"/>
      <c r="AA593" s="339"/>
      <c r="AB593" s="339"/>
      <c r="AC593" s="339"/>
      <c r="AD593" s="339"/>
    </row>
    <row r="594" spans="1:30" ht="15.75" customHeight="1">
      <c r="A594" s="339"/>
      <c r="B594" s="339"/>
      <c r="C594" s="339"/>
      <c r="D594" s="339"/>
      <c r="E594" s="339"/>
      <c r="F594" s="339"/>
      <c r="G594" s="339"/>
      <c r="H594" s="339"/>
      <c r="I594" s="339"/>
      <c r="J594" s="339"/>
      <c r="K594" s="339"/>
      <c r="L594" s="340"/>
      <c r="M594" s="339"/>
      <c r="N594" s="340"/>
      <c r="O594" s="339"/>
      <c r="P594" s="340"/>
      <c r="Q594" s="339"/>
      <c r="R594" s="340"/>
      <c r="S594" s="339"/>
      <c r="T594" s="340"/>
      <c r="U594" s="339"/>
      <c r="V594" s="340"/>
      <c r="W594" s="339"/>
      <c r="X594" s="339"/>
      <c r="Y594" s="339"/>
      <c r="Z594" s="340"/>
      <c r="AA594" s="339"/>
      <c r="AB594" s="339"/>
      <c r="AC594" s="339"/>
      <c r="AD594" s="339"/>
    </row>
    <row r="595" spans="1:30" ht="15.75" customHeight="1">
      <c r="A595" s="339"/>
      <c r="B595" s="339"/>
      <c r="C595" s="339"/>
      <c r="D595" s="339"/>
      <c r="E595" s="339"/>
      <c r="F595" s="339"/>
      <c r="G595" s="339"/>
      <c r="H595" s="339"/>
      <c r="I595" s="339"/>
      <c r="J595" s="339"/>
      <c r="K595" s="339"/>
      <c r="L595" s="340"/>
      <c r="M595" s="339"/>
      <c r="N595" s="340"/>
      <c r="O595" s="339"/>
      <c r="P595" s="340"/>
      <c r="Q595" s="339"/>
      <c r="R595" s="340"/>
      <c r="S595" s="339"/>
      <c r="T595" s="340"/>
      <c r="U595" s="339"/>
      <c r="V595" s="340"/>
      <c r="W595" s="339"/>
      <c r="X595" s="339"/>
      <c r="Y595" s="339"/>
      <c r="Z595" s="340"/>
      <c r="AA595" s="339"/>
      <c r="AB595" s="339"/>
      <c r="AC595" s="339"/>
      <c r="AD595" s="339"/>
    </row>
    <row r="596" spans="1:30" ht="15.75" customHeight="1">
      <c r="A596" s="339"/>
      <c r="B596" s="339"/>
      <c r="C596" s="339"/>
      <c r="D596" s="339"/>
      <c r="E596" s="339"/>
      <c r="F596" s="339"/>
      <c r="G596" s="339"/>
      <c r="H596" s="339"/>
      <c r="I596" s="339"/>
      <c r="J596" s="339"/>
      <c r="K596" s="339"/>
      <c r="L596" s="340"/>
      <c r="M596" s="339"/>
      <c r="N596" s="340"/>
      <c r="O596" s="339"/>
      <c r="P596" s="340"/>
      <c r="Q596" s="339"/>
      <c r="R596" s="340"/>
      <c r="S596" s="339"/>
      <c r="T596" s="340"/>
      <c r="U596" s="339"/>
      <c r="V596" s="340"/>
      <c r="W596" s="339"/>
      <c r="X596" s="339"/>
      <c r="Y596" s="339"/>
      <c r="Z596" s="340"/>
      <c r="AA596" s="339"/>
      <c r="AB596" s="339"/>
      <c r="AC596" s="339"/>
      <c r="AD596" s="339"/>
    </row>
    <row r="597" spans="1:30" ht="15.75" customHeight="1">
      <c r="A597" s="339"/>
      <c r="B597" s="339"/>
      <c r="C597" s="339"/>
      <c r="D597" s="339"/>
      <c r="E597" s="339"/>
      <c r="F597" s="339"/>
      <c r="G597" s="339"/>
      <c r="H597" s="339"/>
      <c r="I597" s="339"/>
      <c r="J597" s="339"/>
      <c r="K597" s="339"/>
      <c r="L597" s="340"/>
      <c r="M597" s="339"/>
      <c r="N597" s="340"/>
      <c r="O597" s="339"/>
      <c r="P597" s="340"/>
      <c r="Q597" s="339"/>
      <c r="R597" s="340"/>
      <c r="S597" s="339"/>
      <c r="T597" s="340"/>
      <c r="U597" s="339"/>
      <c r="V597" s="340"/>
      <c r="W597" s="339"/>
      <c r="X597" s="339"/>
      <c r="Y597" s="339"/>
      <c r="Z597" s="340"/>
      <c r="AA597" s="339"/>
      <c r="AB597" s="339"/>
      <c r="AC597" s="339"/>
      <c r="AD597" s="339"/>
    </row>
    <row r="598" spans="1:30" ht="15.75" customHeight="1">
      <c r="A598" s="339"/>
      <c r="B598" s="339"/>
      <c r="C598" s="339"/>
      <c r="D598" s="339"/>
      <c r="E598" s="339"/>
      <c r="F598" s="339"/>
      <c r="G598" s="339"/>
      <c r="H598" s="339"/>
      <c r="I598" s="339"/>
      <c r="J598" s="339"/>
      <c r="K598" s="339"/>
      <c r="L598" s="340"/>
      <c r="M598" s="339"/>
      <c r="N598" s="340"/>
      <c r="O598" s="339"/>
      <c r="P598" s="340"/>
      <c r="Q598" s="339"/>
      <c r="R598" s="340"/>
      <c r="S598" s="339"/>
      <c r="T598" s="340"/>
      <c r="U598" s="339"/>
      <c r="V598" s="340"/>
      <c r="W598" s="339"/>
      <c r="X598" s="339"/>
      <c r="Y598" s="339"/>
      <c r="Z598" s="340"/>
      <c r="AA598" s="339"/>
      <c r="AB598" s="339"/>
      <c r="AC598" s="339"/>
      <c r="AD598" s="339"/>
    </row>
    <row r="599" spans="1:30" ht="15.75" customHeight="1">
      <c r="A599" s="339"/>
      <c r="B599" s="339"/>
      <c r="C599" s="339"/>
      <c r="D599" s="339"/>
      <c r="E599" s="339"/>
      <c r="F599" s="339"/>
      <c r="G599" s="339"/>
      <c r="H599" s="339"/>
      <c r="I599" s="339"/>
      <c r="J599" s="339"/>
      <c r="K599" s="339"/>
      <c r="L599" s="340"/>
      <c r="M599" s="339"/>
      <c r="N599" s="340"/>
      <c r="O599" s="339"/>
      <c r="P599" s="340"/>
      <c r="Q599" s="339"/>
      <c r="R599" s="340"/>
      <c r="S599" s="339"/>
      <c r="T599" s="340"/>
      <c r="U599" s="339"/>
      <c r="V599" s="340"/>
      <c r="W599" s="339"/>
      <c r="X599" s="339"/>
      <c r="Y599" s="339"/>
      <c r="Z599" s="340"/>
      <c r="AA599" s="339"/>
      <c r="AB599" s="339"/>
      <c r="AC599" s="339"/>
      <c r="AD599" s="339"/>
    </row>
    <row r="600" spans="1:30" ht="15.75" customHeight="1">
      <c r="A600" s="339"/>
      <c r="B600" s="339"/>
      <c r="C600" s="339"/>
      <c r="D600" s="339"/>
      <c r="E600" s="339"/>
      <c r="F600" s="339"/>
      <c r="G600" s="339"/>
      <c r="H600" s="339"/>
      <c r="I600" s="339"/>
      <c r="J600" s="339"/>
      <c r="K600" s="339"/>
      <c r="L600" s="340"/>
      <c r="M600" s="339"/>
      <c r="N600" s="340"/>
      <c r="O600" s="339"/>
      <c r="P600" s="340"/>
      <c r="Q600" s="339"/>
      <c r="R600" s="340"/>
      <c r="S600" s="339"/>
      <c r="T600" s="340"/>
      <c r="U600" s="339"/>
      <c r="V600" s="340"/>
      <c r="W600" s="339"/>
      <c r="X600" s="339"/>
      <c r="Y600" s="339"/>
      <c r="Z600" s="340"/>
      <c r="AA600" s="339"/>
      <c r="AB600" s="339"/>
      <c r="AC600" s="339"/>
      <c r="AD600" s="339"/>
    </row>
    <row r="601" spans="1:30" ht="15.75" customHeight="1">
      <c r="A601" s="339"/>
      <c r="B601" s="339"/>
      <c r="C601" s="339"/>
      <c r="D601" s="339"/>
      <c r="E601" s="339"/>
      <c r="F601" s="339"/>
      <c r="G601" s="339"/>
      <c r="H601" s="339"/>
      <c r="I601" s="339"/>
      <c r="J601" s="339"/>
      <c r="K601" s="339"/>
      <c r="L601" s="340"/>
      <c r="M601" s="339"/>
      <c r="N601" s="340"/>
      <c r="O601" s="339"/>
      <c r="P601" s="340"/>
      <c r="Q601" s="339"/>
      <c r="R601" s="340"/>
      <c r="S601" s="339"/>
      <c r="T601" s="340"/>
      <c r="U601" s="339"/>
      <c r="V601" s="340"/>
      <c r="W601" s="339"/>
      <c r="X601" s="339"/>
      <c r="Y601" s="339"/>
      <c r="Z601" s="340"/>
      <c r="AA601" s="339"/>
      <c r="AB601" s="339"/>
      <c r="AC601" s="339"/>
      <c r="AD601" s="339"/>
    </row>
    <row r="602" spans="1:30" ht="15.75" customHeight="1">
      <c r="A602" s="339"/>
      <c r="B602" s="339"/>
      <c r="C602" s="339"/>
      <c r="D602" s="339"/>
      <c r="E602" s="339"/>
      <c r="F602" s="339"/>
      <c r="G602" s="339"/>
      <c r="H602" s="339"/>
      <c r="I602" s="339"/>
      <c r="J602" s="339"/>
      <c r="K602" s="339"/>
      <c r="L602" s="340"/>
      <c r="M602" s="339"/>
      <c r="N602" s="340"/>
      <c r="O602" s="339"/>
      <c r="P602" s="340"/>
      <c r="Q602" s="339"/>
      <c r="R602" s="340"/>
      <c r="S602" s="339"/>
      <c r="T602" s="340"/>
      <c r="U602" s="339"/>
      <c r="V602" s="340"/>
      <c r="W602" s="339"/>
      <c r="X602" s="339"/>
      <c r="Y602" s="339"/>
      <c r="Z602" s="340"/>
      <c r="AA602" s="339"/>
      <c r="AB602" s="339"/>
      <c r="AC602" s="339"/>
      <c r="AD602" s="339"/>
    </row>
    <row r="603" spans="1:30" ht="15.75" customHeight="1">
      <c r="A603" s="339"/>
      <c r="B603" s="339"/>
      <c r="C603" s="339"/>
      <c r="D603" s="339"/>
      <c r="E603" s="339"/>
      <c r="F603" s="339"/>
      <c r="G603" s="339"/>
      <c r="H603" s="339"/>
      <c r="I603" s="339"/>
      <c r="J603" s="339"/>
      <c r="K603" s="339"/>
      <c r="L603" s="340"/>
      <c r="M603" s="339"/>
      <c r="N603" s="340"/>
      <c r="O603" s="339"/>
      <c r="P603" s="340"/>
      <c r="Q603" s="339"/>
      <c r="R603" s="340"/>
      <c r="S603" s="339"/>
      <c r="T603" s="340"/>
      <c r="U603" s="339"/>
      <c r="V603" s="340"/>
      <c r="W603" s="339"/>
      <c r="X603" s="339"/>
      <c r="Y603" s="339"/>
      <c r="Z603" s="340"/>
      <c r="AA603" s="339"/>
      <c r="AB603" s="339"/>
      <c r="AC603" s="339"/>
      <c r="AD603" s="339"/>
    </row>
    <row r="604" spans="1:30" ht="15.75" customHeight="1">
      <c r="A604" s="339"/>
      <c r="B604" s="339"/>
      <c r="C604" s="339"/>
      <c r="D604" s="339"/>
      <c r="E604" s="339"/>
      <c r="F604" s="339"/>
      <c r="G604" s="339"/>
      <c r="H604" s="339"/>
      <c r="I604" s="339"/>
      <c r="J604" s="339"/>
      <c r="K604" s="339"/>
      <c r="L604" s="340"/>
      <c r="M604" s="339"/>
      <c r="N604" s="340"/>
      <c r="O604" s="339"/>
      <c r="P604" s="340"/>
      <c r="Q604" s="339"/>
      <c r="R604" s="340"/>
      <c r="S604" s="339"/>
      <c r="T604" s="340"/>
      <c r="U604" s="339"/>
      <c r="V604" s="340"/>
      <c r="W604" s="339"/>
      <c r="X604" s="339"/>
      <c r="Y604" s="339"/>
      <c r="Z604" s="340"/>
      <c r="AA604" s="339"/>
      <c r="AB604" s="339"/>
      <c r="AC604" s="339"/>
      <c r="AD604" s="339"/>
    </row>
    <row r="605" spans="1:30" ht="15.75" customHeight="1">
      <c r="A605" s="339"/>
      <c r="B605" s="339"/>
      <c r="C605" s="339"/>
      <c r="D605" s="339"/>
      <c r="E605" s="339"/>
      <c r="F605" s="339"/>
      <c r="G605" s="339"/>
      <c r="H605" s="339"/>
      <c r="I605" s="339"/>
      <c r="J605" s="339"/>
      <c r="K605" s="339"/>
      <c r="L605" s="340"/>
      <c r="M605" s="339"/>
      <c r="N605" s="340"/>
      <c r="O605" s="339"/>
      <c r="P605" s="340"/>
      <c r="Q605" s="339"/>
      <c r="R605" s="340"/>
      <c r="S605" s="339"/>
      <c r="T605" s="340"/>
      <c r="U605" s="339"/>
      <c r="V605" s="340"/>
      <c r="W605" s="339"/>
      <c r="X605" s="339"/>
      <c r="Y605" s="339"/>
      <c r="Z605" s="340"/>
      <c r="AA605" s="339"/>
      <c r="AB605" s="339"/>
      <c r="AC605" s="339"/>
      <c r="AD605" s="339"/>
    </row>
    <row r="606" spans="1:30" ht="15.75" customHeight="1">
      <c r="A606" s="339"/>
      <c r="B606" s="339"/>
      <c r="C606" s="339"/>
      <c r="D606" s="339"/>
      <c r="E606" s="339"/>
      <c r="F606" s="339"/>
      <c r="G606" s="339"/>
      <c r="H606" s="339"/>
      <c r="I606" s="339"/>
      <c r="J606" s="339"/>
      <c r="K606" s="339"/>
      <c r="L606" s="340"/>
      <c r="M606" s="339"/>
      <c r="N606" s="340"/>
      <c r="O606" s="339"/>
      <c r="P606" s="340"/>
      <c r="Q606" s="339"/>
      <c r="R606" s="340"/>
      <c r="S606" s="339"/>
      <c r="T606" s="340"/>
      <c r="U606" s="339"/>
      <c r="V606" s="340"/>
      <c r="W606" s="339"/>
      <c r="X606" s="339"/>
      <c r="Y606" s="339"/>
      <c r="Z606" s="340"/>
      <c r="AA606" s="339"/>
      <c r="AB606" s="339"/>
      <c r="AC606" s="339"/>
      <c r="AD606" s="339"/>
    </row>
    <row r="607" spans="1:30" ht="15.75" customHeight="1">
      <c r="A607" s="339"/>
      <c r="B607" s="339"/>
      <c r="C607" s="339"/>
      <c r="D607" s="339"/>
      <c r="E607" s="339"/>
      <c r="F607" s="339"/>
      <c r="G607" s="339"/>
      <c r="H607" s="339"/>
      <c r="I607" s="339"/>
      <c r="J607" s="339"/>
      <c r="K607" s="339"/>
      <c r="L607" s="340"/>
      <c r="M607" s="339"/>
      <c r="N607" s="340"/>
      <c r="O607" s="339"/>
      <c r="P607" s="340"/>
      <c r="Q607" s="339"/>
      <c r="R607" s="340"/>
      <c r="S607" s="339"/>
      <c r="T607" s="340"/>
      <c r="U607" s="339"/>
      <c r="V607" s="340"/>
      <c r="W607" s="339"/>
      <c r="X607" s="339"/>
      <c r="Y607" s="339"/>
      <c r="Z607" s="340"/>
      <c r="AA607" s="339"/>
      <c r="AB607" s="339"/>
      <c r="AC607" s="339"/>
      <c r="AD607" s="339"/>
    </row>
    <row r="608" spans="1:30" ht="15.75" customHeight="1">
      <c r="A608" s="339"/>
      <c r="B608" s="339"/>
      <c r="C608" s="339"/>
      <c r="D608" s="339"/>
      <c r="E608" s="339"/>
      <c r="F608" s="339"/>
      <c r="G608" s="339"/>
      <c r="H608" s="339"/>
      <c r="I608" s="339"/>
      <c r="J608" s="339"/>
      <c r="K608" s="339"/>
      <c r="L608" s="340"/>
      <c r="M608" s="339"/>
      <c r="N608" s="340"/>
      <c r="O608" s="339"/>
      <c r="P608" s="340"/>
      <c r="Q608" s="339"/>
      <c r="R608" s="340"/>
      <c r="S608" s="339"/>
      <c r="T608" s="340"/>
      <c r="U608" s="339"/>
      <c r="V608" s="340"/>
      <c r="W608" s="339"/>
      <c r="X608" s="339"/>
      <c r="Y608" s="339"/>
      <c r="Z608" s="340"/>
      <c r="AA608" s="339"/>
      <c r="AB608" s="339"/>
      <c r="AC608" s="339"/>
      <c r="AD608" s="339"/>
    </row>
    <row r="609" spans="1:30" ht="15.75" customHeight="1">
      <c r="A609" s="339"/>
      <c r="B609" s="339"/>
      <c r="C609" s="339"/>
      <c r="D609" s="339"/>
      <c r="E609" s="339"/>
      <c r="F609" s="339"/>
      <c r="G609" s="339"/>
      <c r="H609" s="339"/>
      <c r="I609" s="339"/>
      <c r="J609" s="339"/>
      <c r="K609" s="339"/>
      <c r="L609" s="340"/>
      <c r="M609" s="339"/>
      <c r="N609" s="340"/>
      <c r="O609" s="339"/>
      <c r="P609" s="340"/>
      <c r="Q609" s="339"/>
      <c r="R609" s="340"/>
      <c r="S609" s="339"/>
      <c r="T609" s="340"/>
      <c r="U609" s="339"/>
      <c r="V609" s="340"/>
      <c r="W609" s="339"/>
      <c r="X609" s="339"/>
      <c r="Y609" s="339"/>
      <c r="Z609" s="340"/>
      <c r="AA609" s="339"/>
      <c r="AB609" s="339"/>
      <c r="AC609" s="339"/>
      <c r="AD609" s="339"/>
    </row>
    <row r="610" spans="1:30" ht="15.75" customHeight="1">
      <c r="A610" s="339"/>
      <c r="B610" s="339"/>
      <c r="C610" s="339"/>
      <c r="D610" s="339"/>
      <c r="E610" s="339"/>
      <c r="F610" s="339"/>
      <c r="G610" s="339"/>
      <c r="H610" s="339"/>
      <c r="I610" s="339"/>
      <c r="J610" s="339"/>
      <c r="K610" s="339"/>
      <c r="L610" s="340"/>
      <c r="M610" s="339"/>
      <c r="N610" s="340"/>
      <c r="O610" s="339"/>
      <c r="P610" s="340"/>
      <c r="Q610" s="339"/>
      <c r="R610" s="340"/>
      <c r="S610" s="339"/>
      <c r="T610" s="340"/>
      <c r="U610" s="339"/>
      <c r="V610" s="340"/>
      <c r="W610" s="339"/>
      <c r="X610" s="339"/>
      <c r="Y610" s="339"/>
      <c r="Z610" s="340"/>
      <c r="AA610" s="339"/>
      <c r="AB610" s="339"/>
      <c r="AC610" s="339"/>
      <c r="AD610" s="339"/>
    </row>
    <row r="611" spans="1:30" ht="15.75" customHeight="1">
      <c r="A611" s="339"/>
      <c r="B611" s="339"/>
      <c r="C611" s="339"/>
      <c r="D611" s="339"/>
      <c r="E611" s="339"/>
      <c r="F611" s="339"/>
      <c r="G611" s="339"/>
      <c r="H611" s="339"/>
      <c r="I611" s="339"/>
      <c r="J611" s="339"/>
      <c r="K611" s="339"/>
      <c r="L611" s="340"/>
      <c r="M611" s="339"/>
      <c r="N611" s="340"/>
      <c r="O611" s="339"/>
      <c r="P611" s="340"/>
      <c r="Q611" s="339"/>
      <c r="R611" s="340"/>
      <c r="S611" s="339"/>
      <c r="T611" s="340"/>
      <c r="U611" s="339"/>
      <c r="V611" s="340"/>
      <c r="W611" s="339"/>
      <c r="X611" s="339"/>
      <c r="Y611" s="339"/>
      <c r="Z611" s="340"/>
      <c r="AA611" s="339"/>
      <c r="AB611" s="339"/>
      <c r="AC611" s="339"/>
      <c r="AD611" s="339"/>
    </row>
    <row r="612" spans="1:30" ht="15.75" customHeight="1">
      <c r="A612" s="339"/>
      <c r="B612" s="339"/>
      <c r="C612" s="339"/>
      <c r="D612" s="339"/>
      <c r="E612" s="339"/>
      <c r="F612" s="339"/>
      <c r="G612" s="339"/>
      <c r="H612" s="339"/>
      <c r="I612" s="339"/>
      <c r="J612" s="339"/>
      <c r="K612" s="339"/>
      <c r="L612" s="340"/>
      <c r="M612" s="339"/>
      <c r="N612" s="340"/>
      <c r="O612" s="339"/>
      <c r="P612" s="340"/>
      <c r="Q612" s="339"/>
      <c r="R612" s="340"/>
      <c r="S612" s="339"/>
      <c r="T612" s="340"/>
      <c r="U612" s="339"/>
      <c r="V612" s="340"/>
      <c r="W612" s="339"/>
      <c r="X612" s="339"/>
      <c r="Y612" s="339"/>
      <c r="Z612" s="340"/>
      <c r="AA612" s="339"/>
      <c r="AB612" s="339"/>
      <c r="AC612" s="339"/>
      <c r="AD612" s="339"/>
    </row>
    <row r="613" spans="1:30" ht="15.75" customHeight="1">
      <c r="A613" s="339"/>
      <c r="B613" s="339"/>
      <c r="C613" s="339"/>
      <c r="D613" s="339"/>
      <c r="E613" s="339"/>
      <c r="F613" s="339"/>
      <c r="G613" s="339"/>
      <c r="H613" s="339"/>
      <c r="I613" s="339"/>
      <c r="J613" s="339"/>
      <c r="K613" s="339"/>
      <c r="L613" s="340"/>
      <c r="M613" s="339"/>
      <c r="N613" s="340"/>
      <c r="O613" s="339"/>
      <c r="P613" s="340"/>
      <c r="Q613" s="339"/>
      <c r="R613" s="340"/>
      <c r="S613" s="339"/>
      <c r="T613" s="340"/>
      <c r="U613" s="339"/>
      <c r="V613" s="340"/>
      <c r="W613" s="339"/>
      <c r="X613" s="339"/>
      <c r="Y613" s="339"/>
      <c r="Z613" s="340"/>
      <c r="AA613" s="339"/>
      <c r="AB613" s="339"/>
      <c r="AC613" s="339"/>
      <c r="AD613" s="339"/>
    </row>
    <row r="614" spans="1:30" ht="15.75" customHeight="1">
      <c r="A614" s="339"/>
      <c r="B614" s="339"/>
      <c r="C614" s="339"/>
      <c r="D614" s="339"/>
      <c r="E614" s="339"/>
      <c r="F614" s="339"/>
      <c r="G614" s="339"/>
      <c r="H614" s="339"/>
      <c r="I614" s="339"/>
      <c r="J614" s="339"/>
      <c r="K614" s="339"/>
      <c r="L614" s="340"/>
      <c r="M614" s="339"/>
      <c r="N614" s="340"/>
      <c r="O614" s="339"/>
      <c r="P614" s="340"/>
      <c r="Q614" s="339"/>
      <c r="R614" s="340"/>
      <c r="S614" s="339"/>
      <c r="T614" s="340"/>
      <c r="U614" s="339"/>
      <c r="V614" s="340"/>
      <c r="W614" s="339"/>
      <c r="X614" s="339"/>
      <c r="Y614" s="339"/>
      <c r="Z614" s="340"/>
      <c r="AA614" s="339"/>
      <c r="AB614" s="339"/>
      <c r="AC614" s="339"/>
      <c r="AD614" s="339"/>
    </row>
    <row r="615" spans="1:30" ht="15.75" customHeight="1">
      <c r="A615" s="339"/>
      <c r="B615" s="339"/>
      <c r="C615" s="339"/>
      <c r="D615" s="339"/>
      <c r="E615" s="339"/>
      <c r="F615" s="339"/>
      <c r="G615" s="339"/>
      <c r="H615" s="339"/>
      <c r="I615" s="339"/>
      <c r="J615" s="339"/>
      <c r="K615" s="339"/>
      <c r="L615" s="340"/>
      <c r="M615" s="339"/>
      <c r="N615" s="340"/>
      <c r="O615" s="339"/>
      <c r="P615" s="340"/>
      <c r="Q615" s="339"/>
      <c r="R615" s="340"/>
      <c r="S615" s="339"/>
      <c r="T615" s="340"/>
      <c r="U615" s="339"/>
      <c r="V615" s="340"/>
      <c r="W615" s="339"/>
      <c r="X615" s="339"/>
      <c r="Y615" s="339"/>
      <c r="Z615" s="340"/>
      <c r="AA615" s="339"/>
      <c r="AB615" s="339"/>
      <c r="AC615" s="339"/>
      <c r="AD615" s="339"/>
    </row>
    <row r="616" spans="1:30" ht="15.75" customHeight="1">
      <c r="A616" s="339"/>
      <c r="B616" s="339"/>
      <c r="C616" s="339"/>
      <c r="D616" s="339"/>
      <c r="E616" s="339"/>
      <c r="F616" s="339"/>
      <c r="G616" s="339"/>
      <c r="H616" s="339"/>
      <c r="I616" s="339"/>
      <c r="J616" s="339"/>
      <c r="K616" s="339"/>
      <c r="L616" s="340"/>
      <c r="M616" s="339"/>
      <c r="N616" s="340"/>
      <c r="O616" s="339"/>
      <c r="P616" s="340"/>
      <c r="Q616" s="339"/>
      <c r="R616" s="340"/>
      <c r="S616" s="339"/>
      <c r="T616" s="340"/>
      <c r="U616" s="339"/>
      <c r="V616" s="340"/>
      <c r="W616" s="339"/>
      <c r="X616" s="339"/>
      <c r="Y616" s="339"/>
      <c r="Z616" s="340"/>
      <c r="AA616" s="339"/>
      <c r="AB616" s="339"/>
      <c r="AC616" s="339"/>
      <c r="AD616" s="339"/>
    </row>
    <row r="617" spans="1:30" ht="15.75" customHeight="1">
      <c r="A617" s="339"/>
      <c r="B617" s="339"/>
      <c r="C617" s="339"/>
      <c r="D617" s="339"/>
      <c r="E617" s="339"/>
      <c r="F617" s="339"/>
      <c r="G617" s="339"/>
      <c r="H617" s="339"/>
      <c r="I617" s="339"/>
      <c r="J617" s="339"/>
      <c r="K617" s="339"/>
      <c r="L617" s="340"/>
      <c r="M617" s="339"/>
      <c r="N617" s="340"/>
      <c r="O617" s="339"/>
      <c r="P617" s="340"/>
      <c r="Q617" s="339"/>
      <c r="R617" s="340"/>
      <c r="S617" s="339"/>
      <c r="T617" s="340"/>
      <c r="U617" s="339"/>
      <c r="V617" s="340"/>
      <c r="W617" s="339"/>
      <c r="X617" s="339"/>
      <c r="Y617" s="339"/>
      <c r="Z617" s="340"/>
      <c r="AA617" s="339"/>
      <c r="AB617" s="339"/>
      <c r="AC617" s="339"/>
      <c r="AD617" s="339"/>
    </row>
    <row r="618" spans="1:30" ht="15.75" customHeight="1">
      <c r="A618" s="339"/>
      <c r="B618" s="339"/>
      <c r="C618" s="339"/>
      <c r="D618" s="339"/>
      <c r="E618" s="339"/>
      <c r="F618" s="339"/>
      <c r="G618" s="339"/>
      <c r="H618" s="339"/>
      <c r="I618" s="339"/>
      <c r="J618" s="339"/>
      <c r="K618" s="339"/>
      <c r="L618" s="340"/>
      <c r="M618" s="339"/>
      <c r="N618" s="340"/>
      <c r="O618" s="339"/>
      <c r="P618" s="340"/>
      <c r="Q618" s="339"/>
      <c r="R618" s="340"/>
      <c r="S618" s="339"/>
      <c r="T618" s="340"/>
      <c r="U618" s="339"/>
      <c r="V618" s="340"/>
      <c r="W618" s="339"/>
      <c r="X618" s="339"/>
      <c r="Y618" s="339"/>
      <c r="Z618" s="340"/>
      <c r="AA618" s="339"/>
      <c r="AB618" s="339"/>
      <c r="AC618" s="339"/>
      <c r="AD618" s="339"/>
    </row>
    <row r="619" spans="1:30" ht="15.75" customHeight="1">
      <c r="A619" s="339"/>
      <c r="B619" s="339"/>
      <c r="C619" s="339"/>
      <c r="D619" s="339"/>
      <c r="E619" s="339"/>
      <c r="F619" s="339"/>
      <c r="G619" s="339"/>
      <c r="H619" s="339"/>
      <c r="I619" s="339"/>
      <c r="J619" s="339"/>
      <c r="K619" s="339"/>
      <c r="L619" s="340"/>
      <c r="M619" s="339"/>
      <c r="N619" s="340"/>
      <c r="O619" s="339"/>
      <c r="P619" s="340"/>
      <c r="Q619" s="339"/>
      <c r="R619" s="340"/>
      <c r="S619" s="339"/>
      <c r="T619" s="340"/>
      <c r="U619" s="339"/>
      <c r="V619" s="340"/>
      <c r="W619" s="339"/>
      <c r="X619" s="339"/>
      <c r="Y619" s="339"/>
      <c r="Z619" s="340"/>
      <c r="AA619" s="339"/>
      <c r="AB619" s="339"/>
      <c r="AC619" s="339"/>
      <c r="AD619" s="339"/>
    </row>
    <row r="620" spans="1:30" ht="15.75" customHeight="1">
      <c r="A620" s="339"/>
      <c r="B620" s="339"/>
      <c r="C620" s="339"/>
      <c r="D620" s="339"/>
      <c r="E620" s="339"/>
      <c r="F620" s="339"/>
      <c r="G620" s="339"/>
      <c r="H620" s="339"/>
      <c r="I620" s="339"/>
      <c r="J620" s="339"/>
      <c r="K620" s="339"/>
      <c r="L620" s="340"/>
      <c r="M620" s="339"/>
      <c r="N620" s="340"/>
      <c r="O620" s="339"/>
      <c r="P620" s="340"/>
      <c r="Q620" s="339"/>
      <c r="R620" s="340"/>
      <c r="S620" s="339"/>
      <c r="T620" s="340"/>
      <c r="U620" s="339"/>
      <c r="V620" s="340"/>
      <c r="W620" s="339"/>
      <c r="X620" s="339"/>
      <c r="Y620" s="339"/>
      <c r="Z620" s="340"/>
      <c r="AA620" s="339"/>
      <c r="AB620" s="339"/>
      <c r="AC620" s="339"/>
      <c r="AD620" s="339"/>
    </row>
    <row r="621" spans="1:30" ht="15.75" customHeight="1">
      <c r="A621" s="339"/>
      <c r="B621" s="339"/>
      <c r="C621" s="339"/>
      <c r="D621" s="339"/>
      <c r="E621" s="339"/>
      <c r="F621" s="339"/>
      <c r="G621" s="339"/>
      <c r="H621" s="339"/>
      <c r="I621" s="339"/>
      <c r="J621" s="339"/>
      <c r="K621" s="339"/>
      <c r="L621" s="340"/>
      <c r="M621" s="339"/>
      <c r="N621" s="340"/>
      <c r="O621" s="339"/>
      <c r="P621" s="340"/>
      <c r="Q621" s="339"/>
      <c r="R621" s="340"/>
      <c r="S621" s="339"/>
      <c r="T621" s="340"/>
      <c r="U621" s="339"/>
      <c r="V621" s="340"/>
      <c r="W621" s="339"/>
      <c r="X621" s="339"/>
      <c r="Y621" s="339"/>
      <c r="Z621" s="340"/>
      <c r="AA621" s="339"/>
      <c r="AB621" s="339"/>
      <c r="AC621" s="339"/>
      <c r="AD621" s="339"/>
    </row>
    <row r="622" spans="1:30" ht="15.75" customHeight="1">
      <c r="A622" s="339"/>
      <c r="B622" s="339"/>
      <c r="C622" s="339"/>
      <c r="D622" s="339"/>
      <c r="E622" s="339"/>
      <c r="F622" s="339"/>
      <c r="G622" s="339"/>
      <c r="H622" s="339"/>
      <c r="I622" s="339"/>
      <c r="J622" s="339"/>
      <c r="K622" s="339"/>
      <c r="L622" s="340"/>
      <c r="M622" s="339"/>
      <c r="N622" s="340"/>
      <c r="O622" s="339"/>
      <c r="P622" s="340"/>
      <c r="Q622" s="339"/>
      <c r="R622" s="340"/>
      <c r="S622" s="339"/>
      <c r="T622" s="340"/>
      <c r="U622" s="339"/>
      <c r="V622" s="340"/>
      <c r="W622" s="339"/>
      <c r="X622" s="339"/>
      <c r="Y622" s="339"/>
      <c r="Z622" s="340"/>
      <c r="AA622" s="339"/>
      <c r="AB622" s="339"/>
      <c r="AC622" s="339"/>
      <c r="AD622" s="339"/>
    </row>
    <row r="623" spans="1:30" ht="15.75" customHeight="1">
      <c r="A623" s="339"/>
      <c r="B623" s="339"/>
      <c r="C623" s="339"/>
      <c r="D623" s="339"/>
      <c r="E623" s="339"/>
      <c r="F623" s="339"/>
      <c r="G623" s="339"/>
      <c r="H623" s="339"/>
      <c r="I623" s="339"/>
      <c r="J623" s="339"/>
      <c r="K623" s="339"/>
      <c r="L623" s="340"/>
      <c r="M623" s="339"/>
      <c r="N623" s="340"/>
      <c r="O623" s="339"/>
      <c r="P623" s="340"/>
      <c r="Q623" s="339"/>
      <c r="R623" s="340"/>
      <c r="S623" s="339"/>
      <c r="T623" s="340"/>
      <c r="U623" s="339"/>
      <c r="V623" s="340"/>
      <c r="W623" s="339"/>
      <c r="X623" s="339"/>
      <c r="Y623" s="339"/>
      <c r="Z623" s="340"/>
      <c r="AA623" s="339"/>
      <c r="AB623" s="339"/>
      <c r="AC623" s="339"/>
      <c r="AD623" s="339"/>
    </row>
    <row r="624" spans="1:30" ht="15.75" customHeight="1">
      <c r="A624" s="339"/>
      <c r="B624" s="339"/>
      <c r="C624" s="339"/>
      <c r="D624" s="339"/>
      <c r="E624" s="339"/>
      <c r="F624" s="339"/>
      <c r="G624" s="339"/>
      <c r="H624" s="339"/>
      <c r="I624" s="339"/>
      <c r="J624" s="339"/>
      <c r="K624" s="339"/>
      <c r="L624" s="340"/>
      <c r="M624" s="339"/>
      <c r="N624" s="340"/>
      <c r="O624" s="339"/>
      <c r="P624" s="340"/>
      <c r="Q624" s="339"/>
      <c r="R624" s="340"/>
      <c r="S624" s="339"/>
      <c r="T624" s="340"/>
      <c r="U624" s="339"/>
      <c r="V624" s="340"/>
      <c r="W624" s="339"/>
      <c r="X624" s="339"/>
      <c r="Y624" s="339"/>
      <c r="Z624" s="340"/>
      <c r="AA624" s="339"/>
      <c r="AB624" s="339"/>
      <c r="AC624" s="339"/>
      <c r="AD624" s="339"/>
    </row>
    <row r="625" spans="1:30" ht="15.75" customHeight="1">
      <c r="A625" s="339"/>
      <c r="B625" s="339"/>
      <c r="C625" s="339"/>
      <c r="D625" s="339"/>
      <c r="E625" s="339"/>
      <c r="F625" s="339"/>
      <c r="G625" s="339"/>
      <c r="H625" s="339"/>
      <c r="I625" s="339"/>
      <c r="J625" s="339"/>
      <c r="K625" s="339"/>
      <c r="L625" s="340"/>
      <c r="M625" s="339"/>
      <c r="N625" s="340"/>
      <c r="O625" s="339"/>
      <c r="P625" s="340"/>
      <c r="Q625" s="339"/>
      <c r="R625" s="340"/>
      <c r="S625" s="339"/>
      <c r="T625" s="340"/>
      <c r="U625" s="339"/>
      <c r="V625" s="340"/>
      <c r="W625" s="339"/>
      <c r="X625" s="339"/>
      <c r="Y625" s="339"/>
      <c r="Z625" s="340"/>
      <c r="AA625" s="339"/>
      <c r="AB625" s="339"/>
      <c r="AC625" s="339"/>
      <c r="AD625" s="339"/>
    </row>
    <row r="626" spans="1:30" ht="15.75" customHeight="1">
      <c r="A626" s="339"/>
      <c r="B626" s="339"/>
      <c r="C626" s="339"/>
      <c r="D626" s="339"/>
      <c r="E626" s="339"/>
      <c r="F626" s="339"/>
      <c r="G626" s="339"/>
      <c r="H626" s="339"/>
      <c r="I626" s="339"/>
      <c r="J626" s="339"/>
      <c r="K626" s="339"/>
      <c r="L626" s="340"/>
      <c r="M626" s="339"/>
      <c r="N626" s="340"/>
      <c r="O626" s="339"/>
      <c r="P626" s="340"/>
      <c r="Q626" s="339"/>
      <c r="R626" s="340"/>
      <c r="S626" s="339"/>
      <c r="T626" s="340"/>
      <c r="U626" s="339"/>
      <c r="V626" s="340"/>
      <c r="W626" s="339"/>
      <c r="X626" s="339"/>
      <c r="Y626" s="339"/>
      <c r="Z626" s="340"/>
      <c r="AA626" s="339"/>
      <c r="AB626" s="339"/>
      <c r="AC626" s="339"/>
      <c r="AD626" s="339"/>
    </row>
    <row r="627" spans="1:30" ht="15.75" customHeight="1">
      <c r="A627" s="339"/>
      <c r="B627" s="339"/>
      <c r="C627" s="339"/>
      <c r="D627" s="339"/>
      <c r="E627" s="339"/>
      <c r="F627" s="339"/>
      <c r="G627" s="339"/>
      <c r="H627" s="339"/>
      <c r="I627" s="339"/>
      <c r="J627" s="339"/>
      <c r="K627" s="339"/>
      <c r="L627" s="340"/>
      <c r="M627" s="339"/>
      <c r="N627" s="340"/>
      <c r="O627" s="339"/>
      <c r="P627" s="340"/>
      <c r="Q627" s="339"/>
      <c r="R627" s="340"/>
      <c r="S627" s="339"/>
      <c r="T627" s="340"/>
      <c r="U627" s="339"/>
      <c r="V627" s="340"/>
      <c r="W627" s="339"/>
      <c r="X627" s="339"/>
      <c r="Y627" s="339"/>
      <c r="Z627" s="340"/>
      <c r="AA627" s="339"/>
      <c r="AB627" s="339"/>
      <c r="AC627" s="339"/>
      <c r="AD627" s="339"/>
    </row>
    <row r="628" spans="1:30" ht="15.75" customHeight="1">
      <c r="A628" s="339"/>
      <c r="B628" s="339"/>
      <c r="C628" s="339"/>
      <c r="D628" s="339"/>
      <c r="E628" s="339"/>
      <c r="F628" s="339"/>
      <c r="G628" s="339"/>
      <c r="H628" s="339"/>
      <c r="I628" s="339"/>
      <c r="J628" s="339"/>
      <c r="K628" s="339"/>
      <c r="L628" s="340"/>
      <c r="M628" s="339"/>
      <c r="N628" s="340"/>
      <c r="O628" s="339"/>
      <c r="P628" s="340"/>
      <c r="Q628" s="339"/>
      <c r="R628" s="340"/>
      <c r="S628" s="339"/>
      <c r="T628" s="340"/>
      <c r="U628" s="339"/>
      <c r="V628" s="340"/>
      <c r="W628" s="339"/>
      <c r="X628" s="339"/>
      <c r="Y628" s="339"/>
      <c r="Z628" s="340"/>
      <c r="AA628" s="339"/>
      <c r="AB628" s="339"/>
      <c r="AC628" s="339"/>
      <c r="AD628" s="339"/>
    </row>
    <row r="629" spans="1:30" ht="15.75" customHeight="1">
      <c r="A629" s="339"/>
      <c r="B629" s="339"/>
      <c r="C629" s="339"/>
      <c r="D629" s="339"/>
      <c r="E629" s="339"/>
      <c r="F629" s="339"/>
      <c r="G629" s="339"/>
      <c r="H629" s="339"/>
      <c r="I629" s="339"/>
      <c r="J629" s="339"/>
      <c r="K629" s="339"/>
      <c r="L629" s="340"/>
      <c r="M629" s="339"/>
      <c r="N629" s="340"/>
      <c r="O629" s="339"/>
      <c r="P629" s="340"/>
      <c r="Q629" s="339"/>
      <c r="R629" s="340"/>
      <c r="S629" s="339"/>
      <c r="T629" s="340"/>
      <c r="U629" s="339"/>
      <c r="V629" s="340"/>
      <c r="W629" s="339"/>
      <c r="X629" s="339"/>
      <c r="Y629" s="339"/>
      <c r="Z629" s="340"/>
      <c r="AA629" s="339"/>
      <c r="AB629" s="339"/>
      <c r="AC629" s="339"/>
      <c r="AD629" s="339"/>
    </row>
    <row r="630" spans="1:30" ht="15.75" customHeight="1">
      <c r="A630" s="339"/>
      <c r="B630" s="339"/>
      <c r="C630" s="339"/>
      <c r="D630" s="339"/>
      <c r="E630" s="339"/>
      <c r="F630" s="339"/>
      <c r="G630" s="339"/>
      <c r="H630" s="339"/>
      <c r="I630" s="339"/>
      <c r="J630" s="339"/>
      <c r="K630" s="339"/>
      <c r="L630" s="340"/>
      <c r="M630" s="339"/>
      <c r="N630" s="340"/>
      <c r="O630" s="339"/>
      <c r="P630" s="340"/>
      <c r="Q630" s="339"/>
      <c r="R630" s="340"/>
      <c r="S630" s="339"/>
      <c r="T630" s="340"/>
      <c r="U630" s="339"/>
      <c r="V630" s="340"/>
      <c r="W630" s="339"/>
      <c r="X630" s="339"/>
      <c r="Y630" s="339"/>
      <c r="Z630" s="340"/>
      <c r="AA630" s="339"/>
      <c r="AB630" s="339"/>
      <c r="AC630" s="339"/>
      <c r="AD630" s="339"/>
    </row>
    <row r="631" spans="1:30" ht="15.75" customHeight="1">
      <c r="A631" s="339"/>
      <c r="B631" s="339"/>
      <c r="C631" s="339"/>
      <c r="D631" s="339"/>
      <c r="E631" s="339"/>
      <c r="F631" s="339"/>
      <c r="G631" s="339"/>
      <c r="H631" s="339"/>
      <c r="I631" s="339"/>
      <c r="J631" s="339"/>
      <c r="K631" s="339"/>
      <c r="L631" s="340"/>
      <c r="M631" s="339"/>
      <c r="N631" s="340"/>
      <c r="O631" s="339"/>
      <c r="P631" s="340"/>
      <c r="Q631" s="339"/>
      <c r="R631" s="340"/>
      <c r="S631" s="339"/>
      <c r="T631" s="340"/>
      <c r="U631" s="339"/>
      <c r="V631" s="340"/>
      <c r="W631" s="339"/>
      <c r="X631" s="339"/>
      <c r="Y631" s="339"/>
      <c r="Z631" s="340"/>
      <c r="AA631" s="339"/>
      <c r="AB631" s="339"/>
      <c r="AC631" s="339"/>
      <c r="AD631" s="339"/>
    </row>
    <row r="632" spans="1:30" ht="15.75" customHeight="1">
      <c r="A632" s="339"/>
      <c r="B632" s="339"/>
      <c r="C632" s="339"/>
      <c r="D632" s="339"/>
      <c r="E632" s="339"/>
      <c r="F632" s="339"/>
      <c r="G632" s="339"/>
      <c r="H632" s="339"/>
      <c r="I632" s="339"/>
      <c r="J632" s="339"/>
      <c r="K632" s="339"/>
      <c r="L632" s="340"/>
      <c r="M632" s="339"/>
      <c r="N632" s="340"/>
      <c r="O632" s="339"/>
      <c r="P632" s="340"/>
      <c r="Q632" s="339"/>
      <c r="R632" s="340"/>
      <c r="S632" s="339"/>
      <c r="T632" s="340"/>
      <c r="U632" s="339"/>
      <c r="V632" s="340"/>
      <c r="W632" s="339"/>
      <c r="X632" s="339"/>
      <c r="Y632" s="339"/>
      <c r="Z632" s="340"/>
      <c r="AA632" s="339"/>
      <c r="AB632" s="339"/>
      <c r="AC632" s="339"/>
      <c r="AD632" s="339"/>
    </row>
    <row r="633" spans="1:30" ht="15.75" customHeight="1">
      <c r="A633" s="339"/>
      <c r="B633" s="339"/>
      <c r="C633" s="339"/>
      <c r="D633" s="339"/>
      <c r="E633" s="339"/>
      <c r="F633" s="339"/>
      <c r="G633" s="339"/>
      <c r="H633" s="339"/>
      <c r="I633" s="339"/>
      <c r="J633" s="339"/>
      <c r="K633" s="339"/>
      <c r="L633" s="340"/>
      <c r="M633" s="339"/>
      <c r="N633" s="340"/>
      <c r="O633" s="339"/>
      <c r="P633" s="340"/>
      <c r="Q633" s="339"/>
      <c r="R633" s="340"/>
      <c r="S633" s="339"/>
      <c r="T633" s="340"/>
      <c r="U633" s="339"/>
      <c r="V633" s="340"/>
      <c r="W633" s="339"/>
      <c r="X633" s="339"/>
      <c r="Y633" s="339"/>
      <c r="Z633" s="340"/>
      <c r="AA633" s="339"/>
      <c r="AB633" s="339"/>
      <c r="AC633" s="339"/>
      <c r="AD633" s="339"/>
    </row>
    <row r="634" spans="1:30" ht="15.75" customHeight="1">
      <c r="A634" s="339"/>
      <c r="B634" s="339"/>
      <c r="C634" s="339"/>
      <c r="D634" s="339"/>
      <c r="E634" s="339"/>
      <c r="F634" s="339"/>
      <c r="G634" s="339"/>
      <c r="H634" s="339"/>
      <c r="I634" s="339"/>
      <c r="J634" s="339"/>
      <c r="K634" s="339"/>
      <c r="L634" s="340"/>
      <c r="M634" s="339"/>
      <c r="N634" s="340"/>
      <c r="O634" s="339"/>
      <c r="P634" s="340"/>
      <c r="Q634" s="339"/>
      <c r="R634" s="340"/>
      <c r="S634" s="339"/>
      <c r="T634" s="340"/>
      <c r="U634" s="339"/>
      <c r="V634" s="340"/>
      <c r="W634" s="339"/>
      <c r="X634" s="339"/>
      <c r="Y634" s="339"/>
      <c r="Z634" s="340"/>
      <c r="AA634" s="339"/>
      <c r="AB634" s="339"/>
      <c r="AC634" s="339"/>
      <c r="AD634" s="339"/>
    </row>
    <row r="635" spans="1:30" ht="15.75" customHeight="1">
      <c r="A635" s="339"/>
      <c r="B635" s="339"/>
      <c r="C635" s="339"/>
      <c r="D635" s="339"/>
      <c r="E635" s="339"/>
      <c r="F635" s="339"/>
      <c r="G635" s="339"/>
      <c r="H635" s="339"/>
      <c r="I635" s="339"/>
      <c r="J635" s="339"/>
      <c r="K635" s="339"/>
      <c r="L635" s="340"/>
      <c r="M635" s="339"/>
      <c r="N635" s="340"/>
      <c r="O635" s="339"/>
      <c r="P635" s="340"/>
      <c r="Q635" s="339"/>
      <c r="R635" s="340"/>
      <c r="S635" s="339"/>
      <c r="T635" s="340"/>
      <c r="U635" s="339"/>
      <c r="V635" s="340"/>
      <c r="W635" s="339"/>
      <c r="X635" s="339"/>
      <c r="Y635" s="339"/>
      <c r="Z635" s="340"/>
      <c r="AA635" s="339"/>
      <c r="AB635" s="339"/>
      <c r="AC635" s="339"/>
      <c r="AD635" s="339"/>
    </row>
    <row r="636" spans="1:30" ht="15.75" customHeight="1">
      <c r="A636" s="339"/>
      <c r="B636" s="339"/>
      <c r="C636" s="339"/>
      <c r="D636" s="339"/>
      <c r="E636" s="339"/>
      <c r="F636" s="339"/>
      <c r="G636" s="339"/>
      <c r="H636" s="339"/>
      <c r="I636" s="339"/>
      <c r="J636" s="339"/>
      <c r="K636" s="339"/>
      <c r="L636" s="340"/>
      <c r="M636" s="339"/>
      <c r="N636" s="340"/>
      <c r="O636" s="339"/>
      <c r="P636" s="340"/>
      <c r="Q636" s="339"/>
      <c r="R636" s="340"/>
      <c r="S636" s="339"/>
      <c r="T636" s="340"/>
      <c r="U636" s="339"/>
      <c r="V636" s="340"/>
      <c r="W636" s="339"/>
      <c r="X636" s="339"/>
      <c r="Y636" s="339"/>
      <c r="Z636" s="340"/>
      <c r="AA636" s="339"/>
      <c r="AB636" s="339"/>
      <c r="AC636" s="339"/>
      <c r="AD636" s="339"/>
    </row>
    <row r="637" spans="1:30" ht="15.75" customHeight="1">
      <c r="A637" s="339"/>
      <c r="B637" s="339"/>
      <c r="C637" s="339"/>
      <c r="D637" s="339"/>
      <c r="E637" s="339"/>
      <c r="F637" s="339"/>
      <c r="G637" s="339"/>
      <c r="H637" s="339"/>
      <c r="I637" s="339"/>
      <c r="J637" s="339"/>
      <c r="K637" s="339"/>
      <c r="L637" s="340"/>
      <c r="M637" s="339"/>
      <c r="N637" s="340"/>
      <c r="O637" s="339"/>
      <c r="P637" s="340"/>
      <c r="Q637" s="339"/>
      <c r="R637" s="340"/>
      <c r="S637" s="339"/>
      <c r="T637" s="340"/>
      <c r="U637" s="339"/>
      <c r="V637" s="340"/>
      <c r="W637" s="339"/>
      <c r="X637" s="339"/>
      <c r="Y637" s="339"/>
      <c r="Z637" s="340"/>
      <c r="AA637" s="339"/>
      <c r="AB637" s="339"/>
      <c r="AC637" s="339"/>
      <c r="AD637" s="339"/>
    </row>
    <row r="638" spans="1:30" ht="15.75" customHeight="1">
      <c r="A638" s="339"/>
      <c r="B638" s="339"/>
      <c r="C638" s="339"/>
      <c r="D638" s="339"/>
      <c r="E638" s="339"/>
      <c r="F638" s="339"/>
      <c r="G638" s="339"/>
      <c r="H638" s="339"/>
      <c r="I638" s="339"/>
      <c r="J638" s="339"/>
      <c r="K638" s="339"/>
      <c r="L638" s="340"/>
      <c r="M638" s="339"/>
      <c r="N638" s="340"/>
      <c r="O638" s="339"/>
      <c r="P638" s="340"/>
      <c r="Q638" s="339"/>
      <c r="R638" s="340"/>
      <c r="S638" s="339"/>
      <c r="T638" s="340"/>
      <c r="U638" s="339"/>
      <c r="V638" s="340"/>
      <c r="W638" s="339"/>
      <c r="X638" s="339"/>
      <c r="Y638" s="339"/>
      <c r="Z638" s="340"/>
      <c r="AA638" s="339"/>
      <c r="AB638" s="339"/>
      <c r="AC638" s="339"/>
      <c r="AD638" s="339"/>
    </row>
    <row r="639" spans="1:30" ht="15.75" customHeight="1">
      <c r="A639" s="339"/>
      <c r="B639" s="339"/>
      <c r="C639" s="339"/>
      <c r="D639" s="339"/>
      <c r="E639" s="339"/>
      <c r="F639" s="339"/>
      <c r="G639" s="339"/>
      <c r="H639" s="339"/>
      <c r="I639" s="339"/>
      <c r="J639" s="339"/>
      <c r="K639" s="339"/>
      <c r="L639" s="340"/>
      <c r="M639" s="339"/>
      <c r="N639" s="340"/>
      <c r="O639" s="339"/>
      <c r="P639" s="340"/>
      <c r="Q639" s="339"/>
      <c r="R639" s="340"/>
      <c r="S639" s="339"/>
      <c r="T639" s="340"/>
      <c r="U639" s="339"/>
      <c r="V639" s="340"/>
      <c r="W639" s="339"/>
      <c r="X639" s="339"/>
      <c r="Y639" s="339"/>
      <c r="Z639" s="340"/>
      <c r="AA639" s="339"/>
      <c r="AB639" s="339"/>
      <c r="AC639" s="339"/>
      <c r="AD639" s="339"/>
    </row>
    <row r="640" spans="1:30" ht="15.75" customHeight="1">
      <c r="A640" s="339"/>
      <c r="B640" s="339"/>
      <c r="C640" s="339"/>
      <c r="D640" s="339"/>
      <c r="E640" s="339"/>
      <c r="F640" s="339"/>
      <c r="G640" s="339"/>
      <c r="H640" s="339"/>
      <c r="I640" s="339"/>
      <c r="J640" s="339"/>
      <c r="K640" s="339"/>
      <c r="L640" s="340"/>
      <c r="M640" s="339"/>
      <c r="N640" s="340"/>
      <c r="O640" s="339"/>
      <c r="P640" s="340"/>
      <c r="Q640" s="339"/>
      <c r="R640" s="340"/>
      <c r="S640" s="339"/>
      <c r="T640" s="340"/>
      <c r="U640" s="339"/>
      <c r="V640" s="340"/>
      <c r="W640" s="339"/>
      <c r="X640" s="339"/>
      <c r="Y640" s="339"/>
      <c r="Z640" s="340"/>
      <c r="AA640" s="339"/>
      <c r="AB640" s="339"/>
      <c r="AC640" s="339"/>
      <c r="AD640" s="339"/>
    </row>
    <row r="641" spans="1:30" ht="15.75" customHeight="1">
      <c r="A641" s="339"/>
      <c r="B641" s="339"/>
      <c r="C641" s="339"/>
      <c r="D641" s="339"/>
      <c r="E641" s="339"/>
      <c r="F641" s="339"/>
      <c r="G641" s="339"/>
      <c r="H641" s="339"/>
      <c r="I641" s="339"/>
      <c r="J641" s="339"/>
      <c r="K641" s="339"/>
      <c r="L641" s="340"/>
      <c r="M641" s="339"/>
      <c r="N641" s="340"/>
      <c r="O641" s="339"/>
      <c r="P641" s="340"/>
      <c r="Q641" s="339"/>
      <c r="R641" s="340"/>
      <c r="S641" s="339"/>
      <c r="T641" s="340"/>
      <c r="U641" s="339"/>
      <c r="V641" s="340"/>
      <c r="W641" s="339"/>
      <c r="X641" s="339"/>
      <c r="Y641" s="339"/>
      <c r="Z641" s="340"/>
      <c r="AA641" s="339"/>
      <c r="AB641" s="339"/>
      <c r="AC641" s="339"/>
      <c r="AD641" s="339"/>
    </row>
    <row r="642" spans="1:30" ht="15.75" customHeight="1">
      <c r="A642" s="339"/>
      <c r="B642" s="339"/>
      <c r="C642" s="339"/>
      <c r="D642" s="339"/>
      <c r="E642" s="339"/>
      <c r="F642" s="339"/>
      <c r="G642" s="339"/>
      <c r="H642" s="339"/>
      <c r="I642" s="339"/>
      <c r="J642" s="339"/>
      <c r="K642" s="339"/>
      <c r="L642" s="340"/>
      <c r="M642" s="339"/>
      <c r="N642" s="340"/>
      <c r="O642" s="339"/>
      <c r="P642" s="340"/>
      <c r="Q642" s="339"/>
      <c r="R642" s="340"/>
      <c r="S642" s="339"/>
      <c r="T642" s="340"/>
      <c r="U642" s="339"/>
      <c r="V642" s="340"/>
      <c r="W642" s="339"/>
      <c r="X642" s="339"/>
      <c r="Y642" s="339"/>
      <c r="Z642" s="340"/>
      <c r="AA642" s="339"/>
      <c r="AB642" s="339"/>
      <c r="AC642" s="339"/>
      <c r="AD642" s="339"/>
    </row>
    <row r="643" spans="1:30" ht="15.75" customHeight="1">
      <c r="A643" s="339"/>
      <c r="B643" s="339"/>
      <c r="C643" s="339"/>
      <c r="D643" s="339"/>
      <c r="E643" s="339"/>
      <c r="F643" s="339"/>
      <c r="G643" s="339"/>
      <c r="H643" s="339"/>
      <c r="I643" s="339"/>
      <c r="J643" s="339"/>
      <c r="K643" s="339"/>
      <c r="L643" s="340"/>
      <c r="M643" s="339"/>
      <c r="N643" s="340"/>
      <c r="O643" s="339"/>
      <c r="P643" s="340"/>
      <c r="Q643" s="339"/>
      <c r="R643" s="340"/>
      <c r="S643" s="339"/>
      <c r="T643" s="340"/>
      <c r="U643" s="339"/>
      <c r="V643" s="340"/>
      <c r="W643" s="339"/>
      <c r="X643" s="339"/>
      <c r="Y643" s="339"/>
      <c r="Z643" s="340"/>
      <c r="AA643" s="339"/>
      <c r="AB643" s="339"/>
      <c r="AC643" s="339"/>
      <c r="AD643" s="339"/>
    </row>
    <row r="644" spans="1:30" ht="15.75" customHeight="1">
      <c r="A644" s="339"/>
      <c r="B644" s="339"/>
      <c r="C644" s="339"/>
      <c r="D644" s="339"/>
      <c r="E644" s="339"/>
      <c r="F644" s="339"/>
      <c r="G644" s="339"/>
      <c r="H644" s="339"/>
      <c r="I644" s="339"/>
      <c r="J644" s="339"/>
      <c r="K644" s="339"/>
      <c r="L644" s="340"/>
      <c r="M644" s="339"/>
      <c r="N644" s="340"/>
      <c r="O644" s="339"/>
      <c r="P644" s="340"/>
      <c r="Q644" s="339"/>
      <c r="R644" s="340"/>
      <c r="S644" s="339"/>
      <c r="T644" s="340"/>
      <c r="U644" s="339"/>
      <c r="V644" s="340"/>
      <c r="W644" s="339"/>
      <c r="X644" s="339"/>
      <c r="Y644" s="339"/>
      <c r="Z644" s="340"/>
      <c r="AA644" s="339"/>
      <c r="AB644" s="339"/>
      <c r="AC644" s="339"/>
      <c r="AD644" s="339"/>
    </row>
    <row r="645" spans="1:30" ht="15.75" customHeight="1">
      <c r="A645" s="339"/>
      <c r="B645" s="339"/>
      <c r="C645" s="339"/>
      <c r="D645" s="339"/>
      <c r="E645" s="339"/>
      <c r="F645" s="339"/>
      <c r="G645" s="339"/>
      <c r="H645" s="339"/>
      <c r="I645" s="339"/>
      <c r="J645" s="339"/>
      <c r="K645" s="339"/>
      <c r="L645" s="340"/>
      <c r="M645" s="339"/>
      <c r="N645" s="340"/>
      <c r="O645" s="339"/>
      <c r="P645" s="340"/>
      <c r="Q645" s="339"/>
      <c r="R645" s="340"/>
      <c r="S645" s="339"/>
      <c r="T645" s="340"/>
      <c r="U645" s="339"/>
      <c r="V645" s="340"/>
      <c r="W645" s="339"/>
      <c r="X645" s="339"/>
      <c r="Y645" s="339"/>
      <c r="Z645" s="340"/>
      <c r="AA645" s="339"/>
      <c r="AB645" s="339"/>
      <c r="AC645" s="339"/>
      <c r="AD645" s="339"/>
    </row>
    <row r="646" spans="1:30" ht="15.75" customHeight="1">
      <c r="A646" s="339"/>
      <c r="B646" s="339"/>
      <c r="C646" s="339"/>
      <c r="D646" s="339"/>
      <c r="E646" s="339"/>
      <c r="F646" s="339"/>
      <c r="G646" s="339"/>
      <c r="H646" s="339"/>
      <c r="I646" s="339"/>
      <c r="J646" s="339"/>
      <c r="K646" s="339"/>
      <c r="L646" s="340"/>
      <c r="M646" s="339"/>
      <c r="N646" s="340"/>
      <c r="O646" s="339"/>
      <c r="P646" s="340"/>
      <c r="Q646" s="339"/>
      <c r="R646" s="340"/>
      <c r="S646" s="339"/>
      <c r="T646" s="340"/>
      <c r="U646" s="339"/>
      <c r="V646" s="340"/>
      <c r="W646" s="339"/>
      <c r="X646" s="339"/>
      <c r="Y646" s="339"/>
      <c r="Z646" s="340"/>
      <c r="AA646" s="339"/>
      <c r="AB646" s="339"/>
      <c r="AC646" s="339"/>
      <c r="AD646" s="339"/>
    </row>
    <row r="647" spans="1:30" ht="15.75" customHeight="1">
      <c r="A647" s="339"/>
      <c r="B647" s="339"/>
      <c r="C647" s="339"/>
      <c r="D647" s="339"/>
      <c r="E647" s="339"/>
      <c r="F647" s="339"/>
      <c r="G647" s="339"/>
      <c r="H647" s="339"/>
      <c r="I647" s="339"/>
      <c r="J647" s="339"/>
      <c r="K647" s="339"/>
      <c r="L647" s="340"/>
      <c r="M647" s="339"/>
      <c r="N647" s="340"/>
      <c r="O647" s="339"/>
      <c r="P647" s="340"/>
      <c r="Q647" s="339"/>
      <c r="R647" s="340"/>
      <c r="S647" s="339"/>
      <c r="T647" s="340"/>
      <c r="U647" s="339"/>
      <c r="V647" s="340"/>
      <c r="W647" s="339"/>
      <c r="X647" s="339"/>
      <c r="Y647" s="339"/>
      <c r="Z647" s="340"/>
      <c r="AA647" s="339"/>
      <c r="AB647" s="339"/>
      <c r="AC647" s="339"/>
      <c r="AD647" s="339"/>
    </row>
    <row r="648" spans="1:30" ht="15.75" customHeight="1">
      <c r="A648" s="339"/>
      <c r="B648" s="339"/>
      <c r="C648" s="339"/>
      <c r="D648" s="339"/>
      <c r="E648" s="339"/>
      <c r="F648" s="339"/>
      <c r="G648" s="339"/>
      <c r="H648" s="339"/>
      <c r="I648" s="339"/>
      <c r="J648" s="339"/>
      <c r="K648" s="339"/>
      <c r="L648" s="340"/>
      <c r="M648" s="339"/>
      <c r="N648" s="340"/>
      <c r="O648" s="339"/>
      <c r="P648" s="340"/>
      <c r="Q648" s="339"/>
      <c r="R648" s="340"/>
      <c r="S648" s="339"/>
      <c r="T648" s="340"/>
      <c r="U648" s="339"/>
      <c r="V648" s="340"/>
      <c r="W648" s="339"/>
      <c r="X648" s="339"/>
      <c r="Y648" s="339"/>
      <c r="Z648" s="340"/>
      <c r="AA648" s="339"/>
      <c r="AB648" s="339"/>
      <c r="AC648" s="339"/>
      <c r="AD648" s="339"/>
    </row>
    <row r="649" spans="1:30" ht="15.75" customHeight="1">
      <c r="A649" s="339"/>
      <c r="B649" s="339"/>
      <c r="C649" s="339"/>
      <c r="D649" s="339"/>
      <c r="E649" s="339"/>
      <c r="F649" s="339"/>
      <c r="G649" s="339"/>
      <c r="H649" s="339"/>
      <c r="I649" s="339"/>
      <c r="J649" s="339"/>
      <c r="K649" s="339"/>
      <c r="L649" s="340"/>
      <c r="M649" s="339"/>
      <c r="N649" s="340"/>
      <c r="O649" s="339"/>
      <c r="P649" s="340"/>
      <c r="Q649" s="339"/>
      <c r="R649" s="340"/>
      <c r="S649" s="339"/>
      <c r="T649" s="340"/>
      <c r="U649" s="339"/>
      <c r="V649" s="340"/>
      <c r="W649" s="339"/>
      <c r="X649" s="339"/>
      <c r="Y649" s="339"/>
      <c r="Z649" s="340"/>
      <c r="AA649" s="339"/>
      <c r="AB649" s="339"/>
      <c r="AC649" s="339"/>
      <c r="AD649" s="339"/>
    </row>
    <row r="650" spans="1:30" ht="15.75" customHeight="1">
      <c r="A650" s="339"/>
      <c r="B650" s="339"/>
      <c r="C650" s="339"/>
      <c r="D650" s="339"/>
      <c r="E650" s="339"/>
      <c r="F650" s="339"/>
      <c r="G650" s="339"/>
      <c r="H650" s="339"/>
      <c r="I650" s="339"/>
      <c r="J650" s="339"/>
      <c r="K650" s="339"/>
      <c r="L650" s="340"/>
      <c r="M650" s="339"/>
      <c r="N650" s="340"/>
      <c r="O650" s="339"/>
      <c r="P650" s="340"/>
      <c r="Q650" s="339"/>
      <c r="R650" s="340"/>
      <c r="S650" s="339"/>
      <c r="T650" s="340"/>
      <c r="U650" s="339"/>
      <c r="V650" s="340"/>
      <c r="W650" s="339"/>
      <c r="X650" s="339"/>
      <c r="Y650" s="339"/>
      <c r="Z650" s="340"/>
      <c r="AA650" s="339"/>
      <c r="AB650" s="339"/>
      <c r="AC650" s="339"/>
      <c r="AD650" s="339"/>
    </row>
    <row r="651" spans="1:30" ht="15.75" customHeight="1">
      <c r="A651" s="339"/>
      <c r="B651" s="339"/>
      <c r="C651" s="339"/>
      <c r="D651" s="339"/>
      <c r="E651" s="339"/>
      <c r="F651" s="339"/>
      <c r="G651" s="339"/>
      <c r="H651" s="339"/>
      <c r="I651" s="339"/>
      <c r="J651" s="339"/>
      <c r="K651" s="339"/>
      <c r="L651" s="340"/>
      <c r="M651" s="339"/>
      <c r="N651" s="340"/>
      <c r="O651" s="339"/>
      <c r="P651" s="340"/>
      <c r="Q651" s="339"/>
      <c r="R651" s="340"/>
      <c r="S651" s="339"/>
      <c r="T651" s="340"/>
      <c r="U651" s="339"/>
      <c r="V651" s="340"/>
      <c r="W651" s="339"/>
      <c r="X651" s="339"/>
      <c r="Y651" s="339"/>
      <c r="Z651" s="340"/>
      <c r="AA651" s="339"/>
      <c r="AB651" s="339"/>
      <c r="AC651" s="339"/>
      <c r="AD651" s="339"/>
    </row>
    <row r="652" spans="1:30" ht="15.75" customHeight="1">
      <c r="A652" s="339"/>
      <c r="B652" s="339"/>
      <c r="C652" s="339"/>
      <c r="D652" s="339"/>
      <c r="E652" s="339"/>
      <c r="F652" s="339"/>
      <c r="G652" s="339"/>
      <c r="H652" s="339"/>
      <c r="I652" s="339"/>
      <c r="J652" s="339"/>
      <c r="K652" s="339"/>
      <c r="L652" s="340"/>
      <c r="M652" s="339"/>
      <c r="N652" s="340"/>
      <c r="O652" s="339"/>
      <c r="P652" s="340"/>
      <c r="Q652" s="339"/>
      <c r="R652" s="340"/>
      <c r="S652" s="339"/>
      <c r="T652" s="340"/>
      <c r="U652" s="339"/>
      <c r="V652" s="340"/>
      <c r="W652" s="339"/>
      <c r="X652" s="339"/>
      <c r="Y652" s="339"/>
      <c r="Z652" s="340"/>
      <c r="AA652" s="339"/>
      <c r="AB652" s="339"/>
      <c r="AC652" s="339"/>
      <c r="AD652" s="339"/>
    </row>
    <row r="653" spans="1:30" ht="15.75" customHeight="1">
      <c r="A653" s="339"/>
      <c r="B653" s="339"/>
      <c r="C653" s="339"/>
      <c r="D653" s="339"/>
      <c r="E653" s="339"/>
      <c r="F653" s="339"/>
      <c r="G653" s="339"/>
      <c r="H653" s="339"/>
      <c r="I653" s="339"/>
      <c r="J653" s="339"/>
      <c r="K653" s="339"/>
      <c r="L653" s="340"/>
      <c r="M653" s="339"/>
      <c r="N653" s="340"/>
      <c r="O653" s="339"/>
      <c r="P653" s="340"/>
      <c r="Q653" s="339"/>
      <c r="R653" s="340"/>
      <c r="S653" s="339"/>
      <c r="T653" s="340"/>
      <c r="U653" s="339"/>
      <c r="V653" s="340"/>
      <c r="W653" s="339"/>
      <c r="X653" s="339"/>
      <c r="Y653" s="339"/>
      <c r="Z653" s="340"/>
      <c r="AA653" s="339"/>
      <c r="AB653" s="339"/>
      <c r="AC653" s="339"/>
      <c r="AD653" s="339"/>
    </row>
    <row r="654" spans="1:30" ht="15.75" customHeight="1">
      <c r="A654" s="339"/>
      <c r="B654" s="339"/>
      <c r="C654" s="339"/>
      <c r="D654" s="339"/>
      <c r="E654" s="339"/>
      <c r="F654" s="339"/>
      <c r="G654" s="339"/>
      <c r="H654" s="339"/>
      <c r="I654" s="339"/>
      <c r="J654" s="339"/>
      <c r="K654" s="339"/>
      <c r="L654" s="340"/>
      <c r="M654" s="339"/>
      <c r="N654" s="340"/>
      <c r="O654" s="339"/>
      <c r="P654" s="340"/>
      <c r="Q654" s="339"/>
      <c r="R654" s="340"/>
      <c r="S654" s="339"/>
      <c r="T654" s="340"/>
      <c r="U654" s="339"/>
      <c r="V654" s="340"/>
      <c r="W654" s="339"/>
      <c r="X654" s="339"/>
      <c r="Y654" s="339"/>
      <c r="Z654" s="340"/>
      <c r="AA654" s="339"/>
      <c r="AB654" s="339"/>
      <c r="AC654" s="339"/>
      <c r="AD654" s="339"/>
    </row>
    <row r="655" spans="1:30" ht="15.75" customHeight="1">
      <c r="A655" s="339"/>
      <c r="B655" s="339"/>
      <c r="C655" s="339"/>
      <c r="D655" s="339"/>
      <c r="E655" s="339"/>
      <c r="F655" s="339"/>
      <c r="G655" s="339"/>
      <c r="H655" s="339"/>
      <c r="I655" s="339"/>
      <c r="J655" s="339"/>
      <c r="K655" s="339"/>
      <c r="L655" s="340"/>
      <c r="M655" s="339"/>
      <c r="N655" s="340"/>
      <c r="O655" s="339"/>
      <c r="P655" s="340"/>
      <c r="Q655" s="339"/>
      <c r="R655" s="340"/>
      <c r="S655" s="339"/>
      <c r="T655" s="340"/>
      <c r="U655" s="339"/>
      <c r="V655" s="340"/>
      <c r="W655" s="339"/>
      <c r="X655" s="339"/>
      <c r="Y655" s="339"/>
      <c r="Z655" s="340"/>
      <c r="AA655" s="339"/>
      <c r="AB655" s="339"/>
      <c r="AC655" s="339"/>
      <c r="AD655" s="339"/>
    </row>
    <row r="656" spans="1:30" ht="15.75" customHeight="1">
      <c r="A656" s="339"/>
      <c r="B656" s="339"/>
      <c r="C656" s="339"/>
      <c r="D656" s="339"/>
      <c r="E656" s="339"/>
      <c r="F656" s="339"/>
      <c r="G656" s="339"/>
      <c r="H656" s="339"/>
      <c r="I656" s="339"/>
      <c r="J656" s="339"/>
      <c r="K656" s="339"/>
      <c r="L656" s="340"/>
      <c r="M656" s="339"/>
      <c r="N656" s="340"/>
      <c r="O656" s="339"/>
      <c r="P656" s="340"/>
      <c r="Q656" s="339"/>
      <c r="R656" s="340"/>
      <c r="S656" s="339"/>
      <c r="T656" s="340"/>
      <c r="U656" s="339"/>
      <c r="V656" s="340"/>
      <c r="W656" s="339"/>
      <c r="X656" s="339"/>
      <c r="Y656" s="339"/>
      <c r="Z656" s="340"/>
      <c r="AA656" s="339"/>
      <c r="AB656" s="339"/>
      <c r="AC656" s="339"/>
      <c r="AD656" s="339"/>
    </row>
    <row r="657" spans="1:30" ht="15.75" customHeight="1">
      <c r="A657" s="339"/>
      <c r="B657" s="339"/>
      <c r="C657" s="339"/>
      <c r="D657" s="339"/>
      <c r="E657" s="339"/>
      <c r="F657" s="339"/>
      <c r="G657" s="339"/>
      <c r="H657" s="339"/>
      <c r="I657" s="339"/>
      <c r="J657" s="339"/>
      <c r="K657" s="339"/>
      <c r="L657" s="340"/>
      <c r="M657" s="339"/>
      <c r="N657" s="340"/>
      <c r="O657" s="339"/>
      <c r="P657" s="340"/>
      <c r="Q657" s="339"/>
      <c r="R657" s="340"/>
      <c r="S657" s="339"/>
      <c r="T657" s="340"/>
      <c r="U657" s="339"/>
      <c r="V657" s="340"/>
      <c r="W657" s="339"/>
      <c r="X657" s="339"/>
      <c r="Y657" s="339"/>
      <c r="Z657" s="340"/>
      <c r="AA657" s="339"/>
      <c r="AB657" s="339"/>
      <c r="AC657" s="339"/>
      <c r="AD657" s="339"/>
    </row>
    <row r="658" spans="1:30" ht="15.75" customHeight="1">
      <c r="A658" s="339"/>
      <c r="B658" s="339"/>
      <c r="C658" s="339"/>
      <c r="D658" s="339"/>
      <c r="E658" s="339"/>
      <c r="F658" s="339"/>
      <c r="G658" s="339"/>
      <c r="H658" s="339"/>
      <c r="I658" s="339"/>
      <c r="J658" s="339"/>
      <c r="K658" s="339"/>
      <c r="L658" s="340"/>
      <c r="M658" s="339"/>
      <c r="N658" s="340"/>
      <c r="O658" s="339"/>
      <c r="P658" s="340"/>
      <c r="Q658" s="339"/>
      <c r="R658" s="340"/>
      <c r="S658" s="339"/>
      <c r="T658" s="340"/>
      <c r="U658" s="339"/>
      <c r="V658" s="340"/>
      <c r="W658" s="339"/>
      <c r="X658" s="339"/>
      <c r="Y658" s="339"/>
      <c r="Z658" s="340"/>
      <c r="AA658" s="339"/>
      <c r="AB658" s="339"/>
      <c r="AC658" s="339"/>
      <c r="AD658" s="339"/>
    </row>
    <row r="659" spans="1:30" ht="15.75" customHeight="1">
      <c r="A659" s="339"/>
      <c r="B659" s="339"/>
      <c r="C659" s="339"/>
      <c r="D659" s="339"/>
      <c r="E659" s="339"/>
      <c r="F659" s="339"/>
      <c r="G659" s="339"/>
      <c r="H659" s="339"/>
      <c r="I659" s="339"/>
      <c r="J659" s="339"/>
      <c r="K659" s="339"/>
      <c r="L659" s="340"/>
      <c r="M659" s="339"/>
      <c r="N659" s="340"/>
      <c r="O659" s="339"/>
      <c r="P659" s="340"/>
      <c r="Q659" s="339"/>
      <c r="R659" s="340"/>
      <c r="S659" s="339"/>
      <c r="T659" s="340"/>
      <c r="U659" s="339"/>
      <c r="V659" s="340"/>
      <c r="W659" s="339"/>
      <c r="X659" s="339"/>
      <c r="Y659" s="339"/>
      <c r="Z659" s="340"/>
      <c r="AA659" s="339"/>
      <c r="AB659" s="339"/>
      <c r="AC659" s="339"/>
      <c r="AD659" s="339"/>
    </row>
    <row r="660" spans="1:30" ht="15.75" customHeight="1">
      <c r="A660" s="339"/>
      <c r="B660" s="339"/>
      <c r="C660" s="339"/>
      <c r="D660" s="339"/>
      <c r="E660" s="339"/>
      <c r="F660" s="339"/>
      <c r="G660" s="339"/>
      <c r="H660" s="339"/>
      <c r="I660" s="339"/>
      <c r="J660" s="339"/>
      <c r="K660" s="339"/>
      <c r="L660" s="340"/>
      <c r="M660" s="339"/>
      <c r="N660" s="340"/>
      <c r="O660" s="339"/>
      <c r="P660" s="340"/>
      <c r="Q660" s="339"/>
      <c r="R660" s="340"/>
      <c r="S660" s="339"/>
      <c r="T660" s="340"/>
      <c r="U660" s="339"/>
      <c r="V660" s="340"/>
      <c r="W660" s="339"/>
      <c r="X660" s="339"/>
      <c r="Y660" s="339"/>
      <c r="Z660" s="340"/>
      <c r="AA660" s="339"/>
      <c r="AB660" s="339"/>
      <c r="AC660" s="339"/>
      <c r="AD660" s="339"/>
    </row>
    <row r="661" spans="1:30" ht="15.75" customHeight="1">
      <c r="A661" s="339"/>
      <c r="B661" s="339"/>
      <c r="C661" s="339"/>
      <c r="D661" s="339"/>
      <c r="E661" s="339"/>
      <c r="F661" s="339"/>
      <c r="G661" s="339"/>
      <c r="H661" s="339"/>
      <c r="I661" s="339"/>
      <c r="J661" s="339"/>
      <c r="K661" s="339"/>
      <c r="L661" s="340"/>
      <c r="M661" s="339"/>
      <c r="N661" s="340"/>
      <c r="O661" s="339"/>
      <c r="P661" s="340"/>
      <c r="Q661" s="339"/>
      <c r="R661" s="340"/>
      <c r="S661" s="339"/>
      <c r="T661" s="340"/>
      <c r="U661" s="339"/>
      <c r="V661" s="340"/>
      <c r="W661" s="339"/>
      <c r="X661" s="339"/>
      <c r="Y661" s="339"/>
      <c r="Z661" s="340"/>
      <c r="AA661" s="339"/>
      <c r="AB661" s="339"/>
      <c r="AC661" s="339"/>
      <c r="AD661" s="339"/>
    </row>
    <row r="662" spans="1:30" ht="15.75" customHeight="1">
      <c r="A662" s="339"/>
      <c r="B662" s="339"/>
      <c r="C662" s="339"/>
      <c r="D662" s="339"/>
      <c r="E662" s="339"/>
      <c r="F662" s="339"/>
      <c r="G662" s="339"/>
      <c r="H662" s="339"/>
      <c r="I662" s="339"/>
      <c r="J662" s="339"/>
      <c r="K662" s="339"/>
      <c r="L662" s="340"/>
      <c r="M662" s="339"/>
      <c r="N662" s="340"/>
      <c r="O662" s="339"/>
      <c r="P662" s="340"/>
      <c r="Q662" s="339"/>
      <c r="R662" s="340"/>
      <c r="S662" s="339"/>
      <c r="T662" s="340"/>
      <c r="U662" s="339"/>
      <c r="V662" s="340"/>
      <c r="W662" s="339"/>
      <c r="X662" s="339"/>
      <c r="Y662" s="339"/>
      <c r="Z662" s="340"/>
      <c r="AA662" s="339"/>
      <c r="AB662" s="339"/>
      <c r="AC662" s="339"/>
      <c r="AD662" s="339"/>
    </row>
    <row r="663" spans="1:30" ht="15.75" customHeight="1">
      <c r="A663" s="339"/>
      <c r="B663" s="339"/>
      <c r="C663" s="339"/>
      <c r="D663" s="339"/>
      <c r="E663" s="339"/>
      <c r="F663" s="339"/>
      <c r="G663" s="339"/>
      <c r="H663" s="339"/>
      <c r="I663" s="339"/>
      <c r="J663" s="339"/>
      <c r="K663" s="339"/>
      <c r="L663" s="340"/>
      <c r="M663" s="339"/>
      <c r="N663" s="340"/>
      <c r="O663" s="339"/>
      <c r="P663" s="340"/>
      <c r="Q663" s="339"/>
      <c r="R663" s="340"/>
      <c r="S663" s="339"/>
      <c r="T663" s="340"/>
      <c r="U663" s="339"/>
      <c r="V663" s="340"/>
      <c r="W663" s="339"/>
      <c r="X663" s="339"/>
      <c r="Y663" s="339"/>
      <c r="Z663" s="340"/>
      <c r="AA663" s="339"/>
      <c r="AB663" s="339"/>
      <c r="AC663" s="339"/>
      <c r="AD663" s="339"/>
    </row>
    <row r="664" spans="1:30" ht="15.75" customHeight="1">
      <c r="A664" s="339"/>
      <c r="B664" s="339"/>
      <c r="C664" s="339"/>
      <c r="D664" s="339"/>
      <c r="E664" s="339"/>
      <c r="F664" s="339"/>
      <c r="G664" s="339"/>
      <c r="H664" s="339"/>
      <c r="I664" s="339"/>
      <c r="J664" s="339"/>
      <c r="K664" s="339"/>
      <c r="L664" s="340"/>
      <c r="M664" s="339"/>
      <c r="N664" s="340"/>
      <c r="O664" s="339"/>
      <c r="P664" s="340"/>
      <c r="Q664" s="339"/>
      <c r="R664" s="340"/>
      <c r="S664" s="339"/>
      <c r="T664" s="340"/>
      <c r="U664" s="339"/>
      <c r="V664" s="340"/>
      <c r="W664" s="339"/>
      <c r="X664" s="339"/>
      <c r="Y664" s="339"/>
      <c r="Z664" s="340"/>
      <c r="AA664" s="339"/>
      <c r="AB664" s="339"/>
      <c r="AC664" s="339"/>
      <c r="AD664" s="339"/>
    </row>
    <row r="665" spans="1:30" ht="15.75" customHeight="1">
      <c r="A665" s="339"/>
      <c r="B665" s="339"/>
      <c r="C665" s="339"/>
      <c r="D665" s="339"/>
      <c r="E665" s="339"/>
      <c r="F665" s="339"/>
      <c r="G665" s="339"/>
      <c r="H665" s="339"/>
      <c r="I665" s="339"/>
      <c r="J665" s="339"/>
      <c r="K665" s="339"/>
      <c r="L665" s="340"/>
      <c r="M665" s="339"/>
      <c r="N665" s="340"/>
      <c r="O665" s="339"/>
      <c r="P665" s="340"/>
      <c r="Q665" s="339"/>
      <c r="R665" s="340"/>
      <c r="S665" s="339"/>
      <c r="T665" s="340"/>
      <c r="U665" s="339"/>
      <c r="V665" s="340"/>
      <c r="W665" s="339"/>
      <c r="X665" s="339"/>
      <c r="Y665" s="339"/>
      <c r="Z665" s="340"/>
      <c r="AA665" s="339"/>
      <c r="AB665" s="339"/>
      <c r="AC665" s="339"/>
      <c r="AD665" s="339"/>
    </row>
    <row r="666" spans="1:30" ht="15.75" customHeight="1">
      <c r="A666" s="339"/>
      <c r="B666" s="339"/>
      <c r="C666" s="339"/>
      <c r="D666" s="339"/>
      <c r="E666" s="339"/>
      <c r="F666" s="339"/>
      <c r="G666" s="339"/>
      <c r="H666" s="339"/>
      <c r="I666" s="339"/>
      <c r="J666" s="339"/>
      <c r="K666" s="339"/>
      <c r="L666" s="340"/>
      <c r="M666" s="339"/>
      <c r="N666" s="340"/>
      <c r="O666" s="339"/>
      <c r="P666" s="340"/>
      <c r="Q666" s="339"/>
      <c r="R666" s="340"/>
      <c r="S666" s="339"/>
      <c r="T666" s="340"/>
      <c r="U666" s="339"/>
      <c r="V666" s="340"/>
      <c r="W666" s="339"/>
      <c r="X666" s="339"/>
      <c r="Y666" s="339"/>
      <c r="Z666" s="340"/>
      <c r="AA666" s="339"/>
      <c r="AB666" s="339"/>
      <c r="AC666" s="339"/>
      <c r="AD666" s="339"/>
    </row>
    <row r="667" spans="1:30" ht="15.75" customHeight="1">
      <c r="A667" s="339"/>
      <c r="B667" s="339"/>
      <c r="C667" s="339"/>
      <c r="D667" s="339"/>
      <c r="E667" s="339"/>
      <c r="F667" s="339"/>
      <c r="G667" s="339"/>
      <c r="H667" s="339"/>
      <c r="I667" s="339"/>
      <c r="J667" s="339"/>
      <c r="K667" s="339"/>
      <c r="L667" s="340"/>
      <c r="M667" s="339"/>
      <c r="N667" s="340"/>
      <c r="O667" s="339"/>
      <c r="P667" s="340"/>
      <c r="Q667" s="339"/>
      <c r="R667" s="340"/>
      <c r="S667" s="339"/>
      <c r="T667" s="340"/>
      <c r="U667" s="339"/>
      <c r="V667" s="340"/>
      <c r="W667" s="339"/>
      <c r="X667" s="339"/>
      <c r="Y667" s="339"/>
      <c r="Z667" s="340"/>
      <c r="AA667" s="339"/>
      <c r="AB667" s="339"/>
      <c r="AC667" s="339"/>
      <c r="AD667" s="339"/>
    </row>
    <row r="668" spans="1:30" ht="15.75" customHeight="1">
      <c r="A668" s="339"/>
      <c r="B668" s="339"/>
      <c r="C668" s="339"/>
      <c r="D668" s="339"/>
      <c r="E668" s="339"/>
      <c r="F668" s="339"/>
      <c r="G668" s="339"/>
      <c r="H668" s="339"/>
      <c r="I668" s="339"/>
      <c r="J668" s="339"/>
      <c r="K668" s="339"/>
      <c r="L668" s="340"/>
      <c r="M668" s="339"/>
      <c r="N668" s="340"/>
      <c r="O668" s="339"/>
      <c r="P668" s="340"/>
      <c r="Q668" s="339"/>
      <c r="R668" s="340"/>
      <c r="S668" s="339"/>
      <c r="T668" s="340"/>
      <c r="U668" s="339"/>
      <c r="V668" s="340"/>
      <c r="W668" s="339"/>
      <c r="X668" s="339"/>
      <c r="Y668" s="339"/>
      <c r="Z668" s="340"/>
      <c r="AA668" s="339"/>
      <c r="AB668" s="339"/>
      <c r="AC668" s="339"/>
      <c r="AD668" s="339"/>
    </row>
    <row r="669" spans="1:30" ht="15.75" customHeight="1">
      <c r="A669" s="339"/>
      <c r="B669" s="339"/>
      <c r="C669" s="339"/>
      <c r="D669" s="339"/>
      <c r="E669" s="339"/>
      <c r="F669" s="339"/>
      <c r="G669" s="339"/>
      <c r="H669" s="339"/>
      <c r="I669" s="339"/>
      <c r="J669" s="339"/>
      <c r="K669" s="339"/>
      <c r="L669" s="340"/>
      <c r="M669" s="339"/>
      <c r="N669" s="340"/>
      <c r="O669" s="339"/>
      <c r="P669" s="340"/>
      <c r="Q669" s="339"/>
      <c r="R669" s="340"/>
      <c r="S669" s="339"/>
      <c r="T669" s="340"/>
      <c r="U669" s="339"/>
      <c r="V669" s="340"/>
      <c r="W669" s="339"/>
      <c r="X669" s="339"/>
      <c r="Y669" s="339"/>
      <c r="Z669" s="340"/>
      <c r="AA669" s="339"/>
      <c r="AB669" s="339"/>
      <c r="AC669" s="339"/>
      <c r="AD669" s="339"/>
    </row>
    <row r="670" spans="1:30" ht="15.75" customHeight="1">
      <c r="A670" s="339"/>
      <c r="B670" s="339"/>
      <c r="C670" s="339"/>
      <c r="D670" s="339"/>
      <c r="E670" s="339"/>
      <c r="F670" s="339"/>
      <c r="G670" s="339"/>
      <c r="H670" s="339"/>
      <c r="I670" s="339"/>
      <c r="J670" s="339"/>
      <c r="K670" s="339"/>
      <c r="L670" s="340"/>
      <c r="M670" s="339"/>
      <c r="N670" s="340"/>
      <c r="O670" s="339"/>
      <c r="P670" s="340"/>
      <c r="Q670" s="339"/>
      <c r="R670" s="340"/>
      <c r="S670" s="339"/>
      <c r="T670" s="340"/>
      <c r="U670" s="339"/>
      <c r="V670" s="340"/>
      <c r="W670" s="339"/>
      <c r="X670" s="339"/>
      <c r="Y670" s="339"/>
      <c r="Z670" s="340"/>
      <c r="AA670" s="339"/>
      <c r="AB670" s="339"/>
      <c r="AC670" s="339"/>
      <c r="AD670" s="339"/>
    </row>
    <row r="671" spans="1:30" ht="15.75" customHeight="1">
      <c r="A671" s="339"/>
      <c r="B671" s="339"/>
      <c r="C671" s="339"/>
      <c r="D671" s="339"/>
      <c r="E671" s="339"/>
      <c r="F671" s="339"/>
      <c r="G671" s="339"/>
      <c r="H671" s="339"/>
      <c r="I671" s="339"/>
      <c r="J671" s="339"/>
      <c r="K671" s="339"/>
      <c r="L671" s="340"/>
      <c r="M671" s="339"/>
      <c r="N671" s="340"/>
      <c r="O671" s="339"/>
      <c r="P671" s="340"/>
      <c r="Q671" s="339"/>
      <c r="R671" s="340"/>
      <c r="S671" s="339"/>
      <c r="T671" s="340"/>
      <c r="U671" s="339"/>
      <c r="V671" s="340"/>
      <c r="W671" s="339"/>
      <c r="X671" s="339"/>
      <c r="Y671" s="339"/>
      <c r="Z671" s="340"/>
      <c r="AA671" s="339"/>
      <c r="AB671" s="339"/>
      <c r="AC671" s="339"/>
      <c r="AD671" s="339"/>
    </row>
    <row r="672" spans="1:30" ht="15.75" customHeight="1">
      <c r="A672" s="339"/>
      <c r="B672" s="339"/>
      <c r="C672" s="339"/>
      <c r="D672" s="339"/>
      <c r="E672" s="339"/>
      <c r="F672" s="339"/>
      <c r="G672" s="339"/>
      <c r="H672" s="339"/>
      <c r="I672" s="339"/>
      <c r="J672" s="339"/>
      <c r="K672" s="339"/>
      <c r="L672" s="340"/>
      <c r="M672" s="339"/>
      <c r="N672" s="340"/>
      <c r="O672" s="339"/>
      <c r="P672" s="340"/>
      <c r="Q672" s="339"/>
      <c r="R672" s="340"/>
      <c r="S672" s="339"/>
      <c r="T672" s="340"/>
      <c r="U672" s="339"/>
      <c r="V672" s="340"/>
      <c r="W672" s="339"/>
      <c r="X672" s="339"/>
      <c r="Y672" s="339"/>
      <c r="Z672" s="340"/>
      <c r="AA672" s="339"/>
      <c r="AB672" s="339"/>
      <c r="AC672" s="339"/>
      <c r="AD672" s="339"/>
    </row>
    <row r="673" spans="1:30" ht="15.75" customHeight="1">
      <c r="A673" s="339"/>
      <c r="B673" s="339"/>
      <c r="C673" s="339"/>
      <c r="D673" s="339"/>
      <c r="E673" s="339"/>
      <c r="F673" s="339"/>
      <c r="G673" s="339"/>
      <c r="H673" s="339"/>
      <c r="I673" s="339"/>
      <c r="J673" s="339"/>
      <c r="K673" s="339"/>
      <c r="L673" s="340"/>
      <c r="M673" s="339"/>
      <c r="N673" s="340"/>
      <c r="O673" s="339"/>
      <c r="P673" s="340"/>
      <c r="Q673" s="339"/>
      <c r="R673" s="340"/>
      <c r="S673" s="339"/>
      <c r="T673" s="340"/>
      <c r="U673" s="339"/>
      <c r="V673" s="340"/>
      <c r="W673" s="339"/>
      <c r="X673" s="339"/>
      <c r="Y673" s="339"/>
      <c r="Z673" s="340"/>
      <c r="AA673" s="339"/>
      <c r="AB673" s="339"/>
      <c r="AC673" s="339"/>
      <c r="AD673" s="339"/>
    </row>
    <row r="674" spans="1:30" ht="15.75" customHeight="1">
      <c r="A674" s="339"/>
      <c r="B674" s="339"/>
      <c r="C674" s="339"/>
      <c r="D674" s="339"/>
      <c r="E674" s="339"/>
      <c r="F674" s="339"/>
      <c r="G674" s="339"/>
      <c r="H674" s="339"/>
      <c r="I674" s="339"/>
      <c r="J674" s="339"/>
      <c r="K674" s="339"/>
      <c r="L674" s="340"/>
      <c r="M674" s="339"/>
      <c r="N674" s="340"/>
      <c r="O674" s="339"/>
      <c r="P674" s="340"/>
      <c r="Q674" s="339"/>
      <c r="R674" s="340"/>
      <c r="S674" s="339"/>
      <c r="T674" s="340"/>
      <c r="U674" s="339"/>
      <c r="V674" s="340"/>
      <c r="W674" s="339"/>
      <c r="X674" s="339"/>
      <c r="Y674" s="339"/>
      <c r="Z674" s="340"/>
      <c r="AA674" s="339"/>
      <c r="AB674" s="339"/>
      <c r="AC674" s="339"/>
      <c r="AD674" s="339"/>
    </row>
    <row r="675" spans="1:30" ht="15.75" customHeight="1">
      <c r="A675" s="339"/>
      <c r="B675" s="339"/>
      <c r="C675" s="339"/>
      <c r="D675" s="339"/>
      <c r="E675" s="339"/>
      <c r="F675" s="339"/>
      <c r="G675" s="339"/>
      <c r="H675" s="339"/>
      <c r="I675" s="339"/>
      <c r="J675" s="339"/>
      <c r="K675" s="339"/>
      <c r="L675" s="340"/>
      <c r="M675" s="339"/>
      <c r="N675" s="340"/>
      <c r="O675" s="339"/>
      <c r="P675" s="340"/>
      <c r="Q675" s="339"/>
      <c r="R675" s="340"/>
      <c r="S675" s="339"/>
      <c r="T675" s="340"/>
      <c r="U675" s="339"/>
      <c r="V675" s="340"/>
      <c r="W675" s="339"/>
      <c r="X675" s="339"/>
      <c r="Y675" s="339"/>
      <c r="Z675" s="340"/>
      <c r="AA675" s="339"/>
      <c r="AB675" s="339"/>
      <c r="AC675" s="339"/>
      <c r="AD675" s="339"/>
    </row>
    <row r="676" spans="1:30" ht="15.75" customHeight="1">
      <c r="A676" s="339"/>
      <c r="B676" s="339"/>
      <c r="C676" s="339"/>
      <c r="D676" s="339"/>
      <c r="E676" s="339"/>
      <c r="F676" s="339"/>
      <c r="G676" s="339"/>
      <c r="H676" s="339"/>
      <c r="I676" s="339"/>
      <c r="J676" s="339"/>
      <c r="K676" s="339"/>
      <c r="L676" s="340"/>
      <c r="M676" s="339"/>
      <c r="N676" s="340"/>
      <c r="O676" s="339"/>
      <c r="P676" s="340"/>
      <c r="Q676" s="339"/>
      <c r="R676" s="340"/>
      <c r="S676" s="339"/>
      <c r="T676" s="340"/>
      <c r="U676" s="339"/>
      <c r="V676" s="340"/>
      <c r="W676" s="339"/>
      <c r="X676" s="339"/>
      <c r="Y676" s="339"/>
      <c r="Z676" s="340"/>
      <c r="AA676" s="339"/>
      <c r="AB676" s="339"/>
      <c r="AC676" s="339"/>
      <c r="AD676" s="339"/>
    </row>
    <row r="677" spans="1:30" ht="15.75" customHeight="1">
      <c r="A677" s="339"/>
      <c r="B677" s="339"/>
      <c r="C677" s="339"/>
      <c r="D677" s="339"/>
      <c r="E677" s="339"/>
      <c r="F677" s="339"/>
      <c r="G677" s="339"/>
      <c r="H677" s="339"/>
      <c r="I677" s="339"/>
      <c r="J677" s="339"/>
      <c r="K677" s="339"/>
      <c r="L677" s="340"/>
      <c r="M677" s="339"/>
      <c r="N677" s="340"/>
      <c r="O677" s="339"/>
      <c r="P677" s="340"/>
      <c r="Q677" s="339"/>
      <c r="R677" s="340"/>
      <c r="S677" s="339"/>
      <c r="T677" s="340"/>
      <c r="U677" s="339"/>
      <c r="V677" s="340"/>
      <c r="W677" s="339"/>
      <c r="X677" s="339"/>
      <c r="Y677" s="339"/>
      <c r="Z677" s="340"/>
      <c r="AA677" s="339"/>
      <c r="AB677" s="339"/>
      <c r="AC677" s="339"/>
      <c r="AD677" s="339"/>
    </row>
    <row r="678" spans="1:30" ht="15.75" customHeight="1">
      <c r="A678" s="339"/>
      <c r="B678" s="339"/>
      <c r="C678" s="339"/>
      <c r="D678" s="339"/>
      <c r="E678" s="339"/>
      <c r="F678" s="339"/>
      <c r="G678" s="339"/>
      <c r="H678" s="339"/>
      <c r="I678" s="339"/>
      <c r="J678" s="339"/>
      <c r="K678" s="339"/>
      <c r="L678" s="340"/>
      <c r="M678" s="339"/>
      <c r="N678" s="340"/>
      <c r="O678" s="339"/>
      <c r="P678" s="340"/>
      <c r="Q678" s="339"/>
      <c r="R678" s="340"/>
      <c r="S678" s="339"/>
      <c r="T678" s="340"/>
      <c r="U678" s="339"/>
      <c r="V678" s="340"/>
      <c r="W678" s="339"/>
      <c r="X678" s="339"/>
      <c r="Y678" s="339"/>
      <c r="Z678" s="340"/>
      <c r="AA678" s="339"/>
      <c r="AB678" s="339"/>
      <c r="AC678" s="339"/>
      <c r="AD678" s="339"/>
    </row>
    <row r="679" spans="1:30" ht="15.75" customHeight="1">
      <c r="A679" s="339"/>
      <c r="B679" s="339"/>
      <c r="C679" s="339"/>
      <c r="D679" s="339"/>
      <c r="E679" s="339"/>
      <c r="F679" s="339"/>
      <c r="G679" s="339"/>
      <c r="H679" s="339"/>
      <c r="I679" s="339"/>
      <c r="J679" s="339"/>
      <c r="K679" s="339"/>
      <c r="L679" s="340"/>
      <c r="M679" s="339"/>
      <c r="N679" s="340"/>
      <c r="O679" s="339"/>
      <c r="P679" s="340"/>
      <c r="Q679" s="339"/>
      <c r="R679" s="340"/>
      <c r="S679" s="339"/>
      <c r="T679" s="340"/>
      <c r="U679" s="339"/>
      <c r="V679" s="340"/>
      <c r="W679" s="339"/>
      <c r="X679" s="339"/>
      <c r="Y679" s="339"/>
      <c r="Z679" s="340"/>
      <c r="AA679" s="339"/>
      <c r="AB679" s="339"/>
      <c r="AC679" s="339"/>
      <c r="AD679" s="339"/>
    </row>
    <row r="680" spans="1:30" ht="15.75" customHeight="1">
      <c r="A680" s="339"/>
      <c r="B680" s="339"/>
      <c r="C680" s="339"/>
      <c r="D680" s="339"/>
      <c r="E680" s="339"/>
      <c r="F680" s="339"/>
      <c r="G680" s="339"/>
      <c r="H680" s="339"/>
      <c r="I680" s="339"/>
      <c r="J680" s="339"/>
      <c r="K680" s="339"/>
      <c r="L680" s="340"/>
      <c r="M680" s="339"/>
      <c r="N680" s="340"/>
      <c r="O680" s="339"/>
      <c r="P680" s="340"/>
      <c r="Q680" s="339"/>
      <c r="R680" s="340"/>
      <c r="S680" s="339"/>
      <c r="T680" s="340"/>
      <c r="U680" s="339"/>
      <c r="V680" s="340"/>
      <c r="W680" s="339"/>
      <c r="X680" s="339"/>
      <c r="Y680" s="339"/>
      <c r="Z680" s="340"/>
      <c r="AA680" s="339"/>
      <c r="AB680" s="339"/>
      <c r="AC680" s="339"/>
      <c r="AD680" s="339"/>
    </row>
    <row r="681" spans="1:30" ht="15.75" customHeight="1">
      <c r="A681" s="339"/>
      <c r="B681" s="339"/>
      <c r="C681" s="339"/>
      <c r="D681" s="339"/>
      <c r="E681" s="339"/>
      <c r="F681" s="339"/>
      <c r="G681" s="339"/>
      <c r="H681" s="339"/>
      <c r="I681" s="339"/>
      <c r="J681" s="339"/>
      <c r="K681" s="339"/>
      <c r="L681" s="340"/>
      <c r="M681" s="339"/>
      <c r="N681" s="340"/>
      <c r="O681" s="339"/>
      <c r="P681" s="340"/>
      <c r="Q681" s="339"/>
      <c r="R681" s="340"/>
      <c r="S681" s="339"/>
      <c r="T681" s="340"/>
      <c r="U681" s="339"/>
      <c r="V681" s="340"/>
      <c r="W681" s="339"/>
      <c r="X681" s="339"/>
      <c r="Y681" s="339"/>
      <c r="Z681" s="340"/>
      <c r="AA681" s="339"/>
      <c r="AB681" s="339"/>
      <c r="AC681" s="339"/>
      <c r="AD681" s="339"/>
    </row>
    <row r="682" spans="1:30" ht="15.75" customHeight="1">
      <c r="A682" s="339"/>
      <c r="B682" s="339"/>
      <c r="C682" s="339"/>
      <c r="D682" s="339"/>
      <c r="E682" s="339"/>
      <c r="F682" s="339"/>
      <c r="G682" s="339"/>
      <c r="H682" s="339"/>
      <c r="I682" s="339"/>
      <c r="J682" s="339"/>
      <c r="K682" s="339"/>
      <c r="L682" s="340"/>
      <c r="M682" s="339"/>
      <c r="N682" s="340"/>
      <c r="O682" s="339"/>
      <c r="P682" s="340"/>
      <c r="Q682" s="339"/>
      <c r="R682" s="340"/>
      <c r="S682" s="339"/>
      <c r="T682" s="340"/>
      <c r="U682" s="339"/>
      <c r="V682" s="340"/>
      <c r="W682" s="339"/>
      <c r="X682" s="339"/>
      <c r="Y682" s="339"/>
      <c r="Z682" s="340"/>
      <c r="AA682" s="339"/>
      <c r="AB682" s="339"/>
      <c r="AC682" s="339"/>
      <c r="AD682" s="339"/>
    </row>
    <row r="683" spans="1:30" ht="15.75" customHeight="1">
      <c r="A683" s="339"/>
      <c r="B683" s="339"/>
      <c r="C683" s="339"/>
      <c r="D683" s="339"/>
      <c r="E683" s="339"/>
      <c r="F683" s="339"/>
      <c r="G683" s="339"/>
      <c r="H683" s="339"/>
      <c r="I683" s="339"/>
      <c r="J683" s="339"/>
      <c r="K683" s="339"/>
      <c r="L683" s="340"/>
      <c r="M683" s="339"/>
      <c r="N683" s="340"/>
      <c r="O683" s="339"/>
      <c r="P683" s="340"/>
      <c r="Q683" s="339"/>
      <c r="R683" s="340"/>
      <c r="S683" s="339"/>
      <c r="T683" s="340"/>
      <c r="U683" s="339"/>
      <c r="V683" s="340"/>
      <c r="W683" s="339"/>
      <c r="X683" s="339"/>
      <c r="Y683" s="339"/>
      <c r="Z683" s="340"/>
      <c r="AA683" s="339"/>
      <c r="AB683" s="339"/>
      <c r="AC683" s="339"/>
      <c r="AD683" s="339"/>
    </row>
    <row r="684" spans="1:30" ht="15.75" customHeight="1">
      <c r="A684" s="339"/>
      <c r="B684" s="339"/>
      <c r="C684" s="339"/>
      <c r="D684" s="339"/>
      <c r="E684" s="339"/>
      <c r="F684" s="339"/>
      <c r="G684" s="339"/>
      <c r="H684" s="339"/>
      <c r="I684" s="339"/>
      <c r="J684" s="339"/>
      <c r="K684" s="339"/>
      <c r="L684" s="340"/>
      <c r="M684" s="339"/>
      <c r="N684" s="340"/>
      <c r="O684" s="339"/>
      <c r="P684" s="340"/>
      <c r="Q684" s="339"/>
      <c r="R684" s="340"/>
      <c r="S684" s="339"/>
      <c r="T684" s="340"/>
      <c r="U684" s="339"/>
      <c r="V684" s="340"/>
      <c r="W684" s="339"/>
      <c r="X684" s="339"/>
      <c r="Y684" s="339"/>
      <c r="Z684" s="340"/>
      <c r="AA684" s="339"/>
      <c r="AB684" s="339"/>
      <c r="AC684" s="339"/>
      <c r="AD684" s="339"/>
    </row>
    <row r="685" spans="1:30" ht="15.75" customHeight="1">
      <c r="A685" s="339"/>
      <c r="B685" s="339"/>
      <c r="C685" s="339"/>
      <c r="D685" s="339"/>
      <c r="E685" s="339"/>
      <c r="F685" s="339"/>
      <c r="G685" s="339"/>
      <c r="H685" s="339"/>
      <c r="I685" s="339"/>
      <c r="J685" s="339"/>
      <c r="K685" s="339"/>
      <c r="L685" s="340"/>
      <c r="M685" s="339"/>
      <c r="N685" s="340"/>
      <c r="O685" s="339"/>
      <c r="P685" s="340"/>
      <c r="Q685" s="339"/>
      <c r="R685" s="340"/>
      <c r="S685" s="339"/>
      <c r="T685" s="340"/>
      <c r="U685" s="339"/>
      <c r="V685" s="340"/>
      <c r="W685" s="339"/>
      <c r="X685" s="339"/>
      <c r="Y685" s="339"/>
      <c r="Z685" s="340"/>
      <c r="AA685" s="339"/>
      <c r="AB685" s="339"/>
      <c r="AC685" s="339"/>
      <c r="AD685" s="339"/>
    </row>
    <row r="686" spans="1:30" ht="15.75" customHeight="1">
      <c r="A686" s="339"/>
      <c r="B686" s="339"/>
      <c r="C686" s="339"/>
      <c r="D686" s="339"/>
      <c r="E686" s="339"/>
      <c r="F686" s="339"/>
      <c r="G686" s="339"/>
      <c r="H686" s="339"/>
      <c r="I686" s="339"/>
      <c r="J686" s="339"/>
      <c r="K686" s="339"/>
      <c r="L686" s="340"/>
      <c r="M686" s="339"/>
      <c r="N686" s="340"/>
      <c r="O686" s="339"/>
      <c r="P686" s="340"/>
      <c r="Q686" s="339"/>
      <c r="R686" s="340"/>
      <c r="S686" s="339"/>
      <c r="T686" s="340"/>
      <c r="U686" s="339"/>
      <c r="V686" s="340"/>
      <c r="W686" s="339"/>
      <c r="X686" s="339"/>
      <c r="Y686" s="339"/>
      <c r="Z686" s="340"/>
      <c r="AA686" s="339"/>
      <c r="AB686" s="339"/>
      <c r="AC686" s="339"/>
      <c r="AD686" s="339"/>
    </row>
    <row r="687" spans="1:30" ht="15.75" customHeight="1">
      <c r="A687" s="339"/>
      <c r="B687" s="339"/>
      <c r="C687" s="339"/>
      <c r="D687" s="339"/>
      <c r="E687" s="339"/>
      <c r="F687" s="339"/>
      <c r="G687" s="339"/>
      <c r="H687" s="339"/>
      <c r="I687" s="339"/>
      <c r="J687" s="339"/>
      <c r="K687" s="339"/>
      <c r="L687" s="340"/>
      <c r="M687" s="339"/>
      <c r="N687" s="340"/>
      <c r="O687" s="339"/>
      <c r="P687" s="340"/>
      <c r="Q687" s="339"/>
      <c r="R687" s="340"/>
      <c r="S687" s="339"/>
      <c r="T687" s="340"/>
      <c r="U687" s="339"/>
      <c r="V687" s="340"/>
      <c r="W687" s="339"/>
      <c r="X687" s="339"/>
      <c r="Y687" s="339"/>
      <c r="Z687" s="340"/>
      <c r="AA687" s="339"/>
      <c r="AB687" s="339"/>
      <c r="AC687" s="339"/>
      <c r="AD687" s="339"/>
    </row>
    <row r="688" spans="1:30" ht="15.75" customHeight="1">
      <c r="A688" s="339"/>
      <c r="B688" s="339"/>
      <c r="C688" s="339"/>
      <c r="D688" s="339"/>
      <c r="E688" s="339"/>
      <c r="F688" s="339"/>
      <c r="G688" s="339"/>
      <c r="H688" s="339"/>
      <c r="I688" s="339"/>
      <c r="J688" s="339"/>
      <c r="K688" s="339"/>
      <c r="L688" s="340"/>
      <c r="M688" s="339"/>
      <c r="N688" s="340"/>
      <c r="O688" s="339"/>
      <c r="P688" s="340"/>
      <c r="Q688" s="339"/>
      <c r="R688" s="340"/>
      <c r="S688" s="339"/>
      <c r="T688" s="340"/>
      <c r="U688" s="339"/>
      <c r="V688" s="340"/>
      <c r="W688" s="339"/>
      <c r="X688" s="339"/>
      <c r="Y688" s="339"/>
      <c r="Z688" s="340"/>
      <c r="AA688" s="339"/>
      <c r="AB688" s="339"/>
      <c r="AC688" s="339"/>
      <c r="AD688" s="339"/>
    </row>
    <row r="689" spans="1:30" ht="15.75" customHeight="1">
      <c r="A689" s="339"/>
      <c r="B689" s="339"/>
      <c r="C689" s="339"/>
      <c r="D689" s="339"/>
      <c r="E689" s="339"/>
      <c r="F689" s="339"/>
      <c r="G689" s="339"/>
      <c r="H689" s="339"/>
      <c r="I689" s="339"/>
      <c r="J689" s="339"/>
      <c r="K689" s="339"/>
      <c r="L689" s="340"/>
      <c r="M689" s="339"/>
      <c r="N689" s="340"/>
      <c r="O689" s="339"/>
      <c r="P689" s="340"/>
      <c r="Q689" s="339"/>
      <c r="R689" s="340"/>
      <c r="S689" s="339"/>
      <c r="T689" s="340"/>
      <c r="U689" s="339"/>
      <c r="V689" s="340"/>
      <c r="W689" s="339"/>
      <c r="X689" s="339"/>
      <c r="Y689" s="339"/>
      <c r="Z689" s="340"/>
      <c r="AA689" s="339"/>
      <c r="AB689" s="339"/>
      <c r="AC689" s="339"/>
      <c r="AD689" s="339"/>
    </row>
    <row r="690" spans="1:30" ht="15.75" customHeight="1">
      <c r="A690" s="339"/>
      <c r="B690" s="339"/>
      <c r="C690" s="339"/>
      <c r="D690" s="339"/>
      <c r="E690" s="339"/>
      <c r="F690" s="339"/>
      <c r="G690" s="339"/>
      <c r="H690" s="339"/>
      <c r="I690" s="339"/>
      <c r="J690" s="339"/>
      <c r="K690" s="339"/>
      <c r="L690" s="340"/>
      <c r="M690" s="339"/>
      <c r="N690" s="340"/>
      <c r="O690" s="339"/>
      <c r="P690" s="340"/>
      <c r="Q690" s="339"/>
      <c r="R690" s="340"/>
      <c r="S690" s="339"/>
      <c r="T690" s="340"/>
      <c r="U690" s="339"/>
      <c r="V690" s="340"/>
      <c r="W690" s="339"/>
      <c r="X690" s="339"/>
      <c r="Y690" s="339"/>
      <c r="Z690" s="340"/>
      <c r="AA690" s="339"/>
      <c r="AB690" s="339"/>
      <c r="AC690" s="339"/>
      <c r="AD690" s="339"/>
    </row>
    <row r="691" spans="1:30" ht="15.75" customHeight="1">
      <c r="A691" s="339"/>
      <c r="B691" s="339"/>
      <c r="C691" s="339"/>
      <c r="D691" s="339"/>
      <c r="E691" s="339"/>
      <c r="F691" s="339"/>
      <c r="G691" s="339"/>
      <c r="H691" s="339"/>
      <c r="I691" s="339"/>
      <c r="J691" s="339"/>
      <c r="K691" s="339"/>
      <c r="L691" s="340"/>
      <c r="M691" s="339"/>
      <c r="N691" s="340"/>
      <c r="O691" s="339"/>
      <c r="P691" s="340"/>
      <c r="Q691" s="339"/>
      <c r="R691" s="340"/>
      <c r="S691" s="339"/>
      <c r="T691" s="340"/>
      <c r="U691" s="339"/>
      <c r="V691" s="340"/>
      <c r="W691" s="339"/>
      <c r="X691" s="339"/>
      <c r="Y691" s="339"/>
      <c r="Z691" s="340"/>
      <c r="AA691" s="339"/>
      <c r="AB691" s="339"/>
      <c r="AC691" s="339"/>
      <c r="AD691" s="339"/>
    </row>
    <row r="692" spans="1:30" ht="15.75" customHeight="1">
      <c r="A692" s="339"/>
      <c r="B692" s="339"/>
      <c r="C692" s="339"/>
      <c r="D692" s="339"/>
      <c r="E692" s="339"/>
      <c r="F692" s="339"/>
      <c r="G692" s="339"/>
      <c r="H692" s="339"/>
      <c r="I692" s="339"/>
      <c r="J692" s="339"/>
      <c r="K692" s="339"/>
      <c r="L692" s="340"/>
      <c r="M692" s="339"/>
      <c r="N692" s="340"/>
      <c r="O692" s="339"/>
      <c r="P692" s="340"/>
      <c r="Q692" s="339"/>
      <c r="R692" s="340"/>
      <c r="S692" s="339"/>
      <c r="T692" s="340"/>
      <c r="U692" s="339"/>
      <c r="V692" s="340"/>
      <c r="W692" s="339"/>
      <c r="X692" s="339"/>
      <c r="Y692" s="339"/>
      <c r="Z692" s="340"/>
      <c r="AA692" s="339"/>
      <c r="AB692" s="339"/>
      <c r="AC692" s="339"/>
      <c r="AD692" s="339"/>
    </row>
    <row r="693" spans="1:30" ht="15.75" customHeight="1">
      <c r="A693" s="339"/>
      <c r="B693" s="339"/>
      <c r="C693" s="339"/>
      <c r="D693" s="339"/>
      <c r="E693" s="339"/>
      <c r="F693" s="339"/>
      <c r="G693" s="339"/>
      <c r="H693" s="339"/>
      <c r="I693" s="339"/>
      <c r="J693" s="339"/>
      <c r="K693" s="339"/>
      <c r="L693" s="340"/>
      <c r="M693" s="339"/>
      <c r="N693" s="340"/>
      <c r="O693" s="339"/>
      <c r="P693" s="340"/>
      <c r="Q693" s="339"/>
      <c r="R693" s="340"/>
      <c r="S693" s="339"/>
      <c r="T693" s="340"/>
      <c r="U693" s="339"/>
      <c r="V693" s="340"/>
      <c r="W693" s="339"/>
      <c r="X693" s="339"/>
      <c r="Y693" s="339"/>
      <c r="Z693" s="340"/>
      <c r="AA693" s="339"/>
      <c r="AB693" s="339"/>
      <c r="AC693" s="339"/>
      <c r="AD693" s="339"/>
    </row>
    <row r="694" spans="1:30" ht="15.75" customHeight="1">
      <c r="A694" s="339"/>
      <c r="B694" s="339"/>
      <c r="C694" s="339"/>
      <c r="D694" s="339"/>
      <c r="E694" s="339"/>
      <c r="F694" s="339"/>
      <c r="G694" s="339"/>
      <c r="H694" s="339"/>
      <c r="I694" s="339"/>
      <c r="J694" s="339"/>
      <c r="K694" s="339"/>
      <c r="L694" s="340"/>
      <c r="M694" s="339"/>
      <c r="N694" s="340"/>
      <c r="O694" s="339"/>
      <c r="P694" s="340"/>
      <c r="Q694" s="339"/>
      <c r="R694" s="340"/>
      <c r="S694" s="339"/>
      <c r="T694" s="340"/>
      <c r="U694" s="339"/>
      <c r="V694" s="340"/>
      <c r="W694" s="339"/>
      <c r="X694" s="339"/>
      <c r="Y694" s="339"/>
      <c r="Z694" s="340"/>
      <c r="AA694" s="339"/>
      <c r="AB694" s="339"/>
      <c r="AC694" s="339"/>
      <c r="AD694" s="339"/>
    </row>
    <row r="695" spans="1:30" ht="15.75" customHeight="1">
      <c r="A695" s="339"/>
      <c r="B695" s="339"/>
      <c r="C695" s="339"/>
      <c r="D695" s="339"/>
      <c r="E695" s="339"/>
      <c r="F695" s="339"/>
      <c r="G695" s="339"/>
      <c r="H695" s="339"/>
      <c r="I695" s="339"/>
      <c r="J695" s="339"/>
      <c r="K695" s="339"/>
      <c r="L695" s="340"/>
      <c r="M695" s="339"/>
      <c r="N695" s="340"/>
      <c r="O695" s="339"/>
      <c r="P695" s="340"/>
      <c r="Q695" s="339"/>
      <c r="R695" s="340"/>
      <c r="S695" s="339"/>
      <c r="T695" s="340"/>
      <c r="U695" s="339"/>
      <c r="V695" s="340"/>
      <c r="W695" s="339"/>
      <c r="X695" s="339"/>
      <c r="Y695" s="339"/>
      <c r="Z695" s="340"/>
      <c r="AA695" s="339"/>
      <c r="AB695" s="339"/>
      <c r="AC695" s="339"/>
      <c r="AD695" s="339"/>
    </row>
    <row r="696" spans="1:30" ht="15.75" customHeight="1">
      <c r="A696" s="339"/>
      <c r="B696" s="339"/>
      <c r="C696" s="339"/>
      <c r="D696" s="339"/>
      <c r="E696" s="339"/>
      <c r="F696" s="339"/>
      <c r="G696" s="339"/>
      <c r="H696" s="339"/>
      <c r="I696" s="339"/>
      <c r="J696" s="339"/>
      <c r="K696" s="339"/>
      <c r="L696" s="340"/>
      <c r="M696" s="339"/>
      <c r="N696" s="340"/>
      <c r="O696" s="339"/>
      <c r="P696" s="340"/>
      <c r="Q696" s="339"/>
      <c r="R696" s="340"/>
      <c r="S696" s="339"/>
      <c r="T696" s="340"/>
      <c r="U696" s="339"/>
      <c r="V696" s="340"/>
      <c r="W696" s="339"/>
      <c r="X696" s="339"/>
      <c r="Y696" s="339"/>
      <c r="Z696" s="340"/>
      <c r="AA696" s="339"/>
      <c r="AB696" s="339"/>
      <c r="AC696" s="339"/>
      <c r="AD696" s="339"/>
    </row>
    <row r="697" spans="1:30" ht="15.75" customHeight="1">
      <c r="A697" s="339"/>
      <c r="B697" s="339"/>
      <c r="C697" s="339"/>
      <c r="D697" s="339"/>
      <c r="E697" s="339"/>
      <c r="F697" s="339"/>
      <c r="G697" s="339"/>
      <c r="H697" s="339"/>
      <c r="I697" s="339"/>
      <c r="J697" s="339"/>
      <c r="K697" s="339"/>
      <c r="L697" s="340"/>
      <c r="M697" s="339"/>
      <c r="N697" s="340"/>
      <c r="O697" s="339"/>
      <c r="P697" s="340"/>
      <c r="Q697" s="339"/>
      <c r="R697" s="340"/>
      <c r="S697" s="339"/>
      <c r="T697" s="340"/>
      <c r="U697" s="339"/>
      <c r="V697" s="340"/>
      <c r="W697" s="339"/>
      <c r="X697" s="339"/>
      <c r="Y697" s="339"/>
      <c r="Z697" s="340"/>
      <c r="AA697" s="339"/>
      <c r="AB697" s="339"/>
      <c r="AC697" s="339"/>
      <c r="AD697" s="339"/>
    </row>
    <row r="698" spans="1:30" ht="15.75" customHeight="1">
      <c r="A698" s="339"/>
      <c r="B698" s="339"/>
      <c r="C698" s="339"/>
      <c r="D698" s="339"/>
      <c r="E698" s="339"/>
      <c r="F698" s="339"/>
      <c r="G698" s="339"/>
      <c r="H698" s="339"/>
      <c r="I698" s="339"/>
      <c r="J698" s="339"/>
      <c r="K698" s="339"/>
      <c r="L698" s="340"/>
      <c r="M698" s="339"/>
      <c r="N698" s="340"/>
      <c r="O698" s="339"/>
      <c r="P698" s="340"/>
      <c r="Q698" s="339"/>
      <c r="R698" s="340"/>
      <c r="S698" s="339"/>
      <c r="T698" s="340"/>
      <c r="U698" s="339"/>
      <c r="V698" s="340"/>
      <c r="W698" s="339"/>
      <c r="X698" s="339"/>
      <c r="Y698" s="339"/>
      <c r="Z698" s="340"/>
      <c r="AA698" s="339"/>
      <c r="AB698" s="339"/>
      <c r="AC698" s="339"/>
      <c r="AD698" s="339"/>
    </row>
    <row r="699" spans="1:30" ht="15.75" customHeight="1">
      <c r="A699" s="339"/>
      <c r="B699" s="339"/>
      <c r="C699" s="339"/>
      <c r="D699" s="339"/>
      <c r="E699" s="339"/>
      <c r="F699" s="339"/>
      <c r="G699" s="339"/>
      <c r="H699" s="339"/>
      <c r="I699" s="339"/>
      <c r="J699" s="339"/>
      <c r="K699" s="339"/>
      <c r="L699" s="340"/>
      <c r="M699" s="339"/>
      <c r="N699" s="340"/>
      <c r="O699" s="339"/>
      <c r="P699" s="340"/>
      <c r="Q699" s="339"/>
      <c r="R699" s="340"/>
      <c r="S699" s="339"/>
      <c r="T699" s="340"/>
      <c r="U699" s="339"/>
      <c r="V699" s="340"/>
      <c r="W699" s="339"/>
      <c r="X699" s="339"/>
      <c r="Y699" s="339"/>
      <c r="Z699" s="340"/>
      <c r="AA699" s="339"/>
      <c r="AB699" s="339"/>
      <c r="AC699" s="339"/>
      <c r="AD699" s="339"/>
    </row>
    <row r="700" spans="1:30" ht="15.75" customHeight="1">
      <c r="A700" s="339"/>
      <c r="B700" s="339"/>
      <c r="C700" s="339"/>
      <c r="D700" s="339"/>
      <c r="E700" s="339"/>
      <c r="F700" s="339"/>
      <c r="G700" s="339"/>
      <c r="H700" s="339"/>
      <c r="I700" s="339"/>
      <c r="J700" s="339"/>
      <c r="K700" s="339"/>
      <c r="L700" s="340"/>
      <c r="M700" s="339"/>
      <c r="N700" s="340"/>
      <c r="O700" s="339"/>
      <c r="P700" s="340"/>
      <c r="Q700" s="339"/>
      <c r="R700" s="340"/>
      <c r="S700" s="339"/>
      <c r="T700" s="340"/>
      <c r="U700" s="339"/>
      <c r="V700" s="340"/>
      <c r="W700" s="339"/>
      <c r="X700" s="339"/>
      <c r="Y700" s="339"/>
      <c r="Z700" s="340"/>
      <c r="AA700" s="339"/>
      <c r="AB700" s="339"/>
      <c r="AC700" s="339"/>
      <c r="AD700" s="339"/>
    </row>
    <row r="701" spans="1:30" ht="15.75" customHeight="1">
      <c r="A701" s="339"/>
      <c r="B701" s="339"/>
      <c r="C701" s="339"/>
      <c r="D701" s="339"/>
      <c r="E701" s="339"/>
      <c r="F701" s="339"/>
      <c r="G701" s="339"/>
      <c r="H701" s="339"/>
      <c r="I701" s="339"/>
      <c r="J701" s="339"/>
      <c r="K701" s="339"/>
      <c r="L701" s="340"/>
      <c r="M701" s="339"/>
      <c r="N701" s="340"/>
      <c r="O701" s="339"/>
      <c r="P701" s="340"/>
      <c r="Q701" s="339"/>
      <c r="R701" s="340"/>
      <c r="S701" s="339"/>
      <c r="T701" s="340"/>
      <c r="U701" s="339"/>
      <c r="V701" s="340"/>
      <c r="W701" s="339"/>
      <c r="X701" s="339"/>
      <c r="Y701" s="339"/>
      <c r="Z701" s="340"/>
      <c r="AA701" s="339"/>
      <c r="AB701" s="339"/>
      <c r="AC701" s="339"/>
      <c r="AD701" s="339"/>
    </row>
    <row r="702" spans="1:30" ht="15.75" customHeight="1">
      <c r="A702" s="339"/>
      <c r="B702" s="339"/>
      <c r="C702" s="339"/>
      <c r="D702" s="339"/>
      <c r="E702" s="339"/>
      <c r="F702" s="339"/>
      <c r="G702" s="339"/>
      <c r="H702" s="339"/>
      <c r="I702" s="339"/>
      <c r="J702" s="339"/>
      <c r="K702" s="339"/>
      <c r="L702" s="340"/>
      <c r="M702" s="339"/>
      <c r="N702" s="340"/>
      <c r="O702" s="339"/>
      <c r="P702" s="340"/>
      <c r="Q702" s="339"/>
      <c r="R702" s="340"/>
      <c r="S702" s="339"/>
      <c r="T702" s="340"/>
      <c r="U702" s="339"/>
      <c r="V702" s="340"/>
      <c r="W702" s="339"/>
      <c r="X702" s="339"/>
      <c r="Y702" s="339"/>
      <c r="Z702" s="340"/>
      <c r="AA702" s="339"/>
      <c r="AB702" s="339"/>
      <c r="AC702" s="339"/>
      <c r="AD702" s="339"/>
    </row>
    <row r="703" spans="1:30" ht="15.75" customHeight="1">
      <c r="A703" s="339"/>
      <c r="B703" s="339"/>
      <c r="C703" s="339"/>
      <c r="D703" s="339"/>
      <c r="E703" s="339"/>
      <c r="F703" s="339"/>
      <c r="G703" s="339"/>
      <c r="H703" s="339"/>
      <c r="I703" s="339"/>
      <c r="J703" s="339"/>
      <c r="K703" s="339"/>
      <c r="L703" s="340"/>
      <c r="M703" s="339"/>
      <c r="N703" s="340"/>
      <c r="O703" s="339"/>
      <c r="P703" s="340"/>
      <c r="Q703" s="339"/>
      <c r="R703" s="340"/>
      <c r="S703" s="339"/>
      <c r="T703" s="340"/>
      <c r="U703" s="339"/>
      <c r="V703" s="340"/>
      <c r="W703" s="339"/>
      <c r="X703" s="339"/>
      <c r="Y703" s="339"/>
      <c r="Z703" s="340"/>
      <c r="AA703" s="339"/>
      <c r="AB703" s="339"/>
      <c r="AC703" s="339"/>
      <c r="AD703" s="339"/>
    </row>
    <row r="704" spans="1:30" ht="15.75" customHeight="1">
      <c r="A704" s="339"/>
      <c r="B704" s="339"/>
      <c r="C704" s="339"/>
      <c r="D704" s="339"/>
      <c r="E704" s="339"/>
      <c r="F704" s="339"/>
      <c r="G704" s="339"/>
      <c r="H704" s="339"/>
      <c r="I704" s="339"/>
      <c r="J704" s="339"/>
      <c r="K704" s="339"/>
      <c r="L704" s="340"/>
      <c r="M704" s="339"/>
      <c r="N704" s="340"/>
      <c r="O704" s="339"/>
      <c r="P704" s="340"/>
      <c r="Q704" s="339"/>
      <c r="R704" s="340"/>
      <c r="S704" s="339"/>
      <c r="T704" s="340"/>
      <c r="U704" s="339"/>
      <c r="V704" s="340"/>
      <c r="W704" s="339"/>
      <c r="X704" s="339"/>
      <c r="Y704" s="339"/>
      <c r="Z704" s="340"/>
      <c r="AA704" s="339"/>
      <c r="AB704" s="339"/>
      <c r="AC704" s="339"/>
      <c r="AD704" s="339"/>
    </row>
    <row r="705" spans="1:30" ht="15.75" customHeight="1">
      <c r="A705" s="339"/>
      <c r="B705" s="339"/>
      <c r="C705" s="339"/>
      <c r="D705" s="339"/>
      <c r="E705" s="339"/>
      <c r="F705" s="339"/>
      <c r="G705" s="339"/>
      <c r="H705" s="339"/>
      <c r="I705" s="339"/>
      <c r="J705" s="339"/>
      <c r="K705" s="339"/>
      <c r="L705" s="340"/>
      <c r="M705" s="339"/>
      <c r="N705" s="340"/>
      <c r="O705" s="339"/>
      <c r="P705" s="340"/>
      <c r="Q705" s="339"/>
      <c r="R705" s="340"/>
      <c r="S705" s="339"/>
      <c r="T705" s="340"/>
      <c r="U705" s="339"/>
      <c r="V705" s="340"/>
      <c r="W705" s="339"/>
      <c r="X705" s="339"/>
      <c r="Y705" s="339"/>
      <c r="Z705" s="340"/>
      <c r="AA705" s="339"/>
      <c r="AB705" s="339"/>
      <c r="AC705" s="339"/>
      <c r="AD705" s="339"/>
    </row>
    <row r="706" spans="1:30" ht="15.75" customHeight="1">
      <c r="A706" s="339"/>
      <c r="B706" s="339"/>
      <c r="C706" s="339"/>
      <c r="D706" s="339"/>
      <c r="E706" s="339"/>
      <c r="F706" s="339"/>
      <c r="G706" s="339"/>
      <c r="H706" s="339"/>
      <c r="I706" s="339"/>
      <c r="J706" s="339"/>
      <c r="K706" s="339"/>
      <c r="L706" s="340"/>
      <c r="M706" s="339"/>
      <c r="N706" s="340"/>
      <c r="O706" s="339"/>
      <c r="P706" s="340"/>
      <c r="Q706" s="339"/>
      <c r="R706" s="340"/>
      <c r="S706" s="339"/>
      <c r="T706" s="340"/>
      <c r="U706" s="339"/>
      <c r="V706" s="340"/>
      <c r="W706" s="339"/>
      <c r="X706" s="339"/>
      <c r="Y706" s="339"/>
      <c r="Z706" s="340"/>
      <c r="AA706" s="339"/>
      <c r="AB706" s="339"/>
      <c r="AC706" s="339"/>
      <c r="AD706" s="339"/>
    </row>
    <row r="707" spans="1:30" ht="15.75" customHeight="1">
      <c r="A707" s="339"/>
      <c r="B707" s="339"/>
      <c r="C707" s="339"/>
      <c r="D707" s="339"/>
      <c r="E707" s="339"/>
      <c r="F707" s="339"/>
      <c r="G707" s="339"/>
      <c r="H707" s="339"/>
      <c r="I707" s="339"/>
      <c r="J707" s="339"/>
      <c r="K707" s="339"/>
      <c r="L707" s="340"/>
      <c r="M707" s="339"/>
      <c r="N707" s="340"/>
      <c r="O707" s="339"/>
      <c r="P707" s="340"/>
      <c r="Q707" s="339"/>
      <c r="R707" s="340"/>
      <c r="S707" s="339"/>
      <c r="T707" s="340"/>
      <c r="U707" s="339"/>
      <c r="V707" s="340"/>
      <c r="W707" s="339"/>
      <c r="X707" s="339"/>
      <c r="Y707" s="339"/>
      <c r="Z707" s="340"/>
      <c r="AA707" s="339"/>
      <c r="AB707" s="339"/>
      <c r="AC707" s="339"/>
      <c r="AD707" s="339"/>
    </row>
    <row r="708" spans="1:30" ht="15.75" customHeight="1">
      <c r="A708" s="339"/>
      <c r="B708" s="339"/>
      <c r="C708" s="339"/>
      <c r="D708" s="339"/>
      <c r="E708" s="339"/>
      <c r="F708" s="339"/>
      <c r="G708" s="339"/>
      <c r="H708" s="339"/>
      <c r="I708" s="339"/>
      <c r="J708" s="339"/>
      <c r="K708" s="339"/>
      <c r="L708" s="340"/>
      <c r="M708" s="339"/>
      <c r="N708" s="340"/>
      <c r="O708" s="339"/>
      <c r="P708" s="340"/>
      <c r="Q708" s="339"/>
      <c r="R708" s="340"/>
      <c r="S708" s="339"/>
      <c r="T708" s="340"/>
      <c r="U708" s="339"/>
      <c r="V708" s="340"/>
      <c r="W708" s="339"/>
      <c r="X708" s="339"/>
      <c r="Y708" s="339"/>
      <c r="Z708" s="340"/>
      <c r="AA708" s="339"/>
      <c r="AB708" s="339"/>
      <c r="AC708" s="339"/>
      <c r="AD708" s="339"/>
    </row>
    <row r="709" spans="1:30" ht="15.75" customHeight="1">
      <c r="A709" s="339"/>
      <c r="B709" s="339"/>
      <c r="C709" s="339"/>
      <c r="D709" s="339"/>
      <c r="E709" s="339"/>
      <c r="F709" s="339"/>
      <c r="G709" s="339"/>
      <c r="H709" s="339"/>
      <c r="I709" s="339"/>
      <c r="J709" s="339"/>
      <c r="K709" s="339"/>
      <c r="L709" s="340"/>
      <c r="M709" s="339"/>
      <c r="N709" s="340"/>
      <c r="O709" s="339"/>
      <c r="P709" s="340"/>
      <c r="Q709" s="339"/>
      <c r="R709" s="340"/>
      <c r="S709" s="339"/>
      <c r="T709" s="340"/>
      <c r="U709" s="339"/>
      <c r="V709" s="340"/>
      <c r="W709" s="339"/>
      <c r="X709" s="339"/>
      <c r="Y709" s="339"/>
      <c r="Z709" s="340"/>
      <c r="AA709" s="339"/>
      <c r="AB709" s="339"/>
      <c r="AC709" s="339"/>
      <c r="AD709" s="339"/>
    </row>
    <row r="710" spans="1:30" ht="15.75" customHeight="1">
      <c r="A710" s="339"/>
      <c r="B710" s="339"/>
      <c r="C710" s="339"/>
      <c r="D710" s="339"/>
      <c r="E710" s="339"/>
      <c r="F710" s="339"/>
      <c r="G710" s="339"/>
      <c r="H710" s="339"/>
      <c r="I710" s="339"/>
      <c r="J710" s="339"/>
      <c r="K710" s="339"/>
      <c r="L710" s="340"/>
      <c r="M710" s="339"/>
      <c r="N710" s="340"/>
      <c r="O710" s="339"/>
      <c r="P710" s="340"/>
      <c r="Q710" s="339"/>
      <c r="R710" s="340"/>
      <c r="S710" s="339"/>
      <c r="T710" s="340"/>
      <c r="U710" s="339"/>
      <c r="V710" s="340"/>
      <c r="W710" s="339"/>
      <c r="X710" s="339"/>
      <c r="Y710" s="339"/>
      <c r="Z710" s="340"/>
      <c r="AA710" s="339"/>
      <c r="AB710" s="339"/>
      <c r="AC710" s="339"/>
      <c r="AD710" s="339"/>
    </row>
    <row r="711" spans="1:30" ht="15.75" customHeight="1">
      <c r="A711" s="339"/>
      <c r="B711" s="339"/>
      <c r="C711" s="339"/>
      <c r="D711" s="339"/>
      <c r="E711" s="339"/>
      <c r="F711" s="339"/>
      <c r="G711" s="339"/>
      <c r="H711" s="339"/>
      <c r="I711" s="339"/>
      <c r="J711" s="339"/>
      <c r="K711" s="339"/>
      <c r="L711" s="340"/>
      <c r="M711" s="339"/>
      <c r="N711" s="340"/>
      <c r="O711" s="339"/>
      <c r="P711" s="340"/>
      <c r="Q711" s="339"/>
      <c r="R711" s="340"/>
      <c r="S711" s="339"/>
      <c r="T711" s="340"/>
      <c r="U711" s="339"/>
      <c r="V711" s="340"/>
      <c r="W711" s="339"/>
      <c r="X711" s="339"/>
      <c r="Y711" s="339"/>
      <c r="Z711" s="340"/>
      <c r="AA711" s="339"/>
      <c r="AB711" s="339"/>
      <c r="AC711" s="339"/>
      <c r="AD711" s="339"/>
    </row>
    <row r="712" spans="1:30" ht="15.75" customHeight="1">
      <c r="A712" s="339"/>
      <c r="B712" s="339"/>
      <c r="C712" s="339"/>
      <c r="D712" s="339"/>
      <c r="E712" s="339"/>
      <c r="F712" s="339"/>
      <c r="G712" s="339"/>
      <c r="H712" s="339"/>
      <c r="I712" s="339"/>
      <c r="J712" s="339"/>
      <c r="K712" s="339"/>
      <c r="L712" s="340"/>
      <c r="M712" s="339"/>
      <c r="N712" s="340"/>
      <c r="O712" s="339"/>
      <c r="P712" s="340"/>
      <c r="Q712" s="339"/>
      <c r="R712" s="340"/>
      <c r="S712" s="339"/>
      <c r="T712" s="340"/>
      <c r="U712" s="339"/>
      <c r="V712" s="340"/>
      <c r="W712" s="339"/>
      <c r="X712" s="339"/>
      <c r="Y712" s="339"/>
      <c r="Z712" s="340"/>
      <c r="AA712" s="339"/>
      <c r="AB712" s="339"/>
      <c r="AC712" s="339"/>
      <c r="AD712" s="339"/>
    </row>
    <row r="713" spans="1:30" ht="15.75" customHeight="1">
      <c r="A713" s="339"/>
      <c r="B713" s="339"/>
      <c r="C713" s="339"/>
      <c r="D713" s="339"/>
      <c r="E713" s="339"/>
      <c r="F713" s="339"/>
      <c r="G713" s="339"/>
      <c r="H713" s="339"/>
      <c r="I713" s="339"/>
      <c r="J713" s="339"/>
      <c r="K713" s="339"/>
      <c r="L713" s="340"/>
      <c r="M713" s="339"/>
      <c r="N713" s="340"/>
      <c r="O713" s="339"/>
      <c r="P713" s="340"/>
      <c r="Q713" s="339"/>
      <c r="R713" s="340"/>
      <c r="S713" s="339"/>
      <c r="T713" s="340"/>
      <c r="U713" s="339"/>
      <c r="V713" s="340"/>
      <c r="W713" s="339"/>
      <c r="X713" s="339"/>
      <c r="Y713" s="339"/>
      <c r="Z713" s="340"/>
      <c r="AA713" s="339"/>
      <c r="AB713" s="339"/>
      <c r="AC713" s="339"/>
      <c r="AD713" s="339"/>
    </row>
    <row r="714" spans="1:30" ht="15.75" customHeight="1">
      <c r="A714" s="339"/>
      <c r="B714" s="339"/>
      <c r="C714" s="339"/>
      <c r="D714" s="339"/>
      <c r="E714" s="339"/>
      <c r="F714" s="339"/>
      <c r="G714" s="339"/>
      <c r="H714" s="339"/>
      <c r="I714" s="339"/>
      <c r="J714" s="339"/>
      <c r="K714" s="339"/>
      <c r="L714" s="340"/>
      <c r="M714" s="339"/>
      <c r="N714" s="340"/>
      <c r="O714" s="339"/>
      <c r="P714" s="340"/>
      <c r="Q714" s="339"/>
      <c r="R714" s="340"/>
      <c r="S714" s="339"/>
      <c r="T714" s="340"/>
      <c r="U714" s="339"/>
      <c r="V714" s="340"/>
      <c r="W714" s="339"/>
      <c r="X714" s="339"/>
      <c r="Y714" s="339"/>
      <c r="Z714" s="340"/>
      <c r="AA714" s="339"/>
      <c r="AB714" s="339"/>
      <c r="AC714" s="339"/>
      <c r="AD714" s="339"/>
    </row>
    <row r="715" spans="1:30" ht="15.75" customHeight="1">
      <c r="A715" s="339"/>
      <c r="B715" s="339"/>
      <c r="C715" s="339"/>
      <c r="D715" s="339"/>
      <c r="E715" s="339"/>
      <c r="F715" s="339"/>
      <c r="G715" s="339"/>
      <c r="H715" s="339"/>
      <c r="I715" s="339"/>
      <c r="J715" s="339"/>
      <c r="K715" s="339"/>
      <c r="L715" s="340"/>
      <c r="M715" s="339"/>
      <c r="N715" s="340"/>
      <c r="O715" s="339"/>
      <c r="P715" s="340"/>
      <c r="Q715" s="339"/>
      <c r="R715" s="340"/>
      <c r="S715" s="339"/>
      <c r="T715" s="340"/>
      <c r="U715" s="339"/>
      <c r="V715" s="340"/>
      <c r="W715" s="339"/>
      <c r="X715" s="339"/>
      <c r="Y715" s="339"/>
      <c r="Z715" s="340"/>
      <c r="AA715" s="339"/>
      <c r="AB715" s="339"/>
      <c r="AC715" s="339"/>
      <c r="AD715" s="339"/>
    </row>
    <row r="716" spans="1:30" ht="15.75" customHeight="1">
      <c r="A716" s="339"/>
      <c r="B716" s="339"/>
      <c r="C716" s="339"/>
      <c r="D716" s="339"/>
      <c r="E716" s="339"/>
      <c r="F716" s="339"/>
      <c r="G716" s="339"/>
      <c r="H716" s="339"/>
      <c r="I716" s="339"/>
      <c r="J716" s="339"/>
      <c r="K716" s="339"/>
      <c r="L716" s="340"/>
      <c r="M716" s="339"/>
      <c r="N716" s="340"/>
      <c r="O716" s="339"/>
      <c r="P716" s="340"/>
      <c r="Q716" s="339"/>
      <c r="R716" s="340"/>
      <c r="S716" s="339"/>
      <c r="T716" s="340"/>
      <c r="U716" s="339"/>
      <c r="V716" s="340"/>
      <c r="W716" s="339"/>
      <c r="X716" s="339"/>
      <c r="Y716" s="339"/>
      <c r="Z716" s="340"/>
      <c r="AA716" s="339"/>
      <c r="AB716" s="339"/>
      <c r="AC716" s="339"/>
      <c r="AD716" s="339"/>
    </row>
    <row r="717" spans="1:30" ht="15.75" customHeight="1">
      <c r="A717" s="339"/>
      <c r="B717" s="339"/>
      <c r="C717" s="339"/>
      <c r="D717" s="339"/>
      <c r="E717" s="339"/>
      <c r="F717" s="339"/>
      <c r="G717" s="339"/>
      <c r="H717" s="339"/>
      <c r="I717" s="339"/>
      <c r="J717" s="339"/>
      <c r="K717" s="339"/>
      <c r="L717" s="340"/>
      <c r="M717" s="339"/>
      <c r="N717" s="340"/>
      <c r="O717" s="339"/>
      <c r="P717" s="340"/>
      <c r="Q717" s="339"/>
      <c r="R717" s="340"/>
      <c r="S717" s="339"/>
      <c r="T717" s="340"/>
      <c r="U717" s="339"/>
      <c r="V717" s="340"/>
      <c r="W717" s="339"/>
      <c r="X717" s="339"/>
      <c r="Y717" s="339"/>
      <c r="Z717" s="340"/>
      <c r="AA717" s="339"/>
      <c r="AB717" s="339"/>
      <c r="AC717" s="339"/>
      <c r="AD717" s="339"/>
    </row>
    <row r="718" spans="1:30" ht="15.75" customHeight="1">
      <c r="A718" s="339"/>
      <c r="B718" s="339"/>
      <c r="C718" s="339"/>
      <c r="D718" s="339"/>
      <c r="E718" s="339"/>
      <c r="F718" s="339"/>
      <c r="G718" s="339"/>
      <c r="H718" s="339"/>
      <c r="I718" s="339"/>
      <c r="J718" s="339"/>
      <c r="K718" s="339"/>
      <c r="L718" s="340"/>
      <c r="M718" s="339"/>
      <c r="N718" s="340"/>
      <c r="O718" s="339"/>
      <c r="P718" s="340"/>
      <c r="Q718" s="339"/>
      <c r="R718" s="340"/>
      <c r="S718" s="339"/>
      <c r="T718" s="340"/>
      <c r="U718" s="339"/>
      <c r="V718" s="340"/>
      <c r="W718" s="339"/>
      <c r="X718" s="339"/>
      <c r="Y718" s="339"/>
      <c r="Z718" s="340"/>
      <c r="AA718" s="339"/>
      <c r="AB718" s="339"/>
      <c r="AC718" s="339"/>
      <c r="AD718" s="339"/>
    </row>
    <row r="719" spans="1:30" ht="15.75" customHeight="1">
      <c r="A719" s="339"/>
      <c r="B719" s="339"/>
      <c r="C719" s="339"/>
      <c r="D719" s="339"/>
      <c r="E719" s="339"/>
      <c r="F719" s="339"/>
      <c r="G719" s="339"/>
      <c r="H719" s="339"/>
      <c r="I719" s="339"/>
      <c r="J719" s="339"/>
      <c r="K719" s="339"/>
      <c r="L719" s="340"/>
      <c r="M719" s="339"/>
      <c r="N719" s="340"/>
      <c r="O719" s="339"/>
      <c r="P719" s="340"/>
      <c r="Q719" s="339"/>
      <c r="R719" s="340"/>
      <c r="S719" s="339"/>
      <c r="T719" s="340"/>
      <c r="U719" s="339"/>
      <c r="V719" s="340"/>
      <c r="W719" s="339"/>
      <c r="X719" s="339"/>
      <c r="Y719" s="339"/>
      <c r="Z719" s="340"/>
      <c r="AA719" s="339"/>
      <c r="AB719" s="339"/>
      <c r="AC719" s="339"/>
      <c r="AD719" s="339"/>
    </row>
    <row r="720" spans="1:30" ht="15.75" customHeight="1">
      <c r="A720" s="339"/>
      <c r="B720" s="339"/>
      <c r="C720" s="339"/>
      <c r="D720" s="339"/>
      <c r="E720" s="339"/>
      <c r="F720" s="339"/>
      <c r="G720" s="339"/>
      <c r="H720" s="339"/>
      <c r="I720" s="339"/>
      <c r="J720" s="339"/>
      <c r="K720" s="339"/>
      <c r="L720" s="340"/>
      <c r="M720" s="339"/>
      <c r="N720" s="340"/>
      <c r="O720" s="339"/>
      <c r="P720" s="340"/>
      <c r="Q720" s="339"/>
      <c r="R720" s="340"/>
      <c r="S720" s="339"/>
      <c r="T720" s="340"/>
      <c r="U720" s="339"/>
      <c r="V720" s="340"/>
      <c r="W720" s="339"/>
      <c r="X720" s="339"/>
      <c r="Y720" s="339"/>
      <c r="Z720" s="340"/>
      <c r="AA720" s="339"/>
      <c r="AB720" s="339"/>
      <c r="AC720" s="339"/>
      <c r="AD720" s="339"/>
    </row>
    <row r="721" spans="1:30" ht="15.75" customHeight="1">
      <c r="A721" s="339"/>
      <c r="B721" s="339"/>
      <c r="C721" s="339"/>
      <c r="D721" s="339"/>
      <c r="E721" s="339"/>
      <c r="F721" s="339"/>
      <c r="G721" s="339"/>
      <c r="H721" s="339"/>
      <c r="I721" s="339"/>
      <c r="J721" s="339"/>
      <c r="K721" s="339"/>
      <c r="L721" s="340"/>
      <c r="M721" s="339"/>
      <c r="N721" s="340"/>
      <c r="O721" s="339"/>
      <c r="P721" s="340"/>
      <c r="Q721" s="339"/>
      <c r="R721" s="340"/>
      <c r="S721" s="339"/>
      <c r="T721" s="340"/>
      <c r="U721" s="339"/>
      <c r="V721" s="340"/>
      <c r="W721" s="339"/>
      <c r="X721" s="339"/>
      <c r="Y721" s="339"/>
      <c r="Z721" s="340"/>
      <c r="AA721" s="339"/>
      <c r="AB721" s="339"/>
      <c r="AC721" s="339"/>
      <c r="AD721" s="339"/>
    </row>
    <row r="722" spans="1:30" ht="15.75" customHeight="1">
      <c r="A722" s="339"/>
      <c r="B722" s="339"/>
      <c r="C722" s="339"/>
      <c r="D722" s="339"/>
      <c r="E722" s="339"/>
      <c r="F722" s="339"/>
      <c r="G722" s="339"/>
      <c r="H722" s="339"/>
      <c r="I722" s="339"/>
      <c r="J722" s="339"/>
      <c r="K722" s="339"/>
      <c r="L722" s="340"/>
      <c r="M722" s="339"/>
      <c r="N722" s="340"/>
      <c r="O722" s="339"/>
      <c r="P722" s="340"/>
      <c r="Q722" s="339"/>
      <c r="R722" s="340"/>
      <c r="S722" s="339"/>
      <c r="T722" s="340"/>
      <c r="U722" s="339"/>
      <c r="V722" s="340"/>
      <c r="W722" s="339"/>
      <c r="X722" s="339"/>
      <c r="Y722" s="339"/>
      <c r="Z722" s="340"/>
      <c r="AA722" s="339"/>
      <c r="AB722" s="339"/>
      <c r="AC722" s="339"/>
      <c r="AD722" s="339"/>
    </row>
    <row r="723" spans="1:30" ht="15.75" customHeight="1">
      <c r="A723" s="339"/>
      <c r="B723" s="339"/>
      <c r="C723" s="339"/>
      <c r="D723" s="339"/>
      <c r="E723" s="339"/>
      <c r="F723" s="339"/>
      <c r="G723" s="339"/>
      <c r="H723" s="339"/>
      <c r="I723" s="339"/>
      <c r="J723" s="339"/>
      <c r="K723" s="339"/>
      <c r="L723" s="340"/>
      <c r="M723" s="339"/>
      <c r="N723" s="340"/>
      <c r="O723" s="339"/>
      <c r="P723" s="340"/>
      <c r="Q723" s="339"/>
      <c r="R723" s="340"/>
      <c r="S723" s="339"/>
      <c r="T723" s="340"/>
      <c r="U723" s="339"/>
      <c r="V723" s="340"/>
      <c r="W723" s="339"/>
      <c r="X723" s="339"/>
      <c r="Y723" s="339"/>
      <c r="Z723" s="340"/>
      <c r="AA723" s="339"/>
      <c r="AB723" s="339"/>
      <c r="AC723" s="339"/>
      <c r="AD723" s="339"/>
    </row>
    <row r="724" spans="1:30" ht="15.75" customHeight="1">
      <c r="A724" s="339"/>
      <c r="B724" s="339"/>
      <c r="C724" s="339"/>
      <c r="D724" s="339"/>
      <c r="E724" s="339"/>
      <c r="F724" s="339"/>
      <c r="G724" s="339"/>
      <c r="H724" s="339"/>
      <c r="I724" s="339"/>
      <c r="J724" s="339"/>
      <c r="K724" s="339"/>
      <c r="L724" s="340"/>
      <c r="M724" s="339"/>
      <c r="N724" s="340"/>
      <c r="O724" s="339"/>
      <c r="P724" s="340"/>
      <c r="Q724" s="339"/>
      <c r="R724" s="340"/>
      <c r="S724" s="339"/>
      <c r="T724" s="340"/>
      <c r="U724" s="339"/>
      <c r="V724" s="340"/>
      <c r="W724" s="339"/>
      <c r="X724" s="339"/>
      <c r="Y724" s="339"/>
      <c r="Z724" s="340"/>
      <c r="AA724" s="339"/>
      <c r="AB724" s="339"/>
      <c r="AC724" s="339"/>
      <c r="AD724" s="339"/>
    </row>
    <row r="725" spans="1:30" ht="15.75" customHeight="1">
      <c r="A725" s="339"/>
      <c r="B725" s="339"/>
      <c r="C725" s="339"/>
      <c r="D725" s="339"/>
      <c r="E725" s="339"/>
      <c r="F725" s="339"/>
      <c r="G725" s="339"/>
      <c r="H725" s="339"/>
      <c r="I725" s="339"/>
      <c r="J725" s="339"/>
      <c r="K725" s="339"/>
      <c r="L725" s="340"/>
      <c r="M725" s="339"/>
      <c r="N725" s="340"/>
      <c r="O725" s="339"/>
      <c r="P725" s="340"/>
      <c r="Q725" s="339"/>
      <c r="R725" s="340"/>
      <c r="S725" s="339"/>
      <c r="T725" s="340"/>
      <c r="U725" s="339"/>
      <c r="V725" s="340"/>
      <c r="W725" s="339"/>
      <c r="X725" s="339"/>
      <c r="Y725" s="339"/>
      <c r="Z725" s="340"/>
      <c r="AA725" s="339"/>
      <c r="AB725" s="339"/>
      <c r="AC725" s="339"/>
      <c r="AD725" s="339"/>
    </row>
    <row r="726" spans="1:30" ht="15.75" customHeight="1">
      <c r="A726" s="339"/>
      <c r="B726" s="339"/>
      <c r="C726" s="339"/>
      <c r="D726" s="339"/>
      <c r="E726" s="339"/>
      <c r="F726" s="339"/>
      <c r="G726" s="339"/>
      <c r="H726" s="339"/>
      <c r="I726" s="339"/>
      <c r="J726" s="339"/>
      <c r="K726" s="339"/>
      <c r="L726" s="340"/>
      <c r="M726" s="339"/>
      <c r="N726" s="340"/>
      <c r="O726" s="339"/>
      <c r="P726" s="340"/>
      <c r="Q726" s="339"/>
      <c r="R726" s="340"/>
      <c r="S726" s="339"/>
      <c r="T726" s="340"/>
      <c r="U726" s="339"/>
      <c r="V726" s="340"/>
      <c r="W726" s="339"/>
      <c r="X726" s="339"/>
      <c r="Y726" s="339"/>
      <c r="Z726" s="340"/>
      <c r="AA726" s="339"/>
      <c r="AB726" s="339"/>
      <c r="AC726" s="339"/>
      <c r="AD726" s="339"/>
    </row>
    <row r="727" spans="1:30" ht="15.75" customHeight="1">
      <c r="A727" s="339"/>
      <c r="B727" s="339"/>
      <c r="C727" s="339"/>
      <c r="D727" s="339"/>
      <c r="E727" s="339"/>
      <c r="F727" s="339"/>
      <c r="G727" s="339"/>
      <c r="H727" s="339"/>
      <c r="I727" s="339"/>
      <c r="J727" s="339"/>
      <c r="K727" s="339"/>
      <c r="L727" s="340"/>
      <c r="M727" s="339"/>
      <c r="N727" s="340"/>
      <c r="O727" s="339"/>
      <c r="P727" s="340"/>
      <c r="Q727" s="339"/>
      <c r="R727" s="340"/>
      <c r="S727" s="339"/>
      <c r="T727" s="340"/>
      <c r="U727" s="339"/>
      <c r="V727" s="340"/>
      <c r="W727" s="339"/>
      <c r="X727" s="339"/>
      <c r="Y727" s="339"/>
      <c r="Z727" s="340"/>
      <c r="AA727" s="339"/>
      <c r="AB727" s="339"/>
      <c r="AC727" s="339"/>
      <c r="AD727" s="339"/>
    </row>
    <row r="728" spans="1:30" ht="15.75" customHeight="1">
      <c r="A728" s="339"/>
      <c r="B728" s="339"/>
      <c r="C728" s="339"/>
      <c r="D728" s="339"/>
      <c r="E728" s="339"/>
      <c r="F728" s="339"/>
      <c r="G728" s="339"/>
      <c r="H728" s="339"/>
      <c r="I728" s="339"/>
      <c r="J728" s="339"/>
      <c r="K728" s="339"/>
      <c r="L728" s="340"/>
      <c r="M728" s="339"/>
      <c r="N728" s="340"/>
      <c r="O728" s="339"/>
      <c r="P728" s="340"/>
      <c r="Q728" s="339"/>
      <c r="R728" s="340"/>
      <c r="S728" s="339"/>
      <c r="T728" s="340"/>
      <c r="U728" s="339"/>
      <c r="V728" s="340"/>
      <c r="W728" s="339"/>
      <c r="X728" s="339"/>
      <c r="Y728" s="339"/>
      <c r="Z728" s="340"/>
      <c r="AA728" s="339"/>
      <c r="AB728" s="339"/>
      <c r="AC728" s="339"/>
      <c r="AD728" s="339"/>
    </row>
    <row r="729" spans="1:30" ht="15.75" customHeight="1">
      <c r="A729" s="339"/>
      <c r="B729" s="339"/>
      <c r="C729" s="339"/>
      <c r="D729" s="339"/>
      <c r="E729" s="339"/>
      <c r="F729" s="339"/>
      <c r="G729" s="339"/>
      <c r="H729" s="339"/>
      <c r="I729" s="339"/>
      <c r="J729" s="339"/>
      <c r="K729" s="339"/>
      <c r="L729" s="340"/>
      <c r="M729" s="339"/>
      <c r="N729" s="340"/>
      <c r="O729" s="339"/>
      <c r="P729" s="340"/>
      <c r="Q729" s="339"/>
      <c r="R729" s="340"/>
      <c r="S729" s="339"/>
      <c r="T729" s="340"/>
      <c r="U729" s="339"/>
      <c r="V729" s="340"/>
      <c r="W729" s="339"/>
      <c r="X729" s="339"/>
      <c r="Y729" s="339"/>
      <c r="Z729" s="340"/>
      <c r="AA729" s="339"/>
      <c r="AB729" s="339"/>
      <c r="AC729" s="339"/>
      <c r="AD729" s="339"/>
    </row>
    <row r="730" spans="1:30" ht="15.75" customHeight="1">
      <c r="A730" s="339"/>
      <c r="B730" s="339"/>
      <c r="C730" s="339"/>
      <c r="D730" s="339"/>
      <c r="E730" s="339"/>
      <c r="F730" s="339"/>
      <c r="G730" s="339"/>
      <c r="H730" s="339"/>
      <c r="I730" s="339"/>
      <c r="J730" s="339"/>
      <c r="K730" s="339"/>
      <c r="L730" s="340"/>
      <c r="M730" s="339"/>
      <c r="N730" s="340"/>
      <c r="O730" s="339"/>
      <c r="P730" s="340"/>
      <c r="Q730" s="339"/>
      <c r="R730" s="340"/>
      <c r="S730" s="339"/>
      <c r="T730" s="340"/>
      <c r="U730" s="339"/>
      <c r="V730" s="340"/>
      <c r="W730" s="339"/>
      <c r="X730" s="339"/>
      <c r="Y730" s="339"/>
      <c r="Z730" s="340"/>
      <c r="AA730" s="339"/>
      <c r="AB730" s="339"/>
      <c r="AC730" s="339"/>
      <c r="AD730" s="339"/>
    </row>
    <row r="731" spans="1:30" ht="15.75" customHeight="1">
      <c r="A731" s="339"/>
      <c r="B731" s="339"/>
      <c r="C731" s="339"/>
      <c r="D731" s="339"/>
      <c r="E731" s="339"/>
      <c r="F731" s="339"/>
      <c r="G731" s="339"/>
      <c r="H731" s="339"/>
      <c r="I731" s="339"/>
      <c r="J731" s="339"/>
      <c r="K731" s="339"/>
      <c r="L731" s="340"/>
      <c r="M731" s="339"/>
      <c r="N731" s="340"/>
      <c r="O731" s="339"/>
      <c r="P731" s="340"/>
      <c r="Q731" s="339"/>
      <c r="R731" s="340"/>
      <c r="S731" s="339"/>
      <c r="T731" s="340"/>
      <c r="U731" s="339"/>
      <c r="V731" s="340"/>
      <c r="W731" s="339"/>
      <c r="X731" s="339"/>
      <c r="Y731" s="339"/>
      <c r="Z731" s="340"/>
      <c r="AA731" s="339"/>
      <c r="AB731" s="339"/>
      <c r="AC731" s="339"/>
      <c r="AD731" s="339"/>
    </row>
    <row r="732" spans="1:30" ht="15.75" customHeight="1">
      <c r="A732" s="339"/>
      <c r="B732" s="339"/>
      <c r="C732" s="339"/>
      <c r="D732" s="339"/>
      <c r="E732" s="339"/>
      <c r="F732" s="339"/>
      <c r="G732" s="339"/>
      <c r="H732" s="339"/>
      <c r="I732" s="339"/>
      <c r="J732" s="339"/>
      <c r="K732" s="339"/>
      <c r="L732" s="340"/>
      <c r="M732" s="339"/>
      <c r="N732" s="340"/>
      <c r="O732" s="339"/>
      <c r="P732" s="340"/>
      <c r="Q732" s="339"/>
      <c r="R732" s="340"/>
      <c r="S732" s="339"/>
      <c r="T732" s="340"/>
      <c r="U732" s="339"/>
      <c r="V732" s="340"/>
      <c r="W732" s="339"/>
      <c r="X732" s="339"/>
      <c r="Y732" s="339"/>
      <c r="Z732" s="340"/>
      <c r="AA732" s="339"/>
      <c r="AB732" s="339"/>
      <c r="AC732" s="339"/>
      <c r="AD732" s="339"/>
    </row>
    <row r="733" spans="1:30" ht="15.75" customHeight="1">
      <c r="A733" s="339"/>
      <c r="B733" s="339"/>
      <c r="C733" s="339"/>
      <c r="D733" s="339"/>
      <c r="E733" s="339"/>
      <c r="F733" s="339"/>
      <c r="G733" s="339"/>
      <c r="H733" s="339"/>
      <c r="I733" s="339"/>
      <c r="J733" s="339"/>
      <c r="K733" s="339"/>
      <c r="L733" s="340"/>
      <c r="M733" s="339"/>
      <c r="N733" s="340"/>
      <c r="O733" s="339"/>
      <c r="P733" s="340"/>
      <c r="Q733" s="339"/>
      <c r="R733" s="340"/>
      <c r="S733" s="339"/>
      <c r="T733" s="340"/>
      <c r="U733" s="339"/>
      <c r="V733" s="340"/>
      <c r="W733" s="339"/>
      <c r="X733" s="339"/>
      <c r="Y733" s="339"/>
      <c r="Z733" s="340"/>
      <c r="AA733" s="339"/>
      <c r="AB733" s="339"/>
      <c r="AC733" s="339"/>
      <c r="AD733" s="339"/>
    </row>
    <row r="734" spans="1:30" ht="15.75" customHeight="1">
      <c r="A734" s="339"/>
      <c r="B734" s="339"/>
      <c r="C734" s="339"/>
      <c r="D734" s="339"/>
      <c r="E734" s="339"/>
      <c r="F734" s="339"/>
      <c r="G734" s="339"/>
      <c r="H734" s="339"/>
      <c r="I734" s="339"/>
      <c r="J734" s="339"/>
      <c r="K734" s="339"/>
      <c r="L734" s="340"/>
      <c r="M734" s="339"/>
      <c r="N734" s="340"/>
      <c r="O734" s="339"/>
      <c r="P734" s="340"/>
      <c r="Q734" s="339"/>
      <c r="R734" s="340"/>
      <c r="S734" s="339"/>
      <c r="T734" s="340"/>
      <c r="U734" s="339"/>
      <c r="V734" s="340"/>
      <c r="W734" s="339"/>
      <c r="X734" s="339"/>
      <c r="Y734" s="339"/>
      <c r="Z734" s="340"/>
      <c r="AA734" s="339"/>
      <c r="AB734" s="339"/>
      <c r="AC734" s="339"/>
      <c r="AD734" s="339"/>
    </row>
    <row r="735" spans="1:30" ht="15.75" customHeight="1">
      <c r="A735" s="339"/>
      <c r="B735" s="339"/>
      <c r="C735" s="339"/>
      <c r="D735" s="339"/>
      <c r="E735" s="339"/>
      <c r="F735" s="339"/>
      <c r="G735" s="339"/>
      <c r="H735" s="339"/>
      <c r="I735" s="339"/>
      <c r="J735" s="339"/>
      <c r="K735" s="339"/>
      <c r="L735" s="340"/>
      <c r="M735" s="339"/>
      <c r="N735" s="340"/>
      <c r="O735" s="339"/>
      <c r="P735" s="340"/>
      <c r="Q735" s="339"/>
      <c r="R735" s="340"/>
      <c r="S735" s="339"/>
      <c r="T735" s="340"/>
      <c r="U735" s="339"/>
      <c r="V735" s="340"/>
      <c r="W735" s="339"/>
      <c r="X735" s="339"/>
      <c r="Y735" s="339"/>
      <c r="Z735" s="340"/>
      <c r="AA735" s="339"/>
      <c r="AB735" s="339"/>
      <c r="AC735" s="339"/>
      <c r="AD735" s="339"/>
    </row>
    <row r="736" spans="1:30" ht="15.75" customHeight="1">
      <c r="A736" s="339"/>
      <c r="B736" s="339"/>
      <c r="C736" s="339"/>
      <c r="D736" s="339"/>
      <c r="E736" s="339"/>
      <c r="F736" s="339"/>
      <c r="G736" s="339"/>
      <c r="H736" s="339"/>
      <c r="I736" s="339"/>
      <c r="J736" s="339"/>
      <c r="K736" s="339"/>
      <c r="L736" s="340"/>
      <c r="M736" s="339"/>
      <c r="N736" s="340"/>
      <c r="O736" s="339"/>
      <c r="P736" s="340"/>
      <c r="Q736" s="339"/>
      <c r="R736" s="340"/>
      <c r="S736" s="339"/>
      <c r="T736" s="340"/>
      <c r="U736" s="339"/>
      <c r="V736" s="340"/>
      <c r="W736" s="339"/>
      <c r="X736" s="339"/>
      <c r="Y736" s="339"/>
      <c r="Z736" s="340"/>
      <c r="AA736" s="339"/>
      <c r="AB736" s="339"/>
      <c r="AC736" s="339"/>
      <c r="AD736" s="339"/>
    </row>
    <row r="737" spans="1:30" ht="15.75" customHeight="1">
      <c r="A737" s="339"/>
      <c r="B737" s="339"/>
      <c r="C737" s="339"/>
      <c r="D737" s="339"/>
      <c r="E737" s="339"/>
      <c r="F737" s="339"/>
      <c r="G737" s="339"/>
      <c r="H737" s="339"/>
      <c r="I737" s="339"/>
      <c r="J737" s="339"/>
      <c r="K737" s="339"/>
      <c r="L737" s="340"/>
      <c r="M737" s="339"/>
      <c r="N737" s="340"/>
      <c r="O737" s="339"/>
      <c r="P737" s="340"/>
      <c r="Q737" s="339"/>
      <c r="R737" s="340"/>
      <c r="S737" s="339"/>
      <c r="T737" s="340"/>
      <c r="U737" s="339"/>
      <c r="V737" s="340"/>
      <c r="W737" s="339"/>
      <c r="X737" s="339"/>
      <c r="Y737" s="339"/>
      <c r="Z737" s="340"/>
      <c r="AA737" s="339"/>
      <c r="AB737" s="339"/>
      <c r="AC737" s="339"/>
      <c r="AD737" s="339"/>
    </row>
    <row r="738" spans="1:30" ht="15.75" customHeight="1">
      <c r="A738" s="339"/>
      <c r="B738" s="339"/>
      <c r="C738" s="339"/>
      <c r="D738" s="339"/>
      <c r="E738" s="339"/>
      <c r="F738" s="339"/>
      <c r="G738" s="339"/>
      <c r="H738" s="339"/>
      <c r="I738" s="339"/>
      <c r="J738" s="339"/>
      <c r="K738" s="339"/>
      <c r="L738" s="340"/>
      <c r="M738" s="339"/>
      <c r="N738" s="340"/>
      <c r="O738" s="339"/>
      <c r="P738" s="340"/>
      <c r="Q738" s="339"/>
      <c r="R738" s="340"/>
      <c r="S738" s="339"/>
      <c r="T738" s="340"/>
      <c r="U738" s="339"/>
      <c r="V738" s="340"/>
      <c r="W738" s="339"/>
      <c r="X738" s="339"/>
      <c r="Y738" s="339"/>
      <c r="Z738" s="340"/>
      <c r="AA738" s="339"/>
      <c r="AB738" s="339"/>
      <c r="AC738" s="339"/>
      <c r="AD738" s="339"/>
    </row>
    <row r="739" spans="1:30" ht="15.75" customHeight="1">
      <c r="A739" s="339"/>
      <c r="B739" s="339"/>
      <c r="C739" s="339"/>
      <c r="D739" s="339"/>
      <c r="E739" s="339"/>
      <c r="F739" s="339"/>
      <c r="G739" s="339"/>
      <c r="H739" s="339"/>
      <c r="I739" s="339"/>
      <c r="J739" s="339"/>
      <c r="K739" s="339"/>
      <c r="L739" s="340"/>
      <c r="M739" s="339"/>
      <c r="N739" s="340"/>
      <c r="O739" s="339"/>
      <c r="P739" s="340"/>
      <c r="Q739" s="339"/>
      <c r="R739" s="340"/>
      <c r="S739" s="339"/>
      <c r="T739" s="340"/>
      <c r="U739" s="339"/>
      <c r="V739" s="340"/>
      <c r="W739" s="339"/>
      <c r="X739" s="339"/>
      <c r="Y739" s="339"/>
      <c r="Z739" s="340"/>
      <c r="AA739" s="339"/>
      <c r="AB739" s="339"/>
      <c r="AC739" s="339"/>
      <c r="AD739" s="339"/>
    </row>
    <row r="740" spans="1:30" ht="15.75" customHeight="1">
      <c r="A740" s="339"/>
      <c r="B740" s="339"/>
      <c r="C740" s="339"/>
      <c r="D740" s="339"/>
      <c r="E740" s="339"/>
      <c r="F740" s="339"/>
      <c r="G740" s="339"/>
      <c r="H740" s="339"/>
      <c r="I740" s="339"/>
      <c r="J740" s="339"/>
      <c r="K740" s="339"/>
      <c r="L740" s="340"/>
      <c r="M740" s="339"/>
      <c r="N740" s="340"/>
      <c r="O740" s="339"/>
      <c r="P740" s="340"/>
      <c r="Q740" s="339"/>
      <c r="R740" s="340"/>
      <c r="S740" s="339"/>
      <c r="T740" s="340"/>
      <c r="U740" s="339"/>
      <c r="V740" s="340"/>
      <c r="W740" s="339"/>
      <c r="X740" s="339"/>
      <c r="Y740" s="339"/>
      <c r="Z740" s="340"/>
      <c r="AA740" s="339"/>
      <c r="AB740" s="339"/>
      <c r="AC740" s="339"/>
      <c r="AD740" s="339"/>
    </row>
    <row r="741" spans="1:30" ht="15.75" customHeight="1">
      <c r="A741" s="339"/>
      <c r="B741" s="339"/>
      <c r="C741" s="339"/>
      <c r="D741" s="339"/>
      <c r="E741" s="339"/>
      <c r="F741" s="339"/>
      <c r="G741" s="339"/>
      <c r="H741" s="339"/>
      <c r="I741" s="339"/>
      <c r="J741" s="339"/>
      <c r="K741" s="339"/>
      <c r="L741" s="340"/>
      <c r="M741" s="339"/>
      <c r="N741" s="340"/>
      <c r="O741" s="339"/>
      <c r="P741" s="340"/>
      <c r="Q741" s="339"/>
      <c r="R741" s="340"/>
      <c r="S741" s="339"/>
      <c r="T741" s="340"/>
      <c r="U741" s="339"/>
      <c r="V741" s="340"/>
      <c r="W741" s="339"/>
      <c r="X741" s="339"/>
      <c r="Y741" s="339"/>
      <c r="Z741" s="340"/>
      <c r="AA741" s="339"/>
      <c r="AB741" s="339"/>
      <c r="AC741" s="339"/>
      <c r="AD741" s="339"/>
    </row>
    <row r="742" spans="1:30" ht="15.75" customHeight="1">
      <c r="A742" s="339"/>
      <c r="B742" s="339"/>
      <c r="C742" s="339"/>
      <c r="D742" s="339"/>
      <c r="E742" s="339"/>
      <c r="F742" s="339"/>
      <c r="G742" s="339"/>
      <c r="H742" s="339"/>
      <c r="I742" s="339"/>
      <c r="J742" s="339"/>
      <c r="K742" s="339"/>
      <c r="L742" s="340"/>
      <c r="M742" s="339"/>
      <c r="N742" s="340"/>
      <c r="O742" s="339"/>
      <c r="P742" s="340"/>
      <c r="Q742" s="339"/>
      <c r="R742" s="340"/>
      <c r="S742" s="339"/>
      <c r="T742" s="340"/>
      <c r="U742" s="339"/>
      <c r="V742" s="340"/>
      <c r="W742" s="339"/>
      <c r="X742" s="339"/>
      <c r="Y742" s="339"/>
      <c r="Z742" s="340"/>
      <c r="AA742" s="339"/>
      <c r="AB742" s="339"/>
      <c r="AC742" s="339"/>
      <c r="AD742" s="339"/>
    </row>
    <row r="743" spans="1:30" ht="15.75" customHeight="1">
      <c r="A743" s="339"/>
      <c r="B743" s="339"/>
      <c r="C743" s="339"/>
      <c r="D743" s="339"/>
      <c r="E743" s="339"/>
      <c r="F743" s="339"/>
      <c r="G743" s="339"/>
      <c r="H743" s="339"/>
      <c r="I743" s="339"/>
      <c r="J743" s="339"/>
      <c r="K743" s="339"/>
      <c r="L743" s="340"/>
      <c r="M743" s="339"/>
      <c r="N743" s="340"/>
      <c r="O743" s="339"/>
      <c r="P743" s="340"/>
      <c r="Q743" s="339"/>
      <c r="R743" s="340"/>
      <c r="S743" s="339"/>
      <c r="T743" s="340"/>
      <c r="U743" s="339"/>
      <c r="V743" s="340"/>
      <c r="W743" s="339"/>
      <c r="X743" s="339"/>
      <c r="Y743" s="339"/>
      <c r="Z743" s="340"/>
      <c r="AA743" s="339"/>
      <c r="AB743" s="339"/>
      <c r="AC743" s="339"/>
      <c r="AD743" s="339"/>
    </row>
    <row r="744" spans="1:30" ht="15.75" customHeight="1">
      <c r="A744" s="339"/>
      <c r="B744" s="339"/>
      <c r="C744" s="339"/>
      <c r="D744" s="339"/>
      <c r="E744" s="339"/>
      <c r="F744" s="339"/>
      <c r="G744" s="339"/>
      <c r="H744" s="339"/>
      <c r="I744" s="339"/>
      <c r="J744" s="339"/>
      <c r="K744" s="339"/>
      <c r="L744" s="340"/>
      <c r="M744" s="339"/>
      <c r="N744" s="340"/>
      <c r="O744" s="339"/>
      <c r="P744" s="340"/>
      <c r="Q744" s="339"/>
      <c r="R744" s="340"/>
      <c r="S744" s="339"/>
      <c r="T744" s="340"/>
      <c r="U744" s="339"/>
      <c r="V744" s="340"/>
      <c r="W744" s="339"/>
      <c r="X744" s="339"/>
      <c r="Y744" s="339"/>
      <c r="Z744" s="340"/>
      <c r="AA744" s="339"/>
      <c r="AB744" s="339"/>
      <c r="AC744" s="339"/>
      <c r="AD744" s="339"/>
    </row>
    <row r="745" spans="1:30" ht="15.75" customHeight="1">
      <c r="A745" s="339"/>
      <c r="B745" s="339"/>
      <c r="C745" s="339"/>
      <c r="D745" s="339"/>
      <c r="E745" s="339"/>
      <c r="F745" s="339"/>
      <c r="G745" s="339"/>
      <c r="H745" s="339"/>
      <c r="I745" s="339"/>
      <c r="J745" s="339"/>
      <c r="K745" s="339"/>
      <c r="L745" s="340"/>
      <c r="M745" s="339"/>
      <c r="N745" s="340"/>
      <c r="O745" s="339"/>
      <c r="P745" s="340"/>
      <c r="Q745" s="339"/>
      <c r="R745" s="340"/>
      <c r="S745" s="339"/>
      <c r="T745" s="340"/>
      <c r="U745" s="339"/>
      <c r="V745" s="340"/>
      <c r="W745" s="339"/>
      <c r="X745" s="339"/>
      <c r="Y745" s="339"/>
      <c r="Z745" s="340"/>
      <c r="AA745" s="339"/>
      <c r="AB745" s="339"/>
      <c r="AC745" s="339"/>
      <c r="AD745" s="339"/>
    </row>
    <row r="746" spans="1:30" ht="15.75" customHeight="1">
      <c r="A746" s="339"/>
      <c r="B746" s="339"/>
      <c r="C746" s="339"/>
      <c r="D746" s="339"/>
      <c r="E746" s="339"/>
      <c r="F746" s="339"/>
      <c r="G746" s="339"/>
      <c r="H746" s="339"/>
      <c r="I746" s="339"/>
      <c r="J746" s="339"/>
      <c r="K746" s="339"/>
      <c r="L746" s="340"/>
      <c r="M746" s="339"/>
      <c r="N746" s="340"/>
      <c r="O746" s="339"/>
      <c r="P746" s="340"/>
      <c r="Q746" s="339"/>
      <c r="R746" s="340"/>
      <c r="S746" s="339"/>
      <c r="T746" s="340"/>
      <c r="U746" s="339"/>
      <c r="V746" s="340"/>
      <c r="W746" s="339"/>
      <c r="X746" s="339"/>
      <c r="Y746" s="339"/>
      <c r="Z746" s="340"/>
      <c r="AA746" s="339"/>
      <c r="AB746" s="339"/>
      <c r="AC746" s="339"/>
      <c r="AD746" s="339"/>
    </row>
    <row r="747" spans="1:30" ht="15.75" customHeight="1">
      <c r="A747" s="339"/>
      <c r="B747" s="339"/>
      <c r="C747" s="339"/>
      <c r="D747" s="339"/>
      <c r="E747" s="339"/>
      <c r="F747" s="339"/>
      <c r="G747" s="339"/>
      <c r="H747" s="339"/>
      <c r="I747" s="339"/>
      <c r="J747" s="339"/>
      <c r="K747" s="339"/>
      <c r="L747" s="340"/>
      <c r="M747" s="339"/>
      <c r="N747" s="340"/>
      <c r="O747" s="339"/>
      <c r="P747" s="340"/>
      <c r="Q747" s="339"/>
      <c r="R747" s="340"/>
      <c r="S747" s="339"/>
      <c r="T747" s="340"/>
      <c r="U747" s="339"/>
      <c r="V747" s="340"/>
      <c r="W747" s="339"/>
      <c r="X747" s="339"/>
      <c r="Y747" s="339"/>
      <c r="Z747" s="340"/>
      <c r="AA747" s="339"/>
      <c r="AB747" s="339"/>
      <c r="AC747" s="339"/>
      <c r="AD747" s="339"/>
    </row>
    <row r="748" spans="1:30" ht="15.75" customHeight="1">
      <c r="A748" s="339"/>
      <c r="B748" s="339"/>
      <c r="C748" s="339"/>
      <c r="D748" s="339"/>
      <c r="E748" s="339"/>
      <c r="F748" s="339"/>
      <c r="G748" s="339"/>
      <c r="H748" s="339"/>
      <c r="I748" s="339"/>
      <c r="J748" s="339"/>
      <c r="K748" s="339"/>
      <c r="L748" s="340"/>
      <c r="M748" s="339"/>
      <c r="N748" s="340"/>
      <c r="O748" s="339"/>
      <c r="P748" s="340"/>
      <c r="Q748" s="339"/>
      <c r="R748" s="340"/>
      <c r="S748" s="339"/>
      <c r="T748" s="340"/>
      <c r="U748" s="339"/>
      <c r="V748" s="340"/>
      <c r="W748" s="339"/>
      <c r="X748" s="339"/>
      <c r="Y748" s="339"/>
      <c r="Z748" s="340"/>
      <c r="AA748" s="339"/>
      <c r="AB748" s="339"/>
      <c r="AC748" s="339"/>
      <c r="AD748" s="339"/>
    </row>
    <row r="749" spans="1:30" ht="15.75" customHeight="1">
      <c r="A749" s="339"/>
      <c r="B749" s="339"/>
      <c r="C749" s="339"/>
      <c r="D749" s="339"/>
      <c r="E749" s="339"/>
      <c r="F749" s="339"/>
      <c r="G749" s="339"/>
      <c r="H749" s="339"/>
      <c r="I749" s="339"/>
      <c r="J749" s="339"/>
      <c r="K749" s="339"/>
      <c r="L749" s="340"/>
      <c r="M749" s="339"/>
      <c r="N749" s="340"/>
      <c r="O749" s="339"/>
      <c r="P749" s="340"/>
      <c r="Q749" s="339"/>
      <c r="R749" s="340"/>
      <c r="S749" s="339"/>
      <c r="T749" s="340"/>
      <c r="U749" s="339"/>
      <c r="V749" s="340"/>
      <c r="W749" s="339"/>
      <c r="X749" s="339"/>
      <c r="Y749" s="339"/>
      <c r="Z749" s="340"/>
      <c r="AA749" s="339"/>
      <c r="AB749" s="339"/>
      <c r="AC749" s="339"/>
      <c r="AD749" s="339"/>
    </row>
    <row r="750" spans="1:30" ht="15.75" customHeight="1">
      <c r="A750" s="339"/>
      <c r="B750" s="339"/>
      <c r="C750" s="339"/>
      <c r="D750" s="339"/>
      <c r="E750" s="339"/>
      <c r="F750" s="339"/>
      <c r="G750" s="339"/>
      <c r="H750" s="339"/>
      <c r="I750" s="339"/>
      <c r="J750" s="339"/>
      <c r="K750" s="339"/>
      <c r="L750" s="340"/>
      <c r="M750" s="339"/>
      <c r="N750" s="340"/>
      <c r="O750" s="339"/>
      <c r="P750" s="340"/>
      <c r="Q750" s="339"/>
      <c r="R750" s="340"/>
      <c r="S750" s="339"/>
      <c r="T750" s="340"/>
      <c r="U750" s="339"/>
      <c r="V750" s="340"/>
      <c r="W750" s="339"/>
      <c r="X750" s="339"/>
      <c r="Y750" s="339"/>
      <c r="Z750" s="340"/>
      <c r="AA750" s="339"/>
      <c r="AB750" s="339"/>
      <c r="AC750" s="339"/>
      <c r="AD750" s="339"/>
    </row>
    <row r="751" spans="1:30" ht="15.75" customHeight="1">
      <c r="A751" s="339"/>
      <c r="B751" s="339"/>
      <c r="C751" s="339"/>
      <c r="D751" s="339"/>
      <c r="E751" s="339"/>
      <c r="F751" s="339"/>
      <c r="G751" s="339"/>
      <c r="H751" s="339"/>
      <c r="I751" s="339"/>
      <c r="J751" s="339"/>
      <c r="K751" s="339"/>
      <c r="L751" s="340"/>
      <c r="M751" s="339"/>
      <c r="N751" s="340"/>
      <c r="O751" s="339"/>
      <c r="P751" s="340"/>
      <c r="Q751" s="339"/>
      <c r="R751" s="340"/>
      <c r="S751" s="339"/>
      <c r="T751" s="340"/>
      <c r="U751" s="339"/>
      <c r="V751" s="340"/>
      <c r="W751" s="339"/>
      <c r="X751" s="339"/>
      <c r="Y751" s="339"/>
      <c r="Z751" s="340"/>
      <c r="AA751" s="339"/>
      <c r="AB751" s="339"/>
      <c r="AC751" s="339"/>
      <c r="AD751" s="339"/>
    </row>
    <row r="752" spans="1:30" ht="15.75" customHeight="1">
      <c r="A752" s="339"/>
      <c r="B752" s="339"/>
      <c r="C752" s="339"/>
      <c r="D752" s="339"/>
      <c r="E752" s="339"/>
      <c r="F752" s="339"/>
      <c r="G752" s="339"/>
      <c r="H752" s="339"/>
      <c r="I752" s="339"/>
      <c r="J752" s="339"/>
      <c r="K752" s="339"/>
      <c r="L752" s="340"/>
      <c r="M752" s="339"/>
      <c r="N752" s="340"/>
      <c r="O752" s="339"/>
      <c r="P752" s="340"/>
      <c r="Q752" s="339"/>
      <c r="R752" s="340"/>
      <c r="S752" s="339"/>
      <c r="T752" s="340"/>
      <c r="U752" s="339"/>
      <c r="V752" s="340"/>
      <c r="W752" s="339"/>
      <c r="X752" s="339"/>
      <c r="Y752" s="339"/>
      <c r="Z752" s="340"/>
      <c r="AA752" s="339"/>
      <c r="AB752" s="339"/>
      <c r="AC752" s="339"/>
      <c r="AD752" s="339"/>
    </row>
    <row r="753" spans="1:30" ht="15.75" customHeight="1">
      <c r="A753" s="339"/>
      <c r="B753" s="339"/>
      <c r="C753" s="339"/>
      <c r="D753" s="339"/>
      <c r="E753" s="339"/>
      <c r="F753" s="339"/>
      <c r="G753" s="339"/>
      <c r="H753" s="339"/>
      <c r="I753" s="339"/>
      <c r="J753" s="339"/>
      <c r="K753" s="339"/>
      <c r="L753" s="340"/>
      <c r="M753" s="339"/>
      <c r="N753" s="340"/>
      <c r="O753" s="339"/>
      <c r="P753" s="340"/>
      <c r="Q753" s="339"/>
      <c r="R753" s="340"/>
      <c r="S753" s="339"/>
      <c r="T753" s="340"/>
      <c r="U753" s="339"/>
      <c r="V753" s="340"/>
      <c r="W753" s="339"/>
      <c r="X753" s="339"/>
      <c r="Y753" s="339"/>
      <c r="Z753" s="340"/>
      <c r="AA753" s="339"/>
      <c r="AB753" s="339"/>
      <c r="AC753" s="339"/>
      <c r="AD753" s="339"/>
    </row>
    <row r="754" spans="1:30" ht="15.75" customHeight="1">
      <c r="A754" s="339"/>
      <c r="B754" s="339"/>
      <c r="C754" s="339"/>
      <c r="D754" s="339"/>
      <c r="E754" s="339"/>
      <c r="F754" s="339"/>
      <c r="G754" s="339"/>
      <c r="H754" s="339"/>
      <c r="I754" s="339"/>
      <c r="J754" s="339"/>
      <c r="K754" s="339"/>
      <c r="L754" s="340"/>
      <c r="M754" s="339"/>
      <c r="N754" s="340"/>
      <c r="O754" s="339"/>
      <c r="P754" s="340"/>
      <c r="Q754" s="339"/>
      <c r="R754" s="340"/>
      <c r="S754" s="339"/>
      <c r="T754" s="340"/>
      <c r="U754" s="339"/>
      <c r="V754" s="340"/>
      <c r="W754" s="339"/>
      <c r="X754" s="339"/>
      <c r="Y754" s="339"/>
      <c r="Z754" s="340"/>
      <c r="AA754" s="339"/>
      <c r="AB754" s="339"/>
      <c r="AC754" s="339"/>
      <c r="AD754" s="339"/>
    </row>
    <row r="755" spans="1:30" ht="15.75" customHeight="1">
      <c r="A755" s="339"/>
      <c r="B755" s="339"/>
      <c r="C755" s="339"/>
      <c r="D755" s="339"/>
      <c r="E755" s="339"/>
      <c r="F755" s="339"/>
      <c r="G755" s="339"/>
      <c r="H755" s="339"/>
      <c r="I755" s="339"/>
      <c r="J755" s="339"/>
      <c r="K755" s="339"/>
      <c r="L755" s="340"/>
      <c r="M755" s="339"/>
      <c r="N755" s="340"/>
      <c r="O755" s="339"/>
      <c r="P755" s="340"/>
      <c r="Q755" s="339"/>
      <c r="R755" s="340"/>
      <c r="S755" s="339"/>
      <c r="T755" s="340"/>
      <c r="U755" s="339"/>
      <c r="V755" s="340"/>
      <c r="W755" s="339"/>
      <c r="X755" s="339"/>
      <c r="Y755" s="339"/>
      <c r="Z755" s="340"/>
      <c r="AA755" s="339"/>
      <c r="AB755" s="339"/>
      <c r="AC755" s="339"/>
      <c r="AD755" s="339"/>
    </row>
    <row r="756" spans="1:30" ht="15.75" customHeight="1">
      <c r="A756" s="339"/>
      <c r="B756" s="339"/>
      <c r="C756" s="339"/>
      <c r="D756" s="339"/>
      <c r="E756" s="339"/>
      <c r="F756" s="339"/>
      <c r="G756" s="339"/>
      <c r="H756" s="339"/>
      <c r="I756" s="339"/>
      <c r="J756" s="339"/>
      <c r="K756" s="339"/>
      <c r="L756" s="340"/>
      <c r="M756" s="339"/>
      <c r="N756" s="340"/>
      <c r="O756" s="339"/>
      <c r="P756" s="340"/>
      <c r="Q756" s="339"/>
      <c r="R756" s="340"/>
      <c r="S756" s="339"/>
      <c r="T756" s="340"/>
      <c r="U756" s="339"/>
      <c r="V756" s="340"/>
      <c r="W756" s="339"/>
      <c r="X756" s="339"/>
      <c r="Y756" s="339"/>
      <c r="Z756" s="340"/>
      <c r="AA756" s="339"/>
      <c r="AB756" s="339"/>
      <c r="AC756" s="339"/>
      <c r="AD756" s="339"/>
    </row>
    <row r="757" spans="1:30" ht="15.75" customHeight="1">
      <c r="A757" s="339"/>
      <c r="B757" s="339"/>
      <c r="C757" s="339"/>
      <c r="D757" s="339"/>
      <c r="E757" s="339"/>
      <c r="F757" s="339"/>
      <c r="G757" s="339"/>
      <c r="H757" s="339"/>
      <c r="I757" s="339"/>
      <c r="J757" s="339"/>
      <c r="K757" s="339"/>
      <c r="L757" s="340"/>
      <c r="M757" s="339"/>
      <c r="N757" s="340"/>
      <c r="O757" s="339"/>
      <c r="P757" s="340"/>
      <c r="Q757" s="339"/>
      <c r="R757" s="340"/>
      <c r="S757" s="339"/>
      <c r="T757" s="340"/>
      <c r="U757" s="339"/>
      <c r="V757" s="340"/>
      <c r="W757" s="339"/>
      <c r="X757" s="339"/>
      <c r="Y757" s="339"/>
      <c r="Z757" s="340"/>
      <c r="AA757" s="339"/>
      <c r="AB757" s="339"/>
      <c r="AC757" s="339"/>
      <c r="AD757" s="339"/>
    </row>
    <row r="758" spans="1:30" ht="15.75" customHeight="1">
      <c r="A758" s="339"/>
      <c r="B758" s="339"/>
      <c r="C758" s="339"/>
      <c r="D758" s="339"/>
      <c r="E758" s="339"/>
      <c r="F758" s="339"/>
      <c r="G758" s="339"/>
      <c r="H758" s="339"/>
      <c r="I758" s="339"/>
      <c r="J758" s="339"/>
      <c r="K758" s="339"/>
      <c r="L758" s="340"/>
      <c r="M758" s="339"/>
      <c r="N758" s="340"/>
      <c r="O758" s="339"/>
      <c r="P758" s="340"/>
      <c r="Q758" s="339"/>
      <c r="R758" s="340"/>
      <c r="S758" s="339"/>
      <c r="T758" s="340"/>
      <c r="U758" s="339"/>
      <c r="V758" s="340"/>
      <c r="W758" s="339"/>
      <c r="X758" s="339"/>
      <c r="Y758" s="339"/>
      <c r="Z758" s="340"/>
      <c r="AA758" s="339"/>
      <c r="AB758" s="339"/>
      <c r="AC758" s="339"/>
      <c r="AD758" s="339"/>
    </row>
    <row r="759" spans="1:30" ht="15.75" customHeight="1">
      <c r="A759" s="339"/>
      <c r="B759" s="339"/>
      <c r="C759" s="339"/>
      <c r="D759" s="339"/>
      <c r="E759" s="339"/>
      <c r="F759" s="339"/>
      <c r="G759" s="339"/>
      <c r="H759" s="339"/>
      <c r="I759" s="339"/>
      <c r="J759" s="339"/>
      <c r="K759" s="339"/>
      <c r="L759" s="340"/>
      <c r="M759" s="339"/>
      <c r="N759" s="340"/>
      <c r="O759" s="339"/>
      <c r="P759" s="340"/>
      <c r="Q759" s="339"/>
      <c r="R759" s="340"/>
      <c r="S759" s="339"/>
      <c r="T759" s="340"/>
      <c r="U759" s="339"/>
      <c r="V759" s="340"/>
      <c r="W759" s="339"/>
      <c r="X759" s="339"/>
      <c r="Y759" s="339"/>
      <c r="Z759" s="340"/>
      <c r="AA759" s="339"/>
      <c r="AB759" s="339"/>
      <c r="AC759" s="339"/>
      <c r="AD759" s="339"/>
    </row>
    <row r="760" spans="1:30" ht="15.75" customHeight="1">
      <c r="A760" s="339"/>
      <c r="B760" s="339"/>
      <c r="C760" s="339"/>
      <c r="D760" s="339"/>
      <c r="E760" s="339"/>
      <c r="F760" s="339"/>
      <c r="G760" s="339"/>
      <c r="H760" s="339"/>
      <c r="I760" s="339"/>
      <c r="J760" s="339"/>
      <c r="K760" s="339"/>
      <c r="L760" s="340"/>
      <c r="M760" s="339"/>
      <c r="N760" s="340"/>
      <c r="O760" s="339"/>
      <c r="P760" s="340"/>
      <c r="Q760" s="339"/>
      <c r="R760" s="340"/>
      <c r="S760" s="339"/>
      <c r="T760" s="340"/>
      <c r="U760" s="339"/>
      <c r="V760" s="340"/>
      <c r="W760" s="339"/>
      <c r="X760" s="339"/>
      <c r="Y760" s="339"/>
      <c r="Z760" s="340"/>
      <c r="AA760" s="339"/>
      <c r="AB760" s="339"/>
      <c r="AC760" s="339"/>
      <c r="AD760" s="339"/>
    </row>
    <row r="761" spans="1:30" ht="15.75" customHeight="1">
      <c r="A761" s="339"/>
      <c r="B761" s="339"/>
      <c r="C761" s="339"/>
      <c r="D761" s="339"/>
      <c r="E761" s="339"/>
      <c r="F761" s="339"/>
      <c r="G761" s="339"/>
      <c r="H761" s="339"/>
      <c r="I761" s="339"/>
      <c r="J761" s="339"/>
      <c r="K761" s="339"/>
      <c r="L761" s="340"/>
      <c r="M761" s="339"/>
      <c r="N761" s="340"/>
      <c r="O761" s="339"/>
      <c r="P761" s="340"/>
      <c r="Q761" s="339"/>
      <c r="R761" s="340"/>
      <c r="S761" s="339"/>
      <c r="T761" s="340"/>
      <c r="U761" s="339"/>
      <c r="V761" s="340"/>
      <c r="W761" s="339"/>
      <c r="X761" s="339"/>
      <c r="Y761" s="339"/>
      <c r="Z761" s="340"/>
      <c r="AA761" s="339"/>
      <c r="AB761" s="339"/>
      <c r="AC761" s="339"/>
      <c r="AD761" s="339"/>
    </row>
    <row r="762" spans="1:30" ht="15.75" customHeight="1">
      <c r="A762" s="339"/>
      <c r="B762" s="339"/>
      <c r="C762" s="339"/>
      <c r="D762" s="339"/>
      <c r="E762" s="339"/>
      <c r="F762" s="339"/>
      <c r="G762" s="339"/>
      <c r="H762" s="339"/>
      <c r="I762" s="339"/>
      <c r="J762" s="339"/>
      <c r="K762" s="339"/>
      <c r="L762" s="340"/>
      <c r="M762" s="339"/>
      <c r="N762" s="340"/>
      <c r="O762" s="339"/>
      <c r="P762" s="340"/>
      <c r="Q762" s="339"/>
      <c r="R762" s="340"/>
      <c r="S762" s="339"/>
      <c r="T762" s="340"/>
      <c r="U762" s="339"/>
      <c r="V762" s="340"/>
      <c r="W762" s="339"/>
      <c r="X762" s="339"/>
      <c r="Y762" s="339"/>
      <c r="Z762" s="340"/>
      <c r="AA762" s="339"/>
      <c r="AB762" s="339"/>
      <c r="AC762" s="339"/>
      <c r="AD762" s="339"/>
    </row>
    <row r="763" spans="1:30" ht="15.75" customHeight="1">
      <c r="A763" s="339"/>
      <c r="B763" s="339"/>
      <c r="C763" s="339"/>
      <c r="D763" s="339"/>
      <c r="E763" s="339"/>
      <c r="F763" s="339"/>
      <c r="G763" s="339"/>
      <c r="H763" s="339"/>
      <c r="I763" s="339"/>
      <c r="J763" s="339"/>
      <c r="K763" s="339"/>
      <c r="L763" s="340"/>
      <c r="M763" s="339"/>
      <c r="N763" s="340"/>
      <c r="O763" s="339"/>
      <c r="P763" s="340"/>
      <c r="Q763" s="339"/>
      <c r="R763" s="340"/>
      <c r="S763" s="339"/>
      <c r="T763" s="340"/>
      <c r="U763" s="339"/>
      <c r="V763" s="340"/>
      <c r="W763" s="339"/>
      <c r="X763" s="339"/>
      <c r="Y763" s="339"/>
      <c r="Z763" s="340"/>
      <c r="AA763" s="339"/>
      <c r="AB763" s="339"/>
      <c r="AC763" s="339"/>
      <c r="AD763" s="339"/>
    </row>
    <row r="764" spans="1:30" ht="15.75" customHeight="1">
      <c r="A764" s="339"/>
      <c r="B764" s="339"/>
      <c r="C764" s="339"/>
      <c r="D764" s="339"/>
      <c r="E764" s="339"/>
      <c r="F764" s="339"/>
      <c r="G764" s="339"/>
      <c r="H764" s="339"/>
      <c r="I764" s="339"/>
      <c r="J764" s="339"/>
      <c r="K764" s="339"/>
      <c r="L764" s="340"/>
      <c r="M764" s="339"/>
      <c r="N764" s="340"/>
      <c r="O764" s="339"/>
      <c r="P764" s="340"/>
      <c r="Q764" s="339"/>
      <c r="R764" s="340"/>
      <c r="S764" s="339"/>
      <c r="T764" s="340"/>
      <c r="U764" s="339"/>
      <c r="V764" s="340"/>
      <c r="W764" s="339"/>
      <c r="X764" s="339"/>
      <c r="Y764" s="339"/>
      <c r="Z764" s="340"/>
      <c r="AA764" s="339"/>
      <c r="AB764" s="339"/>
      <c r="AC764" s="339"/>
      <c r="AD764" s="339"/>
    </row>
    <row r="765" spans="1:30" ht="15.75" customHeight="1">
      <c r="A765" s="339"/>
      <c r="B765" s="339"/>
      <c r="C765" s="339"/>
      <c r="D765" s="339"/>
      <c r="E765" s="339"/>
      <c r="F765" s="339"/>
      <c r="G765" s="339"/>
      <c r="H765" s="339"/>
      <c r="I765" s="339"/>
      <c r="J765" s="339"/>
      <c r="K765" s="339"/>
      <c r="L765" s="340"/>
      <c r="M765" s="339"/>
      <c r="N765" s="340"/>
      <c r="O765" s="339"/>
      <c r="P765" s="340"/>
      <c r="Q765" s="339"/>
      <c r="R765" s="340"/>
      <c r="S765" s="339"/>
      <c r="T765" s="340"/>
      <c r="U765" s="339"/>
      <c r="V765" s="340"/>
      <c r="W765" s="339"/>
      <c r="X765" s="339"/>
      <c r="Y765" s="339"/>
      <c r="Z765" s="340"/>
      <c r="AA765" s="339"/>
      <c r="AB765" s="339"/>
      <c r="AC765" s="339"/>
      <c r="AD765" s="339"/>
    </row>
    <row r="766" spans="1:30" ht="15.75" customHeight="1">
      <c r="A766" s="339"/>
      <c r="B766" s="339"/>
      <c r="C766" s="339"/>
      <c r="D766" s="339"/>
      <c r="E766" s="339"/>
      <c r="F766" s="339"/>
      <c r="G766" s="339"/>
      <c r="H766" s="339"/>
      <c r="I766" s="339"/>
      <c r="J766" s="339"/>
      <c r="K766" s="339"/>
      <c r="L766" s="340"/>
      <c r="M766" s="339"/>
      <c r="N766" s="340"/>
      <c r="O766" s="339"/>
      <c r="P766" s="340"/>
      <c r="Q766" s="339"/>
      <c r="R766" s="340"/>
      <c r="S766" s="339"/>
      <c r="T766" s="340"/>
      <c r="U766" s="339"/>
      <c r="V766" s="340"/>
      <c r="W766" s="339"/>
      <c r="X766" s="339"/>
      <c r="Y766" s="339"/>
      <c r="Z766" s="340"/>
      <c r="AA766" s="339"/>
      <c r="AB766" s="339"/>
      <c r="AC766" s="339"/>
      <c r="AD766" s="339"/>
    </row>
    <row r="767" spans="1:30" ht="15.75" customHeight="1">
      <c r="A767" s="339"/>
      <c r="B767" s="339"/>
      <c r="C767" s="339"/>
      <c r="D767" s="339"/>
      <c r="E767" s="339"/>
      <c r="F767" s="339"/>
      <c r="G767" s="339"/>
      <c r="H767" s="339"/>
      <c r="I767" s="339"/>
      <c r="J767" s="339"/>
      <c r="K767" s="339"/>
      <c r="L767" s="340"/>
      <c r="M767" s="339"/>
      <c r="N767" s="340"/>
      <c r="O767" s="339"/>
      <c r="P767" s="340"/>
      <c r="Q767" s="339"/>
      <c r="R767" s="340"/>
      <c r="S767" s="339"/>
      <c r="T767" s="340"/>
      <c r="U767" s="339"/>
      <c r="V767" s="340"/>
      <c r="W767" s="339"/>
      <c r="X767" s="339"/>
      <c r="Y767" s="339"/>
      <c r="Z767" s="340"/>
      <c r="AA767" s="339"/>
      <c r="AB767" s="339"/>
      <c r="AC767" s="339"/>
      <c r="AD767" s="339"/>
    </row>
    <row r="768" spans="1:30" ht="15.75" customHeight="1">
      <c r="A768" s="339"/>
      <c r="B768" s="339"/>
      <c r="C768" s="339"/>
      <c r="D768" s="339"/>
      <c r="E768" s="339"/>
      <c r="F768" s="339"/>
      <c r="G768" s="339"/>
      <c r="H768" s="339"/>
      <c r="I768" s="339"/>
      <c r="J768" s="339"/>
      <c r="K768" s="339"/>
      <c r="L768" s="340"/>
      <c r="M768" s="339"/>
      <c r="N768" s="340"/>
      <c r="O768" s="339"/>
      <c r="P768" s="340"/>
      <c r="Q768" s="339"/>
      <c r="R768" s="340"/>
      <c r="S768" s="339"/>
      <c r="T768" s="340"/>
      <c r="U768" s="339"/>
      <c r="V768" s="340"/>
      <c r="W768" s="339"/>
      <c r="X768" s="339"/>
      <c r="Y768" s="339"/>
      <c r="Z768" s="340"/>
      <c r="AA768" s="339"/>
      <c r="AB768" s="339"/>
      <c r="AC768" s="339"/>
      <c r="AD768" s="339"/>
    </row>
    <row r="769" spans="1:30" ht="15.75" customHeight="1">
      <c r="A769" s="339"/>
      <c r="B769" s="339"/>
      <c r="C769" s="339"/>
      <c r="D769" s="339"/>
      <c r="E769" s="339"/>
      <c r="F769" s="339"/>
      <c r="G769" s="339"/>
      <c r="H769" s="339"/>
      <c r="I769" s="339"/>
      <c r="J769" s="339"/>
      <c r="K769" s="339"/>
      <c r="L769" s="340"/>
      <c r="M769" s="339"/>
      <c r="N769" s="340"/>
      <c r="O769" s="339"/>
      <c r="P769" s="340"/>
      <c r="Q769" s="339"/>
      <c r="R769" s="340"/>
      <c r="S769" s="339"/>
      <c r="T769" s="340"/>
      <c r="U769" s="339"/>
      <c r="V769" s="340"/>
      <c r="W769" s="339"/>
      <c r="X769" s="339"/>
      <c r="Y769" s="339"/>
      <c r="Z769" s="340"/>
      <c r="AA769" s="339"/>
      <c r="AB769" s="339"/>
      <c r="AC769" s="339"/>
      <c r="AD769" s="339"/>
    </row>
    <row r="770" spans="1:30" ht="15.75" customHeight="1">
      <c r="A770" s="339"/>
      <c r="B770" s="339"/>
      <c r="C770" s="339"/>
      <c r="D770" s="339"/>
      <c r="E770" s="339"/>
      <c r="F770" s="339"/>
      <c r="G770" s="339"/>
      <c r="H770" s="339"/>
      <c r="I770" s="339"/>
      <c r="J770" s="339"/>
      <c r="K770" s="339"/>
      <c r="L770" s="340"/>
      <c r="M770" s="339"/>
      <c r="N770" s="340"/>
      <c r="O770" s="339"/>
      <c r="P770" s="340"/>
      <c r="Q770" s="339"/>
      <c r="R770" s="340"/>
      <c r="S770" s="339"/>
      <c r="T770" s="340"/>
      <c r="U770" s="339"/>
      <c r="V770" s="340"/>
      <c r="W770" s="339"/>
      <c r="X770" s="339"/>
      <c r="Y770" s="339"/>
      <c r="Z770" s="340"/>
      <c r="AA770" s="339"/>
      <c r="AB770" s="339"/>
      <c r="AC770" s="339"/>
      <c r="AD770" s="339"/>
    </row>
    <row r="771" spans="1:30" ht="15.75" customHeight="1">
      <c r="A771" s="339"/>
      <c r="B771" s="339"/>
      <c r="C771" s="339"/>
      <c r="D771" s="339"/>
      <c r="E771" s="339"/>
      <c r="F771" s="339"/>
      <c r="G771" s="339"/>
      <c r="H771" s="339"/>
      <c r="I771" s="339"/>
      <c r="J771" s="339"/>
      <c r="K771" s="339"/>
      <c r="L771" s="340"/>
      <c r="M771" s="339"/>
      <c r="N771" s="340"/>
      <c r="O771" s="339"/>
      <c r="P771" s="340"/>
      <c r="Q771" s="339"/>
      <c r="R771" s="340"/>
      <c r="S771" s="339"/>
      <c r="T771" s="340"/>
      <c r="U771" s="339"/>
      <c r="V771" s="340"/>
      <c r="W771" s="339"/>
      <c r="X771" s="339"/>
      <c r="Y771" s="339"/>
      <c r="Z771" s="340"/>
      <c r="AA771" s="339"/>
      <c r="AB771" s="339"/>
      <c r="AC771" s="339"/>
      <c r="AD771" s="339"/>
    </row>
    <row r="772" spans="1:30" ht="15.75" customHeight="1">
      <c r="A772" s="339"/>
      <c r="B772" s="339"/>
      <c r="C772" s="339"/>
      <c r="D772" s="339"/>
      <c r="E772" s="339"/>
      <c r="F772" s="339"/>
      <c r="G772" s="339"/>
      <c r="H772" s="339"/>
      <c r="I772" s="339"/>
      <c r="J772" s="339"/>
      <c r="K772" s="339"/>
      <c r="L772" s="340"/>
      <c r="M772" s="339"/>
      <c r="N772" s="340"/>
      <c r="O772" s="339"/>
      <c r="P772" s="340"/>
      <c r="Q772" s="339"/>
      <c r="R772" s="340"/>
      <c r="S772" s="339"/>
      <c r="T772" s="340"/>
      <c r="U772" s="339"/>
      <c r="V772" s="340"/>
      <c r="W772" s="339"/>
      <c r="X772" s="339"/>
      <c r="Y772" s="339"/>
      <c r="Z772" s="340"/>
      <c r="AA772" s="339"/>
      <c r="AB772" s="339"/>
      <c r="AC772" s="339"/>
      <c r="AD772" s="339"/>
    </row>
    <row r="773" spans="1:30" ht="15.75" customHeight="1">
      <c r="A773" s="339"/>
      <c r="B773" s="339"/>
      <c r="C773" s="339"/>
      <c r="D773" s="339"/>
      <c r="E773" s="339"/>
      <c r="F773" s="339"/>
      <c r="G773" s="339"/>
      <c r="H773" s="339"/>
      <c r="I773" s="339"/>
      <c r="J773" s="339"/>
      <c r="K773" s="339"/>
      <c r="L773" s="340"/>
      <c r="M773" s="339"/>
      <c r="N773" s="340"/>
      <c r="O773" s="339"/>
      <c r="P773" s="340"/>
      <c r="Q773" s="339"/>
      <c r="R773" s="340"/>
      <c r="S773" s="339"/>
      <c r="T773" s="340"/>
      <c r="U773" s="339"/>
      <c r="V773" s="340"/>
      <c r="W773" s="339"/>
      <c r="X773" s="339"/>
      <c r="Y773" s="339"/>
      <c r="Z773" s="340"/>
      <c r="AA773" s="339"/>
      <c r="AB773" s="339"/>
      <c r="AC773" s="339"/>
      <c r="AD773" s="339"/>
    </row>
    <row r="774" spans="1:30" ht="15.75" customHeight="1">
      <c r="A774" s="339"/>
      <c r="B774" s="339"/>
      <c r="C774" s="339"/>
      <c r="D774" s="339"/>
      <c r="E774" s="339"/>
      <c r="F774" s="339"/>
      <c r="G774" s="339"/>
      <c r="H774" s="339"/>
      <c r="I774" s="339"/>
      <c r="J774" s="339"/>
      <c r="K774" s="339"/>
      <c r="L774" s="340"/>
      <c r="M774" s="339"/>
      <c r="N774" s="340"/>
      <c r="O774" s="339"/>
      <c r="P774" s="340"/>
      <c r="Q774" s="339"/>
      <c r="R774" s="340"/>
      <c r="S774" s="339"/>
      <c r="T774" s="340"/>
      <c r="U774" s="339"/>
      <c r="V774" s="340"/>
      <c r="W774" s="339"/>
      <c r="X774" s="339"/>
      <c r="Y774" s="339"/>
      <c r="Z774" s="340"/>
      <c r="AA774" s="339"/>
      <c r="AB774" s="339"/>
      <c r="AC774" s="339"/>
      <c r="AD774" s="339"/>
    </row>
    <row r="775" spans="1:30" ht="15.75" customHeight="1">
      <c r="A775" s="339"/>
      <c r="B775" s="339"/>
      <c r="C775" s="339"/>
      <c r="D775" s="339"/>
      <c r="E775" s="339"/>
      <c r="F775" s="339"/>
      <c r="G775" s="339"/>
      <c r="H775" s="339"/>
      <c r="I775" s="339"/>
      <c r="J775" s="339"/>
      <c r="K775" s="339"/>
      <c r="L775" s="340"/>
      <c r="M775" s="339"/>
      <c r="N775" s="340"/>
      <c r="O775" s="339"/>
      <c r="P775" s="340"/>
      <c r="Q775" s="339"/>
      <c r="R775" s="340"/>
      <c r="S775" s="339"/>
      <c r="T775" s="340"/>
      <c r="U775" s="339"/>
      <c r="V775" s="340"/>
      <c r="W775" s="339"/>
      <c r="X775" s="339"/>
      <c r="Y775" s="339"/>
      <c r="Z775" s="340"/>
      <c r="AA775" s="339"/>
      <c r="AB775" s="339"/>
      <c r="AC775" s="339"/>
      <c r="AD775" s="339"/>
    </row>
    <row r="776" spans="1:30" ht="15.75" customHeight="1">
      <c r="A776" s="339"/>
      <c r="B776" s="339"/>
      <c r="C776" s="339"/>
      <c r="D776" s="339"/>
      <c r="E776" s="339"/>
      <c r="F776" s="339"/>
      <c r="G776" s="339"/>
      <c r="H776" s="339"/>
      <c r="I776" s="339"/>
      <c r="J776" s="339"/>
      <c r="K776" s="339"/>
      <c r="L776" s="340"/>
      <c r="M776" s="339"/>
      <c r="N776" s="340"/>
      <c r="O776" s="339"/>
      <c r="P776" s="340"/>
      <c r="Q776" s="339"/>
      <c r="R776" s="340"/>
      <c r="S776" s="339"/>
      <c r="T776" s="340"/>
      <c r="U776" s="339"/>
      <c r="V776" s="340"/>
      <c r="W776" s="339"/>
      <c r="X776" s="339"/>
      <c r="Y776" s="339"/>
      <c r="Z776" s="340"/>
      <c r="AA776" s="339"/>
      <c r="AB776" s="339"/>
      <c r="AC776" s="339"/>
      <c r="AD776" s="339"/>
    </row>
    <row r="777" spans="1:30" ht="15.75" customHeight="1">
      <c r="A777" s="339"/>
      <c r="B777" s="339"/>
      <c r="C777" s="339"/>
      <c r="D777" s="339"/>
      <c r="E777" s="339"/>
      <c r="F777" s="339"/>
      <c r="G777" s="339"/>
      <c r="H777" s="339"/>
      <c r="I777" s="339"/>
      <c r="J777" s="339"/>
      <c r="K777" s="339"/>
      <c r="L777" s="340"/>
      <c r="M777" s="339"/>
      <c r="N777" s="340"/>
      <c r="O777" s="339"/>
      <c r="P777" s="340"/>
      <c r="Q777" s="339"/>
      <c r="R777" s="340"/>
      <c r="S777" s="339"/>
      <c r="T777" s="340"/>
      <c r="U777" s="339"/>
      <c r="V777" s="340"/>
      <c r="W777" s="339"/>
      <c r="X777" s="339"/>
      <c r="Y777" s="339"/>
      <c r="Z777" s="340"/>
      <c r="AA777" s="339"/>
      <c r="AB777" s="339"/>
      <c r="AC777" s="339"/>
      <c r="AD777" s="339"/>
    </row>
    <row r="778" spans="1:30" ht="15.75" customHeight="1">
      <c r="A778" s="339"/>
      <c r="B778" s="339"/>
      <c r="C778" s="339"/>
      <c r="D778" s="339"/>
      <c r="E778" s="339"/>
      <c r="F778" s="339"/>
      <c r="G778" s="339"/>
      <c r="H778" s="339"/>
      <c r="I778" s="339"/>
      <c r="J778" s="339"/>
      <c r="K778" s="339"/>
      <c r="L778" s="340"/>
      <c r="M778" s="339"/>
      <c r="N778" s="340"/>
      <c r="O778" s="339"/>
      <c r="P778" s="340"/>
      <c r="Q778" s="339"/>
      <c r="R778" s="340"/>
      <c r="S778" s="339"/>
      <c r="T778" s="340"/>
      <c r="U778" s="339"/>
      <c r="V778" s="340"/>
      <c r="W778" s="339"/>
      <c r="X778" s="339"/>
      <c r="Y778" s="339"/>
      <c r="Z778" s="340"/>
      <c r="AA778" s="339"/>
      <c r="AB778" s="339"/>
      <c r="AC778" s="339"/>
      <c r="AD778" s="339"/>
    </row>
    <row r="779" spans="1:30" ht="15.75" customHeight="1">
      <c r="A779" s="339"/>
      <c r="B779" s="339"/>
      <c r="C779" s="339"/>
      <c r="D779" s="339"/>
      <c r="E779" s="339"/>
      <c r="F779" s="339"/>
      <c r="G779" s="339"/>
      <c r="H779" s="339"/>
      <c r="I779" s="339"/>
      <c r="J779" s="339"/>
      <c r="K779" s="339"/>
      <c r="L779" s="340"/>
      <c r="M779" s="339"/>
      <c r="N779" s="340"/>
      <c r="O779" s="339"/>
      <c r="P779" s="340"/>
      <c r="Q779" s="339"/>
      <c r="R779" s="340"/>
      <c r="S779" s="339"/>
      <c r="T779" s="340"/>
      <c r="U779" s="339"/>
      <c r="V779" s="340"/>
      <c r="W779" s="339"/>
      <c r="X779" s="339"/>
      <c r="Y779" s="339"/>
      <c r="Z779" s="340"/>
      <c r="AA779" s="339"/>
      <c r="AB779" s="339"/>
      <c r="AC779" s="339"/>
      <c r="AD779" s="339"/>
    </row>
    <row r="780" spans="1:30" ht="15.75" customHeight="1">
      <c r="A780" s="339"/>
      <c r="B780" s="339"/>
      <c r="C780" s="339"/>
      <c r="D780" s="339"/>
      <c r="E780" s="339"/>
      <c r="F780" s="339"/>
      <c r="G780" s="339"/>
      <c r="H780" s="339"/>
      <c r="I780" s="339"/>
      <c r="J780" s="339"/>
      <c r="K780" s="339"/>
      <c r="L780" s="340"/>
      <c r="M780" s="339"/>
      <c r="N780" s="340"/>
      <c r="O780" s="339"/>
      <c r="P780" s="340"/>
      <c r="Q780" s="339"/>
      <c r="R780" s="340"/>
      <c r="S780" s="339"/>
      <c r="T780" s="340"/>
      <c r="U780" s="339"/>
      <c r="V780" s="340"/>
      <c r="W780" s="339"/>
      <c r="X780" s="339"/>
      <c r="Y780" s="339"/>
      <c r="Z780" s="340"/>
      <c r="AA780" s="339"/>
      <c r="AB780" s="339"/>
      <c r="AC780" s="339"/>
      <c r="AD780" s="339"/>
    </row>
    <row r="781" spans="1:30" ht="15.75" customHeight="1">
      <c r="A781" s="339"/>
      <c r="B781" s="339"/>
      <c r="C781" s="339"/>
      <c r="D781" s="339"/>
      <c r="E781" s="339"/>
      <c r="F781" s="339"/>
      <c r="G781" s="339"/>
      <c r="H781" s="339"/>
      <c r="I781" s="339"/>
      <c r="J781" s="339"/>
      <c r="K781" s="339"/>
      <c r="L781" s="340"/>
      <c r="M781" s="339"/>
      <c r="N781" s="340"/>
      <c r="O781" s="339"/>
      <c r="P781" s="340"/>
      <c r="Q781" s="339"/>
      <c r="R781" s="340"/>
      <c r="S781" s="339"/>
      <c r="T781" s="340"/>
      <c r="U781" s="339"/>
      <c r="V781" s="340"/>
      <c r="W781" s="339"/>
      <c r="X781" s="339"/>
      <c r="Y781" s="339"/>
      <c r="Z781" s="340"/>
      <c r="AA781" s="339"/>
      <c r="AB781" s="339"/>
      <c r="AC781" s="339"/>
      <c r="AD781" s="339"/>
    </row>
    <row r="782" spans="1:30" ht="15.75" customHeight="1">
      <c r="A782" s="339"/>
      <c r="B782" s="339"/>
      <c r="C782" s="339"/>
      <c r="D782" s="339"/>
      <c r="E782" s="339"/>
      <c r="F782" s="339"/>
      <c r="G782" s="339"/>
      <c r="H782" s="339"/>
      <c r="I782" s="339"/>
      <c r="J782" s="339"/>
      <c r="K782" s="339"/>
      <c r="L782" s="340"/>
      <c r="M782" s="339"/>
      <c r="N782" s="340"/>
      <c r="O782" s="339"/>
      <c r="P782" s="340"/>
      <c r="Q782" s="339"/>
      <c r="R782" s="340"/>
      <c r="S782" s="339"/>
      <c r="T782" s="340"/>
      <c r="U782" s="339"/>
      <c r="V782" s="340"/>
      <c r="W782" s="339"/>
      <c r="X782" s="339"/>
      <c r="Y782" s="339"/>
      <c r="Z782" s="340"/>
      <c r="AA782" s="339"/>
      <c r="AB782" s="339"/>
      <c r="AC782" s="339"/>
      <c r="AD782" s="339"/>
    </row>
    <row r="783" spans="1:30" ht="15.75" customHeight="1">
      <c r="A783" s="339"/>
      <c r="B783" s="339"/>
      <c r="C783" s="339"/>
      <c r="D783" s="339"/>
      <c r="E783" s="339"/>
      <c r="F783" s="339"/>
      <c r="G783" s="339"/>
      <c r="H783" s="339"/>
      <c r="I783" s="339"/>
      <c r="J783" s="339"/>
      <c r="K783" s="339"/>
      <c r="L783" s="340"/>
      <c r="M783" s="339"/>
      <c r="N783" s="340"/>
      <c r="O783" s="339"/>
      <c r="P783" s="340"/>
      <c r="Q783" s="339"/>
      <c r="R783" s="340"/>
      <c r="S783" s="339"/>
      <c r="T783" s="340"/>
      <c r="U783" s="339"/>
      <c r="V783" s="340"/>
      <c r="W783" s="339"/>
      <c r="X783" s="339"/>
      <c r="Y783" s="339"/>
      <c r="Z783" s="340"/>
      <c r="AA783" s="339"/>
      <c r="AB783" s="339"/>
      <c r="AC783" s="339"/>
      <c r="AD783" s="339"/>
    </row>
    <row r="784" spans="1:30" ht="15.75" customHeight="1">
      <c r="A784" s="339"/>
      <c r="B784" s="339"/>
      <c r="C784" s="339"/>
      <c r="D784" s="339"/>
      <c r="E784" s="339"/>
      <c r="F784" s="339"/>
      <c r="G784" s="339"/>
      <c r="H784" s="339"/>
      <c r="I784" s="339"/>
      <c r="J784" s="339"/>
      <c r="K784" s="339"/>
      <c r="L784" s="340"/>
      <c r="M784" s="339"/>
      <c r="N784" s="340"/>
      <c r="O784" s="339"/>
      <c r="P784" s="340"/>
      <c r="Q784" s="339"/>
      <c r="R784" s="340"/>
      <c r="S784" s="339"/>
      <c r="T784" s="340"/>
      <c r="U784" s="339"/>
      <c r="V784" s="340"/>
      <c r="W784" s="339"/>
      <c r="X784" s="339"/>
      <c r="Y784" s="339"/>
      <c r="Z784" s="340"/>
      <c r="AA784" s="339"/>
      <c r="AB784" s="339"/>
      <c r="AC784" s="339"/>
      <c r="AD784" s="339"/>
    </row>
    <row r="785" spans="1:30" ht="15.75" customHeight="1">
      <c r="A785" s="339"/>
      <c r="B785" s="339"/>
      <c r="C785" s="339"/>
      <c r="D785" s="339"/>
      <c r="E785" s="339"/>
      <c r="F785" s="339"/>
      <c r="G785" s="339"/>
      <c r="H785" s="339"/>
      <c r="I785" s="339"/>
      <c r="J785" s="339"/>
      <c r="K785" s="339"/>
      <c r="L785" s="340"/>
      <c r="M785" s="339"/>
      <c r="N785" s="340"/>
      <c r="O785" s="339"/>
      <c r="P785" s="340"/>
      <c r="Q785" s="339"/>
      <c r="R785" s="340"/>
      <c r="S785" s="339"/>
      <c r="T785" s="340"/>
      <c r="U785" s="339"/>
      <c r="V785" s="340"/>
      <c r="W785" s="339"/>
      <c r="X785" s="339"/>
      <c r="Y785" s="339"/>
      <c r="Z785" s="340"/>
      <c r="AA785" s="339"/>
      <c r="AB785" s="339"/>
      <c r="AC785" s="339"/>
      <c r="AD785" s="339"/>
    </row>
    <row r="786" spans="1:30" ht="15.75" customHeight="1">
      <c r="A786" s="339"/>
      <c r="B786" s="339"/>
      <c r="C786" s="339"/>
      <c r="D786" s="339"/>
      <c r="E786" s="339"/>
      <c r="F786" s="339"/>
      <c r="G786" s="339"/>
      <c r="H786" s="339"/>
      <c r="I786" s="339"/>
      <c r="J786" s="339"/>
      <c r="K786" s="339"/>
      <c r="L786" s="340"/>
      <c r="M786" s="339"/>
      <c r="N786" s="340"/>
      <c r="O786" s="339"/>
      <c r="P786" s="340"/>
      <c r="Q786" s="339"/>
      <c r="R786" s="340"/>
      <c r="S786" s="339"/>
      <c r="T786" s="340"/>
      <c r="U786" s="339"/>
      <c r="V786" s="340"/>
      <c r="W786" s="339"/>
      <c r="X786" s="339"/>
      <c r="Y786" s="339"/>
      <c r="Z786" s="340"/>
      <c r="AA786" s="339"/>
      <c r="AB786" s="339"/>
      <c r="AC786" s="339"/>
      <c r="AD786" s="339"/>
    </row>
    <row r="787" spans="1:30" ht="15.75" customHeight="1">
      <c r="A787" s="339"/>
      <c r="B787" s="339"/>
      <c r="C787" s="339"/>
      <c r="D787" s="339"/>
      <c r="E787" s="339"/>
      <c r="F787" s="339"/>
      <c r="G787" s="339"/>
      <c r="H787" s="339"/>
      <c r="I787" s="339"/>
      <c r="J787" s="339"/>
      <c r="K787" s="339"/>
      <c r="L787" s="340"/>
      <c r="M787" s="339"/>
      <c r="N787" s="340"/>
      <c r="O787" s="339"/>
      <c r="P787" s="340"/>
      <c r="Q787" s="339"/>
      <c r="R787" s="340"/>
      <c r="S787" s="339"/>
      <c r="T787" s="340"/>
      <c r="U787" s="339"/>
      <c r="V787" s="340"/>
      <c r="W787" s="339"/>
      <c r="X787" s="339"/>
      <c r="Y787" s="339"/>
      <c r="Z787" s="340"/>
      <c r="AA787" s="339"/>
      <c r="AB787" s="339"/>
      <c r="AC787" s="339"/>
      <c r="AD787" s="339"/>
    </row>
    <row r="788" spans="1:30" ht="15.75" customHeight="1">
      <c r="A788" s="339"/>
      <c r="B788" s="339"/>
      <c r="C788" s="339"/>
      <c r="D788" s="339"/>
      <c r="E788" s="339"/>
      <c r="F788" s="339"/>
      <c r="G788" s="339"/>
      <c r="H788" s="339"/>
      <c r="I788" s="339"/>
      <c r="J788" s="339"/>
      <c r="K788" s="339"/>
      <c r="L788" s="340"/>
      <c r="M788" s="339"/>
      <c r="N788" s="340"/>
      <c r="O788" s="339"/>
      <c r="P788" s="340"/>
      <c r="Q788" s="339"/>
      <c r="R788" s="340"/>
      <c r="S788" s="339"/>
      <c r="T788" s="340"/>
      <c r="U788" s="339"/>
      <c r="V788" s="340"/>
      <c r="W788" s="339"/>
      <c r="X788" s="339"/>
      <c r="Y788" s="339"/>
      <c r="Z788" s="340"/>
      <c r="AA788" s="339"/>
      <c r="AB788" s="339"/>
      <c r="AC788" s="339"/>
      <c r="AD788" s="339"/>
    </row>
    <row r="789" spans="1:30" ht="15.75" customHeight="1">
      <c r="A789" s="339"/>
      <c r="B789" s="339"/>
      <c r="C789" s="339"/>
      <c r="D789" s="339"/>
      <c r="E789" s="339"/>
      <c r="F789" s="339"/>
      <c r="G789" s="339"/>
      <c r="H789" s="339"/>
      <c r="I789" s="339"/>
      <c r="J789" s="339"/>
      <c r="K789" s="339"/>
      <c r="L789" s="340"/>
      <c r="M789" s="339"/>
      <c r="N789" s="340"/>
      <c r="O789" s="339"/>
      <c r="P789" s="340"/>
      <c r="Q789" s="339"/>
      <c r="R789" s="340"/>
      <c r="S789" s="339"/>
      <c r="T789" s="340"/>
      <c r="U789" s="339"/>
      <c r="V789" s="340"/>
      <c r="W789" s="339"/>
      <c r="X789" s="339"/>
      <c r="Y789" s="339"/>
      <c r="Z789" s="340"/>
      <c r="AA789" s="339"/>
      <c r="AB789" s="339"/>
      <c r="AC789" s="339"/>
      <c r="AD789" s="339"/>
    </row>
    <row r="790" spans="1:30" ht="15.75" customHeight="1">
      <c r="A790" s="339"/>
      <c r="B790" s="339"/>
      <c r="C790" s="339"/>
      <c r="D790" s="339"/>
      <c r="E790" s="339"/>
      <c r="F790" s="339"/>
      <c r="G790" s="339"/>
      <c r="H790" s="339"/>
      <c r="I790" s="339"/>
      <c r="J790" s="339"/>
      <c r="K790" s="339"/>
      <c r="L790" s="340"/>
      <c r="M790" s="339"/>
      <c r="N790" s="340"/>
      <c r="O790" s="339"/>
      <c r="P790" s="340"/>
      <c r="Q790" s="339"/>
      <c r="R790" s="340"/>
      <c r="S790" s="339"/>
      <c r="T790" s="340"/>
      <c r="U790" s="339"/>
      <c r="V790" s="340"/>
      <c r="W790" s="339"/>
      <c r="X790" s="339"/>
      <c r="Y790" s="339"/>
      <c r="Z790" s="340"/>
      <c r="AA790" s="339"/>
      <c r="AB790" s="339"/>
      <c r="AC790" s="339"/>
      <c r="AD790" s="339"/>
    </row>
    <row r="791" spans="1:30" ht="15.75" customHeight="1">
      <c r="A791" s="339"/>
      <c r="B791" s="339"/>
      <c r="C791" s="339"/>
      <c r="D791" s="339"/>
      <c r="E791" s="339"/>
      <c r="F791" s="339"/>
      <c r="G791" s="339"/>
      <c r="H791" s="339"/>
      <c r="I791" s="339"/>
      <c r="J791" s="339"/>
      <c r="K791" s="339"/>
      <c r="L791" s="340"/>
      <c r="M791" s="339"/>
      <c r="N791" s="340"/>
      <c r="O791" s="339"/>
      <c r="P791" s="340"/>
      <c r="Q791" s="339"/>
      <c r="R791" s="340"/>
      <c r="S791" s="339"/>
      <c r="T791" s="340"/>
      <c r="U791" s="339"/>
      <c r="V791" s="340"/>
      <c r="W791" s="339"/>
      <c r="X791" s="339"/>
      <c r="Y791" s="339"/>
      <c r="Z791" s="340"/>
      <c r="AA791" s="339"/>
      <c r="AB791" s="339"/>
      <c r="AC791" s="339"/>
      <c r="AD791" s="339"/>
    </row>
    <row r="792" spans="1:30" ht="15.75" customHeight="1">
      <c r="A792" s="339"/>
      <c r="B792" s="339"/>
      <c r="C792" s="339"/>
      <c r="D792" s="339"/>
      <c r="E792" s="339"/>
      <c r="F792" s="339"/>
      <c r="G792" s="339"/>
      <c r="H792" s="339"/>
      <c r="I792" s="339"/>
      <c r="J792" s="339"/>
      <c r="K792" s="339"/>
      <c r="L792" s="340"/>
      <c r="M792" s="339"/>
      <c r="N792" s="340"/>
      <c r="O792" s="339"/>
      <c r="P792" s="340"/>
      <c r="Q792" s="339"/>
      <c r="R792" s="340"/>
      <c r="S792" s="339"/>
      <c r="T792" s="340"/>
      <c r="U792" s="339"/>
      <c r="V792" s="340"/>
      <c r="W792" s="339"/>
      <c r="X792" s="339"/>
      <c r="Y792" s="339"/>
      <c r="Z792" s="340"/>
      <c r="AA792" s="339"/>
      <c r="AB792" s="339"/>
      <c r="AC792" s="339"/>
      <c r="AD792" s="339"/>
    </row>
    <row r="793" spans="1:30" ht="15.75" customHeight="1">
      <c r="A793" s="339"/>
      <c r="B793" s="339"/>
      <c r="C793" s="339"/>
      <c r="D793" s="339"/>
      <c r="E793" s="339"/>
      <c r="F793" s="339"/>
      <c r="G793" s="339"/>
      <c r="H793" s="339"/>
      <c r="I793" s="339"/>
      <c r="J793" s="339"/>
      <c r="K793" s="339"/>
      <c r="L793" s="340"/>
      <c r="M793" s="339"/>
      <c r="N793" s="340"/>
      <c r="O793" s="339"/>
      <c r="P793" s="340"/>
      <c r="Q793" s="339"/>
      <c r="R793" s="340"/>
      <c r="S793" s="339"/>
      <c r="T793" s="340"/>
      <c r="U793" s="339"/>
      <c r="V793" s="340"/>
      <c r="W793" s="339"/>
      <c r="X793" s="339"/>
      <c r="Y793" s="339"/>
      <c r="Z793" s="340"/>
      <c r="AA793" s="339"/>
      <c r="AB793" s="339"/>
      <c r="AC793" s="339"/>
      <c r="AD793" s="339"/>
    </row>
    <row r="794" spans="1:30" ht="15.75" customHeight="1">
      <c r="A794" s="339"/>
      <c r="B794" s="339"/>
      <c r="C794" s="339"/>
      <c r="D794" s="339"/>
      <c r="E794" s="339"/>
      <c r="F794" s="339"/>
      <c r="G794" s="339"/>
      <c r="H794" s="339"/>
      <c r="I794" s="339"/>
      <c r="J794" s="339"/>
      <c r="K794" s="339"/>
      <c r="L794" s="340"/>
      <c r="M794" s="339"/>
      <c r="N794" s="340"/>
      <c r="O794" s="339"/>
      <c r="P794" s="340"/>
      <c r="Q794" s="339"/>
      <c r="R794" s="340"/>
      <c r="S794" s="339"/>
      <c r="T794" s="340"/>
      <c r="U794" s="339"/>
      <c r="V794" s="340"/>
      <c r="W794" s="339"/>
      <c r="X794" s="339"/>
      <c r="Y794" s="339"/>
      <c r="Z794" s="340"/>
      <c r="AA794" s="339"/>
      <c r="AB794" s="339"/>
      <c r="AC794" s="339"/>
      <c r="AD794" s="339"/>
    </row>
    <row r="795" spans="1:30" ht="15.75" customHeight="1">
      <c r="A795" s="339"/>
      <c r="B795" s="339"/>
      <c r="C795" s="339"/>
      <c r="D795" s="339"/>
      <c r="E795" s="339"/>
      <c r="F795" s="339"/>
      <c r="G795" s="339"/>
      <c r="H795" s="339"/>
      <c r="I795" s="339"/>
      <c r="J795" s="339"/>
      <c r="K795" s="339"/>
      <c r="L795" s="340"/>
      <c r="M795" s="339"/>
      <c r="N795" s="340"/>
      <c r="O795" s="339"/>
      <c r="P795" s="340"/>
      <c r="Q795" s="339"/>
      <c r="R795" s="340"/>
      <c r="S795" s="339"/>
      <c r="T795" s="340"/>
      <c r="U795" s="339"/>
      <c r="V795" s="340"/>
      <c r="W795" s="339"/>
      <c r="X795" s="339"/>
      <c r="Y795" s="339"/>
      <c r="Z795" s="340"/>
      <c r="AA795" s="339"/>
      <c r="AB795" s="339"/>
      <c r="AC795" s="339"/>
      <c r="AD795" s="339"/>
    </row>
    <row r="796" spans="1:30" ht="15.75" customHeight="1">
      <c r="A796" s="339"/>
      <c r="B796" s="339"/>
      <c r="C796" s="339"/>
      <c r="D796" s="339"/>
      <c r="E796" s="339"/>
      <c r="F796" s="339"/>
      <c r="G796" s="339"/>
      <c r="H796" s="339"/>
      <c r="I796" s="339"/>
      <c r="J796" s="339"/>
      <c r="K796" s="339"/>
      <c r="L796" s="340"/>
      <c r="M796" s="339"/>
      <c r="N796" s="340"/>
      <c r="O796" s="339"/>
      <c r="P796" s="340"/>
      <c r="Q796" s="339"/>
      <c r="R796" s="340"/>
      <c r="S796" s="339"/>
      <c r="T796" s="340"/>
      <c r="U796" s="339"/>
      <c r="V796" s="340"/>
      <c r="W796" s="339"/>
      <c r="X796" s="339"/>
      <c r="Y796" s="339"/>
      <c r="Z796" s="340"/>
      <c r="AA796" s="339"/>
      <c r="AB796" s="339"/>
      <c r="AC796" s="339"/>
      <c r="AD796" s="339"/>
    </row>
    <row r="797" spans="1:30" ht="15.75" customHeight="1">
      <c r="A797" s="339"/>
      <c r="B797" s="339"/>
      <c r="C797" s="339"/>
      <c r="D797" s="339"/>
      <c r="E797" s="339"/>
      <c r="F797" s="339"/>
      <c r="G797" s="339"/>
      <c r="H797" s="339"/>
      <c r="I797" s="339"/>
      <c r="J797" s="339"/>
      <c r="K797" s="339"/>
      <c r="L797" s="340"/>
      <c r="M797" s="339"/>
      <c r="N797" s="340"/>
      <c r="O797" s="339"/>
      <c r="P797" s="340"/>
      <c r="Q797" s="339"/>
      <c r="R797" s="340"/>
      <c r="S797" s="339"/>
      <c r="T797" s="340"/>
      <c r="U797" s="339"/>
      <c r="V797" s="340"/>
      <c r="W797" s="339"/>
      <c r="X797" s="339"/>
      <c r="Y797" s="339"/>
      <c r="Z797" s="340"/>
      <c r="AA797" s="339"/>
      <c r="AB797" s="339"/>
      <c r="AC797" s="339"/>
      <c r="AD797" s="339"/>
    </row>
    <row r="798" spans="1:30" ht="15.75" customHeight="1">
      <c r="A798" s="339"/>
      <c r="B798" s="339"/>
      <c r="C798" s="339"/>
      <c r="D798" s="339"/>
      <c r="E798" s="339"/>
      <c r="F798" s="339"/>
      <c r="G798" s="339"/>
      <c r="H798" s="339"/>
      <c r="I798" s="339"/>
      <c r="J798" s="339"/>
      <c r="K798" s="339"/>
      <c r="L798" s="340"/>
      <c r="M798" s="339"/>
      <c r="N798" s="340"/>
      <c r="O798" s="339"/>
      <c r="P798" s="340"/>
      <c r="Q798" s="339"/>
      <c r="R798" s="340"/>
      <c r="S798" s="339"/>
      <c r="T798" s="340"/>
      <c r="U798" s="339"/>
      <c r="V798" s="340"/>
      <c r="W798" s="339"/>
      <c r="X798" s="339"/>
      <c r="Y798" s="339"/>
      <c r="Z798" s="340"/>
      <c r="AA798" s="339"/>
      <c r="AB798" s="339"/>
      <c r="AC798" s="339"/>
      <c r="AD798" s="339"/>
    </row>
    <row r="799" spans="1:30" ht="15.75" customHeight="1">
      <c r="A799" s="339"/>
      <c r="B799" s="339"/>
      <c r="C799" s="339"/>
      <c r="D799" s="339"/>
      <c r="E799" s="339"/>
      <c r="F799" s="339"/>
      <c r="G799" s="339"/>
      <c r="H799" s="339"/>
      <c r="I799" s="339"/>
      <c r="J799" s="339"/>
      <c r="K799" s="339"/>
      <c r="L799" s="340"/>
      <c r="M799" s="339"/>
      <c r="N799" s="340"/>
      <c r="O799" s="339"/>
      <c r="P799" s="340"/>
      <c r="Q799" s="339"/>
      <c r="R799" s="340"/>
      <c r="S799" s="339"/>
      <c r="T799" s="340"/>
      <c r="U799" s="339"/>
      <c r="V799" s="340"/>
      <c r="W799" s="339"/>
      <c r="X799" s="339"/>
      <c r="Y799" s="339"/>
      <c r="Z799" s="340"/>
      <c r="AA799" s="339"/>
      <c r="AB799" s="339"/>
      <c r="AC799" s="339"/>
      <c r="AD799" s="339"/>
    </row>
    <row r="800" spans="1:30" ht="15.75" customHeight="1">
      <c r="A800" s="339"/>
      <c r="B800" s="339"/>
      <c r="C800" s="339"/>
      <c r="D800" s="339"/>
      <c r="E800" s="339"/>
      <c r="F800" s="339"/>
      <c r="G800" s="339"/>
      <c r="H800" s="339"/>
      <c r="I800" s="339"/>
      <c r="J800" s="339"/>
      <c r="K800" s="339"/>
      <c r="L800" s="340"/>
      <c r="M800" s="339"/>
      <c r="N800" s="340"/>
      <c r="O800" s="339"/>
      <c r="P800" s="340"/>
      <c r="Q800" s="339"/>
      <c r="R800" s="340"/>
      <c r="S800" s="339"/>
      <c r="T800" s="340"/>
      <c r="U800" s="339"/>
      <c r="V800" s="340"/>
      <c r="W800" s="339"/>
      <c r="X800" s="339"/>
      <c r="Y800" s="339"/>
      <c r="Z800" s="340"/>
      <c r="AA800" s="339"/>
      <c r="AB800" s="339"/>
      <c r="AC800" s="339"/>
      <c r="AD800" s="339"/>
    </row>
    <row r="801" spans="1:30" ht="15.75" customHeight="1">
      <c r="A801" s="339"/>
      <c r="B801" s="339"/>
      <c r="C801" s="339"/>
      <c r="D801" s="339"/>
      <c r="E801" s="339"/>
      <c r="F801" s="339"/>
      <c r="G801" s="339"/>
      <c r="H801" s="339"/>
      <c r="I801" s="339"/>
      <c r="J801" s="339"/>
      <c r="K801" s="339"/>
      <c r="L801" s="340"/>
      <c r="M801" s="339"/>
      <c r="N801" s="340"/>
      <c r="O801" s="339"/>
      <c r="P801" s="340"/>
      <c r="Q801" s="339"/>
      <c r="R801" s="340"/>
      <c r="S801" s="339"/>
      <c r="T801" s="340"/>
      <c r="U801" s="339"/>
      <c r="V801" s="340"/>
      <c r="W801" s="339"/>
      <c r="X801" s="339"/>
      <c r="Y801" s="339"/>
      <c r="Z801" s="340"/>
      <c r="AA801" s="339"/>
      <c r="AB801" s="339"/>
      <c r="AC801" s="339"/>
      <c r="AD801" s="339"/>
    </row>
    <row r="802" spans="1:30" ht="15.75" customHeight="1">
      <c r="A802" s="339"/>
      <c r="B802" s="339"/>
      <c r="C802" s="339"/>
      <c r="D802" s="339"/>
      <c r="E802" s="339"/>
      <c r="F802" s="339"/>
      <c r="G802" s="339"/>
      <c r="H802" s="339"/>
      <c r="I802" s="339"/>
      <c r="J802" s="339"/>
      <c r="K802" s="339"/>
      <c r="L802" s="340"/>
      <c r="M802" s="339"/>
      <c r="N802" s="340"/>
      <c r="O802" s="339"/>
      <c r="P802" s="340"/>
      <c r="Q802" s="339"/>
      <c r="R802" s="340"/>
      <c r="S802" s="339"/>
      <c r="T802" s="340"/>
      <c r="U802" s="339"/>
      <c r="V802" s="340"/>
      <c r="W802" s="339"/>
      <c r="X802" s="339"/>
      <c r="Y802" s="339"/>
      <c r="Z802" s="340"/>
      <c r="AA802" s="339"/>
      <c r="AB802" s="339"/>
      <c r="AC802" s="339"/>
      <c r="AD802" s="339"/>
    </row>
    <row r="803" spans="1:30" ht="15.75" customHeight="1">
      <c r="A803" s="339"/>
      <c r="B803" s="339"/>
      <c r="C803" s="339"/>
      <c r="D803" s="339"/>
      <c r="E803" s="339"/>
      <c r="F803" s="339"/>
      <c r="G803" s="339"/>
      <c r="H803" s="339"/>
      <c r="I803" s="339"/>
      <c r="J803" s="339"/>
      <c r="K803" s="339"/>
      <c r="L803" s="340"/>
      <c r="M803" s="339"/>
      <c r="N803" s="340"/>
      <c r="O803" s="339"/>
      <c r="P803" s="340"/>
      <c r="Q803" s="339"/>
      <c r="R803" s="340"/>
      <c r="S803" s="339"/>
      <c r="T803" s="340"/>
      <c r="U803" s="339"/>
      <c r="V803" s="340"/>
      <c r="W803" s="339"/>
      <c r="X803" s="339"/>
      <c r="Y803" s="339"/>
      <c r="Z803" s="340"/>
      <c r="AA803" s="339"/>
      <c r="AB803" s="339"/>
      <c r="AC803" s="339"/>
      <c r="AD803" s="339"/>
    </row>
    <row r="804" spans="1:30" ht="15.75" customHeight="1">
      <c r="A804" s="339"/>
      <c r="B804" s="339"/>
      <c r="C804" s="339"/>
      <c r="D804" s="339"/>
      <c r="E804" s="339"/>
      <c r="F804" s="339"/>
      <c r="G804" s="339"/>
      <c r="H804" s="339"/>
      <c r="I804" s="339"/>
      <c r="J804" s="339"/>
      <c r="K804" s="339"/>
      <c r="L804" s="340"/>
      <c r="M804" s="339"/>
      <c r="N804" s="340"/>
      <c r="O804" s="339"/>
      <c r="P804" s="340"/>
      <c r="Q804" s="339"/>
      <c r="R804" s="340"/>
      <c r="S804" s="339"/>
      <c r="T804" s="340"/>
      <c r="U804" s="339"/>
      <c r="V804" s="340"/>
      <c r="W804" s="339"/>
      <c r="X804" s="339"/>
      <c r="Y804" s="339"/>
      <c r="Z804" s="340"/>
      <c r="AA804" s="339"/>
      <c r="AB804" s="339"/>
      <c r="AC804" s="339"/>
      <c r="AD804" s="339"/>
    </row>
    <row r="805" spans="1:30" ht="15.75" customHeight="1">
      <c r="A805" s="339"/>
      <c r="B805" s="339"/>
      <c r="C805" s="339"/>
      <c r="D805" s="339"/>
      <c r="E805" s="339"/>
      <c r="F805" s="339"/>
      <c r="G805" s="339"/>
      <c r="H805" s="339"/>
      <c r="I805" s="339"/>
      <c r="J805" s="339"/>
      <c r="K805" s="339"/>
      <c r="L805" s="340"/>
      <c r="M805" s="339"/>
      <c r="N805" s="340"/>
      <c r="O805" s="339"/>
      <c r="P805" s="340"/>
      <c r="Q805" s="339"/>
      <c r="R805" s="340"/>
      <c r="S805" s="339"/>
      <c r="T805" s="340"/>
      <c r="U805" s="339"/>
      <c r="V805" s="340"/>
      <c r="W805" s="339"/>
      <c r="X805" s="339"/>
      <c r="Y805" s="339"/>
      <c r="Z805" s="340"/>
      <c r="AA805" s="339"/>
      <c r="AB805" s="339"/>
      <c r="AC805" s="339"/>
      <c r="AD805" s="339"/>
    </row>
    <row r="806" spans="1:30" ht="15.75" customHeight="1">
      <c r="A806" s="339"/>
      <c r="B806" s="339"/>
      <c r="C806" s="339"/>
      <c r="D806" s="339"/>
      <c r="E806" s="339"/>
      <c r="F806" s="339"/>
      <c r="G806" s="339"/>
      <c r="H806" s="339"/>
      <c r="I806" s="339"/>
      <c r="J806" s="339"/>
      <c r="K806" s="339"/>
      <c r="L806" s="340"/>
      <c r="M806" s="339"/>
      <c r="N806" s="340"/>
      <c r="O806" s="339"/>
      <c r="P806" s="340"/>
      <c r="Q806" s="339"/>
      <c r="R806" s="340"/>
      <c r="S806" s="339"/>
      <c r="T806" s="340"/>
      <c r="U806" s="339"/>
      <c r="V806" s="340"/>
      <c r="W806" s="339"/>
      <c r="X806" s="339"/>
      <c r="Y806" s="339"/>
      <c r="Z806" s="340"/>
      <c r="AA806" s="339"/>
      <c r="AB806" s="339"/>
      <c r="AC806" s="339"/>
      <c r="AD806" s="339"/>
    </row>
    <row r="807" spans="1:30" ht="15.75" customHeight="1">
      <c r="A807" s="339"/>
      <c r="B807" s="339"/>
      <c r="C807" s="339"/>
      <c r="D807" s="339"/>
      <c r="E807" s="339"/>
      <c r="F807" s="339"/>
      <c r="G807" s="339"/>
      <c r="H807" s="339"/>
      <c r="I807" s="339"/>
      <c r="J807" s="339"/>
      <c r="K807" s="339"/>
      <c r="L807" s="340"/>
      <c r="M807" s="339"/>
      <c r="N807" s="340"/>
      <c r="O807" s="339"/>
      <c r="P807" s="340"/>
      <c r="Q807" s="339"/>
      <c r="R807" s="340"/>
      <c r="S807" s="339"/>
      <c r="T807" s="340"/>
      <c r="U807" s="339"/>
      <c r="V807" s="340"/>
      <c r="W807" s="339"/>
      <c r="X807" s="339"/>
      <c r="Y807" s="339"/>
      <c r="Z807" s="340"/>
      <c r="AA807" s="339"/>
      <c r="AB807" s="339"/>
      <c r="AC807" s="339"/>
      <c r="AD807" s="339"/>
    </row>
    <row r="808" spans="1:30" ht="15.75" customHeight="1">
      <c r="A808" s="339"/>
      <c r="B808" s="339"/>
      <c r="C808" s="339"/>
      <c r="D808" s="339"/>
      <c r="E808" s="339"/>
      <c r="F808" s="339"/>
      <c r="G808" s="339"/>
      <c r="H808" s="339"/>
      <c r="I808" s="339"/>
      <c r="J808" s="339"/>
      <c r="K808" s="339"/>
      <c r="L808" s="340"/>
      <c r="M808" s="339"/>
      <c r="N808" s="340"/>
      <c r="O808" s="339"/>
      <c r="P808" s="340"/>
      <c r="Q808" s="339"/>
      <c r="R808" s="340"/>
      <c r="S808" s="339"/>
      <c r="T808" s="340"/>
      <c r="U808" s="339"/>
      <c r="V808" s="340"/>
      <c r="W808" s="339"/>
      <c r="X808" s="339"/>
      <c r="Y808" s="339"/>
      <c r="Z808" s="340"/>
      <c r="AA808" s="339"/>
      <c r="AB808" s="339"/>
      <c r="AC808" s="339"/>
      <c r="AD808" s="339"/>
    </row>
    <row r="809" spans="1:30" ht="15.75" customHeight="1">
      <c r="A809" s="339"/>
      <c r="B809" s="339"/>
      <c r="C809" s="339"/>
      <c r="D809" s="339"/>
      <c r="E809" s="339"/>
      <c r="F809" s="339"/>
      <c r="G809" s="339"/>
      <c r="H809" s="339"/>
      <c r="I809" s="339"/>
      <c r="J809" s="339"/>
      <c r="K809" s="339"/>
      <c r="L809" s="340"/>
      <c r="M809" s="339"/>
      <c r="N809" s="340"/>
      <c r="O809" s="339"/>
      <c r="P809" s="340"/>
      <c r="Q809" s="339"/>
      <c r="R809" s="340"/>
      <c r="S809" s="339"/>
      <c r="T809" s="340"/>
      <c r="U809" s="339"/>
      <c r="V809" s="340"/>
      <c r="W809" s="339"/>
      <c r="X809" s="339"/>
      <c r="Y809" s="339"/>
      <c r="Z809" s="340"/>
      <c r="AA809" s="339"/>
      <c r="AB809" s="339"/>
      <c r="AC809" s="339"/>
      <c r="AD809" s="339"/>
    </row>
    <row r="810" spans="1:30" ht="15.75" customHeight="1">
      <c r="A810" s="339"/>
      <c r="B810" s="339"/>
      <c r="C810" s="339"/>
      <c r="D810" s="339"/>
      <c r="E810" s="339"/>
      <c r="F810" s="339"/>
      <c r="G810" s="339"/>
      <c r="H810" s="339"/>
      <c r="I810" s="339"/>
      <c r="J810" s="339"/>
      <c r="K810" s="339"/>
      <c r="L810" s="340"/>
      <c r="M810" s="339"/>
      <c r="N810" s="340"/>
      <c r="O810" s="339"/>
      <c r="P810" s="340"/>
      <c r="Q810" s="339"/>
      <c r="R810" s="340"/>
      <c r="S810" s="339"/>
      <c r="T810" s="340"/>
      <c r="U810" s="339"/>
      <c r="V810" s="340"/>
      <c r="W810" s="339"/>
      <c r="X810" s="339"/>
      <c r="Y810" s="339"/>
      <c r="Z810" s="340"/>
      <c r="AA810" s="339"/>
      <c r="AB810" s="339"/>
      <c r="AC810" s="339"/>
      <c r="AD810" s="339"/>
    </row>
    <row r="811" spans="1:30" ht="15.75" customHeight="1">
      <c r="A811" s="339"/>
      <c r="B811" s="339"/>
      <c r="C811" s="339"/>
      <c r="D811" s="339"/>
      <c r="E811" s="339"/>
      <c r="F811" s="339"/>
      <c r="G811" s="339"/>
      <c r="H811" s="339"/>
      <c r="I811" s="339"/>
      <c r="J811" s="339"/>
      <c r="K811" s="339"/>
      <c r="L811" s="340"/>
      <c r="M811" s="339"/>
      <c r="N811" s="340"/>
      <c r="O811" s="339"/>
      <c r="P811" s="340"/>
      <c r="Q811" s="339"/>
      <c r="R811" s="340"/>
      <c r="S811" s="339"/>
      <c r="T811" s="340"/>
      <c r="U811" s="339"/>
      <c r="V811" s="340"/>
      <c r="W811" s="339"/>
      <c r="X811" s="339"/>
      <c r="Y811" s="339"/>
      <c r="Z811" s="340"/>
      <c r="AA811" s="339"/>
      <c r="AB811" s="339"/>
      <c r="AC811" s="339"/>
      <c r="AD811" s="339"/>
    </row>
    <row r="812" spans="1:30" ht="15.75" customHeight="1">
      <c r="A812" s="339"/>
      <c r="B812" s="339"/>
      <c r="C812" s="339"/>
      <c r="D812" s="339"/>
      <c r="E812" s="339"/>
      <c r="F812" s="339"/>
      <c r="G812" s="339"/>
      <c r="H812" s="339"/>
      <c r="I812" s="339"/>
      <c r="J812" s="339"/>
      <c r="K812" s="339"/>
      <c r="L812" s="340"/>
      <c r="M812" s="339"/>
      <c r="N812" s="340"/>
      <c r="O812" s="339"/>
      <c r="P812" s="340"/>
      <c r="Q812" s="339"/>
      <c r="R812" s="340"/>
      <c r="S812" s="339"/>
      <c r="T812" s="340"/>
      <c r="U812" s="339"/>
      <c r="V812" s="340"/>
      <c r="W812" s="339"/>
      <c r="X812" s="339"/>
      <c r="Y812" s="339"/>
      <c r="Z812" s="340"/>
      <c r="AA812" s="339"/>
      <c r="AB812" s="339"/>
      <c r="AC812" s="339"/>
      <c r="AD812" s="339"/>
    </row>
    <row r="813" spans="1:30" ht="15.75" customHeight="1">
      <c r="A813" s="339"/>
      <c r="B813" s="339"/>
      <c r="C813" s="339"/>
      <c r="D813" s="339"/>
      <c r="E813" s="339"/>
      <c r="F813" s="339"/>
      <c r="G813" s="339"/>
      <c r="H813" s="339"/>
      <c r="I813" s="339"/>
      <c r="J813" s="339"/>
      <c r="K813" s="339"/>
      <c r="L813" s="340"/>
      <c r="M813" s="339"/>
      <c r="N813" s="340"/>
      <c r="O813" s="339"/>
      <c r="P813" s="340"/>
      <c r="Q813" s="339"/>
      <c r="R813" s="340"/>
      <c r="S813" s="339"/>
      <c r="T813" s="340"/>
      <c r="U813" s="339"/>
      <c r="V813" s="340"/>
      <c r="W813" s="339"/>
      <c r="X813" s="339"/>
      <c r="Y813" s="339"/>
      <c r="Z813" s="340"/>
      <c r="AA813" s="339"/>
      <c r="AB813" s="339"/>
      <c r="AC813" s="339"/>
      <c r="AD813" s="339"/>
    </row>
    <row r="814" spans="1:30" ht="15.75" customHeight="1">
      <c r="A814" s="339"/>
      <c r="B814" s="339"/>
      <c r="C814" s="339"/>
      <c r="D814" s="339"/>
      <c r="E814" s="339"/>
      <c r="F814" s="339"/>
      <c r="G814" s="339"/>
      <c r="H814" s="339"/>
      <c r="I814" s="339"/>
      <c r="J814" s="339"/>
      <c r="K814" s="339"/>
      <c r="L814" s="340"/>
      <c r="M814" s="339"/>
      <c r="N814" s="340"/>
      <c r="O814" s="339"/>
      <c r="P814" s="340"/>
      <c r="Q814" s="339"/>
      <c r="R814" s="340"/>
      <c r="S814" s="339"/>
      <c r="T814" s="340"/>
      <c r="U814" s="339"/>
      <c r="V814" s="340"/>
      <c r="W814" s="339"/>
      <c r="X814" s="339"/>
      <c r="Y814" s="339"/>
      <c r="Z814" s="340"/>
      <c r="AA814" s="339"/>
      <c r="AB814" s="339"/>
      <c r="AC814" s="339"/>
      <c r="AD814" s="339"/>
    </row>
    <row r="815" spans="1:30" ht="15.75" customHeight="1">
      <c r="A815" s="339"/>
      <c r="B815" s="339"/>
      <c r="C815" s="339"/>
      <c r="D815" s="339"/>
      <c r="E815" s="339"/>
      <c r="F815" s="339"/>
      <c r="G815" s="339"/>
      <c r="H815" s="339"/>
      <c r="I815" s="339"/>
      <c r="J815" s="339"/>
      <c r="K815" s="339"/>
      <c r="L815" s="340"/>
      <c r="M815" s="339"/>
      <c r="N815" s="340"/>
      <c r="O815" s="339"/>
      <c r="P815" s="340"/>
      <c r="Q815" s="339"/>
      <c r="R815" s="340"/>
      <c r="S815" s="339"/>
      <c r="T815" s="340"/>
      <c r="U815" s="339"/>
      <c r="V815" s="340"/>
      <c r="W815" s="339"/>
      <c r="X815" s="339"/>
      <c r="Y815" s="339"/>
      <c r="Z815" s="340"/>
      <c r="AA815" s="339"/>
      <c r="AB815" s="339"/>
      <c r="AC815" s="339"/>
      <c r="AD815" s="339"/>
    </row>
    <row r="816" spans="1:30" ht="15.75" customHeight="1">
      <c r="A816" s="339"/>
      <c r="B816" s="339"/>
      <c r="C816" s="339"/>
      <c r="D816" s="339"/>
      <c r="E816" s="339"/>
      <c r="F816" s="339"/>
      <c r="G816" s="339"/>
      <c r="H816" s="339"/>
      <c r="I816" s="339"/>
      <c r="J816" s="339"/>
      <c r="K816" s="339"/>
      <c r="L816" s="340"/>
      <c r="M816" s="339"/>
      <c r="N816" s="340"/>
      <c r="O816" s="339"/>
      <c r="P816" s="340"/>
      <c r="Q816" s="339"/>
      <c r="R816" s="340"/>
      <c r="S816" s="339"/>
      <c r="T816" s="340"/>
      <c r="U816" s="339"/>
      <c r="V816" s="340"/>
      <c r="W816" s="339"/>
      <c r="X816" s="339"/>
      <c r="Y816" s="339"/>
      <c r="Z816" s="340"/>
      <c r="AA816" s="339"/>
      <c r="AB816" s="339"/>
      <c r="AC816" s="339"/>
      <c r="AD816" s="339"/>
    </row>
    <row r="817" spans="1:30" ht="15.75" customHeight="1">
      <c r="A817" s="339"/>
      <c r="B817" s="339"/>
      <c r="C817" s="339"/>
      <c r="D817" s="339"/>
      <c r="E817" s="339"/>
      <c r="F817" s="339"/>
      <c r="G817" s="339"/>
      <c r="H817" s="339"/>
      <c r="I817" s="339"/>
      <c r="J817" s="339"/>
      <c r="K817" s="339"/>
      <c r="L817" s="340"/>
      <c r="M817" s="339"/>
      <c r="N817" s="340"/>
      <c r="O817" s="339"/>
      <c r="P817" s="340"/>
      <c r="Q817" s="339"/>
      <c r="R817" s="340"/>
      <c r="S817" s="339"/>
      <c r="T817" s="340"/>
      <c r="U817" s="339"/>
      <c r="V817" s="340"/>
      <c r="W817" s="339"/>
      <c r="X817" s="339"/>
      <c r="Y817" s="339"/>
      <c r="Z817" s="340"/>
      <c r="AA817" s="339"/>
      <c r="AB817" s="339"/>
      <c r="AC817" s="339"/>
      <c r="AD817" s="339"/>
    </row>
    <row r="818" spans="1:30" ht="15.75" customHeight="1">
      <c r="A818" s="339"/>
      <c r="B818" s="339"/>
      <c r="C818" s="339"/>
      <c r="D818" s="339"/>
      <c r="E818" s="339"/>
      <c r="F818" s="339"/>
      <c r="G818" s="339"/>
      <c r="H818" s="339"/>
      <c r="I818" s="339"/>
      <c r="J818" s="339"/>
      <c r="K818" s="339"/>
      <c r="L818" s="340"/>
      <c r="M818" s="339"/>
      <c r="N818" s="340"/>
      <c r="O818" s="339"/>
      <c r="P818" s="340"/>
      <c r="Q818" s="339"/>
      <c r="R818" s="340"/>
      <c r="S818" s="339"/>
      <c r="T818" s="340"/>
      <c r="U818" s="339"/>
      <c r="V818" s="340"/>
      <c r="W818" s="339"/>
      <c r="X818" s="339"/>
      <c r="Y818" s="339"/>
      <c r="Z818" s="340"/>
      <c r="AA818" s="339"/>
      <c r="AB818" s="339"/>
      <c r="AC818" s="339"/>
      <c r="AD818" s="339"/>
    </row>
    <row r="819" spans="1:30" ht="15.75" customHeight="1">
      <c r="A819" s="339"/>
      <c r="B819" s="339"/>
      <c r="C819" s="339"/>
      <c r="D819" s="339"/>
      <c r="E819" s="339"/>
      <c r="F819" s="339"/>
      <c r="G819" s="339"/>
      <c r="H819" s="339"/>
      <c r="I819" s="339"/>
      <c r="J819" s="339"/>
      <c r="K819" s="339"/>
      <c r="L819" s="340"/>
      <c r="M819" s="339"/>
      <c r="N819" s="340"/>
      <c r="O819" s="339"/>
      <c r="P819" s="340"/>
      <c r="Q819" s="339"/>
      <c r="R819" s="340"/>
      <c r="S819" s="339"/>
      <c r="T819" s="340"/>
      <c r="U819" s="339"/>
      <c r="V819" s="340"/>
      <c r="W819" s="339"/>
      <c r="X819" s="339"/>
      <c r="Y819" s="339"/>
      <c r="Z819" s="340"/>
      <c r="AA819" s="339"/>
      <c r="AB819" s="339"/>
      <c r="AC819" s="339"/>
      <c r="AD819" s="339"/>
    </row>
    <row r="820" spans="1:30" ht="15.75" customHeight="1">
      <c r="A820" s="339"/>
      <c r="B820" s="339"/>
      <c r="C820" s="339"/>
      <c r="D820" s="339"/>
      <c r="E820" s="339"/>
      <c r="F820" s="339"/>
      <c r="G820" s="339"/>
      <c r="H820" s="339"/>
      <c r="I820" s="339"/>
      <c r="J820" s="339"/>
      <c r="K820" s="339"/>
      <c r="L820" s="340"/>
      <c r="M820" s="339"/>
      <c r="N820" s="340"/>
      <c r="O820" s="339"/>
      <c r="P820" s="340"/>
      <c r="Q820" s="339"/>
      <c r="R820" s="340"/>
      <c r="S820" s="339"/>
      <c r="T820" s="340"/>
      <c r="U820" s="339"/>
      <c r="V820" s="340"/>
      <c r="W820" s="339"/>
      <c r="X820" s="339"/>
      <c r="Y820" s="339"/>
      <c r="Z820" s="340"/>
      <c r="AA820" s="339"/>
      <c r="AB820" s="339"/>
      <c r="AC820" s="339"/>
      <c r="AD820" s="339"/>
    </row>
    <row r="821" spans="1:30" ht="15.75" customHeight="1">
      <c r="A821" s="339"/>
      <c r="B821" s="339"/>
      <c r="C821" s="339"/>
      <c r="D821" s="339"/>
      <c r="E821" s="339"/>
      <c r="F821" s="339"/>
      <c r="G821" s="339"/>
      <c r="H821" s="339"/>
      <c r="I821" s="339"/>
      <c r="J821" s="339"/>
      <c r="K821" s="339"/>
      <c r="L821" s="340"/>
      <c r="M821" s="339"/>
      <c r="N821" s="340"/>
      <c r="O821" s="339"/>
      <c r="P821" s="340"/>
      <c r="Q821" s="339"/>
      <c r="R821" s="340"/>
      <c r="S821" s="339"/>
      <c r="T821" s="340"/>
      <c r="U821" s="339"/>
      <c r="V821" s="340"/>
      <c r="W821" s="339"/>
      <c r="X821" s="339"/>
      <c r="Y821" s="339"/>
      <c r="Z821" s="340"/>
      <c r="AA821" s="339"/>
      <c r="AB821" s="339"/>
      <c r="AC821" s="339"/>
      <c r="AD821" s="339"/>
    </row>
    <row r="822" spans="1:30" ht="15.75" customHeight="1">
      <c r="A822" s="339"/>
      <c r="B822" s="339"/>
      <c r="C822" s="339"/>
      <c r="D822" s="339"/>
      <c r="E822" s="339"/>
      <c r="F822" s="339"/>
      <c r="G822" s="339"/>
      <c r="H822" s="339"/>
      <c r="I822" s="339"/>
      <c r="J822" s="339"/>
      <c r="K822" s="339"/>
      <c r="L822" s="340"/>
      <c r="M822" s="339"/>
      <c r="N822" s="340"/>
      <c r="O822" s="339"/>
      <c r="P822" s="340"/>
      <c r="Q822" s="339"/>
      <c r="R822" s="340"/>
      <c r="S822" s="339"/>
      <c r="T822" s="340"/>
      <c r="U822" s="339"/>
      <c r="V822" s="340"/>
      <c r="W822" s="339"/>
      <c r="X822" s="339"/>
      <c r="Y822" s="339"/>
      <c r="Z822" s="340"/>
      <c r="AA822" s="339"/>
      <c r="AB822" s="339"/>
      <c r="AC822" s="339"/>
      <c r="AD822" s="339"/>
    </row>
    <row r="823" spans="1:30" ht="15.75" customHeight="1">
      <c r="A823" s="339"/>
      <c r="B823" s="339"/>
      <c r="C823" s="339"/>
      <c r="D823" s="339"/>
      <c r="E823" s="339"/>
      <c r="F823" s="339"/>
      <c r="G823" s="339"/>
      <c r="H823" s="339"/>
      <c r="I823" s="339"/>
      <c r="J823" s="339"/>
      <c r="K823" s="339"/>
      <c r="L823" s="340"/>
      <c r="M823" s="339"/>
      <c r="N823" s="340"/>
      <c r="O823" s="339"/>
      <c r="P823" s="340"/>
      <c r="Q823" s="339"/>
      <c r="R823" s="340"/>
      <c r="S823" s="339"/>
      <c r="T823" s="340"/>
      <c r="U823" s="339"/>
      <c r="V823" s="340"/>
      <c r="W823" s="339"/>
      <c r="X823" s="339"/>
      <c r="Y823" s="339"/>
      <c r="Z823" s="340"/>
      <c r="AA823" s="339"/>
      <c r="AB823" s="339"/>
      <c r="AC823" s="339"/>
      <c r="AD823" s="339"/>
    </row>
    <row r="824" spans="1:30" ht="15.75" customHeight="1">
      <c r="A824" s="339"/>
      <c r="B824" s="339"/>
      <c r="C824" s="339"/>
      <c r="D824" s="339"/>
      <c r="E824" s="339"/>
      <c r="F824" s="339"/>
      <c r="G824" s="339"/>
      <c r="H824" s="339"/>
      <c r="I824" s="339"/>
      <c r="J824" s="339"/>
      <c r="K824" s="339"/>
      <c r="L824" s="340"/>
      <c r="M824" s="339"/>
      <c r="N824" s="340"/>
      <c r="O824" s="339"/>
      <c r="P824" s="340"/>
      <c r="Q824" s="339"/>
      <c r="R824" s="340"/>
      <c r="S824" s="339"/>
      <c r="T824" s="340"/>
      <c r="U824" s="339"/>
      <c r="V824" s="340"/>
      <c r="W824" s="339"/>
      <c r="X824" s="339"/>
      <c r="Y824" s="339"/>
      <c r="Z824" s="340"/>
      <c r="AA824" s="339"/>
      <c r="AB824" s="339"/>
      <c r="AC824" s="339"/>
      <c r="AD824" s="339"/>
    </row>
    <row r="825" spans="1:30" ht="15.75" customHeight="1">
      <c r="A825" s="339"/>
      <c r="B825" s="339"/>
      <c r="C825" s="339"/>
      <c r="D825" s="339"/>
      <c r="E825" s="339"/>
      <c r="F825" s="339"/>
      <c r="G825" s="339"/>
      <c r="H825" s="339"/>
      <c r="I825" s="339"/>
      <c r="J825" s="339"/>
      <c r="K825" s="339"/>
      <c r="L825" s="340"/>
      <c r="M825" s="339"/>
      <c r="N825" s="340"/>
      <c r="O825" s="339"/>
      <c r="P825" s="340"/>
      <c r="Q825" s="339"/>
      <c r="R825" s="340"/>
      <c r="S825" s="339"/>
      <c r="T825" s="340"/>
      <c r="U825" s="339"/>
      <c r="V825" s="340"/>
      <c r="W825" s="339"/>
      <c r="X825" s="339"/>
      <c r="Y825" s="339"/>
      <c r="Z825" s="340"/>
      <c r="AA825" s="339"/>
      <c r="AB825" s="339"/>
      <c r="AC825" s="339"/>
      <c r="AD825" s="339"/>
    </row>
    <row r="826" spans="1:30" ht="15.75" customHeight="1">
      <c r="A826" s="339"/>
      <c r="B826" s="339"/>
      <c r="C826" s="339"/>
      <c r="D826" s="339"/>
      <c r="E826" s="339"/>
      <c r="F826" s="339"/>
      <c r="G826" s="339"/>
      <c r="H826" s="339"/>
      <c r="I826" s="339"/>
      <c r="J826" s="339"/>
      <c r="K826" s="339"/>
      <c r="L826" s="340"/>
      <c r="M826" s="339"/>
      <c r="N826" s="340"/>
      <c r="O826" s="339"/>
      <c r="P826" s="340"/>
      <c r="Q826" s="339"/>
      <c r="R826" s="340"/>
      <c r="S826" s="339"/>
      <c r="T826" s="340"/>
      <c r="U826" s="339"/>
      <c r="V826" s="340"/>
      <c r="W826" s="339"/>
      <c r="X826" s="339"/>
      <c r="Y826" s="339"/>
      <c r="Z826" s="340"/>
      <c r="AA826" s="339"/>
      <c r="AB826" s="339"/>
      <c r="AC826" s="339"/>
      <c r="AD826" s="339"/>
    </row>
    <row r="827" spans="1:30" ht="15.75" customHeight="1">
      <c r="A827" s="339"/>
      <c r="B827" s="339"/>
      <c r="C827" s="339"/>
      <c r="D827" s="339"/>
      <c r="E827" s="339"/>
      <c r="F827" s="339"/>
      <c r="G827" s="339"/>
      <c r="H827" s="339"/>
      <c r="I827" s="339"/>
      <c r="J827" s="339"/>
      <c r="K827" s="339"/>
      <c r="L827" s="340"/>
      <c r="M827" s="339"/>
      <c r="N827" s="340"/>
      <c r="O827" s="339"/>
      <c r="P827" s="340"/>
      <c r="Q827" s="339"/>
      <c r="R827" s="340"/>
      <c r="S827" s="339"/>
      <c r="T827" s="340"/>
      <c r="U827" s="339"/>
      <c r="V827" s="340"/>
      <c r="W827" s="339"/>
      <c r="X827" s="339"/>
      <c r="Y827" s="339"/>
      <c r="Z827" s="340"/>
      <c r="AA827" s="339"/>
      <c r="AB827" s="339"/>
      <c r="AC827" s="339"/>
      <c r="AD827" s="339"/>
    </row>
    <row r="828" spans="1:30" ht="15.75" customHeight="1">
      <c r="A828" s="339"/>
      <c r="B828" s="339"/>
      <c r="C828" s="339"/>
      <c r="D828" s="339"/>
      <c r="E828" s="339"/>
      <c r="F828" s="339"/>
      <c r="G828" s="339"/>
      <c r="H828" s="339"/>
      <c r="I828" s="339"/>
      <c r="J828" s="339"/>
      <c r="K828" s="339"/>
      <c r="L828" s="340"/>
      <c r="M828" s="339"/>
      <c r="N828" s="340"/>
      <c r="O828" s="339"/>
      <c r="P828" s="340"/>
      <c r="Q828" s="339"/>
      <c r="R828" s="340"/>
      <c r="S828" s="339"/>
      <c r="T828" s="340"/>
      <c r="U828" s="339"/>
      <c r="V828" s="340"/>
      <c r="W828" s="339"/>
      <c r="X828" s="339"/>
      <c r="Y828" s="339"/>
      <c r="Z828" s="340"/>
      <c r="AA828" s="339"/>
      <c r="AB828" s="339"/>
      <c r="AC828" s="339"/>
      <c r="AD828" s="339"/>
    </row>
    <row r="829" spans="1:30" ht="15.75" customHeight="1">
      <c r="A829" s="339"/>
      <c r="B829" s="339"/>
      <c r="C829" s="339"/>
      <c r="D829" s="339"/>
      <c r="E829" s="339"/>
      <c r="F829" s="339"/>
      <c r="G829" s="339"/>
      <c r="H829" s="339"/>
      <c r="I829" s="339"/>
      <c r="J829" s="339"/>
      <c r="K829" s="339"/>
      <c r="L829" s="340"/>
      <c r="M829" s="339"/>
      <c r="N829" s="340"/>
      <c r="O829" s="339"/>
      <c r="P829" s="340"/>
      <c r="Q829" s="339"/>
      <c r="R829" s="340"/>
      <c r="S829" s="339"/>
      <c r="T829" s="340"/>
      <c r="U829" s="339"/>
      <c r="V829" s="340"/>
      <c r="W829" s="339"/>
      <c r="X829" s="339"/>
      <c r="Y829" s="339"/>
      <c r="Z829" s="340"/>
      <c r="AA829" s="339"/>
      <c r="AB829" s="339"/>
      <c r="AC829" s="339"/>
      <c r="AD829" s="339"/>
    </row>
    <row r="830" spans="1:30" ht="15.75" customHeight="1">
      <c r="A830" s="339"/>
      <c r="B830" s="339"/>
      <c r="C830" s="339"/>
      <c r="D830" s="339"/>
      <c r="E830" s="339"/>
      <c r="F830" s="339"/>
      <c r="G830" s="339"/>
      <c r="H830" s="339"/>
      <c r="I830" s="339"/>
      <c r="J830" s="339"/>
      <c r="K830" s="339"/>
      <c r="L830" s="340"/>
      <c r="M830" s="339"/>
      <c r="N830" s="340"/>
      <c r="O830" s="339"/>
      <c r="P830" s="340"/>
      <c r="Q830" s="339"/>
      <c r="R830" s="340"/>
      <c r="S830" s="339"/>
      <c r="T830" s="340"/>
      <c r="U830" s="339"/>
      <c r="V830" s="340"/>
      <c r="W830" s="339"/>
      <c r="X830" s="339"/>
      <c r="Y830" s="339"/>
      <c r="Z830" s="340"/>
      <c r="AA830" s="339"/>
      <c r="AB830" s="339"/>
      <c r="AC830" s="339"/>
      <c r="AD830" s="339"/>
    </row>
    <row r="831" spans="1:30" ht="15.75" customHeight="1">
      <c r="A831" s="339"/>
      <c r="B831" s="339"/>
      <c r="C831" s="339"/>
      <c r="D831" s="339"/>
      <c r="E831" s="339"/>
      <c r="F831" s="339"/>
      <c r="G831" s="339"/>
      <c r="H831" s="339"/>
      <c r="I831" s="339"/>
      <c r="J831" s="339"/>
      <c r="K831" s="339"/>
      <c r="L831" s="340"/>
      <c r="M831" s="339"/>
      <c r="N831" s="340"/>
      <c r="O831" s="339"/>
      <c r="P831" s="340"/>
      <c r="Q831" s="339"/>
      <c r="R831" s="340"/>
      <c r="S831" s="339"/>
      <c r="T831" s="340"/>
      <c r="U831" s="339"/>
      <c r="V831" s="340"/>
      <c r="W831" s="339"/>
      <c r="X831" s="339"/>
      <c r="Y831" s="339"/>
      <c r="Z831" s="340"/>
      <c r="AA831" s="339"/>
      <c r="AB831" s="339"/>
      <c r="AC831" s="339"/>
      <c r="AD831" s="339"/>
    </row>
    <row r="832" spans="1:30" ht="15.75" customHeight="1">
      <c r="A832" s="339"/>
      <c r="B832" s="339"/>
      <c r="C832" s="339"/>
      <c r="D832" s="339"/>
      <c r="E832" s="339"/>
      <c r="F832" s="339"/>
      <c r="G832" s="339"/>
      <c r="H832" s="339"/>
      <c r="I832" s="339"/>
      <c r="J832" s="339"/>
      <c r="K832" s="339"/>
      <c r="L832" s="340"/>
      <c r="M832" s="339"/>
      <c r="N832" s="340"/>
      <c r="O832" s="339"/>
      <c r="P832" s="340"/>
      <c r="Q832" s="339"/>
      <c r="R832" s="340"/>
      <c r="S832" s="339"/>
      <c r="T832" s="340"/>
      <c r="U832" s="339"/>
      <c r="V832" s="340"/>
      <c r="W832" s="339"/>
      <c r="X832" s="339"/>
      <c r="Y832" s="339"/>
      <c r="Z832" s="340"/>
      <c r="AA832" s="339"/>
      <c r="AB832" s="339"/>
      <c r="AC832" s="339"/>
      <c r="AD832" s="339"/>
    </row>
    <row r="833" spans="1:30" ht="15.75" customHeight="1">
      <c r="A833" s="339"/>
      <c r="B833" s="339"/>
      <c r="C833" s="339"/>
      <c r="D833" s="339"/>
      <c r="E833" s="339"/>
      <c r="F833" s="339"/>
      <c r="G833" s="339"/>
      <c r="H833" s="339"/>
      <c r="I833" s="339"/>
      <c r="J833" s="339"/>
      <c r="K833" s="339"/>
      <c r="L833" s="340"/>
      <c r="M833" s="339"/>
      <c r="N833" s="340"/>
      <c r="O833" s="339"/>
      <c r="P833" s="340"/>
      <c r="Q833" s="339"/>
      <c r="R833" s="340"/>
      <c r="S833" s="339"/>
      <c r="T833" s="340"/>
      <c r="U833" s="339"/>
      <c r="V833" s="340"/>
      <c r="W833" s="339"/>
      <c r="X833" s="339"/>
      <c r="Y833" s="339"/>
      <c r="Z833" s="340"/>
      <c r="AA833" s="339"/>
      <c r="AB833" s="339"/>
      <c r="AC833" s="339"/>
      <c r="AD833" s="339"/>
    </row>
    <row r="834" spans="1:30" ht="15.75" customHeight="1">
      <c r="A834" s="339"/>
      <c r="B834" s="339"/>
      <c r="C834" s="339"/>
      <c r="D834" s="339"/>
      <c r="E834" s="339"/>
      <c r="F834" s="339"/>
      <c r="G834" s="339"/>
      <c r="H834" s="339"/>
      <c r="I834" s="339"/>
      <c r="J834" s="339"/>
      <c r="K834" s="339"/>
      <c r="L834" s="340"/>
      <c r="M834" s="339"/>
      <c r="N834" s="340"/>
      <c r="O834" s="339"/>
      <c r="P834" s="340"/>
      <c r="Q834" s="339"/>
      <c r="R834" s="340"/>
      <c r="S834" s="339"/>
      <c r="T834" s="340"/>
      <c r="U834" s="339"/>
      <c r="V834" s="340"/>
      <c r="W834" s="339"/>
      <c r="X834" s="339"/>
      <c r="Y834" s="339"/>
      <c r="Z834" s="340"/>
      <c r="AA834" s="339"/>
      <c r="AB834" s="339"/>
      <c r="AC834" s="339"/>
      <c r="AD834" s="339"/>
    </row>
    <row r="835" spans="1:30" ht="15.75" customHeight="1">
      <c r="A835" s="339"/>
      <c r="B835" s="339"/>
      <c r="C835" s="339"/>
      <c r="D835" s="339"/>
      <c r="E835" s="339"/>
      <c r="F835" s="339"/>
      <c r="G835" s="339"/>
      <c r="H835" s="339"/>
      <c r="I835" s="339"/>
      <c r="J835" s="339"/>
      <c r="K835" s="339"/>
      <c r="L835" s="340"/>
      <c r="M835" s="339"/>
      <c r="N835" s="340"/>
      <c r="O835" s="339"/>
      <c r="P835" s="340"/>
      <c r="Q835" s="339"/>
      <c r="R835" s="340"/>
      <c r="S835" s="339"/>
      <c r="T835" s="340"/>
      <c r="U835" s="339"/>
      <c r="V835" s="340"/>
      <c r="W835" s="339"/>
      <c r="X835" s="339"/>
      <c r="Y835" s="339"/>
      <c r="Z835" s="340"/>
      <c r="AA835" s="339"/>
      <c r="AB835" s="339"/>
      <c r="AC835" s="339"/>
      <c r="AD835" s="339"/>
    </row>
    <row r="836" spans="1:30" ht="15.75" customHeight="1">
      <c r="A836" s="339"/>
      <c r="B836" s="339"/>
      <c r="C836" s="339"/>
      <c r="D836" s="339"/>
      <c r="E836" s="339"/>
      <c r="F836" s="339"/>
      <c r="G836" s="339"/>
      <c r="H836" s="339"/>
      <c r="I836" s="339"/>
      <c r="J836" s="339"/>
      <c r="K836" s="339"/>
      <c r="L836" s="340"/>
      <c r="M836" s="339"/>
      <c r="N836" s="340"/>
      <c r="O836" s="339"/>
      <c r="P836" s="340"/>
      <c r="Q836" s="339"/>
      <c r="R836" s="340"/>
      <c r="S836" s="339"/>
      <c r="T836" s="340"/>
      <c r="U836" s="339"/>
      <c r="V836" s="340"/>
      <c r="W836" s="339"/>
      <c r="X836" s="339"/>
      <c r="Y836" s="339"/>
      <c r="Z836" s="340"/>
      <c r="AA836" s="339"/>
      <c r="AB836" s="339"/>
      <c r="AC836" s="339"/>
      <c r="AD836" s="339"/>
    </row>
    <row r="837" spans="1:30" ht="15.75" customHeight="1">
      <c r="A837" s="339"/>
      <c r="B837" s="339"/>
      <c r="C837" s="339"/>
      <c r="D837" s="339"/>
      <c r="E837" s="339"/>
      <c r="F837" s="339"/>
      <c r="G837" s="339"/>
      <c r="H837" s="339"/>
      <c r="I837" s="339"/>
      <c r="J837" s="339"/>
      <c r="K837" s="339"/>
      <c r="L837" s="340"/>
      <c r="M837" s="339"/>
      <c r="N837" s="340"/>
      <c r="O837" s="339"/>
      <c r="P837" s="340"/>
      <c r="Q837" s="339"/>
      <c r="R837" s="340"/>
      <c r="S837" s="339"/>
      <c r="T837" s="340"/>
      <c r="U837" s="339"/>
      <c r="V837" s="340"/>
      <c r="W837" s="339"/>
      <c r="X837" s="339"/>
      <c r="Y837" s="339"/>
      <c r="Z837" s="340"/>
      <c r="AA837" s="339"/>
      <c r="AB837" s="339"/>
      <c r="AC837" s="339"/>
      <c r="AD837" s="339"/>
    </row>
    <row r="838" spans="1:30" ht="15.75" customHeight="1">
      <c r="A838" s="339"/>
      <c r="B838" s="339"/>
      <c r="C838" s="339"/>
      <c r="D838" s="339"/>
      <c r="E838" s="339"/>
      <c r="F838" s="339"/>
      <c r="G838" s="339"/>
      <c r="H838" s="339"/>
      <c r="I838" s="339"/>
      <c r="J838" s="339"/>
      <c r="K838" s="339"/>
      <c r="L838" s="340"/>
      <c r="M838" s="339"/>
      <c r="N838" s="340"/>
      <c r="O838" s="339"/>
      <c r="P838" s="340"/>
      <c r="Q838" s="339"/>
      <c r="R838" s="340"/>
      <c r="S838" s="339"/>
      <c r="T838" s="340"/>
      <c r="U838" s="339"/>
      <c r="V838" s="340"/>
      <c r="W838" s="339"/>
      <c r="X838" s="339"/>
      <c r="Y838" s="339"/>
      <c r="Z838" s="340"/>
      <c r="AA838" s="339"/>
      <c r="AB838" s="339"/>
      <c r="AC838" s="339"/>
      <c r="AD838" s="339"/>
    </row>
    <row r="839" spans="1:30" ht="15.75" customHeight="1">
      <c r="A839" s="339"/>
      <c r="B839" s="339"/>
      <c r="C839" s="339"/>
      <c r="D839" s="339"/>
      <c r="E839" s="339"/>
      <c r="F839" s="339"/>
      <c r="G839" s="339"/>
      <c r="H839" s="339"/>
      <c r="I839" s="339"/>
      <c r="J839" s="339"/>
      <c r="K839" s="339"/>
      <c r="L839" s="340"/>
      <c r="M839" s="339"/>
      <c r="N839" s="340"/>
      <c r="O839" s="339"/>
      <c r="P839" s="340"/>
      <c r="Q839" s="339"/>
      <c r="R839" s="340"/>
      <c r="S839" s="339"/>
      <c r="T839" s="340"/>
      <c r="U839" s="339"/>
      <c r="V839" s="340"/>
      <c r="W839" s="339"/>
      <c r="X839" s="339"/>
      <c r="Y839" s="339"/>
      <c r="Z839" s="340"/>
      <c r="AA839" s="339"/>
      <c r="AB839" s="339"/>
      <c r="AC839" s="339"/>
      <c r="AD839" s="339"/>
    </row>
    <row r="840" spans="1:30" ht="15.75" customHeight="1">
      <c r="A840" s="339"/>
      <c r="B840" s="339"/>
      <c r="C840" s="339"/>
      <c r="D840" s="339"/>
      <c r="E840" s="339"/>
      <c r="F840" s="339"/>
      <c r="G840" s="339"/>
      <c r="H840" s="339"/>
      <c r="I840" s="339"/>
      <c r="J840" s="339"/>
      <c r="K840" s="339"/>
      <c r="L840" s="340"/>
      <c r="M840" s="339"/>
      <c r="N840" s="340"/>
      <c r="O840" s="339"/>
      <c r="P840" s="340"/>
      <c r="Q840" s="339"/>
      <c r="R840" s="340"/>
      <c r="S840" s="339"/>
      <c r="T840" s="340"/>
      <c r="U840" s="339"/>
      <c r="V840" s="340"/>
      <c r="W840" s="339"/>
      <c r="X840" s="339"/>
      <c r="Y840" s="339"/>
      <c r="Z840" s="340"/>
      <c r="AA840" s="339"/>
      <c r="AB840" s="339"/>
      <c r="AC840" s="339"/>
      <c r="AD840" s="339"/>
    </row>
    <row r="841" spans="1:30" ht="15.75" customHeight="1">
      <c r="A841" s="339"/>
      <c r="B841" s="339"/>
      <c r="C841" s="339"/>
      <c r="D841" s="339"/>
      <c r="E841" s="339"/>
      <c r="F841" s="339"/>
      <c r="G841" s="339"/>
      <c r="H841" s="339"/>
      <c r="I841" s="339"/>
      <c r="J841" s="339"/>
      <c r="K841" s="339"/>
      <c r="L841" s="340"/>
      <c r="M841" s="339"/>
      <c r="N841" s="340"/>
      <c r="O841" s="339"/>
      <c r="P841" s="340"/>
      <c r="Q841" s="339"/>
      <c r="R841" s="340"/>
      <c r="S841" s="339"/>
      <c r="T841" s="340"/>
      <c r="U841" s="339"/>
      <c r="V841" s="340"/>
      <c r="W841" s="339"/>
      <c r="X841" s="339"/>
      <c r="Y841" s="339"/>
      <c r="Z841" s="340"/>
      <c r="AA841" s="339"/>
      <c r="AB841" s="339"/>
      <c r="AC841" s="339"/>
      <c r="AD841" s="339"/>
    </row>
    <row r="842" spans="1:30" ht="15.75" customHeight="1">
      <c r="A842" s="339"/>
      <c r="B842" s="339"/>
      <c r="C842" s="339"/>
      <c r="D842" s="339"/>
      <c r="E842" s="339"/>
      <c r="F842" s="339"/>
      <c r="G842" s="339"/>
      <c r="H842" s="339"/>
      <c r="I842" s="339"/>
      <c r="J842" s="339"/>
      <c r="K842" s="339"/>
      <c r="L842" s="340"/>
      <c r="M842" s="339"/>
      <c r="N842" s="340"/>
      <c r="O842" s="339"/>
      <c r="P842" s="340"/>
      <c r="Q842" s="339"/>
      <c r="R842" s="340"/>
      <c r="S842" s="339"/>
      <c r="T842" s="340"/>
      <c r="U842" s="339"/>
      <c r="V842" s="340"/>
      <c r="W842" s="339"/>
      <c r="X842" s="339"/>
      <c r="Y842" s="339"/>
      <c r="Z842" s="340"/>
      <c r="AA842" s="339"/>
      <c r="AB842" s="339"/>
      <c r="AC842" s="339"/>
      <c r="AD842" s="339"/>
    </row>
    <row r="843" spans="1:30" ht="15.75" customHeight="1">
      <c r="A843" s="339"/>
      <c r="B843" s="339"/>
      <c r="C843" s="339"/>
      <c r="D843" s="339"/>
      <c r="E843" s="339"/>
      <c r="F843" s="339"/>
      <c r="G843" s="339"/>
      <c r="H843" s="339"/>
      <c r="I843" s="339"/>
      <c r="J843" s="339"/>
      <c r="K843" s="339"/>
      <c r="L843" s="340"/>
      <c r="M843" s="339"/>
      <c r="N843" s="340"/>
      <c r="O843" s="339"/>
      <c r="P843" s="340"/>
      <c r="Q843" s="339"/>
      <c r="R843" s="340"/>
      <c r="S843" s="339"/>
      <c r="T843" s="340"/>
      <c r="U843" s="339"/>
      <c r="V843" s="340"/>
      <c r="W843" s="339"/>
      <c r="X843" s="339"/>
      <c r="Y843" s="339"/>
      <c r="Z843" s="340"/>
      <c r="AA843" s="339"/>
      <c r="AB843" s="339"/>
      <c r="AC843" s="339"/>
      <c r="AD843" s="339"/>
    </row>
    <row r="844" spans="1:30" ht="15.75" customHeight="1">
      <c r="A844" s="339"/>
      <c r="B844" s="339"/>
      <c r="C844" s="339"/>
      <c r="D844" s="339"/>
      <c r="E844" s="339"/>
      <c r="F844" s="339"/>
      <c r="G844" s="339"/>
      <c r="H844" s="339"/>
      <c r="I844" s="339"/>
      <c r="J844" s="339"/>
      <c r="K844" s="339"/>
      <c r="L844" s="340"/>
      <c r="M844" s="339"/>
      <c r="N844" s="340"/>
      <c r="O844" s="339"/>
      <c r="P844" s="340"/>
      <c r="Q844" s="339"/>
      <c r="R844" s="340"/>
      <c r="S844" s="339"/>
      <c r="T844" s="340"/>
      <c r="U844" s="339"/>
      <c r="V844" s="340"/>
      <c r="W844" s="339"/>
      <c r="X844" s="339"/>
      <c r="Y844" s="339"/>
      <c r="Z844" s="340"/>
      <c r="AA844" s="339"/>
      <c r="AB844" s="339"/>
      <c r="AC844" s="339"/>
      <c r="AD844" s="339"/>
    </row>
    <row r="845" spans="1:30" ht="15.75" customHeight="1">
      <c r="A845" s="339"/>
      <c r="B845" s="339"/>
      <c r="C845" s="339"/>
      <c r="D845" s="339"/>
      <c r="E845" s="339"/>
      <c r="F845" s="339"/>
      <c r="G845" s="339"/>
      <c r="H845" s="339"/>
      <c r="I845" s="339"/>
      <c r="J845" s="339"/>
      <c r="K845" s="339"/>
      <c r="L845" s="340"/>
      <c r="M845" s="339"/>
      <c r="N845" s="340"/>
      <c r="O845" s="339"/>
      <c r="P845" s="340"/>
      <c r="Q845" s="339"/>
      <c r="R845" s="340"/>
      <c r="S845" s="339"/>
      <c r="T845" s="340"/>
      <c r="U845" s="339"/>
      <c r="V845" s="340"/>
      <c r="W845" s="339"/>
      <c r="X845" s="339"/>
      <c r="Y845" s="339"/>
      <c r="Z845" s="340"/>
      <c r="AA845" s="339"/>
      <c r="AB845" s="339"/>
      <c r="AC845" s="339"/>
      <c r="AD845" s="339"/>
    </row>
    <row r="846" spans="1:30" ht="15.75" customHeight="1">
      <c r="A846" s="339"/>
      <c r="B846" s="339"/>
      <c r="C846" s="339"/>
      <c r="D846" s="339"/>
      <c r="E846" s="339"/>
      <c r="F846" s="339"/>
      <c r="G846" s="339"/>
      <c r="H846" s="339"/>
      <c r="I846" s="339"/>
      <c r="J846" s="339"/>
      <c r="K846" s="339"/>
      <c r="L846" s="340"/>
      <c r="M846" s="339"/>
      <c r="N846" s="340"/>
      <c r="O846" s="339"/>
      <c r="P846" s="340"/>
      <c r="Q846" s="339"/>
      <c r="R846" s="340"/>
      <c r="S846" s="339"/>
      <c r="T846" s="340"/>
      <c r="U846" s="339"/>
      <c r="V846" s="340"/>
      <c r="W846" s="339"/>
      <c r="X846" s="339"/>
      <c r="Y846" s="339"/>
      <c r="Z846" s="340"/>
      <c r="AA846" s="339"/>
      <c r="AB846" s="339"/>
      <c r="AC846" s="339"/>
      <c r="AD846" s="339"/>
    </row>
    <row r="847" spans="1:30" ht="15.75" customHeight="1">
      <c r="A847" s="339"/>
      <c r="B847" s="339"/>
      <c r="C847" s="339"/>
      <c r="D847" s="339"/>
      <c r="E847" s="339"/>
      <c r="F847" s="339"/>
      <c r="G847" s="339"/>
      <c r="H847" s="339"/>
      <c r="I847" s="339"/>
      <c r="J847" s="339"/>
      <c r="K847" s="339"/>
      <c r="L847" s="340"/>
      <c r="M847" s="339"/>
      <c r="N847" s="340"/>
      <c r="O847" s="339"/>
      <c r="P847" s="340"/>
      <c r="Q847" s="339"/>
      <c r="R847" s="340"/>
      <c r="S847" s="339"/>
      <c r="T847" s="340"/>
      <c r="U847" s="339"/>
      <c r="V847" s="340"/>
      <c r="W847" s="339"/>
      <c r="X847" s="339"/>
      <c r="Y847" s="339"/>
      <c r="Z847" s="340"/>
      <c r="AA847" s="339"/>
      <c r="AB847" s="339"/>
      <c r="AC847" s="339"/>
      <c r="AD847" s="339"/>
    </row>
    <row r="848" spans="1:30" ht="15.75" customHeight="1">
      <c r="A848" s="339"/>
      <c r="B848" s="339"/>
      <c r="C848" s="339"/>
      <c r="D848" s="339"/>
      <c r="E848" s="339"/>
      <c r="F848" s="339"/>
      <c r="G848" s="339"/>
      <c r="H848" s="339"/>
      <c r="I848" s="339"/>
      <c r="J848" s="339"/>
      <c r="K848" s="339"/>
      <c r="L848" s="340"/>
      <c r="M848" s="339"/>
      <c r="N848" s="340"/>
      <c r="O848" s="339"/>
      <c r="P848" s="340"/>
      <c r="Q848" s="339"/>
      <c r="R848" s="340"/>
      <c r="S848" s="339"/>
      <c r="T848" s="340"/>
      <c r="U848" s="339"/>
      <c r="V848" s="340"/>
      <c r="W848" s="339"/>
      <c r="X848" s="339"/>
      <c r="Y848" s="339"/>
      <c r="Z848" s="340"/>
      <c r="AA848" s="339"/>
      <c r="AB848" s="339"/>
      <c r="AC848" s="339"/>
      <c r="AD848" s="339"/>
    </row>
    <row r="849" spans="1:30" ht="15.75" customHeight="1">
      <c r="A849" s="339"/>
      <c r="B849" s="339"/>
      <c r="C849" s="339"/>
      <c r="D849" s="339"/>
      <c r="E849" s="339"/>
      <c r="F849" s="339"/>
      <c r="G849" s="339"/>
      <c r="H849" s="339"/>
      <c r="I849" s="339"/>
      <c r="J849" s="339"/>
      <c r="K849" s="339"/>
      <c r="L849" s="340"/>
      <c r="M849" s="339"/>
      <c r="N849" s="340"/>
      <c r="O849" s="339"/>
      <c r="P849" s="340"/>
      <c r="Q849" s="339"/>
      <c r="R849" s="340"/>
      <c r="S849" s="339"/>
      <c r="T849" s="340"/>
      <c r="U849" s="339"/>
      <c r="V849" s="340"/>
      <c r="W849" s="339"/>
      <c r="X849" s="339"/>
      <c r="Y849" s="339"/>
      <c r="Z849" s="340"/>
      <c r="AA849" s="339"/>
      <c r="AB849" s="339"/>
      <c r="AC849" s="339"/>
      <c r="AD849" s="339"/>
    </row>
    <row r="850" spans="1:30" ht="15.75" customHeight="1">
      <c r="A850" s="339"/>
      <c r="B850" s="339"/>
      <c r="C850" s="339"/>
      <c r="D850" s="339"/>
      <c r="E850" s="339"/>
      <c r="F850" s="339"/>
      <c r="G850" s="339"/>
      <c r="H850" s="339"/>
      <c r="I850" s="339"/>
      <c r="J850" s="339"/>
      <c r="K850" s="339"/>
      <c r="L850" s="340"/>
      <c r="M850" s="339"/>
      <c r="N850" s="340"/>
      <c r="O850" s="339"/>
      <c r="P850" s="340"/>
      <c r="Q850" s="339"/>
      <c r="R850" s="340"/>
      <c r="S850" s="339"/>
      <c r="T850" s="340"/>
      <c r="U850" s="339"/>
      <c r="V850" s="340"/>
      <c r="W850" s="339"/>
      <c r="X850" s="339"/>
      <c r="Y850" s="339"/>
      <c r="Z850" s="340"/>
      <c r="AA850" s="339"/>
      <c r="AB850" s="339"/>
      <c r="AC850" s="339"/>
      <c r="AD850" s="339"/>
    </row>
    <row r="851" spans="1:30" ht="15.75" customHeight="1">
      <c r="A851" s="339"/>
      <c r="B851" s="339"/>
      <c r="C851" s="339"/>
      <c r="D851" s="339"/>
      <c r="E851" s="339"/>
      <c r="F851" s="339"/>
      <c r="G851" s="339"/>
      <c r="H851" s="339"/>
      <c r="I851" s="339"/>
      <c r="J851" s="339"/>
      <c r="K851" s="339"/>
      <c r="L851" s="340"/>
      <c r="M851" s="339"/>
      <c r="N851" s="340"/>
      <c r="O851" s="339"/>
      <c r="P851" s="340"/>
      <c r="Q851" s="339"/>
      <c r="R851" s="340"/>
      <c r="S851" s="339"/>
      <c r="T851" s="340"/>
      <c r="U851" s="339"/>
      <c r="V851" s="340"/>
      <c r="W851" s="339"/>
      <c r="X851" s="339"/>
      <c r="Y851" s="339"/>
      <c r="Z851" s="340"/>
      <c r="AA851" s="339"/>
      <c r="AB851" s="339"/>
      <c r="AC851" s="339"/>
      <c r="AD851" s="339"/>
    </row>
    <row r="852" spans="1:30" ht="15.75" customHeight="1">
      <c r="A852" s="339"/>
      <c r="B852" s="339"/>
      <c r="C852" s="339"/>
      <c r="D852" s="339"/>
      <c r="E852" s="339"/>
      <c r="F852" s="339"/>
      <c r="G852" s="339"/>
      <c r="H852" s="339"/>
      <c r="I852" s="339"/>
      <c r="J852" s="339"/>
      <c r="K852" s="339"/>
      <c r="L852" s="340"/>
      <c r="M852" s="339"/>
      <c r="N852" s="340"/>
      <c r="O852" s="339"/>
      <c r="P852" s="340"/>
      <c r="Q852" s="339"/>
      <c r="R852" s="340"/>
      <c r="S852" s="339"/>
      <c r="T852" s="340"/>
      <c r="U852" s="339"/>
      <c r="V852" s="340"/>
      <c r="W852" s="339"/>
      <c r="X852" s="339"/>
      <c r="Y852" s="339"/>
      <c r="Z852" s="340"/>
      <c r="AA852" s="339"/>
      <c r="AB852" s="339"/>
      <c r="AC852" s="339"/>
      <c r="AD852" s="339"/>
    </row>
    <row r="853" spans="1:30" ht="15.75" customHeight="1">
      <c r="A853" s="339"/>
      <c r="B853" s="339"/>
      <c r="C853" s="339"/>
      <c r="D853" s="339"/>
      <c r="E853" s="339"/>
      <c r="F853" s="339"/>
      <c r="G853" s="339"/>
      <c r="H853" s="339"/>
      <c r="I853" s="339"/>
      <c r="J853" s="339"/>
      <c r="K853" s="339"/>
      <c r="L853" s="340"/>
      <c r="M853" s="339"/>
      <c r="N853" s="340"/>
      <c r="O853" s="339"/>
      <c r="P853" s="340"/>
      <c r="Q853" s="339"/>
      <c r="R853" s="340"/>
      <c r="S853" s="339"/>
      <c r="T853" s="340"/>
      <c r="U853" s="339"/>
      <c r="V853" s="340"/>
      <c r="W853" s="339"/>
      <c r="X853" s="339"/>
      <c r="Y853" s="339"/>
      <c r="Z853" s="340"/>
      <c r="AA853" s="339"/>
      <c r="AB853" s="339"/>
      <c r="AC853" s="339"/>
      <c r="AD853" s="339"/>
    </row>
    <row r="854" spans="1:30" ht="15.75" customHeight="1">
      <c r="A854" s="339"/>
      <c r="B854" s="339"/>
      <c r="C854" s="339"/>
      <c r="D854" s="339"/>
      <c r="E854" s="339"/>
      <c r="F854" s="339"/>
      <c r="G854" s="339"/>
      <c r="H854" s="339"/>
      <c r="I854" s="339"/>
      <c r="J854" s="339"/>
      <c r="K854" s="339"/>
      <c r="L854" s="340"/>
      <c r="M854" s="339"/>
      <c r="N854" s="340"/>
      <c r="O854" s="339"/>
      <c r="P854" s="340"/>
      <c r="Q854" s="339"/>
      <c r="R854" s="340"/>
      <c r="S854" s="339"/>
      <c r="T854" s="340"/>
      <c r="U854" s="339"/>
      <c r="V854" s="340"/>
      <c r="W854" s="339"/>
      <c r="X854" s="339"/>
      <c r="Y854" s="339"/>
      <c r="Z854" s="340"/>
      <c r="AA854" s="339"/>
      <c r="AB854" s="339"/>
      <c r="AC854" s="339"/>
      <c r="AD854" s="339"/>
    </row>
    <row r="855" spans="1:30" ht="15.75" customHeight="1">
      <c r="A855" s="339"/>
      <c r="B855" s="339"/>
      <c r="C855" s="339"/>
      <c r="D855" s="339"/>
      <c r="E855" s="339"/>
      <c r="F855" s="339"/>
      <c r="G855" s="339"/>
      <c r="H855" s="339"/>
      <c r="I855" s="339"/>
      <c r="J855" s="339"/>
      <c r="K855" s="339"/>
      <c r="L855" s="340"/>
      <c r="M855" s="339"/>
      <c r="N855" s="340"/>
      <c r="O855" s="339"/>
      <c r="P855" s="340"/>
      <c r="Q855" s="339"/>
      <c r="R855" s="340"/>
      <c r="S855" s="339"/>
      <c r="T855" s="340"/>
      <c r="U855" s="339"/>
      <c r="V855" s="340"/>
      <c r="W855" s="339"/>
      <c r="X855" s="339"/>
      <c r="Y855" s="339"/>
      <c r="Z855" s="340"/>
      <c r="AA855" s="339"/>
      <c r="AB855" s="339"/>
      <c r="AC855" s="339"/>
      <c r="AD855" s="339"/>
    </row>
    <row r="856" spans="1:30" ht="15.75" customHeight="1">
      <c r="A856" s="339"/>
      <c r="B856" s="339"/>
      <c r="C856" s="339"/>
      <c r="D856" s="339"/>
      <c r="E856" s="339"/>
      <c r="F856" s="339"/>
      <c r="G856" s="339"/>
      <c r="H856" s="339"/>
      <c r="I856" s="339"/>
      <c r="J856" s="339"/>
      <c r="K856" s="339"/>
      <c r="L856" s="340"/>
      <c r="M856" s="339"/>
      <c r="N856" s="340"/>
      <c r="O856" s="339"/>
      <c r="P856" s="340"/>
      <c r="Q856" s="339"/>
      <c r="R856" s="340"/>
      <c r="S856" s="339"/>
      <c r="T856" s="340"/>
      <c r="U856" s="339"/>
      <c r="V856" s="340"/>
      <c r="W856" s="339"/>
      <c r="X856" s="339"/>
      <c r="Y856" s="339"/>
      <c r="Z856" s="340"/>
      <c r="AA856" s="339"/>
      <c r="AB856" s="339"/>
      <c r="AC856" s="339"/>
      <c r="AD856" s="339"/>
    </row>
    <row r="857" spans="1:30" ht="15.75" customHeight="1">
      <c r="A857" s="339"/>
      <c r="B857" s="339"/>
      <c r="C857" s="339"/>
      <c r="D857" s="339"/>
      <c r="E857" s="339"/>
      <c r="F857" s="339"/>
      <c r="G857" s="339"/>
      <c r="H857" s="339"/>
      <c r="I857" s="339"/>
      <c r="J857" s="339"/>
      <c r="K857" s="339"/>
      <c r="L857" s="340"/>
      <c r="M857" s="339"/>
      <c r="N857" s="340"/>
      <c r="O857" s="339"/>
      <c r="P857" s="340"/>
      <c r="Q857" s="339"/>
      <c r="R857" s="340"/>
      <c r="S857" s="339"/>
      <c r="T857" s="340"/>
      <c r="U857" s="339"/>
      <c r="V857" s="340"/>
      <c r="W857" s="339"/>
      <c r="X857" s="339"/>
      <c r="Y857" s="339"/>
      <c r="Z857" s="340"/>
      <c r="AA857" s="339"/>
      <c r="AB857" s="339"/>
      <c r="AC857" s="339"/>
      <c r="AD857" s="339"/>
    </row>
    <row r="858" spans="1:30" ht="15.75" customHeight="1">
      <c r="A858" s="339"/>
      <c r="B858" s="339"/>
      <c r="C858" s="339"/>
      <c r="D858" s="339"/>
      <c r="E858" s="339"/>
      <c r="F858" s="339"/>
      <c r="G858" s="339"/>
      <c r="H858" s="339"/>
      <c r="I858" s="339"/>
      <c r="J858" s="339"/>
      <c r="K858" s="339"/>
      <c r="L858" s="340"/>
      <c r="M858" s="339"/>
      <c r="N858" s="340"/>
      <c r="O858" s="339"/>
      <c r="P858" s="340"/>
      <c r="Q858" s="339"/>
      <c r="R858" s="340"/>
      <c r="S858" s="339"/>
      <c r="T858" s="340"/>
      <c r="U858" s="339"/>
      <c r="V858" s="340"/>
      <c r="W858" s="339"/>
      <c r="X858" s="339"/>
      <c r="Y858" s="339"/>
      <c r="Z858" s="340"/>
      <c r="AA858" s="339"/>
      <c r="AB858" s="339"/>
      <c r="AC858" s="339"/>
      <c r="AD858" s="339"/>
    </row>
    <row r="859" spans="1:30" ht="15.75" customHeight="1">
      <c r="A859" s="339"/>
      <c r="B859" s="339"/>
      <c r="C859" s="339"/>
      <c r="D859" s="339"/>
      <c r="E859" s="339"/>
      <c r="F859" s="339"/>
      <c r="G859" s="339"/>
      <c r="H859" s="339"/>
      <c r="I859" s="339"/>
      <c r="J859" s="339"/>
      <c r="K859" s="339"/>
      <c r="L859" s="340"/>
      <c r="M859" s="339"/>
      <c r="N859" s="340"/>
      <c r="O859" s="339"/>
      <c r="P859" s="340"/>
      <c r="Q859" s="339"/>
      <c r="R859" s="340"/>
      <c r="S859" s="339"/>
      <c r="T859" s="340"/>
      <c r="U859" s="339"/>
      <c r="V859" s="340"/>
      <c r="W859" s="339"/>
      <c r="X859" s="339"/>
      <c r="Y859" s="339"/>
      <c r="Z859" s="340"/>
      <c r="AA859" s="339"/>
      <c r="AB859" s="339"/>
      <c r="AC859" s="339"/>
      <c r="AD859" s="339"/>
    </row>
    <row r="860" spans="1:30" ht="15.75" customHeight="1">
      <c r="A860" s="339"/>
      <c r="B860" s="339"/>
      <c r="C860" s="339"/>
      <c r="D860" s="339"/>
      <c r="E860" s="339"/>
      <c r="F860" s="339"/>
      <c r="G860" s="339"/>
      <c r="H860" s="339"/>
      <c r="I860" s="339"/>
      <c r="J860" s="339"/>
      <c r="K860" s="339"/>
      <c r="L860" s="340"/>
      <c r="M860" s="339"/>
      <c r="N860" s="340"/>
      <c r="O860" s="339"/>
      <c r="P860" s="340"/>
      <c r="Q860" s="339"/>
      <c r="R860" s="340"/>
      <c r="S860" s="339"/>
      <c r="T860" s="340"/>
      <c r="U860" s="339"/>
      <c r="V860" s="340"/>
      <c r="W860" s="339"/>
      <c r="X860" s="339"/>
      <c r="Y860" s="339"/>
      <c r="Z860" s="340"/>
      <c r="AA860" s="339"/>
      <c r="AB860" s="339"/>
      <c r="AC860" s="339"/>
      <c r="AD860" s="339"/>
    </row>
    <row r="861" spans="1:30" ht="15.75" customHeight="1">
      <c r="A861" s="339"/>
      <c r="B861" s="339"/>
      <c r="C861" s="339"/>
      <c r="D861" s="339"/>
      <c r="E861" s="339"/>
      <c r="F861" s="339"/>
      <c r="G861" s="339"/>
      <c r="H861" s="339"/>
      <c r="I861" s="339"/>
      <c r="J861" s="339"/>
      <c r="K861" s="339"/>
      <c r="L861" s="340"/>
      <c r="M861" s="339"/>
      <c r="N861" s="340"/>
      <c r="O861" s="339"/>
      <c r="P861" s="340"/>
      <c r="Q861" s="339"/>
      <c r="R861" s="340"/>
      <c r="S861" s="339"/>
      <c r="T861" s="340"/>
      <c r="U861" s="339"/>
      <c r="V861" s="340"/>
      <c r="W861" s="339"/>
      <c r="X861" s="339"/>
      <c r="Y861" s="339"/>
      <c r="Z861" s="340"/>
      <c r="AA861" s="339"/>
      <c r="AB861" s="339"/>
      <c r="AC861" s="339"/>
      <c r="AD861" s="339"/>
    </row>
    <row r="862" spans="1:30" ht="15.75" customHeight="1">
      <c r="A862" s="339"/>
      <c r="B862" s="339"/>
      <c r="C862" s="339"/>
      <c r="D862" s="339"/>
      <c r="E862" s="339"/>
      <c r="F862" s="339"/>
      <c r="G862" s="339"/>
      <c r="H862" s="339"/>
      <c r="I862" s="339"/>
      <c r="J862" s="339"/>
      <c r="K862" s="339"/>
      <c r="L862" s="340"/>
      <c r="M862" s="339"/>
      <c r="N862" s="340"/>
      <c r="O862" s="339"/>
      <c r="P862" s="340"/>
      <c r="Q862" s="339"/>
      <c r="R862" s="340"/>
      <c r="S862" s="339"/>
      <c r="T862" s="340"/>
      <c r="U862" s="339"/>
      <c r="V862" s="340"/>
      <c r="W862" s="339"/>
      <c r="X862" s="339"/>
      <c r="Y862" s="339"/>
      <c r="Z862" s="340"/>
      <c r="AA862" s="339"/>
      <c r="AB862" s="339"/>
      <c r="AC862" s="339"/>
      <c r="AD862" s="339"/>
    </row>
    <row r="863" spans="1:30" ht="15.75" customHeight="1">
      <c r="A863" s="339"/>
      <c r="B863" s="339"/>
      <c r="C863" s="339"/>
      <c r="D863" s="339"/>
      <c r="E863" s="339"/>
      <c r="F863" s="339"/>
      <c r="G863" s="339"/>
      <c r="H863" s="339"/>
      <c r="I863" s="339"/>
      <c r="J863" s="339"/>
      <c r="K863" s="339"/>
      <c r="L863" s="340"/>
      <c r="M863" s="339"/>
      <c r="N863" s="340"/>
      <c r="O863" s="339"/>
      <c r="P863" s="340"/>
      <c r="Q863" s="339"/>
      <c r="R863" s="340"/>
      <c r="S863" s="339"/>
      <c r="T863" s="340"/>
      <c r="U863" s="339"/>
      <c r="V863" s="340"/>
      <c r="W863" s="339"/>
      <c r="X863" s="339"/>
      <c r="Y863" s="339"/>
      <c r="Z863" s="340"/>
      <c r="AA863" s="339"/>
      <c r="AB863" s="339"/>
      <c r="AC863" s="339"/>
      <c r="AD863" s="339"/>
    </row>
    <row r="864" spans="1:30" ht="15.75" customHeight="1">
      <c r="A864" s="339"/>
      <c r="B864" s="339"/>
      <c r="C864" s="339"/>
      <c r="D864" s="339"/>
      <c r="E864" s="339"/>
      <c r="F864" s="339"/>
      <c r="G864" s="339"/>
      <c r="H864" s="339"/>
      <c r="I864" s="339"/>
      <c r="J864" s="339"/>
      <c r="K864" s="339"/>
      <c r="L864" s="340"/>
      <c r="M864" s="339"/>
      <c r="N864" s="340"/>
      <c r="O864" s="339"/>
      <c r="P864" s="340"/>
      <c r="Q864" s="339"/>
      <c r="R864" s="340"/>
      <c r="S864" s="339"/>
      <c r="T864" s="340"/>
      <c r="U864" s="339"/>
      <c r="V864" s="340"/>
      <c r="W864" s="339"/>
      <c r="X864" s="339"/>
      <c r="Y864" s="339"/>
      <c r="Z864" s="340"/>
      <c r="AA864" s="339"/>
      <c r="AB864" s="339"/>
      <c r="AC864" s="339"/>
      <c r="AD864" s="339"/>
    </row>
    <row r="865" spans="1:30" ht="15.75" customHeight="1">
      <c r="A865" s="339"/>
      <c r="B865" s="339"/>
      <c r="C865" s="339"/>
      <c r="D865" s="339"/>
      <c r="E865" s="339"/>
      <c r="F865" s="339"/>
      <c r="G865" s="339"/>
      <c r="H865" s="339"/>
      <c r="I865" s="339"/>
      <c r="J865" s="339"/>
      <c r="K865" s="339"/>
      <c r="L865" s="340"/>
      <c r="M865" s="339"/>
      <c r="N865" s="340"/>
      <c r="O865" s="339"/>
      <c r="P865" s="340"/>
      <c r="Q865" s="339"/>
      <c r="R865" s="340"/>
      <c r="S865" s="339"/>
      <c r="T865" s="340"/>
      <c r="U865" s="339"/>
      <c r="V865" s="340"/>
      <c r="W865" s="339"/>
      <c r="X865" s="339"/>
      <c r="Y865" s="339"/>
      <c r="Z865" s="340"/>
      <c r="AA865" s="339"/>
      <c r="AB865" s="339"/>
      <c r="AC865" s="339"/>
      <c r="AD865" s="339"/>
    </row>
    <row r="866" spans="1:30" ht="15.75" customHeight="1">
      <c r="A866" s="339"/>
      <c r="B866" s="339"/>
      <c r="C866" s="339"/>
      <c r="D866" s="339"/>
      <c r="E866" s="339"/>
      <c r="F866" s="339"/>
      <c r="G866" s="339"/>
      <c r="H866" s="339"/>
      <c r="I866" s="339"/>
      <c r="J866" s="339"/>
      <c r="K866" s="339"/>
      <c r="L866" s="340"/>
      <c r="M866" s="339"/>
      <c r="N866" s="340"/>
      <c r="O866" s="339"/>
      <c r="P866" s="340"/>
      <c r="Q866" s="339"/>
      <c r="R866" s="340"/>
      <c r="S866" s="339"/>
      <c r="T866" s="340"/>
      <c r="U866" s="339"/>
      <c r="V866" s="340"/>
      <c r="W866" s="339"/>
      <c r="X866" s="339"/>
      <c r="Y866" s="339"/>
      <c r="Z866" s="340"/>
      <c r="AA866" s="339"/>
      <c r="AB866" s="339"/>
      <c r="AC866" s="339"/>
      <c r="AD866" s="339"/>
    </row>
    <row r="867" spans="1:30" ht="15.75" customHeight="1">
      <c r="A867" s="339"/>
      <c r="B867" s="339"/>
      <c r="C867" s="339"/>
      <c r="D867" s="339"/>
      <c r="E867" s="339"/>
      <c r="F867" s="339"/>
      <c r="G867" s="339"/>
      <c r="H867" s="339"/>
      <c r="I867" s="339"/>
      <c r="J867" s="339"/>
      <c r="K867" s="339"/>
      <c r="L867" s="340"/>
      <c r="M867" s="339"/>
      <c r="N867" s="340"/>
      <c r="O867" s="339"/>
      <c r="P867" s="340"/>
      <c r="Q867" s="339"/>
      <c r="R867" s="340"/>
      <c r="S867" s="339"/>
      <c r="T867" s="340"/>
      <c r="U867" s="339"/>
      <c r="V867" s="340"/>
      <c r="W867" s="339"/>
      <c r="X867" s="339"/>
      <c r="Y867" s="339"/>
      <c r="Z867" s="340"/>
      <c r="AA867" s="339"/>
      <c r="AB867" s="339"/>
      <c r="AC867" s="339"/>
      <c r="AD867" s="339"/>
    </row>
    <row r="868" spans="1:30" ht="15.75" customHeight="1">
      <c r="A868" s="339"/>
      <c r="B868" s="339"/>
      <c r="C868" s="339"/>
      <c r="D868" s="339"/>
      <c r="E868" s="339"/>
      <c r="F868" s="339"/>
      <c r="G868" s="339"/>
      <c r="H868" s="339"/>
      <c r="I868" s="339"/>
      <c r="J868" s="339"/>
      <c r="K868" s="339"/>
      <c r="L868" s="340"/>
      <c r="M868" s="339"/>
      <c r="N868" s="340"/>
      <c r="O868" s="339"/>
      <c r="P868" s="340"/>
      <c r="Q868" s="339"/>
      <c r="R868" s="340"/>
      <c r="S868" s="339"/>
      <c r="T868" s="340"/>
      <c r="U868" s="339"/>
      <c r="V868" s="340"/>
      <c r="W868" s="339"/>
      <c r="X868" s="339"/>
      <c r="Y868" s="339"/>
      <c r="Z868" s="340"/>
      <c r="AA868" s="339"/>
      <c r="AB868" s="339"/>
      <c r="AC868" s="339"/>
      <c r="AD868" s="339"/>
    </row>
    <row r="869" spans="1:30" ht="15.75" customHeight="1">
      <c r="A869" s="339"/>
      <c r="B869" s="339"/>
      <c r="C869" s="339"/>
      <c r="D869" s="339"/>
      <c r="E869" s="339"/>
      <c r="F869" s="339"/>
      <c r="G869" s="339"/>
      <c r="H869" s="339"/>
      <c r="I869" s="339"/>
      <c r="J869" s="339"/>
      <c r="K869" s="339"/>
      <c r="L869" s="340"/>
      <c r="M869" s="339"/>
      <c r="N869" s="340"/>
      <c r="O869" s="339"/>
      <c r="P869" s="340"/>
      <c r="Q869" s="339"/>
      <c r="R869" s="340"/>
      <c r="S869" s="339"/>
      <c r="T869" s="340"/>
      <c r="U869" s="339"/>
      <c r="V869" s="340"/>
      <c r="W869" s="339"/>
      <c r="X869" s="339"/>
      <c r="Y869" s="339"/>
      <c r="Z869" s="340"/>
      <c r="AA869" s="339"/>
      <c r="AB869" s="339"/>
      <c r="AC869" s="339"/>
      <c r="AD869" s="339"/>
    </row>
    <row r="870" spans="1:30" ht="15.75" customHeight="1">
      <c r="A870" s="339"/>
      <c r="B870" s="339"/>
      <c r="C870" s="339"/>
      <c r="D870" s="339"/>
      <c r="E870" s="339"/>
      <c r="F870" s="339"/>
      <c r="G870" s="339"/>
      <c r="H870" s="339"/>
      <c r="I870" s="339"/>
      <c r="J870" s="339"/>
      <c r="K870" s="339"/>
      <c r="L870" s="340"/>
      <c r="M870" s="339"/>
      <c r="N870" s="340"/>
      <c r="O870" s="339"/>
      <c r="P870" s="340"/>
      <c r="Q870" s="339"/>
      <c r="R870" s="340"/>
      <c r="S870" s="339"/>
      <c r="T870" s="340"/>
      <c r="U870" s="339"/>
      <c r="V870" s="340"/>
      <c r="W870" s="339"/>
      <c r="X870" s="339"/>
      <c r="Y870" s="339"/>
      <c r="Z870" s="340"/>
      <c r="AA870" s="339"/>
      <c r="AB870" s="339"/>
      <c r="AC870" s="339"/>
      <c r="AD870" s="339"/>
    </row>
    <row r="871" spans="1:30" ht="15.75" customHeight="1">
      <c r="A871" s="339"/>
      <c r="B871" s="339"/>
      <c r="C871" s="339"/>
      <c r="D871" s="339"/>
      <c r="E871" s="339"/>
      <c r="F871" s="339"/>
      <c r="G871" s="339"/>
      <c r="H871" s="339"/>
      <c r="I871" s="339"/>
      <c r="J871" s="339"/>
      <c r="K871" s="339"/>
      <c r="L871" s="340"/>
      <c r="M871" s="339"/>
      <c r="N871" s="340"/>
      <c r="O871" s="339"/>
      <c r="P871" s="340"/>
      <c r="Q871" s="339"/>
      <c r="R871" s="340"/>
      <c r="S871" s="339"/>
      <c r="T871" s="340"/>
      <c r="U871" s="339"/>
      <c r="V871" s="340"/>
      <c r="W871" s="339"/>
      <c r="X871" s="339"/>
      <c r="Y871" s="339"/>
      <c r="Z871" s="340"/>
      <c r="AA871" s="339"/>
      <c r="AB871" s="339"/>
      <c r="AC871" s="339"/>
      <c r="AD871" s="339"/>
    </row>
    <row r="872" spans="1:30" ht="15.75" customHeight="1">
      <c r="A872" s="339"/>
      <c r="B872" s="339"/>
      <c r="C872" s="339"/>
      <c r="D872" s="339"/>
      <c r="E872" s="339"/>
      <c r="F872" s="339"/>
      <c r="G872" s="339"/>
      <c r="H872" s="339"/>
      <c r="I872" s="339"/>
      <c r="J872" s="339"/>
      <c r="K872" s="339"/>
      <c r="L872" s="340"/>
      <c r="M872" s="339"/>
      <c r="N872" s="340"/>
      <c r="O872" s="339"/>
      <c r="P872" s="340"/>
      <c r="Q872" s="339"/>
      <c r="R872" s="340"/>
      <c r="S872" s="339"/>
      <c r="T872" s="340"/>
      <c r="U872" s="339"/>
      <c r="V872" s="340"/>
      <c r="W872" s="339"/>
      <c r="X872" s="339"/>
      <c r="Y872" s="339"/>
      <c r="Z872" s="340"/>
      <c r="AA872" s="339"/>
      <c r="AB872" s="339"/>
      <c r="AC872" s="339"/>
      <c r="AD872" s="339"/>
    </row>
    <row r="873" spans="1:30" ht="15.75" customHeight="1">
      <c r="A873" s="339"/>
      <c r="B873" s="339"/>
      <c r="C873" s="339"/>
      <c r="D873" s="339"/>
      <c r="E873" s="339"/>
      <c r="F873" s="339"/>
      <c r="G873" s="339"/>
      <c r="H873" s="339"/>
      <c r="I873" s="339"/>
      <c r="J873" s="339"/>
      <c r="K873" s="339"/>
      <c r="L873" s="340"/>
      <c r="M873" s="339"/>
      <c r="N873" s="340"/>
      <c r="O873" s="339"/>
      <c r="P873" s="340"/>
      <c r="Q873" s="339"/>
      <c r="R873" s="340"/>
      <c r="S873" s="339"/>
      <c r="T873" s="340"/>
      <c r="U873" s="339"/>
      <c r="V873" s="340"/>
      <c r="W873" s="339"/>
      <c r="X873" s="339"/>
      <c r="Y873" s="339"/>
      <c r="Z873" s="340"/>
      <c r="AA873" s="339"/>
      <c r="AB873" s="339"/>
      <c r="AC873" s="339"/>
      <c r="AD873" s="339"/>
    </row>
    <row r="874" spans="1:30" ht="15.75" customHeight="1">
      <c r="A874" s="339"/>
      <c r="B874" s="339"/>
      <c r="C874" s="339"/>
      <c r="D874" s="339"/>
      <c r="E874" s="339"/>
      <c r="F874" s="339"/>
      <c r="G874" s="339"/>
      <c r="H874" s="339"/>
      <c r="I874" s="339"/>
      <c r="J874" s="339"/>
      <c r="K874" s="339"/>
      <c r="L874" s="340"/>
      <c r="M874" s="339"/>
      <c r="N874" s="340"/>
      <c r="O874" s="339"/>
      <c r="P874" s="340"/>
      <c r="Q874" s="339"/>
      <c r="R874" s="340"/>
      <c r="S874" s="339"/>
      <c r="T874" s="340"/>
      <c r="U874" s="339"/>
      <c r="V874" s="340"/>
      <c r="W874" s="339"/>
      <c r="X874" s="339"/>
      <c r="Y874" s="339"/>
      <c r="Z874" s="340"/>
      <c r="AA874" s="339"/>
      <c r="AB874" s="339"/>
      <c r="AC874" s="339"/>
      <c r="AD874" s="339"/>
    </row>
    <row r="875" spans="1:30" ht="15.75" customHeight="1">
      <c r="A875" s="339"/>
      <c r="B875" s="339"/>
      <c r="C875" s="339"/>
      <c r="D875" s="339"/>
      <c r="E875" s="339"/>
      <c r="F875" s="339"/>
      <c r="G875" s="339"/>
      <c r="H875" s="339"/>
      <c r="I875" s="339"/>
      <c r="J875" s="339"/>
      <c r="K875" s="339"/>
      <c r="L875" s="340"/>
      <c r="M875" s="339"/>
      <c r="N875" s="340"/>
      <c r="O875" s="339"/>
      <c r="P875" s="340"/>
      <c r="Q875" s="339"/>
      <c r="R875" s="340"/>
      <c r="S875" s="339"/>
      <c r="T875" s="340"/>
      <c r="U875" s="339"/>
      <c r="V875" s="340"/>
      <c r="W875" s="339"/>
      <c r="X875" s="339"/>
      <c r="Y875" s="339"/>
      <c r="Z875" s="340"/>
      <c r="AA875" s="339"/>
      <c r="AB875" s="339"/>
      <c r="AC875" s="339"/>
      <c r="AD875" s="339"/>
    </row>
    <row r="876" spans="1:30" ht="15.75" customHeight="1">
      <c r="A876" s="339"/>
      <c r="B876" s="339"/>
      <c r="C876" s="339"/>
      <c r="D876" s="339"/>
      <c r="E876" s="339"/>
      <c r="F876" s="339"/>
      <c r="G876" s="339"/>
      <c r="H876" s="339"/>
      <c r="I876" s="339"/>
      <c r="J876" s="339"/>
      <c r="K876" s="339"/>
      <c r="L876" s="340"/>
      <c r="M876" s="339"/>
      <c r="N876" s="340"/>
      <c r="O876" s="339"/>
      <c r="P876" s="340"/>
      <c r="Q876" s="339"/>
      <c r="R876" s="340"/>
      <c r="S876" s="339"/>
      <c r="T876" s="340"/>
      <c r="U876" s="339"/>
      <c r="V876" s="340"/>
      <c r="W876" s="339"/>
      <c r="X876" s="339"/>
      <c r="Y876" s="339"/>
      <c r="Z876" s="340"/>
      <c r="AA876" s="339"/>
      <c r="AB876" s="339"/>
      <c r="AC876" s="339"/>
      <c r="AD876" s="339"/>
    </row>
    <row r="877" spans="1:30" ht="15.75" customHeight="1">
      <c r="A877" s="339"/>
      <c r="B877" s="339"/>
      <c r="C877" s="339"/>
      <c r="D877" s="339"/>
      <c r="E877" s="339"/>
      <c r="F877" s="339"/>
      <c r="G877" s="339"/>
      <c r="H877" s="339"/>
      <c r="I877" s="339"/>
      <c r="J877" s="339"/>
      <c r="K877" s="339"/>
      <c r="L877" s="340"/>
      <c r="M877" s="339"/>
      <c r="N877" s="340"/>
      <c r="O877" s="339"/>
      <c r="P877" s="340"/>
      <c r="Q877" s="339"/>
      <c r="R877" s="340"/>
      <c r="S877" s="339"/>
      <c r="T877" s="340"/>
      <c r="U877" s="339"/>
      <c r="V877" s="340"/>
      <c r="W877" s="339"/>
      <c r="X877" s="339"/>
      <c r="Y877" s="339"/>
      <c r="Z877" s="340"/>
      <c r="AA877" s="339"/>
      <c r="AB877" s="339"/>
      <c r="AC877" s="339"/>
      <c r="AD877" s="339"/>
    </row>
    <row r="878" spans="1:30" ht="15.75" customHeight="1">
      <c r="A878" s="339"/>
      <c r="B878" s="339"/>
      <c r="C878" s="339"/>
      <c r="D878" s="339"/>
      <c r="E878" s="339"/>
      <c r="F878" s="339"/>
      <c r="G878" s="339"/>
      <c r="H878" s="339"/>
      <c r="I878" s="339"/>
      <c r="J878" s="339"/>
      <c r="K878" s="339"/>
      <c r="L878" s="340"/>
      <c r="M878" s="339"/>
      <c r="N878" s="340"/>
      <c r="O878" s="339"/>
      <c r="P878" s="340"/>
      <c r="Q878" s="339"/>
      <c r="R878" s="340"/>
      <c r="S878" s="339"/>
      <c r="T878" s="340"/>
      <c r="U878" s="339"/>
      <c r="V878" s="340"/>
      <c r="W878" s="339"/>
      <c r="X878" s="339"/>
      <c r="Y878" s="339"/>
      <c r="Z878" s="340"/>
      <c r="AA878" s="339"/>
      <c r="AB878" s="339"/>
      <c r="AC878" s="339"/>
      <c r="AD878" s="339"/>
    </row>
    <row r="879" spans="1:30" ht="15.75" customHeight="1">
      <c r="A879" s="339"/>
      <c r="B879" s="339"/>
      <c r="C879" s="339"/>
      <c r="D879" s="339"/>
      <c r="E879" s="339"/>
      <c r="F879" s="339"/>
      <c r="G879" s="339"/>
      <c r="H879" s="339"/>
      <c r="I879" s="339"/>
      <c r="J879" s="339"/>
      <c r="K879" s="339"/>
      <c r="L879" s="340"/>
      <c r="M879" s="339"/>
      <c r="N879" s="340"/>
      <c r="O879" s="339"/>
      <c r="P879" s="340"/>
      <c r="Q879" s="339"/>
      <c r="R879" s="340"/>
      <c r="S879" s="339"/>
      <c r="T879" s="340"/>
      <c r="U879" s="339"/>
      <c r="V879" s="340"/>
      <c r="W879" s="339"/>
      <c r="X879" s="339"/>
      <c r="Y879" s="339"/>
      <c r="Z879" s="340"/>
      <c r="AA879" s="339"/>
      <c r="AB879" s="339"/>
      <c r="AC879" s="339"/>
      <c r="AD879" s="339"/>
    </row>
    <row r="880" spans="1:30" ht="15.75" customHeight="1">
      <c r="A880" s="339"/>
      <c r="B880" s="339"/>
      <c r="C880" s="339"/>
      <c r="D880" s="339"/>
      <c r="E880" s="339"/>
      <c r="F880" s="339"/>
      <c r="G880" s="339"/>
      <c r="H880" s="339"/>
      <c r="I880" s="339"/>
      <c r="J880" s="339"/>
      <c r="K880" s="339"/>
      <c r="L880" s="340"/>
      <c r="M880" s="339"/>
      <c r="N880" s="340"/>
      <c r="O880" s="339"/>
      <c r="P880" s="340"/>
      <c r="Q880" s="339"/>
      <c r="R880" s="340"/>
      <c r="S880" s="339"/>
      <c r="T880" s="340"/>
      <c r="U880" s="339"/>
      <c r="V880" s="340"/>
      <c r="W880" s="339"/>
      <c r="X880" s="339"/>
      <c r="Y880" s="339"/>
      <c r="Z880" s="340"/>
      <c r="AA880" s="339"/>
      <c r="AB880" s="339"/>
      <c r="AC880" s="339"/>
      <c r="AD880" s="339"/>
    </row>
    <row r="881" spans="1:30" ht="15.75" customHeight="1">
      <c r="A881" s="339"/>
      <c r="B881" s="339"/>
      <c r="C881" s="339"/>
      <c r="D881" s="339"/>
      <c r="E881" s="339"/>
      <c r="F881" s="339"/>
      <c r="G881" s="339"/>
      <c r="H881" s="339"/>
      <c r="I881" s="339"/>
      <c r="J881" s="339"/>
      <c r="K881" s="339"/>
      <c r="L881" s="340"/>
      <c r="M881" s="339"/>
      <c r="N881" s="340"/>
      <c r="O881" s="339"/>
      <c r="P881" s="340"/>
      <c r="Q881" s="339"/>
      <c r="R881" s="340"/>
      <c r="S881" s="339"/>
      <c r="T881" s="340"/>
      <c r="U881" s="339"/>
      <c r="V881" s="340"/>
      <c r="W881" s="339"/>
      <c r="X881" s="339"/>
      <c r="Y881" s="339"/>
      <c r="Z881" s="340"/>
      <c r="AA881" s="339"/>
      <c r="AB881" s="339"/>
      <c r="AC881" s="339"/>
      <c r="AD881" s="339"/>
    </row>
    <row r="882" spans="1:30" ht="15.75" customHeight="1">
      <c r="A882" s="339"/>
      <c r="B882" s="339"/>
      <c r="C882" s="339"/>
      <c r="D882" s="339"/>
      <c r="E882" s="339"/>
      <c r="F882" s="339"/>
      <c r="G882" s="339"/>
      <c r="H882" s="339"/>
      <c r="I882" s="339"/>
      <c r="J882" s="339"/>
      <c r="K882" s="339"/>
      <c r="L882" s="340"/>
      <c r="M882" s="339"/>
      <c r="N882" s="340"/>
      <c r="O882" s="339"/>
      <c r="P882" s="340"/>
      <c r="Q882" s="339"/>
      <c r="R882" s="340"/>
      <c r="S882" s="339"/>
      <c r="T882" s="340"/>
      <c r="U882" s="339"/>
      <c r="V882" s="340"/>
      <c r="W882" s="339"/>
      <c r="X882" s="339"/>
      <c r="Y882" s="339"/>
      <c r="Z882" s="340"/>
      <c r="AA882" s="339"/>
      <c r="AB882" s="339"/>
      <c r="AC882" s="339"/>
      <c r="AD882" s="339"/>
    </row>
    <row r="883" spans="1:30" ht="15.75" customHeight="1">
      <c r="A883" s="339"/>
      <c r="B883" s="339"/>
      <c r="C883" s="339"/>
      <c r="D883" s="339"/>
      <c r="E883" s="339"/>
      <c r="F883" s="339"/>
      <c r="G883" s="339"/>
      <c r="H883" s="339"/>
      <c r="I883" s="339"/>
      <c r="J883" s="339"/>
      <c r="K883" s="339"/>
      <c r="L883" s="340"/>
      <c r="M883" s="339"/>
      <c r="N883" s="340"/>
      <c r="O883" s="339"/>
      <c r="P883" s="340"/>
      <c r="Q883" s="339"/>
      <c r="R883" s="340"/>
      <c r="S883" s="339"/>
      <c r="T883" s="340"/>
      <c r="U883" s="339"/>
      <c r="V883" s="340"/>
      <c r="W883" s="339"/>
      <c r="X883" s="339"/>
      <c r="Y883" s="339"/>
      <c r="Z883" s="340"/>
      <c r="AA883" s="339"/>
      <c r="AB883" s="339"/>
      <c r="AC883" s="339"/>
      <c r="AD883" s="339"/>
    </row>
    <row r="884" spans="1:30" ht="15.75" customHeight="1">
      <c r="A884" s="339"/>
      <c r="B884" s="339"/>
      <c r="C884" s="339"/>
      <c r="D884" s="339"/>
      <c r="E884" s="339"/>
      <c r="F884" s="339"/>
      <c r="G884" s="339"/>
      <c r="H884" s="339"/>
      <c r="I884" s="339"/>
      <c r="J884" s="339"/>
      <c r="K884" s="339"/>
      <c r="L884" s="340"/>
      <c r="M884" s="339"/>
      <c r="N884" s="340"/>
      <c r="O884" s="339"/>
      <c r="P884" s="340"/>
      <c r="Q884" s="339"/>
      <c r="R884" s="340"/>
      <c r="S884" s="339"/>
      <c r="T884" s="340"/>
      <c r="U884" s="339"/>
      <c r="V884" s="340"/>
      <c r="W884" s="339"/>
      <c r="X884" s="339"/>
      <c r="Y884" s="339"/>
      <c r="Z884" s="340"/>
      <c r="AA884" s="339"/>
      <c r="AB884" s="339"/>
      <c r="AC884" s="339"/>
      <c r="AD884" s="339"/>
    </row>
    <row r="885" spans="1:30" ht="15.75" customHeight="1">
      <c r="A885" s="339"/>
      <c r="B885" s="339"/>
      <c r="C885" s="339"/>
      <c r="D885" s="339"/>
      <c r="E885" s="339"/>
      <c r="F885" s="339"/>
      <c r="G885" s="339"/>
      <c r="H885" s="339"/>
      <c r="I885" s="339"/>
      <c r="J885" s="339"/>
      <c r="K885" s="339"/>
      <c r="L885" s="340"/>
      <c r="M885" s="339"/>
      <c r="N885" s="340"/>
      <c r="O885" s="339"/>
      <c r="P885" s="340"/>
      <c r="Q885" s="339"/>
      <c r="R885" s="340"/>
      <c r="S885" s="339"/>
      <c r="T885" s="340"/>
      <c r="U885" s="339"/>
      <c r="V885" s="340"/>
      <c r="W885" s="339"/>
      <c r="X885" s="339"/>
      <c r="Y885" s="339"/>
      <c r="Z885" s="340"/>
      <c r="AA885" s="339"/>
      <c r="AB885" s="339"/>
      <c r="AC885" s="339"/>
      <c r="AD885" s="339"/>
    </row>
    <row r="886" spans="1:30" ht="15.75" customHeight="1">
      <c r="A886" s="339"/>
      <c r="B886" s="339"/>
      <c r="C886" s="339"/>
      <c r="D886" s="339"/>
      <c r="E886" s="339"/>
      <c r="F886" s="339"/>
      <c r="G886" s="339"/>
      <c r="H886" s="339"/>
      <c r="I886" s="339"/>
      <c r="J886" s="339"/>
      <c r="K886" s="339"/>
      <c r="L886" s="340"/>
      <c r="M886" s="339"/>
      <c r="N886" s="340"/>
      <c r="O886" s="339"/>
      <c r="P886" s="340"/>
      <c r="Q886" s="339"/>
      <c r="R886" s="340"/>
      <c r="S886" s="339"/>
      <c r="T886" s="340"/>
      <c r="U886" s="339"/>
      <c r="V886" s="340"/>
      <c r="W886" s="339"/>
      <c r="X886" s="339"/>
      <c r="Y886" s="339"/>
      <c r="Z886" s="340"/>
      <c r="AA886" s="339"/>
      <c r="AB886" s="339"/>
      <c r="AC886" s="339"/>
      <c r="AD886" s="339"/>
    </row>
    <row r="887" spans="1:30" ht="15.75" customHeight="1">
      <c r="A887" s="339"/>
      <c r="B887" s="339"/>
      <c r="C887" s="339"/>
      <c r="D887" s="339"/>
      <c r="E887" s="339"/>
      <c r="F887" s="339"/>
      <c r="G887" s="339"/>
      <c r="H887" s="339"/>
      <c r="I887" s="339"/>
      <c r="J887" s="339"/>
      <c r="K887" s="339"/>
      <c r="L887" s="340"/>
      <c r="M887" s="339"/>
      <c r="N887" s="340"/>
      <c r="O887" s="339"/>
      <c r="P887" s="340"/>
      <c r="Q887" s="339"/>
      <c r="R887" s="340"/>
      <c r="S887" s="339"/>
      <c r="T887" s="340"/>
      <c r="U887" s="339"/>
      <c r="V887" s="340"/>
      <c r="W887" s="339"/>
      <c r="X887" s="339"/>
      <c r="Y887" s="339"/>
      <c r="Z887" s="340"/>
      <c r="AA887" s="339"/>
      <c r="AB887" s="339"/>
      <c r="AC887" s="339"/>
      <c r="AD887" s="339"/>
    </row>
    <row r="888" spans="1:30" ht="15.75" customHeight="1">
      <c r="A888" s="339"/>
      <c r="B888" s="339"/>
      <c r="C888" s="339"/>
      <c r="D888" s="339"/>
      <c r="E888" s="339"/>
      <c r="F888" s="339"/>
      <c r="G888" s="339"/>
      <c r="H888" s="339"/>
      <c r="I888" s="339"/>
      <c r="J888" s="339"/>
      <c r="K888" s="339"/>
      <c r="L888" s="340"/>
      <c r="M888" s="339"/>
      <c r="N888" s="340"/>
      <c r="O888" s="339"/>
      <c r="P888" s="340"/>
      <c r="Q888" s="339"/>
      <c r="R888" s="340"/>
      <c r="S888" s="339"/>
      <c r="T888" s="340"/>
      <c r="U888" s="339"/>
      <c r="V888" s="340"/>
      <c r="W888" s="339"/>
      <c r="X888" s="339"/>
      <c r="Y888" s="339"/>
      <c r="Z888" s="340"/>
      <c r="AA888" s="339"/>
      <c r="AB888" s="339"/>
      <c r="AC888" s="339"/>
      <c r="AD888" s="339"/>
    </row>
    <row r="889" spans="1:30" ht="15.75" customHeight="1">
      <c r="A889" s="339"/>
      <c r="B889" s="339"/>
      <c r="C889" s="339"/>
      <c r="D889" s="339"/>
      <c r="E889" s="339"/>
      <c r="F889" s="339"/>
      <c r="G889" s="339"/>
      <c r="H889" s="339"/>
      <c r="I889" s="339"/>
      <c r="J889" s="339"/>
      <c r="K889" s="339"/>
      <c r="L889" s="340"/>
      <c r="M889" s="339"/>
      <c r="N889" s="340"/>
      <c r="O889" s="339"/>
      <c r="P889" s="340"/>
      <c r="Q889" s="339"/>
      <c r="R889" s="340"/>
      <c r="S889" s="339"/>
      <c r="T889" s="340"/>
      <c r="U889" s="339"/>
      <c r="V889" s="340"/>
      <c r="W889" s="339"/>
      <c r="X889" s="339"/>
      <c r="Y889" s="339"/>
      <c r="Z889" s="340"/>
      <c r="AA889" s="339"/>
      <c r="AB889" s="339"/>
      <c r="AC889" s="339"/>
      <c r="AD889" s="339"/>
    </row>
    <row r="890" spans="1:30" ht="15.75" customHeight="1">
      <c r="A890" s="339"/>
      <c r="B890" s="339"/>
      <c r="C890" s="339"/>
      <c r="D890" s="339"/>
      <c r="E890" s="339"/>
      <c r="F890" s="339"/>
      <c r="G890" s="339"/>
      <c r="H890" s="339"/>
      <c r="I890" s="339"/>
      <c r="J890" s="339"/>
      <c r="K890" s="339"/>
      <c r="L890" s="340"/>
      <c r="M890" s="339"/>
      <c r="N890" s="340"/>
      <c r="O890" s="339"/>
      <c r="P890" s="340"/>
      <c r="Q890" s="339"/>
      <c r="R890" s="340"/>
      <c r="S890" s="339"/>
      <c r="T890" s="340"/>
      <c r="U890" s="339"/>
      <c r="V890" s="340"/>
      <c r="W890" s="339"/>
      <c r="X890" s="339"/>
      <c r="Y890" s="339"/>
      <c r="Z890" s="340"/>
      <c r="AA890" s="339"/>
      <c r="AB890" s="339"/>
      <c r="AC890" s="339"/>
      <c r="AD890" s="339"/>
    </row>
    <row r="891" spans="1:30" ht="15.75" customHeight="1">
      <c r="A891" s="339"/>
      <c r="B891" s="339"/>
      <c r="C891" s="339"/>
      <c r="D891" s="339"/>
      <c r="E891" s="339"/>
      <c r="F891" s="339"/>
      <c r="G891" s="339"/>
      <c r="H891" s="339"/>
      <c r="I891" s="339"/>
      <c r="J891" s="339"/>
      <c r="K891" s="339"/>
      <c r="L891" s="340"/>
      <c r="M891" s="339"/>
      <c r="N891" s="340"/>
      <c r="O891" s="339"/>
      <c r="P891" s="340"/>
      <c r="Q891" s="339"/>
      <c r="R891" s="340"/>
      <c r="S891" s="339"/>
      <c r="T891" s="340"/>
      <c r="U891" s="339"/>
      <c r="V891" s="340"/>
      <c r="W891" s="339"/>
      <c r="X891" s="339"/>
      <c r="Y891" s="339"/>
      <c r="Z891" s="340"/>
      <c r="AA891" s="339"/>
      <c r="AB891" s="339"/>
      <c r="AC891" s="339"/>
      <c r="AD891" s="339"/>
    </row>
    <row r="892" spans="1:30" ht="15.75" customHeight="1">
      <c r="A892" s="339"/>
      <c r="B892" s="339"/>
      <c r="C892" s="339"/>
      <c r="D892" s="339"/>
      <c r="E892" s="339"/>
      <c r="F892" s="339"/>
      <c r="G892" s="339"/>
      <c r="H892" s="339"/>
      <c r="I892" s="339"/>
      <c r="J892" s="339"/>
      <c r="K892" s="339"/>
      <c r="L892" s="340"/>
      <c r="M892" s="339"/>
      <c r="N892" s="340"/>
      <c r="O892" s="339"/>
      <c r="P892" s="340"/>
      <c r="Q892" s="339"/>
      <c r="R892" s="340"/>
      <c r="S892" s="339"/>
      <c r="T892" s="340"/>
      <c r="U892" s="339"/>
      <c r="V892" s="340"/>
      <c r="W892" s="339"/>
      <c r="X892" s="339"/>
      <c r="Y892" s="339"/>
      <c r="Z892" s="340"/>
      <c r="AA892" s="339"/>
      <c r="AB892" s="339"/>
      <c r="AC892" s="339"/>
      <c r="AD892" s="339"/>
    </row>
    <row r="893" spans="1:30" ht="15.75" customHeight="1">
      <c r="A893" s="339"/>
      <c r="B893" s="339"/>
      <c r="C893" s="339"/>
      <c r="D893" s="339"/>
      <c r="E893" s="339"/>
      <c r="F893" s="339"/>
      <c r="G893" s="339"/>
      <c r="H893" s="339"/>
      <c r="I893" s="339"/>
      <c r="J893" s="339"/>
      <c r="K893" s="339"/>
      <c r="L893" s="340"/>
      <c r="M893" s="339"/>
      <c r="N893" s="340"/>
      <c r="O893" s="339"/>
      <c r="P893" s="340"/>
      <c r="Q893" s="339"/>
      <c r="R893" s="340"/>
      <c r="S893" s="339"/>
      <c r="T893" s="340"/>
      <c r="U893" s="339"/>
      <c r="V893" s="340"/>
      <c r="W893" s="339"/>
      <c r="X893" s="339"/>
      <c r="Y893" s="339"/>
      <c r="Z893" s="340"/>
      <c r="AA893" s="339"/>
      <c r="AB893" s="339"/>
      <c r="AC893" s="339"/>
      <c r="AD893" s="339"/>
    </row>
    <row r="894" spans="1:30" ht="15.75" customHeight="1">
      <c r="A894" s="339"/>
      <c r="B894" s="339"/>
      <c r="C894" s="339"/>
      <c r="D894" s="339"/>
      <c r="E894" s="339"/>
      <c r="F894" s="339"/>
      <c r="G894" s="339"/>
      <c r="H894" s="339"/>
      <c r="I894" s="339"/>
      <c r="J894" s="339"/>
      <c r="K894" s="339"/>
      <c r="L894" s="340"/>
      <c r="M894" s="339"/>
      <c r="N894" s="340"/>
      <c r="O894" s="339"/>
      <c r="P894" s="340"/>
      <c r="Q894" s="339"/>
      <c r="R894" s="340"/>
      <c r="S894" s="339"/>
      <c r="T894" s="340"/>
      <c r="U894" s="339"/>
      <c r="V894" s="340"/>
      <c r="W894" s="339"/>
      <c r="X894" s="339"/>
      <c r="Y894" s="339"/>
      <c r="Z894" s="340"/>
      <c r="AA894" s="339"/>
      <c r="AB894" s="339"/>
      <c r="AC894" s="339"/>
      <c r="AD894" s="339"/>
    </row>
    <row r="895" spans="1:30" ht="15.75" customHeight="1">
      <c r="A895" s="339"/>
      <c r="B895" s="339"/>
      <c r="C895" s="339"/>
      <c r="D895" s="339"/>
      <c r="E895" s="339"/>
      <c r="F895" s="339"/>
      <c r="G895" s="339"/>
      <c r="H895" s="339"/>
      <c r="I895" s="339"/>
      <c r="J895" s="339"/>
      <c r="K895" s="339"/>
      <c r="L895" s="340"/>
      <c r="M895" s="339"/>
      <c r="N895" s="340"/>
      <c r="O895" s="339"/>
      <c r="P895" s="340"/>
      <c r="Q895" s="339"/>
      <c r="R895" s="340"/>
      <c r="S895" s="339"/>
      <c r="T895" s="340"/>
      <c r="U895" s="339"/>
      <c r="V895" s="340"/>
      <c r="W895" s="339"/>
      <c r="X895" s="339"/>
      <c r="Y895" s="339"/>
      <c r="Z895" s="340"/>
      <c r="AA895" s="339"/>
      <c r="AB895" s="339"/>
      <c r="AC895" s="339"/>
      <c r="AD895" s="339"/>
    </row>
    <row r="896" spans="1:30" ht="15.75" customHeight="1">
      <c r="A896" s="339"/>
      <c r="B896" s="339"/>
      <c r="C896" s="339"/>
      <c r="D896" s="339"/>
      <c r="E896" s="339"/>
      <c r="F896" s="339"/>
      <c r="G896" s="339"/>
      <c r="H896" s="339"/>
      <c r="I896" s="339"/>
      <c r="J896" s="339"/>
      <c r="K896" s="339"/>
      <c r="L896" s="340"/>
      <c r="M896" s="339"/>
      <c r="N896" s="340"/>
      <c r="O896" s="339"/>
      <c r="P896" s="340"/>
      <c r="Q896" s="339"/>
      <c r="R896" s="340"/>
      <c r="S896" s="339"/>
      <c r="T896" s="340"/>
      <c r="U896" s="339"/>
      <c r="V896" s="340"/>
      <c r="W896" s="339"/>
      <c r="X896" s="339"/>
      <c r="Y896" s="339"/>
      <c r="Z896" s="340"/>
      <c r="AA896" s="339"/>
      <c r="AB896" s="339"/>
      <c r="AC896" s="339"/>
      <c r="AD896" s="339"/>
    </row>
    <row r="897" spans="1:30" ht="15.75" customHeight="1">
      <c r="A897" s="339"/>
      <c r="B897" s="339"/>
      <c r="C897" s="339"/>
      <c r="D897" s="339"/>
      <c r="E897" s="339"/>
      <c r="F897" s="339"/>
      <c r="G897" s="339"/>
      <c r="H897" s="339"/>
      <c r="I897" s="339"/>
      <c r="J897" s="339"/>
      <c r="K897" s="339"/>
      <c r="L897" s="340"/>
      <c r="M897" s="339"/>
      <c r="N897" s="340"/>
      <c r="O897" s="339"/>
      <c r="P897" s="340"/>
      <c r="Q897" s="339"/>
      <c r="R897" s="340"/>
      <c r="S897" s="339"/>
      <c r="T897" s="340"/>
      <c r="U897" s="339"/>
      <c r="V897" s="340"/>
      <c r="W897" s="339"/>
      <c r="X897" s="339"/>
      <c r="Y897" s="339"/>
      <c r="Z897" s="340"/>
      <c r="AA897" s="339"/>
      <c r="AB897" s="339"/>
      <c r="AC897" s="339"/>
      <c r="AD897" s="339"/>
    </row>
    <row r="898" spans="1:30" ht="15.75" customHeight="1">
      <c r="A898" s="339"/>
      <c r="B898" s="339"/>
      <c r="C898" s="339"/>
      <c r="D898" s="339"/>
      <c r="E898" s="339"/>
      <c r="F898" s="339"/>
      <c r="G898" s="339"/>
      <c r="H898" s="339"/>
      <c r="I898" s="339"/>
      <c r="J898" s="339"/>
      <c r="K898" s="339"/>
      <c r="L898" s="340"/>
      <c r="M898" s="339"/>
      <c r="N898" s="340"/>
      <c r="O898" s="339"/>
      <c r="P898" s="340"/>
      <c r="Q898" s="339"/>
      <c r="R898" s="340"/>
      <c r="S898" s="339"/>
      <c r="T898" s="340"/>
      <c r="U898" s="339"/>
      <c r="V898" s="340"/>
      <c r="W898" s="339"/>
      <c r="X898" s="339"/>
      <c r="Y898" s="339"/>
      <c r="Z898" s="340"/>
      <c r="AA898" s="339"/>
      <c r="AB898" s="339"/>
      <c r="AC898" s="339"/>
      <c r="AD898" s="339"/>
    </row>
    <row r="899" spans="1:30" ht="15.75" customHeight="1">
      <c r="A899" s="339"/>
      <c r="B899" s="339"/>
      <c r="C899" s="339"/>
      <c r="D899" s="339"/>
      <c r="E899" s="339"/>
      <c r="F899" s="339"/>
      <c r="G899" s="339"/>
      <c r="H899" s="339"/>
      <c r="I899" s="339"/>
      <c r="J899" s="339"/>
      <c r="K899" s="339"/>
      <c r="L899" s="340"/>
      <c r="M899" s="339"/>
      <c r="N899" s="340"/>
      <c r="O899" s="339"/>
      <c r="P899" s="340"/>
      <c r="Q899" s="339"/>
      <c r="R899" s="340"/>
      <c r="S899" s="339"/>
      <c r="T899" s="340"/>
      <c r="U899" s="339"/>
      <c r="V899" s="340"/>
      <c r="W899" s="339"/>
      <c r="X899" s="339"/>
      <c r="Y899" s="339"/>
      <c r="Z899" s="340"/>
      <c r="AA899" s="339"/>
      <c r="AB899" s="339"/>
      <c r="AC899" s="339"/>
      <c r="AD899" s="339"/>
    </row>
    <row r="900" spans="1:30" ht="15.75" customHeight="1">
      <c r="A900" s="339"/>
      <c r="B900" s="339"/>
      <c r="C900" s="339"/>
      <c r="D900" s="339"/>
      <c r="E900" s="339"/>
      <c r="F900" s="339"/>
      <c r="G900" s="339"/>
      <c r="H900" s="339"/>
      <c r="I900" s="339"/>
      <c r="J900" s="339"/>
      <c r="K900" s="339"/>
      <c r="L900" s="340"/>
      <c r="M900" s="339"/>
      <c r="N900" s="340"/>
      <c r="O900" s="339"/>
      <c r="P900" s="340"/>
      <c r="Q900" s="339"/>
      <c r="R900" s="340"/>
      <c r="S900" s="339"/>
      <c r="T900" s="340"/>
      <c r="U900" s="339"/>
      <c r="V900" s="340"/>
      <c r="W900" s="339"/>
      <c r="X900" s="339"/>
      <c r="Y900" s="339"/>
      <c r="Z900" s="340"/>
      <c r="AA900" s="339"/>
      <c r="AB900" s="339"/>
      <c r="AC900" s="339"/>
      <c r="AD900" s="339"/>
    </row>
    <row r="901" spans="1:30" ht="15.75" customHeight="1">
      <c r="A901" s="339"/>
      <c r="B901" s="339"/>
      <c r="C901" s="339"/>
      <c r="D901" s="339"/>
      <c r="E901" s="339"/>
      <c r="F901" s="339"/>
      <c r="G901" s="339"/>
      <c r="H901" s="339"/>
      <c r="I901" s="339"/>
      <c r="J901" s="339"/>
      <c r="K901" s="339"/>
      <c r="L901" s="340"/>
      <c r="M901" s="339"/>
      <c r="N901" s="340"/>
      <c r="O901" s="339"/>
      <c r="P901" s="340"/>
      <c r="Q901" s="339"/>
      <c r="R901" s="340"/>
      <c r="S901" s="339"/>
      <c r="T901" s="340"/>
      <c r="U901" s="339"/>
      <c r="V901" s="340"/>
      <c r="W901" s="339"/>
      <c r="X901" s="339"/>
      <c r="Y901" s="339"/>
      <c r="Z901" s="340"/>
      <c r="AA901" s="339"/>
      <c r="AB901" s="339"/>
      <c r="AC901" s="339"/>
      <c r="AD901" s="339"/>
    </row>
    <row r="902" spans="1:30" ht="15.75" customHeight="1">
      <c r="A902" s="339"/>
      <c r="B902" s="339"/>
      <c r="C902" s="339"/>
      <c r="D902" s="339"/>
      <c r="E902" s="339"/>
      <c r="F902" s="339"/>
      <c r="G902" s="339"/>
      <c r="H902" s="339"/>
      <c r="I902" s="339"/>
      <c r="J902" s="339"/>
      <c r="K902" s="339"/>
      <c r="L902" s="340"/>
      <c r="M902" s="339"/>
      <c r="N902" s="340"/>
      <c r="O902" s="339"/>
      <c r="P902" s="340"/>
      <c r="Q902" s="339"/>
      <c r="R902" s="340"/>
      <c r="S902" s="339"/>
      <c r="T902" s="340"/>
      <c r="U902" s="339"/>
      <c r="V902" s="340"/>
      <c r="W902" s="339"/>
      <c r="X902" s="339"/>
      <c r="Y902" s="339"/>
      <c r="Z902" s="340"/>
      <c r="AA902" s="339"/>
      <c r="AB902" s="339"/>
      <c r="AC902" s="339"/>
      <c r="AD902" s="339"/>
    </row>
    <row r="903" spans="1:30" ht="15.75" customHeight="1">
      <c r="A903" s="339"/>
      <c r="B903" s="339"/>
      <c r="C903" s="339"/>
      <c r="D903" s="339"/>
      <c r="E903" s="339"/>
      <c r="F903" s="339"/>
      <c r="G903" s="339"/>
      <c r="H903" s="339"/>
      <c r="I903" s="339"/>
      <c r="J903" s="339"/>
      <c r="K903" s="339"/>
      <c r="L903" s="340"/>
      <c r="M903" s="339"/>
      <c r="N903" s="340"/>
      <c r="O903" s="339"/>
      <c r="P903" s="340"/>
      <c r="Q903" s="339"/>
      <c r="R903" s="340"/>
      <c r="S903" s="339"/>
      <c r="T903" s="340"/>
      <c r="U903" s="339"/>
      <c r="V903" s="340"/>
      <c r="W903" s="339"/>
      <c r="X903" s="339"/>
      <c r="Y903" s="339"/>
      <c r="Z903" s="340"/>
      <c r="AA903" s="339"/>
      <c r="AB903" s="339"/>
      <c r="AC903" s="339"/>
      <c r="AD903" s="339"/>
    </row>
    <row r="904" spans="1:30" ht="15.75" customHeight="1">
      <c r="A904" s="339"/>
      <c r="B904" s="339"/>
      <c r="C904" s="339"/>
      <c r="D904" s="339"/>
      <c r="E904" s="339"/>
      <c r="F904" s="339"/>
      <c r="G904" s="339"/>
      <c r="H904" s="339"/>
      <c r="I904" s="339"/>
      <c r="J904" s="339"/>
      <c r="K904" s="339"/>
      <c r="L904" s="340"/>
      <c r="M904" s="339"/>
      <c r="N904" s="340"/>
      <c r="O904" s="339"/>
      <c r="P904" s="340"/>
      <c r="Q904" s="339"/>
      <c r="R904" s="340"/>
      <c r="S904" s="339"/>
      <c r="T904" s="340"/>
      <c r="U904" s="339"/>
      <c r="V904" s="340"/>
      <c r="W904" s="339"/>
      <c r="X904" s="339"/>
      <c r="Y904" s="339"/>
      <c r="Z904" s="340"/>
      <c r="AA904" s="339"/>
      <c r="AB904" s="339"/>
      <c r="AC904" s="339"/>
      <c r="AD904" s="339"/>
    </row>
    <row r="905" spans="1:30" ht="15.75" customHeight="1">
      <c r="A905" s="339"/>
      <c r="B905" s="339"/>
      <c r="C905" s="339"/>
      <c r="D905" s="339"/>
      <c r="E905" s="339"/>
      <c r="F905" s="339"/>
      <c r="G905" s="339"/>
      <c r="H905" s="339"/>
      <c r="I905" s="339"/>
      <c r="J905" s="339"/>
      <c r="K905" s="339"/>
      <c r="L905" s="340"/>
      <c r="M905" s="339"/>
      <c r="N905" s="340"/>
      <c r="O905" s="339"/>
      <c r="P905" s="340"/>
      <c r="Q905" s="339"/>
      <c r="R905" s="340"/>
      <c r="S905" s="339"/>
      <c r="T905" s="340"/>
      <c r="U905" s="339"/>
      <c r="V905" s="340"/>
      <c r="W905" s="339"/>
      <c r="X905" s="339"/>
      <c r="Y905" s="339"/>
      <c r="Z905" s="340"/>
      <c r="AA905" s="339"/>
      <c r="AB905" s="339"/>
      <c r="AC905" s="339"/>
      <c r="AD905" s="339"/>
    </row>
    <row r="906" spans="1:30" ht="15.75" customHeight="1">
      <c r="A906" s="339"/>
      <c r="B906" s="339"/>
      <c r="C906" s="339"/>
      <c r="D906" s="339"/>
      <c r="E906" s="339"/>
      <c r="F906" s="339"/>
      <c r="G906" s="339"/>
      <c r="H906" s="339"/>
      <c r="I906" s="339"/>
      <c r="J906" s="339"/>
      <c r="K906" s="339"/>
      <c r="L906" s="340"/>
      <c r="M906" s="339"/>
      <c r="N906" s="340"/>
      <c r="O906" s="339"/>
      <c r="P906" s="340"/>
      <c r="Q906" s="339"/>
      <c r="R906" s="340"/>
      <c r="S906" s="339"/>
      <c r="T906" s="340"/>
      <c r="U906" s="339"/>
      <c r="V906" s="340"/>
      <c r="W906" s="339"/>
      <c r="X906" s="339"/>
      <c r="Y906" s="339"/>
      <c r="Z906" s="340"/>
      <c r="AA906" s="339"/>
      <c r="AB906" s="339"/>
      <c r="AC906" s="339"/>
      <c r="AD906" s="339"/>
    </row>
    <row r="907" spans="1:30" ht="15.75" customHeight="1">
      <c r="A907" s="339"/>
      <c r="B907" s="339"/>
      <c r="C907" s="339"/>
      <c r="D907" s="339"/>
      <c r="E907" s="339"/>
      <c r="F907" s="339"/>
      <c r="G907" s="339"/>
      <c r="H907" s="339"/>
      <c r="I907" s="339"/>
      <c r="J907" s="339"/>
      <c r="K907" s="339"/>
      <c r="L907" s="340"/>
      <c r="M907" s="339"/>
      <c r="N907" s="340"/>
      <c r="O907" s="339"/>
      <c r="P907" s="340"/>
      <c r="Q907" s="339"/>
      <c r="R907" s="340"/>
      <c r="S907" s="339"/>
      <c r="T907" s="340"/>
      <c r="U907" s="339"/>
      <c r="V907" s="340"/>
      <c r="W907" s="339"/>
      <c r="X907" s="339"/>
      <c r="Y907" s="339"/>
      <c r="Z907" s="340"/>
      <c r="AA907" s="339"/>
      <c r="AB907" s="339"/>
      <c r="AC907" s="339"/>
      <c r="AD907" s="339"/>
    </row>
    <row r="908" spans="1:30" ht="15.75" customHeight="1">
      <c r="A908" s="339"/>
      <c r="B908" s="339"/>
      <c r="C908" s="339"/>
      <c r="D908" s="339"/>
      <c r="E908" s="339"/>
      <c r="F908" s="339"/>
      <c r="G908" s="339"/>
      <c r="H908" s="339"/>
      <c r="I908" s="339"/>
      <c r="J908" s="339"/>
      <c r="K908" s="339"/>
      <c r="L908" s="340"/>
      <c r="M908" s="339"/>
      <c r="N908" s="340"/>
      <c r="O908" s="339"/>
      <c r="P908" s="340"/>
      <c r="Q908" s="339"/>
      <c r="R908" s="340"/>
      <c r="S908" s="339"/>
      <c r="T908" s="340"/>
      <c r="U908" s="339"/>
      <c r="V908" s="340"/>
      <c r="W908" s="339"/>
      <c r="X908" s="339"/>
      <c r="Y908" s="339"/>
      <c r="Z908" s="340"/>
      <c r="AA908" s="339"/>
      <c r="AB908" s="339"/>
      <c r="AC908" s="339"/>
      <c r="AD908" s="339"/>
    </row>
    <row r="909" spans="1:30" ht="15.75" customHeight="1">
      <c r="A909" s="339"/>
      <c r="B909" s="339"/>
      <c r="C909" s="339"/>
      <c r="D909" s="339"/>
      <c r="E909" s="339"/>
      <c r="F909" s="339"/>
      <c r="G909" s="339"/>
      <c r="H909" s="339"/>
      <c r="I909" s="339"/>
      <c r="J909" s="339"/>
      <c r="K909" s="339"/>
      <c r="L909" s="340"/>
      <c r="M909" s="339"/>
      <c r="N909" s="340"/>
      <c r="O909" s="339"/>
      <c r="P909" s="340"/>
      <c r="Q909" s="339"/>
      <c r="R909" s="340"/>
      <c r="S909" s="339"/>
      <c r="T909" s="340"/>
      <c r="U909" s="339"/>
      <c r="V909" s="340"/>
      <c r="W909" s="339"/>
      <c r="X909" s="339"/>
      <c r="Y909" s="339"/>
      <c r="Z909" s="340"/>
      <c r="AA909" s="339"/>
      <c r="AB909" s="339"/>
      <c r="AC909" s="339"/>
      <c r="AD909" s="339"/>
    </row>
    <row r="910" spans="1:30" ht="15.75" customHeight="1">
      <c r="A910" s="339"/>
      <c r="B910" s="339"/>
      <c r="C910" s="339"/>
      <c r="D910" s="339"/>
      <c r="E910" s="339"/>
      <c r="F910" s="339"/>
      <c r="G910" s="339"/>
      <c r="H910" s="339"/>
      <c r="I910" s="339"/>
      <c r="J910" s="339"/>
      <c r="K910" s="339"/>
      <c r="L910" s="340"/>
      <c r="M910" s="339"/>
      <c r="N910" s="340"/>
      <c r="O910" s="339"/>
      <c r="P910" s="340"/>
      <c r="Q910" s="339"/>
      <c r="R910" s="340"/>
      <c r="S910" s="339"/>
      <c r="T910" s="340"/>
      <c r="U910" s="339"/>
      <c r="V910" s="340"/>
      <c r="W910" s="339"/>
      <c r="X910" s="339"/>
      <c r="Y910" s="339"/>
      <c r="Z910" s="340"/>
      <c r="AA910" s="339"/>
      <c r="AB910" s="339"/>
      <c r="AC910" s="339"/>
      <c r="AD910" s="339"/>
    </row>
    <row r="911" spans="1:30" ht="15.75" customHeight="1">
      <c r="A911" s="339"/>
      <c r="B911" s="339"/>
      <c r="C911" s="339"/>
      <c r="D911" s="339"/>
      <c r="E911" s="339"/>
      <c r="F911" s="339"/>
      <c r="G911" s="339"/>
      <c r="H911" s="339"/>
      <c r="I911" s="339"/>
      <c r="J911" s="339"/>
      <c r="K911" s="339"/>
      <c r="L911" s="340"/>
      <c r="M911" s="339"/>
      <c r="N911" s="340"/>
      <c r="O911" s="339"/>
      <c r="P911" s="340"/>
      <c r="Q911" s="339"/>
      <c r="R911" s="340"/>
      <c r="S911" s="339"/>
      <c r="T911" s="340"/>
      <c r="U911" s="339"/>
      <c r="V911" s="340"/>
      <c r="W911" s="339"/>
      <c r="X911" s="339"/>
      <c r="Y911" s="339"/>
      <c r="Z911" s="340"/>
      <c r="AA911" s="339"/>
      <c r="AB911" s="339"/>
      <c r="AC911" s="339"/>
      <c r="AD911" s="339"/>
    </row>
    <row r="912" spans="1:30" ht="15.75" customHeight="1">
      <c r="A912" s="339"/>
      <c r="B912" s="339"/>
      <c r="C912" s="339"/>
      <c r="D912" s="339"/>
      <c r="E912" s="339"/>
      <c r="F912" s="339"/>
      <c r="G912" s="339"/>
      <c r="H912" s="339"/>
      <c r="I912" s="339"/>
      <c r="J912" s="339"/>
      <c r="K912" s="339"/>
      <c r="L912" s="340"/>
      <c r="M912" s="339"/>
      <c r="N912" s="340"/>
      <c r="O912" s="339"/>
      <c r="P912" s="340"/>
      <c r="Q912" s="339"/>
      <c r="R912" s="340"/>
      <c r="S912" s="339"/>
      <c r="T912" s="340"/>
      <c r="U912" s="339"/>
      <c r="V912" s="340"/>
      <c r="W912" s="339"/>
      <c r="X912" s="339"/>
      <c r="Y912" s="339"/>
      <c r="Z912" s="340"/>
      <c r="AA912" s="339"/>
      <c r="AB912" s="339"/>
      <c r="AC912" s="339"/>
      <c r="AD912" s="339"/>
    </row>
    <row r="913" spans="1:30" ht="15.75" customHeight="1">
      <c r="A913" s="339"/>
      <c r="B913" s="339"/>
      <c r="C913" s="339"/>
      <c r="D913" s="339"/>
      <c r="E913" s="339"/>
      <c r="F913" s="339"/>
      <c r="G913" s="339"/>
      <c r="H913" s="339"/>
      <c r="I913" s="339"/>
      <c r="J913" s="339"/>
      <c r="K913" s="339"/>
      <c r="L913" s="340"/>
      <c r="M913" s="339"/>
      <c r="N913" s="340"/>
      <c r="O913" s="339"/>
      <c r="P913" s="340"/>
      <c r="Q913" s="339"/>
      <c r="R913" s="340"/>
      <c r="S913" s="339"/>
      <c r="T913" s="340"/>
      <c r="U913" s="339"/>
      <c r="V913" s="340"/>
      <c r="W913" s="339"/>
      <c r="X913" s="339"/>
      <c r="Y913" s="339"/>
      <c r="Z913" s="340"/>
      <c r="AA913" s="339"/>
      <c r="AB913" s="339"/>
      <c r="AC913" s="339"/>
      <c r="AD913" s="339"/>
    </row>
    <row r="914" spans="1:30" ht="15.75" customHeight="1">
      <c r="A914" s="339"/>
      <c r="B914" s="339"/>
      <c r="C914" s="339"/>
      <c r="D914" s="339"/>
      <c r="E914" s="339"/>
      <c r="F914" s="339"/>
      <c r="G914" s="339"/>
      <c r="H914" s="339"/>
      <c r="I914" s="339"/>
      <c r="J914" s="339"/>
      <c r="K914" s="339"/>
      <c r="L914" s="340"/>
      <c r="M914" s="339"/>
      <c r="N914" s="340"/>
      <c r="O914" s="339"/>
      <c r="P914" s="340"/>
      <c r="Q914" s="339"/>
      <c r="R914" s="340"/>
      <c r="S914" s="339"/>
      <c r="T914" s="340"/>
      <c r="U914" s="339"/>
      <c r="V914" s="340"/>
      <c r="W914" s="339"/>
      <c r="X914" s="339"/>
      <c r="Y914" s="339"/>
      <c r="Z914" s="340"/>
      <c r="AA914" s="339"/>
      <c r="AB914" s="339"/>
      <c r="AC914" s="339"/>
      <c r="AD914" s="339"/>
    </row>
    <row r="915" spans="1:30" ht="15.75" customHeight="1">
      <c r="A915" s="339"/>
      <c r="B915" s="339"/>
      <c r="C915" s="339"/>
      <c r="D915" s="339"/>
      <c r="E915" s="339"/>
      <c r="F915" s="339"/>
      <c r="G915" s="339"/>
      <c r="H915" s="339"/>
      <c r="I915" s="339"/>
      <c r="J915" s="339"/>
      <c r="K915" s="339"/>
      <c r="L915" s="340"/>
      <c r="M915" s="339"/>
      <c r="N915" s="340"/>
      <c r="O915" s="339"/>
      <c r="P915" s="340"/>
      <c r="Q915" s="339"/>
      <c r="R915" s="340"/>
      <c r="S915" s="339"/>
      <c r="T915" s="340"/>
      <c r="U915" s="339"/>
      <c r="V915" s="340"/>
      <c r="W915" s="339"/>
      <c r="X915" s="339"/>
      <c r="Y915" s="339"/>
      <c r="Z915" s="340"/>
      <c r="AA915" s="339"/>
      <c r="AB915" s="339"/>
      <c r="AC915" s="339"/>
      <c r="AD915" s="339"/>
    </row>
    <row r="916" spans="1:30" ht="15.75" customHeight="1">
      <c r="A916" s="339"/>
      <c r="B916" s="339"/>
      <c r="C916" s="339"/>
      <c r="D916" s="339"/>
      <c r="E916" s="339"/>
      <c r="F916" s="339"/>
      <c r="G916" s="339"/>
      <c r="H916" s="339"/>
      <c r="I916" s="339"/>
      <c r="J916" s="339"/>
      <c r="K916" s="339"/>
      <c r="L916" s="340"/>
      <c r="M916" s="339"/>
      <c r="N916" s="340"/>
      <c r="O916" s="339"/>
      <c r="P916" s="340"/>
      <c r="Q916" s="339"/>
      <c r="R916" s="340"/>
      <c r="S916" s="339"/>
      <c r="T916" s="340"/>
      <c r="U916" s="339"/>
      <c r="V916" s="340"/>
      <c r="W916" s="339"/>
      <c r="X916" s="339"/>
      <c r="Y916" s="339"/>
      <c r="Z916" s="340"/>
      <c r="AA916" s="339"/>
      <c r="AB916" s="339"/>
      <c r="AC916" s="339"/>
      <c r="AD916" s="339"/>
    </row>
    <row r="917" spans="1:30" ht="15.75" customHeight="1">
      <c r="A917" s="339"/>
      <c r="B917" s="339"/>
      <c r="C917" s="339"/>
      <c r="D917" s="339"/>
      <c r="E917" s="339"/>
      <c r="F917" s="339"/>
      <c r="G917" s="339"/>
      <c r="H917" s="339"/>
      <c r="I917" s="339"/>
      <c r="J917" s="339"/>
      <c r="K917" s="339"/>
      <c r="L917" s="340"/>
      <c r="M917" s="339"/>
      <c r="N917" s="340"/>
      <c r="O917" s="339"/>
      <c r="P917" s="340"/>
      <c r="Q917" s="339"/>
      <c r="R917" s="340"/>
      <c r="S917" s="339"/>
      <c r="T917" s="340"/>
      <c r="U917" s="339"/>
      <c r="V917" s="340"/>
      <c r="W917" s="339"/>
      <c r="X917" s="339"/>
      <c r="Y917" s="339"/>
      <c r="Z917" s="340"/>
      <c r="AA917" s="339"/>
      <c r="AB917" s="339"/>
      <c r="AC917" s="339"/>
      <c r="AD917" s="339"/>
    </row>
    <row r="918" spans="1:30" ht="15.75" customHeight="1">
      <c r="A918" s="339"/>
      <c r="B918" s="339"/>
      <c r="C918" s="339"/>
      <c r="D918" s="339"/>
      <c r="E918" s="339"/>
      <c r="F918" s="339"/>
      <c r="G918" s="339"/>
      <c r="H918" s="339"/>
      <c r="I918" s="339"/>
      <c r="J918" s="339"/>
      <c r="K918" s="339"/>
      <c r="L918" s="340"/>
      <c r="M918" s="339"/>
      <c r="N918" s="340"/>
      <c r="O918" s="339"/>
      <c r="P918" s="340"/>
      <c r="Q918" s="339"/>
      <c r="R918" s="340"/>
      <c r="S918" s="339"/>
      <c r="T918" s="340"/>
      <c r="U918" s="339"/>
      <c r="V918" s="340"/>
      <c r="W918" s="339"/>
      <c r="X918" s="339"/>
      <c r="Y918" s="339"/>
      <c r="Z918" s="340"/>
      <c r="AA918" s="339"/>
      <c r="AB918" s="339"/>
      <c r="AC918" s="339"/>
      <c r="AD918" s="339"/>
    </row>
    <row r="919" spans="1:30" ht="15.75" customHeight="1">
      <c r="A919" s="339"/>
      <c r="B919" s="339"/>
      <c r="C919" s="339"/>
      <c r="D919" s="339"/>
      <c r="E919" s="339"/>
      <c r="F919" s="339"/>
      <c r="G919" s="339"/>
      <c r="H919" s="339"/>
      <c r="I919" s="339"/>
      <c r="J919" s="339"/>
      <c r="K919" s="339"/>
      <c r="L919" s="340"/>
      <c r="M919" s="339"/>
      <c r="N919" s="340"/>
      <c r="O919" s="339"/>
      <c r="P919" s="340"/>
      <c r="Q919" s="339"/>
      <c r="R919" s="340"/>
      <c r="S919" s="339"/>
      <c r="T919" s="340"/>
      <c r="U919" s="339"/>
      <c r="V919" s="340"/>
      <c r="W919" s="339"/>
      <c r="X919" s="339"/>
      <c r="Y919" s="339"/>
      <c r="Z919" s="340"/>
      <c r="AA919" s="339"/>
      <c r="AB919" s="339"/>
      <c r="AC919" s="339"/>
      <c r="AD919" s="339"/>
    </row>
    <row r="920" spans="1:30" ht="15.75" customHeight="1">
      <c r="A920" s="339"/>
      <c r="B920" s="339"/>
      <c r="C920" s="339"/>
      <c r="D920" s="339"/>
      <c r="E920" s="339"/>
      <c r="F920" s="339"/>
      <c r="G920" s="339"/>
      <c r="H920" s="339"/>
      <c r="I920" s="339"/>
      <c r="J920" s="339"/>
      <c r="K920" s="339"/>
      <c r="L920" s="340"/>
      <c r="M920" s="339"/>
      <c r="N920" s="340"/>
      <c r="O920" s="339"/>
      <c r="P920" s="340"/>
      <c r="Q920" s="339"/>
      <c r="R920" s="340"/>
      <c r="S920" s="339"/>
      <c r="T920" s="340"/>
      <c r="U920" s="339"/>
      <c r="V920" s="340"/>
      <c r="W920" s="339"/>
      <c r="X920" s="339"/>
      <c r="Y920" s="339"/>
      <c r="Z920" s="340"/>
      <c r="AA920" s="339"/>
      <c r="AB920" s="339"/>
      <c r="AC920" s="339"/>
      <c r="AD920" s="339"/>
    </row>
    <row r="921" spans="1:30" ht="15.75" customHeight="1">
      <c r="A921" s="339"/>
      <c r="B921" s="339"/>
      <c r="C921" s="339"/>
      <c r="D921" s="339"/>
      <c r="E921" s="339"/>
      <c r="F921" s="339"/>
      <c r="G921" s="339"/>
      <c r="H921" s="339"/>
      <c r="I921" s="339"/>
      <c r="J921" s="339"/>
      <c r="K921" s="339"/>
      <c r="L921" s="340"/>
      <c r="M921" s="339"/>
      <c r="N921" s="340"/>
      <c r="O921" s="339"/>
      <c r="P921" s="340"/>
      <c r="Q921" s="339"/>
      <c r="R921" s="340"/>
      <c r="S921" s="339"/>
      <c r="T921" s="340"/>
      <c r="U921" s="339"/>
      <c r="V921" s="340"/>
      <c r="W921" s="339"/>
      <c r="X921" s="339"/>
      <c r="Y921" s="339"/>
      <c r="Z921" s="340"/>
      <c r="AA921" s="339"/>
      <c r="AB921" s="339"/>
      <c r="AC921" s="339"/>
      <c r="AD921" s="339"/>
    </row>
    <row r="922" spans="1:30" ht="15.75" customHeight="1">
      <c r="A922" s="339"/>
      <c r="B922" s="339"/>
      <c r="C922" s="339"/>
      <c r="D922" s="339"/>
      <c r="E922" s="339"/>
      <c r="F922" s="339"/>
      <c r="G922" s="339"/>
      <c r="H922" s="339"/>
      <c r="I922" s="339"/>
      <c r="J922" s="339"/>
      <c r="K922" s="339"/>
      <c r="L922" s="340"/>
      <c r="M922" s="339"/>
      <c r="N922" s="340"/>
      <c r="O922" s="339"/>
      <c r="P922" s="340"/>
      <c r="Q922" s="339"/>
      <c r="R922" s="340"/>
      <c r="S922" s="339"/>
      <c r="T922" s="340"/>
      <c r="U922" s="339"/>
      <c r="V922" s="340"/>
      <c r="W922" s="339"/>
      <c r="X922" s="339"/>
      <c r="Y922" s="339"/>
      <c r="Z922" s="340"/>
      <c r="AA922" s="339"/>
      <c r="AB922" s="339"/>
      <c r="AC922" s="339"/>
      <c r="AD922" s="339"/>
    </row>
    <row r="923" spans="1:30" ht="15.75" customHeight="1">
      <c r="A923" s="339"/>
      <c r="B923" s="339"/>
      <c r="C923" s="339"/>
      <c r="D923" s="339"/>
      <c r="E923" s="339"/>
      <c r="F923" s="339"/>
      <c r="G923" s="339"/>
      <c r="H923" s="339"/>
      <c r="I923" s="339"/>
      <c r="J923" s="339"/>
      <c r="K923" s="339"/>
      <c r="L923" s="340"/>
      <c r="M923" s="339"/>
      <c r="N923" s="340"/>
      <c r="O923" s="339"/>
      <c r="P923" s="340"/>
      <c r="Q923" s="339"/>
      <c r="R923" s="340"/>
      <c r="S923" s="339"/>
      <c r="T923" s="340"/>
      <c r="U923" s="339"/>
      <c r="V923" s="340"/>
      <c r="W923" s="339"/>
      <c r="X923" s="339"/>
      <c r="Y923" s="339"/>
      <c r="Z923" s="340"/>
      <c r="AA923" s="339"/>
      <c r="AB923" s="339"/>
      <c r="AC923" s="339"/>
      <c r="AD923" s="339"/>
    </row>
    <row r="924" spans="1:30" ht="15.75" customHeight="1">
      <c r="A924" s="339"/>
      <c r="B924" s="339"/>
      <c r="C924" s="339"/>
      <c r="D924" s="339"/>
      <c r="E924" s="339"/>
      <c r="F924" s="339"/>
      <c r="G924" s="339"/>
      <c r="H924" s="339"/>
      <c r="I924" s="339"/>
      <c r="J924" s="339"/>
      <c r="K924" s="339"/>
      <c r="L924" s="340"/>
      <c r="M924" s="339"/>
      <c r="N924" s="340"/>
      <c r="O924" s="339"/>
      <c r="P924" s="340"/>
      <c r="Q924" s="339"/>
      <c r="R924" s="340"/>
      <c r="S924" s="339"/>
      <c r="T924" s="340"/>
      <c r="U924" s="339"/>
      <c r="V924" s="340"/>
      <c r="W924" s="339"/>
      <c r="X924" s="339"/>
      <c r="Y924" s="339"/>
      <c r="Z924" s="340"/>
      <c r="AA924" s="339"/>
      <c r="AB924" s="339"/>
      <c r="AC924" s="339"/>
      <c r="AD924" s="339"/>
    </row>
    <row r="925" spans="1:30" ht="15.75" customHeight="1">
      <c r="A925" s="339"/>
      <c r="B925" s="339"/>
      <c r="C925" s="339"/>
      <c r="D925" s="339"/>
      <c r="E925" s="339"/>
      <c r="F925" s="339"/>
      <c r="G925" s="339"/>
      <c r="H925" s="339"/>
      <c r="I925" s="339"/>
      <c r="J925" s="339"/>
      <c r="K925" s="339"/>
      <c r="L925" s="340"/>
      <c r="M925" s="339"/>
      <c r="N925" s="340"/>
      <c r="O925" s="339"/>
      <c r="P925" s="340"/>
      <c r="Q925" s="339"/>
      <c r="R925" s="340"/>
      <c r="S925" s="339"/>
      <c r="T925" s="340"/>
      <c r="U925" s="339"/>
      <c r="V925" s="340"/>
      <c r="W925" s="339"/>
      <c r="X925" s="339"/>
      <c r="Y925" s="339"/>
      <c r="Z925" s="340"/>
      <c r="AA925" s="339"/>
      <c r="AB925" s="339"/>
      <c r="AC925" s="339"/>
      <c r="AD925" s="339"/>
    </row>
    <row r="926" spans="1:30" ht="15.75" customHeight="1">
      <c r="A926" s="339"/>
      <c r="B926" s="339"/>
      <c r="C926" s="339"/>
      <c r="D926" s="339"/>
      <c r="E926" s="339"/>
      <c r="F926" s="339"/>
      <c r="G926" s="339"/>
      <c r="H926" s="339"/>
      <c r="I926" s="339"/>
      <c r="J926" s="339"/>
      <c r="K926" s="339"/>
      <c r="L926" s="340"/>
      <c r="M926" s="339"/>
      <c r="N926" s="340"/>
      <c r="O926" s="339"/>
      <c r="P926" s="340"/>
      <c r="Q926" s="339"/>
      <c r="R926" s="340"/>
      <c r="S926" s="339"/>
      <c r="T926" s="340"/>
      <c r="U926" s="339"/>
      <c r="V926" s="340"/>
      <c r="W926" s="339"/>
      <c r="X926" s="339"/>
      <c r="Y926" s="339"/>
      <c r="Z926" s="340"/>
      <c r="AA926" s="339"/>
      <c r="AB926" s="339"/>
      <c r="AC926" s="339"/>
      <c r="AD926" s="339"/>
    </row>
    <row r="927" spans="1:30" ht="15.75" customHeight="1">
      <c r="A927" s="339"/>
      <c r="B927" s="339"/>
      <c r="C927" s="339"/>
      <c r="D927" s="339"/>
      <c r="E927" s="339"/>
      <c r="F927" s="339"/>
      <c r="G927" s="339"/>
      <c r="H927" s="339"/>
      <c r="I927" s="339"/>
      <c r="J927" s="339"/>
      <c r="K927" s="339"/>
      <c r="L927" s="340"/>
      <c r="M927" s="339"/>
      <c r="N927" s="340"/>
      <c r="O927" s="339"/>
      <c r="P927" s="340"/>
      <c r="Q927" s="339"/>
      <c r="R927" s="340"/>
      <c r="S927" s="339"/>
      <c r="T927" s="340"/>
      <c r="U927" s="339"/>
      <c r="V927" s="340"/>
      <c r="W927" s="339"/>
      <c r="X927" s="339"/>
      <c r="Y927" s="339"/>
      <c r="Z927" s="340"/>
      <c r="AA927" s="339"/>
      <c r="AB927" s="339"/>
      <c r="AC927" s="339"/>
      <c r="AD927" s="339"/>
    </row>
    <row r="928" spans="1:30" ht="15.75" customHeight="1">
      <c r="A928" s="339"/>
      <c r="B928" s="339"/>
      <c r="C928" s="339"/>
      <c r="D928" s="339"/>
      <c r="E928" s="339"/>
      <c r="F928" s="339"/>
      <c r="G928" s="339"/>
      <c r="H928" s="339"/>
      <c r="I928" s="339"/>
      <c r="J928" s="339"/>
      <c r="K928" s="339"/>
      <c r="L928" s="340"/>
      <c r="M928" s="339"/>
      <c r="N928" s="340"/>
      <c r="O928" s="339"/>
      <c r="P928" s="340"/>
      <c r="Q928" s="339"/>
      <c r="R928" s="340"/>
      <c r="S928" s="339"/>
      <c r="T928" s="340"/>
      <c r="U928" s="339"/>
      <c r="V928" s="340"/>
      <c r="W928" s="339"/>
      <c r="X928" s="339"/>
      <c r="Y928" s="339"/>
      <c r="Z928" s="340"/>
      <c r="AA928" s="339"/>
      <c r="AB928" s="339"/>
      <c r="AC928" s="339"/>
      <c r="AD928" s="339"/>
    </row>
    <row r="929" spans="1:30" ht="15.75" customHeight="1">
      <c r="A929" s="339"/>
      <c r="B929" s="339"/>
      <c r="C929" s="339"/>
      <c r="D929" s="339"/>
      <c r="E929" s="339"/>
      <c r="F929" s="339"/>
      <c r="G929" s="339"/>
      <c r="H929" s="339"/>
      <c r="I929" s="339"/>
      <c r="J929" s="339"/>
      <c r="K929" s="339"/>
      <c r="L929" s="340"/>
      <c r="M929" s="339"/>
      <c r="N929" s="340"/>
      <c r="O929" s="339"/>
      <c r="P929" s="340"/>
      <c r="Q929" s="339"/>
      <c r="R929" s="340"/>
      <c r="S929" s="339"/>
      <c r="T929" s="340"/>
      <c r="U929" s="339"/>
      <c r="V929" s="340"/>
      <c r="W929" s="339"/>
      <c r="X929" s="339"/>
      <c r="Y929" s="339"/>
      <c r="Z929" s="340"/>
      <c r="AA929" s="339"/>
      <c r="AB929" s="339"/>
      <c r="AC929" s="339"/>
      <c r="AD929" s="339"/>
    </row>
    <row r="930" spans="1:30" ht="15.75" customHeight="1">
      <c r="A930" s="339"/>
      <c r="B930" s="339"/>
      <c r="C930" s="339"/>
      <c r="D930" s="339"/>
      <c r="E930" s="339"/>
      <c r="F930" s="339"/>
      <c r="G930" s="339"/>
      <c r="H930" s="339"/>
      <c r="I930" s="339"/>
      <c r="J930" s="339"/>
      <c r="K930" s="339"/>
      <c r="L930" s="340"/>
      <c r="M930" s="339"/>
      <c r="N930" s="340"/>
      <c r="O930" s="339"/>
      <c r="P930" s="340"/>
      <c r="Q930" s="339"/>
      <c r="R930" s="340"/>
      <c r="S930" s="339"/>
      <c r="T930" s="340"/>
      <c r="U930" s="339"/>
      <c r="V930" s="340"/>
      <c r="W930" s="339"/>
      <c r="X930" s="339"/>
      <c r="Y930" s="339"/>
      <c r="Z930" s="340"/>
      <c r="AA930" s="339"/>
      <c r="AB930" s="339"/>
      <c r="AC930" s="339"/>
      <c r="AD930" s="339"/>
    </row>
    <row r="931" spans="1:30" ht="15.75" customHeight="1">
      <c r="A931" s="339"/>
      <c r="B931" s="339"/>
      <c r="C931" s="339"/>
      <c r="D931" s="339"/>
      <c r="E931" s="339"/>
      <c r="F931" s="339"/>
      <c r="G931" s="339"/>
      <c r="H931" s="339"/>
      <c r="I931" s="339"/>
      <c r="J931" s="339"/>
      <c r="K931" s="339"/>
      <c r="L931" s="340"/>
      <c r="M931" s="339"/>
      <c r="N931" s="340"/>
      <c r="O931" s="339"/>
      <c r="P931" s="340"/>
      <c r="Q931" s="339"/>
      <c r="R931" s="340"/>
      <c r="S931" s="339"/>
      <c r="T931" s="340"/>
      <c r="U931" s="339"/>
      <c r="V931" s="340"/>
      <c r="W931" s="339"/>
      <c r="X931" s="339"/>
      <c r="Y931" s="339"/>
      <c r="Z931" s="340"/>
      <c r="AA931" s="339"/>
      <c r="AB931" s="339"/>
      <c r="AC931" s="339"/>
      <c r="AD931" s="339"/>
    </row>
    <row r="932" spans="1:30" ht="15.75" customHeight="1">
      <c r="A932" s="339"/>
      <c r="B932" s="339"/>
      <c r="C932" s="339"/>
      <c r="D932" s="339"/>
      <c r="E932" s="339"/>
      <c r="F932" s="339"/>
      <c r="G932" s="339"/>
      <c r="H932" s="339"/>
      <c r="I932" s="339"/>
      <c r="J932" s="339"/>
      <c r="K932" s="339"/>
      <c r="L932" s="340"/>
      <c r="M932" s="339"/>
      <c r="N932" s="340"/>
      <c r="O932" s="339"/>
      <c r="P932" s="340"/>
      <c r="Q932" s="339"/>
      <c r="R932" s="340"/>
      <c r="S932" s="339"/>
      <c r="T932" s="340"/>
      <c r="U932" s="339"/>
      <c r="V932" s="340"/>
      <c r="W932" s="339"/>
      <c r="X932" s="339"/>
      <c r="Y932" s="339"/>
      <c r="Z932" s="340"/>
      <c r="AA932" s="339"/>
      <c r="AB932" s="339"/>
      <c r="AC932" s="339"/>
      <c r="AD932" s="339"/>
    </row>
    <row r="933" spans="1:30" ht="15.75" customHeight="1">
      <c r="A933" s="339"/>
      <c r="B933" s="339"/>
      <c r="C933" s="339"/>
      <c r="D933" s="339"/>
      <c r="E933" s="339"/>
      <c r="F933" s="339"/>
      <c r="G933" s="339"/>
      <c r="H933" s="339"/>
      <c r="I933" s="339"/>
      <c r="J933" s="339"/>
      <c r="K933" s="339"/>
      <c r="L933" s="340"/>
      <c r="M933" s="339"/>
      <c r="N933" s="340"/>
      <c r="O933" s="339"/>
      <c r="P933" s="340"/>
      <c r="Q933" s="339"/>
      <c r="R933" s="340"/>
      <c r="S933" s="339"/>
      <c r="T933" s="340"/>
      <c r="U933" s="339"/>
      <c r="V933" s="340"/>
      <c r="W933" s="339"/>
      <c r="X933" s="339"/>
      <c r="Y933" s="339"/>
      <c r="Z933" s="340"/>
      <c r="AA933" s="339"/>
      <c r="AB933" s="339"/>
      <c r="AC933" s="339"/>
      <c r="AD933" s="339"/>
    </row>
    <row r="934" spans="1:30" ht="15.75" customHeight="1">
      <c r="A934" s="339"/>
      <c r="B934" s="339"/>
      <c r="C934" s="339"/>
      <c r="D934" s="339"/>
      <c r="E934" s="339"/>
      <c r="F934" s="339"/>
      <c r="G934" s="339"/>
      <c r="H934" s="339"/>
      <c r="I934" s="339"/>
      <c r="J934" s="339"/>
      <c r="K934" s="339"/>
      <c r="L934" s="340"/>
      <c r="M934" s="339"/>
      <c r="N934" s="340"/>
      <c r="O934" s="339"/>
      <c r="P934" s="340"/>
      <c r="Q934" s="339"/>
      <c r="R934" s="340"/>
      <c r="S934" s="339"/>
      <c r="T934" s="340"/>
      <c r="U934" s="339"/>
      <c r="V934" s="340"/>
      <c r="W934" s="339"/>
      <c r="X934" s="339"/>
      <c r="Y934" s="339"/>
      <c r="Z934" s="340"/>
      <c r="AA934" s="339"/>
      <c r="AB934" s="339"/>
      <c r="AC934" s="339"/>
      <c r="AD934" s="339"/>
    </row>
    <row r="935" spans="1:30" ht="15.75" customHeight="1">
      <c r="A935" s="339"/>
      <c r="B935" s="339"/>
      <c r="C935" s="339"/>
      <c r="D935" s="339"/>
      <c r="E935" s="339"/>
      <c r="F935" s="339"/>
      <c r="G935" s="339"/>
      <c r="H935" s="339"/>
      <c r="I935" s="339"/>
      <c r="J935" s="339"/>
      <c r="K935" s="339"/>
      <c r="L935" s="340"/>
      <c r="M935" s="339"/>
      <c r="N935" s="340"/>
      <c r="O935" s="339"/>
      <c r="P935" s="340"/>
      <c r="Q935" s="339"/>
      <c r="R935" s="340"/>
      <c r="S935" s="339"/>
      <c r="T935" s="340"/>
      <c r="U935" s="339"/>
      <c r="V935" s="340"/>
      <c r="W935" s="339"/>
      <c r="X935" s="339"/>
      <c r="Y935" s="339"/>
      <c r="Z935" s="340"/>
      <c r="AA935" s="339"/>
      <c r="AB935" s="339"/>
      <c r="AC935" s="339"/>
      <c r="AD935" s="339"/>
    </row>
    <row r="936" spans="1:30" ht="15.75" customHeight="1">
      <c r="A936" s="339"/>
      <c r="B936" s="339"/>
      <c r="C936" s="339"/>
      <c r="D936" s="339"/>
      <c r="E936" s="339"/>
      <c r="F936" s="339"/>
      <c r="G936" s="339"/>
      <c r="H936" s="339"/>
      <c r="I936" s="339"/>
      <c r="J936" s="339"/>
      <c r="K936" s="339"/>
      <c r="L936" s="340"/>
      <c r="M936" s="339"/>
      <c r="N936" s="340"/>
      <c r="O936" s="339"/>
      <c r="P936" s="340"/>
      <c r="Q936" s="339"/>
      <c r="R936" s="340"/>
      <c r="S936" s="339"/>
      <c r="T936" s="340"/>
      <c r="U936" s="339"/>
      <c r="V936" s="340"/>
      <c r="W936" s="339"/>
      <c r="X936" s="339"/>
      <c r="Y936" s="339"/>
      <c r="Z936" s="340"/>
      <c r="AA936" s="339"/>
      <c r="AB936" s="339"/>
      <c r="AC936" s="339"/>
      <c r="AD936" s="339"/>
    </row>
    <row r="937" spans="1:30" ht="15.75" customHeight="1">
      <c r="A937" s="339"/>
      <c r="B937" s="339"/>
      <c r="C937" s="339"/>
      <c r="D937" s="339"/>
      <c r="E937" s="339"/>
      <c r="F937" s="339"/>
      <c r="G937" s="339"/>
      <c r="H937" s="339"/>
      <c r="I937" s="339"/>
      <c r="J937" s="339"/>
      <c r="K937" s="339"/>
      <c r="L937" s="340"/>
      <c r="M937" s="339"/>
      <c r="N937" s="340"/>
      <c r="O937" s="339"/>
      <c r="P937" s="340"/>
      <c r="Q937" s="339"/>
      <c r="R937" s="340"/>
      <c r="S937" s="339"/>
      <c r="T937" s="340"/>
      <c r="U937" s="339"/>
      <c r="V937" s="340"/>
      <c r="W937" s="339"/>
      <c r="X937" s="339"/>
      <c r="Y937" s="339"/>
      <c r="Z937" s="340"/>
      <c r="AA937" s="339"/>
      <c r="AB937" s="339"/>
      <c r="AC937" s="339"/>
      <c r="AD937" s="339"/>
    </row>
    <row r="938" spans="1:30" ht="15.75" customHeight="1">
      <c r="A938" s="339"/>
      <c r="B938" s="339"/>
      <c r="C938" s="339"/>
      <c r="D938" s="339"/>
      <c r="E938" s="339"/>
      <c r="F938" s="339"/>
      <c r="G938" s="339"/>
      <c r="H938" s="339"/>
      <c r="I938" s="339"/>
      <c r="J938" s="339"/>
      <c r="K938" s="339"/>
      <c r="L938" s="340"/>
      <c r="M938" s="339"/>
      <c r="N938" s="340"/>
      <c r="O938" s="339"/>
      <c r="P938" s="340"/>
      <c r="Q938" s="339"/>
      <c r="R938" s="340"/>
      <c r="S938" s="339"/>
      <c r="T938" s="340"/>
      <c r="U938" s="339"/>
      <c r="V938" s="340"/>
      <c r="W938" s="339"/>
      <c r="X938" s="339"/>
      <c r="Y938" s="339"/>
      <c r="Z938" s="340"/>
      <c r="AA938" s="339"/>
      <c r="AB938" s="339"/>
      <c r="AC938" s="339"/>
      <c r="AD938" s="339"/>
    </row>
    <row r="939" spans="1:30" ht="15.75" customHeight="1">
      <c r="A939" s="339"/>
      <c r="B939" s="339"/>
      <c r="C939" s="339"/>
      <c r="D939" s="339"/>
      <c r="E939" s="339"/>
      <c r="F939" s="339"/>
      <c r="G939" s="339"/>
      <c r="H939" s="339"/>
      <c r="I939" s="339"/>
      <c r="J939" s="339"/>
      <c r="K939" s="339"/>
      <c r="L939" s="340"/>
      <c r="M939" s="339"/>
      <c r="N939" s="340"/>
      <c r="O939" s="339"/>
      <c r="P939" s="340"/>
      <c r="Q939" s="339"/>
      <c r="R939" s="340"/>
      <c r="S939" s="339"/>
      <c r="T939" s="340"/>
      <c r="U939" s="339"/>
      <c r="V939" s="340"/>
      <c r="W939" s="339"/>
      <c r="X939" s="339"/>
      <c r="Y939" s="339"/>
      <c r="Z939" s="340"/>
      <c r="AA939" s="339"/>
      <c r="AB939" s="339"/>
      <c r="AC939" s="339"/>
      <c r="AD939" s="339"/>
    </row>
    <row r="940" spans="1:30" ht="15.75" customHeight="1">
      <c r="A940" s="339"/>
      <c r="B940" s="339"/>
      <c r="C940" s="339"/>
      <c r="D940" s="339"/>
      <c r="E940" s="339"/>
      <c r="F940" s="339"/>
      <c r="G940" s="339"/>
      <c r="H940" s="339"/>
      <c r="I940" s="339"/>
      <c r="J940" s="339"/>
      <c r="K940" s="339"/>
      <c r="L940" s="340"/>
      <c r="M940" s="339"/>
      <c r="N940" s="340"/>
      <c r="O940" s="339"/>
      <c r="P940" s="340"/>
      <c r="Q940" s="339"/>
      <c r="R940" s="340"/>
      <c r="S940" s="339"/>
      <c r="T940" s="340"/>
      <c r="U940" s="339"/>
      <c r="V940" s="340"/>
      <c r="W940" s="339"/>
      <c r="X940" s="339"/>
      <c r="Y940" s="339"/>
      <c r="Z940" s="340"/>
      <c r="AA940" s="339"/>
      <c r="AB940" s="339"/>
      <c r="AC940" s="339"/>
      <c r="AD940" s="339"/>
    </row>
    <row r="941" spans="1:30" ht="15.75" customHeight="1">
      <c r="A941" s="339"/>
      <c r="B941" s="339"/>
      <c r="C941" s="339"/>
      <c r="D941" s="339"/>
      <c r="E941" s="339"/>
      <c r="F941" s="339"/>
      <c r="G941" s="339"/>
      <c r="H941" s="339"/>
      <c r="I941" s="339"/>
      <c r="J941" s="339"/>
      <c r="K941" s="339"/>
      <c r="L941" s="340"/>
      <c r="M941" s="339"/>
      <c r="N941" s="340"/>
      <c r="O941" s="339"/>
      <c r="P941" s="340"/>
      <c r="Q941" s="339"/>
      <c r="R941" s="340"/>
      <c r="S941" s="339"/>
      <c r="T941" s="340"/>
      <c r="U941" s="339"/>
      <c r="V941" s="340"/>
      <c r="W941" s="339"/>
      <c r="X941" s="339"/>
      <c r="Y941" s="339"/>
      <c r="Z941" s="340"/>
      <c r="AA941" s="339"/>
      <c r="AB941" s="339"/>
      <c r="AC941" s="339"/>
      <c r="AD941" s="339"/>
    </row>
    <row r="942" spans="1:30" ht="15.75" customHeight="1">
      <c r="A942" s="339"/>
      <c r="B942" s="339"/>
      <c r="C942" s="339"/>
      <c r="D942" s="339"/>
      <c r="E942" s="339"/>
      <c r="F942" s="339"/>
      <c r="G942" s="339"/>
      <c r="H942" s="339"/>
      <c r="I942" s="339"/>
      <c r="J942" s="339"/>
      <c r="K942" s="339"/>
      <c r="L942" s="340"/>
      <c r="M942" s="339"/>
      <c r="N942" s="340"/>
      <c r="O942" s="339"/>
      <c r="P942" s="340"/>
      <c r="Q942" s="339"/>
      <c r="R942" s="340"/>
      <c r="S942" s="339"/>
      <c r="T942" s="340"/>
      <c r="U942" s="339"/>
      <c r="V942" s="340"/>
      <c r="W942" s="339"/>
      <c r="X942" s="339"/>
      <c r="Y942" s="339"/>
      <c r="Z942" s="340"/>
      <c r="AA942" s="339"/>
      <c r="AB942" s="339"/>
      <c r="AC942" s="339"/>
      <c r="AD942" s="339"/>
    </row>
    <row r="943" spans="1:30" ht="15.75" customHeight="1">
      <c r="A943" s="339"/>
      <c r="B943" s="339"/>
      <c r="C943" s="339"/>
      <c r="D943" s="339"/>
      <c r="E943" s="339"/>
      <c r="F943" s="339"/>
      <c r="G943" s="339"/>
      <c r="H943" s="339"/>
      <c r="I943" s="339"/>
      <c r="J943" s="339"/>
      <c r="K943" s="339"/>
      <c r="L943" s="340"/>
      <c r="M943" s="339"/>
      <c r="N943" s="340"/>
      <c r="O943" s="339"/>
      <c r="P943" s="340"/>
      <c r="Q943" s="339"/>
      <c r="R943" s="340"/>
      <c r="S943" s="339"/>
      <c r="T943" s="340"/>
      <c r="U943" s="339"/>
      <c r="V943" s="340"/>
      <c r="W943" s="339"/>
      <c r="X943" s="339"/>
      <c r="Y943" s="339"/>
      <c r="Z943" s="340"/>
      <c r="AA943" s="339"/>
      <c r="AB943" s="339"/>
      <c r="AC943" s="339"/>
      <c r="AD943" s="339"/>
    </row>
    <row r="944" spans="1:30" ht="15.75" customHeight="1">
      <c r="A944" s="339"/>
      <c r="B944" s="339"/>
      <c r="C944" s="339"/>
      <c r="D944" s="339"/>
      <c r="E944" s="339"/>
      <c r="F944" s="339"/>
      <c r="G944" s="339"/>
      <c r="H944" s="339"/>
      <c r="I944" s="339"/>
      <c r="J944" s="339"/>
      <c r="K944" s="339"/>
      <c r="L944" s="340"/>
      <c r="M944" s="339"/>
      <c r="N944" s="340"/>
      <c r="O944" s="339"/>
      <c r="P944" s="340"/>
      <c r="Q944" s="339"/>
      <c r="R944" s="340"/>
      <c r="S944" s="339"/>
      <c r="T944" s="340"/>
      <c r="U944" s="339"/>
      <c r="V944" s="340"/>
      <c r="W944" s="339"/>
      <c r="X944" s="339"/>
      <c r="Y944" s="339"/>
      <c r="Z944" s="340"/>
      <c r="AA944" s="339"/>
      <c r="AB944" s="339"/>
      <c r="AC944" s="339"/>
      <c r="AD944" s="339"/>
    </row>
    <row r="945" spans="1:30" ht="15.75" customHeight="1">
      <c r="A945" s="339"/>
      <c r="B945" s="339"/>
      <c r="C945" s="339"/>
      <c r="D945" s="339"/>
      <c r="E945" s="339"/>
      <c r="F945" s="339"/>
      <c r="G945" s="339"/>
      <c r="H945" s="339"/>
      <c r="I945" s="339"/>
      <c r="J945" s="339"/>
      <c r="K945" s="339"/>
      <c r="L945" s="340"/>
      <c r="M945" s="339"/>
      <c r="N945" s="340"/>
      <c r="O945" s="339"/>
      <c r="P945" s="340"/>
      <c r="Q945" s="339"/>
      <c r="R945" s="340"/>
      <c r="S945" s="339"/>
      <c r="T945" s="340"/>
      <c r="U945" s="339"/>
      <c r="V945" s="340"/>
      <c r="W945" s="339"/>
      <c r="X945" s="339"/>
      <c r="Y945" s="339"/>
      <c r="Z945" s="340"/>
      <c r="AA945" s="339"/>
      <c r="AB945" s="339"/>
      <c r="AC945" s="339"/>
      <c r="AD945" s="339"/>
    </row>
    <row r="946" spans="1:30" ht="15.75" customHeight="1">
      <c r="A946" s="339"/>
      <c r="B946" s="339"/>
      <c r="C946" s="339"/>
      <c r="D946" s="339"/>
      <c r="E946" s="339"/>
      <c r="F946" s="339"/>
      <c r="G946" s="339"/>
      <c r="H946" s="339"/>
      <c r="I946" s="339"/>
      <c r="J946" s="339"/>
      <c r="K946" s="339"/>
      <c r="L946" s="340"/>
      <c r="M946" s="339"/>
      <c r="N946" s="340"/>
      <c r="O946" s="339"/>
      <c r="P946" s="340"/>
      <c r="Q946" s="339"/>
      <c r="R946" s="340"/>
      <c r="S946" s="339"/>
      <c r="T946" s="340"/>
      <c r="U946" s="339"/>
      <c r="V946" s="340"/>
      <c r="W946" s="339"/>
      <c r="X946" s="339"/>
      <c r="Y946" s="339"/>
      <c r="Z946" s="340"/>
      <c r="AA946" s="339"/>
      <c r="AB946" s="339"/>
      <c r="AC946" s="339"/>
      <c r="AD946" s="339"/>
    </row>
    <row r="947" spans="1:30" ht="15.75" customHeight="1">
      <c r="A947" s="339"/>
      <c r="B947" s="339"/>
      <c r="C947" s="339"/>
      <c r="D947" s="339"/>
      <c r="E947" s="339"/>
      <c r="F947" s="339"/>
      <c r="G947" s="339"/>
      <c r="H947" s="339"/>
      <c r="I947" s="339"/>
      <c r="J947" s="339"/>
      <c r="K947" s="339"/>
      <c r="L947" s="340"/>
      <c r="M947" s="339"/>
      <c r="N947" s="340"/>
      <c r="O947" s="339"/>
      <c r="P947" s="340"/>
      <c r="Q947" s="339"/>
      <c r="R947" s="340"/>
      <c r="S947" s="339"/>
      <c r="T947" s="340"/>
      <c r="U947" s="339"/>
      <c r="V947" s="340"/>
      <c r="W947" s="339"/>
      <c r="X947" s="339"/>
      <c r="Y947" s="339"/>
      <c r="Z947" s="340"/>
      <c r="AA947" s="339"/>
      <c r="AB947" s="339"/>
      <c r="AC947" s="339"/>
      <c r="AD947" s="339"/>
    </row>
    <row r="948" spans="1:30" ht="15.75" customHeight="1">
      <c r="A948" s="339"/>
      <c r="B948" s="339"/>
      <c r="C948" s="339"/>
      <c r="D948" s="339"/>
      <c r="E948" s="339"/>
      <c r="F948" s="339"/>
      <c r="G948" s="339"/>
      <c r="H948" s="339"/>
      <c r="I948" s="339"/>
      <c r="J948" s="339"/>
      <c r="K948" s="339"/>
      <c r="L948" s="340"/>
      <c r="M948" s="339"/>
      <c r="N948" s="340"/>
      <c r="O948" s="339"/>
      <c r="P948" s="340"/>
      <c r="Q948" s="339"/>
      <c r="R948" s="340"/>
      <c r="S948" s="339"/>
      <c r="T948" s="340"/>
      <c r="U948" s="339"/>
      <c r="V948" s="340"/>
      <c r="W948" s="339"/>
      <c r="X948" s="339"/>
      <c r="Y948" s="339"/>
      <c r="Z948" s="340"/>
      <c r="AA948" s="339"/>
      <c r="AB948" s="339"/>
      <c r="AC948" s="339"/>
      <c r="AD948" s="339"/>
    </row>
    <row r="949" spans="1:30" ht="15.75" customHeight="1">
      <c r="A949" s="339"/>
      <c r="B949" s="339"/>
      <c r="C949" s="339"/>
      <c r="D949" s="339"/>
      <c r="E949" s="339"/>
      <c r="F949" s="339"/>
      <c r="G949" s="339"/>
      <c r="H949" s="339"/>
      <c r="I949" s="339"/>
      <c r="J949" s="339"/>
      <c r="K949" s="339"/>
      <c r="L949" s="340"/>
      <c r="M949" s="339"/>
      <c r="N949" s="340"/>
      <c r="O949" s="339"/>
      <c r="P949" s="340"/>
      <c r="Q949" s="339"/>
      <c r="R949" s="340"/>
      <c r="S949" s="339"/>
      <c r="T949" s="340"/>
      <c r="U949" s="339"/>
      <c r="V949" s="340"/>
      <c r="W949" s="339"/>
      <c r="X949" s="339"/>
      <c r="Y949" s="339"/>
      <c r="Z949" s="340"/>
      <c r="AA949" s="339"/>
      <c r="AB949" s="339"/>
      <c r="AC949" s="339"/>
      <c r="AD949" s="339"/>
    </row>
    <row r="950" spans="1:30" ht="15.75" customHeight="1">
      <c r="A950" s="339"/>
      <c r="B950" s="339"/>
      <c r="C950" s="339"/>
      <c r="D950" s="339"/>
      <c r="E950" s="339"/>
      <c r="F950" s="339"/>
      <c r="G950" s="339"/>
      <c r="H950" s="339"/>
      <c r="I950" s="339"/>
      <c r="J950" s="339"/>
      <c r="K950" s="339"/>
      <c r="L950" s="340"/>
      <c r="M950" s="339"/>
      <c r="N950" s="340"/>
      <c r="O950" s="339"/>
      <c r="P950" s="340"/>
      <c r="Q950" s="339"/>
      <c r="R950" s="340"/>
      <c r="S950" s="339"/>
      <c r="T950" s="340"/>
      <c r="U950" s="339"/>
      <c r="V950" s="340"/>
      <c r="W950" s="339"/>
      <c r="X950" s="339"/>
      <c r="Y950" s="339"/>
      <c r="Z950" s="340"/>
      <c r="AA950" s="339"/>
      <c r="AB950" s="339"/>
      <c r="AC950" s="339"/>
      <c r="AD950" s="339"/>
    </row>
    <row r="951" spans="1:30" ht="15.75" customHeight="1">
      <c r="A951" s="339"/>
      <c r="B951" s="339"/>
      <c r="C951" s="339"/>
      <c r="D951" s="339"/>
      <c r="E951" s="339"/>
      <c r="F951" s="339"/>
      <c r="G951" s="339"/>
      <c r="H951" s="339"/>
      <c r="I951" s="339"/>
      <c r="J951" s="339"/>
      <c r="K951" s="339"/>
      <c r="L951" s="340"/>
      <c r="M951" s="339"/>
      <c r="N951" s="340"/>
      <c r="O951" s="339"/>
      <c r="P951" s="340"/>
      <c r="Q951" s="339"/>
      <c r="R951" s="340"/>
      <c r="S951" s="339"/>
      <c r="T951" s="340"/>
      <c r="U951" s="339"/>
      <c r="V951" s="340"/>
      <c r="W951" s="339"/>
      <c r="X951" s="339"/>
      <c r="Y951" s="339"/>
      <c r="Z951" s="340"/>
      <c r="AA951" s="339"/>
      <c r="AB951" s="339"/>
      <c r="AC951" s="339"/>
      <c r="AD951" s="339"/>
    </row>
    <row r="952" spans="1:30" ht="15.75" customHeight="1">
      <c r="A952" s="339"/>
      <c r="B952" s="339"/>
      <c r="C952" s="339"/>
      <c r="D952" s="339"/>
      <c r="E952" s="339"/>
      <c r="F952" s="339"/>
      <c r="G952" s="339"/>
      <c r="H952" s="339"/>
      <c r="I952" s="339"/>
      <c r="J952" s="339"/>
      <c r="K952" s="339"/>
      <c r="L952" s="340"/>
      <c r="M952" s="339"/>
      <c r="N952" s="340"/>
      <c r="O952" s="339"/>
      <c r="P952" s="340"/>
      <c r="Q952" s="339"/>
      <c r="R952" s="340"/>
      <c r="S952" s="339"/>
      <c r="T952" s="340"/>
      <c r="U952" s="339"/>
      <c r="V952" s="340"/>
      <c r="W952" s="339"/>
      <c r="X952" s="339"/>
      <c r="Y952" s="339"/>
      <c r="Z952" s="340"/>
      <c r="AA952" s="339"/>
      <c r="AB952" s="339"/>
      <c r="AC952" s="339"/>
      <c r="AD952" s="339"/>
    </row>
    <row r="953" spans="1:30" ht="15.75" customHeight="1">
      <c r="A953" s="339"/>
      <c r="B953" s="339"/>
      <c r="C953" s="339"/>
      <c r="D953" s="339"/>
      <c r="E953" s="339"/>
      <c r="F953" s="339"/>
      <c r="G953" s="339"/>
      <c r="H953" s="339"/>
      <c r="I953" s="339"/>
      <c r="J953" s="339"/>
      <c r="K953" s="339"/>
      <c r="L953" s="340"/>
      <c r="M953" s="339"/>
      <c r="N953" s="340"/>
      <c r="O953" s="339"/>
      <c r="P953" s="340"/>
      <c r="Q953" s="339"/>
      <c r="R953" s="340"/>
      <c r="S953" s="339"/>
      <c r="T953" s="340"/>
      <c r="U953" s="339"/>
      <c r="V953" s="340"/>
      <c r="W953" s="339"/>
      <c r="X953" s="339"/>
      <c r="Y953" s="339"/>
      <c r="Z953" s="340"/>
      <c r="AA953" s="339"/>
      <c r="AB953" s="339"/>
      <c r="AC953" s="339"/>
      <c r="AD953" s="339"/>
    </row>
    <row r="954" spans="1:30" ht="15.75" customHeight="1">
      <c r="A954" s="339"/>
      <c r="B954" s="339"/>
      <c r="C954" s="339"/>
      <c r="D954" s="339"/>
      <c r="E954" s="339"/>
      <c r="F954" s="339"/>
      <c r="G954" s="339"/>
      <c r="H954" s="339"/>
      <c r="I954" s="339"/>
      <c r="J954" s="339"/>
      <c r="K954" s="339"/>
      <c r="L954" s="340"/>
      <c r="M954" s="339"/>
      <c r="N954" s="340"/>
      <c r="O954" s="339"/>
      <c r="P954" s="340"/>
      <c r="Q954" s="339"/>
      <c r="R954" s="340"/>
      <c r="S954" s="339"/>
      <c r="T954" s="340"/>
      <c r="U954" s="339"/>
      <c r="V954" s="340"/>
      <c r="W954" s="339"/>
      <c r="X954" s="339"/>
      <c r="Y954" s="339"/>
      <c r="Z954" s="340"/>
      <c r="AA954" s="339"/>
      <c r="AB954" s="339"/>
      <c r="AC954" s="339"/>
      <c r="AD954" s="339"/>
    </row>
    <row r="955" spans="1:30" ht="15.75" customHeight="1">
      <c r="A955" s="339"/>
      <c r="B955" s="339"/>
      <c r="C955" s="339"/>
      <c r="D955" s="339"/>
      <c r="E955" s="339"/>
      <c r="F955" s="339"/>
      <c r="G955" s="339"/>
      <c r="H955" s="339"/>
      <c r="I955" s="339"/>
      <c r="J955" s="339"/>
      <c r="K955" s="339"/>
      <c r="L955" s="340"/>
      <c r="M955" s="339"/>
      <c r="N955" s="340"/>
      <c r="O955" s="339"/>
      <c r="P955" s="340"/>
      <c r="Q955" s="339"/>
      <c r="R955" s="340"/>
      <c r="S955" s="339"/>
      <c r="T955" s="340"/>
      <c r="U955" s="339"/>
      <c r="V955" s="340"/>
      <c r="W955" s="339"/>
      <c r="X955" s="339"/>
      <c r="Y955" s="339"/>
      <c r="Z955" s="340"/>
      <c r="AA955" s="339"/>
      <c r="AB955" s="339"/>
      <c r="AC955" s="339"/>
      <c r="AD955" s="339"/>
    </row>
    <row r="956" spans="1:30" ht="15.75" customHeight="1">
      <c r="A956" s="339"/>
      <c r="B956" s="339"/>
      <c r="C956" s="339"/>
      <c r="D956" s="339"/>
      <c r="E956" s="339"/>
      <c r="F956" s="339"/>
      <c r="G956" s="339"/>
      <c r="H956" s="339"/>
      <c r="I956" s="339"/>
      <c r="J956" s="339"/>
      <c r="K956" s="339"/>
      <c r="L956" s="340"/>
      <c r="M956" s="339"/>
      <c r="N956" s="340"/>
      <c r="O956" s="339"/>
      <c r="P956" s="340"/>
      <c r="Q956" s="339"/>
      <c r="R956" s="340"/>
      <c r="S956" s="339"/>
      <c r="T956" s="340"/>
      <c r="U956" s="339"/>
      <c r="V956" s="340"/>
      <c r="W956" s="339"/>
      <c r="X956" s="339"/>
      <c r="Y956" s="339"/>
      <c r="Z956" s="340"/>
      <c r="AA956" s="339"/>
      <c r="AB956" s="339"/>
      <c r="AC956" s="339"/>
      <c r="AD956" s="339"/>
    </row>
    <row r="957" spans="1:30" ht="15.75" customHeight="1">
      <c r="A957" s="339"/>
      <c r="B957" s="339"/>
      <c r="C957" s="339"/>
      <c r="D957" s="339"/>
      <c r="E957" s="339"/>
      <c r="F957" s="339"/>
      <c r="G957" s="339"/>
      <c r="H957" s="339"/>
      <c r="I957" s="339"/>
      <c r="J957" s="339"/>
      <c r="K957" s="339"/>
      <c r="L957" s="340"/>
      <c r="M957" s="339"/>
      <c r="N957" s="340"/>
      <c r="O957" s="339"/>
      <c r="P957" s="340"/>
      <c r="Q957" s="339"/>
      <c r="R957" s="340"/>
      <c r="S957" s="339"/>
      <c r="T957" s="340"/>
      <c r="U957" s="339"/>
      <c r="V957" s="340"/>
      <c r="W957" s="339"/>
      <c r="X957" s="339"/>
      <c r="Y957" s="339"/>
      <c r="Z957" s="340"/>
      <c r="AA957" s="339"/>
      <c r="AB957" s="339"/>
      <c r="AC957" s="339"/>
      <c r="AD957" s="339"/>
    </row>
    <row r="958" spans="1:30" ht="15.75" customHeight="1">
      <c r="A958" s="339"/>
      <c r="B958" s="339"/>
      <c r="C958" s="339"/>
      <c r="D958" s="339"/>
      <c r="E958" s="339"/>
      <c r="F958" s="339"/>
      <c r="G958" s="339"/>
      <c r="H958" s="339"/>
      <c r="I958" s="339"/>
      <c r="J958" s="339"/>
      <c r="K958" s="339"/>
      <c r="L958" s="340"/>
      <c r="M958" s="339"/>
      <c r="N958" s="340"/>
      <c r="O958" s="339"/>
      <c r="P958" s="340"/>
      <c r="Q958" s="339"/>
      <c r="R958" s="340"/>
      <c r="S958" s="339"/>
      <c r="T958" s="340"/>
      <c r="U958" s="339"/>
      <c r="V958" s="340"/>
      <c r="W958" s="339"/>
      <c r="X958" s="339"/>
      <c r="Y958" s="339"/>
      <c r="Z958" s="340"/>
      <c r="AA958" s="339"/>
      <c r="AB958" s="339"/>
      <c r="AC958" s="339"/>
      <c r="AD958" s="339"/>
    </row>
    <row r="959" spans="1:30" ht="15.75" customHeight="1">
      <c r="A959" s="339"/>
      <c r="B959" s="339"/>
      <c r="C959" s="339"/>
      <c r="D959" s="339"/>
      <c r="E959" s="339"/>
      <c r="F959" s="339"/>
      <c r="G959" s="339"/>
      <c r="H959" s="339"/>
      <c r="I959" s="339"/>
      <c r="J959" s="339"/>
      <c r="K959" s="339"/>
      <c r="L959" s="340"/>
      <c r="M959" s="339"/>
      <c r="N959" s="340"/>
      <c r="O959" s="339"/>
      <c r="P959" s="340"/>
      <c r="Q959" s="339"/>
      <c r="R959" s="340"/>
      <c r="S959" s="339"/>
      <c r="T959" s="340"/>
      <c r="U959" s="339"/>
      <c r="V959" s="340"/>
      <c r="W959" s="339"/>
      <c r="X959" s="339"/>
      <c r="Y959" s="339"/>
      <c r="Z959" s="340"/>
      <c r="AA959" s="339"/>
      <c r="AB959" s="339"/>
      <c r="AC959" s="339"/>
      <c r="AD959" s="339"/>
    </row>
    <row r="960" spans="1:30" ht="15.75" customHeight="1">
      <c r="A960" s="339"/>
      <c r="B960" s="339"/>
      <c r="C960" s="339"/>
      <c r="D960" s="339"/>
      <c r="E960" s="339"/>
      <c r="F960" s="339"/>
      <c r="G960" s="339"/>
      <c r="H960" s="339"/>
      <c r="I960" s="339"/>
      <c r="J960" s="339"/>
      <c r="K960" s="339"/>
      <c r="L960" s="340"/>
      <c r="M960" s="339"/>
      <c r="N960" s="340"/>
      <c r="O960" s="339"/>
      <c r="P960" s="340"/>
      <c r="Q960" s="339"/>
      <c r="R960" s="340"/>
      <c r="S960" s="339"/>
      <c r="T960" s="340"/>
      <c r="U960" s="339"/>
      <c r="V960" s="340"/>
      <c r="W960" s="339"/>
      <c r="X960" s="339"/>
      <c r="Y960" s="339"/>
      <c r="Z960" s="340"/>
      <c r="AA960" s="339"/>
      <c r="AB960" s="339"/>
      <c r="AC960" s="339"/>
      <c r="AD960" s="339"/>
    </row>
    <row r="961" spans="1:30" ht="15.75" customHeight="1">
      <c r="A961" s="339"/>
      <c r="B961" s="339"/>
      <c r="C961" s="339"/>
      <c r="D961" s="339"/>
      <c r="E961" s="339"/>
      <c r="F961" s="339"/>
      <c r="G961" s="339"/>
      <c r="H961" s="339"/>
      <c r="I961" s="339"/>
      <c r="J961" s="339"/>
      <c r="K961" s="339"/>
      <c r="L961" s="340"/>
      <c r="M961" s="339"/>
      <c r="N961" s="340"/>
      <c r="O961" s="339"/>
      <c r="P961" s="340"/>
      <c r="Q961" s="339"/>
      <c r="R961" s="340"/>
      <c r="S961" s="339"/>
      <c r="T961" s="340"/>
      <c r="U961" s="339"/>
      <c r="V961" s="340"/>
      <c r="W961" s="339"/>
      <c r="X961" s="339"/>
      <c r="Y961" s="339"/>
      <c r="Z961" s="340"/>
      <c r="AA961" s="339"/>
      <c r="AB961" s="339"/>
      <c r="AC961" s="339"/>
      <c r="AD961" s="339"/>
    </row>
    <row r="962" spans="1:30" ht="15.75" customHeight="1">
      <c r="A962" s="339"/>
      <c r="B962" s="339"/>
      <c r="C962" s="339"/>
      <c r="D962" s="339"/>
      <c r="E962" s="339"/>
      <c r="F962" s="339"/>
      <c r="G962" s="339"/>
      <c r="H962" s="339"/>
      <c r="I962" s="339"/>
      <c r="J962" s="339"/>
      <c r="K962" s="339"/>
      <c r="L962" s="340"/>
      <c r="M962" s="339"/>
      <c r="N962" s="340"/>
      <c r="O962" s="339"/>
      <c r="P962" s="340"/>
      <c r="Q962" s="339"/>
      <c r="R962" s="340"/>
      <c r="S962" s="339"/>
      <c r="T962" s="340"/>
      <c r="U962" s="339"/>
      <c r="V962" s="340"/>
      <c r="W962" s="339"/>
      <c r="X962" s="339"/>
      <c r="Y962" s="339"/>
      <c r="Z962" s="340"/>
      <c r="AA962" s="339"/>
      <c r="AB962" s="339"/>
      <c r="AC962" s="339"/>
      <c r="AD962" s="339"/>
    </row>
    <row r="963" spans="1:30" ht="15.75" customHeight="1">
      <c r="A963" s="339"/>
      <c r="B963" s="339"/>
      <c r="C963" s="339"/>
      <c r="D963" s="339"/>
      <c r="E963" s="339"/>
      <c r="F963" s="339"/>
      <c r="G963" s="339"/>
      <c r="H963" s="339"/>
      <c r="I963" s="339"/>
      <c r="J963" s="339"/>
      <c r="K963" s="339"/>
      <c r="L963" s="340"/>
      <c r="M963" s="339"/>
      <c r="N963" s="340"/>
      <c r="O963" s="339"/>
      <c r="P963" s="340"/>
      <c r="Q963" s="339"/>
      <c r="R963" s="340"/>
      <c r="S963" s="339"/>
      <c r="T963" s="340"/>
      <c r="U963" s="339"/>
      <c r="V963" s="340"/>
      <c r="W963" s="339"/>
      <c r="X963" s="339"/>
      <c r="Y963" s="339"/>
      <c r="Z963" s="340"/>
      <c r="AA963" s="339"/>
      <c r="AB963" s="339"/>
      <c r="AC963" s="339"/>
      <c r="AD963" s="339"/>
    </row>
    <row r="964" spans="1:30" ht="15.75" customHeight="1">
      <c r="A964" s="339"/>
      <c r="B964" s="339"/>
      <c r="C964" s="339"/>
      <c r="D964" s="339"/>
      <c r="E964" s="339"/>
      <c r="F964" s="339"/>
      <c r="G964" s="339"/>
      <c r="H964" s="339"/>
      <c r="I964" s="339"/>
      <c r="J964" s="339"/>
      <c r="K964" s="339"/>
      <c r="L964" s="340"/>
      <c r="M964" s="339"/>
      <c r="N964" s="340"/>
      <c r="O964" s="339"/>
      <c r="P964" s="340"/>
      <c r="Q964" s="339"/>
      <c r="R964" s="340"/>
      <c r="S964" s="339"/>
      <c r="T964" s="340"/>
      <c r="U964" s="339"/>
      <c r="V964" s="340"/>
      <c r="W964" s="339"/>
      <c r="X964" s="339"/>
      <c r="Y964" s="339"/>
      <c r="Z964" s="340"/>
      <c r="AA964" s="339"/>
      <c r="AB964" s="339"/>
      <c r="AC964" s="339"/>
      <c r="AD964" s="339"/>
    </row>
    <row r="965" spans="1:30" ht="15.75" customHeight="1">
      <c r="A965" s="339"/>
      <c r="B965" s="339"/>
      <c r="C965" s="339"/>
      <c r="D965" s="339"/>
      <c r="E965" s="339"/>
      <c r="F965" s="339"/>
      <c r="G965" s="339"/>
      <c r="H965" s="339"/>
      <c r="I965" s="339"/>
      <c r="J965" s="339"/>
      <c r="K965" s="339"/>
      <c r="L965" s="340"/>
      <c r="M965" s="339"/>
      <c r="N965" s="340"/>
      <c r="O965" s="339"/>
      <c r="P965" s="340"/>
      <c r="Q965" s="339"/>
      <c r="R965" s="340"/>
      <c r="S965" s="339"/>
      <c r="T965" s="340"/>
      <c r="U965" s="339"/>
      <c r="V965" s="340"/>
      <c r="W965" s="339"/>
      <c r="X965" s="339"/>
      <c r="Y965" s="339"/>
      <c r="Z965" s="340"/>
      <c r="AA965" s="339"/>
      <c r="AB965" s="339"/>
      <c r="AC965" s="339"/>
      <c r="AD965" s="339"/>
    </row>
    <row r="966" spans="1:30" ht="15.75" customHeight="1">
      <c r="A966" s="339"/>
      <c r="B966" s="339"/>
      <c r="C966" s="339"/>
      <c r="D966" s="339"/>
      <c r="E966" s="339"/>
      <c r="F966" s="339"/>
      <c r="G966" s="339"/>
      <c r="H966" s="339"/>
      <c r="I966" s="339"/>
      <c r="J966" s="339"/>
      <c r="K966" s="339"/>
      <c r="L966" s="340"/>
      <c r="M966" s="339"/>
      <c r="N966" s="340"/>
      <c r="O966" s="339"/>
      <c r="P966" s="340"/>
      <c r="Q966" s="339"/>
      <c r="R966" s="340"/>
      <c r="S966" s="339"/>
      <c r="T966" s="340"/>
      <c r="U966" s="339"/>
      <c r="V966" s="340"/>
      <c r="W966" s="339"/>
      <c r="X966" s="339"/>
      <c r="Y966" s="339"/>
      <c r="Z966" s="340"/>
      <c r="AA966" s="339"/>
      <c r="AB966" s="339"/>
      <c r="AC966" s="339"/>
      <c r="AD966" s="339"/>
    </row>
    <row r="967" spans="1:30" ht="15.75" customHeight="1">
      <c r="A967" s="339"/>
      <c r="B967" s="339"/>
      <c r="C967" s="339"/>
      <c r="D967" s="339"/>
      <c r="E967" s="339"/>
      <c r="F967" s="339"/>
      <c r="G967" s="339"/>
      <c r="H967" s="339"/>
      <c r="I967" s="339"/>
      <c r="J967" s="339"/>
      <c r="K967" s="339"/>
      <c r="L967" s="340"/>
      <c r="M967" s="339"/>
      <c r="N967" s="340"/>
      <c r="O967" s="339"/>
      <c r="P967" s="340"/>
      <c r="Q967" s="339"/>
      <c r="R967" s="340"/>
      <c r="S967" s="339"/>
      <c r="T967" s="340"/>
      <c r="U967" s="339"/>
      <c r="V967" s="340"/>
      <c r="W967" s="339"/>
      <c r="X967" s="339"/>
      <c r="Y967" s="339"/>
      <c r="Z967" s="340"/>
      <c r="AA967" s="339"/>
      <c r="AB967" s="339"/>
      <c r="AC967" s="339"/>
      <c r="AD967" s="339"/>
    </row>
    <row r="968" spans="1:30" ht="15.75" customHeight="1">
      <c r="A968" s="339"/>
      <c r="B968" s="339"/>
      <c r="C968" s="339"/>
      <c r="D968" s="339"/>
      <c r="E968" s="339"/>
      <c r="F968" s="339"/>
      <c r="G968" s="339"/>
      <c r="H968" s="339"/>
      <c r="I968" s="339"/>
      <c r="J968" s="339"/>
      <c r="K968" s="339"/>
      <c r="L968" s="340"/>
      <c r="M968" s="339"/>
      <c r="N968" s="340"/>
      <c r="O968" s="339"/>
      <c r="P968" s="340"/>
      <c r="Q968" s="339"/>
      <c r="R968" s="340"/>
      <c r="S968" s="339"/>
      <c r="T968" s="340"/>
      <c r="U968" s="339"/>
      <c r="V968" s="340"/>
      <c r="W968" s="339"/>
      <c r="X968" s="339"/>
      <c r="Y968" s="339"/>
      <c r="Z968" s="340"/>
      <c r="AA968" s="339"/>
      <c r="AB968" s="339"/>
      <c r="AC968" s="339"/>
      <c r="AD968" s="339"/>
    </row>
    <row r="969" spans="1:30" ht="15.75" customHeight="1">
      <c r="A969" s="339"/>
      <c r="B969" s="339"/>
      <c r="C969" s="339"/>
      <c r="D969" s="339"/>
      <c r="E969" s="339"/>
      <c r="F969" s="339"/>
      <c r="G969" s="339"/>
      <c r="H969" s="339"/>
      <c r="I969" s="339"/>
      <c r="J969" s="339"/>
      <c r="K969" s="339"/>
      <c r="L969" s="340"/>
      <c r="M969" s="339"/>
      <c r="N969" s="340"/>
      <c r="O969" s="339"/>
      <c r="P969" s="340"/>
      <c r="Q969" s="339"/>
      <c r="R969" s="340"/>
      <c r="S969" s="339"/>
      <c r="T969" s="340"/>
      <c r="U969" s="339"/>
      <c r="V969" s="340"/>
      <c r="W969" s="339"/>
      <c r="X969" s="339"/>
      <c r="Y969" s="339"/>
      <c r="Z969" s="340"/>
      <c r="AA969" s="339"/>
      <c r="AB969" s="339"/>
      <c r="AC969" s="339"/>
      <c r="AD969" s="339"/>
    </row>
    <row r="970" spans="1:30" ht="15.75" customHeight="1">
      <c r="A970" s="339"/>
      <c r="B970" s="339"/>
      <c r="C970" s="339"/>
      <c r="D970" s="339"/>
      <c r="E970" s="339"/>
      <c r="F970" s="339"/>
      <c r="G970" s="339"/>
      <c r="H970" s="339"/>
      <c r="I970" s="339"/>
      <c r="J970" s="339"/>
      <c r="K970" s="339"/>
      <c r="L970" s="340"/>
      <c r="M970" s="339"/>
      <c r="N970" s="340"/>
      <c r="O970" s="339"/>
      <c r="P970" s="340"/>
      <c r="Q970" s="339"/>
      <c r="R970" s="340"/>
      <c r="S970" s="339"/>
      <c r="T970" s="340"/>
      <c r="U970" s="339"/>
      <c r="V970" s="340"/>
      <c r="W970" s="339"/>
      <c r="X970" s="339"/>
      <c r="Y970" s="339"/>
      <c r="Z970" s="340"/>
      <c r="AA970" s="339"/>
      <c r="AB970" s="339"/>
      <c r="AC970" s="339"/>
      <c r="AD970" s="339"/>
    </row>
    <row r="971" spans="1:30" ht="15.75" customHeight="1">
      <c r="A971" s="339"/>
      <c r="B971" s="339"/>
      <c r="C971" s="339"/>
      <c r="D971" s="339"/>
      <c r="E971" s="339"/>
      <c r="F971" s="339"/>
      <c r="G971" s="339"/>
      <c r="H971" s="339"/>
      <c r="I971" s="339"/>
      <c r="J971" s="339"/>
      <c r="K971" s="339"/>
      <c r="L971" s="340"/>
      <c r="M971" s="339"/>
      <c r="N971" s="340"/>
      <c r="O971" s="339"/>
      <c r="P971" s="340"/>
      <c r="Q971" s="339"/>
      <c r="R971" s="340"/>
      <c r="S971" s="339"/>
      <c r="T971" s="340"/>
      <c r="U971" s="339"/>
      <c r="V971" s="340"/>
      <c r="W971" s="339"/>
      <c r="X971" s="339"/>
      <c r="Y971" s="339"/>
      <c r="Z971" s="340"/>
      <c r="AA971" s="339"/>
      <c r="AB971" s="339"/>
      <c r="AC971" s="339"/>
      <c r="AD971" s="339"/>
    </row>
    <row r="972" spans="1:30" ht="15.75" customHeight="1">
      <c r="A972" s="339"/>
      <c r="B972" s="339"/>
      <c r="C972" s="339"/>
      <c r="D972" s="339"/>
      <c r="E972" s="339"/>
      <c r="F972" s="339"/>
      <c r="G972" s="339"/>
      <c r="H972" s="339"/>
      <c r="I972" s="339"/>
      <c r="J972" s="339"/>
      <c r="K972" s="339"/>
      <c r="L972" s="340"/>
      <c r="M972" s="339"/>
      <c r="N972" s="340"/>
      <c r="O972" s="339"/>
      <c r="P972" s="340"/>
      <c r="Q972" s="339"/>
      <c r="R972" s="340"/>
      <c r="S972" s="339"/>
      <c r="T972" s="340"/>
      <c r="U972" s="339"/>
      <c r="V972" s="340"/>
      <c r="W972" s="339"/>
      <c r="X972" s="339"/>
      <c r="Y972" s="339"/>
      <c r="Z972" s="340"/>
      <c r="AA972" s="339"/>
      <c r="AB972" s="339"/>
      <c r="AC972" s="339"/>
      <c r="AD972" s="339"/>
    </row>
    <row r="973" spans="1:30" ht="15.75" customHeight="1">
      <c r="A973" s="339"/>
      <c r="B973" s="339"/>
      <c r="C973" s="339"/>
      <c r="D973" s="339"/>
      <c r="E973" s="339"/>
      <c r="F973" s="339"/>
      <c r="G973" s="339"/>
      <c r="H973" s="339"/>
      <c r="I973" s="339"/>
      <c r="J973" s="339"/>
      <c r="K973" s="339"/>
      <c r="L973" s="340"/>
      <c r="M973" s="339"/>
      <c r="N973" s="340"/>
      <c r="O973" s="339"/>
      <c r="P973" s="340"/>
      <c r="Q973" s="339"/>
      <c r="R973" s="340"/>
      <c r="S973" s="339"/>
      <c r="T973" s="340"/>
      <c r="U973" s="339"/>
      <c r="V973" s="340"/>
      <c r="W973" s="339"/>
      <c r="X973" s="339"/>
      <c r="Y973" s="339"/>
      <c r="Z973" s="340"/>
      <c r="AA973" s="339"/>
      <c r="AB973" s="339"/>
      <c r="AC973" s="339"/>
      <c r="AD973" s="339"/>
    </row>
    <row r="974" spans="1:30" ht="15.75" customHeight="1">
      <c r="A974" s="339"/>
      <c r="B974" s="339"/>
      <c r="C974" s="339"/>
      <c r="D974" s="339"/>
      <c r="E974" s="339"/>
      <c r="F974" s="339"/>
      <c r="G974" s="339"/>
      <c r="H974" s="339"/>
      <c r="I974" s="339"/>
      <c r="J974" s="339"/>
      <c r="K974" s="339"/>
      <c r="L974" s="340"/>
      <c r="M974" s="339"/>
      <c r="N974" s="340"/>
      <c r="O974" s="339"/>
      <c r="P974" s="340"/>
      <c r="Q974" s="339"/>
      <c r="R974" s="340"/>
      <c r="S974" s="339"/>
      <c r="T974" s="340"/>
      <c r="U974" s="339"/>
      <c r="V974" s="340"/>
      <c r="W974" s="339"/>
      <c r="X974" s="339"/>
      <c r="Y974" s="339"/>
      <c r="Z974" s="340"/>
      <c r="AA974" s="339"/>
      <c r="AB974" s="339"/>
      <c r="AC974" s="339"/>
      <c r="AD974" s="339"/>
    </row>
    <row r="975" spans="1:30" ht="15.75" customHeight="1">
      <c r="A975" s="339"/>
      <c r="B975" s="339"/>
      <c r="C975" s="339"/>
      <c r="D975" s="339"/>
      <c r="E975" s="339"/>
      <c r="F975" s="339"/>
      <c r="G975" s="339"/>
      <c r="H975" s="339"/>
      <c r="I975" s="339"/>
      <c r="J975" s="339"/>
      <c r="K975" s="339"/>
      <c r="L975" s="340"/>
      <c r="M975" s="339"/>
      <c r="N975" s="340"/>
      <c r="O975" s="339"/>
      <c r="P975" s="340"/>
      <c r="Q975" s="339"/>
      <c r="R975" s="340"/>
      <c r="S975" s="339"/>
      <c r="T975" s="340"/>
      <c r="U975" s="339"/>
      <c r="V975" s="340"/>
      <c r="W975" s="339"/>
      <c r="X975" s="339"/>
      <c r="Y975" s="339"/>
      <c r="Z975" s="340"/>
      <c r="AA975" s="339"/>
      <c r="AB975" s="339"/>
      <c r="AC975" s="339"/>
      <c r="AD975" s="339"/>
    </row>
    <row r="976" spans="1:30" ht="15.75" customHeight="1">
      <c r="A976" s="339"/>
      <c r="B976" s="339"/>
      <c r="C976" s="339"/>
      <c r="D976" s="339"/>
      <c r="E976" s="339"/>
      <c r="F976" s="339"/>
      <c r="G976" s="339"/>
      <c r="H976" s="339"/>
      <c r="I976" s="339"/>
      <c r="J976" s="339"/>
      <c r="K976" s="339"/>
      <c r="L976" s="340"/>
      <c r="M976" s="339"/>
      <c r="N976" s="340"/>
      <c r="O976" s="339"/>
      <c r="P976" s="340"/>
      <c r="Q976" s="339"/>
      <c r="R976" s="340"/>
      <c r="S976" s="339"/>
      <c r="T976" s="340"/>
      <c r="U976" s="339"/>
      <c r="V976" s="340"/>
      <c r="W976" s="339"/>
      <c r="X976" s="339"/>
      <c r="Y976" s="339"/>
      <c r="Z976" s="340"/>
      <c r="AA976" s="339"/>
      <c r="AB976" s="339"/>
      <c r="AC976" s="339"/>
      <c r="AD976" s="339"/>
    </row>
    <row r="977" spans="1:30" ht="15.75" customHeight="1">
      <c r="A977" s="339"/>
      <c r="B977" s="339"/>
      <c r="C977" s="339"/>
      <c r="D977" s="339"/>
      <c r="E977" s="339"/>
      <c r="F977" s="339"/>
      <c r="G977" s="339"/>
      <c r="H977" s="339"/>
      <c r="I977" s="339"/>
      <c r="J977" s="339"/>
      <c r="K977" s="339"/>
      <c r="L977" s="340"/>
      <c r="M977" s="339"/>
      <c r="N977" s="340"/>
      <c r="O977" s="339"/>
      <c r="P977" s="340"/>
      <c r="Q977" s="339"/>
      <c r="R977" s="340"/>
      <c r="S977" s="339"/>
      <c r="T977" s="340"/>
      <c r="U977" s="339"/>
      <c r="V977" s="340"/>
      <c r="W977" s="339"/>
      <c r="X977" s="339"/>
      <c r="Y977" s="339"/>
      <c r="Z977" s="340"/>
      <c r="AA977" s="339"/>
      <c r="AB977" s="339"/>
      <c r="AC977" s="339"/>
      <c r="AD977" s="339"/>
    </row>
    <row r="978" spans="1:30" ht="15.75" customHeight="1">
      <c r="A978" s="339"/>
      <c r="B978" s="339"/>
      <c r="C978" s="339"/>
      <c r="D978" s="339"/>
      <c r="E978" s="339"/>
      <c r="F978" s="339"/>
      <c r="G978" s="339"/>
      <c r="H978" s="339"/>
      <c r="I978" s="339"/>
      <c r="J978" s="339"/>
      <c r="K978" s="339"/>
      <c r="L978" s="340"/>
      <c r="M978" s="339"/>
      <c r="N978" s="340"/>
      <c r="O978" s="339"/>
      <c r="P978" s="340"/>
      <c r="Q978" s="339"/>
      <c r="R978" s="340"/>
      <c r="S978" s="339"/>
      <c r="T978" s="340"/>
      <c r="U978" s="339"/>
      <c r="V978" s="340"/>
      <c r="W978" s="339"/>
      <c r="X978" s="339"/>
      <c r="Y978" s="339"/>
      <c r="Z978" s="340"/>
      <c r="AA978" s="339"/>
      <c r="AB978" s="339"/>
      <c r="AC978" s="339"/>
      <c r="AD978" s="339"/>
    </row>
    <row r="979" spans="1:30" ht="15.75" customHeight="1">
      <c r="A979" s="339"/>
      <c r="B979" s="339"/>
      <c r="C979" s="339"/>
      <c r="D979" s="339"/>
      <c r="E979" s="339"/>
      <c r="F979" s="339"/>
      <c r="G979" s="339"/>
      <c r="H979" s="339"/>
      <c r="I979" s="339"/>
      <c r="J979" s="339"/>
      <c r="K979" s="339"/>
      <c r="L979" s="340"/>
      <c r="M979" s="339"/>
      <c r="N979" s="340"/>
      <c r="O979" s="339"/>
      <c r="P979" s="340"/>
      <c r="Q979" s="339"/>
      <c r="R979" s="340"/>
      <c r="S979" s="339"/>
      <c r="T979" s="340"/>
      <c r="U979" s="339"/>
      <c r="V979" s="340"/>
      <c r="W979" s="339"/>
      <c r="X979" s="339"/>
      <c r="Y979" s="339"/>
      <c r="Z979" s="340"/>
      <c r="AA979" s="339"/>
      <c r="AB979" s="339"/>
      <c r="AC979" s="339"/>
      <c r="AD979" s="339"/>
    </row>
    <row r="980" spans="1:30" ht="15.75" customHeight="1">
      <c r="A980" s="339"/>
      <c r="B980" s="339"/>
      <c r="C980" s="339"/>
      <c r="D980" s="339"/>
      <c r="E980" s="339"/>
      <c r="F980" s="339"/>
      <c r="G980" s="339"/>
      <c r="H980" s="339"/>
      <c r="I980" s="339"/>
      <c r="J980" s="339"/>
      <c r="K980" s="339"/>
      <c r="L980" s="340"/>
      <c r="M980" s="339"/>
      <c r="N980" s="340"/>
      <c r="O980" s="339"/>
      <c r="P980" s="340"/>
      <c r="Q980" s="339"/>
      <c r="R980" s="340"/>
      <c r="S980" s="339"/>
      <c r="T980" s="340"/>
      <c r="U980" s="339"/>
      <c r="V980" s="340"/>
      <c r="W980" s="339"/>
      <c r="X980" s="339"/>
      <c r="Y980" s="339"/>
      <c r="Z980" s="340"/>
      <c r="AA980" s="339"/>
      <c r="AB980" s="339"/>
      <c r="AC980" s="339"/>
      <c r="AD980" s="339"/>
    </row>
    <row r="981" spans="1:30" ht="15.75" customHeight="1">
      <c r="A981" s="339"/>
      <c r="B981" s="339"/>
      <c r="C981" s="339"/>
      <c r="D981" s="339"/>
      <c r="E981" s="339"/>
      <c r="F981" s="339"/>
      <c r="G981" s="339"/>
      <c r="H981" s="339"/>
      <c r="I981" s="339"/>
      <c r="J981" s="339"/>
      <c r="K981" s="339"/>
      <c r="L981" s="340"/>
      <c r="M981" s="339"/>
      <c r="N981" s="340"/>
      <c r="O981" s="339"/>
      <c r="P981" s="340"/>
      <c r="Q981" s="339"/>
      <c r="R981" s="340"/>
      <c r="S981" s="339"/>
      <c r="T981" s="340"/>
      <c r="U981" s="339"/>
      <c r="V981" s="340"/>
      <c r="W981" s="339"/>
      <c r="X981" s="339"/>
      <c r="Y981" s="339"/>
      <c r="Z981" s="340"/>
      <c r="AA981" s="339"/>
      <c r="AB981" s="339"/>
      <c r="AC981" s="339"/>
      <c r="AD981" s="339"/>
    </row>
    <row r="982" spans="1:30" ht="15.75" customHeight="1">
      <c r="A982" s="339"/>
      <c r="B982" s="339"/>
      <c r="C982" s="339"/>
      <c r="D982" s="339"/>
      <c r="E982" s="339"/>
      <c r="F982" s="339"/>
      <c r="G982" s="339"/>
      <c r="H982" s="339"/>
      <c r="I982" s="339"/>
      <c r="J982" s="339"/>
      <c r="K982" s="339"/>
      <c r="L982" s="340"/>
      <c r="M982" s="339"/>
      <c r="N982" s="340"/>
      <c r="O982" s="339"/>
      <c r="P982" s="340"/>
      <c r="Q982" s="339"/>
      <c r="R982" s="340"/>
      <c r="S982" s="339"/>
      <c r="T982" s="340"/>
      <c r="U982" s="339"/>
      <c r="V982" s="340"/>
      <c r="W982" s="339"/>
      <c r="X982" s="339"/>
      <c r="Y982" s="339"/>
      <c r="Z982" s="340"/>
      <c r="AA982" s="339"/>
      <c r="AB982" s="339"/>
      <c r="AC982" s="339"/>
      <c r="AD982" s="339"/>
    </row>
    <row r="983" spans="1:30" ht="15.75" customHeight="1">
      <c r="A983" s="339"/>
      <c r="B983" s="339"/>
      <c r="C983" s="339"/>
      <c r="D983" s="339"/>
      <c r="E983" s="339"/>
      <c r="F983" s="339"/>
      <c r="G983" s="339"/>
      <c r="H983" s="339"/>
      <c r="I983" s="339"/>
      <c r="J983" s="339"/>
      <c r="K983" s="339"/>
      <c r="L983" s="340"/>
      <c r="M983" s="339"/>
      <c r="N983" s="340"/>
      <c r="O983" s="339"/>
      <c r="P983" s="340"/>
      <c r="Q983" s="339"/>
      <c r="R983" s="340"/>
      <c r="S983" s="339"/>
      <c r="T983" s="340"/>
      <c r="U983" s="339"/>
      <c r="V983" s="340"/>
      <c r="W983" s="339"/>
      <c r="X983" s="339"/>
      <c r="Y983" s="339"/>
      <c r="Z983" s="340"/>
      <c r="AA983" s="339"/>
      <c r="AB983" s="339"/>
      <c r="AC983" s="339"/>
      <c r="AD983" s="339"/>
    </row>
    <row r="984" spans="1:30" ht="15.75" customHeight="1">
      <c r="A984" s="339"/>
      <c r="B984" s="339"/>
      <c r="C984" s="339"/>
      <c r="D984" s="339"/>
      <c r="E984" s="339"/>
      <c r="F984" s="339"/>
      <c r="G984" s="339"/>
      <c r="H984" s="339"/>
      <c r="I984" s="339"/>
      <c r="J984" s="339"/>
      <c r="K984" s="339"/>
      <c r="L984" s="340"/>
      <c r="M984" s="339"/>
      <c r="N984" s="340"/>
      <c r="O984" s="339"/>
      <c r="P984" s="340"/>
      <c r="Q984" s="339"/>
      <c r="R984" s="340"/>
      <c r="S984" s="339"/>
      <c r="T984" s="340"/>
      <c r="U984" s="339"/>
      <c r="V984" s="340"/>
      <c r="W984" s="339"/>
      <c r="X984" s="339"/>
      <c r="Y984" s="339"/>
      <c r="Z984" s="340"/>
      <c r="AA984" s="339"/>
      <c r="AB984" s="339"/>
      <c r="AC984" s="339"/>
      <c r="AD984" s="339"/>
    </row>
    <row r="985" spans="1:30" ht="15.75" customHeight="1">
      <c r="A985" s="339"/>
      <c r="B985" s="339"/>
      <c r="C985" s="339"/>
      <c r="D985" s="339"/>
      <c r="E985" s="339"/>
      <c r="F985" s="339"/>
      <c r="G985" s="339"/>
      <c r="H985" s="339"/>
      <c r="I985" s="339"/>
      <c r="J985" s="339"/>
      <c r="K985" s="339"/>
      <c r="L985" s="340"/>
      <c r="M985" s="339"/>
      <c r="N985" s="340"/>
      <c r="O985" s="339"/>
      <c r="P985" s="340"/>
      <c r="Q985" s="339"/>
      <c r="R985" s="340"/>
      <c r="S985" s="339"/>
      <c r="T985" s="340"/>
      <c r="U985" s="339"/>
      <c r="V985" s="340"/>
      <c r="W985" s="339"/>
      <c r="X985" s="339"/>
      <c r="Y985" s="339"/>
      <c r="Z985" s="340"/>
      <c r="AA985" s="339"/>
      <c r="AB985" s="339"/>
      <c r="AC985" s="339"/>
      <c r="AD985" s="339"/>
    </row>
    <row r="986" spans="1:30" ht="15.75" customHeight="1">
      <c r="A986" s="339"/>
      <c r="B986" s="339"/>
      <c r="C986" s="339"/>
      <c r="D986" s="339"/>
      <c r="E986" s="339"/>
      <c r="F986" s="339"/>
      <c r="G986" s="339"/>
      <c r="H986" s="339"/>
      <c r="I986" s="339"/>
      <c r="J986" s="339"/>
      <c r="K986" s="339"/>
      <c r="L986" s="340"/>
      <c r="M986" s="339"/>
      <c r="N986" s="340"/>
      <c r="O986" s="339"/>
      <c r="P986" s="340"/>
      <c r="Q986" s="339"/>
      <c r="R986" s="340"/>
      <c r="S986" s="339"/>
      <c r="T986" s="340"/>
      <c r="U986" s="339"/>
      <c r="V986" s="340"/>
      <c r="W986" s="339"/>
      <c r="X986" s="339"/>
      <c r="Y986" s="339"/>
      <c r="Z986" s="340"/>
      <c r="AA986" s="339"/>
      <c r="AB986" s="339"/>
      <c r="AC986" s="339"/>
      <c r="AD986" s="339"/>
    </row>
    <row r="987" spans="1:30" ht="15.75" customHeight="1">
      <c r="A987" s="339"/>
      <c r="B987" s="339"/>
      <c r="C987" s="339"/>
      <c r="D987" s="339"/>
      <c r="E987" s="339"/>
      <c r="F987" s="339"/>
      <c r="G987" s="339"/>
      <c r="H987" s="339"/>
      <c r="I987" s="339"/>
      <c r="J987" s="339"/>
      <c r="K987" s="339"/>
      <c r="L987" s="340"/>
      <c r="M987" s="339"/>
      <c r="N987" s="340"/>
      <c r="O987" s="339"/>
      <c r="P987" s="340"/>
      <c r="Q987" s="339"/>
      <c r="R987" s="340"/>
      <c r="S987" s="339"/>
      <c r="T987" s="340"/>
      <c r="U987" s="339"/>
      <c r="V987" s="340"/>
      <c r="W987" s="339"/>
      <c r="X987" s="339"/>
      <c r="Y987" s="339"/>
      <c r="Z987" s="340"/>
      <c r="AA987" s="339"/>
      <c r="AB987" s="339"/>
      <c r="AC987" s="339"/>
      <c r="AD987" s="339"/>
    </row>
    <row r="988" spans="1:30" ht="15.75" customHeight="1">
      <c r="A988" s="339"/>
      <c r="B988" s="339"/>
      <c r="C988" s="339"/>
      <c r="D988" s="339"/>
      <c r="E988" s="339"/>
      <c r="F988" s="339"/>
      <c r="G988" s="339"/>
      <c r="H988" s="339"/>
      <c r="I988" s="339"/>
      <c r="J988" s="339"/>
      <c r="K988" s="339"/>
      <c r="L988" s="340"/>
      <c r="M988" s="339"/>
      <c r="N988" s="340"/>
      <c r="O988" s="339"/>
      <c r="P988" s="340"/>
      <c r="Q988" s="339"/>
      <c r="R988" s="340"/>
      <c r="S988" s="339"/>
      <c r="T988" s="340"/>
      <c r="U988" s="339"/>
      <c r="V988" s="340"/>
      <c r="W988" s="339"/>
      <c r="X988" s="339"/>
      <c r="Y988" s="339"/>
      <c r="Z988" s="340"/>
      <c r="AA988" s="339"/>
      <c r="AB988" s="339"/>
      <c r="AC988" s="339"/>
      <c r="AD988" s="339"/>
    </row>
    <row r="989" spans="1:30" ht="15.75" customHeight="1">
      <c r="A989" s="339"/>
      <c r="B989" s="339"/>
      <c r="C989" s="339"/>
      <c r="D989" s="339"/>
      <c r="E989" s="339"/>
      <c r="F989" s="339"/>
      <c r="G989" s="339"/>
      <c r="H989" s="339"/>
      <c r="I989" s="339"/>
      <c r="J989" s="339"/>
      <c r="K989" s="339"/>
      <c r="L989" s="340"/>
      <c r="M989" s="339"/>
      <c r="N989" s="340"/>
      <c r="O989" s="339"/>
      <c r="P989" s="340"/>
      <c r="Q989" s="339"/>
      <c r="R989" s="340"/>
      <c r="S989" s="339"/>
      <c r="T989" s="340"/>
      <c r="U989" s="339"/>
      <c r="V989" s="340"/>
      <c r="W989" s="339"/>
      <c r="X989" s="339"/>
      <c r="Y989" s="339"/>
      <c r="Z989" s="340"/>
      <c r="AA989" s="339"/>
      <c r="AB989" s="339"/>
      <c r="AC989" s="339"/>
      <c r="AD989" s="339"/>
    </row>
    <row r="990" spans="1:30" ht="15.75" customHeight="1">
      <c r="A990" s="339"/>
      <c r="B990" s="339"/>
      <c r="C990" s="339"/>
      <c r="D990" s="339"/>
      <c r="E990" s="339"/>
      <c r="F990" s="339"/>
      <c r="G990" s="339"/>
      <c r="H990" s="339"/>
      <c r="I990" s="339"/>
      <c r="J990" s="339"/>
      <c r="K990" s="339"/>
      <c r="L990" s="340"/>
      <c r="M990" s="339"/>
      <c r="N990" s="340"/>
      <c r="O990" s="339"/>
      <c r="P990" s="340"/>
      <c r="Q990" s="339"/>
      <c r="R990" s="340"/>
      <c r="S990" s="339"/>
      <c r="T990" s="340"/>
      <c r="U990" s="339"/>
      <c r="V990" s="340"/>
      <c r="W990" s="339"/>
      <c r="X990" s="339"/>
      <c r="Y990" s="339"/>
      <c r="Z990" s="340"/>
      <c r="AA990" s="339"/>
      <c r="AB990" s="339"/>
      <c r="AC990" s="339"/>
      <c r="AD990" s="339"/>
    </row>
    <row r="991" spans="1:30" ht="15.75" customHeight="1">
      <c r="A991" s="339"/>
      <c r="B991" s="339"/>
      <c r="C991" s="339"/>
      <c r="D991" s="339"/>
      <c r="E991" s="339"/>
      <c r="F991" s="339"/>
      <c r="G991" s="339"/>
      <c r="H991" s="339"/>
      <c r="I991" s="339"/>
      <c r="J991" s="339"/>
      <c r="K991" s="339"/>
      <c r="L991" s="340"/>
      <c r="M991" s="339"/>
      <c r="N991" s="340"/>
      <c r="O991" s="339"/>
      <c r="P991" s="340"/>
      <c r="Q991" s="339"/>
      <c r="R991" s="340"/>
      <c r="S991" s="339"/>
      <c r="T991" s="340"/>
      <c r="U991" s="339"/>
      <c r="V991" s="340"/>
      <c r="W991" s="339"/>
      <c r="X991" s="339"/>
      <c r="Y991" s="339"/>
      <c r="Z991" s="340"/>
      <c r="AA991" s="339"/>
      <c r="AB991" s="339"/>
      <c r="AC991" s="339"/>
      <c r="AD991" s="339"/>
    </row>
    <row r="992" spans="1:30" ht="15.75" customHeight="1">
      <c r="A992" s="339"/>
      <c r="B992" s="339"/>
      <c r="C992" s="339"/>
      <c r="D992" s="339"/>
      <c r="E992" s="339"/>
      <c r="F992" s="339"/>
      <c r="G992" s="339"/>
      <c r="H992" s="339"/>
      <c r="I992" s="339"/>
      <c r="J992" s="339"/>
      <c r="K992" s="339"/>
      <c r="L992" s="340"/>
      <c r="M992" s="339"/>
      <c r="N992" s="340"/>
      <c r="O992" s="339"/>
      <c r="P992" s="340"/>
      <c r="Q992" s="339"/>
      <c r="R992" s="340"/>
      <c r="S992" s="339"/>
      <c r="T992" s="340"/>
      <c r="U992" s="339"/>
      <c r="V992" s="340"/>
      <c r="W992" s="339"/>
      <c r="X992" s="339"/>
      <c r="Y992" s="339"/>
      <c r="Z992" s="340"/>
      <c r="AA992" s="339"/>
      <c r="AB992" s="339"/>
      <c r="AC992" s="339"/>
      <c r="AD992" s="339"/>
    </row>
    <row r="993" spans="1:30" ht="15.75" customHeight="1">
      <c r="A993" s="339"/>
      <c r="B993" s="339"/>
      <c r="C993" s="339"/>
      <c r="D993" s="339"/>
      <c r="E993" s="339"/>
      <c r="F993" s="339"/>
      <c r="G993" s="339"/>
      <c r="H993" s="339"/>
      <c r="I993" s="339"/>
      <c r="J993" s="339"/>
      <c r="K993" s="339"/>
      <c r="L993" s="340"/>
      <c r="M993" s="339"/>
      <c r="N993" s="340"/>
      <c r="O993" s="339"/>
      <c r="P993" s="340"/>
      <c r="Q993" s="339"/>
      <c r="R993" s="340"/>
      <c r="S993" s="339"/>
      <c r="T993" s="340"/>
      <c r="U993" s="339"/>
      <c r="V993" s="340"/>
      <c r="W993" s="339"/>
      <c r="X993" s="339"/>
      <c r="Y993" s="339"/>
      <c r="Z993" s="340"/>
      <c r="AA993" s="339"/>
      <c r="AB993" s="339"/>
      <c r="AC993" s="339"/>
      <c r="AD993" s="339"/>
    </row>
    <row r="994" spans="1:30" ht="15.75" customHeight="1">
      <c r="A994" s="339"/>
      <c r="B994" s="339"/>
      <c r="C994" s="339"/>
      <c r="D994" s="339"/>
      <c r="E994" s="339"/>
      <c r="F994" s="339"/>
      <c r="G994" s="339"/>
      <c r="H994" s="339"/>
      <c r="I994" s="339"/>
      <c r="J994" s="339"/>
      <c r="K994" s="339"/>
      <c r="L994" s="340"/>
      <c r="M994" s="339"/>
      <c r="N994" s="340"/>
      <c r="O994" s="339"/>
      <c r="P994" s="340"/>
      <c r="Q994" s="339"/>
      <c r="R994" s="340"/>
      <c r="S994" s="339"/>
      <c r="T994" s="340"/>
      <c r="U994" s="339"/>
      <c r="V994" s="340"/>
      <c r="W994" s="339"/>
      <c r="X994" s="339"/>
      <c r="Y994" s="339"/>
      <c r="Z994" s="340"/>
      <c r="AA994" s="339"/>
      <c r="AB994" s="339"/>
      <c r="AC994" s="339"/>
      <c r="AD994" s="339"/>
    </row>
    <row r="995" spans="1:30" ht="15.75" customHeight="1">
      <c r="A995" s="339"/>
      <c r="B995" s="339"/>
      <c r="C995" s="339"/>
      <c r="D995" s="339"/>
      <c r="E995" s="339"/>
      <c r="F995" s="339"/>
      <c r="G995" s="339"/>
      <c r="H995" s="339"/>
      <c r="I995" s="339"/>
      <c r="J995" s="339"/>
      <c r="K995" s="339"/>
      <c r="L995" s="340"/>
      <c r="M995" s="339"/>
      <c r="N995" s="340"/>
      <c r="O995" s="339"/>
      <c r="P995" s="340"/>
      <c r="Q995" s="339"/>
      <c r="R995" s="340"/>
      <c r="S995" s="339"/>
      <c r="T995" s="340"/>
      <c r="U995" s="339"/>
      <c r="V995" s="340"/>
      <c r="W995" s="339"/>
      <c r="X995" s="339"/>
      <c r="Y995" s="339"/>
      <c r="Z995" s="340"/>
      <c r="AA995" s="339"/>
      <c r="AB995" s="339"/>
      <c r="AC995" s="339"/>
      <c r="AD995" s="339"/>
    </row>
    <row r="996" spans="1:30" ht="15.75" customHeight="1">
      <c r="A996" s="339"/>
      <c r="B996" s="339"/>
      <c r="C996" s="339"/>
      <c r="D996" s="339"/>
      <c r="E996" s="339"/>
      <c r="F996" s="339"/>
      <c r="G996" s="339"/>
      <c r="H996" s="339"/>
      <c r="I996" s="339"/>
      <c r="J996" s="339"/>
      <c r="K996" s="339"/>
      <c r="L996" s="340"/>
      <c r="M996" s="339"/>
      <c r="N996" s="340"/>
      <c r="O996" s="339"/>
      <c r="P996" s="340"/>
      <c r="Q996" s="339"/>
      <c r="R996" s="340"/>
      <c r="S996" s="339"/>
      <c r="T996" s="340"/>
      <c r="U996" s="339"/>
      <c r="V996" s="340"/>
      <c r="W996" s="339"/>
      <c r="X996" s="339"/>
      <c r="Y996" s="339"/>
      <c r="Z996" s="340"/>
      <c r="AA996" s="339"/>
      <c r="AB996" s="339"/>
      <c r="AC996" s="339"/>
      <c r="AD996" s="339"/>
    </row>
    <row r="997" spans="1:30" ht="15.75" customHeight="1">
      <c r="A997" s="339"/>
      <c r="B997" s="339"/>
      <c r="C997" s="339"/>
      <c r="D997" s="339"/>
      <c r="E997" s="339"/>
      <c r="F997" s="339"/>
      <c r="G997" s="339"/>
      <c r="H997" s="339"/>
      <c r="I997" s="339"/>
      <c r="J997" s="339"/>
      <c r="K997" s="339"/>
      <c r="L997" s="340"/>
      <c r="M997" s="339"/>
      <c r="N997" s="340"/>
      <c r="O997" s="339"/>
      <c r="P997" s="340"/>
      <c r="Q997" s="339"/>
      <c r="R997" s="340"/>
      <c r="S997" s="339"/>
      <c r="T997" s="340"/>
      <c r="U997" s="339"/>
      <c r="V997" s="340"/>
      <c r="W997" s="339"/>
      <c r="X997" s="339"/>
      <c r="Y997" s="339"/>
      <c r="Z997" s="340"/>
      <c r="AA997" s="339"/>
      <c r="AB997" s="339"/>
      <c r="AC997" s="339"/>
      <c r="AD997" s="339"/>
    </row>
    <row r="998" spans="1:30" ht="15.75" customHeight="1">
      <c r="A998" s="339"/>
      <c r="B998" s="339"/>
      <c r="C998" s="339"/>
      <c r="D998" s="339"/>
      <c r="E998" s="339"/>
      <c r="F998" s="339"/>
      <c r="G998" s="339"/>
      <c r="H998" s="339"/>
      <c r="I998" s="339"/>
      <c r="J998" s="339"/>
      <c r="K998" s="339"/>
      <c r="L998" s="340"/>
      <c r="M998" s="339"/>
      <c r="N998" s="340"/>
      <c r="O998" s="339"/>
      <c r="P998" s="340"/>
      <c r="Q998" s="339"/>
      <c r="R998" s="340"/>
      <c r="S998" s="339"/>
      <c r="T998" s="340"/>
      <c r="U998" s="339"/>
      <c r="V998" s="340"/>
      <c r="W998" s="339"/>
      <c r="X998" s="339"/>
      <c r="Y998" s="339"/>
      <c r="Z998" s="340"/>
      <c r="AA998" s="339"/>
      <c r="AB998" s="339"/>
      <c r="AC998" s="339"/>
      <c r="AD998" s="339"/>
    </row>
    <row r="999" spans="1:30" ht="15.75" customHeight="1">
      <c r="A999" s="339"/>
      <c r="B999" s="339"/>
      <c r="C999" s="339"/>
      <c r="D999" s="339"/>
      <c r="E999" s="339"/>
      <c r="F999" s="339"/>
      <c r="G999" s="339"/>
      <c r="H999" s="339"/>
      <c r="I999" s="339"/>
      <c r="J999" s="339"/>
      <c r="K999" s="339"/>
      <c r="L999" s="340"/>
      <c r="M999" s="339"/>
      <c r="N999" s="340"/>
      <c r="O999" s="339"/>
      <c r="P999" s="340"/>
      <c r="Q999" s="339"/>
      <c r="R999" s="340"/>
      <c r="S999" s="339"/>
      <c r="T999" s="340"/>
      <c r="U999" s="339"/>
      <c r="V999" s="340"/>
      <c r="W999" s="339"/>
      <c r="X999" s="339"/>
      <c r="Y999" s="339"/>
      <c r="Z999" s="340"/>
      <c r="AA999" s="339"/>
      <c r="AB999" s="339"/>
      <c r="AC999" s="339"/>
      <c r="AD999" s="339"/>
    </row>
    <row r="1000" spans="1:30" ht="15.75" customHeight="1">
      <c r="A1000" s="339"/>
      <c r="B1000" s="339"/>
      <c r="C1000" s="339"/>
      <c r="D1000" s="339"/>
      <c r="E1000" s="339"/>
      <c r="F1000" s="339"/>
      <c r="G1000" s="339"/>
      <c r="H1000" s="339"/>
      <c r="I1000" s="339"/>
      <c r="J1000" s="339"/>
      <c r="K1000" s="339"/>
      <c r="L1000" s="340"/>
      <c r="M1000" s="339"/>
      <c r="N1000" s="340"/>
      <c r="O1000" s="339"/>
      <c r="P1000" s="340"/>
      <c r="Q1000" s="339"/>
      <c r="R1000" s="340"/>
      <c r="S1000" s="339"/>
      <c r="T1000" s="340"/>
      <c r="U1000" s="339"/>
      <c r="V1000" s="340"/>
      <c r="W1000" s="339"/>
      <c r="X1000" s="339"/>
      <c r="Y1000" s="339"/>
      <c r="Z1000" s="340"/>
      <c r="AA1000" s="339"/>
      <c r="AB1000" s="339"/>
      <c r="AC1000" s="339"/>
      <c r="AD1000" s="339"/>
    </row>
  </sheetData>
  <mergeCells count="33">
    <mergeCell ref="K6:L7"/>
    <mergeCell ref="F7:G7"/>
    <mergeCell ref="A91:B91"/>
    <mergeCell ref="A106:B106"/>
    <mergeCell ref="A7:B8"/>
    <mergeCell ref="D7:D8"/>
    <mergeCell ref="A9:B9"/>
    <mergeCell ref="A15:B15"/>
    <mergeCell ref="A33:B33"/>
    <mergeCell ref="A54:B54"/>
    <mergeCell ref="A76:B76"/>
    <mergeCell ref="Y6:AB6"/>
    <mergeCell ref="Y7:Z7"/>
    <mergeCell ref="A2:B6"/>
    <mergeCell ref="C2:AD3"/>
    <mergeCell ref="H4:J5"/>
    <mergeCell ref="K4:X4"/>
    <mergeCell ref="Y4:AD4"/>
    <mergeCell ref="K5:X5"/>
    <mergeCell ref="Y5:AD5"/>
    <mergeCell ref="AC6:AD6"/>
    <mergeCell ref="C4:G5"/>
    <mergeCell ref="C6:E6"/>
    <mergeCell ref="F6:G6"/>
    <mergeCell ref="H6:H7"/>
    <mergeCell ref="I6:I7"/>
    <mergeCell ref="J6:J7"/>
    <mergeCell ref="M6:N7"/>
    <mergeCell ref="O6:P7"/>
    <mergeCell ref="Q6:R7"/>
    <mergeCell ref="S6:T7"/>
    <mergeCell ref="U7:V7"/>
    <mergeCell ref="U6:X6"/>
  </mergeCells>
  <printOptions horizontalCentered="1"/>
  <pageMargins left="0.31496062992125984" right="0.31496062992125984" top="0.74803149606299213" bottom="0.74803149606299213" header="0" footer="0"/>
  <pageSetup paperSize="9" scale="40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  <colBreaks count="1" manualBreakCount="1">
    <brk id="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EAADB"/>
    <pageSetUpPr fitToPage="1"/>
  </sheetPr>
  <dimension ref="A1:AD1000"/>
  <sheetViews>
    <sheetView view="pageBreakPreview" zoomScale="60" zoomScaleNormal="100" workbookViewId="0">
      <pane xSplit="2" ySplit="9" topLeftCell="J10" activePane="bottomRight" state="frozen"/>
      <selection activeCell="A15" sqref="A15:B15"/>
      <selection pane="topRight" activeCell="A15" sqref="A15:B15"/>
      <selection pane="bottomLeft" activeCell="A15" sqref="A15:B15"/>
      <selection pane="bottomRight" activeCell="A15" sqref="A15:B15"/>
    </sheetView>
  </sheetViews>
  <sheetFormatPr defaultColWidth="14.44140625" defaultRowHeight="15" customHeight="1"/>
  <cols>
    <col min="1" max="1" width="7.21875" customWidth="1"/>
    <col min="2" max="2" width="43.5546875" customWidth="1"/>
    <col min="3" max="4" width="12.77734375" customWidth="1"/>
    <col min="5" max="7" width="11.77734375" customWidth="1"/>
    <col min="8" max="8" width="15.109375" customWidth="1"/>
    <col min="9" max="11" width="11.44140625" customWidth="1"/>
    <col min="12" max="12" width="15.21875" customWidth="1"/>
    <col min="13" max="13" width="16.77734375" customWidth="1"/>
    <col min="14" max="14" width="14.77734375" customWidth="1"/>
    <col min="15" max="15" width="10.77734375" customWidth="1"/>
    <col min="16" max="16" width="11.21875" customWidth="1"/>
    <col min="17" max="17" width="11.77734375" customWidth="1"/>
    <col min="18" max="18" width="8.77734375" customWidth="1"/>
    <col min="19" max="19" width="12.109375" customWidth="1"/>
    <col min="20" max="20" width="9.77734375" customWidth="1"/>
    <col min="21" max="21" width="8.77734375" customWidth="1"/>
    <col min="22" max="22" width="10" customWidth="1"/>
    <col min="23" max="23" width="8.77734375" customWidth="1"/>
    <col min="24" max="24" width="11" customWidth="1"/>
    <col min="25" max="25" width="8.77734375" customWidth="1"/>
    <col min="26" max="26" width="11" customWidth="1"/>
    <col min="27" max="27" width="8.77734375" customWidth="1"/>
    <col min="28" max="28" width="11.77734375" customWidth="1"/>
    <col min="29" max="30" width="8.77734375" customWidth="1"/>
  </cols>
  <sheetData>
    <row r="1" spans="1:30" ht="24" customHeight="1">
      <c r="A1" s="1" t="s">
        <v>144</v>
      </c>
      <c r="B1" s="2"/>
      <c r="C1" s="3"/>
      <c r="D1" s="3"/>
      <c r="E1" s="3"/>
      <c r="F1" s="3"/>
      <c r="G1" s="3"/>
      <c r="H1" s="3"/>
      <c r="I1" s="3"/>
      <c r="J1" s="3"/>
      <c r="K1" s="3"/>
      <c r="L1" s="117"/>
      <c r="M1" s="117"/>
      <c r="N1" s="117"/>
      <c r="O1" s="117"/>
      <c r="P1" s="3"/>
      <c r="Q1" s="3"/>
      <c r="R1" s="4"/>
      <c r="S1" s="2"/>
      <c r="T1" s="2"/>
      <c r="U1" s="4"/>
      <c r="V1" s="2"/>
      <c r="W1" s="4"/>
      <c r="X1" s="2"/>
      <c r="Y1" s="4"/>
      <c r="Z1" s="2"/>
      <c r="AA1" s="117"/>
      <c r="AB1" s="2"/>
      <c r="AC1" s="2"/>
      <c r="AD1" s="2"/>
    </row>
    <row r="2" spans="1:30" ht="24" customHeight="1">
      <c r="A2" s="681" t="s">
        <v>1</v>
      </c>
      <c r="B2" s="682"/>
      <c r="C2" s="710" t="s">
        <v>2</v>
      </c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C2" s="686"/>
      <c r="AD2" s="687"/>
    </row>
    <row r="3" spans="1:30" ht="24" customHeight="1">
      <c r="A3" s="660"/>
      <c r="B3" s="661"/>
      <c r="C3" s="688" t="s">
        <v>145</v>
      </c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  <c r="Y3" s="651"/>
      <c r="Z3" s="651"/>
      <c r="AA3" s="651"/>
      <c r="AB3" s="651"/>
      <c r="AC3" s="651"/>
      <c r="AD3" s="654"/>
    </row>
    <row r="4" spans="1:30" ht="24" customHeight="1">
      <c r="A4" s="683"/>
      <c r="B4" s="684"/>
      <c r="C4" s="711" t="s">
        <v>146</v>
      </c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  <c r="S4" s="651"/>
      <c r="T4" s="651"/>
      <c r="U4" s="651"/>
      <c r="V4" s="651"/>
      <c r="W4" s="651"/>
      <c r="X4" s="651"/>
      <c r="Y4" s="651"/>
      <c r="Z4" s="651"/>
      <c r="AA4" s="651"/>
      <c r="AB4" s="651"/>
      <c r="AC4" s="651"/>
      <c r="AD4" s="654"/>
    </row>
    <row r="5" spans="1:30" ht="39" customHeight="1">
      <c r="A5" s="6"/>
      <c r="B5" s="7"/>
      <c r="C5" s="650" t="s">
        <v>5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4"/>
      <c r="P5" s="712" t="s">
        <v>147</v>
      </c>
      <c r="Q5" s="694"/>
      <c r="R5" s="695"/>
      <c r="S5" s="716" t="s">
        <v>148</v>
      </c>
      <c r="T5" s="690"/>
      <c r="U5" s="690"/>
      <c r="V5" s="690"/>
      <c r="W5" s="690"/>
      <c r="X5" s="690"/>
      <c r="Y5" s="690"/>
      <c r="Z5" s="690"/>
      <c r="AA5" s="691"/>
      <c r="AB5" s="709" t="s">
        <v>149</v>
      </c>
      <c r="AC5" s="694"/>
      <c r="AD5" s="695"/>
    </row>
    <row r="6" spans="1:30" ht="24" customHeight="1">
      <c r="A6" s="658" t="s">
        <v>8</v>
      </c>
      <c r="B6" s="659"/>
      <c r="C6" s="653" t="s">
        <v>9</v>
      </c>
      <c r="D6" s="651"/>
      <c r="E6" s="651"/>
      <c r="F6" s="651"/>
      <c r="G6" s="654"/>
      <c r="H6" s="8" t="s">
        <v>10</v>
      </c>
      <c r="I6" s="655" t="s">
        <v>11</v>
      </c>
      <c r="J6" s="651"/>
      <c r="K6" s="651"/>
      <c r="L6" s="651"/>
      <c r="M6" s="651"/>
      <c r="N6" s="651"/>
      <c r="O6" s="654"/>
      <c r="P6" s="713"/>
      <c r="Q6" s="714"/>
      <c r="R6" s="715"/>
      <c r="S6" s="707" t="s">
        <v>150</v>
      </c>
      <c r="T6" s="651"/>
      <c r="U6" s="654"/>
      <c r="V6" s="708" t="s">
        <v>151</v>
      </c>
      <c r="W6" s="654"/>
      <c r="X6" s="708" t="s">
        <v>152</v>
      </c>
      <c r="Y6" s="654"/>
      <c r="Z6" s="708" t="s">
        <v>153</v>
      </c>
      <c r="AA6" s="654"/>
      <c r="AB6" s="696"/>
      <c r="AC6" s="670"/>
      <c r="AD6" s="671"/>
    </row>
    <row r="7" spans="1:30" ht="24" customHeight="1">
      <c r="A7" s="660"/>
      <c r="B7" s="661"/>
      <c r="C7" s="702" t="s">
        <v>16</v>
      </c>
      <c r="D7" s="704" t="s">
        <v>17</v>
      </c>
      <c r="E7" s="705" t="s">
        <v>18</v>
      </c>
      <c r="F7" s="664" t="s">
        <v>19</v>
      </c>
      <c r="G7" s="666" t="s">
        <v>20</v>
      </c>
      <c r="H7" s="9" t="s">
        <v>21</v>
      </c>
      <c r="I7" s="667" t="s">
        <v>22</v>
      </c>
      <c r="J7" s="668"/>
      <c r="K7" s="669" t="s">
        <v>21</v>
      </c>
      <c r="L7" s="670"/>
      <c r="M7" s="671"/>
      <c r="N7" s="672" t="s">
        <v>23</v>
      </c>
      <c r="O7" s="671"/>
      <c r="P7" s="118" t="s">
        <v>24</v>
      </c>
      <c r="Q7" s="706" t="s">
        <v>25</v>
      </c>
      <c r="R7" s="654"/>
      <c r="S7" s="118" t="s">
        <v>24</v>
      </c>
      <c r="T7" s="706" t="s">
        <v>25</v>
      </c>
      <c r="U7" s="654"/>
      <c r="V7" s="706" t="s">
        <v>25</v>
      </c>
      <c r="W7" s="654"/>
      <c r="X7" s="706" t="s">
        <v>25</v>
      </c>
      <c r="Y7" s="654"/>
      <c r="Z7" s="706" t="s">
        <v>25</v>
      </c>
      <c r="AA7" s="654"/>
      <c r="AB7" s="118" t="s">
        <v>24</v>
      </c>
      <c r="AC7" s="706" t="s">
        <v>25</v>
      </c>
      <c r="AD7" s="654"/>
    </row>
    <row r="8" spans="1:30" ht="24" customHeight="1">
      <c r="A8" s="662"/>
      <c r="B8" s="663"/>
      <c r="C8" s="703"/>
      <c r="D8" s="665"/>
      <c r="E8" s="665"/>
      <c r="F8" s="665"/>
      <c r="G8" s="665"/>
      <c r="H8" s="9"/>
      <c r="I8" s="11" t="s">
        <v>26</v>
      </c>
      <c r="J8" s="12" t="s">
        <v>27</v>
      </c>
      <c r="K8" s="11" t="s">
        <v>26</v>
      </c>
      <c r="L8" s="13" t="s">
        <v>28</v>
      </c>
      <c r="M8" s="14" t="s">
        <v>29</v>
      </c>
      <c r="N8" s="15" t="s">
        <v>26</v>
      </c>
      <c r="O8" s="15" t="s">
        <v>27</v>
      </c>
      <c r="P8" s="16" t="s">
        <v>154</v>
      </c>
      <c r="Q8" s="119" t="s">
        <v>155</v>
      </c>
      <c r="R8" s="120" t="s">
        <v>27</v>
      </c>
      <c r="S8" s="16" t="s">
        <v>32</v>
      </c>
      <c r="T8" s="119" t="s">
        <v>31</v>
      </c>
      <c r="U8" s="120" t="s">
        <v>27</v>
      </c>
      <c r="V8" s="119" t="s">
        <v>31</v>
      </c>
      <c r="W8" s="120" t="s">
        <v>27</v>
      </c>
      <c r="X8" s="119" t="s">
        <v>31</v>
      </c>
      <c r="Y8" s="120" t="s">
        <v>27</v>
      </c>
      <c r="Z8" s="119" t="s">
        <v>31</v>
      </c>
      <c r="AA8" s="120" t="s">
        <v>27</v>
      </c>
      <c r="AB8" s="16" t="s">
        <v>156</v>
      </c>
      <c r="AC8" s="119" t="s">
        <v>157</v>
      </c>
      <c r="AD8" s="119" t="s">
        <v>27</v>
      </c>
    </row>
    <row r="9" spans="1:30" ht="24" customHeight="1">
      <c r="A9" s="674" t="s">
        <v>34</v>
      </c>
      <c r="B9" s="675"/>
      <c r="C9" s="20">
        <f t="shared" ref="C9:C119" ca="1" si="0">D9+G9</f>
        <v>9657900</v>
      </c>
      <c r="D9" s="121">
        <f t="shared" ref="D9:F9" ca="1" si="1">D10+D11</f>
        <v>5963100</v>
      </c>
      <c r="E9" s="22">
        <f t="shared" ca="1" si="1"/>
        <v>734900</v>
      </c>
      <c r="F9" s="23">
        <f t="shared" ca="1" si="1"/>
        <v>5228200</v>
      </c>
      <c r="G9" s="24">
        <f t="shared" ref="G9:H9" ca="1" si="2">G10+G11+G14</f>
        <v>3694800</v>
      </c>
      <c r="H9" s="25">
        <f t="shared" ca="1" si="2"/>
        <v>4472300</v>
      </c>
      <c r="I9" s="26">
        <f t="shared" ref="I9:I105" ca="1" si="3">K9+N9</f>
        <v>5271656.07</v>
      </c>
      <c r="J9" s="122">
        <f t="shared" ref="J9:J105" ca="1" si="4">IF(C9&gt;0,I9*100/C9,0)</f>
        <v>54.58387506600814</v>
      </c>
      <c r="K9" s="26">
        <f ca="1">K10+K11+K14</f>
        <v>1579661.0699999998</v>
      </c>
      <c r="L9" s="122">
        <f t="shared" ref="L9:L105" ca="1" si="5">IF(D9&gt;0,K9*100/D9,0)</f>
        <v>26.490601700457809</v>
      </c>
      <c r="M9" s="122">
        <f t="shared" ref="M9:M105" ca="1" si="6">IF(H9&gt;0,K9*100/H9,0)</f>
        <v>35.320999709321818</v>
      </c>
      <c r="N9" s="122">
        <f ca="1">N10+N11+N14</f>
        <v>3691995</v>
      </c>
      <c r="O9" s="122">
        <f t="shared" ref="O9:O105" ca="1" si="7">IF(G9&gt;0,N9*100/G9,0)</f>
        <v>99.924082494316337</v>
      </c>
      <c r="P9" s="30">
        <f t="shared" ref="P9:Q9" ca="1" si="8">P10</f>
        <v>32</v>
      </c>
      <c r="Q9" s="31">
        <f t="shared" ca="1" si="8"/>
        <v>28</v>
      </c>
      <c r="R9" s="32">
        <f t="shared" ref="R9:R106" ca="1" si="9">IF(P9&gt;0,Q9*100/P9,0)</f>
        <v>87.5</v>
      </c>
      <c r="S9" s="30">
        <f ca="1">S10+S11</f>
        <v>150</v>
      </c>
      <c r="T9" s="31">
        <f ca="1">T10</f>
        <v>132</v>
      </c>
      <c r="U9" s="32">
        <f t="shared" ref="U9:U106" ca="1" si="10">IF(S9&gt;0,T9*100/S9,0)</f>
        <v>88</v>
      </c>
      <c r="V9" s="31">
        <f ca="1">V10+V11+V14</f>
        <v>151</v>
      </c>
      <c r="W9" s="32">
        <f t="shared" ref="W9:W106" ca="1" si="11">IF(S9&gt;0,V9*100/S9,0)</f>
        <v>100.66666666666667</v>
      </c>
      <c r="X9" s="31">
        <f ca="1">X10+X11+X14</f>
        <v>121</v>
      </c>
      <c r="Y9" s="32">
        <f t="shared" ref="Y9:Y106" ca="1" si="12">IF(S9&gt;0,X9*100/S9,0)</f>
        <v>80.666666666666671</v>
      </c>
      <c r="Z9" s="31">
        <f ca="1">Z10+Z11+Z14</f>
        <v>139</v>
      </c>
      <c r="AA9" s="123">
        <f t="shared" ref="AA9:AA106" ca="1" si="13">IF(S9&gt;0,Z9*100/S9,0)</f>
        <v>92.666666666666671</v>
      </c>
      <c r="AB9" s="30">
        <f t="shared" ref="AB9:AC9" ca="1" si="14">AB10+AB11</f>
        <v>40</v>
      </c>
      <c r="AC9" s="31">
        <f t="shared" ca="1" si="14"/>
        <v>34</v>
      </c>
      <c r="AD9" s="123">
        <f t="shared" ref="AD9:AD106" ca="1" si="15">IF(AB9&gt;0,AC9*100/AB9,0)</f>
        <v>85</v>
      </c>
    </row>
    <row r="10" spans="1:30" ht="28.5" customHeight="1">
      <c r="A10" s="33" t="s">
        <v>35</v>
      </c>
      <c r="B10" s="34"/>
      <c r="C10" s="124">
        <f t="shared" ca="1" si="0"/>
        <v>7695800</v>
      </c>
      <c r="D10" s="40">
        <f t="shared" ref="D10:H10" ca="1" si="16">+D15+D33+D54+D76</f>
        <v>4001000</v>
      </c>
      <c r="E10" s="36">
        <f t="shared" ca="1" si="16"/>
        <v>0</v>
      </c>
      <c r="F10" s="36">
        <f t="shared" ca="1" si="16"/>
        <v>4001000</v>
      </c>
      <c r="G10" s="36">
        <f t="shared" ca="1" si="16"/>
        <v>3694800</v>
      </c>
      <c r="H10" s="36">
        <f t="shared" ca="1" si="16"/>
        <v>4001000</v>
      </c>
      <c r="I10" s="36">
        <f t="shared" ca="1" si="3"/>
        <v>4967978.87</v>
      </c>
      <c r="J10" s="125">
        <f t="shared" ca="1" si="4"/>
        <v>64.554417604407604</v>
      </c>
      <c r="K10" s="36">
        <f ca="1">+K15+K33+K54+K76</f>
        <v>1275983.8699999999</v>
      </c>
      <c r="L10" s="125">
        <f t="shared" ca="1" si="5"/>
        <v>31.891623844038985</v>
      </c>
      <c r="M10" s="125">
        <f t="shared" ca="1" si="6"/>
        <v>31.891623844038985</v>
      </c>
      <c r="N10" s="125">
        <f ca="1">+N15+N33+N54+N76</f>
        <v>3691995</v>
      </c>
      <c r="O10" s="125">
        <f t="shared" ca="1" si="7"/>
        <v>99.924082494316337</v>
      </c>
      <c r="P10" s="36">
        <f t="shared" ref="P10:Q10" ca="1" si="17">+P15+P33+P54+P76</f>
        <v>32</v>
      </c>
      <c r="Q10" s="36">
        <f t="shared" ca="1" si="17"/>
        <v>28</v>
      </c>
      <c r="R10" s="38">
        <f t="shared" ca="1" si="9"/>
        <v>87.5</v>
      </c>
      <c r="S10" s="36">
        <f t="shared" ref="S10:T10" ca="1" si="18">+S15+S33+S54+S76</f>
        <v>150</v>
      </c>
      <c r="T10" s="36">
        <f t="shared" ca="1" si="18"/>
        <v>132</v>
      </c>
      <c r="U10" s="38">
        <f t="shared" ca="1" si="10"/>
        <v>88</v>
      </c>
      <c r="V10" s="36">
        <f ca="1">+V15+V33+V54+V76</f>
        <v>151</v>
      </c>
      <c r="W10" s="38">
        <f t="shared" ca="1" si="11"/>
        <v>100.66666666666667</v>
      </c>
      <c r="X10" s="36">
        <f ca="1">+X15+X33+X54+X76</f>
        <v>121</v>
      </c>
      <c r="Y10" s="38">
        <f t="shared" ca="1" si="12"/>
        <v>80.666666666666671</v>
      </c>
      <c r="Z10" s="36">
        <f ca="1">+Z15+Z33+Z54+Z76</f>
        <v>139</v>
      </c>
      <c r="AA10" s="125">
        <f t="shared" ca="1" si="13"/>
        <v>92.666666666666671</v>
      </c>
      <c r="AB10" s="36">
        <f t="shared" ref="AB10:AC10" ca="1" si="19">+AB15+AB33+AB54+AB76</f>
        <v>40</v>
      </c>
      <c r="AC10" s="36">
        <f t="shared" ca="1" si="19"/>
        <v>34</v>
      </c>
      <c r="AD10" s="125">
        <f t="shared" ca="1" si="15"/>
        <v>85</v>
      </c>
    </row>
    <row r="11" spans="1:30" ht="28.5" customHeight="1">
      <c r="A11" s="42" t="s">
        <v>373</v>
      </c>
      <c r="B11" s="43"/>
      <c r="C11" s="126">
        <f t="shared" ca="1" si="0"/>
        <v>1962100</v>
      </c>
      <c r="D11" s="49">
        <f t="shared" ref="D11:H11" ca="1" si="20">+D12+D13</f>
        <v>1962100</v>
      </c>
      <c r="E11" s="45">
        <f t="shared" ca="1" si="20"/>
        <v>734900</v>
      </c>
      <c r="F11" s="45">
        <f t="shared" ca="1" si="20"/>
        <v>1227200</v>
      </c>
      <c r="G11" s="45">
        <f t="shared" ca="1" si="20"/>
        <v>0</v>
      </c>
      <c r="H11" s="45">
        <f t="shared" ca="1" si="20"/>
        <v>471300</v>
      </c>
      <c r="I11" s="45">
        <f t="shared" ca="1" si="3"/>
        <v>303677.2</v>
      </c>
      <c r="J11" s="127">
        <f t="shared" ca="1" si="4"/>
        <v>15.477152030987208</v>
      </c>
      <c r="K11" s="45">
        <f ca="1">+K12+K13</f>
        <v>303677.2</v>
      </c>
      <c r="L11" s="127">
        <f t="shared" ca="1" si="5"/>
        <v>15.477152030987208</v>
      </c>
      <c r="M11" s="127">
        <f t="shared" ca="1" si="6"/>
        <v>64.433948652662849</v>
      </c>
      <c r="N11" s="127">
        <f ca="1">+N12+N13</f>
        <v>0</v>
      </c>
      <c r="O11" s="127">
        <f t="shared" ca="1" si="7"/>
        <v>0</v>
      </c>
      <c r="P11" s="45">
        <f t="shared" ref="P11:Q11" ca="1" si="21">+P12+P13</f>
        <v>0</v>
      </c>
      <c r="Q11" s="45">
        <f t="shared" si="21"/>
        <v>0</v>
      </c>
      <c r="R11" s="47">
        <f t="shared" ca="1" si="9"/>
        <v>0</v>
      </c>
      <c r="S11" s="45">
        <f t="shared" ref="S11:T11" ca="1" si="22">+S12+S13</f>
        <v>0</v>
      </c>
      <c r="T11" s="45">
        <f t="shared" si="22"/>
        <v>0</v>
      </c>
      <c r="U11" s="47">
        <f t="shared" ca="1" si="10"/>
        <v>0</v>
      </c>
      <c r="V11" s="45">
        <f ca="1">+V12+V13</f>
        <v>0</v>
      </c>
      <c r="W11" s="47">
        <f t="shared" ca="1" si="11"/>
        <v>0</v>
      </c>
      <c r="X11" s="45">
        <f>+X12+X13</f>
        <v>0</v>
      </c>
      <c r="Y11" s="47">
        <f t="shared" ca="1" si="12"/>
        <v>0</v>
      </c>
      <c r="Z11" s="45">
        <f ca="1">+Z12+Z13</f>
        <v>0</v>
      </c>
      <c r="AA11" s="127">
        <f t="shared" ca="1" si="13"/>
        <v>0</v>
      </c>
      <c r="AB11" s="45">
        <f t="shared" ref="AB11:AC11" ca="1" si="23">+AB12+AB13</f>
        <v>0</v>
      </c>
      <c r="AC11" s="45">
        <f t="shared" si="23"/>
        <v>0</v>
      </c>
      <c r="AD11" s="127">
        <f t="shared" ca="1" si="15"/>
        <v>0</v>
      </c>
    </row>
    <row r="12" spans="1:30" ht="28.5" hidden="1" customHeight="1">
      <c r="A12" s="42" t="s">
        <v>36</v>
      </c>
      <c r="B12" s="43"/>
      <c r="C12" s="126">
        <f t="shared" ca="1" si="0"/>
        <v>1359200</v>
      </c>
      <c r="D12" s="49">
        <f t="shared" ref="D12:H12" ca="1" si="24">+D91</f>
        <v>1359200</v>
      </c>
      <c r="E12" s="45">
        <f t="shared" ca="1" si="24"/>
        <v>132000</v>
      </c>
      <c r="F12" s="45">
        <f t="shared" ca="1" si="24"/>
        <v>1227200</v>
      </c>
      <c r="G12" s="45">
        <f t="shared" ca="1" si="24"/>
        <v>0</v>
      </c>
      <c r="H12" s="45">
        <f t="shared" ca="1" si="24"/>
        <v>19200</v>
      </c>
      <c r="I12" s="45">
        <f t="shared" ca="1" si="3"/>
        <v>303677.2</v>
      </c>
      <c r="J12" s="127">
        <f t="shared" ca="1" si="4"/>
        <v>22.342348440258977</v>
      </c>
      <c r="K12" s="45">
        <f ca="1">+K91</f>
        <v>303677.2</v>
      </c>
      <c r="L12" s="127">
        <f t="shared" ca="1" si="5"/>
        <v>22.342348440258977</v>
      </c>
      <c r="M12" s="127">
        <f t="shared" ca="1" si="6"/>
        <v>1581.6520833333334</v>
      </c>
      <c r="N12" s="127">
        <f ca="1">+N91</f>
        <v>0</v>
      </c>
      <c r="O12" s="127">
        <f t="shared" ca="1" si="7"/>
        <v>0</v>
      </c>
      <c r="P12" s="45">
        <f t="shared" ref="P12:Q12" ca="1" si="25">+P91</f>
        <v>0</v>
      </c>
      <c r="Q12" s="45">
        <f t="shared" si="25"/>
        <v>0</v>
      </c>
      <c r="R12" s="47">
        <f t="shared" ca="1" si="9"/>
        <v>0</v>
      </c>
      <c r="S12" s="45">
        <f t="shared" ref="S12:T12" ca="1" si="26">+S91</f>
        <v>0</v>
      </c>
      <c r="T12" s="45">
        <f t="shared" si="26"/>
        <v>0</v>
      </c>
      <c r="U12" s="47">
        <f t="shared" ca="1" si="10"/>
        <v>0</v>
      </c>
      <c r="V12" s="45">
        <f>+V91</f>
        <v>0</v>
      </c>
      <c r="W12" s="47">
        <f t="shared" ca="1" si="11"/>
        <v>0</v>
      </c>
      <c r="X12" s="45">
        <f>+X91</f>
        <v>0</v>
      </c>
      <c r="Y12" s="47">
        <f t="shared" ca="1" si="12"/>
        <v>0</v>
      </c>
      <c r="Z12" s="45">
        <f>+Z91</f>
        <v>0</v>
      </c>
      <c r="AA12" s="127">
        <f t="shared" ca="1" si="13"/>
        <v>0</v>
      </c>
      <c r="AB12" s="45">
        <f t="shared" ref="AB12:AC12" ca="1" si="27">+AB91</f>
        <v>0</v>
      </c>
      <c r="AC12" s="45">
        <f t="shared" si="27"/>
        <v>0</v>
      </c>
      <c r="AD12" s="127">
        <f t="shared" ca="1" si="15"/>
        <v>0</v>
      </c>
    </row>
    <row r="13" spans="1:30" ht="28.5" hidden="1" customHeight="1">
      <c r="A13" s="42" t="s">
        <v>37</v>
      </c>
      <c r="B13" s="43"/>
      <c r="C13" s="126">
        <f t="shared" ca="1" si="0"/>
        <v>602900</v>
      </c>
      <c r="D13" s="49">
        <f t="shared" ref="D13:H13" ca="1" si="28">+D106</f>
        <v>602900</v>
      </c>
      <c r="E13" s="45">
        <f t="shared" ca="1" si="28"/>
        <v>602900</v>
      </c>
      <c r="F13" s="45">
        <f t="shared" ca="1" si="28"/>
        <v>0</v>
      </c>
      <c r="G13" s="45">
        <f t="shared" ca="1" si="28"/>
        <v>0</v>
      </c>
      <c r="H13" s="45">
        <f t="shared" ca="1" si="28"/>
        <v>452100</v>
      </c>
      <c r="I13" s="45">
        <f t="shared" ca="1" si="3"/>
        <v>0</v>
      </c>
      <c r="J13" s="127">
        <f t="shared" ca="1" si="4"/>
        <v>0</v>
      </c>
      <c r="K13" s="45">
        <f ca="1">+K106</f>
        <v>0</v>
      </c>
      <c r="L13" s="127">
        <f t="shared" ca="1" si="5"/>
        <v>0</v>
      </c>
      <c r="M13" s="127">
        <f t="shared" ca="1" si="6"/>
        <v>0</v>
      </c>
      <c r="N13" s="127">
        <f ca="1">+N106</f>
        <v>0</v>
      </c>
      <c r="O13" s="127">
        <f t="shared" ca="1" si="7"/>
        <v>0</v>
      </c>
      <c r="P13" s="45">
        <f t="shared" ref="P13:Q13" si="29">+P106</f>
        <v>0</v>
      </c>
      <c r="Q13" s="45">
        <f t="shared" si="29"/>
        <v>0</v>
      </c>
      <c r="R13" s="47">
        <f t="shared" si="9"/>
        <v>0</v>
      </c>
      <c r="S13" s="45">
        <f t="shared" ref="S13:T13" si="30">+S106</f>
        <v>0</v>
      </c>
      <c r="T13" s="45">
        <f t="shared" si="30"/>
        <v>0</v>
      </c>
      <c r="U13" s="47">
        <f t="shared" si="10"/>
        <v>0</v>
      </c>
      <c r="V13" s="45">
        <f ca="1">+V106</f>
        <v>0</v>
      </c>
      <c r="W13" s="47">
        <f t="shared" si="11"/>
        <v>0</v>
      </c>
      <c r="X13" s="45">
        <f>+X106</f>
        <v>0</v>
      </c>
      <c r="Y13" s="47">
        <f t="shared" si="12"/>
        <v>0</v>
      </c>
      <c r="Z13" s="45">
        <f ca="1">+Z106</f>
        <v>0</v>
      </c>
      <c r="AA13" s="127">
        <f t="shared" si="13"/>
        <v>0</v>
      </c>
      <c r="AB13" s="45">
        <f t="shared" ref="AB13:AC13" si="31">+AB106</f>
        <v>0</v>
      </c>
      <c r="AC13" s="45">
        <f t="shared" si="31"/>
        <v>0</v>
      </c>
      <c r="AD13" s="127">
        <f t="shared" si="15"/>
        <v>0</v>
      </c>
    </row>
    <row r="14" spans="1:30" ht="28.5" hidden="1" customHeight="1">
      <c r="A14" s="51" t="s">
        <v>38</v>
      </c>
      <c r="B14" s="52"/>
      <c r="C14" s="128">
        <f t="shared" si="0"/>
        <v>0</v>
      </c>
      <c r="D14" s="129">
        <v>0</v>
      </c>
      <c r="E14" s="129">
        <v>0</v>
      </c>
      <c r="F14" s="129">
        <v>0</v>
      </c>
      <c r="G14" s="130">
        <v>0</v>
      </c>
      <c r="H14" s="130">
        <v>0</v>
      </c>
      <c r="I14" s="130">
        <f t="shared" si="3"/>
        <v>0</v>
      </c>
      <c r="J14" s="131">
        <f t="shared" si="4"/>
        <v>0</v>
      </c>
      <c r="K14" s="54">
        <v>0</v>
      </c>
      <c r="L14" s="131">
        <f t="shared" si="5"/>
        <v>0</v>
      </c>
      <c r="M14" s="132">
        <f t="shared" si="6"/>
        <v>0</v>
      </c>
      <c r="N14" s="132">
        <v>0</v>
      </c>
      <c r="O14" s="132">
        <f t="shared" si="7"/>
        <v>0</v>
      </c>
      <c r="P14" s="129">
        <v>0</v>
      </c>
      <c r="Q14" s="129">
        <v>0</v>
      </c>
      <c r="R14" s="133">
        <f t="shared" si="9"/>
        <v>0</v>
      </c>
      <c r="S14" s="129">
        <v>0</v>
      </c>
      <c r="T14" s="129">
        <v>0</v>
      </c>
      <c r="U14" s="133">
        <f t="shared" si="10"/>
        <v>0</v>
      </c>
      <c r="V14" s="54">
        <v>0</v>
      </c>
      <c r="W14" s="133">
        <f t="shared" si="11"/>
        <v>0</v>
      </c>
      <c r="X14" s="54">
        <v>0</v>
      </c>
      <c r="Y14" s="133">
        <f t="shared" si="12"/>
        <v>0</v>
      </c>
      <c r="Z14" s="54">
        <v>0</v>
      </c>
      <c r="AA14" s="134">
        <f t="shared" si="13"/>
        <v>0</v>
      </c>
      <c r="AB14" s="129">
        <v>0</v>
      </c>
      <c r="AC14" s="129">
        <v>0</v>
      </c>
      <c r="AD14" s="134">
        <f t="shared" si="15"/>
        <v>0</v>
      </c>
    </row>
    <row r="15" spans="1:30" ht="28.5" customHeight="1">
      <c r="A15" s="676" t="s">
        <v>39</v>
      </c>
      <c r="B15" s="654"/>
      <c r="C15" s="58">
        <f t="shared" ca="1" si="0"/>
        <v>2457980</v>
      </c>
      <c r="D15" s="59">
        <f t="shared" ref="D15:H15" ca="1" si="32">SUM(D16:D32)</f>
        <v>1257180</v>
      </c>
      <c r="E15" s="59">
        <f t="shared" ca="1" si="32"/>
        <v>0</v>
      </c>
      <c r="F15" s="59">
        <f t="shared" ca="1" si="32"/>
        <v>1257180</v>
      </c>
      <c r="G15" s="59">
        <f t="shared" ca="1" si="32"/>
        <v>1200800</v>
      </c>
      <c r="H15" s="59">
        <f t="shared" ca="1" si="32"/>
        <v>1257180</v>
      </c>
      <c r="I15" s="59">
        <f t="shared" ca="1" si="3"/>
        <v>1582639.5</v>
      </c>
      <c r="J15" s="135">
        <f t="shared" ca="1" si="4"/>
        <v>64.38781031578776</v>
      </c>
      <c r="K15" s="59">
        <f ca="1">SUM(K16:K32)</f>
        <v>384244.5</v>
      </c>
      <c r="L15" s="135">
        <f t="shared" ca="1" si="5"/>
        <v>30.564000381806903</v>
      </c>
      <c r="M15" s="135">
        <f t="shared" ca="1" si="6"/>
        <v>30.564000381806903</v>
      </c>
      <c r="N15" s="135">
        <f ca="1">SUM(N16:N32)</f>
        <v>1198395</v>
      </c>
      <c r="O15" s="135">
        <f t="shared" ca="1" si="7"/>
        <v>99.799716855429708</v>
      </c>
      <c r="P15" s="59">
        <f t="shared" ref="P15:Q15" ca="1" si="33">SUM(P16:P32)</f>
        <v>10</v>
      </c>
      <c r="Q15" s="59">
        <f t="shared" ca="1" si="33"/>
        <v>9</v>
      </c>
      <c r="R15" s="61">
        <f t="shared" ca="1" si="9"/>
        <v>90</v>
      </c>
      <c r="S15" s="59">
        <f t="shared" ref="S15:T15" ca="1" si="34">SUM(S16:S32)</f>
        <v>49</v>
      </c>
      <c r="T15" s="59">
        <f t="shared" ca="1" si="34"/>
        <v>38</v>
      </c>
      <c r="U15" s="61">
        <f t="shared" ca="1" si="10"/>
        <v>77.551020408163268</v>
      </c>
      <c r="V15" s="59">
        <f ca="1">SUM(V16:V32)</f>
        <v>49</v>
      </c>
      <c r="W15" s="61">
        <f t="shared" ca="1" si="11"/>
        <v>100</v>
      </c>
      <c r="X15" s="59">
        <f ca="1">SUM(X16:X32)</f>
        <v>38</v>
      </c>
      <c r="Y15" s="61">
        <f t="shared" ca="1" si="12"/>
        <v>77.551020408163268</v>
      </c>
      <c r="Z15" s="59">
        <f ca="1">SUM(Z16:Z32)</f>
        <v>42</v>
      </c>
      <c r="AA15" s="135">
        <f t="shared" ca="1" si="13"/>
        <v>85.714285714285708</v>
      </c>
      <c r="AB15" s="59">
        <f t="shared" ref="AB15:AC15" ca="1" si="35">SUM(AB16:AB32)</f>
        <v>13</v>
      </c>
      <c r="AC15" s="59">
        <f t="shared" ca="1" si="35"/>
        <v>13</v>
      </c>
      <c r="AD15" s="135">
        <f t="shared" ca="1" si="15"/>
        <v>100</v>
      </c>
    </row>
    <row r="16" spans="1:30" ht="24" customHeight="1">
      <c r="A16" s="63">
        <v>1</v>
      </c>
      <c r="B16" s="64" t="s">
        <v>40</v>
      </c>
      <c r="C16" s="65">
        <f t="shared" ca="1" si="0"/>
        <v>0</v>
      </c>
      <c r="D16" s="66">
        <v>0</v>
      </c>
      <c r="E16" s="67">
        <f ca="1">IFERROR(__xludf.DUMMYFUNCTION("IMPORTRANGE(""https://docs.google.com/spreadsheets/d/1C3CXT74ZlgGe6_JY_1olB1XN4rF0dxEuIIF-xsYjHgg/edit?usp=sharing"",""พรบ!P20"")"),0)</f>
        <v>0</v>
      </c>
      <c r="F16" s="67">
        <f ca="1">IFERROR(__xludf.DUMMYFUNCTION("IMPORTRANGE(""https://docs.google.com/spreadsheets/d/1C3CXT74ZlgGe6_JY_1olB1XN4rF0dxEuIIF-xsYjHgg/edit?usp=sharing"",""พรบ!Q20"")"),0)</f>
        <v>0</v>
      </c>
      <c r="G16" s="67">
        <f ca="1">IFERROR(__xludf.DUMMYFUNCTION("IMPORTRANGE(""https://docs.google.com/spreadsheets/d/1Yj_ptqi66GCucihVvJfMjLAmec39IyEx_6qawtMGysU/edit?usp=sharing"",""สบก!AP20"")"),0)</f>
        <v>0</v>
      </c>
      <c r="H16" s="67">
        <f ca="1">IFERROR(__xludf.DUMMYFUNCTION("IMPORTRANGE(""https://docs.google.com/spreadsheets/d/1Yj_ptqi66GCucihVvJfMjLAmec39IyEx_6qawtMGysU/edit?usp=sharing"",""สบก!AR20"")"),0)</f>
        <v>0</v>
      </c>
      <c r="I16" s="67">
        <f t="shared" ca="1" si="3"/>
        <v>0</v>
      </c>
      <c r="J16" s="136">
        <f t="shared" ca="1" si="4"/>
        <v>0</v>
      </c>
      <c r="K16" s="67">
        <f ca="1">IFERROR(__xludf.DUMMYFUNCTION("IMPORTRANGE(""https://docs.google.com/spreadsheets/d/1Yj_ptqi66GCucihVvJfMjLAmec39IyEx_6qawtMGysU/edit?usp=sharing"",""สบก!AS20"")"),0)</f>
        <v>0</v>
      </c>
      <c r="L16" s="136">
        <f t="shared" si="5"/>
        <v>0</v>
      </c>
      <c r="M16" s="136">
        <f t="shared" ca="1" si="6"/>
        <v>0</v>
      </c>
      <c r="N16" s="136">
        <f ca="1">IFERROR(__xludf.DUMMYFUNCTION("IMPORTRANGE(""https://docs.google.com/spreadsheets/d/1Yj_ptqi66GCucihVvJfMjLAmec39IyEx_6qawtMGysU/edit?usp=sharing"",""สบก!AT20"")"),0)</f>
        <v>0</v>
      </c>
      <c r="O16" s="136">
        <f t="shared" ca="1" si="7"/>
        <v>0</v>
      </c>
      <c r="P16" s="67">
        <f ca="1">IFERROR(__xludf.DUMMYFUNCTION("IMPORTRANGE(""https://docs.google.com/spreadsheets/d/1C3CXT74ZlgGe6_JY_1olB1XN4rF0dxEuIIF-xsYjHgg/edit?usp=sharing"",""พรบ!R20"")"),0)</f>
        <v>0</v>
      </c>
      <c r="Q16" s="67">
        <f ca="1">IFERROR(__xludf.DUMMYFUNCTION("IMPORTRANGE(""https://docs.google.com/spreadsheets/d/11923uPwbBZFjjGgGUA6NLw09EwE0CqkOc4q9oUmW1yo/edit?usp=sharing"",""กำแพงเพชร!J43"")"),0)</f>
        <v>0</v>
      </c>
      <c r="R16" s="70">
        <f t="shared" ca="1" si="9"/>
        <v>0</v>
      </c>
      <c r="S16" s="67">
        <f ca="1">IFERROR(__xludf.DUMMYFUNCTION("IMPORTRANGE(""https://docs.google.com/spreadsheets/d/1C3CXT74ZlgGe6_JY_1olB1XN4rF0dxEuIIF-xsYjHgg/edit?usp=sharing"",""พรบ!S20"")"),0)</f>
        <v>0</v>
      </c>
      <c r="T16" s="67">
        <f ca="1">IFERROR(__xludf.DUMMYFUNCTION("IMPORTRANGE(""https://docs.google.com/spreadsheets/d/11923uPwbBZFjjGgGUA6NLw09EwE0CqkOc4q9oUmW1yo/edit?usp=sharing"",""กำแพงเพชร!J44"")"),0)</f>
        <v>0</v>
      </c>
      <c r="U16" s="70">
        <f t="shared" ca="1" si="10"/>
        <v>0</v>
      </c>
      <c r="V16" s="67">
        <f ca="1">IFERROR(__xludf.DUMMYFUNCTION("IMPORTRANGE(""https://docs.google.com/spreadsheets/d/11923uPwbBZFjjGgGUA6NLw09EwE0CqkOc4q9oUmW1yo/edit?usp=sharing"",""กำแพงเพชร!J45"")"),0)</f>
        <v>0</v>
      </c>
      <c r="W16" s="70">
        <f t="shared" ca="1" si="11"/>
        <v>0</v>
      </c>
      <c r="X16" s="67">
        <f ca="1">IFERROR(__xludf.DUMMYFUNCTION("IMPORTRANGE(""https://docs.google.com/spreadsheets/d/11923uPwbBZFjjGgGUA6NLw09EwE0CqkOc4q9oUmW1yo/edit?usp=sharing"",""กำแพงเพชร!J46"")"),0)</f>
        <v>0</v>
      </c>
      <c r="Y16" s="70">
        <f t="shared" ca="1" si="12"/>
        <v>0</v>
      </c>
      <c r="Z16" s="67">
        <f ca="1">IFERROR(__xludf.DUMMYFUNCTION("IMPORTRANGE(""https://docs.google.com/spreadsheets/d/11923uPwbBZFjjGgGUA6NLw09EwE0CqkOc4q9oUmW1yo/edit?usp=sharing"",""กำแพงเพชร!J47"")"),0)</f>
        <v>0</v>
      </c>
      <c r="AA16" s="136">
        <f t="shared" ca="1" si="13"/>
        <v>0</v>
      </c>
      <c r="AB16" s="67">
        <f ca="1">IFERROR(__xludf.DUMMYFUNCTION("IMPORTRANGE(""https://docs.google.com/spreadsheets/d/1C3CXT74ZlgGe6_JY_1olB1XN4rF0dxEuIIF-xsYjHgg/edit?usp=sharing"",""พรบ!W20"")"),0)</f>
        <v>0</v>
      </c>
      <c r="AC16" s="67">
        <f ca="1">IFERROR(__xludf.DUMMYFUNCTION("IMPORTRANGE(""https://docs.google.com/spreadsheets/d/11923uPwbBZFjjGgGUA6NLw09EwE0CqkOc4q9oUmW1yo/edit?usp=sharing"",""กำแพงเพชร!J48"")"),0)</f>
        <v>0</v>
      </c>
      <c r="AD16" s="136">
        <f t="shared" ca="1" si="15"/>
        <v>0</v>
      </c>
    </row>
    <row r="17" spans="1:30" ht="24" customHeight="1">
      <c r="A17" s="73">
        <v>2</v>
      </c>
      <c r="B17" s="74" t="s">
        <v>41</v>
      </c>
      <c r="C17" s="75">
        <f t="shared" ca="1" si="0"/>
        <v>318960</v>
      </c>
      <c r="D17" s="76">
        <f t="shared" ref="D17:D32" ca="1" si="36">+E17+F17</f>
        <v>134160</v>
      </c>
      <c r="E17" s="77">
        <f ca="1">IFERROR(__xludf.DUMMYFUNCTION("IMPORTRANGE(""https://docs.google.com/spreadsheets/d/1C3CXT74ZlgGe6_JY_1olB1XN4rF0dxEuIIF-xsYjHgg/edit?usp=sharing"",""พรบ!P21"")"),0)</f>
        <v>0</v>
      </c>
      <c r="F17" s="77">
        <f ca="1">IFERROR(__xludf.DUMMYFUNCTION("IMPORTRANGE(""https://docs.google.com/spreadsheets/d/1C3CXT74ZlgGe6_JY_1olB1XN4rF0dxEuIIF-xsYjHgg/edit?usp=sharing"",""พรบ!Q21"")"),134160)</f>
        <v>134160</v>
      </c>
      <c r="G17" s="77">
        <f ca="1">IFERROR(__xludf.DUMMYFUNCTION("IMPORTRANGE(""https://docs.google.com/spreadsheets/d/1Yj_ptqi66GCucihVvJfMjLAmec39IyEx_6qawtMGysU/edit?usp=sharing"",""สบก!AP21"")"),184800)</f>
        <v>184800</v>
      </c>
      <c r="H17" s="77">
        <f ca="1">IFERROR(__xludf.DUMMYFUNCTION("IMPORTRANGE(""https://docs.google.com/spreadsheets/d/1Yj_ptqi66GCucihVvJfMjLAmec39IyEx_6qawtMGysU/edit?usp=sharing"",""สบก!AR21"")"),134160)</f>
        <v>134160</v>
      </c>
      <c r="I17" s="77">
        <f t="shared" ca="1" si="3"/>
        <v>214115</v>
      </c>
      <c r="J17" s="137">
        <f t="shared" ca="1" si="4"/>
        <v>67.129107098068729</v>
      </c>
      <c r="K17" s="77">
        <f ca="1">IFERROR(__xludf.DUMMYFUNCTION("IMPORTRANGE(""https://docs.google.com/spreadsheets/d/1Yj_ptqi66GCucihVvJfMjLAmec39IyEx_6qawtMGysU/edit?usp=sharing"",""สบก!AS21"")"),29315)</f>
        <v>29315</v>
      </c>
      <c r="L17" s="137">
        <f t="shared" ca="1" si="5"/>
        <v>21.850775193798448</v>
      </c>
      <c r="M17" s="137">
        <f t="shared" ca="1" si="6"/>
        <v>21.850775193798448</v>
      </c>
      <c r="N17" s="137">
        <f ca="1">IFERROR(__xludf.DUMMYFUNCTION("IMPORTRANGE(""https://docs.google.com/spreadsheets/d/1Yj_ptqi66GCucihVvJfMjLAmec39IyEx_6qawtMGysU/edit?usp=sharing"",""สบก!AT21"")"),184800)</f>
        <v>184800</v>
      </c>
      <c r="O17" s="137">
        <f t="shared" ca="1" si="7"/>
        <v>100</v>
      </c>
      <c r="P17" s="77">
        <f ca="1">IFERROR(__xludf.DUMMYFUNCTION("IMPORTRANGE(""https://docs.google.com/spreadsheets/d/1C3CXT74ZlgGe6_JY_1olB1XN4rF0dxEuIIF-xsYjHgg/edit?usp=sharing"",""พรบ!R21"")"),1)</f>
        <v>1</v>
      </c>
      <c r="Q17" s="77">
        <f ca="1">IFERROR(__xludf.DUMMYFUNCTION("IMPORTRANGE(""https://docs.google.com/spreadsheets/d/11923uPwbBZFjjGgGUA6NLw09EwE0CqkOc4q9oUmW1yo/edit?usp=sharing"",""เชียงราย!J43"")"),1)</f>
        <v>1</v>
      </c>
      <c r="R17" s="79">
        <f t="shared" ca="1" si="9"/>
        <v>100</v>
      </c>
      <c r="S17" s="77">
        <f ca="1">IFERROR(__xludf.DUMMYFUNCTION("IMPORTRANGE(""https://docs.google.com/spreadsheets/d/1C3CXT74ZlgGe6_JY_1olB1XN4rF0dxEuIIF-xsYjHgg/edit?usp=sharing"",""พรบ!S21"")"),7)</f>
        <v>7</v>
      </c>
      <c r="T17" s="77">
        <f ca="1">IFERROR(__xludf.DUMMYFUNCTION("IMPORTRANGE(""https://docs.google.com/spreadsheets/d/11923uPwbBZFjjGgGUA6NLw09EwE0CqkOc4q9oUmW1yo/edit?usp=sharing"",""เชียงราย!J44"")"),7)</f>
        <v>7</v>
      </c>
      <c r="U17" s="79">
        <f t="shared" ca="1" si="10"/>
        <v>100</v>
      </c>
      <c r="V17" s="77">
        <f ca="1">IFERROR(__xludf.DUMMYFUNCTION("IMPORTRANGE(""https://docs.google.com/spreadsheets/d/11923uPwbBZFjjGgGUA6NLw09EwE0CqkOc4q9oUmW1yo/edit?usp=sharing"",""เชียงราย!J45"")"),7)</f>
        <v>7</v>
      </c>
      <c r="W17" s="79">
        <f t="shared" ca="1" si="11"/>
        <v>100</v>
      </c>
      <c r="X17" s="77">
        <f ca="1">IFERROR(__xludf.DUMMYFUNCTION("IMPORTRANGE(""https://docs.google.com/spreadsheets/d/11923uPwbBZFjjGgGUA6NLw09EwE0CqkOc4q9oUmW1yo/edit?usp=sharing"",""เชียงราย!J46"")"),7)</f>
        <v>7</v>
      </c>
      <c r="Y17" s="79">
        <f t="shared" ca="1" si="12"/>
        <v>100</v>
      </c>
      <c r="Z17" s="77">
        <f ca="1">IFERROR(__xludf.DUMMYFUNCTION("IMPORTRANGE(""https://docs.google.com/spreadsheets/d/11923uPwbBZFjjGgGUA6NLw09EwE0CqkOc4q9oUmW1yo/edit?usp=sharing"",""เชียงราย!J47"")"),7)</f>
        <v>7</v>
      </c>
      <c r="AA17" s="137">
        <f t="shared" ca="1" si="13"/>
        <v>100</v>
      </c>
      <c r="AB17" s="77">
        <f ca="1">IFERROR(__xludf.DUMMYFUNCTION("IMPORTRANGE(""https://docs.google.com/spreadsheets/d/1C3CXT74ZlgGe6_JY_1olB1XN4rF0dxEuIIF-xsYjHgg/edit?usp=sharing"",""พรบ!W21"")"),2)</f>
        <v>2</v>
      </c>
      <c r="AC17" s="77">
        <f ca="1">IFERROR(__xludf.DUMMYFUNCTION("IMPORTRANGE(""https://docs.google.com/spreadsheets/d/11923uPwbBZFjjGgGUA6NLw09EwE0CqkOc4q9oUmW1yo/edit?usp=sharing"",""เชียงราย!J48"")"),2)</f>
        <v>2</v>
      </c>
      <c r="AD17" s="137">
        <f t="shared" ca="1" si="15"/>
        <v>100</v>
      </c>
    </row>
    <row r="18" spans="1:30" ht="24" customHeight="1">
      <c r="A18" s="73">
        <v>3</v>
      </c>
      <c r="B18" s="74" t="s">
        <v>42</v>
      </c>
      <c r="C18" s="75">
        <f t="shared" ca="1" si="0"/>
        <v>214500</v>
      </c>
      <c r="D18" s="76">
        <f t="shared" ca="1" si="36"/>
        <v>122100</v>
      </c>
      <c r="E18" s="77">
        <f ca="1">IFERROR(__xludf.DUMMYFUNCTION("IMPORTRANGE(""https://docs.google.com/spreadsheets/d/1C3CXT74ZlgGe6_JY_1olB1XN4rF0dxEuIIF-xsYjHgg/edit?usp=sharing"",""พรบ!P22"")"),0)</f>
        <v>0</v>
      </c>
      <c r="F18" s="77">
        <f ca="1">IFERROR(__xludf.DUMMYFUNCTION("IMPORTRANGE(""https://docs.google.com/spreadsheets/d/1C3CXT74ZlgGe6_JY_1olB1XN4rF0dxEuIIF-xsYjHgg/edit?usp=sharing"",""พรบ!Q22"")"),122100)</f>
        <v>122100</v>
      </c>
      <c r="G18" s="77">
        <f ca="1">IFERROR(__xludf.DUMMYFUNCTION("IMPORTRANGE(""https://docs.google.com/spreadsheets/d/1Yj_ptqi66GCucihVvJfMjLAmec39IyEx_6qawtMGysU/edit?usp=sharing"",""สบก!AP22"")"),92400)</f>
        <v>92400</v>
      </c>
      <c r="H18" s="77">
        <f ca="1">IFERROR(__xludf.DUMMYFUNCTION("IMPORTRANGE(""https://docs.google.com/spreadsheets/d/1Yj_ptqi66GCucihVvJfMjLAmec39IyEx_6qawtMGysU/edit?usp=sharing"",""สบก!AR22"")"),122100)</f>
        <v>122100</v>
      </c>
      <c r="I18" s="77">
        <f t="shared" ca="1" si="3"/>
        <v>122280</v>
      </c>
      <c r="J18" s="137">
        <f t="shared" ca="1" si="4"/>
        <v>57.006993006993007</v>
      </c>
      <c r="K18" s="77">
        <f ca="1">IFERROR(__xludf.DUMMYFUNCTION("IMPORTRANGE(""https://docs.google.com/spreadsheets/d/1Yj_ptqi66GCucihVvJfMjLAmec39IyEx_6qawtMGysU/edit?usp=sharing"",""สบก!AS22"")"),29880)</f>
        <v>29880</v>
      </c>
      <c r="L18" s="137">
        <f t="shared" ca="1" si="5"/>
        <v>24.471744471744472</v>
      </c>
      <c r="M18" s="137">
        <f t="shared" ca="1" si="6"/>
        <v>24.471744471744472</v>
      </c>
      <c r="N18" s="137">
        <f ca="1">IFERROR(__xludf.DUMMYFUNCTION("IMPORTRANGE(""https://docs.google.com/spreadsheets/d/1Yj_ptqi66GCucihVvJfMjLAmec39IyEx_6qawtMGysU/edit?usp=sharing"",""สบก!AT22"")"),92400)</f>
        <v>92400</v>
      </c>
      <c r="O18" s="137">
        <f t="shared" ca="1" si="7"/>
        <v>100</v>
      </c>
      <c r="P18" s="77">
        <f ca="1">IFERROR(__xludf.DUMMYFUNCTION("IMPORTRANGE(""https://docs.google.com/spreadsheets/d/1C3CXT74ZlgGe6_JY_1olB1XN4rF0dxEuIIF-xsYjHgg/edit?usp=sharing"",""พรบ!R22"")"),1)</f>
        <v>1</v>
      </c>
      <c r="Q18" s="77">
        <f ca="1">IFERROR(__xludf.DUMMYFUNCTION("IMPORTRANGE(""https://docs.google.com/spreadsheets/d/11923uPwbBZFjjGgGUA6NLw09EwE0CqkOc4q9oUmW1yo/edit?usp=sharing"",""เชียงใหม่!J43"")"),1)</f>
        <v>1</v>
      </c>
      <c r="R18" s="79">
        <f t="shared" ca="1" si="9"/>
        <v>100</v>
      </c>
      <c r="S18" s="77">
        <f ca="1">IFERROR(__xludf.DUMMYFUNCTION("IMPORTRANGE(""https://docs.google.com/spreadsheets/d/1C3CXT74ZlgGe6_JY_1olB1XN4rF0dxEuIIF-xsYjHgg/edit?usp=sharing"",""พรบ!S22"")"),4)</f>
        <v>4</v>
      </c>
      <c r="T18" s="77">
        <f ca="1">IFERROR(__xludf.DUMMYFUNCTION("IMPORTRANGE(""https://docs.google.com/spreadsheets/d/11923uPwbBZFjjGgGUA6NLw09EwE0CqkOc4q9oUmW1yo/edit?usp=sharing"",""เชียงใหม่!J44"")"),4)</f>
        <v>4</v>
      </c>
      <c r="U18" s="79">
        <f t="shared" ca="1" si="10"/>
        <v>100</v>
      </c>
      <c r="V18" s="77">
        <f ca="1">IFERROR(__xludf.DUMMYFUNCTION("IMPORTRANGE(""https://docs.google.com/spreadsheets/d/11923uPwbBZFjjGgGUA6NLw09EwE0CqkOc4q9oUmW1yo/edit?usp=sharing"",""เชียงใหม่!J45"")"),4)</f>
        <v>4</v>
      </c>
      <c r="W18" s="79">
        <f t="shared" ca="1" si="11"/>
        <v>100</v>
      </c>
      <c r="X18" s="77">
        <f ca="1">IFERROR(__xludf.DUMMYFUNCTION("IMPORTRANGE(""https://docs.google.com/spreadsheets/d/11923uPwbBZFjjGgGUA6NLw09EwE0CqkOc4q9oUmW1yo/edit?usp=sharing"",""เชียงใหม่!J46"")"),4)</f>
        <v>4</v>
      </c>
      <c r="Y18" s="79">
        <f t="shared" ca="1" si="12"/>
        <v>100</v>
      </c>
      <c r="Z18" s="77">
        <f ca="1">IFERROR(__xludf.DUMMYFUNCTION("IMPORTRANGE(""https://docs.google.com/spreadsheets/d/11923uPwbBZFjjGgGUA6NLw09EwE0CqkOc4q9oUmW1yo/edit?usp=sharing"",""เชียงใหม่!J47"")"),4)</f>
        <v>4</v>
      </c>
      <c r="AA18" s="137">
        <f t="shared" ca="1" si="13"/>
        <v>100</v>
      </c>
      <c r="AB18" s="77">
        <f ca="1">IFERROR(__xludf.DUMMYFUNCTION("IMPORTRANGE(""https://docs.google.com/spreadsheets/d/1C3CXT74ZlgGe6_JY_1olB1XN4rF0dxEuIIF-xsYjHgg/edit?usp=sharing"",""พรบ!W22"")"),1)</f>
        <v>1</v>
      </c>
      <c r="AC18" s="77">
        <f ca="1">IFERROR(__xludf.DUMMYFUNCTION("IMPORTRANGE(""https://docs.google.com/spreadsheets/d/11923uPwbBZFjjGgGUA6NLw09EwE0CqkOc4q9oUmW1yo/edit?usp=sharing"",""เชียงใหม่!J48"")"),1)</f>
        <v>1</v>
      </c>
      <c r="AD18" s="137">
        <f t="shared" ca="1" si="15"/>
        <v>100</v>
      </c>
    </row>
    <row r="19" spans="1:30" ht="24" customHeight="1">
      <c r="A19" s="73">
        <v>4</v>
      </c>
      <c r="B19" s="74" t="s">
        <v>43</v>
      </c>
      <c r="C19" s="75">
        <f t="shared" ca="1" si="0"/>
        <v>214500</v>
      </c>
      <c r="D19" s="76">
        <f t="shared" ca="1" si="36"/>
        <v>122100</v>
      </c>
      <c r="E19" s="77">
        <f ca="1">IFERROR(__xludf.DUMMYFUNCTION("IMPORTRANGE(""https://docs.google.com/spreadsheets/d/1C3CXT74ZlgGe6_JY_1olB1XN4rF0dxEuIIF-xsYjHgg/edit?usp=sharing"",""พรบ!P23"")"),0)</f>
        <v>0</v>
      </c>
      <c r="F19" s="77">
        <f ca="1">IFERROR(__xludf.DUMMYFUNCTION("IMPORTRANGE(""https://docs.google.com/spreadsheets/d/1C3CXT74ZlgGe6_JY_1olB1XN4rF0dxEuIIF-xsYjHgg/edit?usp=sharing"",""พรบ!Q23"")"),122100)</f>
        <v>122100</v>
      </c>
      <c r="G19" s="77">
        <f ca="1">IFERROR(__xludf.DUMMYFUNCTION("IMPORTRANGE(""https://docs.google.com/spreadsheets/d/1Yj_ptqi66GCucihVvJfMjLAmec39IyEx_6qawtMGysU/edit?usp=sharing"",""สบก!AP23"")"),92400)</f>
        <v>92400</v>
      </c>
      <c r="H19" s="77">
        <f ca="1">IFERROR(__xludf.DUMMYFUNCTION("IMPORTRANGE(""https://docs.google.com/spreadsheets/d/1Yj_ptqi66GCucihVvJfMjLAmec39IyEx_6qawtMGysU/edit?usp=sharing"",""สบก!AR23"")"),122100)</f>
        <v>122100</v>
      </c>
      <c r="I19" s="77">
        <f t="shared" ca="1" si="3"/>
        <v>136120</v>
      </c>
      <c r="J19" s="137">
        <f t="shared" ca="1" si="4"/>
        <v>63.459207459207462</v>
      </c>
      <c r="K19" s="77">
        <f ca="1">IFERROR(__xludf.DUMMYFUNCTION("IMPORTRANGE(""https://docs.google.com/spreadsheets/d/1Yj_ptqi66GCucihVvJfMjLAmec39IyEx_6qawtMGysU/edit?usp=sharing"",""สบก!AS23"")"),43720)</f>
        <v>43720</v>
      </c>
      <c r="L19" s="137">
        <f t="shared" ca="1" si="5"/>
        <v>35.806715806715808</v>
      </c>
      <c r="M19" s="137">
        <f t="shared" ca="1" si="6"/>
        <v>35.806715806715808</v>
      </c>
      <c r="N19" s="137">
        <f ca="1">IFERROR(__xludf.DUMMYFUNCTION("IMPORTRANGE(""https://docs.google.com/spreadsheets/d/1Yj_ptqi66GCucihVvJfMjLAmec39IyEx_6qawtMGysU/edit?usp=sharing"",""สบก!AT23"")"),92400)</f>
        <v>92400</v>
      </c>
      <c r="O19" s="137">
        <f t="shared" ca="1" si="7"/>
        <v>100</v>
      </c>
      <c r="P19" s="77">
        <f ca="1">IFERROR(__xludf.DUMMYFUNCTION("IMPORTRANGE(""https://docs.google.com/spreadsheets/d/1C3CXT74ZlgGe6_JY_1olB1XN4rF0dxEuIIF-xsYjHgg/edit?usp=sharing"",""พรบ!R23"")"),1)</f>
        <v>1</v>
      </c>
      <c r="Q19" s="77">
        <f ca="1">IFERROR(__xludf.DUMMYFUNCTION("IMPORTRANGE(""https://docs.google.com/spreadsheets/d/11923uPwbBZFjjGgGUA6NLw09EwE0CqkOc4q9oUmW1yo/edit?usp=sharing"",""ตาก!J43"")"),0)</f>
        <v>0</v>
      </c>
      <c r="R19" s="79">
        <f t="shared" ca="1" si="9"/>
        <v>0</v>
      </c>
      <c r="S19" s="77">
        <f ca="1">IFERROR(__xludf.DUMMYFUNCTION("IMPORTRANGE(""https://docs.google.com/spreadsheets/d/1C3CXT74ZlgGe6_JY_1olB1XN4rF0dxEuIIF-xsYjHgg/edit?usp=sharing"",""พรบ!S23"")"),4)</f>
        <v>4</v>
      </c>
      <c r="T19" s="77">
        <f ca="1">IFERROR(__xludf.DUMMYFUNCTION("IMPORTRANGE(""https://docs.google.com/spreadsheets/d/11923uPwbBZFjjGgGUA6NLw09EwE0CqkOc4q9oUmW1yo/edit?usp=sharing"",""ตาก!J44"")"),4)</f>
        <v>4</v>
      </c>
      <c r="U19" s="79">
        <f t="shared" ca="1" si="10"/>
        <v>100</v>
      </c>
      <c r="V19" s="77">
        <f ca="1">IFERROR(__xludf.DUMMYFUNCTION("IMPORTRANGE(""https://docs.google.com/spreadsheets/d/11923uPwbBZFjjGgGUA6NLw09EwE0CqkOc4q9oUmW1yo/edit?usp=sharing"",""ตาก!J45"")"),4)</f>
        <v>4</v>
      </c>
      <c r="W19" s="79">
        <f t="shared" ca="1" si="11"/>
        <v>100</v>
      </c>
      <c r="X19" s="77">
        <f ca="1">IFERROR(__xludf.DUMMYFUNCTION("IMPORTRANGE(""https://docs.google.com/spreadsheets/d/11923uPwbBZFjjGgGUA6NLw09EwE0CqkOc4q9oUmW1yo/edit?usp=sharing"",""ตาก!J46"")"),4)</f>
        <v>4</v>
      </c>
      <c r="Y19" s="79">
        <f t="shared" ca="1" si="12"/>
        <v>100</v>
      </c>
      <c r="Z19" s="77">
        <f ca="1">IFERROR(__xludf.DUMMYFUNCTION("IMPORTRANGE(""https://docs.google.com/spreadsheets/d/11923uPwbBZFjjGgGUA6NLw09EwE0CqkOc4q9oUmW1yo/edit?usp=sharing"",""ตาก!J47"")"),4)</f>
        <v>4</v>
      </c>
      <c r="AA19" s="137">
        <f t="shared" ca="1" si="13"/>
        <v>100</v>
      </c>
      <c r="AB19" s="77">
        <f ca="1">IFERROR(__xludf.DUMMYFUNCTION("IMPORTRANGE(""https://docs.google.com/spreadsheets/d/1C3CXT74ZlgGe6_JY_1olB1XN4rF0dxEuIIF-xsYjHgg/edit?usp=sharing"",""พรบ!W23"")"),1)</f>
        <v>1</v>
      </c>
      <c r="AC19" s="77">
        <f ca="1">IFERROR(__xludf.DUMMYFUNCTION("IMPORTRANGE(""https://docs.google.com/spreadsheets/d/11923uPwbBZFjjGgGUA6NLw09EwE0CqkOc4q9oUmW1yo/edit?usp=sharing"",""ตาก!J48"")"),1)</f>
        <v>1</v>
      </c>
      <c r="AD19" s="137">
        <f t="shared" ca="1" si="15"/>
        <v>100</v>
      </c>
    </row>
    <row r="20" spans="1:30" ht="24" customHeight="1">
      <c r="A20" s="73">
        <v>5</v>
      </c>
      <c r="B20" s="74" t="s">
        <v>44</v>
      </c>
      <c r="C20" s="75">
        <f t="shared" ca="1" si="0"/>
        <v>214500</v>
      </c>
      <c r="D20" s="76">
        <f t="shared" ca="1" si="36"/>
        <v>122100</v>
      </c>
      <c r="E20" s="77">
        <f ca="1">IFERROR(__xludf.DUMMYFUNCTION("IMPORTRANGE(""https://docs.google.com/spreadsheets/d/1C3CXT74ZlgGe6_JY_1olB1XN4rF0dxEuIIF-xsYjHgg/edit?usp=sharing"",""พรบ!P24"")"),0)</f>
        <v>0</v>
      </c>
      <c r="F20" s="77">
        <f ca="1">IFERROR(__xludf.DUMMYFUNCTION("IMPORTRANGE(""https://docs.google.com/spreadsheets/d/1C3CXT74ZlgGe6_JY_1olB1XN4rF0dxEuIIF-xsYjHgg/edit?usp=sharing"",""พรบ!Q24"")"),122100)</f>
        <v>122100</v>
      </c>
      <c r="G20" s="77">
        <f ca="1">IFERROR(__xludf.DUMMYFUNCTION("IMPORTRANGE(""https://docs.google.com/spreadsheets/d/1Yj_ptqi66GCucihVvJfMjLAmec39IyEx_6qawtMGysU/edit?usp=sharing"",""สบก!AP24"")"),92400)</f>
        <v>92400</v>
      </c>
      <c r="H20" s="77">
        <f ca="1">IFERROR(__xludf.DUMMYFUNCTION("IMPORTRANGE(""https://docs.google.com/spreadsheets/d/1Yj_ptqi66GCucihVvJfMjLAmec39IyEx_6qawtMGysU/edit?usp=sharing"",""สบก!AR24"")"),122100)</f>
        <v>122100</v>
      </c>
      <c r="I20" s="77">
        <f t="shared" ca="1" si="3"/>
        <v>117320</v>
      </c>
      <c r="J20" s="137">
        <f t="shared" ca="1" si="4"/>
        <v>54.694638694638698</v>
      </c>
      <c r="K20" s="77">
        <f ca="1">IFERROR(__xludf.DUMMYFUNCTION("IMPORTRANGE(""https://docs.google.com/spreadsheets/d/1Yj_ptqi66GCucihVvJfMjLAmec39IyEx_6qawtMGysU/edit?usp=sharing"",""สบก!AS24"")"),24920)</f>
        <v>24920</v>
      </c>
      <c r="L20" s="137">
        <f t="shared" ca="1" si="5"/>
        <v>20.40950040950041</v>
      </c>
      <c r="M20" s="137">
        <f t="shared" ca="1" si="6"/>
        <v>20.40950040950041</v>
      </c>
      <c r="N20" s="137">
        <f ca="1">IFERROR(__xludf.DUMMYFUNCTION("IMPORTRANGE(""https://docs.google.com/spreadsheets/d/1Yj_ptqi66GCucihVvJfMjLAmec39IyEx_6qawtMGysU/edit?usp=sharing"",""สบก!AT24"")"),92400)</f>
        <v>92400</v>
      </c>
      <c r="O20" s="137">
        <f t="shared" ca="1" si="7"/>
        <v>100</v>
      </c>
      <c r="P20" s="77">
        <f ca="1">IFERROR(__xludf.DUMMYFUNCTION("IMPORTRANGE(""https://docs.google.com/spreadsheets/d/1C3CXT74ZlgGe6_JY_1olB1XN4rF0dxEuIIF-xsYjHgg/edit?usp=sharing"",""พรบ!R24"")"),1)</f>
        <v>1</v>
      </c>
      <c r="Q20" s="77">
        <f ca="1">IFERROR(__xludf.DUMMYFUNCTION("IMPORTRANGE(""https://docs.google.com/spreadsheets/d/11923uPwbBZFjjGgGUA6NLw09EwE0CqkOc4q9oUmW1yo/edit?usp=sharing"",""นครสวรรค์!J43"")"),1)</f>
        <v>1</v>
      </c>
      <c r="R20" s="79">
        <f t="shared" ca="1" si="9"/>
        <v>100</v>
      </c>
      <c r="S20" s="77">
        <f ca="1">IFERROR(__xludf.DUMMYFUNCTION("IMPORTRANGE(""https://docs.google.com/spreadsheets/d/1C3CXT74ZlgGe6_JY_1olB1XN4rF0dxEuIIF-xsYjHgg/edit?usp=sharing"",""พรบ!S24"")"),4)</f>
        <v>4</v>
      </c>
      <c r="T20" s="77">
        <f ca="1">IFERROR(__xludf.DUMMYFUNCTION("IMPORTRANGE(""https://docs.google.com/spreadsheets/d/11923uPwbBZFjjGgGUA6NLw09EwE0CqkOc4q9oUmW1yo/edit?usp=sharing"",""นครสวรรค์!J44"")"),4)</f>
        <v>4</v>
      </c>
      <c r="U20" s="79">
        <f t="shared" ca="1" si="10"/>
        <v>100</v>
      </c>
      <c r="V20" s="77">
        <f ca="1">IFERROR(__xludf.DUMMYFUNCTION("IMPORTRANGE(""https://docs.google.com/spreadsheets/d/11923uPwbBZFjjGgGUA6NLw09EwE0CqkOc4q9oUmW1yo/edit?usp=sharing"",""นครสวรรค์!J45"")"),4)</f>
        <v>4</v>
      </c>
      <c r="W20" s="79">
        <f t="shared" ca="1" si="11"/>
        <v>100</v>
      </c>
      <c r="X20" s="77">
        <f ca="1">IFERROR(__xludf.DUMMYFUNCTION("IMPORTRANGE(""https://docs.google.com/spreadsheets/d/11923uPwbBZFjjGgGUA6NLw09EwE0CqkOc4q9oUmW1yo/edit?usp=sharing"",""นครสวรรค์!J46"")"),4)</f>
        <v>4</v>
      </c>
      <c r="Y20" s="79">
        <f t="shared" ca="1" si="12"/>
        <v>100</v>
      </c>
      <c r="Z20" s="77">
        <f ca="1">IFERROR(__xludf.DUMMYFUNCTION("IMPORTRANGE(""https://docs.google.com/spreadsheets/d/11923uPwbBZFjjGgGUA6NLw09EwE0CqkOc4q9oUmW1yo/edit?usp=sharing"",""นครสวรรค์!J47"")"),4)</f>
        <v>4</v>
      </c>
      <c r="AA20" s="137">
        <f t="shared" ca="1" si="13"/>
        <v>100</v>
      </c>
      <c r="AB20" s="77">
        <f ca="1">IFERROR(__xludf.DUMMYFUNCTION("IMPORTRANGE(""https://docs.google.com/spreadsheets/d/1C3CXT74ZlgGe6_JY_1olB1XN4rF0dxEuIIF-xsYjHgg/edit?usp=sharing"",""พรบ!W24"")"),1)</f>
        <v>1</v>
      </c>
      <c r="AC20" s="77">
        <f ca="1">IFERROR(__xludf.DUMMYFUNCTION("IMPORTRANGE(""https://docs.google.com/spreadsheets/d/11923uPwbBZFjjGgGUA6NLw09EwE0CqkOc4q9oUmW1yo/edit?usp=sharing"",""นครสวรรค์!J48"")"),1)</f>
        <v>1</v>
      </c>
      <c r="AD20" s="137">
        <f t="shared" ca="1" si="15"/>
        <v>100</v>
      </c>
    </row>
    <row r="21" spans="1:30" ht="24" customHeight="1">
      <c r="A21" s="73">
        <v>6</v>
      </c>
      <c r="B21" s="74" t="s">
        <v>45</v>
      </c>
      <c r="C21" s="75">
        <f t="shared" ca="1" si="0"/>
        <v>214100</v>
      </c>
      <c r="D21" s="76">
        <f t="shared" ca="1" si="36"/>
        <v>122100</v>
      </c>
      <c r="E21" s="77">
        <f ca="1">IFERROR(__xludf.DUMMYFUNCTION("IMPORTRANGE(""https://docs.google.com/spreadsheets/d/1C3CXT74ZlgGe6_JY_1olB1XN4rF0dxEuIIF-xsYjHgg/edit?usp=sharing"",""พรบ!P25"")"),0)</f>
        <v>0</v>
      </c>
      <c r="F21" s="77">
        <f ca="1">IFERROR(__xludf.DUMMYFUNCTION("IMPORTRANGE(""https://docs.google.com/spreadsheets/d/1C3CXT74ZlgGe6_JY_1olB1XN4rF0dxEuIIF-xsYjHgg/edit?usp=sharing"",""พรบ!Q25"")"),122100)</f>
        <v>122100</v>
      </c>
      <c r="G21" s="77">
        <f ca="1">IFERROR(__xludf.DUMMYFUNCTION("IMPORTRANGE(""https://docs.google.com/spreadsheets/d/1Yj_ptqi66GCucihVvJfMjLAmec39IyEx_6qawtMGysU/edit?usp=sharing"",""สบก!AP25"")"),92000)</f>
        <v>92000</v>
      </c>
      <c r="H21" s="77">
        <f ca="1">IFERROR(__xludf.DUMMYFUNCTION("IMPORTRANGE(""https://docs.google.com/spreadsheets/d/1Yj_ptqi66GCucihVvJfMjLAmec39IyEx_6qawtMGysU/edit?usp=sharing"",""สบก!AR25"")"),122100)</f>
        <v>122100</v>
      </c>
      <c r="I21" s="77">
        <f t="shared" ca="1" si="3"/>
        <v>127817</v>
      </c>
      <c r="J21" s="137">
        <f t="shared" ca="1" si="4"/>
        <v>59.699673049976646</v>
      </c>
      <c r="K21" s="77">
        <f ca="1">IFERROR(__xludf.DUMMYFUNCTION("IMPORTRANGE(""https://docs.google.com/spreadsheets/d/1Yj_ptqi66GCucihVvJfMjLAmec39IyEx_6qawtMGysU/edit?usp=sharing"",""สบก!AS25"")"),35817)</f>
        <v>35817</v>
      </c>
      <c r="L21" s="137">
        <f t="shared" ca="1" si="5"/>
        <v>29.334152334152336</v>
      </c>
      <c r="M21" s="137">
        <f t="shared" ca="1" si="6"/>
        <v>29.334152334152336</v>
      </c>
      <c r="N21" s="137">
        <f ca="1">IFERROR(__xludf.DUMMYFUNCTION("IMPORTRANGE(""https://docs.google.com/spreadsheets/d/1Yj_ptqi66GCucihVvJfMjLAmec39IyEx_6qawtMGysU/edit?usp=sharing"",""สบก!AT25"")"),92000)</f>
        <v>92000</v>
      </c>
      <c r="O21" s="137">
        <f t="shared" ca="1" si="7"/>
        <v>100</v>
      </c>
      <c r="P21" s="77">
        <f ca="1">IFERROR(__xludf.DUMMYFUNCTION("IMPORTRANGE(""https://docs.google.com/spreadsheets/d/1C3CXT74ZlgGe6_JY_1olB1XN4rF0dxEuIIF-xsYjHgg/edit?usp=sharing"",""พรบ!R25"")"),1)</f>
        <v>1</v>
      </c>
      <c r="Q21" s="77">
        <f ca="1">IFERROR(__xludf.DUMMYFUNCTION("IMPORTRANGE(""https://docs.google.com/spreadsheets/d/11923uPwbBZFjjGgGUA6NLw09EwE0CqkOc4q9oUmW1yo/edit?usp=sharing"",""น่าน!J43"")"),1)</f>
        <v>1</v>
      </c>
      <c r="R21" s="79">
        <f t="shared" ca="1" si="9"/>
        <v>100</v>
      </c>
      <c r="S21" s="77">
        <f ca="1">IFERROR(__xludf.DUMMYFUNCTION("IMPORTRANGE(""https://docs.google.com/spreadsheets/d/1C3CXT74ZlgGe6_JY_1olB1XN4rF0dxEuIIF-xsYjHgg/edit?usp=sharing"",""พรบ!S25"")"),4)</f>
        <v>4</v>
      </c>
      <c r="T21" s="77">
        <f ca="1">IFERROR(__xludf.DUMMYFUNCTION("IMPORTRANGE(""https://docs.google.com/spreadsheets/d/11923uPwbBZFjjGgGUA6NLw09EwE0CqkOc4q9oUmW1yo/edit?usp=sharing"",""น่าน!J44"")"),4)</f>
        <v>4</v>
      </c>
      <c r="U21" s="79">
        <f t="shared" ca="1" si="10"/>
        <v>100</v>
      </c>
      <c r="V21" s="77">
        <f ca="1">IFERROR(__xludf.DUMMYFUNCTION("IMPORTRANGE(""https://docs.google.com/spreadsheets/d/11923uPwbBZFjjGgGUA6NLw09EwE0CqkOc4q9oUmW1yo/edit?usp=sharing"",""น่าน!J45"")"),4)</f>
        <v>4</v>
      </c>
      <c r="W21" s="79">
        <f t="shared" ca="1" si="11"/>
        <v>100</v>
      </c>
      <c r="X21" s="77">
        <f ca="1">IFERROR(__xludf.DUMMYFUNCTION("IMPORTRANGE(""https://docs.google.com/spreadsheets/d/11923uPwbBZFjjGgGUA6NLw09EwE0CqkOc4q9oUmW1yo/edit?usp=sharing"",""น่าน!J46"")"),4)</f>
        <v>4</v>
      </c>
      <c r="Y21" s="79">
        <f t="shared" ca="1" si="12"/>
        <v>100</v>
      </c>
      <c r="Z21" s="77">
        <f ca="1">IFERROR(__xludf.DUMMYFUNCTION("IMPORTRANGE(""https://docs.google.com/spreadsheets/d/11923uPwbBZFjjGgGUA6NLw09EwE0CqkOc4q9oUmW1yo/edit?usp=sharing"",""น่าน!J47"")"),4)</f>
        <v>4</v>
      </c>
      <c r="AA21" s="137">
        <f t="shared" ca="1" si="13"/>
        <v>100</v>
      </c>
      <c r="AB21" s="77">
        <f ca="1">IFERROR(__xludf.DUMMYFUNCTION("IMPORTRANGE(""https://docs.google.com/spreadsheets/d/1C3CXT74ZlgGe6_JY_1olB1XN4rF0dxEuIIF-xsYjHgg/edit?usp=sharing"",""พรบ!W25"")"),1)</f>
        <v>1</v>
      </c>
      <c r="AC21" s="77">
        <f ca="1">IFERROR(__xludf.DUMMYFUNCTION("IMPORTRANGE(""https://docs.google.com/spreadsheets/d/11923uPwbBZFjjGgGUA6NLw09EwE0CqkOc4q9oUmW1yo/edit?usp=sharing"",""น่าน!J48"")"),1)</f>
        <v>1</v>
      </c>
      <c r="AD21" s="137">
        <f t="shared" ca="1" si="15"/>
        <v>100</v>
      </c>
    </row>
    <row r="22" spans="1:30" ht="24" customHeight="1">
      <c r="A22" s="73">
        <v>7</v>
      </c>
      <c r="B22" s="74" t="s">
        <v>46</v>
      </c>
      <c r="C22" s="75">
        <f t="shared" ca="1" si="0"/>
        <v>318960</v>
      </c>
      <c r="D22" s="76">
        <f t="shared" ca="1" si="36"/>
        <v>134160</v>
      </c>
      <c r="E22" s="77">
        <f ca="1">IFERROR(__xludf.DUMMYFUNCTION("IMPORTRANGE(""https://docs.google.com/spreadsheets/d/1C3CXT74ZlgGe6_JY_1olB1XN4rF0dxEuIIF-xsYjHgg/edit?usp=sharing"",""พรบ!P26"")"),0)</f>
        <v>0</v>
      </c>
      <c r="F22" s="77">
        <f ca="1">IFERROR(__xludf.DUMMYFUNCTION("IMPORTRANGE(""https://docs.google.com/spreadsheets/d/1C3CXT74ZlgGe6_JY_1olB1XN4rF0dxEuIIF-xsYjHgg/edit?usp=sharing"",""พรบ!Q26"")"),134160)</f>
        <v>134160</v>
      </c>
      <c r="G22" s="77">
        <f ca="1">IFERROR(__xludf.DUMMYFUNCTION("IMPORTRANGE(""https://docs.google.com/spreadsheets/d/1Yj_ptqi66GCucihVvJfMjLAmec39IyEx_6qawtMGysU/edit?usp=sharing"",""สบก!AP26"")"),184800)</f>
        <v>184800</v>
      </c>
      <c r="H22" s="77">
        <f ca="1">IFERROR(__xludf.DUMMYFUNCTION("IMPORTRANGE(""https://docs.google.com/spreadsheets/d/1Yj_ptqi66GCucihVvJfMjLAmec39IyEx_6qawtMGysU/edit?usp=sharing"",""สบก!AR26"")"),134160)</f>
        <v>134160</v>
      </c>
      <c r="I22" s="77">
        <f t="shared" ca="1" si="3"/>
        <v>254379</v>
      </c>
      <c r="J22" s="137">
        <f t="shared" ca="1" si="4"/>
        <v>79.752633559066965</v>
      </c>
      <c r="K22" s="77">
        <f ca="1">IFERROR(__xludf.DUMMYFUNCTION("IMPORTRANGE(""https://docs.google.com/spreadsheets/d/1Yj_ptqi66GCucihVvJfMjLAmec39IyEx_6qawtMGysU/edit?usp=sharing"",""สบก!AS26"")"),69579)</f>
        <v>69579</v>
      </c>
      <c r="L22" s="137">
        <f t="shared" ca="1" si="5"/>
        <v>51.862701252236135</v>
      </c>
      <c r="M22" s="137">
        <f t="shared" ca="1" si="6"/>
        <v>51.862701252236135</v>
      </c>
      <c r="N22" s="137">
        <f ca="1">IFERROR(__xludf.DUMMYFUNCTION("IMPORTRANGE(""https://docs.google.com/spreadsheets/d/1Yj_ptqi66GCucihVvJfMjLAmec39IyEx_6qawtMGysU/edit?usp=sharing"",""สบก!AT26"")"),184800)</f>
        <v>184800</v>
      </c>
      <c r="O22" s="137">
        <f t="shared" ca="1" si="7"/>
        <v>100</v>
      </c>
      <c r="P22" s="77">
        <f ca="1">IFERROR(__xludf.DUMMYFUNCTION("IMPORTRANGE(""https://docs.google.com/spreadsheets/d/1C3CXT74ZlgGe6_JY_1olB1XN4rF0dxEuIIF-xsYjHgg/edit?usp=sharing"",""พรบ!R26"")"),1)</f>
        <v>1</v>
      </c>
      <c r="Q22" s="77">
        <f ca="1">IFERROR(__xludf.DUMMYFUNCTION("IMPORTRANGE(""https://docs.google.com/spreadsheets/d/11923uPwbBZFjjGgGUA6NLw09EwE0CqkOc4q9oUmW1yo/edit?usp=sharing"",""พะเยา!J43"")"),1)</f>
        <v>1</v>
      </c>
      <c r="R22" s="79">
        <f t="shared" ca="1" si="9"/>
        <v>100</v>
      </c>
      <c r="S22" s="77">
        <f ca="1">IFERROR(__xludf.DUMMYFUNCTION("IMPORTRANGE(""https://docs.google.com/spreadsheets/d/1C3CXT74ZlgGe6_JY_1olB1XN4rF0dxEuIIF-xsYjHgg/edit?usp=sharing"",""พรบ!S26"")"),7)</f>
        <v>7</v>
      </c>
      <c r="T22" s="77">
        <f ca="1">IFERROR(__xludf.DUMMYFUNCTION("IMPORTRANGE(""https://docs.google.com/spreadsheets/d/11923uPwbBZFjjGgGUA6NLw09EwE0CqkOc4q9oUmW1yo/edit?usp=sharing"",""พะเยา!J44"")"),7)</f>
        <v>7</v>
      </c>
      <c r="U22" s="79">
        <f t="shared" ca="1" si="10"/>
        <v>100</v>
      </c>
      <c r="V22" s="77">
        <f ca="1">IFERROR(__xludf.DUMMYFUNCTION("IMPORTRANGE(""https://docs.google.com/spreadsheets/d/11923uPwbBZFjjGgGUA6NLw09EwE0CqkOc4q9oUmW1yo/edit?usp=sharing"",""พะเยา!J45"")"),7)</f>
        <v>7</v>
      </c>
      <c r="W22" s="79">
        <f t="shared" ca="1" si="11"/>
        <v>100</v>
      </c>
      <c r="X22" s="77">
        <f ca="1">IFERROR(__xludf.DUMMYFUNCTION("IMPORTRANGE(""https://docs.google.com/spreadsheets/d/11923uPwbBZFjjGgGUA6NLw09EwE0CqkOc4q9oUmW1yo/edit?usp=sharing"",""พะเยา!J46"")"),7)</f>
        <v>7</v>
      </c>
      <c r="Y22" s="79">
        <f t="shared" ca="1" si="12"/>
        <v>100</v>
      </c>
      <c r="Z22" s="77">
        <f ca="1">IFERROR(__xludf.DUMMYFUNCTION("IMPORTRANGE(""https://docs.google.com/spreadsheets/d/11923uPwbBZFjjGgGUA6NLw09EwE0CqkOc4q9oUmW1yo/edit?usp=sharing"",""พะเยา!J47"")"),7)</f>
        <v>7</v>
      </c>
      <c r="AA22" s="137">
        <f t="shared" ca="1" si="13"/>
        <v>100</v>
      </c>
      <c r="AB22" s="77">
        <f ca="1">IFERROR(__xludf.DUMMYFUNCTION("IMPORTRANGE(""https://docs.google.com/spreadsheets/d/1C3CXT74ZlgGe6_JY_1olB1XN4rF0dxEuIIF-xsYjHgg/edit?usp=sharing"",""พรบ!W26"")"),2)</f>
        <v>2</v>
      </c>
      <c r="AC22" s="77">
        <f ca="1">IFERROR(__xludf.DUMMYFUNCTION("IMPORTRANGE(""https://docs.google.com/spreadsheets/d/11923uPwbBZFjjGgGUA6NLw09EwE0CqkOc4q9oUmW1yo/edit?usp=sharing"",""พะเยา!J48"")"),2)</f>
        <v>2</v>
      </c>
      <c r="AD22" s="137">
        <f t="shared" ca="1" si="15"/>
        <v>100</v>
      </c>
    </row>
    <row r="23" spans="1:30" ht="24" customHeight="1">
      <c r="A23" s="73">
        <v>8</v>
      </c>
      <c r="B23" s="74" t="s">
        <v>47</v>
      </c>
      <c r="C23" s="75">
        <f t="shared" ca="1" si="0"/>
        <v>0</v>
      </c>
      <c r="D23" s="76">
        <f t="shared" ca="1" si="36"/>
        <v>0</v>
      </c>
      <c r="E23" s="77">
        <f ca="1">IFERROR(__xludf.DUMMYFUNCTION("IMPORTRANGE(""https://docs.google.com/spreadsheets/d/1C3CXT74ZlgGe6_JY_1olB1XN4rF0dxEuIIF-xsYjHgg/edit?usp=sharing"",""พรบ!P27"")"),0)</f>
        <v>0</v>
      </c>
      <c r="F23" s="77">
        <f ca="1">IFERROR(__xludf.DUMMYFUNCTION("IMPORTRANGE(""https://docs.google.com/spreadsheets/d/1C3CXT74ZlgGe6_JY_1olB1XN4rF0dxEuIIF-xsYjHgg/edit?usp=sharing"",""พรบ!Q27"")"),0)</f>
        <v>0</v>
      </c>
      <c r="G23" s="77">
        <f ca="1">IFERROR(__xludf.DUMMYFUNCTION("IMPORTRANGE(""https://docs.google.com/spreadsheets/d/1Yj_ptqi66GCucihVvJfMjLAmec39IyEx_6qawtMGysU/edit?usp=sharing"",""สบก!AP27"")"),0)</f>
        <v>0</v>
      </c>
      <c r="H23" s="77">
        <f ca="1">IFERROR(__xludf.DUMMYFUNCTION("IMPORTRANGE(""https://docs.google.com/spreadsheets/d/1Yj_ptqi66GCucihVvJfMjLAmec39IyEx_6qawtMGysU/edit?usp=sharing"",""สบก!AR27"")"),0)</f>
        <v>0</v>
      </c>
      <c r="I23" s="77">
        <f t="shared" ca="1" si="3"/>
        <v>0</v>
      </c>
      <c r="J23" s="137">
        <f t="shared" ca="1" si="4"/>
        <v>0</v>
      </c>
      <c r="K23" s="77">
        <f ca="1">IFERROR(__xludf.DUMMYFUNCTION("IMPORTRANGE(""https://docs.google.com/spreadsheets/d/1Yj_ptqi66GCucihVvJfMjLAmec39IyEx_6qawtMGysU/edit?usp=sharing"",""สบก!AS27"")"),0)</f>
        <v>0</v>
      </c>
      <c r="L23" s="137">
        <f t="shared" ca="1" si="5"/>
        <v>0</v>
      </c>
      <c r="M23" s="137">
        <f t="shared" ca="1" si="6"/>
        <v>0</v>
      </c>
      <c r="N23" s="137">
        <f ca="1">IFERROR(__xludf.DUMMYFUNCTION("IMPORTRANGE(""https://docs.google.com/spreadsheets/d/1Yj_ptqi66GCucihVvJfMjLAmec39IyEx_6qawtMGysU/edit?usp=sharing"",""สบก!AT27"")"),0)</f>
        <v>0</v>
      </c>
      <c r="O23" s="137">
        <f t="shared" ca="1" si="7"/>
        <v>0</v>
      </c>
      <c r="P23" s="77">
        <f ca="1">IFERROR(__xludf.DUMMYFUNCTION("IMPORTRANGE(""https://docs.google.com/spreadsheets/d/1C3CXT74ZlgGe6_JY_1olB1XN4rF0dxEuIIF-xsYjHgg/edit?usp=sharing"",""พรบ!R27"")"),0)</f>
        <v>0</v>
      </c>
      <c r="Q23" s="77">
        <f ca="1">IFERROR(__xludf.DUMMYFUNCTION("IMPORTRANGE(""https://docs.google.com/spreadsheets/d/11923uPwbBZFjjGgGUA6NLw09EwE0CqkOc4q9oUmW1yo/edit?usp=sharing"",""พิจิตร!J43"")"),0)</f>
        <v>0</v>
      </c>
      <c r="R23" s="79">
        <f t="shared" ca="1" si="9"/>
        <v>0</v>
      </c>
      <c r="S23" s="77">
        <f ca="1">IFERROR(__xludf.DUMMYFUNCTION("IMPORTRANGE(""https://docs.google.com/spreadsheets/d/1C3CXT74ZlgGe6_JY_1olB1XN4rF0dxEuIIF-xsYjHgg/edit?usp=sharing"",""พรบ!S27"")"),0)</f>
        <v>0</v>
      </c>
      <c r="T23" s="77">
        <f ca="1">IFERROR(__xludf.DUMMYFUNCTION("IMPORTRANGE(""https://docs.google.com/spreadsheets/d/11923uPwbBZFjjGgGUA6NLw09EwE0CqkOc4q9oUmW1yo/edit?usp=sharing"",""พิจิตร!J44"")"),0)</f>
        <v>0</v>
      </c>
      <c r="U23" s="79">
        <f t="shared" ca="1" si="10"/>
        <v>0</v>
      </c>
      <c r="V23" s="77">
        <f ca="1">IFERROR(__xludf.DUMMYFUNCTION("IMPORTRANGE(""https://docs.google.com/spreadsheets/d/11923uPwbBZFjjGgGUA6NLw09EwE0CqkOc4q9oUmW1yo/edit?usp=sharing"",""พิจิตร!J45"")"),0)</f>
        <v>0</v>
      </c>
      <c r="W23" s="79">
        <f t="shared" ca="1" si="11"/>
        <v>0</v>
      </c>
      <c r="X23" s="77">
        <f ca="1">IFERROR(__xludf.DUMMYFUNCTION("IMPORTRANGE(""https://docs.google.com/spreadsheets/d/11923uPwbBZFjjGgGUA6NLw09EwE0CqkOc4q9oUmW1yo/edit?usp=sharing"",""พิจิตร!J46"")"),0)</f>
        <v>0</v>
      </c>
      <c r="Y23" s="79">
        <f t="shared" ca="1" si="12"/>
        <v>0</v>
      </c>
      <c r="Z23" s="77">
        <f ca="1">IFERROR(__xludf.DUMMYFUNCTION("IMPORTRANGE(""https://docs.google.com/spreadsheets/d/11923uPwbBZFjjGgGUA6NLw09EwE0CqkOc4q9oUmW1yo/edit?usp=sharing"",""พิจิตร!J47"")"),0)</f>
        <v>0</v>
      </c>
      <c r="AA23" s="137">
        <f t="shared" ca="1" si="13"/>
        <v>0</v>
      </c>
      <c r="AB23" s="77">
        <f ca="1">IFERROR(__xludf.DUMMYFUNCTION("IMPORTRANGE(""https://docs.google.com/spreadsheets/d/1C3CXT74ZlgGe6_JY_1olB1XN4rF0dxEuIIF-xsYjHgg/edit?usp=sharing"",""พรบ!W27"")"),0)</f>
        <v>0</v>
      </c>
      <c r="AC23" s="77">
        <f ca="1">IFERROR(__xludf.DUMMYFUNCTION("IMPORTRANGE(""https://docs.google.com/spreadsheets/d/11923uPwbBZFjjGgGUA6NLw09EwE0CqkOc4q9oUmW1yo/edit?usp=sharing"",""พิจิตร!J48"")"),0)</f>
        <v>0</v>
      </c>
      <c r="AD23" s="137">
        <f t="shared" ca="1" si="15"/>
        <v>0</v>
      </c>
    </row>
    <row r="24" spans="1:30" ht="24" customHeight="1">
      <c r="A24" s="73">
        <v>9</v>
      </c>
      <c r="B24" s="74" t="s">
        <v>48</v>
      </c>
      <c r="C24" s="75">
        <f t="shared" ca="1" si="0"/>
        <v>0</v>
      </c>
      <c r="D24" s="76">
        <f t="shared" ca="1" si="36"/>
        <v>0</v>
      </c>
      <c r="E24" s="77">
        <f ca="1">IFERROR(__xludf.DUMMYFUNCTION("IMPORTRANGE(""https://docs.google.com/spreadsheets/d/1C3CXT74ZlgGe6_JY_1olB1XN4rF0dxEuIIF-xsYjHgg/edit?usp=sharing"",""พรบ!P28"")"),0)</f>
        <v>0</v>
      </c>
      <c r="F24" s="77">
        <f ca="1">IFERROR(__xludf.DUMMYFUNCTION("IMPORTRANGE(""https://docs.google.com/spreadsheets/d/1C3CXT74ZlgGe6_JY_1olB1XN4rF0dxEuIIF-xsYjHgg/edit?usp=sharing"",""พรบ!Q28"")"),0)</f>
        <v>0</v>
      </c>
      <c r="G24" s="77">
        <f ca="1">IFERROR(__xludf.DUMMYFUNCTION("IMPORTRANGE(""https://docs.google.com/spreadsheets/d/1Yj_ptqi66GCucihVvJfMjLAmec39IyEx_6qawtMGysU/edit?usp=sharing"",""สบก!AP28"")"),0)</f>
        <v>0</v>
      </c>
      <c r="H24" s="77">
        <f ca="1">IFERROR(__xludf.DUMMYFUNCTION("IMPORTRANGE(""https://docs.google.com/spreadsheets/d/1Yj_ptqi66GCucihVvJfMjLAmec39IyEx_6qawtMGysU/edit?usp=sharing"",""สบก!AR28"")"),0)</f>
        <v>0</v>
      </c>
      <c r="I24" s="77">
        <f t="shared" ca="1" si="3"/>
        <v>0</v>
      </c>
      <c r="J24" s="137">
        <f t="shared" ca="1" si="4"/>
        <v>0</v>
      </c>
      <c r="K24" s="77">
        <f ca="1">IFERROR(__xludf.DUMMYFUNCTION("IMPORTRANGE(""https://docs.google.com/spreadsheets/d/1Yj_ptqi66GCucihVvJfMjLAmec39IyEx_6qawtMGysU/edit?usp=sharing"",""สบก!AS28"")"),0)</f>
        <v>0</v>
      </c>
      <c r="L24" s="137">
        <f t="shared" ca="1" si="5"/>
        <v>0</v>
      </c>
      <c r="M24" s="137">
        <f t="shared" ca="1" si="6"/>
        <v>0</v>
      </c>
      <c r="N24" s="137">
        <f ca="1">IFERROR(__xludf.DUMMYFUNCTION("IMPORTRANGE(""https://docs.google.com/spreadsheets/d/1Yj_ptqi66GCucihVvJfMjLAmec39IyEx_6qawtMGysU/edit?usp=sharing"",""สบก!AT28"")"),0)</f>
        <v>0</v>
      </c>
      <c r="O24" s="137">
        <f t="shared" ca="1" si="7"/>
        <v>0</v>
      </c>
      <c r="P24" s="77">
        <f ca="1">IFERROR(__xludf.DUMMYFUNCTION("IMPORTRANGE(""https://docs.google.com/spreadsheets/d/1C3CXT74ZlgGe6_JY_1olB1XN4rF0dxEuIIF-xsYjHgg/edit?usp=sharing"",""พรบ!R28"")"),0)</f>
        <v>0</v>
      </c>
      <c r="Q24" s="77">
        <f ca="1">IFERROR(__xludf.DUMMYFUNCTION("IMPORTRANGE(""https://docs.google.com/spreadsheets/d/11923uPwbBZFjjGgGUA6NLw09EwE0CqkOc4q9oUmW1yo/edit?usp=sharing"",""พิษณุโลก!J43"")"),0)</f>
        <v>0</v>
      </c>
      <c r="R24" s="79">
        <f t="shared" ca="1" si="9"/>
        <v>0</v>
      </c>
      <c r="S24" s="77">
        <f ca="1">IFERROR(__xludf.DUMMYFUNCTION("IMPORTRANGE(""https://docs.google.com/spreadsheets/d/1C3CXT74ZlgGe6_JY_1olB1XN4rF0dxEuIIF-xsYjHgg/edit?usp=sharing"",""พรบ!S28"")"),0)</f>
        <v>0</v>
      </c>
      <c r="T24" s="77">
        <f ca="1">IFERROR(__xludf.DUMMYFUNCTION("IMPORTRANGE(""https://docs.google.com/spreadsheets/d/11923uPwbBZFjjGgGUA6NLw09EwE0CqkOc4q9oUmW1yo/edit?usp=sharing"",""พิษณุโลก!J44"")"),0)</f>
        <v>0</v>
      </c>
      <c r="U24" s="79">
        <f t="shared" ca="1" si="10"/>
        <v>0</v>
      </c>
      <c r="V24" s="77">
        <f ca="1">IFERROR(__xludf.DUMMYFUNCTION("IMPORTRANGE(""https://docs.google.com/spreadsheets/d/11923uPwbBZFjjGgGUA6NLw09EwE0CqkOc4q9oUmW1yo/edit?usp=sharing"",""พิษณุโลก!J45"")"),0)</f>
        <v>0</v>
      </c>
      <c r="W24" s="79">
        <f t="shared" ca="1" si="11"/>
        <v>0</v>
      </c>
      <c r="X24" s="77">
        <f ca="1">IFERROR(__xludf.DUMMYFUNCTION("IMPORTRANGE(""https://docs.google.com/spreadsheets/d/11923uPwbBZFjjGgGUA6NLw09EwE0CqkOc4q9oUmW1yo/edit?usp=sharing"",""พิษณุโลก!J46"")"),0)</f>
        <v>0</v>
      </c>
      <c r="Y24" s="79">
        <f t="shared" ca="1" si="12"/>
        <v>0</v>
      </c>
      <c r="Z24" s="77">
        <f ca="1">IFERROR(__xludf.DUMMYFUNCTION("IMPORTRANGE(""https://docs.google.com/spreadsheets/d/11923uPwbBZFjjGgGUA6NLw09EwE0CqkOc4q9oUmW1yo/edit?usp=sharing"",""พิษณุโลก!J47"")"),0)</f>
        <v>0</v>
      </c>
      <c r="AA24" s="137">
        <f t="shared" ca="1" si="13"/>
        <v>0</v>
      </c>
      <c r="AB24" s="77">
        <f ca="1">IFERROR(__xludf.DUMMYFUNCTION("IMPORTRANGE(""https://docs.google.com/spreadsheets/d/1C3CXT74ZlgGe6_JY_1olB1XN4rF0dxEuIIF-xsYjHgg/edit?usp=sharing"",""พรบ!W28"")"),0)</f>
        <v>0</v>
      </c>
      <c r="AC24" s="77">
        <f ca="1">IFERROR(__xludf.DUMMYFUNCTION("IMPORTRANGE(""https://docs.google.com/spreadsheets/d/11923uPwbBZFjjGgGUA6NLw09EwE0CqkOc4q9oUmW1yo/edit?usp=sharing"",""พิษณุโลก!J48"")"),0)</f>
        <v>0</v>
      </c>
      <c r="AD24" s="137">
        <f t="shared" ca="1" si="15"/>
        <v>0</v>
      </c>
    </row>
    <row r="25" spans="1:30" ht="24" customHeight="1">
      <c r="A25" s="73">
        <v>10</v>
      </c>
      <c r="B25" s="74" t="s">
        <v>49</v>
      </c>
      <c r="C25" s="75">
        <f t="shared" ca="1" si="0"/>
        <v>0</v>
      </c>
      <c r="D25" s="76">
        <f t="shared" ca="1" si="36"/>
        <v>0</v>
      </c>
      <c r="E25" s="77">
        <f ca="1">IFERROR(__xludf.DUMMYFUNCTION("IMPORTRANGE(""https://docs.google.com/spreadsheets/d/1C3CXT74ZlgGe6_JY_1olB1XN4rF0dxEuIIF-xsYjHgg/edit?usp=sharing"",""พรบ!P29"")"),0)</f>
        <v>0</v>
      </c>
      <c r="F25" s="77">
        <f ca="1">IFERROR(__xludf.DUMMYFUNCTION("IMPORTRANGE(""https://docs.google.com/spreadsheets/d/1C3CXT74ZlgGe6_JY_1olB1XN4rF0dxEuIIF-xsYjHgg/edit?usp=sharing"",""พรบ!Q29"")"),0)</f>
        <v>0</v>
      </c>
      <c r="G25" s="77">
        <f ca="1">IFERROR(__xludf.DUMMYFUNCTION("IMPORTRANGE(""https://docs.google.com/spreadsheets/d/1Yj_ptqi66GCucihVvJfMjLAmec39IyEx_6qawtMGysU/edit?usp=sharing"",""สบก!AP29"")"),0)</f>
        <v>0</v>
      </c>
      <c r="H25" s="77">
        <f ca="1">IFERROR(__xludf.DUMMYFUNCTION("IMPORTRANGE(""https://docs.google.com/spreadsheets/d/1Yj_ptqi66GCucihVvJfMjLAmec39IyEx_6qawtMGysU/edit?usp=sharing"",""สบก!AR29"")"),0)</f>
        <v>0</v>
      </c>
      <c r="I25" s="77">
        <f t="shared" ca="1" si="3"/>
        <v>0</v>
      </c>
      <c r="J25" s="137">
        <f t="shared" ca="1" si="4"/>
        <v>0</v>
      </c>
      <c r="K25" s="77">
        <f ca="1">IFERROR(__xludf.DUMMYFUNCTION("IMPORTRANGE(""https://docs.google.com/spreadsheets/d/1Yj_ptqi66GCucihVvJfMjLAmec39IyEx_6qawtMGysU/edit?usp=sharing"",""สบก!AS29"")"),0)</f>
        <v>0</v>
      </c>
      <c r="L25" s="137">
        <f t="shared" ca="1" si="5"/>
        <v>0</v>
      </c>
      <c r="M25" s="137">
        <f t="shared" ca="1" si="6"/>
        <v>0</v>
      </c>
      <c r="N25" s="137">
        <f ca="1">IFERROR(__xludf.DUMMYFUNCTION("IMPORTRANGE(""https://docs.google.com/spreadsheets/d/1Yj_ptqi66GCucihVvJfMjLAmec39IyEx_6qawtMGysU/edit?usp=sharing"",""สบก!AT29"")"),0)</f>
        <v>0</v>
      </c>
      <c r="O25" s="137">
        <f t="shared" ca="1" si="7"/>
        <v>0</v>
      </c>
      <c r="P25" s="77">
        <f ca="1">IFERROR(__xludf.DUMMYFUNCTION("IMPORTRANGE(""https://docs.google.com/spreadsheets/d/1C3CXT74ZlgGe6_JY_1olB1XN4rF0dxEuIIF-xsYjHgg/edit?usp=sharing"",""พรบ!R29"")"),0)</f>
        <v>0</v>
      </c>
      <c r="Q25" s="77">
        <f ca="1">IFERROR(__xludf.DUMMYFUNCTION("IMPORTRANGE(""https://docs.google.com/spreadsheets/d/11923uPwbBZFjjGgGUA6NLw09EwE0CqkOc4q9oUmW1yo/edit?usp=sharing"",""เพชรบูรณ์!J43"")"),0)</f>
        <v>0</v>
      </c>
      <c r="R25" s="79">
        <f t="shared" ca="1" si="9"/>
        <v>0</v>
      </c>
      <c r="S25" s="77">
        <f ca="1">IFERROR(__xludf.DUMMYFUNCTION("IMPORTRANGE(""https://docs.google.com/spreadsheets/d/1C3CXT74ZlgGe6_JY_1olB1XN4rF0dxEuIIF-xsYjHgg/edit?usp=sharing"",""พรบ!S29"")"),0)</f>
        <v>0</v>
      </c>
      <c r="T25" s="77">
        <f ca="1">IFERROR(__xludf.DUMMYFUNCTION("IMPORTRANGE(""https://docs.google.com/spreadsheets/d/11923uPwbBZFjjGgGUA6NLw09EwE0CqkOc4q9oUmW1yo/edit?usp=sharing"",""เพชรบูรณ์!J44"")"),0)</f>
        <v>0</v>
      </c>
      <c r="U25" s="79">
        <f t="shared" ca="1" si="10"/>
        <v>0</v>
      </c>
      <c r="V25" s="77">
        <f ca="1">IFERROR(__xludf.DUMMYFUNCTION("IMPORTRANGE(""https://docs.google.com/spreadsheets/d/11923uPwbBZFjjGgGUA6NLw09EwE0CqkOc4q9oUmW1yo/edit?usp=sharing"",""เพชรบูรณ์!J45"")"),0)</f>
        <v>0</v>
      </c>
      <c r="W25" s="79">
        <f t="shared" ca="1" si="11"/>
        <v>0</v>
      </c>
      <c r="X25" s="77">
        <f ca="1">IFERROR(__xludf.DUMMYFUNCTION("IMPORTRANGE(""https://docs.google.com/spreadsheets/d/11923uPwbBZFjjGgGUA6NLw09EwE0CqkOc4q9oUmW1yo/edit?usp=sharing"",""เพชรบูรณ์!J46"")"),0)</f>
        <v>0</v>
      </c>
      <c r="Y25" s="79">
        <f t="shared" ca="1" si="12"/>
        <v>0</v>
      </c>
      <c r="Z25" s="77">
        <f ca="1">IFERROR(__xludf.DUMMYFUNCTION("IMPORTRANGE(""https://docs.google.com/spreadsheets/d/11923uPwbBZFjjGgGUA6NLw09EwE0CqkOc4q9oUmW1yo/edit?usp=sharing"",""เพชรบูรณ์!J47"")"),0)</f>
        <v>0</v>
      </c>
      <c r="AA25" s="137">
        <f t="shared" ca="1" si="13"/>
        <v>0</v>
      </c>
      <c r="AB25" s="77">
        <f ca="1">IFERROR(__xludf.DUMMYFUNCTION("IMPORTRANGE(""https://docs.google.com/spreadsheets/d/1C3CXT74ZlgGe6_JY_1olB1XN4rF0dxEuIIF-xsYjHgg/edit?usp=sharing"",""พรบ!W29"")"),0)</f>
        <v>0</v>
      </c>
      <c r="AC25" s="77">
        <f ca="1">IFERROR(__xludf.DUMMYFUNCTION("IMPORTRANGE(""https://docs.google.com/spreadsheets/d/11923uPwbBZFjjGgGUA6NLw09EwE0CqkOc4q9oUmW1yo/edit?usp=sharing"",""เพชรบูรณ์!J48"")"),0)</f>
        <v>0</v>
      </c>
      <c r="AD25" s="137">
        <f t="shared" ca="1" si="15"/>
        <v>0</v>
      </c>
    </row>
    <row r="26" spans="1:30" ht="24" customHeight="1">
      <c r="A26" s="73">
        <v>11</v>
      </c>
      <c r="B26" s="74" t="s">
        <v>50</v>
      </c>
      <c r="C26" s="75">
        <f t="shared" ca="1" si="0"/>
        <v>318960</v>
      </c>
      <c r="D26" s="76">
        <f t="shared" ca="1" si="36"/>
        <v>134160</v>
      </c>
      <c r="E26" s="77">
        <f ca="1">IFERROR(__xludf.DUMMYFUNCTION("IMPORTRANGE(""https://docs.google.com/spreadsheets/d/1C3CXT74ZlgGe6_JY_1olB1XN4rF0dxEuIIF-xsYjHgg/edit?usp=sharing"",""พรบ!P30"")"),0)</f>
        <v>0</v>
      </c>
      <c r="F26" s="77">
        <f ca="1">IFERROR(__xludf.DUMMYFUNCTION("IMPORTRANGE(""https://docs.google.com/spreadsheets/d/1C3CXT74ZlgGe6_JY_1olB1XN4rF0dxEuIIF-xsYjHgg/edit?usp=sharing"",""พรบ!Q30"")"),134160)</f>
        <v>134160</v>
      </c>
      <c r="G26" s="77">
        <f ca="1">IFERROR(__xludf.DUMMYFUNCTION("IMPORTRANGE(""https://docs.google.com/spreadsheets/d/1Yj_ptqi66GCucihVvJfMjLAmec39IyEx_6qawtMGysU/edit?usp=sharing"",""สบก!AP30"")"),184800)</f>
        <v>184800</v>
      </c>
      <c r="H26" s="77">
        <f ca="1">IFERROR(__xludf.DUMMYFUNCTION("IMPORTRANGE(""https://docs.google.com/spreadsheets/d/1Yj_ptqi66GCucihVvJfMjLAmec39IyEx_6qawtMGysU/edit?usp=sharing"",""สบก!AR30"")"),134160)</f>
        <v>134160</v>
      </c>
      <c r="I26" s="77">
        <f t="shared" ca="1" si="3"/>
        <v>252925</v>
      </c>
      <c r="J26" s="137">
        <f t="shared" ca="1" si="4"/>
        <v>79.296777025332332</v>
      </c>
      <c r="K26" s="77">
        <f ca="1">IFERROR(__xludf.DUMMYFUNCTION("IMPORTRANGE(""https://docs.google.com/spreadsheets/d/1Yj_ptqi66GCucihVvJfMjLAmec39IyEx_6qawtMGysU/edit?usp=sharing"",""สบก!AS30"")"),68125)</f>
        <v>68125</v>
      </c>
      <c r="L26" s="137">
        <f t="shared" ca="1" si="5"/>
        <v>50.778920691711392</v>
      </c>
      <c r="M26" s="137">
        <f t="shared" ca="1" si="6"/>
        <v>50.778920691711392</v>
      </c>
      <c r="N26" s="137">
        <f ca="1">IFERROR(__xludf.DUMMYFUNCTION("IMPORTRANGE(""https://docs.google.com/spreadsheets/d/1Yj_ptqi66GCucihVvJfMjLAmec39IyEx_6qawtMGysU/edit?usp=sharing"",""สบก!AT30"")"),184800)</f>
        <v>184800</v>
      </c>
      <c r="O26" s="137">
        <f t="shared" ca="1" si="7"/>
        <v>100</v>
      </c>
      <c r="P26" s="77">
        <f ca="1">IFERROR(__xludf.DUMMYFUNCTION("IMPORTRANGE(""https://docs.google.com/spreadsheets/d/1C3CXT74ZlgGe6_JY_1olB1XN4rF0dxEuIIF-xsYjHgg/edit?usp=sharing"",""พรบ!R30"")"),1)</f>
        <v>1</v>
      </c>
      <c r="Q26" s="77">
        <f ca="1">IFERROR(__xludf.DUMMYFUNCTION("IMPORTRANGE(""https://docs.google.com/spreadsheets/d/11923uPwbBZFjjGgGUA6NLw09EwE0CqkOc4q9oUmW1yo/edit?usp=sharing"",""แพร่!J43"")"),1)</f>
        <v>1</v>
      </c>
      <c r="R26" s="79">
        <f t="shared" ca="1" si="9"/>
        <v>100</v>
      </c>
      <c r="S26" s="77">
        <f ca="1">IFERROR(__xludf.DUMMYFUNCTION("IMPORTRANGE(""https://docs.google.com/spreadsheets/d/1C3CXT74ZlgGe6_JY_1olB1XN4rF0dxEuIIF-xsYjHgg/edit?usp=sharing"",""พรบ!S30"")"),7)</f>
        <v>7</v>
      </c>
      <c r="T26" s="77">
        <f ca="1">IFERROR(__xludf.DUMMYFUNCTION("IMPORTRANGE(""https://docs.google.com/spreadsheets/d/11923uPwbBZFjjGgGUA6NLw09EwE0CqkOc4q9oUmW1yo/edit?usp=sharing"",""แพร่!J44"")"),0)</f>
        <v>0</v>
      </c>
      <c r="U26" s="79">
        <f t="shared" ca="1" si="10"/>
        <v>0</v>
      </c>
      <c r="V26" s="77">
        <f ca="1">IFERROR(__xludf.DUMMYFUNCTION("IMPORTRANGE(""https://docs.google.com/spreadsheets/d/11923uPwbBZFjjGgGUA6NLw09EwE0CqkOc4q9oUmW1yo/edit?usp=sharing"",""แพร่!J45"")"),7)</f>
        <v>7</v>
      </c>
      <c r="W26" s="79">
        <f t="shared" ca="1" si="11"/>
        <v>100</v>
      </c>
      <c r="X26" s="77">
        <f ca="1">IFERROR(__xludf.DUMMYFUNCTION("IMPORTRANGE(""https://docs.google.com/spreadsheets/d/11923uPwbBZFjjGgGUA6NLw09EwE0CqkOc4q9oUmW1yo/edit?usp=sharing"",""แพร่!J46"")"),0)</f>
        <v>0</v>
      </c>
      <c r="Y26" s="79">
        <f t="shared" ca="1" si="12"/>
        <v>0</v>
      </c>
      <c r="Z26" s="77">
        <f ca="1">IFERROR(__xludf.DUMMYFUNCTION("IMPORTRANGE(""https://docs.google.com/spreadsheets/d/11923uPwbBZFjjGgGUA6NLw09EwE0CqkOc4q9oUmW1yo/edit?usp=sharing"",""แพร่!J47"")"),0)</f>
        <v>0</v>
      </c>
      <c r="AA26" s="137">
        <f t="shared" ca="1" si="13"/>
        <v>0</v>
      </c>
      <c r="AB26" s="77">
        <f ca="1">IFERROR(__xludf.DUMMYFUNCTION("IMPORTRANGE(""https://docs.google.com/spreadsheets/d/1C3CXT74ZlgGe6_JY_1olB1XN4rF0dxEuIIF-xsYjHgg/edit?usp=sharing"",""พรบ!W30"")"),2)</f>
        <v>2</v>
      </c>
      <c r="AC26" s="77">
        <f ca="1">IFERROR(__xludf.DUMMYFUNCTION("IMPORTRANGE(""https://docs.google.com/spreadsheets/d/11923uPwbBZFjjGgGUA6NLw09EwE0CqkOc4q9oUmW1yo/edit?usp=sharing"",""แพร่!J48"")"),2)</f>
        <v>2</v>
      </c>
      <c r="AD26" s="137">
        <f t="shared" ca="1" si="15"/>
        <v>100</v>
      </c>
    </row>
    <row r="27" spans="1:30" ht="24" customHeight="1">
      <c r="A27" s="73">
        <v>12</v>
      </c>
      <c r="B27" s="74" t="s">
        <v>51</v>
      </c>
      <c r="C27" s="75">
        <f t="shared" ca="1" si="0"/>
        <v>0</v>
      </c>
      <c r="D27" s="76">
        <f t="shared" ca="1" si="36"/>
        <v>0</v>
      </c>
      <c r="E27" s="77">
        <f ca="1">IFERROR(__xludf.DUMMYFUNCTION("IMPORTRANGE(""https://docs.google.com/spreadsheets/d/1C3CXT74ZlgGe6_JY_1olB1XN4rF0dxEuIIF-xsYjHgg/edit?usp=sharing"",""พรบ!P31"")"),0)</f>
        <v>0</v>
      </c>
      <c r="F27" s="77">
        <f ca="1">IFERROR(__xludf.DUMMYFUNCTION("IMPORTRANGE(""https://docs.google.com/spreadsheets/d/1C3CXT74ZlgGe6_JY_1olB1XN4rF0dxEuIIF-xsYjHgg/edit?usp=sharing"",""พรบ!Q31"")"),0)</f>
        <v>0</v>
      </c>
      <c r="G27" s="77">
        <f ca="1">IFERROR(__xludf.DUMMYFUNCTION("IMPORTRANGE(""https://docs.google.com/spreadsheets/d/1Yj_ptqi66GCucihVvJfMjLAmec39IyEx_6qawtMGysU/edit?usp=sharing"",""สบก!AP31"")"),0)</f>
        <v>0</v>
      </c>
      <c r="H27" s="77">
        <f ca="1">IFERROR(__xludf.DUMMYFUNCTION("IMPORTRANGE(""https://docs.google.com/spreadsheets/d/1Yj_ptqi66GCucihVvJfMjLAmec39IyEx_6qawtMGysU/edit?usp=sharing"",""สบก!AR31"")"),0)</f>
        <v>0</v>
      </c>
      <c r="I27" s="77">
        <f t="shared" ca="1" si="3"/>
        <v>0</v>
      </c>
      <c r="J27" s="137">
        <f t="shared" ca="1" si="4"/>
        <v>0</v>
      </c>
      <c r="K27" s="77">
        <f ca="1">IFERROR(__xludf.DUMMYFUNCTION("IMPORTRANGE(""https://docs.google.com/spreadsheets/d/1Yj_ptqi66GCucihVvJfMjLAmec39IyEx_6qawtMGysU/edit?usp=sharing"",""สบก!AS31"")"),0)</f>
        <v>0</v>
      </c>
      <c r="L27" s="137">
        <f t="shared" ca="1" si="5"/>
        <v>0</v>
      </c>
      <c r="M27" s="137">
        <f t="shared" ca="1" si="6"/>
        <v>0</v>
      </c>
      <c r="N27" s="137">
        <f ca="1">IFERROR(__xludf.DUMMYFUNCTION("IMPORTRANGE(""https://docs.google.com/spreadsheets/d/1Yj_ptqi66GCucihVvJfMjLAmec39IyEx_6qawtMGysU/edit?usp=sharing"",""สบก!AT31"")"),0)</f>
        <v>0</v>
      </c>
      <c r="O27" s="137">
        <f t="shared" ca="1" si="7"/>
        <v>0</v>
      </c>
      <c r="P27" s="77">
        <f ca="1">IFERROR(__xludf.DUMMYFUNCTION("IMPORTRANGE(""https://docs.google.com/spreadsheets/d/1C3CXT74ZlgGe6_JY_1olB1XN4rF0dxEuIIF-xsYjHgg/edit?usp=sharing"",""พรบ!R31"")"),0)</f>
        <v>0</v>
      </c>
      <c r="Q27" s="77">
        <f ca="1">IFERROR(__xludf.DUMMYFUNCTION("IMPORTRANGE(""https://docs.google.com/spreadsheets/d/11923uPwbBZFjjGgGUA6NLw09EwE0CqkOc4q9oUmW1yo/edit?usp=sharing"",""แม่ฮ่องสอน!J43"")"),0)</f>
        <v>0</v>
      </c>
      <c r="R27" s="79">
        <f t="shared" ca="1" si="9"/>
        <v>0</v>
      </c>
      <c r="S27" s="77">
        <f ca="1">IFERROR(__xludf.DUMMYFUNCTION("IMPORTRANGE(""https://docs.google.com/spreadsheets/d/1C3CXT74ZlgGe6_JY_1olB1XN4rF0dxEuIIF-xsYjHgg/edit?usp=sharing"",""พรบ!S31"")"),0)</f>
        <v>0</v>
      </c>
      <c r="T27" s="77">
        <f ca="1">IFERROR(__xludf.DUMMYFUNCTION("IMPORTRANGE(""https://docs.google.com/spreadsheets/d/11923uPwbBZFjjGgGUA6NLw09EwE0CqkOc4q9oUmW1yo/edit?usp=sharing"",""แม่ฮ่องสอน!J44"")"),0)</f>
        <v>0</v>
      </c>
      <c r="U27" s="79">
        <f t="shared" ca="1" si="10"/>
        <v>0</v>
      </c>
      <c r="V27" s="77">
        <f ca="1">IFERROR(__xludf.DUMMYFUNCTION("IMPORTRANGE(""https://docs.google.com/spreadsheets/d/11923uPwbBZFjjGgGUA6NLw09EwE0CqkOc4q9oUmW1yo/edit?usp=sharing"",""แม่ฮ่องสอน!J45"")"),0)</f>
        <v>0</v>
      </c>
      <c r="W27" s="79">
        <f t="shared" ca="1" si="11"/>
        <v>0</v>
      </c>
      <c r="X27" s="77">
        <f ca="1">IFERROR(__xludf.DUMMYFUNCTION("IMPORTRANGE(""https://docs.google.com/spreadsheets/d/11923uPwbBZFjjGgGUA6NLw09EwE0CqkOc4q9oUmW1yo/edit?usp=sharing"",""แม่ฮ่องสอน!J46"")"),0)</f>
        <v>0</v>
      </c>
      <c r="Y27" s="79">
        <f t="shared" ca="1" si="12"/>
        <v>0</v>
      </c>
      <c r="Z27" s="77">
        <f ca="1">IFERROR(__xludf.DUMMYFUNCTION("IMPORTRANGE(""https://docs.google.com/spreadsheets/d/11923uPwbBZFjjGgGUA6NLw09EwE0CqkOc4q9oUmW1yo/edit?usp=sharing"",""แม่ฮ่องสอน!J47"")"),0)</f>
        <v>0</v>
      </c>
      <c r="AA27" s="137">
        <f t="shared" ca="1" si="13"/>
        <v>0</v>
      </c>
      <c r="AB27" s="77">
        <f ca="1">IFERROR(__xludf.DUMMYFUNCTION("IMPORTRANGE(""https://docs.google.com/spreadsheets/d/1C3CXT74ZlgGe6_JY_1olB1XN4rF0dxEuIIF-xsYjHgg/edit?usp=sharing"",""พรบ!W31"")"),0)</f>
        <v>0</v>
      </c>
      <c r="AC27" s="77">
        <f ca="1">IFERROR(__xludf.DUMMYFUNCTION("IMPORTRANGE(""https://docs.google.com/spreadsheets/d/11923uPwbBZFjjGgGUA6NLw09EwE0CqkOc4q9oUmW1yo/edit?usp=sharing"",""แม่ฮ่องสอน!J48"")"),0)</f>
        <v>0</v>
      </c>
      <c r="AD27" s="137">
        <f t="shared" ca="1" si="15"/>
        <v>0</v>
      </c>
    </row>
    <row r="28" spans="1:30" ht="24" customHeight="1">
      <c r="A28" s="73">
        <v>13</v>
      </c>
      <c r="B28" s="74" t="s">
        <v>52</v>
      </c>
      <c r="C28" s="75">
        <f t="shared" ca="1" si="0"/>
        <v>214500</v>
      </c>
      <c r="D28" s="76">
        <f t="shared" ca="1" si="36"/>
        <v>122100</v>
      </c>
      <c r="E28" s="77">
        <f ca="1">IFERROR(__xludf.DUMMYFUNCTION("IMPORTRANGE(""https://docs.google.com/spreadsheets/d/1C3CXT74ZlgGe6_JY_1olB1XN4rF0dxEuIIF-xsYjHgg/edit?usp=sharing"",""พรบ!P32"")"),0)</f>
        <v>0</v>
      </c>
      <c r="F28" s="77">
        <f ca="1">IFERROR(__xludf.DUMMYFUNCTION("IMPORTRANGE(""https://docs.google.com/spreadsheets/d/1C3CXT74ZlgGe6_JY_1olB1XN4rF0dxEuIIF-xsYjHgg/edit?usp=sharing"",""พรบ!Q32"")"),122100)</f>
        <v>122100</v>
      </c>
      <c r="G28" s="77">
        <f ca="1">IFERROR(__xludf.DUMMYFUNCTION("IMPORTRANGE(""https://docs.google.com/spreadsheets/d/1Yj_ptqi66GCucihVvJfMjLAmec39IyEx_6qawtMGysU/edit?usp=sharing"",""สบก!AP32"")"),92400)</f>
        <v>92400</v>
      </c>
      <c r="H28" s="77">
        <f ca="1">IFERROR(__xludf.DUMMYFUNCTION("IMPORTRANGE(""https://docs.google.com/spreadsheets/d/1Yj_ptqi66GCucihVvJfMjLAmec39IyEx_6qawtMGysU/edit?usp=sharing"",""สบก!AR32"")"),122100)</f>
        <v>122100</v>
      </c>
      <c r="I28" s="77">
        <f t="shared" ca="1" si="3"/>
        <v>114625</v>
      </c>
      <c r="J28" s="137">
        <f t="shared" ca="1" si="4"/>
        <v>53.438228438228435</v>
      </c>
      <c r="K28" s="77">
        <f ca="1">IFERROR(__xludf.DUMMYFUNCTION("IMPORTRANGE(""https://docs.google.com/spreadsheets/d/1Yj_ptqi66GCucihVvJfMjLAmec39IyEx_6qawtMGysU/edit?usp=sharing"",""สบก!AS32"")"),24630)</f>
        <v>24630</v>
      </c>
      <c r="L28" s="137">
        <f t="shared" ca="1" si="5"/>
        <v>20.171990171990171</v>
      </c>
      <c r="M28" s="137">
        <f t="shared" ca="1" si="6"/>
        <v>20.171990171990171</v>
      </c>
      <c r="N28" s="137">
        <f ca="1">IFERROR(__xludf.DUMMYFUNCTION("IMPORTRANGE(""https://docs.google.com/spreadsheets/d/1Yj_ptqi66GCucihVvJfMjLAmec39IyEx_6qawtMGysU/edit?usp=sharing"",""สบก!AT32"")"),89995)</f>
        <v>89995</v>
      </c>
      <c r="O28" s="137">
        <f t="shared" ca="1" si="7"/>
        <v>97.397186147186147</v>
      </c>
      <c r="P28" s="77">
        <f ca="1">IFERROR(__xludf.DUMMYFUNCTION("IMPORTRANGE(""https://docs.google.com/spreadsheets/d/1C3CXT74ZlgGe6_JY_1olB1XN4rF0dxEuIIF-xsYjHgg/edit?usp=sharing"",""พรบ!R32"")"),1)</f>
        <v>1</v>
      </c>
      <c r="Q28" s="77">
        <f ca="1">IFERROR(__xludf.DUMMYFUNCTION("IMPORTRANGE(""https://docs.google.com/spreadsheets/d/11923uPwbBZFjjGgGUA6NLw09EwE0CqkOc4q9oUmW1yo/edit?usp=sharing"",""ลำปาง!J43"")"),1)</f>
        <v>1</v>
      </c>
      <c r="R28" s="79">
        <f t="shared" ca="1" si="9"/>
        <v>100</v>
      </c>
      <c r="S28" s="77">
        <f ca="1">IFERROR(__xludf.DUMMYFUNCTION("IMPORTRANGE(""https://docs.google.com/spreadsheets/d/1C3CXT74ZlgGe6_JY_1olB1XN4rF0dxEuIIF-xsYjHgg/edit?usp=sharing"",""พรบ!S32"")"),4)</f>
        <v>4</v>
      </c>
      <c r="T28" s="77">
        <f ca="1">IFERROR(__xludf.DUMMYFUNCTION("IMPORTRANGE(""https://docs.google.com/spreadsheets/d/11923uPwbBZFjjGgGUA6NLw09EwE0CqkOc4q9oUmW1yo/edit?usp=sharing"",""ลำปาง!J44"")"),4)</f>
        <v>4</v>
      </c>
      <c r="U28" s="79">
        <f t="shared" ca="1" si="10"/>
        <v>100</v>
      </c>
      <c r="V28" s="77">
        <f ca="1">IFERROR(__xludf.DUMMYFUNCTION("IMPORTRANGE(""https://docs.google.com/spreadsheets/d/11923uPwbBZFjjGgGUA6NLw09EwE0CqkOc4q9oUmW1yo/edit?usp=sharing"",""ลำปาง!J45"")"),4)</f>
        <v>4</v>
      </c>
      <c r="W28" s="79">
        <f t="shared" ca="1" si="11"/>
        <v>100</v>
      </c>
      <c r="X28" s="77">
        <f ca="1">IFERROR(__xludf.DUMMYFUNCTION("IMPORTRANGE(""https://docs.google.com/spreadsheets/d/11923uPwbBZFjjGgGUA6NLw09EwE0CqkOc4q9oUmW1yo/edit?usp=sharing"",""ลำปาง!J46"")"),4)</f>
        <v>4</v>
      </c>
      <c r="Y28" s="79">
        <f t="shared" ca="1" si="12"/>
        <v>100</v>
      </c>
      <c r="Z28" s="77">
        <f ca="1">IFERROR(__xludf.DUMMYFUNCTION("IMPORTRANGE(""https://docs.google.com/spreadsheets/d/11923uPwbBZFjjGgGUA6NLw09EwE0CqkOc4q9oUmW1yo/edit?usp=sharing"",""ลำปาง!J47"")"),4)</f>
        <v>4</v>
      </c>
      <c r="AA28" s="137">
        <f t="shared" ca="1" si="13"/>
        <v>100</v>
      </c>
      <c r="AB28" s="77">
        <f ca="1">IFERROR(__xludf.DUMMYFUNCTION("IMPORTRANGE(""https://docs.google.com/spreadsheets/d/1C3CXT74ZlgGe6_JY_1olB1XN4rF0dxEuIIF-xsYjHgg/edit?usp=sharing"",""พรบ!W32"")"),1)</f>
        <v>1</v>
      </c>
      <c r="AC28" s="77">
        <f ca="1">IFERROR(__xludf.DUMMYFUNCTION("IMPORTRANGE(""https://docs.google.com/spreadsheets/d/11923uPwbBZFjjGgGUA6NLw09EwE0CqkOc4q9oUmW1yo/edit?usp=sharing"",""ลำปาง!J48"")"),1)</f>
        <v>1</v>
      </c>
      <c r="AD28" s="137">
        <f t="shared" ca="1" si="15"/>
        <v>100</v>
      </c>
    </row>
    <row r="29" spans="1:30" ht="24" customHeight="1">
      <c r="A29" s="73">
        <v>14</v>
      </c>
      <c r="B29" s="74" t="s">
        <v>53</v>
      </c>
      <c r="C29" s="75">
        <f t="shared" ca="1" si="0"/>
        <v>0</v>
      </c>
      <c r="D29" s="76">
        <f t="shared" ca="1" si="36"/>
        <v>0</v>
      </c>
      <c r="E29" s="77">
        <f ca="1">IFERROR(__xludf.DUMMYFUNCTION("IMPORTRANGE(""https://docs.google.com/spreadsheets/d/1C3CXT74ZlgGe6_JY_1olB1XN4rF0dxEuIIF-xsYjHgg/edit?usp=sharing"",""พรบ!P33"")"),0)</f>
        <v>0</v>
      </c>
      <c r="F29" s="77">
        <f ca="1">IFERROR(__xludf.DUMMYFUNCTION("IMPORTRANGE(""https://docs.google.com/spreadsheets/d/1C3CXT74ZlgGe6_JY_1olB1XN4rF0dxEuIIF-xsYjHgg/edit?usp=sharing"",""พรบ!Q33"")"),0)</f>
        <v>0</v>
      </c>
      <c r="G29" s="77">
        <f ca="1">IFERROR(__xludf.DUMMYFUNCTION("IMPORTRANGE(""https://docs.google.com/spreadsheets/d/1Yj_ptqi66GCucihVvJfMjLAmec39IyEx_6qawtMGysU/edit?usp=sharing"",""สบก!AP33"")"),0)</f>
        <v>0</v>
      </c>
      <c r="H29" s="77">
        <f ca="1">IFERROR(__xludf.DUMMYFUNCTION("IMPORTRANGE(""https://docs.google.com/spreadsheets/d/1Yj_ptqi66GCucihVvJfMjLAmec39IyEx_6qawtMGysU/edit?usp=sharing"",""สบก!AR33"")"),0)</f>
        <v>0</v>
      </c>
      <c r="I29" s="77">
        <f t="shared" ca="1" si="3"/>
        <v>0</v>
      </c>
      <c r="J29" s="137">
        <f t="shared" ca="1" si="4"/>
        <v>0</v>
      </c>
      <c r="K29" s="77">
        <f ca="1">IFERROR(__xludf.DUMMYFUNCTION("IMPORTRANGE(""https://docs.google.com/spreadsheets/d/1Yj_ptqi66GCucihVvJfMjLAmec39IyEx_6qawtMGysU/edit?usp=sharing"",""สบก!AS33"")"),0)</f>
        <v>0</v>
      </c>
      <c r="L29" s="137">
        <f t="shared" ca="1" si="5"/>
        <v>0</v>
      </c>
      <c r="M29" s="137">
        <f t="shared" ca="1" si="6"/>
        <v>0</v>
      </c>
      <c r="N29" s="137">
        <f ca="1">IFERROR(__xludf.DUMMYFUNCTION("IMPORTRANGE(""https://docs.google.com/spreadsheets/d/1Yj_ptqi66GCucihVvJfMjLAmec39IyEx_6qawtMGysU/edit?usp=sharing"",""สบก!AT33"")"),0)</f>
        <v>0</v>
      </c>
      <c r="O29" s="137">
        <f t="shared" ca="1" si="7"/>
        <v>0</v>
      </c>
      <c r="P29" s="77">
        <f ca="1">IFERROR(__xludf.DUMMYFUNCTION("IMPORTRANGE(""https://docs.google.com/spreadsheets/d/1C3CXT74ZlgGe6_JY_1olB1XN4rF0dxEuIIF-xsYjHgg/edit?usp=sharing"",""พรบ!R33"")"),0)</f>
        <v>0</v>
      </c>
      <c r="Q29" s="77">
        <f ca="1">IFERROR(__xludf.DUMMYFUNCTION("IMPORTRANGE(""https://docs.google.com/spreadsheets/d/11923uPwbBZFjjGgGUA6NLw09EwE0CqkOc4q9oUmW1yo/edit?usp=sharing"",""ลำพูน!J43"")"),0)</f>
        <v>0</v>
      </c>
      <c r="R29" s="79">
        <f t="shared" ca="1" si="9"/>
        <v>0</v>
      </c>
      <c r="S29" s="77">
        <f ca="1">IFERROR(__xludf.DUMMYFUNCTION("IMPORTRANGE(""https://docs.google.com/spreadsheets/d/1C3CXT74ZlgGe6_JY_1olB1XN4rF0dxEuIIF-xsYjHgg/edit?usp=sharing"",""พรบ!S33"")"),0)</f>
        <v>0</v>
      </c>
      <c r="T29" s="77">
        <f ca="1">IFERROR(__xludf.DUMMYFUNCTION("IMPORTRANGE(""https://docs.google.com/spreadsheets/d/11923uPwbBZFjjGgGUA6NLw09EwE0CqkOc4q9oUmW1yo/edit?usp=sharing"",""ลำพูน!J44"")"),0)</f>
        <v>0</v>
      </c>
      <c r="U29" s="79">
        <f t="shared" ca="1" si="10"/>
        <v>0</v>
      </c>
      <c r="V29" s="77">
        <f ca="1">IFERROR(__xludf.DUMMYFUNCTION("IMPORTRANGE(""https://docs.google.com/spreadsheets/d/11923uPwbBZFjjGgGUA6NLw09EwE0CqkOc4q9oUmW1yo/edit?usp=sharing"",""ลำพูน!J45"")"),0)</f>
        <v>0</v>
      </c>
      <c r="W29" s="79">
        <f t="shared" ca="1" si="11"/>
        <v>0</v>
      </c>
      <c r="X29" s="77">
        <f ca="1">IFERROR(__xludf.DUMMYFUNCTION("IMPORTRANGE(""https://docs.google.com/spreadsheets/d/11923uPwbBZFjjGgGUA6NLw09EwE0CqkOc4q9oUmW1yo/edit?usp=sharing"",""ลำพูน!J46"")"),0)</f>
        <v>0</v>
      </c>
      <c r="Y29" s="79">
        <f t="shared" ca="1" si="12"/>
        <v>0</v>
      </c>
      <c r="Z29" s="77">
        <f ca="1">IFERROR(__xludf.DUMMYFUNCTION("IMPORTRANGE(""https://docs.google.com/spreadsheets/d/11923uPwbBZFjjGgGUA6NLw09EwE0CqkOc4q9oUmW1yo/edit?usp=sharing"",""ลำพูน!J47"")"),0)</f>
        <v>0</v>
      </c>
      <c r="AA29" s="137">
        <f t="shared" ca="1" si="13"/>
        <v>0</v>
      </c>
      <c r="AB29" s="77">
        <f ca="1">IFERROR(__xludf.DUMMYFUNCTION("IMPORTRANGE(""https://docs.google.com/spreadsheets/d/1C3CXT74ZlgGe6_JY_1olB1XN4rF0dxEuIIF-xsYjHgg/edit?usp=sharing"",""พรบ!W33"")"),0)</f>
        <v>0</v>
      </c>
      <c r="AC29" s="77">
        <f ca="1">IFERROR(__xludf.DUMMYFUNCTION("IMPORTRANGE(""https://docs.google.com/spreadsheets/d/11923uPwbBZFjjGgGUA6NLw09EwE0CqkOc4q9oUmW1yo/edit?usp=sharing"",""ลำพูน!J48"")"),0)</f>
        <v>0</v>
      </c>
      <c r="AD29" s="137">
        <f t="shared" ca="1" si="15"/>
        <v>0</v>
      </c>
    </row>
    <row r="30" spans="1:30" ht="24" customHeight="1">
      <c r="A30" s="73">
        <v>15</v>
      </c>
      <c r="B30" s="74" t="s">
        <v>54</v>
      </c>
      <c r="C30" s="75">
        <f t="shared" ca="1" si="0"/>
        <v>0</v>
      </c>
      <c r="D30" s="76">
        <f t="shared" ca="1" si="36"/>
        <v>0</v>
      </c>
      <c r="E30" s="77">
        <f ca="1">IFERROR(__xludf.DUMMYFUNCTION("IMPORTRANGE(""https://docs.google.com/spreadsheets/d/1C3CXT74ZlgGe6_JY_1olB1XN4rF0dxEuIIF-xsYjHgg/edit?usp=sharing"",""พรบ!P34"")"),0)</f>
        <v>0</v>
      </c>
      <c r="F30" s="77">
        <f ca="1">IFERROR(__xludf.DUMMYFUNCTION("IMPORTRANGE(""https://docs.google.com/spreadsheets/d/1C3CXT74ZlgGe6_JY_1olB1XN4rF0dxEuIIF-xsYjHgg/edit?usp=sharing"",""พรบ!Q34"")"),0)</f>
        <v>0</v>
      </c>
      <c r="G30" s="77">
        <f ca="1">IFERROR(__xludf.DUMMYFUNCTION("IMPORTRANGE(""https://docs.google.com/spreadsheets/d/1Yj_ptqi66GCucihVvJfMjLAmec39IyEx_6qawtMGysU/edit?usp=sharing"",""สบก!AP34"")"),0)</f>
        <v>0</v>
      </c>
      <c r="H30" s="77">
        <f ca="1">IFERROR(__xludf.DUMMYFUNCTION("IMPORTRANGE(""https://docs.google.com/spreadsheets/d/1Yj_ptqi66GCucihVvJfMjLAmec39IyEx_6qawtMGysU/edit?usp=sharing"",""สบก!AR34"")"),0)</f>
        <v>0</v>
      </c>
      <c r="I30" s="77">
        <f t="shared" ca="1" si="3"/>
        <v>0</v>
      </c>
      <c r="J30" s="137">
        <f t="shared" ca="1" si="4"/>
        <v>0</v>
      </c>
      <c r="K30" s="77">
        <f ca="1">IFERROR(__xludf.DUMMYFUNCTION("IMPORTRANGE(""https://docs.google.com/spreadsheets/d/1Yj_ptqi66GCucihVvJfMjLAmec39IyEx_6qawtMGysU/edit?usp=sharing"",""สบก!AS34"")"),0)</f>
        <v>0</v>
      </c>
      <c r="L30" s="137">
        <f t="shared" ca="1" si="5"/>
        <v>0</v>
      </c>
      <c r="M30" s="137">
        <f t="shared" ca="1" si="6"/>
        <v>0</v>
      </c>
      <c r="N30" s="137">
        <f ca="1">IFERROR(__xludf.DUMMYFUNCTION("IMPORTRANGE(""https://docs.google.com/spreadsheets/d/1Yj_ptqi66GCucihVvJfMjLAmec39IyEx_6qawtMGysU/edit?usp=sharing"",""สบก!AT34"")"),0)</f>
        <v>0</v>
      </c>
      <c r="O30" s="137">
        <f t="shared" ca="1" si="7"/>
        <v>0</v>
      </c>
      <c r="P30" s="77">
        <f ca="1">IFERROR(__xludf.DUMMYFUNCTION("IMPORTRANGE(""https://docs.google.com/spreadsheets/d/1C3CXT74ZlgGe6_JY_1olB1XN4rF0dxEuIIF-xsYjHgg/edit?usp=sharing"",""พรบ!R34"")"),0)</f>
        <v>0</v>
      </c>
      <c r="Q30" s="77">
        <f ca="1">IFERROR(__xludf.DUMMYFUNCTION("IMPORTRANGE(""https://docs.google.com/spreadsheets/d/11923uPwbBZFjjGgGUA6NLw09EwE0CqkOc4q9oUmW1yo/edit?usp=sharing"",""สุโขทัย!J43"")"),0)</f>
        <v>0</v>
      </c>
      <c r="R30" s="79">
        <f t="shared" ca="1" si="9"/>
        <v>0</v>
      </c>
      <c r="S30" s="77">
        <f ca="1">IFERROR(__xludf.DUMMYFUNCTION("IMPORTRANGE(""https://docs.google.com/spreadsheets/d/1C3CXT74ZlgGe6_JY_1olB1XN4rF0dxEuIIF-xsYjHgg/edit?usp=sharing"",""พรบ!S34"")"),0)</f>
        <v>0</v>
      </c>
      <c r="T30" s="77">
        <f ca="1">IFERROR(__xludf.DUMMYFUNCTION("IMPORTRANGE(""https://docs.google.com/spreadsheets/d/11923uPwbBZFjjGgGUA6NLw09EwE0CqkOc4q9oUmW1yo/edit?usp=sharing"",""สุโขทัย!J44"")"),0)</f>
        <v>0</v>
      </c>
      <c r="U30" s="79">
        <f t="shared" ca="1" si="10"/>
        <v>0</v>
      </c>
      <c r="V30" s="77">
        <f ca="1">IFERROR(__xludf.DUMMYFUNCTION("IMPORTRANGE(""https://docs.google.com/spreadsheets/d/11923uPwbBZFjjGgGUA6NLw09EwE0CqkOc4q9oUmW1yo/edit?usp=sharing"",""สุโขทัย!J45"")"),0)</f>
        <v>0</v>
      </c>
      <c r="W30" s="79">
        <f t="shared" ca="1" si="11"/>
        <v>0</v>
      </c>
      <c r="X30" s="77">
        <f ca="1">IFERROR(__xludf.DUMMYFUNCTION("IMPORTRANGE(""https://docs.google.com/spreadsheets/d/11923uPwbBZFjjGgGUA6NLw09EwE0CqkOc4q9oUmW1yo/edit?usp=sharing"",""สุโขทัย!J46"")"),0)</f>
        <v>0</v>
      </c>
      <c r="Y30" s="79">
        <f t="shared" ca="1" si="12"/>
        <v>0</v>
      </c>
      <c r="Z30" s="77">
        <f ca="1">IFERROR(__xludf.DUMMYFUNCTION("IMPORTRANGE(""https://docs.google.com/spreadsheets/d/11923uPwbBZFjjGgGUA6NLw09EwE0CqkOc4q9oUmW1yo/edit?usp=sharing"",""สุโขทัย!J47"")"),0)</f>
        <v>0</v>
      </c>
      <c r="AA30" s="137">
        <f t="shared" ca="1" si="13"/>
        <v>0</v>
      </c>
      <c r="AB30" s="77">
        <f ca="1">IFERROR(__xludf.DUMMYFUNCTION("IMPORTRANGE(""https://docs.google.com/spreadsheets/d/1C3CXT74ZlgGe6_JY_1olB1XN4rF0dxEuIIF-xsYjHgg/edit?usp=sharing"",""พรบ!W34"")"),0)</f>
        <v>0</v>
      </c>
      <c r="AC30" s="77">
        <f ca="1">IFERROR(__xludf.DUMMYFUNCTION("IMPORTRANGE(""https://docs.google.com/spreadsheets/d/11923uPwbBZFjjGgGUA6NLw09EwE0CqkOc4q9oUmW1yo/edit?usp=sharing"",""สุโขทัย!J48"")"),0)</f>
        <v>0</v>
      </c>
      <c r="AD30" s="137">
        <f t="shared" ca="1" si="15"/>
        <v>0</v>
      </c>
    </row>
    <row r="31" spans="1:30" ht="24" customHeight="1">
      <c r="A31" s="73">
        <v>16</v>
      </c>
      <c r="B31" s="74" t="s">
        <v>55</v>
      </c>
      <c r="C31" s="75">
        <f t="shared" ca="1" si="0"/>
        <v>214500</v>
      </c>
      <c r="D31" s="76">
        <f t="shared" ca="1" si="36"/>
        <v>122100</v>
      </c>
      <c r="E31" s="77">
        <f ca="1">IFERROR(__xludf.DUMMYFUNCTION("IMPORTRANGE(""https://docs.google.com/spreadsheets/d/1C3CXT74ZlgGe6_JY_1olB1XN4rF0dxEuIIF-xsYjHgg/edit?usp=sharing"",""พรบ!P35"")"),0)</f>
        <v>0</v>
      </c>
      <c r="F31" s="77">
        <f ca="1">IFERROR(__xludf.DUMMYFUNCTION("IMPORTRANGE(""https://docs.google.com/spreadsheets/d/1C3CXT74ZlgGe6_JY_1olB1XN4rF0dxEuIIF-xsYjHgg/edit?usp=sharing"",""พรบ!Q35"")"),122100)</f>
        <v>122100</v>
      </c>
      <c r="G31" s="77">
        <f ca="1">IFERROR(__xludf.DUMMYFUNCTION("IMPORTRANGE(""https://docs.google.com/spreadsheets/d/1Yj_ptqi66GCucihVvJfMjLAmec39IyEx_6qawtMGysU/edit?usp=sharing"",""สบก!AP35"")"),92400)</f>
        <v>92400</v>
      </c>
      <c r="H31" s="77">
        <f ca="1">IFERROR(__xludf.DUMMYFUNCTION("IMPORTRANGE(""https://docs.google.com/spreadsheets/d/1Yj_ptqi66GCucihVvJfMjLAmec39IyEx_6qawtMGysU/edit?usp=sharing"",""สบก!AR35"")"),122100)</f>
        <v>122100</v>
      </c>
      <c r="I31" s="77">
        <f t="shared" ca="1" si="3"/>
        <v>138238.5</v>
      </c>
      <c r="J31" s="137">
        <f t="shared" ca="1" si="4"/>
        <v>64.446853146853144</v>
      </c>
      <c r="K31" s="77">
        <f ca="1">IFERROR(__xludf.DUMMYFUNCTION("IMPORTRANGE(""https://docs.google.com/spreadsheets/d/1Yj_ptqi66GCucihVvJfMjLAmec39IyEx_6qawtMGysU/edit?usp=sharing"",""สบก!AS35"")"),45838.5)</f>
        <v>45838.5</v>
      </c>
      <c r="L31" s="137">
        <f t="shared" ca="1" si="5"/>
        <v>37.541769041769044</v>
      </c>
      <c r="M31" s="137">
        <f t="shared" ca="1" si="6"/>
        <v>37.541769041769044</v>
      </c>
      <c r="N31" s="137">
        <f ca="1">IFERROR(__xludf.DUMMYFUNCTION("IMPORTRANGE(""https://docs.google.com/spreadsheets/d/1Yj_ptqi66GCucihVvJfMjLAmec39IyEx_6qawtMGysU/edit?usp=sharing"",""สบก!AT35"")"),92400)</f>
        <v>92400</v>
      </c>
      <c r="O31" s="137">
        <f t="shared" ca="1" si="7"/>
        <v>100</v>
      </c>
      <c r="P31" s="77">
        <f ca="1">IFERROR(__xludf.DUMMYFUNCTION("IMPORTRANGE(""https://docs.google.com/spreadsheets/d/1C3CXT74ZlgGe6_JY_1olB1XN4rF0dxEuIIF-xsYjHgg/edit?usp=sharing"",""พรบ!R35"")"),1)</f>
        <v>1</v>
      </c>
      <c r="Q31" s="77">
        <f ca="1">IFERROR(__xludf.DUMMYFUNCTION("IMPORTRANGE(""https://docs.google.com/spreadsheets/d/11923uPwbBZFjjGgGUA6NLw09EwE0CqkOc4q9oUmW1yo/edit?usp=sharing"",""อุตรดิตถ์!J43"")"),1)</f>
        <v>1</v>
      </c>
      <c r="R31" s="79">
        <f t="shared" ca="1" si="9"/>
        <v>100</v>
      </c>
      <c r="S31" s="77">
        <f ca="1">IFERROR(__xludf.DUMMYFUNCTION("IMPORTRANGE(""https://docs.google.com/spreadsheets/d/1C3CXT74ZlgGe6_JY_1olB1XN4rF0dxEuIIF-xsYjHgg/edit?usp=sharing"",""พรบ!S35"")"),4)</f>
        <v>4</v>
      </c>
      <c r="T31" s="77">
        <f ca="1">IFERROR(__xludf.DUMMYFUNCTION("IMPORTRANGE(""https://docs.google.com/spreadsheets/d/11923uPwbBZFjjGgGUA6NLw09EwE0CqkOc4q9oUmW1yo/edit?usp=sharing"",""อุตรดิตถ์!J44"")"),4)</f>
        <v>4</v>
      </c>
      <c r="U31" s="79">
        <f t="shared" ca="1" si="10"/>
        <v>100</v>
      </c>
      <c r="V31" s="77">
        <f ca="1">IFERROR(__xludf.DUMMYFUNCTION("IMPORTRANGE(""https://docs.google.com/spreadsheets/d/11923uPwbBZFjjGgGUA6NLw09EwE0CqkOc4q9oUmW1yo/edit?usp=sharing"",""อุตรดิตถ์!J45"")"),4)</f>
        <v>4</v>
      </c>
      <c r="W31" s="79">
        <f t="shared" ca="1" si="11"/>
        <v>100</v>
      </c>
      <c r="X31" s="77">
        <f ca="1">IFERROR(__xludf.DUMMYFUNCTION("IMPORTRANGE(""https://docs.google.com/spreadsheets/d/11923uPwbBZFjjGgGUA6NLw09EwE0CqkOc4q9oUmW1yo/edit?usp=sharing"",""อุตรดิตถ์!J46"")"),4)</f>
        <v>4</v>
      </c>
      <c r="Y31" s="79">
        <f t="shared" ca="1" si="12"/>
        <v>100</v>
      </c>
      <c r="Z31" s="77">
        <f ca="1">IFERROR(__xludf.DUMMYFUNCTION("IMPORTRANGE(""https://docs.google.com/spreadsheets/d/11923uPwbBZFjjGgGUA6NLw09EwE0CqkOc4q9oUmW1yo/edit?usp=sharing"",""อุตรดิตถ์!J47"")"),4)</f>
        <v>4</v>
      </c>
      <c r="AA31" s="137">
        <f t="shared" ca="1" si="13"/>
        <v>100</v>
      </c>
      <c r="AB31" s="77">
        <f ca="1">IFERROR(__xludf.DUMMYFUNCTION("IMPORTRANGE(""https://docs.google.com/spreadsheets/d/1C3CXT74ZlgGe6_JY_1olB1XN4rF0dxEuIIF-xsYjHgg/edit?usp=sharing"",""พรบ!W35"")"),1)</f>
        <v>1</v>
      </c>
      <c r="AC31" s="77">
        <f ca="1">IFERROR(__xludf.DUMMYFUNCTION("IMPORTRANGE(""https://docs.google.com/spreadsheets/d/11923uPwbBZFjjGgGUA6NLw09EwE0CqkOc4q9oUmW1yo/edit?usp=sharing"",""อุตรดิตถ์!J48"")"),1)</f>
        <v>1</v>
      </c>
      <c r="AD31" s="137">
        <f t="shared" ca="1" si="15"/>
        <v>100</v>
      </c>
    </row>
    <row r="32" spans="1:30" ht="24" customHeight="1">
      <c r="A32" s="84">
        <v>17</v>
      </c>
      <c r="B32" s="85" t="s">
        <v>56</v>
      </c>
      <c r="C32" s="86">
        <f t="shared" ca="1" si="0"/>
        <v>214500</v>
      </c>
      <c r="D32" s="87">
        <f t="shared" ca="1" si="36"/>
        <v>122100</v>
      </c>
      <c r="E32" s="88">
        <f ca="1">IFERROR(__xludf.DUMMYFUNCTION("IMPORTRANGE(""https://docs.google.com/spreadsheets/d/1C3CXT74ZlgGe6_JY_1olB1XN4rF0dxEuIIF-xsYjHgg/edit?usp=sharing"",""พรบ!P36"")"),0)</f>
        <v>0</v>
      </c>
      <c r="F32" s="88">
        <f ca="1">IFERROR(__xludf.DUMMYFUNCTION("IMPORTRANGE(""https://docs.google.com/spreadsheets/d/1C3CXT74ZlgGe6_JY_1olB1XN4rF0dxEuIIF-xsYjHgg/edit?usp=sharing"",""พรบ!Q36"")"),122100)</f>
        <v>122100</v>
      </c>
      <c r="G32" s="88">
        <f ca="1">IFERROR(__xludf.DUMMYFUNCTION("IMPORTRANGE(""https://docs.google.com/spreadsheets/d/1Yj_ptqi66GCucihVvJfMjLAmec39IyEx_6qawtMGysU/edit?usp=sharing"",""สบก!AP36"")"),92400)</f>
        <v>92400</v>
      </c>
      <c r="H32" s="88">
        <f ca="1">IFERROR(__xludf.DUMMYFUNCTION("IMPORTRANGE(""https://docs.google.com/spreadsheets/d/1Yj_ptqi66GCucihVvJfMjLAmec39IyEx_6qawtMGysU/edit?usp=sharing"",""สบก!AR36"")"),122100)</f>
        <v>122100</v>
      </c>
      <c r="I32" s="88">
        <f t="shared" ca="1" si="3"/>
        <v>104820</v>
      </c>
      <c r="J32" s="138">
        <f t="shared" ca="1" si="4"/>
        <v>48.867132867132867</v>
      </c>
      <c r="K32" s="88">
        <f ca="1">IFERROR(__xludf.DUMMYFUNCTION("IMPORTRANGE(""https://docs.google.com/spreadsheets/d/1Yj_ptqi66GCucihVvJfMjLAmec39IyEx_6qawtMGysU/edit?usp=sharing"",""สบก!AS36"")"),12420)</f>
        <v>12420</v>
      </c>
      <c r="L32" s="138">
        <f t="shared" ca="1" si="5"/>
        <v>10.171990171990172</v>
      </c>
      <c r="M32" s="138">
        <f t="shared" ca="1" si="6"/>
        <v>10.171990171990172</v>
      </c>
      <c r="N32" s="138">
        <f ca="1">IFERROR(__xludf.DUMMYFUNCTION("IMPORTRANGE(""https://docs.google.com/spreadsheets/d/1Yj_ptqi66GCucihVvJfMjLAmec39IyEx_6qawtMGysU/edit?usp=sharing"",""สบก!AT36"")"),92400)</f>
        <v>92400</v>
      </c>
      <c r="O32" s="138">
        <f t="shared" ca="1" si="7"/>
        <v>100</v>
      </c>
      <c r="P32" s="88">
        <f ca="1">IFERROR(__xludf.DUMMYFUNCTION("IMPORTRANGE(""https://docs.google.com/spreadsheets/d/1C3CXT74ZlgGe6_JY_1olB1XN4rF0dxEuIIF-xsYjHgg/edit?usp=sharing"",""พรบ!R36"")"),1)</f>
        <v>1</v>
      </c>
      <c r="Q32" s="88">
        <f ca="1">IFERROR(__xludf.DUMMYFUNCTION("IMPORTRANGE(""https://docs.google.com/spreadsheets/d/11923uPwbBZFjjGgGUA6NLw09EwE0CqkOc4q9oUmW1yo/edit?usp=sharing"",""อุทัยธานี!J43"")"),1)</f>
        <v>1</v>
      </c>
      <c r="R32" s="90">
        <f t="shared" ca="1" si="9"/>
        <v>100</v>
      </c>
      <c r="S32" s="88">
        <f ca="1">IFERROR(__xludf.DUMMYFUNCTION("IMPORTRANGE(""https://docs.google.com/spreadsheets/d/1C3CXT74ZlgGe6_JY_1olB1XN4rF0dxEuIIF-xsYjHgg/edit?usp=sharing"",""พรบ!S36"")"),4)</f>
        <v>4</v>
      </c>
      <c r="T32" s="88">
        <f ca="1">IFERROR(__xludf.DUMMYFUNCTION("IMPORTRANGE(""https://docs.google.com/spreadsheets/d/11923uPwbBZFjjGgGUA6NLw09EwE0CqkOc4q9oUmW1yo/edit?usp=sharing"",""อุทัยธานี!J44"")"),0)</f>
        <v>0</v>
      </c>
      <c r="U32" s="90">
        <f t="shared" ca="1" si="10"/>
        <v>0</v>
      </c>
      <c r="V32" s="88">
        <f ca="1">IFERROR(__xludf.DUMMYFUNCTION("IMPORTRANGE(""https://docs.google.com/spreadsheets/d/11923uPwbBZFjjGgGUA6NLw09EwE0CqkOc4q9oUmW1yo/edit?usp=sharing"",""อุทัยธานี!J45"")"),4)</f>
        <v>4</v>
      </c>
      <c r="W32" s="90">
        <f t="shared" ca="1" si="11"/>
        <v>100</v>
      </c>
      <c r="X32" s="88">
        <f ca="1">IFERROR(__xludf.DUMMYFUNCTION("IMPORTRANGE(""https://docs.google.com/spreadsheets/d/11923uPwbBZFjjGgGUA6NLw09EwE0CqkOc4q9oUmW1yo/edit?usp=sharing"",""อุทัยธานี!J46"")"),0)</f>
        <v>0</v>
      </c>
      <c r="Y32" s="90">
        <f t="shared" ca="1" si="12"/>
        <v>0</v>
      </c>
      <c r="Z32" s="88">
        <f ca="1">IFERROR(__xludf.DUMMYFUNCTION("IMPORTRANGE(""https://docs.google.com/spreadsheets/d/11923uPwbBZFjjGgGUA6NLw09EwE0CqkOc4q9oUmW1yo/edit?usp=sharing"",""อุทัยธานี!J47"")"),4)</f>
        <v>4</v>
      </c>
      <c r="AA32" s="138">
        <f t="shared" ca="1" si="13"/>
        <v>100</v>
      </c>
      <c r="AB32" s="88">
        <f ca="1">IFERROR(__xludf.DUMMYFUNCTION("IMPORTRANGE(""https://docs.google.com/spreadsheets/d/1C3CXT74ZlgGe6_JY_1olB1XN4rF0dxEuIIF-xsYjHgg/edit?usp=sharing"",""พรบ!W36"")"),1)</f>
        <v>1</v>
      </c>
      <c r="AC32" s="88">
        <f ca="1">IFERROR(__xludf.DUMMYFUNCTION("IMPORTRANGE(""https://docs.google.com/spreadsheets/d/11923uPwbBZFjjGgGUA6NLw09EwE0CqkOc4q9oUmW1yo/edit?usp=sharing"",""อุทัยธานี!J48"")"),1)</f>
        <v>1</v>
      </c>
      <c r="AD32" s="138">
        <f t="shared" ca="1" si="15"/>
        <v>100</v>
      </c>
    </row>
    <row r="33" spans="1:30" ht="21" customHeight="1">
      <c r="A33" s="677" t="s">
        <v>57</v>
      </c>
      <c r="B33" s="678"/>
      <c r="C33" s="94">
        <f t="shared" ca="1" si="0"/>
        <v>2566280</v>
      </c>
      <c r="D33" s="95">
        <f t="shared" ref="D33:H33" ca="1" si="37">SUM(D34:D53)</f>
        <v>1365880</v>
      </c>
      <c r="E33" s="95">
        <f t="shared" ca="1" si="37"/>
        <v>0</v>
      </c>
      <c r="F33" s="95">
        <f t="shared" ca="1" si="37"/>
        <v>1365880</v>
      </c>
      <c r="G33" s="95">
        <f t="shared" ca="1" si="37"/>
        <v>1200400</v>
      </c>
      <c r="H33" s="95">
        <f t="shared" ca="1" si="37"/>
        <v>1365880</v>
      </c>
      <c r="I33" s="95">
        <f t="shared" ca="1" si="3"/>
        <v>1630843.85</v>
      </c>
      <c r="J33" s="139">
        <f t="shared" ca="1" si="4"/>
        <v>63.548944386427046</v>
      </c>
      <c r="K33" s="95">
        <f ca="1">SUM(K34:K53)</f>
        <v>430843.85</v>
      </c>
      <c r="L33" s="139">
        <f t="shared" ca="1" si="5"/>
        <v>31.543316396755205</v>
      </c>
      <c r="M33" s="139">
        <f t="shared" ca="1" si="6"/>
        <v>31.543316396755205</v>
      </c>
      <c r="N33" s="139">
        <f ca="1">SUM(N34:N53)</f>
        <v>1200000</v>
      </c>
      <c r="O33" s="139">
        <f t="shared" ca="1" si="7"/>
        <v>99.966677774075308</v>
      </c>
      <c r="P33" s="95">
        <f t="shared" ref="P33:Q33" ca="1" si="38">SUM(P34:P53)</f>
        <v>11</v>
      </c>
      <c r="Q33" s="95">
        <f t="shared" ca="1" si="38"/>
        <v>9</v>
      </c>
      <c r="R33" s="97">
        <f t="shared" ca="1" si="9"/>
        <v>81.818181818181813</v>
      </c>
      <c r="S33" s="95">
        <f t="shared" ref="S33:T33" ca="1" si="39">SUM(S34:S53)</f>
        <v>49</v>
      </c>
      <c r="T33" s="95">
        <f t="shared" ca="1" si="39"/>
        <v>65</v>
      </c>
      <c r="U33" s="97">
        <f t="shared" ca="1" si="10"/>
        <v>132.65306122448979</v>
      </c>
      <c r="V33" s="95">
        <f ca="1">SUM(V34:V53)</f>
        <v>50</v>
      </c>
      <c r="W33" s="97">
        <f t="shared" ca="1" si="11"/>
        <v>102.04081632653062</v>
      </c>
      <c r="X33" s="95">
        <f ca="1">SUM(X34:X53)</f>
        <v>42</v>
      </c>
      <c r="Y33" s="97">
        <f t="shared" ca="1" si="12"/>
        <v>85.714285714285708</v>
      </c>
      <c r="Z33" s="95">
        <f ca="1">SUM(Z34:Z53)</f>
        <v>53</v>
      </c>
      <c r="AA33" s="139">
        <f t="shared" ca="1" si="13"/>
        <v>108.16326530612245</v>
      </c>
      <c r="AB33" s="95">
        <f t="shared" ref="AB33:AC33" ca="1" si="40">SUM(AB34:AB53)</f>
        <v>13</v>
      </c>
      <c r="AC33" s="95">
        <f t="shared" ca="1" si="40"/>
        <v>12</v>
      </c>
      <c r="AD33" s="139">
        <f t="shared" ca="1" si="15"/>
        <v>92.307692307692307</v>
      </c>
    </row>
    <row r="34" spans="1:30" ht="21" customHeight="1">
      <c r="A34" s="63">
        <v>1</v>
      </c>
      <c r="B34" s="64" t="s">
        <v>58</v>
      </c>
      <c r="C34" s="65">
        <f t="shared" ca="1" si="0"/>
        <v>0</v>
      </c>
      <c r="D34" s="66">
        <f t="shared" ref="D34:D53" ca="1" si="41">+E34+F34</f>
        <v>0</v>
      </c>
      <c r="E34" s="67">
        <f ca="1">IFERROR(__xludf.DUMMYFUNCTION("IMPORTRANGE(""https://docs.google.com/spreadsheets/d/1C3CXT74ZlgGe6_JY_1olB1XN4rF0dxEuIIF-xsYjHgg/edit?usp=sharing"",""พรบ!P38"")"),0)</f>
        <v>0</v>
      </c>
      <c r="F34" s="67">
        <f ca="1">IFERROR(__xludf.DUMMYFUNCTION("IMPORTRANGE(""https://docs.google.com/spreadsheets/d/1C3CXT74ZlgGe6_JY_1olB1XN4rF0dxEuIIF-xsYjHgg/edit?usp=sharing"",""พรบ!Q38"")"),0)</f>
        <v>0</v>
      </c>
      <c r="G34" s="67">
        <f ca="1">IFERROR(__xludf.DUMMYFUNCTION("IMPORTRANGE(""https://docs.google.com/spreadsheets/d/1Yj_ptqi66GCucihVvJfMjLAmec39IyEx_6qawtMGysU/edit?usp=sharing"",""สบก!AP38"")"),0)</f>
        <v>0</v>
      </c>
      <c r="H34" s="67">
        <f ca="1">IFERROR(__xludf.DUMMYFUNCTION("IMPORTRANGE(""https://docs.google.com/spreadsheets/d/1Yj_ptqi66GCucihVvJfMjLAmec39IyEx_6qawtMGysU/edit?usp=sharing"",""สบก!AR38"")"),0)</f>
        <v>0</v>
      </c>
      <c r="I34" s="67">
        <f t="shared" ca="1" si="3"/>
        <v>0</v>
      </c>
      <c r="J34" s="136">
        <f t="shared" ca="1" si="4"/>
        <v>0</v>
      </c>
      <c r="K34" s="67">
        <f ca="1">IFERROR(__xludf.DUMMYFUNCTION("IMPORTRANGE(""https://docs.google.com/spreadsheets/d/1Yj_ptqi66GCucihVvJfMjLAmec39IyEx_6qawtMGysU/edit?usp=sharing"",""สบก!AS38"")"),0)</f>
        <v>0</v>
      </c>
      <c r="L34" s="136">
        <f t="shared" ca="1" si="5"/>
        <v>0</v>
      </c>
      <c r="M34" s="136">
        <f t="shared" ca="1" si="6"/>
        <v>0</v>
      </c>
      <c r="N34" s="136">
        <f ca="1">IFERROR(__xludf.DUMMYFUNCTION("IMPORTRANGE(""https://docs.google.com/spreadsheets/d/1Yj_ptqi66GCucihVvJfMjLAmec39IyEx_6qawtMGysU/edit?usp=sharing"",""สบก!AT38"")"),0)</f>
        <v>0</v>
      </c>
      <c r="O34" s="136">
        <f t="shared" ca="1" si="7"/>
        <v>0</v>
      </c>
      <c r="P34" s="67">
        <f ca="1">IFERROR(__xludf.DUMMYFUNCTION("IMPORTRANGE(""https://docs.google.com/spreadsheets/d/1C3CXT74ZlgGe6_JY_1olB1XN4rF0dxEuIIF-xsYjHgg/edit?usp=sharing"",""พรบ!R38"")"),0)</f>
        <v>0</v>
      </c>
      <c r="Q34" s="67">
        <f ca="1">IFERROR(__xludf.DUMMYFUNCTION("IMPORTRANGE(""https://docs.google.com/spreadsheets/d/1XL5vhW3sbDhbH9Cz0tuDiY8C3ctxq1tqvaCgkFb8cCA/edit?usp=sharing"",""กาฬสินธุ์!J43"")"),0)</f>
        <v>0</v>
      </c>
      <c r="R34" s="70">
        <f t="shared" ca="1" si="9"/>
        <v>0</v>
      </c>
      <c r="S34" s="67">
        <f ca="1">IFERROR(__xludf.DUMMYFUNCTION("IMPORTRANGE(""https://docs.google.com/spreadsheets/d/1C3CXT74ZlgGe6_JY_1olB1XN4rF0dxEuIIF-xsYjHgg/edit?usp=sharing"",""พรบ!S38"")"),0)</f>
        <v>0</v>
      </c>
      <c r="T34" s="67">
        <f ca="1">IFERROR(__xludf.DUMMYFUNCTION("IMPORTRANGE(""https://docs.google.com/spreadsheets/d/1XL5vhW3sbDhbH9Cz0tuDiY8C3ctxq1tqvaCgkFb8cCA/edit?usp=sharing"",""กาฬสินธุ์!J44"")"),0)</f>
        <v>0</v>
      </c>
      <c r="U34" s="70">
        <f t="shared" ca="1" si="10"/>
        <v>0</v>
      </c>
      <c r="V34" s="67">
        <f ca="1">IFERROR(__xludf.DUMMYFUNCTION("IMPORTRANGE(""https://docs.google.com/spreadsheets/d/1XL5vhW3sbDhbH9Cz0tuDiY8C3ctxq1tqvaCgkFb8cCA/edit?usp=sharing"",""กาฬสินธุ์!J45"")"),0)</f>
        <v>0</v>
      </c>
      <c r="W34" s="70">
        <f t="shared" ca="1" si="11"/>
        <v>0</v>
      </c>
      <c r="X34" s="67">
        <f ca="1">IFERROR(__xludf.DUMMYFUNCTION("IMPORTRANGE(""https://docs.google.com/spreadsheets/d/1XL5vhW3sbDhbH9Cz0tuDiY8C3ctxq1tqvaCgkFb8cCA/edit?usp=sharing"",""กาฬสินธุ์!J46"")"),0)</f>
        <v>0</v>
      </c>
      <c r="Y34" s="70">
        <f t="shared" ca="1" si="12"/>
        <v>0</v>
      </c>
      <c r="Z34" s="67">
        <f ca="1">IFERROR(__xludf.DUMMYFUNCTION("IMPORTRANGE(""https://docs.google.com/spreadsheets/d/1XL5vhW3sbDhbH9Cz0tuDiY8C3ctxq1tqvaCgkFb8cCA/edit?usp=sharing"",""กาฬสินธุ์!J47"")"),0)</f>
        <v>0</v>
      </c>
      <c r="AA34" s="136">
        <f t="shared" ca="1" si="13"/>
        <v>0</v>
      </c>
      <c r="AB34" s="67">
        <f ca="1">IFERROR(__xludf.DUMMYFUNCTION("IMPORTRANGE(""https://docs.google.com/spreadsheets/d/1C3CXT74ZlgGe6_JY_1olB1XN4rF0dxEuIIF-xsYjHgg/edit?usp=sharing"",""พรบ!W38"")"),0)</f>
        <v>0</v>
      </c>
      <c r="AC34" s="67">
        <f ca="1">IFERROR(__xludf.DUMMYFUNCTION("IMPORTRANGE(""https://docs.google.com/spreadsheets/d/1XL5vhW3sbDhbH9Cz0tuDiY8C3ctxq1tqvaCgkFb8cCA/edit?usp=sharing"",""กาฬสินธุ์!J48"")"),0)</f>
        <v>0</v>
      </c>
      <c r="AD34" s="136">
        <f t="shared" ca="1" si="15"/>
        <v>0</v>
      </c>
    </row>
    <row r="35" spans="1:30" ht="21" customHeight="1">
      <c r="A35" s="73">
        <v>2</v>
      </c>
      <c r="B35" s="74" t="s">
        <v>59</v>
      </c>
      <c r="C35" s="75">
        <f t="shared" ca="1" si="0"/>
        <v>214500</v>
      </c>
      <c r="D35" s="76">
        <f t="shared" ca="1" si="41"/>
        <v>122100</v>
      </c>
      <c r="E35" s="77">
        <f ca="1">IFERROR(__xludf.DUMMYFUNCTION("IMPORTRANGE(""https://docs.google.com/spreadsheets/d/1C3CXT74ZlgGe6_JY_1olB1XN4rF0dxEuIIF-xsYjHgg/edit?usp=sharing"",""พรบ!P39"")"),0)</f>
        <v>0</v>
      </c>
      <c r="F35" s="77">
        <f ca="1">IFERROR(__xludf.DUMMYFUNCTION("IMPORTRANGE(""https://docs.google.com/spreadsheets/d/1C3CXT74ZlgGe6_JY_1olB1XN4rF0dxEuIIF-xsYjHgg/edit?usp=sharing"",""พรบ!Q39"")"),122100)</f>
        <v>122100</v>
      </c>
      <c r="G35" s="77">
        <f ca="1">IFERROR(__xludf.DUMMYFUNCTION("IMPORTRANGE(""https://docs.google.com/spreadsheets/d/1Yj_ptqi66GCucihVvJfMjLAmec39IyEx_6qawtMGysU/edit?usp=sharing"",""สบก!AP39"")"),92400)</f>
        <v>92400</v>
      </c>
      <c r="H35" s="77">
        <f ca="1">IFERROR(__xludf.DUMMYFUNCTION("IMPORTRANGE(""https://docs.google.com/spreadsheets/d/1Yj_ptqi66GCucihVvJfMjLAmec39IyEx_6qawtMGysU/edit?usp=sharing"",""สบก!AR39"")"),122100)</f>
        <v>122100</v>
      </c>
      <c r="I35" s="77">
        <f t="shared" ca="1" si="3"/>
        <v>118770</v>
      </c>
      <c r="J35" s="137">
        <f t="shared" ca="1" si="4"/>
        <v>55.370629370629374</v>
      </c>
      <c r="K35" s="77">
        <f ca="1">IFERROR(__xludf.DUMMYFUNCTION("IMPORTRANGE(""https://docs.google.com/spreadsheets/d/1Yj_ptqi66GCucihVvJfMjLAmec39IyEx_6qawtMGysU/edit?usp=sharing"",""สบก!AS39"")"),26370)</f>
        <v>26370</v>
      </c>
      <c r="L35" s="137">
        <f t="shared" ca="1" si="5"/>
        <v>21.597051597051596</v>
      </c>
      <c r="M35" s="137">
        <f t="shared" ca="1" si="6"/>
        <v>21.597051597051596</v>
      </c>
      <c r="N35" s="137">
        <f ca="1">IFERROR(__xludf.DUMMYFUNCTION("IMPORTRANGE(""https://docs.google.com/spreadsheets/d/1Yj_ptqi66GCucihVvJfMjLAmec39IyEx_6qawtMGysU/edit?usp=sharing"",""สบก!AT39"")"),92400)</f>
        <v>92400</v>
      </c>
      <c r="O35" s="137">
        <f t="shared" ca="1" si="7"/>
        <v>100</v>
      </c>
      <c r="P35" s="77">
        <f ca="1">IFERROR(__xludf.DUMMYFUNCTION("IMPORTRANGE(""https://docs.google.com/spreadsheets/d/1C3CXT74ZlgGe6_JY_1olB1XN4rF0dxEuIIF-xsYjHgg/edit?usp=sharing"",""พรบ!R39"")"),1)</f>
        <v>1</v>
      </c>
      <c r="Q35" s="77">
        <f ca="1">IFERROR(__xludf.DUMMYFUNCTION("IMPORTRANGE(""https://docs.google.com/spreadsheets/d/1XL5vhW3sbDhbH9Cz0tuDiY8C3ctxq1tqvaCgkFb8cCA/edit?usp=sharing"",""ขอนแก่น!J43"")"),0)</f>
        <v>0</v>
      </c>
      <c r="R35" s="79">
        <f t="shared" ca="1" si="9"/>
        <v>0</v>
      </c>
      <c r="S35" s="77">
        <f ca="1">IFERROR(__xludf.DUMMYFUNCTION("IMPORTRANGE(""https://docs.google.com/spreadsheets/d/1C3CXT74ZlgGe6_JY_1olB1XN4rF0dxEuIIF-xsYjHgg/edit?usp=sharing"",""พรบ!S39"")"),4)</f>
        <v>4</v>
      </c>
      <c r="T35" s="77">
        <f ca="1">IFERROR(__xludf.DUMMYFUNCTION("IMPORTRANGE(""https://docs.google.com/spreadsheets/d/1XL5vhW3sbDhbH9Cz0tuDiY8C3ctxq1tqvaCgkFb8cCA/edit?usp=sharing"",""ขอนแก่น!J44"")"),4)</f>
        <v>4</v>
      </c>
      <c r="U35" s="79">
        <f t="shared" ca="1" si="10"/>
        <v>100</v>
      </c>
      <c r="V35" s="77">
        <f ca="1">IFERROR(__xludf.DUMMYFUNCTION("IMPORTRANGE(""https://docs.google.com/spreadsheets/d/1XL5vhW3sbDhbH9Cz0tuDiY8C3ctxq1tqvaCgkFb8cCA/edit?usp=sharing"",""ขอนแก่น!J45"")"),4)</f>
        <v>4</v>
      </c>
      <c r="W35" s="79">
        <f t="shared" ca="1" si="11"/>
        <v>100</v>
      </c>
      <c r="X35" s="77">
        <f ca="1">IFERROR(__xludf.DUMMYFUNCTION("IMPORTRANGE(""https://docs.google.com/spreadsheets/d/1XL5vhW3sbDhbH9Cz0tuDiY8C3ctxq1tqvaCgkFb8cCA/edit?usp=sharing"",""ขอนแก่น!J46"")"),4)</f>
        <v>4</v>
      </c>
      <c r="Y35" s="79">
        <f t="shared" ca="1" si="12"/>
        <v>100</v>
      </c>
      <c r="Z35" s="77">
        <f ca="1">IFERROR(__xludf.DUMMYFUNCTION("IMPORTRANGE(""https://docs.google.com/spreadsheets/d/1XL5vhW3sbDhbH9Cz0tuDiY8C3ctxq1tqvaCgkFb8cCA/edit?usp=sharing"",""ขอนแก่น!J47"")"),4)</f>
        <v>4</v>
      </c>
      <c r="AA35" s="137">
        <f t="shared" ca="1" si="13"/>
        <v>100</v>
      </c>
      <c r="AB35" s="77">
        <f ca="1">IFERROR(__xludf.DUMMYFUNCTION("IMPORTRANGE(""https://docs.google.com/spreadsheets/d/1C3CXT74ZlgGe6_JY_1olB1XN4rF0dxEuIIF-xsYjHgg/edit?usp=sharing"",""พรบ!W39"")"),1)</f>
        <v>1</v>
      </c>
      <c r="AC35" s="77">
        <f ca="1">IFERROR(__xludf.DUMMYFUNCTION("IMPORTRANGE(""https://docs.google.com/spreadsheets/d/1XL5vhW3sbDhbH9Cz0tuDiY8C3ctxq1tqvaCgkFb8cCA/edit?usp=sharing"",""ขอนแก่น!J48"")"),1)</f>
        <v>1</v>
      </c>
      <c r="AD35" s="137">
        <f t="shared" ca="1" si="15"/>
        <v>100</v>
      </c>
    </row>
    <row r="36" spans="1:30" ht="21" customHeight="1">
      <c r="A36" s="73">
        <v>3</v>
      </c>
      <c r="B36" s="74" t="s">
        <v>60</v>
      </c>
      <c r="C36" s="75">
        <f t="shared" ca="1" si="0"/>
        <v>0</v>
      </c>
      <c r="D36" s="76">
        <f t="shared" ca="1" si="41"/>
        <v>0</v>
      </c>
      <c r="E36" s="77">
        <f ca="1">IFERROR(__xludf.DUMMYFUNCTION("IMPORTRANGE(""https://docs.google.com/spreadsheets/d/1C3CXT74ZlgGe6_JY_1olB1XN4rF0dxEuIIF-xsYjHgg/edit?usp=sharing"",""พรบ!P40"")"),0)</f>
        <v>0</v>
      </c>
      <c r="F36" s="77">
        <f ca="1">IFERROR(__xludf.DUMMYFUNCTION("IMPORTRANGE(""https://docs.google.com/spreadsheets/d/1C3CXT74ZlgGe6_JY_1olB1XN4rF0dxEuIIF-xsYjHgg/edit?usp=sharing"",""พรบ!Q40"")"),0)</f>
        <v>0</v>
      </c>
      <c r="G36" s="77">
        <f ca="1">IFERROR(__xludf.DUMMYFUNCTION("IMPORTRANGE(""https://docs.google.com/spreadsheets/d/1Yj_ptqi66GCucihVvJfMjLAmec39IyEx_6qawtMGysU/edit?usp=sharing"",""สบก!AP40"")"),0)</f>
        <v>0</v>
      </c>
      <c r="H36" s="77">
        <f ca="1">IFERROR(__xludf.DUMMYFUNCTION("IMPORTRANGE(""https://docs.google.com/spreadsheets/d/1Yj_ptqi66GCucihVvJfMjLAmec39IyEx_6qawtMGysU/edit?usp=sharing"",""สบก!AR40"")"),0)</f>
        <v>0</v>
      </c>
      <c r="I36" s="77">
        <f t="shared" ca="1" si="3"/>
        <v>0</v>
      </c>
      <c r="J36" s="137">
        <f t="shared" ca="1" si="4"/>
        <v>0</v>
      </c>
      <c r="K36" s="77">
        <f ca="1">IFERROR(__xludf.DUMMYFUNCTION("IMPORTRANGE(""https://docs.google.com/spreadsheets/d/1Yj_ptqi66GCucihVvJfMjLAmec39IyEx_6qawtMGysU/edit?usp=sharing"",""สบก!AS40"")"),0)</f>
        <v>0</v>
      </c>
      <c r="L36" s="137">
        <f t="shared" ca="1" si="5"/>
        <v>0</v>
      </c>
      <c r="M36" s="137">
        <f t="shared" ca="1" si="6"/>
        <v>0</v>
      </c>
      <c r="N36" s="137">
        <f ca="1">IFERROR(__xludf.DUMMYFUNCTION("IMPORTRANGE(""https://docs.google.com/spreadsheets/d/1Yj_ptqi66GCucihVvJfMjLAmec39IyEx_6qawtMGysU/edit?usp=sharing"",""สบก!AT40"")"),0)</f>
        <v>0</v>
      </c>
      <c r="O36" s="137">
        <f t="shared" ca="1" si="7"/>
        <v>0</v>
      </c>
      <c r="P36" s="77">
        <f ca="1">IFERROR(__xludf.DUMMYFUNCTION("IMPORTRANGE(""https://docs.google.com/spreadsheets/d/1C3CXT74ZlgGe6_JY_1olB1XN4rF0dxEuIIF-xsYjHgg/edit?usp=sharing"",""พรบ!R40"")"),0)</f>
        <v>0</v>
      </c>
      <c r="Q36" s="77">
        <f ca="1">IFERROR(__xludf.DUMMYFUNCTION("IMPORTRANGE(""https://docs.google.com/spreadsheets/d/1XL5vhW3sbDhbH9Cz0tuDiY8C3ctxq1tqvaCgkFb8cCA/edit?usp=sharing"",""ชัยภูมิ!J43"")"),0)</f>
        <v>0</v>
      </c>
      <c r="R36" s="79">
        <f t="shared" ca="1" si="9"/>
        <v>0</v>
      </c>
      <c r="S36" s="77">
        <f ca="1">IFERROR(__xludf.DUMMYFUNCTION("IMPORTRANGE(""https://docs.google.com/spreadsheets/d/1C3CXT74ZlgGe6_JY_1olB1XN4rF0dxEuIIF-xsYjHgg/edit?usp=sharing"",""พรบ!S40"")"),0)</f>
        <v>0</v>
      </c>
      <c r="T36" s="77">
        <f ca="1">IFERROR(__xludf.DUMMYFUNCTION("IMPORTRANGE(""https://docs.google.com/spreadsheets/d/1XL5vhW3sbDhbH9Cz0tuDiY8C3ctxq1tqvaCgkFb8cCA/edit?usp=sharing"",""ชัยภูมิ!J44"")"),0)</f>
        <v>0</v>
      </c>
      <c r="U36" s="79">
        <f t="shared" ca="1" si="10"/>
        <v>0</v>
      </c>
      <c r="V36" s="77">
        <f ca="1">IFERROR(__xludf.DUMMYFUNCTION("IMPORTRANGE(""https://docs.google.com/spreadsheets/d/1XL5vhW3sbDhbH9Cz0tuDiY8C3ctxq1tqvaCgkFb8cCA/edit?usp=sharing"",""ชัยภูมิ!J45"")"),0)</f>
        <v>0</v>
      </c>
      <c r="W36" s="79">
        <f t="shared" ca="1" si="11"/>
        <v>0</v>
      </c>
      <c r="X36" s="77">
        <f ca="1">IFERROR(__xludf.DUMMYFUNCTION("IMPORTRANGE(""https://docs.google.com/spreadsheets/d/1XL5vhW3sbDhbH9Cz0tuDiY8C3ctxq1tqvaCgkFb8cCA/edit?usp=sharing"",""ชัยภูมิ!J46"")"),0)</f>
        <v>0</v>
      </c>
      <c r="Y36" s="79">
        <f t="shared" ca="1" si="12"/>
        <v>0</v>
      </c>
      <c r="Z36" s="77">
        <f ca="1">IFERROR(__xludf.DUMMYFUNCTION("IMPORTRANGE(""https://docs.google.com/spreadsheets/d/1XL5vhW3sbDhbH9Cz0tuDiY8C3ctxq1tqvaCgkFb8cCA/edit?usp=sharing"",""ชัยภูมิ!J47"")"),0)</f>
        <v>0</v>
      </c>
      <c r="AA36" s="137">
        <f t="shared" ca="1" si="13"/>
        <v>0</v>
      </c>
      <c r="AB36" s="77">
        <f ca="1">IFERROR(__xludf.DUMMYFUNCTION("IMPORTRANGE(""https://docs.google.com/spreadsheets/d/1C3CXT74ZlgGe6_JY_1olB1XN4rF0dxEuIIF-xsYjHgg/edit?usp=sharing"",""พรบ!W40"")"),0)</f>
        <v>0</v>
      </c>
      <c r="AC36" s="77">
        <f ca="1">IFERROR(__xludf.DUMMYFUNCTION("IMPORTRANGE(""https://docs.google.com/spreadsheets/d/1XL5vhW3sbDhbH9Cz0tuDiY8C3ctxq1tqvaCgkFb8cCA/edit?usp=sharing"",""ชัยภูมิ!J48"")"),0)</f>
        <v>0</v>
      </c>
      <c r="AD36" s="137">
        <f t="shared" ca="1" si="15"/>
        <v>0</v>
      </c>
    </row>
    <row r="37" spans="1:30" ht="21" customHeight="1">
      <c r="A37" s="73">
        <v>4</v>
      </c>
      <c r="B37" s="74" t="s">
        <v>61</v>
      </c>
      <c r="C37" s="75">
        <f t="shared" ca="1" si="0"/>
        <v>214500</v>
      </c>
      <c r="D37" s="76">
        <f t="shared" ca="1" si="41"/>
        <v>122100</v>
      </c>
      <c r="E37" s="77">
        <f ca="1">IFERROR(__xludf.DUMMYFUNCTION("IMPORTRANGE(""https://docs.google.com/spreadsheets/d/1C3CXT74ZlgGe6_JY_1olB1XN4rF0dxEuIIF-xsYjHgg/edit?usp=sharing"",""พรบ!P41"")"),0)</f>
        <v>0</v>
      </c>
      <c r="F37" s="77">
        <f ca="1">IFERROR(__xludf.DUMMYFUNCTION("IMPORTRANGE(""https://docs.google.com/spreadsheets/d/1C3CXT74ZlgGe6_JY_1olB1XN4rF0dxEuIIF-xsYjHgg/edit?usp=sharing"",""พรบ!Q41"")"),122100)</f>
        <v>122100</v>
      </c>
      <c r="G37" s="77">
        <f ca="1">IFERROR(__xludf.DUMMYFUNCTION("IMPORTRANGE(""https://docs.google.com/spreadsheets/d/1Yj_ptqi66GCucihVvJfMjLAmec39IyEx_6qawtMGysU/edit?usp=sharing"",""สบก!AP41"")"),92400)</f>
        <v>92400</v>
      </c>
      <c r="H37" s="77">
        <f ca="1">IFERROR(__xludf.DUMMYFUNCTION("IMPORTRANGE(""https://docs.google.com/spreadsheets/d/1Yj_ptqi66GCucihVvJfMjLAmec39IyEx_6qawtMGysU/edit?usp=sharing"",""สบก!AR41"")"),122100)</f>
        <v>122100</v>
      </c>
      <c r="I37" s="77">
        <f t="shared" ca="1" si="3"/>
        <v>99498.55</v>
      </c>
      <c r="J37" s="137">
        <f t="shared" ca="1" si="4"/>
        <v>46.386270396270397</v>
      </c>
      <c r="K37" s="77">
        <f ca="1">IFERROR(__xludf.DUMMYFUNCTION("IMPORTRANGE(""https://docs.google.com/spreadsheets/d/1Yj_ptqi66GCucihVvJfMjLAmec39IyEx_6qawtMGysU/edit?usp=sharing"",""สบก!AS41"")"),7498.55)</f>
        <v>7498.55</v>
      </c>
      <c r="L37" s="137">
        <f t="shared" ca="1" si="5"/>
        <v>6.1413185913185915</v>
      </c>
      <c r="M37" s="137">
        <f t="shared" ca="1" si="6"/>
        <v>6.1413185913185915</v>
      </c>
      <c r="N37" s="137">
        <f ca="1">IFERROR(__xludf.DUMMYFUNCTION("IMPORTRANGE(""https://docs.google.com/spreadsheets/d/1Yj_ptqi66GCucihVvJfMjLAmec39IyEx_6qawtMGysU/edit?usp=sharing"",""สบก!AT41"")"),92000)</f>
        <v>92000</v>
      </c>
      <c r="O37" s="137">
        <f t="shared" ca="1" si="7"/>
        <v>99.567099567099561</v>
      </c>
      <c r="P37" s="77">
        <f ca="1">IFERROR(__xludf.DUMMYFUNCTION("IMPORTRANGE(""https://docs.google.com/spreadsheets/d/1C3CXT74ZlgGe6_JY_1olB1XN4rF0dxEuIIF-xsYjHgg/edit?usp=sharing"",""พรบ!R41"")"),1)</f>
        <v>1</v>
      </c>
      <c r="Q37" s="77">
        <f ca="1">IFERROR(__xludf.DUMMYFUNCTION("IMPORTRANGE(""https://docs.google.com/spreadsheets/d/1XL5vhW3sbDhbH9Cz0tuDiY8C3ctxq1tqvaCgkFb8cCA/edit?usp=sharing"",""นครพนม!J43"")"),1)</f>
        <v>1</v>
      </c>
      <c r="R37" s="79">
        <f t="shared" ca="1" si="9"/>
        <v>100</v>
      </c>
      <c r="S37" s="77">
        <f ca="1">IFERROR(__xludf.DUMMYFUNCTION("IMPORTRANGE(""https://docs.google.com/spreadsheets/d/1C3CXT74ZlgGe6_JY_1olB1XN4rF0dxEuIIF-xsYjHgg/edit?usp=sharing"",""พรบ!S41"")"),4)</f>
        <v>4</v>
      </c>
      <c r="T37" s="77">
        <f ca="1">IFERROR(__xludf.DUMMYFUNCTION("IMPORTRANGE(""https://docs.google.com/spreadsheets/d/1XL5vhW3sbDhbH9Cz0tuDiY8C3ctxq1tqvaCgkFb8cCA/edit?usp=sharing"",""นครพนม!J44"")"),4)</f>
        <v>4</v>
      </c>
      <c r="U37" s="79">
        <f t="shared" ca="1" si="10"/>
        <v>100</v>
      </c>
      <c r="V37" s="77">
        <f ca="1">IFERROR(__xludf.DUMMYFUNCTION("IMPORTRANGE(""https://docs.google.com/spreadsheets/d/1XL5vhW3sbDhbH9Cz0tuDiY8C3ctxq1tqvaCgkFb8cCA/edit?usp=sharing"",""นครพนม!J45"")"),4)</f>
        <v>4</v>
      </c>
      <c r="W37" s="79">
        <f t="shared" ca="1" si="11"/>
        <v>100</v>
      </c>
      <c r="X37" s="77">
        <f ca="1">IFERROR(__xludf.DUMMYFUNCTION("IMPORTRANGE(""https://docs.google.com/spreadsheets/d/1XL5vhW3sbDhbH9Cz0tuDiY8C3ctxq1tqvaCgkFb8cCA/edit?usp=sharing"",""นครพนม!J46"")"),4)</f>
        <v>4</v>
      </c>
      <c r="Y37" s="79">
        <f t="shared" ca="1" si="12"/>
        <v>100</v>
      </c>
      <c r="Z37" s="77">
        <f ca="1">IFERROR(__xludf.DUMMYFUNCTION("IMPORTRANGE(""https://docs.google.com/spreadsheets/d/1XL5vhW3sbDhbH9Cz0tuDiY8C3ctxq1tqvaCgkFb8cCA/edit?usp=sharing"",""นครพนม!J47"")"),4)</f>
        <v>4</v>
      </c>
      <c r="AA37" s="137">
        <f t="shared" ca="1" si="13"/>
        <v>100</v>
      </c>
      <c r="AB37" s="77">
        <f ca="1">IFERROR(__xludf.DUMMYFUNCTION("IMPORTRANGE(""https://docs.google.com/spreadsheets/d/1C3CXT74ZlgGe6_JY_1olB1XN4rF0dxEuIIF-xsYjHgg/edit?usp=sharing"",""พรบ!W41"")"),1)</f>
        <v>1</v>
      </c>
      <c r="AC37" s="77">
        <f ca="1">IFERROR(__xludf.DUMMYFUNCTION("IMPORTRANGE(""https://docs.google.com/spreadsheets/d/1XL5vhW3sbDhbH9Cz0tuDiY8C3ctxq1tqvaCgkFb8cCA/edit?usp=sharing"",""นครพนม!J48"")"),1)</f>
        <v>1</v>
      </c>
      <c r="AD37" s="137">
        <f t="shared" ca="1" si="15"/>
        <v>100</v>
      </c>
    </row>
    <row r="38" spans="1:30" ht="21" customHeight="1">
      <c r="A38" s="73">
        <v>5</v>
      </c>
      <c r="B38" s="74" t="s">
        <v>62</v>
      </c>
      <c r="C38" s="75">
        <f t="shared" ca="1" si="0"/>
        <v>316780</v>
      </c>
      <c r="D38" s="76">
        <f t="shared" ca="1" si="41"/>
        <v>131980</v>
      </c>
      <c r="E38" s="77">
        <f ca="1">IFERROR(__xludf.DUMMYFUNCTION("IMPORTRANGE(""https://docs.google.com/spreadsheets/d/1C3CXT74ZlgGe6_JY_1olB1XN4rF0dxEuIIF-xsYjHgg/edit?usp=sharing"",""พรบ!P42"")"),0)</f>
        <v>0</v>
      </c>
      <c r="F38" s="77">
        <f ca="1">IFERROR(__xludf.DUMMYFUNCTION("IMPORTRANGE(""https://docs.google.com/spreadsheets/d/1C3CXT74ZlgGe6_JY_1olB1XN4rF0dxEuIIF-xsYjHgg/edit?usp=sharing"",""พรบ!Q42"")"),131980)</f>
        <v>131980</v>
      </c>
      <c r="G38" s="77">
        <f ca="1">IFERROR(__xludf.DUMMYFUNCTION("IMPORTRANGE(""https://docs.google.com/spreadsheets/d/1Yj_ptqi66GCucihVvJfMjLAmec39IyEx_6qawtMGysU/edit?usp=sharing"",""สบก!AP42"")"),184800)</f>
        <v>184800</v>
      </c>
      <c r="H38" s="77">
        <f ca="1">IFERROR(__xludf.DUMMYFUNCTION("IMPORTRANGE(""https://docs.google.com/spreadsheets/d/1Yj_ptqi66GCucihVvJfMjLAmec39IyEx_6qawtMGysU/edit?usp=sharing"",""สบก!AR42"")"),131980)</f>
        <v>131980</v>
      </c>
      <c r="I38" s="77">
        <f t="shared" ca="1" si="3"/>
        <v>262150</v>
      </c>
      <c r="J38" s="137">
        <f t="shared" ca="1" si="4"/>
        <v>82.754593092998292</v>
      </c>
      <c r="K38" s="77">
        <f ca="1">IFERROR(__xludf.DUMMYFUNCTION("IMPORTRANGE(""https://docs.google.com/spreadsheets/d/1Yj_ptqi66GCucihVvJfMjLAmec39IyEx_6qawtMGysU/edit?usp=sharing"",""สบก!AS42"")"),77350)</f>
        <v>77350</v>
      </c>
      <c r="L38" s="137">
        <f t="shared" ca="1" si="5"/>
        <v>58.607364752235185</v>
      </c>
      <c r="M38" s="137">
        <f t="shared" ca="1" si="6"/>
        <v>58.607364752235185</v>
      </c>
      <c r="N38" s="137">
        <f ca="1">IFERROR(__xludf.DUMMYFUNCTION("IMPORTRANGE(""https://docs.google.com/spreadsheets/d/1Yj_ptqi66GCucihVvJfMjLAmec39IyEx_6qawtMGysU/edit?usp=sharing"",""สบก!AT42"")"),184800)</f>
        <v>184800</v>
      </c>
      <c r="O38" s="137">
        <f t="shared" ca="1" si="7"/>
        <v>100</v>
      </c>
      <c r="P38" s="77">
        <f ca="1">IFERROR(__xludf.DUMMYFUNCTION("IMPORTRANGE(""https://docs.google.com/spreadsheets/d/1C3CXT74ZlgGe6_JY_1olB1XN4rF0dxEuIIF-xsYjHgg/edit?usp=sharing"",""พรบ!R42"")"),1)</f>
        <v>1</v>
      </c>
      <c r="Q38" s="77">
        <f ca="1">IFERROR(__xludf.DUMMYFUNCTION("IMPORTRANGE(""https://docs.google.com/spreadsheets/d/1XL5vhW3sbDhbH9Cz0tuDiY8C3ctxq1tqvaCgkFb8cCA/edit?usp=sharing"",""นครราชสีมา!J43"")"),1)</f>
        <v>1</v>
      </c>
      <c r="R38" s="79">
        <f t="shared" ca="1" si="9"/>
        <v>100</v>
      </c>
      <c r="S38" s="77">
        <f ca="1">IFERROR(__xludf.DUMMYFUNCTION("IMPORTRANGE(""https://docs.google.com/spreadsheets/d/1C3CXT74ZlgGe6_JY_1olB1XN4rF0dxEuIIF-xsYjHgg/edit?usp=sharing"",""พรบ!S42"")"),6)</f>
        <v>6</v>
      </c>
      <c r="T38" s="77">
        <f ca="1">IFERROR(__xludf.DUMMYFUNCTION("IMPORTRANGE(""https://docs.google.com/spreadsheets/d/1XL5vhW3sbDhbH9Cz0tuDiY8C3ctxq1tqvaCgkFb8cCA/edit?usp=sharing"",""นครราชสีมา!J44"")"),6)</f>
        <v>6</v>
      </c>
      <c r="U38" s="79">
        <f t="shared" ca="1" si="10"/>
        <v>100</v>
      </c>
      <c r="V38" s="77">
        <f ca="1">IFERROR(__xludf.DUMMYFUNCTION("IMPORTRANGE(""https://docs.google.com/spreadsheets/d/1XL5vhW3sbDhbH9Cz0tuDiY8C3ctxq1tqvaCgkFb8cCA/edit?usp=sharing"",""นครราชสีมา!J45"")"),6)</f>
        <v>6</v>
      </c>
      <c r="W38" s="79">
        <f t="shared" ca="1" si="11"/>
        <v>100</v>
      </c>
      <c r="X38" s="77">
        <f ca="1">IFERROR(__xludf.DUMMYFUNCTION("IMPORTRANGE(""https://docs.google.com/spreadsheets/d/1XL5vhW3sbDhbH9Cz0tuDiY8C3ctxq1tqvaCgkFb8cCA/edit?usp=sharing"",""นครราชสีมา!J46"")"),6)</f>
        <v>6</v>
      </c>
      <c r="Y38" s="79">
        <f t="shared" ca="1" si="12"/>
        <v>100</v>
      </c>
      <c r="Z38" s="77">
        <f ca="1">IFERROR(__xludf.DUMMYFUNCTION("IMPORTRANGE(""https://docs.google.com/spreadsheets/d/1XL5vhW3sbDhbH9Cz0tuDiY8C3ctxq1tqvaCgkFb8cCA/edit?usp=sharing"",""นครราชสีมา!J47"")"),6)</f>
        <v>6</v>
      </c>
      <c r="AA38" s="137">
        <f t="shared" ca="1" si="13"/>
        <v>100</v>
      </c>
      <c r="AB38" s="77">
        <f ca="1">IFERROR(__xludf.DUMMYFUNCTION("IMPORTRANGE(""https://docs.google.com/spreadsheets/d/1C3CXT74ZlgGe6_JY_1olB1XN4rF0dxEuIIF-xsYjHgg/edit?usp=sharing"",""พรบ!W42"")"),2)</f>
        <v>2</v>
      </c>
      <c r="AC38" s="77">
        <f ca="1">IFERROR(__xludf.DUMMYFUNCTION("IMPORTRANGE(""https://docs.google.com/spreadsheets/d/1XL5vhW3sbDhbH9Cz0tuDiY8C3ctxq1tqvaCgkFb8cCA/edit?usp=sharing"",""นครราชสีมา!J48"")"),2)</f>
        <v>2</v>
      </c>
      <c r="AD38" s="137">
        <f t="shared" ca="1" si="15"/>
        <v>100</v>
      </c>
    </row>
    <row r="39" spans="1:30" ht="21" customHeight="1">
      <c r="A39" s="73">
        <v>6</v>
      </c>
      <c r="B39" s="74" t="s">
        <v>63</v>
      </c>
      <c r="C39" s="75">
        <f t="shared" ca="1" si="0"/>
        <v>214500</v>
      </c>
      <c r="D39" s="76">
        <f t="shared" ca="1" si="41"/>
        <v>122100</v>
      </c>
      <c r="E39" s="77">
        <f ca="1">IFERROR(__xludf.DUMMYFUNCTION("IMPORTRANGE(""https://docs.google.com/spreadsheets/d/1C3CXT74ZlgGe6_JY_1olB1XN4rF0dxEuIIF-xsYjHgg/edit?usp=sharing"",""พรบ!P43"")"),0)</f>
        <v>0</v>
      </c>
      <c r="F39" s="77">
        <f ca="1">IFERROR(__xludf.DUMMYFUNCTION("IMPORTRANGE(""https://docs.google.com/spreadsheets/d/1C3CXT74ZlgGe6_JY_1olB1XN4rF0dxEuIIF-xsYjHgg/edit?usp=sharing"",""พรบ!Q43"")"),122100)</f>
        <v>122100</v>
      </c>
      <c r="G39" s="77">
        <f ca="1">IFERROR(__xludf.DUMMYFUNCTION("IMPORTRANGE(""https://docs.google.com/spreadsheets/d/1Yj_ptqi66GCucihVvJfMjLAmec39IyEx_6qawtMGysU/edit?usp=sharing"",""สบก!AP43"")"),92400)</f>
        <v>92400</v>
      </c>
      <c r="H39" s="77">
        <f ca="1">IFERROR(__xludf.DUMMYFUNCTION("IMPORTRANGE(""https://docs.google.com/spreadsheets/d/1Yj_ptqi66GCucihVvJfMjLAmec39IyEx_6qawtMGysU/edit?usp=sharing"",""สบก!AR43"")"),122100)</f>
        <v>122100</v>
      </c>
      <c r="I39" s="77">
        <f t="shared" ca="1" si="3"/>
        <v>123980</v>
      </c>
      <c r="J39" s="137">
        <f t="shared" ca="1" si="4"/>
        <v>57.799533799533798</v>
      </c>
      <c r="K39" s="77">
        <f ca="1">IFERROR(__xludf.DUMMYFUNCTION("IMPORTRANGE(""https://docs.google.com/spreadsheets/d/1Yj_ptqi66GCucihVvJfMjLAmec39IyEx_6qawtMGysU/edit?usp=sharing"",""สบก!AS43"")"),31580)</f>
        <v>31580</v>
      </c>
      <c r="L39" s="137">
        <f t="shared" ca="1" si="5"/>
        <v>25.864045864045863</v>
      </c>
      <c r="M39" s="137">
        <f t="shared" ca="1" si="6"/>
        <v>25.864045864045863</v>
      </c>
      <c r="N39" s="137">
        <f ca="1">IFERROR(__xludf.DUMMYFUNCTION("IMPORTRANGE(""https://docs.google.com/spreadsheets/d/1Yj_ptqi66GCucihVvJfMjLAmec39IyEx_6qawtMGysU/edit?usp=sharing"",""สบก!AT43"")"),92400)</f>
        <v>92400</v>
      </c>
      <c r="O39" s="137">
        <f t="shared" ca="1" si="7"/>
        <v>100</v>
      </c>
      <c r="P39" s="77">
        <f ca="1">IFERROR(__xludf.DUMMYFUNCTION("IMPORTRANGE(""https://docs.google.com/spreadsheets/d/1C3CXT74ZlgGe6_JY_1olB1XN4rF0dxEuIIF-xsYjHgg/edit?usp=sharing"",""พรบ!R43"")"),1)</f>
        <v>1</v>
      </c>
      <c r="Q39" s="77">
        <f ca="1">IFERROR(__xludf.DUMMYFUNCTION("IMPORTRANGE(""https://docs.google.com/spreadsheets/d/1XL5vhW3sbDhbH9Cz0tuDiY8C3ctxq1tqvaCgkFb8cCA/edit?usp=sharing"",""บึงกาฬ!J43"")"),1)</f>
        <v>1</v>
      </c>
      <c r="R39" s="79">
        <f t="shared" ca="1" si="9"/>
        <v>100</v>
      </c>
      <c r="S39" s="77">
        <f ca="1">IFERROR(__xludf.DUMMYFUNCTION("IMPORTRANGE(""https://docs.google.com/spreadsheets/d/1C3CXT74ZlgGe6_JY_1olB1XN4rF0dxEuIIF-xsYjHgg/edit?usp=sharing"",""พรบ!S43"")"),4)</f>
        <v>4</v>
      </c>
      <c r="T39" s="77">
        <f ca="1">IFERROR(__xludf.DUMMYFUNCTION("IMPORTRANGE(""https://docs.google.com/spreadsheets/d/1XL5vhW3sbDhbH9Cz0tuDiY8C3ctxq1tqvaCgkFb8cCA/edit?usp=sharing"",""บึงกาฬ!J44"")"),4)</f>
        <v>4</v>
      </c>
      <c r="U39" s="79">
        <f t="shared" ca="1" si="10"/>
        <v>100</v>
      </c>
      <c r="V39" s="77">
        <f ca="1">IFERROR(__xludf.DUMMYFUNCTION("IMPORTRANGE(""https://docs.google.com/spreadsheets/d/1XL5vhW3sbDhbH9Cz0tuDiY8C3ctxq1tqvaCgkFb8cCA/edit?usp=sharing"",""บึงกาฬ!J45"")"),4)</f>
        <v>4</v>
      </c>
      <c r="W39" s="79">
        <f t="shared" ca="1" si="11"/>
        <v>100</v>
      </c>
      <c r="X39" s="77">
        <f ca="1">IFERROR(__xludf.DUMMYFUNCTION("IMPORTRANGE(""https://docs.google.com/spreadsheets/d/1XL5vhW3sbDhbH9Cz0tuDiY8C3ctxq1tqvaCgkFb8cCA/edit?usp=sharing"",""บึงกาฬ!J46"")"),4)</f>
        <v>4</v>
      </c>
      <c r="Y39" s="79">
        <f t="shared" ca="1" si="12"/>
        <v>100</v>
      </c>
      <c r="Z39" s="77">
        <f ca="1">IFERROR(__xludf.DUMMYFUNCTION("IMPORTRANGE(""https://docs.google.com/spreadsheets/d/1XL5vhW3sbDhbH9Cz0tuDiY8C3ctxq1tqvaCgkFb8cCA/edit?usp=sharing"",""บึงกาฬ!J47"")"),4)</f>
        <v>4</v>
      </c>
      <c r="AA39" s="137">
        <f t="shared" ca="1" si="13"/>
        <v>100</v>
      </c>
      <c r="AB39" s="77">
        <f ca="1">IFERROR(__xludf.DUMMYFUNCTION("IMPORTRANGE(""https://docs.google.com/spreadsheets/d/1C3CXT74ZlgGe6_JY_1olB1XN4rF0dxEuIIF-xsYjHgg/edit?usp=sharing"",""พรบ!W43"")"),1)</f>
        <v>1</v>
      </c>
      <c r="AC39" s="77">
        <f ca="1">IFERROR(__xludf.DUMMYFUNCTION("IMPORTRANGE(""https://docs.google.com/spreadsheets/d/1XL5vhW3sbDhbH9Cz0tuDiY8C3ctxq1tqvaCgkFb8cCA/edit?usp=sharing"",""บึงกาฬ!J48"")"),1)</f>
        <v>1</v>
      </c>
      <c r="AD39" s="137">
        <f t="shared" ca="1" si="15"/>
        <v>100</v>
      </c>
    </row>
    <row r="40" spans="1:30" ht="21" customHeight="1">
      <c r="A40" s="73">
        <v>7</v>
      </c>
      <c r="B40" s="74" t="s">
        <v>64</v>
      </c>
      <c r="C40" s="75">
        <f t="shared" ca="1" si="0"/>
        <v>0</v>
      </c>
      <c r="D40" s="76">
        <f t="shared" ca="1" si="41"/>
        <v>0</v>
      </c>
      <c r="E40" s="77">
        <f ca="1">IFERROR(__xludf.DUMMYFUNCTION("IMPORTRANGE(""https://docs.google.com/spreadsheets/d/1C3CXT74ZlgGe6_JY_1olB1XN4rF0dxEuIIF-xsYjHgg/edit?usp=sharing"",""พรบ!P44"")"),0)</f>
        <v>0</v>
      </c>
      <c r="F40" s="77">
        <f ca="1">IFERROR(__xludf.DUMMYFUNCTION("IMPORTRANGE(""https://docs.google.com/spreadsheets/d/1C3CXT74ZlgGe6_JY_1olB1XN4rF0dxEuIIF-xsYjHgg/edit?usp=sharing"",""พรบ!Q44"")"),0)</f>
        <v>0</v>
      </c>
      <c r="G40" s="77">
        <f ca="1">IFERROR(__xludf.DUMMYFUNCTION("IMPORTRANGE(""https://docs.google.com/spreadsheets/d/1Yj_ptqi66GCucihVvJfMjLAmec39IyEx_6qawtMGysU/edit?usp=sharing"",""สบก!AP44"")"),0)</f>
        <v>0</v>
      </c>
      <c r="H40" s="77">
        <f ca="1">IFERROR(__xludf.DUMMYFUNCTION("IMPORTRANGE(""https://docs.google.com/spreadsheets/d/1Yj_ptqi66GCucihVvJfMjLAmec39IyEx_6qawtMGysU/edit?usp=sharing"",""สบก!AR44"")"),0)</f>
        <v>0</v>
      </c>
      <c r="I40" s="77">
        <f t="shared" ca="1" si="3"/>
        <v>0</v>
      </c>
      <c r="J40" s="137">
        <f t="shared" ca="1" si="4"/>
        <v>0</v>
      </c>
      <c r="K40" s="77">
        <f ca="1">IFERROR(__xludf.DUMMYFUNCTION("IMPORTRANGE(""https://docs.google.com/spreadsheets/d/1Yj_ptqi66GCucihVvJfMjLAmec39IyEx_6qawtMGysU/edit?usp=sharing"",""สบก!AS44"")"),0)</f>
        <v>0</v>
      </c>
      <c r="L40" s="137">
        <f t="shared" ca="1" si="5"/>
        <v>0</v>
      </c>
      <c r="M40" s="137">
        <f t="shared" ca="1" si="6"/>
        <v>0</v>
      </c>
      <c r="N40" s="137">
        <f ca="1">IFERROR(__xludf.DUMMYFUNCTION("IMPORTRANGE(""https://docs.google.com/spreadsheets/d/1Yj_ptqi66GCucihVvJfMjLAmec39IyEx_6qawtMGysU/edit?usp=sharing"",""สบก!AT44"")"),0)</f>
        <v>0</v>
      </c>
      <c r="O40" s="137">
        <f t="shared" ca="1" si="7"/>
        <v>0</v>
      </c>
      <c r="P40" s="77">
        <f ca="1">IFERROR(__xludf.DUMMYFUNCTION("IMPORTRANGE(""https://docs.google.com/spreadsheets/d/1C3CXT74ZlgGe6_JY_1olB1XN4rF0dxEuIIF-xsYjHgg/edit?usp=sharing"",""พรบ!R44"")"),0)</f>
        <v>0</v>
      </c>
      <c r="Q40" s="77">
        <f ca="1">IFERROR(__xludf.DUMMYFUNCTION("IMPORTRANGE(""https://docs.google.com/spreadsheets/d/1XL5vhW3sbDhbH9Cz0tuDiY8C3ctxq1tqvaCgkFb8cCA/edit?usp=sharing"",""บุรีรัมย์!J43"")"),0)</f>
        <v>0</v>
      </c>
      <c r="R40" s="79">
        <f t="shared" ca="1" si="9"/>
        <v>0</v>
      </c>
      <c r="S40" s="77">
        <f ca="1">IFERROR(__xludf.DUMMYFUNCTION("IMPORTRANGE(""https://docs.google.com/spreadsheets/d/1C3CXT74ZlgGe6_JY_1olB1XN4rF0dxEuIIF-xsYjHgg/edit?usp=sharing"",""พรบ!S44"")"),0)</f>
        <v>0</v>
      </c>
      <c r="T40" s="77">
        <f ca="1">IFERROR(__xludf.DUMMYFUNCTION("IMPORTRANGE(""https://docs.google.com/spreadsheets/d/1XL5vhW3sbDhbH9Cz0tuDiY8C3ctxq1tqvaCgkFb8cCA/edit?usp=sharing"",""บุรีรัมย์!J44"")"),0)</f>
        <v>0</v>
      </c>
      <c r="U40" s="79">
        <f t="shared" ca="1" si="10"/>
        <v>0</v>
      </c>
      <c r="V40" s="77">
        <f ca="1">IFERROR(__xludf.DUMMYFUNCTION("IMPORTRANGE(""https://docs.google.com/spreadsheets/d/1XL5vhW3sbDhbH9Cz0tuDiY8C3ctxq1tqvaCgkFb8cCA/edit?usp=sharing"",""บุรีรัมย์!J45"")"),0)</f>
        <v>0</v>
      </c>
      <c r="W40" s="79">
        <f t="shared" ca="1" si="11"/>
        <v>0</v>
      </c>
      <c r="X40" s="77">
        <f ca="1">IFERROR(__xludf.DUMMYFUNCTION("IMPORTRANGE(""https://docs.google.com/spreadsheets/d/1XL5vhW3sbDhbH9Cz0tuDiY8C3ctxq1tqvaCgkFb8cCA/edit?usp=sharing"",""บุรีรัมย์!J46"")"),0)</f>
        <v>0</v>
      </c>
      <c r="Y40" s="79">
        <f t="shared" ca="1" si="12"/>
        <v>0</v>
      </c>
      <c r="Z40" s="77">
        <f ca="1">IFERROR(__xludf.DUMMYFUNCTION("IMPORTRANGE(""https://docs.google.com/spreadsheets/d/1XL5vhW3sbDhbH9Cz0tuDiY8C3ctxq1tqvaCgkFb8cCA/edit?usp=sharing"",""บุรีรัมย์!J47"")"),0)</f>
        <v>0</v>
      </c>
      <c r="AA40" s="137">
        <f t="shared" ca="1" si="13"/>
        <v>0</v>
      </c>
      <c r="AB40" s="77">
        <f ca="1">IFERROR(__xludf.DUMMYFUNCTION("IMPORTRANGE(""https://docs.google.com/spreadsheets/d/1C3CXT74ZlgGe6_JY_1olB1XN4rF0dxEuIIF-xsYjHgg/edit?usp=sharing"",""พรบ!W44"")"),0)</f>
        <v>0</v>
      </c>
      <c r="AC40" s="77">
        <f ca="1">IFERROR(__xludf.DUMMYFUNCTION("IMPORTRANGE(""https://docs.google.com/spreadsheets/d/1XL5vhW3sbDhbH9Cz0tuDiY8C3ctxq1tqvaCgkFb8cCA/edit?usp=sharing"",""บุรีรัมย์!J48"")"),0)</f>
        <v>0</v>
      </c>
      <c r="AD40" s="137">
        <f t="shared" ca="1" si="15"/>
        <v>0</v>
      </c>
    </row>
    <row r="41" spans="1:30" ht="21" customHeight="1">
      <c r="A41" s="73">
        <v>8</v>
      </c>
      <c r="B41" s="74" t="s">
        <v>65</v>
      </c>
      <c r="C41" s="75">
        <f t="shared" ca="1" si="0"/>
        <v>214500</v>
      </c>
      <c r="D41" s="76">
        <f t="shared" ca="1" si="41"/>
        <v>122100</v>
      </c>
      <c r="E41" s="77">
        <f ca="1">IFERROR(__xludf.DUMMYFUNCTION("IMPORTRANGE(""https://docs.google.com/spreadsheets/d/1C3CXT74ZlgGe6_JY_1olB1XN4rF0dxEuIIF-xsYjHgg/edit?usp=sharing"",""พรบ!P45"")"),0)</f>
        <v>0</v>
      </c>
      <c r="F41" s="77">
        <f ca="1">IFERROR(__xludf.DUMMYFUNCTION("IMPORTRANGE(""https://docs.google.com/spreadsheets/d/1C3CXT74ZlgGe6_JY_1olB1XN4rF0dxEuIIF-xsYjHgg/edit?usp=sharing"",""พรบ!Q45"")"),122100)</f>
        <v>122100</v>
      </c>
      <c r="G41" s="77">
        <f ca="1">IFERROR(__xludf.DUMMYFUNCTION("IMPORTRANGE(""https://docs.google.com/spreadsheets/d/1Yj_ptqi66GCucihVvJfMjLAmec39IyEx_6qawtMGysU/edit?usp=sharing"",""สบก!AP45"")"),92400)</f>
        <v>92400</v>
      </c>
      <c r="H41" s="77">
        <f ca="1">IFERROR(__xludf.DUMMYFUNCTION("IMPORTRANGE(""https://docs.google.com/spreadsheets/d/1Yj_ptqi66GCucihVvJfMjLAmec39IyEx_6qawtMGysU/edit?usp=sharing"",""สบก!AR45"")"),122100)</f>
        <v>122100</v>
      </c>
      <c r="I41" s="77">
        <f t="shared" ca="1" si="3"/>
        <v>135800</v>
      </c>
      <c r="J41" s="137">
        <f t="shared" ca="1" si="4"/>
        <v>63.310023310023311</v>
      </c>
      <c r="K41" s="77">
        <f ca="1">IFERROR(__xludf.DUMMYFUNCTION("IMPORTRANGE(""https://docs.google.com/spreadsheets/d/1Yj_ptqi66GCucihVvJfMjLAmec39IyEx_6qawtMGysU/edit?usp=sharing"",""สบก!AS45"")"),43400)</f>
        <v>43400</v>
      </c>
      <c r="L41" s="137">
        <f t="shared" ca="1" si="5"/>
        <v>35.544635544635547</v>
      </c>
      <c r="M41" s="137">
        <f t="shared" ca="1" si="6"/>
        <v>35.544635544635547</v>
      </c>
      <c r="N41" s="137">
        <f ca="1">IFERROR(__xludf.DUMMYFUNCTION("IMPORTRANGE(""https://docs.google.com/spreadsheets/d/1Yj_ptqi66GCucihVvJfMjLAmec39IyEx_6qawtMGysU/edit?usp=sharing"",""สบก!AT45"")"),92400)</f>
        <v>92400</v>
      </c>
      <c r="O41" s="137">
        <f t="shared" ca="1" si="7"/>
        <v>100</v>
      </c>
      <c r="P41" s="77">
        <f ca="1">IFERROR(__xludf.DUMMYFUNCTION("IMPORTRANGE(""https://docs.google.com/spreadsheets/d/1C3CXT74ZlgGe6_JY_1olB1XN4rF0dxEuIIF-xsYjHgg/edit?usp=sharing"",""พรบ!R45"")"),1)</f>
        <v>1</v>
      </c>
      <c r="Q41" s="77">
        <f ca="1">IFERROR(__xludf.DUMMYFUNCTION("IMPORTRANGE(""https://docs.google.com/spreadsheets/d/1XL5vhW3sbDhbH9Cz0tuDiY8C3ctxq1tqvaCgkFb8cCA/edit?usp=sharing"",""มหาสารคาม!J43"")"),1)</f>
        <v>1</v>
      </c>
      <c r="R41" s="79">
        <f t="shared" ca="1" si="9"/>
        <v>100</v>
      </c>
      <c r="S41" s="77">
        <f ca="1">IFERROR(__xludf.DUMMYFUNCTION("IMPORTRANGE(""https://docs.google.com/spreadsheets/d/1C3CXT74ZlgGe6_JY_1olB1XN4rF0dxEuIIF-xsYjHgg/edit?usp=sharing"",""พรบ!S45"")"),4)</f>
        <v>4</v>
      </c>
      <c r="T41" s="77">
        <f ca="1">IFERROR(__xludf.DUMMYFUNCTION("IMPORTRANGE(""https://docs.google.com/spreadsheets/d/1XL5vhW3sbDhbH9Cz0tuDiY8C3ctxq1tqvaCgkFb8cCA/edit?usp=sharing"",""มหาสารคาม!J44"")"),4)</f>
        <v>4</v>
      </c>
      <c r="U41" s="79">
        <f t="shared" ca="1" si="10"/>
        <v>100</v>
      </c>
      <c r="V41" s="77">
        <f ca="1">IFERROR(__xludf.DUMMYFUNCTION("IMPORTRANGE(""https://docs.google.com/spreadsheets/d/1XL5vhW3sbDhbH9Cz0tuDiY8C3ctxq1tqvaCgkFb8cCA/edit?usp=sharing"",""มหาสารคาม!J45"")"),4)</f>
        <v>4</v>
      </c>
      <c r="W41" s="79">
        <f t="shared" ca="1" si="11"/>
        <v>100</v>
      </c>
      <c r="X41" s="77">
        <f ca="1">IFERROR(__xludf.DUMMYFUNCTION("IMPORTRANGE(""https://docs.google.com/spreadsheets/d/1XL5vhW3sbDhbH9Cz0tuDiY8C3ctxq1tqvaCgkFb8cCA/edit?usp=sharing"",""มหาสารคาม!J46"")"),4)</f>
        <v>4</v>
      </c>
      <c r="Y41" s="79">
        <f t="shared" ca="1" si="12"/>
        <v>100</v>
      </c>
      <c r="Z41" s="77">
        <f ca="1">IFERROR(__xludf.DUMMYFUNCTION("IMPORTRANGE(""https://docs.google.com/spreadsheets/d/1XL5vhW3sbDhbH9Cz0tuDiY8C3ctxq1tqvaCgkFb8cCA/edit?usp=sharing"",""มหาสารคาม!J47"")"),4)</f>
        <v>4</v>
      </c>
      <c r="AA41" s="137">
        <f t="shared" ca="1" si="13"/>
        <v>100</v>
      </c>
      <c r="AB41" s="77">
        <f ca="1">IFERROR(__xludf.DUMMYFUNCTION("IMPORTRANGE(""https://docs.google.com/spreadsheets/d/1C3CXT74ZlgGe6_JY_1olB1XN4rF0dxEuIIF-xsYjHgg/edit?usp=sharing"",""พรบ!W45"")"),1)</f>
        <v>1</v>
      </c>
      <c r="AC41" s="77">
        <f ca="1">IFERROR(__xludf.DUMMYFUNCTION("IMPORTRANGE(""https://docs.google.com/spreadsheets/d/1XL5vhW3sbDhbH9Cz0tuDiY8C3ctxq1tqvaCgkFb8cCA/edit?usp=sharing"",""มหาสารคาม!J48"")"),1)</f>
        <v>1</v>
      </c>
      <c r="AD41" s="137">
        <f t="shared" ca="1" si="15"/>
        <v>100</v>
      </c>
    </row>
    <row r="42" spans="1:30" ht="21" customHeight="1">
      <c r="A42" s="73">
        <v>9</v>
      </c>
      <c r="B42" s="74" t="s">
        <v>66</v>
      </c>
      <c r="C42" s="75">
        <f t="shared" ca="1" si="0"/>
        <v>214500</v>
      </c>
      <c r="D42" s="76">
        <f t="shared" ca="1" si="41"/>
        <v>122100</v>
      </c>
      <c r="E42" s="77">
        <f ca="1">IFERROR(__xludf.DUMMYFUNCTION("IMPORTRANGE(""https://docs.google.com/spreadsheets/d/1C3CXT74ZlgGe6_JY_1olB1XN4rF0dxEuIIF-xsYjHgg/edit?usp=sharing"",""พรบ!P46"")"),0)</f>
        <v>0</v>
      </c>
      <c r="F42" s="77">
        <f ca="1">IFERROR(__xludf.DUMMYFUNCTION("IMPORTRANGE(""https://docs.google.com/spreadsheets/d/1C3CXT74ZlgGe6_JY_1olB1XN4rF0dxEuIIF-xsYjHgg/edit?usp=sharing"",""พรบ!Q46"")"),122100)</f>
        <v>122100</v>
      </c>
      <c r="G42" s="77">
        <f ca="1">IFERROR(__xludf.DUMMYFUNCTION("IMPORTRANGE(""https://docs.google.com/spreadsheets/d/1Yj_ptqi66GCucihVvJfMjLAmec39IyEx_6qawtMGysU/edit?usp=sharing"",""สบก!AP46"")"),92400)</f>
        <v>92400</v>
      </c>
      <c r="H42" s="77">
        <f ca="1">IFERROR(__xludf.DUMMYFUNCTION("IMPORTRANGE(""https://docs.google.com/spreadsheets/d/1Yj_ptqi66GCucihVvJfMjLAmec39IyEx_6qawtMGysU/edit?usp=sharing"",""สบก!AR46"")"),122100)</f>
        <v>122100</v>
      </c>
      <c r="I42" s="77">
        <f t="shared" ca="1" si="3"/>
        <v>133828</v>
      </c>
      <c r="J42" s="137">
        <f t="shared" ca="1" si="4"/>
        <v>62.390675990675987</v>
      </c>
      <c r="K42" s="77">
        <f ca="1">IFERROR(__xludf.DUMMYFUNCTION("IMPORTRANGE(""https://docs.google.com/spreadsheets/d/1Yj_ptqi66GCucihVvJfMjLAmec39IyEx_6qawtMGysU/edit?usp=sharing"",""สบก!AS46"")"),41428)</f>
        <v>41428</v>
      </c>
      <c r="L42" s="137">
        <f t="shared" ca="1" si="5"/>
        <v>33.929565929565932</v>
      </c>
      <c r="M42" s="137">
        <f t="shared" ca="1" si="6"/>
        <v>33.929565929565932</v>
      </c>
      <c r="N42" s="137">
        <f ca="1">IFERROR(__xludf.DUMMYFUNCTION("IMPORTRANGE(""https://docs.google.com/spreadsheets/d/1Yj_ptqi66GCucihVvJfMjLAmec39IyEx_6qawtMGysU/edit?usp=sharing"",""สบก!AT46"")"),92400)</f>
        <v>92400</v>
      </c>
      <c r="O42" s="137">
        <f t="shared" ca="1" si="7"/>
        <v>100</v>
      </c>
      <c r="P42" s="77">
        <f ca="1">IFERROR(__xludf.DUMMYFUNCTION("IMPORTRANGE(""https://docs.google.com/spreadsheets/d/1C3CXT74ZlgGe6_JY_1olB1XN4rF0dxEuIIF-xsYjHgg/edit?usp=sharing"",""พรบ!R46"")"),1)</f>
        <v>1</v>
      </c>
      <c r="Q42" s="77">
        <f ca="1">IFERROR(__xludf.DUMMYFUNCTION("IMPORTRANGE(""https://docs.google.com/spreadsheets/d/1XL5vhW3sbDhbH9Cz0tuDiY8C3ctxq1tqvaCgkFb8cCA/edit?usp=sharing"",""มุกดาหาร!J43"")"),1)</f>
        <v>1</v>
      </c>
      <c r="R42" s="79">
        <f t="shared" ca="1" si="9"/>
        <v>100</v>
      </c>
      <c r="S42" s="77">
        <f ca="1">IFERROR(__xludf.DUMMYFUNCTION("IMPORTRANGE(""https://docs.google.com/spreadsheets/d/1C3CXT74ZlgGe6_JY_1olB1XN4rF0dxEuIIF-xsYjHgg/edit?usp=sharing"",""พรบ!S46"")"),4)</f>
        <v>4</v>
      </c>
      <c r="T42" s="77">
        <f ca="1">IFERROR(__xludf.DUMMYFUNCTION("IMPORTRANGE(""https://docs.google.com/spreadsheets/d/1XL5vhW3sbDhbH9Cz0tuDiY8C3ctxq1tqvaCgkFb8cCA/edit?usp=sharing"",""มุกดาหาร!J44"")"),4)</f>
        <v>4</v>
      </c>
      <c r="U42" s="79">
        <f t="shared" ca="1" si="10"/>
        <v>100</v>
      </c>
      <c r="V42" s="77">
        <f ca="1">IFERROR(__xludf.DUMMYFUNCTION("IMPORTRANGE(""https://docs.google.com/spreadsheets/d/1XL5vhW3sbDhbH9Cz0tuDiY8C3ctxq1tqvaCgkFb8cCA/edit?usp=sharing"",""มุกดาหาร!J45"")"),4)</f>
        <v>4</v>
      </c>
      <c r="W42" s="79">
        <f t="shared" ca="1" si="11"/>
        <v>100</v>
      </c>
      <c r="X42" s="77">
        <f ca="1">IFERROR(__xludf.DUMMYFUNCTION("IMPORTRANGE(""https://docs.google.com/spreadsheets/d/1XL5vhW3sbDhbH9Cz0tuDiY8C3ctxq1tqvaCgkFb8cCA/edit?usp=sharing"",""มุกดาหาร!J46"")"),4)</f>
        <v>4</v>
      </c>
      <c r="Y42" s="79">
        <f t="shared" ca="1" si="12"/>
        <v>100</v>
      </c>
      <c r="Z42" s="77">
        <f ca="1">IFERROR(__xludf.DUMMYFUNCTION("IMPORTRANGE(""https://docs.google.com/spreadsheets/d/1XL5vhW3sbDhbH9Cz0tuDiY8C3ctxq1tqvaCgkFb8cCA/edit?usp=sharing"",""มุกดาหาร!J47"")"),4)</f>
        <v>4</v>
      </c>
      <c r="AA42" s="137">
        <f t="shared" ca="1" si="13"/>
        <v>100</v>
      </c>
      <c r="AB42" s="77">
        <f ca="1">IFERROR(__xludf.DUMMYFUNCTION("IMPORTRANGE(""https://docs.google.com/spreadsheets/d/1C3CXT74ZlgGe6_JY_1olB1XN4rF0dxEuIIF-xsYjHgg/edit?usp=sharing"",""พรบ!W46"")"),1)</f>
        <v>1</v>
      </c>
      <c r="AC42" s="77">
        <f ca="1">IFERROR(__xludf.DUMMYFUNCTION("IMPORTRANGE(""https://docs.google.com/spreadsheets/d/1XL5vhW3sbDhbH9Cz0tuDiY8C3ctxq1tqvaCgkFb8cCA/edit?usp=sharing"",""มุกดาหาร!J48"")"),1)</f>
        <v>1</v>
      </c>
      <c r="AD42" s="137">
        <f t="shared" ca="1" si="15"/>
        <v>100</v>
      </c>
    </row>
    <row r="43" spans="1:30" ht="21" customHeight="1">
      <c r="A43" s="73">
        <v>10</v>
      </c>
      <c r="B43" s="74" t="s">
        <v>67</v>
      </c>
      <c r="C43" s="75">
        <f t="shared" ca="1" si="0"/>
        <v>214500</v>
      </c>
      <c r="D43" s="76">
        <f t="shared" ca="1" si="41"/>
        <v>122100</v>
      </c>
      <c r="E43" s="77">
        <f ca="1">IFERROR(__xludf.DUMMYFUNCTION("IMPORTRANGE(""https://docs.google.com/spreadsheets/d/1C3CXT74ZlgGe6_JY_1olB1XN4rF0dxEuIIF-xsYjHgg/edit?usp=sharing"",""พรบ!P47"")"),0)</f>
        <v>0</v>
      </c>
      <c r="F43" s="77">
        <f ca="1">IFERROR(__xludf.DUMMYFUNCTION("IMPORTRANGE(""https://docs.google.com/spreadsheets/d/1C3CXT74ZlgGe6_JY_1olB1XN4rF0dxEuIIF-xsYjHgg/edit?usp=sharing"",""พรบ!Q47"")"),122100)</f>
        <v>122100</v>
      </c>
      <c r="G43" s="77">
        <f ca="1">IFERROR(__xludf.DUMMYFUNCTION("IMPORTRANGE(""https://docs.google.com/spreadsheets/d/1Yj_ptqi66GCucihVvJfMjLAmec39IyEx_6qawtMGysU/edit?usp=sharing"",""สบก!AP47"")"),92400)</f>
        <v>92400</v>
      </c>
      <c r="H43" s="77">
        <f ca="1">IFERROR(__xludf.DUMMYFUNCTION("IMPORTRANGE(""https://docs.google.com/spreadsheets/d/1Yj_ptqi66GCucihVvJfMjLAmec39IyEx_6qawtMGysU/edit?usp=sharing"",""สบก!AR47"")"),122100)</f>
        <v>122100</v>
      </c>
      <c r="I43" s="77">
        <f t="shared" ca="1" si="3"/>
        <v>144240</v>
      </c>
      <c r="J43" s="137">
        <f t="shared" ca="1" si="4"/>
        <v>67.24475524475524</v>
      </c>
      <c r="K43" s="77">
        <f ca="1">IFERROR(__xludf.DUMMYFUNCTION("IMPORTRANGE(""https://docs.google.com/spreadsheets/d/1Yj_ptqi66GCucihVvJfMjLAmec39IyEx_6qawtMGysU/edit?usp=sharing"",""สบก!AS47"")"),51840)</f>
        <v>51840</v>
      </c>
      <c r="L43" s="137">
        <f t="shared" ca="1" si="5"/>
        <v>42.45700245700246</v>
      </c>
      <c r="M43" s="137">
        <f t="shared" ca="1" si="6"/>
        <v>42.45700245700246</v>
      </c>
      <c r="N43" s="137">
        <f ca="1">IFERROR(__xludf.DUMMYFUNCTION("IMPORTRANGE(""https://docs.google.com/spreadsheets/d/1Yj_ptqi66GCucihVvJfMjLAmec39IyEx_6qawtMGysU/edit?usp=sharing"",""สบก!AT47"")"),92400)</f>
        <v>92400</v>
      </c>
      <c r="O43" s="137">
        <f t="shared" ca="1" si="7"/>
        <v>100</v>
      </c>
      <c r="P43" s="77">
        <f ca="1">IFERROR(__xludf.DUMMYFUNCTION("IMPORTRANGE(""https://docs.google.com/spreadsheets/d/1C3CXT74ZlgGe6_JY_1olB1XN4rF0dxEuIIF-xsYjHgg/edit?usp=sharing"",""พรบ!R47"")"),1)</f>
        <v>1</v>
      </c>
      <c r="Q43" s="77">
        <f ca="1">IFERROR(__xludf.DUMMYFUNCTION("IMPORTRANGE(""https://docs.google.com/spreadsheets/d/1XL5vhW3sbDhbH9Cz0tuDiY8C3ctxq1tqvaCgkFb8cCA/edit?usp=sharing"",""ยโสธร!J43"")"),1)</f>
        <v>1</v>
      </c>
      <c r="R43" s="79">
        <f t="shared" ca="1" si="9"/>
        <v>100</v>
      </c>
      <c r="S43" s="77">
        <f ca="1">IFERROR(__xludf.DUMMYFUNCTION("IMPORTRANGE(""https://docs.google.com/spreadsheets/d/1C3CXT74ZlgGe6_JY_1olB1XN4rF0dxEuIIF-xsYjHgg/edit?usp=sharing"",""พรบ!S47"")"),4)</f>
        <v>4</v>
      </c>
      <c r="T43" s="77">
        <f ca="1">IFERROR(__xludf.DUMMYFUNCTION("IMPORTRANGE(""https://docs.google.com/spreadsheets/d/1XL5vhW3sbDhbH9Cz0tuDiY8C3ctxq1tqvaCgkFb8cCA/edit?usp=sharing"",""ยโสธร!J44"")"),4)</f>
        <v>4</v>
      </c>
      <c r="U43" s="79">
        <f t="shared" ca="1" si="10"/>
        <v>100</v>
      </c>
      <c r="V43" s="77">
        <f ca="1">IFERROR(__xludf.DUMMYFUNCTION("IMPORTRANGE(""https://docs.google.com/spreadsheets/d/1XL5vhW3sbDhbH9Cz0tuDiY8C3ctxq1tqvaCgkFb8cCA/edit?usp=sharing"",""ยโสธร!J45"")"),4)</f>
        <v>4</v>
      </c>
      <c r="W43" s="79">
        <f t="shared" ca="1" si="11"/>
        <v>100</v>
      </c>
      <c r="X43" s="77">
        <f ca="1">IFERROR(__xludf.DUMMYFUNCTION("IMPORTRANGE(""https://docs.google.com/spreadsheets/d/1XL5vhW3sbDhbH9Cz0tuDiY8C3ctxq1tqvaCgkFb8cCA/edit?usp=sharing"",""ยโสธร!J46"")"),4)</f>
        <v>4</v>
      </c>
      <c r="Y43" s="79">
        <f t="shared" ca="1" si="12"/>
        <v>100</v>
      </c>
      <c r="Z43" s="77">
        <f ca="1">IFERROR(__xludf.DUMMYFUNCTION("IMPORTRANGE(""https://docs.google.com/spreadsheets/d/1XL5vhW3sbDhbH9Cz0tuDiY8C3ctxq1tqvaCgkFb8cCA/edit?usp=sharing"",""ยโสธร!J47"")"),0)</f>
        <v>0</v>
      </c>
      <c r="AA43" s="137">
        <f t="shared" ca="1" si="13"/>
        <v>0</v>
      </c>
      <c r="AB43" s="77">
        <f ca="1">IFERROR(__xludf.DUMMYFUNCTION("IMPORTRANGE(""https://docs.google.com/spreadsheets/d/1C3CXT74ZlgGe6_JY_1olB1XN4rF0dxEuIIF-xsYjHgg/edit?usp=sharing"",""พรบ!W47"")"),1)</f>
        <v>1</v>
      </c>
      <c r="AC43" s="77">
        <f ca="1">IFERROR(__xludf.DUMMYFUNCTION("IMPORTRANGE(""https://docs.google.com/spreadsheets/d/1XL5vhW3sbDhbH9Cz0tuDiY8C3ctxq1tqvaCgkFb8cCA/edit?usp=sharing"",""ยโสธร!J48"")"),1)</f>
        <v>1</v>
      </c>
      <c r="AD43" s="137">
        <f t="shared" ca="1" si="15"/>
        <v>100</v>
      </c>
    </row>
    <row r="44" spans="1:30" ht="21" customHeight="1">
      <c r="A44" s="73">
        <v>11</v>
      </c>
      <c r="B44" s="74" t="s">
        <v>68</v>
      </c>
      <c r="C44" s="75">
        <f t="shared" ca="1" si="0"/>
        <v>0</v>
      </c>
      <c r="D44" s="76">
        <f t="shared" ca="1" si="41"/>
        <v>0</v>
      </c>
      <c r="E44" s="77">
        <f ca="1">IFERROR(__xludf.DUMMYFUNCTION("IMPORTRANGE(""https://docs.google.com/spreadsheets/d/1C3CXT74ZlgGe6_JY_1olB1XN4rF0dxEuIIF-xsYjHgg/edit?usp=sharing"",""พรบ!P48"")"),0)</f>
        <v>0</v>
      </c>
      <c r="F44" s="77">
        <f ca="1">IFERROR(__xludf.DUMMYFUNCTION("IMPORTRANGE(""https://docs.google.com/spreadsheets/d/1C3CXT74ZlgGe6_JY_1olB1XN4rF0dxEuIIF-xsYjHgg/edit?usp=sharing"",""พรบ!Q48"")"),0)</f>
        <v>0</v>
      </c>
      <c r="G44" s="77">
        <f ca="1">IFERROR(__xludf.DUMMYFUNCTION("IMPORTRANGE(""https://docs.google.com/spreadsheets/d/1Yj_ptqi66GCucihVvJfMjLAmec39IyEx_6qawtMGysU/edit?usp=sharing"",""สบก!AP48"")"),0)</f>
        <v>0</v>
      </c>
      <c r="H44" s="77">
        <f ca="1">IFERROR(__xludf.DUMMYFUNCTION("IMPORTRANGE(""https://docs.google.com/spreadsheets/d/1Yj_ptqi66GCucihVvJfMjLAmec39IyEx_6qawtMGysU/edit?usp=sharing"",""สบก!AR48"")"),0)</f>
        <v>0</v>
      </c>
      <c r="I44" s="77">
        <f t="shared" ca="1" si="3"/>
        <v>0</v>
      </c>
      <c r="J44" s="137">
        <f t="shared" ca="1" si="4"/>
        <v>0</v>
      </c>
      <c r="K44" s="77">
        <f ca="1">IFERROR(__xludf.DUMMYFUNCTION("IMPORTRANGE(""https://docs.google.com/spreadsheets/d/1Yj_ptqi66GCucihVvJfMjLAmec39IyEx_6qawtMGysU/edit?usp=sharing"",""สบก!AS48"")"),0)</f>
        <v>0</v>
      </c>
      <c r="L44" s="137">
        <f t="shared" ca="1" si="5"/>
        <v>0</v>
      </c>
      <c r="M44" s="137">
        <f t="shared" ca="1" si="6"/>
        <v>0</v>
      </c>
      <c r="N44" s="137">
        <f ca="1">IFERROR(__xludf.DUMMYFUNCTION("IMPORTRANGE(""https://docs.google.com/spreadsheets/d/1Yj_ptqi66GCucihVvJfMjLAmec39IyEx_6qawtMGysU/edit?usp=sharing"",""สบก!AT48"")"),0)</f>
        <v>0</v>
      </c>
      <c r="O44" s="137">
        <f t="shared" ca="1" si="7"/>
        <v>0</v>
      </c>
      <c r="P44" s="77">
        <f ca="1">IFERROR(__xludf.DUMMYFUNCTION("IMPORTRANGE(""https://docs.google.com/spreadsheets/d/1C3CXT74ZlgGe6_JY_1olB1XN4rF0dxEuIIF-xsYjHgg/edit?usp=sharing"",""พรบ!R48"")"),0)</f>
        <v>0</v>
      </c>
      <c r="Q44" s="77">
        <f ca="1">IFERROR(__xludf.DUMMYFUNCTION("IMPORTRANGE(""https://docs.google.com/spreadsheets/d/1XL5vhW3sbDhbH9Cz0tuDiY8C3ctxq1tqvaCgkFb8cCA/edit?usp=sharing"",""ร้อยเอ็ด!J43"")"),0)</f>
        <v>0</v>
      </c>
      <c r="R44" s="79">
        <f t="shared" ca="1" si="9"/>
        <v>0</v>
      </c>
      <c r="S44" s="77">
        <f ca="1">IFERROR(__xludf.DUMMYFUNCTION("IMPORTRANGE(""https://docs.google.com/spreadsheets/d/1C3CXT74ZlgGe6_JY_1olB1XN4rF0dxEuIIF-xsYjHgg/edit?usp=sharing"",""พรบ!S48"")"),0)</f>
        <v>0</v>
      </c>
      <c r="T44" s="77">
        <f ca="1">IFERROR(__xludf.DUMMYFUNCTION("IMPORTRANGE(""https://docs.google.com/spreadsheets/d/1XL5vhW3sbDhbH9Cz0tuDiY8C3ctxq1tqvaCgkFb8cCA/edit?usp=sharing"",""ร้อยเอ็ด!J44"")"),0)</f>
        <v>0</v>
      </c>
      <c r="U44" s="79">
        <f t="shared" ca="1" si="10"/>
        <v>0</v>
      </c>
      <c r="V44" s="77">
        <f ca="1">IFERROR(__xludf.DUMMYFUNCTION("IMPORTRANGE(""https://docs.google.com/spreadsheets/d/1XL5vhW3sbDhbH9Cz0tuDiY8C3ctxq1tqvaCgkFb8cCA/edit?usp=sharing"",""ร้อยเอ็ด!J45"")"),0)</f>
        <v>0</v>
      </c>
      <c r="W44" s="79">
        <f t="shared" ca="1" si="11"/>
        <v>0</v>
      </c>
      <c r="X44" s="77">
        <f ca="1">IFERROR(__xludf.DUMMYFUNCTION("IMPORTRANGE(""https://docs.google.com/spreadsheets/d/1XL5vhW3sbDhbH9Cz0tuDiY8C3ctxq1tqvaCgkFb8cCA/edit?usp=sharing"",""ร้อยเอ็ด!J46"")"),0)</f>
        <v>0</v>
      </c>
      <c r="Y44" s="79">
        <f t="shared" ca="1" si="12"/>
        <v>0</v>
      </c>
      <c r="Z44" s="77">
        <f ca="1">IFERROR(__xludf.DUMMYFUNCTION("IMPORTRANGE(""https://docs.google.com/spreadsheets/d/1XL5vhW3sbDhbH9Cz0tuDiY8C3ctxq1tqvaCgkFb8cCA/edit?usp=sharing"",""ร้อยเอ็ด!J47"")"),0)</f>
        <v>0</v>
      </c>
      <c r="AA44" s="137">
        <f t="shared" ca="1" si="13"/>
        <v>0</v>
      </c>
      <c r="AB44" s="77">
        <f ca="1">IFERROR(__xludf.DUMMYFUNCTION("IMPORTRANGE(""https://docs.google.com/spreadsheets/d/1C3CXT74ZlgGe6_JY_1olB1XN4rF0dxEuIIF-xsYjHgg/edit?usp=sharing"",""พรบ!W48"")"),0)</f>
        <v>0</v>
      </c>
      <c r="AC44" s="77">
        <f ca="1">IFERROR(__xludf.DUMMYFUNCTION("IMPORTRANGE(""https://docs.google.com/spreadsheets/d/1XL5vhW3sbDhbH9Cz0tuDiY8C3ctxq1tqvaCgkFb8cCA/edit?usp=sharing"",""ร้อยเอ็ด!J48"")"),0)</f>
        <v>0</v>
      </c>
      <c r="AD44" s="137">
        <f t="shared" ca="1" si="15"/>
        <v>0</v>
      </c>
    </row>
    <row r="45" spans="1:30" ht="21" customHeight="1">
      <c r="A45" s="73">
        <v>12</v>
      </c>
      <c r="B45" s="74" t="s">
        <v>69</v>
      </c>
      <c r="C45" s="75">
        <f t="shared" ca="1" si="0"/>
        <v>214500</v>
      </c>
      <c r="D45" s="76">
        <f t="shared" ca="1" si="41"/>
        <v>122100</v>
      </c>
      <c r="E45" s="77">
        <f ca="1">IFERROR(__xludf.DUMMYFUNCTION("IMPORTRANGE(""https://docs.google.com/spreadsheets/d/1C3CXT74ZlgGe6_JY_1olB1XN4rF0dxEuIIF-xsYjHgg/edit?usp=sharing"",""พรบ!P49"")"),0)</f>
        <v>0</v>
      </c>
      <c r="F45" s="77">
        <f ca="1">IFERROR(__xludf.DUMMYFUNCTION("IMPORTRANGE(""https://docs.google.com/spreadsheets/d/1C3CXT74ZlgGe6_JY_1olB1XN4rF0dxEuIIF-xsYjHgg/edit?usp=sharing"",""พรบ!Q49"")"),122100)</f>
        <v>122100</v>
      </c>
      <c r="G45" s="77">
        <f ca="1">IFERROR(__xludf.DUMMYFUNCTION("IMPORTRANGE(""https://docs.google.com/spreadsheets/d/1Yj_ptqi66GCucihVvJfMjLAmec39IyEx_6qawtMGysU/edit?usp=sharing"",""สบก!AP49"")"),92400)</f>
        <v>92400</v>
      </c>
      <c r="H45" s="77">
        <f ca="1">IFERROR(__xludf.DUMMYFUNCTION("IMPORTRANGE(""https://docs.google.com/spreadsheets/d/1Yj_ptqi66GCucihVvJfMjLAmec39IyEx_6qawtMGysU/edit?usp=sharing"",""สบก!AR49"")"),122100)</f>
        <v>122100</v>
      </c>
      <c r="I45" s="77">
        <f t="shared" ca="1" si="3"/>
        <v>126478</v>
      </c>
      <c r="J45" s="137">
        <f t="shared" ca="1" si="4"/>
        <v>58.964102564102561</v>
      </c>
      <c r="K45" s="77">
        <f ca="1">IFERROR(__xludf.DUMMYFUNCTION("IMPORTRANGE(""https://docs.google.com/spreadsheets/d/1Yj_ptqi66GCucihVvJfMjLAmec39IyEx_6qawtMGysU/edit?usp=sharing"",""สบก!AS49"")"),34078)</f>
        <v>34078</v>
      </c>
      <c r="L45" s="137">
        <f t="shared" ca="1" si="5"/>
        <v>27.90990990990991</v>
      </c>
      <c r="M45" s="137">
        <f t="shared" ca="1" si="6"/>
        <v>27.90990990990991</v>
      </c>
      <c r="N45" s="137">
        <f ca="1">IFERROR(__xludf.DUMMYFUNCTION("IMPORTRANGE(""https://docs.google.com/spreadsheets/d/1Yj_ptqi66GCucihVvJfMjLAmec39IyEx_6qawtMGysU/edit?usp=sharing"",""สบก!AT49"")"),92400)</f>
        <v>92400</v>
      </c>
      <c r="O45" s="137">
        <f t="shared" ca="1" si="7"/>
        <v>100</v>
      </c>
      <c r="P45" s="77">
        <f ca="1">IFERROR(__xludf.DUMMYFUNCTION("IMPORTRANGE(""https://docs.google.com/spreadsheets/d/1C3CXT74ZlgGe6_JY_1olB1XN4rF0dxEuIIF-xsYjHgg/edit?usp=sharing"",""พรบ!R49"")"),1)</f>
        <v>1</v>
      </c>
      <c r="Q45" s="77">
        <f ca="1">IFERROR(__xludf.DUMMYFUNCTION("IMPORTRANGE(""https://docs.google.com/spreadsheets/d/1XL5vhW3sbDhbH9Cz0tuDiY8C3ctxq1tqvaCgkFb8cCA/edit?usp=sharing"",""เลย!J43"")"),1)</f>
        <v>1</v>
      </c>
      <c r="R45" s="79">
        <f t="shared" ca="1" si="9"/>
        <v>100</v>
      </c>
      <c r="S45" s="77">
        <f ca="1">IFERROR(__xludf.DUMMYFUNCTION("IMPORTRANGE(""https://docs.google.com/spreadsheets/d/1C3CXT74ZlgGe6_JY_1olB1XN4rF0dxEuIIF-xsYjHgg/edit?usp=sharing"",""พรบ!S49"")"),4)</f>
        <v>4</v>
      </c>
      <c r="T45" s="77">
        <f ca="1">IFERROR(__xludf.DUMMYFUNCTION("IMPORTRANGE(""https://docs.google.com/spreadsheets/d/1XL5vhW3sbDhbH9Cz0tuDiY8C3ctxq1tqvaCgkFb8cCA/edit?usp=sharing"",""เลย!J44"")"),4)</f>
        <v>4</v>
      </c>
      <c r="U45" s="79">
        <f t="shared" ca="1" si="10"/>
        <v>100</v>
      </c>
      <c r="V45" s="77">
        <f ca="1">IFERROR(__xludf.DUMMYFUNCTION("IMPORTRANGE(""https://docs.google.com/spreadsheets/d/1XL5vhW3sbDhbH9Cz0tuDiY8C3ctxq1tqvaCgkFb8cCA/edit?usp=sharing"",""เลย!J45"")"),4)</f>
        <v>4</v>
      </c>
      <c r="W45" s="79">
        <f t="shared" ca="1" si="11"/>
        <v>100</v>
      </c>
      <c r="X45" s="77">
        <f ca="1">IFERROR(__xludf.DUMMYFUNCTION("IMPORTRANGE(""https://docs.google.com/spreadsheets/d/1XL5vhW3sbDhbH9Cz0tuDiY8C3ctxq1tqvaCgkFb8cCA/edit?usp=sharing"",""เลย!J46"")"),4)</f>
        <v>4</v>
      </c>
      <c r="Y45" s="79">
        <f t="shared" ca="1" si="12"/>
        <v>100</v>
      </c>
      <c r="Z45" s="77">
        <f ca="1">IFERROR(__xludf.DUMMYFUNCTION("IMPORTRANGE(""https://docs.google.com/spreadsheets/d/1XL5vhW3sbDhbH9Cz0tuDiY8C3ctxq1tqvaCgkFb8cCA/edit?usp=sharing"",""เลย!J47"")"),4)</f>
        <v>4</v>
      </c>
      <c r="AA45" s="137">
        <f t="shared" ca="1" si="13"/>
        <v>100</v>
      </c>
      <c r="AB45" s="77">
        <f ca="1">IFERROR(__xludf.DUMMYFUNCTION("IMPORTRANGE(""https://docs.google.com/spreadsheets/d/1C3CXT74ZlgGe6_JY_1olB1XN4rF0dxEuIIF-xsYjHgg/edit?usp=sharing"",""พรบ!W49"")"),1)</f>
        <v>1</v>
      </c>
      <c r="AC45" s="77">
        <f ca="1">IFERROR(__xludf.DUMMYFUNCTION("IMPORTRANGE(""https://docs.google.com/spreadsheets/d/1XL5vhW3sbDhbH9Cz0tuDiY8C3ctxq1tqvaCgkFb8cCA/edit?usp=sharing"",""เลย!J48"")"),0)</f>
        <v>0</v>
      </c>
      <c r="AD45" s="137">
        <f t="shared" ca="1" si="15"/>
        <v>0</v>
      </c>
    </row>
    <row r="46" spans="1:30" ht="21" customHeight="1">
      <c r="A46" s="73">
        <v>13</v>
      </c>
      <c r="B46" s="74" t="s">
        <v>70</v>
      </c>
      <c r="C46" s="75">
        <f t="shared" ca="1" si="0"/>
        <v>0</v>
      </c>
      <c r="D46" s="76">
        <f t="shared" ca="1" si="41"/>
        <v>0</v>
      </c>
      <c r="E46" s="77">
        <f ca="1">IFERROR(__xludf.DUMMYFUNCTION("IMPORTRANGE(""https://docs.google.com/spreadsheets/d/1C3CXT74ZlgGe6_JY_1olB1XN4rF0dxEuIIF-xsYjHgg/edit?usp=sharing"",""พรบ!P50"")"),0)</f>
        <v>0</v>
      </c>
      <c r="F46" s="77">
        <f ca="1">IFERROR(__xludf.DUMMYFUNCTION("IMPORTRANGE(""https://docs.google.com/spreadsheets/d/1C3CXT74ZlgGe6_JY_1olB1XN4rF0dxEuIIF-xsYjHgg/edit?usp=sharing"",""พรบ!Q50"")"),0)</f>
        <v>0</v>
      </c>
      <c r="G46" s="77">
        <f ca="1">IFERROR(__xludf.DUMMYFUNCTION("IMPORTRANGE(""https://docs.google.com/spreadsheets/d/1Yj_ptqi66GCucihVvJfMjLAmec39IyEx_6qawtMGysU/edit?usp=sharing"",""สบก!AP50"")"),0)</f>
        <v>0</v>
      </c>
      <c r="H46" s="77">
        <f ca="1">IFERROR(__xludf.DUMMYFUNCTION("IMPORTRANGE(""https://docs.google.com/spreadsheets/d/1Yj_ptqi66GCucihVvJfMjLAmec39IyEx_6qawtMGysU/edit?usp=sharing"",""สบก!AR50"")"),0)</f>
        <v>0</v>
      </c>
      <c r="I46" s="77">
        <f t="shared" ca="1" si="3"/>
        <v>0</v>
      </c>
      <c r="J46" s="137">
        <f t="shared" ca="1" si="4"/>
        <v>0</v>
      </c>
      <c r="K46" s="77">
        <f ca="1">IFERROR(__xludf.DUMMYFUNCTION("IMPORTRANGE(""https://docs.google.com/spreadsheets/d/1Yj_ptqi66GCucihVvJfMjLAmec39IyEx_6qawtMGysU/edit?usp=sharing"",""สบก!AS50"")"),0)</f>
        <v>0</v>
      </c>
      <c r="L46" s="137">
        <f t="shared" ca="1" si="5"/>
        <v>0</v>
      </c>
      <c r="M46" s="137">
        <f t="shared" ca="1" si="6"/>
        <v>0</v>
      </c>
      <c r="N46" s="137">
        <f ca="1">IFERROR(__xludf.DUMMYFUNCTION("IMPORTRANGE(""https://docs.google.com/spreadsheets/d/1Yj_ptqi66GCucihVvJfMjLAmec39IyEx_6qawtMGysU/edit?usp=sharing"",""สบก!AT50"")"),0)</f>
        <v>0</v>
      </c>
      <c r="O46" s="137">
        <f t="shared" ca="1" si="7"/>
        <v>0</v>
      </c>
      <c r="P46" s="77">
        <f ca="1">IFERROR(__xludf.DUMMYFUNCTION("IMPORTRANGE(""https://docs.google.com/spreadsheets/d/1C3CXT74ZlgGe6_JY_1olB1XN4rF0dxEuIIF-xsYjHgg/edit?usp=sharing"",""พรบ!R50"")"),0)</f>
        <v>0</v>
      </c>
      <c r="Q46" s="77">
        <f ca="1">IFERROR(__xludf.DUMMYFUNCTION("IMPORTRANGE(""https://docs.google.com/spreadsheets/d/1XL5vhW3sbDhbH9Cz0tuDiY8C3ctxq1tqvaCgkFb8cCA/edit?usp=sharing"",""ศรีสะเกษ!J43"")"),0)</f>
        <v>0</v>
      </c>
      <c r="R46" s="79">
        <f t="shared" ca="1" si="9"/>
        <v>0</v>
      </c>
      <c r="S46" s="77">
        <f ca="1">IFERROR(__xludf.DUMMYFUNCTION("IMPORTRANGE(""https://docs.google.com/spreadsheets/d/1C3CXT74ZlgGe6_JY_1olB1XN4rF0dxEuIIF-xsYjHgg/edit?usp=sharing"",""พรบ!S50"")"),0)</f>
        <v>0</v>
      </c>
      <c r="T46" s="77">
        <f ca="1">IFERROR(__xludf.DUMMYFUNCTION("IMPORTRANGE(""https://docs.google.com/spreadsheets/d/1XL5vhW3sbDhbH9Cz0tuDiY8C3ctxq1tqvaCgkFb8cCA/edit?usp=sharing"",""ศรีสะเกษ!J44"")"),0)</f>
        <v>0</v>
      </c>
      <c r="U46" s="79">
        <f t="shared" ca="1" si="10"/>
        <v>0</v>
      </c>
      <c r="V46" s="77">
        <f ca="1">IFERROR(__xludf.DUMMYFUNCTION("IMPORTRANGE(""https://docs.google.com/spreadsheets/d/1XL5vhW3sbDhbH9Cz0tuDiY8C3ctxq1tqvaCgkFb8cCA/edit?usp=sharing"",""ศรีสะเกษ!J45"")"),0)</f>
        <v>0</v>
      </c>
      <c r="W46" s="79">
        <f t="shared" ca="1" si="11"/>
        <v>0</v>
      </c>
      <c r="X46" s="77">
        <f ca="1">IFERROR(__xludf.DUMMYFUNCTION("IMPORTRANGE(""https://docs.google.com/spreadsheets/d/1XL5vhW3sbDhbH9Cz0tuDiY8C3ctxq1tqvaCgkFb8cCA/edit?usp=sharing"",""ศรีสะเกษ!J46"")"),0)</f>
        <v>0</v>
      </c>
      <c r="Y46" s="79">
        <f t="shared" ca="1" si="12"/>
        <v>0</v>
      </c>
      <c r="Z46" s="77">
        <f ca="1">IFERROR(__xludf.DUMMYFUNCTION("IMPORTRANGE(""https://docs.google.com/spreadsheets/d/1XL5vhW3sbDhbH9Cz0tuDiY8C3ctxq1tqvaCgkFb8cCA/edit?usp=sharing"",""ศรีสะเกษ!J47"")"),0)</f>
        <v>0</v>
      </c>
      <c r="AA46" s="137">
        <f t="shared" ca="1" si="13"/>
        <v>0</v>
      </c>
      <c r="AB46" s="77">
        <f ca="1">IFERROR(__xludf.DUMMYFUNCTION("IMPORTRANGE(""https://docs.google.com/spreadsheets/d/1C3CXT74ZlgGe6_JY_1olB1XN4rF0dxEuIIF-xsYjHgg/edit?usp=sharing"",""พรบ!W50"")"),0)</f>
        <v>0</v>
      </c>
      <c r="AC46" s="77">
        <f ca="1">IFERROR(__xludf.DUMMYFUNCTION("IMPORTRANGE(""https://docs.google.com/spreadsheets/d/1XL5vhW3sbDhbH9Cz0tuDiY8C3ctxq1tqvaCgkFb8cCA/edit?usp=sharing"",""ศรีสะเกษ!J48"")"),0)</f>
        <v>0</v>
      </c>
      <c r="AD46" s="137">
        <f t="shared" ca="1" si="15"/>
        <v>0</v>
      </c>
    </row>
    <row r="47" spans="1:30" ht="21" customHeight="1">
      <c r="A47" s="73">
        <v>14</v>
      </c>
      <c r="B47" s="74" t="s">
        <v>71</v>
      </c>
      <c r="C47" s="75">
        <f t="shared" ca="1" si="0"/>
        <v>214100</v>
      </c>
      <c r="D47" s="76">
        <f t="shared" ca="1" si="41"/>
        <v>122100</v>
      </c>
      <c r="E47" s="77">
        <f ca="1">IFERROR(__xludf.DUMMYFUNCTION("IMPORTRANGE(""https://docs.google.com/spreadsheets/d/1C3CXT74ZlgGe6_JY_1olB1XN4rF0dxEuIIF-xsYjHgg/edit?usp=sharing"",""พรบ!P51"")"),0)</f>
        <v>0</v>
      </c>
      <c r="F47" s="77">
        <f ca="1">IFERROR(__xludf.DUMMYFUNCTION("IMPORTRANGE(""https://docs.google.com/spreadsheets/d/1C3CXT74ZlgGe6_JY_1olB1XN4rF0dxEuIIF-xsYjHgg/edit?usp=sharing"",""พรบ!Q51"")"),122100)</f>
        <v>122100</v>
      </c>
      <c r="G47" s="77">
        <f ca="1">IFERROR(__xludf.DUMMYFUNCTION("IMPORTRANGE(""https://docs.google.com/spreadsheets/d/1Yj_ptqi66GCucihVvJfMjLAmec39IyEx_6qawtMGysU/edit?usp=sharing"",""สบก!AP51"")"),92000)</f>
        <v>92000</v>
      </c>
      <c r="H47" s="77">
        <f ca="1">IFERROR(__xludf.DUMMYFUNCTION("IMPORTRANGE(""https://docs.google.com/spreadsheets/d/1Yj_ptqi66GCucihVvJfMjLAmec39IyEx_6qawtMGysU/edit?usp=sharing"",""สบก!AR51"")"),122100)</f>
        <v>122100</v>
      </c>
      <c r="I47" s="77">
        <f t="shared" ca="1" si="3"/>
        <v>134490</v>
      </c>
      <c r="J47" s="137">
        <f t="shared" ca="1" si="4"/>
        <v>62.816440915460063</v>
      </c>
      <c r="K47" s="77">
        <f ca="1">IFERROR(__xludf.DUMMYFUNCTION("IMPORTRANGE(""https://docs.google.com/spreadsheets/d/1Yj_ptqi66GCucihVvJfMjLAmec39IyEx_6qawtMGysU/edit?usp=sharing"",""สบก!AS51"")"),42490)</f>
        <v>42490</v>
      </c>
      <c r="L47" s="137">
        <f t="shared" ca="1" si="5"/>
        <v>34.799344799344802</v>
      </c>
      <c r="M47" s="137">
        <f t="shared" ca="1" si="6"/>
        <v>34.799344799344802</v>
      </c>
      <c r="N47" s="137">
        <f ca="1">IFERROR(__xludf.DUMMYFUNCTION("IMPORTRANGE(""https://docs.google.com/spreadsheets/d/1Yj_ptqi66GCucihVvJfMjLAmec39IyEx_6qawtMGysU/edit?usp=sharing"",""สบก!AT51"")"),92000)</f>
        <v>92000</v>
      </c>
      <c r="O47" s="137">
        <f t="shared" ca="1" si="7"/>
        <v>100</v>
      </c>
      <c r="P47" s="77">
        <f ca="1">IFERROR(__xludf.DUMMYFUNCTION("IMPORTRANGE(""https://docs.google.com/spreadsheets/d/1C3CXT74ZlgGe6_JY_1olB1XN4rF0dxEuIIF-xsYjHgg/edit?usp=sharing"",""พรบ!R51"")"),1)</f>
        <v>1</v>
      </c>
      <c r="Q47" s="77">
        <f ca="1">IFERROR(__xludf.DUMMYFUNCTION("IMPORTRANGE(""https://docs.google.com/spreadsheets/d/1XL5vhW3sbDhbH9Cz0tuDiY8C3ctxq1tqvaCgkFb8cCA/edit?usp=sharing"",""สกลนคร!J43"")"),1)</f>
        <v>1</v>
      </c>
      <c r="R47" s="79">
        <f t="shared" ca="1" si="9"/>
        <v>100</v>
      </c>
      <c r="S47" s="77">
        <f ca="1">IFERROR(__xludf.DUMMYFUNCTION("IMPORTRANGE(""https://docs.google.com/spreadsheets/d/1C3CXT74ZlgGe6_JY_1olB1XN4rF0dxEuIIF-xsYjHgg/edit?usp=sharing"",""พรบ!S51"")"),4)</f>
        <v>4</v>
      </c>
      <c r="T47" s="77">
        <f ca="1">IFERROR(__xludf.DUMMYFUNCTION("IMPORTRANGE(""https://docs.google.com/spreadsheets/d/1XL5vhW3sbDhbH9Cz0tuDiY8C3ctxq1tqvaCgkFb8cCA/edit?usp=sharing"",""สกลนคร!J44"")"),4)</f>
        <v>4</v>
      </c>
      <c r="U47" s="79">
        <f t="shared" ca="1" si="10"/>
        <v>100</v>
      </c>
      <c r="V47" s="77">
        <f ca="1">IFERROR(__xludf.DUMMYFUNCTION("IMPORTRANGE(""https://docs.google.com/spreadsheets/d/1XL5vhW3sbDhbH9Cz0tuDiY8C3ctxq1tqvaCgkFb8cCA/edit?usp=sharing"",""สกลนคร!J45"")"),4)</f>
        <v>4</v>
      </c>
      <c r="W47" s="79">
        <f t="shared" ca="1" si="11"/>
        <v>100</v>
      </c>
      <c r="X47" s="77">
        <f ca="1">IFERROR(__xludf.DUMMYFUNCTION("IMPORTRANGE(""https://docs.google.com/spreadsheets/d/1XL5vhW3sbDhbH9Cz0tuDiY8C3ctxq1tqvaCgkFb8cCA/edit?usp=sharing"",""สกลนคร!J46"")"),4)</f>
        <v>4</v>
      </c>
      <c r="Y47" s="79">
        <f t="shared" ca="1" si="12"/>
        <v>100</v>
      </c>
      <c r="Z47" s="77">
        <f ca="1">IFERROR(__xludf.DUMMYFUNCTION("IMPORTRANGE(""https://docs.google.com/spreadsheets/d/1XL5vhW3sbDhbH9Cz0tuDiY8C3ctxq1tqvaCgkFb8cCA/edit?usp=sharing"",""สกลนคร!J47"")"),4)</f>
        <v>4</v>
      </c>
      <c r="AA47" s="137">
        <f t="shared" ca="1" si="13"/>
        <v>100</v>
      </c>
      <c r="AB47" s="77">
        <f ca="1">IFERROR(__xludf.DUMMYFUNCTION("IMPORTRANGE(""https://docs.google.com/spreadsheets/d/1C3CXT74ZlgGe6_JY_1olB1XN4rF0dxEuIIF-xsYjHgg/edit?usp=sharing"",""พรบ!W51"")"),1)</f>
        <v>1</v>
      </c>
      <c r="AC47" s="77">
        <f ca="1">IFERROR(__xludf.DUMMYFUNCTION("IMPORTRANGE(""https://docs.google.com/spreadsheets/d/1XL5vhW3sbDhbH9Cz0tuDiY8C3ctxq1tqvaCgkFb8cCA/edit?usp=sharing"",""สกลนคร!J48"")"),1)</f>
        <v>1</v>
      </c>
      <c r="AD47" s="137">
        <f t="shared" ca="1" si="15"/>
        <v>100</v>
      </c>
    </row>
    <row r="48" spans="1:30" ht="21" customHeight="1">
      <c r="A48" s="73">
        <v>15</v>
      </c>
      <c r="B48" s="74" t="s">
        <v>72</v>
      </c>
      <c r="C48" s="75">
        <f t="shared" ca="1" si="0"/>
        <v>0</v>
      </c>
      <c r="D48" s="76">
        <f t="shared" ca="1" si="41"/>
        <v>0</v>
      </c>
      <c r="E48" s="77">
        <f ca="1">IFERROR(__xludf.DUMMYFUNCTION("IMPORTRANGE(""https://docs.google.com/spreadsheets/d/1C3CXT74ZlgGe6_JY_1olB1XN4rF0dxEuIIF-xsYjHgg/edit?usp=sharing"",""พรบ!P52"")"),0)</f>
        <v>0</v>
      </c>
      <c r="F48" s="77">
        <f ca="1">IFERROR(__xludf.DUMMYFUNCTION("IMPORTRANGE(""https://docs.google.com/spreadsheets/d/1C3CXT74ZlgGe6_JY_1olB1XN4rF0dxEuIIF-xsYjHgg/edit?usp=sharing"",""พรบ!Q52"")"),0)</f>
        <v>0</v>
      </c>
      <c r="G48" s="77">
        <f ca="1">IFERROR(__xludf.DUMMYFUNCTION("IMPORTRANGE(""https://docs.google.com/spreadsheets/d/1Yj_ptqi66GCucihVvJfMjLAmec39IyEx_6qawtMGysU/edit?usp=sharing"",""สบก!AP52"")"),0)</f>
        <v>0</v>
      </c>
      <c r="H48" s="77">
        <f ca="1">IFERROR(__xludf.DUMMYFUNCTION("IMPORTRANGE(""https://docs.google.com/spreadsheets/d/1Yj_ptqi66GCucihVvJfMjLAmec39IyEx_6qawtMGysU/edit?usp=sharing"",""สบก!AR52"")"),0)</f>
        <v>0</v>
      </c>
      <c r="I48" s="77">
        <f t="shared" ca="1" si="3"/>
        <v>0</v>
      </c>
      <c r="J48" s="137">
        <f t="shared" ca="1" si="4"/>
        <v>0</v>
      </c>
      <c r="K48" s="77">
        <f ca="1">IFERROR(__xludf.DUMMYFUNCTION("IMPORTRANGE(""https://docs.google.com/spreadsheets/d/1Yj_ptqi66GCucihVvJfMjLAmec39IyEx_6qawtMGysU/edit?usp=sharing"",""สบก!AS52"")"),0)</f>
        <v>0</v>
      </c>
      <c r="L48" s="137">
        <f t="shared" ca="1" si="5"/>
        <v>0</v>
      </c>
      <c r="M48" s="137">
        <f t="shared" ca="1" si="6"/>
        <v>0</v>
      </c>
      <c r="N48" s="137">
        <f ca="1">IFERROR(__xludf.DUMMYFUNCTION("IMPORTRANGE(""https://docs.google.com/spreadsheets/d/1Yj_ptqi66GCucihVvJfMjLAmec39IyEx_6qawtMGysU/edit?usp=sharing"",""สบก!AT52"")"),0)</f>
        <v>0</v>
      </c>
      <c r="O48" s="137">
        <f t="shared" ca="1" si="7"/>
        <v>0</v>
      </c>
      <c r="P48" s="77">
        <f ca="1">IFERROR(__xludf.DUMMYFUNCTION("IMPORTRANGE(""https://docs.google.com/spreadsheets/d/1C3CXT74ZlgGe6_JY_1olB1XN4rF0dxEuIIF-xsYjHgg/edit?usp=sharing"",""พรบ!R52"")"),0)</f>
        <v>0</v>
      </c>
      <c r="Q48" s="77">
        <f ca="1">IFERROR(__xludf.DUMMYFUNCTION("IMPORTRANGE(""https://docs.google.com/spreadsheets/d/1XL5vhW3sbDhbH9Cz0tuDiY8C3ctxq1tqvaCgkFb8cCA/edit?usp=sharing"",""สุรินทร์!J43"")"),0)</f>
        <v>0</v>
      </c>
      <c r="R48" s="79">
        <f t="shared" ca="1" si="9"/>
        <v>0</v>
      </c>
      <c r="S48" s="77">
        <f ca="1">IFERROR(__xludf.DUMMYFUNCTION("IMPORTRANGE(""https://docs.google.com/spreadsheets/d/1C3CXT74ZlgGe6_JY_1olB1XN4rF0dxEuIIF-xsYjHgg/edit?usp=sharing"",""พรบ!S52"")"),0)</f>
        <v>0</v>
      </c>
      <c r="T48" s="77">
        <f ca="1">IFERROR(__xludf.DUMMYFUNCTION("IMPORTRANGE(""https://docs.google.com/spreadsheets/d/1XL5vhW3sbDhbH9Cz0tuDiY8C3ctxq1tqvaCgkFb8cCA/edit?usp=sharing"",""สุรินทร์!J44"")"),0)</f>
        <v>0</v>
      </c>
      <c r="U48" s="79">
        <f t="shared" ca="1" si="10"/>
        <v>0</v>
      </c>
      <c r="V48" s="77">
        <f ca="1">IFERROR(__xludf.DUMMYFUNCTION("IMPORTRANGE(""https://docs.google.com/spreadsheets/d/1XL5vhW3sbDhbH9Cz0tuDiY8C3ctxq1tqvaCgkFb8cCA/edit?usp=sharing"",""สุรินทร์!J45"")"),0)</f>
        <v>0</v>
      </c>
      <c r="W48" s="79">
        <f t="shared" ca="1" si="11"/>
        <v>0</v>
      </c>
      <c r="X48" s="77">
        <f ca="1">IFERROR(__xludf.DUMMYFUNCTION("IMPORTRANGE(""https://docs.google.com/spreadsheets/d/1XL5vhW3sbDhbH9Cz0tuDiY8C3ctxq1tqvaCgkFb8cCA/edit?usp=sharing"",""สุรินทร์!J46"")"),0)</f>
        <v>0</v>
      </c>
      <c r="Y48" s="79">
        <f t="shared" ca="1" si="12"/>
        <v>0</v>
      </c>
      <c r="Z48" s="77">
        <f ca="1">IFERROR(__xludf.DUMMYFUNCTION("IMPORTRANGE(""https://docs.google.com/spreadsheets/d/1XL5vhW3sbDhbH9Cz0tuDiY8C3ctxq1tqvaCgkFb8cCA/edit?usp=sharing"",""สุรินทร์!J47"")"),0)</f>
        <v>0</v>
      </c>
      <c r="AA48" s="137">
        <f t="shared" ca="1" si="13"/>
        <v>0</v>
      </c>
      <c r="AB48" s="77">
        <f ca="1">IFERROR(__xludf.DUMMYFUNCTION("IMPORTRANGE(""https://docs.google.com/spreadsheets/d/1C3CXT74ZlgGe6_JY_1olB1XN4rF0dxEuIIF-xsYjHgg/edit?usp=sharing"",""พรบ!W52"")"),0)</f>
        <v>0</v>
      </c>
      <c r="AC48" s="77">
        <f ca="1">IFERROR(__xludf.DUMMYFUNCTION("IMPORTRANGE(""https://docs.google.com/spreadsheets/d/1XL5vhW3sbDhbH9Cz0tuDiY8C3ctxq1tqvaCgkFb8cCA/edit?usp=sharing"",""สุรินทร์!J48"")"),0)</f>
        <v>0</v>
      </c>
      <c r="AD48" s="137">
        <f t="shared" ca="1" si="15"/>
        <v>0</v>
      </c>
    </row>
    <row r="49" spans="1:30" ht="21" customHeight="1">
      <c r="A49" s="73">
        <v>16</v>
      </c>
      <c r="B49" s="74" t="s">
        <v>73</v>
      </c>
      <c r="C49" s="75">
        <f t="shared" ca="1" si="0"/>
        <v>319800</v>
      </c>
      <c r="D49" s="76">
        <f t="shared" ca="1" si="41"/>
        <v>135000</v>
      </c>
      <c r="E49" s="77">
        <f ca="1">IFERROR(__xludf.DUMMYFUNCTION("IMPORTRANGE(""https://docs.google.com/spreadsheets/d/1C3CXT74ZlgGe6_JY_1olB1XN4rF0dxEuIIF-xsYjHgg/edit?usp=sharing"",""พรบ!P53"")"),0)</f>
        <v>0</v>
      </c>
      <c r="F49" s="77">
        <f ca="1">IFERROR(__xludf.DUMMYFUNCTION("IMPORTRANGE(""https://docs.google.com/spreadsheets/d/1C3CXT74ZlgGe6_JY_1olB1XN4rF0dxEuIIF-xsYjHgg/edit?usp=sharing"",""พรบ!Q53"")"),135000)</f>
        <v>135000</v>
      </c>
      <c r="G49" s="77">
        <f ca="1">IFERROR(__xludf.DUMMYFUNCTION("IMPORTRANGE(""https://docs.google.com/spreadsheets/d/1Yj_ptqi66GCucihVvJfMjLAmec39IyEx_6qawtMGysU/edit?usp=sharing"",""สบก!AP53"")"),184800)</f>
        <v>184800</v>
      </c>
      <c r="H49" s="77">
        <f ca="1">IFERROR(__xludf.DUMMYFUNCTION("IMPORTRANGE(""https://docs.google.com/spreadsheets/d/1Yj_ptqi66GCucihVvJfMjLAmec39IyEx_6qawtMGysU/edit?usp=sharing"",""สบก!AR53"")"),135000)</f>
        <v>135000</v>
      </c>
      <c r="I49" s="77">
        <f t="shared" ca="1" si="3"/>
        <v>215420</v>
      </c>
      <c r="J49" s="137">
        <f t="shared" ca="1" si="4"/>
        <v>67.360850531582244</v>
      </c>
      <c r="K49" s="77">
        <f ca="1">IFERROR(__xludf.DUMMYFUNCTION("IMPORTRANGE(""https://docs.google.com/spreadsheets/d/1Yj_ptqi66GCucihVvJfMjLAmec39IyEx_6qawtMGysU/edit?usp=sharing"",""สบก!AS53"")"),30620)</f>
        <v>30620</v>
      </c>
      <c r="L49" s="137">
        <f t="shared" ca="1" si="5"/>
        <v>22.68148148148148</v>
      </c>
      <c r="M49" s="137">
        <f t="shared" ca="1" si="6"/>
        <v>22.68148148148148</v>
      </c>
      <c r="N49" s="137">
        <f ca="1">IFERROR(__xludf.DUMMYFUNCTION("IMPORTRANGE(""https://docs.google.com/spreadsheets/d/1Yj_ptqi66GCucihVvJfMjLAmec39IyEx_6qawtMGysU/edit?usp=sharing"",""สบก!AT53"")"),184800)</f>
        <v>184800</v>
      </c>
      <c r="O49" s="137">
        <f t="shared" ca="1" si="7"/>
        <v>100</v>
      </c>
      <c r="P49" s="77">
        <f ca="1">IFERROR(__xludf.DUMMYFUNCTION("IMPORTRANGE(""https://docs.google.com/spreadsheets/d/1C3CXT74ZlgGe6_JY_1olB1XN4rF0dxEuIIF-xsYjHgg/edit?usp=sharing"",""พรบ!R53"")"),1)</f>
        <v>1</v>
      </c>
      <c r="Q49" s="77">
        <f ca="1">IFERROR(__xludf.DUMMYFUNCTION("IMPORTRANGE(""https://docs.google.com/spreadsheets/d/1XL5vhW3sbDhbH9Cz0tuDiY8C3ctxq1tqvaCgkFb8cCA/edit?usp=sharing"",""หนองคาย!J43"")"),0)</f>
        <v>0</v>
      </c>
      <c r="R49" s="79">
        <f t="shared" ca="1" si="9"/>
        <v>0</v>
      </c>
      <c r="S49" s="77">
        <f ca="1">IFERROR(__xludf.DUMMYFUNCTION("IMPORTRANGE(""https://docs.google.com/spreadsheets/d/1C3CXT74ZlgGe6_JY_1olB1XN4rF0dxEuIIF-xsYjHgg/edit?usp=sharing"",""พรบ!S53"")"),7)</f>
        <v>7</v>
      </c>
      <c r="T49" s="77">
        <f ca="1">IFERROR(__xludf.DUMMYFUNCTION("IMPORTRANGE(""https://docs.google.com/spreadsheets/d/1XL5vhW3sbDhbH9Cz0tuDiY8C3ctxq1tqvaCgkFb8cCA/edit?usp=sharing"",""หนองคาย!J44"")"),23)</f>
        <v>23</v>
      </c>
      <c r="U49" s="79">
        <f t="shared" ca="1" si="10"/>
        <v>328.57142857142856</v>
      </c>
      <c r="V49" s="77">
        <f ca="1">IFERROR(__xludf.DUMMYFUNCTION("IMPORTRANGE(""https://docs.google.com/spreadsheets/d/1XL5vhW3sbDhbH9Cz0tuDiY8C3ctxq1tqvaCgkFb8cCA/edit?usp=sharing"",""หนองคาย!J45"")"),8)</f>
        <v>8</v>
      </c>
      <c r="W49" s="79">
        <f t="shared" ca="1" si="11"/>
        <v>114.28571428571429</v>
      </c>
      <c r="X49" s="77">
        <f ca="1">IFERROR(__xludf.DUMMYFUNCTION("IMPORTRANGE(""https://docs.google.com/spreadsheets/d/1XL5vhW3sbDhbH9Cz0tuDiY8C3ctxq1tqvaCgkFb8cCA/edit?usp=sharing"",""หนองคาย!J46"")"),0)</f>
        <v>0</v>
      </c>
      <c r="Y49" s="79">
        <f t="shared" ca="1" si="12"/>
        <v>0</v>
      </c>
      <c r="Z49" s="77">
        <f ca="1">IFERROR(__xludf.DUMMYFUNCTION("IMPORTRANGE(""https://docs.google.com/spreadsheets/d/1XL5vhW3sbDhbH9Cz0tuDiY8C3ctxq1tqvaCgkFb8cCA/edit?usp=sharing"",""หนองคาย!J47"")"),15)</f>
        <v>15</v>
      </c>
      <c r="AA49" s="137">
        <f t="shared" ca="1" si="13"/>
        <v>214.28571428571428</v>
      </c>
      <c r="AB49" s="77">
        <f ca="1">IFERROR(__xludf.DUMMYFUNCTION("IMPORTRANGE(""https://docs.google.com/spreadsheets/d/1C3CXT74ZlgGe6_JY_1olB1XN4rF0dxEuIIF-xsYjHgg/edit?usp=sharing"",""พรบ!W53"")"),2)</f>
        <v>2</v>
      </c>
      <c r="AC49" s="77">
        <f ca="1">IFERROR(__xludf.DUMMYFUNCTION("IMPORTRANGE(""https://docs.google.com/spreadsheets/d/1XL5vhW3sbDhbH9Cz0tuDiY8C3ctxq1tqvaCgkFb8cCA/edit?usp=sharing"",""หนองคาย!J48"")"),2)</f>
        <v>2</v>
      </c>
      <c r="AD49" s="137">
        <f t="shared" ca="1" si="15"/>
        <v>100</v>
      </c>
    </row>
    <row r="50" spans="1:30" ht="21" customHeight="1">
      <c r="A50" s="73">
        <v>17</v>
      </c>
      <c r="B50" s="74" t="s">
        <v>74</v>
      </c>
      <c r="C50" s="75">
        <f t="shared" ca="1" si="0"/>
        <v>0</v>
      </c>
      <c r="D50" s="76">
        <f t="shared" ca="1" si="41"/>
        <v>0</v>
      </c>
      <c r="E50" s="77">
        <f ca="1">IFERROR(__xludf.DUMMYFUNCTION("IMPORTRANGE(""https://docs.google.com/spreadsheets/d/1C3CXT74ZlgGe6_JY_1olB1XN4rF0dxEuIIF-xsYjHgg/edit?usp=sharing"",""พรบ!P54"")"),0)</f>
        <v>0</v>
      </c>
      <c r="F50" s="77">
        <f ca="1">IFERROR(__xludf.DUMMYFUNCTION("IMPORTRANGE(""https://docs.google.com/spreadsheets/d/1C3CXT74ZlgGe6_JY_1olB1XN4rF0dxEuIIF-xsYjHgg/edit?usp=sharing"",""พรบ!Q54"")"),0)</f>
        <v>0</v>
      </c>
      <c r="G50" s="77">
        <f ca="1">IFERROR(__xludf.DUMMYFUNCTION("IMPORTRANGE(""https://docs.google.com/spreadsheets/d/1Yj_ptqi66GCucihVvJfMjLAmec39IyEx_6qawtMGysU/edit?usp=sharing"",""สบก!AP54"")"),0)</f>
        <v>0</v>
      </c>
      <c r="H50" s="77">
        <f ca="1">IFERROR(__xludf.DUMMYFUNCTION("IMPORTRANGE(""https://docs.google.com/spreadsheets/d/1Yj_ptqi66GCucihVvJfMjLAmec39IyEx_6qawtMGysU/edit?usp=sharing"",""สบก!AR54"")"),0)</f>
        <v>0</v>
      </c>
      <c r="I50" s="77">
        <f t="shared" ca="1" si="3"/>
        <v>0</v>
      </c>
      <c r="J50" s="137">
        <f t="shared" ca="1" si="4"/>
        <v>0</v>
      </c>
      <c r="K50" s="77">
        <f ca="1">IFERROR(__xludf.DUMMYFUNCTION("IMPORTRANGE(""https://docs.google.com/spreadsheets/d/1Yj_ptqi66GCucihVvJfMjLAmec39IyEx_6qawtMGysU/edit?usp=sharing"",""สบก!AS54"")"),0)</f>
        <v>0</v>
      </c>
      <c r="L50" s="137">
        <f t="shared" ca="1" si="5"/>
        <v>0</v>
      </c>
      <c r="M50" s="137">
        <f t="shared" ca="1" si="6"/>
        <v>0</v>
      </c>
      <c r="N50" s="137">
        <f ca="1">IFERROR(__xludf.DUMMYFUNCTION("IMPORTRANGE(""https://docs.google.com/spreadsheets/d/1Yj_ptqi66GCucihVvJfMjLAmec39IyEx_6qawtMGysU/edit?usp=sharing"",""สบก!AT54"")"),0)</f>
        <v>0</v>
      </c>
      <c r="O50" s="137">
        <f t="shared" ca="1" si="7"/>
        <v>0</v>
      </c>
      <c r="P50" s="77">
        <f ca="1">IFERROR(__xludf.DUMMYFUNCTION("IMPORTRANGE(""https://docs.google.com/spreadsheets/d/1C3CXT74ZlgGe6_JY_1olB1XN4rF0dxEuIIF-xsYjHgg/edit?usp=sharing"",""พรบ!R54"")"),0)</f>
        <v>0</v>
      </c>
      <c r="Q50" s="77">
        <f ca="1">IFERROR(__xludf.DUMMYFUNCTION("IMPORTRANGE(""https://docs.google.com/spreadsheets/d/1XL5vhW3sbDhbH9Cz0tuDiY8C3ctxq1tqvaCgkFb8cCA/edit?usp=sharing"",""หนองบัวลำภู!J43"")"),0)</f>
        <v>0</v>
      </c>
      <c r="R50" s="79">
        <f t="shared" ca="1" si="9"/>
        <v>0</v>
      </c>
      <c r="S50" s="77">
        <f ca="1">IFERROR(__xludf.DUMMYFUNCTION("IMPORTRANGE(""https://docs.google.com/spreadsheets/d/1C3CXT74ZlgGe6_JY_1olB1XN4rF0dxEuIIF-xsYjHgg/edit?usp=sharing"",""พรบ!S54"")"),0)</f>
        <v>0</v>
      </c>
      <c r="T50" s="77">
        <f ca="1">IFERROR(__xludf.DUMMYFUNCTION("IMPORTRANGE(""https://docs.google.com/spreadsheets/d/1XL5vhW3sbDhbH9Cz0tuDiY8C3ctxq1tqvaCgkFb8cCA/edit?usp=sharing"",""หนองบัวลำภู!J44"")"),0)</f>
        <v>0</v>
      </c>
      <c r="U50" s="79">
        <f t="shared" ca="1" si="10"/>
        <v>0</v>
      </c>
      <c r="V50" s="77">
        <f ca="1">IFERROR(__xludf.DUMMYFUNCTION("IMPORTRANGE(""https://docs.google.com/spreadsheets/d/1XL5vhW3sbDhbH9Cz0tuDiY8C3ctxq1tqvaCgkFb8cCA/edit?usp=sharing"",""หนองบัวลำภู!J45"")"),0)</f>
        <v>0</v>
      </c>
      <c r="W50" s="79">
        <f t="shared" ca="1" si="11"/>
        <v>0</v>
      </c>
      <c r="X50" s="77">
        <f ca="1">IFERROR(__xludf.DUMMYFUNCTION("IMPORTRANGE(""https://docs.google.com/spreadsheets/d/1XL5vhW3sbDhbH9Cz0tuDiY8C3ctxq1tqvaCgkFb8cCA/edit?usp=sharing"",""หนองบัวลำภู!J46"")"),0)</f>
        <v>0</v>
      </c>
      <c r="Y50" s="79">
        <f t="shared" ca="1" si="12"/>
        <v>0</v>
      </c>
      <c r="Z50" s="77">
        <f ca="1">IFERROR(__xludf.DUMMYFUNCTION("IMPORTRANGE(""https://docs.google.com/spreadsheets/d/1XL5vhW3sbDhbH9Cz0tuDiY8C3ctxq1tqvaCgkFb8cCA/edit?usp=sharing"",""หนองบัวลำภู!J47"")"),0)</f>
        <v>0</v>
      </c>
      <c r="AA50" s="137">
        <f t="shared" ca="1" si="13"/>
        <v>0</v>
      </c>
      <c r="AB50" s="77">
        <f ca="1">IFERROR(__xludf.DUMMYFUNCTION("IMPORTRANGE(""https://docs.google.com/spreadsheets/d/1C3CXT74ZlgGe6_JY_1olB1XN4rF0dxEuIIF-xsYjHgg/edit?usp=sharing"",""พรบ!W54"")"),0)</f>
        <v>0</v>
      </c>
      <c r="AC50" s="77">
        <f ca="1">IFERROR(__xludf.DUMMYFUNCTION("IMPORTRANGE(""https://docs.google.com/spreadsheets/d/1XL5vhW3sbDhbH9Cz0tuDiY8C3ctxq1tqvaCgkFb8cCA/edit?usp=sharing"",""หนองบัวลำภู!J48"")"),0)</f>
        <v>0</v>
      </c>
      <c r="AD50" s="137">
        <f t="shared" ca="1" si="15"/>
        <v>0</v>
      </c>
    </row>
    <row r="51" spans="1:30" ht="21" customHeight="1">
      <c r="A51" s="73">
        <v>18</v>
      </c>
      <c r="B51" s="74" t="s">
        <v>75</v>
      </c>
      <c r="C51" s="75">
        <f t="shared" ca="1" si="0"/>
        <v>0</v>
      </c>
      <c r="D51" s="76">
        <f t="shared" ca="1" si="41"/>
        <v>0</v>
      </c>
      <c r="E51" s="77">
        <f ca="1">IFERROR(__xludf.DUMMYFUNCTION("IMPORTRANGE(""https://docs.google.com/spreadsheets/d/1C3CXT74ZlgGe6_JY_1olB1XN4rF0dxEuIIF-xsYjHgg/edit?usp=sharing"",""พรบ!P55"")"),0)</f>
        <v>0</v>
      </c>
      <c r="F51" s="77">
        <f ca="1">IFERROR(__xludf.DUMMYFUNCTION("IMPORTRANGE(""https://docs.google.com/spreadsheets/d/1C3CXT74ZlgGe6_JY_1olB1XN4rF0dxEuIIF-xsYjHgg/edit?usp=sharing"",""พรบ!Q55"")"),0)</f>
        <v>0</v>
      </c>
      <c r="G51" s="77">
        <f ca="1">IFERROR(__xludf.DUMMYFUNCTION("IMPORTRANGE(""https://docs.google.com/spreadsheets/d/1Yj_ptqi66GCucihVvJfMjLAmec39IyEx_6qawtMGysU/edit?usp=sharing"",""สบก!AP55"")"),0)</f>
        <v>0</v>
      </c>
      <c r="H51" s="77">
        <f ca="1">IFERROR(__xludf.DUMMYFUNCTION("IMPORTRANGE(""https://docs.google.com/spreadsheets/d/1Yj_ptqi66GCucihVvJfMjLAmec39IyEx_6qawtMGysU/edit?usp=sharing"",""สบก!AR55"")"),0)</f>
        <v>0</v>
      </c>
      <c r="I51" s="77">
        <f t="shared" ca="1" si="3"/>
        <v>0</v>
      </c>
      <c r="J51" s="137">
        <f t="shared" ca="1" si="4"/>
        <v>0</v>
      </c>
      <c r="K51" s="77">
        <f ca="1">IFERROR(__xludf.DUMMYFUNCTION("IMPORTRANGE(""https://docs.google.com/spreadsheets/d/1Yj_ptqi66GCucihVvJfMjLAmec39IyEx_6qawtMGysU/edit?usp=sharing"",""สบก!AS55"")"),0)</f>
        <v>0</v>
      </c>
      <c r="L51" s="137">
        <f t="shared" ca="1" si="5"/>
        <v>0</v>
      </c>
      <c r="M51" s="137">
        <f t="shared" ca="1" si="6"/>
        <v>0</v>
      </c>
      <c r="N51" s="137">
        <f ca="1">IFERROR(__xludf.DUMMYFUNCTION("IMPORTRANGE(""https://docs.google.com/spreadsheets/d/1Yj_ptqi66GCucihVvJfMjLAmec39IyEx_6qawtMGysU/edit?usp=sharing"",""สบก!AT55"")"),0)</f>
        <v>0</v>
      </c>
      <c r="O51" s="137">
        <f t="shared" ca="1" si="7"/>
        <v>0</v>
      </c>
      <c r="P51" s="77">
        <f ca="1">IFERROR(__xludf.DUMMYFUNCTION("IMPORTRANGE(""https://docs.google.com/spreadsheets/d/1C3CXT74ZlgGe6_JY_1olB1XN4rF0dxEuIIF-xsYjHgg/edit?usp=sharing"",""พรบ!R55"")"),0)</f>
        <v>0</v>
      </c>
      <c r="Q51" s="77">
        <f ca="1">IFERROR(__xludf.DUMMYFUNCTION("IMPORTRANGE(""https://docs.google.com/spreadsheets/d/1XL5vhW3sbDhbH9Cz0tuDiY8C3ctxq1tqvaCgkFb8cCA/edit?usp=sharing"",""อำนาจเจริญ!J43"")"),0)</f>
        <v>0</v>
      </c>
      <c r="R51" s="79">
        <f t="shared" ca="1" si="9"/>
        <v>0</v>
      </c>
      <c r="S51" s="77">
        <f ca="1">IFERROR(__xludf.DUMMYFUNCTION("IMPORTRANGE(""https://docs.google.com/spreadsheets/d/1C3CXT74ZlgGe6_JY_1olB1XN4rF0dxEuIIF-xsYjHgg/edit?usp=sharing"",""พรบ!S55"")"),0)</f>
        <v>0</v>
      </c>
      <c r="T51" s="77">
        <f ca="1">IFERROR(__xludf.DUMMYFUNCTION("IMPORTRANGE(""https://docs.google.com/spreadsheets/d/1XL5vhW3sbDhbH9Cz0tuDiY8C3ctxq1tqvaCgkFb8cCA/edit?usp=sharing"",""อำนาจเจริญ!J44"")"),0)</f>
        <v>0</v>
      </c>
      <c r="U51" s="79">
        <f t="shared" ca="1" si="10"/>
        <v>0</v>
      </c>
      <c r="V51" s="77">
        <f ca="1">IFERROR(__xludf.DUMMYFUNCTION("IMPORTRANGE(""https://docs.google.com/spreadsheets/d/1XL5vhW3sbDhbH9Cz0tuDiY8C3ctxq1tqvaCgkFb8cCA/edit?usp=sharing"",""อำนาจเจริญ!J45"")"),0)</f>
        <v>0</v>
      </c>
      <c r="W51" s="79">
        <f t="shared" ca="1" si="11"/>
        <v>0</v>
      </c>
      <c r="X51" s="77">
        <f ca="1">IFERROR(__xludf.DUMMYFUNCTION("IMPORTRANGE(""https://docs.google.com/spreadsheets/d/1XL5vhW3sbDhbH9Cz0tuDiY8C3ctxq1tqvaCgkFb8cCA/edit?usp=sharing"",""อำนาจเจริญ!J46"")"),0)</f>
        <v>0</v>
      </c>
      <c r="Y51" s="79">
        <f t="shared" ca="1" si="12"/>
        <v>0</v>
      </c>
      <c r="Z51" s="77">
        <f ca="1">IFERROR(__xludf.DUMMYFUNCTION("IMPORTRANGE(""https://docs.google.com/spreadsheets/d/1XL5vhW3sbDhbH9Cz0tuDiY8C3ctxq1tqvaCgkFb8cCA/edit?usp=sharing"",""อำนาจเจริญ!J47"")"),0)</f>
        <v>0</v>
      </c>
      <c r="AA51" s="137">
        <f t="shared" ca="1" si="13"/>
        <v>0</v>
      </c>
      <c r="AB51" s="77">
        <f ca="1">IFERROR(__xludf.DUMMYFUNCTION("IMPORTRANGE(""https://docs.google.com/spreadsheets/d/1C3CXT74ZlgGe6_JY_1olB1XN4rF0dxEuIIF-xsYjHgg/edit?usp=sharing"",""พรบ!W55"")"),0)</f>
        <v>0</v>
      </c>
      <c r="AC51" s="77">
        <f ca="1">IFERROR(__xludf.DUMMYFUNCTION("IMPORTRANGE(""https://docs.google.com/spreadsheets/d/1XL5vhW3sbDhbH9Cz0tuDiY8C3ctxq1tqvaCgkFb8cCA/edit?usp=sharing"",""อำนาจเจริญ!J48"")"),0)</f>
        <v>0</v>
      </c>
      <c r="AD51" s="137">
        <f t="shared" ca="1" si="15"/>
        <v>0</v>
      </c>
    </row>
    <row r="52" spans="1:30" ht="21" customHeight="1">
      <c r="A52" s="73">
        <v>19</v>
      </c>
      <c r="B52" s="74" t="s">
        <v>76</v>
      </c>
      <c r="C52" s="75">
        <f t="shared" ca="1" si="0"/>
        <v>0</v>
      </c>
      <c r="D52" s="76">
        <f t="shared" ca="1" si="41"/>
        <v>0</v>
      </c>
      <c r="E52" s="77">
        <f ca="1">IFERROR(__xludf.DUMMYFUNCTION("IMPORTRANGE(""https://docs.google.com/spreadsheets/d/1C3CXT74ZlgGe6_JY_1olB1XN4rF0dxEuIIF-xsYjHgg/edit?usp=sharing"",""พรบ!P56"")"),0)</f>
        <v>0</v>
      </c>
      <c r="F52" s="77">
        <f ca="1">IFERROR(__xludf.DUMMYFUNCTION("IMPORTRANGE(""https://docs.google.com/spreadsheets/d/1C3CXT74ZlgGe6_JY_1olB1XN4rF0dxEuIIF-xsYjHgg/edit?usp=sharing"",""พรบ!Q56"")"),0)</f>
        <v>0</v>
      </c>
      <c r="G52" s="77">
        <f ca="1">IFERROR(__xludf.DUMMYFUNCTION("IMPORTRANGE(""https://docs.google.com/spreadsheets/d/1Yj_ptqi66GCucihVvJfMjLAmec39IyEx_6qawtMGysU/edit?usp=sharing"",""สบก!AP56"")"),0)</f>
        <v>0</v>
      </c>
      <c r="H52" s="77">
        <f ca="1">IFERROR(__xludf.DUMMYFUNCTION("IMPORTRANGE(""https://docs.google.com/spreadsheets/d/1Yj_ptqi66GCucihVvJfMjLAmec39IyEx_6qawtMGysU/edit?usp=sharing"",""สบก!AR56"")"),0)</f>
        <v>0</v>
      </c>
      <c r="I52" s="77">
        <f t="shared" ca="1" si="3"/>
        <v>0</v>
      </c>
      <c r="J52" s="137">
        <f t="shared" ca="1" si="4"/>
        <v>0</v>
      </c>
      <c r="K52" s="77">
        <f ca="1">IFERROR(__xludf.DUMMYFUNCTION("IMPORTRANGE(""https://docs.google.com/spreadsheets/d/1Yj_ptqi66GCucihVvJfMjLAmec39IyEx_6qawtMGysU/edit?usp=sharing"",""สบก!AS56"")"),0)</f>
        <v>0</v>
      </c>
      <c r="L52" s="137">
        <f t="shared" ca="1" si="5"/>
        <v>0</v>
      </c>
      <c r="M52" s="137">
        <f t="shared" ca="1" si="6"/>
        <v>0</v>
      </c>
      <c r="N52" s="137">
        <f ca="1">IFERROR(__xludf.DUMMYFUNCTION("IMPORTRANGE(""https://docs.google.com/spreadsheets/d/1Yj_ptqi66GCucihVvJfMjLAmec39IyEx_6qawtMGysU/edit?usp=sharing"",""สบก!AT56"")"),0)</f>
        <v>0</v>
      </c>
      <c r="O52" s="137">
        <f t="shared" ca="1" si="7"/>
        <v>0</v>
      </c>
      <c r="P52" s="77">
        <f ca="1">IFERROR(__xludf.DUMMYFUNCTION("IMPORTRANGE(""https://docs.google.com/spreadsheets/d/1C3CXT74ZlgGe6_JY_1olB1XN4rF0dxEuIIF-xsYjHgg/edit?usp=sharing"",""พรบ!R56"")"),0)</f>
        <v>0</v>
      </c>
      <c r="Q52" s="77">
        <f ca="1">IFERROR(__xludf.DUMMYFUNCTION("IMPORTRANGE(""https://docs.google.com/spreadsheets/d/1XL5vhW3sbDhbH9Cz0tuDiY8C3ctxq1tqvaCgkFb8cCA/edit?usp=sharing"",""อุดรธานี!J43"")"),0)</f>
        <v>0</v>
      </c>
      <c r="R52" s="79">
        <f t="shared" ca="1" si="9"/>
        <v>0</v>
      </c>
      <c r="S52" s="77">
        <f ca="1">IFERROR(__xludf.DUMMYFUNCTION("IMPORTRANGE(""https://docs.google.com/spreadsheets/d/1C3CXT74ZlgGe6_JY_1olB1XN4rF0dxEuIIF-xsYjHgg/edit?usp=sharing"",""พรบ!S56"")"),0)</f>
        <v>0</v>
      </c>
      <c r="T52" s="77">
        <f ca="1">IFERROR(__xludf.DUMMYFUNCTION("IMPORTRANGE(""https://docs.google.com/spreadsheets/d/1XL5vhW3sbDhbH9Cz0tuDiY8C3ctxq1tqvaCgkFb8cCA/edit?usp=sharing"",""อุดรธานี!J44"")"),0)</f>
        <v>0</v>
      </c>
      <c r="U52" s="79">
        <f t="shared" ca="1" si="10"/>
        <v>0</v>
      </c>
      <c r="V52" s="77">
        <f ca="1">IFERROR(__xludf.DUMMYFUNCTION("IMPORTRANGE(""https://docs.google.com/spreadsheets/d/1XL5vhW3sbDhbH9Cz0tuDiY8C3ctxq1tqvaCgkFb8cCA/edit?usp=sharing"",""อุดรธานี!J45"")"),0)</f>
        <v>0</v>
      </c>
      <c r="W52" s="79">
        <f t="shared" ca="1" si="11"/>
        <v>0</v>
      </c>
      <c r="X52" s="77">
        <f ca="1">IFERROR(__xludf.DUMMYFUNCTION("IMPORTRANGE(""https://docs.google.com/spreadsheets/d/1XL5vhW3sbDhbH9Cz0tuDiY8C3ctxq1tqvaCgkFb8cCA/edit?usp=sharing"",""อุดรธานี!J46"")"),0)</f>
        <v>0</v>
      </c>
      <c r="Y52" s="79">
        <f t="shared" ca="1" si="12"/>
        <v>0</v>
      </c>
      <c r="Z52" s="77">
        <f ca="1">IFERROR(__xludf.DUMMYFUNCTION("IMPORTRANGE(""https://docs.google.com/spreadsheets/d/1XL5vhW3sbDhbH9Cz0tuDiY8C3ctxq1tqvaCgkFb8cCA/edit?usp=sharing"",""อุดรธานี!J47"")"),0)</f>
        <v>0</v>
      </c>
      <c r="AA52" s="137">
        <f t="shared" ca="1" si="13"/>
        <v>0</v>
      </c>
      <c r="AB52" s="77">
        <f ca="1">IFERROR(__xludf.DUMMYFUNCTION("IMPORTRANGE(""https://docs.google.com/spreadsheets/d/1C3CXT74ZlgGe6_JY_1olB1XN4rF0dxEuIIF-xsYjHgg/edit?usp=sharing"",""พรบ!W56"")"),0)</f>
        <v>0</v>
      </c>
      <c r="AC52" s="77">
        <f ca="1">IFERROR(__xludf.DUMMYFUNCTION("IMPORTRANGE(""https://docs.google.com/spreadsheets/d/1XL5vhW3sbDhbH9Cz0tuDiY8C3ctxq1tqvaCgkFb8cCA/edit?usp=sharing"",""อุดรธานี!J48"")"),0)</f>
        <v>0</v>
      </c>
      <c r="AD52" s="137">
        <f t="shared" ca="1" si="15"/>
        <v>0</v>
      </c>
    </row>
    <row r="53" spans="1:30" ht="21" customHeight="1">
      <c r="A53" s="84">
        <v>20</v>
      </c>
      <c r="B53" s="85" t="s">
        <v>77</v>
      </c>
      <c r="C53" s="86">
        <f t="shared" ca="1" si="0"/>
        <v>214100</v>
      </c>
      <c r="D53" s="87">
        <f t="shared" ca="1" si="41"/>
        <v>122100</v>
      </c>
      <c r="E53" s="88">
        <f ca="1">IFERROR(__xludf.DUMMYFUNCTION("IMPORTRANGE(""https://docs.google.com/spreadsheets/d/1C3CXT74ZlgGe6_JY_1olB1XN4rF0dxEuIIF-xsYjHgg/edit?usp=sharing"",""พรบ!P57"")"),0)</f>
        <v>0</v>
      </c>
      <c r="F53" s="88">
        <f ca="1">IFERROR(__xludf.DUMMYFUNCTION("IMPORTRANGE(""https://docs.google.com/spreadsheets/d/1C3CXT74ZlgGe6_JY_1olB1XN4rF0dxEuIIF-xsYjHgg/edit?usp=sharing"",""พรบ!Q57"")"),122100)</f>
        <v>122100</v>
      </c>
      <c r="G53" s="88">
        <f ca="1">IFERROR(__xludf.DUMMYFUNCTION("IMPORTRANGE(""https://docs.google.com/spreadsheets/d/1Yj_ptqi66GCucihVvJfMjLAmec39IyEx_6qawtMGysU/edit?usp=sharing"",""สบก!AP57"")"),92000)</f>
        <v>92000</v>
      </c>
      <c r="H53" s="88">
        <f ca="1">IFERROR(__xludf.DUMMYFUNCTION("IMPORTRANGE(""https://docs.google.com/spreadsheets/d/1Yj_ptqi66GCucihVvJfMjLAmec39IyEx_6qawtMGysU/edit?usp=sharing"",""สบก!AR57"")"),122100)</f>
        <v>122100</v>
      </c>
      <c r="I53" s="88">
        <f t="shared" ca="1" si="3"/>
        <v>136189.29999999999</v>
      </c>
      <c r="J53" s="138">
        <f t="shared" ca="1" si="4"/>
        <v>63.610135450723952</v>
      </c>
      <c r="K53" s="88">
        <f ca="1">IFERROR(__xludf.DUMMYFUNCTION("IMPORTRANGE(""https://docs.google.com/spreadsheets/d/1Yj_ptqi66GCucihVvJfMjLAmec39IyEx_6qawtMGysU/edit?usp=sharing"",""สบก!AS57"")"),44189.3)</f>
        <v>44189.3</v>
      </c>
      <c r="L53" s="138">
        <f t="shared" ca="1" si="5"/>
        <v>36.191072891072892</v>
      </c>
      <c r="M53" s="138">
        <f t="shared" ca="1" si="6"/>
        <v>36.191072891072892</v>
      </c>
      <c r="N53" s="138">
        <f ca="1">IFERROR(__xludf.DUMMYFUNCTION("IMPORTRANGE(""https://docs.google.com/spreadsheets/d/1Yj_ptqi66GCucihVvJfMjLAmec39IyEx_6qawtMGysU/edit?usp=sharing"",""สบก!AT57"")"),92000)</f>
        <v>92000</v>
      </c>
      <c r="O53" s="138">
        <f t="shared" ca="1" si="7"/>
        <v>100</v>
      </c>
      <c r="P53" s="88">
        <f ca="1">IFERROR(__xludf.DUMMYFUNCTION("IMPORTRANGE(""https://docs.google.com/spreadsheets/d/1C3CXT74ZlgGe6_JY_1olB1XN4rF0dxEuIIF-xsYjHgg/edit?usp=sharing"",""พรบ!R57"")"),1)</f>
        <v>1</v>
      </c>
      <c r="Q53" s="88">
        <f ca="1">IFERROR(__xludf.DUMMYFUNCTION("IMPORTRANGE(""https://docs.google.com/spreadsheets/d/1XL5vhW3sbDhbH9Cz0tuDiY8C3ctxq1tqvaCgkFb8cCA/edit?usp=sharing"",""อุบลราชธานี!J43"")"),1)</f>
        <v>1</v>
      </c>
      <c r="R53" s="90">
        <f t="shared" ca="1" si="9"/>
        <v>100</v>
      </c>
      <c r="S53" s="88">
        <f ca="1">IFERROR(__xludf.DUMMYFUNCTION("IMPORTRANGE(""https://docs.google.com/spreadsheets/d/1C3CXT74ZlgGe6_JY_1olB1XN4rF0dxEuIIF-xsYjHgg/edit?usp=sharing"",""พรบ!S57"")"),4)</f>
        <v>4</v>
      </c>
      <c r="T53" s="88">
        <f ca="1">IFERROR(__xludf.DUMMYFUNCTION("IMPORTRANGE(""https://docs.google.com/spreadsheets/d/1XL5vhW3sbDhbH9Cz0tuDiY8C3ctxq1tqvaCgkFb8cCA/edit?usp=sharing"",""อุบลราชธานี!J44"")"),4)</f>
        <v>4</v>
      </c>
      <c r="U53" s="90">
        <f t="shared" ca="1" si="10"/>
        <v>100</v>
      </c>
      <c r="V53" s="88">
        <f ca="1">IFERROR(__xludf.DUMMYFUNCTION("IMPORTRANGE(""https://docs.google.com/spreadsheets/d/1XL5vhW3sbDhbH9Cz0tuDiY8C3ctxq1tqvaCgkFb8cCA/edit?usp=sharing"",""อุบลราชธานี!J45"")"),4)</f>
        <v>4</v>
      </c>
      <c r="W53" s="90">
        <f t="shared" ca="1" si="11"/>
        <v>100</v>
      </c>
      <c r="X53" s="88">
        <f ca="1">IFERROR(__xludf.DUMMYFUNCTION("IMPORTRANGE(""https://docs.google.com/spreadsheets/d/1XL5vhW3sbDhbH9Cz0tuDiY8C3ctxq1tqvaCgkFb8cCA/edit?usp=sharing"",""อุบลราชธานี!J46"")"),4)</f>
        <v>4</v>
      </c>
      <c r="Y53" s="90">
        <f t="shared" ca="1" si="12"/>
        <v>100</v>
      </c>
      <c r="Z53" s="88">
        <f ca="1">IFERROR(__xludf.DUMMYFUNCTION("IMPORTRANGE(""https://docs.google.com/spreadsheets/d/1XL5vhW3sbDhbH9Cz0tuDiY8C3ctxq1tqvaCgkFb8cCA/edit?usp=sharing"",""อุบลราชธานี!J47"")"),4)</f>
        <v>4</v>
      </c>
      <c r="AA53" s="138">
        <f t="shared" ca="1" si="13"/>
        <v>100</v>
      </c>
      <c r="AB53" s="88">
        <f ca="1">IFERROR(__xludf.DUMMYFUNCTION("IMPORTRANGE(""https://docs.google.com/spreadsheets/d/1C3CXT74ZlgGe6_JY_1olB1XN4rF0dxEuIIF-xsYjHgg/edit?usp=sharing"",""พรบ!W57"")"),1)</f>
        <v>1</v>
      </c>
      <c r="AC53" s="88">
        <f ca="1">IFERROR(__xludf.DUMMYFUNCTION("IMPORTRANGE(""https://docs.google.com/spreadsheets/d/1XL5vhW3sbDhbH9Cz0tuDiY8C3ctxq1tqvaCgkFb8cCA/edit?usp=sharing"",""อุบลราชธานี!J48"")"),1)</f>
        <v>1</v>
      </c>
      <c r="AD53" s="138">
        <f t="shared" ca="1" si="15"/>
        <v>100</v>
      </c>
    </row>
    <row r="54" spans="1:30" ht="21" customHeight="1">
      <c r="A54" s="679" t="s">
        <v>78</v>
      </c>
      <c r="B54" s="678"/>
      <c r="C54" s="94">
        <f t="shared" ca="1" si="0"/>
        <v>1493740</v>
      </c>
      <c r="D54" s="95">
        <f t="shared" ref="D54:H54" ca="1" si="42">SUM(D55:D75)</f>
        <v>754540</v>
      </c>
      <c r="E54" s="95">
        <f t="shared" ca="1" si="42"/>
        <v>0</v>
      </c>
      <c r="F54" s="95">
        <f t="shared" ca="1" si="42"/>
        <v>754540</v>
      </c>
      <c r="G54" s="95">
        <f t="shared" ca="1" si="42"/>
        <v>739200</v>
      </c>
      <c r="H54" s="95">
        <f t="shared" ca="1" si="42"/>
        <v>754540</v>
      </c>
      <c r="I54" s="95">
        <f t="shared" ca="1" si="3"/>
        <v>1038485.36</v>
      </c>
      <c r="J54" s="139">
        <f t="shared" ca="1" si="4"/>
        <v>69.522497891199265</v>
      </c>
      <c r="K54" s="95">
        <f ca="1">SUM(K55:K75)</f>
        <v>299285.36</v>
      </c>
      <c r="L54" s="139">
        <f t="shared" ca="1" si="5"/>
        <v>39.664611551408804</v>
      </c>
      <c r="M54" s="139">
        <f t="shared" ca="1" si="6"/>
        <v>39.664611551408804</v>
      </c>
      <c r="N54" s="139">
        <f ca="1">SUM(N55:N75)</f>
        <v>739200</v>
      </c>
      <c r="O54" s="139">
        <f t="shared" ca="1" si="7"/>
        <v>100</v>
      </c>
      <c r="P54" s="95">
        <f t="shared" ref="P54:Q54" ca="1" si="43">SUM(P55:P75)</f>
        <v>6</v>
      </c>
      <c r="Q54" s="95">
        <f t="shared" ca="1" si="43"/>
        <v>5</v>
      </c>
      <c r="R54" s="97">
        <f t="shared" ca="1" si="9"/>
        <v>83.333333333333329</v>
      </c>
      <c r="S54" s="95">
        <f t="shared" ref="S54:T54" ca="1" si="44">SUM(S55:S75)</f>
        <v>29</v>
      </c>
      <c r="T54" s="95">
        <f t="shared" ca="1" si="44"/>
        <v>18</v>
      </c>
      <c r="U54" s="97">
        <f t="shared" ca="1" si="10"/>
        <v>62.068965517241381</v>
      </c>
      <c r="V54" s="95">
        <f ca="1">SUM(V55:V75)</f>
        <v>29</v>
      </c>
      <c r="W54" s="97">
        <f t="shared" ca="1" si="11"/>
        <v>100</v>
      </c>
      <c r="X54" s="95">
        <f ca="1">SUM(X55:X75)</f>
        <v>22</v>
      </c>
      <c r="Y54" s="97">
        <f t="shared" ca="1" si="12"/>
        <v>75.862068965517238</v>
      </c>
      <c r="Z54" s="95">
        <f ca="1">SUM(Z55:Z75)</f>
        <v>29</v>
      </c>
      <c r="AA54" s="139">
        <f t="shared" ca="1" si="13"/>
        <v>100</v>
      </c>
      <c r="AB54" s="95">
        <f t="shared" ref="AB54:AC54" ca="1" si="45">SUM(AB55:AB75)</f>
        <v>8</v>
      </c>
      <c r="AC54" s="95">
        <f t="shared" ca="1" si="45"/>
        <v>3</v>
      </c>
      <c r="AD54" s="139">
        <f t="shared" ca="1" si="15"/>
        <v>37.5</v>
      </c>
    </row>
    <row r="55" spans="1:30" ht="21" customHeight="1">
      <c r="A55" s="63">
        <v>1</v>
      </c>
      <c r="B55" s="64" t="s">
        <v>79</v>
      </c>
      <c r="C55" s="65">
        <f t="shared" ca="1" si="0"/>
        <v>318960</v>
      </c>
      <c r="D55" s="66">
        <f t="shared" ref="D55:D75" ca="1" si="46">+E55+F55</f>
        <v>134160</v>
      </c>
      <c r="E55" s="67">
        <f ca="1">IFERROR(__xludf.DUMMYFUNCTION("IMPORTRANGE(""https://docs.google.com/spreadsheets/d/1C3CXT74ZlgGe6_JY_1olB1XN4rF0dxEuIIF-xsYjHgg/edit?usp=sharing"",""พรบ!P59"")"),0)</f>
        <v>0</v>
      </c>
      <c r="F55" s="67">
        <f ca="1">IFERROR(__xludf.DUMMYFUNCTION("IMPORTRANGE(""https://docs.google.com/spreadsheets/d/1C3CXT74ZlgGe6_JY_1olB1XN4rF0dxEuIIF-xsYjHgg/edit?usp=sharing"",""พรบ!Q59"")"),134160)</f>
        <v>134160</v>
      </c>
      <c r="G55" s="67">
        <f ca="1">IFERROR(__xludf.DUMMYFUNCTION("IMPORTRANGE(""https://docs.google.com/spreadsheets/d/1Yj_ptqi66GCucihVvJfMjLAmec39IyEx_6qawtMGysU/edit?usp=sharing"",""สบก!AP59"")"),184800)</f>
        <v>184800</v>
      </c>
      <c r="H55" s="67">
        <f ca="1">IFERROR(__xludf.DUMMYFUNCTION("IMPORTRANGE(""https://docs.google.com/spreadsheets/d/1Yj_ptqi66GCucihVvJfMjLAmec39IyEx_6qawtMGysU/edit?usp=sharing"",""สบก!AR59"")"),134160)</f>
        <v>134160</v>
      </c>
      <c r="I55" s="67">
        <f t="shared" ca="1" si="3"/>
        <v>184800</v>
      </c>
      <c r="J55" s="136">
        <f t="shared" ca="1" si="4"/>
        <v>57.93829947328819</v>
      </c>
      <c r="K55" s="67">
        <f ca="1">IFERROR(__xludf.DUMMYFUNCTION("IMPORTRANGE(""https://docs.google.com/spreadsheets/d/1Yj_ptqi66GCucihVvJfMjLAmec39IyEx_6qawtMGysU/edit?usp=sharing"",""สบก!AS59"")"),0)</f>
        <v>0</v>
      </c>
      <c r="L55" s="136">
        <f t="shared" ca="1" si="5"/>
        <v>0</v>
      </c>
      <c r="M55" s="136">
        <f t="shared" ca="1" si="6"/>
        <v>0</v>
      </c>
      <c r="N55" s="136">
        <f ca="1">IFERROR(__xludf.DUMMYFUNCTION("IMPORTRANGE(""https://docs.google.com/spreadsheets/d/1Yj_ptqi66GCucihVvJfMjLAmec39IyEx_6qawtMGysU/edit?usp=sharing"",""สบก!AT59"")"),184800)</f>
        <v>184800</v>
      </c>
      <c r="O55" s="136">
        <f t="shared" ca="1" si="7"/>
        <v>100</v>
      </c>
      <c r="P55" s="67">
        <f ca="1">IFERROR(__xludf.DUMMYFUNCTION("IMPORTRANGE(""https://docs.google.com/spreadsheets/d/1C3CXT74ZlgGe6_JY_1olB1XN4rF0dxEuIIF-xsYjHgg/edit?usp=sharing"",""พรบ!R59"")"),1)</f>
        <v>1</v>
      </c>
      <c r="Q55" s="67">
        <f ca="1">IFERROR(__xludf.DUMMYFUNCTION("IMPORTRANGE(""https://docs.google.com/spreadsheets/d/1SX6NBoVAgQJ6U1MVXOaj8PK2l7WJ3RER9xtqwdhxkhw/edit?usp=sharing"",""กาญจนบุรี!J43"")"),1)</f>
        <v>1</v>
      </c>
      <c r="R55" s="70">
        <f t="shared" ca="1" si="9"/>
        <v>100</v>
      </c>
      <c r="S55" s="67">
        <f ca="1">IFERROR(__xludf.DUMMYFUNCTION("IMPORTRANGE(""https://docs.google.com/spreadsheets/d/1C3CXT74ZlgGe6_JY_1olB1XN4rF0dxEuIIF-xsYjHgg/edit?usp=sharing"",""พรบ!S59"")"),7)</f>
        <v>7</v>
      </c>
      <c r="T55" s="67">
        <f ca="1">IFERROR(__xludf.DUMMYFUNCTION("IMPORTRANGE(""https://docs.google.com/spreadsheets/d/1SX6NBoVAgQJ6U1MVXOaj8PK2l7WJ3RER9xtqwdhxkhw/edit?usp=sharing"",""กาญจนบุรี!J44"")"),0)</f>
        <v>0</v>
      </c>
      <c r="U55" s="70">
        <f t="shared" ca="1" si="10"/>
        <v>0</v>
      </c>
      <c r="V55" s="67">
        <f ca="1">IFERROR(__xludf.DUMMYFUNCTION("IMPORTRANGE(""https://docs.google.com/spreadsheets/d/1SX6NBoVAgQJ6U1MVXOaj8PK2l7WJ3RER9xtqwdhxkhw/edit?usp=sharing"",""กาญจนบุรี!J45"")"),7)</f>
        <v>7</v>
      </c>
      <c r="W55" s="70">
        <f t="shared" ca="1" si="11"/>
        <v>100</v>
      </c>
      <c r="X55" s="67">
        <f ca="1">IFERROR(__xludf.DUMMYFUNCTION("IMPORTRANGE(""https://docs.google.com/spreadsheets/d/1SX6NBoVAgQJ6U1MVXOaj8PK2l7WJ3RER9xtqwdhxkhw/edit?usp=sharing"",""กาญจนบุรี!J46"")"),0)</f>
        <v>0</v>
      </c>
      <c r="Y55" s="70">
        <f t="shared" ca="1" si="12"/>
        <v>0</v>
      </c>
      <c r="Z55" s="67">
        <f ca="1">IFERROR(__xludf.DUMMYFUNCTION("IMPORTRANGE(""https://docs.google.com/spreadsheets/d/1SX6NBoVAgQJ6U1MVXOaj8PK2l7WJ3RER9xtqwdhxkhw/edit?usp=sharing"",""กาญจนบุรี!J47"")"),7)</f>
        <v>7</v>
      </c>
      <c r="AA55" s="136">
        <f t="shared" ca="1" si="13"/>
        <v>100</v>
      </c>
      <c r="AB55" s="67">
        <f ca="1">IFERROR(__xludf.DUMMYFUNCTION("IMPORTRANGE(""https://docs.google.com/spreadsheets/d/1C3CXT74ZlgGe6_JY_1olB1XN4rF0dxEuIIF-xsYjHgg/edit?usp=sharing"",""พรบ!W59"")"),2)</f>
        <v>2</v>
      </c>
      <c r="AC55" s="67">
        <f ca="1">IFERROR(__xludf.DUMMYFUNCTION("IMPORTRANGE(""https://docs.google.com/spreadsheets/d/1SX6NBoVAgQJ6U1MVXOaj8PK2l7WJ3RER9xtqwdhxkhw/edit?usp=sharing"",""กาญจนบุรี!J48"")"),0)</f>
        <v>0</v>
      </c>
      <c r="AD55" s="136">
        <f t="shared" ca="1" si="15"/>
        <v>0</v>
      </c>
    </row>
    <row r="56" spans="1:30" ht="21" customHeight="1">
      <c r="A56" s="73">
        <v>2</v>
      </c>
      <c r="B56" s="74" t="s">
        <v>80</v>
      </c>
      <c r="C56" s="75">
        <f t="shared" ca="1" si="0"/>
        <v>0</v>
      </c>
      <c r="D56" s="76">
        <f t="shared" ca="1" si="46"/>
        <v>0</v>
      </c>
      <c r="E56" s="77">
        <f ca="1">IFERROR(__xludf.DUMMYFUNCTION("IMPORTRANGE(""https://docs.google.com/spreadsheets/d/1C3CXT74ZlgGe6_JY_1olB1XN4rF0dxEuIIF-xsYjHgg/edit?usp=sharing"",""พรบ!P60"")"),0)</f>
        <v>0</v>
      </c>
      <c r="F56" s="77">
        <f ca="1">IFERROR(__xludf.DUMMYFUNCTION("IMPORTRANGE(""https://docs.google.com/spreadsheets/d/1C3CXT74ZlgGe6_JY_1olB1XN4rF0dxEuIIF-xsYjHgg/edit?usp=sharing"",""พรบ!Q60"")"),0)</f>
        <v>0</v>
      </c>
      <c r="G56" s="77">
        <f ca="1">IFERROR(__xludf.DUMMYFUNCTION("IMPORTRANGE(""https://docs.google.com/spreadsheets/d/1Yj_ptqi66GCucihVvJfMjLAmec39IyEx_6qawtMGysU/edit?usp=sharing"",""สบก!AP60"")"),0)</f>
        <v>0</v>
      </c>
      <c r="H56" s="77">
        <f ca="1">IFERROR(__xludf.DUMMYFUNCTION("IMPORTRANGE(""https://docs.google.com/spreadsheets/d/1Yj_ptqi66GCucihVvJfMjLAmec39IyEx_6qawtMGysU/edit?usp=sharing"",""สบก!AR60"")"),0)</f>
        <v>0</v>
      </c>
      <c r="I56" s="77">
        <f t="shared" ca="1" si="3"/>
        <v>0</v>
      </c>
      <c r="J56" s="137">
        <f t="shared" ca="1" si="4"/>
        <v>0</v>
      </c>
      <c r="K56" s="77">
        <f ca="1">IFERROR(__xludf.DUMMYFUNCTION("IMPORTRANGE(""https://docs.google.com/spreadsheets/d/1Yj_ptqi66GCucihVvJfMjLAmec39IyEx_6qawtMGysU/edit?usp=sharing"",""สบก!AS60"")"),0)</f>
        <v>0</v>
      </c>
      <c r="L56" s="137">
        <f t="shared" ca="1" si="5"/>
        <v>0</v>
      </c>
      <c r="M56" s="137">
        <f t="shared" ca="1" si="6"/>
        <v>0</v>
      </c>
      <c r="N56" s="137">
        <f ca="1">IFERROR(__xludf.DUMMYFUNCTION("IMPORTRANGE(""https://docs.google.com/spreadsheets/d/1Yj_ptqi66GCucihVvJfMjLAmec39IyEx_6qawtMGysU/edit?usp=sharing"",""สบก!AT60"")"),0)</f>
        <v>0</v>
      </c>
      <c r="O56" s="137">
        <f t="shared" ca="1" si="7"/>
        <v>0</v>
      </c>
      <c r="P56" s="77">
        <f ca="1">IFERROR(__xludf.DUMMYFUNCTION("IMPORTRANGE(""https://docs.google.com/spreadsheets/d/1C3CXT74ZlgGe6_JY_1olB1XN4rF0dxEuIIF-xsYjHgg/edit?usp=sharing"",""พรบ!R60"")"),0)</f>
        <v>0</v>
      </c>
      <c r="Q56" s="77">
        <f ca="1">IFERROR(__xludf.DUMMYFUNCTION("IMPORTRANGE(""https://docs.google.com/spreadsheets/d/1SX6NBoVAgQJ6U1MVXOaj8PK2l7WJ3RER9xtqwdhxkhw/edit?usp=sharing"",""จันทบุรี!J43"")"),0)</f>
        <v>0</v>
      </c>
      <c r="R56" s="79">
        <f t="shared" ca="1" si="9"/>
        <v>0</v>
      </c>
      <c r="S56" s="77">
        <f ca="1">IFERROR(__xludf.DUMMYFUNCTION("IMPORTRANGE(""https://docs.google.com/spreadsheets/d/1C3CXT74ZlgGe6_JY_1olB1XN4rF0dxEuIIF-xsYjHgg/edit?usp=sharing"",""พรบ!S60"")"),0)</f>
        <v>0</v>
      </c>
      <c r="T56" s="77">
        <f ca="1">IFERROR(__xludf.DUMMYFUNCTION("IMPORTRANGE(""https://docs.google.com/spreadsheets/d/1SX6NBoVAgQJ6U1MVXOaj8PK2l7WJ3RER9xtqwdhxkhw/edit?usp=sharing"",""จันทบุรี!J44"")"),0)</f>
        <v>0</v>
      </c>
      <c r="U56" s="79">
        <f t="shared" ca="1" si="10"/>
        <v>0</v>
      </c>
      <c r="V56" s="77">
        <f ca="1">IFERROR(__xludf.DUMMYFUNCTION("IMPORTRANGE(""https://docs.google.com/spreadsheets/d/1SX6NBoVAgQJ6U1MVXOaj8PK2l7WJ3RER9xtqwdhxkhw/edit?usp=sharing"",""จันทบุรี!J45"")"),0)</f>
        <v>0</v>
      </c>
      <c r="W56" s="79">
        <f t="shared" ca="1" si="11"/>
        <v>0</v>
      </c>
      <c r="X56" s="77">
        <f ca="1">IFERROR(__xludf.DUMMYFUNCTION("IMPORTRANGE(""https://docs.google.com/spreadsheets/d/1SX6NBoVAgQJ6U1MVXOaj8PK2l7WJ3RER9xtqwdhxkhw/edit?usp=sharing"",""จันทบุรี!J46"")"),0)</f>
        <v>0</v>
      </c>
      <c r="Y56" s="79">
        <f t="shared" ca="1" si="12"/>
        <v>0</v>
      </c>
      <c r="Z56" s="77">
        <f ca="1">IFERROR(__xludf.DUMMYFUNCTION("IMPORTRANGE(""https://docs.google.com/spreadsheets/d/1SX6NBoVAgQJ6U1MVXOaj8PK2l7WJ3RER9xtqwdhxkhw/edit?usp=sharing"",""จันทบุรี!J47"")"),0)</f>
        <v>0</v>
      </c>
      <c r="AA56" s="137">
        <f t="shared" ca="1" si="13"/>
        <v>0</v>
      </c>
      <c r="AB56" s="77">
        <f ca="1">IFERROR(__xludf.DUMMYFUNCTION("IMPORTRANGE(""https://docs.google.com/spreadsheets/d/1C3CXT74ZlgGe6_JY_1olB1XN4rF0dxEuIIF-xsYjHgg/edit?usp=sharing"",""พรบ!W60"")"),0)</f>
        <v>0</v>
      </c>
      <c r="AC56" s="77">
        <f ca="1">IFERROR(__xludf.DUMMYFUNCTION("IMPORTRANGE(""https://docs.google.com/spreadsheets/d/1SX6NBoVAgQJ6U1MVXOaj8PK2l7WJ3RER9xtqwdhxkhw/edit?usp=sharing"",""จันทบุรี!J48"")"),0)</f>
        <v>0</v>
      </c>
      <c r="AD56" s="137">
        <f t="shared" ca="1" si="15"/>
        <v>0</v>
      </c>
    </row>
    <row r="57" spans="1:30" ht="21" customHeight="1">
      <c r="A57" s="73">
        <v>3</v>
      </c>
      <c r="B57" s="74" t="s">
        <v>81</v>
      </c>
      <c r="C57" s="75">
        <f t="shared" ca="1" si="0"/>
        <v>214500</v>
      </c>
      <c r="D57" s="76">
        <f t="shared" ca="1" si="46"/>
        <v>122100</v>
      </c>
      <c r="E57" s="77">
        <f ca="1">IFERROR(__xludf.DUMMYFUNCTION("IMPORTRANGE(""https://docs.google.com/spreadsheets/d/1C3CXT74ZlgGe6_JY_1olB1XN4rF0dxEuIIF-xsYjHgg/edit?usp=sharing"",""พรบ!P61"")"),0)</f>
        <v>0</v>
      </c>
      <c r="F57" s="77">
        <f ca="1">IFERROR(__xludf.DUMMYFUNCTION("IMPORTRANGE(""https://docs.google.com/spreadsheets/d/1C3CXT74ZlgGe6_JY_1olB1XN4rF0dxEuIIF-xsYjHgg/edit?usp=sharing"",""พรบ!Q61"")"),122100)</f>
        <v>122100</v>
      </c>
      <c r="G57" s="77">
        <f ca="1">IFERROR(__xludf.DUMMYFUNCTION("IMPORTRANGE(""https://docs.google.com/spreadsheets/d/1Yj_ptqi66GCucihVvJfMjLAmec39IyEx_6qawtMGysU/edit?usp=sharing"",""สบก!AP61"")"),92400)</f>
        <v>92400</v>
      </c>
      <c r="H57" s="77">
        <f ca="1">IFERROR(__xludf.DUMMYFUNCTION("IMPORTRANGE(""https://docs.google.com/spreadsheets/d/1Yj_ptqi66GCucihVvJfMjLAmec39IyEx_6qawtMGysU/edit?usp=sharing"",""สบก!AR61"")"),122100)</f>
        <v>122100</v>
      </c>
      <c r="I57" s="77">
        <f t="shared" ca="1" si="3"/>
        <v>125970</v>
      </c>
      <c r="J57" s="137">
        <f t="shared" ca="1" si="4"/>
        <v>58.727272727272727</v>
      </c>
      <c r="K57" s="77">
        <f ca="1">IFERROR(__xludf.DUMMYFUNCTION("IMPORTRANGE(""https://docs.google.com/spreadsheets/d/1Yj_ptqi66GCucihVvJfMjLAmec39IyEx_6qawtMGysU/edit?usp=sharing"",""สบก!AS61"")"),33570)</f>
        <v>33570</v>
      </c>
      <c r="L57" s="137">
        <f t="shared" ca="1" si="5"/>
        <v>27.493857493857494</v>
      </c>
      <c r="M57" s="137">
        <f t="shared" ca="1" si="6"/>
        <v>27.493857493857494</v>
      </c>
      <c r="N57" s="137">
        <f ca="1">IFERROR(__xludf.DUMMYFUNCTION("IMPORTRANGE(""https://docs.google.com/spreadsheets/d/1Yj_ptqi66GCucihVvJfMjLAmec39IyEx_6qawtMGysU/edit?usp=sharing"",""สบก!AT61"")"),92400)</f>
        <v>92400</v>
      </c>
      <c r="O57" s="137">
        <f t="shared" ca="1" si="7"/>
        <v>100</v>
      </c>
      <c r="P57" s="77">
        <f ca="1">IFERROR(__xludf.DUMMYFUNCTION("IMPORTRANGE(""https://docs.google.com/spreadsheets/d/1C3CXT74ZlgGe6_JY_1olB1XN4rF0dxEuIIF-xsYjHgg/edit?usp=sharing"",""พรบ!R61"")"),1)</f>
        <v>1</v>
      </c>
      <c r="Q57" s="77">
        <f ca="1">IFERROR(__xludf.DUMMYFUNCTION("IMPORTRANGE(""https://docs.google.com/spreadsheets/d/1SX6NBoVAgQJ6U1MVXOaj8PK2l7WJ3RER9xtqwdhxkhw/edit?usp=sharing"",""ฉะเชิงเทรา!J43"")"),1)</f>
        <v>1</v>
      </c>
      <c r="R57" s="79">
        <f t="shared" ca="1" si="9"/>
        <v>100</v>
      </c>
      <c r="S57" s="77">
        <f ca="1">IFERROR(__xludf.DUMMYFUNCTION("IMPORTRANGE(""https://docs.google.com/spreadsheets/d/1C3CXT74ZlgGe6_JY_1olB1XN4rF0dxEuIIF-xsYjHgg/edit?usp=sharing"",""พรบ!S61"")"),4)</f>
        <v>4</v>
      </c>
      <c r="T57" s="77">
        <f ca="1">IFERROR(__xludf.DUMMYFUNCTION("IMPORTRANGE(""https://docs.google.com/spreadsheets/d/1SX6NBoVAgQJ6U1MVXOaj8PK2l7WJ3RER9xtqwdhxkhw/edit?usp=sharing"",""ฉะเชิงเทรา!J44"")"),4)</f>
        <v>4</v>
      </c>
      <c r="U57" s="79">
        <f t="shared" ca="1" si="10"/>
        <v>100</v>
      </c>
      <c r="V57" s="77">
        <f ca="1">IFERROR(__xludf.DUMMYFUNCTION("IMPORTRANGE(""https://docs.google.com/spreadsheets/d/1SX6NBoVAgQJ6U1MVXOaj8PK2l7WJ3RER9xtqwdhxkhw/edit?usp=sharing"",""ฉะเชิงเทรา!J45"")"),4)</f>
        <v>4</v>
      </c>
      <c r="W57" s="79">
        <f t="shared" ca="1" si="11"/>
        <v>100</v>
      </c>
      <c r="X57" s="77">
        <f ca="1">IFERROR(__xludf.DUMMYFUNCTION("IMPORTRANGE(""https://docs.google.com/spreadsheets/d/1SX6NBoVAgQJ6U1MVXOaj8PK2l7WJ3RER9xtqwdhxkhw/edit?usp=sharing"",""ฉะเชิงเทรา!J46"")"),4)</f>
        <v>4</v>
      </c>
      <c r="Y57" s="79">
        <f t="shared" ca="1" si="12"/>
        <v>100</v>
      </c>
      <c r="Z57" s="77">
        <f ca="1">IFERROR(__xludf.DUMMYFUNCTION("IMPORTRANGE(""https://docs.google.com/spreadsheets/d/1SX6NBoVAgQJ6U1MVXOaj8PK2l7WJ3RER9xtqwdhxkhw/edit?usp=sharing"",""ฉะเชิงเทรา!J47"")"),4)</f>
        <v>4</v>
      </c>
      <c r="AA57" s="137">
        <f t="shared" ca="1" si="13"/>
        <v>100</v>
      </c>
      <c r="AB57" s="77">
        <f ca="1">IFERROR(__xludf.DUMMYFUNCTION("IMPORTRANGE(""https://docs.google.com/spreadsheets/d/1C3CXT74ZlgGe6_JY_1olB1XN4rF0dxEuIIF-xsYjHgg/edit?usp=sharing"",""พรบ!W61"")"),1)</f>
        <v>1</v>
      </c>
      <c r="AC57" s="77">
        <f ca="1">IFERROR(__xludf.DUMMYFUNCTION("IMPORTRANGE(""https://docs.google.com/spreadsheets/d/1SX6NBoVAgQJ6U1MVXOaj8PK2l7WJ3RER9xtqwdhxkhw/edit?usp=sharing"",""ฉะเชิงเทรา!J48"")"),1)</f>
        <v>1</v>
      </c>
      <c r="AD57" s="137">
        <f t="shared" ca="1" si="15"/>
        <v>100</v>
      </c>
    </row>
    <row r="58" spans="1:30" ht="21" customHeight="1">
      <c r="A58" s="73">
        <v>4</v>
      </c>
      <c r="B58" s="74" t="s">
        <v>82</v>
      </c>
      <c r="C58" s="75">
        <f t="shared" ca="1" si="0"/>
        <v>214500</v>
      </c>
      <c r="D58" s="76">
        <f t="shared" ca="1" si="46"/>
        <v>122100</v>
      </c>
      <c r="E58" s="77">
        <f ca="1">IFERROR(__xludf.DUMMYFUNCTION("IMPORTRANGE(""https://docs.google.com/spreadsheets/d/1C3CXT74ZlgGe6_JY_1olB1XN4rF0dxEuIIF-xsYjHgg/edit?usp=sharing"",""พรบ!P62"")"),0)</f>
        <v>0</v>
      </c>
      <c r="F58" s="77">
        <f ca="1">IFERROR(__xludf.DUMMYFUNCTION("IMPORTRANGE(""https://docs.google.com/spreadsheets/d/1C3CXT74ZlgGe6_JY_1olB1XN4rF0dxEuIIF-xsYjHgg/edit?usp=sharing"",""พรบ!Q62"")"),122100)</f>
        <v>122100</v>
      </c>
      <c r="G58" s="77">
        <f ca="1">IFERROR(__xludf.DUMMYFUNCTION("IMPORTRANGE(""https://docs.google.com/spreadsheets/d/1Yj_ptqi66GCucihVvJfMjLAmec39IyEx_6qawtMGysU/edit?usp=sharing"",""สบก!AP62"")"),92400)</f>
        <v>92400</v>
      </c>
      <c r="H58" s="77">
        <f ca="1">IFERROR(__xludf.DUMMYFUNCTION("IMPORTRANGE(""https://docs.google.com/spreadsheets/d/1Yj_ptqi66GCucihVvJfMjLAmec39IyEx_6qawtMGysU/edit?usp=sharing"",""สบก!AR62"")"),122100)</f>
        <v>122100</v>
      </c>
      <c r="I58" s="77">
        <f t="shared" ca="1" si="3"/>
        <v>146989</v>
      </c>
      <c r="J58" s="137">
        <f t="shared" ca="1" si="4"/>
        <v>68.526340326340332</v>
      </c>
      <c r="K58" s="77">
        <f ca="1">IFERROR(__xludf.DUMMYFUNCTION("IMPORTRANGE(""https://docs.google.com/spreadsheets/d/1Yj_ptqi66GCucihVvJfMjLAmec39IyEx_6qawtMGysU/edit?usp=sharing"",""สบก!AS62"")"),54589)</f>
        <v>54589</v>
      </c>
      <c r="L58" s="137">
        <f t="shared" ca="1" si="5"/>
        <v>44.708435708435708</v>
      </c>
      <c r="M58" s="137">
        <f t="shared" ca="1" si="6"/>
        <v>44.708435708435708</v>
      </c>
      <c r="N58" s="137">
        <f ca="1">IFERROR(__xludf.DUMMYFUNCTION("IMPORTRANGE(""https://docs.google.com/spreadsheets/d/1Yj_ptqi66GCucihVvJfMjLAmec39IyEx_6qawtMGysU/edit?usp=sharing"",""สบก!AT62"")"),92400)</f>
        <v>92400</v>
      </c>
      <c r="O58" s="137">
        <f t="shared" ca="1" si="7"/>
        <v>100</v>
      </c>
      <c r="P58" s="77">
        <f ca="1">IFERROR(__xludf.DUMMYFUNCTION("IMPORTRANGE(""https://docs.google.com/spreadsheets/d/1C3CXT74ZlgGe6_JY_1olB1XN4rF0dxEuIIF-xsYjHgg/edit?usp=sharing"",""พรบ!R62"")"),1)</f>
        <v>1</v>
      </c>
      <c r="Q58" s="77">
        <f ca="1">IFERROR(__xludf.DUMMYFUNCTION("IMPORTRANGE(""https://docs.google.com/spreadsheets/d/1SX6NBoVAgQJ6U1MVXOaj8PK2l7WJ3RER9xtqwdhxkhw/edit?usp=sharing"",""ชลบุรี!J43"")"),0)</f>
        <v>0</v>
      </c>
      <c r="R58" s="79">
        <f t="shared" ca="1" si="9"/>
        <v>0</v>
      </c>
      <c r="S58" s="77">
        <f ca="1">IFERROR(__xludf.DUMMYFUNCTION("IMPORTRANGE(""https://docs.google.com/spreadsheets/d/1C3CXT74ZlgGe6_JY_1olB1XN4rF0dxEuIIF-xsYjHgg/edit?usp=sharing"",""พรบ!S62"")"),4)</f>
        <v>4</v>
      </c>
      <c r="T58" s="77">
        <f ca="1">IFERROR(__xludf.DUMMYFUNCTION("IMPORTRANGE(""https://docs.google.com/spreadsheets/d/1SX6NBoVAgQJ6U1MVXOaj8PK2l7WJ3RER9xtqwdhxkhw/edit?usp=sharing"",""ชลบุรี!J44"")"),0)</f>
        <v>0</v>
      </c>
      <c r="U58" s="79">
        <f t="shared" ca="1" si="10"/>
        <v>0</v>
      </c>
      <c r="V58" s="77">
        <f ca="1">IFERROR(__xludf.DUMMYFUNCTION("IMPORTRANGE(""https://docs.google.com/spreadsheets/d/1SX6NBoVAgQJ6U1MVXOaj8PK2l7WJ3RER9xtqwdhxkhw/edit?usp=sharing"",""ชลบุรี!J45"")"),4)</f>
        <v>4</v>
      </c>
      <c r="W58" s="79">
        <f t="shared" ca="1" si="11"/>
        <v>100</v>
      </c>
      <c r="X58" s="77">
        <f ca="1">IFERROR(__xludf.DUMMYFUNCTION("IMPORTRANGE(""https://docs.google.com/spreadsheets/d/1SX6NBoVAgQJ6U1MVXOaj8PK2l7WJ3RER9xtqwdhxkhw/edit?usp=sharing"",""ชลบุรี!J46"")"),4)</f>
        <v>4</v>
      </c>
      <c r="Y58" s="79">
        <f t="shared" ca="1" si="12"/>
        <v>100</v>
      </c>
      <c r="Z58" s="77">
        <f ca="1">IFERROR(__xludf.DUMMYFUNCTION("IMPORTRANGE(""https://docs.google.com/spreadsheets/d/1SX6NBoVAgQJ6U1MVXOaj8PK2l7WJ3RER9xtqwdhxkhw/edit?usp=sharing"",""ชลบุรี!J47"")"),4)</f>
        <v>4</v>
      </c>
      <c r="AA58" s="137">
        <f t="shared" ca="1" si="13"/>
        <v>100</v>
      </c>
      <c r="AB58" s="77">
        <f ca="1">IFERROR(__xludf.DUMMYFUNCTION("IMPORTRANGE(""https://docs.google.com/spreadsheets/d/1C3CXT74ZlgGe6_JY_1olB1XN4rF0dxEuIIF-xsYjHgg/edit?usp=sharing"",""พรบ!W62"")"),1)</f>
        <v>1</v>
      </c>
      <c r="AC58" s="77">
        <f ca="1">IFERROR(__xludf.DUMMYFUNCTION("IMPORTRANGE(""https://docs.google.com/spreadsheets/d/1SX6NBoVAgQJ6U1MVXOaj8PK2l7WJ3RER9xtqwdhxkhw/edit?usp=sharing"",""ชลบุรี!J48"")"),1)</f>
        <v>1</v>
      </c>
      <c r="AD58" s="137">
        <f t="shared" ca="1" si="15"/>
        <v>100</v>
      </c>
    </row>
    <row r="59" spans="1:30" ht="21" customHeight="1">
      <c r="A59" s="73">
        <v>5</v>
      </c>
      <c r="B59" s="74" t="s">
        <v>83</v>
      </c>
      <c r="C59" s="75">
        <f t="shared" ca="1" si="0"/>
        <v>0</v>
      </c>
      <c r="D59" s="76">
        <f t="shared" ca="1" si="46"/>
        <v>0</v>
      </c>
      <c r="E59" s="77">
        <f ca="1">IFERROR(__xludf.DUMMYFUNCTION("IMPORTRANGE(""https://docs.google.com/spreadsheets/d/1C3CXT74ZlgGe6_JY_1olB1XN4rF0dxEuIIF-xsYjHgg/edit?usp=sharing"",""พรบ!P63"")"),0)</f>
        <v>0</v>
      </c>
      <c r="F59" s="77">
        <f ca="1">IFERROR(__xludf.DUMMYFUNCTION("IMPORTRANGE(""https://docs.google.com/spreadsheets/d/1C3CXT74ZlgGe6_JY_1olB1XN4rF0dxEuIIF-xsYjHgg/edit?usp=sharing"",""พรบ!Q63"")"),0)</f>
        <v>0</v>
      </c>
      <c r="G59" s="77">
        <f ca="1">IFERROR(__xludf.DUMMYFUNCTION("IMPORTRANGE(""https://docs.google.com/spreadsheets/d/1Yj_ptqi66GCucihVvJfMjLAmec39IyEx_6qawtMGysU/edit?usp=sharing"",""สบก!AP63"")"),0)</f>
        <v>0</v>
      </c>
      <c r="H59" s="77">
        <f ca="1">IFERROR(__xludf.DUMMYFUNCTION("IMPORTRANGE(""https://docs.google.com/spreadsheets/d/1Yj_ptqi66GCucihVvJfMjLAmec39IyEx_6qawtMGysU/edit?usp=sharing"",""สบก!AR63"")"),0)</f>
        <v>0</v>
      </c>
      <c r="I59" s="77">
        <f t="shared" ca="1" si="3"/>
        <v>0</v>
      </c>
      <c r="J59" s="137">
        <f t="shared" ca="1" si="4"/>
        <v>0</v>
      </c>
      <c r="K59" s="77">
        <f ca="1">IFERROR(__xludf.DUMMYFUNCTION("IMPORTRANGE(""https://docs.google.com/spreadsheets/d/1Yj_ptqi66GCucihVvJfMjLAmec39IyEx_6qawtMGysU/edit?usp=sharing"",""สบก!AS63"")"),0)</f>
        <v>0</v>
      </c>
      <c r="L59" s="137">
        <f t="shared" ca="1" si="5"/>
        <v>0</v>
      </c>
      <c r="M59" s="137">
        <f t="shared" ca="1" si="6"/>
        <v>0</v>
      </c>
      <c r="N59" s="137">
        <f ca="1">IFERROR(__xludf.DUMMYFUNCTION("IMPORTRANGE(""https://docs.google.com/spreadsheets/d/1Yj_ptqi66GCucihVvJfMjLAmec39IyEx_6qawtMGysU/edit?usp=sharing"",""สบก!AT63"")"),0)</f>
        <v>0</v>
      </c>
      <c r="O59" s="137">
        <f t="shared" ca="1" si="7"/>
        <v>0</v>
      </c>
      <c r="P59" s="77">
        <f ca="1">IFERROR(__xludf.DUMMYFUNCTION("IMPORTRANGE(""https://docs.google.com/spreadsheets/d/1C3CXT74ZlgGe6_JY_1olB1XN4rF0dxEuIIF-xsYjHgg/edit?usp=sharing"",""พรบ!R63"")"),0)</f>
        <v>0</v>
      </c>
      <c r="Q59" s="77">
        <f ca="1">IFERROR(__xludf.DUMMYFUNCTION("IMPORTRANGE(""https://docs.google.com/spreadsheets/d/1SX6NBoVAgQJ6U1MVXOaj8PK2l7WJ3RER9xtqwdhxkhw/edit?usp=sharing"",""ชัยนาท!J43"")"),0)</f>
        <v>0</v>
      </c>
      <c r="R59" s="79">
        <f t="shared" ca="1" si="9"/>
        <v>0</v>
      </c>
      <c r="S59" s="77">
        <f ca="1">IFERROR(__xludf.DUMMYFUNCTION("IMPORTRANGE(""https://docs.google.com/spreadsheets/d/1C3CXT74ZlgGe6_JY_1olB1XN4rF0dxEuIIF-xsYjHgg/edit?usp=sharing"",""พรบ!S63"")"),0)</f>
        <v>0</v>
      </c>
      <c r="T59" s="77">
        <f ca="1">IFERROR(__xludf.DUMMYFUNCTION("IMPORTRANGE(""https://docs.google.com/spreadsheets/d/1SX6NBoVAgQJ6U1MVXOaj8PK2l7WJ3RER9xtqwdhxkhw/edit?usp=sharing"",""ชัยนาท!J44"")"),0)</f>
        <v>0</v>
      </c>
      <c r="U59" s="79">
        <f t="shared" ca="1" si="10"/>
        <v>0</v>
      </c>
      <c r="V59" s="77">
        <f ca="1">IFERROR(__xludf.DUMMYFUNCTION("IMPORTRANGE(""https://docs.google.com/spreadsheets/d/1SX6NBoVAgQJ6U1MVXOaj8PK2l7WJ3RER9xtqwdhxkhw/edit?usp=sharing"",""ชัยนาท!J45"")"),0)</f>
        <v>0</v>
      </c>
      <c r="W59" s="79">
        <f t="shared" ca="1" si="11"/>
        <v>0</v>
      </c>
      <c r="X59" s="77">
        <f ca="1">IFERROR(__xludf.DUMMYFUNCTION("IMPORTRANGE(""https://docs.google.com/spreadsheets/d/1SX6NBoVAgQJ6U1MVXOaj8PK2l7WJ3RER9xtqwdhxkhw/edit?usp=sharing"",""ชัยนาท!J46"")"),0)</f>
        <v>0</v>
      </c>
      <c r="Y59" s="79">
        <f t="shared" ca="1" si="12"/>
        <v>0</v>
      </c>
      <c r="Z59" s="77">
        <f ca="1">IFERROR(__xludf.DUMMYFUNCTION("IMPORTRANGE(""https://docs.google.com/spreadsheets/d/1SX6NBoVAgQJ6U1MVXOaj8PK2l7WJ3RER9xtqwdhxkhw/edit?usp=sharing"",""ชัยนาท!J47"")"),0)</f>
        <v>0</v>
      </c>
      <c r="AA59" s="137">
        <f t="shared" ca="1" si="13"/>
        <v>0</v>
      </c>
      <c r="AB59" s="77">
        <f ca="1">IFERROR(__xludf.DUMMYFUNCTION("IMPORTRANGE(""https://docs.google.com/spreadsheets/d/1C3CXT74ZlgGe6_JY_1olB1XN4rF0dxEuIIF-xsYjHgg/edit?usp=sharing"",""พรบ!W63"")"),0)</f>
        <v>0</v>
      </c>
      <c r="AC59" s="77">
        <f ca="1">IFERROR(__xludf.DUMMYFUNCTION("IMPORTRANGE(""https://docs.google.com/spreadsheets/d/1SX6NBoVAgQJ6U1MVXOaj8PK2l7WJ3RER9xtqwdhxkhw/edit?usp=sharing"",""ชัยนาท!J48"")"),0)</f>
        <v>0</v>
      </c>
      <c r="AD59" s="137">
        <f t="shared" ca="1" si="15"/>
        <v>0</v>
      </c>
    </row>
    <row r="60" spans="1:30" ht="21" customHeight="1">
      <c r="A60" s="73">
        <v>6</v>
      </c>
      <c r="B60" s="74" t="s">
        <v>84</v>
      </c>
      <c r="C60" s="75">
        <f t="shared" ca="1" si="0"/>
        <v>0</v>
      </c>
      <c r="D60" s="76">
        <f t="shared" ca="1" si="46"/>
        <v>0</v>
      </c>
      <c r="E60" s="77">
        <f ca="1">IFERROR(__xludf.DUMMYFUNCTION("IMPORTRANGE(""https://docs.google.com/spreadsheets/d/1C3CXT74ZlgGe6_JY_1olB1XN4rF0dxEuIIF-xsYjHgg/edit?usp=sharing"",""พรบ!P64"")"),0)</f>
        <v>0</v>
      </c>
      <c r="F60" s="77">
        <f ca="1">IFERROR(__xludf.DUMMYFUNCTION("IMPORTRANGE(""https://docs.google.com/spreadsheets/d/1C3CXT74ZlgGe6_JY_1olB1XN4rF0dxEuIIF-xsYjHgg/edit?usp=sharing"",""พรบ!Q64"")"),0)</f>
        <v>0</v>
      </c>
      <c r="G60" s="77">
        <f ca="1">IFERROR(__xludf.DUMMYFUNCTION("IMPORTRANGE(""https://docs.google.com/spreadsheets/d/1Yj_ptqi66GCucihVvJfMjLAmec39IyEx_6qawtMGysU/edit?usp=sharing"",""สบก!AP64"")"),0)</f>
        <v>0</v>
      </c>
      <c r="H60" s="77">
        <f ca="1">IFERROR(__xludf.DUMMYFUNCTION("IMPORTRANGE(""https://docs.google.com/spreadsheets/d/1Yj_ptqi66GCucihVvJfMjLAmec39IyEx_6qawtMGysU/edit?usp=sharing"",""สบก!AR64"")"),0)</f>
        <v>0</v>
      </c>
      <c r="I60" s="77">
        <f t="shared" ca="1" si="3"/>
        <v>0</v>
      </c>
      <c r="J60" s="137">
        <f t="shared" ca="1" si="4"/>
        <v>0</v>
      </c>
      <c r="K60" s="77">
        <f ca="1">IFERROR(__xludf.DUMMYFUNCTION("IMPORTRANGE(""https://docs.google.com/spreadsheets/d/1Yj_ptqi66GCucihVvJfMjLAmec39IyEx_6qawtMGysU/edit?usp=sharing"",""สบก!AS64"")"),0)</f>
        <v>0</v>
      </c>
      <c r="L60" s="137">
        <f t="shared" ca="1" si="5"/>
        <v>0</v>
      </c>
      <c r="M60" s="137">
        <f t="shared" ca="1" si="6"/>
        <v>0</v>
      </c>
      <c r="N60" s="137">
        <f ca="1">IFERROR(__xludf.DUMMYFUNCTION("IMPORTRANGE(""https://docs.google.com/spreadsheets/d/1Yj_ptqi66GCucihVvJfMjLAmec39IyEx_6qawtMGysU/edit?usp=sharing"",""สบก!AT64"")"),0)</f>
        <v>0</v>
      </c>
      <c r="O60" s="137">
        <f t="shared" ca="1" si="7"/>
        <v>0</v>
      </c>
      <c r="P60" s="77">
        <f ca="1">IFERROR(__xludf.DUMMYFUNCTION("IMPORTRANGE(""https://docs.google.com/spreadsheets/d/1C3CXT74ZlgGe6_JY_1olB1XN4rF0dxEuIIF-xsYjHgg/edit?usp=sharing"",""พรบ!R64"")"),0)</f>
        <v>0</v>
      </c>
      <c r="Q60" s="77">
        <f ca="1">IFERROR(__xludf.DUMMYFUNCTION("IMPORTRANGE(""https://docs.google.com/spreadsheets/d/1SX6NBoVAgQJ6U1MVXOaj8PK2l7WJ3RER9xtqwdhxkhw/edit?usp=sharing"",""ตราด!J43"")"),0)</f>
        <v>0</v>
      </c>
      <c r="R60" s="79">
        <f t="shared" ca="1" si="9"/>
        <v>0</v>
      </c>
      <c r="S60" s="77">
        <f ca="1">IFERROR(__xludf.DUMMYFUNCTION("IMPORTRANGE(""https://docs.google.com/spreadsheets/d/1C3CXT74ZlgGe6_JY_1olB1XN4rF0dxEuIIF-xsYjHgg/edit?usp=sharing"",""พรบ!S64"")"),0)</f>
        <v>0</v>
      </c>
      <c r="T60" s="77">
        <f ca="1">IFERROR(__xludf.DUMMYFUNCTION("IMPORTRANGE(""https://docs.google.com/spreadsheets/d/1SX6NBoVAgQJ6U1MVXOaj8PK2l7WJ3RER9xtqwdhxkhw/edit?usp=sharing"",""ตราด!J44"")"),0)</f>
        <v>0</v>
      </c>
      <c r="U60" s="79">
        <f t="shared" ca="1" si="10"/>
        <v>0</v>
      </c>
      <c r="V60" s="77">
        <f ca="1">IFERROR(__xludf.DUMMYFUNCTION("IMPORTRANGE(""https://docs.google.com/spreadsheets/d/1SX6NBoVAgQJ6U1MVXOaj8PK2l7WJ3RER9xtqwdhxkhw/edit?usp=sharing"",""ตราด!J45"")"),0)</f>
        <v>0</v>
      </c>
      <c r="W60" s="79">
        <f t="shared" ca="1" si="11"/>
        <v>0</v>
      </c>
      <c r="X60" s="77">
        <f ca="1">IFERROR(__xludf.DUMMYFUNCTION("IMPORTRANGE(""https://docs.google.com/spreadsheets/d/1SX6NBoVAgQJ6U1MVXOaj8PK2l7WJ3RER9xtqwdhxkhw/edit?usp=sharing"",""ตราด!J46"")"),0)</f>
        <v>0</v>
      </c>
      <c r="Y60" s="79">
        <f t="shared" ca="1" si="12"/>
        <v>0</v>
      </c>
      <c r="Z60" s="77">
        <f ca="1">IFERROR(__xludf.DUMMYFUNCTION("IMPORTRANGE(""https://docs.google.com/spreadsheets/d/1SX6NBoVAgQJ6U1MVXOaj8PK2l7WJ3RER9xtqwdhxkhw/edit?usp=sharing"",""ตราด!J47"")"),0)</f>
        <v>0</v>
      </c>
      <c r="AA60" s="137">
        <f t="shared" ca="1" si="13"/>
        <v>0</v>
      </c>
      <c r="AB60" s="77">
        <f ca="1">IFERROR(__xludf.DUMMYFUNCTION("IMPORTRANGE(""https://docs.google.com/spreadsheets/d/1C3CXT74ZlgGe6_JY_1olB1XN4rF0dxEuIIF-xsYjHgg/edit?usp=sharing"",""พรบ!W64"")"),0)</f>
        <v>0</v>
      </c>
      <c r="AC60" s="77">
        <f ca="1">IFERROR(__xludf.DUMMYFUNCTION("IMPORTRANGE(""https://docs.google.com/spreadsheets/d/1SX6NBoVAgQJ6U1MVXOaj8PK2l7WJ3RER9xtqwdhxkhw/edit?usp=sharing"",""ตราด!J48"")"),0)</f>
        <v>0</v>
      </c>
      <c r="AD60" s="137">
        <f t="shared" ca="1" si="15"/>
        <v>0</v>
      </c>
    </row>
    <row r="61" spans="1:30" ht="21" customHeight="1">
      <c r="A61" s="73">
        <v>7</v>
      </c>
      <c r="B61" s="74" t="s">
        <v>85</v>
      </c>
      <c r="C61" s="75">
        <f t="shared" ca="1" si="0"/>
        <v>0</v>
      </c>
      <c r="D61" s="76">
        <f t="shared" ca="1" si="46"/>
        <v>0</v>
      </c>
      <c r="E61" s="77">
        <f ca="1">IFERROR(__xludf.DUMMYFUNCTION("IMPORTRANGE(""https://docs.google.com/spreadsheets/d/1C3CXT74ZlgGe6_JY_1olB1XN4rF0dxEuIIF-xsYjHgg/edit?usp=sharing"",""พรบ!P65"")"),0)</f>
        <v>0</v>
      </c>
      <c r="F61" s="77">
        <f ca="1">IFERROR(__xludf.DUMMYFUNCTION("IMPORTRANGE(""https://docs.google.com/spreadsheets/d/1C3CXT74ZlgGe6_JY_1olB1XN4rF0dxEuIIF-xsYjHgg/edit?usp=sharing"",""พรบ!Q65"")"),0)</f>
        <v>0</v>
      </c>
      <c r="G61" s="77">
        <f ca="1">IFERROR(__xludf.DUMMYFUNCTION("IMPORTRANGE(""https://docs.google.com/spreadsheets/d/1Yj_ptqi66GCucihVvJfMjLAmec39IyEx_6qawtMGysU/edit?usp=sharing"",""สบก!AP65"")"),0)</f>
        <v>0</v>
      </c>
      <c r="H61" s="77">
        <f ca="1">IFERROR(__xludf.DUMMYFUNCTION("IMPORTRANGE(""https://docs.google.com/spreadsheets/d/1Yj_ptqi66GCucihVvJfMjLAmec39IyEx_6qawtMGysU/edit?usp=sharing"",""สบก!AR65"")"),0)</f>
        <v>0</v>
      </c>
      <c r="I61" s="77">
        <f t="shared" ca="1" si="3"/>
        <v>0</v>
      </c>
      <c r="J61" s="137">
        <f t="shared" ca="1" si="4"/>
        <v>0</v>
      </c>
      <c r="K61" s="77">
        <f ca="1">IFERROR(__xludf.DUMMYFUNCTION("IMPORTRANGE(""https://docs.google.com/spreadsheets/d/1Yj_ptqi66GCucihVvJfMjLAmec39IyEx_6qawtMGysU/edit?usp=sharing"",""สบก!AS65"")"),0)</f>
        <v>0</v>
      </c>
      <c r="L61" s="137">
        <f t="shared" ca="1" si="5"/>
        <v>0</v>
      </c>
      <c r="M61" s="137">
        <f t="shared" ca="1" si="6"/>
        <v>0</v>
      </c>
      <c r="N61" s="137">
        <f ca="1">IFERROR(__xludf.DUMMYFUNCTION("IMPORTRANGE(""https://docs.google.com/spreadsheets/d/1Yj_ptqi66GCucihVvJfMjLAmec39IyEx_6qawtMGysU/edit?usp=sharing"",""สบก!AT65"")"),0)</f>
        <v>0</v>
      </c>
      <c r="O61" s="137">
        <f t="shared" ca="1" si="7"/>
        <v>0</v>
      </c>
      <c r="P61" s="77">
        <f ca="1">IFERROR(__xludf.DUMMYFUNCTION("IMPORTRANGE(""https://docs.google.com/spreadsheets/d/1C3CXT74ZlgGe6_JY_1olB1XN4rF0dxEuIIF-xsYjHgg/edit?usp=sharing"",""พรบ!R65"")"),0)</f>
        <v>0</v>
      </c>
      <c r="Q61" s="77">
        <f ca="1">IFERROR(__xludf.DUMMYFUNCTION("IMPORTRANGE(""https://docs.google.com/spreadsheets/d/1SX6NBoVAgQJ6U1MVXOaj8PK2l7WJ3RER9xtqwdhxkhw/edit?usp=sharing"",""นครนายก!J43"")"),0)</f>
        <v>0</v>
      </c>
      <c r="R61" s="79">
        <f t="shared" ca="1" si="9"/>
        <v>0</v>
      </c>
      <c r="S61" s="77">
        <f ca="1">IFERROR(__xludf.DUMMYFUNCTION("IMPORTRANGE(""https://docs.google.com/spreadsheets/d/1C3CXT74ZlgGe6_JY_1olB1XN4rF0dxEuIIF-xsYjHgg/edit?usp=sharing"",""พรบ!S65"")"),0)</f>
        <v>0</v>
      </c>
      <c r="T61" s="77">
        <f ca="1">IFERROR(__xludf.DUMMYFUNCTION("IMPORTRANGE(""https://docs.google.com/spreadsheets/d/1SX6NBoVAgQJ6U1MVXOaj8PK2l7WJ3RER9xtqwdhxkhw/edit?usp=sharing"",""นครนายก!J44"")"),0)</f>
        <v>0</v>
      </c>
      <c r="U61" s="79">
        <f t="shared" ca="1" si="10"/>
        <v>0</v>
      </c>
      <c r="V61" s="77">
        <f ca="1">IFERROR(__xludf.DUMMYFUNCTION("IMPORTRANGE(""https://docs.google.com/spreadsheets/d/1SX6NBoVAgQJ6U1MVXOaj8PK2l7WJ3RER9xtqwdhxkhw/edit?usp=sharing"",""นครนายก!J45"")"),0)</f>
        <v>0</v>
      </c>
      <c r="W61" s="79">
        <f t="shared" ca="1" si="11"/>
        <v>0</v>
      </c>
      <c r="X61" s="77">
        <f ca="1">IFERROR(__xludf.DUMMYFUNCTION("IMPORTRANGE(""https://docs.google.com/spreadsheets/d/1SX6NBoVAgQJ6U1MVXOaj8PK2l7WJ3RER9xtqwdhxkhw/edit?usp=sharing"",""นครนายก!J46"")"),0)</f>
        <v>0</v>
      </c>
      <c r="Y61" s="79">
        <f t="shared" ca="1" si="12"/>
        <v>0</v>
      </c>
      <c r="Z61" s="77">
        <f ca="1">IFERROR(__xludf.DUMMYFUNCTION("IMPORTRANGE(""https://docs.google.com/spreadsheets/d/1SX6NBoVAgQJ6U1MVXOaj8PK2l7WJ3RER9xtqwdhxkhw/edit?usp=sharing"",""นครนายก!J47"")"),0)</f>
        <v>0</v>
      </c>
      <c r="AA61" s="137">
        <f t="shared" ca="1" si="13"/>
        <v>0</v>
      </c>
      <c r="AB61" s="77">
        <f ca="1">IFERROR(__xludf.DUMMYFUNCTION("IMPORTRANGE(""https://docs.google.com/spreadsheets/d/1C3CXT74ZlgGe6_JY_1olB1XN4rF0dxEuIIF-xsYjHgg/edit?usp=sharing"",""พรบ!W65"")"),0)</f>
        <v>0</v>
      </c>
      <c r="AC61" s="77">
        <f ca="1">IFERROR(__xludf.DUMMYFUNCTION("IMPORTRANGE(""https://docs.google.com/spreadsheets/d/1SX6NBoVAgQJ6U1MVXOaj8PK2l7WJ3RER9xtqwdhxkhw/edit?usp=sharing"",""นครนายก!J48"")"),0)</f>
        <v>0</v>
      </c>
      <c r="AD61" s="137">
        <f t="shared" ca="1" si="15"/>
        <v>0</v>
      </c>
    </row>
    <row r="62" spans="1:30" ht="21" customHeight="1">
      <c r="A62" s="73">
        <v>8</v>
      </c>
      <c r="B62" s="74" t="s">
        <v>86</v>
      </c>
      <c r="C62" s="75">
        <f t="shared" ca="1" si="0"/>
        <v>0</v>
      </c>
      <c r="D62" s="76">
        <f t="shared" ca="1" si="46"/>
        <v>0</v>
      </c>
      <c r="E62" s="77">
        <f ca="1">IFERROR(__xludf.DUMMYFUNCTION("IMPORTRANGE(""https://docs.google.com/spreadsheets/d/1C3CXT74ZlgGe6_JY_1olB1XN4rF0dxEuIIF-xsYjHgg/edit?usp=sharing"",""พรบ!P66"")"),0)</f>
        <v>0</v>
      </c>
      <c r="F62" s="77">
        <f ca="1">IFERROR(__xludf.DUMMYFUNCTION("IMPORTRANGE(""https://docs.google.com/spreadsheets/d/1C3CXT74ZlgGe6_JY_1olB1XN4rF0dxEuIIF-xsYjHgg/edit?usp=sharing"",""พรบ!Q66"")"),0)</f>
        <v>0</v>
      </c>
      <c r="G62" s="77">
        <f ca="1">IFERROR(__xludf.DUMMYFUNCTION("IMPORTRANGE(""https://docs.google.com/spreadsheets/d/1Yj_ptqi66GCucihVvJfMjLAmec39IyEx_6qawtMGysU/edit?usp=sharing"",""สบก!AP66"")"),0)</f>
        <v>0</v>
      </c>
      <c r="H62" s="77">
        <f ca="1">IFERROR(__xludf.DUMMYFUNCTION("IMPORTRANGE(""https://docs.google.com/spreadsheets/d/1Yj_ptqi66GCucihVvJfMjLAmec39IyEx_6qawtMGysU/edit?usp=sharing"",""สบก!AR66"")"),0)</f>
        <v>0</v>
      </c>
      <c r="I62" s="77">
        <f t="shared" ca="1" si="3"/>
        <v>0</v>
      </c>
      <c r="J62" s="137">
        <f t="shared" ca="1" si="4"/>
        <v>0</v>
      </c>
      <c r="K62" s="77">
        <f ca="1">IFERROR(__xludf.DUMMYFUNCTION("IMPORTRANGE(""https://docs.google.com/spreadsheets/d/1Yj_ptqi66GCucihVvJfMjLAmec39IyEx_6qawtMGysU/edit?usp=sharing"",""สบก!AS66"")"),0)</f>
        <v>0</v>
      </c>
      <c r="L62" s="137">
        <f t="shared" ca="1" si="5"/>
        <v>0</v>
      </c>
      <c r="M62" s="137">
        <f t="shared" ca="1" si="6"/>
        <v>0</v>
      </c>
      <c r="N62" s="137">
        <f ca="1">IFERROR(__xludf.DUMMYFUNCTION("IMPORTRANGE(""https://docs.google.com/spreadsheets/d/1Yj_ptqi66GCucihVvJfMjLAmec39IyEx_6qawtMGysU/edit?usp=sharing"",""สบก!AT66"")"),0)</f>
        <v>0</v>
      </c>
      <c r="O62" s="137">
        <f t="shared" ca="1" si="7"/>
        <v>0</v>
      </c>
      <c r="P62" s="77">
        <f ca="1">IFERROR(__xludf.DUMMYFUNCTION("IMPORTRANGE(""https://docs.google.com/spreadsheets/d/1C3CXT74ZlgGe6_JY_1olB1XN4rF0dxEuIIF-xsYjHgg/edit?usp=sharing"",""พรบ!R66"")"),0)</f>
        <v>0</v>
      </c>
      <c r="Q62" s="77">
        <f ca="1">IFERROR(__xludf.DUMMYFUNCTION("IMPORTRANGE(""https://docs.google.com/spreadsheets/d/1SX6NBoVAgQJ6U1MVXOaj8PK2l7WJ3RER9xtqwdhxkhw/edit?usp=sharing"",""นครปฐม!J43"")"),0)</f>
        <v>0</v>
      </c>
      <c r="R62" s="79">
        <f t="shared" ca="1" si="9"/>
        <v>0</v>
      </c>
      <c r="S62" s="77">
        <f ca="1">IFERROR(__xludf.DUMMYFUNCTION("IMPORTRANGE(""https://docs.google.com/spreadsheets/d/1C3CXT74ZlgGe6_JY_1olB1XN4rF0dxEuIIF-xsYjHgg/edit?usp=sharing"",""พรบ!S66"")"),0)</f>
        <v>0</v>
      </c>
      <c r="T62" s="77">
        <f ca="1">IFERROR(__xludf.DUMMYFUNCTION("IMPORTRANGE(""https://docs.google.com/spreadsheets/d/1SX6NBoVAgQJ6U1MVXOaj8PK2l7WJ3RER9xtqwdhxkhw/edit?usp=sharing"",""นครปฐม!J44"")"),0)</f>
        <v>0</v>
      </c>
      <c r="U62" s="79">
        <f t="shared" ca="1" si="10"/>
        <v>0</v>
      </c>
      <c r="V62" s="77">
        <f ca="1">IFERROR(__xludf.DUMMYFUNCTION("IMPORTRANGE(""https://docs.google.com/spreadsheets/d/1SX6NBoVAgQJ6U1MVXOaj8PK2l7WJ3RER9xtqwdhxkhw/edit?usp=sharing"",""นครปฐม!J45"")"),0)</f>
        <v>0</v>
      </c>
      <c r="W62" s="79">
        <f t="shared" ca="1" si="11"/>
        <v>0</v>
      </c>
      <c r="X62" s="77">
        <f ca="1">IFERROR(__xludf.DUMMYFUNCTION("IMPORTRANGE(""https://docs.google.com/spreadsheets/d/1SX6NBoVAgQJ6U1MVXOaj8PK2l7WJ3RER9xtqwdhxkhw/edit?usp=sharing"",""นครปฐม!J46"")"),0)</f>
        <v>0</v>
      </c>
      <c r="Y62" s="79">
        <f t="shared" ca="1" si="12"/>
        <v>0</v>
      </c>
      <c r="Z62" s="77">
        <f ca="1">IFERROR(__xludf.DUMMYFUNCTION("IMPORTRANGE(""https://docs.google.com/spreadsheets/d/1SX6NBoVAgQJ6U1MVXOaj8PK2l7WJ3RER9xtqwdhxkhw/edit?usp=sharing"",""นครปฐม!J47"")"),0)</f>
        <v>0</v>
      </c>
      <c r="AA62" s="137">
        <f t="shared" ca="1" si="13"/>
        <v>0</v>
      </c>
      <c r="AB62" s="77">
        <f ca="1">IFERROR(__xludf.DUMMYFUNCTION("IMPORTRANGE(""https://docs.google.com/spreadsheets/d/1C3CXT74ZlgGe6_JY_1olB1XN4rF0dxEuIIF-xsYjHgg/edit?usp=sharing"",""พรบ!W66"")"),0)</f>
        <v>0</v>
      </c>
      <c r="AC62" s="77">
        <f ca="1">IFERROR(__xludf.DUMMYFUNCTION("IMPORTRANGE(""https://docs.google.com/spreadsheets/d/1SX6NBoVAgQJ6U1MVXOaj8PK2l7WJ3RER9xtqwdhxkhw/edit?usp=sharing"",""นครปฐม!J48"")"),0)</f>
        <v>0</v>
      </c>
      <c r="AD62" s="137">
        <f t="shared" ca="1" si="15"/>
        <v>0</v>
      </c>
    </row>
    <row r="63" spans="1:30" ht="21" customHeight="1">
      <c r="A63" s="73">
        <v>9</v>
      </c>
      <c r="B63" s="74" t="s">
        <v>87</v>
      </c>
      <c r="C63" s="75">
        <f t="shared" ca="1" si="0"/>
        <v>0</v>
      </c>
      <c r="D63" s="76">
        <f t="shared" ca="1" si="46"/>
        <v>0</v>
      </c>
      <c r="E63" s="77">
        <f ca="1">IFERROR(__xludf.DUMMYFUNCTION("IMPORTRANGE(""https://docs.google.com/spreadsheets/d/1C3CXT74ZlgGe6_JY_1olB1XN4rF0dxEuIIF-xsYjHgg/edit?usp=sharing"",""พรบ!P67"")"),0)</f>
        <v>0</v>
      </c>
      <c r="F63" s="77">
        <f ca="1">IFERROR(__xludf.DUMMYFUNCTION("IMPORTRANGE(""https://docs.google.com/spreadsheets/d/1C3CXT74ZlgGe6_JY_1olB1XN4rF0dxEuIIF-xsYjHgg/edit?usp=sharing"",""พรบ!Q67"")"),0)</f>
        <v>0</v>
      </c>
      <c r="G63" s="77">
        <f ca="1">IFERROR(__xludf.DUMMYFUNCTION("IMPORTRANGE(""https://docs.google.com/spreadsheets/d/1Yj_ptqi66GCucihVvJfMjLAmec39IyEx_6qawtMGysU/edit?usp=sharing"",""สบก!AP67"")"),0)</f>
        <v>0</v>
      </c>
      <c r="H63" s="77">
        <f ca="1">IFERROR(__xludf.DUMMYFUNCTION("IMPORTRANGE(""https://docs.google.com/spreadsheets/d/1Yj_ptqi66GCucihVvJfMjLAmec39IyEx_6qawtMGysU/edit?usp=sharing"",""สบก!AR67"")"),0)</f>
        <v>0</v>
      </c>
      <c r="I63" s="77">
        <f t="shared" ca="1" si="3"/>
        <v>0</v>
      </c>
      <c r="J63" s="137">
        <f t="shared" ca="1" si="4"/>
        <v>0</v>
      </c>
      <c r="K63" s="77">
        <f ca="1">IFERROR(__xludf.DUMMYFUNCTION("IMPORTRANGE(""https://docs.google.com/spreadsheets/d/1Yj_ptqi66GCucihVvJfMjLAmec39IyEx_6qawtMGysU/edit?usp=sharing"",""สบก!AS67"")"),0)</f>
        <v>0</v>
      </c>
      <c r="L63" s="137">
        <f t="shared" ca="1" si="5"/>
        <v>0</v>
      </c>
      <c r="M63" s="137">
        <f t="shared" ca="1" si="6"/>
        <v>0</v>
      </c>
      <c r="N63" s="137">
        <f ca="1">IFERROR(__xludf.DUMMYFUNCTION("IMPORTRANGE(""https://docs.google.com/spreadsheets/d/1Yj_ptqi66GCucihVvJfMjLAmec39IyEx_6qawtMGysU/edit?usp=sharing"",""สบก!AT67"")"),0)</f>
        <v>0</v>
      </c>
      <c r="O63" s="137">
        <f t="shared" ca="1" si="7"/>
        <v>0</v>
      </c>
      <c r="P63" s="77">
        <f ca="1">IFERROR(__xludf.DUMMYFUNCTION("IMPORTRANGE(""https://docs.google.com/spreadsheets/d/1C3CXT74ZlgGe6_JY_1olB1XN4rF0dxEuIIF-xsYjHgg/edit?usp=sharing"",""พรบ!R67"")"),0)</f>
        <v>0</v>
      </c>
      <c r="Q63" s="77">
        <f ca="1">IFERROR(__xludf.DUMMYFUNCTION("IMPORTRANGE(""https://docs.google.com/spreadsheets/d/1SX6NBoVAgQJ6U1MVXOaj8PK2l7WJ3RER9xtqwdhxkhw/edit?usp=sharing"",""ปทุมธานี!J43"")"),0)</f>
        <v>0</v>
      </c>
      <c r="R63" s="79">
        <f t="shared" ca="1" si="9"/>
        <v>0</v>
      </c>
      <c r="S63" s="77">
        <f ca="1">IFERROR(__xludf.DUMMYFUNCTION("IMPORTRANGE(""https://docs.google.com/spreadsheets/d/1C3CXT74ZlgGe6_JY_1olB1XN4rF0dxEuIIF-xsYjHgg/edit?usp=sharing"",""พรบ!S67"")"),0)</f>
        <v>0</v>
      </c>
      <c r="T63" s="77">
        <f ca="1">IFERROR(__xludf.DUMMYFUNCTION("IMPORTRANGE(""https://docs.google.com/spreadsheets/d/1SX6NBoVAgQJ6U1MVXOaj8PK2l7WJ3RER9xtqwdhxkhw/edit?usp=sharing"",""ปทุมธานี!J44"")"),0)</f>
        <v>0</v>
      </c>
      <c r="U63" s="79">
        <f t="shared" ca="1" si="10"/>
        <v>0</v>
      </c>
      <c r="V63" s="77">
        <f ca="1">IFERROR(__xludf.DUMMYFUNCTION("IMPORTRANGE(""https://docs.google.com/spreadsheets/d/1SX6NBoVAgQJ6U1MVXOaj8PK2l7WJ3RER9xtqwdhxkhw/edit?usp=sharing"",""ปทุมธานี!J45"")"),0)</f>
        <v>0</v>
      </c>
      <c r="W63" s="79">
        <f t="shared" ca="1" si="11"/>
        <v>0</v>
      </c>
      <c r="X63" s="77">
        <f ca="1">IFERROR(__xludf.DUMMYFUNCTION("IMPORTRANGE(""https://docs.google.com/spreadsheets/d/1SX6NBoVAgQJ6U1MVXOaj8PK2l7WJ3RER9xtqwdhxkhw/edit?usp=sharing"",""ปทุมธานี!J46"")"),0)</f>
        <v>0</v>
      </c>
      <c r="Y63" s="79">
        <f t="shared" ca="1" si="12"/>
        <v>0</v>
      </c>
      <c r="Z63" s="77">
        <f ca="1">IFERROR(__xludf.DUMMYFUNCTION("IMPORTRANGE(""https://docs.google.com/spreadsheets/d/1SX6NBoVAgQJ6U1MVXOaj8PK2l7WJ3RER9xtqwdhxkhw/edit?usp=sharing"",""ปทุมธานี!J47"")"),0)</f>
        <v>0</v>
      </c>
      <c r="AA63" s="137">
        <f t="shared" ca="1" si="13"/>
        <v>0</v>
      </c>
      <c r="AB63" s="77">
        <f ca="1">IFERROR(__xludf.DUMMYFUNCTION("IMPORTRANGE(""https://docs.google.com/spreadsheets/d/1C3CXT74ZlgGe6_JY_1olB1XN4rF0dxEuIIF-xsYjHgg/edit?usp=sharing"",""พรบ!W67"")"),0)</f>
        <v>0</v>
      </c>
      <c r="AC63" s="77">
        <f ca="1">IFERROR(__xludf.DUMMYFUNCTION("IMPORTRANGE(""https://docs.google.com/spreadsheets/d/1SX6NBoVAgQJ6U1MVXOaj8PK2l7WJ3RER9xtqwdhxkhw/edit?usp=sharing"",""ปทุมธานี!J48"")"),0)</f>
        <v>0</v>
      </c>
      <c r="AD63" s="137">
        <f t="shared" ca="1" si="15"/>
        <v>0</v>
      </c>
    </row>
    <row r="64" spans="1:30" ht="21" customHeight="1">
      <c r="A64" s="73">
        <v>10</v>
      </c>
      <c r="B64" s="74" t="s">
        <v>88</v>
      </c>
      <c r="C64" s="75">
        <f t="shared" ca="1" si="0"/>
        <v>0</v>
      </c>
      <c r="D64" s="76">
        <f t="shared" ca="1" si="46"/>
        <v>0</v>
      </c>
      <c r="E64" s="77">
        <f ca="1">IFERROR(__xludf.DUMMYFUNCTION("IMPORTRANGE(""https://docs.google.com/spreadsheets/d/1C3CXT74ZlgGe6_JY_1olB1XN4rF0dxEuIIF-xsYjHgg/edit?usp=sharing"",""พรบ!P68"")"),0)</f>
        <v>0</v>
      </c>
      <c r="F64" s="77">
        <f ca="1">IFERROR(__xludf.DUMMYFUNCTION("IMPORTRANGE(""https://docs.google.com/spreadsheets/d/1C3CXT74ZlgGe6_JY_1olB1XN4rF0dxEuIIF-xsYjHgg/edit?usp=sharing"",""พรบ!Q68"")"),0)</f>
        <v>0</v>
      </c>
      <c r="G64" s="77">
        <f ca="1">IFERROR(__xludf.DUMMYFUNCTION("IMPORTRANGE(""https://docs.google.com/spreadsheets/d/1Yj_ptqi66GCucihVvJfMjLAmec39IyEx_6qawtMGysU/edit?usp=sharing"",""สบก!AP68"")"),0)</f>
        <v>0</v>
      </c>
      <c r="H64" s="77">
        <f ca="1">IFERROR(__xludf.DUMMYFUNCTION("IMPORTRANGE(""https://docs.google.com/spreadsheets/d/1Yj_ptqi66GCucihVvJfMjLAmec39IyEx_6qawtMGysU/edit?usp=sharing"",""สบก!AR68"")"),0)</f>
        <v>0</v>
      </c>
      <c r="I64" s="77">
        <f t="shared" ca="1" si="3"/>
        <v>0</v>
      </c>
      <c r="J64" s="137">
        <f t="shared" ca="1" si="4"/>
        <v>0</v>
      </c>
      <c r="K64" s="77">
        <f ca="1">IFERROR(__xludf.DUMMYFUNCTION("IMPORTRANGE(""https://docs.google.com/spreadsheets/d/1Yj_ptqi66GCucihVvJfMjLAmec39IyEx_6qawtMGysU/edit?usp=sharing"",""สบก!AS68"")"),0)</f>
        <v>0</v>
      </c>
      <c r="L64" s="137">
        <f t="shared" ca="1" si="5"/>
        <v>0</v>
      </c>
      <c r="M64" s="137">
        <f t="shared" ca="1" si="6"/>
        <v>0</v>
      </c>
      <c r="N64" s="137">
        <f ca="1">IFERROR(__xludf.DUMMYFUNCTION("IMPORTRANGE(""https://docs.google.com/spreadsheets/d/1Yj_ptqi66GCucihVvJfMjLAmec39IyEx_6qawtMGysU/edit?usp=sharing"",""สบก!AT68"")"),0)</f>
        <v>0</v>
      </c>
      <c r="O64" s="137">
        <f t="shared" ca="1" si="7"/>
        <v>0</v>
      </c>
      <c r="P64" s="77">
        <f ca="1">IFERROR(__xludf.DUMMYFUNCTION("IMPORTRANGE(""https://docs.google.com/spreadsheets/d/1C3CXT74ZlgGe6_JY_1olB1XN4rF0dxEuIIF-xsYjHgg/edit?usp=sharing"",""พรบ!R68"")"),0)</f>
        <v>0</v>
      </c>
      <c r="Q64" s="77">
        <f ca="1">IFERROR(__xludf.DUMMYFUNCTION("IMPORTRANGE(""https://docs.google.com/spreadsheets/d/1SX6NBoVAgQJ6U1MVXOaj8PK2l7WJ3RER9xtqwdhxkhw/edit?usp=sharing"",""ประจวบคีรีขันธ์!J43"")"),0)</f>
        <v>0</v>
      </c>
      <c r="R64" s="79">
        <f t="shared" ca="1" si="9"/>
        <v>0</v>
      </c>
      <c r="S64" s="77">
        <f ca="1">IFERROR(__xludf.DUMMYFUNCTION("IMPORTRANGE(""https://docs.google.com/spreadsheets/d/1C3CXT74ZlgGe6_JY_1olB1XN4rF0dxEuIIF-xsYjHgg/edit?usp=sharing"",""พรบ!S68"")"),0)</f>
        <v>0</v>
      </c>
      <c r="T64" s="77">
        <f ca="1">IFERROR(__xludf.DUMMYFUNCTION("IMPORTRANGE(""https://docs.google.com/spreadsheets/d/1SX6NBoVAgQJ6U1MVXOaj8PK2l7WJ3RER9xtqwdhxkhw/edit?usp=sharing"",""ประจวบคีรีขันธ์!J44"")"),0)</f>
        <v>0</v>
      </c>
      <c r="U64" s="79">
        <f t="shared" ca="1" si="10"/>
        <v>0</v>
      </c>
      <c r="V64" s="77">
        <f ca="1">IFERROR(__xludf.DUMMYFUNCTION("IMPORTRANGE(""https://docs.google.com/spreadsheets/d/1SX6NBoVAgQJ6U1MVXOaj8PK2l7WJ3RER9xtqwdhxkhw/edit?usp=sharing"",""ประจวบคีรีขันธ์!J45"")"),0)</f>
        <v>0</v>
      </c>
      <c r="W64" s="79">
        <f t="shared" ca="1" si="11"/>
        <v>0</v>
      </c>
      <c r="X64" s="77">
        <f ca="1">IFERROR(__xludf.DUMMYFUNCTION("IMPORTRANGE(""https://docs.google.com/spreadsheets/d/1SX6NBoVAgQJ6U1MVXOaj8PK2l7WJ3RER9xtqwdhxkhw/edit?usp=sharing"",""ประจวบคีรีขันธ์!J46"")"),0)</f>
        <v>0</v>
      </c>
      <c r="Y64" s="79">
        <f t="shared" ca="1" si="12"/>
        <v>0</v>
      </c>
      <c r="Z64" s="77">
        <f ca="1">IFERROR(__xludf.DUMMYFUNCTION("IMPORTRANGE(""https://docs.google.com/spreadsheets/d/1SX6NBoVAgQJ6U1MVXOaj8PK2l7WJ3RER9xtqwdhxkhw/edit?usp=sharing"",""ประจวบคีรีขันธ์!J47"")"),0)</f>
        <v>0</v>
      </c>
      <c r="AA64" s="137">
        <f t="shared" ca="1" si="13"/>
        <v>0</v>
      </c>
      <c r="AB64" s="77">
        <f ca="1">IFERROR(__xludf.DUMMYFUNCTION("IMPORTRANGE(""https://docs.google.com/spreadsheets/d/1C3CXT74ZlgGe6_JY_1olB1XN4rF0dxEuIIF-xsYjHgg/edit?usp=sharing"",""พรบ!W68"")"),0)</f>
        <v>0</v>
      </c>
      <c r="AC64" s="77">
        <f ca="1">IFERROR(__xludf.DUMMYFUNCTION("IMPORTRANGE(""https://docs.google.com/spreadsheets/d/1SX6NBoVAgQJ6U1MVXOaj8PK2l7WJ3RER9xtqwdhxkhw/edit?usp=sharing"",""ประจวบคีรีขันธ์!J48"")"),0)</f>
        <v>0</v>
      </c>
      <c r="AD64" s="137">
        <f t="shared" ca="1" si="15"/>
        <v>0</v>
      </c>
    </row>
    <row r="65" spans="1:30" ht="21" customHeight="1">
      <c r="A65" s="73">
        <v>11</v>
      </c>
      <c r="B65" s="74" t="s">
        <v>89</v>
      </c>
      <c r="C65" s="75">
        <f t="shared" ca="1" si="0"/>
        <v>214500</v>
      </c>
      <c r="D65" s="76">
        <f t="shared" ca="1" si="46"/>
        <v>122100</v>
      </c>
      <c r="E65" s="77">
        <f ca="1">IFERROR(__xludf.DUMMYFUNCTION("IMPORTRANGE(""https://docs.google.com/spreadsheets/d/1C3CXT74ZlgGe6_JY_1olB1XN4rF0dxEuIIF-xsYjHgg/edit?usp=sharing"",""พรบ!P69"")"),0)</f>
        <v>0</v>
      </c>
      <c r="F65" s="77">
        <f ca="1">IFERROR(__xludf.DUMMYFUNCTION("IMPORTRANGE(""https://docs.google.com/spreadsheets/d/1C3CXT74ZlgGe6_JY_1olB1XN4rF0dxEuIIF-xsYjHgg/edit?usp=sharing"",""พรบ!Q69"")"),122100)</f>
        <v>122100</v>
      </c>
      <c r="G65" s="77">
        <f ca="1">IFERROR(__xludf.DUMMYFUNCTION("IMPORTRANGE(""https://docs.google.com/spreadsheets/d/1Yj_ptqi66GCucihVvJfMjLAmec39IyEx_6qawtMGysU/edit?usp=sharing"",""สบก!AP69"")"),92400)</f>
        <v>92400</v>
      </c>
      <c r="H65" s="77">
        <f ca="1">IFERROR(__xludf.DUMMYFUNCTION("IMPORTRANGE(""https://docs.google.com/spreadsheets/d/1Yj_ptqi66GCucihVvJfMjLAmec39IyEx_6qawtMGysU/edit?usp=sharing"",""สบก!AR69"")"),122100)</f>
        <v>122100</v>
      </c>
      <c r="I65" s="77">
        <f t="shared" ca="1" si="3"/>
        <v>190960</v>
      </c>
      <c r="J65" s="137">
        <f t="shared" ca="1" si="4"/>
        <v>89.025641025641022</v>
      </c>
      <c r="K65" s="77">
        <f ca="1">IFERROR(__xludf.DUMMYFUNCTION("IMPORTRANGE(""https://docs.google.com/spreadsheets/d/1Yj_ptqi66GCucihVvJfMjLAmec39IyEx_6qawtMGysU/edit?usp=sharing"",""สบก!AS69"")"),98560)</f>
        <v>98560</v>
      </c>
      <c r="L65" s="137">
        <f t="shared" ca="1" si="5"/>
        <v>80.72072072072072</v>
      </c>
      <c r="M65" s="137">
        <f t="shared" ca="1" si="6"/>
        <v>80.72072072072072</v>
      </c>
      <c r="N65" s="137">
        <f ca="1">IFERROR(__xludf.DUMMYFUNCTION("IMPORTRANGE(""https://docs.google.com/spreadsheets/d/1Yj_ptqi66GCucihVvJfMjLAmec39IyEx_6qawtMGysU/edit?usp=sharing"",""สบก!AT69"")"),92400)</f>
        <v>92400</v>
      </c>
      <c r="O65" s="137">
        <f t="shared" ca="1" si="7"/>
        <v>100</v>
      </c>
      <c r="P65" s="77">
        <f ca="1">IFERROR(__xludf.DUMMYFUNCTION("IMPORTRANGE(""https://docs.google.com/spreadsheets/d/1C3CXT74ZlgGe6_JY_1olB1XN4rF0dxEuIIF-xsYjHgg/edit?usp=sharing"",""พรบ!R69"")"),1)</f>
        <v>1</v>
      </c>
      <c r="Q65" s="77">
        <f ca="1">IFERROR(__xludf.DUMMYFUNCTION("IMPORTRANGE(""https://docs.google.com/spreadsheets/d/1SX6NBoVAgQJ6U1MVXOaj8PK2l7WJ3RER9xtqwdhxkhw/edit?usp=sharing"",""ปราจีนบุรี!J43"")"),1)</f>
        <v>1</v>
      </c>
      <c r="R65" s="79">
        <f t="shared" ca="1" si="9"/>
        <v>100</v>
      </c>
      <c r="S65" s="77">
        <f ca="1">IFERROR(__xludf.DUMMYFUNCTION("IMPORTRANGE(""https://docs.google.com/spreadsheets/d/1C3CXT74ZlgGe6_JY_1olB1XN4rF0dxEuIIF-xsYjHgg/edit?usp=sharing"",""พรบ!S69"")"),4)</f>
        <v>4</v>
      </c>
      <c r="T65" s="77">
        <f ca="1">IFERROR(__xludf.DUMMYFUNCTION("IMPORTRANGE(""https://docs.google.com/spreadsheets/d/1SX6NBoVAgQJ6U1MVXOaj8PK2l7WJ3RER9xtqwdhxkhw/edit?usp=sharing"",""ปราจีนบุรี!J44"")"),4)</f>
        <v>4</v>
      </c>
      <c r="U65" s="79">
        <f t="shared" ca="1" si="10"/>
        <v>100</v>
      </c>
      <c r="V65" s="77">
        <f ca="1">IFERROR(__xludf.DUMMYFUNCTION("IMPORTRANGE(""https://docs.google.com/spreadsheets/d/1SX6NBoVAgQJ6U1MVXOaj8PK2l7WJ3RER9xtqwdhxkhw/edit?usp=sharing"",""ปราจีนบุรี!J45"")"),4)</f>
        <v>4</v>
      </c>
      <c r="W65" s="79">
        <f t="shared" ca="1" si="11"/>
        <v>100</v>
      </c>
      <c r="X65" s="77">
        <f ca="1">IFERROR(__xludf.DUMMYFUNCTION("IMPORTRANGE(""https://docs.google.com/spreadsheets/d/1SX6NBoVAgQJ6U1MVXOaj8PK2l7WJ3RER9xtqwdhxkhw/edit?usp=sharing"",""ปราจีนบุรี!J46"")"),4)</f>
        <v>4</v>
      </c>
      <c r="Y65" s="79">
        <f t="shared" ca="1" si="12"/>
        <v>100</v>
      </c>
      <c r="Z65" s="77">
        <f ca="1">IFERROR(__xludf.DUMMYFUNCTION("IMPORTRANGE(""https://docs.google.com/spreadsheets/d/1SX6NBoVAgQJ6U1MVXOaj8PK2l7WJ3RER9xtqwdhxkhw/edit?usp=sharing"",""ปราจีนบุรี!J47"")"),4)</f>
        <v>4</v>
      </c>
      <c r="AA65" s="137">
        <f t="shared" ca="1" si="13"/>
        <v>100</v>
      </c>
      <c r="AB65" s="77">
        <f ca="1">IFERROR(__xludf.DUMMYFUNCTION("IMPORTRANGE(""https://docs.google.com/spreadsheets/d/1C3CXT74ZlgGe6_JY_1olB1XN4rF0dxEuIIF-xsYjHgg/edit?usp=sharing"",""พรบ!W69"")"),1)</f>
        <v>1</v>
      </c>
      <c r="AC65" s="77">
        <f ca="1">IFERROR(__xludf.DUMMYFUNCTION("IMPORTRANGE(""https://docs.google.com/spreadsheets/d/1SX6NBoVAgQJ6U1MVXOaj8PK2l7WJ3RER9xtqwdhxkhw/edit?usp=sharing"",""ปราจีนบุรี!J48"")"),1)</f>
        <v>1</v>
      </c>
      <c r="AD65" s="137">
        <f t="shared" ca="1" si="15"/>
        <v>100</v>
      </c>
    </row>
    <row r="66" spans="1:30" ht="21" customHeight="1">
      <c r="A66" s="73">
        <v>12</v>
      </c>
      <c r="B66" s="74" t="s">
        <v>90</v>
      </c>
      <c r="C66" s="75">
        <f t="shared" ca="1" si="0"/>
        <v>0</v>
      </c>
      <c r="D66" s="76">
        <f t="shared" ca="1" si="46"/>
        <v>0</v>
      </c>
      <c r="E66" s="77">
        <f ca="1">IFERROR(__xludf.DUMMYFUNCTION("IMPORTRANGE(""https://docs.google.com/spreadsheets/d/1C3CXT74ZlgGe6_JY_1olB1XN4rF0dxEuIIF-xsYjHgg/edit?usp=sharing"",""พรบ!P70"")"),0)</f>
        <v>0</v>
      </c>
      <c r="F66" s="77">
        <f ca="1">IFERROR(__xludf.DUMMYFUNCTION("IMPORTRANGE(""https://docs.google.com/spreadsheets/d/1C3CXT74ZlgGe6_JY_1olB1XN4rF0dxEuIIF-xsYjHgg/edit?usp=sharing"",""พรบ!Q70"")"),0)</f>
        <v>0</v>
      </c>
      <c r="G66" s="77">
        <f ca="1">IFERROR(__xludf.DUMMYFUNCTION("IMPORTRANGE(""https://docs.google.com/spreadsheets/d/1Yj_ptqi66GCucihVvJfMjLAmec39IyEx_6qawtMGysU/edit?usp=sharing"",""สบก!AP70"")"),0)</f>
        <v>0</v>
      </c>
      <c r="H66" s="77">
        <f ca="1">IFERROR(__xludf.DUMMYFUNCTION("IMPORTRANGE(""https://docs.google.com/spreadsheets/d/1Yj_ptqi66GCucihVvJfMjLAmec39IyEx_6qawtMGysU/edit?usp=sharing"",""สบก!AR70"")"),0)</f>
        <v>0</v>
      </c>
      <c r="I66" s="77">
        <f t="shared" ca="1" si="3"/>
        <v>0</v>
      </c>
      <c r="J66" s="137">
        <f t="shared" ca="1" si="4"/>
        <v>0</v>
      </c>
      <c r="K66" s="77">
        <f ca="1">IFERROR(__xludf.DUMMYFUNCTION("IMPORTRANGE(""https://docs.google.com/spreadsheets/d/1Yj_ptqi66GCucihVvJfMjLAmec39IyEx_6qawtMGysU/edit?usp=sharing"",""สบก!AS70"")"),0)</f>
        <v>0</v>
      </c>
      <c r="L66" s="137">
        <f t="shared" ca="1" si="5"/>
        <v>0</v>
      </c>
      <c r="M66" s="137">
        <f t="shared" ca="1" si="6"/>
        <v>0</v>
      </c>
      <c r="N66" s="137">
        <f ca="1">IFERROR(__xludf.DUMMYFUNCTION("IMPORTRANGE(""https://docs.google.com/spreadsheets/d/1Yj_ptqi66GCucihVvJfMjLAmec39IyEx_6qawtMGysU/edit?usp=sharing"",""สบก!AT70"")"),0)</f>
        <v>0</v>
      </c>
      <c r="O66" s="137">
        <f t="shared" ca="1" si="7"/>
        <v>0</v>
      </c>
      <c r="P66" s="77">
        <f ca="1">IFERROR(__xludf.DUMMYFUNCTION("IMPORTRANGE(""https://docs.google.com/spreadsheets/d/1C3CXT74ZlgGe6_JY_1olB1XN4rF0dxEuIIF-xsYjHgg/edit?usp=sharing"",""พรบ!R70"")"),0)</f>
        <v>0</v>
      </c>
      <c r="Q66" s="77">
        <f ca="1">IFERROR(__xludf.DUMMYFUNCTION("IMPORTRANGE(""https://docs.google.com/spreadsheets/d/1SX6NBoVAgQJ6U1MVXOaj8PK2l7WJ3RER9xtqwdhxkhw/edit?usp=sharing"",""พระนครศรีอยุธยา!J43"")"),0)</f>
        <v>0</v>
      </c>
      <c r="R66" s="79">
        <f t="shared" ca="1" si="9"/>
        <v>0</v>
      </c>
      <c r="S66" s="77">
        <f ca="1">IFERROR(__xludf.DUMMYFUNCTION("IMPORTRANGE(""https://docs.google.com/spreadsheets/d/1C3CXT74ZlgGe6_JY_1olB1XN4rF0dxEuIIF-xsYjHgg/edit?usp=sharing"",""พรบ!S70"")"),0)</f>
        <v>0</v>
      </c>
      <c r="T66" s="77">
        <f ca="1">IFERROR(__xludf.DUMMYFUNCTION("IMPORTRANGE(""https://docs.google.com/spreadsheets/d/1SX6NBoVAgQJ6U1MVXOaj8PK2l7WJ3RER9xtqwdhxkhw/edit?usp=sharing"",""พระนครศรีอยุธยา!J44"")"),0)</f>
        <v>0</v>
      </c>
      <c r="U66" s="79">
        <f t="shared" ca="1" si="10"/>
        <v>0</v>
      </c>
      <c r="V66" s="77">
        <f ca="1">IFERROR(__xludf.DUMMYFUNCTION("IMPORTRANGE(""https://docs.google.com/spreadsheets/d/1SX6NBoVAgQJ6U1MVXOaj8PK2l7WJ3RER9xtqwdhxkhw/edit?usp=sharing"",""พระนครศรีอยุธยา!J45"")"),0)</f>
        <v>0</v>
      </c>
      <c r="W66" s="79">
        <f t="shared" ca="1" si="11"/>
        <v>0</v>
      </c>
      <c r="X66" s="77">
        <f ca="1">IFERROR(__xludf.DUMMYFUNCTION("IMPORTRANGE(""https://docs.google.com/spreadsheets/d/1SX6NBoVAgQJ6U1MVXOaj8PK2l7WJ3RER9xtqwdhxkhw/edit?usp=sharing"",""พระนครศรีอยุธยา!J46"")"),0)</f>
        <v>0</v>
      </c>
      <c r="Y66" s="79">
        <f t="shared" ca="1" si="12"/>
        <v>0</v>
      </c>
      <c r="Z66" s="77">
        <f ca="1">IFERROR(__xludf.DUMMYFUNCTION("IMPORTRANGE(""https://docs.google.com/spreadsheets/d/1SX6NBoVAgQJ6U1MVXOaj8PK2l7WJ3RER9xtqwdhxkhw/edit?usp=sharing"",""พระนครศรีอยุธยา!J47"")"),0)</f>
        <v>0</v>
      </c>
      <c r="AA66" s="137">
        <f t="shared" ca="1" si="13"/>
        <v>0</v>
      </c>
      <c r="AB66" s="77">
        <f ca="1">IFERROR(__xludf.DUMMYFUNCTION("IMPORTRANGE(""https://docs.google.com/spreadsheets/d/1C3CXT74ZlgGe6_JY_1olB1XN4rF0dxEuIIF-xsYjHgg/edit?usp=sharing"",""พรบ!W70"")"),0)</f>
        <v>0</v>
      </c>
      <c r="AC66" s="77">
        <f ca="1">IFERROR(__xludf.DUMMYFUNCTION("IMPORTRANGE(""https://docs.google.com/spreadsheets/d/1SX6NBoVAgQJ6U1MVXOaj8PK2l7WJ3RER9xtqwdhxkhw/edit?usp=sharing"",""พระนครศรีอยุธยา!J48"")"),0)</f>
        <v>0</v>
      </c>
      <c r="AD66" s="137">
        <f t="shared" ca="1" si="15"/>
        <v>0</v>
      </c>
    </row>
    <row r="67" spans="1:30" ht="21" customHeight="1">
      <c r="A67" s="73">
        <v>13</v>
      </c>
      <c r="B67" s="74" t="s">
        <v>91</v>
      </c>
      <c r="C67" s="75">
        <f t="shared" ca="1" si="0"/>
        <v>0</v>
      </c>
      <c r="D67" s="76">
        <f t="shared" ca="1" si="46"/>
        <v>0</v>
      </c>
      <c r="E67" s="77">
        <f ca="1">IFERROR(__xludf.DUMMYFUNCTION("IMPORTRANGE(""https://docs.google.com/spreadsheets/d/1C3CXT74ZlgGe6_JY_1olB1XN4rF0dxEuIIF-xsYjHgg/edit?usp=sharing"",""พรบ!P71"")"),0)</f>
        <v>0</v>
      </c>
      <c r="F67" s="77">
        <f ca="1">IFERROR(__xludf.DUMMYFUNCTION("IMPORTRANGE(""https://docs.google.com/spreadsheets/d/1C3CXT74ZlgGe6_JY_1olB1XN4rF0dxEuIIF-xsYjHgg/edit?usp=sharing"",""พรบ!Q71"")"),0)</f>
        <v>0</v>
      </c>
      <c r="G67" s="77">
        <f ca="1">IFERROR(__xludf.DUMMYFUNCTION("IMPORTRANGE(""https://docs.google.com/spreadsheets/d/1Yj_ptqi66GCucihVvJfMjLAmec39IyEx_6qawtMGysU/edit?usp=sharing"",""สบก!AP71"")"),0)</f>
        <v>0</v>
      </c>
      <c r="H67" s="77">
        <f ca="1">IFERROR(__xludf.DUMMYFUNCTION("IMPORTRANGE(""https://docs.google.com/spreadsheets/d/1Yj_ptqi66GCucihVvJfMjLAmec39IyEx_6qawtMGysU/edit?usp=sharing"",""สบก!AR71"")"),0)</f>
        <v>0</v>
      </c>
      <c r="I67" s="77">
        <f t="shared" ca="1" si="3"/>
        <v>0</v>
      </c>
      <c r="J67" s="137">
        <f t="shared" ca="1" si="4"/>
        <v>0</v>
      </c>
      <c r="K67" s="77">
        <f ca="1">IFERROR(__xludf.DUMMYFUNCTION("IMPORTRANGE(""https://docs.google.com/spreadsheets/d/1Yj_ptqi66GCucihVvJfMjLAmec39IyEx_6qawtMGysU/edit?usp=sharing"",""สบก!AS71"")"),0)</f>
        <v>0</v>
      </c>
      <c r="L67" s="137">
        <f t="shared" ca="1" si="5"/>
        <v>0</v>
      </c>
      <c r="M67" s="137">
        <f t="shared" ca="1" si="6"/>
        <v>0</v>
      </c>
      <c r="N67" s="137">
        <f ca="1">IFERROR(__xludf.DUMMYFUNCTION("IMPORTRANGE(""https://docs.google.com/spreadsheets/d/1Yj_ptqi66GCucihVvJfMjLAmec39IyEx_6qawtMGysU/edit?usp=sharing"",""สบก!AT71"")"),0)</f>
        <v>0</v>
      </c>
      <c r="O67" s="137">
        <f t="shared" ca="1" si="7"/>
        <v>0</v>
      </c>
      <c r="P67" s="77">
        <f ca="1">IFERROR(__xludf.DUMMYFUNCTION("IMPORTRANGE(""https://docs.google.com/spreadsheets/d/1C3CXT74ZlgGe6_JY_1olB1XN4rF0dxEuIIF-xsYjHgg/edit?usp=sharing"",""พรบ!R71"")"),0)</f>
        <v>0</v>
      </c>
      <c r="Q67" s="77">
        <f ca="1">IFERROR(__xludf.DUMMYFUNCTION("IMPORTRANGE(""https://docs.google.com/spreadsheets/d/1SX6NBoVAgQJ6U1MVXOaj8PK2l7WJ3RER9xtqwdhxkhw/edit?usp=sharing"",""เพชรบุรี!J43"")"),0)</f>
        <v>0</v>
      </c>
      <c r="R67" s="79">
        <f t="shared" ca="1" si="9"/>
        <v>0</v>
      </c>
      <c r="S67" s="77">
        <f ca="1">IFERROR(__xludf.DUMMYFUNCTION("IMPORTRANGE(""https://docs.google.com/spreadsheets/d/1C3CXT74ZlgGe6_JY_1olB1XN4rF0dxEuIIF-xsYjHgg/edit?usp=sharing"",""พรบ!S71"")"),0)</f>
        <v>0</v>
      </c>
      <c r="T67" s="77">
        <f ca="1">IFERROR(__xludf.DUMMYFUNCTION("IMPORTRANGE(""https://docs.google.com/spreadsheets/d/1SX6NBoVAgQJ6U1MVXOaj8PK2l7WJ3RER9xtqwdhxkhw/edit?usp=sharing"",""เพชรบุรี!J44"")"),0)</f>
        <v>0</v>
      </c>
      <c r="U67" s="79">
        <f t="shared" ca="1" si="10"/>
        <v>0</v>
      </c>
      <c r="V67" s="77">
        <f ca="1">IFERROR(__xludf.DUMMYFUNCTION("IMPORTRANGE(""https://docs.google.com/spreadsheets/d/1SX6NBoVAgQJ6U1MVXOaj8PK2l7WJ3RER9xtqwdhxkhw/edit?usp=sharing"",""เพชรบุรี!J45"")"),0)</f>
        <v>0</v>
      </c>
      <c r="W67" s="79">
        <f t="shared" ca="1" si="11"/>
        <v>0</v>
      </c>
      <c r="X67" s="77">
        <f ca="1">IFERROR(__xludf.DUMMYFUNCTION("IMPORTRANGE(""https://docs.google.com/spreadsheets/d/1SX6NBoVAgQJ6U1MVXOaj8PK2l7WJ3RER9xtqwdhxkhw/edit?usp=sharing"",""เพชรบุรี!J46"")"),0)</f>
        <v>0</v>
      </c>
      <c r="Y67" s="79">
        <f t="shared" ca="1" si="12"/>
        <v>0</v>
      </c>
      <c r="Z67" s="77">
        <f ca="1">IFERROR(__xludf.DUMMYFUNCTION("IMPORTRANGE(""https://docs.google.com/spreadsheets/d/1SX6NBoVAgQJ6U1MVXOaj8PK2l7WJ3RER9xtqwdhxkhw/edit?usp=sharing"",""เพชรบุรี!J47"")"),0)</f>
        <v>0</v>
      </c>
      <c r="AA67" s="137">
        <f t="shared" ca="1" si="13"/>
        <v>0</v>
      </c>
      <c r="AB67" s="77">
        <f ca="1">IFERROR(__xludf.DUMMYFUNCTION("IMPORTRANGE(""https://docs.google.com/spreadsheets/d/1C3CXT74ZlgGe6_JY_1olB1XN4rF0dxEuIIF-xsYjHgg/edit?usp=sharing"",""พรบ!W71"")"),0)</f>
        <v>0</v>
      </c>
      <c r="AC67" s="77">
        <f ca="1">IFERROR(__xludf.DUMMYFUNCTION("IMPORTRANGE(""https://docs.google.com/spreadsheets/d/1SX6NBoVAgQJ6U1MVXOaj8PK2l7WJ3RER9xtqwdhxkhw/edit?usp=sharing"",""เพชรบุรี!J48"")"),0)</f>
        <v>0</v>
      </c>
      <c r="AD67" s="137">
        <f t="shared" ca="1" si="15"/>
        <v>0</v>
      </c>
    </row>
    <row r="68" spans="1:30" ht="21" customHeight="1">
      <c r="A68" s="73">
        <v>14</v>
      </c>
      <c r="B68" s="74" t="s">
        <v>92</v>
      </c>
      <c r="C68" s="75">
        <f t="shared" ca="1" si="0"/>
        <v>0</v>
      </c>
      <c r="D68" s="76">
        <f t="shared" ca="1" si="46"/>
        <v>0</v>
      </c>
      <c r="E68" s="77">
        <f ca="1">IFERROR(__xludf.DUMMYFUNCTION("IMPORTRANGE(""https://docs.google.com/spreadsheets/d/1C3CXT74ZlgGe6_JY_1olB1XN4rF0dxEuIIF-xsYjHgg/edit?usp=sharing"",""พรบ!P72"")"),0)</f>
        <v>0</v>
      </c>
      <c r="F68" s="77">
        <f ca="1">IFERROR(__xludf.DUMMYFUNCTION("IMPORTRANGE(""https://docs.google.com/spreadsheets/d/1C3CXT74ZlgGe6_JY_1olB1XN4rF0dxEuIIF-xsYjHgg/edit?usp=sharing"",""พรบ!Q72"")"),0)</f>
        <v>0</v>
      </c>
      <c r="G68" s="77">
        <f ca="1">IFERROR(__xludf.DUMMYFUNCTION("IMPORTRANGE(""https://docs.google.com/spreadsheets/d/1Yj_ptqi66GCucihVvJfMjLAmec39IyEx_6qawtMGysU/edit?usp=sharing"",""สบก!AP72"")"),0)</f>
        <v>0</v>
      </c>
      <c r="H68" s="77">
        <f ca="1">IFERROR(__xludf.DUMMYFUNCTION("IMPORTRANGE(""https://docs.google.com/spreadsheets/d/1Yj_ptqi66GCucihVvJfMjLAmec39IyEx_6qawtMGysU/edit?usp=sharing"",""สบก!AR72"")"),0)</f>
        <v>0</v>
      </c>
      <c r="I68" s="77">
        <f t="shared" ca="1" si="3"/>
        <v>0</v>
      </c>
      <c r="J68" s="137">
        <f t="shared" ca="1" si="4"/>
        <v>0</v>
      </c>
      <c r="K68" s="77">
        <f ca="1">IFERROR(__xludf.DUMMYFUNCTION("IMPORTRANGE(""https://docs.google.com/spreadsheets/d/1Yj_ptqi66GCucihVvJfMjLAmec39IyEx_6qawtMGysU/edit?usp=sharing"",""สบก!AS72"")"),0)</f>
        <v>0</v>
      </c>
      <c r="L68" s="137">
        <f t="shared" ca="1" si="5"/>
        <v>0</v>
      </c>
      <c r="M68" s="137">
        <f t="shared" ca="1" si="6"/>
        <v>0</v>
      </c>
      <c r="N68" s="137">
        <f ca="1">IFERROR(__xludf.DUMMYFUNCTION("IMPORTRANGE(""https://docs.google.com/spreadsheets/d/1Yj_ptqi66GCucihVvJfMjLAmec39IyEx_6qawtMGysU/edit?usp=sharing"",""สบก!AT72"")"),0)</f>
        <v>0</v>
      </c>
      <c r="O68" s="137">
        <f t="shared" ca="1" si="7"/>
        <v>0</v>
      </c>
      <c r="P68" s="77">
        <f ca="1">IFERROR(__xludf.DUMMYFUNCTION("IMPORTRANGE(""https://docs.google.com/spreadsheets/d/1C3CXT74ZlgGe6_JY_1olB1XN4rF0dxEuIIF-xsYjHgg/edit?usp=sharing"",""พรบ!R72"")"),0)</f>
        <v>0</v>
      </c>
      <c r="Q68" s="77">
        <f ca="1">IFERROR(__xludf.DUMMYFUNCTION("IMPORTRANGE(""https://docs.google.com/spreadsheets/d/1SX6NBoVAgQJ6U1MVXOaj8PK2l7WJ3RER9xtqwdhxkhw/edit?usp=sharing"",""ระยอง!J43"")"),0)</f>
        <v>0</v>
      </c>
      <c r="R68" s="79">
        <f t="shared" ca="1" si="9"/>
        <v>0</v>
      </c>
      <c r="S68" s="77">
        <f ca="1">IFERROR(__xludf.DUMMYFUNCTION("IMPORTRANGE(""https://docs.google.com/spreadsheets/d/1C3CXT74ZlgGe6_JY_1olB1XN4rF0dxEuIIF-xsYjHgg/edit?usp=sharing"",""พรบ!S72"")"),0)</f>
        <v>0</v>
      </c>
      <c r="T68" s="77">
        <f ca="1">IFERROR(__xludf.DUMMYFUNCTION("IMPORTRANGE(""https://docs.google.com/spreadsheets/d/1SX6NBoVAgQJ6U1MVXOaj8PK2l7WJ3RER9xtqwdhxkhw/edit?usp=sharing"",""ระยอง!J44"")"),0)</f>
        <v>0</v>
      </c>
      <c r="U68" s="79">
        <f t="shared" ca="1" si="10"/>
        <v>0</v>
      </c>
      <c r="V68" s="77">
        <f ca="1">IFERROR(__xludf.DUMMYFUNCTION("IMPORTRANGE(""https://docs.google.com/spreadsheets/d/1SX6NBoVAgQJ6U1MVXOaj8PK2l7WJ3RER9xtqwdhxkhw/edit?usp=sharing"",""ระยอง!J45"")"),0)</f>
        <v>0</v>
      </c>
      <c r="W68" s="79">
        <f t="shared" ca="1" si="11"/>
        <v>0</v>
      </c>
      <c r="X68" s="77">
        <f ca="1">IFERROR(__xludf.DUMMYFUNCTION("IMPORTRANGE(""https://docs.google.com/spreadsheets/d/1SX6NBoVAgQJ6U1MVXOaj8PK2l7WJ3RER9xtqwdhxkhw/edit?usp=sharing"",""ระยอง!J46"")"),0)</f>
        <v>0</v>
      </c>
      <c r="Y68" s="79">
        <f t="shared" ca="1" si="12"/>
        <v>0</v>
      </c>
      <c r="Z68" s="77">
        <f ca="1">IFERROR(__xludf.DUMMYFUNCTION("IMPORTRANGE(""https://docs.google.com/spreadsheets/d/1SX6NBoVAgQJ6U1MVXOaj8PK2l7WJ3RER9xtqwdhxkhw/edit?usp=sharing"",""ระยอง!J47"")"),0)</f>
        <v>0</v>
      </c>
      <c r="AA68" s="137">
        <f t="shared" ca="1" si="13"/>
        <v>0</v>
      </c>
      <c r="AB68" s="77">
        <f ca="1">IFERROR(__xludf.DUMMYFUNCTION("IMPORTRANGE(""https://docs.google.com/spreadsheets/d/1C3CXT74ZlgGe6_JY_1olB1XN4rF0dxEuIIF-xsYjHgg/edit?usp=sharing"",""พรบ!W72"")"),0)</f>
        <v>0</v>
      </c>
      <c r="AC68" s="77">
        <f ca="1">IFERROR(__xludf.DUMMYFUNCTION("IMPORTRANGE(""https://docs.google.com/spreadsheets/d/1SX6NBoVAgQJ6U1MVXOaj8PK2l7WJ3RER9xtqwdhxkhw/edit?usp=sharing"",""ระยอง!J48"")"),0)</f>
        <v>0</v>
      </c>
      <c r="AD68" s="137">
        <f t="shared" ca="1" si="15"/>
        <v>0</v>
      </c>
    </row>
    <row r="69" spans="1:30" ht="21" customHeight="1">
      <c r="A69" s="73">
        <v>15</v>
      </c>
      <c r="B69" s="74" t="s">
        <v>93</v>
      </c>
      <c r="C69" s="75">
        <f t="shared" ca="1" si="0"/>
        <v>316780</v>
      </c>
      <c r="D69" s="76">
        <f t="shared" ca="1" si="46"/>
        <v>131980</v>
      </c>
      <c r="E69" s="77">
        <f ca="1">IFERROR(__xludf.DUMMYFUNCTION("IMPORTRANGE(""https://docs.google.com/spreadsheets/d/1C3CXT74ZlgGe6_JY_1olB1XN4rF0dxEuIIF-xsYjHgg/edit?usp=sharing"",""พรบ!P73"")"),0)</f>
        <v>0</v>
      </c>
      <c r="F69" s="77">
        <f ca="1">IFERROR(__xludf.DUMMYFUNCTION("IMPORTRANGE(""https://docs.google.com/spreadsheets/d/1C3CXT74ZlgGe6_JY_1olB1XN4rF0dxEuIIF-xsYjHgg/edit?usp=sharing"",""พรบ!Q73"")"),131980)</f>
        <v>131980</v>
      </c>
      <c r="G69" s="77">
        <f ca="1">IFERROR(__xludf.DUMMYFUNCTION("IMPORTRANGE(""https://docs.google.com/spreadsheets/d/1Yj_ptqi66GCucihVvJfMjLAmec39IyEx_6qawtMGysU/edit?usp=sharing"",""สบก!AP73"")"),184800)</f>
        <v>184800</v>
      </c>
      <c r="H69" s="77">
        <f ca="1">IFERROR(__xludf.DUMMYFUNCTION("IMPORTRANGE(""https://docs.google.com/spreadsheets/d/1Yj_ptqi66GCucihVvJfMjLAmec39IyEx_6qawtMGysU/edit?usp=sharing"",""สบก!AR73"")"),131980)</f>
        <v>131980</v>
      </c>
      <c r="I69" s="77">
        <f t="shared" ca="1" si="3"/>
        <v>231846.36</v>
      </c>
      <c r="J69" s="137">
        <f t="shared" ca="1" si="4"/>
        <v>73.188446240292947</v>
      </c>
      <c r="K69" s="77">
        <f ca="1">IFERROR(__xludf.DUMMYFUNCTION("IMPORTRANGE(""https://docs.google.com/spreadsheets/d/1Yj_ptqi66GCucihVvJfMjLAmec39IyEx_6qawtMGysU/edit?usp=sharing"",""สบก!AS73"")"),47046.36)</f>
        <v>47046.36</v>
      </c>
      <c r="L69" s="137">
        <f t="shared" ca="1" si="5"/>
        <v>35.646582815578121</v>
      </c>
      <c r="M69" s="137">
        <f t="shared" ca="1" si="6"/>
        <v>35.646582815578121</v>
      </c>
      <c r="N69" s="137">
        <f ca="1">IFERROR(__xludf.DUMMYFUNCTION("IMPORTRANGE(""https://docs.google.com/spreadsheets/d/1Yj_ptqi66GCucihVvJfMjLAmec39IyEx_6qawtMGysU/edit?usp=sharing"",""สบก!AT73"")"),184800)</f>
        <v>184800</v>
      </c>
      <c r="O69" s="137">
        <f t="shared" ca="1" si="7"/>
        <v>100</v>
      </c>
      <c r="P69" s="77">
        <f ca="1">IFERROR(__xludf.DUMMYFUNCTION("IMPORTRANGE(""https://docs.google.com/spreadsheets/d/1C3CXT74ZlgGe6_JY_1olB1XN4rF0dxEuIIF-xsYjHgg/edit?usp=sharing"",""พรบ!R73"")"),1)</f>
        <v>1</v>
      </c>
      <c r="Q69" s="77">
        <f ca="1">IFERROR(__xludf.DUMMYFUNCTION("IMPORTRANGE(""https://docs.google.com/spreadsheets/d/1SX6NBoVAgQJ6U1MVXOaj8PK2l7WJ3RER9xtqwdhxkhw/edit?usp=sharing"",""ราชบุรี!J43"")"),1)</f>
        <v>1</v>
      </c>
      <c r="R69" s="79">
        <f t="shared" ca="1" si="9"/>
        <v>100</v>
      </c>
      <c r="S69" s="77">
        <f ca="1">IFERROR(__xludf.DUMMYFUNCTION("IMPORTRANGE(""https://docs.google.com/spreadsheets/d/1C3CXT74ZlgGe6_JY_1olB1XN4rF0dxEuIIF-xsYjHgg/edit?usp=sharing"",""พรบ!S73"")"),6)</f>
        <v>6</v>
      </c>
      <c r="T69" s="77">
        <f ca="1">IFERROR(__xludf.DUMMYFUNCTION("IMPORTRANGE(""https://docs.google.com/spreadsheets/d/1SX6NBoVAgQJ6U1MVXOaj8PK2l7WJ3RER9xtqwdhxkhw/edit?usp=sharing"",""ราชบุรี!J44"")"),6)</f>
        <v>6</v>
      </c>
      <c r="U69" s="79">
        <f t="shared" ca="1" si="10"/>
        <v>100</v>
      </c>
      <c r="V69" s="77">
        <f ca="1">IFERROR(__xludf.DUMMYFUNCTION("IMPORTRANGE(""https://docs.google.com/spreadsheets/d/1SX6NBoVAgQJ6U1MVXOaj8PK2l7WJ3RER9xtqwdhxkhw/edit?usp=sharing"",""ราชบุรี!J45"")"),6)</f>
        <v>6</v>
      </c>
      <c r="W69" s="79">
        <f t="shared" ca="1" si="11"/>
        <v>100</v>
      </c>
      <c r="X69" s="77">
        <f ca="1">IFERROR(__xludf.DUMMYFUNCTION("IMPORTRANGE(""https://docs.google.com/spreadsheets/d/1SX6NBoVAgQJ6U1MVXOaj8PK2l7WJ3RER9xtqwdhxkhw/edit?usp=sharing"",""ราชบุรี!J46"")"),6)</f>
        <v>6</v>
      </c>
      <c r="Y69" s="79">
        <f t="shared" ca="1" si="12"/>
        <v>100</v>
      </c>
      <c r="Z69" s="77">
        <f ca="1">IFERROR(__xludf.DUMMYFUNCTION("IMPORTRANGE(""https://docs.google.com/spreadsheets/d/1SX6NBoVAgQJ6U1MVXOaj8PK2l7WJ3RER9xtqwdhxkhw/edit?usp=sharing"",""ราชบุรี!J47"")"),6)</f>
        <v>6</v>
      </c>
      <c r="AA69" s="137">
        <f t="shared" ca="1" si="13"/>
        <v>100</v>
      </c>
      <c r="AB69" s="77">
        <f ca="1">IFERROR(__xludf.DUMMYFUNCTION("IMPORTRANGE(""https://docs.google.com/spreadsheets/d/1C3CXT74ZlgGe6_JY_1olB1XN4rF0dxEuIIF-xsYjHgg/edit?usp=sharing"",""พรบ!W73"")"),2)</f>
        <v>2</v>
      </c>
      <c r="AC69" s="77">
        <f ca="1">IFERROR(__xludf.DUMMYFUNCTION("IMPORTRANGE(""https://docs.google.com/spreadsheets/d/1SX6NBoVAgQJ6U1MVXOaj8PK2l7WJ3RER9xtqwdhxkhw/edit?usp=sharing"",""ราชบุรี!J48"")"),0)</f>
        <v>0</v>
      </c>
      <c r="AD69" s="137">
        <f t="shared" ca="1" si="15"/>
        <v>0</v>
      </c>
    </row>
    <row r="70" spans="1:30" ht="24" customHeight="1">
      <c r="A70" s="73">
        <v>16</v>
      </c>
      <c r="B70" s="74" t="s">
        <v>94</v>
      </c>
      <c r="C70" s="75">
        <f t="shared" ca="1" si="0"/>
        <v>0</v>
      </c>
      <c r="D70" s="76">
        <f t="shared" ca="1" si="46"/>
        <v>0</v>
      </c>
      <c r="E70" s="77">
        <f ca="1">IFERROR(__xludf.DUMMYFUNCTION("IMPORTRANGE(""https://docs.google.com/spreadsheets/d/1C3CXT74ZlgGe6_JY_1olB1XN4rF0dxEuIIF-xsYjHgg/edit?usp=sharing"",""พรบ!P74"")"),0)</f>
        <v>0</v>
      </c>
      <c r="F70" s="77">
        <f ca="1">IFERROR(__xludf.DUMMYFUNCTION("IMPORTRANGE(""https://docs.google.com/spreadsheets/d/1C3CXT74ZlgGe6_JY_1olB1XN4rF0dxEuIIF-xsYjHgg/edit?usp=sharing"",""พรบ!Q74"")"),0)</f>
        <v>0</v>
      </c>
      <c r="G70" s="77">
        <f ca="1">IFERROR(__xludf.DUMMYFUNCTION("IMPORTRANGE(""https://docs.google.com/spreadsheets/d/1Yj_ptqi66GCucihVvJfMjLAmec39IyEx_6qawtMGysU/edit?usp=sharing"",""สบก!AP74"")"),0)</f>
        <v>0</v>
      </c>
      <c r="H70" s="77">
        <f ca="1">IFERROR(__xludf.DUMMYFUNCTION("IMPORTRANGE(""https://docs.google.com/spreadsheets/d/1Yj_ptqi66GCucihVvJfMjLAmec39IyEx_6qawtMGysU/edit?usp=sharing"",""สบก!AR74"")"),0)</f>
        <v>0</v>
      </c>
      <c r="I70" s="77">
        <f t="shared" ca="1" si="3"/>
        <v>0</v>
      </c>
      <c r="J70" s="137">
        <f t="shared" ca="1" si="4"/>
        <v>0</v>
      </c>
      <c r="K70" s="77">
        <f ca="1">IFERROR(__xludf.DUMMYFUNCTION("IMPORTRANGE(""https://docs.google.com/spreadsheets/d/1Yj_ptqi66GCucihVvJfMjLAmec39IyEx_6qawtMGysU/edit?usp=sharing"",""สบก!AS74"")"),0)</f>
        <v>0</v>
      </c>
      <c r="L70" s="137">
        <f t="shared" ca="1" si="5"/>
        <v>0</v>
      </c>
      <c r="M70" s="137">
        <f t="shared" ca="1" si="6"/>
        <v>0</v>
      </c>
      <c r="N70" s="137">
        <f ca="1">IFERROR(__xludf.DUMMYFUNCTION("IMPORTRANGE(""https://docs.google.com/spreadsheets/d/1Yj_ptqi66GCucihVvJfMjLAmec39IyEx_6qawtMGysU/edit?usp=sharing"",""สบก!AT74"")"),0)</f>
        <v>0</v>
      </c>
      <c r="O70" s="137">
        <f t="shared" ca="1" si="7"/>
        <v>0</v>
      </c>
      <c r="P70" s="77">
        <f ca="1">IFERROR(__xludf.DUMMYFUNCTION("IMPORTRANGE(""https://docs.google.com/spreadsheets/d/1C3CXT74ZlgGe6_JY_1olB1XN4rF0dxEuIIF-xsYjHgg/edit?usp=sharing"",""พรบ!R74"")"),0)</f>
        <v>0</v>
      </c>
      <c r="Q70" s="77">
        <f ca="1">IFERROR(__xludf.DUMMYFUNCTION("IMPORTRANGE(""https://docs.google.com/spreadsheets/d/1SX6NBoVAgQJ6U1MVXOaj8PK2l7WJ3RER9xtqwdhxkhw/edit?usp=sharing"",""ลพบุรี!J43"")"),0)</f>
        <v>0</v>
      </c>
      <c r="R70" s="79">
        <f t="shared" ca="1" si="9"/>
        <v>0</v>
      </c>
      <c r="S70" s="77">
        <f ca="1">IFERROR(__xludf.DUMMYFUNCTION("IMPORTRANGE(""https://docs.google.com/spreadsheets/d/1C3CXT74ZlgGe6_JY_1olB1XN4rF0dxEuIIF-xsYjHgg/edit?usp=sharing"",""พรบ!S74"")"),0)</f>
        <v>0</v>
      </c>
      <c r="T70" s="77">
        <f ca="1">IFERROR(__xludf.DUMMYFUNCTION("IMPORTRANGE(""https://docs.google.com/spreadsheets/d/1SX6NBoVAgQJ6U1MVXOaj8PK2l7WJ3RER9xtqwdhxkhw/edit?usp=sharing"",""ลพบุรี!J44"")"),0)</f>
        <v>0</v>
      </c>
      <c r="U70" s="79">
        <f t="shared" ca="1" si="10"/>
        <v>0</v>
      </c>
      <c r="V70" s="77">
        <f ca="1">IFERROR(__xludf.DUMMYFUNCTION("IMPORTRANGE(""https://docs.google.com/spreadsheets/d/1SX6NBoVAgQJ6U1MVXOaj8PK2l7WJ3RER9xtqwdhxkhw/edit?usp=sharing"",""ลพบุรี!J45"")"),0)</f>
        <v>0</v>
      </c>
      <c r="W70" s="79">
        <f t="shared" ca="1" si="11"/>
        <v>0</v>
      </c>
      <c r="X70" s="77">
        <f ca="1">IFERROR(__xludf.DUMMYFUNCTION("IMPORTRANGE(""https://docs.google.com/spreadsheets/d/1SX6NBoVAgQJ6U1MVXOaj8PK2l7WJ3RER9xtqwdhxkhw/edit?usp=sharing"",""ลพบุรี!J46"")"),0)</f>
        <v>0</v>
      </c>
      <c r="Y70" s="79">
        <f t="shared" ca="1" si="12"/>
        <v>0</v>
      </c>
      <c r="Z70" s="77">
        <f ca="1">IFERROR(__xludf.DUMMYFUNCTION("IMPORTRANGE(""https://docs.google.com/spreadsheets/d/1SX6NBoVAgQJ6U1MVXOaj8PK2l7WJ3RER9xtqwdhxkhw/edit?usp=sharing"",""ลพบุรี!J47"")"),0)</f>
        <v>0</v>
      </c>
      <c r="AA70" s="137">
        <f t="shared" ca="1" si="13"/>
        <v>0</v>
      </c>
      <c r="AB70" s="77">
        <f ca="1">IFERROR(__xludf.DUMMYFUNCTION("IMPORTRANGE(""https://docs.google.com/spreadsheets/d/1C3CXT74ZlgGe6_JY_1olB1XN4rF0dxEuIIF-xsYjHgg/edit?usp=sharing"",""พรบ!W74"")"),0)</f>
        <v>0</v>
      </c>
      <c r="AC70" s="77">
        <f ca="1">IFERROR(__xludf.DUMMYFUNCTION("IMPORTRANGE(""https://docs.google.com/spreadsheets/d/1SX6NBoVAgQJ6U1MVXOaj8PK2l7WJ3RER9xtqwdhxkhw/edit?usp=sharing"",""ลพบุรี!J48"")"),0)</f>
        <v>0</v>
      </c>
      <c r="AD70" s="137">
        <f t="shared" ca="1" si="15"/>
        <v>0</v>
      </c>
    </row>
    <row r="71" spans="1:30" ht="21" customHeight="1">
      <c r="A71" s="73">
        <v>17</v>
      </c>
      <c r="B71" s="74" t="s">
        <v>95</v>
      </c>
      <c r="C71" s="75">
        <f t="shared" ca="1" si="0"/>
        <v>0</v>
      </c>
      <c r="D71" s="76">
        <f t="shared" ca="1" si="46"/>
        <v>0</v>
      </c>
      <c r="E71" s="77">
        <f ca="1">IFERROR(__xludf.DUMMYFUNCTION("IMPORTRANGE(""https://docs.google.com/spreadsheets/d/1C3CXT74ZlgGe6_JY_1olB1XN4rF0dxEuIIF-xsYjHgg/edit?usp=sharing"",""พรบ!P75"")"),0)</f>
        <v>0</v>
      </c>
      <c r="F71" s="77">
        <f ca="1">IFERROR(__xludf.DUMMYFUNCTION("IMPORTRANGE(""https://docs.google.com/spreadsheets/d/1C3CXT74ZlgGe6_JY_1olB1XN4rF0dxEuIIF-xsYjHgg/edit?usp=sharing"",""พรบ!Q75"")"),0)</f>
        <v>0</v>
      </c>
      <c r="G71" s="77">
        <f ca="1">IFERROR(__xludf.DUMMYFUNCTION("IMPORTRANGE(""https://docs.google.com/spreadsheets/d/1Yj_ptqi66GCucihVvJfMjLAmec39IyEx_6qawtMGysU/edit?usp=sharing"",""สบก!AP75"")"),0)</f>
        <v>0</v>
      </c>
      <c r="H71" s="77">
        <f ca="1">IFERROR(__xludf.DUMMYFUNCTION("IMPORTRANGE(""https://docs.google.com/spreadsheets/d/1Yj_ptqi66GCucihVvJfMjLAmec39IyEx_6qawtMGysU/edit?usp=sharing"",""สบก!AR75"")"),0)</f>
        <v>0</v>
      </c>
      <c r="I71" s="77">
        <f t="shared" ca="1" si="3"/>
        <v>0</v>
      </c>
      <c r="J71" s="137">
        <f t="shared" ca="1" si="4"/>
        <v>0</v>
      </c>
      <c r="K71" s="77">
        <f ca="1">IFERROR(__xludf.DUMMYFUNCTION("IMPORTRANGE(""https://docs.google.com/spreadsheets/d/1Yj_ptqi66GCucihVvJfMjLAmec39IyEx_6qawtMGysU/edit?usp=sharing"",""สบก!AS75"")"),0)</f>
        <v>0</v>
      </c>
      <c r="L71" s="137">
        <f t="shared" ca="1" si="5"/>
        <v>0</v>
      </c>
      <c r="M71" s="137">
        <f t="shared" ca="1" si="6"/>
        <v>0</v>
      </c>
      <c r="N71" s="137">
        <f ca="1">IFERROR(__xludf.DUMMYFUNCTION("IMPORTRANGE(""https://docs.google.com/spreadsheets/d/1Yj_ptqi66GCucihVvJfMjLAmec39IyEx_6qawtMGysU/edit?usp=sharing"",""สบก!AT75"")"),0)</f>
        <v>0</v>
      </c>
      <c r="O71" s="137">
        <f t="shared" ca="1" si="7"/>
        <v>0</v>
      </c>
      <c r="P71" s="77">
        <f ca="1">IFERROR(__xludf.DUMMYFUNCTION("IMPORTRANGE(""https://docs.google.com/spreadsheets/d/1C3CXT74ZlgGe6_JY_1olB1XN4rF0dxEuIIF-xsYjHgg/edit?usp=sharing"",""พรบ!R75"")"),0)</f>
        <v>0</v>
      </c>
      <c r="Q71" s="77">
        <f ca="1">IFERROR(__xludf.DUMMYFUNCTION("IMPORTRANGE(""https://docs.google.com/spreadsheets/d/1SX6NBoVAgQJ6U1MVXOaj8PK2l7WJ3RER9xtqwdhxkhw/edit?usp=sharing"",""สระแก้ว!J43"")"),0)</f>
        <v>0</v>
      </c>
      <c r="R71" s="79">
        <f t="shared" ca="1" si="9"/>
        <v>0</v>
      </c>
      <c r="S71" s="77">
        <f ca="1">IFERROR(__xludf.DUMMYFUNCTION("IMPORTRANGE(""https://docs.google.com/spreadsheets/d/1C3CXT74ZlgGe6_JY_1olB1XN4rF0dxEuIIF-xsYjHgg/edit?usp=sharing"",""พรบ!S75"")"),0)</f>
        <v>0</v>
      </c>
      <c r="T71" s="77">
        <f ca="1">IFERROR(__xludf.DUMMYFUNCTION("IMPORTRANGE(""https://docs.google.com/spreadsheets/d/1SX6NBoVAgQJ6U1MVXOaj8PK2l7WJ3RER9xtqwdhxkhw/edit?usp=sharing"",""สระแก้ว!J44"")"),0)</f>
        <v>0</v>
      </c>
      <c r="U71" s="79">
        <f t="shared" ca="1" si="10"/>
        <v>0</v>
      </c>
      <c r="V71" s="77">
        <f ca="1">IFERROR(__xludf.DUMMYFUNCTION("IMPORTRANGE(""https://docs.google.com/spreadsheets/d/1SX6NBoVAgQJ6U1MVXOaj8PK2l7WJ3RER9xtqwdhxkhw/edit?usp=sharing"",""สระแก้ว!J45"")"),0)</f>
        <v>0</v>
      </c>
      <c r="W71" s="79">
        <f t="shared" ca="1" si="11"/>
        <v>0</v>
      </c>
      <c r="X71" s="77">
        <f ca="1">IFERROR(__xludf.DUMMYFUNCTION("IMPORTRANGE(""https://docs.google.com/spreadsheets/d/1SX6NBoVAgQJ6U1MVXOaj8PK2l7WJ3RER9xtqwdhxkhw/edit?usp=sharing"",""สระแก้ว!J46"")"),0)</f>
        <v>0</v>
      </c>
      <c r="Y71" s="79">
        <f t="shared" ca="1" si="12"/>
        <v>0</v>
      </c>
      <c r="Z71" s="77">
        <f ca="1">IFERROR(__xludf.DUMMYFUNCTION("IMPORTRANGE(""https://docs.google.com/spreadsheets/d/1SX6NBoVAgQJ6U1MVXOaj8PK2l7WJ3RER9xtqwdhxkhw/edit?usp=sharing"",""สระแก้ว!J47"")"),0)</f>
        <v>0</v>
      </c>
      <c r="AA71" s="137">
        <f t="shared" ca="1" si="13"/>
        <v>0</v>
      </c>
      <c r="AB71" s="77">
        <f ca="1">IFERROR(__xludf.DUMMYFUNCTION("IMPORTRANGE(""https://docs.google.com/spreadsheets/d/1C3CXT74ZlgGe6_JY_1olB1XN4rF0dxEuIIF-xsYjHgg/edit?usp=sharing"",""พรบ!W75"")"),0)</f>
        <v>0</v>
      </c>
      <c r="AC71" s="77">
        <f ca="1">IFERROR(__xludf.DUMMYFUNCTION("IMPORTRANGE(""https://docs.google.com/spreadsheets/d/1SX6NBoVAgQJ6U1MVXOaj8PK2l7WJ3RER9xtqwdhxkhw/edit?usp=sharing"",""สระแก้ว!J48"")"),0)</f>
        <v>0</v>
      </c>
      <c r="AD71" s="137">
        <f t="shared" ca="1" si="15"/>
        <v>0</v>
      </c>
    </row>
    <row r="72" spans="1:30" ht="21" customHeight="1">
      <c r="A72" s="73">
        <v>18</v>
      </c>
      <c r="B72" s="74" t="s">
        <v>96</v>
      </c>
      <c r="C72" s="75">
        <f t="shared" ca="1" si="0"/>
        <v>214500</v>
      </c>
      <c r="D72" s="76">
        <f t="shared" ca="1" si="46"/>
        <v>122100</v>
      </c>
      <c r="E72" s="77">
        <f ca="1">IFERROR(__xludf.DUMMYFUNCTION("IMPORTRANGE(""https://docs.google.com/spreadsheets/d/1C3CXT74ZlgGe6_JY_1olB1XN4rF0dxEuIIF-xsYjHgg/edit?usp=sharing"",""พรบ!P76"")"),0)</f>
        <v>0</v>
      </c>
      <c r="F72" s="77">
        <f ca="1">IFERROR(__xludf.DUMMYFUNCTION("IMPORTRANGE(""https://docs.google.com/spreadsheets/d/1C3CXT74ZlgGe6_JY_1olB1XN4rF0dxEuIIF-xsYjHgg/edit?usp=sharing"",""พรบ!Q76"")"),122100)</f>
        <v>122100</v>
      </c>
      <c r="G72" s="77">
        <f ca="1">IFERROR(__xludf.DUMMYFUNCTION("IMPORTRANGE(""https://docs.google.com/spreadsheets/d/1Yj_ptqi66GCucihVvJfMjLAmec39IyEx_6qawtMGysU/edit?usp=sharing"",""สบก!AP76"")"),92400)</f>
        <v>92400</v>
      </c>
      <c r="H72" s="77">
        <f ca="1">IFERROR(__xludf.DUMMYFUNCTION("IMPORTRANGE(""https://docs.google.com/spreadsheets/d/1Yj_ptqi66GCucihVvJfMjLAmec39IyEx_6qawtMGysU/edit?usp=sharing"",""สบก!AR76"")"),122100)</f>
        <v>122100</v>
      </c>
      <c r="I72" s="77">
        <f t="shared" ca="1" si="3"/>
        <v>157920</v>
      </c>
      <c r="J72" s="137">
        <f t="shared" ca="1" si="4"/>
        <v>73.622377622377627</v>
      </c>
      <c r="K72" s="77">
        <f ca="1">IFERROR(__xludf.DUMMYFUNCTION("IMPORTRANGE(""https://docs.google.com/spreadsheets/d/1Yj_ptqi66GCucihVvJfMjLAmec39IyEx_6qawtMGysU/edit?usp=sharing"",""สบก!AS76"")"),65520)</f>
        <v>65520</v>
      </c>
      <c r="L72" s="137">
        <f t="shared" ca="1" si="5"/>
        <v>53.660933660933658</v>
      </c>
      <c r="M72" s="137">
        <f t="shared" ca="1" si="6"/>
        <v>53.660933660933658</v>
      </c>
      <c r="N72" s="137">
        <f ca="1">IFERROR(__xludf.DUMMYFUNCTION("IMPORTRANGE(""https://docs.google.com/spreadsheets/d/1Yj_ptqi66GCucihVvJfMjLAmec39IyEx_6qawtMGysU/edit?usp=sharing"",""สบก!AT76"")"),92400)</f>
        <v>92400</v>
      </c>
      <c r="O72" s="137">
        <f t="shared" ca="1" si="7"/>
        <v>100</v>
      </c>
      <c r="P72" s="77">
        <f ca="1">IFERROR(__xludf.DUMMYFUNCTION("IMPORTRANGE(""https://docs.google.com/spreadsheets/d/1C3CXT74ZlgGe6_JY_1olB1XN4rF0dxEuIIF-xsYjHgg/edit?usp=sharing"",""พรบ!R76"")"),1)</f>
        <v>1</v>
      </c>
      <c r="Q72" s="77">
        <f ca="1">IFERROR(__xludf.DUMMYFUNCTION("IMPORTRANGE(""https://docs.google.com/spreadsheets/d/1SX6NBoVAgQJ6U1MVXOaj8PK2l7WJ3RER9xtqwdhxkhw/edit?usp=sharing"",""สระบุรี!J43"")"),1)</f>
        <v>1</v>
      </c>
      <c r="R72" s="79">
        <f t="shared" ca="1" si="9"/>
        <v>100</v>
      </c>
      <c r="S72" s="77">
        <f ca="1">IFERROR(__xludf.DUMMYFUNCTION("IMPORTRANGE(""https://docs.google.com/spreadsheets/d/1C3CXT74ZlgGe6_JY_1olB1XN4rF0dxEuIIF-xsYjHgg/edit?usp=sharing"",""พรบ!S76"")"),4)</f>
        <v>4</v>
      </c>
      <c r="T72" s="77">
        <f ca="1">IFERROR(__xludf.DUMMYFUNCTION("IMPORTRANGE(""https://docs.google.com/spreadsheets/d/1SX6NBoVAgQJ6U1MVXOaj8PK2l7WJ3RER9xtqwdhxkhw/edit?usp=sharing"",""สระบุรี!J44"")"),4)</f>
        <v>4</v>
      </c>
      <c r="U72" s="79">
        <f t="shared" ca="1" si="10"/>
        <v>100</v>
      </c>
      <c r="V72" s="77">
        <f ca="1">IFERROR(__xludf.DUMMYFUNCTION("IMPORTRANGE(""https://docs.google.com/spreadsheets/d/1SX6NBoVAgQJ6U1MVXOaj8PK2l7WJ3RER9xtqwdhxkhw/edit?usp=sharing"",""สระบุรี!J45"")"),4)</f>
        <v>4</v>
      </c>
      <c r="W72" s="79">
        <f t="shared" ca="1" si="11"/>
        <v>100</v>
      </c>
      <c r="X72" s="77">
        <f ca="1">IFERROR(__xludf.DUMMYFUNCTION("IMPORTRANGE(""https://docs.google.com/spreadsheets/d/1SX6NBoVAgQJ6U1MVXOaj8PK2l7WJ3RER9xtqwdhxkhw/edit?usp=sharing"",""สระบุรี!J46"")"),4)</f>
        <v>4</v>
      </c>
      <c r="Y72" s="79">
        <f t="shared" ca="1" si="12"/>
        <v>100</v>
      </c>
      <c r="Z72" s="77">
        <f ca="1">IFERROR(__xludf.DUMMYFUNCTION("IMPORTRANGE(""https://docs.google.com/spreadsheets/d/1SX6NBoVAgQJ6U1MVXOaj8PK2l7WJ3RER9xtqwdhxkhw/edit?usp=sharing"",""สระบุรี!J47"")"),4)</f>
        <v>4</v>
      </c>
      <c r="AA72" s="137">
        <f t="shared" ca="1" si="13"/>
        <v>100</v>
      </c>
      <c r="AB72" s="77">
        <f ca="1">IFERROR(__xludf.DUMMYFUNCTION("IMPORTRANGE(""https://docs.google.com/spreadsheets/d/1C3CXT74ZlgGe6_JY_1olB1XN4rF0dxEuIIF-xsYjHgg/edit?usp=sharing"",""พรบ!W76"")"),1)</f>
        <v>1</v>
      </c>
      <c r="AC72" s="77">
        <f ca="1">IFERROR(__xludf.DUMMYFUNCTION("IMPORTRANGE(""https://docs.google.com/spreadsheets/d/1SX6NBoVAgQJ6U1MVXOaj8PK2l7WJ3RER9xtqwdhxkhw/edit?usp=sharing"",""สระบุรี!J48"")"),0)</f>
        <v>0</v>
      </c>
      <c r="AD72" s="137">
        <f t="shared" ca="1" si="15"/>
        <v>0</v>
      </c>
    </row>
    <row r="73" spans="1:30" ht="21" customHeight="1">
      <c r="A73" s="73">
        <v>19</v>
      </c>
      <c r="B73" s="74" t="s">
        <v>97</v>
      </c>
      <c r="C73" s="75">
        <f t="shared" ca="1" si="0"/>
        <v>0</v>
      </c>
      <c r="D73" s="76">
        <f t="shared" ca="1" si="46"/>
        <v>0</v>
      </c>
      <c r="E73" s="77">
        <f ca="1">IFERROR(__xludf.DUMMYFUNCTION("IMPORTRANGE(""https://docs.google.com/spreadsheets/d/1C3CXT74ZlgGe6_JY_1olB1XN4rF0dxEuIIF-xsYjHgg/edit?usp=sharing"",""พรบ!P77"")"),0)</f>
        <v>0</v>
      </c>
      <c r="F73" s="77">
        <f ca="1">IFERROR(__xludf.DUMMYFUNCTION("IMPORTRANGE(""https://docs.google.com/spreadsheets/d/1C3CXT74ZlgGe6_JY_1olB1XN4rF0dxEuIIF-xsYjHgg/edit?usp=sharing"",""พรบ!Q77"")"),0)</f>
        <v>0</v>
      </c>
      <c r="G73" s="77">
        <f ca="1">IFERROR(__xludf.DUMMYFUNCTION("IMPORTRANGE(""https://docs.google.com/spreadsheets/d/1Yj_ptqi66GCucihVvJfMjLAmec39IyEx_6qawtMGysU/edit?usp=sharing"",""สบก!AP77"")"),0)</f>
        <v>0</v>
      </c>
      <c r="H73" s="77">
        <f ca="1">IFERROR(__xludf.DUMMYFUNCTION("IMPORTRANGE(""https://docs.google.com/spreadsheets/d/1Yj_ptqi66GCucihVvJfMjLAmec39IyEx_6qawtMGysU/edit?usp=sharing"",""สบก!AR77"")"),0)</f>
        <v>0</v>
      </c>
      <c r="I73" s="77">
        <f t="shared" ca="1" si="3"/>
        <v>0</v>
      </c>
      <c r="J73" s="137">
        <f t="shared" ca="1" si="4"/>
        <v>0</v>
      </c>
      <c r="K73" s="77">
        <f ca="1">IFERROR(__xludf.DUMMYFUNCTION("IMPORTRANGE(""https://docs.google.com/spreadsheets/d/1Yj_ptqi66GCucihVvJfMjLAmec39IyEx_6qawtMGysU/edit?usp=sharing"",""สบก!AS77"")"),0)</f>
        <v>0</v>
      </c>
      <c r="L73" s="137">
        <f t="shared" ca="1" si="5"/>
        <v>0</v>
      </c>
      <c r="M73" s="137">
        <f t="shared" ca="1" si="6"/>
        <v>0</v>
      </c>
      <c r="N73" s="137">
        <f ca="1">IFERROR(__xludf.DUMMYFUNCTION("IMPORTRANGE(""https://docs.google.com/spreadsheets/d/1Yj_ptqi66GCucihVvJfMjLAmec39IyEx_6qawtMGysU/edit?usp=sharing"",""สบก!AT77"")"),0)</f>
        <v>0</v>
      </c>
      <c r="O73" s="137">
        <f t="shared" ca="1" si="7"/>
        <v>0</v>
      </c>
      <c r="P73" s="77">
        <f ca="1">IFERROR(__xludf.DUMMYFUNCTION("IMPORTRANGE(""https://docs.google.com/spreadsheets/d/1C3CXT74ZlgGe6_JY_1olB1XN4rF0dxEuIIF-xsYjHgg/edit?usp=sharing"",""พรบ!R77"")"),0)</f>
        <v>0</v>
      </c>
      <c r="Q73" s="77">
        <f ca="1">IFERROR(__xludf.DUMMYFUNCTION("IMPORTRANGE(""https://docs.google.com/spreadsheets/d/1SX6NBoVAgQJ6U1MVXOaj8PK2l7WJ3RER9xtqwdhxkhw/edit?usp=sharing"",""สิงห์บุรี!J43"")"),0)</f>
        <v>0</v>
      </c>
      <c r="R73" s="79">
        <f t="shared" ca="1" si="9"/>
        <v>0</v>
      </c>
      <c r="S73" s="77">
        <f ca="1">IFERROR(__xludf.DUMMYFUNCTION("IMPORTRANGE(""https://docs.google.com/spreadsheets/d/1C3CXT74ZlgGe6_JY_1olB1XN4rF0dxEuIIF-xsYjHgg/edit?usp=sharing"",""พรบ!S77"")"),0)</f>
        <v>0</v>
      </c>
      <c r="T73" s="77">
        <f ca="1">IFERROR(__xludf.DUMMYFUNCTION("IMPORTRANGE(""https://docs.google.com/spreadsheets/d/1SX6NBoVAgQJ6U1MVXOaj8PK2l7WJ3RER9xtqwdhxkhw/edit?usp=sharing"",""สิงห์บุรี!J44"")"),0)</f>
        <v>0</v>
      </c>
      <c r="U73" s="79">
        <f t="shared" ca="1" si="10"/>
        <v>0</v>
      </c>
      <c r="V73" s="77">
        <f ca="1">IFERROR(__xludf.DUMMYFUNCTION("IMPORTRANGE(""https://docs.google.com/spreadsheets/d/1SX6NBoVAgQJ6U1MVXOaj8PK2l7WJ3RER9xtqwdhxkhw/edit?usp=sharing"",""สิงห์บุรี!J45"")"),0)</f>
        <v>0</v>
      </c>
      <c r="W73" s="79">
        <f t="shared" ca="1" si="11"/>
        <v>0</v>
      </c>
      <c r="X73" s="77">
        <f ca="1">IFERROR(__xludf.DUMMYFUNCTION("IMPORTRANGE(""https://docs.google.com/spreadsheets/d/1SX6NBoVAgQJ6U1MVXOaj8PK2l7WJ3RER9xtqwdhxkhw/edit?usp=sharing"",""สิงห์บุรี!J46"")"),0)</f>
        <v>0</v>
      </c>
      <c r="Y73" s="79">
        <f t="shared" ca="1" si="12"/>
        <v>0</v>
      </c>
      <c r="Z73" s="77">
        <f ca="1">IFERROR(__xludf.DUMMYFUNCTION("IMPORTRANGE(""https://docs.google.com/spreadsheets/d/1SX6NBoVAgQJ6U1MVXOaj8PK2l7WJ3RER9xtqwdhxkhw/edit?usp=sharing"",""สิงห์บุรี!J47"")"),0)</f>
        <v>0</v>
      </c>
      <c r="AA73" s="137">
        <f t="shared" ca="1" si="13"/>
        <v>0</v>
      </c>
      <c r="AB73" s="77">
        <f ca="1">IFERROR(__xludf.DUMMYFUNCTION("IMPORTRANGE(""https://docs.google.com/spreadsheets/d/1C3CXT74ZlgGe6_JY_1olB1XN4rF0dxEuIIF-xsYjHgg/edit?usp=sharing"",""พรบ!W77"")"),0)</f>
        <v>0</v>
      </c>
      <c r="AC73" s="77">
        <f ca="1">IFERROR(__xludf.DUMMYFUNCTION("IMPORTRANGE(""https://docs.google.com/spreadsheets/d/1SX6NBoVAgQJ6U1MVXOaj8PK2l7WJ3RER9xtqwdhxkhw/edit?usp=sharing"",""สิงห์บุรี!J48"")"),0)</f>
        <v>0</v>
      </c>
      <c r="AD73" s="137">
        <f t="shared" ca="1" si="15"/>
        <v>0</v>
      </c>
    </row>
    <row r="74" spans="1:30" ht="21" customHeight="1">
      <c r="A74" s="73">
        <v>20</v>
      </c>
      <c r="B74" s="74" t="s">
        <v>98</v>
      </c>
      <c r="C74" s="75">
        <f t="shared" ca="1" si="0"/>
        <v>0</v>
      </c>
      <c r="D74" s="76">
        <f t="shared" ca="1" si="46"/>
        <v>0</v>
      </c>
      <c r="E74" s="77">
        <f ca="1">IFERROR(__xludf.DUMMYFUNCTION("IMPORTRANGE(""https://docs.google.com/spreadsheets/d/1C3CXT74ZlgGe6_JY_1olB1XN4rF0dxEuIIF-xsYjHgg/edit?usp=sharing"",""พรบ!P78"")"),0)</f>
        <v>0</v>
      </c>
      <c r="F74" s="77">
        <f ca="1">IFERROR(__xludf.DUMMYFUNCTION("IMPORTRANGE(""https://docs.google.com/spreadsheets/d/1C3CXT74ZlgGe6_JY_1olB1XN4rF0dxEuIIF-xsYjHgg/edit?usp=sharing"",""พรบ!Q78"")"),0)</f>
        <v>0</v>
      </c>
      <c r="G74" s="77">
        <f ca="1">IFERROR(__xludf.DUMMYFUNCTION("IMPORTRANGE(""https://docs.google.com/spreadsheets/d/1Yj_ptqi66GCucihVvJfMjLAmec39IyEx_6qawtMGysU/edit?usp=sharing"",""สบก!AP78"")"),0)</f>
        <v>0</v>
      </c>
      <c r="H74" s="77">
        <f ca="1">IFERROR(__xludf.DUMMYFUNCTION("IMPORTRANGE(""https://docs.google.com/spreadsheets/d/1Yj_ptqi66GCucihVvJfMjLAmec39IyEx_6qawtMGysU/edit?usp=sharing"",""สบก!AR78"")"),0)</f>
        <v>0</v>
      </c>
      <c r="I74" s="77">
        <f t="shared" ca="1" si="3"/>
        <v>0</v>
      </c>
      <c r="J74" s="137">
        <f t="shared" ca="1" si="4"/>
        <v>0</v>
      </c>
      <c r="K74" s="77">
        <f ca="1">IFERROR(__xludf.DUMMYFUNCTION("IMPORTRANGE(""https://docs.google.com/spreadsheets/d/1Yj_ptqi66GCucihVvJfMjLAmec39IyEx_6qawtMGysU/edit?usp=sharing"",""สบก!AS78"")"),0)</f>
        <v>0</v>
      </c>
      <c r="L74" s="137">
        <f t="shared" ca="1" si="5"/>
        <v>0</v>
      </c>
      <c r="M74" s="137">
        <f t="shared" ca="1" si="6"/>
        <v>0</v>
      </c>
      <c r="N74" s="137">
        <f ca="1">IFERROR(__xludf.DUMMYFUNCTION("IMPORTRANGE(""https://docs.google.com/spreadsheets/d/1Yj_ptqi66GCucihVvJfMjLAmec39IyEx_6qawtMGysU/edit?usp=sharing"",""สบก!AT78"")"),0)</f>
        <v>0</v>
      </c>
      <c r="O74" s="137">
        <f t="shared" ca="1" si="7"/>
        <v>0</v>
      </c>
      <c r="P74" s="77">
        <f ca="1">IFERROR(__xludf.DUMMYFUNCTION("IMPORTRANGE(""https://docs.google.com/spreadsheets/d/1C3CXT74ZlgGe6_JY_1olB1XN4rF0dxEuIIF-xsYjHgg/edit?usp=sharing"",""พรบ!R78"")"),0)</f>
        <v>0</v>
      </c>
      <c r="Q74" s="77">
        <f ca="1">IFERROR(__xludf.DUMMYFUNCTION("IMPORTRANGE(""https://docs.google.com/spreadsheets/d/1SX6NBoVAgQJ6U1MVXOaj8PK2l7WJ3RER9xtqwdhxkhw/edit?usp=sharing"",""สุพรรณบุรี!J43"")"),0)</f>
        <v>0</v>
      </c>
      <c r="R74" s="79">
        <f t="shared" ca="1" si="9"/>
        <v>0</v>
      </c>
      <c r="S74" s="77">
        <f ca="1">IFERROR(__xludf.DUMMYFUNCTION("IMPORTRANGE(""https://docs.google.com/spreadsheets/d/1C3CXT74ZlgGe6_JY_1olB1XN4rF0dxEuIIF-xsYjHgg/edit?usp=sharing"",""พรบ!S78"")"),0)</f>
        <v>0</v>
      </c>
      <c r="T74" s="77">
        <f ca="1">IFERROR(__xludf.DUMMYFUNCTION("IMPORTRANGE(""https://docs.google.com/spreadsheets/d/1SX6NBoVAgQJ6U1MVXOaj8PK2l7WJ3RER9xtqwdhxkhw/edit?usp=sharing"",""สุพรรณบุรี!J44"")"),0)</f>
        <v>0</v>
      </c>
      <c r="U74" s="79">
        <f t="shared" ca="1" si="10"/>
        <v>0</v>
      </c>
      <c r="V74" s="77">
        <f ca="1">IFERROR(__xludf.DUMMYFUNCTION("IMPORTRANGE(""https://docs.google.com/spreadsheets/d/1SX6NBoVAgQJ6U1MVXOaj8PK2l7WJ3RER9xtqwdhxkhw/edit?usp=sharing"",""สุพรรณบุรี!J45"")"),0)</f>
        <v>0</v>
      </c>
      <c r="W74" s="79">
        <f t="shared" ca="1" si="11"/>
        <v>0</v>
      </c>
      <c r="X74" s="77">
        <f ca="1">IFERROR(__xludf.DUMMYFUNCTION("IMPORTRANGE(""https://docs.google.com/spreadsheets/d/1SX6NBoVAgQJ6U1MVXOaj8PK2l7WJ3RER9xtqwdhxkhw/edit?usp=sharing"",""สุพรรณบุรี!J46"")"),0)</f>
        <v>0</v>
      </c>
      <c r="Y74" s="79">
        <f t="shared" ca="1" si="12"/>
        <v>0</v>
      </c>
      <c r="Z74" s="77">
        <f ca="1">IFERROR(__xludf.DUMMYFUNCTION("IMPORTRANGE(""https://docs.google.com/spreadsheets/d/1SX6NBoVAgQJ6U1MVXOaj8PK2l7WJ3RER9xtqwdhxkhw/edit?usp=sharing"",""สุพรรณบุรี!J47"")"),0)</f>
        <v>0</v>
      </c>
      <c r="AA74" s="137">
        <f t="shared" ca="1" si="13"/>
        <v>0</v>
      </c>
      <c r="AB74" s="77">
        <f ca="1">IFERROR(__xludf.DUMMYFUNCTION("IMPORTRANGE(""https://docs.google.com/spreadsheets/d/1C3CXT74ZlgGe6_JY_1olB1XN4rF0dxEuIIF-xsYjHgg/edit?usp=sharing"",""พรบ!W78"")"),0)</f>
        <v>0</v>
      </c>
      <c r="AC74" s="77">
        <f ca="1">IFERROR(__xludf.DUMMYFUNCTION("IMPORTRANGE(""https://docs.google.com/spreadsheets/d/1SX6NBoVAgQJ6U1MVXOaj8PK2l7WJ3RER9xtqwdhxkhw/edit?usp=sharing"",""สุพรรณบุรี!J48"")"),0)</f>
        <v>0</v>
      </c>
      <c r="AD74" s="137">
        <f t="shared" ca="1" si="15"/>
        <v>0</v>
      </c>
    </row>
    <row r="75" spans="1:30" ht="21" customHeight="1">
      <c r="A75" s="84">
        <v>21</v>
      </c>
      <c r="B75" s="85" t="s">
        <v>99</v>
      </c>
      <c r="C75" s="86">
        <f t="shared" ca="1" si="0"/>
        <v>0</v>
      </c>
      <c r="D75" s="87">
        <f t="shared" ca="1" si="46"/>
        <v>0</v>
      </c>
      <c r="E75" s="88">
        <f ca="1">IFERROR(__xludf.DUMMYFUNCTION("IMPORTRANGE(""https://docs.google.com/spreadsheets/d/1C3CXT74ZlgGe6_JY_1olB1XN4rF0dxEuIIF-xsYjHgg/edit?usp=sharing"",""พรบ!P79"")"),0)</f>
        <v>0</v>
      </c>
      <c r="F75" s="88">
        <f ca="1">IFERROR(__xludf.DUMMYFUNCTION("IMPORTRANGE(""https://docs.google.com/spreadsheets/d/1C3CXT74ZlgGe6_JY_1olB1XN4rF0dxEuIIF-xsYjHgg/edit?usp=sharing"",""พรบ!Q79"")"),0)</f>
        <v>0</v>
      </c>
      <c r="G75" s="88">
        <f ca="1">IFERROR(__xludf.DUMMYFUNCTION("IMPORTRANGE(""https://docs.google.com/spreadsheets/d/1Yj_ptqi66GCucihVvJfMjLAmec39IyEx_6qawtMGysU/edit?usp=sharing"",""สบก!AP79"")"),0)</f>
        <v>0</v>
      </c>
      <c r="H75" s="88">
        <f ca="1">IFERROR(__xludf.DUMMYFUNCTION("IMPORTRANGE(""https://docs.google.com/spreadsheets/d/1Yj_ptqi66GCucihVvJfMjLAmec39IyEx_6qawtMGysU/edit?usp=sharing"",""สบก!AR79"")"),0)</f>
        <v>0</v>
      </c>
      <c r="I75" s="88">
        <f t="shared" ca="1" si="3"/>
        <v>0</v>
      </c>
      <c r="J75" s="138">
        <f t="shared" ca="1" si="4"/>
        <v>0</v>
      </c>
      <c r="K75" s="88">
        <f ca="1">IFERROR(__xludf.DUMMYFUNCTION("IMPORTRANGE(""https://docs.google.com/spreadsheets/d/1Yj_ptqi66GCucihVvJfMjLAmec39IyEx_6qawtMGysU/edit?usp=sharing"",""สบก!AS79"")"),0)</f>
        <v>0</v>
      </c>
      <c r="L75" s="138">
        <f t="shared" ca="1" si="5"/>
        <v>0</v>
      </c>
      <c r="M75" s="138">
        <f t="shared" ca="1" si="6"/>
        <v>0</v>
      </c>
      <c r="N75" s="138">
        <f ca="1">IFERROR(__xludf.DUMMYFUNCTION("IMPORTRANGE(""https://docs.google.com/spreadsheets/d/1Yj_ptqi66GCucihVvJfMjLAmec39IyEx_6qawtMGysU/edit?usp=sharing"",""สบก!AT79"")"),0)</f>
        <v>0</v>
      </c>
      <c r="O75" s="138">
        <f t="shared" ca="1" si="7"/>
        <v>0</v>
      </c>
      <c r="P75" s="88">
        <f ca="1">IFERROR(__xludf.DUMMYFUNCTION("IMPORTRANGE(""https://docs.google.com/spreadsheets/d/1C3CXT74ZlgGe6_JY_1olB1XN4rF0dxEuIIF-xsYjHgg/edit?usp=sharing"",""พรบ!R79"")"),0)</f>
        <v>0</v>
      </c>
      <c r="Q75" s="88">
        <f ca="1">IFERROR(__xludf.DUMMYFUNCTION("IMPORTRANGE(""https://docs.google.com/spreadsheets/d/1SX6NBoVAgQJ6U1MVXOaj8PK2l7WJ3RER9xtqwdhxkhw/edit?usp=sharing"",""อ่างทอง!J43"")"),0)</f>
        <v>0</v>
      </c>
      <c r="R75" s="90">
        <f t="shared" ca="1" si="9"/>
        <v>0</v>
      </c>
      <c r="S75" s="88">
        <f ca="1">IFERROR(__xludf.DUMMYFUNCTION("IMPORTRANGE(""https://docs.google.com/spreadsheets/d/1C3CXT74ZlgGe6_JY_1olB1XN4rF0dxEuIIF-xsYjHgg/edit?usp=sharing"",""พรบ!S79"")"),0)</f>
        <v>0</v>
      </c>
      <c r="T75" s="88">
        <f ca="1">IFERROR(__xludf.DUMMYFUNCTION("IMPORTRANGE(""https://docs.google.com/spreadsheets/d/1SX6NBoVAgQJ6U1MVXOaj8PK2l7WJ3RER9xtqwdhxkhw/edit?usp=sharing"",""อ่างทอง!J44"")"),0)</f>
        <v>0</v>
      </c>
      <c r="U75" s="90">
        <f t="shared" ca="1" si="10"/>
        <v>0</v>
      </c>
      <c r="V75" s="88">
        <f ca="1">IFERROR(__xludf.DUMMYFUNCTION("IMPORTRANGE(""https://docs.google.com/spreadsheets/d/1SX6NBoVAgQJ6U1MVXOaj8PK2l7WJ3RER9xtqwdhxkhw/edit?usp=sharing"",""อ่างทอง!J45"")"),0)</f>
        <v>0</v>
      </c>
      <c r="W75" s="90">
        <f t="shared" ca="1" si="11"/>
        <v>0</v>
      </c>
      <c r="X75" s="88">
        <f ca="1">IFERROR(__xludf.DUMMYFUNCTION("IMPORTRANGE(""https://docs.google.com/spreadsheets/d/1SX6NBoVAgQJ6U1MVXOaj8PK2l7WJ3RER9xtqwdhxkhw/edit?usp=sharing"",""อ่างทอง!J46"")"),0)</f>
        <v>0</v>
      </c>
      <c r="Y75" s="90">
        <f t="shared" ca="1" si="12"/>
        <v>0</v>
      </c>
      <c r="Z75" s="88">
        <f ca="1">IFERROR(__xludf.DUMMYFUNCTION("IMPORTRANGE(""https://docs.google.com/spreadsheets/d/1SX6NBoVAgQJ6U1MVXOaj8PK2l7WJ3RER9xtqwdhxkhw/edit?usp=sharing"",""อ่างทอง!J47"")"),0)</f>
        <v>0</v>
      </c>
      <c r="AA75" s="138">
        <f t="shared" ca="1" si="13"/>
        <v>0</v>
      </c>
      <c r="AB75" s="88">
        <f ca="1">IFERROR(__xludf.DUMMYFUNCTION("IMPORTRANGE(""https://docs.google.com/spreadsheets/d/1C3CXT74ZlgGe6_JY_1olB1XN4rF0dxEuIIF-xsYjHgg/edit?usp=sharing"",""พรบ!W79"")"),0)</f>
        <v>0</v>
      </c>
      <c r="AC75" s="88">
        <f ca="1">IFERROR(__xludf.DUMMYFUNCTION("IMPORTRANGE(""https://docs.google.com/spreadsheets/d/1SX6NBoVAgQJ6U1MVXOaj8PK2l7WJ3RER9xtqwdhxkhw/edit?usp=sharing"",""อ่างทอง!J48"")"),0)</f>
        <v>0</v>
      </c>
      <c r="AD75" s="138">
        <f t="shared" ca="1" si="15"/>
        <v>0</v>
      </c>
    </row>
    <row r="76" spans="1:30" ht="21" customHeight="1">
      <c r="A76" s="676" t="s">
        <v>100</v>
      </c>
      <c r="B76" s="652"/>
      <c r="C76" s="99">
        <f t="shared" ca="1" si="0"/>
        <v>1177800</v>
      </c>
      <c r="D76" s="95">
        <f t="shared" ref="D76:H76" ca="1" si="47">SUM(D77:D90)</f>
        <v>623400</v>
      </c>
      <c r="E76" s="95">
        <f t="shared" ca="1" si="47"/>
        <v>0</v>
      </c>
      <c r="F76" s="95">
        <f t="shared" ca="1" si="47"/>
        <v>623400</v>
      </c>
      <c r="G76" s="95">
        <f t="shared" ca="1" si="47"/>
        <v>554400</v>
      </c>
      <c r="H76" s="95">
        <f t="shared" ca="1" si="47"/>
        <v>623400</v>
      </c>
      <c r="I76" s="95">
        <f t="shared" ca="1" si="3"/>
        <v>716010.16</v>
      </c>
      <c r="J76" s="139">
        <f t="shared" ca="1" si="4"/>
        <v>60.792168449651896</v>
      </c>
      <c r="K76" s="95">
        <f ca="1">SUM(K77:K90)</f>
        <v>161610.16</v>
      </c>
      <c r="L76" s="139">
        <f t="shared" ca="1" si="5"/>
        <v>25.92399101700353</v>
      </c>
      <c r="M76" s="139">
        <f t="shared" ca="1" si="6"/>
        <v>25.92399101700353</v>
      </c>
      <c r="N76" s="139">
        <f ca="1">SUM(N77:N90)</f>
        <v>554400</v>
      </c>
      <c r="O76" s="139">
        <f t="shared" ca="1" si="7"/>
        <v>100</v>
      </c>
      <c r="P76" s="95">
        <f t="shared" ref="P76:Q76" ca="1" si="48">SUM(P77:P90)</f>
        <v>5</v>
      </c>
      <c r="Q76" s="95">
        <f t="shared" ca="1" si="48"/>
        <v>5</v>
      </c>
      <c r="R76" s="97">
        <f t="shared" ca="1" si="9"/>
        <v>100</v>
      </c>
      <c r="S76" s="95">
        <f t="shared" ref="S76:T76" ca="1" si="49">SUM(S77:S90)</f>
        <v>23</v>
      </c>
      <c r="T76" s="95">
        <f t="shared" ca="1" si="49"/>
        <v>11</v>
      </c>
      <c r="U76" s="97">
        <f t="shared" ca="1" si="10"/>
        <v>47.826086956521742</v>
      </c>
      <c r="V76" s="95">
        <f ca="1">SUM(V77:V90)</f>
        <v>23</v>
      </c>
      <c r="W76" s="97">
        <f t="shared" ca="1" si="11"/>
        <v>100</v>
      </c>
      <c r="X76" s="95">
        <f ca="1">SUM(X77:X90)</f>
        <v>19</v>
      </c>
      <c r="Y76" s="97">
        <f t="shared" ca="1" si="12"/>
        <v>82.608695652173907</v>
      </c>
      <c r="Z76" s="95">
        <f ca="1">SUM(Z77:Z90)</f>
        <v>15</v>
      </c>
      <c r="AA76" s="139">
        <f t="shared" ca="1" si="13"/>
        <v>65.217391304347828</v>
      </c>
      <c r="AB76" s="95">
        <f t="shared" ref="AB76:AC76" ca="1" si="50">SUM(AB77:AB90)</f>
        <v>6</v>
      </c>
      <c r="AC76" s="95">
        <f t="shared" ca="1" si="50"/>
        <v>6</v>
      </c>
      <c r="AD76" s="139">
        <f t="shared" ca="1" si="15"/>
        <v>100</v>
      </c>
    </row>
    <row r="77" spans="1:30" ht="21" customHeight="1">
      <c r="A77" s="63">
        <v>1</v>
      </c>
      <c r="B77" s="64" t="s">
        <v>101</v>
      </c>
      <c r="C77" s="65">
        <f t="shared" ca="1" si="0"/>
        <v>0</v>
      </c>
      <c r="D77" s="66">
        <f t="shared" ref="D77:D90" ca="1" si="51">+E77+F77</f>
        <v>0</v>
      </c>
      <c r="E77" s="67">
        <f ca="1">IFERROR(__xludf.DUMMYFUNCTION("IMPORTRANGE(""https://docs.google.com/spreadsheets/d/1C3CXT74ZlgGe6_JY_1olB1XN4rF0dxEuIIF-xsYjHgg/edit?usp=sharing"",""พรบ!P81"")"),0)</f>
        <v>0</v>
      </c>
      <c r="F77" s="67">
        <f ca="1">IFERROR(__xludf.DUMMYFUNCTION("IMPORTRANGE(""https://docs.google.com/spreadsheets/d/1C3CXT74ZlgGe6_JY_1olB1XN4rF0dxEuIIF-xsYjHgg/edit?usp=sharing"",""พรบ!Q81"")"),0)</f>
        <v>0</v>
      </c>
      <c r="G77" s="67">
        <f ca="1">IFERROR(__xludf.DUMMYFUNCTION("IMPORTRANGE(""https://docs.google.com/spreadsheets/d/1Yj_ptqi66GCucihVvJfMjLAmec39IyEx_6qawtMGysU/edit?usp=sharing"",""สบก!AP81"")"),0)</f>
        <v>0</v>
      </c>
      <c r="H77" s="67">
        <f ca="1">IFERROR(__xludf.DUMMYFUNCTION("IMPORTRANGE(""https://docs.google.com/spreadsheets/d/1Yj_ptqi66GCucihVvJfMjLAmec39IyEx_6qawtMGysU/edit?usp=sharing"",""สบก!AR81"")"),0)</f>
        <v>0</v>
      </c>
      <c r="I77" s="67">
        <f t="shared" ca="1" si="3"/>
        <v>0</v>
      </c>
      <c r="J77" s="136">
        <f t="shared" ca="1" si="4"/>
        <v>0</v>
      </c>
      <c r="K77" s="67">
        <f ca="1">IFERROR(__xludf.DUMMYFUNCTION("IMPORTRANGE(""https://docs.google.com/spreadsheets/d/1Yj_ptqi66GCucihVvJfMjLAmec39IyEx_6qawtMGysU/edit?usp=sharing"",""สบก!AS81"")"),0)</f>
        <v>0</v>
      </c>
      <c r="L77" s="136">
        <f t="shared" ca="1" si="5"/>
        <v>0</v>
      </c>
      <c r="M77" s="136">
        <f t="shared" ca="1" si="6"/>
        <v>0</v>
      </c>
      <c r="N77" s="136">
        <f ca="1">IFERROR(__xludf.DUMMYFUNCTION("IMPORTRANGE(""https://docs.google.com/spreadsheets/d/1Yj_ptqi66GCucihVvJfMjLAmec39IyEx_6qawtMGysU/edit?usp=sharing"",""สบก!AT81"")"),0)</f>
        <v>0</v>
      </c>
      <c r="O77" s="136">
        <f t="shared" ca="1" si="7"/>
        <v>0</v>
      </c>
      <c r="P77" s="67">
        <f ca="1">IFERROR(__xludf.DUMMYFUNCTION("IMPORTRANGE(""https://docs.google.com/spreadsheets/d/1C3CXT74ZlgGe6_JY_1olB1XN4rF0dxEuIIF-xsYjHgg/edit?usp=sharing"",""พรบ!R81"")"),0)</f>
        <v>0</v>
      </c>
      <c r="Q77" s="67">
        <f ca="1">IFERROR(__xludf.DUMMYFUNCTION("IMPORTRANGE(""https://docs.google.com/spreadsheets/d/1IYY_tgx_IHuhSq3AJ5eI5OnqOPBNLWSHKh2a30DoXe8/edit?usp=sharing"",""กระบี่!J43"")"),0)</f>
        <v>0</v>
      </c>
      <c r="R77" s="70">
        <f t="shared" ca="1" si="9"/>
        <v>0</v>
      </c>
      <c r="S77" s="67">
        <f ca="1">IFERROR(__xludf.DUMMYFUNCTION("IMPORTRANGE(""https://docs.google.com/spreadsheets/d/1C3CXT74ZlgGe6_JY_1olB1XN4rF0dxEuIIF-xsYjHgg/edit?usp=sharing"",""พรบ!S81"")"),0)</f>
        <v>0</v>
      </c>
      <c r="T77" s="67">
        <f ca="1">IFERROR(__xludf.DUMMYFUNCTION("IMPORTRANGE(""https://docs.google.com/spreadsheets/d/1IYY_tgx_IHuhSq3AJ5eI5OnqOPBNLWSHKh2a30DoXe8/edit?usp=sharing"",""กระบี่!J44"")"),0)</f>
        <v>0</v>
      </c>
      <c r="U77" s="70">
        <f t="shared" ca="1" si="10"/>
        <v>0</v>
      </c>
      <c r="V77" s="67">
        <f ca="1">IFERROR(__xludf.DUMMYFUNCTION("IMPORTRANGE(""https://docs.google.com/spreadsheets/d/1IYY_tgx_IHuhSq3AJ5eI5OnqOPBNLWSHKh2a30DoXe8/edit?usp=sharing"",""กระบี่!J45"")"),0)</f>
        <v>0</v>
      </c>
      <c r="W77" s="70">
        <f t="shared" ca="1" si="11"/>
        <v>0</v>
      </c>
      <c r="X77" s="67">
        <f ca="1">IFERROR(__xludf.DUMMYFUNCTION("IMPORTRANGE(""https://docs.google.com/spreadsheets/d/1IYY_tgx_IHuhSq3AJ5eI5OnqOPBNLWSHKh2a30DoXe8/edit?usp=sharing"",""กระบี่!J46"")"),0)</f>
        <v>0</v>
      </c>
      <c r="Y77" s="70">
        <f t="shared" ca="1" si="12"/>
        <v>0</v>
      </c>
      <c r="Z77" s="67">
        <f ca="1">IFERROR(__xludf.DUMMYFUNCTION("IMPORTRANGE(""https://docs.google.com/spreadsheets/d/1IYY_tgx_IHuhSq3AJ5eI5OnqOPBNLWSHKh2a30DoXe8/edit?usp=sharing"",""กระบี่!J47"")"),0)</f>
        <v>0</v>
      </c>
      <c r="AA77" s="136">
        <f t="shared" ca="1" si="13"/>
        <v>0</v>
      </c>
      <c r="AB77" s="67">
        <f ca="1">IFERROR(__xludf.DUMMYFUNCTION("IMPORTRANGE(""https://docs.google.com/spreadsheets/d/1C3CXT74ZlgGe6_JY_1olB1XN4rF0dxEuIIF-xsYjHgg/edit?usp=sharing"",""พรบ!W81"")"),0)</f>
        <v>0</v>
      </c>
      <c r="AC77" s="67">
        <f ca="1">IFERROR(__xludf.DUMMYFUNCTION("IMPORTRANGE(""https://docs.google.com/spreadsheets/d/1IYY_tgx_IHuhSq3AJ5eI5OnqOPBNLWSHKh2a30DoXe8/edit?usp=sharing"",""กระบี่!J48"")"),0)</f>
        <v>0</v>
      </c>
      <c r="AD77" s="136">
        <f t="shared" ca="1" si="15"/>
        <v>0</v>
      </c>
    </row>
    <row r="78" spans="1:30" ht="21" customHeight="1">
      <c r="A78" s="73">
        <v>2</v>
      </c>
      <c r="B78" s="74" t="s">
        <v>102</v>
      </c>
      <c r="C78" s="75">
        <f t="shared" ca="1" si="0"/>
        <v>214500</v>
      </c>
      <c r="D78" s="76">
        <f t="shared" ca="1" si="51"/>
        <v>122100</v>
      </c>
      <c r="E78" s="77">
        <f ca="1">IFERROR(__xludf.DUMMYFUNCTION("IMPORTRANGE(""https://docs.google.com/spreadsheets/d/1C3CXT74ZlgGe6_JY_1olB1XN4rF0dxEuIIF-xsYjHgg/edit?usp=sharing"",""พรบ!P82"")"),0)</f>
        <v>0</v>
      </c>
      <c r="F78" s="77">
        <f ca="1">IFERROR(__xludf.DUMMYFUNCTION("IMPORTRANGE(""https://docs.google.com/spreadsheets/d/1C3CXT74ZlgGe6_JY_1olB1XN4rF0dxEuIIF-xsYjHgg/edit?usp=sharing"",""พรบ!Q82"")"),122100)</f>
        <v>122100</v>
      </c>
      <c r="G78" s="77">
        <f ca="1">IFERROR(__xludf.DUMMYFUNCTION("IMPORTRANGE(""https://docs.google.com/spreadsheets/d/1Yj_ptqi66GCucihVvJfMjLAmec39IyEx_6qawtMGysU/edit?usp=sharing"",""สบก!AP82"")"),92400)</f>
        <v>92400</v>
      </c>
      <c r="H78" s="77">
        <f ca="1">IFERROR(__xludf.DUMMYFUNCTION("IMPORTRANGE(""https://docs.google.com/spreadsheets/d/1Yj_ptqi66GCucihVvJfMjLAmec39IyEx_6qawtMGysU/edit?usp=sharing"",""สบก!AR82"")"),122100)</f>
        <v>122100</v>
      </c>
      <c r="I78" s="77">
        <f t="shared" ca="1" si="3"/>
        <v>103230</v>
      </c>
      <c r="J78" s="137">
        <f t="shared" ca="1" si="4"/>
        <v>48.125874125874127</v>
      </c>
      <c r="K78" s="77">
        <f ca="1">IFERROR(__xludf.DUMMYFUNCTION("IMPORTRANGE(""https://docs.google.com/spreadsheets/d/1Yj_ptqi66GCucihVvJfMjLAmec39IyEx_6qawtMGysU/edit?usp=sharing"",""สบก!AS82"")"),10830)</f>
        <v>10830</v>
      </c>
      <c r="L78" s="137">
        <f t="shared" ca="1" si="5"/>
        <v>8.8697788697788695</v>
      </c>
      <c r="M78" s="137">
        <f t="shared" ca="1" si="6"/>
        <v>8.8697788697788695</v>
      </c>
      <c r="N78" s="137">
        <f ca="1">IFERROR(__xludf.DUMMYFUNCTION("IMPORTRANGE(""https://docs.google.com/spreadsheets/d/1Yj_ptqi66GCucihVvJfMjLAmec39IyEx_6qawtMGysU/edit?usp=sharing"",""สบก!AT82"")"),92400)</f>
        <v>92400</v>
      </c>
      <c r="O78" s="137">
        <f t="shared" ca="1" si="7"/>
        <v>100</v>
      </c>
      <c r="P78" s="77">
        <f ca="1">IFERROR(__xludf.DUMMYFUNCTION("IMPORTRANGE(""https://docs.google.com/spreadsheets/d/1C3CXT74ZlgGe6_JY_1olB1XN4rF0dxEuIIF-xsYjHgg/edit?usp=sharing"",""พรบ!R82"")"),1)</f>
        <v>1</v>
      </c>
      <c r="Q78" s="77">
        <f ca="1">IFERROR(__xludf.DUMMYFUNCTION("IMPORTRANGE(""https://docs.google.com/spreadsheets/d/1IYY_tgx_IHuhSq3AJ5eI5OnqOPBNLWSHKh2a30DoXe8/edit?usp=sharing"",""ชุมพร!J43"")"),1)</f>
        <v>1</v>
      </c>
      <c r="R78" s="79">
        <f t="shared" ca="1" si="9"/>
        <v>100</v>
      </c>
      <c r="S78" s="77">
        <f ca="1">IFERROR(__xludf.DUMMYFUNCTION("IMPORTRANGE(""https://docs.google.com/spreadsheets/d/1C3CXT74ZlgGe6_JY_1olB1XN4rF0dxEuIIF-xsYjHgg/edit?usp=sharing"",""พรบ!S82"")"),4)</f>
        <v>4</v>
      </c>
      <c r="T78" s="77">
        <f ca="1">IFERROR(__xludf.DUMMYFUNCTION("IMPORTRANGE(""https://docs.google.com/spreadsheets/d/1IYY_tgx_IHuhSq3AJ5eI5OnqOPBNLWSHKh2a30DoXe8/edit?usp=sharing"",""ชุมพร!J44"")"),0)</f>
        <v>0</v>
      </c>
      <c r="U78" s="79">
        <f t="shared" ca="1" si="10"/>
        <v>0</v>
      </c>
      <c r="V78" s="77">
        <f ca="1">IFERROR(__xludf.DUMMYFUNCTION("IMPORTRANGE(""https://docs.google.com/spreadsheets/d/1IYY_tgx_IHuhSq3AJ5eI5OnqOPBNLWSHKh2a30DoXe8/edit?usp=sharing"",""ชุมพร!J45"")"),4)</f>
        <v>4</v>
      </c>
      <c r="W78" s="79">
        <f t="shared" ca="1" si="11"/>
        <v>100</v>
      </c>
      <c r="X78" s="77">
        <f ca="1">IFERROR(__xludf.DUMMYFUNCTION("IMPORTRANGE(""https://docs.google.com/spreadsheets/d/1IYY_tgx_IHuhSq3AJ5eI5OnqOPBNLWSHKh2a30DoXe8/edit?usp=sharing"",""ชุมพร!J46"")"),0)</f>
        <v>0</v>
      </c>
      <c r="Y78" s="79">
        <f t="shared" ca="1" si="12"/>
        <v>0</v>
      </c>
      <c r="Z78" s="77">
        <f ca="1">IFERROR(__xludf.DUMMYFUNCTION("IMPORTRANGE(""https://docs.google.com/spreadsheets/d/1IYY_tgx_IHuhSq3AJ5eI5OnqOPBNLWSHKh2a30DoXe8/edit?usp=sharing"",""ชุมพร!J47"")"),0)</f>
        <v>0</v>
      </c>
      <c r="AA78" s="137">
        <f t="shared" ca="1" si="13"/>
        <v>0</v>
      </c>
      <c r="AB78" s="77">
        <f ca="1">IFERROR(__xludf.DUMMYFUNCTION("IMPORTRANGE(""https://docs.google.com/spreadsheets/d/1C3CXT74ZlgGe6_JY_1olB1XN4rF0dxEuIIF-xsYjHgg/edit?usp=sharing"",""พรบ!W82"")"),1)</f>
        <v>1</v>
      </c>
      <c r="AC78" s="77">
        <f ca="1">IFERROR(__xludf.DUMMYFUNCTION("IMPORTRANGE(""https://docs.google.com/spreadsheets/d/1IYY_tgx_IHuhSq3AJ5eI5OnqOPBNLWSHKh2a30DoXe8/edit?usp=sharing"",""ชุมพร!J48"")"),1)</f>
        <v>1</v>
      </c>
      <c r="AD78" s="137">
        <f t="shared" ca="1" si="15"/>
        <v>100</v>
      </c>
    </row>
    <row r="79" spans="1:30" ht="21" customHeight="1">
      <c r="A79" s="73">
        <v>3</v>
      </c>
      <c r="B79" s="74" t="s">
        <v>103</v>
      </c>
      <c r="C79" s="75">
        <f t="shared" ca="1" si="0"/>
        <v>214500</v>
      </c>
      <c r="D79" s="76">
        <f t="shared" ca="1" si="51"/>
        <v>122100</v>
      </c>
      <c r="E79" s="77">
        <f ca="1">IFERROR(__xludf.DUMMYFUNCTION("IMPORTRANGE(""https://docs.google.com/spreadsheets/d/1C3CXT74ZlgGe6_JY_1olB1XN4rF0dxEuIIF-xsYjHgg/edit?usp=sharing"",""พรบ!P83"")"),0)</f>
        <v>0</v>
      </c>
      <c r="F79" s="77">
        <f ca="1">IFERROR(__xludf.DUMMYFUNCTION("IMPORTRANGE(""https://docs.google.com/spreadsheets/d/1C3CXT74ZlgGe6_JY_1olB1XN4rF0dxEuIIF-xsYjHgg/edit?usp=sharing"",""พรบ!Q83"")"),122100)</f>
        <v>122100</v>
      </c>
      <c r="G79" s="77">
        <f ca="1">IFERROR(__xludf.DUMMYFUNCTION("IMPORTRANGE(""https://docs.google.com/spreadsheets/d/1Yj_ptqi66GCucihVvJfMjLAmec39IyEx_6qawtMGysU/edit?usp=sharing"",""สบก!AP83"")"),92400)</f>
        <v>92400</v>
      </c>
      <c r="H79" s="77">
        <f ca="1">IFERROR(__xludf.DUMMYFUNCTION("IMPORTRANGE(""https://docs.google.com/spreadsheets/d/1Yj_ptqi66GCucihVvJfMjLAmec39IyEx_6qawtMGysU/edit?usp=sharing"",""สบก!AR83"")"),122100)</f>
        <v>122100</v>
      </c>
      <c r="I79" s="77">
        <f t="shared" ca="1" si="3"/>
        <v>115735.16</v>
      </c>
      <c r="J79" s="137">
        <f t="shared" ca="1" si="4"/>
        <v>53.955785547785545</v>
      </c>
      <c r="K79" s="77">
        <f ca="1">IFERROR(__xludf.DUMMYFUNCTION("IMPORTRANGE(""https://docs.google.com/spreadsheets/d/1Yj_ptqi66GCucihVvJfMjLAmec39IyEx_6qawtMGysU/edit?usp=sharing"",""สบก!AS83"")"),23335.16)</f>
        <v>23335.16</v>
      </c>
      <c r="L79" s="137">
        <f t="shared" ca="1" si="5"/>
        <v>19.111515151515153</v>
      </c>
      <c r="M79" s="137">
        <f t="shared" ca="1" si="6"/>
        <v>19.111515151515153</v>
      </c>
      <c r="N79" s="137">
        <f ca="1">IFERROR(__xludf.DUMMYFUNCTION("IMPORTRANGE(""https://docs.google.com/spreadsheets/d/1Yj_ptqi66GCucihVvJfMjLAmec39IyEx_6qawtMGysU/edit?usp=sharing"",""สบก!AT83"")"),92400)</f>
        <v>92400</v>
      </c>
      <c r="O79" s="137">
        <f t="shared" ca="1" si="7"/>
        <v>100</v>
      </c>
      <c r="P79" s="77">
        <f ca="1">IFERROR(__xludf.DUMMYFUNCTION("IMPORTRANGE(""https://docs.google.com/spreadsheets/d/1C3CXT74ZlgGe6_JY_1olB1XN4rF0dxEuIIF-xsYjHgg/edit?usp=sharing"",""พรบ!R83"")"),1)</f>
        <v>1</v>
      </c>
      <c r="Q79" s="77">
        <f ca="1">IFERROR(__xludf.DUMMYFUNCTION("IMPORTRANGE(""https://docs.google.com/spreadsheets/d/1IYY_tgx_IHuhSq3AJ5eI5OnqOPBNLWSHKh2a30DoXe8/edit?usp=sharing"",""ตรัง!J43"")"),1)</f>
        <v>1</v>
      </c>
      <c r="R79" s="79">
        <f t="shared" ca="1" si="9"/>
        <v>100</v>
      </c>
      <c r="S79" s="77">
        <f ca="1">IFERROR(__xludf.DUMMYFUNCTION("IMPORTRANGE(""https://docs.google.com/spreadsheets/d/1C3CXT74ZlgGe6_JY_1olB1XN4rF0dxEuIIF-xsYjHgg/edit?usp=sharing"",""พรบ!S83"")"),4)</f>
        <v>4</v>
      </c>
      <c r="T79" s="77">
        <f ca="1">IFERROR(__xludf.DUMMYFUNCTION("IMPORTRANGE(""https://docs.google.com/spreadsheets/d/1IYY_tgx_IHuhSq3AJ5eI5OnqOPBNLWSHKh2a30DoXe8/edit?usp=sharing"",""ตรัง!J44"")"),0)</f>
        <v>0</v>
      </c>
      <c r="U79" s="79">
        <f t="shared" ca="1" si="10"/>
        <v>0</v>
      </c>
      <c r="V79" s="77">
        <f ca="1">IFERROR(__xludf.DUMMYFUNCTION("IMPORTRANGE(""https://docs.google.com/spreadsheets/d/1IYY_tgx_IHuhSq3AJ5eI5OnqOPBNLWSHKh2a30DoXe8/edit?usp=sharing"",""ตรัง!J45"")"),4)</f>
        <v>4</v>
      </c>
      <c r="W79" s="79">
        <f t="shared" ca="1" si="11"/>
        <v>100</v>
      </c>
      <c r="X79" s="77">
        <f ca="1">IFERROR(__xludf.DUMMYFUNCTION("IMPORTRANGE(""https://docs.google.com/spreadsheets/d/1IYY_tgx_IHuhSq3AJ5eI5OnqOPBNLWSHKh2a30DoXe8/edit?usp=sharing"",""ตรัง!J46"")"),4)</f>
        <v>4</v>
      </c>
      <c r="Y79" s="79">
        <f t="shared" ca="1" si="12"/>
        <v>100</v>
      </c>
      <c r="Z79" s="77">
        <f ca="1">IFERROR(__xludf.DUMMYFUNCTION("IMPORTRANGE(""https://docs.google.com/spreadsheets/d/1IYY_tgx_IHuhSq3AJ5eI5OnqOPBNLWSHKh2a30DoXe8/edit?usp=sharing"",""ตรัง!J47"")"),0)</f>
        <v>0</v>
      </c>
      <c r="AA79" s="137">
        <f t="shared" ca="1" si="13"/>
        <v>0</v>
      </c>
      <c r="AB79" s="77">
        <f ca="1">IFERROR(__xludf.DUMMYFUNCTION("IMPORTRANGE(""https://docs.google.com/spreadsheets/d/1C3CXT74ZlgGe6_JY_1olB1XN4rF0dxEuIIF-xsYjHgg/edit?usp=sharing"",""พรบ!W83"")"),1)</f>
        <v>1</v>
      </c>
      <c r="AC79" s="77">
        <f ca="1">IFERROR(__xludf.DUMMYFUNCTION("IMPORTRANGE(""https://docs.google.com/spreadsheets/d/1IYY_tgx_IHuhSq3AJ5eI5OnqOPBNLWSHKh2a30DoXe8/edit?usp=sharing"",""ตรัง!J48"")"),1)</f>
        <v>1</v>
      </c>
      <c r="AD79" s="137">
        <f t="shared" ca="1" si="15"/>
        <v>100</v>
      </c>
    </row>
    <row r="80" spans="1:30" ht="21" customHeight="1">
      <c r="A80" s="73">
        <v>4</v>
      </c>
      <c r="B80" s="74" t="s">
        <v>104</v>
      </c>
      <c r="C80" s="75">
        <f t="shared" ca="1" si="0"/>
        <v>319800</v>
      </c>
      <c r="D80" s="76">
        <f t="shared" ca="1" si="51"/>
        <v>135000</v>
      </c>
      <c r="E80" s="77">
        <f ca="1">IFERROR(__xludf.DUMMYFUNCTION("IMPORTRANGE(""https://docs.google.com/spreadsheets/d/1C3CXT74ZlgGe6_JY_1olB1XN4rF0dxEuIIF-xsYjHgg/edit?usp=sharing"",""พรบ!P84"")"),0)</f>
        <v>0</v>
      </c>
      <c r="F80" s="77">
        <f ca="1">IFERROR(__xludf.DUMMYFUNCTION("IMPORTRANGE(""https://docs.google.com/spreadsheets/d/1C3CXT74ZlgGe6_JY_1olB1XN4rF0dxEuIIF-xsYjHgg/edit?usp=sharing"",""พรบ!Q84"")"),135000)</f>
        <v>135000</v>
      </c>
      <c r="G80" s="77">
        <f ca="1">IFERROR(__xludf.DUMMYFUNCTION("IMPORTRANGE(""https://docs.google.com/spreadsheets/d/1Yj_ptqi66GCucihVvJfMjLAmec39IyEx_6qawtMGysU/edit?usp=sharing"",""สบก!AP84"")"),184800)</f>
        <v>184800</v>
      </c>
      <c r="H80" s="77">
        <f ca="1">IFERROR(__xludf.DUMMYFUNCTION("IMPORTRANGE(""https://docs.google.com/spreadsheets/d/1Yj_ptqi66GCucihVvJfMjLAmec39IyEx_6qawtMGysU/edit?usp=sharing"",""สบก!AR84"")"),135000)</f>
        <v>135000</v>
      </c>
      <c r="I80" s="77">
        <f t="shared" ca="1" si="3"/>
        <v>228240</v>
      </c>
      <c r="J80" s="137">
        <f t="shared" ca="1" si="4"/>
        <v>71.369606003752352</v>
      </c>
      <c r="K80" s="77">
        <f ca="1">IFERROR(__xludf.DUMMYFUNCTION("IMPORTRANGE(""https://docs.google.com/spreadsheets/d/1Yj_ptqi66GCucihVvJfMjLAmec39IyEx_6qawtMGysU/edit?usp=sharing"",""สบก!AS84"")"),43440)</f>
        <v>43440</v>
      </c>
      <c r="L80" s="137">
        <f t="shared" ca="1" si="5"/>
        <v>32.177777777777777</v>
      </c>
      <c r="M80" s="137">
        <f t="shared" ca="1" si="6"/>
        <v>32.177777777777777</v>
      </c>
      <c r="N80" s="137">
        <f ca="1">IFERROR(__xludf.DUMMYFUNCTION("IMPORTRANGE(""https://docs.google.com/spreadsheets/d/1Yj_ptqi66GCucihVvJfMjLAmec39IyEx_6qawtMGysU/edit?usp=sharing"",""สบก!AT84"")"),184800)</f>
        <v>184800</v>
      </c>
      <c r="O80" s="137">
        <f t="shared" ca="1" si="7"/>
        <v>100</v>
      </c>
      <c r="P80" s="77">
        <f ca="1">IFERROR(__xludf.DUMMYFUNCTION("IMPORTRANGE(""https://docs.google.com/spreadsheets/d/1C3CXT74ZlgGe6_JY_1olB1XN4rF0dxEuIIF-xsYjHgg/edit?usp=sharing"",""พรบ!R84"")"),1)</f>
        <v>1</v>
      </c>
      <c r="Q80" s="77">
        <f ca="1">IFERROR(__xludf.DUMMYFUNCTION("IMPORTRANGE(""https://docs.google.com/spreadsheets/d/1IYY_tgx_IHuhSq3AJ5eI5OnqOPBNLWSHKh2a30DoXe8/edit?usp=sharing"",""นครศรีธรรมราช!J43"")"),1)</f>
        <v>1</v>
      </c>
      <c r="R80" s="79">
        <f t="shared" ca="1" si="9"/>
        <v>100</v>
      </c>
      <c r="S80" s="77">
        <f ca="1">IFERROR(__xludf.DUMMYFUNCTION("IMPORTRANGE(""https://docs.google.com/spreadsheets/d/1C3CXT74ZlgGe6_JY_1olB1XN4rF0dxEuIIF-xsYjHgg/edit?usp=sharing"",""พรบ!S84"")"),7)</f>
        <v>7</v>
      </c>
      <c r="T80" s="77">
        <f ca="1">IFERROR(__xludf.DUMMYFUNCTION("IMPORTRANGE(""https://docs.google.com/spreadsheets/d/1IYY_tgx_IHuhSq3AJ5eI5OnqOPBNLWSHKh2a30DoXe8/edit?usp=sharing"",""นครศรีธรรมราช!J44"")"),7)</f>
        <v>7</v>
      </c>
      <c r="U80" s="79">
        <f t="shared" ca="1" si="10"/>
        <v>100</v>
      </c>
      <c r="V80" s="77">
        <f ca="1">IFERROR(__xludf.DUMMYFUNCTION("IMPORTRANGE(""https://docs.google.com/spreadsheets/d/1IYY_tgx_IHuhSq3AJ5eI5OnqOPBNLWSHKh2a30DoXe8/edit?usp=sharing"",""นครศรีธรรมราช!J45"")"),7)</f>
        <v>7</v>
      </c>
      <c r="W80" s="79">
        <f t="shared" ca="1" si="11"/>
        <v>100</v>
      </c>
      <c r="X80" s="77">
        <f ca="1">IFERROR(__xludf.DUMMYFUNCTION("IMPORTRANGE(""https://docs.google.com/spreadsheets/d/1IYY_tgx_IHuhSq3AJ5eI5OnqOPBNLWSHKh2a30DoXe8/edit?usp=sharing"",""นครศรีธรรมราช!J46"")"),7)</f>
        <v>7</v>
      </c>
      <c r="Y80" s="79">
        <f t="shared" ca="1" si="12"/>
        <v>100</v>
      </c>
      <c r="Z80" s="77">
        <f ca="1">IFERROR(__xludf.DUMMYFUNCTION("IMPORTRANGE(""https://docs.google.com/spreadsheets/d/1IYY_tgx_IHuhSq3AJ5eI5OnqOPBNLWSHKh2a30DoXe8/edit?usp=sharing"",""นครศรีธรรมราช!J47"")"),7)</f>
        <v>7</v>
      </c>
      <c r="AA80" s="137">
        <f t="shared" ca="1" si="13"/>
        <v>100</v>
      </c>
      <c r="AB80" s="77">
        <f ca="1">IFERROR(__xludf.DUMMYFUNCTION("IMPORTRANGE(""https://docs.google.com/spreadsheets/d/1C3CXT74ZlgGe6_JY_1olB1XN4rF0dxEuIIF-xsYjHgg/edit?usp=sharing"",""พรบ!W84"")"),2)</f>
        <v>2</v>
      </c>
      <c r="AC80" s="77">
        <f ca="1">IFERROR(__xludf.DUMMYFUNCTION("IMPORTRANGE(""https://docs.google.com/spreadsheets/d/1IYY_tgx_IHuhSq3AJ5eI5OnqOPBNLWSHKh2a30DoXe8/edit?usp=sharing"",""นครศรีธรรมราช!J48"")"),2)</f>
        <v>2</v>
      </c>
      <c r="AD80" s="137">
        <f t="shared" ca="1" si="15"/>
        <v>100</v>
      </c>
    </row>
    <row r="81" spans="1:30" ht="21" customHeight="1">
      <c r="A81" s="73">
        <v>5</v>
      </c>
      <c r="B81" s="74" t="s">
        <v>105</v>
      </c>
      <c r="C81" s="75">
        <f t="shared" ca="1" si="0"/>
        <v>0</v>
      </c>
      <c r="D81" s="76">
        <f t="shared" ca="1" si="51"/>
        <v>0</v>
      </c>
      <c r="E81" s="77">
        <f ca="1">IFERROR(__xludf.DUMMYFUNCTION("IMPORTRANGE(""https://docs.google.com/spreadsheets/d/1C3CXT74ZlgGe6_JY_1olB1XN4rF0dxEuIIF-xsYjHgg/edit?usp=sharing"",""พรบ!P85"")"),0)</f>
        <v>0</v>
      </c>
      <c r="F81" s="77">
        <f ca="1">IFERROR(__xludf.DUMMYFUNCTION("IMPORTRANGE(""https://docs.google.com/spreadsheets/d/1C3CXT74ZlgGe6_JY_1olB1XN4rF0dxEuIIF-xsYjHgg/edit?usp=sharing"",""พรบ!Q85"")"),0)</f>
        <v>0</v>
      </c>
      <c r="G81" s="77">
        <f ca="1">IFERROR(__xludf.DUMMYFUNCTION("IMPORTRANGE(""https://docs.google.com/spreadsheets/d/1Yj_ptqi66GCucihVvJfMjLAmec39IyEx_6qawtMGysU/edit?usp=sharing"",""สบก!AP85"")"),0)</f>
        <v>0</v>
      </c>
      <c r="H81" s="77">
        <f ca="1">IFERROR(__xludf.DUMMYFUNCTION("IMPORTRANGE(""https://docs.google.com/spreadsheets/d/1Yj_ptqi66GCucihVvJfMjLAmec39IyEx_6qawtMGysU/edit?usp=sharing"",""สบก!AR85"")"),0)</f>
        <v>0</v>
      </c>
      <c r="I81" s="77">
        <f t="shared" ca="1" si="3"/>
        <v>0</v>
      </c>
      <c r="J81" s="137">
        <f t="shared" ca="1" si="4"/>
        <v>0</v>
      </c>
      <c r="K81" s="77">
        <f ca="1">IFERROR(__xludf.DUMMYFUNCTION("IMPORTRANGE(""https://docs.google.com/spreadsheets/d/1Yj_ptqi66GCucihVvJfMjLAmec39IyEx_6qawtMGysU/edit?usp=sharing"",""สบก!AS85"")"),0)</f>
        <v>0</v>
      </c>
      <c r="L81" s="137">
        <f t="shared" ca="1" si="5"/>
        <v>0</v>
      </c>
      <c r="M81" s="137">
        <f t="shared" ca="1" si="6"/>
        <v>0</v>
      </c>
      <c r="N81" s="137">
        <f ca="1">IFERROR(__xludf.DUMMYFUNCTION("IMPORTRANGE(""https://docs.google.com/spreadsheets/d/1Yj_ptqi66GCucihVvJfMjLAmec39IyEx_6qawtMGysU/edit?usp=sharing"",""สบก!AT85"")"),0)</f>
        <v>0</v>
      </c>
      <c r="O81" s="137">
        <f t="shared" ca="1" si="7"/>
        <v>0</v>
      </c>
      <c r="P81" s="77">
        <f ca="1">IFERROR(__xludf.DUMMYFUNCTION("IMPORTRANGE(""https://docs.google.com/spreadsheets/d/1C3CXT74ZlgGe6_JY_1olB1XN4rF0dxEuIIF-xsYjHgg/edit?usp=sharing"",""พรบ!R85"")"),0)</f>
        <v>0</v>
      </c>
      <c r="Q81" s="77">
        <f ca="1">IFERROR(__xludf.DUMMYFUNCTION("IMPORTRANGE(""https://docs.google.com/spreadsheets/d/1IYY_tgx_IHuhSq3AJ5eI5OnqOPBNLWSHKh2a30DoXe8/edit?usp=sharing"",""นราธิวาส!J43"")"),0)</f>
        <v>0</v>
      </c>
      <c r="R81" s="79">
        <f t="shared" ca="1" si="9"/>
        <v>0</v>
      </c>
      <c r="S81" s="77">
        <f ca="1">IFERROR(__xludf.DUMMYFUNCTION("IMPORTRANGE(""https://docs.google.com/spreadsheets/d/1C3CXT74ZlgGe6_JY_1olB1XN4rF0dxEuIIF-xsYjHgg/edit?usp=sharing"",""พรบ!S85"")"),0)</f>
        <v>0</v>
      </c>
      <c r="T81" s="77">
        <f ca="1">IFERROR(__xludf.DUMMYFUNCTION("IMPORTRANGE(""https://docs.google.com/spreadsheets/d/1IYY_tgx_IHuhSq3AJ5eI5OnqOPBNLWSHKh2a30DoXe8/edit?usp=sharing"",""นราธิวาส!J44"")"),0)</f>
        <v>0</v>
      </c>
      <c r="U81" s="79">
        <f t="shared" ca="1" si="10"/>
        <v>0</v>
      </c>
      <c r="V81" s="77">
        <f ca="1">IFERROR(__xludf.DUMMYFUNCTION("IMPORTRANGE(""https://docs.google.com/spreadsheets/d/1IYY_tgx_IHuhSq3AJ5eI5OnqOPBNLWSHKh2a30DoXe8/edit?usp=sharing"",""นราธิวาส!J45"")"),0)</f>
        <v>0</v>
      </c>
      <c r="W81" s="79">
        <f t="shared" ca="1" si="11"/>
        <v>0</v>
      </c>
      <c r="X81" s="77">
        <f ca="1">IFERROR(__xludf.DUMMYFUNCTION("IMPORTRANGE(""https://docs.google.com/spreadsheets/d/1IYY_tgx_IHuhSq3AJ5eI5OnqOPBNLWSHKh2a30DoXe8/edit?usp=sharing"",""นราธิวาส!J46"")"),0)</f>
        <v>0</v>
      </c>
      <c r="Y81" s="79">
        <f t="shared" ca="1" si="12"/>
        <v>0</v>
      </c>
      <c r="Z81" s="77">
        <f ca="1">IFERROR(__xludf.DUMMYFUNCTION("IMPORTRANGE(""https://docs.google.com/spreadsheets/d/1IYY_tgx_IHuhSq3AJ5eI5OnqOPBNLWSHKh2a30DoXe8/edit?usp=sharing"",""นราธิวาส!J47"")"),0)</f>
        <v>0</v>
      </c>
      <c r="AA81" s="137">
        <f t="shared" ca="1" si="13"/>
        <v>0</v>
      </c>
      <c r="AB81" s="77">
        <f ca="1">IFERROR(__xludf.DUMMYFUNCTION("IMPORTRANGE(""https://docs.google.com/spreadsheets/d/1C3CXT74ZlgGe6_JY_1olB1XN4rF0dxEuIIF-xsYjHgg/edit?usp=sharing"",""พรบ!W85"")"),0)</f>
        <v>0</v>
      </c>
      <c r="AC81" s="77">
        <f ca="1">IFERROR(__xludf.DUMMYFUNCTION("IMPORTRANGE(""https://docs.google.com/spreadsheets/d/1IYY_tgx_IHuhSq3AJ5eI5OnqOPBNLWSHKh2a30DoXe8/edit?usp=sharing"",""นราธิวาส!J48"")"),0)</f>
        <v>0</v>
      </c>
      <c r="AD81" s="137">
        <f t="shared" ca="1" si="15"/>
        <v>0</v>
      </c>
    </row>
    <row r="82" spans="1:30" ht="21" customHeight="1">
      <c r="A82" s="73">
        <v>6</v>
      </c>
      <c r="B82" s="74" t="s">
        <v>106</v>
      </c>
      <c r="C82" s="75">
        <f t="shared" ca="1" si="0"/>
        <v>0</v>
      </c>
      <c r="D82" s="76">
        <f t="shared" ca="1" si="51"/>
        <v>0</v>
      </c>
      <c r="E82" s="77">
        <f ca="1">IFERROR(__xludf.DUMMYFUNCTION("IMPORTRANGE(""https://docs.google.com/spreadsheets/d/1C3CXT74ZlgGe6_JY_1olB1XN4rF0dxEuIIF-xsYjHgg/edit?usp=sharing"",""พรบ!P86"")"),0)</f>
        <v>0</v>
      </c>
      <c r="F82" s="77">
        <f ca="1">IFERROR(__xludf.DUMMYFUNCTION("IMPORTRANGE(""https://docs.google.com/spreadsheets/d/1C3CXT74ZlgGe6_JY_1olB1XN4rF0dxEuIIF-xsYjHgg/edit?usp=sharing"",""พรบ!Q86"")"),0)</f>
        <v>0</v>
      </c>
      <c r="G82" s="77">
        <f ca="1">IFERROR(__xludf.DUMMYFUNCTION("IMPORTRANGE(""https://docs.google.com/spreadsheets/d/1Yj_ptqi66GCucihVvJfMjLAmec39IyEx_6qawtMGysU/edit?usp=sharing"",""สบก!AP86"")"),0)</f>
        <v>0</v>
      </c>
      <c r="H82" s="77">
        <f ca="1">IFERROR(__xludf.DUMMYFUNCTION("IMPORTRANGE(""https://docs.google.com/spreadsheets/d/1Yj_ptqi66GCucihVvJfMjLAmec39IyEx_6qawtMGysU/edit?usp=sharing"",""สบก!AR86"")"),0)</f>
        <v>0</v>
      </c>
      <c r="I82" s="77">
        <f t="shared" ca="1" si="3"/>
        <v>0</v>
      </c>
      <c r="J82" s="137">
        <f t="shared" ca="1" si="4"/>
        <v>0</v>
      </c>
      <c r="K82" s="77">
        <f ca="1">IFERROR(__xludf.DUMMYFUNCTION("IMPORTRANGE(""https://docs.google.com/spreadsheets/d/1Yj_ptqi66GCucihVvJfMjLAmec39IyEx_6qawtMGysU/edit?usp=sharing"",""สบก!AS86"")"),0)</f>
        <v>0</v>
      </c>
      <c r="L82" s="137">
        <f t="shared" ca="1" si="5"/>
        <v>0</v>
      </c>
      <c r="M82" s="137">
        <f t="shared" ca="1" si="6"/>
        <v>0</v>
      </c>
      <c r="N82" s="137">
        <f ca="1">IFERROR(__xludf.DUMMYFUNCTION("IMPORTRANGE(""https://docs.google.com/spreadsheets/d/1Yj_ptqi66GCucihVvJfMjLAmec39IyEx_6qawtMGysU/edit?usp=sharing"",""สบก!AT86"")"),0)</f>
        <v>0</v>
      </c>
      <c r="O82" s="137">
        <f t="shared" ca="1" si="7"/>
        <v>0</v>
      </c>
      <c r="P82" s="77">
        <f ca="1">IFERROR(__xludf.DUMMYFUNCTION("IMPORTRANGE(""https://docs.google.com/spreadsheets/d/1C3CXT74ZlgGe6_JY_1olB1XN4rF0dxEuIIF-xsYjHgg/edit?usp=sharing"",""พรบ!R86"")"),0)</f>
        <v>0</v>
      </c>
      <c r="Q82" s="77">
        <f ca="1">IFERROR(__xludf.DUMMYFUNCTION("IMPORTRANGE(""https://docs.google.com/spreadsheets/d/1IYY_tgx_IHuhSq3AJ5eI5OnqOPBNLWSHKh2a30DoXe8/edit?usp=sharing"",""ปัตตานี!J43"")"),0)</f>
        <v>0</v>
      </c>
      <c r="R82" s="79">
        <f t="shared" ca="1" si="9"/>
        <v>0</v>
      </c>
      <c r="S82" s="77">
        <f ca="1">IFERROR(__xludf.DUMMYFUNCTION("IMPORTRANGE(""https://docs.google.com/spreadsheets/d/1C3CXT74ZlgGe6_JY_1olB1XN4rF0dxEuIIF-xsYjHgg/edit?usp=sharing"",""พรบ!S86"")"),0)</f>
        <v>0</v>
      </c>
      <c r="T82" s="77">
        <f ca="1">IFERROR(__xludf.DUMMYFUNCTION("IMPORTRANGE(""https://docs.google.com/spreadsheets/d/1IYY_tgx_IHuhSq3AJ5eI5OnqOPBNLWSHKh2a30DoXe8/edit?usp=sharing"",""ปัตตานี!J44"")"),0)</f>
        <v>0</v>
      </c>
      <c r="U82" s="79">
        <f t="shared" ca="1" si="10"/>
        <v>0</v>
      </c>
      <c r="V82" s="77">
        <f ca="1">IFERROR(__xludf.DUMMYFUNCTION("IMPORTRANGE(""https://docs.google.com/spreadsheets/d/1IYY_tgx_IHuhSq3AJ5eI5OnqOPBNLWSHKh2a30DoXe8/edit?usp=sharing"",""ปัตตานี!J45"")"),0)</f>
        <v>0</v>
      </c>
      <c r="W82" s="79">
        <f t="shared" ca="1" si="11"/>
        <v>0</v>
      </c>
      <c r="X82" s="77">
        <f ca="1">IFERROR(__xludf.DUMMYFUNCTION("IMPORTRANGE(""https://docs.google.com/spreadsheets/d/1IYY_tgx_IHuhSq3AJ5eI5OnqOPBNLWSHKh2a30DoXe8/edit?usp=sharing"",""ปัตตานี!J46"")"),0)</f>
        <v>0</v>
      </c>
      <c r="Y82" s="79">
        <f t="shared" ca="1" si="12"/>
        <v>0</v>
      </c>
      <c r="Z82" s="77">
        <f ca="1">IFERROR(__xludf.DUMMYFUNCTION("IMPORTRANGE(""https://docs.google.com/spreadsheets/d/1IYY_tgx_IHuhSq3AJ5eI5OnqOPBNLWSHKh2a30DoXe8/edit?usp=sharing"",""ปัตตานี!J47"")"),0)</f>
        <v>0</v>
      </c>
      <c r="AA82" s="137">
        <f t="shared" ca="1" si="13"/>
        <v>0</v>
      </c>
      <c r="AB82" s="77">
        <f ca="1">IFERROR(__xludf.DUMMYFUNCTION("IMPORTRANGE(""https://docs.google.com/spreadsheets/d/1C3CXT74ZlgGe6_JY_1olB1XN4rF0dxEuIIF-xsYjHgg/edit?usp=sharing"",""พรบ!W86"")"),0)</f>
        <v>0</v>
      </c>
      <c r="AC82" s="77">
        <f ca="1">IFERROR(__xludf.DUMMYFUNCTION("IMPORTRANGE(""https://docs.google.com/spreadsheets/d/1IYY_tgx_IHuhSq3AJ5eI5OnqOPBNLWSHKh2a30DoXe8/edit?usp=sharing"",""ปัตตานี!J48"")"),0)</f>
        <v>0</v>
      </c>
      <c r="AD82" s="137">
        <f t="shared" ca="1" si="15"/>
        <v>0</v>
      </c>
    </row>
    <row r="83" spans="1:30" ht="21" customHeight="1">
      <c r="A83" s="73">
        <v>7</v>
      </c>
      <c r="B83" s="74" t="s">
        <v>107</v>
      </c>
      <c r="C83" s="75">
        <f t="shared" ca="1" si="0"/>
        <v>0</v>
      </c>
      <c r="D83" s="76">
        <f t="shared" ca="1" si="51"/>
        <v>0</v>
      </c>
      <c r="E83" s="77">
        <f ca="1">IFERROR(__xludf.DUMMYFUNCTION("IMPORTRANGE(""https://docs.google.com/spreadsheets/d/1C3CXT74ZlgGe6_JY_1olB1XN4rF0dxEuIIF-xsYjHgg/edit?usp=sharing"",""พรบ!P87"")"),0)</f>
        <v>0</v>
      </c>
      <c r="F83" s="77">
        <f ca="1">IFERROR(__xludf.DUMMYFUNCTION("IMPORTRANGE(""https://docs.google.com/spreadsheets/d/1C3CXT74ZlgGe6_JY_1olB1XN4rF0dxEuIIF-xsYjHgg/edit?usp=sharing"",""พรบ!Q87"")"),0)</f>
        <v>0</v>
      </c>
      <c r="G83" s="77">
        <f ca="1">IFERROR(__xludf.DUMMYFUNCTION("IMPORTRANGE(""https://docs.google.com/spreadsheets/d/1Yj_ptqi66GCucihVvJfMjLAmec39IyEx_6qawtMGysU/edit?usp=sharing"",""สบก!AP87"")"),0)</f>
        <v>0</v>
      </c>
      <c r="H83" s="77">
        <f ca="1">IFERROR(__xludf.DUMMYFUNCTION("IMPORTRANGE(""https://docs.google.com/spreadsheets/d/1Yj_ptqi66GCucihVvJfMjLAmec39IyEx_6qawtMGysU/edit?usp=sharing"",""สบก!AR87"")"),0)</f>
        <v>0</v>
      </c>
      <c r="I83" s="77">
        <f t="shared" ca="1" si="3"/>
        <v>0</v>
      </c>
      <c r="J83" s="137">
        <f t="shared" ca="1" si="4"/>
        <v>0</v>
      </c>
      <c r="K83" s="77">
        <f ca="1">IFERROR(__xludf.DUMMYFUNCTION("IMPORTRANGE(""https://docs.google.com/spreadsheets/d/1Yj_ptqi66GCucihVvJfMjLAmec39IyEx_6qawtMGysU/edit?usp=sharing"",""สบก!AS87"")"),0)</f>
        <v>0</v>
      </c>
      <c r="L83" s="137">
        <f t="shared" ca="1" si="5"/>
        <v>0</v>
      </c>
      <c r="M83" s="137">
        <f t="shared" ca="1" si="6"/>
        <v>0</v>
      </c>
      <c r="N83" s="137">
        <f ca="1">IFERROR(__xludf.DUMMYFUNCTION("IMPORTRANGE(""https://docs.google.com/spreadsheets/d/1Yj_ptqi66GCucihVvJfMjLAmec39IyEx_6qawtMGysU/edit?usp=sharing"",""สบก!AT87"")"),0)</f>
        <v>0</v>
      </c>
      <c r="O83" s="137">
        <f t="shared" ca="1" si="7"/>
        <v>0</v>
      </c>
      <c r="P83" s="77">
        <f ca="1">IFERROR(__xludf.DUMMYFUNCTION("IMPORTRANGE(""https://docs.google.com/spreadsheets/d/1C3CXT74ZlgGe6_JY_1olB1XN4rF0dxEuIIF-xsYjHgg/edit?usp=sharing"",""พรบ!R87"")"),0)</f>
        <v>0</v>
      </c>
      <c r="Q83" s="77">
        <f ca="1">IFERROR(__xludf.DUMMYFUNCTION("IMPORTRANGE(""https://docs.google.com/spreadsheets/d/1IYY_tgx_IHuhSq3AJ5eI5OnqOPBNLWSHKh2a30DoXe8/edit?usp=sharing"",""พังงา!J43"")"),0)</f>
        <v>0</v>
      </c>
      <c r="R83" s="79">
        <f t="shared" ca="1" si="9"/>
        <v>0</v>
      </c>
      <c r="S83" s="77">
        <f ca="1">IFERROR(__xludf.DUMMYFUNCTION("IMPORTRANGE(""https://docs.google.com/spreadsheets/d/1C3CXT74ZlgGe6_JY_1olB1XN4rF0dxEuIIF-xsYjHgg/edit?usp=sharing"",""พรบ!S87"")"),0)</f>
        <v>0</v>
      </c>
      <c r="T83" s="77">
        <f ca="1">IFERROR(__xludf.DUMMYFUNCTION("IMPORTRANGE(""https://docs.google.com/spreadsheets/d/1IYY_tgx_IHuhSq3AJ5eI5OnqOPBNLWSHKh2a30DoXe8/edit?usp=sharing"",""พังงา!J44"")"),0)</f>
        <v>0</v>
      </c>
      <c r="U83" s="79">
        <f t="shared" ca="1" si="10"/>
        <v>0</v>
      </c>
      <c r="V83" s="77">
        <f ca="1">IFERROR(__xludf.DUMMYFUNCTION("IMPORTRANGE(""https://docs.google.com/spreadsheets/d/1IYY_tgx_IHuhSq3AJ5eI5OnqOPBNLWSHKh2a30DoXe8/edit?usp=sharing"",""พังงา!J45"")"),0)</f>
        <v>0</v>
      </c>
      <c r="W83" s="79">
        <f t="shared" ca="1" si="11"/>
        <v>0</v>
      </c>
      <c r="X83" s="77">
        <f ca="1">IFERROR(__xludf.DUMMYFUNCTION("IMPORTRANGE(""https://docs.google.com/spreadsheets/d/1IYY_tgx_IHuhSq3AJ5eI5OnqOPBNLWSHKh2a30DoXe8/edit?usp=sharing"",""พังงา!J46"")"),0)</f>
        <v>0</v>
      </c>
      <c r="Y83" s="79">
        <f t="shared" ca="1" si="12"/>
        <v>0</v>
      </c>
      <c r="Z83" s="77">
        <f ca="1">IFERROR(__xludf.DUMMYFUNCTION("IMPORTRANGE(""https://docs.google.com/spreadsheets/d/1IYY_tgx_IHuhSq3AJ5eI5OnqOPBNLWSHKh2a30DoXe8/edit?usp=sharing"",""พังงา!J47"")"),0)</f>
        <v>0</v>
      </c>
      <c r="AA83" s="137">
        <f t="shared" ca="1" si="13"/>
        <v>0</v>
      </c>
      <c r="AB83" s="77">
        <f ca="1">IFERROR(__xludf.DUMMYFUNCTION("IMPORTRANGE(""https://docs.google.com/spreadsheets/d/1C3CXT74ZlgGe6_JY_1olB1XN4rF0dxEuIIF-xsYjHgg/edit?usp=sharing"",""พรบ!W87"")"),0)</f>
        <v>0</v>
      </c>
      <c r="AC83" s="77">
        <f ca="1">IFERROR(__xludf.DUMMYFUNCTION("IMPORTRANGE(""https://docs.google.com/spreadsheets/d/1IYY_tgx_IHuhSq3AJ5eI5OnqOPBNLWSHKh2a30DoXe8/edit?usp=sharing"",""พังงา!J48"")"),0)</f>
        <v>0</v>
      </c>
      <c r="AD83" s="137">
        <f t="shared" ca="1" si="15"/>
        <v>0</v>
      </c>
    </row>
    <row r="84" spans="1:30" ht="21" customHeight="1">
      <c r="A84" s="73">
        <v>8</v>
      </c>
      <c r="B84" s="74" t="s">
        <v>108</v>
      </c>
      <c r="C84" s="75">
        <f t="shared" ca="1" si="0"/>
        <v>214500</v>
      </c>
      <c r="D84" s="76">
        <f t="shared" ca="1" si="51"/>
        <v>122100</v>
      </c>
      <c r="E84" s="77">
        <f ca="1">IFERROR(__xludf.DUMMYFUNCTION("IMPORTRANGE(""https://docs.google.com/spreadsheets/d/1C3CXT74ZlgGe6_JY_1olB1XN4rF0dxEuIIF-xsYjHgg/edit?usp=sharing"",""พรบ!P88"")"),0)</f>
        <v>0</v>
      </c>
      <c r="F84" s="77">
        <f ca="1">IFERROR(__xludf.DUMMYFUNCTION("IMPORTRANGE(""https://docs.google.com/spreadsheets/d/1C3CXT74ZlgGe6_JY_1olB1XN4rF0dxEuIIF-xsYjHgg/edit?usp=sharing"",""พรบ!Q88"")"),122100)</f>
        <v>122100</v>
      </c>
      <c r="G84" s="77">
        <f ca="1">IFERROR(__xludf.DUMMYFUNCTION("IMPORTRANGE(""https://docs.google.com/spreadsheets/d/1Yj_ptqi66GCucihVvJfMjLAmec39IyEx_6qawtMGysU/edit?usp=sharing"",""สบก!AP88"")"),92400)</f>
        <v>92400</v>
      </c>
      <c r="H84" s="77">
        <f ca="1">IFERROR(__xludf.DUMMYFUNCTION("IMPORTRANGE(""https://docs.google.com/spreadsheets/d/1Yj_ptqi66GCucihVvJfMjLAmec39IyEx_6qawtMGysU/edit?usp=sharing"",""สบก!AR88"")"),122100)</f>
        <v>122100</v>
      </c>
      <c r="I84" s="77">
        <f t="shared" ca="1" si="3"/>
        <v>124780</v>
      </c>
      <c r="J84" s="137">
        <f t="shared" ca="1" si="4"/>
        <v>58.172494172494176</v>
      </c>
      <c r="K84" s="77">
        <f ca="1">IFERROR(__xludf.DUMMYFUNCTION("IMPORTRANGE(""https://docs.google.com/spreadsheets/d/1Yj_ptqi66GCucihVvJfMjLAmec39IyEx_6qawtMGysU/edit?usp=sharing"",""สบก!AS88"")"),32380)</f>
        <v>32380</v>
      </c>
      <c r="L84" s="137">
        <f t="shared" ca="1" si="5"/>
        <v>26.519246519246519</v>
      </c>
      <c r="M84" s="137">
        <f t="shared" ca="1" si="6"/>
        <v>26.519246519246519</v>
      </c>
      <c r="N84" s="137">
        <f ca="1">IFERROR(__xludf.DUMMYFUNCTION("IMPORTRANGE(""https://docs.google.com/spreadsheets/d/1Yj_ptqi66GCucihVvJfMjLAmec39IyEx_6qawtMGysU/edit?usp=sharing"",""สบก!AT88"")"),92400)</f>
        <v>92400</v>
      </c>
      <c r="O84" s="137">
        <f t="shared" ca="1" si="7"/>
        <v>100</v>
      </c>
      <c r="P84" s="77">
        <f ca="1">IFERROR(__xludf.DUMMYFUNCTION("IMPORTRANGE(""https://docs.google.com/spreadsheets/d/1C3CXT74ZlgGe6_JY_1olB1XN4rF0dxEuIIF-xsYjHgg/edit?usp=sharing"",""พรบ!R88"")"),1)</f>
        <v>1</v>
      </c>
      <c r="Q84" s="77">
        <f ca="1">IFERROR(__xludf.DUMMYFUNCTION("IMPORTRANGE(""https://docs.google.com/spreadsheets/d/1IYY_tgx_IHuhSq3AJ5eI5OnqOPBNLWSHKh2a30DoXe8/edit?usp=sharing"",""พัทลุง!J43"")"),1)</f>
        <v>1</v>
      </c>
      <c r="R84" s="79">
        <f t="shared" ca="1" si="9"/>
        <v>100</v>
      </c>
      <c r="S84" s="77">
        <f ca="1">IFERROR(__xludf.DUMMYFUNCTION("IMPORTRANGE(""https://docs.google.com/spreadsheets/d/1C3CXT74ZlgGe6_JY_1olB1XN4rF0dxEuIIF-xsYjHgg/edit?usp=sharing"",""พรบ!S88"")"),4)</f>
        <v>4</v>
      </c>
      <c r="T84" s="77">
        <f ca="1">IFERROR(__xludf.DUMMYFUNCTION("IMPORTRANGE(""https://docs.google.com/spreadsheets/d/1IYY_tgx_IHuhSq3AJ5eI5OnqOPBNLWSHKh2a30DoXe8/edit?usp=sharing"",""พัทลุง!J44"")"),0)</f>
        <v>0</v>
      </c>
      <c r="U84" s="79">
        <f t="shared" ca="1" si="10"/>
        <v>0</v>
      </c>
      <c r="V84" s="77">
        <f ca="1">IFERROR(__xludf.DUMMYFUNCTION("IMPORTRANGE(""https://docs.google.com/spreadsheets/d/1IYY_tgx_IHuhSq3AJ5eI5OnqOPBNLWSHKh2a30DoXe8/edit?usp=sharing"",""พัทลุง!J45"")"),4)</f>
        <v>4</v>
      </c>
      <c r="W84" s="79">
        <f t="shared" ca="1" si="11"/>
        <v>100</v>
      </c>
      <c r="X84" s="77">
        <f ca="1">IFERROR(__xludf.DUMMYFUNCTION("IMPORTRANGE(""https://docs.google.com/spreadsheets/d/1IYY_tgx_IHuhSq3AJ5eI5OnqOPBNLWSHKh2a30DoXe8/edit?usp=sharing"",""พัทลุง!J46"")"),4)</f>
        <v>4</v>
      </c>
      <c r="Y84" s="79">
        <f t="shared" ca="1" si="12"/>
        <v>100</v>
      </c>
      <c r="Z84" s="77">
        <f ca="1">IFERROR(__xludf.DUMMYFUNCTION("IMPORTRANGE(""https://docs.google.com/spreadsheets/d/1IYY_tgx_IHuhSq3AJ5eI5OnqOPBNLWSHKh2a30DoXe8/edit?usp=sharing"",""พัทลุง!J47"")"),4)</f>
        <v>4</v>
      </c>
      <c r="AA84" s="137">
        <f t="shared" ca="1" si="13"/>
        <v>100</v>
      </c>
      <c r="AB84" s="77">
        <f ca="1">IFERROR(__xludf.DUMMYFUNCTION("IMPORTRANGE(""https://docs.google.com/spreadsheets/d/1C3CXT74ZlgGe6_JY_1olB1XN4rF0dxEuIIF-xsYjHgg/edit?usp=sharing"",""พรบ!W88"")"),1)</f>
        <v>1</v>
      </c>
      <c r="AC84" s="77">
        <f ca="1">IFERROR(__xludf.DUMMYFUNCTION("IMPORTRANGE(""https://docs.google.com/spreadsheets/d/1IYY_tgx_IHuhSq3AJ5eI5OnqOPBNLWSHKh2a30DoXe8/edit?usp=sharing"",""พัทลุง!J48"")"),1)</f>
        <v>1</v>
      </c>
      <c r="AD84" s="137">
        <f t="shared" ca="1" si="15"/>
        <v>100</v>
      </c>
    </row>
    <row r="85" spans="1:30" ht="21" customHeight="1">
      <c r="A85" s="73">
        <v>9</v>
      </c>
      <c r="B85" s="74" t="s">
        <v>109</v>
      </c>
      <c r="C85" s="75">
        <f t="shared" ca="1" si="0"/>
        <v>0</v>
      </c>
      <c r="D85" s="76">
        <f t="shared" ca="1" si="51"/>
        <v>0</v>
      </c>
      <c r="E85" s="77">
        <f ca="1">IFERROR(__xludf.DUMMYFUNCTION("IMPORTRANGE(""https://docs.google.com/spreadsheets/d/1C3CXT74ZlgGe6_JY_1olB1XN4rF0dxEuIIF-xsYjHgg/edit?usp=sharing"",""พรบ!P89"")"),0)</f>
        <v>0</v>
      </c>
      <c r="F85" s="77">
        <f ca="1">IFERROR(__xludf.DUMMYFUNCTION("IMPORTRANGE(""https://docs.google.com/spreadsheets/d/1C3CXT74ZlgGe6_JY_1olB1XN4rF0dxEuIIF-xsYjHgg/edit?usp=sharing"",""พรบ!Q89"")"),0)</f>
        <v>0</v>
      </c>
      <c r="G85" s="77">
        <f ca="1">IFERROR(__xludf.DUMMYFUNCTION("IMPORTRANGE(""https://docs.google.com/spreadsheets/d/1Yj_ptqi66GCucihVvJfMjLAmec39IyEx_6qawtMGysU/edit?usp=sharing"",""สบก!AP89"")"),0)</f>
        <v>0</v>
      </c>
      <c r="H85" s="77">
        <f ca="1">IFERROR(__xludf.DUMMYFUNCTION("IMPORTRANGE(""https://docs.google.com/spreadsheets/d/1Yj_ptqi66GCucihVvJfMjLAmec39IyEx_6qawtMGysU/edit?usp=sharing"",""สบก!AR89"")"),0)</f>
        <v>0</v>
      </c>
      <c r="I85" s="77">
        <f t="shared" ca="1" si="3"/>
        <v>0</v>
      </c>
      <c r="J85" s="137">
        <f t="shared" ca="1" si="4"/>
        <v>0</v>
      </c>
      <c r="K85" s="77">
        <f ca="1">IFERROR(__xludf.DUMMYFUNCTION("IMPORTRANGE(""https://docs.google.com/spreadsheets/d/1Yj_ptqi66GCucihVvJfMjLAmec39IyEx_6qawtMGysU/edit?usp=sharing"",""สบก!AS89"")"),0)</f>
        <v>0</v>
      </c>
      <c r="L85" s="137">
        <f t="shared" ca="1" si="5"/>
        <v>0</v>
      </c>
      <c r="M85" s="137">
        <f t="shared" ca="1" si="6"/>
        <v>0</v>
      </c>
      <c r="N85" s="137">
        <f ca="1">IFERROR(__xludf.DUMMYFUNCTION("IMPORTRANGE(""https://docs.google.com/spreadsheets/d/1Yj_ptqi66GCucihVvJfMjLAmec39IyEx_6qawtMGysU/edit?usp=sharing"",""สบก!AT89"")"),0)</f>
        <v>0</v>
      </c>
      <c r="O85" s="137">
        <f t="shared" ca="1" si="7"/>
        <v>0</v>
      </c>
      <c r="P85" s="77">
        <f ca="1">IFERROR(__xludf.DUMMYFUNCTION("IMPORTRANGE(""https://docs.google.com/spreadsheets/d/1C3CXT74ZlgGe6_JY_1olB1XN4rF0dxEuIIF-xsYjHgg/edit?usp=sharing"",""พรบ!R89"")"),0)</f>
        <v>0</v>
      </c>
      <c r="Q85" s="77">
        <f ca="1">IFERROR(__xludf.DUMMYFUNCTION("IMPORTRANGE(""https://docs.google.com/spreadsheets/d/1IYY_tgx_IHuhSq3AJ5eI5OnqOPBNLWSHKh2a30DoXe8/edit?usp=sharing"",""ภูเก็ต!J43"")"),0)</f>
        <v>0</v>
      </c>
      <c r="R85" s="79">
        <f t="shared" ca="1" si="9"/>
        <v>0</v>
      </c>
      <c r="S85" s="77">
        <f ca="1">IFERROR(__xludf.DUMMYFUNCTION("IMPORTRANGE(""https://docs.google.com/spreadsheets/d/1C3CXT74ZlgGe6_JY_1olB1XN4rF0dxEuIIF-xsYjHgg/edit?usp=sharing"",""พรบ!S89"")"),0)</f>
        <v>0</v>
      </c>
      <c r="T85" s="77">
        <f ca="1">IFERROR(__xludf.DUMMYFUNCTION("IMPORTRANGE(""https://docs.google.com/spreadsheets/d/1IYY_tgx_IHuhSq3AJ5eI5OnqOPBNLWSHKh2a30DoXe8/edit?usp=sharing"",""ภูเก็ต!J44"")"),0)</f>
        <v>0</v>
      </c>
      <c r="U85" s="79">
        <f t="shared" ca="1" si="10"/>
        <v>0</v>
      </c>
      <c r="V85" s="77">
        <f ca="1">IFERROR(__xludf.DUMMYFUNCTION("IMPORTRANGE(""https://docs.google.com/spreadsheets/d/1IYY_tgx_IHuhSq3AJ5eI5OnqOPBNLWSHKh2a30DoXe8/edit?usp=sharing"",""ภูเก็ต!J45"")"),0)</f>
        <v>0</v>
      </c>
      <c r="W85" s="79">
        <f t="shared" ca="1" si="11"/>
        <v>0</v>
      </c>
      <c r="X85" s="77">
        <f ca="1">IFERROR(__xludf.DUMMYFUNCTION("IMPORTRANGE(""https://docs.google.com/spreadsheets/d/1IYY_tgx_IHuhSq3AJ5eI5OnqOPBNLWSHKh2a30DoXe8/edit?usp=sharing"",""ภูเก็ต!J46"")"),0)</f>
        <v>0</v>
      </c>
      <c r="Y85" s="79">
        <f t="shared" ca="1" si="12"/>
        <v>0</v>
      </c>
      <c r="Z85" s="77">
        <f ca="1">IFERROR(__xludf.DUMMYFUNCTION("IMPORTRANGE(""https://docs.google.com/spreadsheets/d/1IYY_tgx_IHuhSq3AJ5eI5OnqOPBNLWSHKh2a30DoXe8/edit?usp=sharing"",""ภูเก็ต!J47"")"),0)</f>
        <v>0</v>
      </c>
      <c r="AA85" s="137">
        <f t="shared" ca="1" si="13"/>
        <v>0</v>
      </c>
      <c r="AB85" s="77">
        <f ca="1">IFERROR(__xludf.DUMMYFUNCTION("IMPORTRANGE(""https://docs.google.com/spreadsheets/d/1C3CXT74ZlgGe6_JY_1olB1XN4rF0dxEuIIF-xsYjHgg/edit?usp=sharing"",""พรบ!W89"")"),0)</f>
        <v>0</v>
      </c>
      <c r="AC85" s="77">
        <f ca="1">IFERROR(__xludf.DUMMYFUNCTION("IMPORTRANGE(""https://docs.google.com/spreadsheets/d/1IYY_tgx_IHuhSq3AJ5eI5OnqOPBNLWSHKh2a30DoXe8/edit?usp=sharing"",""ภูเก็ต!J48"")"),0)</f>
        <v>0</v>
      </c>
      <c r="AD85" s="137">
        <f t="shared" ca="1" si="15"/>
        <v>0</v>
      </c>
    </row>
    <row r="86" spans="1:30" ht="21" customHeight="1">
      <c r="A86" s="73">
        <v>10</v>
      </c>
      <c r="B86" s="74" t="s">
        <v>110</v>
      </c>
      <c r="C86" s="75">
        <f t="shared" ca="1" si="0"/>
        <v>0</v>
      </c>
      <c r="D86" s="76">
        <f t="shared" ca="1" si="51"/>
        <v>0</v>
      </c>
      <c r="E86" s="77">
        <f ca="1">IFERROR(__xludf.DUMMYFUNCTION("IMPORTRANGE(""https://docs.google.com/spreadsheets/d/1C3CXT74ZlgGe6_JY_1olB1XN4rF0dxEuIIF-xsYjHgg/edit?usp=sharing"",""พรบ!P90"")"),0)</f>
        <v>0</v>
      </c>
      <c r="F86" s="77">
        <f ca="1">IFERROR(__xludf.DUMMYFUNCTION("IMPORTRANGE(""https://docs.google.com/spreadsheets/d/1C3CXT74ZlgGe6_JY_1olB1XN4rF0dxEuIIF-xsYjHgg/edit?usp=sharing"",""พรบ!Q90"")"),0)</f>
        <v>0</v>
      </c>
      <c r="G86" s="77">
        <f ca="1">IFERROR(__xludf.DUMMYFUNCTION("IMPORTRANGE(""https://docs.google.com/spreadsheets/d/1Yj_ptqi66GCucihVvJfMjLAmec39IyEx_6qawtMGysU/edit?usp=sharing"",""สบก!AP90"")"),0)</f>
        <v>0</v>
      </c>
      <c r="H86" s="77">
        <f ca="1">IFERROR(__xludf.DUMMYFUNCTION("IMPORTRANGE(""https://docs.google.com/spreadsheets/d/1Yj_ptqi66GCucihVvJfMjLAmec39IyEx_6qawtMGysU/edit?usp=sharing"",""สบก!AR90"")"),0)</f>
        <v>0</v>
      </c>
      <c r="I86" s="77">
        <f t="shared" ca="1" si="3"/>
        <v>0</v>
      </c>
      <c r="J86" s="137">
        <f t="shared" ca="1" si="4"/>
        <v>0</v>
      </c>
      <c r="K86" s="77">
        <f ca="1">IFERROR(__xludf.DUMMYFUNCTION("IMPORTRANGE(""https://docs.google.com/spreadsheets/d/1Yj_ptqi66GCucihVvJfMjLAmec39IyEx_6qawtMGysU/edit?usp=sharing"",""สบก!AS90"")"),0)</f>
        <v>0</v>
      </c>
      <c r="L86" s="137">
        <f t="shared" ca="1" si="5"/>
        <v>0</v>
      </c>
      <c r="M86" s="137">
        <f t="shared" ca="1" si="6"/>
        <v>0</v>
      </c>
      <c r="N86" s="137">
        <f ca="1">IFERROR(__xludf.DUMMYFUNCTION("IMPORTRANGE(""https://docs.google.com/spreadsheets/d/1Yj_ptqi66GCucihVvJfMjLAmec39IyEx_6qawtMGysU/edit?usp=sharing"",""สบก!AT90"")"),0)</f>
        <v>0</v>
      </c>
      <c r="O86" s="137">
        <f t="shared" ca="1" si="7"/>
        <v>0</v>
      </c>
      <c r="P86" s="77">
        <f ca="1">IFERROR(__xludf.DUMMYFUNCTION("IMPORTRANGE(""https://docs.google.com/spreadsheets/d/1C3CXT74ZlgGe6_JY_1olB1XN4rF0dxEuIIF-xsYjHgg/edit?usp=sharing"",""พรบ!R90"")"),0)</f>
        <v>0</v>
      </c>
      <c r="Q86" s="77">
        <f ca="1">IFERROR(__xludf.DUMMYFUNCTION("IMPORTRANGE(""https://docs.google.com/spreadsheets/d/1IYY_tgx_IHuhSq3AJ5eI5OnqOPBNLWSHKh2a30DoXe8/edit?usp=sharing"",""ยะลา!J43"")"),0)</f>
        <v>0</v>
      </c>
      <c r="R86" s="79">
        <f t="shared" ca="1" si="9"/>
        <v>0</v>
      </c>
      <c r="S86" s="77">
        <f ca="1">IFERROR(__xludf.DUMMYFUNCTION("IMPORTRANGE(""https://docs.google.com/spreadsheets/d/1C3CXT74ZlgGe6_JY_1olB1XN4rF0dxEuIIF-xsYjHgg/edit?usp=sharing"",""พรบ!S90"")"),0)</f>
        <v>0</v>
      </c>
      <c r="T86" s="77">
        <f ca="1">IFERROR(__xludf.DUMMYFUNCTION("IMPORTRANGE(""https://docs.google.com/spreadsheets/d/1IYY_tgx_IHuhSq3AJ5eI5OnqOPBNLWSHKh2a30DoXe8/edit?usp=sharing"",""ยะลา!J44"")"),0)</f>
        <v>0</v>
      </c>
      <c r="U86" s="79">
        <f t="shared" ca="1" si="10"/>
        <v>0</v>
      </c>
      <c r="V86" s="77">
        <f ca="1">IFERROR(__xludf.DUMMYFUNCTION("IMPORTRANGE(""https://docs.google.com/spreadsheets/d/1IYY_tgx_IHuhSq3AJ5eI5OnqOPBNLWSHKh2a30DoXe8/edit?usp=sharing"",""ยะลา!J45"")"),0)</f>
        <v>0</v>
      </c>
      <c r="W86" s="79">
        <f t="shared" ca="1" si="11"/>
        <v>0</v>
      </c>
      <c r="X86" s="77">
        <f ca="1">IFERROR(__xludf.DUMMYFUNCTION("IMPORTRANGE(""https://docs.google.com/spreadsheets/d/1IYY_tgx_IHuhSq3AJ5eI5OnqOPBNLWSHKh2a30DoXe8/edit?usp=sharing"",""ยะลา!J46"")"),0)</f>
        <v>0</v>
      </c>
      <c r="Y86" s="79">
        <f t="shared" ca="1" si="12"/>
        <v>0</v>
      </c>
      <c r="Z86" s="77">
        <f ca="1">IFERROR(__xludf.DUMMYFUNCTION("IMPORTRANGE(""https://docs.google.com/spreadsheets/d/1IYY_tgx_IHuhSq3AJ5eI5OnqOPBNLWSHKh2a30DoXe8/edit?usp=sharing"",""ยะลา!J47"")"),0)</f>
        <v>0</v>
      </c>
      <c r="AA86" s="137">
        <f t="shared" ca="1" si="13"/>
        <v>0</v>
      </c>
      <c r="AB86" s="77">
        <f ca="1">IFERROR(__xludf.DUMMYFUNCTION("IMPORTRANGE(""https://docs.google.com/spreadsheets/d/1C3CXT74ZlgGe6_JY_1olB1XN4rF0dxEuIIF-xsYjHgg/edit?usp=sharing"",""พรบ!W90"")"),0)</f>
        <v>0</v>
      </c>
      <c r="AC86" s="77">
        <f ca="1">IFERROR(__xludf.DUMMYFUNCTION("IMPORTRANGE(""https://docs.google.com/spreadsheets/d/1IYY_tgx_IHuhSq3AJ5eI5OnqOPBNLWSHKh2a30DoXe8/edit?usp=sharing"",""ยะลา!J48"")"),0)</f>
        <v>0</v>
      </c>
      <c r="AD86" s="137">
        <f t="shared" ca="1" si="15"/>
        <v>0</v>
      </c>
    </row>
    <row r="87" spans="1:30" ht="21" customHeight="1">
      <c r="A87" s="73">
        <v>11</v>
      </c>
      <c r="B87" s="74" t="s">
        <v>111</v>
      </c>
      <c r="C87" s="75">
        <f t="shared" ca="1" si="0"/>
        <v>214500</v>
      </c>
      <c r="D87" s="76">
        <f t="shared" ca="1" si="51"/>
        <v>122100</v>
      </c>
      <c r="E87" s="77">
        <f ca="1">IFERROR(__xludf.DUMMYFUNCTION("IMPORTRANGE(""https://docs.google.com/spreadsheets/d/1C3CXT74ZlgGe6_JY_1olB1XN4rF0dxEuIIF-xsYjHgg/edit?usp=sharing"",""พรบ!P91"")"),0)</f>
        <v>0</v>
      </c>
      <c r="F87" s="77">
        <f ca="1">IFERROR(__xludf.DUMMYFUNCTION("IMPORTRANGE(""https://docs.google.com/spreadsheets/d/1C3CXT74ZlgGe6_JY_1olB1XN4rF0dxEuIIF-xsYjHgg/edit?usp=sharing"",""พรบ!Q91"")"),122100)</f>
        <v>122100</v>
      </c>
      <c r="G87" s="77">
        <f ca="1">IFERROR(__xludf.DUMMYFUNCTION("IMPORTRANGE(""https://docs.google.com/spreadsheets/d/1Yj_ptqi66GCucihVvJfMjLAmec39IyEx_6qawtMGysU/edit?usp=sharing"",""สบก!AP91"")"),92400)</f>
        <v>92400</v>
      </c>
      <c r="H87" s="77">
        <f ca="1">IFERROR(__xludf.DUMMYFUNCTION("IMPORTRANGE(""https://docs.google.com/spreadsheets/d/1Yj_ptqi66GCucihVvJfMjLAmec39IyEx_6qawtMGysU/edit?usp=sharing"",""สบก!AR91"")"),122100)</f>
        <v>122100</v>
      </c>
      <c r="I87" s="77">
        <f t="shared" ca="1" si="3"/>
        <v>144025</v>
      </c>
      <c r="J87" s="137">
        <f t="shared" ca="1" si="4"/>
        <v>67.144522144522142</v>
      </c>
      <c r="K87" s="77">
        <f ca="1">IFERROR(__xludf.DUMMYFUNCTION("IMPORTRANGE(""https://docs.google.com/spreadsheets/d/1Yj_ptqi66GCucihVvJfMjLAmec39IyEx_6qawtMGysU/edit?usp=sharing"",""สบก!AS91"")"),51625)</f>
        <v>51625</v>
      </c>
      <c r="L87" s="137">
        <f t="shared" ca="1" si="5"/>
        <v>42.280917280917279</v>
      </c>
      <c r="M87" s="137">
        <f t="shared" ca="1" si="6"/>
        <v>42.280917280917279</v>
      </c>
      <c r="N87" s="137">
        <f ca="1">IFERROR(__xludf.DUMMYFUNCTION("IMPORTRANGE(""https://docs.google.com/spreadsheets/d/1Yj_ptqi66GCucihVvJfMjLAmec39IyEx_6qawtMGysU/edit?usp=sharing"",""สบก!AT91"")"),92400)</f>
        <v>92400</v>
      </c>
      <c r="O87" s="137">
        <f t="shared" ca="1" si="7"/>
        <v>100</v>
      </c>
      <c r="P87" s="77">
        <f ca="1">IFERROR(__xludf.DUMMYFUNCTION("IMPORTRANGE(""https://docs.google.com/spreadsheets/d/1C3CXT74ZlgGe6_JY_1olB1XN4rF0dxEuIIF-xsYjHgg/edit?usp=sharing"",""พรบ!R91"")"),1)</f>
        <v>1</v>
      </c>
      <c r="Q87" s="77">
        <f ca="1">IFERROR(__xludf.DUMMYFUNCTION("IMPORTRANGE(""https://docs.google.com/spreadsheets/d/1IYY_tgx_IHuhSq3AJ5eI5OnqOPBNLWSHKh2a30DoXe8/edit?usp=sharing"",""ระนอง!J43"")"),1)</f>
        <v>1</v>
      </c>
      <c r="R87" s="79">
        <f t="shared" ca="1" si="9"/>
        <v>100</v>
      </c>
      <c r="S87" s="77">
        <f ca="1">IFERROR(__xludf.DUMMYFUNCTION("IMPORTRANGE(""https://docs.google.com/spreadsheets/d/1C3CXT74ZlgGe6_JY_1olB1XN4rF0dxEuIIF-xsYjHgg/edit?usp=sharing"",""พรบ!S91"")"),4)</f>
        <v>4</v>
      </c>
      <c r="T87" s="77">
        <f ca="1">IFERROR(__xludf.DUMMYFUNCTION("IMPORTRANGE(""https://docs.google.com/spreadsheets/d/1IYY_tgx_IHuhSq3AJ5eI5OnqOPBNLWSHKh2a30DoXe8/edit?usp=sharing"",""ระนอง!J44"")"),4)</f>
        <v>4</v>
      </c>
      <c r="U87" s="79">
        <f t="shared" ca="1" si="10"/>
        <v>100</v>
      </c>
      <c r="V87" s="77">
        <f ca="1">IFERROR(__xludf.DUMMYFUNCTION("IMPORTRANGE(""https://docs.google.com/spreadsheets/d/1IYY_tgx_IHuhSq3AJ5eI5OnqOPBNLWSHKh2a30DoXe8/edit?usp=sharing"",""ระนอง!J45"")"),4)</f>
        <v>4</v>
      </c>
      <c r="W87" s="79">
        <f t="shared" ca="1" si="11"/>
        <v>100</v>
      </c>
      <c r="X87" s="77">
        <f ca="1">IFERROR(__xludf.DUMMYFUNCTION("IMPORTRANGE(""https://docs.google.com/spreadsheets/d/1IYY_tgx_IHuhSq3AJ5eI5OnqOPBNLWSHKh2a30DoXe8/edit?usp=sharing"",""ระนอง!J46"")"),4)</f>
        <v>4</v>
      </c>
      <c r="Y87" s="79">
        <f t="shared" ca="1" si="12"/>
        <v>100</v>
      </c>
      <c r="Z87" s="77">
        <f ca="1">IFERROR(__xludf.DUMMYFUNCTION("IMPORTRANGE(""https://docs.google.com/spreadsheets/d/1IYY_tgx_IHuhSq3AJ5eI5OnqOPBNLWSHKh2a30DoXe8/edit?usp=sharing"",""ระนอง!J47"")"),4)</f>
        <v>4</v>
      </c>
      <c r="AA87" s="137">
        <f t="shared" ca="1" si="13"/>
        <v>100</v>
      </c>
      <c r="AB87" s="77">
        <f ca="1">IFERROR(__xludf.DUMMYFUNCTION("IMPORTRANGE(""https://docs.google.com/spreadsheets/d/1C3CXT74ZlgGe6_JY_1olB1XN4rF0dxEuIIF-xsYjHgg/edit?usp=sharing"",""พรบ!W91"")"),1)</f>
        <v>1</v>
      </c>
      <c r="AC87" s="77">
        <f ca="1">IFERROR(__xludf.DUMMYFUNCTION("IMPORTRANGE(""https://docs.google.com/spreadsheets/d/1IYY_tgx_IHuhSq3AJ5eI5OnqOPBNLWSHKh2a30DoXe8/edit?usp=sharing"",""ระนอง!J48"")"),1)</f>
        <v>1</v>
      </c>
      <c r="AD87" s="137">
        <f t="shared" ca="1" si="15"/>
        <v>100</v>
      </c>
    </row>
    <row r="88" spans="1:30" ht="24" customHeight="1">
      <c r="A88" s="73">
        <v>12</v>
      </c>
      <c r="B88" s="74" t="s">
        <v>112</v>
      </c>
      <c r="C88" s="75">
        <f t="shared" ca="1" si="0"/>
        <v>0</v>
      </c>
      <c r="D88" s="76">
        <f t="shared" ca="1" si="51"/>
        <v>0</v>
      </c>
      <c r="E88" s="77">
        <f ca="1">IFERROR(__xludf.DUMMYFUNCTION("IMPORTRANGE(""https://docs.google.com/spreadsheets/d/1C3CXT74ZlgGe6_JY_1olB1XN4rF0dxEuIIF-xsYjHgg/edit?usp=sharing"",""พรบ!P92"")"),0)</f>
        <v>0</v>
      </c>
      <c r="F88" s="77">
        <f ca="1">IFERROR(__xludf.DUMMYFUNCTION("IMPORTRANGE(""https://docs.google.com/spreadsheets/d/1C3CXT74ZlgGe6_JY_1olB1XN4rF0dxEuIIF-xsYjHgg/edit?usp=sharing"",""พรบ!Q92"")"),0)</f>
        <v>0</v>
      </c>
      <c r="G88" s="77">
        <f ca="1">IFERROR(__xludf.DUMMYFUNCTION("IMPORTRANGE(""https://docs.google.com/spreadsheets/d/1Yj_ptqi66GCucihVvJfMjLAmec39IyEx_6qawtMGysU/edit?usp=sharing"",""สบก!AP92"")"),0)</f>
        <v>0</v>
      </c>
      <c r="H88" s="77">
        <f ca="1">IFERROR(__xludf.DUMMYFUNCTION("IMPORTRANGE(""https://docs.google.com/spreadsheets/d/1Yj_ptqi66GCucihVvJfMjLAmec39IyEx_6qawtMGysU/edit?usp=sharing"",""สบก!AR92"")"),0)</f>
        <v>0</v>
      </c>
      <c r="I88" s="77">
        <f t="shared" ca="1" si="3"/>
        <v>0</v>
      </c>
      <c r="J88" s="137">
        <f t="shared" ca="1" si="4"/>
        <v>0</v>
      </c>
      <c r="K88" s="77">
        <f ca="1">IFERROR(__xludf.DUMMYFUNCTION("IMPORTRANGE(""https://docs.google.com/spreadsheets/d/1Yj_ptqi66GCucihVvJfMjLAmec39IyEx_6qawtMGysU/edit?usp=sharing"",""สบก!AS92"")"),0)</f>
        <v>0</v>
      </c>
      <c r="L88" s="137">
        <f t="shared" ca="1" si="5"/>
        <v>0</v>
      </c>
      <c r="M88" s="137">
        <f t="shared" ca="1" si="6"/>
        <v>0</v>
      </c>
      <c r="N88" s="137">
        <f ca="1">IFERROR(__xludf.DUMMYFUNCTION("IMPORTRANGE(""https://docs.google.com/spreadsheets/d/1Yj_ptqi66GCucihVvJfMjLAmec39IyEx_6qawtMGysU/edit?usp=sharing"",""สบก!AT92"")"),0)</f>
        <v>0</v>
      </c>
      <c r="O88" s="137">
        <f t="shared" ca="1" si="7"/>
        <v>0</v>
      </c>
      <c r="P88" s="77">
        <f ca="1">IFERROR(__xludf.DUMMYFUNCTION("IMPORTRANGE(""https://docs.google.com/spreadsheets/d/1C3CXT74ZlgGe6_JY_1olB1XN4rF0dxEuIIF-xsYjHgg/edit?usp=sharing"",""พรบ!R92"")"),0)</f>
        <v>0</v>
      </c>
      <c r="Q88" s="77">
        <f ca="1">IFERROR(__xludf.DUMMYFUNCTION("IMPORTRANGE(""https://docs.google.com/spreadsheets/d/1IYY_tgx_IHuhSq3AJ5eI5OnqOPBNLWSHKh2a30DoXe8/edit?usp=sharing"",""สงขลา!J43"")"),0)</f>
        <v>0</v>
      </c>
      <c r="R88" s="79">
        <f t="shared" ca="1" si="9"/>
        <v>0</v>
      </c>
      <c r="S88" s="77">
        <f ca="1">IFERROR(__xludf.DUMMYFUNCTION("IMPORTRANGE(""https://docs.google.com/spreadsheets/d/1C3CXT74ZlgGe6_JY_1olB1XN4rF0dxEuIIF-xsYjHgg/edit?usp=sharing"",""พรบ!S92"")"),0)</f>
        <v>0</v>
      </c>
      <c r="T88" s="77">
        <f ca="1">IFERROR(__xludf.DUMMYFUNCTION("IMPORTRANGE(""https://docs.google.com/spreadsheets/d/1IYY_tgx_IHuhSq3AJ5eI5OnqOPBNLWSHKh2a30DoXe8/edit?usp=sharing"",""สงขลา!J44"")"),0)</f>
        <v>0</v>
      </c>
      <c r="U88" s="79">
        <f t="shared" ca="1" si="10"/>
        <v>0</v>
      </c>
      <c r="V88" s="77">
        <f ca="1">IFERROR(__xludf.DUMMYFUNCTION("IMPORTRANGE(""https://docs.google.com/spreadsheets/d/1IYY_tgx_IHuhSq3AJ5eI5OnqOPBNLWSHKh2a30DoXe8/edit?usp=sharing"",""สงขลา!J45"")"),0)</f>
        <v>0</v>
      </c>
      <c r="W88" s="79">
        <f t="shared" ca="1" si="11"/>
        <v>0</v>
      </c>
      <c r="X88" s="77">
        <f ca="1">IFERROR(__xludf.DUMMYFUNCTION("IMPORTRANGE(""https://docs.google.com/spreadsheets/d/1IYY_tgx_IHuhSq3AJ5eI5OnqOPBNLWSHKh2a30DoXe8/edit?usp=sharing"",""สงขลา!J46"")"),0)</f>
        <v>0</v>
      </c>
      <c r="Y88" s="79">
        <f t="shared" ca="1" si="12"/>
        <v>0</v>
      </c>
      <c r="Z88" s="77">
        <f ca="1">IFERROR(__xludf.DUMMYFUNCTION("IMPORTRANGE(""https://docs.google.com/spreadsheets/d/1IYY_tgx_IHuhSq3AJ5eI5OnqOPBNLWSHKh2a30DoXe8/edit?usp=sharing"",""สงขลา!J47"")"),0)</f>
        <v>0</v>
      </c>
      <c r="AA88" s="137">
        <f t="shared" ca="1" si="13"/>
        <v>0</v>
      </c>
      <c r="AB88" s="77">
        <f ca="1">IFERROR(__xludf.DUMMYFUNCTION("IMPORTRANGE(""https://docs.google.com/spreadsheets/d/1C3CXT74ZlgGe6_JY_1olB1XN4rF0dxEuIIF-xsYjHgg/edit?usp=sharing"",""พรบ!W92"")"),0)</f>
        <v>0</v>
      </c>
      <c r="AC88" s="77">
        <f ca="1">IFERROR(__xludf.DUMMYFUNCTION("IMPORTRANGE(""https://docs.google.com/spreadsheets/d/1IYY_tgx_IHuhSq3AJ5eI5OnqOPBNLWSHKh2a30DoXe8/edit?usp=sharing"",""สงขลา!J48"")"),0)</f>
        <v>0</v>
      </c>
      <c r="AD88" s="137">
        <f t="shared" ca="1" si="15"/>
        <v>0</v>
      </c>
    </row>
    <row r="89" spans="1:30" ht="24" customHeight="1">
      <c r="A89" s="73">
        <v>13</v>
      </c>
      <c r="B89" s="74" t="s">
        <v>113</v>
      </c>
      <c r="C89" s="75">
        <f t="shared" ca="1" si="0"/>
        <v>0</v>
      </c>
      <c r="D89" s="76">
        <f t="shared" ca="1" si="51"/>
        <v>0</v>
      </c>
      <c r="E89" s="77">
        <f ca="1">IFERROR(__xludf.DUMMYFUNCTION("IMPORTRANGE(""https://docs.google.com/spreadsheets/d/1C3CXT74ZlgGe6_JY_1olB1XN4rF0dxEuIIF-xsYjHgg/edit?usp=sharing"",""พรบ!P93"")"),0)</f>
        <v>0</v>
      </c>
      <c r="F89" s="77">
        <f ca="1">IFERROR(__xludf.DUMMYFUNCTION("IMPORTRANGE(""https://docs.google.com/spreadsheets/d/1C3CXT74ZlgGe6_JY_1olB1XN4rF0dxEuIIF-xsYjHgg/edit?usp=sharing"",""พรบ!Q93"")"),0)</f>
        <v>0</v>
      </c>
      <c r="G89" s="77">
        <f ca="1">IFERROR(__xludf.DUMMYFUNCTION("IMPORTRANGE(""https://docs.google.com/spreadsheets/d/1Yj_ptqi66GCucihVvJfMjLAmec39IyEx_6qawtMGysU/edit?usp=sharing"",""สบก!AP93"")"),0)</f>
        <v>0</v>
      </c>
      <c r="H89" s="77">
        <f ca="1">IFERROR(__xludf.DUMMYFUNCTION("IMPORTRANGE(""https://docs.google.com/spreadsheets/d/1Yj_ptqi66GCucihVvJfMjLAmec39IyEx_6qawtMGysU/edit?usp=sharing"",""สบก!AR93"")"),0)</f>
        <v>0</v>
      </c>
      <c r="I89" s="77">
        <f t="shared" ca="1" si="3"/>
        <v>0</v>
      </c>
      <c r="J89" s="137">
        <f t="shared" ca="1" si="4"/>
        <v>0</v>
      </c>
      <c r="K89" s="77">
        <f ca="1">IFERROR(__xludf.DUMMYFUNCTION("IMPORTRANGE(""https://docs.google.com/spreadsheets/d/1Yj_ptqi66GCucihVvJfMjLAmec39IyEx_6qawtMGysU/edit?usp=sharing"",""สบก!AS93"")"),0)</f>
        <v>0</v>
      </c>
      <c r="L89" s="137">
        <f t="shared" ca="1" si="5"/>
        <v>0</v>
      </c>
      <c r="M89" s="137">
        <f t="shared" ca="1" si="6"/>
        <v>0</v>
      </c>
      <c r="N89" s="137">
        <f ca="1">IFERROR(__xludf.DUMMYFUNCTION("IMPORTRANGE(""https://docs.google.com/spreadsheets/d/1Yj_ptqi66GCucihVvJfMjLAmec39IyEx_6qawtMGysU/edit?usp=sharing"",""สบก!AT93"")"),0)</f>
        <v>0</v>
      </c>
      <c r="O89" s="137">
        <f t="shared" ca="1" si="7"/>
        <v>0</v>
      </c>
      <c r="P89" s="77">
        <f ca="1">IFERROR(__xludf.DUMMYFUNCTION("IMPORTRANGE(""https://docs.google.com/spreadsheets/d/1C3CXT74ZlgGe6_JY_1olB1XN4rF0dxEuIIF-xsYjHgg/edit?usp=sharing"",""พรบ!R93"")"),0)</f>
        <v>0</v>
      </c>
      <c r="Q89" s="77">
        <f ca="1">IFERROR(__xludf.DUMMYFUNCTION("IMPORTRANGE(""https://docs.google.com/spreadsheets/d/1IYY_tgx_IHuhSq3AJ5eI5OnqOPBNLWSHKh2a30DoXe8/edit?usp=sharing"",""สตูล!J43"")"),0)</f>
        <v>0</v>
      </c>
      <c r="R89" s="79">
        <f t="shared" ca="1" si="9"/>
        <v>0</v>
      </c>
      <c r="S89" s="77">
        <f ca="1">IFERROR(__xludf.DUMMYFUNCTION("IMPORTRANGE(""https://docs.google.com/spreadsheets/d/1C3CXT74ZlgGe6_JY_1olB1XN4rF0dxEuIIF-xsYjHgg/edit?usp=sharing"",""พรบ!S93"")"),0)</f>
        <v>0</v>
      </c>
      <c r="T89" s="77">
        <f ca="1">IFERROR(__xludf.DUMMYFUNCTION("IMPORTRANGE(""https://docs.google.com/spreadsheets/d/1IYY_tgx_IHuhSq3AJ5eI5OnqOPBNLWSHKh2a30DoXe8/edit?usp=sharing"",""สตูล!J44"")"),0)</f>
        <v>0</v>
      </c>
      <c r="U89" s="79">
        <f t="shared" ca="1" si="10"/>
        <v>0</v>
      </c>
      <c r="V89" s="77">
        <f ca="1">IFERROR(__xludf.DUMMYFUNCTION("IMPORTRANGE(""https://docs.google.com/spreadsheets/d/1IYY_tgx_IHuhSq3AJ5eI5OnqOPBNLWSHKh2a30DoXe8/edit?usp=sharing"",""สตูล!J45"")"),0)</f>
        <v>0</v>
      </c>
      <c r="W89" s="79">
        <f t="shared" ca="1" si="11"/>
        <v>0</v>
      </c>
      <c r="X89" s="77">
        <f ca="1">IFERROR(__xludf.DUMMYFUNCTION("IMPORTRANGE(""https://docs.google.com/spreadsheets/d/1IYY_tgx_IHuhSq3AJ5eI5OnqOPBNLWSHKh2a30DoXe8/edit?usp=sharing"",""สตูล!J46"")"),0)</f>
        <v>0</v>
      </c>
      <c r="Y89" s="79">
        <f t="shared" ca="1" si="12"/>
        <v>0</v>
      </c>
      <c r="Z89" s="77">
        <f ca="1">IFERROR(__xludf.DUMMYFUNCTION("IMPORTRANGE(""https://docs.google.com/spreadsheets/d/1IYY_tgx_IHuhSq3AJ5eI5OnqOPBNLWSHKh2a30DoXe8/edit?usp=sharing"",""สตูล!J47"")"),0)</f>
        <v>0</v>
      </c>
      <c r="AA89" s="137">
        <f t="shared" ca="1" si="13"/>
        <v>0</v>
      </c>
      <c r="AB89" s="77">
        <f ca="1">IFERROR(__xludf.DUMMYFUNCTION("IMPORTRANGE(""https://docs.google.com/spreadsheets/d/1C3CXT74ZlgGe6_JY_1olB1XN4rF0dxEuIIF-xsYjHgg/edit?usp=sharing"",""พรบ!W93"")"),0)</f>
        <v>0</v>
      </c>
      <c r="AC89" s="77">
        <f ca="1">IFERROR(__xludf.DUMMYFUNCTION("IMPORTRANGE(""https://docs.google.com/spreadsheets/d/1IYY_tgx_IHuhSq3AJ5eI5OnqOPBNLWSHKh2a30DoXe8/edit?usp=sharing"",""สตูล!J48"")"),0)</f>
        <v>0</v>
      </c>
      <c r="AD89" s="137">
        <f t="shared" ca="1" si="15"/>
        <v>0</v>
      </c>
    </row>
    <row r="90" spans="1:30" ht="24" customHeight="1">
      <c r="A90" s="84">
        <v>14</v>
      </c>
      <c r="B90" s="85" t="s">
        <v>114</v>
      </c>
      <c r="C90" s="86">
        <f t="shared" ca="1" si="0"/>
        <v>0</v>
      </c>
      <c r="D90" s="87">
        <f t="shared" ca="1" si="51"/>
        <v>0</v>
      </c>
      <c r="E90" s="88">
        <f ca="1">IFERROR(__xludf.DUMMYFUNCTION("IMPORTRANGE(""https://docs.google.com/spreadsheets/d/1C3CXT74ZlgGe6_JY_1olB1XN4rF0dxEuIIF-xsYjHgg/edit?usp=sharing"",""พรบ!P94"")"),0)</f>
        <v>0</v>
      </c>
      <c r="F90" s="88">
        <f ca="1">IFERROR(__xludf.DUMMYFUNCTION("IMPORTRANGE(""https://docs.google.com/spreadsheets/d/1C3CXT74ZlgGe6_JY_1olB1XN4rF0dxEuIIF-xsYjHgg/edit?usp=sharing"",""พรบ!Q94"")"),0)</f>
        <v>0</v>
      </c>
      <c r="G90" s="88">
        <f ca="1">IFERROR(__xludf.DUMMYFUNCTION("IMPORTRANGE(""https://docs.google.com/spreadsheets/d/1Yj_ptqi66GCucihVvJfMjLAmec39IyEx_6qawtMGysU/edit?usp=sharing"",""สบก!AP94"")"),0)</f>
        <v>0</v>
      </c>
      <c r="H90" s="88">
        <f ca="1">IFERROR(__xludf.DUMMYFUNCTION("IMPORTRANGE(""https://docs.google.com/spreadsheets/d/1Yj_ptqi66GCucihVvJfMjLAmec39IyEx_6qawtMGysU/edit?usp=sharing"",""สบก!AR94"")"),0)</f>
        <v>0</v>
      </c>
      <c r="I90" s="88">
        <f t="shared" ca="1" si="3"/>
        <v>0</v>
      </c>
      <c r="J90" s="138">
        <f t="shared" ca="1" si="4"/>
        <v>0</v>
      </c>
      <c r="K90" s="88">
        <f ca="1">IFERROR(__xludf.DUMMYFUNCTION("IMPORTRANGE(""https://docs.google.com/spreadsheets/d/1Yj_ptqi66GCucihVvJfMjLAmec39IyEx_6qawtMGysU/edit?usp=sharing"",""สบก!AS94"")"),0)</f>
        <v>0</v>
      </c>
      <c r="L90" s="138">
        <f t="shared" ca="1" si="5"/>
        <v>0</v>
      </c>
      <c r="M90" s="138">
        <f t="shared" ca="1" si="6"/>
        <v>0</v>
      </c>
      <c r="N90" s="138">
        <f ca="1">IFERROR(__xludf.DUMMYFUNCTION("IMPORTRANGE(""https://docs.google.com/spreadsheets/d/1Yj_ptqi66GCucihVvJfMjLAmec39IyEx_6qawtMGysU/edit?usp=sharing"",""สบก!AT94"")"),0)</f>
        <v>0</v>
      </c>
      <c r="O90" s="138">
        <f t="shared" ca="1" si="7"/>
        <v>0</v>
      </c>
      <c r="P90" s="88">
        <f ca="1">IFERROR(__xludf.DUMMYFUNCTION("IMPORTRANGE(""https://docs.google.com/spreadsheets/d/1C3CXT74ZlgGe6_JY_1olB1XN4rF0dxEuIIF-xsYjHgg/edit?usp=sharing"",""พรบ!R94"")"),0)</f>
        <v>0</v>
      </c>
      <c r="Q90" s="88">
        <f ca="1">IFERROR(__xludf.DUMMYFUNCTION("IMPORTRANGE(""https://docs.google.com/spreadsheets/d/1IYY_tgx_IHuhSq3AJ5eI5OnqOPBNLWSHKh2a30DoXe8/edit?usp=sharing"",""สุราษฎร์ธานี!J43"")"),0)</f>
        <v>0</v>
      </c>
      <c r="R90" s="90">
        <f t="shared" ca="1" si="9"/>
        <v>0</v>
      </c>
      <c r="S90" s="88">
        <f ca="1">IFERROR(__xludf.DUMMYFUNCTION("IMPORTRANGE(""https://docs.google.com/spreadsheets/d/1C3CXT74ZlgGe6_JY_1olB1XN4rF0dxEuIIF-xsYjHgg/edit?usp=sharing"",""พรบ!S94"")"),0)</f>
        <v>0</v>
      </c>
      <c r="T90" s="88">
        <f ca="1">IFERROR(__xludf.DUMMYFUNCTION("IMPORTRANGE(""https://docs.google.com/spreadsheets/d/1IYY_tgx_IHuhSq3AJ5eI5OnqOPBNLWSHKh2a30DoXe8/edit?usp=sharing"",""สุราษฎร์ธานี!J44"")"),0)</f>
        <v>0</v>
      </c>
      <c r="U90" s="90">
        <f t="shared" ca="1" si="10"/>
        <v>0</v>
      </c>
      <c r="V90" s="88">
        <f ca="1">IFERROR(__xludf.DUMMYFUNCTION("IMPORTRANGE(""https://docs.google.com/spreadsheets/d/1IYY_tgx_IHuhSq3AJ5eI5OnqOPBNLWSHKh2a30DoXe8/edit?usp=sharing"",""สุราษฎร์ธานี!J45"")"),0)</f>
        <v>0</v>
      </c>
      <c r="W90" s="90">
        <f t="shared" ca="1" si="11"/>
        <v>0</v>
      </c>
      <c r="X90" s="88">
        <f ca="1">IFERROR(__xludf.DUMMYFUNCTION("IMPORTRANGE(""https://docs.google.com/spreadsheets/d/1IYY_tgx_IHuhSq3AJ5eI5OnqOPBNLWSHKh2a30DoXe8/edit?usp=sharing"",""สุราษฎร์ธานี!J46"")"),0)</f>
        <v>0</v>
      </c>
      <c r="Y90" s="90">
        <f t="shared" ca="1" si="12"/>
        <v>0</v>
      </c>
      <c r="Z90" s="88">
        <f ca="1">IFERROR(__xludf.DUMMYFUNCTION("IMPORTRANGE(""https://docs.google.com/spreadsheets/d/1IYY_tgx_IHuhSq3AJ5eI5OnqOPBNLWSHKh2a30DoXe8/edit?usp=sharing"",""สุราษฎร์ธานี!J47"")"),0)</f>
        <v>0</v>
      </c>
      <c r="AA90" s="138">
        <f t="shared" ca="1" si="13"/>
        <v>0</v>
      </c>
      <c r="AB90" s="88">
        <f ca="1">IFERROR(__xludf.DUMMYFUNCTION("IMPORTRANGE(""https://docs.google.com/spreadsheets/d/1C3CXT74ZlgGe6_JY_1olB1XN4rF0dxEuIIF-xsYjHgg/edit?usp=sharing"",""พรบ!W94"")"),0)</f>
        <v>0</v>
      </c>
      <c r="AC90" s="88">
        <f ca="1">IFERROR(__xludf.DUMMYFUNCTION("IMPORTRANGE(""https://docs.google.com/spreadsheets/d/1IYY_tgx_IHuhSq3AJ5eI5OnqOPBNLWSHKh2a30DoXe8/edit?usp=sharing"",""สุราษฎร์ธานี!J48"")"),0)</f>
        <v>0</v>
      </c>
      <c r="AD90" s="138">
        <f t="shared" ca="1" si="15"/>
        <v>0</v>
      </c>
    </row>
    <row r="91" spans="1:30" ht="21" hidden="1" customHeight="1">
      <c r="A91" s="680" t="s">
        <v>115</v>
      </c>
      <c r="B91" s="652"/>
      <c r="C91" s="44">
        <f t="shared" ca="1" si="0"/>
        <v>1359200</v>
      </c>
      <c r="D91" s="45">
        <f t="shared" ref="D91:H91" ca="1" si="52">+D92+D93+D94+D95+D96+D97+D98+D99+D100+D101+D102+D103+D104+D105</f>
        <v>1359200</v>
      </c>
      <c r="E91" s="45">
        <f t="shared" ca="1" si="52"/>
        <v>132000</v>
      </c>
      <c r="F91" s="45">
        <f t="shared" ca="1" si="52"/>
        <v>1227200</v>
      </c>
      <c r="G91" s="45">
        <f t="shared" ca="1" si="52"/>
        <v>0</v>
      </c>
      <c r="H91" s="45">
        <f t="shared" ca="1" si="52"/>
        <v>19200</v>
      </c>
      <c r="I91" s="45">
        <f t="shared" ca="1" si="3"/>
        <v>303677.2</v>
      </c>
      <c r="J91" s="46">
        <f t="shared" ca="1" si="4"/>
        <v>22.342348440258977</v>
      </c>
      <c r="K91" s="45">
        <f ca="1">+K92+K93+K94+K95+K96+K97+K98+K99+K100+K101+K102+K103+K104+K105</f>
        <v>303677.2</v>
      </c>
      <c r="L91" s="47">
        <f t="shared" ca="1" si="5"/>
        <v>22.342348440258977</v>
      </c>
      <c r="M91" s="47">
        <f t="shared" ca="1" si="6"/>
        <v>1581.6520833333334</v>
      </c>
      <c r="N91" s="48">
        <f ca="1">+N92+N93+N94+N95+N96+N97+N98+N99+N100+N101+N102+N103+N104+N105</f>
        <v>0</v>
      </c>
      <c r="O91" s="47">
        <f t="shared" ca="1" si="7"/>
        <v>0</v>
      </c>
      <c r="P91" s="45">
        <f t="shared" ref="P91:Q91" ca="1" si="53">+P92+P93+P94+P95+P96+P97+P98+P99+P100+P101+P102+P103+P104+P105</f>
        <v>0</v>
      </c>
      <c r="Q91" s="45">
        <f t="shared" si="53"/>
        <v>0</v>
      </c>
      <c r="R91" s="47">
        <f t="shared" ca="1" si="9"/>
        <v>0</v>
      </c>
      <c r="S91" s="45">
        <f t="shared" ref="S91:T91" ca="1" si="54">+S92+S93+S94+S95+S96+S97+S98+S99+S100+S101+S102+S103+S104+S105</f>
        <v>0</v>
      </c>
      <c r="T91" s="45">
        <f t="shared" si="54"/>
        <v>0</v>
      </c>
      <c r="U91" s="47">
        <f t="shared" ca="1" si="10"/>
        <v>0</v>
      </c>
      <c r="V91" s="45">
        <f>+V92+V93+V94+V95+V96+V97+V98+V99+V100+V101+V102+V103+V104+V105</f>
        <v>0</v>
      </c>
      <c r="W91" s="47">
        <f t="shared" ca="1" si="11"/>
        <v>0</v>
      </c>
      <c r="X91" s="45">
        <f>+X92+X93+X94+X95+X96+X97+X98+X99+X100+X101+X102+X103+X104+X105</f>
        <v>0</v>
      </c>
      <c r="Y91" s="47">
        <f t="shared" ca="1" si="12"/>
        <v>0</v>
      </c>
      <c r="Z91" s="45">
        <f>+Z92+Z93+Z94+Z95+Z96+Z97+Z98+Z99+Z100+Z101+Z102+Z103+Z104+Z105</f>
        <v>0</v>
      </c>
      <c r="AA91" s="127">
        <f t="shared" ca="1" si="13"/>
        <v>0</v>
      </c>
      <c r="AB91" s="45">
        <f t="shared" ref="AB91:AC91" ca="1" si="55">+AB92+AB93+AB94+AB95+AB96+AB97+AB98+AB99+AB100+AB101+AB102+AB103+AB104+AB105</f>
        <v>0</v>
      </c>
      <c r="AC91" s="45">
        <f t="shared" si="55"/>
        <v>0</v>
      </c>
      <c r="AD91" s="127">
        <f t="shared" ca="1" si="15"/>
        <v>0</v>
      </c>
    </row>
    <row r="92" spans="1:30" ht="24" hidden="1" customHeight="1">
      <c r="A92" s="102">
        <v>1</v>
      </c>
      <c r="B92" s="103" t="s">
        <v>116</v>
      </c>
      <c r="C92" s="65">
        <f t="shared" ca="1" si="0"/>
        <v>0</v>
      </c>
      <c r="D92" s="66">
        <f t="shared" ref="D92:D105" ca="1" si="56">+E92+F92</f>
        <v>0</v>
      </c>
      <c r="E92" s="67">
        <f ca="1">IFERROR(__xludf.DUMMYFUNCTION("IMPORTRANGE(""https://docs.google.com/spreadsheets/d/1C3CXT74ZlgGe6_JY_1olB1XN4rF0dxEuIIF-xsYjHgg/edit?usp=sharing"",""พรบ!P96"")"),0)</f>
        <v>0</v>
      </c>
      <c r="F92" s="67">
        <f ca="1">IFERROR(__xludf.DUMMYFUNCTION("IMPORTRANGE(""https://docs.google.com/spreadsheets/d/1C3CXT74ZlgGe6_JY_1olB1XN4rF0dxEuIIF-xsYjHgg/edit?usp=sharing"",""พรบ!Q96"")"),0)</f>
        <v>0</v>
      </c>
      <c r="G92" s="67">
        <f ca="1">IFERROR(__xludf.DUMMYFUNCTION("IMPORTRANGE(""https://docs.google.com/spreadsheets/d/1Yj_ptqi66GCucihVvJfMjLAmec39IyEx_6qawtMGysU/edit?usp=sharing"",""สบก!AP96"")"),0)</f>
        <v>0</v>
      </c>
      <c r="H92" s="67">
        <f ca="1">IFERROR(__xludf.DUMMYFUNCTION("IMPORTRANGE(""https://docs.google.com/spreadsheets/d/1Yj_ptqi66GCucihVvJfMjLAmec39IyEx_6qawtMGysU/edit?usp=sharing"",""สบก!AR96"")"),0)</f>
        <v>0</v>
      </c>
      <c r="I92" s="67">
        <f t="shared" ca="1" si="3"/>
        <v>0</v>
      </c>
      <c r="J92" s="136">
        <f t="shared" ca="1" si="4"/>
        <v>0</v>
      </c>
      <c r="K92" s="67">
        <f ca="1">IFERROR(__xludf.DUMMYFUNCTION("IMPORTRANGE(""https://docs.google.com/spreadsheets/d/1Yj_ptqi66GCucihVvJfMjLAmec39IyEx_6qawtMGysU/edit?usp=sharing"",""สบก!AS96"")"),0)</f>
        <v>0</v>
      </c>
      <c r="L92" s="136">
        <f t="shared" ca="1" si="5"/>
        <v>0</v>
      </c>
      <c r="M92" s="136">
        <f t="shared" ca="1" si="6"/>
        <v>0</v>
      </c>
      <c r="N92" s="136">
        <f ca="1">IFERROR(__xludf.DUMMYFUNCTION("IMPORTRANGE(""https://docs.google.com/spreadsheets/d/1Yj_ptqi66GCucihVvJfMjLAmec39IyEx_6qawtMGysU/edit?usp=sharing"",""สบก!AT96"")"),0)</f>
        <v>0</v>
      </c>
      <c r="O92" s="136">
        <f t="shared" ca="1" si="7"/>
        <v>0</v>
      </c>
      <c r="P92" s="67">
        <f ca="1">IFERROR(__xludf.DUMMYFUNCTION("IMPORTRANGE(""https://docs.google.com/spreadsheets/d/1C3CXT74ZlgGe6_JY_1olB1XN4rF0dxEuIIF-xsYjHgg/edit?usp=sharing"",""พรบ!R96"")"),0)</f>
        <v>0</v>
      </c>
      <c r="Q92" s="67">
        <v>0</v>
      </c>
      <c r="R92" s="70">
        <f t="shared" ca="1" si="9"/>
        <v>0</v>
      </c>
      <c r="S92" s="67">
        <f ca="1">IFERROR(__xludf.DUMMYFUNCTION("IMPORTRANGE(""https://docs.google.com/spreadsheets/d/1C3CXT74ZlgGe6_JY_1olB1XN4rF0dxEuIIF-xsYjHgg/edit?usp=sharing"",""พรบ!S96"")"),0)</f>
        <v>0</v>
      </c>
      <c r="T92" s="67">
        <v>0</v>
      </c>
      <c r="U92" s="70">
        <f t="shared" ca="1" si="10"/>
        <v>0</v>
      </c>
      <c r="V92" s="67">
        <v>0</v>
      </c>
      <c r="W92" s="70">
        <f t="shared" ca="1" si="11"/>
        <v>0</v>
      </c>
      <c r="X92" s="67">
        <v>0</v>
      </c>
      <c r="Y92" s="70">
        <f t="shared" ca="1" si="12"/>
        <v>0</v>
      </c>
      <c r="Z92" s="67">
        <v>0</v>
      </c>
      <c r="AA92" s="136">
        <f t="shared" ca="1" si="13"/>
        <v>0</v>
      </c>
      <c r="AB92" s="67">
        <f ca="1">IFERROR(__xludf.DUMMYFUNCTION("IMPORTRANGE(""https://docs.google.com/spreadsheets/d/1C3CXT74ZlgGe6_JY_1olB1XN4rF0dxEuIIF-xsYjHgg/edit?usp=sharing"",""พรบ!W96"")"),0)</f>
        <v>0</v>
      </c>
      <c r="AC92" s="67">
        <v>0</v>
      </c>
      <c r="AD92" s="136">
        <f t="shared" ca="1" si="15"/>
        <v>0</v>
      </c>
    </row>
    <row r="93" spans="1:30" ht="24" hidden="1" customHeight="1">
      <c r="A93" s="105">
        <v>2</v>
      </c>
      <c r="B93" s="106" t="s">
        <v>117</v>
      </c>
      <c r="C93" s="75">
        <f t="shared" ca="1" si="0"/>
        <v>0</v>
      </c>
      <c r="D93" s="76">
        <f t="shared" ca="1" si="56"/>
        <v>0</v>
      </c>
      <c r="E93" s="77">
        <f ca="1">IFERROR(__xludf.DUMMYFUNCTION("IMPORTRANGE(""https://docs.google.com/spreadsheets/d/1C3CXT74ZlgGe6_JY_1olB1XN4rF0dxEuIIF-xsYjHgg/edit?usp=sharing"",""พรบ!P97"")"),0)</f>
        <v>0</v>
      </c>
      <c r="F93" s="77">
        <f ca="1">IFERROR(__xludf.DUMMYFUNCTION("IMPORTRANGE(""https://docs.google.com/spreadsheets/d/1C3CXT74ZlgGe6_JY_1olB1XN4rF0dxEuIIF-xsYjHgg/edit?usp=sharing"",""พรบ!Q97"")"),0)</f>
        <v>0</v>
      </c>
      <c r="G93" s="77">
        <f ca="1">IFERROR(__xludf.DUMMYFUNCTION("IMPORTRANGE(""https://docs.google.com/spreadsheets/d/1Yj_ptqi66GCucihVvJfMjLAmec39IyEx_6qawtMGysU/edit?usp=sharing"",""สบก!AP97"")"),0)</f>
        <v>0</v>
      </c>
      <c r="H93" s="77">
        <f ca="1">IFERROR(__xludf.DUMMYFUNCTION("IMPORTRANGE(""https://docs.google.com/spreadsheets/d/1Yj_ptqi66GCucihVvJfMjLAmec39IyEx_6qawtMGysU/edit?usp=sharing"",""สบก!AR97"")"),0)</f>
        <v>0</v>
      </c>
      <c r="I93" s="77">
        <f t="shared" ca="1" si="3"/>
        <v>0</v>
      </c>
      <c r="J93" s="137">
        <f t="shared" ca="1" si="4"/>
        <v>0</v>
      </c>
      <c r="K93" s="77">
        <f ca="1">IFERROR(__xludf.DUMMYFUNCTION("IMPORTRANGE(""https://docs.google.com/spreadsheets/d/1Yj_ptqi66GCucihVvJfMjLAmec39IyEx_6qawtMGysU/edit?usp=sharing"",""สบก!AS97"")"),0)</f>
        <v>0</v>
      </c>
      <c r="L93" s="137">
        <f t="shared" ca="1" si="5"/>
        <v>0</v>
      </c>
      <c r="M93" s="137">
        <f t="shared" ca="1" si="6"/>
        <v>0</v>
      </c>
      <c r="N93" s="137">
        <f ca="1">IFERROR(__xludf.DUMMYFUNCTION("IMPORTRANGE(""https://docs.google.com/spreadsheets/d/1Yj_ptqi66GCucihVvJfMjLAmec39IyEx_6qawtMGysU/edit?usp=sharing"",""สบก!AT97"")"),0)</f>
        <v>0</v>
      </c>
      <c r="O93" s="137">
        <f t="shared" ca="1" si="7"/>
        <v>0</v>
      </c>
      <c r="P93" s="77">
        <f ca="1">IFERROR(__xludf.DUMMYFUNCTION("IMPORTRANGE(""https://docs.google.com/spreadsheets/d/1C3CXT74ZlgGe6_JY_1olB1XN4rF0dxEuIIF-xsYjHgg/edit?usp=sharing"",""พรบ!R97"")"),0)</f>
        <v>0</v>
      </c>
      <c r="Q93" s="77">
        <v>0</v>
      </c>
      <c r="R93" s="79">
        <f t="shared" ca="1" si="9"/>
        <v>0</v>
      </c>
      <c r="S93" s="77">
        <f ca="1">IFERROR(__xludf.DUMMYFUNCTION("IMPORTRANGE(""https://docs.google.com/spreadsheets/d/1C3CXT74ZlgGe6_JY_1olB1XN4rF0dxEuIIF-xsYjHgg/edit?usp=sharing"",""พรบ!S97"")"),0)</f>
        <v>0</v>
      </c>
      <c r="T93" s="77">
        <v>0</v>
      </c>
      <c r="U93" s="79">
        <f t="shared" ca="1" si="10"/>
        <v>0</v>
      </c>
      <c r="V93" s="77">
        <v>0</v>
      </c>
      <c r="W93" s="79">
        <f t="shared" ca="1" si="11"/>
        <v>0</v>
      </c>
      <c r="X93" s="77">
        <v>0</v>
      </c>
      <c r="Y93" s="79">
        <f t="shared" ca="1" si="12"/>
        <v>0</v>
      </c>
      <c r="Z93" s="77">
        <v>0</v>
      </c>
      <c r="AA93" s="137">
        <f t="shared" ca="1" si="13"/>
        <v>0</v>
      </c>
      <c r="AB93" s="77">
        <f ca="1">IFERROR(__xludf.DUMMYFUNCTION("IMPORTRANGE(""https://docs.google.com/spreadsheets/d/1C3CXT74ZlgGe6_JY_1olB1XN4rF0dxEuIIF-xsYjHgg/edit?usp=sharing"",""พรบ!W97"")"),0)</f>
        <v>0</v>
      </c>
      <c r="AC93" s="77">
        <v>0</v>
      </c>
      <c r="AD93" s="137">
        <f t="shared" ca="1" si="15"/>
        <v>0</v>
      </c>
    </row>
    <row r="94" spans="1:30" ht="24" hidden="1" customHeight="1">
      <c r="A94" s="105">
        <v>3</v>
      </c>
      <c r="B94" s="106" t="s">
        <v>118</v>
      </c>
      <c r="C94" s="75">
        <f t="shared" ca="1" si="0"/>
        <v>0</v>
      </c>
      <c r="D94" s="76">
        <f t="shared" ca="1" si="56"/>
        <v>0</v>
      </c>
      <c r="E94" s="77">
        <f ca="1">IFERROR(__xludf.DUMMYFUNCTION("IMPORTRANGE(""https://docs.google.com/spreadsheets/d/1C3CXT74ZlgGe6_JY_1olB1XN4rF0dxEuIIF-xsYjHgg/edit?usp=sharing"",""พรบ!P98"")"),0)</f>
        <v>0</v>
      </c>
      <c r="F94" s="77">
        <f ca="1">IFERROR(__xludf.DUMMYFUNCTION("IMPORTRANGE(""https://docs.google.com/spreadsheets/d/1C3CXT74ZlgGe6_JY_1olB1XN4rF0dxEuIIF-xsYjHgg/edit?usp=sharing"",""พรบ!Q98"")"),0)</f>
        <v>0</v>
      </c>
      <c r="G94" s="77">
        <f ca="1">IFERROR(__xludf.DUMMYFUNCTION("IMPORTRANGE(""https://docs.google.com/spreadsheets/d/1Yj_ptqi66GCucihVvJfMjLAmec39IyEx_6qawtMGysU/edit?usp=sharing"",""สบก!AP98"")"),0)</f>
        <v>0</v>
      </c>
      <c r="H94" s="77">
        <f ca="1">IFERROR(__xludf.DUMMYFUNCTION("IMPORTRANGE(""https://docs.google.com/spreadsheets/d/1Yj_ptqi66GCucihVvJfMjLAmec39IyEx_6qawtMGysU/edit?usp=sharing"",""สบก!AR98"")"),0)</f>
        <v>0</v>
      </c>
      <c r="I94" s="77">
        <f t="shared" ca="1" si="3"/>
        <v>0</v>
      </c>
      <c r="J94" s="137">
        <f t="shared" ca="1" si="4"/>
        <v>0</v>
      </c>
      <c r="K94" s="77">
        <f ca="1">IFERROR(__xludf.DUMMYFUNCTION("IMPORTRANGE(""https://docs.google.com/spreadsheets/d/1Yj_ptqi66GCucihVvJfMjLAmec39IyEx_6qawtMGysU/edit?usp=sharing"",""สบก!AS98"")"),0)</f>
        <v>0</v>
      </c>
      <c r="L94" s="137">
        <f t="shared" ca="1" si="5"/>
        <v>0</v>
      </c>
      <c r="M94" s="137">
        <f t="shared" ca="1" si="6"/>
        <v>0</v>
      </c>
      <c r="N94" s="137">
        <f ca="1">IFERROR(__xludf.DUMMYFUNCTION("IMPORTRANGE(""https://docs.google.com/spreadsheets/d/1Yj_ptqi66GCucihVvJfMjLAmec39IyEx_6qawtMGysU/edit?usp=sharing"",""สบก!AT98"")"),0)</f>
        <v>0</v>
      </c>
      <c r="O94" s="137">
        <f t="shared" ca="1" si="7"/>
        <v>0</v>
      </c>
      <c r="P94" s="77">
        <f ca="1">IFERROR(__xludf.DUMMYFUNCTION("IMPORTRANGE(""https://docs.google.com/spreadsheets/d/1C3CXT74ZlgGe6_JY_1olB1XN4rF0dxEuIIF-xsYjHgg/edit?usp=sharing"",""พรบ!R98"")"),0)</f>
        <v>0</v>
      </c>
      <c r="Q94" s="77">
        <v>0</v>
      </c>
      <c r="R94" s="79">
        <f t="shared" ca="1" si="9"/>
        <v>0</v>
      </c>
      <c r="S94" s="77">
        <f ca="1">IFERROR(__xludf.DUMMYFUNCTION("IMPORTRANGE(""https://docs.google.com/spreadsheets/d/1C3CXT74ZlgGe6_JY_1olB1XN4rF0dxEuIIF-xsYjHgg/edit?usp=sharing"",""พรบ!S98"")"),0)</f>
        <v>0</v>
      </c>
      <c r="T94" s="77">
        <v>0</v>
      </c>
      <c r="U94" s="79">
        <f t="shared" ca="1" si="10"/>
        <v>0</v>
      </c>
      <c r="V94" s="77">
        <v>0</v>
      </c>
      <c r="W94" s="79">
        <f t="shared" ca="1" si="11"/>
        <v>0</v>
      </c>
      <c r="X94" s="77">
        <v>0</v>
      </c>
      <c r="Y94" s="79">
        <f t="shared" ca="1" si="12"/>
        <v>0</v>
      </c>
      <c r="Z94" s="77">
        <v>0</v>
      </c>
      <c r="AA94" s="137">
        <f t="shared" ca="1" si="13"/>
        <v>0</v>
      </c>
      <c r="AB94" s="77">
        <f ca="1">IFERROR(__xludf.DUMMYFUNCTION("IMPORTRANGE(""https://docs.google.com/spreadsheets/d/1C3CXT74ZlgGe6_JY_1olB1XN4rF0dxEuIIF-xsYjHgg/edit?usp=sharing"",""พรบ!W98"")"),0)</f>
        <v>0</v>
      </c>
      <c r="AC94" s="77">
        <v>0</v>
      </c>
      <c r="AD94" s="137">
        <f t="shared" ca="1" si="15"/>
        <v>0</v>
      </c>
    </row>
    <row r="95" spans="1:30" ht="24" hidden="1" customHeight="1">
      <c r="A95" s="105">
        <f t="shared" ref="A95:A105" si="57">+A94+1</f>
        <v>4</v>
      </c>
      <c r="B95" s="106" t="s">
        <v>119</v>
      </c>
      <c r="C95" s="75">
        <f t="shared" ca="1" si="0"/>
        <v>0</v>
      </c>
      <c r="D95" s="76">
        <f t="shared" ca="1" si="56"/>
        <v>0</v>
      </c>
      <c r="E95" s="77">
        <f ca="1">IFERROR(__xludf.DUMMYFUNCTION("IMPORTRANGE(""https://docs.google.com/spreadsheets/d/1C3CXT74ZlgGe6_JY_1olB1XN4rF0dxEuIIF-xsYjHgg/edit?usp=sharing"",""พรบ!P99"")"),0)</f>
        <v>0</v>
      </c>
      <c r="F95" s="77">
        <f ca="1">IFERROR(__xludf.DUMMYFUNCTION("IMPORTRANGE(""https://docs.google.com/spreadsheets/d/1C3CXT74ZlgGe6_JY_1olB1XN4rF0dxEuIIF-xsYjHgg/edit?usp=sharing"",""พรบ!Q99"")"),0)</f>
        <v>0</v>
      </c>
      <c r="G95" s="77">
        <f ca="1">IFERROR(__xludf.DUMMYFUNCTION("IMPORTRANGE(""https://docs.google.com/spreadsheets/d/1Yj_ptqi66GCucihVvJfMjLAmec39IyEx_6qawtMGysU/edit?usp=sharing"",""สบก!AP99"")"),0)</f>
        <v>0</v>
      </c>
      <c r="H95" s="77">
        <f ca="1">IFERROR(__xludf.DUMMYFUNCTION("IMPORTRANGE(""https://docs.google.com/spreadsheets/d/1Yj_ptqi66GCucihVvJfMjLAmec39IyEx_6qawtMGysU/edit?usp=sharing"",""สบก!AR99"")"),0)</f>
        <v>0</v>
      </c>
      <c r="I95" s="77">
        <f t="shared" ca="1" si="3"/>
        <v>0</v>
      </c>
      <c r="J95" s="137">
        <f t="shared" ca="1" si="4"/>
        <v>0</v>
      </c>
      <c r="K95" s="77">
        <f ca="1">IFERROR(__xludf.DUMMYFUNCTION("IMPORTRANGE(""https://docs.google.com/spreadsheets/d/1Yj_ptqi66GCucihVvJfMjLAmec39IyEx_6qawtMGysU/edit?usp=sharing"",""สบก!AS99"")"),0)</f>
        <v>0</v>
      </c>
      <c r="L95" s="137">
        <f t="shared" ca="1" si="5"/>
        <v>0</v>
      </c>
      <c r="M95" s="137">
        <f t="shared" ca="1" si="6"/>
        <v>0</v>
      </c>
      <c r="N95" s="137">
        <f ca="1">IFERROR(__xludf.DUMMYFUNCTION("IMPORTRANGE(""https://docs.google.com/spreadsheets/d/1Yj_ptqi66GCucihVvJfMjLAmec39IyEx_6qawtMGysU/edit?usp=sharing"",""สบก!AT99"")"),0)</f>
        <v>0</v>
      </c>
      <c r="O95" s="137">
        <f t="shared" ca="1" si="7"/>
        <v>0</v>
      </c>
      <c r="P95" s="77">
        <f ca="1">IFERROR(__xludf.DUMMYFUNCTION("IMPORTRANGE(""https://docs.google.com/spreadsheets/d/1C3CXT74ZlgGe6_JY_1olB1XN4rF0dxEuIIF-xsYjHgg/edit?usp=sharing"",""พรบ!R99"")"),0)</f>
        <v>0</v>
      </c>
      <c r="Q95" s="77">
        <v>0</v>
      </c>
      <c r="R95" s="79">
        <f t="shared" ca="1" si="9"/>
        <v>0</v>
      </c>
      <c r="S95" s="77">
        <f ca="1">IFERROR(__xludf.DUMMYFUNCTION("IMPORTRANGE(""https://docs.google.com/spreadsheets/d/1C3CXT74ZlgGe6_JY_1olB1XN4rF0dxEuIIF-xsYjHgg/edit?usp=sharing"",""พรบ!S99"")"),0)</f>
        <v>0</v>
      </c>
      <c r="T95" s="77">
        <v>0</v>
      </c>
      <c r="U95" s="79">
        <f t="shared" ca="1" si="10"/>
        <v>0</v>
      </c>
      <c r="V95" s="77">
        <v>0</v>
      </c>
      <c r="W95" s="79">
        <f t="shared" ca="1" si="11"/>
        <v>0</v>
      </c>
      <c r="X95" s="77">
        <v>0</v>
      </c>
      <c r="Y95" s="79">
        <f t="shared" ca="1" si="12"/>
        <v>0</v>
      </c>
      <c r="Z95" s="77">
        <v>0</v>
      </c>
      <c r="AA95" s="137">
        <f t="shared" ca="1" si="13"/>
        <v>0</v>
      </c>
      <c r="AB95" s="77">
        <f ca="1">IFERROR(__xludf.DUMMYFUNCTION("IMPORTRANGE(""https://docs.google.com/spreadsheets/d/1C3CXT74ZlgGe6_JY_1olB1XN4rF0dxEuIIF-xsYjHgg/edit?usp=sharing"",""พรบ!W99"")"),0)</f>
        <v>0</v>
      </c>
      <c r="AC95" s="77">
        <v>0</v>
      </c>
      <c r="AD95" s="137">
        <f t="shared" ca="1" si="15"/>
        <v>0</v>
      </c>
    </row>
    <row r="96" spans="1:30" ht="24" hidden="1" customHeight="1">
      <c r="A96" s="105">
        <f t="shared" si="57"/>
        <v>5</v>
      </c>
      <c r="B96" s="106" t="s">
        <v>120</v>
      </c>
      <c r="C96" s="75">
        <f t="shared" ca="1" si="0"/>
        <v>0</v>
      </c>
      <c r="D96" s="76">
        <f t="shared" ca="1" si="56"/>
        <v>0</v>
      </c>
      <c r="E96" s="77">
        <f ca="1">IFERROR(__xludf.DUMMYFUNCTION("IMPORTRANGE(""https://docs.google.com/spreadsheets/d/1C3CXT74ZlgGe6_JY_1olB1XN4rF0dxEuIIF-xsYjHgg/edit?usp=sharing"",""พรบ!P100"")"),0)</f>
        <v>0</v>
      </c>
      <c r="F96" s="77">
        <f ca="1">IFERROR(__xludf.DUMMYFUNCTION("IMPORTRANGE(""https://docs.google.com/spreadsheets/d/1C3CXT74ZlgGe6_JY_1olB1XN4rF0dxEuIIF-xsYjHgg/edit?usp=sharing"",""พรบ!Q100"")"),0)</f>
        <v>0</v>
      </c>
      <c r="G96" s="77">
        <f ca="1">IFERROR(__xludf.DUMMYFUNCTION("IMPORTRANGE(""https://docs.google.com/spreadsheets/d/1Yj_ptqi66GCucihVvJfMjLAmec39IyEx_6qawtMGysU/edit?usp=sharing"",""สบก!AP100"")"),0)</f>
        <v>0</v>
      </c>
      <c r="H96" s="77">
        <f ca="1">IFERROR(__xludf.DUMMYFUNCTION("IMPORTRANGE(""https://docs.google.com/spreadsheets/d/1Yj_ptqi66GCucihVvJfMjLAmec39IyEx_6qawtMGysU/edit?usp=sharing"",""สบก!AR100"")"),0)</f>
        <v>0</v>
      </c>
      <c r="I96" s="77">
        <f t="shared" ca="1" si="3"/>
        <v>0</v>
      </c>
      <c r="J96" s="137">
        <f t="shared" ca="1" si="4"/>
        <v>0</v>
      </c>
      <c r="K96" s="77">
        <f ca="1">IFERROR(__xludf.DUMMYFUNCTION("IMPORTRANGE(""https://docs.google.com/spreadsheets/d/1Yj_ptqi66GCucihVvJfMjLAmec39IyEx_6qawtMGysU/edit?usp=sharing"",""สบก!AS100"")"),0)</f>
        <v>0</v>
      </c>
      <c r="L96" s="137">
        <f t="shared" ca="1" si="5"/>
        <v>0</v>
      </c>
      <c r="M96" s="137">
        <f t="shared" ca="1" si="6"/>
        <v>0</v>
      </c>
      <c r="N96" s="137">
        <f ca="1">IFERROR(__xludf.DUMMYFUNCTION("IMPORTRANGE(""https://docs.google.com/spreadsheets/d/1Yj_ptqi66GCucihVvJfMjLAmec39IyEx_6qawtMGysU/edit?usp=sharing"",""สบก!AT100"")"),0)</f>
        <v>0</v>
      </c>
      <c r="O96" s="137">
        <f t="shared" ca="1" si="7"/>
        <v>0</v>
      </c>
      <c r="P96" s="77">
        <f ca="1">IFERROR(__xludf.DUMMYFUNCTION("IMPORTRANGE(""https://docs.google.com/spreadsheets/d/1C3CXT74ZlgGe6_JY_1olB1XN4rF0dxEuIIF-xsYjHgg/edit?usp=sharing"",""พรบ!R100"")"),0)</f>
        <v>0</v>
      </c>
      <c r="Q96" s="77">
        <v>0</v>
      </c>
      <c r="R96" s="79">
        <f t="shared" ca="1" si="9"/>
        <v>0</v>
      </c>
      <c r="S96" s="77">
        <f ca="1">IFERROR(__xludf.DUMMYFUNCTION("IMPORTRANGE(""https://docs.google.com/spreadsheets/d/1C3CXT74ZlgGe6_JY_1olB1XN4rF0dxEuIIF-xsYjHgg/edit?usp=sharing"",""พรบ!S100"")"),0)</f>
        <v>0</v>
      </c>
      <c r="T96" s="77">
        <v>0</v>
      </c>
      <c r="U96" s="79">
        <f t="shared" ca="1" si="10"/>
        <v>0</v>
      </c>
      <c r="V96" s="77">
        <v>0</v>
      </c>
      <c r="W96" s="79">
        <f t="shared" ca="1" si="11"/>
        <v>0</v>
      </c>
      <c r="X96" s="77">
        <v>0</v>
      </c>
      <c r="Y96" s="79">
        <f t="shared" ca="1" si="12"/>
        <v>0</v>
      </c>
      <c r="Z96" s="77">
        <v>0</v>
      </c>
      <c r="AA96" s="137">
        <f t="shared" ca="1" si="13"/>
        <v>0</v>
      </c>
      <c r="AB96" s="77">
        <f ca="1">IFERROR(__xludf.DUMMYFUNCTION("IMPORTRANGE(""https://docs.google.com/spreadsheets/d/1C3CXT74ZlgGe6_JY_1olB1XN4rF0dxEuIIF-xsYjHgg/edit?usp=sharing"",""พรบ!W100"")"),0)</f>
        <v>0</v>
      </c>
      <c r="AC96" s="77">
        <v>0</v>
      </c>
      <c r="AD96" s="137">
        <f t="shared" ca="1" si="15"/>
        <v>0</v>
      </c>
    </row>
    <row r="97" spans="1:30" ht="24" hidden="1" customHeight="1">
      <c r="A97" s="105">
        <f t="shared" si="57"/>
        <v>6</v>
      </c>
      <c r="B97" s="106" t="s">
        <v>121</v>
      </c>
      <c r="C97" s="75">
        <f t="shared" ca="1" si="0"/>
        <v>0</v>
      </c>
      <c r="D97" s="76">
        <f t="shared" ca="1" si="56"/>
        <v>0</v>
      </c>
      <c r="E97" s="77">
        <f ca="1">IFERROR(__xludf.DUMMYFUNCTION("IMPORTRANGE(""https://docs.google.com/spreadsheets/d/1C3CXT74ZlgGe6_JY_1olB1XN4rF0dxEuIIF-xsYjHgg/edit?usp=sharing"",""พรบ!P101"")"),0)</f>
        <v>0</v>
      </c>
      <c r="F97" s="77">
        <f ca="1">IFERROR(__xludf.DUMMYFUNCTION("IMPORTRANGE(""https://docs.google.com/spreadsheets/d/1C3CXT74ZlgGe6_JY_1olB1XN4rF0dxEuIIF-xsYjHgg/edit?usp=sharing"",""พรบ!Q101"")"),0)</f>
        <v>0</v>
      </c>
      <c r="G97" s="77">
        <f ca="1">IFERROR(__xludf.DUMMYFUNCTION("IMPORTRANGE(""https://docs.google.com/spreadsheets/d/1Yj_ptqi66GCucihVvJfMjLAmec39IyEx_6qawtMGysU/edit?usp=sharing"",""สบก!AP101"")"),0)</f>
        <v>0</v>
      </c>
      <c r="H97" s="77">
        <f ca="1">IFERROR(__xludf.DUMMYFUNCTION("IMPORTRANGE(""https://docs.google.com/spreadsheets/d/1Yj_ptqi66GCucihVvJfMjLAmec39IyEx_6qawtMGysU/edit?usp=sharing"",""สบก!AR101"")"),0)</f>
        <v>0</v>
      </c>
      <c r="I97" s="77">
        <f t="shared" ca="1" si="3"/>
        <v>0</v>
      </c>
      <c r="J97" s="137">
        <f t="shared" ca="1" si="4"/>
        <v>0</v>
      </c>
      <c r="K97" s="77">
        <f ca="1">IFERROR(__xludf.DUMMYFUNCTION("IMPORTRANGE(""https://docs.google.com/spreadsheets/d/1Yj_ptqi66GCucihVvJfMjLAmec39IyEx_6qawtMGysU/edit?usp=sharing"",""สบก!AS101"")"),0)</f>
        <v>0</v>
      </c>
      <c r="L97" s="137">
        <f t="shared" ca="1" si="5"/>
        <v>0</v>
      </c>
      <c r="M97" s="137">
        <f t="shared" ca="1" si="6"/>
        <v>0</v>
      </c>
      <c r="N97" s="137">
        <f ca="1">IFERROR(__xludf.DUMMYFUNCTION("IMPORTRANGE(""https://docs.google.com/spreadsheets/d/1Yj_ptqi66GCucihVvJfMjLAmec39IyEx_6qawtMGysU/edit?usp=sharing"",""สบก!AT101"")"),0)</f>
        <v>0</v>
      </c>
      <c r="O97" s="137">
        <f t="shared" ca="1" si="7"/>
        <v>0</v>
      </c>
      <c r="P97" s="77">
        <f ca="1">IFERROR(__xludf.DUMMYFUNCTION("IMPORTRANGE(""https://docs.google.com/spreadsheets/d/1C3CXT74ZlgGe6_JY_1olB1XN4rF0dxEuIIF-xsYjHgg/edit?usp=sharing"",""พรบ!R101"")"),0)</f>
        <v>0</v>
      </c>
      <c r="Q97" s="77">
        <v>0</v>
      </c>
      <c r="R97" s="79">
        <f t="shared" ca="1" si="9"/>
        <v>0</v>
      </c>
      <c r="S97" s="77">
        <f ca="1">IFERROR(__xludf.DUMMYFUNCTION("IMPORTRANGE(""https://docs.google.com/spreadsheets/d/1C3CXT74ZlgGe6_JY_1olB1XN4rF0dxEuIIF-xsYjHgg/edit?usp=sharing"",""พรบ!S101"")"),0)</f>
        <v>0</v>
      </c>
      <c r="T97" s="77">
        <v>0</v>
      </c>
      <c r="U97" s="79">
        <f t="shared" ca="1" si="10"/>
        <v>0</v>
      </c>
      <c r="V97" s="77">
        <v>0</v>
      </c>
      <c r="W97" s="79">
        <f t="shared" ca="1" si="11"/>
        <v>0</v>
      </c>
      <c r="X97" s="77">
        <v>0</v>
      </c>
      <c r="Y97" s="79">
        <f t="shared" ca="1" si="12"/>
        <v>0</v>
      </c>
      <c r="Z97" s="77">
        <v>0</v>
      </c>
      <c r="AA97" s="137">
        <f t="shared" ca="1" si="13"/>
        <v>0</v>
      </c>
      <c r="AB97" s="77">
        <f ca="1">IFERROR(__xludf.DUMMYFUNCTION("IMPORTRANGE(""https://docs.google.com/spreadsheets/d/1C3CXT74ZlgGe6_JY_1olB1XN4rF0dxEuIIF-xsYjHgg/edit?usp=sharing"",""พรบ!W101"")"),0)</f>
        <v>0</v>
      </c>
      <c r="AC97" s="77">
        <v>0</v>
      </c>
      <c r="AD97" s="137">
        <f t="shared" ca="1" si="15"/>
        <v>0</v>
      </c>
    </row>
    <row r="98" spans="1:30" ht="24" hidden="1" customHeight="1">
      <c r="A98" s="105">
        <f t="shared" si="57"/>
        <v>7</v>
      </c>
      <c r="B98" s="106" t="s">
        <v>122</v>
      </c>
      <c r="C98" s="75">
        <f t="shared" ca="1" si="0"/>
        <v>1359200</v>
      </c>
      <c r="D98" s="76">
        <f t="shared" ca="1" si="56"/>
        <v>1359200</v>
      </c>
      <c r="E98" s="77">
        <f ca="1">IFERROR(__xludf.DUMMYFUNCTION("IMPORTRANGE(""https://docs.google.com/spreadsheets/d/1C3CXT74ZlgGe6_JY_1olB1XN4rF0dxEuIIF-xsYjHgg/edit?usp=sharing"",""พรบ!P102"")"),132000)</f>
        <v>132000</v>
      </c>
      <c r="F98" s="77">
        <f ca="1">IFERROR(__xludf.DUMMYFUNCTION("IMPORTRANGE(""https://docs.google.com/spreadsheets/d/1C3CXT74ZlgGe6_JY_1olB1XN4rF0dxEuIIF-xsYjHgg/edit?usp=sharing"",""พรบ!Q102"")"),1227200)</f>
        <v>1227200</v>
      </c>
      <c r="G98" s="77">
        <f ca="1">IFERROR(__xludf.DUMMYFUNCTION("IMPORTRANGE(""https://docs.google.com/spreadsheets/d/1Yj_ptqi66GCucihVvJfMjLAmec39IyEx_6qawtMGysU/edit?usp=sharing"",""สบก!AP102"")"),0)</f>
        <v>0</v>
      </c>
      <c r="H98" s="77">
        <f ca="1">IFERROR(__xludf.DUMMYFUNCTION("IMPORTRANGE(""https://docs.google.com/spreadsheets/d/1Yj_ptqi66GCucihVvJfMjLAmec39IyEx_6qawtMGysU/edit?usp=sharing"",""สบก!AR102"")"),19200)</f>
        <v>19200</v>
      </c>
      <c r="I98" s="77">
        <f t="shared" ca="1" si="3"/>
        <v>303677.2</v>
      </c>
      <c r="J98" s="137">
        <f t="shared" ca="1" si="4"/>
        <v>22.342348440258977</v>
      </c>
      <c r="K98" s="77">
        <f ca="1">IFERROR(__xludf.DUMMYFUNCTION("IMPORTRANGE(""https://docs.google.com/spreadsheets/d/1Yj_ptqi66GCucihVvJfMjLAmec39IyEx_6qawtMGysU/edit?usp=sharing"",""สบก!AS102"")"),303677.2)</f>
        <v>303677.2</v>
      </c>
      <c r="L98" s="137">
        <f t="shared" ca="1" si="5"/>
        <v>22.342348440258977</v>
      </c>
      <c r="M98" s="137">
        <f t="shared" ca="1" si="6"/>
        <v>1581.6520833333334</v>
      </c>
      <c r="N98" s="137">
        <f ca="1">IFERROR(__xludf.DUMMYFUNCTION("IMPORTRANGE(""https://docs.google.com/spreadsheets/d/1Yj_ptqi66GCucihVvJfMjLAmec39IyEx_6qawtMGysU/edit?usp=sharing"",""สบก!AT102"")"),0)</f>
        <v>0</v>
      </c>
      <c r="O98" s="137">
        <f t="shared" ca="1" si="7"/>
        <v>0</v>
      </c>
      <c r="P98" s="77">
        <f ca="1">IFERROR(__xludf.DUMMYFUNCTION("IMPORTRANGE(""https://docs.google.com/spreadsheets/d/1C3CXT74ZlgGe6_JY_1olB1XN4rF0dxEuIIF-xsYjHgg/edit?usp=sharing"",""พรบ!R102"")"),0)</f>
        <v>0</v>
      </c>
      <c r="Q98" s="77">
        <v>0</v>
      </c>
      <c r="R98" s="79">
        <f t="shared" ca="1" si="9"/>
        <v>0</v>
      </c>
      <c r="S98" s="77">
        <f ca="1">IFERROR(__xludf.DUMMYFUNCTION("IMPORTRANGE(""https://docs.google.com/spreadsheets/d/1C3CXT74ZlgGe6_JY_1olB1XN4rF0dxEuIIF-xsYjHgg/edit?usp=sharing"",""พรบ!S102"")"),0)</f>
        <v>0</v>
      </c>
      <c r="T98" s="77">
        <v>0</v>
      </c>
      <c r="U98" s="79">
        <f t="shared" ca="1" si="10"/>
        <v>0</v>
      </c>
      <c r="V98" s="77">
        <v>0</v>
      </c>
      <c r="W98" s="79">
        <f t="shared" ca="1" si="11"/>
        <v>0</v>
      </c>
      <c r="X98" s="77">
        <v>0</v>
      </c>
      <c r="Y98" s="79">
        <f t="shared" ca="1" si="12"/>
        <v>0</v>
      </c>
      <c r="Z98" s="77">
        <v>0</v>
      </c>
      <c r="AA98" s="137">
        <f t="shared" ca="1" si="13"/>
        <v>0</v>
      </c>
      <c r="AB98" s="77">
        <f ca="1">IFERROR(__xludf.DUMMYFUNCTION("IMPORTRANGE(""https://docs.google.com/spreadsheets/d/1C3CXT74ZlgGe6_JY_1olB1XN4rF0dxEuIIF-xsYjHgg/edit?usp=sharing"",""พรบ!W102"")"),0)</f>
        <v>0</v>
      </c>
      <c r="AC98" s="77">
        <v>0</v>
      </c>
      <c r="AD98" s="137">
        <f t="shared" ca="1" si="15"/>
        <v>0</v>
      </c>
    </row>
    <row r="99" spans="1:30" ht="24" hidden="1" customHeight="1">
      <c r="A99" s="105">
        <f t="shared" si="57"/>
        <v>8</v>
      </c>
      <c r="B99" s="106" t="s">
        <v>123</v>
      </c>
      <c r="C99" s="75">
        <f t="shared" ca="1" si="0"/>
        <v>0</v>
      </c>
      <c r="D99" s="76">
        <f t="shared" ca="1" si="56"/>
        <v>0</v>
      </c>
      <c r="E99" s="77">
        <f ca="1">IFERROR(__xludf.DUMMYFUNCTION("IMPORTRANGE(""https://docs.google.com/spreadsheets/d/1C3CXT74ZlgGe6_JY_1olB1XN4rF0dxEuIIF-xsYjHgg/edit?usp=sharing"",""พรบ!P103"")"),0)</f>
        <v>0</v>
      </c>
      <c r="F99" s="77">
        <f ca="1">IFERROR(__xludf.DUMMYFUNCTION("IMPORTRANGE(""https://docs.google.com/spreadsheets/d/1C3CXT74ZlgGe6_JY_1olB1XN4rF0dxEuIIF-xsYjHgg/edit?usp=sharing"",""พรบ!Q103"")"),0)</f>
        <v>0</v>
      </c>
      <c r="G99" s="77">
        <f ca="1">IFERROR(__xludf.DUMMYFUNCTION("IMPORTRANGE(""https://docs.google.com/spreadsheets/d/1Yj_ptqi66GCucihVvJfMjLAmec39IyEx_6qawtMGysU/edit?usp=sharing"",""สบก!AP103"")"),0)</f>
        <v>0</v>
      </c>
      <c r="H99" s="77">
        <f ca="1">IFERROR(__xludf.DUMMYFUNCTION("IMPORTRANGE(""https://docs.google.com/spreadsheets/d/1Yj_ptqi66GCucihVvJfMjLAmec39IyEx_6qawtMGysU/edit?usp=sharing"",""สบก!AR103"")"),0)</f>
        <v>0</v>
      </c>
      <c r="I99" s="77">
        <f t="shared" ca="1" si="3"/>
        <v>0</v>
      </c>
      <c r="J99" s="137">
        <f t="shared" ca="1" si="4"/>
        <v>0</v>
      </c>
      <c r="K99" s="77">
        <f ca="1">IFERROR(__xludf.DUMMYFUNCTION("IMPORTRANGE(""https://docs.google.com/spreadsheets/d/1Yj_ptqi66GCucihVvJfMjLAmec39IyEx_6qawtMGysU/edit?usp=sharing"",""สบก!AS103"")"),0)</f>
        <v>0</v>
      </c>
      <c r="L99" s="137">
        <f t="shared" ca="1" si="5"/>
        <v>0</v>
      </c>
      <c r="M99" s="137">
        <f t="shared" ca="1" si="6"/>
        <v>0</v>
      </c>
      <c r="N99" s="137">
        <f ca="1">IFERROR(__xludf.DUMMYFUNCTION("IMPORTRANGE(""https://docs.google.com/spreadsheets/d/1Yj_ptqi66GCucihVvJfMjLAmec39IyEx_6qawtMGysU/edit?usp=sharing"",""สบก!AT103"")"),0)</f>
        <v>0</v>
      </c>
      <c r="O99" s="137">
        <f t="shared" ca="1" si="7"/>
        <v>0</v>
      </c>
      <c r="P99" s="77">
        <f ca="1">IFERROR(__xludf.DUMMYFUNCTION("IMPORTRANGE(""https://docs.google.com/spreadsheets/d/1C3CXT74ZlgGe6_JY_1olB1XN4rF0dxEuIIF-xsYjHgg/edit?usp=sharing"",""พรบ!R103"")"),0)</f>
        <v>0</v>
      </c>
      <c r="Q99" s="77">
        <v>0</v>
      </c>
      <c r="R99" s="79">
        <f t="shared" ca="1" si="9"/>
        <v>0</v>
      </c>
      <c r="S99" s="77">
        <f ca="1">IFERROR(__xludf.DUMMYFUNCTION("IMPORTRANGE(""https://docs.google.com/spreadsheets/d/1C3CXT74ZlgGe6_JY_1olB1XN4rF0dxEuIIF-xsYjHgg/edit?usp=sharing"",""พรบ!S103"")"),0)</f>
        <v>0</v>
      </c>
      <c r="T99" s="77">
        <v>0</v>
      </c>
      <c r="U99" s="79">
        <f t="shared" ca="1" si="10"/>
        <v>0</v>
      </c>
      <c r="V99" s="77">
        <v>0</v>
      </c>
      <c r="W99" s="79">
        <f t="shared" ca="1" si="11"/>
        <v>0</v>
      </c>
      <c r="X99" s="77">
        <v>0</v>
      </c>
      <c r="Y99" s="79">
        <f t="shared" ca="1" si="12"/>
        <v>0</v>
      </c>
      <c r="Z99" s="77">
        <v>0</v>
      </c>
      <c r="AA99" s="137">
        <f t="shared" ca="1" si="13"/>
        <v>0</v>
      </c>
      <c r="AB99" s="77">
        <f ca="1">IFERROR(__xludf.DUMMYFUNCTION("IMPORTRANGE(""https://docs.google.com/spreadsheets/d/1C3CXT74ZlgGe6_JY_1olB1XN4rF0dxEuIIF-xsYjHgg/edit?usp=sharing"",""พรบ!W103"")"),0)</f>
        <v>0</v>
      </c>
      <c r="AC99" s="77">
        <v>0</v>
      </c>
      <c r="AD99" s="137">
        <f t="shared" ca="1" si="15"/>
        <v>0</v>
      </c>
    </row>
    <row r="100" spans="1:30" ht="24" hidden="1" customHeight="1">
      <c r="A100" s="105">
        <f t="shared" si="57"/>
        <v>9</v>
      </c>
      <c r="B100" s="106" t="s">
        <v>124</v>
      </c>
      <c r="C100" s="75">
        <f t="shared" ca="1" si="0"/>
        <v>0</v>
      </c>
      <c r="D100" s="76">
        <f t="shared" ca="1" si="56"/>
        <v>0</v>
      </c>
      <c r="E100" s="77">
        <f ca="1">IFERROR(__xludf.DUMMYFUNCTION("IMPORTRANGE(""https://docs.google.com/spreadsheets/d/1C3CXT74ZlgGe6_JY_1olB1XN4rF0dxEuIIF-xsYjHgg/edit?usp=sharing"",""พรบ!P104"")"),0)</f>
        <v>0</v>
      </c>
      <c r="F100" s="77">
        <f ca="1">IFERROR(__xludf.DUMMYFUNCTION("IMPORTRANGE(""https://docs.google.com/spreadsheets/d/1C3CXT74ZlgGe6_JY_1olB1XN4rF0dxEuIIF-xsYjHgg/edit?usp=sharing"",""พรบ!Q104"")"),0)</f>
        <v>0</v>
      </c>
      <c r="G100" s="77">
        <f ca="1">IFERROR(__xludf.DUMMYFUNCTION("IMPORTRANGE(""https://docs.google.com/spreadsheets/d/1Yj_ptqi66GCucihVvJfMjLAmec39IyEx_6qawtMGysU/edit?usp=sharing"",""สบก!AP104"")"),0)</f>
        <v>0</v>
      </c>
      <c r="H100" s="77">
        <f ca="1">IFERROR(__xludf.DUMMYFUNCTION("IMPORTRANGE(""https://docs.google.com/spreadsheets/d/1Yj_ptqi66GCucihVvJfMjLAmec39IyEx_6qawtMGysU/edit?usp=sharing"",""สบก!AR104"")"),0)</f>
        <v>0</v>
      </c>
      <c r="I100" s="77">
        <f t="shared" ca="1" si="3"/>
        <v>0</v>
      </c>
      <c r="J100" s="137">
        <f t="shared" ca="1" si="4"/>
        <v>0</v>
      </c>
      <c r="K100" s="77">
        <f ca="1">IFERROR(__xludf.DUMMYFUNCTION("IMPORTRANGE(""https://docs.google.com/spreadsheets/d/1Yj_ptqi66GCucihVvJfMjLAmec39IyEx_6qawtMGysU/edit?usp=sharing"",""สบก!AS104"")"),0)</f>
        <v>0</v>
      </c>
      <c r="L100" s="137">
        <f t="shared" ca="1" si="5"/>
        <v>0</v>
      </c>
      <c r="M100" s="137">
        <f t="shared" ca="1" si="6"/>
        <v>0</v>
      </c>
      <c r="N100" s="137">
        <f ca="1">IFERROR(__xludf.DUMMYFUNCTION("IMPORTRANGE(""https://docs.google.com/spreadsheets/d/1Yj_ptqi66GCucihVvJfMjLAmec39IyEx_6qawtMGysU/edit?usp=sharing"",""สบก!AT104"")"),0)</f>
        <v>0</v>
      </c>
      <c r="O100" s="137">
        <f t="shared" ca="1" si="7"/>
        <v>0</v>
      </c>
      <c r="P100" s="77">
        <f ca="1">IFERROR(__xludf.DUMMYFUNCTION("IMPORTRANGE(""https://docs.google.com/spreadsheets/d/1C3CXT74ZlgGe6_JY_1olB1XN4rF0dxEuIIF-xsYjHgg/edit?usp=sharing"",""พรบ!R104"")"),0)</f>
        <v>0</v>
      </c>
      <c r="Q100" s="77">
        <v>0</v>
      </c>
      <c r="R100" s="79">
        <f t="shared" ca="1" si="9"/>
        <v>0</v>
      </c>
      <c r="S100" s="77">
        <f ca="1">IFERROR(__xludf.DUMMYFUNCTION("IMPORTRANGE(""https://docs.google.com/spreadsheets/d/1C3CXT74ZlgGe6_JY_1olB1XN4rF0dxEuIIF-xsYjHgg/edit?usp=sharing"",""พรบ!S104"")"),0)</f>
        <v>0</v>
      </c>
      <c r="T100" s="77">
        <v>0</v>
      </c>
      <c r="U100" s="79">
        <f t="shared" ca="1" si="10"/>
        <v>0</v>
      </c>
      <c r="V100" s="77">
        <v>0</v>
      </c>
      <c r="W100" s="79">
        <f t="shared" ca="1" si="11"/>
        <v>0</v>
      </c>
      <c r="X100" s="77">
        <v>0</v>
      </c>
      <c r="Y100" s="79">
        <f t="shared" ca="1" si="12"/>
        <v>0</v>
      </c>
      <c r="Z100" s="77">
        <v>0</v>
      </c>
      <c r="AA100" s="137">
        <f t="shared" ca="1" si="13"/>
        <v>0</v>
      </c>
      <c r="AB100" s="77">
        <f ca="1">IFERROR(__xludf.DUMMYFUNCTION("IMPORTRANGE(""https://docs.google.com/spreadsheets/d/1C3CXT74ZlgGe6_JY_1olB1XN4rF0dxEuIIF-xsYjHgg/edit?usp=sharing"",""พรบ!W104"")"),0)</f>
        <v>0</v>
      </c>
      <c r="AC100" s="77">
        <v>0</v>
      </c>
      <c r="AD100" s="137">
        <f t="shared" ca="1" si="15"/>
        <v>0</v>
      </c>
    </row>
    <row r="101" spans="1:30" ht="24" hidden="1" customHeight="1">
      <c r="A101" s="105">
        <f t="shared" si="57"/>
        <v>10</v>
      </c>
      <c r="B101" s="106" t="s">
        <v>125</v>
      </c>
      <c r="C101" s="75">
        <f t="shared" ca="1" si="0"/>
        <v>0</v>
      </c>
      <c r="D101" s="76">
        <f t="shared" ca="1" si="56"/>
        <v>0</v>
      </c>
      <c r="E101" s="77">
        <f ca="1">IFERROR(__xludf.DUMMYFUNCTION("IMPORTRANGE(""https://docs.google.com/spreadsheets/d/1C3CXT74ZlgGe6_JY_1olB1XN4rF0dxEuIIF-xsYjHgg/edit?usp=sharing"",""พรบ!P105"")"),0)</f>
        <v>0</v>
      </c>
      <c r="F101" s="77">
        <f ca="1">IFERROR(__xludf.DUMMYFUNCTION("IMPORTRANGE(""https://docs.google.com/spreadsheets/d/1C3CXT74ZlgGe6_JY_1olB1XN4rF0dxEuIIF-xsYjHgg/edit?usp=sharing"",""พรบ!Q105"")"),0)</f>
        <v>0</v>
      </c>
      <c r="G101" s="77">
        <f ca="1">IFERROR(__xludf.DUMMYFUNCTION("IMPORTRANGE(""https://docs.google.com/spreadsheets/d/1Yj_ptqi66GCucihVvJfMjLAmec39IyEx_6qawtMGysU/edit?usp=sharing"",""สบก!AP105"")"),0)</f>
        <v>0</v>
      </c>
      <c r="H101" s="77">
        <f ca="1">IFERROR(__xludf.DUMMYFUNCTION("IMPORTRANGE(""https://docs.google.com/spreadsheets/d/1Yj_ptqi66GCucihVvJfMjLAmec39IyEx_6qawtMGysU/edit?usp=sharing"",""สบก!AR105"")"),0)</f>
        <v>0</v>
      </c>
      <c r="I101" s="77">
        <f t="shared" ca="1" si="3"/>
        <v>0</v>
      </c>
      <c r="J101" s="137">
        <f t="shared" ca="1" si="4"/>
        <v>0</v>
      </c>
      <c r="K101" s="77">
        <f ca="1">IFERROR(__xludf.DUMMYFUNCTION("IMPORTRANGE(""https://docs.google.com/spreadsheets/d/1Yj_ptqi66GCucihVvJfMjLAmec39IyEx_6qawtMGysU/edit?usp=sharing"",""สบก!AS105"")"),0)</f>
        <v>0</v>
      </c>
      <c r="L101" s="137">
        <f t="shared" ca="1" si="5"/>
        <v>0</v>
      </c>
      <c r="M101" s="137">
        <f t="shared" ca="1" si="6"/>
        <v>0</v>
      </c>
      <c r="N101" s="137">
        <f ca="1">IFERROR(__xludf.DUMMYFUNCTION("IMPORTRANGE(""https://docs.google.com/spreadsheets/d/1Yj_ptqi66GCucihVvJfMjLAmec39IyEx_6qawtMGysU/edit?usp=sharing"",""สบก!AT105"")"),0)</f>
        <v>0</v>
      </c>
      <c r="O101" s="137">
        <f t="shared" ca="1" si="7"/>
        <v>0</v>
      </c>
      <c r="P101" s="77">
        <f ca="1">IFERROR(__xludf.DUMMYFUNCTION("IMPORTRANGE(""https://docs.google.com/spreadsheets/d/1C3CXT74ZlgGe6_JY_1olB1XN4rF0dxEuIIF-xsYjHgg/edit?usp=sharing"",""พรบ!R105"")"),0)</f>
        <v>0</v>
      </c>
      <c r="Q101" s="77">
        <v>0</v>
      </c>
      <c r="R101" s="79">
        <f t="shared" ca="1" si="9"/>
        <v>0</v>
      </c>
      <c r="S101" s="77">
        <f ca="1">IFERROR(__xludf.DUMMYFUNCTION("IMPORTRANGE(""https://docs.google.com/spreadsheets/d/1C3CXT74ZlgGe6_JY_1olB1XN4rF0dxEuIIF-xsYjHgg/edit?usp=sharing"",""พรบ!S105"")"),0)</f>
        <v>0</v>
      </c>
      <c r="T101" s="77">
        <v>0</v>
      </c>
      <c r="U101" s="79">
        <f t="shared" ca="1" si="10"/>
        <v>0</v>
      </c>
      <c r="V101" s="77">
        <v>0</v>
      </c>
      <c r="W101" s="79">
        <f t="shared" ca="1" si="11"/>
        <v>0</v>
      </c>
      <c r="X101" s="77">
        <v>0</v>
      </c>
      <c r="Y101" s="79">
        <f t="shared" ca="1" si="12"/>
        <v>0</v>
      </c>
      <c r="Z101" s="77">
        <v>0</v>
      </c>
      <c r="AA101" s="137">
        <f t="shared" ca="1" si="13"/>
        <v>0</v>
      </c>
      <c r="AB101" s="77">
        <f ca="1">IFERROR(__xludf.DUMMYFUNCTION("IMPORTRANGE(""https://docs.google.com/spreadsheets/d/1C3CXT74ZlgGe6_JY_1olB1XN4rF0dxEuIIF-xsYjHgg/edit?usp=sharing"",""พรบ!W105"")"),0)</f>
        <v>0</v>
      </c>
      <c r="AC101" s="77">
        <v>0</v>
      </c>
      <c r="AD101" s="137">
        <f t="shared" ca="1" si="15"/>
        <v>0</v>
      </c>
    </row>
    <row r="102" spans="1:30" ht="24" hidden="1" customHeight="1">
      <c r="A102" s="105">
        <f t="shared" si="57"/>
        <v>11</v>
      </c>
      <c r="B102" s="106" t="s">
        <v>126</v>
      </c>
      <c r="C102" s="75">
        <f t="shared" ca="1" si="0"/>
        <v>0</v>
      </c>
      <c r="D102" s="76">
        <f t="shared" ca="1" si="56"/>
        <v>0</v>
      </c>
      <c r="E102" s="77">
        <f ca="1">IFERROR(__xludf.DUMMYFUNCTION("IMPORTRANGE(""https://docs.google.com/spreadsheets/d/1C3CXT74ZlgGe6_JY_1olB1XN4rF0dxEuIIF-xsYjHgg/edit?usp=sharing"",""พรบ!P106"")"),0)</f>
        <v>0</v>
      </c>
      <c r="F102" s="77">
        <f ca="1">IFERROR(__xludf.DUMMYFUNCTION("IMPORTRANGE(""https://docs.google.com/spreadsheets/d/1C3CXT74ZlgGe6_JY_1olB1XN4rF0dxEuIIF-xsYjHgg/edit?usp=sharing"",""พรบ!Q106"")"),0)</f>
        <v>0</v>
      </c>
      <c r="G102" s="77">
        <f ca="1">IFERROR(__xludf.DUMMYFUNCTION("IMPORTRANGE(""https://docs.google.com/spreadsheets/d/1Yj_ptqi66GCucihVvJfMjLAmec39IyEx_6qawtMGysU/edit?usp=sharing"",""สบก!AP106"")"),0)</f>
        <v>0</v>
      </c>
      <c r="H102" s="77">
        <f ca="1">IFERROR(__xludf.DUMMYFUNCTION("IMPORTRANGE(""https://docs.google.com/spreadsheets/d/1Yj_ptqi66GCucihVvJfMjLAmec39IyEx_6qawtMGysU/edit?usp=sharing"",""สบก!AR106"")"),0)</f>
        <v>0</v>
      </c>
      <c r="I102" s="77">
        <f t="shared" ca="1" si="3"/>
        <v>0</v>
      </c>
      <c r="J102" s="137">
        <f t="shared" ca="1" si="4"/>
        <v>0</v>
      </c>
      <c r="K102" s="77">
        <f ca="1">IFERROR(__xludf.DUMMYFUNCTION("IMPORTRANGE(""https://docs.google.com/spreadsheets/d/1Yj_ptqi66GCucihVvJfMjLAmec39IyEx_6qawtMGysU/edit?usp=sharing"",""สบก!AS106"")"),0)</f>
        <v>0</v>
      </c>
      <c r="L102" s="137">
        <f t="shared" ca="1" si="5"/>
        <v>0</v>
      </c>
      <c r="M102" s="137">
        <f t="shared" ca="1" si="6"/>
        <v>0</v>
      </c>
      <c r="N102" s="137">
        <f ca="1">IFERROR(__xludf.DUMMYFUNCTION("IMPORTRANGE(""https://docs.google.com/spreadsheets/d/1Yj_ptqi66GCucihVvJfMjLAmec39IyEx_6qawtMGysU/edit?usp=sharing"",""สบก!AT106"")"),0)</f>
        <v>0</v>
      </c>
      <c r="O102" s="137">
        <f t="shared" ca="1" si="7"/>
        <v>0</v>
      </c>
      <c r="P102" s="77">
        <f ca="1">IFERROR(__xludf.DUMMYFUNCTION("IMPORTRANGE(""https://docs.google.com/spreadsheets/d/1C3CXT74ZlgGe6_JY_1olB1XN4rF0dxEuIIF-xsYjHgg/edit?usp=sharing"",""พรบ!R106"")"),0)</f>
        <v>0</v>
      </c>
      <c r="Q102" s="77">
        <v>0</v>
      </c>
      <c r="R102" s="79">
        <f t="shared" ca="1" si="9"/>
        <v>0</v>
      </c>
      <c r="S102" s="77">
        <f ca="1">IFERROR(__xludf.DUMMYFUNCTION("IMPORTRANGE(""https://docs.google.com/spreadsheets/d/1C3CXT74ZlgGe6_JY_1olB1XN4rF0dxEuIIF-xsYjHgg/edit?usp=sharing"",""พรบ!S106"")"),0)</f>
        <v>0</v>
      </c>
      <c r="T102" s="77">
        <v>0</v>
      </c>
      <c r="U102" s="79">
        <f t="shared" ca="1" si="10"/>
        <v>0</v>
      </c>
      <c r="V102" s="77">
        <v>0</v>
      </c>
      <c r="W102" s="79">
        <f t="shared" ca="1" si="11"/>
        <v>0</v>
      </c>
      <c r="X102" s="77">
        <v>0</v>
      </c>
      <c r="Y102" s="79">
        <f t="shared" ca="1" si="12"/>
        <v>0</v>
      </c>
      <c r="Z102" s="77">
        <v>0</v>
      </c>
      <c r="AA102" s="137">
        <f t="shared" ca="1" si="13"/>
        <v>0</v>
      </c>
      <c r="AB102" s="77">
        <f ca="1">IFERROR(__xludf.DUMMYFUNCTION("IMPORTRANGE(""https://docs.google.com/spreadsheets/d/1C3CXT74ZlgGe6_JY_1olB1XN4rF0dxEuIIF-xsYjHgg/edit?usp=sharing"",""พรบ!W106"")"),0)</f>
        <v>0</v>
      </c>
      <c r="AC102" s="77">
        <v>0</v>
      </c>
      <c r="AD102" s="137">
        <f t="shared" ca="1" si="15"/>
        <v>0</v>
      </c>
    </row>
    <row r="103" spans="1:30" ht="24" hidden="1" customHeight="1">
      <c r="A103" s="105">
        <f t="shared" si="57"/>
        <v>12</v>
      </c>
      <c r="B103" s="106" t="s">
        <v>127</v>
      </c>
      <c r="C103" s="75">
        <f t="shared" ca="1" si="0"/>
        <v>0</v>
      </c>
      <c r="D103" s="76">
        <f t="shared" ca="1" si="56"/>
        <v>0</v>
      </c>
      <c r="E103" s="77">
        <f ca="1">IFERROR(__xludf.DUMMYFUNCTION("IMPORTRANGE(""https://docs.google.com/spreadsheets/d/1C3CXT74ZlgGe6_JY_1olB1XN4rF0dxEuIIF-xsYjHgg/edit?usp=sharing"",""พรบ!P107"")"),0)</f>
        <v>0</v>
      </c>
      <c r="F103" s="77">
        <f ca="1">IFERROR(__xludf.DUMMYFUNCTION("IMPORTRANGE(""https://docs.google.com/spreadsheets/d/1C3CXT74ZlgGe6_JY_1olB1XN4rF0dxEuIIF-xsYjHgg/edit?usp=sharing"",""พรบ!Q107"")"),0)</f>
        <v>0</v>
      </c>
      <c r="G103" s="77">
        <f ca="1">IFERROR(__xludf.DUMMYFUNCTION("IMPORTRANGE(""https://docs.google.com/spreadsheets/d/1Yj_ptqi66GCucihVvJfMjLAmec39IyEx_6qawtMGysU/edit?usp=sharing"",""สบก!AP107"")"),0)</f>
        <v>0</v>
      </c>
      <c r="H103" s="77">
        <f ca="1">IFERROR(__xludf.DUMMYFUNCTION("IMPORTRANGE(""https://docs.google.com/spreadsheets/d/1Yj_ptqi66GCucihVvJfMjLAmec39IyEx_6qawtMGysU/edit?usp=sharing"",""สบก!AR107"")"),0)</f>
        <v>0</v>
      </c>
      <c r="I103" s="77">
        <f t="shared" ca="1" si="3"/>
        <v>0</v>
      </c>
      <c r="J103" s="137">
        <f t="shared" ca="1" si="4"/>
        <v>0</v>
      </c>
      <c r="K103" s="77">
        <f ca="1">IFERROR(__xludf.DUMMYFUNCTION("IMPORTRANGE(""https://docs.google.com/spreadsheets/d/1Yj_ptqi66GCucihVvJfMjLAmec39IyEx_6qawtMGysU/edit?usp=sharing"",""สบก!AS107"")"),0)</f>
        <v>0</v>
      </c>
      <c r="L103" s="137">
        <f t="shared" ca="1" si="5"/>
        <v>0</v>
      </c>
      <c r="M103" s="137">
        <f t="shared" ca="1" si="6"/>
        <v>0</v>
      </c>
      <c r="N103" s="137">
        <f ca="1">IFERROR(__xludf.DUMMYFUNCTION("IMPORTRANGE(""https://docs.google.com/spreadsheets/d/1Yj_ptqi66GCucihVvJfMjLAmec39IyEx_6qawtMGysU/edit?usp=sharing"",""สบก!AT107"")"),0)</f>
        <v>0</v>
      </c>
      <c r="O103" s="137">
        <f t="shared" ca="1" si="7"/>
        <v>0</v>
      </c>
      <c r="P103" s="77">
        <f ca="1">IFERROR(__xludf.DUMMYFUNCTION("IMPORTRANGE(""https://docs.google.com/spreadsheets/d/1C3CXT74ZlgGe6_JY_1olB1XN4rF0dxEuIIF-xsYjHgg/edit?usp=sharing"",""พรบ!R107"")"),0)</f>
        <v>0</v>
      </c>
      <c r="Q103" s="77">
        <v>0</v>
      </c>
      <c r="R103" s="79">
        <f t="shared" ca="1" si="9"/>
        <v>0</v>
      </c>
      <c r="S103" s="77">
        <f ca="1">IFERROR(__xludf.DUMMYFUNCTION("IMPORTRANGE(""https://docs.google.com/spreadsheets/d/1C3CXT74ZlgGe6_JY_1olB1XN4rF0dxEuIIF-xsYjHgg/edit?usp=sharing"",""พรบ!S107"")"),0)</f>
        <v>0</v>
      </c>
      <c r="T103" s="77">
        <v>0</v>
      </c>
      <c r="U103" s="79">
        <f t="shared" ca="1" si="10"/>
        <v>0</v>
      </c>
      <c r="V103" s="77">
        <v>0</v>
      </c>
      <c r="W103" s="79">
        <f t="shared" ca="1" si="11"/>
        <v>0</v>
      </c>
      <c r="X103" s="77">
        <v>0</v>
      </c>
      <c r="Y103" s="79">
        <f t="shared" ca="1" si="12"/>
        <v>0</v>
      </c>
      <c r="Z103" s="77">
        <v>0</v>
      </c>
      <c r="AA103" s="137">
        <f t="shared" ca="1" si="13"/>
        <v>0</v>
      </c>
      <c r="AB103" s="77">
        <f ca="1">IFERROR(__xludf.DUMMYFUNCTION("IMPORTRANGE(""https://docs.google.com/spreadsheets/d/1C3CXT74ZlgGe6_JY_1olB1XN4rF0dxEuIIF-xsYjHgg/edit?usp=sharing"",""พรบ!W107"")"),0)</f>
        <v>0</v>
      </c>
      <c r="AC103" s="77">
        <v>0</v>
      </c>
      <c r="AD103" s="137">
        <f t="shared" ca="1" si="15"/>
        <v>0</v>
      </c>
    </row>
    <row r="104" spans="1:30" ht="24" hidden="1" customHeight="1">
      <c r="A104" s="105">
        <f t="shared" si="57"/>
        <v>13</v>
      </c>
      <c r="B104" s="106" t="s">
        <v>128</v>
      </c>
      <c r="C104" s="75">
        <f t="shared" ca="1" si="0"/>
        <v>0</v>
      </c>
      <c r="D104" s="76">
        <f t="shared" ca="1" si="56"/>
        <v>0</v>
      </c>
      <c r="E104" s="77">
        <f ca="1">IFERROR(__xludf.DUMMYFUNCTION("IMPORTRANGE(""https://docs.google.com/spreadsheets/d/1C3CXT74ZlgGe6_JY_1olB1XN4rF0dxEuIIF-xsYjHgg/edit?usp=sharing"",""พรบ!P108"")"),0)</f>
        <v>0</v>
      </c>
      <c r="F104" s="77">
        <f ca="1">IFERROR(__xludf.DUMMYFUNCTION("IMPORTRANGE(""https://docs.google.com/spreadsheets/d/1C3CXT74ZlgGe6_JY_1olB1XN4rF0dxEuIIF-xsYjHgg/edit?usp=sharing"",""พรบ!Q108"")"),0)</f>
        <v>0</v>
      </c>
      <c r="G104" s="77">
        <f ca="1">IFERROR(__xludf.DUMMYFUNCTION("IMPORTRANGE(""https://docs.google.com/spreadsheets/d/1Yj_ptqi66GCucihVvJfMjLAmec39IyEx_6qawtMGysU/edit?usp=sharing"",""สบก!AP108"")"),0)</f>
        <v>0</v>
      </c>
      <c r="H104" s="77">
        <f ca="1">IFERROR(__xludf.DUMMYFUNCTION("IMPORTRANGE(""https://docs.google.com/spreadsheets/d/1Yj_ptqi66GCucihVvJfMjLAmec39IyEx_6qawtMGysU/edit?usp=sharing"",""สบก!AR108"")"),0)</f>
        <v>0</v>
      </c>
      <c r="I104" s="77">
        <f t="shared" ca="1" si="3"/>
        <v>0</v>
      </c>
      <c r="J104" s="137">
        <f t="shared" ca="1" si="4"/>
        <v>0</v>
      </c>
      <c r="K104" s="77">
        <f ca="1">IFERROR(__xludf.DUMMYFUNCTION("IMPORTRANGE(""https://docs.google.com/spreadsheets/d/1Yj_ptqi66GCucihVvJfMjLAmec39IyEx_6qawtMGysU/edit?usp=sharing"",""สบก!AS108"")"),0)</f>
        <v>0</v>
      </c>
      <c r="L104" s="137">
        <f t="shared" ca="1" si="5"/>
        <v>0</v>
      </c>
      <c r="M104" s="137">
        <f t="shared" ca="1" si="6"/>
        <v>0</v>
      </c>
      <c r="N104" s="137">
        <f ca="1">IFERROR(__xludf.DUMMYFUNCTION("IMPORTRANGE(""https://docs.google.com/spreadsheets/d/1Yj_ptqi66GCucihVvJfMjLAmec39IyEx_6qawtMGysU/edit?usp=sharing"",""สบก!AT108"")"),0)</f>
        <v>0</v>
      </c>
      <c r="O104" s="137">
        <f t="shared" ca="1" si="7"/>
        <v>0</v>
      </c>
      <c r="P104" s="77">
        <f ca="1">IFERROR(__xludf.DUMMYFUNCTION("IMPORTRANGE(""https://docs.google.com/spreadsheets/d/1C3CXT74ZlgGe6_JY_1olB1XN4rF0dxEuIIF-xsYjHgg/edit?usp=sharing"",""พรบ!R108"")"),0)</f>
        <v>0</v>
      </c>
      <c r="Q104" s="77">
        <v>0</v>
      </c>
      <c r="R104" s="79">
        <f t="shared" ca="1" si="9"/>
        <v>0</v>
      </c>
      <c r="S104" s="77">
        <f ca="1">IFERROR(__xludf.DUMMYFUNCTION("IMPORTRANGE(""https://docs.google.com/spreadsheets/d/1C3CXT74ZlgGe6_JY_1olB1XN4rF0dxEuIIF-xsYjHgg/edit?usp=sharing"",""พรบ!S108"")"),0)</f>
        <v>0</v>
      </c>
      <c r="T104" s="77">
        <v>0</v>
      </c>
      <c r="U104" s="79">
        <f t="shared" ca="1" si="10"/>
        <v>0</v>
      </c>
      <c r="V104" s="77">
        <v>0</v>
      </c>
      <c r="W104" s="79">
        <f t="shared" ca="1" si="11"/>
        <v>0</v>
      </c>
      <c r="X104" s="77">
        <v>0</v>
      </c>
      <c r="Y104" s="79">
        <f t="shared" ca="1" si="12"/>
        <v>0</v>
      </c>
      <c r="Z104" s="77">
        <v>0</v>
      </c>
      <c r="AA104" s="137">
        <f t="shared" ca="1" si="13"/>
        <v>0</v>
      </c>
      <c r="AB104" s="77">
        <f ca="1">IFERROR(__xludf.DUMMYFUNCTION("IMPORTRANGE(""https://docs.google.com/spreadsheets/d/1C3CXT74ZlgGe6_JY_1olB1XN4rF0dxEuIIF-xsYjHgg/edit?usp=sharing"",""พรบ!W108"")"),0)</f>
        <v>0</v>
      </c>
      <c r="AC104" s="77">
        <v>0</v>
      </c>
      <c r="AD104" s="137">
        <f t="shared" ca="1" si="15"/>
        <v>0</v>
      </c>
    </row>
    <row r="105" spans="1:30" ht="24" hidden="1" customHeight="1">
      <c r="A105" s="107">
        <f t="shared" si="57"/>
        <v>14</v>
      </c>
      <c r="B105" s="108" t="s">
        <v>129</v>
      </c>
      <c r="C105" s="86">
        <f t="shared" ca="1" si="0"/>
        <v>0</v>
      </c>
      <c r="D105" s="87">
        <f t="shared" ca="1" si="56"/>
        <v>0</v>
      </c>
      <c r="E105" s="88">
        <f ca="1">IFERROR(__xludf.DUMMYFUNCTION("IMPORTRANGE(""https://docs.google.com/spreadsheets/d/1C3CXT74ZlgGe6_JY_1olB1XN4rF0dxEuIIF-xsYjHgg/edit?usp=sharing"",""พรบ!P109"")"),0)</f>
        <v>0</v>
      </c>
      <c r="F105" s="88">
        <f ca="1">IFERROR(__xludf.DUMMYFUNCTION("IMPORTRANGE(""https://docs.google.com/spreadsheets/d/1C3CXT74ZlgGe6_JY_1olB1XN4rF0dxEuIIF-xsYjHgg/edit?usp=sharing"",""พรบ!Q109"")"),0)</f>
        <v>0</v>
      </c>
      <c r="G105" s="88">
        <f ca="1">IFERROR(__xludf.DUMMYFUNCTION("IMPORTRANGE(""https://docs.google.com/spreadsheets/d/1Yj_ptqi66GCucihVvJfMjLAmec39IyEx_6qawtMGysU/edit?usp=sharing"",""สบก!AP109"")"),0)</f>
        <v>0</v>
      </c>
      <c r="H105" s="88">
        <f ca="1">IFERROR(__xludf.DUMMYFUNCTION("IMPORTRANGE(""https://docs.google.com/spreadsheets/d/1Yj_ptqi66GCucihVvJfMjLAmec39IyEx_6qawtMGysU/edit?usp=sharing"",""สบก!AR109"")"),0)</f>
        <v>0</v>
      </c>
      <c r="I105" s="88">
        <f t="shared" ca="1" si="3"/>
        <v>0</v>
      </c>
      <c r="J105" s="138">
        <f t="shared" ca="1" si="4"/>
        <v>0</v>
      </c>
      <c r="K105" s="88">
        <f ca="1">IFERROR(__xludf.DUMMYFUNCTION("IMPORTRANGE(""https://docs.google.com/spreadsheets/d/1Yj_ptqi66GCucihVvJfMjLAmec39IyEx_6qawtMGysU/edit?usp=sharing"",""สบก!AS109"")"),0)</f>
        <v>0</v>
      </c>
      <c r="L105" s="138">
        <f t="shared" ca="1" si="5"/>
        <v>0</v>
      </c>
      <c r="M105" s="140">
        <f t="shared" ca="1" si="6"/>
        <v>0</v>
      </c>
      <c r="N105" s="140">
        <f ca="1">IFERROR(__xludf.DUMMYFUNCTION("IMPORTRANGE(""https://docs.google.com/spreadsheets/d/1Yj_ptqi66GCucihVvJfMjLAmec39IyEx_6qawtMGysU/edit?usp=sharing"",""สบก!AT109"")"),0)</f>
        <v>0</v>
      </c>
      <c r="O105" s="140">
        <f t="shared" ca="1" si="7"/>
        <v>0</v>
      </c>
      <c r="P105" s="77">
        <f ca="1">IFERROR(__xludf.DUMMYFUNCTION("IMPORTRANGE(""https://docs.google.com/spreadsheets/d/1C3CXT74ZlgGe6_JY_1olB1XN4rF0dxEuIIF-xsYjHgg/edit?usp=sharing"",""พรบ!R109"")"),0)</f>
        <v>0</v>
      </c>
      <c r="Q105" s="141">
        <v>0</v>
      </c>
      <c r="R105" s="142">
        <f t="shared" ca="1" si="9"/>
        <v>0</v>
      </c>
      <c r="S105" s="88">
        <f ca="1">IFERROR(__xludf.DUMMYFUNCTION("IMPORTRANGE(""https://docs.google.com/spreadsheets/d/1C3CXT74ZlgGe6_JY_1olB1XN4rF0dxEuIIF-xsYjHgg/edit?usp=sharing"",""พรบ!S109"")"),0)</f>
        <v>0</v>
      </c>
      <c r="T105" s="88">
        <v>0</v>
      </c>
      <c r="U105" s="90">
        <f t="shared" ca="1" si="10"/>
        <v>0</v>
      </c>
      <c r="V105" s="88">
        <v>0</v>
      </c>
      <c r="W105" s="90">
        <f t="shared" ca="1" si="11"/>
        <v>0</v>
      </c>
      <c r="X105" s="88">
        <v>0</v>
      </c>
      <c r="Y105" s="90">
        <f t="shared" ca="1" si="12"/>
        <v>0</v>
      </c>
      <c r="Z105" s="88">
        <v>0</v>
      </c>
      <c r="AA105" s="138">
        <f t="shared" ca="1" si="13"/>
        <v>0</v>
      </c>
      <c r="AB105" s="88">
        <f ca="1">IFERROR(__xludf.DUMMYFUNCTION("IMPORTRANGE(""https://docs.google.com/spreadsheets/d/1C3CXT74ZlgGe6_JY_1olB1XN4rF0dxEuIIF-xsYjHgg/edit?usp=sharing"",""พรบ!W109"")"),0)</f>
        <v>0</v>
      </c>
      <c r="AC105" s="88">
        <v>0</v>
      </c>
      <c r="AD105" s="138">
        <f t="shared" ca="1" si="15"/>
        <v>0</v>
      </c>
    </row>
    <row r="106" spans="1:30" ht="21" hidden="1" customHeight="1">
      <c r="A106" s="680" t="s">
        <v>130</v>
      </c>
      <c r="B106" s="652"/>
      <c r="C106" s="44">
        <f t="shared" ca="1" si="0"/>
        <v>602900</v>
      </c>
      <c r="D106" s="45">
        <f t="shared" ref="D106:O106" ca="1" si="58">+D107+D108+D109+D110+D111+D112+D113+D114+D115+D116+D117+D118+D119</f>
        <v>602900</v>
      </c>
      <c r="E106" s="45">
        <f t="shared" ca="1" si="58"/>
        <v>602900</v>
      </c>
      <c r="F106" s="45">
        <f t="shared" ca="1" si="58"/>
        <v>0</v>
      </c>
      <c r="G106" s="45">
        <f t="shared" ca="1" si="58"/>
        <v>0</v>
      </c>
      <c r="H106" s="45">
        <f t="shared" ca="1" si="58"/>
        <v>452100</v>
      </c>
      <c r="I106" s="45">
        <f t="shared" ca="1" si="58"/>
        <v>0</v>
      </c>
      <c r="J106" s="45">
        <f t="shared" ca="1" si="58"/>
        <v>0</v>
      </c>
      <c r="K106" s="45">
        <f t="shared" ca="1" si="58"/>
        <v>0</v>
      </c>
      <c r="L106" s="45">
        <f t="shared" ca="1" si="58"/>
        <v>0</v>
      </c>
      <c r="M106" s="45">
        <f t="shared" ca="1" si="58"/>
        <v>0</v>
      </c>
      <c r="N106" s="45">
        <f t="shared" ca="1" si="58"/>
        <v>0</v>
      </c>
      <c r="O106" s="45">
        <f t="shared" ca="1" si="58"/>
        <v>0</v>
      </c>
      <c r="P106" s="45">
        <f t="shared" ref="P106:Q106" si="59">+P107+P108+P109+P110+P111+P112+P113+P114</f>
        <v>0</v>
      </c>
      <c r="Q106" s="45">
        <f t="shared" si="59"/>
        <v>0</v>
      </c>
      <c r="R106" s="47">
        <f t="shared" si="9"/>
        <v>0</v>
      </c>
      <c r="S106" s="45">
        <f t="shared" ref="S106:T106" si="60">+S107+S108+S109+S110+S111+S112+S113+S114</f>
        <v>0</v>
      </c>
      <c r="T106" s="45">
        <f t="shared" si="60"/>
        <v>0</v>
      </c>
      <c r="U106" s="47">
        <f t="shared" si="10"/>
        <v>0</v>
      </c>
      <c r="V106" s="45">
        <f ca="1">+V107+V108+V109+V110+V111+V112+V113+V114</f>
        <v>0</v>
      </c>
      <c r="W106" s="47">
        <f t="shared" si="11"/>
        <v>0</v>
      </c>
      <c r="X106" s="45">
        <f>+X107+X108+X109+X110+X111+X112+X113+X114</f>
        <v>0</v>
      </c>
      <c r="Y106" s="47">
        <f t="shared" si="12"/>
        <v>0</v>
      </c>
      <c r="Z106" s="45">
        <f ca="1">+Z107+Z108+Z109+Z110+Z111+Z112+Z113+Z114</f>
        <v>0</v>
      </c>
      <c r="AA106" s="127">
        <f t="shared" si="13"/>
        <v>0</v>
      </c>
      <c r="AB106" s="45">
        <f t="shared" ref="AB106:AC106" si="61">+AB107+AB108+AB109+AB110+AB111+AB112+AB113+AB114</f>
        <v>0</v>
      </c>
      <c r="AC106" s="45">
        <f t="shared" si="61"/>
        <v>0</v>
      </c>
      <c r="AD106" s="127">
        <f t="shared" si="15"/>
        <v>0</v>
      </c>
    </row>
    <row r="107" spans="1:30" ht="24" hidden="1" customHeight="1">
      <c r="A107" s="102">
        <v>1</v>
      </c>
      <c r="B107" s="109" t="s">
        <v>131</v>
      </c>
      <c r="C107" s="110">
        <f t="shared" ca="1" si="0"/>
        <v>602900</v>
      </c>
      <c r="D107" s="66">
        <f t="shared" ref="D107:D119" ca="1" si="62">+E107+F107</f>
        <v>602900</v>
      </c>
      <c r="E107" s="67">
        <f ca="1">IFERROR(__xludf.DUMMYFUNCTION("IMPORTRANGE(""https://docs.google.com/spreadsheets/d/1C3CXT74ZlgGe6_JY_1olB1XN4rF0dxEuIIF-xsYjHgg/edit?usp=sharing"",""พรบ!P111"")"),602900)</f>
        <v>602900</v>
      </c>
      <c r="F107" s="67">
        <f ca="1">IFERROR(__xludf.DUMMYFUNCTION("IMPORTRANGE(""https://docs.google.com/spreadsheets/d/1C3CXT74ZlgGe6_JY_1olB1XN4rF0dxEuIIF-xsYjHgg/edit?usp=sharing"",""พรบ!Q111"")"),0)</f>
        <v>0</v>
      </c>
      <c r="G107" s="67">
        <f ca="1">IFERROR(__xludf.DUMMYFUNCTION("IMPORTRANGE(""https://docs.google.com/spreadsheets/d/1Yj_ptqi66GCucihVvJfMjLAmec39IyEx_6qawtMGysU/edit?usp=sharing"",""สบก!AP111"")"),0)</f>
        <v>0</v>
      </c>
      <c r="H107" s="67">
        <f ca="1">IFERROR(__xludf.DUMMYFUNCTION("IMPORTRANGE(""https://docs.google.com/spreadsheets/d/1Yj_ptqi66GCucihVvJfMjLAmec39IyEx_6qawtMGysU/edit?usp=sharing"",""สบก!AR111"")"),452100)</f>
        <v>452100</v>
      </c>
      <c r="I107" s="67">
        <f t="shared" ref="I107:I119" ca="1" si="63">K107+N107</f>
        <v>0</v>
      </c>
      <c r="J107" s="70">
        <f t="shared" ref="J107:J119" ca="1" si="64">IF(C107&gt;0,I107*100/C107,0)</f>
        <v>0</v>
      </c>
      <c r="K107" s="67">
        <f ca="1">IFERROR(__xludf.DUMMYFUNCTION("IMPORTRANGE(""https://docs.google.com/spreadsheets/d/1Yj_ptqi66GCucihVvJfMjLAmec39IyEx_6qawtMGysU/edit?usp=sharing"",""สบก!AJ111"")"),0)</f>
        <v>0</v>
      </c>
      <c r="L107" s="70">
        <f t="shared" ref="L107:L119" ca="1" si="65">IF(D107&gt;0,K107*100/D107,0)</f>
        <v>0</v>
      </c>
      <c r="M107" s="70">
        <f t="shared" ref="M107:M119" ca="1" si="66">IF(H107&gt;0,K107*100/H107,0)</f>
        <v>0</v>
      </c>
      <c r="N107" s="71">
        <f ca="1">IFERROR(__xludf.DUMMYFUNCTION("IMPORTRANGE(""https://docs.google.com/spreadsheets/d/1Yj_ptqi66GCucihVvJfMjLAmec39IyEx_6qawtMGysU/edit?usp=sharing"",""สบก!AT111"")"),0)</f>
        <v>0</v>
      </c>
      <c r="O107" s="70">
        <f t="shared" ref="O107:O119" ca="1" si="67">IF(G107&gt;0,N107*100/G107,0)</f>
        <v>0</v>
      </c>
      <c r="P107" s="67">
        <v>0</v>
      </c>
      <c r="Q107" s="67">
        <v>0</v>
      </c>
      <c r="R107" s="67">
        <v>0</v>
      </c>
      <c r="S107" s="70">
        <f t="shared" ref="S107:S119" si="68">IF(P107&gt;0,R107*100/P107,0)</f>
        <v>0</v>
      </c>
      <c r="T107" s="67">
        <v>0</v>
      </c>
      <c r="U107" s="70">
        <f t="shared" ref="U107:U119" si="69">IF(Q107&gt;0,T107*100/Q107,0)</f>
        <v>0</v>
      </c>
      <c r="V107" s="67">
        <f ca="1">IFERROR(__xludf.DUMMYFUNCTION("IMPORTRANGE(""https://docs.google.com/spreadsheets/d/1C3CXT74ZlgGe6_JY_1olB1XN4rF0dxEuIIF-xsYjHgg/edit?usp=sharing"",""พรบ!H111"")"),0)</f>
        <v>0</v>
      </c>
      <c r="W107" s="67">
        <f ca="1">IFERROR(__xludf.DUMMYFUNCTION("IMPORTRANGE(""https://docs.google.com/spreadsheets/d/1C3CXT74ZlgGe6_JY_1olB1XN4rF0dxEuIIF-xsYjHgg/edit?usp=sharing"",""พรบ!I111"")"),0)</f>
        <v>0</v>
      </c>
      <c r="X107" s="67">
        <v>0</v>
      </c>
      <c r="Y107" s="67">
        <v>0</v>
      </c>
      <c r="Z107" s="67">
        <f ca="1">IFERROR(__xludf.DUMMYFUNCTION("IMPORTRANGE(""https://docs.google.com/spreadsheets/d/1C3CXT74ZlgGe6_JY_1olB1XN4rF0dxEuIIF-xsYjHgg/edit?usp=sharing"",""พรบ!J111"")"),0)</f>
        <v>0</v>
      </c>
      <c r="AA107" s="67">
        <f ca="1">IFERROR(__xludf.DUMMYFUNCTION("IMPORTRANGE(""https://docs.google.com/spreadsheets/d/1C3CXT74ZlgGe6_JY_1olB1XN4rF0dxEuIIF-xsYjHgg/edit?usp=sharing"",""พรบ!K111"")"),0)</f>
        <v>0</v>
      </c>
      <c r="AB107" s="67">
        <v>0</v>
      </c>
      <c r="AC107" s="67">
        <v>0</v>
      </c>
      <c r="AD107" s="67">
        <f ca="1">IFERROR(__xludf.DUMMYFUNCTION("IMPORTRANGE(""https://docs.google.com/spreadsheets/d/1C3CXT74ZlgGe6_JY_1olB1XN4rF0dxEuIIF-xsYjHgg/edit?usp=sharing"",""พรบ!L111"")"),0)</f>
        <v>0</v>
      </c>
    </row>
    <row r="108" spans="1:30" ht="24" hidden="1" customHeight="1">
      <c r="A108" s="105">
        <v>2</v>
      </c>
      <c r="B108" s="111" t="s">
        <v>132</v>
      </c>
      <c r="C108" s="112">
        <f t="shared" ca="1" si="0"/>
        <v>0</v>
      </c>
      <c r="D108" s="76">
        <f t="shared" ca="1" si="62"/>
        <v>0</v>
      </c>
      <c r="E108" s="77">
        <f ca="1">IFERROR(__xludf.DUMMYFUNCTION("IMPORTRANGE(""https://docs.google.com/spreadsheets/d/1C3CXT74ZlgGe6_JY_1olB1XN4rF0dxEuIIF-xsYjHgg/edit?usp=sharing"",""พรบ!P112"")"),0)</f>
        <v>0</v>
      </c>
      <c r="F108" s="77">
        <f ca="1">IFERROR(__xludf.DUMMYFUNCTION("IMPORTRANGE(""https://docs.google.com/spreadsheets/d/1C3CXT74ZlgGe6_JY_1olB1XN4rF0dxEuIIF-xsYjHgg/edit?usp=sharing"",""พรบ!Q112"")"),0)</f>
        <v>0</v>
      </c>
      <c r="G108" s="77">
        <f ca="1">IFERROR(__xludf.DUMMYFUNCTION("IMPORTRANGE(""https://docs.google.com/spreadsheets/d/1Yj_ptqi66GCucihVvJfMjLAmec39IyEx_6qawtMGysU/edit?usp=sharing"",""สบก!AP112"")"),0)</f>
        <v>0</v>
      </c>
      <c r="H108" s="77">
        <f ca="1">IFERROR(__xludf.DUMMYFUNCTION("IMPORTRANGE(""https://docs.google.com/spreadsheets/d/1Yj_ptqi66GCucihVvJfMjLAmec39IyEx_6qawtMGysU/edit?usp=sharing"",""สบก!AR112"")"),0)</f>
        <v>0</v>
      </c>
      <c r="I108" s="77">
        <f t="shared" ca="1" si="63"/>
        <v>0</v>
      </c>
      <c r="J108" s="79">
        <f t="shared" ca="1" si="64"/>
        <v>0</v>
      </c>
      <c r="K108" s="77">
        <f ca="1">IFERROR(__xludf.DUMMYFUNCTION("IMPORTRANGE(""https://docs.google.com/spreadsheets/d/1Yj_ptqi66GCucihVvJfMjLAmec39IyEx_6qawtMGysU/edit?usp=sharing"",""สบก!AJ112"")"),0)</f>
        <v>0</v>
      </c>
      <c r="L108" s="79">
        <f t="shared" ca="1" si="65"/>
        <v>0</v>
      </c>
      <c r="M108" s="79">
        <f t="shared" ca="1" si="66"/>
        <v>0</v>
      </c>
      <c r="N108" s="80">
        <f ca="1">IFERROR(__xludf.DUMMYFUNCTION("IMPORTRANGE(""https://docs.google.com/spreadsheets/d/1Yj_ptqi66GCucihVvJfMjLAmec39IyEx_6qawtMGysU/edit?usp=sharing"",""สบก!AT112"")"),0)</f>
        <v>0</v>
      </c>
      <c r="O108" s="79">
        <f t="shared" ca="1" si="67"/>
        <v>0</v>
      </c>
      <c r="P108" s="77">
        <v>0</v>
      </c>
      <c r="Q108" s="77">
        <v>0</v>
      </c>
      <c r="R108" s="77">
        <v>0</v>
      </c>
      <c r="S108" s="79">
        <f t="shared" si="68"/>
        <v>0</v>
      </c>
      <c r="T108" s="77">
        <v>0</v>
      </c>
      <c r="U108" s="79">
        <f t="shared" si="69"/>
        <v>0</v>
      </c>
      <c r="V108" s="77">
        <f ca="1">IFERROR(__xludf.DUMMYFUNCTION("IMPORTRANGE(""https://docs.google.com/spreadsheets/d/1C3CXT74ZlgGe6_JY_1olB1XN4rF0dxEuIIF-xsYjHgg/edit?usp=sharing"",""พรบ!H112"")"),0)</f>
        <v>0</v>
      </c>
      <c r="W108" s="77">
        <f ca="1">IFERROR(__xludf.DUMMYFUNCTION("IMPORTRANGE(""https://docs.google.com/spreadsheets/d/1C3CXT74ZlgGe6_JY_1olB1XN4rF0dxEuIIF-xsYjHgg/edit?usp=sharing"",""พรบ!I112"")"),0)</f>
        <v>0</v>
      </c>
      <c r="X108" s="77">
        <v>0</v>
      </c>
      <c r="Y108" s="77">
        <v>0</v>
      </c>
      <c r="Z108" s="77">
        <f ca="1">IFERROR(__xludf.DUMMYFUNCTION("IMPORTRANGE(""https://docs.google.com/spreadsheets/d/1C3CXT74ZlgGe6_JY_1olB1XN4rF0dxEuIIF-xsYjHgg/edit?usp=sharing"",""พรบ!J112"")"),0)</f>
        <v>0</v>
      </c>
      <c r="AA108" s="77">
        <f ca="1">IFERROR(__xludf.DUMMYFUNCTION("IMPORTRANGE(""https://docs.google.com/spreadsheets/d/1C3CXT74ZlgGe6_JY_1olB1XN4rF0dxEuIIF-xsYjHgg/edit?usp=sharing"",""พรบ!K112"")"),0)</f>
        <v>0</v>
      </c>
      <c r="AB108" s="77">
        <v>0</v>
      </c>
      <c r="AC108" s="77">
        <v>0</v>
      </c>
      <c r="AD108" s="77">
        <f ca="1">IFERROR(__xludf.DUMMYFUNCTION("IMPORTRANGE(""https://docs.google.com/spreadsheets/d/1C3CXT74ZlgGe6_JY_1olB1XN4rF0dxEuIIF-xsYjHgg/edit?usp=sharing"",""พรบ!L112"")"),0)</f>
        <v>0</v>
      </c>
    </row>
    <row r="109" spans="1:30" ht="24" hidden="1" customHeight="1">
      <c r="A109" s="105">
        <v>3</v>
      </c>
      <c r="B109" s="111" t="s">
        <v>133</v>
      </c>
      <c r="C109" s="112">
        <f t="shared" ca="1" si="0"/>
        <v>0</v>
      </c>
      <c r="D109" s="76">
        <f t="shared" ca="1" si="62"/>
        <v>0</v>
      </c>
      <c r="E109" s="77">
        <f ca="1">IFERROR(__xludf.DUMMYFUNCTION("IMPORTRANGE(""https://docs.google.com/spreadsheets/d/1C3CXT74ZlgGe6_JY_1olB1XN4rF0dxEuIIF-xsYjHgg/edit?usp=sharing"",""พรบ!P113"")"),0)</f>
        <v>0</v>
      </c>
      <c r="F109" s="77">
        <f ca="1">IFERROR(__xludf.DUMMYFUNCTION("IMPORTRANGE(""https://docs.google.com/spreadsheets/d/1C3CXT74ZlgGe6_JY_1olB1XN4rF0dxEuIIF-xsYjHgg/edit?usp=sharing"",""พรบ!Q113"")"),0)</f>
        <v>0</v>
      </c>
      <c r="G109" s="77">
        <f ca="1">IFERROR(__xludf.DUMMYFUNCTION("IMPORTRANGE(""https://docs.google.com/spreadsheets/d/1Yj_ptqi66GCucihVvJfMjLAmec39IyEx_6qawtMGysU/edit?usp=sharing"",""สบก!AP113"")"),0)</f>
        <v>0</v>
      </c>
      <c r="H109" s="77">
        <f ca="1">IFERROR(__xludf.DUMMYFUNCTION("IMPORTRANGE(""https://docs.google.com/spreadsheets/d/1Yj_ptqi66GCucihVvJfMjLAmec39IyEx_6qawtMGysU/edit?usp=sharing"",""สบก!AR113"")"),0)</f>
        <v>0</v>
      </c>
      <c r="I109" s="77">
        <f t="shared" ca="1" si="63"/>
        <v>0</v>
      </c>
      <c r="J109" s="79">
        <f t="shared" ca="1" si="64"/>
        <v>0</v>
      </c>
      <c r="K109" s="77">
        <f ca="1">IFERROR(__xludf.DUMMYFUNCTION("IMPORTRANGE(""https://docs.google.com/spreadsheets/d/1Yj_ptqi66GCucihVvJfMjLAmec39IyEx_6qawtMGysU/edit?usp=sharing"",""สบก!AJ113"")"),0)</f>
        <v>0</v>
      </c>
      <c r="L109" s="79">
        <f t="shared" ca="1" si="65"/>
        <v>0</v>
      </c>
      <c r="M109" s="79">
        <f t="shared" ca="1" si="66"/>
        <v>0</v>
      </c>
      <c r="N109" s="80">
        <f ca="1">IFERROR(__xludf.DUMMYFUNCTION("IMPORTRANGE(""https://docs.google.com/spreadsheets/d/1Yj_ptqi66GCucihVvJfMjLAmec39IyEx_6qawtMGysU/edit?usp=sharing"",""สบก!AT113"")"),0)</f>
        <v>0</v>
      </c>
      <c r="O109" s="79">
        <f t="shared" ca="1" si="67"/>
        <v>0</v>
      </c>
      <c r="P109" s="77">
        <v>0</v>
      </c>
      <c r="Q109" s="77">
        <v>0</v>
      </c>
      <c r="R109" s="77">
        <v>0</v>
      </c>
      <c r="S109" s="79">
        <f t="shared" si="68"/>
        <v>0</v>
      </c>
      <c r="T109" s="77">
        <v>0</v>
      </c>
      <c r="U109" s="79">
        <f t="shared" si="69"/>
        <v>0</v>
      </c>
      <c r="V109" s="77">
        <f ca="1">IFERROR(__xludf.DUMMYFUNCTION("IMPORTRANGE(""https://docs.google.com/spreadsheets/d/1C3CXT74ZlgGe6_JY_1olB1XN4rF0dxEuIIF-xsYjHgg/edit?usp=sharing"",""พรบ!H113"")"),0)</f>
        <v>0</v>
      </c>
      <c r="W109" s="77">
        <f ca="1">IFERROR(__xludf.DUMMYFUNCTION("IMPORTRANGE(""https://docs.google.com/spreadsheets/d/1C3CXT74ZlgGe6_JY_1olB1XN4rF0dxEuIIF-xsYjHgg/edit?usp=sharing"",""พรบ!I113"")"),0)</f>
        <v>0</v>
      </c>
      <c r="X109" s="77">
        <v>0</v>
      </c>
      <c r="Y109" s="77">
        <v>0</v>
      </c>
      <c r="Z109" s="77">
        <f ca="1">IFERROR(__xludf.DUMMYFUNCTION("IMPORTRANGE(""https://docs.google.com/spreadsheets/d/1C3CXT74ZlgGe6_JY_1olB1XN4rF0dxEuIIF-xsYjHgg/edit?usp=sharing"",""พรบ!J113"")"),0)</f>
        <v>0</v>
      </c>
      <c r="AA109" s="77">
        <f ca="1">IFERROR(__xludf.DUMMYFUNCTION("IMPORTRANGE(""https://docs.google.com/spreadsheets/d/1C3CXT74ZlgGe6_JY_1olB1XN4rF0dxEuIIF-xsYjHgg/edit?usp=sharing"",""พรบ!K113"")"),0)</f>
        <v>0</v>
      </c>
      <c r="AB109" s="77">
        <v>0</v>
      </c>
      <c r="AC109" s="77">
        <v>0</v>
      </c>
      <c r="AD109" s="77">
        <f ca="1">IFERROR(__xludf.DUMMYFUNCTION("IMPORTRANGE(""https://docs.google.com/spreadsheets/d/1C3CXT74ZlgGe6_JY_1olB1XN4rF0dxEuIIF-xsYjHgg/edit?usp=sharing"",""พรบ!L113"")"),0)</f>
        <v>0</v>
      </c>
    </row>
    <row r="110" spans="1:30" ht="24" hidden="1" customHeight="1">
      <c r="A110" s="113">
        <v>4</v>
      </c>
      <c r="B110" s="111" t="s">
        <v>134</v>
      </c>
      <c r="C110" s="112">
        <f t="shared" ca="1" si="0"/>
        <v>0</v>
      </c>
      <c r="D110" s="76">
        <f t="shared" ca="1" si="62"/>
        <v>0</v>
      </c>
      <c r="E110" s="77">
        <f ca="1">IFERROR(__xludf.DUMMYFUNCTION("IMPORTRANGE(""https://docs.google.com/spreadsheets/d/1C3CXT74ZlgGe6_JY_1olB1XN4rF0dxEuIIF-xsYjHgg/edit?usp=sharing"",""พรบ!P114"")"),0)</f>
        <v>0</v>
      </c>
      <c r="F110" s="77">
        <f ca="1">IFERROR(__xludf.DUMMYFUNCTION("IMPORTRANGE(""https://docs.google.com/spreadsheets/d/1C3CXT74ZlgGe6_JY_1olB1XN4rF0dxEuIIF-xsYjHgg/edit?usp=sharing"",""พรบ!Q114"")"),0)</f>
        <v>0</v>
      </c>
      <c r="G110" s="77">
        <f ca="1">IFERROR(__xludf.DUMMYFUNCTION("IMPORTRANGE(""https://docs.google.com/spreadsheets/d/1Yj_ptqi66GCucihVvJfMjLAmec39IyEx_6qawtMGysU/edit?usp=sharing"",""สบก!AP114"")"),0)</f>
        <v>0</v>
      </c>
      <c r="H110" s="77">
        <f ca="1">IFERROR(__xludf.DUMMYFUNCTION("IMPORTRANGE(""https://docs.google.com/spreadsheets/d/1Yj_ptqi66GCucihVvJfMjLAmec39IyEx_6qawtMGysU/edit?usp=sharing"",""สบก!AR114"")"),0)</f>
        <v>0</v>
      </c>
      <c r="I110" s="77">
        <f t="shared" ca="1" si="63"/>
        <v>0</v>
      </c>
      <c r="J110" s="79">
        <f t="shared" ca="1" si="64"/>
        <v>0</v>
      </c>
      <c r="K110" s="77">
        <f ca="1">IFERROR(__xludf.DUMMYFUNCTION("IMPORTRANGE(""https://docs.google.com/spreadsheets/d/1Yj_ptqi66GCucihVvJfMjLAmec39IyEx_6qawtMGysU/edit?usp=sharing"",""สบก!AJ114"")"),0)</f>
        <v>0</v>
      </c>
      <c r="L110" s="79">
        <f t="shared" ca="1" si="65"/>
        <v>0</v>
      </c>
      <c r="M110" s="79">
        <f t="shared" ca="1" si="66"/>
        <v>0</v>
      </c>
      <c r="N110" s="80">
        <f ca="1">IFERROR(__xludf.DUMMYFUNCTION("IMPORTRANGE(""https://docs.google.com/spreadsheets/d/1Yj_ptqi66GCucihVvJfMjLAmec39IyEx_6qawtMGysU/edit?usp=sharing"",""สบก!AT114"")"),0)</f>
        <v>0</v>
      </c>
      <c r="O110" s="79">
        <f t="shared" ca="1" si="67"/>
        <v>0</v>
      </c>
      <c r="P110" s="77">
        <v>0</v>
      </c>
      <c r="Q110" s="77">
        <v>0</v>
      </c>
      <c r="R110" s="77">
        <v>0</v>
      </c>
      <c r="S110" s="79">
        <f t="shared" si="68"/>
        <v>0</v>
      </c>
      <c r="T110" s="77">
        <v>0</v>
      </c>
      <c r="U110" s="79">
        <f t="shared" si="69"/>
        <v>0</v>
      </c>
      <c r="V110" s="77">
        <f ca="1">IFERROR(__xludf.DUMMYFUNCTION("IMPORTRANGE(""https://docs.google.com/spreadsheets/d/1C3CXT74ZlgGe6_JY_1olB1XN4rF0dxEuIIF-xsYjHgg/edit?usp=sharing"",""พรบ!H114"")"),0)</f>
        <v>0</v>
      </c>
      <c r="W110" s="77">
        <f ca="1">IFERROR(__xludf.DUMMYFUNCTION("IMPORTRANGE(""https://docs.google.com/spreadsheets/d/1C3CXT74ZlgGe6_JY_1olB1XN4rF0dxEuIIF-xsYjHgg/edit?usp=sharing"",""พรบ!I114"")"),0)</f>
        <v>0</v>
      </c>
      <c r="X110" s="77">
        <v>0</v>
      </c>
      <c r="Y110" s="77">
        <v>0</v>
      </c>
      <c r="Z110" s="77">
        <f ca="1">IFERROR(__xludf.DUMMYFUNCTION("IMPORTRANGE(""https://docs.google.com/spreadsheets/d/1C3CXT74ZlgGe6_JY_1olB1XN4rF0dxEuIIF-xsYjHgg/edit?usp=sharing"",""พรบ!J114"")"),0)</f>
        <v>0</v>
      </c>
      <c r="AA110" s="77">
        <f ca="1">IFERROR(__xludf.DUMMYFUNCTION("IMPORTRANGE(""https://docs.google.com/spreadsheets/d/1C3CXT74ZlgGe6_JY_1olB1XN4rF0dxEuIIF-xsYjHgg/edit?usp=sharing"",""พรบ!K114"")"),0)</f>
        <v>0</v>
      </c>
      <c r="AB110" s="77">
        <v>0</v>
      </c>
      <c r="AC110" s="77">
        <v>0</v>
      </c>
      <c r="AD110" s="77">
        <f ca="1">IFERROR(__xludf.DUMMYFUNCTION("IMPORTRANGE(""https://docs.google.com/spreadsheets/d/1C3CXT74ZlgGe6_JY_1olB1XN4rF0dxEuIIF-xsYjHgg/edit?usp=sharing"",""พรบ!L114"")"),0)</f>
        <v>0</v>
      </c>
    </row>
    <row r="111" spans="1:30" ht="24" hidden="1" customHeight="1">
      <c r="A111" s="113">
        <v>5</v>
      </c>
      <c r="B111" s="111" t="s">
        <v>135</v>
      </c>
      <c r="C111" s="112">
        <f t="shared" ca="1" si="0"/>
        <v>0</v>
      </c>
      <c r="D111" s="76">
        <f t="shared" ca="1" si="62"/>
        <v>0</v>
      </c>
      <c r="E111" s="77">
        <f ca="1">IFERROR(__xludf.DUMMYFUNCTION("IMPORTRANGE(""https://docs.google.com/spreadsheets/d/1C3CXT74ZlgGe6_JY_1olB1XN4rF0dxEuIIF-xsYjHgg/edit?usp=sharing"",""พรบ!P115"")"),0)</f>
        <v>0</v>
      </c>
      <c r="F111" s="77">
        <f ca="1">IFERROR(__xludf.DUMMYFUNCTION("IMPORTRANGE(""https://docs.google.com/spreadsheets/d/1C3CXT74ZlgGe6_JY_1olB1XN4rF0dxEuIIF-xsYjHgg/edit?usp=sharing"",""พรบ!Q115"")"),0)</f>
        <v>0</v>
      </c>
      <c r="G111" s="77">
        <f ca="1">IFERROR(__xludf.DUMMYFUNCTION("IMPORTRANGE(""https://docs.google.com/spreadsheets/d/1Yj_ptqi66GCucihVvJfMjLAmec39IyEx_6qawtMGysU/edit?usp=sharing"",""สบก!AP115"")"),0)</f>
        <v>0</v>
      </c>
      <c r="H111" s="77">
        <f ca="1">IFERROR(__xludf.DUMMYFUNCTION("IMPORTRANGE(""https://docs.google.com/spreadsheets/d/1Yj_ptqi66GCucihVvJfMjLAmec39IyEx_6qawtMGysU/edit?usp=sharing"",""สบก!AR115"")"),0)</f>
        <v>0</v>
      </c>
      <c r="I111" s="77">
        <f t="shared" ca="1" si="63"/>
        <v>0</v>
      </c>
      <c r="J111" s="79">
        <f t="shared" ca="1" si="64"/>
        <v>0</v>
      </c>
      <c r="K111" s="77">
        <f ca="1">IFERROR(__xludf.DUMMYFUNCTION("IMPORTRANGE(""https://docs.google.com/spreadsheets/d/1Yj_ptqi66GCucihVvJfMjLAmec39IyEx_6qawtMGysU/edit?usp=sharing"",""สบก!AJ115"")"),0)</f>
        <v>0</v>
      </c>
      <c r="L111" s="79">
        <f t="shared" ca="1" si="65"/>
        <v>0</v>
      </c>
      <c r="M111" s="79">
        <f t="shared" ca="1" si="66"/>
        <v>0</v>
      </c>
      <c r="N111" s="80">
        <f ca="1">IFERROR(__xludf.DUMMYFUNCTION("IMPORTRANGE(""https://docs.google.com/spreadsheets/d/1Yj_ptqi66GCucihVvJfMjLAmec39IyEx_6qawtMGysU/edit?usp=sharing"",""สบก!AT115"")"),0)</f>
        <v>0</v>
      </c>
      <c r="O111" s="79">
        <f t="shared" ca="1" si="67"/>
        <v>0</v>
      </c>
      <c r="P111" s="77">
        <v>0</v>
      </c>
      <c r="Q111" s="77">
        <v>0</v>
      </c>
      <c r="R111" s="77">
        <v>0</v>
      </c>
      <c r="S111" s="79">
        <f t="shared" si="68"/>
        <v>0</v>
      </c>
      <c r="T111" s="77">
        <v>0</v>
      </c>
      <c r="U111" s="79">
        <f t="shared" si="69"/>
        <v>0</v>
      </c>
      <c r="V111" s="77">
        <f ca="1">IFERROR(__xludf.DUMMYFUNCTION("IMPORTRANGE(""https://docs.google.com/spreadsheets/d/1C3CXT74ZlgGe6_JY_1olB1XN4rF0dxEuIIF-xsYjHgg/edit?usp=sharing"",""พรบ!H115"")"),0)</f>
        <v>0</v>
      </c>
      <c r="W111" s="77">
        <f ca="1">IFERROR(__xludf.DUMMYFUNCTION("IMPORTRANGE(""https://docs.google.com/spreadsheets/d/1C3CXT74ZlgGe6_JY_1olB1XN4rF0dxEuIIF-xsYjHgg/edit?usp=sharing"",""พรบ!I115"")"),0)</f>
        <v>0</v>
      </c>
      <c r="X111" s="77">
        <v>0</v>
      </c>
      <c r="Y111" s="77">
        <v>0</v>
      </c>
      <c r="Z111" s="77">
        <f ca="1">IFERROR(__xludf.DUMMYFUNCTION("IMPORTRANGE(""https://docs.google.com/spreadsheets/d/1C3CXT74ZlgGe6_JY_1olB1XN4rF0dxEuIIF-xsYjHgg/edit?usp=sharing"",""พรบ!J115"")"),0)</f>
        <v>0</v>
      </c>
      <c r="AA111" s="77">
        <f ca="1">IFERROR(__xludf.DUMMYFUNCTION("IMPORTRANGE(""https://docs.google.com/spreadsheets/d/1C3CXT74ZlgGe6_JY_1olB1XN4rF0dxEuIIF-xsYjHgg/edit?usp=sharing"",""พรบ!K115"")"),0)</f>
        <v>0</v>
      </c>
      <c r="AB111" s="77">
        <v>0</v>
      </c>
      <c r="AC111" s="77">
        <v>0</v>
      </c>
      <c r="AD111" s="77">
        <f ca="1">IFERROR(__xludf.DUMMYFUNCTION("IMPORTRANGE(""https://docs.google.com/spreadsheets/d/1C3CXT74ZlgGe6_JY_1olB1XN4rF0dxEuIIF-xsYjHgg/edit?usp=sharing"",""พรบ!L115"")"),0)</f>
        <v>0</v>
      </c>
    </row>
    <row r="112" spans="1:30" ht="24" hidden="1" customHeight="1">
      <c r="A112" s="113">
        <v>6</v>
      </c>
      <c r="B112" s="111" t="s">
        <v>136</v>
      </c>
      <c r="C112" s="112">
        <f t="shared" ca="1" si="0"/>
        <v>0</v>
      </c>
      <c r="D112" s="76">
        <f t="shared" ca="1" si="62"/>
        <v>0</v>
      </c>
      <c r="E112" s="77">
        <f ca="1">IFERROR(__xludf.DUMMYFUNCTION("IMPORTRANGE(""https://docs.google.com/spreadsheets/d/1C3CXT74ZlgGe6_JY_1olB1XN4rF0dxEuIIF-xsYjHgg/edit?usp=sharing"",""พรบ!P116"")"),0)</f>
        <v>0</v>
      </c>
      <c r="F112" s="77">
        <f ca="1">IFERROR(__xludf.DUMMYFUNCTION("IMPORTRANGE(""https://docs.google.com/spreadsheets/d/1C3CXT74ZlgGe6_JY_1olB1XN4rF0dxEuIIF-xsYjHgg/edit?usp=sharing"",""พรบ!Q116"")"),0)</f>
        <v>0</v>
      </c>
      <c r="G112" s="77">
        <f ca="1">IFERROR(__xludf.DUMMYFUNCTION("IMPORTRANGE(""https://docs.google.com/spreadsheets/d/1Yj_ptqi66GCucihVvJfMjLAmec39IyEx_6qawtMGysU/edit?usp=sharing"",""สบก!AP116"")"),0)</f>
        <v>0</v>
      </c>
      <c r="H112" s="77">
        <f ca="1">IFERROR(__xludf.DUMMYFUNCTION("IMPORTRANGE(""https://docs.google.com/spreadsheets/d/1Yj_ptqi66GCucihVvJfMjLAmec39IyEx_6qawtMGysU/edit?usp=sharing"",""สบก!AR116"")"),0)</f>
        <v>0</v>
      </c>
      <c r="I112" s="77">
        <f t="shared" ca="1" si="63"/>
        <v>0</v>
      </c>
      <c r="J112" s="79">
        <f t="shared" ca="1" si="64"/>
        <v>0</v>
      </c>
      <c r="K112" s="77">
        <f ca="1">IFERROR(__xludf.DUMMYFUNCTION("IMPORTRANGE(""https://docs.google.com/spreadsheets/d/1Yj_ptqi66GCucihVvJfMjLAmec39IyEx_6qawtMGysU/edit?usp=sharing"",""สบก!AJ116"")"),0)</f>
        <v>0</v>
      </c>
      <c r="L112" s="79">
        <f t="shared" ca="1" si="65"/>
        <v>0</v>
      </c>
      <c r="M112" s="79">
        <f t="shared" ca="1" si="66"/>
        <v>0</v>
      </c>
      <c r="N112" s="80">
        <f ca="1">IFERROR(__xludf.DUMMYFUNCTION("IMPORTRANGE(""https://docs.google.com/spreadsheets/d/1Yj_ptqi66GCucihVvJfMjLAmec39IyEx_6qawtMGysU/edit?usp=sharing"",""สบก!AT116"")"),0)</f>
        <v>0</v>
      </c>
      <c r="O112" s="79">
        <f t="shared" ca="1" si="67"/>
        <v>0</v>
      </c>
      <c r="P112" s="77">
        <v>0</v>
      </c>
      <c r="Q112" s="77">
        <v>0</v>
      </c>
      <c r="R112" s="77">
        <v>0</v>
      </c>
      <c r="S112" s="79">
        <f t="shared" si="68"/>
        <v>0</v>
      </c>
      <c r="T112" s="77">
        <v>0</v>
      </c>
      <c r="U112" s="79">
        <f t="shared" si="69"/>
        <v>0</v>
      </c>
      <c r="V112" s="77">
        <f ca="1">IFERROR(__xludf.DUMMYFUNCTION("IMPORTRANGE(""https://docs.google.com/spreadsheets/d/1C3CXT74ZlgGe6_JY_1olB1XN4rF0dxEuIIF-xsYjHgg/edit?usp=sharing"",""พรบ!H116"")"),0)</f>
        <v>0</v>
      </c>
      <c r="W112" s="77">
        <f ca="1">IFERROR(__xludf.DUMMYFUNCTION("IMPORTRANGE(""https://docs.google.com/spreadsheets/d/1C3CXT74ZlgGe6_JY_1olB1XN4rF0dxEuIIF-xsYjHgg/edit?usp=sharing"",""พรบ!I116"")"),0)</f>
        <v>0</v>
      </c>
      <c r="X112" s="77">
        <v>0</v>
      </c>
      <c r="Y112" s="77">
        <v>0</v>
      </c>
      <c r="Z112" s="77">
        <f ca="1">IFERROR(__xludf.DUMMYFUNCTION("IMPORTRANGE(""https://docs.google.com/spreadsheets/d/1C3CXT74ZlgGe6_JY_1olB1XN4rF0dxEuIIF-xsYjHgg/edit?usp=sharing"",""พรบ!J116"")"),0)</f>
        <v>0</v>
      </c>
      <c r="AA112" s="77">
        <f ca="1">IFERROR(__xludf.DUMMYFUNCTION("IMPORTRANGE(""https://docs.google.com/spreadsheets/d/1C3CXT74ZlgGe6_JY_1olB1XN4rF0dxEuIIF-xsYjHgg/edit?usp=sharing"",""พรบ!K116"")"),0)</f>
        <v>0</v>
      </c>
      <c r="AB112" s="77">
        <v>0</v>
      </c>
      <c r="AC112" s="77">
        <v>0</v>
      </c>
      <c r="AD112" s="77">
        <f ca="1">IFERROR(__xludf.DUMMYFUNCTION("IMPORTRANGE(""https://docs.google.com/spreadsheets/d/1C3CXT74ZlgGe6_JY_1olB1XN4rF0dxEuIIF-xsYjHgg/edit?usp=sharing"",""พรบ!L116"")"),0)</f>
        <v>0</v>
      </c>
    </row>
    <row r="113" spans="1:30" ht="24" hidden="1" customHeight="1">
      <c r="A113" s="113">
        <v>7</v>
      </c>
      <c r="B113" s="111" t="s">
        <v>137</v>
      </c>
      <c r="C113" s="112">
        <f t="shared" ca="1" si="0"/>
        <v>0</v>
      </c>
      <c r="D113" s="76">
        <f t="shared" ca="1" si="62"/>
        <v>0</v>
      </c>
      <c r="E113" s="77">
        <f ca="1">IFERROR(__xludf.DUMMYFUNCTION("IMPORTRANGE(""https://docs.google.com/spreadsheets/d/1C3CXT74ZlgGe6_JY_1olB1XN4rF0dxEuIIF-xsYjHgg/edit?usp=sharing"",""พรบ!P117"")"),0)</f>
        <v>0</v>
      </c>
      <c r="F113" s="77">
        <f ca="1">IFERROR(__xludf.DUMMYFUNCTION("IMPORTRANGE(""https://docs.google.com/spreadsheets/d/1C3CXT74ZlgGe6_JY_1olB1XN4rF0dxEuIIF-xsYjHgg/edit?usp=sharing"",""พรบ!Q117"")"),0)</f>
        <v>0</v>
      </c>
      <c r="G113" s="77">
        <f ca="1">IFERROR(__xludf.DUMMYFUNCTION("IMPORTRANGE(""https://docs.google.com/spreadsheets/d/1Yj_ptqi66GCucihVvJfMjLAmec39IyEx_6qawtMGysU/edit?usp=sharing"",""สบก!AP117"")"),0)</f>
        <v>0</v>
      </c>
      <c r="H113" s="77">
        <f ca="1">IFERROR(__xludf.DUMMYFUNCTION("IMPORTRANGE(""https://docs.google.com/spreadsheets/d/1Yj_ptqi66GCucihVvJfMjLAmec39IyEx_6qawtMGysU/edit?usp=sharing"",""สบก!AR117"")"),0)</f>
        <v>0</v>
      </c>
      <c r="I113" s="77">
        <f t="shared" ca="1" si="63"/>
        <v>0</v>
      </c>
      <c r="J113" s="79">
        <f t="shared" ca="1" si="64"/>
        <v>0</v>
      </c>
      <c r="K113" s="77">
        <f ca="1">IFERROR(__xludf.DUMMYFUNCTION("IMPORTRANGE(""https://docs.google.com/spreadsheets/d/1Yj_ptqi66GCucihVvJfMjLAmec39IyEx_6qawtMGysU/edit?usp=sharing"",""สบก!AJ117"")"),0)</f>
        <v>0</v>
      </c>
      <c r="L113" s="79">
        <f t="shared" ca="1" si="65"/>
        <v>0</v>
      </c>
      <c r="M113" s="79">
        <f t="shared" ca="1" si="66"/>
        <v>0</v>
      </c>
      <c r="N113" s="80">
        <f ca="1">IFERROR(__xludf.DUMMYFUNCTION("IMPORTRANGE(""https://docs.google.com/spreadsheets/d/1Yj_ptqi66GCucihVvJfMjLAmec39IyEx_6qawtMGysU/edit?usp=sharing"",""สบก!AT117"")"),0)</f>
        <v>0</v>
      </c>
      <c r="O113" s="79">
        <f t="shared" ca="1" si="67"/>
        <v>0</v>
      </c>
      <c r="P113" s="77">
        <v>0</v>
      </c>
      <c r="Q113" s="77">
        <v>0</v>
      </c>
      <c r="R113" s="77">
        <v>0</v>
      </c>
      <c r="S113" s="79">
        <f t="shared" si="68"/>
        <v>0</v>
      </c>
      <c r="T113" s="77">
        <v>0</v>
      </c>
      <c r="U113" s="79">
        <f t="shared" si="69"/>
        <v>0</v>
      </c>
      <c r="V113" s="77">
        <f ca="1">IFERROR(__xludf.DUMMYFUNCTION("IMPORTRANGE(""https://docs.google.com/spreadsheets/d/1C3CXT74ZlgGe6_JY_1olB1XN4rF0dxEuIIF-xsYjHgg/edit?usp=sharing"",""พรบ!H116"")"),0)</f>
        <v>0</v>
      </c>
      <c r="W113" s="77">
        <f ca="1">IFERROR(__xludf.DUMMYFUNCTION("IMPORTRANGE(""https://docs.google.com/spreadsheets/d/1C3CXT74ZlgGe6_JY_1olB1XN4rF0dxEuIIF-xsYjHgg/edit?usp=sharing"",""พรบ!I116"")"),0)</f>
        <v>0</v>
      </c>
      <c r="X113" s="77">
        <v>0</v>
      </c>
      <c r="Y113" s="77">
        <v>0</v>
      </c>
      <c r="Z113" s="77">
        <f ca="1">IFERROR(__xludf.DUMMYFUNCTION("IMPORTRANGE(""https://docs.google.com/spreadsheets/d/1C3CXT74ZlgGe6_JY_1olB1XN4rF0dxEuIIF-xsYjHgg/edit?usp=sharing"",""พรบ!J116"")"),0)</f>
        <v>0</v>
      </c>
      <c r="AA113" s="77">
        <f ca="1">IFERROR(__xludf.DUMMYFUNCTION("IMPORTRANGE(""https://docs.google.com/spreadsheets/d/1C3CXT74ZlgGe6_JY_1olB1XN4rF0dxEuIIF-xsYjHgg/edit?usp=sharing"",""พรบ!K116"")"),0)</f>
        <v>0</v>
      </c>
      <c r="AB113" s="77">
        <v>0</v>
      </c>
      <c r="AC113" s="77">
        <v>0</v>
      </c>
      <c r="AD113" s="77">
        <f ca="1">IFERROR(__xludf.DUMMYFUNCTION("IMPORTRANGE(""https://docs.google.com/spreadsheets/d/1C3CXT74ZlgGe6_JY_1olB1XN4rF0dxEuIIF-xsYjHgg/edit?usp=sharing"",""พรบ!L116"")"),0)</f>
        <v>0</v>
      </c>
    </row>
    <row r="114" spans="1:30" ht="24" hidden="1" customHeight="1">
      <c r="A114" s="113">
        <v>8</v>
      </c>
      <c r="B114" s="111" t="s">
        <v>138</v>
      </c>
      <c r="C114" s="112">
        <f t="shared" ca="1" si="0"/>
        <v>0</v>
      </c>
      <c r="D114" s="76">
        <f t="shared" ca="1" si="62"/>
        <v>0</v>
      </c>
      <c r="E114" s="77">
        <f ca="1">IFERROR(__xludf.DUMMYFUNCTION("IMPORTRANGE(""https://docs.google.com/spreadsheets/d/1C3CXT74ZlgGe6_JY_1olB1XN4rF0dxEuIIF-xsYjHgg/edit?usp=sharing"",""พรบ!P118"")"),0)</f>
        <v>0</v>
      </c>
      <c r="F114" s="77">
        <f ca="1">IFERROR(__xludf.DUMMYFUNCTION("IMPORTRANGE(""https://docs.google.com/spreadsheets/d/1C3CXT74ZlgGe6_JY_1olB1XN4rF0dxEuIIF-xsYjHgg/edit?usp=sharing"",""พรบ!Q118"")"),0)</f>
        <v>0</v>
      </c>
      <c r="G114" s="77">
        <f ca="1">IFERROR(__xludf.DUMMYFUNCTION("IMPORTRANGE(""https://docs.google.com/spreadsheets/d/1Yj_ptqi66GCucihVvJfMjLAmec39IyEx_6qawtMGysU/edit?usp=sharing"",""สบก!AP118"")"),0)</f>
        <v>0</v>
      </c>
      <c r="H114" s="77">
        <f ca="1">IFERROR(__xludf.DUMMYFUNCTION("IMPORTRANGE(""https://docs.google.com/spreadsheets/d/1Yj_ptqi66GCucihVvJfMjLAmec39IyEx_6qawtMGysU/edit?usp=sharing"",""สบก!AR118"")"),0)</f>
        <v>0</v>
      </c>
      <c r="I114" s="77">
        <f t="shared" ca="1" si="63"/>
        <v>0</v>
      </c>
      <c r="J114" s="79">
        <f t="shared" ca="1" si="64"/>
        <v>0</v>
      </c>
      <c r="K114" s="77">
        <f ca="1">IFERROR(__xludf.DUMMYFUNCTION("IMPORTRANGE(""https://docs.google.com/spreadsheets/d/1Yj_ptqi66GCucihVvJfMjLAmec39IyEx_6qawtMGysU/edit?usp=sharing"",""สบก!AJ118"")"),0)</f>
        <v>0</v>
      </c>
      <c r="L114" s="79">
        <f t="shared" ca="1" si="65"/>
        <v>0</v>
      </c>
      <c r="M114" s="79">
        <f t="shared" ca="1" si="66"/>
        <v>0</v>
      </c>
      <c r="N114" s="80">
        <f ca="1">IFERROR(__xludf.DUMMYFUNCTION("IMPORTRANGE(""https://docs.google.com/spreadsheets/d/1Yj_ptqi66GCucihVvJfMjLAmec39IyEx_6qawtMGysU/edit?usp=sharing"",""สบก!AT118"")"),0)</f>
        <v>0</v>
      </c>
      <c r="O114" s="79">
        <f t="shared" ca="1" si="67"/>
        <v>0</v>
      </c>
      <c r="P114" s="77">
        <v>0</v>
      </c>
      <c r="Q114" s="77">
        <v>0</v>
      </c>
      <c r="R114" s="77">
        <v>0</v>
      </c>
      <c r="S114" s="79">
        <f t="shared" si="68"/>
        <v>0</v>
      </c>
      <c r="T114" s="77">
        <v>0</v>
      </c>
      <c r="U114" s="79">
        <f t="shared" si="69"/>
        <v>0</v>
      </c>
      <c r="V114" s="77">
        <f ca="1">IFERROR(__xludf.DUMMYFUNCTION("IMPORTRANGE(""https://docs.google.com/spreadsheets/d/1C3CXT74ZlgGe6_JY_1olB1XN4rF0dxEuIIF-xsYjHgg/edit?usp=sharing"",""พรบ!H116"")"),0)</f>
        <v>0</v>
      </c>
      <c r="W114" s="77">
        <f ca="1">IFERROR(__xludf.DUMMYFUNCTION("IMPORTRANGE(""https://docs.google.com/spreadsheets/d/1C3CXT74ZlgGe6_JY_1olB1XN4rF0dxEuIIF-xsYjHgg/edit?usp=sharing"",""พรบ!I116"")"),0)</f>
        <v>0</v>
      </c>
      <c r="X114" s="77">
        <v>0</v>
      </c>
      <c r="Y114" s="77">
        <v>0</v>
      </c>
      <c r="Z114" s="77">
        <f ca="1">IFERROR(__xludf.DUMMYFUNCTION("IMPORTRANGE(""https://docs.google.com/spreadsheets/d/1C3CXT74ZlgGe6_JY_1olB1XN4rF0dxEuIIF-xsYjHgg/edit?usp=sharing"",""พรบ!J116"")"),0)</f>
        <v>0</v>
      </c>
      <c r="AA114" s="77">
        <f ca="1">IFERROR(__xludf.DUMMYFUNCTION("IMPORTRANGE(""https://docs.google.com/spreadsheets/d/1C3CXT74ZlgGe6_JY_1olB1XN4rF0dxEuIIF-xsYjHgg/edit?usp=sharing"",""พรบ!K116"")"),0)</f>
        <v>0</v>
      </c>
      <c r="AB114" s="77">
        <v>0</v>
      </c>
      <c r="AC114" s="77">
        <v>0</v>
      </c>
      <c r="AD114" s="77">
        <f ca="1">IFERROR(__xludf.DUMMYFUNCTION("IMPORTRANGE(""https://docs.google.com/spreadsheets/d/1C3CXT74ZlgGe6_JY_1olB1XN4rF0dxEuIIF-xsYjHgg/edit?usp=sharing"",""พรบ!L116"")"),0)</f>
        <v>0</v>
      </c>
    </row>
    <row r="115" spans="1:30" ht="24" hidden="1" customHeight="1">
      <c r="A115" s="113">
        <v>9</v>
      </c>
      <c r="B115" s="111" t="s">
        <v>139</v>
      </c>
      <c r="C115" s="112">
        <f t="shared" ca="1" si="0"/>
        <v>0</v>
      </c>
      <c r="D115" s="76">
        <f t="shared" ca="1" si="62"/>
        <v>0</v>
      </c>
      <c r="E115" s="77">
        <f ca="1">IFERROR(__xludf.DUMMYFUNCTION("IMPORTRANGE(""https://docs.google.com/spreadsheets/d/1C3CXT74ZlgGe6_JY_1olB1XN4rF0dxEuIIF-xsYjHgg/edit?usp=sharing"",""พรบ!P119"")"),0)</f>
        <v>0</v>
      </c>
      <c r="F115" s="77">
        <f ca="1">IFERROR(__xludf.DUMMYFUNCTION("IMPORTRANGE(""https://docs.google.com/spreadsheets/d/1C3CXT74ZlgGe6_JY_1olB1XN4rF0dxEuIIF-xsYjHgg/edit?usp=sharing"",""พรบ!Q119"")"),0)</f>
        <v>0</v>
      </c>
      <c r="G115" s="77">
        <f ca="1">IFERROR(__xludf.DUMMYFUNCTION("IMPORTRANGE(""https://docs.google.com/spreadsheets/d/1Yj_ptqi66GCucihVvJfMjLAmec39IyEx_6qawtMGysU/edit?usp=sharing"",""สบก!AP119"")"),0)</f>
        <v>0</v>
      </c>
      <c r="H115" s="77">
        <f ca="1">IFERROR(__xludf.DUMMYFUNCTION("IMPORTRANGE(""https://docs.google.com/spreadsheets/d/1Yj_ptqi66GCucihVvJfMjLAmec39IyEx_6qawtMGysU/edit?usp=sharing"",""สบก!AR119"")"),0)</f>
        <v>0</v>
      </c>
      <c r="I115" s="77">
        <f t="shared" ca="1" si="63"/>
        <v>0</v>
      </c>
      <c r="J115" s="79">
        <f t="shared" ca="1" si="64"/>
        <v>0</v>
      </c>
      <c r="K115" s="77">
        <f ca="1">IFERROR(__xludf.DUMMYFUNCTION("IMPORTRANGE(""https://docs.google.com/spreadsheets/d/1Yj_ptqi66GCucihVvJfMjLAmec39IyEx_6qawtMGysU/edit?usp=sharing"",""สบก!AJ119"")"),0)</f>
        <v>0</v>
      </c>
      <c r="L115" s="79">
        <f t="shared" ca="1" si="65"/>
        <v>0</v>
      </c>
      <c r="M115" s="79">
        <f t="shared" ca="1" si="66"/>
        <v>0</v>
      </c>
      <c r="N115" s="80">
        <f ca="1">IFERROR(__xludf.DUMMYFUNCTION("IMPORTRANGE(""https://docs.google.com/spreadsheets/d/1Yj_ptqi66GCucihVvJfMjLAmec39IyEx_6qawtMGysU/edit?usp=sharing"",""สบก!AT119"")"),0)</f>
        <v>0</v>
      </c>
      <c r="O115" s="79">
        <f t="shared" ca="1" si="67"/>
        <v>0</v>
      </c>
      <c r="P115" s="77">
        <v>0</v>
      </c>
      <c r="Q115" s="77">
        <v>0</v>
      </c>
      <c r="R115" s="77">
        <v>0</v>
      </c>
      <c r="S115" s="79">
        <f t="shared" si="68"/>
        <v>0</v>
      </c>
      <c r="T115" s="77">
        <v>0</v>
      </c>
      <c r="U115" s="79">
        <f t="shared" si="69"/>
        <v>0</v>
      </c>
      <c r="V115" s="77">
        <f ca="1">IFERROR(__xludf.DUMMYFUNCTION("IMPORTRANGE(""https://docs.google.com/spreadsheets/d/1C3CXT74ZlgGe6_JY_1olB1XN4rF0dxEuIIF-xsYjHgg/edit?usp=sharing"",""พรบ!H116"")"),0)</f>
        <v>0</v>
      </c>
      <c r="W115" s="77">
        <f ca="1">IFERROR(__xludf.DUMMYFUNCTION("IMPORTRANGE(""https://docs.google.com/spreadsheets/d/1C3CXT74ZlgGe6_JY_1olB1XN4rF0dxEuIIF-xsYjHgg/edit?usp=sharing"",""พรบ!I116"")"),0)</f>
        <v>0</v>
      </c>
      <c r="X115" s="77">
        <v>0</v>
      </c>
      <c r="Y115" s="77">
        <v>0</v>
      </c>
      <c r="Z115" s="77">
        <f ca="1">IFERROR(__xludf.DUMMYFUNCTION("IMPORTRANGE(""https://docs.google.com/spreadsheets/d/1C3CXT74ZlgGe6_JY_1olB1XN4rF0dxEuIIF-xsYjHgg/edit?usp=sharing"",""พรบ!J116"")"),0)</f>
        <v>0</v>
      </c>
      <c r="AA115" s="77">
        <f ca="1">IFERROR(__xludf.DUMMYFUNCTION("IMPORTRANGE(""https://docs.google.com/spreadsheets/d/1C3CXT74ZlgGe6_JY_1olB1XN4rF0dxEuIIF-xsYjHgg/edit?usp=sharing"",""พรบ!K116"")"),0)</f>
        <v>0</v>
      </c>
      <c r="AB115" s="77">
        <v>0</v>
      </c>
      <c r="AC115" s="77">
        <v>0</v>
      </c>
      <c r="AD115" s="77">
        <f ca="1">IFERROR(__xludf.DUMMYFUNCTION("IMPORTRANGE(""https://docs.google.com/spreadsheets/d/1C3CXT74ZlgGe6_JY_1olB1XN4rF0dxEuIIF-xsYjHgg/edit?usp=sharing"",""พรบ!L116"")"),0)</f>
        <v>0</v>
      </c>
    </row>
    <row r="116" spans="1:30" ht="24" hidden="1" customHeight="1">
      <c r="A116" s="113">
        <v>10</v>
      </c>
      <c r="B116" s="111" t="s">
        <v>140</v>
      </c>
      <c r="C116" s="112">
        <f t="shared" ca="1" si="0"/>
        <v>0</v>
      </c>
      <c r="D116" s="76">
        <f t="shared" ca="1" si="62"/>
        <v>0</v>
      </c>
      <c r="E116" s="77">
        <f ca="1">IFERROR(__xludf.DUMMYFUNCTION("IMPORTRANGE(""https://docs.google.com/spreadsheets/d/1C3CXT74ZlgGe6_JY_1olB1XN4rF0dxEuIIF-xsYjHgg/edit?usp=sharing"",""พรบ!P120"")"),0)</f>
        <v>0</v>
      </c>
      <c r="F116" s="77">
        <f ca="1">IFERROR(__xludf.DUMMYFUNCTION("IMPORTRANGE(""https://docs.google.com/spreadsheets/d/1C3CXT74ZlgGe6_JY_1olB1XN4rF0dxEuIIF-xsYjHgg/edit?usp=sharing"",""พรบ!Q120"")"),0)</f>
        <v>0</v>
      </c>
      <c r="G116" s="77">
        <f ca="1">IFERROR(__xludf.DUMMYFUNCTION("IMPORTRANGE(""https://docs.google.com/spreadsheets/d/1Yj_ptqi66GCucihVvJfMjLAmec39IyEx_6qawtMGysU/edit?usp=sharing"",""สบก!AP120"")"),0)</f>
        <v>0</v>
      </c>
      <c r="H116" s="77">
        <f ca="1">IFERROR(__xludf.DUMMYFUNCTION("IMPORTRANGE(""https://docs.google.com/spreadsheets/d/1Yj_ptqi66GCucihVvJfMjLAmec39IyEx_6qawtMGysU/edit?usp=sharing"",""สบก!AR120"")"),0)</f>
        <v>0</v>
      </c>
      <c r="I116" s="77">
        <f t="shared" ca="1" si="63"/>
        <v>0</v>
      </c>
      <c r="J116" s="79">
        <f t="shared" ca="1" si="64"/>
        <v>0</v>
      </c>
      <c r="K116" s="77">
        <f ca="1">IFERROR(__xludf.DUMMYFUNCTION("IMPORTRANGE(""https://docs.google.com/spreadsheets/d/1Yj_ptqi66GCucihVvJfMjLAmec39IyEx_6qawtMGysU/edit?usp=sharing"",""สบก!AJ120"")"),0)</f>
        <v>0</v>
      </c>
      <c r="L116" s="79">
        <f t="shared" ca="1" si="65"/>
        <v>0</v>
      </c>
      <c r="M116" s="79">
        <f t="shared" ca="1" si="66"/>
        <v>0</v>
      </c>
      <c r="N116" s="80">
        <f ca="1">IFERROR(__xludf.DUMMYFUNCTION("IMPORTRANGE(""https://docs.google.com/spreadsheets/d/1Yj_ptqi66GCucihVvJfMjLAmec39IyEx_6qawtMGysU/edit?usp=sharing"",""สบก!AT120"")"),0)</f>
        <v>0</v>
      </c>
      <c r="O116" s="79">
        <f t="shared" ca="1" si="67"/>
        <v>0</v>
      </c>
      <c r="P116" s="77">
        <v>0</v>
      </c>
      <c r="Q116" s="77">
        <v>0</v>
      </c>
      <c r="R116" s="77">
        <v>0</v>
      </c>
      <c r="S116" s="79">
        <f t="shared" si="68"/>
        <v>0</v>
      </c>
      <c r="T116" s="77">
        <v>0</v>
      </c>
      <c r="U116" s="79">
        <f t="shared" si="69"/>
        <v>0</v>
      </c>
      <c r="V116" s="77">
        <f ca="1">IFERROR(__xludf.DUMMYFUNCTION("IMPORTRANGE(""https://docs.google.com/spreadsheets/d/1C3CXT74ZlgGe6_JY_1olB1XN4rF0dxEuIIF-xsYjHgg/edit?usp=sharing"",""พรบ!H116"")"),0)</f>
        <v>0</v>
      </c>
      <c r="W116" s="77">
        <f ca="1">IFERROR(__xludf.DUMMYFUNCTION("IMPORTRANGE(""https://docs.google.com/spreadsheets/d/1C3CXT74ZlgGe6_JY_1olB1XN4rF0dxEuIIF-xsYjHgg/edit?usp=sharing"",""พรบ!I116"")"),0)</f>
        <v>0</v>
      </c>
      <c r="X116" s="77">
        <v>0</v>
      </c>
      <c r="Y116" s="77">
        <v>0</v>
      </c>
      <c r="Z116" s="77">
        <f ca="1">IFERROR(__xludf.DUMMYFUNCTION("IMPORTRANGE(""https://docs.google.com/spreadsheets/d/1C3CXT74ZlgGe6_JY_1olB1XN4rF0dxEuIIF-xsYjHgg/edit?usp=sharing"",""พรบ!J116"")"),0)</f>
        <v>0</v>
      </c>
      <c r="AA116" s="77">
        <f ca="1">IFERROR(__xludf.DUMMYFUNCTION("IMPORTRANGE(""https://docs.google.com/spreadsheets/d/1C3CXT74ZlgGe6_JY_1olB1XN4rF0dxEuIIF-xsYjHgg/edit?usp=sharing"",""พรบ!K116"")"),0)</f>
        <v>0</v>
      </c>
      <c r="AB116" s="77">
        <v>0</v>
      </c>
      <c r="AC116" s="77">
        <v>0</v>
      </c>
      <c r="AD116" s="77">
        <f ca="1">IFERROR(__xludf.DUMMYFUNCTION("IMPORTRANGE(""https://docs.google.com/spreadsheets/d/1C3CXT74ZlgGe6_JY_1olB1XN4rF0dxEuIIF-xsYjHgg/edit?usp=sharing"",""พรบ!L116"")"),0)</f>
        <v>0</v>
      </c>
    </row>
    <row r="117" spans="1:30" ht="24" hidden="1" customHeight="1">
      <c r="A117" s="113">
        <v>11</v>
      </c>
      <c r="B117" s="111" t="s">
        <v>141</v>
      </c>
      <c r="C117" s="112">
        <f t="shared" ca="1" si="0"/>
        <v>0</v>
      </c>
      <c r="D117" s="76">
        <f t="shared" ca="1" si="62"/>
        <v>0</v>
      </c>
      <c r="E117" s="77">
        <f ca="1">IFERROR(__xludf.DUMMYFUNCTION("IMPORTRANGE(""https://docs.google.com/spreadsheets/d/1C3CXT74ZlgGe6_JY_1olB1XN4rF0dxEuIIF-xsYjHgg/edit?usp=sharing"",""พรบ!P121"")"),0)</f>
        <v>0</v>
      </c>
      <c r="F117" s="77">
        <f ca="1">IFERROR(__xludf.DUMMYFUNCTION("IMPORTRANGE(""https://docs.google.com/spreadsheets/d/1C3CXT74ZlgGe6_JY_1olB1XN4rF0dxEuIIF-xsYjHgg/edit?usp=sharing"",""พรบ!Q121"")"),0)</f>
        <v>0</v>
      </c>
      <c r="G117" s="77">
        <f ca="1">IFERROR(__xludf.DUMMYFUNCTION("IMPORTRANGE(""https://docs.google.com/spreadsheets/d/1Yj_ptqi66GCucihVvJfMjLAmec39IyEx_6qawtMGysU/edit?usp=sharing"",""สบก!AP121"")"),0)</f>
        <v>0</v>
      </c>
      <c r="H117" s="77">
        <f ca="1">IFERROR(__xludf.DUMMYFUNCTION("IMPORTRANGE(""https://docs.google.com/spreadsheets/d/1Yj_ptqi66GCucihVvJfMjLAmec39IyEx_6qawtMGysU/edit?usp=sharing"",""สบก!AR121"")"),0)</f>
        <v>0</v>
      </c>
      <c r="I117" s="77">
        <f t="shared" ca="1" si="63"/>
        <v>0</v>
      </c>
      <c r="J117" s="79">
        <f t="shared" ca="1" si="64"/>
        <v>0</v>
      </c>
      <c r="K117" s="77">
        <f ca="1">IFERROR(__xludf.DUMMYFUNCTION("IMPORTRANGE(""https://docs.google.com/spreadsheets/d/1Yj_ptqi66GCucihVvJfMjLAmec39IyEx_6qawtMGysU/edit?usp=sharing"",""สบก!AJ121"")"),0)</f>
        <v>0</v>
      </c>
      <c r="L117" s="79">
        <f t="shared" ca="1" si="65"/>
        <v>0</v>
      </c>
      <c r="M117" s="79">
        <f t="shared" ca="1" si="66"/>
        <v>0</v>
      </c>
      <c r="N117" s="80">
        <f ca="1">IFERROR(__xludf.DUMMYFUNCTION("IMPORTRANGE(""https://docs.google.com/spreadsheets/d/1Yj_ptqi66GCucihVvJfMjLAmec39IyEx_6qawtMGysU/edit?usp=sharing"",""สบก!AT121"")"),0)</f>
        <v>0</v>
      </c>
      <c r="O117" s="79">
        <f t="shared" ca="1" si="67"/>
        <v>0</v>
      </c>
      <c r="P117" s="77">
        <v>0</v>
      </c>
      <c r="Q117" s="77">
        <v>0</v>
      </c>
      <c r="R117" s="77">
        <v>0</v>
      </c>
      <c r="S117" s="79">
        <f t="shared" si="68"/>
        <v>0</v>
      </c>
      <c r="T117" s="77">
        <v>0</v>
      </c>
      <c r="U117" s="79">
        <f t="shared" si="69"/>
        <v>0</v>
      </c>
      <c r="V117" s="77">
        <f ca="1">IFERROR(__xludf.DUMMYFUNCTION("IMPORTRANGE(""https://docs.google.com/spreadsheets/d/1C3CXT74ZlgGe6_JY_1olB1XN4rF0dxEuIIF-xsYjHgg/edit?usp=sharing"",""พรบ!H116"")"),0)</f>
        <v>0</v>
      </c>
      <c r="W117" s="77">
        <f ca="1">IFERROR(__xludf.DUMMYFUNCTION("IMPORTRANGE(""https://docs.google.com/spreadsheets/d/1C3CXT74ZlgGe6_JY_1olB1XN4rF0dxEuIIF-xsYjHgg/edit?usp=sharing"",""พรบ!I116"")"),0)</f>
        <v>0</v>
      </c>
      <c r="X117" s="77">
        <v>0</v>
      </c>
      <c r="Y117" s="77">
        <v>0</v>
      </c>
      <c r="Z117" s="77">
        <f ca="1">IFERROR(__xludf.DUMMYFUNCTION("IMPORTRANGE(""https://docs.google.com/spreadsheets/d/1C3CXT74ZlgGe6_JY_1olB1XN4rF0dxEuIIF-xsYjHgg/edit?usp=sharing"",""พรบ!J116"")"),0)</f>
        <v>0</v>
      </c>
      <c r="AA117" s="77">
        <f ca="1">IFERROR(__xludf.DUMMYFUNCTION("IMPORTRANGE(""https://docs.google.com/spreadsheets/d/1C3CXT74ZlgGe6_JY_1olB1XN4rF0dxEuIIF-xsYjHgg/edit?usp=sharing"",""พรบ!K116"")"),0)</f>
        <v>0</v>
      </c>
      <c r="AB117" s="77">
        <v>0</v>
      </c>
      <c r="AC117" s="77">
        <v>0</v>
      </c>
      <c r="AD117" s="77">
        <f ca="1">IFERROR(__xludf.DUMMYFUNCTION("IMPORTRANGE(""https://docs.google.com/spreadsheets/d/1C3CXT74ZlgGe6_JY_1olB1XN4rF0dxEuIIF-xsYjHgg/edit?usp=sharing"",""พรบ!L116"")"),0)</f>
        <v>0</v>
      </c>
    </row>
    <row r="118" spans="1:30" ht="24" hidden="1" customHeight="1">
      <c r="A118" s="113">
        <v>12</v>
      </c>
      <c r="B118" s="111" t="s">
        <v>142</v>
      </c>
      <c r="C118" s="112">
        <f t="shared" ca="1" si="0"/>
        <v>0</v>
      </c>
      <c r="D118" s="76">
        <f t="shared" ca="1" si="62"/>
        <v>0</v>
      </c>
      <c r="E118" s="77">
        <f ca="1">IFERROR(__xludf.DUMMYFUNCTION("IMPORTRANGE(""https://docs.google.com/spreadsheets/d/1C3CXT74ZlgGe6_JY_1olB1XN4rF0dxEuIIF-xsYjHgg/edit?usp=sharing"",""พรบ!P122"")"),0)</f>
        <v>0</v>
      </c>
      <c r="F118" s="77">
        <f ca="1">IFERROR(__xludf.DUMMYFUNCTION("IMPORTRANGE(""https://docs.google.com/spreadsheets/d/1C3CXT74ZlgGe6_JY_1olB1XN4rF0dxEuIIF-xsYjHgg/edit?usp=sharing"",""พรบ!Q122"")"),0)</f>
        <v>0</v>
      </c>
      <c r="G118" s="77">
        <f ca="1">IFERROR(__xludf.DUMMYFUNCTION("IMPORTRANGE(""https://docs.google.com/spreadsheets/d/1Yj_ptqi66GCucihVvJfMjLAmec39IyEx_6qawtMGysU/edit?usp=sharing"",""สบก!AP122"")"),0)</f>
        <v>0</v>
      </c>
      <c r="H118" s="77">
        <f ca="1">IFERROR(__xludf.DUMMYFUNCTION("IMPORTRANGE(""https://docs.google.com/spreadsheets/d/1Yj_ptqi66GCucihVvJfMjLAmec39IyEx_6qawtMGysU/edit?usp=sharing"",""สบก!AR122"")"),0)</f>
        <v>0</v>
      </c>
      <c r="I118" s="77">
        <f t="shared" ca="1" si="63"/>
        <v>0</v>
      </c>
      <c r="J118" s="79">
        <f t="shared" ca="1" si="64"/>
        <v>0</v>
      </c>
      <c r="K118" s="77">
        <f ca="1">IFERROR(__xludf.DUMMYFUNCTION("IMPORTRANGE(""https://docs.google.com/spreadsheets/d/1Yj_ptqi66GCucihVvJfMjLAmec39IyEx_6qawtMGysU/edit?usp=sharing"",""สบก!AJ122"")"),0)</f>
        <v>0</v>
      </c>
      <c r="L118" s="79">
        <f t="shared" ca="1" si="65"/>
        <v>0</v>
      </c>
      <c r="M118" s="79">
        <f t="shared" ca="1" si="66"/>
        <v>0</v>
      </c>
      <c r="N118" s="80">
        <f ca="1">IFERROR(__xludf.DUMMYFUNCTION("IMPORTRANGE(""https://docs.google.com/spreadsheets/d/1Yj_ptqi66GCucihVvJfMjLAmec39IyEx_6qawtMGysU/edit?usp=sharing"",""สบก!AT122"")"),0)</f>
        <v>0</v>
      </c>
      <c r="O118" s="79">
        <f t="shared" ca="1" si="67"/>
        <v>0</v>
      </c>
      <c r="P118" s="77">
        <v>0</v>
      </c>
      <c r="Q118" s="77">
        <v>0</v>
      </c>
      <c r="R118" s="77">
        <v>0</v>
      </c>
      <c r="S118" s="79">
        <f t="shared" si="68"/>
        <v>0</v>
      </c>
      <c r="T118" s="77">
        <v>0</v>
      </c>
      <c r="U118" s="79">
        <f t="shared" si="69"/>
        <v>0</v>
      </c>
      <c r="V118" s="77">
        <f ca="1">IFERROR(__xludf.DUMMYFUNCTION("IMPORTRANGE(""https://docs.google.com/spreadsheets/d/1C3CXT74ZlgGe6_JY_1olB1XN4rF0dxEuIIF-xsYjHgg/edit?usp=sharing"",""พรบ!H116"")"),0)</f>
        <v>0</v>
      </c>
      <c r="W118" s="77">
        <f ca="1">IFERROR(__xludf.DUMMYFUNCTION("IMPORTRANGE(""https://docs.google.com/spreadsheets/d/1C3CXT74ZlgGe6_JY_1olB1XN4rF0dxEuIIF-xsYjHgg/edit?usp=sharing"",""พรบ!I116"")"),0)</f>
        <v>0</v>
      </c>
      <c r="X118" s="77">
        <v>0</v>
      </c>
      <c r="Y118" s="77">
        <v>0</v>
      </c>
      <c r="Z118" s="77">
        <f ca="1">IFERROR(__xludf.DUMMYFUNCTION("IMPORTRANGE(""https://docs.google.com/spreadsheets/d/1C3CXT74ZlgGe6_JY_1olB1XN4rF0dxEuIIF-xsYjHgg/edit?usp=sharing"",""พรบ!J116"")"),0)</f>
        <v>0</v>
      </c>
      <c r="AA118" s="77">
        <f ca="1">IFERROR(__xludf.DUMMYFUNCTION("IMPORTRANGE(""https://docs.google.com/spreadsheets/d/1C3CXT74ZlgGe6_JY_1olB1XN4rF0dxEuIIF-xsYjHgg/edit?usp=sharing"",""พรบ!K116"")"),0)</f>
        <v>0</v>
      </c>
      <c r="AB118" s="77">
        <v>0</v>
      </c>
      <c r="AC118" s="77">
        <v>0</v>
      </c>
      <c r="AD118" s="77">
        <f ca="1">IFERROR(__xludf.DUMMYFUNCTION("IMPORTRANGE(""https://docs.google.com/spreadsheets/d/1C3CXT74ZlgGe6_JY_1olB1XN4rF0dxEuIIF-xsYjHgg/edit?usp=sharing"",""พรบ!L116"")"),0)</f>
        <v>0</v>
      </c>
    </row>
    <row r="119" spans="1:30" ht="24" hidden="1" customHeight="1">
      <c r="A119" s="113">
        <v>13</v>
      </c>
      <c r="B119" s="111" t="s">
        <v>143</v>
      </c>
      <c r="C119" s="112">
        <f t="shared" ca="1" si="0"/>
        <v>0</v>
      </c>
      <c r="D119" s="76">
        <f t="shared" ca="1" si="62"/>
        <v>0</v>
      </c>
      <c r="E119" s="77">
        <f ca="1">IFERROR(__xludf.DUMMYFUNCTION("IMPORTRANGE(""https://docs.google.com/spreadsheets/d/1C3CXT74ZlgGe6_JY_1olB1XN4rF0dxEuIIF-xsYjHgg/edit?usp=sharing"",""พรบ!P123"")"),0)</f>
        <v>0</v>
      </c>
      <c r="F119" s="77">
        <f ca="1">IFERROR(__xludf.DUMMYFUNCTION("IMPORTRANGE(""https://docs.google.com/spreadsheets/d/1C3CXT74ZlgGe6_JY_1olB1XN4rF0dxEuIIF-xsYjHgg/edit?usp=sharing"",""พรบ!Q123"")"),0)</f>
        <v>0</v>
      </c>
      <c r="G119" s="77">
        <f ca="1">IFERROR(__xludf.DUMMYFUNCTION("IMPORTRANGE(""https://docs.google.com/spreadsheets/d/1Yj_ptqi66GCucihVvJfMjLAmec39IyEx_6qawtMGysU/edit?usp=sharing"",""สบก!AP123"")"),0)</f>
        <v>0</v>
      </c>
      <c r="H119" s="77">
        <f ca="1">IFERROR(__xludf.DUMMYFUNCTION("IMPORTRANGE(""https://docs.google.com/spreadsheets/d/1Yj_ptqi66GCucihVvJfMjLAmec39IyEx_6qawtMGysU/edit?usp=sharing"",""สบก!AR123"")"),0)</f>
        <v>0</v>
      </c>
      <c r="I119" s="77">
        <f t="shared" ca="1" si="63"/>
        <v>0</v>
      </c>
      <c r="J119" s="79">
        <f t="shared" ca="1" si="64"/>
        <v>0</v>
      </c>
      <c r="K119" s="77">
        <f ca="1">IFERROR(__xludf.DUMMYFUNCTION("IMPORTRANGE(""https://docs.google.com/spreadsheets/d/1Yj_ptqi66GCucihVvJfMjLAmec39IyEx_6qawtMGysU/edit?usp=sharing"",""สบก!AJ123"")"),0)</f>
        <v>0</v>
      </c>
      <c r="L119" s="79">
        <f t="shared" ca="1" si="65"/>
        <v>0</v>
      </c>
      <c r="M119" s="79">
        <f t="shared" ca="1" si="66"/>
        <v>0</v>
      </c>
      <c r="N119" s="80">
        <f ca="1">IFERROR(__xludf.DUMMYFUNCTION("IMPORTRANGE(""https://docs.google.com/spreadsheets/d/1Yj_ptqi66GCucihVvJfMjLAmec39IyEx_6qawtMGysU/edit?usp=sharing"",""สบก!AT123"")"),0)</f>
        <v>0</v>
      </c>
      <c r="O119" s="79">
        <f t="shared" ca="1" si="67"/>
        <v>0</v>
      </c>
      <c r="P119" s="77">
        <v>0</v>
      </c>
      <c r="Q119" s="77">
        <v>0</v>
      </c>
      <c r="R119" s="77">
        <v>0</v>
      </c>
      <c r="S119" s="79">
        <f t="shared" si="68"/>
        <v>0</v>
      </c>
      <c r="T119" s="77">
        <v>0</v>
      </c>
      <c r="U119" s="79">
        <f t="shared" si="69"/>
        <v>0</v>
      </c>
      <c r="V119" s="77">
        <f ca="1">IFERROR(__xludf.DUMMYFUNCTION("IMPORTRANGE(""https://docs.google.com/spreadsheets/d/1C3CXT74ZlgGe6_JY_1olB1XN4rF0dxEuIIF-xsYjHgg/edit?usp=sharing"",""พรบ!H116"")"),0)</f>
        <v>0</v>
      </c>
      <c r="W119" s="77">
        <f ca="1">IFERROR(__xludf.DUMMYFUNCTION("IMPORTRANGE(""https://docs.google.com/spreadsheets/d/1C3CXT74ZlgGe6_JY_1olB1XN4rF0dxEuIIF-xsYjHgg/edit?usp=sharing"",""พรบ!I116"")"),0)</f>
        <v>0</v>
      </c>
      <c r="X119" s="77">
        <v>0</v>
      </c>
      <c r="Y119" s="77">
        <v>0</v>
      </c>
      <c r="Z119" s="77">
        <f ca="1">IFERROR(__xludf.DUMMYFUNCTION("IMPORTRANGE(""https://docs.google.com/spreadsheets/d/1C3CXT74ZlgGe6_JY_1olB1XN4rF0dxEuIIF-xsYjHgg/edit?usp=sharing"",""พรบ!J116"")"),0)</f>
        <v>0</v>
      </c>
      <c r="AA119" s="77">
        <f ca="1">IFERROR(__xludf.DUMMYFUNCTION("IMPORTRANGE(""https://docs.google.com/spreadsheets/d/1C3CXT74ZlgGe6_JY_1olB1XN4rF0dxEuIIF-xsYjHgg/edit?usp=sharing"",""พรบ!K116"")"),0)</f>
        <v>0</v>
      </c>
      <c r="AB119" s="77">
        <v>0</v>
      </c>
      <c r="AC119" s="77">
        <v>0</v>
      </c>
      <c r="AD119" s="77">
        <f ca="1">IFERROR(__xludf.DUMMYFUNCTION("IMPORTRANGE(""https://docs.google.com/spreadsheets/d/1C3CXT74ZlgGe6_JY_1olB1XN4rF0dxEuIIF-xsYjHgg/edit?usp=sharing"",""พรบ!L116"")"),0)</f>
        <v>0</v>
      </c>
    </row>
    <row r="120" spans="1:30" ht="24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117"/>
      <c r="M120" s="117"/>
      <c r="N120" s="117"/>
      <c r="O120" s="117"/>
      <c r="P120" s="2"/>
      <c r="Q120" s="2"/>
      <c r="R120" s="4"/>
      <c r="S120" s="2"/>
      <c r="T120" s="2"/>
      <c r="U120" s="4"/>
      <c r="V120" s="2"/>
      <c r="W120" s="4"/>
      <c r="X120" s="2"/>
      <c r="Y120" s="4"/>
      <c r="Z120" s="2"/>
      <c r="AA120" s="117"/>
      <c r="AB120" s="2"/>
      <c r="AC120" s="2"/>
      <c r="AD120" s="2"/>
    </row>
    <row r="121" spans="1:30" ht="24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117"/>
      <c r="M121" s="117"/>
      <c r="N121" s="117"/>
      <c r="O121" s="117"/>
      <c r="P121" s="2"/>
      <c r="Q121" s="2"/>
      <c r="R121" s="4"/>
      <c r="S121" s="2"/>
      <c r="T121" s="2"/>
      <c r="U121" s="4"/>
      <c r="V121" s="2"/>
      <c r="W121" s="4"/>
      <c r="X121" s="2"/>
      <c r="Y121" s="4"/>
      <c r="Z121" s="2"/>
      <c r="AA121" s="117"/>
      <c r="AB121" s="2"/>
      <c r="AC121" s="2"/>
      <c r="AD121" s="2"/>
    </row>
    <row r="122" spans="1:30" ht="24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117"/>
      <c r="M122" s="117"/>
      <c r="N122" s="117"/>
      <c r="O122" s="117"/>
      <c r="P122" s="2"/>
      <c r="Q122" s="2"/>
      <c r="R122" s="4"/>
      <c r="S122" s="2"/>
      <c r="T122" s="2"/>
      <c r="U122" s="4"/>
      <c r="V122" s="2"/>
      <c r="W122" s="4"/>
      <c r="X122" s="2"/>
      <c r="Y122" s="4"/>
      <c r="Z122" s="2"/>
      <c r="AA122" s="117"/>
      <c r="AB122" s="2"/>
      <c r="AC122" s="2"/>
      <c r="AD122" s="2"/>
    </row>
    <row r="123" spans="1:30" ht="24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117"/>
      <c r="M123" s="117"/>
      <c r="N123" s="117"/>
      <c r="O123" s="117"/>
      <c r="P123" s="2"/>
      <c r="Q123" s="2"/>
      <c r="R123" s="4"/>
      <c r="S123" s="2"/>
      <c r="T123" s="2"/>
      <c r="U123" s="4"/>
      <c r="V123" s="2"/>
      <c r="W123" s="4"/>
      <c r="X123" s="2"/>
      <c r="Y123" s="4"/>
      <c r="Z123" s="2"/>
      <c r="AA123" s="117"/>
      <c r="AB123" s="2"/>
      <c r="AC123" s="2"/>
      <c r="AD123" s="2"/>
    </row>
    <row r="124" spans="1:30" ht="24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117"/>
      <c r="M124" s="117"/>
      <c r="N124" s="117"/>
      <c r="O124" s="117"/>
      <c r="P124" s="2"/>
      <c r="Q124" s="2"/>
      <c r="R124" s="4"/>
      <c r="S124" s="2"/>
      <c r="T124" s="2"/>
      <c r="U124" s="4"/>
      <c r="V124" s="2"/>
      <c r="W124" s="4"/>
      <c r="X124" s="2"/>
      <c r="Y124" s="4"/>
      <c r="Z124" s="2"/>
      <c r="AA124" s="117"/>
      <c r="AB124" s="2"/>
      <c r="AC124" s="2"/>
      <c r="AD124" s="2"/>
    </row>
    <row r="125" spans="1:30" ht="24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117"/>
      <c r="M125" s="117"/>
      <c r="N125" s="117"/>
      <c r="O125" s="117"/>
      <c r="P125" s="2"/>
      <c r="Q125" s="2"/>
      <c r="R125" s="4"/>
      <c r="S125" s="2"/>
      <c r="T125" s="2"/>
      <c r="U125" s="4"/>
      <c r="V125" s="2"/>
      <c r="W125" s="4"/>
      <c r="X125" s="2"/>
      <c r="Y125" s="4"/>
      <c r="Z125" s="2"/>
      <c r="AA125" s="117"/>
      <c r="AB125" s="2"/>
      <c r="AC125" s="2"/>
      <c r="AD125" s="2"/>
    </row>
    <row r="126" spans="1:30" ht="24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117"/>
      <c r="M126" s="117"/>
      <c r="N126" s="117"/>
      <c r="O126" s="117"/>
      <c r="P126" s="2"/>
      <c r="Q126" s="2"/>
      <c r="R126" s="4"/>
      <c r="S126" s="2"/>
      <c r="T126" s="2"/>
      <c r="U126" s="4"/>
      <c r="V126" s="2"/>
      <c r="W126" s="4"/>
      <c r="X126" s="2"/>
      <c r="Y126" s="4"/>
      <c r="Z126" s="2"/>
      <c r="AA126" s="117"/>
      <c r="AB126" s="2"/>
      <c r="AC126" s="2"/>
      <c r="AD126" s="2"/>
    </row>
    <row r="127" spans="1:30" ht="24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117"/>
      <c r="M127" s="117"/>
      <c r="N127" s="117"/>
      <c r="O127" s="117"/>
      <c r="P127" s="2"/>
      <c r="Q127" s="2"/>
      <c r="R127" s="4"/>
      <c r="S127" s="2"/>
      <c r="T127" s="2"/>
      <c r="U127" s="4"/>
      <c r="V127" s="2"/>
      <c r="W127" s="4"/>
      <c r="X127" s="2"/>
      <c r="Y127" s="4"/>
      <c r="Z127" s="2"/>
      <c r="AA127" s="117"/>
      <c r="AB127" s="2"/>
      <c r="AC127" s="2"/>
      <c r="AD127" s="2"/>
    </row>
    <row r="128" spans="1:30" ht="24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117"/>
      <c r="M128" s="117"/>
      <c r="N128" s="117"/>
      <c r="O128" s="117"/>
      <c r="P128" s="2"/>
      <c r="Q128" s="2"/>
      <c r="R128" s="4"/>
      <c r="S128" s="2"/>
      <c r="T128" s="2"/>
      <c r="U128" s="4"/>
      <c r="V128" s="2"/>
      <c r="W128" s="4"/>
      <c r="X128" s="2"/>
      <c r="Y128" s="4"/>
      <c r="Z128" s="2"/>
      <c r="AA128" s="117"/>
      <c r="AB128" s="2"/>
      <c r="AC128" s="2"/>
      <c r="AD128" s="2"/>
    </row>
    <row r="129" spans="1:30" ht="24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117"/>
      <c r="M129" s="117"/>
      <c r="N129" s="117"/>
      <c r="O129" s="117"/>
      <c r="P129" s="2"/>
      <c r="Q129" s="2"/>
      <c r="R129" s="4"/>
      <c r="S129" s="2"/>
      <c r="T129" s="2"/>
      <c r="U129" s="4"/>
      <c r="V129" s="2"/>
      <c r="W129" s="4"/>
      <c r="X129" s="2"/>
      <c r="Y129" s="4"/>
      <c r="Z129" s="2"/>
      <c r="AA129" s="117"/>
      <c r="AB129" s="2"/>
      <c r="AC129" s="2"/>
      <c r="AD129" s="2"/>
    </row>
    <row r="130" spans="1:30" ht="24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117"/>
      <c r="M130" s="117"/>
      <c r="N130" s="117"/>
      <c r="O130" s="117"/>
      <c r="P130" s="2"/>
      <c r="Q130" s="2"/>
      <c r="R130" s="4"/>
      <c r="S130" s="2"/>
      <c r="T130" s="2"/>
      <c r="U130" s="4"/>
      <c r="V130" s="2"/>
      <c r="W130" s="4"/>
      <c r="X130" s="2"/>
      <c r="Y130" s="4"/>
      <c r="Z130" s="2"/>
      <c r="AA130" s="117"/>
      <c r="AB130" s="2"/>
      <c r="AC130" s="2"/>
      <c r="AD130" s="2"/>
    </row>
    <row r="131" spans="1:30" ht="24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117"/>
      <c r="M131" s="117"/>
      <c r="N131" s="117"/>
      <c r="O131" s="117"/>
      <c r="P131" s="2"/>
      <c r="Q131" s="2"/>
      <c r="R131" s="4"/>
      <c r="S131" s="2"/>
      <c r="T131" s="2"/>
      <c r="U131" s="4"/>
      <c r="V131" s="2"/>
      <c r="W131" s="4"/>
      <c r="X131" s="2"/>
      <c r="Y131" s="4"/>
      <c r="Z131" s="2"/>
      <c r="AA131" s="117"/>
      <c r="AB131" s="2"/>
      <c r="AC131" s="2"/>
      <c r="AD131" s="2"/>
    </row>
    <row r="132" spans="1:30" ht="24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117"/>
      <c r="M132" s="117"/>
      <c r="N132" s="117"/>
      <c r="O132" s="117"/>
      <c r="P132" s="2"/>
      <c r="Q132" s="2"/>
      <c r="R132" s="4"/>
      <c r="S132" s="2"/>
      <c r="T132" s="2"/>
      <c r="U132" s="4"/>
      <c r="V132" s="2"/>
      <c r="W132" s="4"/>
      <c r="X132" s="2"/>
      <c r="Y132" s="4"/>
      <c r="Z132" s="2"/>
      <c r="AA132" s="117"/>
      <c r="AB132" s="2"/>
      <c r="AC132" s="2"/>
      <c r="AD132" s="2"/>
    </row>
    <row r="133" spans="1:30" ht="24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117"/>
      <c r="M133" s="117"/>
      <c r="N133" s="117"/>
      <c r="O133" s="117"/>
      <c r="P133" s="2"/>
      <c r="Q133" s="2"/>
      <c r="R133" s="4"/>
      <c r="S133" s="2"/>
      <c r="T133" s="2"/>
      <c r="U133" s="4"/>
      <c r="V133" s="2"/>
      <c r="W133" s="4"/>
      <c r="X133" s="2"/>
      <c r="Y133" s="4"/>
      <c r="Z133" s="2"/>
      <c r="AA133" s="117"/>
      <c r="AB133" s="2"/>
      <c r="AC133" s="2"/>
      <c r="AD133" s="2"/>
    </row>
    <row r="134" spans="1:30" ht="24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117"/>
      <c r="M134" s="117"/>
      <c r="N134" s="117"/>
      <c r="O134" s="117"/>
      <c r="P134" s="2"/>
      <c r="Q134" s="2"/>
      <c r="R134" s="4"/>
      <c r="S134" s="2"/>
      <c r="T134" s="2"/>
      <c r="U134" s="4"/>
      <c r="V134" s="2"/>
      <c r="W134" s="4"/>
      <c r="X134" s="2"/>
      <c r="Y134" s="4"/>
      <c r="Z134" s="2"/>
      <c r="AA134" s="117"/>
      <c r="AB134" s="2"/>
      <c r="AC134" s="2"/>
      <c r="AD134" s="2"/>
    </row>
    <row r="135" spans="1:30" ht="24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117"/>
      <c r="M135" s="117"/>
      <c r="N135" s="117"/>
      <c r="O135" s="117"/>
      <c r="P135" s="2"/>
      <c r="Q135" s="2"/>
      <c r="R135" s="4"/>
      <c r="S135" s="2"/>
      <c r="T135" s="2"/>
      <c r="U135" s="4"/>
      <c r="V135" s="2"/>
      <c r="W135" s="4"/>
      <c r="X135" s="2"/>
      <c r="Y135" s="4"/>
      <c r="Z135" s="2"/>
      <c r="AA135" s="117"/>
      <c r="AB135" s="2"/>
      <c r="AC135" s="2"/>
      <c r="AD135" s="2"/>
    </row>
    <row r="136" spans="1:30" ht="24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117"/>
      <c r="M136" s="117"/>
      <c r="N136" s="117"/>
      <c r="O136" s="117"/>
      <c r="P136" s="2"/>
      <c r="Q136" s="2"/>
      <c r="R136" s="4"/>
      <c r="S136" s="2"/>
      <c r="T136" s="2"/>
      <c r="U136" s="4"/>
      <c r="V136" s="2"/>
      <c r="W136" s="4"/>
      <c r="X136" s="2"/>
      <c r="Y136" s="4"/>
      <c r="Z136" s="2"/>
      <c r="AA136" s="117"/>
      <c r="AB136" s="2"/>
      <c r="AC136" s="2"/>
      <c r="AD136" s="2"/>
    </row>
    <row r="137" spans="1:30" ht="24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117"/>
      <c r="M137" s="117"/>
      <c r="N137" s="117"/>
      <c r="O137" s="117"/>
      <c r="P137" s="2"/>
      <c r="Q137" s="2"/>
      <c r="R137" s="4"/>
      <c r="S137" s="2"/>
      <c r="T137" s="2"/>
      <c r="U137" s="4"/>
      <c r="V137" s="2"/>
      <c r="W137" s="4"/>
      <c r="X137" s="2"/>
      <c r="Y137" s="4"/>
      <c r="Z137" s="2"/>
      <c r="AA137" s="117"/>
      <c r="AB137" s="2"/>
      <c r="AC137" s="2"/>
      <c r="AD137" s="2"/>
    </row>
    <row r="138" spans="1:30" ht="24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117"/>
      <c r="M138" s="117"/>
      <c r="N138" s="117"/>
      <c r="O138" s="117"/>
      <c r="P138" s="2"/>
      <c r="Q138" s="2"/>
      <c r="R138" s="4"/>
      <c r="S138" s="2"/>
      <c r="T138" s="2"/>
      <c r="U138" s="4"/>
      <c r="V138" s="2"/>
      <c r="W138" s="4"/>
      <c r="X138" s="2"/>
      <c r="Y138" s="4"/>
      <c r="Z138" s="2"/>
      <c r="AA138" s="117"/>
      <c r="AB138" s="2"/>
      <c r="AC138" s="2"/>
      <c r="AD138" s="2"/>
    </row>
    <row r="139" spans="1:30" ht="24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117"/>
      <c r="M139" s="117"/>
      <c r="N139" s="117"/>
      <c r="O139" s="117"/>
      <c r="P139" s="2"/>
      <c r="Q139" s="2"/>
      <c r="R139" s="4"/>
      <c r="S139" s="2"/>
      <c r="T139" s="2"/>
      <c r="U139" s="4"/>
      <c r="V139" s="2"/>
      <c r="W139" s="4"/>
      <c r="X139" s="2"/>
      <c r="Y139" s="4"/>
      <c r="Z139" s="2"/>
      <c r="AA139" s="117"/>
      <c r="AB139" s="2"/>
      <c r="AC139" s="2"/>
      <c r="AD139" s="2"/>
    </row>
    <row r="140" spans="1:30" ht="24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117"/>
      <c r="M140" s="117"/>
      <c r="N140" s="117"/>
      <c r="O140" s="117"/>
      <c r="P140" s="2"/>
      <c r="Q140" s="2"/>
      <c r="R140" s="4"/>
      <c r="S140" s="2"/>
      <c r="T140" s="2"/>
      <c r="U140" s="4"/>
      <c r="V140" s="2"/>
      <c r="W140" s="4"/>
      <c r="X140" s="2"/>
      <c r="Y140" s="4"/>
      <c r="Z140" s="2"/>
      <c r="AA140" s="117"/>
      <c r="AB140" s="2"/>
      <c r="AC140" s="2"/>
      <c r="AD140" s="2"/>
    </row>
    <row r="141" spans="1:30" ht="24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117"/>
      <c r="M141" s="117"/>
      <c r="N141" s="117"/>
      <c r="O141" s="117"/>
      <c r="P141" s="2"/>
      <c r="Q141" s="2"/>
      <c r="R141" s="4"/>
      <c r="S141" s="2"/>
      <c r="T141" s="2"/>
      <c r="U141" s="4"/>
      <c r="V141" s="2"/>
      <c r="W141" s="4"/>
      <c r="X141" s="2"/>
      <c r="Y141" s="4"/>
      <c r="Z141" s="2"/>
      <c r="AA141" s="117"/>
      <c r="AB141" s="2"/>
      <c r="AC141" s="2"/>
      <c r="AD141" s="2"/>
    </row>
    <row r="142" spans="1:30" ht="24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117"/>
      <c r="M142" s="117"/>
      <c r="N142" s="117"/>
      <c r="O142" s="117"/>
      <c r="P142" s="2"/>
      <c r="Q142" s="2"/>
      <c r="R142" s="4"/>
      <c r="S142" s="2"/>
      <c r="T142" s="2"/>
      <c r="U142" s="4"/>
      <c r="V142" s="2"/>
      <c r="W142" s="4"/>
      <c r="X142" s="2"/>
      <c r="Y142" s="4"/>
      <c r="Z142" s="2"/>
      <c r="AA142" s="117"/>
      <c r="AB142" s="2"/>
      <c r="AC142" s="2"/>
      <c r="AD142" s="2"/>
    </row>
    <row r="143" spans="1:30" ht="24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117"/>
      <c r="M143" s="117"/>
      <c r="N143" s="117"/>
      <c r="O143" s="117"/>
      <c r="P143" s="2"/>
      <c r="Q143" s="2"/>
      <c r="R143" s="4"/>
      <c r="S143" s="2"/>
      <c r="T143" s="2"/>
      <c r="U143" s="4"/>
      <c r="V143" s="2"/>
      <c r="W143" s="4"/>
      <c r="X143" s="2"/>
      <c r="Y143" s="4"/>
      <c r="Z143" s="2"/>
      <c r="AA143" s="117"/>
      <c r="AB143" s="2"/>
      <c r="AC143" s="2"/>
      <c r="AD143" s="2"/>
    </row>
    <row r="144" spans="1:30" ht="24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117"/>
      <c r="M144" s="117"/>
      <c r="N144" s="117"/>
      <c r="O144" s="117"/>
      <c r="P144" s="2"/>
      <c r="Q144" s="2"/>
      <c r="R144" s="4"/>
      <c r="S144" s="2"/>
      <c r="T144" s="2"/>
      <c r="U144" s="4"/>
      <c r="V144" s="2"/>
      <c r="W144" s="4"/>
      <c r="X144" s="2"/>
      <c r="Y144" s="4"/>
      <c r="Z144" s="2"/>
      <c r="AA144" s="117"/>
      <c r="AB144" s="2"/>
      <c r="AC144" s="2"/>
      <c r="AD144" s="2"/>
    </row>
    <row r="145" spans="1:30" ht="24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117"/>
      <c r="M145" s="117"/>
      <c r="N145" s="117"/>
      <c r="O145" s="117"/>
      <c r="P145" s="2"/>
      <c r="Q145" s="2"/>
      <c r="R145" s="4"/>
      <c r="S145" s="2"/>
      <c r="T145" s="2"/>
      <c r="U145" s="4"/>
      <c r="V145" s="2"/>
      <c r="W145" s="4"/>
      <c r="X145" s="2"/>
      <c r="Y145" s="4"/>
      <c r="Z145" s="2"/>
      <c r="AA145" s="117"/>
      <c r="AB145" s="2"/>
      <c r="AC145" s="2"/>
      <c r="AD145" s="2"/>
    </row>
    <row r="146" spans="1:30" ht="24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117"/>
      <c r="M146" s="117"/>
      <c r="N146" s="117"/>
      <c r="O146" s="117"/>
      <c r="P146" s="2"/>
      <c r="Q146" s="2"/>
      <c r="R146" s="4"/>
      <c r="S146" s="2"/>
      <c r="T146" s="2"/>
      <c r="U146" s="4"/>
      <c r="V146" s="2"/>
      <c r="W146" s="4"/>
      <c r="X146" s="2"/>
      <c r="Y146" s="4"/>
      <c r="Z146" s="2"/>
      <c r="AA146" s="117"/>
      <c r="AB146" s="2"/>
      <c r="AC146" s="2"/>
      <c r="AD146" s="2"/>
    </row>
    <row r="147" spans="1:30" ht="24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117"/>
      <c r="M147" s="117"/>
      <c r="N147" s="117"/>
      <c r="O147" s="117"/>
      <c r="P147" s="2"/>
      <c r="Q147" s="2"/>
      <c r="R147" s="4"/>
      <c r="S147" s="2"/>
      <c r="T147" s="2"/>
      <c r="U147" s="4"/>
      <c r="V147" s="2"/>
      <c r="W147" s="4"/>
      <c r="X147" s="2"/>
      <c r="Y147" s="4"/>
      <c r="Z147" s="2"/>
      <c r="AA147" s="117"/>
      <c r="AB147" s="2"/>
      <c r="AC147" s="2"/>
      <c r="AD147" s="2"/>
    </row>
    <row r="148" spans="1:30" ht="24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117"/>
      <c r="M148" s="117"/>
      <c r="N148" s="117"/>
      <c r="O148" s="117"/>
      <c r="P148" s="2"/>
      <c r="Q148" s="2"/>
      <c r="R148" s="4"/>
      <c r="S148" s="2"/>
      <c r="T148" s="2"/>
      <c r="U148" s="4"/>
      <c r="V148" s="2"/>
      <c r="W148" s="4"/>
      <c r="X148" s="2"/>
      <c r="Y148" s="4"/>
      <c r="Z148" s="2"/>
      <c r="AA148" s="117"/>
      <c r="AB148" s="2"/>
      <c r="AC148" s="2"/>
      <c r="AD148" s="2"/>
    </row>
    <row r="149" spans="1:30" ht="24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117"/>
      <c r="M149" s="117"/>
      <c r="N149" s="117"/>
      <c r="O149" s="117"/>
      <c r="P149" s="2"/>
      <c r="Q149" s="2"/>
      <c r="R149" s="4"/>
      <c r="S149" s="2"/>
      <c r="T149" s="2"/>
      <c r="U149" s="4"/>
      <c r="V149" s="2"/>
      <c r="W149" s="4"/>
      <c r="X149" s="2"/>
      <c r="Y149" s="4"/>
      <c r="Z149" s="2"/>
      <c r="AA149" s="117"/>
      <c r="AB149" s="2"/>
      <c r="AC149" s="2"/>
      <c r="AD149" s="2"/>
    </row>
    <row r="150" spans="1:30" ht="24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117"/>
      <c r="M150" s="117"/>
      <c r="N150" s="117"/>
      <c r="O150" s="117"/>
      <c r="P150" s="2"/>
      <c r="Q150" s="2"/>
      <c r="R150" s="4"/>
      <c r="S150" s="2"/>
      <c r="T150" s="2"/>
      <c r="U150" s="4"/>
      <c r="V150" s="2"/>
      <c r="W150" s="4"/>
      <c r="X150" s="2"/>
      <c r="Y150" s="4"/>
      <c r="Z150" s="2"/>
      <c r="AA150" s="117"/>
      <c r="AB150" s="2"/>
      <c r="AC150" s="2"/>
      <c r="AD150" s="2"/>
    </row>
    <row r="151" spans="1:30" ht="24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117"/>
      <c r="M151" s="117"/>
      <c r="N151" s="117"/>
      <c r="O151" s="117"/>
      <c r="P151" s="2"/>
      <c r="Q151" s="2"/>
      <c r="R151" s="4"/>
      <c r="S151" s="2"/>
      <c r="T151" s="2"/>
      <c r="U151" s="4"/>
      <c r="V151" s="2"/>
      <c r="W151" s="4"/>
      <c r="X151" s="2"/>
      <c r="Y151" s="4"/>
      <c r="Z151" s="2"/>
      <c r="AA151" s="117"/>
      <c r="AB151" s="2"/>
      <c r="AC151" s="2"/>
      <c r="AD151" s="2"/>
    </row>
    <row r="152" spans="1:30" ht="24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117"/>
      <c r="M152" s="117"/>
      <c r="N152" s="117"/>
      <c r="O152" s="117"/>
      <c r="P152" s="2"/>
      <c r="Q152" s="2"/>
      <c r="R152" s="4"/>
      <c r="S152" s="2"/>
      <c r="T152" s="2"/>
      <c r="U152" s="4"/>
      <c r="V152" s="2"/>
      <c r="W152" s="4"/>
      <c r="X152" s="2"/>
      <c r="Y152" s="4"/>
      <c r="Z152" s="2"/>
      <c r="AA152" s="117"/>
      <c r="AB152" s="2"/>
      <c r="AC152" s="2"/>
      <c r="AD152" s="2"/>
    </row>
    <row r="153" spans="1:30" ht="24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117"/>
      <c r="M153" s="117"/>
      <c r="N153" s="117"/>
      <c r="O153" s="117"/>
      <c r="P153" s="2"/>
      <c r="Q153" s="2"/>
      <c r="R153" s="4"/>
      <c r="S153" s="2"/>
      <c r="T153" s="2"/>
      <c r="U153" s="4"/>
      <c r="V153" s="2"/>
      <c r="W153" s="4"/>
      <c r="X153" s="2"/>
      <c r="Y153" s="4"/>
      <c r="Z153" s="2"/>
      <c r="AA153" s="117"/>
      <c r="AB153" s="2"/>
      <c r="AC153" s="2"/>
      <c r="AD153" s="2"/>
    </row>
    <row r="154" spans="1:30" ht="24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117"/>
      <c r="M154" s="117"/>
      <c r="N154" s="117"/>
      <c r="O154" s="117"/>
      <c r="P154" s="2"/>
      <c r="Q154" s="2"/>
      <c r="R154" s="4"/>
      <c r="S154" s="2"/>
      <c r="T154" s="2"/>
      <c r="U154" s="4"/>
      <c r="V154" s="2"/>
      <c r="W154" s="4"/>
      <c r="X154" s="2"/>
      <c r="Y154" s="4"/>
      <c r="Z154" s="2"/>
      <c r="AA154" s="117"/>
      <c r="AB154" s="2"/>
      <c r="AC154" s="2"/>
      <c r="AD154" s="2"/>
    </row>
    <row r="155" spans="1:30" ht="24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117"/>
      <c r="M155" s="117"/>
      <c r="N155" s="117"/>
      <c r="O155" s="117"/>
      <c r="P155" s="2"/>
      <c r="Q155" s="2"/>
      <c r="R155" s="4"/>
      <c r="S155" s="2"/>
      <c r="T155" s="2"/>
      <c r="U155" s="4"/>
      <c r="V155" s="2"/>
      <c r="W155" s="4"/>
      <c r="X155" s="2"/>
      <c r="Y155" s="4"/>
      <c r="Z155" s="2"/>
      <c r="AA155" s="117"/>
      <c r="AB155" s="2"/>
      <c r="AC155" s="2"/>
      <c r="AD155" s="2"/>
    </row>
    <row r="156" spans="1:30" ht="24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117"/>
      <c r="M156" s="117"/>
      <c r="N156" s="117"/>
      <c r="O156" s="117"/>
      <c r="P156" s="2"/>
      <c r="Q156" s="2"/>
      <c r="R156" s="4"/>
      <c r="S156" s="2"/>
      <c r="T156" s="2"/>
      <c r="U156" s="4"/>
      <c r="V156" s="2"/>
      <c r="W156" s="4"/>
      <c r="X156" s="2"/>
      <c r="Y156" s="4"/>
      <c r="Z156" s="2"/>
      <c r="AA156" s="117"/>
      <c r="AB156" s="2"/>
      <c r="AC156" s="2"/>
      <c r="AD156" s="2"/>
    </row>
    <row r="157" spans="1:30" ht="24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117"/>
      <c r="M157" s="117"/>
      <c r="N157" s="117"/>
      <c r="O157" s="117"/>
      <c r="P157" s="2"/>
      <c r="Q157" s="2"/>
      <c r="R157" s="4"/>
      <c r="S157" s="2"/>
      <c r="T157" s="2"/>
      <c r="U157" s="4"/>
      <c r="V157" s="2"/>
      <c r="W157" s="4"/>
      <c r="X157" s="2"/>
      <c r="Y157" s="4"/>
      <c r="Z157" s="2"/>
      <c r="AA157" s="117"/>
      <c r="AB157" s="2"/>
      <c r="AC157" s="2"/>
      <c r="AD157" s="2"/>
    </row>
    <row r="158" spans="1:30" ht="24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117"/>
      <c r="M158" s="117"/>
      <c r="N158" s="117"/>
      <c r="O158" s="117"/>
      <c r="P158" s="2"/>
      <c r="Q158" s="2"/>
      <c r="R158" s="4"/>
      <c r="S158" s="2"/>
      <c r="T158" s="2"/>
      <c r="U158" s="4"/>
      <c r="V158" s="2"/>
      <c r="W158" s="4"/>
      <c r="X158" s="2"/>
      <c r="Y158" s="4"/>
      <c r="Z158" s="2"/>
      <c r="AA158" s="117"/>
      <c r="AB158" s="2"/>
      <c r="AC158" s="2"/>
      <c r="AD158" s="2"/>
    </row>
    <row r="159" spans="1:30" ht="24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117"/>
      <c r="M159" s="117"/>
      <c r="N159" s="117"/>
      <c r="O159" s="117"/>
      <c r="P159" s="2"/>
      <c r="Q159" s="2"/>
      <c r="R159" s="4"/>
      <c r="S159" s="2"/>
      <c r="T159" s="2"/>
      <c r="U159" s="4"/>
      <c r="V159" s="2"/>
      <c r="W159" s="4"/>
      <c r="X159" s="2"/>
      <c r="Y159" s="4"/>
      <c r="Z159" s="2"/>
      <c r="AA159" s="117"/>
      <c r="AB159" s="2"/>
      <c r="AC159" s="2"/>
      <c r="AD159" s="2"/>
    </row>
    <row r="160" spans="1:30" ht="24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117"/>
      <c r="M160" s="117"/>
      <c r="N160" s="117"/>
      <c r="O160" s="117"/>
      <c r="P160" s="2"/>
      <c r="Q160" s="2"/>
      <c r="R160" s="4"/>
      <c r="S160" s="2"/>
      <c r="T160" s="2"/>
      <c r="U160" s="4"/>
      <c r="V160" s="2"/>
      <c r="W160" s="4"/>
      <c r="X160" s="2"/>
      <c r="Y160" s="4"/>
      <c r="Z160" s="2"/>
      <c r="AA160" s="117"/>
      <c r="AB160" s="2"/>
      <c r="AC160" s="2"/>
      <c r="AD160" s="2"/>
    </row>
    <row r="161" spans="1:30" ht="24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117"/>
      <c r="M161" s="117"/>
      <c r="N161" s="117"/>
      <c r="O161" s="117"/>
      <c r="P161" s="2"/>
      <c r="Q161" s="2"/>
      <c r="R161" s="4"/>
      <c r="S161" s="2"/>
      <c r="T161" s="2"/>
      <c r="U161" s="4"/>
      <c r="V161" s="2"/>
      <c r="W161" s="4"/>
      <c r="X161" s="2"/>
      <c r="Y161" s="4"/>
      <c r="Z161" s="2"/>
      <c r="AA161" s="117"/>
      <c r="AB161" s="2"/>
      <c r="AC161" s="2"/>
      <c r="AD161" s="2"/>
    </row>
    <row r="162" spans="1:30" ht="24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117"/>
      <c r="M162" s="117"/>
      <c r="N162" s="117"/>
      <c r="O162" s="117"/>
      <c r="P162" s="2"/>
      <c r="Q162" s="2"/>
      <c r="R162" s="4"/>
      <c r="S162" s="2"/>
      <c r="T162" s="2"/>
      <c r="U162" s="4"/>
      <c r="V162" s="2"/>
      <c r="W162" s="4"/>
      <c r="X162" s="2"/>
      <c r="Y162" s="4"/>
      <c r="Z162" s="2"/>
      <c r="AA162" s="117"/>
      <c r="AB162" s="2"/>
      <c r="AC162" s="2"/>
      <c r="AD162" s="2"/>
    </row>
    <row r="163" spans="1:30" ht="24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117"/>
      <c r="M163" s="117"/>
      <c r="N163" s="117"/>
      <c r="O163" s="117"/>
      <c r="P163" s="2"/>
      <c r="Q163" s="2"/>
      <c r="R163" s="4"/>
      <c r="S163" s="2"/>
      <c r="T163" s="2"/>
      <c r="U163" s="4"/>
      <c r="V163" s="2"/>
      <c r="W163" s="4"/>
      <c r="X163" s="2"/>
      <c r="Y163" s="4"/>
      <c r="Z163" s="2"/>
      <c r="AA163" s="117"/>
      <c r="AB163" s="2"/>
      <c r="AC163" s="2"/>
      <c r="AD163" s="2"/>
    </row>
    <row r="164" spans="1:30" ht="24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117"/>
      <c r="M164" s="117"/>
      <c r="N164" s="117"/>
      <c r="O164" s="117"/>
      <c r="P164" s="2"/>
      <c r="Q164" s="2"/>
      <c r="R164" s="4"/>
      <c r="S164" s="2"/>
      <c r="T164" s="2"/>
      <c r="U164" s="4"/>
      <c r="V164" s="2"/>
      <c r="W164" s="4"/>
      <c r="X164" s="2"/>
      <c r="Y164" s="4"/>
      <c r="Z164" s="2"/>
      <c r="AA164" s="117"/>
      <c r="AB164" s="2"/>
      <c r="AC164" s="2"/>
      <c r="AD164" s="2"/>
    </row>
    <row r="165" spans="1:30" ht="24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117"/>
      <c r="M165" s="117"/>
      <c r="N165" s="117"/>
      <c r="O165" s="117"/>
      <c r="P165" s="2"/>
      <c r="Q165" s="2"/>
      <c r="R165" s="4"/>
      <c r="S165" s="2"/>
      <c r="T165" s="2"/>
      <c r="U165" s="4"/>
      <c r="V165" s="2"/>
      <c r="W165" s="4"/>
      <c r="X165" s="2"/>
      <c r="Y165" s="4"/>
      <c r="Z165" s="2"/>
      <c r="AA165" s="117"/>
      <c r="AB165" s="2"/>
      <c r="AC165" s="2"/>
      <c r="AD165" s="2"/>
    </row>
    <row r="166" spans="1:30" ht="24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117"/>
      <c r="M166" s="117"/>
      <c r="N166" s="117"/>
      <c r="O166" s="117"/>
      <c r="P166" s="2"/>
      <c r="Q166" s="2"/>
      <c r="R166" s="4"/>
      <c r="S166" s="2"/>
      <c r="T166" s="2"/>
      <c r="U166" s="4"/>
      <c r="V166" s="2"/>
      <c r="W166" s="4"/>
      <c r="X166" s="2"/>
      <c r="Y166" s="4"/>
      <c r="Z166" s="2"/>
      <c r="AA166" s="117"/>
      <c r="AB166" s="2"/>
      <c r="AC166" s="2"/>
      <c r="AD166" s="2"/>
    </row>
    <row r="167" spans="1:30" ht="24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117"/>
      <c r="M167" s="117"/>
      <c r="N167" s="117"/>
      <c r="O167" s="117"/>
      <c r="P167" s="2"/>
      <c r="Q167" s="2"/>
      <c r="R167" s="4"/>
      <c r="S167" s="2"/>
      <c r="T167" s="2"/>
      <c r="U167" s="4"/>
      <c r="V167" s="2"/>
      <c r="W167" s="4"/>
      <c r="X167" s="2"/>
      <c r="Y167" s="4"/>
      <c r="Z167" s="2"/>
      <c r="AA167" s="117"/>
      <c r="AB167" s="2"/>
      <c r="AC167" s="2"/>
      <c r="AD167" s="2"/>
    </row>
    <row r="168" spans="1:30" ht="24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117"/>
      <c r="M168" s="117"/>
      <c r="N168" s="117"/>
      <c r="O168" s="117"/>
      <c r="P168" s="2"/>
      <c r="Q168" s="2"/>
      <c r="R168" s="4"/>
      <c r="S168" s="2"/>
      <c r="T168" s="2"/>
      <c r="U168" s="4"/>
      <c r="V168" s="2"/>
      <c r="W168" s="4"/>
      <c r="X168" s="2"/>
      <c r="Y168" s="4"/>
      <c r="Z168" s="2"/>
      <c r="AA168" s="117"/>
      <c r="AB168" s="2"/>
      <c r="AC168" s="2"/>
      <c r="AD168" s="2"/>
    </row>
    <row r="169" spans="1:30" ht="24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117"/>
      <c r="M169" s="117"/>
      <c r="N169" s="117"/>
      <c r="O169" s="117"/>
      <c r="P169" s="2"/>
      <c r="Q169" s="2"/>
      <c r="R169" s="4"/>
      <c r="S169" s="2"/>
      <c r="T169" s="2"/>
      <c r="U169" s="4"/>
      <c r="V169" s="2"/>
      <c r="W169" s="4"/>
      <c r="X169" s="2"/>
      <c r="Y169" s="4"/>
      <c r="Z169" s="2"/>
      <c r="AA169" s="117"/>
      <c r="AB169" s="2"/>
      <c r="AC169" s="2"/>
      <c r="AD169" s="2"/>
    </row>
    <row r="170" spans="1:30" ht="24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117"/>
      <c r="M170" s="117"/>
      <c r="N170" s="117"/>
      <c r="O170" s="117"/>
      <c r="P170" s="2"/>
      <c r="Q170" s="2"/>
      <c r="R170" s="4"/>
      <c r="S170" s="2"/>
      <c r="T170" s="2"/>
      <c r="U170" s="4"/>
      <c r="V170" s="2"/>
      <c r="W170" s="4"/>
      <c r="X170" s="2"/>
      <c r="Y170" s="4"/>
      <c r="Z170" s="2"/>
      <c r="AA170" s="117"/>
      <c r="AB170" s="2"/>
      <c r="AC170" s="2"/>
      <c r="AD170" s="2"/>
    </row>
    <row r="171" spans="1:30" ht="24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117"/>
      <c r="M171" s="117"/>
      <c r="N171" s="117"/>
      <c r="O171" s="117"/>
      <c r="P171" s="2"/>
      <c r="Q171" s="2"/>
      <c r="R171" s="4"/>
      <c r="S171" s="2"/>
      <c r="T171" s="2"/>
      <c r="U171" s="4"/>
      <c r="V171" s="2"/>
      <c r="W171" s="4"/>
      <c r="X171" s="2"/>
      <c r="Y171" s="4"/>
      <c r="Z171" s="2"/>
      <c r="AA171" s="117"/>
      <c r="AB171" s="2"/>
      <c r="AC171" s="2"/>
      <c r="AD171" s="2"/>
    </row>
    <row r="172" spans="1:30" ht="24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117"/>
      <c r="M172" s="117"/>
      <c r="N172" s="117"/>
      <c r="O172" s="117"/>
      <c r="P172" s="2"/>
      <c r="Q172" s="2"/>
      <c r="R172" s="4"/>
      <c r="S172" s="2"/>
      <c r="T172" s="2"/>
      <c r="U172" s="4"/>
      <c r="V172" s="2"/>
      <c r="W172" s="4"/>
      <c r="X172" s="2"/>
      <c r="Y172" s="4"/>
      <c r="Z172" s="2"/>
      <c r="AA172" s="117"/>
      <c r="AB172" s="2"/>
      <c r="AC172" s="2"/>
      <c r="AD172" s="2"/>
    </row>
    <row r="173" spans="1:30" ht="24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117"/>
      <c r="M173" s="117"/>
      <c r="N173" s="117"/>
      <c r="O173" s="117"/>
      <c r="P173" s="2"/>
      <c r="Q173" s="2"/>
      <c r="R173" s="4"/>
      <c r="S173" s="2"/>
      <c r="T173" s="2"/>
      <c r="U173" s="4"/>
      <c r="V173" s="2"/>
      <c r="W173" s="4"/>
      <c r="X173" s="2"/>
      <c r="Y173" s="4"/>
      <c r="Z173" s="2"/>
      <c r="AA173" s="117"/>
      <c r="AB173" s="2"/>
      <c r="AC173" s="2"/>
      <c r="AD173" s="2"/>
    </row>
    <row r="174" spans="1:30" ht="24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117"/>
      <c r="M174" s="117"/>
      <c r="N174" s="117"/>
      <c r="O174" s="117"/>
      <c r="P174" s="2"/>
      <c r="Q174" s="2"/>
      <c r="R174" s="4"/>
      <c r="S174" s="2"/>
      <c r="T174" s="2"/>
      <c r="U174" s="4"/>
      <c r="V174" s="2"/>
      <c r="W174" s="4"/>
      <c r="X174" s="2"/>
      <c r="Y174" s="4"/>
      <c r="Z174" s="2"/>
      <c r="AA174" s="117"/>
      <c r="AB174" s="2"/>
      <c r="AC174" s="2"/>
      <c r="AD174" s="2"/>
    </row>
    <row r="175" spans="1:30" ht="24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117"/>
      <c r="M175" s="117"/>
      <c r="N175" s="117"/>
      <c r="O175" s="117"/>
      <c r="P175" s="2"/>
      <c r="Q175" s="2"/>
      <c r="R175" s="4"/>
      <c r="S175" s="2"/>
      <c r="T175" s="2"/>
      <c r="U175" s="4"/>
      <c r="V175" s="2"/>
      <c r="W175" s="4"/>
      <c r="X175" s="2"/>
      <c r="Y175" s="4"/>
      <c r="Z175" s="2"/>
      <c r="AA175" s="117"/>
      <c r="AB175" s="2"/>
      <c r="AC175" s="2"/>
      <c r="AD175" s="2"/>
    </row>
    <row r="176" spans="1:30" ht="24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117"/>
      <c r="M176" s="117"/>
      <c r="N176" s="117"/>
      <c r="O176" s="117"/>
      <c r="P176" s="2"/>
      <c r="Q176" s="2"/>
      <c r="R176" s="4"/>
      <c r="S176" s="2"/>
      <c r="T176" s="2"/>
      <c r="U176" s="4"/>
      <c r="V176" s="2"/>
      <c r="W176" s="4"/>
      <c r="X176" s="2"/>
      <c r="Y176" s="4"/>
      <c r="Z176" s="2"/>
      <c r="AA176" s="117"/>
      <c r="AB176" s="2"/>
      <c r="AC176" s="2"/>
      <c r="AD176" s="2"/>
    </row>
    <row r="177" spans="1:30" ht="24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117"/>
      <c r="M177" s="117"/>
      <c r="N177" s="117"/>
      <c r="O177" s="117"/>
      <c r="P177" s="2"/>
      <c r="Q177" s="2"/>
      <c r="R177" s="4"/>
      <c r="S177" s="2"/>
      <c r="T177" s="2"/>
      <c r="U177" s="4"/>
      <c r="V177" s="2"/>
      <c r="W177" s="4"/>
      <c r="X177" s="2"/>
      <c r="Y177" s="4"/>
      <c r="Z177" s="2"/>
      <c r="AA177" s="117"/>
      <c r="AB177" s="2"/>
      <c r="AC177" s="2"/>
      <c r="AD177" s="2"/>
    </row>
    <row r="178" spans="1:30" ht="24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117"/>
      <c r="M178" s="117"/>
      <c r="N178" s="117"/>
      <c r="O178" s="117"/>
      <c r="P178" s="2"/>
      <c r="Q178" s="2"/>
      <c r="R178" s="4"/>
      <c r="S178" s="2"/>
      <c r="T178" s="2"/>
      <c r="U178" s="4"/>
      <c r="V178" s="2"/>
      <c r="W178" s="4"/>
      <c r="X178" s="2"/>
      <c r="Y178" s="4"/>
      <c r="Z178" s="2"/>
      <c r="AA178" s="117"/>
      <c r="AB178" s="2"/>
      <c r="AC178" s="2"/>
      <c r="AD178" s="2"/>
    </row>
    <row r="179" spans="1:30" ht="24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117"/>
      <c r="M179" s="117"/>
      <c r="N179" s="117"/>
      <c r="O179" s="117"/>
      <c r="P179" s="2"/>
      <c r="Q179" s="2"/>
      <c r="R179" s="4"/>
      <c r="S179" s="2"/>
      <c r="T179" s="2"/>
      <c r="U179" s="4"/>
      <c r="V179" s="2"/>
      <c r="W179" s="4"/>
      <c r="X179" s="2"/>
      <c r="Y179" s="4"/>
      <c r="Z179" s="2"/>
      <c r="AA179" s="117"/>
      <c r="AB179" s="2"/>
      <c r="AC179" s="2"/>
      <c r="AD179" s="2"/>
    </row>
    <row r="180" spans="1:30" ht="24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117"/>
      <c r="M180" s="117"/>
      <c r="N180" s="117"/>
      <c r="O180" s="117"/>
      <c r="P180" s="2"/>
      <c r="Q180" s="2"/>
      <c r="R180" s="4"/>
      <c r="S180" s="2"/>
      <c r="T180" s="2"/>
      <c r="U180" s="4"/>
      <c r="V180" s="2"/>
      <c r="W180" s="4"/>
      <c r="X180" s="2"/>
      <c r="Y180" s="4"/>
      <c r="Z180" s="2"/>
      <c r="AA180" s="117"/>
      <c r="AB180" s="2"/>
      <c r="AC180" s="2"/>
      <c r="AD180" s="2"/>
    </row>
    <row r="181" spans="1:30" ht="24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117"/>
      <c r="M181" s="117"/>
      <c r="N181" s="117"/>
      <c r="O181" s="117"/>
      <c r="P181" s="2"/>
      <c r="Q181" s="2"/>
      <c r="R181" s="4"/>
      <c r="S181" s="2"/>
      <c r="T181" s="2"/>
      <c r="U181" s="4"/>
      <c r="V181" s="2"/>
      <c r="W181" s="4"/>
      <c r="X181" s="2"/>
      <c r="Y181" s="4"/>
      <c r="Z181" s="2"/>
      <c r="AA181" s="117"/>
      <c r="AB181" s="2"/>
      <c r="AC181" s="2"/>
      <c r="AD181" s="2"/>
    </row>
    <row r="182" spans="1:30" ht="24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117"/>
      <c r="M182" s="117"/>
      <c r="N182" s="117"/>
      <c r="O182" s="117"/>
      <c r="P182" s="2"/>
      <c r="Q182" s="2"/>
      <c r="R182" s="4"/>
      <c r="S182" s="2"/>
      <c r="T182" s="2"/>
      <c r="U182" s="4"/>
      <c r="V182" s="2"/>
      <c r="W182" s="4"/>
      <c r="X182" s="2"/>
      <c r="Y182" s="4"/>
      <c r="Z182" s="2"/>
      <c r="AA182" s="117"/>
      <c r="AB182" s="2"/>
      <c r="AC182" s="2"/>
      <c r="AD182" s="2"/>
    </row>
    <row r="183" spans="1:30" ht="24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117"/>
      <c r="M183" s="117"/>
      <c r="N183" s="117"/>
      <c r="O183" s="117"/>
      <c r="P183" s="2"/>
      <c r="Q183" s="2"/>
      <c r="R183" s="4"/>
      <c r="S183" s="2"/>
      <c r="T183" s="2"/>
      <c r="U183" s="4"/>
      <c r="V183" s="2"/>
      <c r="W183" s="4"/>
      <c r="X183" s="2"/>
      <c r="Y183" s="4"/>
      <c r="Z183" s="2"/>
      <c r="AA183" s="117"/>
      <c r="AB183" s="2"/>
      <c r="AC183" s="2"/>
      <c r="AD183" s="2"/>
    </row>
    <row r="184" spans="1:30" ht="24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117"/>
      <c r="M184" s="117"/>
      <c r="N184" s="117"/>
      <c r="O184" s="117"/>
      <c r="P184" s="2"/>
      <c r="Q184" s="2"/>
      <c r="R184" s="4"/>
      <c r="S184" s="2"/>
      <c r="T184" s="2"/>
      <c r="U184" s="4"/>
      <c r="V184" s="2"/>
      <c r="W184" s="4"/>
      <c r="X184" s="2"/>
      <c r="Y184" s="4"/>
      <c r="Z184" s="2"/>
      <c r="AA184" s="117"/>
      <c r="AB184" s="2"/>
      <c r="AC184" s="2"/>
      <c r="AD184" s="2"/>
    </row>
    <row r="185" spans="1:30" ht="24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117"/>
      <c r="M185" s="117"/>
      <c r="N185" s="117"/>
      <c r="O185" s="117"/>
      <c r="P185" s="2"/>
      <c r="Q185" s="2"/>
      <c r="R185" s="4"/>
      <c r="S185" s="2"/>
      <c r="T185" s="2"/>
      <c r="U185" s="4"/>
      <c r="V185" s="2"/>
      <c r="W185" s="4"/>
      <c r="X185" s="2"/>
      <c r="Y185" s="4"/>
      <c r="Z185" s="2"/>
      <c r="AA185" s="117"/>
      <c r="AB185" s="2"/>
      <c r="AC185" s="2"/>
      <c r="AD185" s="2"/>
    </row>
    <row r="186" spans="1:30" ht="24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117"/>
      <c r="M186" s="117"/>
      <c r="N186" s="117"/>
      <c r="O186" s="117"/>
      <c r="P186" s="2"/>
      <c r="Q186" s="2"/>
      <c r="R186" s="4"/>
      <c r="S186" s="2"/>
      <c r="T186" s="2"/>
      <c r="U186" s="4"/>
      <c r="V186" s="2"/>
      <c r="W186" s="4"/>
      <c r="X186" s="2"/>
      <c r="Y186" s="4"/>
      <c r="Z186" s="2"/>
      <c r="AA186" s="117"/>
      <c r="AB186" s="2"/>
      <c r="AC186" s="2"/>
      <c r="AD186" s="2"/>
    </row>
    <row r="187" spans="1:30" ht="24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117"/>
      <c r="M187" s="117"/>
      <c r="N187" s="117"/>
      <c r="O187" s="117"/>
      <c r="P187" s="2"/>
      <c r="Q187" s="2"/>
      <c r="R187" s="4"/>
      <c r="S187" s="2"/>
      <c r="T187" s="2"/>
      <c r="U187" s="4"/>
      <c r="V187" s="2"/>
      <c r="W187" s="4"/>
      <c r="X187" s="2"/>
      <c r="Y187" s="4"/>
      <c r="Z187" s="2"/>
      <c r="AA187" s="117"/>
      <c r="AB187" s="2"/>
      <c r="AC187" s="2"/>
      <c r="AD187" s="2"/>
    </row>
    <row r="188" spans="1:30" ht="24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117"/>
      <c r="M188" s="117"/>
      <c r="N188" s="117"/>
      <c r="O188" s="117"/>
      <c r="P188" s="2"/>
      <c r="Q188" s="2"/>
      <c r="R188" s="4"/>
      <c r="S188" s="2"/>
      <c r="T188" s="2"/>
      <c r="U188" s="4"/>
      <c r="V188" s="2"/>
      <c r="W188" s="4"/>
      <c r="X188" s="2"/>
      <c r="Y188" s="4"/>
      <c r="Z188" s="2"/>
      <c r="AA188" s="117"/>
      <c r="AB188" s="2"/>
      <c r="AC188" s="2"/>
      <c r="AD188" s="2"/>
    </row>
    <row r="189" spans="1:30" ht="24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117"/>
      <c r="M189" s="117"/>
      <c r="N189" s="117"/>
      <c r="O189" s="117"/>
      <c r="P189" s="2"/>
      <c r="Q189" s="2"/>
      <c r="R189" s="4"/>
      <c r="S189" s="2"/>
      <c r="T189" s="2"/>
      <c r="U189" s="4"/>
      <c r="V189" s="2"/>
      <c r="W189" s="4"/>
      <c r="X189" s="2"/>
      <c r="Y189" s="4"/>
      <c r="Z189" s="2"/>
      <c r="AA189" s="117"/>
      <c r="AB189" s="2"/>
      <c r="AC189" s="2"/>
      <c r="AD189" s="2"/>
    </row>
    <row r="190" spans="1:30" ht="24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117"/>
      <c r="M190" s="117"/>
      <c r="N190" s="117"/>
      <c r="O190" s="117"/>
      <c r="P190" s="2"/>
      <c r="Q190" s="2"/>
      <c r="R190" s="4"/>
      <c r="S190" s="2"/>
      <c r="T190" s="2"/>
      <c r="U190" s="4"/>
      <c r="V190" s="2"/>
      <c r="W190" s="4"/>
      <c r="X190" s="2"/>
      <c r="Y190" s="4"/>
      <c r="Z190" s="2"/>
      <c r="AA190" s="117"/>
      <c r="AB190" s="2"/>
      <c r="AC190" s="2"/>
      <c r="AD190" s="2"/>
    </row>
    <row r="191" spans="1:30" ht="24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117"/>
      <c r="M191" s="117"/>
      <c r="N191" s="117"/>
      <c r="O191" s="117"/>
      <c r="P191" s="2"/>
      <c r="Q191" s="2"/>
      <c r="R191" s="4"/>
      <c r="S191" s="2"/>
      <c r="T191" s="2"/>
      <c r="U191" s="4"/>
      <c r="V191" s="2"/>
      <c r="W191" s="4"/>
      <c r="X191" s="2"/>
      <c r="Y191" s="4"/>
      <c r="Z191" s="2"/>
      <c r="AA191" s="117"/>
      <c r="AB191" s="2"/>
      <c r="AC191" s="2"/>
      <c r="AD191" s="2"/>
    </row>
    <row r="192" spans="1:30" ht="24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117"/>
      <c r="M192" s="117"/>
      <c r="N192" s="117"/>
      <c r="O192" s="117"/>
      <c r="P192" s="2"/>
      <c r="Q192" s="2"/>
      <c r="R192" s="4"/>
      <c r="S192" s="2"/>
      <c r="T192" s="2"/>
      <c r="U192" s="4"/>
      <c r="V192" s="2"/>
      <c r="W192" s="4"/>
      <c r="X192" s="2"/>
      <c r="Y192" s="4"/>
      <c r="Z192" s="2"/>
      <c r="AA192" s="117"/>
      <c r="AB192" s="2"/>
      <c r="AC192" s="2"/>
      <c r="AD192" s="2"/>
    </row>
    <row r="193" spans="1:30" ht="24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117"/>
      <c r="M193" s="117"/>
      <c r="N193" s="117"/>
      <c r="O193" s="117"/>
      <c r="P193" s="2"/>
      <c r="Q193" s="2"/>
      <c r="R193" s="4"/>
      <c r="S193" s="2"/>
      <c r="T193" s="2"/>
      <c r="U193" s="4"/>
      <c r="V193" s="2"/>
      <c r="W193" s="4"/>
      <c r="X193" s="2"/>
      <c r="Y193" s="4"/>
      <c r="Z193" s="2"/>
      <c r="AA193" s="117"/>
      <c r="AB193" s="2"/>
      <c r="AC193" s="2"/>
      <c r="AD193" s="2"/>
    </row>
    <row r="194" spans="1:30" ht="24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117"/>
      <c r="M194" s="117"/>
      <c r="N194" s="117"/>
      <c r="O194" s="117"/>
      <c r="P194" s="2"/>
      <c r="Q194" s="2"/>
      <c r="R194" s="4"/>
      <c r="S194" s="2"/>
      <c r="T194" s="2"/>
      <c r="U194" s="4"/>
      <c r="V194" s="2"/>
      <c r="W194" s="4"/>
      <c r="X194" s="2"/>
      <c r="Y194" s="4"/>
      <c r="Z194" s="2"/>
      <c r="AA194" s="117"/>
      <c r="AB194" s="2"/>
      <c r="AC194" s="2"/>
      <c r="AD194" s="2"/>
    </row>
    <row r="195" spans="1:30" ht="24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117"/>
      <c r="M195" s="117"/>
      <c r="N195" s="117"/>
      <c r="O195" s="117"/>
      <c r="P195" s="2"/>
      <c r="Q195" s="2"/>
      <c r="R195" s="4"/>
      <c r="S195" s="2"/>
      <c r="T195" s="2"/>
      <c r="U195" s="4"/>
      <c r="V195" s="2"/>
      <c r="W195" s="4"/>
      <c r="X195" s="2"/>
      <c r="Y195" s="4"/>
      <c r="Z195" s="2"/>
      <c r="AA195" s="117"/>
      <c r="AB195" s="2"/>
      <c r="AC195" s="2"/>
      <c r="AD195" s="2"/>
    </row>
    <row r="196" spans="1:30" ht="24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117"/>
      <c r="M196" s="117"/>
      <c r="N196" s="117"/>
      <c r="O196" s="117"/>
      <c r="P196" s="2"/>
      <c r="Q196" s="2"/>
      <c r="R196" s="4"/>
      <c r="S196" s="2"/>
      <c r="T196" s="2"/>
      <c r="U196" s="4"/>
      <c r="V196" s="2"/>
      <c r="W196" s="4"/>
      <c r="X196" s="2"/>
      <c r="Y196" s="4"/>
      <c r="Z196" s="2"/>
      <c r="AA196" s="117"/>
      <c r="AB196" s="2"/>
      <c r="AC196" s="2"/>
      <c r="AD196" s="2"/>
    </row>
    <row r="197" spans="1:30" ht="24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117"/>
      <c r="M197" s="117"/>
      <c r="N197" s="117"/>
      <c r="O197" s="117"/>
      <c r="P197" s="2"/>
      <c r="Q197" s="2"/>
      <c r="R197" s="4"/>
      <c r="S197" s="2"/>
      <c r="T197" s="2"/>
      <c r="U197" s="4"/>
      <c r="V197" s="2"/>
      <c r="W197" s="4"/>
      <c r="X197" s="2"/>
      <c r="Y197" s="4"/>
      <c r="Z197" s="2"/>
      <c r="AA197" s="117"/>
      <c r="AB197" s="2"/>
      <c r="AC197" s="2"/>
      <c r="AD197" s="2"/>
    </row>
    <row r="198" spans="1:30" ht="24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117"/>
      <c r="M198" s="117"/>
      <c r="N198" s="117"/>
      <c r="O198" s="117"/>
      <c r="P198" s="2"/>
      <c r="Q198" s="2"/>
      <c r="R198" s="4"/>
      <c r="S198" s="2"/>
      <c r="T198" s="2"/>
      <c r="U198" s="4"/>
      <c r="V198" s="2"/>
      <c r="W198" s="4"/>
      <c r="X198" s="2"/>
      <c r="Y198" s="4"/>
      <c r="Z198" s="2"/>
      <c r="AA198" s="117"/>
      <c r="AB198" s="2"/>
      <c r="AC198" s="2"/>
      <c r="AD198" s="2"/>
    </row>
    <row r="199" spans="1:30" ht="24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117"/>
      <c r="M199" s="117"/>
      <c r="N199" s="117"/>
      <c r="O199" s="117"/>
      <c r="P199" s="2"/>
      <c r="Q199" s="2"/>
      <c r="R199" s="4"/>
      <c r="S199" s="2"/>
      <c r="T199" s="2"/>
      <c r="U199" s="4"/>
      <c r="V199" s="2"/>
      <c r="W199" s="4"/>
      <c r="X199" s="2"/>
      <c r="Y199" s="4"/>
      <c r="Z199" s="2"/>
      <c r="AA199" s="117"/>
      <c r="AB199" s="2"/>
      <c r="AC199" s="2"/>
      <c r="AD199" s="2"/>
    </row>
    <row r="200" spans="1:30" ht="24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117"/>
      <c r="M200" s="117"/>
      <c r="N200" s="117"/>
      <c r="O200" s="117"/>
      <c r="P200" s="2"/>
      <c r="Q200" s="2"/>
      <c r="R200" s="4"/>
      <c r="S200" s="2"/>
      <c r="T200" s="2"/>
      <c r="U200" s="4"/>
      <c r="V200" s="2"/>
      <c r="W200" s="4"/>
      <c r="X200" s="2"/>
      <c r="Y200" s="4"/>
      <c r="Z200" s="2"/>
      <c r="AA200" s="117"/>
      <c r="AB200" s="2"/>
      <c r="AC200" s="2"/>
      <c r="AD200" s="2"/>
    </row>
    <row r="201" spans="1:30" ht="24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117"/>
      <c r="M201" s="117"/>
      <c r="N201" s="117"/>
      <c r="O201" s="117"/>
      <c r="P201" s="2"/>
      <c r="Q201" s="2"/>
      <c r="R201" s="4"/>
      <c r="S201" s="2"/>
      <c r="T201" s="2"/>
      <c r="U201" s="4"/>
      <c r="V201" s="2"/>
      <c r="W201" s="4"/>
      <c r="X201" s="2"/>
      <c r="Y201" s="4"/>
      <c r="Z201" s="2"/>
      <c r="AA201" s="117"/>
      <c r="AB201" s="2"/>
      <c r="AC201" s="2"/>
      <c r="AD201" s="2"/>
    </row>
    <row r="202" spans="1:30" ht="24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117"/>
      <c r="M202" s="117"/>
      <c r="N202" s="117"/>
      <c r="O202" s="117"/>
      <c r="P202" s="2"/>
      <c r="Q202" s="2"/>
      <c r="R202" s="4"/>
      <c r="S202" s="2"/>
      <c r="T202" s="2"/>
      <c r="U202" s="4"/>
      <c r="V202" s="2"/>
      <c r="W202" s="4"/>
      <c r="X202" s="2"/>
      <c r="Y202" s="4"/>
      <c r="Z202" s="2"/>
      <c r="AA202" s="117"/>
      <c r="AB202" s="2"/>
      <c r="AC202" s="2"/>
      <c r="AD202" s="2"/>
    </row>
    <row r="203" spans="1:30" ht="24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117"/>
      <c r="M203" s="117"/>
      <c r="N203" s="117"/>
      <c r="O203" s="117"/>
      <c r="P203" s="2"/>
      <c r="Q203" s="2"/>
      <c r="R203" s="4"/>
      <c r="S203" s="2"/>
      <c r="T203" s="2"/>
      <c r="U203" s="4"/>
      <c r="V203" s="2"/>
      <c r="W203" s="4"/>
      <c r="X203" s="2"/>
      <c r="Y203" s="4"/>
      <c r="Z203" s="2"/>
      <c r="AA203" s="117"/>
      <c r="AB203" s="2"/>
      <c r="AC203" s="2"/>
      <c r="AD203" s="2"/>
    </row>
    <row r="204" spans="1:30" ht="24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117"/>
      <c r="M204" s="117"/>
      <c r="N204" s="117"/>
      <c r="O204" s="117"/>
      <c r="P204" s="2"/>
      <c r="Q204" s="2"/>
      <c r="R204" s="4"/>
      <c r="S204" s="2"/>
      <c r="T204" s="2"/>
      <c r="U204" s="4"/>
      <c r="V204" s="2"/>
      <c r="W204" s="4"/>
      <c r="X204" s="2"/>
      <c r="Y204" s="4"/>
      <c r="Z204" s="2"/>
      <c r="AA204" s="117"/>
      <c r="AB204" s="2"/>
      <c r="AC204" s="2"/>
      <c r="AD204" s="2"/>
    </row>
    <row r="205" spans="1:30" ht="24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117"/>
      <c r="M205" s="117"/>
      <c r="N205" s="117"/>
      <c r="O205" s="117"/>
      <c r="P205" s="2"/>
      <c r="Q205" s="2"/>
      <c r="R205" s="4"/>
      <c r="S205" s="2"/>
      <c r="T205" s="2"/>
      <c r="U205" s="4"/>
      <c r="V205" s="2"/>
      <c r="W205" s="4"/>
      <c r="X205" s="2"/>
      <c r="Y205" s="4"/>
      <c r="Z205" s="2"/>
      <c r="AA205" s="117"/>
      <c r="AB205" s="2"/>
      <c r="AC205" s="2"/>
      <c r="AD205" s="2"/>
    </row>
    <row r="206" spans="1:30" ht="24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117"/>
      <c r="M206" s="117"/>
      <c r="N206" s="117"/>
      <c r="O206" s="117"/>
      <c r="P206" s="2"/>
      <c r="Q206" s="2"/>
      <c r="R206" s="4"/>
      <c r="S206" s="2"/>
      <c r="T206" s="2"/>
      <c r="U206" s="4"/>
      <c r="V206" s="2"/>
      <c r="W206" s="4"/>
      <c r="X206" s="2"/>
      <c r="Y206" s="4"/>
      <c r="Z206" s="2"/>
      <c r="AA206" s="117"/>
      <c r="AB206" s="2"/>
      <c r="AC206" s="2"/>
      <c r="AD206" s="2"/>
    </row>
    <row r="207" spans="1:30" ht="24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117"/>
      <c r="M207" s="117"/>
      <c r="N207" s="117"/>
      <c r="O207" s="117"/>
      <c r="P207" s="2"/>
      <c r="Q207" s="2"/>
      <c r="R207" s="4"/>
      <c r="S207" s="2"/>
      <c r="T207" s="2"/>
      <c r="U207" s="4"/>
      <c r="V207" s="2"/>
      <c r="W207" s="4"/>
      <c r="X207" s="2"/>
      <c r="Y207" s="4"/>
      <c r="Z207" s="2"/>
      <c r="AA207" s="117"/>
      <c r="AB207" s="2"/>
      <c r="AC207" s="2"/>
      <c r="AD207" s="2"/>
    </row>
    <row r="208" spans="1:30" ht="24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117"/>
      <c r="M208" s="117"/>
      <c r="N208" s="117"/>
      <c r="O208" s="117"/>
      <c r="P208" s="2"/>
      <c r="Q208" s="2"/>
      <c r="R208" s="4"/>
      <c r="S208" s="2"/>
      <c r="T208" s="2"/>
      <c r="U208" s="4"/>
      <c r="V208" s="2"/>
      <c r="W208" s="4"/>
      <c r="X208" s="2"/>
      <c r="Y208" s="4"/>
      <c r="Z208" s="2"/>
      <c r="AA208" s="117"/>
      <c r="AB208" s="2"/>
      <c r="AC208" s="2"/>
      <c r="AD208" s="2"/>
    </row>
    <row r="209" spans="1:30" ht="24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117"/>
      <c r="M209" s="117"/>
      <c r="N209" s="117"/>
      <c r="O209" s="117"/>
      <c r="P209" s="2"/>
      <c r="Q209" s="2"/>
      <c r="R209" s="4"/>
      <c r="S209" s="2"/>
      <c r="T209" s="2"/>
      <c r="U209" s="4"/>
      <c r="V209" s="2"/>
      <c r="W209" s="4"/>
      <c r="X209" s="2"/>
      <c r="Y209" s="4"/>
      <c r="Z209" s="2"/>
      <c r="AA209" s="117"/>
      <c r="AB209" s="2"/>
      <c r="AC209" s="2"/>
      <c r="AD209" s="2"/>
    </row>
    <row r="210" spans="1:30" ht="24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117"/>
      <c r="M210" s="117"/>
      <c r="N210" s="117"/>
      <c r="O210" s="117"/>
      <c r="P210" s="2"/>
      <c r="Q210" s="2"/>
      <c r="R210" s="4"/>
      <c r="S210" s="2"/>
      <c r="T210" s="2"/>
      <c r="U210" s="4"/>
      <c r="V210" s="2"/>
      <c r="W210" s="4"/>
      <c r="X210" s="2"/>
      <c r="Y210" s="4"/>
      <c r="Z210" s="2"/>
      <c r="AA210" s="117"/>
      <c r="AB210" s="2"/>
      <c r="AC210" s="2"/>
      <c r="AD210" s="2"/>
    </row>
    <row r="211" spans="1:30" ht="24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117"/>
      <c r="M211" s="117"/>
      <c r="N211" s="117"/>
      <c r="O211" s="117"/>
      <c r="P211" s="2"/>
      <c r="Q211" s="2"/>
      <c r="R211" s="4"/>
      <c r="S211" s="2"/>
      <c r="T211" s="2"/>
      <c r="U211" s="4"/>
      <c r="V211" s="2"/>
      <c r="W211" s="4"/>
      <c r="X211" s="2"/>
      <c r="Y211" s="4"/>
      <c r="Z211" s="2"/>
      <c r="AA211" s="117"/>
      <c r="AB211" s="2"/>
      <c r="AC211" s="2"/>
      <c r="AD211" s="2"/>
    </row>
    <row r="212" spans="1:30" ht="24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117"/>
      <c r="M212" s="117"/>
      <c r="N212" s="117"/>
      <c r="O212" s="117"/>
      <c r="P212" s="2"/>
      <c r="Q212" s="2"/>
      <c r="R212" s="4"/>
      <c r="S212" s="2"/>
      <c r="T212" s="2"/>
      <c r="U212" s="4"/>
      <c r="V212" s="2"/>
      <c r="W212" s="4"/>
      <c r="X212" s="2"/>
      <c r="Y212" s="4"/>
      <c r="Z212" s="2"/>
      <c r="AA212" s="117"/>
      <c r="AB212" s="2"/>
      <c r="AC212" s="2"/>
      <c r="AD212" s="2"/>
    </row>
    <row r="213" spans="1:30" ht="24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117"/>
      <c r="M213" s="117"/>
      <c r="N213" s="117"/>
      <c r="O213" s="117"/>
      <c r="P213" s="2"/>
      <c r="Q213" s="2"/>
      <c r="R213" s="4"/>
      <c r="S213" s="2"/>
      <c r="T213" s="2"/>
      <c r="U213" s="4"/>
      <c r="V213" s="2"/>
      <c r="W213" s="4"/>
      <c r="X213" s="2"/>
      <c r="Y213" s="4"/>
      <c r="Z213" s="2"/>
      <c r="AA213" s="117"/>
      <c r="AB213" s="2"/>
      <c r="AC213" s="2"/>
      <c r="AD213" s="2"/>
    </row>
    <row r="214" spans="1:30" ht="24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117"/>
      <c r="M214" s="117"/>
      <c r="N214" s="117"/>
      <c r="O214" s="117"/>
      <c r="P214" s="2"/>
      <c r="Q214" s="2"/>
      <c r="R214" s="4"/>
      <c r="S214" s="2"/>
      <c r="T214" s="2"/>
      <c r="U214" s="4"/>
      <c r="V214" s="2"/>
      <c r="W214" s="4"/>
      <c r="X214" s="2"/>
      <c r="Y214" s="4"/>
      <c r="Z214" s="2"/>
      <c r="AA214" s="117"/>
      <c r="AB214" s="2"/>
      <c r="AC214" s="2"/>
      <c r="AD214" s="2"/>
    </row>
    <row r="215" spans="1:30" ht="24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117"/>
      <c r="M215" s="117"/>
      <c r="N215" s="117"/>
      <c r="O215" s="117"/>
      <c r="P215" s="2"/>
      <c r="Q215" s="2"/>
      <c r="R215" s="4"/>
      <c r="S215" s="2"/>
      <c r="T215" s="2"/>
      <c r="U215" s="4"/>
      <c r="V215" s="2"/>
      <c r="W215" s="4"/>
      <c r="X215" s="2"/>
      <c r="Y215" s="4"/>
      <c r="Z215" s="2"/>
      <c r="AA215" s="117"/>
      <c r="AB215" s="2"/>
      <c r="AC215" s="2"/>
      <c r="AD215" s="2"/>
    </row>
    <row r="216" spans="1:30" ht="24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117"/>
      <c r="M216" s="117"/>
      <c r="N216" s="117"/>
      <c r="O216" s="117"/>
      <c r="P216" s="2"/>
      <c r="Q216" s="2"/>
      <c r="R216" s="4"/>
      <c r="S216" s="2"/>
      <c r="T216" s="2"/>
      <c r="U216" s="4"/>
      <c r="V216" s="2"/>
      <c r="W216" s="4"/>
      <c r="X216" s="2"/>
      <c r="Y216" s="4"/>
      <c r="Z216" s="2"/>
      <c r="AA216" s="117"/>
      <c r="AB216" s="2"/>
      <c r="AC216" s="2"/>
      <c r="AD216" s="2"/>
    </row>
    <row r="217" spans="1:30" ht="24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117"/>
      <c r="M217" s="117"/>
      <c r="N217" s="117"/>
      <c r="O217" s="117"/>
      <c r="P217" s="2"/>
      <c r="Q217" s="2"/>
      <c r="R217" s="4"/>
      <c r="S217" s="2"/>
      <c r="T217" s="2"/>
      <c r="U217" s="4"/>
      <c r="V217" s="2"/>
      <c r="W217" s="4"/>
      <c r="X217" s="2"/>
      <c r="Y217" s="4"/>
      <c r="Z217" s="2"/>
      <c r="AA217" s="117"/>
      <c r="AB217" s="2"/>
      <c r="AC217" s="2"/>
      <c r="AD217" s="2"/>
    </row>
    <row r="218" spans="1:30" ht="24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117"/>
      <c r="M218" s="117"/>
      <c r="N218" s="117"/>
      <c r="O218" s="117"/>
      <c r="P218" s="2"/>
      <c r="Q218" s="2"/>
      <c r="R218" s="4"/>
      <c r="S218" s="2"/>
      <c r="T218" s="2"/>
      <c r="U218" s="4"/>
      <c r="V218" s="2"/>
      <c r="W218" s="4"/>
      <c r="X218" s="2"/>
      <c r="Y218" s="4"/>
      <c r="Z218" s="2"/>
      <c r="AA218" s="117"/>
      <c r="AB218" s="2"/>
      <c r="AC218" s="2"/>
      <c r="AD218" s="2"/>
    </row>
    <row r="219" spans="1:30" ht="24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117"/>
      <c r="M219" s="117"/>
      <c r="N219" s="117"/>
      <c r="O219" s="117"/>
      <c r="P219" s="2"/>
      <c r="Q219" s="2"/>
      <c r="R219" s="4"/>
      <c r="S219" s="2"/>
      <c r="T219" s="2"/>
      <c r="U219" s="4"/>
      <c r="V219" s="2"/>
      <c r="W219" s="4"/>
      <c r="X219" s="2"/>
      <c r="Y219" s="4"/>
      <c r="Z219" s="2"/>
      <c r="AA219" s="117"/>
      <c r="AB219" s="2"/>
      <c r="AC219" s="2"/>
      <c r="AD219" s="2"/>
    </row>
    <row r="220" spans="1:30" ht="24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117"/>
      <c r="M220" s="117"/>
      <c r="N220" s="117"/>
      <c r="O220" s="117"/>
      <c r="P220" s="2"/>
      <c r="Q220" s="2"/>
      <c r="R220" s="4"/>
      <c r="S220" s="2"/>
      <c r="T220" s="2"/>
      <c r="U220" s="4"/>
      <c r="V220" s="2"/>
      <c r="W220" s="4"/>
      <c r="X220" s="2"/>
      <c r="Y220" s="4"/>
      <c r="Z220" s="2"/>
      <c r="AA220" s="117"/>
      <c r="AB220" s="2"/>
      <c r="AC220" s="2"/>
      <c r="AD220" s="2"/>
    </row>
    <row r="221" spans="1:30" ht="24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117"/>
      <c r="M221" s="117"/>
      <c r="N221" s="117"/>
      <c r="O221" s="117"/>
      <c r="P221" s="2"/>
      <c r="Q221" s="2"/>
      <c r="R221" s="4"/>
      <c r="S221" s="2"/>
      <c r="T221" s="2"/>
      <c r="U221" s="4"/>
      <c r="V221" s="2"/>
      <c r="W221" s="4"/>
      <c r="X221" s="2"/>
      <c r="Y221" s="4"/>
      <c r="Z221" s="2"/>
      <c r="AA221" s="117"/>
      <c r="AB221" s="2"/>
      <c r="AC221" s="2"/>
      <c r="AD221" s="2"/>
    </row>
    <row r="222" spans="1:30" ht="24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117"/>
      <c r="M222" s="117"/>
      <c r="N222" s="117"/>
      <c r="O222" s="117"/>
      <c r="P222" s="2"/>
      <c r="Q222" s="2"/>
      <c r="R222" s="4"/>
      <c r="S222" s="2"/>
      <c r="T222" s="2"/>
      <c r="U222" s="4"/>
      <c r="V222" s="2"/>
      <c r="W222" s="4"/>
      <c r="X222" s="2"/>
      <c r="Y222" s="4"/>
      <c r="Z222" s="2"/>
      <c r="AA222" s="117"/>
      <c r="AB222" s="2"/>
      <c r="AC222" s="2"/>
      <c r="AD222" s="2"/>
    </row>
    <row r="223" spans="1:30" ht="24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117"/>
      <c r="M223" s="117"/>
      <c r="N223" s="117"/>
      <c r="O223" s="117"/>
      <c r="P223" s="2"/>
      <c r="Q223" s="2"/>
      <c r="R223" s="4"/>
      <c r="S223" s="2"/>
      <c r="T223" s="2"/>
      <c r="U223" s="4"/>
      <c r="V223" s="2"/>
      <c r="W223" s="4"/>
      <c r="X223" s="2"/>
      <c r="Y223" s="4"/>
      <c r="Z223" s="2"/>
      <c r="AA223" s="117"/>
      <c r="AB223" s="2"/>
      <c r="AC223" s="2"/>
      <c r="AD223" s="2"/>
    </row>
    <row r="224" spans="1:30" ht="24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117"/>
      <c r="M224" s="117"/>
      <c r="N224" s="117"/>
      <c r="O224" s="117"/>
      <c r="P224" s="2"/>
      <c r="Q224" s="2"/>
      <c r="R224" s="4"/>
      <c r="S224" s="2"/>
      <c r="T224" s="2"/>
      <c r="U224" s="4"/>
      <c r="V224" s="2"/>
      <c r="W224" s="4"/>
      <c r="X224" s="2"/>
      <c r="Y224" s="4"/>
      <c r="Z224" s="2"/>
      <c r="AA224" s="117"/>
      <c r="AB224" s="2"/>
      <c r="AC224" s="2"/>
      <c r="AD224" s="2"/>
    </row>
    <row r="225" spans="1:30" ht="24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117"/>
      <c r="M225" s="117"/>
      <c r="N225" s="117"/>
      <c r="O225" s="117"/>
      <c r="P225" s="2"/>
      <c r="Q225" s="2"/>
      <c r="R225" s="4"/>
      <c r="S225" s="2"/>
      <c r="T225" s="2"/>
      <c r="U225" s="4"/>
      <c r="V225" s="2"/>
      <c r="W225" s="4"/>
      <c r="X225" s="2"/>
      <c r="Y225" s="4"/>
      <c r="Z225" s="2"/>
      <c r="AA225" s="117"/>
      <c r="AB225" s="2"/>
      <c r="AC225" s="2"/>
      <c r="AD225" s="2"/>
    </row>
    <row r="226" spans="1:30" ht="24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117"/>
      <c r="M226" s="117"/>
      <c r="N226" s="117"/>
      <c r="O226" s="117"/>
      <c r="P226" s="2"/>
      <c r="Q226" s="2"/>
      <c r="R226" s="4"/>
      <c r="S226" s="2"/>
      <c r="T226" s="2"/>
      <c r="U226" s="4"/>
      <c r="V226" s="2"/>
      <c r="W226" s="4"/>
      <c r="X226" s="2"/>
      <c r="Y226" s="4"/>
      <c r="Z226" s="2"/>
      <c r="AA226" s="117"/>
      <c r="AB226" s="2"/>
      <c r="AC226" s="2"/>
      <c r="AD226" s="2"/>
    </row>
    <row r="227" spans="1:30" ht="24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117"/>
      <c r="M227" s="117"/>
      <c r="N227" s="117"/>
      <c r="O227" s="117"/>
      <c r="P227" s="2"/>
      <c r="Q227" s="2"/>
      <c r="R227" s="4"/>
      <c r="S227" s="2"/>
      <c r="T227" s="2"/>
      <c r="U227" s="4"/>
      <c r="V227" s="2"/>
      <c r="W227" s="4"/>
      <c r="X227" s="2"/>
      <c r="Y227" s="4"/>
      <c r="Z227" s="2"/>
      <c r="AA227" s="117"/>
      <c r="AB227" s="2"/>
      <c r="AC227" s="2"/>
      <c r="AD227" s="2"/>
    </row>
    <row r="228" spans="1:30" ht="24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117"/>
      <c r="M228" s="117"/>
      <c r="N228" s="117"/>
      <c r="O228" s="117"/>
      <c r="P228" s="2"/>
      <c r="Q228" s="2"/>
      <c r="R228" s="4"/>
      <c r="S228" s="2"/>
      <c r="T228" s="2"/>
      <c r="U228" s="4"/>
      <c r="V228" s="2"/>
      <c r="W228" s="4"/>
      <c r="X228" s="2"/>
      <c r="Y228" s="4"/>
      <c r="Z228" s="2"/>
      <c r="AA228" s="117"/>
      <c r="AB228" s="2"/>
      <c r="AC228" s="2"/>
      <c r="AD228" s="2"/>
    </row>
    <row r="229" spans="1:30" ht="24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117"/>
      <c r="M229" s="117"/>
      <c r="N229" s="117"/>
      <c r="O229" s="117"/>
      <c r="P229" s="2"/>
      <c r="Q229" s="2"/>
      <c r="R229" s="4"/>
      <c r="S229" s="2"/>
      <c r="T229" s="2"/>
      <c r="U229" s="4"/>
      <c r="V229" s="2"/>
      <c r="W229" s="4"/>
      <c r="X229" s="2"/>
      <c r="Y229" s="4"/>
      <c r="Z229" s="2"/>
      <c r="AA229" s="117"/>
      <c r="AB229" s="2"/>
      <c r="AC229" s="2"/>
      <c r="AD229" s="2"/>
    </row>
    <row r="230" spans="1:30" ht="24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117"/>
      <c r="M230" s="117"/>
      <c r="N230" s="117"/>
      <c r="O230" s="117"/>
      <c r="P230" s="2"/>
      <c r="Q230" s="2"/>
      <c r="R230" s="4"/>
      <c r="S230" s="2"/>
      <c r="T230" s="2"/>
      <c r="U230" s="4"/>
      <c r="V230" s="2"/>
      <c r="W230" s="4"/>
      <c r="X230" s="2"/>
      <c r="Y230" s="4"/>
      <c r="Z230" s="2"/>
      <c r="AA230" s="117"/>
      <c r="AB230" s="2"/>
      <c r="AC230" s="2"/>
      <c r="AD230" s="2"/>
    </row>
    <row r="231" spans="1:30" ht="24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117"/>
      <c r="M231" s="117"/>
      <c r="N231" s="117"/>
      <c r="O231" s="117"/>
      <c r="P231" s="2"/>
      <c r="Q231" s="2"/>
      <c r="R231" s="4"/>
      <c r="S231" s="2"/>
      <c r="T231" s="2"/>
      <c r="U231" s="4"/>
      <c r="V231" s="2"/>
      <c r="W231" s="4"/>
      <c r="X231" s="2"/>
      <c r="Y231" s="4"/>
      <c r="Z231" s="2"/>
      <c r="AA231" s="117"/>
      <c r="AB231" s="2"/>
      <c r="AC231" s="2"/>
      <c r="AD231" s="2"/>
    </row>
    <row r="232" spans="1:30" ht="24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117"/>
      <c r="M232" s="117"/>
      <c r="N232" s="117"/>
      <c r="O232" s="117"/>
      <c r="P232" s="2"/>
      <c r="Q232" s="2"/>
      <c r="R232" s="4"/>
      <c r="S232" s="2"/>
      <c r="T232" s="2"/>
      <c r="U232" s="4"/>
      <c r="V232" s="2"/>
      <c r="W232" s="4"/>
      <c r="X232" s="2"/>
      <c r="Y232" s="4"/>
      <c r="Z232" s="2"/>
      <c r="AA232" s="117"/>
      <c r="AB232" s="2"/>
      <c r="AC232" s="2"/>
      <c r="AD232" s="2"/>
    </row>
    <row r="233" spans="1:30" ht="24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117"/>
      <c r="M233" s="117"/>
      <c r="N233" s="117"/>
      <c r="O233" s="117"/>
      <c r="P233" s="2"/>
      <c r="Q233" s="2"/>
      <c r="R233" s="4"/>
      <c r="S233" s="2"/>
      <c r="T233" s="2"/>
      <c r="U233" s="4"/>
      <c r="V233" s="2"/>
      <c r="W233" s="4"/>
      <c r="X233" s="2"/>
      <c r="Y233" s="4"/>
      <c r="Z233" s="2"/>
      <c r="AA233" s="117"/>
      <c r="AB233" s="2"/>
      <c r="AC233" s="2"/>
      <c r="AD233" s="2"/>
    </row>
    <row r="234" spans="1:30" ht="24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117"/>
      <c r="M234" s="117"/>
      <c r="N234" s="117"/>
      <c r="O234" s="117"/>
      <c r="P234" s="2"/>
      <c r="Q234" s="2"/>
      <c r="R234" s="4"/>
      <c r="S234" s="2"/>
      <c r="T234" s="2"/>
      <c r="U234" s="4"/>
      <c r="V234" s="2"/>
      <c r="W234" s="4"/>
      <c r="X234" s="2"/>
      <c r="Y234" s="4"/>
      <c r="Z234" s="2"/>
      <c r="AA234" s="117"/>
      <c r="AB234" s="2"/>
      <c r="AC234" s="2"/>
      <c r="AD234" s="2"/>
    </row>
    <row r="235" spans="1:30" ht="24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117"/>
      <c r="M235" s="117"/>
      <c r="N235" s="117"/>
      <c r="O235" s="117"/>
      <c r="P235" s="2"/>
      <c r="Q235" s="2"/>
      <c r="R235" s="4"/>
      <c r="S235" s="2"/>
      <c r="T235" s="2"/>
      <c r="U235" s="4"/>
      <c r="V235" s="2"/>
      <c r="W235" s="4"/>
      <c r="X235" s="2"/>
      <c r="Y235" s="4"/>
      <c r="Z235" s="2"/>
      <c r="AA235" s="117"/>
      <c r="AB235" s="2"/>
      <c r="AC235" s="2"/>
      <c r="AD235" s="2"/>
    </row>
    <row r="236" spans="1:30" ht="24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117"/>
      <c r="M236" s="117"/>
      <c r="N236" s="117"/>
      <c r="O236" s="117"/>
      <c r="P236" s="2"/>
      <c r="Q236" s="2"/>
      <c r="R236" s="4"/>
      <c r="S236" s="2"/>
      <c r="T236" s="2"/>
      <c r="U236" s="4"/>
      <c r="V236" s="2"/>
      <c r="W236" s="4"/>
      <c r="X236" s="2"/>
      <c r="Y236" s="4"/>
      <c r="Z236" s="2"/>
      <c r="AA236" s="117"/>
      <c r="AB236" s="2"/>
      <c r="AC236" s="2"/>
      <c r="AD236" s="2"/>
    </row>
    <row r="237" spans="1:30" ht="24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117"/>
      <c r="M237" s="117"/>
      <c r="N237" s="117"/>
      <c r="O237" s="117"/>
      <c r="P237" s="2"/>
      <c r="Q237" s="2"/>
      <c r="R237" s="4"/>
      <c r="S237" s="2"/>
      <c r="T237" s="2"/>
      <c r="U237" s="4"/>
      <c r="V237" s="2"/>
      <c r="W237" s="4"/>
      <c r="X237" s="2"/>
      <c r="Y237" s="4"/>
      <c r="Z237" s="2"/>
      <c r="AA237" s="117"/>
      <c r="AB237" s="2"/>
      <c r="AC237" s="2"/>
      <c r="AD237" s="2"/>
    </row>
    <row r="238" spans="1:30" ht="24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117"/>
      <c r="M238" s="117"/>
      <c r="N238" s="117"/>
      <c r="O238" s="117"/>
      <c r="P238" s="2"/>
      <c r="Q238" s="2"/>
      <c r="R238" s="4"/>
      <c r="S238" s="2"/>
      <c r="T238" s="2"/>
      <c r="U238" s="4"/>
      <c r="V238" s="2"/>
      <c r="W238" s="4"/>
      <c r="X238" s="2"/>
      <c r="Y238" s="4"/>
      <c r="Z238" s="2"/>
      <c r="AA238" s="117"/>
      <c r="AB238" s="2"/>
      <c r="AC238" s="2"/>
      <c r="AD238" s="2"/>
    </row>
    <row r="239" spans="1:30" ht="24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117"/>
      <c r="M239" s="117"/>
      <c r="N239" s="117"/>
      <c r="O239" s="117"/>
      <c r="P239" s="2"/>
      <c r="Q239" s="2"/>
      <c r="R239" s="4"/>
      <c r="S239" s="2"/>
      <c r="T239" s="2"/>
      <c r="U239" s="4"/>
      <c r="V239" s="2"/>
      <c r="W239" s="4"/>
      <c r="X239" s="2"/>
      <c r="Y239" s="4"/>
      <c r="Z239" s="2"/>
      <c r="AA239" s="117"/>
      <c r="AB239" s="2"/>
      <c r="AC239" s="2"/>
      <c r="AD239" s="2"/>
    </row>
    <row r="240" spans="1:30" ht="24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117"/>
      <c r="M240" s="117"/>
      <c r="N240" s="117"/>
      <c r="O240" s="117"/>
      <c r="P240" s="2"/>
      <c r="Q240" s="2"/>
      <c r="R240" s="4"/>
      <c r="S240" s="2"/>
      <c r="T240" s="2"/>
      <c r="U240" s="4"/>
      <c r="V240" s="2"/>
      <c r="W240" s="4"/>
      <c r="X240" s="2"/>
      <c r="Y240" s="4"/>
      <c r="Z240" s="2"/>
      <c r="AA240" s="117"/>
      <c r="AB240" s="2"/>
      <c r="AC240" s="2"/>
      <c r="AD240" s="2"/>
    </row>
    <row r="241" spans="1:30" ht="24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117"/>
      <c r="M241" s="117"/>
      <c r="N241" s="117"/>
      <c r="O241" s="117"/>
      <c r="P241" s="2"/>
      <c r="Q241" s="2"/>
      <c r="R241" s="4"/>
      <c r="S241" s="2"/>
      <c r="T241" s="2"/>
      <c r="U241" s="4"/>
      <c r="V241" s="2"/>
      <c r="W241" s="4"/>
      <c r="X241" s="2"/>
      <c r="Y241" s="4"/>
      <c r="Z241" s="2"/>
      <c r="AA241" s="117"/>
      <c r="AB241" s="2"/>
      <c r="AC241" s="2"/>
      <c r="AD241" s="2"/>
    </row>
    <row r="242" spans="1:30" ht="24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117"/>
      <c r="M242" s="117"/>
      <c r="N242" s="117"/>
      <c r="O242" s="117"/>
      <c r="P242" s="2"/>
      <c r="Q242" s="2"/>
      <c r="R242" s="4"/>
      <c r="S242" s="2"/>
      <c r="T242" s="2"/>
      <c r="U242" s="4"/>
      <c r="V242" s="2"/>
      <c r="W242" s="4"/>
      <c r="X242" s="2"/>
      <c r="Y242" s="4"/>
      <c r="Z242" s="2"/>
      <c r="AA242" s="117"/>
      <c r="AB242" s="2"/>
      <c r="AC242" s="2"/>
      <c r="AD242" s="2"/>
    </row>
    <row r="243" spans="1:30" ht="24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117"/>
      <c r="M243" s="117"/>
      <c r="N243" s="117"/>
      <c r="O243" s="117"/>
      <c r="P243" s="2"/>
      <c r="Q243" s="2"/>
      <c r="R243" s="4"/>
      <c r="S243" s="2"/>
      <c r="T243" s="2"/>
      <c r="U243" s="4"/>
      <c r="V243" s="2"/>
      <c r="W243" s="4"/>
      <c r="X243" s="2"/>
      <c r="Y243" s="4"/>
      <c r="Z243" s="2"/>
      <c r="AA243" s="117"/>
      <c r="AB243" s="2"/>
      <c r="AC243" s="2"/>
      <c r="AD243" s="2"/>
    </row>
    <row r="244" spans="1:30" ht="24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117"/>
      <c r="M244" s="117"/>
      <c r="N244" s="117"/>
      <c r="O244" s="117"/>
      <c r="P244" s="2"/>
      <c r="Q244" s="2"/>
      <c r="R244" s="4"/>
      <c r="S244" s="2"/>
      <c r="T244" s="2"/>
      <c r="U244" s="4"/>
      <c r="V244" s="2"/>
      <c r="W244" s="4"/>
      <c r="X244" s="2"/>
      <c r="Y244" s="4"/>
      <c r="Z244" s="2"/>
      <c r="AA244" s="117"/>
      <c r="AB244" s="2"/>
      <c r="AC244" s="2"/>
      <c r="AD244" s="2"/>
    </row>
    <row r="245" spans="1:30" ht="24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117"/>
      <c r="M245" s="117"/>
      <c r="N245" s="117"/>
      <c r="O245" s="117"/>
      <c r="P245" s="2"/>
      <c r="Q245" s="2"/>
      <c r="R245" s="4"/>
      <c r="S245" s="2"/>
      <c r="T245" s="2"/>
      <c r="U245" s="4"/>
      <c r="V245" s="2"/>
      <c r="W245" s="4"/>
      <c r="X245" s="2"/>
      <c r="Y245" s="4"/>
      <c r="Z245" s="2"/>
      <c r="AA245" s="117"/>
      <c r="AB245" s="2"/>
      <c r="AC245" s="2"/>
      <c r="AD245" s="2"/>
    </row>
    <row r="246" spans="1:30" ht="24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117"/>
      <c r="M246" s="117"/>
      <c r="N246" s="117"/>
      <c r="O246" s="117"/>
      <c r="P246" s="2"/>
      <c r="Q246" s="2"/>
      <c r="R246" s="4"/>
      <c r="S246" s="2"/>
      <c r="T246" s="2"/>
      <c r="U246" s="4"/>
      <c r="V246" s="2"/>
      <c r="W246" s="4"/>
      <c r="X246" s="2"/>
      <c r="Y246" s="4"/>
      <c r="Z246" s="2"/>
      <c r="AA246" s="117"/>
      <c r="AB246" s="2"/>
      <c r="AC246" s="2"/>
      <c r="AD246" s="2"/>
    </row>
    <row r="247" spans="1:30" ht="24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117"/>
      <c r="M247" s="117"/>
      <c r="N247" s="117"/>
      <c r="O247" s="117"/>
      <c r="P247" s="2"/>
      <c r="Q247" s="2"/>
      <c r="R247" s="4"/>
      <c r="S247" s="2"/>
      <c r="T247" s="2"/>
      <c r="U247" s="4"/>
      <c r="V247" s="2"/>
      <c r="W247" s="4"/>
      <c r="X247" s="2"/>
      <c r="Y247" s="4"/>
      <c r="Z247" s="2"/>
      <c r="AA247" s="117"/>
      <c r="AB247" s="2"/>
      <c r="AC247" s="2"/>
      <c r="AD247" s="2"/>
    </row>
    <row r="248" spans="1:30" ht="24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117"/>
      <c r="M248" s="117"/>
      <c r="N248" s="117"/>
      <c r="O248" s="117"/>
      <c r="P248" s="2"/>
      <c r="Q248" s="2"/>
      <c r="R248" s="4"/>
      <c r="S248" s="2"/>
      <c r="T248" s="2"/>
      <c r="U248" s="4"/>
      <c r="V248" s="2"/>
      <c r="W248" s="4"/>
      <c r="X248" s="2"/>
      <c r="Y248" s="4"/>
      <c r="Z248" s="2"/>
      <c r="AA248" s="117"/>
      <c r="AB248" s="2"/>
      <c r="AC248" s="2"/>
      <c r="AD248" s="2"/>
    </row>
    <row r="249" spans="1:30" ht="24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117"/>
      <c r="M249" s="117"/>
      <c r="N249" s="117"/>
      <c r="O249" s="117"/>
      <c r="P249" s="2"/>
      <c r="Q249" s="2"/>
      <c r="R249" s="4"/>
      <c r="S249" s="2"/>
      <c r="T249" s="2"/>
      <c r="U249" s="4"/>
      <c r="V249" s="2"/>
      <c r="W249" s="4"/>
      <c r="X249" s="2"/>
      <c r="Y249" s="4"/>
      <c r="Z249" s="2"/>
      <c r="AA249" s="117"/>
      <c r="AB249" s="2"/>
      <c r="AC249" s="2"/>
      <c r="AD249" s="2"/>
    </row>
    <row r="250" spans="1:30" ht="24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117"/>
      <c r="M250" s="117"/>
      <c r="N250" s="117"/>
      <c r="O250" s="117"/>
      <c r="P250" s="2"/>
      <c r="Q250" s="2"/>
      <c r="R250" s="4"/>
      <c r="S250" s="2"/>
      <c r="T250" s="2"/>
      <c r="U250" s="4"/>
      <c r="V250" s="2"/>
      <c r="W250" s="4"/>
      <c r="X250" s="2"/>
      <c r="Y250" s="4"/>
      <c r="Z250" s="2"/>
      <c r="AA250" s="117"/>
      <c r="AB250" s="2"/>
      <c r="AC250" s="2"/>
      <c r="AD250" s="2"/>
    </row>
    <row r="251" spans="1:30" ht="24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117"/>
      <c r="M251" s="117"/>
      <c r="N251" s="117"/>
      <c r="O251" s="117"/>
      <c r="P251" s="2"/>
      <c r="Q251" s="2"/>
      <c r="R251" s="4"/>
      <c r="S251" s="2"/>
      <c r="T251" s="2"/>
      <c r="U251" s="4"/>
      <c r="V251" s="2"/>
      <c r="W251" s="4"/>
      <c r="X251" s="2"/>
      <c r="Y251" s="4"/>
      <c r="Z251" s="2"/>
      <c r="AA251" s="117"/>
      <c r="AB251" s="2"/>
      <c r="AC251" s="2"/>
      <c r="AD251" s="2"/>
    </row>
    <row r="252" spans="1:30" ht="24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117"/>
      <c r="M252" s="117"/>
      <c r="N252" s="117"/>
      <c r="O252" s="117"/>
      <c r="P252" s="2"/>
      <c r="Q252" s="2"/>
      <c r="R252" s="4"/>
      <c r="S252" s="2"/>
      <c r="T252" s="2"/>
      <c r="U252" s="4"/>
      <c r="V252" s="2"/>
      <c r="W252" s="4"/>
      <c r="X252" s="2"/>
      <c r="Y252" s="4"/>
      <c r="Z252" s="2"/>
      <c r="AA252" s="117"/>
      <c r="AB252" s="2"/>
      <c r="AC252" s="2"/>
      <c r="AD252" s="2"/>
    </row>
    <row r="253" spans="1:30" ht="24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117"/>
      <c r="M253" s="117"/>
      <c r="N253" s="117"/>
      <c r="O253" s="117"/>
      <c r="P253" s="2"/>
      <c r="Q253" s="2"/>
      <c r="R253" s="4"/>
      <c r="S253" s="2"/>
      <c r="T253" s="2"/>
      <c r="U253" s="4"/>
      <c r="V253" s="2"/>
      <c r="W253" s="4"/>
      <c r="X253" s="2"/>
      <c r="Y253" s="4"/>
      <c r="Z253" s="2"/>
      <c r="AA253" s="117"/>
      <c r="AB253" s="2"/>
      <c r="AC253" s="2"/>
      <c r="AD253" s="2"/>
    </row>
    <row r="254" spans="1:30" ht="24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117"/>
      <c r="M254" s="117"/>
      <c r="N254" s="117"/>
      <c r="O254" s="117"/>
      <c r="P254" s="2"/>
      <c r="Q254" s="2"/>
      <c r="R254" s="4"/>
      <c r="S254" s="2"/>
      <c r="T254" s="2"/>
      <c r="U254" s="4"/>
      <c r="V254" s="2"/>
      <c r="W254" s="4"/>
      <c r="X254" s="2"/>
      <c r="Y254" s="4"/>
      <c r="Z254" s="2"/>
      <c r="AA254" s="117"/>
      <c r="AB254" s="2"/>
      <c r="AC254" s="2"/>
      <c r="AD254" s="2"/>
    </row>
    <row r="255" spans="1:30" ht="24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117"/>
      <c r="M255" s="117"/>
      <c r="N255" s="117"/>
      <c r="O255" s="117"/>
      <c r="P255" s="2"/>
      <c r="Q255" s="2"/>
      <c r="R255" s="4"/>
      <c r="S255" s="2"/>
      <c r="T255" s="2"/>
      <c r="U255" s="4"/>
      <c r="V255" s="2"/>
      <c r="W255" s="4"/>
      <c r="X255" s="2"/>
      <c r="Y255" s="4"/>
      <c r="Z255" s="2"/>
      <c r="AA255" s="117"/>
      <c r="AB255" s="2"/>
      <c r="AC255" s="2"/>
      <c r="AD255" s="2"/>
    </row>
    <row r="256" spans="1:30" ht="24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117"/>
      <c r="M256" s="117"/>
      <c r="N256" s="117"/>
      <c r="O256" s="117"/>
      <c r="P256" s="2"/>
      <c r="Q256" s="2"/>
      <c r="R256" s="4"/>
      <c r="S256" s="2"/>
      <c r="T256" s="2"/>
      <c r="U256" s="4"/>
      <c r="V256" s="2"/>
      <c r="W256" s="4"/>
      <c r="X256" s="2"/>
      <c r="Y256" s="4"/>
      <c r="Z256" s="2"/>
      <c r="AA256" s="117"/>
      <c r="AB256" s="2"/>
      <c r="AC256" s="2"/>
      <c r="AD256" s="2"/>
    </row>
    <row r="257" spans="1:30" ht="24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117"/>
      <c r="M257" s="117"/>
      <c r="N257" s="117"/>
      <c r="O257" s="117"/>
      <c r="P257" s="2"/>
      <c r="Q257" s="2"/>
      <c r="R257" s="4"/>
      <c r="S257" s="2"/>
      <c r="T257" s="2"/>
      <c r="U257" s="4"/>
      <c r="V257" s="2"/>
      <c r="W257" s="4"/>
      <c r="X257" s="2"/>
      <c r="Y257" s="4"/>
      <c r="Z257" s="2"/>
      <c r="AA257" s="117"/>
      <c r="AB257" s="2"/>
      <c r="AC257" s="2"/>
      <c r="AD257" s="2"/>
    </row>
    <row r="258" spans="1:30" ht="24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117"/>
      <c r="M258" s="117"/>
      <c r="N258" s="117"/>
      <c r="O258" s="117"/>
      <c r="P258" s="2"/>
      <c r="Q258" s="2"/>
      <c r="R258" s="4"/>
      <c r="S258" s="2"/>
      <c r="T258" s="2"/>
      <c r="U258" s="4"/>
      <c r="V258" s="2"/>
      <c r="W258" s="4"/>
      <c r="X258" s="2"/>
      <c r="Y258" s="4"/>
      <c r="Z258" s="2"/>
      <c r="AA258" s="117"/>
      <c r="AB258" s="2"/>
      <c r="AC258" s="2"/>
      <c r="AD258" s="2"/>
    </row>
    <row r="259" spans="1:30" ht="24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117"/>
      <c r="M259" s="117"/>
      <c r="N259" s="117"/>
      <c r="O259" s="117"/>
      <c r="P259" s="2"/>
      <c r="Q259" s="2"/>
      <c r="R259" s="4"/>
      <c r="S259" s="2"/>
      <c r="T259" s="2"/>
      <c r="U259" s="4"/>
      <c r="V259" s="2"/>
      <c r="W259" s="4"/>
      <c r="X259" s="2"/>
      <c r="Y259" s="4"/>
      <c r="Z259" s="2"/>
      <c r="AA259" s="117"/>
      <c r="AB259" s="2"/>
      <c r="AC259" s="2"/>
      <c r="AD259" s="2"/>
    </row>
    <row r="260" spans="1:30" ht="24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117"/>
      <c r="M260" s="117"/>
      <c r="N260" s="117"/>
      <c r="O260" s="117"/>
      <c r="P260" s="2"/>
      <c r="Q260" s="2"/>
      <c r="R260" s="4"/>
      <c r="S260" s="2"/>
      <c r="T260" s="2"/>
      <c r="U260" s="4"/>
      <c r="V260" s="2"/>
      <c r="W260" s="4"/>
      <c r="X260" s="2"/>
      <c r="Y260" s="4"/>
      <c r="Z260" s="2"/>
      <c r="AA260" s="117"/>
      <c r="AB260" s="2"/>
      <c r="AC260" s="2"/>
      <c r="AD260" s="2"/>
    </row>
    <row r="261" spans="1:30" ht="24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117"/>
      <c r="M261" s="117"/>
      <c r="N261" s="117"/>
      <c r="O261" s="117"/>
      <c r="P261" s="2"/>
      <c r="Q261" s="2"/>
      <c r="R261" s="4"/>
      <c r="S261" s="2"/>
      <c r="T261" s="2"/>
      <c r="U261" s="4"/>
      <c r="V261" s="2"/>
      <c r="W261" s="4"/>
      <c r="X261" s="2"/>
      <c r="Y261" s="4"/>
      <c r="Z261" s="2"/>
      <c r="AA261" s="117"/>
      <c r="AB261" s="2"/>
      <c r="AC261" s="2"/>
      <c r="AD261" s="2"/>
    </row>
    <row r="262" spans="1:30" ht="24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117"/>
      <c r="M262" s="117"/>
      <c r="N262" s="117"/>
      <c r="O262" s="117"/>
      <c r="P262" s="2"/>
      <c r="Q262" s="2"/>
      <c r="R262" s="4"/>
      <c r="S262" s="2"/>
      <c r="T262" s="2"/>
      <c r="U262" s="4"/>
      <c r="V262" s="2"/>
      <c r="W262" s="4"/>
      <c r="X262" s="2"/>
      <c r="Y262" s="4"/>
      <c r="Z262" s="2"/>
      <c r="AA262" s="117"/>
      <c r="AB262" s="2"/>
      <c r="AC262" s="2"/>
      <c r="AD262" s="2"/>
    </row>
    <row r="263" spans="1:30" ht="24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117"/>
      <c r="M263" s="117"/>
      <c r="N263" s="117"/>
      <c r="O263" s="117"/>
      <c r="P263" s="2"/>
      <c r="Q263" s="2"/>
      <c r="R263" s="4"/>
      <c r="S263" s="2"/>
      <c r="T263" s="2"/>
      <c r="U263" s="4"/>
      <c r="V263" s="2"/>
      <c r="W263" s="4"/>
      <c r="X263" s="2"/>
      <c r="Y263" s="4"/>
      <c r="Z263" s="2"/>
      <c r="AA263" s="117"/>
      <c r="AB263" s="2"/>
      <c r="AC263" s="2"/>
      <c r="AD263" s="2"/>
    </row>
    <row r="264" spans="1:30" ht="24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117"/>
      <c r="M264" s="117"/>
      <c r="N264" s="117"/>
      <c r="O264" s="117"/>
      <c r="P264" s="2"/>
      <c r="Q264" s="2"/>
      <c r="R264" s="4"/>
      <c r="S264" s="2"/>
      <c r="T264" s="2"/>
      <c r="U264" s="4"/>
      <c r="V264" s="2"/>
      <c r="W264" s="4"/>
      <c r="X264" s="2"/>
      <c r="Y264" s="4"/>
      <c r="Z264" s="2"/>
      <c r="AA264" s="117"/>
      <c r="AB264" s="2"/>
      <c r="AC264" s="2"/>
      <c r="AD264" s="2"/>
    </row>
    <row r="265" spans="1:30" ht="24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117"/>
      <c r="M265" s="117"/>
      <c r="N265" s="117"/>
      <c r="O265" s="117"/>
      <c r="P265" s="2"/>
      <c r="Q265" s="2"/>
      <c r="R265" s="4"/>
      <c r="S265" s="2"/>
      <c r="T265" s="2"/>
      <c r="U265" s="4"/>
      <c r="V265" s="2"/>
      <c r="W265" s="4"/>
      <c r="X265" s="2"/>
      <c r="Y265" s="4"/>
      <c r="Z265" s="2"/>
      <c r="AA265" s="117"/>
      <c r="AB265" s="2"/>
      <c r="AC265" s="2"/>
      <c r="AD265" s="2"/>
    </row>
    <row r="266" spans="1:30" ht="24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117"/>
      <c r="M266" s="117"/>
      <c r="N266" s="117"/>
      <c r="O266" s="117"/>
      <c r="P266" s="2"/>
      <c r="Q266" s="2"/>
      <c r="R266" s="4"/>
      <c r="S266" s="2"/>
      <c r="T266" s="2"/>
      <c r="U266" s="4"/>
      <c r="V266" s="2"/>
      <c r="W266" s="4"/>
      <c r="X266" s="2"/>
      <c r="Y266" s="4"/>
      <c r="Z266" s="2"/>
      <c r="AA266" s="117"/>
      <c r="AB266" s="2"/>
      <c r="AC266" s="2"/>
      <c r="AD266" s="2"/>
    </row>
    <row r="267" spans="1:30" ht="24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117"/>
      <c r="M267" s="117"/>
      <c r="N267" s="117"/>
      <c r="O267" s="117"/>
      <c r="P267" s="2"/>
      <c r="Q267" s="2"/>
      <c r="R267" s="4"/>
      <c r="S267" s="2"/>
      <c r="T267" s="2"/>
      <c r="U267" s="4"/>
      <c r="V267" s="2"/>
      <c r="W267" s="4"/>
      <c r="X267" s="2"/>
      <c r="Y267" s="4"/>
      <c r="Z267" s="2"/>
      <c r="AA267" s="117"/>
      <c r="AB267" s="2"/>
      <c r="AC267" s="2"/>
      <c r="AD267" s="2"/>
    </row>
    <row r="268" spans="1:30" ht="24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117"/>
      <c r="M268" s="117"/>
      <c r="N268" s="117"/>
      <c r="O268" s="117"/>
      <c r="P268" s="2"/>
      <c r="Q268" s="2"/>
      <c r="R268" s="4"/>
      <c r="S268" s="2"/>
      <c r="T268" s="2"/>
      <c r="U268" s="4"/>
      <c r="V268" s="2"/>
      <c r="W268" s="4"/>
      <c r="X268" s="2"/>
      <c r="Y268" s="4"/>
      <c r="Z268" s="2"/>
      <c r="AA268" s="117"/>
      <c r="AB268" s="2"/>
      <c r="AC268" s="2"/>
      <c r="AD268" s="2"/>
    </row>
    <row r="269" spans="1:30" ht="24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117"/>
      <c r="M269" s="117"/>
      <c r="N269" s="117"/>
      <c r="O269" s="117"/>
      <c r="P269" s="2"/>
      <c r="Q269" s="2"/>
      <c r="R269" s="4"/>
      <c r="S269" s="2"/>
      <c r="T269" s="2"/>
      <c r="U269" s="4"/>
      <c r="V269" s="2"/>
      <c r="W269" s="4"/>
      <c r="X269" s="2"/>
      <c r="Y269" s="4"/>
      <c r="Z269" s="2"/>
      <c r="AA269" s="117"/>
      <c r="AB269" s="2"/>
      <c r="AC269" s="2"/>
      <c r="AD269" s="2"/>
    </row>
    <row r="270" spans="1:30" ht="24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117"/>
      <c r="M270" s="117"/>
      <c r="N270" s="117"/>
      <c r="O270" s="117"/>
      <c r="P270" s="2"/>
      <c r="Q270" s="2"/>
      <c r="R270" s="4"/>
      <c r="S270" s="2"/>
      <c r="T270" s="2"/>
      <c r="U270" s="4"/>
      <c r="V270" s="2"/>
      <c r="W270" s="4"/>
      <c r="X270" s="2"/>
      <c r="Y270" s="4"/>
      <c r="Z270" s="2"/>
      <c r="AA270" s="117"/>
      <c r="AB270" s="2"/>
      <c r="AC270" s="2"/>
      <c r="AD270" s="2"/>
    </row>
    <row r="271" spans="1:30" ht="24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117"/>
      <c r="M271" s="117"/>
      <c r="N271" s="117"/>
      <c r="O271" s="117"/>
      <c r="P271" s="2"/>
      <c r="Q271" s="2"/>
      <c r="R271" s="4"/>
      <c r="S271" s="2"/>
      <c r="T271" s="2"/>
      <c r="U271" s="4"/>
      <c r="V271" s="2"/>
      <c r="W271" s="4"/>
      <c r="X271" s="2"/>
      <c r="Y271" s="4"/>
      <c r="Z271" s="2"/>
      <c r="AA271" s="117"/>
      <c r="AB271" s="2"/>
      <c r="AC271" s="2"/>
      <c r="AD271" s="2"/>
    </row>
    <row r="272" spans="1:30" ht="24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117"/>
      <c r="M272" s="117"/>
      <c r="N272" s="117"/>
      <c r="O272" s="117"/>
      <c r="P272" s="2"/>
      <c r="Q272" s="2"/>
      <c r="R272" s="4"/>
      <c r="S272" s="2"/>
      <c r="T272" s="2"/>
      <c r="U272" s="4"/>
      <c r="V272" s="2"/>
      <c r="W272" s="4"/>
      <c r="X272" s="2"/>
      <c r="Y272" s="4"/>
      <c r="Z272" s="2"/>
      <c r="AA272" s="117"/>
      <c r="AB272" s="2"/>
      <c r="AC272" s="2"/>
      <c r="AD272" s="2"/>
    </row>
    <row r="273" spans="1:30" ht="24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117"/>
      <c r="M273" s="117"/>
      <c r="N273" s="117"/>
      <c r="O273" s="117"/>
      <c r="P273" s="2"/>
      <c r="Q273" s="2"/>
      <c r="R273" s="4"/>
      <c r="S273" s="2"/>
      <c r="T273" s="2"/>
      <c r="U273" s="4"/>
      <c r="V273" s="2"/>
      <c r="W273" s="4"/>
      <c r="X273" s="2"/>
      <c r="Y273" s="4"/>
      <c r="Z273" s="2"/>
      <c r="AA273" s="117"/>
      <c r="AB273" s="2"/>
      <c r="AC273" s="2"/>
      <c r="AD273" s="2"/>
    </row>
    <row r="274" spans="1:30" ht="24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117"/>
      <c r="M274" s="117"/>
      <c r="N274" s="117"/>
      <c r="O274" s="117"/>
      <c r="P274" s="2"/>
      <c r="Q274" s="2"/>
      <c r="R274" s="4"/>
      <c r="S274" s="2"/>
      <c r="T274" s="2"/>
      <c r="U274" s="4"/>
      <c r="V274" s="2"/>
      <c r="W274" s="4"/>
      <c r="X274" s="2"/>
      <c r="Y274" s="4"/>
      <c r="Z274" s="2"/>
      <c r="AA274" s="117"/>
      <c r="AB274" s="2"/>
      <c r="AC274" s="2"/>
      <c r="AD274" s="2"/>
    </row>
    <row r="275" spans="1:30" ht="24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117"/>
      <c r="M275" s="117"/>
      <c r="N275" s="117"/>
      <c r="O275" s="117"/>
      <c r="P275" s="2"/>
      <c r="Q275" s="2"/>
      <c r="R275" s="4"/>
      <c r="S275" s="2"/>
      <c r="T275" s="2"/>
      <c r="U275" s="4"/>
      <c r="V275" s="2"/>
      <c r="W275" s="4"/>
      <c r="X275" s="2"/>
      <c r="Y275" s="4"/>
      <c r="Z275" s="2"/>
      <c r="AA275" s="117"/>
      <c r="AB275" s="2"/>
      <c r="AC275" s="2"/>
      <c r="AD275" s="2"/>
    </row>
    <row r="276" spans="1:30" ht="24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117"/>
      <c r="M276" s="117"/>
      <c r="N276" s="117"/>
      <c r="O276" s="117"/>
      <c r="P276" s="2"/>
      <c r="Q276" s="2"/>
      <c r="R276" s="4"/>
      <c r="S276" s="2"/>
      <c r="T276" s="2"/>
      <c r="U276" s="4"/>
      <c r="V276" s="2"/>
      <c r="W276" s="4"/>
      <c r="X276" s="2"/>
      <c r="Y276" s="4"/>
      <c r="Z276" s="2"/>
      <c r="AA276" s="117"/>
      <c r="AB276" s="2"/>
      <c r="AC276" s="2"/>
      <c r="AD276" s="2"/>
    </row>
    <row r="277" spans="1:30" ht="24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117"/>
      <c r="M277" s="117"/>
      <c r="N277" s="117"/>
      <c r="O277" s="117"/>
      <c r="P277" s="2"/>
      <c r="Q277" s="2"/>
      <c r="R277" s="4"/>
      <c r="S277" s="2"/>
      <c r="T277" s="2"/>
      <c r="U277" s="4"/>
      <c r="V277" s="2"/>
      <c r="W277" s="4"/>
      <c r="X277" s="2"/>
      <c r="Y277" s="4"/>
      <c r="Z277" s="2"/>
      <c r="AA277" s="117"/>
      <c r="AB277" s="2"/>
      <c r="AC277" s="2"/>
      <c r="AD277" s="2"/>
    </row>
    <row r="278" spans="1:30" ht="24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117"/>
      <c r="M278" s="117"/>
      <c r="N278" s="117"/>
      <c r="O278" s="117"/>
      <c r="P278" s="2"/>
      <c r="Q278" s="2"/>
      <c r="R278" s="4"/>
      <c r="S278" s="2"/>
      <c r="T278" s="2"/>
      <c r="U278" s="4"/>
      <c r="V278" s="2"/>
      <c r="W278" s="4"/>
      <c r="X278" s="2"/>
      <c r="Y278" s="4"/>
      <c r="Z278" s="2"/>
      <c r="AA278" s="117"/>
      <c r="AB278" s="2"/>
      <c r="AC278" s="2"/>
      <c r="AD278" s="2"/>
    </row>
    <row r="279" spans="1:30" ht="24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117"/>
      <c r="M279" s="117"/>
      <c r="N279" s="117"/>
      <c r="O279" s="117"/>
      <c r="P279" s="2"/>
      <c r="Q279" s="2"/>
      <c r="R279" s="4"/>
      <c r="S279" s="2"/>
      <c r="T279" s="2"/>
      <c r="U279" s="4"/>
      <c r="V279" s="2"/>
      <c r="W279" s="4"/>
      <c r="X279" s="2"/>
      <c r="Y279" s="4"/>
      <c r="Z279" s="2"/>
      <c r="AA279" s="117"/>
      <c r="AB279" s="2"/>
      <c r="AC279" s="2"/>
      <c r="AD279" s="2"/>
    </row>
    <row r="280" spans="1:30" ht="24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117"/>
      <c r="M280" s="117"/>
      <c r="N280" s="117"/>
      <c r="O280" s="117"/>
      <c r="P280" s="2"/>
      <c r="Q280" s="2"/>
      <c r="R280" s="4"/>
      <c r="S280" s="2"/>
      <c r="T280" s="2"/>
      <c r="U280" s="4"/>
      <c r="V280" s="2"/>
      <c r="W280" s="4"/>
      <c r="X280" s="2"/>
      <c r="Y280" s="4"/>
      <c r="Z280" s="2"/>
      <c r="AA280" s="117"/>
      <c r="AB280" s="2"/>
      <c r="AC280" s="2"/>
      <c r="AD280" s="2"/>
    </row>
    <row r="281" spans="1:30" ht="24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117"/>
      <c r="M281" s="117"/>
      <c r="N281" s="117"/>
      <c r="O281" s="117"/>
      <c r="P281" s="2"/>
      <c r="Q281" s="2"/>
      <c r="R281" s="4"/>
      <c r="S281" s="2"/>
      <c r="T281" s="2"/>
      <c r="U281" s="4"/>
      <c r="V281" s="2"/>
      <c r="W281" s="4"/>
      <c r="X281" s="2"/>
      <c r="Y281" s="4"/>
      <c r="Z281" s="2"/>
      <c r="AA281" s="117"/>
      <c r="AB281" s="2"/>
      <c r="AC281" s="2"/>
      <c r="AD281" s="2"/>
    </row>
    <row r="282" spans="1:30" ht="24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117"/>
      <c r="M282" s="117"/>
      <c r="N282" s="117"/>
      <c r="O282" s="117"/>
      <c r="P282" s="2"/>
      <c r="Q282" s="2"/>
      <c r="R282" s="4"/>
      <c r="S282" s="2"/>
      <c r="T282" s="2"/>
      <c r="U282" s="4"/>
      <c r="V282" s="2"/>
      <c r="W282" s="4"/>
      <c r="X282" s="2"/>
      <c r="Y282" s="4"/>
      <c r="Z282" s="2"/>
      <c r="AA282" s="117"/>
      <c r="AB282" s="2"/>
      <c r="AC282" s="2"/>
      <c r="AD282" s="2"/>
    </row>
    <row r="283" spans="1:30" ht="24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117"/>
      <c r="M283" s="117"/>
      <c r="N283" s="117"/>
      <c r="O283" s="117"/>
      <c r="P283" s="2"/>
      <c r="Q283" s="2"/>
      <c r="R283" s="4"/>
      <c r="S283" s="2"/>
      <c r="T283" s="2"/>
      <c r="U283" s="4"/>
      <c r="V283" s="2"/>
      <c r="W283" s="4"/>
      <c r="X283" s="2"/>
      <c r="Y283" s="4"/>
      <c r="Z283" s="2"/>
      <c r="AA283" s="117"/>
      <c r="AB283" s="2"/>
      <c r="AC283" s="2"/>
      <c r="AD283" s="2"/>
    </row>
    <row r="284" spans="1:30" ht="24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117"/>
      <c r="M284" s="117"/>
      <c r="N284" s="117"/>
      <c r="O284" s="117"/>
      <c r="P284" s="2"/>
      <c r="Q284" s="2"/>
      <c r="R284" s="4"/>
      <c r="S284" s="2"/>
      <c r="T284" s="2"/>
      <c r="U284" s="4"/>
      <c r="V284" s="2"/>
      <c r="W284" s="4"/>
      <c r="X284" s="2"/>
      <c r="Y284" s="4"/>
      <c r="Z284" s="2"/>
      <c r="AA284" s="117"/>
      <c r="AB284" s="2"/>
      <c r="AC284" s="2"/>
      <c r="AD284" s="2"/>
    </row>
    <row r="285" spans="1:30" ht="24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117"/>
      <c r="M285" s="117"/>
      <c r="N285" s="117"/>
      <c r="O285" s="117"/>
      <c r="P285" s="2"/>
      <c r="Q285" s="2"/>
      <c r="R285" s="4"/>
      <c r="S285" s="2"/>
      <c r="T285" s="2"/>
      <c r="U285" s="4"/>
      <c r="V285" s="2"/>
      <c r="W285" s="4"/>
      <c r="X285" s="2"/>
      <c r="Y285" s="4"/>
      <c r="Z285" s="2"/>
      <c r="AA285" s="117"/>
      <c r="AB285" s="2"/>
      <c r="AC285" s="2"/>
      <c r="AD285" s="2"/>
    </row>
    <row r="286" spans="1:30" ht="24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117"/>
      <c r="M286" s="117"/>
      <c r="N286" s="117"/>
      <c r="O286" s="117"/>
      <c r="P286" s="2"/>
      <c r="Q286" s="2"/>
      <c r="R286" s="4"/>
      <c r="S286" s="2"/>
      <c r="T286" s="2"/>
      <c r="U286" s="4"/>
      <c r="V286" s="2"/>
      <c r="W286" s="4"/>
      <c r="X286" s="2"/>
      <c r="Y286" s="4"/>
      <c r="Z286" s="2"/>
      <c r="AA286" s="117"/>
      <c r="AB286" s="2"/>
      <c r="AC286" s="2"/>
      <c r="AD286" s="2"/>
    </row>
    <row r="287" spans="1:30" ht="24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117"/>
      <c r="M287" s="117"/>
      <c r="N287" s="117"/>
      <c r="O287" s="117"/>
      <c r="P287" s="2"/>
      <c r="Q287" s="2"/>
      <c r="R287" s="4"/>
      <c r="S287" s="2"/>
      <c r="T287" s="2"/>
      <c r="U287" s="4"/>
      <c r="V287" s="2"/>
      <c r="W287" s="4"/>
      <c r="X287" s="2"/>
      <c r="Y287" s="4"/>
      <c r="Z287" s="2"/>
      <c r="AA287" s="117"/>
      <c r="AB287" s="2"/>
      <c r="AC287" s="2"/>
      <c r="AD287" s="2"/>
    </row>
    <row r="288" spans="1:30" ht="24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117"/>
      <c r="M288" s="117"/>
      <c r="N288" s="117"/>
      <c r="O288" s="117"/>
      <c r="P288" s="2"/>
      <c r="Q288" s="2"/>
      <c r="R288" s="4"/>
      <c r="S288" s="2"/>
      <c r="T288" s="2"/>
      <c r="U288" s="4"/>
      <c r="V288" s="2"/>
      <c r="W288" s="4"/>
      <c r="X288" s="2"/>
      <c r="Y288" s="4"/>
      <c r="Z288" s="2"/>
      <c r="AA288" s="117"/>
      <c r="AB288" s="2"/>
      <c r="AC288" s="2"/>
      <c r="AD288" s="2"/>
    </row>
    <row r="289" spans="1:30" ht="24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117"/>
      <c r="M289" s="117"/>
      <c r="N289" s="117"/>
      <c r="O289" s="117"/>
      <c r="P289" s="2"/>
      <c r="Q289" s="2"/>
      <c r="R289" s="4"/>
      <c r="S289" s="2"/>
      <c r="T289" s="2"/>
      <c r="U289" s="4"/>
      <c r="V289" s="2"/>
      <c r="W289" s="4"/>
      <c r="X289" s="2"/>
      <c r="Y289" s="4"/>
      <c r="Z289" s="2"/>
      <c r="AA289" s="117"/>
      <c r="AB289" s="2"/>
      <c r="AC289" s="2"/>
      <c r="AD289" s="2"/>
    </row>
    <row r="290" spans="1:30" ht="24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117"/>
      <c r="M290" s="117"/>
      <c r="N290" s="117"/>
      <c r="O290" s="117"/>
      <c r="P290" s="2"/>
      <c r="Q290" s="2"/>
      <c r="R290" s="4"/>
      <c r="S290" s="2"/>
      <c r="T290" s="2"/>
      <c r="U290" s="4"/>
      <c r="V290" s="2"/>
      <c r="W290" s="4"/>
      <c r="X290" s="2"/>
      <c r="Y290" s="4"/>
      <c r="Z290" s="2"/>
      <c r="AA290" s="117"/>
      <c r="AB290" s="2"/>
      <c r="AC290" s="2"/>
      <c r="AD290" s="2"/>
    </row>
    <row r="291" spans="1:30" ht="24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117"/>
      <c r="M291" s="117"/>
      <c r="N291" s="117"/>
      <c r="O291" s="117"/>
      <c r="P291" s="2"/>
      <c r="Q291" s="2"/>
      <c r="R291" s="4"/>
      <c r="S291" s="2"/>
      <c r="T291" s="2"/>
      <c r="U291" s="4"/>
      <c r="V291" s="2"/>
      <c r="W291" s="4"/>
      <c r="X291" s="2"/>
      <c r="Y291" s="4"/>
      <c r="Z291" s="2"/>
      <c r="AA291" s="117"/>
      <c r="AB291" s="2"/>
      <c r="AC291" s="2"/>
      <c r="AD291" s="2"/>
    </row>
    <row r="292" spans="1:30" ht="24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117"/>
      <c r="M292" s="117"/>
      <c r="N292" s="117"/>
      <c r="O292" s="117"/>
      <c r="P292" s="2"/>
      <c r="Q292" s="2"/>
      <c r="R292" s="4"/>
      <c r="S292" s="2"/>
      <c r="T292" s="2"/>
      <c r="U292" s="4"/>
      <c r="V292" s="2"/>
      <c r="W292" s="4"/>
      <c r="X292" s="2"/>
      <c r="Y292" s="4"/>
      <c r="Z292" s="2"/>
      <c r="AA292" s="117"/>
      <c r="AB292" s="2"/>
      <c r="AC292" s="2"/>
      <c r="AD292" s="2"/>
    </row>
    <row r="293" spans="1:30" ht="24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117"/>
      <c r="M293" s="117"/>
      <c r="N293" s="117"/>
      <c r="O293" s="117"/>
      <c r="P293" s="2"/>
      <c r="Q293" s="2"/>
      <c r="R293" s="4"/>
      <c r="S293" s="2"/>
      <c r="T293" s="2"/>
      <c r="U293" s="4"/>
      <c r="V293" s="2"/>
      <c r="W293" s="4"/>
      <c r="X293" s="2"/>
      <c r="Y293" s="4"/>
      <c r="Z293" s="2"/>
      <c r="AA293" s="117"/>
      <c r="AB293" s="2"/>
      <c r="AC293" s="2"/>
      <c r="AD293" s="2"/>
    </row>
    <row r="294" spans="1:30" ht="24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117"/>
      <c r="M294" s="117"/>
      <c r="N294" s="117"/>
      <c r="O294" s="117"/>
      <c r="P294" s="2"/>
      <c r="Q294" s="2"/>
      <c r="R294" s="4"/>
      <c r="S294" s="2"/>
      <c r="T294" s="2"/>
      <c r="U294" s="4"/>
      <c r="V294" s="2"/>
      <c r="W294" s="4"/>
      <c r="X294" s="2"/>
      <c r="Y294" s="4"/>
      <c r="Z294" s="2"/>
      <c r="AA294" s="117"/>
      <c r="AB294" s="2"/>
      <c r="AC294" s="2"/>
      <c r="AD294" s="2"/>
    </row>
    <row r="295" spans="1:30" ht="24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117"/>
      <c r="M295" s="117"/>
      <c r="N295" s="117"/>
      <c r="O295" s="117"/>
      <c r="P295" s="2"/>
      <c r="Q295" s="2"/>
      <c r="R295" s="4"/>
      <c r="S295" s="2"/>
      <c r="T295" s="2"/>
      <c r="U295" s="4"/>
      <c r="V295" s="2"/>
      <c r="W295" s="4"/>
      <c r="X295" s="2"/>
      <c r="Y295" s="4"/>
      <c r="Z295" s="2"/>
      <c r="AA295" s="117"/>
      <c r="AB295" s="2"/>
      <c r="AC295" s="2"/>
      <c r="AD295" s="2"/>
    </row>
    <row r="296" spans="1:30" ht="24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117"/>
      <c r="M296" s="117"/>
      <c r="N296" s="117"/>
      <c r="O296" s="117"/>
      <c r="P296" s="2"/>
      <c r="Q296" s="2"/>
      <c r="R296" s="4"/>
      <c r="S296" s="2"/>
      <c r="T296" s="2"/>
      <c r="U296" s="4"/>
      <c r="V296" s="2"/>
      <c r="W296" s="4"/>
      <c r="X296" s="2"/>
      <c r="Y296" s="4"/>
      <c r="Z296" s="2"/>
      <c r="AA296" s="117"/>
      <c r="AB296" s="2"/>
      <c r="AC296" s="2"/>
      <c r="AD296" s="2"/>
    </row>
    <row r="297" spans="1:30" ht="24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117"/>
      <c r="M297" s="117"/>
      <c r="N297" s="117"/>
      <c r="O297" s="117"/>
      <c r="P297" s="2"/>
      <c r="Q297" s="2"/>
      <c r="R297" s="4"/>
      <c r="S297" s="2"/>
      <c r="T297" s="2"/>
      <c r="U297" s="4"/>
      <c r="V297" s="2"/>
      <c r="W297" s="4"/>
      <c r="X297" s="2"/>
      <c r="Y297" s="4"/>
      <c r="Z297" s="2"/>
      <c r="AA297" s="117"/>
      <c r="AB297" s="2"/>
      <c r="AC297" s="2"/>
      <c r="AD297" s="2"/>
    </row>
    <row r="298" spans="1:30" ht="24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117"/>
      <c r="M298" s="117"/>
      <c r="N298" s="117"/>
      <c r="O298" s="117"/>
      <c r="P298" s="2"/>
      <c r="Q298" s="2"/>
      <c r="R298" s="4"/>
      <c r="S298" s="2"/>
      <c r="T298" s="2"/>
      <c r="U298" s="4"/>
      <c r="V298" s="2"/>
      <c r="W298" s="4"/>
      <c r="X298" s="2"/>
      <c r="Y298" s="4"/>
      <c r="Z298" s="2"/>
      <c r="AA298" s="117"/>
      <c r="AB298" s="2"/>
      <c r="AC298" s="2"/>
      <c r="AD298" s="2"/>
    </row>
    <row r="299" spans="1:30" ht="24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117"/>
      <c r="M299" s="117"/>
      <c r="N299" s="117"/>
      <c r="O299" s="117"/>
      <c r="P299" s="2"/>
      <c r="Q299" s="2"/>
      <c r="R299" s="4"/>
      <c r="S299" s="2"/>
      <c r="T299" s="2"/>
      <c r="U299" s="4"/>
      <c r="V299" s="2"/>
      <c r="W299" s="4"/>
      <c r="X299" s="2"/>
      <c r="Y299" s="4"/>
      <c r="Z299" s="2"/>
      <c r="AA299" s="117"/>
      <c r="AB299" s="2"/>
      <c r="AC299" s="2"/>
      <c r="AD299" s="2"/>
    </row>
    <row r="300" spans="1:30" ht="24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117"/>
      <c r="M300" s="117"/>
      <c r="N300" s="117"/>
      <c r="O300" s="117"/>
      <c r="P300" s="2"/>
      <c r="Q300" s="2"/>
      <c r="R300" s="4"/>
      <c r="S300" s="2"/>
      <c r="T300" s="2"/>
      <c r="U300" s="4"/>
      <c r="V300" s="2"/>
      <c r="W300" s="4"/>
      <c r="X300" s="2"/>
      <c r="Y300" s="4"/>
      <c r="Z300" s="2"/>
      <c r="AA300" s="117"/>
      <c r="AB300" s="2"/>
      <c r="AC300" s="2"/>
      <c r="AD300" s="2"/>
    </row>
    <row r="301" spans="1:30" ht="24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117"/>
      <c r="M301" s="117"/>
      <c r="N301" s="117"/>
      <c r="O301" s="117"/>
      <c r="P301" s="2"/>
      <c r="Q301" s="2"/>
      <c r="R301" s="4"/>
      <c r="S301" s="2"/>
      <c r="T301" s="2"/>
      <c r="U301" s="4"/>
      <c r="V301" s="2"/>
      <c r="W301" s="4"/>
      <c r="X301" s="2"/>
      <c r="Y301" s="4"/>
      <c r="Z301" s="2"/>
      <c r="AA301" s="117"/>
      <c r="AB301" s="2"/>
      <c r="AC301" s="2"/>
      <c r="AD301" s="2"/>
    </row>
    <row r="302" spans="1:30" ht="24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117"/>
      <c r="M302" s="117"/>
      <c r="N302" s="117"/>
      <c r="O302" s="117"/>
      <c r="P302" s="2"/>
      <c r="Q302" s="2"/>
      <c r="R302" s="4"/>
      <c r="S302" s="2"/>
      <c r="T302" s="2"/>
      <c r="U302" s="4"/>
      <c r="V302" s="2"/>
      <c r="W302" s="4"/>
      <c r="X302" s="2"/>
      <c r="Y302" s="4"/>
      <c r="Z302" s="2"/>
      <c r="AA302" s="117"/>
      <c r="AB302" s="2"/>
      <c r="AC302" s="2"/>
      <c r="AD302" s="2"/>
    </row>
    <row r="303" spans="1:30" ht="24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117"/>
      <c r="M303" s="117"/>
      <c r="N303" s="117"/>
      <c r="O303" s="117"/>
      <c r="P303" s="2"/>
      <c r="Q303" s="2"/>
      <c r="R303" s="4"/>
      <c r="S303" s="2"/>
      <c r="T303" s="2"/>
      <c r="U303" s="4"/>
      <c r="V303" s="2"/>
      <c r="W303" s="4"/>
      <c r="X303" s="2"/>
      <c r="Y303" s="4"/>
      <c r="Z303" s="2"/>
      <c r="AA303" s="117"/>
      <c r="AB303" s="2"/>
      <c r="AC303" s="2"/>
      <c r="AD303" s="2"/>
    </row>
    <row r="304" spans="1:30" ht="24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117"/>
      <c r="M304" s="117"/>
      <c r="N304" s="117"/>
      <c r="O304" s="117"/>
      <c r="P304" s="2"/>
      <c r="Q304" s="2"/>
      <c r="R304" s="4"/>
      <c r="S304" s="2"/>
      <c r="T304" s="2"/>
      <c r="U304" s="4"/>
      <c r="V304" s="2"/>
      <c r="W304" s="4"/>
      <c r="X304" s="2"/>
      <c r="Y304" s="4"/>
      <c r="Z304" s="2"/>
      <c r="AA304" s="117"/>
      <c r="AB304" s="2"/>
      <c r="AC304" s="2"/>
      <c r="AD304" s="2"/>
    </row>
    <row r="305" spans="1:30" ht="24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117"/>
      <c r="M305" s="117"/>
      <c r="N305" s="117"/>
      <c r="O305" s="117"/>
      <c r="P305" s="2"/>
      <c r="Q305" s="2"/>
      <c r="R305" s="4"/>
      <c r="S305" s="2"/>
      <c r="T305" s="2"/>
      <c r="U305" s="4"/>
      <c r="V305" s="2"/>
      <c r="W305" s="4"/>
      <c r="X305" s="2"/>
      <c r="Y305" s="4"/>
      <c r="Z305" s="2"/>
      <c r="AA305" s="117"/>
      <c r="AB305" s="2"/>
      <c r="AC305" s="2"/>
      <c r="AD305" s="2"/>
    </row>
    <row r="306" spans="1:30" ht="24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117"/>
      <c r="M306" s="117"/>
      <c r="N306" s="117"/>
      <c r="O306" s="117"/>
      <c r="P306" s="2"/>
      <c r="Q306" s="2"/>
      <c r="R306" s="4"/>
      <c r="S306" s="2"/>
      <c r="T306" s="2"/>
      <c r="U306" s="4"/>
      <c r="V306" s="2"/>
      <c r="W306" s="4"/>
      <c r="X306" s="2"/>
      <c r="Y306" s="4"/>
      <c r="Z306" s="2"/>
      <c r="AA306" s="117"/>
      <c r="AB306" s="2"/>
      <c r="AC306" s="2"/>
      <c r="AD306" s="2"/>
    </row>
    <row r="307" spans="1:30" ht="24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117"/>
      <c r="M307" s="117"/>
      <c r="N307" s="117"/>
      <c r="O307" s="117"/>
      <c r="P307" s="2"/>
      <c r="Q307" s="2"/>
      <c r="R307" s="4"/>
      <c r="S307" s="2"/>
      <c r="T307" s="2"/>
      <c r="U307" s="4"/>
      <c r="V307" s="2"/>
      <c r="W307" s="4"/>
      <c r="X307" s="2"/>
      <c r="Y307" s="4"/>
      <c r="Z307" s="2"/>
      <c r="AA307" s="117"/>
      <c r="AB307" s="2"/>
      <c r="AC307" s="2"/>
      <c r="AD307" s="2"/>
    </row>
    <row r="308" spans="1:30" ht="24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117"/>
      <c r="M308" s="117"/>
      <c r="N308" s="117"/>
      <c r="O308" s="117"/>
      <c r="P308" s="2"/>
      <c r="Q308" s="2"/>
      <c r="R308" s="4"/>
      <c r="S308" s="2"/>
      <c r="T308" s="2"/>
      <c r="U308" s="4"/>
      <c r="V308" s="2"/>
      <c r="W308" s="4"/>
      <c r="X308" s="2"/>
      <c r="Y308" s="4"/>
      <c r="Z308" s="2"/>
      <c r="AA308" s="117"/>
      <c r="AB308" s="2"/>
      <c r="AC308" s="2"/>
      <c r="AD308" s="2"/>
    </row>
    <row r="309" spans="1:30" ht="24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117"/>
      <c r="M309" s="117"/>
      <c r="N309" s="117"/>
      <c r="O309" s="117"/>
      <c r="P309" s="2"/>
      <c r="Q309" s="2"/>
      <c r="R309" s="4"/>
      <c r="S309" s="2"/>
      <c r="T309" s="2"/>
      <c r="U309" s="4"/>
      <c r="V309" s="2"/>
      <c r="W309" s="4"/>
      <c r="X309" s="2"/>
      <c r="Y309" s="4"/>
      <c r="Z309" s="2"/>
      <c r="AA309" s="117"/>
      <c r="AB309" s="2"/>
      <c r="AC309" s="2"/>
      <c r="AD309" s="2"/>
    </row>
    <row r="310" spans="1:30" ht="24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117"/>
      <c r="M310" s="117"/>
      <c r="N310" s="117"/>
      <c r="O310" s="117"/>
      <c r="P310" s="2"/>
      <c r="Q310" s="2"/>
      <c r="R310" s="4"/>
      <c r="S310" s="2"/>
      <c r="T310" s="2"/>
      <c r="U310" s="4"/>
      <c r="V310" s="2"/>
      <c r="W310" s="4"/>
      <c r="X310" s="2"/>
      <c r="Y310" s="4"/>
      <c r="Z310" s="2"/>
      <c r="AA310" s="117"/>
      <c r="AB310" s="2"/>
      <c r="AC310" s="2"/>
      <c r="AD310" s="2"/>
    </row>
    <row r="311" spans="1:30" ht="24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117"/>
      <c r="M311" s="117"/>
      <c r="N311" s="117"/>
      <c r="O311" s="117"/>
      <c r="P311" s="2"/>
      <c r="Q311" s="2"/>
      <c r="R311" s="4"/>
      <c r="S311" s="2"/>
      <c r="T311" s="2"/>
      <c r="U311" s="4"/>
      <c r="V311" s="2"/>
      <c r="W311" s="4"/>
      <c r="X311" s="2"/>
      <c r="Y311" s="4"/>
      <c r="Z311" s="2"/>
      <c r="AA311" s="117"/>
      <c r="AB311" s="2"/>
      <c r="AC311" s="2"/>
      <c r="AD311" s="2"/>
    </row>
    <row r="312" spans="1:30" ht="24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117"/>
      <c r="M312" s="117"/>
      <c r="N312" s="117"/>
      <c r="O312" s="117"/>
      <c r="P312" s="2"/>
      <c r="Q312" s="2"/>
      <c r="R312" s="4"/>
      <c r="S312" s="2"/>
      <c r="T312" s="2"/>
      <c r="U312" s="4"/>
      <c r="V312" s="2"/>
      <c r="W312" s="4"/>
      <c r="X312" s="2"/>
      <c r="Y312" s="4"/>
      <c r="Z312" s="2"/>
      <c r="AA312" s="117"/>
      <c r="AB312" s="2"/>
      <c r="AC312" s="2"/>
      <c r="AD312" s="2"/>
    </row>
    <row r="313" spans="1:30" ht="24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117"/>
      <c r="M313" s="117"/>
      <c r="N313" s="117"/>
      <c r="O313" s="117"/>
      <c r="P313" s="2"/>
      <c r="Q313" s="2"/>
      <c r="R313" s="4"/>
      <c r="S313" s="2"/>
      <c r="T313" s="2"/>
      <c r="U313" s="4"/>
      <c r="V313" s="2"/>
      <c r="W313" s="4"/>
      <c r="X313" s="2"/>
      <c r="Y313" s="4"/>
      <c r="Z313" s="2"/>
      <c r="AA313" s="117"/>
      <c r="AB313" s="2"/>
      <c r="AC313" s="2"/>
      <c r="AD313" s="2"/>
    </row>
    <row r="314" spans="1:30" ht="24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117"/>
      <c r="M314" s="117"/>
      <c r="N314" s="117"/>
      <c r="O314" s="117"/>
      <c r="P314" s="2"/>
      <c r="Q314" s="2"/>
      <c r="R314" s="4"/>
      <c r="S314" s="2"/>
      <c r="T314" s="2"/>
      <c r="U314" s="4"/>
      <c r="V314" s="2"/>
      <c r="W314" s="4"/>
      <c r="X314" s="2"/>
      <c r="Y314" s="4"/>
      <c r="Z314" s="2"/>
      <c r="AA314" s="117"/>
      <c r="AB314" s="2"/>
      <c r="AC314" s="2"/>
      <c r="AD314" s="2"/>
    </row>
    <row r="315" spans="1:30" ht="15.75" customHeight="1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43"/>
      <c r="M315" s="143"/>
      <c r="N315" s="143"/>
      <c r="O315" s="143"/>
      <c r="P315" s="114"/>
      <c r="Q315" s="114"/>
      <c r="R315" s="115"/>
      <c r="S315" s="114"/>
      <c r="T315" s="114"/>
      <c r="U315" s="115"/>
      <c r="V315" s="114"/>
      <c r="W315" s="115"/>
      <c r="X315" s="114"/>
      <c r="Y315" s="115"/>
      <c r="Z315" s="114"/>
      <c r="AA315" s="143"/>
      <c r="AB315" s="114"/>
      <c r="AC315" s="114"/>
      <c r="AD315" s="114"/>
    </row>
    <row r="316" spans="1:30" ht="15.75" customHeight="1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43"/>
      <c r="M316" s="143"/>
      <c r="N316" s="143"/>
      <c r="O316" s="143"/>
      <c r="P316" s="114"/>
      <c r="Q316" s="114"/>
      <c r="R316" s="115"/>
      <c r="S316" s="114"/>
      <c r="T316" s="114"/>
      <c r="U316" s="115"/>
      <c r="V316" s="114"/>
      <c r="W316" s="115"/>
      <c r="X316" s="114"/>
      <c r="Y316" s="115"/>
      <c r="Z316" s="114"/>
      <c r="AA316" s="143"/>
      <c r="AB316" s="114"/>
      <c r="AC316" s="114"/>
      <c r="AD316" s="114"/>
    </row>
    <row r="317" spans="1:30" ht="15.75" customHeight="1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43"/>
      <c r="M317" s="143"/>
      <c r="N317" s="143"/>
      <c r="O317" s="143"/>
      <c r="P317" s="114"/>
      <c r="Q317" s="114"/>
      <c r="R317" s="115"/>
      <c r="S317" s="114"/>
      <c r="T317" s="114"/>
      <c r="U317" s="115"/>
      <c r="V317" s="114"/>
      <c r="W317" s="115"/>
      <c r="X317" s="114"/>
      <c r="Y317" s="115"/>
      <c r="Z317" s="114"/>
      <c r="AA317" s="143"/>
      <c r="AB317" s="114"/>
      <c r="AC317" s="114"/>
      <c r="AD317" s="114"/>
    </row>
    <row r="318" spans="1:30" ht="15.75" customHeight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43"/>
      <c r="M318" s="143"/>
      <c r="N318" s="143"/>
      <c r="O318" s="143"/>
      <c r="P318" s="114"/>
      <c r="Q318" s="114"/>
      <c r="R318" s="115"/>
      <c r="S318" s="114"/>
      <c r="T318" s="114"/>
      <c r="U318" s="115"/>
      <c r="V318" s="114"/>
      <c r="W318" s="115"/>
      <c r="X318" s="114"/>
      <c r="Y318" s="115"/>
      <c r="Z318" s="114"/>
      <c r="AA318" s="143"/>
      <c r="AB318" s="114"/>
      <c r="AC318" s="114"/>
      <c r="AD318" s="114"/>
    </row>
    <row r="319" spans="1:30" ht="15.75" customHeight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43"/>
      <c r="M319" s="143"/>
      <c r="N319" s="143"/>
      <c r="O319" s="143"/>
      <c r="P319" s="114"/>
      <c r="Q319" s="114"/>
      <c r="R319" s="115"/>
      <c r="S319" s="114"/>
      <c r="T319" s="114"/>
      <c r="U319" s="115"/>
      <c r="V319" s="114"/>
      <c r="W319" s="115"/>
      <c r="X319" s="114"/>
      <c r="Y319" s="115"/>
      <c r="Z319" s="114"/>
      <c r="AA319" s="143"/>
      <c r="AB319" s="114"/>
      <c r="AC319" s="114"/>
      <c r="AD319" s="114"/>
    </row>
    <row r="320" spans="1:30" ht="15.75" customHeight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43"/>
      <c r="M320" s="143"/>
      <c r="N320" s="143"/>
      <c r="O320" s="143"/>
      <c r="P320" s="114"/>
      <c r="Q320" s="114"/>
      <c r="R320" s="115"/>
      <c r="S320" s="114"/>
      <c r="T320" s="114"/>
      <c r="U320" s="115"/>
      <c r="V320" s="114"/>
      <c r="W320" s="115"/>
      <c r="X320" s="114"/>
      <c r="Y320" s="115"/>
      <c r="Z320" s="114"/>
      <c r="AA320" s="143"/>
      <c r="AB320" s="114"/>
      <c r="AC320" s="114"/>
      <c r="AD320" s="114"/>
    </row>
    <row r="321" spans="1:30" ht="15.75" customHeight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43"/>
      <c r="M321" s="143"/>
      <c r="N321" s="143"/>
      <c r="O321" s="143"/>
      <c r="P321" s="114"/>
      <c r="Q321" s="114"/>
      <c r="R321" s="115"/>
      <c r="S321" s="114"/>
      <c r="T321" s="114"/>
      <c r="U321" s="115"/>
      <c r="V321" s="114"/>
      <c r="W321" s="115"/>
      <c r="X321" s="114"/>
      <c r="Y321" s="115"/>
      <c r="Z321" s="114"/>
      <c r="AA321" s="143"/>
      <c r="AB321" s="114"/>
      <c r="AC321" s="114"/>
      <c r="AD321" s="114"/>
    </row>
    <row r="322" spans="1:30" ht="15.75" customHeight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43"/>
      <c r="M322" s="143"/>
      <c r="N322" s="143"/>
      <c r="O322" s="143"/>
      <c r="P322" s="114"/>
      <c r="Q322" s="114"/>
      <c r="R322" s="115"/>
      <c r="S322" s="114"/>
      <c r="T322" s="114"/>
      <c r="U322" s="115"/>
      <c r="V322" s="114"/>
      <c r="W322" s="115"/>
      <c r="X322" s="114"/>
      <c r="Y322" s="115"/>
      <c r="Z322" s="114"/>
      <c r="AA322" s="143"/>
      <c r="AB322" s="114"/>
      <c r="AC322" s="114"/>
      <c r="AD322" s="114"/>
    </row>
    <row r="323" spans="1:30" ht="15.75" customHeight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43"/>
      <c r="M323" s="143"/>
      <c r="N323" s="143"/>
      <c r="O323" s="143"/>
      <c r="P323" s="114"/>
      <c r="Q323" s="114"/>
      <c r="R323" s="115"/>
      <c r="S323" s="114"/>
      <c r="T323" s="114"/>
      <c r="U323" s="115"/>
      <c r="V323" s="114"/>
      <c r="W323" s="115"/>
      <c r="X323" s="114"/>
      <c r="Y323" s="115"/>
      <c r="Z323" s="114"/>
      <c r="AA323" s="143"/>
      <c r="AB323" s="114"/>
      <c r="AC323" s="114"/>
      <c r="AD323" s="114"/>
    </row>
    <row r="324" spans="1:30" ht="15.75" customHeight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43"/>
      <c r="M324" s="143"/>
      <c r="N324" s="143"/>
      <c r="O324" s="143"/>
      <c r="P324" s="114"/>
      <c r="Q324" s="114"/>
      <c r="R324" s="115"/>
      <c r="S324" s="114"/>
      <c r="T324" s="114"/>
      <c r="U324" s="115"/>
      <c r="V324" s="114"/>
      <c r="W324" s="115"/>
      <c r="X324" s="114"/>
      <c r="Y324" s="115"/>
      <c r="Z324" s="114"/>
      <c r="AA324" s="143"/>
      <c r="AB324" s="114"/>
      <c r="AC324" s="114"/>
      <c r="AD324" s="114"/>
    </row>
    <row r="325" spans="1:30" ht="15.75" customHeight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43"/>
      <c r="M325" s="143"/>
      <c r="N325" s="143"/>
      <c r="O325" s="143"/>
      <c r="P325" s="114"/>
      <c r="Q325" s="114"/>
      <c r="R325" s="115"/>
      <c r="S325" s="114"/>
      <c r="T325" s="114"/>
      <c r="U325" s="115"/>
      <c r="V325" s="114"/>
      <c r="W325" s="115"/>
      <c r="X325" s="114"/>
      <c r="Y325" s="115"/>
      <c r="Z325" s="114"/>
      <c r="AA325" s="143"/>
      <c r="AB325" s="114"/>
      <c r="AC325" s="114"/>
      <c r="AD325" s="114"/>
    </row>
    <row r="326" spans="1:30" ht="15.75" customHeight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43"/>
      <c r="M326" s="143"/>
      <c r="N326" s="143"/>
      <c r="O326" s="143"/>
      <c r="P326" s="114"/>
      <c r="Q326" s="114"/>
      <c r="R326" s="115"/>
      <c r="S326" s="114"/>
      <c r="T326" s="114"/>
      <c r="U326" s="115"/>
      <c r="V326" s="114"/>
      <c r="W326" s="115"/>
      <c r="X326" s="114"/>
      <c r="Y326" s="115"/>
      <c r="Z326" s="114"/>
      <c r="AA326" s="143"/>
      <c r="AB326" s="114"/>
      <c r="AC326" s="114"/>
      <c r="AD326" s="114"/>
    </row>
    <row r="327" spans="1:30" ht="15.75" customHeight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43"/>
      <c r="M327" s="143"/>
      <c r="N327" s="143"/>
      <c r="O327" s="143"/>
      <c r="P327" s="114"/>
      <c r="Q327" s="114"/>
      <c r="R327" s="115"/>
      <c r="S327" s="114"/>
      <c r="T327" s="114"/>
      <c r="U327" s="115"/>
      <c r="V327" s="114"/>
      <c r="W327" s="115"/>
      <c r="X327" s="114"/>
      <c r="Y327" s="115"/>
      <c r="Z327" s="114"/>
      <c r="AA327" s="143"/>
      <c r="AB327" s="114"/>
      <c r="AC327" s="114"/>
      <c r="AD327" s="114"/>
    </row>
    <row r="328" spans="1:30" ht="15.75" customHeight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43"/>
      <c r="M328" s="143"/>
      <c r="N328" s="143"/>
      <c r="O328" s="143"/>
      <c r="P328" s="114"/>
      <c r="Q328" s="114"/>
      <c r="R328" s="115"/>
      <c r="S328" s="114"/>
      <c r="T328" s="114"/>
      <c r="U328" s="115"/>
      <c r="V328" s="114"/>
      <c r="W328" s="115"/>
      <c r="X328" s="114"/>
      <c r="Y328" s="115"/>
      <c r="Z328" s="114"/>
      <c r="AA328" s="143"/>
      <c r="AB328" s="114"/>
      <c r="AC328" s="114"/>
      <c r="AD328" s="114"/>
    </row>
    <row r="329" spans="1:30" ht="15.75" customHeight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43"/>
      <c r="M329" s="143"/>
      <c r="N329" s="143"/>
      <c r="O329" s="143"/>
      <c r="P329" s="114"/>
      <c r="Q329" s="114"/>
      <c r="R329" s="115"/>
      <c r="S329" s="114"/>
      <c r="T329" s="114"/>
      <c r="U329" s="115"/>
      <c r="V329" s="114"/>
      <c r="W329" s="115"/>
      <c r="X329" s="114"/>
      <c r="Y329" s="115"/>
      <c r="Z329" s="114"/>
      <c r="AA329" s="143"/>
      <c r="AB329" s="114"/>
      <c r="AC329" s="114"/>
      <c r="AD329" s="114"/>
    </row>
    <row r="330" spans="1:30" ht="15.75" customHeight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43"/>
      <c r="M330" s="143"/>
      <c r="N330" s="143"/>
      <c r="O330" s="143"/>
      <c r="P330" s="114"/>
      <c r="Q330" s="114"/>
      <c r="R330" s="115"/>
      <c r="S330" s="114"/>
      <c r="T330" s="114"/>
      <c r="U330" s="115"/>
      <c r="V330" s="114"/>
      <c r="W330" s="115"/>
      <c r="X330" s="114"/>
      <c r="Y330" s="115"/>
      <c r="Z330" s="114"/>
      <c r="AA330" s="143"/>
      <c r="AB330" s="114"/>
      <c r="AC330" s="114"/>
      <c r="AD330" s="114"/>
    </row>
    <row r="331" spans="1:30" ht="15.75" customHeight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43"/>
      <c r="M331" s="143"/>
      <c r="N331" s="143"/>
      <c r="O331" s="143"/>
      <c r="P331" s="114"/>
      <c r="Q331" s="114"/>
      <c r="R331" s="115"/>
      <c r="S331" s="114"/>
      <c r="T331" s="114"/>
      <c r="U331" s="115"/>
      <c r="V331" s="114"/>
      <c r="W331" s="115"/>
      <c r="X331" s="114"/>
      <c r="Y331" s="115"/>
      <c r="Z331" s="114"/>
      <c r="AA331" s="143"/>
      <c r="AB331" s="114"/>
      <c r="AC331" s="114"/>
      <c r="AD331" s="114"/>
    </row>
    <row r="332" spans="1:30" ht="15.75" customHeight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43"/>
      <c r="M332" s="143"/>
      <c r="N332" s="143"/>
      <c r="O332" s="143"/>
      <c r="P332" s="114"/>
      <c r="Q332" s="114"/>
      <c r="R332" s="115"/>
      <c r="S332" s="114"/>
      <c r="T332" s="114"/>
      <c r="U332" s="115"/>
      <c r="V332" s="114"/>
      <c r="W332" s="115"/>
      <c r="X332" s="114"/>
      <c r="Y332" s="115"/>
      <c r="Z332" s="114"/>
      <c r="AA332" s="143"/>
      <c r="AB332" s="114"/>
      <c r="AC332" s="114"/>
      <c r="AD332" s="114"/>
    </row>
    <row r="333" spans="1:30" ht="15.75" customHeight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43"/>
      <c r="M333" s="143"/>
      <c r="N333" s="143"/>
      <c r="O333" s="143"/>
      <c r="P333" s="114"/>
      <c r="Q333" s="114"/>
      <c r="R333" s="115"/>
      <c r="S333" s="114"/>
      <c r="T333" s="114"/>
      <c r="U333" s="115"/>
      <c r="V333" s="114"/>
      <c r="W333" s="115"/>
      <c r="X333" s="114"/>
      <c r="Y333" s="115"/>
      <c r="Z333" s="114"/>
      <c r="AA333" s="143"/>
      <c r="AB333" s="114"/>
      <c r="AC333" s="114"/>
      <c r="AD333" s="114"/>
    </row>
    <row r="334" spans="1:30" ht="15.75" customHeight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43"/>
      <c r="M334" s="143"/>
      <c r="N334" s="143"/>
      <c r="O334" s="143"/>
      <c r="P334" s="114"/>
      <c r="Q334" s="114"/>
      <c r="R334" s="115"/>
      <c r="S334" s="114"/>
      <c r="T334" s="114"/>
      <c r="U334" s="115"/>
      <c r="V334" s="114"/>
      <c r="W334" s="115"/>
      <c r="X334" s="114"/>
      <c r="Y334" s="115"/>
      <c r="Z334" s="114"/>
      <c r="AA334" s="143"/>
      <c r="AB334" s="114"/>
      <c r="AC334" s="114"/>
      <c r="AD334" s="114"/>
    </row>
    <row r="335" spans="1:30" ht="15.75" customHeight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43"/>
      <c r="M335" s="143"/>
      <c r="N335" s="143"/>
      <c r="O335" s="143"/>
      <c r="P335" s="114"/>
      <c r="Q335" s="114"/>
      <c r="R335" s="115"/>
      <c r="S335" s="114"/>
      <c r="T335" s="114"/>
      <c r="U335" s="115"/>
      <c r="V335" s="114"/>
      <c r="W335" s="115"/>
      <c r="X335" s="114"/>
      <c r="Y335" s="115"/>
      <c r="Z335" s="114"/>
      <c r="AA335" s="143"/>
      <c r="AB335" s="114"/>
      <c r="AC335" s="114"/>
      <c r="AD335" s="114"/>
    </row>
    <row r="336" spans="1:30" ht="15.75" customHeight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43"/>
      <c r="M336" s="143"/>
      <c r="N336" s="143"/>
      <c r="O336" s="143"/>
      <c r="P336" s="114"/>
      <c r="Q336" s="114"/>
      <c r="R336" s="115"/>
      <c r="S336" s="114"/>
      <c r="T336" s="114"/>
      <c r="U336" s="115"/>
      <c r="V336" s="114"/>
      <c r="W336" s="115"/>
      <c r="X336" s="114"/>
      <c r="Y336" s="115"/>
      <c r="Z336" s="114"/>
      <c r="AA336" s="143"/>
      <c r="AB336" s="114"/>
      <c r="AC336" s="114"/>
      <c r="AD336" s="114"/>
    </row>
    <row r="337" spans="1:30" ht="15.75" customHeight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43"/>
      <c r="M337" s="143"/>
      <c r="N337" s="143"/>
      <c r="O337" s="143"/>
      <c r="P337" s="114"/>
      <c r="Q337" s="114"/>
      <c r="R337" s="115"/>
      <c r="S337" s="114"/>
      <c r="T337" s="114"/>
      <c r="U337" s="115"/>
      <c r="V337" s="114"/>
      <c r="W337" s="115"/>
      <c r="X337" s="114"/>
      <c r="Y337" s="115"/>
      <c r="Z337" s="114"/>
      <c r="AA337" s="143"/>
      <c r="AB337" s="114"/>
      <c r="AC337" s="114"/>
      <c r="AD337" s="114"/>
    </row>
    <row r="338" spans="1:30" ht="15.75" customHeight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43"/>
      <c r="M338" s="143"/>
      <c r="N338" s="143"/>
      <c r="O338" s="143"/>
      <c r="P338" s="114"/>
      <c r="Q338" s="114"/>
      <c r="R338" s="115"/>
      <c r="S338" s="114"/>
      <c r="T338" s="114"/>
      <c r="U338" s="115"/>
      <c r="V338" s="114"/>
      <c r="W338" s="115"/>
      <c r="X338" s="114"/>
      <c r="Y338" s="115"/>
      <c r="Z338" s="114"/>
      <c r="AA338" s="143"/>
      <c r="AB338" s="114"/>
      <c r="AC338" s="114"/>
      <c r="AD338" s="114"/>
    </row>
    <row r="339" spans="1:30" ht="15.75" customHeight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43"/>
      <c r="M339" s="143"/>
      <c r="N339" s="143"/>
      <c r="O339" s="143"/>
      <c r="P339" s="114"/>
      <c r="Q339" s="114"/>
      <c r="R339" s="115"/>
      <c r="S339" s="114"/>
      <c r="T339" s="114"/>
      <c r="U339" s="115"/>
      <c r="V339" s="114"/>
      <c r="W339" s="115"/>
      <c r="X339" s="114"/>
      <c r="Y339" s="115"/>
      <c r="Z339" s="114"/>
      <c r="AA339" s="143"/>
      <c r="AB339" s="114"/>
      <c r="AC339" s="114"/>
      <c r="AD339" s="114"/>
    </row>
    <row r="340" spans="1:30" ht="15.75" customHeight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43"/>
      <c r="M340" s="143"/>
      <c r="N340" s="143"/>
      <c r="O340" s="143"/>
      <c r="P340" s="114"/>
      <c r="Q340" s="114"/>
      <c r="R340" s="115"/>
      <c r="S340" s="114"/>
      <c r="T340" s="114"/>
      <c r="U340" s="115"/>
      <c r="V340" s="114"/>
      <c r="W340" s="115"/>
      <c r="X340" s="114"/>
      <c r="Y340" s="115"/>
      <c r="Z340" s="114"/>
      <c r="AA340" s="143"/>
      <c r="AB340" s="114"/>
      <c r="AC340" s="114"/>
      <c r="AD340" s="114"/>
    </row>
    <row r="341" spans="1:30" ht="15.75" customHeight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43"/>
      <c r="M341" s="143"/>
      <c r="N341" s="143"/>
      <c r="O341" s="143"/>
      <c r="P341" s="114"/>
      <c r="Q341" s="114"/>
      <c r="R341" s="115"/>
      <c r="S341" s="114"/>
      <c r="T341" s="114"/>
      <c r="U341" s="115"/>
      <c r="V341" s="114"/>
      <c r="W341" s="115"/>
      <c r="X341" s="114"/>
      <c r="Y341" s="115"/>
      <c r="Z341" s="114"/>
      <c r="AA341" s="143"/>
      <c r="AB341" s="114"/>
      <c r="AC341" s="114"/>
      <c r="AD341" s="114"/>
    </row>
    <row r="342" spans="1:30" ht="15.75" customHeight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43"/>
      <c r="M342" s="143"/>
      <c r="N342" s="143"/>
      <c r="O342" s="143"/>
      <c r="P342" s="114"/>
      <c r="Q342" s="114"/>
      <c r="R342" s="115"/>
      <c r="S342" s="114"/>
      <c r="T342" s="114"/>
      <c r="U342" s="115"/>
      <c r="V342" s="114"/>
      <c r="W342" s="115"/>
      <c r="X342" s="114"/>
      <c r="Y342" s="115"/>
      <c r="Z342" s="114"/>
      <c r="AA342" s="143"/>
      <c r="AB342" s="114"/>
      <c r="AC342" s="114"/>
      <c r="AD342" s="114"/>
    </row>
    <row r="343" spans="1:30" ht="15.75" customHeight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43"/>
      <c r="M343" s="143"/>
      <c r="N343" s="143"/>
      <c r="O343" s="143"/>
      <c r="P343" s="114"/>
      <c r="Q343" s="114"/>
      <c r="R343" s="115"/>
      <c r="S343" s="114"/>
      <c r="T343" s="114"/>
      <c r="U343" s="115"/>
      <c r="V343" s="114"/>
      <c r="W343" s="115"/>
      <c r="X343" s="114"/>
      <c r="Y343" s="115"/>
      <c r="Z343" s="114"/>
      <c r="AA343" s="143"/>
      <c r="AB343" s="114"/>
      <c r="AC343" s="114"/>
      <c r="AD343" s="114"/>
    </row>
    <row r="344" spans="1:30" ht="15.75" customHeight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43"/>
      <c r="M344" s="143"/>
      <c r="N344" s="143"/>
      <c r="O344" s="143"/>
      <c r="P344" s="114"/>
      <c r="Q344" s="114"/>
      <c r="R344" s="115"/>
      <c r="S344" s="114"/>
      <c r="T344" s="114"/>
      <c r="U344" s="115"/>
      <c r="V344" s="114"/>
      <c r="W344" s="115"/>
      <c r="X344" s="114"/>
      <c r="Y344" s="115"/>
      <c r="Z344" s="114"/>
      <c r="AA344" s="143"/>
      <c r="AB344" s="114"/>
      <c r="AC344" s="114"/>
      <c r="AD344" s="114"/>
    </row>
    <row r="345" spans="1:30" ht="15.75" customHeight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43"/>
      <c r="M345" s="143"/>
      <c r="N345" s="143"/>
      <c r="O345" s="143"/>
      <c r="P345" s="114"/>
      <c r="Q345" s="114"/>
      <c r="R345" s="115"/>
      <c r="S345" s="114"/>
      <c r="T345" s="114"/>
      <c r="U345" s="115"/>
      <c r="V345" s="114"/>
      <c r="W345" s="115"/>
      <c r="X345" s="114"/>
      <c r="Y345" s="115"/>
      <c r="Z345" s="114"/>
      <c r="AA345" s="143"/>
      <c r="AB345" s="114"/>
      <c r="AC345" s="114"/>
      <c r="AD345" s="114"/>
    </row>
    <row r="346" spans="1:30" ht="15.75" customHeight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43"/>
      <c r="M346" s="143"/>
      <c r="N346" s="143"/>
      <c r="O346" s="143"/>
      <c r="P346" s="114"/>
      <c r="Q346" s="114"/>
      <c r="R346" s="115"/>
      <c r="S346" s="114"/>
      <c r="T346" s="114"/>
      <c r="U346" s="115"/>
      <c r="V346" s="114"/>
      <c r="W346" s="115"/>
      <c r="X346" s="114"/>
      <c r="Y346" s="115"/>
      <c r="Z346" s="114"/>
      <c r="AA346" s="143"/>
      <c r="AB346" s="114"/>
      <c r="AC346" s="114"/>
      <c r="AD346" s="114"/>
    </row>
    <row r="347" spans="1:30" ht="15.75" customHeight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43"/>
      <c r="M347" s="143"/>
      <c r="N347" s="143"/>
      <c r="O347" s="143"/>
      <c r="P347" s="114"/>
      <c r="Q347" s="114"/>
      <c r="R347" s="115"/>
      <c r="S347" s="114"/>
      <c r="T347" s="114"/>
      <c r="U347" s="115"/>
      <c r="V347" s="114"/>
      <c r="W347" s="115"/>
      <c r="X347" s="114"/>
      <c r="Y347" s="115"/>
      <c r="Z347" s="114"/>
      <c r="AA347" s="143"/>
      <c r="AB347" s="114"/>
      <c r="AC347" s="114"/>
      <c r="AD347" s="114"/>
    </row>
    <row r="348" spans="1:30" ht="15.75" customHeight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43"/>
      <c r="M348" s="143"/>
      <c r="N348" s="143"/>
      <c r="O348" s="143"/>
      <c r="P348" s="114"/>
      <c r="Q348" s="114"/>
      <c r="R348" s="115"/>
      <c r="S348" s="114"/>
      <c r="T348" s="114"/>
      <c r="U348" s="115"/>
      <c r="V348" s="114"/>
      <c r="W348" s="115"/>
      <c r="X348" s="114"/>
      <c r="Y348" s="115"/>
      <c r="Z348" s="114"/>
      <c r="AA348" s="143"/>
      <c r="AB348" s="114"/>
      <c r="AC348" s="114"/>
      <c r="AD348" s="114"/>
    </row>
    <row r="349" spans="1:30" ht="15.75" customHeight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43"/>
      <c r="M349" s="143"/>
      <c r="N349" s="143"/>
      <c r="O349" s="143"/>
      <c r="P349" s="114"/>
      <c r="Q349" s="114"/>
      <c r="R349" s="115"/>
      <c r="S349" s="114"/>
      <c r="T349" s="114"/>
      <c r="U349" s="115"/>
      <c r="V349" s="114"/>
      <c r="W349" s="115"/>
      <c r="X349" s="114"/>
      <c r="Y349" s="115"/>
      <c r="Z349" s="114"/>
      <c r="AA349" s="143"/>
      <c r="AB349" s="114"/>
      <c r="AC349" s="114"/>
      <c r="AD349" s="114"/>
    </row>
    <row r="350" spans="1:30" ht="15.75" customHeight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43"/>
      <c r="M350" s="143"/>
      <c r="N350" s="143"/>
      <c r="O350" s="143"/>
      <c r="P350" s="114"/>
      <c r="Q350" s="114"/>
      <c r="R350" s="115"/>
      <c r="S350" s="114"/>
      <c r="T350" s="114"/>
      <c r="U350" s="115"/>
      <c r="V350" s="114"/>
      <c r="W350" s="115"/>
      <c r="X350" s="114"/>
      <c r="Y350" s="115"/>
      <c r="Z350" s="114"/>
      <c r="AA350" s="143"/>
      <c r="AB350" s="114"/>
      <c r="AC350" s="114"/>
      <c r="AD350" s="114"/>
    </row>
    <row r="351" spans="1:30" ht="15.75" customHeight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43"/>
      <c r="M351" s="143"/>
      <c r="N351" s="143"/>
      <c r="O351" s="143"/>
      <c r="P351" s="114"/>
      <c r="Q351" s="114"/>
      <c r="R351" s="115"/>
      <c r="S351" s="114"/>
      <c r="T351" s="114"/>
      <c r="U351" s="115"/>
      <c r="V351" s="114"/>
      <c r="W351" s="115"/>
      <c r="X351" s="114"/>
      <c r="Y351" s="115"/>
      <c r="Z351" s="114"/>
      <c r="AA351" s="143"/>
      <c r="AB351" s="114"/>
      <c r="AC351" s="114"/>
      <c r="AD351" s="114"/>
    </row>
    <row r="352" spans="1:30" ht="15.75" customHeight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43"/>
      <c r="M352" s="143"/>
      <c r="N352" s="143"/>
      <c r="O352" s="143"/>
      <c r="P352" s="114"/>
      <c r="Q352" s="114"/>
      <c r="R352" s="115"/>
      <c r="S352" s="114"/>
      <c r="T352" s="114"/>
      <c r="U352" s="115"/>
      <c r="V352" s="114"/>
      <c r="W352" s="115"/>
      <c r="X352" s="114"/>
      <c r="Y352" s="115"/>
      <c r="Z352" s="114"/>
      <c r="AA352" s="143"/>
      <c r="AB352" s="114"/>
      <c r="AC352" s="114"/>
      <c r="AD352" s="114"/>
    </row>
    <row r="353" spans="1:30" ht="15.75" customHeight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43"/>
      <c r="M353" s="143"/>
      <c r="N353" s="143"/>
      <c r="O353" s="143"/>
      <c r="P353" s="114"/>
      <c r="Q353" s="114"/>
      <c r="R353" s="115"/>
      <c r="S353" s="114"/>
      <c r="T353" s="114"/>
      <c r="U353" s="115"/>
      <c r="V353" s="114"/>
      <c r="W353" s="115"/>
      <c r="X353" s="114"/>
      <c r="Y353" s="115"/>
      <c r="Z353" s="114"/>
      <c r="AA353" s="143"/>
      <c r="AB353" s="114"/>
      <c r="AC353" s="114"/>
      <c r="AD353" s="114"/>
    </row>
    <row r="354" spans="1:30" ht="15.75" customHeight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43"/>
      <c r="M354" s="143"/>
      <c r="N354" s="143"/>
      <c r="O354" s="143"/>
      <c r="P354" s="114"/>
      <c r="Q354" s="114"/>
      <c r="R354" s="115"/>
      <c r="S354" s="114"/>
      <c r="T354" s="114"/>
      <c r="U354" s="115"/>
      <c r="V354" s="114"/>
      <c r="W354" s="115"/>
      <c r="X354" s="114"/>
      <c r="Y354" s="115"/>
      <c r="Z354" s="114"/>
      <c r="AA354" s="143"/>
      <c r="AB354" s="114"/>
      <c r="AC354" s="114"/>
      <c r="AD354" s="114"/>
    </row>
    <row r="355" spans="1:30" ht="15.75" customHeight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43"/>
      <c r="M355" s="143"/>
      <c r="N355" s="143"/>
      <c r="O355" s="143"/>
      <c r="P355" s="114"/>
      <c r="Q355" s="114"/>
      <c r="R355" s="115"/>
      <c r="S355" s="114"/>
      <c r="T355" s="114"/>
      <c r="U355" s="115"/>
      <c r="V355" s="114"/>
      <c r="W355" s="115"/>
      <c r="X355" s="114"/>
      <c r="Y355" s="115"/>
      <c r="Z355" s="114"/>
      <c r="AA355" s="143"/>
      <c r="AB355" s="114"/>
      <c r="AC355" s="114"/>
      <c r="AD355" s="114"/>
    </row>
    <row r="356" spans="1:30" ht="15.75" customHeight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43"/>
      <c r="M356" s="143"/>
      <c r="N356" s="143"/>
      <c r="O356" s="143"/>
      <c r="P356" s="114"/>
      <c r="Q356" s="114"/>
      <c r="R356" s="115"/>
      <c r="S356" s="114"/>
      <c r="T356" s="114"/>
      <c r="U356" s="115"/>
      <c r="V356" s="114"/>
      <c r="W356" s="115"/>
      <c r="X356" s="114"/>
      <c r="Y356" s="115"/>
      <c r="Z356" s="114"/>
      <c r="AA356" s="143"/>
      <c r="AB356" s="114"/>
      <c r="AC356" s="114"/>
      <c r="AD356" s="114"/>
    </row>
    <row r="357" spans="1:30" ht="15.75" customHeight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43"/>
      <c r="M357" s="143"/>
      <c r="N357" s="143"/>
      <c r="O357" s="143"/>
      <c r="P357" s="114"/>
      <c r="Q357" s="114"/>
      <c r="R357" s="115"/>
      <c r="S357" s="114"/>
      <c r="T357" s="114"/>
      <c r="U357" s="115"/>
      <c r="V357" s="114"/>
      <c r="W357" s="115"/>
      <c r="X357" s="114"/>
      <c r="Y357" s="115"/>
      <c r="Z357" s="114"/>
      <c r="AA357" s="143"/>
      <c r="AB357" s="114"/>
      <c r="AC357" s="114"/>
      <c r="AD357" s="114"/>
    </row>
    <row r="358" spans="1:30" ht="15.75" customHeight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43"/>
      <c r="M358" s="143"/>
      <c r="N358" s="143"/>
      <c r="O358" s="143"/>
      <c r="P358" s="114"/>
      <c r="Q358" s="114"/>
      <c r="R358" s="115"/>
      <c r="S358" s="114"/>
      <c r="T358" s="114"/>
      <c r="U358" s="115"/>
      <c r="V358" s="114"/>
      <c r="W358" s="115"/>
      <c r="X358" s="114"/>
      <c r="Y358" s="115"/>
      <c r="Z358" s="114"/>
      <c r="AA358" s="143"/>
      <c r="AB358" s="114"/>
      <c r="AC358" s="114"/>
      <c r="AD358" s="114"/>
    </row>
    <row r="359" spans="1:30" ht="15.75" customHeight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43"/>
      <c r="M359" s="143"/>
      <c r="N359" s="143"/>
      <c r="O359" s="143"/>
      <c r="P359" s="114"/>
      <c r="Q359" s="114"/>
      <c r="R359" s="115"/>
      <c r="S359" s="114"/>
      <c r="T359" s="114"/>
      <c r="U359" s="115"/>
      <c r="V359" s="114"/>
      <c r="W359" s="115"/>
      <c r="X359" s="114"/>
      <c r="Y359" s="115"/>
      <c r="Z359" s="114"/>
      <c r="AA359" s="143"/>
      <c r="AB359" s="114"/>
      <c r="AC359" s="114"/>
      <c r="AD359" s="114"/>
    </row>
    <row r="360" spans="1:30" ht="15.75" customHeight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43"/>
      <c r="M360" s="143"/>
      <c r="N360" s="143"/>
      <c r="O360" s="143"/>
      <c r="P360" s="114"/>
      <c r="Q360" s="114"/>
      <c r="R360" s="115"/>
      <c r="S360" s="114"/>
      <c r="T360" s="114"/>
      <c r="U360" s="115"/>
      <c r="V360" s="114"/>
      <c r="W360" s="115"/>
      <c r="X360" s="114"/>
      <c r="Y360" s="115"/>
      <c r="Z360" s="114"/>
      <c r="AA360" s="143"/>
      <c r="AB360" s="114"/>
      <c r="AC360" s="114"/>
      <c r="AD360" s="114"/>
    </row>
    <row r="361" spans="1:30" ht="15.75" customHeight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43"/>
      <c r="M361" s="143"/>
      <c r="N361" s="143"/>
      <c r="O361" s="143"/>
      <c r="P361" s="114"/>
      <c r="Q361" s="114"/>
      <c r="R361" s="115"/>
      <c r="S361" s="114"/>
      <c r="T361" s="114"/>
      <c r="U361" s="115"/>
      <c r="V361" s="114"/>
      <c r="W361" s="115"/>
      <c r="X361" s="114"/>
      <c r="Y361" s="115"/>
      <c r="Z361" s="114"/>
      <c r="AA361" s="143"/>
      <c r="AB361" s="114"/>
      <c r="AC361" s="114"/>
      <c r="AD361" s="114"/>
    </row>
    <row r="362" spans="1:30" ht="15.75" customHeight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43"/>
      <c r="M362" s="143"/>
      <c r="N362" s="143"/>
      <c r="O362" s="143"/>
      <c r="P362" s="114"/>
      <c r="Q362" s="114"/>
      <c r="R362" s="115"/>
      <c r="S362" s="114"/>
      <c r="T362" s="114"/>
      <c r="U362" s="115"/>
      <c r="V362" s="114"/>
      <c r="W362" s="115"/>
      <c r="X362" s="114"/>
      <c r="Y362" s="115"/>
      <c r="Z362" s="114"/>
      <c r="AA362" s="143"/>
      <c r="AB362" s="114"/>
      <c r="AC362" s="114"/>
      <c r="AD362" s="114"/>
    </row>
    <row r="363" spans="1:30" ht="15.75" customHeight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43"/>
      <c r="M363" s="143"/>
      <c r="N363" s="143"/>
      <c r="O363" s="143"/>
      <c r="P363" s="114"/>
      <c r="Q363" s="114"/>
      <c r="R363" s="115"/>
      <c r="S363" s="114"/>
      <c r="T363" s="114"/>
      <c r="U363" s="115"/>
      <c r="V363" s="114"/>
      <c r="W363" s="115"/>
      <c r="X363" s="114"/>
      <c r="Y363" s="115"/>
      <c r="Z363" s="114"/>
      <c r="AA363" s="143"/>
      <c r="AB363" s="114"/>
      <c r="AC363" s="114"/>
      <c r="AD363" s="114"/>
    </row>
    <row r="364" spans="1:30" ht="15.75" customHeight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43"/>
      <c r="M364" s="143"/>
      <c r="N364" s="143"/>
      <c r="O364" s="143"/>
      <c r="P364" s="114"/>
      <c r="Q364" s="114"/>
      <c r="R364" s="115"/>
      <c r="S364" s="114"/>
      <c r="T364" s="114"/>
      <c r="U364" s="115"/>
      <c r="V364" s="114"/>
      <c r="W364" s="115"/>
      <c r="X364" s="114"/>
      <c r="Y364" s="115"/>
      <c r="Z364" s="114"/>
      <c r="AA364" s="143"/>
      <c r="AB364" s="114"/>
      <c r="AC364" s="114"/>
      <c r="AD364" s="114"/>
    </row>
    <row r="365" spans="1:30" ht="15.75" customHeight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43"/>
      <c r="M365" s="143"/>
      <c r="N365" s="143"/>
      <c r="O365" s="143"/>
      <c r="P365" s="114"/>
      <c r="Q365" s="114"/>
      <c r="R365" s="115"/>
      <c r="S365" s="114"/>
      <c r="T365" s="114"/>
      <c r="U365" s="115"/>
      <c r="V365" s="114"/>
      <c r="W365" s="115"/>
      <c r="X365" s="114"/>
      <c r="Y365" s="115"/>
      <c r="Z365" s="114"/>
      <c r="AA365" s="143"/>
      <c r="AB365" s="114"/>
      <c r="AC365" s="114"/>
      <c r="AD365" s="114"/>
    </row>
    <row r="366" spans="1:30" ht="15.75" customHeight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43"/>
      <c r="M366" s="143"/>
      <c r="N366" s="143"/>
      <c r="O366" s="143"/>
      <c r="P366" s="114"/>
      <c r="Q366" s="114"/>
      <c r="R366" s="115"/>
      <c r="S366" s="114"/>
      <c r="T366" s="114"/>
      <c r="U366" s="115"/>
      <c r="V366" s="114"/>
      <c r="W366" s="115"/>
      <c r="X366" s="114"/>
      <c r="Y366" s="115"/>
      <c r="Z366" s="114"/>
      <c r="AA366" s="143"/>
      <c r="AB366" s="114"/>
      <c r="AC366" s="114"/>
      <c r="AD366" s="114"/>
    </row>
    <row r="367" spans="1:30" ht="15.75" customHeight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43"/>
      <c r="M367" s="143"/>
      <c r="N367" s="143"/>
      <c r="O367" s="143"/>
      <c r="P367" s="114"/>
      <c r="Q367" s="114"/>
      <c r="R367" s="115"/>
      <c r="S367" s="114"/>
      <c r="T367" s="114"/>
      <c r="U367" s="115"/>
      <c r="V367" s="114"/>
      <c r="W367" s="115"/>
      <c r="X367" s="114"/>
      <c r="Y367" s="115"/>
      <c r="Z367" s="114"/>
      <c r="AA367" s="143"/>
      <c r="AB367" s="114"/>
      <c r="AC367" s="114"/>
      <c r="AD367" s="114"/>
    </row>
    <row r="368" spans="1:30" ht="15.75" customHeight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43"/>
      <c r="M368" s="143"/>
      <c r="N368" s="143"/>
      <c r="O368" s="143"/>
      <c r="P368" s="114"/>
      <c r="Q368" s="114"/>
      <c r="R368" s="115"/>
      <c r="S368" s="114"/>
      <c r="T368" s="114"/>
      <c r="U368" s="115"/>
      <c r="V368" s="114"/>
      <c r="W368" s="115"/>
      <c r="X368" s="114"/>
      <c r="Y368" s="115"/>
      <c r="Z368" s="114"/>
      <c r="AA368" s="143"/>
      <c r="AB368" s="114"/>
      <c r="AC368" s="114"/>
      <c r="AD368" s="114"/>
    </row>
    <row r="369" spans="1:30" ht="15.75" customHeight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43"/>
      <c r="M369" s="143"/>
      <c r="N369" s="143"/>
      <c r="O369" s="143"/>
      <c r="P369" s="114"/>
      <c r="Q369" s="114"/>
      <c r="R369" s="115"/>
      <c r="S369" s="114"/>
      <c r="T369" s="114"/>
      <c r="U369" s="115"/>
      <c r="V369" s="114"/>
      <c r="W369" s="115"/>
      <c r="X369" s="114"/>
      <c r="Y369" s="115"/>
      <c r="Z369" s="114"/>
      <c r="AA369" s="143"/>
      <c r="AB369" s="114"/>
      <c r="AC369" s="114"/>
      <c r="AD369" s="114"/>
    </row>
    <row r="370" spans="1:30" ht="15.75" customHeight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43"/>
      <c r="M370" s="143"/>
      <c r="N370" s="143"/>
      <c r="O370" s="143"/>
      <c r="P370" s="114"/>
      <c r="Q370" s="114"/>
      <c r="R370" s="115"/>
      <c r="S370" s="114"/>
      <c r="T370" s="114"/>
      <c r="U370" s="115"/>
      <c r="V370" s="114"/>
      <c r="W370" s="115"/>
      <c r="X370" s="114"/>
      <c r="Y370" s="115"/>
      <c r="Z370" s="114"/>
      <c r="AA370" s="143"/>
      <c r="AB370" s="114"/>
      <c r="AC370" s="114"/>
      <c r="AD370" s="114"/>
    </row>
    <row r="371" spans="1:30" ht="15.75" customHeight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43"/>
      <c r="M371" s="143"/>
      <c r="N371" s="143"/>
      <c r="O371" s="143"/>
      <c r="P371" s="114"/>
      <c r="Q371" s="114"/>
      <c r="R371" s="115"/>
      <c r="S371" s="114"/>
      <c r="T371" s="114"/>
      <c r="U371" s="115"/>
      <c r="V371" s="114"/>
      <c r="W371" s="115"/>
      <c r="X371" s="114"/>
      <c r="Y371" s="115"/>
      <c r="Z371" s="114"/>
      <c r="AA371" s="143"/>
      <c r="AB371" s="114"/>
      <c r="AC371" s="114"/>
      <c r="AD371" s="114"/>
    </row>
    <row r="372" spans="1:30" ht="15.75" customHeight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43"/>
      <c r="M372" s="143"/>
      <c r="N372" s="143"/>
      <c r="O372" s="143"/>
      <c r="P372" s="114"/>
      <c r="Q372" s="114"/>
      <c r="R372" s="115"/>
      <c r="S372" s="114"/>
      <c r="T372" s="114"/>
      <c r="U372" s="115"/>
      <c r="V372" s="114"/>
      <c r="W372" s="115"/>
      <c r="X372" s="114"/>
      <c r="Y372" s="115"/>
      <c r="Z372" s="114"/>
      <c r="AA372" s="143"/>
      <c r="AB372" s="114"/>
      <c r="AC372" s="114"/>
      <c r="AD372" s="114"/>
    </row>
    <row r="373" spans="1:30" ht="15.75" customHeight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43"/>
      <c r="M373" s="143"/>
      <c r="N373" s="143"/>
      <c r="O373" s="143"/>
      <c r="P373" s="114"/>
      <c r="Q373" s="114"/>
      <c r="R373" s="115"/>
      <c r="S373" s="114"/>
      <c r="T373" s="114"/>
      <c r="U373" s="115"/>
      <c r="V373" s="114"/>
      <c r="W373" s="115"/>
      <c r="X373" s="114"/>
      <c r="Y373" s="115"/>
      <c r="Z373" s="114"/>
      <c r="AA373" s="143"/>
      <c r="AB373" s="114"/>
      <c r="AC373" s="114"/>
      <c r="AD373" s="114"/>
    </row>
    <row r="374" spans="1:30" ht="15.75" customHeight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43"/>
      <c r="M374" s="143"/>
      <c r="N374" s="143"/>
      <c r="O374" s="143"/>
      <c r="P374" s="114"/>
      <c r="Q374" s="114"/>
      <c r="R374" s="115"/>
      <c r="S374" s="114"/>
      <c r="T374" s="114"/>
      <c r="U374" s="115"/>
      <c r="V374" s="114"/>
      <c r="W374" s="115"/>
      <c r="X374" s="114"/>
      <c r="Y374" s="115"/>
      <c r="Z374" s="114"/>
      <c r="AA374" s="143"/>
      <c r="AB374" s="114"/>
      <c r="AC374" s="114"/>
      <c r="AD374" s="114"/>
    </row>
    <row r="375" spans="1:30" ht="15.75" customHeight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43"/>
      <c r="M375" s="143"/>
      <c r="N375" s="143"/>
      <c r="O375" s="143"/>
      <c r="P375" s="114"/>
      <c r="Q375" s="114"/>
      <c r="R375" s="115"/>
      <c r="S375" s="114"/>
      <c r="T375" s="114"/>
      <c r="U375" s="115"/>
      <c r="V375" s="114"/>
      <c r="W375" s="115"/>
      <c r="X375" s="114"/>
      <c r="Y375" s="115"/>
      <c r="Z375" s="114"/>
      <c r="AA375" s="143"/>
      <c r="AB375" s="114"/>
      <c r="AC375" s="114"/>
      <c r="AD375" s="114"/>
    </row>
    <row r="376" spans="1:30" ht="15.75" customHeight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43"/>
      <c r="M376" s="143"/>
      <c r="N376" s="143"/>
      <c r="O376" s="143"/>
      <c r="P376" s="114"/>
      <c r="Q376" s="114"/>
      <c r="R376" s="115"/>
      <c r="S376" s="114"/>
      <c r="T376" s="114"/>
      <c r="U376" s="115"/>
      <c r="V376" s="114"/>
      <c r="W376" s="115"/>
      <c r="X376" s="114"/>
      <c r="Y376" s="115"/>
      <c r="Z376" s="114"/>
      <c r="AA376" s="143"/>
      <c r="AB376" s="114"/>
      <c r="AC376" s="114"/>
      <c r="AD376" s="114"/>
    </row>
    <row r="377" spans="1:30" ht="15.75" customHeight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43"/>
      <c r="M377" s="143"/>
      <c r="N377" s="143"/>
      <c r="O377" s="143"/>
      <c r="P377" s="114"/>
      <c r="Q377" s="114"/>
      <c r="R377" s="115"/>
      <c r="S377" s="114"/>
      <c r="T377" s="114"/>
      <c r="U377" s="115"/>
      <c r="V377" s="114"/>
      <c r="W377" s="115"/>
      <c r="X377" s="114"/>
      <c r="Y377" s="115"/>
      <c r="Z377" s="114"/>
      <c r="AA377" s="143"/>
      <c r="AB377" s="114"/>
      <c r="AC377" s="114"/>
      <c r="AD377" s="114"/>
    </row>
    <row r="378" spans="1:30" ht="15.75" customHeight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43"/>
      <c r="M378" s="143"/>
      <c r="N378" s="143"/>
      <c r="O378" s="143"/>
      <c r="P378" s="114"/>
      <c r="Q378" s="114"/>
      <c r="R378" s="115"/>
      <c r="S378" s="114"/>
      <c r="T378" s="114"/>
      <c r="U378" s="115"/>
      <c r="V378" s="114"/>
      <c r="W378" s="115"/>
      <c r="X378" s="114"/>
      <c r="Y378" s="115"/>
      <c r="Z378" s="114"/>
      <c r="AA378" s="143"/>
      <c r="AB378" s="114"/>
      <c r="AC378" s="114"/>
      <c r="AD378" s="114"/>
    </row>
    <row r="379" spans="1:30" ht="15.75" customHeight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43"/>
      <c r="M379" s="143"/>
      <c r="N379" s="143"/>
      <c r="O379" s="143"/>
      <c r="P379" s="114"/>
      <c r="Q379" s="114"/>
      <c r="R379" s="115"/>
      <c r="S379" s="114"/>
      <c r="T379" s="114"/>
      <c r="U379" s="115"/>
      <c r="V379" s="114"/>
      <c r="W379" s="115"/>
      <c r="X379" s="114"/>
      <c r="Y379" s="115"/>
      <c r="Z379" s="114"/>
      <c r="AA379" s="143"/>
      <c r="AB379" s="114"/>
      <c r="AC379" s="114"/>
      <c r="AD379" s="114"/>
    </row>
    <row r="380" spans="1:30" ht="15.75" customHeight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43"/>
      <c r="M380" s="143"/>
      <c r="N380" s="143"/>
      <c r="O380" s="143"/>
      <c r="P380" s="114"/>
      <c r="Q380" s="114"/>
      <c r="R380" s="115"/>
      <c r="S380" s="114"/>
      <c r="T380" s="114"/>
      <c r="U380" s="115"/>
      <c r="V380" s="114"/>
      <c r="W380" s="115"/>
      <c r="X380" s="114"/>
      <c r="Y380" s="115"/>
      <c r="Z380" s="114"/>
      <c r="AA380" s="143"/>
      <c r="AB380" s="114"/>
      <c r="AC380" s="114"/>
      <c r="AD380" s="114"/>
    </row>
    <row r="381" spans="1:30" ht="15.75" customHeight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43"/>
      <c r="M381" s="143"/>
      <c r="N381" s="143"/>
      <c r="O381" s="143"/>
      <c r="P381" s="114"/>
      <c r="Q381" s="114"/>
      <c r="R381" s="115"/>
      <c r="S381" s="114"/>
      <c r="T381" s="114"/>
      <c r="U381" s="115"/>
      <c r="V381" s="114"/>
      <c r="W381" s="115"/>
      <c r="X381" s="114"/>
      <c r="Y381" s="115"/>
      <c r="Z381" s="114"/>
      <c r="AA381" s="143"/>
      <c r="AB381" s="114"/>
      <c r="AC381" s="114"/>
      <c r="AD381" s="114"/>
    </row>
    <row r="382" spans="1:30" ht="15.75" customHeight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43"/>
      <c r="M382" s="143"/>
      <c r="N382" s="143"/>
      <c r="O382" s="143"/>
      <c r="P382" s="114"/>
      <c r="Q382" s="114"/>
      <c r="R382" s="115"/>
      <c r="S382" s="114"/>
      <c r="T382" s="114"/>
      <c r="U382" s="115"/>
      <c r="V382" s="114"/>
      <c r="W382" s="115"/>
      <c r="X382" s="114"/>
      <c r="Y382" s="115"/>
      <c r="Z382" s="114"/>
      <c r="AA382" s="143"/>
      <c r="AB382" s="114"/>
      <c r="AC382" s="114"/>
      <c r="AD382" s="114"/>
    </row>
    <row r="383" spans="1:30" ht="15.75" customHeight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43"/>
      <c r="M383" s="143"/>
      <c r="N383" s="143"/>
      <c r="O383" s="143"/>
      <c r="P383" s="114"/>
      <c r="Q383" s="114"/>
      <c r="R383" s="115"/>
      <c r="S383" s="114"/>
      <c r="T383" s="114"/>
      <c r="U383" s="115"/>
      <c r="V383" s="114"/>
      <c r="W383" s="115"/>
      <c r="X383" s="114"/>
      <c r="Y383" s="115"/>
      <c r="Z383" s="114"/>
      <c r="AA383" s="143"/>
      <c r="AB383" s="114"/>
      <c r="AC383" s="114"/>
      <c r="AD383" s="114"/>
    </row>
    <row r="384" spans="1:30" ht="15.75" customHeight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43"/>
      <c r="M384" s="143"/>
      <c r="N384" s="143"/>
      <c r="O384" s="143"/>
      <c r="P384" s="114"/>
      <c r="Q384" s="114"/>
      <c r="R384" s="115"/>
      <c r="S384" s="114"/>
      <c r="T384" s="114"/>
      <c r="U384" s="115"/>
      <c r="V384" s="114"/>
      <c r="W384" s="115"/>
      <c r="X384" s="114"/>
      <c r="Y384" s="115"/>
      <c r="Z384" s="114"/>
      <c r="AA384" s="143"/>
      <c r="AB384" s="114"/>
      <c r="AC384" s="114"/>
      <c r="AD384" s="114"/>
    </row>
    <row r="385" spans="1:30" ht="15.75" customHeight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43"/>
      <c r="M385" s="143"/>
      <c r="N385" s="143"/>
      <c r="O385" s="143"/>
      <c r="P385" s="114"/>
      <c r="Q385" s="114"/>
      <c r="R385" s="115"/>
      <c r="S385" s="114"/>
      <c r="T385" s="114"/>
      <c r="U385" s="115"/>
      <c r="V385" s="114"/>
      <c r="W385" s="115"/>
      <c r="X385" s="114"/>
      <c r="Y385" s="115"/>
      <c r="Z385" s="114"/>
      <c r="AA385" s="143"/>
      <c r="AB385" s="114"/>
      <c r="AC385" s="114"/>
      <c r="AD385" s="114"/>
    </row>
    <row r="386" spans="1:30" ht="15.75" customHeight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43"/>
      <c r="M386" s="143"/>
      <c r="N386" s="143"/>
      <c r="O386" s="143"/>
      <c r="P386" s="114"/>
      <c r="Q386" s="114"/>
      <c r="R386" s="115"/>
      <c r="S386" s="114"/>
      <c r="T386" s="114"/>
      <c r="U386" s="115"/>
      <c r="V386" s="114"/>
      <c r="W386" s="115"/>
      <c r="X386" s="114"/>
      <c r="Y386" s="115"/>
      <c r="Z386" s="114"/>
      <c r="AA386" s="143"/>
      <c r="AB386" s="114"/>
      <c r="AC386" s="114"/>
      <c r="AD386" s="114"/>
    </row>
    <row r="387" spans="1:30" ht="15.75" customHeight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43"/>
      <c r="M387" s="143"/>
      <c r="N387" s="143"/>
      <c r="O387" s="143"/>
      <c r="P387" s="114"/>
      <c r="Q387" s="114"/>
      <c r="R387" s="115"/>
      <c r="S387" s="114"/>
      <c r="T387" s="114"/>
      <c r="U387" s="115"/>
      <c r="V387" s="114"/>
      <c r="W387" s="115"/>
      <c r="X387" s="114"/>
      <c r="Y387" s="115"/>
      <c r="Z387" s="114"/>
      <c r="AA387" s="143"/>
      <c r="AB387" s="114"/>
      <c r="AC387" s="114"/>
      <c r="AD387" s="114"/>
    </row>
    <row r="388" spans="1:30" ht="15.75" customHeight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43"/>
      <c r="M388" s="143"/>
      <c r="N388" s="143"/>
      <c r="O388" s="143"/>
      <c r="P388" s="114"/>
      <c r="Q388" s="114"/>
      <c r="R388" s="115"/>
      <c r="S388" s="114"/>
      <c r="T388" s="114"/>
      <c r="U388" s="115"/>
      <c r="V388" s="114"/>
      <c r="W388" s="115"/>
      <c r="X388" s="114"/>
      <c r="Y388" s="115"/>
      <c r="Z388" s="114"/>
      <c r="AA388" s="143"/>
      <c r="AB388" s="114"/>
      <c r="AC388" s="114"/>
      <c r="AD388" s="114"/>
    </row>
    <row r="389" spans="1:30" ht="15.75" customHeight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43"/>
      <c r="M389" s="143"/>
      <c r="N389" s="143"/>
      <c r="O389" s="143"/>
      <c r="P389" s="114"/>
      <c r="Q389" s="114"/>
      <c r="R389" s="115"/>
      <c r="S389" s="114"/>
      <c r="T389" s="114"/>
      <c r="U389" s="115"/>
      <c r="V389" s="114"/>
      <c r="W389" s="115"/>
      <c r="X389" s="114"/>
      <c r="Y389" s="115"/>
      <c r="Z389" s="114"/>
      <c r="AA389" s="143"/>
      <c r="AB389" s="114"/>
      <c r="AC389" s="114"/>
      <c r="AD389" s="114"/>
    </row>
    <row r="390" spans="1:30" ht="15.75" customHeight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43"/>
      <c r="M390" s="143"/>
      <c r="N390" s="143"/>
      <c r="O390" s="143"/>
      <c r="P390" s="114"/>
      <c r="Q390" s="114"/>
      <c r="R390" s="115"/>
      <c r="S390" s="114"/>
      <c r="T390" s="114"/>
      <c r="U390" s="115"/>
      <c r="V390" s="114"/>
      <c r="W390" s="115"/>
      <c r="X390" s="114"/>
      <c r="Y390" s="115"/>
      <c r="Z390" s="114"/>
      <c r="AA390" s="143"/>
      <c r="AB390" s="114"/>
      <c r="AC390" s="114"/>
      <c r="AD390" s="114"/>
    </row>
    <row r="391" spans="1:30" ht="15.75" customHeight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43"/>
      <c r="M391" s="143"/>
      <c r="N391" s="143"/>
      <c r="O391" s="143"/>
      <c r="P391" s="114"/>
      <c r="Q391" s="114"/>
      <c r="R391" s="115"/>
      <c r="S391" s="114"/>
      <c r="T391" s="114"/>
      <c r="U391" s="115"/>
      <c r="V391" s="114"/>
      <c r="W391" s="115"/>
      <c r="X391" s="114"/>
      <c r="Y391" s="115"/>
      <c r="Z391" s="114"/>
      <c r="AA391" s="143"/>
      <c r="AB391" s="114"/>
      <c r="AC391" s="114"/>
      <c r="AD391" s="114"/>
    </row>
    <row r="392" spans="1:30" ht="15.75" customHeight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43"/>
      <c r="M392" s="143"/>
      <c r="N392" s="143"/>
      <c r="O392" s="143"/>
      <c r="P392" s="114"/>
      <c r="Q392" s="114"/>
      <c r="R392" s="115"/>
      <c r="S392" s="114"/>
      <c r="T392" s="114"/>
      <c r="U392" s="115"/>
      <c r="V392" s="114"/>
      <c r="W392" s="115"/>
      <c r="X392" s="114"/>
      <c r="Y392" s="115"/>
      <c r="Z392" s="114"/>
      <c r="AA392" s="143"/>
      <c r="AB392" s="114"/>
      <c r="AC392" s="114"/>
      <c r="AD392" s="114"/>
    </row>
    <row r="393" spans="1:30" ht="15.75" customHeight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43"/>
      <c r="M393" s="143"/>
      <c r="N393" s="143"/>
      <c r="O393" s="143"/>
      <c r="P393" s="114"/>
      <c r="Q393" s="114"/>
      <c r="R393" s="115"/>
      <c r="S393" s="114"/>
      <c r="T393" s="114"/>
      <c r="U393" s="115"/>
      <c r="V393" s="114"/>
      <c r="W393" s="115"/>
      <c r="X393" s="114"/>
      <c r="Y393" s="115"/>
      <c r="Z393" s="114"/>
      <c r="AA393" s="143"/>
      <c r="AB393" s="114"/>
      <c r="AC393" s="114"/>
      <c r="AD393" s="114"/>
    </row>
    <row r="394" spans="1:30" ht="15.75" customHeight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43"/>
      <c r="M394" s="143"/>
      <c r="N394" s="143"/>
      <c r="O394" s="143"/>
      <c r="P394" s="114"/>
      <c r="Q394" s="114"/>
      <c r="R394" s="115"/>
      <c r="S394" s="114"/>
      <c r="T394" s="114"/>
      <c r="U394" s="115"/>
      <c r="V394" s="114"/>
      <c r="W394" s="115"/>
      <c r="X394" s="114"/>
      <c r="Y394" s="115"/>
      <c r="Z394" s="114"/>
      <c r="AA394" s="143"/>
      <c r="AB394" s="114"/>
      <c r="AC394" s="114"/>
      <c r="AD394" s="114"/>
    </row>
    <row r="395" spans="1:30" ht="15.75" customHeight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43"/>
      <c r="M395" s="143"/>
      <c r="N395" s="143"/>
      <c r="O395" s="143"/>
      <c r="P395" s="114"/>
      <c r="Q395" s="114"/>
      <c r="R395" s="115"/>
      <c r="S395" s="114"/>
      <c r="T395" s="114"/>
      <c r="U395" s="115"/>
      <c r="V395" s="114"/>
      <c r="W395" s="115"/>
      <c r="X395" s="114"/>
      <c r="Y395" s="115"/>
      <c r="Z395" s="114"/>
      <c r="AA395" s="143"/>
      <c r="AB395" s="114"/>
      <c r="AC395" s="114"/>
      <c r="AD395" s="114"/>
    </row>
    <row r="396" spans="1:30" ht="15.75" customHeight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43"/>
      <c r="M396" s="143"/>
      <c r="N396" s="143"/>
      <c r="O396" s="143"/>
      <c r="P396" s="114"/>
      <c r="Q396" s="114"/>
      <c r="R396" s="115"/>
      <c r="S396" s="114"/>
      <c r="T396" s="114"/>
      <c r="U396" s="115"/>
      <c r="V396" s="114"/>
      <c r="W396" s="115"/>
      <c r="X396" s="114"/>
      <c r="Y396" s="115"/>
      <c r="Z396" s="114"/>
      <c r="AA396" s="143"/>
      <c r="AB396" s="114"/>
      <c r="AC396" s="114"/>
      <c r="AD396" s="114"/>
    </row>
    <row r="397" spans="1:30" ht="15.75" customHeight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43"/>
      <c r="M397" s="143"/>
      <c r="N397" s="143"/>
      <c r="O397" s="143"/>
      <c r="P397" s="114"/>
      <c r="Q397" s="114"/>
      <c r="R397" s="115"/>
      <c r="S397" s="114"/>
      <c r="T397" s="114"/>
      <c r="U397" s="115"/>
      <c r="V397" s="114"/>
      <c r="W397" s="115"/>
      <c r="X397" s="114"/>
      <c r="Y397" s="115"/>
      <c r="Z397" s="114"/>
      <c r="AA397" s="143"/>
      <c r="AB397" s="114"/>
      <c r="AC397" s="114"/>
      <c r="AD397" s="114"/>
    </row>
    <row r="398" spans="1:30" ht="15.75" customHeight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43"/>
      <c r="M398" s="143"/>
      <c r="N398" s="143"/>
      <c r="O398" s="143"/>
      <c r="P398" s="114"/>
      <c r="Q398" s="114"/>
      <c r="R398" s="115"/>
      <c r="S398" s="114"/>
      <c r="T398" s="114"/>
      <c r="U398" s="115"/>
      <c r="V398" s="114"/>
      <c r="W398" s="115"/>
      <c r="X398" s="114"/>
      <c r="Y398" s="115"/>
      <c r="Z398" s="114"/>
      <c r="AA398" s="143"/>
      <c r="AB398" s="114"/>
      <c r="AC398" s="114"/>
      <c r="AD398" s="114"/>
    </row>
    <row r="399" spans="1:30" ht="15.75" customHeight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43"/>
      <c r="M399" s="143"/>
      <c r="N399" s="143"/>
      <c r="O399" s="143"/>
      <c r="P399" s="114"/>
      <c r="Q399" s="114"/>
      <c r="R399" s="115"/>
      <c r="S399" s="114"/>
      <c r="T399" s="114"/>
      <c r="U399" s="115"/>
      <c r="V399" s="114"/>
      <c r="W399" s="115"/>
      <c r="X399" s="114"/>
      <c r="Y399" s="115"/>
      <c r="Z399" s="114"/>
      <c r="AA399" s="143"/>
      <c r="AB399" s="114"/>
      <c r="AC399" s="114"/>
      <c r="AD399" s="114"/>
    </row>
    <row r="400" spans="1:30" ht="15.75" customHeight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43"/>
      <c r="M400" s="143"/>
      <c r="N400" s="143"/>
      <c r="O400" s="143"/>
      <c r="P400" s="114"/>
      <c r="Q400" s="114"/>
      <c r="R400" s="115"/>
      <c r="S400" s="114"/>
      <c r="T400" s="114"/>
      <c r="U400" s="115"/>
      <c r="V400" s="114"/>
      <c r="W400" s="115"/>
      <c r="X400" s="114"/>
      <c r="Y400" s="115"/>
      <c r="Z400" s="114"/>
      <c r="AA400" s="143"/>
      <c r="AB400" s="114"/>
      <c r="AC400" s="114"/>
      <c r="AD400" s="114"/>
    </row>
    <row r="401" spans="1:30" ht="15.75" customHeight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43"/>
      <c r="M401" s="143"/>
      <c r="N401" s="143"/>
      <c r="O401" s="143"/>
      <c r="P401" s="114"/>
      <c r="Q401" s="114"/>
      <c r="R401" s="115"/>
      <c r="S401" s="114"/>
      <c r="T401" s="114"/>
      <c r="U401" s="115"/>
      <c r="V401" s="114"/>
      <c r="W401" s="115"/>
      <c r="X401" s="114"/>
      <c r="Y401" s="115"/>
      <c r="Z401" s="114"/>
      <c r="AA401" s="143"/>
      <c r="AB401" s="114"/>
      <c r="AC401" s="114"/>
      <c r="AD401" s="114"/>
    </row>
    <row r="402" spans="1:30" ht="15.75" customHeight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43"/>
      <c r="M402" s="143"/>
      <c r="N402" s="143"/>
      <c r="O402" s="143"/>
      <c r="P402" s="114"/>
      <c r="Q402" s="114"/>
      <c r="R402" s="115"/>
      <c r="S402" s="114"/>
      <c r="T402" s="114"/>
      <c r="U402" s="115"/>
      <c r="V402" s="114"/>
      <c r="W402" s="115"/>
      <c r="X402" s="114"/>
      <c r="Y402" s="115"/>
      <c r="Z402" s="114"/>
      <c r="AA402" s="143"/>
      <c r="AB402" s="114"/>
      <c r="AC402" s="114"/>
      <c r="AD402" s="114"/>
    </row>
    <row r="403" spans="1:30" ht="15.75" customHeight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43"/>
      <c r="M403" s="143"/>
      <c r="N403" s="143"/>
      <c r="O403" s="143"/>
      <c r="P403" s="114"/>
      <c r="Q403" s="114"/>
      <c r="R403" s="115"/>
      <c r="S403" s="114"/>
      <c r="T403" s="114"/>
      <c r="U403" s="115"/>
      <c r="V403" s="114"/>
      <c r="W403" s="115"/>
      <c r="X403" s="114"/>
      <c r="Y403" s="115"/>
      <c r="Z403" s="114"/>
      <c r="AA403" s="143"/>
      <c r="AB403" s="114"/>
      <c r="AC403" s="114"/>
      <c r="AD403" s="114"/>
    </row>
    <row r="404" spans="1:30" ht="15.75" customHeight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43"/>
      <c r="M404" s="143"/>
      <c r="N404" s="143"/>
      <c r="O404" s="143"/>
      <c r="P404" s="114"/>
      <c r="Q404" s="114"/>
      <c r="R404" s="115"/>
      <c r="S404" s="114"/>
      <c r="T404" s="114"/>
      <c r="U404" s="115"/>
      <c r="V404" s="114"/>
      <c r="W404" s="115"/>
      <c r="X404" s="114"/>
      <c r="Y404" s="115"/>
      <c r="Z404" s="114"/>
      <c r="AA404" s="143"/>
      <c r="AB404" s="114"/>
      <c r="AC404" s="114"/>
      <c r="AD404" s="114"/>
    </row>
    <row r="405" spans="1:30" ht="15.75" customHeight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43"/>
      <c r="M405" s="143"/>
      <c r="N405" s="143"/>
      <c r="O405" s="143"/>
      <c r="P405" s="114"/>
      <c r="Q405" s="114"/>
      <c r="R405" s="115"/>
      <c r="S405" s="114"/>
      <c r="T405" s="114"/>
      <c r="U405" s="115"/>
      <c r="V405" s="114"/>
      <c r="W405" s="115"/>
      <c r="X405" s="114"/>
      <c r="Y405" s="115"/>
      <c r="Z405" s="114"/>
      <c r="AA405" s="143"/>
      <c r="AB405" s="114"/>
      <c r="AC405" s="114"/>
      <c r="AD405" s="114"/>
    </row>
    <row r="406" spans="1:30" ht="15.75" customHeight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43"/>
      <c r="M406" s="143"/>
      <c r="N406" s="143"/>
      <c r="O406" s="143"/>
      <c r="P406" s="114"/>
      <c r="Q406" s="114"/>
      <c r="R406" s="115"/>
      <c r="S406" s="114"/>
      <c r="T406" s="114"/>
      <c r="U406" s="115"/>
      <c r="V406" s="114"/>
      <c r="W406" s="115"/>
      <c r="X406" s="114"/>
      <c r="Y406" s="115"/>
      <c r="Z406" s="114"/>
      <c r="AA406" s="143"/>
      <c r="AB406" s="114"/>
      <c r="AC406" s="114"/>
      <c r="AD406" s="114"/>
    </row>
    <row r="407" spans="1:30" ht="15.75" customHeight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43"/>
      <c r="M407" s="143"/>
      <c r="N407" s="143"/>
      <c r="O407" s="143"/>
      <c r="P407" s="114"/>
      <c r="Q407" s="114"/>
      <c r="R407" s="115"/>
      <c r="S407" s="114"/>
      <c r="T407" s="114"/>
      <c r="U407" s="115"/>
      <c r="V407" s="114"/>
      <c r="W407" s="115"/>
      <c r="X407" s="114"/>
      <c r="Y407" s="115"/>
      <c r="Z407" s="114"/>
      <c r="AA407" s="143"/>
      <c r="AB407" s="114"/>
      <c r="AC407" s="114"/>
      <c r="AD407" s="114"/>
    </row>
    <row r="408" spans="1:30" ht="15.75" customHeight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43"/>
      <c r="M408" s="143"/>
      <c r="N408" s="143"/>
      <c r="O408" s="143"/>
      <c r="P408" s="114"/>
      <c r="Q408" s="114"/>
      <c r="R408" s="115"/>
      <c r="S408" s="114"/>
      <c r="T408" s="114"/>
      <c r="U408" s="115"/>
      <c r="V408" s="114"/>
      <c r="W408" s="115"/>
      <c r="X408" s="114"/>
      <c r="Y408" s="115"/>
      <c r="Z408" s="114"/>
      <c r="AA408" s="143"/>
      <c r="AB408" s="114"/>
      <c r="AC408" s="114"/>
      <c r="AD408" s="114"/>
    </row>
    <row r="409" spans="1:30" ht="15.75" customHeight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43"/>
      <c r="M409" s="143"/>
      <c r="N409" s="143"/>
      <c r="O409" s="143"/>
      <c r="P409" s="114"/>
      <c r="Q409" s="114"/>
      <c r="R409" s="115"/>
      <c r="S409" s="114"/>
      <c r="T409" s="114"/>
      <c r="U409" s="115"/>
      <c r="V409" s="114"/>
      <c r="W409" s="115"/>
      <c r="X409" s="114"/>
      <c r="Y409" s="115"/>
      <c r="Z409" s="114"/>
      <c r="AA409" s="143"/>
      <c r="AB409" s="114"/>
      <c r="AC409" s="114"/>
      <c r="AD409" s="114"/>
    </row>
    <row r="410" spans="1:30" ht="15.75" customHeight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43"/>
      <c r="M410" s="143"/>
      <c r="N410" s="143"/>
      <c r="O410" s="143"/>
      <c r="P410" s="114"/>
      <c r="Q410" s="114"/>
      <c r="R410" s="115"/>
      <c r="S410" s="114"/>
      <c r="T410" s="114"/>
      <c r="U410" s="115"/>
      <c r="V410" s="114"/>
      <c r="W410" s="115"/>
      <c r="X410" s="114"/>
      <c r="Y410" s="115"/>
      <c r="Z410" s="114"/>
      <c r="AA410" s="143"/>
      <c r="AB410" s="114"/>
      <c r="AC410" s="114"/>
      <c r="AD410" s="114"/>
    </row>
    <row r="411" spans="1:30" ht="15.75" customHeight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43"/>
      <c r="M411" s="143"/>
      <c r="N411" s="143"/>
      <c r="O411" s="143"/>
      <c r="P411" s="114"/>
      <c r="Q411" s="114"/>
      <c r="R411" s="115"/>
      <c r="S411" s="114"/>
      <c r="T411" s="114"/>
      <c r="U411" s="115"/>
      <c r="V411" s="114"/>
      <c r="W411" s="115"/>
      <c r="X411" s="114"/>
      <c r="Y411" s="115"/>
      <c r="Z411" s="114"/>
      <c r="AA411" s="143"/>
      <c r="AB411" s="114"/>
      <c r="AC411" s="114"/>
      <c r="AD411" s="114"/>
    </row>
    <row r="412" spans="1:30" ht="15.75" customHeight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43"/>
      <c r="M412" s="143"/>
      <c r="N412" s="143"/>
      <c r="O412" s="143"/>
      <c r="P412" s="114"/>
      <c r="Q412" s="114"/>
      <c r="R412" s="115"/>
      <c r="S412" s="114"/>
      <c r="T412" s="114"/>
      <c r="U412" s="115"/>
      <c r="V412" s="114"/>
      <c r="W412" s="115"/>
      <c r="X412" s="114"/>
      <c r="Y412" s="115"/>
      <c r="Z412" s="114"/>
      <c r="AA412" s="143"/>
      <c r="AB412" s="114"/>
      <c r="AC412" s="114"/>
      <c r="AD412" s="114"/>
    </row>
    <row r="413" spans="1:30" ht="15.75" customHeight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43"/>
      <c r="M413" s="143"/>
      <c r="N413" s="143"/>
      <c r="O413" s="143"/>
      <c r="P413" s="114"/>
      <c r="Q413" s="114"/>
      <c r="R413" s="115"/>
      <c r="S413" s="114"/>
      <c r="T413" s="114"/>
      <c r="U413" s="115"/>
      <c r="V413" s="114"/>
      <c r="W413" s="115"/>
      <c r="X413" s="114"/>
      <c r="Y413" s="115"/>
      <c r="Z413" s="114"/>
      <c r="AA413" s="143"/>
      <c r="AB413" s="114"/>
      <c r="AC413" s="114"/>
      <c r="AD413" s="114"/>
    </row>
    <row r="414" spans="1:30" ht="15.75" customHeight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43"/>
      <c r="M414" s="143"/>
      <c r="N414" s="143"/>
      <c r="O414" s="143"/>
      <c r="P414" s="114"/>
      <c r="Q414" s="114"/>
      <c r="R414" s="115"/>
      <c r="S414" s="114"/>
      <c r="T414" s="114"/>
      <c r="U414" s="115"/>
      <c r="V414" s="114"/>
      <c r="W414" s="115"/>
      <c r="X414" s="114"/>
      <c r="Y414" s="115"/>
      <c r="Z414" s="114"/>
      <c r="AA414" s="143"/>
      <c r="AB414" s="114"/>
      <c r="AC414" s="114"/>
      <c r="AD414" s="114"/>
    </row>
    <row r="415" spans="1:30" ht="15.75" customHeight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43"/>
      <c r="M415" s="143"/>
      <c r="N415" s="143"/>
      <c r="O415" s="143"/>
      <c r="P415" s="114"/>
      <c r="Q415" s="114"/>
      <c r="R415" s="115"/>
      <c r="S415" s="114"/>
      <c r="T415" s="114"/>
      <c r="U415" s="115"/>
      <c r="V415" s="114"/>
      <c r="W415" s="115"/>
      <c r="X415" s="114"/>
      <c r="Y415" s="115"/>
      <c r="Z415" s="114"/>
      <c r="AA415" s="143"/>
      <c r="AB415" s="114"/>
      <c r="AC415" s="114"/>
      <c r="AD415" s="114"/>
    </row>
    <row r="416" spans="1:30" ht="15.75" customHeight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43"/>
      <c r="M416" s="143"/>
      <c r="N416" s="143"/>
      <c r="O416" s="143"/>
      <c r="P416" s="114"/>
      <c r="Q416" s="114"/>
      <c r="R416" s="115"/>
      <c r="S416" s="114"/>
      <c r="T416" s="114"/>
      <c r="U416" s="115"/>
      <c r="V416" s="114"/>
      <c r="W416" s="115"/>
      <c r="X416" s="114"/>
      <c r="Y416" s="115"/>
      <c r="Z416" s="114"/>
      <c r="AA416" s="143"/>
      <c r="AB416" s="114"/>
      <c r="AC416" s="114"/>
      <c r="AD416" s="114"/>
    </row>
    <row r="417" spans="1:30" ht="15.75" customHeight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43"/>
      <c r="M417" s="143"/>
      <c r="N417" s="143"/>
      <c r="O417" s="143"/>
      <c r="P417" s="114"/>
      <c r="Q417" s="114"/>
      <c r="R417" s="115"/>
      <c r="S417" s="114"/>
      <c r="T417" s="114"/>
      <c r="U417" s="115"/>
      <c r="V417" s="114"/>
      <c r="W417" s="115"/>
      <c r="X417" s="114"/>
      <c r="Y417" s="115"/>
      <c r="Z417" s="114"/>
      <c r="AA417" s="143"/>
      <c r="AB417" s="114"/>
      <c r="AC417" s="114"/>
      <c r="AD417" s="114"/>
    </row>
    <row r="418" spans="1:30" ht="15.75" customHeight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43"/>
      <c r="M418" s="143"/>
      <c r="N418" s="143"/>
      <c r="O418" s="143"/>
      <c r="P418" s="114"/>
      <c r="Q418" s="114"/>
      <c r="R418" s="115"/>
      <c r="S418" s="114"/>
      <c r="T418" s="114"/>
      <c r="U418" s="115"/>
      <c r="V418" s="114"/>
      <c r="W418" s="115"/>
      <c r="X418" s="114"/>
      <c r="Y418" s="115"/>
      <c r="Z418" s="114"/>
      <c r="AA418" s="143"/>
      <c r="AB418" s="114"/>
      <c r="AC418" s="114"/>
      <c r="AD418" s="114"/>
    </row>
    <row r="419" spans="1:30" ht="15.75" customHeight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43"/>
      <c r="M419" s="143"/>
      <c r="N419" s="143"/>
      <c r="O419" s="143"/>
      <c r="P419" s="114"/>
      <c r="Q419" s="114"/>
      <c r="R419" s="115"/>
      <c r="S419" s="114"/>
      <c r="T419" s="114"/>
      <c r="U419" s="115"/>
      <c r="V419" s="114"/>
      <c r="W419" s="115"/>
      <c r="X419" s="114"/>
      <c r="Y419" s="115"/>
      <c r="Z419" s="114"/>
      <c r="AA419" s="143"/>
      <c r="AB419" s="114"/>
      <c r="AC419" s="114"/>
      <c r="AD419" s="114"/>
    </row>
    <row r="420" spans="1:30" ht="15.75" customHeight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43"/>
      <c r="M420" s="143"/>
      <c r="N420" s="143"/>
      <c r="O420" s="143"/>
      <c r="P420" s="114"/>
      <c r="Q420" s="114"/>
      <c r="R420" s="115"/>
      <c r="S420" s="114"/>
      <c r="T420" s="114"/>
      <c r="U420" s="115"/>
      <c r="V420" s="114"/>
      <c r="W420" s="115"/>
      <c r="X420" s="114"/>
      <c r="Y420" s="115"/>
      <c r="Z420" s="114"/>
      <c r="AA420" s="143"/>
      <c r="AB420" s="114"/>
      <c r="AC420" s="114"/>
      <c r="AD420" s="114"/>
    </row>
    <row r="421" spans="1:30" ht="15.75" customHeight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43"/>
      <c r="M421" s="143"/>
      <c r="N421" s="143"/>
      <c r="O421" s="143"/>
      <c r="P421" s="114"/>
      <c r="Q421" s="114"/>
      <c r="R421" s="115"/>
      <c r="S421" s="114"/>
      <c r="T421" s="114"/>
      <c r="U421" s="115"/>
      <c r="V421" s="114"/>
      <c r="W421" s="115"/>
      <c r="X421" s="114"/>
      <c r="Y421" s="115"/>
      <c r="Z421" s="114"/>
      <c r="AA421" s="143"/>
      <c r="AB421" s="114"/>
      <c r="AC421" s="114"/>
      <c r="AD421" s="114"/>
    </row>
    <row r="422" spans="1:30" ht="15.75" customHeight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43"/>
      <c r="M422" s="143"/>
      <c r="N422" s="143"/>
      <c r="O422" s="143"/>
      <c r="P422" s="114"/>
      <c r="Q422" s="114"/>
      <c r="R422" s="115"/>
      <c r="S422" s="114"/>
      <c r="T422" s="114"/>
      <c r="U422" s="115"/>
      <c r="V422" s="114"/>
      <c r="W422" s="115"/>
      <c r="X422" s="114"/>
      <c r="Y422" s="115"/>
      <c r="Z422" s="114"/>
      <c r="AA422" s="143"/>
      <c r="AB422" s="114"/>
      <c r="AC422" s="114"/>
      <c r="AD422" s="114"/>
    </row>
    <row r="423" spans="1:30" ht="15.75" customHeight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43"/>
      <c r="M423" s="143"/>
      <c r="N423" s="143"/>
      <c r="O423" s="143"/>
      <c r="P423" s="114"/>
      <c r="Q423" s="114"/>
      <c r="R423" s="115"/>
      <c r="S423" s="114"/>
      <c r="T423" s="114"/>
      <c r="U423" s="115"/>
      <c r="V423" s="114"/>
      <c r="W423" s="115"/>
      <c r="X423" s="114"/>
      <c r="Y423" s="115"/>
      <c r="Z423" s="114"/>
      <c r="AA423" s="143"/>
      <c r="AB423" s="114"/>
      <c r="AC423" s="114"/>
      <c r="AD423" s="114"/>
    </row>
    <row r="424" spans="1:30" ht="15.75" customHeight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43"/>
      <c r="M424" s="143"/>
      <c r="N424" s="143"/>
      <c r="O424" s="143"/>
      <c r="P424" s="114"/>
      <c r="Q424" s="114"/>
      <c r="R424" s="115"/>
      <c r="S424" s="114"/>
      <c r="T424" s="114"/>
      <c r="U424" s="115"/>
      <c r="V424" s="114"/>
      <c r="W424" s="115"/>
      <c r="X424" s="114"/>
      <c r="Y424" s="115"/>
      <c r="Z424" s="114"/>
      <c r="AA424" s="143"/>
      <c r="AB424" s="114"/>
      <c r="AC424" s="114"/>
      <c r="AD424" s="114"/>
    </row>
    <row r="425" spans="1:30" ht="15.75" customHeight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43"/>
      <c r="M425" s="143"/>
      <c r="N425" s="143"/>
      <c r="O425" s="143"/>
      <c r="P425" s="114"/>
      <c r="Q425" s="114"/>
      <c r="R425" s="115"/>
      <c r="S425" s="114"/>
      <c r="T425" s="114"/>
      <c r="U425" s="115"/>
      <c r="V425" s="114"/>
      <c r="W425" s="115"/>
      <c r="X425" s="114"/>
      <c r="Y425" s="115"/>
      <c r="Z425" s="114"/>
      <c r="AA425" s="143"/>
      <c r="AB425" s="114"/>
      <c r="AC425" s="114"/>
      <c r="AD425" s="114"/>
    </row>
    <row r="426" spans="1:30" ht="15.75" customHeight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43"/>
      <c r="M426" s="143"/>
      <c r="N426" s="143"/>
      <c r="O426" s="143"/>
      <c r="P426" s="114"/>
      <c r="Q426" s="114"/>
      <c r="R426" s="115"/>
      <c r="S426" s="114"/>
      <c r="T426" s="114"/>
      <c r="U426" s="115"/>
      <c r="V426" s="114"/>
      <c r="W426" s="115"/>
      <c r="X426" s="114"/>
      <c r="Y426" s="115"/>
      <c r="Z426" s="114"/>
      <c r="AA426" s="143"/>
      <c r="AB426" s="114"/>
      <c r="AC426" s="114"/>
      <c r="AD426" s="114"/>
    </row>
    <row r="427" spans="1:30" ht="15.75" customHeight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43"/>
      <c r="M427" s="143"/>
      <c r="N427" s="143"/>
      <c r="O427" s="143"/>
      <c r="P427" s="114"/>
      <c r="Q427" s="114"/>
      <c r="R427" s="115"/>
      <c r="S427" s="114"/>
      <c r="T427" s="114"/>
      <c r="U427" s="115"/>
      <c r="V427" s="114"/>
      <c r="W427" s="115"/>
      <c r="X427" s="114"/>
      <c r="Y427" s="115"/>
      <c r="Z427" s="114"/>
      <c r="AA427" s="143"/>
      <c r="AB427" s="114"/>
      <c r="AC427" s="114"/>
      <c r="AD427" s="114"/>
    </row>
    <row r="428" spans="1:30" ht="15.75" customHeight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43"/>
      <c r="M428" s="143"/>
      <c r="N428" s="143"/>
      <c r="O428" s="143"/>
      <c r="P428" s="114"/>
      <c r="Q428" s="114"/>
      <c r="R428" s="115"/>
      <c r="S428" s="114"/>
      <c r="T428" s="114"/>
      <c r="U428" s="115"/>
      <c r="V428" s="114"/>
      <c r="W428" s="115"/>
      <c r="X428" s="114"/>
      <c r="Y428" s="115"/>
      <c r="Z428" s="114"/>
      <c r="AA428" s="143"/>
      <c r="AB428" s="114"/>
      <c r="AC428" s="114"/>
      <c r="AD428" s="114"/>
    </row>
    <row r="429" spans="1:30" ht="15.75" customHeight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43"/>
      <c r="M429" s="143"/>
      <c r="N429" s="143"/>
      <c r="O429" s="143"/>
      <c r="P429" s="114"/>
      <c r="Q429" s="114"/>
      <c r="R429" s="115"/>
      <c r="S429" s="114"/>
      <c r="T429" s="114"/>
      <c r="U429" s="115"/>
      <c r="V429" s="114"/>
      <c r="W429" s="115"/>
      <c r="X429" s="114"/>
      <c r="Y429" s="115"/>
      <c r="Z429" s="114"/>
      <c r="AA429" s="143"/>
      <c r="AB429" s="114"/>
      <c r="AC429" s="114"/>
      <c r="AD429" s="114"/>
    </row>
    <row r="430" spans="1:30" ht="15.75" customHeight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43"/>
      <c r="M430" s="143"/>
      <c r="N430" s="143"/>
      <c r="O430" s="143"/>
      <c r="P430" s="114"/>
      <c r="Q430" s="114"/>
      <c r="R430" s="115"/>
      <c r="S430" s="114"/>
      <c r="T430" s="114"/>
      <c r="U430" s="115"/>
      <c r="V430" s="114"/>
      <c r="W430" s="115"/>
      <c r="X430" s="114"/>
      <c r="Y430" s="115"/>
      <c r="Z430" s="114"/>
      <c r="AA430" s="143"/>
      <c r="AB430" s="114"/>
      <c r="AC430" s="114"/>
      <c r="AD430" s="114"/>
    </row>
    <row r="431" spans="1:30" ht="15.75" customHeight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43"/>
      <c r="M431" s="143"/>
      <c r="N431" s="143"/>
      <c r="O431" s="143"/>
      <c r="P431" s="114"/>
      <c r="Q431" s="114"/>
      <c r="R431" s="115"/>
      <c r="S431" s="114"/>
      <c r="T431" s="114"/>
      <c r="U431" s="115"/>
      <c r="V431" s="114"/>
      <c r="W431" s="115"/>
      <c r="X431" s="114"/>
      <c r="Y431" s="115"/>
      <c r="Z431" s="114"/>
      <c r="AA431" s="143"/>
      <c r="AB431" s="114"/>
      <c r="AC431" s="114"/>
      <c r="AD431" s="114"/>
    </row>
    <row r="432" spans="1:30" ht="15.75" customHeight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43"/>
      <c r="M432" s="143"/>
      <c r="N432" s="143"/>
      <c r="O432" s="143"/>
      <c r="P432" s="114"/>
      <c r="Q432" s="114"/>
      <c r="R432" s="115"/>
      <c r="S432" s="114"/>
      <c r="T432" s="114"/>
      <c r="U432" s="115"/>
      <c r="V432" s="114"/>
      <c r="W432" s="115"/>
      <c r="X432" s="114"/>
      <c r="Y432" s="115"/>
      <c r="Z432" s="114"/>
      <c r="AA432" s="143"/>
      <c r="AB432" s="114"/>
      <c r="AC432" s="114"/>
      <c r="AD432" s="114"/>
    </row>
    <row r="433" spans="1:30" ht="15.75" customHeight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43"/>
      <c r="M433" s="143"/>
      <c r="N433" s="143"/>
      <c r="O433" s="143"/>
      <c r="P433" s="114"/>
      <c r="Q433" s="114"/>
      <c r="R433" s="115"/>
      <c r="S433" s="114"/>
      <c r="T433" s="114"/>
      <c r="U433" s="115"/>
      <c r="V433" s="114"/>
      <c r="W433" s="115"/>
      <c r="X433" s="114"/>
      <c r="Y433" s="115"/>
      <c r="Z433" s="114"/>
      <c r="AA433" s="143"/>
      <c r="AB433" s="114"/>
      <c r="AC433" s="114"/>
      <c r="AD433" s="114"/>
    </row>
    <row r="434" spans="1:30" ht="15.75" customHeight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43"/>
      <c r="M434" s="143"/>
      <c r="N434" s="143"/>
      <c r="O434" s="143"/>
      <c r="P434" s="114"/>
      <c r="Q434" s="114"/>
      <c r="R434" s="115"/>
      <c r="S434" s="114"/>
      <c r="T434" s="114"/>
      <c r="U434" s="115"/>
      <c r="V434" s="114"/>
      <c r="W434" s="115"/>
      <c r="X434" s="114"/>
      <c r="Y434" s="115"/>
      <c r="Z434" s="114"/>
      <c r="AA434" s="143"/>
      <c r="AB434" s="114"/>
      <c r="AC434" s="114"/>
      <c r="AD434" s="114"/>
    </row>
    <row r="435" spans="1:30" ht="15.75" customHeight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43"/>
      <c r="M435" s="143"/>
      <c r="N435" s="143"/>
      <c r="O435" s="143"/>
      <c r="P435" s="114"/>
      <c r="Q435" s="114"/>
      <c r="R435" s="115"/>
      <c r="S435" s="114"/>
      <c r="T435" s="114"/>
      <c r="U435" s="115"/>
      <c r="V435" s="114"/>
      <c r="W435" s="115"/>
      <c r="X435" s="114"/>
      <c r="Y435" s="115"/>
      <c r="Z435" s="114"/>
      <c r="AA435" s="143"/>
      <c r="AB435" s="114"/>
      <c r="AC435" s="114"/>
      <c r="AD435" s="114"/>
    </row>
    <row r="436" spans="1:30" ht="15.75" customHeight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43"/>
      <c r="M436" s="143"/>
      <c r="N436" s="143"/>
      <c r="O436" s="143"/>
      <c r="P436" s="114"/>
      <c r="Q436" s="114"/>
      <c r="R436" s="115"/>
      <c r="S436" s="114"/>
      <c r="T436" s="114"/>
      <c r="U436" s="115"/>
      <c r="V436" s="114"/>
      <c r="W436" s="115"/>
      <c r="X436" s="114"/>
      <c r="Y436" s="115"/>
      <c r="Z436" s="114"/>
      <c r="AA436" s="143"/>
      <c r="AB436" s="114"/>
      <c r="AC436" s="114"/>
      <c r="AD436" s="114"/>
    </row>
    <row r="437" spans="1:30" ht="15.75" customHeight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43"/>
      <c r="M437" s="143"/>
      <c r="N437" s="143"/>
      <c r="O437" s="143"/>
      <c r="P437" s="114"/>
      <c r="Q437" s="114"/>
      <c r="R437" s="115"/>
      <c r="S437" s="114"/>
      <c r="T437" s="114"/>
      <c r="U437" s="115"/>
      <c r="V437" s="114"/>
      <c r="W437" s="115"/>
      <c r="X437" s="114"/>
      <c r="Y437" s="115"/>
      <c r="Z437" s="114"/>
      <c r="AA437" s="143"/>
      <c r="AB437" s="114"/>
      <c r="AC437" s="114"/>
      <c r="AD437" s="114"/>
    </row>
    <row r="438" spans="1:30" ht="15.75" customHeight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43"/>
      <c r="M438" s="143"/>
      <c r="N438" s="143"/>
      <c r="O438" s="143"/>
      <c r="P438" s="114"/>
      <c r="Q438" s="114"/>
      <c r="R438" s="115"/>
      <c r="S438" s="114"/>
      <c r="T438" s="114"/>
      <c r="U438" s="115"/>
      <c r="V438" s="114"/>
      <c r="W438" s="115"/>
      <c r="X438" s="114"/>
      <c r="Y438" s="115"/>
      <c r="Z438" s="114"/>
      <c r="AA438" s="143"/>
      <c r="AB438" s="114"/>
      <c r="AC438" s="114"/>
      <c r="AD438" s="114"/>
    </row>
    <row r="439" spans="1:30" ht="15.75" customHeight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43"/>
      <c r="M439" s="143"/>
      <c r="N439" s="143"/>
      <c r="O439" s="143"/>
      <c r="P439" s="114"/>
      <c r="Q439" s="114"/>
      <c r="R439" s="115"/>
      <c r="S439" s="114"/>
      <c r="T439" s="114"/>
      <c r="U439" s="115"/>
      <c r="V439" s="114"/>
      <c r="W439" s="115"/>
      <c r="X439" s="114"/>
      <c r="Y439" s="115"/>
      <c r="Z439" s="114"/>
      <c r="AA439" s="143"/>
      <c r="AB439" s="114"/>
      <c r="AC439" s="114"/>
      <c r="AD439" s="114"/>
    </row>
    <row r="440" spans="1:30" ht="15.75" customHeight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43"/>
      <c r="M440" s="143"/>
      <c r="N440" s="143"/>
      <c r="O440" s="143"/>
      <c r="P440" s="114"/>
      <c r="Q440" s="114"/>
      <c r="R440" s="115"/>
      <c r="S440" s="114"/>
      <c r="T440" s="114"/>
      <c r="U440" s="115"/>
      <c r="V440" s="114"/>
      <c r="W440" s="115"/>
      <c r="X440" s="114"/>
      <c r="Y440" s="115"/>
      <c r="Z440" s="114"/>
      <c r="AA440" s="143"/>
      <c r="AB440" s="114"/>
      <c r="AC440" s="114"/>
      <c r="AD440" s="114"/>
    </row>
    <row r="441" spans="1:30" ht="15.75" customHeight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43"/>
      <c r="M441" s="143"/>
      <c r="N441" s="143"/>
      <c r="O441" s="143"/>
      <c r="P441" s="114"/>
      <c r="Q441" s="114"/>
      <c r="R441" s="115"/>
      <c r="S441" s="114"/>
      <c r="T441" s="114"/>
      <c r="U441" s="115"/>
      <c r="V441" s="114"/>
      <c r="W441" s="115"/>
      <c r="X441" s="114"/>
      <c r="Y441" s="115"/>
      <c r="Z441" s="114"/>
      <c r="AA441" s="143"/>
      <c r="AB441" s="114"/>
      <c r="AC441" s="114"/>
      <c r="AD441" s="114"/>
    </row>
    <row r="442" spans="1:30" ht="15.75" customHeight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43"/>
      <c r="M442" s="143"/>
      <c r="N442" s="143"/>
      <c r="O442" s="143"/>
      <c r="P442" s="114"/>
      <c r="Q442" s="114"/>
      <c r="R442" s="115"/>
      <c r="S442" s="114"/>
      <c r="T442" s="114"/>
      <c r="U442" s="115"/>
      <c r="V442" s="114"/>
      <c r="W442" s="115"/>
      <c r="X442" s="114"/>
      <c r="Y442" s="115"/>
      <c r="Z442" s="114"/>
      <c r="AA442" s="143"/>
      <c r="AB442" s="114"/>
      <c r="AC442" s="114"/>
      <c r="AD442" s="114"/>
    </row>
    <row r="443" spans="1:30" ht="15.75" customHeight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43"/>
      <c r="M443" s="143"/>
      <c r="N443" s="143"/>
      <c r="O443" s="143"/>
      <c r="P443" s="114"/>
      <c r="Q443" s="114"/>
      <c r="R443" s="115"/>
      <c r="S443" s="114"/>
      <c r="T443" s="114"/>
      <c r="U443" s="115"/>
      <c r="V443" s="114"/>
      <c r="W443" s="115"/>
      <c r="X443" s="114"/>
      <c r="Y443" s="115"/>
      <c r="Z443" s="114"/>
      <c r="AA443" s="143"/>
      <c r="AB443" s="114"/>
      <c r="AC443" s="114"/>
      <c r="AD443" s="114"/>
    </row>
    <row r="444" spans="1:30" ht="15.75" customHeight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43"/>
      <c r="M444" s="143"/>
      <c r="N444" s="143"/>
      <c r="O444" s="143"/>
      <c r="P444" s="114"/>
      <c r="Q444" s="114"/>
      <c r="R444" s="115"/>
      <c r="S444" s="114"/>
      <c r="T444" s="114"/>
      <c r="U444" s="115"/>
      <c r="V444" s="114"/>
      <c r="W444" s="115"/>
      <c r="X444" s="114"/>
      <c r="Y444" s="115"/>
      <c r="Z444" s="114"/>
      <c r="AA444" s="143"/>
      <c r="AB444" s="114"/>
      <c r="AC444" s="114"/>
      <c r="AD444" s="114"/>
    </row>
    <row r="445" spans="1:30" ht="15.75" customHeight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43"/>
      <c r="M445" s="143"/>
      <c r="N445" s="143"/>
      <c r="O445" s="143"/>
      <c r="P445" s="114"/>
      <c r="Q445" s="114"/>
      <c r="R445" s="115"/>
      <c r="S445" s="114"/>
      <c r="T445" s="114"/>
      <c r="U445" s="115"/>
      <c r="V445" s="114"/>
      <c r="W445" s="115"/>
      <c r="X445" s="114"/>
      <c r="Y445" s="115"/>
      <c r="Z445" s="114"/>
      <c r="AA445" s="143"/>
      <c r="AB445" s="114"/>
      <c r="AC445" s="114"/>
      <c r="AD445" s="114"/>
    </row>
    <row r="446" spans="1:30" ht="15.75" customHeight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43"/>
      <c r="M446" s="143"/>
      <c r="N446" s="143"/>
      <c r="O446" s="143"/>
      <c r="P446" s="114"/>
      <c r="Q446" s="114"/>
      <c r="R446" s="115"/>
      <c r="S446" s="114"/>
      <c r="T446" s="114"/>
      <c r="U446" s="115"/>
      <c r="V446" s="114"/>
      <c r="W446" s="115"/>
      <c r="X446" s="114"/>
      <c r="Y446" s="115"/>
      <c r="Z446" s="114"/>
      <c r="AA446" s="143"/>
      <c r="AB446" s="114"/>
      <c r="AC446" s="114"/>
      <c r="AD446" s="114"/>
    </row>
    <row r="447" spans="1:30" ht="15.75" customHeight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43"/>
      <c r="M447" s="143"/>
      <c r="N447" s="143"/>
      <c r="O447" s="143"/>
      <c r="P447" s="114"/>
      <c r="Q447" s="114"/>
      <c r="R447" s="115"/>
      <c r="S447" s="114"/>
      <c r="T447" s="114"/>
      <c r="U447" s="115"/>
      <c r="V447" s="114"/>
      <c r="W447" s="115"/>
      <c r="X447" s="114"/>
      <c r="Y447" s="115"/>
      <c r="Z447" s="114"/>
      <c r="AA447" s="143"/>
      <c r="AB447" s="114"/>
      <c r="AC447" s="114"/>
      <c r="AD447" s="114"/>
    </row>
    <row r="448" spans="1:30" ht="15.75" customHeight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43"/>
      <c r="M448" s="143"/>
      <c r="N448" s="143"/>
      <c r="O448" s="143"/>
      <c r="P448" s="114"/>
      <c r="Q448" s="114"/>
      <c r="R448" s="115"/>
      <c r="S448" s="114"/>
      <c r="T448" s="114"/>
      <c r="U448" s="115"/>
      <c r="V448" s="114"/>
      <c r="W448" s="115"/>
      <c r="X448" s="114"/>
      <c r="Y448" s="115"/>
      <c r="Z448" s="114"/>
      <c r="AA448" s="143"/>
      <c r="AB448" s="114"/>
      <c r="AC448" s="114"/>
      <c r="AD448" s="114"/>
    </row>
    <row r="449" spans="1:30" ht="15.75" customHeight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43"/>
      <c r="M449" s="143"/>
      <c r="N449" s="143"/>
      <c r="O449" s="143"/>
      <c r="P449" s="114"/>
      <c r="Q449" s="114"/>
      <c r="R449" s="115"/>
      <c r="S449" s="114"/>
      <c r="T449" s="114"/>
      <c r="U449" s="115"/>
      <c r="V449" s="114"/>
      <c r="W449" s="115"/>
      <c r="X449" s="114"/>
      <c r="Y449" s="115"/>
      <c r="Z449" s="114"/>
      <c r="AA449" s="143"/>
      <c r="AB449" s="114"/>
      <c r="AC449" s="114"/>
      <c r="AD449" s="114"/>
    </row>
    <row r="450" spans="1:30" ht="15.75" customHeight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43"/>
      <c r="M450" s="143"/>
      <c r="N450" s="143"/>
      <c r="O450" s="143"/>
      <c r="P450" s="114"/>
      <c r="Q450" s="114"/>
      <c r="R450" s="115"/>
      <c r="S450" s="114"/>
      <c r="T450" s="114"/>
      <c r="U450" s="115"/>
      <c r="V450" s="114"/>
      <c r="W450" s="115"/>
      <c r="X450" s="114"/>
      <c r="Y450" s="115"/>
      <c r="Z450" s="114"/>
      <c r="AA450" s="143"/>
      <c r="AB450" s="114"/>
      <c r="AC450" s="114"/>
      <c r="AD450" s="114"/>
    </row>
    <row r="451" spans="1:30" ht="15.75" customHeight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43"/>
      <c r="M451" s="143"/>
      <c r="N451" s="143"/>
      <c r="O451" s="143"/>
      <c r="P451" s="114"/>
      <c r="Q451" s="114"/>
      <c r="R451" s="115"/>
      <c r="S451" s="114"/>
      <c r="T451" s="114"/>
      <c r="U451" s="115"/>
      <c r="V451" s="114"/>
      <c r="W451" s="115"/>
      <c r="X451" s="114"/>
      <c r="Y451" s="115"/>
      <c r="Z451" s="114"/>
      <c r="AA451" s="143"/>
      <c r="AB451" s="114"/>
      <c r="AC451" s="114"/>
      <c r="AD451" s="114"/>
    </row>
    <row r="452" spans="1:30" ht="15.75" customHeight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43"/>
      <c r="M452" s="143"/>
      <c r="N452" s="143"/>
      <c r="O452" s="143"/>
      <c r="P452" s="114"/>
      <c r="Q452" s="114"/>
      <c r="R452" s="115"/>
      <c r="S452" s="114"/>
      <c r="T452" s="114"/>
      <c r="U452" s="115"/>
      <c r="V452" s="114"/>
      <c r="W452" s="115"/>
      <c r="X452" s="114"/>
      <c r="Y452" s="115"/>
      <c r="Z452" s="114"/>
      <c r="AA452" s="143"/>
      <c r="AB452" s="114"/>
      <c r="AC452" s="114"/>
      <c r="AD452" s="114"/>
    </row>
    <row r="453" spans="1:30" ht="15.75" customHeight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43"/>
      <c r="M453" s="143"/>
      <c r="N453" s="143"/>
      <c r="O453" s="143"/>
      <c r="P453" s="114"/>
      <c r="Q453" s="114"/>
      <c r="R453" s="115"/>
      <c r="S453" s="114"/>
      <c r="T453" s="114"/>
      <c r="U453" s="115"/>
      <c r="V453" s="114"/>
      <c r="W453" s="115"/>
      <c r="X453" s="114"/>
      <c r="Y453" s="115"/>
      <c r="Z453" s="114"/>
      <c r="AA453" s="143"/>
      <c r="AB453" s="114"/>
      <c r="AC453" s="114"/>
      <c r="AD453" s="114"/>
    </row>
    <row r="454" spans="1:30" ht="15.75" customHeight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43"/>
      <c r="M454" s="143"/>
      <c r="N454" s="143"/>
      <c r="O454" s="143"/>
      <c r="P454" s="114"/>
      <c r="Q454" s="114"/>
      <c r="R454" s="115"/>
      <c r="S454" s="114"/>
      <c r="T454" s="114"/>
      <c r="U454" s="115"/>
      <c r="V454" s="114"/>
      <c r="W454" s="115"/>
      <c r="X454" s="114"/>
      <c r="Y454" s="115"/>
      <c r="Z454" s="114"/>
      <c r="AA454" s="143"/>
      <c r="AB454" s="114"/>
      <c r="AC454" s="114"/>
      <c r="AD454" s="114"/>
    </row>
    <row r="455" spans="1:30" ht="15.75" customHeight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43"/>
      <c r="M455" s="143"/>
      <c r="N455" s="143"/>
      <c r="O455" s="143"/>
      <c r="P455" s="114"/>
      <c r="Q455" s="114"/>
      <c r="R455" s="115"/>
      <c r="S455" s="114"/>
      <c r="T455" s="114"/>
      <c r="U455" s="115"/>
      <c r="V455" s="114"/>
      <c r="W455" s="115"/>
      <c r="X455" s="114"/>
      <c r="Y455" s="115"/>
      <c r="Z455" s="114"/>
      <c r="AA455" s="143"/>
      <c r="AB455" s="114"/>
      <c r="AC455" s="114"/>
      <c r="AD455" s="114"/>
    </row>
    <row r="456" spans="1:30" ht="15.75" customHeight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43"/>
      <c r="M456" s="143"/>
      <c r="N456" s="143"/>
      <c r="O456" s="143"/>
      <c r="P456" s="114"/>
      <c r="Q456" s="114"/>
      <c r="R456" s="115"/>
      <c r="S456" s="114"/>
      <c r="T456" s="114"/>
      <c r="U456" s="115"/>
      <c r="V456" s="114"/>
      <c r="W456" s="115"/>
      <c r="X456" s="114"/>
      <c r="Y456" s="115"/>
      <c r="Z456" s="114"/>
      <c r="AA456" s="143"/>
      <c r="AB456" s="114"/>
      <c r="AC456" s="114"/>
      <c r="AD456" s="114"/>
    </row>
    <row r="457" spans="1:30" ht="15.75" customHeight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43"/>
      <c r="M457" s="143"/>
      <c r="N457" s="143"/>
      <c r="O457" s="143"/>
      <c r="P457" s="114"/>
      <c r="Q457" s="114"/>
      <c r="R457" s="115"/>
      <c r="S457" s="114"/>
      <c r="T457" s="114"/>
      <c r="U457" s="115"/>
      <c r="V457" s="114"/>
      <c r="W457" s="115"/>
      <c r="X457" s="114"/>
      <c r="Y457" s="115"/>
      <c r="Z457" s="114"/>
      <c r="AA457" s="143"/>
      <c r="AB457" s="114"/>
      <c r="AC457" s="114"/>
      <c r="AD457" s="114"/>
    </row>
    <row r="458" spans="1:30" ht="15.75" customHeight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43"/>
      <c r="M458" s="143"/>
      <c r="N458" s="143"/>
      <c r="O458" s="143"/>
      <c r="P458" s="114"/>
      <c r="Q458" s="114"/>
      <c r="R458" s="115"/>
      <c r="S458" s="114"/>
      <c r="T458" s="114"/>
      <c r="U458" s="115"/>
      <c r="V458" s="114"/>
      <c r="W458" s="115"/>
      <c r="X458" s="114"/>
      <c r="Y458" s="115"/>
      <c r="Z458" s="114"/>
      <c r="AA458" s="143"/>
      <c r="AB458" s="114"/>
      <c r="AC458" s="114"/>
      <c r="AD458" s="114"/>
    </row>
    <row r="459" spans="1:30" ht="15.75" customHeight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43"/>
      <c r="M459" s="143"/>
      <c r="N459" s="143"/>
      <c r="O459" s="143"/>
      <c r="P459" s="114"/>
      <c r="Q459" s="114"/>
      <c r="R459" s="115"/>
      <c r="S459" s="114"/>
      <c r="T459" s="114"/>
      <c r="U459" s="115"/>
      <c r="V459" s="114"/>
      <c r="W459" s="115"/>
      <c r="X459" s="114"/>
      <c r="Y459" s="115"/>
      <c r="Z459" s="114"/>
      <c r="AA459" s="143"/>
      <c r="AB459" s="114"/>
      <c r="AC459" s="114"/>
      <c r="AD459" s="114"/>
    </row>
    <row r="460" spans="1:30" ht="15.75" customHeight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43"/>
      <c r="M460" s="143"/>
      <c r="N460" s="143"/>
      <c r="O460" s="143"/>
      <c r="P460" s="114"/>
      <c r="Q460" s="114"/>
      <c r="R460" s="115"/>
      <c r="S460" s="114"/>
      <c r="T460" s="114"/>
      <c r="U460" s="115"/>
      <c r="V460" s="114"/>
      <c r="W460" s="115"/>
      <c r="X460" s="114"/>
      <c r="Y460" s="115"/>
      <c r="Z460" s="114"/>
      <c r="AA460" s="143"/>
      <c r="AB460" s="114"/>
      <c r="AC460" s="114"/>
      <c r="AD460" s="114"/>
    </row>
    <row r="461" spans="1:30" ht="15.75" customHeight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43"/>
      <c r="M461" s="143"/>
      <c r="N461" s="143"/>
      <c r="O461" s="143"/>
      <c r="P461" s="114"/>
      <c r="Q461" s="114"/>
      <c r="R461" s="115"/>
      <c r="S461" s="114"/>
      <c r="T461" s="114"/>
      <c r="U461" s="115"/>
      <c r="V461" s="114"/>
      <c r="W461" s="115"/>
      <c r="X461" s="114"/>
      <c r="Y461" s="115"/>
      <c r="Z461" s="114"/>
      <c r="AA461" s="143"/>
      <c r="AB461" s="114"/>
      <c r="AC461" s="114"/>
      <c r="AD461" s="114"/>
    </row>
    <row r="462" spans="1:30" ht="15.75" customHeight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43"/>
      <c r="M462" s="143"/>
      <c r="N462" s="143"/>
      <c r="O462" s="143"/>
      <c r="P462" s="114"/>
      <c r="Q462" s="114"/>
      <c r="R462" s="115"/>
      <c r="S462" s="114"/>
      <c r="T462" s="114"/>
      <c r="U462" s="115"/>
      <c r="V462" s="114"/>
      <c r="W462" s="115"/>
      <c r="X462" s="114"/>
      <c r="Y462" s="115"/>
      <c r="Z462" s="114"/>
      <c r="AA462" s="143"/>
      <c r="AB462" s="114"/>
      <c r="AC462" s="114"/>
      <c r="AD462" s="114"/>
    </row>
    <row r="463" spans="1:30" ht="15.75" customHeight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43"/>
      <c r="M463" s="143"/>
      <c r="N463" s="143"/>
      <c r="O463" s="143"/>
      <c r="P463" s="114"/>
      <c r="Q463" s="114"/>
      <c r="R463" s="115"/>
      <c r="S463" s="114"/>
      <c r="T463" s="114"/>
      <c r="U463" s="115"/>
      <c r="V463" s="114"/>
      <c r="W463" s="115"/>
      <c r="X463" s="114"/>
      <c r="Y463" s="115"/>
      <c r="Z463" s="114"/>
      <c r="AA463" s="143"/>
      <c r="AB463" s="114"/>
      <c r="AC463" s="114"/>
      <c r="AD463" s="114"/>
    </row>
    <row r="464" spans="1:30" ht="15.75" customHeight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43"/>
      <c r="M464" s="143"/>
      <c r="N464" s="143"/>
      <c r="O464" s="143"/>
      <c r="P464" s="114"/>
      <c r="Q464" s="114"/>
      <c r="R464" s="115"/>
      <c r="S464" s="114"/>
      <c r="T464" s="114"/>
      <c r="U464" s="115"/>
      <c r="V464" s="114"/>
      <c r="W464" s="115"/>
      <c r="X464" s="114"/>
      <c r="Y464" s="115"/>
      <c r="Z464" s="114"/>
      <c r="AA464" s="143"/>
      <c r="AB464" s="114"/>
      <c r="AC464" s="114"/>
      <c r="AD464" s="114"/>
    </row>
    <row r="465" spans="1:30" ht="15.75" customHeight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43"/>
      <c r="M465" s="143"/>
      <c r="N465" s="143"/>
      <c r="O465" s="143"/>
      <c r="P465" s="114"/>
      <c r="Q465" s="114"/>
      <c r="R465" s="115"/>
      <c r="S465" s="114"/>
      <c r="T465" s="114"/>
      <c r="U465" s="115"/>
      <c r="V465" s="114"/>
      <c r="W465" s="115"/>
      <c r="X465" s="114"/>
      <c r="Y465" s="115"/>
      <c r="Z465" s="114"/>
      <c r="AA465" s="143"/>
      <c r="AB465" s="114"/>
      <c r="AC465" s="114"/>
      <c r="AD465" s="114"/>
    </row>
    <row r="466" spans="1:30" ht="15.75" customHeight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43"/>
      <c r="M466" s="143"/>
      <c r="N466" s="143"/>
      <c r="O466" s="143"/>
      <c r="P466" s="114"/>
      <c r="Q466" s="114"/>
      <c r="R466" s="115"/>
      <c r="S466" s="114"/>
      <c r="T466" s="114"/>
      <c r="U466" s="115"/>
      <c r="V466" s="114"/>
      <c r="W466" s="115"/>
      <c r="X466" s="114"/>
      <c r="Y466" s="115"/>
      <c r="Z466" s="114"/>
      <c r="AA466" s="143"/>
      <c r="AB466" s="114"/>
      <c r="AC466" s="114"/>
      <c r="AD466" s="114"/>
    </row>
    <row r="467" spans="1:30" ht="15.75" customHeight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43"/>
      <c r="M467" s="143"/>
      <c r="N467" s="143"/>
      <c r="O467" s="143"/>
      <c r="P467" s="114"/>
      <c r="Q467" s="114"/>
      <c r="R467" s="115"/>
      <c r="S467" s="114"/>
      <c r="T467" s="114"/>
      <c r="U467" s="115"/>
      <c r="V467" s="114"/>
      <c r="W467" s="115"/>
      <c r="X467" s="114"/>
      <c r="Y467" s="115"/>
      <c r="Z467" s="114"/>
      <c r="AA467" s="143"/>
      <c r="AB467" s="114"/>
      <c r="AC467" s="114"/>
      <c r="AD467" s="114"/>
    </row>
    <row r="468" spans="1:30" ht="15.75" customHeight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43"/>
      <c r="M468" s="143"/>
      <c r="N468" s="143"/>
      <c r="O468" s="143"/>
      <c r="P468" s="114"/>
      <c r="Q468" s="114"/>
      <c r="R468" s="115"/>
      <c r="S468" s="114"/>
      <c r="T468" s="114"/>
      <c r="U468" s="115"/>
      <c r="V468" s="114"/>
      <c r="W468" s="115"/>
      <c r="X468" s="114"/>
      <c r="Y468" s="115"/>
      <c r="Z468" s="114"/>
      <c r="AA468" s="143"/>
      <c r="AB468" s="114"/>
      <c r="AC468" s="114"/>
      <c r="AD468" s="114"/>
    </row>
    <row r="469" spans="1:30" ht="15.75" customHeight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43"/>
      <c r="M469" s="143"/>
      <c r="N469" s="143"/>
      <c r="O469" s="143"/>
      <c r="P469" s="114"/>
      <c r="Q469" s="114"/>
      <c r="R469" s="115"/>
      <c r="S469" s="114"/>
      <c r="T469" s="114"/>
      <c r="U469" s="115"/>
      <c r="V469" s="114"/>
      <c r="W469" s="115"/>
      <c r="X469" s="114"/>
      <c r="Y469" s="115"/>
      <c r="Z469" s="114"/>
      <c r="AA469" s="143"/>
      <c r="AB469" s="114"/>
      <c r="AC469" s="114"/>
      <c r="AD469" s="114"/>
    </row>
    <row r="470" spans="1:30" ht="15.75" customHeight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43"/>
      <c r="M470" s="143"/>
      <c r="N470" s="143"/>
      <c r="O470" s="143"/>
      <c r="P470" s="114"/>
      <c r="Q470" s="114"/>
      <c r="R470" s="115"/>
      <c r="S470" s="114"/>
      <c r="T470" s="114"/>
      <c r="U470" s="115"/>
      <c r="V470" s="114"/>
      <c r="W470" s="115"/>
      <c r="X470" s="114"/>
      <c r="Y470" s="115"/>
      <c r="Z470" s="114"/>
      <c r="AA470" s="143"/>
      <c r="AB470" s="114"/>
      <c r="AC470" s="114"/>
      <c r="AD470" s="114"/>
    </row>
    <row r="471" spans="1:30" ht="15.75" customHeight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43"/>
      <c r="M471" s="143"/>
      <c r="N471" s="143"/>
      <c r="O471" s="143"/>
      <c r="P471" s="114"/>
      <c r="Q471" s="114"/>
      <c r="R471" s="115"/>
      <c r="S471" s="114"/>
      <c r="T471" s="114"/>
      <c r="U471" s="115"/>
      <c r="V471" s="114"/>
      <c r="W471" s="115"/>
      <c r="X471" s="114"/>
      <c r="Y471" s="115"/>
      <c r="Z471" s="114"/>
      <c r="AA471" s="143"/>
      <c r="AB471" s="114"/>
      <c r="AC471" s="114"/>
      <c r="AD471" s="114"/>
    </row>
    <row r="472" spans="1:30" ht="15.75" customHeight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43"/>
      <c r="M472" s="143"/>
      <c r="N472" s="143"/>
      <c r="O472" s="143"/>
      <c r="P472" s="114"/>
      <c r="Q472" s="114"/>
      <c r="R472" s="115"/>
      <c r="S472" s="114"/>
      <c r="T472" s="114"/>
      <c r="U472" s="115"/>
      <c r="V472" s="114"/>
      <c r="W472" s="115"/>
      <c r="X472" s="114"/>
      <c r="Y472" s="115"/>
      <c r="Z472" s="114"/>
      <c r="AA472" s="143"/>
      <c r="AB472" s="114"/>
      <c r="AC472" s="114"/>
      <c r="AD472" s="114"/>
    </row>
    <row r="473" spans="1:30" ht="15.75" customHeight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43"/>
      <c r="M473" s="143"/>
      <c r="N473" s="143"/>
      <c r="O473" s="143"/>
      <c r="P473" s="114"/>
      <c r="Q473" s="114"/>
      <c r="R473" s="115"/>
      <c r="S473" s="114"/>
      <c r="T473" s="114"/>
      <c r="U473" s="115"/>
      <c r="V473" s="114"/>
      <c r="W473" s="115"/>
      <c r="X473" s="114"/>
      <c r="Y473" s="115"/>
      <c r="Z473" s="114"/>
      <c r="AA473" s="143"/>
      <c r="AB473" s="114"/>
      <c r="AC473" s="114"/>
      <c r="AD473" s="114"/>
    </row>
    <row r="474" spans="1:30" ht="15.75" customHeight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43"/>
      <c r="M474" s="143"/>
      <c r="N474" s="143"/>
      <c r="O474" s="143"/>
      <c r="P474" s="114"/>
      <c r="Q474" s="114"/>
      <c r="R474" s="115"/>
      <c r="S474" s="114"/>
      <c r="T474" s="114"/>
      <c r="U474" s="115"/>
      <c r="V474" s="114"/>
      <c r="W474" s="115"/>
      <c r="X474" s="114"/>
      <c r="Y474" s="115"/>
      <c r="Z474" s="114"/>
      <c r="AA474" s="143"/>
      <c r="AB474" s="114"/>
      <c r="AC474" s="114"/>
      <c r="AD474" s="114"/>
    </row>
    <row r="475" spans="1:30" ht="15.75" customHeight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43"/>
      <c r="M475" s="143"/>
      <c r="N475" s="143"/>
      <c r="O475" s="143"/>
      <c r="P475" s="114"/>
      <c r="Q475" s="114"/>
      <c r="R475" s="115"/>
      <c r="S475" s="114"/>
      <c r="T475" s="114"/>
      <c r="U475" s="115"/>
      <c r="V475" s="114"/>
      <c r="W475" s="115"/>
      <c r="X475" s="114"/>
      <c r="Y475" s="115"/>
      <c r="Z475" s="114"/>
      <c r="AA475" s="143"/>
      <c r="AB475" s="114"/>
      <c r="AC475" s="114"/>
      <c r="AD475" s="114"/>
    </row>
    <row r="476" spans="1:30" ht="15.75" customHeight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43"/>
      <c r="M476" s="143"/>
      <c r="N476" s="143"/>
      <c r="O476" s="143"/>
      <c r="P476" s="114"/>
      <c r="Q476" s="114"/>
      <c r="R476" s="115"/>
      <c r="S476" s="114"/>
      <c r="T476" s="114"/>
      <c r="U476" s="115"/>
      <c r="V476" s="114"/>
      <c r="W476" s="115"/>
      <c r="X476" s="114"/>
      <c r="Y476" s="115"/>
      <c r="Z476" s="114"/>
      <c r="AA476" s="143"/>
      <c r="AB476" s="114"/>
      <c r="AC476" s="114"/>
      <c r="AD476" s="114"/>
    </row>
    <row r="477" spans="1:30" ht="15.75" customHeight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43"/>
      <c r="M477" s="143"/>
      <c r="N477" s="143"/>
      <c r="O477" s="143"/>
      <c r="P477" s="114"/>
      <c r="Q477" s="114"/>
      <c r="R477" s="115"/>
      <c r="S477" s="114"/>
      <c r="T477" s="114"/>
      <c r="U477" s="115"/>
      <c r="V477" s="114"/>
      <c r="W477" s="115"/>
      <c r="X477" s="114"/>
      <c r="Y477" s="115"/>
      <c r="Z477" s="114"/>
      <c r="AA477" s="143"/>
      <c r="AB477" s="114"/>
      <c r="AC477" s="114"/>
      <c r="AD477" s="114"/>
    </row>
    <row r="478" spans="1:30" ht="15.75" customHeight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43"/>
      <c r="M478" s="143"/>
      <c r="N478" s="143"/>
      <c r="O478" s="143"/>
      <c r="P478" s="114"/>
      <c r="Q478" s="114"/>
      <c r="R478" s="115"/>
      <c r="S478" s="114"/>
      <c r="T478" s="114"/>
      <c r="U478" s="115"/>
      <c r="V478" s="114"/>
      <c r="W478" s="115"/>
      <c r="X478" s="114"/>
      <c r="Y478" s="115"/>
      <c r="Z478" s="114"/>
      <c r="AA478" s="143"/>
      <c r="AB478" s="114"/>
      <c r="AC478" s="114"/>
      <c r="AD478" s="114"/>
    </row>
    <row r="479" spans="1:30" ht="15.75" customHeight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43"/>
      <c r="M479" s="143"/>
      <c r="N479" s="143"/>
      <c r="O479" s="143"/>
      <c r="P479" s="114"/>
      <c r="Q479" s="114"/>
      <c r="R479" s="115"/>
      <c r="S479" s="114"/>
      <c r="T479" s="114"/>
      <c r="U479" s="115"/>
      <c r="V479" s="114"/>
      <c r="W479" s="115"/>
      <c r="X479" s="114"/>
      <c r="Y479" s="115"/>
      <c r="Z479" s="114"/>
      <c r="AA479" s="143"/>
      <c r="AB479" s="114"/>
      <c r="AC479" s="114"/>
      <c r="AD479" s="114"/>
    </row>
    <row r="480" spans="1:30" ht="15.75" customHeight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43"/>
      <c r="M480" s="143"/>
      <c r="N480" s="143"/>
      <c r="O480" s="143"/>
      <c r="P480" s="114"/>
      <c r="Q480" s="114"/>
      <c r="R480" s="115"/>
      <c r="S480" s="114"/>
      <c r="T480" s="114"/>
      <c r="U480" s="115"/>
      <c r="V480" s="114"/>
      <c r="W480" s="115"/>
      <c r="X480" s="114"/>
      <c r="Y480" s="115"/>
      <c r="Z480" s="114"/>
      <c r="AA480" s="143"/>
      <c r="AB480" s="114"/>
      <c r="AC480" s="114"/>
      <c r="AD480" s="114"/>
    </row>
    <row r="481" spans="1:30" ht="15.75" customHeight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43"/>
      <c r="M481" s="143"/>
      <c r="N481" s="143"/>
      <c r="O481" s="143"/>
      <c r="P481" s="114"/>
      <c r="Q481" s="114"/>
      <c r="R481" s="115"/>
      <c r="S481" s="114"/>
      <c r="T481" s="114"/>
      <c r="U481" s="115"/>
      <c r="V481" s="114"/>
      <c r="W481" s="115"/>
      <c r="X481" s="114"/>
      <c r="Y481" s="115"/>
      <c r="Z481" s="114"/>
      <c r="AA481" s="143"/>
      <c r="AB481" s="114"/>
      <c r="AC481" s="114"/>
      <c r="AD481" s="114"/>
    </row>
    <row r="482" spans="1:30" ht="15.75" customHeight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43"/>
      <c r="M482" s="143"/>
      <c r="N482" s="143"/>
      <c r="O482" s="143"/>
      <c r="P482" s="114"/>
      <c r="Q482" s="114"/>
      <c r="R482" s="115"/>
      <c r="S482" s="114"/>
      <c r="T482" s="114"/>
      <c r="U482" s="115"/>
      <c r="V482" s="114"/>
      <c r="W482" s="115"/>
      <c r="X482" s="114"/>
      <c r="Y482" s="115"/>
      <c r="Z482" s="114"/>
      <c r="AA482" s="143"/>
      <c r="AB482" s="114"/>
      <c r="AC482" s="114"/>
      <c r="AD482" s="114"/>
    </row>
    <row r="483" spans="1:30" ht="15.75" customHeight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43"/>
      <c r="M483" s="143"/>
      <c r="N483" s="143"/>
      <c r="O483" s="143"/>
      <c r="P483" s="114"/>
      <c r="Q483" s="114"/>
      <c r="R483" s="115"/>
      <c r="S483" s="114"/>
      <c r="T483" s="114"/>
      <c r="U483" s="115"/>
      <c r="V483" s="114"/>
      <c r="W483" s="115"/>
      <c r="X483" s="114"/>
      <c r="Y483" s="115"/>
      <c r="Z483" s="114"/>
      <c r="AA483" s="143"/>
      <c r="AB483" s="114"/>
      <c r="AC483" s="114"/>
      <c r="AD483" s="114"/>
    </row>
    <row r="484" spans="1:30" ht="15.75" customHeight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43"/>
      <c r="M484" s="143"/>
      <c r="N484" s="143"/>
      <c r="O484" s="143"/>
      <c r="P484" s="114"/>
      <c r="Q484" s="114"/>
      <c r="R484" s="115"/>
      <c r="S484" s="114"/>
      <c r="T484" s="114"/>
      <c r="U484" s="115"/>
      <c r="V484" s="114"/>
      <c r="W484" s="115"/>
      <c r="X484" s="114"/>
      <c r="Y484" s="115"/>
      <c r="Z484" s="114"/>
      <c r="AA484" s="143"/>
      <c r="AB484" s="114"/>
      <c r="AC484" s="114"/>
      <c r="AD484" s="114"/>
    </row>
    <row r="485" spans="1:30" ht="15.75" customHeight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43"/>
      <c r="M485" s="143"/>
      <c r="N485" s="143"/>
      <c r="O485" s="143"/>
      <c r="P485" s="114"/>
      <c r="Q485" s="114"/>
      <c r="R485" s="115"/>
      <c r="S485" s="114"/>
      <c r="T485" s="114"/>
      <c r="U485" s="115"/>
      <c r="V485" s="114"/>
      <c r="W485" s="115"/>
      <c r="X485" s="114"/>
      <c r="Y485" s="115"/>
      <c r="Z485" s="114"/>
      <c r="AA485" s="143"/>
      <c r="AB485" s="114"/>
      <c r="AC485" s="114"/>
      <c r="AD485" s="114"/>
    </row>
    <row r="486" spans="1:30" ht="15.75" customHeight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43"/>
      <c r="M486" s="143"/>
      <c r="N486" s="143"/>
      <c r="O486" s="143"/>
      <c r="P486" s="114"/>
      <c r="Q486" s="114"/>
      <c r="R486" s="115"/>
      <c r="S486" s="114"/>
      <c r="T486" s="114"/>
      <c r="U486" s="115"/>
      <c r="V486" s="114"/>
      <c r="W486" s="115"/>
      <c r="X486" s="114"/>
      <c r="Y486" s="115"/>
      <c r="Z486" s="114"/>
      <c r="AA486" s="143"/>
      <c r="AB486" s="114"/>
      <c r="AC486" s="114"/>
      <c r="AD486" s="114"/>
    </row>
    <row r="487" spans="1:30" ht="15.75" customHeight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43"/>
      <c r="M487" s="143"/>
      <c r="N487" s="143"/>
      <c r="O487" s="143"/>
      <c r="P487" s="114"/>
      <c r="Q487" s="114"/>
      <c r="R487" s="115"/>
      <c r="S487" s="114"/>
      <c r="T487" s="114"/>
      <c r="U487" s="115"/>
      <c r="V487" s="114"/>
      <c r="W487" s="115"/>
      <c r="X487" s="114"/>
      <c r="Y487" s="115"/>
      <c r="Z487" s="114"/>
      <c r="AA487" s="143"/>
      <c r="AB487" s="114"/>
      <c r="AC487" s="114"/>
      <c r="AD487" s="114"/>
    </row>
    <row r="488" spans="1:30" ht="15.75" customHeight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43"/>
      <c r="M488" s="143"/>
      <c r="N488" s="143"/>
      <c r="O488" s="143"/>
      <c r="P488" s="114"/>
      <c r="Q488" s="114"/>
      <c r="R488" s="115"/>
      <c r="S488" s="114"/>
      <c r="T488" s="114"/>
      <c r="U488" s="115"/>
      <c r="V488" s="114"/>
      <c r="W488" s="115"/>
      <c r="X488" s="114"/>
      <c r="Y488" s="115"/>
      <c r="Z488" s="114"/>
      <c r="AA488" s="143"/>
      <c r="AB488" s="114"/>
      <c r="AC488" s="114"/>
      <c r="AD488" s="114"/>
    </row>
    <row r="489" spans="1:30" ht="15.75" customHeight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43"/>
      <c r="M489" s="143"/>
      <c r="N489" s="143"/>
      <c r="O489" s="143"/>
      <c r="P489" s="114"/>
      <c r="Q489" s="114"/>
      <c r="R489" s="115"/>
      <c r="S489" s="114"/>
      <c r="T489" s="114"/>
      <c r="U489" s="115"/>
      <c r="V489" s="114"/>
      <c r="W489" s="115"/>
      <c r="X489" s="114"/>
      <c r="Y489" s="115"/>
      <c r="Z489" s="114"/>
      <c r="AA489" s="143"/>
      <c r="AB489" s="114"/>
      <c r="AC489" s="114"/>
      <c r="AD489" s="114"/>
    </row>
    <row r="490" spans="1:30" ht="15.75" customHeight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43"/>
      <c r="M490" s="143"/>
      <c r="N490" s="143"/>
      <c r="O490" s="143"/>
      <c r="P490" s="114"/>
      <c r="Q490" s="114"/>
      <c r="R490" s="115"/>
      <c r="S490" s="114"/>
      <c r="T490" s="114"/>
      <c r="U490" s="115"/>
      <c r="V490" s="114"/>
      <c r="W490" s="115"/>
      <c r="X490" s="114"/>
      <c r="Y490" s="115"/>
      <c r="Z490" s="114"/>
      <c r="AA490" s="143"/>
      <c r="AB490" s="114"/>
      <c r="AC490" s="114"/>
      <c r="AD490" s="114"/>
    </row>
    <row r="491" spans="1:30" ht="15.75" customHeight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43"/>
      <c r="M491" s="143"/>
      <c r="N491" s="143"/>
      <c r="O491" s="143"/>
      <c r="P491" s="114"/>
      <c r="Q491" s="114"/>
      <c r="R491" s="115"/>
      <c r="S491" s="114"/>
      <c r="T491" s="114"/>
      <c r="U491" s="115"/>
      <c r="V491" s="114"/>
      <c r="W491" s="115"/>
      <c r="X491" s="114"/>
      <c r="Y491" s="115"/>
      <c r="Z491" s="114"/>
      <c r="AA491" s="143"/>
      <c r="AB491" s="114"/>
      <c r="AC491" s="114"/>
      <c r="AD491" s="114"/>
    </row>
    <row r="492" spans="1:30" ht="15.75" customHeight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43"/>
      <c r="M492" s="143"/>
      <c r="N492" s="143"/>
      <c r="O492" s="143"/>
      <c r="P492" s="114"/>
      <c r="Q492" s="114"/>
      <c r="R492" s="115"/>
      <c r="S492" s="114"/>
      <c r="T492" s="114"/>
      <c r="U492" s="115"/>
      <c r="V492" s="114"/>
      <c r="W492" s="115"/>
      <c r="X492" s="114"/>
      <c r="Y492" s="115"/>
      <c r="Z492" s="114"/>
      <c r="AA492" s="143"/>
      <c r="AB492" s="114"/>
      <c r="AC492" s="114"/>
      <c r="AD492" s="114"/>
    </row>
    <row r="493" spans="1:30" ht="15.75" customHeight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43"/>
      <c r="M493" s="143"/>
      <c r="N493" s="143"/>
      <c r="O493" s="143"/>
      <c r="P493" s="114"/>
      <c r="Q493" s="114"/>
      <c r="R493" s="115"/>
      <c r="S493" s="114"/>
      <c r="T493" s="114"/>
      <c r="U493" s="115"/>
      <c r="V493" s="114"/>
      <c r="W493" s="115"/>
      <c r="X493" s="114"/>
      <c r="Y493" s="115"/>
      <c r="Z493" s="114"/>
      <c r="AA493" s="143"/>
      <c r="AB493" s="114"/>
      <c r="AC493" s="114"/>
      <c r="AD493" s="114"/>
    </row>
    <row r="494" spans="1:30" ht="15.75" customHeight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43"/>
      <c r="M494" s="143"/>
      <c r="N494" s="143"/>
      <c r="O494" s="143"/>
      <c r="P494" s="114"/>
      <c r="Q494" s="114"/>
      <c r="R494" s="115"/>
      <c r="S494" s="114"/>
      <c r="T494" s="114"/>
      <c r="U494" s="115"/>
      <c r="V494" s="114"/>
      <c r="W494" s="115"/>
      <c r="X494" s="114"/>
      <c r="Y494" s="115"/>
      <c r="Z494" s="114"/>
      <c r="AA494" s="143"/>
      <c r="AB494" s="114"/>
      <c r="AC494" s="114"/>
      <c r="AD494" s="114"/>
    </row>
    <row r="495" spans="1:30" ht="15.75" customHeight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43"/>
      <c r="M495" s="143"/>
      <c r="N495" s="143"/>
      <c r="O495" s="143"/>
      <c r="P495" s="114"/>
      <c r="Q495" s="114"/>
      <c r="R495" s="115"/>
      <c r="S495" s="114"/>
      <c r="T495" s="114"/>
      <c r="U495" s="115"/>
      <c r="V495" s="114"/>
      <c r="W495" s="115"/>
      <c r="X495" s="114"/>
      <c r="Y495" s="115"/>
      <c r="Z495" s="114"/>
      <c r="AA495" s="143"/>
      <c r="AB495" s="114"/>
      <c r="AC495" s="114"/>
      <c r="AD495" s="114"/>
    </row>
    <row r="496" spans="1:30" ht="15.75" customHeight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43"/>
      <c r="M496" s="143"/>
      <c r="N496" s="143"/>
      <c r="O496" s="143"/>
      <c r="P496" s="114"/>
      <c r="Q496" s="114"/>
      <c r="R496" s="115"/>
      <c r="S496" s="114"/>
      <c r="T496" s="114"/>
      <c r="U496" s="115"/>
      <c r="V496" s="114"/>
      <c r="W496" s="115"/>
      <c r="X496" s="114"/>
      <c r="Y496" s="115"/>
      <c r="Z496" s="114"/>
      <c r="AA496" s="143"/>
      <c r="AB496" s="114"/>
      <c r="AC496" s="114"/>
      <c r="AD496" s="114"/>
    </row>
    <row r="497" spans="1:30" ht="15.75" customHeight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43"/>
      <c r="M497" s="143"/>
      <c r="N497" s="143"/>
      <c r="O497" s="143"/>
      <c r="P497" s="114"/>
      <c r="Q497" s="114"/>
      <c r="R497" s="115"/>
      <c r="S497" s="114"/>
      <c r="T497" s="114"/>
      <c r="U497" s="115"/>
      <c r="V497" s="114"/>
      <c r="W497" s="115"/>
      <c r="X497" s="114"/>
      <c r="Y497" s="115"/>
      <c r="Z497" s="114"/>
      <c r="AA497" s="143"/>
      <c r="AB497" s="114"/>
      <c r="AC497" s="114"/>
      <c r="AD497" s="114"/>
    </row>
    <row r="498" spans="1:30" ht="15.75" customHeight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43"/>
      <c r="M498" s="143"/>
      <c r="N498" s="143"/>
      <c r="O498" s="143"/>
      <c r="P498" s="114"/>
      <c r="Q498" s="114"/>
      <c r="R498" s="115"/>
      <c r="S498" s="114"/>
      <c r="T498" s="114"/>
      <c r="U498" s="115"/>
      <c r="V498" s="114"/>
      <c r="W498" s="115"/>
      <c r="X498" s="114"/>
      <c r="Y498" s="115"/>
      <c r="Z498" s="114"/>
      <c r="AA498" s="143"/>
      <c r="AB498" s="114"/>
      <c r="AC498" s="114"/>
      <c r="AD498" s="114"/>
    </row>
    <row r="499" spans="1:30" ht="15.75" customHeight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43"/>
      <c r="M499" s="143"/>
      <c r="N499" s="143"/>
      <c r="O499" s="143"/>
      <c r="P499" s="114"/>
      <c r="Q499" s="114"/>
      <c r="R499" s="115"/>
      <c r="S499" s="114"/>
      <c r="T499" s="114"/>
      <c r="U499" s="115"/>
      <c r="V499" s="114"/>
      <c r="W499" s="115"/>
      <c r="X499" s="114"/>
      <c r="Y499" s="115"/>
      <c r="Z499" s="114"/>
      <c r="AA499" s="143"/>
      <c r="AB499" s="114"/>
      <c r="AC499" s="114"/>
      <c r="AD499" s="114"/>
    </row>
    <row r="500" spans="1:30" ht="15.75" customHeight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43"/>
      <c r="M500" s="143"/>
      <c r="N500" s="143"/>
      <c r="O500" s="143"/>
      <c r="P500" s="114"/>
      <c r="Q500" s="114"/>
      <c r="R500" s="115"/>
      <c r="S500" s="114"/>
      <c r="T500" s="114"/>
      <c r="U500" s="115"/>
      <c r="V500" s="114"/>
      <c r="W500" s="115"/>
      <c r="X500" s="114"/>
      <c r="Y500" s="115"/>
      <c r="Z500" s="114"/>
      <c r="AA500" s="143"/>
      <c r="AB500" s="114"/>
      <c r="AC500" s="114"/>
      <c r="AD500" s="114"/>
    </row>
    <row r="501" spans="1:30" ht="15.75" customHeight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43"/>
      <c r="M501" s="143"/>
      <c r="N501" s="143"/>
      <c r="O501" s="143"/>
      <c r="P501" s="114"/>
      <c r="Q501" s="114"/>
      <c r="R501" s="115"/>
      <c r="S501" s="114"/>
      <c r="T501" s="114"/>
      <c r="U501" s="115"/>
      <c r="V501" s="114"/>
      <c r="W501" s="115"/>
      <c r="X501" s="114"/>
      <c r="Y501" s="115"/>
      <c r="Z501" s="114"/>
      <c r="AA501" s="143"/>
      <c r="AB501" s="114"/>
      <c r="AC501" s="114"/>
      <c r="AD501" s="114"/>
    </row>
    <row r="502" spans="1:30" ht="15.75" customHeight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43"/>
      <c r="M502" s="143"/>
      <c r="N502" s="143"/>
      <c r="O502" s="143"/>
      <c r="P502" s="114"/>
      <c r="Q502" s="114"/>
      <c r="R502" s="115"/>
      <c r="S502" s="114"/>
      <c r="T502" s="114"/>
      <c r="U502" s="115"/>
      <c r="V502" s="114"/>
      <c r="W502" s="115"/>
      <c r="X502" s="114"/>
      <c r="Y502" s="115"/>
      <c r="Z502" s="114"/>
      <c r="AA502" s="143"/>
      <c r="AB502" s="114"/>
      <c r="AC502" s="114"/>
      <c r="AD502" s="114"/>
    </row>
    <row r="503" spans="1:30" ht="15.75" customHeight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43"/>
      <c r="M503" s="143"/>
      <c r="N503" s="143"/>
      <c r="O503" s="143"/>
      <c r="P503" s="114"/>
      <c r="Q503" s="114"/>
      <c r="R503" s="115"/>
      <c r="S503" s="114"/>
      <c r="T503" s="114"/>
      <c r="U503" s="115"/>
      <c r="V503" s="114"/>
      <c r="W503" s="115"/>
      <c r="X503" s="114"/>
      <c r="Y503" s="115"/>
      <c r="Z503" s="114"/>
      <c r="AA503" s="143"/>
      <c r="AB503" s="114"/>
      <c r="AC503" s="114"/>
      <c r="AD503" s="114"/>
    </row>
    <row r="504" spans="1:30" ht="15.75" customHeight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43"/>
      <c r="M504" s="143"/>
      <c r="N504" s="143"/>
      <c r="O504" s="143"/>
      <c r="P504" s="114"/>
      <c r="Q504" s="114"/>
      <c r="R504" s="115"/>
      <c r="S504" s="114"/>
      <c r="T504" s="114"/>
      <c r="U504" s="115"/>
      <c r="V504" s="114"/>
      <c r="W504" s="115"/>
      <c r="X504" s="114"/>
      <c r="Y504" s="115"/>
      <c r="Z504" s="114"/>
      <c r="AA504" s="143"/>
      <c r="AB504" s="114"/>
      <c r="AC504" s="114"/>
      <c r="AD504" s="114"/>
    </row>
    <row r="505" spans="1:30" ht="15.75" customHeight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43"/>
      <c r="M505" s="143"/>
      <c r="N505" s="143"/>
      <c r="O505" s="143"/>
      <c r="P505" s="114"/>
      <c r="Q505" s="114"/>
      <c r="R505" s="115"/>
      <c r="S505" s="114"/>
      <c r="T505" s="114"/>
      <c r="U505" s="115"/>
      <c r="V505" s="114"/>
      <c r="W505" s="115"/>
      <c r="X505" s="114"/>
      <c r="Y505" s="115"/>
      <c r="Z505" s="114"/>
      <c r="AA505" s="143"/>
      <c r="AB505" s="114"/>
      <c r="AC505" s="114"/>
      <c r="AD505" s="114"/>
    </row>
    <row r="506" spans="1:30" ht="15.75" customHeight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43"/>
      <c r="M506" s="143"/>
      <c r="N506" s="143"/>
      <c r="O506" s="143"/>
      <c r="P506" s="114"/>
      <c r="Q506" s="114"/>
      <c r="R506" s="115"/>
      <c r="S506" s="114"/>
      <c r="T506" s="114"/>
      <c r="U506" s="115"/>
      <c r="V506" s="114"/>
      <c r="W506" s="115"/>
      <c r="X506" s="114"/>
      <c r="Y506" s="115"/>
      <c r="Z506" s="114"/>
      <c r="AA506" s="143"/>
      <c r="AB506" s="114"/>
      <c r="AC506" s="114"/>
      <c r="AD506" s="114"/>
    </row>
    <row r="507" spans="1:30" ht="15.75" customHeight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43"/>
      <c r="M507" s="143"/>
      <c r="N507" s="143"/>
      <c r="O507" s="143"/>
      <c r="P507" s="114"/>
      <c r="Q507" s="114"/>
      <c r="R507" s="115"/>
      <c r="S507" s="114"/>
      <c r="T507" s="114"/>
      <c r="U507" s="115"/>
      <c r="V507" s="114"/>
      <c r="W507" s="115"/>
      <c r="X507" s="114"/>
      <c r="Y507" s="115"/>
      <c r="Z507" s="114"/>
      <c r="AA507" s="143"/>
      <c r="AB507" s="114"/>
      <c r="AC507" s="114"/>
      <c r="AD507" s="114"/>
    </row>
    <row r="508" spans="1:30" ht="15.75" customHeight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43"/>
      <c r="M508" s="143"/>
      <c r="N508" s="143"/>
      <c r="O508" s="143"/>
      <c r="P508" s="114"/>
      <c r="Q508" s="114"/>
      <c r="R508" s="115"/>
      <c r="S508" s="114"/>
      <c r="T508" s="114"/>
      <c r="U508" s="115"/>
      <c r="V508" s="114"/>
      <c r="W508" s="115"/>
      <c r="X508" s="114"/>
      <c r="Y508" s="115"/>
      <c r="Z508" s="114"/>
      <c r="AA508" s="143"/>
      <c r="AB508" s="114"/>
      <c r="AC508" s="114"/>
      <c r="AD508" s="114"/>
    </row>
    <row r="509" spans="1:30" ht="15.75" customHeight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43"/>
      <c r="M509" s="143"/>
      <c r="N509" s="143"/>
      <c r="O509" s="143"/>
      <c r="P509" s="114"/>
      <c r="Q509" s="114"/>
      <c r="R509" s="115"/>
      <c r="S509" s="114"/>
      <c r="T509" s="114"/>
      <c r="U509" s="115"/>
      <c r="V509" s="114"/>
      <c r="W509" s="115"/>
      <c r="X509" s="114"/>
      <c r="Y509" s="115"/>
      <c r="Z509" s="114"/>
      <c r="AA509" s="143"/>
      <c r="AB509" s="114"/>
      <c r="AC509" s="114"/>
      <c r="AD509" s="114"/>
    </row>
    <row r="510" spans="1:30" ht="15.75" customHeight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43"/>
      <c r="M510" s="143"/>
      <c r="N510" s="143"/>
      <c r="O510" s="143"/>
      <c r="P510" s="114"/>
      <c r="Q510" s="114"/>
      <c r="R510" s="115"/>
      <c r="S510" s="114"/>
      <c r="T510" s="114"/>
      <c r="U510" s="115"/>
      <c r="V510" s="114"/>
      <c r="W510" s="115"/>
      <c r="X510" s="114"/>
      <c r="Y510" s="115"/>
      <c r="Z510" s="114"/>
      <c r="AA510" s="143"/>
      <c r="AB510" s="114"/>
      <c r="AC510" s="114"/>
      <c r="AD510" s="114"/>
    </row>
    <row r="511" spans="1:30" ht="15.75" customHeight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43"/>
      <c r="M511" s="143"/>
      <c r="N511" s="143"/>
      <c r="O511" s="143"/>
      <c r="P511" s="114"/>
      <c r="Q511" s="114"/>
      <c r="R511" s="115"/>
      <c r="S511" s="114"/>
      <c r="T511" s="114"/>
      <c r="U511" s="115"/>
      <c r="V511" s="114"/>
      <c r="W511" s="115"/>
      <c r="X511" s="114"/>
      <c r="Y511" s="115"/>
      <c r="Z511" s="114"/>
      <c r="AA511" s="143"/>
      <c r="AB511" s="114"/>
      <c r="AC511" s="114"/>
      <c r="AD511" s="114"/>
    </row>
    <row r="512" spans="1:30" ht="15.75" customHeight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43"/>
      <c r="M512" s="143"/>
      <c r="N512" s="143"/>
      <c r="O512" s="143"/>
      <c r="P512" s="114"/>
      <c r="Q512" s="114"/>
      <c r="R512" s="115"/>
      <c r="S512" s="114"/>
      <c r="T512" s="114"/>
      <c r="U512" s="115"/>
      <c r="V512" s="114"/>
      <c r="W512" s="115"/>
      <c r="X512" s="114"/>
      <c r="Y512" s="115"/>
      <c r="Z512" s="114"/>
      <c r="AA512" s="143"/>
      <c r="AB512" s="114"/>
      <c r="AC512" s="114"/>
      <c r="AD512" s="114"/>
    </row>
    <row r="513" spans="1:30" ht="15.75" customHeight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43"/>
      <c r="M513" s="143"/>
      <c r="N513" s="143"/>
      <c r="O513" s="143"/>
      <c r="P513" s="114"/>
      <c r="Q513" s="114"/>
      <c r="R513" s="115"/>
      <c r="S513" s="114"/>
      <c r="T513" s="114"/>
      <c r="U513" s="115"/>
      <c r="V513" s="114"/>
      <c r="W513" s="115"/>
      <c r="X513" s="114"/>
      <c r="Y513" s="115"/>
      <c r="Z513" s="114"/>
      <c r="AA513" s="143"/>
      <c r="AB513" s="114"/>
      <c r="AC513" s="114"/>
      <c r="AD513" s="114"/>
    </row>
    <row r="514" spans="1:30" ht="15.75" customHeight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43"/>
      <c r="M514" s="143"/>
      <c r="N514" s="143"/>
      <c r="O514" s="143"/>
      <c r="P514" s="114"/>
      <c r="Q514" s="114"/>
      <c r="R514" s="115"/>
      <c r="S514" s="114"/>
      <c r="T514" s="114"/>
      <c r="U514" s="115"/>
      <c r="V514" s="114"/>
      <c r="W514" s="115"/>
      <c r="X514" s="114"/>
      <c r="Y514" s="115"/>
      <c r="Z514" s="114"/>
      <c r="AA514" s="143"/>
      <c r="AB514" s="114"/>
      <c r="AC514" s="114"/>
      <c r="AD514" s="114"/>
    </row>
    <row r="515" spans="1:30" ht="15.75" customHeight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43"/>
      <c r="M515" s="143"/>
      <c r="N515" s="143"/>
      <c r="O515" s="143"/>
      <c r="P515" s="114"/>
      <c r="Q515" s="114"/>
      <c r="R515" s="115"/>
      <c r="S515" s="114"/>
      <c r="T515" s="114"/>
      <c r="U515" s="115"/>
      <c r="V515" s="114"/>
      <c r="W515" s="115"/>
      <c r="X515" s="114"/>
      <c r="Y515" s="115"/>
      <c r="Z515" s="114"/>
      <c r="AA515" s="143"/>
      <c r="AB515" s="114"/>
      <c r="AC515" s="114"/>
      <c r="AD515" s="114"/>
    </row>
    <row r="516" spans="1:30" ht="15.75" customHeight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43"/>
      <c r="M516" s="143"/>
      <c r="N516" s="143"/>
      <c r="O516" s="143"/>
      <c r="P516" s="114"/>
      <c r="Q516" s="114"/>
      <c r="R516" s="115"/>
      <c r="S516" s="114"/>
      <c r="T516" s="114"/>
      <c r="U516" s="115"/>
      <c r="V516" s="114"/>
      <c r="W516" s="115"/>
      <c r="X516" s="114"/>
      <c r="Y516" s="115"/>
      <c r="Z516" s="114"/>
      <c r="AA516" s="143"/>
      <c r="AB516" s="114"/>
      <c r="AC516" s="114"/>
      <c r="AD516" s="114"/>
    </row>
    <row r="517" spans="1:30" ht="15.75" customHeight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43"/>
      <c r="M517" s="143"/>
      <c r="N517" s="143"/>
      <c r="O517" s="143"/>
      <c r="P517" s="114"/>
      <c r="Q517" s="114"/>
      <c r="R517" s="115"/>
      <c r="S517" s="114"/>
      <c r="T517" s="114"/>
      <c r="U517" s="115"/>
      <c r="V517" s="114"/>
      <c r="W517" s="115"/>
      <c r="X517" s="114"/>
      <c r="Y517" s="115"/>
      <c r="Z517" s="114"/>
      <c r="AA517" s="143"/>
      <c r="AB517" s="114"/>
      <c r="AC517" s="114"/>
      <c r="AD517" s="114"/>
    </row>
    <row r="518" spans="1:30" ht="15.75" customHeight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43"/>
      <c r="M518" s="143"/>
      <c r="N518" s="143"/>
      <c r="O518" s="143"/>
      <c r="P518" s="114"/>
      <c r="Q518" s="114"/>
      <c r="R518" s="115"/>
      <c r="S518" s="114"/>
      <c r="T518" s="114"/>
      <c r="U518" s="115"/>
      <c r="V518" s="114"/>
      <c r="W518" s="115"/>
      <c r="X518" s="114"/>
      <c r="Y518" s="115"/>
      <c r="Z518" s="114"/>
      <c r="AA518" s="143"/>
      <c r="AB518" s="114"/>
      <c r="AC518" s="114"/>
      <c r="AD518" s="114"/>
    </row>
    <row r="519" spans="1:30" ht="15.75" customHeight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43"/>
      <c r="M519" s="143"/>
      <c r="N519" s="143"/>
      <c r="O519" s="143"/>
      <c r="P519" s="114"/>
      <c r="Q519" s="114"/>
      <c r="R519" s="115"/>
      <c r="S519" s="114"/>
      <c r="T519" s="114"/>
      <c r="U519" s="115"/>
      <c r="V519" s="114"/>
      <c r="W519" s="115"/>
      <c r="X519" s="114"/>
      <c r="Y519" s="115"/>
      <c r="Z519" s="114"/>
      <c r="AA519" s="143"/>
      <c r="AB519" s="114"/>
      <c r="AC519" s="114"/>
      <c r="AD519" s="114"/>
    </row>
    <row r="520" spans="1:30" ht="15.75" customHeight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43"/>
      <c r="M520" s="143"/>
      <c r="N520" s="143"/>
      <c r="O520" s="143"/>
      <c r="P520" s="114"/>
      <c r="Q520" s="114"/>
      <c r="R520" s="115"/>
      <c r="S520" s="114"/>
      <c r="T520" s="114"/>
      <c r="U520" s="115"/>
      <c r="V520" s="114"/>
      <c r="W520" s="115"/>
      <c r="X520" s="114"/>
      <c r="Y520" s="115"/>
      <c r="Z520" s="114"/>
      <c r="AA520" s="143"/>
      <c r="AB520" s="114"/>
      <c r="AC520" s="114"/>
      <c r="AD520" s="114"/>
    </row>
    <row r="521" spans="1:30" ht="15.75" customHeight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43"/>
      <c r="M521" s="143"/>
      <c r="N521" s="143"/>
      <c r="O521" s="143"/>
      <c r="P521" s="114"/>
      <c r="Q521" s="114"/>
      <c r="R521" s="115"/>
      <c r="S521" s="114"/>
      <c r="T521" s="114"/>
      <c r="U521" s="115"/>
      <c r="V521" s="114"/>
      <c r="W521" s="115"/>
      <c r="X521" s="114"/>
      <c r="Y521" s="115"/>
      <c r="Z521" s="114"/>
      <c r="AA521" s="143"/>
      <c r="AB521" s="114"/>
      <c r="AC521" s="114"/>
      <c r="AD521" s="114"/>
    </row>
    <row r="522" spans="1:30" ht="15.75" customHeight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43"/>
      <c r="M522" s="143"/>
      <c r="N522" s="143"/>
      <c r="O522" s="143"/>
      <c r="P522" s="114"/>
      <c r="Q522" s="114"/>
      <c r="R522" s="115"/>
      <c r="S522" s="114"/>
      <c r="T522" s="114"/>
      <c r="U522" s="115"/>
      <c r="V522" s="114"/>
      <c r="W522" s="115"/>
      <c r="X522" s="114"/>
      <c r="Y522" s="115"/>
      <c r="Z522" s="114"/>
      <c r="AA522" s="143"/>
      <c r="AB522" s="114"/>
      <c r="AC522" s="114"/>
      <c r="AD522" s="114"/>
    </row>
    <row r="523" spans="1:30" ht="15.75" customHeight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43"/>
      <c r="M523" s="143"/>
      <c r="N523" s="143"/>
      <c r="O523" s="143"/>
      <c r="P523" s="114"/>
      <c r="Q523" s="114"/>
      <c r="R523" s="115"/>
      <c r="S523" s="114"/>
      <c r="T523" s="114"/>
      <c r="U523" s="115"/>
      <c r="V523" s="114"/>
      <c r="W523" s="115"/>
      <c r="X523" s="114"/>
      <c r="Y523" s="115"/>
      <c r="Z523" s="114"/>
      <c r="AA523" s="143"/>
      <c r="AB523" s="114"/>
      <c r="AC523" s="114"/>
      <c r="AD523" s="114"/>
    </row>
    <row r="524" spans="1:30" ht="15.75" customHeight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43"/>
      <c r="M524" s="143"/>
      <c r="N524" s="143"/>
      <c r="O524" s="143"/>
      <c r="P524" s="114"/>
      <c r="Q524" s="114"/>
      <c r="R524" s="115"/>
      <c r="S524" s="114"/>
      <c r="T524" s="114"/>
      <c r="U524" s="115"/>
      <c r="V524" s="114"/>
      <c r="W524" s="115"/>
      <c r="X524" s="114"/>
      <c r="Y524" s="115"/>
      <c r="Z524" s="114"/>
      <c r="AA524" s="143"/>
      <c r="AB524" s="114"/>
      <c r="AC524" s="114"/>
      <c r="AD524" s="114"/>
    </row>
    <row r="525" spans="1:30" ht="15.75" customHeight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43"/>
      <c r="M525" s="143"/>
      <c r="N525" s="143"/>
      <c r="O525" s="143"/>
      <c r="P525" s="114"/>
      <c r="Q525" s="114"/>
      <c r="R525" s="115"/>
      <c r="S525" s="114"/>
      <c r="T525" s="114"/>
      <c r="U525" s="115"/>
      <c r="V525" s="114"/>
      <c r="W525" s="115"/>
      <c r="X525" s="114"/>
      <c r="Y525" s="115"/>
      <c r="Z525" s="114"/>
      <c r="AA525" s="143"/>
      <c r="AB525" s="114"/>
      <c r="AC525" s="114"/>
      <c r="AD525" s="114"/>
    </row>
    <row r="526" spans="1:30" ht="15.75" customHeight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43"/>
      <c r="M526" s="143"/>
      <c r="N526" s="143"/>
      <c r="O526" s="143"/>
      <c r="P526" s="114"/>
      <c r="Q526" s="114"/>
      <c r="R526" s="115"/>
      <c r="S526" s="114"/>
      <c r="T526" s="114"/>
      <c r="U526" s="115"/>
      <c r="V526" s="114"/>
      <c r="W526" s="115"/>
      <c r="X526" s="114"/>
      <c r="Y526" s="115"/>
      <c r="Z526" s="114"/>
      <c r="AA526" s="143"/>
      <c r="AB526" s="114"/>
      <c r="AC526" s="114"/>
      <c r="AD526" s="114"/>
    </row>
    <row r="527" spans="1:30" ht="15.75" customHeight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43"/>
      <c r="M527" s="143"/>
      <c r="N527" s="143"/>
      <c r="O527" s="143"/>
      <c r="P527" s="114"/>
      <c r="Q527" s="114"/>
      <c r="R527" s="115"/>
      <c r="S527" s="114"/>
      <c r="T527" s="114"/>
      <c r="U527" s="115"/>
      <c r="V527" s="114"/>
      <c r="W527" s="115"/>
      <c r="X527" s="114"/>
      <c r="Y527" s="115"/>
      <c r="Z527" s="114"/>
      <c r="AA527" s="143"/>
      <c r="AB527" s="114"/>
      <c r="AC527" s="114"/>
      <c r="AD527" s="114"/>
    </row>
    <row r="528" spans="1:30" ht="15.75" customHeight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43"/>
      <c r="M528" s="143"/>
      <c r="N528" s="143"/>
      <c r="O528" s="143"/>
      <c r="P528" s="114"/>
      <c r="Q528" s="114"/>
      <c r="R528" s="115"/>
      <c r="S528" s="114"/>
      <c r="T528" s="114"/>
      <c r="U528" s="115"/>
      <c r="V528" s="114"/>
      <c r="W528" s="115"/>
      <c r="X528" s="114"/>
      <c r="Y528" s="115"/>
      <c r="Z528" s="114"/>
      <c r="AA528" s="143"/>
      <c r="AB528" s="114"/>
      <c r="AC528" s="114"/>
      <c r="AD528" s="114"/>
    </row>
    <row r="529" spans="1:30" ht="15.75" customHeight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43"/>
      <c r="M529" s="143"/>
      <c r="N529" s="143"/>
      <c r="O529" s="143"/>
      <c r="P529" s="114"/>
      <c r="Q529" s="114"/>
      <c r="R529" s="115"/>
      <c r="S529" s="114"/>
      <c r="T529" s="114"/>
      <c r="U529" s="115"/>
      <c r="V529" s="114"/>
      <c r="W529" s="115"/>
      <c r="X529" s="114"/>
      <c r="Y529" s="115"/>
      <c r="Z529" s="114"/>
      <c r="AA529" s="143"/>
      <c r="AB529" s="114"/>
      <c r="AC529" s="114"/>
      <c r="AD529" s="114"/>
    </row>
    <row r="530" spans="1:30" ht="15.75" customHeight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43"/>
      <c r="M530" s="143"/>
      <c r="N530" s="143"/>
      <c r="O530" s="143"/>
      <c r="P530" s="114"/>
      <c r="Q530" s="114"/>
      <c r="R530" s="115"/>
      <c r="S530" s="114"/>
      <c r="T530" s="114"/>
      <c r="U530" s="115"/>
      <c r="V530" s="114"/>
      <c r="W530" s="115"/>
      <c r="X530" s="114"/>
      <c r="Y530" s="115"/>
      <c r="Z530" s="114"/>
      <c r="AA530" s="143"/>
      <c r="AB530" s="114"/>
      <c r="AC530" s="114"/>
      <c r="AD530" s="114"/>
    </row>
    <row r="531" spans="1:30" ht="15.75" customHeight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43"/>
      <c r="M531" s="143"/>
      <c r="N531" s="143"/>
      <c r="O531" s="143"/>
      <c r="P531" s="114"/>
      <c r="Q531" s="114"/>
      <c r="R531" s="115"/>
      <c r="S531" s="114"/>
      <c r="T531" s="114"/>
      <c r="U531" s="115"/>
      <c r="V531" s="114"/>
      <c r="W531" s="115"/>
      <c r="X531" s="114"/>
      <c r="Y531" s="115"/>
      <c r="Z531" s="114"/>
      <c r="AA531" s="143"/>
      <c r="AB531" s="114"/>
      <c r="AC531" s="114"/>
      <c r="AD531" s="114"/>
    </row>
    <row r="532" spans="1:30" ht="15.75" customHeight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43"/>
      <c r="M532" s="143"/>
      <c r="N532" s="143"/>
      <c r="O532" s="143"/>
      <c r="P532" s="114"/>
      <c r="Q532" s="114"/>
      <c r="R532" s="115"/>
      <c r="S532" s="114"/>
      <c r="T532" s="114"/>
      <c r="U532" s="115"/>
      <c r="V532" s="114"/>
      <c r="W532" s="115"/>
      <c r="X532" s="114"/>
      <c r="Y532" s="115"/>
      <c r="Z532" s="114"/>
      <c r="AA532" s="143"/>
      <c r="AB532" s="114"/>
      <c r="AC532" s="114"/>
      <c r="AD532" s="114"/>
    </row>
    <row r="533" spans="1:30" ht="15.75" customHeight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43"/>
      <c r="M533" s="143"/>
      <c r="N533" s="143"/>
      <c r="O533" s="143"/>
      <c r="P533" s="114"/>
      <c r="Q533" s="114"/>
      <c r="R533" s="115"/>
      <c r="S533" s="114"/>
      <c r="T533" s="114"/>
      <c r="U533" s="115"/>
      <c r="V533" s="114"/>
      <c r="W533" s="115"/>
      <c r="X533" s="114"/>
      <c r="Y533" s="115"/>
      <c r="Z533" s="114"/>
      <c r="AA533" s="143"/>
      <c r="AB533" s="114"/>
      <c r="AC533" s="114"/>
      <c r="AD533" s="114"/>
    </row>
    <row r="534" spans="1:30" ht="15.75" customHeight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43"/>
      <c r="M534" s="143"/>
      <c r="N534" s="143"/>
      <c r="O534" s="143"/>
      <c r="P534" s="114"/>
      <c r="Q534" s="114"/>
      <c r="R534" s="115"/>
      <c r="S534" s="114"/>
      <c r="T534" s="114"/>
      <c r="U534" s="115"/>
      <c r="V534" s="114"/>
      <c r="W534" s="115"/>
      <c r="X534" s="114"/>
      <c r="Y534" s="115"/>
      <c r="Z534" s="114"/>
      <c r="AA534" s="143"/>
      <c r="AB534" s="114"/>
      <c r="AC534" s="114"/>
      <c r="AD534" s="114"/>
    </row>
    <row r="535" spans="1:30" ht="15.75" customHeight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43"/>
      <c r="M535" s="143"/>
      <c r="N535" s="143"/>
      <c r="O535" s="143"/>
      <c r="P535" s="114"/>
      <c r="Q535" s="114"/>
      <c r="R535" s="115"/>
      <c r="S535" s="114"/>
      <c r="T535" s="114"/>
      <c r="U535" s="115"/>
      <c r="V535" s="114"/>
      <c r="W535" s="115"/>
      <c r="X535" s="114"/>
      <c r="Y535" s="115"/>
      <c r="Z535" s="114"/>
      <c r="AA535" s="143"/>
      <c r="AB535" s="114"/>
      <c r="AC535" s="114"/>
      <c r="AD535" s="114"/>
    </row>
    <row r="536" spans="1:30" ht="15.75" customHeight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43"/>
      <c r="M536" s="143"/>
      <c r="N536" s="143"/>
      <c r="O536" s="143"/>
      <c r="P536" s="114"/>
      <c r="Q536" s="114"/>
      <c r="R536" s="115"/>
      <c r="S536" s="114"/>
      <c r="T536" s="114"/>
      <c r="U536" s="115"/>
      <c r="V536" s="114"/>
      <c r="W536" s="115"/>
      <c r="X536" s="114"/>
      <c r="Y536" s="115"/>
      <c r="Z536" s="114"/>
      <c r="AA536" s="143"/>
      <c r="AB536" s="114"/>
      <c r="AC536" s="114"/>
      <c r="AD536" s="114"/>
    </row>
    <row r="537" spans="1:30" ht="15.75" customHeight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43"/>
      <c r="M537" s="143"/>
      <c r="N537" s="143"/>
      <c r="O537" s="143"/>
      <c r="P537" s="114"/>
      <c r="Q537" s="114"/>
      <c r="R537" s="115"/>
      <c r="S537" s="114"/>
      <c r="T537" s="114"/>
      <c r="U537" s="115"/>
      <c r="V537" s="114"/>
      <c r="W537" s="115"/>
      <c r="X537" s="114"/>
      <c r="Y537" s="115"/>
      <c r="Z537" s="114"/>
      <c r="AA537" s="143"/>
      <c r="AB537" s="114"/>
      <c r="AC537" s="114"/>
      <c r="AD537" s="114"/>
    </row>
    <row r="538" spans="1:30" ht="15.75" customHeight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43"/>
      <c r="M538" s="143"/>
      <c r="N538" s="143"/>
      <c r="O538" s="143"/>
      <c r="P538" s="114"/>
      <c r="Q538" s="114"/>
      <c r="R538" s="115"/>
      <c r="S538" s="114"/>
      <c r="T538" s="114"/>
      <c r="U538" s="115"/>
      <c r="V538" s="114"/>
      <c r="W538" s="115"/>
      <c r="X538" s="114"/>
      <c r="Y538" s="115"/>
      <c r="Z538" s="114"/>
      <c r="AA538" s="143"/>
      <c r="AB538" s="114"/>
      <c r="AC538" s="114"/>
      <c r="AD538" s="114"/>
    </row>
    <row r="539" spans="1:30" ht="15.75" customHeight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43"/>
      <c r="M539" s="143"/>
      <c r="N539" s="143"/>
      <c r="O539" s="143"/>
      <c r="P539" s="114"/>
      <c r="Q539" s="114"/>
      <c r="R539" s="115"/>
      <c r="S539" s="114"/>
      <c r="T539" s="114"/>
      <c r="U539" s="115"/>
      <c r="V539" s="114"/>
      <c r="W539" s="115"/>
      <c r="X539" s="114"/>
      <c r="Y539" s="115"/>
      <c r="Z539" s="114"/>
      <c r="AA539" s="143"/>
      <c r="AB539" s="114"/>
      <c r="AC539" s="114"/>
      <c r="AD539" s="114"/>
    </row>
    <row r="540" spans="1:30" ht="15.75" customHeight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43"/>
      <c r="M540" s="143"/>
      <c r="N540" s="143"/>
      <c r="O540" s="143"/>
      <c r="P540" s="114"/>
      <c r="Q540" s="114"/>
      <c r="R540" s="115"/>
      <c r="S540" s="114"/>
      <c r="T540" s="114"/>
      <c r="U540" s="115"/>
      <c r="V540" s="114"/>
      <c r="W540" s="115"/>
      <c r="X540" s="114"/>
      <c r="Y540" s="115"/>
      <c r="Z540" s="114"/>
      <c r="AA540" s="143"/>
      <c r="AB540" s="114"/>
      <c r="AC540" s="114"/>
      <c r="AD540" s="114"/>
    </row>
    <row r="541" spans="1:30" ht="15.75" customHeight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43"/>
      <c r="M541" s="143"/>
      <c r="N541" s="143"/>
      <c r="O541" s="143"/>
      <c r="P541" s="114"/>
      <c r="Q541" s="114"/>
      <c r="R541" s="115"/>
      <c r="S541" s="114"/>
      <c r="T541" s="114"/>
      <c r="U541" s="115"/>
      <c r="V541" s="114"/>
      <c r="W541" s="115"/>
      <c r="X541" s="114"/>
      <c r="Y541" s="115"/>
      <c r="Z541" s="114"/>
      <c r="AA541" s="143"/>
      <c r="AB541" s="114"/>
      <c r="AC541" s="114"/>
      <c r="AD541" s="114"/>
    </row>
    <row r="542" spans="1:30" ht="15.75" customHeight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43"/>
      <c r="M542" s="143"/>
      <c r="N542" s="143"/>
      <c r="O542" s="143"/>
      <c r="P542" s="114"/>
      <c r="Q542" s="114"/>
      <c r="R542" s="115"/>
      <c r="S542" s="114"/>
      <c r="T542" s="114"/>
      <c r="U542" s="115"/>
      <c r="V542" s="114"/>
      <c r="W542" s="115"/>
      <c r="X542" s="114"/>
      <c r="Y542" s="115"/>
      <c r="Z542" s="114"/>
      <c r="AA542" s="143"/>
      <c r="AB542" s="114"/>
      <c r="AC542" s="114"/>
      <c r="AD542" s="114"/>
    </row>
    <row r="543" spans="1:30" ht="15.75" customHeight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43"/>
      <c r="M543" s="143"/>
      <c r="N543" s="143"/>
      <c r="O543" s="143"/>
      <c r="P543" s="114"/>
      <c r="Q543" s="114"/>
      <c r="R543" s="115"/>
      <c r="S543" s="114"/>
      <c r="T543" s="114"/>
      <c r="U543" s="115"/>
      <c r="V543" s="114"/>
      <c r="W543" s="115"/>
      <c r="X543" s="114"/>
      <c r="Y543" s="115"/>
      <c r="Z543" s="114"/>
      <c r="AA543" s="143"/>
      <c r="AB543" s="114"/>
      <c r="AC543" s="114"/>
      <c r="AD543" s="114"/>
    </row>
    <row r="544" spans="1:30" ht="15.75" customHeight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43"/>
      <c r="M544" s="143"/>
      <c r="N544" s="143"/>
      <c r="O544" s="143"/>
      <c r="P544" s="114"/>
      <c r="Q544" s="114"/>
      <c r="R544" s="115"/>
      <c r="S544" s="114"/>
      <c r="T544" s="114"/>
      <c r="U544" s="115"/>
      <c r="V544" s="114"/>
      <c r="W544" s="115"/>
      <c r="X544" s="114"/>
      <c r="Y544" s="115"/>
      <c r="Z544" s="114"/>
      <c r="AA544" s="143"/>
      <c r="AB544" s="114"/>
      <c r="AC544" s="114"/>
      <c r="AD544" s="114"/>
    </row>
    <row r="545" spans="1:30" ht="15.75" customHeight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43"/>
      <c r="M545" s="143"/>
      <c r="N545" s="143"/>
      <c r="O545" s="143"/>
      <c r="P545" s="114"/>
      <c r="Q545" s="114"/>
      <c r="R545" s="115"/>
      <c r="S545" s="114"/>
      <c r="T545" s="114"/>
      <c r="U545" s="115"/>
      <c r="V545" s="114"/>
      <c r="W545" s="115"/>
      <c r="X545" s="114"/>
      <c r="Y545" s="115"/>
      <c r="Z545" s="114"/>
      <c r="AA545" s="143"/>
      <c r="AB545" s="114"/>
      <c r="AC545" s="114"/>
      <c r="AD545" s="114"/>
    </row>
    <row r="546" spans="1:30" ht="15.75" customHeight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43"/>
      <c r="M546" s="143"/>
      <c r="N546" s="143"/>
      <c r="O546" s="143"/>
      <c r="P546" s="114"/>
      <c r="Q546" s="114"/>
      <c r="R546" s="115"/>
      <c r="S546" s="114"/>
      <c r="T546" s="114"/>
      <c r="U546" s="115"/>
      <c r="V546" s="114"/>
      <c r="W546" s="115"/>
      <c r="X546" s="114"/>
      <c r="Y546" s="115"/>
      <c r="Z546" s="114"/>
      <c r="AA546" s="143"/>
      <c r="AB546" s="114"/>
      <c r="AC546" s="114"/>
      <c r="AD546" s="114"/>
    </row>
    <row r="547" spans="1:30" ht="15.75" customHeight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43"/>
      <c r="M547" s="143"/>
      <c r="N547" s="143"/>
      <c r="O547" s="143"/>
      <c r="P547" s="114"/>
      <c r="Q547" s="114"/>
      <c r="R547" s="115"/>
      <c r="S547" s="114"/>
      <c r="T547" s="114"/>
      <c r="U547" s="115"/>
      <c r="V547" s="114"/>
      <c r="W547" s="115"/>
      <c r="X547" s="114"/>
      <c r="Y547" s="115"/>
      <c r="Z547" s="114"/>
      <c r="AA547" s="143"/>
      <c r="AB547" s="114"/>
      <c r="AC547" s="114"/>
      <c r="AD547" s="114"/>
    </row>
    <row r="548" spans="1:30" ht="15.75" customHeight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43"/>
      <c r="M548" s="143"/>
      <c r="N548" s="143"/>
      <c r="O548" s="143"/>
      <c r="P548" s="114"/>
      <c r="Q548" s="114"/>
      <c r="R548" s="115"/>
      <c r="S548" s="114"/>
      <c r="T548" s="114"/>
      <c r="U548" s="115"/>
      <c r="V548" s="114"/>
      <c r="W548" s="115"/>
      <c r="X548" s="114"/>
      <c r="Y548" s="115"/>
      <c r="Z548" s="114"/>
      <c r="AA548" s="143"/>
      <c r="AB548" s="114"/>
      <c r="AC548" s="114"/>
      <c r="AD548" s="114"/>
    </row>
    <row r="549" spans="1:30" ht="15.75" customHeight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43"/>
      <c r="M549" s="143"/>
      <c r="N549" s="143"/>
      <c r="O549" s="143"/>
      <c r="P549" s="114"/>
      <c r="Q549" s="114"/>
      <c r="R549" s="115"/>
      <c r="S549" s="114"/>
      <c r="T549" s="114"/>
      <c r="U549" s="115"/>
      <c r="V549" s="114"/>
      <c r="W549" s="115"/>
      <c r="X549" s="114"/>
      <c r="Y549" s="115"/>
      <c r="Z549" s="114"/>
      <c r="AA549" s="143"/>
      <c r="AB549" s="114"/>
      <c r="AC549" s="114"/>
      <c r="AD549" s="114"/>
    </row>
    <row r="550" spans="1:30" ht="15.75" customHeight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43"/>
      <c r="M550" s="143"/>
      <c r="N550" s="143"/>
      <c r="O550" s="143"/>
      <c r="P550" s="114"/>
      <c r="Q550" s="114"/>
      <c r="R550" s="115"/>
      <c r="S550" s="114"/>
      <c r="T550" s="114"/>
      <c r="U550" s="115"/>
      <c r="V550" s="114"/>
      <c r="W550" s="115"/>
      <c r="X550" s="114"/>
      <c r="Y550" s="115"/>
      <c r="Z550" s="114"/>
      <c r="AA550" s="143"/>
      <c r="AB550" s="114"/>
      <c r="AC550" s="114"/>
      <c r="AD550" s="114"/>
    </row>
    <row r="551" spans="1:30" ht="15.75" customHeight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43"/>
      <c r="M551" s="143"/>
      <c r="N551" s="143"/>
      <c r="O551" s="143"/>
      <c r="P551" s="114"/>
      <c r="Q551" s="114"/>
      <c r="R551" s="115"/>
      <c r="S551" s="114"/>
      <c r="T551" s="114"/>
      <c r="U551" s="115"/>
      <c r="V551" s="114"/>
      <c r="W551" s="115"/>
      <c r="X551" s="114"/>
      <c r="Y551" s="115"/>
      <c r="Z551" s="114"/>
      <c r="AA551" s="143"/>
      <c r="AB551" s="114"/>
      <c r="AC551" s="114"/>
      <c r="AD551" s="114"/>
    </row>
    <row r="552" spans="1:30" ht="15.75" customHeight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43"/>
      <c r="M552" s="143"/>
      <c r="N552" s="143"/>
      <c r="O552" s="143"/>
      <c r="P552" s="114"/>
      <c r="Q552" s="114"/>
      <c r="R552" s="115"/>
      <c r="S552" s="114"/>
      <c r="T552" s="114"/>
      <c r="U552" s="115"/>
      <c r="V552" s="114"/>
      <c r="W552" s="115"/>
      <c r="X552" s="114"/>
      <c r="Y552" s="115"/>
      <c r="Z552" s="114"/>
      <c r="AA552" s="143"/>
      <c r="AB552" s="114"/>
      <c r="AC552" s="114"/>
      <c r="AD552" s="114"/>
    </row>
    <row r="553" spans="1:30" ht="15.75" customHeight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43"/>
      <c r="M553" s="143"/>
      <c r="N553" s="143"/>
      <c r="O553" s="143"/>
      <c r="P553" s="114"/>
      <c r="Q553" s="114"/>
      <c r="R553" s="115"/>
      <c r="S553" s="114"/>
      <c r="T553" s="114"/>
      <c r="U553" s="115"/>
      <c r="V553" s="114"/>
      <c r="W553" s="115"/>
      <c r="X553" s="114"/>
      <c r="Y553" s="115"/>
      <c r="Z553" s="114"/>
      <c r="AA553" s="143"/>
      <c r="AB553" s="114"/>
      <c r="AC553" s="114"/>
      <c r="AD553" s="114"/>
    </row>
    <row r="554" spans="1:30" ht="15.75" customHeight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43"/>
      <c r="M554" s="143"/>
      <c r="N554" s="143"/>
      <c r="O554" s="143"/>
      <c r="P554" s="114"/>
      <c r="Q554" s="114"/>
      <c r="R554" s="115"/>
      <c r="S554" s="114"/>
      <c r="T554" s="114"/>
      <c r="U554" s="115"/>
      <c r="V554" s="114"/>
      <c r="W554" s="115"/>
      <c r="X554" s="114"/>
      <c r="Y554" s="115"/>
      <c r="Z554" s="114"/>
      <c r="AA554" s="143"/>
      <c r="AB554" s="114"/>
      <c r="AC554" s="114"/>
      <c r="AD554" s="114"/>
    </row>
    <row r="555" spans="1:30" ht="15.75" customHeight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43"/>
      <c r="M555" s="143"/>
      <c r="N555" s="143"/>
      <c r="O555" s="143"/>
      <c r="P555" s="114"/>
      <c r="Q555" s="114"/>
      <c r="R555" s="115"/>
      <c r="S555" s="114"/>
      <c r="T555" s="114"/>
      <c r="U555" s="115"/>
      <c r="V555" s="114"/>
      <c r="W555" s="115"/>
      <c r="X555" s="114"/>
      <c r="Y555" s="115"/>
      <c r="Z555" s="114"/>
      <c r="AA555" s="143"/>
      <c r="AB555" s="114"/>
      <c r="AC555" s="114"/>
      <c r="AD555" s="114"/>
    </row>
    <row r="556" spans="1:30" ht="15.75" customHeight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43"/>
      <c r="M556" s="143"/>
      <c r="N556" s="143"/>
      <c r="O556" s="143"/>
      <c r="P556" s="114"/>
      <c r="Q556" s="114"/>
      <c r="R556" s="115"/>
      <c r="S556" s="114"/>
      <c r="T556" s="114"/>
      <c r="U556" s="115"/>
      <c r="V556" s="114"/>
      <c r="W556" s="115"/>
      <c r="X556" s="114"/>
      <c r="Y556" s="115"/>
      <c r="Z556" s="114"/>
      <c r="AA556" s="143"/>
      <c r="AB556" s="114"/>
      <c r="AC556" s="114"/>
      <c r="AD556" s="114"/>
    </row>
    <row r="557" spans="1:30" ht="15.75" customHeight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43"/>
      <c r="M557" s="143"/>
      <c r="N557" s="143"/>
      <c r="O557" s="143"/>
      <c r="P557" s="114"/>
      <c r="Q557" s="114"/>
      <c r="R557" s="115"/>
      <c r="S557" s="114"/>
      <c r="T557" s="114"/>
      <c r="U557" s="115"/>
      <c r="V557" s="114"/>
      <c r="W557" s="115"/>
      <c r="X557" s="114"/>
      <c r="Y557" s="115"/>
      <c r="Z557" s="114"/>
      <c r="AA557" s="143"/>
      <c r="AB557" s="114"/>
      <c r="AC557" s="114"/>
      <c r="AD557" s="114"/>
    </row>
    <row r="558" spans="1:30" ht="15.75" customHeight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43"/>
      <c r="M558" s="143"/>
      <c r="N558" s="143"/>
      <c r="O558" s="143"/>
      <c r="P558" s="114"/>
      <c r="Q558" s="114"/>
      <c r="R558" s="115"/>
      <c r="S558" s="114"/>
      <c r="T558" s="114"/>
      <c r="U558" s="115"/>
      <c r="V558" s="114"/>
      <c r="W558" s="115"/>
      <c r="X558" s="114"/>
      <c r="Y558" s="115"/>
      <c r="Z558" s="114"/>
      <c r="AA558" s="143"/>
      <c r="AB558" s="114"/>
      <c r="AC558" s="114"/>
      <c r="AD558" s="114"/>
    </row>
    <row r="559" spans="1:30" ht="15.75" customHeight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43"/>
      <c r="M559" s="143"/>
      <c r="N559" s="143"/>
      <c r="O559" s="143"/>
      <c r="P559" s="114"/>
      <c r="Q559" s="114"/>
      <c r="R559" s="115"/>
      <c r="S559" s="114"/>
      <c r="T559" s="114"/>
      <c r="U559" s="115"/>
      <c r="V559" s="114"/>
      <c r="W559" s="115"/>
      <c r="X559" s="114"/>
      <c r="Y559" s="115"/>
      <c r="Z559" s="114"/>
      <c r="AA559" s="143"/>
      <c r="AB559" s="114"/>
      <c r="AC559" s="114"/>
      <c r="AD559" s="114"/>
    </row>
    <row r="560" spans="1:30" ht="15.75" customHeight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43"/>
      <c r="M560" s="143"/>
      <c r="N560" s="143"/>
      <c r="O560" s="143"/>
      <c r="P560" s="114"/>
      <c r="Q560" s="114"/>
      <c r="R560" s="115"/>
      <c r="S560" s="114"/>
      <c r="T560" s="114"/>
      <c r="U560" s="115"/>
      <c r="V560" s="114"/>
      <c r="W560" s="115"/>
      <c r="X560" s="114"/>
      <c r="Y560" s="115"/>
      <c r="Z560" s="114"/>
      <c r="AA560" s="143"/>
      <c r="AB560" s="114"/>
      <c r="AC560" s="114"/>
      <c r="AD560" s="114"/>
    </row>
    <row r="561" spans="1:30" ht="15.75" customHeight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43"/>
      <c r="M561" s="143"/>
      <c r="N561" s="143"/>
      <c r="O561" s="143"/>
      <c r="P561" s="114"/>
      <c r="Q561" s="114"/>
      <c r="R561" s="115"/>
      <c r="S561" s="114"/>
      <c r="T561" s="114"/>
      <c r="U561" s="115"/>
      <c r="V561" s="114"/>
      <c r="W561" s="115"/>
      <c r="X561" s="114"/>
      <c r="Y561" s="115"/>
      <c r="Z561" s="114"/>
      <c r="AA561" s="143"/>
      <c r="AB561" s="114"/>
      <c r="AC561" s="114"/>
      <c r="AD561" s="114"/>
    </row>
    <row r="562" spans="1:30" ht="15.75" customHeight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43"/>
      <c r="M562" s="143"/>
      <c r="N562" s="143"/>
      <c r="O562" s="143"/>
      <c r="P562" s="114"/>
      <c r="Q562" s="114"/>
      <c r="R562" s="115"/>
      <c r="S562" s="114"/>
      <c r="T562" s="114"/>
      <c r="U562" s="115"/>
      <c r="V562" s="114"/>
      <c r="W562" s="115"/>
      <c r="X562" s="114"/>
      <c r="Y562" s="115"/>
      <c r="Z562" s="114"/>
      <c r="AA562" s="143"/>
      <c r="AB562" s="114"/>
      <c r="AC562" s="114"/>
      <c r="AD562" s="114"/>
    </row>
    <row r="563" spans="1:30" ht="15.75" customHeight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43"/>
      <c r="M563" s="143"/>
      <c r="N563" s="143"/>
      <c r="O563" s="143"/>
      <c r="P563" s="114"/>
      <c r="Q563" s="114"/>
      <c r="R563" s="115"/>
      <c r="S563" s="114"/>
      <c r="T563" s="114"/>
      <c r="U563" s="115"/>
      <c r="V563" s="114"/>
      <c r="W563" s="115"/>
      <c r="X563" s="114"/>
      <c r="Y563" s="115"/>
      <c r="Z563" s="114"/>
      <c r="AA563" s="143"/>
      <c r="AB563" s="114"/>
      <c r="AC563" s="114"/>
      <c r="AD563" s="114"/>
    </row>
    <row r="564" spans="1:30" ht="15.75" customHeight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43"/>
      <c r="M564" s="143"/>
      <c r="N564" s="143"/>
      <c r="O564" s="143"/>
      <c r="P564" s="114"/>
      <c r="Q564" s="114"/>
      <c r="R564" s="115"/>
      <c r="S564" s="114"/>
      <c r="T564" s="114"/>
      <c r="U564" s="115"/>
      <c r="V564" s="114"/>
      <c r="W564" s="115"/>
      <c r="X564" s="114"/>
      <c r="Y564" s="115"/>
      <c r="Z564" s="114"/>
      <c r="AA564" s="143"/>
      <c r="AB564" s="114"/>
      <c r="AC564" s="114"/>
      <c r="AD564" s="114"/>
    </row>
    <row r="565" spans="1:30" ht="15.75" customHeight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43"/>
      <c r="M565" s="143"/>
      <c r="N565" s="143"/>
      <c r="O565" s="143"/>
      <c r="P565" s="114"/>
      <c r="Q565" s="114"/>
      <c r="R565" s="115"/>
      <c r="S565" s="114"/>
      <c r="T565" s="114"/>
      <c r="U565" s="115"/>
      <c r="V565" s="114"/>
      <c r="W565" s="115"/>
      <c r="X565" s="114"/>
      <c r="Y565" s="115"/>
      <c r="Z565" s="114"/>
      <c r="AA565" s="143"/>
      <c r="AB565" s="114"/>
      <c r="AC565" s="114"/>
      <c r="AD565" s="114"/>
    </row>
    <row r="566" spans="1:30" ht="15.75" customHeight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43"/>
      <c r="M566" s="143"/>
      <c r="N566" s="143"/>
      <c r="O566" s="143"/>
      <c r="P566" s="114"/>
      <c r="Q566" s="114"/>
      <c r="R566" s="115"/>
      <c r="S566" s="114"/>
      <c r="T566" s="114"/>
      <c r="U566" s="115"/>
      <c r="V566" s="114"/>
      <c r="W566" s="115"/>
      <c r="X566" s="114"/>
      <c r="Y566" s="115"/>
      <c r="Z566" s="114"/>
      <c r="AA566" s="143"/>
      <c r="AB566" s="114"/>
      <c r="AC566" s="114"/>
      <c r="AD566" s="114"/>
    </row>
    <row r="567" spans="1:30" ht="15.75" customHeight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43"/>
      <c r="M567" s="143"/>
      <c r="N567" s="143"/>
      <c r="O567" s="143"/>
      <c r="P567" s="114"/>
      <c r="Q567" s="114"/>
      <c r="R567" s="115"/>
      <c r="S567" s="114"/>
      <c r="T567" s="114"/>
      <c r="U567" s="115"/>
      <c r="V567" s="114"/>
      <c r="W567" s="115"/>
      <c r="X567" s="114"/>
      <c r="Y567" s="115"/>
      <c r="Z567" s="114"/>
      <c r="AA567" s="143"/>
      <c r="AB567" s="114"/>
      <c r="AC567" s="114"/>
      <c r="AD567" s="114"/>
    </row>
    <row r="568" spans="1:30" ht="15.75" customHeight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43"/>
      <c r="M568" s="143"/>
      <c r="N568" s="143"/>
      <c r="O568" s="143"/>
      <c r="P568" s="114"/>
      <c r="Q568" s="114"/>
      <c r="R568" s="115"/>
      <c r="S568" s="114"/>
      <c r="T568" s="114"/>
      <c r="U568" s="115"/>
      <c r="V568" s="114"/>
      <c r="W568" s="115"/>
      <c r="X568" s="114"/>
      <c r="Y568" s="115"/>
      <c r="Z568" s="114"/>
      <c r="AA568" s="143"/>
      <c r="AB568" s="114"/>
      <c r="AC568" s="114"/>
      <c r="AD568" s="114"/>
    </row>
    <row r="569" spans="1:30" ht="15.75" customHeight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43"/>
      <c r="M569" s="143"/>
      <c r="N569" s="143"/>
      <c r="O569" s="143"/>
      <c r="P569" s="114"/>
      <c r="Q569" s="114"/>
      <c r="R569" s="115"/>
      <c r="S569" s="114"/>
      <c r="T569" s="114"/>
      <c r="U569" s="115"/>
      <c r="V569" s="114"/>
      <c r="W569" s="115"/>
      <c r="X569" s="114"/>
      <c r="Y569" s="115"/>
      <c r="Z569" s="114"/>
      <c r="AA569" s="143"/>
      <c r="AB569" s="114"/>
      <c r="AC569" s="114"/>
      <c r="AD569" s="114"/>
    </row>
    <row r="570" spans="1:30" ht="15.75" customHeight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43"/>
      <c r="M570" s="143"/>
      <c r="N570" s="143"/>
      <c r="O570" s="143"/>
      <c r="P570" s="114"/>
      <c r="Q570" s="114"/>
      <c r="R570" s="115"/>
      <c r="S570" s="114"/>
      <c r="T570" s="114"/>
      <c r="U570" s="115"/>
      <c r="V570" s="114"/>
      <c r="W570" s="115"/>
      <c r="X570" s="114"/>
      <c r="Y570" s="115"/>
      <c r="Z570" s="114"/>
      <c r="AA570" s="143"/>
      <c r="AB570" s="114"/>
      <c r="AC570" s="114"/>
      <c r="AD570" s="114"/>
    </row>
    <row r="571" spans="1:30" ht="15.75" customHeight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43"/>
      <c r="M571" s="143"/>
      <c r="N571" s="143"/>
      <c r="O571" s="143"/>
      <c r="P571" s="114"/>
      <c r="Q571" s="114"/>
      <c r="R571" s="115"/>
      <c r="S571" s="114"/>
      <c r="T571" s="114"/>
      <c r="U571" s="115"/>
      <c r="V571" s="114"/>
      <c r="W571" s="115"/>
      <c r="X571" s="114"/>
      <c r="Y571" s="115"/>
      <c r="Z571" s="114"/>
      <c r="AA571" s="143"/>
      <c r="AB571" s="114"/>
      <c r="AC571" s="114"/>
      <c r="AD571" s="114"/>
    </row>
    <row r="572" spans="1:30" ht="15.75" customHeight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43"/>
      <c r="M572" s="143"/>
      <c r="N572" s="143"/>
      <c r="O572" s="143"/>
      <c r="P572" s="114"/>
      <c r="Q572" s="114"/>
      <c r="R572" s="115"/>
      <c r="S572" s="114"/>
      <c r="T572" s="114"/>
      <c r="U572" s="115"/>
      <c r="V572" s="114"/>
      <c r="W572" s="115"/>
      <c r="X572" s="114"/>
      <c r="Y572" s="115"/>
      <c r="Z572" s="114"/>
      <c r="AA572" s="143"/>
      <c r="AB572" s="114"/>
      <c r="AC572" s="114"/>
      <c r="AD572" s="114"/>
    </row>
    <row r="573" spans="1:30" ht="15.75" customHeight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43"/>
      <c r="M573" s="143"/>
      <c r="N573" s="143"/>
      <c r="O573" s="143"/>
      <c r="P573" s="114"/>
      <c r="Q573" s="114"/>
      <c r="R573" s="115"/>
      <c r="S573" s="114"/>
      <c r="T573" s="114"/>
      <c r="U573" s="115"/>
      <c r="V573" s="114"/>
      <c r="W573" s="115"/>
      <c r="X573" s="114"/>
      <c r="Y573" s="115"/>
      <c r="Z573" s="114"/>
      <c r="AA573" s="143"/>
      <c r="AB573" s="114"/>
      <c r="AC573" s="114"/>
      <c r="AD573" s="114"/>
    </row>
    <row r="574" spans="1:30" ht="15.75" customHeight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43"/>
      <c r="M574" s="143"/>
      <c r="N574" s="143"/>
      <c r="O574" s="143"/>
      <c r="P574" s="114"/>
      <c r="Q574" s="114"/>
      <c r="R574" s="115"/>
      <c r="S574" s="114"/>
      <c r="T574" s="114"/>
      <c r="U574" s="115"/>
      <c r="V574" s="114"/>
      <c r="W574" s="115"/>
      <c r="X574" s="114"/>
      <c r="Y574" s="115"/>
      <c r="Z574" s="114"/>
      <c r="AA574" s="143"/>
      <c r="AB574" s="114"/>
      <c r="AC574" s="114"/>
      <c r="AD574" s="114"/>
    </row>
    <row r="575" spans="1:30" ht="15.75" customHeight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43"/>
      <c r="M575" s="143"/>
      <c r="N575" s="143"/>
      <c r="O575" s="143"/>
      <c r="P575" s="114"/>
      <c r="Q575" s="114"/>
      <c r="R575" s="115"/>
      <c r="S575" s="114"/>
      <c r="T575" s="114"/>
      <c r="U575" s="115"/>
      <c r="V575" s="114"/>
      <c r="W575" s="115"/>
      <c r="X575" s="114"/>
      <c r="Y575" s="115"/>
      <c r="Z575" s="114"/>
      <c r="AA575" s="143"/>
      <c r="AB575" s="114"/>
      <c r="AC575" s="114"/>
      <c r="AD575" s="114"/>
    </row>
    <row r="576" spans="1:30" ht="15.75" customHeight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43"/>
      <c r="M576" s="143"/>
      <c r="N576" s="143"/>
      <c r="O576" s="143"/>
      <c r="P576" s="114"/>
      <c r="Q576" s="114"/>
      <c r="R576" s="115"/>
      <c r="S576" s="114"/>
      <c r="T576" s="114"/>
      <c r="U576" s="115"/>
      <c r="V576" s="114"/>
      <c r="W576" s="115"/>
      <c r="X576" s="114"/>
      <c r="Y576" s="115"/>
      <c r="Z576" s="114"/>
      <c r="AA576" s="143"/>
      <c r="AB576" s="114"/>
      <c r="AC576" s="114"/>
      <c r="AD576" s="114"/>
    </row>
    <row r="577" spans="1:30" ht="15.75" customHeight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43"/>
      <c r="M577" s="143"/>
      <c r="N577" s="143"/>
      <c r="O577" s="143"/>
      <c r="P577" s="114"/>
      <c r="Q577" s="114"/>
      <c r="R577" s="115"/>
      <c r="S577" s="114"/>
      <c r="T577" s="114"/>
      <c r="U577" s="115"/>
      <c r="V577" s="114"/>
      <c r="W577" s="115"/>
      <c r="X577" s="114"/>
      <c r="Y577" s="115"/>
      <c r="Z577" s="114"/>
      <c r="AA577" s="143"/>
      <c r="AB577" s="114"/>
      <c r="AC577" s="114"/>
      <c r="AD577" s="114"/>
    </row>
    <row r="578" spans="1:30" ht="15.75" customHeight="1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43"/>
      <c r="M578" s="143"/>
      <c r="N578" s="143"/>
      <c r="O578" s="143"/>
      <c r="P578" s="114"/>
      <c r="Q578" s="114"/>
      <c r="R578" s="115"/>
      <c r="S578" s="114"/>
      <c r="T578" s="114"/>
      <c r="U578" s="115"/>
      <c r="V578" s="114"/>
      <c r="W578" s="115"/>
      <c r="X578" s="114"/>
      <c r="Y578" s="115"/>
      <c r="Z578" s="114"/>
      <c r="AA578" s="143"/>
      <c r="AB578" s="114"/>
      <c r="AC578" s="114"/>
      <c r="AD578" s="114"/>
    </row>
    <row r="579" spans="1:30" ht="15.75" customHeight="1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43"/>
      <c r="M579" s="143"/>
      <c r="N579" s="143"/>
      <c r="O579" s="143"/>
      <c r="P579" s="114"/>
      <c r="Q579" s="114"/>
      <c r="R579" s="115"/>
      <c r="S579" s="114"/>
      <c r="T579" s="114"/>
      <c r="U579" s="115"/>
      <c r="V579" s="114"/>
      <c r="W579" s="115"/>
      <c r="X579" s="114"/>
      <c r="Y579" s="115"/>
      <c r="Z579" s="114"/>
      <c r="AA579" s="143"/>
      <c r="AB579" s="114"/>
      <c r="AC579" s="114"/>
      <c r="AD579" s="114"/>
    </row>
    <row r="580" spans="1:30" ht="15.75" customHeight="1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43"/>
      <c r="M580" s="143"/>
      <c r="N580" s="143"/>
      <c r="O580" s="143"/>
      <c r="P580" s="114"/>
      <c r="Q580" s="114"/>
      <c r="R580" s="115"/>
      <c r="S580" s="114"/>
      <c r="T580" s="114"/>
      <c r="U580" s="115"/>
      <c r="V580" s="114"/>
      <c r="W580" s="115"/>
      <c r="X580" s="114"/>
      <c r="Y580" s="115"/>
      <c r="Z580" s="114"/>
      <c r="AA580" s="143"/>
      <c r="AB580" s="114"/>
      <c r="AC580" s="114"/>
      <c r="AD580" s="114"/>
    </row>
    <row r="581" spans="1:30" ht="15.75" customHeight="1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43"/>
      <c r="M581" s="143"/>
      <c r="N581" s="143"/>
      <c r="O581" s="143"/>
      <c r="P581" s="114"/>
      <c r="Q581" s="114"/>
      <c r="R581" s="115"/>
      <c r="S581" s="114"/>
      <c r="T581" s="114"/>
      <c r="U581" s="115"/>
      <c r="V581" s="114"/>
      <c r="W581" s="115"/>
      <c r="X581" s="114"/>
      <c r="Y581" s="115"/>
      <c r="Z581" s="114"/>
      <c r="AA581" s="143"/>
      <c r="AB581" s="114"/>
      <c r="AC581" s="114"/>
      <c r="AD581" s="114"/>
    </row>
    <row r="582" spans="1:30" ht="15.75" customHeight="1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43"/>
      <c r="M582" s="143"/>
      <c r="N582" s="143"/>
      <c r="O582" s="143"/>
      <c r="P582" s="114"/>
      <c r="Q582" s="114"/>
      <c r="R582" s="115"/>
      <c r="S582" s="114"/>
      <c r="T582" s="114"/>
      <c r="U582" s="115"/>
      <c r="V582" s="114"/>
      <c r="W582" s="115"/>
      <c r="X582" s="114"/>
      <c r="Y582" s="115"/>
      <c r="Z582" s="114"/>
      <c r="AA582" s="143"/>
      <c r="AB582" s="114"/>
      <c r="AC582" s="114"/>
      <c r="AD582" s="114"/>
    </row>
    <row r="583" spans="1:30" ht="15.75" customHeight="1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43"/>
      <c r="M583" s="143"/>
      <c r="N583" s="143"/>
      <c r="O583" s="143"/>
      <c r="P583" s="114"/>
      <c r="Q583" s="114"/>
      <c r="R583" s="115"/>
      <c r="S583" s="114"/>
      <c r="T583" s="114"/>
      <c r="U583" s="115"/>
      <c r="V583" s="114"/>
      <c r="W583" s="115"/>
      <c r="X583" s="114"/>
      <c r="Y583" s="115"/>
      <c r="Z583" s="114"/>
      <c r="AA583" s="143"/>
      <c r="AB583" s="114"/>
      <c r="AC583" s="114"/>
      <c r="AD583" s="114"/>
    </row>
    <row r="584" spans="1:30" ht="15.75" customHeight="1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43"/>
      <c r="M584" s="143"/>
      <c r="N584" s="143"/>
      <c r="O584" s="143"/>
      <c r="P584" s="114"/>
      <c r="Q584" s="114"/>
      <c r="R584" s="115"/>
      <c r="S584" s="114"/>
      <c r="T584" s="114"/>
      <c r="U584" s="115"/>
      <c r="V584" s="114"/>
      <c r="W584" s="115"/>
      <c r="X584" s="114"/>
      <c r="Y584" s="115"/>
      <c r="Z584" s="114"/>
      <c r="AA584" s="143"/>
      <c r="AB584" s="114"/>
      <c r="AC584" s="114"/>
      <c r="AD584" s="114"/>
    </row>
    <row r="585" spans="1:30" ht="15.75" customHeight="1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43"/>
      <c r="M585" s="143"/>
      <c r="N585" s="143"/>
      <c r="O585" s="143"/>
      <c r="P585" s="114"/>
      <c r="Q585" s="114"/>
      <c r="R585" s="115"/>
      <c r="S585" s="114"/>
      <c r="T585" s="114"/>
      <c r="U585" s="115"/>
      <c r="V585" s="114"/>
      <c r="W585" s="115"/>
      <c r="X585" s="114"/>
      <c r="Y585" s="115"/>
      <c r="Z585" s="114"/>
      <c r="AA585" s="143"/>
      <c r="AB585" s="114"/>
      <c r="AC585" s="114"/>
      <c r="AD585" s="114"/>
    </row>
    <row r="586" spans="1:30" ht="15.75" customHeight="1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43"/>
      <c r="M586" s="143"/>
      <c r="N586" s="143"/>
      <c r="O586" s="143"/>
      <c r="P586" s="114"/>
      <c r="Q586" s="114"/>
      <c r="R586" s="115"/>
      <c r="S586" s="114"/>
      <c r="T586" s="114"/>
      <c r="U586" s="115"/>
      <c r="V586" s="114"/>
      <c r="W586" s="115"/>
      <c r="X586" s="114"/>
      <c r="Y586" s="115"/>
      <c r="Z586" s="114"/>
      <c r="AA586" s="143"/>
      <c r="AB586" s="114"/>
      <c r="AC586" s="114"/>
      <c r="AD586" s="114"/>
    </row>
    <row r="587" spans="1:30" ht="15.75" customHeight="1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43"/>
      <c r="M587" s="143"/>
      <c r="N587" s="143"/>
      <c r="O587" s="143"/>
      <c r="P587" s="114"/>
      <c r="Q587" s="114"/>
      <c r="R587" s="115"/>
      <c r="S587" s="114"/>
      <c r="T587" s="114"/>
      <c r="U587" s="115"/>
      <c r="V587" s="114"/>
      <c r="W587" s="115"/>
      <c r="X587" s="114"/>
      <c r="Y587" s="115"/>
      <c r="Z587" s="114"/>
      <c r="AA587" s="143"/>
      <c r="AB587" s="114"/>
      <c r="AC587" s="114"/>
      <c r="AD587" s="114"/>
    </row>
    <row r="588" spans="1:30" ht="15.75" customHeight="1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43"/>
      <c r="M588" s="143"/>
      <c r="N588" s="143"/>
      <c r="O588" s="143"/>
      <c r="P588" s="114"/>
      <c r="Q588" s="114"/>
      <c r="R588" s="115"/>
      <c r="S588" s="114"/>
      <c r="T588" s="114"/>
      <c r="U588" s="115"/>
      <c r="V588" s="114"/>
      <c r="W588" s="115"/>
      <c r="X588" s="114"/>
      <c r="Y588" s="115"/>
      <c r="Z588" s="114"/>
      <c r="AA588" s="143"/>
      <c r="AB588" s="114"/>
      <c r="AC588" s="114"/>
      <c r="AD588" s="114"/>
    </row>
    <row r="589" spans="1:30" ht="15.75" customHeight="1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43"/>
      <c r="M589" s="143"/>
      <c r="N589" s="143"/>
      <c r="O589" s="143"/>
      <c r="P589" s="114"/>
      <c r="Q589" s="114"/>
      <c r="R589" s="115"/>
      <c r="S589" s="114"/>
      <c r="T589" s="114"/>
      <c r="U589" s="115"/>
      <c r="V589" s="114"/>
      <c r="W589" s="115"/>
      <c r="X589" s="114"/>
      <c r="Y589" s="115"/>
      <c r="Z589" s="114"/>
      <c r="AA589" s="143"/>
      <c r="AB589" s="114"/>
      <c r="AC589" s="114"/>
      <c r="AD589" s="114"/>
    </row>
    <row r="590" spans="1:30" ht="15.75" customHeight="1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43"/>
      <c r="M590" s="143"/>
      <c r="N590" s="143"/>
      <c r="O590" s="143"/>
      <c r="P590" s="114"/>
      <c r="Q590" s="114"/>
      <c r="R590" s="115"/>
      <c r="S590" s="114"/>
      <c r="T590" s="114"/>
      <c r="U590" s="115"/>
      <c r="V590" s="114"/>
      <c r="W590" s="115"/>
      <c r="X590" s="114"/>
      <c r="Y590" s="115"/>
      <c r="Z590" s="114"/>
      <c r="AA590" s="143"/>
      <c r="AB590" s="114"/>
      <c r="AC590" s="114"/>
      <c r="AD590" s="114"/>
    </row>
    <row r="591" spans="1:30" ht="15.75" customHeight="1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43"/>
      <c r="M591" s="143"/>
      <c r="N591" s="143"/>
      <c r="O591" s="143"/>
      <c r="P591" s="114"/>
      <c r="Q591" s="114"/>
      <c r="R591" s="115"/>
      <c r="S591" s="114"/>
      <c r="T591" s="114"/>
      <c r="U591" s="115"/>
      <c r="V591" s="114"/>
      <c r="W591" s="115"/>
      <c r="X591" s="114"/>
      <c r="Y591" s="115"/>
      <c r="Z591" s="114"/>
      <c r="AA591" s="143"/>
      <c r="AB591" s="114"/>
      <c r="AC591" s="114"/>
      <c r="AD591" s="114"/>
    </row>
    <row r="592" spans="1:30" ht="15.75" customHeight="1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43"/>
      <c r="M592" s="143"/>
      <c r="N592" s="143"/>
      <c r="O592" s="143"/>
      <c r="P592" s="114"/>
      <c r="Q592" s="114"/>
      <c r="R592" s="115"/>
      <c r="S592" s="114"/>
      <c r="T592" s="114"/>
      <c r="U592" s="115"/>
      <c r="V592" s="114"/>
      <c r="W592" s="115"/>
      <c r="X592" s="114"/>
      <c r="Y592" s="115"/>
      <c r="Z592" s="114"/>
      <c r="AA592" s="143"/>
      <c r="AB592" s="114"/>
      <c r="AC592" s="114"/>
      <c r="AD592" s="114"/>
    </row>
    <row r="593" spans="1:30" ht="15.75" customHeight="1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43"/>
      <c r="M593" s="143"/>
      <c r="N593" s="143"/>
      <c r="O593" s="143"/>
      <c r="P593" s="114"/>
      <c r="Q593" s="114"/>
      <c r="R593" s="115"/>
      <c r="S593" s="114"/>
      <c r="T593" s="114"/>
      <c r="U593" s="115"/>
      <c r="V593" s="114"/>
      <c r="W593" s="115"/>
      <c r="X593" s="114"/>
      <c r="Y593" s="115"/>
      <c r="Z593" s="114"/>
      <c r="AA593" s="143"/>
      <c r="AB593" s="114"/>
      <c r="AC593" s="114"/>
      <c r="AD593" s="114"/>
    </row>
    <row r="594" spans="1:30" ht="15.75" customHeight="1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43"/>
      <c r="M594" s="143"/>
      <c r="N594" s="143"/>
      <c r="O594" s="143"/>
      <c r="P594" s="114"/>
      <c r="Q594" s="114"/>
      <c r="R594" s="115"/>
      <c r="S594" s="114"/>
      <c r="T594" s="114"/>
      <c r="U594" s="115"/>
      <c r="V594" s="114"/>
      <c r="W594" s="115"/>
      <c r="X594" s="114"/>
      <c r="Y594" s="115"/>
      <c r="Z594" s="114"/>
      <c r="AA594" s="143"/>
      <c r="AB594" s="114"/>
      <c r="AC594" s="114"/>
      <c r="AD594" s="114"/>
    </row>
    <row r="595" spans="1:30" ht="15.75" customHeight="1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43"/>
      <c r="M595" s="143"/>
      <c r="N595" s="143"/>
      <c r="O595" s="143"/>
      <c r="P595" s="114"/>
      <c r="Q595" s="114"/>
      <c r="R595" s="115"/>
      <c r="S595" s="114"/>
      <c r="T595" s="114"/>
      <c r="U595" s="115"/>
      <c r="V595" s="114"/>
      <c r="W595" s="115"/>
      <c r="X595" s="114"/>
      <c r="Y595" s="115"/>
      <c r="Z595" s="114"/>
      <c r="AA595" s="143"/>
      <c r="AB595" s="114"/>
      <c r="AC595" s="114"/>
      <c r="AD595" s="114"/>
    </row>
    <row r="596" spans="1:30" ht="15.75" customHeight="1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43"/>
      <c r="M596" s="143"/>
      <c r="N596" s="143"/>
      <c r="O596" s="143"/>
      <c r="P596" s="114"/>
      <c r="Q596" s="114"/>
      <c r="R596" s="115"/>
      <c r="S596" s="114"/>
      <c r="T596" s="114"/>
      <c r="U596" s="115"/>
      <c r="V596" s="114"/>
      <c r="W596" s="115"/>
      <c r="X596" s="114"/>
      <c r="Y596" s="115"/>
      <c r="Z596" s="114"/>
      <c r="AA596" s="143"/>
      <c r="AB596" s="114"/>
      <c r="AC596" s="114"/>
      <c r="AD596" s="114"/>
    </row>
    <row r="597" spans="1:30" ht="15.75" customHeight="1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43"/>
      <c r="M597" s="143"/>
      <c r="N597" s="143"/>
      <c r="O597" s="143"/>
      <c r="P597" s="114"/>
      <c r="Q597" s="114"/>
      <c r="R597" s="115"/>
      <c r="S597" s="114"/>
      <c r="T597" s="114"/>
      <c r="U597" s="115"/>
      <c r="V597" s="114"/>
      <c r="W597" s="115"/>
      <c r="X597" s="114"/>
      <c r="Y597" s="115"/>
      <c r="Z597" s="114"/>
      <c r="AA597" s="143"/>
      <c r="AB597" s="114"/>
      <c r="AC597" s="114"/>
      <c r="AD597" s="114"/>
    </row>
    <row r="598" spans="1:30" ht="15.75" customHeight="1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43"/>
      <c r="M598" s="143"/>
      <c r="N598" s="143"/>
      <c r="O598" s="143"/>
      <c r="P598" s="114"/>
      <c r="Q598" s="114"/>
      <c r="R598" s="115"/>
      <c r="S598" s="114"/>
      <c r="T598" s="114"/>
      <c r="U598" s="115"/>
      <c r="V598" s="114"/>
      <c r="W598" s="115"/>
      <c r="X598" s="114"/>
      <c r="Y598" s="115"/>
      <c r="Z598" s="114"/>
      <c r="AA598" s="143"/>
      <c r="AB598" s="114"/>
      <c r="AC598" s="114"/>
      <c r="AD598" s="114"/>
    </row>
    <row r="599" spans="1:30" ht="15.75" customHeight="1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43"/>
      <c r="M599" s="143"/>
      <c r="N599" s="143"/>
      <c r="O599" s="143"/>
      <c r="P599" s="114"/>
      <c r="Q599" s="114"/>
      <c r="R599" s="115"/>
      <c r="S599" s="114"/>
      <c r="T599" s="114"/>
      <c r="U599" s="115"/>
      <c r="V599" s="114"/>
      <c r="W599" s="115"/>
      <c r="X599" s="114"/>
      <c r="Y599" s="115"/>
      <c r="Z599" s="114"/>
      <c r="AA599" s="143"/>
      <c r="AB599" s="114"/>
      <c r="AC599" s="114"/>
      <c r="AD599" s="114"/>
    </row>
    <row r="600" spans="1:30" ht="15.75" customHeight="1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43"/>
      <c r="M600" s="143"/>
      <c r="N600" s="143"/>
      <c r="O600" s="143"/>
      <c r="P600" s="114"/>
      <c r="Q600" s="114"/>
      <c r="R600" s="115"/>
      <c r="S600" s="114"/>
      <c r="T600" s="114"/>
      <c r="U600" s="115"/>
      <c r="V600" s="114"/>
      <c r="W600" s="115"/>
      <c r="X600" s="114"/>
      <c r="Y600" s="115"/>
      <c r="Z600" s="114"/>
      <c r="AA600" s="143"/>
      <c r="AB600" s="114"/>
      <c r="AC600" s="114"/>
      <c r="AD600" s="114"/>
    </row>
    <row r="601" spans="1:30" ht="15.75" customHeight="1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43"/>
      <c r="M601" s="143"/>
      <c r="N601" s="143"/>
      <c r="O601" s="143"/>
      <c r="P601" s="114"/>
      <c r="Q601" s="114"/>
      <c r="R601" s="115"/>
      <c r="S601" s="114"/>
      <c r="T601" s="114"/>
      <c r="U601" s="115"/>
      <c r="V601" s="114"/>
      <c r="W601" s="115"/>
      <c r="X601" s="114"/>
      <c r="Y601" s="115"/>
      <c r="Z601" s="114"/>
      <c r="AA601" s="143"/>
      <c r="AB601" s="114"/>
      <c r="AC601" s="114"/>
      <c r="AD601" s="114"/>
    </row>
    <row r="602" spans="1:30" ht="15.75" customHeight="1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43"/>
      <c r="M602" s="143"/>
      <c r="N602" s="143"/>
      <c r="O602" s="143"/>
      <c r="P602" s="114"/>
      <c r="Q602" s="114"/>
      <c r="R602" s="115"/>
      <c r="S602" s="114"/>
      <c r="T602" s="114"/>
      <c r="U602" s="115"/>
      <c r="V602" s="114"/>
      <c r="W602" s="115"/>
      <c r="X602" s="114"/>
      <c r="Y602" s="115"/>
      <c r="Z602" s="114"/>
      <c r="AA602" s="143"/>
      <c r="AB602" s="114"/>
      <c r="AC602" s="114"/>
      <c r="AD602" s="114"/>
    </row>
    <row r="603" spans="1:30" ht="15.75" customHeight="1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43"/>
      <c r="M603" s="143"/>
      <c r="N603" s="143"/>
      <c r="O603" s="143"/>
      <c r="P603" s="114"/>
      <c r="Q603" s="114"/>
      <c r="R603" s="115"/>
      <c r="S603" s="114"/>
      <c r="T603" s="114"/>
      <c r="U603" s="115"/>
      <c r="V603" s="114"/>
      <c r="W603" s="115"/>
      <c r="X603" s="114"/>
      <c r="Y603" s="115"/>
      <c r="Z603" s="114"/>
      <c r="AA603" s="143"/>
      <c r="AB603" s="114"/>
      <c r="AC603" s="114"/>
      <c r="AD603" s="114"/>
    </row>
    <row r="604" spans="1:30" ht="15.75" customHeight="1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43"/>
      <c r="M604" s="143"/>
      <c r="N604" s="143"/>
      <c r="O604" s="143"/>
      <c r="P604" s="114"/>
      <c r="Q604" s="114"/>
      <c r="R604" s="115"/>
      <c r="S604" s="114"/>
      <c r="T604" s="114"/>
      <c r="U604" s="115"/>
      <c r="V604" s="114"/>
      <c r="W604" s="115"/>
      <c r="X604" s="114"/>
      <c r="Y604" s="115"/>
      <c r="Z604" s="114"/>
      <c r="AA604" s="143"/>
      <c r="AB604" s="114"/>
      <c r="AC604" s="114"/>
      <c r="AD604" s="114"/>
    </row>
    <row r="605" spans="1:30" ht="15.75" customHeight="1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43"/>
      <c r="M605" s="143"/>
      <c r="N605" s="143"/>
      <c r="O605" s="143"/>
      <c r="P605" s="114"/>
      <c r="Q605" s="114"/>
      <c r="R605" s="115"/>
      <c r="S605" s="114"/>
      <c r="T605" s="114"/>
      <c r="U605" s="115"/>
      <c r="V605" s="114"/>
      <c r="W605" s="115"/>
      <c r="X605" s="114"/>
      <c r="Y605" s="115"/>
      <c r="Z605" s="114"/>
      <c r="AA605" s="143"/>
      <c r="AB605" s="114"/>
      <c r="AC605" s="114"/>
      <c r="AD605" s="114"/>
    </row>
    <row r="606" spans="1:30" ht="15.75" customHeight="1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43"/>
      <c r="M606" s="143"/>
      <c r="N606" s="143"/>
      <c r="O606" s="143"/>
      <c r="P606" s="114"/>
      <c r="Q606" s="114"/>
      <c r="R606" s="115"/>
      <c r="S606" s="114"/>
      <c r="T606" s="114"/>
      <c r="U606" s="115"/>
      <c r="V606" s="114"/>
      <c r="W606" s="115"/>
      <c r="X606" s="114"/>
      <c r="Y606" s="115"/>
      <c r="Z606" s="114"/>
      <c r="AA606" s="143"/>
      <c r="AB606" s="114"/>
      <c r="AC606" s="114"/>
      <c r="AD606" s="114"/>
    </row>
    <row r="607" spans="1:30" ht="15.75" customHeight="1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43"/>
      <c r="M607" s="143"/>
      <c r="N607" s="143"/>
      <c r="O607" s="143"/>
      <c r="P607" s="114"/>
      <c r="Q607" s="114"/>
      <c r="R607" s="115"/>
      <c r="S607" s="114"/>
      <c r="T607" s="114"/>
      <c r="U607" s="115"/>
      <c r="V607" s="114"/>
      <c r="W607" s="115"/>
      <c r="X607" s="114"/>
      <c r="Y607" s="115"/>
      <c r="Z607" s="114"/>
      <c r="AA607" s="143"/>
      <c r="AB607" s="114"/>
      <c r="AC607" s="114"/>
      <c r="AD607" s="114"/>
    </row>
    <row r="608" spans="1:30" ht="15.75" customHeight="1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43"/>
      <c r="M608" s="143"/>
      <c r="N608" s="143"/>
      <c r="O608" s="143"/>
      <c r="P608" s="114"/>
      <c r="Q608" s="114"/>
      <c r="R608" s="115"/>
      <c r="S608" s="114"/>
      <c r="T608" s="114"/>
      <c r="U608" s="115"/>
      <c r="V608" s="114"/>
      <c r="W608" s="115"/>
      <c r="X608" s="114"/>
      <c r="Y608" s="115"/>
      <c r="Z608" s="114"/>
      <c r="AA608" s="143"/>
      <c r="AB608" s="114"/>
      <c r="AC608" s="114"/>
      <c r="AD608" s="114"/>
    </row>
    <row r="609" spans="1:30" ht="15.75" customHeight="1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43"/>
      <c r="M609" s="143"/>
      <c r="N609" s="143"/>
      <c r="O609" s="143"/>
      <c r="P609" s="114"/>
      <c r="Q609" s="114"/>
      <c r="R609" s="115"/>
      <c r="S609" s="114"/>
      <c r="T609" s="114"/>
      <c r="U609" s="115"/>
      <c r="V609" s="114"/>
      <c r="W609" s="115"/>
      <c r="X609" s="114"/>
      <c r="Y609" s="115"/>
      <c r="Z609" s="114"/>
      <c r="AA609" s="143"/>
      <c r="AB609" s="114"/>
      <c r="AC609" s="114"/>
      <c r="AD609" s="114"/>
    </row>
    <row r="610" spans="1:30" ht="15.75" customHeight="1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43"/>
      <c r="M610" s="143"/>
      <c r="N610" s="143"/>
      <c r="O610" s="143"/>
      <c r="P610" s="114"/>
      <c r="Q610" s="114"/>
      <c r="R610" s="115"/>
      <c r="S610" s="114"/>
      <c r="T610" s="114"/>
      <c r="U610" s="115"/>
      <c r="V610" s="114"/>
      <c r="W610" s="115"/>
      <c r="X610" s="114"/>
      <c r="Y610" s="115"/>
      <c r="Z610" s="114"/>
      <c r="AA610" s="143"/>
      <c r="AB610" s="114"/>
      <c r="AC610" s="114"/>
      <c r="AD610" s="114"/>
    </row>
    <row r="611" spans="1:30" ht="15.75" customHeight="1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43"/>
      <c r="M611" s="143"/>
      <c r="N611" s="143"/>
      <c r="O611" s="143"/>
      <c r="P611" s="114"/>
      <c r="Q611" s="114"/>
      <c r="R611" s="115"/>
      <c r="S611" s="114"/>
      <c r="T611" s="114"/>
      <c r="U611" s="115"/>
      <c r="V611" s="114"/>
      <c r="W611" s="115"/>
      <c r="X611" s="114"/>
      <c r="Y611" s="115"/>
      <c r="Z611" s="114"/>
      <c r="AA611" s="143"/>
      <c r="AB611" s="114"/>
      <c r="AC611" s="114"/>
      <c r="AD611" s="114"/>
    </row>
    <row r="612" spans="1:30" ht="15.75" customHeight="1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43"/>
      <c r="M612" s="143"/>
      <c r="N612" s="143"/>
      <c r="O612" s="143"/>
      <c r="P612" s="114"/>
      <c r="Q612" s="114"/>
      <c r="R612" s="115"/>
      <c r="S612" s="114"/>
      <c r="T612" s="114"/>
      <c r="U612" s="115"/>
      <c r="V612" s="114"/>
      <c r="W612" s="115"/>
      <c r="X612" s="114"/>
      <c r="Y612" s="115"/>
      <c r="Z612" s="114"/>
      <c r="AA612" s="143"/>
      <c r="AB612" s="114"/>
      <c r="AC612" s="114"/>
      <c r="AD612" s="114"/>
    </row>
    <row r="613" spans="1:30" ht="15.75" customHeight="1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43"/>
      <c r="M613" s="143"/>
      <c r="N613" s="143"/>
      <c r="O613" s="143"/>
      <c r="P613" s="114"/>
      <c r="Q613" s="114"/>
      <c r="R613" s="115"/>
      <c r="S613" s="114"/>
      <c r="T613" s="114"/>
      <c r="U613" s="115"/>
      <c r="V613" s="114"/>
      <c r="W613" s="115"/>
      <c r="X613" s="114"/>
      <c r="Y613" s="115"/>
      <c r="Z613" s="114"/>
      <c r="AA613" s="143"/>
      <c r="AB613" s="114"/>
      <c r="AC613" s="114"/>
      <c r="AD613" s="114"/>
    </row>
    <row r="614" spans="1:30" ht="15.75" customHeight="1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43"/>
      <c r="M614" s="143"/>
      <c r="N614" s="143"/>
      <c r="O614" s="143"/>
      <c r="P614" s="114"/>
      <c r="Q614" s="114"/>
      <c r="R614" s="115"/>
      <c r="S614" s="114"/>
      <c r="T614" s="114"/>
      <c r="U614" s="115"/>
      <c r="V614" s="114"/>
      <c r="W614" s="115"/>
      <c r="X614" s="114"/>
      <c r="Y614" s="115"/>
      <c r="Z614" s="114"/>
      <c r="AA614" s="143"/>
      <c r="AB614" s="114"/>
      <c r="AC614" s="114"/>
      <c r="AD614" s="114"/>
    </row>
    <row r="615" spans="1:30" ht="15.75" customHeight="1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43"/>
      <c r="M615" s="143"/>
      <c r="N615" s="143"/>
      <c r="O615" s="143"/>
      <c r="P615" s="114"/>
      <c r="Q615" s="114"/>
      <c r="R615" s="115"/>
      <c r="S615" s="114"/>
      <c r="T615" s="114"/>
      <c r="U615" s="115"/>
      <c r="V615" s="114"/>
      <c r="W615" s="115"/>
      <c r="X615" s="114"/>
      <c r="Y615" s="115"/>
      <c r="Z615" s="114"/>
      <c r="AA615" s="143"/>
      <c r="AB615" s="114"/>
      <c r="AC615" s="114"/>
      <c r="AD615" s="114"/>
    </row>
    <row r="616" spans="1:30" ht="15.75" customHeight="1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43"/>
      <c r="M616" s="143"/>
      <c r="N616" s="143"/>
      <c r="O616" s="143"/>
      <c r="P616" s="114"/>
      <c r="Q616" s="114"/>
      <c r="R616" s="115"/>
      <c r="S616" s="114"/>
      <c r="T616" s="114"/>
      <c r="U616" s="115"/>
      <c r="V616" s="114"/>
      <c r="W616" s="115"/>
      <c r="X616" s="114"/>
      <c r="Y616" s="115"/>
      <c r="Z616" s="114"/>
      <c r="AA616" s="143"/>
      <c r="AB616" s="114"/>
      <c r="AC616" s="114"/>
      <c r="AD616" s="114"/>
    </row>
    <row r="617" spans="1:30" ht="15.75" customHeight="1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43"/>
      <c r="M617" s="143"/>
      <c r="N617" s="143"/>
      <c r="O617" s="143"/>
      <c r="P617" s="114"/>
      <c r="Q617" s="114"/>
      <c r="R617" s="115"/>
      <c r="S617" s="114"/>
      <c r="T617" s="114"/>
      <c r="U617" s="115"/>
      <c r="V617" s="114"/>
      <c r="W617" s="115"/>
      <c r="X617" s="114"/>
      <c r="Y617" s="115"/>
      <c r="Z617" s="114"/>
      <c r="AA617" s="143"/>
      <c r="AB617" s="114"/>
      <c r="AC617" s="114"/>
      <c r="AD617" s="114"/>
    </row>
    <row r="618" spans="1:30" ht="15.75" customHeight="1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43"/>
      <c r="M618" s="143"/>
      <c r="N618" s="143"/>
      <c r="O618" s="143"/>
      <c r="P618" s="114"/>
      <c r="Q618" s="114"/>
      <c r="R618" s="115"/>
      <c r="S618" s="114"/>
      <c r="T618" s="114"/>
      <c r="U618" s="115"/>
      <c r="V618" s="114"/>
      <c r="W618" s="115"/>
      <c r="X618" s="114"/>
      <c r="Y618" s="115"/>
      <c r="Z618" s="114"/>
      <c r="AA618" s="143"/>
      <c r="AB618" s="114"/>
      <c r="AC618" s="114"/>
      <c r="AD618" s="114"/>
    </row>
    <row r="619" spans="1:30" ht="15.75" customHeight="1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43"/>
      <c r="M619" s="143"/>
      <c r="N619" s="143"/>
      <c r="O619" s="143"/>
      <c r="P619" s="114"/>
      <c r="Q619" s="114"/>
      <c r="R619" s="115"/>
      <c r="S619" s="114"/>
      <c r="T619" s="114"/>
      <c r="U619" s="115"/>
      <c r="V619" s="114"/>
      <c r="W619" s="115"/>
      <c r="X619" s="114"/>
      <c r="Y619" s="115"/>
      <c r="Z619" s="114"/>
      <c r="AA619" s="143"/>
      <c r="AB619" s="114"/>
      <c r="AC619" s="114"/>
      <c r="AD619" s="114"/>
    </row>
    <row r="620" spans="1:30" ht="15.75" customHeight="1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43"/>
      <c r="M620" s="143"/>
      <c r="N620" s="143"/>
      <c r="O620" s="143"/>
      <c r="P620" s="114"/>
      <c r="Q620" s="114"/>
      <c r="R620" s="115"/>
      <c r="S620" s="114"/>
      <c r="T620" s="114"/>
      <c r="U620" s="115"/>
      <c r="V620" s="114"/>
      <c r="W620" s="115"/>
      <c r="X620" s="114"/>
      <c r="Y620" s="115"/>
      <c r="Z620" s="114"/>
      <c r="AA620" s="143"/>
      <c r="AB620" s="114"/>
      <c r="AC620" s="114"/>
      <c r="AD620" s="114"/>
    </row>
    <row r="621" spans="1:30" ht="15.75" customHeight="1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43"/>
      <c r="M621" s="143"/>
      <c r="N621" s="143"/>
      <c r="O621" s="143"/>
      <c r="P621" s="114"/>
      <c r="Q621" s="114"/>
      <c r="R621" s="115"/>
      <c r="S621" s="114"/>
      <c r="T621" s="114"/>
      <c r="U621" s="115"/>
      <c r="V621" s="114"/>
      <c r="W621" s="115"/>
      <c r="X621" s="114"/>
      <c r="Y621" s="115"/>
      <c r="Z621" s="114"/>
      <c r="AA621" s="143"/>
      <c r="AB621" s="114"/>
      <c r="AC621" s="114"/>
      <c r="AD621" s="114"/>
    </row>
    <row r="622" spans="1:30" ht="15.75" customHeight="1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43"/>
      <c r="M622" s="143"/>
      <c r="N622" s="143"/>
      <c r="O622" s="143"/>
      <c r="P622" s="114"/>
      <c r="Q622" s="114"/>
      <c r="R622" s="115"/>
      <c r="S622" s="114"/>
      <c r="T622" s="114"/>
      <c r="U622" s="115"/>
      <c r="V622" s="114"/>
      <c r="W622" s="115"/>
      <c r="X622" s="114"/>
      <c r="Y622" s="115"/>
      <c r="Z622" s="114"/>
      <c r="AA622" s="143"/>
      <c r="AB622" s="114"/>
      <c r="AC622" s="114"/>
      <c r="AD622" s="114"/>
    </row>
    <row r="623" spans="1:30" ht="15.75" customHeight="1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43"/>
      <c r="M623" s="143"/>
      <c r="N623" s="143"/>
      <c r="O623" s="143"/>
      <c r="P623" s="114"/>
      <c r="Q623" s="114"/>
      <c r="R623" s="115"/>
      <c r="S623" s="114"/>
      <c r="T623" s="114"/>
      <c r="U623" s="115"/>
      <c r="V623" s="114"/>
      <c r="W623" s="115"/>
      <c r="X623" s="114"/>
      <c r="Y623" s="115"/>
      <c r="Z623" s="114"/>
      <c r="AA623" s="143"/>
      <c r="AB623" s="114"/>
      <c r="AC623" s="114"/>
      <c r="AD623" s="114"/>
    </row>
    <row r="624" spans="1:30" ht="15.75" customHeight="1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43"/>
      <c r="M624" s="143"/>
      <c r="N624" s="143"/>
      <c r="O624" s="143"/>
      <c r="P624" s="114"/>
      <c r="Q624" s="114"/>
      <c r="R624" s="115"/>
      <c r="S624" s="114"/>
      <c r="T624" s="114"/>
      <c r="U624" s="115"/>
      <c r="V624" s="114"/>
      <c r="W624" s="115"/>
      <c r="X624" s="114"/>
      <c r="Y624" s="115"/>
      <c r="Z624" s="114"/>
      <c r="AA624" s="143"/>
      <c r="AB624" s="114"/>
      <c r="AC624" s="114"/>
      <c r="AD624" s="114"/>
    </row>
    <row r="625" spans="1:30" ht="15.75" customHeight="1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43"/>
      <c r="M625" s="143"/>
      <c r="N625" s="143"/>
      <c r="O625" s="143"/>
      <c r="P625" s="114"/>
      <c r="Q625" s="114"/>
      <c r="R625" s="115"/>
      <c r="S625" s="114"/>
      <c r="T625" s="114"/>
      <c r="U625" s="115"/>
      <c r="V625" s="114"/>
      <c r="W625" s="115"/>
      <c r="X625" s="114"/>
      <c r="Y625" s="115"/>
      <c r="Z625" s="114"/>
      <c r="AA625" s="143"/>
      <c r="AB625" s="114"/>
      <c r="AC625" s="114"/>
      <c r="AD625" s="114"/>
    </row>
    <row r="626" spans="1:30" ht="15.75" customHeight="1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43"/>
      <c r="M626" s="143"/>
      <c r="N626" s="143"/>
      <c r="O626" s="143"/>
      <c r="P626" s="114"/>
      <c r="Q626" s="114"/>
      <c r="R626" s="115"/>
      <c r="S626" s="114"/>
      <c r="T626" s="114"/>
      <c r="U626" s="115"/>
      <c r="V626" s="114"/>
      <c r="W626" s="115"/>
      <c r="X626" s="114"/>
      <c r="Y626" s="115"/>
      <c r="Z626" s="114"/>
      <c r="AA626" s="143"/>
      <c r="AB626" s="114"/>
      <c r="AC626" s="114"/>
      <c r="AD626" s="114"/>
    </row>
    <row r="627" spans="1:30" ht="15.75" customHeight="1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43"/>
      <c r="M627" s="143"/>
      <c r="N627" s="143"/>
      <c r="O627" s="143"/>
      <c r="P627" s="114"/>
      <c r="Q627" s="114"/>
      <c r="R627" s="115"/>
      <c r="S627" s="114"/>
      <c r="T627" s="114"/>
      <c r="U627" s="115"/>
      <c r="V627" s="114"/>
      <c r="W627" s="115"/>
      <c r="X627" s="114"/>
      <c r="Y627" s="115"/>
      <c r="Z627" s="114"/>
      <c r="AA627" s="143"/>
      <c r="AB627" s="114"/>
      <c r="AC627" s="114"/>
      <c r="AD627" s="114"/>
    </row>
    <row r="628" spans="1:30" ht="15.75" customHeight="1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43"/>
      <c r="M628" s="143"/>
      <c r="N628" s="143"/>
      <c r="O628" s="143"/>
      <c r="P628" s="114"/>
      <c r="Q628" s="114"/>
      <c r="R628" s="115"/>
      <c r="S628" s="114"/>
      <c r="T628" s="114"/>
      <c r="U628" s="115"/>
      <c r="V628" s="114"/>
      <c r="W628" s="115"/>
      <c r="X628" s="114"/>
      <c r="Y628" s="115"/>
      <c r="Z628" s="114"/>
      <c r="AA628" s="143"/>
      <c r="AB628" s="114"/>
      <c r="AC628" s="114"/>
      <c r="AD628" s="114"/>
    </row>
    <row r="629" spans="1:30" ht="15.75" customHeight="1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43"/>
      <c r="M629" s="143"/>
      <c r="N629" s="143"/>
      <c r="O629" s="143"/>
      <c r="P629" s="114"/>
      <c r="Q629" s="114"/>
      <c r="R629" s="115"/>
      <c r="S629" s="114"/>
      <c r="T629" s="114"/>
      <c r="U629" s="115"/>
      <c r="V629" s="114"/>
      <c r="W629" s="115"/>
      <c r="X629" s="114"/>
      <c r="Y629" s="115"/>
      <c r="Z629" s="114"/>
      <c r="AA629" s="143"/>
      <c r="AB629" s="114"/>
      <c r="AC629" s="114"/>
      <c r="AD629" s="114"/>
    </row>
    <row r="630" spans="1:30" ht="15.75" customHeight="1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43"/>
      <c r="M630" s="143"/>
      <c r="N630" s="143"/>
      <c r="O630" s="143"/>
      <c r="P630" s="114"/>
      <c r="Q630" s="114"/>
      <c r="R630" s="115"/>
      <c r="S630" s="114"/>
      <c r="T630" s="114"/>
      <c r="U630" s="115"/>
      <c r="V630" s="114"/>
      <c r="W630" s="115"/>
      <c r="X630" s="114"/>
      <c r="Y630" s="115"/>
      <c r="Z630" s="114"/>
      <c r="AA630" s="143"/>
      <c r="AB630" s="114"/>
      <c r="AC630" s="114"/>
      <c r="AD630" s="114"/>
    </row>
    <row r="631" spans="1:30" ht="15.75" customHeight="1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43"/>
      <c r="M631" s="143"/>
      <c r="N631" s="143"/>
      <c r="O631" s="143"/>
      <c r="P631" s="114"/>
      <c r="Q631" s="114"/>
      <c r="R631" s="115"/>
      <c r="S631" s="114"/>
      <c r="T631" s="114"/>
      <c r="U631" s="115"/>
      <c r="V631" s="114"/>
      <c r="W631" s="115"/>
      <c r="X631" s="114"/>
      <c r="Y631" s="115"/>
      <c r="Z631" s="114"/>
      <c r="AA631" s="143"/>
      <c r="AB631" s="114"/>
      <c r="AC631" s="114"/>
      <c r="AD631" s="114"/>
    </row>
    <row r="632" spans="1:30" ht="15.75" customHeight="1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43"/>
      <c r="M632" s="143"/>
      <c r="N632" s="143"/>
      <c r="O632" s="143"/>
      <c r="P632" s="114"/>
      <c r="Q632" s="114"/>
      <c r="R632" s="115"/>
      <c r="S632" s="114"/>
      <c r="T632" s="114"/>
      <c r="U632" s="115"/>
      <c r="V632" s="114"/>
      <c r="W632" s="115"/>
      <c r="X632" s="114"/>
      <c r="Y632" s="115"/>
      <c r="Z632" s="114"/>
      <c r="AA632" s="143"/>
      <c r="AB632" s="114"/>
      <c r="AC632" s="114"/>
      <c r="AD632" s="114"/>
    </row>
    <row r="633" spans="1:30" ht="15.75" customHeight="1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43"/>
      <c r="M633" s="143"/>
      <c r="N633" s="143"/>
      <c r="O633" s="143"/>
      <c r="P633" s="114"/>
      <c r="Q633" s="114"/>
      <c r="R633" s="115"/>
      <c r="S633" s="114"/>
      <c r="T633" s="114"/>
      <c r="U633" s="115"/>
      <c r="V633" s="114"/>
      <c r="W633" s="115"/>
      <c r="X633" s="114"/>
      <c r="Y633" s="115"/>
      <c r="Z633" s="114"/>
      <c r="AA633" s="143"/>
      <c r="AB633" s="114"/>
      <c r="AC633" s="114"/>
      <c r="AD633" s="114"/>
    </row>
    <row r="634" spans="1:30" ht="15.75" customHeight="1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43"/>
      <c r="M634" s="143"/>
      <c r="N634" s="143"/>
      <c r="O634" s="143"/>
      <c r="P634" s="114"/>
      <c r="Q634" s="114"/>
      <c r="R634" s="115"/>
      <c r="S634" s="114"/>
      <c r="T634" s="114"/>
      <c r="U634" s="115"/>
      <c r="V634" s="114"/>
      <c r="W634" s="115"/>
      <c r="X634" s="114"/>
      <c r="Y634" s="115"/>
      <c r="Z634" s="114"/>
      <c r="AA634" s="143"/>
      <c r="AB634" s="114"/>
      <c r="AC634" s="114"/>
      <c r="AD634" s="114"/>
    </row>
    <row r="635" spans="1:30" ht="15.75" customHeight="1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43"/>
      <c r="M635" s="143"/>
      <c r="N635" s="143"/>
      <c r="O635" s="143"/>
      <c r="P635" s="114"/>
      <c r="Q635" s="114"/>
      <c r="R635" s="115"/>
      <c r="S635" s="114"/>
      <c r="T635" s="114"/>
      <c r="U635" s="115"/>
      <c r="V635" s="114"/>
      <c r="W635" s="115"/>
      <c r="X635" s="114"/>
      <c r="Y635" s="115"/>
      <c r="Z635" s="114"/>
      <c r="AA635" s="143"/>
      <c r="AB635" s="114"/>
      <c r="AC635" s="114"/>
      <c r="AD635" s="114"/>
    </row>
    <row r="636" spans="1:30" ht="15.75" customHeight="1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43"/>
      <c r="M636" s="143"/>
      <c r="N636" s="143"/>
      <c r="O636" s="143"/>
      <c r="P636" s="114"/>
      <c r="Q636" s="114"/>
      <c r="R636" s="115"/>
      <c r="S636" s="114"/>
      <c r="T636" s="114"/>
      <c r="U636" s="115"/>
      <c r="V636" s="114"/>
      <c r="W636" s="115"/>
      <c r="X636" s="114"/>
      <c r="Y636" s="115"/>
      <c r="Z636" s="114"/>
      <c r="AA636" s="143"/>
      <c r="AB636" s="114"/>
      <c r="AC636" s="114"/>
      <c r="AD636" s="114"/>
    </row>
    <row r="637" spans="1:30" ht="15.75" customHeight="1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43"/>
      <c r="M637" s="143"/>
      <c r="N637" s="143"/>
      <c r="O637" s="143"/>
      <c r="P637" s="114"/>
      <c r="Q637" s="114"/>
      <c r="R637" s="115"/>
      <c r="S637" s="114"/>
      <c r="T637" s="114"/>
      <c r="U637" s="115"/>
      <c r="V637" s="114"/>
      <c r="W637" s="115"/>
      <c r="X637" s="114"/>
      <c r="Y637" s="115"/>
      <c r="Z637" s="114"/>
      <c r="AA637" s="143"/>
      <c r="AB637" s="114"/>
      <c r="AC637" s="114"/>
      <c r="AD637" s="114"/>
    </row>
    <row r="638" spans="1:30" ht="15.75" customHeight="1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43"/>
      <c r="M638" s="143"/>
      <c r="N638" s="143"/>
      <c r="O638" s="143"/>
      <c r="P638" s="114"/>
      <c r="Q638" s="114"/>
      <c r="R638" s="115"/>
      <c r="S638" s="114"/>
      <c r="T638" s="114"/>
      <c r="U638" s="115"/>
      <c r="V638" s="114"/>
      <c r="W638" s="115"/>
      <c r="X638" s="114"/>
      <c r="Y638" s="115"/>
      <c r="Z638" s="114"/>
      <c r="AA638" s="143"/>
      <c r="AB638" s="114"/>
      <c r="AC638" s="114"/>
      <c r="AD638" s="114"/>
    </row>
    <row r="639" spans="1:30" ht="15.75" customHeight="1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43"/>
      <c r="M639" s="143"/>
      <c r="N639" s="143"/>
      <c r="O639" s="143"/>
      <c r="P639" s="114"/>
      <c r="Q639" s="114"/>
      <c r="R639" s="115"/>
      <c r="S639" s="114"/>
      <c r="T639" s="114"/>
      <c r="U639" s="115"/>
      <c r="V639" s="114"/>
      <c r="W639" s="115"/>
      <c r="X639" s="114"/>
      <c r="Y639" s="115"/>
      <c r="Z639" s="114"/>
      <c r="AA639" s="143"/>
      <c r="AB639" s="114"/>
      <c r="AC639" s="114"/>
      <c r="AD639" s="114"/>
    </row>
    <row r="640" spans="1:30" ht="15.75" customHeight="1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43"/>
      <c r="M640" s="143"/>
      <c r="N640" s="143"/>
      <c r="O640" s="143"/>
      <c r="P640" s="114"/>
      <c r="Q640" s="114"/>
      <c r="R640" s="115"/>
      <c r="S640" s="114"/>
      <c r="T640" s="114"/>
      <c r="U640" s="115"/>
      <c r="V640" s="114"/>
      <c r="W640" s="115"/>
      <c r="X640" s="114"/>
      <c r="Y640" s="115"/>
      <c r="Z640" s="114"/>
      <c r="AA640" s="143"/>
      <c r="AB640" s="114"/>
      <c r="AC640" s="114"/>
      <c r="AD640" s="114"/>
    </row>
    <row r="641" spans="1:30" ht="15.75" customHeight="1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43"/>
      <c r="M641" s="143"/>
      <c r="N641" s="143"/>
      <c r="O641" s="143"/>
      <c r="P641" s="114"/>
      <c r="Q641" s="114"/>
      <c r="R641" s="115"/>
      <c r="S641" s="114"/>
      <c r="T641" s="114"/>
      <c r="U641" s="115"/>
      <c r="V641" s="114"/>
      <c r="W641" s="115"/>
      <c r="X641" s="114"/>
      <c r="Y641" s="115"/>
      <c r="Z641" s="114"/>
      <c r="AA641" s="143"/>
      <c r="AB641" s="114"/>
      <c r="AC641" s="114"/>
      <c r="AD641" s="114"/>
    </row>
    <row r="642" spans="1:30" ht="15.75" customHeight="1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43"/>
      <c r="M642" s="143"/>
      <c r="N642" s="143"/>
      <c r="O642" s="143"/>
      <c r="P642" s="114"/>
      <c r="Q642" s="114"/>
      <c r="R642" s="115"/>
      <c r="S642" s="114"/>
      <c r="T642" s="114"/>
      <c r="U642" s="115"/>
      <c r="V642" s="114"/>
      <c r="W642" s="115"/>
      <c r="X642" s="114"/>
      <c r="Y642" s="115"/>
      <c r="Z642" s="114"/>
      <c r="AA642" s="143"/>
      <c r="AB642" s="114"/>
      <c r="AC642" s="114"/>
      <c r="AD642" s="114"/>
    </row>
    <row r="643" spans="1:30" ht="15.75" customHeight="1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43"/>
      <c r="M643" s="143"/>
      <c r="N643" s="143"/>
      <c r="O643" s="143"/>
      <c r="P643" s="114"/>
      <c r="Q643" s="114"/>
      <c r="R643" s="115"/>
      <c r="S643" s="114"/>
      <c r="T643" s="114"/>
      <c r="U643" s="115"/>
      <c r="V643" s="114"/>
      <c r="W643" s="115"/>
      <c r="X643" s="114"/>
      <c r="Y643" s="115"/>
      <c r="Z643" s="114"/>
      <c r="AA643" s="143"/>
      <c r="AB643" s="114"/>
      <c r="AC643" s="114"/>
      <c r="AD643" s="114"/>
    </row>
    <row r="644" spans="1:30" ht="15.75" customHeight="1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43"/>
      <c r="M644" s="143"/>
      <c r="N644" s="143"/>
      <c r="O644" s="143"/>
      <c r="P644" s="114"/>
      <c r="Q644" s="114"/>
      <c r="R644" s="115"/>
      <c r="S644" s="114"/>
      <c r="T644" s="114"/>
      <c r="U644" s="115"/>
      <c r="V644" s="114"/>
      <c r="W644" s="115"/>
      <c r="X644" s="114"/>
      <c r="Y644" s="115"/>
      <c r="Z644" s="114"/>
      <c r="AA644" s="143"/>
      <c r="AB644" s="114"/>
      <c r="AC644" s="114"/>
      <c r="AD644" s="114"/>
    </row>
    <row r="645" spans="1:30" ht="15.75" customHeight="1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43"/>
      <c r="M645" s="143"/>
      <c r="N645" s="143"/>
      <c r="O645" s="143"/>
      <c r="P645" s="114"/>
      <c r="Q645" s="114"/>
      <c r="R645" s="115"/>
      <c r="S645" s="114"/>
      <c r="T645" s="114"/>
      <c r="U645" s="115"/>
      <c r="V645" s="114"/>
      <c r="W645" s="115"/>
      <c r="X645" s="114"/>
      <c r="Y645" s="115"/>
      <c r="Z645" s="114"/>
      <c r="AA645" s="143"/>
      <c r="AB645" s="114"/>
      <c r="AC645" s="114"/>
      <c r="AD645" s="114"/>
    </row>
    <row r="646" spans="1:30" ht="15.75" customHeight="1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43"/>
      <c r="M646" s="143"/>
      <c r="N646" s="143"/>
      <c r="O646" s="143"/>
      <c r="P646" s="114"/>
      <c r="Q646" s="114"/>
      <c r="R646" s="115"/>
      <c r="S646" s="114"/>
      <c r="T646" s="114"/>
      <c r="U646" s="115"/>
      <c r="V646" s="114"/>
      <c r="W646" s="115"/>
      <c r="X646" s="114"/>
      <c r="Y646" s="115"/>
      <c r="Z646" s="114"/>
      <c r="AA646" s="143"/>
      <c r="AB646" s="114"/>
      <c r="AC646" s="114"/>
      <c r="AD646" s="114"/>
    </row>
    <row r="647" spans="1:30" ht="15.75" customHeight="1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43"/>
      <c r="M647" s="143"/>
      <c r="N647" s="143"/>
      <c r="O647" s="143"/>
      <c r="P647" s="114"/>
      <c r="Q647" s="114"/>
      <c r="R647" s="115"/>
      <c r="S647" s="114"/>
      <c r="T647" s="114"/>
      <c r="U647" s="115"/>
      <c r="V647" s="114"/>
      <c r="W647" s="115"/>
      <c r="X647" s="114"/>
      <c r="Y647" s="115"/>
      <c r="Z647" s="114"/>
      <c r="AA647" s="143"/>
      <c r="AB647" s="114"/>
      <c r="AC647" s="114"/>
      <c r="AD647" s="114"/>
    </row>
    <row r="648" spans="1:30" ht="15.75" customHeight="1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43"/>
      <c r="M648" s="143"/>
      <c r="N648" s="143"/>
      <c r="O648" s="143"/>
      <c r="P648" s="114"/>
      <c r="Q648" s="114"/>
      <c r="R648" s="115"/>
      <c r="S648" s="114"/>
      <c r="T648" s="114"/>
      <c r="U648" s="115"/>
      <c r="V648" s="114"/>
      <c r="W648" s="115"/>
      <c r="X648" s="114"/>
      <c r="Y648" s="115"/>
      <c r="Z648" s="114"/>
      <c r="AA648" s="143"/>
      <c r="AB648" s="114"/>
      <c r="AC648" s="114"/>
      <c r="AD648" s="114"/>
    </row>
    <row r="649" spans="1:30" ht="15.75" customHeight="1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43"/>
      <c r="M649" s="143"/>
      <c r="N649" s="143"/>
      <c r="O649" s="143"/>
      <c r="P649" s="114"/>
      <c r="Q649" s="114"/>
      <c r="R649" s="115"/>
      <c r="S649" s="114"/>
      <c r="T649" s="114"/>
      <c r="U649" s="115"/>
      <c r="V649" s="114"/>
      <c r="W649" s="115"/>
      <c r="X649" s="114"/>
      <c r="Y649" s="115"/>
      <c r="Z649" s="114"/>
      <c r="AA649" s="143"/>
      <c r="AB649" s="114"/>
      <c r="AC649" s="114"/>
      <c r="AD649" s="114"/>
    </row>
    <row r="650" spans="1:30" ht="15.75" customHeight="1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43"/>
      <c r="M650" s="143"/>
      <c r="N650" s="143"/>
      <c r="O650" s="143"/>
      <c r="P650" s="114"/>
      <c r="Q650" s="114"/>
      <c r="R650" s="115"/>
      <c r="S650" s="114"/>
      <c r="T650" s="114"/>
      <c r="U650" s="115"/>
      <c r="V650" s="114"/>
      <c r="W650" s="115"/>
      <c r="X650" s="114"/>
      <c r="Y650" s="115"/>
      <c r="Z650" s="114"/>
      <c r="AA650" s="143"/>
      <c r="AB650" s="114"/>
      <c r="AC650" s="114"/>
      <c r="AD650" s="114"/>
    </row>
    <row r="651" spans="1:30" ht="15.75" customHeight="1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43"/>
      <c r="M651" s="143"/>
      <c r="N651" s="143"/>
      <c r="O651" s="143"/>
      <c r="P651" s="114"/>
      <c r="Q651" s="114"/>
      <c r="R651" s="115"/>
      <c r="S651" s="114"/>
      <c r="T651" s="114"/>
      <c r="U651" s="115"/>
      <c r="V651" s="114"/>
      <c r="W651" s="115"/>
      <c r="X651" s="114"/>
      <c r="Y651" s="115"/>
      <c r="Z651" s="114"/>
      <c r="AA651" s="143"/>
      <c r="AB651" s="114"/>
      <c r="AC651" s="114"/>
      <c r="AD651" s="114"/>
    </row>
    <row r="652" spans="1:30" ht="15.75" customHeight="1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43"/>
      <c r="M652" s="143"/>
      <c r="N652" s="143"/>
      <c r="O652" s="143"/>
      <c r="P652" s="114"/>
      <c r="Q652" s="114"/>
      <c r="R652" s="115"/>
      <c r="S652" s="114"/>
      <c r="T652" s="114"/>
      <c r="U652" s="115"/>
      <c r="V652" s="114"/>
      <c r="W652" s="115"/>
      <c r="X652" s="114"/>
      <c r="Y652" s="115"/>
      <c r="Z652" s="114"/>
      <c r="AA652" s="143"/>
      <c r="AB652" s="114"/>
      <c r="AC652" s="114"/>
      <c r="AD652" s="114"/>
    </row>
    <row r="653" spans="1:30" ht="15.75" customHeight="1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43"/>
      <c r="M653" s="143"/>
      <c r="N653" s="143"/>
      <c r="O653" s="143"/>
      <c r="P653" s="114"/>
      <c r="Q653" s="114"/>
      <c r="R653" s="115"/>
      <c r="S653" s="114"/>
      <c r="T653" s="114"/>
      <c r="U653" s="115"/>
      <c r="V653" s="114"/>
      <c r="W653" s="115"/>
      <c r="X653" s="114"/>
      <c r="Y653" s="115"/>
      <c r="Z653" s="114"/>
      <c r="AA653" s="143"/>
      <c r="AB653" s="114"/>
      <c r="AC653" s="114"/>
      <c r="AD653" s="114"/>
    </row>
    <row r="654" spans="1:30" ht="15.75" customHeight="1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43"/>
      <c r="M654" s="143"/>
      <c r="N654" s="143"/>
      <c r="O654" s="143"/>
      <c r="P654" s="114"/>
      <c r="Q654" s="114"/>
      <c r="R654" s="115"/>
      <c r="S654" s="114"/>
      <c r="T654" s="114"/>
      <c r="U654" s="115"/>
      <c r="V654" s="114"/>
      <c r="W654" s="115"/>
      <c r="X654" s="114"/>
      <c r="Y654" s="115"/>
      <c r="Z654" s="114"/>
      <c r="AA654" s="143"/>
      <c r="AB654" s="114"/>
      <c r="AC654" s="114"/>
      <c r="AD654" s="114"/>
    </row>
    <row r="655" spans="1:30" ht="15.75" customHeight="1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43"/>
      <c r="M655" s="143"/>
      <c r="N655" s="143"/>
      <c r="O655" s="143"/>
      <c r="P655" s="114"/>
      <c r="Q655" s="114"/>
      <c r="R655" s="115"/>
      <c r="S655" s="114"/>
      <c r="T655" s="114"/>
      <c r="U655" s="115"/>
      <c r="V655" s="114"/>
      <c r="W655" s="115"/>
      <c r="X655" s="114"/>
      <c r="Y655" s="115"/>
      <c r="Z655" s="114"/>
      <c r="AA655" s="143"/>
      <c r="AB655" s="114"/>
      <c r="AC655" s="114"/>
      <c r="AD655" s="114"/>
    </row>
    <row r="656" spans="1:30" ht="15.75" customHeight="1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43"/>
      <c r="M656" s="143"/>
      <c r="N656" s="143"/>
      <c r="O656" s="143"/>
      <c r="P656" s="114"/>
      <c r="Q656" s="114"/>
      <c r="R656" s="115"/>
      <c r="S656" s="114"/>
      <c r="T656" s="114"/>
      <c r="U656" s="115"/>
      <c r="V656" s="114"/>
      <c r="W656" s="115"/>
      <c r="X656" s="114"/>
      <c r="Y656" s="115"/>
      <c r="Z656" s="114"/>
      <c r="AA656" s="143"/>
      <c r="AB656" s="114"/>
      <c r="AC656" s="114"/>
      <c r="AD656" s="114"/>
    </row>
    <row r="657" spans="1:30" ht="15.75" customHeight="1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43"/>
      <c r="M657" s="143"/>
      <c r="N657" s="143"/>
      <c r="O657" s="143"/>
      <c r="P657" s="114"/>
      <c r="Q657" s="114"/>
      <c r="R657" s="115"/>
      <c r="S657" s="114"/>
      <c r="T657" s="114"/>
      <c r="U657" s="115"/>
      <c r="V657" s="114"/>
      <c r="W657" s="115"/>
      <c r="X657" s="114"/>
      <c r="Y657" s="115"/>
      <c r="Z657" s="114"/>
      <c r="AA657" s="143"/>
      <c r="AB657" s="114"/>
      <c r="AC657" s="114"/>
      <c r="AD657" s="114"/>
    </row>
    <row r="658" spans="1:30" ht="15.75" customHeight="1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43"/>
      <c r="M658" s="143"/>
      <c r="N658" s="143"/>
      <c r="O658" s="143"/>
      <c r="P658" s="114"/>
      <c r="Q658" s="114"/>
      <c r="R658" s="115"/>
      <c r="S658" s="114"/>
      <c r="T658" s="114"/>
      <c r="U658" s="115"/>
      <c r="V658" s="114"/>
      <c r="W658" s="115"/>
      <c r="X658" s="114"/>
      <c r="Y658" s="115"/>
      <c r="Z658" s="114"/>
      <c r="AA658" s="143"/>
      <c r="AB658" s="114"/>
      <c r="AC658" s="114"/>
      <c r="AD658" s="114"/>
    </row>
    <row r="659" spans="1:30" ht="15.75" customHeight="1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43"/>
      <c r="M659" s="143"/>
      <c r="N659" s="143"/>
      <c r="O659" s="143"/>
      <c r="P659" s="114"/>
      <c r="Q659" s="114"/>
      <c r="R659" s="115"/>
      <c r="S659" s="114"/>
      <c r="T659" s="114"/>
      <c r="U659" s="115"/>
      <c r="V659" s="114"/>
      <c r="W659" s="115"/>
      <c r="X659" s="114"/>
      <c r="Y659" s="115"/>
      <c r="Z659" s="114"/>
      <c r="AA659" s="143"/>
      <c r="AB659" s="114"/>
      <c r="AC659" s="114"/>
      <c r="AD659" s="114"/>
    </row>
    <row r="660" spans="1:30" ht="15.75" customHeight="1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43"/>
      <c r="M660" s="143"/>
      <c r="N660" s="143"/>
      <c r="O660" s="143"/>
      <c r="P660" s="114"/>
      <c r="Q660" s="114"/>
      <c r="R660" s="115"/>
      <c r="S660" s="114"/>
      <c r="T660" s="114"/>
      <c r="U660" s="115"/>
      <c r="V660" s="114"/>
      <c r="W660" s="115"/>
      <c r="X660" s="114"/>
      <c r="Y660" s="115"/>
      <c r="Z660" s="114"/>
      <c r="AA660" s="143"/>
      <c r="AB660" s="114"/>
      <c r="AC660" s="114"/>
      <c r="AD660" s="114"/>
    </row>
    <row r="661" spans="1:30" ht="15.75" customHeight="1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43"/>
      <c r="M661" s="143"/>
      <c r="N661" s="143"/>
      <c r="O661" s="143"/>
      <c r="P661" s="114"/>
      <c r="Q661" s="114"/>
      <c r="R661" s="115"/>
      <c r="S661" s="114"/>
      <c r="T661" s="114"/>
      <c r="U661" s="115"/>
      <c r="V661" s="114"/>
      <c r="W661" s="115"/>
      <c r="X661" s="114"/>
      <c r="Y661" s="115"/>
      <c r="Z661" s="114"/>
      <c r="AA661" s="143"/>
      <c r="AB661" s="114"/>
      <c r="AC661" s="114"/>
      <c r="AD661" s="114"/>
    </row>
    <row r="662" spans="1:30" ht="15.75" customHeight="1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43"/>
      <c r="M662" s="143"/>
      <c r="N662" s="143"/>
      <c r="O662" s="143"/>
      <c r="P662" s="114"/>
      <c r="Q662" s="114"/>
      <c r="R662" s="115"/>
      <c r="S662" s="114"/>
      <c r="T662" s="114"/>
      <c r="U662" s="115"/>
      <c r="V662" s="114"/>
      <c r="W662" s="115"/>
      <c r="X662" s="114"/>
      <c r="Y662" s="115"/>
      <c r="Z662" s="114"/>
      <c r="AA662" s="143"/>
      <c r="AB662" s="114"/>
      <c r="AC662" s="114"/>
      <c r="AD662" s="114"/>
    </row>
    <row r="663" spans="1:30" ht="15.75" customHeight="1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43"/>
      <c r="M663" s="143"/>
      <c r="N663" s="143"/>
      <c r="O663" s="143"/>
      <c r="P663" s="114"/>
      <c r="Q663" s="114"/>
      <c r="R663" s="115"/>
      <c r="S663" s="114"/>
      <c r="T663" s="114"/>
      <c r="U663" s="115"/>
      <c r="V663" s="114"/>
      <c r="W663" s="115"/>
      <c r="X663" s="114"/>
      <c r="Y663" s="115"/>
      <c r="Z663" s="114"/>
      <c r="AA663" s="143"/>
      <c r="AB663" s="114"/>
      <c r="AC663" s="114"/>
      <c r="AD663" s="114"/>
    </row>
    <row r="664" spans="1:30" ht="15.75" customHeight="1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43"/>
      <c r="M664" s="143"/>
      <c r="N664" s="143"/>
      <c r="O664" s="143"/>
      <c r="P664" s="114"/>
      <c r="Q664" s="114"/>
      <c r="R664" s="115"/>
      <c r="S664" s="114"/>
      <c r="T664" s="114"/>
      <c r="U664" s="115"/>
      <c r="V664" s="114"/>
      <c r="W664" s="115"/>
      <c r="X664" s="114"/>
      <c r="Y664" s="115"/>
      <c r="Z664" s="114"/>
      <c r="AA664" s="143"/>
      <c r="AB664" s="114"/>
      <c r="AC664" s="114"/>
      <c r="AD664" s="114"/>
    </row>
    <row r="665" spans="1:30" ht="15.75" customHeight="1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43"/>
      <c r="M665" s="143"/>
      <c r="N665" s="143"/>
      <c r="O665" s="143"/>
      <c r="P665" s="114"/>
      <c r="Q665" s="114"/>
      <c r="R665" s="115"/>
      <c r="S665" s="114"/>
      <c r="T665" s="114"/>
      <c r="U665" s="115"/>
      <c r="V665" s="114"/>
      <c r="W665" s="115"/>
      <c r="X665" s="114"/>
      <c r="Y665" s="115"/>
      <c r="Z665" s="114"/>
      <c r="AA665" s="143"/>
      <c r="AB665" s="114"/>
      <c r="AC665" s="114"/>
      <c r="AD665" s="114"/>
    </row>
    <row r="666" spans="1:30" ht="15.75" customHeight="1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43"/>
      <c r="M666" s="143"/>
      <c r="N666" s="143"/>
      <c r="O666" s="143"/>
      <c r="P666" s="114"/>
      <c r="Q666" s="114"/>
      <c r="R666" s="115"/>
      <c r="S666" s="114"/>
      <c r="T666" s="114"/>
      <c r="U666" s="115"/>
      <c r="V666" s="114"/>
      <c r="W666" s="115"/>
      <c r="X666" s="114"/>
      <c r="Y666" s="115"/>
      <c r="Z666" s="114"/>
      <c r="AA666" s="143"/>
      <c r="AB666" s="114"/>
      <c r="AC666" s="114"/>
      <c r="AD666" s="114"/>
    </row>
    <row r="667" spans="1:30" ht="15.75" customHeight="1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43"/>
      <c r="M667" s="143"/>
      <c r="N667" s="143"/>
      <c r="O667" s="143"/>
      <c r="P667" s="114"/>
      <c r="Q667" s="114"/>
      <c r="R667" s="115"/>
      <c r="S667" s="114"/>
      <c r="T667" s="114"/>
      <c r="U667" s="115"/>
      <c r="V667" s="114"/>
      <c r="W667" s="115"/>
      <c r="X667" s="114"/>
      <c r="Y667" s="115"/>
      <c r="Z667" s="114"/>
      <c r="AA667" s="143"/>
      <c r="AB667" s="114"/>
      <c r="AC667" s="114"/>
      <c r="AD667" s="114"/>
    </row>
    <row r="668" spans="1:30" ht="15.75" customHeight="1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43"/>
      <c r="M668" s="143"/>
      <c r="N668" s="143"/>
      <c r="O668" s="143"/>
      <c r="P668" s="114"/>
      <c r="Q668" s="114"/>
      <c r="R668" s="115"/>
      <c r="S668" s="114"/>
      <c r="T668" s="114"/>
      <c r="U668" s="115"/>
      <c r="V668" s="114"/>
      <c r="W668" s="115"/>
      <c r="X668" s="114"/>
      <c r="Y668" s="115"/>
      <c r="Z668" s="114"/>
      <c r="AA668" s="143"/>
      <c r="AB668" s="114"/>
      <c r="AC668" s="114"/>
      <c r="AD668" s="114"/>
    </row>
    <row r="669" spans="1:30" ht="15.75" customHeight="1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43"/>
      <c r="M669" s="143"/>
      <c r="N669" s="143"/>
      <c r="O669" s="143"/>
      <c r="P669" s="114"/>
      <c r="Q669" s="114"/>
      <c r="R669" s="115"/>
      <c r="S669" s="114"/>
      <c r="T669" s="114"/>
      <c r="U669" s="115"/>
      <c r="V669" s="114"/>
      <c r="W669" s="115"/>
      <c r="X669" s="114"/>
      <c r="Y669" s="115"/>
      <c r="Z669" s="114"/>
      <c r="AA669" s="143"/>
      <c r="AB669" s="114"/>
      <c r="AC669" s="114"/>
      <c r="AD669" s="114"/>
    </row>
    <row r="670" spans="1:30" ht="15.75" customHeight="1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43"/>
      <c r="M670" s="143"/>
      <c r="N670" s="143"/>
      <c r="O670" s="143"/>
      <c r="P670" s="114"/>
      <c r="Q670" s="114"/>
      <c r="R670" s="115"/>
      <c r="S670" s="114"/>
      <c r="T670" s="114"/>
      <c r="U670" s="115"/>
      <c r="V670" s="114"/>
      <c r="W670" s="115"/>
      <c r="X670" s="114"/>
      <c r="Y670" s="115"/>
      <c r="Z670" s="114"/>
      <c r="AA670" s="143"/>
      <c r="AB670" s="114"/>
      <c r="AC670" s="114"/>
      <c r="AD670" s="114"/>
    </row>
    <row r="671" spans="1:30" ht="15.75" customHeight="1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43"/>
      <c r="M671" s="143"/>
      <c r="N671" s="143"/>
      <c r="O671" s="143"/>
      <c r="P671" s="114"/>
      <c r="Q671" s="114"/>
      <c r="R671" s="115"/>
      <c r="S671" s="114"/>
      <c r="T671" s="114"/>
      <c r="U671" s="115"/>
      <c r="V671" s="114"/>
      <c r="W671" s="115"/>
      <c r="X671" s="114"/>
      <c r="Y671" s="115"/>
      <c r="Z671" s="114"/>
      <c r="AA671" s="143"/>
      <c r="AB671" s="114"/>
      <c r="AC671" s="114"/>
      <c r="AD671" s="114"/>
    </row>
    <row r="672" spans="1:30" ht="15.75" customHeight="1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43"/>
      <c r="M672" s="143"/>
      <c r="N672" s="143"/>
      <c r="O672" s="143"/>
      <c r="P672" s="114"/>
      <c r="Q672" s="114"/>
      <c r="R672" s="115"/>
      <c r="S672" s="114"/>
      <c r="T672" s="114"/>
      <c r="U672" s="115"/>
      <c r="V672" s="114"/>
      <c r="W672" s="115"/>
      <c r="X672" s="114"/>
      <c r="Y672" s="115"/>
      <c r="Z672" s="114"/>
      <c r="AA672" s="143"/>
      <c r="AB672" s="114"/>
      <c r="AC672" s="114"/>
      <c r="AD672" s="114"/>
    </row>
    <row r="673" spans="1:30" ht="15.75" customHeight="1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43"/>
      <c r="M673" s="143"/>
      <c r="N673" s="143"/>
      <c r="O673" s="143"/>
      <c r="P673" s="114"/>
      <c r="Q673" s="114"/>
      <c r="R673" s="115"/>
      <c r="S673" s="114"/>
      <c r="T673" s="114"/>
      <c r="U673" s="115"/>
      <c r="V673" s="114"/>
      <c r="W673" s="115"/>
      <c r="X673" s="114"/>
      <c r="Y673" s="115"/>
      <c r="Z673" s="114"/>
      <c r="AA673" s="143"/>
      <c r="AB673" s="114"/>
      <c r="AC673" s="114"/>
      <c r="AD673" s="114"/>
    </row>
    <row r="674" spans="1:30" ht="15.75" customHeight="1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43"/>
      <c r="M674" s="143"/>
      <c r="N674" s="143"/>
      <c r="O674" s="143"/>
      <c r="P674" s="114"/>
      <c r="Q674" s="114"/>
      <c r="R674" s="115"/>
      <c r="S674" s="114"/>
      <c r="T674" s="114"/>
      <c r="U674" s="115"/>
      <c r="V674" s="114"/>
      <c r="W674" s="115"/>
      <c r="X674" s="114"/>
      <c r="Y674" s="115"/>
      <c r="Z674" s="114"/>
      <c r="AA674" s="143"/>
      <c r="AB674" s="114"/>
      <c r="AC674" s="114"/>
      <c r="AD674" s="114"/>
    </row>
    <row r="675" spans="1:30" ht="15.75" customHeight="1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43"/>
      <c r="M675" s="143"/>
      <c r="N675" s="143"/>
      <c r="O675" s="143"/>
      <c r="P675" s="114"/>
      <c r="Q675" s="114"/>
      <c r="R675" s="115"/>
      <c r="S675" s="114"/>
      <c r="T675" s="114"/>
      <c r="U675" s="115"/>
      <c r="V675" s="114"/>
      <c r="W675" s="115"/>
      <c r="X675" s="114"/>
      <c r="Y675" s="115"/>
      <c r="Z675" s="114"/>
      <c r="AA675" s="143"/>
      <c r="AB675" s="114"/>
      <c r="AC675" s="114"/>
      <c r="AD675" s="114"/>
    </row>
    <row r="676" spans="1:30" ht="15.75" customHeight="1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43"/>
      <c r="M676" s="143"/>
      <c r="N676" s="143"/>
      <c r="O676" s="143"/>
      <c r="P676" s="114"/>
      <c r="Q676" s="114"/>
      <c r="R676" s="115"/>
      <c r="S676" s="114"/>
      <c r="T676" s="114"/>
      <c r="U676" s="115"/>
      <c r="V676" s="114"/>
      <c r="W676" s="115"/>
      <c r="X676" s="114"/>
      <c r="Y676" s="115"/>
      <c r="Z676" s="114"/>
      <c r="AA676" s="143"/>
      <c r="AB676" s="114"/>
      <c r="AC676" s="114"/>
      <c r="AD676" s="114"/>
    </row>
    <row r="677" spans="1:30" ht="15.75" customHeight="1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43"/>
      <c r="M677" s="143"/>
      <c r="N677" s="143"/>
      <c r="O677" s="143"/>
      <c r="P677" s="114"/>
      <c r="Q677" s="114"/>
      <c r="R677" s="115"/>
      <c r="S677" s="114"/>
      <c r="T677" s="114"/>
      <c r="U677" s="115"/>
      <c r="V677" s="114"/>
      <c r="W677" s="115"/>
      <c r="X677" s="114"/>
      <c r="Y677" s="115"/>
      <c r="Z677" s="114"/>
      <c r="AA677" s="143"/>
      <c r="AB677" s="114"/>
      <c r="AC677" s="114"/>
      <c r="AD677" s="114"/>
    </row>
    <row r="678" spans="1:30" ht="15.75" customHeight="1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43"/>
      <c r="M678" s="143"/>
      <c r="N678" s="143"/>
      <c r="O678" s="143"/>
      <c r="P678" s="114"/>
      <c r="Q678" s="114"/>
      <c r="R678" s="115"/>
      <c r="S678" s="114"/>
      <c r="T678" s="114"/>
      <c r="U678" s="115"/>
      <c r="V678" s="114"/>
      <c r="W678" s="115"/>
      <c r="X678" s="114"/>
      <c r="Y678" s="115"/>
      <c r="Z678" s="114"/>
      <c r="AA678" s="143"/>
      <c r="AB678" s="114"/>
      <c r="AC678" s="114"/>
      <c r="AD678" s="114"/>
    </row>
    <row r="679" spans="1:30" ht="15.75" customHeight="1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43"/>
      <c r="M679" s="143"/>
      <c r="N679" s="143"/>
      <c r="O679" s="143"/>
      <c r="P679" s="114"/>
      <c r="Q679" s="114"/>
      <c r="R679" s="115"/>
      <c r="S679" s="114"/>
      <c r="T679" s="114"/>
      <c r="U679" s="115"/>
      <c r="V679" s="114"/>
      <c r="W679" s="115"/>
      <c r="X679" s="114"/>
      <c r="Y679" s="115"/>
      <c r="Z679" s="114"/>
      <c r="AA679" s="143"/>
      <c r="AB679" s="114"/>
      <c r="AC679" s="114"/>
      <c r="AD679" s="114"/>
    </row>
    <row r="680" spans="1:30" ht="15.75" customHeight="1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43"/>
      <c r="M680" s="143"/>
      <c r="N680" s="143"/>
      <c r="O680" s="143"/>
      <c r="P680" s="114"/>
      <c r="Q680" s="114"/>
      <c r="R680" s="115"/>
      <c r="S680" s="114"/>
      <c r="T680" s="114"/>
      <c r="U680" s="115"/>
      <c r="V680" s="114"/>
      <c r="W680" s="115"/>
      <c r="X680" s="114"/>
      <c r="Y680" s="115"/>
      <c r="Z680" s="114"/>
      <c r="AA680" s="143"/>
      <c r="AB680" s="114"/>
      <c r="AC680" s="114"/>
      <c r="AD680" s="114"/>
    </row>
    <row r="681" spans="1:30" ht="15.75" customHeight="1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43"/>
      <c r="M681" s="143"/>
      <c r="N681" s="143"/>
      <c r="O681" s="143"/>
      <c r="P681" s="114"/>
      <c r="Q681" s="114"/>
      <c r="R681" s="115"/>
      <c r="S681" s="114"/>
      <c r="T681" s="114"/>
      <c r="U681" s="115"/>
      <c r="V681" s="114"/>
      <c r="W681" s="115"/>
      <c r="X681" s="114"/>
      <c r="Y681" s="115"/>
      <c r="Z681" s="114"/>
      <c r="AA681" s="143"/>
      <c r="AB681" s="114"/>
      <c r="AC681" s="114"/>
      <c r="AD681" s="114"/>
    </row>
    <row r="682" spans="1:30" ht="15.75" customHeight="1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43"/>
      <c r="M682" s="143"/>
      <c r="N682" s="143"/>
      <c r="O682" s="143"/>
      <c r="P682" s="114"/>
      <c r="Q682" s="114"/>
      <c r="R682" s="115"/>
      <c r="S682" s="114"/>
      <c r="T682" s="114"/>
      <c r="U682" s="115"/>
      <c r="V682" s="114"/>
      <c r="W682" s="115"/>
      <c r="X682" s="114"/>
      <c r="Y682" s="115"/>
      <c r="Z682" s="114"/>
      <c r="AA682" s="143"/>
      <c r="AB682" s="114"/>
      <c r="AC682" s="114"/>
      <c r="AD682" s="114"/>
    </row>
    <row r="683" spans="1:30" ht="15.75" customHeight="1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43"/>
      <c r="M683" s="143"/>
      <c r="N683" s="143"/>
      <c r="O683" s="143"/>
      <c r="P683" s="114"/>
      <c r="Q683" s="114"/>
      <c r="R683" s="115"/>
      <c r="S683" s="114"/>
      <c r="T683" s="114"/>
      <c r="U683" s="115"/>
      <c r="V683" s="114"/>
      <c r="W683" s="115"/>
      <c r="X683" s="114"/>
      <c r="Y683" s="115"/>
      <c r="Z683" s="114"/>
      <c r="AA683" s="143"/>
      <c r="AB683" s="114"/>
      <c r="AC683" s="114"/>
      <c r="AD683" s="114"/>
    </row>
    <row r="684" spans="1:30" ht="15.75" customHeight="1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43"/>
      <c r="M684" s="143"/>
      <c r="N684" s="143"/>
      <c r="O684" s="143"/>
      <c r="P684" s="114"/>
      <c r="Q684" s="114"/>
      <c r="R684" s="115"/>
      <c r="S684" s="114"/>
      <c r="T684" s="114"/>
      <c r="U684" s="115"/>
      <c r="V684" s="114"/>
      <c r="W684" s="115"/>
      <c r="X684" s="114"/>
      <c r="Y684" s="115"/>
      <c r="Z684" s="114"/>
      <c r="AA684" s="143"/>
      <c r="AB684" s="114"/>
      <c r="AC684" s="114"/>
      <c r="AD684" s="114"/>
    </row>
    <row r="685" spans="1:30" ht="15.75" customHeight="1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43"/>
      <c r="M685" s="143"/>
      <c r="N685" s="143"/>
      <c r="O685" s="143"/>
      <c r="P685" s="114"/>
      <c r="Q685" s="114"/>
      <c r="R685" s="115"/>
      <c r="S685" s="114"/>
      <c r="T685" s="114"/>
      <c r="U685" s="115"/>
      <c r="V685" s="114"/>
      <c r="W685" s="115"/>
      <c r="X685" s="114"/>
      <c r="Y685" s="115"/>
      <c r="Z685" s="114"/>
      <c r="AA685" s="143"/>
      <c r="AB685" s="114"/>
      <c r="AC685" s="114"/>
      <c r="AD685" s="114"/>
    </row>
    <row r="686" spans="1:30" ht="15.75" customHeight="1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43"/>
      <c r="M686" s="143"/>
      <c r="N686" s="143"/>
      <c r="O686" s="143"/>
      <c r="P686" s="114"/>
      <c r="Q686" s="114"/>
      <c r="R686" s="115"/>
      <c r="S686" s="114"/>
      <c r="T686" s="114"/>
      <c r="U686" s="115"/>
      <c r="V686" s="114"/>
      <c r="W686" s="115"/>
      <c r="X686" s="114"/>
      <c r="Y686" s="115"/>
      <c r="Z686" s="114"/>
      <c r="AA686" s="143"/>
      <c r="AB686" s="114"/>
      <c r="AC686" s="114"/>
      <c r="AD686" s="114"/>
    </row>
    <row r="687" spans="1:30" ht="15.75" customHeight="1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43"/>
      <c r="M687" s="143"/>
      <c r="N687" s="143"/>
      <c r="O687" s="143"/>
      <c r="P687" s="114"/>
      <c r="Q687" s="114"/>
      <c r="R687" s="115"/>
      <c r="S687" s="114"/>
      <c r="T687" s="114"/>
      <c r="U687" s="115"/>
      <c r="V687" s="114"/>
      <c r="W687" s="115"/>
      <c r="X687" s="114"/>
      <c r="Y687" s="115"/>
      <c r="Z687" s="114"/>
      <c r="AA687" s="143"/>
      <c r="AB687" s="114"/>
      <c r="AC687" s="114"/>
      <c r="AD687" s="114"/>
    </row>
    <row r="688" spans="1:30" ht="15.75" customHeight="1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43"/>
      <c r="M688" s="143"/>
      <c r="N688" s="143"/>
      <c r="O688" s="143"/>
      <c r="P688" s="114"/>
      <c r="Q688" s="114"/>
      <c r="R688" s="115"/>
      <c r="S688" s="114"/>
      <c r="T688" s="114"/>
      <c r="U688" s="115"/>
      <c r="V688" s="114"/>
      <c r="W688" s="115"/>
      <c r="X688" s="114"/>
      <c r="Y688" s="115"/>
      <c r="Z688" s="114"/>
      <c r="AA688" s="143"/>
      <c r="AB688" s="114"/>
      <c r="AC688" s="114"/>
      <c r="AD688" s="114"/>
    </row>
    <row r="689" spans="1:30" ht="15.75" customHeight="1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43"/>
      <c r="M689" s="143"/>
      <c r="N689" s="143"/>
      <c r="O689" s="143"/>
      <c r="P689" s="114"/>
      <c r="Q689" s="114"/>
      <c r="R689" s="115"/>
      <c r="S689" s="114"/>
      <c r="T689" s="114"/>
      <c r="U689" s="115"/>
      <c r="V689" s="114"/>
      <c r="W689" s="115"/>
      <c r="X689" s="114"/>
      <c r="Y689" s="115"/>
      <c r="Z689" s="114"/>
      <c r="AA689" s="143"/>
      <c r="AB689" s="114"/>
      <c r="AC689" s="114"/>
      <c r="AD689" s="114"/>
    </row>
    <row r="690" spans="1:30" ht="15.75" customHeight="1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43"/>
      <c r="M690" s="143"/>
      <c r="N690" s="143"/>
      <c r="O690" s="143"/>
      <c r="P690" s="114"/>
      <c r="Q690" s="114"/>
      <c r="R690" s="115"/>
      <c r="S690" s="114"/>
      <c r="T690" s="114"/>
      <c r="U690" s="115"/>
      <c r="V690" s="114"/>
      <c r="W690" s="115"/>
      <c r="X690" s="114"/>
      <c r="Y690" s="115"/>
      <c r="Z690" s="114"/>
      <c r="AA690" s="143"/>
      <c r="AB690" s="114"/>
      <c r="AC690" s="114"/>
      <c r="AD690" s="114"/>
    </row>
    <row r="691" spans="1:30" ht="15.75" customHeight="1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43"/>
      <c r="M691" s="143"/>
      <c r="N691" s="143"/>
      <c r="O691" s="143"/>
      <c r="P691" s="114"/>
      <c r="Q691" s="114"/>
      <c r="R691" s="115"/>
      <c r="S691" s="114"/>
      <c r="T691" s="114"/>
      <c r="U691" s="115"/>
      <c r="V691" s="114"/>
      <c r="W691" s="115"/>
      <c r="X691" s="114"/>
      <c r="Y691" s="115"/>
      <c r="Z691" s="114"/>
      <c r="AA691" s="143"/>
      <c r="AB691" s="114"/>
      <c r="AC691" s="114"/>
      <c r="AD691" s="114"/>
    </row>
    <row r="692" spans="1:30" ht="15.75" customHeight="1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43"/>
      <c r="M692" s="143"/>
      <c r="N692" s="143"/>
      <c r="O692" s="143"/>
      <c r="P692" s="114"/>
      <c r="Q692" s="114"/>
      <c r="R692" s="115"/>
      <c r="S692" s="114"/>
      <c r="T692" s="114"/>
      <c r="U692" s="115"/>
      <c r="V692" s="114"/>
      <c r="W692" s="115"/>
      <c r="X692" s="114"/>
      <c r="Y692" s="115"/>
      <c r="Z692" s="114"/>
      <c r="AA692" s="143"/>
      <c r="AB692" s="114"/>
      <c r="AC692" s="114"/>
      <c r="AD692" s="114"/>
    </row>
    <row r="693" spans="1:30" ht="15.75" customHeight="1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43"/>
      <c r="M693" s="143"/>
      <c r="N693" s="143"/>
      <c r="O693" s="143"/>
      <c r="P693" s="114"/>
      <c r="Q693" s="114"/>
      <c r="R693" s="115"/>
      <c r="S693" s="114"/>
      <c r="T693" s="114"/>
      <c r="U693" s="115"/>
      <c r="V693" s="114"/>
      <c r="W693" s="115"/>
      <c r="X693" s="114"/>
      <c r="Y693" s="115"/>
      <c r="Z693" s="114"/>
      <c r="AA693" s="143"/>
      <c r="AB693" s="114"/>
      <c r="AC693" s="114"/>
      <c r="AD693" s="114"/>
    </row>
    <row r="694" spans="1:30" ht="15.75" customHeight="1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43"/>
      <c r="M694" s="143"/>
      <c r="N694" s="143"/>
      <c r="O694" s="143"/>
      <c r="P694" s="114"/>
      <c r="Q694" s="114"/>
      <c r="R694" s="115"/>
      <c r="S694" s="114"/>
      <c r="T694" s="114"/>
      <c r="U694" s="115"/>
      <c r="V694" s="114"/>
      <c r="W694" s="115"/>
      <c r="X694" s="114"/>
      <c r="Y694" s="115"/>
      <c r="Z694" s="114"/>
      <c r="AA694" s="143"/>
      <c r="AB694" s="114"/>
      <c r="AC694" s="114"/>
      <c r="AD694" s="114"/>
    </row>
    <row r="695" spans="1:30" ht="15.75" customHeight="1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43"/>
      <c r="M695" s="143"/>
      <c r="N695" s="143"/>
      <c r="O695" s="143"/>
      <c r="P695" s="114"/>
      <c r="Q695" s="114"/>
      <c r="R695" s="115"/>
      <c r="S695" s="114"/>
      <c r="T695" s="114"/>
      <c r="U695" s="115"/>
      <c r="V695" s="114"/>
      <c r="W695" s="115"/>
      <c r="X695" s="114"/>
      <c r="Y695" s="115"/>
      <c r="Z695" s="114"/>
      <c r="AA695" s="143"/>
      <c r="AB695" s="114"/>
      <c r="AC695" s="114"/>
      <c r="AD695" s="114"/>
    </row>
    <row r="696" spans="1:30" ht="15.75" customHeight="1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43"/>
      <c r="M696" s="143"/>
      <c r="N696" s="143"/>
      <c r="O696" s="143"/>
      <c r="P696" s="114"/>
      <c r="Q696" s="114"/>
      <c r="R696" s="115"/>
      <c r="S696" s="114"/>
      <c r="T696" s="114"/>
      <c r="U696" s="115"/>
      <c r="V696" s="114"/>
      <c r="W696" s="115"/>
      <c r="X696" s="114"/>
      <c r="Y696" s="115"/>
      <c r="Z696" s="114"/>
      <c r="AA696" s="143"/>
      <c r="AB696" s="114"/>
      <c r="AC696" s="114"/>
      <c r="AD696" s="114"/>
    </row>
    <row r="697" spans="1:30" ht="15.75" customHeight="1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43"/>
      <c r="M697" s="143"/>
      <c r="N697" s="143"/>
      <c r="O697" s="143"/>
      <c r="P697" s="114"/>
      <c r="Q697" s="114"/>
      <c r="R697" s="115"/>
      <c r="S697" s="114"/>
      <c r="T697" s="114"/>
      <c r="U697" s="115"/>
      <c r="V697" s="114"/>
      <c r="W697" s="115"/>
      <c r="X697" s="114"/>
      <c r="Y697" s="115"/>
      <c r="Z697" s="114"/>
      <c r="AA697" s="143"/>
      <c r="AB697" s="114"/>
      <c r="AC697" s="114"/>
      <c r="AD697" s="114"/>
    </row>
    <row r="698" spans="1:30" ht="15.75" customHeight="1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43"/>
      <c r="M698" s="143"/>
      <c r="N698" s="143"/>
      <c r="O698" s="143"/>
      <c r="P698" s="114"/>
      <c r="Q698" s="114"/>
      <c r="R698" s="115"/>
      <c r="S698" s="114"/>
      <c r="T698" s="114"/>
      <c r="U698" s="115"/>
      <c r="V698" s="114"/>
      <c r="W698" s="115"/>
      <c r="X698" s="114"/>
      <c r="Y698" s="115"/>
      <c r="Z698" s="114"/>
      <c r="AA698" s="143"/>
      <c r="AB698" s="114"/>
      <c r="AC698" s="114"/>
      <c r="AD698" s="114"/>
    </row>
    <row r="699" spans="1:30" ht="15.75" customHeight="1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43"/>
      <c r="M699" s="143"/>
      <c r="N699" s="143"/>
      <c r="O699" s="143"/>
      <c r="P699" s="114"/>
      <c r="Q699" s="114"/>
      <c r="R699" s="115"/>
      <c r="S699" s="114"/>
      <c r="T699" s="114"/>
      <c r="U699" s="115"/>
      <c r="V699" s="114"/>
      <c r="W699" s="115"/>
      <c r="X699" s="114"/>
      <c r="Y699" s="115"/>
      <c r="Z699" s="114"/>
      <c r="AA699" s="143"/>
      <c r="AB699" s="114"/>
      <c r="AC699" s="114"/>
      <c r="AD699" s="114"/>
    </row>
    <row r="700" spans="1:30" ht="15.75" customHeight="1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43"/>
      <c r="M700" s="143"/>
      <c r="N700" s="143"/>
      <c r="O700" s="143"/>
      <c r="P700" s="114"/>
      <c r="Q700" s="114"/>
      <c r="R700" s="115"/>
      <c r="S700" s="114"/>
      <c r="T700" s="114"/>
      <c r="U700" s="115"/>
      <c r="V700" s="114"/>
      <c r="W700" s="115"/>
      <c r="X700" s="114"/>
      <c r="Y700" s="115"/>
      <c r="Z700" s="114"/>
      <c r="AA700" s="143"/>
      <c r="AB700" s="114"/>
      <c r="AC700" s="114"/>
      <c r="AD700" s="114"/>
    </row>
    <row r="701" spans="1:30" ht="15.75" customHeight="1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43"/>
      <c r="M701" s="143"/>
      <c r="N701" s="143"/>
      <c r="O701" s="143"/>
      <c r="P701" s="114"/>
      <c r="Q701" s="114"/>
      <c r="R701" s="115"/>
      <c r="S701" s="114"/>
      <c r="T701" s="114"/>
      <c r="U701" s="115"/>
      <c r="V701" s="114"/>
      <c r="W701" s="115"/>
      <c r="X701" s="114"/>
      <c r="Y701" s="115"/>
      <c r="Z701" s="114"/>
      <c r="AA701" s="143"/>
      <c r="AB701" s="114"/>
      <c r="AC701" s="114"/>
      <c r="AD701" s="114"/>
    </row>
    <row r="702" spans="1:30" ht="15.75" customHeight="1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43"/>
      <c r="M702" s="143"/>
      <c r="N702" s="143"/>
      <c r="O702" s="143"/>
      <c r="P702" s="114"/>
      <c r="Q702" s="114"/>
      <c r="R702" s="115"/>
      <c r="S702" s="114"/>
      <c r="T702" s="114"/>
      <c r="U702" s="115"/>
      <c r="V702" s="114"/>
      <c r="W702" s="115"/>
      <c r="X702" s="114"/>
      <c r="Y702" s="115"/>
      <c r="Z702" s="114"/>
      <c r="AA702" s="143"/>
      <c r="AB702" s="114"/>
      <c r="AC702" s="114"/>
      <c r="AD702" s="114"/>
    </row>
    <row r="703" spans="1:30" ht="15.75" customHeight="1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43"/>
      <c r="M703" s="143"/>
      <c r="N703" s="143"/>
      <c r="O703" s="143"/>
      <c r="P703" s="114"/>
      <c r="Q703" s="114"/>
      <c r="R703" s="115"/>
      <c r="S703" s="114"/>
      <c r="T703" s="114"/>
      <c r="U703" s="115"/>
      <c r="V703" s="114"/>
      <c r="W703" s="115"/>
      <c r="X703" s="114"/>
      <c r="Y703" s="115"/>
      <c r="Z703" s="114"/>
      <c r="AA703" s="143"/>
      <c r="AB703" s="114"/>
      <c r="AC703" s="114"/>
      <c r="AD703" s="114"/>
    </row>
    <row r="704" spans="1:30" ht="15.75" customHeight="1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43"/>
      <c r="M704" s="143"/>
      <c r="N704" s="143"/>
      <c r="O704" s="143"/>
      <c r="P704" s="114"/>
      <c r="Q704" s="114"/>
      <c r="R704" s="115"/>
      <c r="S704" s="114"/>
      <c r="T704" s="114"/>
      <c r="U704" s="115"/>
      <c r="V704" s="114"/>
      <c r="W704" s="115"/>
      <c r="X704" s="114"/>
      <c r="Y704" s="115"/>
      <c r="Z704" s="114"/>
      <c r="AA704" s="143"/>
      <c r="AB704" s="114"/>
      <c r="AC704" s="114"/>
      <c r="AD704" s="114"/>
    </row>
    <row r="705" spans="1:30" ht="15.75" customHeight="1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43"/>
      <c r="M705" s="143"/>
      <c r="N705" s="143"/>
      <c r="O705" s="143"/>
      <c r="P705" s="114"/>
      <c r="Q705" s="114"/>
      <c r="R705" s="115"/>
      <c r="S705" s="114"/>
      <c r="T705" s="114"/>
      <c r="U705" s="115"/>
      <c r="V705" s="114"/>
      <c r="W705" s="115"/>
      <c r="X705" s="114"/>
      <c r="Y705" s="115"/>
      <c r="Z705" s="114"/>
      <c r="AA705" s="143"/>
      <c r="AB705" s="114"/>
      <c r="AC705" s="114"/>
      <c r="AD705" s="114"/>
    </row>
    <row r="706" spans="1:30" ht="15.75" customHeight="1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43"/>
      <c r="M706" s="143"/>
      <c r="N706" s="143"/>
      <c r="O706" s="143"/>
      <c r="P706" s="114"/>
      <c r="Q706" s="114"/>
      <c r="R706" s="115"/>
      <c r="S706" s="114"/>
      <c r="T706" s="114"/>
      <c r="U706" s="115"/>
      <c r="V706" s="114"/>
      <c r="W706" s="115"/>
      <c r="X706" s="114"/>
      <c r="Y706" s="115"/>
      <c r="Z706" s="114"/>
      <c r="AA706" s="143"/>
      <c r="AB706" s="114"/>
      <c r="AC706" s="114"/>
      <c r="AD706" s="114"/>
    </row>
    <row r="707" spans="1:30" ht="15.75" customHeight="1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43"/>
      <c r="M707" s="143"/>
      <c r="N707" s="143"/>
      <c r="O707" s="143"/>
      <c r="P707" s="114"/>
      <c r="Q707" s="114"/>
      <c r="R707" s="115"/>
      <c r="S707" s="114"/>
      <c r="T707" s="114"/>
      <c r="U707" s="115"/>
      <c r="V707" s="114"/>
      <c r="W707" s="115"/>
      <c r="X707" s="114"/>
      <c r="Y707" s="115"/>
      <c r="Z707" s="114"/>
      <c r="AA707" s="143"/>
      <c r="AB707" s="114"/>
      <c r="AC707" s="114"/>
      <c r="AD707" s="114"/>
    </row>
    <row r="708" spans="1:30" ht="15.75" customHeight="1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43"/>
      <c r="M708" s="143"/>
      <c r="N708" s="143"/>
      <c r="O708" s="143"/>
      <c r="P708" s="114"/>
      <c r="Q708" s="114"/>
      <c r="R708" s="115"/>
      <c r="S708" s="114"/>
      <c r="T708" s="114"/>
      <c r="U708" s="115"/>
      <c r="V708" s="114"/>
      <c r="W708" s="115"/>
      <c r="X708" s="114"/>
      <c r="Y708" s="115"/>
      <c r="Z708" s="114"/>
      <c r="AA708" s="143"/>
      <c r="AB708" s="114"/>
      <c r="AC708" s="114"/>
      <c r="AD708" s="114"/>
    </row>
    <row r="709" spans="1:30" ht="15.75" customHeight="1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43"/>
      <c r="M709" s="143"/>
      <c r="N709" s="143"/>
      <c r="O709" s="143"/>
      <c r="P709" s="114"/>
      <c r="Q709" s="114"/>
      <c r="R709" s="115"/>
      <c r="S709" s="114"/>
      <c r="T709" s="114"/>
      <c r="U709" s="115"/>
      <c r="V709" s="114"/>
      <c r="W709" s="115"/>
      <c r="X709" s="114"/>
      <c r="Y709" s="115"/>
      <c r="Z709" s="114"/>
      <c r="AA709" s="143"/>
      <c r="AB709" s="114"/>
      <c r="AC709" s="114"/>
      <c r="AD709" s="114"/>
    </row>
    <row r="710" spans="1:30" ht="15.75" customHeight="1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43"/>
      <c r="M710" s="143"/>
      <c r="N710" s="143"/>
      <c r="O710" s="143"/>
      <c r="P710" s="114"/>
      <c r="Q710" s="114"/>
      <c r="R710" s="115"/>
      <c r="S710" s="114"/>
      <c r="T710" s="114"/>
      <c r="U710" s="115"/>
      <c r="V710" s="114"/>
      <c r="W710" s="115"/>
      <c r="X710" s="114"/>
      <c r="Y710" s="115"/>
      <c r="Z710" s="114"/>
      <c r="AA710" s="143"/>
      <c r="AB710" s="114"/>
      <c r="AC710" s="114"/>
      <c r="AD710" s="114"/>
    </row>
    <row r="711" spans="1:30" ht="15.75" customHeight="1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43"/>
      <c r="M711" s="143"/>
      <c r="N711" s="143"/>
      <c r="O711" s="143"/>
      <c r="P711" s="114"/>
      <c r="Q711" s="114"/>
      <c r="R711" s="115"/>
      <c r="S711" s="114"/>
      <c r="T711" s="114"/>
      <c r="U711" s="115"/>
      <c r="V711" s="114"/>
      <c r="W711" s="115"/>
      <c r="X711" s="114"/>
      <c r="Y711" s="115"/>
      <c r="Z711" s="114"/>
      <c r="AA711" s="143"/>
      <c r="AB711" s="114"/>
      <c r="AC711" s="114"/>
      <c r="AD711" s="114"/>
    </row>
    <row r="712" spans="1:30" ht="15.75" customHeight="1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43"/>
      <c r="M712" s="143"/>
      <c r="N712" s="143"/>
      <c r="O712" s="143"/>
      <c r="P712" s="114"/>
      <c r="Q712" s="114"/>
      <c r="R712" s="115"/>
      <c r="S712" s="114"/>
      <c r="T712" s="114"/>
      <c r="U712" s="115"/>
      <c r="V712" s="114"/>
      <c r="W712" s="115"/>
      <c r="X712" s="114"/>
      <c r="Y712" s="115"/>
      <c r="Z712" s="114"/>
      <c r="AA712" s="143"/>
      <c r="AB712" s="114"/>
      <c r="AC712" s="114"/>
      <c r="AD712" s="114"/>
    </row>
    <row r="713" spans="1:30" ht="15.75" customHeight="1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43"/>
      <c r="M713" s="143"/>
      <c r="N713" s="143"/>
      <c r="O713" s="143"/>
      <c r="P713" s="114"/>
      <c r="Q713" s="114"/>
      <c r="R713" s="115"/>
      <c r="S713" s="114"/>
      <c r="T713" s="114"/>
      <c r="U713" s="115"/>
      <c r="V713" s="114"/>
      <c r="W713" s="115"/>
      <c r="X713" s="114"/>
      <c r="Y713" s="115"/>
      <c r="Z713" s="114"/>
      <c r="AA713" s="143"/>
      <c r="AB713" s="114"/>
      <c r="AC713" s="114"/>
      <c r="AD713" s="114"/>
    </row>
    <row r="714" spans="1:30" ht="15.75" customHeight="1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43"/>
      <c r="M714" s="143"/>
      <c r="N714" s="143"/>
      <c r="O714" s="143"/>
      <c r="P714" s="114"/>
      <c r="Q714" s="114"/>
      <c r="R714" s="115"/>
      <c r="S714" s="114"/>
      <c r="T714" s="114"/>
      <c r="U714" s="115"/>
      <c r="V714" s="114"/>
      <c r="W714" s="115"/>
      <c r="X714" s="114"/>
      <c r="Y714" s="115"/>
      <c r="Z714" s="114"/>
      <c r="AA714" s="143"/>
      <c r="AB714" s="114"/>
      <c r="AC714" s="114"/>
      <c r="AD714" s="114"/>
    </row>
    <row r="715" spans="1:30" ht="15.75" customHeight="1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43"/>
      <c r="M715" s="143"/>
      <c r="N715" s="143"/>
      <c r="O715" s="143"/>
      <c r="P715" s="114"/>
      <c r="Q715" s="114"/>
      <c r="R715" s="115"/>
      <c r="S715" s="114"/>
      <c r="T715" s="114"/>
      <c r="U715" s="115"/>
      <c r="V715" s="114"/>
      <c r="W715" s="115"/>
      <c r="X715" s="114"/>
      <c r="Y715" s="115"/>
      <c r="Z715" s="114"/>
      <c r="AA715" s="143"/>
      <c r="AB715" s="114"/>
      <c r="AC715" s="114"/>
      <c r="AD715" s="114"/>
    </row>
    <row r="716" spans="1:30" ht="15.75" customHeight="1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43"/>
      <c r="M716" s="143"/>
      <c r="N716" s="143"/>
      <c r="O716" s="143"/>
      <c r="P716" s="114"/>
      <c r="Q716" s="114"/>
      <c r="R716" s="115"/>
      <c r="S716" s="114"/>
      <c r="T716" s="114"/>
      <c r="U716" s="115"/>
      <c r="V716" s="114"/>
      <c r="W716" s="115"/>
      <c r="X716" s="114"/>
      <c r="Y716" s="115"/>
      <c r="Z716" s="114"/>
      <c r="AA716" s="143"/>
      <c r="AB716" s="114"/>
      <c r="AC716" s="114"/>
      <c r="AD716" s="114"/>
    </row>
    <row r="717" spans="1:30" ht="15.75" customHeight="1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43"/>
      <c r="M717" s="143"/>
      <c r="N717" s="143"/>
      <c r="O717" s="143"/>
      <c r="P717" s="114"/>
      <c r="Q717" s="114"/>
      <c r="R717" s="115"/>
      <c r="S717" s="114"/>
      <c r="T717" s="114"/>
      <c r="U717" s="115"/>
      <c r="V717" s="114"/>
      <c r="W717" s="115"/>
      <c r="X717" s="114"/>
      <c r="Y717" s="115"/>
      <c r="Z717" s="114"/>
      <c r="AA717" s="143"/>
      <c r="AB717" s="114"/>
      <c r="AC717" s="114"/>
      <c r="AD717" s="114"/>
    </row>
    <row r="718" spans="1:30" ht="15.75" customHeight="1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43"/>
      <c r="M718" s="143"/>
      <c r="N718" s="143"/>
      <c r="O718" s="143"/>
      <c r="P718" s="114"/>
      <c r="Q718" s="114"/>
      <c r="R718" s="115"/>
      <c r="S718" s="114"/>
      <c r="T718" s="114"/>
      <c r="U718" s="115"/>
      <c r="V718" s="114"/>
      <c r="W718" s="115"/>
      <c r="X718" s="114"/>
      <c r="Y718" s="115"/>
      <c r="Z718" s="114"/>
      <c r="AA718" s="143"/>
      <c r="AB718" s="114"/>
      <c r="AC718" s="114"/>
      <c r="AD718" s="114"/>
    </row>
    <row r="719" spans="1:30" ht="15.75" customHeight="1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43"/>
      <c r="M719" s="143"/>
      <c r="N719" s="143"/>
      <c r="O719" s="143"/>
      <c r="P719" s="114"/>
      <c r="Q719" s="114"/>
      <c r="R719" s="115"/>
      <c r="S719" s="114"/>
      <c r="T719" s="114"/>
      <c r="U719" s="115"/>
      <c r="V719" s="114"/>
      <c r="W719" s="115"/>
      <c r="X719" s="114"/>
      <c r="Y719" s="115"/>
      <c r="Z719" s="114"/>
      <c r="AA719" s="143"/>
      <c r="AB719" s="114"/>
      <c r="AC719" s="114"/>
      <c r="AD719" s="114"/>
    </row>
    <row r="720" spans="1:30" ht="15.75" customHeight="1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43"/>
      <c r="M720" s="143"/>
      <c r="N720" s="143"/>
      <c r="O720" s="143"/>
      <c r="P720" s="114"/>
      <c r="Q720" s="114"/>
      <c r="R720" s="115"/>
      <c r="S720" s="114"/>
      <c r="T720" s="114"/>
      <c r="U720" s="115"/>
      <c r="V720" s="114"/>
      <c r="W720" s="115"/>
      <c r="X720" s="114"/>
      <c r="Y720" s="115"/>
      <c r="Z720" s="114"/>
      <c r="AA720" s="143"/>
      <c r="AB720" s="114"/>
      <c r="AC720" s="114"/>
      <c r="AD720" s="114"/>
    </row>
    <row r="721" spans="1:30" ht="15.75" customHeight="1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43"/>
      <c r="M721" s="143"/>
      <c r="N721" s="143"/>
      <c r="O721" s="143"/>
      <c r="P721" s="114"/>
      <c r="Q721" s="114"/>
      <c r="R721" s="115"/>
      <c r="S721" s="114"/>
      <c r="T721" s="114"/>
      <c r="U721" s="115"/>
      <c r="V721" s="114"/>
      <c r="W721" s="115"/>
      <c r="X721" s="114"/>
      <c r="Y721" s="115"/>
      <c r="Z721" s="114"/>
      <c r="AA721" s="143"/>
      <c r="AB721" s="114"/>
      <c r="AC721" s="114"/>
      <c r="AD721" s="114"/>
    </row>
    <row r="722" spans="1:30" ht="15.75" customHeight="1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43"/>
      <c r="M722" s="143"/>
      <c r="N722" s="143"/>
      <c r="O722" s="143"/>
      <c r="P722" s="114"/>
      <c r="Q722" s="114"/>
      <c r="R722" s="115"/>
      <c r="S722" s="114"/>
      <c r="T722" s="114"/>
      <c r="U722" s="115"/>
      <c r="V722" s="114"/>
      <c r="W722" s="115"/>
      <c r="X722" s="114"/>
      <c r="Y722" s="115"/>
      <c r="Z722" s="114"/>
      <c r="AA722" s="143"/>
      <c r="AB722" s="114"/>
      <c r="AC722" s="114"/>
      <c r="AD722" s="114"/>
    </row>
    <row r="723" spans="1:30" ht="15.75" customHeight="1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43"/>
      <c r="M723" s="143"/>
      <c r="N723" s="143"/>
      <c r="O723" s="143"/>
      <c r="P723" s="114"/>
      <c r="Q723" s="114"/>
      <c r="R723" s="115"/>
      <c r="S723" s="114"/>
      <c r="T723" s="114"/>
      <c r="U723" s="115"/>
      <c r="V723" s="114"/>
      <c r="W723" s="115"/>
      <c r="X723" s="114"/>
      <c r="Y723" s="115"/>
      <c r="Z723" s="114"/>
      <c r="AA723" s="143"/>
      <c r="AB723" s="114"/>
      <c r="AC723" s="114"/>
      <c r="AD723" s="114"/>
    </row>
    <row r="724" spans="1:30" ht="15.75" customHeight="1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43"/>
      <c r="M724" s="143"/>
      <c r="N724" s="143"/>
      <c r="O724" s="143"/>
      <c r="P724" s="114"/>
      <c r="Q724" s="114"/>
      <c r="R724" s="115"/>
      <c r="S724" s="114"/>
      <c r="T724" s="114"/>
      <c r="U724" s="115"/>
      <c r="V724" s="114"/>
      <c r="W724" s="115"/>
      <c r="X724" s="114"/>
      <c r="Y724" s="115"/>
      <c r="Z724" s="114"/>
      <c r="AA724" s="143"/>
      <c r="AB724" s="114"/>
      <c r="AC724" s="114"/>
      <c r="AD724" s="114"/>
    </row>
    <row r="725" spans="1:30" ht="15.75" customHeight="1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43"/>
      <c r="M725" s="143"/>
      <c r="N725" s="143"/>
      <c r="O725" s="143"/>
      <c r="P725" s="114"/>
      <c r="Q725" s="114"/>
      <c r="R725" s="115"/>
      <c r="S725" s="114"/>
      <c r="T725" s="114"/>
      <c r="U725" s="115"/>
      <c r="V725" s="114"/>
      <c r="W725" s="115"/>
      <c r="X725" s="114"/>
      <c r="Y725" s="115"/>
      <c r="Z725" s="114"/>
      <c r="AA725" s="143"/>
      <c r="AB725" s="114"/>
      <c r="AC725" s="114"/>
      <c r="AD725" s="114"/>
    </row>
    <row r="726" spans="1:30" ht="15.75" customHeight="1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43"/>
      <c r="M726" s="143"/>
      <c r="N726" s="143"/>
      <c r="O726" s="143"/>
      <c r="P726" s="114"/>
      <c r="Q726" s="114"/>
      <c r="R726" s="115"/>
      <c r="S726" s="114"/>
      <c r="T726" s="114"/>
      <c r="U726" s="115"/>
      <c r="V726" s="114"/>
      <c r="W726" s="115"/>
      <c r="X726" s="114"/>
      <c r="Y726" s="115"/>
      <c r="Z726" s="114"/>
      <c r="AA726" s="143"/>
      <c r="AB726" s="114"/>
      <c r="AC726" s="114"/>
      <c r="AD726" s="114"/>
    </row>
    <row r="727" spans="1:30" ht="15.75" customHeight="1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43"/>
      <c r="M727" s="143"/>
      <c r="N727" s="143"/>
      <c r="O727" s="143"/>
      <c r="P727" s="114"/>
      <c r="Q727" s="114"/>
      <c r="R727" s="115"/>
      <c r="S727" s="114"/>
      <c r="T727" s="114"/>
      <c r="U727" s="115"/>
      <c r="V727" s="114"/>
      <c r="W727" s="115"/>
      <c r="X727" s="114"/>
      <c r="Y727" s="115"/>
      <c r="Z727" s="114"/>
      <c r="AA727" s="143"/>
      <c r="AB727" s="114"/>
      <c r="AC727" s="114"/>
      <c r="AD727" s="114"/>
    </row>
    <row r="728" spans="1:30" ht="15.75" customHeight="1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43"/>
      <c r="M728" s="143"/>
      <c r="N728" s="143"/>
      <c r="O728" s="143"/>
      <c r="P728" s="114"/>
      <c r="Q728" s="114"/>
      <c r="R728" s="115"/>
      <c r="S728" s="114"/>
      <c r="T728" s="114"/>
      <c r="U728" s="115"/>
      <c r="V728" s="114"/>
      <c r="W728" s="115"/>
      <c r="X728" s="114"/>
      <c r="Y728" s="115"/>
      <c r="Z728" s="114"/>
      <c r="AA728" s="143"/>
      <c r="AB728" s="114"/>
      <c r="AC728" s="114"/>
      <c r="AD728" s="114"/>
    </row>
    <row r="729" spans="1:30" ht="15.75" customHeight="1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43"/>
      <c r="M729" s="143"/>
      <c r="N729" s="143"/>
      <c r="O729" s="143"/>
      <c r="P729" s="114"/>
      <c r="Q729" s="114"/>
      <c r="R729" s="115"/>
      <c r="S729" s="114"/>
      <c r="T729" s="114"/>
      <c r="U729" s="115"/>
      <c r="V729" s="114"/>
      <c r="W729" s="115"/>
      <c r="X729" s="114"/>
      <c r="Y729" s="115"/>
      <c r="Z729" s="114"/>
      <c r="AA729" s="143"/>
      <c r="AB729" s="114"/>
      <c r="AC729" s="114"/>
      <c r="AD729" s="114"/>
    </row>
    <row r="730" spans="1:30" ht="15.75" customHeight="1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43"/>
      <c r="M730" s="143"/>
      <c r="N730" s="143"/>
      <c r="O730" s="143"/>
      <c r="P730" s="114"/>
      <c r="Q730" s="114"/>
      <c r="R730" s="115"/>
      <c r="S730" s="114"/>
      <c r="T730" s="114"/>
      <c r="U730" s="115"/>
      <c r="V730" s="114"/>
      <c r="W730" s="115"/>
      <c r="X730" s="114"/>
      <c r="Y730" s="115"/>
      <c r="Z730" s="114"/>
      <c r="AA730" s="143"/>
      <c r="AB730" s="114"/>
      <c r="AC730" s="114"/>
      <c r="AD730" s="114"/>
    </row>
    <row r="731" spans="1:30" ht="15.75" customHeight="1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43"/>
      <c r="M731" s="143"/>
      <c r="N731" s="143"/>
      <c r="O731" s="143"/>
      <c r="P731" s="114"/>
      <c r="Q731" s="114"/>
      <c r="R731" s="115"/>
      <c r="S731" s="114"/>
      <c r="T731" s="114"/>
      <c r="U731" s="115"/>
      <c r="V731" s="114"/>
      <c r="W731" s="115"/>
      <c r="X731" s="114"/>
      <c r="Y731" s="115"/>
      <c r="Z731" s="114"/>
      <c r="AA731" s="143"/>
      <c r="AB731" s="114"/>
      <c r="AC731" s="114"/>
      <c r="AD731" s="114"/>
    </row>
    <row r="732" spans="1:30" ht="15.75" customHeight="1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43"/>
      <c r="M732" s="143"/>
      <c r="N732" s="143"/>
      <c r="O732" s="143"/>
      <c r="P732" s="114"/>
      <c r="Q732" s="114"/>
      <c r="R732" s="115"/>
      <c r="S732" s="114"/>
      <c r="T732" s="114"/>
      <c r="U732" s="115"/>
      <c r="V732" s="114"/>
      <c r="W732" s="115"/>
      <c r="X732" s="114"/>
      <c r="Y732" s="115"/>
      <c r="Z732" s="114"/>
      <c r="AA732" s="143"/>
      <c r="AB732" s="114"/>
      <c r="AC732" s="114"/>
      <c r="AD732" s="114"/>
    </row>
    <row r="733" spans="1:30" ht="15.75" customHeight="1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43"/>
      <c r="M733" s="143"/>
      <c r="N733" s="143"/>
      <c r="O733" s="143"/>
      <c r="P733" s="114"/>
      <c r="Q733" s="114"/>
      <c r="R733" s="115"/>
      <c r="S733" s="114"/>
      <c r="T733" s="114"/>
      <c r="U733" s="115"/>
      <c r="V733" s="114"/>
      <c r="W733" s="115"/>
      <c r="X733" s="114"/>
      <c r="Y733" s="115"/>
      <c r="Z733" s="114"/>
      <c r="AA733" s="143"/>
      <c r="AB733" s="114"/>
      <c r="AC733" s="114"/>
      <c r="AD733" s="114"/>
    </row>
    <row r="734" spans="1:30" ht="15.75" customHeight="1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43"/>
      <c r="M734" s="143"/>
      <c r="N734" s="143"/>
      <c r="O734" s="143"/>
      <c r="P734" s="114"/>
      <c r="Q734" s="114"/>
      <c r="R734" s="115"/>
      <c r="S734" s="114"/>
      <c r="T734" s="114"/>
      <c r="U734" s="115"/>
      <c r="V734" s="114"/>
      <c r="W734" s="115"/>
      <c r="X734" s="114"/>
      <c r="Y734" s="115"/>
      <c r="Z734" s="114"/>
      <c r="AA734" s="143"/>
      <c r="AB734" s="114"/>
      <c r="AC734" s="114"/>
      <c r="AD734" s="114"/>
    </row>
    <row r="735" spans="1:30" ht="15.75" customHeight="1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43"/>
      <c r="M735" s="143"/>
      <c r="N735" s="143"/>
      <c r="O735" s="143"/>
      <c r="P735" s="114"/>
      <c r="Q735" s="114"/>
      <c r="R735" s="115"/>
      <c r="S735" s="114"/>
      <c r="T735" s="114"/>
      <c r="U735" s="115"/>
      <c r="V735" s="114"/>
      <c r="W735" s="115"/>
      <c r="X735" s="114"/>
      <c r="Y735" s="115"/>
      <c r="Z735" s="114"/>
      <c r="AA735" s="143"/>
      <c r="AB735" s="114"/>
      <c r="AC735" s="114"/>
      <c r="AD735" s="114"/>
    </row>
    <row r="736" spans="1:30" ht="15.75" customHeight="1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43"/>
      <c r="M736" s="143"/>
      <c r="N736" s="143"/>
      <c r="O736" s="143"/>
      <c r="P736" s="114"/>
      <c r="Q736" s="114"/>
      <c r="R736" s="115"/>
      <c r="S736" s="114"/>
      <c r="T736" s="114"/>
      <c r="U736" s="115"/>
      <c r="V736" s="114"/>
      <c r="W736" s="115"/>
      <c r="X736" s="114"/>
      <c r="Y736" s="115"/>
      <c r="Z736" s="114"/>
      <c r="AA736" s="143"/>
      <c r="AB736" s="114"/>
      <c r="AC736" s="114"/>
      <c r="AD736" s="114"/>
    </row>
    <row r="737" spans="1:30" ht="15.75" customHeight="1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43"/>
      <c r="M737" s="143"/>
      <c r="N737" s="143"/>
      <c r="O737" s="143"/>
      <c r="P737" s="114"/>
      <c r="Q737" s="114"/>
      <c r="R737" s="115"/>
      <c r="S737" s="114"/>
      <c r="T737" s="114"/>
      <c r="U737" s="115"/>
      <c r="V737" s="114"/>
      <c r="W737" s="115"/>
      <c r="X737" s="114"/>
      <c r="Y737" s="115"/>
      <c r="Z737" s="114"/>
      <c r="AA737" s="143"/>
      <c r="AB737" s="114"/>
      <c r="AC737" s="114"/>
      <c r="AD737" s="114"/>
    </row>
    <row r="738" spans="1:30" ht="15.75" customHeight="1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43"/>
      <c r="M738" s="143"/>
      <c r="N738" s="143"/>
      <c r="O738" s="143"/>
      <c r="P738" s="114"/>
      <c r="Q738" s="114"/>
      <c r="R738" s="115"/>
      <c r="S738" s="114"/>
      <c r="T738" s="114"/>
      <c r="U738" s="115"/>
      <c r="V738" s="114"/>
      <c r="W738" s="115"/>
      <c r="X738" s="114"/>
      <c r="Y738" s="115"/>
      <c r="Z738" s="114"/>
      <c r="AA738" s="143"/>
      <c r="AB738" s="114"/>
      <c r="AC738" s="114"/>
      <c r="AD738" s="114"/>
    </row>
    <row r="739" spans="1:30" ht="15.75" customHeight="1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43"/>
      <c r="M739" s="143"/>
      <c r="N739" s="143"/>
      <c r="O739" s="143"/>
      <c r="P739" s="114"/>
      <c r="Q739" s="114"/>
      <c r="R739" s="115"/>
      <c r="S739" s="114"/>
      <c r="T739" s="114"/>
      <c r="U739" s="115"/>
      <c r="V739" s="114"/>
      <c r="W739" s="115"/>
      <c r="X739" s="114"/>
      <c r="Y739" s="115"/>
      <c r="Z739" s="114"/>
      <c r="AA739" s="143"/>
      <c r="AB739" s="114"/>
      <c r="AC739" s="114"/>
      <c r="AD739" s="114"/>
    </row>
    <row r="740" spans="1:30" ht="15.75" customHeight="1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43"/>
      <c r="M740" s="143"/>
      <c r="N740" s="143"/>
      <c r="O740" s="143"/>
      <c r="P740" s="114"/>
      <c r="Q740" s="114"/>
      <c r="R740" s="115"/>
      <c r="S740" s="114"/>
      <c r="T740" s="114"/>
      <c r="U740" s="115"/>
      <c r="V740" s="114"/>
      <c r="W740" s="115"/>
      <c r="X740" s="114"/>
      <c r="Y740" s="115"/>
      <c r="Z740" s="114"/>
      <c r="AA740" s="143"/>
      <c r="AB740" s="114"/>
      <c r="AC740" s="114"/>
      <c r="AD740" s="114"/>
    </row>
    <row r="741" spans="1:30" ht="15.75" customHeight="1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43"/>
      <c r="M741" s="143"/>
      <c r="N741" s="143"/>
      <c r="O741" s="143"/>
      <c r="P741" s="114"/>
      <c r="Q741" s="114"/>
      <c r="R741" s="115"/>
      <c r="S741" s="114"/>
      <c r="T741" s="114"/>
      <c r="U741" s="115"/>
      <c r="V741" s="114"/>
      <c r="W741" s="115"/>
      <c r="X741" s="114"/>
      <c r="Y741" s="115"/>
      <c r="Z741" s="114"/>
      <c r="AA741" s="143"/>
      <c r="AB741" s="114"/>
      <c r="AC741" s="114"/>
      <c r="AD741" s="114"/>
    </row>
    <row r="742" spans="1:30" ht="15.75" customHeight="1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43"/>
      <c r="M742" s="143"/>
      <c r="N742" s="143"/>
      <c r="O742" s="143"/>
      <c r="P742" s="114"/>
      <c r="Q742" s="114"/>
      <c r="R742" s="115"/>
      <c r="S742" s="114"/>
      <c r="T742" s="114"/>
      <c r="U742" s="115"/>
      <c r="V742" s="114"/>
      <c r="W742" s="115"/>
      <c r="X742" s="114"/>
      <c r="Y742" s="115"/>
      <c r="Z742" s="114"/>
      <c r="AA742" s="143"/>
      <c r="AB742" s="114"/>
      <c r="AC742" s="114"/>
      <c r="AD742" s="114"/>
    </row>
    <row r="743" spans="1:30" ht="15.75" customHeight="1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43"/>
      <c r="M743" s="143"/>
      <c r="N743" s="143"/>
      <c r="O743" s="143"/>
      <c r="P743" s="114"/>
      <c r="Q743" s="114"/>
      <c r="R743" s="115"/>
      <c r="S743" s="114"/>
      <c r="T743" s="114"/>
      <c r="U743" s="115"/>
      <c r="V743" s="114"/>
      <c r="W743" s="115"/>
      <c r="X743" s="114"/>
      <c r="Y743" s="115"/>
      <c r="Z743" s="114"/>
      <c r="AA743" s="143"/>
      <c r="AB743" s="114"/>
      <c r="AC743" s="114"/>
      <c r="AD743" s="114"/>
    </row>
    <row r="744" spans="1:30" ht="15.75" customHeight="1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43"/>
      <c r="M744" s="143"/>
      <c r="N744" s="143"/>
      <c r="O744" s="143"/>
      <c r="P744" s="114"/>
      <c r="Q744" s="114"/>
      <c r="R744" s="115"/>
      <c r="S744" s="114"/>
      <c r="T744" s="114"/>
      <c r="U744" s="115"/>
      <c r="V744" s="114"/>
      <c r="W744" s="115"/>
      <c r="X744" s="114"/>
      <c r="Y744" s="115"/>
      <c r="Z744" s="114"/>
      <c r="AA744" s="143"/>
      <c r="AB744" s="114"/>
      <c r="AC744" s="114"/>
      <c r="AD744" s="114"/>
    </row>
    <row r="745" spans="1:30" ht="15.75" customHeight="1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43"/>
      <c r="M745" s="143"/>
      <c r="N745" s="143"/>
      <c r="O745" s="143"/>
      <c r="P745" s="114"/>
      <c r="Q745" s="114"/>
      <c r="R745" s="115"/>
      <c r="S745" s="114"/>
      <c r="T745" s="114"/>
      <c r="U745" s="115"/>
      <c r="V745" s="114"/>
      <c r="W745" s="115"/>
      <c r="X745" s="114"/>
      <c r="Y745" s="115"/>
      <c r="Z745" s="114"/>
      <c r="AA745" s="143"/>
      <c r="AB745" s="114"/>
      <c r="AC745" s="114"/>
      <c r="AD745" s="114"/>
    </row>
    <row r="746" spans="1:30" ht="15.75" customHeight="1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43"/>
      <c r="M746" s="143"/>
      <c r="N746" s="143"/>
      <c r="O746" s="143"/>
      <c r="P746" s="114"/>
      <c r="Q746" s="114"/>
      <c r="R746" s="115"/>
      <c r="S746" s="114"/>
      <c r="T746" s="114"/>
      <c r="U746" s="115"/>
      <c r="V746" s="114"/>
      <c r="W746" s="115"/>
      <c r="X746" s="114"/>
      <c r="Y746" s="115"/>
      <c r="Z746" s="114"/>
      <c r="AA746" s="143"/>
      <c r="AB746" s="114"/>
      <c r="AC746" s="114"/>
      <c r="AD746" s="114"/>
    </row>
    <row r="747" spans="1:30" ht="15.75" customHeight="1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43"/>
      <c r="M747" s="143"/>
      <c r="N747" s="143"/>
      <c r="O747" s="143"/>
      <c r="P747" s="114"/>
      <c r="Q747" s="114"/>
      <c r="R747" s="115"/>
      <c r="S747" s="114"/>
      <c r="T747" s="114"/>
      <c r="U747" s="115"/>
      <c r="V747" s="114"/>
      <c r="W747" s="115"/>
      <c r="X747" s="114"/>
      <c r="Y747" s="115"/>
      <c r="Z747" s="114"/>
      <c r="AA747" s="143"/>
      <c r="AB747" s="114"/>
      <c r="AC747" s="114"/>
      <c r="AD747" s="114"/>
    </row>
    <row r="748" spans="1:30" ht="15.75" customHeight="1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43"/>
      <c r="M748" s="143"/>
      <c r="N748" s="143"/>
      <c r="O748" s="143"/>
      <c r="P748" s="114"/>
      <c r="Q748" s="114"/>
      <c r="R748" s="115"/>
      <c r="S748" s="114"/>
      <c r="T748" s="114"/>
      <c r="U748" s="115"/>
      <c r="V748" s="114"/>
      <c r="W748" s="115"/>
      <c r="X748" s="114"/>
      <c r="Y748" s="115"/>
      <c r="Z748" s="114"/>
      <c r="AA748" s="143"/>
      <c r="AB748" s="114"/>
      <c r="AC748" s="114"/>
      <c r="AD748" s="114"/>
    </row>
    <row r="749" spans="1:30" ht="15.75" customHeight="1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43"/>
      <c r="M749" s="143"/>
      <c r="N749" s="143"/>
      <c r="O749" s="143"/>
      <c r="P749" s="114"/>
      <c r="Q749" s="114"/>
      <c r="R749" s="115"/>
      <c r="S749" s="114"/>
      <c r="T749" s="114"/>
      <c r="U749" s="115"/>
      <c r="V749" s="114"/>
      <c r="W749" s="115"/>
      <c r="X749" s="114"/>
      <c r="Y749" s="115"/>
      <c r="Z749" s="114"/>
      <c r="AA749" s="143"/>
      <c r="AB749" s="114"/>
      <c r="AC749" s="114"/>
      <c r="AD749" s="114"/>
    </row>
    <row r="750" spans="1:30" ht="15.75" customHeight="1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43"/>
      <c r="M750" s="143"/>
      <c r="N750" s="143"/>
      <c r="O750" s="143"/>
      <c r="P750" s="114"/>
      <c r="Q750" s="114"/>
      <c r="R750" s="115"/>
      <c r="S750" s="114"/>
      <c r="T750" s="114"/>
      <c r="U750" s="115"/>
      <c r="V750" s="114"/>
      <c r="W750" s="115"/>
      <c r="X750" s="114"/>
      <c r="Y750" s="115"/>
      <c r="Z750" s="114"/>
      <c r="AA750" s="143"/>
      <c r="AB750" s="114"/>
      <c r="AC750" s="114"/>
      <c r="AD750" s="114"/>
    </row>
    <row r="751" spans="1:30" ht="15.75" customHeight="1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43"/>
      <c r="M751" s="143"/>
      <c r="N751" s="143"/>
      <c r="O751" s="143"/>
      <c r="P751" s="114"/>
      <c r="Q751" s="114"/>
      <c r="R751" s="115"/>
      <c r="S751" s="114"/>
      <c r="T751" s="114"/>
      <c r="U751" s="115"/>
      <c r="V751" s="114"/>
      <c r="W751" s="115"/>
      <c r="X751" s="114"/>
      <c r="Y751" s="115"/>
      <c r="Z751" s="114"/>
      <c r="AA751" s="143"/>
      <c r="AB751" s="114"/>
      <c r="AC751" s="114"/>
      <c r="AD751" s="114"/>
    </row>
    <row r="752" spans="1:30" ht="15.75" customHeight="1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43"/>
      <c r="M752" s="143"/>
      <c r="N752" s="143"/>
      <c r="O752" s="143"/>
      <c r="P752" s="114"/>
      <c r="Q752" s="114"/>
      <c r="R752" s="115"/>
      <c r="S752" s="114"/>
      <c r="T752" s="114"/>
      <c r="U752" s="115"/>
      <c r="V752" s="114"/>
      <c r="W752" s="115"/>
      <c r="X752" s="114"/>
      <c r="Y752" s="115"/>
      <c r="Z752" s="114"/>
      <c r="AA752" s="143"/>
      <c r="AB752" s="114"/>
      <c r="AC752" s="114"/>
      <c r="AD752" s="114"/>
    </row>
    <row r="753" spans="1:30" ht="15.75" customHeight="1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43"/>
      <c r="M753" s="143"/>
      <c r="N753" s="143"/>
      <c r="O753" s="143"/>
      <c r="P753" s="114"/>
      <c r="Q753" s="114"/>
      <c r="R753" s="115"/>
      <c r="S753" s="114"/>
      <c r="T753" s="114"/>
      <c r="U753" s="115"/>
      <c r="V753" s="114"/>
      <c r="W753" s="115"/>
      <c r="X753" s="114"/>
      <c r="Y753" s="115"/>
      <c r="Z753" s="114"/>
      <c r="AA753" s="143"/>
      <c r="AB753" s="114"/>
      <c r="AC753" s="114"/>
      <c r="AD753" s="114"/>
    </row>
    <row r="754" spans="1:30" ht="15.75" customHeight="1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43"/>
      <c r="M754" s="143"/>
      <c r="N754" s="143"/>
      <c r="O754" s="143"/>
      <c r="P754" s="114"/>
      <c r="Q754" s="114"/>
      <c r="R754" s="115"/>
      <c r="S754" s="114"/>
      <c r="T754" s="114"/>
      <c r="U754" s="115"/>
      <c r="V754" s="114"/>
      <c r="W754" s="115"/>
      <c r="X754" s="114"/>
      <c r="Y754" s="115"/>
      <c r="Z754" s="114"/>
      <c r="AA754" s="143"/>
      <c r="AB754" s="114"/>
      <c r="AC754" s="114"/>
      <c r="AD754" s="114"/>
    </row>
    <row r="755" spans="1:30" ht="15.75" customHeight="1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43"/>
      <c r="M755" s="143"/>
      <c r="N755" s="143"/>
      <c r="O755" s="143"/>
      <c r="P755" s="114"/>
      <c r="Q755" s="114"/>
      <c r="R755" s="115"/>
      <c r="S755" s="114"/>
      <c r="T755" s="114"/>
      <c r="U755" s="115"/>
      <c r="V755" s="114"/>
      <c r="W755" s="115"/>
      <c r="X755" s="114"/>
      <c r="Y755" s="115"/>
      <c r="Z755" s="114"/>
      <c r="AA755" s="143"/>
      <c r="AB755" s="114"/>
      <c r="AC755" s="114"/>
      <c r="AD755" s="114"/>
    </row>
    <row r="756" spans="1:30" ht="15.75" customHeight="1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43"/>
      <c r="M756" s="143"/>
      <c r="N756" s="143"/>
      <c r="O756" s="143"/>
      <c r="P756" s="114"/>
      <c r="Q756" s="114"/>
      <c r="R756" s="115"/>
      <c r="S756" s="114"/>
      <c r="T756" s="114"/>
      <c r="U756" s="115"/>
      <c r="V756" s="114"/>
      <c r="W756" s="115"/>
      <c r="X756" s="114"/>
      <c r="Y756" s="115"/>
      <c r="Z756" s="114"/>
      <c r="AA756" s="143"/>
      <c r="AB756" s="114"/>
      <c r="AC756" s="114"/>
      <c r="AD756" s="114"/>
    </row>
    <row r="757" spans="1:30" ht="15.75" customHeight="1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43"/>
      <c r="M757" s="143"/>
      <c r="N757" s="143"/>
      <c r="O757" s="143"/>
      <c r="P757" s="114"/>
      <c r="Q757" s="114"/>
      <c r="R757" s="115"/>
      <c r="S757" s="114"/>
      <c r="T757" s="114"/>
      <c r="U757" s="115"/>
      <c r="V757" s="114"/>
      <c r="W757" s="115"/>
      <c r="X757" s="114"/>
      <c r="Y757" s="115"/>
      <c r="Z757" s="114"/>
      <c r="AA757" s="143"/>
      <c r="AB757" s="114"/>
      <c r="AC757" s="114"/>
      <c r="AD757" s="114"/>
    </row>
    <row r="758" spans="1:30" ht="15.75" customHeight="1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43"/>
      <c r="M758" s="143"/>
      <c r="N758" s="143"/>
      <c r="O758" s="143"/>
      <c r="P758" s="114"/>
      <c r="Q758" s="114"/>
      <c r="R758" s="115"/>
      <c r="S758" s="114"/>
      <c r="T758" s="114"/>
      <c r="U758" s="115"/>
      <c r="V758" s="114"/>
      <c r="W758" s="115"/>
      <c r="X758" s="114"/>
      <c r="Y758" s="115"/>
      <c r="Z758" s="114"/>
      <c r="AA758" s="143"/>
      <c r="AB758" s="114"/>
      <c r="AC758" s="114"/>
      <c r="AD758" s="114"/>
    </row>
    <row r="759" spans="1:30" ht="15.75" customHeight="1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43"/>
      <c r="M759" s="143"/>
      <c r="N759" s="143"/>
      <c r="O759" s="143"/>
      <c r="P759" s="114"/>
      <c r="Q759" s="114"/>
      <c r="R759" s="115"/>
      <c r="S759" s="114"/>
      <c r="T759" s="114"/>
      <c r="U759" s="115"/>
      <c r="V759" s="114"/>
      <c r="W759" s="115"/>
      <c r="X759" s="114"/>
      <c r="Y759" s="115"/>
      <c r="Z759" s="114"/>
      <c r="AA759" s="143"/>
      <c r="AB759" s="114"/>
      <c r="AC759" s="114"/>
      <c r="AD759" s="114"/>
    </row>
    <row r="760" spans="1:30" ht="15.75" customHeight="1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43"/>
      <c r="M760" s="143"/>
      <c r="N760" s="143"/>
      <c r="O760" s="143"/>
      <c r="P760" s="114"/>
      <c r="Q760" s="114"/>
      <c r="R760" s="115"/>
      <c r="S760" s="114"/>
      <c r="T760" s="114"/>
      <c r="U760" s="115"/>
      <c r="V760" s="114"/>
      <c r="W760" s="115"/>
      <c r="X760" s="114"/>
      <c r="Y760" s="115"/>
      <c r="Z760" s="114"/>
      <c r="AA760" s="143"/>
      <c r="AB760" s="114"/>
      <c r="AC760" s="114"/>
      <c r="AD760" s="114"/>
    </row>
    <row r="761" spans="1:30" ht="15.75" customHeight="1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43"/>
      <c r="M761" s="143"/>
      <c r="N761" s="143"/>
      <c r="O761" s="143"/>
      <c r="P761" s="114"/>
      <c r="Q761" s="114"/>
      <c r="R761" s="115"/>
      <c r="S761" s="114"/>
      <c r="T761" s="114"/>
      <c r="U761" s="115"/>
      <c r="V761" s="114"/>
      <c r="W761" s="115"/>
      <c r="X761" s="114"/>
      <c r="Y761" s="115"/>
      <c r="Z761" s="114"/>
      <c r="AA761" s="143"/>
      <c r="AB761" s="114"/>
      <c r="AC761" s="114"/>
      <c r="AD761" s="114"/>
    </row>
    <row r="762" spans="1:30" ht="15.75" customHeight="1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43"/>
      <c r="M762" s="143"/>
      <c r="N762" s="143"/>
      <c r="O762" s="143"/>
      <c r="P762" s="114"/>
      <c r="Q762" s="114"/>
      <c r="R762" s="115"/>
      <c r="S762" s="114"/>
      <c r="T762" s="114"/>
      <c r="U762" s="115"/>
      <c r="V762" s="114"/>
      <c r="W762" s="115"/>
      <c r="X762" s="114"/>
      <c r="Y762" s="115"/>
      <c r="Z762" s="114"/>
      <c r="AA762" s="143"/>
      <c r="AB762" s="114"/>
      <c r="AC762" s="114"/>
      <c r="AD762" s="114"/>
    </row>
    <row r="763" spans="1:30" ht="15.75" customHeight="1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43"/>
      <c r="M763" s="143"/>
      <c r="N763" s="143"/>
      <c r="O763" s="143"/>
      <c r="P763" s="114"/>
      <c r="Q763" s="114"/>
      <c r="R763" s="115"/>
      <c r="S763" s="114"/>
      <c r="T763" s="114"/>
      <c r="U763" s="115"/>
      <c r="V763" s="114"/>
      <c r="W763" s="115"/>
      <c r="X763" s="114"/>
      <c r="Y763" s="115"/>
      <c r="Z763" s="114"/>
      <c r="AA763" s="143"/>
      <c r="AB763" s="114"/>
      <c r="AC763" s="114"/>
      <c r="AD763" s="114"/>
    </row>
    <row r="764" spans="1:30" ht="15.75" customHeight="1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43"/>
      <c r="M764" s="143"/>
      <c r="N764" s="143"/>
      <c r="O764" s="143"/>
      <c r="P764" s="114"/>
      <c r="Q764" s="114"/>
      <c r="R764" s="115"/>
      <c r="S764" s="114"/>
      <c r="T764" s="114"/>
      <c r="U764" s="115"/>
      <c r="V764" s="114"/>
      <c r="W764" s="115"/>
      <c r="X764" s="114"/>
      <c r="Y764" s="115"/>
      <c r="Z764" s="114"/>
      <c r="AA764" s="143"/>
      <c r="AB764" s="114"/>
      <c r="AC764" s="114"/>
      <c r="AD764" s="114"/>
    </row>
    <row r="765" spans="1:30" ht="15.75" customHeight="1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43"/>
      <c r="M765" s="143"/>
      <c r="N765" s="143"/>
      <c r="O765" s="143"/>
      <c r="P765" s="114"/>
      <c r="Q765" s="114"/>
      <c r="R765" s="115"/>
      <c r="S765" s="114"/>
      <c r="T765" s="114"/>
      <c r="U765" s="115"/>
      <c r="V765" s="114"/>
      <c r="W765" s="115"/>
      <c r="X765" s="114"/>
      <c r="Y765" s="115"/>
      <c r="Z765" s="114"/>
      <c r="AA765" s="143"/>
      <c r="AB765" s="114"/>
      <c r="AC765" s="114"/>
      <c r="AD765" s="114"/>
    </row>
    <row r="766" spans="1:30" ht="15.75" customHeight="1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43"/>
      <c r="M766" s="143"/>
      <c r="N766" s="143"/>
      <c r="O766" s="143"/>
      <c r="P766" s="114"/>
      <c r="Q766" s="114"/>
      <c r="R766" s="115"/>
      <c r="S766" s="114"/>
      <c r="T766" s="114"/>
      <c r="U766" s="115"/>
      <c r="V766" s="114"/>
      <c r="W766" s="115"/>
      <c r="X766" s="114"/>
      <c r="Y766" s="115"/>
      <c r="Z766" s="114"/>
      <c r="AA766" s="143"/>
      <c r="AB766" s="114"/>
      <c r="AC766" s="114"/>
      <c r="AD766" s="114"/>
    </row>
    <row r="767" spans="1:30" ht="15.75" customHeight="1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43"/>
      <c r="M767" s="143"/>
      <c r="N767" s="143"/>
      <c r="O767" s="143"/>
      <c r="P767" s="114"/>
      <c r="Q767" s="114"/>
      <c r="R767" s="115"/>
      <c r="S767" s="114"/>
      <c r="T767" s="114"/>
      <c r="U767" s="115"/>
      <c r="V767" s="114"/>
      <c r="W767" s="115"/>
      <c r="X767" s="114"/>
      <c r="Y767" s="115"/>
      <c r="Z767" s="114"/>
      <c r="AA767" s="143"/>
      <c r="AB767" s="114"/>
      <c r="AC767" s="114"/>
      <c r="AD767" s="114"/>
    </row>
    <row r="768" spans="1:30" ht="15.75" customHeight="1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43"/>
      <c r="M768" s="143"/>
      <c r="N768" s="143"/>
      <c r="O768" s="143"/>
      <c r="P768" s="114"/>
      <c r="Q768" s="114"/>
      <c r="R768" s="115"/>
      <c r="S768" s="114"/>
      <c r="T768" s="114"/>
      <c r="U768" s="115"/>
      <c r="V768" s="114"/>
      <c r="W768" s="115"/>
      <c r="X768" s="114"/>
      <c r="Y768" s="115"/>
      <c r="Z768" s="114"/>
      <c r="AA768" s="143"/>
      <c r="AB768" s="114"/>
      <c r="AC768" s="114"/>
      <c r="AD768" s="114"/>
    </row>
    <row r="769" spans="1:30" ht="15.75" customHeight="1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43"/>
      <c r="M769" s="143"/>
      <c r="N769" s="143"/>
      <c r="O769" s="143"/>
      <c r="P769" s="114"/>
      <c r="Q769" s="114"/>
      <c r="R769" s="115"/>
      <c r="S769" s="114"/>
      <c r="T769" s="114"/>
      <c r="U769" s="115"/>
      <c r="V769" s="114"/>
      <c r="W769" s="115"/>
      <c r="X769" s="114"/>
      <c r="Y769" s="115"/>
      <c r="Z769" s="114"/>
      <c r="AA769" s="143"/>
      <c r="AB769" s="114"/>
      <c r="AC769" s="114"/>
      <c r="AD769" s="114"/>
    </row>
    <row r="770" spans="1:30" ht="15.75" customHeight="1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43"/>
      <c r="M770" s="143"/>
      <c r="N770" s="143"/>
      <c r="O770" s="143"/>
      <c r="P770" s="114"/>
      <c r="Q770" s="114"/>
      <c r="R770" s="115"/>
      <c r="S770" s="114"/>
      <c r="T770" s="114"/>
      <c r="U770" s="115"/>
      <c r="V770" s="114"/>
      <c r="W770" s="115"/>
      <c r="X770" s="114"/>
      <c r="Y770" s="115"/>
      <c r="Z770" s="114"/>
      <c r="AA770" s="143"/>
      <c r="AB770" s="114"/>
      <c r="AC770" s="114"/>
      <c r="AD770" s="114"/>
    </row>
    <row r="771" spans="1:30" ht="15.75" customHeight="1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43"/>
      <c r="M771" s="143"/>
      <c r="N771" s="143"/>
      <c r="O771" s="143"/>
      <c r="P771" s="114"/>
      <c r="Q771" s="114"/>
      <c r="R771" s="115"/>
      <c r="S771" s="114"/>
      <c r="T771" s="114"/>
      <c r="U771" s="115"/>
      <c r="V771" s="114"/>
      <c r="W771" s="115"/>
      <c r="X771" s="114"/>
      <c r="Y771" s="115"/>
      <c r="Z771" s="114"/>
      <c r="AA771" s="143"/>
      <c r="AB771" s="114"/>
      <c r="AC771" s="114"/>
      <c r="AD771" s="114"/>
    </row>
    <row r="772" spans="1:30" ht="15.75" customHeight="1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43"/>
      <c r="M772" s="143"/>
      <c r="N772" s="143"/>
      <c r="O772" s="143"/>
      <c r="P772" s="114"/>
      <c r="Q772" s="114"/>
      <c r="R772" s="115"/>
      <c r="S772" s="114"/>
      <c r="T772" s="114"/>
      <c r="U772" s="115"/>
      <c r="V772" s="114"/>
      <c r="W772" s="115"/>
      <c r="X772" s="114"/>
      <c r="Y772" s="115"/>
      <c r="Z772" s="114"/>
      <c r="AA772" s="143"/>
      <c r="AB772" s="114"/>
      <c r="AC772" s="114"/>
      <c r="AD772" s="114"/>
    </row>
    <row r="773" spans="1:30" ht="15.75" customHeight="1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43"/>
      <c r="M773" s="143"/>
      <c r="N773" s="143"/>
      <c r="O773" s="143"/>
      <c r="P773" s="114"/>
      <c r="Q773" s="114"/>
      <c r="R773" s="115"/>
      <c r="S773" s="114"/>
      <c r="T773" s="114"/>
      <c r="U773" s="115"/>
      <c r="V773" s="114"/>
      <c r="W773" s="115"/>
      <c r="X773" s="114"/>
      <c r="Y773" s="115"/>
      <c r="Z773" s="114"/>
      <c r="AA773" s="143"/>
      <c r="AB773" s="114"/>
      <c r="AC773" s="114"/>
      <c r="AD773" s="114"/>
    </row>
    <row r="774" spans="1:30" ht="15.75" customHeight="1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43"/>
      <c r="M774" s="143"/>
      <c r="N774" s="143"/>
      <c r="O774" s="143"/>
      <c r="P774" s="114"/>
      <c r="Q774" s="114"/>
      <c r="R774" s="115"/>
      <c r="S774" s="114"/>
      <c r="T774" s="114"/>
      <c r="U774" s="115"/>
      <c r="V774" s="114"/>
      <c r="W774" s="115"/>
      <c r="X774" s="114"/>
      <c r="Y774" s="115"/>
      <c r="Z774" s="114"/>
      <c r="AA774" s="143"/>
      <c r="AB774" s="114"/>
      <c r="AC774" s="114"/>
      <c r="AD774" s="114"/>
    </row>
    <row r="775" spans="1:30" ht="15.75" customHeight="1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43"/>
      <c r="M775" s="143"/>
      <c r="N775" s="143"/>
      <c r="O775" s="143"/>
      <c r="P775" s="114"/>
      <c r="Q775" s="114"/>
      <c r="R775" s="115"/>
      <c r="S775" s="114"/>
      <c r="T775" s="114"/>
      <c r="U775" s="115"/>
      <c r="V775" s="114"/>
      <c r="W775" s="115"/>
      <c r="X775" s="114"/>
      <c r="Y775" s="115"/>
      <c r="Z775" s="114"/>
      <c r="AA775" s="143"/>
      <c r="AB775" s="114"/>
      <c r="AC775" s="114"/>
      <c r="AD775" s="114"/>
    </row>
    <row r="776" spans="1:30" ht="15.75" customHeight="1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43"/>
      <c r="M776" s="143"/>
      <c r="N776" s="143"/>
      <c r="O776" s="143"/>
      <c r="P776" s="114"/>
      <c r="Q776" s="114"/>
      <c r="R776" s="115"/>
      <c r="S776" s="114"/>
      <c r="T776" s="114"/>
      <c r="U776" s="115"/>
      <c r="V776" s="114"/>
      <c r="W776" s="115"/>
      <c r="X776" s="114"/>
      <c r="Y776" s="115"/>
      <c r="Z776" s="114"/>
      <c r="AA776" s="143"/>
      <c r="AB776" s="114"/>
      <c r="AC776" s="114"/>
      <c r="AD776" s="114"/>
    </row>
    <row r="777" spans="1:30" ht="15.75" customHeight="1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43"/>
      <c r="M777" s="143"/>
      <c r="N777" s="143"/>
      <c r="O777" s="143"/>
      <c r="P777" s="114"/>
      <c r="Q777" s="114"/>
      <c r="R777" s="115"/>
      <c r="S777" s="114"/>
      <c r="T777" s="114"/>
      <c r="U777" s="115"/>
      <c r="V777" s="114"/>
      <c r="W777" s="115"/>
      <c r="X777" s="114"/>
      <c r="Y777" s="115"/>
      <c r="Z777" s="114"/>
      <c r="AA777" s="143"/>
      <c r="AB777" s="114"/>
      <c r="AC777" s="114"/>
      <c r="AD777" s="114"/>
    </row>
    <row r="778" spans="1:30" ht="15.75" customHeight="1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43"/>
      <c r="M778" s="143"/>
      <c r="N778" s="143"/>
      <c r="O778" s="143"/>
      <c r="P778" s="114"/>
      <c r="Q778" s="114"/>
      <c r="R778" s="115"/>
      <c r="S778" s="114"/>
      <c r="T778" s="114"/>
      <c r="U778" s="115"/>
      <c r="V778" s="114"/>
      <c r="W778" s="115"/>
      <c r="X778" s="114"/>
      <c r="Y778" s="115"/>
      <c r="Z778" s="114"/>
      <c r="AA778" s="143"/>
      <c r="AB778" s="114"/>
      <c r="AC778" s="114"/>
      <c r="AD778" s="114"/>
    </row>
    <row r="779" spans="1:30" ht="15.75" customHeight="1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43"/>
      <c r="M779" s="143"/>
      <c r="N779" s="143"/>
      <c r="O779" s="143"/>
      <c r="P779" s="114"/>
      <c r="Q779" s="114"/>
      <c r="R779" s="115"/>
      <c r="S779" s="114"/>
      <c r="T779" s="114"/>
      <c r="U779" s="115"/>
      <c r="V779" s="114"/>
      <c r="W779" s="115"/>
      <c r="X779" s="114"/>
      <c r="Y779" s="115"/>
      <c r="Z779" s="114"/>
      <c r="AA779" s="143"/>
      <c r="AB779" s="114"/>
      <c r="AC779" s="114"/>
      <c r="AD779" s="114"/>
    </row>
    <row r="780" spans="1:30" ht="15.75" customHeight="1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43"/>
      <c r="M780" s="143"/>
      <c r="N780" s="143"/>
      <c r="O780" s="143"/>
      <c r="P780" s="114"/>
      <c r="Q780" s="114"/>
      <c r="R780" s="115"/>
      <c r="S780" s="114"/>
      <c r="T780" s="114"/>
      <c r="U780" s="115"/>
      <c r="V780" s="114"/>
      <c r="W780" s="115"/>
      <c r="X780" s="114"/>
      <c r="Y780" s="115"/>
      <c r="Z780" s="114"/>
      <c r="AA780" s="143"/>
      <c r="AB780" s="114"/>
      <c r="AC780" s="114"/>
      <c r="AD780" s="114"/>
    </row>
    <row r="781" spans="1:30" ht="15.75" customHeight="1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43"/>
      <c r="M781" s="143"/>
      <c r="N781" s="143"/>
      <c r="O781" s="143"/>
      <c r="P781" s="114"/>
      <c r="Q781" s="114"/>
      <c r="R781" s="115"/>
      <c r="S781" s="114"/>
      <c r="T781" s="114"/>
      <c r="U781" s="115"/>
      <c r="V781" s="114"/>
      <c r="W781" s="115"/>
      <c r="X781" s="114"/>
      <c r="Y781" s="115"/>
      <c r="Z781" s="114"/>
      <c r="AA781" s="143"/>
      <c r="AB781" s="114"/>
      <c r="AC781" s="114"/>
      <c r="AD781" s="114"/>
    </row>
    <row r="782" spans="1:30" ht="15.75" customHeight="1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43"/>
      <c r="M782" s="143"/>
      <c r="N782" s="143"/>
      <c r="O782" s="143"/>
      <c r="P782" s="114"/>
      <c r="Q782" s="114"/>
      <c r="R782" s="115"/>
      <c r="S782" s="114"/>
      <c r="T782" s="114"/>
      <c r="U782" s="115"/>
      <c r="V782" s="114"/>
      <c r="W782" s="115"/>
      <c r="X782" s="114"/>
      <c r="Y782" s="115"/>
      <c r="Z782" s="114"/>
      <c r="AA782" s="143"/>
      <c r="AB782" s="114"/>
      <c r="AC782" s="114"/>
      <c r="AD782" s="114"/>
    </row>
    <row r="783" spans="1:30" ht="15.75" customHeight="1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43"/>
      <c r="M783" s="143"/>
      <c r="N783" s="143"/>
      <c r="O783" s="143"/>
      <c r="P783" s="114"/>
      <c r="Q783" s="114"/>
      <c r="R783" s="115"/>
      <c r="S783" s="114"/>
      <c r="T783" s="114"/>
      <c r="U783" s="115"/>
      <c r="V783" s="114"/>
      <c r="W783" s="115"/>
      <c r="X783" s="114"/>
      <c r="Y783" s="115"/>
      <c r="Z783" s="114"/>
      <c r="AA783" s="143"/>
      <c r="AB783" s="114"/>
      <c r="AC783" s="114"/>
      <c r="AD783" s="114"/>
    </row>
    <row r="784" spans="1:30" ht="15.75" customHeight="1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43"/>
      <c r="M784" s="143"/>
      <c r="N784" s="143"/>
      <c r="O784" s="143"/>
      <c r="P784" s="114"/>
      <c r="Q784" s="114"/>
      <c r="R784" s="115"/>
      <c r="S784" s="114"/>
      <c r="T784" s="114"/>
      <c r="U784" s="115"/>
      <c r="V784" s="114"/>
      <c r="W784" s="115"/>
      <c r="X784" s="114"/>
      <c r="Y784" s="115"/>
      <c r="Z784" s="114"/>
      <c r="AA784" s="143"/>
      <c r="AB784" s="114"/>
      <c r="AC784" s="114"/>
      <c r="AD784" s="114"/>
    </row>
    <row r="785" spans="1:30" ht="15.75" customHeight="1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43"/>
      <c r="M785" s="143"/>
      <c r="N785" s="143"/>
      <c r="O785" s="143"/>
      <c r="P785" s="114"/>
      <c r="Q785" s="114"/>
      <c r="R785" s="115"/>
      <c r="S785" s="114"/>
      <c r="T785" s="114"/>
      <c r="U785" s="115"/>
      <c r="V785" s="114"/>
      <c r="W785" s="115"/>
      <c r="X785" s="114"/>
      <c r="Y785" s="115"/>
      <c r="Z785" s="114"/>
      <c r="AA785" s="143"/>
      <c r="AB785" s="114"/>
      <c r="AC785" s="114"/>
      <c r="AD785" s="114"/>
    </row>
    <row r="786" spans="1:30" ht="15.75" customHeight="1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43"/>
      <c r="M786" s="143"/>
      <c r="N786" s="143"/>
      <c r="O786" s="143"/>
      <c r="P786" s="114"/>
      <c r="Q786" s="114"/>
      <c r="R786" s="115"/>
      <c r="S786" s="114"/>
      <c r="T786" s="114"/>
      <c r="U786" s="115"/>
      <c r="V786" s="114"/>
      <c r="W786" s="115"/>
      <c r="X786" s="114"/>
      <c r="Y786" s="115"/>
      <c r="Z786" s="114"/>
      <c r="AA786" s="143"/>
      <c r="AB786" s="114"/>
      <c r="AC786" s="114"/>
      <c r="AD786" s="114"/>
    </row>
    <row r="787" spans="1:30" ht="15.75" customHeight="1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43"/>
      <c r="M787" s="143"/>
      <c r="N787" s="143"/>
      <c r="O787" s="143"/>
      <c r="P787" s="114"/>
      <c r="Q787" s="114"/>
      <c r="R787" s="115"/>
      <c r="S787" s="114"/>
      <c r="T787" s="114"/>
      <c r="U787" s="115"/>
      <c r="V787" s="114"/>
      <c r="W787" s="115"/>
      <c r="X787" s="114"/>
      <c r="Y787" s="115"/>
      <c r="Z787" s="114"/>
      <c r="AA787" s="143"/>
      <c r="AB787" s="114"/>
      <c r="AC787" s="114"/>
      <c r="AD787" s="114"/>
    </row>
    <row r="788" spans="1:30" ht="15.75" customHeight="1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43"/>
      <c r="M788" s="143"/>
      <c r="N788" s="143"/>
      <c r="O788" s="143"/>
      <c r="P788" s="114"/>
      <c r="Q788" s="114"/>
      <c r="R788" s="115"/>
      <c r="S788" s="114"/>
      <c r="T788" s="114"/>
      <c r="U788" s="115"/>
      <c r="V788" s="114"/>
      <c r="W788" s="115"/>
      <c r="X788" s="114"/>
      <c r="Y788" s="115"/>
      <c r="Z788" s="114"/>
      <c r="AA788" s="143"/>
      <c r="AB788" s="114"/>
      <c r="AC788" s="114"/>
      <c r="AD788" s="114"/>
    </row>
    <row r="789" spans="1:30" ht="15.75" customHeight="1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43"/>
      <c r="M789" s="143"/>
      <c r="N789" s="143"/>
      <c r="O789" s="143"/>
      <c r="P789" s="114"/>
      <c r="Q789" s="114"/>
      <c r="R789" s="115"/>
      <c r="S789" s="114"/>
      <c r="T789" s="114"/>
      <c r="U789" s="115"/>
      <c r="V789" s="114"/>
      <c r="W789" s="115"/>
      <c r="X789" s="114"/>
      <c r="Y789" s="115"/>
      <c r="Z789" s="114"/>
      <c r="AA789" s="143"/>
      <c r="AB789" s="114"/>
      <c r="AC789" s="114"/>
      <c r="AD789" s="114"/>
    </row>
    <row r="790" spans="1:30" ht="15.75" customHeight="1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43"/>
      <c r="M790" s="143"/>
      <c r="N790" s="143"/>
      <c r="O790" s="143"/>
      <c r="P790" s="114"/>
      <c r="Q790" s="114"/>
      <c r="R790" s="115"/>
      <c r="S790" s="114"/>
      <c r="T790" s="114"/>
      <c r="U790" s="115"/>
      <c r="V790" s="114"/>
      <c r="W790" s="115"/>
      <c r="X790" s="114"/>
      <c r="Y790" s="115"/>
      <c r="Z790" s="114"/>
      <c r="AA790" s="143"/>
      <c r="AB790" s="114"/>
      <c r="AC790" s="114"/>
      <c r="AD790" s="114"/>
    </row>
    <row r="791" spans="1:30" ht="15.75" customHeight="1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43"/>
      <c r="M791" s="143"/>
      <c r="N791" s="143"/>
      <c r="O791" s="143"/>
      <c r="P791" s="114"/>
      <c r="Q791" s="114"/>
      <c r="R791" s="115"/>
      <c r="S791" s="114"/>
      <c r="T791" s="114"/>
      <c r="U791" s="115"/>
      <c r="V791" s="114"/>
      <c r="W791" s="115"/>
      <c r="X791" s="114"/>
      <c r="Y791" s="115"/>
      <c r="Z791" s="114"/>
      <c r="AA791" s="143"/>
      <c r="AB791" s="114"/>
      <c r="AC791" s="114"/>
      <c r="AD791" s="114"/>
    </row>
    <row r="792" spans="1:30" ht="15.75" customHeight="1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43"/>
      <c r="M792" s="143"/>
      <c r="N792" s="143"/>
      <c r="O792" s="143"/>
      <c r="P792" s="114"/>
      <c r="Q792" s="114"/>
      <c r="R792" s="115"/>
      <c r="S792" s="114"/>
      <c r="T792" s="114"/>
      <c r="U792" s="115"/>
      <c r="V792" s="114"/>
      <c r="W792" s="115"/>
      <c r="X792" s="114"/>
      <c r="Y792" s="115"/>
      <c r="Z792" s="114"/>
      <c r="AA792" s="143"/>
      <c r="AB792" s="114"/>
      <c r="AC792" s="114"/>
      <c r="AD792" s="114"/>
    </row>
    <row r="793" spans="1:30" ht="15.75" customHeight="1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43"/>
      <c r="M793" s="143"/>
      <c r="N793" s="143"/>
      <c r="O793" s="143"/>
      <c r="P793" s="114"/>
      <c r="Q793" s="114"/>
      <c r="R793" s="115"/>
      <c r="S793" s="114"/>
      <c r="T793" s="114"/>
      <c r="U793" s="115"/>
      <c r="V793" s="114"/>
      <c r="W793" s="115"/>
      <c r="X793" s="114"/>
      <c r="Y793" s="115"/>
      <c r="Z793" s="114"/>
      <c r="AA793" s="143"/>
      <c r="AB793" s="114"/>
      <c r="AC793" s="114"/>
      <c r="AD793" s="114"/>
    </row>
    <row r="794" spans="1:30" ht="15.75" customHeight="1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43"/>
      <c r="M794" s="143"/>
      <c r="N794" s="143"/>
      <c r="O794" s="143"/>
      <c r="P794" s="114"/>
      <c r="Q794" s="114"/>
      <c r="R794" s="115"/>
      <c r="S794" s="114"/>
      <c r="T794" s="114"/>
      <c r="U794" s="115"/>
      <c r="V794" s="114"/>
      <c r="W794" s="115"/>
      <c r="X794" s="114"/>
      <c r="Y794" s="115"/>
      <c r="Z794" s="114"/>
      <c r="AA794" s="143"/>
      <c r="AB794" s="114"/>
      <c r="AC794" s="114"/>
      <c r="AD794" s="114"/>
    </row>
    <row r="795" spans="1:30" ht="15.75" customHeight="1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43"/>
      <c r="M795" s="143"/>
      <c r="N795" s="143"/>
      <c r="O795" s="143"/>
      <c r="P795" s="114"/>
      <c r="Q795" s="114"/>
      <c r="R795" s="115"/>
      <c r="S795" s="114"/>
      <c r="T795" s="114"/>
      <c r="U795" s="115"/>
      <c r="V795" s="114"/>
      <c r="W795" s="115"/>
      <c r="X795" s="114"/>
      <c r="Y795" s="115"/>
      <c r="Z795" s="114"/>
      <c r="AA795" s="143"/>
      <c r="AB795" s="114"/>
      <c r="AC795" s="114"/>
      <c r="AD795" s="114"/>
    </row>
    <row r="796" spans="1:30" ht="15.75" customHeight="1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43"/>
      <c r="M796" s="143"/>
      <c r="N796" s="143"/>
      <c r="O796" s="143"/>
      <c r="P796" s="114"/>
      <c r="Q796" s="114"/>
      <c r="R796" s="115"/>
      <c r="S796" s="114"/>
      <c r="T796" s="114"/>
      <c r="U796" s="115"/>
      <c r="V796" s="114"/>
      <c r="W796" s="115"/>
      <c r="X796" s="114"/>
      <c r="Y796" s="115"/>
      <c r="Z796" s="114"/>
      <c r="AA796" s="143"/>
      <c r="AB796" s="114"/>
      <c r="AC796" s="114"/>
      <c r="AD796" s="114"/>
    </row>
    <row r="797" spans="1:30" ht="15.75" customHeight="1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43"/>
      <c r="M797" s="143"/>
      <c r="N797" s="143"/>
      <c r="O797" s="143"/>
      <c r="P797" s="114"/>
      <c r="Q797" s="114"/>
      <c r="R797" s="115"/>
      <c r="S797" s="114"/>
      <c r="T797" s="114"/>
      <c r="U797" s="115"/>
      <c r="V797" s="114"/>
      <c r="W797" s="115"/>
      <c r="X797" s="114"/>
      <c r="Y797" s="115"/>
      <c r="Z797" s="114"/>
      <c r="AA797" s="143"/>
      <c r="AB797" s="114"/>
      <c r="AC797" s="114"/>
      <c r="AD797" s="114"/>
    </row>
    <row r="798" spans="1:30" ht="15.75" customHeight="1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43"/>
      <c r="M798" s="143"/>
      <c r="N798" s="143"/>
      <c r="O798" s="143"/>
      <c r="P798" s="114"/>
      <c r="Q798" s="114"/>
      <c r="R798" s="115"/>
      <c r="S798" s="114"/>
      <c r="T798" s="114"/>
      <c r="U798" s="115"/>
      <c r="V798" s="114"/>
      <c r="W798" s="115"/>
      <c r="X798" s="114"/>
      <c r="Y798" s="115"/>
      <c r="Z798" s="114"/>
      <c r="AA798" s="143"/>
      <c r="AB798" s="114"/>
      <c r="AC798" s="114"/>
      <c r="AD798" s="114"/>
    </row>
    <row r="799" spans="1:30" ht="15.75" customHeight="1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43"/>
      <c r="M799" s="143"/>
      <c r="N799" s="143"/>
      <c r="O799" s="143"/>
      <c r="P799" s="114"/>
      <c r="Q799" s="114"/>
      <c r="R799" s="115"/>
      <c r="S799" s="114"/>
      <c r="T799" s="114"/>
      <c r="U799" s="115"/>
      <c r="V799" s="114"/>
      <c r="W799" s="115"/>
      <c r="X799" s="114"/>
      <c r="Y799" s="115"/>
      <c r="Z799" s="114"/>
      <c r="AA799" s="143"/>
      <c r="AB799" s="114"/>
      <c r="AC799" s="114"/>
      <c r="AD799" s="114"/>
    </row>
    <row r="800" spans="1:30" ht="15.75" customHeight="1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43"/>
      <c r="M800" s="143"/>
      <c r="N800" s="143"/>
      <c r="O800" s="143"/>
      <c r="P800" s="114"/>
      <c r="Q800" s="114"/>
      <c r="R800" s="115"/>
      <c r="S800" s="114"/>
      <c r="T800" s="114"/>
      <c r="U800" s="115"/>
      <c r="V800" s="114"/>
      <c r="W800" s="115"/>
      <c r="X800" s="114"/>
      <c r="Y800" s="115"/>
      <c r="Z800" s="114"/>
      <c r="AA800" s="143"/>
      <c r="AB800" s="114"/>
      <c r="AC800" s="114"/>
      <c r="AD800" s="114"/>
    </row>
    <row r="801" spans="1:30" ht="15.75" customHeight="1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43"/>
      <c r="M801" s="143"/>
      <c r="N801" s="143"/>
      <c r="O801" s="143"/>
      <c r="P801" s="114"/>
      <c r="Q801" s="114"/>
      <c r="R801" s="115"/>
      <c r="S801" s="114"/>
      <c r="T801" s="114"/>
      <c r="U801" s="115"/>
      <c r="V801" s="114"/>
      <c r="W801" s="115"/>
      <c r="X801" s="114"/>
      <c r="Y801" s="115"/>
      <c r="Z801" s="114"/>
      <c r="AA801" s="143"/>
      <c r="AB801" s="114"/>
      <c r="AC801" s="114"/>
      <c r="AD801" s="114"/>
    </row>
    <row r="802" spans="1:30" ht="15.75" customHeight="1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43"/>
      <c r="M802" s="143"/>
      <c r="N802" s="143"/>
      <c r="O802" s="143"/>
      <c r="P802" s="114"/>
      <c r="Q802" s="114"/>
      <c r="R802" s="115"/>
      <c r="S802" s="114"/>
      <c r="T802" s="114"/>
      <c r="U802" s="115"/>
      <c r="V802" s="114"/>
      <c r="W802" s="115"/>
      <c r="X802" s="114"/>
      <c r="Y802" s="115"/>
      <c r="Z802" s="114"/>
      <c r="AA802" s="143"/>
      <c r="AB802" s="114"/>
      <c r="AC802" s="114"/>
      <c r="AD802" s="114"/>
    </row>
    <row r="803" spans="1:30" ht="15.75" customHeight="1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43"/>
      <c r="M803" s="143"/>
      <c r="N803" s="143"/>
      <c r="O803" s="143"/>
      <c r="P803" s="114"/>
      <c r="Q803" s="114"/>
      <c r="R803" s="115"/>
      <c r="S803" s="114"/>
      <c r="T803" s="114"/>
      <c r="U803" s="115"/>
      <c r="V803" s="114"/>
      <c r="W803" s="115"/>
      <c r="X803" s="114"/>
      <c r="Y803" s="115"/>
      <c r="Z803" s="114"/>
      <c r="AA803" s="143"/>
      <c r="AB803" s="114"/>
      <c r="AC803" s="114"/>
      <c r="AD803" s="114"/>
    </row>
    <row r="804" spans="1:30" ht="15.75" customHeight="1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43"/>
      <c r="M804" s="143"/>
      <c r="N804" s="143"/>
      <c r="O804" s="143"/>
      <c r="P804" s="114"/>
      <c r="Q804" s="114"/>
      <c r="R804" s="115"/>
      <c r="S804" s="114"/>
      <c r="T804" s="114"/>
      <c r="U804" s="115"/>
      <c r="V804" s="114"/>
      <c r="W804" s="115"/>
      <c r="X804" s="114"/>
      <c r="Y804" s="115"/>
      <c r="Z804" s="114"/>
      <c r="AA804" s="143"/>
      <c r="AB804" s="114"/>
      <c r="AC804" s="114"/>
      <c r="AD804" s="114"/>
    </row>
    <row r="805" spans="1:30" ht="15.75" customHeight="1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43"/>
      <c r="M805" s="143"/>
      <c r="N805" s="143"/>
      <c r="O805" s="143"/>
      <c r="P805" s="114"/>
      <c r="Q805" s="114"/>
      <c r="R805" s="115"/>
      <c r="S805" s="114"/>
      <c r="T805" s="114"/>
      <c r="U805" s="115"/>
      <c r="V805" s="114"/>
      <c r="W805" s="115"/>
      <c r="X805" s="114"/>
      <c r="Y805" s="115"/>
      <c r="Z805" s="114"/>
      <c r="AA805" s="143"/>
      <c r="AB805" s="114"/>
      <c r="AC805" s="114"/>
      <c r="AD805" s="114"/>
    </row>
    <row r="806" spans="1:30" ht="15.75" customHeight="1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43"/>
      <c r="M806" s="143"/>
      <c r="N806" s="143"/>
      <c r="O806" s="143"/>
      <c r="P806" s="114"/>
      <c r="Q806" s="114"/>
      <c r="R806" s="115"/>
      <c r="S806" s="114"/>
      <c r="T806" s="114"/>
      <c r="U806" s="115"/>
      <c r="V806" s="114"/>
      <c r="W806" s="115"/>
      <c r="X806" s="114"/>
      <c r="Y806" s="115"/>
      <c r="Z806" s="114"/>
      <c r="AA806" s="143"/>
      <c r="AB806" s="114"/>
      <c r="AC806" s="114"/>
      <c r="AD806" s="114"/>
    </row>
    <row r="807" spans="1:30" ht="15.75" customHeight="1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43"/>
      <c r="M807" s="143"/>
      <c r="N807" s="143"/>
      <c r="O807" s="143"/>
      <c r="P807" s="114"/>
      <c r="Q807" s="114"/>
      <c r="R807" s="115"/>
      <c r="S807" s="114"/>
      <c r="T807" s="114"/>
      <c r="U807" s="115"/>
      <c r="V807" s="114"/>
      <c r="W807" s="115"/>
      <c r="X807" s="114"/>
      <c r="Y807" s="115"/>
      <c r="Z807" s="114"/>
      <c r="AA807" s="143"/>
      <c r="AB807" s="114"/>
      <c r="AC807" s="114"/>
      <c r="AD807" s="114"/>
    </row>
    <row r="808" spans="1:30" ht="15.75" customHeight="1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43"/>
      <c r="M808" s="143"/>
      <c r="N808" s="143"/>
      <c r="O808" s="143"/>
      <c r="P808" s="114"/>
      <c r="Q808" s="114"/>
      <c r="R808" s="115"/>
      <c r="S808" s="114"/>
      <c r="T808" s="114"/>
      <c r="U808" s="115"/>
      <c r="V808" s="114"/>
      <c r="W808" s="115"/>
      <c r="X808" s="114"/>
      <c r="Y808" s="115"/>
      <c r="Z808" s="114"/>
      <c r="AA808" s="143"/>
      <c r="AB808" s="114"/>
      <c r="AC808" s="114"/>
      <c r="AD808" s="114"/>
    </row>
    <row r="809" spans="1:30" ht="15.75" customHeight="1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43"/>
      <c r="M809" s="143"/>
      <c r="N809" s="143"/>
      <c r="O809" s="143"/>
      <c r="P809" s="114"/>
      <c r="Q809" s="114"/>
      <c r="R809" s="115"/>
      <c r="S809" s="114"/>
      <c r="T809" s="114"/>
      <c r="U809" s="115"/>
      <c r="V809" s="114"/>
      <c r="W809" s="115"/>
      <c r="X809" s="114"/>
      <c r="Y809" s="115"/>
      <c r="Z809" s="114"/>
      <c r="AA809" s="143"/>
      <c r="AB809" s="114"/>
      <c r="AC809" s="114"/>
      <c r="AD809" s="114"/>
    </row>
    <row r="810" spans="1:30" ht="15.75" customHeight="1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43"/>
      <c r="M810" s="143"/>
      <c r="N810" s="143"/>
      <c r="O810" s="143"/>
      <c r="P810" s="114"/>
      <c r="Q810" s="114"/>
      <c r="R810" s="115"/>
      <c r="S810" s="114"/>
      <c r="T810" s="114"/>
      <c r="U810" s="115"/>
      <c r="V810" s="114"/>
      <c r="W810" s="115"/>
      <c r="X810" s="114"/>
      <c r="Y810" s="115"/>
      <c r="Z810" s="114"/>
      <c r="AA810" s="143"/>
      <c r="AB810" s="114"/>
      <c r="AC810" s="114"/>
      <c r="AD810" s="114"/>
    </row>
    <row r="811" spans="1:30" ht="15.75" customHeight="1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43"/>
      <c r="M811" s="143"/>
      <c r="N811" s="143"/>
      <c r="O811" s="143"/>
      <c r="P811" s="114"/>
      <c r="Q811" s="114"/>
      <c r="R811" s="115"/>
      <c r="S811" s="114"/>
      <c r="T811" s="114"/>
      <c r="U811" s="115"/>
      <c r="V811" s="114"/>
      <c r="W811" s="115"/>
      <c r="X811" s="114"/>
      <c r="Y811" s="115"/>
      <c r="Z811" s="114"/>
      <c r="AA811" s="143"/>
      <c r="AB811" s="114"/>
      <c r="AC811" s="114"/>
      <c r="AD811" s="114"/>
    </row>
    <row r="812" spans="1:30" ht="15.75" customHeight="1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43"/>
      <c r="M812" s="143"/>
      <c r="N812" s="143"/>
      <c r="O812" s="143"/>
      <c r="P812" s="114"/>
      <c r="Q812" s="114"/>
      <c r="R812" s="115"/>
      <c r="S812" s="114"/>
      <c r="T812" s="114"/>
      <c r="U812" s="115"/>
      <c r="V812" s="114"/>
      <c r="W812" s="115"/>
      <c r="X812" s="114"/>
      <c r="Y812" s="115"/>
      <c r="Z812" s="114"/>
      <c r="AA812" s="143"/>
      <c r="AB812" s="114"/>
      <c r="AC812" s="114"/>
      <c r="AD812" s="114"/>
    </row>
    <row r="813" spans="1:30" ht="15.75" customHeight="1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43"/>
      <c r="M813" s="143"/>
      <c r="N813" s="143"/>
      <c r="O813" s="143"/>
      <c r="P813" s="114"/>
      <c r="Q813" s="114"/>
      <c r="R813" s="115"/>
      <c r="S813" s="114"/>
      <c r="T813" s="114"/>
      <c r="U813" s="115"/>
      <c r="V813" s="114"/>
      <c r="W813" s="115"/>
      <c r="X813" s="114"/>
      <c r="Y813" s="115"/>
      <c r="Z813" s="114"/>
      <c r="AA813" s="143"/>
      <c r="AB813" s="114"/>
      <c r="AC813" s="114"/>
      <c r="AD813" s="114"/>
    </row>
    <row r="814" spans="1:30" ht="15.75" customHeight="1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43"/>
      <c r="M814" s="143"/>
      <c r="N814" s="143"/>
      <c r="O814" s="143"/>
      <c r="P814" s="114"/>
      <c r="Q814" s="114"/>
      <c r="R814" s="115"/>
      <c r="S814" s="114"/>
      <c r="T814" s="114"/>
      <c r="U814" s="115"/>
      <c r="V814" s="114"/>
      <c r="W814" s="115"/>
      <c r="X814" s="114"/>
      <c r="Y814" s="115"/>
      <c r="Z814" s="114"/>
      <c r="AA814" s="143"/>
      <c r="AB814" s="114"/>
      <c r="AC814" s="114"/>
      <c r="AD814" s="114"/>
    </row>
    <row r="815" spans="1:30" ht="15.75" customHeight="1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43"/>
      <c r="M815" s="143"/>
      <c r="N815" s="143"/>
      <c r="O815" s="143"/>
      <c r="P815" s="114"/>
      <c r="Q815" s="114"/>
      <c r="R815" s="115"/>
      <c r="S815" s="114"/>
      <c r="T815" s="114"/>
      <c r="U815" s="115"/>
      <c r="V815" s="114"/>
      <c r="W815" s="115"/>
      <c r="X815" s="114"/>
      <c r="Y815" s="115"/>
      <c r="Z815" s="114"/>
      <c r="AA815" s="143"/>
      <c r="AB815" s="114"/>
      <c r="AC815" s="114"/>
      <c r="AD815" s="114"/>
    </row>
    <row r="816" spans="1:30" ht="15.75" customHeight="1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43"/>
      <c r="M816" s="143"/>
      <c r="N816" s="143"/>
      <c r="O816" s="143"/>
      <c r="P816" s="114"/>
      <c r="Q816" s="114"/>
      <c r="R816" s="115"/>
      <c r="S816" s="114"/>
      <c r="T816" s="114"/>
      <c r="U816" s="115"/>
      <c r="V816" s="114"/>
      <c r="W816" s="115"/>
      <c r="X816" s="114"/>
      <c r="Y816" s="115"/>
      <c r="Z816" s="114"/>
      <c r="AA816" s="143"/>
      <c r="AB816" s="114"/>
      <c r="AC816" s="114"/>
      <c r="AD816" s="114"/>
    </row>
    <row r="817" spans="1:30" ht="15.75" customHeight="1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43"/>
      <c r="M817" s="143"/>
      <c r="N817" s="143"/>
      <c r="O817" s="143"/>
      <c r="P817" s="114"/>
      <c r="Q817" s="114"/>
      <c r="R817" s="115"/>
      <c r="S817" s="114"/>
      <c r="T817" s="114"/>
      <c r="U817" s="115"/>
      <c r="V817" s="114"/>
      <c r="W817" s="115"/>
      <c r="X817" s="114"/>
      <c r="Y817" s="115"/>
      <c r="Z817" s="114"/>
      <c r="AA817" s="143"/>
      <c r="AB817" s="114"/>
      <c r="AC817" s="114"/>
      <c r="AD817" s="114"/>
    </row>
    <row r="818" spans="1:30" ht="15.75" customHeight="1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43"/>
      <c r="M818" s="143"/>
      <c r="N818" s="143"/>
      <c r="O818" s="143"/>
      <c r="P818" s="114"/>
      <c r="Q818" s="114"/>
      <c r="R818" s="115"/>
      <c r="S818" s="114"/>
      <c r="T818" s="114"/>
      <c r="U818" s="115"/>
      <c r="V818" s="114"/>
      <c r="W818" s="115"/>
      <c r="X818" s="114"/>
      <c r="Y818" s="115"/>
      <c r="Z818" s="114"/>
      <c r="AA818" s="143"/>
      <c r="AB818" s="114"/>
      <c r="AC818" s="114"/>
      <c r="AD818" s="114"/>
    </row>
    <row r="819" spans="1:30" ht="15.75" customHeight="1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43"/>
      <c r="M819" s="143"/>
      <c r="N819" s="143"/>
      <c r="O819" s="143"/>
      <c r="P819" s="114"/>
      <c r="Q819" s="114"/>
      <c r="R819" s="115"/>
      <c r="S819" s="114"/>
      <c r="T819" s="114"/>
      <c r="U819" s="115"/>
      <c r="V819" s="114"/>
      <c r="W819" s="115"/>
      <c r="X819" s="114"/>
      <c r="Y819" s="115"/>
      <c r="Z819" s="114"/>
      <c r="AA819" s="143"/>
      <c r="AB819" s="114"/>
      <c r="AC819" s="114"/>
      <c r="AD819" s="114"/>
    </row>
    <row r="820" spans="1:30" ht="15.75" customHeight="1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43"/>
      <c r="M820" s="143"/>
      <c r="N820" s="143"/>
      <c r="O820" s="143"/>
      <c r="P820" s="114"/>
      <c r="Q820" s="114"/>
      <c r="R820" s="115"/>
      <c r="S820" s="114"/>
      <c r="T820" s="114"/>
      <c r="U820" s="115"/>
      <c r="V820" s="114"/>
      <c r="W820" s="115"/>
      <c r="X820" s="114"/>
      <c r="Y820" s="115"/>
      <c r="Z820" s="114"/>
      <c r="AA820" s="143"/>
      <c r="AB820" s="114"/>
      <c r="AC820" s="114"/>
      <c r="AD820" s="114"/>
    </row>
    <row r="821" spans="1:30" ht="15.75" customHeight="1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43"/>
      <c r="M821" s="143"/>
      <c r="N821" s="143"/>
      <c r="O821" s="143"/>
      <c r="P821" s="114"/>
      <c r="Q821" s="114"/>
      <c r="R821" s="115"/>
      <c r="S821" s="114"/>
      <c r="T821" s="114"/>
      <c r="U821" s="115"/>
      <c r="V821" s="114"/>
      <c r="W821" s="115"/>
      <c r="X821" s="114"/>
      <c r="Y821" s="115"/>
      <c r="Z821" s="114"/>
      <c r="AA821" s="143"/>
      <c r="AB821" s="114"/>
      <c r="AC821" s="114"/>
      <c r="AD821" s="114"/>
    </row>
    <row r="822" spans="1:30" ht="15.75" customHeight="1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43"/>
      <c r="M822" s="143"/>
      <c r="N822" s="143"/>
      <c r="O822" s="143"/>
      <c r="P822" s="114"/>
      <c r="Q822" s="114"/>
      <c r="R822" s="115"/>
      <c r="S822" s="114"/>
      <c r="T822" s="114"/>
      <c r="U822" s="115"/>
      <c r="V822" s="114"/>
      <c r="W822" s="115"/>
      <c r="X822" s="114"/>
      <c r="Y822" s="115"/>
      <c r="Z822" s="114"/>
      <c r="AA822" s="143"/>
      <c r="AB822" s="114"/>
      <c r="AC822" s="114"/>
      <c r="AD822" s="114"/>
    </row>
    <row r="823" spans="1:30" ht="15.75" customHeight="1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43"/>
      <c r="M823" s="143"/>
      <c r="N823" s="143"/>
      <c r="O823" s="143"/>
      <c r="P823" s="114"/>
      <c r="Q823" s="114"/>
      <c r="R823" s="115"/>
      <c r="S823" s="114"/>
      <c r="T823" s="114"/>
      <c r="U823" s="115"/>
      <c r="V823" s="114"/>
      <c r="W823" s="115"/>
      <c r="X823" s="114"/>
      <c r="Y823" s="115"/>
      <c r="Z823" s="114"/>
      <c r="AA823" s="143"/>
      <c r="AB823" s="114"/>
      <c r="AC823" s="114"/>
      <c r="AD823" s="114"/>
    </row>
    <row r="824" spans="1:30" ht="15.75" customHeight="1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43"/>
      <c r="M824" s="143"/>
      <c r="N824" s="143"/>
      <c r="O824" s="143"/>
      <c r="P824" s="114"/>
      <c r="Q824" s="114"/>
      <c r="R824" s="115"/>
      <c r="S824" s="114"/>
      <c r="T824" s="114"/>
      <c r="U824" s="115"/>
      <c r="V824" s="114"/>
      <c r="W824" s="115"/>
      <c r="X824" s="114"/>
      <c r="Y824" s="115"/>
      <c r="Z824" s="114"/>
      <c r="AA824" s="143"/>
      <c r="AB824" s="114"/>
      <c r="AC824" s="114"/>
      <c r="AD824" s="114"/>
    </row>
    <row r="825" spans="1:30" ht="15.75" customHeight="1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43"/>
      <c r="M825" s="143"/>
      <c r="N825" s="143"/>
      <c r="O825" s="143"/>
      <c r="P825" s="114"/>
      <c r="Q825" s="114"/>
      <c r="R825" s="115"/>
      <c r="S825" s="114"/>
      <c r="T825" s="114"/>
      <c r="U825" s="115"/>
      <c r="V825" s="114"/>
      <c r="W825" s="115"/>
      <c r="X825" s="114"/>
      <c r="Y825" s="115"/>
      <c r="Z825" s="114"/>
      <c r="AA825" s="143"/>
      <c r="AB825" s="114"/>
      <c r="AC825" s="114"/>
      <c r="AD825" s="114"/>
    </row>
    <row r="826" spans="1:30" ht="15.75" customHeight="1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43"/>
      <c r="M826" s="143"/>
      <c r="N826" s="143"/>
      <c r="O826" s="143"/>
      <c r="P826" s="114"/>
      <c r="Q826" s="114"/>
      <c r="R826" s="115"/>
      <c r="S826" s="114"/>
      <c r="T826" s="114"/>
      <c r="U826" s="115"/>
      <c r="V826" s="114"/>
      <c r="W826" s="115"/>
      <c r="X826" s="114"/>
      <c r="Y826" s="115"/>
      <c r="Z826" s="114"/>
      <c r="AA826" s="143"/>
      <c r="AB826" s="114"/>
      <c r="AC826" s="114"/>
      <c r="AD826" s="114"/>
    </row>
    <row r="827" spans="1:30" ht="15.75" customHeight="1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43"/>
      <c r="M827" s="143"/>
      <c r="N827" s="143"/>
      <c r="O827" s="143"/>
      <c r="P827" s="114"/>
      <c r="Q827" s="114"/>
      <c r="R827" s="115"/>
      <c r="S827" s="114"/>
      <c r="T827" s="114"/>
      <c r="U827" s="115"/>
      <c r="V827" s="114"/>
      <c r="W827" s="115"/>
      <c r="X827" s="114"/>
      <c r="Y827" s="115"/>
      <c r="Z827" s="114"/>
      <c r="AA827" s="143"/>
      <c r="AB827" s="114"/>
      <c r="AC827" s="114"/>
      <c r="AD827" s="114"/>
    </row>
    <row r="828" spans="1:30" ht="15.75" customHeight="1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43"/>
      <c r="M828" s="143"/>
      <c r="N828" s="143"/>
      <c r="O828" s="143"/>
      <c r="P828" s="114"/>
      <c r="Q828" s="114"/>
      <c r="R828" s="115"/>
      <c r="S828" s="114"/>
      <c r="T828" s="114"/>
      <c r="U828" s="115"/>
      <c r="V828" s="114"/>
      <c r="W828" s="115"/>
      <c r="X828" s="114"/>
      <c r="Y828" s="115"/>
      <c r="Z828" s="114"/>
      <c r="AA828" s="143"/>
      <c r="AB828" s="114"/>
      <c r="AC828" s="114"/>
      <c r="AD828" s="114"/>
    </row>
    <row r="829" spans="1:30" ht="15.75" customHeight="1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43"/>
      <c r="M829" s="143"/>
      <c r="N829" s="143"/>
      <c r="O829" s="143"/>
      <c r="P829" s="114"/>
      <c r="Q829" s="114"/>
      <c r="R829" s="115"/>
      <c r="S829" s="114"/>
      <c r="T829" s="114"/>
      <c r="U829" s="115"/>
      <c r="V829" s="114"/>
      <c r="W829" s="115"/>
      <c r="X829" s="114"/>
      <c r="Y829" s="115"/>
      <c r="Z829" s="114"/>
      <c r="AA829" s="143"/>
      <c r="AB829" s="114"/>
      <c r="AC829" s="114"/>
      <c r="AD829" s="114"/>
    </row>
    <row r="830" spans="1:30" ht="15.75" customHeight="1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43"/>
      <c r="M830" s="143"/>
      <c r="N830" s="143"/>
      <c r="O830" s="143"/>
      <c r="P830" s="114"/>
      <c r="Q830" s="114"/>
      <c r="R830" s="115"/>
      <c r="S830" s="114"/>
      <c r="T830" s="114"/>
      <c r="U830" s="115"/>
      <c r="V830" s="114"/>
      <c r="W830" s="115"/>
      <c r="X830" s="114"/>
      <c r="Y830" s="115"/>
      <c r="Z830" s="114"/>
      <c r="AA830" s="143"/>
      <c r="AB830" s="114"/>
      <c r="AC830" s="114"/>
      <c r="AD830" s="114"/>
    </row>
    <row r="831" spans="1:30" ht="15.75" customHeight="1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43"/>
      <c r="M831" s="143"/>
      <c r="N831" s="143"/>
      <c r="O831" s="143"/>
      <c r="P831" s="114"/>
      <c r="Q831" s="114"/>
      <c r="R831" s="115"/>
      <c r="S831" s="114"/>
      <c r="T831" s="114"/>
      <c r="U831" s="115"/>
      <c r="V831" s="114"/>
      <c r="W831" s="115"/>
      <c r="X831" s="114"/>
      <c r="Y831" s="115"/>
      <c r="Z831" s="114"/>
      <c r="AA831" s="143"/>
      <c r="AB831" s="114"/>
      <c r="AC831" s="114"/>
      <c r="AD831" s="114"/>
    </row>
    <row r="832" spans="1:30" ht="15.75" customHeight="1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43"/>
      <c r="M832" s="143"/>
      <c r="N832" s="143"/>
      <c r="O832" s="143"/>
      <c r="P832" s="114"/>
      <c r="Q832" s="114"/>
      <c r="R832" s="115"/>
      <c r="S832" s="114"/>
      <c r="T832" s="114"/>
      <c r="U832" s="115"/>
      <c r="V832" s="114"/>
      <c r="W832" s="115"/>
      <c r="X832" s="114"/>
      <c r="Y832" s="115"/>
      <c r="Z832" s="114"/>
      <c r="AA832" s="143"/>
      <c r="AB832" s="114"/>
      <c r="AC832" s="114"/>
      <c r="AD832" s="114"/>
    </row>
    <row r="833" spans="1:30" ht="15.75" customHeight="1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43"/>
      <c r="M833" s="143"/>
      <c r="N833" s="143"/>
      <c r="O833" s="143"/>
      <c r="P833" s="114"/>
      <c r="Q833" s="114"/>
      <c r="R833" s="115"/>
      <c r="S833" s="114"/>
      <c r="T833" s="114"/>
      <c r="U833" s="115"/>
      <c r="V833" s="114"/>
      <c r="W833" s="115"/>
      <c r="X833" s="114"/>
      <c r="Y833" s="115"/>
      <c r="Z833" s="114"/>
      <c r="AA833" s="143"/>
      <c r="AB833" s="114"/>
      <c r="AC833" s="114"/>
      <c r="AD833" s="114"/>
    </row>
    <row r="834" spans="1:30" ht="15.75" customHeight="1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43"/>
      <c r="M834" s="143"/>
      <c r="N834" s="143"/>
      <c r="O834" s="143"/>
      <c r="P834" s="114"/>
      <c r="Q834" s="114"/>
      <c r="R834" s="115"/>
      <c r="S834" s="114"/>
      <c r="T834" s="114"/>
      <c r="U834" s="115"/>
      <c r="V834" s="114"/>
      <c r="W834" s="115"/>
      <c r="X834" s="114"/>
      <c r="Y834" s="115"/>
      <c r="Z834" s="114"/>
      <c r="AA834" s="143"/>
      <c r="AB834" s="114"/>
      <c r="AC834" s="114"/>
      <c r="AD834" s="114"/>
    </row>
    <row r="835" spans="1:30" ht="15.75" customHeight="1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43"/>
      <c r="M835" s="143"/>
      <c r="N835" s="143"/>
      <c r="O835" s="143"/>
      <c r="P835" s="114"/>
      <c r="Q835" s="114"/>
      <c r="R835" s="115"/>
      <c r="S835" s="114"/>
      <c r="T835" s="114"/>
      <c r="U835" s="115"/>
      <c r="V835" s="114"/>
      <c r="W835" s="115"/>
      <c r="X835" s="114"/>
      <c r="Y835" s="115"/>
      <c r="Z835" s="114"/>
      <c r="AA835" s="143"/>
      <c r="AB835" s="114"/>
      <c r="AC835" s="114"/>
      <c r="AD835" s="114"/>
    </row>
    <row r="836" spans="1:30" ht="15.75" customHeight="1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43"/>
      <c r="M836" s="143"/>
      <c r="N836" s="143"/>
      <c r="O836" s="143"/>
      <c r="P836" s="114"/>
      <c r="Q836" s="114"/>
      <c r="R836" s="115"/>
      <c r="S836" s="114"/>
      <c r="T836" s="114"/>
      <c r="U836" s="115"/>
      <c r="V836" s="114"/>
      <c r="W836" s="115"/>
      <c r="X836" s="114"/>
      <c r="Y836" s="115"/>
      <c r="Z836" s="114"/>
      <c r="AA836" s="143"/>
      <c r="AB836" s="114"/>
      <c r="AC836" s="114"/>
      <c r="AD836" s="114"/>
    </row>
    <row r="837" spans="1:30" ht="15.75" customHeight="1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43"/>
      <c r="M837" s="143"/>
      <c r="N837" s="143"/>
      <c r="O837" s="143"/>
      <c r="P837" s="114"/>
      <c r="Q837" s="114"/>
      <c r="R837" s="115"/>
      <c r="S837" s="114"/>
      <c r="T837" s="114"/>
      <c r="U837" s="115"/>
      <c r="V837" s="114"/>
      <c r="W837" s="115"/>
      <c r="X837" s="114"/>
      <c r="Y837" s="115"/>
      <c r="Z837" s="114"/>
      <c r="AA837" s="143"/>
      <c r="AB837" s="114"/>
      <c r="AC837" s="114"/>
      <c r="AD837" s="114"/>
    </row>
    <row r="838" spans="1:30" ht="15.75" customHeight="1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43"/>
      <c r="M838" s="143"/>
      <c r="N838" s="143"/>
      <c r="O838" s="143"/>
      <c r="P838" s="114"/>
      <c r="Q838" s="114"/>
      <c r="R838" s="115"/>
      <c r="S838" s="114"/>
      <c r="T838" s="114"/>
      <c r="U838" s="115"/>
      <c r="V838" s="114"/>
      <c r="W838" s="115"/>
      <c r="X838" s="114"/>
      <c r="Y838" s="115"/>
      <c r="Z838" s="114"/>
      <c r="AA838" s="143"/>
      <c r="AB838" s="114"/>
      <c r="AC838" s="114"/>
      <c r="AD838" s="114"/>
    </row>
    <row r="839" spans="1:30" ht="15.75" customHeight="1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43"/>
      <c r="M839" s="143"/>
      <c r="N839" s="143"/>
      <c r="O839" s="143"/>
      <c r="P839" s="114"/>
      <c r="Q839" s="114"/>
      <c r="R839" s="115"/>
      <c r="S839" s="114"/>
      <c r="T839" s="114"/>
      <c r="U839" s="115"/>
      <c r="V839" s="114"/>
      <c r="W839" s="115"/>
      <c r="X839" s="114"/>
      <c r="Y839" s="115"/>
      <c r="Z839" s="114"/>
      <c r="AA839" s="143"/>
      <c r="AB839" s="114"/>
      <c r="AC839" s="114"/>
      <c r="AD839" s="114"/>
    </row>
    <row r="840" spans="1:30" ht="15.75" customHeight="1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43"/>
      <c r="M840" s="143"/>
      <c r="N840" s="143"/>
      <c r="O840" s="143"/>
      <c r="P840" s="114"/>
      <c r="Q840" s="114"/>
      <c r="R840" s="115"/>
      <c r="S840" s="114"/>
      <c r="T840" s="114"/>
      <c r="U840" s="115"/>
      <c r="V840" s="114"/>
      <c r="W840" s="115"/>
      <c r="X840" s="114"/>
      <c r="Y840" s="115"/>
      <c r="Z840" s="114"/>
      <c r="AA840" s="143"/>
      <c r="AB840" s="114"/>
      <c r="AC840" s="114"/>
      <c r="AD840" s="114"/>
    </row>
    <row r="841" spans="1:30" ht="15.75" customHeight="1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43"/>
      <c r="M841" s="143"/>
      <c r="N841" s="143"/>
      <c r="O841" s="143"/>
      <c r="P841" s="114"/>
      <c r="Q841" s="114"/>
      <c r="R841" s="115"/>
      <c r="S841" s="114"/>
      <c r="T841" s="114"/>
      <c r="U841" s="115"/>
      <c r="V841" s="114"/>
      <c r="W841" s="115"/>
      <c r="X841" s="114"/>
      <c r="Y841" s="115"/>
      <c r="Z841" s="114"/>
      <c r="AA841" s="143"/>
      <c r="AB841" s="114"/>
      <c r="AC841" s="114"/>
      <c r="AD841" s="114"/>
    </row>
    <row r="842" spans="1:30" ht="15.75" customHeight="1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43"/>
      <c r="M842" s="143"/>
      <c r="N842" s="143"/>
      <c r="O842" s="143"/>
      <c r="P842" s="114"/>
      <c r="Q842" s="114"/>
      <c r="R842" s="115"/>
      <c r="S842" s="114"/>
      <c r="T842" s="114"/>
      <c r="U842" s="115"/>
      <c r="V842" s="114"/>
      <c r="W842" s="115"/>
      <c r="X842" s="114"/>
      <c r="Y842" s="115"/>
      <c r="Z842" s="114"/>
      <c r="AA842" s="143"/>
      <c r="AB842" s="114"/>
      <c r="AC842" s="114"/>
      <c r="AD842" s="114"/>
    </row>
    <row r="843" spans="1:30" ht="15.75" customHeight="1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43"/>
      <c r="M843" s="143"/>
      <c r="N843" s="143"/>
      <c r="O843" s="143"/>
      <c r="P843" s="114"/>
      <c r="Q843" s="114"/>
      <c r="R843" s="115"/>
      <c r="S843" s="114"/>
      <c r="T843" s="114"/>
      <c r="U843" s="115"/>
      <c r="V843" s="114"/>
      <c r="W843" s="115"/>
      <c r="X843" s="114"/>
      <c r="Y843" s="115"/>
      <c r="Z843" s="114"/>
      <c r="AA843" s="143"/>
      <c r="AB843" s="114"/>
      <c r="AC843" s="114"/>
      <c r="AD843" s="114"/>
    </row>
    <row r="844" spans="1:30" ht="15.75" customHeight="1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43"/>
      <c r="M844" s="143"/>
      <c r="N844" s="143"/>
      <c r="O844" s="143"/>
      <c r="P844" s="114"/>
      <c r="Q844" s="114"/>
      <c r="R844" s="115"/>
      <c r="S844" s="114"/>
      <c r="T844" s="114"/>
      <c r="U844" s="115"/>
      <c r="V844" s="114"/>
      <c r="W844" s="115"/>
      <c r="X844" s="114"/>
      <c r="Y844" s="115"/>
      <c r="Z844" s="114"/>
      <c r="AA844" s="143"/>
      <c r="AB844" s="114"/>
      <c r="AC844" s="114"/>
      <c r="AD844" s="114"/>
    </row>
    <row r="845" spans="1:30" ht="15.75" customHeight="1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43"/>
      <c r="M845" s="143"/>
      <c r="N845" s="143"/>
      <c r="O845" s="143"/>
      <c r="P845" s="114"/>
      <c r="Q845" s="114"/>
      <c r="R845" s="115"/>
      <c r="S845" s="114"/>
      <c r="T845" s="114"/>
      <c r="U845" s="115"/>
      <c r="V845" s="114"/>
      <c r="W845" s="115"/>
      <c r="X845" s="114"/>
      <c r="Y845" s="115"/>
      <c r="Z845" s="114"/>
      <c r="AA845" s="143"/>
      <c r="AB845" s="114"/>
      <c r="AC845" s="114"/>
      <c r="AD845" s="114"/>
    </row>
    <row r="846" spans="1:30" ht="15.75" customHeight="1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43"/>
      <c r="M846" s="143"/>
      <c r="N846" s="143"/>
      <c r="O846" s="143"/>
      <c r="P846" s="114"/>
      <c r="Q846" s="114"/>
      <c r="R846" s="115"/>
      <c r="S846" s="114"/>
      <c r="T846" s="114"/>
      <c r="U846" s="115"/>
      <c r="V846" s="114"/>
      <c r="W846" s="115"/>
      <c r="X846" s="114"/>
      <c r="Y846" s="115"/>
      <c r="Z846" s="114"/>
      <c r="AA846" s="143"/>
      <c r="AB846" s="114"/>
      <c r="AC846" s="114"/>
      <c r="AD846" s="114"/>
    </row>
    <row r="847" spans="1:30" ht="15.75" customHeight="1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43"/>
      <c r="M847" s="143"/>
      <c r="N847" s="143"/>
      <c r="O847" s="143"/>
      <c r="P847" s="114"/>
      <c r="Q847" s="114"/>
      <c r="R847" s="115"/>
      <c r="S847" s="114"/>
      <c r="T847" s="114"/>
      <c r="U847" s="115"/>
      <c r="V847" s="114"/>
      <c r="W847" s="115"/>
      <c r="X847" s="114"/>
      <c r="Y847" s="115"/>
      <c r="Z847" s="114"/>
      <c r="AA847" s="143"/>
      <c r="AB847" s="114"/>
      <c r="AC847" s="114"/>
      <c r="AD847" s="114"/>
    </row>
    <row r="848" spans="1:30" ht="15.75" customHeight="1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43"/>
      <c r="M848" s="143"/>
      <c r="N848" s="143"/>
      <c r="O848" s="143"/>
      <c r="P848" s="114"/>
      <c r="Q848" s="114"/>
      <c r="R848" s="115"/>
      <c r="S848" s="114"/>
      <c r="T848" s="114"/>
      <c r="U848" s="115"/>
      <c r="V848" s="114"/>
      <c r="W848" s="115"/>
      <c r="X848" s="114"/>
      <c r="Y848" s="115"/>
      <c r="Z848" s="114"/>
      <c r="AA848" s="143"/>
      <c r="AB848" s="114"/>
      <c r="AC848" s="114"/>
      <c r="AD848" s="114"/>
    </row>
    <row r="849" spans="1:30" ht="15.75" customHeight="1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43"/>
      <c r="M849" s="143"/>
      <c r="N849" s="143"/>
      <c r="O849" s="143"/>
      <c r="P849" s="114"/>
      <c r="Q849" s="114"/>
      <c r="R849" s="115"/>
      <c r="S849" s="114"/>
      <c r="T849" s="114"/>
      <c r="U849" s="115"/>
      <c r="V849" s="114"/>
      <c r="W849" s="115"/>
      <c r="X849" s="114"/>
      <c r="Y849" s="115"/>
      <c r="Z849" s="114"/>
      <c r="AA849" s="143"/>
      <c r="AB849" s="114"/>
      <c r="AC849" s="114"/>
      <c r="AD849" s="114"/>
    </row>
    <row r="850" spans="1:30" ht="15.75" customHeight="1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43"/>
      <c r="M850" s="143"/>
      <c r="N850" s="143"/>
      <c r="O850" s="143"/>
      <c r="P850" s="114"/>
      <c r="Q850" s="114"/>
      <c r="R850" s="115"/>
      <c r="S850" s="114"/>
      <c r="T850" s="114"/>
      <c r="U850" s="115"/>
      <c r="V850" s="114"/>
      <c r="W850" s="115"/>
      <c r="X850" s="114"/>
      <c r="Y850" s="115"/>
      <c r="Z850" s="114"/>
      <c r="AA850" s="143"/>
      <c r="AB850" s="114"/>
      <c r="AC850" s="114"/>
      <c r="AD850" s="114"/>
    </row>
    <row r="851" spans="1:30" ht="15.75" customHeight="1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43"/>
      <c r="M851" s="143"/>
      <c r="N851" s="143"/>
      <c r="O851" s="143"/>
      <c r="P851" s="114"/>
      <c r="Q851" s="114"/>
      <c r="R851" s="115"/>
      <c r="S851" s="114"/>
      <c r="T851" s="114"/>
      <c r="U851" s="115"/>
      <c r="V851" s="114"/>
      <c r="W851" s="115"/>
      <c r="X851" s="114"/>
      <c r="Y851" s="115"/>
      <c r="Z851" s="114"/>
      <c r="AA851" s="143"/>
      <c r="AB851" s="114"/>
      <c r="AC851" s="114"/>
      <c r="AD851" s="114"/>
    </row>
    <row r="852" spans="1:30" ht="15.75" customHeight="1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43"/>
      <c r="M852" s="143"/>
      <c r="N852" s="143"/>
      <c r="O852" s="143"/>
      <c r="P852" s="114"/>
      <c r="Q852" s="114"/>
      <c r="R852" s="115"/>
      <c r="S852" s="114"/>
      <c r="T852" s="114"/>
      <c r="U852" s="115"/>
      <c r="V852" s="114"/>
      <c r="W852" s="115"/>
      <c r="X852" s="114"/>
      <c r="Y852" s="115"/>
      <c r="Z852" s="114"/>
      <c r="AA852" s="143"/>
      <c r="AB852" s="114"/>
      <c r="AC852" s="114"/>
      <c r="AD852" s="114"/>
    </row>
    <row r="853" spans="1:30" ht="15.75" customHeight="1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43"/>
      <c r="M853" s="143"/>
      <c r="N853" s="143"/>
      <c r="O853" s="143"/>
      <c r="P853" s="114"/>
      <c r="Q853" s="114"/>
      <c r="R853" s="115"/>
      <c r="S853" s="114"/>
      <c r="T853" s="114"/>
      <c r="U853" s="115"/>
      <c r="V853" s="114"/>
      <c r="W853" s="115"/>
      <c r="X853" s="114"/>
      <c r="Y853" s="115"/>
      <c r="Z853" s="114"/>
      <c r="AA853" s="143"/>
      <c r="AB853" s="114"/>
      <c r="AC853" s="114"/>
      <c r="AD853" s="114"/>
    </row>
    <row r="854" spans="1:30" ht="15.75" customHeight="1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43"/>
      <c r="M854" s="143"/>
      <c r="N854" s="143"/>
      <c r="O854" s="143"/>
      <c r="P854" s="114"/>
      <c r="Q854" s="114"/>
      <c r="R854" s="115"/>
      <c r="S854" s="114"/>
      <c r="T854" s="114"/>
      <c r="U854" s="115"/>
      <c r="V854" s="114"/>
      <c r="W854" s="115"/>
      <c r="X854" s="114"/>
      <c r="Y854" s="115"/>
      <c r="Z854" s="114"/>
      <c r="AA854" s="143"/>
      <c r="AB854" s="114"/>
      <c r="AC854" s="114"/>
      <c r="AD854" s="114"/>
    </row>
    <row r="855" spans="1:30" ht="15.75" customHeight="1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43"/>
      <c r="M855" s="143"/>
      <c r="N855" s="143"/>
      <c r="O855" s="143"/>
      <c r="P855" s="114"/>
      <c r="Q855" s="114"/>
      <c r="R855" s="115"/>
      <c r="S855" s="114"/>
      <c r="T855" s="114"/>
      <c r="U855" s="115"/>
      <c r="V855" s="114"/>
      <c r="W855" s="115"/>
      <c r="X855" s="114"/>
      <c r="Y855" s="115"/>
      <c r="Z855" s="114"/>
      <c r="AA855" s="143"/>
      <c r="AB855" s="114"/>
      <c r="AC855" s="114"/>
      <c r="AD855" s="114"/>
    </row>
    <row r="856" spans="1:30" ht="15.75" customHeight="1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43"/>
      <c r="M856" s="143"/>
      <c r="N856" s="143"/>
      <c r="O856" s="143"/>
      <c r="P856" s="114"/>
      <c r="Q856" s="114"/>
      <c r="R856" s="115"/>
      <c r="S856" s="114"/>
      <c r="T856" s="114"/>
      <c r="U856" s="115"/>
      <c r="V856" s="114"/>
      <c r="W856" s="115"/>
      <c r="X856" s="114"/>
      <c r="Y856" s="115"/>
      <c r="Z856" s="114"/>
      <c r="AA856" s="143"/>
      <c r="AB856" s="114"/>
      <c r="AC856" s="114"/>
      <c r="AD856" s="114"/>
    </row>
    <row r="857" spans="1:30" ht="15.75" customHeight="1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43"/>
      <c r="M857" s="143"/>
      <c r="N857" s="143"/>
      <c r="O857" s="143"/>
      <c r="P857" s="114"/>
      <c r="Q857" s="114"/>
      <c r="R857" s="115"/>
      <c r="S857" s="114"/>
      <c r="T857" s="114"/>
      <c r="U857" s="115"/>
      <c r="V857" s="114"/>
      <c r="W857" s="115"/>
      <c r="X857" s="114"/>
      <c r="Y857" s="115"/>
      <c r="Z857" s="114"/>
      <c r="AA857" s="143"/>
      <c r="AB857" s="114"/>
      <c r="AC857" s="114"/>
      <c r="AD857" s="114"/>
    </row>
    <row r="858" spans="1:30" ht="15.75" customHeight="1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43"/>
      <c r="M858" s="143"/>
      <c r="N858" s="143"/>
      <c r="O858" s="143"/>
      <c r="P858" s="114"/>
      <c r="Q858" s="114"/>
      <c r="R858" s="115"/>
      <c r="S858" s="114"/>
      <c r="T858" s="114"/>
      <c r="U858" s="115"/>
      <c r="V858" s="114"/>
      <c r="W858" s="115"/>
      <c r="X858" s="114"/>
      <c r="Y858" s="115"/>
      <c r="Z858" s="114"/>
      <c r="AA858" s="143"/>
      <c r="AB858" s="114"/>
      <c r="AC858" s="114"/>
      <c r="AD858" s="114"/>
    </row>
    <row r="859" spans="1:30" ht="15.75" customHeight="1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43"/>
      <c r="M859" s="143"/>
      <c r="N859" s="143"/>
      <c r="O859" s="143"/>
      <c r="P859" s="114"/>
      <c r="Q859" s="114"/>
      <c r="R859" s="115"/>
      <c r="S859" s="114"/>
      <c r="T859" s="114"/>
      <c r="U859" s="115"/>
      <c r="V859" s="114"/>
      <c r="W859" s="115"/>
      <c r="X859" s="114"/>
      <c r="Y859" s="115"/>
      <c r="Z859" s="114"/>
      <c r="AA859" s="143"/>
      <c r="AB859" s="114"/>
      <c r="AC859" s="114"/>
      <c r="AD859" s="114"/>
    </row>
    <row r="860" spans="1:30" ht="15.75" customHeight="1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43"/>
      <c r="M860" s="143"/>
      <c r="N860" s="143"/>
      <c r="O860" s="143"/>
      <c r="P860" s="114"/>
      <c r="Q860" s="114"/>
      <c r="R860" s="115"/>
      <c r="S860" s="114"/>
      <c r="T860" s="114"/>
      <c r="U860" s="115"/>
      <c r="V860" s="114"/>
      <c r="W860" s="115"/>
      <c r="X860" s="114"/>
      <c r="Y860" s="115"/>
      <c r="Z860" s="114"/>
      <c r="AA860" s="143"/>
      <c r="AB860" s="114"/>
      <c r="AC860" s="114"/>
      <c r="AD860" s="114"/>
    </row>
    <row r="861" spans="1:30" ht="15.75" customHeight="1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43"/>
      <c r="M861" s="143"/>
      <c r="N861" s="143"/>
      <c r="O861" s="143"/>
      <c r="P861" s="114"/>
      <c r="Q861" s="114"/>
      <c r="R861" s="115"/>
      <c r="S861" s="114"/>
      <c r="T861" s="114"/>
      <c r="U861" s="115"/>
      <c r="V861" s="114"/>
      <c r="W861" s="115"/>
      <c r="X861" s="114"/>
      <c r="Y861" s="115"/>
      <c r="Z861" s="114"/>
      <c r="AA861" s="143"/>
      <c r="AB861" s="114"/>
      <c r="AC861" s="114"/>
      <c r="AD861" s="114"/>
    </row>
    <row r="862" spans="1:30" ht="15.75" customHeight="1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43"/>
      <c r="M862" s="143"/>
      <c r="N862" s="143"/>
      <c r="O862" s="143"/>
      <c r="P862" s="114"/>
      <c r="Q862" s="114"/>
      <c r="R862" s="115"/>
      <c r="S862" s="114"/>
      <c r="T862" s="114"/>
      <c r="U862" s="115"/>
      <c r="V862" s="114"/>
      <c r="W862" s="115"/>
      <c r="X862" s="114"/>
      <c r="Y862" s="115"/>
      <c r="Z862" s="114"/>
      <c r="AA862" s="143"/>
      <c r="AB862" s="114"/>
      <c r="AC862" s="114"/>
      <c r="AD862" s="114"/>
    </row>
    <row r="863" spans="1:30" ht="15.75" customHeight="1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43"/>
      <c r="M863" s="143"/>
      <c r="N863" s="143"/>
      <c r="O863" s="143"/>
      <c r="P863" s="114"/>
      <c r="Q863" s="114"/>
      <c r="R863" s="115"/>
      <c r="S863" s="114"/>
      <c r="T863" s="114"/>
      <c r="U863" s="115"/>
      <c r="V863" s="114"/>
      <c r="W863" s="115"/>
      <c r="X863" s="114"/>
      <c r="Y863" s="115"/>
      <c r="Z863" s="114"/>
      <c r="AA863" s="143"/>
      <c r="AB863" s="114"/>
      <c r="AC863" s="114"/>
      <c r="AD863" s="114"/>
    </row>
    <row r="864" spans="1:30" ht="15.75" customHeight="1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43"/>
      <c r="M864" s="143"/>
      <c r="N864" s="143"/>
      <c r="O864" s="143"/>
      <c r="P864" s="114"/>
      <c r="Q864" s="114"/>
      <c r="R864" s="115"/>
      <c r="S864" s="114"/>
      <c r="T864" s="114"/>
      <c r="U864" s="115"/>
      <c r="V864" s="114"/>
      <c r="W864" s="115"/>
      <c r="X864" s="114"/>
      <c r="Y864" s="115"/>
      <c r="Z864" s="114"/>
      <c r="AA864" s="143"/>
      <c r="AB864" s="114"/>
      <c r="AC864" s="114"/>
      <c r="AD864" s="114"/>
    </row>
    <row r="865" spans="1:30" ht="15.75" customHeight="1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43"/>
      <c r="M865" s="143"/>
      <c r="N865" s="143"/>
      <c r="O865" s="143"/>
      <c r="P865" s="114"/>
      <c r="Q865" s="114"/>
      <c r="R865" s="115"/>
      <c r="S865" s="114"/>
      <c r="T865" s="114"/>
      <c r="U865" s="115"/>
      <c r="V865" s="114"/>
      <c r="W865" s="115"/>
      <c r="X865" s="114"/>
      <c r="Y865" s="115"/>
      <c r="Z865" s="114"/>
      <c r="AA865" s="143"/>
      <c r="AB865" s="114"/>
      <c r="AC865" s="114"/>
      <c r="AD865" s="114"/>
    </row>
    <row r="866" spans="1:30" ht="15.75" customHeight="1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43"/>
      <c r="M866" s="143"/>
      <c r="N866" s="143"/>
      <c r="O866" s="143"/>
      <c r="P866" s="114"/>
      <c r="Q866" s="114"/>
      <c r="R866" s="115"/>
      <c r="S866" s="114"/>
      <c r="T866" s="114"/>
      <c r="U866" s="115"/>
      <c r="V866" s="114"/>
      <c r="W866" s="115"/>
      <c r="X866" s="114"/>
      <c r="Y866" s="115"/>
      <c r="Z866" s="114"/>
      <c r="AA866" s="143"/>
      <c r="AB866" s="114"/>
      <c r="AC866" s="114"/>
      <c r="AD866" s="114"/>
    </row>
    <row r="867" spans="1:30" ht="15.75" customHeight="1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43"/>
      <c r="M867" s="143"/>
      <c r="N867" s="143"/>
      <c r="O867" s="143"/>
      <c r="P867" s="114"/>
      <c r="Q867" s="114"/>
      <c r="R867" s="115"/>
      <c r="S867" s="114"/>
      <c r="T867" s="114"/>
      <c r="U867" s="115"/>
      <c r="V867" s="114"/>
      <c r="W867" s="115"/>
      <c r="X867" s="114"/>
      <c r="Y867" s="115"/>
      <c r="Z867" s="114"/>
      <c r="AA867" s="143"/>
      <c r="AB867" s="114"/>
      <c r="AC867" s="114"/>
      <c r="AD867" s="114"/>
    </row>
    <row r="868" spans="1:30" ht="15.75" customHeight="1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43"/>
      <c r="M868" s="143"/>
      <c r="N868" s="143"/>
      <c r="O868" s="143"/>
      <c r="P868" s="114"/>
      <c r="Q868" s="114"/>
      <c r="R868" s="115"/>
      <c r="S868" s="114"/>
      <c r="T868" s="114"/>
      <c r="U868" s="115"/>
      <c r="V868" s="114"/>
      <c r="W868" s="115"/>
      <c r="X868" s="114"/>
      <c r="Y868" s="115"/>
      <c r="Z868" s="114"/>
      <c r="AA868" s="143"/>
      <c r="AB868" s="114"/>
      <c r="AC868" s="114"/>
      <c r="AD868" s="114"/>
    </row>
    <row r="869" spans="1:30" ht="15.75" customHeight="1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43"/>
      <c r="M869" s="143"/>
      <c r="N869" s="143"/>
      <c r="O869" s="143"/>
      <c r="P869" s="114"/>
      <c r="Q869" s="114"/>
      <c r="R869" s="115"/>
      <c r="S869" s="114"/>
      <c r="T869" s="114"/>
      <c r="U869" s="115"/>
      <c r="V869" s="114"/>
      <c r="W869" s="115"/>
      <c r="X869" s="114"/>
      <c r="Y869" s="115"/>
      <c r="Z869" s="114"/>
      <c r="AA869" s="143"/>
      <c r="AB869" s="114"/>
      <c r="AC869" s="114"/>
      <c r="AD869" s="114"/>
    </row>
    <row r="870" spans="1:30" ht="15.75" customHeight="1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43"/>
      <c r="M870" s="143"/>
      <c r="N870" s="143"/>
      <c r="O870" s="143"/>
      <c r="P870" s="114"/>
      <c r="Q870" s="114"/>
      <c r="R870" s="115"/>
      <c r="S870" s="114"/>
      <c r="T870" s="114"/>
      <c r="U870" s="115"/>
      <c r="V870" s="114"/>
      <c r="W870" s="115"/>
      <c r="X870" s="114"/>
      <c r="Y870" s="115"/>
      <c r="Z870" s="114"/>
      <c r="AA870" s="143"/>
      <c r="AB870" s="114"/>
      <c r="AC870" s="114"/>
      <c r="AD870" s="114"/>
    </row>
    <row r="871" spans="1:30" ht="15.75" customHeight="1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43"/>
      <c r="M871" s="143"/>
      <c r="N871" s="143"/>
      <c r="O871" s="143"/>
      <c r="P871" s="114"/>
      <c r="Q871" s="114"/>
      <c r="R871" s="115"/>
      <c r="S871" s="114"/>
      <c r="T871" s="114"/>
      <c r="U871" s="115"/>
      <c r="V871" s="114"/>
      <c r="W871" s="115"/>
      <c r="X871" s="114"/>
      <c r="Y871" s="115"/>
      <c r="Z871" s="114"/>
      <c r="AA871" s="143"/>
      <c r="AB871" s="114"/>
      <c r="AC871" s="114"/>
      <c r="AD871" s="114"/>
    </row>
    <row r="872" spans="1:30" ht="15.75" customHeight="1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43"/>
      <c r="M872" s="143"/>
      <c r="N872" s="143"/>
      <c r="O872" s="143"/>
      <c r="P872" s="114"/>
      <c r="Q872" s="114"/>
      <c r="R872" s="115"/>
      <c r="S872" s="114"/>
      <c r="T872" s="114"/>
      <c r="U872" s="115"/>
      <c r="V872" s="114"/>
      <c r="W872" s="115"/>
      <c r="X872" s="114"/>
      <c r="Y872" s="115"/>
      <c r="Z872" s="114"/>
      <c r="AA872" s="143"/>
      <c r="AB872" s="114"/>
      <c r="AC872" s="114"/>
      <c r="AD872" s="114"/>
    </row>
    <row r="873" spans="1:30" ht="15.75" customHeight="1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43"/>
      <c r="M873" s="143"/>
      <c r="N873" s="143"/>
      <c r="O873" s="143"/>
      <c r="P873" s="114"/>
      <c r="Q873" s="114"/>
      <c r="R873" s="115"/>
      <c r="S873" s="114"/>
      <c r="T873" s="114"/>
      <c r="U873" s="115"/>
      <c r="V873" s="114"/>
      <c r="W873" s="115"/>
      <c r="X873" s="114"/>
      <c r="Y873" s="115"/>
      <c r="Z873" s="114"/>
      <c r="AA873" s="143"/>
      <c r="AB873" s="114"/>
      <c r="AC873" s="114"/>
      <c r="AD873" s="114"/>
    </row>
    <row r="874" spans="1:30" ht="15.75" customHeight="1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43"/>
      <c r="M874" s="143"/>
      <c r="N874" s="143"/>
      <c r="O874" s="143"/>
      <c r="P874" s="114"/>
      <c r="Q874" s="114"/>
      <c r="R874" s="115"/>
      <c r="S874" s="114"/>
      <c r="T874" s="114"/>
      <c r="U874" s="115"/>
      <c r="V874" s="114"/>
      <c r="W874" s="115"/>
      <c r="X874" s="114"/>
      <c r="Y874" s="115"/>
      <c r="Z874" s="114"/>
      <c r="AA874" s="143"/>
      <c r="AB874" s="114"/>
      <c r="AC874" s="114"/>
      <c r="AD874" s="114"/>
    </row>
    <row r="875" spans="1:30" ht="15.75" customHeight="1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43"/>
      <c r="M875" s="143"/>
      <c r="N875" s="143"/>
      <c r="O875" s="143"/>
      <c r="P875" s="114"/>
      <c r="Q875" s="114"/>
      <c r="R875" s="115"/>
      <c r="S875" s="114"/>
      <c r="T875" s="114"/>
      <c r="U875" s="115"/>
      <c r="V875" s="114"/>
      <c r="W875" s="115"/>
      <c r="X875" s="114"/>
      <c r="Y875" s="115"/>
      <c r="Z875" s="114"/>
      <c r="AA875" s="143"/>
      <c r="AB875" s="114"/>
      <c r="AC875" s="114"/>
      <c r="AD875" s="114"/>
    </row>
    <row r="876" spans="1:30" ht="15.75" customHeight="1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43"/>
      <c r="M876" s="143"/>
      <c r="N876" s="143"/>
      <c r="O876" s="143"/>
      <c r="P876" s="114"/>
      <c r="Q876" s="114"/>
      <c r="R876" s="115"/>
      <c r="S876" s="114"/>
      <c r="T876" s="114"/>
      <c r="U876" s="115"/>
      <c r="V876" s="114"/>
      <c r="W876" s="115"/>
      <c r="X876" s="114"/>
      <c r="Y876" s="115"/>
      <c r="Z876" s="114"/>
      <c r="AA876" s="143"/>
      <c r="AB876" s="114"/>
      <c r="AC876" s="114"/>
      <c r="AD876" s="114"/>
    </row>
    <row r="877" spans="1:30" ht="15.75" customHeight="1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43"/>
      <c r="M877" s="143"/>
      <c r="N877" s="143"/>
      <c r="O877" s="143"/>
      <c r="P877" s="114"/>
      <c r="Q877" s="114"/>
      <c r="R877" s="115"/>
      <c r="S877" s="114"/>
      <c r="T877" s="114"/>
      <c r="U877" s="115"/>
      <c r="V877" s="114"/>
      <c r="W877" s="115"/>
      <c r="X877" s="114"/>
      <c r="Y877" s="115"/>
      <c r="Z877" s="114"/>
      <c r="AA877" s="143"/>
      <c r="AB877" s="114"/>
      <c r="AC877" s="114"/>
      <c r="AD877" s="114"/>
    </row>
    <row r="878" spans="1:30" ht="15.75" customHeight="1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43"/>
      <c r="M878" s="143"/>
      <c r="N878" s="143"/>
      <c r="O878" s="143"/>
      <c r="P878" s="114"/>
      <c r="Q878" s="114"/>
      <c r="R878" s="115"/>
      <c r="S878" s="114"/>
      <c r="T878" s="114"/>
      <c r="U878" s="115"/>
      <c r="V878" s="114"/>
      <c r="W878" s="115"/>
      <c r="X878" s="114"/>
      <c r="Y878" s="115"/>
      <c r="Z878" s="114"/>
      <c r="AA878" s="143"/>
      <c r="AB878" s="114"/>
      <c r="AC878" s="114"/>
      <c r="AD878" s="114"/>
    </row>
    <row r="879" spans="1:30" ht="15.75" customHeight="1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43"/>
      <c r="M879" s="143"/>
      <c r="N879" s="143"/>
      <c r="O879" s="143"/>
      <c r="P879" s="114"/>
      <c r="Q879" s="114"/>
      <c r="R879" s="115"/>
      <c r="S879" s="114"/>
      <c r="T879" s="114"/>
      <c r="U879" s="115"/>
      <c r="V879" s="114"/>
      <c r="W879" s="115"/>
      <c r="X879" s="114"/>
      <c r="Y879" s="115"/>
      <c r="Z879" s="114"/>
      <c r="AA879" s="143"/>
      <c r="AB879" s="114"/>
      <c r="AC879" s="114"/>
      <c r="AD879" s="114"/>
    </row>
    <row r="880" spans="1:30" ht="15.75" customHeight="1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43"/>
      <c r="M880" s="143"/>
      <c r="N880" s="143"/>
      <c r="O880" s="143"/>
      <c r="P880" s="114"/>
      <c r="Q880" s="114"/>
      <c r="R880" s="115"/>
      <c r="S880" s="114"/>
      <c r="T880" s="114"/>
      <c r="U880" s="115"/>
      <c r="V880" s="114"/>
      <c r="W880" s="115"/>
      <c r="X880" s="114"/>
      <c r="Y880" s="115"/>
      <c r="Z880" s="114"/>
      <c r="AA880" s="143"/>
      <c r="AB880" s="114"/>
      <c r="AC880" s="114"/>
      <c r="AD880" s="114"/>
    </row>
    <row r="881" spans="1:30" ht="15.75" customHeight="1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43"/>
      <c r="M881" s="143"/>
      <c r="N881" s="143"/>
      <c r="O881" s="143"/>
      <c r="P881" s="114"/>
      <c r="Q881" s="114"/>
      <c r="R881" s="115"/>
      <c r="S881" s="114"/>
      <c r="T881" s="114"/>
      <c r="U881" s="115"/>
      <c r="V881" s="114"/>
      <c r="W881" s="115"/>
      <c r="X881" s="114"/>
      <c r="Y881" s="115"/>
      <c r="Z881" s="114"/>
      <c r="AA881" s="143"/>
      <c r="AB881" s="114"/>
      <c r="AC881" s="114"/>
      <c r="AD881" s="114"/>
    </row>
    <row r="882" spans="1:30" ht="15.75" customHeight="1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43"/>
      <c r="M882" s="143"/>
      <c r="N882" s="143"/>
      <c r="O882" s="143"/>
      <c r="P882" s="114"/>
      <c r="Q882" s="114"/>
      <c r="R882" s="115"/>
      <c r="S882" s="114"/>
      <c r="T882" s="114"/>
      <c r="U882" s="115"/>
      <c r="V882" s="114"/>
      <c r="W882" s="115"/>
      <c r="X882" s="114"/>
      <c r="Y882" s="115"/>
      <c r="Z882" s="114"/>
      <c r="AA882" s="143"/>
      <c r="AB882" s="114"/>
      <c r="AC882" s="114"/>
      <c r="AD882" s="114"/>
    </row>
    <row r="883" spans="1:30" ht="15.75" customHeight="1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43"/>
      <c r="M883" s="143"/>
      <c r="N883" s="143"/>
      <c r="O883" s="143"/>
      <c r="P883" s="114"/>
      <c r="Q883" s="114"/>
      <c r="R883" s="115"/>
      <c r="S883" s="114"/>
      <c r="T883" s="114"/>
      <c r="U883" s="115"/>
      <c r="V883" s="114"/>
      <c r="W883" s="115"/>
      <c r="X883" s="114"/>
      <c r="Y883" s="115"/>
      <c r="Z883" s="114"/>
      <c r="AA883" s="143"/>
      <c r="AB883" s="114"/>
      <c r="AC883" s="114"/>
      <c r="AD883" s="114"/>
    </row>
    <row r="884" spans="1:30" ht="15.75" customHeight="1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43"/>
      <c r="M884" s="143"/>
      <c r="N884" s="143"/>
      <c r="O884" s="143"/>
      <c r="P884" s="114"/>
      <c r="Q884" s="114"/>
      <c r="R884" s="115"/>
      <c r="S884" s="114"/>
      <c r="T884" s="114"/>
      <c r="U884" s="115"/>
      <c r="V884" s="114"/>
      <c r="W884" s="115"/>
      <c r="X884" s="114"/>
      <c r="Y884" s="115"/>
      <c r="Z884" s="114"/>
      <c r="AA884" s="143"/>
      <c r="AB884" s="114"/>
      <c r="AC884" s="114"/>
      <c r="AD884" s="114"/>
    </row>
    <row r="885" spans="1:30" ht="15.75" customHeight="1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43"/>
      <c r="M885" s="143"/>
      <c r="N885" s="143"/>
      <c r="O885" s="143"/>
      <c r="P885" s="114"/>
      <c r="Q885" s="114"/>
      <c r="R885" s="115"/>
      <c r="S885" s="114"/>
      <c r="T885" s="114"/>
      <c r="U885" s="115"/>
      <c r="V885" s="114"/>
      <c r="W885" s="115"/>
      <c r="X885" s="114"/>
      <c r="Y885" s="115"/>
      <c r="Z885" s="114"/>
      <c r="AA885" s="143"/>
      <c r="AB885" s="114"/>
      <c r="AC885" s="114"/>
      <c r="AD885" s="114"/>
    </row>
    <row r="886" spans="1:30" ht="15.75" customHeight="1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43"/>
      <c r="M886" s="143"/>
      <c r="N886" s="143"/>
      <c r="O886" s="143"/>
      <c r="P886" s="114"/>
      <c r="Q886" s="114"/>
      <c r="R886" s="115"/>
      <c r="S886" s="114"/>
      <c r="T886" s="114"/>
      <c r="U886" s="115"/>
      <c r="V886" s="114"/>
      <c r="W886" s="115"/>
      <c r="X886" s="114"/>
      <c r="Y886" s="115"/>
      <c r="Z886" s="114"/>
      <c r="AA886" s="143"/>
      <c r="AB886" s="114"/>
      <c r="AC886" s="114"/>
      <c r="AD886" s="114"/>
    </row>
    <row r="887" spans="1:30" ht="15.75" customHeight="1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43"/>
      <c r="M887" s="143"/>
      <c r="N887" s="143"/>
      <c r="O887" s="143"/>
      <c r="P887" s="114"/>
      <c r="Q887" s="114"/>
      <c r="R887" s="115"/>
      <c r="S887" s="114"/>
      <c r="T887" s="114"/>
      <c r="U887" s="115"/>
      <c r="V887" s="114"/>
      <c r="W887" s="115"/>
      <c r="X887" s="114"/>
      <c r="Y887" s="115"/>
      <c r="Z887" s="114"/>
      <c r="AA887" s="143"/>
      <c r="AB887" s="114"/>
      <c r="AC887" s="114"/>
      <c r="AD887" s="114"/>
    </row>
    <row r="888" spans="1:30" ht="15.75" customHeight="1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43"/>
      <c r="M888" s="143"/>
      <c r="N888" s="143"/>
      <c r="O888" s="143"/>
      <c r="P888" s="114"/>
      <c r="Q888" s="114"/>
      <c r="R888" s="115"/>
      <c r="S888" s="114"/>
      <c r="T888" s="114"/>
      <c r="U888" s="115"/>
      <c r="V888" s="114"/>
      <c r="W888" s="115"/>
      <c r="X888" s="114"/>
      <c r="Y888" s="115"/>
      <c r="Z888" s="114"/>
      <c r="AA888" s="143"/>
      <c r="AB888" s="114"/>
      <c r="AC888" s="114"/>
      <c r="AD888" s="114"/>
    </row>
    <row r="889" spans="1:30" ht="15.75" customHeight="1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43"/>
      <c r="M889" s="143"/>
      <c r="N889" s="143"/>
      <c r="O889" s="143"/>
      <c r="P889" s="114"/>
      <c r="Q889" s="114"/>
      <c r="R889" s="115"/>
      <c r="S889" s="114"/>
      <c r="T889" s="114"/>
      <c r="U889" s="115"/>
      <c r="V889" s="114"/>
      <c r="W889" s="115"/>
      <c r="X889" s="114"/>
      <c r="Y889" s="115"/>
      <c r="Z889" s="114"/>
      <c r="AA889" s="143"/>
      <c r="AB889" s="114"/>
      <c r="AC889" s="114"/>
      <c r="AD889" s="114"/>
    </row>
    <row r="890" spans="1:30" ht="15.75" customHeight="1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43"/>
      <c r="M890" s="143"/>
      <c r="N890" s="143"/>
      <c r="O890" s="143"/>
      <c r="P890" s="114"/>
      <c r="Q890" s="114"/>
      <c r="R890" s="115"/>
      <c r="S890" s="114"/>
      <c r="T890" s="114"/>
      <c r="U890" s="115"/>
      <c r="V890" s="114"/>
      <c r="W890" s="115"/>
      <c r="X890" s="114"/>
      <c r="Y890" s="115"/>
      <c r="Z890" s="114"/>
      <c r="AA890" s="143"/>
      <c r="AB890" s="114"/>
      <c r="AC890" s="114"/>
      <c r="AD890" s="114"/>
    </row>
    <row r="891" spans="1:30" ht="15.75" customHeight="1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43"/>
      <c r="M891" s="143"/>
      <c r="N891" s="143"/>
      <c r="O891" s="143"/>
      <c r="P891" s="114"/>
      <c r="Q891" s="114"/>
      <c r="R891" s="115"/>
      <c r="S891" s="114"/>
      <c r="T891" s="114"/>
      <c r="U891" s="115"/>
      <c r="V891" s="114"/>
      <c r="W891" s="115"/>
      <c r="X891" s="114"/>
      <c r="Y891" s="115"/>
      <c r="Z891" s="114"/>
      <c r="AA891" s="143"/>
      <c r="AB891" s="114"/>
      <c r="AC891" s="114"/>
      <c r="AD891" s="114"/>
    </row>
    <row r="892" spans="1:30" ht="15.75" customHeight="1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43"/>
      <c r="M892" s="143"/>
      <c r="N892" s="143"/>
      <c r="O892" s="143"/>
      <c r="P892" s="114"/>
      <c r="Q892" s="114"/>
      <c r="R892" s="115"/>
      <c r="S892" s="114"/>
      <c r="T892" s="114"/>
      <c r="U892" s="115"/>
      <c r="V892" s="114"/>
      <c r="W892" s="115"/>
      <c r="X892" s="114"/>
      <c r="Y892" s="115"/>
      <c r="Z892" s="114"/>
      <c r="AA892" s="143"/>
      <c r="AB892" s="114"/>
      <c r="AC892" s="114"/>
      <c r="AD892" s="114"/>
    </row>
    <row r="893" spans="1:30" ht="15.75" customHeight="1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43"/>
      <c r="M893" s="143"/>
      <c r="N893" s="143"/>
      <c r="O893" s="143"/>
      <c r="P893" s="114"/>
      <c r="Q893" s="114"/>
      <c r="R893" s="115"/>
      <c r="S893" s="114"/>
      <c r="T893" s="114"/>
      <c r="U893" s="115"/>
      <c r="V893" s="114"/>
      <c r="W893" s="115"/>
      <c r="X893" s="114"/>
      <c r="Y893" s="115"/>
      <c r="Z893" s="114"/>
      <c r="AA893" s="143"/>
      <c r="AB893" s="114"/>
      <c r="AC893" s="114"/>
      <c r="AD893" s="114"/>
    </row>
    <row r="894" spans="1:30" ht="15.75" customHeight="1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43"/>
      <c r="M894" s="143"/>
      <c r="N894" s="143"/>
      <c r="O894" s="143"/>
      <c r="P894" s="114"/>
      <c r="Q894" s="114"/>
      <c r="R894" s="115"/>
      <c r="S894" s="114"/>
      <c r="T894" s="114"/>
      <c r="U894" s="115"/>
      <c r="V894" s="114"/>
      <c r="W894" s="115"/>
      <c r="X894" s="114"/>
      <c r="Y894" s="115"/>
      <c r="Z894" s="114"/>
      <c r="AA894" s="143"/>
      <c r="AB894" s="114"/>
      <c r="AC894" s="114"/>
      <c r="AD894" s="114"/>
    </row>
    <row r="895" spans="1:30" ht="15.75" customHeight="1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43"/>
      <c r="M895" s="143"/>
      <c r="N895" s="143"/>
      <c r="O895" s="143"/>
      <c r="P895" s="114"/>
      <c r="Q895" s="114"/>
      <c r="R895" s="115"/>
      <c r="S895" s="114"/>
      <c r="T895" s="114"/>
      <c r="U895" s="115"/>
      <c r="V895" s="114"/>
      <c r="W895" s="115"/>
      <c r="X895" s="114"/>
      <c r="Y895" s="115"/>
      <c r="Z895" s="114"/>
      <c r="AA895" s="143"/>
      <c r="AB895" s="114"/>
      <c r="AC895" s="114"/>
      <c r="AD895" s="114"/>
    </row>
    <row r="896" spans="1:30" ht="15.75" customHeight="1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43"/>
      <c r="M896" s="143"/>
      <c r="N896" s="143"/>
      <c r="O896" s="143"/>
      <c r="P896" s="114"/>
      <c r="Q896" s="114"/>
      <c r="R896" s="115"/>
      <c r="S896" s="114"/>
      <c r="T896" s="114"/>
      <c r="U896" s="115"/>
      <c r="V896" s="114"/>
      <c r="W896" s="115"/>
      <c r="X896" s="114"/>
      <c r="Y896" s="115"/>
      <c r="Z896" s="114"/>
      <c r="AA896" s="143"/>
      <c r="AB896" s="114"/>
      <c r="AC896" s="114"/>
      <c r="AD896" s="114"/>
    </row>
    <row r="897" spans="1:30" ht="15.75" customHeight="1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43"/>
      <c r="M897" s="143"/>
      <c r="N897" s="143"/>
      <c r="O897" s="143"/>
      <c r="P897" s="114"/>
      <c r="Q897" s="114"/>
      <c r="R897" s="115"/>
      <c r="S897" s="114"/>
      <c r="T897" s="114"/>
      <c r="U897" s="115"/>
      <c r="V897" s="114"/>
      <c r="W897" s="115"/>
      <c r="X897" s="114"/>
      <c r="Y897" s="115"/>
      <c r="Z897" s="114"/>
      <c r="AA897" s="143"/>
      <c r="AB897" s="114"/>
      <c r="AC897" s="114"/>
      <c r="AD897" s="114"/>
    </row>
    <row r="898" spans="1:30" ht="15.75" customHeight="1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43"/>
      <c r="M898" s="143"/>
      <c r="N898" s="143"/>
      <c r="O898" s="143"/>
      <c r="P898" s="114"/>
      <c r="Q898" s="114"/>
      <c r="R898" s="115"/>
      <c r="S898" s="114"/>
      <c r="T898" s="114"/>
      <c r="U898" s="115"/>
      <c r="V898" s="114"/>
      <c r="W898" s="115"/>
      <c r="X898" s="114"/>
      <c r="Y898" s="115"/>
      <c r="Z898" s="114"/>
      <c r="AA898" s="143"/>
      <c r="AB898" s="114"/>
      <c r="AC898" s="114"/>
      <c r="AD898" s="114"/>
    </row>
    <row r="899" spans="1:30" ht="15.75" customHeight="1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43"/>
      <c r="M899" s="143"/>
      <c r="N899" s="143"/>
      <c r="O899" s="143"/>
      <c r="P899" s="114"/>
      <c r="Q899" s="114"/>
      <c r="R899" s="115"/>
      <c r="S899" s="114"/>
      <c r="T899" s="114"/>
      <c r="U899" s="115"/>
      <c r="V899" s="114"/>
      <c r="W899" s="115"/>
      <c r="X899" s="114"/>
      <c r="Y899" s="115"/>
      <c r="Z899" s="114"/>
      <c r="AA899" s="143"/>
      <c r="AB899" s="114"/>
      <c r="AC899" s="114"/>
      <c r="AD899" s="114"/>
    </row>
    <row r="900" spans="1:30" ht="15.75" customHeight="1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43"/>
      <c r="M900" s="143"/>
      <c r="N900" s="143"/>
      <c r="O900" s="143"/>
      <c r="P900" s="114"/>
      <c r="Q900" s="114"/>
      <c r="R900" s="115"/>
      <c r="S900" s="114"/>
      <c r="T900" s="114"/>
      <c r="U900" s="115"/>
      <c r="V900" s="114"/>
      <c r="W900" s="115"/>
      <c r="X900" s="114"/>
      <c r="Y900" s="115"/>
      <c r="Z900" s="114"/>
      <c r="AA900" s="143"/>
      <c r="AB900" s="114"/>
      <c r="AC900" s="114"/>
      <c r="AD900" s="114"/>
    </row>
    <row r="901" spans="1:30" ht="15.75" customHeight="1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43"/>
      <c r="M901" s="143"/>
      <c r="N901" s="143"/>
      <c r="O901" s="143"/>
      <c r="P901" s="114"/>
      <c r="Q901" s="114"/>
      <c r="R901" s="115"/>
      <c r="S901" s="114"/>
      <c r="T901" s="114"/>
      <c r="U901" s="115"/>
      <c r="V901" s="114"/>
      <c r="W901" s="115"/>
      <c r="X901" s="114"/>
      <c r="Y901" s="115"/>
      <c r="Z901" s="114"/>
      <c r="AA901" s="143"/>
      <c r="AB901" s="114"/>
      <c r="AC901" s="114"/>
      <c r="AD901" s="114"/>
    </row>
    <row r="902" spans="1:30" ht="15.75" customHeight="1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43"/>
      <c r="M902" s="143"/>
      <c r="N902" s="143"/>
      <c r="O902" s="143"/>
      <c r="P902" s="114"/>
      <c r="Q902" s="114"/>
      <c r="R902" s="115"/>
      <c r="S902" s="114"/>
      <c r="T902" s="114"/>
      <c r="U902" s="115"/>
      <c r="V902" s="114"/>
      <c r="W902" s="115"/>
      <c r="X902" s="114"/>
      <c r="Y902" s="115"/>
      <c r="Z902" s="114"/>
      <c r="AA902" s="143"/>
      <c r="AB902" s="114"/>
      <c r="AC902" s="114"/>
      <c r="AD902" s="114"/>
    </row>
    <row r="903" spans="1:30" ht="15.75" customHeight="1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43"/>
      <c r="M903" s="143"/>
      <c r="N903" s="143"/>
      <c r="O903" s="143"/>
      <c r="P903" s="114"/>
      <c r="Q903" s="114"/>
      <c r="R903" s="115"/>
      <c r="S903" s="114"/>
      <c r="T903" s="114"/>
      <c r="U903" s="115"/>
      <c r="V903" s="114"/>
      <c r="W903" s="115"/>
      <c r="X903" s="114"/>
      <c r="Y903" s="115"/>
      <c r="Z903" s="114"/>
      <c r="AA903" s="143"/>
      <c r="AB903" s="114"/>
      <c r="AC903" s="114"/>
      <c r="AD903" s="114"/>
    </row>
    <row r="904" spans="1:30" ht="15.75" customHeight="1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43"/>
      <c r="M904" s="143"/>
      <c r="N904" s="143"/>
      <c r="O904" s="143"/>
      <c r="P904" s="114"/>
      <c r="Q904" s="114"/>
      <c r="R904" s="115"/>
      <c r="S904" s="114"/>
      <c r="T904" s="114"/>
      <c r="U904" s="115"/>
      <c r="V904" s="114"/>
      <c r="W904" s="115"/>
      <c r="X904" s="114"/>
      <c r="Y904" s="115"/>
      <c r="Z904" s="114"/>
      <c r="AA904" s="143"/>
      <c r="AB904" s="114"/>
      <c r="AC904" s="114"/>
      <c r="AD904" s="114"/>
    </row>
    <row r="905" spans="1:30" ht="15.75" customHeight="1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43"/>
      <c r="M905" s="143"/>
      <c r="N905" s="143"/>
      <c r="O905" s="143"/>
      <c r="P905" s="114"/>
      <c r="Q905" s="114"/>
      <c r="R905" s="115"/>
      <c r="S905" s="114"/>
      <c r="T905" s="114"/>
      <c r="U905" s="115"/>
      <c r="V905" s="114"/>
      <c r="W905" s="115"/>
      <c r="X905" s="114"/>
      <c r="Y905" s="115"/>
      <c r="Z905" s="114"/>
      <c r="AA905" s="143"/>
      <c r="AB905" s="114"/>
      <c r="AC905" s="114"/>
      <c r="AD905" s="114"/>
    </row>
    <row r="906" spans="1:30" ht="15.75" customHeight="1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43"/>
      <c r="M906" s="143"/>
      <c r="N906" s="143"/>
      <c r="O906" s="143"/>
      <c r="P906" s="114"/>
      <c r="Q906" s="114"/>
      <c r="R906" s="115"/>
      <c r="S906" s="114"/>
      <c r="T906" s="114"/>
      <c r="U906" s="115"/>
      <c r="V906" s="114"/>
      <c r="W906" s="115"/>
      <c r="X906" s="114"/>
      <c r="Y906" s="115"/>
      <c r="Z906" s="114"/>
      <c r="AA906" s="143"/>
      <c r="AB906" s="114"/>
      <c r="AC906" s="114"/>
      <c r="AD906" s="114"/>
    </row>
    <row r="907" spans="1:30" ht="15.75" customHeight="1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43"/>
      <c r="M907" s="143"/>
      <c r="N907" s="143"/>
      <c r="O907" s="143"/>
      <c r="P907" s="114"/>
      <c r="Q907" s="114"/>
      <c r="R907" s="115"/>
      <c r="S907" s="114"/>
      <c r="T907" s="114"/>
      <c r="U907" s="115"/>
      <c r="V907" s="114"/>
      <c r="W907" s="115"/>
      <c r="X907" s="114"/>
      <c r="Y907" s="115"/>
      <c r="Z907" s="114"/>
      <c r="AA907" s="143"/>
      <c r="AB907" s="114"/>
      <c r="AC907" s="114"/>
      <c r="AD907" s="114"/>
    </row>
    <row r="908" spans="1:30" ht="15.75" customHeight="1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43"/>
      <c r="M908" s="143"/>
      <c r="N908" s="143"/>
      <c r="O908" s="143"/>
      <c r="P908" s="114"/>
      <c r="Q908" s="114"/>
      <c r="R908" s="115"/>
      <c r="S908" s="114"/>
      <c r="T908" s="114"/>
      <c r="U908" s="115"/>
      <c r="V908" s="114"/>
      <c r="W908" s="115"/>
      <c r="X908" s="114"/>
      <c r="Y908" s="115"/>
      <c r="Z908" s="114"/>
      <c r="AA908" s="143"/>
      <c r="AB908" s="114"/>
      <c r="AC908" s="114"/>
      <c r="AD908" s="114"/>
    </row>
    <row r="909" spans="1:30" ht="15.75" customHeight="1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43"/>
      <c r="M909" s="143"/>
      <c r="N909" s="143"/>
      <c r="O909" s="143"/>
      <c r="P909" s="114"/>
      <c r="Q909" s="114"/>
      <c r="R909" s="115"/>
      <c r="S909" s="114"/>
      <c r="T909" s="114"/>
      <c r="U909" s="115"/>
      <c r="V909" s="114"/>
      <c r="W909" s="115"/>
      <c r="X909" s="114"/>
      <c r="Y909" s="115"/>
      <c r="Z909" s="114"/>
      <c r="AA909" s="143"/>
      <c r="AB909" s="114"/>
      <c r="AC909" s="114"/>
      <c r="AD909" s="114"/>
    </row>
    <row r="910" spans="1:30" ht="15.75" customHeight="1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43"/>
      <c r="M910" s="143"/>
      <c r="N910" s="143"/>
      <c r="O910" s="143"/>
      <c r="P910" s="114"/>
      <c r="Q910" s="114"/>
      <c r="R910" s="115"/>
      <c r="S910" s="114"/>
      <c r="T910" s="114"/>
      <c r="U910" s="115"/>
      <c r="V910" s="114"/>
      <c r="W910" s="115"/>
      <c r="X910" s="114"/>
      <c r="Y910" s="115"/>
      <c r="Z910" s="114"/>
      <c r="AA910" s="143"/>
      <c r="AB910" s="114"/>
      <c r="AC910" s="114"/>
      <c r="AD910" s="114"/>
    </row>
    <row r="911" spans="1:30" ht="15.75" customHeight="1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43"/>
      <c r="M911" s="143"/>
      <c r="N911" s="143"/>
      <c r="O911" s="143"/>
      <c r="P911" s="114"/>
      <c r="Q911" s="114"/>
      <c r="R911" s="115"/>
      <c r="S911" s="114"/>
      <c r="T911" s="114"/>
      <c r="U911" s="115"/>
      <c r="V911" s="114"/>
      <c r="W911" s="115"/>
      <c r="X911" s="114"/>
      <c r="Y911" s="115"/>
      <c r="Z911" s="114"/>
      <c r="AA911" s="143"/>
      <c r="AB911" s="114"/>
      <c r="AC911" s="114"/>
      <c r="AD911" s="114"/>
    </row>
    <row r="912" spans="1:30" ht="15.75" customHeight="1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43"/>
      <c r="M912" s="143"/>
      <c r="N912" s="143"/>
      <c r="O912" s="143"/>
      <c r="P912" s="114"/>
      <c r="Q912" s="114"/>
      <c r="R912" s="115"/>
      <c r="S912" s="114"/>
      <c r="T912" s="114"/>
      <c r="U912" s="115"/>
      <c r="V912" s="114"/>
      <c r="W912" s="115"/>
      <c r="X912" s="114"/>
      <c r="Y912" s="115"/>
      <c r="Z912" s="114"/>
      <c r="AA912" s="143"/>
      <c r="AB912" s="114"/>
      <c r="AC912" s="114"/>
      <c r="AD912" s="114"/>
    </row>
    <row r="913" spans="1:30" ht="15.75" customHeight="1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43"/>
      <c r="M913" s="143"/>
      <c r="N913" s="143"/>
      <c r="O913" s="143"/>
      <c r="P913" s="114"/>
      <c r="Q913" s="114"/>
      <c r="R913" s="115"/>
      <c r="S913" s="114"/>
      <c r="T913" s="114"/>
      <c r="U913" s="115"/>
      <c r="V913" s="114"/>
      <c r="W913" s="115"/>
      <c r="X913" s="114"/>
      <c r="Y913" s="115"/>
      <c r="Z913" s="114"/>
      <c r="AA913" s="143"/>
      <c r="AB913" s="114"/>
      <c r="AC913" s="114"/>
      <c r="AD913" s="114"/>
    </row>
    <row r="914" spans="1:30" ht="15.75" customHeight="1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43"/>
      <c r="M914" s="143"/>
      <c r="N914" s="143"/>
      <c r="O914" s="143"/>
      <c r="P914" s="114"/>
      <c r="Q914" s="114"/>
      <c r="R914" s="115"/>
      <c r="S914" s="114"/>
      <c r="T914" s="114"/>
      <c r="U914" s="115"/>
      <c r="V914" s="114"/>
      <c r="W914" s="115"/>
      <c r="X914" s="114"/>
      <c r="Y914" s="115"/>
      <c r="Z914" s="114"/>
      <c r="AA914" s="143"/>
      <c r="AB914" s="114"/>
      <c r="AC914" s="114"/>
      <c r="AD914" s="114"/>
    </row>
    <row r="915" spans="1:30" ht="15.75" customHeight="1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43"/>
      <c r="M915" s="143"/>
      <c r="N915" s="143"/>
      <c r="O915" s="143"/>
      <c r="P915" s="114"/>
      <c r="Q915" s="114"/>
      <c r="R915" s="115"/>
      <c r="S915" s="114"/>
      <c r="T915" s="114"/>
      <c r="U915" s="115"/>
      <c r="V915" s="114"/>
      <c r="W915" s="115"/>
      <c r="X915" s="114"/>
      <c r="Y915" s="115"/>
      <c r="Z915" s="114"/>
      <c r="AA915" s="143"/>
      <c r="AB915" s="114"/>
      <c r="AC915" s="114"/>
      <c r="AD915" s="114"/>
    </row>
    <row r="916" spans="1:30" ht="15.75" customHeight="1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43"/>
      <c r="M916" s="143"/>
      <c r="N916" s="143"/>
      <c r="O916" s="143"/>
      <c r="P916" s="114"/>
      <c r="Q916" s="114"/>
      <c r="R916" s="115"/>
      <c r="S916" s="114"/>
      <c r="T916" s="114"/>
      <c r="U916" s="115"/>
      <c r="V916" s="114"/>
      <c r="W916" s="115"/>
      <c r="X916" s="114"/>
      <c r="Y916" s="115"/>
      <c r="Z916" s="114"/>
      <c r="AA916" s="143"/>
      <c r="AB916" s="114"/>
      <c r="AC916" s="114"/>
      <c r="AD916" s="114"/>
    </row>
    <row r="917" spans="1:30" ht="15.75" customHeight="1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43"/>
      <c r="M917" s="143"/>
      <c r="N917" s="143"/>
      <c r="O917" s="143"/>
      <c r="P917" s="114"/>
      <c r="Q917" s="114"/>
      <c r="R917" s="115"/>
      <c r="S917" s="114"/>
      <c r="T917" s="114"/>
      <c r="U917" s="115"/>
      <c r="V917" s="114"/>
      <c r="W917" s="115"/>
      <c r="X917" s="114"/>
      <c r="Y917" s="115"/>
      <c r="Z917" s="114"/>
      <c r="AA917" s="143"/>
      <c r="AB917" s="114"/>
      <c r="AC917" s="114"/>
      <c r="AD917" s="114"/>
    </row>
    <row r="918" spans="1:30" ht="15.75" customHeight="1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43"/>
      <c r="M918" s="143"/>
      <c r="N918" s="143"/>
      <c r="O918" s="143"/>
      <c r="P918" s="114"/>
      <c r="Q918" s="114"/>
      <c r="R918" s="115"/>
      <c r="S918" s="114"/>
      <c r="T918" s="114"/>
      <c r="U918" s="115"/>
      <c r="V918" s="114"/>
      <c r="W918" s="115"/>
      <c r="X918" s="114"/>
      <c r="Y918" s="115"/>
      <c r="Z918" s="114"/>
      <c r="AA918" s="143"/>
      <c r="AB918" s="114"/>
      <c r="AC918" s="114"/>
      <c r="AD918" s="114"/>
    </row>
    <row r="919" spans="1:30" ht="15.75" customHeight="1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43"/>
      <c r="M919" s="143"/>
      <c r="N919" s="143"/>
      <c r="O919" s="143"/>
      <c r="P919" s="114"/>
      <c r="Q919" s="114"/>
      <c r="R919" s="115"/>
      <c r="S919" s="114"/>
      <c r="T919" s="114"/>
      <c r="U919" s="115"/>
      <c r="V919" s="114"/>
      <c r="W919" s="115"/>
      <c r="X919" s="114"/>
      <c r="Y919" s="115"/>
      <c r="Z919" s="114"/>
      <c r="AA919" s="143"/>
      <c r="AB919" s="114"/>
      <c r="AC919" s="114"/>
      <c r="AD919" s="114"/>
    </row>
    <row r="920" spans="1:30" ht="15.75" customHeight="1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43"/>
      <c r="M920" s="143"/>
      <c r="N920" s="143"/>
      <c r="O920" s="143"/>
      <c r="P920" s="114"/>
      <c r="Q920" s="114"/>
      <c r="R920" s="115"/>
      <c r="S920" s="114"/>
      <c r="T920" s="114"/>
      <c r="U920" s="115"/>
      <c r="V920" s="114"/>
      <c r="W920" s="115"/>
      <c r="X920" s="114"/>
      <c r="Y920" s="115"/>
      <c r="Z920" s="114"/>
      <c r="AA920" s="143"/>
      <c r="AB920" s="114"/>
      <c r="AC920" s="114"/>
      <c r="AD920" s="114"/>
    </row>
    <row r="921" spans="1:30" ht="15.75" customHeight="1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43"/>
      <c r="M921" s="143"/>
      <c r="N921" s="143"/>
      <c r="O921" s="143"/>
      <c r="P921" s="114"/>
      <c r="Q921" s="114"/>
      <c r="R921" s="115"/>
      <c r="S921" s="114"/>
      <c r="T921" s="114"/>
      <c r="U921" s="115"/>
      <c r="V921" s="114"/>
      <c r="W921" s="115"/>
      <c r="X921" s="114"/>
      <c r="Y921" s="115"/>
      <c r="Z921" s="114"/>
      <c r="AA921" s="143"/>
      <c r="AB921" s="114"/>
      <c r="AC921" s="114"/>
      <c r="AD921" s="114"/>
    </row>
    <row r="922" spans="1:30" ht="15.75" customHeight="1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43"/>
      <c r="M922" s="143"/>
      <c r="N922" s="143"/>
      <c r="O922" s="143"/>
      <c r="P922" s="114"/>
      <c r="Q922" s="114"/>
      <c r="R922" s="115"/>
      <c r="S922" s="114"/>
      <c r="T922" s="114"/>
      <c r="U922" s="115"/>
      <c r="V922" s="114"/>
      <c r="W922" s="115"/>
      <c r="X922" s="114"/>
      <c r="Y922" s="115"/>
      <c r="Z922" s="114"/>
      <c r="AA922" s="143"/>
      <c r="AB922" s="114"/>
      <c r="AC922" s="114"/>
      <c r="AD922" s="114"/>
    </row>
    <row r="923" spans="1:30" ht="15.75" customHeight="1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43"/>
      <c r="M923" s="143"/>
      <c r="N923" s="143"/>
      <c r="O923" s="143"/>
      <c r="P923" s="114"/>
      <c r="Q923" s="114"/>
      <c r="R923" s="115"/>
      <c r="S923" s="114"/>
      <c r="T923" s="114"/>
      <c r="U923" s="115"/>
      <c r="V923" s="114"/>
      <c r="W923" s="115"/>
      <c r="X923" s="114"/>
      <c r="Y923" s="115"/>
      <c r="Z923" s="114"/>
      <c r="AA923" s="143"/>
      <c r="AB923" s="114"/>
      <c r="AC923" s="114"/>
      <c r="AD923" s="114"/>
    </row>
    <row r="924" spans="1:30" ht="15.75" customHeight="1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43"/>
      <c r="M924" s="143"/>
      <c r="N924" s="143"/>
      <c r="O924" s="143"/>
      <c r="P924" s="114"/>
      <c r="Q924" s="114"/>
      <c r="R924" s="115"/>
      <c r="S924" s="114"/>
      <c r="T924" s="114"/>
      <c r="U924" s="115"/>
      <c r="V924" s="114"/>
      <c r="W924" s="115"/>
      <c r="X924" s="114"/>
      <c r="Y924" s="115"/>
      <c r="Z924" s="114"/>
      <c r="AA924" s="143"/>
      <c r="AB924" s="114"/>
      <c r="AC924" s="114"/>
      <c r="AD924" s="114"/>
    </row>
    <row r="925" spans="1:30" ht="15.75" customHeight="1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43"/>
      <c r="M925" s="143"/>
      <c r="N925" s="143"/>
      <c r="O925" s="143"/>
      <c r="P925" s="114"/>
      <c r="Q925" s="114"/>
      <c r="R925" s="115"/>
      <c r="S925" s="114"/>
      <c r="T925" s="114"/>
      <c r="U925" s="115"/>
      <c r="V925" s="114"/>
      <c r="W925" s="115"/>
      <c r="X925" s="114"/>
      <c r="Y925" s="115"/>
      <c r="Z925" s="114"/>
      <c r="AA925" s="143"/>
      <c r="AB925" s="114"/>
      <c r="AC925" s="114"/>
      <c r="AD925" s="114"/>
    </row>
    <row r="926" spans="1:30" ht="15.75" customHeight="1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43"/>
      <c r="M926" s="143"/>
      <c r="N926" s="143"/>
      <c r="O926" s="143"/>
      <c r="P926" s="114"/>
      <c r="Q926" s="114"/>
      <c r="R926" s="115"/>
      <c r="S926" s="114"/>
      <c r="T926" s="114"/>
      <c r="U926" s="115"/>
      <c r="V926" s="114"/>
      <c r="W926" s="115"/>
      <c r="X926" s="114"/>
      <c r="Y926" s="115"/>
      <c r="Z926" s="114"/>
      <c r="AA926" s="143"/>
      <c r="AB926" s="114"/>
      <c r="AC926" s="114"/>
      <c r="AD926" s="114"/>
    </row>
    <row r="927" spans="1:30" ht="15.75" customHeight="1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43"/>
      <c r="M927" s="143"/>
      <c r="N927" s="143"/>
      <c r="O927" s="143"/>
      <c r="P927" s="114"/>
      <c r="Q927" s="114"/>
      <c r="R927" s="115"/>
      <c r="S927" s="114"/>
      <c r="T927" s="114"/>
      <c r="U927" s="115"/>
      <c r="V927" s="114"/>
      <c r="W927" s="115"/>
      <c r="X927" s="114"/>
      <c r="Y927" s="115"/>
      <c r="Z927" s="114"/>
      <c r="AA927" s="143"/>
      <c r="AB927" s="114"/>
      <c r="AC927" s="114"/>
      <c r="AD927" s="114"/>
    </row>
    <row r="928" spans="1:30" ht="15.75" customHeight="1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43"/>
      <c r="M928" s="143"/>
      <c r="N928" s="143"/>
      <c r="O928" s="143"/>
      <c r="P928" s="114"/>
      <c r="Q928" s="114"/>
      <c r="R928" s="115"/>
      <c r="S928" s="114"/>
      <c r="T928" s="114"/>
      <c r="U928" s="115"/>
      <c r="V928" s="114"/>
      <c r="W928" s="115"/>
      <c r="X928" s="114"/>
      <c r="Y928" s="115"/>
      <c r="Z928" s="114"/>
      <c r="AA928" s="143"/>
      <c r="AB928" s="114"/>
      <c r="AC928" s="114"/>
      <c r="AD928" s="114"/>
    </row>
    <row r="929" spans="1:30" ht="15.75" customHeight="1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43"/>
      <c r="M929" s="143"/>
      <c r="N929" s="143"/>
      <c r="O929" s="143"/>
      <c r="P929" s="114"/>
      <c r="Q929" s="114"/>
      <c r="R929" s="115"/>
      <c r="S929" s="114"/>
      <c r="T929" s="114"/>
      <c r="U929" s="115"/>
      <c r="V929" s="114"/>
      <c r="W929" s="115"/>
      <c r="X929" s="114"/>
      <c r="Y929" s="115"/>
      <c r="Z929" s="114"/>
      <c r="AA929" s="143"/>
      <c r="AB929" s="114"/>
      <c r="AC929" s="114"/>
      <c r="AD929" s="114"/>
    </row>
    <row r="930" spans="1:30" ht="15.75" customHeight="1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43"/>
      <c r="M930" s="143"/>
      <c r="N930" s="143"/>
      <c r="O930" s="143"/>
      <c r="P930" s="114"/>
      <c r="Q930" s="114"/>
      <c r="R930" s="115"/>
      <c r="S930" s="114"/>
      <c r="T930" s="114"/>
      <c r="U930" s="115"/>
      <c r="V930" s="114"/>
      <c r="W930" s="115"/>
      <c r="X930" s="114"/>
      <c r="Y930" s="115"/>
      <c r="Z930" s="114"/>
      <c r="AA930" s="143"/>
      <c r="AB930" s="114"/>
      <c r="AC930" s="114"/>
      <c r="AD930" s="114"/>
    </row>
    <row r="931" spans="1:30" ht="15.75" customHeight="1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43"/>
      <c r="M931" s="143"/>
      <c r="N931" s="143"/>
      <c r="O931" s="143"/>
      <c r="P931" s="114"/>
      <c r="Q931" s="114"/>
      <c r="R931" s="115"/>
      <c r="S931" s="114"/>
      <c r="T931" s="114"/>
      <c r="U931" s="115"/>
      <c r="V931" s="114"/>
      <c r="W931" s="115"/>
      <c r="X931" s="114"/>
      <c r="Y931" s="115"/>
      <c r="Z931" s="114"/>
      <c r="AA931" s="143"/>
      <c r="AB931" s="114"/>
      <c r="AC931" s="114"/>
      <c r="AD931" s="114"/>
    </row>
    <row r="932" spans="1:30" ht="15.75" customHeight="1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43"/>
      <c r="M932" s="143"/>
      <c r="N932" s="143"/>
      <c r="O932" s="143"/>
      <c r="P932" s="114"/>
      <c r="Q932" s="114"/>
      <c r="R932" s="115"/>
      <c r="S932" s="114"/>
      <c r="T932" s="114"/>
      <c r="U932" s="115"/>
      <c r="V932" s="114"/>
      <c r="W932" s="115"/>
      <c r="X932" s="114"/>
      <c r="Y932" s="115"/>
      <c r="Z932" s="114"/>
      <c r="AA932" s="143"/>
      <c r="AB932" s="114"/>
      <c r="AC932" s="114"/>
      <c r="AD932" s="114"/>
    </row>
    <row r="933" spans="1:30" ht="15.75" customHeight="1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43"/>
      <c r="M933" s="143"/>
      <c r="N933" s="143"/>
      <c r="O933" s="143"/>
      <c r="P933" s="114"/>
      <c r="Q933" s="114"/>
      <c r="R933" s="115"/>
      <c r="S933" s="114"/>
      <c r="T933" s="114"/>
      <c r="U933" s="115"/>
      <c r="V933" s="114"/>
      <c r="W933" s="115"/>
      <c r="X933" s="114"/>
      <c r="Y933" s="115"/>
      <c r="Z933" s="114"/>
      <c r="AA933" s="143"/>
      <c r="AB933" s="114"/>
      <c r="AC933" s="114"/>
      <c r="AD933" s="114"/>
    </row>
    <row r="934" spans="1:30" ht="15.75" customHeight="1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43"/>
      <c r="M934" s="143"/>
      <c r="N934" s="143"/>
      <c r="O934" s="143"/>
      <c r="P934" s="114"/>
      <c r="Q934" s="114"/>
      <c r="R934" s="115"/>
      <c r="S934" s="114"/>
      <c r="T934" s="114"/>
      <c r="U934" s="115"/>
      <c r="V934" s="114"/>
      <c r="W934" s="115"/>
      <c r="X934" s="114"/>
      <c r="Y934" s="115"/>
      <c r="Z934" s="114"/>
      <c r="AA934" s="143"/>
      <c r="AB934" s="114"/>
      <c r="AC934" s="114"/>
      <c r="AD934" s="114"/>
    </row>
    <row r="935" spans="1:30" ht="15.75" customHeight="1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43"/>
      <c r="M935" s="143"/>
      <c r="N935" s="143"/>
      <c r="O935" s="143"/>
      <c r="P935" s="114"/>
      <c r="Q935" s="114"/>
      <c r="R935" s="115"/>
      <c r="S935" s="114"/>
      <c r="T935" s="114"/>
      <c r="U935" s="115"/>
      <c r="V935" s="114"/>
      <c r="W935" s="115"/>
      <c r="X935" s="114"/>
      <c r="Y935" s="115"/>
      <c r="Z935" s="114"/>
      <c r="AA935" s="143"/>
      <c r="AB935" s="114"/>
      <c r="AC935" s="114"/>
      <c r="AD935" s="114"/>
    </row>
    <row r="936" spans="1:30" ht="15.75" customHeight="1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43"/>
      <c r="M936" s="143"/>
      <c r="N936" s="143"/>
      <c r="O936" s="143"/>
      <c r="P936" s="114"/>
      <c r="Q936" s="114"/>
      <c r="R936" s="115"/>
      <c r="S936" s="114"/>
      <c r="T936" s="114"/>
      <c r="U936" s="115"/>
      <c r="V936" s="114"/>
      <c r="W936" s="115"/>
      <c r="X936" s="114"/>
      <c r="Y936" s="115"/>
      <c r="Z936" s="114"/>
      <c r="AA936" s="143"/>
      <c r="AB936" s="114"/>
      <c r="AC936" s="114"/>
      <c r="AD936" s="114"/>
    </row>
    <row r="937" spans="1:30" ht="15.75" customHeight="1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43"/>
      <c r="M937" s="143"/>
      <c r="N937" s="143"/>
      <c r="O937" s="143"/>
      <c r="P937" s="114"/>
      <c r="Q937" s="114"/>
      <c r="R937" s="115"/>
      <c r="S937" s="114"/>
      <c r="T937" s="114"/>
      <c r="U937" s="115"/>
      <c r="V937" s="114"/>
      <c r="W937" s="115"/>
      <c r="X937" s="114"/>
      <c r="Y937" s="115"/>
      <c r="Z937" s="114"/>
      <c r="AA937" s="143"/>
      <c r="AB937" s="114"/>
      <c r="AC937" s="114"/>
      <c r="AD937" s="114"/>
    </row>
    <row r="938" spans="1:30" ht="15.75" customHeight="1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43"/>
      <c r="M938" s="143"/>
      <c r="N938" s="143"/>
      <c r="O938" s="143"/>
      <c r="P938" s="114"/>
      <c r="Q938" s="114"/>
      <c r="R938" s="115"/>
      <c r="S938" s="114"/>
      <c r="T938" s="114"/>
      <c r="U938" s="115"/>
      <c r="V938" s="114"/>
      <c r="W938" s="115"/>
      <c r="X938" s="114"/>
      <c r="Y938" s="115"/>
      <c r="Z938" s="114"/>
      <c r="AA938" s="143"/>
      <c r="AB938" s="114"/>
      <c r="AC938" s="114"/>
      <c r="AD938" s="114"/>
    </row>
    <row r="939" spans="1:30" ht="15.75" customHeight="1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43"/>
      <c r="M939" s="143"/>
      <c r="N939" s="143"/>
      <c r="O939" s="143"/>
      <c r="P939" s="114"/>
      <c r="Q939" s="114"/>
      <c r="R939" s="115"/>
      <c r="S939" s="114"/>
      <c r="T939" s="114"/>
      <c r="U939" s="115"/>
      <c r="V939" s="114"/>
      <c r="W939" s="115"/>
      <c r="X939" s="114"/>
      <c r="Y939" s="115"/>
      <c r="Z939" s="114"/>
      <c r="AA939" s="143"/>
      <c r="AB939" s="114"/>
      <c r="AC939" s="114"/>
      <c r="AD939" s="114"/>
    </row>
    <row r="940" spans="1:30" ht="15.75" customHeight="1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43"/>
      <c r="M940" s="143"/>
      <c r="N940" s="143"/>
      <c r="O940" s="143"/>
      <c r="P940" s="114"/>
      <c r="Q940" s="114"/>
      <c r="R940" s="115"/>
      <c r="S940" s="114"/>
      <c r="T940" s="114"/>
      <c r="U940" s="115"/>
      <c r="V940" s="114"/>
      <c r="W940" s="115"/>
      <c r="X940" s="114"/>
      <c r="Y940" s="115"/>
      <c r="Z940" s="114"/>
      <c r="AA940" s="143"/>
      <c r="AB940" s="114"/>
      <c r="AC940" s="114"/>
      <c r="AD940" s="114"/>
    </row>
    <row r="941" spans="1:30" ht="15.75" customHeight="1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43"/>
      <c r="M941" s="143"/>
      <c r="N941" s="143"/>
      <c r="O941" s="143"/>
      <c r="P941" s="114"/>
      <c r="Q941" s="114"/>
      <c r="R941" s="115"/>
      <c r="S941" s="114"/>
      <c r="T941" s="114"/>
      <c r="U941" s="115"/>
      <c r="V941" s="114"/>
      <c r="W941" s="115"/>
      <c r="X941" s="114"/>
      <c r="Y941" s="115"/>
      <c r="Z941" s="114"/>
      <c r="AA941" s="143"/>
      <c r="AB941" s="114"/>
      <c r="AC941" s="114"/>
      <c r="AD941" s="114"/>
    </row>
    <row r="942" spans="1:30" ht="15.75" customHeight="1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43"/>
      <c r="M942" s="143"/>
      <c r="N942" s="143"/>
      <c r="O942" s="143"/>
      <c r="P942" s="114"/>
      <c r="Q942" s="114"/>
      <c r="R942" s="115"/>
      <c r="S942" s="114"/>
      <c r="T942" s="114"/>
      <c r="U942" s="115"/>
      <c r="V942" s="114"/>
      <c r="W942" s="115"/>
      <c r="X942" s="114"/>
      <c r="Y942" s="115"/>
      <c r="Z942" s="114"/>
      <c r="AA942" s="143"/>
      <c r="AB942" s="114"/>
      <c r="AC942" s="114"/>
      <c r="AD942" s="114"/>
    </row>
    <row r="943" spans="1:30" ht="15.75" customHeight="1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43"/>
      <c r="M943" s="143"/>
      <c r="N943" s="143"/>
      <c r="O943" s="143"/>
      <c r="P943" s="114"/>
      <c r="Q943" s="114"/>
      <c r="R943" s="115"/>
      <c r="S943" s="114"/>
      <c r="T943" s="114"/>
      <c r="U943" s="115"/>
      <c r="V943" s="114"/>
      <c r="W943" s="115"/>
      <c r="X943" s="114"/>
      <c r="Y943" s="115"/>
      <c r="Z943" s="114"/>
      <c r="AA943" s="143"/>
      <c r="AB943" s="114"/>
      <c r="AC943" s="114"/>
      <c r="AD943" s="114"/>
    </row>
    <row r="944" spans="1:30" ht="15.75" customHeight="1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43"/>
      <c r="M944" s="143"/>
      <c r="N944" s="143"/>
      <c r="O944" s="143"/>
      <c r="P944" s="114"/>
      <c r="Q944" s="114"/>
      <c r="R944" s="115"/>
      <c r="S944" s="114"/>
      <c r="T944" s="114"/>
      <c r="U944" s="115"/>
      <c r="V944" s="114"/>
      <c r="W944" s="115"/>
      <c r="X944" s="114"/>
      <c r="Y944" s="115"/>
      <c r="Z944" s="114"/>
      <c r="AA944" s="143"/>
      <c r="AB944" s="114"/>
      <c r="AC944" s="114"/>
      <c r="AD944" s="114"/>
    </row>
    <row r="945" spans="1:30" ht="15.75" customHeight="1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43"/>
      <c r="M945" s="143"/>
      <c r="N945" s="143"/>
      <c r="O945" s="143"/>
      <c r="P945" s="114"/>
      <c r="Q945" s="114"/>
      <c r="R945" s="115"/>
      <c r="S945" s="114"/>
      <c r="T945" s="114"/>
      <c r="U945" s="115"/>
      <c r="V945" s="114"/>
      <c r="W945" s="115"/>
      <c r="X945" s="114"/>
      <c r="Y945" s="115"/>
      <c r="Z945" s="114"/>
      <c r="AA945" s="143"/>
      <c r="AB945" s="114"/>
      <c r="AC945" s="114"/>
      <c r="AD945" s="114"/>
    </row>
    <row r="946" spans="1:30" ht="15.75" customHeight="1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43"/>
      <c r="M946" s="143"/>
      <c r="N946" s="143"/>
      <c r="O946" s="143"/>
      <c r="P946" s="114"/>
      <c r="Q946" s="114"/>
      <c r="R946" s="115"/>
      <c r="S946" s="114"/>
      <c r="T946" s="114"/>
      <c r="U946" s="115"/>
      <c r="V946" s="114"/>
      <c r="W946" s="115"/>
      <c r="X946" s="114"/>
      <c r="Y946" s="115"/>
      <c r="Z946" s="114"/>
      <c r="AA946" s="143"/>
      <c r="AB946" s="114"/>
      <c r="AC946" s="114"/>
      <c r="AD946" s="114"/>
    </row>
    <row r="947" spans="1:30" ht="15.75" customHeight="1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43"/>
      <c r="M947" s="143"/>
      <c r="N947" s="143"/>
      <c r="O947" s="143"/>
      <c r="P947" s="114"/>
      <c r="Q947" s="114"/>
      <c r="R947" s="115"/>
      <c r="S947" s="114"/>
      <c r="T947" s="114"/>
      <c r="U947" s="115"/>
      <c r="V947" s="114"/>
      <c r="W947" s="115"/>
      <c r="X947" s="114"/>
      <c r="Y947" s="115"/>
      <c r="Z947" s="114"/>
      <c r="AA947" s="143"/>
      <c r="AB947" s="114"/>
      <c r="AC947" s="114"/>
      <c r="AD947" s="114"/>
    </row>
    <row r="948" spans="1:30" ht="15.75" customHeight="1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43"/>
      <c r="M948" s="143"/>
      <c r="N948" s="143"/>
      <c r="O948" s="143"/>
      <c r="P948" s="114"/>
      <c r="Q948" s="114"/>
      <c r="R948" s="115"/>
      <c r="S948" s="114"/>
      <c r="T948" s="114"/>
      <c r="U948" s="115"/>
      <c r="V948" s="114"/>
      <c r="W948" s="115"/>
      <c r="X948" s="114"/>
      <c r="Y948" s="115"/>
      <c r="Z948" s="114"/>
      <c r="AA948" s="143"/>
      <c r="AB948" s="114"/>
      <c r="AC948" s="114"/>
      <c r="AD948" s="114"/>
    </row>
    <row r="949" spans="1:30" ht="15.75" customHeight="1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43"/>
      <c r="M949" s="143"/>
      <c r="N949" s="143"/>
      <c r="O949" s="143"/>
      <c r="P949" s="114"/>
      <c r="Q949" s="114"/>
      <c r="R949" s="115"/>
      <c r="S949" s="114"/>
      <c r="T949" s="114"/>
      <c r="U949" s="115"/>
      <c r="V949" s="114"/>
      <c r="W949" s="115"/>
      <c r="X949" s="114"/>
      <c r="Y949" s="115"/>
      <c r="Z949" s="114"/>
      <c r="AA949" s="143"/>
      <c r="AB949" s="114"/>
      <c r="AC949" s="114"/>
      <c r="AD949" s="114"/>
    </row>
    <row r="950" spans="1:30" ht="15.75" customHeight="1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43"/>
      <c r="M950" s="143"/>
      <c r="N950" s="143"/>
      <c r="O950" s="143"/>
      <c r="P950" s="114"/>
      <c r="Q950" s="114"/>
      <c r="R950" s="115"/>
      <c r="S950" s="114"/>
      <c r="T950" s="114"/>
      <c r="U950" s="115"/>
      <c r="V950" s="114"/>
      <c r="W950" s="115"/>
      <c r="X950" s="114"/>
      <c r="Y950" s="115"/>
      <c r="Z950" s="114"/>
      <c r="AA950" s="143"/>
      <c r="AB950" s="114"/>
      <c r="AC950" s="114"/>
      <c r="AD950" s="114"/>
    </row>
    <row r="951" spans="1:30" ht="15.75" customHeight="1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43"/>
      <c r="M951" s="143"/>
      <c r="N951" s="143"/>
      <c r="O951" s="143"/>
      <c r="P951" s="114"/>
      <c r="Q951" s="114"/>
      <c r="R951" s="115"/>
      <c r="S951" s="114"/>
      <c r="T951" s="114"/>
      <c r="U951" s="115"/>
      <c r="V951" s="114"/>
      <c r="W951" s="115"/>
      <c r="X951" s="114"/>
      <c r="Y951" s="115"/>
      <c r="Z951" s="114"/>
      <c r="AA951" s="143"/>
      <c r="AB951" s="114"/>
      <c r="AC951" s="114"/>
      <c r="AD951" s="114"/>
    </row>
    <row r="952" spans="1:30" ht="15.75" customHeight="1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43"/>
      <c r="M952" s="143"/>
      <c r="N952" s="143"/>
      <c r="O952" s="143"/>
      <c r="P952" s="114"/>
      <c r="Q952" s="114"/>
      <c r="R952" s="115"/>
      <c r="S952" s="114"/>
      <c r="T952" s="114"/>
      <c r="U952" s="115"/>
      <c r="V952" s="114"/>
      <c r="W952" s="115"/>
      <c r="X952" s="114"/>
      <c r="Y952" s="115"/>
      <c r="Z952" s="114"/>
      <c r="AA952" s="143"/>
      <c r="AB952" s="114"/>
      <c r="AC952" s="114"/>
      <c r="AD952" s="114"/>
    </row>
    <row r="953" spans="1:30" ht="15.75" customHeight="1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43"/>
      <c r="M953" s="143"/>
      <c r="N953" s="143"/>
      <c r="O953" s="143"/>
      <c r="P953" s="114"/>
      <c r="Q953" s="114"/>
      <c r="R953" s="115"/>
      <c r="S953" s="114"/>
      <c r="T953" s="114"/>
      <c r="U953" s="115"/>
      <c r="V953" s="114"/>
      <c r="W953" s="115"/>
      <c r="X953" s="114"/>
      <c r="Y953" s="115"/>
      <c r="Z953" s="114"/>
      <c r="AA953" s="143"/>
      <c r="AB953" s="114"/>
      <c r="AC953" s="114"/>
      <c r="AD953" s="114"/>
    </row>
    <row r="954" spans="1:30" ht="15.75" customHeight="1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43"/>
      <c r="M954" s="143"/>
      <c r="N954" s="143"/>
      <c r="O954" s="143"/>
      <c r="P954" s="114"/>
      <c r="Q954" s="114"/>
      <c r="R954" s="115"/>
      <c r="S954" s="114"/>
      <c r="T954" s="114"/>
      <c r="U954" s="115"/>
      <c r="V954" s="114"/>
      <c r="W954" s="115"/>
      <c r="X954" s="114"/>
      <c r="Y954" s="115"/>
      <c r="Z954" s="114"/>
      <c r="AA954" s="143"/>
      <c r="AB954" s="114"/>
      <c r="AC954" s="114"/>
      <c r="AD954" s="114"/>
    </row>
    <row r="955" spans="1:30" ht="15.75" customHeight="1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43"/>
      <c r="M955" s="143"/>
      <c r="N955" s="143"/>
      <c r="O955" s="143"/>
      <c r="P955" s="114"/>
      <c r="Q955" s="114"/>
      <c r="R955" s="115"/>
      <c r="S955" s="114"/>
      <c r="T955" s="114"/>
      <c r="U955" s="115"/>
      <c r="V955" s="114"/>
      <c r="W955" s="115"/>
      <c r="X955" s="114"/>
      <c r="Y955" s="115"/>
      <c r="Z955" s="114"/>
      <c r="AA955" s="143"/>
      <c r="AB955" s="114"/>
      <c r="AC955" s="114"/>
      <c r="AD955" s="114"/>
    </row>
    <row r="956" spans="1:30" ht="15.75" customHeight="1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43"/>
      <c r="M956" s="143"/>
      <c r="N956" s="143"/>
      <c r="O956" s="143"/>
      <c r="P956" s="114"/>
      <c r="Q956" s="114"/>
      <c r="R956" s="115"/>
      <c r="S956" s="114"/>
      <c r="T956" s="114"/>
      <c r="U956" s="115"/>
      <c r="V956" s="114"/>
      <c r="W956" s="115"/>
      <c r="X956" s="114"/>
      <c r="Y956" s="115"/>
      <c r="Z956" s="114"/>
      <c r="AA956" s="143"/>
      <c r="AB956" s="114"/>
      <c r="AC956" s="114"/>
      <c r="AD956" s="114"/>
    </row>
    <row r="957" spans="1:30" ht="15.75" customHeight="1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43"/>
      <c r="M957" s="143"/>
      <c r="N957" s="143"/>
      <c r="O957" s="143"/>
      <c r="P957" s="114"/>
      <c r="Q957" s="114"/>
      <c r="R957" s="115"/>
      <c r="S957" s="114"/>
      <c r="T957" s="114"/>
      <c r="U957" s="115"/>
      <c r="V957" s="114"/>
      <c r="W957" s="115"/>
      <c r="X957" s="114"/>
      <c r="Y957" s="115"/>
      <c r="Z957" s="114"/>
      <c r="AA957" s="143"/>
      <c r="AB957" s="114"/>
      <c r="AC957" s="114"/>
      <c r="AD957" s="114"/>
    </row>
    <row r="958" spans="1:30" ht="15.75" customHeight="1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43"/>
      <c r="M958" s="143"/>
      <c r="N958" s="143"/>
      <c r="O958" s="143"/>
      <c r="P958" s="114"/>
      <c r="Q958" s="114"/>
      <c r="R958" s="115"/>
      <c r="S958" s="114"/>
      <c r="T958" s="114"/>
      <c r="U958" s="115"/>
      <c r="V958" s="114"/>
      <c r="W958" s="115"/>
      <c r="X958" s="114"/>
      <c r="Y958" s="115"/>
      <c r="Z958" s="114"/>
      <c r="AA958" s="143"/>
      <c r="AB958" s="114"/>
      <c r="AC958" s="114"/>
      <c r="AD958" s="114"/>
    </row>
    <row r="959" spans="1:30" ht="15.75" customHeight="1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43"/>
      <c r="M959" s="143"/>
      <c r="N959" s="143"/>
      <c r="O959" s="143"/>
      <c r="P959" s="114"/>
      <c r="Q959" s="114"/>
      <c r="R959" s="115"/>
      <c r="S959" s="114"/>
      <c r="T959" s="114"/>
      <c r="U959" s="115"/>
      <c r="V959" s="114"/>
      <c r="W959" s="115"/>
      <c r="X959" s="114"/>
      <c r="Y959" s="115"/>
      <c r="Z959" s="114"/>
      <c r="AA959" s="143"/>
      <c r="AB959" s="114"/>
      <c r="AC959" s="114"/>
      <c r="AD959" s="114"/>
    </row>
    <row r="960" spans="1:30" ht="15.75" customHeight="1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43"/>
      <c r="M960" s="143"/>
      <c r="N960" s="143"/>
      <c r="O960" s="143"/>
      <c r="P960" s="114"/>
      <c r="Q960" s="114"/>
      <c r="R960" s="115"/>
      <c r="S960" s="114"/>
      <c r="T960" s="114"/>
      <c r="U960" s="115"/>
      <c r="V960" s="114"/>
      <c r="W960" s="115"/>
      <c r="X960" s="114"/>
      <c r="Y960" s="115"/>
      <c r="Z960" s="114"/>
      <c r="AA960" s="143"/>
      <c r="AB960" s="114"/>
      <c r="AC960" s="114"/>
      <c r="AD960" s="114"/>
    </row>
    <row r="961" spans="1:30" ht="15.75" customHeight="1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43"/>
      <c r="M961" s="143"/>
      <c r="N961" s="143"/>
      <c r="O961" s="143"/>
      <c r="P961" s="114"/>
      <c r="Q961" s="114"/>
      <c r="R961" s="115"/>
      <c r="S961" s="114"/>
      <c r="T961" s="114"/>
      <c r="U961" s="115"/>
      <c r="V961" s="114"/>
      <c r="W961" s="115"/>
      <c r="X961" s="114"/>
      <c r="Y961" s="115"/>
      <c r="Z961" s="114"/>
      <c r="AA961" s="143"/>
      <c r="AB961" s="114"/>
      <c r="AC961" s="114"/>
      <c r="AD961" s="114"/>
    </row>
    <row r="962" spans="1:30" ht="15.75" customHeight="1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43"/>
      <c r="M962" s="143"/>
      <c r="N962" s="143"/>
      <c r="O962" s="143"/>
      <c r="P962" s="114"/>
      <c r="Q962" s="114"/>
      <c r="R962" s="115"/>
      <c r="S962" s="114"/>
      <c r="T962" s="114"/>
      <c r="U962" s="115"/>
      <c r="V962" s="114"/>
      <c r="W962" s="115"/>
      <c r="X962" s="114"/>
      <c r="Y962" s="115"/>
      <c r="Z962" s="114"/>
      <c r="AA962" s="143"/>
      <c r="AB962" s="114"/>
      <c r="AC962" s="114"/>
      <c r="AD962" s="114"/>
    </row>
    <row r="963" spans="1:30" ht="15.75" customHeight="1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43"/>
      <c r="M963" s="143"/>
      <c r="N963" s="143"/>
      <c r="O963" s="143"/>
      <c r="P963" s="114"/>
      <c r="Q963" s="114"/>
      <c r="R963" s="115"/>
      <c r="S963" s="114"/>
      <c r="T963" s="114"/>
      <c r="U963" s="115"/>
      <c r="V963" s="114"/>
      <c r="W963" s="115"/>
      <c r="X963" s="114"/>
      <c r="Y963" s="115"/>
      <c r="Z963" s="114"/>
      <c r="AA963" s="143"/>
      <c r="AB963" s="114"/>
      <c r="AC963" s="114"/>
      <c r="AD963" s="114"/>
    </row>
    <row r="964" spans="1:30" ht="15.75" customHeight="1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43"/>
      <c r="M964" s="143"/>
      <c r="N964" s="143"/>
      <c r="O964" s="143"/>
      <c r="P964" s="114"/>
      <c r="Q964" s="114"/>
      <c r="R964" s="115"/>
      <c r="S964" s="114"/>
      <c r="T964" s="114"/>
      <c r="U964" s="115"/>
      <c r="V964" s="114"/>
      <c r="W964" s="115"/>
      <c r="X964" s="114"/>
      <c r="Y964" s="115"/>
      <c r="Z964" s="114"/>
      <c r="AA964" s="143"/>
      <c r="AB964" s="114"/>
      <c r="AC964" s="114"/>
      <c r="AD964" s="114"/>
    </row>
    <row r="965" spans="1:30" ht="15.75" customHeight="1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43"/>
      <c r="M965" s="143"/>
      <c r="N965" s="143"/>
      <c r="O965" s="143"/>
      <c r="P965" s="114"/>
      <c r="Q965" s="114"/>
      <c r="R965" s="115"/>
      <c r="S965" s="114"/>
      <c r="T965" s="114"/>
      <c r="U965" s="115"/>
      <c r="V965" s="114"/>
      <c r="W965" s="115"/>
      <c r="X965" s="114"/>
      <c r="Y965" s="115"/>
      <c r="Z965" s="114"/>
      <c r="AA965" s="143"/>
      <c r="AB965" s="114"/>
      <c r="AC965" s="114"/>
      <c r="AD965" s="114"/>
    </row>
    <row r="966" spans="1:30" ht="15.75" customHeight="1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43"/>
      <c r="M966" s="143"/>
      <c r="N966" s="143"/>
      <c r="O966" s="143"/>
      <c r="P966" s="114"/>
      <c r="Q966" s="114"/>
      <c r="R966" s="115"/>
      <c r="S966" s="114"/>
      <c r="T966" s="114"/>
      <c r="U966" s="115"/>
      <c r="V966" s="114"/>
      <c r="W966" s="115"/>
      <c r="X966" s="114"/>
      <c r="Y966" s="115"/>
      <c r="Z966" s="114"/>
      <c r="AA966" s="143"/>
      <c r="AB966" s="114"/>
      <c r="AC966" s="114"/>
      <c r="AD966" s="114"/>
    </row>
    <row r="967" spans="1:30" ht="15.75" customHeight="1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43"/>
      <c r="M967" s="143"/>
      <c r="N967" s="143"/>
      <c r="O967" s="143"/>
      <c r="P967" s="114"/>
      <c r="Q967" s="114"/>
      <c r="R967" s="115"/>
      <c r="S967" s="114"/>
      <c r="T967" s="114"/>
      <c r="U967" s="115"/>
      <c r="V967" s="114"/>
      <c r="W967" s="115"/>
      <c r="X967" s="114"/>
      <c r="Y967" s="115"/>
      <c r="Z967" s="114"/>
      <c r="AA967" s="143"/>
      <c r="AB967" s="114"/>
      <c r="AC967" s="114"/>
      <c r="AD967" s="114"/>
    </row>
    <row r="968" spans="1:30" ht="15.75" customHeight="1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43"/>
      <c r="M968" s="143"/>
      <c r="N968" s="143"/>
      <c r="O968" s="143"/>
      <c r="P968" s="114"/>
      <c r="Q968" s="114"/>
      <c r="R968" s="115"/>
      <c r="S968" s="114"/>
      <c r="T968" s="114"/>
      <c r="U968" s="115"/>
      <c r="V968" s="114"/>
      <c r="W968" s="115"/>
      <c r="X968" s="114"/>
      <c r="Y968" s="115"/>
      <c r="Z968" s="114"/>
      <c r="AA968" s="143"/>
      <c r="AB968" s="114"/>
      <c r="AC968" s="114"/>
      <c r="AD968" s="114"/>
    </row>
    <row r="969" spans="1:30" ht="15.75" customHeight="1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43"/>
      <c r="M969" s="143"/>
      <c r="N969" s="143"/>
      <c r="O969" s="143"/>
      <c r="P969" s="114"/>
      <c r="Q969" s="114"/>
      <c r="R969" s="115"/>
      <c r="S969" s="114"/>
      <c r="T969" s="114"/>
      <c r="U969" s="115"/>
      <c r="V969" s="114"/>
      <c r="W969" s="115"/>
      <c r="X969" s="114"/>
      <c r="Y969" s="115"/>
      <c r="Z969" s="114"/>
      <c r="AA969" s="143"/>
      <c r="AB969" s="114"/>
      <c r="AC969" s="114"/>
      <c r="AD969" s="114"/>
    </row>
    <row r="970" spans="1:30" ht="15.75" customHeight="1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43"/>
      <c r="M970" s="143"/>
      <c r="N970" s="143"/>
      <c r="O970" s="143"/>
      <c r="P970" s="114"/>
      <c r="Q970" s="114"/>
      <c r="R970" s="115"/>
      <c r="S970" s="114"/>
      <c r="T970" s="114"/>
      <c r="U970" s="115"/>
      <c r="V970" s="114"/>
      <c r="W970" s="115"/>
      <c r="X970" s="114"/>
      <c r="Y970" s="115"/>
      <c r="Z970" s="114"/>
      <c r="AA970" s="143"/>
      <c r="AB970" s="114"/>
      <c r="AC970" s="114"/>
      <c r="AD970" s="114"/>
    </row>
    <row r="971" spans="1:30" ht="15.75" customHeight="1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43"/>
      <c r="M971" s="143"/>
      <c r="N971" s="143"/>
      <c r="O971" s="143"/>
      <c r="P971" s="114"/>
      <c r="Q971" s="114"/>
      <c r="R971" s="115"/>
      <c r="S971" s="114"/>
      <c r="T971" s="114"/>
      <c r="U971" s="115"/>
      <c r="V971" s="114"/>
      <c r="W971" s="115"/>
      <c r="X971" s="114"/>
      <c r="Y971" s="115"/>
      <c r="Z971" s="114"/>
      <c r="AA971" s="143"/>
      <c r="AB971" s="114"/>
      <c r="AC971" s="114"/>
      <c r="AD971" s="114"/>
    </row>
    <row r="972" spans="1:30" ht="15.75" customHeight="1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43"/>
      <c r="M972" s="143"/>
      <c r="N972" s="143"/>
      <c r="O972" s="143"/>
      <c r="P972" s="114"/>
      <c r="Q972" s="114"/>
      <c r="R972" s="115"/>
      <c r="S972" s="114"/>
      <c r="T972" s="114"/>
      <c r="U972" s="115"/>
      <c r="V972" s="114"/>
      <c r="W972" s="115"/>
      <c r="X972" s="114"/>
      <c r="Y972" s="115"/>
      <c r="Z972" s="114"/>
      <c r="AA972" s="143"/>
      <c r="AB972" s="114"/>
      <c r="AC972" s="114"/>
      <c r="AD972" s="114"/>
    </row>
    <row r="973" spans="1:30" ht="15.75" customHeight="1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43"/>
      <c r="M973" s="143"/>
      <c r="N973" s="143"/>
      <c r="O973" s="143"/>
      <c r="P973" s="114"/>
      <c r="Q973" s="114"/>
      <c r="R973" s="115"/>
      <c r="S973" s="114"/>
      <c r="T973" s="114"/>
      <c r="U973" s="115"/>
      <c r="V973" s="114"/>
      <c r="W973" s="115"/>
      <c r="X973" s="114"/>
      <c r="Y973" s="115"/>
      <c r="Z973" s="114"/>
      <c r="AA973" s="143"/>
      <c r="AB973" s="114"/>
      <c r="AC973" s="114"/>
      <c r="AD973" s="114"/>
    </row>
    <row r="974" spans="1:30" ht="15.75" customHeight="1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43"/>
      <c r="M974" s="143"/>
      <c r="N974" s="143"/>
      <c r="O974" s="143"/>
      <c r="P974" s="114"/>
      <c r="Q974" s="114"/>
      <c r="R974" s="115"/>
      <c r="S974" s="114"/>
      <c r="T974" s="114"/>
      <c r="U974" s="115"/>
      <c r="V974" s="114"/>
      <c r="W974" s="115"/>
      <c r="X974" s="114"/>
      <c r="Y974" s="115"/>
      <c r="Z974" s="114"/>
      <c r="AA974" s="143"/>
      <c r="AB974" s="114"/>
      <c r="AC974" s="114"/>
      <c r="AD974" s="114"/>
    </row>
    <row r="975" spans="1:30" ht="15.75" customHeight="1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43"/>
      <c r="M975" s="143"/>
      <c r="N975" s="143"/>
      <c r="O975" s="143"/>
      <c r="P975" s="114"/>
      <c r="Q975" s="114"/>
      <c r="R975" s="115"/>
      <c r="S975" s="114"/>
      <c r="T975" s="114"/>
      <c r="U975" s="115"/>
      <c r="V975" s="114"/>
      <c r="W975" s="115"/>
      <c r="X975" s="114"/>
      <c r="Y975" s="115"/>
      <c r="Z975" s="114"/>
      <c r="AA975" s="143"/>
      <c r="AB975" s="114"/>
      <c r="AC975" s="114"/>
      <c r="AD975" s="114"/>
    </row>
    <row r="976" spans="1:30" ht="15.75" customHeight="1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43"/>
      <c r="M976" s="143"/>
      <c r="N976" s="143"/>
      <c r="O976" s="143"/>
      <c r="P976" s="114"/>
      <c r="Q976" s="114"/>
      <c r="R976" s="115"/>
      <c r="S976" s="114"/>
      <c r="T976" s="114"/>
      <c r="U976" s="115"/>
      <c r="V976" s="114"/>
      <c r="W976" s="115"/>
      <c r="X976" s="114"/>
      <c r="Y976" s="115"/>
      <c r="Z976" s="114"/>
      <c r="AA976" s="143"/>
      <c r="AB976" s="114"/>
      <c r="AC976" s="114"/>
      <c r="AD976" s="114"/>
    </row>
    <row r="977" spans="1:30" ht="15.75" customHeight="1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43"/>
      <c r="M977" s="143"/>
      <c r="N977" s="143"/>
      <c r="O977" s="143"/>
      <c r="P977" s="114"/>
      <c r="Q977" s="114"/>
      <c r="R977" s="115"/>
      <c r="S977" s="114"/>
      <c r="T977" s="114"/>
      <c r="U977" s="115"/>
      <c r="V977" s="114"/>
      <c r="W977" s="115"/>
      <c r="X977" s="114"/>
      <c r="Y977" s="115"/>
      <c r="Z977" s="114"/>
      <c r="AA977" s="143"/>
      <c r="AB977" s="114"/>
      <c r="AC977" s="114"/>
      <c r="AD977" s="114"/>
    </row>
    <row r="978" spans="1:30" ht="15.75" customHeight="1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43"/>
      <c r="M978" s="143"/>
      <c r="N978" s="143"/>
      <c r="O978" s="143"/>
      <c r="P978" s="114"/>
      <c r="Q978" s="114"/>
      <c r="R978" s="115"/>
      <c r="S978" s="114"/>
      <c r="T978" s="114"/>
      <c r="U978" s="115"/>
      <c r="V978" s="114"/>
      <c r="W978" s="115"/>
      <c r="X978" s="114"/>
      <c r="Y978" s="115"/>
      <c r="Z978" s="114"/>
      <c r="AA978" s="143"/>
      <c r="AB978" s="114"/>
      <c r="AC978" s="114"/>
      <c r="AD978" s="114"/>
    </row>
    <row r="979" spans="1:30" ht="15.75" customHeight="1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43"/>
      <c r="M979" s="143"/>
      <c r="N979" s="143"/>
      <c r="O979" s="143"/>
      <c r="P979" s="114"/>
      <c r="Q979" s="114"/>
      <c r="R979" s="115"/>
      <c r="S979" s="114"/>
      <c r="T979" s="114"/>
      <c r="U979" s="115"/>
      <c r="V979" s="114"/>
      <c r="W979" s="115"/>
      <c r="X979" s="114"/>
      <c r="Y979" s="115"/>
      <c r="Z979" s="114"/>
      <c r="AA979" s="143"/>
      <c r="AB979" s="114"/>
      <c r="AC979" s="114"/>
      <c r="AD979" s="114"/>
    </row>
    <row r="980" spans="1:30" ht="15.75" customHeight="1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43"/>
      <c r="M980" s="143"/>
      <c r="N980" s="143"/>
      <c r="O980" s="143"/>
      <c r="P980" s="114"/>
      <c r="Q980" s="114"/>
      <c r="R980" s="115"/>
      <c r="S980" s="114"/>
      <c r="T980" s="114"/>
      <c r="U980" s="115"/>
      <c r="V980" s="114"/>
      <c r="W980" s="115"/>
      <c r="X980" s="114"/>
      <c r="Y980" s="115"/>
      <c r="Z980" s="114"/>
      <c r="AA980" s="143"/>
      <c r="AB980" s="114"/>
      <c r="AC980" s="114"/>
      <c r="AD980" s="114"/>
    </row>
    <row r="981" spans="1:30" ht="15.75" customHeight="1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43"/>
      <c r="M981" s="143"/>
      <c r="N981" s="143"/>
      <c r="O981" s="143"/>
      <c r="P981" s="114"/>
      <c r="Q981" s="114"/>
      <c r="R981" s="115"/>
      <c r="S981" s="114"/>
      <c r="T981" s="114"/>
      <c r="U981" s="115"/>
      <c r="V981" s="114"/>
      <c r="W981" s="115"/>
      <c r="X981" s="114"/>
      <c r="Y981" s="115"/>
      <c r="Z981" s="114"/>
      <c r="AA981" s="143"/>
      <c r="AB981" s="114"/>
      <c r="AC981" s="114"/>
      <c r="AD981" s="114"/>
    </row>
    <row r="982" spans="1:30" ht="15.75" customHeight="1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43"/>
      <c r="M982" s="143"/>
      <c r="N982" s="143"/>
      <c r="O982" s="143"/>
      <c r="P982" s="114"/>
      <c r="Q982" s="114"/>
      <c r="R982" s="115"/>
      <c r="S982" s="114"/>
      <c r="T982" s="114"/>
      <c r="U982" s="115"/>
      <c r="V982" s="114"/>
      <c r="W982" s="115"/>
      <c r="X982" s="114"/>
      <c r="Y982" s="115"/>
      <c r="Z982" s="114"/>
      <c r="AA982" s="143"/>
      <c r="AB982" s="114"/>
      <c r="AC982" s="114"/>
      <c r="AD982" s="114"/>
    </row>
    <row r="983" spans="1:30" ht="15.75" customHeight="1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43"/>
      <c r="M983" s="143"/>
      <c r="N983" s="143"/>
      <c r="O983" s="143"/>
      <c r="P983" s="114"/>
      <c r="Q983" s="114"/>
      <c r="R983" s="115"/>
      <c r="S983" s="114"/>
      <c r="T983" s="114"/>
      <c r="U983" s="115"/>
      <c r="V983" s="114"/>
      <c r="W983" s="115"/>
      <c r="X983" s="114"/>
      <c r="Y983" s="115"/>
      <c r="Z983" s="114"/>
      <c r="AA983" s="143"/>
      <c r="AB983" s="114"/>
      <c r="AC983" s="114"/>
      <c r="AD983" s="114"/>
    </row>
    <row r="984" spans="1:30" ht="15.75" customHeight="1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43"/>
      <c r="M984" s="143"/>
      <c r="N984" s="143"/>
      <c r="O984" s="143"/>
      <c r="P984" s="114"/>
      <c r="Q984" s="114"/>
      <c r="R984" s="115"/>
      <c r="S984" s="114"/>
      <c r="T984" s="114"/>
      <c r="U984" s="115"/>
      <c r="V984" s="114"/>
      <c r="W984" s="115"/>
      <c r="X984" s="114"/>
      <c r="Y984" s="115"/>
      <c r="Z984" s="114"/>
      <c r="AA984" s="143"/>
      <c r="AB984" s="114"/>
      <c r="AC984" s="114"/>
      <c r="AD984" s="114"/>
    </row>
    <row r="985" spans="1:30" ht="15.75" customHeight="1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43"/>
      <c r="M985" s="143"/>
      <c r="N985" s="143"/>
      <c r="O985" s="143"/>
      <c r="P985" s="114"/>
      <c r="Q985" s="114"/>
      <c r="R985" s="115"/>
      <c r="S985" s="114"/>
      <c r="T985" s="114"/>
      <c r="U985" s="115"/>
      <c r="V985" s="114"/>
      <c r="W985" s="115"/>
      <c r="X985" s="114"/>
      <c r="Y985" s="115"/>
      <c r="Z985" s="114"/>
      <c r="AA985" s="143"/>
      <c r="AB985" s="114"/>
      <c r="AC985" s="114"/>
      <c r="AD985" s="114"/>
    </row>
    <row r="986" spans="1:30" ht="15.75" customHeight="1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43"/>
      <c r="M986" s="143"/>
      <c r="N986" s="143"/>
      <c r="O986" s="143"/>
      <c r="P986" s="114"/>
      <c r="Q986" s="114"/>
      <c r="R986" s="115"/>
      <c r="S986" s="114"/>
      <c r="T986" s="114"/>
      <c r="U986" s="115"/>
      <c r="V986" s="114"/>
      <c r="W986" s="115"/>
      <c r="X986" s="114"/>
      <c r="Y986" s="115"/>
      <c r="Z986" s="114"/>
      <c r="AA986" s="143"/>
      <c r="AB986" s="114"/>
      <c r="AC986" s="114"/>
      <c r="AD986" s="114"/>
    </row>
    <row r="987" spans="1:30" ht="15.75" customHeight="1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43"/>
      <c r="M987" s="143"/>
      <c r="N987" s="143"/>
      <c r="O987" s="143"/>
      <c r="P987" s="114"/>
      <c r="Q987" s="114"/>
      <c r="R987" s="115"/>
      <c r="S987" s="114"/>
      <c r="T987" s="114"/>
      <c r="U987" s="115"/>
      <c r="V987" s="114"/>
      <c r="W987" s="115"/>
      <c r="X987" s="114"/>
      <c r="Y987" s="115"/>
      <c r="Z987" s="114"/>
      <c r="AA987" s="143"/>
      <c r="AB987" s="114"/>
      <c r="AC987" s="114"/>
      <c r="AD987" s="114"/>
    </row>
    <row r="988" spans="1:30" ht="15.75" customHeight="1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43"/>
      <c r="M988" s="143"/>
      <c r="N988" s="143"/>
      <c r="O988" s="143"/>
      <c r="P988" s="114"/>
      <c r="Q988" s="114"/>
      <c r="R988" s="115"/>
      <c r="S988" s="114"/>
      <c r="T988" s="114"/>
      <c r="U988" s="115"/>
      <c r="V988" s="114"/>
      <c r="W988" s="115"/>
      <c r="X988" s="114"/>
      <c r="Y988" s="115"/>
      <c r="Z988" s="114"/>
      <c r="AA988" s="143"/>
      <c r="AB988" s="114"/>
      <c r="AC988" s="114"/>
      <c r="AD988" s="114"/>
    </row>
    <row r="989" spans="1:30" ht="15.75" customHeight="1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43"/>
      <c r="M989" s="143"/>
      <c r="N989" s="143"/>
      <c r="O989" s="143"/>
      <c r="P989" s="114"/>
      <c r="Q989" s="114"/>
      <c r="R989" s="115"/>
      <c r="S989" s="114"/>
      <c r="T989" s="114"/>
      <c r="U989" s="115"/>
      <c r="V989" s="114"/>
      <c r="W989" s="115"/>
      <c r="X989" s="114"/>
      <c r="Y989" s="115"/>
      <c r="Z989" s="114"/>
      <c r="AA989" s="143"/>
      <c r="AB989" s="114"/>
      <c r="AC989" s="114"/>
      <c r="AD989" s="114"/>
    </row>
    <row r="990" spans="1:30" ht="15.75" customHeight="1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43"/>
      <c r="M990" s="143"/>
      <c r="N990" s="143"/>
      <c r="O990" s="143"/>
      <c r="P990" s="114"/>
      <c r="Q990" s="114"/>
      <c r="R990" s="115"/>
      <c r="S990" s="114"/>
      <c r="T990" s="114"/>
      <c r="U990" s="115"/>
      <c r="V990" s="114"/>
      <c r="W990" s="115"/>
      <c r="X990" s="114"/>
      <c r="Y990" s="115"/>
      <c r="Z990" s="114"/>
      <c r="AA990" s="143"/>
      <c r="AB990" s="114"/>
      <c r="AC990" s="114"/>
      <c r="AD990" s="114"/>
    </row>
    <row r="991" spans="1:30" ht="15.75" customHeight="1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43"/>
      <c r="M991" s="143"/>
      <c r="N991" s="143"/>
      <c r="O991" s="143"/>
      <c r="P991" s="114"/>
      <c r="Q991" s="114"/>
      <c r="R991" s="115"/>
      <c r="S991" s="114"/>
      <c r="T991" s="114"/>
      <c r="U991" s="115"/>
      <c r="V991" s="114"/>
      <c r="W991" s="115"/>
      <c r="X991" s="114"/>
      <c r="Y991" s="115"/>
      <c r="Z991" s="114"/>
      <c r="AA991" s="143"/>
      <c r="AB991" s="114"/>
      <c r="AC991" s="114"/>
      <c r="AD991" s="114"/>
    </row>
    <row r="992" spans="1:30" ht="15.75" customHeight="1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43"/>
      <c r="M992" s="143"/>
      <c r="N992" s="143"/>
      <c r="O992" s="143"/>
      <c r="P992" s="114"/>
      <c r="Q992" s="114"/>
      <c r="R992" s="115"/>
      <c r="S992" s="114"/>
      <c r="T992" s="114"/>
      <c r="U992" s="115"/>
      <c r="V992" s="114"/>
      <c r="W992" s="115"/>
      <c r="X992" s="114"/>
      <c r="Y992" s="115"/>
      <c r="Z992" s="114"/>
      <c r="AA992" s="143"/>
      <c r="AB992" s="114"/>
      <c r="AC992" s="114"/>
      <c r="AD992" s="114"/>
    </row>
    <row r="993" spans="1:30" ht="15.75" customHeight="1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43"/>
      <c r="M993" s="143"/>
      <c r="N993" s="143"/>
      <c r="O993" s="143"/>
      <c r="P993" s="114"/>
      <c r="Q993" s="114"/>
      <c r="R993" s="115"/>
      <c r="S993" s="114"/>
      <c r="T993" s="114"/>
      <c r="U993" s="115"/>
      <c r="V993" s="114"/>
      <c r="W993" s="115"/>
      <c r="X993" s="114"/>
      <c r="Y993" s="115"/>
      <c r="Z993" s="114"/>
      <c r="AA993" s="143"/>
      <c r="AB993" s="114"/>
      <c r="AC993" s="114"/>
      <c r="AD993" s="114"/>
    </row>
    <row r="994" spans="1:30" ht="15.75" customHeight="1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43"/>
      <c r="M994" s="143"/>
      <c r="N994" s="143"/>
      <c r="O994" s="143"/>
      <c r="P994" s="114"/>
      <c r="Q994" s="114"/>
      <c r="R994" s="115"/>
      <c r="S994" s="114"/>
      <c r="T994" s="114"/>
      <c r="U994" s="115"/>
      <c r="V994" s="114"/>
      <c r="W994" s="115"/>
      <c r="X994" s="114"/>
      <c r="Y994" s="115"/>
      <c r="Z994" s="114"/>
      <c r="AA994" s="143"/>
      <c r="AB994" s="114"/>
      <c r="AC994" s="114"/>
      <c r="AD994" s="114"/>
    </row>
    <row r="995" spans="1:30" ht="15.75" customHeight="1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43"/>
      <c r="M995" s="143"/>
      <c r="N995" s="143"/>
      <c r="O995" s="143"/>
      <c r="P995" s="114"/>
      <c r="Q995" s="114"/>
      <c r="R995" s="115"/>
      <c r="S995" s="114"/>
      <c r="T995" s="114"/>
      <c r="U995" s="115"/>
      <c r="V995" s="114"/>
      <c r="W995" s="115"/>
      <c r="X995" s="114"/>
      <c r="Y995" s="115"/>
      <c r="Z995" s="114"/>
      <c r="AA995" s="143"/>
      <c r="AB995" s="114"/>
      <c r="AC995" s="114"/>
      <c r="AD995" s="114"/>
    </row>
    <row r="996" spans="1:30" ht="15.75" customHeight="1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43"/>
      <c r="M996" s="143"/>
      <c r="N996" s="143"/>
      <c r="O996" s="143"/>
      <c r="P996" s="114"/>
      <c r="Q996" s="114"/>
      <c r="R996" s="115"/>
      <c r="S996" s="114"/>
      <c r="T996" s="114"/>
      <c r="U996" s="115"/>
      <c r="V996" s="114"/>
      <c r="W996" s="115"/>
      <c r="X996" s="114"/>
      <c r="Y996" s="115"/>
      <c r="Z996" s="114"/>
      <c r="AA996" s="143"/>
      <c r="AB996" s="114"/>
      <c r="AC996" s="114"/>
      <c r="AD996" s="114"/>
    </row>
    <row r="997" spans="1:30" ht="15.75" customHeight="1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43"/>
      <c r="M997" s="143"/>
      <c r="N997" s="143"/>
      <c r="O997" s="143"/>
      <c r="P997" s="114"/>
      <c r="Q997" s="114"/>
      <c r="R997" s="115"/>
      <c r="S997" s="114"/>
      <c r="T997" s="114"/>
      <c r="U997" s="115"/>
      <c r="V997" s="114"/>
      <c r="W997" s="115"/>
      <c r="X997" s="114"/>
      <c r="Y997" s="115"/>
      <c r="Z997" s="114"/>
      <c r="AA997" s="143"/>
      <c r="AB997" s="114"/>
      <c r="AC997" s="114"/>
      <c r="AD997" s="114"/>
    </row>
    <row r="998" spans="1:30" ht="15.75" customHeight="1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43"/>
      <c r="M998" s="143"/>
      <c r="N998" s="143"/>
      <c r="O998" s="143"/>
      <c r="P998" s="114"/>
      <c r="Q998" s="114"/>
      <c r="R998" s="115"/>
      <c r="S998" s="114"/>
      <c r="T998" s="114"/>
      <c r="U998" s="115"/>
      <c r="V998" s="114"/>
      <c r="W998" s="115"/>
      <c r="X998" s="114"/>
      <c r="Y998" s="115"/>
      <c r="Z998" s="114"/>
      <c r="AA998" s="143"/>
      <c r="AB998" s="114"/>
      <c r="AC998" s="114"/>
      <c r="AD998" s="114"/>
    </row>
    <row r="999" spans="1:30" ht="15.75" customHeight="1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43"/>
      <c r="M999" s="143"/>
      <c r="N999" s="143"/>
      <c r="O999" s="143"/>
      <c r="P999" s="114"/>
      <c r="Q999" s="114"/>
      <c r="R999" s="115"/>
      <c r="S999" s="114"/>
      <c r="T999" s="114"/>
      <c r="U999" s="115"/>
      <c r="V999" s="114"/>
      <c r="W999" s="115"/>
      <c r="X999" s="114"/>
      <c r="Y999" s="115"/>
      <c r="Z999" s="114"/>
      <c r="AA999" s="143"/>
      <c r="AB999" s="114"/>
      <c r="AC999" s="114"/>
      <c r="AD999" s="114"/>
    </row>
    <row r="1000" spans="1:30" ht="15.75" customHeight="1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43"/>
      <c r="M1000" s="143"/>
      <c r="N1000" s="143"/>
      <c r="O1000" s="143"/>
      <c r="P1000" s="114"/>
      <c r="Q1000" s="114"/>
      <c r="R1000" s="115"/>
      <c r="S1000" s="114"/>
      <c r="T1000" s="114"/>
      <c r="U1000" s="115"/>
      <c r="V1000" s="114"/>
      <c r="W1000" s="115"/>
      <c r="X1000" s="114"/>
      <c r="Y1000" s="115"/>
      <c r="Z1000" s="114"/>
      <c r="AA1000" s="143"/>
      <c r="AB1000" s="114"/>
      <c r="AC1000" s="114"/>
      <c r="AD1000" s="114"/>
    </row>
  </sheetData>
  <mergeCells count="36">
    <mergeCell ref="A91:B91"/>
    <mergeCell ref="A106:B106"/>
    <mergeCell ref="A2:B4"/>
    <mergeCell ref="A6:B8"/>
    <mergeCell ref="C7:C8"/>
    <mergeCell ref="A9:B9"/>
    <mergeCell ref="A15:B15"/>
    <mergeCell ref="A33:B33"/>
    <mergeCell ref="A54:B54"/>
    <mergeCell ref="A76:B76"/>
    <mergeCell ref="C2:AD2"/>
    <mergeCell ref="C3:AD3"/>
    <mergeCell ref="C4:AD4"/>
    <mergeCell ref="C5:O5"/>
    <mergeCell ref="P5:R6"/>
    <mergeCell ref="S5:AA5"/>
    <mergeCell ref="AB5:AD6"/>
    <mergeCell ref="X6:Y6"/>
    <mergeCell ref="Z6:AA6"/>
    <mergeCell ref="X7:Y7"/>
    <mergeCell ref="Z7:AA7"/>
    <mergeCell ref="AC7:AD7"/>
    <mergeCell ref="Q7:R7"/>
    <mergeCell ref="S6:U6"/>
    <mergeCell ref="V6:W6"/>
    <mergeCell ref="T7:U7"/>
    <mergeCell ref="V7:W7"/>
    <mergeCell ref="C6:G6"/>
    <mergeCell ref="I6:O6"/>
    <mergeCell ref="I7:J7"/>
    <mergeCell ref="K7:M7"/>
    <mergeCell ref="N7:O7"/>
    <mergeCell ref="D7:D8"/>
    <mergeCell ref="E7:E8"/>
    <mergeCell ref="F7:F8"/>
    <mergeCell ref="G7:G8"/>
  </mergeCells>
  <printOptions horizontalCentered="1"/>
  <pageMargins left="0.31496062992125984" right="0.31496062992125984" top="0.74803149606299213" bottom="0.74803149606299213" header="0" footer="0"/>
  <pageSetup paperSize="9" scale="39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  <colBreaks count="1" manualBreakCount="1">
    <brk id="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EAADB"/>
    <pageSetUpPr fitToPage="1"/>
  </sheetPr>
  <dimension ref="A1:U1000"/>
  <sheetViews>
    <sheetView view="pageBreakPreview" zoomScale="60" zoomScaleNormal="100" workbookViewId="0">
      <pane xSplit="2" ySplit="9" topLeftCell="E10" activePane="bottomRight" state="frozen"/>
      <selection activeCell="A15" sqref="A15:B15"/>
      <selection pane="topRight" activeCell="A15" sqref="A15:B15"/>
      <selection pane="bottomLeft" activeCell="A15" sqref="A15:B15"/>
      <selection pane="bottomRight" activeCell="A15" sqref="A15:B15"/>
    </sheetView>
  </sheetViews>
  <sheetFormatPr defaultColWidth="14.44140625" defaultRowHeight="15" customHeight="1"/>
  <cols>
    <col min="1" max="1" width="7.21875" customWidth="1"/>
    <col min="2" max="2" width="43.109375" customWidth="1"/>
    <col min="3" max="5" width="14" customWidth="1"/>
    <col min="6" max="6" width="11.77734375" customWidth="1"/>
    <col min="7" max="7" width="10.44140625" customWidth="1"/>
    <col min="8" max="9" width="14" customWidth="1"/>
    <col min="10" max="10" width="8.44140625" customWidth="1"/>
    <col min="11" max="11" width="15.109375" customWidth="1"/>
    <col min="12" max="12" width="15.21875" customWidth="1"/>
    <col min="13" max="13" width="16.77734375" customWidth="1"/>
    <col min="14" max="14" width="10.44140625" customWidth="1"/>
    <col min="15" max="15" width="8.44140625" customWidth="1"/>
    <col min="16" max="21" width="14" customWidth="1"/>
  </cols>
  <sheetData>
    <row r="1" spans="1:21" ht="24" customHeight="1">
      <c r="A1" s="1" t="s">
        <v>158</v>
      </c>
      <c r="B1" s="2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2"/>
      <c r="Q1" s="2"/>
      <c r="R1" s="117"/>
      <c r="S1" s="2"/>
      <c r="T1" s="2"/>
      <c r="U1" s="117"/>
    </row>
    <row r="2" spans="1:21" ht="24" customHeight="1">
      <c r="A2" s="681" t="s">
        <v>1</v>
      </c>
      <c r="B2" s="682"/>
      <c r="C2" s="710" t="s">
        <v>2</v>
      </c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7"/>
    </row>
    <row r="3" spans="1:21" ht="24" customHeight="1">
      <c r="A3" s="660"/>
      <c r="B3" s="661"/>
      <c r="C3" s="688" t="s">
        <v>159</v>
      </c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4"/>
    </row>
    <row r="4" spans="1:21" ht="24" customHeight="1">
      <c r="A4" s="683"/>
      <c r="B4" s="684"/>
      <c r="C4" s="711" t="s">
        <v>160</v>
      </c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  <c r="S4" s="651"/>
      <c r="T4" s="651"/>
      <c r="U4" s="654"/>
    </row>
    <row r="5" spans="1:21" ht="24" customHeight="1">
      <c r="A5" s="6"/>
      <c r="B5" s="7"/>
      <c r="C5" s="650" t="s">
        <v>5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4"/>
      <c r="P5" s="717" t="s">
        <v>161</v>
      </c>
      <c r="Q5" s="694"/>
      <c r="R5" s="695"/>
      <c r="S5" s="718" t="s">
        <v>162</v>
      </c>
      <c r="T5" s="694"/>
      <c r="U5" s="695"/>
    </row>
    <row r="6" spans="1:21" ht="24" customHeight="1">
      <c r="A6" s="658" t="s">
        <v>8</v>
      </c>
      <c r="B6" s="659"/>
      <c r="C6" s="653" t="s">
        <v>9</v>
      </c>
      <c r="D6" s="651"/>
      <c r="E6" s="651"/>
      <c r="F6" s="651"/>
      <c r="G6" s="654"/>
      <c r="H6" s="8" t="s">
        <v>10</v>
      </c>
      <c r="I6" s="655" t="s">
        <v>11</v>
      </c>
      <c r="J6" s="651"/>
      <c r="K6" s="651"/>
      <c r="L6" s="651"/>
      <c r="M6" s="651"/>
      <c r="N6" s="651"/>
      <c r="O6" s="654"/>
      <c r="P6" s="713"/>
      <c r="Q6" s="714"/>
      <c r="R6" s="715"/>
      <c r="S6" s="719"/>
      <c r="T6" s="670"/>
      <c r="U6" s="671"/>
    </row>
    <row r="7" spans="1:21" ht="24" customHeight="1">
      <c r="A7" s="660"/>
      <c r="B7" s="661"/>
      <c r="C7" s="702" t="s">
        <v>16</v>
      </c>
      <c r="D7" s="704" t="s">
        <v>17</v>
      </c>
      <c r="E7" s="705" t="s">
        <v>18</v>
      </c>
      <c r="F7" s="664" t="s">
        <v>19</v>
      </c>
      <c r="G7" s="666" t="s">
        <v>20</v>
      </c>
      <c r="H7" s="9" t="s">
        <v>21</v>
      </c>
      <c r="I7" s="667" t="s">
        <v>22</v>
      </c>
      <c r="J7" s="668"/>
      <c r="K7" s="669" t="s">
        <v>21</v>
      </c>
      <c r="L7" s="670"/>
      <c r="M7" s="671"/>
      <c r="N7" s="672" t="s">
        <v>23</v>
      </c>
      <c r="O7" s="671"/>
      <c r="P7" s="118" t="s">
        <v>24</v>
      </c>
      <c r="Q7" s="706" t="s">
        <v>25</v>
      </c>
      <c r="R7" s="654"/>
      <c r="S7" s="118" t="s">
        <v>24</v>
      </c>
      <c r="T7" s="706" t="s">
        <v>25</v>
      </c>
      <c r="U7" s="654"/>
    </row>
    <row r="8" spans="1:21" ht="24" customHeight="1">
      <c r="A8" s="662"/>
      <c r="B8" s="663"/>
      <c r="C8" s="703"/>
      <c r="D8" s="665"/>
      <c r="E8" s="665"/>
      <c r="F8" s="665"/>
      <c r="G8" s="665"/>
      <c r="H8" s="9"/>
      <c r="I8" s="11" t="s">
        <v>26</v>
      </c>
      <c r="J8" s="12" t="s">
        <v>27</v>
      </c>
      <c r="K8" s="11" t="s">
        <v>26</v>
      </c>
      <c r="L8" s="13" t="s">
        <v>28</v>
      </c>
      <c r="M8" s="14" t="s">
        <v>29</v>
      </c>
      <c r="N8" s="15" t="s">
        <v>26</v>
      </c>
      <c r="O8" s="15" t="s">
        <v>27</v>
      </c>
      <c r="P8" s="16" t="s">
        <v>32</v>
      </c>
      <c r="Q8" s="119" t="s">
        <v>31</v>
      </c>
      <c r="R8" s="120" t="s">
        <v>27</v>
      </c>
      <c r="S8" s="16" t="s">
        <v>32</v>
      </c>
      <c r="T8" s="119" t="s">
        <v>31</v>
      </c>
      <c r="U8" s="120" t="s">
        <v>27</v>
      </c>
    </row>
    <row r="9" spans="1:21" ht="24" customHeight="1">
      <c r="A9" s="674" t="s">
        <v>34</v>
      </c>
      <c r="B9" s="675"/>
      <c r="C9" s="20">
        <f t="shared" ref="C9:C119" ca="1" si="0">D9+G9</f>
        <v>5113000</v>
      </c>
      <c r="D9" s="21">
        <f t="shared" ref="D9:F9" ca="1" si="1">D10+D11</f>
        <v>5113000</v>
      </c>
      <c r="E9" s="22">
        <f t="shared" ca="1" si="1"/>
        <v>552200</v>
      </c>
      <c r="F9" s="23">
        <f t="shared" ca="1" si="1"/>
        <v>4560800</v>
      </c>
      <c r="G9" s="24">
        <f t="shared" ref="G9:H9" ca="1" si="2">G10+G11+G14</f>
        <v>0</v>
      </c>
      <c r="H9" s="25">
        <f t="shared" ca="1" si="2"/>
        <v>3834700</v>
      </c>
      <c r="I9" s="26">
        <f t="shared" ref="I9:I105" ca="1" si="3">K9+N9</f>
        <v>1566376.79</v>
      </c>
      <c r="J9" s="122">
        <f t="shared" ref="J9:J105" ca="1" si="4">IF(C9&gt;0,I9*100/C9,0)</f>
        <v>30.635180715822415</v>
      </c>
      <c r="K9" s="26">
        <f ca="1">K10+K11+K14</f>
        <v>1566376.79</v>
      </c>
      <c r="L9" s="28">
        <f t="shared" ref="L9:L105" ca="1" si="5">IF(D9&gt;0,K9*100/D9,0)</f>
        <v>30.635180715822415</v>
      </c>
      <c r="M9" s="28">
        <f t="shared" ref="M9:M105" ca="1" si="6">IF(H9&gt;0,K9*100/H9,0)</f>
        <v>40.847440216966127</v>
      </c>
      <c r="N9" s="28">
        <f ca="1">N10+N11+N14</f>
        <v>0</v>
      </c>
      <c r="O9" s="28">
        <f t="shared" ref="O9:O105" ca="1" si="7">IF(G9&gt;0,N9*100/G9,0)</f>
        <v>0</v>
      </c>
      <c r="P9" s="30">
        <f t="shared" ref="P9:Q9" ca="1" si="8">P10</f>
        <v>500</v>
      </c>
      <c r="Q9" s="31">
        <f t="shared" ca="1" si="8"/>
        <v>500</v>
      </c>
      <c r="R9" s="32">
        <f t="shared" ref="R9:R106" ca="1" si="9">IF(P9&gt;0,Q9*100/P9,0)</f>
        <v>100</v>
      </c>
      <c r="S9" s="30">
        <f t="shared" ref="S9:T9" ca="1" si="10">S10</f>
        <v>500</v>
      </c>
      <c r="T9" s="31">
        <f t="shared" ca="1" si="10"/>
        <v>350</v>
      </c>
      <c r="U9" s="32">
        <f t="shared" ref="U9:U106" ca="1" si="11">IF(S9&gt;0,T9*100/S9,0)</f>
        <v>70</v>
      </c>
    </row>
    <row r="10" spans="1:21" ht="28.5" customHeight="1">
      <c r="A10" s="33" t="s">
        <v>35</v>
      </c>
      <c r="B10" s="34"/>
      <c r="C10" s="124">
        <f t="shared" ca="1" si="0"/>
        <v>2085480</v>
      </c>
      <c r="D10" s="36">
        <f t="shared" ref="D10:H10" ca="1" si="12">+D15+D33+D54+D76</f>
        <v>2085480</v>
      </c>
      <c r="E10" s="36">
        <f t="shared" ca="1" si="12"/>
        <v>0</v>
      </c>
      <c r="F10" s="36">
        <f t="shared" ca="1" si="12"/>
        <v>2085480</v>
      </c>
      <c r="G10" s="36">
        <f t="shared" ca="1" si="12"/>
        <v>0</v>
      </c>
      <c r="H10" s="36">
        <f t="shared" ca="1" si="12"/>
        <v>2085480</v>
      </c>
      <c r="I10" s="36">
        <f t="shared" ca="1" si="3"/>
        <v>1151122.6000000001</v>
      </c>
      <c r="J10" s="125">
        <f t="shared" ca="1" si="4"/>
        <v>55.197009801100954</v>
      </c>
      <c r="K10" s="36">
        <f ca="1">+K15+K33+K54+K76</f>
        <v>1151122.6000000001</v>
      </c>
      <c r="L10" s="38">
        <f t="shared" ca="1" si="5"/>
        <v>55.197009801100954</v>
      </c>
      <c r="M10" s="38">
        <f t="shared" ca="1" si="6"/>
        <v>55.197009801100954</v>
      </c>
      <c r="N10" s="38">
        <f ca="1">+N15+N33+N54+N76</f>
        <v>0</v>
      </c>
      <c r="O10" s="38">
        <f t="shared" ca="1" si="7"/>
        <v>0</v>
      </c>
      <c r="P10" s="36">
        <f t="shared" ref="P10:Q10" ca="1" si="13">+P15+P33+P54+P76</f>
        <v>500</v>
      </c>
      <c r="Q10" s="36">
        <f t="shared" ca="1" si="13"/>
        <v>500</v>
      </c>
      <c r="R10" s="38">
        <f t="shared" ca="1" si="9"/>
        <v>100</v>
      </c>
      <c r="S10" s="36">
        <f t="shared" ref="S10:T10" ca="1" si="14">+S15+S33+S54+S76</f>
        <v>500</v>
      </c>
      <c r="T10" s="36">
        <f t="shared" ca="1" si="14"/>
        <v>350</v>
      </c>
      <c r="U10" s="38">
        <f t="shared" ca="1" si="11"/>
        <v>70</v>
      </c>
    </row>
    <row r="11" spans="1:21" ht="28.5" customHeight="1">
      <c r="A11" s="42" t="s">
        <v>373</v>
      </c>
      <c r="B11" s="43"/>
      <c r="C11" s="126">
        <f t="shared" ca="1" si="0"/>
        <v>3027520</v>
      </c>
      <c r="D11" s="45">
        <f t="shared" ref="D11:H11" ca="1" si="15">+D12+D13</f>
        <v>3027520</v>
      </c>
      <c r="E11" s="45">
        <f t="shared" ca="1" si="15"/>
        <v>552200</v>
      </c>
      <c r="F11" s="45">
        <f t="shared" ca="1" si="15"/>
        <v>2475320</v>
      </c>
      <c r="G11" s="45">
        <f t="shared" ca="1" si="15"/>
        <v>0</v>
      </c>
      <c r="H11" s="45">
        <f t="shared" ca="1" si="15"/>
        <v>1749220</v>
      </c>
      <c r="I11" s="45">
        <f t="shared" ca="1" si="3"/>
        <v>415254.19</v>
      </c>
      <c r="J11" s="127">
        <f t="shared" ca="1" si="4"/>
        <v>13.715985030652151</v>
      </c>
      <c r="K11" s="45">
        <f ca="1">+K12+K13</f>
        <v>415254.19</v>
      </c>
      <c r="L11" s="47">
        <f t="shared" ca="1" si="5"/>
        <v>13.715985030652151</v>
      </c>
      <c r="M11" s="47">
        <f t="shared" ca="1" si="6"/>
        <v>23.739391843221551</v>
      </c>
      <c r="N11" s="47">
        <f ca="1">+N12+N13</f>
        <v>0</v>
      </c>
      <c r="O11" s="47">
        <f t="shared" ca="1" si="7"/>
        <v>0</v>
      </c>
      <c r="P11" s="45">
        <f t="shared" ref="P11:Q11" ca="1" si="16">+P12+P13</f>
        <v>0</v>
      </c>
      <c r="Q11" s="45">
        <f t="shared" si="16"/>
        <v>0</v>
      </c>
      <c r="R11" s="47">
        <f t="shared" ca="1" si="9"/>
        <v>0</v>
      </c>
      <c r="S11" s="45">
        <f t="shared" ref="S11:T11" ca="1" si="17">+S12+S13</f>
        <v>0</v>
      </c>
      <c r="T11" s="45">
        <f t="shared" si="17"/>
        <v>0</v>
      </c>
      <c r="U11" s="47">
        <f t="shared" ca="1" si="11"/>
        <v>0</v>
      </c>
    </row>
    <row r="12" spans="1:21" ht="28.5" hidden="1" customHeight="1">
      <c r="A12" s="42" t="s">
        <v>36</v>
      </c>
      <c r="B12" s="43"/>
      <c r="C12" s="126">
        <f t="shared" ca="1" si="0"/>
        <v>2475320</v>
      </c>
      <c r="D12" s="45">
        <f t="shared" ref="D12:H12" ca="1" si="18">+D91</f>
        <v>2475320</v>
      </c>
      <c r="E12" s="45">
        <f t="shared" ca="1" si="18"/>
        <v>0</v>
      </c>
      <c r="F12" s="45">
        <f t="shared" ca="1" si="18"/>
        <v>2475320</v>
      </c>
      <c r="G12" s="45">
        <f t="shared" ca="1" si="18"/>
        <v>0</v>
      </c>
      <c r="H12" s="45">
        <f t="shared" ca="1" si="18"/>
        <v>1335120</v>
      </c>
      <c r="I12" s="45">
        <f t="shared" ca="1" si="3"/>
        <v>415254.19</v>
      </c>
      <c r="J12" s="127">
        <f t="shared" ca="1" si="4"/>
        <v>16.775778081217783</v>
      </c>
      <c r="K12" s="45">
        <f ca="1">+K91</f>
        <v>415254.19</v>
      </c>
      <c r="L12" s="47">
        <f t="shared" ca="1" si="5"/>
        <v>16.775778081217783</v>
      </c>
      <c r="M12" s="47">
        <f t="shared" ca="1" si="6"/>
        <v>31.10238705135119</v>
      </c>
      <c r="N12" s="47">
        <f ca="1">+N91</f>
        <v>0</v>
      </c>
      <c r="O12" s="47">
        <f t="shared" ca="1" si="7"/>
        <v>0</v>
      </c>
      <c r="P12" s="45">
        <f t="shared" ref="P12:Q12" ca="1" si="19">+P91</f>
        <v>0</v>
      </c>
      <c r="Q12" s="45">
        <f t="shared" si="19"/>
        <v>0</v>
      </c>
      <c r="R12" s="47">
        <f t="shared" ca="1" si="9"/>
        <v>0</v>
      </c>
      <c r="S12" s="45">
        <f t="shared" ref="S12:T12" ca="1" si="20">+S91</f>
        <v>0</v>
      </c>
      <c r="T12" s="45">
        <f t="shared" si="20"/>
        <v>0</v>
      </c>
      <c r="U12" s="47">
        <f t="shared" ca="1" si="11"/>
        <v>0</v>
      </c>
    </row>
    <row r="13" spans="1:21" ht="28.5" hidden="1" customHeight="1">
      <c r="A13" s="42" t="s">
        <v>37</v>
      </c>
      <c r="B13" s="43"/>
      <c r="C13" s="126">
        <f t="shared" ca="1" si="0"/>
        <v>552200</v>
      </c>
      <c r="D13" s="45">
        <f t="shared" ref="D13:H13" ca="1" si="21">+D106</f>
        <v>552200</v>
      </c>
      <c r="E13" s="45">
        <f t="shared" ca="1" si="21"/>
        <v>552200</v>
      </c>
      <c r="F13" s="45">
        <f t="shared" ca="1" si="21"/>
        <v>0</v>
      </c>
      <c r="G13" s="45">
        <f t="shared" ca="1" si="21"/>
        <v>0</v>
      </c>
      <c r="H13" s="45">
        <f t="shared" ca="1" si="21"/>
        <v>414100</v>
      </c>
      <c r="I13" s="45">
        <f t="shared" ca="1" si="3"/>
        <v>0</v>
      </c>
      <c r="J13" s="127">
        <f t="shared" ca="1" si="4"/>
        <v>0</v>
      </c>
      <c r="K13" s="45">
        <f ca="1">+K106</f>
        <v>0</v>
      </c>
      <c r="L13" s="47">
        <f t="shared" ca="1" si="5"/>
        <v>0</v>
      </c>
      <c r="M13" s="47">
        <f t="shared" ca="1" si="6"/>
        <v>0</v>
      </c>
      <c r="N13" s="47">
        <f ca="1">+N106</f>
        <v>0</v>
      </c>
      <c r="O13" s="47">
        <f t="shared" ca="1" si="7"/>
        <v>0</v>
      </c>
      <c r="P13" s="45">
        <f t="shared" ref="P13:Q13" si="22">+P106</f>
        <v>0</v>
      </c>
      <c r="Q13" s="45">
        <f t="shared" si="22"/>
        <v>0</v>
      </c>
      <c r="R13" s="47">
        <f t="shared" si="9"/>
        <v>0</v>
      </c>
      <c r="S13" s="45">
        <f t="shared" ref="S13:T13" si="23">+S106</f>
        <v>0</v>
      </c>
      <c r="T13" s="45">
        <f t="shared" si="23"/>
        <v>0</v>
      </c>
      <c r="U13" s="47">
        <f t="shared" si="11"/>
        <v>0</v>
      </c>
    </row>
    <row r="14" spans="1:21" ht="28.5" hidden="1" customHeight="1">
      <c r="A14" s="51" t="s">
        <v>38</v>
      </c>
      <c r="B14" s="52"/>
      <c r="C14" s="128">
        <f t="shared" si="0"/>
        <v>0</v>
      </c>
      <c r="D14" s="129">
        <v>0</v>
      </c>
      <c r="E14" s="129">
        <v>0</v>
      </c>
      <c r="F14" s="129">
        <v>0</v>
      </c>
      <c r="G14" s="130">
        <v>0</v>
      </c>
      <c r="H14" s="130">
        <v>0</v>
      </c>
      <c r="I14" s="130">
        <f t="shared" si="3"/>
        <v>0</v>
      </c>
      <c r="J14" s="131">
        <f t="shared" si="4"/>
        <v>0</v>
      </c>
      <c r="K14" s="54">
        <v>0</v>
      </c>
      <c r="L14" s="56">
        <f t="shared" si="5"/>
        <v>0</v>
      </c>
      <c r="M14" s="144">
        <f t="shared" si="6"/>
        <v>0</v>
      </c>
      <c r="N14" s="144">
        <v>0</v>
      </c>
      <c r="O14" s="144">
        <f t="shared" si="7"/>
        <v>0</v>
      </c>
      <c r="P14" s="129">
        <v>0</v>
      </c>
      <c r="Q14" s="129">
        <v>0</v>
      </c>
      <c r="R14" s="133">
        <f t="shared" si="9"/>
        <v>0</v>
      </c>
      <c r="S14" s="129">
        <v>0</v>
      </c>
      <c r="T14" s="129">
        <v>0</v>
      </c>
      <c r="U14" s="133">
        <f t="shared" si="11"/>
        <v>0</v>
      </c>
    </row>
    <row r="15" spans="1:21" ht="28.5" customHeight="1">
      <c r="A15" s="676" t="s">
        <v>39</v>
      </c>
      <c r="B15" s="654"/>
      <c r="C15" s="58">
        <f t="shared" ca="1" si="0"/>
        <v>824400</v>
      </c>
      <c r="D15" s="59">
        <f t="shared" ref="D15:H15" ca="1" si="24">SUM(D16:D32)</f>
        <v>824400</v>
      </c>
      <c r="E15" s="59">
        <f t="shared" ca="1" si="24"/>
        <v>0</v>
      </c>
      <c r="F15" s="59">
        <f t="shared" ca="1" si="24"/>
        <v>824400</v>
      </c>
      <c r="G15" s="59">
        <f t="shared" ca="1" si="24"/>
        <v>0</v>
      </c>
      <c r="H15" s="59">
        <f t="shared" ca="1" si="24"/>
        <v>824400</v>
      </c>
      <c r="I15" s="59">
        <f t="shared" ca="1" si="3"/>
        <v>550288.6</v>
      </c>
      <c r="J15" s="135">
        <f t="shared" ca="1" si="4"/>
        <v>66.750194080543423</v>
      </c>
      <c r="K15" s="59">
        <f ca="1">SUM(K16:K32)</f>
        <v>550288.6</v>
      </c>
      <c r="L15" s="61">
        <f t="shared" ca="1" si="5"/>
        <v>66.750194080543423</v>
      </c>
      <c r="M15" s="61">
        <f t="shared" ca="1" si="6"/>
        <v>66.750194080543423</v>
      </c>
      <c r="N15" s="61">
        <f ca="1">SUM(N16:N32)</f>
        <v>0</v>
      </c>
      <c r="O15" s="61">
        <f t="shared" ca="1" si="7"/>
        <v>0</v>
      </c>
      <c r="P15" s="59">
        <f t="shared" ref="P15:Q15" ca="1" si="25">SUM(P16:P32)</f>
        <v>200</v>
      </c>
      <c r="Q15" s="59">
        <f t="shared" ca="1" si="25"/>
        <v>200</v>
      </c>
      <c r="R15" s="61">
        <f t="shared" ca="1" si="9"/>
        <v>100</v>
      </c>
      <c r="S15" s="59">
        <f t="shared" ref="S15:T15" ca="1" si="26">SUM(S16:S32)</f>
        <v>200</v>
      </c>
      <c r="T15" s="59">
        <f t="shared" ca="1" si="26"/>
        <v>170</v>
      </c>
      <c r="U15" s="61">
        <f t="shared" ca="1" si="11"/>
        <v>85</v>
      </c>
    </row>
    <row r="16" spans="1:21" ht="24" customHeight="1">
      <c r="A16" s="63">
        <v>1</v>
      </c>
      <c r="B16" s="64" t="s">
        <v>40</v>
      </c>
      <c r="C16" s="65">
        <f t="shared" ca="1" si="0"/>
        <v>82440</v>
      </c>
      <c r="D16" s="66">
        <f t="shared" ref="D16:D32" ca="1" si="27">+E16+F16</f>
        <v>82440</v>
      </c>
      <c r="E16" s="67">
        <f ca="1">IFERROR(__xludf.DUMMYFUNCTION("IMPORTRANGE(""https://docs.google.com/spreadsheets/d/1C3CXT74ZlgGe6_JY_1olB1XN4rF0dxEuIIF-xsYjHgg/edit?usp=sharing"",""พรบ!Y20"")"),0)</f>
        <v>0</v>
      </c>
      <c r="F16" s="67">
        <f ca="1">IFERROR(__xludf.DUMMYFUNCTION("IMPORTRANGE(""https://docs.google.com/spreadsheets/d/1C3CXT74ZlgGe6_JY_1olB1XN4rF0dxEuIIF-xsYjHgg/edit?usp=sharing"",""พรบ!Z20"")"),82440)</f>
        <v>82440</v>
      </c>
      <c r="G16" s="67">
        <f ca="1">IFERROR(__xludf.DUMMYFUNCTION("IMPORTRANGE(""https://docs.google.com/spreadsheets/d/1Yj_ptqi66GCucihVvJfMjLAmec39IyEx_6qawtMGysU/edit?usp=sharing"",""สบก!AY20"")"),0)</f>
        <v>0</v>
      </c>
      <c r="H16" s="67">
        <f ca="1">IFERROR(__xludf.DUMMYFUNCTION("IMPORTRANGE(""https://docs.google.com/spreadsheets/d/1Yj_ptqi66GCucihVvJfMjLAmec39IyEx_6qawtMGysU/edit?usp=shBAing"",""สบก!BA20"")"),82440)</f>
        <v>82440</v>
      </c>
      <c r="I16" s="67">
        <f t="shared" ca="1" si="3"/>
        <v>66080</v>
      </c>
      <c r="J16" s="136">
        <f t="shared" ca="1" si="4"/>
        <v>80.155264434740417</v>
      </c>
      <c r="K16" s="67">
        <f ca="1">IFERROR(__xludf.DUMMYFUNCTION("IMPORTRANGE(""https://docs.google.com/spreadsheets/d/1Yj_ptqi66GCucihVvJfMjLAmec39IyEx_6qawtMGysU/edit?usp=sharing"",""สบก!BB20"")"),66080)</f>
        <v>66080</v>
      </c>
      <c r="L16" s="70">
        <f t="shared" ca="1" si="5"/>
        <v>80.155264434740417</v>
      </c>
      <c r="M16" s="70">
        <f t="shared" ca="1" si="6"/>
        <v>80.155264434740417</v>
      </c>
      <c r="N16" s="70">
        <f ca="1">IFERROR(__xludf.DUMMYFUNCTION("IMPORTRANGE(""https://docs.google.com/spreadsheets/d/1Yj_ptqi66GCucihVvJfMjLAmec39IyEx_6qawtMGysU/edit?usp=sharing"",""สบก!BC20"")"),0)</f>
        <v>0</v>
      </c>
      <c r="O16" s="70">
        <f t="shared" ca="1" si="7"/>
        <v>0</v>
      </c>
      <c r="P16" s="67">
        <f ca="1">IFERROR(__xludf.DUMMYFUNCTION("IMPORTRANGE(""https://docs.google.com/spreadsheets/d/1C3CXT74ZlgGe6_JY_1olB1XN4rF0dxEuIIF-xsYjHgg/edit?usp=sharing"",""พรบ!AA20"")"),20)</f>
        <v>20</v>
      </c>
      <c r="Q16" s="67">
        <f ca="1">IFERROR(__xludf.DUMMYFUNCTION("IMPORTRANGE(""https://docs.google.com/spreadsheets/d/11923uPwbBZFjjGgGUA6NLw09EwE0CqkOc4q9oUmW1yo/edit?usp=sharing"",""กำแพงเพชร!J62"")"),20)</f>
        <v>20</v>
      </c>
      <c r="R16" s="70">
        <f t="shared" ca="1" si="9"/>
        <v>100</v>
      </c>
      <c r="S16" s="67">
        <f ca="1">IFERROR(__xludf.DUMMYFUNCTION("IMPORTRANGE(""https://docs.google.com/spreadsheets/d/1C3CXT74ZlgGe6_JY_1olB1XN4rF0dxEuIIF-xsYjHgg/edit?usp=sharing"",""พรบ!AB20"")"),20)</f>
        <v>20</v>
      </c>
      <c r="T16" s="67">
        <f ca="1">IFERROR(__xludf.DUMMYFUNCTION("IMPORTRANGE(""https://docs.google.com/spreadsheets/d/11923uPwbBZFjjGgGUA6NLw09EwE0CqkOc4q9oUmW1yo/edit?usp=sharing"",""กำแพงเพชร!J63"")"),20)</f>
        <v>20</v>
      </c>
      <c r="U16" s="70">
        <f t="shared" ca="1" si="11"/>
        <v>100</v>
      </c>
    </row>
    <row r="17" spans="1:21" ht="24" customHeight="1">
      <c r="A17" s="73">
        <v>2</v>
      </c>
      <c r="B17" s="74" t="s">
        <v>41</v>
      </c>
      <c r="C17" s="75">
        <f t="shared" ca="1" si="0"/>
        <v>0</v>
      </c>
      <c r="D17" s="76">
        <f t="shared" ca="1" si="27"/>
        <v>0</v>
      </c>
      <c r="E17" s="77">
        <f ca="1">IFERROR(__xludf.DUMMYFUNCTION("IMPORTRANGE(""https://docs.google.com/spreadsheets/d/1C3CXT74ZlgGe6_JY_1olB1XN4rF0dxEuIIF-xsYjHgg/edit?usp=sharing"",""พรบ!Y21"")"),0)</f>
        <v>0</v>
      </c>
      <c r="F17" s="77">
        <f ca="1">IFERROR(__xludf.DUMMYFUNCTION("IMPORTRANGE(""https://docs.google.com/spreadsheets/d/1C3CXT74ZlgGe6_JY_1olB1XN4rF0dxEuIIF-xsYjHgg/edit?usp=sharing"",""พรบ!Z21"")"),0)</f>
        <v>0</v>
      </c>
      <c r="G17" s="77">
        <f ca="1">IFERROR(__xludf.DUMMYFUNCTION("IMPORTRANGE(""https://docs.google.com/spreadsheets/d/1Yj_ptqi66GCucihVvJfMjLAmec39IyEx_6qawtMGysU/edit?usp=sharing"",""สบก!AY21"")"),0)</f>
        <v>0</v>
      </c>
      <c r="H17" s="77">
        <f ca="1">IFERROR(__xludf.DUMMYFUNCTION("IMPORTRANGE(""https://docs.google.com/spreadsheets/d/1Yj_ptqi66GCucihVvJfMjLAmec39IyEx_6qawtMGysU/edit?usp=shBAing"",""สบก!BA21"")"),0)</f>
        <v>0</v>
      </c>
      <c r="I17" s="77">
        <f t="shared" ca="1" si="3"/>
        <v>0</v>
      </c>
      <c r="J17" s="137">
        <f t="shared" ca="1" si="4"/>
        <v>0</v>
      </c>
      <c r="K17" s="77">
        <f ca="1">IFERROR(__xludf.DUMMYFUNCTION("IMPORTRANGE(""https://docs.google.com/spreadsheets/d/1Yj_ptqi66GCucihVvJfMjLAmec39IyEx_6qawtMGysU/edit?usp=sharing"",""สบก!BB21"")"),0)</f>
        <v>0</v>
      </c>
      <c r="L17" s="79">
        <f t="shared" ca="1" si="5"/>
        <v>0</v>
      </c>
      <c r="M17" s="79">
        <f t="shared" ca="1" si="6"/>
        <v>0</v>
      </c>
      <c r="N17" s="79">
        <f ca="1">IFERROR(__xludf.DUMMYFUNCTION("IMPORTRANGE(""https://docs.google.com/spreadsheets/d/1Yj_ptqi66GCucihVvJfMjLAmec39IyEx_6qawtMGysU/edit?usp=sharing"",""สบก!BC21"")"),0)</f>
        <v>0</v>
      </c>
      <c r="O17" s="79">
        <f t="shared" ca="1" si="7"/>
        <v>0</v>
      </c>
      <c r="P17" s="77">
        <f ca="1">IFERROR(__xludf.DUMMYFUNCTION("IMPORTRANGE(""https://docs.google.com/spreadsheets/d/1C3CXT74ZlgGe6_JY_1olB1XN4rF0dxEuIIF-xsYjHgg/edit?usp=sharing"",""พรบ!AA21"")"),0)</f>
        <v>0</v>
      </c>
      <c r="Q17" s="77">
        <f ca="1">IFERROR(__xludf.DUMMYFUNCTION("IMPORTRANGE(""https://docs.google.com/spreadsheets/d/11923uPwbBZFjjGgGUA6NLw09EwE0CqkOc4q9oUmW1yo/edit?usp=sharing"",""เชียงราย!J62"")"),0)</f>
        <v>0</v>
      </c>
      <c r="R17" s="79">
        <f t="shared" ca="1" si="9"/>
        <v>0</v>
      </c>
      <c r="S17" s="77">
        <f ca="1">IFERROR(__xludf.DUMMYFUNCTION("IMPORTRANGE(""https://docs.google.com/spreadsheets/d/1C3CXT74ZlgGe6_JY_1olB1XN4rF0dxEuIIF-xsYjHgg/edit?usp=sharing"",""พรบ!AB21"")"),0)</f>
        <v>0</v>
      </c>
      <c r="T17" s="77">
        <f ca="1">IFERROR(__xludf.DUMMYFUNCTION("IMPORTRANGE(""https://docs.google.com/spreadsheets/d/11923uPwbBZFjjGgGUA6NLw09EwE0CqkOc4q9oUmW1yo/edit?usp=sharing"",""เชียงราย!J63"")"),0)</f>
        <v>0</v>
      </c>
      <c r="U17" s="79">
        <f t="shared" ca="1" si="11"/>
        <v>0</v>
      </c>
    </row>
    <row r="18" spans="1:21" ht="24" customHeight="1">
      <c r="A18" s="73">
        <v>3</v>
      </c>
      <c r="B18" s="74" t="s">
        <v>42</v>
      </c>
      <c r="C18" s="75">
        <f t="shared" ca="1" si="0"/>
        <v>0</v>
      </c>
      <c r="D18" s="76">
        <f t="shared" ca="1" si="27"/>
        <v>0</v>
      </c>
      <c r="E18" s="77">
        <f ca="1">IFERROR(__xludf.DUMMYFUNCTION("IMPORTRANGE(""https://docs.google.com/spreadsheets/d/1C3CXT74ZlgGe6_JY_1olB1XN4rF0dxEuIIF-xsYjHgg/edit?usp=sharing"",""พรบ!Y22"")"),0)</f>
        <v>0</v>
      </c>
      <c r="F18" s="77">
        <f ca="1">IFERROR(__xludf.DUMMYFUNCTION("IMPORTRANGE(""https://docs.google.com/spreadsheets/d/1C3CXT74ZlgGe6_JY_1olB1XN4rF0dxEuIIF-xsYjHgg/edit?usp=sharing"",""พรบ!Z22"")"),0)</f>
        <v>0</v>
      </c>
      <c r="G18" s="77">
        <f ca="1">IFERROR(__xludf.DUMMYFUNCTION("IMPORTRANGE(""https://docs.google.com/spreadsheets/d/1Yj_ptqi66GCucihVvJfMjLAmec39IyEx_6qawtMGysU/edit?usp=sharing"",""สบก!AY22"")"),0)</f>
        <v>0</v>
      </c>
      <c r="H18" s="77">
        <f ca="1">IFERROR(__xludf.DUMMYFUNCTION("IMPORTRANGE(""https://docs.google.com/spreadsheets/d/1Yj_ptqi66GCucihVvJfMjLAmec39IyEx_6qawtMGysU/edit?usp=shBAing"",""สบก!BA22"")"),0)</f>
        <v>0</v>
      </c>
      <c r="I18" s="77">
        <f t="shared" ca="1" si="3"/>
        <v>0</v>
      </c>
      <c r="J18" s="137">
        <f t="shared" ca="1" si="4"/>
        <v>0</v>
      </c>
      <c r="K18" s="77">
        <f ca="1">IFERROR(__xludf.DUMMYFUNCTION("IMPORTRANGE(""https://docs.google.com/spreadsheets/d/1Yj_ptqi66GCucihVvJfMjLAmec39IyEx_6qawtMGysU/edit?usp=sharing"",""สบก!BB22"")"),0)</f>
        <v>0</v>
      </c>
      <c r="L18" s="79">
        <f t="shared" ca="1" si="5"/>
        <v>0</v>
      </c>
      <c r="M18" s="79">
        <f t="shared" ca="1" si="6"/>
        <v>0</v>
      </c>
      <c r="N18" s="79">
        <f ca="1">IFERROR(__xludf.DUMMYFUNCTION("IMPORTRANGE(""https://docs.google.com/spreadsheets/d/1Yj_ptqi66GCucihVvJfMjLAmec39IyEx_6qawtMGysU/edit?usp=sharing"",""สบก!BC22"")"),0)</f>
        <v>0</v>
      </c>
      <c r="O18" s="79">
        <f t="shared" ca="1" si="7"/>
        <v>0</v>
      </c>
      <c r="P18" s="77">
        <f ca="1">IFERROR(__xludf.DUMMYFUNCTION("IMPORTRANGE(""https://docs.google.com/spreadsheets/d/1C3CXT74ZlgGe6_JY_1olB1XN4rF0dxEuIIF-xsYjHgg/edit?usp=sharing"",""พรบ!AA22"")"),0)</f>
        <v>0</v>
      </c>
      <c r="Q18" s="77">
        <f ca="1">IFERROR(__xludf.DUMMYFUNCTION("IMPORTRANGE(""https://docs.google.com/spreadsheets/d/11923uPwbBZFjjGgGUA6NLw09EwE0CqkOc4q9oUmW1yo/edit?usp=sharing"",""เชียงใหม่!J62"")"),0)</f>
        <v>0</v>
      </c>
      <c r="R18" s="79">
        <f t="shared" ca="1" si="9"/>
        <v>0</v>
      </c>
      <c r="S18" s="77">
        <f ca="1">IFERROR(__xludf.DUMMYFUNCTION("IMPORTRANGE(""https://docs.google.com/spreadsheets/d/1C3CXT74ZlgGe6_JY_1olB1XN4rF0dxEuIIF-xsYjHgg/edit?usp=sharing"",""พรบ!AB22"")"),0)</f>
        <v>0</v>
      </c>
      <c r="T18" s="77">
        <f ca="1">IFERROR(__xludf.DUMMYFUNCTION("IMPORTRANGE(""https://docs.google.com/spreadsheets/d/11923uPwbBZFjjGgGUA6NLw09EwE0CqkOc4q9oUmW1yo/edit?usp=sharing"",""เชียงใหม่!J63"")"),0)</f>
        <v>0</v>
      </c>
      <c r="U18" s="79">
        <f t="shared" ca="1" si="11"/>
        <v>0</v>
      </c>
    </row>
    <row r="19" spans="1:21" ht="24" customHeight="1">
      <c r="A19" s="73">
        <v>4</v>
      </c>
      <c r="B19" s="74" t="s">
        <v>43</v>
      </c>
      <c r="C19" s="75">
        <f t="shared" ca="1" si="0"/>
        <v>82440</v>
      </c>
      <c r="D19" s="76">
        <f t="shared" ca="1" si="27"/>
        <v>82440</v>
      </c>
      <c r="E19" s="77">
        <f ca="1">IFERROR(__xludf.DUMMYFUNCTION("IMPORTRANGE(""https://docs.google.com/spreadsheets/d/1C3CXT74ZlgGe6_JY_1olB1XN4rF0dxEuIIF-xsYjHgg/edit?usp=sharing"",""พรบ!Y23"")"),0)</f>
        <v>0</v>
      </c>
      <c r="F19" s="77">
        <f ca="1">IFERROR(__xludf.DUMMYFUNCTION("IMPORTRANGE(""https://docs.google.com/spreadsheets/d/1C3CXT74ZlgGe6_JY_1olB1XN4rF0dxEuIIF-xsYjHgg/edit?usp=sharing"",""พรบ!Z23"")"),82440)</f>
        <v>82440</v>
      </c>
      <c r="G19" s="77">
        <f ca="1">IFERROR(__xludf.DUMMYFUNCTION("IMPORTRANGE(""https://docs.google.com/spreadsheets/d/1Yj_ptqi66GCucihVvJfMjLAmec39IyEx_6qawtMGysU/edit?usp=sharing"",""สบก!AY23"")"),0)</f>
        <v>0</v>
      </c>
      <c r="H19" s="77">
        <f ca="1">IFERROR(__xludf.DUMMYFUNCTION("IMPORTRANGE(""https://docs.google.com/spreadsheets/d/1Yj_ptqi66GCucihVvJfMjLAmec39IyEx_6qawtMGysU/edit?usp=shBAing"",""สบก!BA23"")"),82440)</f>
        <v>82440</v>
      </c>
      <c r="I19" s="77">
        <f t="shared" ca="1" si="3"/>
        <v>42730</v>
      </c>
      <c r="J19" s="137">
        <f t="shared" ca="1" si="4"/>
        <v>51.831635128578363</v>
      </c>
      <c r="K19" s="77">
        <f ca="1">IFERROR(__xludf.DUMMYFUNCTION("IMPORTRANGE(""https://docs.google.com/spreadsheets/d/1Yj_ptqi66GCucihVvJfMjLAmec39IyEx_6qawtMGysU/edit?usp=sharing"",""สบก!BB23"")"),42730)</f>
        <v>42730</v>
      </c>
      <c r="L19" s="79">
        <f t="shared" ca="1" si="5"/>
        <v>51.831635128578363</v>
      </c>
      <c r="M19" s="79">
        <f t="shared" ca="1" si="6"/>
        <v>51.831635128578363</v>
      </c>
      <c r="N19" s="79">
        <f ca="1">IFERROR(__xludf.DUMMYFUNCTION("IMPORTRANGE(""https://docs.google.com/spreadsheets/d/1Yj_ptqi66GCucihVvJfMjLAmec39IyEx_6qawtMGysU/edit?usp=sharing"",""สบก!BC23"")"),0)</f>
        <v>0</v>
      </c>
      <c r="O19" s="79">
        <f t="shared" ca="1" si="7"/>
        <v>0</v>
      </c>
      <c r="P19" s="77">
        <f ca="1">IFERROR(__xludf.DUMMYFUNCTION("IMPORTRANGE(""https://docs.google.com/spreadsheets/d/1C3CXT74ZlgGe6_JY_1olB1XN4rF0dxEuIIF-xsYjHgg/edit?usp=sharing"",""พรบ!AA23"")"),20)</f>
        <v>20</v>
      </c>
      <c r="Q19" s="77">
        <f ca="1">IFERROR(__xludf.DUMMYFUNCTION("IMPORTRANGE(""https://docs.google.com/spreadsheets/d/11923uPwbBZFjjGgGUA6NLw09EwE0CqkOc4q9oUmW1yo/edit?usp=sharing"",""ตาก!J62"")"),20)</f>
        <v>20</v>
      </c>
      <c r="R19" s="79">
        <f t="shared" ca="1" si="9"/>
        <v>100</v>
      </c>
      <c r="S19" s="77">
        <f ca="1">IFERROR(__xludf.DUMMYFUNCTION("IMPORTRANGE(""https://docs.google.com/spreadsheets/d/1C3CXT74ZlgGe6_JY_1olB1XN4rF0dxEuIIF-xsYjHgg/edit?usp=sharing"",""พรบ!AB23"")"),20)</f>
        <v>20</v>
      </c>
      <c r="T19" s="77">
        <f ca="1">IFERROR(__xludf.DUMMYFUNCTION("IMPORTRANGE(""https://docs.google.com/spreadsheets/d/11923uPwbBZFjjGgGUA6NLw09EwE0CqkOc4q9oUmW1yo/edit?usp=sharing"",""ตาก!J63"")"),20)</f>
        <v>20</v>
      </c>
      <c r="U19" s="79">
        <f t="shared" ca="1" si="11"/>
        <v>100</v>
      </c>
    </row>
    <row r="20" spans="1:21" ht="24" customHeight="1">
      <c r="A20" s="73">
        <v>5</v>
      </c>
      <c r="B20" s="74" t="s">
        <v>44</v>
      </c>
      <c r="C20" s="75">
        <f t="shared" ca="1" si="0"/>
        <v>82440</v>
      </c>
      <c r="D20" s="76">
        <f t="shared" ca="1" si="27"/>
        <v>82440</v>
      </c>
      <c r="E20" s="77">
        <f ca="1">IFERROR(__xludf.DUMMYFUNCTION("IMPORTRANGE(""https://docs.google.com/spreadsheets/d/1C3CXT74ZlgGe6_JY_1olB1XN4rF0dxEuIIF-xsYjHgg/edit?usp=sharing"",""พรบ!Y24"")"),0)</f>
        <v>0</v>
      </c>
      <c r="F20" s="77">
        <f ca="1">IFERROR(__xludf.DUMMYFUNCTION("IMPORTRANGE(""https://docs.google.com/spreadsheets/d/1C3CXT74ZlgGe6_JY_1olB1XN4rF0dxEuIIF-xsYjHgg/edit?usp=sharing"",""พรบ!Z24"")"),82440)</f>
        <v>82440</v>
      </c>
      <c r="G20" s="77">
        <f ca="1">IFERROR(__xludf.DUMMYFUNCTION("IMPORTRANGE(""https://docs.google.com/spreadsheets/d/1Yj_ptqi66GCucihVvJfMjLAmec39IyEx_6qawtMGysU/edit?usp=sharing"",""สบก!AY24"")"),0)</f>
        <v>0</v>
      </c>
      <c r="H20" s="77">
        <f ca="1">IFERROR(__xludf.DUMMYFUNCTION("IMPORTRANGE(""https://docs.google.com/spreadsheets/d/1Yj_ptqi66GCucihVvJfMjLAmec39IyEx_6qawtMGysU/edit?usp=shBAing"",""สบก!BA24"")"),82440)</f>
        <v>82440</v>
      </c>
      <c r="I20" s="77">
        <f t="shared" ca="1" si="3"/>
        <v>43730</v>
      </c>
      <c r="J20" s="137">
        <f t="shared" ca="1" si="4"/>
        <v>53.044638524987867</v>
      </c>
      <c r="K20" s="77">
        <f ca="1">IFERROR(__xludf.DUMMYFUNCTION("IMPORTRANGE(""https://docs.google.com/spreadsheets/d/1Yj_ptqi66GCucihVvJfMjLAmec39IyEx_6qawtMGysU/edit?usp=sharing"",""สบก!BB24"")"),43730)</f>
        <v>43730</v>
      </c>
      <c r="L20" s="79">
        <f t="shared" ca="1" si="5"/>
        <v>53.044638524987867</v>
      </c>
      <c r="M20" s="79">
        <f t="shared" ca="1" si="6"/>
        <v>53.044638524987867</v>
      </c>
      <c r="N20" s="79">
        <f ca="1">IFERROR(__xludf.DUMMYFUNCTION("IMPORTRANGE(""https://docs.google.com/spreadsheets/d/1Yj_ptqi66GCucihVvJfMjLAmec39IyEx_6qawtMGysU/edit?usp=sharing"",""สบก!BC24"")"),0)</f>
        <v>0</v>
      </c>
      <c r="O20" s="79">
        <f t="shared" ca="1" si="7"/>
        <v>0</v>
      </c>
      <c r="P20" s="77">
        <f ca="1">IFERROR(__xludf.DUMMYFUNCTION("IMPORTRANGE(""https://docs.google.com/spreadsheets/d/1C3CXT74ZlgGe6_JY_1olB1XN4rF0dxEuIIF-xsYjHgg/edit?usp=sharing"",""พรบ!AA24"")"),20)</f>
        <v>20</v>
      </c>
      <c r="Q20" s="77">
        <f ca="1">IFERROR(__xludf.DUMMYFUNCTION("IMPORTRANGE(""https://docs.google.com/spreadsheets/d/11923uPwbBZFjjGgGUA6NLw09EwE0CqkOc4q9oUmW1yo/edit?usp=sharing"",""นครสวรรค์!J62"")"),20)</f>
        <v>20</v>
      </c>
      <c r="R20" s="79">
        <f t="shared" ca="1" si="9"/>
        <v>100</v>
      </c>
      <c r="S20" s="77">
        <f ca="1">IFERROR(__xludf.DUMMYFUNCTION("IMPORTRANGE(""https://docs.google.com/spreadsheets/d/1C3CXT74ZlgGe6_JY_1olB1XN4rF0dxEuIIF-xsYjHgg/edit?usp=sharing"",""พรบ!AB24"")"),20)</f>
        <v>20</v>
      </c>
      <c r="T20" s="77">
        <f ca="1">IFERROR(__xludf.DUMMYFUNCTION("IMPORTRANGE(""https://docs.google.com/spreadsheets/d/11923uPwbBZFjjGgGUA6NLw09EwE0CqkOc4q9oUmW1yo/edit?usp=sharing"",""นครสวรรค์!J63"")"),0)</f>
        <v>0</v>
      </c>
      <c r="U20" s="79">
        <f t="shared" ca="1" si="11"/>
        <v>0</v>
      </c>
    </row>
    <row r="21" spans="1:21" ht="24" customHeight="1">
      <c r="A21" s="73">
        <v>6</v>
      </c>
      <c r="B21" s="74" t="s">
        <v>45</v>
      </c>
      <c r="C21" s="75">
        <f t="shared" ca="1" si="0"/>
        <v>0</v>
      </c>
      <c r="D21" s="76">
        <f t="shared" ca="1" si="27"/>
        <v>0</v>
      </c>
      <c r="E21" s="77">
        <f ca="1">IFERROR(__xludf.DUMMYFUNCTION("IMPORTRANGE(""https://docs.google.com/spreadsheets/d/1C3CXT74ZlgGe6_JY_1olB1XN4rF0dxEuIIF-xsYjHgg/edit?usp=sharing"",""พรบ!Y25"")"),0)</f>
        <v>0</v>
      </c>
      <c r="F21" s="77">
        <f ca="1">IFERROR(__xludf.DUMMYFUNCTION("IMPORTRANGE(""https://docs.google.com/spreadsheets/d/1C3CXT74ZlgGe6_JY_1olB1XN4rF0dxEuIIF-xsYjHgg/edit?usp=sharing"",""พรบ!Z25"")"),0)</f>
        <v>0</v>
      </c>
      <c r="G21" s="77">
        <f ca="1">IFERROR(__xludf.DUMMYFUNCTION("IMPORTRANGE(""https://docs.google.com/spreadsheets/d/1Yj_ptqi66GCucihVvJfMjLAmec39IyEx_6qawtMGysU/edit?usp=sharing"",""สบก!AY25"")"),0)</f>
        <v>0</v>
      </c>
      <c r="H21" s="77">
        <f ca="1">IFERROR(__xludf.DUMMYFUNCTION("IMPORTRANGE(""https://docs.google.com/spreadsheets/d/1Yj_ptqi66GCucihVvJfMjLAmec39IyEx_6qawtMGysU/edit?usp=shBAing"",""สบก!BA25"")"),0)</f>
        <v>0</v>
      </c>
      <c r="I21" s="77">
        <f t="shared" ca="1" si="3"/>
        <v>0</v>
      </c>
      <c r="J21" s="137">
        <f t="shared" ca="1" si="4"/>
        <v>0</v>
      </c>
      <c r="K21" s="77">
        <f ca="1">IFERROR(__xludf.DUMMYFUNCTION("IMPORTRANGE(""https://docs.google.com/spreadsheets/d/1Yj_ptqi66GCucihVvJfMjLAmec39IyEx_6qawtMGysU/edit?usp=sharing"",""สบก!BB25"")"),0)</f>
        <v>0</v>
      </c>
      <c r="L21" s="79">
        <f t="shared" ca="1" si="5"/>
        <v>0</v>
      </c>
      <c r="M21" s="79">
        <f t="shared" ca="1" si="6"/>
        <v>0</v>
      </c>
      <c r="N21" s="79">
        <f ca="1">IFERROR(__xludf.DUMMYFUNCTION("IMPORTRANGE(""https://docs.google.com/spreadsheets/d/1Yj_ptqi66GCucihVvJfMjLAmec39IyEx_6qawtMGysU/edit?usp=sharing"",""สบก!BC25"")"),0)</f>
        <v>0</v>
      </c>
      <c r="O21" s="79">
        <f t="shared" ca="1" si="7"/>
        <v>0</v>
      </c>
      <c r="P21" s="77">
        <f ca="1">IFERROR(__xludf.DUMMYFUNCTION("IMPORTRANGE(""https://docs.google.com/spreadsheets/d/1C3CXT74ZlgGe6_JY_1olB1XN4rF0dxEuIIF-xsYjHgg/edit?usp=sharing"",""พรบ!AA25"")"),0)</f>
        <v>0</v>
      </c>
      <c r="Q21" s="77">
        <f ca="1">IFERROR(__xludf.DUMMYFUNCTION("IMPORTRANGE(""https://docs.google.com/spreadsheets/d/11923uPwbBZFjjGgGUA6NLw09EwE0CqkOc4q9oUmW1yo/edit?usp=sharing"",""น่าน!J62"")"),0)</f>
        <v>0</v>
      </c>
      <c r="R21" s="79">
        <f t="shared" ca="1" si="9"/>
        <v>0</v>
      </c>
      <c r="S21" s="77">
        <f ca="1">IFERROR(__xludf.DUMMYFUNCTION("IMPORTRANGE(""https://docs.google.com/spreadsheets/d/1C3CXT74ZlgGe6_JY_1olB1XN4rF0dxEuIIF-xsYjHgg/edit?usp=sharing"",""พรบ!AB25"")"),0)</f>
        <v>0</v>
      </c>
      <c r="T21" s="77">
        <f ca="1">IFERROR(__xludf.DUMMYFUNCTION("IMPORTRANGE(""https://docs.google.com/spreadsheets/d/11923uPwbBZFjjGgGUA6NLw09EwE0CqkOc4q9oUmW1yo/edit?usp=sharing"",""น่าน!J63"")"),0)</f>
        <v>0</v>
      </c>
      <c r="U21" s="79">
        <f t="shared" ca="1" si="11"/>
        <v>0</v>
      </c>
    </row>
    <row r="22" spans="1:21" ht="24" customHeight="1">
      <c r="A22" s="73">
        <v>7</v>
      </c>
      <c r="B22" s="74" t="s">
        <v>46</v>
      </c>
      <c r="C22" s="75">
        <f t="shared" ca="1" si="0"/>
        <v>82440</v>
      </c>
      <c r="D22" s="76">
        <f t="shared" ca="1" si="27"/>
        <v>82440</v>
      </c>
      <c r="E22" s="77">
        <f ca="1">IFERROR(__xludf.DUMMYFUNCTION("IMPORTRANGE(""https://docs.google.com/spreadsheets/d/1C3CXT74ZlgGe6_JY_1olB1XN4rF0dxEuIIF-xsYjHgg/edit?usp=sharing"",""พรบ!Y26"")"),0)</f>
        <v>0</v>
      </c>
      <c r="F22" s="77">
        <f ca="1">IFERROR(__xludf.DUMMYFUNCTION("IMPORTRANGE(""https://docs.google.com/spreadsheets/d/1C3CXT74ZlgGe6_JY_1olB1XN4rF0dxEuIIF-xsYjHgg/edit?usp=sharing"",""พรบ!Z26"")"),82440)</f>
        <v>82440</v>
      </c>
      <c r="G22" s="77">
        <f ca="1">IFERROR(__xludf.DUMMYFUNCTION("IMPORTRANGE(""https://docs.google.com/spreadsheets/d/1Yj_ptqi66GCucihVvJfMjLAmec39IyEx_6qawtMGysU/edit?usp=sharing"",""สบก!AY26"")"),0)</f>
        <v>0</v>
      </c>
      <c r="H22" s="77">
        <f ca="1">IFERROR(__xludf.DUMMYFUNCTION("IMPORTRANGE(""https://docs.google.com/spreadsheets/d/1Yj_ptqi66GCucihVvJfMjLAmec39IyEx_6qawtMGysU/edit?usp=shBAing"",""สบก!BA26"")"),82440)</f>
        <v>82440</v>
      </c>
      <c r="I22" s="77">
        <f t="shared" ca="1" si="3"/>
        <v>38876</v>
      </c>
      <c r="J22" s="137">
        <f t="shared" ca="1" si="4"/>
        <v>47.156720038816111</v>
      </c>
      <c r="K22" s="77">
        <f ca="1">IFERROR(__xludf.DUMMYFUNCTION("IMPORTRANGE(""https://docs.google.com/spreadsheets/d/1Yj_ptqi66GCucihVvJfMjLAmec39IyEx_6qawtMGysU/edit?usp=sharing"",""สบก!BB26"")"),38876)</f>
        <v>38876</v>
      </c>
      <c r="L22" s="79">
        <f t="shared" ca="1" si="5"/>
        <v>47.156720038816111</v>
      </c>
      <c r="M22" s="79">
        <f t="shared" ca="1" si="6"/>
        <v>47.156720038816111</v>
      </c>
      <c r="N22" s="79">
        <f ca="1">IFERROR(__xludf.DUMMYFUNCTION("IMPORTRANGE(""https://docs.google.com/spreadsheets/d/1Yj_ptqi66GCucihVvJfMjLAmec39IyEx_6qawtMGysU/edit?usp=sharing"",""สบก!BC26"")"),0)</f>
        <v>0</v>
      </c>
      <c r="O22" s="79">
        <f t="shared" ca="1" si="7"/>
        <v>0</v>
      </c>
      <c r="P22" s="77">
        <f ca="1">IFERROR(__xludf.DUMMYFUNCTION("IMPORTRANGE(""https://docs.google.com/spreadsheets/d/1C3CXT74ZlgGe6_JY_1olB1XN4rF0dxEuIIF-xsYjHgg/edit?usp=sharing"",""พรบ!AA26"")"),20)</f>
        <v>20</v>
      </c>
      <c r="Q22" s="77">
        <f ca="1">IFERROR(__xludf.DUMMYFUNCTION("IMPORTRANGE(""https://docs.google.com/spreadsheets/d/11923uPwbBZFjjGgGUA6NLw09EwE0CqkOc4q9oUmW1yo/edit?usp=sharing"",""พะเยา!J62"")"),20)</f>
        <v>20</v>
      </c>
      <c r="R22" s="79">
        <f t="shared" ca="1" si="9"/>
        <v>100</v>
      </c>
      <c r="S22" s="77">
        <f ca="1">IFERROR(__xludf.DUMMYFUNCTION("IMPORTRANGE(""https://docs.google.com/spreadsheets/d/1C3CXT74ZlgGe6_JY_1olB1XN4rF0dxEuIIF-xsYjHgg/edit?usp=sharing"",""พรบ!AB26"")"),20)</f>
        <v>20</v>
      </c>
      <c r="T22" s="77">
        <f ca="1">IFERROR(__xludf.DUMMYFUNCTION("IMPORTRANGE(""https://docs.google.com/spreadsheets/d/11923uPwbBZFjjGgGUA6NLw09EwE0CqkOc4q9oUmW1yo/edit?usp=sharing"",""พะเยา!J63"")"),0)</f>
        <v>0</v>
      </c>
      <c r="U22" s="79">
        <f t="shared" ca="1" si="11"/>
        <v>0</v>
      </c>
    </row>
    <row r="23" spans="1:21" ht="24" customHeight="1">
      <c r="A23" s="73">
        <v>8</v>
      </c>
      <c r="B23" s="74" t="s">
        <v>47</v>
      </c>
      <c r="C23" s="75">
        <f t="shared" ca="1" si="0"/>
        <v>0</v>
      </c>
      <c r="D23" s="76">
        <f t="shared" ca="1" si="27"/>
        <v>0</v>
      </c>
      <c r="E23" s="77">
        <f ca="1">IFERROR(__xludf.DUMMYFUNCTION("IMPORTRANGE(""https://docs.google.com/spreadsheets/d/1C3CXT74ZlgGe6_JY_1olB1XN4rF0dxEuIIF-xsYjHgg/edit?usp=sharing"",""พรบ!Y27"")"),0)</f>
        <v>0</v>
      </c>
      <c r="F23" s="77">
        <f ca="1">IFERROR(__xludf.DUMMYFUNCTION("IMPORTRANGE(""https://docs.google.com/spreadsheets/d/1C3CXT74ZlgGe6_JY_1olB1XN4rF0dxEuIIF-xsYjHgg/edit?usp=sharing"",""พรบ!Z27"")"),0)</f>
        <v>0</v>
      </c>
      <c r="G23" s="77">
        <f ca="1">IFERROR(__xludf.DUMMYFUNCTION("IMPORTRANGE(""https://docs.google.com/spreadsheets/d/1Yj_ptqi66GCucihVvJfMjLAmec39IyEx_6qawtMGysU/edit?usp=sharing"",""สบก!AY27"")"),0)</f>
        <v>0</v>
      </c>
      <c r="H23" s="77">
        <f ca="1">IFERROR(__xludf.DUMMYFUNCTION("IMPORTRANGE(""https://docs.google.com/spreadsheets/d/1Yj_ptqi66GCucihVvJfMjLAmec39IyEx_6qawtMGysU/edit?usp=shBAing"",""สบก!BA27"")"),0)</f>
        <v>0</v>
      </c>
      <c r="I23" s="77">
        <f t="shared" ca="1" si="3"/>
        <v>0</v>
      </c>
      <c r="J23" s="137">
        <f t="shared" ca="1" si="4"/>
        <v>0</v>
      </c>
      <c r="K23" s="77">
        <f ca="1">IFERROR(__xludf.DUMMYFUNCTION("IMPORTRANGE(""https://docs.google.com/spreadsheets/d/1Yj_ptqi66GCucihVvJfMjLAmec39IyEx_6qawtMGysU/edit?usp=sharing"",""สบก!BB27"")"),0)</f>
        <v>0</v>
      </c>
      <c r="L23" s="79">
        <f t="shared" ca="1" si="5"/>
        <v>0</v>
      </c>
      <c r="M23" s="79">
        <f t="shared" ca="1" si="6"/>
        <v>0</v>
      </c>
      <c r="N23" s="79">
        <f ca="1">IFERROR(__xludf.DUMMYFUNCTION("IMPORTRANGE(""https://docs.google.com/spreadsheets/d/1Yj_ptqi66GCucihVvJfMjLAmec39IyEx_6qawtMGysU/edit?usp=sharing"",""สบก!BC27"")"),0)</f>
        <v>0</v>
      </c>
      <c r="O23" s="79">
        <f t="shared" ca="1" si="7"/>
        <v>0</v>
      </c>
      <c r="P23" s="77">
        <f ca="1">IFERROR(__xludf.DUMMYFUNCTION("IMPORTRANGE(""https://docs.google.com/spreadsheets/d/1C3CXT74ZlgGe6_JY_1olB1XN4rF0dxEuIIF-xsYjHgg/edit?usp=sharing"",""พรบ!AA27"")"),0)</f>
        <v>0</v>
      </c>
      <c r="Q23" s="77">
        <f ca="1">IFERROR(__xludf.DUMMYFUNCTION("IMPORTRANGE(""https://docs.google.com/spreadsheets/d/11923uPwbBZFjjGgGUA6NLw09EwE0CqkOc4q9oUmW1yo/edit?usp=sharing"",""พิจิตร!J62"")"),0)</f>
        <v>0</v>
      </c>
      <c r="R23" s="79">
        <f t="shared" ca="1" si="9"/>
        <v>0</v>
      </c>
      <c r="S23" s="77">
        <f ca="1">IFERROR(__xludf.DUMMYFUNCTION("IMPORTRANGE(""https://docs.google.com/spreadsheets/d/1C3CXT74ZlgGe6_JY_1olB1XN4rF0dxEuIIF-xsYjHgg/edit?usp=sharing"",""พรบ!AB27"")"),0)</f>
        <v>0</v>
      </c>
      <c r="T23" s="77">
        <f ca="1">IFERROR(__xludf.DUMMYFUNCTION("IMPORTRANGE(""https://docs.google.com/spreadsheets/d/11923uPwbBZFjjGgGUA6NLw09EwE0CqkOc4q9oUmW1yo/edit?usp=sharing"",""พิจิตร!J63"")"),0)</f>
        <v>0</v>
      </c>
      <c r="U23" s="79">
        <f t="shared" ca="1" si="11"/>
        <v>0</v>
      </c>
    </row>
    <row r="24" spans="1:21" ht="24" customHeight="1">
      <c r="A24" s="73">
        <v>9</v>
      </c>
      <c r="B24" s="74" t="s">
        <v>48</v>
      </c>
      <c r="C24" s="75">
        <f t="shared" ca="1" si="0"/>
        <v>0</v>
      </c>
      <c r="D24" s="76">
        <f t="shared" ca="1" si="27"/>
        <v>0</v>
      </c>
      <c r="E24" s="77">
        <f ca="1">IFERROR(__xludf.DUMMYFUNCTION("IMPORTRANGE(""https://docs.google.com/spreadsheets/d/1C3CXT74ZlgGe6_JY_1olB1XN4rF0dxEuIIF-xsYjHgg/edit?usp=sharing"",""พรบ!Y28"")"),0)</f>
        <v>0</v>
      </c>
      <c r="F24" s="77">
        <f ca="1">IFERROR(__xludf.DUMMYFUNCTION("IMPORTRANGE(""https://docs.google.com/spreadsheets/d/1C3CXT74ZlgGe6_JY_1olB1XN4rF0dxEuIIF-xsYjHgg/edit?usp=sharing"",""พรบ!Z28"")"),0)</f>
        <v>0</v>
      </c>
      <c r="G24" s="77">
        <f ca="1">IFERROR(__xludf.DUMMYFUNCTION("IMPORTRANGE(""https://docs.google.com/spreadsheets/d/1Yj_ptqi66GCucihVvJfMjLAmec39IyEx_6qawtMGysU/edit?usp=sharing"",""สบก!AY28"")"),0)</f>
        <v>0</v>
      </c>
      <c r="H24" s="77">
        <f ca="1">IFERROR(__xludf.DUMMYFUNCTION("IMPORTRANGE(""https://docs.google.com/spreadsheets/d/1Yj_ptqi66GCucihVvJfMjLAmec39IyEx_6qawtMGysU/edit?usp=shBAing"",""สบก!BA28"")"),0)</f>
        <v>0</v>
      </c>
      <c r="I24" s="77">
        <f t="shared" ca="1" si="3"/>
        <v>0</v>
      </c>
      <c r="J24" s="137">
        <f t="shared" ca="1" si="4"/>
        <v>0</v>
      </c>
      <c r="K24" s="77">
        <f ca="1">IFERROR(__xludf.DUMMYFUNCTION("IMPORTRANGE(""https://docs.google.com/spreadsheets/d/1Yj_ptqi66GCucihVvJfMjLAmec39IyEx_6qawtMGysU/edit?usp=sharing"",""สบก!BB28"")"),0)</f>
        <v>0</v>
      </c>
      <c r="L24" s="79">
        <f t="shared" ca="1" si="5"/>
        <v>0</v>
      </c>
      <c r="M24" s="79">
        <f t="shared" ca="1" si="6"/>
        <v>0</v>
      </c>
      <c r="N24" s="79">
        <f ca="1">IFERROR(__xludf.DUMMYFUNCTION("IMPORTRANGE(""https://docs.google.com/spreadsheets/d/1Yj_ptqi66GCucihVvJfMjLAmec39IyEx_6qawtMGysU/edit?usp=sharing"",""สบก!BC28"")"),0)</f>
        <v>0</v>
      </c>
      <c r="O24" s="79">
        <f t="shared" ca="1" si="7"/>
        <v>0</v>
      </c>
      <c r="P24" s="77">
        <f ca="1">IFERROR(__xludf.DUMMYFUNCTION("IMPORTRANGE(""https://docs.google.com/spreadsheets/d/1C3CXT74ZlgGe6_JY_1olB1XN4rF0dxEuIIF-xsYjHgg/edit?usp=sharing"",""พรบ!AA28"")"),0)</f>
        <v>0</v>
      </c>
      <c r="Q24" s="77">
        <f ca="1">IFERROR(__xludf.DUMMYFUNCTION("IMPORTRANGE(""https://docs.google.com/spreadsheets/d/11923uPwbBZFjjGgGUA6NLw09EwE0CqkOc4q9oUmW1yo/edit?usp=sharing"",""พิษณุโลก!J62"")"),0)</f>
        <v>0</v>
      </c>
      <c r="R24" s="79">
        <f t="shared" ca="1" si="9"/>
        <v>0</v>
      </c>
      <c r="S24" s="77">
        <f ca="1">IFERROR(__xludf.DUMMYFUNCTION("IMPORTRANGE(""https://docs.google.com/spreadsheets/d/1C3CXT74ZlgGe6_JY_1olB1XN4rF0dxEuIIF-xsYjHgg/edit?usp=sharing"",""พรบ!AB28"")"),0)</f>
        <v>0</v>
      </c>
      <c r="T24" s="77">
        <f ca="1">IFERROR(__xludf.DUMMYFUNCTION("IMPORTRANGE(""https://docs.google.com/spreadsheets/d/11923uPwbBZFjjGgGUA6NLw09EwE0CqkOc4q9oUmW1yo/edit?usp=sharing"",""พิษณุโลก!J63"")"),0)</f>
        <v>0</v>
      </c>
      <c r="U24" s="79">
        <f t="shared" ca="1" si="11"/>
        <v>0</v>
      </c>
    </row>
    <row r="25" spans="1:21" ht="24" customHeight="1">
      <c r="A25" s="73">
        <v>10</v>
      </c>
      <c r="B25" s="74" t="s">
        <v>49</v>
      </c>
      <c r="C25" s="75">
        <f t="shared" ca="1" si="0"/>
        <v>82440</v>
      </c>
      <c r="D25" s="76">
        <f t="shared" ca="1" si="27"/>
        <v>82440</v>
      </c>
      <c r="E25" s="77">
        <f ca="1">IFERROR(__xludf.DUMMYFUNCTION("IMPORTRANGE(""https://docs.google.com/spreadsheets/d/1C3CXT74ZlgGe6_JY_1olB1XN4rF0dxEuIIF-xsYjHgg/edit?usp=sharing"",""พรบ!Y29"")"),0)</f>
        <v>0</v>
      </c>
      <c r="F25" s="77">
        <f ca="1">IFERROR(__xludf.DUMMYFUNCTION("IMPORTRANGE(""https://docs.google.com/spreadsheets/d/1C3CXT74ZlgGe6_JY_1olB1XN4rF0dxEuIIF-xsYjHgg/edit?usp=sharing"",""พรบ!Z29"")"),82440)</f>
        <v>82440</v>
      </c>
      <c r="G25" s="77">
        <f ca="1">IFERROR(__xludf.DUMMYFUNCTION("IMPORTRANGE(""https://docs.google.com/spreadsheets/d/1Yj_ptqi66GCucihVvJfMjLAmec39IyEx_6qawtMGysU/edit?usp=sharing"",""สบก!AY29"")"),0)</f>
        <v>0</v>
      </c>
      <c r="H25" s="77">
        <f ca="1">IFERROR(__xludf.DUMMYFUNCTION("IMPORTRANGE(""https://docs.google.com/spreadsheets/d/1Yj_ptqi66GCucihVvJfMjLAmec39IyEx_6qawtMGysU/edit?usp=shBAing"",""สบก!BA29"")"),82440)</f>
        <v>82440</v>
      </c>
      <c r="I25" s="77">
        <f t="shared" ca="1" si="3"/>
        <v>60510</v>
      </c>
      <c r="J25" s="137">
        <f t="shared" ca="1" si="4"/>
        <v>73.398835516739453</v>
      </c>
      <c r="K25" s="77">
        <f ca="1">IFERROR(__xludf.DUMMYFUNCTION("IMPORTRANGE(""https://docs.google.com/spreadsheets/d/1Yj_ptqi66GCucihVvJfMjLAmec39IyEx_6qawtMGysU/edit?usp=sharing"",""สบก!BB29"")"),60510)</f>
        <v>60510</v>
      </c>
      <c r="L25" s="79">
        <f t="shared" ca="1" si="5"/>
        <v>73.398835516739453</v>
      </c>
      <c r="M25" s="79">
        <f t="shared" ca="1" si="6"/>
        <v>73.398835516739453</v>
      </c>
      <c r="N25" s="79">
        <f ca="1">IFERROR(__xludf.DUMMYFUNCTION("IMPORTRANGE(""https://docs.google.com/spreadsheets/d/1Yj_ptqi66GCucihVvJfMjLAmec39IyEx_6qawtMGysU/edit?usp=sharing"",""สบก!BC29"")"),0)</f>
        <v>0</v>
      </c>
      <c r="O25" s="79">
        <f t="shared" ca="1" si="7"/>
        <v>0</v>
      </c>
      <c r="P25" s="77">
        <f ca="1">IFERROR(__xludf.DUMMYFUNCTION("IMPORTRANGE(""https://docs.google.com/spreadsheets/d/1C3CXT74ZlgGe6_JY_1olB1XN4rF0dxEuIIF-xsYjHgg/edit?usp=sharing"",""พรบ!AA29"")"),20)</f>
        <v>20</v>
      </c>
      <c r="Q25" s="77">
        <f ca="1">IFERROR(__xludf.DUMMYFUNCTION("IMPORTRANGE(""https://docs.google.com/spreadsheets/d/11923uPwbBZFjjGgGUA6NLw09EwE0CqkOc4q9oUmW1yo/edit?usp=sharing"",""เพชรบูรณ์!J62"")"),20)</f>
        <v>20</v>
      </c>
      <c r="R25" s="79">
        <f t="shared" ca="1" si="9"/>
        <v>100</v>
      </c>
      <c r="S25" s="77">
        <f ca="1">IFERROR(__xludf.DUMMYFUNCTION("IMPORTRANGE(""https://docs.google.com/spreadsheets/d/1C3CXT74ZlgGe6_JY_1olB1XN4rF0dxEuIIF-xsYjHgg/edit?usp=sharing"",""พรบ!AB29"")"),20)</f>
        <v>20</v>
      </c>
      <c r="T25" s="77">
        <f ca="1">IFERROR(__xludf.DUMMYFUNCTION("IMPORTRANGE(""https://docs.google.com/spreadsheets/d/11923uPwbBZFjjGgGUA6NLw09EwE0CqkOc4q9oUmW1yo/edit?usp=sharing"",""เพชรบูรณ์!J63"")"),20)</f>
        <v>20</v>
      </c>
      <c r="U25" s="79">
        <f t="shared" ca="1" si="11"/>
        <v>100</v>
      </c>
    </row>
    <row r="26" spans="1:21" ht="24" customHeight="1">
      <c r="A26" s="73">
        <v>11</v>
      </c>
      <c r="B26" s="74" t="s">
        <v>50</v>
      </c>
      <c r="C26" s="75">
        <f t="shared" ca="1" si="0"/>
        <v>82440</v>
      </c>
      <c r="D26" s="76">
        <f t="shared" ca="1" si="27"/>
        <v>82440</v>
      </c>
      <c r="E26" s="77">
        <f ca="1">IFERROR(__xludf.DUMMYFUNCTION("IMPORTRANGE(""https://docs.google.com/spreadsheets/d/1C3CXT74ZlgGe6_JY_1olB1XN4rF0dxEuIIF-xsYjHgg/edit?usp=sharing"",""พรบ!Y30"")"),0)</f>
        <v>0</v>
      </c>
      <c r="F26" s="77">
        <f ca="1">IFERROR(__xludf.DUMMYFUNCTION("IMPORTRANGE(""https://docs.google.com/spreadsheets/d/1C3CXT74ZlgGe6_JY_1olB1XN4rF0dxEuIIF-xsYjHgg/edit?usp=sharing"",""พรบ!Z30"")"),82440)</f>
        <v>82440</v>
      </c>
      <c r="G26" s="77">
        <f ca="1">IFERROR(__xludf.DUMMYFUNCTION("IMPORTRANGE(""https://docs.google.com/spreadsheets/d/1Yj_ptqi66GCucihVvJfMjLAmec39IyEx_6qawtMGysU/edit?usp=sharing"",""สบก!AY30"")"),0)</f>
        <v>0</v>
      </c>
      <c r="H26" s="77">
        <f ca="1">IFERROR(__xludf.DUMMYFUNCTION("IMPORTRANGE(""https://docs.google.com/spreadsheets/d/1Yj_ptqi66GCucihVvJfMjLAmec39IyEx_6qawtMGysU/edit?usp=shBAing"",""สบก!BA30"")"),82440)</f>
        <v>82440</v>
      </c>
      <c r="I26" s="77">
        <f t="shared" ca="1" si="3"/>
        <v>66440</v>
      </c>
      <c r="J26" s="137">
        <f t="shared" ca="1" si="4"/>
        <v>80.591945657447837</v>
      </c>
      <c r="K26" s="77">
        <f ca="1">IFERROR(__xludf.DUMMYFUNCTION("IMPORTRANGE(""https://docs.google.com/spreadsheets/d/1Yj_ptqi66GCucihVvJfMjLAmec39IyEx_6qawtMGysU/edit?usp=sharing"",""สบก!BB30"")"),66440)</f>
        <v>66440</v>
      </c>
      <c r="L26" s="79">
        <f t="shared" ca="1" si="5"/>
        <v>80.591945657447837</v>
      </c>
      <c r="M26" s="79">
        <f t="shared" ca="1" si="6"/>
        <v>80.591945657447837</v>
      </c>
      <c r="N26" s="79">
        <f ca="1">IFERROR(__xludf.DUMMYFUNCTION("IMPORTRANGE(""https://docs.google.com/spreadsheets/d/1Yj_ptqi66GCucihVvJfMjLAmec39IyEx_6qawtMGysU/edit?usp=sharing"",""สบก!BC30"")"),0)</f>
        <v>0</v>
      </c>
      <c r="O26" s="79">
        <f t="shared" ca="1" si="7"/>
        <v>0</v>
      </c>
      <c r="P26" s="77">
        <f ca="1">IFERROR(__xludf.DUMMYFUNCTION("IMPORTRANGE(""https://docs.google.com/spreadsheets/d/1C3CXT74ZlgGe6_JY_1olB1XN4rF0dxEuIIF-xsYjHgg/edit?usp=sharing"",""พรบ!AA30"")"),20)</f>
        <v>20</v>
      </c>
      <c r="Q26" s="77">
        <f ca="1">IFERROR(__xludf.DUMMYFUNCTION("IMPORTRANGE(""https://docs.google.com/spreadsheets/d/11923uPwbBZFjjGgGUA6NLw09EwE0CqkOc4q9oUmW1yo/edit?usp=sharing"",""แพร่!J62"")"),20)</f>
        <v>20</v>
      </c>
      <c r="R26" s="79">
        <f t="shared" ca="1" si="9"/>
        <v>100</v>
      </c>
      <c r="S26" s="77">
        <f ca="1">IFERROR(__xludf.DUMMYFUNCTION("IMPORTRANGE(""https://docs.google.com/spreadsheets/d/1C3CXT74ZlgGe6_JY_1olB1XN4rF0dxEuIIF-xsYjHgg/edit?usp=sharing"",""พรบ!AB30"")"),20)</f>
        <v>20</v>
      </c>
      <c r="T26" s="77">
        <f ca="1">IFERROR(__xludf.DUMMYFUNCTION("IMPORTRANGE(""https://docs.google.com/spreadsheets/d/11923uPwbBZFjjGgGUA6NLw09EwE0CqkOc4q9oUmW1yo/edit?usp=sharing"",""แพร่!J63"")"),30)</f>
        <v>30</v>
      </c>
      <c r="U26" s="79">
        <f t="shared" ca="1" si="11"/>
        <v>150</v>
      </c>
    </row>
    <row r="27" spans="1:21" ht="24" customHeight="1">
      <c r="A27" s="73">
        <v>12</v>
      </c>
      <c r="B27" s="74" t="s">
        <v>51</v>
      </c>
      <c r="C27" s="75">
        <f t="shared" ca="1" si="0"/>
        <v>82440</v>
      </c>
      <c r="D27" s="76">
        <f t="shared" ca="1" si="27"/>
        <v>82440</v>
      </c>
      <c r="E27" s="77">
        <f ca="1">IFERROR(__xludf.DUMMYFUNCTION("IMPORTRANGE(""https://docs.google.com/spreadsheets/d/1C3CXT74ZlgGe6_JY_1olB1XN4rF0dxEuIIF-xsYjHgg/edit?usp=sharing"",""พรบ!Y31"")"),0)</f>
        <v>0</v>
      </c>
      <c r="F27" s="77">
        <f ca="1">IFERROR(__xludf.DUMMYFUNCTION("IMPORTRANGE(""https://docs.google.com/spreadsheets/d/1C3CXT74ZlgGe6_JY_1olB1XN4rF0dxEuIIF-xsYjHgg/edit?usp=sharing"",""พรบ!Z31"")"),82440)</f>
        <v>82440</v>
      </c>
      <c r="G27" s="77">
        <f ca="1">IFERROR(__xludf.DUMMYFUNCTION("IMPORTRANGE(""https://docs.google.com/spreadsheets/d/1Yj_ptqi66GCucihVvJfMjLAmec39IyEx_6qawtMGysU/edit?usp=sharing"",""สบก!AY31"")"),0)</f>
        <v>0</v>
      </c>
      <c r="H27" s="77">
        <f ca="1">IFERROR(__xludf.DUMMYFUNCTION("IMPORTRANGE(""https://docs.google.com/spreadsheets/d/1Yj_ptqi66GCucihVvJfMjLAmec39IyEx_6qawtMGysU/edit?usp=shBAing"",""สบก!BA31"")"),82440)</f>
        <v>82440</v>
      </c>
      <c r="I27" s="77">
        <f t="shared" ca="1" si="3"/>
        <v>62340</v>
      </c>
      <c r="J27" s="137">
        <f t="shared" ca="1" si="4"/>
        <v>75.618631732168851</v>
      </c>
      <c r="K27" s="77">
        <f ca="1">IFERROR(__xludf.DUMMYFUNCTION("IMPORTRANGE(""https://docs.google.com/spreadsheets/d/1Yj_ptqi66GCucihVvJfMjLAmec39IyEx_6qawtMGysU/edit?usp=sharing"",""สบก!BB31"")"),62340)</f>
        <v>62340</v>
      </c>
      <c r="L27" s="79">
        <f t="shared" ca="1" si="5"/>
        <v>75.618631732168851</v>
      </c>
      <c r="M27" s="79">
        <f t="shared" ca="1" si="6"/>
        <v>75.618631732168851</v>
      </c>
      <c r="N27" s="79">
        <f ca="1">IFERROR(__xludf.DUMMYFUNCTION("IMPORTRANGE(""https://docs.google.com/spreadsheets/d/1Yj_ptqi66GCucihVvJfMjLAmec39IyEx_6qawtMGysU/edit?usp=sharing"",""สบก!BC31"")"),0)</f>
        <v>0</v>
      </c>
      <c r="O27" s="79">
        <f t="shared" ca="1" si="7"/>
        <v>0</v>
      </c>
      <c r="P27" s="77">
        <f ca="1">IFERROR(__xludf.DUMMYFUNCTION("IMPORTRANGE(""https://docs.google.com/spreadsheets/d/1C3CXT74ZlgGe6_JY_1olB1XN4rF0dxEuIIF-xsYjHgg/edit?usp=sharing"",""พรบ!AA31"")"),20)</f>
        <v>20</v>
      </c>
      <c r="Q27" s="77">
        <f ca="1">IFERROR(__xludf.DUMMYFUNCTION("IMPORTRANGE(""https://docs.google.com/spreadsheets/d/11923uPwbBZFjjGgGUA6NLw09EwE0CqkOc4q9oUmW1yo/edit?usp=sharing"",""แม่ฮ่องสอน!J62"")"),20)</f>
        <v>20</v>
      </c>
      <c r="R27" s="79">
        <f t="shared" ca="1" si="9"/>
        <v>100</v>
      </c>
      <c r="S27" s="77">
        <f ca="1">IFERROR(__xludf.DUMMYFUNCTION("IMPORTRANGE(""https://docs.google.com/spreadsheets/d/1C3CXT74ZlgGe6_JY_1olB1XN4rF0dxEuIIF-xsYjHgg/edit?usp=sharing"",""พรบ!AB31"")"),20)</f>
        <v>20</v>
      </c>
      <c r="T27" s="77">
        <f ca="1">IFERROR(__xludf.DUMMYFUNCTION("IMPORTRANGE(""https://docs.google.com/spreadsheets/d/11923uPwbBZFjjGgGUA6NLw09EwE0CqkOc4q9oUmW1yo/edit?usp=sharing"",""แม่ฮ่องสอน!J63"")"),20)</f>
        <v>20</v>
      </c>
      <c r="U27" s="79">
        <f t="shared" ca="1" si="11"/>
        <v>100</v>
      </c>
    </row>
    <row r="28" spans="1:21" ht="24" customHeight="1">
      <c r="A28" s="73">
        <v>13</v>
      </c>
      <c r="B28" s="74" t="s">
        <v>52</v>
      </c>
      <c r="C28" s="75">
        <f t="shared" ca="1" si="0"/>
        <v>0</v>
      </c>
      <c r="D28" s="76">
        <f t="shared" ca="1" si="27"/>
        <v>0</v>
      </c>
      <c r="E28" s="77">
        <f ca="1">IFERROR(__xludf.DUMMYFUNCTION("IMPORTRANGE(""https://docs.google.com/spreadsheets/d/1C3CXT74ZlgGe6_JY_1olB1XN4rF0dxEuIIF-xsYjHgg/edit?usp=sharing"",""พรบ!Y32"")"),0)</f>
        <v>0</v>
      </c>
      <c r="F28" s="77">
        <f ca="1">IFERROR(__xludf.DUMMYFUNCTION("IMPORTRANGE(""https://docs.google.com/spreadsheets/d/1C3CXT74ZlgGe6_JY_1olB1XN4rF0dxEuIIF-xsYjHgg/edit?usp=sharing"",""พรบ!Z32"")"),0)</f>
        <v>0</v>
      </c>
      <c r="G28" s="77">
        <f ca="1">IFERROR(__xludf.DUMMYFUNCTION("IMPORTRANGE(""https://docs.google.com/spreadsheets/d/1Yj_ptqi66GCucihVvJfMjLAmec39IyEx_6qawtMGysU/edit?usp=sharing"",""สบก!AY32"")"),0)</f>
        <v>0</v>
      </c>
      <c r="H28" s="77">
        <f ca="1">IFERROR(__xludf.DUMMYFUNCTION("IMPORTRANGE(""https://docs.google.com/spreadsheets/d/1Yj_ptqi66GCucihVvJfMjLAmec39IyEx_6qawtMGysU/edit?usp=shBAing"",""สบก!BA32"")"),0)</f>
        <v>0</v>
      </c>
      <c r="I28" s="77">
        <f t="shared" ca="1" si="3"/>
        <v>0</v>
      </c>
      <c r="J28" s="137">
        <f t="shared" ca="1" si="4"/>
        <v>0</v>
      </c>
      <c r="K28" s="77">
        <f ca="1">IFERROR(__xludf.DUMMYFUNCTION("IMPORTRANGE(""https://docs.google.com/spreadsheets/d/1Yj_ptqi66GCucihVvJfMjLAmec39IyEx_6qawtMGysU/edit?usp=sharing"",""สบก!BB32"")"),0)</f>
        <v>0</v>
      </c>
      <c r="L28" s="79">
        <f t="shared" ca="1" si="5"/>
        <v>0</v>
      </c>
      <c r="M28" s="79">
        <f t="shared" ca="1" si="6"/>
        <v>0</v>
      </c>
      <c r="N28" s="79">
        <f ca="1">IFERROR(__xludf.DUMMYFUNCTION("IMPORTRANGE(""https://docs.google.com/spreadsheets/d/1Yj_ptqi66GCucihVvJfMjLAmec39IyEx_6qawtMGysU/edit?usp=sharing"",""สบก!BC32"")"),0)</f>
        <v>0</v>
      </c>
      <c r="O28" s="79">
        <f t="shared" ca="1" si="7"/>
        <v>0</v>
      </c>
      <c r="P28" s="77">
        <f ca="1">IFERROR(__xludf.DUMMYFUNCTION("IMPORTRANGE(""https://docs.google.com/spreadsheets/d/1C3CXT74ZlgGe6_JY_1olB1XN4rF0dxEuIIF-xsYjHgg/edit?usp=sharing"",""พรบ!AA32"")"),0)</f>
        <v>0</v>
      </c>
      <c r="Q28" s="77">
        <f ca="1">IFERROR(__xludf.DUMMYFUNCTION("IMPORTRANGE(""https://docs.google.com/spreadsheets/d/11923uPwbBZFjjGgGUA6NLw09EwE0CqkOc4q9oUmW1yo/edit?usp=sharing"",""ลำปาง!J62"")"),0)</f>
        <v>0</v>
      </c>
      <c r="R28" s="79">
        <f t="shared" ca="1" si="9"/>
        <v>0</v>
      </c>
      <c r="S28" s="77">
        <f ca="1">IFERROR(__xludf.DUMMYFUNCTION("IMPORTRANGE(""https://docs.google.com/spreadsheets/d/1C3CXT74ZlgGe6_JY_1olB1XN4rF0dxEuIIF-xsYjHgg/edit?usp=sharing"",""พรบ!AB32"")"),0)</f>
        <v>0</v>
      </c>
      <c r="T28" s="77">
        <f ca="1">IFERROR(__xludf.DUMMYFUNCTION("IMPORTRANGE(""https://docs.google.com/spreadsheets/d/11923uPwbBZFjjGgGUA6NLw09EwE0CqkOc4q9oUmW1yo/edit?usp=sharing"",""ลำปาง!J63"")"),0)</f>
        <v>0</v>
      </c>
      <c r="U28" s="79">
        <f t="shared" ca="1" si="11"/>
        <v>0</v>
      </c>
    </row>
    <row r="29" spans="1:21" ht="24" customHeight="1">
      <c r="A29" s="73">
        <v>14</v>
      </c>
      <c r="B29" s="74" t="s">
        <v>53</v>
      </c>
      <c r="C29" s="75">
        <f t="shared" ca="1" si="0"/>
        <v>82440</v>
      </c>
      <c r="D29" s="76">
        <f t="shared" ca="1" si="27"/>
        <v>82440</v>
      </c>
      <c r="E29" s="77">
        <f ca="1">IFERROR(__xludf.DUMMYFUNCTION("IMPORTRANGE(""https://docs.google.com/spreadsheets/d/1C3CXT74ZlgGe6_JY_1olB1XN4rF0dxEuIIF-xsYjHgg/edit?usp=sharing"",""พรบ!Y33"")"),0)</f>
        <v>0</v>
      </c>
      <c r="F29" s="77">
        <f ca="1">IFERROR(__xludf.DUMMYFUNCTION("IMPORTRANGE(""https://docs.google.com/spreadsheets/d/1C3CXT74ZlgGe6_JY_1olB1XN4rF0dxEuIIF-xsYjHgg/edit?usp=sharing"",""พรบ!Z33"")"),82440)</f>
        <v>82440</v>
      </c>
      <c r="G29" s="77">
        <f ca="1">IFERROR(__xludf.DUMMYFUNCTION("IMPORTRANGE(""https://docs.google.com/spreadsheets/d/1Yj_ptqi66GCucihVvJfMjLAmec39IyEx_6qawtMGysU/edit?usp=sharing"",""สบก!AY33"")"),0)</f>
        <v>0</v>
      </c>
      <c r="H29" s="77">
        <f ca="1">IFERROR(__xludf.DUMMYFUNCTION("IMPORTRANGE(""https://docs.google.com/spreadsheets/d/1Yj_ptqi66GCucihVvJfMjLAmec39IyEx_6qawtMGysU/edit?usp=shBAing"",""สบก!BA33"")"),82440)</f>
        <v>82440</v>
      </c>
      <c r="I29" s="77">
        <f t="shared" ca="1" si="3"/>
        <v>54440</v>
      </c>
      <c r="J29" s="137">
        <f t="shared" ca="1" si="4"/>
        <v>66.035904900533723</v>
      </c>
      <c r="K29" s="77">
        <f ca="1">IFERROR(__xludf.DUMMYFUNCTION("IMPORTRANGE(""https://docs.google.com/spreadsheets/d/1Yj_ptqi66GCucihVvJfMjLAmec39IyEx_6qawtMGysU/edit?usp=sharing"",""สบก!BB33"")"),54440)</f>
        <v>54440</v>
      </c>
      <c r="L29" s="79">
        <f t="shared" ca="1" si="5"/>
        <v>66.035904900533723</v>
      </c>
      <c r="M29" s="79">
        <f t="shared" ca="1" si="6"/>
        <v>66.035904900533723</v>
      </c>
      <c r="N29" s="79">
        <f ca="1">IFERROR(__xludf.DUMMYFUNCTION("IMPORTRANGE(""https://docs.google.com/spreadsheets/d/1Yj_ptqi66GCucihVvJfMjLAmec39IyEx_6qawtMGysU/edit?usp=sharing"",""สบก!BC33"")"),0)</f>
        <v>0</v>
      </c>
      <c r="O29" s="79">
        <f t="shared" ca="1" si="7"/>
        <v>0</v>
      </c>
      <c r="P29" s="77">
        <f ca="1">IFERROR(__xludf.DUMMYFUNCTION("IMPORTRANGE(""https://docs.google.com/spreadsheets/d/1C3CXT74ZlgGe6_JY_1olB1XN4rF0dxEuIIF-xsYjHgg/edit?usp=sharing"",""พรบ!AA33"")"),20)</f>
        <v>20</v>
      </c>
      <c r="Q29" s="77">
        <f ca="1">IFERROR(__xludf.DUMMYFUNCTION("IMPORTRANGE(""https://docs.google.com/spreadsheets/d/11923uPwbBZFjjGgGUA6NLw09EwE0CqkOc4q9oUmW1yo/edit?usp=sharing"",""ลำพูน!J62"")"),20)</f>
        <v>20</v>
      </c>
      <c r="R29" s="79">
        <f t="shared" ca="1" si="9"/>
        <v>100</v>
      </c>
      <c r="S29" s="77">
        <f ca="1">IFERROR(__xludf.DUMMYFUNCTION("IMPORTRANGE(""https://docs.google.com/spreadsheets/d/1C3CXT74ZlgGe6_JY_1olB1XN4rF0dxEuIIF-xsYjHgg/edit?usp=sharing"",""พรบ!AB33"")"),20)</f>
        <v>20</v>
      </c>
      <c r="T29" s="77">
        <f ca="1">IFERROR(__xludf.DUMMYFUNCTION("IMPORTRANGE(""https://docs.google.com/spreadsheets/d/11923uPwbBZFjjGgGUA6NLw09EwE0CqkOc4q9oUmW1yo/edit?usp=sharing"",""ลำพูน!J63"")"),20)</f>
        <v>20</v>
      </c>
      <c r="U29" s="79">
        <f t="shared" ca="1" si="11"/>
        <v>100</v>
      </c>
    </row>
    <row r="30" spans="1:21" ht="24" customHeight="1">
      <c r="A30" s="73">
        <v>15</v>
      </c>
      <c r="B30" s="74" t="s">
        <v>54</v>
      </c>
      <c r="C30" s="75">
        <f t="shared" ca="1" si="0"/>
        <v>82440</v>
      </c>
      <c r="D30" s="76">
        <f t="shared" ca="1" si="27"/>
        <v>82440</v>
      </c>
      <c r="E30" s="77">
        <f ca="1">IFERROR(__xludf.DUMMYFUNCTION("IMPORTRANGE(""https://docs.google.com/spreadsheets/d/1C3CXT74ZlgGe6_JY_1olB1XN4rF0dxEuIIF-xsYjHgg/edit?usp=sharing"",""พรบ!Y34"")"),0)</f>
        <v>0</v>
      </c>
      <c r="F30" s="77">
        <f ca="1">IFERROR(__xludf.DUMMYFUNCTION("IMPORTRANGE(""https://docs.google.com/spreadsheets/d/1C3CXT74ZlgGe6_JY_1olB1XN4rF0dxEuIIF-xsYjHgg/edit?usp=sharing"",""พรบ!Z34"")"),82440)</f>
        <v>82440</v>
      </c>
      <c r="G30" s="77">
        <f ca="1">IFERROR(__xludf.DUMMYFUNCTION("IMPORTRANGE(""https://docs.google.com/spreadsheets/d/1Yj_ptqi66GCucihVvJfMjLAmec39IyEx_6qawtMGysU/edit?usp=sharing"",""สบก!AY34"")"),0)</f>
        <v>0</v>
      </c>
      <c r="H30" s="77">
        <f ca="1">IFERROR(__xludf.DUMMYFUNCTION("IMPORTRANGE(""https://docs.google.com/spreadsheets/d/1Yj_ptqi66GCucihVvJfMjLAmec39IyEx_6qawtMGysU/edit?usp=shBAing"",""สบก!BA34"")"),82440)</f>
        <v>82440</v>
      </c>
      <c r="I30" s="77">
        <f t="shared" ca="1" si="3"/>
        <v>58430</v>
      </c>
      <c r="J30" s="137">
        <f t="shared" ca="1" si="4"/>
        <v>70.875788452207672</v>
      </c>
      <c r="K30" s="77">
        <f ca="1">IFERROR(__xludf.DUMMYFUNCTION("IMPORTRANGE(""https://docs.google.com/spreadsheets/d/1Yj_ptqi66GCucihVvJfMjLAmec39IyEx_6qawtMGysU/edit?usp=sharing"",""สบก!BB34"")"),58430)</f>
        <v>58430</v>
      </c>
      <c r="L30" s="79">
        <f t="shared" ca="1" si="5"/>
        <v>70.875788452207672</v>
      </c>
      <c r="M30" s="79">
        <f t="shared" ca="1" si="6"/>
        <v>70.875788452207672</v>
      </c>
      <c r="N30" s="79">
        <f ca="1">IFERROR(__xludf.DUMMYFUNCTION("IMPORTRANGE(""https://docs.google.com/spreadsheets/d/1Yj_ptqi66GCucihVvJfMjLAmec39IyEx_6qawtMGysU/edit?usp=sharing"",""สบก!BC34"")"),0)</f>
        <v>0</v>
      </c>
      <c r="O30" s="79">
        <f t="shared" ca="1" si="7"/>
        <v>0</v>
      </c>
      <c r="P30" s="77">
        <f ca="1">IFERROR(__xludf.DUMMYFUNCTION("IMPORTRANGE(""https://docs.google.com/spreadsheets/d/1C3CXT74ZlgGe6_JY_1olB1XN4rF0dxEuIIF-xsYjHgg/edit?usp=sharing"",""พรบ!AA34"")"),20)</f>
        <v>20</v>
      </c>
      <c r="Q30" s="77">
        <f ca="1">IFERROR(__xludf.DUMMYFUNCTION("IMPORTRANGE(""https://docs.google.com/spreadsheets/d/11923uPwbBZFjjGgGUA6NLw09EwE0CqkOc4q9oUmW1yo/edit?usp=sharing"",""สุโขทัย!J62"")"),20)</f>
        <v>20</v>
      </c>
      <c r="R30" s="79">
        <f t="shared" ca="1" si="9"/>
        <v>100</v>
      </c>
      <c r="S30" s="77">
        <f ca="1">IFERROR(__xludf.DUMMYFUNCTION("IMPORTRANGE(""https://docs.google.com/spreadsheets/d/1C3CXT74ZlgGe6_JY_1olB1XN4rF0dxEuIIF-xsYjHgg/edit?usp=sharing"",""พรบ!AB34"")"),20)</f>
        <v>20</v>
      </c>
      <c r="T30" s="77">
        <f ca="1">IFERROR(__xludf.DUMMYFUNCTION("IMPORTRANGE(""https://docs.google.com/spreadsheets/d/11923uPwbBZFjjGgGUA6NLw09EwE0CqkOc4q9oUmW1yo/edit?usp=sharing"",""สุโขทัย!J63"")"),20)</f>
        <v>20</v>
      </c>
      <c r="U30" s="79">
        <f t="shared" ca="1" si="11"/>
        <v>100</v>
      </c>
    </row>
    <row r="31" spans="1:21" ht="24" customHeight="1">
      <c r="A31" s="73">
        <v>16</v>
      </c>
      <c r="B31" s="74" t="s">
        <v>55</v>
      </c>
      <c r="C31" s="75">
        <f t="shared" ca="1" si="0"/>
        <v>82440</v>
      </c>
      <c r="D31" s="76">
        <f t="shared" ca="1" si="27"/>
        <v>82440</v>
      </c>
      <c r="E31" s="77">
        <f ca="1">IFERROR(__xludf.DUMMYFUNCTION("IMPORTRANGE(""https://docs.google.com/spreadsheets/d/1C3CXT74ZlgGe6_JY_1olB1XN4rF0dxEuIIF-xsYjHgg/edit?usp=sharing"",""พรบ!Y35"")"),0)</f>
        <v>0</v>
      </c>
      <c r="F31" s="77">
        <f ca="1">IFERROR(__xludf.DUMMYFUNCTION("IMPORTRANGE(""https://docs.google.com/spreadsheets/d/1C3CXT74ZlgGe6_JY_1olB1XN4rF0dxEuIIF-xsYjHgg/edit?usp=sharing"",""พรบ!Z35"")"),82440)</f>
        <v>82440</v>
      </c>
      <c r="G31" s="77">
        <f ca="1">IFERROR(__xludf.DUMMYFUNCTION("IMPORTRANGE(""https://docs.google.com/spreadsheets/d/1Yj_ptqi66GCucihVvJfMjLAmec39IyEx_6qawtMGysU/edit?usp=sharing"",""สบก!AY35"")"),0)</f>
        <v>0</v>
      </c>
      <c r="H31" s="77">
        <f ca="1">IFERROR(__xludf.DUMMYFUNCTION("IMPORTRANGE(""https://docs.google.com/spreadsheets/d/1Yj_ptqi66GCucihVvJfMjLAmec39IyEx_6qawtMGysU/edit?usp=shBAing"",""สบก!BA35"")"),82440)</f>
        <v>82440</v>
      </c>
      <c r="I31" s="77">
        <f t="shared" ca="1" si="3"/>
        <v>56712.6</v>
      </c>
      <c r="J31" s="137">
        <f t="shared" ca="1" si="4"/>
        <v>68.792576419213972</v>
      </c>
      <c r="K31" s="77">
        <f ca="1">IFERROR(__xludf.DUMMYFUNCTION("IMPORTRANGE(""https://docs.google.com/spreadsheets/d/1Yj_ptqi66GCucihVvJfMjLAmec39IyEx_6qawtMGysU/edit?usp=sharing"",""สบก!BB35"")"),56712.6)</f>
        <v>56712.6</v>
      </c>
      <c r="L31" s="79">
        <f t="shared" ca="1" si="5"/>
        <v>68.792576419213972</v>
      </c>
      <c r="M31" s="79">
        <f t="shared" ca="1" si="6"/>
        <v>68.792576419213972</v>
      </c>
      <c r="N31" s="79">
        <f ca="1">IFERROR(__xludf.DUMMYFUNCTION("IMPORTRANGE(""https://docs.google.com/spreadsheets/d/1Yj_ptqi66GCucihVvJfMjLAmec39IyEx_6qawtMGysU/edit?usp=sharing"",""สบก!BC35"")"),0)</f>
        <v>0</v>
      </c>
      <c r="O31" s="79">
        <f t="shared" ca="1" si="7"/>
        <v>0</v>
      </c>
      <c r="P31" s="77">
        <f ca="1">IFERROR(__xludf.DUMMYFUNCTION("IMPORTRANGE(""https://docs.google.com/spreadsheets/d/1C3CXT74ZlgGe6_JY_1olB1XN4rF0dxEuIIF-xsYjHgg/edit?usp=sharing"",""พรบ!AA35"")"),20)</f>
        <v>20</v>
      </c>
      <c r="Q31" s="77">
        <f ca="1">IFERROR(__xludf.DUMMYFUNCTION("IMPORTRANGE(""https://docs.google.com/spreadsheets/d/11923uPwbBZFjjGgGUA6NLw09EwE0CqkOc4q9oUmW1yo/edit?usp=sharing"",""อุตรดิตถ์!J62"")"),20)</f>
        <v>20</v>
      </c>
      <c r="R31" s="79">
        <f t="shared" ca="1" si="9"/>
        <v>100</v>
      </c>
      <c r="S31" s="77">
        <f ca="1">IFERROR(__xludf.DUMMYFUNCTION("IMPORTRANGE(""https://docs.google.com/spreadsheets/d/1C3CXT74ZlgGe6_JY_1olB1XN4rF0dxEuIIF-xsYjHgg/edit?usp=sharing"",""พรบ!AB35"")"),20)</f>
        <v>20</v>
      </c>
      <c r="T31" s="77">
        <f ca="1">IFERROR(__xludf.DUMMYFUNCTION("IMPORTRANGE(""https://docs.google.com/spreadsheets/d/11923uPwbBZFjjGgGUA6NLw09EwE0CqkOc4q9oUmW1yo/edit?usp=sharing"",""อุตรดิตถ์!J63"")"),20)</f>
        <v>20</v>
      </c>
      <c r="U31" s="79">
        <f t="shared" ca="1" si="11"/>
        <v>100</v>
      </c>
    </row>
    <row r="32" spans="1:21" ht="24" customHeight="1">
      <c r="A32" s="84">
        <v>17</v>
      </c>
      <c r="B32" s="85" t="s">
        <v>56</v>
      </c>
      <c r="C32" s="86">
        <f t="shared" ca="1" si="0"/>
        <v>0</v>
      </c>
      <c r="D32" s="87">
        <f t="shared" ca="1" si="27"/>
        <v>0</v>
      </c>
      <c r="E32" s="88">
        <f ca="1">IFERROR(__xludf.DUMMYFUNCTION("IMPORTRANGE(""https://docs.google.com/spreadsheets/d/1C3CXT74ZlgGe6_JY_1olB1XN4rF0dxEuIIF-xsYjHgg/edit?usp=sharing"",""พรบ!Y36"")"),0)</f>
        <v>0</v>
      </c>
      <c r="F32" s="88">
        <f ca="1">IFERROR(__xludf.DUMMYFUNCTION("IMPORTRANGE(""https://docs.google.com/spreadsheets/d/1C3CXT74ZlgGe6_JY_1olB1XN4rF0dxEuIIF-xsYjHgg/edit?usp=sharing"",""พรบ!Z36"")"),0)</f>
        <v>0</v>
      </c>
      <c r="G32" s="88">
        <f ca="1">IFERROR(__xludf.DUMMYFUNCTION("IMPORTRANGE(""https://docs.google.com/spreadsheets/d/1Yj_ptqi66GCucihVvJfMjLAmec39IyEx_6qawtMGysU/edit?usp=sharing"",""สบก!AY36"")"),0)</f>
        <v>0</v>
      </c>
      <c r="H32" s="88">
        <f ca="1">IFERROR(__xludf.DUMMYFUNCTION("IMPORTRANGE(""https://docs.google.com/spreadsheets/d/1Yj_ptqi66GCucihVvJfMjLAmec39IyEx_6qawtMGysU/edit?usp=shBAing"",""สบก!BA36"")"),0)</f>
        <v>0</v>
      </c>
      <c r="I32" s="88">
        <f t="shared" ca="1" si="3"/>
        <v>0</v>
      </c>
      <c r="J32" s="138">
        <f t="shared" ca="1" si="4"/>
        <v>0</v>
      </c>
      <c r="K32" s="88">
        <f ca="1">IFERROR(__xludf.DUMMYFUNCTION("IMPORTRANGE(""https://docs.google.com/spreadsheets/d/1Yj_ptqi66GCucihVvJfMjLAmec39IyEx_6qawtMGysU/edit?usp=sharing"",""สบก!BB36"")"),0)</f>
        <v>0</v>
      </c>
      <c r="L32" s="90">
        <f t="shared" ca="1" si="5"/>
        <v>0</v>
      </c>
      <c r="M32" s="90">
        <f t="shared" ca="1" si="6"/>
        <v>0</v>
      </c>
      <c r="N32" s="90">
        <f ca="1">IFERROR(__xludf.DUMMYFUNCTION("IMPORTRANGE(""https://docs.google.com/spreadsheets/d/1Yj_ptqi66GCucihVvJfMjLAmec39IyEx_6qawtMGysU/edit?usp=sharing"",""สบก!BC36"")"),0)</f>
        <v>0</v>
      </c>
      <c r="O32" s="90">
        <f t="shared" ca="1" si="7"/>
        <v>0</v>
      </c>
      <c r="P32" s="88">
        <f ca="1">IFERROR(__xludf.DUMMYFUNCTION("IMPORTRANGE(""https://docs.google.com/spreadsheets/d/1C3CXT74ZlgGe6_JY_1olB1XN4rF0dxEuIIF-xsYjHgg/edit?usp=sharing"",""พรบ!AA36"")"),0)</f>
        <v>0</v>
      </c>
      <c r="Q32" s="88">
        <f ca="1">IFERROR(__xludf.DUMMYFUNCTION("IMPORTRANGE(""https://docs.google.com/spreadsheets/d/11923uPwbBZFjjGgGUA6NLw09EwE0CqkOc4q9oUmW1yo/edit?usp=sharing"",""อุทัยธานี!J62"")"),0)</f>
        <v>0</v>
      </c>
      <c r="R32" s="90">
        <f t="shared" ca="1" si="9"/>
        <v>0</v>
      </c>
      <c r="S32" s="88">
        <f ca="1">IFERROR(__xludf.DUMMYFUNCTION("IMPORTRANGE(""https://docs.google.com/spreadsheets/d/1C3CXT74ZlgGe6_JY_1olB1XN4rF0dxEuIIF-xsYjHgg/edit?usp=sharing"",""พรบ!AB36"")"),0)</f>
        <v>0</v>
      </c>
      <c r="T32" s="88">
        <f ca="1">IFERROR(__xludf.DUMMYFUNCTION("IMPORTRANGE(""https://docs.google.com/spreadsheets/d/11923uPwbBZFjjGgGUA6NLw09EwE0CqkOc4q9oUmW1yo/edit?usp=sharing"",""อุทัยธานี!J63"")"),0)</f>
        <v>0</v>
      </c>
      <c r="U32" s="90">
        <f t="shared" ca="1" si="11"/>
        <v>0</v>
      </c>
    </row>
    <row r="33" spans="1:21" ht="21" customHeight="1">
      <c r="A33" s="677" t="s">
        <v>57</v>
      </c>
      <c r="B33" s="678"/>
      <c r="C33" s="94">
        <f t="shared" ca="1" si="0"/>
        <v>494640</v>
      </c>
      <c r="D33" s="95">
        <f t="shared" ref="D33:H33" ca="1" si="28">SUM(D34:D53)</f>
        <v>494640</v>
      </c>
      <c r="E33" s="95">
        <f t="shared" ca="1" si="28"/>
        <v>0</v>
      </c>
      <c r="F33" s="95">
        <f t="shared" ca="1" si="28"/>
        <v>494640</v>
      </c>
      <c r="G33" s="95">
        <f t="shared" ca="1" si="28"/>
        <v>0</v>
      </c>
      <c r="H33" s="95">
        <f t="shared" ca="1" si="28"/>
        <v>494640</v>
      </c>
      <c r="I33" s="95">
        <f t="shared" ca="1" si="3"/>
        <v>216497</v>
      </c>
      <c r="J33" s="139">
        <f t="shared" ca="1" si="4"/>
        <v>43.768599385411612</v>
      </c>
      <c r="K33" s="95">
        <f ca="1">SUM(K34:K53)</f>
        <v>216497</v>
      </c>
      <c r="L33" s="97">
        <f t="shared" ca="1" si="5"/>
        <v>43.768599385411612</v>
      </c>
      <c r="M33" s="97">
        <f t="shared" ca="1" si="6"/>
        <v>43.768599385411612</v>
      </c>
      <c r="N33" s="97">
        <f ca="1">SUM(N34:N53)</f>
        <v>0</v>
      </c>
      <c r="O33" s="97">
        <f t="shared" ca="1" si="7"/>
        <v>0</v>
      </c>
      <c r="P33" s="95">
        <f t="shared" ref="P33:Q33" ca="1" si="29">SUM(P34:P53)</f>
        <v>120</v>
      </c>
      <c r="Q33" s="95">
        <f t="shared" ca="1" si="29"/>
        <v>120</v>
      </c>
      <c r="R33" s="97">
        <f t="shared" ca="1" si="9"/>
        <v>100</v>
      </c>
      <c r="S33" s="95">
        <f t="shared" ref="S33:T33" ca="1" si="30">SUM(S34:S53)</f>
        <v>120</v>
      </c>
      <c r="T33" s="95">
        <f t="shared" ca="1" si="30"/>
        <v>80</v>
      </c>
      <c r="U33" s="97">
        <f t="shared" ca="1" si="11"/>
        <v>66.666666666666671</v>
      </c>
    </row>
    <row r="34" spans="1:21" ht="21" customHeight="1">
      <c r="A34" s="63">
        <v>1</v>
      </c>
      <c r="B34" s="64" t="s">
        <v>58</v>
      </c>
      <c r="C34" s="65">
        <f t="shared" ca="1" si="0"/>
        <v>82440</v>
      </c>
      <c r="D34" s="66">
        <f t="shared" ref="D34:D53" ca="1" si="31">+E34+F34</f>
        <v>82440</v>
      </c>
      <c r="E34" s="67">
        <f ca="1">IFERROR(__xludf.DUMMYFUNCTION("IMPORTRANGE(""https://docs.google.com/spreadsheets/d/1C3CXT74ZlgGe6_JY_1olB1XN4rF0dxEuIIF-xsYjHgg/edit?usp=sharing"",""พรบ!Y38"")"),0)</f>
        <v>0</v>
      </c>
      <c r="F34" s="67">
        <f ca="1">IFERROR(__xludf.DUMMYFUNCTION("IMPORTRANGE(""https://docs.google.com/spreadsheets/d/1C3CXT74ZlgGe6_JY_1olB1XN4rF0dxEuIIF-xsYjHgg/edit?usp=sharing"",""พรบ!Z38"")"),82440)</f>
        <v>82440</v>
      </c>
      <c r="G34" s="67">
        <f ca="1">IFERROR(__xludf.DUMMYFUNCTION("IMPORTRANGE(""https://docs.google.com/spreadsheets/d/1Yj_ptqi66GCucihVvJfMjLAmec39IyEx_6qawtMGysU/edit?usp=sharing"",""สบก!AY38"")"),0)</f>
        <v>0</v>
      </c>
      <c r="H34" s="67">
        <f ca="1">IFERROR(__xludf.DUMMYFUNCTION("IMPORTRANGE(""https://docs.google.com/spreadsheets/d/1Yj_ptqi66GCucihVvJfMjLAmec39IyEx_6qawtMGysU/edit?usp=shBAing"",""สบก!BA38"")"),82440)</f>
        <v>82440</v>
      </c>
      <c r="I34" s="67">
        <f t="shared" ca="1" si="3"/>
        <v>24165</v>
      </c>
      <c r="J34" s="136">
        <f t="shared" ca="1" si="4"/>
        <v>29.312227074235807</v>
      </c>
      <c r="K34" s="67">
        <f ca="1">IFERROR(__xludf.DUMMYFUNCTION("IMPORTRANGE(""https://docs.google.com/spreadsheets/d/1Yj_ptqi66GCucihVvJfMjLAmec39IyEx_6qawtMGysU/edit?usp=sharing"",""สบก!BB38"")"),24165)</f>
        <v>24165</v>
      </c>
      <c r="L34" s="70">
        <f t="shared" ca="1" si="5"/>
        <v>29.312227074235807</v>
      </c>
      <c r="M34" s="70">
        <f t="shared" ca="1" si="6"/>
        <v>29.312227074235807</v>
      </c>
      <c r="N34" s="70">
        <f ca="1">IFERROR(__xludf.DUMMYFUNCTION("IMPORTRANGE(""https://docs.google.com/spreadsheets/d/1Yj_ptqi66GCucihVvJfMjLAmec39IyEx_6qawtMGysU/edit?usp=sharing"",""สบก!BC38"")"),0)</f>
        <v>0</v>
      </c>
      <c r="O34" s="70">
        <f t="shared" ca="1" si="7"/>
        <v>0</v>
      </c>
      <c r="P34" s="67">
        <f ca="1">IFERROR(__xludf.DUMMYFUNCTION("IMPORTRANGE(""https://docs.google.com/spreadsheets/d/1C3CXT74ZlgGe6_JY_1olB1XN4rF0dxEuIIF-xsYjHgg/edit?usp=sharing"",""พรบ!AA38"")"),20)</f>
        <v>20</v>
      </c>
      <c r="Q34" s="67">
        <f ca="1">IFERROR(__xludf.DUMMYFUNCTION("IMPORTRANGE(""https://docs.google.com/spreadsheets/d/1XL5vhW3sbDhbH9Cz0tuDiY8C3ctxq1tqvaCgkFb8cCA/edit?usp=sharing"",""กาฬสินธุ์!J62"")"),20)</f>
        <v>20</v>
      </c>
      <c r="R34" s="70">
        <f t="shared" ca="1" si="9"/>
        <v>100</v>
      </c>
      <c r="S34" s="67">
        <f ca="1">IFERROR(__xludf.DUMMYFUNCTION("IMPORTRANGE(""https://docs.google.com/spreadsheets/d/1C3CXT74ZlgGe6_JY_1olB1XN4rF0dxEuIIF-xsYjHgg/edit?usp=sharing"",""พรบ!AB38"")"),20)</f>
        <v>20</v>
      </c>
      <c r="T34" s="67">
        <f ca="1">IFERROR(__xludf.DUMMYFUNCTION("IMPORTRANGE(""https://docs.google.com/spreadsheets/d/1XL5vhW3sbDhbH9Cz0tuDiY8C3ctxq1tqvaCgkFb8cCA/edit?usp=sharing"",""กาฬสินธุ์!J63"")"),20)</f>
        <v>20</v>
      </c>
      <c r="U34" s="70">
        <f t="shared" ca="1" si="11"/>
        <v>100</v>
      </c>
    </row>
    <row r="35" spans="1:21" ht="21" customHeight="1">
      <c r="A35" s="73">
        <v>2</v>
      </c>
      <c r="B35" s="74" t="s">
        <v>59</v>
      </c>
      <c r="C35" s="75">
        <f t="shared" ca="1" si="0"/>
        <v>0</v>
      </c>
      <c r="D35" s="76">
        <f t="shared" ca="1" si="31"/>
        <v>0</v>
      </c>
      <c r="E35" s="77">
        <f ca="1">IFERROR(__xludf.DUMMYFUNCTION("IMPORTRANGE(""https://docs.google.com/spreadsheets/d/1C3CXT74ZlgGe6_JY_1olB1XN4rF0dxEuIIF-xsYjHgg/edit?usp=sharing"",""พรบ!Y39"")"),0)</f>
        <v>0</v>
      </c>
      <c r="F35" s="77">
        <f ca="1">IFERROR(__xludf.DUMMYFUNCTION("IMPORTRANGE(""https://docs.google.com/spreadsheets/d/1C3CXT74ZlgGe6_JY_1olB1XN4rF0dxEuIIF-xsYjHgg/edit?usp=sharing"",""พรบ!Z39"")"),0)</f>
        <v>0</v>
      </c>
      <c r="G35" s="77">
        <f ca="1">IFERROR(__xludf.DUMMYFUNCTION("IMPORTRANGE(""https://docs.google.com/spreadsheets/d/1Yj_ptqi66GCucihVvJfMjLAmec39IyEx_6qawtMGysU/edit?usp=sharing"",""สบก!AY39"")"),0)</f>
        <v>0</v>
      </c>
      <c r="H35" s="77">
        <f ca="1">IFERROR(__xludf.DUMMYFUNCTION("IMPORTRANGE(""https://docs.google.com/spreadsheets/d/1Yj_ptqi66GCucihVvJfMjLAmec39IyEx_6qawtMGysU/edit?usp=shBAing"",""สบก!BA39"")"),0)</f>
        <v>0</v>
      </c>
      <c r="I35" s="77">
        <f t="shared" ca="1" si="3"/>
        <v>0</v>
      </c>
      <c r="J35" s="137">
        <f t="shared" ca="1" si="4"/>
        <v>0</v>
      </c>
      <c r="K35" s="77">
        <f ca="1">IFERROR(__xludf.DUMMYFUNCTION("IMPORTRANGE(""https://docs.google.com/spreadsheets/d/1Yj_ptqi66GCucihVvJfMjLAmec39IyEx_6qawtMGysU/edit?usp=sharing"",""สบก!BB39"")"),0)</f>
        <v>0</v>
      </c>
      <c r="L35" s="79">
        <f t="shared" ca="1" si="5"/>
        <v>0</v>
      </c>
      <c r="M35" s="79">
        <f t="shared" ca="1" si="6"/>
        <v>0</v>
      </c>
      <c r="N35" s="79">
        <f ca="1">IFERROR(__xludf.DUMMYFUNCTION("IMPORTRANGE(""https://docs.google.com/spreadsheets/d/1Yj_ptqi66GCucihVvJfMjLAmec39IyEx_6qawtMGysU/edit?usp=sharing"",""สบก!BC39"")"),0)</f>
        <v>0</v>
      </c>
      <c r="O35" s="79">
        <f t="shared" ca="1" si="7"/>
        <v>0</v>
      </c>
      <c r="P35" s="77">
        <f ca="1">IFERROR(__xludf.DUMMYFUNCTION("IMPORTRANGE(""https://docs.google.com/spreadsheets/d/1C3CXT74ZlgGe6_JY_1olB1XN4rF0dxEuIIF-xsYjHgg/edit?usp=sharing"",""พรบ!AA39"")"),0)</f>
        <v>0</v>
      </c>
      <c r="Q35" s="77">
        <f ca="1">IFERROR(__xludf.DUMMYFUNCTION("IMPORTRANGE(""https://docs.google.com/spreadsheets/d/1XL5vhW3sbDhbH9Cz0tuDiY8C3ctxq1tqvaCgkFb8cCA/edit?usp=sharing"",""ขอนแก่น!J62"")"),0)</f>
        <v>0</v>
      </c>
      <c r="R35" s="79">
        <f t="shared" ca="1" si="9"/>
        <v>0</v>
      </c>
      <c r="S35" s="77">
        <f ca="1">IFERROR(__xludf.DUMMYFUNCTION("IMPORTRANGE(""https://docs.google.com/spreadsheets/d/1C3CXT74ZlgGe6_JY_1olB1XN4rF0dxEuIIF-xsYjHgg/edit?usp=sharing"",""พรบ!AB39"")"),0)</f>
        <v>0</v>
      </c>
      <c r="T35" s="77">
        <f ca="1">IFERROR(__xludf.DUMMYFUNCTION("IMPORTRANGE(""https://docs.google.com/spreadsheets/d/1XL5vhW3sbDhbH9Cz0tuDiY8C3ctxq1tqvaCgkFb8cCA/edit?usp=sharing"",""ขอนแก่น!J63"")"),0)</f>
        <v>0</v>
      </c>
      <c r="U35" s="79">
        <f t="shared" ca="1" si="11"/>
        <v>0</v>
      </c>
    </row>
    <row r="36" spans="1:21" ht="21" customHeight="1">
      <c r="A36" s="73">
        <v>3</v>
      </c>
      <c r="B36" s="74" t="s">
        <v>60</v>
      </c>
      <c r="C36" s="75">
        <f t="shared" ca="1" si="0"/>
        <v>82440</v>
      </c>
      <c r="D36" s="76">
        <f t="shared" ca="1" si="31"/>
        <v>82440</v>
      </c>
      <c r="E36" s="77">
        <f ca="1">IFERROR(__xludf.DUMMYFUNCTION("IMPORTRANGE(""https://docs.google.com/spreadsheets/d/1C3CXT74ZlgGe6_JY_1olB1XN4rF0dxEuIIF-xsYjHgg/edit?usp=sharing"",""พรบ!Y40"")"),0)</f>
        <v>0</v>
      </c>
      <c r="F36" s="77">
        <f ca="1">IFERROR(__xludf.DUMMYFUNCTION("IMPORTRANGE(""https://docs.google.com/spreadsheets/d/1C3CXT74ZlgGe6_JY_1olB1XN4rF0dxEuIIF-xsYjHgg/edit?usp=sharing"",""พรบ!Z40"")"),82440)</f>
        <v>82440</v>
      </c>
      <c r="G36" s="77">
        <f ca="1">IFERROR(__xludf.DUMMYFUNCTION("IMPORTRANGE(""https://docs.google.com/spreadsheets/d/1Yj_ptqi66GCucihVvJfMjLAmec39IyEx_6qawtMGysU/edit?usp=sharing"",""สบก!AY40"")"),0)</f>
        <v>0</v>
      </c>
      <c r="H36" s="77">
        <f ca="1">IFERROR(__xludf.DUMMYFUNCTION("IMPORTRANGE(""https://docs.google.com/spreadsheets/d/1Yj_ptqi66GCucihVvJfMjLAmec39IyEx_6qawtMGysU/edit?usp=shBAing"",""สบก!BA40"")"),82440)</f>
        <v>82440</v>
      </c>
      <c r="I36" s="77">
        <f t="shared" ca="1" si="3"/>
        <v>20245</v>
      </c>
      <c r="J36" s="137">
        <f t="shared" ca="1" si="4"/>
        <v>24.55725376031053</v>
      </c>
      <c r="K36" s="77">
        <f ca="1">IFERROR(__xludf.DUMMYFUNCTION("IMPORTRANGE(""https://docs.google.com/spreadsheets/d/1Yj_ptqi66GCucihVvJfMjLAmec39IyEx_6qawtMGysU/edit?usp=sharing"",""สบก!BB40"")"),20245)</f>
        <v>20245</v>
      </c>
      <c r="L36" s="79">
        <f t="shared" ca="1" si="5"/>
        <v>24.55725376031053</v>
      </c>
      <c r="M36" s="79">
        <f t="shared" ca="1" si="6"/>
        <v>24.55725376031053</v>
      </c>
      <c r="N36" s="79">
        <f ca="1">IFERROR(__xludf.DUMMYFUNCTION("IMPORTRANGE(""https://docs.google.com/spreadsheets/d/1Yj_ptqi66GCucihVvJfMjLAmec39IyEx_6qawtMGysU/edit?usp=sharing"",""สบก!BC40"")"),0)</f>
        <v>0</v>
      </c>
      <c r="O36" s="79">
        <f t="shared" ca="1" si="7"/>
        <v>0</v>
      </c>
      <c r="P36" s="77">
        <f ca="1">IFERROR(__xludf.DUMMYFUNCTION("IMPORTRANGE(""https://docs.google.com/spreadsheets/d/1C3CXT74ZlgGe6_JY_1olB1XN4rF0dxEuIIF-xsYjHgg/edit?usp=sharing"",""พรบ!AA40"")"),20)</f>
        <v>20</v>
      </c>
      <c r="Q36" s="77">
        <f ca="1">IFERROR(__xludf.DUMMYFUNCTION("IMPORTRANGE(""https://docs.google.com/spreadsheets/d/1XL5vhW3sbDhbH9Cz0tuDiY8C3ctxq1tqvaCgkFb8cCA/edit?usp=sharing"",""ชัยภูมิ!J62"")"),20)</f>
        <v>20</v>
      </c>
      <c r="R36" s="79">
        <f t="shared" ca="1" si="9"/>
        <v>100</v>
      </c>
      <c r="S36" s="77">
        <f ca="1">IFERROR(__xludf.DUMMYFUNCTION("IMPORTRANGE(""https://docs.google.com/spreadsheets/d/1C3CXT74ZlgGe6_JY_1olB1XN4rF0dxEuIIF-xsYjHgg/edit?usp=sharing"",""พรบ!AB40"")"),20)</f>
        <v>20</v>
      </c>
      <c r="T36" s="77">
        <f ca="1">IFERROR(__xludf.DUMMYFUNCTION("IMPORTRANGE(""https://docs.google.com/spreadsheets/d/1XL5vhW3sbDhbH9Cz0tuDiY8C3ctxq1tqvaCgkFb8cCA/edit?usp=sharing"",""ชัยภูมิ!J63"")"),0)</f>
        <v>0</v>
      </c>
      <c r="U36" s="79">
        <f t="shared" ca="1" si="11"/>
        <v>0</v>
      </c>
    </row>
    <row r="37" spans="1:21" ht="21" customHeight="1">
      <c r="A37" s="73">
        <v>4</v>
      </c>
      <c r="B37" s="74" t="s">
        <v>61</v>
      </c>
      <c r="C37" s="75">
        <f t="shared" ca="1" si="0"/>
        <v>0</v>
      </c>
      <c r="D37" s="76">
        <f t="shared" ca="1" si="31"/>
        <v>0</v>
      </c>
      <c r="E37" s="77">
        <f ca="1">IFERROR(__xludf.DUMMYFUNCTION("IMPORTRANGE(""https://docs.google.com/spreadsheets/d/1C3CXT74ZlgGe6_JY_1olB1XN4rF0dxEuIIF-xsYjHgg/edit?usp=sharing"",""พรบ!Y41"")"),0)</f>
        <v>0</v>
      </c>
      <c r="F37" s="77">
        <f ca="1">IFERROR(__xludf.DUMMYFUNCTION("IMPORTRANGE(""https://docs.google.com/spreadsheets/d/1C3CXT74ZlgGe6_JY_1olB1XN4rF0dxEuIIF-xsYjHgg/edit?usp=sharing"",""พรบ!Z41"")"),0)</f>
        <v>0</v>
      </c>
      <c r="G37" s="77">
        <f ca="1">IFERROR(__xludf.DUMMYFUNCTION("IMPORTRANGE(""https://docs.google.com/spreadsheets/d/1Yj_ptqi66GCucihVvJfMjLAmec39IyEx_6qawtMGysU/edit?usp=sharing"",""สบก!AY41"")"),0)</f>
        <v>0</v>
      </c>
      <c r="H37" s="77">
        <f ca="1">IFERROR(__xludf.DUMMYFUNCTION("IMPORTRANGE(""https://docs.google.com/spreadsheets/d/1Yj_ptqi66GCucihVvJfMjLAmec39IyEx_6qawtMGysU/edit?usp=shBAing"",""สบก!BA41"")"),0)</f>
        <v>0</v>
      </c>
      <c r="I37" s="77">
        <f t="shared" ca="1" si="3"/>
        <v>0</v>
      </c>
      <c r="J37" s="137">
        <f t="shared" ca="1" si="4"/>
        <v>0</v>
      </c>
      <c r="K37" s="77">
        <f ca="1">IFERROR(__xludf.DUMMYFUNCTION("IMPORTRANGE(""https://docs.google.com/spreadsheets/d/1Yj_ptqi66GCucihVvJfMjLAmec39IyEx_6qawtMGysU/edit?usp=sharing"",""สบก!BB41"")"),0)</f>
        <v>0</v>
      </c>
      <c r="L37" s="79">
        <f t="shared" ca="1" si="5"/>
        <v>0</v>
      </c>
      <c r="M37" s="79">
        <f t="shared" ca="1" si="6"/>
        <v>0</v>
      </c>
      <c r="N37" s="79">
        <f ca="1">IFERROR(__xludf.DUMMYFUNCTION("IMPORTRANGE(""https://docs.google.com/spreadsheets/d/1Yj_ptqi66GCucihVvJfMjLAmec39IyEx_6qawtMGysU/edit?usp=sharing"",""สบก!BC41"")"),0)</f>
        <v>0</v>
      </c>
      <c r="O37" s="79">
        <f t="shared" ca="1" si="7"/>
        <v>0</v>
      </c>
      <c r="P37" s="77">
        <f ca="1">IFERROR(__xludf.DUMMYFUNCTION("IMPORTRANGE(""https://docs.google.com/spreadsheets/d/1C3CXT74ZlgGe6_JY_1olB1XN4rF0dxEuIIF-xsYjHgg/edit?usp=sharing"",""พรบ!AA41"")"),0)</f>
        <v>0</v>
      </c>
      <c r="Q37" s="77">
        <f ca="1">IFERROR(__xludf.DUMMYFUNCTION("IMPORTRANGE(""https://docs.google.com/spreadsheets/d/1XL5vhW3sbDhbH9Cz0tuDiY8C3ctxq1tqvaCgkFb8cCA/edit?usp=sharing"",""นครพนม!J62"")"),0)</f>
        <v>0</v>
      </c>
      <c r="R37" s="79">
        <f t="shared" ca="1" si="9"/>
        <v>0</v>
      </c>
      <c r="S37" s="77">
        <f ca="1">IFERROR(__xludf.DUMMYFUNCTION("IMPORTRANGE(""https://docs.google.com/spreadsheets/d/1C3CXT74ZlgGe6_JY_1olB1XN4rF0dxEuIIF-xsYjHgg/edit?usp=sharing"",""พรบ!AB41"")"),0)</f>
        <v>0</v>
      </c>
      <c r="T37" s="77">
        <f ca="1">IFERROR(__xludf.DUMMYFUNCTION("IMPORTRANGE(""https://docs.google.com/spreadsheets/d/1XL5vhW3sbDhbH9Cz0tuDiY8C3ctxq1tqvaCgkFb8cCA/edit?usp=sharing"",""นครพนม!J63"")"),0)</f>
        <v>0</v>
      </c>
      <c r="U37" s="79">
        <f t="shared" ca="1" si="11"/>
        <v>0</v>
      </c>
    </row>
    <row r="38" spans="1:21" ht="21" customHeight="1">
      <c r="A38" s="73">
        <v>5</v>
      </c>
      <c r="B38" s="74" t="s">
        <v>62</v>
      </c>
      <c r="C38" s="75">
        <f t="shared" ca="1" si="0"/>
        <v>0</v>
      </c>
      <c r="D38" s="76">
        <f t="shared" ca="1" si="31"/>
        <v>0</v>
      </c>
      <c r="E38" s="77">
        <f ca="1">IFERROR(__xludf.DUMMYFUNCTION("IMPORTRANGE(""https://docs.google.com/spreadsheets/d/1C3CXT74ZlgGe6_JY_1olB1XN4rF0dxEuIIF-xsYjHgg/edit?usp=sharing"",""พรบ!Y42"")"),0)</f>
        <v>0</v>
      </c>
      <c r="F38" s="77">
        <f ca="1">IFERROR(__xludf.DUMMYFUNCTION("IMPORTRANGE(""https://docs.google.com/spreadsheets/d/1C3CXT74ZlgGe6_JY_1olB1XN4rF0dxEuIIF-xsYjHgg/edit?usp=sharing"",""พรบ!Z42"")"),0)</f>
        <v>0</v>
      </c>
      <c r="G38" s="77">
        <f ca="1">IFERROR(__xludf.DUMMYFUNCTION("IMPORTRANGE(""https://docs.google.com/spreadsheets/d/1Yj_ptqi66GCucihVvJfMjLAmec39IyEx_6qawtMGysU/edit?usp=sharing"",""สบก!AY42"")"),0)</f>
        <v>0</v>
      </c>
      <c r="H38" s="77">
        <f ca="1">IFERROR(__xludf.DUMMYFUNCTION("IMPORTRANGE(""https://docs.google.com/spreadsheets/d/1Yj_ptqi66GCucihVvJfMjLAmec39IyEx_6qawtMGysU/edit?usp=shBAing"",""สบก!BA42"")"),0)</f>
        <v>0</v>
      </c>
      <c r="I38" s="77">
        <f t="shared" ca="1" si="3"/>
        <v>0</v>
      </c>
      <c r="J38" s="137">
        <f t="shared" ca="1" si="4"/>
        <v>0</v>
      </c>
      <c r="K38" s="77">
        <f ca="1">IFERROR(__xludf.DUMMYFUNCTION("IMPORTRANGE(""https://docs.google.com/spreadsheets/d/1Yj_ptqi66GCucihVvJfMjLAmec39IyEx_6qawtMGysU/edit?usp=sharing"",""สบก!BB42"")"),0)</f>
        <v>0</v>
      </c>
      <c r="L38" s="79">
        <f t="shared" ca="1" si="5"/>
        <v>0</v>
      </c>
      <c r="M38" s="79">
        <f t="shared" ca="1" si="6"/>
        <v>0</v>
      </c>
      <c r="N38" s="79">
        <f ca="1">IFERROR(__xludf.DUMMYFUNCTION("IMPORTRANGE(""https://docs.google.com/spreadsheets/d/1Yj_ptqi66GCucihVvJfMjLAmec39IyEx_6qawtMGysU/edit?usp=sharing"",""สบก!BC42"")"),0)</f>
        <v>0</v>
      </c>
      <c r="O38" s="79">
        <f t="shared" ca="1" si="7"/>
        <v>0</v>
      </c>
      <c r="P38" s="77">
        <f ca="1">IFERROR(__xludf.DUMMYFUNCTION("IMPORTRANGE(""https://docs.google.com/spreadsheets/d/1C3CXT74ZlgGe6_JY_1olB1XN4rF0dxEuIIF-xsYjHgg/edit?usp=sharing"",""พรบ!AA42"")"),0)</f>
        <v>0</v>
      </c>
      <c r="Q38" s="77">
        <f ca="1">IFERROR(__xludf.DUMMYFUNCTION("IMPORTRANGE(""https://docs.google.com/spreadsheets/d/1XL5vhW3sbDhbH9Cz0tuDiY8C3ctxq1tqvaCgkFb8cCA/edit?usp=sharing"",""นครราชสีมา!J62"")"),0)</f>
        <v>0</v>
      </c>
      <c r="R38" s="79">
        <f t="shared" ca="1" si="9"/>
        <v>0</v>
      </c>
      <c r="S38" s="77">
        <f ca="1">IFERROR(__xludf.DUMMYFUNCTION("IMPORTRANGE(""https://docs.google.com/spreadsheets/d/1C3CXT74ZlgGe6_JY_1olB1XN4rF0dxEuIIF-xsYjHgg/edit?usp=sharing"",""พรบ!AB42"")"),0)</f>
        <v>0</v>
      </c>
      <c r="T38" s="77">
        <f ca="1">IFERROR(__xludf.DUMMYFUNCTION("IMPORTRANGE(""https://docs.google.com/spreadsheets/d/1XL5vhW3sbDhbH9Cz0tuDiY8C3ctxq1tqvaCgkFb8cCA/edit?usp=sharing"",""นครราชสีมา!J63"")"),0)</f>
        <v>0</v>
      </c>
      <c r="U38" s="79">
        <f t="shared" ca="1" si="11"/>
        <v>0</v>
      </c>
    </row>
    <row r="39" spans="1:21" ht="21" customHeight="1">
      <c r="A39" s="73">
        <v>6</v>
      </c>
      <c r="B39" s="74" t="s">
        <v>63</v>
      </c>
      <c r="C39" s="75">
        <f t="shared" ca="1" si="0"/>
        <v>0</v>
      </c>
      <c r="D39" s="76">
        <f t="shared" ca="1" si="31"/>
        <v>0</v>
      </c>
      <c r="E39" s="77">
        <f ca="1">IFERROR(__xludf.DUMMYFUNCTION("IMPORTRANGE(""https://docs.google.com/spreadsheets/d/1C3CXT74ZlgGe6_JY_1olB1XN4rF0dxEuIIF-xsYjHgg/edit?usp=sharing"",""พรบ!Y43"")"),0)</f>
        <v>0</v>
      </c>
      <c r="F39" s="77">
        <f ca="1">IFERROR(__xludf.DUMMYFUNCTION("IMPORTRANGE(""https://docs.google.com/spreadsheets/d/1C3CXT74ZlgGe6_JY_1olB1XN4rF0dxEuIIF-xsYjHgg/edit?usp=sharing"",""พรบ!Z43"")"),0)</f>
        <v>0</v>
      </c>
      <c r="G39" s="77">
        <f ca="1">IFERROR(__xludf.DUMMYFUNCTION("IMPORTRANGE(""https://docs.google.com/spreadsheets/d/1Yj_ptqi66GCucihVvJfMjLAmec39IyEx_6qawtMGysU/edit?usp=sharing"",""สบก!AY43"")"),0)</f>
        <v>0</v>
      </c>
      <c r="H39" s="77">
        <f ca="1">IFERROR(__xludf.DUMMYFUNCTION("IMPORTRANGE(""https://docs.google.com/spreadsheets/d/1Yj_ptqi66GCucihVvJfMjLAmec39IyEx_6qawtMGysU/edit?usp=shBAing"",""สบก!BA43"")"),0)</f>
        <v>0</v>
      </c>
      <c r="I39" s="77">
        <f t="shared" ca="1" si="3"/>
        <v>0</v>
      </c>
      <c r="J39" s="137">
        <f t="shared" ca="1" si="4"/>
        <v>0</v>
      </c>
      <c r="K39" s="77">
        <f ca="1">IFERROR(__xludf.DUMMYFUNCTION("IMPORTRANGE(""https://docs.google.com/spreadsheets/d/1Yj_ptqi66GCucihVvJfMjLAmec39IyEx_6qawtMGysU/edit?usp=sharing"",""สบก!BB43"")"),0)</f>
        <v>0</v>
      </c>
      <c r="L39" s="79">
        <f t="shared" ca="1" si="5"/>
        <v>0</v>
      </c>
      <c r="M39" s="79">
        <f t="shared" ca="1" si="6"/>
        <v>0</v>
      </c>
      <c r="N39" s="79">
        <f ca="1">IFERROR(__xludf.DUMMYFUNCTION("IMPORTRANGE(""https://docs.google.com/spreadsheets/d/1Yj_ptqi66GCucihVvJfMjLAmec39IyEx_6qawtMGysU/edit?usp=sharing"",""สบก!BC43"")"),0)</f>
        <v>0</v>
      </c>
      <c r="O39" s="79">
        <f t="shared" ca="1" si="7"/>
        <v>0</v>
      </c>
      <c r="P39" s="77">
        <f ca="1">IFERROR(__xludf.DUMMYFUNCTION("IMPORTRANGE(""https://docs.google.com/spreadsheets/d/1C3CXT74ZlgGe6_JY_1olB1XN4rF0dxEuIIF-xsYjHgg/edit?usp=sharing"",""พรบ!AA43"")"),0)</f>
        <v>0</v>
      </c>
      <c r="Q39" s="77">
        <f ca="1">IFERROR(__xludf.DUMMYFUNCTION("IMPORTRANGE(""https://docs.google.com/spreadsheets/d/1XL5vhW3sbDhbH9Cz0tuDiY8C3ctxq1tqvaCgkFb8cCA/edit?usp=sharing"",""บึงกาฬ!J62"")"),0)</f>
        <v>0</v>
      </c>
      <c r="R39" s="79">
        <f t="shared" ca="1" si="9"/>
        <v>0</v>
      </c>
      <c r="S39" s="77">
        <f ca="1">IFERROR(__xludf.DUMMYFUNCTION("IMPORTRANGE(""https://docs.google.com/spreadsheets/d/1C3CXT74ZlgGe6_JY_1olB1XN4rF0dxEuIIF-xsYjHgg/edit?usp=sharing"",""พรบ!AB43"")"),0)</f>
        <v>0</v>
      </c>
      <c r="T39" s="77">
        <f ca="1">IFERROR(__xludf.DUMMYFUNCTION("IMPORTRANGE(""https://docs.google.com/spreadsheets/d/1XL5vhW3sbDhbH9Cz0tuDiY8C3ctxq1tqvaCgkFb8cCA/edit?usp=sharing"",""บึงกาฬ!J63"")"),0)</f>
        <v>0</v>
      </c>
      <c r="U39" s="79">
        <f t="shared" ca="1" si="11"/>
        <v>0</v>
      </c>
    </row>
    <row r="40" spans="1:21" ht="21" customHeight="1">
      <c r="A40" s="73">
        <v>7</v>
      </c>
      <c r="B40" s="74" t="s">
        <v>64</v>
      </c>
      <c r="C40" s="75">
        <f t="shared" ca="1" si="0"/>
        <v>82440</v>
      </c>
      <c r="D40" s="76">
        <f t="shared" ca="1" si="31"/>
        <v>82440</v>
      </c>
      <c r="E40" s="77">
        <f ca="1">IFERROR(__xludf.DUMMYFUNCTION("IMPORTRANGE(""https://docs.google.com/spreadsheets/d/1C3CXT74ZlgGe6_JY_1olB1XN4rF0dxEuIIF-xsYjHgg/edit?usp=sharing"",""พรบ!Y44"")"),0)</f>
        <v>0</v>
      </c>
      <c r="F40" s="77">
        <f ca="1">IFERROR(__xludf.DUMMYFUNCTION("IMPORTRANGE(""https://docs.google.com/spreadsheets/d/1C3CXT74ZlgGe6_JY_1olB1XN4rF0dxEuIIF-xsYjHgg/edit?usp=sharing"",""พรบ!Z44"")"),82440)</f>
        <v>82440</v>
      </c>
      <c r="G40" s="77">
        <f ca="1">IFERROR(__xludf.DUMMYFUNCTION("IMPORTRANGE(""https://docs.google.com/spreadsheets/d/1Yj_ptqi66GCucihVvJfMjLAmec39IyEx_6qawtMGysU/edit?usp=sharing"",""สบก!AY44"")"),0)</f>
        <v>0</v>
      </c>
      <c r="H40" s="77">
        <f ca="1">IFERROR(__xludf.DUMMYFUNCTION("IMPORTRANGE(""https://docs.google.com/spreadsheets/d/1Yj_ptqi66GCucihVvJfMjLAmec39IyEx_6qawtMGysU/edit?usp=shBAing"",""สบก!BA44"")"),82440)</f>
        <v>82440</v>
      </c>
      <c r="I40" s="77">
        <f t="shared" ca="1" si="3"/>
        <v>42840</v>
      </c>
      <c r="J40" s="137">
        <f t="shared" ca="1" si="4"/>
        <v>51.965065502183407</v>
      </c>
      <c r="K40" s="77">
        <f ca="1">IFERROR(__xludf.DUMMYFUNCTION("IMPORTRANGE(""https://docs.google.com/spreadsheets/d/1Yj_ptqi66GCucihVvJfMjLAmec39IyEx_6qawtMGysU/edit?usp=sharing"",""สบก!BB44"")"),42840)</f>
        <v>42840</v>
      </c>
      <c r="L40" s="79">
        <f t="shared" ca="1" si="5"/>
        <v>51.965065502183407</v>
      </c>
      <c r="M40" s="79">
        <f t="shared" ca="1" si="6"/>
        <v>51.965065502183407</v>
      </c>
      <c r="N40" s="79">
        <f ca="1">IFERROR(__xludf.DUMMYFUNCTION("IMPORTRANGE(""https://docs.google.com/spreadsheets/d/1Yj_ptqi66GCucihVvJfMjLAmec39IyEx_6qawtMGysU/edit?usp=sharing"",""สบก!BC44"")"),0)</f>
        <v>0</v>
      </c>
      <c r="O40" s="79">
        <f t="shared" ca="1" si="7"/>
        <v>0</v>
      </c>
      <c r="P40" s="77">
        <f ca="1">IFERROR(__xludf.DUMMYFUNCTION("IMPORTRANGE(""https://docs.google.com/spreadsheets/d/1C3CXT74ZlgGe6_JY_1olB1XN4rF0dxEuIIF-xsYjHgg/edit?usp=sharing"",""พรบ!AA44"")"),20)</f>
        <v>20</v>
      </c>
      <c r="Q40" s="77">
        <f ca="1">IFERROR(__xludf.DUMMYFUNCTION("IMPORTRANGE(""https://docs.google.com/spreadsheets/d/1XL5vhW3sbDhbH9Cz0tuDiY8C3ctxq1tqvaCgkFb8cCA/edit?usp=sharing"",""บุรีรัมย์!J62"")"),20)</f>
        <v>20</v>
      </c>
      <c r="R40" s="79">
        <f t="shared" ca="1" si="9"/>
        <v>100</v>
      </c>
      <c r="S40" s="77">
        <f ca="1">IFERROR(__xludf.DUMMYFUNCTION("IMPORTRANGE(""https://docs.google.com/spreadsheets/d/1C3CXT74ZlgGe6_JY_1olB1XN4rF0dxEuIIF-xsYjHgg/edit?usp=sharing"",""พรบ!AB44"")"),20)</f>
        <v>20</v>
      </c>
      <c r="T40" s="77">
        <f ca="1">IFERROR(__xludf.DUMMYFUNCTION("IMPORTRANGE(""https://docs.google.com/spreadsheets/d/1XL5vhW3sbDhbH9Cz0tuDiY8C3ctxq1tqvaCgkFb8cCA/edit?usp=sharing"",""บุรีรัมย์!J63"")"),20)</f>
        <v>20</v>
      </c>
      <c r="U40" s="79">
        <f t="shared" ca="1" si="11"/>
        <v>100</v>
      </c>
    </row>
    <row r="41" spans="1:21" ht="21" customHeight="1">
      <c r="A41" s="73">
        <v>8</v>
      </c>
      <c r="B41" s="74" t="s">
        <v>65</v>
      </c>
      <c r="C41" s="75">
        <f t="shared" ca="1" si="0"/>
        <v>0</v>
      </c>
      <c r="D41" s="76">
        <f t="shared" ca="1" si="31"/>
        <v>0</v>
      </c>
      <c r="E41" s="77">
        <f ca="1">IFERROR(__xludf.DUMMYFUNCTION("IMPORTRANGE(""https://docs.google.com/spreadsheets/d/1C3CXT74ZlgGe6_JY_1olB1XN4rF0dxEuIIF-xsYjHgg/edit?usp=sharing"",""พรบ!Y45"")"),0)</f>
        <v>0</v>
      </c>
      <c r="F41" s="77">
        <f ca="1">IFERROR(__xludf.DUMMYFUNCTION("IMPORTRANGE(""https://docs.google.com/spreadsheets/d/1C3CXT74ZlgGe6_JY_1olB1XN4rF0dxEuIIF-xsYjHgg/edit?usp=sharing"",""พรบ!Z45"")"),0)</f>
        <v>0</v>
      </c>
      <c r="G41" s="77">
        <f ca="1">IFERROR(__xludf.DUMMYFUNCTION("IMPORTRANGE(""https://docs.google.com/spreadsheets/d/1Yj_ptqi66GCucihVvJfMjLAmec39IyEx_6qawtMGysU/edit?usp=sharing"",""สบก!AY45"")"),0)</f>
        <v>0</v>
      </c>
      <c r="H41" s="77">
        <f ca="1">IFERROR(__xludf.DUMMYFUNCTION("IMPORTRANGE(""https://docs.google.com/spreadsheets/d/1Yj_ptqi66GCucihVvJfMjLAmec39IyEx_6qawtMGysU/edit?usp=shBAing"",""สบก!BA45"")"),0)</f>
        <v>0</v>
      </c>
      <c r="I41" s="77">
        <f t="shared" ca="1" si="3"/>
        <v>0</v>
      </c>
      <c r="J41" s="137">
        <f t="shared" ca="1" si="4"/>
        <v>0</v>
      </c>
      <c r="K41" s="77">
        <f ca="1">IFERROR(__xludf.DUMMYFUNCTION("IMPORTRANGE(""https://docs.google.com/spreadsheets/d/1Yj_ptqi66GCucihVvJfMjLAmec39IyEx_6qawtMGysU/edit?usp=sharing"",""สบก!BB45"")"),0)</f>
        <v>0</v>
      </c>
      <c r="L41" s="79">
        <f t="shared" ca="1" si="5"/>
        <v>0</v>
      </c>
      <c r="M41" s="79">
        <f t="shared" ca="1" si="6"/>
        <v>0</v>
      </c>
      <c r="N41" s="79">
        <f ca="1">IFERROR(__xludf.DUMMYFUNCTION("IMPORTRANGE(""https://docs.google.com/spreadsheets/d/1Yj_ptqi66GCucihVvJfMjLAmec39IyEx_6qawtMGysU/edit?usp=sharing"",""สบก!BC45"")"),0)</f>
        <v>0</v>
      </c>
      <c r="O41" s="79">
        <f t="shared" ca="1" si="7"/>
        <v>0</v>
      </c>
      <c r="P41" s="77">
        <f ca="1">IFERROR(__xludf.DUMMYFUNCTION("IMPORTRANGE(""https://docs.google.com/spreadsheets/d/1C3CXT74ZlgGe6_JY_1olB1XN4rF0dxEuIIF-xsYjHgg/edit?usp=sharing"",""พรบ!AA45"")"),0)</f>
        <v>0</v>
      </c>
      <c r="Q41" s="77">
        <f ca="1">IFERROR(__xludf.DUMMYFUNCTION("IMPORTRANGE(""https://docs.google.com/spreadsheets/d/1XL5vhW3sbDhbH9Cz0tuDiY8C3ctxq1tqvaCgkFb8cCA/edit?usp=sharing"",""มหาสารคาม!J62"")"),0)</f>
        <v>0</v>
      </c>
      <c r="R41" s="79">
        <f t="shared" ca="1" si="9"/>
        <v>0</v>
      </c>
      <c r="S41" s="77">
        <f ca="1">IFERROR(__xludf.DUMMYFUNCTION("IMPORTRANGE(""https://docs.google.com/spreadsheets/d/1C3CXT74ZlgGe6_JY_1olB1XN4rF0dxEuIIF-xsYjHgg/edit?usp=sharing"",""พรบ!AB45"")"),0)</f>
        <v>0</v>
      </c>
      <c r="T41" s="77">
        <f ca="1">IFERROR(__xludf.DUMMYFUNCTION("IMPORTRANGE(""https://docs.google.com/spreadsheets/d/1XL5vhW3sbDhbH9Cz0tuDiY8C3ctxq1tqvaCgkFb8cCA/edit?usp=sharing"",""มหาสารคาม!J63"")"),0)</f>
        <v>0</v>
      </c>
      <c r="U41" s="79">
        <f t="shared" ca="1" si="11"/>
        <v>0</v>
      </c>
    </row>
    <row r="42" spans="1:21" ht="21" customHeight="1">
      <c r="A42" s="73">
        <v>9</v>
      </c>
      <c r="B42" s="74" t="s">
        <v>66</v>
      </c>
      <c r="C42" s="75">
        <f t="shared" ca="1" si="0"/>
        <v>0</v>
      </c>
      <c r="D42" s="76">
        <f t="shared" ca="1" si="31"/>
        <v>0</v>
      </c>
      <c r="E42" s="77">
        <f ca="1">IFERROR(__xludf.DUMMYFUNCTION("IMPORTRANGE(""https://docs.google.com/spreadsheets/d/1C3CXT74ZlgGe6_JY_1olB1XN4rF0dxEuIIF-xsYjHgg/edit?usp=sharing"",""พรบ!Y46"")"),0)</f>
        <v>0</v>
      </c>
      <c r="F42" s="77">
        <f ca="1">IFERROR(__xludf.DUMMYFUNCTION("IMPORTRANGE(""https://docs.google.com/spreadsheets/d/1C3CXT74ZlgGe6_JY_1olB1XN4rF0dxEuIIF-xsYjHgg/edit?usp=sharing"",""พรบ!Z46"")"),0)</f>
        <v>0</v>
      </c>
      <c r="G42" s="77">
        <f ca="1">IFERROR(__xludf.DUMMYFUNCTION("IMPORTRANGE(""https://docs.google.com/spreadsheets/d/1Yj_ptqi66GCucihVvJfMjLAmec39IyEx_6qawtMGysU/edit?usp=sharing"",""สบก!AY46"")"),0)</f>
        <v>0</v>
      </c>
      <c r="H42" s="77">
        <f ca="1">IFERROR(__xludf.DUMMYFUNCTION("IMPORTRANGE(""https://docs.google.com/spreadsheets/d/1Yj_ptqi66GCucihVvJfMjLAmec39IyEx_6qawtMGysU/edit?usp=shBAing"",""สบก!BA46"")"),0)</f>
        <v>0</v>
      </c>
      <c r="I42" s="77">
        <f t="shared" ca="1" si="3"/>
        <v>0</v>
      </c>
      <c r="J42" s="137">
        <f t="shared" ca="1" si="4"/>
        <v>0</v>
      </c>
      <c r="K42" s="77">
        <f ca="1">IFERROR(__xludf.DUMMYFUNCTION("IMPORTRANGE(""https://docs.google.com/spreadsheets/d/1Yj_ptqi66GCucihVvJfMjLAmec39IyEx_6qawtMGysU/edit?usp=sharing"",""สบก!BB46"")"),0)</f>
        <v>0</v>
      </c>
      <c r="L42" s="79">
        <f t="shared" ca="1" si="5"/>
        <v>0</v>
      </c>
      <c r="M42" s="79">
        <f t="shared" ca="1" si="6"/>
        <v>0</v>
      </c>
      <c r="N42" s="79">
        <f ca="1">IFERROR(__xludf.DUMMYFUNCTION("IMPORTRANGE(""https://docs.google.com/spreadsheets/d/1Yj_ptqi66GCucihVvJfMjLAmec39IyEx_6qawtMGysU/edit?usp=sharing"",""สบก!BC46"")"),0)</f>
        <v>0</v>
      </c>
      <c r="O42" s="79">
        <f t="shared" ca="1" si="7"/>
        <v>0</v>
      </c>
      <c r="P42" s="77">
        <f ca="1">IFERROR(__xludf.DUMMYFUNCTION("IMPORTRANGE(""https://docs.google.com/spreadsheets/d/1C3CXT74ZlgGe6_JY_1olB1XN4rF0dxEuIIF-xsYjHgg/edit?usp=sharing"",""พรบ!AA46"")"),0)</f>
        <v>0</v>
      </c>
      <c r="Q42" s="77">
        <f ca="1">IFERROR(__xludf.DUMMYFUNCTION("IMPORTRANGE(""https://docs.google.com/spreadsheets/d/1XL5vhW3sbDhbH9Cz0tuDiY8C3ctxq1tqvaCgkFb8cCA/edit?usp=sharing"",""มุกดาหาร!J62"")"),0)</f>
        <v>0</v>
      </c>
      <c r="R42" s="79">
        <f t="shared" ca="1" si="9"/>
        <v>0</v>
      </c>
      <c r="S42" s="77">
        <f ca="1">IFERROR(__xludf.DUMMYFUNCTION("IMPORTRANGE(""https://docs.google.com/spreadsheets/d/1C3CXT74ZlgGe6_JY_1olB1XN4rF0dxEuIIF-xsYjHgg/edit?usp=sharing"",""พรบ!AB46"")"),0)</f>
        <v>0</v>
      </c>
      <c r="T42" s="77">
        <f ca="1">IFERROR(__xludf.DUMMYFUNCTION("IMPORTRANGE(""https://docs.google.com/spreadsheets/d/1XL5vhW3sbDhbH9Cz0tuDiY8C3ctxq1tqvaCgkFb8cCA/edit?usp=sharing"",""มุกดาหาร!J63"")"),0)</f>
        <v>0</v>
      </c>
      <c r="U42" s="79">
        <f t="shared" ca="1" si="11"/>
        <v>0</v>
      </c>
    </row>
    <row r="43" spans="1:21" ht="21" customHeight="1">
      <c r="A43" s="73">
        <v>10</v>
      </c>
      <c r="B43" s="74" t="s">
        <v>67</v>
      </c>
      <c r="C43" s="75">
        <f t="shared" ca="1" si="0"/>
        <v>82440</v>
      </c>
      <c r="D43" s="76">
        <f t="shared" ca="1" si="31"/>
        <v>82440</v>
      </c>
      <c r="E43" s="77">
        <f ca="1">IFERROR(__xludf.DUMMYFUNCTION("IMPORTRANGE(""https://docs.google.com/spreadsheets/d/1C3CXT74ZlgGe6_JY_1olB1XN4rF0dxEuIIF-xsYjHgg/edit?usp=sharing"",""พรบ!Y47"")"),0)</f>
        <v>0</v>
      </c>
      <c r="F43" s="77">
        <f ca="1">IFERROR(__xludf.DUMMYFUNCTION("IMPORTRANGE(""https://docs.google.com/spreadsheets/d/1C3CXT74ZlgGe6_JY_1olB1XN4rF0dxEuIIF-xsYjHgg/edit?usp=sharing"",""พรบ!Z47"")"),82440)</f>
        <v>82440</v>
      </c>
      <c r="G43" s="77">
        <f ca="1">IFERROR(__xludf.DUMMYFUNCTION("IMPORTRANGE(""https://docs.google.com/spreadsheets/d/1Yj_ptqi66GCucihVvJfMjLAmec39IyEx_6qawtMGysU/edit?usp=sharing"",""สบก!AY47"")"),0)</f>
        <v>0</v>
      </c>
      <c r="H43" s="77">
        <f ca="1">IFERROR(__xludf.DUMMYFUNCTION("IMPORTRANGE(""https://docs.google.com/spreadsheets/d/1Yj_ptqi66GCucihVvJfMjLAmec39IyEx_6qawtMGysU/edit?usp=shBAing"",""สบก!BA47"")"),82440)</f>
        <v>82440</v>
      </c>
      <c r="I43" s="77">
        <f t="shared" ca="1" si="3"/>
        <v>48524</v>
      </c>
      <c r="J43" s="137">
        <f t="shared" ca="1" si="4"/>
        <v>58.859776807375063</v>
      </c>
      <c r="K43" s="77">
        <f ca="1">IFERROR(__xludf.DUMMYFUNCTION("IMPORTRANGE(""https://docs.google.com/spreadsheets/d/1Yj_ptqi66GCucihVvJfMjLAmec39IyEx_6qawtMGysU/edit?usp=sharing"",""สบก!BB47"")"),48524)</f>
        <v>48524</v>
      </c>
      <c r="L43" s="79">
        <f t="shared" ca="1" si="5"/>
        <v>58.859776807375063</v>
      </c>
      <c r="M43" s="79">
        <f t="shared" ca="1" si="6"/>
        <v>58.859776807375063</v>
      </c>
      <c r="N43" s="79">
        <f ca="1">IFERROR(__xludf.DUMMYFUNCTION("IMPORTRANGE(""https://docs.google.com/spreadsheets/d/1Yj_ptqi66GCucihVvJfMjLAmec39IyEx_6qawtMGysU/edit?usp=sharing"",""สบก!BC47"")"),0)</f>
        <v>0</v>
      </c>
      <c r="O43" s="79">
        <f t="shared" ca="1" si="7"/>
        <v>0</v>
      </c>
      <c r="P43" s="77">
        <f ca="1">IFERROR(__xludf.DUMMYFUNCTION("IMPORTRANGE(""https://docs.google.com/spreadsheets/d/1C3CXT74ZlgGe6_JY_1olB1XN4rF0dxEuIIF-xsYjHgg/edit?usp=sharing"",""พรบ!AA47"")"),20)</f>
        <v>20</v>
      </c>
      <c r="Q43" s="77">
        <f ca="1">IFERROR(__xludf.DUMMYFUNCTION("IMPORTRANGE(""https://docs.google.com/spreadsheets/d/1XL5vhW3sbDhbH9Cz0tuDiY8C3ctxq1tqvaCgkFb8cCA/edit?usp=sharing"",""ยโสธร!J62"")"),20)</f>
        <v>20</v>
      </c>
      <c r="R43" s="79">
        <f t="shared" ca="1" si="9"/>
        <v>100</v>
      </c>
      <c r="S43" s="77">
        <f ca="1">IFERROR(__xludf.DUMMYFUNCTION("IMPORTRANGE(""https://docs.google.com/spreadsheets/d/1C3CXT74ZlgGe6_JY_1olB1XN4rF0dxEuIIF-xsYjHgg/edit?usp=sharing"",""พรบ!AB47"")"),20)</f>
        <v>20</v>
      </c>
      <c r="T43" s="77">
        <f ca="1">IFERROR(__xludf.DUMMYFUNCTION("IMPORTRANGE(""https://docs.google.com/spreadsheets/d/1XL5vhW3sbDhbH9Cz0tuDiY8C3ctxq1tqvaCgkFb8cCA/edit?usp=sharing"",""ยโสธร!J63"")"),0)</f>
        <v>0</v>
      </c>
      <c r="U43" s="79">
        <f t="shared" ca="1" si="11"/>
        <v>0</v>
      </c>
    </row>
    <row r="44" spans="1:21" ht="21" customHeight="1">
      <c r="A44" s="73">
        <v>11</v>
      </c>
      <c r="B44" s="74" t="s">
        <v>68</v>
      </c>
      <c r="C44" s="75">
        <f t="shared" ca="1" si="0"/>
        <v>0</v>
      </c>
      <c r="D44" s="76">
        <f t="shared" ca="1" si="31"/>
        <v>0</v>
      </c>
      <c r="E44" s="77">
        <f ca="1">IFERROR(__xludf.DUMMYFUNCTION("IMPORTRANGE(""https://docs.google.com/spreadsheets/d/1C3CXT74ZlgGe6_JY_1olB1XN4rF0dxEuIIF-xsYjHgg/edit?usp=sharing"",""พรบ!Y48"")"),0)</f>
        <v>0</v>
      </c>
      <c r="F44" s="77">
        <f ca="1">IFERROR(__xludf.DUMMYFUNCTION("IMPORTRANGE(""https://docs.google.com/spreadsheets/d/1C3CXT74ZlgGe6_JY_1olB1XN4rF0dxEuIIF-xsYjHgg/edit?usp=sharing"",""พรบ!Z48"")"),0)</f>
        <v>0</v>
      </c>
      <c r="G44" s="77">
        <f ca="1">IFERROR(__xludf.DUMMYFUNCTION("IMPORTRANGE(""https://docs.google.com/spreadsheets/d/1Yj_ptqi66GCucihVvJfMjLAmec39IyEx_6qawtMGysU/edit?usp=sharing"",""สบก!AY48"")"),0)</f>
        <v>0</v>
      </c>
      <c r="H44" s="77">
        <f ca="1">IFERROR(__xludf.DUMMYFUNCTION("IMPORTRANGE(""https://docs.google.com/spreadsheets/d/1Yj_ptqi66GCucihVvJfMjLAmec39IyEx_6qawtMGysU/edit?usp=shBAing"",""สบก!BA48"")"),0)</f>
        <v>0</v>
      </c>
      <c r="I44" s="77">
        <f t="shared" ca="1" si="3"/>
        <v>0</v>
      </c>
      <c r="J44" s="137">
        <f t="shared" ca="1" si="4"/>
        <v>0</v>
      </c>
      <c r="K44" s="77">
        <f ca="1">IFERROR(__xludf.DUMMYFUNCTION("IMPORTRANGE(""https://docs.google.com/spreadsheets/d/1Yj_ptqi66GCucihVvJfMjLAmec39IyEx_6qawtMGysU/edit?usp=sharing"",""สบก!BB48"")"),0)</f>
        <v>0</v>
      </c>
      <c r="L44" s="79">
        <f t="shared" ca="1" si="5"/>
        <v>0</v>
      </c>
      <c r="M44" s="79">
        <f t="shared" ca="1" si="6"/>
        <v>0</v>
      </c>
      <c r="N44" s="79">
        <f ca="1">IFERROR(__xludf.DUMMYFUNCTION("IMPORTRANGE(""https://docs.google.com/spreadsheets/d/1Yj_ptqi66GCucihVvJfMjLAmec39IyEx_6qawtMGysU/edit?usp=sharing"",""สบก!BC48"")"),0)</f>
        <v>0</v>
      </c>
      <c r="O44" s="79">
        <f t="shared" ca="1" si="7"/>
        <v>0</v>
      </c>
      <c r="P44" s="77">
        <f ca="1">IFERROR(__xludf.DUMMYFUNCTION("IMPORTRANGE(""https://docs.google.com/spreadsheets/d/1C3CXT74ZlgGe6_JY_1olB1XN4rF0dxEuIIF-xsYjHgg/edit?usp=sharing"",""พรบ!AA48"")"),0)</f>
        <v>0</v>
      </c>
      <c r="Q44" s="77">
        <f ca="1">IFERROR(__xludf.DUMMYFUNCTION("IMPORTRANGE(""https://docs.google.com/spreadsheets/d/1XL5vhW3sbDhbH9Cz0tuDiY8C3ctxq1tqvaCgkFb8cCA/edit?usp=sharing"",""ร้อยเอ็ด!J62"")"),0)</f>
        <v>0</v>
      </c>
      <c r="R44" s="79">
        <f t="shared" ca="1" si="9"/>
        <v>0</v>
      </c>
      <c r="S44" s="77">
        <f ca="1">IFERROR(__xludf.DUMMYFUNCTION("IMPORTRANGE(""https://docs.google.com/spreadsheets/d/1C3CXT74ZlgGe6_JY_1olB1XN4rF0dxEuIIF-xsYjHgg/edit?usp=sharing"",""พรบ!AB48"")"),0)</f>
        <v>0</v>
      </c>
      <c r="T44" s="77">
        <f ca="1">IFERROR(__xludf.DUMMYFUNCTION("IMPORTRANGE(""https://docs.google.com/spreadsheets/d/1XL5vhW3sbDhbH9Cz0tuDiY8C3ctxq1tqvaCgkFb8cCA/edit?usp=sharing"",""ร้อยเอ็ด!J63"")"),0)</f>
        <v>0</v>
      </c>
      <c r="U44" s="79">
        <f t="shared" ca="1" si="11"/>
        <v>0</v>
      </c>
    </row>
    <row r="45" spans="1:21" ht="21" customHeight="1">
      <c r="A45" s="73">
        <v>12</v>
      </c>
      <c r="B45" s="74" t="s">
        <v>69</v>
      </c>
      <c r="C45" s="75">
        <f t="shared" ca="1" si="0"/>
        <v>0</v>
      </c>
      <c r="D45" s="76">
        <f t="shared" ca="1" si="31"/>
        <v>0</v>
      </c>
      <c r="E45" s="77">
        <f ca="1">IFERROR(__xludf.DUMMYFUNCTION("IMPORTRANGE(""https://docs.google.com/spreadsheets/d/1C3CXT74ZlgGe6_JY_1olB1XN4rF0dxEuIIF-xsYjHgg/edit?usp=sharing"",""พรบ!Y49"")"),0)</f>
        <v>0</v>
      </c>
      <c r="F45" s="77">
        <f ca="1">IFERROR(__xludf.DUMMYFUNCTION("IMPORTRANGE(""https://docs.google.com/spreadsheets/d/1C3CXT74ZlgGe6_JY_1olB1XN4rF0dxEuIIF-xsYjHgg/edit?usp=sharing"",""พรบ!Z49"")"),0)</f>
        <v>0</v>
      </c>
      <c r="G45" s="77">
        <f ca="1">IFERROR(__xludf.DUMMYFUNCTION("IMPORTRANGE(""https://docs.google.com/spreadsheets/d/1Yj_ptqi66GCucihVvJfMjLAmec39IyEx_6qawtMGysU/edit?usp=sharing"",""สบก!AY49"")"),0)</f>
        <v>0</v>
      </c>
      <c r="H45" s="77">
        <f ca="1">IFERROR(__xludf.DUMMYFUNCTION("IMPORTRANGE(""https://docs.google.com/spreadsheets/d/1Yj_ptqi66GCucihVvJfMjLAmec39IyEx_6qawtMGysU/edit?usp=shBAing"",""สบก!BA49"")"),0)</f>
        <v>0</v>
      </c>
      <c r="I45" s="77">
        <f t="shared" ca="1" si="3"/>
        <v>0</v>
      </c>
      <c r="J45" s="137">
        <f t="shared" ca="1" si="4"/>
        <v>0</v>
      </c>
      <c r="K45" s="77">
        <f ca="1">IFERROR(__xludf.DUMMYFUNCTION("IMPORTRANGE(""https://docs.google.com/spreadsheets/d/1Yj_ptqi66GCucihVvJfMjLAmec39IyEx_6qawtMGysU/edit?usp=sharing"",""สบก!BB49"")"),0)</f>
        <v>0</v>
      </c>
      <c r="L45" s="79">
        <f t="shared" ca="1" si="5"/>
        <v>0</v>
      </c>
      <c r="M45" s="79">
        <f t="shared" ca="1" si="6"/>
        <v>0</v>
      </c>
      <c r="N45" s="79">
        <f ca="1">IFERROR(__xludf.DUMMYFUNCTION("IMPORTRANGE(""https://docs.google.com/spreadsheets/d/1Yj_ptqi66GCucihVvJfMjLAmec39IyEx_6qawtMGysU/edit?usp=sharing"",""สบก!BC49"")"),0)</f>
        <v>0</v>
      </c>
      <c r="O45" s="79">
        <f t="shared" ca="1" si="7"/>
        <v>0</v>
      </c>
      <c r="P45" s="77">
        <f ca="1">IFERROR(__xludf.DUMMYFUNCTION("IMPORTRANGE(""https://docs.google.com/spreadsheets/d/1C3CXT74ZlgGe6_JY_1olB1XN4rF0dxEuIIF-xsYjHgg/edit?usp=sharing"",""พรบ!AA49"")"),0)</f>
        <v>0</v>
      </c>
      <c r="Q45" s="77">
        <f ca="1">IFERROR(__xludf.DUMMYFUNCTION("IMPORTRANGE(""https://docs.google.com/spreadsheets/d/1XL5vhW3sbDhbH9Cz0tuDiY8C3ctxq1tqvaCgkFb8cCA/edit?usp=sharing"",""เลย!J62"")"),0)</f>
        <v>0</v>
      </c>
      <c r="R45" s="79">
        <f t="shared" ca="1" si="9"/>
        <v>0</v>
      </c>
      <c r="S45" s="77">
        <f ca="1">IFERROR(__xludf.DUMMYFUNCTION("IMPORTRANGE(""https://docs.google.com/spreadsheets/d/1C3CXT74ZlgGe6_JY_1olB1XN4rF0dxEuIIF-xsYjHgg/edit?usp=sharing"",""พรบ!AB49"")"),0)</f>
        <v>0</v>
      </c>
      <c r="T45" s="77">
        <f ca="1">IFERROR(__xludf.DUMMYFUNCTION("IMPORTRANGE(""https://docs.google.com/spreadsheets/d/1XL5vhW3sbDhbH9Cz0tuDiY8C3ctxq1tqvaCgkFb8cCA/edit?usp=sharing"",""เลย!J63"")"),0)</f>
        <v>0</v>
      </c>
      <c r="U45" s="79">
        <f t="shared" ca="1" si="11"/>
        <v>0</v>
      </c>
    </row>
    <row r="46" spans="1:21" ht="21" customHeight="1">
      <c r="A46" s="73">
        <v>13</v>
      </c>
      <c r="B46" s="74" t="s">
        <v>70</v>
      </c>
      <c r="C46" s="75">
        <f t="shared" ca="1" si="0"/>
        <v>0</v>
      </c>
      <c r="D46" s="76">
        <f t="shared" ca="1" si="31"/>
        <v>0</v>
      </c>
      <c r="E46" s="77">
        <f ca="1">IFERROR(__xludf.DUMMYFUNCTION("IMPORTRANGE(""https://docs.google.com/spreadsheets/d/1C3CXT74ZlgGe6_JY_1olB1XN4rF0dxEuIIF-xsYjHgg/edit?usp=sharing"",""พรบ!Y50"")"),0)</f>
        <v>0</v>
      </c>
      <c r="F46" s="77">
        <f ca="1">IFERROR(__xludf.DUMMYFUNCTION("IMPORTRANGE(""https://docs.google.com/spreadsheets/d/1C3CXT74ZlgGe6_JY_1olB1XN4rF0dxEuIIF-xsYjHgg/edit?usp=sharing"",""พรบ!Z50"")"),0)</f>
        <v>0</v>
      </c>
      <c r="G46" s="77">
        <f ca="1">IFERROR(__xludf.DUMMYFUNCTION("IMPORTRANGE(""https://docs.google.com/spreadsheets/d/1Yj_ptqi66GCucihVvJfMjLAmec39IyEx_6qawtMGysU/edit?usp=sharing"",""สบก!AY50"")"),0)</f>
        <v>0</v>
      </c>
      <c r="H46" s="77">
        <f ca="1">IFERROR(__xludf.DUMMYFUNCTION("IMPORTRANGE(""https://docs.google.com/spreadsheets/d/1Yj_ptqi66GCucihVvJfMjLAmec39IyEx_6qawtMGysU/edit?usp=shBAing"",""สบก!BA50"")"),0)</f>
        <v>0</v>
      </c>
      <c r="I46" s="77">
        <f t="shared" ca="1" si="3"/>
        <v>0</v>
      </c>
      <c r="J46" s="137">
        <f t="shared" ca="1" si="4"/>
        <v>0</v>
      </c>
      <c r="K46" s="77">
        <f ca="1">IFERROR(__xludf.DUMMYFUNCTION("IMPORTRANGE(""https://docs.google.com/spreadsheets/d/1Yj_ptqi66GCucihVvJfMjLAmec39IyEx_6qawtMGysU/edit?usp=sharing"",""สบก!BB50"")"),0)</f>
        <v>0</v>
      </c>
      <c r="L46" s="79">
        <f t="shared" ca="1" si="5"/>
        <v>0</v>
      </c>
      <c r="M46" s="79">
        <f t="shared" ca="1" si="6"/>
        <v>0</v>
      </c>
      <c r="N46" s="79">
        <f ca="1">IFERROR(__xludf.DUMMYFUNCTION("IMPORTRANGE(""https://docs.google.com/spreadsheets/d/1Yj_ptqi66GCucihVvJfMjLAmec39IyEx_6qawtMGysU/edit?usp=sharing"",""สบก!BC50"")"),0)</f>
        <v>0</v>
      </c>
      <c r="O46" s="79">
        <f t="shared" ca="1" si="7"/>
        <v>0</v>
      </c>
      <c r="P46" s="77">
        <f ca="1">IFERROR(__xludf.DUMMYFUNCTION("IMPORTRANGE(""https://docs.google.com/spreadsheets/d/1C3CXT74ZlgGe6_JY_1olB1XN4rF0dxEuIIF-xsYjHgg/edit?usp=sharing"",""พรบ!AA50"")"),0)</f>
        <v>0</v>
      </c>
      <c r="Q46" s="77">
        <f ca="1">IFERROR(__xludf.DUMMYFUNCTION("IMPORTRANGE(""https://docs.google.com/spreadsheets/d/1XL5vhW3sbDhbH9Cz0tuDiY8C3ctxq1tqvaCgkFb8cCA/edit?usp=sharing"",""ศรีสะเกษ!J62"")"),0)</f>
        <v>0</v>
      </c>
      <c r="R46" s="79">
        <f t="shared" ca="1" si="9"/>
        <v>0</v>
      </c>
      <c r="S46" s="77">
        <f ca="1">IFERROR(__xludf.DUMMYFUNCTION("IMPORTRANGE(""https://docs.google.com/spreadsheets/d/1C3CXT74ZlgGe6_JY_1olB1XN4rF0dxEuIIF-xsYjHgg/edit?usp=sharing"",""พรบ!AB50"")"),0)</f>
        <v>0</v>
      </c>
      <c r="T46" s="77">
        <f ca="1">IFERROR(__xludf.DUMMYFUNCTION("IMPORTRANGE(""https://docs.google.com/spreadsheets/d/1XL5vhW3sbDhbH9Cz0tuDiY8C3ctxq1tqvaCgkFb8cCA/edit?usp=sharing"",""ศรีสะเกษ!J63"")"),0)</f>
        <v>0</v>
      </c>
      <c r="U46" s="79">
        <f t="shared" ca="1" si="11"/>
        <v>0</v>
      </c>
    </row>
    <row r="47" spans="1:21" ht="21" customHeight="1">
      <c r="A47" s="73">
        <v>14</v>
      </c>
      <c r="B47" s="74" t="s">
        <v>71</v>
      </c>
      <c r="C47" s="75">
        <f t="shared" ca="1" si="0"/>
        <v>0</v>
      </c>
      <c r="D47" s="76">
        <f t="shared" ca="1" si="31"/>
        <v>0</v>
      </c>
      <c r="E47" s="77">
        <f ca="1">IFERROR(__xludf.DUMMYFUNCTION("IMPORTRANGE(""https://docs.google.com/spreadsheets/d/1C3CXT74ZlgGe6_JY_1olB1XN4rF0dxEuIIF-xsYjHgg/edit?usp=sharing"",""พรบ!Y51"")"),0)</f>
        <v>0</v>
      </c>
      <c r="F47" s="77">
        <f ca="1">IFERROR(__xludf.DUMMYFUNCTION("IMPORTRANGE(""https://docs.google.com/spreadsheets/d/1C3CXT74ZlgGe6_JY_1olB1XN4rF0dxEuIIF-xsYjHgg/edit?usp=sharing"",""พรบ!Z51"")"),0)</f>
        <v>0</v>
      </c>
      <c r="G47" s="77">
        <f ca="1">IFERROR(__xludf.DUMMYFUNCTION("IMPORTRANGE(""https://docs.google.com/spreadsheets/d/1Yj_ptqi66GCucihVvJfMjLAmec39IyEx_6qawtMGysU/edit?usp=sharing"",""สบก!AY51"")"),0)</f>
        <v>0</v>
      </c>
      <c r="H47" s="77">
        <f ca="1">IFERROR(__xludf.DUMMYFUNCTION("IMPORTRANGE(""https://docs.google.com/spreadsheets/d/1Yj_ptqi66GCucihVvJfMjLAmec39IyEx_6qawtMGysU/edit?usp=shBAing"",""สบก!BA51"")"),0)</f>
        <v>0</v>
      </c>
      <c r="I47" s="77">
        <f t="shared" ca="1" si="3"/>
        <v>0</v>
      </c>
      <c r="J47" s="137">
        <f t="shared" ca="1" si="4"/>
        <v>0</v>
      </c>
      <c r="K47" s="77">
        <f ca="1">IFERROR(__xludf.DUMMYFUNCTION("IMPORTRANGE(""https://docs.google.com/spreadsheets/d/1Yj_ptqi66GCucihVvJfMjLAmec39IyEx_6qawtMGysU/edit?usp=sharing"",""สบก!BB51"")"),0)</f>
        <v>0</v>
      </c>
      <c r="L47" s="79">
        <f t="shared" ca="1" si="5"/>
        <v>0</v>
      </c>
      <c r="M47" s="79">
        <f t="shared" ca="1" si="6"/>
        <v>0</v>
      </c>
      <c r="N47" s="79">
        <f ca="1">IFERROR(__xludf.DUMMYFUNCTION("IMPORTRANGE(""https://docs.google.com/spreadsheets/d/1Yj_ptqi66GCucihVvJfMjLAmec39IyEx_6qawtMGysU/edit?usp=sharing"",""สบก!BC51"")"),0)</f>
        <v>0</v>
      </c>
      <c r="O47" s="79">
        <f t="shared" ca="1" si="7"/>
        <v>0</v>
      </c>
      <c r="P47" s="77">
        <f ca="1">IFERROR(__xludf.DUMMYFUNCTION("IMPORTRANGE(""https://docs.google.com/spreadsheets/d/1C3CXT74ZlgGe6_JY_1olB1XN4rF0dxEuIIF-xsYjHgg/edit?usp=sharing"",""พรบ!AA51"")"),0)</f>
        <v>0</v>
      </c>
      <c r="Q47" s="77">
        <f ca="1">IFERROR(__xludf.DUMMYFUNCTION("IMPORTRANGE(""https://docs.google.com/spreadsheets/d/1XL5vhW3sbDhbH9Cz0tuDiY8C3ctxq1tqvaCgkFb8cCA/edit?usp=sharing"",""สกลนคร!J62"")"),0)</f>
        <v>0</v>
      </c>
      <c r="R47" s="79">
        <f t="shared" ca="1" si="9"/>
        <v>0</v>
      </c>
      <c r="S47" s="77">
        <f ca="1">IFERROR(__xludf.DUMMYFUNCTION("IMPORTRANGE(""https://docs.google.com/spreadsheets/d/1C3CXT74ZlgGe6_JY_1olB1XN4rF0dxEuIIF-xsYjHgg/edit?usp=sharing"",""พรบ!AB51"")"),0)</f>
        <v>0</v>
      </c>
      <c r="T47" s="77">
        <f ca="1">IFERROR(__xludf.DUMMYFUNCTION("IMPORTRANGE(""https://docs.google.com/spreadsheets/d/1XL5vhW3sbDhbH9Cz0tuDiY8C3ctxq1tqvaCgkFb8cCA/edit?usp=sharing"",""สกลนคร!J63"")"),0)</f>
        <v>0</v>
      </c>
      <c r="U47" s="79">
        <f t="shared" ca="1" si="11"/>
        <v>0</v>
      </c>
    </row>
    <row r="48" spans="1:21" ht="21" customHeight="1">
      <c r="A48" s="73">
        <v>15</v>
      </c>
      <c r="B48" s="74" t="s">
        <v>72</v>
      </c>
      <c r="C48" s="75">
        <f t="shared" ca="1" si="0"/>
        <v>0</v>
      </c>
      <c r="D48" s="76">
        <f t="shared" ca="1" si="31"/>
        <v>0</v>
      </c>
      <c r="E48" s="77">
        <f ca="1">IFERROR(__xludf.DUMMYFUNCTION("IMPORTRANGE(""https://docs.google.com/spreadsheets/d/1C3CXT74ZlgGe6_JY_1olB1XN4rF0dxEuIIF-xsYjHgg/edit?usp=sharing"",""พรบ!Y52"")"),0)</f>
        <v>0</v>
      </c>
      <c r="F48" s="77">
        <f ca="1">IFERROR(__xludf.DUMMYFUNCTION("IMPORTRANGE(""https://docs.google.com/spreadsheets/d/1C3CXT74ZlgGe6_JY_1olB1XN4rF0dxEuIIF-xsYjHgg/edit?usp=sharing"",""พรบ!Z52"")"),0)</f>
        <v>0</v>
      </c>
      <c r="G48" s="77">
        <f ca="1">IFERROR(__xludf.DUMMYFUNCTION("IMPORTRANGE(""https://docs.google.com/spreadsheets/d/1Yj_ptqi66GCucihVvJfMjLAmec39IyEx_6qawtMGysU/edit?usp=sharing"",""สบก!AY52"")"),0)</f>
        <v>0</v>
      </c>
      <c r="H48" s="77">
        <f ca="1">IFERROR(__xludf.DUMMYFUNCTION("IMPORTRANGE(""https://docs.google.com/spreadsheets/d/1Yj_ptqi66GCucihVvJfMjLAmec39IyEx_6qawtMGysU/edit?usp=shBAing"",""สบก!BA52"")"),0)</f>
        <v>0</v>
      </c>
      <c r="I48" s="77">
        <f t="shared" ca="1" si="3"/>
        <v>0</v>
      </c>
      <c r="J48" s="137">
        <f t="shared" ca="1" si="4"/>
        <v>0</v>
      </c>
      <c r="K48" s="77">
        <f ca="1">IFERROR(__xludf.DUMMYFUNCTION("IMPORTRANGE(""https://docs.google.com/spreadsheets/d/1Yj_ptqi66GCucihVvJfMjLAmec39IyEx_6qawtMGysU/edit?usp=sharing"",""สบก!BB52"")"),0)</f>
        <v>0</v>
      </c>
      <c r="L48" s="79">
        <f t="shared" ca="1" si="5"/>
        <v>0</v>
      </c>
      <c r="M48" s="79">
        <f t="shared" ca="1" si="6"/>
        <v>0</v>
      </c>
      <c r="N48" s="79">
        <f ca="1">IFERROR(__xludf.DUMMYFUNCTION("IMPORTRANGE(""https://docs.google.com/spreadsheets/d/1Yj_ptqi66GCucihVvJfMjLAmec39IyEx_6qawtMGysU/edit?usp=sharing"",""สบก!BC52"")"),0)</f>
        <v>0</v>
      </c>
      <c r="O48" s="79">
        <f t="shared" ca="1" si="7"/>
        <v>0</v>
      </c>
      <c r="P48" s="77">
        <f ca="1">IFERROR(__xludf.DUMMYFUNCTION("IMPORTRANGE(""https://docs.google.com/spreadsheets/d/1C3CXT74ZlgGe6_JY_1olB1XN4rF0dxEuIIF-xsYjHgg/edit?usp=sharing"",""พรบ!AA52"")"),0)</f>
        <v>0</v>
      </c>
      <c r="Q48" s="77">
        <f ca="1">IFERROR(__xludf.DUMMYFUNCTION("IMPORTRANGE(""https://docs.google.com/spreadsheets/d/1XL5vhW3sbDhbH9Cz0tuDiY8C3ctxq1tqvaCgkFb8cCA/edit?usp=sharing"",""สุรินทร์!J62"")"),0)</f>
        <v>0</v>
      </c>
      <c r="R48" s="79">
        <f t="shared" ca="1" si="9"/>
        <v>0</v>
      </c>
      <c r="S48" s="77">
        <f ca="1">IFERROR(__xludf.DUMMYFUNCTION("IMPORTRANGE(""https://docs.google.com/spreadsheets/d/1C3CXT74ZlgGe6_JY_1olB1XN4rF0dxEuIIF-xsYjHgg/edit?usp=sharing"",""พรบ!AB52"")"),0)</f>
        <v>0</v>
      </c>
      <c r="T48" s="77">
        <f ca="1">IFERROR(__xludf.DUMMYFUNCTION("IMPORTRANGE(""https://docs.google.com/spreadsheets/d/1XL5vhW3sbDhbH9Cz0tuDiY8C3ctxq1tqvaCgkFb8cCA/edit?usp=sharing"",""สุรินทร์!J63"")"),0)</f>
        <v>0</v>
      </c>
      <c r="U48" s="79">
        <f t="shared" ca="1" si="11"/>
        <v>0</v>
      </c>
    </row>
    <row r="49" spans="1:21" ht="21" customHeight="1">
      <c r="A49" s="73">
        <v>16</v>
      </c>
      <c r="B49" s="74" t="s">
        <v>73</v>
      </c>
      <c r="C49" s="75">
        <f t="shared" ca="1" si="0"/>
        <v>82440</v>
      </c>
      <c r="D49" s="76">
        <f t="shared" ca="1" si="31"/>
        <v>82440</v>
      </c>
      <c r="E49" s="77">
        <f ca="1">IFERROR(__xludf.DUMMYFUNCTION("IMPORTRANGE(""https://docs.google.com/spreadsheets/d/1C3CXT74ZlgGe6_JY_1olB1XN4rF0dxEuIIF-xsYjHgg/edit?usp=sharing"",""พรบ!Y53"")"),0)</f>
        <v>0</v>
      </c>
      <c r="F49" s="77">
        <f ca="1">IFERROR(__xludf.DUMMYFUNCTION("IMPORTRANGE(""https://docs.google.com/spreadsheets/d/1C3CXT74ZlgGe6_JY_1olB1XN4rF0dxEuIIF-xsYjHgg/edit?usp=sharing"",""พรบ!Z53"")"),82440)</f>
        <v>82440</v>
      </c>
      <c r="G49" s="77">
        <f ca="1">IFERROR(__xludf.DUMMYFUNCTION("IMPORTRANGE(""https://docs.google.com/spreadsheets/d/1Yj_ptqi66GCucihVvJfMjLAmec39IyEx_6qawtMGysU/edit?usp=sharing"",""สบก!AY53"")"),0)</f>
        <v>0</v>
      </c>
      <c r="H49" s="77">
        <f ca="1">IFERROR(__xludf.DUMMYFUNCTION("IMPORTRANGE(""https://docs.google.com/spreadsheets/d/1Yj_ptqi66GCucihVvJfMjLAmec39IyEx_6qawtMGysU/edit?usp=shBAing"",""สบก!BA53"")"),82440)</f>
        <v>82440</v>
      </c>
      <c r="I49" s="77">
        <f t="shared" ca="1" si="3"/>
        <v>25680</v>
      </c>
      <c r="J49" s="137">
        <f t="shared" ca="1" si="4"/>
        <v>31.149927219796215</v>
      </c>
      <c r="K49" s="77">
        <f ca="1">IFERROR(__xludf.DUMMYFUNCTION("IMPORTRANGE(""https://docs.google.com/spreadsheets/d/1Yj_ptqi66GCucihVvJfMjLAmec39IyEx_6qawtMGysU/edit?usp=sharing"",""สบก!BB53"")"),25680)</f>
        <v>25680</v>
      </c>
      <c r="L49" s="79">
        <f t="shared" ca="1" si="5"/>
        <v>31.149927219796215</v>
      </c>
      <c r="M49" s="79">
        <f t="shared" ca="1" si="6"/>
        <v>31.149927219796215</v>
      </c>
      <c r="N49" s="79">
        <f ca="1">IFERROR(__xludf.DUMMYFUNCTION("IMPORTRANGE(""https://docs.google.com/spreadsheets/d/1Yj_ptqi66GCucihVvJfMjLAmec39IyEx_6qawtMGysU/edit?usp=sharing"",""สบก!BC53"")"),0)</f>
        <v>0</v>
      </c>
      <c r="O49" s="79">
        <f t="shared" ca="1" si="7"/>
        <v>0</v>
      </c>
      <c r="P49" s="77">
        <f ca="1">IFERROR(__xludf.DUMMYFUNCTION("IMPORTRANGE(""https://docs.google.com/spreadsheets/d/1C3CXT74ZlgGe6_JY_1olB1XN4rF0dxEuIIF-xsYjHgg/edit?usp=sharing"",""พรบ!AA53"")"),20)</f>
        <v>20</v>
      </c>
      <c r="Q49" s="77">
        <f ca="1">IFERROR(__xludf.DUMMYFUNCTION("IMPORTRANGE(""https://docs.google.com/spreadsheets/d/1XL5vhW3sbDhbH9Cz0tuDiY8C3ctxq1tqvaCgkFb8cCA/edit?usp=sharing"",""หนองคาย!J62"")"),20)</f>
        <v>20</v>
      </c>
      <c r="R49" s="79">
        <f t="shared" ca="1" si="9"/>
        <v>100</v>
      </c>
      <c r="S49" s="77">
        <f ca="1">IFERROR(__xludf.DUMMYFUNCTION("IMPORTRANGE(""https://docs.google.com/spreadsheets/d/1C3CXT74ZlgGe6_JY_1olB1XN4rF0dxEuIIF-xsYjHgg/edit?usp=sharing"",""พรบ!AB53"")"),20)</f>
        <v>20</v>
      </c>
      <c r="T49" s="77">
        <f ca="1">IFERROR(__xludf.DUMMYFUNCTION("IMPORTRANGE(""https://docs.google.com/spreadsheets/d/1XL5vhW3sbDhbH9Cz0tuDiY8C3ctxq1tqvaCgkFb8cCA/edit?usp=sharing"",""หนองคาย!J63"")"),20)</f>
        <v>20</v>
      </c>
      <c r="U49" s="79">
        <f t="shared" ca="1" si="11"/>
        <v>100</v>
      </c>
    </row>
    <row r="50" spans="1:21" ht="21" customHeight="1">
      <c r="A50" s="73">
        <v>17</v>
      </c>
      <c r="B50" s="74" t="s">
        <v>74</v>
      </c>
      <c r="C50" s="75">
        <f t="shared" ca="1" si="0"/>
        <v>0</v>
      </c>
      <c r="D50" s="76">
        <f t="shared" ca="1" si="31"/>
        <v>0</v>
      </c>
      <c r="E50" s="77">
        <f ca="1">IFERROR(__xludf.DUMMYFUNCTION("IMPORTRANGE(""https://docs.google.com/spreadsheets/d/1C3CXT74ZlgGe6_JY_1olB1XN4rF0dxEuIIF-xsYjHgg/edit?usp=sharing"",""พรบ!Y54"")"),0)</f>
        <v>0</v>
      </c>
      <c r="F50" s="77">
        <f ca="1">IFERROR(__xludf.DUMMYFUNCTION("IMPORTRANGE(""https://docs.google.com/spreadsheets/d/1C3CXT74ZlgGe6_JY_1olB1XN4rF0dxEuIIF-xsYjHgg/edit?usp=sharing"",""พรบ!Z54"")"),0)</f>
        <v>0</v>
      </c>
      <c r="G50" s="77">
        <f ca="1">IFERROR(__xludf.DUMMYFUNCTION("IMPORTRANGE(""https://docs.google.com/spreadsheets/d/1Yj_ptqi66GCucihVvJfMjLAmec39IyEx_6qawtMGysU/edit?usp=sharing"",""สบก!AY54"")"),0)</f>
        <v>0</v>
      </c>
      <c r="H50" s="77">
        <f ca="1">IFERROR(__xludf.DUMMYFUNCTION("IMPORTRANGE(""https://docs.google.com/spreadsheets/d/1Yj_ptqi66GCucihVvJfMjLAmec39IyEx_6qawtMGysU/edit?usp=shBAing"",""สบก!BA54"")"),0)</f>
        <v>0</v>
      </c>
      <c r="I50" s="77">
        <f t="shared" ca="1" si="3"/>
        <v>0</v>
      </c>
      <c r="J50" s="137">
        <f t="shared" ca="1" si="4"/>
        <v>0</v>
      </c>
      <c r="K50" s="77">
        <f ca="1">IFERROR(__xludf.DUMMYFUNCTION("IMPORTRANGE(""https://docs.google.com/spreadsheets/d/1Yj_ptqi66GCucihVvJfMjLAmec39IyEx_6qawtMGysU/edit?usp=sharing"",""สบก!BB54"")"),0)</f>
        <v>0</v>
      </c>
      <c r="L50" s="79">
        <f t="shared" ca="1" si="5"/>
        <v>0</v>
      </c>
      <c r="M50" s="79">
        <f t="shared" ca="1" si="6"/>
        <v>0</v>
      </c>
      <c r="N50" s="79">
        <f ca="1">IFERROR(__xludf.DUMMYFUNCTION("IMPORTRANGE(""https://docs.google.com/spreadsheets/d/1Yj_ptqi66GCucihVvJfMjLAmec39IyEx_6qawtMGysU/edit?usp=sharing"",""สบก!BC54"")"),0)</f>
        <v>0</v>
      </c>
      <c r="O50" s="79">
        <f t="shared" ca="1" si="7"/>
        <v>0</v>
      </c>
      <c r="P50" s="77">
        <f ca="1">IFERROR(__xludf.DUMMYFUNCTION("IMPORTRANGE(""https://docs.google.com/spreadsheets/d/1C3CXT74ZlgGe6_JY_1olB1XN4rF0dxEuIIF-xsYjHgg/edit?usp=sharing"",""พรบ!AA54"")"),0)</f>
        <v>0</v>
      </c>
      <c r="Q50" s="77">
        <f ca="1">IFERROR(__xludf.DUMMYFUNCTION("IMPORTRANGE(""https://docs.google.com/spreadsheets/d/1XL5vhW3sbDhbH9Cz0tuDiY8C3ctxq1tqvaCgkFb8cCA/edit?usp=sharing"",""หนองบัวลำภู!J62"")"),0)</f>
        <v>0</v>
      </c>
      <c r="R50" s="79">
        <f t="shared" ca="1" si="9"/>
        <v>0</v>
      </c>
      <c r="S50" s="77">
        <f ca="1">IFERROR(__xludf.DUMMYFUNCTION("IMPORTRANGE(""https://docs.google.com/spreadsheets/d/1C3CXT74ZlgGe6_JY_1olB1XN4rF0dxEuIIF-xsYjHgg/edit?usp=sharing"",""พรบ!AB54"")"),0)</f>
        <v>0</v>
      </c>
      <c r="T50" s="77">
        <f ca="1">IFERROR(__xludf.DUMMYFUNCTION("IMPORTRANGE(""https://docs.google.com/spreadsheets/d/1XL5vhW3sbDhbH9Cz0tuDiY8C3ctxq1tqvaCgkFb8cCA/edit?usp=sharing"",""หนองบัวลำภู!J63"")"),0)</f>
        <v>0</v>
      </c>
      <c r="U50" s="79">
        <f t="shared" ca="1" si="11"/>
        <v>0</v>
      </c>
    </row>
    <row r="51" spans="1:21" ht="21" customHeight="1">
      <c r="A51" s="73">
        <v>18</v>
      </c>
      <c r="B51" s="74" t="s">
        <v>75</v>
      </c>
      <c r="C51" s="75">
        <f t="shared" ca="1" si="0"/>
        <v>0</v>
      </c>
      <c r="D51" s="76">
        <f t="shared" ca="1" si="31"/>
        <v>0</v>
      </c>
      <c r="E51" s="77">
        <f ca="1">IFERROR(__xludf.DUMMYFUNCTION("IMPORTRANGE(""https://docs.google.com/spreadsheets/d/1C3CXT74ZlgGe6_JY_1olB1XN4rF0dxEuIIF-xsYjHgg/edit?usp=sharing"",""พรบ!Y55"")"),0)</f>
        <v>0</v>
      </c>
      <c r="F51" s="77">
        <f ca="1">IFERROR(__xludf.DUMMYFUNCTION("IMPORTRANGE(""https://docs.google.com/spreadsheets/d/1C3CXT74ZlgGe6_JY_1olB1XN4rF0dxEuIIF-xsYjHgg/edit?usp=sharing"",""พรบ!Z55"")"),0)</f>
        <v>0</v>
      </c>
      <c r="G51" s="77">
        <f ca="1">IFERROR(__xludf.DUMMYFUNCTION("IMPORTRANGE(""https://docs.google.com/spreadsheets/d/1Yj_ptqi66GCucihVvJfMjLAmec39IyEx_6qawtMGysU/edit?usp=sharing"",""สบก!AY55"")"),0)</f>
        <v>0</v>
      </c>
      <c r="H51" s="77">
        <f ca="1">IFERROR(__xludf.DUMMYFUNCTION("IMPORTRANGE(""https://docs.google.com/spreadsheets/d/1Yj_ptqi66GCucihVvJfMjLAmec39IyEx_6qawtMGysU/edit?usp=shBAing"",""สบก!BA55"")"),0)</f>
        <v>0</v>
      </c>
      <c r="I51" s="77">
        <f t="shared" ca="1" si="3"/>
        <v>0</v>
      </c>
      <c r="J51" s="137">
        <f t="shared" ca="1" si="4"/>
        <v>0</v>
      </c>
      <c r="K51" s="77">
        <f ca="1">IFERROR(__xludf.DUMMYFUNCTION("IMPORTRANGE(""https://docs.google.com/spreadsheets/d/1Yj_ptqi66GCucihVvJfMjLAmec39IyEx_6qawtMGysU/edit?usp=sharing"",""สบก!BB55"")"),0)</f>
        <v>0</v>
      </c>
      <c r="L51" s="79">
        <f t="shared" ca="1" si="5"/>
        <v>0</v>
      </c>
      <c r="M51" s="79">
        <f t="shared" ca="1" si="6"/>
        <v>0</v>
      </c>
      <c r="N51" s="79">
        <f ca="1">IFERROR(__xludf.DUMMYFUNCTION("IMPORTRANGE(""https://docs.google.com/spreadsheets/d/1Yj_ptqi66GCucihVvJfMjLAmec39IyEx_6qawtMGysU/edit?usp=sharing"",""สบก!BC55"")"),0)</f>
        <v>0</v>
      </c>
      <c r="O51" s="79">
        <f t="shared" ca="1" si="7"/>
        <v>0</v>
      </c>
      <c r="P51" s="77">
        <f ca="1">IFERROR(__xludf.DUMMYFUNCTION("IMPORTRANGE(""https://docs.google.com/spreadsheets/d/1C3CXT74ZlgGe6_JY_1olB1XN4rF0dxEuIIF-xsYjHgg/edit?usp=sharing"",""พรบ!AA55"")"),0)</f>
        <v>0</v>
      </c>
      <c r="Q51" s="77">
        <f ca="1">IFERROR(__xludf.DUMMYFUNCTION("IMPORTRANGE(""https://docs.google.com/spreadsheets/d/1XL5vhW3sbDhbH9Cz0tuDiY8C3ctxq1tqvaCgkFb8cCA/edit?usp=sharing"",""อำนาจเจริญ!J62"")"),0)</f>
        <v>0</v>
      </c>
      <c r="R51" s="79">
        <f t="shared" ca="1" si="9"/>
        <v>0</v>
      </c>
      <c r="S51" s="77">
        <f ca="1">IFERROR(__xludf.DUMMYFUNCTION("IMPORTRANGE(""https://docs.google.com/spreadsheets/d/1C3CXT74ZlgGe6_JY_1olB1XN4rF0dxEuIIF-xsYjHgg/edit?usp=sharing"",""พรบ!AB55"")"),0)</f>
        <v>0</v>
      </c>
      <c r="T51" s="77">
        <f ca="1">IFERROR(__xludf.DUMMYFUNCTION("IMPORTRANGE(""https://docs.google.com/spreadsheets/d/1XL5vhW3sbDhbH9Cz0tuDiY8C3ctxq1tqvaCgkFb8cCA/edit?usp=sharing"",""อำนาจเจริญ!J63"")"),0)</f>
        <v>0</v>
      </c>
      <c r="U51" s="79">
        <f t="shared" ca="1" si="11"/>
        <v>0</v>
      </c>
    </row>
    <row r="52" spans="1:21" ht="21" customHeight="1">
      <c r="A52" s="73">
        <v>19</v>
      </c>
      <c r="B52" s="74" t="s">
        <v>76</v>
      </c>
      <c r="C52" s="75">
        <f t="shared" ca="1" si="0"/>
        <v>82440</v>
      </c>
      <c r="D52" s="76">
        <f t="shared" ca="1" si="31"/>
        <v>82440</v>
      </c>
      <c r="E52" s="77">
        <f ca="1">IFERROR(__xludf.DUMMYFUNCTION("IMPORTRANGE(""https://docs.google.com/spreadsheets/d/1C3CXT74ZlgGe6_JY_1olB1XN4rF0dxEuIIF-xsYjHgg/edit?usp=sharing"",""พรบ!Y56"")"),0)</f>
        <v>0</v>
      </c>
      <c r="F52" s="77">
        <f ca="1">IFERROR(__xludf.DUMMYFUNCTION("IMPORTRANGE(""https://docs.google.com/spreadsheets/d/1C3CXT74ZlgGe6_JY_1olB1XN4rF0dxEuIIF-xsYjHgg/edit?usp=sharing"",""พรบ!Z56"")"),82440)</f>
        <v>82440</v>
      </c>
      <c r="G52" s="77">
        <f ca="1">IFERROR(__xludf.DUMMYFUNCTION("IMPORTRANGE(""https://docs.google.com/spreadsheets/d/1Yj_ptqi66GCucihVvJfMjLAmec39IyEx_6qawtMGysU/edit?usp=sharing"",""สบก!AY56"")"),0)</f>
        <v>0</v>
      </c>
      <c r="H52" s="77">
        <f ca="1">IFERROR(__xludf.DUMMYFUNCTION("IMPORTRANGE(""https://docs.google.com/spreadsheets/d/1Yj_ptqi66GCucihVvJfMjLAmec39IyEx_6qawtMGysU/edit?usp=shBAing"",""สบก!BA56"")"),82440)</f>
        <v>82440</v>
      </c>
      <c r="I52" s="77">
        <f t="shared" ca="1" si="3"/>
        <v>55043</v>
      </c>
      <c r="J52" s="137">
        <f t="shared" ca="1" si="4"/>
        <v>66.767345948568661</v>
      </c>
      <c r="K52" s="77">
        <f ca="1">IFERROR(__xludf.DUMMYFUNCTION("IMPORTRANGE(""https://docs.google.com/spreadsheets/d/1Yj_ptqi66GCucihVvJfMjLAmec39IyEx_6qawtMGysU/edit?usp=sharing"",""สบก!BB56"")"),55043)</f>
        <v>55043</v>
      </c>
      <c r="L52" s="79">
        <f t="shared" ca="1" si="5"/>
        <v>66.767345948568661</v>
      </c>
      <c r="M52" s="79">
        <f t="shared" ca="1" si="6"/>
        <v>66.767345948568661</v>
      </c>
      <c r="N52" s="79">
        <f ca="1">IFERROR(__xludf.DUMMYFUNCTION("IMPORTRANGE(""https://docs.google.com/spreadsheets/d/1Yj_ptqi66GCucihVvJfMjLAmec39IyEx_6qawtMGysU/edit?usp=sharing"",""สบก!BC56"")"),0)</f>
        <v>0</v>
      </c>
      <c r="O52" s="79">
        <f t="shared" ca="1" si="7"/>
        <v>0</v>
      </c>
      <c r="P52" s="77">
        <f ca="1">IFERROR(__xludf.DUMMYFUNCTION("IMPORTRANGE(""https://docs.google.com/spreadsheets/d/1C3CXT74ZlgGe6_JY_1olB1XN4rF0dxEuIIF-xsYjHgg/edit?usp=sharing"",""พรบ!AA56"")"),20)</f>
        <v>20</v>
      </c>
      <c r="Q52" s="77">
        <f ca="1">IFERROR(__xludf.DUMMYFUNCTION("IMPORTRANGE(""https://docs.google.com/spreadsheets/d/1XL5vhW3sbDhbH9Cz0tuDiY8C3ctxq1tqvaCgkFb8cCA/edit?usp=sharing"",""อุดรธานี!J62"")"),20)</f>
        <v>20</v>
      </c>
      <c r="R52" s="79">
        <f t="shared" ca="1" si="9"/>
        <v>100</v>
      </c>
      <c r="S52" s="77">
        <f ca="1">IFERROR(__xludf.DUMMYFUNCTION("IMPORTRANGE(""https://docs.google.com/spreadsheets/d/1C3CXT74ZlgGe6_JY_1olB1XN4rF0dxEuIIF-xsYjHgg/edit?usp=sharing"",""พรบ!AB56"")"),20)</f>
        <v>20</v>
      </c>
      <c r="T52" s="77">
        <f ca="1">IFERROR(__xludf.DUMMYFUNCTION("IMPORTRANGE(""https://docs.google.com/spreadsheets/d/1XL5vhW3sbDhbH9Cz0tuDiY8C3ctxq1tqvaCgkFb8cCA/edit?usp=sharing"",""อุดรธานี!J63"")"),20)</f>
        <v>20</v>
      </c>
      <c r="U52" s="79">
        <f t="shared" ca="1" si="11"/>
        <v>100</v>
      </c>
    </row>
    <row r="53" spans="1:21" ht="21" customHeight="1">
      <c r="A53" s="84">
        <v>20</v>
      </c>
      <c r="B53" s="85" t="s">
        <v>77</v>
      </c>
      <c r="C53" s="86">
        <f t="shared" ca="1" si="0"/>
        <v>0</v>
      </c>
      <c r="D53" s="87">
        <f t="shared" ca="1" si="31"/>
        <v>0</v>
      </c>
      <c r="E53" s="88">
        <f ca="1">IFERROR(__xludf.DUMMYFUNCTION("IMPORTRANGE(""https://docs.google.com/spreadsheets/d/1C3CXT74ZlgGe6_JY_1olB1XN4rF0dxEuIIF-xsYjHgg/edit?usp=sharing"",""พรบ!Y57"")"),0)</f>
        <v>0</v>
      </c>
      <c r="F53" s="88">
        <f ca="1">IFERROR(__xludf.DUMMYFUNCTION("IMPORTRANGE(""https://docs.google.com/spreadsheets/d/1C3CXT74ZlgGe6_JY_1olB1XN4rF0dxEuIIF-xsYjHgg/edit?usp=sharing"",""พรบ!Z57"")"),0)</f>
        <v>0</v>
      </c>
      <c r="G53" s="88">
        <f ca="1">IFERROR(__xludf.DUMMYFUNCTION("IMPORTRANGE(""https://docs.google.com/spreadsheets/d/1Yj_ptqi66GCucihVvJfMjLAmec39IyEx_6qawtMGysU/edit?usp=sharing"",""สบก!AY57"")"),0)</f>
        <v>0</v>
      </c>
      <c r="H53" s="88">
        <f ca="1">IFERROR(__xludf.DUMMYFUNCTION("IMPORTRANGE(""https://docs.google.com/spreadsheets/d/1Yj_ptqi66GCucihVvJfMjLAmec39IyEx_6qawtMGysU/edit?usp=shBAing"",""สบก!BA57"")"),0)</f>
        <v>0</v>
      </c>
      <c r="I53" s="88">
        <f t="shared" ca="1" si="3"/>
        <v>0</v>
      </c>
      <c r="J53" s="138">
        <f t="shared" ca="1" si="4"/>
        <v>0</v>
      </c>
      <c r="K53" s="88">
        <f ca="1">IFERROR(__xludf.DUMMYFUNCTION("IMPORTRANGE(""https://docs.google.com/spreadsheets/d/1Yj_ptqi66GCucihVvJfMjLAmec39IyEx_6qawtMGysU/edit?usp=sharing"",""สบก!BB57"")"),0)</f>
        <v>0</v>
      </c>
      <c r="L53" s="90">
        <f t="shared" ca="1" si="5"/>
        <v>0</v>
      </c>
      <c r="M53" s="90">
        <f t="shared" ca="1" si="6"/>
        <v>0</v>
      </c>
      <c r="N53" s="90">
        <f ca="1">IFERROR(__xludf.DUMMYFUNCTION("IMPORTRANGE(""https://docs.google.com/spreadsheets/d/1Yj_ptqi66GCucihVvJfMjLAmec39IyEx_6qawtMGysU/edit?usp=sharing"",""สบก!BC57"")"),0)</f>
        <v>0</v>
      </c>
      <c r="O53" s="90">
        <f t="shared" ca="1" si="7"/>
        <v>0</v>
      </c>
      <c r="P53" s="88">
        <f ca="1">IFERROR(__xludf.DUMMYFUNCTION("IMPORTRANGE(""https://docs.google.com/spreadsheets/d/1C3CXT74ZlgGe6_JY_1olB1XN4rF0dxEuIIF-xsYjHgg/edit?usp=sharing"",""พรบ!AA57"")"),0)</f>
        <v>0</v>
      </c>
      <c r="Q53" s="88">
        <f ca="1">IFERROR(__xludf.DUMMYFUNCTION("IMPORTRANGE(""https://docs.google.com/spreadsheets/d/1XL5vhW3sbDhbH9Cz0tuDiY8C3ctxq1tqvaCgkFb8cCA/edit?usp=sharing"",""อุบลราชธานี!J62"")"),0)</f>
        <v>0</v>
      </c>
      <c r="R53" s="90">
        <f t="shared" ca="1" si="9"/>
        <v>0</v>
      </c>
      <c r="S53" s="88">
        <f ca="1">IFERROR(__xludf.DUMMYFUNCTION("IMPORTRANGE(""https://docs.google.com/spreadsheets/d/1C3CXT74ZlgGe6_JY_1olB1XN4rF0dxEuIIF-xsYjHgg/edit?usp=sharing"",""พรบ!AB57"")"),0)</f>
        <v>0</v>
      </c>
      <c r="T53" s="88">
        <f ca="1">IFERROR(__xludf.DUMMYFUNCTION("IMPORTRANGE(""https://docs.google.com/spreadsheets/d/1XL5vhW3sbDhbH9Cz0tuDiY8C3ctxq1tqvaCgkFb8cCA/edit?usp=sharing"",""อุบลราชธานี!J63"")"),0)</f>
        <v>0</v>
      </c>
      <c r="U53" s="90">
        <f t="shared" ca="1" si="11"/>
        <v>0</v>
      </c>
    </row>
    <row r="54" spans="1:21" ht="21" customHeight="1">
      <c r="A54" s="679" t="s">
        <v>78</v>
      </c>
      <c r="B54" s="678"/>
      <c r="C54" s="94">
        <f t="shared" ca="1" si="0"/>
        <v>441990</v>
      </c>
      <c r="D54" s="95">
        <f t="shared" ref="D54:H54" ca="1" si="32">SUM(D55:D75)</f>
        <v>441990</v>
      </c>
      <c r="E54" s="95">
        <f t="shared" ca="1" si="32"/>
        <v>0</v>
      </c>
      <c r="F54" s="95">
        <f t="shared" ca="1" si="32"/>
        <v>441990</v>
      </c>
      <c r="G54" s="95">
        <f t="shared" ca="1" si="32"/>
        <v>0</v>
      </c>
      <c r="H54" s="95">
        <f t="shared" ca="1" si="32"/>
        <v>441990</v>
      </c>
      <c r="I54" s="95">
        <f t="shared" ca="1" si="3"/>
        <v>220648</v>
      </c>
      <c r="J54" s="139">
        <f t="shared" ca="1" si="4"/>
        <v>49.921491436457842</v>
      </c>
      <c r="K54" s="95">
        <f ca="1">SUM(K55:K75)</f>
        <v>220648</v>
      </c>
      <c r="L54" s="97">
        <f t="shared" ca="1" si="5"/>
        <v>49.921491436457842</v>
      </c>
      <c r="M54" s="97">
        <f t="shared" ca="1" si="6"/>
        <v>49.921491436457842</v>
      </c>
      <c r="N54" s="97">
        <f ca="1">SUM(N55:N75)</f>
        <v>0</v>
      </c>
      <c r="O54" s="97">
        <f t="shared" ca="1" si="7"/>
        <v>0</v>
      </c>
      <c r="P54" s="95">
        <f t="shared" ref="P54:Q54" ca="1" si="33">SUM(P55:P75)</f>
        <v>105</v>
      </c>
      <c r="Q54" s="95">
        <f t="shared" ca="1" si="33"/>
        <v>105</v>
      </c>
      <c r="R54" s="97">
        <f t="shared" ca="1" si="9"/>
        <v>100</v>
      </c>
      <c r="S54" s="95">
        <f t="shared" ref="S54:T54" ca="1" si="34">SUM(S55:S75)</f>
        <v>105</v>
      </c>
      <c r="T54" s="95">
        <f t="shared" ca="1" si="34"/>
        <v>68</v>
      </c>
      <c r="U54" s="97">
        <f t="shared" ca="1" si="11"/>
        <v>64.761904761904759</v>
      </c>
    </row>
    <row r="55" spans="1:21" ht="21" customHeight="1">
      <c r="A55" s="63">
        <v>1</v>
      </c>
      <c r="B55" s="64" t="s">
        <v>79</v>
      </c>
      <c r="C55" s="65">
        <f t="shared" ca="1" si="0"/>
        <v>82440</v>
      </c>
      <c r="D55" s="66">
        <f t="shared" ref="D55:D75" ca="1" si="35">+E55+F55</f>
        <v>82440</v>
      </c>
      <c r="E55" s="67">
        <f ca="1">IFERROR(__xludf.DUMMYFUNCTION("IMPORTRANGE(""https://docs.google.com/spreadsheets/d/1C3CXT74ZlgGe6_JY_1olB1XN4rF0dxEuIIF-xsYjHgg/edit?usp=sharing"",""พรบ!Y59"")"),0)</f>
        <v>0</v>
      </c>
      <c r="F55" s="67">
        <f ca="1">IFERROR(__xludf.DUMMYFUNCTION("IMPORTRANGE(""https://docs.google.com/spreadsheets/d/1C3CXT74ZlgGe6_JY_1olB1XN4rF0dxEuIIF-xsYjHgg/edit?usp=sharing"",""พรบ!Z59"")"),82440)</f>
        <v>82440</v>
      </c>
      <c r="G55" s="67">
        <f ca="1">IFERROR(__xludf.DUMMYFUNCTION("IMPORTRANGE(""https://docs.google.com/spreadsheets/d/1Yj_ptqi66GCucihVvJfMjLAmec39IyEx_6qawtMGysU/edit?usp=sharing"",""สบก!AY59"")"),0)</f>
        <v>0</v>
      </c>
      <c r="H55" s="67">
        <f ca="1">IFERROR(__xludf.DUMMYFUNCTION("IMPORTRANGE(""https://docs.google.com/spreadsheets/d/1Yj_ptqi66GCucihVvJfMjLAmec39IyEx_6qawtMGysU/edit?usp=shBAing"",""สบก!BA59"")"),82440)</f>
        <v>82440</v>
      </c>
      <c r="I55" s="67">
        <f t="shared" ca="1" si="3"/>
        <v>40040</v>
      </c>
      <c r="J55" s="136">
        <f t="shared" ca="1" si="4"/>
        <v>48.568655992236778</v>
      </c>
      <c r="K55" s="67">
        <f ca="1">IFERROR(__xludf.DUMMYFUNCTION("IMPORTRANGE(""https://docs.google.com/spreadsheets/d/1Yj_ptqi66GCucihVvJfMjLAmec39IyEx_6qawtMGysU/edit?usp=sharing"",""สบก!BB59"")"),40040)</f>
        <v>40040</v>
      </c>
      <c r="L55" s="70">
        <f t="shared" ca="1" si="5"/>
        <v>48.568655992236778</v>
      </c>
      <c r="M55" s="70">
        <f t="shared" ca="1" si="6"/>
        <v>48.568655992236778</v>
      </c>
      <c r="N55" s="70">
        <f ca="1">IFERROR(__xludf.DUMMYFUNCTION("IMPORTRANGE(""https://docs.google.com/spreadsheets/d/1Yj_ptqi66GCucihVvJfMjLAmec39IyEx_6qawtMGysU/edit?usp=sharing"",""สบก!BC59"")"),0)</f>
        <v>0</v>
      </c>
      <c r="O55" s="70">
        <f t="shared" ca="1" si="7"/>
        <v>0</v>
      </c>
      <c r="P55" s="67">
        <f ca="1">IFERROR(__xludf.DUMMYFUNCTION("IMPORTRANGE(""https://docs.google.com/spreadsheets/d/1C3CXT74ZlgGe6_JY_1olB1XN4rF0dxEuIIF-xsYjHgg/edit?usp=sharing"",""พรบ!AA59"")"),20)</f>
        <v>20</v>
      </c>
      <c r="Q55" s="67">
        <f ca="1">IFERROR(__xludf.DUMMYFUNCTION("IMPORTRANGE(""https://docs.google.com/spreadsheets/d/1SX6NBoVAgQJ6U1MVXOaj8PK2l7WJ3RER9xtqwdhxkhw/edit?usp=sharing"",""กาญจนบุรี!J62"")"),20)</f>
        <v>20</v>
      </c>
      <c r="R55" s="70">
        <f t="shared" ca="1" si="9"/>
        <v>100</v>
      </c>
      <c r="S55" s="67">
        <f ca="1">IFERROR(__xludf.DUMMYFUNCTION("IMPORTRANGE(""https://docs.google.com/spreadsheets/d/1C3CXT74ZlgGe6_JY_1olB1XN4rF0dxEuIIF-xsYjHgg/edit?usp=sharing"",""พรบ!AB59"")"),20)</f>
        <v>20</v>
      </c>
      <c r="T55" s="67">
        <f ca="1">IFERROR(__xludf.DUMMYFUNCTION("IMPORTRANGE(""https://docs.google.com/spreadsheets/d/1SX6NBoVAgQJ6U1MVXOaj8PK2l7WJ3RER9xtqwdhxkhw/edit?usp=sharing"",""กาญจนบุรี!J63"")"),20)</f>
        <v>20</v>
      </c>
      <c r="U55" s="70">
        <f t="shared" ca="1" si="11"/>
        <v>100</v>
      </c>
    </row>
    <row r="56" spans="1:21" ht="21" customHeight="1">
      <c r="A56" s="73">
        <v>2</v>
      </c>
      <c r="B56" s="74" t="s">
        <v>80</v>
      </c>
      <c r="C56" s="75">
        <f t="shared" ca="1" si="0"/>
        <v>0</v>
      </c>
      <c r="D56" s="76">
        <f t="shared" ca="1" si="35"/>
        <v>0</v>
      </c>
      <c r="E56" s="77">
        <f ca="1">IFERROR(__xludf.DUMMYFUNCTION("IMPORTRANGE(""https://docs.google.com/spreadsheets/d/1C3CXT74ZlgGe6_JY_1olB1XN4rF0dxEuIIF-xsYjHgg/edit?usp=sharing"",""พรบ!Y60"")"),0)</f>
        <v>0</v>
      </c>
      <c r="F56" s="77">
        <f ca="1">IFERROR(__xludf.DUMMYFUNCTION("IMPORTRANGE(""https://docs.google.com/spreadsheets/d/1C3CXT74ZlgGe6_JY_1olB1XN4rF0dxEuIIF-xsYjHgg/edit?usp=sharing"",""พรบ!Z60"")"),0)</f>
        <v>0</v>
      </c>
      <c r="G56" s="77">
        <f ca="1">IFERROR(__xludf.DUMMYFUNCTION("IMPORTRANGE(""https://docs.google.com/spreadsheets/d/1Yj_ptqi66GCucihVvJfMjLAmec39IyEx_6qawtMGysU/edit?usp=sharing"",""สบก!AY60"")"),0)</f>
        <v>0</v>
      </c>
      <c r="H56" s="77">
        <f ca="1">IFERROR(__xludf.DUMMYFUNCTION("IMPORTRANGE(""https://docs.google.com/spreadsheets/d/1Yj_ptqi66GCucihVvJfMjLAmec39IyEx_6qawtMGysU/edit?usp=shBAing"",""สบก!BA60"")"),0)</f>
        <v>0</v>
      </c>
      <c r="I56" s="77">
        <f t="shared" ca="1" si="3"/>
        <v>0</v>
      </c>
      <c r="J56" s="137">
        <f t="shared" ca="1" si="4"/>
        <v>0</v>
      </c>
      <c r="K56" s="77">
        <f ca="1">IFERROR(__xludf.DUMMYFUNCTION("IMPORTRANGE(""https://docs.google.com/spreadsheets/d/1Yj_ptqi66GCucihVvJfMjLAmec39IyEx_6qawtMGysU/edit?usp=sharing"",""สบก!BB60"")"),0)</f>
        <v>0</v>
      </c>
      <c r="L56" s="79">
        <f t="shared" ca="1" si="5"/>
        <v>0</v>
      </c>
      <c r="M56" s="79">
        <f t="shared" ca="1" si="6"/>
        <v>0</v>
      </c>
      <c r="N56" s="79">
        <f ca="1">IFERROR(__xludf.DUMMYFUNCTION("IMPORTRANGE(""https://docs.google.com/spreadsheets/d/1Yj_ptqi66GCucihVvJfMjLAmec39IyEx_6qawtMGysU/edit?usp=sharing"",""สบก!BC60"")"),0)</f>
        <v>0</v>
      </c>
      <c r="O56" s="79">
        <f t="shared" ca="1" si="7"/>
        <v>0</v>
      </c>
      <c r="P56" s="77">
        <f ca="1">IFERROR(__xludf.DUMMYFUNCTION("IMPORTRANGE(""https://docs.google.com/spreadsheets/d/1C3CXT74ZlgGe6_JY_1olB1XN4rF0dxEuIIF-xsYjHgg/edit?usp=sharing"",""พรบ!AA60"")"),0)</f>
        <v>0</v>
      </c>
      <c r="Q56" s="77">
        <f ca="1">IFERROR(__xludf.DUMMYFUNCTION("IMPORTRANGE(""https://docs.google.com/spreadsheets/d/1SX6NBoVAgQJ6U1MVXOaj8PK2l7WJ3RER9xtqwdhxkhw/edit?usp=sharing"",""จันทบุรี!J62"")"),0)</f>
        <v>0</v>
      </c>
      <c r="R56" s="79">
        <f t="shared" ca="1" si="9"/>
        <v>0</v>
      </c>
      <c r="S56" s="77">
        <f ca="1">IFERROR(__xludf.DUMMYFUNCTION("IMPORTRANGE(""https://docs.google.com/spreadsheets/d/1C3CXT74ZlgGe6_JY_1olB1XN4rF0dxEuIIF-xsYjHgg/edit?usp=sharing"",""พรบ!AB60"")"),0)</f>
        <v>0</v>
      </c>
      <c r="T56" s="77">
        <f ca="1">IFERROR(__xludf.DUMMYFUNCTION("IMPORTRANGE(""https://docs.google.com/spreadsheets/d/1SX6NBoVAgQJ6U1MVXOaj8PK2l7WJ3RER9xtqwdhxkhw/edit?usp=sharing"",""จันทบุรี!J63"")"),0)</f>
        <v>0</v>
      </c>
      <c r="U56" s="79">
        <f t="shared" ca="1" si="11"/>
        <v>0</v>
      </c>
    </row>
    <row r="57" spans="1:21" ht="21" customHeight="1">
      <c r="A57" s="73">
        <v>3</v>
      </c>
      <c r="B57" s="74" t="s">
        <v>81</v>
      </c>
      <c r="C57" s="75">
        <f t="shared" ca="1" si="0"/>
        <v>82440</v>
      </c>
      <c r="D57" s="76">
        <f t="shared" ca="1" si="35"/>
        <v>82440</v>
      </c>
      <c r="E57" s="77">
        <f ca="1">IFERROR(__xludf.DUMMYFUNCTION("IMPORTRANGE(""https://docs.google.com/spreadsheets/d/1C3CXT74ZlgGe6_JY_1olB1XN4rF0dxEuIIF-xsYjHgg/edit?usp=sharing"",""พรบ!Y61"")"),0)</f>
        <v>0</v>
      </c>
      <c r="F57" s="77">
        <f ca="1">IFERROR(__xludf.DUMMYFUNCTION("IMPORTRANGE(""https://docs.google.com/spreadsheets/d/1C3CXT74ZlgGe6_JY_1olB1XN4rF0dxEuIIF-xsYjHgg/edit?usp=sharing"",""พรบ!Z61"")"),82440)</f>
        <v>82440</v>
      </c>
      <c r="G57" s="77">
        <f ca="1">IFERROR(__xludf.DUMMYFUNCTION("IMPORTRANGE(""https://docs.google.com/spreadsheets/d/1Yj_ptqi66GCucihVvJfMjLAmec39IyEx_6qawtMGysU/edit?usp=sharing"",""สบก!AY61"")"),0)</f>
        <v>0</v>
      </c>
      <c r="H57" s="77">
        <f ca="1">IFERROR(__xludf.DUMMYFUNCTION("IMPORTRANGE(""https://docs.google.com/spreadsheets/d/1Yj_ptqi66GCucihVvJfMjLAmec39IyEx_6qawtMGysU/edit?usp=shBAing"",""สบก!BA61"")"),82440)</f>
        <v>82440</v>
      </c>
      <c r="I57" s="77">
        <f t="shared" ca="1" si="3"/>
        <v>62840</v>
      </c>
      <c r="J57" s="137">
        <f t="shared" ca="1" si="4"/>
        <v>76.225133430373603</v>
      </c>
      <c r="K57" s="77">
        <f ca="1">IFERROR(__xludf.DUMMYFUNCTION("IMPORTRANGE(""https://docs.google.com/spreadsheets/d/1Yj_ptqi66GCucihVvJfMjLAmec39IyEx_6qawtMGysU/edit?usp=sharing"",""สบก!BB61"")"),62840)</f>
        <v>62840</v>
      </c>
      <c r="L57" s="79">
        <f t="shared" ca="1" si="5"/>
        <v>76.225133430373603</v>
      </c>
      <c r="M57" s="79">
        <f t="shared" ca="1" si="6"/>
        <v>76.225133430373603</v>
      </c>
      <c r="N57" s="79">
        <f ca="1">IFERROR(__xludf.DUMMYFUNCTION("IMPORTRANGE(""https://docs.google.com/spreadsheets/d/1Yj_ptqi66GCucihVvJfMjLAmec39IyEx_6qawtMGysU/edit?usp=sharing"",""สบก!BC61"")"),0)</f>
        <v>0</v>
      </c>
      <c r="O57" s="79">
        <f t="shared" ca="1" si="7"/>
        <v>0</v>
      </c>
      <c r="P57" s="77">
        <f ca="1">IFERROR(__xludf.DUMMYFUNCTION("IMPORTRANGE(""https://docs.google.com/spreadsheets/d/1C3CXT74ZlgGe6_JY_1olB1XN4rF0dxEuIIF-xsYjHgg/edit?usp=sharing"",""พรบ!AA61"")"),20)</f>
        <v>20</v>
      </c>
      <c r="Q57" s="77">
        <f ca="1">IFERROR(__xludf.DUMMYFUNCTION("IMPORTRANGE(""https://docs.google.com/spreadsheets/d/1SX6NBoVAgQJ6U1MVXOaj8PK2l7WJ3RER9xtqwdhxkhw/edit?usp=sharing"",""ฉะเชิงเทรา!J62"")"),20)</f>
        <v>20</v>
      </c>
      <c r="R57" s="79">
        <f t="shared" ca="1" si="9"/>
        <v>100</v>
      </c>
      <c r="S57" s="77">
        <f ca="1">IFERROR(__xludf.DUMMYFUNCTION("IMPORTRANGE(""https://docs.google.com/spreadsheets/d/1C3CXT74ZlgGe6_JY_1olB1XN4rF0dxEuIIF-xsYjHgg/edit?usp=sharing"",""พรบ!AB61"")"),20)</f>
        <v>20</v>
      </c>
      <c r="T57" s="77">
        <f ca="1">IFERROR(__xludf.DUMMYFUNCTION("IMPORTRANGE(""https://docs.google.com/spreadsheets/d/1SX6NBoVAgQJ6U1MVXOaj8PK2l7WJ3RER9xtqwdhxkhw/edit?usp=sharing"",""ฉะเชิงเทรา!J63"")"),18)</f>
        <v>18</v>
      </c>
      <c r="U57" s="79">
        <f t="shared" ca="1" si="11"/>
        <v>90</v>
      </c>
    </row>
    <row r="58" spans="1:21" ht="21" customHeight="1">
      <c r="A58" s="73">
        <v>4</v>
      </c>
      <c r="B58" s="74" t="s">
        <v>82</v>
      </c>
      <c r="C58" s="75">
        <f t="shared" ca="1" si="0"/>
        <v>82440</v>
      </c>
      <c r="D58" s="76">
        <f t="shared" ca="1" si="35"/>
        <v>82440</v>
      </c>
      <c r="E58" s="77">
        <f ca="1">IFERROR(__xludf.DUMMYFUNCTION("IMPORTRANGE(""https://docs.google.com/spreadsheets/d/1C3CXT74ZlgGe6_JY_1olB1XN4rF0dxEuIIF-xsYjHgg/edit?usp=sharing"",""พรบ!Y62"")"),0)</f>
        <v>0</v>
      </c>
      <c r="F58" s="77">
        <f ca="1">IFERROR(__xludf.DUMMYFUNCTION("IMPORTRANGE(""https://docs.google.com/spreadsheets/d/1C3CXT74ZlgGe6_JY_1olB1XN4rF0dxEuIIF-xsYjHgg/edit?usp=sharing"",""พรบ!Z62"")"),82440)</f>
        <v>82440</v>
      </c>
      <c r="G58" s="77">
        <f ca="1">IFERROR(__xludf.DUMMYFUNCTION("IMPORTRANGE(""https://docs.google.com/spreadsheets/d/1Yj_ptqi66GCucihVvJfMjLAmec39IyEx_6qawtMGysU/edit?usp=sharing"",""สบก!AY62"")"),0)</f>
        <v>0</v>
      </c>
      <c r="H58" s="77">
        <f ca="1">IFERROR(__xludf.DUMMYFUNCTION("IMPORTRANGE(""https://docs.google.com/spreadsheets/d/1Yj_ptqi66GCucihVvJfMjLAmec39IyEx_6qawtMGysU/edit?usp=shBAing"",""สบก!BA62"")"),82440)</f>
        <v>82440</v>
      </c>
      <c r="I58" s="77">
        <f t="shared" ca="1" si="3"/>
        <v>29134</v>
      </c>
      <c r="J58" s="137">
        <f t="shared" ca="1" si="4"/>
        <v>35.339640950994664</v>
      </c>
      <c r="K58" s="77">
        <f ca="1">IFERROR(__xludf.DUMMYFUNCTION("IMPORTRANGE(""https://docs.google.com/spreadsheets/d/1Yj_ptqi66GCucihVvJfMjLAmec39IyEx_6qawtMGysU/edit?usp=sharing"",""สบก!BB62"")"),29134)</f>
        <v>29134</v>
      </c>
      <c r="L58" s="79">
        <f t="shared" ca="1" si="5"/>
        <v>35.339640950994664</v>
      </c>
      <c r="M58" s="79">
        <f t="shared" ca="1" si="6"/>
        <v>35.339640950994664</v>
      </c>
      <c r="N58" s="79">
        <f ca="1">IFERROR(__xludf.DUMMYFUNCTION("IMPORTRANGE(""https://docs.google.com/spreadsheets/d/1Yj_ptqi66GCucihVvJfMjLAmec39IyEx_6qawtMGysU/edit?usp=sharing"",""สบก!BC62"")"),0)</f>
        <v>0</v>
      </c>
      <c r="O58" s="79">
        <f t="shared" ca="1" si="7"/>
        <v>0</v>
      </c>
      <c r="P58" s="77">
        <f ca="1">IFERROR(__xludf.DUMMYFUNCTION("IMPORTRANGE(""https://docs.google.com/spreadsheets/d/1C3CXT74ZlgGe6_JY_1olB1XN4rF0dxEuIIF-xsYjHgg/edit?usp=sharing"",""พรบ!AA62"")"),20)</f>
        <v>20</v>
      </c>
      <c r="Q58" s="77">
        <f ca="1">IFERROR(__xludf.DUMMYFUNCTION("IMPORTRANGE(""https://docs.google.com/spreadsheets/d/1SX6NBoVAgQJ6U1MVXOaj8PK2l7WJ3RER9xtqwdhxkhw/edit?usp=sharing"",""ชลบุรี!J62"")"),20)</f>
        <v>20</v>
      </c>
      <c r="R58" s="79">
        <f t="shared" ca="1" si="9"/>
        <v>100</v>
      </c>
      <c r="S58" s="77">
        <f ca="1">IFERROR(__xludf.DUMMYFUNCTION("IMPORTRANGE(""https://docs.google.com/spreadsheets/d/1C3CXT74ZlgGe6_JY_1olB1XN4rF0dxEuIIF-xsYjHgg/edit?usp=sharing"",""พรบ!AB62"")"),20)</f>
        <v>20</v>
      </c>
      <c r="T58" s="77">
        <f ca="1">IFERROR(__xludf.DUMMYFUNCTION("IMPORTRANGE(""https://docs.google.com/spreadsheets/d/1SX6NBoVAgQJ6U1MVXOaj8PK2l7WJ3RER9xtqwdhxkhw/edit?usp=sharing"",""ชลบุรี!J63"")"),0)</f>
        <v>0</v>
      </c>
      <c r="U58" s="79">
        <f t="shared" ca="1" si="11"/>
        <v>0</v>
      </c>
    </row>
    <row r="59" spans="1:21" ht="21" customHeight="1">
      <c r="A59" s="73">
        <v>5</v>
      </c>
      <c r="B59" s="74" t="s">
        <v>83</v>
      </c>
      <c r="C59" s="75">
        <f t="shared" ca="1" si="0"/>
        <v>0</v>
      </c>
      <c r="D59" s="76">
        <f t="shared" ca="1" si="35"/>
        <v>0</v>
      </c>
      <c r="E59" s="77">
        <f ca="1">IFERROR(__xludf.DUMMYFUNCTION("IMPORTRANGE(""https://docs.google.com/spreadsheets/d/1C3CXT74ZlgGe6_JY_1olB1XN4rF0dxEuIIF-xsYjHgg/edit?usp=sharing"",""พรบ!Y63"")"),0)</f>
        <v>0</v>
      </c>
      <c r="F59" s="77">
        <f ca="1">IFERROR(__xludf.DUMMYFUNCTION("IMPORTRANGE(""https://docs.google.com/spreadsheets/d/1C3CXT74ZlgGe6_JY_1olB1XN4rF0dxEuIIF-xsYjHgg/edit?usp=sharing"",""พรบ!Z63"")"),0)</f>
        <v>0</v>
      </c>
      <c r="G59" s="77">
        <f ca="1">IFERROR(__xludf.DUMMYFUNCTION("IMPORTRANGE(""https://docs.google.com/spreadsheets/d/1Yj_ptqi66GCucihVvJfMjLAmec39IyEx_6qawtMGysU/edit?usp=sharing"",""สบก!AY63"")"),0)</f>
        <v>0</v>
      </c>
      <c r="H59" s="77">
        <f ca="1">IFERROR(__xludf.DUMMYFUNCTION("IMPORTRANGE(""https://docs.google.com/spreadsheets/d/1Yj_ptqi66GCucihVvJfMjLAmec39IyEx_6qawtMGysU/edit?usp=shBAing"",""สบก!BA63"")"),0)</f>
        <v>0</v>
      </c>
      <c r="I59" s="77">
        <f t="shared" ca="1" si="3"/>
        <v>0</v>
      </c>
      <c r="J59" s="137">
        <f t="shared" ca="1" si="4"/>
        <v>0</v>
      </c>
      <c r="K59" s="77">
        <f ca="1">IFERROR(__xludf.DUMMYFUNCTION("IMPORTRANGE(""https://docs.google.com/spreadsheets/d/1Yj_ptqi66GCucihVvJfMjLAmec39IyEx_6qawtMGysU/edit?usp=sharing"",""สบก!BB63"")"),0)</f>
        <v>0</v>
      </c>
      <c r="L59" s="79">
        <f t="shared" ca="1" si="5"/>
        <v>0</v>
      </c>
      <c r="M59" s="79">
        <f t="shared" ca="1" si="6"/>
        <v>0</v>
      </c>
      <c r="N59" s="79">
        <f ca="1">IFERROR(__xludf.DUMMYFUNCTION("IMPORTRANGE(""https://docs.google.com/spreadsheets/d/1Yj_ptqi66GCucihVvJfMjLAmec39IyEx_6qawtMGysU/edit?usp=sharing"",""สบก!BC63"")"),0)</f>
        <v>0</v>
      </c>
      <c r="O59" s="79">
        <f t="shared" ca="1" si="7"/>
        <v>0</v>
      </c>
      <c r="P59" s="77">
        <f ca="1">IFERROR(__xludf.DUMMYFUNCTION("IMPORTRANGE(""https://docs.google.com/spreadsheets/d/1C3CXT74ZlgGe6_JY_1olB1XN4rF0dxEuIIF-xsYjHgg/edit?usp=sharing"",""พรบ!AA63"")"),0)</f>
        <v>0</v>
      </c>
      <c r="Q59" s="77">
        <f ca="1">IFERROR(__xludf.DUMMYFUNCTION("IMPORTRANGE(""https://docs.google.com/spreadsheets/d/1SX6NBoVAgQJ6U1MVXOaj8PK2l7WJ3RER9xtqwdhxkhw/edit?usp=sharing"",""ชัยนาท!J62"")"),0)</f>
        <v>0</v>
      </c>
      <c r="R59" s="79">
        <f t="shared" ca="1" si="9"/>
        <v>0</v>
      </c>
      <c r="S59" s="77">
        <f ca="1">IFERROR(__xludf.DUMMYFUNCTION("IMPORTRANGE(""https://docs.google.com/spreadsheets/d/1C3CXT74ZlgGe6_JY_1olB1XN4rF0dxEuIIF-xsYjHgg/edit?usp=sharing"",""พรบ!AB63"")"),0)</f>
        <v>0</v>
      </c>
      <c r="T59" s="77">
        <f ca="1">IFERROR(__xludf.DUMMYFUNCTION("IMPORTRANGE(""https://docs.google.com/spreadsheets/d/1SX6NBoVAgQJ6U1MVXOaj8PK2l7WJ3RER9xtqwdhxkhw/edit?usp=sharing"",""ชัยนาท!J63"")"),0)</f>
        <v>0</v>
      </c>
      <c r="U59" s="79">
        <f t="shared" ca="1" si="11"/>
        <v>0</v>
      </c>
    </row>
    <row r="60" spans="1:21" ht="21" customHeight="1">
      <c r="A60" s="73">
        <v>6</v>
      </c>
      <c r="B60" s="74" t="s">
        <v>84</v>
      </c>
      <c r="C60" s="75">
        <f t="shared" ca="1" si="0"/>
        <v>0</v>
      </c>
      <c r="D60" s="76">
        <f t="shared" ca="1" si="35"/>
        <v>0</v>
      </c>
      <c r="E60" s="77">
        <f ca="1">IFERROR(__xludf.DUMMYFUNCTION("IMPORTRANGE(""https://docs.google.com/spreadsheets/d/1C3CXT74ZlgGe6_JY_1olB1XN4rF0dxEuIIF-xsYjHgg/edit?usp=sharing"",""พรบ!Y64"")"),0)</f>
        <v>0</v>
      </c>
      <c r="F60" s="77">
        <f ca="1">IFERROR(__xludf.DUMMYFUNCTION("IMPORTRANGE(""https://docs.google.com/spreadsheets/d/1C3CXT74ZlgGe6_JY_1olB1XN4rF0dxEuIIF-xsYjHgg/edit?usp=sharing"",""พรบ!Z64"")"),0)</f>
        <v>0</v>
      </c>
      <c r="G60" s="77">
        <f ca="1">IFERROR(__xludf.DUMMYFUNCTION("IMPORTRANGE(""https://docs.google.com/spreadsheets/d/1Yj_ptqi66GCucihVvJfMjLAmec39IyEx_6qawtMGysU/edit?usp=sharing"",""สบก!AY64"")"),0)</f>
        <v>0</v>
      </c>
      <c r="H60" s="77">
        <f ca="1">IFERROR(__xludf.DUMMYFUNCTION("IMPORTRANGE(""https://docs.google.com/spreadsheets/d/1Yj_ptqi66GCucihVvJfMjLAmec39IyEx_6qawtMGysU/edit?usp=shBAing"",""สบก!BA64"")"),0)</f>
        <v>0</v>
      </c>
      <c r="I60" s="77">
        <f t="shared" ca="1" si="3"/>
        <v>0</v>
      </c>
      <c r="J60" s="137">
        <f t="shared" ca="1" si="4"/>
        <v>0</v>
      </c>
      <c r="K60" s="77">
        <f ca="1">IFERROR(__xludf.DUMMYFUNCTION("IMPORTRANGE(""https://docs.google.com/spreadsheets/d/1Yj_ptqi66GCucihVvJfMjLAmec39IyEx_6qawtMGysU/edit?usp=sharing"",""สบก!BB64"")"),0)</f>
        <v>0</v>
      </c>
      <c r="L60" s="79">
        <f t="shared" ca="1" si="5"/>
        <v>0</v>
      </c>
      <c r="M60" s="79">
        <f t="shared" ca="1" si="6"/>
        <v>0</v>
      </c>
      <c r="N60" s="79">
        <f ca="1">IFERROR(__xludf.DUMMYFUNCTION("IMPORTRANGE(""https://docs.google.com/spreadsheets/d/1Yj_ptqi66GCucihVvJfMjLAmec39IyEx_6qawtMGysU/edit?usp=sharing"",""สบก!BC64"")"),0)</f>
        <v>0</v>
      </c>
      <c r="O60" s="79">
        <f t="shared" ca="1" si="7"/>
        <v>0</v>
      </c>
      <c r="P60" s="77">
        <f ca="1">IFERROR(__xludf.DUMMYFUNCTION("IMPORTRANGE(""https://docs.google.com/spreadsheets/d/1C3CXT74ZlgGe6_JY_1olB1XN4rF0dxEuIIF-xsYjHgg/edit?usp=sharing"",""พรบ!AA64"")"),0)</f>
        <v>0</v>
      </c>
      <c r="Q60" s="77">
        <f ca="1">IFERROR(__xludf.DUMMYFUNCTION("IMPORTRANGE(""https://docs.google.com/spreadsheets/d/1SX6NBoVAgQJ6U1MVXOaj8PK2l7WJ3RER9xtqwdhxkhw/edit?usp=sharing"",""ตราด!J62"")"),0)</f>
        <v>0</v>
      </c>
      <c r="R60" s="79">
        <f t="shared" ca="1" si="9"/>
        <v>0</v>
      </c>
      <c r="S60" s="77">
        <f ca="1">IFERROR(__xludf.DUMMYFUNCTION("IMPORTRANGE(""https://docs.google.com/spreadsheets/d/1C3CXT74ZlgGe6_JY_1olB1XN4rF0dxEuIIF-xsYjHgg/edit?usp=sharing"",""พรบ!AB64"")"),0)</f>
        <v>0</v>
      </c>
      <c r="T60" s="77">
        <f ca="1">IFERROR(__xludf.DUMMYFUNCTION("IMPORTRANGE(""https://docs.google.com/spreadsheets/d/1SX6NBoVAgQJ6U1MVXOaj8PK2l7WJ3RER9xtqwdhxkhw/edit?usp=sharing"",""ตราด!J63"")"),0)</f>
        <v>0</v>
      </c>
      <c r="U60" s="79">
        <f t="shared" ca="1" si="11"/>
        <v>0</v>
      </c>
    </row>
    <row r="61" spans="1:21" ht="21" customHeight="1">
      <c r="A61" s="73">
        <v>7</v>
      </c>
      <c r="B61" s="74" t="s">
        <v>85</v>
      </c>
      <c r="C61" s="75">
        <f t="shared" ca="1" si="0"/>
        <v>0</v>
      </c>
      <c r="D61" s="76">
        <f t="shared" ca="1" si="35"/>
        <v>0</v>
      </c>
      <c r="E61" s="77">
        <f ca="1">IFERROR(__xludf.DUMMYFUNCTION("IMPORTRANGE(""https://docs.google.com/spreadsheets/d/1C3CXT74ZlgGe6_JY_1olB1XN4rF0dxEuIIF-xsYjHgg/edit?usp=sharing"",""พรบ!Y65"")"),0)</f>
        <v>0</v>
      </c>
      <c r="F61" s="77">
        <f ca="1">IFERROR(__xludf.DUMMYFUNCTION("IMPORTRANGE(""https://docs.google.com/spreadsheets/d/1C3CXT74ZlgGe6_JY_1olB1XN4rF0dxEuIIF-xsYjHgg/edit?usp=sharing"",""พรบ!Z65"")"),0)</f>
        <v>0</v>
      </c>
      <c r="G61" s="77">
        <f ca="1">IFERROR(__xludf.DUMMYFUNCTION("IMPORTRANGE(""https://docs.google.com/spreadsheets/d/1Yj_ptqi66GCucihVvJfMjLAmec39IyEx_6qawtMGysU/edit?usp=sharing"",""สบก!AY65"")"),0)</f>
        <v>0</v>
      </c>
      <c r="H61" s="77">
        <f ca="1">IFERROR(__xludf.DUMMYFUNCTION("IMPORTRANGE(""https://docs.google.com/spreadsheets/d/1Yj_ptqi66GCucihVvJfMjLAmec39IyEx_6qawtMGysU/edit?usp=shBAing"",""สบก!BA65"")"),0)</f>
        <v>0</v>
      </c>
      <c r="I61" s="77">
        <f t="shared" ca="1" si="3"/>
        <v>0</v>
      </c>
      <c r="J61" s="137">
        <f t="shared" ca="1" si="4"/>
        <v>0</v>
      </c>
      <c r="K61" s="77">
        <f ca="1">IFERROR(__xludf.DUMMYFUNCTION("IMPORTRANGE(""https://docs.google.com/spreadsheets/d/1Yj_ptqi66GCucihVvJfMjLAmec39IyEx_6qawtMGysU/edit?usp=sharing"",""สบก!BB65"")"),0)</f>
        <v>0</v>
      </c>
      <c r="L61" s="79">
        <f t="shared" ca="1" si="5"/>
        <v>0</v>
      </c>
      <c r="M61" s="79">
        <f t="shared" ca="1" si="6"/>
        <v>0</v>
      </c>
      <c r="N61" s="79">
        <f ca="1">IFERROR(__xludf.DUMMYFUNCTION("IMPORTRANGE(""https://docs.google.com/spreadsheets/d/1Yj_ptqi66GCucihVvJfMjLAmec39IyEx_6qawtMGysU/edit?usp=sharing"",""สบก!BC65"")"),0)</f>
        <v>0</v>
      </c>
      <c r="O61" s="79">
        <f t="shared" ca="1" si="7"/>
        <v>0</v>
      </c>
      <c r="P61" s="77">
        <f ca="1">IFERROR(__xludf.DUMMYFUNCTION("IMPORTRANGE(""https://docs.google.com/spreadsheets/d/1C3CXT74ZlgGe6_JY_1olB1XN4rF0dxEuIIF-xsYjHgg/edit?usp=sharing"",""พรบ!AA65"")"),0)</f>
        <v>0</v>
      </c>
      <c r="Q61" s="77">
        <f ca="1">IFERROR(__xludf.DUMMYFUNCTION("IMPORTRANGE(""https://docs.google.com/spreadsheets/d/1SX6NBoVAgQJ6U1MVXOaj8PK2l7WJ3RER9xtqwdhxkhw/edit?usp=sharing"",""นครนายก!J62"")"),0)</f>
        <v>0</v>
      </c>
      <c r="R61" s="79">
        <f t="shared" ca="1" si="9"/>
        <v>0</v>
      </c>
      <c r="S61" s="77">
        <f ca="1">IFERROR(__xludf.DUMMYFUNCTION("IMPORTRANGE(""https://docs.google.com/spreadsheets/d/1C3CXT74ZlgGe6_JY_1olB1XN4rF0dxEuIIF-xsYjHgg/edit?usp=sharing"",""พรบ!AB65"")"),0)</f>
        <v>0</v>
      </c>
      <c r="T61" s="77">
        <f ca="1">IFERROR(__xludf.DUMMYFUNCTION("IMPORTRANGE(""https://docs.google.com/spreadsheets/d/1SX6NBoVAgQJ6U1MVXOaj8PK2l7WJ3RER9xtqwdhxkhw/edit?usp=sharing"",""นครนายก!J63"")"),0)</f>
        <v>0</v>
      </c>
      <c r="U61" s="79">
        <f t="shared" ca="1" si="11"/>
        <v>0</v>
      </c>
    </row>
    <row r="62" spans="1:21" ht="21" customHeight="1">
      <c r="A62" s="73">
        <v>8</v>
      </c>
      <c r="B62" s="74" t="s">
        <v>86</v>
      </c>
      <c r="C62" s="75">
        <f t="shared" ca="1" si="0"/>
        <v>0</v>
      </c>
      <c r="D62" s="76">
        <f t="shared" ca="1" si="35"/>
        <v>0</v>
      </c>
      <c r="E62" s="77">
        <f ca="1">IFERROR(__xludf.DUMMYFUNCTION("IMPORTRANGE(""https://docs.google.com/spreadsheets/d/1C3CXT74ZlgGe6_JY_1olB1XN4rF0dxEuIIF-xsYjHgg/edit?usp=sharing"",""พรบ!Y66"")"),0)</f>
        <v>0</v>
      </c>
      <c r="F62" s="77">
        <f ca="1">IFERROR(__xludf.DUMMYFUNCTION("IMPORTRANGE(""https://docs.google.com/spreadsheets/d/1C3CXT74ZlgGe6_JY_1olB1XN4rF0dxEuIIF-xsYjHgg/edit?usp=sharing"",""พรบ!Z66"")"),0)</f>
        <v>0</v>
      </c>
      <c r="G62" s="77">
        <f ca="1">IFERROR(__xludf.DUMMYFUNCTION("IMPORTRANGE(""https://docs.google.com/spreadsheets/d/1Yj_ptqi66GCucihVvJfMjLAmec39IyEx_6qawtMGysU/edit?usp=sharing"",""สบก!AY66"")"),0)</f>
        <v>0</v>
      </c>
      <c r="H62" s="77">
        <f ca="1">IFERROR(__xludf.DUMMYFUNCTION("IMPORTRANGE(""https://docs.google.com/spreadsheets/d/1Yj_ptqi66GCucihVvJfMjLAmec39IyEx_6qawtMGysU/edit?usp=shBAing"",""สบก!BA66"")"),0)</f>
        <v>0</v>
      </c>
      <c r="I62" s="77">
        <f t="shared" ca="1" si="3"/>
        <v>0</v>
      </c>
      <c r="J62" s="137">
        <f t="shared" ca="1" si="4"/>
        <v>0</v>
      </c>
      <c r="K62" s="77">
        <f ca="1">IFERROR(__xludf.DUMMYFUNCTION("IMPORTRANGE(""https://docs.google.com/spreadsheets/d/1Yj_ptqi66GCucihVvJfMjLAmec39IyEx_6qawtMGysU/edit?usp=sharing"",""สบก!BB66"")"),0)</f>
        <v>0</v>
      </c>
      <c r="L62" s="79">
        <f t="shared" ca="1" si="5"/>
        <v>0</v>
      </c>
      <c r="M62" s="79">
        <f t="shared" ca="1" si="6"/>
        <v>0</v>
      </c>
      <c r="N62" s="79">
        <f ca="1">IFERROR(__xludf.DUMMYFUNCTION("IMPORTRANGE(""https://docs.google.com/spreadsheets/d/1Yj_ptqi66GCucihVvJfMjLAmec39IyEx_6qawtMGysU/edit?usp=sharing"",""สบก!BC66"")"),0)</f>
        <v>0</v>
      </c>
      <c r="O62" s="79">
        <f t="shared" ca="1" si="7"/>
        <v>0</v>
      </c>
      <c r="P62" s="77">
        <f ca="1">IFERROR(__xludf.DUMMYFUNCTION("IMPORTRANGE(""https://docs.google.com/spreadsheets/d/1C3CXT74ZlgGe6_JY_1olB1XN4rF0dxEuIIF-xsYjHgg/edit?usp=sharing"",""พรบ!AA66"")"),0)</f>
        <v>0</v>
      </c>
      <c r="Q62" s="77">
        <f ca="1">IFERROR(__xludf.DUMMYFUNCTION("IMPORTRANGE(""https://docs.google.com/spreadsheets/d/1SX6NBoVAgQJ6U1MVXOaj8PK2l7WJ3RER9xtqwdhxkhw/edit?usp=sharing"",""นครปฐม!J62"")"),0)</f>
        <v>0</v>
      </c>
      <c r="R62" s="79">
        <f t="shared" ca="1" si="9"/>
        <v>0</v>
      </c>
      <c r="S62" s="77">
        <f ca="1">IFERROR(__xludf.DUMMYFUNCTION("IMPORTRANGE(""https://docs.google.com/spreadsheets/d/1C3CXT74ZlgGe6_JY_1olB1XN4rF0dxEuIIF-xsYjHgg/edit?usp=sharing"",""พรบ!AB66"")"),0)</f>
        <v>0</v>
      </c>
      <c r="T62" s="77">
        <f ca="1">IFERROR(__xludf.DUMMYFUNCTION("IMPORTRANGE(""https://docs.google.com/spreadsheets/d/1SX6NBoVAgQJ6U1MVXOaj8PK2l7WJ3RER9xtqwdhxkhw/edit?usp=sharing"",""นครปฐม!J63"")"),0)</f>
        <v>0</v>
      </c>
      <c r="U62" s="79">
        <f t="shared" ca="1" si="11"/>
        <v>0</v>
      </c>
    </row>
    <row r="63" spans="1:21" ht="21" customHeight="1">
      <c r="A63" s="73">
        <v>9</v>
      </c>
      <c r="B63" s="74" t="s">
        <v>87</v>
      </c>
      <c r="C63" s="75">
        <f t="shared" ca="1" si="0"/>
        <v>0</v>
      </c>
      <c r="D63" s="76">
        <f t="shared" ca="1" si="35"/>
        <v>0</v>
      </c>
      <c r="E63" s="77">
        <f ca="1">IFERROR(__xludf.DUMMYFUNCTION("IMPORTRANGE(""https://docs.google.com/spreadsheets/d/1C3CXT74ZlgGe6_JY_1olB1XN4rF0dxEuIIF-xsYjHgg/edit?usp=sharing"",""พรบ!Y67"")"),0)</f>
        <v>0</v>
      </c>
      <c r="F63" s="77">
        <f ca="1">IFERROR(__xludf.DUMMYFUNCTION("IMPORTRANGE(""https://docs.google.com/spreadsheets/d/1C3CXT74ZlgGe6_JY_1olB1XN4rF0dxEuIIF-xsYjHgg/edit?usp=sharing"",""พรบ!Z67"")"),0)</f>
        <v>0</v>
      </c>
      <c r="G63" s="77">
        <f ca="1">IFERROR(__xludf.DUMMYFUNCTION("IMPORTRANGE(""https://docs.google.com/spreadsheets/d/1Yj_ptqi66GCucihVvJfMjLAmec39IyEx_6qawtMGysU/edit?usp=sharing"",""สบก!AY67"")"),0)</f>
        <v>0</v>
      </c>
      <c r="H63" s="77">
        <f ca="1">IFERROR(__xludf.DUMMYFUNCTION("IMPORTRANGE(""https://docs.google.com/spreadsheets/d/1Yj_ptqi66GCucihVvJfMjLAmec39IyEx_6qawtMGysU/edit?usp=shBAing"",""สบก!BA67"")"),0)</f>
        <v>0</v>
      </c>
      <c r="I63" s="77">
        <f t="shared" ca="1" si="3"/>
        <v>0</v>
      </c>
      <c r="J63" s="137">
        <f t="shared" ca="1" si="4"/>
        <v>0</v>
      </c>
      <c r="K63" s="77">
        <f ca="1">IFERROR(__xludf.DUMMYFUNCTION("IMPORTRANGE(""https://docs.google.com/spreadsheets/d/1Yj_ptqi66GCucihVvJfMjLAmec39IyEx_6qawtMGysU/edit?usp=sharing"",""สบก!BB67"")"),0)</f>
        <v>0</v>
      </c>
      <c r="L63" s="79">
        <f t="shared" ca="1" si="5"/>
        <v>0</v>
      </c>
      <c r="M63" s="79">
        <f t="shared" ca="1" si="6"/>
        <v>0</v>
      </c>
      <c r="N63" s="79">
        <f ca="1">IFERROR(__xludf.DUMMYFUNCTION("IMPORTRANGE(""https://docs.google.com/spreadsheets/d/1Yj_ptqi66GCucihVvJfMjLAmec39IyEx_6qawtMGysU/edit?usp=sharing"",""สบก!BC67"")"),0)</f>
        <v>0</v>
      </c>
      <c r="O63" s="79">
        <f t="shared" ca="1" si="7"/>
        <v>0</v>
      </c>
      <c r="P63" s="77">
        <f ca="1">IFERROR(__xludf.DUMMYFUNCTION("IMPORTRANGE(""https://docs.google.com/spreadsheets/d/1C3CXT74ZlgGe6_JY_1olB1XN4rF0dxEuIIF-xsYjHgg/edit?usp=sharing"",""พรบ!AA67"")"),0)</f>
        <v>0</v>
      </c>
      <c r="Q63" s="77">
        <f ca="1">IFERROR(__xludf.DUMMYFUNCTION("IMPORTRANGE(""https://docs.google.com/spreadsheets/d/1SX6NBoVAgQJ6U1MVXOaj8PK2l7WJ3RER9xtqwdhxkhw/edit?usp=sharing"",""ปทุมธานี!J62"")"),0)</f>
        <v>0</v>
      </c>
      <c r="R63" s="79">
        <f t="shared" ca="1" si="9"/>
        <v>0</v>
      </c>
      <c r="S63" s="77">
        <f ca="1">IFERROR(__xludf.DUMMYFUNCTION("IMPORTRANGE(""https://docs.google.com/spreadsheets/d/1C3CXT74ZlgGe6_JY_1olB1XN4rF0dxEuIIF-xsYjHgg/edit?usp=sharing"",""พรบ!AB67"")"),0)</f>
        <v>0</v>
      </c>
      <c r="T63" s="77">
        <f ca="1">IFERROR(__xludf.DUMMYFUNCTION("IMPORTRANGE(""https://docs.google.com/spreadsheets/d/1SX6NBoVAgQJ6U1MVXOaj8PK2l7WJ3RER9xtqwdhxkhw/edit?usp=sharing"",""ปทุมธานี!J63"")"),0)</f>
        <v>0</v>
      </c>
      <c r="U63" s="79">
        <f t="shared" ca="1" si="11"/>
        <v>0</v>
      </c>
    </row>
    <row r="64" spans="1:21" ht="21" customHeight="1">
      <c r="A64" s="73">
        <v>10</v>
      </c>
      <c r="B64" s="74" t="s">
        <v>88</v>
      </c>
      <c r="C64" s="75">
        <f t="shared" ca="1" si="0"/>
        <v>0</v>
      </c>
      <c r="D64" s="76">
        <f t="shared" ca="1" si="35"/>
        <v>0</v>
      </c>
      <c r="E64" s="77">
        <f ca="1">IFERROR(__xludf.DUMMYFUNCTION("IMPORTRANGE(""https://docs.google.com/spreadsheets/d/1C3CXT74ZlgGe6_JY_1olB1XN4rF0dxEuIIF-xsYjHgg/edit?usp=sharing"",""พรบ!Y68"")"),0)</f>
        <v>0</v>
      </c>
      <c r="F64" s="77">
        <f ca="1">IFERROR(__xludf.DUMMYFUNCTION("IMPORTRANGE(""https://docs.google.com/spreadsheets/d/1C3CXT74ZlgGe6_JY_1olB1XN4rF0dxEuIIF-xsYjHgg/edit?usp=sharing"",""พรบ!Z68"")"),0)</f>
        <v>0</v>
      </c>
      <c r="G64" s="77">
        <f ca="1">IFERROR(__xludf.DUMMYFUNCTION("IMPORTRANGE(""https://docs.google.com/spreadsheets/d/1Yj_ptqi66GCucihVvJfMjLAmec39IyEx_6qawtMGysU/edit?usp=sharing"",""สบก!AY68"")"),0)</f>
        <v>0</v>
      </c>
      <c r="H64" s="77">
        <f ca="1">IFERROR(__xludf.DUMMYFUNCTION("IMPORTRANGE(""https://docs.google.com/spreadsheets/d/1Yj_ptqi66GCucihVvJfMjLAmec39IyEx_6qawtMGysU/edit?usp=shBAing"",""สบก!BA68"")"),0)</f>
        <v>0</v>
      </c>
      <c r="I64" s="77">
        <f t="shared" ca="1" si="3"/>
        <v>0</v>
      </c>
      <c r="J64" s="137">
        <f t="shared" ca="1" si="4"/>
        <v>0</v>
      </c>
      <c r="K64" s="77">
        <f ca="1">IFERROR(__xludf.DUMMYFUNCTION("IMPORTRANGE(""https://docs.google.com/spreadsheets/d/1Yj_ptqi66GCucihVvJfMjLAmec39IyEx_6qawtMGysU/edit?usp=sharing"",""สบก!BB68"")"),0)</f>
        <v>0</v>
      </c>
      <c r="L64" s="79">
        <f t="shared" ca="1" si="5"/>
        <v>0</v>
      </c>
      <c r="M64" s="79">
        <f t="shared" ca="1" si="6"/>
        <v>0</v>
      </c>
      <c r="N64" s="79">
        <f ca="1">IFERROR(__xludf.DUMMYFUNCTION("IMPORTRANGE(""https://docs.google.com/spreadsheets/d/1Yj_ptqi66GCucihVvJfMjLAmec39IyEx_6qawtMGysU/edit?usp=sharing"",""สบก!BC68"")"),0)</f>
        <v>0</v>
      </c>
      <c r="O64" s="79">
        <f t="shared" ca="1" si="7"/>
        <v>0</v>
      </c>
      <c r="P64" s="77">
        <f ca="1">IFERROR(__xludf.DUMMYFUNCTION("IMPORTRANGE(""https://docs.google.com/spreadsheets/d/1C3CXT74ZlgGe6_JY_1olB1XN4rF0dxEuIIF-xsYjHgg/edit?usp=sharing"",""พรบ!AA68"")"),0)</f>
        <v>0</v>
      </c>
      <c r="Q64" s="77">
        <f ca="1">IFERROR(__xludf.DUMMYFUNCTION("IMPORTRANGE(""https://docs.google.com/spreadsheets/d/1SX6NBoVAgQJ6U1MVXOaj8PK2l7WJ3RER9xtqwdhxkhw/edit?usp=sharing"",""ประจวบคีรีขันธ์!J62"")"),0)</f>
        <v>0</v>
      </c>
      <c r="R64" s="79">
        <f t="shared" ca="1" si="9"/>
        <v>0</v>
      </c>
      <c r="S64" s="77">
        <f ca="1">IFERROR(__xludf.DUMMYFUNCTION("IMPORTRANGE(""https://docs.google.com/spreadsheets/d/1C3CXT74ZlgGe6_JY_1olB1XN4rF0dxEuIIF-xsYjHgg/edit?usp=sharing"",""พรบ!AB68"")"),0)</f>
        <v>0</v>
      </c>
      <c r="T64" s="77">
        <f ca="1">IFERROR(__xludf.DUMMYFUNCTION("IMPORTRANGE(""https://docs.google.com/spreadsheets/d/1SX6NBoVAgQJ6U1MVXOaj8PK2l7WJ3RER9xtqwdhxkhw/edit?usp=sharing"",""ประจวบคีรีขันธ์!J63"")"),0)</f>
        <v>0</v>
      </c>
      <c r="U64" s="79">
        <f t="shared" ca="1" si="11"/>
        <v>0</v>
      </c>
    </row>
    <row r="65" spans="1:21" ht="21" customHeight="1">
      <c r="A65" s="73">
        <v>11</v>
      </c>
      <c r="B65" s="74" t="s">
        <v>89</v>
      </c>
      <c r="C65" s="75">
        <f t="shared" ca="1" si="0"/>
        <v>0</v>
      </c>
      <c r="D65" s="76">
        <f t="shared" ca="1" si="35"/>
        <v>0</v>
      </c>
      <c r="E65" s="77">
        <f ca="1">IFERROR(__xludf.DUMMYFUNCTION("IMPORTRANGE(""https://docs.google.com/spreadsheets/d/1C3CXT74ZlgGe6_JY_1olB1XN4rF0dxEuIIF-xsYjHgg/edit?usp=sharing"",""พรบ!Y69"")"),0)</f>
        <v>0</v>
      </c>
      <c r="F65" s="77">
        <f ca="1">IFERROR(__xludf.DUMMYFUNCTION("IMPORTRANGE(""https://docs.google.com/spreadsheets/d/1C3CXT74ZlgGe6_JY_1olB1XN4rF0dxEuIIF-xsYjHgg/edit?usp=sharing"",""พรบ!Z69"")"),0)</f>
        <v>0</v>
      </c>
      <c r="G65" s="77">
        <f ca="1">IFERROR(__xludf.DUMMYFUNCTION("IMPORTRANGE(""https://docs.google.com/spreadsheets/d/1Yj_ptqi66GCucihVvJfMjLAmec39IyEx_6qawtMGysU/edit?usp=sharing"",""สบก!AY69"")"),0)</f>
        <v>0</v>
      </c>
      <c r="H65" s="77">
        <f ca="1">IFERROR(__xludf.DUMMYFUNCTION("IMPORTRANGE(""https://docs.google.com/spreadsheets/d/1Yj_ptqi66GCucihVvJfMjLAmec39IyEx_6qawtMGysU/edit?usp=shBAing"",""สบก!BA69"")"),0)</f>
        <v>0</v>
      </c>
      <c r="I65" s="77">
        <f t="shared" ca="1" si="3"/>
        <v>0</v>
      </c>
      <c r="J65" s="137">
        <f t="shared" ca="1" si="4"/>
        <v>0</v>
      </c>
      <c r="K65" s="77">
        <f ca="1">IFERROR(__xludf.DUMMYFUNCTION("IMPORTRANGE(""https://docs.google.com/spreadsheets/d/1Yj_ptqi66GCucihVvJfMjLAmec39IyEx_6qawtMGysU/edit?usp=sharing"",""สบก!BB69"")"),0)</f>
        <v>0</v>
      </c>
      <c r="L65" s="79">
        <f t="shared" ca="1" si="5"/>
        <v>0</v>
      </c>
      <c r="M65" s="79">
        <f t="shared" ca="1" si="6"/>
        <v>0</v>
      </c>
      <c r="N65" s="79">
        <f ca="1">IFERROR(__xludf.DUMMYFUNCTION("IMPORTRANGE(""https://docs.google.com/spreadsheets/d/1Yj_ptqi66GCucihVvJfMjLAmec39IyEx_6qawtMGysU/edit?usp=sharing"",""สบก!BC69"")"),0)</f>
        <v>0</v>
      </c>
      <c r="O65" s="79">
        <f t="shared" ca="1" si="7"/>
        <v>0</v>
      </c>
      <c r="P65" s="77">
        <f ca="1">IFERROR(__xludf.DUMMYFUNCTION("IMPORTRANGE(""https://docs.google.com/spreadsheets/d/1C3CXT74ZlgGe6_JY_1olB1XN4rF0dxEuIIF-xsYjHgg/edit?usp=sharing"",""พรบ!AA69"")"),0)</f>
        <v>0</v>
      </c>
      <c r="Q65" s="77">
        <f ca="1">IFERROR(__xludf.DUMMYFUNCTION("IMPORTRANGE(""https://docs.google.com/spreadsheets/d/1SX6NBoVAgQJ6U1MVXOaj8PK2l7WJ3RER9xtqwdhxkhw/edit?usp=sharing"",""ปราจีนบุรี!J62"")"),0)</f>
        <v>0</v>
      </c>
      <c r="R65" s="79">
        <f t="shared" ca="1" si="9"/>
        <v>0</v>
      </c>
      <c r="S65" s="77">
        <f ca="1">IFERROR(__xludf.DUMMYFUNCTION("IMPORTRANGE(""https://docs.google.com/spreadsheets/d/1C3CXT74ZlgGe6_JY_1olB1XN4rF0dxEuIIF-xsYjHgg/edit?usp=sharing"",""พรบ!AB69"")"),0)</f>
        <v>0</v>
      </c>
      <c r="T65" s="77">
        <f ca="1">IFERROR(__xludf.DUMMYFUNCTION("IMPORTRANGE(""https://docs.google.com/spreadsheets/d/1SX6NBoVAgQJ6U1MVXOaj8PK2l7WJ3RER9xtqwdhxkhw/edit?usp=sharing"",""ปราจีนบุรี!J63"")"),0)</f>
        <v>0</v>
      </c>
      <c r="U65" s="79">
        <f t="shared" ca="1" si="11"/>
        <v>0</v>
      </c>
    </row>
    <row r="66" spans="1:21" ht="21" customHeight="1">
      <c r="A66" s="73">
        <v>12</v>
      </c>
      <c r="B66" s="74" t="s">
        <v>90</v>
      </c>
      <c r="C66" s="75">
        <f t="shared" ca="1" si="0"/>
        <v>0</v>
      </c>
      <c r="D66" s="76">
        <f t="shared" ca="1" si="35"/>
        <v>0</v>
      </c>
      <c r="E66" s="77">
        <f ca="1">IFERROR(__xludf.DUMMYFUNCTION("IMPORTRANGE(""https://docs.google.com/spreadsheets/d/1C3CXT74ZlgGe6_JY_1olB1XN4rF0dxEuIIF-xsYjHgg/edit?usp=sharing"",""พรบ!Y70"")"),0)</f>
        <v>0</v>
      </c>
      <c r="F66" s="77">
        <f ca="1">IFERROR(__xludf.DUMMYFUNCTION("IMPORTRANGE(""https://docs.google.com/spreadsheets/d/1C3CXT74ZlgGe6_JY_1olB1XN4rF0dxEuIIF-xsYjHgg/edit?usp=sharing"",""พรบ!Z70"")"),0)</f>
        <v>0</v>
      </c>
      <c r="G66" s="77">
        <f ca="1">IFERROR(__xludf.DUMMYFUNCTION("IMPORTRANGE(""https://docs.google.com/spreadsheets/d/1Yj_ptqi66GCucihVvJfMjLAmec39IyEx_6qawtMGysU/edit?usp=sharing"",""สบก!AY70"")"),0)</f>
        <v>0</v>
      </c>
      <c r="H66" s="77">
        <f ca="1">IFERROR(__xludf.DUMMYFUNCTION("IMPORTRANGE(""https://docs.google.com/spreadsheets/d/1Yj_ptqi66GCucihVvJfMjLAmec39IyEx_6qawtMGysU/edit?usp=shBAing"",""สบก!BA70"")"),0)</f>
        <v>0</v>
      </c>
      <c r="I66" s="77">
        <f t="shared" ca="1" si="3"/>
        <v>0</v>
      </c>
      <c r="J66" s="137">
        <f t="shared" ca="1" si="4"/>
        <v>0</v>
      </c>
      <c r="K66" s="77">
        <f ca="1">IFERROR(__xludf.DUMMYFUNCTION("IMPORTRANGE(""https://docs.google.com/spreadsheets/d/1Yj_ptqi66GCucihVvJfMjLAmec39IyEx_6qawtMGysU/edit?usp=sharing"",""สบก!BB70"")"),0)</f>
        <v>0</v>
      </c>
      <c r="L66" s="79">
        <f t="shared" ca="1" si="5"/>
        <v>0</v>
      </c>
      <c r="M66" s="79">
        <f t="shared" ca="1" si="6"/>
        <v>0</v>
      </c>
      <c r="N66" s="79">
        <f ca="1">IFERROR(__xludf.DUMMYFUNCTION("IMPORTRANGE(""https://docs.google.com/spreadsheets/d/1Yj_ptqi66GCucihVvJfMjLAmec39IyEx_6qawtMGysU/edit?usp=sharing"",""สบก!BC70"")"),0)</f>
        <v>0</v>
      </c>
      <c r="O66" s="79">
        <f t="shared" ca="1" si="7"/>
        <v>0</v>
      </c>
      <c r="P66" s="77">
        <f ca="1">IFERROR(__xludf.DUMMYFUNCTION("IMPORTRANGE(""https://docs.google.com/spreadsheets/d/1C3CXT74ZlgGe6_JY_1olB1XN4rF0dxEuIIF-xsYjHgg/edit?usp=sharing"",""พรบ!AA70"")"),0)</f>
        <v>0</v>
      </c>
      <c r="Q66" s="77">
        <f ca="1">IFERROR(__xludf.DUMMYFUNCTION("IMPORTRANGE(""https://docs.google.com/spreadsheets/d/1SX6NBoVAgQJ6U1MVXOaj8PK2l7WJ3RER9xtqwdhxkhw/edit?usp=sharing"",""พระนครศรีอยุธยา!J62"")"),0)</f>
        <v>0</v>
      </c>
      <c r="R66" s="79">
        <f t="shared" ca="1" si="9"/>
        <v>0</v>
      </c>
      <c r="S66" s="77">
        <f ca="1">IFERROR(__xludf.DUMMYFUNCTION("IMPORTRANGE(""https://docs.google.com/spreadsheets/d/1C3CXT74ZlgGe6_JY_1olB1XN4rF0dxEuIIF-xsYjHgg/edit?usp=sharing"",""พรบ!AB70"")"),0)</f>
        <v>0</v>
      </c>
      <c r="T66" s="77">
        <f ca="1">IFERROR(__xludf.DUMMYFUNCTION("IMPORTRANGE(""https://docs.google.com/spreadsheets/d/1SX6NBoVAgQJ6U1MVXOaj8PK2l7WJ3RER9xtqwdhxkhw/edit?usp=sharing"",""พระนครศรีอยุธยา!J63"")"),0)</f>
        <v>0</v>
      </c>
      <c r="U66" s="79">
        <f t="shared" ca="1" si="11"/>
        <v>0</v>
      </c>
    </row>
    <row r="67" spans="1:21" ht="21" customHeight="1">
      <c r="A67" s="73">
        <v>13</v>
      </c>
      <c r="B67" s="74" t="s">
        <v>91</v>
      </c>
      <c r="C67" s="75">
        <f t="shared" ca="1" si="0"/>
        <v>0</v>
      </c>
      <c r="D67" s="76">
        <f t="shared" ca="1" si="35"/>
        <v>0</v>
      </c>
      <c r="E67" s="77">
        <f ca="1">IFERROR(__xludf.DUMMYFUNCTION("IMPORTRANGE(""https://docs.google.com/spreadsheets/d/1C3CXT74ZlgGe6_JY_1olB1XN4rF0dxEuIIF-xsYjHgg/edit?usp=sharing"",""พรบ!Y71"")"),0)</f>
        <v>0</v>
      </c>
      <c r="F67" s="77">
        <f ca="1">IFERROR(__xludf.DUMMYFUNCTION("IMPORTRANGE(""https://docs.google.com/spreadsheets/d/1C3CXT74ZlgGe6_JY_1olB1XN4rF0dxEuIIF-xsYjHgg/edit?usp=sharing"",""พรบ!Z71"")"),0)</f>
        <v>0</v>
      </c>
      <c r="G67" s="77">
        <f ca="1">IFERROR(__xludf.DUMMYFUNCTION("IMPORTRANGE(""https://docs.google.com/spreadsheets/d/1Yj_ptqi66GCucihVvJfMjLAmec39IyEx_6qawtMGysU/edit?usp=sharing"",""สบก!AY71"")"),0)</f>
        <v>0</v>
      </c>
      <c r="H67" s="77">
        <f ca="1">IFERROR(__xludf.DUMMYFUNCTION("IMPORTRANGE(""https://docs.google.com/spreadsheets/d/1Yj_ptqi66GCucihVvJfMjLAmec39IyEx_6qawtMGysU/edit?usp=shBAing"",""สบก!BA71"")"),0)</f>
        <v>0</v>
      </c>
      <c r="I67" s="77">
        <f t="shared" ca="1" si="3"/>
        <v>0</v>
      </c>
      <c r="J67" s="137">
        <f t="shared" ca="1" si="4"/>
        <v>0</v>
      </c>
      <c r="K67" s="77">
        <f ca="1">IFERROR(__xludf.DUMMYFUNCTION("IMPORTRANGE(""https://docs.google.com/spreadsheets/d/1Yj_ptqi66GCucihVvJfMjLAmec39IyEx_6qawtMGysU/edit?usp=sharing"",""สบก!BB71"")"),0)</f>
        <v>0</v>
      </c>
      <c r="L67" s="79">
        <f t="shared" ca="1" si="5"/>
        <v>0</v>
      </c>
      <c r="M67" s="79">
        <f t="shared" ca="1" si="6"/>
        <v>0</v>
      </c>
      <c r="N67" s="79">
        <f ca="1">IFERROR(__xludf.DUMMYFUNCTION("IMPORTRANGE(""https://docs.google.com/spreadsheets/d/1Yj_ptqi66GCucihVvJfMjLAmec39IyEx_6qawtMGysU/edit?usp=sharing"",""สบก!BC71"")"),0)</f>
        <v>0</v>
      </c>
      <c r="O67" s="79">
        <f t="shared" ca="1" si="7"/>
        <v>0</v>
      </c>
      <c r="P67" s="77">
        <f ca="1">IFERROR(__xludf.DUMMYFUNCTION("IMPORTRANGE(""https://docs.google.com/spreadsheets/d/1C3CXT74ZlgGe6_JY_1olB1XN4rF0dxEuIIF-xsYjHgg/edit?usp=sharing"",""พรบ!AA71"")"),0)</f>
        <v>0</v>
      </c>
      <c r="Q67" s="77">
        <f ca="1">IFERROR(__xludf.DUMMYFUNCTION("IMPORTRANGE(""https://docs.google.com/spreadsheets/d/1SX6NBoVAgQJ6U1MVXOaj8PK2l7WJ3RER9xtqwdhxkhw/edit?usp=sharing"",""เพชรบุรี!J62"")"),0)</f>
        <v>0</v>
      </c>
      <c r="R67" s="79">
        <f t="shared" ca="1" si="9"/>
        <v>0</v>
      </c>
      <c r="S67" s="77">
        <f ca="1">IFERROR(__xludf.DUMMYFUNCTION("IMPORTRANGE(""https://docs.google.com/spreadsheets/d/1C3CXT74ZlgGe6_JY_1olB1XN4rF0dxEuIIF-xsYjHgg/edit?usp=sharing"",""พรบ!AB71"")"),0)</f>
        <v>0</v>
      </c>
      <c r="T67" s="77">
        <f ca="1">IFERROR(__xludf.DUMMYFUNCTION("IMPORTRANGE(""https://docs.google.com/spreadsheets/d/1SX6NBoVAgQJ6U1MVXOaj8PK2l7WJ3RER9xtqwdhxkhw/edit?usp=sharing"",""เพชรบุรี!J63"")"),0)</f>
        <v>0</v>
      </c>
      <c r="U67" s="79">
        <f t="shared" ca="1" si="11"/>
        <v>0</v>
      </c>
    </row>
    <row r="68" spans="1:21" ht="21" customHeight="1">
      <c r="A68" s="73">
        <v>14</v>
      </c>
      <c r="B68" s="74" t="s">
        <v>92</v>
      </c>
      <c r="C68" s="75">
        <f t="shared" ca="1" si="0"/>
        <v>0</v>
      </c>
      <c r="D68" s="76">
        <f t="shared" ca="1" si="35"/>
        <v>0</v>
      </c>
      <c r="E68" s="77">
        <f ca="1">IFERROR(__xludf.DUMMYFUNCTION("IMPORTRANGE(""https://docs.google.com/spreadsheets/d/1C3CXT74ZlgGe6_JY_1olB1XN4rF0dxEuIIF-xsYjHgg/edit?usp=sharing"",""พรบ!Y72"")"),0)</f>
        <v>0</v>
      </c>
      <c r="F68" s="77">
        <f ca="1">IFERROR(__xludf.DUMMYFUNCTION("IMPORTRANGE(""https://docs.google.com/spreadsheets/d/1C3CXT74ZlgGe6_JY_1olB1XN4rF0dxEuIIF-xsYjHgg/edit?usp=sharing"",""พรบ!Z72"")"),0)</f>
        <v>0</v>
      </c>
      <c r="G68" s="77">
        <f ca="1">IFERROR(__xludf.DUMMYFUNCTION("IMPORTRANGE(""https://docs.google.com/spreadsheets/d/1Yj_ptqi66GCucihVvJfMjLAmec39IyEx_6qawtMGysU/edit?usp=sharing"",""สบก!AY72"")"),0)</f>
        <v>0</v>
      </c>
      <c r="H68" s="77">
        <f ca="1">IFERROR(__xludf.DUMMYFUNCTION("IMPORTRANGE(""https://docs.google.com/spreadsheets/d/1Yj_ptqi66GCucihVvJfMjLAmec39IyEx_6qawtMGysU/edit?usp=shBAing"",""สบก!BA72"")"),0)</f>
        <v>0</v>
      </c>
      <c r="I68" s="77">
        <f t="shared" ca="1" si="3"/>
        <v>0</v>
      </c>
      <c r="J68" s="137">
        <f t="shared" ca="1" si="4"/>
        <v>0</v>
      </c>
      <c r="K68" s="77">
        <f ca="1">IFERROR(__xludf.DUMMYFUNCTION("IMPORTRANGE(""https://docs.google.com/spreadsheets/d/1Yj_ptqi66GCucihVvJfMjLAmec39IyEx_6qawtMGysU/edit?usp=sharing"",""สบก!BB72"")"),0)</f>
        <v>0</v>
      </c>
      <c r="L68" s="79">
        <f t="shared" ca="1" si="5"/>
        <v>0</v>
      </c>
      <c r="M68" s="79">
        <f t="shared" ca="1" si="6"/>
        <v>0</v>
      </c>
      <c r="N68" s="79">
        <f ca="1">IFERROR(__xludf.DUMMYFUNCTION("IMPORTRANGE(""https://docs.google.com/spreadsheets/d/1Yj_ptqi66GCucihVvJfMjLAmec39IyEx_6qawtMGysU/edit?usp=sharing"",""สบก!BC72"")"),0)</f>
        <v>0</v>
      </c>
      <c r="O68" s="79">
        <f t="shared" ca="1" si="7"/>
        <v>0</v>
      </c>
      <c r="P68" s="77">
        <f ca="1">IFERROR(__xludf.DUMMYFUNCTION("IMPORTRANGE(""https://docs.google.com/spreadsheets/d/1C3CXT74ZlgGe6_JY_1olB1XN4rF0dxEuIIF-xsYjHgg/edit?usp=sharing"",""พรบ!AA72"")"),0)</f>
        <v>0</v>
      </c>
      <c r="Q68" s="77">
        <f ca="1">IFERROR(__xludf.DUMMYFUNCTION("IMPORTRANGE(""https://docs.google.com/spreadsheets/d/1SX6NBoVAgQJ6U1MVXOaj8PK2l7WJ3RER9xtqwdhxkhw/edit?usp=sharing"",""ระยอง!J62"")"),0)</f>
        <v>0</v>
      </c>
      <c r="R68" s="79">
        <f t="shared" ca="1" si="9"/>
        <v>0</v>
      </c>
      <c r="S68" s="77">
        <f ca="1">IFERROR(__xludf.DUMMYFUNCTION("IMPORTRANGE(""https://docs.google.com/spreadsheets/d/1C3CXT74ZlgGe6_JY_1olB1XN4rF0dxEuIIF-xsYjHgg/edit?usp=sharing"",""พรบ!AB72"")"),0)</f>
        <v>0</v>
      </c>
      <c r="T68" s="77">
        <f ca="1">IFERROR(__xludf.DUMMYFUNCTION("IMPORTRANGE(""https://docs.google.com/spreadsheets/d/1SX6NBoVAgQJ6U1MVXOaj8PK2l7WJ3RER9xtqwdhxkhw/edit?usp=sharing"",""ระยอง!J63"")"),0)</f>
        <v>0</v>
      </c>
      <c r="U68" s="79">
        <f t="shared" ca="1" si="11"/>
        <v>0</v>
      </c>
    </row>
    <row r="69" spans="1:21" ht="21" customHeight="1">
      <c r="A69" s="73">
        <v>15</v>
      </c>
      <c r="B69" s="74" t="s">
        <v>93</v>
      </c>
      <c r="C69" s="75">
        <f t="shared" ca="1" si="0"/>
        <v>0</v>
      </c>
      <c r="D69" s="76">
        <f t="shared" ca="1" si="35"/>
        <v>0</v>
      </c>
      <c r="E69" s="77">
        <f ca="1">IFERROR(__xludf.DUMMYFUNCTION("IMPORTRANGE(""https://docs.google.com/spreadsheets/d/1C3CXT74ZlgGe6_JY_1olB1XN4rF0dxEuIIF-xsYjHgg/edit?usp=sharing"",""พรบ!Y73"")"),0)</f>
        <v>0</v>
      </c>
      <c r="F69" s="77">
        <f ca="1">IFERROR(__xludf.DUMMYFUNCTION("IMPORTRANGE(""https://docs.google.com/spreadsheets/d/1C3CXT74ZlgGe6_JY_1olB1XN4rF0dxEuIIF-xsYjHgg/edit?usp=sharing"",""พรบ!Z73"")"),0)</f>
        <v>0</v>
      </c>
      <c r="G69" s="77">
        <f ca="1">IFERROR(__xludf.DUMMYFUNCTION("IMPORTRANGE(""https://docs.google.com/spreadsheets/d/1Yj_ptqi66GCucihVvJfMjLAmec39IyEx_6qawtMGysU/edit?usp=sharing"",""สบก!AY73"")"),0)</f>
        <v>0</v>
      </c>
      <c r="H69" s="77">
        <f ca="1">IFERROR(__xludf.DUMMYFUNCTION("IMPORTRANGE(""https://docs.google.com/spreadsheets/d/1Yj_ptqi66GCucihVvJfMjLAmec39IyEx_6qawtMGysU/edit?usp=shBAing"",""สบก!BA73"")"),0)</f>
        <v>0</v>
      </c>
      <c r="I69" s="77">
        <f t="shared" ca="1" si="3"/>
        <v>0</v>
      </c>
      <c r="J69" s="137">
        <f t="shared" ca="1" si="4"/>
        <v>0</v>
      </c>
      <c r="K69" s="77">
        <f ca="1">IFERROR(__xludf.DUMMYFUNCTION("IMPORTRANGE(""https://docs.google.com/spreadsheets/d/1Yj_ptqi66GCucihVvJfMjLAmec39IyEx_6qawtMGysU/edit?usp=sharing"",""สบก!BB73"")"),0)</f>
        <v>0</v>
      </c>
      <c r="L69" s="79">
        <f t="shared" ca="1" si="5"/>
        <v>0</v>
      </c>
      <c r="M69" s="79">
        <f t="shared" ca="1" si="6"/>
        <v>0</v>
      </c>
      <c r="N69" s="79">
        <f ca="1">IFERROR(__xludf.DUMMYFUNCTION("IMPORTRANGE(""https://docs.google.com/spreadsheets/d/1Yj_ptqi66GCucihVvJfMjLAmec39IyEx_6qawtMGysU/edit?usp=sharing"",""สบก!BC73"")"),0)</f>
        <v>0</v>
      </c>
      <c r="O69" s="79">
        <f t="shared" ca="1" si="7"/>
        <v>0</v>
      </c>
      <c r="P69" s="77">
        <f ca="1">IFERROR(__xludf.DUMMYFUNCTION("IMPORTRANGE(""https://docs.google.com/spreadsheets/d/1C3CXT74ZlgGe6_JY_1olB1XN4rF0dxEuIIF-xsYjHgg/edit?usp=sharing"",""พรบ!AA73"")"),0)</f>
        <v>0</v>
      </c>
      <c r="Q69" s="77">
        <f ca="1">IFERROR(__xludf.DUMMYFUNCTION("IMPORTRANGE(""https://docs.google.com/spreadsheets/d/1SX6NBoVAgQJ6U1MVXOaj8PK2l7WJ3RER9xtqwdhxkhw/edit?usp=sharing"",""ราชบุรี!J62"")"),0)</f>
        <v>0</v>
      </c>
      <c r="R69" s="79">
        <f t="shared" ca="1" si="9"/>
        <v>0</v>
      </c>
      <c r="S69" s="77">
        <f ca="1">IFERROR(__xludf.DUMMYFUNCTION("IMPORTRANGE(""https://docs.google.com/spreadsheets/d/1C3CXT74ZlgGe6_JY_1olB1XN4rF0dxEuIIF-xsYjHgg/edit?usp=sharing"",""พรบ!AB73"")"),0)</f>
        <v>0</v>
      </c>
      <c r="T69" s="77">
        <f ca="1">IFERROR(__xludf.DUMMYFUNCTION("IMPORTRANGE(""https://docs.google.com/spreadsheets/d/1SX6NBoVAgQJ6U1MVXOaj8PK2l7WJ3RER9xtqwdhxkhw/edit?usp=sharing"",""ราชบุรี!J63"")"),0)</f>
        <v>0</v>
      </c>
      <c r="U69" s="79">
        <f t="shared" ca="1" si="11"/>
        <v>0</v>
      </c>
    </row>
    <row r="70" spans="1:21" ht="24" customHeight="1">
      <c r="A70" s="73">
        <v>16</v>
      </c>
      <c r="B70" s="74" t="s">
        <v>94</v>
      </c>
      <c r="C70" s="75">
        <f t="shared" ca="1" si="0"/>
        <v>64890</v>
      </c>
      <c r="D70" s="76">
        <f t="shared" ca="1" si="35"/>
        <v>64890</v>
      </c>
      <c r="E70" s="77">
        <f ca="1">IFERROR(__xludf.DUMMYFUNCTION("IMPORTRANGE(""https://docs.google.com/spreadsheets/d/1C3CXT74ZlgGe6_JY_1olB1XN4rF0dxEuIIF-xsYjHgg/edit?usp=sharing"",""พรบ!Y74"")"),0)</f>
        <v>0</v>
      </c>
      <c r="F70" s="77">
        <f ca="1">IFERROR(__xludf.DUMMYFUNCTION("IMPORTRANGE(""https://docs.google.com/spreadsheets/d/1C3CXT74ZlgGe6_JY_1olB1XN4rF0dxEuIIF-xsYjHgg/edit?usp=sharing"",""พรบ!Z74"")"),64890)</f>
        <v>64890</v>
      </c>
      <c r="G70" s="77">
        <f ca="1">IFERROR(__xludf.DUMMYFUNCTION("IMPORTRANGE(""https://docs.google.com/spreadsheets/d/1Yj_ptqi66GCucihVvJfMjLAmec39IyEx_6qawtMGysU/edit?usp=sharing"",""สบก!AY74"")"),0)</f>
        <v>0</v>
      </c>
      <c r="H70" s="77">
        <f ca="1">IFERROR(__xludf.DUMMYFUNCTION("IMPORTRANGE(""https://docs.google.com/spreadsheets/d/1Yj_ptqi66GCucihVvJfMjLAmec39IyEx_6qawtMGysU/edit?usp=shBAing"",""สบก!BA74"")"),64890)</f>
        <v>64890</v>
      </c>
      <c r="I70" s="77">
        <f t="shared" ca="1" si="3"/>
        <v>18824</v>
      </c>
      <c r="J70" s="137">
        <f t="shared" ca="1" si="4"/>
        <v>29.009092310063185</v>
      </c>
      <c r="K70" s="77">
        <f ca="1">IFERROR(__xludf.DUMMYFUNCTION("IMPORTRANGE(""https://docs.google.com/spreadsheets/d/1Yj_ptqi66GCucihVvJfMjLAmec39IyEx_6qawtMGysU/edit?usp=sharing"",""สบก!BB74"")"),18824)</f>
        <v>18824</v>
      </c>
      <c r="L70" s="79">
        <f t="shared" ca="1" si="5"/>
        <v>29.009092310063185</v>
      </c>
      <c r="M70" s="79">
        <f t="shared" ca="1" si="6"/>
        <v>29.009092310063185</v>
      </c>
      <c r="N70" s="79">
        <f ca="1">IFERROR(__xludf.DUMMYFUNCTION("IMPORTRANGE(""https://docs.google.com/spreadsheets/d/1Yj_ptqi66GCucihVvJfMjLAmec39IyEx_6qawtMGysU/edit?usp=sharing"",""สบก!BC74"")"),0)</f>
        <v>0</v>
      </c>
      <c r="O70" s="79">
        <f t="shared" ca="1" si="7"/>
        <v>0</v>
      </c>
      <c r="P70" s="77">
        <f ca="1">IFERROR(__xludf.DUMMYFUNCTION("IMPORTRANGE(""https://docs.google.com/spreadsheets/d/1C3CXT74ZlgGe6_JY_1olB1XN4rF0dxEuIIF-xsYjHgg/edit?usp=sharing"",""พรบ!AA74"")"),15)</f>
        <v>15</v>
      </c>
      <c r="Q70" s="77">
        <f ca="1">IFERROR(__xludf.DUMMYFUNCTION("IMPORTRANGE(""https://docs.google.com/spreadsheets/d/1SX6NBoVAgQJ6U1MVXOaj8PK2l7WJ3RER9xtqwdhxkhw/edit?usp=sharing"",""ลพบุรี!J62"")"),15)</f>
        <v>15</v>
      </c>
      <c r="R70" s="79">
        <f t="shared" ca="1" si="9"/>
        <v>100</v>
      </c>
      <c r="S70" s="77">
        <f ca="1">IFERROR(__xludf.DUMMYFUNCTION("IMPORTRANGE(""https://docs.google.com/spreadsheets/d/1C3CXT74ZlgGe6_JY_1olB1XN4rF0dxEuIIF-xsYjHgg/edit?usp=sharing"",""พรบ!AB74"")"),15)</f>
        <v>15</v>
      </c>
      <c r="T70" s="77">
        <f ca="1">IFERROR(__xludf.DUMMYFUNCTION("IMPORTRANGE(""https://docs.google.com/spreadsheets/d/1SX6NBoVAgQJ6U1MVXOaj8PK2l7WJ3RER9xtqwdhxkhw/edit?usp=sharing"",""ลพบุรี!J63"")"),15)</f>
        <v>15</v>
      </c>
      <c r="U70" s="79">
        <f t="shared" ca="1" si="11"/>
        <v>100</v>
      </c>
    </row>
    <row r="71" spans="1:21" ht="21" customHeight="1">
      <c r="A71" s="73">
        <v>17</v>
      </c>
      <c r="B71" s="74" t="s">
        <v>95</v>
      </c>
      <c r="C71" s="75">
        <f t="shared" ca="1" si="0"/>
        <v>0</v>
      </c>
      <c r="D71" s="76">
        <f t="shared" ca="1" si="35"/>
        <v>0</v>
      </c>
      <c r="E71" s="77">
        <f ca="1">IFERROR(__xludf.DUMMYFUNCTION("IMPORTRANGE(""https://docs.google.com/spreadsheets/d/1C3CXT74ZlgGe6_JY_1olB1XN4rF0dxEuIIF-xsYjHgg/edit?usp=sharing"",""พรบ!Y75"")"),0)</f>
        <v>0</v>
      </c>
      <c r="F71" s="77">
        <f ca="1">IFERROR(__xludf.DUMMYFUNCTION("IMPORTRANGE(""https://docs.google.com/spreadsheets/d/1C3CXT74ZlgGe6_JY_1olB1XN4rF0dxEuIIF-xsYjHgg/edit?usp=sharing"",""พรบ!Z75"")"),0)</f>
        <v>0</v>
      </c>
      <c r="G71" s="77">
        <f ca="1">IFERROR(__xludf.DUMMYFUNCTION("IMPORTRANGE(""https://docs.google.com/spreadsheets/d/1Yj_ptqi66GCucihVvJfMjLAmec39IyEx_6qawtMGysU/edit?usp=sharing"",""สบก!AY75"")"),0)</f>
        <v>0</v>
      </c>
      <c r="H71" s="77">
        <f ca="1">IFERROR(__xludf.DUMMYFUNCTION("IMPORTRANGE(""https://docs.google.com/spreadsheets/d/1Yj_ptqi66GCucihVvJfMjLAmec39IyEx_6qawtMGysU/edit?usp=shBAing"",""สบก!BA75"")"),0)</f>
        <v>0</v>
      </c>
      <c r="I71" s="77">
        <f t="shared" ca="1" si="3"/>
        <v>0</v>
      </c>
      <c r="J71" s="137">
        <f t="shared" ca="1" si="4"/>
        <v>0</v>
      </c>
      <c r="K71" s="77">
        <f ca="1">IFERROR(__xludf.DUMMYFUNCTION("IMPORTRANGE(""https://docs.google.com/spreadsheets/d/1Yj_ptqi66GCucihVvJfMjLAmec39IyEx_6qawtMGysU/edit?usp=sharing"",""สบก!BB75"")"),0)</f>
        <v>0</v>
      </c>
      <c r="L71" s="79">
        <f t="shared" ca="1" si="5"/>
        <v>0</v>
      </c>
      <c r="M71" s="79">
        <f t="shared" ca="1" si="6"/>
        <v>0</v>
      </c>
      <c r="N71" s="79">
        <f ca="1">IFERROR(__xludf.DUMMYFUNCTION("IMPORTRANGE(""https://docs.google.com/spreadsheets/d/1Yj_ptqi66GCucihVvJfMjLAmec39IyEx_6qawtMGysU/edit?usp=sharing"",""สบก!BC75"")"),0)</f>
        <v>0</v>
      </c>
      <c r="O71" s="79">
        <f t="shared" ca="1" si="7"/>
        <v>0</v>
      </c>
      <c r="P71" s="77">
        <f ca="1">IFERROR(__xludf.DUMMYFUNCTION("IMPORTRANGE(""https://docs.google.com/spreadsheets/d/1C3CXT74ZlgGe6_JY_1olB1XN4rF0dxEuIIF-xsYjHgg/edit?usp=sharing"",""พรบ!AA75"")"),0)</f>
        <v>0</v>
      </c>
      <c r="Q71" s="77">
        <f ca="1">IFERROR(__xludf.DUMMYFUNCTION("IMPORTRANGE(""https://docs.google.com/spreadsheets/d/1SX6NBoVAgQJ6U1MVXOaj8PK2l7WJ3RER9xtqwdhxkhw/edit?usp=sharing"",""สระแก้ว!J62"")"),0)</f>
        <v>0</v>
      </c>
      <c r="R71" s="79">
        <f t="shared" ca="1" si="9"/>
        <v>0</v>
      </c>
      <c r="S71" s="77">
        <f ca="1">IFERROR(__xludf.DUMMYFUNCTION("IMPORTRANGE(""https://docs.google.com/spreadsheets/d/1C3CXT74ZlgGe6_JY_1olB1XN4rF0dxEuIIF-xsYjHgg/edit?usp=sharing"",""พรบ!AB75"")"),0)</f>
        <v>0</v>
      </c>
      <c r="T71" s="77">
        <f ca="1">IFERROR(__xludf.DUMMYFUNCTION("IMPORTRANGE(""https://docs.google.com/spreadsheets/d/1SX6NBoVAgQJ6U1MVXOaj8PK2l7WJ3RER9xtqwdhxkhw/edit?usp=sharing"",""สระแก้ว!J63"")"),0)</f>
        <v>0</v>
      </c>
      <c r="U71" s="79">
        <f t="shared" ca="1" si="11"/>
        <v>0</v>
      </c>
    </row>
    <row r="72" spans="1:21" ht="21" customHeight="1">
      <c r="A72" s="73">
        <v>18</v>
      </c>
      <c r="B72" s="74" t="s">
        <v>96</v>
      </c>
      <c r="C72" s="75">
        <f t="shared" ca="1" si="0"/>
        <v>64890</v>
      </c>
      <c r="D72" s="76">
        <f t="shared" ca="1" si="35"/>
        <v>64890</v>
      </c>
      <c r="E72" s="77">
        <f ca="1">IFERROR(__xludf.DUMMYFUNCTION("IMPORTRANGE(""https://docs.google.com/spreadsheets/d/1C3CXT74ZlgGe6_JY_1olB1XN4rF0dxEuIIF-xsYjHgg/edit?usp=sharing"",""พรบ!Y76"")"),0)</f>
        <v>0</v>
      </c>
      <c r="F72" s="77">
        <f ca="1">IFERROR(__xludf.DUMMYFUNCTION("IMPORTRANGE(""https://docs.google.com/spreadsheets/d/1C3CXT74ZlgGe6_JY_1olB1XN4rF0dxEuIIF-xsYjHgg/edit?usp=sharing"",""พรบ!Z76"")"),64890)</f>
        <v>64890</v>
      </c>
      <c r="G72" s="77">
        <f ca="1">IFERROR(__xludf.DUMMYFUNCTION("IMPORTRANGE(""https://docs.google.com/spreadsheets/d/1Yj_ptqi66GCucihVvJfMjLAmec39IyEx_6qawtMGysU/edit?usp=sharing"",""สบก!AY76"")"),0)</f>
        <v>0</v>
      </c>
      <c r="H72" s="77">
        <f ca="1">IFERROR(__xludf.DUMMYFUNCTION("IMPORTRANGE(""https://docs.google.com/spreadsheets/d/1Yj_ptqi66GCucihVvJfMjLAmec39IyEx_6qawtMGysU/edit?usp=shBAing"",""สบก!BA76"")"),64890)</f>
        <v>64890</v>
      </c>
      <c r="I72" s="77">
        <f t="shared" ca="1" si="3"/>
        <v>37140</v>
      </c>
      <c r="J72" s="137">
        <f t="shared" ca="1" si="4"/>
        <v>57.235321312991218</v>
      </c>
      <c r="K72" s="77">
        <f ca="1">IFERROR(__xludf.DUMMYFUNCTION("IMPORTRANGE(""https://docs.google.com/spreadsheets/d/1Yj_ptqi66GCucihVvJfMjLAmec39IyEx_6qawtMGysU/edit?usp=sharing"",""สบก!BB76"")"),37140)</f>
        <v>37140</v>
      </c>
      <c r="L72" s="79">
        <f t="shared" ca="1" si="5"/>
        <v>57.235321312991218</v>
      </c>
      <c r="M72" s="79">
        <f t="shared" ca="1" si="6"/>
        <v>57.235321312991218</v>
      </c>
      <c r="N72" s="79">
        <f ca="1">IFERROR(__xludf.DUMMYFUNCTION("IMPORTRANGE(""https://docs.google.com/spreadsheets/d/1Yj_ptqi66GCucihVvJfMjLAmec39IyEx_6qawtMGysU/edit?usp=sharing"",""สบก!BC76"")"),0)</f>
        <v>0</v>
      </c>
      <c r="O72" s="79">
        <f t="shared" ca="1" si="7"/>
        <v>0</v>
      </c>
      <c r="P72" s="77">
        <f ca="1">IFERROR(__xludf.DUMMYFUNCTION("IMPORTRANGE(""https://docs.google.com/spreadsheets/d/1C3CXT74ZlgGe6_JY_1olB1XN4rF0dxEuIIF-xsYjHgg/edit?usp=sharing"",""พรบ!AA76"")"),15)</f>
        <v>15</v>
      </c>
      <c r="Q72" s="77">
        <f ca="1">IFERROR(__xludf.DUMMYFUNCTION("IMPORTRANGE(""https://docs.google.com/spreadsheets/d/1SX6NBoVAgQJ6U1MVXOaj8PK2l7WJ3RER9xtqwdhxkhw/edit?usp=sharing"",""สระบุรี!J62"")"),15)</f>
        <v>15</v>
      </c>
      <c r="R72" s="79">
        <f t="shared" ca="1" si="9"/>
        <v>100</v>
      </c>
      <c r="S72" s="77">
        <f ca="1">IFERROR(__xludf.DUMMYFUNCTION("IMPORTRANGE(""https://docs.google.com/spreadsheets/d/1C3CXT74ZlgGe6_JY_1olB1XN4rF0dxEuIIF-xsYjHgg/edit?usp=sharing"",""พรบ!AB76"")"),15)</f>
        <v>15</v>
      </c>
      <c r="T72" s="77">
        <f ca="1">IFERROR(__xludf.DUMMYFUNCTION("IMPORTRANGE(""https://docs.google.com/spreadsheets/d/1SX6NBoVAgQJ6U1MVXOaj8PK2l7WJ3RER9xtqwdhxkhw/edit?usp=sharing"",""สระบุรี!J63"")"),15)</f>
        <v>15</v>
      </c>
      <c r="U72" s="79">
        <f t="shared" ca="1" si="11"/>
        <v>100</v>
      </c>
    </row>
    <row r="73" spans="1:21" ht="21" customHeight="1">
      <c r="A73" s="73">
        <v>19</v>
      </c>
      <c r="B73" s="74" t="s">
        <v>97</v>
      </c>
      <c r="C73" s="75">
        <f t="shared" ca="1" si="0"/>
        <v>0</v>
      </c>
      <c r="D73" s="76">
        <f t="shared" ca="1" si="35"/>
        <v>0</v>
      </c>
      <c r="E73" s="77">
        <f ca="1">IFERROR(__xludf.DUMMYFUNCTION("IMPORTRANGE(""https://docs.google.com/spreadsheets/d/1C3CXT74ZlgGe6_JY_1olB1XN4rF0dxEuIIF-xsYjHgg/edit?usp=sharing"",""พรบ!Y77"")"),0)</f>
        <v>0</v>
      </c>
      <c r="F73" s="77">
        <f ca="1">IFERROR(__xludf.DUMMYFUNCTION("IMPORTRANGE(""https://docs.google.com/spreadsheets/d/1C3CXT74ZlgGe6_JY_1olB1XN4rF0dxEuIIF-xsYjHgg/edit?usp=sharing"",""พรบ!Z77"")"),0)</f>
        <v>0</v>
      </c>
      <c r="G73" s="77">
        <f ca="1">IFERROR(__xludf.DUMMYFUNCTION("IMPORTRANGE(""https://docs.google.com/spreadsheets/d/1Yj_ptqi66GCucihVvJfMjLAmec39IyEx_6qawtMGysU/edit?usp=sharing"",""สบก!AY77"")"),0)</f>
        <v>0</v>
      </c>
      <c r="H73" s="77">
        <f ca="1">IFERROR(__xludf.DUMMYFUNCTION("IMPORTRANGE(""https://docs.google.com/spreadsheets/d/1Yj_ptqi66GCucihVvJfMjLAmec39IyEx_6qawtMGysU/edit?usp=shBAing"",""สบก!BA77"")"),0)</f>
        <v>0</v>
      </c>
      <c r="I73" s="77">
        <f t="shared" ca="1" si="3"/>
        <v>0</v>
      </c>
      <c r="J73" s="137">
        <f t="shared" ca="1" si="4"/>
        <v>0</v>
      </c>
      <c r="K73" s="77">
        <f ca="1">IFERROR(__xludf.DUMMYFUNCTION("IMPORTRANGE(""https://docs.google.com/spreadsheets/d/1Yj_ptqi66GCucihVvJfMjLAmec39IyEx_6qawtMGysU/edit?usp=sharing"",""สบก!BB77"")"),0)</f>
        <v>0</v>
      </c>
      <c r="L73" s="79">
        <f t="shared" ca="1" si="5"/>
        <v>0</v>
      </c>
      <c r="M73" s="79">
        <f t="shared" ca="1" si="6"/>
        <v>0</v>
      </c>
      <c r="N73" s="79">
        <f ca="1">IFERROR(__xludf.DUMMYFUNCTION("IMPORTRANGE(""https://docs.google.com/spreadsheets/d/1Yj_ptqi66GCucihVvJfMjLAmec39IyEx_6qawtMGysU/edit?usp=sharing"",""สบก!BC77"")"),0)</f>
        <v>0</v>
      </c>
      <c r="O73" s="79">
        <f t="shared" ca="1" si="7"/>
        <v>0</v>
      </c>
      <c r="P73" s="77">
        <f ca="1">IFERROR(__xludf.DUMMYFUNCTION("IMPORTRANGE(""https://docs.google.com/spreadsheets/d/1C3CXT74ZlgGe6_JY_1olB1XN4rF0dxEuIIF-xsYjHgg/edit?usp=sharing"",""พรบ!AA77"")"),0)</f>
        <v>0</v>
      </c>
      <c r="Q73" s="77">
        <f ca="1">IFERROR(__xludf.DUMMYFUNCTION("IMPORTRANGE(""https://docs.google.com/spreadsheets/d/1SX6NBoVAgQJ6U1MVXOaj8PK2l7WJ3RER9xtqwdhxkhw/edit?usp=sharing"",""สิงห์บุรี!J62"")"),0)</f>
        <v>0</v>
      </c>
      <c r="R73" s="79">
        <f t="shared" ca="1" si="9"/>
        <v>0</v>
      </c>
      <c r="S73" s="77">
        <f ca="1">IFERROR(__xludf.DUMMYFUNCTION("IMPORTRANGE(""https://docs.google.com/spreadsheets/d/1C3CXT74ZlgGe6_JY_1olB1XN4rF0dxEuIIF-xsYjHgg/edit?usp=sharing"",""พรบ!AB77"")"),0)</f>
        <v>0</v>
      </c>
      <c r="T73" s="77">
        <f ca="1">IFERROR(__xludf.DUMMYFUNCTION("IMPORTRANGE(""https://docs.google.com/spreadsheets/d/1SX6NBoVAgQJ6U1MVXOaj8PK2l7WJ3RER9xtqwdhxkhw/edit?usp=sharing"",""สิงห์บุรี!J63"")"),0)</f>
        <v>0</v>
      </c>
      <c r="U73" s="79">
        <f t="shared" ca="1" si="11"/>
        <v>0</v>
      </c>
    </row>
    <row r="74" spans="1:21" ht="21" customHeight="1">
      <c r="A74" s="73">
        <v>20</v>
      </c>
      <c r="B74" s="74" t="s">
        <v>98</v>
      </c>
      <c r="C74" s="75">
        <f t="shared" ca="1" si="0"/>
        <v>64890</v>
      </c>
      <c r="D74" s="76">
        <f t="shared" ca="1" si="35"/>
        <v>64890</v>
      </c>
      <c r="E74" s="77">
        <f ca="1">IFERROR(__xludf.DUMMYFUNCTION("IMPORTRANGE(""https://docs.google.com/spreadsheets/d/1C3CXT74ZlgGe6_JY_1olB1XN4rF0dxEuIIF-xsYjHgg/edit?usp=sharing"",""พรบ!Y78"")"),0)</f>
        <v>0</v>
      </c>
      <c r="F74" s="77">
        <f ca="1">IFERROR(__xludf.DUMMYFUNCTION("IMPORTRANGE(""https://docs.google.com/spreadsheets/d/1C3CXT74ZlgGe6_JY_1olB1XN4rF0dxEuIIF-xsYjHgg/edit?usp=sharing"",""พรบ!Z78"")"),64890)</f>
        <v>64890</v>
      </c>
      <c r="G74" s="77">
        <f ca="1">IFERROR(__xludf.DUMMYFUNCTION("IMPORTRANGE(""https://docs.google.com/spreadsheets/d/1Yj_ptqi66GCucihVvJfMjLAmec39IyEx_6qawtMGysU/edit?usp=sharing"",""สบก!AY78"")"),0)</f>
        <v>0</v>
      </c>
      <c r="H74" s="77">
        <f ca="1">IFERROR(__xludf.DUMMYFUNCTION("IMPORTRANGE(""https://docs.google.com/spreadsheets/d/1Yj_ptqi66GCucihVvJfMjLAmec39IyEx_6qawtMGysU/edit?usp=shBAing"",""สบก!BA78"")"),64890)</f>
        <v>64890</v>
      </c>
      <c r="I74" s="77">
        <f t="shared" ca="1" si="3"/>
        <v>32670</v>
      </c>
      <c r="J74" s="137">
        <f t="shared" ca="1" si="4"/>
        <v>50.346740638002771</v>
      </c>
      <c r="K74" s="77">
        <f ca="1">IFERROR(__xludf.DUMMYFUNCTION("IMPORTRANGE(""https://docs.google.com/spreadsheets/d/1Yj_ptqi66GCucihVvJfMjLAmec39IyEx_6qawtMGysU/edit?usp=sharing"",""สบก!BB78"")"),32670)</f>
        <v>32670</v>
      </c>
      <c r="L74" s="79">
        <f t="shared" ca="1" si="5"/>
        <v>50.346740638002771</v>
      </c>
      <c r="M74" s="79">
        <f t="shared" ca="1" si="6"/>
        <v>50.346740638002771</v>
      </c>
      <c r="N74" s="79">
        <f ca="1">IFERROR(__xludf.DUMMYFUNCTION("IMPORTRANGE(""https://docs.google.com/spreadsheets/d/1Yj_ptqi66GCucihVvJfMjLAmec39IyEx_6qawtMGysU/edit?usp=sharing"",""สบก!BC78"")"),0)</f>
        <v>0</v>
      </c>
      <c r="O74" s="79">
        <f t="shared" ca="1" si="7"/>
        <v>0</v>
      </c>
      <c r="P74" s="77">
        <f ca="1">IFERROR(__xludf.DUMMYFUNCTION("IMPORTRANGE(""https://docs.google.com/spreadsheets/d/1C3CXT74ZlgGe6_JY_1olB1XN4rF0dxEuIIF-xsYjHgg/edit?usp=sharing"",""พรบ!AA78"")"),15)</f>
        <v>15</v>
      </c>
      <c r="Q74" s="77">
        <f ca="1">IFERROR(__xludf.DUMMYFUNCTION("IMPORTRANGE(""https://docs.google.com/spreadsheets/d/1SX6NBoVAgQJ6U1MVXOaj8PK2l7WJ3RER9xtqwdhxkhw/edit?usp=sharing"",""สุพรรณบุรี!J62"")"),15)</f>
        <v>15</v>
      </c>
      <c r="R74" s="79">
        <f t="shared" ca="1" si="9"/>
        <v>100</v>
      </c>
      <c r="S74" s="77">
        <f ca="1">IFERROR(__xludf.DUMMYFUNCTION("IMPORTRANGE(""https://docs.google.com/spreadsheets/d/1C3CXT74ZlgGe6_JY_1olB1XN4rF0dxEuIIF-xsYjHgg/edit?usp=sharing"",""พรบ!AB78"")"),15)</f>
        <v>15</v>
      </c>
      <c r="T74" s="77">
        <f ca="1">IFERROR(__xludf.DUMMYFUNCTION("IMPORTRANGE(""https://docs.google.com/spreadsheets/d/1SX6NBoVAgQJ6U1MVXOaj8PK2l7WJ3RER9xtqwdhxkhw/edit?usp=sharing"",""สุพรรณบุรี!J63"")"),0)</f>
        <v>0</v>
      </c>
      <c r="U74" s="79">
        <f t="shared" ca="1" si="11"/>
        <v>0</v>
      </c>
    </row>
    <row r="75" spans="1:21" ht="21" customHeight="1">
      <c r="A75" s="84">
        <v>21</v>
      </c>
      <c r="B75" s="85" t="s">
        <v>99</v>
      </c>
      <c r="C75" s="86">
        <f t="shared" ca="1" si="0"/>
        <v>0</v>
      </c>
      <c r="D75" s="87">
        <f t="shared" ca="1" si="35"/>
        <v>0</v>
      </c>
      <c r="E75" s="88">
        <f ca="1">IFERROR(__xludf.DUMMYFUNCTION("IMPORTRANGE(""https://docs.google.com/spreadsheets/d/1C3CXT74ZlgGe6_JY_1olB1XN4rF0dxEuIIF-xsYjHgg/edit?usp=sharing"",""พรบ!Y79"")"),0)</f>
        <v>0</v>
      </c>
      <c r="F75" s="88">
        <f ca="1">IFERROR(__xludf.DUMMYFUNCTION("IMPORTRANGE(""https://docs.google.com/spreadsheets/d/1C3CXT74ZlgGe6_JY_1olB1XN4rF0dxEuIIF-xsYjHgg/edit?usp=sharing"",""พรบ!Z79"")"),0)</f>
        <v>0</v>
      </c>
      <c r="G75" s="88">
        <f ca="1">IFERROR(__xludf.DUMMYFUNCTION("IMPORTRANGE(""https://docs.google.com/spreadsheets/d/1Yj_ptqi66GCucihVvJfMjLAmec39IyEx_6qawtMGysU/edit?usp=sharing"",""สบก!AY79"")"),0)</f>
        <v>0</v>
      </c>
      <c r="H75" s="88">
        <f ca="1">IFERROR(__xludf.DUMMYFUNCTION("IMPORTRANGE(""https://docs.google.com/spreadsheets/d/1Yj_ptqi66GCucihVvJfMjLAmec39IyEx_6qawtMGysU/edit?usp=shBAing"",""สบก!BA79"")"),0)</f>
        <v>0</v>
      </c>
      <c r="I75" s="88">
        <f t="shared" ca="1" si="3"/>
        <v>0</v>
      </c>
      <c r="J75" s="138">
        <f t="shared" ca="1" si="4"/>
        <v>0</v>
      </c>
      <c r="K75" s="88">
        <f ca="1">IFERROR(__xludf.DUMMYFUNCTION("IMPORTRANGE(""https://docs.google.com/spreadsheets/d/1Yj_ptqi66GCucihVvJfMjLAmec39IyEx_6qawtMGysU/edit?usp=sharing"",""สบก!BB79"")"),0)</f>
        <v>0</v>
      </c>
      <c r="L75" s="90">
        <f t="shared" ca="1" si="5"/>
        <v>0</v>
      </c>
      <c r="M75" s="90">
        <f t="shared" ca="1" si="6"/>
        <v>0</v>
      </c>
      <c r="N75" s="90">
        <f ca="1">IFERROR(__xludf.DUMMYFUNCTION("IMPORTRANGE(""https://docs.google.com/spreadsheets/d/1Yj_ptqi66GCucihVvJfMjLAmec39IyEx_6qawtMGysU/edit?usp=sharing"",""สบก!BC79"")"),0)</f>
        <v>0</v>
      </c>
      <c r="O75" s="90">
        <f t="shared" ca="1" si="7"/>
        <v>0</v>
      </c>
      <c r="P75" s="88">
        <f ca="1">IFERROR(__xludf.DUMMYFUNCTION("IMPORTRANGE(""https://docs.google.com/spreadsheets/d/1C3CXT74ZlgGe6_JY_1olB1XN4rF0dxEuIIF-xsYjHgg/edit?usp=sharing"",""พรบ!AA79"")"),0)</f>
        <v>0</v>
      </c>
      <c r="Q75" s="88">
        <f ca="1">IFERROR(__xludf.DUMMYFUNCTION("IMPORTRANGE(""https://docs.google.com/spreadsheets/d/1SX6NBoVAgQJ6U1MVXOaj8PK2l7WJ3RER9xtqwdhxkhw/edit?usp=sharing"",""อ่างทอง!J62"")"),0)</f>
        <v>0</v>
      </c>
      <c r="R75" s="90">
        <f t="shared" ca="1" si="9"/>
        <v>0</v>
      </c>
      <c r="S75" s="88">
        <f ca="1">IFERROR(__xludf.DUMMYFUNCTION("IMPORTRANGE(""https://docs.google.com/spreadsheets/d/1C3CXT74ZlgGe6_JY_1olB1XN4rF0dxEuIIF-xsYjHgg/edit?usp=sharing"",""พรบ!AB79"")"),0)</f>
        <v>0</v>
      </c>
      <c r="T75" s="88">
        <f ca="1">IFERROR(__xludf.DUMMYFUNCTION("IMPORTRANGE(""https://docs.google.com/spreadsheets/d/1SX6NBoVAgQJ6U1MVXOaj8PK2l7WJ3RER9xtqwdhxkhw/edit?usp=sharing"",""อ่างทอง!J63"")"),0)</f>
        <v>0</v>
      </c>
      <c r="U75" s="90">
        <f t="shared" ca="1" si="11"/>
        <v>0</v>
      </c>
    </row>
    <row r="76" spans="1:21" ht="21" customHeight="1">
      <c r="A76" s="676" t="s">
        <v>100</v>
      </c>
      <c r="B76" s="652"/>
      <c r="C76" s="99">
        <f t="shared" ca="1" si="0"/>
        <v>324450</v>
      </c>
      <c r="D76" s="95">
        <f t="shared" ref="D76:H76" ca="1" si="36">SUM(D77:D90)</f>
        <v>324450</v>
      </c>
      <c r="E76" s="95">
        <f t="shared" ca="1" si="36"/>
        <v>0</v>
      </c>
      <c r="F76" s="95">
        <f t="shared" ca="1" si="36"/>
        <v>324450</v>
      </c>
      <c r="G76" s="95">
        <f t="shared" ca="1" si="36"/>
        <v>0</v>
      </c>
      <c r="H76" s="95">
        <f t="shared" ca="1" si="36"/>
        <v>324450</v>
      </c>
      <c r="I76" s="95">
        <f t="shared" ca="1" si="3"/>
        <v>163689</v>
      </c>
      <c r="J76" s="139">
        <f t="shared" ca="1" si="4"/>
        <v>50.451225150254274</v>
      </c>
      <c r="K76" s="95">
        <f ca="1">SUM(K77:K90)</f>
        <v>163689</v>
      </c>
      <c r="L76" s="97">
        <f t="shared" ca="1" si="5"/>
        <v>50.451225150254274</v>
      </c>
      <c r="M76" s="97">
        <f t="shared" ca="1" si="6"/>
        <v>50.451225150254274</v>
      </c>
      <c r="N76" s="97">
        <f ca="1">SUM(N77:N90)</f>
        <v>0</v>
      </c>
      <c r="O76" s="97">
        <f t="shared" ca="1" si="7"/>
        <v>0</v>
      </c>
      <c r="P76" s="95">
        <f t="shared" ref="P76:Q76" ca="1" si="37">SUM(P77:P90)</f>
        <v>75</v>
      </c>
      <c r="Q76" s="95">
        <f t="shared" ca="1" si="37"/>
        <v>75</v>
      </c>
      <c r="R76" s="97">
        <f t="shared" ca="1" si="9"/>
        <v>100</v>
      </c>
      <c r="S76" s="95">
        <f t="shared" ref="S76:T76" ca="1" si="38">SUM(S77:S90)</f>
        <v>75</v>
      </c>
      <c r="T76" s="95">
        <f t="shared" ca="1" si="38"/>
        <v>32</v>
      </c>
      <c r="U76" s="97">
        <f t="shared" ca="1" si="11"/>
        <v>42.666666666666664</v>
      </c>
    </row>
    <row r="77" spans="1:21" ht="21" customHeight="1">
      <c r="A77" s="63">
        <v>1</v>
      </c>
      <c r="B77" s="64" t="s">
        <v>101</v>
      </c>
      <c r="C77" s="65">
        <f t="shared" ca="1" si="0"/>
        <v>0</v>
      </c>
      <c r="D77" s="66">
        <f t="shared" ref="D77:D90" ca="1" si="39">+E77+F77</f>
        <v>0</v>
      </c>
      <c r="E77" s="67">
        <f ca="1">IFERROR(__xludf.DUMMYFUNCTION("IMPORTRANGE(""https://docs.google.com/spreadsheets/d/1C3CXT74ZlgGe6_JY_1olB1XN4rF0dxEuIIF-xsYjHgg/edit?usp=sharing"",""พรบ!Y81"")"),0)</f>
        <v>0</v>
      </c>
      <c r="F77" s="67">
        <f ca="1">IFERROR(__xludf.DUMMYFUNCTION("IMPORTRANGE(""https://docs.google.com/spreadsheets/d/1C3CXT74ZlgGe6_JY_1olB1XN4rF0dxEuIIF-xsYjHgg/edit?usp=sharing"",""พรบ!Z81"")"),0)</f>
        <v>0</v>
      </c>
      <c r="G77" s="67">
        <f ca="1">IFERROR(__xludf.DUMMYFUNCTION("IMPORTRANGE(""https://docs.google.com/spreadsheets/d/1Yj_ptqi66GCucihVvJfMjLAmec39IyEx_6qawtMGysU/edit?usp=sharing"",""สบก!AY81"")"),0)</f>
        <v>0</v>
      </c>
      <c r="H77" s="67">
        <f ca="1">IFERROR(__xludf.DUMMYFUNCTION("IMPORTRANGE(""https://docs.google.com/spreadsheets/d/1Yj_ptqi66GCucihVvJfMjLAmec39IyEx_6qawtMGysU/edit?usp=shBAing"",""สบก!BA81"")"),0)</f>
        <v>0</v>
      </c>
      <c r="I77" s="67">
        <f t="shared" ca="1" si="3"/>
        <v>0</v>
      </c>
      <c r="J77" s="136">
        <f t="shared" ca="1" si="4"/>
        <v>0</v>
      </c>
      <c r="K77" s="67">
        <f ca="1">IFERROR(__xludf.DUMMYFUNCTION("IMPORTRANGE(""https://docs.google.com/spreadsheets/d/1Yj_ptqi66GCucihVvJfMjLAmec39IyEx_6qawtMGysU/edit?usp=sharing"",""สบก!BB81"")"),0)</f>
        <v>0</v>
      </c>
      <c r="L77" s="70">
        <f t="shared" ca="1" si="5"/>
        <v>0</v>
      </c>
      <c r="M77" s="70">
        <f t="shared" ca="1" si="6"/>
        <v>0</v>
      </c>
      <c r="N77" s="70">
        <f ca="1">IFERROR(__xludf.DUMMYFUNCTION("IMPORTRANGE(""https://docs.google.com/spreadsheets/d/1Yj_ptqi66GCucihVvJfMjLAmec39IyEx_6qawtMGysU/edit?usp=sharing"",""สบก!BC81"")"),0)</f>
        <v>0</v>
      </c>
      <c r="O77" s="70">
        <f t="shared" ca="1" si="7"/>
        <v>0</v>
      </c>
      <c r="P77" s="67">
        <f ca="1">IFERROR(__xludf.DUMMYFUNCTION("IMPORTRANGE(""https://docs.google.com/spreadsheets/d/1C3CXT74ZlgGe6_JY_1olB1XN4rF0dxEuIIF-xsYjHgg/edit?usp=sharing"",""พรบ!AA81"")"),0)</f>
        <v>0</v>
      </c>
      <c r="Q77" s="67">
        <f ca="1">IFERROR(__xludf.DUMMYFUNCTION("IMPORTRANGE(""https://docs.google.com/spreadsheets/d/1IYY_tgx_IHuhSq3AJ5eI5OnqOPBNLWSHKh2a30DoXe8/edit?usp=sharing"",""กระบี่!J62"")"),0)</f>
        <v>0</v>
      </c>
      <c r="R77" s="70">
        <f t="shared" ca="1" si="9"/>
        <v>0</v>
      </c>
      <c r="S77" s="67">
        <f ca="1">IFERROR(__xludf.DUMMYFUNCTION("IMPORTRANGE(""https://docs.google.com/spreadsheets/d/1C3CXT74ZlgGe6_JY_1olB1XN4rF0dxEuIIF-xsYjHgg/edit?usp=sharing"",""พรบ!AB81"")"),0)</f>
        <v>0</v>
      </c>
      <c r="T77" s="67">
        <f ca="1">IFERROR(__xludf.DUMMYFUNCTION("IMPORTRANGE(""https://docs.google.com/spreadsheets/d/1IYY_tgx_IHuhSq3AJ5eI5OnqOPBNLWSHKh2a30DoXe8/edit?usp=sharing"",""กระบี่!J63"")"),0)</f>
        <v>0</v>
      </c>
      <c r="U77" s="70">
        <f t="shared" ca="1" si="11"/>
        <v>0</v>
      </c>
    </row>
    <row r="78" spans="1:21" ht="21" customHeight="1">
      <c r="A78" s="73">
        <v>2</v>
      </c>
      <c r="B78" s="74" t="s">
        <v>102</v>
      </c>
      <c r="C78" s="75">
        <f t="shared" ca="1" si="0"/>
        <v>64890</v>
      </c>
      <c r="D78" s="76">
        <f t="shared" ca="1" si="39"/>
        <v>64890</v>
      </c>
      <c r="E78" s="77">
        <f ca="1">IFERROR(__xludf.DUMMYFUNCTION("IMPORTRANGE(""https://docs.google.com/spreadsheets/d/1C3CXT74ZlgGe6_JY_1olB1XN4rF0dxEuIIF-xsYjHgg/edit?usp=sharing"",""พรบ!Y82"")"),0)</f>
        <v>0</v>
      </c>
      <c r="F78" s="77">
        <f ca="1">IFERROR(__xludf.DUMMYFUNCTION("IMPORTRANGE(""https://docs.google.com/spreadsheets/d/1C3CXT74ZlgGe6_JY_1olB1XN4rF0dxEuIIF-xsYjHgg/edit?usp=sharing"",""พรบ!Z82"")"),64890)</f>
        <v>64890</v>
      </c>
      <c r="G78" s="77">
        <f ca="1">IFERROR(__xludf.DUMMYFUNCTION("IMPORTRANGE(""https://docs.google.com/spreadsheets/d/1Yj_ptqi66GCucihVvJfMjLAmec39IyEx_6qawtMGysU/edit?usp=sharing"",""สบก!AY82"")"),0)</f>
        <v>0</v>
      </c>
      <c r="H78" s="77">
        <f ca="1">IFERROR(__xludf.DUMMYFUNCTION("IMPORTRANGE(""https://docs.google.com/spreadsheets/d/1Yj_ptqi66GCucihVvJfMjLAmec39IyEx_6qawtMGysU/edit?usp=shBAing"",""สบก!BA82"")"),64890)</f>
        <v>64890</v>
      </c>
      <c r="I78" s="77">
        <f t="shared" ca="1" si="3"/>
        <v>22880</v>
      </c>
      <c r="J78" s="137">
        <f t="shared" ca="1" si="4"/>
        <v>35.259670211126519</v>
      </c>
      <c r="K78" s="77">
        <f ca="1">IFERROR(__xludf.DUMMYFUNCTION("IMPORTRANGE(""https://docs.google.com/spreadsheets/d/1Yj_ptqi66GCucihVvJfMjLAmec39IyEx_6qawtMGysU/edit?usp=sharing"",""สบก!BB82"")"),22880)</f>
        <v>22880</v>
      </c>
      <c r="L78" s="79">
        <f t="shared" ca="1" si="5"/>
        <v>35.259670211126519</v>
      </c>
      <c r="M78" s="79">
        <f t="shared" ca="1" si="6"/>
        <v>35.259670211126519</v>
      </c>
      <c r="N78" s="79">
        <f ca="1">IFERROR(__xludf.DUMMYFUNCTION("IMPORTRANGE(""https://docs.google.com/spreadsheets/d/1Yj_ptqi66GCucihVvJfMjLAmec39IyEx_6qawtMGysU/edit?usp=sharing"",""สบก!BC82"")"),0)</f>
        <v>0</v>
      </c>
      <c r="O78" s="79">
        <f t="shared" ca="1" si="7"/>
        <v>0</v>
      </c>
      <c r="P78" s="77">
        <f ca="1">IFERROR(__xludf.DUMMYFUNCTION("IMPORTRANGE(""https://docs.google.com/spreadsheets/d/1C3CXT74ZlgGe6_JY_1olB1XN4rF0dxEuIIF-xsYjHgg/edit?usp=sharing"",""พรบ!AA82"")"),15)</f>
        <v>15</v>
      </c>
      <c r="Q78" s="77">
        <f ca="1">IFERROR(__xludf.DUMMYFUNCTION("IMPORTRANGE(""https://docs.google.com/spreadsheets/d/1IYY_tgx_IHuhSq3AJ5eI5OnqOPBNLWSHKh2a30DoXe8/edit?usp=sharing"",""ชุมพร!J62"")"),15)</f>
        <v>15</v>
      </c>
      <c r="R78" s="79">
        <f t="shared" ca="1" si="9"/>
        <v>100</v>
      </c>
      <c r="S78" s="77">
        <f ca="1">IFERROR(__xludf.DUMMYFUNCTION("IMPORTRANGE(""https://docs.google.com/spreadsheets/d/1C3CXT74ZlgGe6_JY_1olB1XN4rF0dxEuIIF-xsYjHgg/edit?usp=sharing"",""พรบ!AB82"")"),15)</f>
        <v>15</v>
      </c>
      <c r="T78" s="77">
        <f ca="1">IFERROR(__xludf.DUMMYFUNCTION("IMPORTRANGE(""https://docs.google.com/spreadsheets/d/1IYY_tgx_IHuhSq3AJ5eI5OnqOPBNLWSHKh2a30DoXe8/edit?usp=sharing"",""ชุมพร!J63"")"),0)</f>
        <v>0</v>
      </c>
      <c r="U78" s="79">
        <f t="shared" ca="1" si="11"/>
        <v>0</v>
      </c>
    </row>
    <row r="79" spans="1:21" ht="21" customHeight="1">
      <c r="A79" s="73">
        <v>3</v>
      </c>
      <c r="B79" s="74" t="s">
        <v>103</v>
      </c>
      <c r="C79" s="75">
        <f t="shared" ca="1" si="0"/>
        <v>0</v>
      </c>
      <c r="D79" s="76">
        <f t="shared" ca="1" si="39"/>
        <v>0</v>
      </c>
      <c r="E79" s="77">
        <f ca="1">IFERROR(__xludf.DUMMYFUNCTION("IMPORTRANGE(""https://docs.google.com/spreadsheets/d/1C3CXT74ZlgGe6_JY_1olB1XN4rF0dxEuIIF-xsYjHgg/edit?usp=sharing"",""พรบ!Y83"")"),0)</f>
        <v>0</v>
      </c>
      <c r="F79" s="77">
        <f ca="1">IFERROR(__xludf.DUMMYFUNCTION("IMPORTRANGE(""https://docs.google.com/spreadsheets/d/1C3CXT74ZlgGe6_JY_1olB1XN4rF0dxEuIIF-xsYjHgg/edit?usp=sharing"",""พรบ!Z83"")"),0)</f>
        <v>0</v>
      </c>
      <c r="G79" s="77">
        <f ca="1">IFERROR(__xludf.DUMMYFUNCTION("IMPORTRANGE(""https://docs.google.com/spreadsheets/d/1Yj_ptqi66GCucihVvJfMjLAmec39IyEx_6qawtMGysU/edit?usp=sharing"",""สบก!AY83"")"),0)</f>
        <v>0</v>
      </c>
      <c r="H79" s="77">
        <f ca="1">IFERROR(__xludf.DUMMYFUNCTION("IMPORTRANGE(""https://docs.google.com/spreadsheets/d/1Yj_ptqi66GCucihVvJfMjLAmec39IyEx_6qawtMGysU/edit?usp=shBAing"",""สบก!BA83"")"),0)</f>
        <v>0</v>
      </c>
      <c r="I79" s="77">
        <f t="shared" ca="1" si="3"/>
        <v>0</v>
      </c>
      <c r="J79" s="137">
        <f t="shared" ca="1" si="4"/>
        <v>0</v>
      </c>
      <c r="K79" s="77">
        <f ca="1">IFERROR(__xludf.DUMMYFUNCTION("IMPORTRANGE(""https://docs.google.com/spreadsheets/d/1Yj_ptqi66GCucihVvJfMjLAmec39IyEx_6qawtMGysU/edit?usp=sharing"",""สบก!BB83"")"),0)</f>
        <v>0</v>
      </c>
      <c r="L79" s="79">
        <f t="shared" ca="1" si="5"/>
        <v>0</v>
      </c>
      <c r="M79" s="79">
        <f t="shared" ca="1" si="6"/>
        <v>0</v>
      </c>
      <c r="N79" s="79">
        <f ca="1">IFERROR(__xludf.DUMMYFUNCTION("IMPORTRANGE(""https://docs.google.com/spreadsheets/d/1Yj_ptqi66GCucihVvJfMjLAmec39IyEx_6qawtMGysU/edit?usp=sharing"",""สบก!BC83"")"),0)</f>
        <v>0</v>
      </c>
      <c r="O79" s="79">
        <f t="shared" ca="1" si="7"/>
        <v>0</v>
      </c>
      <c r="P79" s="77">
        <f ca="1">IFERROR(__xludf.DUMMYFUNCTION("IMPORTRANGE(""https://docs.google.com/spreadsheets/d/1C3CXT74ZlgGe6_JY_1olB1XN4rF0dxEuIIF-xsYjHgg/edit?usp=sharing"",""พรบ!AA83"")"),0)</f>
        <v>0</v>
      </c>
      <c r="Q79" s="77">
        <f ca="1">IFERROR(__xludf.DUMMYFUNCTION("IMPORTRANGE(""https://docs.google.com/spreadsheets/d/1IYY_tgx_IHuhSq3AJ5eI5OnqOPBNLWSHKh2a30DoXe8/edit?usp=sharing"",""ตรัง!J62"")"),0)</f>
        <v>0</v>
      </c>
      <c r="R79" s="79">
        <f t="shared" ca="1" si="9"/>
        <v>0</v>
      </c>
      <c r="S79" s="77">
        <f ca="1">IFERROR(__xludf.DUMMYFUNCTION("IMPORTRANGE(""https://docs.google.com/spreadsheets/d/1C3CXT74ZlgGe6_JY_1olB1XN4rF0dxEuIIF-xsYjHgg/edit?usp=sharing"",""พรบ!AB83"")"),0)</f>
        <v>0</v>
      </c>
      <c r="T79" s="77">
        <f ca="1">IFERROR(__xludf.DUMMYFUNCTION("IMPORTRANGE(""https://docs.google.com/spreadsheets/d/1IYY_tgx_IHuhSq3AJ5eI5OnqOPBNLWSHKh2a30DoXe8/edit?usp=sharing"",""ตรัง!J63"")"),0)</f>
        <v>0</v>
      </c>
      <c r="U79" s="79">
        <f t="shared" ca="1" si="11"/>
        <v>0</v>
      </c>
    </row>
    <row r="80" spans="1:21" ht="21" customHeight="1">
      <c r="A80" s="73">
        <v>4</v>
      </c>
      <c r="B80" s="74" t="s">
        <v>104</v>
      </c>
      <c r="C80" s="75">
        <f t="shared" ca="1" si="0"/>
        <v>0</v>
      </c>
      <c r="D80" s="76">
        <f t="shared" ca="1" si="39"/>
        <v>0</v>
      </c>
      <c r="E80" s="77">
        <f ca="1">IFERROR(__xludf.DUMMYFUNCTION("IMPORTRANGE(""https://docs.google.com/spreadsheets/d/1C3CXT74ZlgGe6_JY_1olB1XN4rF0dxEuIIF-xsYjHgg/edit?usp=sharing"",""พรบ!Y84"")"),0)</f>
        <v>0</v>
      </c>
      <c r="F80" s="77">
        <f ca="1">IFERROR(__xludf.DUMMYFUNCTION("IMPORTRANGE(""https://docs.google.com/spreadsheets/d/1C3CXT74ZlgGe6_JY_1olB1XN4rF0dxEuIIF-xsYjHgg/edit?usp=sharing"",""พรบ!Z84"")"),0)</f>
        <v>0</v>
      </c>
      <c r="G80" s="77">
        <f ca="1">IFERROR(__xludf.DUMMYFUNCTION("IMPORTRANGE(""https://docs.google.com/spreadsheets/d/1Yj_ptqi66GCucihVvJfMjLAmec39IyEx_6qawtMGysU/edit?usp=sharing"",""สบก!AY84"")"),0)</f>
        <v>0</v>
      </c>
      <c r="H80" s="77">
        <f ca="1">IFERROR(__xludf.DUMMYFUNCTION("IMPORTRANGE(""https://docs.google.com/spreadsheets/d/1Yj_ptqi66GCucihVvJfMjLAmec39IyEx_6qawtMGysU/edit?usp=shBAing"",""สบก!BA84"")"),0)</f>
        <v>0</v>
      </c>
      <c r="I80" s="77">
        <f t="shared" ca="1" si="3"/>
        <v>0</v>
      </c>
      <c r="J80" s="137">
        <f t="shared" ca="1" si="4"/>
        <v>0</v>
      </c>
      <c r="K80" s="77">
        <f ca="1">IFERROR(__xludf.DUMMYFUNCTION("IMPORTRANGE(""https://docs.google.com/spreadsheets/d/1Yj_ptqi66GCucihVvJfMjLAmec39IyEx_6qawtMGysU/edit?usp=sharing"",""สบก!BB84"")"),0)</f>
        <v>0</v>
      </c>
      <c r="L80" s="79">
        <f t="shared" ca="1" si="5"/>
        <v>0</v>
      </c>
      <c r="M80" s="79">
        <f t="shared" ca="1" si="6"/>
        <v>0</v>
      </c>
      <c r="N80" s="79">
        <f ca="1">IFERROR(__xludf.DUMMYFUNCTION("IMPORTRANGE(""https://docs.google.com/spreadsheets/d/1Yj_ptqi66GCucihVvJfMjLAmec39IyEx_6qawtMGysU/edit?usp=sharing"",""สบก!BC84"")"),0)</f>
        <v>0</v>
      </c>
      <c r="O80" s="79">
        <f t="shared" ca="1" si="7"/>
        <v>0</v>
      </c>
      <c r="P80" s="77">
        <f ca="1">IFERROR(__xludf.DUMMYFUNCTION("IMPORTRANGE(""https://docs.google.com/spreadsheets/d/1C3CXT74ZlgGe6_JY_1olB1XN4rF0dxEuIIF-xsYjHgg/edit?usp=sharing"",""พรบ!AA84"")"),0)</f>
        <v>0</v>
      </c>
      <c r="Q80" s="77">
        <f ca="1">IFERROR(__xludf.DUMMYFUNCTION("IMPORTRANGE(""https://docs.google.com/spreadsheets/d/1IYY_tgx_IHuhSq3AJ5eI5OnqOPBNLWSHKh2a30DoXe8/edit?usp=sharing"",""นครศรีธรรมราช!J62"")"),0)</f>
        <v>0</v>
      </c>
      <c r="R80" s="79">
        <f t="shared" ca="1" si="9"/>
        <v>0</v>
      </c>
      <c r="S80" s="77">
        <f ca="1">IFERROR(__xludf.DUMMYFUNCTION("IMPORTRANGE(""https://docs.google.com/spreadsheets/d/1C3CXT74ZlgGe6_JY_1olB1XN4rF0dxEuIIF-xsYjHgg/edit?usp=sharing"",""พรบ!AB84"")"),0)</f>
        <v>0</v>
      </c>
      <c r="T80" s="77">
        <f ca="1">IFERROR(__xludf.DUMMYFUNCTION("IMPORTRANGE(""https://docs.google.com/spreadsheets/d/1IYY_tgx_IHuhSq3AJ5eI5OnqOPBNLWSHKh2a30DoXe8/edit?usp=sharing"",""นครศรีธรรมราช!J63"")"),0)</f>
        <v>0</v>
      </c>
      <c r="U80" s="79">
        <f t="shared" ca="1" si="11"/>
        <v>0</v>
      </c>
    </row>
    <row r="81" spans="1:21" ht="21" customHeight="1">
      <c r="A81" s="73">
        <v>5</v>
      </c>
      <c r="B81" s="74" t="s">
        <v>105</v>
      </c>
      <c r="C81" s="75">
        <f t="shared" ca="1" si="0"/>
        <v>0</v>
      </c>
      <c r="D81" s="76">
        <f t="shared" ca="1" si="39"/>
        <v>0</v>
      </c>
      <c r="E81" s="77">
        <f ca="1">IFERROR(__xludf.DUMMYFUNCTION("IMPORTRANGE(""https://docs.google.com/spreadsheets/d/1C3CXT74ZlgGe6_JY_1olB1XN4rF0dxEuIIF-xsYjHgg/edit?usp=sharing"",""พรบ!Y85"")"),0)</f>
        <v>0</v>
      </c>
      <c r="F81" s="77">
        <f ca="1">IFERROR(__xludf.DUMMYFUNCTION("IMPORTRANGE(""https://docs.google.com/spreadsheets/d/1C3CXT74ZlgGe6_JY_1olB1XN4rF0dxEuIIF-xsYjHgg/edit?usp=sharing"",""พรบ!Z85"")"),0)</f>
        <v>0</v>
      </c>
      <c r="G81" s="77">
        <f ca="1">IFERROR(__xludf.DUMMYFUNCTION("IMPORTRANGE(""https://docs.google.com/spreadsheets/d/1Yj_ptqi66GCucihVvJfMjLAmec39IyEx_6qawtMGysU/edit?usp=sharing"",""สบก!AY85"")"),0)</f>
        <v>0</v>
      </c>
      <c r="H81" s="77">
        <f ca="1">IFERROR(__xludf.DUMMYFUNCTION("IMPORTRANGE(""https://docs.google.com/spreadsheets/d/1Yj_ptqi66GCucihVvJfMjLAmec39IyEx_6qawtMGysU/edit?usp=shBAing"",""สบก!BA85"")"),0)</f>
        <v>0</v>
      </c>
      <c r="I81" s="77">
        <f t="shared" ca="1" si="3"/>
        <v>0</v>
      </c>
      <c r="J81" s="137">
        <f t="shared" ca="1" si="4"/>
        <v>0</v>
      </c>
      <c r="K81" s="77">
        <f ca="1">IFERROR(__xludf.DUMMYFUNCTION("IMPORTRANGE(""https://docs.google.com/spreadsheets/d/1Yj_ptqi66GCucihVvJfMjLAmec39IyEx_6qawtMGysU/edit?usp=sharing"",""สบก!BB85"")"),0)</f>
        <v>0</v>
      </c>
      <c r="L81" s="79">
        <f t="shared" ca="1" si="5"/>
        <v>0</v>
      </c>
      <c r="M81" s="79">
        <f t="shared" ca="1" si="6"/>
        <v>0</v>
      </c>
      <c r="N81" s="79">
        <f ca="1">IFERROR(__xludf.DUMMYFUNCTION("IMPORTRANGE(""https://docs.google.com/spreadsheets/d/1Yj_ptqi66GCucihVvJfMjLAmec39IyEx_6qawtMGysU/edit?usp=sharing"",""สบก!BC85"")"),0)</f>
        <v>0</v>
      </c>
      <c r="O81" s="79">
        <f t="shared" ca="1" si="7"/>
        <v>0</v>
      </c>
      <c r="P81" s="77">
        <f ca="1">IFERROR(__xludf.DUMMYFUNCTION("IMPORTRANGE(""https://docs.google.com/spreadsheets/d/1C3CXT74ZlgGe6_JY_1olB1XN4rF0dxEuIIF-xsYjHgg/edit?usp=sharing"",""พรบ!AA85"")"),0)</f>
        <v>0</v>
      </c>
      <c r="Q81" s="77">
        <f ca="1">IFERROR(__xludf.DUMMYFUNCTION("IMPORTRANGE(""https://docs.google.com/spreadsheets/d/1IYY_tgx_IHuhSq3AJ5eI5OnqOPBNLWSHKh2a30DoXe8/edit?usp=sharing"",""นราธิวาส!J62"")"),0)</f>
        <v>0</v>
      </c>
      <c r="R81" s="79">
        <f t="shared" ca="1" si="9"/>
        <v>0</v>
      </c>
      <c r="S81" s="77">
        <f ca="1">IFERROR(__xludf.DUMMYFUNCTION("IMPORTRANGE(""https://docs.google.com/spreadsheets/d/1C3CXT74ZlgGe6_JY_1olB1XN4rF0dxEuIIF-xsYjHgg/edit?usp=sharing"",""พรบ!AB85"")"),0)</f>
        <v>0</v>
      </c>
      <c r="T81" s="77">
        <f ca="1">IFERROR(__xludf.DUMMYFUNCTION("IMPORTRANGE(""https://docs.google.com/spreadsheets/d/1IYY_tgx_IHuhSq3AJ5eI5OnqOPBNLWSHKh2a30DoXe8/edit?usp=sharing"",""นราธิวาส!J63"")"),0)</f>
        <v>0</v>
      </c>
      <c r="U81" s="79">
        <f t="shared" ca="1" si="11"/>
        <v>0</v>
      </c>
    </row>
    <row r="82" spans="1:21" ht="21" customHeight="1">
      <c r="A82" s="73">
        <v>6</v>
      </c>
      <c r="B82" s="74" t="s">
        <v>106</v>
      </c>
      <c r="C82" s="75">
        <f t="shared" ca="1" si="0"/>
        <v>0</v>
      </c>
      <c r="D82" s="76">
        <f t="shared" ca="1" si="39"/>
        <v>0</v>
      </c>
      <c r="E82" s="77">
        <f ca="1">IFERROR(__xludf.DUMMYFUNCTION("IMPORTRANGE(""https://docs.google.com/spreadsheets/d/1C3CXT74ZlgGe6_JY_1olB1XN4rF0dxEuIIF-xsYjHgg/edit?usp=sharing"",""พรบ!Y86"")"),0)</f>
        <v>0</v>
      </c>
      <c r="F82" s="77">
        <f ca="1">IFERROR(__xludf.DUMMYFUNCTION("IMPORTRANGE(""https://docs.google.com/spreadsheets/d/1C3CXT74ZlgGe6_JY_1olB1XN4rF0dxEuIIF-xsYjHgg/edit?usp=sharing"",""พรบ!Z86"")"),0)</f>
        <v>0</v>
      </c>
      <c r="G82" s="77">
        <f ca="1">IFERROR(__xludf.DUMMYFUNCTION("IMPORTRANGE(""https://docs.google.com/spreadsheets/d/1Yj_ptqi66GCucihVvJfMjLAmec39IyEx_6qawtMGysU/edit?usp=sharing"",""สบก!AY86"")"),0)</f>
        <v>0</v>
      </c>
      <c r="H82" s="77">
        <f ca="1">IFERROR(__xludf.DUMMYFUNCTION("IMPORTRANGE(""https://docs.google.com/spreadsheets/d/1Yj_ptqi66GCucihVvJfMjLAmec39IyEx_6qawtMGysU/edit?usp=shBAing"",""สบก!BA86"")"),0)</f>
        <v>0</v>
      </c>
      <c r="I82" s="77">
        <f t="shared" ca="1" si="3"/>
        <v>0</v>
      </c>
      <c r="J82" s="137">
        <f t="shared" ca="1" si="4"/>
        <v>0</v>
      </c>
      <c r="K82" s="77">
        <f ca="1">IFERROR(__xludf.DUMMYFUNCTION("IMPORTRANGE(""https://docs.google.com/spreadsheets/d/1Yj_ptqi66GCucihVvJfMjLAmec39IyEx_6qawtMGysU/edit?usp=sharing"",""สบก!BB86"")"),0)</f>
        <v>0</v>
      </c>
      <c r="L82" s="79">
        <f t="shared" ca="1" si="5"/>
        <v>0</v>
      </c>
      <c r="M82" s="79">
        <f t="shared" ca="1" si="6"/>
        <v>0</v>
      </c>
      <c r="N82" s="79">
        <f ca="1">IFERROR(__xludf.DUMMYFUNCTION("IMPORTRANGE(""https://docs.google.com/spreadsheets/d/1Yj_ptqi66GCucihVvJfMjLAmec39IyEx_6qawtMGysU/edit?usp=sharing"",""สบก!BC86"")"),0)</f>
        <v>0</v>
      </c>
      <c r="O82" s="79">
        <f t="shared" ca="1" si="7"/>
        <v>0</v>
      </c>
      <c r="P82" s="77">
        <f ca="1">IFERROR(__xludf.DUMMYFUNCTION("IMPORTRANGE(""https://docs.google.com/spreadsheets/d/1C3CXT74ZlgGe6_JY_1olB1XN4rF0dxEuIIF-xsYjHgg/edit?usp=sharing"",""พรบ!AA86"")"),0)</f>
        <v>0</v>
      </c>
      <c r="Q82" s="77">
        <f ca="1">IFERROR(__xludf.DUMMYFUNCTION("IMPORTRANGE(""https://docs.google.com/spreadsheets/d/1IYY_tgx_IHuhSq3AJ5eI5OnqOPBNLWSHKh2a30DoXe8/edit?usp=sharing"",""ปัตตานี!J62"")"),0)</f>
        <v>0</v>
      </c>
      <c r="R82" s="79">
        <f t="shared" ca="1" si="9"/>
        <v>0</v>
      </c>
      <c r="S82" s="77">
        <f ca="1">IFERROR(__xludf.DUMMYFUNCTION("IMPORTRANGE(""https://docs.google.com/spreadsheets/d/1C3CXT74ZlgGe6_JY_1olB1XN4rF0dxEuIIF-xsYjHgg/edit?usp=sharing"",""พรบ!AB86"")"),0)</f>
        <v>0</v>
      </c>
      <c r="T82" s="77">
        <f ca="1">IFERROR(__xludf.DUMMYFUNCTION("IMPORTRANGE(""https://docs.google.com/spreadsheets/d/1IYY_tgx_IHuhSq3AJ5eI5OnqOPBNLWSHKh2a30DoXe8/edit?usp=sharing"",""ปัตตานี!J63"")"),0)</f>
        <v>0</v>
      </c>
      <c r="U82" s="79">
        <f t="shared" ca="1" si="11"/>
        <v>0</v>
      </c>
    </row>
    <row r="83" spans="1:21" ht="21" customHeight="1">
      <c r="A83" s="73">
        <v>7</v>
      </c>
      <c r="B83" s="74" t="s">
        <v>107</v>
      </c>
      <c r="C83" s="75">
        <f t="shared" ca="1" si="0"/>
        <v>64890</v>
      </c>
      <c r="D83" s="76">
        <f t="shared" ca="1" si="39"/>
        <v>64890</v>
      </c>
      <c r="E83" s="77">
        <f ca="1">IFERROR(__xludf.DUMMYFUNCTION("IMPORTRANGE(""https://docs.google.com/spreadsheets/d/1C3CXT74ZlgGe6_JY_1olB1XN4rF0dxEuIIF-xsYjHgg/edit?usp=sharing"",""พรบ!Y87"")"),0)</f>
        <v>0</v>
      </c>
      <c r="F83" s="77">
        <f ca="1">IFERROR(__xludf.DUMMYFUNCTION("IMPORTRANGE(""https://docs.google.com/spreadsheets/d/1C3CXT74ZlgGe6_JY_1olB1XN4rF0dxEuIIF-xsYjHgg/edit?usp=sharing"",""พรบ!Z87"")"),64890)</f>
        <v>64890</v>
      </c>
      <c r="G83" s="77">
        <f ca="1">IFERROR(__xludf.DUMMYFUNCTION("IMPORTRANGE(""https://docs.google.com/spreadsheets/d/1Yj_ptqi66GCucihVvJfMjLAmec39IyEx_6qawtMGysU/edit?usp=sharing"",""สบก!AY87"")"),0)</f>
        <v>0</v>
      </c>
      <c r="H83" s="77">
        <f ca="1">IFERROR(__xludf.DUMMYFUNCTION("IMPORTRANGE(""https://docs.google.com/spreadsheets/d/1Yj_ptqi66GCucihVvJfMjLAmec39IyEx_6qawtMGysU/edit?usp=shBAing"",""สบก!BA87"")"),64890)</f>
        <v>64890</v>
      </c>
      <c r="I83" s="77">
        <f t="shared" ca="1" si="3"/>
        <v>29820</v>
      </c>
      <c r="J83" s="137">
        <f t="shared" ca="1" si="4"/>
        <v>45.954692556634306</v>
      </c>
      <c r="K83" s="77">
        <f ca="1">IFERROR(__xludf.DUMMYFUNCTION("IMPORTRANGE(""https://docs.google.com/spreadsheets/d/1Yj_ptqi66GCucihVvJfMjLAmec39IyEx_6qawtMGysU/edit?usp=sharing"",""สบก!BB87"")"),29820)</f>
        <v>29820</v>
      </c>
      <c r="L83" s="79">
        <f t="shared" ca="1" si="5"/>
        <v>45.954692556634306</v>
      </c>
      <c r="M83" s="79">
        <f t="shared" ca="1" si="6"/>
        <v>45.954692556634306</v>
      </c>
      <c r="N83" s="79">
        <f ca="1">IFERROR(__xludf.DUMMYFUNCTION("IMPORTRANGE(""https://docs.google.com/spreadsheets/d/1Yj_ptqi66GCucihVvJfMjLAmec39IyEx_6qawtMGysU/edit?usp=sharing"",""สบก!BC87"")"),0)</f>
        <v>0</v>
      </c>
      <c r="O83" s="79">
        <f t="shared" ca="1" si="7"/>
        <v>0</v>
      </c>
      <c r="P83" s="77">
        <f ca="1">IFERROR(__xludf.DUMMYFUNCTION("IMPORTRANGE(""https://docs.google.com/spreadsheets/d/1C3CXT74ZlgGe6_JY_1olB1XN4rF0dxEuIIF-xsYjHgg/edit?usp=sharing"",""พรบ!AA87"")"),15)</f>
        <v>15</v>
      </c>
      <c r="Q83" s="77">
        <f ca="1">IFERROR(__xludf.DUMMYFUNCTION("IMPORTRANGE(""https://docs.google.com/spreadsheets/d/1IYY_tgx_IHuhSq3AJ5eI5OnqOPBNLWSHKh2a30DoXe8/edit?usp=sharing"",""พังงา!J62"")"),15)</f>
        <v>15</v>
      </c>
      <c r="R83" s="79">
        <f t="shared" ca="1" si="9"/>
        <v>100</v>
      </c>
      <c r="S83" s="77">
        <f ca="1">IFERROR(__xludf.DUMMYFUNCTION("IMPORTRANGE(""https://docs.google.com/spreadsheets/d/1C3CXT74ZlgGe6_JY_1olB1XN4rF0dxEuIIF-xsYjHgg/edit?usp=sharing"",""พรบ!AB87"")"),15)</f>
        <v>15</v>
      </c>
      <c r="T83" s="77">
        <f ca="1">IFERROR(__xludf.DUMMYFUNCTION("IMPORTRANGE(""https://docs.google.com/spreadsheets/d/1IYY_tgx_IHuhSq3AJ5eI5OnqOPBNLWSHKh2a30DoXe8/edit?usp=sharing"",""พังงา!J63"")"),0)</f>
        <v>0</v>
      </c>
      <c r="U83" s="79">
        <f t="shared" ca="1" si="11"/>
        <v>0</v>
      </c>
    </row>
    <row r="84" spans="1:21" ht="21" customHeight="1">
      <c r="A84" s="73">
        <v>8</v>
      </c>
      <c r="B84" s="74" t="s">
        <v>108</v>
      </c>
      <c r="C84" s="75">
        <f t="shared" ca="1" si="0"/>
        <v>0</v>
      </c>
      <c r="D84" s="76">
        <f t="shared" ca="1" si="39"/>
        <v>0</v>
      </c>
      <c r="E84" s="77">
        <f ca="1">IFERROR(__xludf.DUMMYFUNCTION("IMPORTRANGE(""https://docs.google.com/spreadsheets/d/1C3CXT74ZlgGe6_JY_1olB1XN4rF0dxEuIIF-xsYjHgg/edit?usp=sharing"",""พรบ!Y88"")"),0)</f>
        <v>0</v>
      </c>
      <c r="F84" s="77">
        <f ca="1">IFERROR(__xludf.DUMMYFUNCTION("IMPORTRANGE(""https://docs.google.com/spreadsheets/d/1C3CXT74ZlgGe6_JY_1olB1XN4rF0dxEuIIF-xsYjHgg/edit?usp=sharing"",""พรบ!Z88"")"),0)</f>
        <v>0</v>
      </c>
      <c r="G84" s="77">
        <f ca="1">IFERROR(__xludf.DUMMYFUNCTION("IMPORTRANGE(""https://docs.google.com/spreadsheets/d/1Yj_ptqi66GCucihVvJfMjLAmec39IyEx_6qawtMGysU/edit?usp=sharing"",""สบก!AY88"")"),0)</f>
        <v>0</v>
      </c>
      <c r="H84" s="77">
        <f ca="1">IFERROR(__xludf.DUMMYFUNCTION("IMPORTRANGE(""https://docs.google.com/spreadsheets/d/1Yj_ptqi66GCucihVvJfMjLAmec39IyEx_6qawtMGysU/edit?usp=shBAing"",""สบก!BA88"")"),0)</f>
        <v>0</v>
      </c>
      <c r="I84" s="77">
        <f t="shared" ca="1" si="3"/>
        <v>0</v>
      </c>
      <c r="J84" s="137">
        <f t="shared" ca="1" si="4"/>
        <v>0</v>
      </c>
      <c r="K84" s="77">
        <f ca="1">IFERROR(__xludf.DUMMYFUNCTION("IMPORTRANGE(""https://docs.google.com/spreadsheets/d/1Yj_ptqi66GCucihVvJfMjLAmec39IyEx_6qawtMGysU/edit?usp=sharing"",""สบก!BB88"")"),0)</f>
        <v>0</v>
      </c>
      <c r="L84" s="79">
        <f t="shared" ca="1" si="5"/>
        <v>0</v>
      </c>
      <c r="M84" s="79">
        <f t="shared" ca="1" si="6"/>
        <v>0</v>
      </c>
      <c r="N84" s="79">
        <f ca="1">IFERROR(__xludf.DUMMYFUNCTION("IMPORTRANGE(""https://docs.google.com/spreadsheets/d/1Yj_ptqi66GCucihVvJfMjLAmec39IyEx_6qawtMGysU/edit?usp=sharing"",""สบก!BC88"")"),0)</f>
        <v>0</v>
      </c>
      <c r="O84" s="79">
        <f t="shared" ca="1" si="7"/>
        <v>0</v>
      </c>
      <c r="P84" s="77">
        <f ca="1">IFERROR(__xludf.DUMMYFUNCTION("IMPORTRANGE(""https://docs.google.com/spreadsheets/d/1C3CXT74ZlgGe6_JY_1olB1XN4rF0dxEuIIF-xsYjHgg/edit?usp=sharing"",""พรบ!AA88"")"),0)</f>
        <v>0</v>
      </c>
      <c r="Q84" s="77">
        <f ca="1">IFERROR(__xludf.DUMMYFUNCTION("IMPORTRANGE(""https://docs.google.com/spreadsheets/d/1IYY_tgx_IHuhSq3AJ5eI5OnqOPBNLWSHKh2a30DoXe8/edit?usp=sharing"",""พัทลุง!J62"")"),0)</f>
        <v>0</v>
      </c>
      <c r="R84" s="79">
        <f t="shared" ca="1" si="9"/>
        <v>0</v>
      </c>
      <c r="S84" s="77">
        <f ca="1">IFERROR(__xludf.DUMMYFUNCTION("IMPORTRANGE(""https://docs.google.com/spreadsheets/d/1C3CXT74ZlgGe6_JY_1olB1XN4rF0dxEuIIF-xsYjHgg/edit?usp=sharing"",""พรบ!AB88"")"),0)</f>
        <v>0</v>
      </c>
      <c r="T84" s="77">
        <f ca="1">IFERROR(__xludf.DUMMYFUNCTION("IMPORTRANGE(""https://docs.google.com/spreadsheets/d/1IYY_tgx_IHuhSq3AJ5eI5OnqOPBNLWSHKh2a30DoXe8/edit?usp=sharing"",""พัทลุง!J63"")"),0)</f>
        <v>0</v>
      </c>
      <c r="U84" s="79">
        <f t="shared" ca="1" si="11"/>
        <v>0</v>
      </c>
    </row>
    <row r="85" spans="1:21" ht="21" customHeight="1">
      <c r="A85" s="73">
        <v>9</v>
      </c>
      <c r="B85" s="74" t="s">
        <v>109</v>
      </c>
      <c r="C85" s="75">
        <f t="shared" ca="1" si="0"/>
        <v>0</v>
      </c>
      <c r="D85" s="76">
        <f t="shared" ca="1" si="39"/>
        <v>0</v>
      </c>
      <c r="E85" s="77">
        <f ca="1">IFERROR(__xludf.DUMMYFUNCTION("IMPORTRANGE(""https://docs.google.com/spreadsheets/d/1C3CXT74ZlgGe6_JY_1olB1XN4rF0dxEuIIF-xsYjHgg/edit?usp=sharing"",""พรบ!Y89"")"),0)</f>
        <v>0</v>
      </c>
      <c r="F85" s="77">
        <f ca="1">IFERROR(__xludf.DUMMYFUNCTION("IMPORTRANGE(""https://docs.google.com/spreadsheets/d/1C3CXT74ZlgGe6_JY_1olB1XN4rF0dxEuIIF-xsYjHgg/edit?usp=sharing"",""พรบ!Z89"")"),0)</f>
        <v>0</v>
      </c>
      <c r="G85" s="77">
        <f ca="1">IFERROR(__xludf.DUMMYFUNCTION("IMPORTRANGE(""https://docs.google.com/spreadsheets/d/1Yj_ptqi66GCucihVvJfMjLAmec39IyEx_6qawtMGysU/edit?usp=sharing"",""สบก!AY89"")"),0)</f>
        <v>0</v>
      </c>
      <c r="H85" s="77">
        <f ca="1">IFERROR(__xludf.DUMMYFUNCTION("IMPORTRANGE(""https://docs.google.com/spreadsheets/d/1Yj_ptqi66GCucihVvJfMjLAmec39IyEx_6qawtMGysU/edit?usp=shBAing"",""สบก!BA89"")"),0)</f>
        <v>0</v>
      </c>
      <c r="I85" s="77">
        <f t="shared" ca="1" si="3"/>
        <v>0</v>
      </c>
      <c r="J85" s="137">
        <f t="shared" ca="1" si="4"/>
        <v>0</v>
      </c>
      <c r="K85" s="77">
        <f ca="1">IFERROR(__xludf.DUMMYFUNCTION("IMPORTRANGE(""https://docs.google.com/spreadsheets/d/1Yj_ptqi66GCucihVvJfMjLAmec39IyEx_6qawtMGysU/edit?usp=sharing"",""สบก!BB89"")"),0)</f>
        <v>0</v>
      </c>
      <c r="L85" s="79">
        <f t="shared" ca="1" si="5"/>
        <v>0</v>
      </c>
      <c r="M85" s="79">
        <f t="shared" ca="1" si="6"/>
        <v>0</v>
      </c>
      <c r="N85" s="79">
        <f ca="1">IFERROR(__xludf.DUMMYFUNCTION("IMPORTRANGE(""https://docs.google.com/spreadsheets/d/1Yj_ptqi66GCucihVvJfMjLAmec39IyEx_6qawtMGysU/edit?usp=sharing"",""สบก!BC89"")"),0)</f>
        <v>0</v>
      </c>
      <c r="O85" s="79">
        <f t="shared" ca="1" si="7"/>
        <v>0</v>
      </c>
      <c r="P85" s="77">
        <f ca="1">IFERROR(__xludf.DUMMYFUNCTION("IMPORTRANGE(""https://docs.google.com/spreadsheets/d/1C3CXT74ZlgGe6_JY_1olB1XN4rF0dxEuIIF-xsYjHgg/edit?usp=sharing"",""พรบ!AA89"")"),0)</f>
        <v>0</v>
      </c>
      <c r="Q85" s="77">
        <f ca="1">IFERROR(__xludf.DUMMYFUNCTION("IMPORTRANGE(""https://docs.google.com/spreadsheets/d/1IYY_tgx_IHuhSq3AJ5eI5OnqOPBNLWSHKh2a30DoXe8/edit?usp=sharing"",""ภูเก็ต!J62"")"),0)</f>
        <v>0</v>
      </c>
      <c r="R85" s="79">
        <f t="shared" ca="1" si="9"/>
        <v>0</v>
      </c>
      <c r="S85" s="77">
        <f ca="1">IFERROR(__xludf.DUMMYFUNCTION("IMPORTRANGE(""https://docs.google.com/spreadsheets/d/1C3CXT74ZlgGe6_JY_1olB1XN4rF0dxEuIIF-xsYjHgg/edit?usp=sharing"",""พรบ!AB89"")"),0)</f>
        <v>0</v>
      </c>
      <c r="T85" s="77">
        <f ca="1">IFERROR(__xludf.DUMMYFUNCTION("IMPORTRANGE(""https://docs.google.com/spreadsheets/d/1IYY_tgx_IHuhSq3AJ5eI5OnqOPBNLWSHKh2a30DoXe8/edit?usp=sharing"",""ภูเก็ต!J63"")"),0)</f>
        <v>0</v>
      </c>
      <c r="U85" s="79">
        <f t="shared" ca="1" si="11"/>
        <v>0</v>
      </c>
    </row>
    <row r="86" spans="1:21" ht="21" customHeight="1">
      <c r="A86" s="73">
        <v>10</v>
      </c>
      <c r="B86" s="74" t="s">
        <v>110</v>
      </c>
      <c r="C86" s="75">
        <f t="shared" ca="1" si="0"/>
        <v>0</v>
      </c>
      <c r="D86" s="76">
        <f t="shared" ca="1" si="39"/>
        <v>0</v>
      </c>
      <c r="E86" s="77">
        <f ca="1">IFERROR(__xludf.DUMMYFUNCTION("IMPORTRANGE(""https://docs.google.com/spreadsheets/d/1C3CXT74ZlgGe6_JY_1olB1XN4rF0dxEuIIF-xsYjHgg/edit?usp=sharing"",""พรบ!Y90"")"),0)</f>
        <v>0</v>
      </c>
      <c r="F86" s="77">
        <f ca="1">IFERROR(__xludf.DUMMYFUNCTION("IMPORTRANGE(""https://docs.google.com/spreadsheets/d/1C3CXT74ZlgGe6_JY_1olB1XN4rF0dxEuIIF-xsYjHgg/edit?usp=sharing"",""พรบ!Z90"")"),0)</f>
        <v>0</v>
      </c>
      <c r="G86" s="77">
        <f ca="1">IFERROR(__xludf.DUMMYFUNCTION("IMPORTRANGE(""https://docs.google.com/spreadsheets/d/1Yj_ptqi66GCucihVvJfMjLAmec39IyEx_6qawtMGysU/edit?usp=sharing"",""สบก!AY90"")"),0)</f>
        <v>0</v>
      </c>
      <c r="H86" s="77">
        <f ca="1">IFERROR(__xludf.DUMMYFUNCTION("IMPORTRANGE(""https://docs.google.com/spreadsheets/d/1Yj_ptqi66GCucihVvJfMjLAmec39IyEx_6qawtMGysU/edit?usp=shBAing"",""สบก!BA90"")"),0)</f>
        <v>0</v>
      </c>
      <c r="I86" s="77">
        <f t="shared" ca="1" si="3"/>
        <v>0</v>
      </c>
      <c r="J86" s="137">
        <f t="shared" ca="1" si="4"/>
        <v>0</v>
      </c>
      <c r="K86" s="77">
        <f ca="1">IFERROR(__xludf.DUMMYFUNCTION("IMPORTRANGE(""https://docs.google.com/spreadsheets/d/1Yj_ptqi66GCucihVvJfMjLAmec39IyEx_6qawtMGysU/edit?usp=sharing"",""สบก!BB90"")"),0)</f>
        <v>0</v>
      </c>
      <c r="L86" s="79">
        <f t="shared" ca="1" si="5"/>
        <v>0</v>
      </c>
      <c r="M86" s="79">
        <f t="shared" ca="1" si="6"/>
        <v>0</v>
      </c>
      <c r="N86" s="79">
        <f ca="1">IFERROR(__xludf.DUMMYFUNCTION("IMPORTRANGE(""https://docs.google.com/spreadsheets/d/1Yj_ptqi66GCucihVvJfMjLAmec39IyEx_6qawtMGysU/edit?usp=sharing"",""สบก!BC90"")"),0)</f>
        <v>0</v>
      </c>
      <c r="O86" s="79">
        <f t="shared" ca="1" si="7"/>
        <v>0</v>
      </c>
      <c r="P86" s="77">
        <f ca="1">IFERROR(__xludf.DUMMYFUNCTION("IMPORTRANGE(""https://docs.google.com/spreadsheets/d/1C3CXT74ZlgGe6_JY_1olB1XN4rF0dxEuIIF-xsYjHgg/edit?usp=sharing"",""พรบ!AA90"")"),0)</f>
        <v>0</v>
      </c>
      <c r="Q86" s="77">
        <f ca="1">IFERROR(__xludf.DUMMYFUNCTION("IMPORTRANGE(""https://docs.google.com/spreadsheets/d/1IYY_tgx_IHuhSq3AJ5eI5OnqOPBNLWSHKh2a30DoXe8/edit?usp=sharing"",""ยะลา!J62"")"),0)</f>
        <v>0</v>
      </c>
      <c r="R86" s="79">
        <f t="shared" ca="1" si="9"/>
        <v>0</v>
      </c>
      <c r="S86" s="77">
        <f ca="1">IFERROR(__xludf.DUMMYFUNCTION("IMPORTRANGE(""https://docs.google.com/spreadsheets/d/1C3CXT74ZlgGe6_JY_1olB1XN4rF0dxEuIIF-xsYjHgg/edit?usp=sharing"",""พรบ!AB90"")"),0)</f>
        <v>0</v>
      </c>
      <c r="T86" s="77">
        <f ca="1">IFERROR(__xludf.DUMMYFUNCTION("IMPORTRANGE(""https://docs.google.com/spreadsheets/d/1IYY_tgx_IHuhSq3AJ5eI5OnqOPBNLWSHKh2a30DoXe8/edit?usp=sharing"",""ยะลา!J63"")"),0)</f>
        <v>0</v>
      </c>
      <c r="U86" s="79">
        <f t="shared" ca="1" si="11"/>
        <v>0</v>
      </c>
    </row>
    <row r="87" spans="1:21" ht="21" customHeight="1">
      <c r="A87" s="73">
        <v>11</v>
      </c>
      <c r="B87" s="74" t="s">
        <v>111</v>
      </c>
      <c r="C87" s="75">
        <f t="shared" ca="1" si="0"/>
        <v>0</v>
      </c>
      <c r="D87" s="76">
        <f t="shared" ca="1" si="39"/>
        <v>0</v>
      </c>
      <c r="E87" s="77">
        <f ca="1">IFERROR(__xludf.DUMMYFUNCTION("IMPORTRANGE(""https://docs.google.com/spreadsheets/d/1C3CXT74ZlgGe6_JY_1olB1XN4rF0dxEuIIF-xsYjHgg/edit?usp=sharing"",""พรบ!Y91"")"),0)</f>
        <v>0</v>
      </c>
      <c r="F87" s="77">
        <f ca="1">IFERROR(__xludf.DUMMYFUNCTION("IMPORTRANGE(""https://docs.google.com/spreadsheets/d/1C3CXT74ZlgGe6_JY_1olB1XN4rF0dxEuIIF-xsYjHgg/edit?usp=sharing"",""พรบ!Z91"")"),0)</f>
        <v>0</v>
      </c>
      <c r="G87" s="77">
        <f ca="1">IFERROR(__xludf.DUMMYFUNCTION("IMPORTRANGE(""https://docs.google.com/spreadsheets/d/1Yj_ptqi66GCucihVvJfMjLAmec39IyEx_6qawtMGysU/edit?usp=sharing"",""สบก!AY91"")"),0)</f>
        <v>0</v>
      </c>
      <c r="H87" s="77">
        <f ca="1">IFERROR(__xludf.DUMMYFUNCTION("IMPORTRANGE(""https://docs.google.com/spreadsheets/d/1Yj_ptqi66GCucihVvJfMjLAmec39IyEx_6qawtMGysU/edit?usp=shBAing"",""สบก!BA91"")"),0)</f>
        <v>0</v>
      </c>
      <c r="I87" s="77">
        <f t="shared" ca="1" si="3"/>
        <v>0</v>
      </c>
      <c r="J87" s="137">
        <f t="shared" ca="1" si="4"/>
        <v>0</v>
      </c>
      <c r="K87" s="77">
        <f ca="1">IFERROR(__xludf.DUMMYFUNCTION("IMPORTRANGE(""https://docs.google.com/spreadsheets/d/1Yj_ptqi66GCucihVvJfMjLAmec39IyEx_6qawtMGysU/edit?usp=sharing"",""สบก!BB91"")"),0)</f>
        <v>0</v>
      </c>
      <c r="L87" s="79">
        <f t="shared" ca="1" si="5"/>
        <v>0</v>
      </c>
      <c r="M87" s="79">
        <f t="shared" ca="1" si="6"/>
        <v>0</v>
      </c>
      <c r="N87" s="79">
        <f ca="1">IFERROR(__xludf.DUMMYFUNCTION("IMPORTRANGE(""https://docs.google.com/spreadsheets/d/1Yj_ptqi66GCucihVvJfMjLAmec39IyEx_6qawtMGysU/edit?usp=sharing"",""สบก!BC91"")"),0)</f>
        <v>0</v>
      </c>
      <c r="O87" s="79">
        <f t="shared" ca="1" si="7"/>
        <v>0</v>
      </c>
      <c r="P87" s="77">
        <f ca="1">IFERROR(__xludf.DUMMYFUNCTION("IMPORTRANGE(""https://docs.google.com/spreadsheets/d/1C3CXT74ZlgGe6_JY_1olB1XN4rF0dxEuIIF-xsYjHgg/edit?usp=sharing"",""พรบ!AA91"")"),0)</f>
        <v>0</v>
      </c>
      <c r="Q87" s="77">
        <f ca="1">IFERROR(__xludf.DUMMYFUNCTION("IMPORTRANGE(""https://docs.google.com/spreadsheets/d/1IYY_tgx_IHuhSq3AJ5eI5OnqOPBNLWSHKh2a30DoXe8/edit?usp=sharing"",""ระนอง!J62"")"),0)</f>
        <v>0</v>
      </c>
      <c r="R87" s="79">
        <f t="shared" ca="1" si="9"/>
        <v>0</v>
      </c>
      <c r="S87" s="77">
        <f ca="1">IFERROR(__xludf.DUMMYFUNCTION("IMPORTRANGE(""https://docs.google.com/spreadsheets/d/1C3CXT74ZlgGe6_JY_1olB1XN4rF0dxEuIIF-xsYjHgg/edit?usp=sharing"",""พรบ!AB91"")"),0)</f>
        <v>0</v>
      </c>
      <c r="T87" s="77">
        <f ca="1">IFERROR(__xludf.DUMMYFUNCTION("IMPORTRANGE(""https://docs.google.com/spreadsheets/d/1IYY_tgx_IHuhSq3AJ5eI5OnqOPBNLWSHKh2a30DoXe8/edit?usp=sharing"",""ระนอง!J63"")"),0)</f>
        <v>0</v>
      </c>
      <c r="U87" s="79">
        <f t="shared" ca="1" si="11"/>
        <v>0</v>
      </c>
    </row>
    <row r="88" spans="1:21" ht="24" customHeight="1">
      <c r="A88" s="73">
        <v>12</v>
      </c>
      <c r="B88" s="74" t="s">
        <v>112</v>
      </c>
      <c r="C88" s="75">
        <f t="shared" ca="1" si="0"/>
        <v>64890</v>
      </c>
      <c r="D88" s="76">
        <f t="shared" ca="1" si="39"/>
        <v>64890</v>
      </c>
      <c r="E88" s="77">
        <f ca="1">IFERROR(__xludf.DUMMYFUNCTION("IMPORTRANGE(""https://docs.google.com/spreadsheets/d/1C3CXT74ZlgGe6_JY_1olB1XN4rF0dxEuIIF-xsYjHgg/edit?usp=sharing"",""พรบ!Y92"")"),0)</f>
        <v>0</v>
      </c>
      <c r="F88" s="77">
        <f ca="1">IFERROR(__xludf.DUMMYFUNCTION("IMPORTRANGE(""https://docs.google.com/spreadsheets/d/1C3CXT74ZlgGe6_JY_1olB1XN4rF0dxEuIIF-xsYjHgg/edit?usp=sharing"",""พรบ!Z92"")"),64890)</f>
        <v>64890</v>
      </c>
      <c r="G88" s="77">
        <f ca="1">IFERROR(__xludf.DUMMYFUNCTION("IMPORTRANGE(""https://docs.google.com/spreadsheets/d/1Yj_ptqi66GCucihVvJfMjLAmec39IyEx_6qawtMGysU/edit?usp=sharing"",""สบก!AY92"")"),0)</f>
        <v>0</v>
      </c>
      <c r="H88" s="77">
        <f ca="1">IFERROR(__xludf.DUMMYFUNCTION("IMPORTRANGE(""https://docs.google.com/spreadsheets/d/1Yj_ptqi66GCucihVvJfMjLAmec39IyEx_6qawtMGysU/edit?usp=shBAing"",""สบก!BA92"")"),64890)</f>
        <v>64890</v>
      </c>
      <c r="I88" s="77">
        <f t="shared" ca="1" si="3"/>
        <v>46950</v>
      </c>
      <c r="J88" s="137">
        <f t="shared" ca="1" si="4"/>
        <v>72.353213129912163</v>
      </c>
      <c r="K88" s="77">
        <f ca="1">IFERROR(__xludf.DUMMYFUNCTION("IMPORTRANGE(""https://docs.google.com/spreadsheets/d/1Yj_ptqi66GCucihVvJfMjLAmec39IyEx_6qawtMGysU/edit?usp=sharing"",""สบก!BB92"")"),46950)</f>
        <v>46950</v>
      </c>
      <c r="L88" s="79">
        <f t="shared" ca="1" si="5"/>
        <v>72.353213129912163</v>
      </c>
      <c r="M88" s="79">
        <f t="shared" ca="1" si="6"/>
        <v>72.353213129912163</v>
      </c>
      <c r="N88" s="79">
        <f ca="1">IFERROR(__xludf.DUMMYFUNCTION("IMPORTRANGE(""https://docs.google.com/spreadsheets/d/1Yj_ptqi66GCucihVvJfMjLAmec39IyEx_6qawtMGysU/edit?usp=sharing"",""สบก!BC92"")"),0)</f>
        <v>0</v>
      </c>
      <c r="O88" s="79">
        <f t="shared" ca="1" si="7"/>
        <v>0</v>
      </c>
      <c r="P88" s="77">
        <f ca="1">IFERROR(__xludf.DUMMYFUNCTION("IMPORTRANGE(""https://docs.google.com/spreadsheets/d/1C3CXT74ZlgGe6_JY_1olB1XN4rF0dxEuIIF-xsYjHgg/edit?usp=sharing"",""พรบ!AA92"")"),15)</f>
        <v>15</v>
      </c>
      <c r="Q88" s="77">
        <f ca="1">IFERROR(__xludf.DUMMYFUNCTION("IMPORTRANGE(""https://docs.google.com/spreadsheets/d/1IYY_tgx_IHuhSq3AJ5eI5OnqOPBNLWSHKh2a30DoXe8/edit?usp=sharing"",""สงขลา!J62"")"),15)</f>
        <v>15</v>
      </c>
      <c r="R88" s="79">
        <f t="shared" ca="1" si="9"/>
        <v>100</v>
      </c>
      <c r="S88" s="77">
        <f ca="1">IFERROR(__xludf.DUMMYFUNCTION("IMPORTRANGE(""https://docs.google.com/spreadsheets/d/1C3CXT74ZlgGe6_JY_1olB1XN4rF0dxEuIIF-xsYjHgg/edit?usp=sharing"",""พรบ!AB92"")"),15)</f>
        <v>15</v>
      </c>
      <c r="T88" s="77">
        <f ca="1">IFERROR(__xludf.DUMMYFUNCTION("IMPORTRANGE(""https://docs.google.com/spreadsheets/d/1IYY_tgx_IHuhSq3AJ5eI5OnqOPBNLWSHKh2a30DoXe8/edit?usp=sharing"",""สงขลา!J63"")"),15)</f>
        <v>15</v>
      </c>
      <c r="U88" s="79">
        <f t="shared" ca="1" si="11"/>
        <v>100</v>
      </c>
    </row>
    <row r="89" spans="1:21" ht="24" customHeight="1">
      <c r="A89" s="73">
        <v>13</v>
      </c>
      <c r="B89" s="74" t="s">
        <v>113</v>
      </c>
      <c r="C89" s="75">
        <f t="shared" ca="1" si="0"/>
        <v>64890</v>
      </c>
      <c r="D89" s="76">
        <f t="shared" ca="1" si="39"/>
        <v>64890</v>
      </c>
      <c r="E89" s="77">
        <f ca="1">IFERROR(__xludf.DUMMYFUNCTION("IMPORTRANGE(""https://docs.google.com/spreadsheets/d/1C3CXT74ZlgGe6_JY_1olB1XN4rF0dxEuIIF-xsYjHgg/edit?usp=sharing"",""พรบ!Y93"")"),0)</f>
        <v>0</v>
      </c>
      <c r="F89" s="77">
        <f ca="1">IFERROR(__xludf.DUMMYFUNCTION("IMPORTRANGE(""https://docs.google.com/spreadsheets/d/1C3CXT74ZlgGe6_JY_1olB1XN4rF0dxEuIIF-xsYjHgg/edit?usp=sharing"",""พรบ!Z93"")"),64890)</f>
        <v>64890</v>
      </c>
      <c r="G89" s="77">
        <f ca="1">IFERROR(__xludf.DUMMYFUNCTION("IMPORTRANGE(""https://docs.google.com/spreadsheets/d/1Yj_ptqi66GCucihVvJfMjLAmec39IyEx_6qawtMGysU/edit?usp=sharing"",""สบก!AY93"")"),0)</f>
        <v>0</v>
      </c>
      <c r="H89" s="77">
        <f ca="1">IFERROR(__xludf.DUMMYFUNCTION("IMPORTRANGE(""https://docs.google.com/spreadsheets/d/1Yj_ptqi66GCucihVvJfMjLAmec39IyEx_6qawtMGysU/edit?usp=shBAing"",""สบก!BA93"")"),64890)</f>
        <v>64890</v>
      </c>
      <c r="I89" s="77">
        <f t="shared" ca="1" si="3"/>
        <v>13089</v>
      </c>
      <c r="J89" s="137">
        <f t="shared" ca="1" si="4"/>
        <v>20.171058714748035</v>
      </c>
      <c r="K89" s="77">
        <f ca="1">IFERROR(__xludf.DUMMYFUNCTION("IMPORTRANGE(""https://docs.google.com/spreadsheets/d/1Yj_ptqi66GCucihVvJfMjLAmec39IyEx_6qawtMGysU/edit?usp=sharing"",""สบก!BB93"")"),13089)</f>
        <v>13089</v>
      </c>
      <c r="L89" s="79">
        <f t="shared" ca="1" si="5"/>
        <v>20.171058714748035</v>
      </c>
      <c r="M89" s="79">
        <f t="shared" ca="1" si="6"/>
        <v>20.171058714748035</v>
      </c>
      <c r="N89" s="79">
        <f ca="1">IFERROR(__xludf.DUMMYFUNCTION("IMPORTRANGE(""https://docs.google.com/spreadsheets/d/1Yj_ptqi66GCucihVvJfMjLAmec39IyEx_6qawtMGysU/edit?usp=sharing"",""สบก!BC93"")"),0)</f>
        <v>0</v>
      </c>
      <c r="O89" s="79">
        <f t="shared" ca="1" si="7"/>
        <v>0</v>
      </c>
      <c r="P89" s="77">
        <f ca="1">IFERROR(__xludf.DUMMYFUNCTION("IMPORTRANGE(""https://docs.google.com/spreadsheets/d/1C3CXT74ZlgGe6_JY_1olB1XN4rF0dxEuIIF-xsYjHgg/edit?usp=sharing"",""พรบ!AA93"")"),15)</f>
        <v>15</v>
      </c>
      <c r="Q89" s="77">
        <f ca="1">IFERROR(__xludf.DUMMYFUNCTION("IMPORTRANGE(""https://docs.google.com/spreadsheets/d/1IYY_tgx_IHuhSq3AJ5eI5OnqOPBNLWSHKh2a30DoXe8/edit?usp=sharing"",""สตูล!J62"")"),15)</f>
        <v>15</v>
      </c>
      <c r="R89" s="79">
        <f t="shared" ca="1" si="9"/>
        <v>100</v>
      </c>
      <c r="S89" s="77">
        <f ca="1">IFERROR(__xludf.DUMMYFUNCTION("IMPORTRANGE(""https://docs.google.com/spreadsheets/d/1C3CXT74ZlgGe6_JY_1olB1XN4rF0dxEuIIF-xsYjHgg/edit?usp=sharing"",""พรบ!AB93"")"),15)</f>
        <v>15</v>
      </c>
      <c r="T89" s="77">
        <f ca="1">IFERROR(__xludf.DUMMYFUNCTION("IMPORTRANGE(""https://docs.google.com/spreadsheets/d/1IYY_tgx_IHuhSq3AJ5eI5OnqOPBNLWSHKh2a30DoXe8/edit?usp=sharing"",""สตูล!J63"")"),15)</f>
        <v>15</v>
      </c>
      <c r="U89" s="79">
        <f t="shared" ca="1" si="11"/>
        <v>100</v>
      </c>
    </row>
    <row r="90" spans="1:21" ht="24" customHeight="1">
      <c r="A90" s="84">
        <v>14</v>
      </c>
      <c r="B90" s="85" t="s">
        <v>114</v>
      </c>
      <c r="C90" s="86">
        <f t="shared" ca="1" si="0"/>
        <v>64890</v>
      </c>
      <c r="D90" s="87">
        <f t="shared" ca="1" si="39"/>
        <v>64890</v>
      </c>
      <c r="E90" s="88">
        <f ca="1">IFERROR(__xludf.DUMMYFUNCTION("IMPORTRANGE(""https://docs.google.com/spreadsheets/d/1C3CXT74ZlgGe6_JY_1olB1XN4rF0dxEuIIF-xsYjHgg/edit?usp=sharing"",""พรบ!Y94"")"),0)</f>
        <v>0</v>
      </c>
      <c r="F90" s="88">
        <f ca="1">IFERROR(__xludf.DUMMYFUNCTION("IMPORTRANGE(""https://docs.google.com/spreadsheets/d/1C3CXT74ZlgGe6_JY_1olB1XN4rF0dxEuIIF-xsYjHgg/edit?usp=sharing"",""พรบ!Z94"")"),64890)</f>
        <v>64890</v>
      </c>
      <c r="G90" s="88">
        <f ca="1">IFERROR(__xludf.DUMMYFUNCTION("IMPORTRANGE(""https://docs.google.com/spreadsheets/d/1Yj_ptqi66GCucihVvJfMjLAmec39IyEx_6qawtMGysU/edit?usp=sharing"",""สบก!AY94"")"),0)</f>
        <v>0</v>
      </c>
      <c r="H90" s="88">
        <f ca="1">IFERROR(__xludf.DUMMYFUNCTION("IMPORTRANGE(""https://docs.google.com/spreadsheets/d/1Yj_ptqi66GCucihVvJfMjLAmec39IyEx_6qawtMGysU/edit?usp=shBAing"",""สบก!BA94"")"),64890)</f>
        <v>64890</v>
      </c>
      <c r="I90" s="88">
        <f t="shared" ca="1" si="3"/>
        <v>50950</v>
      </c>
      <c r="J90" s="138">
        <f t="shared" ca="1" si="4"/>
        <v>78.51749113885036</v>
      </c>
      <c r="K90" s="88">
        <f ca="1">IFERROR(__xludf.DUMMYFUNCTION("IMPORTRANGE(""https://docs.google.com/spreadsheets/d/1Yj_ptqi66GCucihVvJfMjLAmec39IyEx_6qawtMGysU/edit?usp=sharing"",""สบก!BB94"")"),50950)</f>
        <v>50950</v>
      </c>
      <c r="L90" s="90">
        <f t="shared" ca="1" si="5"/>
        <v>78.51749113885036</v>
      </c>
      <c r="M90" s="90">
        <f t="shared" ca="1" si="6"/>
        <v>78.51749113885036</v>
      </c>
      <c r="N90" s="90">
        <f ca="1">IFERROR(__xludf.DUMMYFUNCTION("IMPORTRANGE(""https://docs.google.com/spreadsheets/d/1Yj_ptqi66GCucihVvJfMjLAmec39IyEx_6qawtMGysU/edit?usp=sharing"",""สบก!BC94"")"),0)</f>
        <v>0</v>
      </c>
      <c r="O90" s="90">
        <f t="shared" ca="1" si="7"/>
        <v>0</v>
      </c>
      <c r="P90" s="88">
        <f ca="1">IFERROR(__xludf.DUMMYFUNCTION("IMPORTRANGE(""https://docs.google.com/spreadsheets/d/1C3CXT74ZlgGe6_JY_1olB1XN4rF0dxEuIIF-xsYjHgg/edit?usp=sharing"",""พรบ!AA94"")"),15)</f>
        <v>15</v>
      </c>
      <c r="Q90" s="88">
        <f ca="1">IFERROR(__xludf.DUMMYFUNCTION("IMPORTRANGE(""https://docs.google.com/spreadsheets/d/1IYY_tgx_IHuhSq3AJ5eI5OnqOPBNLWSHKh2a30DoXe8/edit?usp=sharing"",""สุราษฎร์ธานี!J62"")"),15)</f>
        <v>15</v>
      </c>
      <c r="R90" s="90">
        <f t="shared" ca="1" si="9"/>
        <v>100</v>
      </c>
      <c r="S90" s="88">
        <f ca="1">IFERROR(__xludf.DUMMYFUNCTION("IMPORTRANGE(""https://docs.google.com/spreadsheets/d/1C3CXT74ZlgGe6_JY_1olB1XN4rF0dxEuIIF-xsYjHgg/edit?usp=sharing"",""พรบ!AB94"")"),15)</f>
        <v>15</v>
      </c>
      <c r="T90" s="88">
        <f ca="1">IFERROR(__xludf.DUMMYFUNCTION("IMPORTRANGE(""https://docs.google.com/spreadsheets/d/1IYY_tgx_IHuhSq3AJ5eI5OnqOPBNLWSHKh2a30DoXe8/edit?usp=sharing"",""สุราษฎร์ธานี!J63"")"),2)</f>
        <v>2</v>
      </c>
      <c r="U90" s="90">
        <f t="shared" ca="1" si="11"/>
        <v>13.333333333333334</v>
      </c>
    </row>
    <row r="91" spans="1:21" ht="21" hidden="1" customHeight="1">
      <c r="A91" s="680" t="s">
        <v>115</v>
      </c>
      <c r="B91" s="652"/>
      <c r="C91" s="44">
        <f t="shared" ca="1" si="0"/>
        <v>2475320</v>
      </c>
      <c r="D91" s="45">
        <f t="shared" ref="D91:H91" ca="1" si="40">+D92+D93+D94+D95+D96+D97+D98+D99+D100+D101+D102+D103+D104+D105</f>
        <v>2475320</v>
      </c>
      <c r="E91" s="45">
        <f t="shared" ca="1" si="40"/>
        <v>0</v>
      </c>
      <c r="F91" s="45">
        <f t="shared" ca="1" si="40"/>
        <v>2475320</v>
      </c>
      <c r="G91" s="45">
        <f t="shared" ca="1" si="40"/>
        <v>0</v>
      </c>
      <c r="H91" s="45">
        <f t="shared" ca="1" si="40"/>
        <v>1335120</v>
      </c>
      <c r="I91" s="45">
        <f t="shared" ca="1" si="3"/>
        <v>415254.19</v>
      </c>
      <c r="J91" s="46">
        <f t="shared" ca="1" si="4"/>
        <v>16.775778081217783</v>
      </c>
      <c r="K91" s="45">
        <f ca="1">+K92+K93+K94+K95+K96+K97+K98+K99+K100+K101+K102+K103+K104+K105</f>
        <v>415254.19</v>
      </c>
      <c r="L91" s="47">
        <f t="shared" ca="1" si="5"/>
        <v>16.775778081217783</v>
      </c>
      <c r="M91" s="47">
        <f t="shared" ca="1" si="6"/>
        <v>31.10238705135119</v>
      </c>
      <c r="N91" s="48">
        <f ca="1">+N92+N93+N94+N95+N96+N97+N98+N99+N100+N101+N102+N103+N104+N105</f>
        <v>0</v>
      </c>
      <c r="O91" s="47">
        <f t="shared" ca="1" si="7"/>
        <v>0</v>
      </c>
      <c r="P91" s="45">
        <f t="shared" ref="P91:Q91" ca="1" si="41">+P92+P93+P94+P95+P96+P97+P98+P99+P100+P101+P102+P103+P104+P105</f>
        <v>0</v>
      </c>
      <c r="Q91" s="45">
        <f t="shared" si="41"/>
        <v>0</v>
      </c>
      <c r="R91" s="47">
        <f t="shared" ca="1" si="9"/>
        <v>0</v>
      </c>
      <c r="S91" s="45">
        <f t="shared" ref="S91:T91" ca="1" si="42">+S92+S93+S94+S95+S96+S97+S98+S99+S100+S101+S102+S103+S104+S105</f>
        <v>0</v>
      </c>
      <c r="T91" s="45">
        <f t="shared" si="42"/>
        <v>0</v>
      </c>
      <c r="U91" s="47">
        <f t="shared" ca="1" si="11"/>
        <v>0</v>
      </c>
    </row>
    <row r="92" spans="1:21" ht="24" hidden="1" customHeight="1">
      <c r="A92" s="102">
        <v>1</v>
      </c>
      <c r="B92" s="103" t="s">
        <v>116</v>
      </c>
      <c r="C92" s="65">
        <f t="shared" ca="1" si="0"/>
        <v>0</v>
      </c>
      <c r="D92" s="66">
        <f t="shared" ref="D92:D105" ca="1" si="43">+E92+F92</f>
        <v>0</v>
      </c>
      <c r="E92" s="67">
        <f ca="1">IFERROR(__xludf.DUMMYFUNCTION("IMPORTRANGE(""https://docs.google.com/spreadsheets/d/1C3CXT74ZlgGe6_JY_1olB1XN4rF0dxEuIIF-xsYjHgg/edit?usp=sharing"",""พรบ!Y96"")"),0)</f>
        <v>0</v>
      </c>
      <c r="F92" s="67">
        <f ca="1">IFERROR(__xludf.DUMMYFUNCTION("IMPORTRANGE(""https://docs.google.com/spreadsheets/d/1C3CXT74ZlgGe6_JY_1olB1XN4rF0dxEuIIF-xsYjHgg/edit?usp=sharing"",""พรบ!Z96"")"),0)</f>
        <v>0</v>
      </c>
      <c r="G92" s="67">
        <f ca="1">IFERROR(__xludf.DUMMYFUNCTION("IMPORTRANGE(""https://docs.google.com/spreadsheets/d/1Yj_ptqi66GCucihVvJfMjLAmec39IyEx_6qawtMGysU/edit?usp=sharing"",""สบก!AY96"")"),0)</f>
        <v>0</v>
      </c>
      <c r="H92" s="67">
        <f ca="1">IFERROR(__xludf.DUMMYFUNCTION("IMPORTRANGE(""https://docs.google.com/spreadsheets/d/1Yj_ptqi66GCucihVvJfMjLAmec39IyEx_6qawtMGysU/edit?usp=shBAing"",""สบก!BA96"")"),0)</f>
        <v>0</v>
      </c>
      <c r="I92" s="67">
        <f t="shared" ca="1" si="3"/>
        <v>0</v>
      </c>
      <c r="J92" s="136">
        <f t="shared" ca="1" si="4"/>
        <v>0</v>
      </c>
      <c r="K92" s="67">
        <f ca="1">IFERROR(__xludf.DUMMYFUNCTION("IMPORTRANGE(""https://docs.google.com/spreadsheets/d/1Yj_ptqi66GCucihVvJfMjLAmec39IyEx_6qawtMGysU/edit?usp=sharing"",""สบก!BB96"")"),0)</f>
        <v>0</v>
      </c>
      <c r="L92" s="70">
        <f t="shared" ca="1" si="5"/>
        <v>0</v>
      </c>
      <c r="M92" s="70">
        <f t="shared" ca="1" si="6"/>
        <v>0</v>
      </c>
      <c r="N92" s="70">
        <f ca="1">IFERROR(__xludf.DUMMYFUNCTION("IMPORTRANGE(""https://docs.google.com/spreadsheets/d/1Yj_ptqi66GCucihVvJfMjLAmec39IyEx_6qawtMGysU/edit?usp=sharing"",""สบก!BC96"")"),0)</f>
        <v>0</v>
      </c>
      <c r="O92" s="70">
        <f t="shared" ca="1" si="7"/>
        <v>0</v>
      </c>
      <c r="P92" s="67">
        <f ca="1">IFERROR(__xludf.DUMMYFUNCTION("IMPORTRANGE(""https://docs.google.com/spreadsheets/d/1C3CXT74ZlgGe6_JY_1olB1XN4rF0dxEuIIF-xsYjHgg/edit?usp=sharing"",""พรบ!AA96"")"),0)</f>
        <v>0</v>
      </c>
      <c r="Q92" s="67">
        <v>0</v>
      </c>
      <c r="R92" s="70">
        <f t="shared" ca="1" si="9"/>
        <v>0</v>
      </c>
      <c r="S92" s="67">
        <f ca="1">IFERROR(__xludf.DUMMYFUNCTION("IMPORTRANGE(""https://docs.google.com/spreadsheets/d/1C3CXT74ZlgGe6_JY_1olB1XN4rF0dxEuIIF-xsYjHgg/edit?usp=sharing"",""พรบ!AB96"")"),0)</f>
        <v>0</v>
      </c>
      <c r="T92" s="67">
        <v>0</v>
      </c>
      <c r="U92" s="70">
        <f t="shared" ca="1" si="11"/>
        <v>0</v>
      </c>
    </row>
    <row r="93" spans="1:21" ht="24" hidden="1" customHeight="1">
      <c r="A93" s="105">
        <v>2</v>
      </c>
      <c r="B93" s="106" t="s">
        <v>117</v>
      </c>
      <c r="C93" s="75">
        <f t="shared" ca="1" si="0"/>
        <v>0</v>
      </c>
      <c r="D93" s="76">
        <f t="shared" ca="1" si="43"/>
        <v>0</v>
      </c>
      <c r="E93" s="77">
        <f ca="1">IFERROR(__xludf.DUMMYFUNCTION("IMPORTRANGE(""https://docs.google.com/spreadsheets/d/1C3CXT74ZlgGe6_JY_1olB1XN4rF0dxEuIIF-xsYjHgg/edit?usp=sharing"",""พรบ!Y97"")"),0)</f>
        <v>0</v>
      </c>
      <c r="F93" s="77">
        <f ca="1">IFERROR(__xludf.DUMMYFUNCTION("IMPORTRANGE(""https://docs.google.com/spreadsheets/d/1C3CXT74ZlgGe6_JY_1olB1XN4rF0dxEuIIF-xsYjHgg/edit?usp=sharing"",""พรบ!Z97"")"),0)</f>
        <v>0</v>
      </c>
      <c r="G93" s="77">
        <f ca="1">IFERROR(__xludf.DUMMYFUNCTION("IMPORTRANGE(""https://docs.google.com/spreadsheets/d/1Yj_ptqi66GCucihVvJfMjLAmec39IyEx_6qawtMGysU/edit?usp=sharing"",""สบก!AY97"")"),0)</f>
        <v>0</v>
      </c>
      <c r="H93" s="77">
        <f ca="1">IFERROR(__xludf.DUMMYFUNCTION("IMPORTRANGE(""https://docs.google.com/spreadsheets/d/1Yj_ptqi66GCucihVvJfMjLAmec39IyEx_6qawtMGysU/edit?usp=shBAing"",""สบก!BA97"")"),0)</f>
        <v>0</v>
      </c>
      <c r="I93" s="77">
        <f t="shared" ca="1" si="3"/>
        <v>0</v>
      </c>
      <c r="J93" s="137">
        <f t="shared" ca="1" si="4"/>
        <v>0</v>
      </c>
      <c r="K93" s="77">
        <f ca="1">IFERROR(__xludf.DUMMYFUNCTION("IMPORTRANGE(""https://docs.google.com/spreadsheets/d/1Yj_ptqi66GCucihVvJfMjLAmec39IyEx_6qawtMGysU/edit?usp=sharing"",""สบก!BB97"")"),0)</f>
        <v>0</v>
      </c>
      <c r="L93" s="79">
        <f t="shared" ca="1" si="5"/>
        <v>0</v>
      </c>
      <c r="M93" s="79">
        <f t="shared" ca="1" si="6"/>
        <v>0</v>
      </c>
      <c r="N93" s="79">
        <f ca="1">IFERROR(__xludf.DUMMYFUNCTION("IMPORTRANGE(""https://docs.google.com/spreadsheets/d/1Yj_ptqi66GCucihVvJfMjLAmec39IyEx_6qawtMGysU/edit?usp=sharing"",""สบก!BC97"")"),0)</f>
        <v>0</v>
      </c>
      <c r="O93" s="79">
        <f t="shared" ca="1" si="7"/>
        <v>0</v>
      </c>
      <c r="P93" s="77">
        <f ca="1">IFERROR(__xludf.DUMMYFUNCTION("IMPORTRANGE(""https://docs.google.com/spreadsheets/d/1C3CXT74ZlgGe6_JY_1olB1XN4rF0dxEuIIF-xsYjHgg/edit?usp=sharing"",""พรบ!AA97"")"),0)</f>
        <v>0</v>
      </c>
      <c r="Q93" s="77">
        <v>0</v>
      </c>
      <c r="R93" s="79">
        <f t="shared" ca="1" si="9"/>
        <v>0</v>
      </c>
      <c r="S93" s="77">
        <f ca="1">IFERROR(__xludf.DUMMYFUNCTION("IMPORTRANGE(""https://docs.google.com/spreadsheets/d/1C3CXT74ZlgGe6_JY_1olB1XN4rF0dxEuIIF-xsYjHgg/edit?usp=sharing"",""พรบ!AB97"")"),0)</f>
        <v>0</v>
      </c>
      <c r="T93" s="77">
        <v>0</v>
      </c>
      <c r="U93" s="79">
        <f t="shared" ca="1" si="11"/>
        <v>0</v>
      </c>
    </row>
    <row r="94" spans="1:21" ht="24" hidden="1" customHeight="1">
      <c r="A94" s="105">
        <v>3</v>
      </c>
      <c r="B94" s="106" t="s">
        <v>118</v>
      </c>
      <c r="C94" s="75">
        <f t="shared" ca="1" si="0"/>
        <v>0</v>
      </c>
      <c r="D94" s="76">
        <f t="shared" ca="1" si="43"/>
        <v>0</v>
      </c>
      <c r="E94" s="77">
        <f ca="1">IFERROR(__xludf.DUMMYFUNCTION("IMPORTRANGE(""https://docs.google.com/spreadsheets/d/1C3CXT74ZlgGe6_JY_1olB1XN4rF0dxEuIIF-xsYjHgg/edit?usp=sharing"",""พรบ!Y98"")"),0)</f>
        <v>0</v>
      </c>
      <c r="F94" s="77">
        <f ca="1">IFERROR(__xludf.DUMMYFUNCTION("IMPORTRANGE(""https://docs.google.com/spreadsheets/d/1C3CXT74ZlgGe6_JY_1olB1XN4rF0dxEuIIF-xsYjHgg/edit?usp=sharing"",""พรบ!Z98"")"),0)</f>
        <v>0</v>
      </c>
      <c r="G94" s="77">
        <f ca="1">IFERROR(__xludf.DUMMYFUNCTION("IMPORTRANGE(""https://docs.google.com/spreadsheets/d/1Yj_ptqi66GCucihVvJfMjLAmec39IyEx_6qawtMGysU/edit?usp=sharing"",""สบก!AY98"")"),0)</f>
        <v>0</v>
      </c>
      <c r="H94" s="77">
        <f ca="1">IFERROR(__xludf.DUMMYFUNCTION("IMPORTRANGE(""https://docs.google.com/spreadsheets/d/1Yj_ptqi66GCucihVvJfMjLAmec39IyEx_6qawtMGysU/edit?usp=shBAing"",""สบก!BA98"")"),0)</f>
        <v>0</v>
      </c>
      <c r="I94" s="77">
        <f t="shared" ca="1" si="3"/>
        <v>0</v>
      </c>
      <c r="J94" s="137">
        <f t="shared" ca="1" si="4"/>
        <v>0</v>
      </c>
      <c r="K94" s="77">
        <f ca="1">IFERROR(__xludf.DUMMYFUNCTION("IMPORTRANGE(""https://docs.google.com/spreadsheets/d/1Yj_ptqi66GCucihVvJfMjLAmec39IyEx_6qawtMGysU/edit?usp=sharing"",""สบก!BB98"")"),0)</f>
        <v>0</v>
      </c>
      <c r="L94" s="79">
        <f t="shared" ca="1" si="5"/>
        <v>0</v>
      </c>
      <c r="M94" s="79">
        <f t="shared" ca="1" si="6"/>
        <v>0</v>
      </c>
      <c r="N94" s="79">
        <f ca="1">IFERROR(__xludf.DUMMYFUNCTION("IMPORTRANGE(""https://docs.google.com/spreadsheets/d/1Yj_ptqi66GCucihVvJfMjLAmec39IyEx_6qawtMGysU/edit?usp=sharing"",""สบก!BC98"")"),0)</f>
        <v>0</v>
      </c>
      <c r="O94" s="79">
        <f t="shared" ca="1" si="7"/>
        <v>0</v>
      </c>
      <c r="P94" s="77">
        <f ca="1">IFERROR(__xludf.DUMMYFUNCTION("IMPORTRANGE(""https://docs.google.com/spreadsheets/d/1C3CXT74ZlgGe6_JY_1olB1XN4rF0dxEuIIF-xsYjHgg/edit?usp=sharing"",""พรบ!AA98"")"),0)</f>
        <v>0</v>
      </c>
      <c r="Q94" s="77">
        <v>0</v>
      </c>
      <c r="R94" s="79">
        <f t="shared" ca="1" si="9"/>
        <v>0</v>
      </c>
      <c r="S94" s="77">
        <f ca="1">IFERROR(__xludf.DUMMYFUNCTION("IMPORTRANGE(""https://docs.google.com/spreadsheets/d/1C3CXT74ZlgGe6_JY_1olB1XN4rF0dxEuIIF-xsYjHgg/edit?usp=sharing"",""พรบ!AB98"")"),0)</f>
        <v>0</v>
      </c>
      <c r="T94" s="77">
        <v>0</v>
      </c>
      <c r="U94" s="79">
        <f t="shared" ca="1" si="11"/>
        <v>0</v>
      </c>
    </row>
    <row r="95" spans="1:21" ht="24" hidden="1" customHeight="1">
      <c r="A95" s="105">
        <f t="shared" ref="A95:A105" si="44">+A94+1</f>
        <v>4</v>
      </c>
      <c r="B95" s="106" t="s">
        <v>119</v>
      </c>
      <c r="C95" s="75">
        <f t="shared" ca="1" si="0"/>
        <v>0</v>
      </c>
      <c r="D95" s="76">
        <f t="shared" ca="1" si="43"/>
        <v>0</v>
      </c>
      <c r="E95" s="77">
        <f ca="1">IFERROR(__xludf.DUMMYFUNCTION("IMPORTRANGE(""https://docs.google.com/spreadsheets/d/1C3CXT74ZlgGe6_JY_1olB1XN4rF0dxEuIIF-xsYjHgg/edit?usp=sharing"",""พรบ!Y99"")"),0)</f>
        <v>0</v>
      </c>
      <c r="F95" s="77">
        <f ca="1">IFERROR(__xludf.DUMMYFUNCTION("IMPORTRANGE(""https://docs.google.com/spreadsheets/d/1C3CXT74ZlgGe6_JY_1olB1XN4rF0dxEuIIF-xsYjHgg/edit?usp=sharing"",""พรบ!Z99"")"),0)</f>
        <v>0</v>
      </c>
      <c r="G95" s="77">
        <f ca="1">IFERROR(__xludf.DUMMYFUNCTION("IMPORTRANGE(""https://docs.google.com/spreadsheets/d/1Yj_ptqi66GCucihVvJfMjLAmec39IyEx_6qawtMGysU/edit?usp=sharing"",""สบก!AY99"")"),0)</f>
        <v>0</v>
      </c>
      <c r="H95" s="77">
        <f ca="1">IFERROR(__xludf.DUMMYFUNCTION("IMPORTRANGE(""https://docs.google.com/spreadsheets/d/1Yj_ptqi66GCucihVvJfMjLAmec39IyEx_6qawtMGysU/edit?usp=shBAing"",""สบก!BA99"")"),0)</f>
        <v>0</v>
      </c>
      <c r="I95" s="77">
        <f t="shared" ca="1" si="3"/>
        <v>0</v>
      </c>
      <c r="J95" s="137">
        <f t="shared" ca="1" si="4"/>
        <v>0</v>
      </c>
      <c r="K95" s="77">
        <f ca="1">IFERROR(__xludf.DUMMYFUNCTION("IMPORTRANGE(""https://docs.google.com/spreadsheets/d/1Yj_ptqi66GCucihVvJfMjLAmec39IyEx_6qawtMGysU/edit?usp=sharing"",""สบก!BB99"")"),0)</f>
        <v>0</v>
      </c>
      <c r="L95" s="79">
        <f t="shared" ca="1" si="5"/>
        <v>0</v>
      </c>
      <c r="M95" s="79">
        <f t="shared" ca="1" si="6"/>
        <v>0</v>
      </c>
      <c r="N95" s="79">
        <f ca="1">IFERROR(__xludf.DUMMYFUNCTION("IMPORTRANGE(""https://docs.google.com/spreadsheets/d/1Yj_ptqi66GCucihVvJfMjLAmec39IyEx_6qawtMGysU/edit?usp=sharing"",""สบก!BC99"")"),0)</f>
        <v>0</v>
      </c>
      <c r="O95" s="79">
        <f t="shared" ca="1" si="7"/>
        <v>0</v>
      </c>
      <c r="P95" s="77">
        <f ca="1">IFERROR(__xludf.DUMMYFUNCTION("IMPORTRANGE(""https://docs.google.com/spreadsheets/d/1C3CXT74ZlgGe6_JY_1olB1XN4rF0dxEuIIF-xsYjHgg/edit?usp=sharing"",""พรบ!AA99"")"),0)</f>
        <v>0</v>
      </c>
      <c r="Q95" s="77">
        <v>0</v>
      </c>
      <c r="R95" s="79">
        <f t="shared" ca="1" si="9"/>
        <v>0</v>
      </c>
      <c r="S95" s="77">
        <f ca="1">IFERROR(__xludf.DUMMYFUNCTION("IMPORTRANGE(""https://docs.google.com/spreadsheets/d/1C3CXT74ZlgGe6_JY_1olB1XN4rF0dxEuIIF-xsYjHgg/edit?usp=sharing"",""พรบ!AB99"")"),0)</f>
        <v>0</v>
      </c>
      <c r="T95" s="77">
        <v>0</v>
      </c>
      <c r="U95" s="79">
        <f t="shared" ca="1" si="11"/>
        <v>0</v>
      </c>
    </row>
    <row r="96" spans="1:21" ht="24" hidden="1" customHeight="1">
      <c r="A96" s="105">
        <f t="shared" si="44"/>
        <v>5</v>
      </c>
      <c r="B96" s="106" t="s">
        <v>120</v>
      </c>
      <c r="C96" s="75">
        <f t="shared" ca="1" si="0"/>
        <v>0</v>
      </c>
      <c r="D96" s="76">
        <f t="shared" ca="1" si="43"/>
        <v>0</v>
      </c>
      <c r="E96" s="77">
        <f ca="1">IFERROR(__xludf.DUMMYFUNCTION("IMPORTRANGE(""https://docs.google.com/spreadsheets/d/1C3CXT74ZlgGe6_JY_1olB1XN4rF0dxEuIIF-xsYjHgg/edit?usp=sharing"",""พรบ!Y100"")"),0)</f>
        <v>0</v>
      </c>
      <c r="F96" s="77">
        <f ca="1">IFERROR(__xludf.DUMMYFUNCTION("IMPORTRANGE(""https://docs.google.com/spreadsheets/d/1C3CXT74ZlgGe6_JY_1olB1XN4rF0dxEuIIF-xsYjHgg/edit?usp=sharing"",""พรบ!Z100"")"),0)</f>
        <v>0</v>
      </c>
      <c r="G96" s="77">
        <f ca="1">IFERROR(__xludf.DUMMYFUNCTION("IMPORTRANGE(""https://docs.google.com/spreadsheets/d/1Yj_ptqi66GCucihVvJfMjLAmec39IyEx_6qawtMGysU/edit?usp=sharing"",""สบก!AY100"")"),0)</f>
        <v>0</v>
      </c>
      <c r="H96" s="77">
        <f ca="1">IFERROR(__xludf.DUMMYFUNCTION("IMPORTRANGE(""https://docs.google.com/spreadsheets/d/1Yj_ptqi66GCucihVvJfMjLAmec39IyEx_6qawtMGysU/edit?usp=shBAing"",""สบก!BA100"")"),0)</f>
        <v>0</v>
      </c>
      <c r="I96" s="77">
        <f t="shared" ca="1" si="3"/>
        <v>0</v>
      </c>
      <c r="J96" s="137">
        <f t="shared" ca="1" si="4"/>
        <v>0</v>
      </c>
      <c r="K96" s="77">
        <f ca="1">IFERROR(__xludf.DUMMYFUNCTION("IMPORTRANGE(""https://docs.google.com/spreadsheets/d/1Yj_ptqi66GCucihVvJfMjLAmec39IyEx_6qawtMGysU/edit?usp=sharing"",""สบก!BB100"")"),0)</f>
        <v>0</v>
      </c>
      <c r="L96" s="79">
        <f t="shared" ca="1" si="5"/>
        <v>0</v>
      </c>
      <c r="M96" s="79">
        <f t="shared" ca="1" si="6"/>
        <v>0</v>
      </c>
      <c r="N96" s="79">
        <f ca="1">IFERROR(__xludf.DUMMYFUNCTION("IMPORTRANGE(""https://docs.google.com/spreadsheets/d/1Yj_ptqi66GCucihVvJfMjLAmec39IyEx_6qawtMGysU/edit?usp=sharing"",""สบก!BC100"")"),0)</f>
        <v>0</v>
      </c>
      <c r="O96" s="79">
        <f t="shared" ca="1" si="7"/>
        <v>0</v>
      </c>
      <c r="P96" s="77">
        <f ca="1">IFERROR(__xludf.DUMMYFUNCTION("IMPORTRANGE(""https://docs.google.com/spreadsheets/d/1C3CXT74ZlgGe6_JY_1olB1XN4rF0dxEuIIF-xsYjHgg/edit?usp=sharing"",""พรบ!AA100"")"),0)</f>
        <v>0</v>
      </c>
      <c r="Q96" s="77">
        <v>0</v>
      </c>
      <c r="R96" s="79">
        <f t="shared" ca="1" si="9"/>
        <v>0</v>
      </c>
      <c r="S96" s="77">
        <f ca="1">IFERROR(__xludf.DUMMYFUNCTION("IMPORTRANGE(""https://docs.google.com/spreadsheets/d/1C3CXT74ZlgGe6_JY_1olB1XN4rF0dxEuIIF-xsYjHgg/edit?usp=sharing"",""พรบ!AB100"")"),0)</f>
        <v>0</v>
      </c>
      <c r="T96" s="77">
        <v>0</v>
      </c>
      <c r="U96" s="79">
        <f t="shared" ca="1" si="11"/>
        <v>0</v>
      </c>
    </row>
    <row r="97" spans="1:21" ht="24" hidden="1" customHeight="1">
      <c r="A97" s="105">
        <f t="shared" si="44"/>
        <v>6</v>
      </c>
      <c r="B97" s="106" t="s">
        <v>121</v>
      </c>
      <c r="C97" s="75">
        <f t="shared" ca="1" si="0"/>
        <v>0</v>
      </c>
      <c r="D97" s="76">
        <f t="shared" ca="1" si="43"/>
        <v>0</v>
      </c>
      <c r="E97" s="77">
        <f ca="1">IFERROR(__xludf.DUMMYFUNCTION("IMPORTRANGE(""https://docs.google.com/spreadsheets/d/1C3CXT74ZlgGe6_JY_1olB1XN4rF0dxEuIIF-xsYjHgg/edit?usp=sharing"",""พรบ!Y101"")"),0)</f>
        <v>0</v>
      </c>
      <c r="F97" s="77">
        <f ca="1">IFERROR(__xludf.DUMMYFUNCTION("IMPORTRANGE(""https://docs.google.com/spreadsheets/d/1C3CXT74ZlgGe6_JY_1olB1XN4rF0dxEuIIF-xsYjHgg/edit?usp=sharing"",""พรบ!Z101"")"),0)</f>
        <v>0</v>
      </c>
      <c r="G97" s="77">
        <f ca="1">IFERROR(__xludf.DUMMYFUNCTION("IMPORTRANGE(""https://docs.google.com/spreadsheets/d/1Yj_ptqi66GCucihVvJfMjLAmec39IyEx_6qawtMGysU/edit?usp=sharing"",""สบก!AY101"")"),0)</f>
        <v>0</v>
      </c>
      <c r="H97" s="77">
        <f ca="1">IFERROR(__xludf.DUMMYFUNCTION("IMPORTRANGE(""https://docs.google.com/spreadsheets/d/1Yj_ptqi66GCucihVvJfMjLAmec39IyEx_6qawtMGysU/edit?usp=shBAing"",""สบก!BA101"")"),0)</f>
        <v>0</v>
      </c>
      <c r="I97" s="77">
        <f t="shared" ca="1" si="3"/>
        <v>0</v>
      </c>
      <c r="J97" s="137">
        <f t="shared" ca="1" si="4"/>
        <v>0</v>
      </c>
      <c r="K97" s="77">
        <f ca="1">IFERROR(__xludf.DUMMYFUNCTION("IMPORTRANGE(""https://docs.google.com/spreadsheets/d/1Yj_ptqi66GCucihVvJfMjLAmec39IyEx_6qawtMGysU/edit?usp=sharing"",""สบก!BB101"")"),0)</f>
        <v>0</v>
      </c>
      <c r="L97" s="79">
        <f t="shared" ca="1" si="5"/>
        <v>0</v>
      </c>
      <c r="M97" s="79">
        <f t="shared" ca="1" si="6"/>
        <v>0</v>
      </c>
      <c r="N97" s="79">
        <f ca="1">IFERROR(__xludf.DUMMYFUNCTION("IMPORTRANGE(""https://docs.google.com/spreadsheets/d/1Yj_ptqi66GCucihVvJfMjLAmec39IyEx_6qawtMGysU/edit?usp=sharing"",""สบก!BC101"")"),0)</f>
        <v>0</v>
      </c>
      <c r="O97" s="79">
        <f t="shared" ca="1" si="7"/>
        <v>0</v>
      </c>
      <c r="P97" s="77">
        <f ca="1">IFERROR(__xludf.DUMMYFUNCTION("IMPORTRANGE(""https://docs.google.com/spreadsheets/d/1C3CXT74ZlgGe6_JY_1olB1XN4rF0dxEuIIF-xsYjHgg/edit?usp=sharing"",""พรบ!AA101"")"),0)</f>
        <v>0</v>
      </c>
      <c r="Q97" s="77">
        <v>0</v>
      </c>
      <c r="R97" s="79">
        <f t="shared" ca="1" si="9"/>
        <v>0</v>
      </c>
      <c r="S97" s="77">
        <f ca="1">IFERROR(__xludf.DUMMYFUNCTION("IMPORTRANGE(""https://docs.google.com/spreadsheets/d/1C3CXT74ZlgGe6_JY_1olB1XN4rF0dxEuIIF-xsYjHgg/edit?usp=sharing"",""พรบ!AB101"")"),0)</f>
        <v>0</v>
      </c>
      <c r="T97" s="77">
        <v>0</v>
      </c>
      <c r="U97" s="79">
        <f t="shared" ca="1" si="11"/>
        <v>0</v>
      </c>
    </row>
    <row r="98" spans="1:21" ht="24" hidden="1" customHeight="1">
      <c r="A98" s="105">
        <f t="shared" si="44"/>
        <v>7</v>
      </c>
      <c r="B98" s="106" t="s">
        <v>122</v>
      </c>
      <c r="C98" s="75">
        <f t="shared" ca="1" si="0"/>
        <v>2475320</v>
      </c>
      <c r="D98" s="76">
        <f t="shared" ca="1" si="43"/>
        <v>2475320</v>
      </c>
      <c r="E98" s="77">
        <f ca="1">IFERROR(__xludf.DUMMYFUNCTION("IMPORTRANGE(""https://docs.google.com/spreadsheets/d/1C3CXT74ZlgGe6_JY_1olB1XN4rF0dxEuIIF-xsYjHgg/edit?usp=sharing"",""พรบ!Y102"")"),0)</f>
        <v>0</v>
      </c>
      <c r="F98" s="77">
        <f ca="1">IFERROR(__xludf.DUMMYFUNCTION("IMPORTRANGE(""https://docs.google.com/spreadsheets/d/1C3CXT74ZlgGe6_JY_1olB1XN4rF0dxEuIIF-xsYjHgg/edit?usp=sharing"",""พรบ!Z102"")"),2475320)</f>
        <v>2475320</v>
      </c>
      <c r="G98" s="77">
        <f ca="1">IFERROR(__xludf.DUMMYFUNCTION("IMPORTRANGE(""https://docs.google.com/spreadsheets/d/1Yj_ptqi66GCucihVvJfMjLAmec39IyEx_6qawtMGysU/edit?usp=sharing"",""สบก!AY102"")"),0)</f>
        <v>0</v>
      </c>
      <c r="H98" s="77">
        <f ca="1">IFERROR(__xludf.DUMMYFUNCTION("IMPORTRANGE(""https://docs.google.com/spreadsheets/d/1Yj_ptqi66GCucihVvJfMjLAmec39IyEx_6qawtMGysU/edit?usp=shBAing"",""สบก!BA102"")"),1335120)</f>
        <v>1335120</v>
      </c>
      <c r="I98" s="77">
        <f t="shared" ca="1" si="3"/>
        <v>415254.19</v>
      </c>
      <c r="J98" s="137">
        <f t="shared" ca="1" si="4"/>
        <v>16.775778081217783</v>
      </c>
      <c r="K98" s="77">
        <f ca="1">IFERROR(__xludf.DUMMYFUNCTION("IMPORTRANGE(""https://docs.google.com/spreadsheets/d/1Yj_ptqi66GCucihVvJfMjLAmec39IyEx_6qawtMGysU/edit?usp=sharing"",""สบก!BB102"")"),415254.19)</f>
        <v>415254.19</v>
      </c>
      <c r="L98" s="79">
        <f t="shared" ca="1" si="5"/>
        <v>16.775778081217783</v>
      </c>
      <c r="M98" s="79">
        <f t="shared" ca="1" si="6"/>
        <v>31.10238705135119</v>
      </c>
      <c r="N98" s="79">
        <f ca="1">IFERROR(__xludf.DUMMYFUNCTION("IMPORTRANGE(""https://docs.google.com/spreadsheets/d/1Yj_ptqi66GCucihVvJfMjLAmec39IyEx_6qawtMGysU/edit?usp=sharing"",""สบก!BC102"")"),0)</f>
        <v>0</v>
      </c>
      <c r="O98" s="79">
        <f t="shared" ca="1" si="7"/>
        <v>0</v>
      </c>
      <c r="P98" s="77">
        <f ca="1">IFERROR(__xludf.DUMMYFUNCTION("IMPORTRANGE(""https://docs.google.com/spreadsheets/d/1C3CXT74ZlgGe6_JY_1olB1XN4rF0dxEuIIF-xsYjHgg/edit?usp=sharing"",""พรบ!AA102"")"),0)</f>
        <v>0</v>
      </c>
      <c r="Q98" s="77">
        <v>0</v>
      </c>
      <c r="R98" s="79">
        <f t="shared" ca="1" si="9"/>
        <v>0</v>
      </c>
      <c r="S98" s="77">
        <f ca="1">IFERROR(__xludf.DUMMYFUNCTION("IMPORTRANGE(""https://docs.google.com/spreadsheets/d/1C3CXT74ZlgGe6_JY_1olB1XN4rF0dxEuIIF-xsYjHgg/edit?usp=sharing"",""พรบ!AB102"")"),0)</f>
        <v>0</v>
      </c>
      <c r="T98" s="77">
        <v>0</v>
      </c>
      <c r="U98" s="79">
        <f t="shared" ca="1" si="11"/>
        <v>0</v>
      </c>
    </row>
    <row r="99" spans="1:21" ht="24" hidden="1" customHeight="1">
      <c r="A99" s="105">
        <f t="shared" si="44"/>
        <v>8</v>
      </c>
      <c r="B99" s="106" t="s">
        <v>123</v>
      </c>
      <c r="C99" s="75">
        <f t="shared" ca="1" si="0"/>
        <v>0</v>
      </c>
      <c r="D99" s="76">
        <f t="shared" ca="1" si="43"/>
        <v>0</v>
      </c>
      <c r="E99" s="77">
        <f ca="1">IFERROR(__xludf.DUMMYFUNCTION("IMPORTRANGE(""https://docs.google.com/spreadsheets/d/1C3CXT74ZlgGe6_JY_1olB1XN4rF0dxEuIIF-xsYjHgg/edit?usp=sharing"",""พรบ!Y103"")"),0)</f>
        <v>0</v>
      </c>
      <c r="F99" s="77">
        <f ca="1">IFERROR(__xludf.DUMMYFUNCTION("IMPORTRANGE(""https://docs.google.com/spreadsheets/d/1C3CXT74ZlgGe6_JY_1olB1XN4rF0dxEuIIF-xsYjHgg/edit?usp=sharing"",""พรบ!Z103"")"),0)</f>
        <v>0</v>
      </c>
      <c r="G99" s="77">
        <f ca="1">IFERROR(__xludf.DUMMYFUNCTION("IMPORTRANGE(""https://docs.google.com/spreadsheets/d/1Yj_ptqi66GCucihVvJfMjLAmec39IyEx_6qawtMGysU/edit?usp=sharing"",""สบก!AY103"")"),0)</f>
        <v>0</v>
      </c>
      <c r="H99" s="77">
        <f ca="1">IFERROR(__xludf.DUMMYFUNCTION("IMPORTRANGE(""https://docs.google.com/spreadsheets/d/1Yj_ptqi66GCucihVvJfMjLAmec39IyEx_6qawtMGysU/edit?usp=shBAing"",""สบก!BA103"")"),0)</f>
        <v>0</v>
      </c>
      <c r="I99" s="77">
        <f t="shared" ca="1" si="3"/>
        <v>0</v>
      </c>
      <c r="J99" s="137">
        <f t="shared" ca="1" si="4"/>
        <v>0</v>
      </c>
      <c r="K99" s="77">
        <f ca="1">IFERROR(__xludf.DUMMYFUNCTION("IMPORTRANGE(""https://docs.google.com/spreadsheets/d/1Yj_ptqi66GCucihVvJfMjLAmec39IyEx_6qawtMGysU/edit?usp=sharing"",""สบก!BB103"")"),0)</f>
        <v>0</v>
      </c>
      <c r="L99" s="79">
        <f t="shared" ca="1" si="5"/>
        <v>0</v>
      </c>
      <c r="M99" s="79">
        <f t="shared" ca="1" si="6"/>
        <v>0</v>
      </c>
      <c r="N99" s="79">
        <f ca="1">IFERROR(__xludf.DUMMYFUNCTION("IMPORTRANGE(""https://docs.google.com/spreadsheets/d/1Yj_ptqi66GCucihVvJfMjLAmec39IyEx_6qawtMGysU/edit?usp=sharing"",""สบก!BC103"")"),0)</f>
        <v>0</v>
      </c>
      <c r="O99" s="79">
        <f t="shared" ca="1" si="7"/>
        <v>0</v>
      </c>
      <c r="P99" s="77">
        <f ca="1">IFERROR(__xludf.DUMMYFUNCTION("IMPORTRANGE(""https://docs.google.com/spreadsheets/d/1C3CXT74ZlgGe6_JY_1olB1XN4rF0dxEuIIF-xsYjHgg/edit?usp=sharing"",""พรบ!AA103"")"),0)</f>
        <v>0</v>
      </c>
      <c r="Q99" s="77">
        <v>0</v>
      </c>
      <c r="R99" s="79">
        <f t="shared" ca="1" si="9"/>
        <v>0</v>
      </c>
      <c r="S99" s="77">
        <f ca="1">IFERROR(__xludf.DUMMYFUNCTION("IMPORTRANGE(""https://docs.google.com/spreadsheets/d/1C3CXT74ZlgGe6_JY_1olB1XN4rF0dxEuIIF-xsYjHgg/edit?usp=sharing"",""พรบ!AB103"")"),0)</f>
        <v>0</v>
      </c>
      <c r="T99" s="77">
        <v>0</v>
      </c>
      <c r="U99" s="79">
        <f t="shared" ca="1" si="11"/>
        <v>0</v>
      </c>
    </row>
    <row r="100" spans="1:21" ht="24" hidden="1" customHeight="1">
      <c r="A100" s="105">
        <f t="shared" si="44"/>
        <v>9</v>
      </c>
      <c r="B100" s="106" t="s">
        <v>124</v>
      </c>
      <c r="C100" s="75">
        <f t="shared" ca="1" si="0"/>
        <v>0</v>
      </c>
      <c r="D100" s="76">
        <f t="shared" ca="1" si="43"/>
        <v>0</v>
      </c>
      <c r="E100" s="77">
        <f ca="1">IFERROR(__xludf.DUMMYFUNCTION("IMPORTRANGE(""https://docs.google.com/spreadsheets/d/1C3CXT74ZlgGe6_JY_1olB1XN4rF0dxEuIIF-xsYjHgg/edit?usp=sharing"",""พรบ!Y104"")"),0)</f>
        <v>0</v>
      </c>
      <c r="F100" s="77">
        <f ca="1">IFERROR(__xludf.DUMMYFUNCTION("IMPORTRANGE(""https://docs.google.com/spreadsheets/d/1C3CXT74ZlgGe6_JY_1olB1XN4rF0dxEuIIF-xsYjHgg/edit?usp=sharing"",""พรบ!Z104"")"),0)</f>
        <v>0</v>
      </c>
      <c r="G100" s="77">
        <f ca="1">IFERROR(__xludf.DUMMYFUNCTION("IMPORTRANGE(""https://docs.google.com/spreadsheets/d/1Yj_ptqi66GCucihVvJfMjLAmec39IyEx_6qawtMGysU/edit?usp=sharing"",""สบก!AY104"")"),0)</f>
        <v>0</v>
      </c>
      <c r="H100" s="77">
        <f ca="1">IFERROR(__xludf.DUMMYFUNCTION("IMPORTRANGE(""https://docs.google.com/spreadsheets/d/1Yj_ptqi66GCucihVvJfMjLAmec39IyEx_6qawtMGysU/edit?usp=shBAing"",""สบก!BA104"")"),0)</f>
        <v>0</v>
      </c>
      <c r="I100" s="77">
        <f t="shared" ca="1" si="3"/>
        <v>0</v>
      </c>
      <c r="J100" s="137">
        <f t="shared" ca="1" si="4"/>
        <v>0</v>
      </c>
      <c r="K100" s="77">
        <f ca="1">IFERROR(__xludf.DUMMYFUNCTION("IMPORTRANGE(""https://docs.google.com/spreadsheets/d/1Yj_ptqi66GCucihVvJfMjLAmec39IyEx_6qawtMGysU/edit?usp=sharing"",""สบก!BB104"")"),0)</f>
        <v>0</v>
      </c>
      <c r="L100" s="79">
        <f t="shared" ca="1" si="5"/>
        <v>0</v>
      </c>
      <c r="M100" s="79">
        <f t="shared" ca="1" si="6"/>
        <v>0</v>
      </c>
      <c r="N100" s="79">
        <f ca="1">IFERROR(__xludf.DUMMYFUNCTION("IMPORTRANGE(""https://docs.google.com/spreadsheets/d/1Yj_ptqi66GCucihVvJfMjLAmec39IyEx_6qawtMGysU/edit?usp=sharing"",""สบก!BC104"")"),0)</f>
        <v>0</v>
      </c>
      <c r="O100" s="79">
        <f t="shared" ca="1" si="7"/>
        <v>0</v>
      </c>
      <c r="P100" s="77">
        <f ca="1">IFERROR(__xludf.DUMMYFUNCTION("IMPORTRANGE(""https://docs.google.com/spreadsheets/d/1C3CXT74ZlgGe6_JY_1olB1XN4rF0dxEuIIF-xsYjHgg/edit?usp=sharing"",""พรบ!AA104"")"),0)</f>
        <v>0</v>
      </c>
      <c r="Q100" s="77">
        <v>0</v>
      </c>
      <c r="R100" s="79">
        <f t="shared" ca="1" si="9"/>
        <v>0</v>
      </c>
      <c r="S100" s="77">
        <f ca="1">IFERROR(__xludf.DUMMYFUNCTION("IMPORTRANGE(""https://docs.google.com/spreadsheets/d/1C3CXT74ZlgGe6_JY_1olB1XN4rF0dxEuIIF-xsYjHgg/edit?usp=sharing"",""พรบ!AB104"")"),0)</f>
        <v>0</v>
      </c>
      <c r="T100" s="77">
        <v>0</v>
      </c>
      <c r="U100" s="79">
        <f t="shared" ca="1" si="11"/>
        <v>0</v>
      </c>
    </row>
    <row r="101" spans="1:21" ht="24" hidden="1" customHeight="1">
      <c r="A101" s="105">
        <f t="shared" si="44"/>
        <v>10</v>
      </c>
      <c r="B101" s="106" t="s">
        <v>125</v>
      </c>
      <c r="C101" s="75">
        <f t="shared" ca="1" si="0"/>
        <v>0</v>
      </c>
      <c r="D101" s="76">
        <f t="shared" ca="1" si="43"/>
        <v>0</v>
      </c>
      <c r="E101" s="77">
        <f ca="1">IFERROR(__xludf.DUMMYFUNCTION("IMPORTRANGE(""https://docs.google.com/spreadsheets/d/1C3CXT74ZlgGe6_JY_1olB1XN4rF0dxEuIIF-xsYjHgg/edit?usp=sharing"",""พรบ!Y105"")"),0)</f>
        <v>0</v>
      </c>
      <c r="F101" s="77">
        <f ca="1">IFERROR(__xludf.DUMMYFUNCTION("IMPORTRANGE(""https://docs.google.com/spreadsheets/d/1C3CXT74ZlgGe6_JY_1olB1XN4rF0dxEuIIF-xsYjHgg/edit?usp=sharing"",""พรบ!Z105"")"),0)</f>
        <v>0</v>
      </c>
      <c r="G101" s="77">
        <f ca="1">IFERROR(__xludf.DUMMYFUNCTION("IMPORTRANGE(""https://docs.google.com/spreadsheets/d/1Yj_ptqi66GCucihVvJfMjLAmec39IyEx_6qawtMGysU/edit?usp=sharing"",""สบก!AY105"")"),0)</f>
        <v>0</v>
      </c>
      <c r="H101" s="77">
        <f ca="1">IFERROR(__xludf.DUMMYFUNCTION("IMPORTRANGE(""https://docs.google.com/spreadsheets/d/1Yj_ptqi66GCucihVvJfMjLAmec39IyEx_6qawtMGysU/edit?usp=shBAing"",""สบก!BA105"")"),0)</f>
        <v>0</v>
      </c>
      <c r="I101" s="77">
        <f t="shared" ca="1" si="3"/>
        <v>0</v>
      </c>
      <c r="J101" s="137">
        <f t="shared" ca="1" si="4"/>
        <v>0</v>
      </c>
      <c r="K101" s="77">
        <f ca="1">IFERROR(__xludf.DUMMYFUNCTION("IMPORTRANGE(""https://docs.google.com/spreadsheets/d/1Yj_ptqi66GCucihVvJfMjLAmec39IyEx_6qawtMGysU/edit?usp=sharing"",""สบก!BB105"")"),0)</f>
        <v>0</v>
      </c>
      <c r="L101" s="79">
        <f t="shared" ca="1" si="5"/>
        <v>0</v>
      </c>
      <c r="M101" s="79">
        <f t="shared" ca="1" si="6"/>
        <v>0</v>
      </c>
      <c r="N101" s="79">
        <f ca="1">IFERROR(__xludf.DUMMYFUNCTION("IMPORTRANGE(""https://docs.google.com/spreadsheets/d/1Yj_ptqi66GCucihVvJfMjLAmec39IyEx_6qawtMGysU/edit?usp=sharing"",""สบก!BC105"")"),0)</f>
        <v>0</v>
      </c>
      <c r="O101" s="79">
        <f t="shared" ca="1" si="7"/>
        <v>0</v>
      </c>
      <c r="P101" s="77">
        <f ca="1">IFERROR(__xludf.DUMMYFUNCTION("IMPORTRANGE(""https://docs.google.com/spreadsheets/d/1C3CXT74ZlgGe6_JY_1olB1XN4rF0dxEuIIF-xsYjHgg/edit?usp=sharing"",""พรบ!AA105"")"),0)</f>
        <v>0</v>
      </c>
      <c r="Q101" s="77">
        <v>0</v>
      </c>
      <c r="R101" s="79">
        <f t="shared" ca="1" si="9"/>
        <v>0</v>
      </c>
      <c r="S101" s="77">
        <f ca="1">IFERROR(__xludf.DUMMYFUNCTION("IMPORTRANGE(""https://docs.google.com/spreadsheets/d/1C3CXT74ZlgGe6_JY_1olB1XN4rF0dxEuIIF-xsYjHgg/edit?usp=sharing"",""พรบ!AB105"")"),0)</f>
        <v>0</v>
      </c>
      <c r="T101" s="77">
        <v>0</v>
      </c>
      <c r="U101" s="79">
        <f t="shared" ca="1" si="11"/>
        <v>0</v>
      </c>
    </row>
    <row r="102" spans="1:21" ht="24" hidden="1" customHeight="1">
      <c r="A102" s="105">
        <f t="shared" si="44"/>
        <v>11</v>
      </c>
      <c r="B102" s="106" t="s">
        <v>126</v>
      </c>
      <c r="C102" s="75">
        <f t="shared" ca="1" si="0"/>
        <v>0</v>
      </c>
      <c r="D102" s="76">
        <f t="shared" ca="1" si="43"/>
        <v>0</v>
      </c>
      <c r="E102" s="77">
        <f ca="1">IFERROR(__xludf.DUMMYFUNCTION("IMPORTRANGE(""https://docs.google.com/spreadsheets/d/1C3CXT74ZlgGe6_JY_1olB1XN4rF0dxEuIIF-xsYjHgg/edit?usp=sharing"",""พรบ!Y106"")"),0)</f>
        <v>0</v>
      </c>
      <c r="F102" s="77">
        <f ca="1">IFERROR(__xludf.DUMMYFUNCTION("IMPORTRANGE(""https://docs.google.com/spreadsheets/d/1C3CXT74ZlgGe6_JY_1olB1XN4rF0dxEuIIF-xsYjHgg/edit?usp=sharing"",""พรบ!Z106"")"),0)</f>
        <v>0</v>
      </c>
      <c r="G102" s="77">
        <f ca="1">IFERROR(__xludf.DUMMYFUNCTION("IMPORTRANGE(""https://docs.google.com/spreadsheets/d/1Yj_ptqi66GCucihVvJfMjLAmec39IyEx_6qawtMGysU/edit?usp=sharing"",""สบก!AY106"")"),0)</f>
        <v>0</v>
      </c>
      <c r="H102" s="77">
        <f ca="1">IFERROR(__xludf.DUMMYFUNCTION("IMPORTRANGE(""https://docs.google.com/spreadsheets/d/1Yj_ptqi66GCucihVvJfMjLAmec39IyEx_6qawtMGysU/edit?usp=shBAing"",""สบก!BA106"")"),0)</f>
        <v>0</v>
      </c>
      <c r="I102" s="77">
        <f t="shared" ca="1" si="3"/>
        <v>0</v>
      </c>
      <c r="J102" s="137">
        <f t="shared" ca="1" si="4"/>
        <v>0</v>
      </c>
      <c r="K102" s="77">
        <f ca="1">IFERROR(__xludf.DUMMYFUNCTION("IMPORTRANGE(""https://docs.google.com/spreadsheets/d/1Yj_ptqi66GCucihVvJfMjLAmec39IyEx_6qawtMGysU/edit?usp=sharing"",""สบก!BB106"")"),0)</f>
        <v>0</v>
      </c>
      <c r="L102" s="79">
        <f t="shared" ca="1" si="5"/>
        <v>0</v>
      </c>
      <c r="M102" s="79">
        <f t="shared" ca="1" si="6"/>
        <v>0</v>
      </c>
      <c r="N102" s="79">
        <f ca="1">IFERROR(__xludf.DUMMYFUNCTION("IMPORTRANGE(""https://docs.google.com/spreadsheets/d/1Yj_ptqi66GCucihVvJfMjLAmec39IyEx_6qawtMGysU/edit?usp=sharing"",""สบก!BC106"")"),0)</f>
        <v>0</v>
      </c>
      <c r="O102" s="79">
        <f t="shared" ca="1" si="7"/>
        <v>0</v>
      </c>
      <c r="P102" s="77">
        <f ca="1">IFERROR(__xludf.DUMMYFUNCTION("IMPORTRANGE(""https://docs.google.com/spreadsheets/d/1C3CXT74ZlgGe6_JY_1olB1XN4rF0dxEuIIF-xsYjHgg/edit?usp=sharing"",""พรบ!AA106"")"),0)</f>
        <v>0</v>
      </c>
      <c r="Q102" s="77">
        <v>0</v>
      </c>
      <c r="R102" s="79">
        <f t="shared" ca="1" si="9"/>
        <v>0</v>
      </c>
      <c r="S102" s="77">
        <f ca="1">IFERROR(__xludf.DUMMYFUNCTION("IMPORTRANGE(""https://docs.google.com/spreadsheets/d/1C3CXT74ZlgGe6_JY_1olB1XN4rF0dxEuIIF-xsYjHgg/edit?usp=sharing"",""พรบ!AB106"")"),0)</f>
        <v>0</v>
      </c>
      <c r="T102" s="77">
        <v>0</v>
      </c>
      <c r="U102" s="79">
        <f t="shared" ca="1" si="11"/>
        <v>0</v>
      </c>
    </row>
    <row r="103" spans="1:21" ht="24" hidden="1" customHeight="1">
      <c r="A103" s="105">
        <f t="shared" si="44"/>
        <v>12</v>
      </c>
      <c r="B103" s="106" t="s">
        <v>127</v>
      </c>
      <c r="C103" s="75">
        <f t="shared" ca="1" si="0"/>
        <v>0</v>
      </c>
      <c r="D103" s="76">
        <f t="shared" ca="1" si="43"/>
        <v>0</v>
      </c>
      <c r="E103" s="77">
        <f ca="1">IFERROR(__xludf.DUMMYFUNCTION("IMPORTRANGE(""https://docs.google.com/spreadsheets/d/1C3CXT74ZlgGe6_JY_1olB1XN4rF0dxEuIIF-xsYjHgg/edit?usp=sharing"",""พรบ!Y107"")"),0)</f>
        <v>0</v>
      </c>
      <c r="F103" s="77">
        <f ca="1">IFERROR(__xludf.DUMMYFUNCTION("IMPORTRANGE(""https://docs.google.com/spreadsheets/d/1C3CXT74ZlgGe6_JY_1olB1XN4rF0dxEuIIF-xsYjHgg/edit?usp=sharing"",""พรบ!Z107"")"),0)</f>
        <v>0</v>
      </c>
      <c r="G103" s="77">
        <f ca="1">IFERROR(__xludf.DUMMYFUNCTION("IMPORTRANGE(""https://docs.google.com/spreadsheets/d/1Yj_ptqi66GCucihVvJfMjLAmec39IyEx_6qawtMGysU/edit?usp=sharing"",""สบก!AY107"")"),0)</f>
        <v>0</v>
      </c>
      <c r="H103" s="77">
        <f ca="1">IFERROR(__xludf.DUMMYFUNCTION("IMPORTRANGE(""https://docs.google.com/spreadsheets/d/1Yj_ptqi66GCucihVvJfMjLAmec39IyEx_6qawtMGysU/edit?usp=shBAing"",""สบก!BA107"")"),0)</f>
        <v>0</v>
      </c>
      <c r="I103" s="77">
        <f t="shared" ca="1" si="3"/>
        <v>0</v>
      </c>
      <c r="J103" s="137">
        <f t="shared" ca="1" si="4"/>
        <v>0</v>
      </c>
      <c r="K103" s="77">
        <f ca="1">IFERROR(__xludf.DUMMYFUNCTION("IMPORTRANGE(""https://docs.google.com/spreadsheets/d/1Yj_ptqi66GCucihVvJfMjLAmec39IyEx_6qawtMGysU/edit?usp=sharing"",""สบก!BB107"")"),0)</f>
        <v>0</v>
      </c>
      <c r="L103" s="79">
        <f t="shared" ca="1" si="5"/>
        <v>0</v>
      </c>
      <c r="M103" s="79">
        <f t="shared" ca="1" si="6"/>
        <v>0</v>
      </c>
      <c r="N103" s="79">
        <f ca="1">IFERROR(__xludf.DUMMYFUNCTION("IMPORTRANGE(""https://docs.google.com/spreadsheets/d/1Yj_ptqi66GCucihVvJfMjLAmec39IyEx_6qawtMGysU/edit?usp=sharing"",""สบก!BC107"")"),0)</f>
        <v>0</v>
      </c>
      <c r="O103" s="79">
        <f t="shared" ca="1" si="7"/>
        <v>0</v>
      </c>
      <c r="P103" s="77">
        <f ca="1">IFERROR(__xludf.DUMMYFUNCTION("IMPORTRANGE(""https://docs.google.com/spreadsheets/d/1C3CXT74ZlgGe6_JY_1olB1XN4rF0dxEuIIF-xsYjHgg/edit?usp=sharing"",""พรบ!AA107"")"),0)</f>
        <v>0</v>
      </c>
      <c r="Q103" s="77">
        <v>0</v>
      </c>
      <c r="R103" s="79">
        <f t="shared" ca="1" si="9"/>
        <v>0</v>
      </c>
      <c r="S103" s="77">
        <f ca="1">IFERROR(__xludf.DUMMYFUNCTION("IMPORTRANGE(""https://docs.google.com/spreadsheets/d/1C3CXT74ZlgGe6_JY_1olB1XN4rF0dxEuIIF-xsYjHgg/edit?usp=sharing"",""พรบ!AB107"")"),0)</f>
        <v>0</v>
      </c>
      <c r="T103" s="77">
        <v>0</v>
      </c>
      <c r="U103" s="79">
        <f t="shared" ca="1" si="11"/>
        <v>0</v>
      </c>
    </row>
    <row r="104" spans="1:21" ht="24" hidden="1" customHeight="1">
      <c r="A104" s="105">
        <f t="shared" si="44"/>
        <v>13</v>
      </c>
      <c r="B104" s="106" t="s">
        <v>128</v>
      </c>
      <c r="C104" s="75">
        <f t="shared" ca="1" si="0"/>
        <v>0</v>
      </c>
      <c r="D104" s="76">
        <f t="shared" ca="1" si="43"/>
        <v>0</v>
      </c>
      <c r="E104" s="77">
        <f ca="1">IFERROR(__xludf.DUMMYFUNCTION("IMPORTRANGE(""https://docs.google.com/spreadsheets/d/1C3CXT74ZlgGe6_JY_1olB1XN4rF0dxEuIIF-xsYjHgg/edit?usp=sharing"",""พรบ!Y108"")"),0)</f>
        <v>0</v>
      </c>
      <c r="F104" s="77">
        <f ca="1">IFERROR(__xludf.DUMMYFUNCTION("IMPORTRANGE(""https://docs.google.com/spreadsheets/d/1C3CXT74ZlgGe6_JY_1olB1XN4rF0dxEuIIF-xsYjHgg/edit?usp=sharing"",""พรบ!Z108"")"),0)</f>
        <v>0</v>
      </c>
      <c r="G104" s="77">
        <f ca="1">IFERROR(__xludf.DUMMYFUNCTION("IMPORTRANGE(""https://docs.google.com/spreadsheets/d/1Yj_ptqi66GCucihVvJfMjLAmec39IyEx_6qawtMGysU/edit?usp=sharing"",""สบก!AY108"")"),0)</f>
        <v>0</v>
      </c>
      <c r="H104" s="77">
        <f ca="1">IFERROR(__xludf.DUMMYFUNCTION("IMPORTRANGE(""https://docs.google.com/spreadsheets/d/1Yj_ptqi66GCucihVvJfMjLAmec39IyEx_6qawtMGysU/edit?usp=shBAing"",""สบก!BA108"")"),0)</f>
        <v>0</v>
      </c>
      <c r="I104" s="77">
        <f t="shared" ca="1" si="3"/>
        <v>0</v>
      </c>
      <c r="J104" s="137">
        <f t="shared" ca="1" si="4"/>
        <v>0</v>
      </c>
      <c r="K104" s="77">
        <f ca="1">IFERROR(__xludf.DUMMYFUNCTION("IMPORTRANGE(""https://docs.google.com/spreadsheets/d/1Yj_ptqi66GCucihVvJfMjLAmec39IyEx_6qawtMGysU/edit?usp=sharing"",""สบก!BB108"")"),0)</f>
        <v>0</v>
      </c>
      <c r="L104" s="79">
        <f t="shared" ca="1" si="5"/>
        <v>0</v>
      </c>
      <c r="M104" s="79">
        <f t="shared" ca="1" si="6"/>
        <v>0</v>
      </c>
      <c r="N104" s="79">
        <f ca="1">IFERROR(__xludf.DUMMYFUNCTION("IMPORTRANGE(""https://docs.google.com/spreadsheets/d/1Yj_ptqi66GCucihVvJfMjLAmec39IyEx_6qawtMGysU/edit?usp=sharing"",""สบก!BC108"")"),0)</f>
        <v>0</v>
      </c>
      <c r="O104" s="79">
        <f t="shared" ca="1" si="7"/>
        <v>0</v>
      </c>
      <c r="P104" s="77">
        <f ca="1">IFERROR(__xludf.DUMMYFUNCTION("IMPORTRANGE(""https://docs.google.com/spreadsheets/d/1C3CXT74ZlgGe6_JY_1olB1XN4rF0dxEuIIF-xsYjHgg/edit?usp=sharing"",""พรบ!AA108"")"),0)</f>
        <v>0</v>
      </c>
      <c r="Q104" s="77">
        <v>0</v>
      </c>
      <c r="R104" s="79">
        <f t="shared" ca="1" si="9"/>
        <v>0</v>
      </c>
      <c r="S104" s="77">
        <f ca="1">IFERROR(__xludf.DUMMYFUNCTION("IMPORTRANGE(""https://docs.google.com/spreadsheets/d/1C3CXT74ZlgGe6_JY_1olB1XN4rF0dxEuIIF-xsYjHgg/edit?usp=sharing"",""พรบ!AB108"")"),0)</f>
        <v>0</v>
      </c>
      <c r="T104" s="77">
        <v>0</v>
      </c>
      <c r="U104" s="79">
        <f t="shared" ca="1" si="11"/>
        <v>0</v>
      </c>
    </row>
    <row r="105" spans="1:21" ht="24" hidden="1" customHeight="1">
      <c r="A105" s="107">
        <f t="shared" si="44"/>
        <v>14</v>
      </c>
      <c r="B105" s="108" t="s">
        <v>129</v>
      </c>
      <c r="C105" s="86">
        <f t="shared" ca="1" si="0"/>
        <v>0</v>
      </c>
      <c r="D105" s="87">
        <f t="shared" ca="1" si="43"/>
        <v>0</v>
      </c>
      <c r="E105" s="88">
        <f ca="1">IFERROR(__xludf.DUMMYFUNCTION("IMPORTRANGE(""https://docs.google.com/spreadsheets/d/1C3CXT74ZlgGe6_JY_1olB1XN4rF0dxEuIIF-xsYjHgg/edit?usp=sharing"",""พรบ!Y109"")"),0)</f>
        <v>0</v>
      </c>
      <c r="F105" s="88">
        <f ca="1">IFERROR(__xludf.DUMMYFUNCTION("IMPORTRANGE(""https://docs.google.com/spreadsheets/d/1C3CXT74ZlgGe6_JY_1olB1XN4rF0dxEuIIF-xsYjHgg/edit?usp=sharing"",""พรบ!Z109"")"),0)</f>
        <v>0</v>
      </c>
      <c r="G105" s="88">
        <f ca="1">IFERROR(__xludf.DUMMYFUNCTION("IMPORTRANGE(""https://docs.google.com/spreadsheets/d/1Yj_ptqi66GCucihVvJfMjLAmec39IyEx_6qawtMGysU/edit?usp=sharing"",""สบก!AY109"")"),0)</f>
        <v>0</v>
      </c>
      <c r="H105" s="88">
        <f ca="1">IFERROR(__xludf.DUMMYFUNCTION("IMPORTRANGE(""https://docs.google.com/spreadsheets/d/1Yj_ptqi66GCucihVvJfMjLAmec39IyEx_6qawtMGysU/edit?usp=shBAing"",""สบก!BA109"")"),0)</f>
        <v>0</v>
      </c>
      <c r="I105" s="88">
        <f t="shared" ca="1" si="3"/>
        <v>0</v>
      </c>
      <c r="J105" s="138">
        <f t="shared" ca="1" si="4"/>
        <v>0</v>
      </c>
      <c r="K105" s="88">
        <f ca="1">IFERROR(__xludf.DUMMYFUNCTION("IMPORTRANGE(""https://docs.google.com/spreadsheets/d/1Yj_ptqi66GCucihVvJfMjLAmec39IyEx_6qawtMGysU/edit?usp=sharing"",""สบก!BB109"")"),0)</f>
        <v>0</v>
      </c>
      <c r="L105" s="90">
        <f t="shared" ca="1" si="5"/>
        <v>0</v>
      </c>
      <c r="M105" s="90">
        <f t="shared" ca="1" si="6"/>
        <v>0</v>
      </c>
      <c r="N105" s="90">
        <f ca="1">IFERROR(__xludf.DUMMYFUNCTION("IMPORTRANGE(""https://docs.google.com/spreadsheets/d/1Yj_ptqi66GCucihVvJfMjLAmec39IyEx_6qawtMGysU/edit?usp=sharing"",""สบก!BC109"")"),0)</f>
        <v>0</v>
      </c>
      <c r="O105" s="90">
        <f t="shared" ca="1" si="7"/>
        <v>0</v>
      </c>
      <c r="P105" s="88">
        <f ca="1">IFERROR(__xludf.DUMMYFUNCTION("IMPORTRANGE(""https://docs.google.com/spreadsheets/d/1C3CXT74ZlgGe6_JY_1olB1XN4rF0dxEuIIF-xsYjHgg/edit?usp=sharing"",""พรบ!AA109"")"),0)</f>
        <v>0</v>
      </c>
      <c r="Q105" s="88">
        <v>0</v>
      </c>
      <c r="R105" s="90">
        <f t="shared" ca="1" si="9"/>
        <v>0</v>
      </c>
      <c r="S105" s="88">
        <f ca="1">IFERROR(__xludf.DUMMYFUNCTION("IMPORTRANGE(""https://docs.google.com/spreadsheets/d/1C3CXT74ZlgGe6_JY_1olB1XN4rF0dxEuIIF-xsYjHgg/edit?usp=sharing"",""พรบ!AB109"")"),0)</f>
        <v>0</v>
      </c>
      <c r="T105" s="88">
        <v>0</v>
      </c>
      <c r="U105" s="90">
        <f t="shared" ca="1" si="11"/>
        <v>0</v>
      </c>
    </row>
    <row r="106" spans="1:21" ht="21" hidden="1" customHeight="1">
      <c r="A106" s="680" t="s">
        <v>130</v>
      </c>
      <c r="B106" s="652"/>
      <c r="C106" s="44">
        <f t="shared" ca="1" si="0"/>
        <v>552200</v>
      </c>
      <c r="D106" s="45">
        <f t="shared" ref="D106:O106" ca="1" si="45">+D107+D108+D109+D110+D111+D112+D113+D114+D115+D116+D117+D118+D119</f>
        <v>552200</v>
      </c>
      <c r="E106" s="45">
        <f t="shared" ca="1" si="45"/>
        <v>552200</v>
      </c>
      <c r="F106" s="45">
        <f t="shared" ca="1" si="45"/>
        <v>0</v>
      </c>
      <c r="G106" s="45">
        <f t="shared" ca="1" si="45"/>
        <v>0</v>
      </c>
      <c r="H106" s="45">
        <f t="shared" ca="1" si="45"/>
        <v>414100</v>
      </c>
      <c r="I106" s="45">
        <f t="shared" ca="1" si="45"/>
        <v>0</v>
      </c>
      <c r="J106" s="45">
        <f t="shared" ca="1" si="45"/>
        <v>0</v>
      </c>
      <c r="K106" s="45">
        <f t="shared" ca="1" si="45"/>
        <v>0</v>
      </c>
      <c r="L106" s="45">
        <f t="shared" ca="1" si="45"/>
        <v>0</v>
      </c>
      <c r="M106" s="45">
        <f t="shared" ca="1" si="45"/>
        <v>0</v>
      </c>
      <c r="N106" s="45">
        <f t="shared" ca="1" si="45"/>
        <v>0</v>
      </c>
      <c r="O106" s="45">
        <f t="shared" ca="1" si="45"/>
        <v>0</v>
      </c>
      <c r="P106" s="45">
        <f t="shared" ref="P106:Q106" si="46">+P107+P108+P109+P110+P111+P112+P113+P114</f>
        <v>0</v>
      </c>
      <c r="Q106" s="45">
        <f t="shared" si="46"/>
        <v>0</v>
      </c>
      <c r="R106" s="47">
        <f t="shared" si="9"/>
        <v>0</v>
      </c>
      <c r="S106" s="45">
        <f t="shared" ref="S106:T106" si="47">+S107+S108+S109+S110+S111+S112+S113+S114</f>
        <v>0</v>
      </c>
      <c r="T106" s="45">
        <f t="shared" si="47"/>
        <v>0</v>
      </c>
      <c r="U106" s="47">
        <f t="shared" si="11"/>
        <v>0</v>
      </c>
    </row>
    <row r="107" spans="1:21" ht="24" hidden="1" customHeight="1">
      <c r="A107" s="102">
        <v>1</v>
      </c>
      <c r="B107" s="109" t="s">
        <v>131</v>
      </c>
      <c r="C107" s="110">
        <f t="shared" ca="1" si="0"/>
        <v>552200</v>
      </c>
      <c r="D107" s="66">
        <f t="shared" ref="D107:D119" ca="1" si="48">+E107+F107</f>
        <v>552200</v>
      </c>
      <c r="E107" s="67">
        <f ca="1">IFERROR(__xludf.DUMMYFUNCTION("IMPORTRANGE(""https://docs.google.com/spreadsheets/d/1C3CXT74ZlgGe6_JY_1olB1XN4rF0dxEuIIF-xsYjHgg/edit?usp=sharing"",""พรบ!Y111"")"),552200)</f>
        <v>552200</v>
      </c>
      <c r="F107" s="67">
        <f ca="1">IFERROR(__xludf.DUMMYFUNCTION("IMPORTRANGE(""https://docs.google.com/spreadsheets/d/1C3CXT74ZlgGe6_JY_1olB1XN4rF0dxEuIIF-xsYjHgg/edit?usp=sharing"",""พรบ!Z111"")"),0)</f>
        <v>0</v>
      </c>
      <c r="G107" s="67">
        <f ca="1">IFERROR(__xludf.DUMMYFUNCTION("IMPORTRANGE(""https://docs.google.com/spreadsheets/d/1Yj_ptqi66GCucihVvJfMjLAmec39IyEx_6qawtMGysU/edit?usp=sharing"",""สบก!AY111"")"),0)</f>
        <v>0</v>
      </c>
      <c r="H107" s="67">
        <f ca="1">IFERROR(__xludf.DUMMYFUNCTION("IMPORTRANGE(""https://docs.google.com/spreadsheets/d/1Yj_ptqi66GCucihVvJfMjLAmec39IyEx_6qawtMGysU/edit?usp=shBAing"",""สบก!BA111"")"),414100)</f>
        <v>414100</v>
      </c>
      <c r="I107" s="67">
        <f t="shared" ref="I107:I119" ca="1" si="49">K107+N107</f>
        <v>0</v>
      </c>
      <c r="J107" s="70">
        <f t="shared" ref="J107:J119" ca="1" si="50">IF(C107&gt;0,I107*100/C107,0)</f>
        <v>0</v>
      </c>
      <c r="K107" s="67">
        <f ca="1">IFERROR(__xludf.DUMMYFUNCTION("IMPORTRANGE(""https://docs.google.com/spreadsheets/d/1Yj_ptqi66GCucihVvJfMjLAmec39IyEx_6qawtMGysU/edit?usp=sharing"",""สบก!BB111"")"),0)</f>
        <v>0</v>
      </c>
      <c r="L107" s="70">
        <f t="shared" ref="L107:L119" ca="1" si="51">IF(D107&gt;0,K107*100/D107,0)</f>
        <v>0</v>
      </c>
      <c r="M107" s="70">
        <f t="shared" ref="M107:M119" ca="1" si="52">IF(H107&gt;0,K107*100/H107,0)</f>
        <v>0</v>
      </c>
      <c r="N107" s="71">
        <f ca="1">IFERROR(__xludf.DUMMYFUNCTION("IMPORTRANGE(""https://docs.google.com/spreadsheets/d/1Yj_ptqi66GCucihVvJfMjLAmec39IyEx_6qawtMGysU/edit?usp=sharing"",""สบก!BC111"")"),0)</f>
        <v>0</v>
      </c>
      <c r="O107" s="70">
        <f t="shared" ref="O107:O119" ca="1" si="53">IF(G107&gt;0,N107*100/G107,0)</f>
        <v>0</v>
      </c>
      <c r="P107" s="67">
        <v>0</v>
      </c>
      <c r="Q107" s="67">
        <v>0</v>
      </c>
      <c r="R107" s="67">
        <v>0</v>
      </c>
      <c r="S107" s="70">
        <f t="shared" ref="S107:S119" si="54">IF(P107&gt;0,R107*100/P107,0)</f>
        <v>0</v>
      </c>
      <c r="T107" s="67">
        <v>0</v>
      </c>
      <c r="U107" s="70">
        <f t="shared" ref="U107:U119" si="55">IF(Q107&gt;0,T107*100/Q107,0)</f>
        <v>0</v>
      </c>
    </row>
    <row r="108" spans="1:21" ht="24" hidden="1" customHeight="1">
      <c r="A108" s="105">
        <v>2</v>
      </c>
      <c r="B108" s="111" t="s">
        <v>132</v>
      </c>
      <c r="C108" s="112">
        <f t="shared" ca="1" si="0"/>
        <v>0</v>
      </c>
      <c r="D108" s="76">
        <f t="shared" ca="1" si="48"/>
        <v>0</v>
      </c>
      <c r="E108" s="77">
        <f ca="1">IFERROR(__xludf.DUMMYFUNCTION("IMPORTRANGE(""https://docs.google.com/spreadsheets/d/1C3CXT74ZlgGe6_JY_1olB1XN4rF0dxEuIIF-xsYjHgg/edit?usp=sharing"",""พรบ!Y112"")"),0)</f>
        <v>0</v>
      </c>
      <c r="F108" s="77">
        <f ca="1">IFERROR(__xludf.DUMMYFUNCTION("IMPORTRANGE(""https://docs.google.com/spreadsheets/d/1C3CXT74ZlgGe6_JY_1olB1XN4rF0dxEuIIF-xsYjHgg/edit?usp=sharing"",""พรบ!Z112"")"),0)</f>
        <v>0</v>
      </c>
      <c r="G108" s="77">
        <f ca="1">IFERROR(__xludf.DUMMYFUNCTION("IMPORTRANGE(""https://docs.google.com/spreadsheets/d/1Yj_ptqi66GCucihVvJfMjLAmec39IyEx_6qawtMGysU/edit?usp=sharing"",""สบก!AY112"")"),0)</f>
        <v>0</v>
      </c>
      <c r="H108" s="77">
        <f ca="1">IFERROR(__xludf.DUMMYFUNCTION("IMPORTRANGE(""https://docs.google.com/spreadsheets/d/1Yj_ptqi66GCucihVvJfMjLAmec39IyEx_6qawtMGysU/edit?usp=shBAing"",""สบก!BA112"")"),0)</f>
        <v>0</v>
      </c>
      <c r="I108" s="77">
        <f t="shared" ca="1" si="49"/>
        <v>0</v>
      </c>
      <c r="J108" s="79">
        <f t="shared" ca="1" si="50"/>
        <v>0</v>
      </c>
      <c r="K108" s="77">
        <f ca="1">IFERROR(__xludf.DUMMYFUNCTION("IMPORTRANGE(""https://docs.google.com/spreadsheets/d/1Yj_ptqi66GCucihVvJfMjLAmec39IyEx_6qawtMGysU/edit?usp=sharing"",""สบก!BB112"")"),0)</f>
        <v>0</v>
      </c>
      <c r="L108" s="79">
        <f t="shared" ca="1" si="51"/>
        <v>0</v>
      </c>
      <c r="M108" s="79">
        <f t="shared" ca="1" si="52"/>
        <v>0</v>
      </c>
      <c r="N108" s="80">
        <f ca="1">IFERROR(__xludf.DUMMYFUNCTION("IMPORTRANGE(""https://docs.google.com/spreadsheets/d/1Yj_ptqi66GCucihVvJfMjLAmec39IyEx_6qawtMGysU/edit?usp=sharing"",""สบก!BC112"")"),0)</f>
        <v>0</v>
      </c>
      <c r="O108" s="79">
        <f t="shared" ca="1" si="53"/>
        <v>0</v>
      </c>
      <c r="P108" s="77">
        <v>0</v>
      </c>
      <c r="Q108" s="77">
        <v>0</v>
      </c>
      <c r="R108" s="77">
        <v>0</v>
      </c>
      <c r="S108" s="79">
        <f t="shared" si="54"/>
        <v>0</v>
      </c>
      <c r="T108" s="77">
        <v>0</v>
      </c>
      <c r="U108" s="79">
        <f t="shared" si="55"/>
        <v>0</v>
      </c>
    </row>
    <row r="109" spans="1:21" ht="24" hidden="1" customHeight="1">
      <c r="A109" s="105">
        <v>3</v>
      </c>
      <c r="B109" s="111" t="s">
        <v>133</v>
      </c>
      <c r="C109" s="112">
        <f t="shared" ca="1" si="0"/>
        <v>0</v>
      </c>
      <c r="D109" s="76">
        <f t="shared" ca="1" si="48"/>
        <v>0</v>
      </c>
      <c r="E109" s="77">
        <f ca="1">IFERROR(__xludf.DUMMYFUNCTION("IMPORTRANGE(""https://docs.google.com/spreadsheets/d/1C3CXT74ZlgGe6_JY_1olB1XN4rF0dxEuIIF-xsYjHgg/edit?usp=sharing"",""พรบ!Y113"")"),0)</f>
        <v>0</v>
      </c>
      <c r="F109" s="77">
        <f ca="1">IFERROR(__xludf.DUMMYFUNCTION("IMPORTRANGE(""https://docs.google.com/spreadsheets/d/1C3CXT74ZlgGe6_JY_1olB1XN4rF0dxEuIIF-xsYjHgg/edit?usp=sharing"",""พรบ!Z113"")"),0)</f>
        <v>0</v>
      </c>
      <c r="G109" s="77">
        <f ca="1">IFERROR(__xludf.DUMMYFUNCTION("IMPORTRANGE(""https://docs.google.com/spreadsheets/d/1Yj_ptqi66GCucihVvJfMjLAmec39IyEx_6qawtMGysU/edit?usp=sharing"",""สบก!AY113"")"),0)</f>
        <v>0</v>
      </c>
      <c r="H109" s="77">
        <f ca="1">IFERROR(__xludf.DUMMYFUNCTION("IMPORTRANGE(""https://docs.google.com/spreadsheets/d/1Yj_ptqi66GCucihVvJfMjLAmec39IyEx_6qawtMGysU/edit?usp=shBAing"",""สบก!BA113"")"),0)</f>
        <v>0</v>
      </c>
      <c r="I109" s="77">
        <f t="shared" ca="1" si="49"/>
        <v>0</v>
      </c>
      <c r="J109" s="79">
        <f t="shared" ca="1" si="50"/>
        <v>0</v>
      </c>
      <c r="K109" s="77">
        <f ca="1">IFERROR(__xludf.DUMMYFUNCTION("IMPORTRANGE(""https://docs.google.com/spreadsheets/d/1Yj_ptqi66GCucihVvJfMjLAmec39IyEx_6qawtMGysU/edit?usp=sharing"",""สบก!BB113"")"),0)</f>
        <v>0</v>
      </c>
      <c r="L109" s="79">
        <f t="shared" ca="1" si="51"/>
        <v>0</v>
      </c>
      <c r="M109" s="79">
        <f t="shared" ca="1" si="52"/>
        <v>0</v>
      </c>
      <c r="N109" s="80">
        <f ca="1">IFERROR(__xludf.DUMMYFUNCTION("IMPORTRANGE(""https://docs.google.com/spreadsheets/d/1Yj_ptqi66GCucihVvJfMjLAmec39IyEx_6qawtMGysU/edit?usp=sharing"",""สบก!BC113"")"),0)</f>
        <v>0</v>
      </c>
      <c r="O109" s="79">
        <f t="shared" ca="1" si="53"/>
        <v>0</v>
      </c>
      <c r="P109" s="77">
        <v>0</v>
      </c>
      <c r="Q109" s="77">
        <v>0</v>
      </c>
      <c r="R109" s="77">
        <v>0</v>
      </c>
      <c r="S109" s="79">
        <f t="shared" si="54"/>
        <v>0</v>
      </c>
      <c r="T109" s="77">
        <v>0</v>
      </c>
      <c r="U109" s="79">
        <f t="shared" si="55"/>
        <v>0</v>
      </c>
    </row>
    <row r="110" spans="1:21" ht="24" hidden="1" customHeight="1">
      <c r="A110" s="113">
        <v>4</v>
      </c>
      <c r="B110" s="111" t="s">
        <v>134</v>
      </c>
      <c r="C110" s="112">
        <f t="shared" ca="1" si="0"/>
        <v>0</v>
      </c>
      <c r="D110" s="76">
        <f t="shared" ca="1" si="48"/>
        <v>0</v>
      </c>
      <c r="E110" s="77">
        <f ca="1">IFERROR(__xludf.DUMMYFUNCTION("IMPORTRANGE(""https://docs.google.com/spreadsheets/d/1C3CXT74ZlgGe6_JY_1olB1XN4rF0dxEuIIF-xsYjHgg/edit?usp=sharing"",""พรบ!Y114"")"),0)</f>
        <v>0</v>
      </c>
      <c r="F110" s="77">
        <f ca="1">IFERROR(__xludf.DUMMYFUNCTION("IMPORTRANGE(""https://docs.google.com/spreadsheets/d/1C3CXT74ZlgGe6_JY_1olB1XN4rF0dxEuIIF-xsYjHgg/edit?usp=sharing"",""พรบ!Z114"")"),0)</f>
        <v>0</v>
      </c>
      <c r="G110" s="77">
        <f ca="1">IFERROR(__xludf.DUMMYFUNCTION("IMPORTRANGE(""https://docs.google.com/spreadsheets/d/1Yj_ptqi66GCucihVvJfMjLAmec39IyEx_6qawtMGysU/edit?usp=sharing"",""สบก!AY114"")"),0)</f>
        <v>0</v>
      </c>
      <c r="H110" s="77">
        <f ca="1">IFERROR(__xludf.DUMMYFUNCTION("IMPORTRANGE(""https://docs.google.com/spreadsheets/d/1Yj_ptqi66GCucihVvJfMjLAmec39IyEx_6qawtMGysU/edit?usp=shBAing"",""สบก!BA114"")"),0)</f>
        <v>0</v>
      </c>
      <c r="I110" s="77">
        <f t="shared" ca="1" si="49"/>
        <v>0</v>
      </c>
      <c r="J110" s="79">
        <f t="shared" ca="1" si="50"/>
        <v>0</v>
      </c>
      <c r="K110" s="77">
        <f ca="1">IFERROR(__xludf.DUMMYFUNCTION("IMPORTRANGE(""https://docs.google.com/spreadsheets/d/1Yj_ptqi66GCucihVvJfMjLAmec39IyEx_6qawtMGysU/edit?usp=sharing"",""สบก!BB114"")"),0)</f>
        <v>0</v>
      </c>
      <c r="L110" s="79">
        <f t="shared" ca="1" si="51"/>
        <v>0</v>
      </c>
      <c r="M110" s="79">
        <f t="shared" ca="1" si="52"/>
        <v>0</v>
      </c>
      <c r="N110" s="80">
        <f ca="1">IFERROR(__xludf.DUMMYFUNCTION("IMPORTRANGE(""https://docs.google.com/spreadsheets/d/1Yj_ptqi66GCucihVvJfMjLAmec39IyEx_6qawtMGysU/edit?usp=sharing"",""สบก!BC114"")"),0)</f>
        <v>0</v>
      </c>
      <c r="O110" s="79">
        <f t="shared" ca="1" si="53"/>
        <v>0</v>
      </c>
      <c r="P110" s="77">
        <v>0</v>
      </c>
      <c r="Q110" s="77">
        <v>0</v>
      </c>
      <c r="R110" s="77">
        <v>0</v>
      </c>
      <c r="S110" s="79">
        <f t="shared" si="54"/>
        <v>0</v>
      </c>
      <c r="T110" s="77">
        <v>0</v>
      </c>
      <c r="U110" s="79">
        <f t="shared" si="55"/>
        <v>0</v>
      </c>
    </row>
    <row r="111" spans="1:21" ht="24" hidden="1" customHeight="1">
      <c r="A111" s="113">
        <v>5</v>
      </c>
      <c r="B111" s="111" t="s">
        <v>135</v>
      </c>
      <c r="C111" s="112">
        <f t="shared" ca="1" si="0"/>
        <v>0</v>
      </c>
      <c r="D111" s="76">
        <f t="shared" ca="1" si="48"/>
        <v>0</v>
      </c>
      <c r="E111" s="77">
        <f ca="1">IFERROR(__xludf.DUMMYFUNCTION("IMPORTRANGE(""https://docs.google.com/spreadsheets/d/1C3CXT74ZlgGe6_JY_1olB1XN4rF0dxEuIIF-xsYjHgg/edit?usp=sharing"",""พรบ!Y115"")"),0)</f>
        <v>0</v>
      </c>
      <c r="F111" s="77">
        <f ca="1">IFERROR(__xludf.DUMMYFUNCTION("IMPORTRANGE(""https://docs.google.com/spreadsheets/d/1C3CXT74ZlgGe6_JY_1olB1XN4rF0dxEuIIF-xsYjHgg/edit?usp=sharing"",""พรบ!Z115"")"),0)</f>
        <v>0</v>
      </c>
      <c r="G111" s="77">
        <f ca="1">IFERROR(__xludf.DUMMYFUNCTION("IMPORTRANGE(""https://docs.google.com/spreadsheets/d/1Yj_ptqi66GCucihVvJfMjLAmec39IyEx_6qawtMGysU/edit?usp=sharing"",""สบก!AY115"")"),0)</f>
        <v>0</v>
      </c>
      <c r="H111" s="77">
        <f ca="1">IFERROR(__xludf.DUMMYFUNCTION("IMPORTRANGE(""https://docs.google.com/spreadsheets/d/1Yj_ptqi66GCucihVvJfMjLAmec39IyEx_6qawtMGysU/edit?usp=shBAing"",""สบก!BA115"")"),0)</f>
        <v>0</v>
      </c>
      <c r="I111" s="77">
        <f t="shared" ca="1" si="49"/>
        <v>0</v>
      </c>
      <c r="J111" s="79">
        <f t="shared" ca="1" si="50"/>
        <v>0</v>
      </c>
      <c r="K111" s="77">
        <f ca="1">IFERROR(__xludf.DUMMYFUNCTION("IMPORTRANGE(""https://docs.google.com/spreadsheets/d/1Yj_ptqi66GCucihVvJfMjLAmec39IyEx_6qawtMGysU/edit?usp=sharing"",""สบก!BB115"")"),0)</f>
        <v>0</v>
      </c>
      <c r="L111" s="79">
        <f t="shared" ca="1" si="51"/>
        <v>0</v>
      </c>
      <c r="M111" s="79">
        <f t="shared" ca="1" si="52"/>
        <v>0</v>
      </c>
      <c r="N111" s="80">
        <f ca="1">IFERROR(__xludf.DUMMYFUNCTION("IMPORTRANGE(""https://docs.google.com/spreadsheets/d/1Yj_ptqi66GCucihVvJfMjLAmec39IyEx_6qawtMGysU/edit?usp=sharing"",""สบก!BC115"")"),0)</f>
        <v>0</v>
      </c>
      <c r="O111" s="79">
        <f t="shared" ca="1" si="53"/>
        <v>0</v>
      </c>
      <c r="P111" s="77">
        <v>0</v>
      </c>
      <c r="Q111" s="77">
        <v>0</v>
      </c>
      <c r="R111" s="77">
        <v>0</v>
      </c>
      <c r="S111" s="79">
        <f t="shared" si="54"/>
        <v>0</v>
      </c>
      <c r="T111" s="77">
        <v>0</v>
      </c>
      <c r="U111" s="79">
        <f t="shared" si="55"/>
        <v>0</v>
      </c>
    </row>
    <row r="112" spans="1:21" ht="24" hidden="1" customHeight="1">
      <c r="A112" s="113">
        <v>6</v>
      </c>
      <c r="B112" s="111" t="s">
        <v>136</v>
      </c>
      <c r="C112" s="112">
        <f t="shared" ca="1" si="0"/>
        <v>0</v>
      </c>
      <c r="D112" s="76">
        <f t="shared" ca="1" si="48"/>
        <v>0</v>
      </c>
      <c r="E112" s="77">
        <f ca="1">IFERROR(__xludf.DUMMYFUNCTION("IMPORTRANGE(""https://docs.google.com/spreadsheets/d/1C3CXT74ZlgGe6_JY_1olB1XN4rF0dxEuIIF-xsYjHgg/edit?usp=sharing"",""พรบ!Y116"")"),0)</f>
        <v>0</v>
      </c>
      <c r="F112" s="77">
        <f ca="1">IFERROR(__xludf.DUMMYFUNCTION("IMPORTRANGE(""https://docs.google.com/spreadsheets/d/1C3CXT74ZlgGe6_JY_1olB1XN4rF0dxEuIIF-xsYjHgg/edit?usp=sharing"",""พรบ!Z116"")"),0)</f>
        <v>0</v>
      </c>
      <c r="G112" s="77">
        <f ca="1">IFERROR(__xludf.DUMMYFUNCTION("IMPORTRANGE(""https://docs.google.com/spreadsheets/d/1Yj_ptqi66GCucihVvJfMjLAmec39IyEx_6qawtMGysU/edit?usp=sharing"",""สบก!AY116"")"),0)</f>
        <v>0</v>
      </c>
      <c r="H112" s="77">
        <f ca="1">IFERROR(__xludf.DUMMYFUNCTION("IMPORTRANGE(""https://docs.google.com/spreadsheets/d/1Yj_ptqi66GCucihVvJfMjLAmec39IyEx_6qawtMGysU/edit?usp=shBAing"",""สบก!BA116"")"),0)</f>
        <v>0</v>
      </c>
      <c r="I112" s="77">
        <f t="shared" ca="1" si="49"/>
        <v>0</v>
      </c>
      <c r="J112" s="79">
        <f t="shared" ca="1" si="50"/>
        <v>0</v>
      </c>
      <c r="K112" s="77">
        <f ca="1">IFERROR(__xludf.DUMMYFUNCTION("IMPORTRANGE(""https://docs.google.com/spreadsheets/d/1Yj_ptqi66GCucihVvJfMjLAmec39IyEx_6qawtMGysU/edit?usp=sharing"",""สบก!BB116"")"),0)</f>
        <v>0</v>
      </c>
      <c r="L112" s="79">
        <f t="shared" ca="1" si="51"/>
        <v>0</v>
      </c>
      <c r="M112" s="79">
        <f t="shared" ca="1" si="52"/>
        <v>0</v>
      </c>
      <c r="N112" s="80">
        <f ca="1">IFERROR(__xludf.DUMMYFUNCTION("IMPORTRANGE(""https://docs.google.com/spreadsheets/d/1Yj_ptqi66GCucihVvJfMjLAmec39IyEx_6qawtMGysU/edit?usp=sharing"",""สบก!BC116"")"),0)</f>
        <v>0</v>
      </c>
      <c r="O112" s="79">
        <f t="shared" ca="1" si="53"/>
        <v>0</v>
      </c>
      <c r="P112" s="77">
        <v>0</v>
      </c>
      <c r="Q112" s="77">
        <v>0</v>
      </c>
      <c r="R112" s="77">
        <v>0</v>
      </c>
      <c r="S112" s="79">
        <f t="shared" si="54"/>
        <v>0</v>
      </c>
      <c r="T112" s="77">
        <v>0</v>
      </c>
      <c r="U112" s="79">
        <f t="shared" si="55"/>
        <v>0</v>
      </c>
    </row>
    <row r="113" spans="1:21" ht="24" hidden="1" customHeight="1">
      <c r="A113" s="113">
        <v>7</v>
      </c>
      <c r="B113" s="111" t="s">
        <v>137</v>
      </c>
      <c r="C113" s="112">
        <f t="shared" ca="1" si="0"/>
        <v>0</v>
      </c>
      <c r="D113" s="76">
        <f t="shared" ca="1" si="48"/>
        <v>0</v>
      </c>
      <c r="E113" s="77">
        <f ca="1">IFERROR(__xludf.DUMMYFUNCTION("IMPORTRANGE(""https://docs.google.com/spreadsheets/d/1C3CXT74ZlgGe6_JY_1olB1XN4rF0dxEuIIF-xsYjHgg/edit?usp=sharing"",""พรบ!Y117"")"),0)</f>
        <v>0</v>
      </c>
      <c r="F113" s="77">
        <f ca="1">IFERROR(__xludf.DUMMYFUNCTION("IMPORTRANGE(""https://docs.google.com/spreadsheets/d/1C3CXT74ZlgGe6_JY_1olB1XN4rF0dxEuIIF-xsYjHgg/edit?usp=sharing"",""พรบ!Z117"")"),0)</f>
        <v>0</v>
      </c>
      <c r="G113" s="77">
        <f ca="1">IFERROR(__xludf.DUMMYFUNCTION("IMPORTRANGE(""https://docs.google.com/spreadsheets/d/1Yj_ptqi66GCucihVvJfMjLAmec39IyEx_6qawtMGysU/edit?usp=sharing"",""สบก!AY117"")"),0)</f>
        <v>0</v>
      </c>
      <c r="H113" s="77">
        <f ca="1">IFERROR(__xludf.DUMMYFUNCTION("IMPORTRANGE(""https://docs.google.com/spreadsheets/d/1Yj_ptqi66GCucihVvJfMjLAmec39IyEx_6qawtMGysU/edit?usp=shBAing"",""สบก!BA117"")"),0)</f>
        <v>0</v>
      </c>
      <c r="I113" s="77">
        <f t="shared" ca="1" si="49"/>
        <v>0</v>
      </c>
      <c r="J113" s="79">
        <f t="shared" ca="1" si="50"/>
        <v>0</v>
      </c>
      <c r="K113" s="77">
        <f ca="1">IFERROR(__xludf.DUMMYFUNCTION("IMPORTRANGE(""https://docs.google.com/spreadsheets/d/1Yj_ptqi66GCucihVvJfMjLAmec39IyEx_6qawtMGysU/edit?usp=sharing"",""สบก!BB117"")"),0)</f>
        <v>0</v>
      </c>
      <c r="L113" s="79">
        <f t="shared" ca="1" si="51"/>
        <v>0</v>
      </c>
      <c r="M113" s="79">
        <f t="shared" ca="1" si="52"/>
        <v>0</v>
      </c>
      <c r="N113" s="80">
        <f ca="1">IFERROR(__xludf.DUMMYFUNCTION("IMPORTRANGE(""https://docs.google.com/spreadsheets/d/1Yj_ptqi66GCucihVvJfMjLAmec39IyEx_6qawtMGysU/edit?usp=sharing"",""สบก!BC117"")"),0)</f>
        <v>0</v>
      </c>
      <c r="O113" s="79">
        <f t="shared" ca="1" si="53"/>
        <v>0</v>
      </c>
      <c r="P113" s="77">
        <v>0</v>
      </c>
      <c r="Q113" s="77">
        <v>0</v>
      </c>
      <c r="R113" s="77">
        <v>0</v>
      </c>
      <c r="S113" s="79">
        <f t="shared" si="54"/>
        <v>0</v>
      </c>
      <c r="T113" s="77">
        <v>0</v>
      </c>
      <c r="U113" s="79">
        <f t="shared" si="55"/>
        <v>0</v>
      </c>
    </row>
    <row r="114" spans="1:21" ht="24" hidden="1" customHeight="1">
      <c r="A114" s="113">
        <v>8</v>
      </c>
      <c r="B114" s="111" t="s">
        <v>138</v>
      </c>
      <c r="C114" s="112">
        <f t="shared" ca="1" si="0"/>
        <v>0</v>
      </c>
      <c r="D114" s="76">
        <f t="shared" ca="1" si="48"/>
        <v>0</v>
      </c>
      <c r="E114" s="77">
        <f ca="1">IFERROR(__xludf.DUMMYFUNCTION("IMPORTRANGE(""https://docs.google.com/spreadsheets/d/1C3CXT74ZlgGe6_JY_1olB1XN4rF0dxEuIIF-xsYjHgg/edit?usp=sharing"",""พรบ!Y118"")"),0)</f>
        <v>0</v>
      </c>
      <c r="F114" s="77">
        <f ca="1">IFERROR(__xludf.DUMMYFUNCTION("IMPORTRANGE(""https://docs.google.com/spreadsheets/d/1C3CXT74ZlgGe6_JY_1olB1XN4rF0dxEuIIF-xsYjHgg/edit?usp=sharing"",""พรบ!Z118"")"),0)</f>
        <v>0</v>
      </c>
      <c r="G114" s="77">
        <f ca="1">IFERROR(__xludf.DUMMYFUNCTION("IMPORTRANGE(""https://docs.google.com/spreadsheets/d/1Yj_ptqi66GCucihVvJfMjLAmec39IyEx_6qawtMGysU/edit?usp=sharing"",""สบก!AY118"")"),0)</f>
        <v>0</v>
      </c>
      <c r="H114" s="77">
        <f ca="1">IFERROR(__xludf.DUMMYFUNCTION("IMPORTRANGE(""https://docs.google.com/spreadsheets/d/1Yj_ptqi66GCucihVvJfMjLAmec39IyEx_6qawtMGysU/edit?usp=shBAing"",""สบก!BA118"")"),0)</f>
        <v>0</v>
      </c>
      <c r="I114" s="77">
        <f t="shared" ca="1" si="49"/>
        <v>0</v>
      </c>
      <c r="J114" s="79">
        <f t="shared" ca="1" si="50"/>
        <v>0</v>
      </c>
      <c r="K114" s="77">
        <f ca="1">IFERROR(__xludf.DUMMYFUNCTION("IMPORTRANGE(""https://docs.google.com/spreadsheets/d/1Yj_ptqi66GCucihVvJfMjLAmec39IyEx_6qawtMGysU/edit?usp=sharing"",""สบก!BB118"")"),0)</f>
        <v>0</v>
      </c>
      <c r="L114" s="79">
        <f t="shared" ca="1" si="51"/>
        <v>0</v>
      </c>
      <c r="M114" s="79">
        <f t="shared" ca="1" si="52"/>
        <v>0</v>
      </c>
      <c r="N114" s="80">
        <f ca="1">IFERROR(__xludf.DUMMYFUNCTION("IMPORTRANGE(""https://docs.google.com/spreadsheets/d/1Yj_ptqi66GCucihVvJfMjLAmec39IyEx_6qawtMGysU/edit?usp=sharing"",""สบก!BC118"")"),0)</f>
        <v>0</v>
      </c>
      <c r="O114" s="79">
        <f t="shared" ca="1" si="53"/>
        <v>0</v>
      </c>
      <c r="P114" s="77">
        <v>0</v>
      </c>
      <c r="Q114" s="77">
        <v>0</v>
      </c>
      <c r="R114" s="77">
        <v>0</v>
      </c>
      <c r="S114" s="79">
        <f t="shared" si="54"/>
        <v>0</v>
      </c>
      <c r="T114" s="77">
        <v>0</v>
      </c>
      <c r="U114" s="79">
        <f t="shared" si="55"/>
        <v>0</v>
      </c>
    </row>
    <row r="115" spans="1:21" ht="24" hidden="1" customHeight="1">
      <c r="A115" s="113">
        <v>9</v>
      </c>
      <c r="B115" s="111" t="s">
        <v>139</v>
      </c>
      <c r="C115" s="112">
        <f t="shared" ca="1" si="0"/>
        <v>0</v>
      </c>
      <c r="D115" s="76">
        <f t="shared" ca="1" si="48"/>
        <v>0</v>
      </c>
      <c r="E115" s="77">
        <f ca="1">IFERROR(__xludf.DUMMYFUNCTION("IMPORTRANGE(""https://docs.google.com/spreadsheets/d/1C3CXT74ZlgGe6_JY_1olB1XN4rF0dxEuIIF-xsYjHgg/edit?usp=sharing"",""พรบ!Y119"")"),0)</f>
        <v>0</v>
      </c>
      <c r="F115" s="77">
        <f ca="1">IFERROR(__xludf.DUMMYFUNCTION("IMPORTRANGE(""https://docs.google.com/spreadsheets/d/1C3CXT74ZlgGe6_JY_1olB1XN4rF0dxEuIIF-xsYjHgg/edit?usp=sharing"",""พรบ!Z119"")"),0)</f>
        <v>0</v>
      </c>
      <c r="G115" s="77">
        <f ca="1">IFERROR(__xludf.DUMMYFUNCTION("IMPORTRANGE(""https://docs.google.com/spreadsheets/d/1Yj_ptqi66GCucihVvJfMjLAmec39IyEx_6qawtMGysU/edit?usp=sharing"",""สบก!AY119"")"),0)</f>
        <v>0</v>
      </c>
      <c r="H115" s="77">
        <f ca="1">IFERROR(__xludf.DUMMYFUNCTION("IMPORTRANGE(""https://docs.google.com/spreadsheets/d/1Yj_ptqi66GCucihVvJfMjLAmec39IyEx_6qawtMGysU/edit?usp=shBAing"",""สบก!BA119"")"),0)</f>
        <v>0</v>
      </c>
      <c r="I115" s="77">
        <f t="shared" ca="1" si="49"/>
        <v>0</v>
      </c>
      <c r="J115" s="79">
        <f t="shared" ca="1" si="50"/>
        <v>0</v>
      </c>
      <c r="K115" s="77">
        <f ca="1">IFERROR(__xludf.DUMMYFUNCTION("IMPORTRANGE(""https://docs.google.com/spreadsheets/d/1Yj_ptqi66GCucihVvJfMjLAmec39IyEx_6qawtMGysU/edit?usp=sharing"",""สบก!BB119"")"),0)</f>
        <v>0</v>
      </c>
      <c r="L115" s="79">
        <f t="shared" ca="1" si="51"/>
        <v>0</v>
      </c>
      <c r="M115" s="79">
        <f t="shared" ca="1" si="52"/>
        <v>0</v>
      </c>
      <c r="N115" s="80">
        <f ca="1">IFERROR(__xludf.DUMMYFUNCTION("IMPORTRANGE(""https://docs.google.com/spreadsheets/d/1Yj_ptqi66GCucihVvJfMjLAmec39IyEx_6qawtMGysU/edit?usp=sharing"",""สบก!BC119"")"),0)</f>
        <v>0</v>
      </c>
      <c r="O115" s="79">
        <f t="shared" ca="1" si="53"/>
        <v>0</v>
      </c>
      <c r="P115" s="77">
        <v>0</v>
      </c>
      <c r="Q115" s="77">
        <v>0</v>
      </c>
      <c r="R115" s="77">
        <v>0</v>
      </c>
      <c r="S115" s="79">
        <f t="shared" si="54"/>
        <v>0</v>
      </c>
      <c r="T115" s="77">
        <v>0</v>
      </c>
      <c r="U115" s="79">
        <f t="shared" si="55"/>
        <v>0</v>
      </c>
    </row>
    <row r="116" spans="1:21" ht="24" hidden="1" customHeight="1">
      <c r="A116" s="113">
        <v>10</v>
      </c>
      <c r="B116" s="111" t="s">
        <v>140</v>
      </c>
      <c r="C116" s="112">
        <f t="shared" ca="1" si="0"/>
        <v>0</v>
      </c>
      <c r="D116" s="76">
        <f t="shared" ca="1" si="48"/>
        <v>0</v>
      </c>
      <c r="E116" s="77">
        <f ca="1">IFERROR(__xludf.DUMMYFUNCTION("IMPORTRANGE(""https://docs.google.com/spreadsheets/d/1C3CXT74ZlgGe6_JY_1olB1XN4rF0dxEuIIF-xsYjHgg/edit?usp=sharing"",""พรบ!Y120"")"),0)</f>
        <v>0</v>
      </c>
      <c r="F116" s="77">
        <f ca="1">IFERROR(__xludf.DUMMYFUNCTION("IMPORTRANGE(""https://docs.google.com/spreadsheets/d/1C3CXT74ZlgGe6_JY_1olB1XN4rF0dxEuIIF-xsYjHgg/edit?usp=sharing"",""พรบ!Z120"")"),0)</f>
        <v>0</v>
      </c>
      <c r="G116" s="77">
        <f ca="1">IFERROR(__xludf.DUMMYFUNCTION("IMPORTRANGE(""https://docs.google.com/spreadsheets/d/1Yj_ptqi66GCucihVvJfMjLAmec39IyEx_6qawtMGysU/edit?usp=sharing"",""สบก!AY120"")"),0)</f>
        <v>0</v>
      </c>
      <c r="H116" s="77">
        <f ca="1">IFERROR(__xludf.DUMMYFUNCTION("IMPORTRANGE(""https://docs.google.com/spreadsheets/d/1Yj_ptqi66GCucihVvJfMjLAmec39IyEx_6qawtMGysU/edit?usp=shBAing"",""สบก!BA120"")"),0)</f>
        <v>0</v>
      </c>
      <c r="I116" s="77">
        <f t="shared" ca="1" si="49"/>
        <v>0</v>
      </c>
      <c r="J116" s="79">
        <f t="shared" ca="1" si="50"/>
        <v>0</v>
      </c>
      <c r="K116" s="77">
        <f ca="1">IFERROR(__xludf.DUMMYFUNCTION("IMPORTRANGE(""https://docs.google.com/spreadsheets/d/1Yj_ptqi66GCucihVvJfMjLAmec39IyEx_6qawtMGysU/edit?usp=sharing"",""สบก!BB120"")"),0)</f>
        <v>0</v>
      </c>
      <c r="L116" s="79">
        <f t="shared" ca="1" si="51"/>
        <v>0</v>
      </c>
      <c r="M116" s="79">
        <f t="shared" ca="1" si="52"/>
        <v>0</v>
      </c>
      <c r="N116" s="80">
        <f ca="1">IFERROR(__xludf.DUMMYFUNCTION("IMPORTRANGE(""https://docs.google.com/spreadsheets/d/1Yj_ptqi66GCucihVvJfMjLAmec39IyEx_6qawtMGysU/edit?usp=sharing"",""สบก!BC120"")"),0)</f>
        <v>0</v>
      </c>
      <c r="O116" s="79">
        <f t="shared" ca="1" si="53"/>
        <v>0</v>
      </c>
      <c r="P116" s="77">
        <v>0</v>
      </c>
      <c r="Q116" s="77">
        <v>0</v>
      </c>
      <c r="R116" s="77">
        <v>0</v>
      </c>
      <c r="S116" s="79">
        <f t="shared" si="54"/>
        <v>0</v>
      </c>
      <c r="T116" s="77">
        <v>0</v>
      </c>
      <c r="U116" s="79">
        <f t="shared" si="55"/>
        <v>0</v>
      </c>
    </row>
    <row r="117" spans="1:21" ht="24" hidden="1" customHeight="1">
      <c r="A117" s="113">
        <v>11</v>
      </c>
      <c r="B117" s="111" t="s">
        <v>141</v>
      </c>
      <c r="C117" s="112">
        <f t="shared" ca="1" si="0"/>
        <v>0</v>
      </c>
      <c r="D117" s="76">
        <f t="shared" ca="1" si="48"/>
        <v>0</v>
      </c>
      <c r="E117" s="77">
        <f ca="1">IFERROR(__xludf.DUMMYFUNCTION("IMPORTRANGE(""https://docs.google.com/spreadsheets/d/1C3CXT74ZlgGe6_JY_1olB1XN4rF0dxEuIIF-xsYjHgg/edit?usp=sharing"",""พรบ!Y121"")"),0)</f>
        <v>0</v>
      </c>
      <c r="F117" s="77">
        <f ca="1">IFERROR(__xludf.DUMMYFUNCTION("IMPORTRANGE(""https://docs.google.com/spreadsheets/d/1C3CXT74ZlgGe6_JY_1olB1XN4rF0dxEuIIF-xsYjHgg/edit?usp=sharing"",""พรบ!Z121"")"),0)</f>
        <v>0</v>
      </c>
      <c r="G117" s="77">
        <f ca="1">IFERROR(__xludf.DUMMYFUNCTION("IMPORTRANGE(""https://docs.google.com/spreadsheets/d/1Yj_ptqi66GCucihVvJfMjLAmec39IyEx_6qawtMGysU/edit?usp=sharing"",""สบก!AY121"")"),0)</f>
        <v>0</v>
      </c>
      <c r="H117" s="77">
        <f ca="1">IFERROR(__xludf.DUMMYFUNCTION("IMPORTRANGE(""https://docs.google.com/spreadsheets/d/1Yj_ptqi66GCucihVvJfMjLAmec39IyEx_6qawtMGysU/edit?usp=shBAing"",""สบก!BA121"")"),0)</f>
        <v>0</v>
      </c>
      <c r="I117" s="77">
        <f t="shared" ca="1" si="49"/>
        <v>0</v>
      </c>
      <c r="J117" s="79">
        <f t="shared" ca="1" si="50"/>
        <v>0</v>
      </c>
      <c r="K117" s="77">
        <f ca="1">IFERROR(__xludf.DUMMYFUNCTION("IMPORTRANGE(""https://docs.google.com/spreadsheets/d/1Yj_ptqi66GCucihVvJfMjLAmec39IyEx_6qawtMGysU/edit?usp=sharing"",""สบก!BB121"")"),0)</f>
        <v>0</v>
      </c>
      <c r="L117" s="79">
        <f t="shared" ca="1" si="51"/>
        <v>0</v>
      </c>
      <c r="M117" s="79">
        <f t="shared" ca="1" si="52"/>
        <v>0</v>
      </c>
      <c r="N117" s="80">
        <f ca="1">IFERROR(__xludf.DUMMYFUNCTION("IMPORTRANGE(""https://docs.google.com/spreadsheets/d/1Yj_ptqi66GCucihVvJfMjLAmec39IyEx_6qawtMGysU/edit?usp=sharing"",""สบก!BC121"")"),0)</f>
        <v>0</v>
      </c>
      <c r="O117" s="79">
        <f t="shared" ca="1" si="53"/>
        <v>0</v>
      </c>
      <c r="P117" s="77">
        <v>0</v>
      </c>
      <c r="Q117" s="77">
        <v>0</v>
      </c>
      <c r="R117" s="77">
        <v>0</v>
      </c>
      <c r="S117" s="79">
        <f t="shared" si="54"/>
        <v>0</v>
      </c>
      <c r="T117" s="77">
        <v>0</v>
      </c>
      <c r="U117" s="79">
        <f t="shared" si="55"/>
        <v>0</v>
      </c>
    </row>
    <row r="118" spans="1:21" ht="24" hidden="1" customHeight="1">
      <c r="A118" s="113">
        <v>12</v>
      </c>
      <c r="B118" s="111" t="s">
        <v>142</v>
      </c>
      <c r="C118" s="112">
        <f t="shared" ca="1" si="0"/>
        <v>0</v>
      </c>
      <c r="D118" s="76">
        <f t="shared" ca="1" si="48"/>
        <v>0</v>
      </c>
      <c r="E118" s="77">
        <f ca="1">IFERROR(__xludf.DUMMYFUNCTION("IMPORTRANGE(""https://docs.google.com/spreadsheets/d/1C3CXT74ZlgGe6_JY_1olB1XN4rF0dxEuIIF-xsYjHgg/edit?usp=sharing"",""พรบ!Y122"")"),0)</f>
        <v>0</v>
      </c>
      <c r="F118" s="77">
        <f ca="1">IFERROR(__xludf.DUMMYFUNCTION("IMPORTRANGE(""https://docs.google.com/spreadsheets/d/1C3CXT74ZlgGe6_JY_1olB1XN4rF0dxEuIIF-xsYjHgg/edit?usp=sharing"",""พรบ!Z122"")"),0)</f>
        <v>0</v>
      </c>
      <c r="G118" s="77">
        <f ca="1">IFERROR(__xludf.DUMMYFUNCTION("IMPORTRANGE(""https://docs.google.com/spreadsheets/d/1Yj_ptqi66GCucihVvJfMjLAmec39IyEx_6qawtMGysU/edit?usp=sharing"",""สบก!AY122"")"),0)</f>
        <v>0</v>
      </c>
      <c r="H118" s="77">
        <f ca="1">IFERROR(__xludf.DUMMYFUNCTION("IMPORTRANGE(""https://docs.google.com/spreadsheets/d/1Yj_ptqi66GCucihVvJfMjLAmec39IyEx_6qawtMGysU/edit?usp=shBAing"",""สบก!BA122"")"),0)</f>
        <v>0</v>
      </c>
      <c r="I118" s="77">
        <f t="shared" ca="1" si="49"/>
        <v>0</v>
      </c>
      <c r="J118" s="79">
        <f t="shared" ca="1" si="50"/>
        <v>0</v>
      </c>
      <c r="K118" s="77">
        <f ca="1">IFERROR(__xludf.DUMMYFUNCTION("IMPORTRANGE(""https://docs.google.com/spreadsheets/d/1Yj_ptqi66GCucihVvJfMjLAmec39IyEx_6qawtMGysU/edit?usp=sharing"",""สบก!BB122"")"),0)</f>
        <v>0</v>
      </c>
      <c r="L118" s="79">
        <f t="shared" ca="1" si="51"/>
        <v>0</v>
      </c>
      <c r="M118" s="79">
        <f t="shared" ca="1" si="52"/>
        <v>0</v>
      </c>
      <c r="N118" s="80">
        <f ca="1">IFERROR(__xludf.DUMMYFUNCTION("IMPORTRANGE(""https://docs.google.com/spreadsheets/d/1Yj_ptqi66GCucihVvJfMjLAmec39IyEx_6qawtMGysU/edit?usp=sharing"",""สบก!BC122"")"),0)</f>
        <v>0</v>
      </c>
      <c r="O118" s="79">
        <f t="shared" ca="1" si="53"/>
        <v>0</v>
      </c>
      <c r="P118" s="77">
        <v>0</v>
      </c>
      <c r="Q118" s="77">
        <v>0</v>
      </c>
      <c r="R118" s="77">
        <v>0</v>
      </c>
      <c r="S118" s="79">
        <f t="shared" si="54"/>
        <v>0</v>
      </c>
      <c r="T118" s="77">
        <v>0</v>
      </c>
      <c r="U118" s="79">
        <f t="shared" si="55"/>
        <v>0</v>
      </c>
    </row>
    <row r="119" spans="1:21" ht="24" hidden="1" customHeight="1">
      <c r="A119" s="113">
        <v>13</v>
      </c>
      <c r="B119" s="111" t="s">
        <v>143</v>
      </c>
      <c r="C119" s="112">
        <f t="shared" ca="1" si="0"/>
        <v>0</v>
      </c>
      <c r="D119" s="76">
        <f t="shared" ca="1" si="48"/>
        <v>0</v>
      </c>
      <c r="E119" s="77">
        <f ca="1">IFERROR(__xludf.DUMMYFUNCTION("IMPORTRANGE(""https://docs.google.com/spreadsheets/d/1C3CXT74ZlgGe6_JY_1olB1XN4rF0dxEuIIF-xsYjHgg/edit?usp=sharing"",""พรบ!Y123"")"),0)</f>
        <v>0</v>
      </c>
      <c r="F119" s="77">
        <f ca="1">IFERROR(__xludf.DUMMYFUNCTION("IMPORTRANGE(""https://docs.google.com/spreadsheets/d/1C3CXT74ZlgGe6_JY_1olB1XN4rF0dxEuIIF-xsYjHgg/edit?usp=sharing"",""พรบ!Z123"")"),0)</f>
        <v>0</v>
      </c>
      <c r="G119" s="77">
        <f ca="1">IFERROR(__xludf.DUMMYFUNCTION("IMPORTRANGE(""https://docs.google.com/spreadsheets/d/1Yj_ptqi66GCucihVvJfMjLAmec39IyEx_6qawtMGysU/edit?usp=sharing"",""สบก!AY123"")"),0)</f>
        <v>0</v>
      </c>
      <c r="H119" s="77">
        <f ca="1">IFERROR(__xludf.DUMMYFUNCTION("IMPORTRANGE(""https://docs.google.com/spreadsheets/d/1Yj_ptqi66GCucihVvJfMjLAmec39IyEx_6qawtMGysU/edit?usp=shBAing"",""สบก!BA123"")"),0)</f>
        <v>0</v>
      </c>
      <c r="I119" s="77">
        <f t="shared" ca="1" si="49"/>
        <v>0</v>
      </c>
      <c r="J119" s="79">
        <f t="shared" ca="1" si="50"/>
        <v>0</v>
      </c>
      <c r="K119" s="77">
        <f ca="1">IFERROR(__xludf.DUMMYFUNCTION("IMPORTRANGE(""https://docs.google.com/spreadsheets/d/1Yj_ptqi66GCucihVvJfMjLAmec39IyEx_6qawtMGysU/edit?usp=sharing"",""สบก!BB123"")"),0)</f>
        <v>0</v>
      </c>
      <c r="L119" s="79">
        <f t="shared" ca="1" si="51"/>
        <v>0</v>
      </c>
      <c r="M119" s="79">
        <f t="shared" ca="1" si="52"/>
        <v>0</v>
      </c>
      <c r="N119" s="80">
        <f ca="1">IFERROR(__xludf.DUMMYFUNCTION("IMPORTRANGE(""https://docs.google.com/spreadsheets/d/1Yj_ptqi66GCucihVvJfMjLAmec39IyEx_6qawtMGysU/edit?usp=sharing"",""สบก!BC123"")"),0)</f>
        <v>0</v>
      </c>
      <c r="O119" s="79">
        <f t="shared" ca="1" si="53"/>
        <v>0</v>
      </c>
      <c r="P119" s="77">
        <v>0</v>
      </c>
      <c r="Q119" s="77">
        <v>0</v>
      </c>
      <c r="R119" s="77">
        <v>0</v>
      </c>
      <c r="S119" s="79">
        <f t="shared" si="54"/>
        <v>0</v>
      </c>
      <c r="T119" s="77">
        <v>0</v>
      </c>
      <c r="U119" s="79">
        <f t="shared" si="55"/>
        <v>0</v>
      </c>
    </row>
    <row r="120" spans="1:21" ht="24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4"/>
      <c r="M120" s="4"/>
      <c r="N120" s="4"/>
      <c r="O120" s="4"/>
      <c r="P120" s="2"/>
      <c r="Q120" s="2"/>
      <c r="R120" s="117"/>
      <c r="S120" s="2"/>
      <c r="T120" s="2"/>
      <c r="U120" s="117"/>
    </row>
    <row r="121" spans="1:21" ht="24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4"/>
      <c r="M121" s="4"/>
      <c r="N121" s="4"/>
      <c r="O121" s="4"/>
      <c r="P121" s="2"/>
      <c r="Q121" s="2"/>
      <c r="R121" s="117"/>
      <c r="S121" s="2"/>
      <c r="T121" s="2"/>
      <c r="U121" s="117"/>
    </row>
    <row r="122" spans="1:21" ht="24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4"/>
      <c r="M122" s="4"/>
      <c r="N122" s="4"/>
      <c r="O122" s="4"/>
      <c r="P122" s="2"/>
      <c r="Q122" s="2"/>
      <c r="R122" s="117"/>
      <c r="S122" s="2"/>
      <c r="T122" s="2"/>
      <c r="U122" s="117"/>
    </row>
    <row r="123" spans="1:21" ht="24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4"/>
      <c r="M123" s="4"/>
      <c r="N123" s="4"/>
      <c r="O123" s="4"/>
      <c r="P123" s="2"/>
      <c r="Q123" s="2"/>
      <c r="R123" s="117"/>
      <c r="S123" s="2"/>
      <c r="T123" s="2"/>
      <c r="U123" s="117"/>
    </row>
    <row r="124" spans="1:21" ht="24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4"/>
      <c r="M124" s="4"/>
      <c r="N124" s="4"/>
      <c r="O124" s="4"/>
      <c r="P124" s="2"/>
      <c r="Q124" s="2"/>
      <c r="R124" s="117"/>
      <c r="S124" s="2"/>
      <c r="T124" s="2"/>
      <c r="U124" s="117"/>
    </row>
    <row r="125" spans="1:21" ht="24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4"/>
      <c r="M125" s="4"/>
      <c r="N125" s="4"/>
      <c r="O125" s="4"/>
      <c r="P125" s="2"/>
      <c r="Q125" s="2"/>
      <c r="R125" s="117"/>
      <c r="S125" s="2"/>
      <c r="T125" s="2"/>
      <c r="U125" s="117"/>
    </row>
    <row r="126" spans="1:21" ht="24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4"/>
      <c r="M126" s="4"/>
      <c r="N126" s="4"/>
      <c r="O126" s="4"/>
      <c r="P126" s="2"/>
      <c r="Q126" s="2"/>
      <c r="R126" s="117"/>
      <c r="S126" s="2"/>
      <c r="T126" s="2"/>
      <c r="U126" s="117"/>
    </row>
    <row r="127" spans="1:21" ht="24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4"/>
      <c r="M127" s="4"/>
      <c r="N127" s="4"/>
      <c r="O127" s="4"/>
      <c r="P127" s="2"/>
      <c r="Q127" s="2"/>
      <c r="R127" s="117"/>
      <c r="S127" s="2"/>
      <c r="T127" s="2"/>
      <c r="U127" s="117"/>
    </row>
    <row r="128" spans="1:21" ht="24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4"/>
      <c r="M128" s="4"/>
      <c r="N128" s="4"/>
      <c r="O128" s="4"/>
      <c r="P128" s="2"/>
      <c r="Q128" s="2"/>
      <c r="R128" s="117"/>
      <c r="S128" s="2"/>
      <c r="T128" s="2"/>
      <c r="U128" s="117"/>
    </row>
    <row r="129" spans="1:21" ht="24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4"/>
      <c r="M129" s="4"/>
      <c r="N129" s="4"/>
      <c r="O129" s="4"/>
      <c r="P129" s="2"/>
      <c r="Q129" s="2"/>
      <c r="R129" s="117"/>
      <c r="S129" s="2"/>
      <c r="T129" s="2"/>
      <c r="U129" s="117"/>
    </row>
    <row r="130" spans="1:21" ht="24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4"/>
      <c r="M130" s="4"/>
      <c r="N130" s="4"/>
      <c r="O130" s="4"/>
      <c r="P130" s="2"/>
      <c r="Q130" s="2"/>
      <c r="R130" s="117"/>
      <c r="S130" s="2"/>
      <c r="T130" s="2"/>
      <c r="U130" s="117"/>
    </row>
    <row r="131" spans="1:21" ht="24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4"/>
      <c r="M131" s="4"/>
      <c r="N131" s="4"/>
      <c r="O131" s="4"/>
      <c r="P131" s="2"/>
      <c r="Q131" s="2"/>
      <c r="R131" s="117"/>
      <c r="S131" s="2"/>
      <c r="T131" s="2"/>
      <c r="U131" s="117"/>
    </row>
    <row r="132" spans="1:21" ht="24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4"/>
      <c r="M132" s="4"/>
      <c r="N132" s="4"/>
      <c r="O132" s="4"/>
      <c r="P132" s="2"/>
      <c r="Q132" s="2"/>
      <c r="R132" s="117"/>
      <c r="S132" s="2"/>
      <c r="T132" s="2"/>
      <c r="U132" s="117"/>
    </row>
    <row r="133" spans="1:21" ht="24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4"/>
      <c r="M133" s="4"/>
      <c r="N133" s="4"/>
      <c r="O133" s="4"/>
      <c r="P133" s="2"/>
      <c r="Q133" s="2"/>
      <c r="R133" s="117"/>
      <c r="S133" s="2"/>
      <c r="T133" s="2"/>
      <c r="U133" s="117"/>
    </row>
    <row r="134" spans="1:21" ht="24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4"/>
      <c r="M134" s="4"/>
      <c r="N134" s="4"/>
      <c r="O134" s="4"/>
      <c r="P134" s="2"/>
      <c r="Q134" s="2"/>
      <c r="R134" s="117"/>
      <c r="S134" s="2"/>
      <c r="T134" s="2"/>
      <c r="U134" s="117"/>
    </row>
    <row r="135" spans="1:21" ht="24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4"/>
      <c r="M135" s="4"/>
      <c r="N135" s="4"/>
      <c r="O135" s="4"/>
      <c r="P135" s="2"/>
      <c r="Q135" s="2"/>
      <c r="R135" s="117"/>
      <c r="S135" s="2"/>
      <c r="T135" s="2"/>
      <c r="U135" s="117"/>
    </row>
    <row r="136" spans="1:21" ht="24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4"/>
      <c r="M136" s="4"/>
      <c r="N136" s="4"/>
      <c r="O136" s="4"/>
      <c r="P136" s="2"/>
      <c r="Q136" s="2"/>
      <c r="R136" s="117"/>
      <c r="S136" s="2"/>
      <c r="T136" s="2"/>
      <c r="U136" s="117"/>
    </row>
    <row r="137" spans="1:21" ht="24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4"/>
      <c r="M137" s="4"/>
      <c r="N137" s="4"/>
      <c r="O137" s="4"/>
      <c r="P137" s="2"/>
      <c r="Q137" s="2"/>
      <c r="R137" s="117"/>
      <c r="S137" s="2"/>
      <c r="T137" s="2"/>
      <c r="U137" s="117"/>
    </row>
    <row r="138" spans="1:21" ht="24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4"/>
      <c r="M138" s="4"/>
      <c r="N138" s="4"/>
      <c r="O138" s="4"/>
      <c r="P138" s="2"/>
      <c r="Q138" s="2"/>
      <c r="R138" s="117"/>
      <c r="S138" s="2"/>
      <c r="T138" s="2"/>
      <c r="U138" s="117"/>
    </row>
    <row r="139" spans="1:21" ht="24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4"/>
      <c r="M139" s="4"/>
      <c r="N139" s="4"/>
      <c r="O139" s="4"/>
      <c r="P139" s="2"/>
      <c r="Q139" s="2"/>
      <c r="R139" s="117"/>
      <c r="S139" s="2"/>
      <c r="T139" s="2"/>
      <c r="U139" s="117"/>
    </row>
    <row r="140" spans="1:21" ht="24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4"/>
      <c r="M140" s="4"/>
      <c r="N140" s="4"/>
      <c r="O140" s="4"/>
      <c r="P140" s="2"/>
      <c r="Q140" s="2"/>
      <c r="R140" s="117"/>
      <c r="S140" s="2"/>
      <c r="T140" s="2"/>
      <c r="U140" s="117"/>
    </row>
    <row r="141" spans="1:21" ht="24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4"/>
      <c r="M141" s="4"/>
      <c r="N141" s="4"/>
      <c r="O141" s="4"/>
      <c r="P141" s="2"/>
      <c r="Q141" s="2"/>
      <c r="R141" s="117"/>
      <c r="S141" s="2"/>
      <c r="T141" s="2"/>
      <c r="U141" s="117"/>
    </row>
    <row r="142" spans="1:21" ht="24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4"/>
      <c r="M142" s="4"/>
      <c r="N142" s="4"/>
      <c r="O142" s="4"/>
      <c r="P142" s="2"/>
      <c r="Q142" s="2"/>
      <c r="R142" s="117"/>
      <c r="S142" s="2"/>
      <c r="T142" s="2"/>
      <c r="U142" s="117"/>
    </row>
    <row r="143" spans="1:21" ht="24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4"/>
      <c r="M143" s="4"/>
      <c r="N143" s="4"/>
      <c r="O143" s="4"/>
      <c r="P143" s="2"/>
      <c r="Q143" s="2"/>
      <c r="R143" s="117"/>
      <c r="S143" s="2"/>
      <c r="T143" s="2"/>
      <c r="U143" s="117"/>
    </row>
    <row r="144" spans="1:21" ht="24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4"/>
      <c r="M144" s="4"/>
      <c r="N144" s="4"/>
      <c r="O144" s="4"/>
      <c r="P144" s="2"/>
      <c r="Q144" s="2"/>
      <c r="R144" s="117"/>
      <c r="S144" s="2"/>
      <c r="T144" s="2"/>
      <c r="U144" s="117"/>
    </row>
    <row r="145" spans="1:21" ht="24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4"/>
      <c r="M145" s="4"/>
      <c r="N145" s="4"/>
      <c r="O145" s="4"/>
      <c r="P145" s="2"/>
      <c r="Q145" s="2"/>
      <c r="R145" s="117"/>
      <c r="S145" s="2"/>
      <c r="T145" s="2"/>
      <c r="U145" s="117"/>
    </row>
    <row r="146" spans="1:21" ht="24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4"/>
      <c r="M146" s="4"/>
      <c r="N146" s="4"/>
      <c r="O146" s="4"/>
      <c r="P146" s="2"/>
      <c r="Q146" s="2"/>
      <c r="R146" s="117"/>
      <c r="S146" s="2"/>
      <c r="T146" s="2"/>
      <c r="U146" s="117"/>
    </row>
    <row r="147" spans="1:21" ht="24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4"/>
      <c r="M147" s="4"/>
      <c r="N147" s="4"/>
      <c r="O147" s="4"/>
      <c r="P147" s="2"/>
      <c r="Q147" s="2"/>
      <c r="R147" s="117"/>
      <c r="S147" s="2"/>
      <c r="T147" s="2"/>
      <c r="U147" s="117"/>
    </row>
    <row r="148" spans="1:21" ht="24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4"/>
      <c r="M148" s="4"/>
      <c r="N148" s="4"/>
      <c r="O148" s="4"/>
      <c r="P148" s="2"/>
      <c r="Q148" s="2"/>
      <c r="R148" s="117"/>
      <c r="S148" s="2"/>
      <c r="T148" s="2"/>
      <c r="U148" s="117"/>
    </row>
    <row r="149" spans="1:21" ht="24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4"/>
      <c r="M149" s="4"/>
      <c r="N149" s="4"/>
      <c r="O149" s="4"/>
      <c r="P149" s="2"/>
      <c r="Q149" s="2"/>
      <c r="R149" s="117"/>
      <c r="S149" s="2"/>
      <c r="T149" s="2"/>
      <c r="U149" s="117"/>
    </row>
    <row r="150" spans="1:21" ht="24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4"/>
      <c r="M150" s="4"/>
      <c r="N150" s="4"/>
      <c r="O150" s="4"/>
      <c r="P150" s="2"/>
      <c r="Q150" s="2"/>
      <c r="R150" s="117"/>
      <c r="S150" s="2"/>
      <c r="T150" s="2"/>
      <c r="U150" s="117"/>
    </row>
    <row r="151" spans="1:21" ht="24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4"/>
      <c r="M151" s="4"/>
      <c r="N151" s="4"/>
      <c r="O151" s="4"/>
      <c r="P151" s="2"/>
      <c r="Q151" s="2"/>
      <c r="R151" s="117"/>
      <c r="S151" s="2"/>
      <c r="T151" s="2"/>
      <c r="U151" s="117"/>
    </row>
    <row r="152" spans="1:21" ht="24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4"/>
      <c r="M152" s="4"/>
      <c r="N152" s="4"/>
      <c r="O152" s="4"/>
      <c r="P152" s="2"/>
      <c r="Q152" s="2"/>
      <c r="R152" s="117"/>
      <c r="S152" s="2"/>
      <c r="T152" s="2"/>
      <c r="U152" s="117"/>
    </row>
    <row r="153" spans="1:21" ht="24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4"/>
      <c r="M153" s="4"/>
      <c r="N153" s="4"/>
      <c r="O153" s="4"/>
      <c r="P153" s="2"/>
      <c r="Q153" s="2"/>
      <c r="R153" s="117"/>
      <c r="S153" s="2"/>
      <c r="T153" s="2"/>
      <c r="U153" s="117"/>
    </row>
    <row r="154" spans="1:21" ht="24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4"/>
      <c r="M154" s="4"/>
      <c r="N154" s="4"/>
      <c r="O154" s="4"/>
      <c r="P154" s="2"/>
      <c r="Q154" s="2"/>
      <c r="R154" s="117"/>
      <c r="S154" s="2"/>
      <c r="T154" s="2"/>
      <c r="U154" s="117"/>
    </row>
    <row r="155" spans="1:21" ht="24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4"/>
      <c r="M155" s="4"/>
      <c r="N155" s="4"/>
      <c r="O155" s="4"/>
      <c r="P155" s="2"/>
      <c r="Q155" s="2"/>
      <c r="R155" s="117"/>
      <c r="S155" s="2"/>
      <c r="T155" s="2"/>
      <c r="U155" s="117"/>
    </row>
    <row r="156" spans="1:21" ht="24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4"/>
      <c r="M156" s="4"/>
      <c r="N156" s="4"/>
      <c r="O156" s="4"/>
      <c r="P156" s="2"/>
      <c r="Q156" s="2"/>
      <c r="R156" s="117"/>
      <c r="S156" s="2"/>
      <c r="T156" s="2"/>
      <c r="U156" s="117"/>
    </row>
    <row r="157" spans="1:21" ht="24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4"/>
      <c r="M157" s="4"/>
      <c r="N157" s="4"/>
      <c r="O157" s="4"/>
      <c r="P157" s="2"/>
      <c r="Q157" s="2"/>
      <c r="R157" s="117"/>
      <c r="S157" s="2"/>
      <c r="T157" s="2"/>
      <c r="U157" s="117"/>
    </row>
    <row r="158" spans="1:21" ht="24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4"/>
      <c r="M158" s="4"/>
      <c r="N158" s="4"/>
      <c r="O158" s="4"/>
      <c r="P158" s="2"/>
      <c r="Q158" s="2"/>
      <c r="R158" s="117"/>
      <c r="S158" s="2"/>
      <c r="T158" s="2"/>
      <c r="U158" s="117"/>
    </row>
    <row r="159" spans="1:21" ht="24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4"/>
      <c r="M159" s="4"/>
      <c r="N159" s="4"/>
      <c r="O159" s="4"/>
      <c r="P159" s="2"/>
      <c r="Q159" s="2"/>
      <c r="R159" s="117"/>
      <c r="S159" s="2"/>
      <c r="T159" s="2"/>
      <c r="U159" s="117"/>
    </row>
    <row r="160" spans="1:21" ht="24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4"/>
      <c r="M160" s="4"/>
      <c r="N160" s="4"/>
      <c r="O160" s="4"/>
      <c r="P160" s="2"/>
      <c r="Q160" s="2"/>
      <c r="R160" s="117"/>
      <c r="S160" s="2"/>
      <c r="T160" s="2"/>
      <c r="U160" s="117"/>
    </row>
    <row r="161" spans="1:21" ht="24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4"/>
      <c r="M161" s="4"/>
      <c r="N161" s="4"/>
      <c r="O161" s="4"/>
      <c r="P161" s="2"/>
      <c r="Q161" s="2"/>
      <c r="R161" s="117"/>
      <c r="S161" s="2"/>
      <c r="T161" s="2"/>
      <c r="U161" s="117"/>
    </row>
    <row r="162" spans="1:21" ht="24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4"/>
      <c r="M162" s="4"/>
      <c r="N162" s="4"/>
      <c r="O162" s="4"/>
      <c r="P162" s="2"/>
      <c r="Q162" s="2"/>
      <c r="R162" s="117"/>
      <c r="S162" s="2"/>
      <c r="T162" s="2"/>
      <c r="U162" s="117"/>
    </row>
    <row r="163" spans="1:21" ht="24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4"/>
      <c r="M163" s="4"/>
      <c r="N163" s="4"/>
      <c r="O163" s="4"/>
      <c r="P163" s="2"/>
      <c r="Q163" s="2"/>
      <c r="R163" s="117"/>
      <c r="S163" s="2"/>
      <c r="T163" s="2"/>
      <c r="U163" s="117"/>
    </row>
    <row r="164" spans="1:21" ht="24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4"/>
      <c r="M164" s="4"/>
      <c r="N164" s="4"/>
      <c r="O164" s="4"/>
      <c r="P164" s="2"/>
      <c r="Q164" s="2"/>
      <c r="R164" s="117"/>
      <c r="S164" s="2"/>
      <c r="T164" s="2"/>
      <c r="U164" s="117"/>
    </row>
    <row r="165" spans="1:21" ht="24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4"/>
      <c r="M165" s="4"/>
      <c r="N165" s="4"/>
      <c r="O165" s="4"/>
      <c r="P165" s="2"/>
      <c r="Q165" s="2"/>
      <c r="R165" s="117"/>
      <c r="S165" s="2"/>
      <c r="T165" s="2"/>
      <c r="U165" s="117"/>
    </row>
    <row r="166" spans="1:21" ht="24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4"/>
      <c r="M166" s="4"/>
      <c r="N166" s="4"/>
      <c r="O166" s="4"/>
      <c r="P166" s="2"/>
      <c r="Q166" s="2"/>
      <c r="R166" s="117"/>
      <c r="S166" s="2"/>
      <c r="T166" s="2"/>
      <c r="U166" s="117"/>
    </row>
    <row r="167" spans="1:21" ht="24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4"/>
      <c r="M167" s="4"/>
      <c r="N167" s="4"/>
      <c r="O167" s="4"/>
      <c r="P167" s="2"/>
      <c r="Q167" s="2"/>
      <c r="R167" s="117"/>
      <c r="S167" s="2"/>
      <c r="T167" s="2"/>
      <c r="U167" s="117"/>
    </row>
    <row r="168" spans="1:21" ht="24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4"/>
      <c r="M168" s="4"/>
      <c r="N168" s="4"/>
      <c r="O168" s="4"/>
      <c r="P168" s="2"/>
      <c r="Q168" s="2"/>
      <c r="R168" s="117"/>
      <c r="S168" s="2"/>
      <c r="T168" s="2"/>
      <c r="U168" s="117"/>
    </row>
    <row r="169" spans="1:21" ht="24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4"/>
      <c r="M169" s="4"/>
      <c r="N169" s="4"/>
      <c r="O169" s="4"/>
      <c r="P169" s="2"/>
      <c r="Q169" s="2"/>
      <c r="R169" s="117"/>
      <c r="S169" s="2"/>
      <c r="T169" s="2"/>
      <c r="U169" s="117"/>
    </row>
    <row r="170" spans="1:21" ht="24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4"/>
      <c r="M170" s="4"/>
      <c r="N170" s="4"/>
      <c r="O170" s="4"/>
      <c r="P170" s="2"/>
      <c r="Q170" s="2"/>
      <c r="R170" s="117"/>
      <c r="S170" s="2"/>
      <c r="T170" s="2"/>
      <c r="U170" s="117"/>
    </row>
    <row r="171" spans="1:21" ht="24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4"/>
      <c r="M171" s="4"/>
      <c r="N171" s="4"/>
      <c r="O171" s="4"/>
      <c r="P171" s="2"/>
      <c r="Q171" s="2"/>
      <c r="R171" s="117"/>
      <c r="S171" s="2"/>
      <c r="T171" s="2"/>
      <c r="U171" s="117"/>
    </row>
    <row r="172" spans="1:21" ht="24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4"/>
      <c r="M172" s="4"/>
      <c r="N172" s="4"/>
      <c r="O172" s="4"/>
      <c r="P172" s="2"/>
      <c r="Q172" s="2"/>
      <c r="R172" s="117"/>
      <c r="S172" s="2"/>
      <c r="T172" s="2"/>
      <c r="U172" s="117"/>
    </row>
    <row r="173" spans="1:21" ht="24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4"/>
      <c r="M173" s="4"/>
      <c r="N173" s="4"/>
      <c r="O173" s="4"/>
      <c r="P173" s="2"/>
      <c r="Q173" s="2"/>
      <c r="R173" s="117"/>
      <c r="S173" s="2"/>
      <c r="T173" s="2"/>
      <c r="U173" s="117"/>
    </row>
    <row r="174" spans="1:21" ht="24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4"/>
      <c r="M174" s="4"/>
      <c r="N174" s="4"/>
      <c r="O174" s="4"/>
      <c r="P174" s="2"/>
      <c r="Q174" s="2"/>
      <c r="R174" s="117"/>
      <c r="S174" s="2"/>
      <c r="T174" s="2"/>
      <c r="U174" s="117"/>
    </row>
    <row r="175" spans="1:21" ht="24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4"/>
      <c r="M175" s="4"/>
      <c r="N175" s="4"/>
      <c r="O175" s="4"/>
      <c r="P175" s="2"/>
      <c r="Q175" s="2"/>
      <c r="R175" s="117"/>
      <c r="S175" s="2"/>
      <c r="T175" s="2"/>
      <c r="U175" s="117"/>
    </row>
    <row r="176" spans="1:21" ht="24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4"/>
      <c r="M176" s="4"/>
      <c r="N176" s="4"/>
      <c r="O176" s="4"/>
      <c r="P176" s="2"/>
      <c r="Q176" s="2"/>
      <c r="R176" s="117"/>
      <c r="S176" s="2"/>
      <c r="T176" s="2"/>
      <c r="U176" s="117"/>
    </row>
    <row r="177" spans="1:21" ht="24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4"/>
      <c r="M177" s="4"/>
      <c r="N177" s="4"/>
      <c r="O177" s="4"/>
      <c r="P177" s="2"/>
      <c r="Q177" s="2"/>
      <c r="R177" s="117"/>
      <c r="S177" s="2"/>
      <c r="T177" s="2"/>
      <c r="U177" s="117"/>
    </row>
    <row r="178" spans="1:21" ht="24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4"/>
      <c r="M178" s="4"/>
      <c r="N178" s="4"/>
      <c r="O178" s="4"/>
      <c r="P178" s="2"/>
      <c r="Q178" s="2"/>
      <c r="R178" s="117"/>
      <c r="S178" s="2"/>
      <c r="T178" s="2"/>
      <c r="U178" s="117"/>
    </row>
    <row r="179" spans="1:21" ht="24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4"/>
      <c r="M179" s="4"/>
      <c r="N179" s="4"/>
      <c r="O179" s="4"/>
      <c r="P179" s="2"/>
      <c r="Q179" s="2"/>
      <c r="R179" s="117"/>
      <c r="S179" s="2"/>
      <c r="T179" s="2"/>
      <c r="U179" s="117"/>
    </row>
    <row r="180" spans="1:21" ht="24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4"/>
      <c r="M180" s="4"/>
      <c r="N180" s="4"/>
      <c r="O180" s="4"/>
      <c r="P180" s="2"/>
      <c r="Q180" s="2"/>
      <c r="R180" s="117"/>
      <c r="S180" s="2"/>
      <c r="T180" s="2"/>
      <c r="U180" s="117"/>
    </row>
    <row r="181" spans="1:21" ht="24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4"/>
      <c r="M181" s="4"/>
      <c r="N181" s="4"/>
      <c r="O181" s="4"/>
      <c r="P181" s="2"/>
      <c r="Q181" s="2"/>
      <c r="R181" s="117"/>
      <c r="S181" s="2"/>
      <c r="T181" s="2"/>
      <c r="U181" s="117"/>
    </row>
    <row r="182" spans="1:21" ht="24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4"/>
      <c r="M182" s="4"/>
      <c r="N182" s="4"/>
      <c r="O182" s="4"/>
      <c r="P182" s="2"/>
      <c r="Q182" s="2"/>
      <c r="R182" s="117"/>
      <c r="S182" s="2"/>
      <c r="T182" s="2"/>
      <c r="U182" s="117"/>
    </row>
    <row r="183" spans="1:21" ht="24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4"/>
      <c r="M183" s="4"/>
      <c r="N183" s="4"/>
      <c r="O183" s="4"/>
      <c r="P183" s="2"/>
      <c r="Q183" s="2"/>
      <c r="R183" s="117"/>
      <c r="S183" s="2"/>
      <c r="T183" s="2"/>
      <c r="U183" s="117"/>
    </row>
    <row r="184" spans="1:21" ht="24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4"/>
      <c r="M184" s="4"/>
      <c r="N184" s="4"/>
      <c r="O184" s="4"/>
      <c r="P184" s="2"/>
      <c r="Q184" s="2"/>
      <c r="R184" s="117"/>
      <c r="S184" s="2"/>
      <c r="T184" s="2"/>
      <c r="U184" s="117"/>
    </row>
    <row r="185" spans="1:21" ht="24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4"/>
      <c r="M185" s="4"/>
      <c r="N185" s="4"/>
      <c r="O185" s="4"/>
      <c r="P185" s="2"/>
      <c r="Q185" s="2"/>
      <c r="R185" s="117"/>
      <c r="S185" s="2"/>
      <c r="T185" s="2"/>
      <c r="U185" s="117"/>
    </row>
    <row r="186" spans="1:21" ht="24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4"/>
      <c r="M186" s="4"/>
      <c r="N186" s="4"/>
      <c r="O186" s="4"/>
      <c r="P186" s="2"/>
      <c r="Q186" s="2"/>
      <c r="R186" s="117"/>
      <c r="S186" s="2"/>
      <c r="T186" s="2"/>
      <c r="U186" s="117"/>
    </row>
    <row r="187" spans="1:21" ht="24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4"/>
      <c r="M187" s="4"/>
      <c r="N187" s="4"/>
      <c r="O187" s="4"/>
      <c r="P187" s="2"/>
      <c r="Q187" s="2"/>
      <c r="R187" s="117"/>
      <c r="S187" s="2"/>
      <c r="T187" s="2"/>
      <c r="U187" s="117"/>
    </row>
    <row r="188" spans="1:21" ht="24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4"/>
      <c r="M188" s="4"/>
      <c r="N188" s="4"/>
      <c r="O188" s="4"/>
      <c r="P188" s="2"/>
      <c r="Q188" s="2"/>
      <c r="R188" s="117"/>
      <c r="S188" s="2"/>
      <c r="T188" s="2"/>
      <c r="U188" s="117"/>
    </row>
    <row r="189" spans="1:21" ht="24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4"/>
      <c r="M189" s="4"/>
      <c r="N189" s="4"/>
      <c r="O189" s="4"/>
      <c r="P189" s="2"/>
      <c r="Q189" s="2"/>
      <c r="R189" s="117"/>
      <c r="S189" s="2"/>
      <c r="T189" s="2"/>
      <c r="U189" s="117"/>
    </row>
    <row r="190" spans="1:21" ht="24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4"/>
      <c r="M190" s="4"/>
      <c r="N190" s="4"/>
      <c r="O190" s="4"/>
      <c r="P190" s="2"/>
      <c r="Q190" s="2"/>
      <c r="R190" s="117"/>
      <c r="S190" s="2"/>
      <c r="T190" s="2"/>
      <c r="U190" s="117"/>
    </row>
    <row r="191" spans="1:21" ht="24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4"/>
      <c r="M191" s="4"/>
      <c r="N191" s="4"/>
      <c r="O191" s="4"/>
      <c r="P191" s="2"/>
      <c r="Q191" s="2"/>
      <c r="R191" s="117"/>
      <c r="S191" s="2"/>
      <c r="T191" s="2"/>
      <c r="U191" s="117"/>
    </row>
    <row r="192" spans="1:21" ht="24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4"/>
      <c r="M192" s="4"/>
      <c r="N192" s="4"/>
      <c r="O192" s="4"/>
      <c r="P192" s="2"/>
      <c r="Q192" s="2"/>
      <c r="R192" s="117"/>
      <c r="S192" s="2"/>
      <c r="T192" s="2"/>
      <c r="U192" s="117"/>
    </row>
    <row r="193" spans="1:21" ht="24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4"/>
      <c r="M193" s="4"/>
      <c r="N193" s="4"/>
      <c r="O193" s="4"/>
      <c r="P193" s="2"/>
      <c r="Q193" s="2"/>
      <c r="R193" s="117"/>
      <c r="S193" s="2"/>
      <c r="T193" s="2"/>
      <c r="U193" s="117"/>
    </row>
    <row r="194" spans="1:21" ht="24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4"/>
      <c r="M194" s="4"/>
      <c r="N194" s="4"/>
      <c r="O194" s="4"/>
      <c r="P194" s="2"/>
      <c r="Q194" s="2"/>
      <c r="R194" s="117"/>
      <c r="S194" s="2"/>
      <c r="T194" s="2"/>
      <c r="U194" s="117"/>
    </row>
    <row r="195" spans="1:21" ht="24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4"/>
      <c r="M195" s="4"/>
      <c r="N195" s="4"/>
      <c r="O195" s="4"/>
      <c r="P195" s="2"/>
      <c r="Q195" s="2"/>
      <c r="R195" s="117"/>
      <c r="S195" s="2"/>
      <c r="T195" s="2"/>
      <c r="U195" s="117"/>
    </row>
    <row r="196" spans="1:21" ht="24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4"/>
      <c r="M196" s="4"/>
      <c r="N196" s="4"/>
      <c r="O196" s="4"/>
      <c r="P196" s="2"/>
      <c r="Q196" s="2"/>
      <c r="R196" s="117"/>
      <c r="S196" s="2"/>
      <c r="T196" s="2"/>
      <c r="U196" s="117"/>
    </row>
    <row r="197" spans="1:21" ht="24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4"/>
      <c r="M197" s="4"/>
      <c r="N197" s="4"/>
      <c r="O197" s="4"/>
      <c r="P197" s="2"/>
      <c r="Q197" s="2"/>
      <c r="R197" s="117"/>
      <c r="S197" s="2"/>
      <c r="T197" s="2"/>
      <c r="U197" s="117"/>
    </row>
    <row r="198" spans="1:21" ht="24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4"/>
      <c r="M198" s="4"/>
      <c r="N198" s="4"/>
      <c r="O198" s="4"/>
      <c r="P198" s="2"/>
      <c r="Q198" s="2"/>
      <c r="R198" s="117"/>
      <c r="S198" s="2"/>
      <c r="T198" s="2"/>
      <c r="U198" s="117"/>
    </row>
    <row r="199" spans="1:21" ht="24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4"/>
      <c r="M199" s="4"/>
      <c r="N199" s="4"/>
      <c r="O199" s="4"/>
      <c r="P199" s="2"/>
      <c r="Q199" s="2"/>
      <c r="R199" s="117"/>
      <c r="S199" s="2"/>
      <c r="T199" s="2"/>
      <c r="U199" s="117"/>
    </row>
    <row r="200" spans="1:21" ht="24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4"/>
      <c r="M200" s="4"/>
      <c r="N200" s="4"/>
      <c r="O200" s="4"/>
      <c r="P200" s="2"/>
      <c r="Q200" s="2"/>
      <c r="R200" s="117"/>
      <c r="S200" s="2"/>
      <c r="T200" s="2"/>
      <c r="U200" s="117"/>
    </row>
    <row r="201" spans="1:21" ht="24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4"/>
      <c r="M201" s="4"/>
      <c r="N201" s="4"/>
      <c r="O201" s="4"/>
      <c r="P201" s="2"/>
      <c r="Q201" s="2"/>
      <c r="R201" s="117"/>
      <c r="S201" s="2"/>
      <c r="T201" s="2"/>
      <c r="U201" s="117"/>
    </row>
    <row r="202" spans="1:21" ht="24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4"/>
      <c r="M202" s="4"/>
      <c r="N202" s="4"/>
      <c r="O202" s="4"/>
      <c r="P202" s="2"/>
      <c r="Q202" s="2"/>
      <c r="R202" s="117"/>
      <c r="S202" s="2"/>
      <c r="T202" s="2"/>
      <c r="U202" s="117"/>
    </row>
    <row r="203" spans="1:21" ht="24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4"/>
      <c r="M203" s="4"/>
      <c r="N203" s="4"/>
      <c r="O203" s="4"/>
      <c r="P203" s="2"/>
      <c r="Q203" s="2"/>
      <c r="R203" s="117"/>
      <c r="S203" s="2"/>
      <c r="T203" s="2"/>
      <c r="U203" s="117"/>
    </row>
    <row r="204" spans="1:21" ht="24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4"/>
      <c r="M204" s="4"/>
      <c r="N204" s="4"/>
      <c r="O204" s="4"/>
      <c r="P204" s="2"/>
      <c r="Q204" s="2"/>
      <c r="R204" s="117"/>
      <c r="S204" s="2"/>
      <c r="T204" s="2"/>
      <c r="U204" s="117"/>
    </row>
    <row r="205" spans="1:21" ht="24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4"/>
      <c r="M205" s="4"/>
      <c r="N205" s="4"/>
      <c r="O205" s="4"/>
      <c r="P205" s="2"/>
      <c r="Q205" s="2"/>
      <c r="R205" s="117"/>
      <c r="S205" s="2"/>
      <c r="T205" s="2"/>
      <c r="U205" s="117"/>
    </row>
    <row r="206" spans="1:21" ht="24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4"/>
      <c r="M206" s="4"/>
      <c r="N206" s="4"/>
      <c r="O206" s="4"/>
      <c r="P206" s="2"/>
      <c r="Q206" s="2"/>
      <c r="R206" s="117"/>
      <c r="S206" s="2"/>
      <c r="T206" s="2"/>
      <c r="U206" s="117"/>
    </row>
    <row r="207" spans="1:21" ht="24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4"/>
      <c r="M207" s="4"/>
      <c r="N207" s="4"/>
      <c r="O207" s="4"/>
      <c r="P207" s="2"/>
      <c r="Q207" s="2"/>
      <c r="R207" s="117"/>
      <c r="S207" s="2"/>
      <c r="T207" s="2"/>
      <c r="U207" s="117"/>
    </row>
    <row r="208" spans="1:21" ht="24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4"/>
      <c r="M208" s="4"/>
      <c r="N208" s="4"/>
      <c r="O208" s="4"/>
      <c r="P208" s="2"/>
      <c r="Q208" s="2"/>
      <c r="R208" s="117"/>
      <c r="S208" s="2"/>
      <c r="T208" s="2"/>
      <c r="U208" s="117"/>
    </row>
    <row r="209" spans="1:21" ht="24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4"/>
      <c r="M209" s="4"/>
      <c r="N209" s="4"/>
      <c r="O209" s="4"/>
      <c r="P209" s="2"/>
      <c r="Q209" s="2"/>
      <c r="R209" s="117"/>
      <c r="S209" s="2"/>
      <c r="T209" s="2"/>
      <c r="U209" s="117"/>
    </row>
    <row r="210" spans="1:21" ht="24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4"/>
      <c r="M210" s="4"/>
      <c r="N210" s="4"/>
      <c r="O210" s="4"/>
      <c r="P210" s="2"/>
      <c r="Q210" s="2"/>
      <c r="R210" s="117"/>
      <c r="S210" s="2"/>
      <c r="T210" s="2"/>
      <c r="U210" s="117"/>
    </row>
    <row r="211" spans="1:21" ht="24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4"/>
      <c r="M211" s="4"/>
      <c r="N211" s="4"/>
      <c r="O211" s="4"/>
      <c r="P211" s="2"/>
      <c r="Q211" s="2"/>
      <c r="R211" s="117"/>
      <c r="S211" s="2"/>
      <c r="T211" s="2"/>
      <c r="U211" s="117"/>
    </row>
    <row r="212" spans="1:21" ht="24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4"/>
      <c r="M212" s="4"/>
      <c r="N212" s="4"/>
      <c r="O212" s="4"/>
      <c r="P212" s="2"/>
      <c r="Q212" s="2"/>
      <c r="R212" s="117"/>
      <c r="S212" s="2"/>
      <c r="T212" s="2"/>
      <c r="U212" s="117"/>
    </row>
    <row r="213" spans="1:21" ht="24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4"/>
      <c r="M213" s="4"/>
      <c r="N213" s="4"/>
      <c r="O213" s="4"/>
      <c r="P213" s="2"/>
      <c r="Q213" s="2"/>
      <c r="R213" s="117"/>
      <c r="S213" s="2"/>
      <c r="T213" s="2"/>
      <c r="U213" s="117"/>
    </row>
    <row r="214" spans="1:21" ht="24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4"/>
      <c r="M214" s="4"/>
      <c r="N214" s="4"/>
      <c r="O214" s="4"/>
      <c r="P214" s="2"/>
      <c r="Q214" s="2"/>
      <c r="R214" s="117"/>
      <c r="S214" s="2"/>
      <c r="T214" s="2"/>
      <c r="U214" s="117"/>
    </row>
    <row r="215" spans="1:21" ht="24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4"/>
      <c r="M215" s="4"/>
      <c r="N215" s="4"/>
      <c r="O215" s="4"/>
      <c r="P215" s="2"/>
      <c r="Q215" s="2"/>
      <c r="R215" s="117"/>
      <c r="S215" s="2"/>
      <c r="T215" s="2"/>
      <c r="U215" s="117"/>
    </row>
    <row r="216" spans="1:21" ht="24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4"/>
      <c r="M216" s="4"/>
      <c r="N216" s="4"/>
      <c r="O216" s="4"/>
      <c r="P216" s="2"/>
      <c r="Q216" s="2"/>
      <c r="R216" s="117"/>
      <c r="S216" s="2"/>
      <c r="T216" s="2"/>
      <c r="U216" s="117"/>
    </row>
    <row r="217" spans="1:21" ht="24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4"/>
      <c r="M217" s="4"/>
      <c r="N217" s="4"/>
      <c r="O217" s="4"/>
      <c r="P217" s="2"/>
      <c r="Q217" s="2"/>
      <c r="R217" s="117"/>
      <c r="S217" s="2"/>
      <c r="T217" s="2"/>
      <c r="U217" s="117"/>
    </row>
    <row r="218" spans="1:21" ht="24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4"/>
      <c r="M218" s="4"/>
      <c r="N218" s="4"/>
      <c r="O218" s="4"/>
      <c r="P218" s="2"/>
      <c r="Q218" s="2"/>
      <c r="R218" s="117"/>
      <c r="S218" s="2"/>
      <c r="T218" s="2"/>
      <c r="U218" s="117"/>
    </row>
    <row r="219" spans="1:21" ht="24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4"/>
      <c r="M219" s="4"/>
      <c r="N219" s="4"/>
      <c r="O219" s="4"/>
      <c r="P219" s="2"/>
      <c r="Q219" s="2"/>
      <c r="R219" s="117"/>
      <c r="S219" s="2"/>
      <c r="T219" s="2"/>
      <c r="U219" s="117"/>
    </row>
    <row r="220" spans="1:21" ht="24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4"/>
      <c r="M220" s="4"/>
      <c r="N220" s="4"/>
      <c r="O220" s="4"/>
      <c r="P220" s="2"/>
      <c r="Q220" s="2"/>
      <c r="R220" s="117"/>
      <c r="S220" s="2"/>
      <c r="T220" s="2"/>
      <c r="U220" s="117"/>
    </row>
    <row r="221" spans="1:21" ht="24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4"/>
      <c r="M221" s="4"/>
      <c r="N221" s="4"/>
      <c r="O221" s="4"/>
      <c r="P221" s="2"/>
      <c r="Q221" s="2"/>
      <c r="R221" s="117"/>
      <c r="S221" s="2"/>
      <c r="T221" s="2"/>
      <c r="U221" s="117"/>
    </row>
    <row r="222" spans="1:21" ht="24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4"/>
      <c r="M222" s="4"/>
      <c r="N222" s="4"/>
      <c r="O222" s="4"/>
      <c r="P222" s="2"/>
      <c r="Q222" s="2"/>
      <c r="R222" s="117"/>
      <c r="S222" s="2"/>
      <c r="T222" s="2"/>
      <c r="U222" s="117"/>
    </row>
    <row r="223" spans="1:21" ht="24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4"/>
      <c r="M223" s="4"/>
      <c r="N223" s="4"/>
      <c r="O223" s="4"/>
      <c r="P223" s="2"/>
      <c r="Q223" s="2"/>
      <c r="R223" s="117"/>
      <c r="S223" s="2"/>
      <c r="T223" s="2"/>
      <c r="U223" s="117"/>
    </row>
    <row r="224" spans="1:21" ht="24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4"/>
      <c r="M224" s="4"/>
      <c r="N224" s="4"/>
      <c r="O224" s="4"/>
      <c r="P224" s="2"/>
      <c r="Q224" s="2"/>
      <c r="R224" s="117"/>
      <c r="S224" s="2"/>
      <c r="T224" s="2"/>
      <c r="U224" s="117"/>
    </row>
    <row r="225" spans="1:21" ht="24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4"/>
      <c r="M225" s="4"/>
      <c r="N225" s="4"/>
      <c r="O225" s="4"/>
      <c r="P225" s="2"/>
      <c r="Q225" s="2"/>
      <c r="R225" s="117"/>
      <c r="S225" s="2"/>
      <c r="T225" s="2"/>
      <c r="U225" s="117"/>
    </row>
    <row r="226" spans="1:21" ht="24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4"/>
      <c r="M226" s="4"/>
      <c r="N226" s="4"/>
      <c r="O226" s="4"/>
      <c r="P226" s="2"/>
      <c r="Q226" s="2"/>
      <c r="R226" s="117"/>
      <c r="S226" s="2"/>
      <c r="T226" s="2"/>
      <c r="U226" s="117"/>
    </row>
    <row r="227" spans="1:21" ht="24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4"/>
      <c r="M227" s="4"/>
      <c r="N227" s="4"/>
      <c r="O227" s="4"/>
      <c r="P227" s="2"/>
      <c r="Q227" s="2"/>
      <c r="R227" s="117"/>
      <c r="S227" s="2"/>
      <c r="T227" s="2"/>
      <c r="U227" s="117"/>
    </row>
    <row r="228" spans="1:21" ht="24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4"/>
      <c r="M228" s="4"/>
      <c r="N228" s="4"/>
      <c r="O228" s="4"/>
      <c r="P228" s="2"/>
      <c r="Q228" s="2"/>
      <c r="R228" s="117"/>
      <c r="S228" s="2"/>
      <c r="T228" s="2"/>
      <c r="U228" s="117"/>
    </row>
    <row r="229" spans="1:21" ht="24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4"/>
      <c r="M229" s="4"/>
      <c r="N229" s="4"/>
      <c r="O229" s="4"/>
      <c r="P229" s="2"/>
      <c r="Q229" s="2"/>
      <c r="R229" s="117"/>
      <c r="S229" s="2"/>
      <c r="T229" s="2"/>
      <c r="U229" s="117"/>
    </row>
    <row r="230" spans="1:21" ht="24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4"/>
      <c r="M230" s="4"/>
      <c r="N230" s="4"/>
      <c r="O230" s="4"/>
      <c r="P230" s="2"/>
      <c r="Q230" s="2"/>
      <c r="R230" s="117"/>
      <c r="S230" s="2"/>
      <c r="T230" s="2"/>
      <c r="U230" s="117"/>
    </row>
    <row r="231" spans="1:21" ht="24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4"/>
      <c r="M231" s="4"/>
      <c r="N231" s="4"/>
      <c r="O231" s="4"/>
      <c r="P231" s="2"/>
      <c r="Q231" s="2"/>
      <c r="R231" s="117"/>
      <c r="S231" s="2"/>
      <c r="T231" s="2"/>
      <c r="U231" s="117"/>
    </row>
    <row r="232" spans="1:21" ht="24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4"/>
      <c r="M232" s="4"/>
      <c r="N232" s="4"/>
      <c r="O232" s="4"/>
      <c r="P232" s="2"/>
      <c r="Q232" s="2"/>
      <c r="R232" s="117"/>
      <c r="S232" s="2"/>
      <c r="T232" s="2"/>
      <c r="U232" s="117"/>
    </row>
    <row r="233" spans="1:21" ht="24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4"/>
      <c r="M233" s="4"/>
      <c r="N233" s="4"/>
      <c r="O233" s="4"/>
      <c r="P233" s="2"/>
      <c r="Q233" s="2"/>
      <c r="R233" s="117"/>
      <c r="S233" s="2"/>
      <c r="T233" s="2"/>
      <c r="U233" s="117"/>
    </row>
    <row r="234" spans="1:21" ht="24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4"/>
      <c r="M234" s="4"/>
      <c r="N234" s="4"/>
      <c r="O234" s="4"/>
      <c r="P234" s="2"/>
      <c r="Q234" s="2"/>
      <c r="R234" s="117"/>
      <c r="S234" s="2"/>
      <c r="T234" s="2"/>
      <c r="U234" s="117"/>
    </row>
    <row r="235" spans="1:21" ht="24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4"/>
      <c r="M235" s="4"/>
      <c r="N235" s="4"/>
      <c r="O235" s="4"/>
      <c r="P235" s="2"/>
      <c r="Q235" s="2"/>
      <c r="R235" s="117"/>
      <c r="S235" s="2"/>
      <c r="T235" s="2"/>
      <c r="U235" s="117"/>
    </row>
    <row r="236" spans="1:21" ht="24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4"/>
      <c r="M236" s="4"/>
      <c r="N236" s="4"/>
      <c r="O236" s="4"/>
      <c r="P236" s="2"/>
      <c r="Q236" s="2"/>
      <c r="R236" s="117"/>
      <c r="S236" s="2"/>
      <c r="T236" s="2"/>
      <c r="U236" s="117"/>
    </row>
    <row r="237" spans="1:21" ht="24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4"/>
      <c r="M237" s="4"/>
      <c r="N237" s="4"/>
      <c r="O237" s="4"/>
      <c r="P237" s="2"/>
      <c r="Q237" s="2"/>
      <c r="R237" s="117"/>
      <c r="S237" s="2"/>
      <c r="T237" s="2"/>
      <c r="U237" s="117"/>
    </row>
    <row r="238" spans="1:21" ht="24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4"/>
      <c r="M238" s="4"/>
      <c r="N238" s="4"/>
      <c r="O238" s="4"/>
      <c r="P238" s="2"/>
      <c r="Q238" s="2"/>
      <c r="R238" s="117"/>
      <c r="S238" s="2"/>
      <c r="T238" s="2"/>
      <c r="U238" s="117"/>
    </row>
    <row r="239" spans="1:21" ht="24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4"/>
      <c r="M239" s="4"/>
      <c r="N239" s="4"/>
      <c r="O239" s="4"/>
      <c r="P239" s="2"/>
      <c r="Q239" s="2"/>
      <c r="R239" s="117"/>
      <c r="S239" s="2"/>
      <c r="T239" s="2"/>
      <c r="U239" s="117"/>
    </row>
    <row r="240" spans="1:21" ht="24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4"/>
      <c r="M240" s="4"/>
      <c r="N240" s="4"/>
      <c r="O240" s="4"/>
      <c r="P240" s="2"/>
      <c r="Q240" s="2"/>
      <c r="R240" s="117"/>
      <c r="S240" s="2"/>
      <c r="T240" s="2"/>
      <c r="U240" s="117"/>
    </row>
    <row r="241" spans="1:21" ht="24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4"/>
      <c r="M241" s="4"/>
      <c r="N241" s="4"/>
      <c r="O241" s="4"/>
      <c r="P241" s="2"/>
      <c r="Q241" s="2"/>
      <c r="R241" s="117"/>
      <c r="S241" s="2"/>
      <c r="T241" s="2"/>
      <c r="U241" s="117"/>
    </row>
    <row r="242" spans="1:21" ht="24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4"/>
      <c r="M242" s="4"/>
      <c r="N242" s="4"/>
      <c r="O242" s="4"/>
      <c r="P242" s="2"/>
      <c r="Q242" s="2"/>
      <c r="R242" s="117"/>
      <c r="S242" s="2"/>
      <c r="T242" s="2"/>
      <c r="U242" s="117"/>
    </row>
    <row r="243" spans="1:21" ht="24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4"/>
      <c r="M243" s="4"/>
      <c r="N243" s="4"/>
      <c r="O243" s="4"/>
      <c r="P243" s="2"/>
      <c r="Q243" s="2"/>
      <c r="R243" s="117"/>
      <c r="S243" s="2"/>
      <c r="T243" s="2"/>
      <c r="U243" s="117"/>
    </row>
    <row r="244" spans="1:21" ht="24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4"/>
      <c r="M244" s="4"/>
      <c r="N244" s="4"/>
      <c r="O244" s="4"/>
      <c r="P244" s="2"/>
      <c r="Q244" s="2"/>
      <c r="R244" s="117"/>
      <c r="S244" s="2"/>
      <c r="T244" s="2"/>
      <c r="U244" s="117"/>
    </row>
    <row r="245" spans="1:21" ht="24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4"/>
      <c r="M245" s="4"/>
      <c r="N245" s="4"/>
      <c r="O245" s="4"/>
      <c r="P245" s="2"/>
      <c r="Q245" s="2"/>
      <c r="R245" s="117"/>
      <c r="S245" s="2"/>
      <c r="T245" s="2"/>
      <c r="U245" s="117"/>
    </row>
    <row r="246" spans="1:21" ht="24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4"/>
      <c r="M246" s="4"/>
      <c r="N246" s="4"/>
      <c r="O246" s="4"/>
      <c r="P246" s="2"/>
      <c r="Q246" s="2"/>
      <c r="R246" s="117"/>
      <c r="S246" s="2"/>
      <c r="T246" s="2"/>
      <c r="U246" s="117"/>
    </row>
    <row r="247" spans="1:21" ht="24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4"/>
      <c r="M247" s="4"/>
      <c r="N247" s="4"/>
      <c r="O247" s="4"/>
      <c r="P247" s="2"/>
      <c r="Q247" s="2"/>
      <c r="R247" s="117"/>
      <c r="S247" s="2"/>
      <c r="T247" s="2"/>
      <c r="U247" s="117"/>
    </row>
    <row r="248" spans="1:21" ht="24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4"/>
      <c r="M248" s="4"/>
      <c r="N248" s="4"/>
      <c r="O248" s="4"/>
      <c r="P248" s="2"/>
      <c r="Q248" s="2"/>
      <c r="R248" s="117"/>
      <c r="S248" s="2"/>
      <c r="T248" s="2"/>
      <c r="U248" s="117"/>
    </row>
    <row r="249" spans="1:21" ht="24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4"/>
      <c r="M249" s="4"/>
      <c r="N249" s="4"/>
      <c r="O249" s="4"/>
      <c r="P249" s="2"/>
      <c r="Q249" s="2"/>
      <c r="R249" s="117"/>
      <c r="S249" s="2"/>
      <c r="T249" s="2"/>
      <c r="U249" s="117"/>
    </row>
    <row r="250" spans="1:21" ht="24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4"/>
      <c r="M250" s="4"/>
      <c r="N250" s="4"/>
      <c r="O250" s="4"/>
      <c r="P250" s="2"/>
      <c r="Q250" s="2"/>
      <c r="R250" s="117"/>
      <c r="S250" s="2"/>
      <c r="T250" s="2"/>
      <c r="U250" s="117"/>
    </row>
    <row r="251" spans="1:21" ht="24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4"/>
      <c r="M251" s="4"/>
      <c r="N251" s="4"/>
      <c r="O251" s="4"/>
      <c r="P251" s="2"/>
      <c r="Q251" s="2"/>
      <c r="R251" s="117"/>
      <c r="S251" s="2"/>
      <c r="T251" s="2"/>
      <c r="U251" s="117"/>
    </row>
    <row r="252" spans="1:21" ht="24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4"/>
      <c r="M252" s="4"/>
      <c r="N252" s="4"/>
      <c r="O252" s="4"/>
      <c r="P252" s="2"/>
      <c r="Q252" s="2"/>
      <c r="R252" s="117"/>
      <c r="S252" s="2"/>
      <c r="T252" s="2"/>
      <c r="U252" s="117"/>
    </row>
    <row r="253" spans="1:21" ht="24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4"/>
      <c r="M253" s="4"/>
      <c r="N253" s="4"/>
      <c r="O253" s="4"/>
      <c r="P253" s="2"/>
      <c r="Q253" s="2"/>
      <c r="R253" s="117"/>
      <c r="S253" s="2"/>
      <c r="T253" s="2"/>
      <c r="U253" s="117"/>
    </row>
    <row r="254" spans="1:21" ht="24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4"/>
      <c r="M254" s="4"/>
      <c r="N254" s="4"/>
      <c r="O254" s="4"/>
      <c r="P254" s="2"/>
      <c r="Q254" s="2"/>
      <c r="R254" s="117"/>
      <c r="S254" s="2"/>
      <c r="T254" s="2"/>
      <c r="U254" s="117"/>
    </row>
    <row r="255" spans="1:21" ht="24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4"/>
      <c r="M255" s="4"/>
      <c r="N255" s="4"/>
      <c r="O255" s="4"/>
      <c r="P255" s="2"/>
      <c r="Q255" s="2"/>
      <c r="R255" s="117"/>
      <c r="S255" s="2"/>
      <c r="T255" s="2"/>
      <c r="U255" s="117"/>
    </row>
    <row r="256" spans="1:21" ht="24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4"/>
      <c r="M256" s="4"/>
      <c r="N256" s="4"/>
      <c r="O256" s="4"/>
      <c r="P256" s="2"/>
      <c r="Q256" s="2"/>
      <c r="R256" s="117"/>
      <c r="S256" s="2"/>
      <c r="T256" s="2"/>
      <c r="U256" s="117"/>
    </row>
    <row r="257" spans="1:21" ht="24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4"/>
      <c r="M257" s="4"/>
      <c r="N257" s="4"/>
      <c r="O257" s="4"/>
      <c r="P257" s="2"/>
      <c r="Q257" s="2"/>
      <c r="R257" s="117"/>
      <c r="S257" s="2"/>
      <c r="T257" s="2"/>
      <c r="U257" s="117"/>
    </row>
    <row r="258" spans="1:21" ht="24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4"/>
      <c r="M258" s="4"/>
      <c r="N258" s="4"/>
      <c r="O258" s="4"/>
      <c r="P258" s="2"/>
      <c r="Q258" s="2"/>
      <c r="R258" s="117"/>
      <c r="S258" s="2"/>
      <c r="T258" s="2"/>
      <c r="U258" s="117"/>
    </row>
    <row r="259" spans="1:21" ht="24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4"/>
      <c r="M259" s="4"/>
      <c r="N259" s="4"/>
      <c r="O259" s="4"/>
      <c r="P259" s="2"/>
      <c r="Q259" s="2"/>
      <c r="R259" s="117"/>
      <c r="S259" s="2"/>
      <c r="T259" s="2"/>
      <c r="U259" s="117"/>
    </row>
    <row r="260" spans="1:21" ht="24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4"/>
      <c r="M260" s="4"/>
      <c r="N260" s="4"/>
      <c r="O260" s="4"/>
      <c r="P260" s="2"/>
      <c r="Q260" s="2"/>
      <c r="R260" s="117"/>
      <c r="S260" s="2"/>
      <c r="T260" s="2"/>
      <c r="U260" s="117"/>
    </row>
    <row r="261" spans="1:21" ht="24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4"/>
      <c r="M261" s="4"/>
      <c r="N261" s="4"/>
      <c r="O261" s="4"/>
      <c r="P261" s="2"/>
      <c r="Q261" s="2"/>
      <c r="R261" s="117"/>
      <c r="S261" s="2"/>
      <c r="T261" s="2"/>
      <c r="U261" s="117"/>
    </row>
    <row r="262" spans="1:21" ht="24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4"/>
      <c r="M262" s="4"/>
      <c r="N262" s="4"/>
      <c r="O262" s="4"/>
      <c r="P262" s="2"/>
      <c r="Q262" s="2"/>
      <c r="R262" s="117"/>
      <c r="S262" s="2"/>
      <c r="T262" s="2"/>
      <c r="U262" s="117"/>
    </row>
    <row r="263" spans="1:21" ht="24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4"/>
      <c r="M263" s="4"/>
      <c r="N263" s="4"/>
      <c r="O263" s="4"/>
      <c r="P263" s="2"/>
      <c r="Q263" s="2"/>
      <c r="R263" s="117"/>
      <c r="S263" s="2"/>
      <c r="T263" s="2"/>
      <c r="U263" s="117"/>
    </row>
    <row r="264" spans="1:21" ht="24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4"/>
      <c r="M264" s="4"/>
      <c r="N264" s="4"/>
      <c r="O264" s="4"/>
      <c r="P264" s="2"/>
      <c r="Q264" s="2"/>
      <c r="R264" s="117"/>
      <c r="S264" s="2"/>
      <c r="T264" s="2"/>
      <c r="U264" s="117"/>
    </row>
    <row r="265" spans="1:21" ht="24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4"/>
      <c r="M265" s="4"/>
      <c r="N265" s="4"/>
      <c r="O265" s="4"/>
      <c r="P265" s="2"/>
      <c r="Q265" s="2"/>
      <c r="R265" s="117"/>
      <c r="S265" s="2"/>
      <c r="T265" s="2"/>
      <c r="U265" s="117"/>
    </row>
    <row r="266" spans="1:21" ht="24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4"/>
      <c r="M266" s="4"/>
      <c r="N266" s="4"/>
      <c r="O266" s="4"/>
      <c r="P266" s="2"/>
      <c r="Q266" s="2"/>
      <c r="R266" s="117"/>
      <c r="S266" s="2"/>
      <c r="T266" s="2"/>
      <c r="U266" s="117"/>
    </row>
    <row r="267" spans="1:21" ht="24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4"/>
      <c r="M267" s="4"/>
      <c r="N267" s="4"/>
      <c r="O267" s="4"/>
      <c r="P267" s="2"/>
      <c r="Q267" s="2"/>
      <c r="R267" s="117"/>
      <c r="S267" s="2"/>
      <c r="T267" s="2"/>
      <c r="U267" s="117"/>
    </row>
    <row r="268" spans="1:21" ht="24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4"/>
      <c r="M268" s="4"/>
      <c r="N268" s="4"/>
      <c r="O268" s="4"/>
      <c r="P268" s="2"/>
      <c r="Q268" s="2"/>
      <c r="R268" s="117"/>
      <c r="S268" s="2"/>
      <c r="T268" s="2"/>
      <c r="U268" s="117"/>
    </row>
    <row r="269" spans="1:21" ht="24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4"/>
      <c r="M269" s="4"/>
      <c r="N269" s="4"/>
      <c r="O269" s="4"/>
      <c r="P269" s="2"/>
      <c r="Q269" s="2"/>
      <c r="R269" s="117"/>
      <c r="S269" s="2"/>
      <c r="T269" s="2"/>
      <c r="U269" s="117"/>
    </row>
    <row r="270" spans="1:21" ht="24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4"/>
      <c r="M270" s="4"/>
      <c r="N270" s="4"/>
      <c r="O270" s="4"/>
      <c r="P270" s="2"/>
      <c r="Q270" s="2"/>
      <c r="R270" s="117"/>
      <c r="S270" s="2"/>
      <c r="T270" s="2"/>
      <c r="U270" s="117"/>
    </row>
    <row r="271" spans="1:21" ht="24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4"/>
      <c r="M271" s="4"/>
      <c r="N271" s="4"/>
      <c r="O271" s="4"/>
      <c r="P271" s="2"/>
      <c r="Q271" s="2"/>
      <c r="R271" s="117"/>
      <c r="S271" s="2"/>
      <c r="T271" s="2"/>
      <c r="U271" s="117"/>
    </row>
    <row r="272" spans="1:21" ht="24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4"/>
      <c r="M272" s="4"/>
      <c r="N272" s="4"/>
      <c r="O272" s="4"/>
      <c r="P272" s="2"/>
      <c r="Q272" s="2"/>
      <c r="R272" s="117"/>
      <c r="S272" s="2"/>
      <c r="T272" s="2"/>
      <c r="U272" s="117"/>
    </row>
    <row r="273" spans="1:21" ht="24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4"/>
      <c r="M273" s="4"/>
      <c r="N273" s="4"/>
      <c r="O273" s="4"/>
      <c r="P273" s="2"/>
      <c r="Q273" s="2"/>
      <c r="R273" s="117"/>
      <c r="S273" s="2"/>
      <c r="T273" s="2"/>
      <c r="U273" s="117"/>
    </row>
    <row r="274" spans="1:21" ht="24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4"/>
      <c r="M274" s="4"/>
      <c r="N274" s="4"/>
      <c r="O274" s="4"/>
      <c r="P274" s="2"/>
      <c r="Q274" s="2"/>
      <c r="R274" s="117"/>
      <c r="S274" s="2"/>
      <c r="T274" s="2"/>
      <c r="U274" s="117"/>
    </row>
    <row r="275" spans="1:21" ht="24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4"/>
      <c r="M275" s="4"/>
      <c r="N275" s="4"/>
      <c r="O275" s="4"/>
      <c r="P275" s="2"/>
      <c r="Q275" s="2"/>
      <c r="R275" s="117"/>
      <c r="S275" s="2"/>
      <c r="T275" s="2"/>
      <c r="U275" s="117"/>
    </row>
    <row r="276" spans="1:21" ht="24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4"/>
      <c r="M276" s="4"/>
      <c r="N276" s="4"/>
      <c r="O276" s="4"/>
      <c r="P276" s="2"/>
      <c r="Q276" s="2"/>
      <c r="R276" s="117"/>
      <c r="S276" s="2"/>
      <c r="T276" s="2"/>
      <c r="U276" s="117"/>
    </row>
    <row r="277" spans="1:21" ht="24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4"/>
      <c r="M277" s="4"/>
      <c r="N277" s="4"/>
      <c r="O277" s="4"/>
      <c r="P277" s="2"/>
      <c r="Q277" s="2"/>
      <c r="R277" s="117"/>
      <c r="S277" s="2"/>
      <c r="T277" s="2"/>
      <c r="U277" s="117"/>
    </row>
    <row r="278" spans="1:21" ht="24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4"/>
      <c r="M278" s="4"/>
      <c r="N278" s="4"/>
      <c r="O278" s="4"/>
      <c r="P278" s="2"/>
      <c r="Q278" s="2"/>
      <c r="R278" s="117"/>
      <c r="S278" s="2"/>
      <c r="T278" s="2"/>
      <c r="U278" s="117"/>
    </row>
    <row r="279" spans="1:21" ht="24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4"/>
      <c r="M279" s="4"/>
      <c r="N279" s="4"/>
      <c r="O279" s="4"/>
      <c r="P279" s="2"/>
      <c r="Q279" s="2"/>
      <c r="R279" s="117"/>
      <c r="S279" s="2"/>
      <c r="T279" s="2"/>
      <c r="U279" s="117"/>
    </row>
    <row r="280" spans="1:21" ht="24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4"/>
      <c r="M280" s="4"/>
      <c r="N280" s="4"/>
      <c r="O280" s="4"/>
      <c r="P280" s="2"/>
      <c r="Q280" s="2"/>
      <c r="R280" s="117"/>
      <c r="S280" s="2"/>
      <c r="T280" s="2"/>
      <c r="U280" s="117"/>
    </row>
    <row r="281" spans="1:21" ht="24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4"/>
      <c r="M281" s="4"/>
      <c r="N281" s="4"/>
      <c r="O281" s="4"/>
      <c r="P281" s="2"/>
      <c r="Q281" s="2"/>
      <c r="R281" s="117"/>
      <c r="S281" s="2"/>
      <c r="T281" s="2"/>
      <c r="U281" s="117"/>
    </row>
    <row r="282" spans="1:21" ht="24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4"/>
      <c r="M282" s="4"/>
      <c r="N282" s="4"/>
      <c r="O282" s="4"/>
      <c r="P282" s="2"/>
      <c r="Q282" s="2"/>
      <c r="R282" s="117"/>
      <c r="S282" s="2"/>
      <c r="T282" s="2"/>
      <c r="U282" s="117"/>
    </row>
    <row r="283" spans="1:21" ht="24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4"/>
      <c r="M283" s="4"/>
      <c r="N283" s="4"/>
      <c r="O283" s="4"/>
      <c r="P283" s="2"/>
      <c r="Q283" s="2"/>
      <c r="R283" s="117"/>
      <c r="S283" s="2"/>
      <c r="T283" s="2"/>
      <c r="U283" s="117"/>
    </row>
    <row r="284" spans="1:21" ht="24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4"/>
      <c r="M284" s="4"/>
      <c r="N284" s="4"/>
      <c r="O284" s="4"/>
      <c r="P284" s="2"/>
      <c r="Q284" s="2"/>
      <c r="R284" s="117"/>
      <c r="S284" s="2"/>
      <c r="T284" s="2"/>
      <c r="U284" s="117"/>
    </row>
    <row r="285" spans="1:21" ht="24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4"/>
      <c r="M285" s="4"/>
      <c r="N285" s="4"/>
      <c r="O285" s="4"/>
      <c r="P285" s="2"/>
      <c r="Q285" s="2"/>
      <c r="R285" s="117"/>
      <c r="S285" s="2"/>
      <c r="T285" s="2"/>
      <c r="U285" s="117"/>
    </row>
    <row r="286" spans="1:21" ht="24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4"/>
      <c r="M286" s="4"/>
      <c r="N286" s="4"/>
      <c r="O286" s="4"/>
      <c r="P286" s="2"/>
      <c r="Q286" s="2"/>
      <c r="R286" s="117"/>
      <c r="S286" s="2"/>
      <c r="T286" s="2"/>
      <c r="U286" s="117"/>
    </row>
    <row r="287" spans="1:21" ht="24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4"/>
      <c r="M287" s="4"/>
      <c r="N287" s="4"/>
      <c r="O287" s="4"/>
      <c r="P287" s="2"/>
      <c r="Q287" s="2"/>
      <c r="R287" s="117"/>
      <c r="S287" s="2"/>
      <c r="T287" s="2"/>
      <c r="U287" s="117"/>
    </row>
    <row r="288" spans="1:21" ht="24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4"/>
      <c r="M288" s="4"/>
      <c r="N288" s="4"/>
      <c r="O288" s="4"/>
      <c r="P288" s="2"/>
      <c r="Q288" s="2"/>
      <c r="R288" s="117"/>
      <c r="S288" s="2"/>
      <c r="T288" s="2"/>
      <c r="U288" s="117"/>
    </row>
    <row r="289" spans="1:21" ht="24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4"/>
      <c r="M289" s="4"/>
      <c r="N289" s="4"/>
      <c r="O289" s="4"/>
      <c r="P289" s="2"/>
      <c r="Q289" s="2"/>
      <c r="R289" s="117"/>
      <c r="S289" s="2"/>
      <c r="T289" s="2"/>
      <c r="U289" s="117"/>
    </row>
    <row r="290" spans="1:21" ht="24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4"/>
      <c r="M290" s="4"/>
      <c r="N290" s="4"/>
      <c r="O290" s="4"/>
      <c r="P290" s="2"/>
      <c r="Q290" s="2"/>
      <c r="R290" s="117"/>
      <c r="S290" s="2"/>
      <c r="T290" s="2"/>
      <c r="U290" s="117"/>
    </row>
    <row r="291" spans="1:21" ht="24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4"/>
      <c r="M291" s="4"/>
      <c r="N291" s="4"/>
      <c r="O291" s="4"/>
      <c r="P291" s="2"/>
      <c r="Q291" s="2"/>
      <c r="R291" s="117"/>
      <c r="S291" s="2"/>
      <c r="T291" s="2"/>
      <c r="U291" s="117"/>
    </row>
    <row r="292" spans="1:21" ht="24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4"/>
      <c r="M292" s="4"/>
      <c r="N292" s="4"/>
      <c r="O292" s="4"/>
      <c r="P292" s="2"/>
      <c r="Q292" s="2"/>
      <c r="R292" s="117"/>
      <c r="S292" s="2"/>
      <c r="T292" s="2"/>
      <c r="U292" s="117"/>
    </row>
    <row r="293" spans="1:21" ht="24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4"/>
      <c r="M293" s="4"/>
      <c r="N293" s="4"/>
      <c r="O293" s="4"/>
      <c r="P293" s="2"/>
      <c r="Q293" s="2"/>
      <c r="R293" s="117"/>
      <c r="S293" s="2"/>
      <c r="T293" s="2"/>
      <c r="U293" s="117"/>
    </row>
    <row r="294" spans="1:21" ht="24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4"/>
      <c r="M294" s="4"/>
      <c r="N294" s="4"/>
      <c r="O294" s="4"/>
      <c r="P294" s="2"/>
      <c r="Q294" s="2"/>
      <c r="R294" s="117"/>
      <c r="S294" s="2"/>
      <c r="T294" s="2"/>
      <c r="U294" s="117"/>
    </row>
    <row r="295" spans="1:21" ht="24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4"/>
      <c r="M295" s="4"/>
      <c r="N295" s="4"/>
      <c r="O295" s="4"/>
      <c r="P295" s="2"/>
      <c r="Q295" s="2"/>
      <c r="R295" s="117"/>
      <c r="S295" s="2"/>
      <c r="T295" s="2"/>
      <c r="U295" s="117"/>
    </row>
    <row r="296" spans="1:21" ht="24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4"/>
      <c r="M296" s="4"/>
      <c r="N296" s="4"/>
      <c r="O296" s="4"/>
      <c r="P296" s="2"/>
      <c r="Q296" s="2"/>
      <c r="R296" s="117"/>
      <c r="S296" s="2"/>
      <c r="T296" s="2"/>
      <c r="U296" s="117"/>
    </row>
    <row r="297" spans="1:21" ht="24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4"/>
      <c r="M297" s="4"/>
      <c r="N297" s="4"/>
      <c r="O297" s="4"/>
      <c r="P297" s="2"/>
      <c r="Q297" s="2"/>
      <c r="R297" s="117"/>
      <c r="S297" s="2"/>
      <c r="T297" s="2"/>
      <c r="U297" s="117"/>
    </row>
    <row r="298" spans="1:21" ht="24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4"/>
      <c r="M298" s="4"/>
      <c r="N298" s="4"/>
      <c r="O298" s="4"/>
      <c r="P298" s="2"/>
      <c r="Q298" s="2"/>
      <c r="R298" s="117"/>
      <c r="S298" s="2"/>
      <c r="T298" s="2"/>
      <c r="U298" s="117"/>
    </row>
    <row r="299" spans="1:21" ht="24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4"/>
      <c r="M299" s="4"/>
      <c r="N299" s="4"/>
      <c r="O299" s="4"/>
      <c r="P299" s="2"/>
      <c r="Q299" s="2"/>
      <c r="R299" s="117"/>
      <c r="S299" s="2"/>
      <c r="T299" s="2"/>
      <c r="U299" s="117"/>
    </row>
    <row r="300" spans="1:21" ht="24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4"/>
      <c r="M300" s="4"/>
      <c r="N300" s="4"/>
      <c r="O300" s="4"/>
      <c r="P300" s="2"/>
      <c r="Q300" s="2"/>
      <c r="R300" s="117"/>
      <c r="S300" s="2"/>
      <c r="T300" s="2"/>
      <c r="U300" s="117"/>
    </row>
    <row r="301" spans="1:21" ht="24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4"/>
      <c r="M301" s="4"/>
      <c r="N301" s="4"/>
      <c r="O301" s="4"/>
      <c r="P301" s="2"/>
      <c r="Q301" s="2"/>
      <c r="R301" s="117"/>
      <c r="S301" s="2"/>
      <c r="T301" s="2"/>
      <c r="U301" s="117"/>
    </row>
    <row r="302" spans="1:21" ht="24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4"/>
      <c r="M302" s="4"/>
      <c r="N302" s="4"/>
      <c r="O302" s="4"/>
      <c r="P302" s="2"/>
      <c r="Q302" s="2"/>
      <c r="R302" s="117"/>
      <c r="S302" s="2"/>
      <c r="T302" s="2"/>
      <c r="U302" s="117"/>
    </row>
    <row r="303" spans="1:21" ht="24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4"/>
      <c r="M303" s="4"/>
      <c r="N303" s="4"/>
      <c r="O303" s="4"/>
      <c r="P303" s="2"/>
      <c r="Q303" s="2"/>
      <c r="R303" s="117"/>
      <c r="S303" s="2"/>
      <c r="T303" s="2"/>
      <c r="U303" s="117"/>
    </row>
    <row r="304" spans="1:21" ht="24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4"/>
      <c r="M304" s="4"/>
      <c r="N304" s="4"/>
      <c r="O304" s="4"/>
      <c r="P304" s="2"/>
      <c r="Q304" s="2"/>
      <c r="R304" s="117"/>
      <c r="S304" s="2"/>
      <c r="T304" s="2"/>
      <c r="U304" s="117"/>
    </row>
    <row r="305" spans="1:21" ht="24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4"/>
      <c r="M305" s="4"/>
      <c r="N305" s="4"/>
      <c r="O305" s="4"/>
      <c r="P305" s="2"/>
      <c r="Q305" s="2"/>
      <c r="R305" s="117"/>
      <c r="S305" s="2"/>
      <c r="T305" s="2"/>
      <c r="U305" s="117"/>
    </row>
    <row r="306" spans="1:21" ht="24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4"/>
      <c r="M306" s="4"/>
      <c r="N306" s="4"/>
      <c r="O306" s="4"/>
      <c r="P306" s="2"/>
      <c r="Q306" s="2"/>
      <c r="R306" s="117"/>
      <c r="S306" s="2"/>
      <c r="T306" s="2"/>
      <c r="U306" s="117"/>
    </row>
    <row r="307" spans="1:21" ht="24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4"/>
      <c r="M307" s="4"/>
      <c r="N307" s="4"/>
      <c r="O307" s="4"/>
      <c r="P307" s="2"/>
      <c r="Q307" s="2"/>
      <c r="R307" s="117"/>
      <c r="S307" s="2"/>
      <c r="T307" s="2"/>
      <c r="U307" s="117"/>
    </row>
    <row r="308" spans="1:21" ht="24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4"/>
      <c r="M308" s="4"/>
      <c r="N308" s="4"/>
      <c r="O308" s="4"/>
      <c r="P308" s="2"/>
      <c r="Q308" s="2"/>
      <c r="R308" s="117"/>
      <c r="S308" s="2"/>
      <c r="T308" s="2"/>
      <c r="U308" s="117"/>
    </row>
    <row r="309" spans="1:21" ht="24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4"/>
      <c r="M309" s="4"/>
      <c r="N309" s="4"/>
      <c r="O309" s="4"/>
      <c r="P309" s="2"/>
      <c r="Q309" s="2"/>
      <c r="R309" s="117"/>
      <c r="S309" s="2"/>
      <c r="T309" s="2"/>
      <c r="U309" s="117"/>
    </row>
    <row r="310" spans="1:21" ht="24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4"/>
      <c r="M310" s="4"/>
      <c r="N310" s="4"/>
      <c r="O310" s="4"/>
      <c r="P310" s="2"/>
      <c r="Q310" s="2"/>
      <c r="R310" s="117"/>
      <c r="S310" s="2"/>
      <c r="T310" s="2"/>
      <c r="U310" s="117"/>
    </row>
    <row r="311" spans="1:21" ht="24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4"/>
      <c r="M311" s="4"/>
      <c r="N311" s="4"/>
      <c r="O311" s="4"/>
      <c r="P311" s="2"/>
      <c r="Q311" s="2"/>
      <c r="R311" s="117"/>
      <c r="S311" s="2"/>
      <c r="T311" s="2"/>
      <c r="U311" s="117"/>
    </row>
    <row r="312" spans="1:21" ht="24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4"/>
      <c r="M312" s="4"/>
      <c r="N312" s="4"/>
      <c r="O312" s="4"/>
      <c r="P312" s="2"/>
      <c r="Q312" s="2"/>
      <c r="R312" s="117"/>
      <c r="S312" s="2"/>
      <c r="T312" s="2"/>
      <c r="U312" s="117"/>
    </row>
    <row r="313" spans="1:21" ht="24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4"/>
      <c r="M313" s="4"/>
      <c r="N313" s="4"/>
      <c r="O313" s="4"/>
      <c r="P313" s="2"/>
      <c r="Q313" s="2"/>
      <c r="R313" s="117"/>
      <c r="S313" s="2"/>
      <c r="T313" s="2"/>
      <c r="U313" s="117"/>
    </row>
    <row r="314" spans="1:21" ht="24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4"/>
      <c r="M314" s="4"/>
      <c r="N314" s="4"/>
      <c r="O314" s="4"/>
      <c r="P314" s="2"/>
      <c r="Q314" s="2"/>
      <c r="R314" s="117"/>
      <c r="S314" s="2"/>
      <c r="T314" s="2"/>
      <c r="U314" s="117"/>
    </row>
    <row r="315" spans="1:21" ht="15.75" customHeight="1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5"/>
      <c r="M315" s="115"/>
      <c r="N315" s="115"/>
      <c r="O315" s="115"/>
      <c r="P315" s="114"/>
      <c r="Q315" s="114"/>
      <c r="R315" s="143"/>
      <c r="S315" s="114"/>
      <c r="T315" s="114"/>
      <c r="U315" s="143"/>
    </row>
    <row r="316" spans="1:21" ht="15.75" customHeight="1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5"/>
      <c r="M316" s="115"/>
      <c r="N316" s="115"/>
      <c r="O316" s="115"/>
      <c r="P316" s="114"/>
      <c r="Q316" s="114"/>
      <c r="R316" s="143"/>
      <c r="S316" s="114"/>
      <c r="T316" s="114"/>
      <c r="U316" s="143"/>
    </row>
    <row r="317" spans="1:21" ht="15.75" customHeight="1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5"/>
      <c r="M317" s="115"/>
      <c r="N317" s="115"/>
      <c r="O317" s="115"/>
      <c r="P317" s="114"/>
      <c r="Q317" s="114"/>
      <c r="R317" s="143"/>
      <c r="S317" s="114"/>
      <c r="T317" s="114"/>
      <c r="U317" s="143"/>
    </row>
    <row r="318" spans="1:21" ht="15.75" customHeight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5"/>
      <c r="M318" s="115"/>
      <c r="N318" s="115"/>
      <c r="O318" s="115"/>
      <c r="P318" s="114"/>
      <c r="Q318" s="114"/>
      <c r="R318" s="143"/>
      <c r="S318" s="114"/>
      <c r="T318" s="114"/>
      <c r="U318" s="143"/>
    </row>
    <row r="319" spans="1:21" ht="15.75" customHeight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5"/>
      <c r="M319" s="115"/>
      <c r="N319" s="115"/>
      <c r="O319" s="115"/>
      <c r="P319" s="114"/>
      <c r="Q319" s="114"/>
      <c r="R319" s="143"/>
      <c r="S319" s="114"/>
      <c r="T319" s="114"/>
      <c r="U319" s="143"/>
    </row>
    <row r="320" spans="1:21" ht="15.75" customHeight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5"/>
      <c r="M320" s="115"/>
      <c r="N320" s="115"/>
      <c r="O320" s="115"/>
      <c r="P320" s="114"/>
      <c r="Q320" s="114"/>
      <c r="R320" s="143"/>
      <c r="S320" s="114"/>
      <c r="T320" s="114"/>
      <c r="U320" s="143"/>
    </row>
    <row r="321" spans="1:21" ht="15.75" customHeight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5"/>
      <c r="M321" s="115"/>
      <c r="N321" s="115"/>
      <c r="O321" s="115"/>
      <c r="P321" s="114"/>
      <c r="Q321" s="114"/>
      <c r="R321" s="143"/>
      <c r="S321" s="114"/>
      <c r="T321" s="114"/>
      <c r="U321" s="143"/>
    </row>
    <row r="322" spans="1:21" ht="15.75" customHeight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5"/>
      <c r="M322" s="115"/>
      <c r="N322" s="115"/>
      <c r="O322" s="115"/>
      <c r="P322" s="114"/>
      <c r="Q322" s="114"/>
      <c r="R322" s="143"/>
      <c r="S322" s="114"/>
      <c r="T322" s="114"/>
      <c r="U322" s="143"/>
    </row>
    <row r="323" spans="1:21" ht="15.75" customHeight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5"/>
      <c r="M323" s="115"/>
      <c r="N323" s="115"/>
      <c r="O323" s="115"/>
      <c r="P323" s="114"/>
      <c r="Q323" s="114"/>
      <c r="R323" s="143"/>
      <c r="S323" s="114"/>
      <c r="T323" s="114"/>
      <c r="U323" s="143"/>
    </row>
    <row r="324" spans="1:21" ht="15.75" customHeight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5"/>
      <c r="M324" s="115"/>
      <c r="N324" s="115"/>
      <c r="O324" s="115"/>
      <c r="P324" s="114"/>
      <c r="Q324" s="114"/>
      <c r="R324" s="143"/>
      <c r="S324" s="114"/>
      <c r="T324" s="114"/>
      <c r="U324" s="143"/>
    </row>
    <row r="325" spans="1:21" ht="15.75" customHeight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5"/>
      <c r="M325" s="115"/>
      <c r="N325" s="115"/>
      <c r="O325" s="115"/>
      <c r="P325" s="114"/>
      <c r="Q325" s="114"/>
      <c r="R325" s="143"/>
      <c r="S325" s="114"/>
      <c r="T325" s="114"/>
      <c r="U325" s="143"/>
    </row>
    <row r="326" spans="1:21" ht="15.75" customHeight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5"/>
      <c r="M326" s="115"/>
      <c r="N326" s="115"/>
      <c r="O326" s="115"/>
      <c r="P326" s="114"/>
      <c r="Q326" s="114"/>
      <c r="R326" s="143"/>
      <c r="S326" s="114"/>
      <c r="T326" s="114"/>
      <c r="U326" s="143"/>
    </row>
    <row r="327" spans="1:21" ht="15.75" customHeight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5"/>
      <c r="M327" s="115"/>
      <c r="N327" s="115"/>
      <c r="O327" s="115"/>
      <c r="P327" s="114"/>
      <c r="Q327" s="114"/>
      <c r="R327" s="143"/>
      <c r="S327" s="114"/>
      <c r="T327" s="114"/>
      <c r="U327" s="143"/>
    </row>
    <row r="328" spans="1:21" ht="15.75" customHeight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5"/>
      <c r="M328" s="115"/>
      <c r="N328" s="115"/>
      <c r="O328" s="115"/>
      <c r="P328" s="114"/>
      <c r="Q328" s="114"/>
      <c r="R328" s="143"/>
      <c r="S328" s="114"/>
      <c r="T328" s="114"/>
      <c r="U328" s="143"/>
    </row>
    <row r="329" spans="1:21" ht="15.75" customHeight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5"/>
      <c r="M329" s="115"/>
      <c r="N329" s="115"/>
      <c r="O329" s="115"/>
      <c r="P329" s="114"/>
      <c r="Q329" s="114"/>
      <c r="R329" s="143"/>
      <c r="S329" s="114"/>
      <c r="T329" s="114"/>
      <c r="U329" s="143"/>
    </row>
    <row r="330" spans="1:21" ht="15.75" customHeight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5"/>
      <c r="M330" s="115"/>
      <c r="N330" s="115"/>
      <c r="O330" s="115"/>
      <c r="P330" s="114"/>
      <c r="Q330" s="114"/>
      <c r="R330" s="143"/>
      <c r="S330" s="114"/>
      <c r="T330" s="114"/>
      <c r="U330" s="143"/>
    </row>
    <row r="331" spans="1:21" ht="15.75" customHeight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5"/>
      <c r="M331" s="115"/>
      <c r="N331" s="115"/>
      <c r="O331" s="115"/>
      <c r="P331" s="114"/>
      <c r="Q331" s="114"/>
      <c r="R331" s="143"/>
      <c r="S331" s="114"/>
      <c r="T331" s="114"/>
      <c r="U331" s="143"/>
    </row>
    <row r="332" spans="1:21" ht="15.75" customHeight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5"/>
      <c r="M332" s="115"/>
      <c r="N332" s="115"/>
      <c r="O332" s="115"/>
      <c r="P332" s="114"/>
      <c r="Q332" s="114"/>
      <c r="R332" s="143"/>
      <c r="S332" s="114"/>
      <c r="T332" s="114"/>
      <c r="U332" s="143"/>
    </row>
    <row r="333" spans="1:21" ht="15.75" customHeight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5"/>
      <c r="M333" s="115"/>
      <c r="N333" s="115"/>
      <c r="O333" s="115"/>
      <c r="P333" s="114"/>
      <c r="Q333" s="114"/>
      <c r="R333" s="143"/>
      <c r="S333" s="114"/>
      <c r="T333" s="114"/>
      <c r="U333" s="143"/>
    </row>
    <row r="334" spans="1:21" ht="15.75" customHeight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5"/>
      <c r="M334" s="115"/>
      <c r="N334" s="115"/>
      <c r="O334" s="115"/>
      <c r="P334" s="114"/>
      <c r="Q334" s="114"/>
      <c r="R334" s="143"/>
      <c r="S334" s="114"/>
      <c r="T334" s="114"/>
      <c r="U334" s="143"/>
    </row>
    <row r="335" spans="1:21" ht="15.75" customHeight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5"/>
      <c r="M335" s="115"/>
      <c r="N335" s="115"/>
      <c r="O335" s="115"/>
      <c r="P335" s="114"/>
      <c r="Q335" s="114"/>
      <c r="R335" s="143"/>
      <c r="S335" s="114"/>
      <c r="T335" s="114"/>
      <c r="U335" s="143"/>
    </row>
    <row r="336" spans="1:21" ht="15.75" customHeight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5"/>
      <c r="M336" s="115"/>
      <c r="N336" s="115"/>
      <c r="O336" s="115"/>
      <c r="P336" s="114"/>
      <c r="Q336" s="114"/>
      <c r="R336" s="143"/>
      <c r="S336" s="114"/>
      <c r="T336" s="114"/>
      <c r="U336" s="143"/>
    </row>
    <row r="337" spans="1:21" ht="15.75" customHeight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5"/>
      <c r="M337" s="115"/>
      <c r="N337" s="115"/>
      <c r="O337" s="115"/>
      <c r="P337" s="114"/>
      <c r="Q337" s="114"/>
      <c r="R337" s="143"/>
      <c r="S337" s="114"/>
      <c r="T337" s="114"/>
      <c r="U337" s="143"/>
    </row>
    <row r="338" spans="1:21" ht="15.75" customHeight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5"/>
      <c r="M338" s="115"/>
      <c r="N338" s="115"/>
      <c r="O338" s="115"/>
      <c r="P338" s="114"/>
      <c r="Q338" s="114"/>
      <c r="R338" s="143"/>
      <c r="S338" s="114"/>
      <c r="T338" s="114"/>
      <c r="U338" s="143"/>
    </row>
    <row r="339" spans="1:21" ht="15.75" customHeight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5"/>
      <c r="M339" s="115"/>
      <c r="N339" s="115"/>
      <c r="O339" s="115"/>
      <c r="P339" s="114"/>
      <c r="Q339" s="114"/>
      <c r="R339" s="143"/>
      <c r="S339" s="114"/>
      <c r="T339" s="114"/>
      <c r="U339" s="143"/>
    </row>
    <row r="340" spans="1:21" ht="15.75" customHeight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5"/>
      <c r="M340" s="115"/>
      <c r="N340" s="115"/>
      <c r="O340" s="115"/>
      <c r="P340" s="114"/>
      <c r="Q340" s="114"/>
      <c r="R340" s="143"/>
      <c r="S340" s="114"/>
      <c r="T340" s="114"/>
      <c r="U340" s="143"/>
    </row>
    <row r="341" spans="1:21" ht="15.75" customHeight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5"/>
      <c r="M341" s="115"/>
      <c r="N341" s="115"/>
      <c r="O341" s="115"/>
      <c r="P341" s="114"/>
      <c r="Q341" s="114"/>
      <c r="R341" s="143"/>
      <c r="S341" s="114"/>
      <c r="T341" s="114"/>
      <c r="U341" s="143"/>
    </row>
    <row r="342" spans="1:21" ht="15.75" customHeight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5"/>
      <c r="M342" s="115"/>
      <c r="N342" s="115"/>
      <c r="O342" s="115"/>
      <c r="P342" s="114"/>
      <c r="Q342" s="114"/>
      <c r="R342" s="143"/>
      <c r="S342" s="114"/>
      <c r="T342" s="114"/>
      <c r="U342" s="143"/>
    </row>
    <row r="343" spans="1:21" ht="15.75" customHeight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5"/>
      <c r="M343" s="115"/>
      <c r="N343" s="115"/>
      <c r="O343" s="115"/>
      <c r="P343" s="114"/>
      <c r="Q343" s="114"/>
      <c r="R343" s="143"/>
      <c r="S343" s="114"/>
      <c r="T343" s="114"/>
      <c r="U343" s="143"/>
    </row>
    <row r="344" spans="1:21" ht="15.75" customHeight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5"/>
      <c r="M344" s="115"/>
      <c r="N344" s="115"/>
      <c r="O344" s="115"/>
      <c r="P344" s="114"/>
      <c r="Q344" s="114"/>
      <c r="R344" s="143"/>
      <c r="S344" s="114"/>
      <c r="T344" s="114"/>
      <c r="U344" s="143"/>
    </row>
    <row r="345" spans="1:21" ht="15.75" customHeight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5"/>
      <c r="M345" s="115"/>
      <c r="N345" s="115"/>
      <c r="O345" s="115"/>
      <c r="P345" s="114"/>
      <c r="Q345" s="114"/>
      <c r="R345" s="143"/>
      <c r="S345" s="114"/>
      <c r="T345" s="114"/>
      <c r="U345" s="143"/>
    </row>
    <row r="346" spans="1:21" ht="15.75" customHeight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5"/>
      <c r="M346" s="115"/>
      <c r="N346" s="115"/>
      <c r="O346" s="115"/>
      <c r="P346" s="114"/>
      <c r="Q346" s="114"/>
      <c r="R346" s="143"/>
      <c r="S346" s="114"/>
      <c r="T346" s="114"/>
      <c r="U346" s="143"/>
    </row>
    <row r="347" spans="1:21" ht="15.75" customHeight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5"/>
      <c r="M347" s="115"/>
      <c r="N347" s="115"/>
      <c r="O347" s="115"/>
      <c r="P347" s="114"/>
      <c r="Q347" s="114"/>
      <c r="R347" s="143"/>
      <c r="S347" s="114"/>
      <c r="T347" s="114"/>
      <c r="U347" s="143"/>
    </row>
    <row r="348" spans="1:21" ht="15.75" customHeight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5"/>
      <c r="M348" s="115"/>
      <c r="N348" s="115"/>
      <c r="O348" s="115"/>
      <c r="P348" s="114"/>
      <c r="Q348" s="114"/>
      <c r="R348" s="143"/>
      <c r="S348" s="114"/>
      <c r="T348" s="114"/>
      <c r="U348" s="143"/>
    </row>
    <row r="349" spans="1:21" ht="15.75" customHeight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5"/>
      <c r="M349" s="115"/>
      <c r="N349" s="115"/>
      <c r="O349" s="115"/>
      <c r="P349" s="114"/>
      <c r="Q349" s="114"/>
      <c r="R349" s="143"/>
      <c r="S349" s="114"/>
      <c r="T349" s="114"/>
      <c r="U349" s="143"/>
    </row>
    <row r="350" spans="1:21" ht="15.75" customHeight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5"/>
      <c r="M350" s="115"/>
      <c r="N350" s="115"/>
      <c r="O350" s="115"/>
      <c r="P350" s="114"/>
      <c r="Q350" s="114"/>
      <c r="R350" s="143"/>
      <c r="S350" s="114"/>
      <c r="T350" s="114"/>
      <c r="U350" s="143"/>
    </row>
    <row r="351" spans="1:21" ht="15.75" customHeight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5"/>
      <c r="M351" s="115"/>
      <c r="N351" s="115"/>
      <c r="O351" s="115"/>
      <c r="P351" s="114"/>
      <c r="Q351" s="114"/>
      <c r="R351" s="143"/>
      <c r="S351" s="114"/>
      <c r="T351" s="114"/>
      <c r="U351" s="143"/>
    </row>
    <row r="352" spans="1:21" ht="15.75" customHeight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5"/>
      <c r="M352" s="115"/>
      <c r="N352" s="115"/>
      <c r="O352" s="115"/>
      <c r="P352" s="114"/>
      <c r="Q352" s="114"/>
      <c r="R352" s="143"/>
      <c r="S352" s="114"/>
      <c r="T352" s="114"/>
      <c r="U352" s="143"/>
    </row>
    <row r="353" spans="1:21" ht="15.75" customHeight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5"/>
      <c r="M353" s="115"/>
      <c r="N353" s="115"/>
      <c r="O353" s="115"/>
      <c r="P353" s="114"/>
      <c r="Q353" s="114"/>
      <c r="R353" s="143"/>
      <c r="S353" s="114"/>
      <c r="T353" s="114"/>
      <c r="U353" s="143"/>
    </row>
    <row r="354" spans="1:21" ht="15.75" customHeight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5"/>
      <c r="M354" s="115"/>
      <c r="N354" s="115"/>
      <c r="O354" s="115"/>
      <c r="P354" s="114"/>
      <c r="Q354" s="114"/>
      <c r="R354" s="143"/>
      <c r="S354" s="114"/>
      <c r="T354" s="114"/>
      <c r="U354" s="143"/>
    </row>
    <row r="355" spans="1:21" ht="15.75" customHeight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5"/>
      <c r="M355" s="115"/>
      <c r="N355" s="115"/>
      <c r="O355" s="115"/>
      <c r="P355" s="114"/>
      <c r="Q355" s="114"/>
      <c r="R355" s="143"/>
      <c r="S355" s="114"/>
      <c r="T355" s="114"/>
      <c r="U355" s="143"/>
    </row>
    <row r="356" spans="1:21" ht="15.75" customHeight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5"/>
      <c r="M356" s="115"/>
      <c r="N356" s="115"/>
      <c r="O356" s="115"/>
      <c r="P356" s="114"/>
      <c r="Q356" s="114"/>
      <c r="R356" s="143"/>
      <c r="S356" s="114"/>
      <c r="T356" s="114"/>
      <c r="U356" s="143"/>
    </row>
    <row r="357" spans="1:21" ht="15.75" customHeight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5"/>
      <c r="M357" s="115"/>
      <c r="N357" s="115"/>
      <c r="O357" s="115"/>
      <c r="P357" s="114"/>
      <c r="Q357" s="114"/>
      <c r="R357" s="143"/>
      <c r="S357" s="114"/>
      <c r="T357" s="114"/>
      <c r="U357" s="143"/>
    </row>
    <row r="358" spans="1:21" ht="15.75" customHeight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5"/>
      <c r="M358" s="115"/>
      <c r="N358" s="115"/>
      <c r="O358" s="115"/>
      <c r="P358" s="114"/>
      <c r="Q358" s="114"/>
      <c r="R358" s="143"/>
      <c r="S358" s="114"/>
      <c r="T358" s="114"/>
      <c r="U358" s="143"/>
    </row>
    <row r="359" spans="1:21" ht="15.75" customHeight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5"/>
      <c r="M359" s="115"/>
      <c r="N359" s="115"/>
      <c r="O359" s="115"/>
      <c r="P359" s="114"/>
      <c r="Q359" s="114"/>
      <c r="R359" s="143"/>
      <c r="S359" s="114"/>
      <c r="T359" s="114"/>
      <c r="U359" s="143"/>
    </row>
    <row r="360" spans="1:21" ht="15.75" customHeight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5"/>
      <c r="M360" s="115"/>
      <c r="N360" s="115"/>
      <c r="O360" s="115"/>
      <c r="P360" s="114"/>
      <c r="Q360" s="114"/>
      <c r="R360" s="143"/>
      <c r="S360" s="114"/>
      <c r="T360" s="114"/>
      <c r="U360" s="143"/>
    </row>
    <row r="361" spans="1:21" ht="15.75" customHeight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5"/>
      <c r="M361" s="115"/>
      <c r="N361" s="115"/>
      <c r="O361" s="115"/>
      <c r="P361" s="114"/>
      <c r="Q361" s="114"/>
      <c r="R361" s="143"/>
      <c r="S361" s="114"/>
      <c r="T361" s="114"/>
      <c r="U361" s="143"/>
    </row>
    <row r="362" spans="1:21" ht="15.75" customHeight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5"/>
      <c r="M362" s="115"/>
      <c r="N362" s="115"/>
      <c r="O362" s="115"/>
      <c r="P362" s="114"/>
      <c r="Q362" s="114"/>
      <c r="R362" s="143"/>
      <c r="S362" s="114"/>
      <c r="T362" s="114"/>
      <c r="U362" s="143"/>
    </row>
    <row r="363" spans="1:21" ht="15.75" customHeight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5"/>
      <c r="M363" s="115"/>
      <c r="N363" s="115"/>
      <c r="O363" s="115"/>
      <c r="P363" s="114"/>
      <c r="Q363" s="114"/>
      <c r="R363" s="143"/>
      <c r="S363" s="114"/>
      <c r="T363" s="114"/>
      <c r="U363" s="143"/>
    </row>
    <row r="364" spans="1:21" ht="15.75" customHeight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5"/>
      <c r="M364" s="115"/>
      <c r="N364" s="115"/>
      <c r="O364" s="115"/>
      <c r="P364" s="114"/>
      <c r="Q364" s="114"/>
      <c r="R364" s="143"/>
      <c r="S364" s="114"/>
      <c r="T364" s="114"/>
      <c r="U364" s="143"/>
    </row>
    <row r="365" spans="1:21" ht="15.75" customHeight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5"/>
      <c r="M365" s="115"/>
      <c r="N365" s="115"/>
      <c r="O365" s="115"/>
      <c r="P365" s="114"/>
      <c r="Q365" s="114"/>
      <c r="R365" s="143"/>
      <c r="S365" s="114"/>
      <c r="T365" s="114"/>
      <c r="U365" s="143"/>
    </row>
    <row r="366" spans="1:21" ht="15.75" customHeight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5"/>
      <c r="M366" s="115"/>
      <c r="N366" s="115"/>
      <c r="O366" s="115"/>
      <c r="P366" s="114"/>
      <c r="Q366" s="114"/>
      <c r="R366" s="143"/>
      <c r="S366" s="114"/>
      <c r="T366" s="114"/>
      <c r="U366" s="143"/>
    </row>
    <row r="367" spans="1:21" ht="15.75" customHeight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5"/>
      <c r="M367" s="115"/>
      <c r="N367" s="115"/>
      <c r="O367" s="115"/>
      <c r="P367" s="114"/>
      <c r="Q367" s="114"/>
      <c r="R367" s="143"/>
      <c r="S367" s="114"/>
      <c r="T367" s="114"/>
      <c r="U367" s="143"/>
    </row>
    <row r="368" spans="1:21" ht="15.75" customHeight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5"/>
      <c r="M368" s="115"/>
      <c r="N368" s="115"/>
      <c r="O368" s="115"/>
      <c r="P368" s="114"/>
      <c r="Q368" s="114"/>
      <c r="R368" s="143"/>
      <c r="S368" s="114"/>
      <c r="T368" s="114"/>
      <c r="U368" s="143"/>
    </row>
    <row r="369" spans="1:21" ht="15.75" customHeight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5"/>
      <c r="M369" s="115"/>
      <c r="N369" s="115"/>
      <c r="O369" s="115"/>
      <c r="P369" s="114"/>
      <c r="Q369" s="114"/>
      <c r="R369" s="143"/>
      <c r="S369" s="114"/>
      <c r="T369" s="114"/>
      <c r="U369" s="143"/>
    </row>
    <row r="370" spans="1:21" ht="15.75" customHeight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5"/>
      <c r="M370" s="115"/>
      <c r="N370" s="115"/>
      <c r="O370" s="115"/>
      <c r="P370" s="114"/>
      <c r="Q370" s="114"/>
      <c r="R370" s="143"/>
      <c r="S370" s="114"/>
      <c r="T370" s="114"/>
      <c r="U370" s="143"/>
    </row>
    <row r="371" spans="1:21" ht="15.75" customHeight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5"/>
      <c r="M371" s="115"/>
      <c r="N371" s="115"/>
      <c r="O371" s="115"/>
      <c r="P371" s="114"/>
      <c r="Q371" s="114"/>
      <c r="R371" s="143"/>
      <c r="S371" s="114"/>
      <c r="T371" s="114"/>
      <c r="U371" s="143"/>
    </row>
    <row r="372" spans="1:21" ht="15.75" customHeight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5"/>
      <c r="M372" s="115"/>
      <c r="N372" s="115"/>
      <c r="O372" s="115"/>
      <c r="P372" s="114"/>
      <c r="Q372" s="114"/>
      <c r="R372" s="143"/>
      <c r="S372" s="114"/>
      <c r="T372" s="114"/>
      <c r="U372" s="143"/>
    </row>
    <row r="373" spans="1:21" ht="15.75" customHeight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5"/>
      <c r="M373" s="115"/>
      <c r="N373" s="115"/>
      <c r="O373" s="115"/>
      <c r="P373" s="114"/>
      <c r="Q373" s="114"/>
      <c r="R373" s="143"/>
      <c r="S373" s="114"/>
      <c r="T373" s="114"/>
      <c r="U373" s="143"/>
    </row>
    <row r="374" spans="1:21" ht="15.75" customHeight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5"/>
      <c r="M374" s="115"/>
      <c r="N374" s="115"/>
      <c r="O374" s="115"/>
      <c r="P374" s="114"/>
      <c r="Q374" s="114"/>
      <c r="R374" s="143"/>
      <c r="S374" s="114"/>
      <c r="T374" s="114"/>
      <c r="U374" s="143"/>
    </row>
    <row r="375" spans="1:21" ht="15.75" customHeight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5"/>
      <c r="M375" s="115"/>
      <c r="N375" s="115"/>
      <c r="O375" s="115"/>
      <c r="P375" s="114"/>
      <c r="Q375" s="114"/>
      <c r="R375" s="143"/>
      <c r="S375" s="114"/>
      <c r="T375" s="114"/>
      <c r="U375" s="143"/>
    </row>
    <row r="376" spans="1:21" ht="15.75" customHeight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5"/>
      <c r="M376" s="115"/>
      <c r="N376" s="115"/>
      <c r="O376" s="115"/>
      <c r="P376" s="114"/>
      <c r="Q376" s="114"/>
      <c r="R376" s="143"/>
      <c r="S376" s="114"/>
      <c r="T376" s="114"/>
      <c r="U376" s="143"/>
    </row>
    <row r="377" spans="1:21" ht="15.75" customHeight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5"/>
      <c r="M377" s="115"/>
      <c r="N377" s="115"/>
      <c r="O377" s="115"/>
      <c r="P377" s="114"/>
      <c r="Q377" s="114"/>
      <c r="R377" s="143"/>
      <c r="S377" s="114"/>
      <c r="T377" s="114"/>
      <c r="U377" s="143"/>
    </row>
    <row r="378" spans="1:21" ht="15.75" customHeight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5"/>
      <c r="M378" s="115"/>
      <c r="N378" s="115"/>
      <c r="O378" s="115"/>
      <c r="P378" s="114"/>
      <c r="Q378" s="114"/>
      <c r="R378" s="143"/>
      <c r="S378" s="114"/>
      <c r="T378" s="114"/>
      <c r="U378" s="143"/>
    </row>
    <row r="379" spans="1:21" ht="15.75" customHeight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5"/>
      <c r="M379" s="115"/>
      <c r="N379" s="115"/>
      <c r="O379" s="115"/>
      <c r="P379" s="114"/>
      <c r="Q379" s="114"/>
      <c r="R379" s="143"/>
      <c r="S379" s="114"/>
      <c r="T379" s="114"/>
      <c r="U379" s="143"/>
    </row>
    <row r="380" spans="1:21" ht="15.75" customHeight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5"/>
      <c r="M380" s="115"/>
      <c r="N380" s="115"/>
      <c r="O380" s="115"/>
      <c r="P380" s="114"/>
      <c r="Q380" s="114"/>
      <c r="R380" s="143"/>
      <c r="S380" s="114"/>
      <c r="T380" s="114"/>
      <c r="U380" s="143"/>
    </row>
    <row r="381" spans="1:21" ht="15.75" customHeight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5"/>
      <c r="M381" s="115"/>
      <c r="N381" s="115"/>
      <c r="O381" s="115"/>
      <c r="P381" s="114"/>
      <c r="Q381" s="114"/>
      <c r="R381" s="143"/>
      <c r="S381" s="114"/>
      <c r="T381" s="114"/>
      <c r="U381" s="143"/>
    </row>
    <row r="382" spans="1:21" ht="15.75" customHeight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5"/>
      <c r="M382" s="115"/>
      <c r="N382" s="115"/>
      <c r="O382" s="115"/>
      <c r="P382" s="114"/>
      <c r="Q382" s="114"/>
      <c r="R382" s="143"/>
      <c r="S382" s="114"/>
      <c r="T382" s="114"/>
      <c r="U382" s="143"/>
    </row>
    <row r="383" spans="1:21" ht="15.75" customHeight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5"/>
      <c r="M383" s="115"/>
      <c r="N383" s="115"/>
      <c r="O383" s="115"/>
      <c r="P383" s="114"/>
      <c r="Q383" s="114"/>
      <c r="R383" s="143"/>
      <c r="S383" s="114"/>
      <c r="T383" s="114"/>
      <c r="U383" s="143"/>
    </row>
    <row r="384" spans="1:21" ht="15.75" customHeight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5"/>
      <c r="M384" s="115"/>
      <c r="N384" s="115"/>
      <c r="O384" s="115"/>
      <c r="P384" s="114"/>
      <c r="Q384" s="114"/>
      <c r="R384" s="143"/>
      <c r="S384" s="114"/>
      <c r="T384" s="114"/>
      <c r="U384" s="143"/>
    </row>
    <row r="385" spans="1:21" ht="15.75" customHeight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5"/>
      <c r="M385" s="115"/>
      <c r="N385" s="115"/>
      <c r="O385" s="115"/>
      <c r="P385" s="114"/>
      <c r="Q385" s="114"/>
      <c r="R385" s="143"/>
      <c r="S385" s="114"/>
      <c r="T385" s="114"/>
      <c r="U385" s="143"/>
    </row>
    <row r="386" spans="1:21" ht="15.75" customHeight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5"/>
      <c r="M386" s="115"/>
      <c r="N386" s="115"/>
      <c r="O386" s="115"/>
      <c r="P386" s="114"/>
      <c r="Q386" s="114"/>
      <c r="R386" s="143"/>
      <c r="S386" s="114"/>
      <c r="T386" s="114"/>
      <c r="U386" s="143"/>
    </row>
    <row r="387" spans="1:21" ht="15.75" customHeight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5"/>
      <c r="M387" s="115"/>
      <c r="N387" s="115"/>
      <c r="O387" s="115"/>
      <c r="P387" s="114"/>
      <c r="Q387" s="114"/>
      <c r="R387" s="143"/>
      <c r="S387" s="114"/>
      <c r="T387" s="114"/>
      <c r="U387" s="143"/>
    </row>
    <row r="388" spans="1:21" ht="15.75" customHeight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5"/>
      <c r="M388" s="115"/>
      <c r="N388" s="115"/>
      <c r="O388" s="115"/>
      <c r="P388" s="114"/>
      <c r="Q388" s="114"/>
      <c r="R388" s="143"/>
      <c r="S388" s="114"/>
      <c r="T388" s="114"/>
      <c r="U388" s="143"/>
    </row>
    <row r="389" spans="1:21" ht="15.75" customHeight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5"/>
      <c r="M389" s="115"/>
      <c r="N389" s="115"/>
      <c r="O389" s="115"/>
      <c r="P389" s="114"/>
      <c r="Q389" s="114"/>
      <c r="R389" s="143"/>
      <c r="S389" s="114"/>
      <c r="T389" s="114"/>
      <c r="U389" s="143"/>
    </row>
    <row r="390" spans="1:21" ht="15.75" customHeight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5"/>
      <c r="M390" s="115"/>
      <c r="N390" s="115"/>
      <c r="O390" s="115"/>
      <c r="P390" s="114"/>
      <c r="Q390" s="114"/>
      <c r="R390" s="143"/>
      <c r="S390" s="114"/>
      <c r="T390" s="114"/>
      <c r="U390" s="143"/>
    </row>
    <row r="391" spans="1:21" ht="15.75" customHeight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5"/>
      <c r="M391" s="115"/>
      <c r="N391" s="115"/>
      <c r="O391" s="115"/>
      <c r="P391" s="114"/>
      <c r="Q391" s="114"/>
      <c r="R391" s="143"/>
      <c r="S391" s="114"/>
      <c r="T391" s="114"/>
      <c r="U391" s="143"/>
    </row>
    <row r="392" spans="1:21" ht="15.75" customHeight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5"/>
      <c r="M392" s="115"/>
      <c r="N392" s="115"/>
      <c r="O392" s="115"/>
      <c r="P392" s="114"/>
      <c r="Q392" s="114"/>
      <c r="R392" s="143"/>
      <c r="S392" s="114"/>
      <c r="T392" s="114"/>
      <c r="U392" s="143"/>
    </row>
    <row r="393" spans="1:21" ht="15.75" customHeight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5"/>
      <c r="M393" s="115"/>
      <c r="N393" s="115"/>
      <c r="O393" s="115"/>
      <c r="P393" s="114"/>
      <c r="Q393" s="114"/>
      <c r="R393" s="143"/>
      <c r="S393" s="114"/>
      <c r="T393" s="114"/>
      <c r="U393" s="143"/>
    </row>
    <row r="394" spans="1:21" ht="15.75" customHeight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5"/>
      <c r="M394" s="115"/>
      <c r="N394" s="115"/>
      <c r="O394" s="115"/>
      <c r="P394" s="114"/>
      <c r="Q394" s="114"/>
      <c r="R394" s="143"/>
      <c r="S394" s="114"/>
      <c r="T394" s="114"/>
      <c r="U394" s="143"/>
    </row>
    <row r="395" spans="1:21" ht="15.75" customHeight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5"/>
      <c r="M395" s="115"/>
      <c r="N395" s="115"/>
      <c r="O395" s="115"/>
      <c r="P395" s="114"/>
      <c r="Q395" s="114"/>
      <c r="R395" s="143"/>
      <c r="S395" s="114"/>
      <c r="T395" s="114"/>
      <c r="U395" s="143"/>
    </row>
    <row r="396" spans="1:21" ht="15.75" customHeight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5"/>
      <c r="M396" s="115"/>
      <c r="N396" s="115"/>
      <c r="O396" s="115"/>
      <c r="P396" s="114"/>
      <c r="Q396" s="114"/>
      <c r="R396" s="143"/>
      <c r="S396" s="114"/>
      <c r="T396" s="114"/>
      <c r="U396" s="143"/>
    </row>
    <row r="397" spans="1:21" ht="15.75" customHeight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5"/>
      <c r="M397" s="115"/>
      <c r="N397" s="115"/>
      <c r="O397" s="115"/>
      <c r="P397" s="114"/>
      <c r="Q397" s="114"/>
      <c r="R397" s="143"/>
      <c r="S397" s="114"/>
      <c r="T397" s="114"/>
      <c r="U397" s="143"/>
    </row>
    <row r="398" spans="1:21" ht="15.75" customHeight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5"/>
      <c r="M398" s="115"/>
      <c r="N398" s="115"/>
      <c r="O398" s="115"/>
      <c r="P398" s="114"/>
      <c r="Q398" s="114"/>
      <c r="R398" s="143"/>
      <c r="S398" s="114"/>
      <c r="T398" s="114"/>
      <c r="U398" s="143"/>
    </row>
    <row r="399" spans="1:21" ht="15.75" customHeight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5"/>
      <c r="M399" s="115"/>
      <c r="N399" s="115"/>
      <c r="O399" s="115"/>
      <c r="P399" s="114"/>
      <c r="Q399" s="114"/>
      <c r="R399" s="143"/>
      <c r="S399" s="114"/>
      <c r="T399" s="114"/>
      <c r="U399" s="143"/>
    </row>
    <row r="400" spans="1:21" ht="15.75" customHeight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5"/>
      <c r="M400" s="115"/>
      <c r="N400" s="115"/>
      <c r="O400" s="115"/>
      <c r="P400" s="114"/>
      <c r="Q400" s="114"/>
      <c r="R400" s="143"/>
      <c r="S400" s="114"/>
      <c r="T400" s="114"/>
      <c r="U400" s="143"/>
    </row>
    <row r="401" spans="1:21" ht="15.75" customHeight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5"/>
      <c r="M401" s="115"/>
      <c r="N401" s="115"/>
      <c r="O401" s="115"/>
      <c r="P401" s="114"/>
      <c r="Q401" s="114"/>
      <c r="R401" s="143"/>
      <c r="S401" s="114"/>
      <c r="T401" s="114"/>
      <c r="U401" s="143"/>
    </row>
    <row r="402" spans="1:21" ht="15.75" customHeight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5"/>
      <c r="M402" s="115"/>
      <c r="N402" s="115"/>
      <c r="O402" s="115"/>
      <c r="P402" s="114"/>
      <c r="Q402" s="114"/>
      <c r="R402" s="143"/>
      <c r="S402" s="114"/>
      <c r="T402" s="114"/>
      <c r="U402" s="143"/>
    </row>
    <row r="403" spans="1:21" ht="15.75" customHeight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5"/>
      <c r="M403" s="115"/>
      <c r="N403" s="115"/>
      <c r="O403" s="115"/>
      <c r="P403" s="114"/>
      <c r="Q403" s="114"/>
      <c r="R403" s="143"/>
      <c r="S403" s="114"/>
      <c r="T403" s="114"/>
      <c r="U403" s="143"/>
    </row>
    <row r="404" spans="1:21" ht="15.75" customHeight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5"/>
      <c r="M404" s="115"/>
      <c r="N404" s="115"/>
      <c r="O404" s="115"/>
      <c r="P404" s="114"/>
      <c r="Q404" s="114"/>
      <c r="R404" s="143"/>
      <c r="S404" s="114"/>
      <c r="T404" s="114"/>
      <c r="U404" s="143"/>
    </row>
    <row r="405" spans="1:21" ht="15.75" customHeight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5"/>
      <c r="M405" s="115"/>
      <c r="N405" s="115"/>
      <c r="O405" s="115"/>
      <c r="P405" s="114"/>
      <c r="Q405" s="114"/>
      <c r="R405" s="143"/>
      <c r="S405" s="114"/>
      <c r="T405" s="114"/>
      <c r="U405" s="143"/>
    </row>
    <row r="406" spans="1:21" ht="15.75" customHeight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5"/>
      <c r="M406" s="115"/>
      <c r="N406" s="115"/>
      <c r="O406" s="115"/>
      <c r="P406" s="114"/>
      <c r="Q406" s="114"/>
      <c r="R406" s="143"/>
      <c r="S406" s="114"/>
      <c r="T406" s="114"/>
      <c r="U406" s="143"/>
    </row>
    <row r="407" spans="1:21" ht="15.75" customHeight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5"/>
      <c r="M407" s="115"/>
      <c r="N407" s="115"/>
      <c r="O407" s="115"/>
      <c r="P407" s="114"/>
      <c r="Q407" s="114"/>
      <c r="R407" s="143"/>
      <c r="S407" s="114"/>
      <c r="T407" s="114"/>
      <c r="U407" s="143"/>
    </row>
    <row r="408" spans="1:21" ht="15.75" customHeight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5"/>
      <c r="M408" s="115"/>
      <c r="N408" s="115"/>
      <c r="O408" s="115"/>
      <c r="P408" s="114"/>
      <c r="Q408" s="114"/>
      <c r="R408" s="143"/>
      <c r="S408" s="114"/>
      <c r="T408" s="114"/>
      <c r="U408" s="143"/>
    </row>
    <row r="409" spans="1:21" ht="15.75" customHeight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5"/>
      <c r="M409" s="115"/>
      <c r="N409" s="115"/>
      <c r="O409" s="115"/>
      <c r="P409" s="114"/>
      <c r="Q409" s="114"/>
      <c r="R409" s="143"/>
      <c r="S409" s="114"/>
      <c r="T409" s="114"/>
      <c r="U409" s="143"/>
    </row>
    <row r="410" spans="1:21" ht="15.75" customHeight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5"/>
      <c r="M410" s="115"/>
      <c r="N410" s="115"/>
      <c r="O410" s="115"/>
      <c r="P410" s="114"/>
      <c r="Q410" s="114"/>
      <c r="R410" s="143"/>
      <c r="S410" s="114"/>
      <c r="T410" s="114"/>
      <c r="U410" s="143"/>
    </row>
    <row r="411" spans="1:21" ht="15.75" customHeight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5"/>
      <c r="M411" s="115"/>
      <c r="N411" s="115"/>
      <c r="O411" s="115"/>
      <c r="P411" s="114"/>
      <c r="Q411" s="114"/>
      <c r="R411" s="143"/>
      <c r="S411" s="114"/>
      <c r="T411" s="114"/>
      <c r="U411" s="143"/>
    </row>
    <row r="412" spans="1:21" ht="15.75" customHeight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5"/>
      <c r="M412" s="115"/>
      <c r="N412" s="115"/>
      <c r="O412" s="115"/>
      <c r="P412" s="114"/>
      <c r="Q412" s="114"/>
      <c r="R412" s="143"/>
      <c r="S412" s="114"/>
      <c r="T412" s="114"/>
      <c r="U412" s="143"/>
    </row>
    <row r="413" spans="1:21" ht="15.75" customHeight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5"/>
      <c r="M413" s="115"/>
      <c r="N413" s="115"/>
      <c r="O413" s="115"/>
      <c r="P413" s="114"/>
      <c r="Q413" s="114"/>
      <c r="R413" s="143"/>
      <c r="S413" s="114"/>
      <c r="T413" s="114"/>
      <c r="U413" s="143"/>
    </row>
    <row r="414" spans="1:21" ht="15.75" customHeight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5"/>
      <c r="M414" s="115"/>
      <c r="N414" s="115"/>
      <c r="O414" s="115"/>
      <c r="P414" s="114"/>
      <c r="Q414" s="114"/>
      <c r="R414" s="143"/>
      <c r="S414" s="114"/>
      <c r="T414" s="114"/>
      <c r="U414" s="143"/>
    </row>
    <row r="415" spans="1:21" ht="15.75" customHeight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5"/>
      <c r="M415" s="115"/>
      <c r="N415" s="115"/>
      <c r="O415" s="115"/>
      <c r="P415" s="114"/>
      <c r="Q415" s="114"/>
      <c r="R415" s="143"/>
      <c r="S415" s="114"/>
      <c r="T415" s="114"/>
      <c r="U415" s="143"/>
    </row>
    <row r="416" spans="1:21" ht="15.75" customHeight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5"/>
      <c r="M416" s="115"/>
      <c r="N416" s="115"/>
      <c r="O416" s="115"/>
      <c r="P416" s="114"/>
      <c r="Q416" s="114"/>
      <c r="R416" s="143"/>
      <c r="S416" s="114"/>
      <c r="T416" s="114"/>
      <c r="U416" s="143"/>
    </row>
    <row r="417" spans="1:21" ht="15.75" customHeight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5"/>
      <c r="M417" s="115"/>
      <c r="N417" s="115"/>
      <c r="O417" s="115"/>
      <c r="P417" s="114"/>
      <c r="Q417" s="114"/>
      <c r="R417" s="143"/>
      <c r="S417" s="114"/>
      <c r="T417" s="114"/>
      <c r="U417" s="143"/>
    </row>
    <row r="418" spans="1:21" ht="15.75" customHeight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5"/>
      <c r="M418" s="115"/>
      <c r="N418" s="115"/>
      <c r="O418" s="115"/>
      <c r="P418" s="114"/>
      <c r="Q418" s="114"/>
      <c r="R418" s="143"/>
      <c r="S418" s="114"/>
      <c r="T418" s="114"/>
      <c r="U418" s="143"/>
    </row>
    <row r="419" spans="1:21" ht="15.75" customHeight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5"/>
      <c r="M419" s="115"/>
      <c r="N419" s="115"/>
      <c r="O419" s="115"/>
      <c r="P419" s="114"/>
      <c r="Q419" s="114"/>
      <c r="R419" s="143"/>
      <c r="S419" s="114"/>
      <c r="T419" s="114"/>
      <c r="U419" s="143"/>
    </row>
    <row r="420" spans="1:21" ht="15.75" customHeight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5"/>
      <c r="M420" s="115"/>
      <c r="N420" s="115"/>
      <c r="O420" s="115"/>
      <c r="P420" s="114"/>
      <c r="Q420" s="114"/>
      <c r="R420" s="143"/>
      <c r="S420" s="114"/>
      <c r="T420" s="114"/>
      <c r="U420" s="143"/>
    </row>
    <row r="421" spans="1:21" ht="15.75" customHeight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5"/>
      <c r="M421" s="115"/>
      <c r="N421" s="115"/>
      <c r="O421" s="115"/>
      <c r="P421" s="114"/>
      <c r="Q421" s="114"/>
      <c r="R421" s="143"/>
      <c r="S421" s="114"/>
      <c r="T421" s="114"/>
      <c r="U421" s="143"/>
    </row>
    <row r="422" spans="1:21" ht="15.75" customHeight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5"/>
      <c r="M422" s="115"/>
      <c r="N422" s="115"/>
      <c r="O422" s="115"/>
      <c r="P422" s="114"/>
      <c r="Q422" s="114"/>
      <c r="R422" s="143"/>
      <c r="S422" s="114"/>
      <c r="T422" s="114"/>
      <c r="U422" s="143"/>
    </row>
    <row r="423" spans="1:21" ht="15.75" customHeight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5"/>
      <c r="M423" s="115"/>
      <c r="N423" s="115"/>
      <c r="O423" s="115"/>
      <c r="P423" s="114"/>
      <c r="Q423" s="114"/>
      <c r="R423" s="143"/>
      <c r="S423" s="114"/>
      <c r="T423" s="114"/>
      <c r="U423" s="143"/>
    </row>
    <row r="424" spans="1:21" ht="15.75" customHeight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5"/>
      <c r="M424" s="115"/>
      <c r="N424" s="115"/>
      <c r="O424" s="115"/>
      <c r="P424" s="114"/>
      <c r="Q424" s="114"/>
      <c r="R424" s="143"/>
      <c r="S424" s="114"/>
      <c r="T424" s="114"/>
      <c r="U424" s="143"/>
    </row>
    <row r="425" spans="1:21" ht="15.75" customHeight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5"/>
      <c r="M425" s="115"/>
      <c r="N425" s="115"/>
      <c r="O425" s="115"/>
      <c r="P425" s="114"/>
      <c r="Q425" s="114"/>
      <c r="R425" s="143"/>
      <c r="S425" s="114"/>
      <c r="T425" s="114"/>
      <c r="U425" s="143"/>
    </row>
    <row r="426" spans="1:21" ht="15.75" customHeight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5"/>
      <c r="M426" s="115"/>
      <c r="N426" s="115"/>
      <c r="O426" s="115"/>
      <c r="P426" s="114"/>
      <c r="Q426" s="114"/>
      <c r="R426" s="143"/>
      <c r="S426" s="114"/>
      <c r="T426" s="114"/>
      <c r="U426" s="143"/>
    </row>
    <row r="427" spans="1:21" ht="15.75" customHeight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5"/>
      <c r="M427" s="115"/>
      <c r="N427" s="115"/>
      <c r="O427" s="115"/>
      <c r="P427" s="114"/>
      <c r="Q427" s="114"/>
      <c r="R427" s="143"/>
      <c r="S427" s="114"/>
      <c r="T427" s="114"/>
      <c r="U427" s="143"/>
    </row>
    <row r="428" spans="1:21" ht="15.75" customHeight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5"/>
      <c r="M428" s="115"/>
      <c r="N428" s="115"/>
      <c r="O428" s="115"/>
      <c r="P428" s="114"/>
      <c r="Q428" s="114"/>
      <c r="R428" s="143"/>
      <c r="S428" s="114"/>
      <c r="T428" s="114"/>
      <c r="U428" s="143"/>
    </row>
    <row r="429" spans="1:21" ht="15.75" customHeight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5"/>
      <c r="M429" s="115"/>
      <c r="N429" s="115"/>
      <c r="O429" s="115"/>
      <c r="P429" s="114"/>
      <c r="Q429" s="114"/>
      <c r="R429" s="143"/>
      <c r="S429" s="114"/>
      <c r="T429" s="114"/>
      <c r="U429" s="143"/>
    </row>
    <row r="430" spans="1:21" ht="15.75" customHeight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5"/>
      <c r="M430" s="115"/>
      <c r="N430" s="115"/>
      <c r="O430" s="115"/>
      <c r="P430" s="114"/>
      <c r="Q430" s="114"/>
      <c r="R430" s="143"/>
      <c r="S430" s="114"/>
      <c r="T430" s="114"/>
      <c r="U430" s="143"/>
    </row>
    <row r="431" spans="1:21" ht="15.75" customHeight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5"/>
      <c r="M431" s="115"/>
      <c r="N431" s="115"/>
      <c r="O431" s="115"/>
      <c r="P431" s="114"/>
      <c r="Q431" s="114"/>
      <c r="R431" s="143"/>
      <c r="S431" s="114"/>
      <c r="T431" s="114"/>
      <c r="U431" s="143"/>
    </row>
    <row r="432" spans="1:21" ht="15.75" customHeight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5"/>
      <c r="M432" s="115"/>
      <c r="N432" s="115"/>
      <c r="O432" s="115"/>
      <c r="P432" s="114"/>
      <c r="Q432" s="114"/>
      <c r="R432" s="143"/>
      <c r="S432" s="114"/>
      <c r="T432" s="114"/>
      <c r="U432" s="143"/>
    </row>
    <row r="433" spans="1:21" ht="15.75" customHeight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5"/>
      <c r="M433" s="115"/>
      <c r="N433" s="115"/>
      <c r="O433" s="115"/>
      <c r="P433" s="114"/>
      <c r="Q433" s="114"/>
      <c r="R433" s="143"/>
      <c r="S433" s="114"/>
      <c r="T433" s="114"/>
      <c r="U433" s="143"/>
    </row>
    <row r="434" spans="1:21" ht="15.75" customHeight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5"/>
      <c r="M434" s="115"/>
      <c r="N434" s="115"/>
      <c r="O434" s="115"/>
      <c r="P434" s="114"/>
      <c r="Q434" s="114"/>
      <c r="R434" s="143"/>
      <c r="S434" s="114"/>
      <c r="T434" s="114"/>
      <c r="U434" s="143"/>
    </row>
    <row r="435" spans="1:21" ht="15.75" customHeight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5"/>
      <c r="M435" s="115"/>
      <c r="N435" s="115"/>
      <c r="O435" s="115"/>
      <c r="P435" s="114"/>
      <c r="Q435" s="114"/>
      <c r="R435" s="143"/>
      <c r="S435" s="114"/>
      <c r="T435" s="114"/>
      <c r="U435" s="143"/>
    </row>
    <row r="436" spans="1:21" ht="15.75" customHeight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5"/>
      <c r="M436" s="115"/>
      <c r="N436" s="115"/>
      <c r="O436" s="115"/>
      <c r="P436" s="114"/>
      <c r="Q436" s="114"/>
      <c r="R436" s="143"/>
      <c r="S436" s="114"/>
      <c r="T436" s="114"/>
      <c r="U436" s="143"/>
    </row>
    <row r="437" spans="1:21" ht="15.75" customHeight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5"/>
      <c r="M437" s="115"/>
      <c r="N437" s="115"/>
      <c r="O437" s="115"/>
      <c r="P437" s="114"/>
      <c r="Q437" s="114"/>
      <c r="R437" s="143"/>
      <c r="S437" s="114"/>
      <c r="T437" s="114"/>
      <c r="U437" s="143"/>
    </row>
    <row r="438" spans="1:21" ht="15.75" customHeight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5"/>
      <c r="M438" s="115"/>
      <c r="N438" s="115"/>
      <c r="O438" s="115"/>
      <c r="P438" s="114"/>
      <c r="Q438" s="114"/>
      <c r="R438" s="143"/>
      <c r="S438" s="114"/>
      <c r="T438" s="114"/>
      <c r="U438" s="143"/>
    </row>
    <row r="439" spans="1:21" ht="15.75" customHeight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5"/>
      <c r="M439" s="115"/>
      <c r="N439" s="115"/>
      <c r="O439" s="115"/>
      <c r="P439" s="114"/>
      <c r="Q439" s="114"/>
      <c r="R439" s="143"/>
      <c r="S439" s="114"/>
      <c r="T439" s="114"/>
      <c r="U439" s="143"/>
    </row>
    <row r="440" spans="1:21" ht="15.75" customHeight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5"/>
      <c r="M440" s="115"/>
      <c r="N440" s="115"/>
      <c r="O440" s="115"/>
      <c r="P440" s="114"/>
      <c r="Q440" s="114"/>
      <c r="R440" s="143"/>
      <c r="S440" s="114"/>
      <c r="T440" s="114"/>
      <c r="U440" s="143"/>
    </row>
    <row r="441" spans="1:21" ht="15.75" customHeight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5"/>
      <c r="M441" s="115"/>
      <c r="N441" s="115"/>
      <c r="O441" s="115"/>
      <c r="P441" s="114"/>
      <c r="Q441" s="114"/>
      <c r="R441" s="143"/>
      <c r="S441" s="114"/>
      <c r="T441" s="114"/>
      <c r="U441" s="143"/>
    </row>
    <row r="442" spans="1:21" ht="15.75" customHeight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5"/>
      <c r="M442" s="115"/>
      <c r="N442" s="115"/>
      <c r="O442" s="115"/>
      <c r="P442" s="114"/>
      <c r="Q442" s="114"/>
      <c r="R442" s="143"/>
      <c r="S442" s="114"/>
      <c r="T442" s="114"/>
      <c r="U442" s="143"/>
    </row>
    <row r="443" spans="1:21" ht="15.75" customHeight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5"/>
      <c r="M443" s="115"/>
      <c r="N443" s="115"/>
      <c r="O443" s="115"/>
      <c r="P443" s="114"/>
      <c r="Q443" s="114"/>
      <c r="R443" s="143"/>
      <c r="S443" s="114"/>
      <c r="T443" s="114"/>
      <c r="U443" s="143"/>
    </row>
    <row r="444" spans="1:21" ht="15.75" customHeight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5"/>
      <c r="M444" s="115"/>
      <c r="N444" s="115"/>
      <c r="O444" s="115"/>
      <c r="P444" s="114"/>
      <c r="Q444" s="114"/>
      <c r="R444" s="143"/>
      <c r="S444" s="114"/>
      <c r="T444" s="114"/>
      <c r="U444" s="143"/>
    </row>
    <row r="445" spans="1:21" ht="15.75" customHeight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5"/>
      <c r="M445" s="115"/>
      <c r="N445" s="115"/>
      <c r="O445" s="115"/>
      <c r="P445" s="114"/>
      <c r="Q445" s="114"/>
      <c r="R445" s="143"/>
      <c r="S445" s="114"/>
      <c r="T445" s="114"/>
      <c r="U445" s="143"/>
    </row>
    <row r="446" spans="1:21" ht="15.75" customHeight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5"/>
      <c r="M446" s="115"/>
      <c r="N446" s="115"/>
      <c r="O446" s="115"/>
      <c r="P446" s="114"/>
      <c r="Q446" s="114"/>
      <c r="R446" s="143"/>
      <c r="S446" s="114"/>
      <c r="T446" s="114"/>
      <c r="U446" s="143"/>
    </row>
    <row r="447" spans="1:21" ht="15.75" customHeight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5"/>
      <c r="M447" s="115"/>
      <c r="N447" s="115"/>
      <c r="O447" s="115"/>
      <c r="P447" s="114"/>
      <c r="Q447" s="114"/>
      <c r="R447" s="143"/>
      <c r="S447" s="114"/>
      <c r="T447" s="114"/>
      <c r="U447" s="143"/>
    </row>
    <row r="448" spans="1:21" ht="15.75" customHeight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5"/>
      <c r="M448" s="115"/>
      <c r="N448" s="115"/>
      <c r="O448" s="115"/>
      <c r="P448" s="114"/>
      <c r="Q448" s="114"/>
      <c r="R448" s="143"/>
      <c r="S448" s="114"/>
      <c r="T448" s="114"/>
      <c r="U448" s="143"/>
    </row>
    <row r="449" spans="1:21" ht="15.75" customHeight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5"/>
      <c r="M449" s="115"/>
      <c r="N449" s="115"/>
      <c r="O449" s="115"/>
      <c r="P449" s="114"/>
      <c r="Q449" s="114"/>
      <c r="R449" s="143"/>
      <c r="S449" s="114"/>
      <c r="T449" s="114"/>
      <c r="U449" s="143"/>
    </row>
    <row r="450" spans="1:21" ht="15.75" customHeight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5"/>
      <c r="M450" s="115"/>
      <c r="N450" s="115"/>
      <c r="O450" s="115"/>
      <c r="P450" s="114"/>
      <c r="Q450" s="114"/>
      <c r="R450" s="143"/>
      <c r="S450" s="114"/>
      <c r="T450" s="114"/>
      <c r="U450" s="143"/>
    </row>
    <row r="451" spans="1:21" ht="15.75" customHeight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5"/>
      <c r="M451" s="115"/>
      <c r="N451" s="115"/>
      <c r="O451" s="115"/>
      <c r="P451" s="114"/>
      <c r="Q451" s="114"/>
      <c r="R451" s="143"/>
      <c r="S451" s="114"/>
      <c r="T451" s="114"/>
      <c r="U451" s="143"/>
    </row>
    <row r="452" spans="1:21" ht="15.75" customHeight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5"/>
      <c r="M452" s="115"/>
      <c r="N452" s="115"/>
      <c r="O452" s="115"/>
      <c r="P452" s="114"/>
      <c r="Q452" s="114"/>
      <c r="R452" s="143"/>
      <c r="S452" s="114"/>
      <c r="T452" s="114"/>
      <c r="U452" s="143"/>
    </row>
    <row r="453" spans="1:21" ht="15.75" customHeight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5"/>
      <c r="M453" s="115"/>
      <c r="N453" s="115"/>
      <c r="O453" s="115"/>
      <c r="P453" s="114"/>
      <c r="Q453" s="114"/>
      <c r="R453" s="143"/>
      <c r="S453" s="114"/>
      <c r="T453" s="114"/>
      <c r="U453" s="143"/>
    </row>
    <row r="454" spans="1:21" ht="15.75" customHeight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5"/>
      <c r="M454" s="115"/>
      <c r="N454" s="115"/>
      <c r="O454" s="115"/>
      <c r="P454" s="114"/>
      <c r="Q454" s="114"/>
      <c r="R454" s="143"/>
      <c r="S454" s="114"/>
      <c r="T454" s="114"/>
      <c r="U454" s="143"/>
    </row>
    <row r="455" spans="1:21" ht="15.75" customHeight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5"/>
      <c r="M455" s="115"/>
      <c r="N455" s="115"/>
      <c r="O455" s="115"/>
      <c r="P455" s="114"/>
      <c r="Q455" s="114"/>
      <c r="R455" s="143"/>
      <c r="S455" s="114"/>
      <c r="T455" s="114"/>
      <c r="U455" s="143"/>
    </row>
    <row r="456" spans="1:21" ht="15.75" customHeight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5"/>
      <c r="M456" s="115"/>
      <c r="N456" s="115"/>
      <c r="O456" s="115"/>
      <c r="P456" s="114"/>
      <c r="Q456" s="114"/>
      <c r="R456" s="143"/>
      <c r="S456" s="114"/>
      <c r="T456" s="114"/>
      <c r="U456" s="143"/>
    </row>
    <row r="457" spans="1:21" ht="15.75" customHeight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5"/>
      <c r="M457" s="115"/>
      <c r="N457" s="115"/>
      <c r="O457" s="115"/>
      <c r="P457" s="114"/>
      <c r="Q457" s="114"/>
      <c r="R457" s="143"/>
      <c r="S457" s="114"/>
      <c r="T457" s="114"/>
      <c r="U457" s="143"/>
    </row>
    <row r="458" spans="1:21" ht="15.75" customHeight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5"/>
      <c r="M458" s="115"/>
      <c r="N458" s="115"/>
      <c r="O458" s="115"/>
      <c r="P458" s="114"/>
      <c r="Q458" s="114"/>
      <c r="R458" s="143"/>
      <c r="S458" s="114"/>
      <c r="T458" s="114"/>
      <c r="U458" s="143"/>
    </row>
    <row r="459" spans="1:21" ht="15.75" customHeight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5"/>
      <c r="M459" s="115"/>
      <c r="N459" s="115"/>
      <c r="O459" s="115"/>
      <c r="P459" s="114"/>
      <c r="Q459" s="114"/>
      <c r="R459" s="143"/>
      <c r="S459" s="114"/>
      <c r="T459" s="114"/>
      <c r="U459" s="143"/>
    </row>
    <row r="460" spans="1:21" ht="15.75" customHeight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5"/>
      <c r="M460" s="115"/>
      <c r="N460" s="115"/>
      <c r="O460" s="115"/>
      <c r="P460" s="114"/>
      <c r="Q460" s="114"/>
      <c r="R460" s="143"/>
      <c r="S460" s="114"/>
      <c r="T460" s="114"/>
      <c r="U460" s="143"/>
    </row>
    <row r="461" spans="1:21" ht="15.75" customHeight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5"/>
      <c r="M461" s="115"/>
      <c r="N461" s="115"/>
      <c r="O461" s="115"/>
      <c r="P461" s="114"/>
      <c r="Q461" s="114"/>
      <c r="R461" s="143"/>
      <c r="S461" s="114"/>
      <c r="T461" s="114"/>
      <c r="U461" s="143"/>
    </row>
    <row r="462" spans="1:21" ht="15.75" customHeight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5"/>
      <c r="M462" s="115"/>
      <c r="N462" s="115"/>
      <c r="O462" s="115"/>
      <c r="P462" s="114"/>
      <c r="Q462" s="114"/>
      <c r="R462" s="143"/>
      <c r="S462" s="114"/>
      <c r="T462" s="114"/>
      <c r="U462" s="143"/>
    </row>
    <row r="463" spans="1:21" ht="15.75" customHeight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5"/>
      <c r="M463" s="115"/>
      <c r="N463" s="115"/>
      <c r="O463" s="115"/>
      <c r="P463" s="114"/>
      <c r="Q463" s="114"/>
      <c r="R463" s="143"/>
      <c r="S463" s="114"/>
      <c r="T463" s="114"/>
      <c r="U463" s="143"/>
    </row>
    <row r="464" spans="1:21" ht="15.75" customHeight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5"/>
      <c r="M464" s="115"/>
      <c r="N464" s="115"/>
      <c r="O464" s="115"/>
      <c r="P464" s="114"/>
      <c r="Q464" s="114"/>
      <c r="R464" s="143"/>
      <c r="S464" s="114"/>
      <c r="T464" s="114"/>
      <c r="U464" s="143"/>
    </row>
    <row r="465" spans="1:21" ht="15.75" customHeight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5"/>
      <c r="M465" s="115"/>
      <c r="N465" s="115"/>
      <c r="O465" s="115"/>
      <c r="P465" s="114"/>
      <c r="Q465" s="114"/>
      <c r="R465" s="143"/>
      <c r="S465" s="114"/>
      <c r="T465" s="114"/>
      <c r="U465" s="143"/>
    </row>
    <row r="466" spans="1:21" ht="15.75" customHeight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5"/>
      <c r="M466" s="115"/>
      <c r="N466" s="115"/>
      <c r="O466" s="115"/>
      <c r="P466" s="114"/>
      <c r="Q466" s="114"/>
      <c r="R466" s="143"/>
      <c r="S466" s="114"/>
      <c r="T466" s="114"/>
      <c r="U466" s="143"/>
    </row>
    <row r="467" spans="1:21" ht="15.75" customHeight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5"/>
      <c r="M467" s="115"/>
      <c r="N467" s="115"/>
      <c r="O467" s="115"/>
      <c r="P467" s="114"/>
      <c r="Q467" s="114"/>
      <c r="R467" s="143"/>
      <c r="S467" s="114"/>
      <c r="T467" s="114"/>
      <c r="U467" s="143"/>
    </row>
    <row r="468" spans="1:21" ht="15.75" customHeight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5"/>
      <c r="M468" s="115"/>
      <c r="N468" s="115"/>
      <c r="O468" s="115"/>
      <c r="P468" s="114"/>
      <c r="Q468" s="114"/>
      <c r="R468" s="143"/>
      <c r="S468" s="114"/>
      <c r="T468" s="114"/>
      <c r="U468" s="143"/>
    </row>
    <row r="469" spans="1:21" ht="15.75" customHeight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5"/>
      <c r="M469" s="115"/>
      <c r="N469" s="115"/>
      <c r="O469" s="115"/>
      <c r="P469" s="114"/>
      <c r="Q469" s="114"/>
      <c r="R469" s="143"/>
      <c r="S469" s="114"/>
      <c r="T469" s="114"/>
      <c r="U469" s="143"/>
    </row>
    <row r="470" spans="1:21" ht="15.75" customHeight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5"/>
      <c r="M470" s="115"/>
      <c r="N470" s="115"/>
      <c r="O470" s="115"/>
      <c r="P470" s="114"/>
      <c r="Q470" s="114"/>
      <c r="R470" s="143"/>
      <c r="S470" s="114"/>
      <c r="T470" s="114"/>
      <c r="U470" s="143"/>
    </row>
    <row r="471" spans="1:21" ht="15.75" customHeight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5"/>
      <c r="M471" s="115"/>
      <c r="N471" s="115"/>
      <c r="O471" s="115"/>
      <c r="P471" s="114"/>
      <c r="Q471" s="114"/>
      <c r="R471" s="143"/>
      <c r="S471" s="114"/>
      <c r="T471" s="114"/>
      <c r="U471" s="143"/>
    </row>
    <row r="472" spans="1:21" ht="15.75" customHeight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5"/>
      <c r="M472" s="115"/>
      <c r="N472" s="115"/>
      <c r="O472" s="115"/>
      <c r="P472" s="114"/>
      <c r="Q472" s="114"/>
      <c r="R472" s="143"/>
      <c r="S472" s="114"/>
      <c r="T472" s="114"/>
      <c r="U472" s="143"/>
    </row>
    <row r="473" spans="1:21" ht="15.75" customHeight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5"/>
      <c r="M473" s="115"/>
      <c r="N473" s="115"/>
      <c r="O473" s="115"/>
      <c r="P473" s="114"/>
      <c r="Q473" s="114"/>
      <c r="R473" s="143"/>
      <c r="S473" s="114"/>
      <c r="T473" s="114"/>
      <c r="U473" s="143"/>
    </row>
    <row r="474" spans="1:21" ht="15.75" customHeight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5"/>
      <c r="M474" s="115"/>
      <c r="N474" s="115"/>
      <c r="O474" s="115"/>
      <c r="P474" s="114"/>
      <c r="Q474" s="114"/>
      <c r="R474" s="143"/>
      <c r="S474" s="114"/>
      <c r="T474" s="114"/>
      <c r="U474" s="143"/>
    </row>
    <row r="475" spans="1:21" ht="15.75" customHeight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5"/>
      <c r="M475" s="115"/>
      <c r="N475" s="115"/>
      <c r="O475" s="115"/>
      <c r="P475" s="114"/>
      <c r="Q475" s="114"/>
      <c r="R475" s="143"/>
      <c r="S475" s="114"/>
      <c r="T475" s="114"/>
      <c r="U475" s="143"/>
    </row>
    <row r="476" spans="1:21" ht="15.75" customHeight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5"/>
      <c r="M476" s="115"/>
      <c r="N476" s="115"/>
      <c r="O476" s="115"/>
      <c r="P476" s="114"/>
      <c r="Q476" s="114"/>
      <c r="R476" s="143"/>
      <c r="S476" s="114"/>
      <c r="T476" s="114"/>
      <c r="U476" s="143"/>
    </row>
    <row r="477" spans="1:21" ht="15.75" customHeight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5"/>
      <c r="M477" s="115"/>
      <c r="N477" s="115"/>
      <c r="O477" s="115"/>
      <c r="P477" s="114"/>
      <c r="Q477" s="114"/>
      <c r="R477" s="143"/>
      <c r="S477" s="114"/>
      <c r="T477" s="114"/>
      <c r="U477" s="143"/>
    </row>
    <row r="478" spans="1:21" ht="15.75" customHeight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5"/>
      <c r="M478" s="115"/>
      <c r="N478" s="115"/>
      <c r="O478" s="115"/>
      <c r="P478" s="114"/>
      <c r="Q478" s="114"/>
      <c r="R478" s="143"/>
      <c r="S478" s="114"/>
      <c r="T478" s="114"/>
      <c r="U478" s="143"/>
    </row>
    <row r="479" spans="1:21" ht="15.75" customHeight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5"/>
      <c r="M479" s="115"/>
      <c r="N479" s="115"/>
      <c r="O479" s="115"/>
      <c r="P479" s="114"/>
      <c r="Q479" s="114"/>
      <c r="R479" s="143"/>
      <c r="S479" s="114"/>
      <c r="T479" s="114"/>
      <c r="U479" s="143"/>
    </row>
    <row r="480" spans="1:21" ht="15.75" customHeight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5"/>
      <c r="M480" s="115"/>
      <c r="N480" s="115"/>
      <c r="O480" s="115"/>
      <c r="P480" s="114"/>
      <c r="Q480" s="114"/>
      <c r="R480" s="143"/>
      <c r="S480" s="114"/>
      <c r="T480" s="114"/>
      <c r="U480" s="143"/>
    </row>
    <row r="481" spans="1:21" ht="15.75" customHeight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5"/>
      <c r="M481" s="115"/>
      <c r="N481" s="115"/>
      <c r="O481" s="115"/>
      <c r="P481" s="114"/>
      <c r="Q481" s="114"/>
      <c r="R481" s="143"/>
      <c r="S481" s="114"/>
      <c r="T481" s="114"/>
      <c r="U481" s="143"/>
    </row>
    <row r="482" spans="1:21" ht="15.75" customHeight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5"/>
      <c r="M482" s="115"/>
      <c r="N482" s="115"/>
      <c r="O482" s="115"/>
      <c r="P482" s="114"/>
      <c r="Q482" s="114"/>
      <c r="R482" s="143"/>
      <c r="S482" s="114"/>
      <c r="T482" s="114"/>
      <c r="U482" s="143"/>
    </row>
    <row r="483" spans="1:21" ht="15.75" customHeight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5"/>
      <c r="M483" s="115"/>
      <c r="N483" s="115"/>
      <c r="O483" s="115"/>
      <c r="P483" s="114"/>
      <c r="Q483" s="114"/>
      <c r="R483" s="143"/>
      <c r="S483" s="114"/>
      <c r="T483" s="114"/>
      <c r="U483" s="143"/>
    </row>
    <row r="484" spans="1:21" ht="15.75" customHeight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5"/>
      <c r="M484" s="115"/>
      <c r="N484" s="115"/>
      <c r="O484" s="115"/>
      <c r="P484" s="114"/>
      <c r="Q484" s="114"/>
      <c r="R484" s="143"/>
      <c r="S484" s="114"/>
      <c r="T484" s="114"/>
      <c r="U484" s="143"/>
    </row>
    <row r="485" spans="1:21" ht="15.75" customHeight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5"/>
      <c r="M485" s="115"/>
      <c r="N485" s="115"/>
      <c r="O485" s="115"/>
      <c r="P485" s="114"/>
      <c r="Q485" s="114"/>
      <c r="R485" s="143"/>
      <c r="S485" s="114"/>
      <c r="T485" s="114"/>
      <c r="U485" s="143"/>
    </row>
    <row r="486" spans="1:21" ht="15.75" customHeight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5"/>
      <c r="M486" s="115"/>
      <c r="N486" s="115"/>
      <c r="O486" s="115"/>
      <c r="P486" s="114"/>
      <c r="Q486" s="114"/>
      <c r="R486" s="143"/>
      <c r="S486" s="114"/>
      <c r="T486" s="114"/>
      <c r="U486" s="143"/>
    </row>
    <row r="487" spans="1:21" ht="15.75" customHeight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5"/>
      <c r="M487" s="115"/>
      <c r="N487" s="115"/>
      <c r="O487" s="115"/>
      <c r="P487" s="114"/>
      <c r="Q487" s="114"/>
      <c r="R487" s="143"/>
      <c r="S487" s="114"/>
      <c r="T487" s="114"/>
      <c r="U487" s="143"/>
    </row>
    <row r="488" spans="1:21" ht="15.75" customHeight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5"/>
      <c r="M488" s="115"/>
      <c r="N488" s="115"/>
      <c r="O488" s="115"/>
      <c r="P488" s="114"/>
      <c r="Q488" s="114"/>
      <c r="R488" s="143"/>
      <c r="S488" s="114"/>
      <c r="T488" s="114"/>
      <c r="U488" s="143"/>
    </row>
    <row r="489" spans="1:21" ht="15.75" customHeight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5"/>
      <c r="M489" s="115"/>
      <c r="N489" s="115"/>
      <c r="O489" s="115"/>
      <c r="P489" s="114"/>
      <c r="Q489" s="114"/>
      <c r="R489" s="143"/>
      <c r="S489" s="114"/>
      <c r="T489" s="114"/>
      <c r="U489" s="143"/>
    </row>
    <row r="490" spans="1:21" ht="15.75" customHeight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5"/>
      <c r="M490" s="115"/>
      <c r="N490" s="115"/>
      <c r="O490" s="115"/>
      <c r="P490" s="114"/>
      <c r="Q490" s="114"/>
      <c r="R490" s="143"/>
      <c r="S490" s="114"/>
      <c r="T490" s="114"/>
      <c r="U490" s="143"/>
    </row>
    <row r="491" spans="1:21" ht="15.75" customHeight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5"/>
      <c r="M491" s="115"/>
      <c r="N491" s="115"/>
      <c r="O491" s="115"/>
      <c r="P491" s="114"/>
      <c r="Q491" s="114"/>
      <c r="R491" s="143"/>
      <c r="S491" s="114"/>
      <c r="T491" s="114"/>
      <c r="U491" s="143"/>
    </row>
    <row r="492" spans="1:21" ht="15.75" customHeight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5"/>
      <c r="M492" s="115"/>
      <c r="N492" s="115"/>
      <c r="O492" s="115"/>
      <c r="P492" s="114"/>
      <c r="Q492" s="114"/>
      <c r="R492" s="143"/>
      <c r="S492" s="114"/>
      <c r="T492" s="114"/>
      <c r="U492" s="143"/>
    </row>
    <row r="493" spans="1:21" ht="15.75" customHeight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5"/>
      <c r="M493" s="115"/>
      <c r="N493" s="115"/>
      <c r="O493" s="115"/>
      <c r="P493" s="114"/>
      <c r="Q493" s="114"/>
      <c r="R493" s="143"/>
      <c r="S493" s="114"/>
      <c r="T493" s="114"/>
      <c r="U493" s="143"/>
    </row>
    <row r="494" spans="1:21" ht="15.75" customHeight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5"/>
      <c r="M494" s="115"/>
      <c r="N494" s="115"/>
      <c r="O494" s="115"/>
      <c r="P494" s="114"/>
      <c r="Q494" s="114"/>
      <c r="R494" s="143"/>
      <c r="S494" s="114"/>
      <c r="T494" s="114"/>
      <c r="U494" s="143"/>
    </row>
    <row r="495" spans="1:21" ht="15.75" customHeight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5"/>
      <c r="M495" s="115"/>
      <c r="N495" s="115"/>
      <c r="O495" s="115"/>
      <c r="P495" s="114"/>
      <c r="Q495" s="114"/>
      <c r="R495" s="143"/>
      <c r="S495" s="114"/>
      <c r="T495" s="114"/>
      <c r="U495" s="143"/>
    </row>
    <row r="496" spans="1:21" ht="15.75" customHeight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5"/>
      <c r="M496" s="115"/>
      <c r="N496" s="115"/>
      <c r="O496" s="115"/>
      <c r="P496" s="114"/>
      <c r="Q496" s="114"/>
      <c r="R496" s="143"/>
      <c r="S496" s="114"/>
      <c r="T496" s="114"/>
      <c r="U496" s="143"/>
    </row>
    <row r="497" spans="1:21" ht="15.75" customHeight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5"/>
      <c r="M497" s="115"/>
      <c r="N497" s="115"/>
      <c r="O497" s="115"/>
      <c r="P497" s="114"/>
      <c r="Q497" s="114"/>
      <c r="R497" s="143"/>
      <c r="S497" s="114"/>
      <c r="T497" s="114"/>
      <c r="U497" s="143"/>
    </row>
    <row r="498" spans="1:21" ht="15.75" customHeight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5"/>
      <c r="M498" s="115"/>
      <c r="N498" s="115"/>
      <c r="O498" s="115"/>
      <c r="P498" s="114"/>
      <c r="Q498" s="114"/>
      <c r="R498" s="143"/>
      <c r="S498" s="114"/>
      <c r="T498" s="114"/>
      <c r="U498" s="143"/>
    </row>
    <row r="499" spans="1:21" ht="15.75" customHeight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5"/>
      <c r="M499" s="115"/>
      <c r="N499" s="115"/>
      <c r="O499" s="115"/>
      <c r="P499" s="114"/>
      <c r="Q499" s="114"/>
      <c r="R499" s="143"/>
      <c r="S499" s="114"/>
      <c r="T499" s="114"/>
      <c r="U499" s="143"/>
    </row>
    <row r="500" spans="1:21" ht="15.75" customHeight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5"/>
      <c r="M500" s="115"/>
      <c r="N500" s="115"/>
      <c r="O500" s="115"/>
      <c r="P500" s="114"/>
      <c r="Q500" s="114"/>
      <c r="R500" s="143"/>
      <c r="S500" s="114"/>
      <c r="T500" s="114"/>
      <c r="U500" s="143"/>
    </row>
    <row r="501" spans="1:21" ht="15.75" customHeight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5"/>
      <c r="M501" s="115"/>
      <c r="N501" s="115"/>
      <c r="O501" s="115"/>
      <c r="P501" s="114"/>
      <c r="Q501" s="114"/>
      <c r="R501" s="143"/>
      <c r="S501" s="114"/>
      <c r="T501" s="114"/>
      <c r="U501" s="143"/>
    </row>
    <row r="502" spans="1:21" ht="15.75" customHeight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5"/>
      <c r="M502" s="115"/>
      <c r="N502" s="115"/>
      <c r="O502" s="115"/>
      <c r="P502" s="114"/>
      <c r="Q502" s="114"/>
      <c r="R502" s="143"/>
      <c r="S502" s="114"/>
      <c r="T502" s="114"/>
      <c r="U502" s="143"/>
    </row>
    <row r="503" spans="1:21" ht="15.75" customHeight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5"/>
      <c r="M503" s="115"/>
      <c r="N503" s="115"/>
      <c r="O503" s="115"/>
      <c r="P503" s="114"/>
      <c r="Q503" s="114"/>
      <c r="R503" s="143"/>
      <c r="S503" s="114"/>
      <c r="T503" s="114"/>
      <c r="U503" s="143"/>
    </row>
    <row r="504" spans="1:21" ht="15.75" customHeight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5"/>
      <c r="M504" s="115"/>
      <c r="N504" s="115"/>
      <c r="O504" s="115"/>
      <c r="P504" s="114"/>
      <c r="Q504" s="114"/>
      <c r="R504" s="143"/>
      <c r="S504" s="114"/>
      <c r="T504" s="114"/>
      <c r="U504" s="143"/>
    </row>
    <row r="505" spans="1:21" ht="15.75" customHeight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5"/>
      <c r="M505" s="115"/>
      <c r="N505" s="115"/>
      <c r="O505" s="115"/>
      <c r="P505" s="114"/>
      <c r="Q505" s="114"/>
      <c r="R505" s="143"/>
      <c r="S505" s="114"/>
      <c r="T505" s="114"/>
      <c r="U505" s="143"/>
    </row>
    <row r="506" spans="1:21" ht="15.75" customHeight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5"/>
      <c r="M506" s="115"/>
      <c r="N506" s="115"/>
      <c r="O506" s="115"/>
      <c r="P506" s="114"/>
      <c r="Q506" s="114"/>
      <c r="R506" s="143"/>
      <c r="S506" s="114"/>
      <c r="T506" s="114"/>
      <c r="U506" s="143"/>
    </row>
    <row r="507" spans="1:21" ht="15.75" customHeight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5"/>
      <c r="M507" s="115"/>
      <c r="N507" s="115"/>
      <c r="O507" s="115"/>
      <c r="P507" s="114"/>
      <c r="Q507" s="114"/>
      <c r="R507" s="143"/>
      <c r="S507" s="114"/>
      <c r="T507" s="114"/>
      <c r="U507" s="143"/>
    </row>
    <row r="508" spans="1:21" ht="15.75" customHeight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5"/>
      <c r="M508" s="115"/>
      <c r="N508" s="115"/>
      <c r="O508" s="115"/>
      <c r="P508" s="114"/>
      <c r="Q508" s="114"/>
      <c r="R508" s="143"/>
      <c r="S508" s="114"/>
      <c r="T508" s="114"/>
      <c r="U508" s="143"/>
    </row>
    <row r="509" spans="1:21" ht="15.75" customHeight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5"/>
      <c r="M509" s="115"/>
      <c r="N509" s="115"/>
      <c r="O509" s="115"/>
      <c r="P509" s="114"/>
      <c r="Q509" s="114"/>
      <c r="R509" s="143"/>
      <c r="S509" s="114"/>
      <c r="T509" s="114"/>
      <c r="U509" s="143"/>
    </row>
    <row r="510" spans="1:21" ht="15.75" customHeight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5"/>
      <c r="M510" s="115"/>
      <c r="N510" s="115"/>
      <c r="O510" s="115"/>
      <c r="P510" s="114"/>
      <c r="Q510" s="114"/>
      <c r="R510" s="143"/>
      <c r="S510" s="114"/>
      <c r="T510" s="114"/>
      <c r="U510" s="143"/>
    </row>
    <row r="511" spans="1:21" ht="15.75" customHeight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5"/>
      <c r="M511" s="115"/>
      <c r="N511" s="115"/>
      <c r="O511" s="115"/>
      <c r="P511" s="114"/>
      <c r="Q511" s="114"/>
      <c r="R511" s="143"/>
      <c r="S511" s="114"/>
      <c r="T511" s="114"/>
      <c r="U511" s="143"/>
    </row>
    <row r="512" spans="1:21" ht="15.75" customHeight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5"/>
      <c r="M512" s="115"/>
      <c r="N512" s="115"/>
      <c r="O512" s="115"/>
      <c r="P512" s="114"/>
      <c r="Q512" s="114"/>
      <c r="R512" s="143"/>
      <c r="S512" s="114"/>
      <c r="T512" s="114"/>
      <c r="U512" s="143"/>
    </row>
    <row r="513" spans="1:21" ht="15.75" customHeight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5"/>
      <c r="M513" s="115"/>
      <c r="N513" s="115"/>
      <c r="O513" s="115"/>
      <c r="P513" s="114"/>
      <c r="Q513" s="114"/>
      <c r="R513" s="143"/>
      <c r="S513" s="114"/>
      <c r="T513" s="114"/>
      <c r="U513" s="143"/>
    </row>
    <row r="514" spans="1:21" ht="15.75" customHeight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5"/>
      <c r="M514" s="115"/>
      <c r="N514" s="115"/>
      <c r="O514" s="115"/>
      <c r="P514" s="114"/>
      <c r="Q514" s="114"/>
      <c r="R514" s="143"/>
      <c r="S514" s="114"/>
      <c r="T514" s="114"/>
      <c r="U514" s="143"/>
    </row>
    <row r="515" spans="1:21" ht="15.75" customHeight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5"/>
      <c r="M515" s="115"/>
      <c r="N515" s="115"/>
      <c r="O515" s="115"/>
      <c r="P515" s="114"/>
      <c r="Q515" s="114"/>
      <c r="R515" s="143"/>
      <c r="S515" s="114"/>
      <c r="T515" s="114"/>
      <c r="U515" s="143"/>
    </row>
    <row r="516" spans="1:21" ht="15.75" customHeight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5"/>
      <c r="M516" s="115"/>
      <c r="N516" s="115"/>
      <c r="O516" s="115"/>
      <c r="P516" s="114"/>
      <c r="Q516" s="114"/>
      <c r="R516" s="143"/>
      <c r="S516" s="114"/>
      <c r="T516" s="114"/>
      <c r="U516" s="143"/>
    </row>
    <row r="517" spans="1:21" ht="15.75" customHeight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5"/>
      <c r="M517" s="115"/>
      <c r="N517" s="115"/>
      <c r="O517" s="115"/>
      <c r="P517" s="114"/>
      <c r="Q517" s="114"/>
      <c r="R517" s="143"/>
      <c r="S517" s="114"/>
      <c r="T517" s="114"/>
      <c r="U517" s="143"/>
    </row>
    <row r="518" spans="1:21" ht="15.75" customHeight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5"/>
      <c r="M518" s="115"/>
      <c r="N518" s="115"/>
      <c r="O518" s="115"/>
      <c r="P518" s="114"/>
      <c r="Q518" s="114"/>
      <c r="R518" s="143"/>
      <c r="S518" s="114"/>
      <c r="T518" s="114"/>
      <c r="U518" s="143"/>
    </row>
    <row r="519" spans="1:21" ht="15.75" customHeight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5"/>
      <c r="M519" s="115"/>
      <c r="N519" s="115"/>
      <c r="O519" s="115"/>
      <c r="P519" s="114"/>
      <c r="Q519" s="114"/>
      <c r="R519" s="143"/>
      <c r="S519" s="114"/>
      <c r="T519" s="114"/>
      <c r="U519" s="143"/>
    </row>
    <row r="520" spans="1:21" ht="15.75" customHeight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5"/>
      <c r="M520" s="115"/>
      <c r="N520" s="115"/>
      <c r="O520" s="115"/>
      <c r="P520" s="114"/>
      <c r="Q520" s="114"/>
      <c r="R520" s="143"/>
      <c r="S520" s="114"/>
      <c r="T520" s="114"/>
      <c r="U520" s="143"/>
    </row>
    <row r="521" spans="1:21" ht="15.75" customHeight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5"/>
      <c r="M521" s="115"/>
      <c r="N521" s="115"/>
      <c r="O521" s="115"/>
      <c r="P521" s="114"/>
      <c r="Q521" s="114"/>
      <c r="R521" s="143"/>
      <c r="S521" s="114"/>
      <c r="T521" s="114"/>
      <c r="U521" s="143"/>
    </row>
    <row r="522" spans="1:21" ht="15.75" customHeight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5"/>
      <c r="M522" s="115"/>
      <c r="N522" s="115"/>
      <c r="O522" s="115"/>
      <c r="P522" s="114"/>
      <c r="Q522" s="114"/>
      <c r="R522" s="143"/>
      <c r="S522" s="114"/>
      <c r="T522" s="114"/>
      <c r="U522" s="143"/>
    </row>
    <row r="523" spans="1:21" ht="15.75" customHeight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5"/>
      <c r="M523" s="115"/>
      <c r="N523" s="115"/>
      <c r="O523" s="115"/>
      <c r="P523" s="114"/>
      <c r="Q523" s="114"/>
      <c r="R523" s="143"/>
      <c r="S523" s="114"/>
      <c r="T523" s="114"/>
      <c r="U523" s="143"/>
    </row>
    <row r="524" spans="1:21" ht="15.75" customHeight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5"/>
      <c r="M524" s="115"/>
      <c r="N524" s="115"/>
      <c r="O524" s="115"/>
      <c r="P524" s="114"/>
      <c r="Q524" s="114"/>
      <c r="R524" s="143"/>
      <c r="S524" s="114"/>
      <c r="T524" s="114"/>
      <c r="U524" s="143"/>
    </row>
    <row r="525" spans="1:21" ht="15.75" customHeight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5"/>
      <c r="M525" s="115"/>
      <c r="N525" s="115"/>
      <c r="O525" s="115"/>
      <c r="P525" s="114"/>
      <c r="Q525" s="114"/>
      <c r="R525" s="143"/>
      <c r="S525" s="114"/>
      <c r="T525" s="114"/>
      <c r="U525" s="143"/>
    </row>
    <row r="526" spans="1:21" ht="15.75" customHeight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5"/>
      <c r="M526" s="115"/>
      <c r="N526" s="115"/>
      <c r="O526" s="115"/>
      <c r="P526" s="114"/>
      <c r="Q526" s="114"/>
      <c r="R526" s="143"/>
      <c r="S526" s="114"/>
      <c r="T526" s="114"/>
      <c r="U526" s="143"/>
    </row>
    <row r="527" spans="1:21" ht="15.75" customHeight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5"/>
      <c r="M527" s="115"/>
      <c r="N527" s="115"/>
      <c r="O527" s="115"/>
      <c r="P527" s="114"/>
      <c r="Q527" s="114"/>
      <c r="R527" s="143"/>
      <c r="S527" s="114"/>
      <c r="T527" s="114"/>
      <c r="U527" s="143"/>
    </row>
    <row r="528" spans="1:21" ht="15.75" customHeight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5"/>
      <c r="M528" s="115"/>
      <c r="N528" s="115"/>
      <c r="O528" s="115"/>
      <c r="P528" s="114"/>
      <c r="Q528" s="114"/>
      <c r="R528" s="143"/>
      <c r="S528" s="114"/>
      <c r="T528" s="114"/>
      <c r="U528" s="143"/>
    </row>
    <row r="529" spans="1:21" ht="15.75" customHeight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5"/>
      <c r="M529" s="115"/>
      <c r="N529" s="115"/>
      <c r="O529" s="115"/>
      <c r="P529" s="114"/>
      <c r="Q529" s="114"/>
      <c r="R529" s="143"/>
      <c r="S529" s="114"/>
      <c r="T529" s="114"/>
      <c r="U529" s="143"/>
    </row>
    <row r="530" spans="1:21" ht="15.75" customHeight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5"/>
      <c r="M530" s="115"/>
      <c r="N530" s="115"/>
      <c r="O530" s="115"/>
      <c r="P530" s="114"/>
      <c r="Q530" s="114"/>
      <c r="R530" s="143"/>
      <c r="S530" s="114"/>
      <c r="T530" s="114"/>
      <c r="U530" s="143"/>
    </row>
    <row r="531" spans="1:21" ht="15.75" customHeight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5"/>
      <c r="M531" s="115"/>
      <c r="N531" s="115"/>
      <c r="O531" s="115"/>
      <c r="P531" s="114"/>
      <c r="Q531" s="114"/>
      <c r="R531" s="143"/>
      <c r="S531" s="114"/>
      <c r="T531" s="114"/>
      <c r="U531" s="143"/>
    </row>
    <row r="532" spans="1:21" ht="15.75" customHeight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5"/>
      <c r="M532" s="115"/>
      <c r="N532" s="115"/>
      <c r="O532" s="115"/>
      <c r="P532" s="114"/>
      <c r="Q532" s="114"/>
      <c r="R532" s="143"/>
      <c r="S532" s="114"/>
      <c r="T532" s="114"/>
      <c r="U532" s="143"/>
    </row>
    <row r="533" spans="1:21" ht="15.75" customHeight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5"/>
      <c r="M533" s="115"/>
      <c r="N533" s="115"/>
      <c r="O533" s="115"/>
      <c r="P533" s="114"/>
      <c r="Q533" s="114"/>
      <c r="R533" s="143"/>
      <c r="S533" s="114"/>
      <c r="T533" s="114"/>
      <c r="U533" s="143"/>
    </row>
    <row r="534" spans="1:21" ht="15.75" customHeight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5"/>
      <c r="M534" s="115"/>
      <c r="N534" s="115"/>
      <c r="O534" s="115"/>
      <c r="P534" s="114"/>
      <c r="Q534" s="114"/>
      <c r="R534" s="143"/>
      <c r="S534" s="114"/>
      <c r="T534" s="114"/>
      <c r="U534" s="143"/>
    </row>
    <row r="535" spans="1:21" ht="15.75" customHeight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5"/>
      <c r="M535" s="115"/>
      <c r="N535" s="115"/>
      <c r="O535" s="115"/>
      <c r="P535" s="114"/>
      <c r="Q535" s="114"/>
      <c r="R535" s="143"/>
      <c r="S535" s="114"/>
      <c r="T535" s="114"/>
      <c r="U535" s="143"/>
    </row>
    <row r="536" spans="1:21" ht="15.75" customHeight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5"/>
      <c r="M536" s="115"/>
      <c r="N536" s="115"/>
      <c r="O536" s="115"/>
      <c r="P536" s="114"/>
      <c r="Q536" s="114"/>
      <c r="R536" s="143"/>
      <c r="S536" s="114"/>
      <c r="T536" s="114"/>
      <c r="U536" s="143"/>
    </row>
    <row r="537" spans="1:21" ht="15.75" customHeight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5"/>
      <c r="M537" s="115"/>
      <c r="N537" s="115"/>
      <c r="O537" s="115"/>
      <c r="P537" s="114"/>
      <c r="Q537" s="114"/>
      <c r="R537" s="143"/>
      <c r="S537" s="114"/>
      <c r="T537" s="114"/>
      <c r="U537" s="143"/>
    </row>
    <row r="538" spans="1:21" ht="15.75" customHeight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5"/>
      <c r="M538" s="115"/>
      <c r="N538" s="115"/>
      <c r="O538" s="115"/>
      <c r="P538" s="114"/>
      <c r="Q538" s="114"/>
      <c r="R538" s="143"/>
      <c r="S538" s="114"/>
      <c r="T538" s="114"/>
      <c r="U538" s="143"/>
    </row>
    <row r="539" spans="1:21" ht="15.75" customHeight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5"/>
      <c r="M539" s="115"/>
      <c r="N539" s="115"/>
      <c r="O539" s="115"/>
      <c r="P539" s="114"/>
      <c r="Q539" s="114"/>
      <c r="R539" s="143"/>
      <c r="S539" s="114"/>
      <c r="T539" s="114"/>
      <c r="U539" s="143"/>
    </row>
    <row r="540" spans="1:21" ht="15.75" customHeight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5"/>
      <c r="M540" s="115"/>
      <c r="N540" s="115"/>
      <c r="O540" s="115"/>
      <c r="P540" s="114"/>
      <c r="Q540" s="114"/>
      <c r="R540" s="143"/>
      <c r="S540" s="114"/>
      <c r="T540" s="114"/>
      <c r="U540" s="143"/>
    </row>
    <row r="541" spans="1:21" ht="15.75" customHeight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5"/>
      <c r="M541" s="115"/>
      <c r="N541" s="115"/>
      <c r="O541" s="115"/>
      <c r="P541" s="114"/>
      <c r="Q541" s="114"/>
      <c r="R541" s="143"/>
      <c r="S541" s="114"/>
      <c r="T541" s="114"/>
      <c r="U541" s="143"/>
    </row>
    <row r="542" spans="1:21" ht="15.75" customHeight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5"/>
      <c r="M542" s="115"/>
      <c r="N542" s="115"/>
      <c r="O542" s="115"/>
      <c r="P542" s="114"/>
      <c r="Q542" s="114"/>
      <c r="R542" s="143"/>
      <c r="S542" s="114"/>
      <c r="T542" s="114"/>
      <c r="U542" s="143"/>
    </row>
    <row r="543" spans="1:21" ht="15.75" customHeight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5"/>
      <c r="M543" s="115"/>
      <c r="N543" s="115"/>
      <c r="O543" s="115"/>
      <c r="P543" s="114"/>
      <c r="Q543" s="114"/>
      <c r="R543" s="143"/>
      <c r="S543" s="114"/>
      <c r="T543" s="114"/>
      <c r="U543" s="143"/>
    </row>
    <row r="544" spans="1:21" ht="15.75" customHeight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5"/>
      <c r="M544" s="115"/>
      <c r="N544" s="115"/>
      <c r="O544" s="115"/>
      <c r="P544" s="114"/>
      <c r="Q544" s="114"/>
      <c r="R544" s="143"/>
      <c r="S544" s="114"/>
      <c r="T544" s="114"/>
      <c r="U544" s="143"/>
    </row>
    <row r="545" spans="1:21" ht="15.75" customHeight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5"/>
      <c r="M545" s="115"/>
      <c r="N545" s="115"/>
      <c r="O545" s="115"/>
      <c r="P545" s="114"/>
      <c r="Q545" s="114"/>
      <c r="R545" s="143"/>
      <c r="S545" s="114"/>
      <c r="T545" s="114"/>
      <c r="U545" s="143"/>
    </row>
    <row r="546" spans="1:21" ht="15.75" customHeight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5"/>
      <c r="M546" s="115"/>
      <c r="N546" s="115"/>
      <c r="O546" s="115"/>
      <c r="P546" s="114"/>
      <c r="Q546" s="114"/>
      <c r="R546" s="143"/>
      <c r="S546" s="114"/>
      <c r="T546" s="114"/>
      <c r="U546" s="143"/>
    </row>
    <row r="547" spans="1:21" ht="15.75" customHeight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5"/>
      <c r="M547" s="115"/>
      <c r="N547" s="115"/>
      <c r="O547" s="115"/>
      <c r="P547" s="114"/>
      <c r="Q547" s="114"/>
      <c r="R547" s="143"/>
      <c r="S547" s="114"/>
      <c r="T547" s="114"/>
      <c r="U547" s="143"/>
    </row>
    <row r="548" spans="1:21" ht="15.75" customHeight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5"/>
      <c r="M548" s="115"/>
      <c r="N548" s="115"/>
      <c r="O548" s="115"/>
      <c r="P548" s="114"/>
      <c r="Q548" s="114"/>
      <c r="R548" s="143"/>
      <c r="S548" s="114"/>
      <c r="T548" s="114"/>
      <c r="U548" s="143"/>
    </row>
    <row r="549" spans="1:21" ht="15.75" customHeight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5"/>
      <c r="M549" s="115"/>
      <c r="N549" s="115"/>
      <c r="O549" s="115"/>
      <c r="P549" s="114"/>
      <c r="Q549" s="114"/>
      <c r="R549" s="143"/>
      <c r="S549" s="114"/>
      <c r="T549" s="114"/>
      <c r="U549" s="143"/>
    </row>
    <row r="550" spans="1:21" ht="15.75" customHeight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5"/>
      <c r="M550" s="115"/>
      <c r="N550" s="115"/>
      <c r="O550" s="115"/>
      <c r="P550" s="114"/>
      <c r="Q550" s="114"/>
      <c r="R550" s="143"/>
      <c r="S550" s="114"/>
      <c r="T550" s="114"/>
      <c r="U550" s="143"/>
    </row>
    <row r="551" spans="1:21" ht="15.75" customHeight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5"/>
      <c r="M551" s="115"/>
      <c r="N551" s="115"/>
      <c r="O551" s="115"/>
      <c r="P551" s="114"/>
      <c r="Q551" s="114"/>
      <c r="R551" s="143"/>
      <c r="S551" s="114"/>
      <c r="T551" s="114"/>
      <c r="U551" s="143"/>
    </row>
    <row r="552" spans="1:21" ht="15.75" customHeight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5"/>
      <c r="M552" s="115"/>
      <c r="N552" s="115"/>
      <c r="O552" s="115"/>
      <c r="P552" s="114"/>
      <c r="Q552" s="114"/>
      <c r="R552" s="143"/>
      <c r="S552" s="114"/>
      <c r="T552" s="114"/>
      <c r="U552" s="143"/>
    </row>
    <row r="553" spans="1:21" ht="15.75" customHeight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5"/>
      <c r="M553" s="115"/>
      <c r="N553" s="115"/>
      <c r="O553" s="115"/>
      <c r="P553" s="114"/>
      <c r="Q553" s="114"/>
      <c r="R553" s="143"/>
      <c r="S553" s="114"/>
      <c r="T553" s="114"/>
      <c r="U553" s="143"/>
    </row>
    <row r="554" spans="1:21" ht="15.75" customHeight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5"/>
      <c r="M554" s="115"/>
      <c r="N554" s="115"/>
      <c r="O554" s="115"/>
      <c r="P554" s="114"/>
      <c r="Q554" s="114"/>
      <c r="R554" s="143"/>
      <c r="S554" s="114"/>
      <c r="T554" s="114"/>
      <c r="U554" s="143"/>
    </row>
    <row r="555" spans="1:21" ht="15.75" customHeight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5"/>
      <c r="M555" s="115"/>
      <c r="N555" s="115"/>
      <c r="O555" s="115"/>
      <c r="P555" s="114"/>
      <c r="Q555" s="114"/>
      <c r="R555" s="143"/>
      <c r="S555" s="114"/>
      <c r="T555" s="114"/>
      <c r="U555" s="143"/>
    </row>
    <row r="556" spans="1:21" ht="15.75" customHeight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5"/>
      <c r="M556" s="115"/>
      <c r="N556" s="115"/>
      <c r="O556" s="115"/>
      <c r="P556" s="114"/>
      <c r="Q556" s="114"/>
      <c r="R556" s="143"/>
      <c r="S556" s="114"/>
      <c r="T556" s="114"/>
      <c r="U556" s="143"/>
    </row>
    <row r="557" spans="1:21" ht="15.75" customHeight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5"/>
      <c r="M557" s="115"/>
      <c r="N557" s="115"/>
      <c r="O557" s="115"/>
      <c r="P557" s="114"/>
      <c r="Q557" s="114"/>
      <c r="R557" s="143"/>
      <c r="S557" s="114"/>
      <c r="T557" s="114"/>
      <c r="U557" s="143"/>
    </row>
    <row r="558" spans="1:21" ht="15.75" customHeight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5"/>
      <c r="M558" s="115"/>
      <c r="N558" s="115"/>
      <c r="O558" s="115"/>
      <c r="P558" s="114"/>
      <c r="Q558" s="114"/>
      <c r="R558" s="143"/>
      <c r="S558" s="114"/>
      <c r="T558" s="114"/>
      <c r="U558" s="143"/>
    </row>
    <row r="559" spans="1:21" ht="15.75" customHeight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5"/>
      <c r="M559" s="115"/>
      <c r="N559" s="115"/>
      <c r="O559" s="115"/>
      <c r="P559" s="114"/>
      <c r="Q559" s="114"/>
      <c r="R559" s="143"/>
      <c r="S559" s="114"/>
      <c r="T559" s="114"/>
      <c r="U559" s="143"/>
    </row>
    <row r="560" spans="1:21" ht="15.75" customHeight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5"/>
      <c r="M560" s="115"/>
      <c r="N560" s="115"/>
      <c r="O560" s="115"/>
      <c r="P560" s="114"/>
      <c r="Q560" s="114"/>
      <c r="R560" s="143"/>
      <c r="S560" s="114"/>
      <c r="T560" s="114"/>
      <c r="U560" s="143"/>
    </row>
    <row r="561" spans="1:21" ht="15.75" customHeight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5"/>
      <c r="M561" s="115"/>
      <c r="N561" s="115"/>
      <c r="O561" s="115"/>
      <c r="P561" s="114"/>
      <c r="Q561" s="114"/>
      <c r="R561" s="143"/>
      <c r="S561" s="114"/>
      <c r="T561" s="114"/>
      <c r="U561" s="143"/>
    </row>
    <row r="562" spans="1:21" ht="15.75" customHeight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5"/>
      <c r="M562" s="115"/>
      <c r="N562" s="115"/>
      <c r="O562" s="115"/>
      <c r="P562" s="114"/>
      <c r="Q562" s="114"/>
      <c r="R562" s="143"/>
      <c r="S562" s="114"/>
      <c r="T562" s="114"/>
      <c r="U562" s="143"/>
    </row>
    <row r="563" spans="1:21" ht="15.75" customHeight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5"/>
      <c r="M563" s="115"/>
      <c r="N563" s="115"/>
      <c r="O563" s="115"/>
      <c r="P563" s="114"/>
      <c r="Q563" s="114"/>
      <c r="R563" s="143"/>
      <c r="S563" s="114"/>
      <c r="T563" s="114"/>
      <c r="U563" s="143"/>
    </row>
    <row r="564" spans="1:21" ht="15.75" customHeight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5"/>
      <c r="M564" s="115"/>
      <c r="N564" s="115"/>
      <c r="O564" s="115"/>
      <c r="P564" s="114"/>
      <c r="Q564" s="114"/>
      <c r="R564" s="143"/>
      <c r="S564" s="114"/>
      <c r="T564" s="114"/>
      <c r="U564" s="143"/>
    </row>
    <row r="565" spans="1:21" ht="15.75" customHeight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5"/>
      <c r="M565" s="115"/>
      <c r="N565" s="115"/>
      <c r="O565" s="115"/>
      <c r="P565" s="114"/>
      <c r="Q565" s="114"/>
      <c r="R565" s="143"/>
      <c r="S565" s="114"/>
      <c r="T565" s="114"/>
      <c r="U565" s="143"/>
    </row>
    <row r="566" spans="1:21" ht="15.75" customHeight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5"/>
      <c r="M566" s="115"/>
      <c r="N566" s="115"/>
      <c r="O566" s="115"/>
      <c r="P566" s="114"/>
      <c r="Q566" s="114"/>
      <c r="R566" s="143"/>
      <c r="S566" s="114"/>
      <c r="T566" s="114"/>
      <c r="U566" s="143"/>
    </row>
    <row r="567" spans="1:21" ht="15.75" customHeight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5"/>
      <c r="M567" s="115"/>
      <c r="N567" s="115"/>
      <c r="O567" s="115"/>
      <c r="P567" s="114"/>
      <c r="Q567" s="114"/>
      <c r="R567" s="143"/>
      <c r="S567" s="114"/>
      <c r="T567" s="114"/>
      <c r="U567" s="143"/>
    </row>
    <row r="568" spans="1:21" ht="15.75" customHeight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5"/>
      <c r="M568" s="115"/>
      <c r="N568" s="115"/>
      <c r="O568" s="115"/>
      <c r="P568" s="114"/>
      <c r="Q568" s="114"/>
      <c r="R568" s="143"/>
      <c r="S568" s="114"/>
      <c r="T568" s="114"/>
      <c r="U568" s="143"/>
    </row>
    <row r="569" spans="1:21" ht="15.75" customHeight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5"/>
      <c r="M569" s="115"/>
      <c r="N569" s="115"/>
      <c r="O569" s="115"/>
      <c r="P569" s="114"/>
      <c r="Q569" s="114"/>
      <c r="R569" s="143"/>
      <c r="S569" s="114"/>
      <c r="T569" s="114"/>
      <c r="U569" s="143"/>
    </row>
    <row r="570" spans="1:21" ht="15.75" customHeight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5"/>
      <c r="M570" s="115"/>
      <c r="N570" s="115"/>
      <c r="O570" s="115"/>
      <c r="P570" s="114"/>
      <c r="Q570" s="114"/>
      <c r="R570" s="143"/>
      <c r="S570" s="114"/>
      <c r="T570" s="114"/>
      <c r="U570" s="143"/>
    </row>
    <row r="571" spans="1:21" ht="15.75" customHeight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5"/>
      <c r="M571" s="115"/>
      <c r="N571" s="115"/>
      <c r="O571" s="115"/>
      <c r="P571" s="114"/>
      <c r="Q571" s="114"/>
      <c r="R571" s="143"/>
      <c r="S571" s="114"/>
      <c r="T571" s="114"/>
      <c r="U571" s="143"/>
    </row>
    <row r="572" spans="1:21" ht="15.75" customHeight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5"/>
      <c r="M572" s="115"/>
      <c r="N572" s="115"/>
      <c r="O572" s="115"/>
      <c r="P572" s="114"/>
      <c r="Q572" s="114"/>
      <c r="R572" s="143"/>
      <c r="S572" s="114"/>
      <c r="T572" s="114"/>
      <c r="U572" s="143"/>
    </row>
    <row r="573" spans="1:21" ht="15.75" customHeight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5"/>
      <c r="M573" s="115"/>
      <c r="N573" s="115"/>
      <c r="O573" s="115"/>
      <c r="P573" s="114"/>
      <c r="Q573" s="114"/>
      <c r="R573" s="143"/>
      <c r="S573" s="114"/>
      <c r="T573" s="114"/>
      <c r="U573" s="143"/>
    </row>
    <row r="574" spans="1:21" ht="15.75" customHeight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5"/>
      <c r="M574" s="115"/>
      <c r="N574" s="115"/>
      <c r="O574" s="115"/>
      <c r="P574" s="114"/>
      <c r="Q574" s="114"/>
      <c r="R574" s="143"/>
      <c r="S574" s="114"/>
      <c r="T574" s="114"/>
      <c r="U574" s="143"/>
    </row>
    <row r="575" spans="1:21" ht="15.75" customHeight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5"/>
      <c r="M575" s="115"/>
      <c r="N575" s="115"/>
      <c r="O575" s="115"/>
      <c r="P575" s="114"/>
      <c r="Q575" s="114"/>
      <c r="R575" s="143"/>
      <c r="S575" s="114"/>
      <c r="T575" s="114"/>
      <c r="U575" s="143"/>
    </row>
    <row r="576" spans="1:21" ht="15.75" customHeight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5"/>
      <c r="M576" s="115"/>
      <c r="N576" s="115"/>
      <c r="O576" s="115"/>
      <c r="P576" s="114"/>
      <c r="Q576" s="114"/>
      <c r="R576" s="143"/>
      <c r="S576" s="114"/>
      <c r="T576" s="114"/>
      <c r="U576" s="143"/>
    </row>
    <row r="577" spans="1:21" ht="15.75" customHeight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5"/>
      <c r="M577" s="115"/>
      <c r="N577" s="115"/>
      <c r="O577" s="115"/>
      <c r="P577" s="114"/>
      <c r="Q577" s="114"/>
      <c r="R577" s="143"/>
      <c r="S577" s="114"/>
      <c r="T577" s="114"/>
      <c r="U577" s="143"/>
    </row>
    <row r="578" spans="1:21" ht="15.75" customHeight="1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5"/>
      <c r="M578" s="115"/>
      <c r="N578" s="115"/>
      <c r="O578" s="115"/>
      <c r="P578" s="114"/>
      <c r="Q578" s="114"/>
      <c r="R578" s="143"/>
      <c r="S578" s="114"/>
      <c r="T578" s="114"/>
      <c r="U578" s="143"/>
    </row>
    <row r="579" spans="1:21" ht="15.75" customHeight="1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5"/>
      <c r="M579" s="115"/>
      <c r="N579" s="115"/>
      <c r="O579" s="115"/>
      <c r="P579" s="114"/>
      <c r="Q579" s="114"/>
      <c r="R579" s="143"/>
      <c r="S579" s="114"/>
      <c r="T579" s="114"/>
      <c r="U579" s="143"/>
    </row>
    <row r="580" spans="1:21" ht="15.75" customHeight="1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5"/>
      <c r="M580" s="115"/>
      <c r="N580" s="115"/>
      <c r="O580" s="115"/>
      <c r="P580" s="114"/>
      <c r="Q580" s="114"/>
      <c r="R580" s="143"/>
      <c r="S580" s="114"/>
      <c r="T580" s="114"/>
      <c r="U580" s="143"/>
    </row>
    <row r="581" spans="1:21" ht="15.75" customHeight="1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5"/>
      <c r="M581" s="115"/>
      <c r="N581" s="115"/>
      <c r="O581" s="115"/>
      <c r="P581" s="114"/>
      <c r="Q581" s="114"/>
      <c r="R581" s="143"/>
      <c r="S581" s="114"/>
      <c r="T581" s="114"/>
      <c r="U581" s="143"/>
    </row>
    <row r="582" spans="1:21" ht="15.75" customHeight="1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5"/>
      <c r="M582" s="115"/>
      <c r="N582" s="115"/>
      <c r="O582" s="115"/>
      <c r="P582" s="114"/>
      <c r="Q582" s="114"/>
      <c r="R582" s="143"/>
      <c r="S582" s="114"/>
      <c r="T582" s="114"/>
      <c r="U582" s="143"/>
    </row>
    <row r="583" spans="1:21" ht="15.75" customHeight="1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5"/>
      <c r="M583" s="115"/>
      <c r="N583" s="115"/>
      <c r="O583" s="115"/>
      <c r="P583" s="114"/>
      <c r="Q583" s="114"/>
      <c r="R583" s="143"/>
      <c r="S583" s="114"/>
      <c r="T583" s="114"/>
      <c r="U583" s="143"/>
    </row>
    <row r="584" spans="1:21" ht="15.75" customHeight="1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5"/>
      <c r="M584" s="115"/>
      <c r="N584" s="115"/>
      <c r="O584" s="115"/>
      <c r="P584" s="114"/>
      <c r="Q584" s="114"/>
      <c r="R584" s="143"/>
      <c r="S584" s="114"/>
      <c r="T584" s="114"/>
      <c r="U584" s="143"/>
    </row>
    <row r="585" spans="1:21" ht="15.75" customHeight="1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5"/>
      <c r="M585" s="115"/>
      <c r="N585" s="115"/>
      <c r="O585" s="115"/>
      <c r="P585" s="114"/>
      <c r="Q585" s="114"/>
      <c r="R585" s="143"/>
      <c r="S585" s="114"/>
      <c r="T585" s="114"/>
      <c r="U585" s="143"/>
    </row>
    <row r="586" spans="1:21" ht="15.75" customHeight="1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5"/>
      <c r="M586" s="115"/>
      <c r="N586" s="115"/>
      <c r="O586" s="115"/>
      <c r="P586" s="114"/>
      <c r="Q586" s="114"/>
      <c r="R586" s="143"/>
      <c r="S586" s="114"/>
      <c r="T586" s="114"/>
      <c r="U586" s="143"/>
    </row>
    <row r="587" spans="1:21" ht="15.75" customHeight="1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5"/>
      <c r="M587" s="115"/>
      <c r="N587" s="115"/>
      <c r="O587" s="115"/>
      <c r="P587" s="114"/>
      <c r="Q587" s="114"/>
      <c r="R587" s="143"/>
      <c r="S587" s="114"/>
      <c r="T587" s="114"/>
      <c r="U587" s="143"/>
    </row>
    <row r="588" spans="1:21" ht="15.75" customHeight="1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5"/>
      <c r="M588" s="115"/>
      <c r="N588" s="115"/>
      <c r="O588" s="115"/>
      <c r="P588" s="114"/>
      <c r="Q588" s="114"/>
      <c r="R588" s="143"/>
      <c r="S588" s="114"/>
      <c r="T588" s="114"/>
      <c r="U588" s="143"/>
    </row>
    <row r="589" spans="1:21" ht="15.75" customHeight="1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5"/>
      <c r="M589" s="115"/>
      <c r="N589" s="115"/>
      <c r="O589" s="115"/>
      <c r="P589" s="114"/>
      <c r="Q589" s="114"/>
      <c r="R589" s="143"/>
      <c r="S589" s="114"/>
      <c r="T589" s="114"/>
      <c r="U589" s="143"/>
    </row>
    <row r="590" spans="1:21" ht="15.75" customHeight="1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5"/>
      <c r="M590" s="115"/>
      <c r="N590" s="115"/>
      <c r="O590" s="115"/>
      <c r="P590" s="114"/>
      <c r="Q590" s="114"/>
      <c r="R590" s="143"/>
      <c r="S590" s="114"/>
      <c r="T590" s="114"/>
      <c r="U590" s="143"/>
    </row>
    <row r="591" spans="1:21" ht="15.75" customHeight="1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5"/>
      <c r="M591" s="115"/>
      <c r="N591" s="115"/>
      <c r="O591" s="115"/>
      <c r="P591" s="114"/>
      <c r="Q591" s="114"/>
      <c r="R591" s="143"/>
      <c r="S591" s="114"/>
      <c r="T591" s="114"/>
      <c r="U591" s="143"/>
    </row>
    <row r="592" spans="1:21" ht="15.75" customHeight="1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5"/>
      <c r="M592" s="115"/>
      <c r="N592" s="115"/>
      <c r="O592" s="115"/>
      <c r="P592" s="114"/>
      <c r="Q592" s="114"/>
      <c r="R592" s="143"/>
      <c r="S592" s="114"/>
      <c r="T592" s="114"/>
      <c r="U592" s="143"/>
    </row>
    <row r="593" spans="1:21" ht="15.75" customHeight="1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5"/>
      <c r="M593" s="115"/>
      <c r="N593" s="115"/>
      <c r="O593" s="115"/>
      <c r="P593" s="114"/>
      <c r="Q593" s="114"/>
      <c r="R593" s="143"/>
      <c r="S593" s="114"/>
      <c r="T593" s="114"/>
      <c r="U593" s="143"/>
    </row>
    <row r="594" spans="1:21" ht="15.75" customHeight="1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5"/>
      <c r="M594" s="115"/>
      <c r="N594" s="115"/>
      <c r="O594" s="115"/>
      <c r="P594" s="114"/>
      <c r="Q594" s="114"/>
      <c r="R594" s="143"/>
      <c r="S594" s="114"/>
      <c r="T594" s="114"/>
      <c r="U594" s="143"/>
    </row>
    <row r="595" spans="1:21" ht="15.75" customHeight="1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5"/>
      <c r="M595" s="115"/>
      <c r="N595" s="115"/>
      <c r="O595" s="115"/>
      <c r="P595" s="114"/>
      <c r="Q595" s="114"/>
      <c r="R595" s="143"/>
      <c r="S595" s="114"/>
      <c r="T595" s="114"/>
      <c r="U595" s="143"/>
    </row>
    <row r="596" spans="1:21" ht="15.75" customHeight="1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5"/>
      <c r="M596" s="115"/>
      <c r="N596" s="115"/>
      <c r="O596" s="115"/>
      <c r="P596" s="114"/>
      <c r="Q596" s="114"/>
      <c r="R596" s="143"/>
      <c r="S596" s="114"/>
      <c r="T596" s="114"/>
      <c r="U596" s="143"/>
    </row>
    <row r="597" spans="1:21" ht="15.75" customHeight="1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5"/>
      <c r="M597" s="115"/>
      <c r="N597" s="115"/>
      <c r="O597" s="115"/>
      <c r="P597" s="114"/>
      <c r="Q597" s="114"/>
      <c r="R597" s="143"/>
      <c r="S597" s="114"/>
      <c r="T597" s="114"/>
      <c r="U597" s="143"/>
    </row>
    <row r="598" spans="1:21" ht="15.75" customHeight="1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5"/>
      <c r="M598" s="115"/>
      <c r="N598" s="115"/>
      <c r="O598" s="115"/>
      <c r="P598" s="114"/>
      <c r="Q598" s="114"/>
      <c r="R598" s="143"/>
      <c r="S598" s="114"/>
      <c r="T598" s="114"/>
      <c r="U598" s="143"/>
    </row>
    <row r="599" spans="1:21" ht="15.75" customHeight="1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5"/>
      <c r="M599" s="115"/>
      <c r="N599" s="115"/>
      <c r="O599" s="115"/>
      <c r="P599" s="114"/>
      <c r="Q599" s="114"/>
      <c r="R599" s="143"/>
      <c r="S599" s="114"/>
      <c r="T599" s="114"/>
      <c r="U599" s="143"/>
    </row>
    <row r="600" spans="1:21" ht="15.75" customHeight="1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5"/>
      <c r="M600" s="115"/>
      <c r="N600" s="115"/>
      <c r="O600" s="115"/>
      <c r="P600" s="114"/>
      <c r="Q600" s="114"/>
      <c r="R600" s="143"/>
      <c r="S600" s="114"/>
      <c r="T600" s="114"/>
      <c r="U600" s="143"/>
    </row>
    <row r="601" spans="1:21" ht="15.75" customHeight="1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5"/>
      <c r="M601" s="115"/>
      <c r="N601" s="115"/>
      <c r="O601" s="115"/>
      <c r="P601" s="114"/>
      <c r="Q601" s="114"/>
      <c r="R601" s="143"/>
      <c r="S601" s="114"/>
      <c r="T601" s="114"/>
      <c r="U601" s="143"/>
    </row>
    <row r="602" spans="1:21" ht="15.75" customHeight="1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5"/>
      <c r="M602" s="115"/>
      <c r="N602" s="115"/>
      <c r="O602" s="115"/>
      <c r="P602" s="114"/>
      <c r="Q602" s="114"/>
      <c r="R602" s="143"/>
      <c r="S602" s="114"/>
      <c r="T602" s="114"/>
      <c r="U602" s="143"/>
    </row>
    <row r="603" spans="1:21" ht="15.75" customHeight="1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5"/>
      <c r="M603" s="115"/>
      <c r="N603" s="115"/>
      <c r="O603" s="115"/>
      <c r="P603" s="114"/>
      <c r="Q603" s="114"/>
      <c r="R603" s="143"/>
      <c r="S603" s="114"/>
      <c r="T603" s="114"/>
      <c r="U603" s="143"/>
    </row>
    <row r="604" spans="1:21" ht="15.75" customHeight="1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5"/>
      <c r="M604" s="115"/>
      <c r="N604" s="115"/>
      <c r="O604" s="115"/>
      <c r="P604" s="114"/>
      <c r="Q604" s="114"/>
      <c r="R604" s="143"/>
      <c r="S604" s="114"/>
      <c r="T604" s="114"/>
      <c r="U604" s="143"/>
    </row>
    <row r="605" spans="1:21" ht="15.75" customHeight="1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5"/>
      <c r="M605" s="115"/>
      <c r="N605" s="115"/>
      <c r="O605" s="115"/>
      <c r="P605" s="114"/>
      <c r="Q605" s="114"/>
      <c r="R605" s="143"/>
      <c r="S605" s="114"/>
      <c r="T605" s="114"/>
      <c r="U605" s="143"/>
    </row>
    <row r="606" spans="1:21" ht="15.75" customHeight="1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5"/>
      <c r="M606" s="115"/>
      <c r="N606" s="115"/>
      <c r="O606" s="115"/>
      <c r="P606" s="114"/>
      <c r="Q606" s="114"/>
      <c r="R606" s="143"/>
      <c r="S606" s="114"/>
      <c r="T606" s="114"/>
      <c r="U606" s="143"/>
    </row>
    <row r="607" spans="1:21" ht="15.75" customHeight="1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5"/>
      <c r="M607" s="115"/>
      <c r="N607" s="115"/>
      <c r="O607" s="115"/>
      <c r="P607" s="114"/>
      <c r="Q607" s="114"/>
      <c r="R607" s="143"/>
      <c r="S607" s="114"/>
      <c r="T607" s="114"/>
      <c r="U607" s="143"/>
    </row>
    <row r="608" spans="1:21" ht="15.75" customHeight="1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5"/>
      <c r="M608" s="115"/>
      <c r="N608" s="115"/>
      <c r="O608" s="115"/>
      <c r="P608" s="114"/>
      <c r="Q608" s="114"/>
      <c r="R608" s="143"/>
      <c r="S608" s="114"/>
      <c r="T608" s="114"/>
      <c r="U608" s="143"/>
    </row>
    <row r="609" spans="1:21" ht="15.75" customHeight="1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5"/>
      <c r="M609" s="115"/>
      <c r="N609" s="115"/>
      <c r="O609" s="115"/>
      <c r="P609" s="114"/>
      <c r="Q609" s="114"/>
      <c r="R609" s="143"/>
      <c r="S609" s="114"/>
      <c r="T609" s="114"/>
      <c r="U609" s="143"/>
    </row>
    <row r="610" spans="1:21" ht="15.75" customHeight="1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5"/>
      <c r="M610" s="115"/>
      <c r="N610" s="115"/>
      <c r="O610" s="115"/>
      <c r="P610" s="114"/>
      <c r="Q610" s="114"/>
      <c r="R610" s="143"/>
      <c r="S610" s="114"/>
      <c r="T610" s="114"/>
      <c r="U610" s="143"/>
    </row>
    <row r="611" spans="1:21" ht="15.75" customHeight="1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5"/>
      <c r="M611" s="115"/>
      <c r="N611" s="115"/>
      <c r="O611" s="115"/>
      <c r="P611" s="114"/>
      <c r="Q611" s="114"/>
      <c r="R611" s="143"/>
      <c r="S611" s="114"/>
      <c r="T611" s="114"/>
      <c r="U611" s="143"/>
    </row>
    <row r="612" spans="1:21" ht="15.75" customHeight="1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5"/>
      <c r="M612" s="115"/>
      <c r="N612" s="115"/>
      <c r="O612" s="115"/>
      <c r="P612" s="114"/>
      <c r="Q612" s="114"/>
      <c r="R612" s="143"/>
      <c r="S612" s="114"/>
      <c r="T612" s="114"/>
      <c r="U612" s="143"/>
    </row>
    <row r="613" spans="1:21" ht="15.75" customHeight="1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5"/>
      <c r="M613" s="115"/>
      <c r="N613" s="115"/>
      <c r="O613" s="115"/>
      <c r="P613" s="114"/>
      <c r="Q613" s="114"/>
      <c r="R613" s="143"/>
      <c r="S613" s="114"/>
      <c r="T613" s="114"/>
      <c r="U613" s="143"/>
    </row>
    <row r="614" spans="1:21" ht="15.75" customHeight="1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5"/>
      <c r="M614" s="115"/>
      <c r="N614" s="115"/>
      <c r="O614" s="115"/>
      <c r="P614" s="114"/>
      <c r="Q614" s="114"/>
      <c r="R614" s="143"/>
      <c r="S614" s="114"/>
      <c r="T614" s="114"/>
      <c r="U614" s="143"/>
    </row>
    <row r="615" spans="1:21" ht="15.75" customHeight="1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5"/>
      <c r="M615" s="115"/>
      <c r="N615" s="115"/>
      <c r="O615" s="115"/>
      <c r="P615" s="114"/>
      <c r="Q615" s="114"/>
      <c r="R615" s="143"/>
      <c r="S615" s="114"/>
      <c r="T615" s="114"/>
      <c r="U615" s="143"/>
    </row>
    <row r="616" spans="1:21" ht="15.75" customHeight="1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5"/>
      <c r="M616" s="115"/>
      <c r="N616" s="115"/>
      <c r="O616" s="115"/>
      <c r="P616" s="114"/>
      <c r="Q616" s="114"/>
      <c r="R616" s="143"/>
      <c r="S616" s="114"/>
      <c r="T616" s="114"/>
      <c r="U616" s="143"/>
    </row>
    <row r="617" spans="1:21" ht="15.75" customHeight="1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5"/>
      <c r="M617" s="115"/>
      <c r="N617" s="115"/>
      <c r="O617" s="115"/>
      <c r="P617" s="114"/>
      <c r="Q617" s="114"/>
      <c r="R617" s="143"/>
      <c r="S617" s="114"/>
      <c r="T617" s="114"/>
      <c r="U617" s="143"/>
    </row>
    <row r="618" spans="1:21" ht="15.75" customHeight="1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5"/>
      <c r="M618" s="115"/>
      <c r="N618" s="115"/>
      <c r="O618" s="115"/>
      <c r="P618" s="114"/>
      <c r="Q618" s="114"/>
      <c r="R618" s="143"/>
      <c r="S618" s="114"/>
      <c r="T618" s="114"/>
      <c r="U618" s="143"/>
    </row>
    <row r="619" spans="1:21" ht="15.75" customHeight="1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5"/>
      <c r="M619" s="115"/>
      <c r="N619" s="115"/>
      <c r="O619" s="115"/>
      <c r="P619" s="114"/>
      <c r="Q619" s="114"/>
      <c r="R619" s="143"/>
      <c r="S619" s="114"/>
      <c r="T619" s="114"/>
      <c r="U619" s="143"/>
    </row>
    <row r="620" spans="1:21" ht="15.75" customHeight="1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5"/>
      <c r="M620" s="115"/>
      <c r="N620" s="115"/>
      <c r="O620" s="115"/>
      <c r="P620" s="114"/>
      <c r="Q620" s="114"/>
      <c r="R620" s="143"/>
      <c r="S620" s="114"/>
      <c r="T620" s="114"/>
      <c r="U620" s="143"/>
    </row>
    <row r="621" spans="1:21" ht="15.75" customHeight="1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5"/>
      <c r="M621" s="115"/>
      <c r="N621" s="115"/>
      <c r="O621" s="115"/>
      <c r="P621" s="114"/>
      <c r="Q621" s="114"/>
      <c r="R621" s="143"/>
      <c r="S621" s="114"/>
      <c r="T621" s="114"/>
      <c r="U621" s="143"/>
    </row>
    <row r="622" spans="1:21" ht="15.75" customHeight="1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5"/>
      <c r="M622" s="115"/>
      <c r="N622" s="115"/>
      <c r="O622" s="115"/>
      <c r="P622" s="114"/>
      <c r="Q622" s="114"/>
      <c r="R622" s="143"/>
      <c r="S622" s="114"/>
      <c r="T622" s="114"/>
      <c r="U622" s="143"/>
    </row>
    <row r="623" spans="1:21" ht="15.75" customHeight="1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5"/>
      <c r="M623" s="115"/>
      <c r="N623" s="115"/>
      <c r="O623" s="115"/>
      <c r="P623" s="114"/>
      <c r="Q623" s="114"/>
      <c r="R623" s="143"/>
      <c r="S623" s="114"/>
      <c r="T623" s="114"/>
      <c r="U623" s="143"/>
    </row>
    <row r="624" spans="1:21" ht="15.75" customHeight="1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5"/>
      <c r="M624" s="115"/>
      <c r="N624" s="115"/>
      <c r="O624" s="115"/>
      <c r="P624" s="114"/>
      <c r="Q624" s="114"/>
      <c r="R624" s="143"/>
      <c r="S624" s="114"/>
      <c r="T624" s="114"/>
      <c r="U624" s="143"/>
    </row>
    <row r="625" spans="1:21" ht="15.75" customHeight="1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5"/>
      <c r="M625" s="115"/>
      <c r="N625" s="115"/>
      <c r="O625" s="115"/>
      <c r="P625" s="114"/>
      <c r="Q625" s="114"/>
      <c r="R625" s="143"/>
      <c r="S625" s="114"/>
      <c r="T625" s="114"/>
      <c r="U625" s="143"/>
    </row>
    <row r="626" spans="1:21" ht="15.75" customHeight="1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5"/>
      <c r="M626" s="115"/>
      <c r="N626" s="115"/>
      <c r="O626" s="115"/>
      <c r="P626" s="114"/>
      <c r="Q626" s="114"/>
      <c r="R626" s="143"/>
      <c r="S626" s="114"/>
      <c r="T626" s="114"/>
      <c r="U626" s="143"/>
    </row>
    <row r="627" spans="1:21" ht="15.75" customHeight="1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5"/>
      <c r="M627" s="115"/>
      <c r="N627" s="115"/>
      <c r="O627" s="115"/>
      <c r="P627" s="114"/>
      <c r="Q627" s="114"/>
      <c r="R627" s="143"/>
      <c r="S627" s="114"/>
      <c r="T627" s="114"/>
      <c r="U627" s="143"/>
    </row>
    <row r="628" spans="1:21" ht="15.75" customHeight="1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5"/>
      <c r="M628" s="115"/>
      <c r="N628" s="115"/>
      <c r="O628" s="115"/>
      <c r="P628" s="114"/>
      <c r="Q628" s="114"/>
      <c r="R628" s="143"/>
      <c r="S628" s="114"/>
      <c r="T628" s="114"/>
      <c r="U628" s="143"/>
    </row>
    <row r="629" spans="1:21" ht="15.75" customHeight="1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5"/>
      <c r="M629" s="115"/>
      <c r="N629" s="115"/>
      <c r="O629" s="115"/>
      <c r="P629" s="114"/>
      <c r="Q629" s="114"/>
      <c r="R629" s="143"/>
      <c r="S629" s="114"/>
      <c r="T629" s="114"/>
      <c r="U629" s="143"/>
    </row>
    <row r="630" spans="1:21" ht="15.75" customHeight="1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5"/>
      <c r="M630" s="115"/>
      <c r="N630" s="115"/>
      <c r="O630" s="115"/>
      <c r="P630" s="114"/>
      <c r="Q630" s="114"/>
      <c r="R630" s="143"/>
      <c r="S630" s="114"/>
      <c r="T630" s="114"/>
      <c r="U630" s="143"/>
    </row>
    <row r="631" spans="1:21" ht="15.75" customHeight="1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5"/>
      <c r="M631" s="115"/>
      <c r="N631" s="115"/>
      <c r="O631" s="115"/>
      <c r="P631" s="114"/>
      <c r="Q631" s="114"/>
      <c r="R631" s="143"/>
      <c r="S631" s="114"/>
      <c r="T631" s="114"/>
      <c r="U631" s="143"/>
    </row>
    <row r="632" spans="1:21" ht="15.75" customHeight="1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5"/>
      <c r="M632" s="115"/>
      <c r="N632" s="115"/>
      <c r="O632" s="115"/>
      <c r="P632" s="114"/>
      <c r="Q632" s="114"/>
      <c r="R632" s="143"/>
      <c r="S632" s="114"/>
      <c r="T632" s="114"/>
      <c r="U632" s="143"/>
    </row>
    <row r="633" spans="1:21" ht="15.75" customHeight="1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5"/>
      <c r="M633" s="115"/>
      <c r="N633" s="115"/>
      <c r="O633" s="115"/>
      <c r="P633" s="114"/>
      <c r="Q633" s="114"/>
      <c r="R633" s="143"/>
      <c r="S633" s="114"/>
      <c r="T633" s="114"/>
      <c r="U633" s="143"/>
    </row>
    <row r="634" spans="1:21" ht="15.75" customHeight="1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5"/>
      <c r="M634" s="115"/>
      <c r="N634" s="115"/>
      <c r="O634" s="115"/>
      <c r="P634" s="114"/>
      <c r="Q634" s="114"/>
      <c r="R634" s="143"/>
      <c r="S634" s="114"/>
      <c r="T634" s="114"/>
      <c r="U634" s="143"/>
    </row>
    <row r="635" spans="1:21" ht="15.75" customHeight="1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5"/>
      <c r="M635" s="115"/>
      <c r="N635" s="115"/>
      <c r="O635" s="115"/>
      <c r="P635" s="114"/>
      <c r="Q635" s="114"/>
      <c r="R635" s="143"/>
      <c r="S635" s="114"/>
      <c r="T635" s="114"/>
      <c r="U635" s="143"/>
    </row>
    <row r="636" spans="1:21" ht="15.75" customHeight="1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5"/>
      <c r="M636" s="115"/>
      <c r="N636" s="115"/>
      <c r="O636" s="115"/>
      <c r="P636" s="114"/>
      <c r="Q636" s="114"/>
      <c r="R636" s="143"/>
      <c r="S636" s="114"/>
      <c r="T636" s="114"/>
      <c r="U636" s="143"/>
    </row>
    <row r="637" spans="1:21" ht="15.75" customHeight="1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5"/>
      <c r="M637" s="115"/>
      <c r="N637" s="115"/>
      <c r="O637" s="115"/>
      <c r="P637" s="114"/>
      <c r="Q637" s="114"/>
      <c r="R637" s="143"/>
      <c r="S637" s="114"/>
      <c r="T637" s="114"/>
      <c r="U637" s="143"/>
    </row>
    <row r="638" spans="1:21" ht="15.75" customHeight="1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5"/>
      <c r="M638" s="115"/>
      <c r="N638" s="115"/>
      <c r="O638" s="115"/>
      <c r="P638" s="114"/>
      <c r="Q638" s="114"/>
      <c r="R638" s="143"/>
      <c r="S638" s="114"/>
      <c r="T638" s="114"/>
      <c r="U638" s="143"/>
    </row>
    <row r="639" spans="1:21" ht="15.75" customHeight="1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5"/>
      <c r="M639" s="115"/>
      <c r="N639" s="115"/>
      <c r="O639" s="115"/>
      <c r="P639" s="114"/>
      <c r="Q639" s="114"/>
      <c r="R639" s="143"/>
      <c r="S639" s="114"/>
      <c r="T639" s="114"/>
      <c r="U639" s="143"/>
    </row>
    <row r="640" spans="1:21" ht="15.75" customHeight="1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5"/>
      <c r="M640" s="115"/>
      <c r="N640" s="115"/>
      <c r="O640" s="115"/>
      <c r="P640" s="114"/>
      <c r="Q640" s="114"/>
      <c r="R640" s="143"/>
      <c r="S640" s="114"/>
      <c r="T640" s="114"/>
      <c r="U640" s="143"/>
    </row>
    <row r="641" spans="1:21" ht="15.75" customHeight="1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5"/>
      <c r="M641" s="115"/>
      <c r="N641" s="115"/>
      <c r="O641" s="115"/>
      <c r="P641" s="114"/>
      <c r="Q641" s="114"/>
      <c r="R641" s="143"/>
      <c r="S641" s="114"/>
      <c r="T641" s="114"/>
      <c r="U641" s="143"/>
    </row>
    <row r="642" spans="1:21" ht="15.75" customHeight="1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5"/>
      <c r="M642" s="115"/>
      <c r="N642" s="115"/>
      <c r="O642" s="115"/>
      <c r="P642" s="114"/>
      <c r="Q642" s="114"/>
      <c r="R642" s="143"/>
      <c r="S642" s="114"/>
      <c r="T642" s="114"/>
      <c r="U642" s="143"/>
    </row>
    <row r="643" spans="1:21" ht="15.75" customHeight="1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5"/>
      <c r="M643" s="115"/>
      <c r="N643" s="115"/>
      <c r="O643" s="115"/>
      <c r="P643" s="114"/>
      <c r="Q643" s="114"/>
      <c r="R643" s="143"/>
      <c r="S643" s="114"/>
      <c r="T643" s="114"/>
      <c r="U643" s="143"/>
    </row>
    <row r="644" spans="1:21" ht="15.75" customHeight="1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5"/>
      <c r="M644" s="115"/>
      <c r="N644" s="115"/>
      <c r="O644" s="115"/>
      <c r="P644" s="114"/>
      <c r="Q644" s="114"/>
      <c r="R644" s="143"/>
      <c r="S644" s="114"/>
      <c r="T644" s="114"/>
      <c r="U644" s="143"/>
    </row>
    <row r="645" spans="1:21" ht="15.75" customHeight="1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5"/>
      <c r="M645" s="115"/>
      <c r="N645" s="115"/>
      <c r="O645" s="115"/>
      <c r="P645" s="114"/>
      <c r="Q645" s="114"/>
      <c r="R645" s="143"/>
      <c r="S645" s="114"/>
      <c r="T645" s="114"/>
      <c r="U645" s="143"/>
    </row>
    <row r="646" spans="1:21" ht="15.75" customHeight="1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5"/>
      <c r="M646" s="115"/>
      <c r="N646" s="115"/>
      <c r="O646" s="115"/>
      <c r="P646" s="114"/>
      <c r="Q646" s="114"/>
      <c r="R646" s="143"/>
      <c r="S646" s="114"/>
      <c r="T646" s="114"/>
      <c r="U646" s="143"/>
    </row>
    <row r="647" spans="1:21" ht="15.75" customHeight="1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5"/>
      <c r="M647" s="115"/>
      <c r="N647" s="115"/>
      <c r="O647" s="115"/>
      <c r="P647" s="114"/>
      <c r="Q647" s="114"/>
      <c r="R647" s="143"/>
      <c r="S647" s="114"/>
      <c r="T647" s="114"/>
      <c r="U647" s="143"/>
    </row>
    <row r="648" spans="1:21" ht="15.75" customHeight="1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5"/>
      <c r="M648" s="115"/>
      <c r="N648" s="115"/>
      <c r="O648" s="115"/>
      <c r="P648" s="114"/>
      <c r="Q648" s="114"/>
      <c r="R648" s="143"/>
      <c r="S648" s="114"/>
      <c r="T648" s="114"/>
      <c r="U648" s="143"/>
    </row>
    <row r="649" spans="1:21" ht="15.75" customHeight="1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5"/>
      <c r="M649" s="115"/>
      <c r="N649" s="115"/>
      <c r="O649" s="115"/>
      <c r="P649" s="114"/>
      <c r="Q649" s="114"/>
      <c r="R649" s="143"/>
      <c r="S649" s="114"/>
      <c r="T649" s="114"/>
      <c r="U649" s="143"/>
    </row>
    <row r="650" spans="1:21" ht="15.75" customHeight="1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5"/>
      <c r="M650" s="115"/>
      <c r="N650" s="115"/>
      <c r="O650" s="115"/>
      <c r="P650" s="114"/>
      <c r="Q650" s="114"/>
      <c r="R650" s="143"/>
      <c r="S650" s="114"/>
      <c r="T650" s="114"/>
      <c r="U650" s="143"/>
    </row>
    <row r="651" spans="1:21" ht="15.75" customHeight="1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5"/>
      <c r="M651" s="115"/>
      <c r="N651" s="115"/>
      <c r="O651" s="115"/>
      <c r="P651" s="114"/>
      <c r="Q651" s="114"/>
      <c r="R651" s="143"/>
      <c r="S651" s="114"/>
      <c r="T651" s="114"/>
      <c r="U651" s="143"/>
    </row>
    <row r="652" spans="1:21" ht="15.75" customHeight="1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5"/>
      <c r="M652" s="115"/>
      <c r="N652" s="115"/>
      <c r="O652" s="115"/>
      <c r="P652" s="114"/>
      <c r="Q652" s="114"/>
      <c r="R652" s="143"/>
      <c r="S652" s="114"/>
      <c r="T652" s="114"/>
      <c r="U652" s="143"/>
    </row>
    <row r="653" spans="1:21" ht="15.75" customHeight="1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5"/>
      <c r="M653" s="115"/>
      <c r="N653" s="115"/>
      <c r="O653" s="115"/>
      <c r="P653" s="114"/>
      <c r="Q653" s="114"/>
      <c r="R653" s="143"/>
      <c r="S653" s="114"/>
      <c r="T653" s="114"/>
      <c r="U653" s="143"/>
    </row>
    <row r="654" spans="1:21" ht="15.75" customHeight="1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5"/>
      <c r="M654" s="115"/>
      <c r="N654" s="115"/>
      <c r="O654" s="115"/>
      <c r="P654" s="114"/>
      <c r="Q654" s="114"/>
      <c r="R654" s="143"/>
      <c r="S654" s="114"/>
      <c r="T654" s="114"/>
      <c r="U654" s="143"/>
    </row>
    <row r="655" spans="1:21" ht="15.75" customHeight="1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5"/>
      <c r="M655" s="115"/>
      <c r="N655" s="115"/>
      <c r="O655" s="115"/>
      <c r="P655" s="114"/>
      <c r="Q655" s="114"/>
      <c r="R655" s="143"/>
      <c r="S655" s="114"/>
      <c r="T655" s="114"/>
      <c r="U655" s="143"/>
    </row>
    <row r="656" spans="1:21" ht="15.75" customHeight="1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5"/>
      <c r="M656" s="115"/>
      <c r="N656" s="115"/>
      <c r="O656" s="115"/>
      <c r="P656" s="114"/>
      <c r="Q656" s="114"/>
      <c r="R656" s="143"/>
      <c r="S656" s="114"/>
      <c r="T656" s="114"/>
      <c r="U656" s="143"/>
    </row>
    <row r="657" spans="1:21" ht="15.75" customHeight="1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5"/>
      <c r="M657" s="115"/>
      <c r="N657" s="115"/>
      <c r="O657" s="115"/>
      <c r="P657" s="114"/>
      <c r="Q657" s="114"/>
      <c r="R657" s="143"/>
      <c r="S657" s="114"/>
      <c r="T657" s="114"/>
      <c r="U657" s="143"/>
    </row>
    <row r="658" spans="1:21" ht="15.75" customHeight="1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5"/>
      <c r="M658" s="115"/>
      <c r="N658" s="115"/>
      <c r="O658" s="115"/>
      <c r="P658" s="114"/>
      <c r="Q658" s="114"/>
      <c r="R658" s="143"/>
      <c r="S658" s="114"/>
      <c r="T658" s="114"/>
      <c r="U658" s="143"/>
    </row>
    <row r="659" spans="1:21" ht="15.75" customHeight="1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5"/>
      <c r="M659" s="115"/>
      <c r="N659" s="115"/>
      <c r="O659" s="115"/>
      <c r="P659" s="114"/>
      <c r="Q659" s="114"/>
      <c r="R659" s="143"/>
      <c r="S659" s="114"/>
      <c r="T659" s="114"/>
      <c r="U659" s="143"/>
    </row>
    <row r="660" spans="1:21" ht="15.75" customHeight="1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5"/>
      <c r="M660" s="115"/>
      <c r="N660" s="115"/>
      <c r="O660" s="115"/>
      <c r="P660" s="114"/>
      <c r="Q660" s="114"/>
      <c r="R660" s="143"/>
      <c r="S660" s="114"/>
      <c r="T660" s="114"/>
      <c r="U660" s="143"/>
    </row>
    <row r="661" spans="1:21" ht="15.75" customHeight="1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5"/>
      <c r="M661" s="115"/>
      <c r="N661" s="115"/>
      <c r="O661" s="115"/>
      <c r="P661" s="114"/>
      <c r="Q661" s="114"/>
      <c r="R661" s="143"/>
      <c r="S661" s="114"/>
      <c r="T661" s="114"/>
      <c r="U661" s="143"/>
    </row>
    <row r="662" spans="1:21" ht="15.75" customHeight="1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5"/>
      <c r="M662" s="115"/>
      <c r="N662" s="115"/>
      <c r="O662" s="115"/>
      <c r="P662" s="114"/>
      <c r="Q662" s="114"/>
      <c r="R662" s="143"/>
      <c r="S662" s="114"/>
      <c r="T662" s="114"/>
      <c r="U662" s="143"/>
    </row>
    <row r="663" spans="1:21" ht="15.75" customHeight="1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5"/>
      <c r="M663" s="115"/>
      <c r="N663" s="115"/>
      <c r="O663" s="115"/>
      <c r="P663" s="114"/>
      <c r="Q663" s="114"/>
      <c r="R663" s="143"/>
      <c r="S663" s="114"/>
      <c r="T663" s="114"/>
      <c r="U663" s="143"/>
    </row>
    <row r="664" spans="1:21" ht="15.75" customHeight="1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5"/>
      <c r="M664" s="115"/>
      <c r="N664" s="115"/>
      <c r="O664" s="115"/>
      <c r="P664" s="114"/>
      <c r="Q664" s="114"/>
      <c r="R664" s="143"/>
      <c r="S664" s="114"/>
      <c r="T664" s="114"/>
      <c r="U664" s="143"/>
    </row>
    <row r="665" spans="1:21" ht="15.75" customHeight="1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5"/>
      <c r="M665" s="115"/>
      <c r="N665" s="115"/>
      <c r="O665" s="115"/>
      <c r="P665" s="114"/>
      <c r="Q665" s="114"/>
      <c r="R665" s="143"/>
      <c r="S665" s="114"/>
      <c r="T665" s="114"/>
      <c r="U665" s="143"/>
    </row>
    <row r="666" spans="1:21" ht="15.75" customHeight="1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5"/>
      <c r="M666" s="115"/>
      <c r="N666" s="115"/>
      <c r="O666" s="115"/>
      <c r="P666" s="114"/>
      <c r="Q666" s="114"/>
      <c r="R666" s="143"/>
      <c r="S666" s="114"/>
      <c r="T666" s="114"/>
      <c r="U666" s="143"/>
    </row>
    <row r="667" spans="1:21" ht="15.75" customHeight="1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5"/>
      <c r="M667" s="115"/>
      <c r="N667" s="115"/>
      <c r="O667" s="115"/>
      <c r="P667" s="114"/>
      <c r="Q667" s="114"/>
      <c r="R667" s="143"/>
      <c r="S667" s="114"/>
      <c r="T667" s="114"/>
      <c r="U667" s="143"/>
    </row>
    <row r="668" spans="1:21" ht="15.75" customHeight="1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5"/>
      <c r="M668" s="115"/>
      <c r="N668" s="115"/>
      <c r="O668" s="115"/>
      <c r="P668" s="114"/>
      <c r="Q668" s="114"/>
      <c r="R668" s="143"/>
      <c r="S668" s="114"/>
      <c r="T668" s="114"/>
      <c r="U668" s="143"/>
    </row>
    <row r="669" spans="1:21" ht="15.75" customHeight="1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5"/>
      <c r="M669" s="115"/>
      <c r="N669" s="115"/>
      <c r="O669" s="115"/>
      <c r="P669" s="114"/>
      <c r="Q669" s="114"/>
      <c r="R669" s="143"/>
      <c r="S669" s="114"/>
      <c r="T669" s="114"/>
      <c r="U669" s="143"/>
    </row>
    <row r="670" spans="1:21" ht="15.75" customHeight="1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5"/>
      <c r="M670" s="115"/>
      <c r="N670" s="115"/>
      <c r="O670" s="115"/>
      <c r="P670" s="114"/>
      <c r="Q670" s="114"/>
      <c r="R670" s="143"/>
      <c r="S670" s="114"/>
      <c r="T670" s="114"/>
      <c r="U670" s="143"/>
    </row>
    <row r="671" spans="1:21" ht="15.75" customHeight="1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5"/>
      <c r="M671" s="115"/>
      <c r="N671" s="115"/>
      <c r="O671" s="115"/>
      <c r="P671" s="114"/>
      <c r="Q671" s="114"/>
      <c r="R671" s="143"/>
      <c r="S671" s="114"/>
      <c r="T671" s="114"/>
      <c r="U671" s="143"/>
    </row>
    <row r="672" spans="1:21" ht="15.75" customHeight="1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5"/>
      <c r="M672" s="115"/>
      <c r="N672" s="115"/>
      <c r="O672" s="115"/>
      <c r="P672" s="114"/>
      <c r="Q672" s="114"/>
      <c r="R672" s="143"/>
      <c r="S672" s="114"/>
      <c r="T672" s="114"/>
      <c r="U672" s="143"/>
    </row>
    <row r="673" spans="1:21" ht="15.75" customHeight="1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5"/>
      <c r="M673" s="115"/>
      <c r="N673" s="115"/>
      <c r="O673" s="115"/>
      <c r="P673" s="114"/>
      <c r="Q673" s="114"/>
      <c r="R673" s="143"/>
      <c r="S673" s="114"/>
      <c r="T673" s="114"/>
      <c r="U673" s="143"/>
    </row>
    <row r="674" spans="1:21" ht="15.75" customHeight="1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5"/>
      <c r="M674" s="115"/>
      <c r="N674" s="115"/>
      <c r="O674" s="115"/>
      <c r="P674" s="114"/>
      <c r="Q674" s="114"/>
      <c r="R674" s="143"/>
      <c r="S674" s="114"/>
      <c r="T674" s="114"/>
      <c r="U674" s="143"/>
    </row>
    <row r="675" spans="1:21" ht="15.75" customHeight="1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5"/>
      <c r="M675" s="115"/>
      <c r="N675" s="115"/>
      <c r="O675" s="115"/>
      <c r="P675" s="114"/>
      <c r="Q675" s="114"/>
      <c r="R675" s="143"/>
      <c r="S675" s="114"/>
      <c r="T675" s="114"/>
      <c r="U675" s="143"/>
    </row>
    <row r="676" spans="1:21" ht="15.75" customHeight="1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5"/>
      <c r="M676" s="115"/>
      <c r="N676" s="115"/>
      <c r="O676" s="115"/>
      <c r="P676" s="114"/>
      <c r="Q676" s="114"/>
      <c r="R676" s="143"/>
      <c r="S676" s="114"/>
      <c r="T676" s="114"/>
      <c r="U676" s="143"/>
    </row>
    <row r="677" spans="1:21" ht="15.75" customHeight="1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5"/>
      <c r="M677" s="115"/>
      <c r="N677" s="115"/>
      <c r="O677" s="115"/>
      <c r="P677" s="114"/>
      <c r="Q677" s="114"/>
      <c r="R677" s="143"/>
      <c r="S677" s="114"/>
      <c r="T677" s="114"/>
      <c r="U677" s="143"/>
    </row>
    <row r="678" spans="1:21" ht="15.75" customHeight="1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5"/>
      <c r="M678" s="115"/>
      <c r="N678" s="115"/>
      <c r="O678" s="115"/>
      <c r="P678" s="114"/>
      <c r="Q678" s="114"/>
      <c r="R678" s="143"/>
      <c r="S678" s="114"/>
      <c r="T678" s="114"/>
      <c r="U678" s="143"/>
    </row>
    <row r="679" spans="1:21" ht="15.75" customHeight="1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5"/>
      <c r="M679" s="115"/>
      <c r="N679" s="115"/>
      <c r="O679" s="115"/>
      <c r="P679" s="114"/>
      <c r="Q679" s="114"/>
      <c r="R679" s="143"/>
      <c r="S679" s="114"/>
      <c r="T679" s="114"/>
      <c r="U679" s="143"/>
    </row>
    <row r="680" spans="1:21" ht="15.75" customHeight="1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5"/>
      <c r="M680" s="115"/>
      <c r="N680" s="115"/>
      <c r="O680" s="115"/>
      <c r="P680" s="114"/>
      <c r="Q680" s="114"/>
      <c r="R680" s="143"/>
      <c r="S680" s="114"/>
      <c r="T680" s="114"/>
      <c r="U680" s="143"/>
    </row>
    <row r="681" spans="1:21" ht="15.75" customHeight="1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5"/>
      <c r="M681" s="115"/>
      <c r="N681" s="115"/>
      <c r="O681" s="115"/>
      <c r="P681" s="114"/>
      <c r="Q681" s="114"/>
      <c r="R681" s="143"/>
      <c r="S681" s="114"/>
      <c r="T681" s="114"/>
      <c r="U681" s="143"/>
    </row>
    <row r="682" spans="1:21" ht="15.75" customHeight="1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5"/>
      <c r="M682" s="115"/>
      <c r="N682" s="115"/>
      <c r="O682" s="115"/>
      <c r="P682" s="114"/>
      <c r="Q682" s="114"/>
      <c r="R682" s="143"/>
      <c r="S682" s="114"/>
      <c r="T682" s="114"/>
      <c r="U682" s="143"/>
    </row>
    <row r="683" spans="1:21" ht="15.75" customHeight="1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5"/>
      <c r="M683" s="115"/>
      <c r="N683" s="115"/>
      <c r="O683" s="115"/>
      <c r="P683" s="114"/>
      <c r="Q683" s="114"/>
      <c r="R683" s="143"/>
      <c r="S683" s="114"/>
      <c r="T683" s="114"/>
      <c r="U683" s="143"/>
    </row>
    <row r="684" spans="1:21" ht="15.75" customHeight="1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5"/>
      <c r="M684" s="115"/>
      <c r="N684" s="115"/>
      <c r="O684" s="115"/>
      <c r="P684" s="114"/>
      <c r="Q684" s="114"/>
      <c r="R684" s="143"/>
      <c r="S684" s="114"/>
      <c r="T684" s="114"/>
      <c r="U684" s="143"/>
    </row>
    <row r="685" spans="1:21" ht="15.75" customHeight="1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5"/>
      <c r="M685" s="115"/>
      <c r="N685" s="115"/>
      <c r="O685" s="115"/>
      <c r="P685" s="114"/>
      <c r="Q685" s="114"/>
      <c r="R685" s="143"/>
      <c r="S685" s="114"/>
      <c r="T685" s="114"/>
      <c r="U685" s="143"/>
    </row>
    <row r="686" spans="1:21" ht="15.75" customHeight="1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5"/>
      <c r="M686" s="115"/>
      <c r="N686" s="115"/>
      <c r="O686" s="115"/>
      <c r="P686" s="114"/>
      <c r="Q686" s="114"/>
      <c r="R686" s="143"/>
      <c r="S686" s="114"/>
      <c r="T686" s="114"/>
      <c r="U686" s="143"/>
    </row>
    <row r="687" spans="1:21" ht="15.75" customHeight="1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5"/>
      <c r="M687" s="115"/>
      <c r="N687" s="115"/>
      <c r="O687" s="115"/>
      <c r="P687" s="114"/>
      <c r="Q687" s="114"/>
      <c r="R687" s="143"/>
      <c r="S687" s="114"/>
      <c r="T687" s="114"/>
      <c r="U687" s="143"/>
    </row>
    <row r="688" spans="1:21" ht="15.75" customHeight="1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5"/>
      <c r="M688" s="115"/>
      <c r="N688" s="115"/>
      <c r="O688" s="115"/>
      <c r="P688" s="114"/>
      <c r="Q688" s="114"/>
      <c r="R688" s="143"/>
      <c r="S688" s="114"/>
      <c r="T688" s="114"/>
      <c r="U688" s="143"/>
    </row>
    <row r="689" spans="1:21" ht="15.75" customHeight="1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5"/>
      <c r="M689" s="115"/>
      <c r="N689" s="115"/>
      <c r="O689" s="115"/>
      <c r="P689" s="114"/>
      <c r="Q689" s="114"/>
      <c r="R689" s="143"/>
      <c r="S689" s="114"/>
      <c r="T689" s="114"/>
      <c r="U689" s="143"/>
    </row>
    <row r="690" spans="1:21" ht="15.75" customHeight="1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5"/>
      <c r="M690" s="115"/>
      <c r="N690" s="115"/>
      <c r="O690" s="115"/>
      <c r="P690" s="114"/>
      <c r="Q690" s="114"/>
      <c r="R690" s="143"/>
      <c r="S690" s="114"/>
      <c r="T690" s="114"/>
      <c r="U690" s="143"/>
    </row>
    <row r="691" spans="1:21" ht="15.75" customHeight="1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5"/>
      <c r="M691" s="115"/>
      <c r="N691" s="115"/>
      <c r="O691" s="115"/>
      <c r="P691" s="114"/>
      <c r="Q691" s="114"/>
      <c r="R691" s="143"/>
      <c r="S691" s="114"/>
      <c r="T691" s="114"/>
      <c r="U691" s="143"/>
    </row>
    <row r="692" spans="1:21" ht="15.75" customHeight="1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5"/>
      <c r="M692" s="115"/>
      <c r="N692" s="115"/>
      <c r="O692" s="115"/>
      <c r="P692" s="114"/>
      <c r="Q692" s="114"/>
      <c r="R692" s="143"/>
      <c r="S692" s="114"/>
      <c r="T692" s="114"/>
      <c r="U692" s="143"/>
    </row>
    <row r="693" spans="1:21" ht="15.75" customHeight="1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5"/>
      <c r="M693" s="115"/>
      <c r="N693" s="115"/>
      <c r="O693" s="115"/>
      <c r="P693" s="114"/>
      <c r="Q693" s="114"/>
      <c r="R693" s="143"/>
      <c r="S693" s="114"/>
      <c r="T693" s="114"/>
      <c r="U693" s="143"/>
    </row>
    <row r="694" spans="1:21" ht="15.75" customHeight="1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5"/>
      <c r="M694" s="115"/>
      <c r="N694" s="115"/>
      <c r="O694" s="115"/>
      <c r="P694" s="114"/>
      <c r="Q694" s="114"/>
      <c r="R694" s="143"/>
      <c r="S694" s="114"/>
      <c r="T694" s="114"/>
      <c r="U694" s="143"/>
    </row>
    <row r="695" spans="1:21" ht="15.75" customHeight="1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5"/>
      <c r="M695" s="115"/>
      <c r="N695" s="115"/>
      <c r="O695" s="115"/>
      <c r="P695" s="114"/>
      <c r="Q695" s="114"/>
      <c r="R695" s="143"/>
      <c r="S695" s="114"/>
      <c r="T695" s="114"/>
      <c r="U695" s="143"/>
    </row>
    <row r="696" spans="1:21" ht="15.75" customHeight="1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5"/>
      <c r="M696" s="115"/>
      <c r="N696" s="115"/>
      <c r="O696" s="115"/>
      <c r="P696" s="114"/>
      <c r="Q696" s="114"/>
      <c r="R696" s="143"/>
      <c r="S696" s="114"/>
      <c r="T696" s="114"/>
      <c r="U696" s="143"/>
    </row>
    <row r="697" spans="1:21" ht="15.75" customHeight="1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5"/>
      <c r="M697" s="115"/>
      <c r="N697" s="115"/>
      <c r="O697" s="115"/>
      <c r="P697" s="114"/>
      <c r="Q697" s="114"/>
      <c r="R697" s="143"/>
      <c r="S697" s="114"/>
      <c r="T697" s="114"/>
      <c r="U697" s="143"/>
    </row>
    <row r="698" spans="1:21" ht="15.75" customHeight="1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5"/>
      <c r="M698" s="115"/>
      <c r="N698" s="115"/>
      <c r="O698" s="115"/>
      <c r="P698" s="114"/>
      <c r="Q698" s="114"/>
      <c r="R698" s="143"/>
      <c r="S698" s="114"/>
      <c r="T698" s="114"/>
      <c r="U698" s="143"/>
    </row>
    <row r="699" spans="1:21" ht="15.75" customHeight="1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5"/>
      <c r="M699" s="115"/>
      <c r="N699" s="115"/>
      <c r="O699" s="115"/>
      <c r="P699" s="114"/>
      <c r="Q699" s="114"/>
      <c r="R699" s="143"/>
      <c r="S699" s="114"/>
      <c r="T699" s="114"/>
      <c r="U699" s="143"/>
    </row>
    <row r="700" spans="1:21" ht="15.75" customHeight="1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5"/>
      <c r="M700" s="115"/>
      <c r="N700" s="115"/>
      <c r="O700" s="115"/>
      <c r="P700" s="114"/>
      <c r="Q700" s="114"/>
      <c r="R700" s="143"/>
      <c r="S700" s="114"/>
      <c r="T700" s="114"/>
      <c r="U700" s="143"/>
    </row>
    <row r="701" spans="1:21" ht="15.75" customHeight="1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5"/>
      <c r="M701" s="115"/>
      <c r="N701" s="115"/>
      <c r="O701" s="115"/>
      <c r="P701" s="114"/>
      <c r="Q701" s="114"/>
      <c r="R701" s="143"/>
      <c r="S701" s="114"/>
      <c r="T701" s="114"/>
      <c r="U701" s="143"/>
    </row>
    <row r="702" spans="1:21" ht="15.75" customHeight="1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5"/>
      <c r="M702" s="115"/>
      <c r="N702" s="115"/>
      <c r="O702" s="115"/>
      <c r="P702" s="114"/>
      <c r="Q702" s="114"/>
      <c r="R702" s="143"/>
      <c r="S702" s="114"/>
      <c r="T702" s="114"/>
      <c r="U702" s="143"/>
    </row>
    <row r="703" spans="1:21" ht="15.75" customHeight="1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5"/>
      <c r="M703" s="115"/>
      <c r="N703" s="115"/>
      <c r="O703" s="115"/>
      <c r="P703" s="114"/>
      <c r="Q703" s="114"/>
      <c r="R703" s="143"/>
      <c r="S703" s="114"/>
      <c r="T703" s="114"/>
      <c r="U703" s="143"/>
    </row>
    <row r="704" spans="1:21" ht="15.75" customHeight="1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5"/>
      <c r="M704" s="115"/>
      <c r="N704" s="115"/>
      <c r="O704" s="115"/>
      <c r="P704" s="114"/>
      <c r="Q704" s="114"/>
      <c r="R704" s="143"/>
      <c r="S704" s="114"/>
      <c r="T704" s="114"/>
      <c r="U704" s="143"/>
    </row>
    <row r="705" spans="1:21" ht="15.75" customHeight="1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5"/>
      <c r="M705" s="115"/>
      <c r="N705" s="115"/>
      <c r="O705" s="115"/>
      <c r="P705" s="114"/>
      <c r="Q705" s="114"/>
      <c r="R705" s="143"/>
      <c r="S705" s="114"/>
      <c r="T705" s="114"/>
      <c r="U705" s="143"/>
    </row>
    <row r="706" spans="1:21" ht="15.75" customHeight="1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5"/>
      <c r="M706" s="115"/>
      <c r="N706" s="115"/>
      <c r="O706" s="115"/>
      <c r="P706" s="114"/>
      <c r="Q706" s="114"/>
      <c r="R706" s="143"/>
      <c r="S706" s="114"/>
      <c r="T706" s="114"/>
      <c r="U706" s="143"/>
    </row>
    <row r="707" spans="1:21" ht="15.75" customHeight="1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5"/>
      <c r="M707" s="115"/>
      <c r="N707" s="115"/>
      <c r="O707" s="115"/>
      <c r="P707" s="114"/>
      <c r="Q707" s="114"/>
      <c r="R707" s="143"/>
      <c r="S707" s="114"/>
      <c r="T707" s="114"/>
      <c r="U707" s="143"/>
    </row>
    <row r="708" spans="1:21" ht="15.75" customHeight="1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5"/>
      <c r="M708" s="115"/>
      <c r="N708" s="115"/>
      <c r="O708" s="115"/>
      <c r="P708" s="114"/>
      <c r="Q708" s="114"/>
      <c r="R708" s="143"/>
      <c r="S708" s="114"/>
      <c r="T708" s="114"/>
      <c r="U708" s="143"/>
    </row>
    <row r="709" spans="1:21" ht="15.75" customHeight="1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5"/>
      <c r="M709" s="115"/>
      <c r="N709" s="115"/>
      <c r="O709" s="115"/>
      <c r="P709" s="114"/>
      <c r="Q709" s="114"/>
      <c r="R709" s="143"/>
      <c r="S709" s="114"/>
      <c r="T709" s="114"/>
      <c r="U709" s="143"/>
    </row>
    <row r="710" spans="1:21" ht="15.75" customHeight="1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5"/>
      <c r="M710" s="115"/>
      <c r="N710" s="115"/>
      <c r="O710" s="115"/>
      <c r="P710" s="114"/>
      <c r="Q710" s="114"/>
      <c r="R710" s="143"/>
      <c r="S710" s="114"/>
      <c r="T710" s="114"/>
      <c r="U710" s="143"/>
    </row>
    <row r="711" spans="1:21" ht="15.75" customHeight="1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5"/>
      <c r="M711" s="115"/>
      <c r="N711" s="115"/>
      <c r="O711" s="115"/>
      <c r="P711" s="114"/>
      <c r="Q711" s="114"/>
      <c r="R711" s="143"/>
      <c r="S711" s="114"/>
      <c r="T711" s="114"/>
      <c r="U711" s="143"/>
    </row>
    <row r="712" spans="1:21" ht="15.75" customHeight="1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5"/>
      <c r="M712" s="115"/>
      <c r="N712" s="115"/>
      <c r="O712" s="115"/>
      <c r="P712" s="114"/>
      <c r="Q712" s="114"/>
      <c r="R712" s="143"/>
      <c r="S712" s="114"/>
      <c r="T712" s="114"/>
      <c r="U712" s="143"/>
    </row>
    <row r="713" spans="1:21" ht="15.75" customHeight="1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5"/>
      <c r="M713" s="115"/>
      <c r="N713" s="115"/>
      <c r="O713" s="115"/>
      <c r="P713" s="114"/>
      <c r="Q713" s="114"/>
      <c r="R713" s="143"/>
      <c r="S713" s="114"/>
      <c r="T713" s="114"/>
      <c r="U713" s="143"/>
    </row>
    <row r="714" spans="1:21" ht="15.75" customHeight="1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5"/>
      <c r="M714" s="115"/>
      <c r="N714" s="115"/>
      <c r="O714" s="115"/>
      <c r="P714" s="114"/>
      <c r="Q714" s="114"/>
      <c r="R714" s="143"/>
      <c r="S714" s="114"/>
      <c r="T714" s="114"/>
      <c r="U714" s="143"/>
    </row>
    <row r="715" spans="1:21" ht="15.75" customHeight="1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5"/>
      <c r="M715" s="115"/>
      <c r="N715" s="115"/>
      <c r="O715" s="115"/>
      <c r="P715" s="114"/>
      <c r="Q715" s="114"/>
      <c r="R715" s="143"/>
      <c r="S715" s="114"/>
      <c r="T715" s="114"/>
      <c r="U715" s="143"/>
    </row>
    <row r="716" spans="1:21" ht="15.75" customHeight="1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5"/>
      <c r="M716" s="115"/>
      <c r="N716" s="115"/>
      <c r="O716" s="115"/>
      <c r="P716" s="114"/>
      <c r="Q716" s="114"/>
      <c r="R716" s="143"/>
      <c r="S716" s="114"/>
      <c r="T716" s="114"/>
      <c r="U716" s="143"/>
    </row>
    <row r="717" spans="1:21" ht="15.75" customHeight="1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5"/>
      <c r="M717" s="115"/>
      <c r="N717" s="115"/>
      <c r="O717" s="115"/>
      <c r="P717" s="114"/>
      <c r="Q717" s="114"/>
      <c r="R717" s="143"/>
      <c r="S717" s="114"/>
      <c r="T717" s="114"/>
      <c r="U717" s="143"/>
    </row>
    <row r="718" spans="1:21" ht="15.75" customHeight="1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5"/>
      <c r="M718" s="115"/>
      <c r="N718" s="115"/>
      <c r="O718" s="115"/>
      <c r="P718" s="114"/>
      <c r="Q718" s="114"/>
      <c r="R718" s="143"/>
      <c r="S718" s="114"/>
      <c r="T718" s="114"/>
      <c r="U718" s="143"/>
    </row>
    <row r="719" spans="1:21" ht="15.75" customHeight="1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5"/>
      <c r="M719" s="115"/>
      <c r="N719" s="115"/>
      <c r="O719" s="115"/>
      <c r="P719" s="114"/>
      <c r="Q719" s="114"/>
      <c r="R719" s="143"/>
      <c r="S719" s="114"/>
      <c r="T719" s="114"/>
      <c r="U719" s="143"/>
    </row>
    <row r="720" spans="1:21" ht="15.75" customHeight="1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5"/>
      <c r="M720" s="115"/>
      <c r="N720" s="115"/>
      <c r="O720" s="115"/>
      <c r="P720" s="114"/>
      <c r="Q720" s="114"/>
      <c r="R720" s="143"/>
      <c r="S720" s="114"/>
      <c r="T720" s="114"/>
      <c r="U720" s="143"/>
    </row>
    <row r="721" spans="1:21" ht="15.75" customHeight="1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5"/>
      <c r="M721" s="115"/>
      <c r="N721" s="115"/>
      <c r="O721" s="115"/>
      <c r="P721" s="114"/>
      <c r="Q721" s="114"/>
      <c r="R721" s="143"/>
      <c r="S721" s="114"/>
      <c r="T721" s="114"/>
      <c r="U721" s="143"/>
    </row>
    <row r="722" spans="1:21" ht="15.75" customHeight="1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5"/>
      <c r="M722" s="115"/>
      <c r="N722" s="115"/>
      <c r="O722" s="115"/>
      <c r="P722" s="114"/>
      <c r="Q722" s="114"/>
      <c r="R722" s="143"/>
      <c r="S722" s="114"/>
      <c r="T722" s="114"/>
      <c r="U722" s="143"/>
    </row>
    <row r="723" spans="1:21" ht="15.75" customHeight="1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5"/>
      <c r="M723" s="115"/>
      <c r="N723" s="115"/>
      <c r="O723" s="115"/>
      <c r="P723" s="114"/>
      <c r="Q723" s="114"/>
      <c r="R723" s="143"/>
      <c r="S723" s="114"/>
      <c r="T723" s="114"/>
      <c r="U723" s="143"/>
    </row>
    <row r="724" spans="1:21" ht="15.75" customHeight="1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5"/>
      <c r="M724" s="115"/>
      <c r="N724" s="115"/>
      <c r="O724" s="115"/>
      <c r="P724" s="114"/>
      <c r="Q724" s="114"/>
      <c r="R724" s="143"/>
      <c r="S724" s="114"/>
      <c r="T724" s="114"/>
      <c r="U724" s="143"/>
    </row>
    <row r="725" spans="1:21" ht="15.75" customHeight="1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5"/>
      <c r="M725" s="115"/>
      <c r="N725" s="115"/>
      <c r="O725" s="115"/>
      <c r="P725" s="114"/>
      <c r="Q725" s="114"/>
      <c r="R725" s="143"/>
      <c r="S725" s="114"/>
      <c r="T725" s="114"/>
      <c r="U725" s="143"/>
    </row>
    <row r="726" spans="1:21" ht="15.75" customHeight="1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5"/>
      <c r="M726" s="115"/>
      <c r="N726" s="115"/>
      <c r="O726" s="115"/>
      <c r="P726" s="114"/>
      <c r="Q726" s="114"/>
      <c r="R726" s="143"/>
      <c r="S726" s="114"/>
      <c r="T726" s="114"/>
      <c r="U726" s="143"/>
    </row>
    <row r="727" spans="1:21" ht="15.75" customHeight="1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5"/>
      <c r="M727" s="115"/>
      <c r="N727" s="115"/>
      <c r="O727" s="115"/>
      <c r="P727" s="114"/>
      <c r="Q727" s="114"/>
      <c r="R727" s="143"/>
      <c r="S727" s="114"/>
      <c r="T727" s="114"/>
      <c r="U727" s="143"/>
    </row>
    <row r="728" spans="1:21" ht="15.75" customHeight="1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5"/>
      <c r="M728" s="115"/>
      <c r="N728" s="115"/>
      <c r="O728" s="115"/>
      <c r="P728" s="114"/>
      <c r="Q728" s="114"/>
      <c r="R728" s="143"/>
      <c r="S728" s="114"/>
      <c r="T728" s="114"/>
      <c r="U728" s="143"/>
    </row>
    <row r="729" spans="1:21" ht="15.75" customHeight="1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5"/>
      <c r="M729" s="115"/>
      <c r="N729" s="115"/>
      <c r="O729" s="115"/>
      <c r="P729" s="114"/>
      <c r="Q729" s="114"/>
      <c r="R729" s="143"/>
      <c r="S729" s="114"/>
      <c r="T729" s="114"/>
      <c r="U729" s="143"/>
    </row>
    <row r="730" spans="1:21" ht="15.75" customHeight="1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5"/>
      <c r="M730" s="115"/>
      <c r="N730" s="115"/>
      <c r="O730" s="115"/>
      <c r="P730" s="114"/>
      <c r="Q730" s="114"/>
      <c r="R730" s="143"/>
      <c r="S730" s="114"/>
      <c r="T730" s="114"/>
      <c r="U730" s="143"/>
    </row>
    <row r="731" spans="1:21" ht="15.75" customHeight="1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5"/>
      <c r="M731" s="115"/>
      <c r="N731" s="115"/>
      <c r="O731" s="115"/>
      <c r="P731" s="114"/>
      <c r="Q731" s="114"/>
      <c r="R731" s="143"/>
      <c r="S731" s="114"/>
      <c r="T731" s="114"/>
      <c r="U731" s="143"/>
    </row>
    <row r="732" spans="1:21" ht="15.75" customHeight="1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5"/>
      <c r="M732" s="115"/>
      <c r="N732" s="115"/>
      <c r="O732" s="115"/>
      <c r="P732" s="114"/>
      <c r="Q732" s="114"/>
      <c r="R732" s="143"/>
      <c r="S732" s="114"/>
      <c r="T732" s="114"/>
      <c r="U732" s="143"/>
    </row>
    <row r="733" spans="1:21" ht="15.75" customHeight="1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5"/>
      <c r="M733" s="115"/>
      <c r="N733" s="115"/>
      <c r="O733" s="115"/>
      <c r="P733" s="114"/>
      <c r="Q733" s="114"/>
      <c r="R733" s="143"/>
      <c r="S733" s="114"/>
      <c r="T733" s="114"/>
      <c r="U733" s="143"/>
    </row>
    <row r="734" spans="1:21" ht="15.75" customHeight="1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5"/>
      <c r="M734" s="115"/>
      <c r="N734" s="115"/>
      <c r="O734" s="115"/>
      <c r="P734" s="114"/>
      <c r="Q734" s="114"/>
      <c r="R734" s="143"/>
      <c r="S734" s="114"/>
      <c r="T734" s="114"/>
      <c r="U734" s="143"/>
    </row>
    <row r="735" spans="1:21" ht="15.75" customHeight="1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5"/>
      <c r="M735" s="115"/>
      <c r="N735" s="115"/>
      <c r="O735" s="115"/>
      <c r="P735" s="114"/>
      <c r="Q735" s="114"/>
      <c r="R735" s="143"/>
      <c r="S735" s="114"/>
      <c r="T735" s="114"/>
      <c r="U735" s="143"/>
    </row>
    <row r="736" spans="1:21" ht="15.75" customHeight="1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5"/>
      <c r="M736" s="115"/>
      <c r="N736" s="115"/>
      <c r="O736" s="115"/>
      <c r="P736" s="114"/>
      <c r="Q736" s="114"/>
      <c r="R736" s="143"/>
      <c r="S736" s="114"/>
      <c r="T736" s="114"/>
      <c r="U736" s="143"/>
    </row>
    <row r="737" spans="1:21" ht="15.75" customHeight="1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5"/>
      <c r="M737" s="115"/>
      <c r="N737" s="115"/>
      <c r="O737" s="115"/>
      <c r="P737" s="114"/>
      <c r="Q737" s="114"/>
      <c r="R737" s="143"/>
      <c r="S737" s="114"/>
      <c r="T737" s="114"/>
      <c r="U737" s="143"/>
    </row>
    <row r="738" spans="1:21" ht="15.75" customHeight="1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5"/>
      <c r="M738" s="115"/>
      <c r="N738" s="115"/>
      <c r="O738" s="115"/>
      <c r="P738" s="114"/>
      <c r="Q738" s="114"/>
      <c r="R738" s="143"/>
      <c r="S738" s="114"/>
      <c r="T738" s="114"/>
      <c r="U738" s="143"/>
    </row>
    <row r="739" spans="1:21" ht="15.75" customHeight="1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5"/>
      <c r="M739" s="115"/>
      <c r="N739" s="115"/>
      <c r="O739" s="115"/>
      <c r="P739" s="114"/>
      <c r="Q739" s="114"/>
      <c r="R739" s="143"/>
      <c r="S739" s="114"/>
      <c r="T739" s="114"/>
      <c r="U739" s="143"/>
    </row>
    <row r="740" spans="1:21" ht="15.75" customHeight="1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5"/>
      <c r="M740" s="115"/>
      <c r="N740" s="115"/>
      <c r="O740" s="115"/>
      <c r="P740" s="114"/>
      <c r="Q740" s="114"/>
      <c r="R740" s="143"/>
      <c r="S740" s="114"/>
      <c r="T740" s="114"/>
      <c r="U740" s="143"/>
    </row>
    <row r="741" spans="1:21" ht="15.75" customHeight="1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5"/>
      <c r="M741" s="115"/>
      <c r="N741" s="115"/>
      <c r="O741" s="115"/>
      <c r="P741" s="114"/>
      <c r="Q741" s="114"/>
      <c r="R741" s="143"/>
      <c r="S741" s="114"/>
      <c r="T741" s="114"/>
      <c r="U741" s="143"/>
    </row>
    <row r="742" spans="1:21" ht="15.75" customHeight="1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5"/>
      <c r="M742" s="115"/>
      <c r="N742" s="115"/>
      <c r="O742" s="115"/>
      <c r="P742" s="114"/>
      <c r="Q742" s="114"/>
      <c r="R742" s="143"/>
      <c r="S742" s="114"/>
      <c r="T742" s="114"/>
      <c r="U742" s="143"/>
    </row>
    <row r="743" spans="1:21" ht="15.75" customHeight="1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5"/>
      <c r="M743" s="115"/>
      <c r="N743" s="115"/>
      <c r="O743" s="115"/>
      <c r="P743" s="114"/>
      <c r="Q743" s="114"/>
      <c r="R743" s="143"/>
      <c r="S743" s="114"/>
      <c r="T743" s="114"/>
      <c r="U743" s="143"/>
    </row>
    <row r="744" spans="1:21" ht="15.75" customHeight="1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5"/>
      <c r="M744" s="115"/>
      <c r="N744" s="115"/>
      <c r="O744" s="115"/>
      <c r="P744" s="114"/>
      <c r="Q744" s="114"/>
      <c r="R744" s="143"/>
      <c r="S744" s="114"/>
      <c r="T744" s="114"/>
      <c r="U744" s="143"/>
    </row>
    <row r="745" spans="1:21" ht="15.75" customHeight="1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5"/>
      <c r="M745" s="115"/>
      <c r="N745" s="115"/>
      <c r="O745" s="115"/>
      <c r="P745" s="114"/>
      <c r="Q745" s="114"/>
      <c r="R745" s="143"/>
      <c r="S745" s="114"/>
      <c r="T745" s="114"/>
      <c r="U745" s="143"/>
    </row>
    <row r="746" spans="1:21" ht="15.75" customHeight="1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5"/>
      <c r="M746" s="115"/>
      <c r="N746" s="115"/>
      <c r="O746" s="115"/>
      <c r="P746" s="114"/>
      <c r="Q746" s="114"/>
      <c r="R746" s="143"/>
      <c r="S746" s="114"/>
      <c r="T746" s="114"/>
      <c r="U746" s="143"/>
    </row>
    <row r="747" spans="1:21" ht="15.75" customHeight="1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5"/>
      <c r="M747" s="115"/>
      <c r="N747" s="115"/>
      <c r="O747" s="115"/>
      <c r="P747" s="114"/>
      <c r="Q747" s="114"/>
      <c r="R747" s="143"/>
      <c r="S747" s="114"/>
      <c r="T747" s="114"/>
      <c r="U747" s="143"/>
    </row>
    <row r="748" spans="1:21" ht="15.75" customHeight="1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5"/>
      <c r="M748" s="115"/>
      <c r="N748" s="115"/>
      <c r="O748" s="115"/>
      <c r="P748" s="114"/>
      <c r="Q748" s="114"/>
      <c r="R748" s="143"/>
      <c r="S748" s="114"/>
      <c r="T748" s="114"/>
      <c r="U748" s="143"/>
    </row>
    <row r="749" spans="1:21" ht="15.75" customHeight="1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5"/>
      <c r="M749" s="115"/>
      <c r="N749" s="115"/>
      <c r="O749" s="115"/>
      <c r="P749" s="114"/>
      <c r="Q749" s="114"/>
      <c r="R749" s="143"/>
      <c r="S749" s="114"/>
      <c r="T749" s="114"/>
      <c r="U749" s="143"/>
    </row>
    <row r="750" spans="1:21" ht="15.75" customHeight="1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5"/>
      <c r="M750" s="115"/>
      <c r="N750" s="115"/>
      <c r="O750" s="115"/>
      <c r="P750" s="114"/>
      <c r="Q750" s="114"/>
      <c r="R750" s="143"/>
      <c r="S750" s="114"/>
      <c r="T750" s="114"/>
      <c r="U750" s="143"/>
    </row>
    <row r="751" spans="1:21" ht="15.75" customHeight="1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5"/>
      <c r="M751" s="115"/>
      <c r="N751" s="115"/>
      <c r="O751" s="115"/>
      <c r="P751" s="114"/>
      <c r="Q751" s="114"/>
      <c r="R751" s="143"/>
      <c r="S751" s="114"/>
      <c r="T751" s="114"/>
      <c r="U751" s="143"/>
    </row>
    <row r="752" spans="1:21" ht="15.75" customHeight="1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5"/>
      <c r="M752" s="115"/>
      <c r="N752" s="115"/>
      <c r="O752" s="115"/>
      <c r="P752" s="114"/>
      <c r="Q752" s="114"/>
      <c r="R752" s="143"/>
      <c r="S752" s="114"/>
      <c r="T752" s="114"/>
      <c r="U752" s="143"/>
    </row>
    <row r="753" spans="1:21" ht="15.75" customHeight="1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5"/>
      <c r="M753" s="115"/>
      <c r="N753" s="115"/>
      <c r="O753" s="115"/>
      <c r="P753" s="114"/>
      <c r="Q753" s="114"/>
      <c r="R753" s="143"/>
      <c r="S753" s="114"/>
      <c r="T753" s="114"/>
      <c r="U753" s="143"/>
    </row>
    <row r="754" spans="1:21" ht="15.75" customHeight="1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5"/>
      <c r="M754" s="115"/>
      <c r="N754" s="115"/>
      <c r="O754" s="115"/>
      <c r="P754" s="114"/>
      <c r="Q754" s="114"/>
      <c r="R754" s="143"/>
      <c r="S754" s="114"/>
      <c r="T754" s="114"/>
      <c r="U754" s="143"/>
    </row>
    <row r="755" spans="1:21" ht="15.75" customHeight="1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5"/>
      <c r="M755" s="115"/>
      <c r="N755" s="115"/>
      <c r="O755" s="115"/>
      <c r="P755" s="114"/>
      <c r="Q755" s="114"/>
      <c r="R755" s="143"/>
      <c r="S755" s="114"/>
      <c r="T755" s="114"/>
      <c r="U755" s="143"/>
    </row>
    <row r="756" spans="1:21" ht="15.75" customHeight="1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5"/>
      <c r="M756" s="115"/>
      <c r="N756" s="115"/>
      <c r="O756" s="115"/>
      <c r="P756" s="114"/>
      <c r="Q756" s="114"/>
      <c r="R756" s="143"/>
      <c r="S756" s="114"/>
      <c r="T756" s="114"/>
      <c r="U756" s="143"/>
    </row>
    <row r="757" spans="1:21" ht="15.75" customHeight="1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5"/>
      <c r="M757" s="115"/>
      <c r="N757" s="115"/>
      <c r="O757" s="115"/>
      <c r="P757" s="114"/>
      <c r="Q757" s="114"/>
      <c r="R757" s="143"/>
      <c r="S757" s="114"/>
      <c r="T757" s="114"/>
      <c r="U757" s="143"/>
    </row>
    <row r="758" spans="1:21" ht="15.75" customHeight="1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5"/>
      <c r="M758" s="115"/>
      <c r="N758" s="115"/>
      <c r="O758" s="115"/>
      <c r="P758" s="114"/>
      <c r="Q758" s="114"/>
      <c r="R758" s="143"/>
      <c r="S758" s="114"/>
      <c r="T758" s="114"/>
      <c r="U758" s="143"/>
    </row>
    <row r="759" spans="1:21" ht="15.75" customHeight="1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5"/>
      <c r="M759" s="115"/>
      <c r="N759" s="115"/>
      <c r="O759" s="115"/>
      <c r="P759" s="114"/>
      <c r="Q759" s="114"/>
      <c r="R759" s="143"/>
      <c r="S759" s="114"/>
      <c r="T759" s="114"/>
      <c r="U759" s="143"/>
    </row>
    <row r="760" spans="1:21" ht="15.75" customHeight="1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5"/>
      <c r="M760" s="115"/>
      <c r="N760" s="115"/>
      <c r="O760" s="115"/>
      <c r="P760" s="114"/>
      <c r="Q760" s="114"/>
      <c r="R760" s="143"/>
      <c r="S760" s="114"/>
      <c r="T760" s="114"/>
      <c r="U760" s="143"/>
    </row>
    <row r="761" spans="1:21" ht="15.75" customHeight="1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5"/>
      <c r="M761" s="115"/>
      <c r="N761" s="115"/>
      <c r="O761" s="115"/>
      <c r="P761" s="114"/>
      <c r="Q761" s="114"/>
      <c r="R761" s="143"/>
      <c r="S761" s="114"/>
      <c r="T761" s="114"/>
      <c r="U761" s="143"/>
    </row>
    <row r="762" spans="1:21" ht="15.75" customHeight="1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5"/>
      <c r="M762" s="115"/>
      <c r="N762" s="115"/>
      <c r="O762" s="115"/>
      <c r="P762" s="114"/>
      <c r="Q762" s="114"/>
      <c r="R762" s="143"/>
      <c r="S762" s="114"/>
      <c r="T762" s="114"/>
      <c r="U762" s="143"/>
    </row>
    <row r="763" spans="1:21" ht="15.75" customHeight="1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5"/>
      <c r="M763" s="115"/>
      <c r="N763" s="115"/>
      <c r="O763" s="115"/>
      <c r="P763" s="114"/>
      <c r="Q763" s="114"/>
      <c r="R763" s="143"/>
      <c r="S763" s="114"/>
      <c r="T763" s="114"/>
      <c r="U763" s="143"/>
    </row>
    <row r="764" spans="1:21" ht="15.75" customHeight="1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5"/>
      <c r="M764" s="115"/>
      <c r="N764" s="115"/>
      <c r="O764" s="115"/>
      <c r="P764" s="114"/>
      <c r="Q764" s="114"/>
      <c r="R764" s="143"/>
      <c r="S764" s="114"/>
      <c r="T764" s="114"/>
      <c r="U764" s="143"/>
    </row>
    <row r="765" spans="1:21" ht="15.75" customHeight="1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5"/>
      <c r="M765" s="115"/>
      <c r="N765" s="115"/>
      <c r="O765" s="115"/>
      <c r="P765" s="114"/>
      <c r="Q765" s="114"/>
      <c r="R765" s="143"/>
      <c r="S765" s="114"/>
      <c r="T765" s="114"/>
      <c r="U765" s="143"/>
    </row>
    <row r="766" spans="1:21" ht="15.75" customHeight="1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5"/>
      <c r="M766" s="115"/>
      <c r="N766" s="115"/>
      <c r="O766" s="115"/>
      <c r="P766" s="114"/>
      <c r="Q766" s="114"/>
      <c r="R766" s="143"/>
      <c r="S766" s="114"/>
      <c r="T766" s="114"/>
      <c r="U766" s="143"/>
    </row>
    <row r="767" spans="1:21" ht="15.75" customHeight="1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5"/>
      <c r="M767" s="115"/>
      <c r="N767" s="115"/>
      <c r="O767" s="115"/>
      <c r="P767" s="114"/>
      <c r="Q767" s="114"/>
      <c r="R767" s="143"/>
      <c r="S767" s="114"/>
      <c r="T767" s="114"/>
      <c r="U767" s="143"/>
    </row>
    <row r="768" spans="1:21" ht="15.75" customHeight="1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5"/>
      <c r="M768" s="115"/>
      <c r="N768" s="115"/>
      <c r="O768" s="115"/>
      <c r="P768" s="114"/>
      <c r="Q768" s="114"/>
      <c r="R768" s="143"/>
      <c r="S768" s="114"/>
      <c r="T768" s="114"/>
      <c r="U768" s="143"/>
    </row>
    <row r="769" spans="1:21" ht="15.75" customHeight="1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5"/>
      <c r="M769" s="115"/>
      <c r="N769" s="115"/>
      <c r="O769" s="115"/>
      <c r="P769" s="114"/>
      <c r="Q769" s="114"/>
      <c r="R769" s="143"/>
      <c r="S769" s="114"/>
      <c r="T769" s="114"/>
      <c r="U769" s="143"/>
    </row>
    <row r="770" spans="1:21" ht="15.75" customHeight="1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5"/>
      <c r="M770" s="115"/>
      <c r="N770" s="115"/>
      <c r="O770" s="115"/>
      <c r="P770" s="114"/>
      <c r="Q770" s="114"/>
      <c r="R770" s="143"/>
      <c r="S770" s="114"/>
      <c r="T770" s="114"/>
      <c r="U770" s="143"/>
    </row>
    <row r="771" spans="1:21" ht="15.75" customHeight="1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5"/>
      <c r="M771" s="115"/>
      <c r="N771" s="115"/>
      <c r="O771" s="115"/>
      <c r="P771" s="114"/>
      <c r="Q771" s="114"/>
      <c r="R771" s="143"/>
      <c r="S771" s="114"/>
      <c r="T771" s="114"/>
      <c r="U771" s="143"/>
    </row>
    <row r="772" spans="1:21" ht="15.75" customHeight="1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5"/>
      <c r="M772" s="115"/>
      <c r="N772" s="115"/>
      <c r="O772" s="115"/>
      <c r="P772" s="114"/>
      <c r="Q772" s="114"/>
      <c r="R772" s="143"/>
      <c r="S772" s="114"/>
      <c r="T772" s="114"/>
      <c r="U772" s="143"/>
    </row>
    <row r="773" spans="1:21" ht="15.75" customHeight="1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5"/>
      <c r="M773" s="115"/>
      <c r="N773" s="115"/>
      <c r="O773" s="115"/>
      <c r="P773" s="114"/>
      <c r="Q773" s="114"/>
      <c r="R773" s="143"/>
      <c r="S773" s="114"/>
      <c r="T773" s="114"/>
      <c r="U773" s="143"/>
    </row>
    <row r="774" spans="1:21" ht="15.75" customHeight="1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5"/>
      <c r="M774" s="115"/>
      <c r="N774" s="115"/>
      <c r="O774" s="115"/>
      <c r="P774" s="114"/>
      <c r="Q774" s="114"/>
      <c r="R774" s="143"/>
      <c r="S774" s="114"/>
      <c r="T774" s="114"/>
      <c r="U774" s="143"/>
    </row>
    <row r="775" spans="1:21" ht="15.75" customHeight="1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5"/>
      <c r="M775" s="115"/>
      <c r="N775" s="115"/>
      <c r="O775" s="115"/>
      <c r="P775" s="114"/>
      <c r="Q775" s="114"/>
      <c r="R775" s="143"/>
      <c r="S775" s="114"/>
      <c r="T775" s="114"/>
      <c r="U775" s="143"/>
    </row>
    <row r="776" spans="1:21" ht="15.75" customHeight="1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5"/>
      <c r="M776" s="115"/>
      <c r="N776" s="115"/>
      <c r="O776" s="115"/>
      <c r="P776" s="114"/>
      <c r="Q776" s="114"/>
      <c r="R776" s="143"/>
      <c r="S776" s="114"/>
      <c r="T776" s="114"/>
      <c r="U776" s="143"/>
    </row>
    <row r="777" spans="1:21" ht="15.75" customHeight="1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5"/>
      <c r="M777" s="115"/>
      <c r="N777" s="115"/>
      <c r="O777" s="115"/>
      <c r="P777" s="114"/>
      <c r="Q777" s="114"/>
      <c r="R777" s="143"/>
      <c r="S777" s="114"/>
      <c r="T777" s="114"/>
      <c r="U777" s="143"/>
    </row>
    <row r="778" spans="1:21" ht="15.75" customHeight="1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5"/>
      <c r="M778" s="115"/>
      <c r="N778" s="115"/>
      <c r="O778" s="115"/>
      <c r="P778" s="114"/>
      <c r="Q778" s="114"/>
      <c r="R778" s="143"/>
      <c r="S778" s="114"/>
      <c r="T778" s="114"/>
      <c r="U778" s="143"/>
    </row>
    <row r="779" spans="1:21" ht="15.75" customHeight="1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5"/>
      <c r="M779" s="115"/>
      <c r="N779" s="115"/>
      <c r="O779" s="115"/>
      <c r="P779" s="114"/>
      <c r="Q779" s="114"/>
      <c r="R779" s="143"/>
      <c r="S779" s="114"/>
      <c r="T779" s="114"/>
      <c r="U779" s="143"/>
    </row>
    <row r="780" spans="1:21" ht="15.75" customHeight="1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5"/>
      <c r="M780" s="115"/>
      <c r="N780" s="115"/>
      <c r="O780" s="115"/>
      <c r="P780" s="114"/>
      <c r="Q780" s="114"/>
      <c r="R780" s="143"/>
      <c r="S780" s="114"/>
      <c r="T780" s="114"/>
      <c r="U780" s="143"/>
    </row>
    <row r="781" spans="1:21" ht="15.75" customHeight="1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5"/>
      <c r="M781" s="115"/>
      <c r="N781" s="115"/>
      <c r="O781" s="115"/>
      <c r="P781" s="114"/>
      <c r="Q781" s="114"/>
      <c r="R781" s="143"/>
      <c r="S781" s="114"/>
      <c r="T781" s="114"/>
      <c r="U781" s="143"/>
    </row>
    <row r="782" spans="1:21" ht="15.75" customHeight="1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5"/>
      <c r="M782" s="115"/>
      <c r="N782" s="115"/>
      <c r="O782" s="115"/>
      <c r="P782" s="114"/>
      <c r="Q782" s="114"/>
      <c r="R782" s="143"/>
      <c r="S782" s="114"/>
      <c r="T782" s="114"/>
      <c r="U782" s="143"/>
    </row>
    <row r="783" spans="1:21" ht="15.75" customHeight="1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5"/>
      <c r="M783" s="115"/>
      <c r="N783" s="115"/>
      <c r="O783" s="115"/>
      <c r="P783" s="114"/>
      <c r="Q783" s="114"/>
      <c r="R783" s="143"/>
      <c r="S783" s="114"/>
      <c r="T783" s="114"/>
      <c r="U783" s="143"/>
    </row>
    <row r="784" spans="1:21" ht="15.75" customHeight="1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5"/>
      <c r="M784" s="115"/>
      <c r="N784" s="115"/>
      <c r="O784" s="115"/>
      <c r="P784" s="114"/>
      <c r="Q784" s="114"/>
      <c r="R784" s="143"/>
      <c r="S784" s="114"/>
      <c r="T784" s="114"/>
      <c r="U784" s="143"/>
    </row>
    <row r="785" spans="1:21" ht="15.75" customHeight="1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5"/>
      <c r="M785" s="115"/>
      <c r="N785" s="115"/>
      <c r="O785" s="115"/>
      <c r="P785" s="114"/>
      <c r="Q785" s="114"/>
      <c r="R785" s="143"/>
      <c r="S785" s="114"/>
      <c r="T785" s="114"/>
      <c r="U785" s="143"/>
    </row>
    <row r="786" spans="1:21" ht="15.75" customHeight="1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5"/>
      <c r="M786" s="115"/>
      <c r="N786" s="115"/>
      <c r="O786" s="115"/>
      <c r="P786" s="114"/>
      <c r="Q786" s="114"/>
      <c r="R786" s="143"/>
      <c r="S786" s="114"/>
      <c r="T786" s="114"/>
      <c r="U786" s="143"/>
    </row>
    <row r="787" spans="1:21" ht="15.75" customHeight="1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5"/>
      <c r="M787" s="115"/>
      <c r="N787" s="115"/>
      <c r="O787" s="115"/>
      <c r="P787" s="114"/>
      <c r="Q787" s="114"/>
      <c r="R787" s="143"/>
      <c r="S787" s="114"/>
      <c r="T787" s="114"/>
      <c r="U787" s="143"/>
    </row>
    <row r="788" spans="1:21" ht="15.75" customHeight="1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5"/>
      <c r="M788" s="115"/>
      <c r="N788" s="115"/>
      <c r="O788" s="115"/>
      <c r="P788" s="114"/>
      <c r="Q788" s="114"/>
      <c r="R788" s="143"/>
      <c r="S788" s="114"/>
      <c r="T788" s="114"/>
      <c r="U788" s="143"/>
    </row>
    <row r="789" spans="1:21" ht="15.75" customHeight="1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5"/>
      <c r="M789" s="115"/>
      <c r="N789" s="115"/>
      <c r="O789" s="115"/>
      <c r="P789" s="114"/>
      <c r="Q789" s="114"/>
      <c r="R789" s="143"/>
      <c r="S789" s="114"/>
      <c r="T789" s="114"/>
      <c r="U789" s="143"/>
    </row>
    <row r="790" spans="1:21" ht="15.75" customHeight="1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5"/>
      <c r="M790" s="115"/>
      <c r="N790" s="115"/>
      <c r="O790" s="115"/>
      <c r="P790" s="114"/>
      <c r="Q790" s="114"/>
      <c r="R790" s="143"/>
      <c r="S790" s="114"/>
      <c r="T790" s="114"/>
      <c r="U790" s="143"/>
    </row>
    <row r="791" spans="1:21" ht="15.75" customHeight="1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5"/>
      <c r="M791" s="115"/>
      <c r="N791" s="115"/>
      <c r="O791" s="115"/>
      <c r="P791" s="114"/>
      <c r="Q791" s="114"/>
      <c r="R791" s="143"/>
      <c r="S791" s="114"/>
      <c r="T791" s="114"/>
      <c r="U791" s="143"/>
    </row>
    <row r="792" spans="1:21" ht="15.75" customHeight="1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5"/>
      <c r="M792" s="115"/>
      <c r="N792" s="115"/>
      <c r="O792" s="115"/>
      <c r="P792" s="114"/>
      <c r="Q792" s="114"/>
      <c r="R792" s="143"/>
      <c r="S792" s="114"/>
      <c r="T792" s="114"/>
      <c r="U792" s="143"/>
    </row>
    <row r="793" spans="1:21" ht="15.75" customHeight="1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5"/>
      <c r="M793" s="115"/>
      <c r="N793" s="115"/>
      <c r="O793" s="115"/>
      <c r="P793" s="114"/>
      <c r="Q793" s="114"/>
      <c r="R793" s="143"/>
      <c r="S793" s="114"/>
      <c r="T793" s="114"/>
      <c r="U793" s="143"/>
    </row>
    <row r="794" spans="1:21" ht="15.75" customHeight="1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5"/>
      <c r="M794" s="115"/>
      <c r="N794" s="115"/>
      <c r="O794" s="115"/>
      <c r="P794" s="114"/>
      <c r="Q794" s="114"/>
      <c r="R794" s="143"/>
      <c r="S794" s="114"/>
      <c r="T794" s="114"/>
      <c r="U794" s="143"/>
    </row>
    <row r="795" spans="1:21" ht="15.75" customHeight="1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5"/>
      <c r="M795" s="115"/>
      <c r="N795" s="115"/>
      <c r="O795" s="115"/>
      <c r="P795" s="114"/>
      <c r="Q795" s="114"/>
      <c r="R795" s="143"/>
      <c r="S795" s="114"/>
      <c r="T795" s="114"/>
      <c r="U795" s="143"/>
    </row>
    <row r="796" spans="1:21" ht="15.75" customHeight="1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5"/>
      <c r="M796" s="115"/>
      <c r="N796" s="115"/>
      <c r="O796" s="115"/>
      <c r="P796" s="114"/>
      <c r="Q796" s="114"/>
      <c r="R796" s="143"/>
      <c r="S796" s="114"/>
      <c r="T796" s="114"/>
      <c r="U796" s="143"/>
    </row>
    <row r="797" spans="1:21" ht="15.75" customHeight="1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5"/>
      <c r="M797" s="115"/>
      <c r="N797" s="115"/>
      <c r="O797" s="115"/>
      <c r="P797" s="114"/>
      <c r="Q797" s="114"/>
      <c r="R797" s="143"/>
      <c r="S797" s="114"/>
      <c r="T797" s="114"/>
      <c r="U797" s="143"/>
    </row>
    <row r="798" spans="1:21" ht="15.75" customHeight="1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5"/>
      <c r="M798" s="115"/>
      <c r="N798" s="115"/>
      <c r="O798" s="115"/>
      <c r="P798" s="114"/>
      <c r="Q798" s="114"/>
      <c r="R798" s="143"/>
      <c r="S798" s="114"/>
      <c r="T798" s="114"/>
      <c r="U798" s="143"/>
    </row>
    <row r="799" spans="1:21" ht="15.75" customHeight="1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5"/>
      <c r="M799" s="115"/>
      <c r="N799" s="115"/>
      <c r="O799" s="115"/>
      <c r="P799" s="114"/>
      <c r="Q799" s="114"/>
      <c r="R799" s="143"/>
      <c r="S799" s="114"/>
      <c r="T799" s="114"/>
      <c r="U799" s="143"/>
    </row>
    <row r="800" spans="1:21" ht="15.75" customHeight="1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5"/>
      <c r="M800" s="115"/>
      <c r="N800" s="115"/>
      <c r="O800" s="115"/>
      <c r="P800" s="114"/>
      <c r="Q800" s="114"/>
      <c r="R800" s="143"/>
      <c r="S800" s="114"/>
      <c r="T800" s="114"/>
      <c r="U800" s="143"/>
    </row>
    <row r="801" spans="1:21" ht="15.75" customHeight="1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5"/>
      <c r="M801" s="115"/>
      <c r="N801" s="115"/>
      <c r="O801" s="115"/>
      <c r="P801" s="114"/>
      <c r="Q801" s="114"/>
      <c r="R801" s="143"/>
      <c r="S801" s="114"/>
      <c r="T801" s="114"/>
      <c r="U801" s="143"/>
    </row>
    <row r="802" spans="1:21" ht="15.75" customHeight="1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5"/>
      <c r="M802" s="115"/>
      <c r="N802" s="115"/>
      <c r="O802" s="115"/>
      <c r="P802" s="114"/>
      <c r="Q802" s="114"/>
      <c r="R802" s="143"/>
      <c r="S802" s="114"/>
      <c r="T802" s="114"/>
      <c r="U802" s="143"/>
    </row>
    <row r="803" spans="1:21" ht="15.75" customHeight="1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5"/>
      <c r="M803" s="115"/>
      <c r="N803" s="115"/>
      <c r="O803" s="115"/>
      <c r="P803" s="114"/>
      <c r="Q803" s="114"/>
      <c r="R803" s="143"/>
      <c r="S803" s="114"/>
      <c r="T803" s="114"/>
      <c r="U803" s="143"/>
    </row>
    <row r="804" spans="1:21" ht="15.75" customHeight="1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5"/>
      <c r="M804" s="115"/>
      <c r="N804" s="115"/>
      <c r="O804" s="115"/>
      <c r="P804" s="114"/>
      <c r="Q804" s="114"/>
      <c r="R804" s="143"/>
      <c r="S804" s="114"/>
      <c r="T804" s="114"/>
      <c r="U804" s="143"/>
    </row>
    <row r="805" spans="1:21" ht="15.75" customHeight="1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5"/>
      <c r="M805" s="115"/>
      <c r="N805" s="115"/>
      <c r="O805" s="115"/>
      <c r="P805" s="114"/>
      <c r="Q805" s="114"/>
      <c r="R805" s="143"/>
      <c r="S805" s="114"/>
      <c r="T805" s="114"/>
      <c r="U805" s="143"/>
    </row>
    <row r="806" spans="1:21" ht="15.75" customHeight="1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5"/>
      <c r="M806" s="115"/>
      <c r="N806" s="115"/>
      <c r="O806" s="115"/>
      <c r="P806" s="114"/>
      <c r="Q806" s="114"/>
      <c r="R806" s="143"/>
      <c r="S806" s="114"/>
      <c r="T806" s="114"/>
      <c r="U806" s="143"/>
    </row>
    <row r="807" spans="1:21" ht="15.75" customHeight="1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5"/>
      <c r="M807" s="115"/>
      <c r="N807" s="115"/>
      <c r="O807" s="115"/>
      <c r="P807" s="114"/>
      <c r="Q807" s="114"/>
      <c r="R807" s="143"/>
      <c r="S807" s="114"/>
      <c r="T807" s="114"/>
      <c r="U807" s="143"/>
    </row>
    <row r="808" spans="1:21" ht="15.75" customHeight="1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5"/>
      <c r="M808" s="115"/>
      <c r="N808" s="115"/>
      <c r="O808" s="115"/>
      <c r="P808" s="114"/>
      <c r="Q808" s="114"/>
      <c r="R808" s="143"/>
      <c r="S808" s="114"/>
      <c r="T808" s="114"/>
      <c r="U808" s="143"/>
    </row>
    <row r="809" spans="1:21" ht="15.75" customHeight="1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5"/>
      <c r="M809" s="115"/>
      <c r="N809" s="115"/>
      <c r="O809" s="115"/>
      <c r="P809" s="114"/>
      <c r="Q809" s="114"/>
      <c r="R809" s="143"/>
      <c r="S809" s="114"/>
      <c r="T809" s="114"/>
      <c r="U809" s="143"/>
    </row>
    <row r="810" spans="1:21" ht="15.75" customHeight="1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5"/>
      <c r="M810" s="115"/>
      <c r="N810" s="115"/>
      <c r="O810" s="115"/>
      <c r="P810" s="114"/>
      <c r="Q810" s="114"/>
      <c r="R810" s="143"/>
      <c r="S810" s="114"/>
      <c r="T810" s="114"/>
      <c r="U810" s="143"/>
    </row>
    <row r="811" spans="1:21" ht="15.75" customHeight="1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5"/>
      <c r="M811" s="115"/>
      <c r="N811" s="115"/>
      <c r="O811" s="115"/>
      <c r="P811" s="114"/>
      <c r="Q811" s="114"/>
      <c r="R811" s="143"/>
      <c r="S811" s="114"/>
      <c r="T811" s="114"/>
      <c r="U811" s="143"/>
    </row>
    <row r="812" spans="1:21" ht="15.75" customHeight="1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5"/>
      <c r="M812" s="115"/>
      <c r="N812" s="115"/>
      <c r="O812" s="115"/>
      <c r="P812" s="114"/>
      <c r="Q812" s="114"/>
      <c r="R812" s="143"/>
      <c r="S812" s="114"/>
      <c r="T812" s="114"/>
      <c r="U812" s="143"/>
    </row>
    <row r="813" spans="1:21" ht="15.75" customHeight="1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5"/>
      <c r="M813" s="115"/>
      <c r="N813" s="115"/>
      <c r="O813" s="115"/>
      <c r="P813" s="114"/>
      <c r="Q813" s="114"/>
      <c r="R813" s="143"/>
      <c r="S813" s="114"/>
      <c r="T813" s="114"/>
      <c r="U813" s="143"/>
    </row>
    <row r="814" spans="1:21" ht="15.75" customHeight="1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5"/>
      <c r="M814" s="115"/>
      <c r="N814" s="115"/>
      <c r="O814" s="115"/>
      <c r="P814" s="114"/>
      <c r="Q814" s="114"/>
      <c r="R814" s="143"/>
      <c r="S814" s="114"/>
      <c r="T814" s="114"/>
      <c r="U814" s="143"/>
    </row>
    <row r="815" spans="1:21" ht="15.75" customHeight="1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5"/>
      <c r="M815" s="115"/>
      <c r="N815" s="115"/>
      <c r="O815" s="115"/>
      <c r="P815" s="114"/>
      <c r="Q815" s="114"/>
      <c r="R815" s="143"/>
      <c r="S815" s="114"/>
      <c r="T815" s="114"/>
      <c r="U815" s="143"/>
    </row>
    <row r="816" spans="1:21" ht="15.75" customHeight="1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5"/>
      <c r="M816" s="115"/>
      <c r="N816" s="115"/>
      <c r="O816" s="115"/>
      <c r="P816" s="114"/>
      <c r="Q816" s="114"/>
      <c r="R816" s="143"/>
      <c r="S816" s="114"/>
      <c r="T816" s="114"/>
      <c r="U816" s="143"/>
    </row>
    <row r="817" spans="1:21" ht="15.75" customHeight="1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5"/>
      <c r="M817" s="115"/>
      <c r="N817" s="115"/>
      <c r="O817" s="115"/>
      <c r="P817" s="114"/>
      <c r="Q817" s="114"/>
      <c r="R817" s="143"/>
      <c r="S817" s="114"/>
      <c r="T817" s="114"/>
      <c r="U817" s="143"/>
    </row>
    <row r="818" spans="1:21" ht="15.75" customHeight="1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5"/>
      <c r="M818" s="115"/>
      <c r="N818" s="115"/>
      <c r="O818" s="115"/>
      <c r="P818" s="114"/>
      <c r="Q818" s="114"/>
      <c r="R818" s="143"/>
      <c r="S818" s="114"/>
      <c r="T818" s="114"/>
      <c r="U818" s="143"/>
    </row>
    <row r="819" spans="1:21" ht="15.75" customHeight="1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5"/>
      <c r="M819" s="115"/>
      <c r="N819" s="115"/>
      <c r="O819" s="115"/>
      <c r="P819" s="114"/>
      <c r="Q819" s="114"/>
      <c r="R819" s="143"/>
      <c r="S819" s="114"/>
      <c r="T819" s="114"/>
      <c r="U819" s="143"/>
    </row>
    <row r="820" spans="1:21" ht="15.75" customHeight="1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5"/>
      <c r="M820" s="115"/>
      <c r="N820" s="115"/>
      <c r="O820" s="115"/>
      <c r="P820" s="114"/>
      <c r="Q820" s="114"/>
      <c r="R820" s="143"/>
      <c r="S820" s="114"/>
      <c r="T820" s="114"/>
      <c r="U820" s="143"/>
    </row>
    <row r="821" spans="1:21" ht="15.75" customHeight="1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5"/>
      <c r="M821" s="115"/>
      <c r="N821" s="115"/>
      <c r="O821" s="115"/>
      <c r="P821" s="114"/>
      <c r="Q821" s="114"/>
      <c r="R821" s="143"/>
      <c r="S821" s="114"/>
      <c r="T821" s="114"/>
      <c r="U821" s="143"/>
    </row>
    <row r="822" spans="1:21" ht="15.75" customHeight="1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5"/>
      <c r="M822" s="115"/>
      <c r="N822" s="115"/>
      <c r="O822" s="115"/>
      <c r="P822" s="114"/>
      <c r="Q822" s="114"/>
      <c r="R822" s="143"/>
      <c r="S822" s="114"/>
      <c r="T822" s="114"/>
      <c r="U822" s="143"/>
    </row>
    <row r="823" spans="1:21" ht="15.75" customHeight="1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5"/>
      <c r="M823" s="115"/>
      <c r="N823" s="115"/>
      <c r="O823" s="115"/>
      <c r="P823" s="114"/>
      <c r="Q823" s="114"/>
      <c r="R823" s="143"/>
      <c r="S823" s="114"/>
      <c r="T823" s="114"/>
      <c r="U823" s="143"/>
    </row>
    <row r="824" spans="1:21" ht="15.75" customHeight="1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5"/>
      <c r="M824" s="115"/>
      <c r="N824" s="115"/>
      <c r="O824" s="115"/>
      <c r="P824" s="114"/>
      <c r="Q824" s="114"/>
      <c r="R824" s="143"/>
      <c r="S824" s="114"/>
      <c r="T824" s="114"/>
      <c r="U824" s="143"/>
    </row>
    <row r="825" spans="1:21" ht="15.75" customHeight="1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5"/>
      <c r="M825" s="115"/>
      <c r="N825" s="115"/>
      <c r="O825" s="115"/>
      <c r="P825" s="114"/>
      <c r="Q825" s="114"/>
      <c r="R825" s="143"/>
      <c r="S825" s="114"/>
      <c r="T825" s="114"/>
      <c r="U825" s="143"/>
    </row>
    <row r="826" spans="1:21" ht="15.75" customHeight="1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5"/>
      <c r="M826" s="115"/>
      <c r="N826" s="115"/>
      <c r="O826" s="115"/>
      <c r="P826" s="114"/>
      <c r="Q826" s="114"/>
      <c r="R826" s="143"/>
      <c r="S826" s="114"/>
      <c r="T826" s="114"/>
      <c r="U826" s="143"/>
    </row>
    <row r="827" spans="1:21" ht="15.75" customHeight="1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5"/>
      <c r="M827" s="115"/>
      <c r="N827" s="115"/>
      <c r="O827" s="115"/>
      <c r="P827" s="114"/>
      <c r="Q827" s="114"/>
      <c r="R827" s="143"/>
      <c r="S827" s="114"/>
      <c r="T827" s="114"/>
      <c r="U827" s="143"/>
    </row>
    <row r="828" spans="1:21" ht="15.75" customHeight="1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5"/>
      <c r="M828" s="115"/>
      <c r="N828" s="115"/>
      <c r="O828" s="115"/>
      <c r="P828" s="114"/>
      <c r="Q828" s="114"/>
      <c r="R828" s="143"/>
      <c r="S828" s="114"/>
      <c r="T828" s="114"/>
      <c r="U828" s="143"/>
    </row>
    <row r="829" spans="1:21" ht="15.75" customHeight="1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5"/>
      <c r="M829" s="115"/>
      <c r="N829" s="115"/>
      <c r="O829" s="115"/>
      <c r="P829" s="114"/>
      <c r="Q829" s="114"/>
      <c r="R829" s="143"/>
      <c r="S829" s="114"/>
      <c r="T829" s="114"/>
      <c r="U829" s="143"/>
    </row>
    <row r="830" spans="1:21" ht="15.75" customHeight="1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5"/>
      <c r="M830" s="115"/>
      <c r="N830" s="115"/>
      <c r="O830" s="115"/>
      <c r="P830" s="114"/>
      <c r="Q830" s="114"/>
      <c r="R830" s="143"/>
      <c r="S830" s="114"/>
      <c r="T830" s="114"/>
      <c r="U830" s="143"/>
    </row>
    <row r="831" spans="1:21" ht="15.75" customHeight="1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5"/>
      <c r="M831" s="115"/>
      <c r="N831" s="115"/>
      <c r="O831" s="115"/>
      <c r="P831" s="114"/>
      <c r="Q831" s="114"/>
      <c r="R831" s="143"/>
      <c r="S831" s="114"/>
      <c r="T831" s="114"/>
      <c r="U831" s="143"/>
    </row>
    <row r="832" spans="1:21" ht="15.75" customHeight="1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5"/>
      <c r="M832" s="115"/>
      <c r="N832" s="115"/>
      <c r="O832" s="115"/>
      <c r="P832" s="114"/>
      <c r="Q832" s="114"/>
      <c r="R832" s="143"/>
      <c r="S832" s="114"/>
      <c r="T832" s="114"/>
      <c r="U832" s="143"/>
    </row>
    <row r="833" spans="1:21" ht="15.75" customHeight="1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5"/>
      <c r="M833" s="115"/>
      <c r="N833" s="115"/>
      <c r="O833" s="115"/>
      <c r="P833" s="114"/>
      <c r="Q833" s="114"/>
      <c r="R833" s="143"/>
      <c r="S833" s="114"/>
      <c r="T833" s="114"/>
      <c r="U833" s="143"/>
    </row>
    <row r="834" spans="1:21" ht="15.75" customHeight="1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5"/>
      <c r="M834" s="115"/>
      <c r="N834" s="115"/>
      <c r="O834" s="115"/>
      <c r="P834" s="114"/>
      <c r="Q834" s="114"/>
      <c r="R834" s="143"/>
      <c r="S834" s="114"/>
      <c r="T834" s="114"/>
      <c r="U834" s="143"/>
    </row>
    <row r="835" spans="1:21" ht="15.75" customHeight="1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5"/>
      <c r="M835" s="115"/>
      <c r="N835" s="115"/>
      <c r="O835" s="115"/>
      <c r="P835" s="114"/>
      <c r="Q835" s="114"/>
      <c r="R835" s="143"/>
      <c r="S835" s="114"/>
      <c r="T835" s="114"/>
      <c r="U835" s="143"/>
    </row>
    <row r="836" spans="1:21" ht="15.75" customHeight="1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5"/>
      <c r="M836" s="115"/>
      <c r="N836" s="115"/>
      <c r="O836" s="115"/>
      <c r="P836" s="114"/>
      <c r="Q836" s="114"/>
      <c r="R836" s="143"/>
      <c r="S836" s="114"/>
      <c r="T836" s="114"/>
      <c r="U836" s="143"/>
    </row>
    <row r="837" spans="1:21" ht="15.75" customHeight="1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5"/>
      <c r="M837" s="115"/>
      <c r="N837" s="115"/>
      <c r="O837" s="115"/>
      <c r="P837" s="114"/>
      <c r="Q837" s="114"/>
      <c r="R837" s="143"/>
      <c r="S837" s="114"/>
      <c r="T837" s="114"/>
      <c r="U837" s="143"/>
    </row>
    <row r="838" spans="1:21" ht="15.75" customHeight="1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5"/>
      <c r="M838" s="115"/>
      <c r="N838" s="115"/>
      <c r="O838" s="115"/>
      <c r="P838" s="114"/>
      <c r="Q838" s="114"/>
      <c r="R838" s="143"/>
      <c r="S838" s="114"/>
      <c r="T838" s="114"/>
      <c r="U838" s="143"/>
    </row>
    <row r="839" spans="1:21" ht="15.75" customHeight="1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5"/>
      <c r="M839" s="115"/>
      <c r="N839" s="115"/>
      <c r="O839" s="115"/>
      <c r="P839" s="114"/>
      <c r="Q839" s="114"/>
      <c r="R839" s="143"/>
      <c r="S839" s="114"/>
      <c r="T839" s="114"/>
      <c r="U839" s="143"/>
    </row>
    <row r="840" spans="1:21" ht="15.75" customHeight="1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5"/>
      <c r="M840" s="115"/>
      <c r="N840" s="115"/>
      <c r="O840" s="115"/>
      <c r="P840" s="114"/>
      <c r="Q840" s="114"/>
      <c r="R840" s="143"/>
      <c r="S840" s="114"/>
      <c r="T840" s="114"/>
      <c r="U840" s="143"/>
    </row>
    <row r="841" spans="1:21" ht="15.75" customHeight="1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5"/>
      <c r="M841" s="115"/>
      <c r="N841" s="115"/>
      <c r="O841" s="115"/>
      <c r="P841" s="114"/>
      <c r="Q841" s="114"/>
      <c r="R841" s="143"/>
      <c r="S841" s="114"/>
      <c r="T841" s="114"/>
      <c r="U841" s="143"/>
    </row>
    <row r="842" spans="1:21" ht="15.75" customHeight="1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5"/>
      <c r="M842" s="115"/>
      <c r="N842" s="115"/>
      <c r="O842" s="115"/>
      <c r="P842" s="114"/>
      <c r="Q842" s="114"/>
      <c r="R842" s="143"/>
      <c r="S842" s="114"/>
      <c r="T842" s="114"/>
      <c r="U842" s="143"/>
    </row>
    <row r="843" spans="1:21" ht="15.75" customHeight="1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5"/>
      <c r="M843" s="115"/>
      <c r="N843" s="115"/>
      <c r="O843" s="115"/>
      <c r="P843" s="114"/>
      <c r="Q843" s="114"/>
      <c r="R843" s="143"/>
      <c r="S843" s="114"/>
      <c r="T843" s="114"/>
      <c r="U843" s="143"/>
    </row>
    <row r="844" spans="1:21" ht="15.75" customHeight="1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5"/>
      <c r="M844" s="115"/>
      <c r="N844" s="115"/>
      <c r="O844" s="115"/>
      <c r="P844" s="114"/>
      <c r="Q844" s="114"/>
      <c r="R844" s="143"/>
      <c r="S844" s="114"/>
      <c r="T844" s="114"/>
      <c r="U844" s="143"/>
    </row>
    <row r="845" spans="1:21" ht="15.75" customHeight="1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5"/>
      <c r="M845" s="115"/>
      <c r="N845" s="115"/>
      <c r="O845" s="115"/>
      <c r="P845" s="114"/>
      <c r="Q845" s="114"/>
      <c r="R845" s="143"/>
      <c r="S845" s="114"/>
      <c r="T845" s="114"/>
      <c r="U845" s="143"/>
    </row>
    <row r="846" spans="1:21" ht="15.75" customHeight="1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5"/>
      <c r="M846" s="115"/>
      <c r="N846" s="115"/>
      <c r="O846" s="115"/>
      <c r="P846" s="114"/>
      <c r="Q846" s="114"/>
      <c r="R846" s="143"/>
      <c r="S846" s="114"/>
      <c r="T846" s="114"/>
      <c r="U846" s="143"/>
    </row>
    <row r="847" spans="1:21" ht="15.75" customHeight="1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5"/>
      <c r="M847" s="115"/>
      <c r="N847" s="115"/>
      <c r="O847" s="115"/>
      <c r="P847" s="114"/>
      <c r="Q847" s="114"/>
      <c r="R847" s="143"/>
      <c r="S847" s="114"/>
      <c r="T847" s="114"/>
      <c r="U847" s="143"/>
    </row>
    <row r="848" spans="1:21" ht="15.75" customHeight="1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5"/>
      <c r="M848" s="115"/>
      <c r="N848" s="115"/>
      <c r="O848" s="115"/>
      <c r="P848" s="114"/>
      <c r="Q848" s="114"/>
      <c r="R848" s="143"/>
      <c r="S848" s="114"/>
      <c r="T848" s="114"/>
      <c r="U848" s="143"/>
    </row>
    <row r="849" spans="1:21" ht="15.75" customHeight="1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5"/>
      <c r="M849" s="115"/>
      <c r="N849" s="115"/>
      <c r="O849" s="115"/>
      <c r="P849" s="114"/>
      <c r="Q849" s="114"/>
      <c r="R849" s="143"/>
      <c r="S849" s="114"/>
      <c r="T849" s="114"/>
      <c r="U849" s="143"/>
    </row>
    <row r="850" spans="1:21" ht="15.75" customHeight="1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5"/>
      <c r="M850" s="115"/>
      <c r="N850" s="115"/>
      <c r="O850" s="115"/>
      <c r="P850" s="114"/>
      <c r="Q850" s="114"/>
      <c r="R850" s="143"/>
      <c r="S850" s="114"/>
      <c r="T850" s="114"/>
      <c r="U850" s="143"/>
    </row>
    <row r="851" spans="1:21" ht="15.75" customHeight="1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5"/>
      <c r="M851" s="115"/>
      <c r="N851" s="115"/>
      <c r="O851" s="115"/>
      <c r="P851" s="114"/>
      <c r="Q851" s="114"/>
      <c r="R851" s="143"/>
      <c r="S851" s="114"/>
      <c r="T851" s="114"/>
      <c r="U851" s="143"/>
    </row>
    <row r="852" spans="1:21" ht="15.75" customHeight="1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5"/>
      <c r="M852" s="115"/>
      <c r="N852" s="115"/>
      <c r="O852" s="115"/>
      <c r="P852" s="114"/>
      <c r="Q852" s="114"/>
      <c r="R852" s="143"/>
      <c r="S852" s="114"/>
      <c r="T852" s="114"/>
      <c r="U852" s="143"/>
    </row>
    <row r="853" spans="1:21" ht="15.75" customHeight="1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5"/>
      <c r="M853" s="115"/>
      <c r="N853" s="115"/>
      <c r="O853" s="115"/>
      <c r="P853" s="114"/>
      <c r="Q853" s="114"/>
      <c r="R853" s="143"/>
      <c r="S853" s="114"/>
      <c r="T853" s="114"/>
      <c r="U853" s="143"/>
    </row>
    <row r="854" spans="1:21" ht="15.75" customHeight="1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5"/>
      <c r="M854" s="115"/>
      <c r="N854" s="115"/>
      <c r="O854" s="115"/>
      <c r="P854" s="114"/>
      <c r="Q854" s="114"/>
      <c r="R854" s="143"/>
      <c r="S854" s="114"/>
      <c r="T854" s="114"/>
      <c r="U854" s="143"/>
    </row>
    <row r="855" spans="1:21" ht="15.75" customHeight="1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5"/>
      <c r="M855" s="115"/>
      <c r="N855" s="115"/>
      <c r="O855" s="115"/>
      <c r="P855" s="114"/>
      <c r="Q855" s="114"/>
      <c r="R855" s="143"/>
      <c r="S855" s="114"/>
      <c r="T855" s="114"/>
      <c r="U855" s="143"/>
    </row>
    <row r="856" spans="1:21" ht="15.75" customHeight="1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5"/>
      <c r="M856" s="115"/>
      <c r="N856" s="115"/>
      <c r="O856" s="115"/>
      <c r="P856" s="114"/>
      <c r="Q856" s="114"/>
      <c r="R856" s="143"/>
      <c r="S856" s="114"/>
      <c r="T856" s="114"/>
      <c r="U856" s="143"/>
    </row>
    <row r="857" spans="1:21" ht="15.75" customHeight="1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5"/>
      <c r="M857" s="115"/>
      <c r="N857" s="115"/>
      <c r="O857" s="115"/>
      <c r="P857" s="114"/>
      <c r="Q857" s="114"/>
      <c r="R857" s="143"/>
      <c r="S857" s="114"/>
      <c r="T857" s="114"/>
      <c r="U857" s="143"/>
    </row>
    <row r="858" spans="1:21" ht="15.75" customHeight="1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5"/>
      <c r="M858" s="115"/>
      <c r="N858" s="115"/>
      <c r="O858" s="115"/>
      <c r="P858" s="114"/>
      <c r="Q858" s="114"/>
      <c r="R858" s="143"/>
      <c r="S858" s="114"/>
      <c r="T858" s="114"/>
      <c r="U858" s="143"/>
    </row>
    <row r="859" spans="1:21" ht="15.75" customHeight="1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5"/>
      <c r="M859" s="115"/>
      <c r="N859" s="115"/>
      <c r="O859" s="115"/>
      <c r="P859" s="114"/>
      <c r="Q859" s="114"/>
      <c r="R859" s="143"/>
      <c r="S859" s="114"/>
      <c r="T859" s="114"/>
      <c r="U859" s="143"/>
    </row>
    <row r="860" spans="1:21" ht="15.75" customHeight="1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5"/>
      <c r="M860" s="115"/>
      <c r="N860" s="115"/>
      <c r="O860" s="115"/>
      <c r="P860" s="114"/>
      <c r="Q860" s="114"/>
      <c r="R860" s="143"/>
      <c r="S860" s="114"/>
      <c r="T860" s="114"/>
      <c r="U860" s="143"/>
    </row>
    <row r="861" spans="1:21" ht="15.75" customHeight="1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5"/>
      <c r="M861" s="115"/>
      <c r="N861" s="115"/>
      <c r="O861" s="115"/>
      <c r="P861" s="114"/>
      <c r="Q861" s="114"/>
      <c r="R861" s="143"/>
      <c r="S861" s="114"/>
      <c r="T861" s="114"/>
      <c r="U861" s="143"/>
    </row>
    <row r="862" spans="1:21" ht="15.75" customHeight="1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5"/>
      <c r="M862" s="115"/>
      <c r="N862" s="115"/>
      <c r="O862" s="115"/>
      <c r="P862" s="114"/>
      <c r="Q862" s="114"/>
      <c r="R862" s="143"/>
      <c r="S862" s="114"/>
      <c r="T862" s="114"/>
      <c r="U862" s="143"/>
    </row>
    <row r="863" spans="1:21" ht="15.75" customHeight="1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5"/>
      <c r="M863" s="115"/>
      <c r="N863" s="115"/>
      <c r="O863" s="115"/>
      <c r="P863" s="114"/>
      <c r="Q863" s="114"/>
      <c r="R863" s="143"/>
      <c r="S863" s="114"/>
      <c r="T863" s="114"/>
      <c r="U863" s="143"/>
    </row>
    <row r="864" spans="1:21" ht="15.75" customHeight="1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5"/>
      <c r="M864" s="115"/>
      <c r="N864" s="115"/>
      <c r="O864" s="115"/>
      <c r="P864" s="114"/>
      <c r="Q864" s="114"/>
      <c r="R864" s="143"/>
      <c r="S864" s="114"/>
      <c r="T864" s="114"/>
      <c r="U864" s="143"/>
    </row>
    <row r="865" spans="1:21" ht="15.75" customHeight="1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5"/>
      <c r="M865" s="115"/>
      <c r="N865" s="115"/>
      <c r="O865" s="115"/>
      <c r="P865" s="114"/>
      <c r="Q865" s="114"/>
      <c r="R865" s="143"/>
      <c r="S865" s="114"/>
      <c r="T865" s="114"/>
      <c r="U865" s="143"/>
    </row>
    <row r="866" spans="1:21" ht="15.75" customHeight="1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5"/>
      <c r="M866" s="115"/>
      <c r="N866" s="115"/>
      <c r="O866" s="115"/>
      <c r="P866" s="114"/>
      <c r="Q866" s="114"/>
      <c r="R866" s="143"/>
      <c r="S866" s="114"/>
      <c r="T866" s="114"/>
      <c r="U866" s="143"/>
    </row>
    <row r="867" spans="1:21" ht="15.75" customHeight="1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5"/>
      <c r="M867" s="115"/>
      <c r="N867" s="115"/>
      <c r="O867" s="115"/>
      <c r="P867" s="114"/>
      <c r="Q867" s="114"/>
      <c r="R867" s="143"/>
      <c r="S867" s="114"/>
      <c r="T867" s="114"/>
      <c r="U867" s="143"/>
    </row>
    <row r="868" spans="1:21" ht="15.75" customHeight="1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5"/>
      <c r="M868" s="115"/>
      <c r="N868" s="115"/>
      <c r="O868" s="115"/>
      <c r="P868" s="114"/>
      <c r="Q868" s="114"/>
      <c r="R868" s="143"/>
      <c r="S868" s="114"/>
      <c r="T868" s="114"/>
      <c r="U868" s="143"/>
    </row>
    <row r="869" spans="1:21" ht="15.75" customHeight="1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5"/>
      <c r="M869" s="115"/>
      <c r="N869" s="115"/>
      <c r="O869" s="115"/>
      <c r="P869" s="114"/>
      <c r="Q869" s="114"/>
      <c r="R869" s="143"/>
      <c r="S869" s="114"/>
      <c r="T869" s="114"/>
      <c r="U869" s="143"/>
    </row>
    <row r="870" spans="1:21" ht="15.75" customHeight="1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5"/>
      <c r="M870" s="115"/>
      <c r="N870" s="115"/>
      <c r="O870" s="115"/>
      <c r="P870" s="114"/>
      <c r="Q870" s="114"/>
      <c r="R870" s="143"/>
      <c r="S870" s="114"/>
      <c r="T870" s="114"/>
      <c r="U870" s="143"/>
    </row>
    <row r="871" spans="1:21" ht="15.75" customHeight="1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5"/>
      <c r="M871" s="115"/>
      <c r="N871" s="115"/>
      <c r="O871" s="115"/>
      <c r="P871" s="114"/>
      <c r="Q871" s="114"/>
      <c r="R871" s="143"/>
      <c r="S871" s="114"/>
      <c r="T871" s="114"/>
      <c r="U871" s="143"/>
    </row>
    <row r="872" spans="1:21" ht="15.75" customHeight="1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5"/>
      <c r="M872" s="115"/>
      <c r="N872" s="115"/>
      <c r="O872" s="115"/>
      <c r="P872" s="114"/>
      <c r="Q872" s="114"/>
      <c r="R872" s="143"/>
      <c r="S872" s="114"/>
      <c r="T872" s="114"/>
      <c r="U872" s="143"/>
    </row>
    <row r="873" spans="1:21" ht="15.75" customHeight="1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5"/>
      <c r="M873" s="115"/>
      <c r="N873" s="115"/>
      <c r="O873" s="115"/>
      <c r="P873" s="114"/>
      <c r="Q873" s="114"/>
      <c r="R873" s="143"/>
      <c r="S873" s="114"/>
      <c r="T873" s="114"/>
      <c r="U873" s="143"/>
    </row>
    <row r="874" spans="1:21" ht="15.75" customHeight="1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5"/>
      <c r="M874" s="115"/>
      <c r="N874" s="115"/>
      <c r="O874" s="115"/>
      <c r="P874" s="114"/>
      <c r="Q874" s="114"/>
      <c r="R874" s="143"/>
      <c r="S874" s="114"/>
      <c r="T874" s="114"/>
      <c r="U874" s="143"/>
    </row>
    <row r="875" spans="1:21" ht="15.75" customHeight="1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5"/>
      <c r="M875" s="115"/>
      <c r="N875" s="115"/>
      <c r="O875" s="115"/>
      <c r="P875" s="114"/>
      <c r="Q875" s="114"/>
      <c r="R875" s="143"/>
      <c r="S875" s="114"/>
      <c r="T875" s="114"/>
      <c r="U875" s="143"/>
    </row>
    <row r="876" spans="1:21" ht="15.75" customHeight="1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5"/>
      <c r="M876" s="115"/>
      <c r="N876" s="115"/>
      <c r="O876" s="115"/>
      <c r="P876" s="114"/>
      <c r="Q876" s="114"/>
      <c r="R876" s="143"/>
      <c r="S876" s="114"/>
      <c r="T876" s="114"/>
      <c r="U876" s="143"/>
    </row>
    <row r="877" spans="1:21" ht="15.75" customHeight="1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5"/>
      <c r="M877" s="115"/>
      <c r="N877" s="115"/>
      <c r="O877" s="115"/>
      <c r="P877" s="114"/>
      <c r="Q877" s="114"/>
      <c r="R877" s="143"/>
      <c r="S877" s="114"/>
      <c r="T877" s="114"/>
      <c r="U877" s="143"/>
    </row>
    <row r="878" spans="1:21" ht="15.75" customHeight="1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5"/>
      <c r="M878" s="115"/>
      <c r="N878" s="115"/>
      <c r="O878" s="115"/>
      <c r="P878" s="114"/>
      <c r="Q878" s="114"/>
      <c r="R878" s="143"/>
      <c r="S878" s="114"/>
      <c r="T878" s="114"/>
      <c r="U878" s="143"/>
    </row>
    <row r="879" spans="1:21" ht="15.75" customHeight="1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5"/>
      <c r="M879" s="115"/>
      <c r="N879" s="115"/>
      <c r="O879" s="115"/>
      <c r="P879" s="114"/>
      <c r="Q879" s="114"/>
      <c r="R879" s="143"/>
      <c r="S879" s="114"/>
      <c r="T879" s="114"/>
      <c r="U879" s="143"/>
    </row>
    <row r="880" spans="1:21" ht="15.75" customHeight="1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5"/>
      <c r="M880" s="115"/>
      <c r="N880" s="115"/>
      <c r="O880" s="115"/>
      <c r="P880" s="114"/>
      <c r="Q880" s="114"/>
      <c r="R880" s="143"/>
      <c r="S880" s="114"/>
      <c r="T880" s="114"/>
      <c r="U880" s="143"/>
    </row>
    <row r="881" spans="1:21" ht="15.75" customHeight="1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5"/>
      <c r="M881" s="115"/>
      <c r="N881" s="115"/>
      <c r="O881" s="115"/>
      <c r="P881" s="114"/>
      <c r="Q881" s="114"/>
      <c r="R881" s="143"/>
      <c r="S881" s="114"/>
      <c r="T881" s="114"/>
      <c r="U881" s="143"/>
    </row>
    <row r="882" spans="1:21" ht="15.75" customHeight="1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5"/>
      <c r="M882" s="115"/>
      <c r="N882" s="115"/>
      <c r="O882" s="115"/>
      <c r="P882" s="114"/>
      <c r="Q882" s="114"/>
      <c r="R882" s="143"/>
      <c r="S882" s="114"/>
      <c r="T882" s="114"/>
      <c r="U882" s="143"/>
    </row>
    <row r="883" spans="1:21" ht="15.75" customHeight="1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5"/>
      <c r="M883" s="115"/>
      <c r="N883" s="115"/>
      <c r="O883" s="115"/>
      <c r="P883" s="114"/>
      <c r="Q883" s="114"/>
      <c r="R883" s="143"/>
      <c r="S883" s="114"/>
      <c r="T883" s="114"/>
      <c r="U883" s="143"/>
    </row>
    <row r="884" spans="1:21" ht="15.75" customHeight="1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5"/>
      <c r="M884" s="115"/>
      <c r="N884" s="115"/>
      <c r="O884" s="115"/>
      <c r="P884" s="114"/>
      <c r="Q884" s="114"/>
      <c r="R884" s="143"/>
      <c r="S884" s="114"/>
      <c r="T884" s="114"/>
      <c r="U884" s="143"/>
    </row>
    <row r="885" spans="1:21" ht="15.75" customHeight="1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5"/>
      <c r="M885" s="115"/>
      <c r="N885" s="115"/>
      <c r="O885" s="115"/>
      <c r="P885" s="114"/>
      <c r="Q885" s="114"/>
      <c r="R885" s="143"/>
      <c r="S885" s="114"/>
      <c r="T885" s="114"/>
      <c r="U885" s="143"/>
    </row>
    <row r="886" spans="1:21" ht="15.75" customHeight="1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5"/>
      <c r="M886" s="115"/>
      <c r="N886" s="115"/>
      <c r="O886" s="115"/>
      <c r="P886" s="114"/>
      <c r="Q886" s="114"/>
      <c r="R886" s="143"/>
      <c r="S886" s="114"/>
      <c r="T886" s="114"/>
      <c r="U886" s="143"/>
    </row>
    <row r="887" spans="1:21" ht="15.75" customHeight="1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5"/>
      <c r="M887" s="115"/>
      <c r="N887" s="115"/>
      <c r="O887" s="115"/>
      <c r="P887" s="114"/>
      <c r="Q887" s="114"/>
      <c r="R887" s="143"/>
      <c r="S887" s="114"/>
      <c r="T887" s="114"/>
      <c r="U887" s="143"/>
    </row>
    <row r="888" spans="1:21" ht="15.75" customHeight="1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5"/>
      <c r="M888" s="115"/>
      <c r="N888" s="115"/>
      <c r="O888" s="115"/>
      <c r="P888" s="114"/>
      <c r="Q888" s="114"/>
      <c r="R888" s="143"/>
      <c r="S888" s="114"/>
      <c r="T888" s="114"/>
      <c r="U888" s="143"/>
    </row>
    <row r="889" spans="1:21" ht="15.75" customHeight="1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5"/>
      <c r="M889" s="115"/>
      <c r="N889" s="115"/>
      <c r="O889" s="115"/>
      <c r="P889" s="114"/>
      <c r="Q889" s="114"/>
      <c r="R889" s="143"/>
      <c r="S889" s="114"/>
      <c r="T889" s="114"/>
      <c r="U889" s="143"/>
    </row>
    <row r="890" spans="1:21" ht="15.75" customHeight="1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5"/>
      <c r="M890" s="115"/>
      <c r="N890" s="115"/>
      <c r="O890" s="115"/>
      <c r="P890" s="114"/>
      <c r="Q890" s="114"/>
      <c r="R890" s="143"/>
      <c r="S890" s="114"/>
      <c r="T890" s="114"/>
      <c r="U890" s="143"/>
    </row>
    <row r="891" spans="1:21" ht="15.75" customHeight="1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5"/>
      <c r="M891" s="115"/>
      <c r="N891" s="115"/>
      <c r="O891" s="115"/>
      <c r="P891" s="114"/>
      <c r="Q891" s="114"/>
      <c r="R891" s="143"/>
      <c r="S891" s="114"/>
      <c r="T891" s="114"/>
      <c r="U891" s="143"/>
    </row>
    <row r="892" spans="1:21" ht="15.75" customHeight="1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5"/>
      <c r="M892" s="115"/>
      <c r="N892" s="115"/>
      <c r="O892" s="115"/>
      <c r="P892" s="114"/>
      <c r="Q892" s="114"/>
      <c r="R892" s="143"/>
      <c r="S892" s="114"/>
      <c r="T892" s="114"/>
      <c r="U892" s="143"/>
    </row>
    <row r="893" spans="1:21" ht="15.75" customHeight="1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5"/>
      <c r="M893" s="115"/>
      <c r="N893" s="115"/>
      <c r="O893" s="115"/>
      <c r="P893" s="114"/>
      <c r="Q893" s="114"/>
      <c r="R893" s="143"/>
      <c r="S893" s="114"/>
      <c r="T893" s="114"/>
      <c r="U893" s="143"/>
    </row>
    <row r="894" spans="1:21" ht="15.75" customHeight="1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5"/>
      <c r="M894" s="115"/>
      <c r="N894" s="115"/>
      <c r="O894" s="115"/>
      <c r="P894" s="114"/>
      <c r="Q894" s="114"/>
      <c r="R894" s="143"/>
      <c r="S894" s="114"/>
      <c r="T894" s="114"/>
      <c r="U894" s="143"/>
    </row>
    <row r="895" spans="1:21" ht="15.75" customHeight="1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5"/>
      <c r="M895" s="115"/>
      <c r="N895" s="115"/>
      <c r="O895" s="115"/>
      <c r="P895" s="114"/>
      <c r="Q895" s="114"/>
      <c r="R895" s="143"/>
      <c r="S895" s="114"/>
      <c r="T895" s="114"/>
      <c r="U895" s="143"/>
    </row>
    <row r="896" spans="1:21" ht="15.75" customHeight="1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5"/>
      <c r="M896" s="115"/>
      <c r="N896" s="115"/>
      <c r="O896" s="115"/>
      <c r="P896" s="114"/>
      <c r="Q896" s="114"/>
      <c r="R896" s="143"/>
      <c r="S896" s="114"/>
      <c r="T896" s="114"/>
      <c r="U896" s="143"/>
    </row>
    <row r="897" spans="1:21" ht="15.75" customHeight="1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5"/>
      <c r="M897" s="115"/>
      <c r="N897" s="115"/>
      <c r="O897" s="115"/>
      <c r="P897" s="114"/>
      <c r="Q897" s="114"/>
      <c r="R897" s="143"/>
      <c r="S897" s="114"/>
      <c r="T897" s="114"/>
      <c r="U897" s="143"/>
    </row>
    <row r="898" spans="1:21" ht="15.75" customHeight="1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5"/>
      <c r="M898" s="115"/>
      <c r="N898" s="115"/>
      <c r="O898" s="115"/>
      <c r="P898" s="114"/>
      <c r="Q898" s="114"/>
      <c r="R898" s="143"/>
      <c r="S898" s="114"/>
      <c r="T898" s="114"/>
      <c r="U898" s="143"/>
    </row>
    <row r="899" spans="1:21" ht="15.75" customHeight="1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5"/>
      <c r="M899" s="115"/>
      <c r="N899" s="115"/>
      <c r="O899" s="115"/>
      <c r="P899" s="114"/>
      <c r="Q899" s="114"/>
      <c r="R899" s="143"/>
      <c r="S899" s="114"/>
      <c r="T899" s="114"/>
      <c r="U899" s="143"/>
    </row>
    <row r="900" spans="1:21" ht="15.75" customHeight="1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5"/>
      <c r="M900" s="115"/>
      <c r="N900" s="115"/>
      <c r="O900" s="115"/>
      <c r="P900" s="114"/>
      <c r="Q900" s="114"/>
      <c r="R900" s="143"/>
      <c r="S900" s="114"/>
      <c r="T900" s="114"/>
      <c r="U900" s="143"/>
    </row>
    <row r="901" spans="1:21" ht="15.75" customHeight="1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5"/>
      <c r="M901" s="115"/>
      <c r="N901" s="115"/>
      <c r="O901" s="115"/>
      <c r="P901" s="114"/>
      <c r="Q901" s="114"/>
      <c r="R901" s="143"/>
      <c r="S901" s="114"/>
      <c r="T901" s="114"/>
      <c r="U901" s="143"/>
    </row>
    <row r="902" spans="1:21" ht="15.75" customHeight="1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5"/>
      <c r="M902" s="115"/>
      <c r="N902" s="115"/>
      <c r="O902" s="115"/>
      <c r="P902" s="114"/>
      <c r="Q902" s="114"/>
      <c r="R902" s="143"/>
      <c r="S902" s="114"/>
      <c r="T902" s="114"/>
      <c r="U902" s="143"/>
    </row>
    <row r="903" spans="1:21" ht="15.75" customHeight="1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5"/>
      <c r="M903" s="115"/>
      <c r="N903" s="115"/>
      <c r="O903" s="115"/>
      <c r="P903" s="114"/>
      <c r="Q903" s="114"/>
      <c r="R903" s="143"/>
      <c r="S903" s="114"/>
      <c r="T903" s="114"/>
      <c r="U903" s="143"/>
    </row>
    <row r="904" spans="1:21" ht="15.75" customHeight="1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5"/>
      <c r="M904" s="115"/>
      <c r="N904" s="115"/>
      <c r="O904" s="115"/>
      <c r="P904" s="114"/>
      <c r="Q904" s="114"/>
      <c r="R904" s="143"/>
      <c r="S904" s="114"/>
      <c r="T904" s="114"/>
      <c r="U904" s="143"/>
    </row>
    <row r="905" spans="1:21" ht="15.75" customHeight="1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5"/>
      <c r="M905" s="115"/>
      <c r="N905" s="115"/>
      <c r="O905" s="115"/>
      <c r="P905" s="114"/>
      <c r="Q905" s="114"/>
      <c r="R905" s="143"/>
      <c r="S905" s="114"/>
      <c r="T905" s="114"/>
      <c r="U905" s="143"/>
    </row>
    <row r="906" spans="1:21" ht="15.75" customHeight="1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5"/>
      <c r="M906" s="115"/>
      <c r="N906" s="115"/>
      <c r="O906" s="115"/>
      <c r="P906" s="114"/>
      <c r="Q906" s="114"/>
      <c r="R906" s="143"/>
      <c r="S906" s="114"/>
      <c r="T906" s="114"/>
      <c r="U906" s="143"/>
    </row>
    <row r="907" spans="1:21" ht="15.75" customHeight="1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5"/>
      <c r="M907" s="115"/>
      <c r="N907" s="115"/>
      <c r="O907" s="115"/>
      <c r="P907" s="114"/>
      <c r="Q907" s="114"/>
      <c r="R907" s="143"/>
      <c r="S907" s="114"/>
      <c r="T907" s="114"/>
      <c r="U907" s="143"/>
    </row>
    <row r="908" spans="1:21" ht="15.75" customHeight="1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5"/>
      <c r="M908" s="115"/>
      <c r="N908" s="115"/>
      <c r="O908" s="115"/>
      <c r="P908" s="114"/>
      <c r="Q908" s="114"/>
      <c r="R908" s="143"/>
      <c r="S908" s="114"/>
      <c r="T908" s="114"/>
      <c r="U908" s="143"/>
    </row>
    <row r="909" spans="1:21" ht="15.75" customHeight="1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5"/>
      <c r="M909" s="115"/>
      <c r="N909" s="115"/>
      <c r="O909" s="115"/>
      <c r="P909" s="114"/>
      <c r="Q909" s="114"/>
      <c r="R909" s="143"/>
      <c r="S909" s="114"/>
      <c r="T909" s="114"/>
      <c r="U909" s="143"/>
    </row>
    <row r="910" spans="1:21" ht="15.75" customHeight="1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5"/>
      <c r="M910" s="115"/>
      <c r="N910" s="115"/>
      <c r="O910" s="115"/>
      <c r="P910" s="114"/>
      <c r="Q910" s="114"/>
      <c r="R910" s="143"/>
      <c r="S910" s="114"/>
      <c r="T910" s="114"/>
      <c r="U910" s="143"/>
    </row>
    <row r="911" spans="1:21" ht="15.75" customHeight="1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5"/>
      <c r="M911" s="115"/>
      <c r="N911" s="115"/>
      <c r="O911" s="115"/>
      <c r="P911" s="114"/>
      <c r="Q911" s="114"/>
      <c r="R911" s="143"/>
      <c r="S911" s="114"/>
      <c r="T911" s="114"/>
      <c r="U911" s="143"/>
    </row>
    <row r="912" spans="1:21" ht="15.75" customHeight="1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5"/>
      <c r="M912" s="115"/>
      <c r="N912" s="115"/>
      <c r="O912" s="115"/>
      <c r="P912" s="114"/>
      <c r="Q912" s="114"/>
      <c r="R912" s="143"/>
      <c r="S912" s="114"/>
      <c r="T912" s="114"/>
      <c r="U912" s="143"/>
    </row>
    <row r="913" spans="1:21" ht="15.75" customHeight="1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5"/>
      <c r="M913" s="115"/>
      <c r="N913" s="115"/>
      <c r="O913" s="115"/>
      <c r="P913" s="114"/>
      <c r="Q913" s="114"/>
      <c r="R913" s="143"/>
      <c r="S913" s="114"/>
      <c r="T913" s="114"/>
      <c r="U913" s="143"/>
    </row>
    <row r="914" spans="1:21" ht="15.75" customHeight="1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5"/>
      <c r="M914" s="115"/>
      <c r="N914" s="115"/>
      <c r="O914" s="115"/>
      <c r="P914" s="114"/>
      <c r="Q914" s="114"/>
      <c r="R914" s="143"/>
      <c r="S914" s="114"/>
      <c r="T914" s="114"/>
      <c r="U914" s="143"/>
    </row>
    <row r="915" spans="1:21" ht="15.75" customHeight="1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5"/>
      <c r="M915" s="115"/>
      <c r="N915" s="115"/>
      <c r="O915" s="115"/>
      <c r="P915" s="114"/>
      <c r="Q915" s="114"/>
      <c r="R915" s="143"/>
      <c r="S915" s="114"/>
      <c r="T915" s="114"/>
      <c r="U915" s="143"/>
    </row>
    <row r="916" spans="1:21" ht="15.75" customHeight="1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5"/>
      <c r="M916" s="115"/>
      <c r="N916" s="115"/>
      <c r="O916" s="115"/>
      <c r="P916" s="114"/>
      <c r="Q916" s="114"/>
      <c r="R916" s="143"/>
      <c r="S916" s="114"/>
      <c r="T916" s="114"/>
      <c r="U916" s="143"/>
    </row>
    <row r="917" spans="1:21" ht="15.75" customHeight="1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5"/>
      <c r="M917" s="115"/>
      <c r="N917" s="115"/>
      <c r="O917" s="115"/>
      <c r="P917" s="114"/>
      <c r="Q917" s="114"/>
      <c r="R917" s="143"/>
      <c r="S917" s="114"/>
      <c r="T917" s="114"/>
      <c r="U917" s="143"/>
    </row>
    <row r="918" spans="1:21" ht="15.75" customHeight="1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5"/>
      <c r="M918" s="115"/>
      <c r="N918" s="115"/>
      <c r="O918" s="115"/>
      <c r="P918" s="114"/>
      <c r="Q918" s="114"/>
      <c r="R918" s="143"/>
      <c r="S918" s="114"/>
      <c r="T918" s="114"/>
      <c r="U918" s="143"/>
    </row>
    <row r="919" spans="1:21" ht="15.75" customHeight="1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5"/>
      <c r="M919" s="115"/>
      <c r="N919" s="115"/>
      <c r="O919" s="115"/>
      <c r="P919" s="114"/>
      <c r="Q919" s="114"/>
      <c r="R919" s="143"/>
      <c r="S919" s="114"/>
      <c r="T919" s="114"/>
      <c r="U919" s="143"/>
    </row>
    <row r="920" spans="1:21" ht="15.75" customHeight="1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5"/>
      <c r="M920" s="115"/>
      <c r="N920" s="115"/>
      <c r="O920" s="115"/>
      <c r="P920" s="114"/>
      <c r="Q920" s="114"/>
      <c r="R920" s="143"/>
      <c r="S920" s="114"/>
      <c r="T920" s="114"/>
      <c r="U920" s="143"/>
    </row>
    <row r="921" spans="1:21" ht="15.75" customHeight="1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5"/>
      <c r="M921" s="115"/>
      <c r="N921" s="115"/>
      <c r="O921" s="115"/>
      <c r="P921" s="114"/>
      <c r="Q921" s="114"/>
      <c r="R921" s="143"/>
      <c r="S921" s="114"/>
      <c r="T921" s="114"/>
      <c r="U921" s="143"/>
    </row>
    <row r="922" spans="1:21" ht="15.75" customHeight="1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5"/>
      <c r="M922" s="115"/>
      <c r="N922" s="115"/>
      <c r="O922" s="115"/>
      <c r="P922" s="114"/>
      <c r="Q922" s="114"/>
      <c r="R922" s="143"/>
      <c r="S922" s="114"/>
      <c r="T922" s="114"/>
      <c r="U922" s="143"/>
    </row>
    <row r="923" spans="1:21" ht="15.75" customHeight="1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5"/>
      <c r="M923" s="115"/>
      <c r="N923" s="115"/>
      <c r="O923" s="115"/>
      <c r="P923" s="114"/>
      <c r="Q923" s="114"/>
      <c r="R923" s="143"/>
      <c r="S923" s="114"/>
      <c r="T923" s="114"/>
      <c r="U923" s="143"/>
    </row>
    <row r="924" spans="1:21" ht="15.75" customHeight="1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5"/>
      <c r="M924" s="115"/>
      <c r="N924" s="115"/>
      <c r="O924" s="115"/>
      <c r="P924" s="114"/>
      <c r="Q924" s="114"/>
      <c r="R924" s="143"/>
      <c r="S924" s="114"/>
      <c r="T924" s="114"/>
      <c r="U924" s="143"/>
    </row>
    <row r="925" spans="1:21" ht="15.75" customHeight="1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5"/>
      <c r="M925" s="115"/>
      <c r="N925" s="115"/>
      <c r="O925" s="115"/>
      <c r="P925" s="114"/>
      <c r="Q925" s="114"/>
      <c r="R925" s="143"/>
      <c r="S925" s="114"/>
      <c r="T925" s="114"/>
      <c r="U925" s="143"/>
    </row>
    <row r="926" spans="1:21" ht="15.75" customHeight="1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5"/>
      <c r="M926" s="115"/>
      <c r="N926" s="115"/>
      <c r="O926" s="115"/>
      <c r="P926" s="114"/>
      <c r="Q926" s="114"/>
      <c r="R926" s="143"/>
      <c r="S926" s="114"/>
      <c r="T926" s="114"/>
      <c r="U926" s="143"/>
    </row>
    <row r="927" spans="1:21" ht="15.75" customHeight="1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5"/>
      <c r="M927" s="115"/>
      <c r="N927" s="115"/>
      <c r="O927" s="115"/>
      <c r="P927" s="114"/>
      <c r="Q927" s="114"/>
      <c r="R927" s="143"/>
      <c r="S927" s="114"/>
      <c r="T927" s="114"/>
      <c r="U927" s="143"/>
    </row>
    <row r="928" spans="1:21" ht="15.75" customHeight="1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5"/>
      <c r="M928" s="115"/>
      <c r="N928" s="115"/>
      <c r="O928" s="115"/>
      <c r="P928" s="114"/>
      <c r="Q928" s="114"/>
      <c r="R928" s="143"/>
      <c r="S928" s="114"/>
      <c r="T928" s="114"/>
      <c r="U928" s="143"/>
    </row>
    <row r="929" spans="1:21" ht="15.75" customHeight="1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5"/>
      <c r="M929" s="115"/>
      <c r="N929" s="115"/>
      <c r="O929" s="115"/>
      <c r="P929" s="114"/>
      <c r="Q929" s="114"/>
      <c r="R929" s="143"/>
      <c r="S929" s="114"/>
      <c r="T929" s="114"/>
      <c r="U929" s="143"/>
    </row>
    <row r="930" spans="1:21" ht="15.75" customHeight="1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5"/>
      <c r="M930" s="115"/>
      <c r="N930" s="115"/>
      <c r="O930" s="115"/>
      <c r="P930" s="114"/>
      <c r="Q930" s="114"/>
      <c r="R930" s="143"/>
      <c r="S930" s="114"/>
      <c r="T930" s="114"/>
      <c r="U930" s="143"/>
    </row>
    <row r="931" spans="1:21" ht="15.75" customHeight="1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5"/>
      <c r="M931" s="115"/>
      <c r="N931" s="115"/>
      <c r="O931" s="115"/>
      <c r="P931" s="114"/>
      <c r="Q931" s="114"/>
      <c r="R931" s="143"/>
      <c r="S931" s="114"/>
      <c r="T931" s="114"/>
      <c r="U931" s="143"/>
    </row>
    <row r="932" spans="1:21" ht="15.75" customHeight="1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5"/>
      <c r="M932" s="115"/>
      <c r="N932" s="115"/>
      <c r="O932" s="115"/>
      <c r="P932" s="114"/>
      <c r="Q932" s="114"/>
      <c r="R932" s="143"/>
      <c r="S932" s="114"/>
      <c r="T932" s="114"/>
      <c r="U932" s="143"/>
    </row>
    <row r="933" spans="1:21" ht="15.75" customHeight="1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5"/>
      <c r="M933" s="115"/>
      <c r="N933" s="115"/>
      <c r="O933" s="115"/>
      <c r="P933" s="114"/>
      <c r="Q933" s="114"/>
      <c r="R933" s="143"/>
      <c r="S933" s="114"/>
      <c r="T933" s="114"/>
      <c r="U933" s="143"/>
    </row>
    <row r="934" spans="1:21" ht="15.75" customHeight="1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5"/>
      <c r="M934" s="115"/>
      <c r="N934" s="115"/>
      <c r="O934" s="115"/>
      <c r="P934" s="114"/>
      <c r="Q934" s="114"/>
      <c r="R934" s="143"/>
      <c r="S934" s="114"/>
      <c r="T934" s="114"/>
      <c r="U934" s="143"/>
    </row>
    <row r="935" spans="1:21" ht="15.75" customHeight="1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5"/>
      <c r="M935" s="115"/>
      <c r="N935" s="115"/>
      <c r="O935" s="115"/>
      <c r="P935" s="114"/>
      <c r="Q935" s="114"/>
      <c r="R935" s="143"/>
      <c r="S935" s="114"/>
      <c r="T935" s="114"/>
      <c r="U935" s="143"/>
    </row>
    <row r="936" spans="1:21" ht="15.75" customHeight="1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5"/>
      <c r="M936" s="115"/>
      <c r="N936" s="115"/>
      <c r="O936" s="115"/>
      <c r="P936" s="114"/>
      <c r="Q936" s="114"/>
      <c r="R936" s="143"/>
      <c r="S936" s="114"/>
      <c r="T936" s="114"/>
      <c r="U936" s="143"/>
    </row>
    <row r="937" spans="1:21" ht="15.75" customHeight="1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5"/>
      <c r="M937" s="115"/>
      <c r="N937" s="115"/>
      <c r="O937" s="115"/>
      <c r="P937" s="114"/>
      <c r="Q937" s="114"/>
      <c r="R937" s="143"/>
      <c r="S937" s="114"/>
      <c r="T937" s="114"/>
      <c r="U937" s="143"/>
    </row>
    <row r="938" spans="1:21" ht="15.75" customHeight="1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5"/>
      <c r="M938" s="115"/>
      <c r="N938" s="115"/>
      <c r="O938" s="115"/>
      <c r="P938" s="114"/>
      <c r="Q938" s="114"/>
      <c r="R938" s="143"/>
      <c r="S938" s="114"/>
      <c r="T938" s="114"/>
      <c r="U938" s="143"/>
    </row>
    <row r="939" spans="1:21" ht="15.75" customHeight="1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5"/>
      <c r="M939" s="115"/>
      <c r="N939" s="115"/>
      <c r="O939" s="115"/>
      <c r="P939" s="114"/>
      <c r="Q939" s="114"/>
      <c r="R939" s="143"/>
      <c r="S939" s="114"/>
      <c r="T939" s="114"/>
      <c r="U939" s="143"/>
    </row>
    <row r="940" spans="1:21" ht="15.75" customHeight="1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5"/>
      <c r="M940" s="115"/>
      <c r="N940" s="115"/>
      <c r="O940" s="115"/>
      <c r="P940" s="114"/>
      <c r="Q940" s="114"/>
      <c r="R940" s="143"/>
      <c r="S940" s="114"/>
      <c r="T940" s="114"/>
      <c r="U940" s="143"/>
    </row>
    <row r="941" spans="1:21" ht="15.75" customHeight="1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5"/>
      <c r="M941" s="115"/>
      <c r="N941" s="115"/>
      <c r="O941" s="115"/>
      <c r="P941" s="114"/>
      <c r="Q941" s="114"/>
      <c r="R941" s="143"/>
      <c r="S941" s="114"/>
      <c r="T941" s="114"/>
      <c r="U941" s="143"/>
    </row>
    <row r="942" spans="1:21" ht="15.75" customHeight="1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5"/>
      <c r="M942" s="115"/>
      <c r="N942" s="115"/>
      <c r="O942" s="115"/>
      <c r="P942" s="114"/>
      <c r="Q942" s="114"/>
      <c r="R942" s="143"/>
      <c r="S942" s="114"/>
      <c r="T942" s="114"/>
      <c r="U942" s="143"/>
    </row>
    <row r="943" spans="1:21" ht="15.75" customHeight="1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5"/>
      <c r="M943" s="115"/>
      <c r="N943" s="115"/>
      <c r="O943" s="115"/>
      <c r="P943" s="114"/>
      <c r="Q943" s="114"/>
      <c r="R943" s="143"/>
      <c r="S943" s="114"/>
      <c r="T943" s="114"/>
      <c r="U943" s="143"/>
    </row>
    <row r="944" spans="1:21" ht="15.75" customHeight="1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5"/>
      <c r="M944" s="115"/>
      <c r="N944" s="115"/>
      <c r="O944" s="115"/>
      <c r="P944" s="114"/>
      <c r="Q944" s="114"/>
      <c r="R944" s="143"/>
      <c r="S944" s="114"/>
      <c r="T944" s="114"/>
      <c r="U944" s="143"/>
    </row>
    <row r="945" spans="1:21" ht="15.75" customHeight="1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5"/>
      <c r="M945" s="115"/>
      <c r="N945" s="115"/>
      <c r="O945" s="115"/>
      <c r="P945" s="114"/>
      <c r="Q945" s="114"/>
      <c r="R945" s="143"/>
      <c r="S945" s="114"/>
      <c r="T945" s="114"/>
      <c r="U945" s="143"/>
    </row>
    <row r="946" spans="1:21" ht="15.75" customHeight="1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5"/>
      <c r="M946" s="115"/>
      <c r="N946" s="115"/>
      <c r="O946" s="115"/>
      <c r="P946" s="114"/>
      <c r="Q946" s="114"/>
      <c r="R946" s="143"/>
      <c r="S946" s="114"/>
      <c r="T946" s="114"/>
      <c r="U946" s="143"/>
    </row>
    <row r="947" spans="1:21" ht="15.75" customHeight="1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5"/>
      <c r="M947" s="115"/>
      <c r="N947" s="115"/>
      <c r="O947" s="115"/>
      <c r="P947" s="114"/>
      <c r="Q947" s="114"/>
      <c r="R947" s="143"/>
      <c r="S947" s="114"/>
      <c r="T947" s="114"/>
      <c r="U947" s="143"/>
    </row>
    <row r="948" spans="1:21" ht="15.75" customHeight="1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5"/>
      <c r="M948" s="115"/>
      <c r="N948" s="115"/>
      <c r="O948" s="115"/>
      <c r="P948" s="114"/>
      <c r="Q948" s="114"/>
      <c r="R948" s="143"/>
      <c r="S948" s="114"/>
      <c r="T948" s="114"/>
      <c r="U948" s="143"/>
    </row>
    <row r="949" spans="1:21" ht="15.75" customHeight="1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5"/>
      <c r="M949" s="115"/>
      <c r="N949" s="115"/>
      <c r="O949" s="115"/>
      <c r="P949" s="114"/>
      <c r="Q949" s="114"/>
      <c r="R949" s="143"/>
      <c r="S949" s="114"/>
      <c r="T949" s="114"/>
      <c r="U949" s="143"/>
    </row>
    <row r="950" spans="1:21" ht="15.75" customHeight="1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5"/>
      <c r="M950" s="115"/>
      <c r="N950" s="115"/>
      <c r="O950" s="115"/>
      <c r="P950" s="114"/>
      <c r="Q950" s="114"/>
      <c r="R950" s="143"/>
      <c r="S950" s="114"/>
      <c r="T950" s="114"/>
      <c r="U950" s="143"/>
    </row>
    <row r="951" spans="1:21" ht="15.75" customHeight="1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5"/>
      <c r="M951" s="115"/>
      <c r="N951" s="115"/>
      <c r="O951" s="115"/>
      <c r="P951" s="114"/>
      <c r="Q951" s="114"/>
      <c r="R951" s="143"/>
      <c r="S951" s="114"/>
      <c r="T951" s="114"/>
      <c r="U951" s="143"/>
    </row>
    <row r="952" spans="1:21" ht="15.75" customHeight="1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5"/>
      <c r="M952" s="115"/>
      <c r="N952" s="115"/>
      <c r="O952" s="115"/>
      <c r="P952" s="114"/>
      <c r="Q952" s="114"/>
      <c r="R952" s="143"/>
      <c r="S952" s="114"/>
      <c r="T952" s="114"/>
      <c r="U952" s="143"/>
    </row>
    <row r="953" spans="1:21" ht="15.75" customHeight="1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5"/>
      <c r="M953" s="115"/>
      <c r="N953" s="115"/>
      <c r="O953" s="115"/>
      <c r="P953" s="114"/>
      <c r="Q953" s="114"/>
      <c r="R953" s="143"/>
      <c r="S953" s="114"/>
      <c r="T953" s="114"/>
      <c r="U953" s="143"/>
    </row>
    <row r="954" spans="1:21" ht="15.75" customHeight="1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5"/>
      <c r="M954" s="115"/>
      <c r="N954" s="115"/>
      <c r="O954" s="115"/>
      <c r="P954" s="114"/>
      <c r="Q954" s="114"/>
      <c r="R954" s="143"/>
      <c r="S954" s="114"/>
      <c r="T954" s="114"/>
      <c r="U954" s="143"/>
    </row>
    <row r="955" spans="1:21" ht="15.75" customHeight="1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5"/>
      <c r="M955" s="115"/>
      <c r="N955" s="115"/>
      <c r="O955" s="115"/>
      <c r="P955" s="114"/>
      <c r="Q955" s="114"/>
      <c r="R955" s="143"/>
      <c r="S955" s="114"/>
      <c r="T955" s="114"/>
      <c r="U955" s="143"/>
    </row>
    <row r="956" spans="1:21" ht="15.75" customHeight="1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5"/>
      <c r="M956" s="115"/>
      <c r="N956" s="115"/>
      <c r="O956" s="115"/>
      <c r="P956" s="114"/>
      <c r="Q956" s="114"/>
      <c r="R956" s="143"/>
      <c r="S956" s="114"/>
      <c r="T956" s="114"/>
      <c r="U956" s="143"/>
    </row>
    <row r="957" spans="1:21" ht="15.75" customHeight="1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5"/>
      <c r="M957" s="115"/>
      <c r="N957" s="115"/>
      <c r="O957" s="115"/>
      <c r="P957" s="114"/>
      <c r="Q957" s="114"/>
      <c r="R957" s="143"/>
      <c r="S957" s="114"/>
      <c r="T957" s="114"/>
      <c r="U957" s="143"/>
    </row>
    <row r="958" spans="1:21" ht="15.75" customHeight="1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5"/>
      <c r="M958" s="115"/>
      <c r="N958" s="115"/>
      <c r="O958" s="115"/>
      <c r="P958" s="114"/>
      <c r="Q958" s="114"/>
      <c r="R958" s="143"/>
      <c r="S958" s="114"/>
      <c r="T958" s="114"/>
      <c r="U958" s="143"/>
    </row>
    <row r="959" spans="1:21" ht="15.75" customHeight="1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5"/>
      <c r="M959" s="115"/>
      <c r="N959" s="115"/>
      <c r="O959" s="115"/>
      <c r="P959" s="114"/>
      <c r="Q959" s="114"/>
      <c r="R959" s="143"/>
      <c r="S959" s="114"/>
      <c r="T959" s="114"/>
      <c r="U959" s="143"/>
    </row>
    <row r="960" spans="1:21" ht="15.75" customHeight="1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5"/>
      <c r="M960" s="115"/>
      <c r="N960" s="115"/>
      <c r="O960" s="115"/>
      <c r="P960" s="114"/>
      <c r="Q960" s="114"/>
      <c r="R960" s="143"/>
      <c r="S960" s="114"/>
      <c r="T960" s="114"/>
      <c r="U960" s="143"/>
    </row>
    <row r="961" spans="1:21" ht="15.75" customHeight="1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5"/>
      <c r="M961" s="115"/>
      <c r="N961" s="115"/>
      <c r="O961" s="115"/>
      <c r="P961" s="114"/>
      <c r="Q961" s="114"/>
      <c r="R961" s="143"/>
      <c r="S961" s="114"/>
      <c r="T961" s="114"/>
      <c r="U961" s="143"/>
    </row>
    <row r="962" spans="1:21" ht="15.75" customHeight="1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5"/>
      <c r="M962" s="115"/>
      <c r="N962" s="115"/>
      <c r="O962" s="115"/>
      <c r="P962" s="114"/>
      <c r="Q962" s="114"/>
      <c r="R962" s="143"/>
      <c r="S962" s="114"/>
      <c r="T962" s="114"/>
      <c r="U962" s="143"/>
    </row>
    <row r="963" spans="1:21" ht="15.75" customHeight="1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5"/>
      <c r="M963" s="115"/>
      <c r="N963" s="115"/>
      <c r="O963" s="115"/>
      <c r="P963" s="114"/>
      <c r="Q963" s="114"/>
      <c r="R963" s="143"/>
      <c r="S963" s="114"/>
      <c r="T963" s="114"/>
      <c r="U963" s="143"/>
    </row>
    <row r="964" spans="1:21" ht="15.75" customHeight="1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5"/>
      <c r="M964" s="115"/>
      <c r="N964" s="115"/>
      <c r="O964" s="115"/>
      <c r="P964" s="114"/>
      <c r="Q964" s="114"/>
      <c r="R964" s="143"/>
      <c r="S964" s="114"/>
      <c r="T964" s="114"/>
      <c r="U964" s="143"/>
    </row>
    <row r="965" spans="1:21" ht="15.75" customHeight="1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5"/>
      <c r="M965" s="115"/>
      <c r="N965" s="115"/>
      <c r="O965" s="115"/>
      <c r="P965" s="114"/>
      <c r="Q965" s="114"/>
      <c r="R965" s="143"/>
      <c r="S965" s="114"/>
      <c r="T965" s="114"/>
      <c r="U965" s="143"/>
    </row>
    <row r="966" spans="1:21" ht="15.75" customHeight="1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5"/>
      <c r="M966" s="115"/>
      <c r="N966" s="115"/>
      <c r="O966" s="115"/>
      <c r="P966" s="114"/>
      <c r="Q966" s="114"/>
      <c r="R966" s="143"/>
      <c r="S966" s="114"/>
      <c r="T966" s="114"/>
      <c r="U966" s="143"/>
    </row>
    <row r="967" spans="1:21" ht="15.75" customHeight="1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5"/>
      <c r="M967" s="115"/>
      <c r="N967" s="115"/>
      <c r="O967" s="115"/>
      <c r="P967" s="114"/>
      <c r="Q967" s="114"/>
      <c r="R967" s="143"/>
      <c r="S967" s="114"/>
      <c r="T967" s="114"/>
      <c r="U967" s="143"/>
    </row>
    <row r="968" spans="1:21" ht="15.75" customHeight="1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5"/>
      <c r="M968" s="115"/>
      <c r="N968" s="115"/>
      <c r="O968" s="115"/>
      <c r="P968" s="114"/>
      <c r="Q968" s="114"/>
      <c r="R968" s="143"/>
      <c r="S968" s="114"/>
      <c r="T968" s="114"/>
      <c r="U968" s="143"/>
    </row>
    <row r="969" spans="1:21" ht="15.75" customHeight="1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5"/>
      <c r="M969" s="115"/>
      <c r="N969" s="115"/>
      <c r="O969" s="115"/>
      <c r="P969" s="114"/>
      <c r="Q969" s="114"/>
      <c r="R969" s="143"/>
      <c r="S969" s="114"/>
      <c r="T969" s="114"/>
      <c r="U969" s="143"/>
    </row>
    <row r="970" spans="1:21" ht="15.75" customHeight="1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5"/>
      <c r="M970" s="115"/>
      <c r="N970" s="115"/>
      <c r="O970" s="115"/>
      <c r="P970" s="114"/>
      <c r="Q970" s="114"/>
      <c r="R970" s="143"/>
      <c r="S970" s="114"/>
      <c r="T970" s="114"/>
      <c r="U970" s="143"/>
    </row>
    <row r="971" spans="1:21" ht="15.75" customHeight="1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5"/>
      <c r="M971" s="115"/>
      <c r="N971" s="115"/>
      <c r="O971" s="115"/>
      <c r="P971" s="114"/>
      <c r="Q971" s="114"/>
      <c r="R971" s="143"/>
      <c r="S971" s="114"/>
      <c r="T971" s="114"/>
      <c r="U971" s="143"/>
    </row>
    <row r="972" spans="1:21" ht="15.75" customHeight="1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5"/>
      <c r="M972" s="115"/>
      <c r="N972" s="115"/>
      <c r="O972" s="115"/>
      <c r="P972" s="114"/>
      <c r="Q972" s="114"/>
      <c r="R972" s="143"/>
      <c r="S972" s="114"/>
      <c r="T972" s="114"/>
      <c r="U972" s="143"/>
    </row>
    <row r="973" spans="1:21" ht="15.75" customHeight="1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5"/>
      <c r="M973" s="115"/>
      <c r="N973" s="115"/>
      <c r="O973" s="115"/>
      <c r="P973" s="114"/>
      <c r="Q973" s="114"/>
      <c r="R973" s="143"/>
      <c r="S973" s="114"/>
      <c r="T973" s="114"/>
      <c r="U973" s="143"/>
    </row>
    <row r="974" spans="1:21" ht="15.75" customHeight="1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5"/>
      <c r="M974" s="115"/>
      <c r="N974" s="115"/>
      <c r="O974" s="115"/>
      <c r="P974" s="114"/>
      <c r="Q974" s="114"/>
      <c r="R974" s="143"/>
      <c r="S974" s="114"/>
      <c r="T974" s="114"/>
      <c r="U974" s="143"/>
    </row>
    <row r="975" spans="1:21" ht="15.75" customHeight="1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5"/>
      <c r="M975" s="115"/>
      <c r="N975" s="115"/>
      <c r="O975" s="115"/>
      <c r="P975" s="114"/>
      <c r="Q975" s="114"/>
      <c r="R975" s="143"/>
      <c r="S975" s="114"/>
      <c r="T975" s="114"/>
      <c r="U975" s="143"/>
    </row>
    <row r="976" spans="1:21" ht="15.75" customHeight="1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5"/>
      <c r="M976" s="115"/>
      <c r="N976" s="115"/>
      <c r="O976" s="115"/>
      <c r="P976" s="114"/>
      <c r="Q976" s="114"/>
      <c r="R976" s="143"/>
      <c r="S976" s="114"/>
      <c r="T976" s="114"/>
      <c r="U976" s="143"/>
    </row>
    <row r="977" spans="1:21" ht="15.75" customHeight="1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5"/>
      <c r="M977" s="115"/>
      <c r="N977" s="115"/>
      <c r="O977" s="115"/>
      <c r="P977" s="114"/>
      <c r="Q977" s="114"/>
      <c r="R977" s="143"/>
      <c r="S977" s="114"/>
      <c r="T977" s="114"/>
      <c r="U977" s="143"/>
    </row>
    <row r="978" spans="1:21" ht="15.75" customHeight="1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5"/>
      <c r="M978" s="115"/>
      <c r="N978" s="115"/>
      <c r="O978" s="115"/>
      <c r="P978" s="114"/>
      <c r="Q978" s="114"/>
      <c r="R978" s="143"/>
      <c r="S978" s="114"/>
      <c r="T978" s="114"/>
      <c r="U978" s="143"/>
    </row>
    <row r="979" spans="1:21" ht="15.75" customHeight="1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5"/>
      <c r="M979" s="115"/>
      <c r="N979" s="115"/>
      <c r="O979" s="115"/>
      <c r="P979" s="114"/>
      <c r="Q979" s="114"/>
      <c r="R979" s="143"/>
      <c r="S979" s="114"/>
      <c r="T979" s="114"/>
      <c r="U979" s="143"/>
    </row>
    <row r="980" spans="1:21" ht="15.75" customHeight="1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5"/>
      <c r="M980" s="115"/>
      <c r="N980" s="115"/>
      <c r="O980" s="115"/>
      <c r="P980" s="114"/>
      <c r="Q980" s="114"/>
      <c r="R980" s="143"/>
      <c r="S980" s="114"/>
      <c r="T980" s="114"/>
      <c r="U980" s="143"/>
    </row>
    <row r="981" spans="1:21" ht="15.75" customHeight="1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5"/>
      <c r="M981" s="115"/>
      <c r="N981" s="115"/>
      <c r="O981" s="115"/>
      <c r="P981" s="114"/>
      <c r="Q981" s="114"/>
      <c r="R981" s="143"/>
      <c r="S981" s="114"/>
      <c r="T981" s="114"/>
      <c r="U981" s="143"/>
    </row>
    <row r="982" spans="1:21" ht="15.75" customHeight="1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5"/>
      <c r="M982" s="115"/>
      <c r="N982" s="115"/>
      <c r="O982" s="115"/>
      <c r="P982" s="114"/>
      <c r="Q982" s="114"/>
      <c r="R982" s="143"/>
      <c r="S982" s="114"/>
      <c r="T982" s="114"/>
      <c r="U982" s="143"/>
    </row>
    <row r="983" spans="1:21" ht="15.75" customHeight="1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5"/>
      <c r="M983" s="115"/>
      <c r="N983" s="115"/>
      <c r="O983" s="115"/>
      <c r="P983" s="114"/>
      <c r="Q983" s="114"/>
      <c r="R983" s="143"/>
      <c r="S983" s="114"/>
      <c r="T983" s="114"/>
      <c r="U983" s="143"/>
    </row>
    <row r="984" spans="1:21" ht="15.75" customHeight="1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5"/>
      <c r="M984" s="115"/>
      <c r="N984" s="115"/>
      <c r="O984" s="115"/>
      <c r="P984" s="114"/>
      <c r="Q984" s="114"/>
      <c r="R984" s="143"/>
      <c r="S984" s="114"/>
      <c r="T984" s="114"/>
      <c r="U984" s="143"/>
    </row>
    <row r="985" spans="1:21" ht="15.75" customHeight="1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5"/>
      <c r="M985" s="115"/>
      <c r="N985" s="115"/>
      <c r="O985" s="115"/>
      <c r="P985" s="114"/>
      <c r="Q985" s="114"/>
      <c r="R985" s="143"/>
      <c r="S985" s="114"/>
      <c r="T985" s="114"/>
      <c r="U985" s="143"/>
    </row>
    <row r="986" spans="1:21" ht="15.75" customHeight="1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5"/>
      <c r="M986" s="115"/>
      <c r="N986" s="115"/>
      <c r="O986" s="115"/>
      <c r="P986" s="114"/>
      <c r="Q986" s="114"/>
      <c r="R986" s="143"/>
      <c r="S986" s="114"/>
      <c r="T986" s="114"/>
      <c r="U986" s="143"/>
    </row>
    <row r="987" spans="1:21" ht="15.75" customHeight="1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5"/>
      <c r="M987" s="115"/>
      <c r="N987" s="115"/>
      <c r="O987" s="115"/>
      <c r="P987" s="114"/>
      <c r="Q987" s="114"/>
      <c r="R987" s="143"/>
      <c r="S987" s="114"/>
      <c r="T987" s="114"/>
      <c r="U987" s="143"/>
    </row>
    <row r="988" spans="1:21" ht="15.75" customHeight="1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5"/>
      <c r="M988" s="115"/>
      <c r="N988" s="115"/>
      <c r="O988" s="115"/>
      <c r="P988" s="114"/>
      <c r="Q988" s="114"/>
      <c r="R988" s="143"/>
      <c r="S988" s="114"/>
      <c r="T988" s="114"/>
      <c r="U988" s="143"/>
    </row>
    <row r="989" spans="1:21" ht="15.75" customHeight="1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5"/>
      <c r="M989" s="115"/>
      <c r="N989" s="115"/>
      <c r="O989" s="115"/>
      <c r="P989" s="114"/>
      <c r="Q989" s="114"/>
      <c r="R989" s="143"/>
      <c r="S989" s="114"/>
      <c r="T989" s="114"/>
      <c r="U989" s="143"/>
    </row>
    <row r="990" spans="1:21" ht="15.75" customHeight="1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5"/>
      <c r="M990" s="115"/>
      <c r="N990" s="115"/>
      <c r="O990" s="115"/>
      <c r="P990" s="114"/>
      <c r="Q990" s="114"/>
      <c r="R990" s="143"/>
      <c r="S990" s="114"/>
      <c r="T990" s="114"/>
      <c r="U990" s="143"/>
    </row>
    <row r="991" spans="1:21" ht="15.75" customHeight="1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5"/>
      <c r="M991" s="115"/>
      <c r="N991" s="115"/>
      <c r="O991" s="115"/>
      <c r="P991" s="114"/>
      <c r="Q991" s="114"/>
      <c r="R991" s="143"/>
      <c r="S991" s="114"/>
      <c r="T991" s="114"/>
      <c r="U991" s="143"/>
    </row>
    <row r="992" spans="1:21" ht="15.75" customHeight="1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5"/>
      <c r="M992" s="115"/>
      <c r="N992" s="115"/>
      <c r="O992" s="115"/>
      <c r="P992" s="114"/>
      <c r="Q992" s="114"/>
      <c r="R992" s="143"/>
      <c r="S992" s="114"/>
      <c r="T992" s="114"/>
      <c r="U992" s="143"/>
    </row>
    <row r="993" spans="1:21" ht="15.75" customHeight="1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5"/>
      <c r="M993" s="115"/>
      <c r="N993" s="115"/>
      <c r="O993" s="115"/>
      <c r="P993" s="114"/>
      <c r="Q993" s="114"/>
      <c r="R993" s="143"/>
      <c r="S993" s="114"/>
      <c r="T993" s="114"/>
      <c r="U993" s="143"/>
    </row>
    <row r="994" spans="1:21" ht="15.75" customHeight="1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5"/>
      <c r="M994" s="115"/>
      <c r="N994" s="115"/>
      <c r="O994" s="115"/>
      <c r="P994" s="114"/>
      <c r="Q994" s="114"/>
      <c r="R994" s="143"/>
      <c r="S994" s="114"/>
      <c r="T994" s="114"/>
      <c r="U994" s="143"/>
    </row>
    <row r="995" spans="1:21" ht="15.75" customHeight="1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5"/>
      <c r="M995" s="115"/>
      <c r="N995" s="115"/>
      <c r="O995" s="115"/>
      <c r="P995" s="114"/>
      <c r="Q995" s="114"/>
      <c r="R995" s="143"/>
      <c r="S995" s="114"/>
      <c r="T995" s="114"/>
      <c r="U995" s="143"/>
    </row>
    <row r="996" spans="1:21" ht="15.75" customHeight="1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5"/>
      <c r="M996" s="115"/>
      <c r="N996" s="115"/>
      <c r="O996" s="115"/>
      <c r="P996" s="114"/>
      <c r="Q996" s="114"/>
      <c r="R996" s="143"/>
      <c r="S996" s="114"/>
      <c r="T996" s="114"/>
      <c r="U996" s="143"/>
    </row>
    <row r="997" spans="1:21" ht="15.75" customHeight="1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5"/>
      <c r="M997" s="115"/>
      <c r="N997" s="115"/>
      <c r="O997" s="115"/>
      <c r="P997" s="114"/>
      <c r="Q997" s="114"/>
      <c r="R997" s="143"/>
      <c r="S997" s="114"/>
      <c r="T997" s="114"/>
      <c r="U997" s="143"/>
    </row>
    <row r="998" spans="1:21" ht="15.75" customHeight="1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15"/>
      <c r="M998" s="115"/>
      <c r="N998" s="115"/>
      <c r="O998" s="115"/>
      <c r="P998" s="114"/>
      <c r="Q998" s="114"/>
      <c r="R998" s="143"/>
      <c r="S998" s="114"/>
      <c r="T998" s="114"/>
      <c r="U998" s="143"/>
    </row>
    <row r="999" spans="1:21" ht="15.75" customHeight="1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15"/>
      <c r="M999" s="115"/>
      <c r="N999" s="115"/>
      <c r="O999" s="115"/>
      <c r="P999" s="114"/>
      <c r="Q999" s="114"/>
      <c r="R999" s="143"/>
      <c r="S999" s="114"/>
      <c r="T999" s="114"/>
      <c r="U999" s="143"/>
    </row>
    <row r="1000" spans="1:21" ht="15.75" customHeight="1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15"/>
      <c r="M1000" s="115"/>
      <c r="N1000" s="115"/>
      <c r="O1000" s="115"/>
      <c r="P1000" s="114"/>
      <c r="Q1000" s="114"/>
      <c r="R1000" s="143"/>
      <c r="S1000" s="114"/>
      <c r="T1000" s="114"/>
      <c r="U1000" s="143"/>
    </row>
  </sheetData>
  <mergeCells count="27">
    <mergeCell ref="G7:G8"/>
    <mergeCell ref="I7:J7"/>
    <mergeCell ref="A91:B91"/>
    <mergeCell ref="A106:B106"/>
    <mergeCell ref="C7:C8"/>
    <mergeCell ref="D7:D8"/>
    <mergeCell ref="A9:B9"/>
    <mergeCell ref="A15:B15"/>
    <mergeCell ref="A33:B33"/>
    <mergeCell ref="A54:B54"/>
    <mergeCell ref="A76:B76"/>
    <mergeCell ref="K7:M7"/>
    <mergeCell ref="N7:O7"/>
    <mergeCell ref="Q7:R7"/>
    <mergeCell ref="T7:U7"/>
    <mergeCell ref="A2:B4"/>
    <mergeCell ref="C2:U2"/>
    <mergeCell ref="C3:U3"/>
    <mergeCell ref="C4:U4"/>
    <mergeCell ref="P5:R6"/>
    <mergeCell ref="S5:U6"/>
    <mergeCell ref="A6:B8"/>
    <mergeCell ref="C5:O5"/>
    <mergeCell ref="C6:G6"/>
    <mergeCell ref="I6:O6"/>
    <mergeCell ref="E7:E8"/>
    <mergeCell ref="F7:F8"/>
  </mergeCells>
  <printOptions horizontalCentered="1"/>
  <pageMargins left="0.31496062992125984" right="0.31496062992125984" top="0.74803149606299213" bottom="0.74803149606299213" header="0" footer="0"/>
  <pageSetup paperSize="9" scale="48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  <colBreaks count="1" manualBreakCount="1">
    <brk id="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EAADB"/>
  </sheetPr>
  <dimension ref="A1:AP1000"/>
  <sheetViews>
    <sheetView view="pageBreakPreview" zoomScale="60" zoomScaleNormal="100" workbookViewId="0">
      <pane xSplit="2" ySplit="9" topLeftCell="C10" activePane="bottomRight" state="frozen"/>
      <selection activeCell="A15" sqref="A15:B15"/>
      <selection pane="topRight" activeCell="A15" sqref="A15:B15"/>
      <selection pane="bottomLeft" activeCell="A15" sqref="A15:B15"/>
      <selection pane="bottomRight" activeCell="A15" sqref="A15:B15"/>
    </sheetView>
  </sheetViews>
  <sheetFormatPr defaultColWidth="14.44140625" defaultRowHeight="15" customHeight="1"/>
  <cols>
    <col min="1" max="1" width="7.21875" customWidth="1"/>
    <col min="2" max="2" width="29.77734375" customWidth="1"/>
    <col min="3" max="3" width="13" customWidth="1"/>
    <col min="4" max="4" width="11.77734375" customWidth="1"/>
    <col min="5" max="5" width="11.21875" customWidth="1"/>
    <col min="6" max="6" width="11.77734375" customWidth="1"/>
    <col min="7" max="7" width="10.44140625" customWidth="1"/>
    <col min="8" max="9" width="17.5546875" customWidth="1"/>
    <col min="10" max="10" width="8.44140625" customWidth="1"/>
    <col min="11" max="11" width="11.77734375" customWidth="1"/>
    <col min="12" max="12" width="15.21875" customWidth="1"/>
    <col min="13" max="13" width="16.77734375" customWidth="1"/>
    <col min="14" max="14" width="11.77734375" customWidth="1"/>
    <col min="15" max="15" width="8.44140625" customWidth="1"/>
    <col min="16" max="16" width="11.77734375" customWidth="1"/>
    <col min="17" max="20" width="14.5546875" customWidth="1"/>
    <col min="21" max="28" width="14.77734375" customWidth="1"/>
    <col min="29" max="29" width="11.77734375" customWidth="1"/>
    <col min="30" max="30" width="15.21875" customWidth="1"/>
    <col min="31" max="31" width="16.77734375" customWidth="1"/>
    <col min="32" max="36" width="11.77734375" customWidth="1"/>
  </cols>
  <sheetData>
    <row r="1" spans="1:42" ht="24" customHeight="1">
      <c r="A1" s="1" t="s">
        <v>163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45"/>
      <c r="Q1" s="145"/>
      <c r="R1" s="145"/>
      <c r="S1" s="145"/>
      <c r="T1" s="145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2"/>
      <c r="AI1" s="2"/>
      <c r="AJ1" s="2"/>
      <c r="AK1" s="114"/>
      <c r="AL1" s="114"/>
      <c r="AM1" s="114"/>
      <c r="AN1" s="114"/>
      <c r="AO1" s="114"/>
      <c r="AP1" s="114"/>
    </row>
    <row r="2" spans="1:42" ht="24" customHeight="1">
      <c r="A2" s="681" t="s">
        <v>1</v>
      </c>
      <c r="B2" s="682"/>
      <c r="C2" s="723" t="s">
        <v>164</v>
      </c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C2" s="686"/>
      <c r="AD2" s="686"/>
      <c r="AE2" s="686"/>
      <c r="AF2" s="686"/>
      <c r="AG2" s="686"/>
      <c r="AH2" s="686"/>
      <c r="AI2" s="686"/>
      <c r="AJ2" s="687"/>
      <c r="AK2" s="114"/>
      <c r="AL2" s="114"/>
      <c r="AM2" s="114"/>
      <c r="AN2" s="114"/>
      <c r="AO2" s="114"/>
      <c r="AP2" s="114"/>
    </row>
    <row r="3" spans="1:42" ht="24" customHeight="1">
      <c r="A3" s="660"/>
      <c r="B3" s="661"/>
      <c r="C3" s="724" t="s">
        <v>165</v>
      </c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  <c r="Y3" s="651"/>
      <c r="Z3" s="651"/>
      <c r="AA3" s="651"/>
      <c r="AB3" s="651"/>
      <c r="AC3" s="651"/>
      <c r="AD3" s="651"/>
      <c r="AE3" s="651"/>
      <c r="AF3" s="651"/>
      <c r="AG3" s="651"/>
      <c r="AH3" s="651"/>
      <c r="AI3" s="651"/>
      <c r="AJ3" s="654"/>
      <c r="AK3" s="114"/>
      <c r="AL3" s="114"/>
      <c r="AM3" s="114"/>
      <c r="AN3" s="114"/>
      <c r="AO3" s="114"/>
      <c r="AP3" s="114"/>
    </row>
    <row r="4" spans="1:42" ht="24" customHeight="1">
      <c r="A4" s="683"/>
      <c r="B4" s="684"/>
      <c r="C4" s="725" t="s">
        <v>166</v>
      </c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  <c r="S4" s="651"/>
      <c r="T4" s="652"/>
      <c r="U4" s="725" t="s">
        <v>167</v>
      </c>
      <c r="V4" s="651"/>
      <c r="W4" s="651"/>
      <c r="X4" s="651"/>
      <c r="Y4" s="651"/>
      <c r="Z4" s="651"/>
      <c r="AA4" s="651"/>
      <c r="AB4" s="651"/>
      <c r="AC4" s="651"/>
      <c r="AD4" s="651"/>
      <c r="AE4" s="651"/>
      <c r="AF4" s="651"/>
      <c r="AG4" s="651"/>
      <c r="AH4" s="651"/>
      <c r="AI4" s="651"/>
      <c r="AJ4" s="654"/>
      <c r="AK4" s="114"/>
      <c r="AL4" s="114"/>
      <c r="AM4" s="114"/>
      <c r="AN4" s="114"/>
      <c r="AO4" s="114"/>
      <c r="AP4" s="114"/>
    </row>
    <row r="5" spans="1:42" ht="30" customHeight="1">
      <c r="A5" s="6"/>
      <c r="B5" s="7"/>
      <c r="C5" s="650" t="s">
        <v>5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2"/>
      <c r="P5" s="722" t="s">
        <v>168</v>
      </c>
      <c r="Q5" s="651"/>
      <c r="R5" s="651"/>
      <c r="S5" s="651"/>
      <c r="T5" s="654"/>
      <c r="U5" s="720" t="s">
        <v>5</v>
      </c>
      <c r="V5" s="651"/>
      <c r="W5" s="651"/>
      <c r="X5" s="651"/>
      <c r="Y5" s="651"/>
      <c r="Z5" s="651"/>
      <c r="AA5" s="651"/>
      <c r="AB5" s="651"/>
      <c r="AC5" s="651"/>
      <c r="AD5" s="651"/>
      <c r="AE5" s="651"/>
      <c r="AF5" s="651"/>
      <c r="AG5" s="654"/>
      <c r="AH5" s="721" t="s">
        <v>169</v>
      </c>
      <c r="AI5" s="694"/>
      <c r="AJ5" s="695"/>
      <c r="AK5" s="114"/>
      <c r="AL5" s="114"/>
      <c r="AM5" s="114"/>
      <c r="AN5" s="114"/>
      <c r="AO5" s="114"/>
      <c r="AP5" s="114"/>
    </row>
    <row r="6" spans="1:42" ht="30" customHeight="1">
      <c r="A6" s="658" t="s">
        <v>8</v>
      </c>
      <c r="B6" s="659"/>
      <c r="C6" s="653" t="s">
        <v>9</v>
      </c>
      <c r="D6" s="651"/>
      <c r="E6" s="651"/>
      <c r="F6" s="651"/>
      <c r="G6" s="654"/>
      <c r="H6" s="8" t="s">
        <v>10</v>
      </c>
      <c r="I6" s="655" t="s">
        <v>11</v>
      </c>
      <c r="J6" s="651"/>
      <c r="K6" s="651"/>
      <c r="L6" s="651"/>
      <c r="M6" s="651"/>
      <c r="N6" s="651"/>
      <c r="O6" s="654"/>
      <c r="P6" s="727" t="s">
        <v>24</v>
      </c>
      <c r="Q6" s="722" t="s">
        <v>170</v>
      </c>
      <c r="R6" s="654"/>
      <c r="S6" s="722" t="s">
        <v>171</v>
      </c>
      <c r="T6" s="654"/>
      <c r="U6" s="653" t="s">
        <v>9</v>
      </c>
      <c r="V6" s="651"/>
      <c r="W6" s="651"/>
      <c r="X6" s="651"/>
      <c r="Y6" s="654"/>
      <c r="Z6" s="8" t="s">
        <v>10</v>
      </c>
      <c r="AA6" s="655" t="s">
        <v>11</v>
      </c>
      <c r="AB6" s="651"/>
      <c r="AC6" s="651"/>
      <c r="AD6" s="651"/>
      <c r="AE6" s="651"/>
      <c r="AF6" s="651"/>
      <c r="AG6" s="654"/>
      <c r="AH6" s="719"/>
      <c r="AI6" s="670"/>
      <c r="AJ6" s="671"/>
      <c r="AK6" s="114"/>
      <c r="AL6" s="114"/>
      <c r="AM6" s="114"/>
      <c r="AN6" s="114"/>
      <c r="AO6" s="114"/>
      <c r="AP6" s="114"/>
    </row>
    <row r="7" spans="1:42" ht="24" customHeight="1">
      <c r="A7" s="660"/>
      <c r="B7" s="661"/>
      <c r="C7" s="702" t="s">
        <v>16</v>
      </c>
      <c r="D7" s="704" t="s">
        <v>17</v>
      </c>
      <c r="E7" s="705" t="s">
        <v>18</v>
      </c>
      <c r="F7" s="664" t="s">
        <v>19</v>
      </c>
      <c r="G7" s="666" t="s">
        <v>20</v>
      </c>
      <c r="H7" s="9" t="s">
        <v>21</v>
      </c>
      <c r="I7" s="667" t="s">
        <v>22</v>
      </c>
      <c r="J7" s="668"/>
      <c r="K7" s="669" t="s">
        <v>21</v>
      </c>
      <c r="L7" s="670"/>
      <c r="M7" s="671"/>
      <c r="N7" s="672" t="s">
        <v>23</v>
      </c>
      <c r="O7" s="671"/>
      <c r="P7" s="728"/>
      <c r="Q7" s="726" t="s">
        <v>25</v>
      </c>
      <c r="R7" s="699"/>
      <c r="S7" s="726" t="s">
        <v>25</v>
      </c>
      <c r="T7" s="699"/>
      <c r="U7" s="702" t="s">
        <v>16</v>
      </c>
      <c r="V7" s="704" t="s">
        <v>17</v>
      </c>
      <c r="W7" s="705" t="s">
        <v>18</v>
      </c>
      <c r="X7" s="664" t="s">
        <v>19</v>
      </c>
      <c r="Y7" s="666" t="s">
        <v>20</v>
      </c>
      <c r="Z7" s="9" t="s">
        <v>21</v>
      </c>
      <c r="AA7" s="667" t="s">
        <v>22</v>
      </c>
      <c r="AB7" s="668"/>
      <c r="AC7" s="669" t="s">
        <v>21</v>
      </c>
      <c r="AD7" s="670"/>
      <c r="AE7" s="671"/>
      <c r="AF7" s="672" t="s">
        <v>23</v>
      </c>
      <c r="AG7" s="671"/>
      <c r="AH7" s="118" t="s">
        <v>24</v>
      </c>
      <c r="AI7" s="726" t="s">
        <v>25</v>
      </c>
      <c r="AJ7" s="699"/>
      <c r="AK7" s="114"/>
      <c r="AL7" s="114"/>
      <c r="AM7" s="114"/>
      <c r="AN7" s="114"/>
      <c r="AO7" s="114"/>
      <c r="AP7" s="114"/>
    </row>
    <row r="8" spans="1:42" ht="24" customHeight="1">
      <c r="A8" s="662"/>
      <c r="B8" s="663"/>
      <c r="C8" s="703"/>
      <c r="D8" s="665"/>
      <c r="E8" s="665"/>
      <c r="F8" s="665"/>
      <c r="G8" s="665"/>
      <c r="H8" s="9"/>
      <c r="I8" s="11" t="s">
        <v>26</v>
      </c>
      <c r="J8" s="12" t="s">
        <v>27</v>
      </c>
      <c r="K8" s="11" t="s">
        <v>26</v>
      </c>
      <c r="L8" s="13" t="s">
        <v>28</v>
      </c>
      <c r="M8" s="14" t="s">
        <v>29</v>
      </c>
      <c r="N8" s="15" t="s">
        <v>26</v>
      </c>
      <c r="O8" s="15" t="s">
        <v>27</v>
      </c>
      <c r="P8" s="146" t="s">
        <v>32</v>
      </c>
      <c r="Q8" s="119" t="s">
        <v>31</v>
      </c>
      <c r="R8" s="119" t="s">
        <v>27</v>
      </c>
      <c r="S8" s="119" t="s">
        <v>31</v>
      </c>
      <c r="T8" s="119" t="s">
        <v>27</v>
      </c>
      <c r="U8" s="703"/>
      <c r="V8" s="665"/>
      <c r="W8" s="665"/>
      <c r="X8" s="665"/>
      <c r="Y8" s="665"/>
      <c r="Z8" s="9"/>
      <c r="AA8" s="11" t="s">
        <v>26</v>
      </c>
      <c r="AB8" s="12" t="s">
        <v>27</v>
      </c>
      <c r="AC8" s="11" t="s">
        <v>26</v>
      </c>
      <c r="AD8" s="13" t="s">
        <v>28</v>
      </c>
      <c r="AE8" s="14" t="s">
        <v>29</v>
      </c>
      <c r="AF8" s="15" t="s">
        <v>26</v>
      </c>
      <c r="AG8" s="15" t="s">
        <v>27</v>
      </c>
      <c r="AH8" s="16" t="s">
        <v>172</v>
      </c>
      <c r="AI8" s="119" t="s">
        <v>173</v>
      </c>
      <c r="AJ8" s="119" t="s">
        <v>27</v>
      </c>
      <c r="AK8" s="114"/>
      <c r="AL8" s="114"/>
      <c r="AM8" s="114"/>
      <c r="AN8" s="114"/>
      <c r="AO8" s="114"/>
      <c r="AP8" s="114"/>
    </row>
    <row r="9" spans="1:42" ht="27.75" customHeight="1">
      <c r="A9" s="674" t="s">
        <v>34</v>
      </c>
      <c r="B9" s="675"/>
      <c r="C9" s="20">
        <f t="shared" ref="C9:C119" ca="1" si="0">D9+G9</f>
        <v>2823500</v>
      </c>
      <c r="D9" s="21">
        <f t="shared" ref="D9:F9" ca="1" si="1">D10+D11</f>
        <v>2119000</v>
      </c>
      <c r="E9" s="22">
        <f t="shared" ca="1" si="1"/>
        <v>300500</v>
      </c>
      <c r="F9" s="23">
        <f t="shared" ca="1" si="1"/>
        <v>1818500</v>
      </c>
      <c r="G9" s="24">
        <f t="shared" ref="G9:H9" ca="1" si="2">G10+G11+G14</f>
        <v>704500</v>
      </c>
      <c r="H9" s="25">
        <f t="shared" ca="1" si="2"/>
        <v>1679400</v>
      </c>
      <c r="I9" s="26">
        <f t="shared" ref="I9:I105" ca="1" si="3">K9+N9</f>
        <v>1220644</v>
      </c>
      <c r="J9" s="122">
        <f t="shared" ref="J9:J105" ca="1" si="4">IF(C9&gt;0,I9*100/C9,0)</f>
        <v>43.231591995749959</v>
      </c>
      <c r="K9" s="26">
        <f ca="1">K10+K11+K14</f>
        <v>616144</v>
      </c>
      <c r="L9" s="122">
        <f t="shared" ref="L9:L105" ca="1" si="5">IF(D9&gt;0,K9*100/D9,0)</f>
        <v>29.077111845210005</v>
      </c>
      <c r="M9" s="122">
        <f t="shared" ref="M9:M105" ca="1" si="6">IF(H9&gt;0,K9*100/H9,0)</f>
        <v>36.688341074193161</v>
      </c>
      <c r="N9" s="122">
        <f ca="1">N10+N11+N14</f>
        <v>604500</v>
      </c>
      <c r="O9" s="122">
        <f t="shared" ref="O9:O105" ca="1" si="7">IF(G9&gt;0,N9*100/G9,0)</f>
        <v>85.805535841022007</v>
      </c>
      <c r="P9" s="30">
        <f t="shared" ref="P9:Q9" ca="1" si="8">P10+P11</f>
        <v>300</v>
      </c>
      <c r="Q9" s="31">
        <f t="shared" ca="1" si="8"/>
        <v>285</v>
      </c>
      <c r="R9" s="123">
        <f t="shared" ref="R9:R106" ca="1" si="9">IF(P9&gt;0,Q9*100/P9,0)</f>
        <v>95</v>
      </c>
      <c r="S9" s="31">
        <f ca="1">S10+S11</f>
        <v>0</v>
      </c>
      <c r="T9" s="123">
        <f t="shared" ref="T9:T106" ca="1" si="10">IF(P9&gt;0,S9*100/P9,0)</f>
        <v>0</v>
      </c>
      <c r="U9" s="20">
        <f t="shared" ref="U9:U119" ca="1" si="11">V9+Y9</f>
        <v>13101500</v>
      </c>
      <c r="V9" s="21">
        <f t="shared" ref="V9:X9" ca="1" si="12">V10+V11</f>
        <v>7151500</v>
      </c>
      <c r="W9" s="22">
        <f t="shared" ca="1" si="12"/>
        <v>1787900</v>
      </c>
      <c r="X9" s="23">
        <f t="shared" ca="1" si="12"/>
        <v>5363600</v>
      </c>
      <c r="Y9" s="24">
        <f t="shared" ref="Y9:Z9" ca="1" si="13">Y10+Y11+Y14</f>
        <v>5950000</v>
      </c>
      <c r="Z9" s="25">
        <f t="shared" ca="1" si="13"/>
        <v>5273400</v>
      </c>
      <c r="AA9" s="26">
        <f t="shared" ref="AA9:AA105" ca="1" si="14">AC9+AF9</f>
        <v>2215586.31</v>
      </c>
      <c r="AB9" s="122">
        <f t="shared" ref="AB9:AB105" ca="1" si="15">IF(U9&gt;0,AA9*100/U9,0)</f>
        <v>16.910936228676107</v>
      </c>
      <c r="AC9" s="26">
        <f ca="1">AC10+AC11+AC14</f>
        <v>2215586.31</v>
      </c>
      <c r="AD9" s="122">
        <f t="shared" ref="AD9:AD105" ca="1" si="16">IF(V9&gt;0,AC9*100/V9,0)</f>
        <v>30.980721666783193</v>
      </c>
      <c r="AE9" s="122">
        <f t="shared" ref="AE9:AE105" ca="1" si="17">IF(Z9&gt;0,AC9*100/Z9,0)</f>
        <v>42.014379906701556</v>
      </c>
      <c r="AF9" s="122">
        <f ca="1">AF10+AF11+AF14</f>
        <v>0</v>
      </c>
      <c r="AG9" s="122">
        <f t="shared" ref="AG9:AG105" ca="1" si="18">IF(Y9&gt;0,AF9*100/Y9,0)</f>
        <v>0</v>
      </c>
      <c r="AH9" s="30">
        <f t="shared" ref="AH9:AI9" ca="1" si="19">AH10+AH11</f>
        <v>31</v>
      </c>
      <c r="AI9" s="31">
        <f t="shared" ca="1" si="19"/>
        <v>19</v>
      </c>
      <c r="AJ9" s="123">
        <f t="shared" ref="AJ9:AJ114" ca="1" si="20">IF(AH9&gt;0,AI9*100/AH9,0)</f>
        <v>61.29032258064516</v>
      </c>
      <c r="AK9" s="147"/>
      <c r="AL9" s="147"/>
      <c r="AM9" s="147"/>
      <c r="AN9" s="147"/>
      <c r="AO9" s="147"/>
      <c r="AP9" s="147"/>
    </row>
    <row r="10" spans="1:42" ht="28.5" customHeight="1">
      <c r="A10" s="33" t="s">
        <v>35</v>
      </c>
      <c r="B10" s="34"/>
      <c r="C10" s="124">
        <f t="shared" ca="1" si="0"/>
        <v>1732940</v>
      </c>
      <c r="D10" s="36">
        <f t="shared" ref="D10:H10" ca="1" si="21">+D15+D33+D54+D76</f>
        <v>1028440</v>
      </c>
      <c r="E10" s="36">
        <f t="shared" ca="1" si="21"/>
        <v>0</v>
      </c>
      <c r="F10" s="36">
        <f t="shared" ca="1" si="21"/>
        <v>1028440</v>
      </c>
      <c r="G10" s="36">
        <f t="shared" ca="1" si="21"/>
        <v>704500</v>
      </c>
      <c r="H10" s="36">
        <f t="shared" ca="1" si="21"/>
        <v>1028440</v>
      </c>
      <c r="I10" s="36">
        <f t="shared" ca="1" si="3"/>
        <v>1055070</v>
      </c>
      <c r="J10" s="125">
        <f t="shared" ca="1" si="4"/>
        <v>60.883238888824771</v>
      </c>
      <c r="K10" s="36">
        <f ca="1">+K15+K33+K54+K76</f>
        <v>450570</v>
      </c>
      <c r="L10" s="125">
        <f t="shared" ca="1" si="5"/>
        <v>43.811014740772436</v>
      </c>
      <c r="M10" s="125">
        <f t="shared" ca="1" si="6"/>
        <v>43.811014740772436</v>
      </c>
      <c r="N10" s="125">
        <f ca="1">+N15+N33+N54+N76</f>
        <v>604500</v>
      </c>
      <c r="O10" s="125">
        <f t="shared" ca="1" si="7"/>
        <v>85.805535841022007</v>
      </c>
      <c r="P10" s="36">
        <f t="shared" ref="P10:Q10" ca="1" si="22">+P15+P33+P54+P76</f>
        <v>300</v>
      </c>
      <c r="Q10" s="36">
        <f t="shared" ca="1" si="22"/>
        <v>285</v>
      </c>
      <c r="R10" s="125">
        <f t="shared" ca="1" si="9"/>
        <v>95</v>
      </c>
      <c r="S10" s="36">
        <f ca="1">+S15+S33+S54+S76</f>
        <v>0</v>
      </c>
      <c r="T10" s="125">
        <f t="shared" ca="1" si="10"/>
        <v>0</v>
      </c>
      <c r="U10" s="124">
        <f t="shared" ca="1" si="11"/>
        <v>9379200</v>
      </c>
      <c r="V10" s="36">
        <f t="shared" ref="V10:Z10" ca="1" si="23">+V15+V33+V54+V76</f>
        <v>3429200</v>
      </c>
      <c r="W10" s="36">
        <f t="shared" ca="1" si="23"/>
        <v>0</v>
      </c>
      <c r="X10" s="36">
        <f t="shared" ca="1" si="23"/>
        <v>3429200</v>
      </c>
      <c r="Y10" s="36">
        <f t="shared" ca="1" si="23"/>
        <v>5950000</v>
      </c>
      <c r="Z10" s="36">
        <f t="shared" ca="1" si="23"/>
        <v>2838100</v>
      </c>
      <c r="AA10" s="36">
        <f t="shared" ca="1" si="14"/>
        <v>1372653.67</v>
      </c>
      <c r="AB10" s="125">
        <f t="shared" ca="1" si="15"/>
        <v>14.635082629648585</v>
      </c>
      <c r="AC10" s="36">
        <f ca="1">+AC15+AC33+AC54+AC76</f>
        <v>1372653.67</v>
      </c>
      <c r="AD10" s="125">
        <f t="shared" ca="1" si="16"/>
        <v>40.02839350285781</v>
      </c>
      <c r="AE10" s="125">
        <f t="shared" ca="1" si="17"/>
        <v>48.365232726119586</v>
      </c>
      <c r="AF10" s="125">
        <f ca="1">+AF15+AF33+AF54+AF76</f>
        <v>0</v>
      </c>
      <c r="AG10" s="125">
        <f t="shared" ca="1" si="18"/>
        <v>0</v>
      </c>
      <c r="AH10" s="36">
        <f t="shared" ref="AH10:AI10" ca="1" si="24">+AH15+AH33+AH54+AH76</f>
        <v>31</v>
      </c>
      <c r="AI10" s="36">
        <f t="shared" ca="1" si="24"/>
        <v>19</v>
      </c>
      <c r="AJ10" s="125">
        <f t="shared" ca="1" si="20"/>
        <v>61.29032258064516</v>
      </c>
      <c r="AK10" s="147"/>
      <c r="AL10" s="147"/>
      <c r="AM10" s="147"/>
      <c r="AN10" s="147"/>
      <c r="AO10" s="147"/>
      <c r="AP10" s="147"/>
    </row>
    <row r="11" spans="1:42" ht="28.5" customHeight="1">
      <c r="A11" s="42" t="s">
        <v>373</v>
      </c>
      <c r="B11" s="43"/>
      <c r="C11" s="126">
        <f t="shared" ca="1" si="0"/>
        <v>1090560</v>
      </c>
      <c r="D11" s="45">
        <f t="shared" ref="D11:H11" ca="1" si="25">+D12+D13</f>
        <v>1090560</v>
      </c>
      <c r="E11" s="45">
        <f t="shared" ca="1" si="25"/>
        <v>300500</v>
      </c>
      <c r="F11" s="45">
        <f t="shared" ca="1" si="25"/>
        <v>790060</v>
      </c>
      <c r="G11" s="45">
        <f t="shared" ca="1" si="25"/>
        <v>0</v>
      </c>
      <c r="H11" s="45">
        <f t="shared" ca="1" si="25"/>
        <v>650960</v>
      </c>
      <c r="I11" s="45">
        <f t="shared" ca="1" si="3"/>
        <v>165574</v>
      </c>
      <c r="J11" s="127">
        <f t="shared" ca="1" si="4"/>
        <v>15.182475058685446</v>
      </c>
      <c r="K11" s="45">
        <f ca="1">+K12+K13</f>
        <v>165574</v>
      </c>
      <c r="L11" s="127">
        <f t="shared" ca="1" si="5"/>
        <v>15.182475058685446</v>
      </c>
      <c r="M11" s="127">
        <f t="shared" ca="1" si="6"/>
        <v>25.435357011183484</v>
      </c>
      <c r="N11" s="127">
        <f ca="1">+N12+N13</f>
        <v>0</v>
      </c>
      <c r="O11" s="127">
        <f t="shared" ca="1" si="7"/>
        <v>0</v>
      </c>
      <c r="P11" s="45">
        <f t="shared" ref="P11:Q11" ca="1" si="26">+P12+P13</f>
        <v>0</v>
      </c>
      <c r="Q11" s="45">
        <f t="shared" si="26"/>
        <v>0</v>
      </c>
      <c r="R11" s="127">
        <f t="shared" ca="1" si="9"/>
        <v>0</v>
      </c>
      <c r="S11" s="45">
        <f>+S12+S13</f>
        <v>0</v>
      </c>
      <c r="T11" s="127">
        <f t="shared" ca="1" si="10"/>
        <v>0</v>
      </c>
      <c r="U11" s="126">
        <f t="shared" ca="1" si="11"/>
        <v>3722300</v>
      </c>
      <c r="V11" s="45">
        <f t="shared" ref="V11:Z11" ca="1" si="27">+V12+V13</f>
        <v>3722300</v>
      </c>
      <c r="W11" s="45">
        <f t="shared" ca="1" si="27"/>
        <v>1787900</v>
      </c>
      <c r="X11" s="45">
        <f t="shared" ca="1" si="27"/>
        <v>1934400</v>
      </c>
      <c r="Y11" s="45">
        <f t="shared" ca="1" si="27"/>
        <v>0</v>
      </c>
      <c r="Z11" s="45">
        <f t="shared" ca="1" si="27"/>
        <v>2435300</v>
      </c>
      <c r="AA11" s="45">
        <f t="shared" ca="1" si="14"/>
        <v>842932.64</v>
      </c>
      <c r="AB11" s="127">
        <f t="shared" ca="1" si="15"/>
        <v>22.645478333288558</v>
      </c>
      <c r="AC11" s="45">
        <f ca="1">+AC12+AC13</f>
        <v>842932.64</v>
      </c>
      <c r="AD11" s="127">
        <f t="shared" ca="1" si="16"/>
        <v>22.645478333288558</v>
      </c>
      <c r="AE11" s="127">
        <f t="shared" ca="1" si="17"/>
        <v>34.613092432143887</v>
      </c>
      <c r="AF11" s="127">
        <f ca="1">+AF12+AF13</f>
        <v>0</v>
      </c>
      <c r="AG11" s="127">
        <f t="shared" ca="1" si="18"/>
        <v>0</v>
      </c>
      <c r="AH11" s="45">
        <f t="shared" ref="AH11:AI11" ca="1" si="28">+AH12+AH13</f>
        <v>0</v>
      </c>
      <c r="AI11" s="45">
        <f t="shared" si="28"/>
        <v>0</v>
      </c>
      <c r="AJ11" s="127">
        <f t="shared" ca="1" si="20"/>
        <v>0</v>
      </c>
      <c r="AK11" s="147"/>
      <c r="AL11" s="147"/>
      <c r="AM11" s="147"/>
      <c r="AN11" s="147"/>
      <c r="AO11" s="147"/>
      <c r="AP11" s="147"/>
    </row>
    <row r="12" spans="1:42" ht="28.5" hidden="1" customHeight="1">
      <c r="A12" s="42" t="s">
        <v>36</v>
      </c>
      <c r="B12" s="43"/>
      <c r="C12" s="126">
        <f t="shared" ca="1" si="0"/>
        <v>999960</v>
      </c>
      <c r="D12" s="45">
        <f t="shared" ref="D12:H12" ca="1" si="29">+D91</f>
        <v>999960</v>
      </c>
      <c r="E12" s="45">
        <f t="shared" ca="1" si="29"/>
        <v>209900</v>
      </c>
      <c r="F12" s="45">
        <f t="shared" ca="1" si="29"/>
        <v>790060</v>
      </c>
      <c r="G12" s="45">
        <f t="shared" ca="1" si="29"/>
        <v>0</v>
      </c>
      <c r="H12" s="45">
        <f t="shared" ca="1" si="29"/>
        <v>568560</v>
      </c>
      <c r="I12" s="45">
        <f t="shared" ca="1" si="3"/>
        <v>165574</v>
      </c>
      <c r="J12" s="127">
        <f t="shared" ca="1" si="4"/>
        <v>16.558062322492901</v>
      </c>
      <c r="K12" s="45">
        <f ca="1">+K91</f>
        <v>165574</v>
      </c>
      <c r="L12" s="127">
        <f t="shared" ca="1" si="5"/>
        <v>16.558062322492901</v>
      </c>
      <c r="M12" s="127">
        <f t="shared" ca="1" si="6"/>
        <v>29.121640635992684</v>
      </c>
      <c r="N12" s="127">
        <f ca="1">+N91</f>
        <v>0</v>
      </c>
      <c r="O12" s="127">
        <f t="shared" ca="1" si="7"/>
        <v>0</v>
      </c>
      <c r="P12" s="45">
        <f t="shared" ref="P12:Q12" ca="1" si="30">+P91</f>
        <v>0</v>
      </c>
      <c r="Q12" s="45">
        <f t="shared" si="30"/>
        <v>0</v>
      </c>
      <c r="R12" s="127">
        <f t="shared" ca="1" si="9"/>
        <v>0</v>
      </c>
      <c r="S12" s="45">
        <f>+S91</f>
        <v>0</v>
      </c>
      <c r="T12" s="127">
        <f t="shared" ca="1" si="10"/>
        <v>0</v>
      </c>
      <c r="U12" s="126">
        <f t="shared" ca="1" si="11"/>
        <v>3034400</v>
      </c>
      <c r="V12" s="45">
        <f t="shared" ref="V12:Z12" ca="1" si="31">+V91</f>
        <v>3034400</v>
      </c>
      <c r="W12" s="45">
        <f t="shared" ca="1" si="31"/>
        <v>1100000</v>
      </c>
      <c r="X12" s="45">
        <f t="shared" ca="1" si="31"/>
        <v>1934400</v>
      </c>
      <c r="Y12" s="45">
        <f t="shared" ca="1" si="31"/>
        <v>0</v>
      </c>
      <c r="Z12" s="45">
        <f t="shared" ca="1" si="31"/>
        <v>2360400</v>
      </c>
      <c r="AA12" s="45">
        <f t="shared" ca="1" si="14"/>
        <v>842932.64</v>
      </c>
      <c r="AB12" s="127">
        <f t="shared" ca="1" si="15"/>
        <v>27.779219615080411</v>
      </c>
      <c r="AC12" s="45">
        <f ca="1">+AC91</f>
        <v>842932.64</v>
      </c>
      <c r="AD12" s="127">
        <f t="shared" ca="1" si="16"/>
        <v>27.779219615080411</v>
      </c>
      <c r="AE12" s="127">
        <f t="shared" ca="1" si="17"/>
        <v>35.711431960684628</v>
      </c>
      <c r="AF12" s="127">
        <f ca="1">+AF91</f>
        <v>0</v>
      </c>
      <c r="AG12" s="127">
        <f t="shared" ca="1" si="18"/>
        <v>0</v>
      </c>
      <c r="AH12" s="45">
        <f t="shared" ref="AH12:AI12" ca="1" si="32">+AH91</f>
        <v>0</v>
      </c>
      <c r="AI12" s="45">
        <f t="shared" si="32"/>
        <v>0</v>
      </c>
      <c r="AJ12" s="127">
        <f t="shared" ca="1" si="20"/>
        <v>0</v>
      </c>
      <c r="AK12" s="147"/>
      <c r="AL12" s="147"/>
      <c r="AM12" s="147"/>
      <c r="AN12" s="147"/>
      <c r="AO12" s="147"/>
      <c r="AP12" s="147"/>
    </row>
    <row r="13" spans="1:42" ht="28.5" hidden="1" customHeight="1">
      <c r="A13" s="42" t="s">
        <v>37</v>
      </c>
      <c r="B13" s="43"/>
      <c r="C13" s="126">
        <f t="shared" ca="1" si="0"/>
        <v>90600</v>
      </c>
      <c r="D13" s="45">
        <f t="shared" ref="D13:H13" ca="1" si="33">+D106</f>
        <v>90600</v>
      </c>
      <c r="E13" s="45">
        <f t="shared" ca="1" si="33"/>
        <v>90600</v>
      </c>
      <c r="F13" s="45">
        <f t="shared" ca="1" si="33"/>
        <v>0</v>
      </c>
      <c r="G13" s="45">
        <f t="shared" ca="1" si="33"/>
        <v>0</v>
      </c>
      <c r="H13" s="45">
        <f t="shared" ca="1" si="33"/>
        <v>82400</v>
      </c>
      <c r="I13" s="45">
        <f t="shared" ca="1" si="3"/>
        <v>0</v>
      </c>
      <c r="J13" s="127">
        <f t="shared" ca="1" si="4"/>
        <v>0</v>
      </c>
      <c r="K13" s="45">
        <f ca="1">+K106</f>
        <v>0</v>
      </c>
      <c r="L13" s="127">
        <f t="shared" ca="1" si="5"/>
        <v>0</v>
      </c>
      <c r="M13" s="127">
        <f t="shared" ca="1" si="6"/>
        <v>0</v>
      </c>
      <c r="N13" s="127">
        <f ca="1">+N106</f>
        <v>0</v>
      </c>
      <c r="O13" s="127">
        <f t="shared" ca="1" si="7"/>
        <v>0</v>
      </c>
      <c r="P13" s="45">
        <f t="shared" ref="P13:Q13" si="34">+P106</f>
        <v>0</v>
      </c>
      <c r="Q13" s="45">
        <f t="shared" si="34"/>
        <v>0</v>
      </c>
      <c r="R13" s="127">
        <f t="shared" si="9"/>
        <v>0</v>
      </c>
      <c r="S13" s="45">
        <f>+S106</f>
        <v>0</v>
      </c>
      <c r="T13" s="127">
        <f t="shared" si="10"/>
        <v>0</v>
      </c>
      <c r="U13" s="126">
        <f t="shared" ca="1" si="11"/>
        <v>687900</v>
      </c>
      <c r="V13" s="45">
        <f t="shared" ref="V13:Z13" ca="1" si="35">+V106</f>
        <v>687900</v>
      </c>
      <c r="W13" s="45">
        <f t="shared" ca="1" si="35"/>
        <v>687900</v>
      </c>
      <c r="X13" s="45">
        <f t="shared" ca="1" si="35"/>
        <v>0</v>
      </c>
      <c r="Y13" s="45">
        <f t="shared" ca="1" si="35"/>
        <v>0</v>
      </c>
      <c r="Z13" s="45">
        <f t="shared" ca="1" si="35"/>
        <v>74900</v>
      </c>
      <c r="AA13" s="45">
        <f t="shared" ca="1" si="14"/>
        <v>0</v>
      </c>
      <c r="AB13" s="127">
        <f t="shared" ca="1" si="15"/>
        <v>0</v>
      </c>
      <c r="AC13" s="45">
        <f ca="1">+AC106</f>
        <v>0</v>
      </c>
      <c r="AD13" s="127">
        <f t="shared" ca="1" si="16"/>
        <v>0</v>
      </c>
      <c r="AE13" s="127">
        <f t="shared" ca="1" si="17"/>
        <v>0</v>
      </c>
      <c r="AF13" s="127">
        <f ca="1">+AF106</f>
        <v>0</v>
      </c>
      <c r="AG13" s="127">
        <f t="shared" ca="1" si="18"/>
        <v>0</v>
      </c>
      <c r="AH13" s="45">
        <f t="shared" ref="AH13:AI13" si="36">+AH106</f>
        <v>0</v>
      </c>
      <c r="AI13" s="45">
        <f t="shared" si="36"/>
        <v>0</v>
      </c>
      <c r="AJ13" s="127">
        <f t="shared" si="20"/>
        <v>0</v>
      </c>
      <c r="AK13" s="147"/>
      <c r="AL13" s="147"/>
      <c r="AM13" s="147"/>
      <c r="AN13" s="147"/>
      <c r="AO13" s="147"/>
      <c r="AP13" s="147"/>
    </row>
    <row r="14" spans="1:42" ht="28.5" hidden="1" customHeight="1">
      <c r="A14" s="51" t="s">
        <v>38</v>
      </c>
      <c r="B14" s="52"/>
      <c r="C14" s="128">
        <f t="shared" si="0"/>
        <v>0</v>
      </c>
      <c r="D14" s="129">
        <v>0</v>
      </c>
      <c r="E14" s="129">
        <v>0</v>
      </c>
      <c r="F14" s="129">
        <v>0</v>
      </c>
      <c r="G14" s="130">
        <v>0</v>
      </c>
      <c r="H14" s="130">
        <v>0</v>
      </c>
      <c r="I14" s="130">
        <f t="shared" si="3"/>
        <v>0</v>
      </c>
      <c r="J14" s="131">
        <f t="shared" si="4"/>
        <v>0</v>
      </c>
      <c r="K14" s="54">
        <v>0</v>
      </c>
      <c r="L14" s="131">
        <f t="shared" si="5"/>
        <v>0</v>
      </c>
      <c r="M14" s="132">
        <f t="shared" si="6"/>
        <v>0</v>
      </c>
      <c r="N14" s="132">
        <v>0</v>
      </c>
      <c r="O14" s="132">
        <f t="shared" si="7"/>
        <v>0</v>
      </c>
      <c r="P14" s="129">
        <v>0</v>
      </c>
      <c r="Q14" s="129">
        <v>0</v>
      </c>
      <c r="R14" s="134">
        <f t="shared" si="9"/>
        <v>0</v>
      </c>
      <c r="S14" s="129">
        <v>0</v>
      </c>
      <c r="T14" s="134">
        <f t="shared" si="10"/>
        <v>0</v>
      </c>
      <c r="U14" s="128">
        <f t="shared" si="11"/>
        <v>0</v>
      </c>
      <c r="V14" s="129">
        <v>0</v>
      </c>
      <c r="W14" s="129">
        <v>0</v>
      </c>
      <c r="X14" s="129">
        <v>0</v>
      </c>
      <c r="Y14" s="130">
        <v>0</v>
      </c>
      <c r="Z14" s="130">
        <v>0</v>
      </c>
      <c r="AA14" s="130">
        <f t="shared" si="14"/>
        <v>0</v>
      </c>
      <c r="AB14" s="131">
        <f t="shared" si="15"/>
        <v>0</v>
      </c>
      <c r="AC14" s="54">
        <v>0</v>
      </c>
      <c r="AD14" s="131">
        <f t="shared" si="16"/>
        <v>0</v>
      </c>
      <c r="AE14" s="132">
        <f t="shared" si="17"/>
        <v>0</v>
      </c>
      <c r="AF14" s="132">
        <v>0</v>
      </c>
      <c r="AG14" s="132">
        <f t="shared" si="18"/>
        <v>0</v>
      </c>
      <c r="AH14" s="129">
        <v>0</v>
      </c>
      <c r="AI14" s="129">
        <v>0</v>
      </c>
      <c r="AJ14" s="134">
        <f t="shared" si="20"/>
        <v>0</v>
      </c>
      <c r="AK14" s="147"/>
      <c r="AL14" s="147"/>
      <c r="AM14" s="147"/>
      <c r="AN14" s="147"/>
      <c r="AO14" s="147"/>
      <c r="AP14" s="147"/>
    </row>
    <row r="15" spans="1:42" ht="28.5" customHeight="1">
      <c r="A15" s="676" t="s">
        <v>39</v>
      </c>
      <c r="B15" s="654"/>
      <c r="C15" s="58">
        <f t="shared" ca="1" si="0"/>
        <v>120760</v>
      </c>
      <c r="D15" s="59">
        <f t="shared" ref="D15:H15" ca="1" si="37">SUM(D16:D32)</f>
        <v>120760</v>
      </c>
      <c r="E15" s="59">
        <f t="shared" ca="1" si="37"/>
        <v>0</v>
      </c>
      <c r="F15" s="59">
        <f t="shared" ca="1" si="37"/>
        <v>120760</v>
      </c>
      <c r="G15" s="59">
        <f t="shared" ca="1" si="37"/>
        <v>0</v>
      </c>
      <c r="H15" s="59">
        <f t="shared" ca="1" si="37"/>
        <v>120760</v>
      </c>
      <c r="I15" s="59">
        <f t="shared" ca="1" si="3"/>
        <v>18360</v>
      </c>
      <c r="J15" s="135">
        <f t="shared" ca="1" si="4"/>
        <v>15.203709837694602</v>
      </c>
      <c r="K15" s="59">
        <f ca="1">SUM(K16:K32)</f>
        <v>18360</v>
      </c>
      <c r="L15" s="135">
        <f t="shared" ca="1" si="5"/>
        <v>15.203709837694602</v>
      </c>
      <c r="M15" s="135">
        <f t="shared" ca="1" si="6"/>
        <v>15.203709837694602</v>
      </c>
      <c r="N15" s="135">
        <f ca="1">SUM(N16:N32)</f>
        <v>0</v>
      </c>
      <c r="O15" s="135">
        <f t="shared" ca="1" si="7"/>
        <v>0</v>
      </c>
      <c r="P15" s="59">
        <f t="shared" ref="P15:Q15" ca="1" si="38">SUM(P16:P32)</f>
        <v>40</v>
      </c>
      <c r="Q15" s="59">
        <f t="shared" ca="1" si="38"/>
        <v>40</v>
      </c>
      <c r="R15" s="135">
        <f t="shared" ca="1" si="9"/>
        <v>100</v>
      </c>
      <c r="S15" s="59">
        <f ca="1">SUM(S16:S32)</f>
        <v>0</v>
      </c>
      <c r="T15" s="135">
        <f t="shared" ca="1" si="10"/>
        <v>0</v>
      </c>
      <c r="U15" s="58">
        <f t="shared" ca="1" si="11"/>
        <v>772800</v>
      </c>
      <c r="V15" s="59">
        <f t="shared" ref="V15:Z15" ca="1" si="39">SUM(V16:V32)</f>
        <v>772800</v>
      </c>
      <c r="W15" s="59">
        <f t="shared" ca="1" si="39"/>
        <v>0</v>
      </c>
      <c r="X15" s="59">
        <f t="shared" ca="1" si="39"/>
        <v>772800</v>
      </c>
      <c r="Y15" s="59">
        <f t="shared" ca="1" si="39"/>
        <v>0</v>
      </c>
      <c r="Z15" s="59">
        <f t="shared" ca="1" si="39"/>
        <v>699700</v>
      </c>
      <c r="AA15" s="59">
        <f t="shared" ca="1" si="14"/>
        <v>301601.94</v>
      </c>
      <c r="AB15" s="135">
        <f t="shared" ca="1" si="15"/>
        <v>39.027166149068321</v>
      </c>
      <c r="AC15" s="59">
        <f ca="1">SUM(AC16:AC32)</f>
        <v>301601.94</v>
      </c>
      <c r="AD15" s="135">
        <f t="shared" ca="1" si="16"/>
        <v>39.027166149068321</v>
      </c>
      <c r="AE15" s="135">
        <f t="shared" ca="1" si="17"/>
        <v>43.104464770615976</v>
      </c>
      <c r="AF15" s="135">
        <f ca="1">SUM(AF16:AF32)</f>
        <v>0</v>
      </c>
      <c r="AG15" s="135">
        <f t="shared" ca="1" si="18"/>
        <v>0</v>
      </c>
      <c r="AH15" s="59">
        <f t="shared" ref="AH15:AI15" ca="1" si="40">SUM(AH16:AH32)</f>
        <v>8</v>
      </c>
      <c r="AI15" s="59">
        <f t="shared" ca="1" si="40"/>
        <v>4</v>
      </c>
      <c r="AJ15" s="135">
        <f t="shared" ca="1" si="20"/>
        <v>50</v>
      </c>
      <c r="AK15" s="147"/>
      <c r="AL15" s="147"/>
      <c r="AM15" s="147"/>
      <c r="AN15" s="147"/>
      <c r="AO15" s="147"/>
      <c r="AP15" s="147"/>
    </row>
    <row r="16" spans="1:42" ht="24" customHeight="1">
      <c r="A16" s="63">
        <v>1</v>
      </c>
      <c r="B16" s="64" t="s">
        <v>40</v>
      </c>
      <c r="C16" s="65">
        <f t="shared" ca="1" si="0"/>
        <v>0</v>
      </c>
      <c r="D16" s="66">
        <f t="shared" ref="D16:D32" ca="1" si="41">+E16+F16</f>
        <v>0</v>
      </c>
      <c r="E16" s="67">
        <f ca="1">IFERROR(__xludf.DUMMYFUNCTION("IMPORTRANGE(""https://docs.google.com/spreadsheets/d/1C3CXT74ZlgGe6_JY_1olB1XN4rF0dxEuIIF-xsYjHgg/edit?usp=sharing"",""พรบ!BO20"")"),0)</f>
        <v>0</v>
      </c>
      <c r="F16" s="67">
        <f ca="1">IFERROR(__xludf.DUMMYFUNCTION("IMPORTRANGE(""https://docs.google.com/spreadsheets/d/1C3CXT74ZlgGe6_JY_1olB1XN4rF0dxEuIIF-xsYjHgg/edit?usp=sharing"",""พรบ!BP20"")"),0)</f>
        <v>0</v>
      </c>
      <c r="G16" s="67">
        <f ca="1">IFERROR(__xludf.DUMMYFUNCTION("IMPORTRANGE(""https://docs.google.com/spreadsheets/d/1Yj_ptqi66GCucihVvJfMjLAmec39IyEx_6qawtMGysU/edit?usp=sharing"",""สบก!CR20"")"),0)</f>
        <v>0</v>
      </c>
      <c r="H16" s="67">
        <f ca="1">IFERROR(__xludf.DUMMYFUNCTION("IMPORTRANGE(""https://docs.google.com/spreadsheets/d/1Yj_ptqi66GCucihVvJfMjLAmec39IyEx_6qawtMGysU/edit?usp=shCTing"",""สบก!CT20"")"),0)</f>
        <v>0</v>
      </c>
      <c r="I16" s="67">
        <f t="shared" ca="1" si="3"/>
        <v>0</v>
      </c>
      <c r="J16" s="136">
        <f t="shared" ca="1" si="4"/>
        <v>0</v>
      </c>
      <c r="K16" s="67">
        <f ca="1">IFERROR(__xludf.DUMMYFUNCTION("IMPORTRANGE(""https://docs.google.com/spreadsheets/d/1Yj_ptqi66GCucihVvJfMjLAmec39IyEx_6qawtMGysU/edit?usp=sharing"",""สบก!CU20"")"),0)</f>
        <v>0</v>
      </c>
      <c r="L16" s="136">
        <f t="shared" ca="1" si="5"/>
        <v>0</v>
      </c>
      <c r="M16" s="136">
        <f t="shared" ca="1" si="6"/>
        <v>0</v>
      </c>
      <c r="N16" s="136">
        <f ca="1">IFERROR(__xludf.DUMMYFUNCTION("IMPORTRANGE(""https://docs.google.com/spreadsheets/d/1Yj_ptqi66GCucihVvJfMjLAmec39IyEx_6qawtMGysU/edit?usp=sharing"",""สบก!CV20"")"),0)</f>
        <v>0</v>
      </c>
      <c r="O16" s="136">
        <f t="shared" ca="1" si="7"/>
        <v>0</v>
      </c>
      <c r="P16" s="67">
        <f ca="1">IFERROR(__xludf.DUMMYFUNCTION("IMPORTRANGE(""https://docs.google.com/spreadsheets/d/1C3CXT74ZlgGe6_JY_1olB1XN4rF0dxEuIIF-xsYjHgg/edit?usp=sharing"",""พรบ!BQ20"")"),0)</f>
        <v>0</v>
      </c>
      <c r="Q16" s="67">
        <f ca="1">IFERROR(__xludf.DUMMYFUNCTION("IMPORTRANGE(""https://docs.google.com/spreadsheets/d/11923uPwbBZFjjGgGUA6NLw09EwE0CqkOc4q9oUmW1yo/edit?usp=sharing"",""กำแพงเพชร!j209"")"),0)</f>
        <v>0</v>
      </c>
      <c r="R16" s="136">
        <f t="shared" ca="1" si="9"/>
        <v>0</v>
      </c>
      <c r="S16" s="67">
        <f ca="1">IFERROR(__xludf.DUMMYFUNCTION("IMPORTRANGE(""https://docs.google.com/spreadsheets/d/11923uPwbBZFjjGgGUA6NLw09EwE0CqkOc4q9oUmW1yo/edit?usp=sharing"",""กำแพงเพชร!j211"")"),0)</f>
        <v>0</v>
      </c>
      <c r="T16" s="136">
        <f t="shared" ca="1" si="10"/>
        <v>0</v>
      </c>
      <c r="U16" s="65">
        <f t="shared" ca="1" si="11"/>
        <v>194600</v>
      </c>
      <c r="V16" s="66">
        <f t="shared" ref="V16:V32" ca="1" si="42">+W16+X16</f>
        <v>194600</v>
      </c>
      <c r="W16" s="67">
        <f ca="1">IFERROR(__xludf.DUMMYFUNCTION("IMPORTRANGE(""https://docs.google.com/spreadsheets/d/1C3CXT74ZlgGe6_JY_1olB1XN4rF0dxEuIIF-xsYjHgg/edit?usp=sharing"",""พรบ!BT20"")"),0)</f>
        <v>0</v>
      </c>
      <c r="X16" s="67">
        <f ca="1">IFERROR(__xludf.DUMMYFUNCTION("IMPORTRANGE(""https://docs.google.com/spreadsheets/d/1C3CXT74ZlgGe6_JY_1olB1XN4rF0dxEuIIF-xsYjHgg/edit?usp=sharing"",""พรบ!BU20"")"),194600)</f>
        <v>194600</v>
      </c>
      <c r="Y16" s="67">
        <f ca="1">IFERROR(__xludf.DUMMYFUNCTION("IMPORTRANGE(""https://docs.google.com/spreadsheets/d/1Yj_ptqi66GCucihVvJfMjLAmec39IyEx_6qawtMGysU/edit?usp=sharing"",""สบก!DA20"")"),0)</f>
        <v>0</v>
      </c>
      <c r="Z16" s="67">
        <f ca="1">IFERROR(__xludf.DUMMYFUNCTION("IMPORTRANGE(""https://docs.google.com/spreadsheets/d/1Yj_ptqi66GCucihVvJfMjLAmec39IyEx_6qawtMGysU/edit?usp=shDCing"",""สบก!DC20"")"),146000)</f>
        <v>146000</v>
      </c>
      <c r="AA16" s="67">
        <f t="shared" ca="1" si="14"/>
        <v>49664.19</v>
      </c>
      <c r="AB16" s="136">
        <f t="shared" ca="1" si="15"/>
        <v>25.521166495375127</v>
      </c>
      <c r="AC16" s="67">
        <f ca="1">IFERROR(__xludf.DUMMYFUNCTION("IMPORTRANGE(""https://docs.google.com/spreadsheets/d/1Yj_ptqi66GCucihVvJfMjLAmec39IyEx_6qawtMGysU/edit?usp=sharing"",""สบก!DD20"")"),49664.19)</f>
        <v>49664.19</v>
      </c>
      <c r="AD16" s="136">
        <f t="shared" ca="1" si="16"/>
        <v>25.521166495375127</v>
      </c>
      <c r="AE16" s="136">
        <f t="shared" ca="1" si="17"/>
        <v>34.016568493150686</v>
      </c>
      <c r="AF16" s="136">
        <f ca="1">IFERROR(__xludf.DUMMYFUNCTION("IMPORTRANGE(""https://docs.google.com/spreadsheets/d/1Yj_ptqi66GCucihVvJfMjLAmec39IyEx_6qawtMGysU/edit?usp=sharing"",""สบก!DE20"")"),0)</f>
        <v>0</v>
      </c>
      <c r="AG16" s="136">
        <f t="shared" ca="1" si="18"/>
        <v>0</v>
      </c>
      <c r="AH16" s="67">
        <f ca="1">IFERROR(__xludf.DUMMYFUNCTION("IMPORTRANGE(""https://docs.google.com/spreadsheets/d/1C3CXT74ZlgGe6_JY_1olB1XN4rF0dxEuIIF-xsYjHgg/edit?usp=sharing"",""พรบ!BV20"")"),1)</f>
        <v>1</v>
      </c>
      <c r="AI16" s="67">
        <f ca="1">IFERROR(__xludf.DUMMYFUNCTION("IMPORTRANGE(""https://docs.google.com/spreadsheets/d/11923uPwbBZFjjGgGUA6NLw09EwE0CqkOc4q9oUmW1yo/edit?usp=sharing"",""กำแพงเพชร!j224"")"),1)</f>
        <v>1</v>
      </c>
      <c r="AJ16" s="136">
        <f t="shared" ca="1" si="20"/>
        <v>100</v>
      </c>
      <c r="AK16" s="114"/>
      <c r="AL16" s="114"/>
      <c r="AM16" s="114"/>
      <c r="AN16" s="114"/>
      <c r="AO16" s="114"/>
      <c r="AP16" s="114"/>
    </row>
    <row r="17" spans="1:42" ht="24" customHeight="1">
      <c r="A17" s="73">
        <v>2</v>
      </c>
      <c r="B17" s="74" t="s">
        <v>41</v>
      </c>
      <c r="C17" s="75">
        <f t="shared" ca="1" si="0"/>
        <v>0</v>
      </c>
      <c r="D17" s="76">
        <f t="shared" ca="1" si="41"/>
        <v>0</v>
      </c>
      <c r="E17" s="77">
        <f ca="1">IFERROR(__xludf.DUMMYFUNCTION("IMPORTRANGE(""https://docs.google.com/spreadsheets/d/1C3CXT74ZlgGe6_JY_1olB1XN4rF0dxEuIIF-xsYjHgg/edit?usp=sharing"",""พรบ!BO21"")"),0)</f>
        <v>0</v>
      </c>
      <c r="F17" s="77">
        <f ca="1">IFERROR(__xludf.DUMMYFUNCTION("IMPORTRANGE(""https://docs.google.com/spreadsheets/d/1C3CXT74ZlgGe6_JY_1olB1XN4rF0dxEuIIF-xsYjHgg/edit?usp=sharing"",""พรบ!BP21"")"),0)</f>
        <v>0</v>
      </c>
      <c r="G17" s="77">
        <f ca="1">IFERROR(__xludf.DUMMYFUNCTION("IMPORTRANGE(""https://docs.google.com/spreadsheets/d/1Yj_ptqi66GCucihVvJfMjLAmec39IyEx_6qawtMGysU/edit?usp=sharing"",""สบก!CR21"")"),0)</f>
        <v>0</v>
      </c>
      <c r="H17" s="77">
        <f ca="1">IFERROR(__xludf.DUMMYFUNCTION("IMPORTRANGE(""https://docs.google.com/spreadsheets/d/1Yj_ptqi66GCucihVvJfMjLAmec39IyEx_6qawtMGysU/edit?usp=shCTing"",""สบก!CT21"")"),0)</f>
        <v>0</v>
      </c>
      <c r="I17" s="77">
        <f t="shared" ca="1" si="3"/>
        <v>0</v>
      </c>
      <c r="J17" s="137">
        <f t="shared" ca="1" si="4"/>
        <v>0</v>
      </c>
      <c r="K17" s="77">
        <f ca="1">IFERROR(__xludf.DUMMYFUNCTION("IMPORTRANGE(""https://docs.google.com/spreadsheets/d/1Yj_ptqi66GCucihVvJfMjLAmec39IyEx_6qawtMGysU/edit?usp=sharing"",""สบก!CU21"")"),0)</f>
        <v>0</v>
      </c>
      <c r="L17" s="137">
        <f t="shared" ca="1" si="5"/>
        <v>0</v>
      </c>
      <c r="M17" s="137">
        <f t="shared" ca="1" si="6"/>
        <v>0</v>
      </c>
      <c r="N17" s="137">
        <f ca="1">IFERROR(__xludf.DUMMYFUNCTION("IMPORTRANGE(""https://docs.google.com/spreadsheets/d/1Yj_ptqi66GCucihVvJfMjLAmec39IyEx_6qawtMGysU/edit?usp=sharing"",""สบก!CV21"")"),0)</f>
        <v>0</v>
      </c>
      <c r="O17" s="137">
        <f t="shared" ca="1" si="7"/>
        <v>0</v>
      </c>
      <c r="P17" s="77">
        <f ca="1">IFERROR(__xludf.DUMMYFUNCTION("IMPORTRANGE(""https://docs.google.com/spreadsheets/d/1C3CXT74ZlgGe6_JY_1olB1XN4rF0dxEuIIF-xsYjHgg/edit?usp=sharing"",""พรบ!BQ21"")"),0)</f>
        <v>0</v>
      </c>
      <c r="Q17" s="77">
        <f ca="1">IFERROR(__xludf.DUMMYFUNCTION("IMPORTRANGE(""https://docs.google.com/spreadsheets/d/11923uPwbBZFjjGgGUA6NLw09EwE0CqkOc4q9oUmW1yo/edit?usp=sharing"",""เชียงราย!j209"")"),0)</f>
        <v>0</v>
      </c>
      <c r="R17" s="137">
        <f t="shared" ca="1" si="9"/>
        <v>0</v>
      </c>
      <c r="S17" s="77">
        <f ca="1">IFERROR(__xludf.DUMMYFUNCTION("IMPORTRANGE(""https://docs.google.com/spreadsheets/d/11923uPwbBZFjjGgGUA6NLw09EwE0CqkOc4q9oUmW1yo/edit?usp=sharing"",""เชียงราย!j211"")"),0)</f>
        <v>0</v>
      </c>
      <c r="T17" s="137">
        <f t="shared" ca="1" si="10"/>
        <v>0</v>
      </c>
      <c r="U17" s="75">
        <f t="shared" ca="1" si="11"/>
        <v>0</v>
      </c>
      <c r="V17" s="76">
        <f t="shared" ca="1" si="42"/>
        <v>0</v>
      </c>
      <c r="W17" s="77">
        <f ca="1">IFERROR(__xludf.DUMMYFUNCTION("IMPORTRANGE(""https://docs.google.com/spreadsheets/d/1C3CXT74ZlgGe6_JY_1olB1XN4rF0dxEuIIF-xsYjHgg/edit?usp=sharing"",""พรบ!BT21"")"),0)</f>
        <v>0</v>
      </c>
      <c r="X17" s="77">
        <f ca="1">IFERROR(__xludf.DUMMYFUNCTION("IMPORTRANGE(""https://docs.google.com/spreadsheets/d/1C3CXT74ZlgGe6_JY_1olB1XN4rF0dxEuIIF-xsYjHgg/edit?usp=sharing"",""พรบ!BU21"")"),0)</f>
        <v>0</v>
      </c>
      <c r="Y17" s="77">
        <f ca="1">IFERROR(__xludf.DUMMYFUNCTION("IMPORTRANGE(""https://docs.google.com/spreadsheets/d/1Yj_ptqi66GCucihVvJfMjLAmec39IyEx_6qawtMGysU/edit?usp=sharing"",""สบก!DA21"")"),0)</f>
        <v>0</v>
      </c>
      <c r="Z17" s="77">
        <f ca="1">IFERROR(__xludf.DUMMYFUNCTION("IMPORTRANGE(""https://docs.google.com/spreadsheets/d/1Yj_ptqi66GCucihVvJfMjLAmec39IyEx_6qawtMGysU/edit?usp=shDCing"",""สบก!DC21"")"),0)</f>
        <v>0</v>
      </c>
      <c r="AA17" s="77">
        <f t="shared" ca="1" si="14"/>
        <v>0</v>
      </c>
      <c r="AB17" s="137">
        <f t="shared" ca="1" si="15"/>
        <v>0</v>
      </c>
      <c r="AC17" s="77">
        <f ca="1">IFERROR(__xludf.DUMMYFUNCTION("IMPORTRANGE(""https://docs.google.com/spreadsheets/d/1Yj_ptqi66GCucihVvJfMjLAmec39IyEx_6qawtMGysU/edit?usp=sharing"",""สบก!DD21"")"),0)</f>
        <v>0</v>
      </c>
      <c r="AD17" s="137">
        <f t="shared" ca="1" si="16"/>
        <v>0</v>
      </c>
      <c r="AE17" s="137">
        <f t="shared" ca="1" si="17"/>
        <v>0</v>
      </c>
      <c r="AF17" s="137">
        <f ca="1">IFERROR(__xludf.DUMMYFUNCTION("IMPORTRANGE(""https://docs.google.com/spreadsheets/d/1Yj_ptqi66GCucihVvJfMjLAmec39IyEx_6qawtMGysU/edit?usp=sharing"",""สบก!DE21"")"),0)</f>
        <v>0</v>
      </c>
      <c r="AG17" s="137">
        <f t="shared" ca="1" si="18"/>
        <v>0</v>
      </c>
      <c r="AH17" s="77">
        <f ca="1">IFERROR(__xludf.DUMMYFUNCTION("IMPORTRANGE(""https://docs.google.com/spreadsheets/d/1C3CXT74ZlgGe6_JY_1olB1XN4rF0dxEuIIF-xsYjHgg/edit?usp=sharing"",""พรบ!BV21"")"),0)</f>
        <v>0</v>
      </c>
      <c r="AI17" s="77">
        <f ca="1">IFERROR(__xludf.DUMMYFUNCTION("IMPORTRANGE(""https://docs.google.com/spreadsheets/d/11923uPwbBZFjjGgGUA6NLw09EwE0CqkOc4q9oUmW1yo/edit?usp=sharing"",""เชียงราย!j224"")"),0)</f>
        <v>0</v>
      </c>
      <c r="AJ17" s="137">
        <f t="shared" ca="1" si="20"/>
        <v>0</v>
      </c>
      <c r="AK17" s="114"/>
      <c r="AL17" s="114"/>
      <c r="AM17" s="114"/>
      <c r="AN17" s="114"/>
      <c r="AO17" s="114"/>
      <c r="AP17" s="114"/>
    </row>
    <row r="18" spans="1:42" ht="24" customHeight="1">
      <c r="A18" s="73">
        <v>3</v>
      </c>
      <c r="B18" s="74" t="s">
        <v>42</v>
      </c>
      <c r="C18" s="75">
        <f t="shared" ca="1" si="0"/>
        <v>0</v>
      </c>
      <c r="D18" s="76">
        <f t="shared" ca="1" si="41"/>
        <v>0</v>
      </c>
      <c r="E18" s="77">
        <f ca="1">IFERROR(__xludf.DUMMYFUNCTION("IMPORTRANGE(""https://docs.google.com/spreadsheets/d/1C3CXT74ZlgGe6_JY_1olB1XN4rF0dxEuIIF-xsYjHgg/edit?usp=sharing"",""พรบ!BO22"")"),0)</f>
        <v>0</v>
      </c>
      <c r="F18" s="77">
        <f ca="1">IFERROR(__xludf.DUMMYFUNCTION("IMPORTRANGE(""https://docs.google.com/spreadsheets/d/1C3CXT74ZlgGe6_JY_1olB1XN4rF0dxEuIIF-xsYjHgg/edit?usp=sharing"",""พรบ!BP22"")"),0)</f>
        <v>0</v>
      </c>
      <c r="G18" s="77">
        <f ca="1">IFERROR(__xludf.DUMMYFUNCTION("IMPORTRANGE(""https://docs.google.com/spreadsheets/d/1Yj_ptqi66GCucihVvJfMjLAmec39IyEx_6qawtMGysU/edit?usp=sharing"",""สบก!CR22"")"),0)</f>
        <v>0</v>
      </c>
      <c r="H18" s="77">
        <f ca="1">IFERROR(__xludf.DUMMYFUNCTION("IMPORTRANGE(""https://docs.google.com/spreadsheets/d/1Yj_ptqi66GCucihVvJfMjLAmec39IyEx_6qawtMGysU/edit?usp=shCTing"",""สบก!CT22"")"),0)</f>
        <v>0</v>
      </c>
      <c r="I18" s="77">
        <f t="shared" ca="1" si="3"/>
        <v>0</v>
      </c>
      <c r="J18" s="137">
        <f t="shared" ca="1" si="4"/>
        <v>0</v>
      </c>
      <c r="K18" s="77">
        <f ca="1">IFERROR(__xludf.DUMMYFUNCTION("IMPORTRANGE(""https://docs.google.com/spreadsheets/d/1Yj_ptqi66GCucihVvJfMjLAmec39IyEx_6qawtMGysU/edit?usp=sharing"",""สบก!CU22"")"),0)</f>
        <v>0</v>
      </c>
      <c r="L18" s="137">
        <f t="shared" ca="1" si="5"/>
        <v>0</v>
      </c>
      <c r="M18" s="137">
        <f t="shared" ca="1" si="6"/>
        <v>0</v>
      </c>
      <c r="N18" s="137">
        <f ca="1">IFERROR(__xludf.DUMMYFUNCTION("IMPORTRANGE(""https://docs.google.com/spreadsheets/d/1Yj_ptqi66GCucihVvJfMjLAmec39IyEx_6qawtMGysU/edit?usp=sharing"",""สบก!CV22"")"),0)</f>
        <v>0</v>
      </c>
      <c r="O18" s="137">
        <f t="shared" ca="1" si="7"/>
        <v>0</v>
      </c>
      <c r="P18" s="77">
        <f ca="1">IFERROR(__xludf.DUMMYFUNCTION("IMPORTRANGE(""https://docs.google.com/spreadsheets/d/1C3CXT74ZlgGe6_JY_1olB1XN4rF0dxEuIIF-xsYjHgg/edit?usp=sharing"",""พรบ!BQ22"")"),0)</f>
        <v>0</v>
      </c>
      <c r="Q18" s="77">
        <f ca="1">IFERROR(__xludf.DUMMYFUNCTION("IMPORTRANGE(""https://docs.google.com/spreadsheets/d/11923uPwbBZFjjGgGUA6NLw09EwE0CqkOc4q9oUmW1yo/edit?usp=sharing"",""เชียงใหม่!j209"")"),0)</f>
        <v>0</v>
      </c>
      <c r="R18" s="137">
        <f t="shared" ca="1" si="9"/>
        <v>0</v>
      </c>
      <c r="S18" s="77">
        <f ca="1">IFERROR(__xludf.DUMMYFUNCTION("IMPORTRANGE(""https://docs.google.com/spreadsheets/d/11923uPwbBZFjjGgGUA6NLw09EwE0CqkOc4q9oUmW1yo/edit?usp=sharing"",""เชียงใหม่!j211"")"),0)</f>
        <v>0</v>
      </c>
      <c r="T18" s="137">
        <f t="shared" ca="1" si="10"/>
        <v>0</v>
      </c>
      <c r="U18" s="75">
        <f t="shared" ca="1" si="11"/>
        <v>315600</v>
      </c>
      <c r="V18" s="76">
        <f t="shared" ca="1" si="42"/>
        <v>315600</v>
      </c>
      <c r="W18" s="77">
        <f ca="1">IFERROR(__xludf.DUMMYFUNCTION("IMPORTRANGE(""https://docs.google.com/spreadsheets/d/1C3CXT74ZlgGe6_JY_1olB1XN4rF0dxEuIIF-xsYjHgg/edit?usp=sharing"",""พรบ!BT22"")"),0)</f>
        <v>0</v>
      </c>
      <c r="X18" s="77">
        <f ca="1">IFERROR(__xludf.DUMMYFUNCTION("IMPORTRANGE(""https://docs.google.com/spreadsheets/d/1C3CXT74ZlgGe6_JY_1olB1XN4rF0dxEuIIF-xsYjHgg/edit?usp=sharing"",""พรบ!BU22"")"),315600)</f>
        <v>315600</v>
      </c>
      <c r="Y18" s="77">
        <f ca="1">IFERROR(__xludf.DUMMYFUNCTION("IMPORTRANGE(""https://docs.google.com/spreadsheets/d/1Yj_ptqi66GCucihVvJfMjLAmec39IyEx_6qawtMGysU/edit?usp=sharing"",""สบก!DA22"")"),0)</f>
        <v>0</v>
      </c>
      <c r="Z18" s="77">
        <f ca="1">IFERROR(__xludf.DUMMYFUNCTION("IMPORTRANGE(""https://docs.google.com/spreadsheets/d/1Yj_ptqi66GCucihVvJfMjLAmec39IyEx_6qawtMGysU/edit?usp=shDCing"",""สบก!DC22"")"),236700)</f>
        <v>236700</v>
      </c>
      <c r="AA18" s="77">
        <f t="shared" ca="1" si="14"/>
        <v>92547.75</v>
      </c>
      <c r="AB18" s="137">
        <f t="shared" ca="1" si="15"/>
        <v>29.324382129277566</v>
      </c>
      <c r="AC18" s="77">
        <f ca="1">IFERROR(__xludf.DUMMYFUNCTION("IMPORTRANGE(""https://docs.google.com/spreadsheets/d/1Yj_ptqi66GCucihVvJfMjLAmec39IyEx_6qawtMGysU/edit?usp=sharing"",""สบก!DD22"")"),92547.75)</f>
        <v>92547.75</v>
      </c>
      <c r="AD18" s="137">
        <f t="shared" ca="1" si="16"/>
        <v>29.324382129277566</v>
      </c>
      <c r="AE18" s="137">
        <f t="shared" ca="1" si="17"/>
        <v>39.099176172370086</v>
      </c>
      <c r="AF18" s="137">
        <f ca="1">IFERROR(__xludf.DUMMYFUNCTION("IMPORTRANGE(""https://docs.google.com/spreadsheets/d/1Yj_ptqi66GCucihVvJfMjLAmec39IyEx_6qawtMGysU/edit?usp=sharing"",""สบก!DE22"")"),0)</f>
        <v>0</v>
      </c>
      <c r="AG18" s="137">
        <f t="shared" ca="1" si="18"/>
        <v>0</v>
      </c>
      <c r="AH18" s="77">
        <f ca="1">IFERROR(__xludf.DUMMYFUNCTION("IMPORTRANGE(""https://docs.google.com/spreadsheets/d/1C3CXT74ZlgGe6_JY_1olB1XN4rF0dxEuIIF-xsYjHgg/edit?usp=sharing"",""พรบ!BV22"")"),6)</f>
        <v>6</v>
      </c>
      <c r="AI18" s="77">
        <f ca="1">IFERROR(__xludf.DUMMYFUNCTION("IMPORTRANGE(""https://docs.google.com/spreadsheets/d/11923uPwbBZFjjGgGUA6NLw09EwE0CqkOc4q9oUmW1yo/edit?usp=sharing"",""เชียงใหม่!j224"")"),2)</f>
        <v>2</v>
      </c>
      <c r="AJ18" s="137">
        <f t="shared" ca="1" si="20"/>
        <v>33.333333333333336</v>
      </c>
      <c r="AK18" s="114"/>
      <c r="AL18" s="114"/>
      <c r="AM18" s="114"/>
      <c r="AN18" s="114"/>
      <c r="AO18" s="114"/>
      <c r="AP18" s="114"/>
    </row>
    <row r="19" spans="1:42" ht="24" customHeight="1">
      <c r="A19" s="73">
        <v>4</v>
      </c>
      <c r="B19" s="74" t="s">
        <v>43</v>
      </c>
      <c r="C19" s="75">
        <f t="shared" ca="1" si="0"/>
        <v>0</v>
      </c>
      <c r="D19" s="76">
        <f t="shared" ca="1" si="41"/>
        <v>0</v>
      </c>
      <c r="E19" s="77">
        <f ca="1">IFERROR(__xludf.DUMMYFUNCTION("IMPORTRANGE(""https://docs.google.com/spreadsheets/d/1C3CXT74ZlgGe6_JY_1olB1XN4rF0dxEuIIF-xsYjHgg/edit?usp=sharing"",""พรบ!BO23"")"),0)</f>
        <v>0</v>
      </c>
      <c r="F19" s="77">
        <f ca="1">IFERROR(__xludf.DUMMYFUNCTION("IMPORTRANGE(""https://docs.google.com/spreadsheets/d/1C3CXT74ZlgGe6_JY_1olB1XN4rF0dxEuIIF-xsYjHgg/edit?usp=sharing"",""พรบ!BP23"")"),0)</f>
        <v>0</v>
      </c>
      <c r="G19" s="77">
        <f ca="1">IFERROR(__xludf.DUMMYFUNCTION("IMPORTRANGE(""https://docs.google.com/spreadsheets/d/1Yj_ptqi66GCucihVvJfMjLAmec39IyEx_6qawtMGysU/edit?usp=sharing"",""สบก!CR23"")"),0)</f>
        <v>0</v>
      </c>
      <c r="H19" s="77">
        <f ca="1">IFERROR(__xludf.DUMMYFUNCTION("IMPORTRANGE(""https://docs.google.com/spreadsheets/d/1Yj_ptqi66GCucihVvJfMjLAmec39IyEx_6qawtMGysU/edit?usp=shCTing"",""สบก!CT23"")"),0)</f>
        <v>0</v>
      </c>
      <c r="I19" s="77">
        <f t="shared" ca="1" si="3"/>
        <v>0</v>
      </c>
      <c r="J19" s="137">
        <f t="shared" ca="1" si="4"/>
        <v>0</v>
      </c>
      <c r="K19" s="77">
        <f ca="1">IFERROR(__xludf.DUMMYFUNCTION("IMPORTRANGE(""https://docs.google.com/spreadsheets/d/1Yj_ptqi66GCucihVvJfMjLAmec39IyEx_6qawtMGysU/edit?usp=sharing"",""สบก!CU23"")"),0)</f>
        <v>0</v>
      </c>
      <c r="L19" s="137">
        <f t="shared" ca="1" si="5"/>
        <v>0</v>
      </c>
      <c r="M19" s="137">
        <f t="shared" ca="1" si="6"/>
        <v>0</v>
      </c>
      <c r="N19" s="137">
        <f ca="1">IFERROR(__xludf.DUMMYFUNCTION("IMPORTRANGE(""https://docs.google.com/spreadsheets/d/1Yj_ptqi66GCucihVvJfMjLAmec39IyEx_6qawtMGysU/edit?usp=sharing"",""สบก!CV23"")"),0)</f>
        <v>0</v>
      </c>
      <c r="O19" s="137">
        <f t="shared" ca="1" si="7"/>
        <v>0</v>
      </c>
      <c r="P19" s="77">
        <f ca="1">IFERROR(__xludf.DUMMYFUNCTION("IMPORTRANGE(""https://docs.google.com/spreadsheets/d/1C3CXT74ZlgGe6_JY_1olB1XN4rF0dxEuIIF-xsYjHgg/edit?usp=sharing"",""พรบ!BQ23"")"),0)</f>
        <v>0</v>
      </c>
      <c r="Q19" s="77">
        <f ca="1">IFERROR(__xludf.DUMMYFUNCTION("IMPORTRANGE(""https://docs.google.com/spreadsheets/d/11923uPwbBZFjjGgGUA6NLw09EwE0CqkOc4q9oUmW1yo/edit?usp=sharing"",""ตาก!j209"")"),0)</f>
        <v>0</v>
      </c>
      <c r="R19" s="137">
        <f t="shared" ca="1" si="9"/>
        <v>0</v>
      </c>
      <c r="S19" s="77">
        <f ca="1">IFERROR(__xludf.DUMMYFUNCTION("IMPORTRANGE(""https://docs.google.com/spreadsheets/d/11923uPwbBZFjjGgGUA6NLw09EwE0CqkOc4q9oUmW1yo/edit?usp=sharing"",""ตาก!j211"")"),0)</f>
        <v>0</v>
      </c>
      <c r="T19" s="137">
        <f t="shared" ca="1" si="10"/>
        <v>0</v>
      </c>
      <c r="U19" s="75">
        <f t="shared" ca="1" si="11"/>
        <v>0</v>
      </c>
      <c r="V19" s="76">
        <f t="shared" ca="1" si="42"/>
        <v>0</v>
      </c>
      <c r="W19" s="77">
        <f ca="1">IFERROR(__xludf.DUMMYFUNCTION("IMPORTRANGE(""https://docs.google.com/spreadsheets/d/1C3CXT74ZlgGe6_JY_1olB1XN4rF0dxEuIIF-xsYjHgg/edit?usp=sharing"",""พรบ!BT23"")"),0)</f>
        <v>0</v>
      </c>
      <c r="X19" s="77">
        <f ca="1">IFERROR(__xludf.DUMMYFUNCTION("IMPORTRANGE(""https://docs.google.com/spreadsheets/d/1C3CXT74ZlgGe6_JY_1olB1XN4rF0dxEuIIF-xsYjHgg/edit?usp=sharing"",""พรบ!BU23"")"),0)</f>
        <v>0</v>
      </c>
      <c r="Y19" s="77">
        <f ca="1">IFERROR(__xludf.DUMMYFUNCTION("IMPORTRANGE(""https://docs.google.com/spreadsheets/d/1Yj_ptqi66GCucihVvJfMjLAmec39IyEx_6qawtMGysU/edit?usp=sharing"",""สบก!DA23"")"),0)</f>
        <v>0</v>
      </c>
      <c r="Z19" s="77">
        <f ca="1">IFERROR(__xludf.DUMMYFUNCTION("IMPORTRANGE(""https://docs.google.com/spreadsheets/d/1Yj_ptqi66GCucihVvJfMjLAmec39IyEx_6qawtMGysU/edit?usp=shDCing"",""สบก!DC23"")"),0)</f>
        <v>0</v>
      </c>
      <c r="AA19" s="77">
        <f t="shared" ca="1" si="14"/>
        <v>0</v>
      </c>
      <c r="AB19" s="137">
        <f t="shared" ca="1" si="15"/>
        <v>0</v>
      </c>
      <c r="AC19" s="77">
        <f ca="1">IFERROR(__xludf.DUMMYFUNCTION("IMPORTRANGE(""https://docs.google.com/spreadsheets/d/1Yj_ptqi66GCucihVvJfMjLAmec39IyEx_6qawtMGysU/edit?usp=sharing"",""สบก!DD23"")"),0)</f>
        <v>0</v>
      </c>
      <c r="AD19" s="137">
        <f t="shared" ca="1" si="16"/>
        <v>0</v>
      </c>
      <c r="AE19" s="137">
        <f t="shared" ca="1" si="17"/>
        <v>0</v>
      </c>
      <c r="AF19" s="137">
        <f ca="1">IFERROR(__xludf.DUMMYFUNCTION("IMPORTRANGE(""https://docs.google.com/spreadsheets/d/1Yj_ptqi66GCucihVvJfMjLAmec39IyEx_6qawtMGysU/edit?usp=sharing"",""สบก!DE23"")"),0)</f>
        <v>0</v>
      </c>
      <c r="AG19" s="137">
        <f t="shared" ca="1" si="18"/>
        <v>0</v>
      </c>
      <c r="AH19" s="77">
        <f ca="1">IFERROR(__xludf.DUMMYFUNCTION("IMPORTRANGE(""https://docs.google.com/spreadsheets/d/1C3CXT74ZlgGe6_JY_1olB1XN4rF0dxEuIIF-xsYjHgg/edit?usp=sharing"",""พรบ!BV23"")"),0)</f>
        <v>0</v>
      </c>
      <c r="AI19" s="77">
        <f ca="1">IFERROR(__xludf.DUMMYFUNCTION("IMPORTRANGE(""https://docs.google.com/spreadsheets/d/11923uPwbBZFjjGgGUA6NLw09EwE0CqkOc4q9oUmW1yo/edit?usp=sharing"",""ตาก!j224"")"),0)</f>
        <v>0</v>
      </c>
      <c r="AJ19" s="137">
        <f t="shared" ca="1" si="20"/>
        <v>0</v>
      </c>
      <c r="AK19" s="114"/>
      <c r="AL19" s="114"/>
      <c r="AM19" s="114"/>
      <c r="AN19" s="114"/>
      <c r="AO19" s="114"/>
      <c r="AP19" s="114"/>
    </row>
    <row r="20" spans="1:42" ht="24" customHeight="1">
      <c r="A20" s="73">
        <v>5</v>
      </c>
      <c r="B20" s="74" t="s">
        <v>44</v>
      </c>
      <c r="C20" s="75">
        <f t="shared" ca="1" si="0"/>
        <v>0</v>
      </c>
      <c r="D20" s="76">
        <f t="shared" ca="1" si="41"/>
        <v>0</v>
      </c>
      <c r="E20" s="77">
        <f ca="1">IFERROR(__xludf.DUMMYFUNCTION("IMPORTRANGE(""https://docs.google.com/spreadsheets/d/1C3CXT74ZlgGe6_JY_1olB1XN4rF0dxEuIIF-xsYjHgg/edit?usp=sharing"",""พรบ!BO24"")"),0)</f>
        <v>0</v>
      </c>
      <c r="F20" s="77">
        <f ca="1">IFERROR(__xludf.DUMMYFUNCTION("IMPORTRANGE(""https://docs.google.com/spreadsheets/d/1C3CXT74ZlgGe6_JY_1olB1XN4rF0dxEuIIF-xsYjHgg/edit?usp=sharing"",""พรบ!BP24"")"),0)</f>
        <v>0</v>
      </c>
      <c r="G20" s="77">
        <f ca="1">IFERROR(__xludf.DUMMYFUNCTION("IMPORTRANGE(""https://docs.google.com/spreadsheets/d/1Yj_ptqi66GCucihVvJfMjLAmec39IyEx_6qawtMGysU/edit?usp=sharing"",""สบก!CR24"")"),0)</f>
        <v>0</v>
      </c>
      <c r="H20" s="77">
        <f ca="1">IFERROR(__xludf.DUMMYFUNCTION("IMPORTRANGE(""https://docs.google.com/spreadsheets/d/1Yj_ptqi66GCucihVvJfMjLAmec39IyEx_6qawtMGysU/edit?usp=shCTing"",""สบก!CT24"")"),0)</f>
        <v>0</v>
      </c>
      <c r="I20" s="77">
        <f t="shared" ca="1" si="3"/>
        <v>0</v>
      </c>
      <c r="J20" s="137">
        <f t="shared" ca="1" si="4"/>
        <v>0</v>
      </c>
      <c r="K20" s="77">
        <f ca="1">IFERROR(__xludf.DUMMYFUNCTION("IMPORTRANGE(""https://docs.google.com/spreadsheets/d/1Yj_ptqi66GCucihVvJfMjLAmec39IyEx_6qawtMGysU/edit?usp=sharing"",""สบก!CU24"")"),0)</f>
        <v>0</v>
      </c>
      <c r="L20" s="137">
        <f t="shared" ca="1" si="5"/>
        <v>0</v>
      </c>
      <c r="M20" s="137">
        <f t="shared" ca="1" si="6"/>
        <v>0</v>
      </c>
      <c r="N20" s="137">
        <f ca="1">IFERROR(__xludf.DUMMYFUNCTION("IMPORTRANGE(""https://docs.google.com/spreadsheets/d/1Yj_ptqi66GCucihVvJfMjLAmec39IyEx_6qawtMGysU/edit?usp=sharing"",""สบก!CV24"")"),0)</f>
        <v>0</v>
      </c>
      <c r="O20" s="137">
        <f t="shared" ca="1" si="7"/>
        <v>0</v>
      </c>
      <c r="P20" s="77">
        <f ca="1">IFERROR(__xludf.DUMMYFUNCTION("IMPORTRANGE(""https://docs.google.com/spreadsheets/d/1C3CXT74ZlgGe6_JY_1olB1XN4rF0dxEuIIF-xsYjHgg/edit?usp=sharing"",""พรบ!BQ24"")"),0)</f>
        <v>0</v>
      </c>
      <c r="Q20" s="77">
        <f ca="1">IFERROR(__xludf.DUMMYFUNCTION("IMPORTRANGE(""https://docs.google.com/spreadsheets/d/11923uPwbBZFjjGgGUA6NLw09EwE0CqkOc4q9oUmW1yo/edit?usp=sharing"",""นครสวรรค์!j209"")"),0)</f>
        <v>0</v>
      </c>
      <c r="R20" s="137">
        <f t="shared" ca="1" si="9"/>
        <v>0</v>
      </c>
      <c r="S20" s="77">
        <f ca="1">IFERROR(__xludf.DUMMYFUNCTION("IMPORTRANGE(""https://docs.google.com/spreadsheets/d/11923uPwbBZFjjGgGUA6NLw09EwE0CqkOc4q9oUmW1yo/edit?usp=sharing"",""นครสวรรค์!j211"")"),0)</f>
        <v>0</v>
      </c>
      <c r="T20" s="137">
        <f t="shared" ca="1" si="10"/>
        <v>0</v>
      </c>
      <c r="U20" s="75">
        <f t="shared" ca="1" si="11"/>
        <v>0</v>
      </c>
      <c r="V20" s="76">
        <f t="shared" ca="1" si="42"/>
        <v>0</v>
      </c>
      <c r="W20" s="77">
        <f ca="1">IFERROR(__xludf.DUMMYFUNCTION("IMPORTRANGE(""https://docs.google.com/spreadsheets/d/1C3CXT74ZlgGe6_JY_1olB1XN4rF0dxEuIIF-xsYjHgg/edit?usp=sharing"",""พรบ!BT24"")"),0)</f>
        <v>0</v>
      </c>
      <c r="X20" s="77">
        <f ca="1">IFERROR(__xludf.DUMMYFUNCTION("IMPORTRANGE(""https://docs.google.com/spreadsheets/d/1C3CXT74ZlgGe6_JY_1olB1XN4rF0dxEuIIF-xsYjHgg/edit?usp=sharing"",""พรบ!BU24"")"),0)</f>
        <v>0</v>
      </c>
      <c r="Y20" s="77">
        <f ca="1">IFERROR(__xludf.DUMMYFUNCTION("IMPORTRANGE(""https://docs.google.com/spreadsheets/d/1Yj_ptqi66GCucihVvJfMjLAmec39IyEx_6qawtMGysU/edit?usp=sharing"",""สบก!DA24"")"),0)</f>
        <v>0</v>
      </c>
      <c r="Z20" s="77">
        <f ca="1">IFERROR(__xludf.DUMMYFUNCTION("IMPORTRANGE(""https://docs.google.com/spreadsheets/d/1Yj_ptqi66GCucihVvJfMjLAmec39IyEx_6qawtMGysU/edit?usp=shDCing"",""สบก!DC24"")"),0)</f>
        <v>0</v>
      </c>
      <c r="AA20" s="77">
        <f t="shared" ca="1" si="14"/>
        <v>0</v>
      </c>
      <c r="AB20" s="137">
        <f t="shared" ca="1" si="15"/>
        <v>0</v>
      </c>
      <c r="AC20" s="77">
        <f ca="1">IFERROR(__xludf.DUMMYFUNCTION("IMPORTRANGE(""https://docs.google.com/spreadsheets/d/1Yj_ptqi66GCucihVvJfMjLAmec39IyEx_6qawtMGysU/edit?usp=sharing"",""สบก!DD24"")"),0)</f>
        <v>0</v>
      </c>
      <c r="AD20" s="137">
        <f t="shared" ca="1" si="16"/>
        <v>0</v>
      </c>
      <c r="AE20" s="137">
        <f t="shared" ca="1" si="17"/>
        <v>0</v>
      </c>
      <c r="AF20" s="137">
        <f ca="1">IFERROR(__xludf.DUMMYFUNCTION("IMPORTRANGE(""https://docs.google.com/spreadsheets/d/1Yj_ptqi66GCucihVvJfMjLAmec39IyEx_6qawtMGysU/edit?usp=sharing"",""สบก!DE24"")"),0)</f>
        <v>0</v>
      </c>
      <c r="AG20" s="137">
        <f t="shared" ca="1" si="18"/>
        <v>0</v>
      </c>
      <c r="AH20" s="77">
        <f ca="1">IFERROR(__xludf.DUMMYFUNCTION("IMPORTRANGE(""https://docs.google.com/spreadsheets/d/1C3CXT74ZlgGe6_JY_1olB1XN4rF0dxEuIIF-xsYjHgg/edit?usp=sharing"",""พรบ!BV24"")"),0)</f>
        <v>0</v>
      </c>
      <c r="AI20" s="77">
        <f ca="1">IFERROR(__xludf.DUMMYFUNCTION("IMPORTRANGE(""https://docs.google.com/spreadsheets/d/11923uPwbBZFjjGgGUA6NLw09EwE0CqkOc4q9oUmW1yo/edit?usp=sharing"",""นครสวรรค์!j224"")"),0)</f>
        <v>0</v>
      </c>
      <c r="AJ20" s="137">
        <f t="shared" ca="1" si="20"/>
        <v>0</v>
      </c>
      <c r="AK20" s="114"/>
      <c r="AL20" s="114"/>
      <c r="AM20" s="114"/>
      <c r="AN20" s="114"/>
      <c r="AO20" s="114"/>
      <c r="AP20" s="114"/>
    </row>
    <row r="21" spans="1:42" ht="24" customHeight="1">
      <c r="A21" s="73">
        <v>6</v>
      </c>
      <c r="B21" s="74" t="s">
        <v>45</v>
      </c>
      <c r="C21" s="75">
        <f t="shared" ca="1" si="0"/>
        <v>0</v>
      </c>
      <c r="D21" s="76">
        <f t="shared" ca="1" si="41"/>
        <v>0</v>
      </c>
      <c r="E21" s="77">
        <f ca="1">IFERROR(__xludf.DUMMYFUNCTION("IMPORTRANGE(""https://docs.google.com/spreadsheets/d/1C3CXT74ZlgGe6_JY_1olB1XN4rF0dxEuIIF-xsYjHgg/edit?usp=sharing"",""พรบ!BO25"")"),0)</f>
        <v>0</v>
      </c>
      <c r="F21" s="77">
        <f ca="1">IFERROR(__xludf.DUMMYFUNCTION("IMPORTRANGE(""https://docs.google.com/spreadsheets/d/1C3CXT74ZlgGe6_JY_1olB1XN4rF0dxEuIIF-xsYjHgg/edit?usp=sharing"",""พรบ!BP25"")"),0)</f>
        <v>0</v>
      </c>
      <c r="G21" s="77">
        <f ca="1">IFERROR(__xludf.DUMMYFUNCTION("IMPORTRANGE(""https://docs.google.com/spreadsheets/d/1Yj_ptqi66GCucihVvJfMjLAmec39IyEx_6qawtMGysU/edit?usp=sharing"",""สบก!CR25"")"),0)</f>
        <v>0</v>
      </c>
      <c r="H21" s="77">
        <f ca="1">IFERROR(__xludf.DUMMYFUNCTION("IMPORTRANGE(""https://docs.google.com/spreadsheets/d/1Yj_ptqi66GCucihVvJfMjLAmec39IyEx_6qawtMGysU/edit?usp=shCTing"",""สบก!CT25"")"),0)</f>
        <v>0</v>
      </c>
      <c r="I21" s="77">
        <f t="shared" ca="1" si="3"/>
        <v>0</v>
      </c>
      <c r="J21" s="137">
        <f t="shared" ca="1" si="4"/>
        <v>0</v>
      </c>
      <c r="K21" s="77">
        <f ca="1">IFERROR(__xludf.DUMMYFUNCTION("IMPORTRANGE(""https://docs.google.com/spreadsheets/d/1Yj_ptqi66GCucihVvJfMjLAmec39IyEx_6qawtMGysU/edit?usp=sharing"",""สบก!CU25"")"),0)</f>
        <v>0</v>
      </c>
      <c r="L21" s="137">
        <f t="shared" ca="1" si="5"/>
        <v>0</v>
      </c>
      <c r="M21" s="137">
        <f t="shared" ca="1" si="6"/>
        <v>0</v>
      </c>
      <c r="N21" s="137">
        <f ca="1">IFERROR(__xludf.DUMMYFUNCTION("IMPORTRANGE(""https://docs.google.com/spreadsheets/d/1Yj_ptqi66GCucihVvJfMjLAmec39IyEx_6qawtMGysU/edit?usp=sharing"",""สบก!CV25"")"),0)</f>
        <v>0</v>
      </c>
      <c r="O21" s="137">
        <f t="shared" ca="1" si="7"/>
        <v>0</v>
      </c>
      <c r="P21" s="77">
        <f ca="1">IFERROR(__xludf.DUMMYFUNCTION("IMPORTRANGE(""https://docs.google.com/spreadsheets/d/1C3CXT74ZlgGe6_JY_1olB1XN4rF0dxEuIIF-xsYjHgg/edit?usp=sharing"",""พรบ!BQ25"")"),0)</f>
        <v>0</v>
      </c>
      <c r="Q21" s="77">
        <f ca="1">IFERROR(__xludf.DUMMYFUNCTION("IMPORTRANGE(""https://docs.google.com/spreadsheets/d/11923uPwbBZFjjGgGUA6NLw09EwE0CqkOc4q9oUmW1yo/edit?usp=sharing"",""น่าน!j209"")"),0)</f>
        <v>0</v>
      </c>
      <c r="R21" s="137">
        <f t="shared" ca="1" si="9"/>
        <v>0</v>
      </c>
      <c r="S21" s="77">
        <f ca="1">IFERROR(__xludf.DUMMYFUNCTION("IMPORTRANGE(""https://docs.google.com/spreadsheets/d/11923uPwbBZFjjGgGUA6NLw09EwE0CqkOc4q9oUmW1yo/edit?usp=sharing"",""น่าน!j211"")"),0)</f>
        <v>0</v>
      </c>
      <c r="T21" s="137">
        <f t="shared" ca="1" si="10"/>
        <v>0</v>
      </c>
      <c r="U21" s="75">
        <f t="shared" ca="1" si="11"/>
        <v>0</v>
      </c>
      <c r="V21" s="76">
        <f t="shared" ca="1" si="42"/>
        <v>0</v>
      </c>
      <c r="W21" s="77">
        <f ca="1">IFERROR(__xludf.DUMMYFUNCTION("IMPORTRANGE(""https://docs.google.com/spreadsheets/d/1C3CXT74ZlgGe6_JY_1olB1XN4rF0dxEuIIF-xsYjHgg/edit?usp=sharing"",""พรบ!BT25"")"),0)</f>
        <v>0</v>
      </c>
      <c r="X21" s="77">
        <f ca="1">IFERROR(__xludf.DUMMYFUNCTION("IMPORTRANGE(""https://docs.google.com/spreadsheets/d/1C3CXT74ZlgGe6_JY_1olB1XN4rF0dxEuIIF-xsYjHgg/edit?usp=sharing"",""พรบ!BU25"")"),0)</f>
        <v>0</v>
      </c>
      <c r="Y21" s="77">
        <f ca="1">IFERROR(__xludf.DUMMYFUNCTION("IMPORTRANGE(""https://docs.google.com/spreadsheets/d/1Yj_ptqi66GCucihVvJfMjLAmec39IyEx_6qawtMGysU/edit?usp=sharing"",""สบก!DA25"")"),0)</f>
        <v>0</v>
      </c>
      <c r="Z21" s="77">
        <f ca="1">IFERROR(__xludf.DUMMYFUNCTION("IMPORTRANGE(""https://docs.google.com/spreadsheets/d/1Yj_ptqi66GCucihVvJfMjLAmec39IyEx_6qawtMGysU/edit?usp=shDCing"",""สบก!DC25"")"),0)</f>
        <v>0</v>
      </c>
      <c r="AA21" s="77">
        <f t="shared" ca="1" si="14"/>
        <v>0</v>
      </c>
      <c r="AB21" s="137">
        <f t="shared" ca="1" si="15"/>
        <v>0</v>
      </c>
      <c r="AC21" s="77">
        <f ca="1">IFERROR(__xludf.DUMMYFUNCTION("IMPORTRANGE(""https://docs.google.com/spreadsheets/d/1Yj_ptqi66GCucihVvJfMjLAmec39IyEx_6qawtMGysU/edit?usp=sharing"",""สบก!DD25"")"),0)</f>
        <v>0</v>
      </c>
      <c r="AD21" s="137">
        <f t="shared" ca="1" si="16"/>
        <v>0</v>
      </c>
      <c r="AE21" s="137">
        <f t="shared" ca="1" si="17"/>
        <v>0</v>
      </c>
      <c r="AF21" s="137">
        <f ca="1">IFERROR(__xludf.DUMMYFUNCTION("IMPORTRANGE(""https://docs.google.com/spreadsheets/d/1Yj_ptqi66GCucihVvJfMjLAmec39IyEx_6qawtMGysU/edit?usp=sharing"",""สบก!DE25"")"),0)</f>
        <v>0</v>
      </c>
      <c r="AG21" s="137">
        <f t="shared" ca="1" si="18"/>
        <v>0</v>
      </c>
      <c r="AH21" s="77">
        <f ca="1">IFERROR(__xludf.DUMMYFUNCTION("IMPORTRANGE(""https://docs.google.com/spreadsheets/d/1C3CXT74ZlgGe6_JY_1olB1XN4rF0dxEuIIF-xsYjHgg/edit?usp=sharing"",""พรบ!BV25"")"),0)</f>
        <v>0</v>
      </c>
      <c r="AI21" s="77">
        <f ca="1">IFERROR(__xludf.DUMMYFUNCTION("IMPORTRANGE(""https://docs.google.com/spreadsheets/d/11923uPwbBZFjjGgGUA6NLw09EwE0CqkOc4q9oUmW1yo/edit?usp=sharing"",""น่าน!j224"")"),0)</f>
        <v>0</v>
      </c>
      <c r="AJ21" s="137">
        <f t="shared" ca="1" si="20"/>
        <v>0</v>
      </c>
      <c r="AK21" s="114"/>
      <c r="AL21" s="114"/>
      <c r="AM21" s="114"/>
      <c r="AN21" s="114"/>
      <c r="AO21" s="114"/>
      <c r="AP21" s="114"/>
    </row>
    <row r="22" spans="1:42" ht="24" customHeight="1">
      <c r="A22" s="73">
        <v>7</v>
      </c>
      <c r="B22" s="74" t="s">
        <v>46</v>
      </c>
      <c r="C22" s="75">
        <f t="shared" ca="1" si="0"/>
        <v>0</v>
      </c>
      <c r="D22" s="76">
        <f t="shared" ca="1" si="41"/>
        <v>0</v>
      </c>
      <c r="E22" s="77">
        <f ca="1">IFERROR(__xludf.DUMMYFUNCTION("IMPORTRANGE(""https://docs.google.com/spreadsheets/d/1C3CXT74ZlgGe6_JY_1olB1XN4rF0dxEuIIF-xsYjHgg/edit?usp=sharing"",""พรบ!BO26"")"),0)</f>
        <v>0</v>
      </c>
      <c r="F22" s="77">
        <f ca="1">IFERROR(__xludf.DUMMYFUNCTION("IMPORTRANGE(""https://docs.google.com/spreadsheets/d/1C3CXT74ZlgGe6_JY_1olB1XN4rF0dxEuIIF-xsYjHgg/edit?usp=sharing"",""พรบ!BP26"")"),0)</f>
        <v>0</v>
      </c>
      <c r="G22" s="77">
        <f ca="1">IFERROR(__xludf.DUMMYFUNCTION("IMPORTRANGE(""https://docs.google.com/spreadsheets/d/1Yj_ptqi66GCucihVvJfMjLAmec39IyEx_6qawtMGysU/edit?usp=sharing"",""สบก!CR26"")"),0)</f>
        <v>0</v>
      </c>
      <c r="H22" s="77">
        <f ca="1">IFERROR(__xludf.DUMMYFUNCTION("IMPORTRANGE(""https://docs.google.com/spreadsheets/d/1Yj_ptqi66GCucihVvJfMjLAmec39IyEx_6qawtMGysU/edit?usp=shCTing"",""สบก!CT26"")"),0)</f>
        <v>0</v>
      </c>
      <c r="I22" s="77">
        <f t="shared" ca="1" si="3"/>
        <v>0</v>
      </c>
      <c r="J22" s="137">
        <f t="shared" ca="1" si="4"/>
        <v>0</v>
      </c>
      <c r="K22" s="77">
        <f ca="1">IFERROR(__xludf.DUMMYFUNCTION("IMPORTRANGE(""https://docs.google.com/spreadsheets/d/1Yj_ptqi66GCucihVvJfMjLAmec39IyEx_6qawtMGysU/edit?usp=sharing"",""สบก!CU26"")"),0)</f>
        <v>0</v>
      </c>
      <c r="L22" s="137">
        <f t="shared" ca="1" si="5"/>
        <v>0</v>
      </c>
      <c r="M22" s="137">
        <f t="shared" ca="1" si="6"/>
        <v>0</v>
      </c>
      <c r="N22" s="137">
        <f ca="1">IFERROR(__xludf.DUMMYFUNCTION("IMPORTRANGE(""https://docs.google.com/spreadsheets/d/1Yj_ptqi66GCucihVvJfMjLAmec39IyEx_6qawtMGysU/edit?usp=sharing"",""สบก!CV26"")"),0)</f>
        <v>0</v>
      </c>
      <c r="O22" s="137">
        <f t="shared" ca="1" si="7"/>
        <v>0</v>
      </c>
      <c r="P22" s="77">
        <f ca="1">IFERROR(__xludf.DUMMYFUNCTION("IMPORTRANGE(""https://docs.google.com/spreadsheets/d/1C3CXT74ZlgGe6_JY_1olB1XN4rF0dxEuIIF-xsYjHgg/edit?usp=sharing"",""พรบ!BQ26"")"),0)</f>
        <v>0</v>
      </c>
      <c r="Q22" s="77">
        <f ca="1">IFERROR(__xludf.DUMMYFUNCTION("IMPORTRANGE(""https://docs.google.com/spreadsheets/d/11923uPwbBZFjjGgGUA6NLw09EwE0CqkOc4q9oUmW1yo/edit?usp=sharing"",""พะเยา!j209"")"),0)</f>
        <v>0</v>
      </c>
      <c r="R22" s="137">
        <f t="shared" ca="1" si="9"/>
        <v>0</v>
      </c>
      <c r="S22" s="77">
        <f ca="1">IFERROR(__xludf.DUMMYFUNCTION("IMPORTRANGE(""https://docs.google.com/spreadsheets/d/11923uPwbBZFjjGgGUA6NLw09EwE0CqkOc4q9oUmW1yo/edit?usp=sharing"",""พะเยา!j211"")"),0)</f>
        <v>0</v>
      </c>
      <c r="T22" s="137">
        <f t="shared" ca="1" si="10"/>
        <v>0</v>
      </c>
      <c r="U22" s="75">
        <f t="shared" ca="1" si="11"/>
        <v>0</v>
      </c>
      <c r="V22" s="76">
        <f t="shared" ca="1" si="42"/>
        <v>0</v>
      </c>
      <c r="W22" s="77">
        <f ca="1">IFERROR(__xludf.DUMMYFUNCTION("IMPORTRANGE(""https://docs.google.com/spreadsheets/d/1C3CXT74ZlgGe6_JY_1olB1XN4rF0dxEuIIF-xsYjHgg/edit?usp=sharing"",""พรบ!BT26"")"),0)</f>
        <v>0</v>
      </c>
      <c r="X22" s="77">
        <f ca="1">IFERROR(__xludf.DUMMYFUNCTION("IMPORTRANGE(""https://docs.google.com/spreadsheets/d/1C3CXT74ZlgGe6_JY_1olB1XN4rF0dxEuIIF-xsYjHgg/edit?usp=sharing"",""พรบ!BU26"")"),0)</f>
        <v>0</v>
      </c>
      <c r="Y22" s="77">
        <f ca="1">IFERROR(__xludf.DUMMYFUNCTION("IMPORTRANGE(""https://docs.google.com/spreadsheets/d/1Yj_ptqi66GCucihVvJfMjLAmec39IyEx_6qawtMGysU/edit?usp=sharing"",""สบก!DA26"")"),0)</f>
        <v>0</v>
      </c>
      <c r="Z22" s="77">
        <f ca="1">IFERROR(__xludf.DUMMYFUNCTION("IMPORTRANGE(""https://docs.google.com/spreadsheets/d/1Yj_ptqi66GCucihVvJfMjLAmec39IyEx_6qawtMGysU/edit?usp=shDCing"",""สบก!DC26"")"),0)</f>
        <v>0</v>
      </c>
      <c r="AA22" s="77">
        <f t="shared" ca="1" si="14"/>
        <v>0</v>
      </c>
      <c r="AB22" s="137">
        <f t="shared" ca="1" si="15"/>
        <v>0</v>
      </c>
      <c r="AC22" s="77">
        <f ca="1">IFERROR(__xludf.DUMMYFUNCTION("IMPORTRANGE(""https://docs.google.com/spreadsheets/d/1Yj_ptqi66GCucihVvJfMjLAmec39IyEx_6qawtMGysU/edit?usp=sharing"",""สบก!DD26"")"),0)</f>
        <v>0</v>
      </c>
      <c r="AD22" s="137">
        <f t="shared" ca="1" si="16"/>
        <v>0</v>
      </c>
      <c r="AE22" s="137">
        <f t="shared" ca="1" si="17"/>
        <v>0</v>
      </c>
      <c r="AF22" s="137">
        <f ca="1">IFERROR(__xludf.DUMMYFUNCTION("IMPORTRANGE(""https://docs.google.com/spreadsheets/d/1Yj_ptqi66GCucihVvJfMjLAmec39IyEx_6qawtMGysU/edit?usp=sharing"",""สบก!DE26"")"),0)</f>
        <v>0</v>
      </c>
      <c r="AG22" s="137">
        <f t="shared" ca="1" si="18"/>
        <v>0</v>
      </c>
      <c r="AH22" s="77">
        <f ca="1">IFERROR(__xludf.DUMMYFUNCTION("IMPORTRANGE(""https://docs.google.com/spreadsheets/d/1C3CXT74ZlgGe6_JY_1olB1XN4rF0dxEuIIF-xsYjHgg/edit?usp=sharing"",""พรบ!BV26"")"),0)</f>
        <v>0</v>
      </c>
      <c r="AI22" s="77">
        <f ca="1">IFERROR(__xludf.DUMMYFUNCTION("IMPORTRANGE(""https://docs.google.com/spreadsheets/d/11923uPwbBZFjjGgGUA6NLw09EwE0CqkOc4q9oUmW1yo/edit?usp=sharing"",""พะเยา!j224"")"),0)</f>
        <v>0</v>
      </c>
      <c r="AJ22" s="137">
        <f t="shared" ca="1" si="20"/>
        <v>0</v>
      </c>
      <c r="AK22" s="114"/>
      <c r="AL22" s="114"/>
      <c r="AM22" s="114"/>
      <c r="AN22" s="114"/>
      <c r="AO22" s="114"/>
      <c r="AP22" s="114"/>
    </row>
    <row r="23" spans="1:42" ht="24" customHeight="1">
      <c r="A23" s="73">
        <v>8</v>
      </c>
      <c r="B23" s="74" t="s">
        <v>47</v>
      </c>
      <c r="C23" s="75">
        <f t="shared" ca="1" si="0"/>
        <v>0</v>
      </c>
      <c r="D23" s="76">
        <f t="shared" ca="1" si="41"/>
        <v>0</v>
      </c>
      <c r="E23" s="77">
        <f ca="1">IFERROR(__xludf.DUMMYFUNCTION("IMPORTRANGE(""https://docs.google.com/spreadsheets/d/1C3CXT74ZlgGe6_JY_1olB1XN4rF0dxEuIIF-xsYjHgg/edit?usp=sharing"",""พรบ!BO27"")"),0)</f>
        <v>0</v>
      </c>
      <c r="F23" s="77">
        <f ca="1">IFERROR(__xludf.DUMMYFUNCTION("IMPORTRANGE(""https://docs.google.com/spreadsheets/d/1C3CXT74ZlgGe6_JY_1olB1XN4rF0dxEuIIF-xsYjHgg/edit?usp=sharing"",""พรบ!BP27"")"),0)</f>
        <v>0</v>
      </c>
      <c r="G23" s="77">
        <f ca="1">IFERROR(__xludf.DUMMYFUNCTION("IMPORTRANGE(""https://docs.google.com/spreadsheets/d/1Yj_ptqi66GCucihVvJfMjLAmec39IyEx_6qawtMGysU/edit?usp=sharing"",""สบก!CR27"")"),0)</f>
        <v>0</v>
      </c>
      <c r="H23" s="77">
        <f ca="1">IFERROR(__xludf.DUMMYFUNCTION("IMPORTRANGE(""https://docs.google.com/spreadsheets/d/1Yj_ptqi66GCucihVvJfMjLAmec39IyEx_6qawtMGysU/edit?usp=shCTing"",""สบก!CT27"")"),0)</f>
        <v>0</v>
      </c>
      <c r="I23" s="77">
        <f t="shared" ca="1" si="3"/>
        <v>0</v>
      </c>
      <c r="J23" s="137">
        <f t="shared" ca="1" si="4"/>
        <v>0</v>
      </c>
      <c r="K23" s="77">
        <f ca="1">IFERROR(__xludf.DUMMYFUNCTION("IMPORTRANGE(""https://docs.google.com/spreadsheets/d/1Yj_ptqi66GCucihVvJfMjLAmec39IyEx_6qawtMGysU/edit?usp=sharing"",""สบก!CU27"")"),0)</f>
        <v>0</v>
      </c>
      <c r="L23" s="137">
        <f t="shared" ca="1" si="5"/>
        <v>0</v>
      </c>
      <c r="M23" s="137">
        <f t="shared" ca="1" si="6"/>
        <v>0</v>
      </c>
      <c r="N23" s="137">
        <f ca="1">IFERROR(__xludf.DUMMYFUNCTION("IMPORTRANGE(""https://docs.google.com/spreadsheets/d/1Yj_ptqi66GCucihVvJfMjLAmec39IyEx_6qawtMGysU/edit?usp=sharing"",""สบก!CV27"")"),0)</f>
        <v>0</v>
      </c>
      <c r="O23" s="137">
        <f t="shared" ca="1" si="7"/>
        <v>0</v>
      </c>
      <c r="P23" s="77">
        <f ca="1">IFERROR(__xludf.DUMMYFUNCTION("IMPORTRANGE(""https://docs.google.com/spreadsheets/d/1C3CXT74ZlgGe6_JY_1olB1XN4rF0dxEuIIF-xsYjHgg/edit?usp=sharing"",""พรบ!BQ27"")"),0)</f>
        <v>0</v>
      </c>
      <c r="Q23" s="77">
        <f ca="1">IFERROR(__xludf.DUMMYFUNCTION("IMPORTRANGE(""https://docs.google.com/spreadsheets/d/11923uPwbBZFjjGgGUA6NLw09EwE0CqkOc4q9oUmW1yo/edit?usp=sharing"",""พิจิตร!j209"")"),0)</f>
        <v>0</v>
      </c>
      <c r="R23" s="137">
        <f t="shared" ca="1" si="9"/>
        <v>0</v>
      </c>
      <c r="S23" s="77">
        <f ca="1">IFERROR(__xludf.DUMMYFUNCTION("IMPORTRANGE(""https://docs.google.com/spreadsheets/d/11923uPwbBZFjjGgGUA6NLw09EwE0CqkOc4q9oUmW1yo/edit?usp=sharing"",""พิจิตร!j211"")"),0)</f>
        <v>0</v>
      </c>
      <c r="T23" s="137">
        <f t="shared" ca="1" si="10"/>
        <v>0</v>
      </c>
      <c r="U23" s="75">
        <f t="shared" ca="1" si="11"/>
        <v>0</v>
      </c>
      <c r="V23" s="76">
        <f t="shared" ca="1" si="42"/>
        <v>0</v>
      </c>
      <c r="W23" s="77">
        <f ca="1">IFERROR(__xludf.DUMMYFUNCTION("IMPORTRANGE(""https://docs.google.com/spreadsheets/d/1C3CXT74ZlgGe6_JY_1olB1XN4rF0dxEuIIF-xsYjHgg/edit?usp=sharing"",""พรบ!BT27"")"),0)</f>
        <v>0</v>
      </c>
      <c r="X23" s="77">
        <f ca="1">IFERROR(__xludf.DUMMYFUNCTION("IMPORTRANGE(""https://docs.google.com/spreadsheets/d/1C3CXT74ZlgGe6_JY_1olB1XN4rF0dxEuIIF-xsYjHgg/edit?usp=sharing"",""พรบ!BU27"")"),0)</f>
        <v>0</v>
      </c>
      <c r="Y23" s="77">
        <f ca="1">IFERROR(__xludf.DUMMYFUNCTION("IMPORTRANGE(""https://docs.google.com/spreadsheets/d/1Yj_ptqi66GCucihVvJfMjLAmec39IyEx_6qawtMGysU/edit?usp=sharing"",""สบก!DA27"")"),0)</f>
        <v>0</v>
      </c>
      <c r="Z23" s="77">
        <f ca="1">IFERROR(__xludf.DUMMYFUNCTION("IMPORTRANGE(""https://docs.google.com/spreadsheets/d/1Yj_ptqi66GCucihVvJfMjLAmec39IyEx_6qawtMGysU/edit?usp=shDCing"",""สบก!DC27"")"),0)</f>
        <v>0</v>
      </c>
      <c r="AA23" s="77">
        <f t="shared" ca="1" si="14"/>
        <v>0</v>
      </c>
      <c r="AB23" s="137">
        <f t="shared" ca="1" si="15"/>
        <v>0</v>
      </c>
      <c r="AC23" s="77">
        <f ca="1">IFERROR(__xludf.DUMMYFUNCTION("IMPORTRANGE(""https://docs.google.com/spreadsheets/d/1Yj_ptqi66GCucihVvJfMjLAmec39IyEx_6qawtMGysU/edit?usp=sharing"",""สบก!DD27"")"),0)</f>
        <v>0</v>
      </c>
      <c r="AD23" s="137">
        <f t="shared" ca="1" si="16"/>
        <v>0</v>
      </c>
      <c r="AE23" s="137">
        <f t="shared" ca="1" si="17"/>
        <v>0</v>
      </c>
      <c r="AF23" s="137">
        <f ca="1">IFERROR(__xludf.DUMMYFUNCTION("IMPORTRANGE(""https://docs.google.com/spreadsheets/d/1Yj_ptqi66GCucihVvJfMjLAmec39IyEx_6qawtMGysU/edit?usp=sharing"",""สบก!DE27"")"),0)</f>
        <v>0</v>
      </c>
      <c r="AG23" s="137">
        <f t="shared" ca="1" si="18"/>
        <v>0</v>
      </c>
      <c r="AH23" s="77">
        <f ca="1">IFERROR(__xludf.DUMMYFUNCTION("IMPORTRANGE(""https://docs.google.com/spreadsheets/d/1C3CXT74ZlgGe6_JY_1olB1XN4rF0dxEuIIF-xsYjHgg/edit?usp=sharing"",""พรบ!BV27"")"),0)</f>
        <v>0</v>
      </c>
      <c r="AI23" s="77">
        <f ca="1">IFERROR(__xludf.DUMMYFUNCTION("IMPORTRANGE(""https://docs.google.com/spreadsheets/d/11923uPwbBZFjjGgGUA6NLw09EwE0CqkOc4q9oUmW1yo/edit?usp=sharing"",""พิจิตร!j224"")"),0)</f>
        <v>0</v>
      </c>
      <c r="AJ23" s="137">
        <f t="shared" ca="1" si="20"/>
        <v>0</v>
      </c>
      <c r="AK23" s="114"/>
      <c r="AL23" s="114"/>
      <c r="AM23" s="114"/>
      <c r="AN23" s="114"/>
      <c r="AO23" s="114"/>
      <c r="AP23" s="114"/>
    </row>
    <row r="24" spans="1:42" ht="24" customHeight="1">
      <c r="A24" s="73">
        <v>9</v>
      </c>
      <c r="B24" s="74" t="s">
        <v>48</v>
      </c>
      <c r="C24" s="75">
        <f t="shared" ca="1" si="0"/>
        <v>0</v>
      </c>
      <c r="D24" s="76">
        <f t="shared" ca="1" si="41"/>
        <v>0</v>
      </c>
      <c r="E24" s="77">
        <f ca="1">IFERROR(__xludf.DUMMYFUNCTION("IMPORTRANGE(""https://docs.google.com/spreadsheets/d/1C3CXT74ZlgGe6_JY_1olB1XN4rF0dxEuIIF-xsYjHgg/edit?usp=sharing"",""พรบ!BO28"")"),0)</f>
        <v>0</v>
      </c>
      <c r="F24" s="77">
        <f ca="1">IFERROR(__xludf.DUMMYFUNCTION("IMPORTRANGE(""https://docs.google.com/spreadsheets/d/1C3CXT74ZlgGe6_JY_1olB1XN4rF0dxEuIIF-xsYjHgg/edit?usp=sharing"",""พรบ!BP28"")"),0)</f>
        <v>0</v>
      </c>
      <c r="G24" s="77">
        <f ca="1">IFERROR(__xludf.DUMMYFUNCTION("IMPORTRANGE(""https://docs.google.com/spreadsheets/d/1Yj_ptqi66GCucihVvJfMjLAmec39IyEx_6qawtMGysU/edit?usp=sharing"",""สบก!CR28"")"),0)</f>
        <v>0</v>
      </c>
      <c r="H24" s="77">
        <f ca="1">IFERROR(__xludf.DUMMYFUNCTION("IMPORTRANGE(""https://docs.google.com/spreadsheets/d/1Yj_ptqi66GCucihVvJfMjLAmec39IyEx_6qawtMGysU/edit?usp=shCTing"",""สบก!CT28"")"),0)</f>
        <v>0</v>
      </c>
      <c r="I24" s="77">
        <f t="shared" ca="1" si="3"/>
        <v>0</v>
      </c>
      <c r="J24" s="137">
        <f t="shared" ca="1" si="4"/>
        <v>0</v>
      </c>
      <c r="K24" s="77">
        <f ca="1">IFERROR(__xludf.DUMMYFUNCTION("IMPORTRANGE(""https://docs.google.com/spreadsheets/d/1Yj_ptqi66GCucihVvJfMjLAmec39IyEx_6qawtMGysU/edit?usp=sharing"",""สบก!CU28"")"),0)</f>
        <v>0</v>
      </c>
      <c r="L24" s="137">
        <f t="shared" ca="1" si="5"/>
        <v>0</v>
      </c>
      <c r="M24" s="137">
        <f t="shared" ca="1" si="6"/>
        <v>0</v>
      </c>
      <c r="N24" s="137">
        <f ca="1">IFERROR(__xludf.DUMMYFUNCTION("IMPORTRANGE(""https://docs.google.com/spreadsheets/d/1Yj_ptqi66GCucihVvJfMjLAmec39IyEx_6qawtMGysU/edit?usp=sharing"",""สบก!CV28"")"),0)</f>
        <v>0</v>
      </c>
      <c r="O24" s="137">
        <f t="shared" ca="1" si="7"/>
        <v>0</v>
      </c>
      <c r="P24" s="77">
        <f ca="1">IFERROR(__xludf.DUMMYFUNCTION("IMPORTRANGE(""https://docs.google.com/spreadsheets/d/1C3CXT74ZlgGe6_JY_1olB1XN4rF0dxEuIIF-xsYjHgg/edit?usp=sharing"",""พรบ!BQ28"")"),0)</f>
        <v>0</v>
      </c>
      <c r="Q24" s="77">
        <f ca="1">IFERROR(__xludf.DUMMYFUNCTION("IMPORTRANGE(""https://docs.google.com/spreadsheets/d/11923uPwbBZFjjGgGUA6NLw09EwE0CqkOc4q9oUmW1yo/edit?usp=sharing"",""พิษณุโลก!j209"")"),0)</f>
        <v>0</v>
      </c>
      <c r="R24" s="137">
        <f t="shared" ca="1" si="9"/>
        <v>0</v>
      </c>
      <c r="S24" s="77">
        <f ca="1">IFERROR(__xludf.DUMMYFUNCTION("IMPORTRANGE(""https://docs.google.com/spreadsheets/d/11923uPwbBZFjjGgGUA6NLw09EwE0CqkOc4q9oUmW1yo/edit?usp=sharing"",""พิษณุโลก!j211"")"),0)</f>
        <v>0</v>
      </c>
      <c r="T24" s="137">
        <f t="shared" ca="1" si="10"/>
        <v>0</v>
      </c>
      <c r="U24" s="75">
        <f t="shared" ca="1" si="11"/>
        <v>0</v>
      </c>
      <c r="V24" s="76">
        <f t="shared" ca="1" si="42"/>
        <v>0</v>
      </c>
      <c r="W24" s="77">
        <f ca="1">IFERROR(__xludf.DUMMYFUNCTION("IMPORTRANGE(""https://docs.google.com/spreadsheets/d/1C3CXT74ZlgGe6_JY_1olB1XN4rF0dxEuIIF-xsYjHgg/edit?usp=sharing"",""พรบ!BT28"")"),0)</f>
        <v>0</v>
      </c>
      <c r="X24" s="77">
        <f ca="1">IFERROR(__xludf.DUMMYFUNCTION("IMPORTRANGE(""https://docs.google.com/spreadsheets/d/1C3CXT74ZlgGe6_JY_1olB1XN4rF0dxEuIIF-xsYjHgg/edit?usp=sharing"",""พรบ!BU28"")"),0)</f>
        <v>0</v>
      </c>
      <c r="Y24" s="77">
        <f ca="1">IFERROR(__xludf.DUMMYFUNCTION("IMPORTRANGE(""https://docs.google.com/spreadsheets/d/1Yj_ptqi66GCucihVvJfMjLAmec39IyEx_6qawtMGysU/edit?usp=sharing"",""สบก!DA28"")"),0)</f>
        <v>0</v>
      </c>
      <c r="Z24" s="77">
        <f ca="1">IFERROR(__xludf.DUMMYFUNCTION("IMPORTRANGE(""https://docs.google.com/spreadsheets/d/1Yj_ptqi66GCucihVvJfMjLAmec39IyEx_6qawtMGysU/edit?usp=shDCing"",""สบก!DC28"")"),0)</f>
        <v>0</v>
      </c>
      <c r="AA24" s="77">
        <f t="shared" ca="1" si="14"/>
        <v>0</v>
      </c>
      <c r="AB24" s="137">
        <f t="shared" ca="1" si="15"/>
        <v>0</v>
      </c>
      <c r="AC24" s="77">
        <f ca="1">IFERROR(__xludf.DUMMYFUNCTION("IMPORTRANGE(""https://docs.google.com/spreadsheets/d/1Yj_ptqi66GCucihVvJfMjLAmec39IyEx_6qawtMGysU/edit?usp=sharing"",""สบก!DD28"")"),0)</f>
        <v>0</v>
      </c>
      <c r="AD24" s="137">
        <f t="shared" ca="1" si="16"/>
        <v>0</v>
      </c>
      <c r="AE24" s="137">
        <f t="shared" ca="1" si="17"/>
        <v>0</v>
      </c>
      <c r="AF24" s="137">
        <f ca="1">IFERROR(__xludf.DUMMYFUNCTION("IMPORTRANGE(""https://docs.google.com/spreadsheets/d/1Yj_ptqi66GCucihVvJfMjLAmec39IyEx_6qawtMGysU/edit?usp=sharing"",""สบก!DE28"")"),0)</f>
        <v>0</v>
      </c>
      <c r="AG24" s="137">
        <f t="shared" ca="1" si="18"/>
        <v>0</v>
      </c>
      <c r="AH24" s="77">
        <f ca="1">IFERROR(__xludf.DUMMYFUNCTION("IMPORTRANGE(""https://docs.google.com/spreadsheets/d/1C3CXT74ZlgGe6_JY_1olB1XN4rF0dxEuIIF-xsYjHgg/edit?usp=sharing"",""พรบ!BV28"")"),0)</f>
        <v>0</v>
      </c>
      <c r="AI24" s="77">
        <f ca="1">IFERROR(__xludf.DUMMYFUNCTION("IMPORTRANGE(""https://docs.google.com/spreadsheets/d/11923uPwbBZFjjGgGUA6NLw09EwE0CqkOc4q9oUmW1yo/edit?usp=sharing"",""พิษณุโลก!j224"")"),0)</f>
        <v>0</v>
      </c>
      <c r="AJ24" s="137">
        <f t="shared" ca="1" si="20"/>
        <v>0</v>
      </c>
      <c r="AK24" s="114"/>
      <c r="AL24" s="114"/>
      <c r="AM24" s="114"/>
      <c r="AN24" s="114"/>
      <c r="AO24" s="114"/>
      <c r="AP24" s="114"/>
    </row>
    <row r="25" spans="1:42" ht="24" customHeight="1">
      <c r="A25" s="73">
        <v>10</v>
      </c>
      <c r="B25" s="74" t="s">
        <v>49</v>
      </c>
      <c r="C25" s="75">
        <f t="shared" ca="1" si="0"/>
        <v>0</v>
      </c>
      <c r="D25" s="76">
        <f t="shared" ca="1" si="41"/>
        <v>0</v>
      </c>
      <c r="E25" s="77">
        <f ca="1">IFERROR(__xludf.DUMMYFUNCTION("IMPORTRANGE(""https://docs.google.com/spreadsheets/d/1C3CXT74ZlgGe6_JY_1olB1XN4rF0dxEuIIF-xsYjHgg/edit?usp=sharing"",""พรบ!BO29"")"),0)</f>
        <v>0</v>
      </c>
      <c r="F25" s="77">
        <f ca="1">IFERROR(__xludf.DUMMYFUNCTION("IMPORTRANGE(""https://docs.google.com/spreadsheets/d/1C3CXT74ZlgGe6_JY_1olB1XN4rF0dxEuIIF-xsYjHgg/edit?usp=sharing"",""พรบ!BP29"")"),0)</f>
        <v>0</v>
      </c>
      <c r="G25" s="77">
        <f ca="1">IFERROR(__xludf.DUMMYFUNCTION("IMPORTRANGE(""https://docs.google.com/spreadsheets/d/1Yj_ptqi66GCucihVvJfMjLAmec39IyEx_6qawtMGysU/edit?usp=sharing"",""สบก!CR29"")"),0)</f>
        <v>0</v>
      </c>
      <c r="H25" s="77">
        <f ca="1">IFERROR(__xludf.DUMMYFUNCTION("IMPORTRANGE(""https://docs.google.com/spreadsheets/d/1Yj_ptqi66GCucihVvJfMjLAmec39IyEx_6qawtMGysU/edit?usp=shCTing"",""สบก!CT29"")"),0)</f>
        <v>0</v>
      </c>
      <c r="I25" s="77">
        <f t="shared" ca="1" si="3"/>
        <v>0</v>
      </c>
      <c r="J25" s="137">
        <f t="shared" ca="1" si="4"/>
        <v>0</v>
      </c>
      <c r="K25" s="77">
        <f ca="1">IFERROR(__xludf.DUMMYFUNCTION("IMPORTRANGE(""https://docs.google.com/spreadsheets/d/1Yj_ptqi66GCucihVvJfMjLAmec39IyEx_6qawtMGysU/edit?usp=sharing"",""สบก!CU29"")"),0)</f>
        <v>0</v>
      </c>
      <c r="L25" s="137">
        <f t="shared" ca="1" si="5"/>
        <v>0</v>
      </c>
      <c r="M25" s="137">
        <f t="shared" ca="1" si="6"/>
        <v>0</v>
      </c>
      <c r="N25" s="137">
        <f ca="1">IFERROR(__xludf.DUMMYFUNCTION("IMPORTRANGE(""https://docs.google.com/spreadsheets/d/1Yj_ptqi66GCucihVvJfMjLAmec39IyEx_6qawtMGysU/edit?usp=sharing"",""สบก!CV29"")"),0)</f>
        <v>0</v>
      </c>
      <c r="O25" s="137">
        <f t="shared" ca="1" si="7"/>
        <v>0</v>
      </c>
      <c r="P25" s="77">
        <f ca="1">IFERROR(__xludf.DUMMYFUNCTION("IMPORTRANGE(""https://docs.google.com/spreadsheets/d/1C3CXT74ZlgGe6_JY_1olB1XN4rF0dxEuIIF-xsYjHgg/edit?usp=sharing"",""พรบ!BQ29"")"),0)</f>
        <v>0</v>
      </c>
      <c r="Q25" s="77">
        <f ca="1">IFERROR(__xludf.DUMMYFUNCTION("IMPORTRANGE(""https://docs.google.com/spreadsheets/d/11923uPwbBZFjjGgGUA6NLw09EwE0CqkOc4q9oUmW1yo/edit?usp=sharing"",""เพชรบูรณ์!j209"")"),0)</f>
        <v>0</v>
      </c>
      <c r="R25" s="137">
        <f t="shared" ca="1" si="9"/>
        <v>0</v>
      </c>
      <c r="S25" s="77">
        <f ca="1">IFERROR(__xludf.DUMMYFUNCTION("IMPORTRANGE(""https://docs.google.com/spreadsheets/d/11923uPwbBZFjjGgGUA6NLw09EwE0CqkOc4q9oUmW1yo/edit?usp=sharing"",""เพชรบูรณ์!j211"")"),0)</f>
        <v>0</v>
      </c>
      <c r="T25" s="137">
        <f t="shared" ca="1" si="10"/>
        <v>0</v>
      </c>
      <c r="U25" s="75">
        <f t="shared" ca="1" si="11"/>
        <v>0</v>
      </c>
      <c r="V25" s="76">
        <f t="shared" ca="1" si="42"/>
        <v>0</v>
      </c>
      <c r="W25" s="77">
        <f ca="1">IFERROR(__xludf.DUMMYFUNCTION("IMPORTRANGE(""https://docs.google.com/spreadsheets/d/1C3CXT74ZlgGe6_JY_1olB1XN4rF0dxEuIIF-xsYjHgg/edit?usp=sharing"",""พรบ!BT29"")"),0)</f>
        <v>0</v>
      </c>
      <c r="X25" s="77">
        <f ca="1">IFERROR(__xludf.DUMMYFUNCTION("IMPORTRANGE(""https://docs.google.com/spreadsheets/d/1C3CXT74ZlgGe6_JY_1olB1XN4rF0dxEuIIF-xsYjHgg/edit?usp=sharing"",""พรบ!BU29"")"),0)</f>
        <v>0</v>
      </c>
      <c r="Y25" s="77">
        <f ca="1">IFERROR(__xludf.DUMMYFUNCTION("IMPORTRANGE(""https://docs.google.com/spreadsheets/d/1Yj_ptqi66GCucihVvJfMjLAmec39IyEx_6qawtMGysU/edit?usp=sharing"",""สบก!DA29"")"),0)</f>
        <v>0</v>
      </c>
      <c r="Z25" s="77">
        <f ca="1">IFERROR(__xludf.DUMMYFUNCTION("IMPORTRANGE(""https://docs.google.com/spreadsheets/d/1Yj_ptqi66GCucihVvJfMjLAmec39IyEx_6qawtMGysU/edit?usp=shDCing"",""สบก!DC29"")"),0)</f>
        <v>0</v>
      </c>
      <c r="AA25" s="77">
        <f t="shared" ca="1" si="14"/>
        <v>0</v>
      </c>
      <c r="AB25" s="137">
        <f t="shared" ca="1" si="15"/>
        <v>0</v>
      </c>
      <c r="AC25" s="77">
        <f ca="1">IFERROR(__xludf.DUMMYFUNCTION("IMPORTRANGE(""https://docs.google.com/spreadsheets/d/1Yj_ptqi66GCucihVvJfMjLAmec39IyEx_6qawtMGysU/edit?usp=sharing"",""สบก!DD29"")"),0)</f>
        <v>0</v>
      </c>
      <c r="AD25" s="137">
        <f t="shared" ca="1" si="16"/>
        <v>0</v>
      </c>
      <c r="AE25" s="137">
        <f t="shared" ca="1" si="17"/>
        <v>0</v>
      </c>
      <c r="AF25" s="137">
        <f ca="1">IFERROR(__xludf.DUMMYFUNCTION("IMPORTRANGE(""https://docs.google.com/spreadsheets/d/1Yj_ptqi66GCucihVvJfMjLAmec39IyEx_6qawtMGysU/edit?usp=sharing"",""สบก!DE29"")"),0)</f>
        <v>0</v>
      </c>
      <c r="AG25" s="137">
        <f t="shared" ca="1" si="18"/>
        <v>0</v>
      </c>
      <c r="AH25" s="77">
        <f ca="1">IFERROR(__xludf.DUMMYFUNCTION("IMPORTRANGE(""https://docs.google.com/spreadsheets/d/1C3CXT74ZlgGe6_JY_1olB1XN4rF0dxEuIIF-xsYjHgg/edit?usp=sharing"",""พรบ!BV29"")"),0)</f>
        <v>0</v>
      </c>
      <c r="AI25" s="77">
        <f ca="1">IFERROR(__xludf.DUMMYFUNCTION("IMPORTRANGE(""https://docs.google.com/spreadsheets/d/11923uPwbBZFjjGgGUA6NLw09EwE0CqkOc4q9oUmW1yo/edit?usp=sharing"",""เพชรบูรณ์!j224"")"),0)</f>
        <v>0</v>
      </c>
      <c r="AJ25" s="137">
        <f t="shared" ca="1" si="20"/>
        <v>0</v>
      </c>
      <c r="AK25" s="114"/>
      <c r="AL25" s="114"/>
      <c r="AM25" s="114"/>
      <c r="AN25" s="114"/>
      <c r="AO25" s="114"/>
      <c r="AP25" s="114"/>
    </row>
    <row r="26" spans="1:42" ht="24" customHeight="1">
      <c r="A26" s="73">
        <v>11</v>
      </c>
      <c r="B26" s="74" t="s">
        <v>50</v>
      </c>
      <c r="C26" s="75">
        <f t="shared" ca="1" si="0"/>
        <v>0</v>
      </c>
      <c r="D26" s="76">
        <f t="shared" ca="1" si="41"/>
        <v>0</v>
      </c>
      <c r="E26" s="77">
        <f ca="1">IFERROR(__xludf.DUMMYFUNCTION("IMPORTRANGE(""https://docs.google.com/spreadsheets/d/1C3CXT74ZlgGe6_JY_1olB1XN4rF0dxEuIIF-xsYjHgg/edit?usp=sharing"",""พรบ!BO30"")"),0)</f>
        <v>0</v>
      </c>
      <c r="F26" s="77">
        <f ca="1">IFERROR(__xludf.DUMMYFUNCTION("IMPORTRANGE(""https://docs.google.com/spreadsheets/d/1C3CXT74ZlgGe6_JY_1olB1XN4rF0dxEuIIF-xsYjHgg/edit?usp=sharing"",""พรบ!BP30"")"),0)</f>
        <v>0</v>
      </c>
      <c r="G26" s="77">
        <f ca="1">IFERROR(__xludf.DUMMYFUNCTION("IMPORTRANGE(""https://docs.google.com/spreadsheets/d/1Yj_ptqi66GCucihVvJfMjLAmec39IyEx_6qawtMGysU/edit?usp=sharing"",""สบก!CR30"")"),0)</f>
        <v>0</v>
      </c>
      <c r="H26" s="77">
        <f ca="1">IFERROR(__xludf.DUMMYFUNCTION("IMPORTRANGE(""https://docs.google.com/spreadsheets/d/1Yj_ptqi66GCucihVvJfMjLAmec39IyEx_6qawtMGysU/edit?usp=shCTing"",""สบก!CT30"")"),0)</f>
        <v>0</v>
      </c>
      <c r="I26" s="77">
        <f t="shared" ca="1" si="3"/>
        <v>0</v>
      </c>
      <c r="J26" s="137">
        <f t="shared" ca="1" si="4"/>
        <v>0</v>
      </c>
      <c r="K26" s="77">
        <f ca="1">IFERROR(__xludf.DUMMYFUNCTION("IMPORTRANGE(""https://docs.google.com/spreadsheets/d/1Yj_ptqi66GCucihVvJfMjLAmec39IyEx_6qawtMGysU/edit?usp=sharing"",""สบก!CU30"")"),0)</f>
        <v>0</v>
      </c>
      <c r="L26" s="137">
        <f t="shared" ca="1" si="5"/>
        <v>0</v>
      </c>
      <c r="M26" s="137">
        <f t="shared" ca="1" si="6"/>
        <v>0</v>
      </c>
      <c r="N26" s="137">
        <f ca="1">IFERROR(__xludf.DUMMYFUNCTION("IMPORTRANGE(""https://docs.google.com/spreadsheets/d/1Yj_ptqi66GCucihVvJfMjLAmec39IyEx_6qawtMGysU/edit?usp=sharing"",""สบก!CV30"")"),0)</f>
        <v>0</v>
      </c>
      <c r="O26" s="137">
        <f t="shared" ca="1" si="7"/>
        <v>0</v>
      </c>
      <c r="P26" s="77">
        <f ca="1">IFERROR(__xludf.DUMMYFUNCTION("IMPORTRANGE(""https://docs.google.com/spreadsheets/d/1C3CXT74ZlgGe6_JY_1olB1XN4rF0dxEuIIF-xsYjHgg/edit?usp=sharing"",""พรบ!BQ30"")"),0)</f>
        <v>0</v>
      </c>
      <c r="Q26" s="77">
        <f ca="1">IFERROR(__xludf.DUMMYFUNCTION("IMPORTRANGE(""https://docs.google.com/spreadsheets/d/11923uPwbBZFjjGgGUA6NLw09EwE0CqkOc4q9oUmW1yo/edit?usp=sharing"",""แพร่!j209"")"),0)</f>
        <v>0</v>
      </c>
      <c r="R26" s="137">
        <f t="shared" ca="1" si="9"/>
        <v>0</v>
      </c>
      <c r="S26" s="77">
        <f ca="1">IFERROR(__xludf.DUMMYFUNCTION("IMPORTRANGE(""https://docs.google.com/spreadsheets/d/11923uPwbBZFjjGgGUA6NLw09EwE0CqkOc4q9oUmW1yo/edit?usp=sharing"",""แพร่!j211"")"),0)</f>
        <v>0</v>
      </c>
      <c r="T26" s="137">
        <f t="shared" ca="1" si="10"/>
        <v>0</v>
      </c>
      <c r="U26" s="75">
        <f t="shared" ca="1" si="11"/>
        <v>0</v>
      </c>
      <c r="V26" s="76">
        <f t="shared" ca="1" si="42"/>
        <v>0</v>
      </c>
      <c r="W26" s="77">
        <f ca="1">IFERROR(__xludf.DUMMYFUNCTION("IMPORTRANGE(""https://docs.google.com/spreadsheets/d/1C3CXT74ZlgGe6_JY_1olB1XN4rF0dxEuIIF-xsYjHgg/edit?usp=sharing"",""พรบ!BT30"")"),0)</f>
        <v>0</v>
      </c>
      <c r="X26" s="77">
        <f ca="1">IFERROR(__xludf.DUMMYFUNCTION("IMPORTRANGE(""https://docs.google.com/spreadsheets/d/1C3CXT74ZlgGe6_JY_1olB1XN4rF0dxEuIIF-xsYjHgg/edit?usp=sharing"",""พรบ!BU30"")"),0)</f>
        <v>0</v>
      </c>
      <c r="Y26" s="77">
        <f ca="1">IFERROR(__xludf.DUMMYFUNCTION("IMPORTRANGE(""https://docs.google.com/spreadsheets/d/1Yj_ptqi66GCucihVvJfMjLAmec39IyEx_6qawtMGysU/edit?usp=sharing"",""สบก!DA30"")"),0)</f>
        <v>0</v>
      </c>
      <c r="Z26" s="77">
        <f ca="1">IFERROR(__xludf.DUMMYFUNCTION("IMPORTRANGE(""https://docs.google.com/spreadsheets/d/1Yj_ptqi66GCucihVvJfMjLAmec39IyEx_6qawtMGysU/edit?usp=shDCing"",""สบก!DC30"")"),0)</f>
        <v>0</v>
      </c>
      <c r="AA26" s="77">
        <f t="shared" ca="1" si="14"/>
        <v>0</v>
      </c>
      <c r="AB26" s="137">
        <f t="shared" ca="1" si="15"/>
        <v>0</v>
      </c>
      <c r="AC26" s="77">
        <f ca="1">IFERROR(__xludf.DUMMYFUNCTION("IMPORTRANGE(""https://docs.google.com/spreadsheets/d/1Yj_ptqi66GCucihVvJfMjLAmec39IyEx_6qawtMGysU/edit?usp=sharing"",""สบก!DD30"")"),0)</f>
        <v>0</v>
      </c>
      <c r="AD26" s="137">
        <f t="shared" ca="1" si="16"/>
        <v>0</v>
      </c>
      <c r="AE26" s="137">
        <f t="shared" ca="1" si="17"/>
        <v>0</v>
      </c>
      <c r="AF26" s="137">
        <f ca="1">IFERROR(__xludf.DUMMYFUNCTION("IMPORTRANGE(""https://docs.google.com/spreadsheets/d/1Yj_ptqi66GCucihVvJfMjLAmec39IyEx_6qawtMGysU/edit?usp=sharing"",""สบก!DE30"")"),0)</f>
        <v>0</v>
      </c>
      <c r="AG26" s="137">
        <f t="shared" ca="1" si="18"/>
        <v>0</v>
      </c>
      <c r="AH26" s="77">
        <f ca="1">IFERROR(__xludf.DUMMYFUNCTION("IMPORTRANGE(""https://docs.google.com/spreadsheets/d/1C3CXT74ZlgGe6_JY_1olB1XN4rF0dxEuIIF-xsYjHgg/edit?usp=sharing"",""พรบ!BV30"")"),0)</f>
        <v>0</v>
      </c>
      <c r="AI26" s="77">
        <f ca="1">IFERROR(__xludf.DUMMYFUNCTION("IMPORTRANGE(""https://docs.google.com/spreadsheets/d/11923uPwbBZFjjGgGUA6NLw09EwE0CqkOc4q9oUmW1yo/edit?usp=sharing"",""แพร่!j224"")"),0)</f>
        <v>0</v>
      </c>
      <c r="AJ26" s="137">
        <f t="shared" ca="1" si="20"/>
        <v>0</v>
      </c>
      <c r="AK26" s="114"/>
      <c r="AL26" s="114"/>
      <c r="AM26" s="114"/>
      <c r="AN26" s="114"/>
      <c r="AO26" s="114"/>
      <c r="AP26" s="114"/>
    </row>
    <row r="27" spans="1:42" ht="24" customHeight="1">
      <c r="A27" s="73">
        <v>12</v>
      </c>
      <c r="B27" s="74" t="s">
        <v>51</v>
      </c>
      <c r="C27" s="75">
        <f t="shared" ca="1" si="0"/>
        <v>0</v>
      </c>
      <c r="D27" s="76">
        <f t="shared" ca="1" si="41"/>
        <v>0</v>
      </c>
      <c r="E27" s="77">
        <f ca="1">IFERROR(__xludf.DUMMYFUNCTION("IMPORTRANGE(""https://docs.google.com/spreadsheets/d/1C3CXT74ZlgGe6_JY_1olB1XN4rF0dxEuIIF-xsYjHgg/edit?usp=sharing"",""พรบ!BO31"")"),0)</f>
        <v>0</v>
      </c>
      <c r="F27" s="77">
        <f ca="1">IFERROR(__xludf.DUMMYFUNCTION("IMPORTRANGE(""https://docs.google.com/spreadsheets/d/1C3CXT74ZlgGe6_JY_1olB1XN4rF0dxEuIIF-xsYjHgg/edit?usp=sharing"",""พรบ!BP31"")"),0)</f>
        <v>0</v>
      </c>
      <c r="G27" s="77">
        <f ca="1">IFERROR(__xludf.DUMMYFUNCTION("IMPORTRANGE(""https://docs.google.com/spreadsheets/d/1Yj_ptqi66GCucihVvJfMjLAmec39IyEx_6qawtMGysU/edit?usp=sharing"",""สบก!CR31"")"),0)</f>
        <v>0</v>
      </c>
      <c r="H27" s="77">
        <f ca="1">IFERROR(__xludf.DUMMYFUNCTION("IMPORTRANGE(""https://docs.google.com/spreadsheets/d/1Yj_ptqi66GCucihVvJfMjLAmec39IyEx_6qawtMGysU/edit?usp=shCTing"",""สบก!CT31"")"),0)</f>
        <v>0</v>
      </c>
      <c r="I27" s="77">
        <f t="shared" ca="1" si="3"/>
        <v>0</v>
      </c>
      <c r="J27" s="137">
        <f t="shared" ca="1" si="4"/>
        <v>0</v>
      </c>
      <c r="K27" s="77">
        <f ca="1">IFERROR(__xludf.DUMMYFUNCTION("IMPORTRANGE(""https://docs.google.com/spreadsheets/d/1Yj_ptqi66GCucihVvJfMjLAmec39IyEx_6qawtMGysU/edit?usp=sharing"",""สบก!CU31"")"),0)</f>
        <v>0</v>
      </c>
      <c r="L27" s="137">
        <f t="shared" ca="1" si="5"/>
        <v>0</v>
      </c>
      <c r="M27" s="137">
        <f t="shared" ca="1" si="6"/>
        <v>0</v>
      </c>
      <c r="N27" s="137">
        <f ca="1">IFERROR(__xludf.DUMMYFUNCTION("IMPORTRANGE(""https://docs.google.com/spreadsheets/d/1Yj_ptqi66GCucihVvJfMjLAmec39IyEx_6qawtMGysU/edit?usp=sharing"",""สบก!CV31"")"),0)</f>
        <v>0</v>
      </c>
      <c r="O27" s="137">
        <f t="shared" ca="1" si="7"/>
        <v>0</v>
      </c>
      <c r="P27" s="77">
        <f ca="1">IFERROR(__xludf.DUMMYFUNCTION("IMPORTRANGE(""https://docs.google.com/spreadsheets/d/1C3CXT74ZlgGe6_JY_1olB1XN4rF0dxEuIIF-xsYjHgg/edit?usp=sharing"",""พรบ!BQ31"")"),0)</f>
        <v>0</v>
      </c>
      <c r="Q27" s="77">
        <f ca="1">IFERROR(__xludf.DUMMYFUNCTION("IMPORTRANGE(""https://docs.google.com/spreadsheets/d/11923uPwbBZFjjGgGUA6NLw09EwE0CqkOc4q9oUmW1yo/edit?usp=sharing"",""แม่ฮ่องสอน!j209"")"),0)</f>
        <v>0</v>
      </c>
      <c r="R27" s="137">
        <f t="shared" ca="1" si="9"/>
        <v>0</v>
      </c>
      <c r="S27" s="77">
        <f ca="1">IFERROR(__xludf.DUMMYFUNCTION("IMPORTRANGE(""https://docs.google.com/spreadsheets/d/11923uPwbBZFjjGgGUA6NLw09EwE0CqkOc4q9oUmW1yo/edit?usp=sharing"",""แม่ฮ่องสอน!j211"")"),0)</f>
        <v>0</v>
      </c>
      <c r="T27" s="137">
        <f t="shared" ca="1" si="10"/>
        <v>0</v>
      </c>
      <c r="U27" s="75">
        <f t="shared" ca="1" si="11"/>
        <v>0</v>
      </c>
      <c r="V27" s="76">
        <f t="shared" ca="1" si="42"/>
        <v>0</v>
      </c>
      <c r="W27" s="77">
        <f ca="1">IFERROR(__xludf.DUMMYFUNCTION("IMPORTRANGE(""https://docs.google.com/spreadsheets/d/1C3CXT74ZlgGe6_JY_1olB1XN4rF0dxEuIIF-xsYjHgg/edit?usp=sharing"",""พรบ!BT31"")"),0)</f>
        <v>0</v>
      </c>
      <c r="X27" s="77">
        <f ca="1">IFERROR(__xludf.DUMMYFUNCTION("IMPORTRANGE(""https://docs.google.com/spreadsheets/d/1C3CXT74ZlgGe6_JY_1olB1XN4rF0dxEuIIF-xsYjHgg/edit?usp=sharing"",""พรบ!BU31"")"),0)</f>
        <v>0</v>
      </c>
      <c r="Y27" s="77">
        <f ca="1">IFERROR(__xludf.DUMMYFUNCTION("IMPORTRANGE(""https://docs.google.com/spreadsheets/d/1Yj_ptqi66GCucihVvJfMjLAmec39IyEx_6qawtMGysU/edit?usp=sharing"",""สบก!DA31"")"),0)</f>
        <v>0</v>
      </c>
      <c r="Z27" s="77">
        <f ca="1">IFERROR(__xludf.DUMMYFUNCTION("IMPORTRANGE(""https://docs.google.com/spreadsheets/d/1Yj_ptqi66GCucihVvJfMjLAmec39IyEx_6qawtMGysU/edit?usp=shDCing"",""สบก!DC31"")"),0)</f>
        <v>0</v>
      </c>
      <c r="AA27" s="77">
        <f t="shared" ca="1" si="14"/>
        <v>0</v>
      </c>
      <c r="AB27" s="137">
        <f t="shared" ca="1" si="15"/>
        <v>0</v>
      </c>
      <c r="AC27" s="77">
        <f ca="1">IFERROR(__xludf.DUMMYFUNCTION("IMPORTRANGE(""https://docs.google.com/spreadsheets/d/1Yj_ptqi66GCucihVvJfMjLAmec39IyEx_6qawtMGysU/edit?usp=sharing"",""สบก!DD31"")"),0)</f>
        <v>0</v>
      </c>
      <c r="AD27" s="137">
        <f t="shared" ca="1" si="16"/>
        <v>0</v>
      </c>
      <c r="AE27" s="137">
        <f t="shared" ca="1" si="17"/>
        <v>0</v>
      </c>
      <c r="AF27" s="137">
        <f ca="1">IFERROR(__xludf.DUMMYFUNCTION("IMPORTRANGE(""https://docs.google.com/spreadsheets/d/1Yj_ptqi66GCucihVvJfMjLAmec39IyEx_6qawtMGysU/edit?usp=sharing"",""สบก!DE31"")"),0)</f>
        <v>0</v>
      </c>
      <c r="AG27" s="137">
        <f t="shared" ca="1" si="18"/>
        <v>0</v>
      </c>
      <c r="AH27" s="77">
        <f ca="1">IFERROR(__xludf.DUMMYFUNCTION("IMPORTRANGE(""https://docs.google.com/spreadsheets/d/1C3CXT74ZlgGe6_JY_1olB1XN4rF0dxEuIIF-xsYjHgg/edit?usp=sharing"",""พรบ!BV31"")"),0)</f>
        <v>0</v>
      </c>
      <c r="AI27" s="77">
        <f ca="1">IFERROR(__xludf.DUMMYFUNCTION("IMPORTRANGE(""https://docs.google.com/spreadsheets/d/11923uPwbBZFjjGgGUA6NLw09EwE0CqkOc4q9oUmW1yo/edit?usp=sharing"",""แม่ฮ่องสอน!j224"")"),0)</f>
        <v>0</v>
      </c>
      <c r="AJ27" s="137">
        <f t="shared" ca="1" si="20"/>
        <v>0</v>
      </c>
      <c r="AK27" s="114"/>
      <c r="AL27" s="114"/>
      <c r="AM27" s="114"/>
      <c r="AN27" s="114"/>
      <c r="AO27" s="114"/>
      <c r="AP27" s="114"/>
    </row>
    <row r="28" spans="1:42" ht="24" customHeight="1">
      <c r="A28" s="73">
        <v>13</v>
      </c>
      <c r="B28" s="74" t="s">
        <v>52</v>
      </c>
      <c r="C28" s="75">
        <f t="shared" ca="1" si="0"/>
        <v>0</v>
      </c>
      <c r="D28" s="76">
        <f t="shared" ca="1" si="41"/>
        <v>0</v>
      </c>
      <c r="E28" s="77">
        <f ca="1">IFERROR(__xludf.DUMMYFUNCTION("IMPORTRANGE(""https://docs.google.com/spreadsheets/d/1C3CXT74ZlgGe6_JY_1olB1XN4rF0dxEuIIF-xsYjHgg/edit?usp=sharing"",""พรบ!BO32"")"),0)</f>
        <v>0</v>
      </c>
      <c r="F28" s="77">
        <f ca="1">IFERROR(__xludf.DUMMYFUNCTION("IMPORTRANGE(""https://docs.google.com/spreadsheets/d/1C3CXT74ZlgGe6_JY_1olB1XN4rF0dxEuIIF-xsYjHgg/edit?usp=sharing"",""พรบ!BP32"")"),0)</f>
        <v>0</v>
      </c>
      <c r="G28" s="77">
        <f ca="1">IFERROR(__xludf.DUMMYFUNCTION("IMPORTRANGE(""https://docs.google.com/spreadsheets/d/1Yj_ptqi66GCucihVvJfMjLAmec39IyEx_6qawtMGysU/edit?usp=sharing"",""สบก!CR32"")"),0)</f>
        <v>0</v>
      </c>
      <c r="H28" s="77">
        <f ca="1">IFERROR(__xludf.DUMMYFUNCTION("IMPORTRANGE(""https://docs.google.com/spreadsheets/d/1Yj_ptqi66GCucihVvJfMjLAmec39IyEx_6qawtMGysU/edit?usp=shCTing"",""สบก!CT32"")"),0)</f>
        <v>0</v>
      </c>
      <c r="I28" s="77">
        <f t="shared" ca="1" si="3"/>
        <v>0</v>
      </c>
      <c r="J28" s="137">
        <f t="shared" ca="1" si="4"/>
        <v>0</v>
      </c>
      <c r="K28" s="77">
        <f ca="1">IFERROR(__xludf.DUMMYFUNCTION("IMPORTRANGE(""https://docs.google.com/spreadsheets/d/1Yj_ptqi66GCucihVvJfMjLAmec39IyEx_6qawtMGysU/edit?usp=sharing"",""สบก!CU32"")"),0)</f>
        <v>0</v>
      </c>
      <c r="L28" s="137">
        <f t="shared" ca="1" si="5"/>
        <v>0</v>
      </c>
      <c r="M28" s="137">
        <f t="shared" ca="1" si="6"/>
        <v>0</v>
      </c>
      <c r="N28" s="137">
        <f ca="1">IFERROR(__xludf.DUMMYFUNCTION("IMPORTRANGE(""https://docs.google.com/spreadsheets/d/1Yj_ptqi66GCucihVvJfMjLAmec39IyEx_6qawtMGysU/edit?usp=sharing"",""สบก!CV32"")"),0)</f>
        <v>0</v>
      </c>
      <c r="O28" s="137">
        <f t="shared" ca="1" si="7"/>
        <v>0</v>
      </c>
      <c r="P28" s="77">
        <f ca="1">IFERROR(__xludf.DUMMYFUNCTION("IMPORTRANGE(""https://docs.google.com/spreadsheets/d/1C3CXT74ZlgGe6_JY_1olB1XN4rF0dxEuIIF-xsYjHgg/edit?usp=sharing"",""พรบ!BQ32"")"),0)</f>
        <v>0</v>
      </c>
      <c r="Q28" s="77">
        <f ca="1">IFERROR(__xludf.DUMMYFUNCTION("IMPORTRANGE(""https://docs.google.com/spreadsheets/d/11923uPwbBZFjjGgGUA6NLw09EwE0CqkOc4q9oUmW1yo/edit?usp=sharing"",""ลำปาง!j209"")"),0)</f>
        <v>0</v>
      </c>
      <c r="R28" s="137">
        <f t="shared" ca="1" si="9"/>
        <v>0</v>
      </c>
      <c r="S28" s="77">
        <f ca="1">IFERROR(__xludf.DUMMYFUNCTION("IMPORTRANGE(""https://docs.google.com/spreadsheets/d/11923uPwbBZFjjGgGUA6NLw09EwE0CqkOc4q9oUmW1yo/edit?usp=sharing"",""ลำปาง!j211"")"),0)</f>
        <v>0</v>
      </c>
      <c r="T28" s="137">
        <f t="shared" ca="1" si="10"/>
        <v>0</v>
      </c>
      <c r="U28" s="75">
        <f t="shared" ca="1" si="11"/>
        <v>0</v>
      </c>
      <c r="V28" s="76">
        <f t="shared" ca="1" si="42"/>
        <v>0</v>
      </c>
      <c r="W28" s="77">
        <f ca="1">IFERROR(__xludf.DUMMYFUNCTION("IMPORTRANGE(""https://docs.google.com/spreadsheets/d/1C3CXT74ZlgGe6_JY_1olB1XN4rF0dxEuIIF-xsYjHgg/edit?usp=sharing"",""พรบ!BT32"")"),0)</f>
        <v>0</v>
      </c>
      <c r="X28" s="77">
        <f ca="1">IFERROR(__xludf.DUMMYFUNCTION("IMPORTRANGE(""https://docs.google.com/spreadsheets/d/1C3CXT74ZlgGe6_JY_1olB1XN4rF0dxEuIIF-xsYjHgg/edit?usp=sharing"",""พรบ!BU32"")"),0)</f>
        <v>0</v>
      </c>
      <c r="Y28" s="77">
        <f ca="1">IFERROR(__xludf.DUMMYFUNCTION("IMPORTRANGE(""https://docs.google.com/spreadsheets/d/1Yj_ptqi66GCucihVvJfMjLAmec39IyEx_6qawtMGysU/edit?usp=sharing"",""สบก!DA32"")"),0)</f>
        <v>0</v>
      </c>
      <c r="Z28" s="77">
        <f ca="1">IFERROR(__xludf.DUMMYFUNCTION("IMPORTRANGE(""https://docs.google.com/spreadsheets/d/1Yj_ptqi66GCucihVvJfMjLAmec39IyEx_6qawtMGysU/edit?usp=shDCing"",""สบก!DC32"")"),0)</f>
        <v>0</v>
      </c>
      <c r="AA28" s="77">
        <f t="shared" ca="1" si="14"/>
        <v>0</v>
      </c>
      <c r="AB28" s="137">
        <f t="shared" ca="1" si="15"/>
        <v>0</v>
      </c>
      <c r="AC28" s="77">
        <f ca="1">IFERROR(__xludf.DUMMYFUNCTION("IMPORTRANGE(""https://docs.google.com/spreadsheets/d/1Yj_ptqi66GCucihVvJfMjLAmec39IyEx_6qawtMGysU/edit?usp=sharing"",""สบก!DD32"")"),0)</f>
        <v>0</v>
      </c>
      <c r="AD28" s="137">
        <f t="shared" ca="1" si="16"/>
        <v>0</v>
      </c>
      <c r="AE28" s="137">
        <f t="shared" ca="1" si="17"/>
        <v>0</v>
      </c>
      <c r="AF28" s="137">
        <f ca="1">IFERROR(__xludf.DUMMYFUNCTION("IMPORTRANGE(""https://docs.google.com/spreadsheets/d/1Yj_ptqi66GCucihVvJfMjLAmec39IyEx_6qawtMGysU/edit?usp=sharing"",""สบก!DE32"")"),0)</f>
        <v>0</v>
      </c>
      <c r="AG28" s="137">
        <f t="shared" ca="1" si="18"/>
        <v>0</v>
      </c>
      <c r="AH28" s="77">
        <f ca="1">IFERROR(__xludf.DUMMYFUNCTION("IMPORTRANGE(""https://docs.google.com/spreadsheets/d/1C3CXT74ZlgGe6_JY_1olB1XN4rF0dxEuIIF-xsYjHgg/edit?usp=sharing"",""พรบ!BV32"")"),0)</f>
        <v>0</v>
      </c>
      <c r="AI28" s="77">
        <f ca="1">IFERROR(__xludf.DUMMYFUNCTION("IMPORTRANGE(""https://docs.google.com/spreadsheets/d/11923uPwbBZFjjGgGUA6NLw09EwE0CqkOc4q9oUmW1yo/edit?usp=sharing"",""ลำปาง!j224"")"),0)</f>
        <v>0</v>
      </c>
      <c r="AJ28" s="137">
        <f t="shared" ca="1" si="20"/>
        <v>0</v>
      </c>
      <c r="AK28" s="114"/>
      <c r="AL28" s="114"/>
      <c r="AM28" s="114"/>
      <c r="AN28" s="114"/>
      <c r="AO28" s="114"/>
      <c r="AP28" s="114"/>
    </row>
    <row r="29" spans="1:42" ht="24" customHeight="1">
      <c r="A29" s="73">
        <v>14</v>
      </c>
      <c r="B29" s="74" t="s">
        <v>53</v>
      </c>
      <c r="C29" s="75">
        <f t="shared" ca="1" si="0"/>
        <v>0</v>
      </c>
      <c r="D29" s="76">
        <f t="shared" ca="1" si="41"/>
        <v>0</v>
      </c>
      <c r="E29" s="77">
        <f ca="1">IFERROR(__xludf.DUMMYFUNCTION("IMPORTRANGE(""https://docs.google.com/spreadsheets/d/1C3CXT74ZlgGe6_JY_1olB1XN4rF0dxEuIIF-xsYjHgg/edit?usp=sharing"",""พรบ!BO33"")"),0)</f>
        <v>0</v>
      </c>
      <c r="F29" s="77">
        <f ca="1">IFERROR(__xludf.DUMMYFUNCTION("IMPORTRANGE(""https://docs.google.com/spreadsheets/d/1C3CXT74ZlgGe6_JY_1olB1XN4rF0dxEuIIF-xsYjHgg/edit?usp=sharing"",""พรบ!BP33"")"),0)</f>
        <v>0</v>
      </c>
      <c r="G29" s="77">
        <f ca="1">IFERROR(__xludf.DUMMYFUNCTION("IMPORTRANGE(""https://docs.google.com/spreadsheets/d/1Yj_ptqi66GCucihVvJfMjLAmec39IyEx_6qawtMGysU/edit?usp=sharing"",""สบก!CR33"")"),0)</f>
        <v>0</v>
      </c>
      <c r="H29" s="77">
        <f ca="1">IFERROR(__xludf.DUMMYFUNCTION("IMPORTRANGE(""https://docs.google.com/spreadsheets/d/1Yj_ptqi66GCucihVvJfMjLAmec39IyEx_6qawtMGysU/edit?usp=shCTing"",""สบก!CT33"")"),0)</f>
        <v>0</v>
      </c>
      <c r="I29" s="77">
        <f t="shared" ca="1" si="3"/>
        <v>0</v>
      </c>
      <c r="J29" s="137">
        <f t="shared" ca="1" si="4"/>
        <v>0</v>
      </c>
      <c r="K29" s="77">
        <f ca="1">IFERROR(__xludf.DUMMYFUNCTION("IMPORTRANGE(""https://docs.google.com/spreadsheets/d/1Yj_ptqi66GCucihVvJfMjLAmec39IyEx_6qawtMGysU/edit?usp=sharing"",""สบก!CU33"")"),0)</f>
        <v>0</v>
      </c>
      <c r="L29" s="137">
        <f t="shared" ca="1" si="5"/>
        <v>0</v>
      </c>
      <c r="M29" s="137">
        <f t="shared" ca="1" si="6"/>
        <v>0</v>
      </c>
      <c r="N29" s="137">
        <f ca="1">IFERROR(__xludf.DUMMYFUNCTION("IMPORTRANGE(""https://docs.google.com/spreadsheets/d/1Yj_ptqi66GCucihVvJfMjLAmec39IyEx_6qawtMGysU/edit?usp=sharing"",""สบก!CV33"")"),0)</f>
        <v>0</v>
      </c>
      <c r="O29" s="137">
        <f t="shared" ca="1" si="7"/>
        <v>0</v>
      </c>
      <c r="P29" s="77">
        <f ca="1">IFERROR(__xludf.DUMMYFUNCTION("IMPORTRANGE(""https://docs.google.com/spreadsheets/d/1C3CXT74ZlgGe6_JY_1olB1XN4rF0dxEuIIF-xsYjHgg/edit?usp=sharing"",""พรบ!BQ33"")"),0)</f>
        <v>0</v>
      </c>
      <c r="Q29" s="77">
        <f ca="1">IFERROR(__xludf.DUMMYFUNCTION("IMPORTRANGE(""https://docs.google.com/spreadsheets/d/11923uPwbBZFjjGgGUA6NLw09EwE0CqkOc4q9oUmW1yo/edit?usp=sharing"",""ลำพูน!j209"")"),0)</f>
        <v>0</v>
      </c>
      <c r="R29" s="137">
        <f t="shared" ca="1" si="9"/>
        <v>0</v>
      </c>
      <c r="S29" s="77">
        <f ca="1">IFERROR(__xludf.DUMMYFUNCTION("IMPORTRANGE(""https://docs.google.com/spreadsheets/d/11923uPwbBZFjjGgGUA6NLw09EwE0CqkOc4q9oUmW1yo/edit?usp=sharing"",""ลำพูน!j211"")"),0)</f>
        <v>0</v>
      </c>
      <c r="T29" s="137">
        <f t="shared" ca="1" si="10"/>
        <v>0</v>
      </c>
      <c r="U29" s="75">
        <f t="shared" ca="1" si="11"/>
        <v>0</v>
      </c>
      <c r="V29" s="76">
        <f t="shared" ca="1" si="42"/>
        <v>0</v>
      </c>
      <c r="W29" s="77">
        <f ca="1">IFERROR(__xludf.DUMMYFUNCTION("IMPORTRANGE(""https://docs.google.com/spreadsheets/d/1C3CXT74ZlgGe6_JY_1olB1XN4rF0dxEuIIF-xsYjHgg/edit?usp=sharing"",""พรบ!BT33"")"),0)</f>
        <v>0</v>
      </c>
      <c r="X29" s="77">
        <f ca="1">IFERROR(__xludf.DUMMYFUNCTION("IMPORTRANGE(""https://docs.google.com/spreadsheets/d/1C3CXT74ZlgGe6_JY_1olB1XN4rF0dxEuIIF-xsYjHgg/edit?usp=sharing"",""พรบ!BU33"")"),0)</f>
        <v>0</v>
      </c>
      <c r="Y29" s="77">
        <f ca="1">IFERROR(__xludf.DUMMYFUNCTION("IMPORTRANGE(""https://docs.google.com/spreadsheets/d/1Yj_ptqi66GCucihVvJfMjLAmec39IyEx_6qawtMGysU/edit?usp=sharing"",""สบก!DA33"")"),0)</f>
        <v>0</v>
      </c>
      <c r="Z29" s="77">
        <f ca="1">IFERROR(__xludf.DUMMYFUNCTION("IMPORTRANGE(""https://docs.google.com/spreadsheets/d/1Yj_ptqi66GCucihVvJfMjLAmec39IyEx_6qawtMGysU/edit?usp=shDCing"",""สบก!DC33"")"),0)</f>
        <v>0</v>
      </c>
      <c r="AA29" s="77">
        <f t="shared" ca="1" si="14"/>
        <v>0</v>
      </c>
      <c r="AB29" s="137">
        <f t="shared" ca="1" si="15"/>
        <v>0</v>
      </c>
      <c r="AC29" s="77">
        <f ca="1">IFERROR(__xludf.DUMMYFUNCTION("IMPORTRANGE(""https://docs.google.com/spreadsheets/d/1Yj_ptqi66GCucihVvJfMjLAmec39IyEx_6qawtMGysU/edit?usp=sharing"",""สบก!DD33"")"),0)</f>
        <v>0</v>
      </c>
      <c r="AD29" s="137">
        <f t="shared" ca="1" si="16"/>
        <v>0</v>
      </c>
      <c r="AE29" s="137">
        <f t="shared" ca="1" si="17"/>
        <v>0</v>
      </c>
      <c r="AF29" s="137">
        <f ca="1">IFERROR(__xludf.DUMMYFUNCTION("IMPORTRANGE(""https://docs.google.com/spreadsheets/d/1Yj_ptqi66GCucihVvJfMjLAmec39IyEx_6qawtMGysU/edit?usp=sharing"",""สบก!DE33"")"),0)</f>
        <v>0</v>
      </c>
      <c r="AG29" s="137">
        <f t="shared" ca="1" si="18"/>
        <v>0</v>
      </c>
      <c r="AH29" s="77">
        <f ca="1">IFERROR(__xludf.DUMMYFUNCTION("IMPORTRANGE(""https://docs.google.com/spreadsheets/d/1C3CXT74ZlgGe6_JY_1olB1XN4rF0dxEuIIF-xsYjHgg/edit?usp=sharing"",""พรบ!BV33"")"),0)</f>
        <v>0</v>
      </c>
      <c r="AI29" s="77">
        <f ca="1">IFERROR(__xludf.DUMMYFUNCTION("IMPORTRANGE(""https://docs.google.com/spreadsheets/d/11923uPwbBZFjjGgGUA6NLw09EwE0CqkOc4q9oUmW1yo/edit?usp=sharing"",""ลำพูน!j224"")"),0)</f>
        <v>0</v>
      </c>
      <c r="AJ29" s="137">
        <f t="shared" ca="1" si="20"/>
        <v>0</v>
      </c>
      <c r="AK29" s="114"/>
      <c r="AL29" s="114"/>
      <c r="AM29" s="114"/>
      <c r="AN29" s="114"/>
      <c r="AO29" s="114"/>
      <c r="AP29" s="114"/>
    </row>
    <row r="30" spans="1:42" ht="24" customHeight="1">
      <c r="A30" s="73">
        <v>15</v>
      </c>
      <c r="B30" s="74" t="s">
        <v>54</v>
      </c>
      <c r="C30" s="75">
        <f t="shared" ca="1" si="0"/>
        <v>0</v>
      </c>
      <c r="D30" s="76">
        <f t="shared" ca="1" si="41"/>
        <v>0</v>
      </c>
      <c r="E30" s="77">
        <f ca="1">IFERROR(__xludf.DUMMYFUNCTION("IMPORTRANGE(""https://docs.google.com/spreadsheets/d/1C3CXT74ZlgGe6_JY_1olB1XN4rF0dxEuIIF-xsYjHgg/edit?usp=sharing"",""พรบ!BO34"")"),0)</f>
        <v>0</v>
      </c>
      <c r="F30" s="77">
        <f ca="1">IFERROR(__xludf.DUMMYFUNCTION("IMPORTRANGE(""https://docs.google.com/spreadsheets/d/1C3CXT74ZlgGe6_JY_1olB1XN4rF0dxEuIIF-xsYjHgg/edit?usp=sharing"",""พรบ!BP34"")"),0)</f>
        <v>0</v>
      </c>
      <c r="G30" s="77">
        <f ca="1">IFERROR(__xludf.DUMMYFUNCTION("IMPORTRANGE(""https://docs.google.com/spreadsheets/d/1Yj_ptqi66GCucihVvJfMjLAmec39IyEx_6qawtMGysU/edit?usp=sharing"",""สบก!CR34"")"),0)</f>
        <v>0</v>
      </c>
      <c r="H30" s="77">
        <f ca="1">IFERROR(__xludf.DUMMYFUNCTION("IMPORTRANGE(""https://docs.google.com/spreadsheets/d/1Yj_ptqi66GCucihVvJfMjLAmec39IyEx_6qawtMGysU/edit?usp=shCTing"",""สบก!CT34"")"),0)</f>
        <v>0</v>
      </c>
      <c r="I30" s="77">
        <f t="shared" ca="1" si="3"/>
        <v>0</v>
      </c>
      <c r="J30" s="137">
        <f t="shared" ca="1" si="4"/>
        <v>0</v>
      </c>
      <c r="K30" s="77">
        <f ca="1">IFERROR(__xludf.DUMMYFUNCTION("IMPORTRANGE(""https://docs.google.com/spreadsheets/d/1Yj_ptqi66GCucihVvJfMjLAmec39IyEx_6qawtMGysU/edit?usp=sharing"",""สบก!CU34"")"),0)</f>
        <v>0</v>
      </c>
      <c r="L30" s="137">
        <f t="shared" ca="1" si="5"/>
        <v>0</v>
      </c>
      <c r="M30" s="137">
        <f t="shared" ca="1" si="6"/>
        <v>0</v>
      </c>
      <c r="N30" s="137">
        <f ca="1">IFERROR(__xludf.DUMMYFUNCTION("IMPORTRANGE(""https://docs.google.com/spreadsheets/d/1Yj_ptqi66GCucihVvJfMjLAmec39IyEx_6qawtMGysU/edit?usp=sharing"",""สบก!CV34"")"),0)</f>
        <v>0</v>
      </c>
      <c r="O30" s="137">
        <f t="shared" ca="1" si="7"/>
        <v>0</v>
      </c>
      <c r="P30" s="77">
        <f ca="1">IFERROR(__xludf.DUMMYFUNCTION("IMPORTRANGE(""https://docs.google.com/spreadsheets/d/1C3CXT74ZlgGe6_JY_1olB1XN4rF0dxEuIIF-xsYjHgg/edit?usp=sharing"",""พรบ!BQ34"")"),0)</f>
        <v>0</v>
      </c>
      <c r="Q30" s="77">
        <f ca="1">IFERROR(__xludf.DUMMYFUNCTION("IMPORTRANGE(""https://docs.google.com/spreadsheets/d/11923uPwbBZFjjGgGUA6NLw09EwE0CqkOc4q9oUmW1yo/edit?usp=sharing"",""สุโขทัย!j209"")"),0)</f>
        <v>0</v>
      </c>
      <c r="R30" s="137">
        <f t="shared" ca="1" si="9"/>
        <v>0</v>
      </c>
      <c r="S30" s="77">
        <f ca="1">IFERROR(__xludf.DUMMYFUNCTION("IMPORTRANGE(""https://docs.google.com/spreadsheets/d/11923uPwbBZFjjGgGUA6NLw09EwE0CqkOc4q9oUmW1yo/edit?usp=sharing"",""สุโขทัย!j211"")"),0)</f>
        <v>0</v>
      </c>
      <c r="T30" s="137">
        <f t="shared" ca="1" si="10"/>
        <v>0</v>
      </c>
      <c r="U30" s="75">
        <f t="shared" ca="1" si="11"/>
        <v>0</v>
      </c>
      <c r="V30" s="76">
        <f t="shared" ca="1" si="42"/>
        <v>0</v>
      </c>
      <c r="W30" s="77">
        <f ca="1">IFERROR(__xludf.DUMMYFUNCTION("IMPORTRANGE(""https://docs.google.com/spreadsheets/d/1C3CXT74ZlgGe6_JY_1olB1XN4rF0dxEuIIF-xsYjHgg/edit?usp=sharing"",""พรบ!BT34"")"),0)</f>
        <v>0</v>
      </c>
      <c r="X30" s="77">
        <f ca="1">IFERROR(__xludf.DUMMYFUNCTION("IMPORTRANGE(""https://docs.google.com/spreadsheets/d/1C3CXT74ZlgGe6_JY_1olB1XN4rF0dxEuIIF-xsYjHgg/edit?usp=sharing"",""พรบ!BU34"")"),0)</f>
        <v>0</v>
      </c>
      <c r="Y30" s="77">
        <f ca="1">IFERROR(__xludf.DUMMYFUNCTION("IMPORTRANGE(""https://docs.google.com/spreadsheets/d/1Yj_ptqi66GCucihVvJfMjLAmec39IyEx_6qawtMGysU/edit?usp=sharing"",""สบก!DA34"")"),0)</f>
        <v>0</v>
      </c>
      <c r="Z30" s="77">
        <f ca="1">IFERROR(__xludf.DUMMYFUNCTION("IMPORTRANGE(""https://docs.google.com/spreadsheets/d/1Yj_ptqi66GCucihVvJfMjLAmec39IyEx_6qawtMGysU/edit?usp=shDCing"",""สบก!DC34"")"),0)</f>
        <v>0</v>
      </c>
      <c r="AA30" s="77">
        <f t="shared" ca="1" si="14"/>
        <v>0</v>
      </c>
      <c r="AB30" s="137">
        <f t="shared" ca="1" si="15"/>
        <v>0</v>
      </c>
      <c r="AC30" s="77">
        <f ca="1">IFERROR(__xludf.DUMMYFUNCTION("IMPORTRANGE(""https://docs.google.com/spreadsheets/d/1Yj_ptqi66GCucihVvJfMjLAmec39IyEx_6qawtMGysU/edit?usp=sharing"",""สบก!DD34"")"),0)</f>
        <v>0</v>
      </c>
      <c r="AD30" s="137">
        <f t="shared" ca="1" si="16"/>
        <v>0</v>
      </c>
      <c r="AE30" s="137">
        <f t="shared" ca="1" si="17"/>
        <v>0</v>
      </c>
      <c r="AF30" s="137">
        <f ca="1">IFERROR(__xludf.DUMMYFUNCTION("IMPORTRANGE(""https://docs.google.com/spreadsheets/d/1Yj_ptqi66GCucihVvJfMjLAmec39IyEx_6qawtMGysU/edit?usp=sharing"",""สบก!DE34"")"),0)</f>
        <v>0</v>
      </c>
      <c r="AG30" s="137">
        <f t="shared" ca="1" si="18"/>
        <v>0</v>
      </c>
      <c r="AH30" s="77">
        <f ca="1">IFERROR(__xludf.DUMMYFUNCTION("IMPORTRANGE(""https://docs.google.com/spreadsheets/d/1C3CXT74ZlgGe6_JY_1olB1XN4rF0dxEuIIF-xsYjHgg/edit?usp=sharing"",""พรบ!BV34"")"),0)</f>
        <v>0</v>
      </c>
      <c r="AI30" s="77">
        <f ca="1">IFERROR(__xludf.DUMMYFUNCTION("IMPORTRANGE(""https://docs.google.com/spreadsheets/d/11923uPwbBZFjjGgGUA6NLw09EwE0CqkOc4q9oUmW1yo/edit?usp=sharing"",""สุโขทัย!j224"")"),0)</f>
        <v>0</v>
      </c>
      <c r="AJ30" s="137">
        <f t="shared" ca="1" si="20"/>
        <v>0</v>
      </c>
      <c r="AK30" s="114"/>
      <c r="AL30" s="114"/>
      <c r="AM30" s="114"/>
      <c r="AN30" s="114"/>
      <c r="AO30" s="114"/>
      <c r="AP30" s="114"/>
    </row>
    <row r="31" spans="1:42" ht="24" customHeight="1">
      <c r="A31" s="73">
        <v>16</v>
      </c>
      <c r="B31" s="74" t="s">
        <v>55</v>
      </c>
      <c r="C31" s="75">
        <f t="shared" ca="1" si="0"/>
        <v>0</v>
      </c>
      <c r="D31" s="76">
        <f t="shared" ca="1" si="41"/>
        <v>0</v>
      </c>
      <c r="E31" s="77">
        <f ca="1">IFERROR(__xludf.DUMMYFUNCTION("IMPORTRANGE(""https://docs.google.com/spreadsheets/d/1C3CXT74ZlgGe6_JY_1olB1XN4rF0dxEuIIF-xsYjHgg/edit?usp=sharing"",""พรบ!BO35"")"),0)</f>
        <v>0</v>
      </c>
      <c r="F31" s="77">
        <f ca="1">IFERROR(__xludf.DUMMYFUNCTION("IMPORTRANGE(""https://docs.google.com/spreadsheets/d/1C3CXT74ZlgGe6_JY_1olB1XN4rF0dxEuIIF-xsYjHgg/edit?usp=sharing"",""พรบ!BP35"")"),0)</f>
        <v>0</v>
      </c>
      <c r="G31" s="77">
        <f ca="1">IFERROR(__xludf.DUMMYFUNCTION("IMPORTRANGE(""https://docs.google.com/spreadsheets/d/1Yj_ptqi66GCucihVvJfMjLAmec39IyEx_6qawtMGysU/edit?usp=sharing"",""สบก!CR35"")"),0)</f>
        <v>0</v>
      </c>
      <c r="H31" s="77">
        <f ca="1">IFERROR(__xludf.DUMMYFUNCTION("IMPORTRANGE(""https://docs.google.com/spreadsheets/d/1Yj_ptqi66GCucihVvJfMjLAmec39IyEx_6qawtMGysU/edit?usp=shCTing"",""สบก!CT35"")"),0)</f>
        <v>0</v>
      </c>
      <c r="I31" s="77">
        <f t="shared" ca="1" si="3"/>
        <v>0</v>
      </c>
      <c r="J31" s="137">
        <f t="shared" ca="1" si="4"/>
        <v>0</v>
      </c>
      <c r="K31" s="77">
        <f ca="1">IFERROR(__xludf.DUMMYFUNCTION("IMPORTRANGE(""https://docs.google.com/spreadsheets/d/1Yj_ptqi66GCucihVvJfMjLAmec39IyEx_6qawtMGysU/edit?usp=sharing"",""สบก!CU35"")"),0)</f>
        <v>0</v>
      </c>
      <c r="L31" s="137">
        <f t="shared" ca="1" si="5"/>
        <v>0</v>
      </c>
      <c r="M31" s="137">
        <f t="shared" ca="1" si="6"/>
        <v>0</v>
      </c>
      <c r="N31" s="137">
        <f ca="1">IFERROR(__xludf.DUMMYFUNCTION("IMPORTRANGE(""https://docs.google.com/spreadsheets/d/1Yj_ptqi66GCucihVvJfMjLAmec39IyEx_6qawtMGysU/edit?usp=sharing"",""สบก!CV35"")"),0)</f>
        <v>0</v>
      </c>
      <c r="O31" s="137">
        <f t="shared" ca="1" si="7"/>
        <v>0</v>
      </c>
      <c r="P31" s="77">
        <f ca="1">IFERROR(__xludf.DUMMYFUNCTION("IMPORTRANGE(""https://docs.google.com/spreadsheets/d/1C3CXT74ZlgGe6_JY_1olB1XN4rF0dxEuIIF-xsYjHgg/edit?usp=sharing"",""พรบ!BQ35"")"),0)</f>
        <v>0</v>
      </c>
      <c r="Q31" s="77">
        <f ca="1">IFERROR(__xludf.DUMMYFUNCTION("IMPORTRANGE(""https://docs.google.com/spreadsheets/d/11923uPwbBZFjjGgGUA6NLw09EwE0CqkOc4q9oUmW1yo/edit?usp=sharing"",""อุตรดิตถ์!j209"")"),0)</f>
        <v>0</v>
      </c>
      <c r="R31" s="137">
        <f t="shared" ca="1" si="9"/>
        <v>0</v>
      </c>
      <c r="S31" s="77">
        <f ca="1">IFERROR(__xludf.DUMMYFUNCTION("IMPORTRANGE(""https://docs.google.com/spreadsheets/d/11923uPwbBZFjjGgGUA6NLw09EwE0CqkOc4q9oUmW1yo/edit?usp=sharing"",""อุตรดิตถ์!j211"")"),0)</f>
        <v>0</v>
      </c>
      <c r="T31" s="137">
        <f t="shared" ca="1" si="10"/>
        <v>0</v>
      </c>
      <c r="U31" s="75">
        <f t="shared" ca="1" si="11"/>
        <v>0</v>
      </c>
      <c r="V31" s="76">
        <f t="shared" ca="1" si="42"/>
        <v>0</v>
      </c>
      <c r="W31" s="77">
        <f ca="1">IFERROR(__xludf.DUMMYFUNCTION("IMPORTRANGE(""https://docs.google.com/spreadsheets/d/1C3CXT74ZlgGe6_JY_1olB1XN4rF0dxEuIIF-xsYjHgg/edit?usp=sharing"",""พรบ!BT35"")"),0)</f>
        <v>0</v>
      </c>
      <c r="X31" s="77">
        <f ca="1">IFERROR(__xludf.DUMMYFUNCTION("IMPORTRANGE(""https://docs.google.com/spreadsheets/d/1C3CXT74ZlgGe6_JY_1olB1XN4rF0dxEuIIF-xsYjHgg/edit?usp=sharing"",""พรบ!BU35"")"),0)</f>
        <v>0</v>
      </c>
      <c r="Y31" s="77">
        <f ca="1">IFERROR(__xludf.DUMMYFUNCTION("IMPORTRANGE(""https://docs.google.com/spreadsheets/d/1Yj_ptqi66GCucihVvJfMjLAmec39IyEx_6qawtMGysU/edit?usp=sharing"",""สบก!DA35"")"),0)</f>
        <v>0</v>
      </c>
      <c r="Z31" s="77">
        <f ca="1">IFERROR(__xludf.DUMMYFUNCTION("IMPORTRANGE(""https://docs.google.com/spreadsheets/d/1Yj_ptqi66GCucihVvJfMjLAmec39IyEx_6qawtMGysU/edit?usp=shDCing"",""สบก!DC35"")"),0)</f>
        <v>0</v>
      </c>
      <c r="AA31" s="77">
        <f t="shared" ca="1" si="14"/>
        <v>0</v>
      </c>
      <c r="AB31" s="137">
        <f t="shared" ca="1" si="15"/>
        <v>0</v>
      </c>
      <c r="AC31" s="77">
        <f ca="1">IFERROR(__xludf.DUMMYFUNCTION("IMPORTRANGE(""https://docs.google.com/spreadsheets/d/1Yj_ptqi66GCucihVvJfMjLAmec39IyEx_6qawtMGysU/edit?usp=sharing"",""สบก!DD35"")"),0)</f>
        <v>0</v>
      </c>
      <c r="AD31" s="137">
        <f t="shared" ca="1" si="16"/>
        <v>0</v>
      </c>
      <c r="AE31" s="137">
        <f t="shared" ca="1" si="17"/>
        <v>0</v>
      </c>
      <c r="AF31" s="137">
        <f ca="1">IFERROR(__xludf.DUMMYFUNCTION("IMPORTRANGE(""https://docs.google.com/spreadsheets/d/1Yj_ptqi66GCucihVvJfMjLAmec39IyEx_6qawtMGysU/edit?usp=sharing"",""สบก!DE35"")"),0)</f>
        <v>0</v>
      </c>
      <c r="AG31" s="137">
        <f t="shared" ca="1" si="18"/>
        <v>0</v>
      </c>
      <c r="AH31" s="77">
        <f ca="1">IFERROR(__xludf.DUMMYFUNCTION("IMPORTRANGE(""https://docs.google.com/spreadsheets/d/1C3CXT74ZlgGe6_JY_1olB1XN4rF0dxEuIIF-xsYjHgg/edit?usp=sharing"",""พรบ!BV35"")"),0)</f>
        <v>0</v>
      </c>
      <c r="AI31" s="77">
        <f ca="1">IFERROR(__xludf.DUMMYFUNCTION("IMPORTRANGE(""https://docs.google.com/spreadsheets/d/11923uPwbBZFjjGgGUA6NLw09EwE0CqkOc4q9oUmW1yo/edit?usp=sharing"",""อุตรดิตถ์!j224"")"),0)</f>
        <v>0</v>
      </c>
      <c r="AJ31" s="137">
        <f t="shared" ca="1" si="20"/>
        <v>0</v>
      </c>
      <c r="AK31" s="114"/>
      <c r="AL31" s="114"/>
      <c r="AM31" s="114"/>
      <c r="AN31" s="114"/>
      <c r="AO31" s="114"/>
      <c r="AP31" s="114"/>
    </row>
    <row r="32" spans="1:42" ht="24" customHeight="1">
      <c r="A32" s="84">
        <v>17</v>
      </c>
      <c r="B32" s="85" t="s">
        <v>56</v>
      </c>
      <c r="C32" s="86">
        <f t="shared" ca="1" si="0"/>
        <v>120760</v>
      </c>
      <c r="D32" s="87">
        <f t="shared" ca="1" si="41"/>
        <v>120760</v>
      </c>
      <c r="E32" s="88">
        <f ca="1">IFERROR(__xludf.DUMMYFUNCTION("IMPORTRANGE(""https://docs.google.com/spreadsheets/d/1C3CXT74ZlgGe6_JY_1olB1XN4rF0dxEuIIF-xsYjHgg/edit?usp=sharing"",""พรบ!BO36"")"),0)</f>
        <v>0</v>
      </c>
      <c r="F32" s="88">
        <f ca="1">IFERROR(__xludf.DUMMYFUNCTION("IMPORTRANGE(""https://docs.google.com/spreadsheets/d/1C3CXT74ZlgGe6_JY_1olB1XN4rF0dxEuIIF-xsYjHgg/edit?usp=sharing"",""พรบ!BP36"")"),120760)</f>
        <v>120760</v>
      </c>
      <c r="G32" s="88">
        <f ca="1">IFERROR(__xludf.DUMMYFUNCTION("IMPORTRANGE(""https://docs.google.com/spreadsheets/d/1Yj_ptqi66GCucihVvJfMjLAmec39IyEx_6qawtMGysU/edit?usp=sharing"",""สบก!CR36"")"),0)</f>
        <v>0</v>
      </c>
      <c r="H32" s="88">
        <f ca="1">IFERROR(__xludf.DUMMYFUNCTION("IMPORTRANGE(""https://docs.google.com/spreadsheets/d/1Yj_ptqi66GCucihVvJfMjLAmec39IyEx_6qawtMGysU/edit?usp=shCTing"",""สบก!CT36"")"),120760)</f>
        <v>120760</v>
      </c>
      <c r="I32" s="88">
        <f t="shared" ca="1" si="3"/>
        <v>18360</v>
      </c>
      <c r="J32" s="138">
        <f t="shared" ca="1" si="4"/>
        <v>15.203709837694602</v>
      </c>
      <c r="K32" s="88">
        <f ca="1">IFERROR(__xludf.DUMMYFUNCTION("IMPORTRANGE(""https://docs.google.com/spreadsheets/d/1Yj_ptqi66GCucihVvJfMjLAmec39IyEx_6qawtMGysU/edit?usp=sharing"",""สบก!CU36"")"),18360)</f>
        <v>18360</v>
      </c>
      <c r="L32" s="138">
        <f t="shared" ca="1" si="5"/>
        <v>15.203709837694602</v>
      </c>
      <c r="M32" s="138">
        <f t="shared" ca="1" si="6"/>
        <v>15.203709837694602</v>
      </c>
      <c r="N32" s="138">
        <f ca="1">IFERROR(__xludf.DUMMYFUNCTION("IMPORTRANGE(""https://docs.google.com/spreadsheets/d/1Yj_ptqi66GCucihVvJfMjLAmec39IyEx_6qawtMGysU/edit?usp=sharing"",""สบก!CV36"")"),0)</f>
        <v>0</v>
      </c>
      <c r="O32" s="138">
        <f t="shared" ca="1" si="7"/>
        <v>0</v>
      </c>
      <c r="P32" s="88">
        <f ca="1">IFERROR(__xludf.DUMMYFUNCTION("IMPORTRANGE(""https://docs.google.com/spreadsheets/d/1C3CXT74ZlgGe6_JY_1olB1XN4rF0dxEuIIF-xsYjHgg/edit?usp=sharing"",""พรบ!BQ36"")"),40)</f>
        <v>40</v>
      </c>
      <c r="Q32" s="88">
        <f ca="1">IFERROR(__xludf.DUMMYFUNCTION("IMPORTRANGE(""https://docs.google.com/spreadsheets/d/11923uPwbBZFjjGgGUA6NLw09EwE0CqkOc4q9oUmW1yo/edit?usp=sharing"",""อุทัยธานี!j209"")"),40)</f>
        <v>40</v>
      </c>
      <c r="R32" s="138">
        <f t="shared" ca="1" si="9"/>
        <v>100</v>
      </c>
      <c r="S32" s="88">
        <f ca="1">IFERROR(__xludf.DUMMYFUNCTION("IMPORTRANGE(""https://docs.google.com/spreadsheets/d/11923uPwbBZFjjGgGUA6NLw09EwE0CqkOc4q9oUmW1yo/edit?usp=sharing"",""อุทัยธานี!j211"")"),0)</f>
        <v>0</v>
      </c>
      <c r="T32" s="138">
        <f t="shared" ca="1" si="10"/>
        <v>0</v>
      </c>
      <c r="U32" s="86">
        <f t="shared" ca="1" si="11"/>
        <v>262600</v>
      </c>
      <c r="V32" s="87">
        <f t="shared" ca="1" si="42"/>
        <v>262600</v>
      </c>
      <c r="W32" s="88">
        <f ca="1">IFERROR(__xludf.DUMMYFUNCTION("IMPORTRANGE(""https://docs.google.com/spreadsheets/d/1C3CXT74ZlgGe6_JY_1olB1XN4rF0dxEuIIF-xsYjHgg/edit?usp=sharing"",""พรบ!BT36"")"),0)</f>
        <v>0</v>
      </c>
      <c r="X32" s="88">
        <f ca="1">IFERROR(__xludf.DUMMYFUNCTION("IMPORTRANGE(""https://docs.google.com/spreadsheets/d/1C3CXT74ZlgGe6_JY_1olB1XN4rF0dxEuIIF-xsYjHgg/edit?usp=sharing"",""พรบ!BU36"")"),262600)</f>
        <v>262600</v>
      </c>
      <c r="Y32" s="88">
        <f ca="1">IFERROR(__xludf.DUMMYFUNCTION("IMPORTRANGE(""https://docs.google.com/spreadsheets/d/1Yj_ptqi66GCucihVvJfMjLAmec39IyEx_6qawtMGysU/edit?usp=sharing"",""สบก!DA36"")"),0)</f>
        <v>0</v>
      </c>
      <c r="Z32" s="88">
        <f ca="1">IFERROR(__xludf.DUMMYFUNCTION("IMPORTRANGE(""https://docs.google.com/spreadsheets/d/1Yj_ptqi66GCucihVvJfMjLAmec39IyEx_6qawtMGysU/edit?usp=shDCing"",""สบก!DC36"")"),317000)</f>
        <v>317000</v>
      </c>
      <c r="AA32" s="88">
        <f t="shared" ca="1" si="14"/>
        <v>159390</v>
      </c>
      <c r="AB32" s="138">
        <f t="shared" ca="1" si="15"/>
        <v>60.696877380045699</v>
      </c>
      <c r="AC32" s="88">
        <f ca="1">IFERROR(__xludf.DUMMYFUNCTION("IMPORTRANGE(""https://docs.google.com/spreadsheets/d/1Yj_ptqi66GCucihVvJfMjLAmec39IyEx_6qawtMGysU/edit?usp=sharing"",""สบก!DD36"")"),159390)</f>
        <v>159390</v>
      </c>
      <c r="AD32" s="138">
        <f t="shared" ca="1" si="16"/>
        <v>60.696877380045699</v>
      </c>
      <c r="AE32" s="138">
        <f t="shared" ca="1" si="17"/>
        <v>50.280757097791799</v>
      </c>
      <c r="AF32" s="138">
        <f ca="1">IFERROR(__xludf.DUMMYFUNCTION("IMPORTRANGE(""https://docs.google.com/spreadsheets/d/1Yj_ptqi66GCucihVvJfMjLAmec39IyEx_6qawtMGysU/edit?usp=sharing"",""สบก!DE36"")"),0)</f>
        <v>0</v>
      </c>
      <c r="AG32" s="138">
        <f t="shared" ca="1" si="18"/>
        <v>0</v>
      </c>
      <c r="AH32" s="88">
        <f ca="1">IFERROR(__xludf.DUMMYFUNCTION("IMPORTRANGE(""https://docs.google.com/spreadsheets/d/1C3CXT74ZlgGe6_JY_1olB1XN4rF0dxEuIIF-xsYjHgg/edit?usp=sharing"",""พรบ!BV36"")"),1)</f>
        <v>1</v>
      </c>
      <c r="AI32" s="88">
        <f ca="1">IFERROR(__xludf.DUMMYFUNCTION("IMPORTRANGE(""https://docs.google.com/spreadsheets/d/11923uPwbBZFjjGgGUA6NLw09EwE0CqkOc4q9oUmW1yo/edit?usp=sharing"",""อุทัยธานี!j224"")"),1)</f>
        <v>1</v>
      </c>
      <c r="AJ32" s="138">
        <f t="shared" ca="1" si="20"/>
        <v>100</v>
      </c>
      <c r="AK32" s="114"/>
      <c r="AL32" s="114"/>
      <c r="AM32" s="114"/>
      <c r="AN32" s="114"/>
      <c r="AO32" s="114"/>
      <c r="AP32" s="114"/>
    </row>
    <row r="33" spans="1:42" ht="21" customHeight="1">
      <c r="A33" s="677" t="s">
        <v>57</v>
      </c>
      <c r="B33" s="678"/>
      <c r="C33" s="94">
        <f t="shared" ca="1" si="0"/>
        <v>147180</v>
      </c>
      <c r="D33" s="95">
        <f t="shared" ref="D33:H33" ca="1" si="43">SUM(D34:D53)</f>
        <v>147180</v>
      </c>
      <c r="E33" s="95">
        <f t="shared" ca="1" si="43"/>
        <v>0</v>
      </c>
      <c r="F33" s="95">
        <f t="shared" ca="1" si="43"/>
        <v>147180</v>
      </c>
      <c r="G33" s="95">
        <f t="shared" ca="1" si="43"/>
        <v>0</v>
      </c>
      <c r="H33" s="95">
        <f t="shared" ca="1" si="43"/>
        <v>147180</v>
      </c>
      <c r="I33" s="95">
        <f t="shared" ca="1" si="3"/>
        <v>52378</v>
      </c>
      <c r="J33" s="139">
        <f t="shared" ca="1" si="4"/>
        <v>35.587715722244873</v>
      </c>
      <c r="K33" s="95">
        <f ca="1">SUM(K34:K53)</f>
        <v>52378</v>
      </c>
      <c r="L33" s="139">
        <f t="shared" ca="1" si="5"/>
        <v>35.587715722244873</v>
      </c>
      <c r="M33" s="139">
        <f t="shared" ca="1" si="6"/>
        <v>35.587715722244873</v>
      </c>
      <c r="N33" s="139">
        <f ca="1">SUM(N34:N53)</f>
        <v>0</v>
      </c>
      <c r="O33" s="139">
        <f t="shared" ca="1" si="7"/>
        <v>0</v>
      </c>
      <c r="P33" s="95">
        <f t="shared" ref="P33:Q33" ca="1" si="44">SUM(P34:P53)</f>
        <v>35</v>
      </c>
      <c r="Q33" s="95">
        <f t="shared" ca="1" si="44"/>
        <v>20</v>
      </c>
      <c r="R33" s="139">
        <f t="shared" ca="1" si="9"/>
        <v>57.142857142857146</v>
      </c>
      <c r="S33" s="95">
        <f ca="1">SUM(S34:S53)</f>
        <v>0</v>
      </c>
      <c r="T33" s="139">
        <f t="shared" ca="1" si="10"/>
        <v>0</v>
      </c>
      <c r="U33" s="94">
        <f t="shared" ca="1" si="11"/>
        <v>665200</v>
      </c>
      <c r="V33" s="95">
        <f t="shared" ref="V33:Z33" ca="1" si="45">SUM(V34:V53)</f>
        <v>665200</v>
      </c>
      <c r="W33" s="95">
        <f t="shared" ca="1" si="45"/>
        <v>0</v>
      </c>
      <c r="X33" s="95">
        <f t="shared" ca="1" si="45"/>
        <v>665200</v>
      </c>
      <c r="Y33" s="95">
        <f t="shared" ca="1" si="45"/>
        <v>0</v>
      </c>
      <c r="Z33" s="95">
        <f t="shared" ca="1" si="45"/>
        <v>498900</v>
      </c>
      <c r="AA33" s="95">
        <f t="shared" ca="1" si="14"/>
        <v>222551.16</v>
      </c>
      <c r="AB33" s="139">
        <f t="shared" ca="1" si="15"/>
        <v>33.456277811184606</v>
      </c>
      <c r="AC33" s="95">
        <f ca="1">SUM(AC34:AC53)</f>
        <v>222551.16</v>
      </c>
      <c r="AD33" s="139">
        <f t="shared" ca="1" si="16"/>
        <v>33.456277811184606</v>
      </c>
      <c r="AE33" s="139">
        <f t="shared" ca="1" si="17"/>
        <v>44.608370414912805</v>
      </c>
      <c r="AF33" s="139">
        <f ca="1">SUM(AF34:AF53)</f>
        <v>0</v>
      </c>
      <c r="AG33" s="139">
        <f t="shared" ca="1" si="18"/>
        <v>0</v>
      </c>
      <c r="AH33" s="95">
        <f t="shared" ref="AH33:AI33" ca="1" si="46">SUM(AH34:AH53)</f>
        <v>3</v>
      </c>
      <c r="AI33" s="95">
        <f t="shared" ca="1" si="46"/>
        <v>2</v>
      </c>
      <c r="AJ33" s="139">
        <f t="shared" ca="1" si="20"/>
        <v>66.666666666666671</v>
      </c>
      <c r="AK33" s="114"/>
      <c r="AL33" s="114"/>
      <c r="AM33" s="114"/>
      <c r="AN33" s="114"/>
      <c r="AO33" s="114"/>
      <c r="AP33" s="114"/>
    </row>
    <row r="34" spans="1:42" ht="21" customHeight="1">
      <c r="A34" s="63">
        <v>1</v>
      </c>
      <c r="B34" s="64" t="s">
        <v>58</v>
      </c>
      <c r="C34" s="65">
        <f t="shared" ca="1" si="0"/>
        <v>72260</v>
      </c>
      <c r="D34" s="66">
        <f t="shared" ref="D34:D53" ca="1" si="47">+E34+F34</f>
        <v>72260</v>
      </c>
      <c r="E34" s="67">
        <f ca="1">IFERROR(__xludf.DUMMYFUNCTION("IMPORTRANGE(""https://docs.google.com/spreadsheets/d/1C3CXT74ZlgGe6_JY_1olB1XN4rF0dxEuIIF-xsYjHgg/edit?usp=sharing"",""พรบ!BO38"")"),0)</f>
        <v>0</v>
      </c>
      <c r="F34" s="67">
        <f ca="1">IFERROR(__xludf.DUMMYFUNCTION("IMPORTRANGE(""https://docs.google.com/spreadsheets/d/1C3CXT74ZlgGe6_JY_1olB1XN4rF0dxEuIIF-xsYjHgg/edit?usp=sharing"",""พรบ!BP38"")"),72260)</f>
        <v>72260</v>
      </c>
      <c r="G34" s="67">
        <f ca="1">IFERROR(__xludf.DUMMYFUNCTION("IMPORTRANGE(""https://docs.google.com/spreadsheets/d/1Yj_ptqi66GCucihVvJfMjLAmec39IyEx_6qawtMGysU/edit?usp=sharing"",""สบก!CR38"")"),0)</f>
        <v>0</v>
      </c>
      <c r="H34" s="67">
        <f ca="1">IFERROR(__xludf.DUMMYFUNCTION("IMPORTRANGE(""https://docs.google.com/spreadsheets/d/1Yj_ptqi66GCucihVvJfMjLAmec39IyEx_6qawtMGysU/edit?usp=shCTing"",""สบก!CT38"")"),72260)</f>
        <v>72260</v>
      </c>
      <c r="I34" s="67">
        <f t="shared" ca="1" si="3"/>
        <v>15310</v>
      </c>
      <c r="J34" s="136">
        <f t="shared" ca="1" si="4"/>
        <v>21.187378909493496</v>
      </c>
      <c r="K34" s="67">
        <f ca="1">IFERROR(__xludf.DUMMYFUNCTION("IMPORTRANGE(""https://docs.google.com/spreadsheets/d/1Yj_ptqi66GCucihVvJfMjLAmec39IyEx_6qawtMGysU/edit?usp=sharing"",""สบก!CU38"")"),15310)</f>
        <v>15310</v>
      </c>
      <c r="L34" s="136">
        <f t="shared" ca="1" si="5"/>
        <v>21.187378909493496</v>
      </c>
      <c r="M34" s="136">
        <f t="shared" ca="1" si="6"/>
        <v>21.187378909493496</v>
      </c>
      <c r="N34" s="136">
        <f ca="1">IFERROR(__xludf.DUMMYFUNCTION("IMPORTRANGE(""https://docs.google.com/spreadsheets/d/1Yj_ptqi66GCucihVvJfMjLAmec39IyEx_6qawtMGysU/edit?usp=sharing"",""สบก!CV38"")"),0)</f>
        <v>0</v>
      </c>
      <c r="O34" s="136">
        <f t="shared" ca="1" si="7"/>
        <v>0</v>
      </c>
      <c r="P34" s="67">
        <f ca="1">IFERROR(__xludf.DUMMYFUNCTION("IMPORTRANGE(""https://docs.google.com/spreadsheets/d/1C3CXT74ZlgGe6_JY_1olB1XN4rF0dxEuIIF-xsYjHgg/edit?usp=sharing"",""พรบ!BQ38"")"),15)</f>
        <v>15</v>
      </c>
      <c r="Q34" s="67">
        <f ca="1">IFERROR(__xludf.DUMMYFUNCTION("IMPORTRANGE(""https://docs.google.com/spreadsheets/d/1XL5vhW3sbDhbH9Cz0tuDiY8C3ctxq1tqvaCgkFb8cCA/edit?usp=sharing"",""กาฬสินธุ์!j209"")"),0)</f>
        <v>0</v>
      </c>
      <c r="R34" s="136">
        <f t="shared" ca="1" si="9"/>
        <v>0</v>
      </c>
      <c r="S34" s="67">
        <f ca="1">IFERROR(__xludf.DUMMYFUNCTION("IMPORTRANGE(""https://docs.google.com/spreadsheets/d/1XL5vhW3sbDhbH9Cz0tuDiY8C3ctxq1tqvaCgkFb8cCA/edit?usp=sharing"",""กาฬสินธุ์!j211"")"),0)</f>
        <v>0</v>
      </c>
      <c r="T34" s="136">
        <f t="shared" ca="1" si="10"/>
        <v>0</v>
      </c>
      <c r="U34" s="65">
        <f t="shared" ca="1" si="11"/>
        <v>217600</v>
      </c>
      <c r="V34" s="66">
        <f t="shared" ref="V34:V53" ca="1" si="48">+W34+X34</f>
        <v>217600</v>
      </c>
      <c r="W34" s="67">
        <f ca="1">IFERROR(__xludf.DUMMYFUNCTION("IMPORTRANGE(""https://docs.google.com/spreadsheets/d/1C3CXT74ZlgGe6_JY_1olB1XN4rF0dxEuIIF-xsYjHgg/edit?usp=sharing"",""พรบ!BT38"")"),0)</f>
        <v>0</v>
      </c>
      <c r="X34" s="67">
        <f ca="1">IFERROR(__xludf.DUMMYFUNCTION("IMPORTRANGE(""https://docs.google.com/spreadsheets/d/1C3CXT74ZlgGe6_JY_1olB1XN4rF0dxEuIIF-xsYjHgg/edit?usp=sharing"",""พรบ!BU38"")"),217600)</f>
        <v>217600</v>
      </c>
      <c r="Y34" s="67">
        <f ca="1">IFERROR(__xludf.DUMMYFUNCTION("IMPORTRANGE(""https://docs.google.com/spreadsheets/d/1Yj_ptqi66GCucihVvJfMjLAmec39IyEx_6qawtMGysU/edit?usp=sharing"",""สบก!DA38"")"),0)</f>
        <v>0</v>
      </c>
      <c r="Z34" s="67">
        <f ca="1">IFERROR(__xludf.DUMMYFUNCTION("IMPORTRANGE(""https://docs.google.com/spreadsheets/d/1Yj_ptqi66GCucihVvJfMjLAmec39IyEx_6qawtMGysU/edit?usp=shDCing"",""สบก!DC38"")"),163200)</f>
        <v>163200</v>
      </c>
      <c r="AA34" s="67">
        <f t="shared" ca="1" si="14"/>
        <v>71565</v>
      </c>
      <c r="AB34" s="136">
        <f t="shared" ca="1" si="15"/>
        <v>32.888327205882355</v>
      </c>
      <c r="AC34" s="67">
        <f ca="1">IFERROR(__xludf.DUMMYFUNCTION("IMPORTRANGE(""https://docs.google.com/spreadsheets/d/1Yj_ptqi66GCucihVvJfMjLAmec39IyEx_6qawtMGysU/edit?usp=sharing"",""สบก!DD38"")"),71565)</f>
        <v>71565</v>
      </c>
      <c r="AD34" s="136">
        <f t="shared" ca="1" si="16"/>
        <v>32.888327205882355</v>
      </c>
      <c r="AE34" s="136">
        <f t="shared" ca="1" si="17"/>
        <v>43.851102941176471</v>
      </c>
      <c r="AF34" s="136">
        <f ca="1">IFERROR(__xludf.DUMMYFUNCTION("IMPORTRANGE(""https://docs.google.com/spreadsheets/d/1Yj_ptqi66GCucihVvJfMjLAmec39IyEx_6qawtMGysU/edit?usp=sharing"",""สบก!DE38"")"),0)</f>
        <v>0</v>
      </c>
      <c r="AG34" s="136">
        <f t="shared" ca="1" si="18"/>
        <v>0</v>
      </c>
      <c r="AH34" s="67">
        <f ca="1">IFERROR(__xludf.DUMMYFUNCTION("IMPORTRANGE(""https://docs.google.com/spreadsheets/d/1C3CXT74ZlgGe6_JY_1olB1XN4rF0dxEuIIF-xsYjHgg/edit?usp=sharing"",""พรบ!BV38"")"),1)</f>
        <v>1</v>
      </c>
      <c r="AI34" s="67">
        <f ca="1">IFERROR(__xludf.DUMMYFUNCTION("IMPORTRANGE(""https://docs.google.com/spreadsheets/d/1XL5vhW3sbDhbH9Cz0tuDiY8C3ctxq1tqvaCgkFb8cCA/edit?usp=sharing"",""กาฬสินธุ์!j224"")"),0)</f>
        <v>0</v>
      </c>
      <c r="AJ34" s="136">
        <f t="shared" ca="1" si="20"/>
        <v>0</v>
      </c>
      <c r="AK34" s="114"/>
      <c r="AL34" s="114"/>
      <c r="AM34" s="114"/>
      <c r="AN34" s="114"/>
      <c r="AO34" s="114"/>
      <c r="AP34" s="114"/>
    </row>
    <row r="35" spans="1:42" ht="21" customHeight="1">
      <c r="A35" s="73">
        <v>2</v>
      </c>
      <c r="B35" s="74" t="s">
        <v>59</v>
      </c>
      <c r="C35" s="75">
        <f t="shared" ca="1" si="0"/>
        <v>0</v>
      </c>
      <c r="D35" s="76">
        <f t="shared" ca="1" si="47"/>
        <v>0</v>
      </c>
      <c r="E35" s="77">
        <f ca="1">IFERROR(__xludf.DUMMYFUNCTION("IMPORTRANGE(""https://docs.google.com/spreadsheets/d/1C3CXT74ZlgGe6_JY_1olB1XN4rF0dxEuIIF-xsYjHgg/edit?usp=sharing"",""พรบ!BO39"")"),0)</f>
        <v>0</v>
      </c>
      <c r="F35" s="77">
        <f ca="1">IFERROR(__xludf.DUMMYFUNCTION("IMPORTRANGE(""https://docs.google.com/spreadsheets/d/1C3CXT74ZlgGe6_JY_1olB1XN4rF0dxEuIIF-xsYjHgg/edit?usp=sharing"",""พรบ!BP39"")"),0)</f>
        <v>0</v>
      </c>
      <c r="G35" s="77">
        <f ca="1">IFERROR(__xludf.DUMMYFUNCTION("IMPORTRANGE(""https://docs.google.com/spreadsheets/d/1Yj_ptqi66GCucihVvJfMjLAmec39IyEx_6qawtMGysU/edit?usp=sharing"",""สบก!CR39"")"),0)</f>
        <v>0</v>
      </c>
      <c r="H35" s="77">
        <f ca="1">IFERROR(__xludf.DUMMYFUNCTION("IMPORTRANGE(""https://docs.google.com/spreadsheets/d/1Yj_ptqi66GCucihVvJfMjLAmec39IyEx_6qawtMGysU/edit?usp=shCTing"",""สบก!CT39"")"),0)</f>
        <v>0</v>
      </c>
      <c r="I35" s="77">
        <f t="shared" ca="1" si="3"/>
        <v>0</v>
      </c>
      <c r="J35" s="137">
        <f t="shared" ca="1" si="4"/>
        <v>0</v>
      </c>
      <c r="K35" s="77">
        <f ca="1">IFERROR(__xludf.DUMMYFUNCTION("IMPORTRANGE(""https://docs.google.com/spreadsheets/d/1Yj_ptqi66GCucihVvJfMjLAmec39IyEx_6qawtMGysU/edit?usp=sharing"",""สบก!CU39"")"),0)</f>
        <v>0</v>
      </c>
      <c r="L35" s="137">
        <f t="shared" ca="1" si="5"/>
        <v>0</v>
      </c>
      <c r="M35" s="137">
        <f t="shared" ca="1" si="6"/>
        <v>0</v>
      </c>
      <c r="N35" s="137">
        <f ca="1">IFERROR(__xludf.DUMMYFUNCTION("IMPORTRANGE(""https://docs.google.com/spreadsheets/d/1Yj_ptqi66GCucihVvJfMjLAmec39IyEx_6qawtMGysU/edit?usp=sharing"",""สบก!CV39"")"),0)</f>
        <v>0</v>
      </c>
      <c r="O35" s="137">
        <f t="shared" ca="1" si="7"/>
        <v>0</v>
      </c>
      <c r="P35" s="77">
        <f ca="1">IFERROR(__xludf.DUMMYFUNCTION("IMPORTRANGE(""https://docs.google.com/spreadsheets/d/1C3CXT74ZlgGe6_JY_1olB1XN4rF0dxEuIIF-xsYjHgg/edit?usp=sharing"",""พรบ!BQ39"")"),0)</f>
        <v>0</v>
      </c>
      <c r="Q35" s="77">
        <f ca="1">IFERROR(__xludf.DUMMYFUNCTION("IMPORTRANGE(""https://docs.google.com/spreadsheets/d/1XL5vhW3sbDhbH9Cz0tuDiY8C3ctxq1tqvaCgkFb8cCA/edit?usp=sharing"",""ขอนแก่น!j209"")"),0)</f>
        <v>0</v>
      </c>
      <c r="R35" s="137">
        <f t="shared" ca="1" si="9"/>
        <v>0</v>
      </c>
      <c r="S35" s="77">
        <f ca="1">IFERROR(__xludf.DUMMYFUNCTION("IMPORTRANGE(""https://docs.google.com/spreadsheets/d/1XL5vhW3sbDhbH9Cz0tuDiY8C3ctxq1tqvaCgkFb8cCA/edit?usp=sharing"",""ขอนแก่น!j211"")"),0)</f>
        <v>0</v>
      </c>
      <c r="T35" s="137">
        <f t="shared" ca="1" si="10"/>
        <v>0</v>
      </c>
      <c r="U35" s="75">
        <f t="shared" ca="1" si="11"/>
        <v>0</v>
      </c>
      <c r="V35" s="76">
        <f t="shared" ca="1" si="48"/>
        <v>0</v>
      </c>
      <c r="W35" s="77">
        <f ca="1">IFERROR(__xludf.DUMMYFUNCTION("IMPORTRANGE(""https://docs.google.com/spreadsheets/d/1C3CXT74ZlgGe6_JY_1olB1XN4rF0dxEuIIF-xsYjHgg/edit?usp=sharing"",""พรบ!BT39"")"),0)</f>
        <v>0</v>
      </c>
      <c r="X35" s="77">
        <f ca="1">IFERROR(__xludf.DUMMYFUNCTION("IMPORTRANGE(""https://docs.google.com/spreadsheets/d/1C3CXT74ZlgGe6_JY_1olB1XN4rF0dxEuIIF-xsYjHgg/edit?usp=sharing"",""พรบ!BU39"")"),0)</f>
        <v>0</v>
      </c>
      <c r="Y35" s="77">
        <f ca="1">IFERROR(__xludf.DUMMYFUNCTION("IMPORTRANGE(""https://docs.google.com/spreadsheets/d/1Yj_ptqi66GCucihVvJfMjLAmec39IyEx_6qawtMGysU/edit?usp=sharing"",""สบก!DA39"")"),0)</f>
        <v>0</v>
      </c>
      <c r="Z35" s="77">
        <f ca="1">IFERROR(__xludf.DUMMYFUNCTION("IMPORTRANGE(""https://docs.google.com/spreadsheets/d/1Yj_ptqi66GCucihVvJfMjLAmec39IyEx_6qawtMGysU/edit?usp=shDCing"",""สบก!DC39"")"),0)</f>
        <v>0</v>
      </c>
      <c r="AA35" s="77">
        <f t="shared" ca="1" si="14"/>
        <v>0</v>
      </c>
      <c r="AB35" s="137">
        <f t="shared" ca="1" si="15"/>
        <v>0</v>
      </c>
      <c r="AC35" s="77">
        <f ca="1">IFERROR(__xludf.DUMMYFUNCTION("IMPORTRANGE(""https://docs.google.com/spreadsheets/d/1Yj_ptqi66GCucihVvJfMjLAmec39IyEx_6qawtMGysU/edit?usp=sharing"",""สบก!DD39"")"),0)</f>
        <v>0</v>
      </c>
      <c r="AD35" s="137">
        <f t="shared" ca="1" si="16"/>
        <v>0</v>
      </c>
      <c r="AE35" s="137">
        <f t="shared" ca="1" si="17"/>
        <v>0</v>
      </c>
      <c r="AF35" s="137">
        <f ca="1">IFERROR(__xludf.DUMMYFUNCTION("IMPORTRANGE(""https://docs.google.com/spreadsheets/d/1Yj_ptqi66GCucihVvJfMjLAmec39IyEx_6qawtMGysU/edit?usp=sharing"",""สบก!DE39"")"),0)</f>
        <v>0</v>
      </c>
      <c r="AG35" s="137">
        <f t="shared" ca="1" si="18"/>
        <v>0</v>
      </c>
      <c r="AH35" s="77">
        <f ca="1">IFERROR(__xludf.DUMMYFUNCTION("IMPORTRANGE(""https://docs.google.com/spreadsheets/d/1C3CXT74ZlgGe6_JY_1olB1XN4rF0dxEuIIF-xsYjHgg/edit?usp=sharing"",""พรบ!BV39"")"),0)</f>
        <v>0</v>
      </c>
      <c r="AI35" s="77">
        <f ca="1">IFERROR(__xludf.DUMMYFUNCTION("IMPORTRANGE(""https://docs.google.com/spreadsheets/d/1XL5vhW3sbDhbH9Cz0tuDiY8C3ctxq1tqvaCgkFb8cCA/edit?usp=sharing"",""ขอนแก่น!j224"")"),0)</f>
        <v>0</v>
      </c>
      <c r="AJ35" s="137">
        <f t="shared" ca="1" si="20"/>
        <v>0</v>
      </c>
      <c r="AK35" s="114"/>
      <c r="AL35" s="114"/>
      <c r="AM35" s="114"/>
      <c r="AN35" s="114"/>
      <c r="AO35" s="114"/>
      <c r="AP35" s="114"/>
    </row>
    <row r="36" spans="1:42" ht="21" customHeight="1">
      <c r="A36" s="73">
        <v>3</v>
      </c>
      <c r="B36" s="74" t="s">
        <v>60</v>
      </c>
      <c r="C36" s="75">
        <f t="shared" ca="1" si="0"/>
        <v>0</v>
      </c>
      <c r="D36" s="76">
        <f t="shared" ca="1" si="47"/>
        <v>0</v>
      </c>
      <c r="E36" s="77">
        <f ca="1">IFERROR(__xludf.DUMMYFUNCTION("IMPORTRANGE(""https://docs.google.com/spreadsheets/d/1C3CXT74ZlgGe6_JY_1olB1XN4rF0dxEuIIF-xsYjHgg/edit?usp=sharing"",""พรบ!BO40"")"),0)</f>
        <v>0</v>
      </c>
      <c r="F36" s="77">
        <f ca="1">IFERROR(__xludf.DUMMYFUNCTION("IMPORTRANGE(""https://docs.google.com/spreadsheets/d/1C3CXT74ZlgGe6_JY_1olB1XN4rF0dxEuIIF-xsYjHgg/edit?usp=sharing"",""พรบ!BP40"")"),0)</f>
        <v>0</v>
      </c>
      <c r="G36" s="77">
        <f ca="1">IFERROR(__xludf.DUMMYFUNCTION("IMPORTRANGE(""https://docs.google.com/spreadsheets/d/1Yj_ptqi66GCucihVvJfMjLAmec39IyEx_6qawtMGysU/edit?usp=sharing"",""สบก!CR40"")"),0)</f>
        <v>0</v>
      </c>
      <c r="H36" s="77">
        <f ca="1">IFERROR(__xludf.DUMMYFUNCTION("IMPORTRANGE(""https://docs.google.com/spreadsheets/d/1Yj_ptqi66GCucihVvJfMjLAmec39IyEx_6qawtMGysU/edit?usp=shCTing"",""สบก!CT40"")"),0)</f>
        <v>0</v>
      </c>
      <c r="I36" s="77">
        <f t="shared" ca="1" si="3"/>
        <v>0</v>
      </c>
      <c r="J36" s="137">
        <f t="shared" ca="1" si="4"/>
        <v>0</v>
      </c>
      <c r="K36" s="77">
        <f ca="1">IFERROR(__xludf.DUMMYFUNCTION("IMPORTRANGE(""https://docs.google.com/spreadsheets/d/1Yj_ptqi66GCucihVvJfMjLAmec39IyEx_6qawtMGysU/edit?usp=sharing"",""สบก!CU40"")"),0)</f>
        <v>0</v>
      </c>
      <c r="L36" s="137">
        <f t="shared" ca="1" si="5"/>
        <v>0</v>
      </c>
      <c r="M36" s="137">
        <f t="shared" ca="1" si="6"/>
        <v>0</v>
      </c>
      <c r="N36" s="137">
        <f ca="1">IFERROR(__xludf.DUMMYFUNCTION("IMPORTRANGE(""https://docs.google.com/spreadsheets/d/1Yj_ptqi66GCucihVvJfMjLAmec39IyEx_6qawtMGysU/edit?usp=sharing"",""สบก!CV40"")"),0)</f>
        <v>0</v>
      </c>
      <c r="O36" s="137">
        <f t="shared" ca="1" si="7"/>
        <v>0</v>
      </c>
      <c r="P36" s="77">
        <f ca="1">IFERROR(__xludf.DUMMYFUNCTION("IMPORTRANGE(""https://docs.google.com/spreadsheets/d/1C3CXT74ZlgGe6_JY_1olB1XN4rF0dxEuIIF-xsYjHgg/edit?usp=sharing"",""พรบ!BQ40"")"),0)</f>
        <v>0</v>
      </c>
      <c r="Q36" s="77">
        <f ca="1">IFERROR(__xludf.DUMMYFUNCTION("IMPORTRANGE(""https://docs.google.com/spreadsheets/d/1XL5vhW3sbDhbH9Cz0tuDiY8C3ctxq1tqvaCgkFb8cCA/edit?usp=sharing"",""ชัยภูมิ!j209"")"),0)</f>
        <v>0</v>
      </c>
      <c r="R36" s="137">
        <f t="shared" ca="1" si="9"/>
        <v>0</v>
      </c>
      <c r="S36" s="77">
        <f ca="1">IFERROR(__xludf.DUMMYFUNCTION("IMPORTRANGE(""https://docs.google.com/spreadsheets/d/1XL5vhW3sbDhbH9Cz0tuDiY8C3ctxq1tqvaCgkFb8cCA/edit?usp=sharing"",""ชัยภูมิ!j211"")"),0)</f>
        <v>0</v>
      </c>
      <c r="T36" s="137">
        <f t="shared" ca="1" si="10"/>
        <v>0</v>
      </c>
      <c r="U36" s="75">
        <f t="shared" ca="1" si="11"/>
        <v>0</v>
      </c>
      <c r="V36" s="76">
        <f t="shared" ca="1" si="48"/>
        <v>0</v>
      </c>
      <c r="W36" s="77">
        <f ca="1">IFERROR(__xludf.DUMMYFUNCTION("IMPORTRANGE(""https://docs.google.com/spreadsheets/d/1C3CXT74ZlgGe6_JY_1olB1XN4rF0dxEuIIF-xsYjHgg/edit?usp=sharing"",""พรบ!BT40"")"),0)</f>
        <v>0</v>
      </c>
      <c r="X36" s="77">
        <f ca="1">IFERROR(__xludf.DUMMYFUNCTION("IMPORTRANGE(""https://docs.google.com/spreadsheets/d/1C3CXT74ZlgGe6_JY_1olB1XN4rF0dxEuIIF-xsYjHgg/edit?usp=sharing"",""พรบ!BU40"")"),0)</f>
        <v>0</v>
      </c>
      <c r="Y36" s="77">
        <f ca="1">IFERROR(__xludf.DUMMYFUNCTION("IMPORTRANGE(""https://docs.google.com/spreadsheets/d/1Yj_ptqi66GCucihVvJfMjLAmec39IyEx_6qawtMGysU/edit?usp=sharing"",""สบก!DA40"")"),0)</f>
        <v>0</v>
      </c>
      <c r="Z36" s="77">
        <f ca="1">IFERROR(__xludf.DUMMYFUNCTION("IMPORTRANGE(""https://docs.google.com/spreadsheets/d/1Yj_ptqi66GCucihVvJfMjLAmec39IyEx_6qawtMGysU/edit?usp=shDCing"",""สบก!DC40"")"),0)</f>
        <v>0</v>
      </c>
      <c r="AA36" s="77">
        <f t="shared" ca="1" si="14"/>
        <v>0</v>
      </c>
      <c r="AB36" s="137">
        <f t="shared" ca="1" si="15"/>
        <v>0</v>
      </c>
      <c r="AC36" s="77">
        <f ca="1">IFERROR(__xludf.DUMMYFUNCTION("IMPORTRANGE(""https://docs.google.com/spreadsheets/d/1Yj_ptqi66GCucihVvJfMjLAmec39IyEx_6qawtMGysU/edit?usp=sharing"",""สบก!DD40"")"),0)</f>
        <v>0</v>
      </c>
      <c r="AD36" s="137">
        <f t="shared" ca="1" si="16"/>
        <v>0</v>
      </c>
      <c r="AE36" s="137">
        <f t="shared" ca="1" si="17"/>
        <v>0</v>
      </c>
      <c r="AF36" s="137">
        <f ca="1">IFERROR(__xludf.DUMMYFUNCTION("IMPORTRANGE(""https://docs.google.com/spreadsheets/d/1Yj_ptqi66GCucihVvJfMjLAmec39IyEx_6qawtMGysU/edit?usp=sharing"",""สบก!DE40"")"),0)</f>
        <v>0</v>
      </c>
      <c r="AG36" s="137">
        <f t="shared" ca="1" si="18"/>
        <v>0</v>
      </c>
      <c r="AH36" s="77">
        <f ca="1">IFERROR(__xludf.DUMMYFUNCTION("IMPORTRANGE(""https://docs.google.com/spreadsheets/d/1C3CXT74ZlgGe6_JY_1olB1XN4rF0dxEuIIF-xsYjHgg/edit?usp=sharing"",""พรบ!BV40"")"),0)</f>
        <v>0</v>
      </c>
      <c r="AI36" s="77">
        <f ca="1">IFERROR(__xludf.DUMMYFUNCTION("IMPORTRANGE(""https://docs.google.com/spreadsheets/d/1XL5vhW3sbDhbH9Cz0tuDiY8C3ctxq1tqvaCgkFb8cCA/edit?usp=sharing"",""ชัยภูมิ!j224"")"),0)</f>
        <v>0</v>
      </c>
      <c r="AJ36" s="137">
        <f t="shared" ca="1" si="20"/>
        <v>0</v>
      </c>
      <c r="AK36" s="114"/>
      <c r="AL36" s="114"/>
      <c r="AM36" s="114"/>
      <c r="AN36" s="114"/>
      <c r="AO36" s="114"/>
      <c r="AP36" s="114"/>
    </row>
    <row r="37" spans="1:42" ht="21" customHeight="1">
      <c r="A37" s="73">
        <v>4</v>
      </c>
      <c r="B37" s="74" t="s">
        <v>61</v>
      </c>
      <c r="C37" s="75">
        <f t="shared" ca="1" si="0"/>
        <v>0</v>
      </c>
      <c r="D37" s="76">
        <f t="shared" ca="1" si="47"/>
        <v>0</v>
      </c>
      <c r="E37" s="77">
        <f ca="1">IFERROR(__xludf.DUMMYFUNCTION("IMPORTRANGE(""https://docs.google.com/spreadsheets/d/1C3CXT74ZlgGe6_JY_1olB1XN4rF0dxEuIIF-xsYjHgg/edit?usp=sharing"",""พรบ!BO41"")"),0)</f>
        <v>0</v>
      </c>
      <c r="F37" s="77">
        <f ca="1">IFERROR(__xludf.DUMMYFUNCTION("IMPORTRANGE(""https://docs.google.com/spreadsheets/d/1C3CXT74ZlgGe6_JY_1olB1XN4rF0dxEuIIF-xsYjHgg/edit?usp=sharing"",""พรบ!BP41"")"),0)</f>
        <v>0</v>
      </c>
      <c r="G37" s="77">
        <f ca="1">IFERROR(__xludf.DUMMYFUNCTION("IMPORTRANGE(""https://docs.google.com/spreadsheets/d/1Yj_ptqi66GCucihVvJfMjLAmec39IyEx_6qawtMGysU/edit?usp=sharing"",""สบก!CR41"")"),0)</f>
        <v>0</v>
      </c>
      <c r="H37" s="77">
        <f ca="1">IFERROR(__xludf.DUMMYFUNCTION("IMPORTRANGE(""https://docs.google.com/spreadsheets/d/1Yj_ptqi66GCucihVvJfMjLAmec39IyEx_6qawtMGysU/edit?usp=shCTing"",""สบก!CT41"")"),0)</f>
        <v>0</v>
      </c>
      <c r="I37" s="77">
        <f t="shared" ca="1" si="3"/>
        <v>0</v>
      </c>
      <c r="J37" s="137">
        <f t="shared" ca="1" si="4"/>
        <v>0</v>
      </c>
      <c r="K37" s="77">
        <f ca="1">IFERROR(__xludf.DUMMYFUNCTION("IMPORTRANGE(""https://docs.google.com/spreadsheets/d/1Yj_ptqi66GCucihVvJfMjLAmec39IyEx_6qawtMGysU/edit?usp=sharing"",""สบก!CU41"")"),0)</f>
        <v>0</v>
      </c>
      <c r="L37" s="137">
        <f t="shared" ca="1" si="5"/>
        <v>0</v>
      </c>
      <c r="M37" s="137">
        <f t="shared" ca="1" si="6"/>
        <v>0</v>
      </c>
      <c r="N37" s="137">
        <f ca="1">IFERROR(__xludf.DUMMYFUNCTION("IMPORTRANGE(""https://docs.google.com/spreadsheets/d/1Yj_ptqi66GCucihVvJfMjLAmec39IyEx_6qawtMGysU/edit?usp=sharing"",""สบก!CV41"")"),0)</f>
        <v>0</v>
      </c>
      <c r="O37" s="137">
        <f t="shared" ca="1" si="7"/>
        <v>0</v>
      </c>
      <c r="P37" s="77">
        <f ca="1">IFERROR(__xludf.DUMMYFUNCTION("IMPORTRANGE(""https://docs.google.com/spreadsheets/d/1C3CXT74ZlgGe6_JY_1olB1XN4rF0dxEuIIF-xsYjHgg/edit?usp=sharing"",""พรบ!BQ41"")"),0)</f>
        <v>0</v>
      </c>
      <c r="Q37" s="77">
        <f ca="1">IFERROR(__xludf.DUMMYFUNCTION("IMPORTRANGE(""https://docs.google.com/spreadsheets/d/1XL5vhW3sbDhbH9Cz0tuDiY8C3ctxq1tqvaCgkFb8cCA/edit?usp=sharing"",""นครพนม!j209"")"),0)</f>
        <v>0</v>
      </c>
      <c r="R37" s="137">
        <f t="shared" ca="1" si="9"/>
        <v>0</v>
      </c>
      <c r="S37" s="77">
        <f ca="1">IFERROR(__xludf.DUMMYFUNCTION("IMPORTRANGE(""https://docs.google.com/spreadsheets/d/1XL5vhW3sbDhbH9Cz0tuDiY8C3ctxq1tqvaCgkFb8cCA/edit?usp=sharing"",""นครพนม!j211"")"),0)</f>
        <v>0</v>
      </c>
      <c r="T37" s="137">
        <f t="shared" ca="1" si="10"/>
        <v>0</v>
      </c>
      <c r="U37" s="75">
        <f t="shared" ca="1" si="11"/>
        <v>0</v>
      </c>
      <c r="V37" s="76">
        <f t="shared" ca="1" si="48"/>
        <v>0</v>
      </c>
      <c r="W37" s="77">
        <f ca="1">IFERROR(__xludf.DUMMYFUNCTION("IMPORTRANGE(""https://docs.google.com/spreadsheets/d/1C3CXT74ZlgGe6_JY_1olB1XN4rF0dxEuIIF-xsYjHgg/edit?usp=sharing"",""พรบ!BT41"")"),0)</f>
        <v>0</v>
      </c>
      <c r="X37" s="77">
        <f ca="1">IFERROR(__xludf.DUMMYFUNCTION("IMPORTRANGE(""https://docs.google.com/spreadsheets/d/1C3CXT74ZlgGe6_JY_1olB1XN4rF0dxEuIIF-xsYjHgg/edit?usp=sharing"",""พรบ!BU41"")"),0)</f>
        <v>0</v>
      </c>
      <c r="Y37" s="77">
        <f ca="1">IFERROR(__xludf.DUMMYFUNCTION("IMPORTRANGE(""https://docs.google.com/spreadsheets/d/1Yj_ptqi66GCucihVvJfMjLAmec39IyEx_6qawtMGysU/edit?usp=sharing"",""สบก!DA41"")"),0)</f>
        <v>0</v>
      </c>
      <c r="Z37" s="77">
        <f ca="1">IFERROR(__xludf.DUMMYFUNCTION("IMPORTRANGE(""https://docs.google.com/spreadsheets/d/1Yj_ptqi66GCucihVvJfMjLAmec39IyEx_6qawtMGysU/edit?usp=shDCing"",""สบก!DC41"")"),0)</f>
        <v>0</v>
      </c>
      <c r="AA37" s="77">
        <f t="shared" ca="1" si="14"/>
        <v>0</v>
      </c>
      <c r="AB37" s="137">
        <f t="shared" ca="1" si="15"/>
        <v>0</v>
      </c>
      <c r="AC37" s="77">
        <f ca="1">IFERROR(__xludf.DUMMYFUNCTION("IMPORTRANGE(""https://docs.google.com/spreadsheets/d/1Yj_ptqi66GCucihVvJfMjLAmec39IyEx_6qawtMGysU/edit?usp=sharing"",""สบก!DD41"")"),0)</f>
        <v>0</v>
      </c>
      <c r="AD37" s="137">
        <f t="shared" ca="1" si="16"/>
        <v>0</v>
      </c>
      <c r="AE37" s="137">
        <f t="shared" ca="1" si="17"/>
        <v>0</v>
      </c>
      <c r="AF37" s="137">
        <f ca="1">IFERROR(__xludf.DUMMYFUNCTION("IMPORTRANGE(""https://docs.google.com/spreadsheets/d/1Yj_ptqi66GCucihVvJfMjLAmec39IyEx_6qawtMGysU/edit?usp=sharing"",""สบก!DE41"")"),0)</f>
        <v>0</v>
      </c>
      <c r="AG37" s="137">
        <f t="shared" ca="1" si="18"/>
        <v>0</v>
      </c>
      <c r="AH37" s="77">
        <f ca="1">IFERROR(__xludf.DUMMYFUNCTION("IMPORTRANGE(""https://docs.google.com/spreadsheets/d/1C3CXT74ZlgGe6_JY_1olB1XN4rF0dxEuIIF-xsYjHgg/edit?usp=sharing"",""พรบ!BV41"")"),0)</f>
        <v>0</v>
      </c>
      <c r="AI37" s="77">
        <f ca="1">IFERROR(__xludf.DUMMYFUNCTION("IMPORTRANGE(""https://docs.google.com/spreadsheets/d/1XL5vhW3sbDhbH9Cz0tuDiY8C3ctxq1tqvaCgkFb8cCA/edit?usp=sharing"",""นครพนม!j224"")"),0)</f>
        <v>0</v>
      </c>
      <c r="AJ37" s="137">
        <f t="shared" ca="1" si="20"/>
        <v>0</v>
      </c>
      <c r="AK37" s="114"/>
      <c r="AL37" s="114"/>
      <c r="AM37" s="114"/>
      <c r="AN37" s="114"/>
      <c r="AO37" s="114"/>
      <c r="AP37" s="114"/>
    </row>
    <row r="38" spans="1:42" ht="21" customHeight="1">
      <c r="A38" s="73">
        <v>5</v>
      </c>
      <c r="B38" s="74" t="s">
        <v>62</v>
      </c>
      <c r="C38" s="75">
        <f t="shared" ca="1" si="0"/>
        <v>74920</v>
      </c>
      <c r="D38" s="76">
        <f t="shared" ca="1" si="47"/>
        <v>74920</v>
      </c>
      <c r="E38" s="77">
        <f ca="1">IFERROR(__xludf.DUMMYFUNCTION("IMPORTRANGE(""https://docs.google.com/spreadsheets/d/1C3CXT74ZlgGe6_JY_1olB1XN4rF0dxEuIIF-xsYjHgg/edit?usp=sharing"",""พรบ!BO42"")"),0)</f>
        <v>0</v>
      </c>
      <c r="F38" s="77">
        <f ca="1">IFERROR(__xludf.DUMMYFUNCTION("IMPORTRANGE(""https://docs.google.com/spreadsheets/d/1C3CXT74ZlgGe6_JY_1olB1XN4rF0dxEuIIF-xsYjHgg/edit?usp=sharing"",""พรบ!BP42"")"),74920)</f>
        <v>74920</v>
      </c>
      <c r="G38" s="77">
        <f ca="1">IFERROR(__xludf.DUMMYFUNCTION("IMPORTRANGE(""https://docs.google.com/spreadsheets/d/1Yj_ptqi66GCucihVvJfMjLAmec39IyEx_6qawtMGysU/edit?usp=sharing"",""สบก!CR42"")"),0)</f>
        <v>0</v>
      </c>
      <c r="H38" s="77">
        <f ca="1">IFERROR(__xludf.DUMMYFUNCTION("IMPORTRANGE(""https://docs.google.com/spreadsheets/d/1Yj_ptqi66GCucihVvJfMjLAmec39IyEx_6qawtMGysU/edit?usp=shCTing"",""สบก!CT42"")"),74920)</f>
        <v>74920</v>
      </c>
      <c r="I38" s="77">
        <f t="shared" ca="1" si="3"/>
        <v>37068</v>
      </c>
      <c r="J38" s="137">
        <f t="shared" ca="1" si="4"/>
        <v>49.4767752269087</v>
      </c>
      <c r="K38" s="77">
        <f ca="1">IFERROR(__xludf.DUMMYFUNCTION("IMPORTRANGE(""https://docs.google.com/spreadsheets/d/1Yj_ptqi66GCucihVvJfMjLAmec39IyEx_6qawtMGysU/edit?usp=sharing"",""สบก!CU42"")"),37068)</f>
        <v>37068</v>
      </c>
      <c r="L38" s="137">
        <f t="shared" ca="1" si="5"/>
        <v>49.4767752269087</v>
      </c>
      <c r="M38" s="137">
        <f t="shared" ca="1" si="6"/>
        <v>49.4767752269087</v>
      </c>
      <c r="N38" s="137">
        <f ca="1">IFERROR(__xludf.DUMMYFUNCTION("IMPORTRANGE(""https://docs.google.com/spreadsheets/d/1Yj_ptqi66GCucihVvJfMjLAmec39IyEx_6qawtMGysU/edit?usp=sharing"",""สบก!CV42"")"),0)</f>
        <v>0</v>
      </c>
      <c r="O38" s="137">
        <f t="shared" ca="1" si="7"/>
        <v>0</v>
      </c>
      <c r="P38" s="77">
        <f ca="1">IFERROR(__xludf.DUMMYFUNCTION("IMPORTRANGE(""https://docs.google.com/spreadsheets/d/1C3CXT74ZlgGe6_JY_1olB1XN4rF0dxEuIIF-xsYjHgg/edit?usp=sharing"",""พรบ!BQ42"")"),20)</f>
        <v>20</v>
      </c>
      <c r="Q38" s="77">
        <f ca="1">IFERROR(__xludf.DUMMYFUNCTION("IMPORTRANGE(""https://docs.google.com/spreadsheets/d/1XL5vhW3sbDhbH9Cz0tuDiY8C3ctxq1tqvaCgkFb8cCA/edit?usp=sharing"",""นครราชสีมา!j209"")"),20)</f>
        <v>20</v>
      </c>
      <c r="R38" s="137">
        <f t="shared" ca="1" si="9"/>
        <v>100</v>
      </c>
      <c r="S38" s="77">
        <f ca="1">IFERROR(__xludf.DUMMYFUNCTION("IMPORTRANGE(""https://docs.google.com/spreadsheets/d/1XL5vhW3sbDhbH9Cz0tuDiY8C3ctxq1tqvaCgkFb8cCA/edit?usp=sharing"",""นครราชสีมา!j211"")"),0)</f>
        <v>0</v>
      </c>
      <c r="T38" s="137">
        <f t="shared" ca="1" si="10"/>
        <v>0</v>
      </c>
      <c r="U38" s="75">
        <f t="shared" ca="1" si="11"/>
        <v>447600</v>
      </c>
      <c r="V38" s="76">
        <f t="shared" ca="1" si="48"/>
        <v>447600</v>
      </c>
      <c r="W38" s="77">
        <f ca="1">IFERROR(__xludf.DUMMYFUNCTION("IMPORTRANGE(""https://docs.google.com/spreadsheets/d/1C3CXT74ZlgGe6_JY_1olB1XN4rF0dxEuIIF-xsYjHgg/edit?usp=sharing"",""พรบ!BT42"")"),0)</f>
        <v>0</v>
      </c>
      <c r="X38" s="77">
        <f ca="1">IFERROR(__xludf.DUMMYFUNCTION("IMPORTRANGE(""https://docs.google.com/spreadsheets/d/1C3CXT74ZlgGe6_JY_1olB1XN4rF0dxEuIIF-xsYjHgg/edit?usp=sharing"",""พรบ!BU42"")"),447600)</f>
        <v>447600</v>
      </c>
      <c r="Y38" s="77">
        <f ca="1">IFERROR(__xludf.DUMMYFUNCTION("IMPORTRANGE(""https://docs.google.com/spreadsheets/d/1Yj_ptqi66GCucihVvJfMjLAmec39IyEx_6qawtMGysU/edit?usp=sharing"",""สบก!DA42"")"),0)</f>
        <v>0</v>
      </c>
      <c r="Z38" s="77">
        <f ca="1">IFERROR(__xludf.DUMMYFUNCTION("IMPORTRANGE(""https://docs.google.com/spreadsheets/d/1Yj_ptqi66GCucihVvJfMjLAmec39IyEx_6qawtMGysU/edit?usp=shDCing"",""สบก!DC42"")"),335700)</f>
        <v>335700</v>
      </c>
      <c r="AA38" s="77">
        <f t="shared" ca="1" si="14"/>
        <v>150986.16</v>
      </c>
      <c r="AB38" s="137">
        <f t="shared" ca="1" si="15"/>
        <v>33.732386058981234</v>
      </c>
      <c r="AC38" s="77">
        <f ca="1">IFERROR(__xludf.DUMMYFUNCTION("IMPORTRANGE(""https://docs.google.com/spreadsheets/d/1Yj_ptqi66GCucihVvJfMjLAmec39IyEx_6qawtMGysU/edit?usp=sharing"",""สบก!DD42"")"),150986.16)</f>
        <v>150986.16</v>
      </c>
      <c r="AD38" s="137">
        <f t="shared" ca="1" si="16"/>
        <v>33.732386058981234</v>
      </c>
      <c r="AE38" s="137">
        <f t="shared" ca="1" si="17"/>
        <v>44.976514745308315</v>
      </c>
      <c r="AF38" s="137">
        <f ca="1">IFERROR(__xludf.DUMMYFUNCTION("IMPORTRANGE(""https://docs.google.com/spreadsheets/d/1Yj_ptqi66GCucihVvJfMjLAmec39IyEx_6qawtMGysU/edit?usp=sharing"",""สบก!DE42"")"),0)</f>
        <v>0</v>
      </c>
      <c r="AG38" s="137">
        <f t="shared" ca="1" si="18"/>
        <v>0</v>
      </c>
      <c r="AH38" s="77">
        <f ca="1">IFERROR(__xludf.DUMMYFUNCTION("IMPORTRANGE(""https://docs.google.com/spreadsheets/d/1C3CXT74ZlgGe6_JY_1olB1XN4rF0dxEuIIF-xsYjHgg/edit?usp=sharing"",""พรบ!BV42"")"),2)</f>
        <v>2</v>
      </c>
      <c r="AI38" s="77">
        <f ca="1">IFERROR(__xludf.DUMMYFUNCTION("IMPORTRANGE(""https://docs.google.com/spreadsheets/d/1XL5vhW3sbDhbH9Cz0tuDiY8C3ctxq1tqvaCgkFb8cCA/edit?usp=sharing"",""นครราชสีมา!j224"")"),2)</f>
        <v>2</v>
      </c>
      <c r="AJ38" s="137">
        <f t="shared" ca="1" si="20"/>
        <v>100</v>
      </c>
      <c r="AK38" s="114"/>
      <c r="AL38" s="114"/>
      <c r="AM38" s="114"/>
      <c r="AN38" s="114"/>
      <c r="AO38" s="114"/>
      <c r="AP38" s="114"/>
    </row>
    <row r="39" spans="1:42" ht="21" customHeight="1">
      <c r="A39" s="73">
        <v>6</v>
      </c>
      <c r="B39" s="74" t="s">
        <v>63</v>
      </c>
      <c r="C39" s="75">
        <f t="shared" ca="1" si="0"/>
        <v>0</v>
      </c>
      <c r="D39" s="76">
        <f t="shared" ca="1" si="47"/>
        <v>0</v>
      </c>
      <c r="E39" s="77">
        <f ca="1">IFERROR(__xludf.DUMMYFUNCTION("IMPORTRANGE(""https://docs.google.com/spreadsheets/d/1C3CXT74ZlgGe6_JY_1olB1XN4rF0dxEuIIF-xsYjHgg/edit?usp=sharing"",""พรบ!BO43"")"),0)</f>
        <v>0</v>
      </c>
      <c r="F39" s="77">
        <f ca="1">IFERROR(__xludf.DUMMYFUNCTION("IMPORTRANGE(""https://docs.google.com/spreadsheets/d/1C3CXT74ZlgGe6_JY_1olB1XN4rF0dxEuIIF-xsYjHgg/edit?usp=sharing"",""พรบ!BP43"")"),0)</f>
        <v>0</v>
      </c>
      <c r="G39" s="77">
        <f ca="1">IFERROR(__xludf.DUMMYFUNCTION("IMPORTRANGE(""https://docs.google.com/spreadsheets/d/1Yj_ptqi66GCucihVvJfMjLAmec39IyEx_6qawtMGysU/edit?usp=sharing"",""สบก!CR43"")"),0)</f>
        <v>0</v>
      </c>
      <c r="H39" s="77">
        <f ca="1">IFERROR(__xludf.DUMMYFUNCTION("IMPORTRANGE(""https://docs.google.com/spreadsheets/d/1Yj_ptqi66GCucihVvJfMjLAmec39IyEx_6qawtMGysU/edit?usp=shCTing"",""สบก!CT43"")"),0)</f>
        <v>0</v>
      </c>
      <c r="I39" s="77">
        <f t="shared" ca="1" si="3"/>
        <v>0</v>
      </c>
      <c r="J39" s="137">
        <f t="shared" ca="1" si="4"/>
        <v>0</v>
      </c>
      <c r="K39" s="77">
        <f ca="1">IFERROR(__xludf.DUMMYFUNCTION("IMPORTRANGE(""https://docs.google.com/spreadsheets/d/1Yj_ptqi66GCucihVvJfMjLAmec39IyEx_6qawtMGysU/edit?usp=sharing"",""สบก!CU43"")"),0)</f>
        <v>0</v>
      </c>
      <c r="L39" s="137">
        <f t="shared" ca="1" si="5"/>
        <v>0</v>
      </c>
      <c r="M39" s="137">
        <f t="shared" ca="1" si="6"/>
        <v>0</v>
      </c>
      <c r="N39" s="137">
        <f ca="1">IFERROR(__xludf.DUMMYFUNCTION("IMPORTRANGE(""https://docs.google.com/spreadsheets/d/1Yj_ptqi66GCucihVvJfMjLAmec39IyEx_6qawtMGysU/edit?usp=sharing"",""สบก!CV43"")"),0)</f>
        <v>0</v>
      </c>
      <c r="O39" s="137">
        <f t="shared" ca="1" si="7"/>
        <v>0</v>
      </c>
      <c r="P39" s="77">
        <f ca="1">IFERROR(__xludf.DUMMYFUNCTION("IMPORTRANGE(""https://docs.google.com/spreadsheets/d/1C3CXT74ZlgGe6_JY_1olB1XN4rF0dxEuIIF-xsYjHgg/edit?usp=sharing"",""พรบ!BQ43"")"),0)</f>
        <v>0</v>
      </c>
      <c r="Q39" s="77">
        <f ca="1">IFERROR(__xludf.DUMMYFUNCTION("IMPORTRANGE(""https://docs.google.com/spreadsheets/d/1XL5vhW3sbDhbH9Cz0tuDiY8C3ctxq1tqvaCgkFb8cCA/edit?usp=sharing"",""บึงกาฬ!j209"")"),0)</f>
        <v>0</v>
      </c>
      <c r="R39" s="137">
        <f t="shared" ca="1" si="9"/>
        <v>0</v>
      </c>
      <c r="S39" s="77">
        <f ca="1">IFERROR(__xludf.DUMMYFUNCTION("IMPORTRANGE(""https://docs.google.com/spreadsheets/d/1XL5vhW3sbDhbH9Cz0tuDiY8C3ctxq1tqvaCgkFb8cCA/edit?usp=sharing"",""บึงกาฬ!j211"")"),0)</f>
        <v>0</v>
      </c>
      <c r="T39" s="137">
        <f t="shared" ca="1" si="10"/>
        <v>0</v>
      </c>
      <c r="U39" s="75">
        <f t="shared" ca="1" si="11"/>
        <v>0</v>
      </c>
      <c r="V39" s="76">
        <f t="shared" ca="1" si="48"/>
        <v>0</v>
      </c>
      <c r="W39" s="77">
        <f ca="1">IFERROR(__xludf.DUMMYFUNCTION("IMPORTRANGE(""https://docs.google.com/spreadsheets/d/1C3CXT74ZlgGe6_JY_1olB1XN4rF0dxEuIIF-xsYjHgg/edit?usp=sharing"",""พรบ!BT43"")"),0)</f>
        <v>0</v>
      </c>
      <c r="X39" s="77">
        <f ca="1">IFERROR(__xludf.DUMMYFUNCTION("IMPORTRANGE(""https://docs.google.com/spreadsheets/d/1C3CXT74ZlgGe6_JY_1olB1XN4rF0dxEuIIF-xsYjHgg/edit?usp=sharing"",""พรบ!BU43"")"),0)</f>
        <v>0</v>
      </c>
      <c r="Y39" s="77">
        <f ca="1">IFERROR(__xludf.DUMMYFUNCTION("IMPORTRANGE(""https://docs.google.com/spreadsheets/d/1Yj_ptqi66GCucihVvJfMjLAmec39IyEx_6qawtMGysU/edit?usp=sharing"",""สบก!DA43"")"),0)</f>
        <v>0</v>
      </c>
      <c r="Z39" s="77">
        <f ca="1">IFERROR(__xludf.DUMMYFUNCTION("IMPORTRANGE(""https://docs.google.com/spreadsheets/d/1Yj_ptqi66GCucihVvJfMjLAmec39IyEx_6qawtMGysU/edit?usp=shDCing"",""สบก!DC43"")"),0)</f>
        <v>0</v>
      </c>
      <c r="AA39" s="77">
        <f t="shared" ca="1" si="14"/>
        <v>0</v>
      </c>
      <c r="AB39" s="137">
        <f t="shared" ca="1" si="15"/>
        <v>0</v>
      </c>
      <c r="AC39" s="77">
        <f ca="1">IFERROR(__xludf.DUMMYFUNCTION("IMPORTRANGE(""https://docs.google.com/spreadsheets/d/1Yj_ptqi66GCucihVvJfMjLAmec39IyEx_6qawtMGysU/edit?usp=sharing"",""สบก!DD43"")"),0)</f>
        <v>0</v>
      </c>
      <c r="AD39" s="137">
        <f t="shared" ca="1" si="16"/>
        <v>0</v>
      </c>
      <c r="AE39" s="137">
        <f t="shared" ca="1" si="17"/>
        <v>0</v>
      </c>
      <c r="AF39" s="137">
        <f ca="1">IFERROR(__xludf.DUMMYFUNCTION("IMPORTRANGE(""https://docs.google.com/spreadsheets/d/1Yj_ptqi66GCucihVvJfMjLAmec39IyEx_6qawtMGysU/edit?usp=sharing"",""สบก!DE43"")"),0)</f>
        <v>0</v>
      </c>
      <c r="AG39" s="137">
        <f t="shared" ca="1" si="18"/>
        <v>0</v>
      </c>
      <c r="AH39" s="77">
        <f ca="1">IFERROR(__xludf.DUMMYFUNCTION("IMPORTRANGE(""https://docs.google.com/spreadsheets/d/1C3CXT74ZlgGe6_JY_1olB1XN4rF0dxEuIIF-xsYjHgg/edit?usp=sharing"",""พรบ!BV43"")"),0)</f>
        <v>0</v>
      </c>
      <c r="AI39" s="77">
        <f ca="1">IFERROR(__xludf.DUMMYFUNCTION("IMPORTRANGE(""https://docs.google.com/spreadsheets/d/1XL5vhW3sbDhbH9Cz0tuDiY8C3ctxq1tqvaCgkFb8cCA/edit?usp=sharing"",""บึงกาฬ!j224"")"),0)</f>
        <v>0</v>
      </c>
      <c r="AJ39" s="137">
        <f t="shared" ca="1" si="20"/>
        <v>0</v>
      </c>
      <c r="AK39" s="114"/>
      <c r="AL39" s="114"/>
      <c r="AM39" s="114"/>
      <c r="AN39" s="114"/>
      <c r="AO39" s="114"/>
      <c r="AP39" s="114"/>
    </row>
    <row r="40" spans="1:42" ht="21" customHeight="1">
      <c r="A40" s="73">
        <v>7</v>
      </c>
      <c r="B40" s="74" t="s">
        <v>64</v>
      </c>
      <c r="C40" s="75">
        <f t="shared" ca="1" si="0"/>
        <v>0</v>
      </c>
      <c r="D40" s="76">
        <f t="shared" ca="1" si="47"/>
        <v>0</v>
      </c>
      <c r="E40" s="77">
        <f ca="1">IFERROR(__xludf.DUMMYFUNCTION("IMPORTRANGE(""https://docs.google.com/spreadsheets/d/1C3CXT74ZlgGe6_JY_1olB1XN4rF0dxEuIIF-xsYjHgg/edit?usp=sharing"",""พรบ!BO44"")"),0)</f>
        <v>0</v>
      </c>
      <c r="F40" s="77">
        <f ca="1">IFERROR(__xludf.DUMMYFUNCTION("IMPORTRANGE(""https://docs.google.com/spreadsheets/d/1C3CXT74ZlgGe6_JY_1olB1XN4rF0dxEuIIF-xsYjHgg/edit?usp=sharing"",""พรบ!BP44"")"),0)</f>
        <v>0</v>
      </c>
      <c r="G40" s="77">
        <f ca="1">IFERROR(__xludf.DUMMYFUNCTION("IMPORTRANGE(""https://docs.google.com/spreadsheets/d/1Yj_ptqi66GCucihVvJfMjLAmec39IyEx_6qawtMGysU/edit?usp=sharing"",""สบก!CR44"")"),0)</f>
        <v>0</v>
      </c>
      <c r="H40" s="77">
        <f ca="1">IFERROR(__xludf.DUMMYFUNCTION("IMPORTRANGE(""https://docs.google.com/spreadsheets/d/1Yj_ptqi66GCucihVvJfMjLAmec39IyEx_6qawtMGysU/edit?usp=shCTing"",""สบก!CT44"")"),0)</f>
        <v>0</v>
      </c>
      <c r="I40" s="77">
        <f t="shared" ca="1" si="3"/>
        <v>0</v>
      </c>
      <c r="J40" s="137">
        <f t="shared" ca="1" si="4"/>
        <v>0</v>
      </c>
      <c r="K40" s="77">
        <f ca="1">IFERROR(__xludf.DUMMYFUNCTION("IMPORTRANGE(""https://docs.google.com/spreadsheets/d/1Yj_ptqi66GCucihVvJfMjLAmec39IyEx_6qawtMGysU/edit?usp=sharing"",""สบก!CU44"")"),0)</f>
        <v>0</v>
      </c>
      <c r="L40" s="137">
        <f t="shared" ca="1" si="5"/>
        <v>0</v>
      </c>
      <c r="M40" s="137">
        <f t="shared" ca="1" si="6"/>
        <v>0</v>
      </c>
      <c r="N40" s="137">
        <f ca="1">IFERROR(__xludf.DUMMYFUNCTION("IMPORTRANGE(""https://docs.google.com/spreadsheets/d/1Yj_ptqi66GCucihVvJfMjLAmec39IyEx_6qawtMGysU/edit?usp=sharing"",""สบก!CV44"")"),0)</f>
        <v>0</v>
      </c>
      <c r="O40" s="137">
        <f t="shared" ca="1" si="7"/>
        <v>0</v>
      </c>
      <c r="P40" s="77">
        <f ca="1">IFERROR(__xludf.DUMMYFUNCTION("IMPORTRANGE(""https://docs.google.com/spreadsheets/d/1C3CXT74ZlgGe6_JY_1olB1XN4rF0dxEuIIF-xsYjHgg/edit?usp=sharing"",""พรบ!BQ44"")"),0)</f>
        <v>0</v>
      </c>
      <c r="Q40" s="77">
        <f ca="1">IFERROR(__xludf.DUMMYFUNCTION("IMPORTRANGE(""https://docs.google.com/spreadsheets/d/1XL5vhW3sbDhbH9Cz0tuDiY8C3ctxq1tqvaCgkFb8cCA/edit?usp=sharing"",""บุรีรัมย์!j209"")"),0)</f>
        <v>0</v>
      </c>
      <c r="R40" s="137">
        <f t="shared" ca="1" si="9"/>
        <v>0</v>
      </c>
      <c r="S40" s="77">
        <f ca="1">IFERROR(__xludf.DUMMYFUNCTION("IMPORTRANGE(""https://docs.google.com/spreadsheets/d/1XL5vhW3sbDhbH9Cz0tuDiY8C3ctxq1tqvaCgkFb8cCA/edit?usp=sharing"",""บุรีรัมย์!j211"")"),0)</f>
        <v>0</v>
      </c>
      <c r="T40" s="137">
        <f t="shared" ca="1" si="10"/>
        <v>0</v>
      </c>
      <c r="U40" s="75">
        <f t="shared" ca="1" si="11"/>
        <v>0</v>
      </c>
      <c r="V40" s="76">
        <f t="shared" ca="1" si="48"/>
        <v>0</v>
      </c>
      <c r="W40" s="77">
        <f ca="1">IFERROR(__xludf.DUMMYFUNCTION("IMPORTRANGE(""https://docs.google.com/spreadsheets/d/1C3CXT74ZlgGe6_JY_1olB1XN4rF0dxEuIIF-xsYjHgg/edit?usp=sharing"",""พรบ!BT44"")"),0)</f>
        <v>0</v>
      </c>
      <c r="X40" s="77">
        <f ca="1">IFERROR(__xludf.DUMMYFUNCTION("IMPORTRANGE(""https://docs.google.com/spreadsheets/d/1C3CXT74ZlgGe6_JY_1olB1XN4rF0dxEuIIF-xsYjHgg/edit?usp=sharing"",""พรบ!BU44"")"),0)</f>
        <v>0</v>
      </c>
      <c r="Y40" s="77">
        <f ca="1">IFERROR(__xludf.DUMMYFUNCTION("IMPORTRANGE(""https://docs.google.com/spreadsheets/d/1Yj_ptqi66GCucihVvJfMjLAmec39IyEx_6qawtMGysU/edit?usp=sharing"",""สบก!DA44"")"),0)</f>
        <v>0</v>
      </c>
      <c r="Z40" s="77">
        <f ca="1">IFERROR(__xludf.DUMMYFUNCTION("IMPORTRANGE(""https://docs.google.com/spreadsheets/d/1Yj_ptqi66GCucihVvJfMjLAmec39IyEx_6qawtMGysU/edit?usp=shDCing"",""สบก!DC44"")"),0)</f>
        <v>0</v>
      </c>
      <c r="AA40" s="77">
        <f t="shared" ca="1" si="14"/>
        <v>0</v>
      </c>
      <c r="AB40" s="137">
        <f t="shared" ca="1" si="15"/>
        <v>0</v>
      </c>
      <c r="AC40" s="77">
        <f ca="1">IFERROR(__xludf.DUMMYFUNCTION("IMPORTRANGE(""https://docs.google.com/spreadsheets/d/1Yj_ptqi66GCucihVvJfMjLAmec39IyEx_6qawtMGysU/edit?usp=sharing"",""สบก!DD44"")"),0)</f>
        <v>0</v>
      </c>
      <c r="AD40" s="137">
        <f t="shared" ca="1" si="16"/>
        <v>0</v>
      </c>
      <c r="AE40" s="137">
        <f t="shared" ca="1" si="17"/>
        <v>0</v>
      </c>
      <c r="AF40" s="137">
        <f ca="1">IFERROR(__xludf.DUMMYFUNCTION("IMPORTRANGE(""https://docs.google.com/spreadsheets/d/1Yj_ptqi66GCucihVvJfMjLAmec39IyEx_6qawtMGysU/edit?usp=sharing"",""สบก!DE44"")"),0)</f>
        <v>0</v>
      </c>
      <c r="AG40" s="137">
        <f t="shared" ca="1" si="18"/>
        <v>0</v>
      </c>
      <c r="AH40" s="77">
        <f ca="1">IFERROR(__xludf.DUMMYFUNCTION("IMPORTRANGE(""https://docs.google.com/spreadsheets/d/1C3CXT74ZlgGe6_JY_1olB1XN4rF0dxEuIIF-xsYjHgg/edit?usp=sharing"",""พรบ!BV44"")"),0)</f>
        <v>0</v>
      </c>
      <c r="AI40" s="77">
        <f ca="1">IFERROR(__xludf.DUMMYFUNCTION("IMPORTRANGE(""https://docs.google.com/spreadsheets/d/1XL5vhW3sbDhbH9Cz0tuDiY8C3ctxq1tqvaCgkFb8cCA/edit?usp=sharing"",""บุรีรัมย์!j224"")"),0)</f>
        <v>0</v>
      </c>
      <c r="AJ40" s="137">
        <f t="shared" ca="1" si="20"/>
        <v>0</v>
      </c>
      <c r="AK40" s="114"/>
      <c r="AL40" s="114"/>
      <c r="AM40" s="114"/>
      <c r="AN40" s="114"/>
      <c r="AO40" s="114"/>
      <c r="AP40" s="114"/>
    </row>
    <row r="41" spans="1:42" ht="21" customHeight="1">
      <c r="A41" s="73">
        <v>8</v>
      </c>
      <c r="B41" s="74" t="s">
        <v>65</v>
      </c>
      <c r="C41" s="75">
        <f t="shared" ca="1" si="0"/>
        <v>0</v>
      </c>
      <c r="D41" s="76">
        <f t="shared" ca="1" si="47"/>
        <v>0</v>
      </c>
      <c r="E41" s="77">
        <f ca="1">IFERROR(__xludf.DUMMYFUNCTION("IMPORTRANGE(""https://docs.google.com/spreadsheets/d/1C3CXT74ZlgGe6_JY_1olB1XN4rF0dxEuIIF-xsYjHgg/edit?usp=sharing"",""พรบ!BO45"")"),0)</f>
        <v>0</v>
      </c>
      <c r="F41" s="77">
        <f ca="1">IFERROR(__xludf.DUMMYFUNCTION("IMPORTRANGE(""https://docs.google.com/spreadsheets/d/1C3CXT74ZlgGe6_JY_1olB1XN4rF0dxEuIIF-xsYjHgg/edit?usp=sharing"",""พรบ!BP45"")"),0)</f>
        <v>0</v>
      </c>
      <c r="G41" s="77">
        <f ca="1">IFERROR(__xludf.DUMMYFUNCTION("IMPORTRANGE(""https://docs.google.com/spreadsheets/d/1Yj_ptqi66GCucihVvJfMjLAmec39IyEx_6qawtMGysU/edit?usp=sharing"",""สบก!CR45"")"),0)</f>
        <v>0</v>
      </c>
      <c r="H41" s="77">
        <f ca="1">IFERROR(__xludf.DUMMYFUNCTION("IMPORTRANGE(""https://docs.google.com/spreadsheets/d/1Yj_ptqi66GCucihVvJfMjLAmec39IyEx_6qawtMGysU/edit?usp=shCTing"",""สบก!CT45"")"),0)</f>
        <v>0</v>
      </c>
      <c r="I41" s="77">
        <f t="shared" ca="1" si="3"/>
        <v>0</v>
      </c>
      <c r="J41" s="137">
        <f t="shared" ca="1" si="4"/>
        <v>0</v>
      </c>
      <c r="K41" s="77">
        <f ca="1">IFERROR(__xludf.DUMMYFUNCTION("IMPORTRANGE(""https://docs.google.com/spreadsheets/d/1Yj_ptqi66GCucihVvJfMjLAmec39IyEx_6qawtMGysU/edit?usp=sharing"",""สบก!CU45"")"),0)</f>
        <v>0</v>
      </c>
      <c r="L41" s="137">
        <f t="shared" ca="1" si="5"/>
        <v>0</v>
      </c>
      <c r="M41" s="137">
        <f t="shared" ca="1" si="6"/>
        <v>0</v>
      </c>
      <c r="N41" s="137">
        <f ca="1">IFERROR(__xludf.DUMMYFUNCTION("IMPORTRANGE(""https://docs.google.com/spreadsheets/d/1Yj_ptqi66GCucihVvJfMjLAmec39IyEx_6qawtMGysU/edit?usp=sharing"",""สบก!CV45"")"),0)</f>
        <v>0</v>
      </c>
      <c r="O41" s="137">
        <f t="shared" ca="1" si="7"/>
        <v>0</v>
      </c>
      <c r="P41" s="77">
        <f ca="1">IFERROR(__xludf.DUMMYFUNCTION("IMPORTRANGE(""https://docs.google.com/spreadsheets/d/1C3CXT74ZlgGe6_JY_1olB1XN4rF0dxEuIIF-xsYjHgg/edit?usp=sharing"",""พรบ!BQ45"")"),0)</f>
        <v>0</v>
      </c>
      <c r="Q41" s="77">
        <f ca="1">IFERROR(__xludf.DUMMYFUNCTION("IMPORTRANGE(""https://docs.google.com/spreadsheets/d/1XL5vhW3sbDhbH9Cz0tuDiY8C3ctxq1tqvaCgkFb8cCA/edit?usp=sharing"",""มหาสารคาม!j209"")"),0)</f>
        <v>0</v>
      </c>
      <c r="R41" s="137">
        <f t="shared" ca="1" si="9"/>
        <v>0</v>
      </c>
      <c r="S41" s="77">
        <f ca="1">IFERROR(__xludf.DUMMYFUNCTION("IMPORTRANGE(""https://docs.google.com/spreadsheets/d/1XL5vhW3sbDhbH9Cz0tuDiY8C3ctxq1tqvaCgkFb8cCA/edit?usp=sharing"",""มหาสารคาม!j211"")"),0)</f>
        <v>0</v>
      </c>
      <c r="T41" s="137">
        <f t="shared" ca="1" si="10"/>
        <v>0</v>
      </c>
      <c r="U41" s="75">
        <f t="shared" ca="1" si="11"/>
        <v>0</v>
      </c>
      <c r="V41" s="76">
        <f t="shared" ca="1" si="48"/>
        <v>0</v>
      </c>
      <c r="W41" s="77">
        <f ca="1">IFERROR(__xludf.DUMMYFUNCTION("IMPORTRANGE(""https://docs.google.com/spreadsheets/d/1C3CXT74ZlgGe6_JY_1olB1XN4rF0dxEuIIF-xsYjHgg/edit?usp=sharing"",""พรบ!BT45"")"),0)</f>
        <v>0</v>
      </c>
      <c r="X41" s="77">
        <f ca="1">IFERROR(__xludf.DUMMYFUNCTION("IMPORTRANGE(""https://docs.google.com/spreadsheets/d/1C3CXT74ZlgGe6_JY_1olB1XN4rF0dxEuIIF-xsYjHgg/edit?usp=sharing"",""พรบ!BU45"")"),0)</f>
        <v>0</v>
      </c>
      <c r="Y41" s="77">
        <f ca="1">IFERROR(__xludf.DUMMYFUNCTION("IMPORTRANGE(""https://docs.google.com/spreadsheets/d/1Yj_ptqi66GCucihVvJfMjLAmec39IyEx_6qawtMGysU/edit?usp=sharing"",""สบก!DA45"")"),0)</f>
        <v>0</v>
      </c>
      <c r="Z41" s="77">
        <f ca="1">IFERROR(__xludf.DUMMYFUNCTION("IMPORTRANGE(""https://docs.google.com/spreadsheets/d/1Yj_ptqi66GCucihVvJfMjLAmec39IyEx_6qawtMGysU/edit?usp=shDCing"",""สบก!DC45"")"),0)</f>
        <v>0</v>
      </c>
      <c r="AA41" s="77">
        <f t="shared" ca="1" si="14"/>
        <v>0</v>
      </c>
      <c r="AB41" s="137">
        <f t="shared" ca="1" si="15"/>
        <v>0</v>
      </c>
      <c r="AC41" s="77">
        <f ca="1">IFERROR(__xludf.DUMMYFUNCTION("IMPORTRANGE(""https://docs.google.com/spreadsheets/d/1Yj_ptqi66GCucihVvJfMjLAmec39IyEx_6qawtMGysU/edit?usp=sharing"",""สบก!DD45"")"),0)</f>
        <v>0</v>
      </c>
      <c r="AD41" s="137">
        <f t="shared" ca="1" si="16"/>
        <v>0</v>
      </c>
      <c r="AE41" s="137">
        <f t="shared" ca="1" si="17"/>
        <v>0</v>
      </c>
      <c r="AF41" s="137">
        <f ca="1">IFERROR(__xludf.DUMMYFUNCTION("IMPORTRANGE(""https://docs.google.com/spreadsheets/d/1Yj_ptqi66GCucihVvJfMjLAmec39IyEx_6qawtMGysU/edit?usp=sharing"",""สบก!DE45"")"),0)</f>
        <v>0</v>
      </c>
      <c r="AG41" s="137">
        <f t="shared" ca="1" si="18"/>
        <v>0</v>
      </c>
      <c r="AH41" s="77">
        <f ca="1">IFERROR(__xludf.DUMMYFUNCTION("IMPORTRANGE(""https://docs.google.com/spreadsheets/d/1C3CXT74ZlgGe6_JY_1olB1XN4rF0dxEuIIF-xsYjHgg/edit?usp=sharing"",""พรบ!BV45"")"),0)</f>
        <v>0</v>
      </c>
      <c r="AI41" s="77">
        <f ca="1">IFERROR(__xludf.DUMMYFUNCTION("IMPORTRANGE(""https://docs.google.com/spreadsheets/d/1XL5vhW3sbDhbH9Cz0tuDiY8C3ctxq1tqvaCgkFb8cCA/edit?usp=sharing"",""มหาสารคาม!j224"")"),0)</f>
        <v>0</v>
      </c>
      <c r="AJ41" s="137">
        <f t="shared" ca="1" si="20"/>
        <v>0</v>
      </c>
      <c r="AK41" s="114"/>
      <c r="AL41" s="114"/>
      <c r="AM41" s="114"/>
      <c r="AN41" s="114"/>
      <c r="AO41" s="114"/>
      <c r="AP41" s="114"/>
    </row>
    <row r="42" spans="1:42" ht="21" customHeight="1">
      <c r="A42" s="73">
        <v>9</v>
      </c>
      <c r="B42" s="74" t="s">
        <v>66</v>
      </c>
      <c r="C42" s="75">
        <f t="shared" ca="1" si="0"/>
        <v>0</v>
      </c>
      <c r="D42" s="76">
        <f t="shared" ca="1" si="47"/>
        <v>0</v>
      </c>
      <c r="E42" s="77">
        <f ca="1">IFERROR(__xludf.DUMMYFUNCTION("IMPORTRANGE(""https://docs.google.com/spreadsheets/d/1C3CXT74ZlgGe6_JY_1olB1XN4rF0dxEuIIF-xsYjHgg/edit?usp=sharing"",""พรบ!BO46"")"),0)</f>
        <v>0</v>
      </c>
      <c r="F42" s="77">
        <f ca="1">IFERROR(__xludf.DUMMYFUNCTION("IMPORTRANGE(""https://docs.google.com/spreadsheets/d/1C3CXT74ZlgGe6_JY_1olB1XN4rF0dxEuIIF-xsYjHgg/edit?usp=sharing"",""พรบ!BP46"")"),0)</f>
        <v>0</v>
      </c>
      <c r="G42" s="77">
        <f ca="1">IFERROR(__xludf.DUMMYFUNCTION("IMPORTRANGE(""https://docs.google.com/spreadsheets/d/1Yj_ptqi66GCucihVvJfMjLAmec39IyEx_6qawtMGysU/edit?usp=sharing"",""สบก!CR46"")"),0)</f>
        <v>0</v>
      </c>
      <c r="H42" s="77">
        <f ca="1">IFERROR(__xludf.DUMMYFUNCTION("IMPORTRANGE(""https://docs.google.com/spreadsheets/d/1Yj_ptqi66GCucihVvJfMjLAmec39IyEx_6qawtMGysU/edit?usp=shCTing"",""สบก!CT46"")"),0)</f>
        <v>0</v>
      </c>
      <c r="I42" s="77">
        <f t="shared" ca="1" si="3"/>
        <v>0</v>
      </c>
      <c r="J42" s="137">
        <f t="shared" ca="1" si="4"/>
        <v>0</v>
      </c>
      <c r="K42" s="77">
        <f ca="1">IFERROR(__xludf.DUMMYFUNCTION("IMPORTRANGE(""https://docs.google.com/spreadsheets/d/1Yj_ptqi66GCucihVvJfMjLAmec39IyEx_6qawtMGysU/edit?usp=sharing"",""สบก!CU46"")"),0)</f>
        <v>0</v>
      </c>
      <c r="L42" s="137">
        <f t="shared" ca="1" si="5"/>
        <v>0</v>
      </c>
      <c r="M42" s="137">
        <f t="shared" ca="1" si="6"/>
        <v>0</v>
      </c>
      <c r="N42" s="137">
        <f ca="1">IFERROR(__xludf.DUMMYFUNCTION("IMPORTRANGE(""https://docs.google.com/spreadsheets/d/1Yj_ptqi66GCucihVvJfMjLAmec39IyEx_6qawtMGysU/edit?usp=sharing"",""สบก!CV46"")"),0)</f>
        <v>0</v>
      </c>
      <c r="O42" s="137">
        <f t="shared" ca="1" si="7"/>
        <v>0</v>
      </c>
      <c r="P42" s="77">
        <f ca="1">IFERROR(__xludf.DUMMYFUNCTION("IMPORTRANGE(""https://docs.google.com/spreadsheets/d/1C3CXT74ZlgGe6_JY_1olB1XN4rF0dxEuIIF-xsYjHgg/edit?usp=sharing"",""พรบ!BQ46"")"),0)</f>
        <v>0</v>
      </c>
      <c r="Q42" s="77">
        <f ca="1">IFERROR(__xludf.DUMMYFUNCTION("IMPORTRANGE(""https://docs.google.com/spreadsheets/d/1XL5vhW3sbDhbH9Cz0tuDiY8C3ctxq1tqvaCgkFb8cCA/edit?usp=sharing"",""มุกดาหาร!j209"")"),0)</f>
        <v>0</v>
      </c>
      <c r="R42" s="137">
        <f t="shared" ca="1" si="9"/>
        <v>0</v>
      </c>
      <c r="S42" s="77">
        <f ca="1">IFERROR(__xludf.DUMMYFUNCTION("IMPORTRANGE(""https://docs.google.com/spreadsheets/d/1XL5vhW3sbDhbH9Cz0tuDiY8C3ctxq1tqvaCgkFb8cCA/edit?usp=sharing"",""มุกดาหาร!j211"")"),0)</f>
        <v>0</v>
      </c>
      <c r="T42" s="137">
        <f t="shared" ca="1" si="10"/>
        <v>0</v>
      </c>
      <c r="U42" s="75">
        <f t="shared" ca="1" si="11"/>
        <v>0</v>
      </c>
      <c r="V42" s="76">
        <f t="shared" ca="1" si="48"/>
        <v>0</v>
      </c>
      <c r="W42" s="77">
        <f ca="1">IFERROR(__xludf.DUMMYFUNCTION("IMPORTRANGE(""https://docs.google.com/spreadsheets/d/1C3CXT74ZlgGe6_JY_1olB1XN4rF0dxEuIIF-xsYjHgg/edit?usp=sharing"",""พรบ!BT46"")"),0)</f>
        <v>0</v>
      </c>
      <c r="X42" s="77">
        <f ca="1">IFERROR(__xludf.DUMMYFUNCTION("IMPORTRANGE(""https://docs.google.com/spreadsheets/d/1C3CXT74ZlgGe6_JY_1olB1XN4rF0dxEuIIF-xsYjHgg/edit?usp=sharing"",""พรบ!BU46"")"),0)</f>
        <v>0</v>
      </c>
      <c r="Y42" s="77">
        <f ca="1">IFERROR(__xludf.DUMMYFUNCTION("IMPORTRANGE(""https://docs.google.com/spreadsheets/d/1Yj_ptqi66GCucihVvJfMjLAmec39IyEx_6qawtMGysU/edit?usp=sharing"",""สบก!DA46"")"),0)</f>
        <v>0</v>
      </c>
      <c r="Z42" s="77">
        <f ca="1">IFERROR(__xludf.DUMMYFUNCTION("IMPORTRANGE(""https://docs.google.com/spreadsheets/d/1Yj_ptqi66GCucihVvJfMjLAmec39IyEx_6qawtMGysU/edit?usp=shDCing"",""สบก!DC46"")"),0)</f>
        <v>0</v>
      </c>
      <c r="AA42" s="77">
        <f t="shared" ca="1" si="14"/>
        <v>0</v>
      </c>
      <c r="AB42" s="137">
        <f t="shared" ca="1" si="15"/>
        <v>0</v>
      </c>
      <c r="AC42" s="77">
        <f ca="1">IFERROR(__xludf.DUMMYFUNCTION("IMPORTRANGE(""https://docs.google.com/spreadsheets/d/1Yj_ptqi66GCucihVvJfMjLAmec39IyEx_6qawtMGysU/edit?usp=sharing"",""สบก!DD46"")"),0)</f>
        <v>0</v>
      </c>
      <c r="AD42" s="137">
        <f t="shared" ca="1" si="16"/>
        <v>0</v>
      </c>
      <c r="AE42" s="137">
        <f t="shared" ca="1" si="17"/>
        <v>0</v>
      </c>
      <c r="AF42" s="137">
        <f ca="1">IFERROR(__xludf.DUMMYFUNCTION("IMPORTRANGE(""https://docs.google.com/spreadsheets/d/1Yj_ptqi66GCucihVvJfMjLAmec39IyEx_6qawtMGysU/edit?usp=sharing"",""สบก!DE46"")"),0)</f>
        <v>0</v>
      </c>
      <c r="AG42" s="137">
        <f t="shared" ca="1" si="18"/>
        <v>0</v>
      </c>
      <c r="AH42" s="77">
        <f ca="1">IFERROR(__xludf.DUMMYFUNCTION("IMPORTRANGE(""https://docs.google.com/spreadsheets/d/1C3CXT74ZlgGe6_JY_1olB1XN4rF0dxEuIIF-xsYjHgg/edit?usp=sharing"",""พรบ!BV46"")"),0)</f>
        <v>0</v>
      </c>
      <c r="AI42" s="77">
        <f ca="1">IFERROR(__xludf.DUMMYFUNCTION("IMPORTRANGE(""https://docs.google.com/spreadsheets/d/1XL5vhW3sbDhbH9Cz0tuDiY8C3ctxq1tqvaCgkFb8cCA/edit?usp=sharing"",""มุกดาหาร!j224"")"),0)</f>
        <v>0</v>
      </c>
      <c r="AJ42" s="137">
        <f t="shared" ca="1" si="20"/>
        <v>0</v>
      </c>
      <c r="AK42" s="114"/>
      <c r="AL42" s="114"/>
      <c r="AM42" s="114"/>
      <c r="AN42" s="114"/>
      <c r="AO42" s="114"/>
      <c r="AP42" s="114"/>
    </row>
    <row r="43" spans="1:42" ht="21" customHeight="1">
      <c r="A43" s="73">
        <v>10</v>
      </c>
      <c r="B43" s="74" t="s">
        <v>67</v>
      </c>
      <c r="C43" s="75">
        <f t="shared" ca="1" si="0"/>
        <v>0</v>
      </c>
      <c r="D43" s="76">
        <f t="shared" ca="1" si="47"/>
        <v>0</v>
      </c>
      <c r="E43" s="77">
        <f ca="1">IFERROR(__xludf.DUMMYFUNCTION("IMPORTRANGE(""https://docs.google.com/spreadsheets/d/1C3CXT74ZlgGe6_JY_1olB1XN4rF0dxEuIIF-xsYjHgg/edit?usp=sharing"",""พรบ!BO47"")"),0)</f>
        <v>0</v>
      </c>
      <c r="F43" s="77">
        <f ca="1">IFERROR(__xludf.DUMMYFUNCTION("IMPORTRANGE(""https://docs.google.com/spreadsheets/d/1C3CXT74ZlgGe6_JY_1olB1XN4rF0dxEuIIF-xsYjHgg/edit?usp=sharing"",""พรบ!BP47"")"),0)</f>
        <v>0</v>
      </c>
      <c r="G43" s="77">
        <f ca="1">IFERROR(__xludf.DUMMYFUNCTION("IMPORTRANGE(""https://docs.google.com/spreadsheets/d/1Yj_ptqi66GCucihVvJfMjLAmec39IyEx_6qawtMGysU/edit?usp=sharing"",""สบก!CR47"")"),0)</f>
        <v>0</v>
      </c>
      <c r="H43" s="77">
        <f ca="1">IFERROR(__xludf.DUMMYFUNCTION("IMPORTRANGE(""https://docs.google.com/spreadsheets/d/1Yj_ptqi66GCucihVvJfMjLAmec39IyEx_6qawtMGysU/edit?usp=shCTing"",""สบก!CT47"")"),0)</f>
        <v>0</v>
      </c>
      <c r="I43" s="77">
        <f t="shared" ca="1" si="3"/>
        <v>0</v>
      </c>
      <c r="J43" s="137">
        <f t="shared" ca="1" si="4"/>
        <v>0</v>
      </c>
      <c r="K43" s="77">
        <f ca="1">IFERROR(__xludf.DUMMYFUNCTION("IMPORTRANGE(""https://docs.google.com/spreadsheets/d/1Yj_ptqi66GCucihVvJfMjLAmec39IyEx_6qawtMGysU/edit?usp=sharing"",""สบก!CU47"")"),0)</f>
        <v>0</v>
      </c>
      <c r="L43" s="137">
        <f t="shared" ca="1" si="5"/>
        <v>0</v>
      </c>
      <c r="M43" s="137">
        <f t="shared" ca="1" si="6"/>
        <v>0</v>
      </c>
      <c r="N43" s="137">
        <f ca="1">IFERROR(__xludf.DUMMYFUNCTION("IMPORTRANGE(""https://docs.google.com/spreadsheets/d/1Yj_ptqi66GCucihVvJfMjLAmec39IyEx_6qawtMGysU/edit?usp=sharing"",""สบก!CV47"")"),0)</f>
        <v>0</v>
      </c>
      <c r="O43" s="137">
        <f t="shared" ca="1" si="7"/>
        <v>0</v>
      </c>
      <c r="P43" s="77">
        <f ca="1">IFERROR(__xludf.DUMMYFUNCTION("IMPORTRANGE(""https://docs.google.com/spreadsheets/d/1C3CXT74ZlgGe6_JY_1olB1XN4rF0dxEuIIF-xsYjHgg/edit?usp=sharing"",""พรบ!BQ47"")"),0)</f>
        <v>0</v>
      </c>
      <c r="Q43" s="77">
        <f ca="1">IFERROR(__xludf.DUMMYFUNCTION("IMPORTRANGE(""https://docs.google.com/spreadsheets/d/1XL5vhW3sbDhbH9Cz0tuDiY8C3ctxq1tqvaCgkFb8cCA/edit?usp=sharing"",""ยโสธร!j209"")"),0)</f>
        <v>0</v>
      </c>
      <c r="R43" s="137">
        <f t="shared" ca="1" si="9"/>
        <v>0</v>
      </c>
      <c r="S43" s="77">
        <f ca="1">IFERROR(__xludf.DUMMYFUNCTION("IMPORTRANGE(""https://docs.google.com/spreadsheets/d/1XL5vhW3sbDhbH9Cz0tuDiY8C3ctxq1tqvaCgkFb8cCA/edit?usp=sharing"",""ยโสธร!j211"")"),0)</f>
        <v>0</v>
      </c>
      <c r="T43" s="137">
        <f t="shared" ca="1" si="10"/>
        <v>0</v>
      </c>
      <c r="U43" s="75">
        <f t="shared" ca="1" si="11"/>
        <v>0</v>
      </c>
      <c r="V43" s="76">
        <f t="shared" ca="1" si="48"/>
        <v>0</v>
      </c>
      <c r="W43" s="77">
        <f ca="1">IFERROR(__xludf.DUMMYFUNCTION("IMPORTRANGE(""https://docs.google.com/spreadsheets/d/1C3CXT74ZlgGe6_JY_1olB1XN4rF0dxEuIIF-xsYjHgg/edit?usp=sharing"",""พรบ!BT47"")"),0)</f>
        <v>0</v>
      </c>
      <c r="X43" s="77">
        <f ca="1">IFERROR(__xludf.DUMMYFUNCTION("IMPORTRANGE(""https://docs.google.com/spreadsheets/d/1C3CXT74ZlgGe6_JY_1olB1XN4rF0dxEuIIF-xsYjHgg/edit?usp=sharing"",""พรบ!BU47"")"),0)</f>
        <v>0</v>
      </c>
      <c r="Y43" s="77">
        <f ca="1">IFERROR(__xludf.DUMMYFUNCTION("IMPORTRANGE(""https://docs.google.com/spreadsheets/d/1Yj_ptqi66GCucihVvJfMjLAmec39IyEx_6qawtMGysU/edit?usp=sharing"",""สบก!DA47"")"),0)</f>
        <v>0</v>
      </c>
      <c r="Z43" s="77">
        <f ca="1">IFERROR(__xludf.DUMMYFUNCTION("IMPORTRANGE(""https://docs.google.com/spreadsheets/d/1Yj_ptqi66GCucihVvJfMjLAmec39IyEx_6qawtMGysU/edit?usp=shDCing"",""สบก!DC47"")"),0)</f>
        <v>0</v>
      </c>
      <c r="AA43" s="77">
        <f t="shared" ca="1" si="14"/>
        <v>0</v>
      </c>
      <c r="AB43" s="137">
        <f t="shared" ca="1" si="15"/>
        <v>0</v>
      </c>
      <c r="AC43" s="77">
        <f ca="1">IFERROR(__xludf.DUMMYFUNCTION("IMPORTRANGE(""https://docs.google.com/spreadsheets/d/1Yj_ptqi66GCucihVvJfMjLAmec39IyEx_6qawtMGysU/edit?usp=sharing"",""สบก!DD47"")"),0)</f>
        <v>0</v>
      </c>
      <c r="AD43" s="137">
        <f t="shared" ca="1" si="16"/>
        <v>0</v>
      </c>
      <c r="AE43" s="137">
        <f t="shared" ca="1" si="17"/>
        <v>0</v>
      </c>
      <c r="AF43" s="137">
        <f ca="1">IFERROR(__xludf.DUMMYFUNCTION("IMPORTRANGE(""https://docs.google.com/spreadsheets/d/1Yj_ptqi66GCucihVvJfMjLAmec39IyEx_6qawtMGysU/edit?usp=sharing"",""สบก!DE47"")"),0)</f>
        <v>0</v>
      </c>
      <c r="AG43" s="137">
        <f t="shared" ca="1" si="18"/>
        <v>0</v>
      </c>
      <c r="AH43" s="77">
        <f ca="1">IFERROR(__xludf.DUMMYFUNCTION("IMPORTRANGE(""https://docs.google.com/spreadsheets/d/1C3CXT74ZlgGe6_JY_1olB1XN4rF0dxEuIIF-xsYjHgg/edit?usp=sharing"",""พรบ!BV47"")"),0)</f>
        <v>0</v>
      </c>
      <c r="AI43" s="77">
        <f ca="1">IFERROR(__xludf.DUMMYFUNCTION("IMPORTRANGE(""https://docs.google.com/spreadsheets/d/1XL5vhW3sbDhbH9Cz0tuDiY8C3ctxq1tqvaCgkFb8cCA/edit?usp=sharing"",""ยโสธร!j224"")"),0)</f>
        <v>0</v>
      </c>
      <c r="AJ43" s="137">
        <f t="shared" ca="1" si="20"/>
        <v>0</v>
      </c>
      <c r="AK43" s="114"/>
      <c r="AL43" s="114"/>
      <c r="AM43" s="114"/>
      <c r="AN43" s="114"/>
      <c r="AO43" s="114"/>
      <c r="AP43" s="114"/>
    </row>
    <row r="44" spans="1:42" ht="21" customHeight="1">
      <c r="A44" s="73">
        <v>11</v>
      </c>
      <c r="B44" s="74" t="s">
        <v>68</v>
      </c>
      <c r="C44" s="75">
        <f t="shared" ca="1" si="0"/>
        <v>0</v>
      </c>
      <c r="D44" s="76">
        <f t="shared" ca="1" si="47"/>
        <v>0</v>
      </c>
      <c r="E44" s="77">
        <f ca="1">IFERROR(__xludf.DUMMYFUNCTION("IMPORTRANGE(""https://docs.google.com/spreadsheets/d/1C3CXT74ZlgGe6_JY_1olB1XN4rF0dxEuIIF-xsYjHgg/edit?usp=sharing"",""พรบ!BO48"")"),0)</f>
        <v>0</v>
      </c>
      <c r="F44" s="77">
        <f ca="1">IFERROR(__xludf.DUMMYFUNCTION("IMPORTRANGE(""https://docs.google.com/spreadsheets/d/1C3CXT74ZlgGe6_JY_1olB1XN4rF0dxEuIIF-xsYjHgg/edit?usp=sharing"",""พรบ!BP48"")"),0)</f>
        <v>0</v>
      </c>
      <c r="G44" s="77">
        <f ca="1">IFERROR(__xludf.DUMMYFUNCTION("IMPORTRANGE(""https://docs.google.com/spreadsheets/d/1Yj_ptqi66GCucihVvJfMjLAmec39IyEx_6qawtMGysU/edit?usp=sharing"",""สบก!CR48"")"),0)</f>
        <v>0</v>
      </c>
      <c r="H44" s="77">
        <f ca="1">IFERROR(__xludf.DUMMYFUNCTION("IMPORTRANGE(""https://docs.google.com/spreadsheets/d/1Yj_ptqi66GCucihVvJfMjLAmec39IyEx_6qawtMGysU/edit?usp=shCTing"",""สบก!CT48"")"),0)</f>
        <v>0</v>
      </c>
      <c r="I44" s="77">
        <f t="shared" ca="1" si="3"/>
        <v>0</v>
      </c>
      <c r="J44" s="137">
        <f t="shared" ca="1" si="4"/>
        <v>0</v>
      </c>
      <c r="K44" s="77">
        <f ca="1">IFERROR(__xludf.DUMMYFUNCTION("IMPORTRANGE(""https://docs.google.com/spreadsheets/d/1Yj_ptqi66GCucihVvJfMjLAmec39IyEx_6qawtMGysU/edit?usp=sharing"",""สบก!CU48"")"),0)</f>
        <v>0</v>
      </c>
      <c r="L44" s="137">
        <f t="shared" ca="1" si="5"/>
        <v>0</v>
      </c>
      <c r="M44" s="137">
        <f t="shared" ca="1" si="6"/>
        <v>0</v>
      </c>
      <c r="N44" s="137">
        <f ca="1">IFERROR(__xludf.DUMMYFUNCTION("IMPORTRANGE(""https://docs.google.com/spreadsheets/d/1Yj_ptqi66GCucihVvJfMjLAmec39IyEx_6qawtMGysU/edit?usp=sharing"",""สบก!CV48"")"),0)</f>
        <v>0</v>
      </c>
      <c r="O44" s="137">
        <f t="shared" ca="1" si="7"/>
        <v>0</v>
      </c>
      <c r="P44" s="77">
        <f ca="1">IFERROR(__xludf.DUMMYFUNCTION("IMPORTRANGE(""https://docs.google.com/spreadsheets/d/1C3CXT74ZlgGe6_JY_1olB1XN4rF0dxEuIIF-xsYjHgg/edit?usp=sharing"",""พรบ!BQ48"")"),0)</f>
        <v>0</v>
      </c>
      <c r="Q44" s="77">
        <f ca="1">IFERROR(__xludf.DUMMYFUNCTION("IMPORTRANGE(""https://docs.google.com/spreadsheets/d/1XL5vhW3sbDhbH9Cz0tuDiY8C3ctxq1tqvaCgkFb8cCA/edit?usp=sharing"",""ร้อยเอ็ด!j209"")"),0)</f>
        <v>0</v>
      </c>
      <c r="R44" s="137">
        <f t="shared" ca="1" si="9"/>
        <v>0</v>
      </c>
      <c r="S44" s="77">
        <f ca="1">IFERROR(__xludf.DUMMYFUNCTION("IMPORTRANGE(""https://docs.google.com/spreadsheets/d/1XL5vhW3sbDhbH9Cz0tuDiY8C3ctxq1tqvaCgkFb8cCA/edit?usp=sharing"",""ร้อยเอ็ด!j211"")"),0)</f>
        <v>0</v>
      </c>
      <c r="T44" s="137">
        <f t="shared" ca="1" si="10"/>
        <v>0</v>
      </c>
      <c r="U44" s="75">
        <f t="shared" ca="1" si="11"/>
        <v>0</v>
      </c>
      <c r="V44" s="76">
        <f t="shared" ca="1" si="48"/>
        <v>0</v>
      </c>
      <c r="W44" s="77">
        <f ca="1">IFERROR(__xludf.DUMMYFUNCTION("IMPORTRANGE(""https://docs.google.com/spreadsheets/d/1C3CXT74ZlgGe6_JY_1olB1XN4rF0dxEuIIF-xsYjHgg/edit?usp=sharing"",""พรบ!BT48"")"),0)</f>
        <v>0</v>
      </c>
      <c r="X44" s="77">
        <f ca="1">IFERROR(__xludf.DUMMYFUNCTION("IMPORTRANGE(""https://docs.google.com/spreadsheets/d/1C3CXT74ZlgGe6_JY_1olB1XN4rF0dxEuIIF-xsYjHgg/edit?usp=sharing"",""พรบ!BU48"")"),0)</f>
        <v>0</v>
      </c>
      <c r="Y44" s="77">
        <f ca="1">IFERROR(__xludf.DUMMYFUNCTION("IMPORTRANGE(""https://docs.google.com/spreadsheets/d/1Yj_ptqi66GCucihVvJfMjLAmec39IyEx_6qawtMGysU/edit?usp=sharing"",""สบก!DA48"")"),0)</f>
        <v>0</v>
      </c>
      <c r="Z44" s="77">
        <f ca="1">IFERROR(__xludf.DUMMYFUNCTION("IMPORTRANGE(""https://docs.google.com/spreadsheets/d/1Yj_ptqi66GCucihVvJfMjLAmec39IyEx_6qawtMGysU/edit?usp=shDCing"",""สบก!DC48"")"),0)</f>
        <v>0</v>
      </c>
      <c r="AA44" s="77">
        <f t="shared" ca="1" si="14"/>
        <v>0</v>
      </c>
      <c r="AB44" s="137">
        <f t="shared" ca="1" si="15"/>
        <v>0</v>
      </c>
      <c r="AC44" s="77">
        <f ca="1">IFERROR(__xludf.DUMMYFUNCTION("IMPORTRANGE(""https://docs.google.com/spreadsheets/d/1Yj_ptqi66GCucihVvJfMjLAmec39IyEx_6qawtMGysU/edit?usp=sharing"",""สบก!DD48"")"),0)</f>
        <v>0</v>
      </c>
      <c r="AD44" s="137">
        <f t="shared" ca="1" si="16"/>
        <v>0</v>
      </c>
      <c r="AE44" s="137">
        <f t="shared" ca="1" si="17"/>
        <v>0</v>
      </c>
      <c r="AF44" s="137">
        <f ca="1">IFERROR(__xludf.DUMMYFUNCTION("IMPORTRANGE(""https://docs.google.com/spreadsheets/d/1Yj_ptqi66GCucihVvJfMjLAmec39IyEx_6qawtMGysU/edit?usp=sharing"",""สบก!DE48"")"),0)</f>
        <v>0</v>
      </c>
      <c r="AG44" s="137">
        <f t="shared" ca="1" si="18"/>
        <v>0</v>
      </c>
      <c r="AH44" s="77">
        <f ca="1">IFERROR(__xludf.DUMMYFUNCTION("IMPORTRANGE(""https://docs.google.com/spreadsheets/d/1C3CXT74ZlgGe6_JY_1olB1XN4rF0dxEuIIF-xsYjHgg/edit?usp=sharing"",""พรบ!BV48"")"),0)</f>
        <v>0</v>
      </c>
      <c r="AI44" s="77">
        <f ca="1">IFERROR(__xludf.DUMMYFUNCTION("IMPORTRANGE(""https://docs.google.com/spreadsheets/d/1XL5vhW3sbDhbH9Cz0tuDiY8C3ctxq1tqvaCgkFb8cCA/edit?usp=sharing"",""ร้อยเอ็ด!j224"")"),0)</f>
        <v>0</v>
      </c>
      <c r="AJ44" s="137">
        <f t="shared" ca="1" si="20"/>
        <v>0</v>
      </c>
      <c r="AK44" s="114"/>
      <c r="AL44" s="114"/>
      <c r="AM44" s="114"/>
      <c r="AN44" s="114"/>
      <c r="AO44" s="114"/>
      <c r="AP44" s="114"/>
    </row>
    <row r="45" spans="1:42" ht="21" customHeight="1">
      <c r="A45" s="73">
        <v>12</v>
      </c>
      <c r="B45" s="74" t="s">
        <v>69</v>
      </c>
      <c r="C45" s="75">
        <f t="shared" ca="1" si="0"/>
        <v>0</v>
      </c>
      <c r="D45" s="76">
        <f t="shared" ca="1" si="47"/>
        <v>0</v>
      </c>
      <c r="E45" s="77">
        <f ca="1">IFERROR(__xludf.DUMMYFUNCTION("IMPORTRANGE(""https://docs.google.com/spreadsheets/d/1C3CXT74ZlgGe6_JY_1olB1XN4rF0dxEuIIF-xsYjHgg/edit?usp=sharing"",""พรบ!BO49"")"),0)</f>
        <v>0</v>
      </c>
      <c r="F45" s="77">
        <f ca="1">IFERROR(__xludf.DUMMYFUNCTION("IMPORTRANGE(""https://docs.google.com/spreadsheets/d/1C3CXT74ZlgGe6_JY_1olB1XN4rF0dxEuIIF-xsYjHgg/edit?usp=sharing"",""พรบ!BP49"")"),0)</f>
        <v>0</v>
      </c>
      <c r="G45" s="77">
        <f ca="1">IFERROR(__xludf.DUMMYFUNCTION("IMPORTRANGE(""https://docs.google.com/spreadsheets/d/1Yj_ptqi66GCucihVvJfMjLAmec39IyEx_6qawtMGysU/edit?usp=sharing"",""สบก!CR49"")"),0)</f>
        <v>0</v>
      </c>
      <c r="H45" s="77">
        <f ca="1">IFERROR(__xludf.DUMMYFUNCTION("IMPORTRANGE(""https://docs.google.com/spreadsheets/d/1Yj_ptqi66GCucihVvJfMjLAmec39IyEx_6qawtMGysU/edit?usp=shCTing"",""สบก!CT49"")"),0)</f>
        <v>0</v>
      </c>
      <c r="I45" s="77">
        <f t="shared" ca="1" si="3"/>
        <v>0</v>
      </c>
      <c r="J45" s="137">
        <f t="shared" ca="1" si="4"/>
        <v>0</v>
      </c>
      <c r="K45" s="77">
        <f ca="1">IFERROR(__xludf.DUMMYFUNCTION("IMPORTRANGE(""https://docs.google.com/spreadsheets/d/1Yj_ptqi66GCucihVvJfMjLAmec39IyEx_6qawtMGysU/edit?usp=sharing"",""สบก!CU49"")"),0)</f>
        <v>0</v>
      </c>
      <c r="L45" s="137">
        <f t="shared" ca="1" si="5"/>
        <v>0</v>
      </c>
      <c r="M45" s="137">
        <f t="shared" ca="1" si="6"/>
        <v>0</v>
      </c>
      <c r="N45" s="137">
        <f ca="1">IFERROR(__xludf.DUMMYFUNCTION("IMPORTRANGE(""https://docs.google.com/spreadsheets/d/1Yj_ptqi66GCucihVvJfMjLAmec39IyEx_6qawtMGysU/edit?usp=sharing"",""สบก!CV49"")"),0)</f>
        <v>0</v>
      </c>
      <c r="O45" s="137">
        <f t="shared" ca="1" si="7"/>
        <v>0</v>
      </c>
      <c r="P45" s="77">
        <f ca="1">IFERROR(__xludf.DUMMYFUNCTION("IMPORTRANGE(""https://docs.google.com/spreadsheets/d/1C3CXT74ZlgGe6_JY_1olB1XN4rF0dxEuIIF-xsYjHgg/edit?usp=sharing"",""พรบ!BQ49"")"),0)</f>
        <v>0</v>
      </c>
      <c r="Q45" s="77">
        <f ca="1">IFERROR(__xludf.DUMMYFUNCTION("IMPORTRANGE(""https://docs.google.com/spreadsheets/d/1XL5vhW3sbDhbH9Cz0tuDiY8C3ctxq1tqvaCgkFb8cCA/edit?usp=sharing"",""เลย!j209"")"),0)</f>
        <v>0</v>
      </c>
      <c r="R45" s="137">
        <f t="shared" ca="1" si="9"/>
        <v>0</v>
      </c>
      <c r="S45" s="77">
        <f ca="1">IFERROR(__xludf.DUMMYFUNCTION("IMPORTRANGE(""https://docs.google.com/spreadsheets/d/1XL5vhW3sbDhbH9Cz0tuDiY8C3ctxq1tqvaCgkFb8cCA/edit?usp=sharing"",""เลย!j211"")"),0)</f>
        <v>0</v>
      </c>
      <c r="T45" s="137">
        <f t="shared" ca="1" si="10"/>
        <v>0</v>
      </c>
      <c r="U45" s="75">
        <f t="shared" ca="1" si="11"/>
        <v>0</v>
      </c>
      <c r="V45" s="76">
        <f t="shared" ca="1" si="48"/>
        <v>0</v>
      </c>
      <c r="W45" s="77">
        <f ca="1">IFERROR(__xludf.DUMMYFUNCTION("IMPORTRANGE(""https://docs.google.com/spreadsheets/d/1C3CXT74ZlgGe6_JY_1olB1XN4rF0dxEuIIF-xsYjHgg/edit?usp=sharing"",""พรบ!BT49"")"),0)</f>
        <v>0</v>
      </c>
      <c r="X45" s="77">
        <f ca="1">IFERROR(__xludf.DUMMYFUNCTION("IMPORTRANGE(""https://docs.google.com/spreadsheets/d/1C3CXT74ZlgGe6_JY_1olB1XN4rF0dxEuIIF-xsYjHgg/edit?usp=sharing"",""พรบ!BU49"")"),0)</f>
        <v>0</v>
      </c>
      <c r="Y45" s="77">
        <f ca="1">IFERROR(__xludf.DUMMYFUNCTION("IMPORTRANGE(""https://docs.google.com/spreadsheets/d/1Yj_ptqi66GCucihVvJfMjLAmec39IyEx_6qawtMGysU/edit?usp=sharing"",""สบก!DA49"")"),0)</f>
        <v>0</v>
      </c>
      <c r="Z45" s="77">
        <f ca="1">IFERROR(__xludf.DUMMYFUNCTION("IMPORTRANGE(""https://docs.google.com/spreadsheets/d/1Yj_ptqi66GCucihVvJfMjLAmec39IyEx_6qawtMGysU/edit?usp=shDCing"",""สบก!DC49"")"),0)</f>
        <v>0</v>
      </c>
      <c r="AA45" s="77">
        <f t="shared" ca="1" si="14"/>
        <v>0</v>
      </c>
      <c r="AB45" s="137">
        <f t="shared" ca="1" si="15"/>
        <v>0</v>
      </c>
      <c r="AC45" s="77">
        <f ca="1">IFERROR(__xludf.DUMMYFUNCTION("IMPORTRANGE(""https://docs.google.com/spreadsheets/d/1Yj_ptqi66GCucihVvJfMjLAmec39IyEx_6qawtMGysU/edit?usp=sharing"",""สบก!DD49"")"),0)</f>
        <v>0</v>
      </c>
      <c r="AD45" s="137">
        <f t="shared" ca="1" si="16"/>
        <v>0</v>
      </c>
      <c r="AE45" s="137">
        <f t="shared" ca="1" si="17"/>
        <v>0</v>
      </c>
      <c r="AF45" s="137">
        <f ca="1">IFERROR(__xludf.DUMMYFUNCTION("IMPORTRANGE(""https://docs.google.com/spreadsheets/d/1Yj_ptqi66GCucihVvJfMjLAmec39IyEx_6qawtMGysU/edit?usp=sharing"",""สบก!DE49"")"),0)</f>
        <v>0</v>
      </c>
      <c r="AG45" s="137">
        <f t="shared" ca="1" si="18"/>
        <v>0</v>
      </c>
      <c r="AH45" s="77">
        <f ca="1">IFERROR(__xludf.DUMMYFUNCTION("IMPORTRANGE(""https://docs.google.com/spreadsheets/d/1C3CXT74ZlgGe6_JY_1olB1XN4rF0dxEuIIF-xsYjHgg/edit?usp=sharing"",""พรบ!BV49"")"),0)</f>
        <v>0</v>
      </c>
      <c r="AI45" s="77">
        <f ca="1">IFERROR(__xludf.DUMMYFUNCTION("IMPORTRANGE(""https://docs.google.com/spreadsheets/d/1XL5vhW3sbDhbH9Cz0tuDiY8C3ctxq1tqvaCgkFb8cCA/edit?usp=sharing"",""เลย!j224"")"),0)</f>
        <v>0</v>
      </c>
      <c r="AJ45" s="137">
        <f t="shared" ca="1" si="20"/>
        <v>0</v>
      </c>
      <c r="AK45" s="114"/>
      <c r="AL45" s="114"/>
      <c r="AM45" s="114"/>
      <c r="AN45" s="114"/>
      <c r="AO45" s="114"/>
      <c r="AP45" s="114"/>
    </row>
    <row r="46" spans="1:42" ht="21" customHeight="1">
      <c r="A46" s="73">
        <v>13</v>
      </c>
      <c r="B46" s="74" t="s">
        <v>70</v>
      </c>
      <c r="C46" s="75">
        <f t="shared" ca="1" si="0"/>
        <v>0</v>
      </c>
      <c r="D46" s="76">
        <f t="shared" ca="1" si="47"/>
        <v>0</v>
      </c>
      <c r="E46" s="77">
        <f ca="1">IFERROR(__xludf.DUMMYFUNCTION("IMPORTRANGE(""https://docs.google.com/spreadsheets/d/1C3CXT74ZlgGe6_JY_1olB1XN4rF0dxEuIIF-xsYjHgg/edit?usp=sharing"",""พรบ!BO50"")"),0)</f>
        <v>0</v>
      </c>
      <c r="F46" s="77">
        <f ca="1">IFERROR(__xludf.DUMMYFUNCTION("IMPORTRANGE(""https://docs.google.com/spreadsheets/d/1C3CXT74ZlgGe6_JY_1olB1XN4rF0dxEuIIF-xsYjHgg/edit?usp=sharing"",""พรบ!BP50"")"),0)</f>
        <v>0</v>
      </c>
      <c r="G46" s="77">
        <f ca="1">IFERROR(__xludf.DUMMYFUNCTION("IMPORTRANGE(""https://docs.google.com/spreadsheets/d/1Yj_ptqi66GCucihVvJfMjLAmec39IyEx_6qawtMGysU/edit?usp=sharing"",""สบก!CR50"")"),0)</f>
        <v>0</v>
      </c>
      <c r="H46" s="77">
        <f ca="1">IFERROR(__xludf.DUMMYFUNCTION("IMPORTRANGE(""https://docs.google.com/spreadsheets/d/1Yj_ptqi66GCucihVvJfMjLAmec39IyEx_6qawtMGysU/edit?usp=shCTing"",""สบก!CT50"")"),0)</f>
        <v>0</v>
      </c>
      <c r="I46" s="77">
        <f t="shared" ca="1" si="3"/>
        <v>0</v>
      </c>
      <c r="J46" s="137">
        <f t="shared" ca="1" si="4"/>
        <v>0</v>
      </c>
      <c r="K46" s="77">
        <f ca="1">IFERROR(__xludf.DUMMYFUNCTION("IMPORTRANGE(""https://docs.google.com/spreadsheets/d/1Yj_ptqi66GCucihVvJfMjLAmec39IyEx_6qawtMGysU/edit?usp=sharing"",""สบก!CU50"")"),0)</f>
        <v>0</v>
      </c>
      <c r="L46" s="137">
        <f t="shared" ca="1" si="5"/>
        <v>0</v>
      </c>
      <c r="M46" s="137">
        <f t="shared" ca="1" si="6"/>
        <v>0</v>
      </c>
      <c r="N46" s="137">
        <f ca="1">IFERROR(__xludf.DUMMYFUNCTION("IMPORTRANGE(""https://docs.google.com/spreadsheets/d/1Yj_ptqi66GCucihVvJfMjLAmec39IyEx_6qawtMGysU/edit?usp=sharing"",""สบก!CV50"")"),0)</f>
        <v>0</v>
      </c>
      <c r="O46" s="137">
        <f t="shared" ca="1" si="7"/>
        <v>0</v>
      </c>
      <c r="P46" s="77">
        <f ca="1">IFERROR(__xludf.DUMMYFUNCTION("IMPORTRANGE(""https://docs.google.com/spreadsheets/d/1C3CXT74ZlgGe6_JY_1olB1XN4rF0dxEuIIF-xsYjHgg/edit?usp=sharing"",""พรบ!BQ50"")"),0)</f>
        <v>0</v>
      </c>
      <c r="Q46" s="77">
        <f ca="1">IFERROR(__xludf.DUMMYFUNCTION("IMPORTRANGE(""https://docs.google.com/spreadsheets/d/1XL5vhW3sbDhbH9Cz0tuDiY8C3ctxq1tqvaCgkFb8cCA/edit?usp=sharing"",""ศรีสะเกษ!j209"")"),0)</f>
        <v>0</v>
      </c>
      <c r="R46" s="137">
        <f t="shared" ca="1" si="9"/>
        <v>0</v>
      </c>
      <c r="S46" s="77">
        <f ca="1">IFERROR(__xludf.DUMMYFUNCTION("IMPORTRANGE(""https://docs.google.com/spreadsheets/d/1XL5vhW3sbDhbH9Cz0tuDiY8C3ctxq1tqvaCgkFb8cCA/edit?usp=sharing"",""ศรีสะเกษ!j211"")"),0)</f>
        <v>0</v>
      </c>
      <c r="T46" s="137">
        <f t="shared" ca="1" si="10"/>
        <v>0</v>
      </c>
      <c r="U46" s="75">
        <f t="shared" ca="1" si="11"/>
        <v>0</v>
      </c>
      <c r="V46" s="76">
        <f t="shared" ca="1" si="48"/>
        <v>0</v>
      </c>
      <c r="W46" s="77">
        <f ca="1">IFERROR(__xludf.DUMMYFUNCTION("IMPORTRANGE(""https://docs.google.com/spreadsheets/d/1C3CXT74ZlgGe6_JY_1olB1XN4rF0dxEuIIF-xsYjHgg/edit?usp=sharing"",""พรบ!BT50"")"),0)</f>
        <v>0</v>
      </c>
      <c r="X46" s="77">
        <f ca="1">IFERROR(__xludf.DUMMYFUNCTION("IMPORTRANGE(""https://docs.google.com/spreadsheets/d/1C3CXT74ZlgGe6_JY_1olB1XN4rF0dxEuIIF-xsYjHgg/edit?usp=sharing"",""พรบ!BU50"")"),0)</f>
        <v>0</v>
      </c>
      <c r="Y46" s="77">
        <f ca="1">IFERROR(__xludf.DUMMYFUNCTION("IMPORTRANGE(""https://docs.google.com/spreadsheets/d/1Yj_ptqi66GCucihVvJfMjLAmec39IyEx_6qawtMGysU/edit?usp=sharing"",""สบก!DA50"")"),0)</f>
        <v>0</v>
      </c>
      <c r="Z46" s="77">
        <f ca="1">IFERROR(__xludf.DUMMYFUNCTION("IMPORTRANGE(""https://docs.google.com/spreadsheets/d/1Yj_ptqi66GCucihVvJfMjLAmec39IyEx_6qawtMGysU/edit?usp=shDCing"",""สบก!DC50"")"),0)</f>
        <v>0</v>
      </c>
      <c r="AA46" s="77">
        <f t="shared" ca="1" si="14"/>
        <v>0</v>
      </c>
      <c r="AB46" s="137">
        <f t="shared" ca="1" si="15"/>
        <v>0</v>
      </c>
      <c r="AC46" s="77">
        <f ca="1">IFERROR(__xludf.DUMMYFUNCTION("IMPORTRANGE(""https://docs.google.com/spreadsheets/d/1Yj_ptqi66GCucihVvJfMjLAmec39IyEx_6qawtMGysU/edit?usp=sharing"",""สบก!DD50"")"),0)</f>
        <v>0</v>
      </c>
      <c r="AD46" s="137">
        <f t="shared" ca="1" si="16"/>
        <v>0</v>
      </c>
      <c r="AE46" s="137">
        <f t="shared" ca="1" si="17"/>
        <v>0</v>
      </c>
      <c r="AF46" s="137">
        <f ca="1">IFERROR(__xludf.DUMMYFUNCTION("IMPORTRANGE(""https://docs.google.com/spreadsheets/d/1Yj_ptqi66GCucihVvJfMjLAmec39IyEx_6qawtMGysU/edit?usp=sharing"",""สบก!DE50"")"),0)</f>
        <v>0</v>
      </c>
      <c r="AG46" s="137">
        <f t="shared" ca="1" si="18"/>
        <v>0</v>
      </c>
      <c r="AH46" s="77">
        <f ca="1">IFERROR(__xludf.DUMMYFUNCTION("IMPORTRANGE(""https://docs.google.com/spreadsheets/d/1C3CXT74ZlgGe6_JY_1olB1XN4rF0dxEuIIF-xsYjHgg/edit?usp=sharing"",""พรบ!BV50"")"),0)</f>
        <v>0</v>
      </c>
      <c r="AI46" s="77">
        <f ca="1">IFERROR(__xludf.DUMMYFUNCTION("IMPORTRANGE(""https://docs.google.com/spreadsheets/d/1XL5vhW3sbDhbH9Cz0tuDiY8C3ctxq1tqvaCgkFb8cCA/edit?usp=sharing"",""ศรีสะเกษ!j224"")"),0)</f>
        <v>0</v>
      </c>
      <c r="AJ46" s="137">
        <f t="shared" ca="1" si="20"/>
        <v>0</v>
      </c>
      <c r="AK46" s="114"/>
      <c r="AL46" s="114"/>
      <c r="AM46" s="114"/>
      <c r="AN46" s="114"/>
      <c r="AO46" s="114"/>
      <c r="AP46" s="114"/>
    </row>
    <row r="47" spans="1:42" ht="21" customHeight="1">
      <c r="A47" s="73">
        <v>14</v>
      </c>
      <c r="B47" s="74" t="s">
        <v>71</v>
      </c>
      <c r="C47" s="75">
        <f t="shared" ca="1" si="0"/>
        <v>0</v>
      </c>
      <c r="D47" s="76">
        <f t="shared" ca="1" si="47"/>
        <v>0</v>
      </c>
      <c r="E47" s="77">
        <f ca="1">IFERROR(__xludf.DUMMYFUNCTION("IMPORTRANGE(""https://docs.google.com/spreadsheets/d/1C3CXT74ZlgGe6_JY_1olB1XN4rF0dxEuIIF-xsYjHgg/edit?usp=sharing"",""พรบ!BO51"")"),0)</f>
        <v>0</v>
      </c>
      <c r="F47" s="77">
        <f ca="1">IFERROR(__xludf.DUMMYFUNCTION("IMPORTRANGE(""https://docs.google.com/spreadsheets/d/1C3CXT74ZlgGe6_JY_1olB1XN4rF0dxEuIIF-xsYjHgg/edit?usp=sharing"",""พรบ!BP51"")"),0)</f>
        <v>0</v>
      </c>
      <c r="G47" s="77">
        <f ca="1">IFERROR(__xludf.DUMMYFUNCTION("IMPORTRANGE(""https://docs.google.com/spreadsheets/d/1Yj_ptqi66GCucihVvJfMjLAmec39IyEx_6qawtMGysU/edit?usp=sharing"",""สบก!CR51"")"),0)</f>
        <v>0</v>
      </c>
      <c r="H47" s="77">
        <f ca="1">IFERROR(__xludf.DUMMYFUNCTION("IMPORTRANGE(""https://docs.google.com/spreadsheets/d/1Yj_ptqi66GCucihVvJfMjLAmec39IyEx_6qawtMGysU/edit?usp=shCTing"",""สบก!CT51"")"),0)</f>
        <v>0</v>
      </c>
      <c r="I47" s="77">
        <f t="shared" ca="1" si="3"/>
        <v>0</v>
      </c>
      <c r="J47" s="137">
        <f t="shared" ca="1" si="4"/>
        <v>0</v>
      </c>
      <c r="K47" s="77">
        <f ca="1">IFERROR(__xludf.DUMMYFUNCTION("IMPORTRANGE(""https://docs.google.com/spreadsheets/d/1Yj_ptqi66GCucihVvJfMjLAmec39IyEx_6qawtMGysU/edit?usp=sharing"",""สบก!CU51"")"),0)</f>
        <v>0</v>
      </c>
      <c r="L47" s="137">
        <f t="shared" ca="1" si="5"/>
        <v>0</v>
      </c>
      <c r="M47" s="137">
        <f t="shared" ca="1" si="6"/>
        <v>0</v>
      </c>
      <c r="N47" s="137">
        <f ca="1">IFERROR(__xludf.DUMMYFUNCTION("IMPORTRANGE(""https://docs.google.com/spreadsheets/d/1Yj_ptqi66GCucihVvJfMjLAmec39IyEx_6qawtMGysU/edit?usp=sharing"",""สบก!CV51"")"),0)</f>
        <v>0</v>
      </c>
      <c r="O47" s="137">
        <f t="shared" ca="1" si="7"/>
        <v>0</v>
      </c>
      <c r="P47" s="77">
        <f ca="1">IFERROR(__xludf.DUMMYFUNCTION("IMPORTRANGE(""https://docs.google.com/spreadsheets/d/1C3CXT74ZlgGe6_JY_1olB1XN4rF0dxEuIIF-xsYjHgg/edit?usp=sharing"",""พรบ!BQ51"")"),0)</f>
        <v>0</v>
      </c>
      <c r="Q47" s="77">
        <f ca="1">IFERROR(__xludf.DUMMYFUNCTION("IMPORTRANGE(""https://docs.google.com/spreadsheets/d/1XL5vhW3sbDhbH9Cz0tuDiY8C3ctxq1tqvaCgkFb8cCA/edit?usp=sharing"",""สกลนคร!j209"")"),0)</f>
        <v>0</v>
      </c>
      <c r="R47" s="137">
        <f t="shared" ca="1" si="9"/>
        <v>0</v>
      </c>
      <c r="S47" s="77">
        <f ca="1">IFERROR(__xludf.DUMMYFUNCTION("IMPORTRANGE(""https://docs.google.com/spreadsheets/d/1XL5vhW3sbDhbH9Cz0tuDiY8C3ctxq1tqvaCgkFb8cCA/edit?usp=sharing"",""สกลนคร!j211"")"),0)</f>
        <v>0</v>
      </c>
      <c r="T47" s="137">
        <f t="shared" ca="1" si="10"/>
        <v>0</v>
      </c>
      <c r="U47" s="75">
        <f t="shared" ca="1" si="11"/>
        <v>0</v>
      </c>
      <c r="V47" s="76">
        <f t="shared" ca="1" si="48"/>
        <v>0</v>
      </c>
      <c r="W47" s="77">
        <f ca="1">IFERROR(__xludf.DUMMYFUNCTION("IMPORTRANGE(""https://docs.google.com/spreadsheets/d/1C3CXT74ZlgGe6_JY_1olB1XN4rF0dxEuIIF-xsYjHgg/edit?usp=sharing"",""พรบ!BT51"")"),0)</f>
        <v>0</v>
      </c>
      <c r="X47" s="77">
        <f ca="1">IFERROR(__xludf.DUMMYFUNCTION("IMPORTRANGE(""https://docs.google.com/spreadsheets/d/1C3CXT74ZlgGe6_JY_1olB1XN4rF0dxEuIIF-xsYjHgg/edit?usp=sharing"",""พรบ!BU51"")"),0)</f>
        <v>0</v>
      </c>
      <c r="Y47" s="77">
        <f ca="1">IFERROR(__xludf.DUMMYFUNCTION("IMPORTRANGE(""https://docs.google.com/spreadsheets/d/1Yj_ptqi66GCucihVvJfMjLAmec39IyEx_6qawtMGysU/edit?usp=sharing"",""สบก!DA51"")"),0)</f>
        <v>0</v>
      </c>
      <c r="Z47" s="77">
        <f ca="1">IFERROR(__xludf.DUMMYFUNCTION("IMPORTRANGE(""https://docs.google.com/spreadsheets/d/1Yj_ptqi66GCucihVvJfMjLAmec39IyEx_6qawtMGysU/edit?usp=shDCing"",""สบก!DC51"")"),0)</f>
        <v>0</v>
      </c>
      <c r="AA47" s="77">
        <f t="shared" ca="1" si="14"/>
        <v>0</v>
      </c>
      <c r="AB47" s="137">
        <f t="shared" ca="1" si="15"/>
        <v>0</v>
      </c>
      <c r="AC47" s="77">
        <f ca="1">IFERROR(__xludf.DUMMYFUNCTION("IMPORTRANGE(""https://docs.google.com/spreadsheets/d/1Yj_ptqi66GCucihVvJfMjLAmec39IyEx_6qawtMGysU/edit?usp=sharing"",""สบก!DD51"")"),0)</f>
        <v>0</v>
      </c>
      <c r="AD47" s="137">
        <f t="shared" ca="1" si="16"/>
        <v>0</v>
      </c>
      <c r="AE47" s="137">
        <f t="shared" ca="1" si="17"/>
        <v>0</v>
      </c>
      <c r="AF47" s="137">
        <f ca="1">IFERROR(__xludf.DUMMYFUNCTION("IMPORTRANGE(""https://docs.google.com/spreadsheets/d/1Yj_ptqi66GCucihVvJfMjLAmec39IyEx_6qawtMGysU/edit?usp=sharing"",""สบก!DE51"")"),0)</f>
        <v>0</v>
      </c>
      <c r="AG47" s="137">
        <f t="shared" ca="1" si="18"/>
        <v>0</v>
      </c>
      <c r="AH47" s="77">
        <f ca="1">IFERROR(__xludf.DUMMYFUNCTION("IMPORTRANGE(""https://docs.google.com/spreadsheets/d/1C3CXT74ZlgGe6_JY_1olB1XN4rF0dxEuIIF-xsYjHgg/edit?usp=sharing"",""พรบ!BV51"")"),0)</f>
        <v>0</v>
      </c>
      <c r="AI47" s="77">
        <f ca="1">IFERROR(__xludf.DUMMYFUNCTION("IMPORTRANGE(""https://docs.google.com/spreadsheets/d/1XL5vhW3sbDhbH9Cz0tuDiY8C3ctxq1tqvaCgkFb8cCA/edit?usp=sharing"",""สกลนคร!j224"")"),0)</f>
        <v>0</v>
      </c>
      <c r="AJ47" s="137">
        <f t="shared" ca="1" si="20"/>
        <v>0</v>
      </c>
      <c r="AK47" s="114"/>
      <c r="AL47" s="114"/>
      <c r="AM47" s="114"/>
      <c r="AN47" s="114"/>
      <c r="AO47" s="114"/>
      <c r="AP47" s="114"/>
    </row>
    <row r="48" spans="1:42" ht="21" customHeight="1">
      <c r="A48" s="73">
        <v>15</v>
      </c>
      <c r="B48" s="74" t="s">
        <v>72</v>
      </c>
      <c r="C48" s="75">
        <f t="shared" ca="1" si="0"/>
        <v>0</v>
      </c>
      <c r="D48" s="76">
        <f t="shared" ca="1" si="47"/>
        <v>0</v>
      </c>
      <c r="E48" s="77">
        <f ca="1">IFERROR(__xludf.DUMMYFUNCTION("IMPORTRANGE(""https://docs.google.com/spreadsheets/d/1C3CXT74ZlgGe6_JY_1olB1XN4rF0dxEuIIF-xsYjHgg/edit?usp=sharing"",""พรบ!BO52"")"),0)</f>
        <v>0</v>
      </c>
      <c r="F48" s="77">
        <f ca="1">IFERROR(__xludf.DUMMYFUNCTION("IMPORTRANGE(""https://docs.google.com/spreadsheets/d/1C3CXT74ZlgGe6_JY_1olB1XN4rF0dxEuIIF-xsYjHgg/edit?usp=sharing"",""พรบ!BP52"")"),0)</f>
        <v>0</v>
      </c>
      <c r="G48" s="77">
        <f ca="1">IFERROR(__xludf.DUMMYFUNCTION("IMPORTRANGE(""https://docs.google.com/spreadsheets/d/1Yj_ptqi66GCucihVvJfMjLAmec39IyEx_6qawtMGysU/edit?usp=sharing"",""สบก!CR52"")"),0)</f>
        <v>0</v>
      </c>
      <c r="H48" s="77">
        <f ca="1">IFERROR(__xludf.DUMMYFUNCTION("IMPORTRANGE(""https://docs.google.com/spreadsheets/d/1Yj_ptqi66GCucihVvJfMjLAmec39IyEx_6qawtMGysU/edit?usp=shCTing"",""สบก!CT52"")"),0)</f>
        <v>0</v>
      </c>
      <c r="I48" s="77">
        <f t="shared" ca="1" si="3"/>
        <v>0</v>
      </c>
      <c r="J48" s="137">
        <f t="shared" ca="1" si="4"/>
        <v>0</v>
      </c>
      <c r="K48" s="77">
        <f ca="1">IFERROR(__xludf.DUMMYFUNCTION("IMPORTRANGE(""https://docs.google.com/spreadsheets/d/1Yj_ptqi66GCucihVvJfMjLAmec39IyEx_6qawtMGysU/edit?usp=sharing"",""สบก!CU52"")"),0)</f>
        <v>0</v>
      </c>
      <c r="L48" s="137">
        <f t="shared" ca="1" si="5"/>
        <v>0</v>
      </c>
      <c r="M48" s="137">
        <f t="shared" ca="1" si="6"/>
        <v>0</v>
      </c>
      <c r="N48" s="137">
        <f ca="1">IFERROR(__xludf.DUMMYFUNCTION("IMPORTRANGE(""https://docs.google.com/spreadsheets/d/1Yj_ptqi66GCucihVvJfMjLAmec39IyEx_6qawtMGysU/edit?usp=sharing"",""สบก!CV52"")"),0)</f>
        <v>0</v>
      </c>
      <c r="O48" s="137">
        <f t="shared" ca="1" si="7"/>
        <v>0</v>
      </c>
      <c r="P48" s="77">
        <f ca="1">IFERROR(__xludf.DUMMYFUNCTION("IMPORTRANGE(""https://docs.google.com/spreadsheets/d/1C3CXT74ZlgGe6_JY_1olB1XN4rF0dxEuIIF-xsYjHgg/edit?usp=sharing"",""พรบ!BQ52"")"),0)</f>
        <v>0</v>
      </c>
      <c r="Q48" s="77">
        <f ca="1">IFERROR(__xludf.DUMMYFUNCTION("IMPORTRANGE(""https://docs.google.com/spreadsheets/d/1XL5vhW3sbDhbH9Cz0tuDiY8C3ctxq1tqvaCgkFb8cCA/edit?usp=sharing"",""สุรินทร์!j209"")"),0)</f>
        <v>0</v>
      </c>
      <c r="R48" s="137">
        <f t="shared" ca="1" si="9"/>
        <v>0</v>
      </c>
      <c r="S48" s="77">
        <f ca="1">IFERROR(__xludf.DUMMYFUNCTION("IMPORTRANGE(""https://docs.google.com/spreadsheets/d/1XL5vhW3sbDhbH9Cz0tuDiY8C3ctxq1tqvaCgkFb8cCA/edit?usp=sharing"",""สุรินทร์!j211"")"),0)</f>
        <v>0</v>
      </c>
      <c r="T48" s="137">
        <f t="shared" ca="1" si="10"/>
        <v>0</v>
      </c>
      <c r="U48" s="75">
        <f t="shared" ca="1" si="11"/>
        <v>0</v>
      </c>
      <c r="V48" s="76">
        <f t="shared" ca="1" si="48"/>
        <v>0</v>
      </c>
      <c r="W48" s="77">
        <f ca="1">IFERROR(__xludf.DUMMYFUNCTION("IMPORTRANGE(""https://docs.google.com/spreadsheets/d/1C3CXT74ZlgGe6_JY_1olB1XN4rF0dxEuIIF-xsYjHgg/edit?usp=sharing"",""พรบ!BT52"")"),0)</f>
        <v>0</v>
      </c>
      <c r="X48" s="77">
        <f ca="1">IFERROR(__xludf.DUMMYFUNCTION("IMPORTRANGE(""https://docs.google.com/spreadsheets/d/1C3CXT74ZlgGe6_JY_1olB1XN4rF0dxEuIIF-xsYjHgg/edit?usp=sharing"",""พรบ!BU52"")"),0)</f>
        <v>0</v>
      </c>
      <c r="Y48" s="77">
        <f ca="1">IFERROR(__xludf.DUMMYFUNCTION("IMPORTRANGE(""https://docs.google.com/spreadsheets/d/1Yj_ptqi66GCucihVvJfMjLAmec39IyEx_6qawtMGysU/edit?usp=sharing"",""สบก!DA52"")"),0)</f>
        <v>0</v>
      </c>
      <c r="Z48" s="77">
        <f ca="1">IFERROR(__xludf.DUMMYFUNCTION("IMPORTRANGE(""https://docs.google.com/spreadsheets/d/1Yj_ptqi66GCucihVvJfMjLAmec39IyEx_6qawtMGysU/edit?usp=shDCing"",""สบก!DC52"")"),0)</f>
        <v>0</v>
      </c>
      <c r="AA48" s="77">
        <f t="shared" ca="1" si="14"/>
        <v>0</v>
      </c>
      <c r="AB48" s="137">
        <f t="shared" ca="1" si="15"/>
        <v>0</v>
      </c>
      <c r="AC48" s="77">
        <f ca="1">IFERROR(__xludf.DUMMYFUNCTION("IMPORTRANGE(""https://docs.google.com/spreadsheets/d/1Yj_ptqi66GCucihVvJfMjLAmec39IyEx_6qawtMGysU/edit?usp=sharing"",""สบก!DD52"")"),0)</f>
        <v>0</v>
      </c>
      <c r="AD48" s="137">
        <f t="shared" ca="1" si="16"/>
        <v>0</v>
      </c>
      <c r="AE48" s="137">
        <f t="shared" ca="1" si="17"/>
        <v>0</v>
      </c>
      <c r="AF48" s="137">
        <f ca="1">IFERROR(__xludf.DUMMYFUNCTION("IMPORTRANGE(""https://docs.google.com/spreadsheets/d/1Yj_ptqi66GCucihVvJfMjLAmec39IyEx_6qawtMGysU/edit?usp=sharing"",""สบก!DE52"")"),0)</f>
        <v>0</v>
      </c>
      <c r="AG48" s="137">
        <f t="shared" ca="1" si="18"/>
        <v>0</v>
      </c>
      <c r="AH48" s="77">
        <f ca="1">IFERROR(__xludf.DUMMYFUNCTION("IMPORTRANGE(""https://docs.google.com/spreadsheets/d/1C3CXT74ZlgGe6_JY_1olB1XN4rF0dxEuIIF-xsYjHgg/edit?usp=sharing"",""พรบ!BV52"")"),0)</f>
        <v>0</v>
      </c>
      <c r="AI48" s="77">
        <f ca="1">IFERROR(__xludf.DUMMYFUNCTION("IMPORTRANGE(""https://docs.google.com/spreadsheets/d/1XL5vhW3sbDhbH9Cz0tuDiY8C3ctxq1tqvaCgkFb8cCA/edit?usp=sharing"",""สุรินทร์!j224"")"),0)</f>
        <v>0</v>
      </c>
      <c r="AJ48" s="137">
        <f t="shared" ca="1" si="20"/>
        <v>0</v>
      </c>
      <c r="AK48" s="114"/>
      <c r="AL48" s="114"/>
      <c r="AM48" s="114"/>
      <c r="AN48" s="114"/>
      <c r="AO48" s="114"/>
      <c r="AP48" s="114"/>
    </row>
    <row r="49" spans="1:42" ht="21" customHeight="1">
      <c r="A49" s="73">
        <v>16</v>
      </c>
      <c r="B49" s="74" t="s">
        <v>73</v>
      </c>
      <c r="C49" s="75">
        <f t="shared" ca="1" si="0"/>
        <v>0</v>
      </c>
      <c r="D49" s="76">
        <f t="shared" ca="1" si="47"/>
        <v>0</v>
      </c>
      <c r="E49" s="77">
        <f ca="1">IFERROR(__xludf.DUMMYFUNCTION("IMPORTRANGE(""https://docs.google.com/spreadsheets/d/1C3CXT74ZlgGe6_JY_1olB1XN4rF0dxEuIIF-xsYjHgg/edit?usp=sharing"",""พรบ!BO53"")"),0)</f>
        <v>0</v>
      </c>
      <c r="F49" s="77">
        <f ca="1">IFERROR(__xludf.DUMMYFUNCTION("IMPORTRANGE(""https://docs.google.com/spreadsheets/d/1C3CXT74ZlgGe6_JY_1olB1XN4rF0dxEuIIF-xsYjHgg/edit?usp=sharing"",""พรบ!BP53"")"),0)</f>
        <v>0</v>
      </c>
      <c r="G49" s="77">
        <f ca="1">IFERROR(__xludf.DUMMYFUNCTION("IMPORTRANGE(""https://docs.google.com/spreadsheets/d/1Yj_ptqi66GCucihVvJfMjLAmec39IyEx_6qawtMGysU/edit?usp=sharing"",""สบก!CR53"")"),0)</f>
        <v>0</v>
      </c>
      <c r="H49" s="77">
        <f ca="1">IFERROR(__xludf.DUMMYFUNCTION("IMPORTRANGE(""https://docs.google.com/spreadsheets/d/1Yj_ptqi66GCucihVvJfMjLAmec39IyEx_6qawtMGysU/edit?usp=shCTing"",""สบก!CT53"")"),0)</f>
        <v>0</v>
      </c>
      <c r="I49" s="77">
        <f t="shared" ca="1" si="3"/>
        <v>0</v>
      </c>
      <c r="J49" s="137">
        <f t="shared" ca="1" si="4"/>
        <v>0</v>
      </c>
      <c r="K49" s="77">
        <f ca="1">IFERROR(__xludf.DUMMYFUNCTION("IMPORTRANGE(""https://docs.google.com/spreadsheets/d/1Yj_ptqi66GCucihVvJfMjLAmec39IyEx_6qawtMGysU/edit?usp=sharing"",""สบก!CU53"")"),0)</f>
        <v>0</v>
      </c>
      <c r="L49" s="137">
        <f t="shared" ca="1" si="5"/>
        <v>0</v>
      </c>
      <c r="M49" s="137">
        <f t="shared" ca="1" si="6"/>
        <v>0</v>
      </c>
      <c r="N49" s="137">
        <f ca="1">IFERROR(__xludf.DUMMYFUNCTION("IMPORTRANGE(""https://docs.google.com/spreadsheets/d/1Yj_ptqi66GCucihVvJfMjLAmec39IyEx_6qawtMGysU/edit?usp=sharing"",""สบก!CV53"")"),0)</f>
        <v>0</v>
      </c>
      <c r="O49" s="137">
        <f t="shared" ca="1" si="7"/>
        <v>0</v>
      </c>
      <c r="P49" s="77">
        <f ca="1">IFERROR(__xludf.DUMMYFUNCTION("IMPORTRANGE(""https://docs.google.com/spreadsheets/d/1C3CXT74ZlgGe6_JY_1olB1XN4rF0dxEuIIF-xsYjHgg/edit?usp=sharing"",""พรบ!BQ53"")"),0)</f>
        <v>0</v>
      </c>
      <c r="Q49" s="77">
        <f ca="1">IFERROR(__xludf.DUMMYFUNCTION("IMPORTRANGE(""https://docs.google.com/spreadsheets/d/1XL5vhW3sbDhbH9Cz0tuDiY8C3ctxq1tqvaCgkFb8cCA/edit?usp=sharing"",""หนองคาย!j209"")"),0)</f>
        <v>0</v>
      </c>
      <c r="R49" s="137">
        <f t="shared" ca="1" si="9"/>
        <v>0</v>
      </c>
      <c r="S49" s="77">
        <f ca="1">IFERROR(__xludf.DUMMYFUNCTION("IMPORTRANGE(""https://docs.google.com/spreadsheets/d/1XL5vhW3sbDhbH9Cz0tuDiY8C3ctxq1tqvaCgkFb8cCA/edit?usp=sharing"",""หนองคาย!j211"")"),0)</f>
        <v>0</v>
      </c>
      <c r="T49" s="137">
        <f t="shared" ca="1" si="10"/>
        <v>0</v>
      </c>
      <c r="U49" s="75">
        <f t="shared" ca="1" si="11"/>
        <v>0</v>
      </c>
      <c r="V49" s="76">
        <f t="shared" ca="1" si="48"/>
        <v>0</v>
      </c>
      <c r="W49" s="77">
        <f ca="1">IFERROR(__xludf.DUMMYFUNCTION("IMPORTRANGE(""https://docs.google.com/spreadsheets/d/1C3CXT74ZlgGe6_JY_1olB1XN4rF0dxEuIIF-xsYjHgg/edit?usp=sharing"",""พรบ!BT53"")"),0)</f>
        <v>0</v>
      </c>
      <c r="X49" s="77">
        <f ca="1">IFERROR(__xludf.DUMMYFUNCTION("IMPORTRANGE(""https://docs.google.com/spreadsheets/d/1C3CXT74ZlgGe6_JY_1olB1XN4rF0dxEuIIF-xsYjHgg/edit?usp=sharing"",""พรบ!BU53"")"),0)</f>
        <v>0</v>
      </c>
      <c r="Y49" s="77">
        <f ca="1">IFERROR(__xludf.DUMMYFUNCTION("IMPORTRANGE(""https://docs.google.com/spreadsheets/d/1Yj_ptqi66GCucihVvJfMjLAmec39IyEx_6qawtMGysU/edit?usp=sharing"",""สบก!DA53"")"),0)</f>
        <v>0</v>
      </c>
      <c r="Z49" s="77">
        <f ca="1">IFERROR(__xludf.DUMMYFUNCTION("IMPORTRANGE(""https://docs.google.com/spreadsheets/d/1Yj_ptqi66GCucihVvJfMjLAmec39IyEx_6qawtMGysU/edit?usp=shDCing"",""สบก!DC53"")"),0)</f>
        <v>0</v>
      </c>
      <c r="AA49" s="77">
        <f t="shared" ca="1" si="14"/>
        <v>0</v>
      </c>
      <c r="AB49" s="137">
        <f t="shared" ca="1" si="15"/>
        <v>0</v>
      </c>
      <c r="AC49" s="77">
        <f ca="1">IFERROR(__xludf.DUMMYFUNCTION("IMPORTRANGE(""https://docs.google.com/spreadsheets/d/1Yj_ptqi66GCucihVvJfMjLAmec39IyEx_6qawtMGysU/edit?usp=sharing"",""สบก!DD53"")"),0)</f>
        <v>0</v>
      </c>
      <c r="AD49" s="137">
        <f t="shared" ca="1" si="16"/>
        <v>0</v>
      </c>
      <c r="AE49" s="137">
        <f t="shared" ca="1" si="17"/>
        <v>0</v>
      </c>
      <c r="AF49" s="137">
        <f ca="1">IFERROR(__xludf.DUMMYFUNCTION("IMPORTRANGE(""https://docs.google.com/spreadsheets/d/1Yj_ptqi66GCucihVvJfMjLAmec39IyEx_6qawtMGysU/edit?usp=sharing"",""สบก!DE53"")"),0)</f>
        <v>0</v>
      </c>
      <c r="AG49" s="137">
        <f t="shared" ca="1" si="18"/>
        <v>0</v>
      </c>
      <c r="AH49" s="77">
        <f ca="1">IFERROR(__xludf.DUMMYFUNCTION("IMPORTRANGE(""https://docs.google.com/spreadsheets/d/1C3CXT74ZlgGe6_JY_1olB1XN4rF0dxEuIIF-xsYjHgg/edit?usp=sharing"",""พรบ!BV53"")"),0)</f>
        <v>0</v>
      </c>
      <c r="AI49" s="77">
        <f ca="1">IFERROR(__xludf.DUMMYFUNCTION("IMPORTRANGE(""https://docs.google.com/spreadsheets/d/1XL5vhW3sbDhbH9Cz0tuDiY8C3ctxq1tqvaCgkFb8cCA/edit?usp=sharing"",""หนองคาย!j224"")"),0)</f>
        <v>0</v>
      </c>
      <c r="AJ49" s="137">
        <f t="shared" ca="1" si="20"/>
        <v>0</v>
      </c>
      <c r="AK49" s="114"/>
      <c r="AL49" s="114"/>
      <c r="AM49" s="114"/>
      <c r="AN49" s="114"/>
      <c r="AO49" s="114"/>
      <c r="AP49" s="114"/>
    </row>
    <row r="50" spans="1:42" ht="21" customHeight="1">
      <c r="A50" s="73">
        <v>17</v>
      </c>
      <c r="B50" s="74" t="s">
        <v>74</v>
      </c>
      <c r="C50" s="75">
        <f t="shared" ca="1" si="0"/>
        <v>0</v>
      </c>
      <c r="D50" s="76">
        <f t="shared" ca="1" si="47"/>
        <v>0</v>
      </c>
      <c r="E50" s="77">
        <f ca="1">IFERROR(__xludf.DUMMYFUNCTION("IMPORTRANGE(""https://docs.google.com/spreadsheets/d/1C3CXT74ZlgGe6_JY_1olB1XN4rF0dxEuIIF-xsYjHgg/edit?usp=sharing"",""พรบ!BO54"")"),0)</f>
        <v>0</v>
      </c>
      <c r="F50" s="77">
        <f ca="1">IFERROR(__xludf.DUMMYFUNCTION("IMPORTRANGE(""https://docs.google.com/spreadsheets/d/1C3CXT74ZlgGe6_JY_1olB1XN4rF0dxEuIIF-xsYjHgg/edit?usp=sharing"",""พรบ!BP54"")"),0)</f>
        <v>0</v>
      </c>
      <c r="G50" s="77">
        <f ca="1">IFERROR(__xludf.DUMMYFUNCTION("IMPORTRANGE(""https://docs.google.com/spreadsheets/d/1Yj_ptqi66GCucihVvJfMjLAmec39IyEx_6qawtMGysU/edit?usp=sharing"",""สบก!CR54"")"),0)</f>
        <v>0</v>
      </c>
      <c r="H50" s="77">
        <f ca="1">IFERROR(__xludf.DUMMYFUNCTION("IMPORTRANGE(""https://docs.google.com/spreadsheets/d/1Yj_ptqi66GCucihVvJfMjLAmec39IyEx_6qawtMGysU/edit?usp=shCTing"",""สบก!CT54"")"),0)</f>
        <v>0</v>
      </c>
      <c r="I50" s="77">
        <f t="shared" ca="1" si="3"/>
        <v>0</v>
      </c>
      <c r="J50" s="137">
        <f t="shared" ca="1" si="4"/>
        <v>0</v>
      </c>
      <c r="K50" s="77">
        <f ca="1">IFERROR(__xludf.DUMMYFUNCTION("IMPORTRANGE(""https://docs.google.com/spreadsheets/d/1Yj_ptqi66GCucihVvJfMjLAmec39IyEx_6qawtMGysU/edit?usp=sharing"",""สบก!CU54"")"),0)</f>
        <v>0</v>
      </c>
      <c r="L50" s="137">
        <f t="shared" ca="1" si="5"/>
        <v>0</v>
      </c>
      <c r="M50" s="137">
        <f t="shared" ca="1" si="6"/>
        <v>0</v>
      </c>
      <c r="N50" s="137">
        <f ca="1">IFERROR(__xludf.DUMMYFUNCTION("IMPORTRANGE(""https://docs.google.com/spreadsheets/d/1Yj_ptqi66GCucihVvJfMjLAmec39IyEx_6qawtMGysU/edit?usp=sharing"",""สบก!CV54"")"),0)</f>
        <v>0</v>
      </c>
      <c r="O50" s="137">
        <f t="shared" ca="1" si="7"/>
        <v>0</v>
      </c>
      <c r="P50" s="77">
        <f ca="1">IFERROR(__xludf.DUMMYFUNCTION("IMPORTRANGE(""https://docs.google.com/spreadsheets/d/1C3CXT74ZlgGe6_JY_1olB1XN4rF0dxEuIIF-xsYjHgg/edit?usp=sharing"",""พรบ!BQ54"")"),0)</f>
        <v>0</v>
      </c>
      <c r="Q50" s="77">
        <f ca="1">IFERROR(__xludf.DUMMYFUNCTION("IMPORTRANGE(""https://docs.google.com/spreadsheets/d/1XL5vhW3sbDhbH9Cz0tuDiY8C3ctxq1tqvaCgkFb8cCA/edit?usp=sharing"",""หนองบัวลำภู!j209"")"),0)</f>
        <v>0</v>
      </c>
      <c r="R50" s="137">
        <f t="shared" ca="1" si="9"/>
        <v>0</v>
      </c>
      <c r="S50" s="77">
        <f ca="1">IFERROR(__xludf.DUMMYFUNCTION("IMPORTRANGE(""https://docs.google.com/spreadsheets/d/1XL5vhW3sbDhbH9Cz0tuDiY8C3ctxq1tqvaCgkFb8cCA/edit?usp=sharing"",""หนองบัวลำภู!j211"")"),0)</f>
        <v>0</v>
      </c>
      <c r="T50" s="137">
        <f t="shared" ca="1" si="10"/>
        <v>0</v>
      </c>
      <c r="U50" s="75">
        <f t="shared" ca="1" si="11"/>
        <v>0</v>
      </c>
      <c r="V50" s="76">
        <f t="shared" ca="1" si="48"/>
        <v>0</v>
      </c>
      <c r="W50" s="77">
        <f ca="1">IFERROR(__xludf.DUMMYFUNCTION("IMPORTRANGE(""https://docs.google.com/spreadsheets/d/1C3CXT74ZlgGe6_JY_1olB1XN4rF0dxEuIIF-xsYjHgg/edit?usp=sharing"",""พรบ!BT54"")"),0)</f>
        <v>0</v>
      </c>
      <c r="X50" s="77">
        <f ca="1">IFERROR(__xludf.DUMMYFUNCTION("IMPORTRANGE(""https://docs.google.com/spreadsheets/d/1C3CXT74ZlgGe6_JY_1olB1XN4rF0dxEuIIF-xsYjHgg/edit?usp=sharing"",""พรบ!BU54"")"),0)</f>
        <v>0</v>
      </c>
      <c r="Y50" s="77">
        <f ca="1">IFERROR(__xludf.DUMMYFUNCTION("IMPORTRANGE(""https://docs.google.com/spreadsheets/d/1Yj_ptqi66GCucihVvJfMjLAmec39IyEx_6qawtMGysU/edit?usp=sharing"",""สบก!DA54"")"),0)</f>
        <v>0</v>
      </c>
      <c r="Z50" s="77">
        <f ca="1">IFERROR(__xludf.DUMMYFUNCTION("IMPORTRANGE(""https://docs.google.com/spreadsheets/d/1Yj_ptqi66GCucihVvJfMjLAmec39IyEx_6qawtMGysU/edit?usp=shDCing"",""สบก!DC54"")"),0)</f>
        <v>0</v>
      </c>
      <c r="AA50" s="77">
        <f t="shared" ca="1" si="14"/>
        <v>0</v>
      </c>
      <c r="AB50" s="137">
        <f t="shared" ca="1" si="15"/>
        <v>0</v>
      </c>
      <c r="AC50" s="77">
        <f ca="1">IFERROR(__xludf.DUMMYFUNCTION("IMPORTRANGE(""https://docs.google.com/spreadsheets/d/1Yj_ptqi66GCucihVvJfMjLAmec39IyEx_6qawtMGysU/edit?usp=sharing"",""สบก!DD54"")"),0)</f>
        <v>0</v>
      </c>
      <c r="AD50" s="137">
        <f t="shared" ca="1" si="16"/>
        <v>0</v>
      </c>
      <c r="AE50" s="137">
        <f t="shared" ca="1" si="17"/>
        <v>0</v>
      </c>
      <c r="AF50" s="137">
        <f ca="1">IFERROR(__xludf.DUMMYFUNCTION("IMPORTRANGE(""https://docs.google.com/spreadsheets/d/1Yj_ptqi66GCucihVvJfMjLAmec39IyEx_6qawtMGysU/edit?usp=sharing"",""สบก!DE54"")"),0)</f>
        <v>0</v>
      </c>
      <c r="AG50" s="137">
        <f t="shared" ca="1" si="18"/>
        <v>0</v>
      </c>
      <c r="AH50" s="77">
        <f ca="1">IFERROR(__xludf.DUMMYFUNCTION("IMPORTRANGE(""https://docs.google.com/spreadsheets/d/1C3CXT74ZlgGe6_JY_1olB1XN4rF0dxEuIIF-xsYjHgg/edit?usp=sharing"",""พรบ!BV54"")"),0)</f>
        <v>0</v>
      </c>
      <c r="AI50" s="77">
        <f ca="1">IFERROR(__xludf.DUMMYFUNCTION("IMPORTRANGE(""https://docs.google.com/spreadsheets/d/1XL5vhW3sbDhbH9Cz0tuDiY8C3ctxq1tqvaCgkFb8cCA/edit?usp=sharing"",""หนองบัวลำภู!j224"")"),0)</f>
        <v>0</v>
      </c>
      <c r="AJ50" s="137">
        <f t="shared" ca="1" si="20"/>
        <v>0</v>
      </c>
      <c r="AK50" s="114"/>
      <c r="AL50" s="114"/>
      <c r="AM50" s="114"/>
      <c r="AN50" s="114"/>
      <c r="AO50" s="114"/>
      <c r="AP50" s="114"/>
    </row>
    <row r="51" spans="1:42" ht="21" customHeight="1">
      <c r="A51" s="73">
        <v>18</v>
      </c>
      <c r="B51" s="74" t="s">
        <v>75</v>
      </c>
      <c r="C51" s="75">
        <f t="shared" ca="1" si="0"/>
        <v>0</v>
      </c>
      <c r="D51" s="76">
        <f t="shared" ca="1" si="47"/>
        <v>0</v>
      </c>
      <c r="E51" s="77">
        <f ca="1">IFERROR(__xludf.DUMMYFUNCTION("IMPORTRANGE(""https://docs.google.com/spreadsheets/d/1C3CXT74ZlgGe6_JY_1olB1XN4rF0dxEuIIF-xsYjHgg/edit?usp=sharing"",""พรบ!BO55"")"),0)</f>
        <v>0</v>
      </c>
      <c r="F51" s="77">
        <f ca="1">IFERROR(__xludf.DUMMYFUNCTION("IMPORTRANGE(""https://docs.google.com/spreadsheets/d/1C3CXT74ZlgGe6_JY_1olB1XN4rF0dxEuIIF-xsYjHgg/edit?usp=sharing"",""พรบ!BP55"")"),0)</f>
        <v>0</v>
      </c>
      <c r="G51" s="77">
        <f ca="1">IFERROR(__xludf.DUMMYFUNCTION("IMPORTRANGE(""https://docs.google.com/spreadsheets/d/1Yj_ptqi66GCucihVvJfMjLAmec39IyEx_6qawtMGysU/edit?usp=sharing"",""สบก!CR55"")"),0)</f>
        <v>0</v>
      </c>
      <c r="H51" s="77">
        <f ca="1">IFERROR(__xludf.DUMMYFUNCTION("IMPORTRANGE(""https://docs.google.com/spreadsheets/d/1Yj_ptqi66GCucihVvJfMjLAmec39IyEx_6qawtMGysU/edit?usp=shCTing"",""สบก!CT55"")"),0)</f>
        <v>0</v>
      </c>
      <c r="I51" s="77">
        <f t="shared" ca="1" si="3"/>
        <v>0</v>
      </c>
      <c r="J51" s="137">
        <f t="shared" ca="1" si="4"/>
        <v>0</v>
      </c>
      <c r="K51" s="77">
        <f ca="1">IFERROR(__xludf.DUMMYFUNCTION("IMPORTRANGE(""https://docs.google.com/spreadsheets/d/1Yj_ptqi66GCucihVvJfMjLAmec39IyEx_6qawtMGysU/edit?usp=sharing"",""สบก!CU55"")"),0)</f>
        <v>0</v>
      </c>
      <c r="L51" s="137">
        <f t="shared" ca="1" si="5"/>
        <v>0</v>
      </c>
      <c r="M51" s="137">
        <f t="shared" ca="1" si="6"/>
        <v>0</v>
      </c>
      <c r="N51" s="137">
        <f ca="1">IFERROR(__xludf.DUMMYFUNCTION("IMPORTRANGE(""https://docs.google.com/spreadsheets/d/1Yj_ptqi66GCucihVvJfMjLAmec39IyEx_6qawtMGysU/edit?usp=sharing"",""สบก!CV55"")"),0)</f>
        <v>0</v>
      </c>
      <c r="O51" s="137">
        <f t="shared" ca="1" si="7"/>
        <v>0</v>
      </c>
      <c r="P51" s="77">
        <f ca="1">IFERROR(__xludf.DUMMYFUNCTION("IMPORTRANGE(""https://docs.google.com/spreadsheets/d/1C3CXT74ZlgGe6_JY_1olB1XN4rF0dxEuIIF-xsYjHgg/edit?usp=sharing"",""พรบ!BQ55"")"),0)</f>
        <v>0</v>
      </c>
      <c r="Q51" s="77">
        <f ca="1">IFERROR(__xludf.DUMMYFUNCTION("IMPORTRANGE(""https://docs.google.com/spreadsheets/d/1XL5vhW3sbDhbH9Cz0tuDiY8C3ctxq1tqvaCgkFb8cCA/edit?usp=sharing"",""อำนาจเจริญ!j209"")"),0)</f>
        <v>0</v>
      </c>
      <c r="R51" s="137">
        <f t="shared" ca="1" si="9"/>
        <v>0</v>
      </c>
      <c r="S51" s="77">
        <f ca="1">IFERROR(__xludf.DUMMYFUNCTION("IMPORTRANGE(""https://docs.google.com/spreadsheets/d/1XL5vhW3sbDhbH9Cz0tuDiY8C3ctxq1tqvaCgkFb8cCA/edit?usp=sharing"",""อำนาจเจริญ!j211"")"),0)</f>
        <v>0</v>
      </c>
      <c r="T51" s="137">
        <f t="shared" ca="1" si="10"/>
        <v>0</v>
      </c>
      <c r="U51" s="75">
        <f t="shared" ca="1" si="11"/>
        <v>0</v>
      </c>
      <c r="V51" s="76">
        <f t="shared" ca="1" si="48"/>
        <v>0</v>
      </c>
      <c r="W51" s="77">
        <f ca="1">IFERROR(__xludf.DUMMYFUNCTION("IMPORTRANGE(""https://docs.google.com/spreadsheets/d/1C3CXT74ZlgGe6_JY_1olB1XN4rF0dxEuIIF-xsYjHgg/edit?usp=sharing"",""พรบ!BT55"")"),0)</f>
        <v>0</v>
      </c>
      <c r="X51" s="77">
        <f ca="1">IFERROR(__xludf.DUMMYFUNCTION("IMPORTRANGE(""https://docs.google.com/spreadsheets/d/1C3CXT74ZlgGe6_JY_1olB1XN4rF0dxEuIIF-xsYjHgg/edit?usp=sharing"",""พรบ!BU55"")"),0)</f>
        <v>0</v>
      </c>
      <c r="Y51" s="77">
        <f ca="1">IFERROR(__xludf.DUMMYFUNCTION("IMPORTRANGE(""https://docs.google.com/spreadsheets/d/1Yj_ptqi66GCucihVvJfMjLAmec39IyEx_6qawtMGysU/edit?usp=sharing"",""สบก!DA55"")"),0)</f>
        <v>0</v>
      </c>
      <c r="Z51" s="77">
        <f ca="1">IFERROR(__xludf.DUMMYFUNCTION("IMPORTRANGE(""https://docs.google.com/spreadsheets/d/1Yj_ptqi66GCucihVvJfMjLAmec39IyEx_6qawtMGysU/edit?usp=shDCing"",""สบก!DC55"")"),0)</f>
        <v>0</v>
      </c>
      <c r="AA51" s="77">
        <f t="shared" ca="1" si="14"/>
        <v>0</v>
      </c>
      <c r="AB51" s="137">
        <f t="shared" ca="1" si="15"/>
        <v>0</v>
      </c>
      <c r="AC51" s="77">
        <f ca="1">IFERROR(__xludf.DUMMYFUNCTION("IMPORTRANGE(""https://docs.google.com/spreadsheets/d/1Yj_ptqi66GCucihVvJfMjLAmec39IyEx_6qawtMGysU/edit?usp=sharing"",""สบก!DD55"")"),0)</f>
        <v>0</v>
      </c>
      <c r="AD51" s="137">
        <f t="shared" ca="1" si="16"/>
        <v>0</v>
      </c>
      <c r="AE51" s="137">
        <f t="shared" ca="1" si="17"/>
        <v>0</v>
      </c>
      <c r="AF51" s="137">
        <f ca="1">IFERROR(__xludf.DUMMYFUNCTION("IMPORTRANGE(""https://docs.google.com/spreadsheets/d/1Yj_ptqi66GCucihVvJfMjLAmec39IyEx_6qawtMGysU/edit?usp=sharing"",""สบก!DE55"")"),0)</f>
        <v>0</v>
      </c>
      <c r="AG51" s="137">
        <f t="shared" ca="1" si="18"/>
        <v>0</v>
      </c>
      <c r="AH51" s="77">
        <f ca="1">IFERROR(__xludf.DUMMYFUNCTION("IMPORTRANGE(""https://docs.google.com/spreadsheets/d/1C3CXT74ZlgGe6_JY_1olB1XN4rF0dxEuIIF-xsYjHgg/edit?usp=sharing"",""พรบ!BV55"")"),0)</f>
        <v>0</v>
      </c>
      <c r="AI51" s="77">
        <f ca="1">IFERROR(__xludf.DUMMYFUNCTION("IMPORTRANGE(""https://docs.google.com/spreadsheets/d/1XL5vhW3sbDhbH9Cz0tuDiY8C3ctxq1tqvaCgkFb8cCA/edit?usp=sharing"",""อำนาจเจริญ!j224"")"),0)</f>
        <v>0</v>
      </c>
      <c r="AJ51" s="137">
        <f t="shared" ca="1" si="20"/>
        <v>0</v>
      </c>
      <c r="AK51" s="114"/>
      <c r="AL51" s="114"/>
      <c r="AM51" s="114"/>
      <c r="AN51" s="114"/>
      <c r="AO51" s="114"/>
      <c r="AP51" s="114"/>
    </row>
    <row r="52" spans="1:42" ht="21" customHeight="1">
      <c r="A52" s="73">
        <v>19</v>
      </c>
      <c r="B52" s="74" t="s">
        <v>76</v>
      </c>
      <c r="C52" s="75">
        <f t="shared" ca="1" si="0"/>
        <v>0</v>
      </c>
      <c r="D52" s="76">
        <f t="shared" ca="1" si="47"/>
        <v>0</v>
      </c>
      <c r="E52" s="77">
        <f ca="1">IFERROR(__xludf.DUMMYFUNCTION("IMPORTRANGE(""https://docs.google.com/spreadsheets/d/1C3CXT74ZlgGe6_JY_1olB1XN4rF0dxEuIIF-xsYjHgg/edit?usp=sharing"",""พรบ!BO56"")"),0)</f>
        <v>0</v>
      </c>
      <c r="F52" s="77">
        <f ca="1">IFERROR(__xludf.DUMMYFUNCTION("IMPORTRANGE(""https://docs.google.com/spreadsheets/d/1C3CXT74ZlgGe6_JY_1olB1XN4rF0dxEuIIF-xsYjHgg/edit?usp=sharing"",""พรบ!BP56"")"),0)</f>
        <v>0</v>
      </c>
      <c r="G52" s="77">
        <f ca="1">IFERROR(__xludf.DUMMYFUNCTION("IMPORTRANGE(""https://docs.google.com/spreadsheets/d/1Yj_ptqi66GCucihVvJfMjLAmec39IyEx_6qawtMGysU/edit?usp=sharing"",""สบก!CR56"")"),0)</f>
        <v>0</v>
      </c>
      <c r="H52" s="77">
        <f ca="1">IFERROR(__xludf.DUMMYFUNCTION("IMPORTRANGE(""https://docs.google.com/spreadsheets/d/1Yj_ptqi66GCucihVvJfMjLAmec39IyEx_6qawtMGysU/edit?usp=shCTing"",""สบก!CT56"")"),0)</f>
        <v>0</v>
      </c>
      <c r="I52" s="77">
        <f t="shared" ca="1" si="3"/>
        <v>0</v>
      </c>
      <c r="J52" s="137">
        <f t="shared" ca="1" si="4"/>
        <v>0</v>
      </c>
      <c r="K52" s="77">
        <f ca="1">IFERROR(__xludf.DUMMYFUNCTION("IMPORTRANGE(""https://docs.google.com/spreadsheets/d/1Yj_ptqi66GCucihVvJfMjLAmec39IyEx_6qawtMGysU/edit?usp=sharing"",""สบก!CU56"")"),0)</f>
        <v>0</v>
      </c>
      <c r="L52" s="137">
        <f t="shared" ca="1" si="5"/>
        <v>0</v>
      </c>
      <c r="M52" s="137">
        <f t="shared" ca="1" si="6"/>
        <v>0</v>
      </c>
      <c r="N52" s="137">
        <f ca="1">IFERROR(__xludf.DUMMYFUNCTION("IMPORTRANGE(""https://docs.google.com/spreadsheets/d/1Yj_ptqi66GCucihVvJfMjLAmec39IyEx_6qawtMGysU/edit?usp=sharing"",""สบก!CV56"")"),0)</f>
        <v>0</v>
      </c>
      <c r="O52" s="137">
        <f t="shared" ca="1" si="7"/>
        <v>0</v>
      </c>
      <c r="P52" s="77">
        <f ca="1">IFERROR(__xludf.DUMMYFUNCTION("IMPORTRANGE(""https://docs.google.com/spreadsheets/d/1C3CXT74ZlgGe6_JY_1olB1XN4rF0dxEuIIF-xsYjHgg/edit?usp=sharing"",""พรบ!BQ56"")"),0)</f>
        <v>0</v>
      </c>
      <c r="Q52" s="77">
        <f ca="1">IFERROR(__xludf.DUMMYFUNCTION("IMPORTRANGE(""https://docs.google.com/spreadsheets/d/1XL5vhW3sbDhbH9Cz0tuDiY8C3ctxq1tqvaCgkFb8cCA/edit?usp=sharing"",""อุดรธานี!j209"")"),0)</f>
        <v>0</v>
      </c>
      <c r="R52" s="137">
        <f t="shared" ca="1" si="9"/>
        <v>0</v>
      </c>
      <c r="S52" s="77">
        <f ca="1">IFERROR(__xludf.DUMMYFUNCTION("IMPORTRANGE(""https://docs.google.com/spreadsheets/d/1XL5vhW3sbDhbH9Cz0tuDiY8C3ctxq1tqvaCgkFb8cCA/edit?usp=sharing"",""อุดรธานี!j211"")"),0)</f>
        <v>0</v>
      </c>
      <c r="T52" s="137">
        <f t="shared" ca="1" si="10"/>
        <v>0</v>
      </c>
      <c r="U52" s="75">
        <f t="shared" ca="1" si="11"/>
        <v>0</v>
      </c>
      <c r="V52" s="76">
        <f t="shared" ca="1" si="48"/>
        <v>0</v>
      </c>
      <c r="W52" s="77">
        <f ca="1">IFERROR(__xludf.DUMMYFUNCTION("IMPORTRANGE(""https://docs.google.com/spreadsheets/d/1C3CXT74ZlgGe6_JY_1olB1XN4rF0dxEuIIF-xsYjHgg/edit?usp=sharing"",""พรบ!BT56"")"),0)</f>
        <v>0</v>
      </c>
      <c r="X52" s="77">
        <f ca="1">IFERROR(__xludf.DUMMYFUNCTION("IMPORTRANGE(""https://docs.google.com/spreadsheets/d/1C3CXT74ZlgGe6_JY_1olB1XN4rF0dxEuIIF-xsYjHgg/edit?usp=sharing"",""พรบ!BU56"")"),0)</f>
        <v>0</v>
      </c>
      <c r="Y52" s="77">
        <f ca="1">IFERROR(__xludf.DUMMYFUNCTION("IMPORTRANGE(""https://docs.google.com/spreadsheets/d/1Yj_ptqi66GCucihVvJfMjLAmec39IyEx_6qawtMGysU/edit?usp=sharing"",""สบก!DA56"")"),0)</f>
        <v>0</v>
      </c>
      <c r="Z52" s="77">
        <f ca="1">IFERROR(__xludf.DUMMYFUNCTION("IMPORTRANGE(""https://docs.google.com/spreadsheets/d/1Yj_ptqi66GCucihVvJfMjLAmec39IyEx_6qawtMGysU/edit?usp=shDCing"",""สบก!DC56"")"),0)</f>
        <v>0</v>
      </c>
      <c r="AA52" s="77">
        <f t="shared" ca="1" si="14"/>
        <v>0</v>
      </c>
      <c r="AB52" s="137">
        <f t="shared" ca="1" si="15"/>
        <v>0</v>
      </c>
      <c r="AC52" s="77">
        <f ca="1">IFERROR(__xludf.DUMMYFUNCTION("IMPORTRANGE(""https://docs.google.com/spreadsheets/d/1Yj_ptqi66GCucihVvJfMjLAmec39IyEx_6qawtMGysU/edit?usp=sharing"",""สบก!DD56"")"),0)</f>
        <v>0</v>
      </c>
      <c r="AD52" s="137">
        <f t="shared" ca="1" si="16"/>
        <v>0</v>
      </c>
      <c r="AE52" s="137">
        <f t="shared" ca="1" si="17"/>
        <v>0</v>
      </c>
      <c r="AF52" s="137">
        <f ca="1">IFERROR(__xludf.DUMMYFUNCTION("IMPORTRANGE(""https://docs.google.com/spreadsheets/d/1Yj_ptqi66GCucihVvJfMjLAmec39IyEx_6qawtMGysU/edit?usp=sharing"",""สบก!DE56"")"),0)</f>
        <v>0</v>
      </c>
      <c r="AG52" s="137">
        <f t="shared" ca="1" si="18"/>
        <v>0</v>
      </c>
      <c r="AH52" s="77">
        <f ca="1">IFERROR(__xludf.DUMMYFUNCTION("IMPORTRANGE(""https://docs.google.com/spreadsheets/d/1C3CXT74ZlgGe6_JY_1olB1XN4rF0dxEuIIF-xsYjHgg/edit?usp=sharing"",""พรบ!BV56"")"),0)</f>
        <v>0</v>
      </c>
      <c r="AI52" s="77">
        <f ca="1">IFERROR(__xludf.DUMMYFUNCTION("IMPORTRANGE(""https://docs.google.com/spreadsheets/d/1XL5vhW3sbDhbH9Cz0tuDiY8C3ctxq1tqvaCgkFb8cCA/edit?usp=sharing"",""อุดรธานี!j224"")"),0)</f>
        <v>0</v>
      </c>
      <c r="AJ52" s="137">
        <f t="shared" ca="1" si="20"/>
        <v>0</v>
      </c>
      <c r="AK52" s="114"/>
      <c r="AL52" s="114"/>
      <c r="AM52" s="114"/>
      <c r="AN52" s="114"/>
      <c r="AO52" s="114"/>
      <c r="AP52" s="114"/>
    </row>
    <row r="53" spans="1:42" ht="21" customHeight="1">
      <c r="A53" s="84">
        <v>20</v>
      </c>
      <c r="B53" s="85" t="s">
        <v>77</v>
      </c>
      <c r="C53" s="86">
        <f t="shared" ca="1" si="0"/>
        <v>0</v>
      </c>
      <c r="D53" s="87">
        <f t="shared" ca="1" si="47"/>
        <v>0</v>
      </c>
      <c r="E53" s="88">
        <f ca="1">IFERROR(__xludf.DUMMYFUNCTION("IMPORTRANGE(""https://docs.google.com/spreadsheets/d/1C3CXT74ZlgGe6_JY_1olB1XN4rF0dxEuIIF-xsYjHgg/edit?usp=sharing"",""พรบ!BO57"")"),0)</f>
        <v>0</v>
      </c>
      <c r="F53" s="88">
        <f ca="1">IFERROR(__xludf.DUMMYFUNCTION("IMPORTRANGE(""https://docs.google.com/spreadsheets/d/1C3CXT74ZlgGe6_JY_1olB1XN4rF0dxEuIIF-xsYjHgg/edit?usp=sharing"",""พรบ!BP57"")"),0)</f>
        <v>0</v>
      </c>
      <c r="G53" s="88">
        <f ca="1">IFERROR(__xludf.DUMMYFUNCTION("IMPORTRANGE(""https://docs.google.com/spreadsheets/d/1Yj_ptqi66GCucihVvJfMjLAmec39IyEx_6qawtMGysU/edit?usp=sharing"",""สบก!CR57"")"),0)</f>
        <v>0</v>
      </c>
      <c r="H53" s="88">
        <f ca="1">IFERROR(__xludf.DUMMYFUNCTION("IMPORTRANGE(""https://docs.google.com/spreadsheets/d/1Yj_ptqi66GCucihVvJfMjLAmec39IyEx_6qawtMGysU/edit?usp=shCTing"",""สบก!CT57"")"),0)</f>
        <v>0</v>
      </c>
      <c r="I53" s="88">
        <f t="shared" ca="1" si="3"/>
        <v>0</v>
      </c>
      <c r="J53" s="138">
        <f t="shared" ca="1" si="4"/>
        <v>0</v>
      </c>
      <c r="K53" s="88">
        <f ca="1">IFERROR(__xludf.DUMMYFUNCTION("IMPORTRANGE(""https://docs.google.com/spreadsheets/d/1Yj_ptqi66GCucihVvJfMjLAmec39IyEx_6qawtMGysU/edit?usp=sharing"",""สบก!CU57"")"),0)</f>
        <v>0</v>
      </c>
      <c r="L53" s="138">
        <f t="shared" ca="1" si="5"/>
        <v>0</v>
      </c>
      <c r="M53" s="138">
        <f t="shared" ca="1" si="6"/>
        <v>0</v>
      </c>
      <c r="N53" s="138">
        <f ca="1">IFERROR(__xludf.DUMMYFUNCTION("IMPORTRANGE(""https://docs.google.com/spreadsheets/d/1Yj_ptqi66GCucihVvJfMjLAmec39IyEx_6qawtMGysU/edit?usp=sharing"",""สบก!CV57"")"),0)</f>
        <v>0</v>
      </c>
      <c r="O53" s="138">
        <f t="shared" ca="1" si="7"/>
        <v>0</v>
      </c>
      <c r="P53" s="88">
        <f ca="1">IFERROR(__xludf.DUMMYFUNCTION("IMPORTRANGE(""https://docs.google.com/spreadsheets/d/1C3CXT74ZlgGe6_JY_1olB1XN4rF0dxEuIIF-xsYjHgg/edit?usp=sharing"",""พรบ!BQ57"")"),0)</f>
        <v>0</v>
      </c>
      <c r="Q53" s="88">
        <f ca="1">IFERROR(__xludf.DUMMYFUNCTION("IMPORTRANGE(""https://docs.google.com/spreadsheets/d/1XL5vhW3sbDhbH9Cz0tuDiY8C3ctxq1tqvaCgkFb8cCA/edit?usp=sharing"",""อุบลราชธานี!j209"")"),0)</f>
        <v>0</v>
      </c>
      <c r="R53" s="138">
        <f t="shared" ca="1" si="9"/>
        <v>0</v>
      </c>
      <c r="S53" s="88">
        <f ca="1">IFERROR(__xludf.DUMMYFUNCTION("IMPORTRANGE(""https://docs.google.com/spreadsheets/d/1XL5vhW3sbDhbH9Cz0tuDiY8C3ctxq1tqvaCgkFb8cCA/edit?usp=sharing"",""อุบลราชธานี!j211"")"),0)</f>
        <v>0</v>
      </c>
      <c r="T53" s="138">
        <f t="shared" ca="1" si="10"/>
        <v>0</v>
      </c>
      <c r="U53" s="86">
        <f t="shared" ca="1" si="11"/>
        <v>0</v>
      </c>
      <c r="V53" s="87">
        <f t="shared" ca="1" si="48"/>
        <v>0</v>
      </c>
      <c r="W53" s="88">
        <f ca="1">IFERROR(__xludf.DUMMYFUNCTION("IMPORTRANGE(""https://docs.google.com/spreadsheets/d/1C3CXT74ZlgGe6_JY_1olB1XN4rF0dxEuIIF-xsYjHgg/edit?usp=sharing"",""พรบ!BT57"")"),0)</f>
        <v>0</v>
      </c>
      <c r="X53" s="88">
        <f ca="1">IFERROR(__xludf.DUMMYFUNCTION("IMPORTRANGE(""https://docs.google.com/spreadsheets/d/1C3CXT74ZlgGe6_JY_1olB1XN4rF0dxEuIIF-xsYjHgg/edit?usp=sharing"",""พรบ!BU57"")"),0)</f>
        <v>0</v>
      </c>
      <c r="Y53" s="88">
        <f ca="1">IFERROR(__xludf.DUMMYFUNCTION("IMPORTRANGE(""https://docs.google.com/spreadsheets/d/1Yj_ptqi66GCucihVvJfMjLAmec39IyEx_6qawtMGysU/edit?usp=sharing"",""สบก!DA57"")"),0)</f>
        <v>0</v>
      </c>
      <c r="Z53" s="88">
        <f ca="1">IFERROR(__xludf.DUMMYFUNCTION("IMPORTRANGE(""https://docs.google.com/spreadsheets/d/1Yj_ptqi66GCucihVvJfMjLAmec39IyEx_6qawtMGysU/edit?usp=shDCing"",""สบก!DC57"")"),0)</f>
        <v>0</v>
      </c>
      <c r="AA53" s="88">
        <f t="shared" ca="1" si="14"/>
        <v>0</v>
      </c>
      <c r="AB53" s="138">
        <f t="shared" ca="1" si="15"/>
        <v>0</v>
      </c>
      <c r="AC53" s="88">
        <f ca="1">IFERROR(__xludf.DUMMYFUNCTION("IMPORTRANGE(""https://docs.google.com/spreadsheets/d/1Yj_ptqi66GCucihVvJfMjLAmec39IyEx_6qawtMGysU/edit?usp=sharing"",""สบก!DD57"")"),0)</f>
        <v>0</v>
      </c>
      <c r="AD53" s="138">
        <f t="shared" ca="1" si="16"/>
        <v>0</v>
      </c>
      <c r="AE53" s="138">
        <f t="shared" ca="1" si="17"/>
        <v>0</v>
      </c>
      <c r="AF53" s="138">
        <f ca="1">IFERROR(__xludf.DUMMYFUNCTION("IMPORTRANGE(""https://docs.google.com/spreadsheets/d/1Yj_ptqi66GCucihVvJfMjLAmec39IyEx_6qawtMGysU/edit?usp=sharing"",""สบก!DE57"")"),0)</f>
        <v>0</v>
      </c>
      <c r="AG53" s="138">
        <f t="shared" ca="1" si="18"/>
        <v>0</v>
      </c>
      <c r="AH53" s="88">
        <f ca="1">IFERROR(__xludf.DUMMYFUNCTION("IMPORTRANGE(""https://docs.google.com/spreadsheets/d/1C3CXT74ZlgGe6_JY_1olB1XN4rF0dxEuIIF-xsYjHgg/edit?usp=sharing"",""พรบ!BV57"")"),0)</f>
        <v>0</v>
      </c>
      <c r="AI53" s="88">
        <f ca="1">IFERROR(__xludf.DUMMYFUNCTION("IMPORTRANGE(""https://docs.google.com/spreadsheets/d/1XL5vhW3sbDhbH9Cz0tuDiY8C3ctxq1tqvaCgkFb8cCA/edit?usp=sharing"",""อุบลราชธานี!j224"")"),0)</f>
        <v>0</v>
      </c>
      <c r="AJ53" s="138">
        <f t="shared" ca="1" si="20"/>
        <v>0</v>
      </c>
      <c r="AK53" s="114"/>
      <c r="AL53" s="114"/>
      <c r="AM53" s="114"/>
      <c r="AN53" s="114"/>
      <c r="AO53" s="114"/>
      <c r="AP53" s="114"/>
    </row>
    <row r="54" spans="1:42" ht="21" customHeight="1">
      <c r="A54" s="679" t="s">
        <v>78</v>
      </c>
      <c r="B54" s="678"/>
      <c r="C54" s="94">
        <f t="shared" ca="1" si="0"/>
        <v>437820</v>
      </c>
      <c r="D54" s="95">
        <f t="shared" ref="D54:H54" ca="1" si="49">SUM(D55:D75)</f>
        <v>315320</v>
      </c>
      <c r="E54" s="95">
        <f t="shared" ca="1" si="49"/>
        <v>0</v>
      </c>
      <c r="F54" s="95">
        <f t="shared" ca="1" si="49"/>
        <v>315320</v>
      </c>
      <c r="G54" s="95">
        <f t="shared" ca="1" si="49"/>
        <v>122500</v>
      </c>
      <c r="H54" s="95">
        <f t="shared" ca="1" si="49"/>
        <v>315320</v>
      </c>
      <c r="I54" s="95">
        <f t="shared" ca="1" si="3"/>
        <v>267470</v>
      </c>
      <c r="J54" s="139">
        <f t="shared" ca="1" si="4"/>
        <v>61.091316065963184</v>
      </c>
      <c r="K54" s="95">
        <f ca="1">SUM(K55:K75)</f>
        <v>144970</v>
      </c>
      <c r="L54" s="139">
        <f t="shared" ca="1" si="5"/>
        <v>45.975516935176962</v>
      </c>
      <c r="M54" s="139">
        <f t="shared" ca="1" si="6"/>
        <v>45.975516935176962</v>
      </c>
      <c r="N54" s="139">
        <f ca="1">SUM(N55:N75)</f>
        <v>122500</v>
      </c>
      <c r="O54" s="139">
        <f t="shared" ca="1" si="7"/>
        <v>100</v>
      </c>
      <c r="P54" s="95">
        <f t="shared" ref="P54:Q54" ca="1" si="50">SUM(P55:P75)</f>
        <v>100</v>
      </c>
      <c r="Q54" s="95">
        <f t="shared" ca="1" si="50"/>
        <v>100</v>
      </c>
      <c r="R54" s="139">
        <f t="shared" ca="1" si="9"/>
        <v>100</v>
      </c>
      <c r="S54" s="95">
        <f ca="1">SUM(S55:S75)</f>
        <v>0</v>
      </c>
      <c r="T54" s="139">
        <f t="shared" ca="1" si="10"/>
        <v>0</v>
      </c>
      <c r="U54" s="94">
        <f t="shared" ca="1" si="11"/>
        <v>1019800</v>
      </c>
      <c r="V54" s="95">
        <f t="shared" ref="V54:Z54" ca="1" si="51">SUM(V55:V75)</f>
        <v>1019800</v>
      </c>
      <c r="W54" s="95">
        <f t="shared" ca="1" si="51"/>
        <v>0</v>
      </c>
      <c r="X54" s="95">
        <f t="shared" ca="1" si="51"/>
        <v>1019800</v>
      </c>
      <c r="Y54" s="95">
        <f t="shared" ca="1" si="51"/>
        <v>0</v>
      </c>
      <c r="Z54" s="95">
        <f t="shared" ca="1" si="51"/>
        <v>764900</v>
      </c>
      <c r="AA54" s="95">
        <f t="shared" ca="1" si="14"/>
        <v>299054</v>
      </c>
      <c r="AB54" s="139">
        <f t="shared" ca="1" si="15"/>
        <v>29.324769562659345</v>
      </c>
      <c r="AC54" s="95">
        <f ca="1">SUM(AC55:AC75)</f>
        <v>299054</v>
      </c>
      <c r="AD54" s="139">
        <f t="shared" ca="1" si="16"/>
        <v>29.324769562659345</v>
      </c>
      <c r="AE54" s="139">
        <f t="shared" ca="1" si="17"/>
        <v>39.09713688063799</v>
      </c>
      <c r="AF54" s="139">
        <f ca="1">SUM(AF55:AF75)</f>
        <v>0</v>
      </c>
      <c r="AG54" s="139">
        <f t="shared" ca="1" si="18"/>
        <v>0</v>
      </c>
      <c r="AH54" s="95">
        <f t="shared" ref="AH54:AI54" ca="1" si="52">SUM(AH55:AH75)</f>
        <v>15</v>
      </c>
      <c r="AI54" s="95">
        <f t="shared" ca="1" si="52"/>
        <v>8</v>
      </c>
      <c r="AJ54" s="139">
        <f t="shared" ca="1" si="20"/>
        <v>53.333333333333336</v>
      </c>
      <c r="AK54" s="114"/>
      <c r="AL54" s="114"/>
      <c r="AM54" s="114"/>
      <c r="AN54" s="114"/>
      <c r="AO54" s="114"/>
      <c r="AP54" s="114"/>
    </row>
    <row r="55" spans="1:42" ht="21" customHeight="1">
      <c r="A55" s="63">
        <v>1</v>
      </c>
      <c r="B55" s="64" t="s">
        <v>79</v>
      </c>
      <c r="C55" s="65">
        <f t="shared" ca="1" si="0"/>
        <v>217860</v>
      </c>
      <c r="D55" s="66">
        <f t="shared" ref="D55:D75" ca="1" si="53">+E55+F55</f>
        <v>95360</v>
      </c>
      <c r="E55" s="67">
        <f ca="1">IFERROR(__xludf.DUMMYFUNCTION("IMPORTRANGE(""https://docs.google.com/spreadsheets/d/1C3CXT74ZlgGe6_JY_1olB1XN4rF0dxEuIIF-xsYjHgg/edit?usp=sharing"",""พรบ!BO59"")"),0)</f>
        <v>0</v>
      </c>
      <c r="F55" s="67">
        <f ca="1">IFERROR(__xludf.DUMMYFUNCTION("IMPORTRANGE(""https://docs.google.com/spreadsheets/d/1C3CXT74ZlgGe6_JY_1olB1XN4rF0dxEuIIF-xsYjHgg/edit?usp=sharing"",""พรบ!BP59"")"),95360)</f>
        <v>95360</v>
      </c>
      <c r="G55" s="67">
        <f ca="1">IFERROR(__xludf.DUMMYFUNCTION("IMPORTRANGE(""https://docs.google.com/spreadsheets/d/1Yj_ptqi66GCucihVvJfMjLAmec39IyEx_6qawtMGysU/edit?usp=sharing"",""สบก!CR59"")"),122500)</f>
        <v>122500</v>
      </c>
      <c r="H55" s="67">
        <f ca="1">IFERROR(__xludf.DUMMYFUNCTION("IMPORTRANGE(""https://docs.google.com/spreadsheets/d/1Yj_ptqi66GCucihVvJfMjLAmec39IyEx_6qawtMGysU/edit?usp=shCTing"",""สบก!CT59"")"),95360)</f>
        <v>95360</v>
      </c>
      <c r="I55" s="67">
        <f t="shared" ca="1" si="3"/>
        <v>166850</v>
      </c>
      <c r="J55" s="136">
        <f t="shared" ca="1" si="4"/>
        <v>76.585880840907009</v>
      </c>
      <c r="K55" s="67">
        <f ca="1">IFERROR(__xludf.DUMMYFUNCTION("IMPORTRANGE(""https://docs.google.com/spreadsheets/d/1Yj_ptqi66GCucihVvJfMjLAmec39IyEx_6qawtMGysU/edit?usp=sharing"",""สบก!CU59"")"),44350)</f>
        <v>44350</v>
      </c>
      <c r="L55" s="136">
        <f t="shared" ca="1" si="5"/>
        <v>46.507969798657719</v>
      </c>
      <c r="M55" s="136">
        <f t="shared" ca="1" si="6"/>
        <v>46.507969798657719</v>
      </c>
      <c r="N55" s="136">
        <f ca="1">IFERROR(__xludf.DUMMYFUNCTION("IMPORTRANGE(""https://docs.google.com/spreadsheets/d/1Yj_ptqi66GCucihVvJfMjLAmec39IyEx_6qawtMGysU/edit?usp=sharing"",""สบก!CV59"")"),122500)</f>
        <v>122500</v>
      </c>
      <c r="O55" s="136">
        <f t="shared" ca="1" si="7"/>
        <v>100</v>
      </c>
      <c r="P55" s="67">
        <f ca="1">IFERROR(__xludf.DUMMYFUNCTION("IMPORTRANGE(""https://docs.google.com/spreadsheets/d/1C3CXT74ZlgGe6_JY_1olB1XN4rF0dxEuIIF-xsYjHgg/edit?usp=sharing"",""พรบ!BQ59"")"),30)</f>
        <v>30</v>
      </c>
      <c r="Q55" s="67">
        <f ca="1">IFERROR(__xludf.DUMMYFUNCTION("IMPORTRANGE(""https://docs.google.com/spreadsheets/d/1SX6NBoVAgQJ6U1MVXOaj8PK2l7WJ3RER9xtqwdhxkhw/edit?usp=sharing"",""กาญจนบุรี!J209"")"),30)</f>
        <v>30</v>
      </c>
      <c r="R55" s="136">
        <f t="shared" ca="1" si="9"/>
        <v>100</v>
      </c>
      <c r="S55" s="67">
        <f ca="1">IFERROR(__xludf.DUMMYFUNCTION("IMPORTRANGE(""https://docs.google.com/spreadsheets/d/1SX6NBoVAgQJ6U1MVXOaj8PK2l7WJ3RER9xtqwdhxkhw/edit?usp=sharing"",""กาญจนบุรี!J211"")"),0)</f>
        <v>0</v>
      </c>
      <c r="T55" s="136">
        <f t="shared" ca="1" si="10"/>
        <v>0</v>
      </c>
      <c r="U55" s="65">
        <f t="shared" ca="1" si="11"/>
        <v>264600</v>
      </c>
      <c r="V55" s="66">
        <f t="shared" ref="V55:V75" ca="1" si="54">+W55+X55</f>
        <v>264600</v>
      </c>
      <c r="W55" s="67">
        <f ca="1">IFERROR(__xludf.DUMMYFUNCTION("IMPORTRANGE(""https://docs.google.com/spreadsheets/d/1C3CXT74ZlgGe6_JY_1olB1XN4rF0dxEuIIF-xsYjHgg/edit?usp=sharing"",""พรบ!BT59"")"),0)</f>
        <v>0</v>
      </c>
      <c r="X55" s="67">
        <f ca="1">IFERROR(__xludf.DUMMYFUNCTION("IMPORTRANGE(""https://docs.google.com/spreadsheets/d/1C3CXT74ZlgGe6_JY_1olB1XN4rF0dxEuIIF-xsYjHgg/edit?usp=sharing"",""พรบ!BU59"")"),264600)</f>
        <v>264600</v>
      </c>
      <c r="Y55" s="67">
        <f ca="1">IFERROR(__xludf.DUMMYFUNCTION("IMPORTRANGE(""https://docs.google.com/spreadsheets/d/1Yj_ptqi66GCucihVvJfMjLAmec39IyEx_6qawtMGysU/edit?usp=sharing"",""สบก!DA59"")"),0)</f>
        <v>0</v>
      </c>
      <c r="Z55" s="67">
        <f ca="1">IFERROR(__xludf.DUMMYFUNCTION("IMPORTRANGE(""https://docs.google.com/spreadsheets/d/1Yj_ptqi66GCucihVvJfMjLAmec39IyEx_6qawtMGysU/edit?usp=shDCing"",""สบก!DC59"")"),198500)</f>
        <v>198500</v>
      </c>
      <c r="AA55" s="67">
        <f t="shared" ca="1" si="14"/>
        <v>91870</v>
      </c>
      <c r="AB55" s="136">
        <f t="shared" ca="1" si="15"/>
        <v>34.720332577475432</v>
      </c>
      <c r="AC55" s="67">
        <f ca="1">IFERROR(__xludf.DUMMYFUNCTION("IMPORTRANGE(""https://docs.google.com/spreadsheets/d/1Yj_ptqi66GCucihVvJfMjLAmec39IyEx_6qawtMGysU/edit?usp=sharing"",""สบก!DD59"")"),91870)</f>
        <v>91870</v>
      </c>
      <c r="AD55" s="136">
        <f t="shared" ca="1" si="16"/>
        <v>34.720332577475432</v>
      </c>
      <c r="AE55" s="136">
        <f t="shared" ca="1" si="17"/>
        <v>46.28211586901763</v>
      </c>
      <c r="AF55" s="136">
        <f ca="1">IFERROR(__xludf.DUMMYFUNCTION("IMPORTRANGE(""https://docs.google.com/spreadsheets/d/1Yj_ptqi66GCucihVvJfMjLAmec39IyEx_6qawtMGysU/edit?usp=sharing"",""สบก!DE59"")"),0)</f>
        <v>0</v>
      </c>
      <c r="AG55" s="136">
        <f t="shared" ca="1" si="18"/>
        <v>0</v>
      </c>
      <c r="AH55" s="67">
        <f ca="1">IFERROR(__xludf.DUMMYFUNCTION("IMPORTRANGE(""https://docs.google.com/spreadsheets/d/1C3CXT74ZlgGe6_JY_1olB1XN4rF0dxEuIIF-xsYjHgg/edit?usp=sharing"",""พรบ!BV59"")"),3)</f>
        <v>3</v>
      </c>
      <c r="AI55" s="67">
        <f ca="1">IFERROR(__xludf.DUMMYFUNCTION("IMPORTRANGE(""https://docs.google.com/spreadsheets/d/1SX6NBoVAgQJ6U1MVXOaj8PK2l7WJ3RER9xtqwdhxkhw/edit?usp=sharing"",""กาญจนบุรี!J224"")"),1)</f>
        <v>1</v>
      </c>
      <c r="AJ55" s="136">
        <f t="shared" ca="1" si="20"/>
        <v>33.333333333333336</v>
      </c>
      <c r="AK55" s="114"/>
      <c r="AL55" s="114"/>
      <c r="AM55" s="114"/>
      <c r="AN55" s="114"/>
      <c r="AO55" s="114"/>
      <c r="AP55" s="114"/>
    </row>
    <row r="56" spans="1:42" ht="21" customHeight="1">
      <c r="A56" s="73">
        <v>2</v>
      </c>
      <c r="B56" s="74" t="s">
        <v>80</v>
      </c>
      <c r="C56" s="75">
        <f t="shared" ca="1" si="0"/>
        <v>0</v>
      </c>
      <c r="D56" s="76">
        <f t="shared" ca="1" si="53"/>
        <v>0</v>
      </c>
      <c r="E56" s="77">
        <f ca="1">IFERROR(__xludf.DUMMYFUNCTION("IMPORTRANGE(""https://docs.google.com/spreadsheets/d/1C3CXT74ZlgGe6_JY_1olB1XN4rF0dxEuIIF-xsYjHgg/edit?usp=sharing"",""พรบ!BO60"")"),0)</f>
        <v>0</v>
      </c>
      <c r="F56" s="77">
        <f ca="1">IFERROR(__xludf.DUMMYFUNCTION("IMPORTRANGE(""https://docs.google.com/spreadsheets/d/1C3CXT74ZlgGe6_JY_1olB1XN4rF0dxEuIIF-xsYjHgg/edit?usp=sharing"",""พรบ!BP60"")"),0)</f>
        <v>0</v>
      </c>
      <c r="G56" s="77">
        <f ca="1">IFERROR(__xludf.DUMMYFUNCTION("IMPORTRANGE(""https://docs.google.com/spreadsheets/d/1Yj_ptqi66GCucihVvJfMjLAmec39IyEx_6qawtMGysU/edit?usp=sharing"",""สบก!CR60"")"),0)</f>
        <v>0</v>
      </c>
      <c r="H56" s="77">
        <f ca="1">IFERROR(__xludf.DUMMYFUNCTION("IMPORTRANGE(""https://docs.google.com/spreadsheets/d/1Yj_ptqi66GCucihVvJfMjLAmec39IyEx_6qawtMGysU/edit?usp=shCTing"",""สบก!CT60"")"),0)</f>
        <v>0</v>
      </c>
      <c r="I56" s="77">
        <f t="shared" ca="1" si="3"/>
        <v>0</v>
      </c>
      <c r="J56" s="137">
        <f t="shared" ca="1" si="4"/>
        <v>0</v>
      </c>
      <c r="K56" s="77">
        <f ca="1">IFERROR(__xludf.DUMMYFUNCTION("IMPORTRANGE(""https://docs.google.com/spreadsheets/d/1Yj_ptqi66GCucihVvJfMjLAmec39IyEx_6qawtMGysU/edit?usp=sharing"",""สบก!CU60"")"),0)</f>
        <v>0</v>
      </c>
      <c r="L56" s="137">
        <f t="shared" ca="1" si="5"/>
        <v>0</v>
      </c>
      <c r="M56" s="137">
        <f t="shared" ca="1" si="6"/>
        <v>0</v>
      </c>
      <c r="N56" s="137">
        <f ca="1">IFERROR(__xludf.DUMMYFUNCTION("IMPORTRANGE(""https://docs.google.com/spreadsheets/d/1Yj_ptqi66GCucihVvJfMjLAmec39IyEx_6qawtMGysU/edit?usp=sharing"",""สบก!CV60"")"),0)</f>
        <v>0</v>
      </c>
      <c r="O56" s="137">
        <f t="shared" ca="1" si="7"/>
        <v>0</v>
      </c>
      <c r="P56" s="77">
        <f ca="1">IFERROR(__xludf.DUMMYFUNCTION("IMPORTRANGE(""https://docs.google.com/spreadsheets/d/1C3CXT74ZlgGe6_JY_1olB1XN4rF0dxEuIIF-xsYjHgg/edit?usp=sharing"",""พรบ!BQ60"")"),0)</f>
        <v>0</v>
      </c>
      <c r="Q56" s="77">
        <f ca="1">IFERROR(__xludf.DUMMYFUNCTION("IMPORTRANGE(""https://docs.google.com/spreadsheets/d/1SX6NBoVAgQJ6U1MVXOaj8PK2l7WJ3RER9xtqwdhxkhw/edit?usp=sharing"",""จันทบุรี!J209"")"),0)</f>
        <v>0</v>
      </c>
      <c r="R56" s="137">
        <f t="shared" ca="1" si="9"/>
        <v>0</v>
      </c>
      <c r="S56" s="77">
        <f ca="1">IFERROR(__xludf.DUMMYFUNCTION("IMPORTRANGE(""https://docs.google.com/spreadsheets/d/1SX6NBoVAgQJ6U1MVXOaj8PK2l7WJ3RER9xtqwdhxkhw/edit?usp=sharing"",""จันทบุรี!J211"")"),0)</f>
        <v>0</v>
      </c>
      <c r="T56" s="137">
        <f t="shared" ca="1" si="10"/>
        <v>0</v>
      </c>
      <c r="U56" s="75">
        <f t="shared" ca="1" si="11"/>
        <v>0</v>
      </c>
      <c r="V56" s="76">
        <f t="shared" ca="1" si="54"/>
        <v>0</v>
      </c>
      <c r="W56" s="77">
        <f ca="1">IFERROR(__xludf.DUMMYFUNCTION("IMPORTRANGE(""https://docs.google.com/spreadsheets/d/1C3CXT74ZlgGe6_JY_1olB1XN4rF0dxEuIIF-xsYjHgg/edit?usp=sharing"",""พรบ!BT60"")"),0)</f>
        <v>0</v>
      </c>
      <c r="X56" s="77">
        <f ca="1">IFERROR(__xludf.DUMMYFUNCTION("IMPORTRANGE(""https://docs.google.com/spreadsheets/d/1C3CXT74ZlgGe6_JY_1olB1XN4rF0dxEuIIF-xsYjHgg/edit?usp=sharing"",""พรบ!BU60"")"),0)</f>
        <v>0</v>
      </c>
      <c r="Y56" s="77">
        <f ca="1">IFERROR(__xludf.DUMMYFUNCTION("IMPORTRANGE(""https://docs.google.com/spreadsheets/d/1Yj_ptqi66GCucihVvJfMjLAmec39IyEx_6qawtMGysU/edit?usp=sharing"",""สบก!DA60"")"),0)</f>
        <v>0</v>
      </c>
      <c r="Z56" s="77">
        <f ca="1">IFERROR(__xludf.DUMMYFUNCTION("IMPORTRANGE(""https://docs.google.com/spreadsheets/d/1Yj_ptqi66GCucihVvJfMjLAmec39IyEx_6qawtMGysU/edit?usp=shDCing"",""สบก!DC60"")"),0)</f>
        <v>0</v>
      </c>
      <c r="AA56" s="77">
        <f t="shared" ca="1" si="14"/>
        <v>0</v>
      </c>
      <c r="AB56" s="137">
        <f t="shared" ca="1" si="15"/>
        <v>0</v>
      </c>
      <c r="AC56" s="77">
        <f ca="1">IFERROR(__xludf.DUMMYFUNCTION("IMPORTRANGE(""https://docs.google.com/spreadsheets/d/1Yj_ptqi66GCucihVvJfMjLAmec39IyEx_6qawtMGysU/edit?usp=sharing"",""สบก!DD60"")"),0)</f>
        <v>0</v>
      </c>
      <c r="AD56" s="137">
        <f t="shared" ca="1" si="16"/>
        <v>0</v>
      </c>
      <c r="AE56" s="137">
        <f t="shared" ca="1" si="17"/>
        <v>0</v>
      </c>
      <c r="AF56" s="137">
        <f ca="1">IFERROR(__xludf.DUMMYFUNCTION("IMPORTRANGE(""https://docs.google.com/spreadsheets/d/1Yj_ptqi66GCucihVvJfMjLAmec39IyEx_6qawtMGysU/edit?usp=sharing"",""สบก!DE60"")"),0)</f>
        <v>0</v>
      </c>
      <c r="AG56" s="137">
        <f t="shared" ca="1" si="18"/>
        <v>0</v>
      </c>
      <c r="AH56" s="77">
        <f ca="1">IFERROR(__xludf.DUMMYFUNCTION("IMPORTRANGE(""https://docs.google.com/spreadsheets/d/1C3CXT74ZlgGe6_JY_1olB1XN4rF0dxEuIIF-xsYjHgg/edit?usp=sharing"",""พรบ!BV60"")"),0)</f>
        <v>0</v>
      </c>
      <c r="AI56" s="77">
        <f ca="1">IFERROR(__xludf.DUMMYFUNCTION("IMPORTRANGE(""https://docs.google.com/spreadsheets/d/1SX6NBoVAgQJ6U1MVXOaj8PK2l7WJ3RER9xtqwdhxkhw/edit?usp=sharing"",""จันทบุรี!J224"")"),0)</f>
        <v>0</v>
      </c>
      <c r="AJ56" s="137">
        <f t="shared" ca="1" si="20"/>
        <v>0</v>
      </c>
      <c r="AK56" s="114"/>
      <c r="AL56" s="114"/>
      <c r="AM56" s="114"/>
      <c r="AN56" s="114"/>
      <c r="AO56" s="114"/>
      <c r="AP56" s="114"/>
    </row>
    <row r="57" spans="1:42" ht="21" customHeight="1">
      <c r="A57" s="73">
        <v>3</v>
      </c>
      <c r="B57" s="74" t="s">
        <v>81</v>
      </c>
      <c r="C57" s="75">
        <f t="shared" ca="1" si="0"/>
        <v>0</v>
      </c>
      <c r="D57" s="76">
        <f t="shared" ca="1" si="53"/>
        <v>0</v>
      </c>
      <c r="E57" s="77">
        <f ca="1">IFERROR(__xludf.DUMMYFUNCTION("IMPORTRANGE(""https://docs.google.com/spreadsheets/d/1C3CXT74ZlgGe6_JY_1olB1XN4rF0dxEuIIF-xsYjHgg/edit?usp=sharing"",""พรบ!BO61"")"),0)</f>
        <v>0</v>
      </c>
      <c r="F57" s="77">
        <f ca="1">IFERROR(__xludf.DUMMYFUNCTION("IMPORTRANGE(""https://docs.google.com/spreadsheets/d/1C3CXT74ZlgGe6_JY_1olB1XN4rF0dxEuIIF-xsYjHgg/edit?usp=sharing"",""พรบ!BP61"")"),0)</f>
        <v>0</v>
      </c>
      <c r="G57" s="77">
        <f ca="1">IFERROR(__xludf.DUMMYFUNCTION("IMPORTRANGE(""https://docs.google.com/spreadsheets/d/1Yj_ptqi66GCucihVvJfMjLAmec39IyEx_6qawtMGysU/edit?usp=sharing"",""สบก!CR61"")"),0)</f>
        <v>0</v>
      </c>
      <c r="H57" s="77">
        <f ca="1">IFERROR(__xludf.DUMMYFUNCTION("IMPORTRANGE(""https://docs.google.com/spreadsheets/d/1Yj_ptqi66GCucihVvJfMjLAmec39IyEx_6qawtMGysU/edit?usp=shCTing"",""สบก!CT61"")"),0)</f>
        <v>0</v>
      </c>
      <c r="I57" s="77">
        <f t="shared" ca="1" si="3"/>
        <v>0</v>
      </c>
      <c r="J57" s="137">
        <f t="shared" ca="1" si="4"/>
        <v>0</v>
      </c>
      <c r="K57" s="77">
        <f ca="1">IFERROR(__xludf.DUMMYFUNCTION("IMPORTRANGE(""https://docs.google.com/spreadsheets/d/1Yj_ptqi66GCucihVvJfMjLAmec39IyEx_6qawtMGysU/edit?usp=sharing"",""สบก!CU61"")"),0)</f>
        <v>0</v>
      </c>
      <c r="L57" s="137">
        <f t="shared" ca="1" si="5"/>
        <v>0</v>
      </c>
      <c r="M57" s="137">
        <f t="shared" ca="1" si="6"/>
        <v>0</v>
      </c>
      <c r="N57" s="137">
        <f ca="1">IFERROR(__xludf.DUMMYFUNCTION("IMPORTRANGE(""https://docs.google.com/spreadsheets/d/1Yj_ptqi66GCucihVvJfMjLAmec39IyEx_6qawtMGysU/edit?usp=sharing"",""สบก!CV61"")"),0)</f>
        <v>0</v>
      </c>
      <c r="O57" s="137">
        <f t="shared" ca="1" si="7"/>
        <v>0</v>
      </c>
      <c r="P57" s="77">
        <f ca="1">IFERROR(__xludf.DUMMYFUNCTION("IMPORTRANGE(""https://docs.google.com/spreadsheets/d/1C3CXT74ZlgGe6_JY_1olB1XN4rF0dxEuIIF-xsYjHgg/edit?usp=sharing"",""พรบ!BQ61"")"),0)</f>
        <v>0</v>
      </c>
      <c r="Q57" s="77">
        <f ca="1">IFERROR(__xludf.DUMMYFUNCTION("IMPORTRANGE(""https://docs.google.com/spreadsheets/d/1SX6NBoVAgQJ6U1MVXOaj8PK2l7WJ3RER9xtqwdhxkhw/edit?usp=sharing"",""ฉะเชิงเทรา!J209"")"),0)</f>
        <v>0</v>
      </c>
      <c r="R57" s="137">
        <f t="shared" ca="1" si="9"/>
        <v>0</v>
      </c>
      <c r="S57" s="77">
        <f ca="1">IFERROR(__xludf.DUMMYFUNCTION("IMPORTRANGE(""https://docs.google.com/spreadsheets/d/1SX6NBoVAgQJ6U1MVXOaj8PK2l7WJ3RER9xtqwdhxkhw/edit?usp=sharing"",""ฉะเชิงเทรา!J211"")"),0)</f>
        <v>0</v>
      </c>
      <c r="T57" s="137">
        <f t="shared" ca="1" si="10"/>
        <v>0</v>
      </c>
      <c r="U57" s="75">
        <f t="shared" ca="1" si="11"/>
        <v>0</v>
      </c>
      <c r="V57" s="76">
        <f t="shared" ca="1" si="54"/>
        <v>0</v>
      </c>
      <c r="W57" s="77">
        <f ca="1">IFERROR(__xludf.DUMMYFUNCTION("IMPORTRANGE(""https://docs.google.com/spreadsheets/d/1C3CXT74ZlgGe6_JY_1olB1XN4rF0dxEuIIF-xsYjHgg/edit?usp=sharing"",""พรบ!BT61"")"),0)</f>
        <v>0</v>
      </c>
      <c r="X57" s="77">
        <f ca="1">IFERROR(__xludf.DUMMYFUNCTION("IMPORTRANGE(""https://docs.google.com/spreadsheets/d/1C3CXT74ZlgGe6_JY_1olB1XN4rF0dxEuIIF-xsYjHgg/edit?usp=sharing"",""พรบ!BU61"")"),0)</f>
        <v>0</v>
      </c>
      <c r="Y57" s="77">
        <f ca="1">IFERROR(__xludf.DUMMYFUNCTION("IMPORTRANGE(""https://docs.google.com/spreadsheets/d/1Yj_ptqi66GCucihVvJfMjLAmec39IyEx_6qawtMGysU/edit?usp=sharing"",""สบก!DA61"")"),0)</f>
        <v>0</v>
      </c>
      <c r="Z57" s="77">
        <f ca="1">IFERROR(__xludf.DUMMYFUNCTION("IMPORTRANGE(""https://docs.google.com/spreadsheets/d/1Yj_ptqi66GCucihVvJfMjLAmec39IyEx_6qawtMGysU/edit?usp=shDCing"",""สบก!DC61"")"),0)</f>
        <v>0</v>
      </c>
      <c r="AA57" s="77">
        <f t="shared" ca="1" si="14"/>
        <v>0</v>
      </c>
      <c r="AB57" s="137">
        <f t="shared" ca="1" si="15"/>
        <v>0</v>
      </c>
      <c r="AC57" s="77">
        <f ca="1">IFERROR(__xludf.DUMMYFUNCTION("IMPORTRANGE(""https://docs.google.com/spreadsheets/d/1Yj_ptqi66GCucihVvJfMjLAmec39IyEx_6qawtMGysU/edit?usp=sharing"",""สบก!DD61"")"),0)</f>
        <v>0</v>
      </c>
      <c r="AD57" s="137">
        <f t="shared" ca="1" si="16"/>
        <v>0</v>
      </c>
      <c r="AE57" s="137">
        <f t="shared" ca="1" si="17"/>
        <v>0</v>
      </c>
      <c r="AF57" s="137">
        <f ca="1">IFERROR(__xludf.DUMMYFUNCTION("IMPORTRANGE(""https://docs.google.com/spreadsheets/d/1Yj_ptqi66GCucihVvJfMjLAmec39IyEx_6qawtMGysU/edit?usp=sharing"",""สบก!DE61"")"),0)</f>
        <v>0</v>
      </c>
      <c r="AG57" s="137">
        <f t="shared" ca="1" si="18"/>
        <v>0</v>
      </c>
      <c r="AH57" s="77">
        <f ca="1">IFERROR(__xludf.DUMMYFUNCTION("IMPORTRANGE(""https://docs.google.com/spreadsheets/d/1C3CXT74ZlgGe6_JY_1olB1XN4rF0dxEuIIF-xsYjHgg/edit?usp=sharing"",""พรบ!BV61"")"),0)</f>
        <v>0</v>
      </c>
      <c r="AI57" s="77">
        <f ca="1">IFERROR(__xludf.DUMMYFUNCTION("IMPORTRANGE(""https://docs.google.com/spreadsheets/d/1SX6NBoVAgQJ6U1MVXOaj8PK2l7WJ3RER9xtqwdhxkhw/edit?usp=sharing"",""ฉะเชิงเทรา!J224"")"),0)</f>
        <v>0</v>
      </c>
      <c r="AJ57" s="137">
        <f t="shared" ca="1" si="20"/>
        <v>0</v>
      </c>
      <c r="AK57" s="114"/>
      <c r="AL57" s="114"/>
      <c r="AM57" s="114"/>
      <c r="AN57" s="114"/>
      <c r="AO57" s="114"/>
      <c r="AP57" s="114"/>
    </row>
    <row r="58" spans="1:42" ht="21" customHeight="1">
      <c r="A58" s="73">
        <v>4</v>
      </c>
      <c r="B58" s="74" t="s">
        <v>82</v>
      </c>
      <c r="C58" s="75">
        <f t="shared" ca="1" si="0"/>
        <v>96320</v>
      </c>
      <c r="D58" s="76">
        <f t="shared" ca="1" si="53"/>
        <v>96320</v>
      </c>
      <c r="E58" s="77">
        <f ca="1">IFERROR(__xludf.DUMMYFUNCTION("IMPORTRANGE(""https://docs.google.com/spreadsheets/d/1C3CXT74ZlgGe6_JY_1olB1XN4rF0dxEuIIF-xsYjHgg/edit?usp=sharing"",""พรบ!BO62"")"),0)</f>
        <v>0</v>
      </c>
      <c r="F58" s="77">
        <f ca="1">IFERROR(__xludf.DUMMYFUNCTION("IMPORTRANGE(""https://docs.google.com/spreadsheets/d/1C3CXT74ZlgGe6_JY_1olB1XN4rF0dxEuIIF-xsYjHgg/edit?usp=sharing"",""พรบ!BP62"")"),96320)</f>
        <v>96320</v>
      </c>
      <c r="G58" s="77">
        <f ca="1">IFERROR(__xludf.DUMMYFUNCTION("IMPORTRANGE(""https://docs.google.com/spreadsheets/d/1Yj_ptqi66GCucihVvJfMjLAmec39IyEx_6qawtMGysU/edit?usp=sharing"",""สบก!CR62"")"),0)</f>
        <v>0</v>
      </c>
      <c r="H58" s="77">
        <f ca="1">IFERROR(__xludf.DUMMYFUNCTION("IMPORTRANGE(""https://docs.google.com/spreadsheets/d/1Yj_ptqi66GCucihVvJfMjLAmec39IyEx_6qawtMGysU/edit?usp=shCTing"",""สบก!CT62"")"),96320)</f>
        <v>96320</v>
      </c>
      <c r="I58" s="77">
        <f t="shared" ca="1" si="3"/>
        <v>42600</v>
      </c>
      <c r="J58" s="137">
        <f t="shared" ca="1" si="4"/>
        <v>44.227574750830563</v>
      </c>
      <c r="K58" s="77">
        <f ca="1">IFERROR(__xludf.DUMMYFUNCTION("IMPORTRANGE(""https://docs.google.com/spreadsheets/d/1Yj_ptqi66GCucihVvJfMjLAmec39IyEx_6qawtMGysU/edit?usp=sharing"",""สบก!CU62"")"),42600)</f>
        <v>42600</v>
      </c>
      <c r="L58" s="137">
        <f t="shared" ca="1" si="5"/>
        <v>44.227574750830563</v>
      </c>
      <c r="M58" s="137">
        <f t="shared" ca="1" si="6"/>
        <v>44.227574750830563</v>
      </c>
      <c r="N58" s="137">
        <f ca="1">IFERROR(__xludf.DUMMYFUNCTION("IMPORTRANGE(""https://docs.google.com/spreadsheets/d/1Yj_ptqi66GCucihVvJfMjLAmec39IyEx_6qawtMGysU/edit?usp=sharing"",""สบก!CV62"")"),0)</f>
        <v>0</v>
      </c>
      <c r="O58" s="137">
        <f t="shared" ca="1" si="7"/>
        <v>0</v>
      </c>
      <c r="P58" s="77">
        <f ca="1">IFERROR(__xludf.DUMMYFUNCTION("IMPORTRANGE(""https://docs.google.com/spreadsheets/d/1C3CXT74ZlgGe6_JY_1olB1XN4rF0dxEuIIF-xsYjHgg/edit?usp=sharing"",""พรบ!BQ62"")"),30)</f>
        <v>30</v>
      </c>
      <c r="Q58" s="77">
        <f ca="1">IFERROR(__xludf.DUMMYFUNCTION("IMPORTRANGE(""https://docs.google.com/spreadsheets/d/1SX6NBoVAgQJ6U1MVXOaj8PK2l7WJ3RER9xtqwdhxkhw/edit?usp=sharing"",""ชลบุรี!J209"")"),30)</f>
        <v>30</v>
      </c>
      <c r="R58" s="137">
        <f t="shared" ca="1" si="9"/>
        <v>100</v>
      </c>
      <c r="S58" s="77">
        <f ca="1">IFERROR(__xludf.DUMMYFUNCTION("IMPORTRANGE(""https://docs.google.com/spreadsheets/d/1SX6NBoVAgQJ6U1MVXOaj8PK2l7WJ3RER9xtqwdhxkhw/edit?usp=sharing"",""ชลบุรี!J211"")"),0)</f>
        <v>0</v>
      </c>
      <c r="T58" s="137">
        <f t="shared" ca="1" si="10"/>
        <v>0</v>
      </c>
      <c r="U58" s="75">
        <f t="shared" ca="1" si="11"/>
        <v>359600</v>
      </c>
      <c r="V58" s="76">
        <f t="shared" ca="1" si="54"/>
        <v>359600</v>
      </c>
      <c r="W58" s="77">
        <f ca="1">IFERROR(__xludf.DUMMYFUNCTION("IMPORTRANGE(""https://docs.google.com/spreadsheets/d/1C3CXT74ZlgGe6_JY_1olB1XN4rF0dxEuIIF-xsYjHgg/edit?usp=sharing"",""พรบ!BT62"")"),0)</f>
        <v>0</v>
      </c>
      <c r="X58" s="77">
        <f ca="1">IFERROR(__xludf.DUMMYFUNCTION("IMPORTRANGE(""https://docs.google.com/spreadsheets/d/1C3CXT74ZlgGe6_JY_1olB1XN4rF0dxEuIIF-xsYjHgg/edit?usp=sharing"",""พรบ!BU62"")"),359600)</f>
        <v>359600</v>
      </c>
      <c r="Y58" s="77">
        <f ca="1">IFERROR(__xludf.DUMMYFUNCTION("IMPORTRANGE(""https://docs.google.com/spreadsheets/d/1Yj_ptqi66GCucihVvJfMjLAmec39IyEx_6qawtMGysU/edit?usp=sharing"",""สบก!DA62"")"),0)</f>
        <v>0</v>
      </c>
      <c r="Z58" s="77">
        <f ca="1">IFERROR(__xludf.DUMMYFUNCTION("IMPORTRANGE(""https://docs.google.com/spreadsheets/d/1Yj_ptqi66GCucihVvJfMjLAmec39IyEx_6qawtMGysU/edit?usp=shDCing"",""สบก!DC62"")"),269700)</f>
        <v>269700</v>
      </c>
      <c r="AA58" s="77">
        <f t="shared" ca="1" si="14"/>
        <v>145164</v>
      </c>
      <c r="AB58" s="137">
        <f t="shared" ca="1" si="15"/>
        <v>40.368186874304783</v>
      </c>
      <c r="AC58" s="77">
        <f ca="1">IFERROR(__xludf.DUMMYFUNCTION("IMPORTRANGE(""https://docs.google.com/spreadsheets/d/1Yj_ptqi66GCucihVvJfMjLAmec39IyEx_6qawtMGysU/edit?usp=sharing"",""สบก!DD62"")"),145164)</f>
        <v>145164</v>
      </c>
      <c r="AD58" s="137">
        <f t="shared" ca="1" si="16"/>
        <v>40.368186874304783</v>
      </c>
      <c r="AE58" s="137">
        <f t="shared" ca="1" si="17"/>
        <v>53.824249165739708</v>
      </c>
      <c r="AF58" s="137">
        <f ca="1">IFERROR(__xludf.DUMMYFUNCTION("IMPORTRANGE(""https://docs.google.com/spreadsheets/d/1Yj_ptqi66GCucihVvJfMjLAmec39IyEx_6qawtMGysU/edit?usp=sharing"",""สบก!DE62"")"),0)</f>
        <v>0</v>
      </c>
      <c r="AG58" s="137">
        <f t="shared" ca="1" si="18"/>
        <v>0</v>
      </c>
      <c r="AH58" s="77">
        <f ca="1">IFERROR(__xludf.DUMMYFUNCTION("IMPORTRANGE(""https://docs.google.com/spreadsheets/d/1C3CXT74ZlgGe6_JY_1olB1XN4rF0dxEuIIF-xsYjHgg/edit?usp=sharing"",""พรบ!BV62"")"),2)</f>
        <v>2</v>
      </c>
      <c r="AI58" s="77">
        <f ca="1">IFERROR(__xludf.DUMMYFUNCTION("IMPORTRANGE(""https://docs.google.com/spreadsheets/d/1SX6NBoVAgQJ6U1MVXOaj8PK2l7WJ3RER9xtqwdhxkhw/edit?usp=sharing"",""ชลบุรี!J224"")"),2)</f>
        <v>2</v>
      </c>
      <c r="AJ58" s="137">
        <f t="shared" ca="1" si="20"/>
        <v>100</v>
      </c>
      <c r="AK58" s="114"/>
      <c r="AL58" s="114"/>
      <c r="AM58" s="114"/>
      <c r="AN58" s="114"/>
      <c r="AO58" s="114"/>
      <c r="AP58" s="114"/>
    </row>
    <row r="59" spans="1:42" ht="21" customHeight="1">
      <c r="A59" s="73">
        <v>5</v>
      </c>
      <c r="B59" s="74" t="s">
        <v>83</v>
      </c>
      <c r="C59" s="75">
        <f t="shared" ca="1" si="0"/>
        <v>0</v>
      </c>
      <c r="D59" s="76">
        <f t="shared" ca="1" si="53"/>
        <v>0</v>
      </c>
      <c r="E59" s="77">
        <f ca="1">IFERROR(__xludf.DUMMYFUNCTION("IMPORTRANGE(""https://docs.google.com/spreadsheets/d/1C3CXT74ZlgGe6_JY_1olB1XN4rF0dxEuIIF-xsYjHgg/edit?usp=sharing"",""พรบ!BO63"")"),0)</f>
        <v>0</v>
      </c>
      <c r="F59" s="77">
        <f ca="1">IFERROR(__xludf.DUMMYFUNCTION("IMPORTRANGE(""https://docs.google.com/spreadsheets/d/1C3CXT74ZlgGe6_JY_1olB1XN4rF0dxEuIIF-xsYjHgg/edit?usp=sharing"",""พรบ!BP63"")"),0)</f>
        <v>0</v>
      </c>
      <c r="G59" s="77">
        <f ca="1">IFERROR(__xludf.DUMMYFUNCTION("IMPORTRANGE(""https://docs.google.com/spreadsheets/d/1Yj_ptqi66GCucihVvJfMjLAmec39IyEx_6qawtMGysU/edit?usp=sharing"",""สบก!CR63"")"),0)</f>
        <v>0</v>
      </c>
      <c r="H59" s="77">
        <f ca="1">IFERROR(__xludf.DUMMYFUNCTION("IMPORTRANGE(""https://docs.google.com/spreadsheets/d/1Yj_ptqi66GCucihVvJfMjLAmec39IyEx_6qawtMGysU/edit?usp=shCTing"",""สบก!CT63"")"),0)</f>
        <v>0</v>
      </c>
      <c r="I59" s="77">
        <f t="shared" ca="1" si="3"/>
        <v>0</v>
      </c>
      <c r="J59" s="137">
        <f t="shared" ca="1" si="4"/>
        <v>0</v>
      </c>
      <c r="K59" s="77">
        <f ca="1">IFERROR(__xludf.DUMMYFUNCTION("IMPORTRANGE(""https://docs.google.com/spreadsheets/d/1Yj_ptqi66GCucihVvJfMjLAmec39IyEx_6qawtMGysU/edit?usp=sharing"",""สบก!CU63"")"),0)</f>
        <v>0</v>
      </c>
      <c r="L59" s="137">
        <f t="shared" ca="1" si="5"/>
        <v>0</v>
      </c>
      <c r="M59" s="137">
        <f t="shared" ca="1" si="6"/>
        <v>0</v>
      </c>
      <c r="N59" s="137">
        <f ca="1">IFERROR(__xludf.DUMMYFUNCTION("IMPORTRANGE(""https://docs.google.com/spreadsheets/d/1Yj_ptqi66GCucihVvJfMjLAmec39IyEx_6qawtMGysU/edit?usp=sharing"",""สบก!CV63"")"),0)</f>
        <v>0</v>
      </c>
      <c r="O59" s="137">
        <f t="shared" ca="1" si="7"/>
        <v>0</v>
      </c>
      <c r="P59" s="77">
        <f ca="1">IFERROR(__xludf.DUMMYFUNCTION("IMPORTRANGE(""https://docs.google.com/spreadsheets/d/1C3CXT74ZlgGe6_JY_1olB1XN4rF0dxEuIIF-xsYjHgg/edit?usp=sharing"",""พรบ!BQ63"")"),0)</f>
        <v>0</v>
      </c>
      <c r="Q59" s="77">
        <f ca="1">IFERROR(__xludf.DUMMYFUNCTION("IMPORTRANGE(""https://docs.google.com/spreadsheets/d/1SX6NBoVAgQJ6U1MVXOaj8PK2l7WJ3RER9xtqwdhxkhw/edit?usp=sharing"",""ชัยนาท!J209"")"),0)</f>
        <v>0</v>
      </c>
      <c r="R59" s="137">
        <f t="shared" ca="1" si="9"/>
        <v>0</v>
      </c>
      <c r="S59" s="77">
        <f ca="1">IFERROR(__xludf.DUMMYFUNCTION("IMPORTRANGE(""https://docs.google.com/spreadsheets/d/1SX6NBoVAgQJ6U1MVXOaj8PK2l7WJ3RER9xtqwdhxkhw/edit?usp=sharing"",""ชัยนาท!J211"")"),0)</f>
        <v>0</v>
      </c>
      <c r="T59" s="137">
        <f t="shared" ca="1" si="10"/>
        <v>0</v>
      </c>
      <c r="U59" s="75">
        <f t="shared" ca="1" si="11"/>
        <v>0</v>
      </c>
      <c r="V59" s="76">
        <f t="shared" ca="1" si="54"/>
        <v>0</v>
      </c>
      <c r="W59" s="77">
        <f ca="1">IFERROR(__xludf.DUMMYFUNCTION("IMPORTRANGE(""https://docs.google.com/spreadsheets/d/1C3CXT74ZlgGe6_JY_1olB1XN4rF0dxEuIIF-xsYjHgg/edit?usp=sharing"",""พรบ!BT63"")"),0)</f>
        <v>0</v>
      </c>
      <c r="X59" s="77">
        <f ca="1">IFERROR(__xludf.DUMMYFUNCTION("IMPORTRANGE(""https://docs.google.com/spreadsheets/d/1C3CXT74ZlgGe6_JY_1olB1XN4rF0dxEuIIF-xsYjHgg/edit?usp=sharing"",""พรบ!BU63"")"),0)</f>
        <v>0</v>
      </c>
      <c r="Y59" s="77">
        <f ca="1">IFERROR(__xludf.DUMMYFUNCTION("IMPORTRANGE(""https://docs.google.com/spreadsheets/d/1Yj_ptqi66GCucihVvJfMjLAmec39IyEx_6qawtMGysU/edit?usp=sharing"",""สบก!DA63"")"),0)</f>
        <v>0</v>
      </c>
      <c r="Z59" s="77">
        <f ca="1">IFERROR(__xludf.DUMMYFUNCTION("IMPORTRANGE(""https://docs.google.com/spreadsheets/d/1Yj_ptqi66GCucihVvJfMjLAmec39IyEx_6qawtMGysU/edit?usp=shDCing"",""สบก!DC63"")"),0)</f>
        <v>0</v>
      </c>
      <c r="AA59" s="77">
        <f t="shared" ca="1" si="14"/>
        <v>0</v>
      </c>
      <c r="AB59" s="137">
        <f t="shared" ca="1" si="15"/>
        <v>0</v>
      </c>
      <c r="AC59" s="77">
        <f ca="1">IFERROR(__xludf.DUMMYFUNCTION("IMPORTRANGE(""https://docs.google.com/spreadsheets/d/1Yj_ptqi66GCucihVvJfMjLAmec39IyEx_6qawtMGysU/edit?usp=sharing"",""สบก!DD63"")"),0)</f>
        <v>0</v>
      </c>
      <c r="AD59" s="137">
        <f t="shared" ca="1" si="16"/>
        <v>0</v>
      </c>
      <c r="AE59" s="137">
        <f t="shared" ca="1" si="17"/>
        <v>0</v>
      </c>
      <c r="AF59" s="137">
        <f ca="1">IFERROR(__xludf.DUMMYFUNCTION("IMPORTRANGE(""https://docs.google.com/spreadsheets/d/1Yj_ptqi66GCucihVvJfMjLAmec39IyEx_6qawtMGysU/edit?usp=sharing"",""สบก!DE63"")"),0)</f>
        <v>0</v>
      </c>
      <c r="AG59" s="137">
        <f t="shared" ca="1" si="18"/>
        <v>0</v>
      </c>
      <c r="AH59" s="77">
        <f ca="1">IFERROR(__xludf.DUMMYFUNCTION("IMPORTRANGE(""https://docs.google.com/spreadsheets/d/1C3CXT74ZlgGe6_JY_1olB1XN4rF0dxEuIIF-xsYjHgg/edit?usp=sharing"",""พรบ!BV63"")"),0)</f>
        <v>0</v>
      </c>
      <c r="AI59" s="77">
        <f ca="1">IFERROR(__xludf.DUMMYFUNCTION("IMPORTRANGE(""https://docs.google.com/spreadsheets/d/1SX6NBoVAgQJ6U1MVXOaj8PK2l7WJ3RER9xtqwdhxkhw/edit?usp=sharing"",""ชัยนาท!J224"")"),0)</f>
        <v>0</v>
      </c>
      <c r="AJ59" s="137">
        <f t="shared" ca="1" si="20"/>
        <v>0</v>
      </c>
      <c r="AK59" s="114"/>
      <c r="AL59" s="114"/>
      <c r="AM59" s="114"/>
      <c r="AN59" s="114"/>
      <c r="AO59" s="114"/>
      <c r="AP59" s="114"/>
    </row>
    <row r="60" spans="1:42" ht="21" customHeight="1">
      <c r="A60" s="73">
        <v>6</v>
      </c>
      <c r="B60" s="74" t="s">
        <v>84</v>
      </c>
      <c r="C60" s="75">
        <f t="shared" ca="1" si="0"/>
        <v>0</v>
      </c>
      <c r="D60" s="76">
        <f t="shared" ca="1" si="53"/>
        <v>0</v>
      </c>
      <c r="E60" s="77">
        <f ca="1">IFERROR(__xludf.DUMMYFUNCTION("IMPORTRANGE(""https://docs.google.com/spreadsheets/d/1C3CXT74ZlgGe6_JY_1olB1XN4rF0dxEuIIF-xsYjHgg/edit?usp=sharing"",""พรบ!BO64"")"),0)</f>
        <v>0</v>
      </c>
      <c r="F60" s="77">
        <f ca="1">IFERROR(__xludf.DUMMYFUNCTION("IMPORTRANGE(""https://docs.google.com/spreadsheets/d/1C3CXT74ZlgGe6_JY_1olB1XN4rF0dxEuIIF-xsYjHgg/edit?usp=sharing"",""พรบ!BP64"")"),0)</f>
        <v>0</v>
      </c>
      <c r="G60" s="77">
        <f ca="1">IFERROR(__xludf.DUMMYFUNCTION("IMPORTRANGE(""https://docs.google.com/spreadsheets/d/1Yj_ptqi66GCucihVvJfMjLAmec39IyEx_6qawtMGysU/edit?usp=sharing"",""สบก!CR64"")"),0)</f>
        <v>0</v>
      </c>
      <c r="H60" s="77">
        <f ca="1">IFERROR(__xludf.DUMMYFUNCTION("IMPORTRANGE(""https://docs.google.com/spreadsheets/d/1Yj_ptqi66GCucihVvJfMjLAmec39IyEx_6qawtMGysU/edit?usp=shCTing"",""สบก!CT64"")"),0)</f>
        <v>0</v>
      </c>
      <c r="I60" s="77">
        <f t="shared" ca="1" si="3"/>
        <v>0</v>
      </c>
      <c r="J60" s="137">
        <f t="shared" ca="1" si="4"/>
        <v>0</v>
      </c>
      <c r="K60" s="77">
        <f ca="1">IFERROR(__xludf.DUMMYFUNCTION("IMPORTRANGE(""https://docs.google.com/spreadsheets/d/1Yj_ptqi66GCucihVvJfMjLAmec39IyEx_6qawtMGysU/edit?usp=sharing"",""สบก!CU64"")"),0)</f>
        <v>0</v>
      </c>
      <c r="L60" s="137">
        <f t="shared" ca="1" si="5"/>
        <v>0</v>
      </c>
      <c r="M60" s="137">
        <f t="shared" ca="1" si="6"/>
        <v>0</v>
      </c>
      <c r="N60" s="137">
        <f ca="1">IFERROR(__xludf.DUMMYFUNCTION("IMPORTRANGE(""https://docs.google.com/spreadsheets/d/1Yj_ptqi66GCucihVvJfMjLAmec39IyEx_6qawtMGysU/edit?usp=sharing"",""สบก!CV64"")"),0)</f>
        <v>0</v>
      </c>
      <c r="O60" s="137">
        <f t="shared" ca="1" si="7"/>
        <v>0</v>
      </c>
      <c r="P60" s="77">
        <f ca="1">IFERROR(__xludf.DUMMYFUNCTION("IMPORTRANGE(""https://docs.google.com/spreadsheets/d/1C3CXT74ZlgGe6_JY_1olB1XN4rF0dxEuIIF-xsYjHgg/edit?usp=sharing"",""พรบ!BQ64"")"),0)</f>
        <v>0</v>
      </c>
      <c r="Q60" s="77">
        <f ca="1">IFERROR(__xludf.DUMMYFUNCTION("IMPORTRANGE(""https://docs.google.com/spreadsheets/d/1SX6NBoVAgQJ6U1MVXOaj8PK2l7WJ3RER9xtqwdhxkhw/edit?usp=sharing"",""ตราด!J209"")"),0)</f>
        <v>0</v>
      </c>
      <c r="R60" s="137">
        <f t="shared" ca="1" si="9"/>
        <v>0</v>
      </c>
      <c r="S60" s="77">
        <f ca="1">IFERROR(__xludf.DUMMYFUNCTION("IMPORTRANGE(""https://docs.google.com/spreadsheets/d/1SX6NBoVAgQJ6U1MVXOaj8PK2l7WJ3RER9xtqwdhxkhw/edit?usp=sharing"",""ตราด!J211"")"),0)</f>
        <v>0</v>
      </c>
      <c r="T60" s="137">
        <f t="shared" ca="1" si="10"/>
        <v>0</v>
      </c>
      <c r="U60" s="75">
        <f t="shared" ca="1" si="11"/>
        <v>0</v>
      </c>
      <c r="V60" s="76">
        <f t="shared" ca="1" si="54"/>
        <v>0</v>
      </c>
      <c r="W60" s="77">
        <f ca="1">IFERROR(__xludf.DUMMYFUNCTION("IMPORTRANGE(""https://docs.google.com/spreadsheets/d/1C3CXT74ZlgGe6_JY_1olB1XN4rF0dxEuIIF-xsYjHgg/edit?usp=sharing"",""พรบ!BT64"")"),0)</f>
        <v>0</v>
      </c>
      <c r="X60" s="77">
        <f ca="1">IFERROR(__xludf.DUMMYFUNCTION("IMPORTRANGE(""https://docs.google.com/spreadsheets/d/1C3CXT74ZlgGe6_JY_1olB1XN4rF0dxEuIIF-xsYjHgg/edit?usp=sharing"",""พรบ!BU64"")"),0)</f>
        <v>0</v>
      </c>
      <c r="Y60" s="77">
        <f ca="1">IFERROR(__xludf.DUMMYFUNCTION("IMPORTRANGE(""https://docs.google.com/spreadsheets/d/1Yj_ptqi66GCucihVvJfMjLAmec39IyEx_6qawtMGysU/edit?usp=sharing"",""สบก!DA64"")"),0)</f>
        <v>0</v>
      </c>
      <c r="Z60" s="77">
        <f ca="1">IFERROR(__xludf.DUMMYFUNCTION("IMPORTRANGE(""https://docs.google.com/spreadsheets/d/1Yj_ptqi66GCucihVvJfMjLAmec39IyEx_6qawtMGysU/edit?usp=shDCing"",""สบก!DC64"")"),0)</f>
        <v>0</v>
      </c>
      <c r="AA60" s="77">
        <f t="shared" ca="1" si="14"/>
        <v>0</v>
      </c>
      <c r="AB60" s="137">
        <f t="shared" ca="1" si="15"/>
        <v>0</v>
      </c>
      <c r="AC60" s="77">
        <f ca="1">IFERROR(__xludf.DUMMYFUNCTION("IMPORTRANGE(""https://docs.google.com/spreadsheets/d/1Yj_ptqi66GCucihVvJfMjLAmec39IyEx_6qawtMGysU/edit?usp=sharing"",""สบก!DD64"")"),0)</f>
        <v>0</v>
      </c>
      <c r="AD60" s="137">
        <f t="shared" ca="1" si="16"/>
        <v>0</v>
      </c>
      <c r="AE60" s="137">
        <f t="shared" ca="1" si="17"/>
        <v>0</v>
      </c>
      <c r="AF60" s="137">
        <f ca="1">IFERROR(__xludf.DUMMYFUNCTION("IMPORTRANGE(""https://docs.google.com/spreadsheets/d/1Yj_ptqi66GCucihVvJfMjLAmec39IyEx_6qawtMGysU/edit?usp=sharing"",""สบก!DE64"")"),0)</f>
        <v>0</v>
      </c>
      <c r="AG60" s="137">
        <f t="shared" ca="1" si="18"/>
        <v>0</v>
      </c>
      <c r="AH60" s="77">
        <f ca="1">IFERROR(__xludf.DUMMYFUNCTION("IMPORTRANGE(""https://docs.google.com/spreadsheets/d/1C3CXT74ZlgGe6_JY_1olB1XN4rF0dxEuIIF-xsYjHgg/edit?usp=sharing"",""พรบ!BV64"")"),0)</f>
        <v>0</v>
      </c>
      <c r="AI60" s="77">
        <f ca="1">IFERROR(__xludf.DUMMYFUNCTION("IMPORTRANGE(""https://docs.google.com/spreadsheets/d/1SX6NBoVAgQJ6U1MVXOaj8PK2l7WJ3RER9xtqwdhxkhw/edit?usp=sharing"",""ตราด!J224"")"),0)</f>
        <v>0</v>
      </c>
      <c r="AJ60" s="137">
        <f t="shared" ca="1" si="20"/>
        <v>0</v>
      </c>
      <c r="AK60" s="114"/>
      <c r="AL60" s="114"/>
      <c r="AM60" s="114"/>
      <c r="AN60" s="114"/>
      <c r="AO60" s="114"/>
      <c r="AP60" s="114"/>
    </row>
    <row r="61" spans="1:42" ht="21" customHeight="1">
      <c r="A61" s="73">
        <v>7</v>
      </c>
      <c r="B61" s="74" t="s">
        <v>85</v>
      </c>
      <c r="C61" s="75">
        <f t="shared" ca="1" si="0"/>
        <v>0</v>
      </c>
      <c r="D61" s="76">
        <f t="shared" ca="1" si="53"/>
        <v>0</v>
      </c>
      <c r="E61" s="77">
        <f ca="1">IFERROR(__xludf.DUMMYFUNCTION("IMPORTRANGE(""https://docs.google.com/spreadsheets/d/1C3CXT74ZlgGe6_JY_1olB1XN4rF0dxEuIIF-xsYjHgg/edit?usp=sharing"",""พรบ!BO65"")"),0)</f>
        <v>0</v>
      </c>
      <c r="F61" s="77">
        <f ca="1">IFERROR(__xludf.DUMMYFUNCTION("IMPORTRANGE(""https://docs.google.com/spreadsheets/d/1C3CXT74ZlgGe6_JY_1olB1XN4rF0dxEuIIF-xsYjHgg/edit?usp=sharing"",""พรบ!BP65"")"),0)</f>
        <v>0</v>
      </c>
      <c r="G61" s="77">
        <f ca="1">IFERROR(__xludf.DUMMYFUNCTION("IMPORTRANGE(""https://docs.google.com/spreadsheets/d/1Yj_ptqi66GCucihVvJfMjLAmec39IyEx_6qawtMGysU/edit?usp=sharing"",""สบก!CR65"")"),0)</f>
        <v>0</v>
      </c>
      <c r="H61" s="77">
        <f ca="1">IFERROR(__xludf.DUMMYFUNCTION("IMPORTRANGE(""https://docs.google.com/spreadsheets/d/1Yj_ptqi66GCucihVvJfMjLAmec39IyEx_6qawtMGysU/edit?usp=shCTing"",""สบก!CT65"")"),0)</f>
        <v>0</v>
      </c>
      <c r="I61" s="77">
        <f t="shared" ca="1" si="3"/>
        <v>0</v>
      </c>
      <c r="J61" s="137">
        <f t="shared" ca="1" si="4"/>
        <v>0</v>
      </c>
      <c r="K61" s="77">
        <f ca="1">IFERROR(__xludf.DUMMYFUNCTION("IMPORTRANGE(""https://docs.google.com/spreadsheets/d/1Yj_ptqi66GCucihVvJfMjLAmec39IyEx_6qawtMGysU/edit?usp=sharing"",""สบก!CU65"")"),0)</f>
        <v>0</v>
      </c>
      <c r="L61" s="137">
        <f t="shared" ca="1" si="5"/>
        <v>0</v>
      </c>
      <c r="M61" s="137">
        <f t="shared" ca="1" si="6"/>
        <v>0</v>
      </c>
      <c r="N61" s="137">
        <f ca="1">IFERROR(__xludf.DUMMYFUNCTION("IMPORTRANGE(""https://docs.google.com/spreadsheets/d/1Yj_ptqi66GCucihVvJfMjLAmec39IyEx_6qawtMGysU/edit?usp=sharing"",""สบก!CV65"")"),0)</f>
        <v>0</v>
      </c>
      <c r="O61" s="137">
        <f t="shared" ca="1" si="7"/>
        <v>0</v>
      </c>
      <c r="P61" s="77">
        <f ca="1">IFERROR(__xludf.DUMMYFUNCTION("IMPORTRANGE(""https://docs.google.com/spreadsheets/d/1C3CXT74ZlgGe6_JY_1olB1XN4rF0dxEuIIF-xsYjHgg/edit?usp=sharing"",""พรบ!BQ65"")"),0)</f>
        <v>0</v>
      </c>
      <c r="Q61" s="77">
        <f ca="1">IFERROR(__xludf.DUMMYFUNCTION("IMPORTRANGE(""https://docs.google.com/spreadsheets/d/1SX6NBoVAgQJ6U1MVXOaj8PK2l7WJ3RER9xtqwdhxkhw/edit?usp=sharing"",""นครนายก!J209"")"),0)</f>
        <v>0</v>
      </c>
      <c r="R61" s="137">
        <f t="shared" ca="1" si="9"/>
        <v>0</v>
      </c>
      <c r="S61" s="77">
        <f ca="1">IFERROR(__xludf.DUMMYFUNCTION("IMPORTRANGE(""https://docs.google.com/spreadsheets/d/1SX6NBoVAgQJ6U1MVXOaj8PK2l7WJ3RER9xtqwdhxkhw/edit?usp=sharing"",""นครนายก!J211"")"),0)</f>
        <v>0</v>
      </c>
      <c r="T61" s="137">
        <f t="shared" ca="1" si="10"/>
        <v>0</v>
      </c>
      <c r="U61" s="75">
        <f t="shared" ca="1" si="11"/>
        <v>0</v>
      </c>
      <c r="V61" s="76">
        <f t="shared" ca="1" si="54"/>
        <v>0</v>
      </c>
      <c r="W61" s="77">
        <f ca="1">IFERROR(__xludf.DUMMYFUNCTION("IMPORTRANGE(""https://docs.google.com/spreadsheets/d/1C3CXT74ZlgGe6_JY_1olB1XN4rF0dxEuIIF-xsYjHgg/edit?usp=sharing"",""พรบ!BT65"")"),0)</f>
        <v>0</v>
      </c>
      <c r="X61" s="77">
        <f ca="1">IFERROR(__xludf.DUMMYFUNCTION("IMPORTRANGE(""https://docs.google.com/spreadsheets/d/1C3CXT74ZlgGe6_JY_1olB1XN4rF0dxEuIIF-xsYjHgg/edit?usp=sharing"",""พรบ!BU65"")"),0)</f>
        <v>0</v>
      </c>
      <c r="Y61" s="77">
        <f ca="1">IFERROR(__xludf.DUMMYFUNCTION("IMPORTRANGE(""https://docs.google.com/spreadsheets/d/1Yj_ptqi66GCucihVvJfMjLAmec39IyEx_6qawtMGysU/edit?usp=sharing"",""สบก!DA65"")"),0)</f>
        <v>0</v>
      </c>
      <c r="Z61" s="77">
        <f ca="1">IFERROR(__xludf.DUMMYFUNCTION("IMPORTRANGE(""https://docs.google.com/spreadsheets/d/1Yj_ptqi66GCucihVvJfMjLAmec39IyEx_6qawtMGysU/edit?usp=shDCing"",""สบก!DC65"")"),0)</f>
        <v>0</v>
      </c>
      <c r="AA61" s="77">
        <f t="shared" ca="1" si="14"/>
        <v>0</v>
      </c>
      <c r="AB61" s="137">
        <f t="shared" ca="1" si="15"/>
        <v>0</v>
      </c>
      <c r="AC61" s="77">
        <f ca="1">IFERROR(__xludf.DUMMYFUNCTION("IMPORTRANGE(""https://docs.google.com/spreadsheets/d/1Yj_ptqi66GCucihVvJfMjLAmec39IyEx_6qawtMGysU/edit?usp=sharing"",""สบก!DD65"")"),0)</f>
        <v>0</v>
      </c>
      <c r="AD61" s="137">
        <f t="shared" ca="1" si="16"/>
        <v>0</v>
      </c>
      <c r="AE61" s="137">
        <f t="shared" ca="1" si="17"/>
        <v>0</v>
      </c>
      <c r="AF61" s="137">
        <f ca="1">IFERROR(__xludf.DUMMYFUNCTION("IMPORTRANGE(""https://docs.google.com/spreadsheets/d/1Yj_ptqi66GCucihVvJfMjLAmec39IyEx_6qawtMGysU/edit?usp=sharing"",""สบก!DE65"")"),0)</f>
        <v>0</v>
      </c>
      <c r="AG61" s="137">
        <f t="shared" ca="1" si="18"/>
        <v>0</v>
      </c>
      <c r="AH61" s="77">
        <f ca="1">IFERROR(__xludf.DUMMYFUNCTION("IMPORTRANGE(""https://docs.google.com/spreadsheets/d/1C3CXT74ZlgGe6_JY_1olB1XN4rF0dxEuIIF-xsYjHgg/edit?usp=sharing"",""พรบ!BV65"")"),0)</f>
        <v>0</v>
      </c>
      <c r="AI61" s="77">
        <f ca="1">IFERROR(__xludf.DUMMYFUNCTION("IMPORTRANGE(""https://docs.google.com/spreadsheets/d/1SX6NBoVAgQJ6U1MVXOaj8PK2l7WJ3RER9xtqwdhxkhw/edit?usp=sharing"",""นครนายก!J224"")"),0)</f>
        <v>0</v>
      </c>
      <c r="AJ61" s="137">
        <f t="shared" ca="1" si="20"/>
        <v>0</v>
      </c>
      <c r="AK61" s="114"/>
      <c r="AL61" s="114"/>
      <c r="AM61" s="114"/>
      <c r="AN61" s="114"/>
      <c r="AO61" s="114"/>
      <c r="AP61" s="114"/>
    </row>
    <row r="62" spans="1:42" ht="21" customHeight="1">
      <c r="A62" s="73">
        <v>8</v>
      </c>
      <c r="B62" s="74" t="s">
        <v>86</v>
      </c>
      <c r="C62" s="75">
        <f t="shared" ca="1" si="0"/>
        <v>0</v>
      </c>
      <c r="D62" s="76">
        <f t="shared" ca="1" si="53"/>
        <v>0</v>
      </c>
      <c r="E62" s="77">
        <f ca="1">IFERROR(__xludf.DUMMYFUNCTION("IMPORTRANGE(""https://docs.google.com/spreadsheets/d/1C3CXT74ZlgGe6_JY_1olB1XN4rF0dxEuIIF-xsYjHgg/edit?usp=sharing"",""พรบ!BO66"")"),0)</f>
        <v>0</v>
      </c>
      <c r="F62" s="77">
        <f ca="1">IFERROR(__xludf.DUMMYFUNCTION("IMPORTRANGE(""https://docs.google.com/spreadsheets/d/1C3CXT74ZlgGe6_JY_1olB1XN4rF0dxEuIIF-xsYjHgg/edit?usp=sharing"",""พรบ!BP66"")"),0)</f>
        <v>0</v>
      </c>
      <c r="G62" s="77">
        <f ca="1">IFERROR(__xludf.DUMMYFUNCTION("IMPORTRANGE(""https://docs.google.com/spreadsheets/d/1Yj_ptqi66GCucihVvJfMjLAmec39IyEx_6qawtMGysU/edit?usp=sharing"",""สบก!CR66"")"),0)</f>
        <v>0</v>
      </c>
      <c r="H62" s="77">
        <f ca="1">IFERROR(__xludf.DUMMYFUNCTION("IMPORTRANGE(""https://docs.google.com/spreadsheets/d/1Yj_ptqi66GCucihVvJfMjLAmec39IyEx_6qawtMGysU/edit?usp=shCTing"",""สบก!CT66"")"),0)</f>
        <v>0</v>
      </c>
      <c r="I62" s="77">
        <f t="shared" ca="1" si="3"/>
        <v>0</v>
      </c>
      <c r="J62" s="137">
        <f t="shared" ca="1" si="4"/>
        <v>0</v>
      </c>
      <c r="K62" s="77">
        <f ca="1">IFERROR(__xludf.DUMMYFUNCTION("IMPORTRANGE(""https://docs.google.com/spreadsheets/d/1Yj_ptqi66GCucihVvJfMjLAmec39IyEx_6qawtMGysU/edit?usp=sharing"",""สบก!CU66"")"),0)</f>
        <v>0</v>
      </c>
      <c r="L62" s="137">
        <f t="shared" ca="1" si="5"/>
        <v>0</v>
      </c>
      <c r="M62" s="137">
        <f t="shared" ca="1" si="6"/>
        <v>0</v>
      </c>
      <c r="N62" s="137">
        <f ca="1">IFERROR(__xludf.DUMMYFUNCTION("IMPORTRANGE(""https://docs.google.com/spreadsheets/d/1Yj_ptqi66GCucihVvJfMjLAmec39IyEx_6qawtMGysU/edit?usp=sharing"",""สบก!CV66"")"),0)</f>
        <v>0</v>
      </c>
      <c r="O62" s="137">
        <f t="shared" ca="1" si="7"/>
        <v>0</v>
      </c>
      <c r="P62" s="77">
        <f ca="1">IFERROR(__xludf.DUMMYFUNCTION("IMPORTRANGE(""https://docs.google.com/spreadsheets/d/1C3CXT74ZlgGe6_JY_1olB1XN4rF0dxEuIIF-xsYjHgg/edit?usp=sharing"",""พรบ!BQ66"")"),0)</f>
        <v>0</v>
      </c>
      <c r="Q62" s="77">
        <f ca="1">IFERROR(__xludf.DUMMYFUNCTION("IMPORTRANGE(""https://docs.google.com/spreadsheets/d/1SX6NBoVAgQJ6U1MVXOaj8PK2l7WJ3RER9xtqwdhxkhw/edit?usp=sharing"",""นครปฐม!J209"")"),0)</f>
        <v>0</v>
      </c>
      <c r="R62" s="137">
        <f t="shared" ca="1" si="9"/>
        <v>0</v>
      </c>
      <c r="S62" s="77">
        <f ca="1">IFERROR(__xludf.DUMMYFUNCTION("IMPORTRANGE(""https://docs.google.com/spreadsheets/d/1SX6NBoVAgQJ6U1MVXOaj8PK2l7WJ3RER9xtqwdhxkhw/edit?usp=sharing"",""นครปฐม!J211"")"),0)</f>
        <v>0</v>
      </c>
      <c r="T62" s="137">
        <f t="shared" ca="1" si="10"/>
        <v>0</v>
      </c>
      <c r="U62" s="75">
        <f t="shared" ca="1" si="11"/>
        <v>0</v>
      </c>
      <c r="V62" s="76">
        <f t="shared" ca="1" si="54"/>
        <v>0</v>
      </c>
      <c r="W62" s="77">
        <f ca="1">IFERROR(__xludf.DUMMYFUNCTION("IMPORTRANGE(""https://docs.google.com/spreadsheets/d/1C3CXT74ZlgGe6_JY_1olB1XN4rF0dxEuIIF-xsYjHgg/edit?usp=sharing"",""พรบ!BT66"")"),0)</f>
        <v>0</v>
      </c>
      <c r="X62" s="77">
        <f ca="1">IFERROR(__xludf.DUMMYFUNCTION("IMPORTRANGE(""https://docs.google.com/spreadsheets/d/1C3CXT74ZlgGe6_JY_1olB1XN4rF0dxEuIIF-xsYjHgg/edit?usp=sharing"",""พรบ!BU66"")"),0)</f>
        <v>0</v>
      </c>
      <c r="Y62" s="77">
        <f ca="1">IFERROR(__xludf.DUMMYFUNCTION("IMPORTRANGE(""https://docs.google.com/spreadsheets/d/1Yj_ptqi66GCucihVvJfMjLAmec39IyEx_6qawtMGysU/edit?usp=sharing"",""สบก!DA66"")"),0)</f>
        <v>0</v>
      </c>
      <c r="Z62" s="77">
        <f ca="1">IFERROR(__xludf.DUMMYFUNCTION("IMPORTRANGE(""https://docs.google.com/spreadsheets/d/1Yj_ptqi66GCucihVvJfMjLAmec39IyEx_6qawtMGysU/edit?usp=shDCing"",""สบก!DC66"")"),0)</f>
        <v>0</v>
      </c>
      <c r="AA62" s="77">
        <f t="shared" ca="1" si="14"/>
        <v>0</v>
      </c>
      <c r="AB62" s="137">
        <f t="shared" ca="1" si="15"/>
        <v>0</v>
      </c>
      <c r="AC62" s="77">
        <f ca="1">IFERROR(__xludf.DUMMYFUNCTION("IMPORTRANGE(""https://docs.google.com/spreadsheets/d/1Yj_ptqi66GCucihVvJfMjLAmec39IyEx_6qawtMGysU/edit?usp=sharing"",""สบก!DD66"")"),0)</f>
        <v>0</v>
      </c>
      <c r="AD62" s="137">
        <f t="shared" ca="1" si="16"/>
        <v>0</v>
      </c>
      <c r="AE62" s="137">
        <f t="shared" ca="1" si="17"/>
        <v>0</v>
      </c>
      <c r="AF62" s="137">
        <f ca="1">IFERROR(__xludf.DUMMYFUNCTION("IMPORTRANGE(""https://docs.google.com/spreadsheets/d/1Yj_ptqi66GCucihVvJfMjLAmec39IyEx_6qawtMGysU/edit?usp=sharing"",""สบก!DE66"")"),0)</f>
        <v>0</v>
      </c>
      <c r="AG62" s="137">
        <f t="shared" ca="1" si="18"/>
        <v>0</v>
      </c>
      <c r="AH62" s="77">
        <f ca="1">IFERROR(__xludf.DUMMYFUNCTION("IMPORTRANGE(""https://docs.google.com/spreadsheets/d/1C3CXT74ZlgGe6_JY_1olB1XN4rF0dxEuIIF-xsYjHgg/edit?usp=sharing"",""พรบ!BV66"")"),0)</f>
        <v>0</v>
      </c>
      <c r="AI62" s="77">
        <f ca="1">IFERROR(__xludf.DUMMYFUNCTION("IMPORTRANGE(""https://docs.google.com/spreadsheets/d/1SX6NBoVAgQJ6U1MVXOaj8PK2l7WJ3RER9xtqwdhxkhw/edit?usp=sharing"",""นครปฐม!J224"")"),0)</f>
        <v>0</v>
      </c>
      <c r="AJ62" s="137">
        <f t="shared" ca="1" si="20"/>
        <v>0</v>
      </c>
      <c r="AK62" s="114"/>
      <c r="AL62" s="114"/>
      <c r="AM62" s="114"/>
      <c r="AN62" s="114"/>
      <c r="AO62" s="114"/>
      <c r="AP62" s="114"/>
    </row>
    <row r="63" spans="1:42" ht="21" customHeight="1">
      <c r="A63" s="73">
        <v>9</v>
      </c>
      <c r="B63" s="74" t="s">
        <v>87</v>
      </c>
      <c r="C63" s="75">
        <f t="shared" ca="1" si="0"/>
        <v>0</v>
      </c>
      <c r="D63" s="76">
        <f t="shared" ca="1" si="53"/>
        <v>0</v>
      </c>
      <c r="E63" s="77">
        <f ca="1">IFERROR(__xludf.DUMMYFUNCTION("IMPORTRANGE(""https://docs.google.com/spreadsheets/d/1C3CXT74ZlgGe6_JY_1olB1XN4rF0dxEuIIF-xsYjHgg/edit?usp=sharing"",""พรบ!BO67"")"),0)</f>
        <v>0</v>
      </c>
      <c r="F63" s="77">
        <f ca="1">IFERROR(__xludf.DUMMYFUNCTION("IMPORTRANGE(""https://docs.google.com/spreadsheets/d/1C3CXT74ZlgGe6_JY_1olB1XN4rF0dxEuIIF-xsYjHgg/edit?usp=sharing"",""พรบ!BP67"")"),0)</f>
        <v>0</v>
      </c>
      <c r="G63" s="77">
        <f ca="1">IFERROR(__xludf.DUMMYFUNCTION("IMPORTRANGE(""https://docs.google.com/spreadsheets/d/1Yj_ptqi66GCucihVvJfMjLAmec39IyEx_6qawtMGysU/edit?usp=sharing"",""สบก!CR67"")"),0)</f>
        <v>0</v>
      </c>
      <c r="H63" s="77">
        <f ca="1">IFERROR(__xludf.DUMMYFUNCTION("IMPORTRANGE(""https://docs.google.com/spreadsheets/d/1Yj_ptqi66GCucihVvJfMjLAmec39IyEx_6qawtMGysU/edit?usp=shCTing"",""สบก!CT67"")"),0)</f>
        <v>0</v>
      </c>
      <c r="I63" s="77">
        <f t="shared" ca="1" si="3"/>
        <v>0</v>
      </c>
      <c r="J63" s="137">
        <f t="shared" ca="1" si="4"/>
        <v>0</v>
      </c>
      <c r="K63" s="77">
        <f ca="1">IFERROR(__xludf.DUMMYFUNCTION("IMPORTRANGE(""https://docs.google.com/spreadsheets/d/1Yj_ptqi66GCucihVvJfMjLAmec39IyEx_6qawtMGysU/edit?usp=sharing"",""สบก!CU67"")"),0)</f>
        <v>0</v>
      </c>
      <c r="L63" s="137">
        <f t="shared" ca="1" si="5"/>
        <v>0</v>
      </c>
      <c r="M63" s="137">
        <f t="shared" ca="1" si="6"/>
        <v>0</v>
      </c>
      <c r="N63" s="137">
        <f ca="1">IFERROR(__xludf.DUMMYFUNCTION("IMPORTRANGE(""https://docs.google.com/spreadsheets/d/1Yj_ptqi66GCucihVvJfMjLAmec39IyEx_6qawtMGysU/edit?usp=sharing"",""สบก!CV67"")"),0)</f>
        <v>0</v>
      </c>
      <c r="O63" s="137">
        <f t="shared" ca="1" si="7"/>
        <v>0</v>
      </c>
      <c r="P63" s="77">
        <f ca="1">IFERROR(__xludf.DUMMYFUNCTION("IMPORTRANGE(""https://docs.google.com/spreadsheets/d/1C3CXT74ZlgGe6_JY_1olB1XN4rF0dxEuIIF-xsYjHgg/edit?usp=sharing"",""พรบ!BQ67"")"),0)</f>
        <v>0</v>
      </c>
      <c r="Q63" s="77">
        <f ca="1">IFERROR(__xludf.DUMMYFUNCTION("IMPORTRANGE(""https://docs.google.com/spreadsheets/d/1SX6NBoVAgQJ6U1MVXOaj8PK2l7WJ3RER9xtqwdhxkhw/edit?usp=sharing"",""ปทุมธานี!J209"")"),0)</f>
        <v>0</v>
      </c>
      <c r="R63" s="137">
        <f t="shared" ca="1" si="9"/>
        <v>0</v>
      </c>
      <c r="S63" s="77">
        <f ca="1">IFERROR(__xludf.DUMMYFUNCTION("IMPORTRANGE(""https://docs.google.com/spreadsheets/d/1SX6NBoVAgQJ6U1MVXOaj8PK2l7WJ3RER9xtqwdhxkhw/edit?usp=sharing"",""ปทุมธานี!J211"")"),0)</f>
        <v>0</v>
      </c>
      <c r="T63" s="137">
        <f t="shared" ca="1" si="10"/>
        <v>0</v>
      </c>
      <c r="U63" s="75">
        <f t="shared" ca="1" si="11"/>
        <v>0</v>
      </c>
      <c r="V63" s="76">
        <f t="shared" ca="1" si="54"/>
        <v>0</v>
      </c>
      <c r="W63" s="77">
        <f ca="1">IFERROR(__xludf.DUMMYFUNCTION("IMPORTRANGE(""https://docs.google.com/spreadsheets/d/1C3CXT74ZlgGe6_JY_1olB1XN4rF0dxEuIIF-xsYjHgg/edit?usp=sharing"",""พรบ!BT67"")"),0)</f>
        <v>0</v>
      </c>
      <c r="X63" s="77">
        <f ca="1">IFERROR(__xludf.DUMMYFUNCTION("IMPORTRANGE(""https://docs.google.com/spreadsheets/d/1C3CXT74ZlgGe6_JY_1olB1XN4rF0dxEuIIF-xsYjHgg/edit?usp=sharing"",""พรบ!BU67"")"),0)</f>
        <v>0</v>
      </c>
      <c r="Y63" s="77">
        <f ca="1">IFERROR(__xludf.DUMMYFUNCTION("IMPORTRANGE(""https://docs.google.com/spreadsheets/d/1Yj_ptqi66GCucihVvJfMjLAmec39IyEx_6qawtMGysU/edit?usp=sharing"",""สบก!DA67"")"),0)</f>
        <v>0</v>
      </c>
      <c r="Z63" s="77">
        <f ca="1">IFERROR(__xludf.DUMMYFUNCTION("IMPORTRANGE(""https://docs.google.com/spreadsheets/d/1Yj_ptqi66GCucihVvJfMjLAmec39IyEx_6qawtMGysU/edit?usp=shDCing"",""สบก!DC67"")"),0)</f>
        <v>0</v>
      </c>
      <c r="AA63" s="77">
        <f t="shared" ca="1" si="14"/>
        <v>0</v>
      </c>
      <c r="AB63" s="137">
        <f t="shared" ca="1" si="15"/>
        <v>0</v>
      </c>
      <c r="AC63" s="77">
        <f ca="1">IFERROR(__xludf.DUMMYFUNCTION("IMPORTRANGE(""https://docs.google.com/spreadsheets/d/1Yj_ptqi66GCucihVvJfMjLAmec39IyEx_6qawtMGysU/edit?usp=sharing"",""สบก!DD67"")"),0)</f>
        <v>0</v>
      </c>
      <c r="AD63" s="137">
        <f t="shared" ca="1" si="16"/>
        <v>0</v>
      </c>
      <c r="AE63" s="137">
        <f t="shared" ca="1" si="17"/>
        <v>0</v>
      </c>
      <c r="AF63" s="137">
        <f ca="1">IFERROR(__xludf.DUMMYFUNCTION("IMPORTRANGE(""https://docs.google.com/spreadsheets/d/1Yj_ptqi66GCucihVvJfMjLAmec39IyEx_6qawtMGysU/edit?usp=sharing"",""สบก!DE67"")"),0)</f>
        <v>0</v>
      </c>
      <c r="AG63" s="137">
        <f t="shared" ca="1" si="18"/>
        <v>0</v>
      </c>
      <c r="AH63" s="77">
        <f ca="1">IFERROR(__xludf.DUMMYFUNCTION("IMPORTRANGE(""https://docs.google.com/spreadsheets/d/1C3CXT74ZlgGe6_JY_1olB1XN4rF0dxEuIIF-xsYjHgg/edit?usp=sharing"",""พรบ!BV67"")"),0)</f>
        <v>0</v>
      </c>
      <c r="AI63" s="77">
        <f ca="1">IFERROR(__xludf.DUMMYFUNCTION("IMPORTRANGE(""https://docs.google.com/spreadsheets/d/1SX6NBoVAgQJ6U1MVXOaj8PK2l7WJ3RER9xtqwdhxkhw/edit?usp=sharing"",""ปทุมธานี!J224"")"),0)</f>
        <v>0</v>
      </c>
      <c r="AJ63" s="137">
        <f t="shared" ca="1" si="20"/>
        <v>0</v>
      </c>
      <c r="AK63" s="114"/>
      <c r="AL63" s="114"/>
      <c r="AM63" s="114"/>
      <c r="AN63" s="114"/>
      <c r="AO63" s="114"/>
      <c r="AP63" s="114"/>
    </row>
    <row r="64" spans="1:42" ht="21" customHeight="1">
      <c r="A64" s="73">
        <v>10</v>
      </c>
      <c r="B64" s="74" t="s">
        <v>88</v>
      </c>
      <c r="C64" s="75">
        <f t="shared" ca="1" si="0"/>
        <v>0</v>
      </c>
      <c r="D64" s="76">
        <f t="shared" ca="1" si="53"/>
        <v>0</v>
      </c>
      <c r="E64" s="77">
        <f ca="1">IFERROR(__xludf.DUMMYFUNCTION("IMPORTRANGE(""https://docs.google.com/spreadsheets/d/1C3CXT74ZlgGe6_JY_1olB1XN4rF0dxEuIIF-xsYjHgg/edit?usp=sharing"",""พรบ!BO68"")"),0)</f>
        <v>0</v>
      </c>
      <c r="F64" s="77">
        <f ca="1">IFERROR(__xludf.DUMMYFUNCTION("IMPORTRANGE(""https://docs.google.com/spreadsheets/d/1C3CXT74ZlgGe6_JY_1olB1XN4rF0dxEuIIF-xsYjHgg/edit?usp=sharing"",""พรบ!BP68"")"),0)</f>
        <v>0</v>
      </c>
      <c r="G64" s="77">
        <f ca="1">IFERROR(__xludf.DUMMYFUNCTION("IMPORTRANGE(""https://docs.google.com/spreadsheets/d/1Yj_ptqi66GCucihVvJfMjLAmec39IyEx_6qawtMGysU/edit?usp=sharing"",""สบก!CR68"")"),0)</f>
        <v>0</v>
      </c>
      <c r="H64" s="77">
        <f ca="1">IFERROR(__xludf.DUMMYFUNCTION("IMPORTRANGE(""https://docs.google.com/spreadsheets/d/1Yj_ptqi66GCucihVvJfMjLAmec39IyEx_6qawtMGysU/edit?usp=shCTing"",""สบก!CT68"")"),0)</f>
        <v>0</v>
      </c>
      <c r="I64" s="77">
        <f t="shared" ca="1" si="3"/>
        <v>0</v>
      </c>
      <c r="J64" s="137">
        <f t="shared" ca="1" si="4"/>
        <v>0</v>
      </c>
      <c r="K64" s="77">
        <f ca="1">IFERROR(__xludf.DUMMYFUNCTION("IMPORTRANGE(""https://docs.google.com/spreadsheets/d/1Yj_ptqi66GCucihVvJfMjLAmec39IyEx_6qawtMGysU/edit?usp=sharing"",""สบก!CU68"")"),0)</f>
        <v>0</v>
      </c>
      <c r="L64" s="137">
        <f t="shared" ca="1" si="5"/>
        <v>0</v>
      </c>
      <c r="M64" s="137">
        <f t="shared" ca="1" si="6"/>
        <v>0</v>
      </c>
      <c r="N64" s="137">
        <f ca="1">IFERROR(__xludf.DUMMYFUNCTION("IMPORTRANGE(""https://docs.google.com/spreadsheets/d/1Yj_ptqi66GCucihVvJfMjLAmec39IyEx_6qawtMGysU/edit?usp=sharing"",""สบก!CV68"")"),0)</f>
        <v>0</v>
      </c>
      <c r="O64" s="137">
        <f t="shared" ca="1" si="7"/>
        <v>0</v>
      </c>
      <c r="P64" s="77">
        <f ca="1">IFERROR(__xludf.DUMMYFUNCTION("IMPORTRANGE(""https://docs.google.com/spreadsheets/d/1C3CXT74ZlgGe6_JY_1olB1XN4rF0dxEuIIF-xsYjHgg/edit?usp=sharing"",""พรบ!BQ68"")"),0)</f>
        <v>0</v>
      </c>
      <c r="Q64" s="77">
        <f ca="1">IFERROR(__xludf.DUMMYFUNCTION("IMPORTRANGE(""https://docs.google.com/spreadsheets/d/1SX6NBoVAgQJ6U1MVXOaj8PK2l7WJ3RER9xtqwdhxkhw/edit?usp=sharing"",""ประจวบคีรีขันธ์!J209"")"),0)</f>
        <v>0</v>
      </c>
      <c r="R64" s="137">
        <f t="shared" ca="1" si="9"/>
        <v>0</v>
      </c>
      <c r="S64" s="77">
        <f ca="1">IFERROR(__xludf.DUMMYFUNCTION("IMPORTRANGE(""https://docs.google.com/spreadsheets/d/1SX6NBoVAgQJ6U1MVXOaj8PK2l7WJ3RER9xtqwdhxkhw/edit?usp=sharing"",""ประจวบคีรีขันธ์!J211"")"),0)</f>
        <v>0</v>
      </c>
      <c r="T64" s="137">
        <f t="shared" ca="1" si="10"/>
        <v>0</v>
      </c>
      <c r="U64" s="75">
        <f t="shared" ca="1" si="11"/>
        <v>0</v>
      </c>
      <c r="V64" s="76">
        <f t="shared" ca="1" si="54"/>
        <v>0</v>
      </c>
      <c r="W64" s="77">
        <f ca="1">IFERROR(__xludf.DUMMYFUNCTION("IMPORTRANGE(""https://docs.google.com/spreadsheets/d/1C3CXT74ZlgGe6_JY_1olB1XN4rF0dxEuIIF-xsYjHgg/edit?usp=sharing"",""พรบ!BT68"")"),0)</f>
        <v>0</v>
      </c>
      <c r="X64" s="77">
        <f ca="1">IFERROR(__xludf.DUMMYFUNCTION("IMPORTRANGE(""https://docs.google.com/spreadsheets/d/1C3CXT74ZlgGe6_JY_1olB1XN4rF0dxEuIIF-xsYjHgg/edit?usp=sharing"",""พรบ!BU68"")"),0)</f>
        <v>0</v>
      </c>
      <c r="Y64" s="77">
        <f ca="1">IFERROR(__xludf.DUMMYFUNCTION("IMPORTRANGE(""https://docs.google.com/spreadsheets/d/1Yj_ptqi66GCucihVvJfMjLAmec39IyEx_6qawtMGysU/edit?usp=sharing"",""สบก!DA68"")"),0)</f>
        <v>0</v>
      </c>
      <c r="Z64" s="77">
        <f ca="1">IFERROR(__xludf.DUMMYFUNCTION("IMPORTRANGE(""https://docs.google.com/spreadsheets/d/1Yj_ptqi66GCucihVvJfMjLAmec39IyEx_6qawtMGysU/edit?usp=shDCing"",""สบก!DC68"")"),0)</f>
        <v>0</v>
      </c>
      <c r="AA64" s="77">
        <f t="shared" ca="1" si="14"/>
        <v>0</v>
      </c>
      <c r="AB64" s="137">
        <f t="shared" ca="1" si="15"/>
        <v>0</v>
      </c>
      <c r="AC64" s="77">
        <f ca="1">IFERROR(__xludf.DUMMYFUNCTION("IMPORTRANGE(""https://docs.google.com/spreadsheets/d/1Yj_ptqi66GCucihVvJfMjLAmec39IyEx_6qawtMGysU/edit?usp=sharing"",""สบก!DD68"")"),0)</f>
        <v>0</v>
      </c>
      <c r="AD64" s="137">
        <f t="shared" ca="1" si="16"/>
        <v>0</v>
      </c>
      <c r="AE64" s="137">
        <f t="shared" ca="1" si="17"/>
        <v>0</v>
      </c>
      <c r="AF64" s="137">
        <f ca="1">IFERROR(__xludf.DUMMYFUNCTION("IMPORTRANGE(""https://docs.google.com/spreadsheets/d/1Yj_ptqi66GCucihVvJfMjLAmec39IyEx_6qawtMGysU/edit?usp=sharing"",""สบก!DE68"")"),0)</f>
        <v>0</v>
      </c>
      <c r="AG64" s="137">
        <f t="shared" ca="1" si="18"/>
        <v>0</v>
      </c>
      <c r="AH64" s="77">
        <f ca="1">IFERROR(__xludf.DUMMYFUNCTION("IMPORTRANGE(""https://docs.google.com/spreadsheets/d/1C3CXT74ZlgGe6_JY_1olB1XN4rF0dxEuIIF-xsYjHgg/edit?usp=sharing"",""พรบ!BV68"")"),0)</f>
        <v>0</v>
      </c>
      <c r="AI64" s="77">
        <f ca="1">IFERROR(__xludf.DUMMYFUNCTION("IMPORTRANGE(""https://docs.google.com/spreadsheets/d/1SX6NBoVAgQJ6U1MVXOaj8PK2l7WJ3RER9xtqwdhxkhw/edit?usp=sharing"",""ประจวบคีรีขันธ์!J224"")"),0)</f>
        <v>0</v>
      </c>
      <c r="AJ64" s="137">
        <f t="shared" ca="1" si="20"/>
        <v>0</v>
      </c>
      <c r="AK64" s="114"/>
      <c r="AL64" s="114"/>
      <c r="AM64" s="114"/>
      <c r="AN64" s="114"/>
      <c r="AO64" s="114"/>
      <c r="AP64" s="114"/>
    </row>
    <row r="65" spans="1:42" ht="21" customHeight="1">
      <c r="A65" s="73">
        <v>11</v>
      </c>
      <c r="B65" s="74" t="s">
        <v>89</v>
      </c>
      <c r="C65" s="75">
        <f t="shared" ca="1" si="0"/>
        <v>0</v>
      </c>
      <c r="D65" s="76">
        <f t="shared" ca="1" si="53"/>
        <v>0</v>
      </c>
      <c r="E65" s="77">
        <f ca="1">IFERROR(__xludf.DUMMYFUNCTION("IMPORTRANGE(""https://docs.google.com/spreadsheets/d/1C3CXT74ZlgGe6_JY_1olB1XN4rF0dxEuIIF-xsYjHgg/edit?usp=sharing"",""พรบ!BO69"")"),0)</f>
        <v>0</v>
      </c>
      <c r="F65" s="77">
        <f ca="1">IFERROR(__xludf.DUMMYFUNCTION("IMPORTRANGE(""https://docs.google.com/spreadsheets/d/1C3CXT74ZlgGe6_JY_1olB1XN4rF0dxEuIIF-xsYjHgg/edit?usp=sharing"",""พรบ!BP69"")"),0)</f>
        <v>0</v>
      </c>
      <c r="G65" s="77">
        <f ca="1">IFERROR(__xludf.DUMMYFUNCTION("IMPORTRANGE(""https://docs.google.com/spreadsheets/d/1Yj_ptqi66GCucihVvJfMjLAmec39IyEx_6qawtMGysU/edit?usp=sharing"",""สบก!CR69"")"),0)</f>
        <v>0</v>
      </c>
      <c r="H65" s="77">
        <f ca="1">IFERROR(__xludf.DUMMYFUNCTION("IMPORTRANGE(""https://docs.google.com/spreadsheets/d/1Yj_ptqi66GCucihVvJfMjLAmec39IyEx_6qawtMGysU/edit?usp=shCTing"",""สบก!CT69"")"),0)</f>
        <v>0</v>
      </c>
      <c r="I65" s="77">
        <f t="shared" ca="1" si="3"/>
        <v>0</v>
      </c>
      <c r="J65" s="137">
        <f t="shared" ca="1" si="4"/>
        <v>0</v>
      </c>
      <c r="K65" s="77">
        <f ca="1">IFERROR(__xludf.DUMMYFUNCTION("IMPORTRANGE(""https://docs.google.com/spreadsheets/d/1Yj_ptqi66GCucihVvJfMjLAmec39IyEx_6qawtMGysU/edit?usp=sharing"",""สบก!CU69"")"),0)</f>
        <v>0</v>
      </c>
      <c r="L65" s="137">
        <f t="shared" ca="1" si="5"/>
        <v>0</v>
      </c>
      <c r="M65" s="137">
        <f t="shared" ca="1" si="6"/>
        <v>0</v>
      </c>
      <c r="N65" s="137">
        <f ca="1">IFERROR(__xludf.DUMMYFUNCTION("IMPORTRANGE(""https://docs.google.com/spreadsheets/d/1Yj_ptqi66GCucihVvJfMjLAmec39IyEx_6qawtMGysU/edit?usp=sharing"",""สบก!CV69"")"),0)</f>
        <v>0</v>
      </c>
      <c r="O65" s="137">
        <f t="shared" ca="1" si="7"/>
        <v>0</v>
      </c>
      <c r="P65" s="77">
        <f ca="1">IFERROR(__xludf.DUMMYFUNCTION("IMPORTRANGE(""https://docs.google.com/spreadsheets/d/1C3CXT74ZlgGe6_JY_1olB1XN4rF0dxEuIIF-xsYjHgg/edit?usp=sharing"",""พรบ!BQ69"")"),0)</f>
        <v>0</v>
      </c>
      <c r="Q65" s="77">
        <f ca="1">IFERROR(__xludf.DUMMYFUNCTION("IMPORTRANGE(""https://docs.google.com/spreadsheets/d/1SX6NBoVAgQJ6U1MVXOaj8PK2l7WJ3RER9xtqwdhxkhw/edit?usp=sharing"",""ปราจีนบุรี!J209"")"),0)</f>
        <v>0</v>
      </c>
      <c r="R65" s="137">
        <f t="shared" ca="1" si="9"/>
        <v>0</v>
      </c>
      <c r="S65" s="77">
        <f ca="1">IFERROR(__xludf.DUMMYFUNCTION("IMPORTRANGE(""https://docs.google.com/spreadsheets/d/1SX6NBoVAgQJ6U1MVXOaj8PK2l7WJ3RER9xtqwdhxkhw/edit?usp=sharing"",""ปราจีนบุรี!J211"")"),0)</f>
        <v>0</v>
      </c>
      <c r="T65" s="137">
        <f t="shared" ca="1" si="10"/>
        <v>0</v>
      </c>
      <c r="U65" s="75">
        <f t="shared" ca="1" si="11"/>
        <v>0</v>
      </c>
      <c r="V65" s="76">
        <f t="shared" ca="1" si="54"/>
        <v>0</v>
      </c>
      <c r="W65" s="77">
        <f ca="1">IFERROR(__xludf.DUMMYFUNCTION("IMPORTRANGE(""https://docs.google.com/spreadsheets/d/1C3CXT74ZlgGe6_JY_1olB1XN4rF0dxEuIIF-xsYjHgg/edit?usp=sharing"",""พรบ!BT69"")"),0)</f>
        <v>0</v>
      </c>
      <c r="X65" s="77">
        <f ca="1">IFERROR(__xludf.DUMMYFUNCTION("IMPORTRANGE(""https://docs.google.com/spreadsheets/d/1C3CXT74ZlgGe6_JY_1olB1XN4rF0dxEuIIF-xsYjHgg/edit?usp=sharing"",""พรบ!BU69"")"),0)</f>
        <v>0</v>
      </c>
      <c r="Y65" s="77">
        <f ca="1">IFERROR(__xludf.DUMMYFUNCTION("IMPORTRANGE(""https://docs.google.com/spreadsheets/d/1Yj_ptqi66GCucihVvJfMjLAmec39IyEx_6qawtMGysU/edit?usp=sharing"",""สบก!DA69"")"),0)</f>
        <v>0</v>
      </c>
      <c r="Z65" s="77">
        <f ca="1">IFERROR(__xludf.DUMMYFUNCTION("IMPORTRANGE(""https://docs.google.com/spreadsheets/d/1Yj_ptqi66GCucihVvJfMjLAmec39IyEx_6qawtMGysU/edit?usp=shDCing"",""สบก!DC69"")"),0)</f>
        <v>0</v>
      </c>
      <c r="AA65" s="77">
        <f t="shared" ca="1" si="14"/>
        <v>0</v>
      </c>
      <c r="AB65" s="137">
        <f t="shared" ca="1" si="15"/>
        <v>0</v>
      </c>
      <c r="AC65" s="77">
        <f ca="1">IFERROR(__xludf.DUMMYFUNCTION("IMPORTRANGE(""https://docs.google.com/spreadsheets/d/1Yj_ptqi66GCucihVvJfMjLAmec39IyEx_6qawtMGysU/edit?usp=sharing"",""สบก!DD69"")"),0)</f>
        <v>0</v>
      </c>
      <c r="AD65" s="137">
        <f t="shared" ca="1" si="16"/>
        <v>0</v>
      </c>
      <c r="AE65" s="137">
        <f t="shared" ca="1" si="17"/>
        <v>0</v>
      </c>
      <c r="AF65" s="137">
        <f ca="1">IFERROR(__xludf.DUMMYFUNCTION("IMPORTRANGE(""https://docs.google.com/spreadsheets/d/1Yj_ptqi66GCucihVvJfMjLAmec39IyEx_6qawtMGysU/edit?usp=sharing"",""สบก!DE69"")"),0)</f>
        <v>0</v>
      </c>
      <c r="AG65" s="137">
        <f t="shared" ca="1" si="18"/>
        <v>0</v>
      </c>
      <c r="AH65" s="77">
        <f ca="1">IFERROR(__xludf.DUMMYFUNCTION("IMPORTRANGE(""https://docs.google.com/spreadsheets/d/1C3CXT74ZlgGe6_JY_1olB1XN4rF0dxEuIIF-xsYjHgg/edit?usp=sharing"",""พรบ!BV69"")"),0)</f>
        <v>0</v>
      </c>
      <c r="AI65" s="77">
        <f ca="1">IFERROR(__xludf.DUMMYFUNCTION("IMPORTRANGE(""https://docs.google.com/spreadsheets/d/1SX6NBoVAgQJ6U1MVXOaj8PK2l7WJ3RER9xtqwdhxkhw/edit?usp=sharing"",""ปราจีนบุรี!J224"")"),0)</f>
        <v>0</v>
      </c>
      <c r="AJ65" s="137">
        <f t="shared" ca="1" si="20"/>
        <v>0</v>
      </c>
      <c r="AK65" s="114"/>
      <c r="AL65" s="114"/>
      <c r="AM65" s="114"/>
      <c r="AN65" s="114"/>
      <c r="AO65" s="114"/>
      <c r="AP65" s="114"/>
    </row>
    <row r="66" spans="1:42" ht="21" customHeight="1">
      <c r="A66" s="73">
        <v>12</v>
      </c>
      <c r="B66" s="74" t="s">
        <v>90</v>
      </c>
      <c r="C66" s="75">
        <f t="shared" ca="1" si="0"/>
        <v>0</v>
      </c>
      <c r="D66" s="76">
        <f t="shared" ca="1" si="53"/>
        <v>0</v>
      </c>
      <c r="E66" s="77">
        <f ca="1">IFERROR(__xludf.DUMMYFUNCTION("IMPORTRANGE(""https://docs.google.com/spreadsheets/d/1C3CXT74ZlgGe6_JY_1olB1XN4rF0dxEuIIF-xsYjHgg/edit?usp=sharing"",""พรบ!BO70"")"),0)</f>
        <v>0</v>
      </c>
      <c r="F66" s="77">
        <f ca="1">IFERROR(__xludf.DUMMYFUNCTION("IMPORTRANGE(""https://docs.google.com/spreadsheets/d/1C3CXT74ZlgGe6_JY_1olB1XN4rF0dxEuIIF-xsYjHgg/edit?usp=sharing"",""พรบ!BP70"")"),0)</f>
        <v>0</v>
      </c>
      <c r="G66" s="77">
        <f ca="1">IFERROR(__xludf.DUMMYFUNCTION("IMPORTRANGE(""https://docs.google.com/spreadsheets/d/1Yj_ptqi66GCucihVvJfMjLAmec39IyEx_6qawtMGysU/edit?usp=sharing"",""สบก!CR70"")"),0)</f>
        <v>0</v>
      </c>
      <c r="H66" s="77">
        <f ca="1">IFERROR(__xludf.DUMMYFUNCTION("IMPORTRANGE(""https://docs.google.com/spreadsheets/d/1Yj_ptqi66GCucihVvJfMjLAmec39IyEx_6qawtMGysU/edit?usp=shCTing"",""สบก!CT70"")"),0)</f>
        <v>0</v>
      </c>
      <c r="I66" s="77">
        <f t="shared" ca="1" si="3"/>
        <v>0</v>
      </c>
      <c r="J66" s="137">
        <f t="shared" ca="1" si="4"/>
        <v>0</v>
      </c>
      <c r="K66" s="77">
        <f ca="1">IFERROR(__xludf.DUMMYFUNCTION("IMPORTRANGE(""https://docs.google.com/spreadsheets/d/1Yj_ptqi66GCucihVvJfMjLAmec39IyEx_6qawtMGysU/edit?usp=sharing"",""สบก!CU70"")"),0)</f>
        <v>0</v>
      </c>
      <c r="L66" s="137">
        <f t="shared" ca="1" si="5"/>
        <v>0</v>
      </c>
      <c r="M66" s="137">
        <f t="shared" ca="1" si="6"/>
        <v>0</v>
      </c>
      <c r="N66" s="137">
        <f ca="1">IFERROR(__xludf.DUMMYFUNCTION("IMPORTRANGE(""https://docs.google.com/spreadsheets/d/1Yj_ptqi66GCucihVvJfMjLAmec39IyEx_6qawtMGysU/edit?usp=sharing"",""สบก!CV70"")"),0)</f>
        <v>0</v>
      </c>
      <c r="O66" s="137">
        <f t="shared" ca="1" si="7"/>
        <v>0</v>
      </c>
      <c r="P66" s="77">
        <f ca="1">IFERROR(__xludf.DUMMYFUNCTION("IMPORTRANGE(""https://docs.google.com/spreadsheets/d/1C3CXT74ZlgGe6_JY_1olB1XN4rF0dxEuIIF-xsYjHgg/edit?usp=sharing"",""พรบ!BQ70"")"),0)</f>
        <v>0</v>
      </c>
      <c r="Q66" s="77">
        <f ca="1">IFERROR(__xludf.DUMMYFUNCTION("IMPORTRANGE(""https://docs.google.com/spreadsheets/d/1SX6NBoVAgQJ6U1MVXOaj8PK2l7WJ3RER9xtqwdhxkhw/edit?usp=sharing"",""พระนครศรีอยุธยา!J209"")"),0)</f>
        <v>0</v>
      </c>
      <c r="R66" s="137">
        <f t="shared" ca="1" si="9"/>
        <v>0</v>
      </c>
      <c r="S66" s="77">
        <f ca="1">IFERROR(__xludf.DUMMYFUNCTION("IMPORTRANGE(""https://docs.google.com/spreadsheets/d/1SX6NBoVAgQJ6U1MVXOaj8PK2l7WJ3RER9xtqwdhxkhw/edit?usp=sharing"",""พระนครศรีอยุธยา!J211"")"),0)</f>
        <v>0</v>
      </c>
      <c r="T66" s="137">
        <f t="shared" ca="1" si="10"/>
        <v>0</v>
      </c>
      <c r="U66" s="75">
        <f t="shared" ca="1" si="11"/>
        <v>0</v>
      </c>
      <c r="V66" s="76">
        <f t="shared" ca="1" si="54"/>
        <v>0</v>
      </c>
      <c r="W66" s="77">
        <f ca="1">IFERROR(__xludf.DUMMYFUNCTION("IMPORTRANGE(""https://docs.google.com/spreadsheets/d/1C3CXT74ZlgGe6_JY_1olB1XN4rF0dxEuIIF-xsYjHgg/edit?usp=sharing"",""พรบ!BT70"")"),0)</f>
        <v>0</v>
      </c>
      <c r="X66" s="77">
        <f ca="1">IFERROR(__xludf.DUMMYFUNCTION("IMPORTRANGE(""https://docs.google.com/spreadsheets/d/1C3CXT74ZlgGe6_JY_1olB1XN4rF0dxEuIIF-xsYjHgg/edit?usp=sharing"",""พรบ!BU70"")"),0)</f>
        <v>0</v>
      </c>
      <c r="Y66" s="77">
        <f ca="1">IFERROR(__xludf.DUMMYFUNCTION("IMPORTRANGE(""https://docs.google.com/spreadsheets/d/1Yj_ptqi66GCucihVvJfMjLAmec39IyEx_6qawtMGysU/edit?usp=sharing"",""สบก!DA70"")"),0)</f>
        <v>0</v>
      </c>
      <c r="Z66" s="77">
        <f ca="1">IFERROR(__xludf.DUMMYFUNCTION("IMPORTRANGE(""https://docs.google.com/spreadsheets/d/1Yj_ptqi66GCucihVvJfMjLAmec39IyEx_6qawtMGysU/edit?usp=shDCing"",""สบก!DC70"")"),0)</f>
        <v>0</v>
      </c>
      <c r="AA66" s="77">
        <f t="shared" ca="1" si="14"/>
        <v>0</v>
      </c>
      <c r="AB66" s="137">
        <f t="shared" ca="1" si="15"/>
        <v>0</v>
      </c>
      <c r="AC66" s="77">
        <f ca="1">IFERROR(__xludf.DUMMYFUNCTION("IMPORTRANGE(""https://docs.google.com/spreadsheets/d/1Yj_ptqi66GCucihVvJfMjLAmec39IyEx_6qawtMGysU/edit?usp=sharing"",""สบก!DD70"")"),0)</f>
        <v>0</v>
      </c>
      <c r="AD66" s="137">
        <f t="shared" ca="1" si="16"/>
        <v>0</v>
      </c>
      <c r="AE66" s="137">
        <f t="shared" ca="1" si="17"/>
        <v>0</v>
      </c>
      <c r="AF66" s="137">
        <f ca="1">IFERROR(__xludf.DUMMYFUNCTION("IMPORTRANGE(""https://docs.google.com/spreadsheets/d/1Yj_ptqi66GCucihVvJfMjLAmec39IyEx_6qawtMGysU/edit?usp=sharing"",""สบก!DE70"")"),0)</f>
        <v>0</v>
      </c>
      <c r="AG66" s="137">
        <f t="shared" ca="1" si="18"/>
        <v>0</v>
      </c>
      <c r="AH66" s="77">
        <f ca="1">IFERROR(__xludf.DUMMYFUNCTION("IMPORTRANGE(""https://docs.google.com/spreadsheets/d/1C3CXT74ZlgGe6_JY_1olB1XN4rF0dxEuIIF-xsYjHgg/edit?usp=sharing"",""พรบ!BV70"")"),0)</f>
        <v>0</v>
      </c>
      <c r="AI66" s="77">
        <f ca="1">IFERROR(__xludf.DUMMYFUNCTION("IMPORTRANGE(""https://docs.google.com/spreadsheets/d/1SX6NBoVAgQJ6U1MVXOaj8PK2l7WJ3RER9xtqwdhxkhw/edit?usp=sharing"",""พระนครศรีอยุธยา!J224"")"),0)</f>
        <v>0</v>
      </c>
      <c r="AJ66" s="137">
        <f t="shared" ca="1" si="20"/>
        <v>0</v>
      </c>
      <c r="AK66" s="114"/>
      <c r="AL66" s="114"/>
      <c r="AM66" s="114"/>
      <c r="AN66" s="114"/>
      <c r="AO66" s="114"/>
      <c r="AP66" s="114"/>
    </row>
    <row r="67" spans="1:42" ht="21" customHeight="1">
      <c r="A67" s="73">
        <v>13</v>
      </c>
      <c r="B67" s="74" t="s">
        <v>91</v>
      </c>
      <c r="C67" s="75">
        <f t="shared" ca="1" si="0"/>
        <v>0</v>
      </c>
      <c r="D67" s="76">
        <f t="shared" ca="1" si="53"/>
        <v>0</v>
      </c>
      <c r="E67" s="77">
        <f ca="1">IFERROR(__xludf.DUMMYFUNCTION("IMPORTRANGE(""https://docs.google.com/spreadsheets/d/1C3CXT74ZlgGe6_JY_1olB1XN4rF0dxEuIIF-xsYjHgg/edit?usp=sharing"",""พรบ!BO71"")"),0)</f>
        <v>0</v>
      </c>
      <c r="F67" s="77">
        <f ca="1">IFERROR(__xludf.DUMMYFUNCTION("IMPORTRANGE(""https://docs.google.com/spreadsheets/d/1C3CXT74ZlgGe6_JY_1olB1XN4rF0dxEuIIF-xsYjHgg/edit?usp=sharing"",""พรบ!BP71"")"),0)</f>
        <v>0</v>
      </c>
      <c r="G67" s="77">
        <f ca="1">IFERROR(__xludf.DUMMYFUNCTION("IMPORTRANGE(""https://docs.google.com/spreadsheets/d/1Yj_ptqi66GCucihVvJfMjLAmec39IyEx_6qawtMGysU/edit?usp=sharing"",""สบก!CR71"")"),0)</f>
        <v>0</v>
      </c>
      <c r="H67" s="77">
        <f ca="1">IFERROR(__xludf.DUMMYFUNCTION("IMPORTRANGE(""https://docs.google.com/spreadsheets/d/1Yj_ptqi66GCucihVvJfMjLAmec39IyEx_6qawtMGysU/edit?usp=shCTing"",""สบก!CT71"")"),0)</f>
        <v>0</v>
      </c>
      <c r="I67" s="77">
        <f t="shared" ca="1" si="3"/>
        <v>0</v>
      </c>
      <c r="J67" s="137">
        <f t="shared" ca="1" si="4"/>
        <v>0</v>
      </c>
      <c r="K67" s="77">
        <f ca="1">IFERROR(__xludf.DUMMYFUNCTION("IMPORTRANGE(""https://docs.google.com/spreadsheets/d/1Yj_ptqi66GCucihVvJfMjLAmec39IyEx_6qawtMGysU/edit?usp=sharing"",""สบก!CU71"")"),0)</f>
        <v>0</v>
      </c>
      <c r="L67" s="137">
        <f t="shared" ca="1" si="5"/>
        <v>0</v>
      </c>
      <c r="M67" s="137">
        <f t="shared" ca="1" si="6"/>
        <v>0</v>
      </c>
      <c r="N67" s="137">
        <f ca="1">IFERROR(__xludf.DUMMYFUNCTION("IMPORTRANGE(""https://docs.google.com/spreadsheets/d/1Yj_ptqi66GCucihVvJfMjLAmec39IyEx_6qawtMGysU/edit?usp=sharing"",""สบก!CV71"")"),0)</f>
        <v>0</v>
      </c>
      <c r="O67" s="137">
        <f t="shared" ca="1" si="7"/>
        <v>0</v>
      </c>
      <c r="P67" s="77">
        <f ca="1">IFERROR(__xludf.DUMMYFUNCTION("IMPORTRANGE(""https://docs.google.com/spreadsheets/d/1C3CXT74ZlgGe6_JY_1olB1XN4rF0dxEuIIF-xsYjHgg/edit?usp=sharing"",""พรบ!BQ71"")"),0)</f>
        <v>0</v>
      </c>
      <c r="Q67" s="77">
        <f ca="1">IFERROR(__xludf.DUMMYFUNCTION("IMPORTRANGE(""https://docs.google.com/spreadsheets/d/1SX6NBoVAgQJ6U1MVXOaj8PK2l7WJ3RER9xtqwdhxkhw/edit?usp=sharing"",""เพชรบุรี!J209"")"),0)</f>
        <v>0</v>
      </c>
      <c r="R67" s="137">
        <f t="shared" ca="1" si="9"/>
        <v>0</v>
      </c>
      <c r="S67" s="77">
        <f ca="1">IFERROR(__xludf.DUMMYFUNCTION("IMPORTRANGE(""https://docs.google.com/spreadsheets/d/1SX6NBoVAgQJ6U1MVXOaj8PK2l7WJ3RER9xtqwdhxkhw/edit?usp=sharing"",""เพชรบุรี!J211"")"),0)</f>
        <v>0</v>
      </c>
      <c r="T67" s="137">
        <f t="shared" ca="1" si="10"/>
        <v>0</v>
      </c>
      <c r="U67" s="75">
        <f t="shared" ca="1" si="11"/>
        <v>0</v>
      </c>
      <c r="V67" s="76">
        <f t="shared" ca="1" si="54"/>
        <v>0</v>
      </c>
      <c r="W67" s="77">
        <f ca="1">IFERROR(__xludf.DUMMYFUNCTION("IMPORTRANGE(""https://docs.google.com/spreadsheets/d/1C3CXT74ZlgGe6_JY_1olB1XN4rF0dxEuIIF-xsYjHgg/edit?usp=sharing"",""พรบ!BT71"")"),0)</f>
        <v>0</v>
      </c>
      <c r="X67" s="77">
        <f ca="1">IFERROR(__xludf.DUMMYFUNCTION("IMPORTRANGE(""https://docs.google.com/spreadsheets/d/1C3CXT74ZlgGe6_JY_1olB1XN4rF0dxEuIIF-xsYjHgg/edit?usp=sharing"",""พรบ!BU71"")"),0)</f>
        <v>0</v>
      </c>
      <c r="Y67" s="77">
        <f ca="1">IFERROR(__xludf.DUMMYFUNCTION("IMPORTRANGE(""https://docs.google.com/spreadsheets/d/1Yj_ptqi66GCucihVvJfMjLAmec39IyEx_6qawtMGysU/edit?usp=sharing"",""สบก!DA71"")"),0)</f>
        <v>0</v>
      </c>
      <c r="Z67" s="77">
        <f ca="1">IFERROR(__xludf.DUMMYFUNCTION("IMPORTRANGE(""https://docs.google.com/spreadsheets/d/1Yj_ptqi66GCucihVvJfMjLAmec39IyEx_6qawtMGysU/edit?usp=shDCing"",""สบก!DC71"")"),0)</f>
        <v>0</v>
      </c>
      <c r="AA67" s="77">
        <f t="shared" ca="1" si="14"/>
        <v>0</v>
      </c>
      <c r="AB67" s="137">
        <f t="shared" ca="1" si="15"/>
        <v>0</v>
      </c>
      <c r="AC67" s="77">
        <f ca="1">IFERROR(__xludf.DUMMYFUNCTION("IMPORTRANGE(""https://docs.google.com/spreadsheets/d/1Yj_ptqi66GCucihVvJfMjLAmec39IyEx_6qawtMGysU/edit?usp=sharing"",""สบก!DD71"")"),0)</f>
        <v>0</v>
      </c>
      <c r="AD67" s="137">
        <f t="shared" ca="1" si="16"/>
        <v>0</v>
      </c>
      <c r="AE67" s="137">
        <f t="shared" ca="1" si="17"/>
        <v>0</v>
      </c>
      <c r="AF67" s="137">
        <f ca="1">IFERROR(__xludf.DUMMYFUNCTION("IMPORTRANGE(""https://docs.google.com/spreadsheets/d/1Yj_ptqi66GCucihVvJfMjLAmec39IyEx_6qawtMGysU/edit?usp=sharing"",""สบก!DE71"")"),0)</f>
        <v>0</v>
      </c>
      <c r="AG67" s="137">
        <f t="shared" ca="1" si="18"/>
        <v>0</v>
      </c>
      <c r="AH67" s="77">
        <f ca="1">IFERROR(__xludf.DUMMYFUNCTION("IMPORTRANGE(""https://docs.google.com/spreadsheets/d/1C3CXT74ZlgGe6_JY_1olB1XN4rF0dxEuIIF-xsYjHgg/edit?usp=sharing"",""พรบ!BV71"")"),0)</f>
        <v>0</v>
      </c>
      <c r="AI67" s="77">
        <f ca="1">IFERROR(__xludf.DUMMYFUNCTION("IMPORTRANGE(""https://docs.google.com/spreadsheets/d/1SX6NBoVAgQJ6U1MVXOaj8PK2l7WJ3RER9xtqwdhxkhw/edit?usp=sharing"",""เพชรบุรี!J224"")"),0)</f>
        <v>0</v>
      </c>
      <c r="AJ67" s="137">
        <f t="shared" ca="1" si="20"/>
        <v>0</v>
      </c>
      <c r="AK67" s="114"/>
      <c r="AL67" s="114"/>
      <c r="AM67" s="114"/>
      <c r="AN67" s="114"/>
      <c r="AO67" s="114"/>
      <c r="AP67" s="114"/>
    </row>
    <row r="68" spans="1:42" ht="21" customHeight="1">
      <c r="A68" s="73">
        <v>14</v>
      </c>
      <c r="B68" s="74" t="s">
        <v>92</v>
      </c>
      <c r="C68" s="75">
        <f t="shared" ca="1" si="0"/>
        <v>0</v>
      </c>
      <c r="D68" s="76">
        <f t="shared" ca="1" si="53"/>
        <v>0</v>
      </c>
      <c r="E68" s="77">
        <f ca="1">IFERROR(__xludf.DUMMYFUNCTION("IMPORTRANGE(""https://docs.google.com/spreadsheets/d/1C3CXT74ZlgGe6_JY_1olB1XN4rF0dxEuIIF-xsYjHgg/edit?usp=sharing"",""พรบ!BO72"")"),0)</f>
        <v>0</v>
      </c>
      <c r="F68" s="77">
        <f ca="1">IFERROR(__xludf.DUMMYFUNCTION("IMPORTRANGE(""https://docs.google.com/spreadsheets/d/1C3CXT74ZlgGe6_JY_1olB1XN4rF0dxEuIIF-xsYjHgg/edit?usp=sharing"",""พรบ!BP72"")"),0)</f>
        <v>0</v>
      </c>
      <c r="G68" s="77">
        <f ca="1">IFERROR(__xludf.DUMMYFUNCTION("IMPORTRANGE(""https://docs.google.com/spreadsheets/d/1Yj_ptqi66GCucihVvJfMjLAmec39IyEx_6qawtMGysU/edit?usp=sharing"",""สบก!CR72"")"),0)</f>
        <v>0</v>
      </c>
      <c r="H68" s="77">
        <f ca="1">IFERROR(__xludf.DUMMYFUNCTION("IMPORTRANGE(""https://docs.google.com/spreadsheets/d/1Yj_ptqi66GCucihVvJfMjLAmec39IyEx_6qawtMGysU/edit?usp=shCTing"",""สบก!CT72"")"),0)</f>
        <v>0</v>
      </c>
      <c r="I68" s="77">
        <f t="shared" ca="1" si="3"/>
        <v>0</v>
      </c>
      <c r="J68" s="137">
        <f t="shared" ca="1" si="4"/>
        <v>0</v>
      </c>
      <c r="K68" s="77">
        <f ca="1">IFERROR(__xludf.DUMMYFUNCTION("IMPORTRANGE(""https://docs.google.com/spreadsheets/d/1Yj_ptqi66GCucihVvJfMjLAmec39IyEx_6qawtMGysU/edit?usp=sharing"",""สบก!CU72"")"),0)</f>
        <v>0</v>
      </c>
      <c r="L68" s="137">
        <f t="shared" ca="1" si="5"/>
        <v>0</v>
      </c>
      <c r="M68" s="137">
        <f t="shared" ca="1" si="6"/>
        <v>0</v>
      </c>
      <c r="N68" s="137">
        <f ca="1">IFERROR(__xludf.DUMMYFUNCTION("IMPORTRANGE(""https://docs.google.com/spreadsheets/d/1Yj_ptqi66GCucihVvJfMjLAmec39IyEx_6qawtMGysU/edit?usp=sharing"",""สบก!CV72"")"),0)</f>
        <v>0</v>
      </c>
      <c r="O68" s="137">
        <f t="shared" ca="1" si="7"/>
        <v>0</v>
      </c>
      <c r="P68" s="77">
        <f ca="1">IFERROR(__xludf.DUMMYFUNCTION("IMPORTRANGE(""https://docs.google.com/spreadsheets/d/1C3CXT74ZlgGe6_JY_1olB1XN4rF0dxEuIIF-xsYjHgg/edit?usp=sharing"",""พรบ!BQ72"")"),0)</f>
        <v>0</v>
      </c>
      <c r="Q68" s="77">
        <f ca="1">IFERROR(__xludf.DUMMYFUNCTION("IMPORTRANGE(""https://docs.google.com/spreadsheets/d/1SX6NBoVAgQJ6U1MVXOaj8PK2l7WJ3RER9xtqwdhxkhw/edit?usp=sharing"",""ระยอง!J209"")"),0)</f>
        <v>0</v>
      </c>
      <c r="R68" s="137">
        <f t="shared" ca="1" si="9"/>
        <v>0</v>
      </c>
      <c r="S68" s="77">
        <f ca="1">IFERROR(__xludf.DUMMYFUNCTION("IMPORTRANGE(""https://docs.google.com/spreadsheets/d/1SX6NBoVAgQJ6U1MVXOaj8PK2l7WJ3RER9xtqwdhxkhw/edit?usp=sharing"",""ระยอง!J211"")"),0)</f>
        <v>0</v>
      </c>
      <c r="T68" s="137">
        <f t="shared" ca="1" si="10"/>
        <v>0</v>
      </c>
      <c r="U68" s="75">
        <f t="shared" ca="1" si="11"/>
        <v>0</v>
      </c>
      <c r="V68" s="76">
        <f t="shared" ca="1" si="54"/>
        <v>0</v>
      </c>
      <c r="W68" s="77">
        <f ca="1">IFERROR(__xludf.DUMMYFUNCTION("IMPORTRANGE(""https://docs.google.com/spreadsheets/d/1C3CXT74ZlgGe6_JY_1olB1XN4rF0dxEuIIF-xsYjHgg/edit?usp=sharing"",""พรบ!BT72"")"),0)</f>
        <v>0</v>
      </c>
      <c r="X68" s="77">
        <f ca="1">IFERROR(__xludf.DUMMYFUNCTION("IMPORTRANGE(""https://docs.google.com/spreadsheets/d/1C3CXT74ZlgGe6_JY_1olB1XN4rF0dxEuIIF-xsYjHgg/edit?usp=sharing"",""พรบ!BU72"")"),0)</f>
        <v>0</v>
      </c>
      <c r="Y68" s="77">
        <f ca="1">IFERROR(__xludf.DUMMYFUNCTION("IMPORTRANGE(""https://docs.google.com/spreadsheets/d/1Yj_ptqi66GCucihVvJfMjLAmec39IyEx_6qawtMGysU/edit?usp=sharing"",""สบก!DA72"")"),0)</f>
        <v>0</v>
      </c>
      <c r="Z68" s="77">
        <f ca="1">IFERROR(__xludf.DUMMYFUNCTION("IMPORTRANGE(""https://docs.google.com/spreadsheets/d/1Yj_ptqi66GCucihVvJfMjLAmec39IyEx_6qawtMGysU/edit?usp=shDCing"",""สบก!DC72"")"),0)</f>
        <v>0</v>
      </c>
      <c r="AA68" s="77">
        <f t="shared" ca="1" si="14"/>
        <v>0</v>
      </c>
      <c r="AB68" s="137">
        <f t="shared" ca="1" si="15"/>
        <v>0</v>
      </c>
      <c r="AC68" s="77">
        <f ca="1">IFERROR(__xludf.DUMMYFUNCTION("IMPORTRANGE(""https://docs.google.com/spreadsheets/d/1Yj_ptqi66GCucihVvJfMjLAmec39IyEx_6qawtMGysU/edit?usp=sharing"",""สบก!DD72"")"),0)</f>
        <v>0</v>
      </c>
      <c r="AD68" s="137">
        <f t="shared" ca="1" si="16"/>
        <v>0</v>
      </c>
      <c r="AE68" s="137">
        <f t="shared" ca="1" si="17"/>
        <v>0</v>
      </c>
      <c r="AF68" s="137">
        <f ca="1">IFERROR(__xludf.DUMMYFUNCTION("IMPORTRANGE(""https://docs.google.com/spreadsheets/d/1Yj_ptqi66GCucihVvJfMjLAmec39IyEx_6qawtMGysU/edit?usp=sharing"",""สบก!DE72"")"),0)</f>
        <v>0</v>
      </c>
      <c r="AG68" s="137">
        <f t="shared" ca="1" si="18"/>
        <v>0</v>
      </c>
      <c r="AH68" s="77">
        <f ca="1">IFERROR(__xludf.DUMMYFUNCTION("IMPORTRANGE(""https://docs.google.com/spreadsheets/d/1C3CXT74ZlgGe6_JY_1olB1XN4rF0dxEuIIF-xsYjHgg/edit?usp=sharing"",""พรบ!BV72"")"),0)</f>
        <v>0</v>
      </c>
      <c r="AI68" s="77">
        <f ca="1">IFERROR(__xludf.DUMMYFUNCTION("IMPORTRANGE(""https://docs.google.com/spreadsheets/d/1SX6NBoVAgQJ6U1MVXOaj8PK2l7WJ3RER9xtqwdhxkhw/edit?usp=sharing"",""ระยอง!J224"")"),0)</f>
        <v>0</v>
      </c>
      <c r="AJ68" s="137">
        <f t="shared" ca="1" si="20"/>
        <v>0</v>
      </c>
      <c r="AK68" s="114"/>
      <c r="AL68" s="114"/>
      <c r="AM68" s="114"/>
      <c r="AN68" s="114"/>
      <c r="AO68" s="114"/>
      <c r="AP68" s="114"/>
    </row>
    <row r="69" spans="1:42" ht="21" customHeight="1">
      <c r="A69" s="73">
        <v>15</v>
      </c>
      <c r="B69" s="74" t="s">
        <v>93</v>
      </c>
      <c r="C69" s="75">
        <f t="shared" ca="1" si="0"/>
        <v>0</v>
      </c>
      <c r="D69" s="76">
        <f t="shared" ca="1" si="53"/>
        <v>0</v>
      </c>
      <c r="E69" s="77">
        <f ca="1">IFERROR(__xludf.DUMMYFUNCTION("IMPORTRANGE(""https://docs.google.com/spreadsheets/d/1C3CXT74ZlgGe6_JY_1olB1XN4rF0dxEuIIF-xsYjHgg/edit?usp=sharing"",""พรบ!BO73"")"),0)</f>
        <v>0</v>
      </c>
      <c r="F69" s="77">
        <f ca="1">IFERROR(__xludf.DUMMYFUNCTION("IMPORTRANGE(""https://docs.google.com/spreadsheets/d/1C3CXT74ZlgGe6_JY_1olB1XN4rF0dxEuIIF-xsYjHgg/edit?usp=sharing"",""พรบ!BP73"")"),0)</f>
        <v>0</v>
      </c>
      <c r="G69" s="77">
        <f ca="1">IFERROR(__xludf.DUMMYFUNCTION("IMPORTRANGE(""https://docs.google.com/spreadsheets/d/1Yj_ptqi66GCucihVvJfMjLAmec39IyEx_6qawtMGysU/edit?usp=sharing"",""สบก!CR73"")"),0)</f>
        <v>0</v>
      </c>
      <c r="H69" s="77">
        <f ca="1">IFERROR(__xludf.DUMMYFUNCTION("IMPORTRANGE(""https://docs.google.com/spreadsheets/d/1Yj_ptqi66GCucihVvJfMjLAmec39IyEx_6qawtMGysU/edit?usp=shCTing"",""สบก!CT73"")"),0)</f>
        <v>0</v>
      </c>
      <c r="I69" s="77">
        <f t="shared" ca="1" si="3"/>
        <v>0</v>
      </c>
      <c r="J69" s="137">
        <f t="shared" ca="1" si="4"/>
        <v>0</v>
      </c>
      <c r="K69" s="77">
        <f ca="1">IFERROR(__xludf.DUMMYFUNCTION("IMPORTRANGE(""https://docs.google.com/spreadsheets/d/1Yj_ptqi66GCucihVvJfMjLAmec39IyEx_6qawtMGysU/edit?usp=sharing"",""สบก!CU73"")"),0)</f>
        <v>0</v>
      </c>
      <c r="L69" s="137">
        <f t="shared" ca="1" si="5"/>
        <v>0</v>
      </c>
      <c r="M69" s="137">
        <f t="shared" ca="1" si="6"/>
        <v>0</v>
      </c>
      <c r="N69" s="137">
        <f ca="1">IFERROR(__xludf.DUMMYFUNCTION("IMPORTRANGE(""https://docs.google.com/spreadsheets/d/1Yj_ptqi66GCucihVvJfMjLAmec39IyEx_6qawtMGysU/edit?usp=sharing"",""สบก!CV73"")"),0)</f>
        <v>0</v>
      </c>
      <c r="O69" s="137">
        <f t="shared" ca="1" si="7"/>
        <v>0</v>
      </c>
      <c r="P69" s="77">
        <f ca="1">IFERROR(__xludf.DUMMYFUNCTION("IMPORTRANGE(""https://docs.google.com/spreadsheets/d/1C3CXT74ZlgGe6_JY_1olB1XN4rF0dxEuIIF-xsYjHgg/edit?usp=sharing"",""พรบ!BQ73"")"),0)</f>
        <v>0</v>
      </c>
      <c r="Q69" s="77">
        <f ca="1">IFERROR(__xludf.DUMMYFUNCTION("IMPORTRANGE(""https://docs.google.com/spreadsheets/d/1SX6NBoVAgQJ6U1MVXOaj8PK2l7WJ3RER9xtqwdhxkhw/edit?usp=sharing"",""ราชบุรี!J209"")"),0)</f>
        <v>0</v>
      </c>
      <c r="R69" s="137">
        <f t="shared" ca="1" si="9"/>
        <v>0</v>
      </c>
      <c r="S69" s="77">
        <f ca="1">IFERROR(__xludf.DUMMYFUNCTION("IMPORTRANGE(""https://docs.google.com/spreadsheets/d/1SX6NBoVAgQJ6U1MVXOaj8PK2l7WJ3RER9xtqwdhxkhw/edit?usp=sharing"",""ราชบุรี!J211"")"),0)</f>
        <v>0</v>
      </c>
      <c r="T69" s="137">
        <f t="shared" ca="1" si="10"/>
        <v>0</v>
      </c>
      <c r="U69" s="75">
        <f t="shared" ca="1" si="11"/>
        <v>0</v>
      </c>
      <c r="V69" s="76">
        <f t="shared" ca="1" si="54"/>
        <v>0</v>
      </c>
      <c r="W69" s="77">
        <f ca="1">IFERROR(__xludf.DUMMYFUNCTION("IMPORTRANGE(""https://docs.google.com/spreadsheets/d/1C3CXT74ZlgGe6_JY_1olB1XN4rF0dxEuIIF-xsYjHgg/edit?usp=sharing"",""พรบ!BT73"")"),0)</f>
        <v>0</v>
      </c>
      <c r="X69" s="77">
        <f ca="1">IFERROR(__xludf.DUMMYFUNCTION("IMPORTRANGE(""https://docs.google.com/spreadsheets/d/1C3CXT74ZlgGe6_JY_1olB1XN4rF0dxEuIIF-xsYjHgg/edit?usp=sharing"",""พรบ!BU73"")"),0)</f>
        <v>0</v>
      </c>
      <c r="Y69" s="77">
        <f ca="1">IFERROR(__xludf.DUMMYFUNCTION("IMPORTRANGE(""https://docs.google.com/spreadsheets/d/1Yj_ptqi66GCucihVvJfMjLAmec39IyEx_6qawtMGysU/edit?usp=sharing"",""สบก!DA73"")"),0)</f>
        <v>0</v>
      </c>
      <c r="Z69" s="77">
        <f ca="1">IFERROR(__xludf.DUMMYFUNCTION("IMPORTRANGE(""https://docs.google.com/spreadsheets/d/1Yj_ptqi66GCucihVvJfMjLAmec39IyEx_6qawtMGysU/edit?usp=shDCing"",""สบก!DC73"")"),0)</f>
        <v>0</v>
      </c>
      <c r="AA69" s="77">
        <f t="shared" ca="1" si="14"/>
        <v>0</v>
      </c>
      <c r="AB69" s="137">
        <f t="shared" ca="1" si="15"/>
        <v>0</v>
      </c>
      <c r="AC69" s="77">
        <f ca="1">IFERROR(__xludf.DUMMYFUNCTION("IMPORTRANGE(""https://docs.google.com/spreadsheets/d/1Yj_ptqi66GCucihVvJfMjLAmec39IyEx_6qawtMGysU/edit?usp=sharing"",""สบก!DD73"")"),0)</f>
        <v>0</v>
      </c>
      <c r="AD69" s="137">
        <f t="shared" ca="1" si="16"/>
        <v>0</v>
      </c>
      <c r="AE69" s="137">
        <f t="shared" ca="1" si="17"/>
        <v>0</v>
      </c>
      <c r="AF69" s="137">
        <f ca="1">IFERROR(__xludf.DUMMYFUNCTION("IMPORTRANGE(""https://docs.google.com/spreadsheets/d/1Yj_ptqi66GCucihVvJfMjLAmec39IyEx_6qawtMGysU/edit?usp=sharing"",""สบก!DE73"")"),0)</f>
        <v>0</v>
      </c>
      <c r="AG69" s="137">
        <f t="shared" ca="1" si="18"/>
        <v>0</v>
      </c>
      <c r="AH69" s="77">
        <f ca="1">IFERROR(__xludf.DUMMYFUNCTION("IMPORTRANGE(""https://docs.google.com/spreadsheets/d/1C3CXT74ZlgGe6_JY_1olB1XN4rF0dxEuIIF-xsYjHgg/edit?usp=sharing"",""พรบ!BV73"")"),0)</f>
        <v>0</v>
      </c>
      <c r="AI69" s="77">
        <f ca="1">IFERROR(__xludf.DUMMYFUNCTION("IMPORTRANGE(""https://docs.google.com/spreadsheets/d/1SX6NBoVAgQJ6U1MVXOaj8PK2l7WJ3RER9xtqwdhxkhw/edit?usp=sharing"",""ราชบุรี!J224"")"),0)</f>
        <v>0</v>
      </c>
      <c r="AJ69" s="137">
        <f t="shared" ca="1" si="20"/>
        <v>0</v>
      </c>
      <c r="AK69" s="114"/>
      <c r="AL69" s="114"/>
      <c r="AM69" s="114"/>
      <c r="AN69" s="114"/>
      <c r="AO69" s="114"/>
      <c r="AP69" s="114"/>
    </row>
    <row r="70" spans="1:42" ht="24" customHeight="1">
      <c r="A70" s="73">
        <v>16</v>
      </c>
      <c r="B70" s="74" t="s">
        <v>94</v>
      </c>
      <c r="C70" s="75">
        <f t="shared" ca="1" si="0"/>
        <v>0</v>
      </c>
      <c r="D70" s="76">
        <f t="shared" ca="1" si="53"/>
        <v>0</v>
      </c>
      <c r="E70" s="77">
        <f ca="1">IFERROR(__xludf.DUMMYFUNCTION("IMPORTRANGE(""https://docs.google.com/spreadsheets/d/1C3CXT74ZlgGe6_JY_1olB1XN4rF0dxEuIIF-xsYjHgg/edit?usp=sharing"",""พรบ!BO74"")"),0)</f>
        <v>0</v>
      </c>
      <c r="F70" s="77">
        <f ca="1">IFERROR(__xludf.DUMMYFUNCTION("IMPORTRANGE(""https://docs.google.com/spreadsheets/d/1C3CXT74ZlgGe6_JY_1olB1XN4rF0dxEuIIF-xsYjHgg/edit?usp=sharing"",""พรบ!BP74"")"),0)</f>
        <v>0</v>
      </c>
      <c r="G70" s="77">
        <f ca="1">IFERROR(__xludf.DUMMYFUNCTION("IMPORTRANGE(""https://docs.google.com/spreadsheets/d/1Yj_ptqi66GCucihVvJfMjLAmec39IyEx_6qawtMGysU/edit?usp=sharing"",""สบก!CR74"")"),0)</f>
        <v>0</v>
      </c>
      <c r="H70" s="77">
        <f ca="1">IFERROR(__xludf.DUMMYFUNCTION("IMPORTRANGE(""https://docs.google.com/spreadsheets/d/1Yj_ptqi66GCucihVvJfMjLAmec39IyEx_6qawtMGysU/edit?usp=shCTing"",""สบก!CT74"")"),0)</f>
        <v>0</v>
      </c>
      <c r="I70" s="77">
        <f t="shared" ca="1" si="3"/>
        <v>0</v>
      </c>
      <c r="J70" s="137">
        <f t="shared" ca="1" si="4"/>
        <v>0</v>
      </c>
      <c r="K70" s="77">
        <f ca="1">IFERROR(__xludf.DUMMYFUNCTION("IMPORTRANGE(""https://docs.google.com/spreadsheets/d/1Yj_ptqi66GCucihVvJfMjLAmec39IyEx_6qawtMGysU/edit?usp=sharing"",""สบก!CU74"")"),0)</f>
        <v>0</v>
      </c>
      <c r="L70" s="137">
        <f t="shared" ca="1" si="5"/>
        <v>0</v>
      </c>
      <c r="M70" s="137">
        <f t="shared" ca="1" si="6"/>
        <v>0</v>
      </c>
      <c r="N70" s="137">
        <f ca="1">IFERROR(__xludf.DUMMYFUNCTION("IMPORTRANGE(""https://docs.google.com/spreadsheets/d/1Yj_ptqi66GCucihVvJfMjLAmec39IyEx_6qawtMGysU/edit?usp=sharing"",""สบก!CV74"")"),0)</f>
        <v>0</v>
      </c>
      <c r="O70" s="137">
        <f t="shared" ca="1" si="7"/>
        <v>0</v>
      </c>
      <c r="P70" s="77">
        <f ca="1">IFERROR(__xludf.DUMMYFUNCTION("IMPORTRANGE(""https://docs.google.com/spreadsheets/d/1C3CXT74ZlgGe6_JY_1olB1XN4rF0dxEuIIF-xsYjHgg/edit?usp=sharing"",""พรบ!BQ74"")"),0)</f>
        <v>0</v>
      </c>
      <c r="Q70" s="77">
        <f ca="1">IFERROR(__xludf.DUMMYFUNCTION("IMPORTRANGE(""https://docs.google.com/spreadsheets/d/1SX6NBoVAgQJ6U1MVXOaj8PK2l7WJ3RER9xtqwdhxkhw/edit?usp=sharing"",""ลพบุรี!J209"")"),0)</f>
        <v>0</v>
      </c>
      <c r="R70" s="137">
        <f t="shared" ca="1" si="9"/>
        <v>0</v>
      </c>
      <c r="S70" s="77">
        <f ca="1">IFERROR(__xludf.DUMMYFUNCTION("IMPORTRANGE(""https://docs.google.com/spreadsheets/d/1SX6NBoVAgQJ6U1MVXOaj8PK2l7WJ3RER9xtqwdhxkhw/edit?usp=sharing"",""ลพบุรี!J211"")"),0)</f>
        <v>0</v>
      </c>
      <c r="T70" s="137">
        <f t="shared" ca="1" si="10"/>
        <v>0</v>
      </c>
      <c r="U70" s="75">
        <f t="shared" ca="1" si="11"/>
        <v>0</v>
      </c>
      <c r="V70" s="76">
        <f t="shared" ca="1" si="54"/>
        <v>0</v>
      </c>
      <c r="W70" s="77">
        <f ca="1">IFERROR(__xludf.DUMMYFUNCTION("IMPORTRANGE(""https://docs.google.com/spreadsheets/d/1C3CXT74ZlgGe6_JY_1olB1XN4rF0dxEuIIF-xsYjHgg/edit?usp=sharing"",""พรบ!BT74"")"),0)</f>
        <v>0</v>
      </c>
      <c r="X70" s="77">
        <f ca="1">IFERROR(__xludf.DUMMYFUNCTION("IMPORTRANGE(""https://docs.google.com/spreadsheets/d/1C3CXT74ZlgGe6_JY_1olB1XN4rF0dxEuIIF-xsYjHgg/edit?usp=sharing"",""พรบ!BU74"")"),0)</f>
        <v>0</v>
      </c>
      <c r="Y70" s="77">
        <f ca="1">IFERROR(__xludf.DUMMYFUNCTION("IMPORTRANGE(""https://docs.google.com/spreadsheets/d/1Yj_ptqi66GCucihVvJfMjLAmec39IyEx_6qawtMGysU/edit?usp=sharing"",""สบก!DA74"")"),0)</f>
        <v>0</v>
      </c>
      <c r="Z70" s="77">
        <f ca="1">IFERROR(__xludf.DUMMYFUNCTION("IMPORTRANGE(""https://docs.google.com/spreadsheets/d/1Yj_ptqi66GCucihVvJfMjLAmec39IyEx_6qawtMGysU/edit?usp=shDCing"",""สบก!DC74"")"),0)</f>
        <v>0</v>
      </c>
      <c r="AA70" s="77">
        <f t="shared" ca="1" si="14"/>
        <v>0</v>
      </c>
      <c r="AB70" s="137">
        <f t="shared" ca="1" si="15"/>
        <v>0</v>
      </c>
      <c r="AC70" s="77">
        <f ca="1">IFERROR(__xludf.DUMMYFUNCTION("IMPORTRANGE(""https://docs.google.com/spreadsheets/d/1Yj_ptqi66GCucihVvJfMjLAmec39IyEx_6qawtMGysU/edit?usp=sharing"",""สบก!DD74"")"),0)</f>
        <v>0</v>
      </c>
      <c r="AD70" s="137">
        <f t="shared" ca="1" si="16"/>
        <v>0</v>
      </c>
      <c r="AE70" s="137">
        <f t="shared" ca="1" si="17"/>
        <v>0</v>
      </c>
      <c r="AF70" s="137">
        <f ca="1">IFERROR(__xludf.DUMMYFUNCTION("IMPORTRANGE(""https://docs.google.com/spreadsheets/d/1Yj_ptqi66GCucihVvJfMjLAmec39IyEx_6qawtMGysU/edit?usp=sharing"",""สบก!DE74"")"),0)</f>
        <v>0</v>
      </c>
      <c r="AG70" s="137">
        <f t="shared" ca="1" si="18"/>
        <v>0</v>
      </c>
      <c r="AH70" s="77">
        <f ca="1">IFERROR(__xludf.DUMMYFUNCTION("IMPORTRANGE(""https://docs.google.com/spreadsheets/d/1C3CXT74ZlgGe6_JY_1olB1XN4rF0dxEuIIF-xsYjHgg/edit?usp=sharing"",""พรบ!BV74"")"),0)</f>
        <v>0</v>
      </c>
      <c r="AI70" s="77">
        <f ca="1">IFERROR(__xludf.DUMMYFUNCTION("IMPORTRANGE(""https://docs.google.com/spreadsheets/d/1SX6NBoVAgQJ6U1MVXOaj8PK2l7WJ3RER9xtqwdhxkhw/edit?usp=sharing"",""ลพบุรี!J224"")"),0)</f>
        <v>0</v>
      </c>
      <c r="AJ70" s="137">
        <f t="shared" ca="1" si="20"/>
        <v>0</v>
      </c>
      <c r="AK70" s="114"/>
      <c r="AL70" s="114"/>
      <c r="AM70" s="114"/>
      <c r="AN70" s="114"/>
      <c r="AO70" s="114"/>
      <c r="AP70" s="114"/>
    </row>
    <row r="71" spans="1:42" ht="21" customHeight="1">
      <c r="A71" s="73">
        <v>17</v>
      </c>
      <c r="B71" s="74" t="s">
        <v>95</v>
      </c>
      <c r="C71" s="75">
        <f t="shared" ca="1" si="0"/>
        <v>123640</v>
      </c>
      <c r="D71" s="76">
        <f t="shared" ca="1" si="53"/>
        <v>123640</v>
      </c>
      <c r="E71" s="77">
        <f ca="1">IFERROR(__xludf.DUMMYFUNCTION("IMPORTRANGE(""https://docs.google.com/spreadsheets/d/1C3CXT74ZlgGe6_JY_1olB1XN4rF0dxEuIIF-xsYjHgg/edit?usp=sharing"",""พรบ!BO75"")"),0)</f>
        <v>0</v>
      </c>
      <c r="F71" s="77">
        <f ca="1">IFERROR(__xludf.DUMMYFUNCTION("IMPORTRANGE(""https://docs.google.com/spreadsheets/d/1C3CXT74ZlgGe6_JY_1olB1XN4rF0dxEuIIF-xsYjHgg/edit?usp=sharing"",""พรบ!BP75"")"),123640)</f>
        <v>123640</v>
      </c>
      <c r="G71" s="77">
        <f ca="1">IFERROR(__xludf.DUMMYFUNCTION("IMPORTRANGE(""https://docs.google.com/spreadsheets/d/1Yj_ptqi66GCucihVvJfMjLAmec39IyEx_6qawtMGysU/edit?usp=sharing"",""สบก!CR75"")"),0)</f>
        <v>0</v>
      </c>
      <c r="H71" s="77">
        <f ca="1">IFERROR(__xludf.DUMMYFUNCTION("IMPORTRANGE(""https://docs.google.com/spreadsheets/d/1Yj_ptqi66GCucihVvJfMjLAmec39IyEx_6qawtMGysU/edit?usp=shCTing"",""สบก!CT75"")"),123640)</f>
        <v>123640</v>
      </c>
      <c r="I71" s="77">
        <f t="shared" ca="1" si="3"/>
        <v>58020</v>
      </c>
      <c r="J71" s="137">
        <f t="shared" ca="1" si="4"/>
        <v>46.926560983500487</v>
      </c>
      <c r="K71" s="77">
        <f ca="1">IFERROR(__xludf.DUMMYFUNCTION("IMPORTRANGE(""https://docs.google.com/spreadsheets/d/1Yj_ptqi66GCucihVvJfMjLAmec39IyEx_6qawtMGysU/edit?usp=sharing"",""สบก!CU75"")"),58020)</f>
        <v>58020</v>
      </c>
      <c r="L71" s="137">
        <f t="shared" ca="1" si="5"/>
        <v>46.926560983500487</v>
      </c>
      <c r="M71" s="137">
        <f t="shared" ca="1" si="6"/>
        <v>46.926560983500487</v>
      </c>
      <c r="N71" s="137">
        <f ca="1">IFERROR(__xludf.DUMMYFUNCTION("IMPORTRANGE(""https://docs.google.com/spreadsheets/d/1Yj_ptqi66GCucihVvJfMjLAmec39IyEx_6qawtMGysU/edit?usp=sharing"",""สบก!CV75"")"),0)</f>
        <v>0</v>
      </c>
      <c r="O71" s="137">
        <f t="shared" ca="1" si="7"/>
        <v>0</v>
      </c>
      <c r="P71" s="77">
        <f ca="1">IFERROR(__xludf.DUMMYFUNCTION("IMPORTRANGE(""https://docs.google.com/spreadsheets/d/1C3CXT74ZlgGe6_JY_1olB1XN4rF0dxEuIIF-xsYjHgg/edit?usp=sharing"",""พรบ!BQ75"")"),40)</f>
        <v>40</v>
      </c>
      <c r="Q71" s="77">
        <f ca="1">IFERROR(__xludf.DUMMYFUNCTION("IMPORTRANGE(""https://docs.google.com/spreadsheets/d/1SX6NBoVAgQJ6U1MVXOaj8PK2l7WJ3RER9xtqwdhxkhw/edit?usp=sharing"",""สระแก้ว!J209"")"),40)</f>
        <v>40</v>
      </c>
      <c r="R71" s="137">
        <f t="shared" ca="1" si="9"/>
        <v>100</v>
      </c>
      <c r="S71" s="77">
        <f ca="1">IFERROR(__xludf.DUMMYFUNCTION("IMPORTRANGE(""https://docs.google.com/spreadsheets/d/1SX6NBoVAgQJ6U1MVXOaj8PK2l7WJ3RER9xtqwdhxkhw/edit?usp=sharing"",""สระแก้ว!J211"")"),0)</f>
        <v>0</v>
      </c>
      <c r="T71" s="137">
        <f t="shared" ca="1" si="10"/>
        <v>0</v>
      </c>
      <c r="U71" s="75">
        <f t="shared" ca="1" si="11"/>
        <v>395600</v>
      </c>
      <c r="V71" s="76">
        <f t="shared" ca="1" si="54"/>
        <v>395600</v>
      </c>
      <c r="W71" s="77">
        <f ca="1">IFERROR(__xludf.DUMMYFUNCTION("IMPORTRANGE(""https://docs.google.com/spreadsheets/d/1C3CXT74ZlgGe6_JY_1olB1XN4rF0dxEuIIF-xsYjHgg/edit?usp=sharing"",""พรบ!BT75"")"),0)</f>
        <v>0</v>
      </c>
      <c r="X71" s="77">
        <f ca="1">IFERROR(__xludf.DUMMYFUNCTION("IMPORTRANGE(""https://docs.google.com/spreadsheets/d/1C3CXT74ZlgGe6_JY_1olB1XN4rF0dxEuIIF-xsYjHgg/edit?usp=sharing"",""พรบ!BU75"")"),395600)</f>
        <v>395600</v>
      </c>
      <c r="Y71" s="77">
        <f ca="1">IFERROR(__xludf.DUMMYFUNCTION("IMPORTRANGE(""https://docs.google.com/spreadsheets/d/1Yj_ptqi66GCucihVvJfMjLAmec39IyEx_6qawtMGysU/edit?usp=sharing"",""สบก!DA75"")"),0)</f>
        <v>0</v>
      </c>
      <c r="Z71" s="77">
        <f ca="1">IFERROR(__xludf.DUMMYFUNCTION("IMPORTRANGE(""https://docs.google.com/spreadsheets/d/1Yj_ptqi66GCucihVvJfMjLAmec39IyEx_6qawtMGysU/edit?usp=shDCing"",""สบก!DC75"")"),296700)</f>
        <v>296700</v>
      </c>
      <c r="AA71" s="77">
        <f t="shared" ca="1" si="14"/>
        <v>62020</v>
      </c>
      <c r="AB71" s="137">
        <f t="shared" ca="1" si="15"/>
        <v>15.677451971688575</v>
      </c>
      <c r="AC71" s="77">
        <f ca="1">IFERROR(__xludf.DUMMYFUNCTION("IMPORTRANGE(""https://docs.google.com/spreadsheets/d/1Yj_ptqi66GCucihVvJfMjLAmec39IyEx_6qawtMGysU/edit?usp=sharing"",""สบก!DD75"")"),62020)</f>
        <v>62020</v>
      </c>
      <c r="AD71" s="137">
        <f t="shared" ca="1" si="16"/>
        <v>15.677451971688575</v>
      </c>
      <c r="AE71" s="137">
        <f t="shared" ca="1" si="17"/>
        <v>20.903269295584767</v>
      </c>
      <c r="AF71" s="137">
        <f ca="1">IFERROR(__xludf.DUMMYFUNCTION("IMPORTRANGE(""https://docs.google.com/spreadsheets/d/1Yj_ptqi66GCucihVvJfMjLAmec39IyEx_6qawtMGysU/edit?usp=sharing"",""สบก!DE75"")"),0)</f>
        <v>0</v>
      </c>
      <c r="AG71" s="137">
        <f t="shared" ca="1" si="18"/>
        <v>0</v>
      </c>
      <c r="AH71" s="77">
        <f ca="1">IFERROR(__xludf.DUMMYFUNCTION("IMPORTRANGE(""https://docs.google.com/spreadsheets/d/1C3CXT74ZlgGe6_JY_1olB1XN4rF0dxEuIIF-xsYjHgg/edit?usp=sharing"",""พรบ!BV75"")"),10)</f>
        <v>10</v>
      </c>
      <c r="AI71" s="77">
        <f ca="1">IFERROR(__xludf.DUMMYFUNCTION("IMPORTRANGE(""https://docs.google.com/spreadsheets/d/1SX6NBoVAgQJ6U1MVXOaj8PK2l7WJ3RER9xtqwdhxkhw/edit?usp=sharing"",""สระแก้ว!J224"")"),5)</f>
        <v>5</v>
      </c>
      <c r="AJ71" s="137">
        <f t="shared" ca="1" si="20"/>
        <v>50</v>
      </c>
      <c r="AK71" s="114"/>
      <c r="AL71" s="114"/>
      <c r="AM71" s="114"/>
      <c r="AN71" s="114"/>
      <c r="AO71" s="114"/>
      <c r="AP71" s="114"/>
    </row>
    <row r="72" spans="1:42" ht="21" customHeight="1">
      <c r="A72" s="73">
        <v>18</v>
      </c>
      <c r="B72" s="74" t="s">
        <v>96</v>
      </c>
      <c r="C72" s="75">
        <f t="shared" ca="1" si="0"/>
        <v>0</v>
      </c>
      <c r="D72" s="76">
        <f t="shared" ca="1" si="53"/>
        <v>0</v>
      </c>
      <c r="E72" s="77">
        <f ca="1">IFERROR(__xludf.DUMMYFUNCTION("IMPORTRANGE(""https://docs.google.com/spreadsheets/d/1C3CXT74ZlgGe6_JY_1olB1XN4rF0dxEuIIF-xsYjHgg/edit?usp=sharing"",""พรบ!BO76"")"),0)</f>
        <v>0</v>
      </c>
      <c r="F72" s="77">
        <f ca="1">IFERROR(__xludf.DUMMYFUNCTION("IMPORTRANGE(""https://docs.google.com/spreadsheets/d/1C3CXT74ZlgGe6_JY_1olB1XN4rF0dxEuIIF-xsYjHgg/edit?usp=sharing"",""พรบ!BP76"")"),0)</f>
        <v>0</v>
      </c>
      <c r="G72" s="77">
        <f ca="1">IFERROR(__xludf.DUMMYFUNCTION("IMPORTRANGE(""https://docs.google.com/spreadsheets/d/1Yj_ptqi66GCucihVvJfMjLAmec39IyEx_6qawtMGysU/edit?usp=sharing"",""สบก!CR76"")"),0)</f>
        <v>0</v>
      </c>
      <c r="H72" s="77">
        <f ca="1">IFERROR(__xludf.DUMMYFUNCTION("IMPORTRANGE(""https://docs.google.com/spreadsheets/d/1Yj_ptqi66GCucihVvJfMjLAmec39IyEx_6qawtMGysU/edit?usp=shCTing"",""สบก!CT76"")"),0)</f>
        <v>0</v>
      </c>
      <c r="I72" s="77">
        <f t="shared" ca="1" si="3"/>
        <v>0</v>
      </c>
      <c r="J72" s="137">
        <f t="shared" ca="1" si="4"/>
        <v>0</v>
      </c>
      <c r="K72" s="77">
        <f ca="1">IFERROR(__xludf.DUMMYFUNCTION("IMPORTRANGE(""https://docs.google.com/spreadsheets/d/1Yj_ptqi66GCucihVvJfMjLAmec39IyEx_6qawtMGysU/edit?usp=sharing"",""สบก!CU76"")"),0)</f>
        <v>0</v>
      </c>
      <c r="L72" s="137">
        <f t="shared" ca="1" si="5"/>
        <v>0</v>
      </c>
      <c r="M72" s="137">
        <f t="shared" ca="1" si="6"/>
        <v>0</v>
      </c>
      <c r="N72" s="137">
        <f ca="1">IFERROR(__xludf.DUMMYFUNCTION("IMPORTRANGE(""https://docs.google.com/spreadsheets/d/1Yj_ptqi66GCucihVvJfMjLAmec39IyEx_6qawtMGysU/edit?usp=sharing"",""สบก!CV76"")"),0)</f>
        <v>0</v>
      </c>
      <c r="O72" s="137">
        <f t="shared" ca="1" si="7"/>
        <v>0</v>
      </c>
      <c r="P72" s="77">
        <f ca="1">IFERROR(__xludf.DUMMYFUNCTION("IMPORTRANGE(""https://docs.google.com/spreadsheets/d/1C3CXT74ZlgGe6_JY_1olB1XN4rF0dxEuIIF-xsYjHgg/edit?usp=sharing"",""พรบ!BQ76"")"),0)</f>
        <v>0</v>
      </c>
      <c r="Q72" s="77">
        <f ca="1">IFERROR(__xludf.DUMMYFUNCTION("IMPORTRANGE(""https://docs.google.com/spreadsheets/d/1SX6NBoVAgQJ6U1MVXOaj8PK2l7WJ3RER9xtqwdhxkhw/edit?usp=sharing"",""สระบุรี!J209"")"),0)</f>
        <v>0</v>
      </c>
      <c r="R72" s="137">
        <f t="shared" ca="1" si="9"/>
        <v>0</v>
      </c>
      <c r="S72" s="77">
        <f ca="1">IFERROR(__xludf.DUMMYFUNCTION("IMPORTRANGE(""https://docs.google.com/spreadsheets/d/1SX6NBoVAgQJ6U1MVXOaj8PK2l7WJ3RER9xtqwdhxkhw/edit?usp=sharing"",""สระบุรี!J211"")"),0)</f>
        <v>0</v>
      </c>
      <c r="T72" s="137">
        <f t="shared" ca="1" si="10"/>
        <v>0</v>
      </c>
      <c r="U72" s="75">
        <f t="shared" ca="1" si="11"/>
        <v>0</v>
      </c>
      <c r="V72" s="76">
        <f t="shared" ca="1" si="54"/>
        <v>0</v>
      </c>
      <c r="W72" s="77">
        <f ca="1">IFERROR(__xludf.DUMMYFUNCTION("IMPORTRANGE(""https://docs.google.com/spreadsheets/d/1C3CXT74ZlgGe6_JY_1olB1XN4rF0dxEuIIF-xsYjHgg/edit?usp=sharing"",""พรบ!BT76"")"),0)</f>
        <v>0</v>
      </c>
      <c r="X72" s="77">
        <f ca="1">IFERROR(__xludf.DUMMYFUNCTION("IMPORTRANGE(""https://docs.google.com/spreadsheets/d/1C3CXT74ZlgGe6_JY_1olB1XN4rF0dxEuIIF-xsYjHgg/edit?usp=sharing"",""พรบ!BU76"")"),0)</f>
        <v>0</v>
      </c>
      <c r="Y72" s="77">
        <f ca="1">IFERROR(__xludf.DUMMYFUNCTION("IMPORTRANGE(""https://docs.google.com/spreadsheets/d/1Yj_ptqi66GCucihVvJfMjLAmec39IyEx_6qawtMGysU/edit?usp=sharing"",""สบก!DA76"")"),0)</f>
        <v>0</v>
      </c>
      <c r="Z72" s="77">
        <f ca="1">IFERROR(__xludf.DUMMYFUNCTION("IMPORTRANGE(""https://docs.google.com/spreadsheets/d/1Yj_ptqi66GCucihVvJfMjLAmec39IyEx_6qawtMGysU/edit?usp=shDCing"",""สบก!DC76"")"),0)</f>
        <v>0</v>
      </c>
      <c r="AA72" s="77">
        <f t="shared" ca="1" si="14"/>
        <v>0</v>
      </c>
      <c r="AB72" s="137">
        <f t="shared" ca="1" si="15"/>
        <v>0</v>
      </c>
      <c r="AC72" s="77">
        <f ca="1">IFERROR(__xludf.DUMMYFUNCTION("IMPORTRANGE(""https://docs.google.com/spreadsheets/d/1Yj_ptqi66GCucihVvJfMjLAmec39IyEx_6qawtMGysU/edit?usp=sharing"",""สบก!DD76"")"),0)</f>
        <v>0</v>
      </c>
      <c r="AD72" s="137">
        <f t="shared" ca="1" si="16"/>
        <v>0</v>
      </c>
      <c r="AE72" s="137">
        <f t="shared" ca="1" si="17"/>
        <v>0</v>
      </c>
      <c r="AF72" s="137">
        <f ca="1">IFERROR(__xludf.DUMMYFUNCTION("IMPORTRANGE(""https://docs.google.com/spreadsheets/d/1Yj_ptqi66GCucihVvJfMjLAmec39IyEx_6qawtMGysU/edit?usp=sharing"",""สบก!DE76"")"),0)</f>
        <v>0</v>
      </c>
      <c r="AG72" s="137">
        <f t="shared" ca="1" si="18"/>
        <v>0</v>
      </c>
      <c r="AH72" s="77">
        <f ca="1">IFERROR(__xludf.DUMMYFUNCTION("IMPORTRANGE(""https://docs.google.com/spreadsheets/d/1C3CXT74ZlgGe6_JY_1olB1XN4rF0dxEuIIF-xsYjHgg/edit?usp=sharing"",""พรบ!BV76"")"),0)</f>
        <v>0</v>
      </c>
      <c r="AI72" s="77">
        <f ca="1">IFERROR(__xludf.DUMMYFUNCTION("IMPORTRANGE(""https://docs.google.com/spreadsheets/d/1SX6NBoVAgQJ6U1MVXOaj8PK2l7WJ3RER9xtqwdhxkhw/edit?usp=sharing"",""สระบุรี!J224"")"),0)</f>
        <v>0</v>
      </c>
      <c r="AJ72" s="137">
        <f t="shared" ca="1" si="20"/>
        <v>0</v>
      </c>
      <c r="AK72" s="114"/>
      <c r="AL72" s="114"/>
      <c r="AM72" s="114"/>
      <c r="AN72" s="114"/>
      <c r="AO72" s="114"/>
      <c r="AP72" s="114"/>
    </row>
    <row r="73" spans="1:42" ht="21" customHeight="1">
      <c r="A73" s="73">
        <v>19</v>
      </c>
      <c r="B73" s="74" t="s">
        <v>97</v>
      </c>
      <c r="C73" s="75">
        <f t="shared" ca="1" si="0"/>
        <v>0</v>
      </c>
      <c r="D73" s="76">
        <f t="shared" ca="1" si="53"/>
        <v>0</v>
      </c>
      <c r="E73" s="77">
        <f ca="1">IFERROR(__xludf.DUMMYFUNCTION("IMPORTRANGE(""https://docs.google.com/spreadsheets/d/1C3CXT74ZlgGe6_JY_1olB1XN4rF0dxEuIIF-xsYjHgg/edit?usp=sharing"",""พรบ!BO77"")"),0)</f>
        <v>0</v>
      </c>
      <c r="F73" s="77">
        <f ca="1">IFERROR(__xludf.DUMMYFUNCTION("IMPORTRANGE(""https://docs.google.com/spreadsheets/d/1C3CXT74ZlgGe6_JY_1olB1XN4rF0dxEuIIF-xsYjHgg/edit?usp=sharing"",""พรบ!BP77"")"),0)</f>
        <v>0</v>
      </c>
      <c r="G73" s="77">
        <f ca="1">IFERROR(__xludf.DUMMYFUNCTION("IMPORTRANGE(""https://docs.google.com/spreadsheets/d/1Yj_ptqi66GCucihVvJfMjLAmec39IyEx_6qawtMGysU/edit?usp=sharing"",""สบก!CR77"")"),0)</f>
        <v>0</v>
      </c>
      <c r="H73" s="77">
        <f ca="1">IFERROR(__xludf.DUMMYFUNCTION("IMPORTRANGE(""https://docs.google.com/spreadsheets/d/1Yj_ptqi66GCucihVvJfMjLAmec39IyEx_6qawtMGysU/edit?usp=shCTing"",""สบก!CT77"")"),0)</f>
        <v>0</v>
      </c>
      <c r="I73" s="77">
        <f t="shared" ca="1" si="3"/>
        <v>0</v>
      </c>
      <c r="J73" s="137">
        <f t="shared" ca="1" si="4"/>
        <v>0</v>
      </c>
      <c r="K73" s="77">
        <f ca="1">IFERROR(__xludf.DUMMYFUNCTION("IMPORTRANGE(""https://docs.google.com/spreadsheets/d/1Yj_ptqi66GCucihVvJfMjLAmec39IyEx_6qawtMGysU/edit?usp=sharing"",""สบก!CU77"")"),0)</f>
        <v>0</v>
      </c>
      <c r="L73" s="137">
        <f t="shared" ca="1" si="5"/>
        <v>0</v>
      </c>
      <c r="M73" s="137">
        <f t="shared" ca="1" si="6"/>
        <v>0</v>
      </c>
      <c r="N73" s="137">
        <f ca="1">IFERROR(__xludf.DUMMYFUNCTION("IMPORTRANGE(""https://docs.google.com/spreadsheets/d/1Yj_ptqi66GCucihVvJfMjLAmec39IyEx_6qawtMGysU/edit?usp=sharing"",""สบก!CV77"")"),0)</f>
        <v>0</v>
      </c>
      <c r="O73" s="137">
        <f t="shared" ca="1" si="7"/>
        <v>0</v>
      </c>
      <c r="P73" s="77">
        <f ca="1">IFERROR(__xludf.DUMMYFUNCTION("IMPORTRANGE(""https://docs.google.com/spreadsheets/d/1C3CXT74ZlgGe6_JY_1olB1XN4rF0dxEuIIF-xsYjHgg/edit?usp=sharing"",""พรบ!BQ77"")"),0)</f>
        <v>0</v>
      </c>
      <c r="Q73" s="77">
        <f ca="1">IFERROR(__xludf.DUMMYFUNCTION("IMPORTRANGE(""https://docs.google.com/spreadsheets/d/1SX6NBoVAgQJ6U1MVXOaj8PK2l7WJ3RER9xtqwdhxkhw/edit?usp=sharing"",""สิงห์บุรี!J209"")"),0)</f>
        <v>0</v>
      </c>
      <c r="R73" s="137">
        <f t="shared" ca="1" si="9"/>
        <v>0</v>
      </c>
      <c r="S73" s="77">
        <f ca="1">IFERROR(__xludf.DUMMYFUNCTION("IMPORTRANGE(""https://docs.google.com/spreadsheets/d/1SX6NBoVAgQJ6U1MVXOaj8PK2l7WJ3RER9xtqwdhxkhw/edit?usp=sharing"",""สิงห์บุรี!J211"")"),0)</f>
        <v>0</v>
      </c>
      <c r="T73" s="137">
        <f t="shared" ca="1" si="10"/>
        <v>0</v>
      </c>
      <c r="U73" s="75">
        <f t="shared" ca="1" si="11"/>
        <v>0</v>
      </c>
      <c r="V73" s="76">
        <f t="shared" ca="1" si="54"/>
        <v>0</v>
      </c>
      <c r="W73" s="77">
        <f ca="1">IFERROR(__xludf.DUMMYFUNCTION("IMPORTRANGE(""https://docs.google.com/spreadsheets/d/1C3CXT74ZlgGe6_JY_1olB1XN4rF0dxEuIIF-xsYjHgg/edit?usp=sharing"",""พรบ!BT77"")"),0)</f>
        <v>0</v>
      </c>
      <c r="X73" s="77">
        <f ca="1">IFERROR(__xludf.DUMMYFUNCTION("IMPORTRANGE(""https://docs.google.com/spreadsheets/d/1C3CXT74ZlgGe6_JY_1olB1XN4rF0dxEuIIF-xsYjHgg/edit?usp=sharing"",""พรบ!BU77"")"),0)</f>
        <v>0</v>
      </c>
      <c r="Y73" s="77">
        <f ca="1">IFERROR(__xludf.DUMMYFUNCTION("IMPORTRANGE(""https://docs.google.com/spreadsheets/d/1Yj_ptqi66GCucihVvJfMjLAmec39IyEx_6qawtMGysU/edit?usp=sharing"",""สบก!DA77"")"),0)</f>
        <v>0</v>
      </c>
      <c r="Z73" s="77">
        <f ca="1">IFERROR(__xludf.DUMMYFUNCTION("IMPORTRANGE(""https://docs.google.com/spreadsheets/d/1Yj_ptqi66GCucihVvJfMjLAmec39IyEx_6qawtMGysU/edit?usp=shDCing"",""สบก!DC77"")"),0)</f>
        <v>0</v>
      </c>
      <c r="AA73" s="77">
        <f t="shared" ca="1" si="14"/>
        <v>0</v>
      </c>
      <c r="AB73" s="137">
        <f t="shared" ca="1" si="15"/>
        <v>0</v>
      </c>
      <c r="AC73" s="77">
        <f ca="1">IFERROR(__xludf.DUMMYFUNCTION("IMPORTRANGE(""https://docs.google.com/spreadsheets/d/1Yj_ptqi66GCucihVvJfMjLAmec39IyEx_6qawtMGysU/edit?usp=sharing"",""สบก!DD77"")"),0)</f>
        <v>0</v>
      </c>
      <c r="AD73" s="137">
        <f t="shared" ca="1" si="16"/>
        <v>0</v>
      </c>
      <c r="AE73" s="137">
        <f t="shared" ca="1" si="17"/>
        <v>0</v>
      </c>
      <c r="AF73" s="137">
        <f ca="1">IFERROR(__xludf.DUMMYFUNCTION("IMPORTRANGE(""https://docs.google.com/spreadsheets/d/1Yj_ptqi66GCucihVvJfMjLAmec39IyEx_6qawtMGysU/edit?usp=sharing"",""สบก!DE77"")"),0)</f>
        <v>0</v>
      </c>
      <c r="AG73" s="137">
        <f t="shared" ca="1" si="18"/>
        <v>0</v>
      </c>
      <c r="AH73" s="77">
        <f ca="1">IFERROR(__xludf.DUMMYFUNCTION("IMPORTRANGE(""https://docs.google.com/spreadsheets/d/1C3CXT74ZlgGe6_JY_1olB1XN4rF0dxEuIIF-xsYjHgg/edit?usp=sharing"",""พรบ!BV77"")"),0)</f>
        <v>0</v>
      </c>
      <c r="AI73" s="77">
        <f ca="1">IFERROR(__xludf.DUMMYFUNCTION("IMPORTRANGE(""https://docs.google.com/spreadsheets/d/1SX6NBoVAgQJ6U1MVXOaj8PK2l7WJ3RER9xtqwdhxkhw/edit?usp=sharing"",""สิงห์บุรี!J224"")"),0)</f>
        <v>0</v>
      </c>
      <c r="AJ73" s="137">
        <f t="shared" ca="1" si="20"/>
        <v>0</v>
      </c>
      <c r="AK73" s="114"/>
      <c r="AL73" s="114"/>
      <c r="AM73" s="114"/>
      <c r="AN73" s="114"/>
      <c r="AO73" s="114"/>
      <c r="AP73" s="114"/>
    </row>
    <row r="74" spans="1:42" ht="21" customHeight="1">
      <c r="A74" s="73">
        <v>20</v>
      </c>
      <c r="B74" s="74" t="s">
        <v>98</v>
      </c>
      <c r="C74" s="75">
        <f t="shared" ca="1" si="0"/>
        <v>0</v>
      </c>
      <c r="D74" s="76">
        <f t="shared" ca="1" si="53"/>
        <v>0</v>
      </c>
      <c r="E74" s="77">
        <f ca="1">IFERROR(__xludf.DUMMYFUNCTION("IMPORTRANGE(""https://docs.google.com/spreadsheets/d/1C3CXT74ZlgGe6_JY_1olB1XN4rF0dxEuIIF-xsYjHgg/edit?usp=sharing"",""พรบ!BO78"")"),0)</f>
        <v>0</v>
      </c>
      <c r="F74" s="77">
        <f ca="1">IFERROR(__xludf.DUMMYFUNCTION("IMPORTRANGE(""https://docs.google.com/spreadsheets/d/1C3CXT74ZlgGe6_JY_1olB1XN4rF0dxEuIIF-xsYjHgg/edit?usp=sharing"",""พรบ!BP78"")"),0)</f>
        <v>0</v>
      </c>
      <c r="G74" s="77">
        <f ca="1">IFERROR(__xludf.DUMMYFUNCTION("IMPORTRANGE(""https://docs.google.com/spreadsheets/d/1Yj_ptqi66GCucihVvJfMjLAmec39IyEx_6qawtMGysU/edit?usp=sharing"",""สบก!CR78"")"),0)</f>
        <v>0</v>
      </c>
      <c r="H74" s="77">
        <f ca="1">IFERROR(__xludf.DUMMYFUNCTION("IMPORTRANGE(""https://docs.google.com/spreadsheets/d/1Yj_ptqi66GCucihVvJfMjLAmec39IyEx_6qawtMGysU/edit?usp=shCTing"",""สบก!CT78"")"),0)</f>
        <v>0</v>
      </c>
      <c r="I74" s="77">
        <f t="shared" ca="1" si="3"/>
        <v>0</v>
      </c>
      <c r="J74" s="137">
        <f t="shared" ca="1" si="4"/>
        <v>0</v>
      </c>
      <c r="K74" s="77">
        <f ca="1">IFERROR(__xludf.DUMMYFUNCTION("IMPORTRANGE(""https://docs.google.com/spreadsheets/d/1Yj_ptqi66GCucihVvJfMjLAmec39IyEx_6qawtMGysU/edit?usp=sharing"",""สบก!CU78"")"),0)</f>
        <v>0</v>
      </c>
      <c r="L74" s="137">
        <f t="shared" ca="1" si="5"/>
        <v>0</v>
      </c>
      <c r="M74" s="137">
        <f t="shared" ca="1" si="6"/>
        <v>0</v>
      </c>
      <c r="N74" s="137">
        <f ca="1">IFERROR(__xludf.DUMMYFUNCTION("IMPORTRANGE(""https://docs.google.com/spreadsheets/d/1Yj_ptqi66GCucihVvJfMjLAmec39IyEx_6qawtMGysU/edit?usp=sharing"",""สบก!CV78"")"),0)</f>
        <v>0</v>
      </c>
      <c r="O74" s="137">
        <f t="shared" ca="1" si="7"/>
        <v>0</v>
      </c>
      <c r="P74" s="77">
        <f ca="1">IFERROR(__xludf.DUMMYFUNCTION("IMPORTRANGE(""https://docs.google.com/spreadsheets/d/1C3CXT74ZlgGe6_JY_1olB1XN4rF0dxEuIIF-xsYjHgg/edit?usp=sharing"",""พรบ!BQ78"")"),0)</f>
        <v>0</v>
      </c>
      <c r="Q74" s="77">
        <f ca="1">IFERROR(__xludf.DUMMYFUNCTION("IMPORTRANGE(""https://docs.google.com/spreadsheets/d/1SX6NBoVAgQJ6U1MVXOaj8PK2l7WJ3RER9xtqwdhxkhw/edit?usp=sharing"",""สุพรรณบุรี!J209"")"),0)</f>
        <v>0</v>
      </c>
      <c r="R74" s="137">
        <f t="shared" ca="1" si="9"/>
        <v>0</v>
      </c>
      <c r="S74" s="77">
        <f ca="1">IFERROR(__xludf.DUMMYFUNCTION("IMPORTRANGE(""https://docs.google.com/spreadsheets/d/1SX6NBoVAgQJ6U1MVXOaj8PK2l7WJ3RER9xtqwdhxkhw/edit?usp=sharing"",""สุพรรณบุรี!J211"")"),0)</f>
        <v>0</v>
      </c>
      <c r="T74" s="137">
        <f t="shared" ca="1" si="10"/>
        <v>0</v>
      </c>
      <c r="U74" s="75">
        <f t="shared" ca="1" si="11"/>
        <v>0</v>
      </c>
      <c r="V74" s="76">
        <f t="shared" ca="1" si="54"/>
        <v>0</v>
      </c>
      <c r="W74" s="77">
        <f ca="1">IFERROR(__xludf.DUMMYFUNCTION("IMPORTRANGE(""https://docs.google.com/spreadsheets/d/1C3CXT74ZlgGe6_JY_1olB1XN4rF0dxEuIIF-xsYjHgg/edit?usp=sharing"",""พรบ!BT78"")"),0)</f>
        <v>0</v>
      </c>
      <c r="X74" s="77">
        <f ca="1">IFERROR(__xludf.DUMMYFUNCTION("IMPORTRANGE(""https://docs.google.com/spreadsheets/d/1C3CXT74ZlgGe6_JY_1olB1XN4rF0dxEuIIF-xsYjHgg/edit?usp=sharing"",""พรบ!BU78"")"),0)</f>
        <v>0</v>
      </c>
      <c r="Y74" s="77">
        <f ca="1">IFERROR(__xludf.DUMMYFUNCTION("IMPORTRANGE(""https://docs.google.com/spreadsheets/d/1Yj_ptqi66GCucihVvJfMjLAmec39IyEx_6qawtMGysU/edit?usp=sharing"",""สบก!DA78"")"),0)</f>
        <v>0</v>
      </c>
      <c r="Z74" s="77">
        <f ca="1">IFERROR(__xludf.DUMMYFUNCTION("IMPORTRANGE(""https://docs.google.com/spreadsheets/d/1Yj_ptqi66GCucihVvJfMjLAmec39IyEx_6qawtMGysU/edit?usp=shDCing"",""สบก!DC78"")"),0)</f>
        <v>0</v>
      </c>
      <c r="AA74" s="77">
        <f t="shared" ca="1" si="14"/>
        <v>0</v>
      </c>
      <c r="AB74" s="137">
        <f t="shared" ca="1" si="15"/>
        <v>0</v>
      </c>
      <c r="AC74" s="77">
        <f ca="1">IFERROR(__xludf.DUMMYFUNCTION("IMPORTRANGE(""https://docs.google.com/spreadsheets/d/1Yj_ptqi66GCucihVvJfMjLAmec39IyEx_6qawtMGysU/edit?usp=sharing"",""สบก!DD78"")"),0)</f>
        <v>0</v>
      </c>
      <c r="AD74" s="137">
        <f t="shared" ca="1" si="16"/>
        <v>0</v>
      </c>
      <c r="AE74" s="137">
        <f t="shared" ca="1" si="17"/>
        <v>0</v>
      </c>
      <c r="AF74" s="137">
        <f ca="1">IFERROR(__xludf.DUMMYFUNCTION("IMPORTRANGE(""https://docs.google.com/spreadsheets/d/1Yj_ptqi66GCucihVvJfMjLAmec39IyEx_6qawtMGysU/edit?usp=sharing"",""สบก!DE78"")"),0)</f>
        <v>0</v>
      </c>
      <c r="AG74" s="137">
        <f t="shared" ca="1" si="18"/>
        <v>0</v>
      </c>
      <c r="AH74" s="77">
        <f ca="1">IFERROR(__xludf.DUMMYFUNCTION("IMPORTRANGE(""https://docs.google.com/spreadsheets/d/1C3CXT74ZlgGe6_JY_1olB1XN4rF0dxEuIIF-xsYjHgg/edit?usp=sharing"",""พรบ!BV78"")"),0)</f>
        <v>0</v>
      </c>
      <c r="AI74" s="77">
        <f ca="1">IFERROR(__xludf.DUMMYFUNCTION("IMPORTRANGE(""https://docs.google.com/spreadsheets/d/1SX6NBoVAgQJ6U1MVXOaj8PK2l7WJ3RER9xtqwdhxkhw/edit?usp=sharing"",""สุพรรณบุรี!J224"")"),0)</f>
        <v>0</v>
      </c>
      <c r="AJ74" s="137">
        <f t="shared" ca="1" si="20"/>
        <v>0</v>
      </c>
      <c r="AK74" s="114"/>
      <c r="AL74" s="114"/>
      <c r="AM74" s="114"/>
      <c r="AN74" s="114"/>
      <c r="AO74" s="114"/>
      <c r="AP74" s="114"/>
    </row>
    <row r="75" spans="1:42" ht="21" customHeight="1">
      <c r="A75" s="84">
        <v>21</v>
      </c>
      <c r="B75" s="85" t="s">
        <v>99</v>
      </c>
      <c r="C75" s="86">
        <f t="shared" ca="1" si="0"/>
        <v>0</v>
      </c>
      <c r="D75" s="87">
        <f t="shared" ca="1" si="53"/>
        <v>0</v>
      </c>
      <c r="E75" s="88">
        <f ca="1">IFERROR(__xludf.DUMMYFUNCTION("IMPORTRANGE(""https://docs.google.com/spreadsheets/d/1C3CXT74ZlgGe6_JY_1olB1XN4rF0dxEuIIF-xsYjHgg/edit?usp=sharing"",""พรบ!BO79"")"),0)</f>
        <v>0</v>
      </c>
      <c r="F75" s="88">
        <f ca="1">IFERROR(__xludf.DUMMYFUNCTION("IMPORTRANGE(""https://docs.google.com/spreadsheets/d/1C3CXT74ZlgGe6_JY_1olB1XN4rF0dxEuIIF-xsYjHgg/edit?usp=sharing"",""พรบ!BP79"")"),0)</f>
        <v>0</v>
      </c>
      <c r="G75" s="88">
        <f ca="1">IFERROR(__xludf.DUMMYFUNCTION("IMPORTRANGE(""https://docs.google.com/spreadsheets/d/1Yj_ptqi66GCucihVvJfMjLAmec39IyEx_6qawtMGysU/edit?usp=sharing"",""สบก!CR79"")"),0)</f>
        <v>0</v>
      </c>
      <c r="H75" s="88">
        <f ca="1">IFERROR(__xludf.DUMMYFUNCTION("IMPORTRANGE(""https://docs.google.com/spreadsheets/d/1Yj_ptqi66GCucihVvJfMjLAmec39IyEx_6qawtMGysU/edit?usp=shCTing"",""สบก!CT79"")"),0)</f>
        <v>0</v>
      </c>
      <c r="I75" s="88">
        <f t="shared" ca="1" si="3"/>
        <v>0</v>
      </c>
      <c r="J75" s="138">
        <f t="shared" ca="1" si="4"/>
        <v>0</v>
      </c>
      <c r="K75" s="88">
        <f ca="1">IFERROR(__xludf.DUMMYFUNCTION("IMPORTRANGE(""https://docs.google.com/spreadsheets/d/1Yj_ptqi66GCucihVvJfMjLAmec39IyEx_6qawtMGysU/edit?usp=sharing"",""สบก!CU79"")"),0)</f>
        <v>0</v>
      </c>
      <c r="L75" s="138">
        <f t="shared" ca="1" si="5"/>
        <v>0</v>
      </c>
      <c r="M75" s="138">
        <f t="shared" ca="1" si="6"/>
        <v>0</v>
      </c>
      <c r="N75" s="138">
        <f ca="1">IFERROR(__xludf.DUMMYFUNCTION("IMPORTRANGE(""https://docs.google.com/spreadsheets/d/1Yj_ptqi66GCucihVvJfMjLAmec39IyEx_6qawtMGysU/edit?usp=sharing"",""สบก!CV79"")"),0)</f>
        <v>0</v>
      </c>
      <c r="O75" s="138">
        <f t="shared" ca="1" si="7"/>
        <v>0</v>
      </c>
      <c r="P75" s="88">
        <f ca="1">IFERROR(__xludf.DUMMYFUNCTION("IMPORTRANGE(""https://docs.google.com/spreadsheets/d/1C3CXT74ZlgGe6_JY_1olB1XN4rF0dxEuIIF-xsYjHgg/edit?usp=sharing"",""พรบ!BQ79"")"),0)</f>
        <v>0</v>
      </c>
      <c r="Q75" s="88">
        <f ca="1">IFERROR(__xludf.DUMMYFUNCTION("IMPORTRANGE(""https://docs.google.com/spreadsheets/d/1SX6NBoVAgQJ6U1MVXOaj8PK2l7WJ3RER9xtqwdhxkhw/edit?usp=sharing"",""อ่างทอง!J209"")"),0)</f>
        <v>0</v>
      </c>
      <c r="R75" s="138">
        <f t="shared" ca="1" si="9"/>
        <v>0</v>
      </c>
      <c r="S75" s="88">
        <f ca="1">IFERROR(__xludf.DUMMYFUNCTION("IMPORTRANGE(""https://docs.google.com/spreadsheets/d/1SX6NBoVAgQJ6U1MVXOaj8PK2l7WJ3RER9xtqwdhxkhw/edit?usp=sharing"",""อ่างทอง!J211"")"),0)</f>
        <v>0</v>
      </c>
      <c r="T75" s="138">
        <f t="shared" ca="1" si="10"/>
        <v>0</v>
      </c>
      <c r="U75" s="86">
        <f t="shared" ca="1" si="11"/>
        <v>0</v>
      </c>
      <c r="V75" s="87">
        <f t="shared" ca="1" si="54"/>
        <v>0</v>
      </c>
      <c r="W75" s="88">
        <f ca="1">IFERROR(__xludf.DUMMYFUNCTION("IMPORTRANGE(""https://docs.google.com/spreadsheets/d/1C3CXT74ZlgGe6_JY_1olB1XN4rF0dxEuIIF-xsYjHgg/edit?usp=sharing"",""พรบ!BT79"")"),0)</f>
        <v>0</v>
      </c>
      <c r="X75" s="88">
        <f ca="1">IFERROR(__xludf.DUMMYFUNCTION("IMPORTRANGE(""https://docs.google.com/spreadsheets/d/1C3CXT74ZlgGe6_JY_1olB1XN4rF0dxEuIIF-xsYjHgg/edit?usp=sharing"",""พรบ!BU79"")"),0)</f>
        <v>0</v>
      </c>
      <c r="Y75" s="88">
        <f ca="1">IFERROR(__xludf.DUMMYFUNCTION("IMPORTRANGE(""https://docs.google.com/spreadsheets/d/1Yj_ptqi66GCucihVvJfMjLAmec39IyEx_6qawtMGysU/edit?usp=sharing"",""สบก!DA79"")"),0)</f>
        <v>0</v>
      </c>
      <c r="Z75" s="88">
        <f ca="1">IFERROR(__xludf.DUMMYFUNCTION("IMPORTRANGE(""https://docs.google.com/spreadsheets/d/1Yj_ptqi66GCucihVvJfMjLAmec39IyEx_6qawtMGysU/edit?usp=shDCing"",""สบก!DC79"")"),0)</f>
        <v>0</v>
      </c>
      <c r="AA75" s="88">
        <f t="shared" ca="1" si="14"/>
        <v>0</v>
      </c>
      <c r="AB75" s="138">
        <f t="shared" ca="1" si="15"/>
        <v>0</v>
      </c>
      <c r="AC75" s="88">
        <f ca="1">IFERROR(__xludf.DUMMYFUNCTION("IMPORTRANGE(""https://docs.google.com/spreadsheets/d/1Yj_ptqi66GCucihVvJfMjLAmec39IyEx_6qawtMGysU/edit?usp=sharing"",""สบก!DD79"")"),0)</f>
        <v>0</v>
      </c>
      <c r="AD75" s="138">
        <f t="shared" ca="1" si="16"/>
        <v>0</v>
      </c>
      <c r="AE75" s="138">
        <f t="shared" ca="1" si="17"/>
        <v>0</v>
      </c>
      <c r="AF75" s="138">
        <f ca="1">IFERROR(__xludf.DUMMYFUNCTION("IMPORTRANGE(""https://docs.google.com/spreadsheets/d/1Yj_ptqi66GCucihVvJfMjLAmec39IyEx_6qawtMGysU/edit?usp=sharing"",""สบก!DE79"")"),0)</f>
        <v>0</v>
      </c>
      <c r="AG75" s="138">
        <f t="shared" ca="1" si="18"/>
        <v>0</v>
      </c>
      <c r="AH75" s="88">
        <f ca="1">IFERROR(__xludf.DUMMYFUNCTION("IMPORTRANGE(""https://docs.google.com/spreadsheets/d/1C3CXT74ZlgGe6_JY_1olB1XN4rF0dxEuIIF-xsYjHgg/edit?usp=sharing"",""พรบ!BV79"")"),0)</f>
        <v>0</v>
      </c>
      <c r="AI75" s="88">
        <f ca="1">IFERROR(__xludf.DUMMYFUNCTION("IMPORTRANGE(""https://docs.google.com/spreadsheets/d/1SX6NBoVAgQJ6U1MVXOaj8PK2l7WJ3RER9xtqwdhxkhw/edit?usp=sharing"",""อ่างทอง!J224"")"),0)</f>
        <v>0</v>
      </c>
      <c r="AJ75" s="138">
        <f t="shared" ca="1" si="20"/>
        <v>0</v>
      </c>
      <c r="AK75" s="114"/>
      <c r="AL75" s="114"/>
      <c r="AM75" s="114"/>
      <c r="AN75" s="114"/>
      <c r="AO75" s="114"/>
      <c r="AP75" s="114"/>
    </row>
    <row r="76" spans="1:42" ht="21" customHeight="1">
      <c r="A76" s="676" t="s">
        <v>100</v>
      </c>
      <c r="B76" s="652"/>
      <c r="C76" s="99">
        <f t="shared" ca="1" si="0"/>
        <v>1027180</v>
      </c>
      <c r="D76" s="95">
        <f t="shared" ref="D76:H76" ca="1" si="55">SUM(D77:D90)</f>
        <v>445180</v>
      </c>
      <c r="E76" s="95">
        <f t="shared" ca="1" si="55"/>
        <v>0</v>
      </c>
      <c r="F76" s="95">
        <f t="shared" ca="1" si="55"/>
        <v>445180</v>
      </c>
      <c r="G76" s="95">
        <f t="shared" ca="1" si="55"/>
        <v>582000</v>
      </c>
      <c r="H76" s="95">
        <f t="shared" ca="1" si="55"/>
        <v>445180</v>
      </c>
      <c r="I76" s="95">
        <f t="shared" ca="1" si="3"/>
        <v>716862</v>
      </c>
      <c r="J76" s="139">
        <f t="shared" ca="1" si="4"/>
        <v>69.789326116162698</v>
      </c>
      <c r="K76" s="95">
        <f ca="1">SUM(K77:K90)</f>
        <v>234862</v>
      </c>
      <c r="L76" s="139">
        <f t="shared" ca="1" si="5"/>
        <v>52.75663776449975</v>
      </c>
      <c r="M76" s="139">
        <f t="shared" ca="1" si="6"/>
        <v>52.75663776449975</v>
      </c>
      <c r="N76" s="139">
        <f ca="1">SUM(N77:N90)</f>
        <v>482000</v>
      </c>
      <c r="O76" s="139">
        <f t="shared" ca="1" si="7"/>
        <v>82.817869415807564</v>
      </c>
      <c r="P76" s="95">
        <f t="shared" ref="P76:Q76" ca="1" si="56">SUM(P77:P90)</f>
        <v>125</v>
      </c>
      <c r="Q76" s="95">
        <f t="shared" ca="1" si="56"/>
        <v>125</v>
      </c>
      <c r="R76" s="139">
        <f t="shared" ca="1" si="9"/>
        <v>100</v>
      </c>
      <c r="S76" s="95">
        <f ca="1">SUM(S77:S90)</f>
        <v>0</v>
      </c>
      <c r="T76" s="139">
        <f t="shared" ca="1" si="10"/>
        <v>0</v>
      </c>
      <c r="U76" s="99">
        <f t="shared" ca="1" si="11"/>
        <v>6921400</v>
      </c>
      <c r="V76" s="95">
        <f t="shared" ref="V76:Z76" ca="1" si="57">SUM(V77:V90)</f>
        <v>971400</v>
      </c>
      <c r="W76" s="95">
        <f t="shared" ca="1" si="57"/>
        <v>0</v>
      </c>
      <c r="X76" s="95">
        <f t="shared" ca="1" si="57"/>
        <v>971400</v>
      </c>
      <c r="Y76" s="95">
        <f t="shared" ca="1" si="57"/>
        <v>5950000</v>
      </c>
      <c r="Z76" s="95">
        <f t="shared" ca="1" si="57"/>
        <v>874600</v>
      </c>
      <c r="AA76" s="95">
        <f t="shared" ca="1" si="14"/>
        <v>549446.57000000007</v>
      </c>
      <c r="AB76" s="139">
        <f t="shared" ca="1" si="15"/>
        <v>7.9383733059785602</v>
      </c>
      <c r="AC76" s="95">
        <f ca="1">SUM(AC77:AC90)</f>
        <v>549446.57000000007</v>
      </c>
      <c r="AD76" s="139">
        <f t="shared" ca="1" si="16"/>
        <v>56.562339921762415</v>
      </c>
      <c r="AE76" s="139">
        <f t="shared" ca="1" si="17"/>
        <v>62.82261262291334</v>
      </c>
      <c r="AF76" s="139">
        <f ca="1">SUM(AF77:AF90)</f>
        <v>0</v>
      </c>
      <c r="AG76" s="139">
        <f t="shared" ca="1" si="18"/>
        <v>0</v>
      </c>
      <c r="AH76" s="95">
        <f t="shared" ref="AH76:AI76" ca="1" si="58">SUM(AH77:AH90)</f>
        <v>5</v>
      </c>
      <c r="AI76" s="95">
        <f t="shared" ca="1" si="58"/>
        <v>5</v>
      </c>
      <c r="AJ76" s="139">
        <f t="shared" ca="1" si="20"/>
        <v>100</v>
      </c>
      <c r="AK76" s="114"/>
      <c r="AL76" s="114"/>
      <c r="AM76" s="114"/>
      <c r="AN76" s="114"/>
      <c r="AO76" s="114"/>
      <c r="AP76" s="114"/>
    </row>
    <row r="77" spans="1:42" ht="21" customHeight="1">
      <c r="A77" s="63">
        <v>1</v>
      </c>
      <c r="B77" s="64" t="s">
        <v>101</v>
      </c>
      <c r="C77" s="65">
        <f t="shared" ca="1" si="0"/>
        <v>765740</v>
      </c>
      <c r="D77" s="66">
        <f t="shared" ref="D77:D90" ca="1" si="59">+E77+F77</f>
        <v>195740</v>
      </c>
      <c r="E77" s="67">
        <f ca="1">IFERROR(__xludf.DUMMYFUNCTION("IMPORTRANGE(""https://docs.google.com/spreadsheets/d/1C3CXT74ZlgGe6_JY_1olB1XN4rF0dxEuIIF-xsYjHgg/edit?usp=sharing"",""พรบ!BO81"")"),0)</f>
        <v>0</v>
      </c>
      <c r="F77" s="67">
        <f ca="1">IFERROR(__xludf.DUMMYFUNCTION("IMPORTRANGE(""https://docs.google.com/spreadsheets/d/1C3CXT74ZlgGe6_JY_1olB1XN4rF0dxEuIIF-xsYjHgg/edit?usp=sharing"",""พรบ!BP81"")"),195740)</f>
        <v>195740</v>
      </c>
      <c r="G77" s="67">
        <f ca="1">IFERROR(__xludf.DUMMYFUNCTION("IMPORTRANGE(""https://docs.google.com/spreadsheets/d/1Yj_ptqi66GCucihVvJfMjLAmec39IyEx_6qawtMGysU/edit?usp=sharing"",""สบก!CR81"")"),570000)</f>
        <v>570000</v>
      </c>
      <c r="H77" s="67">
        <f ca="1">IFERROR(__xludf.DUMMYFUNCTION("IMPORTRANGE(""https://docs.google.com/spreadsheets/d/1Yj_ptqi66GCucihVvJfMjLAmec39IyEx_6qawtMGysU/edit?usp=shCTing"",""สบก!CT81"")"),195740)</f>
        <v>195740</v>
      </c>
      <c r="I77" s="67">
        <f t="shared" ca="1" si="3"/>
        <v>554532</v>
      </c>
      <c r="J77" s="136">
        <f t="shared" ca="1" si="4"/>
        <v>72.417791939822919</v>
      </c>
      <c r="K77" s="67">
        <f ca="1">IFERROR(__xludf.DUMMYFUNCTION("IMPORTRANGE(""https://docs.google.com/spreadsheets/d/1Yj_ptqi66GCucihVvJfMjLAmec39IyEx_6qawtMGysU/edit?usp=sharing"",""สบก!CU81"")"),84532)</f>
        <v>84532</v>
      </c>
      <c r="L77" s="136">
        <f t="shared" ca="1" si="5"/>
        <v>43.185858792275468</v>
      </c>
      <c r="M77" s="136">
        <f t="shared" ca="1" si="6"/>
        <v>43.185858792275468</v>
      </c>
      <c r="N77" s="136">
        <f ca="1">IFERROR(__xludf.DUMMYFUNCTION("IMPORTRANGE(""https://docs.google.com/spreadsheets/d/1Yj_ptqi66GCucihVvJfMjLAmec39IyEx_6qawtMGysU/edit?usp=sharing"",""สบก!CV81"")"),470000)</f>
        <v>470000</v>
      </c>
      <c r="O77" s="136">
        <f t="shared" ca="1" si="7"/>
        <v>82.456140350877192</v>
      </c>
      <c r="P77" s="67">
        <f ca="1">IFERROR(__xludf.DUMMYFUNCTION("IMPORTRANGE(""https://docs.google.com/spreadsheets/d/1C3CXT74ZlgGe6_JY_1olB1XN4rF0dxEuIIF-xsYjHgg/edit?usp=sharing"",""พรบ!BQ81"")"),65)</f>
        <v>65</v>
      </c>
      <c r="Q77" s="67">
        <f ca="1">IFERROR(__xludf.DUMMYFUNCTION("IMPORTRANGE(""https://docs.google.com/spreadsheets/d/1IYY_tgx_IHuhSq3AJ5eI5OnqOPBNLWSHKh2a30DoXe8/edit?usp=sharing"",""กระบี่!J209"")"),65)</f>
        <v>65</v>
      </c>
      <c r="R77" s="136">
        <f t="shared" ca="1" si="9"/>
        <v>100</v>
      </c>
      <c r="S77" s="67">
        <f ca="1">IFERROR(__xludf.DUMMYFUNCTION("IMPORTRANGE(""https://docs.google.com/spreadsheets/d/1IYY_tgx_IHuhSq3AJ5eI5OnqOPBNLWSHKh2a30DoXe8/edit?usp=sharing"",""กระบี่!J211"")"),0)</f>
        <v>0</v>
      </c>
      <c r="T77" s="136">
        <f t="shared" ca="1" si="10"/>
        <v>0</v>
      </c>
      <c r="U77" s="65">
        <f t="shared" ca="1" si="11"/>
        <v>5143600</v>
      </c>
      <c r="V77" s="66">
        <f t="shared" ref="V77:V90" ca="1" si="60">+W77+X77</f>
        <v>243600</v>
      </c>
      <c r="W77" s="67">
        <f ca="1">IFERROR(__xludf.DUMMYFUNCTION("IMPORTRANGE(""https://docs.google.com/spreadsheets/d/1C3CXT74ZlgGe6_JY_1olB1XN4rF0dxEuIIF-xsYjHgg/edit?usp=sharing"",""พรบ!BT81"")"),0)</f>
        <v>0</v>
      </c>
      <c r="X77" s="67">
        <f ca="1">IFERROR(__xludf.DUMMYFUNCTION("IMPORTRANGE(""https://docs.google.com/spreadsheets/d/1C3CXT74ZlgGe6_JY_1olB1XN4rF0dxEuIIF-xsYjHgg/edit?usp=sharing"",""พรบ!BU81"")"),243600)</f>
        <v>243600</v>
      </c>
      <c r="Y77" s="67">
        <f ca="1">IFERROR(__xludf.DUMMYFUNCTION("IMPORTRANGE(""https://docs.google.com/spreadsheets/d/1Yj_ptqi66GCucihVvJfMjLAmec39IyEx_6qawtMGysU/edit?usp=sharing"",""สบก!DA81"")"),4900000)</f>
        <v>4900000</v>
      </c>
      <c r="Z77" s="67">
        <f ca="1">IFERROR(__xludf.DUMMYFUNCTION("IMPORTRANGE(""https://docs.google.com/spreadsheets/d/1Yj_ptqi66GCucihVvJfMjLAmec39IyEx_6qawtMGysU/edit?usp=shDCing"",""สบก!DC81"")"),328700)</f>
        <v>328700</v>
      </c>
      <c r="AA77" s="67">
        <f t="shared" ca="1" si="14"/>
        <v>226978.17</v>
      </c>
      <c r="AB77" s="136">
        <f t="shared" ca="1" si="15"/>
        <v>4.4128270083210204</v>
      </c>
      <c r="AC77" s="67">
        <f ca="1">IFERROR(__xludf.DUMMYFUNCTION("IMPORTRANGE(""https://docs.google.com/spreadsheets/d/1Yj_ptqi66GCucihVvJfMjLAmec39IyEx_6qawtMGysU/edit?usp=sharing"",""สบก!DD81"")"),226978.17)</f>
        <v>226978.17</v>
      </c>
      <c r="AD77" s="136">
        <f t="shared" ca="1" si="16"/>
        <v>93.176588669950732</v>
      </c>
      <c r="AE77" s="136">
        <f t="shared" ca="1" si="17"/>
        <v>69.053291755400068</v>
      </c>
      <c r="AF77" s="136">
        <f ca="1">IFERROR(__xludf.DUMMYFUNCTION("IMPORTRANGE(""https://docs.google.com/spreadsheets/d/1Yj_ptqi66GCucihVvJfMjLAmec39IyEx_6qawtMGysU/edit?usp=sharing"",""สบก!DE81"")"),0)</f>
        <v>0</v>
      </c>
      <c r="AG77" s="136">
        <f t="shared" ca="1" si="18"/>
        <v>0</v>
      </c>
      <c r="AH77" s="67">
        <f ca="1">IFERROR(__xludf.DUMMYFUNCTION("IMPORTRANGE(""https://docs.google.com/spreadsheets/d/1C3CXT74ZlgGe6_JY_1olB1XN4rF0dxEuIIF-xsYjHgg/edit?usp=sharing"",""พรบ!BV81"")"),2)</f>
        <v>2</v>
      </c>
      <c r="AI77" s="67">
        <f ca="1">IFERROR(__xludf.DUMMYFUNCTION("IMPORTRANGE(""https://docs.google.com/spreadsheets/d/1IYY_tgx_IHuhSq3AJ5eI5OnqOPBNLWSHKh2a30DoXe8/edit?usp=sharing"",""กระบี่!J224"")"),2)</f>
        <v>2</v>
      </c>
      <c r="AJ77" s="136">
        <f t="shared" ca="1" si="20"/>
        <v>100</v>
      </c>
      <c r="AK77" s="114"/>
      <c r="AL77" s="114"/>
      <c r="AM77" s="114"/>
      <c r="AN77" s="114"/>
      <c r="AO77" s="114"/>
      <c r="AP77" s="114"/>
    </row>
    <row r="78" spans="1:42" ht="21" customHeight="1">
      <c r="A78" s="73">
        <v>2</v>
      </c>
      <c r="B78" s="74" t="s">
        <v>102</v>
      </c>
      <c r="C78" s="75">
        <f t="shared" ca="1" si="0"/>
        <v>95360</v>
      </c>
      <c r="D78" s="76">
        <f t="shared" ca="1" si="59"/>
        <v>95360</v>
      </c>
      <c r="E78" s="77">
        <f ca="1">IFERROR(__xludf.DUMMYFUNCTION("IMPORTRANGE(""https://docs.google.com/spreadsheets/d/1C3CXT74ZlgGe6_JY_1olB1XN4rF0dxEuIIF-xsYjHgg/edit?usp=sharing"",""พรบ!BO82"")"),0)</f>
        <v>0</v>
      </c>
      <c r="F78" s="77">
        <f ca="1">IFERROR(__xludf.DUMMYFUNCTION("IMPORTRANGE(""https://docs.google.com/spreadsheets/d/1C3CXT74ZlgGe6_JY_1olB1XN4rF0dxEuIIF-xsYjHgg/edit?usp=sharing"",""พรบ!BP82"")"),95360)</f>
        <v>95360</v>
      </c>
      <c r="G78" s="77">
        <f ca="1">IFERROR(__xludf.DUMMYFUNCTION("IMPORTRANGE(""https://docs.google.com/spreadsheets/d/1Yj_ptqi66GCucihVvJfMjLAmec39IyEx_6qawtMGysU/edit?usp=sharing"",""สบก!CR82"")"),0)</f>
        <v>0</v>
      </c>
      <c r="H78" s="77">
        <f ca="1">IFERROR(__xludf.DUMMYFUNCTION("IMPORTRANGE(""https://docs.google.com/spreadsheets/d/1Yj_ptqi66GCucihVvJfMjLAmec39IyEx_6qawtMGysU/edit?usp=shCTing"",""สบก!CT82"")"),95360)</f>
        <v>95360</v>
      </c>
      <c r="I78" s="77">
        <f t="shared" ca="1" si="3"/>
        <v>84400</v>
      </c>
      <c r="J78" s="137">
        <f t="shared" ca="1" si="4"/>
        <v>88.506711409395976</v>
      </c>
      <c r="K78" s="77">
        <f ca="1">IFERROR(__xludf.DUMMYFUNCTION("IMPORTRANGE(""https://docs.google.com/spreadsheets/d/1Yj_ptqi66GCucihVvJfMjLAmec39IyEx_6qawtMGysU/edit?usp=sharing"",""สบก!CU82"")"),84400)</f>
        <v>84400</v>
      </c>
      <c r="L78" s="137">
        <f t="shared" ca="1" si="5"/>
        <v>88.506711409395976</v>
      </c>
      <c r="M78" s="137">
        <f t="shared" ca="1" si="6"/>
        <v>88.506711409395976</v>
      </c>
      <c r="N78" s="137">
        <f ca="1">IFERROR(__xludf.DUMMYFUNCTION("IMPORTRANGE(""https://docs.google.com/spreadsheets/d/1Yj_ptqi66GCucihVvJfMjLAmec39IyEx_6qawtMGysU/edit?usp=sharing"",""สบก!CV82"")"),0)</f>
        <v>0</v>
      </c>
      <c r="O78" s="137">
        <f t="shared" ca="1" si="7"/>
        <v>0</v>
      </c>
      <c r="P78" s="77">
        <f ca="1">IFERROR(__xludf.DUMMYFUNCTION("IMPORTRANGE(""https://docs.google.com/spreadsheets/d/1C3CXT74ZlgGe6_JY_1olB1XN4rF0dxEuIIF-xsYjHgg/edit?usp=sharing"",""พรบ!BQ82"")"),30)</f>
        <v>30</v>
      </c>
      <c r="Q78" s="77">
        <f ca="1">IFERROR(__xludf.DUMMYFUNCTION("IMPORTRANGE(""https://docs.google.com/spreadsheets/d/1IYY_tgx_IHuhSq3AJ5eI5OnqOPBNLWSHKh2a30DoXe8/edit?usp=sharing"",""ชุมพร!J209"")"),30)</f>
        <v>30</v>
      </c>
      <c r="R78" s="137">
        <f t="shared" ca="1" si="9"/>
        <v>100</v>
      </c>
      <c r="S78" s="77">
        <f ca="1">IFERROR(__xludf.DUMMYFUNCTION("IMPORTRANGE(""https://docs.google.com/spreadsheets/d/1IYY_tgx_IHuhSq3AJ5eI5OnqOPBNLWSHKh2a30DoXe8/edit?usp=sharing"",""ชุมพร!J211"")"),0)</f>
        <v>0</v>
      </c>
      <c r="T78" s="137">
        <f t="shared" ca="1" si="10"/>
        <v>0</v>
      </c>
      <c r="U78" s="75">
        <f t="shared" ca="1" si="11"/>
        <v>231600</v>
      </c>
      <c r="V78" s="76">
        <f t="shared" ca="1" si="60"/>
        <v>231600</v>
      </c>
      <c r="W78" s="77">
        <f ca="1">IFERROR(__xludf.DUMMYFUNCTION("IMPORTRANGE(""https://docs.google.com/spreadsheets/d/1C3CXT74ZlgGe6_JY_1olB1XN4rF0dxEuIIF-xsYjHgg/edit?usp=sharing"",""พรบ!BT82"")"),0)</f>
        <v>0</v>
      </c>
      <c r="X78" s="77">
        <f ca="1">IFERROR(__xludf.DUMMYFUNCTION("IMPORTRANGE(""https://docs.google.com/spreadsheets/d/1C3CXT74ZlgGe6_JY_1olB1XN4rF0dxEuIIF-xsYjHgg/edit?usp=sharing"",""พรบ!BU82"")"),231600)</f>
        <v>231600</v>
      </c>
      <c r="Y78" s="77">
        <f ca="1">IFERROR(__xludf.DUMMYFUNCTION("IMPORTRANGE(""https://docs.google.com/spreadsheets/d/1Yj_ptqi66GCucihVvJfMjLAmec39IyEx_6qawtMGysU/edit?usp=sharing"",""สบก!DA82"")"),0)</f>
        <v>0</v>
      </c>
      <c r="Z78" s="77">
        <f ca="1">IFERROR(__xludf.DUMMYFUNCTION("IMPORTRANGE(""https://docs.google.com/spreadsheets/d/1Yj_ptqi66GCucihVvJfMjLAmec39IyEx_6qawtMGysU/edit?usp=shDCing"",""สบก!DC82"")"),173700)</f>
        <v>173700</v>
      </c>
      <c r="AA78" s="77">
        <f t="shared" ca="1" si="14"/>
        <v>101001</v>
      </c>
      <c r="AB78" s="137">
        <f t="shared" ca="1" si="15"/>
        <v>43.610103626943008</v>
      </c>
      <c r="AC78" s="77">
        <f ca="1">IFERROR(__xludf.DUMMYFUNCTION("IMPORTRANGE(""https://docs.google.com/spreadsheets/d/1Yj_ptqi66GCucihVvJfMjLAmec39IyEx_6qawtMGysU/edit?usp=sharing"",""สบก!DD82"")"),101001)</f>
        <v>101001</v>
      </c>
      <c r="AD78" s="137">
        <f t="shared" ca="1" si="16"/>
        <v>43.610103626943008</v>
      </c>
      <c r="AE78" s="137">
        <f t="shared" ca="1" si="17"/>
        <v>58.146804835924009</v>
      </c>
      <c r="AF78" s="137">
        <f ca="1">IFERROR(__xludf.DUMMYFUNCTION("IMPORTRANGE(""https://docs.google.com/spreadsheets/d/1Yj_ptqi66GCucihVvJfMjLAmec39IyEx_6qawtMGysU/edit?usp=sharing"",""สบก!DE82"")"),0)</f>
        <v>0</v>
      </c>
      <c r="AG78" s="137">
        <f t="shared" ca="1" si="18"/>
        <v>0</v>
      </c>
      <c r="AH78" s="77">
        <f ca="1">IFERROR(__xludf.DUMMYFUNCTION("IMPORTRANGE(""https://docs.google.com/spreadsheets/d/1C3CXT74ZlgGe6_JY_1olB1XN4rF0dxEuIIF-xsYjHgg/edit?usp=sharing"",""พรบ!BV82"")"),1)</f>
        <v>1</v>
      </c>
      <c r="AI78" s="77">
        <f ca="1">IFERROR(__xludf.DUMMYFUNCTION("IMPORTRANGE(""https://docs.google.com/spreadsheets/d/1IYY_tgx_IHuhSq3AJ5eI5OnqOPBNLWSHKh2a30DoXe8/edit?usp=sharing"",""ชุมพร!J224"")"),1)</f>
        <v>1</v>
      </c>
      <c r="AJ78" s="137">
        <f t="shared" ca="1" si="20"/>
        <v>100</v>
      </c>
      <c r="AK78" s="114"/>
      <c r="AL78" s="114"/>
      <c r="AM78" s="114"/>
      <c r="AN78" s="114"/>
      <c r="AO78" s="114"/>
      <c r="AP78" s="114"/>
    </row>
    <row r="79" spans="1:42" ht="21" customHeight="1">
      <c r="A79" s="73">
        <v>3</v>
      </c>
      <c r="B79" s="74" t="s">
        <v>103</v>
      </c>
      <c r="C79" s="75">
        <f t="shared" ca="1" si="0"/>
        <v>0</v>
      </c>
      <c r="D79" s="76">
        <f t="shared" ca="1" si="59"/>
        <v>0</v>
      </c>
      <c r="E79" s="77">
        <f ca="1">IFERROR(__xludf.DUMMYFUNCTION("IMPORTRANGE(""https://docs.google.com/spreadsheets/d/1C3CXT74ZlgGe6_JY_1olB1XN4rF0dxEuIIF-xsYjHgg/edit?usp=sharing"",""พรบ!BO83"")"),0)</f>
        <v>0</v>
      </c>
      <c r="F79" s="77">
        <f ca="1">IFERROR(__xludf.DUMMYFUNCTION("IMPORTRANGE(""https://docs.google.com/spreadsheets/d/1C3CXT74ZlgGe6_JY_1olB1XN4rF0dxEuIIF-xsYjHgg/edit?usp=sharing"",""พรบ!BP83"")"),0)</f>
        <v>0</v>
      </c>
      <c r="G79" s="77">
        <f ca="1">IFERROR(__xludf.DUMMYFUNCTION("IMPORTRANGE(""https://docs.google.com/spreadsheets/d/1Yj_ptqi66GCucihVvJfMjLAmec39IyEx_6qawtMGysU/edit?usp=sharing"",""สบก!CR83"")"),0)</f>
        <v>0</v>
      </c>
      <c r="H79" s="77">
        <f ca="1">IFERROR(__xludf.DUMMYFUNCTION("IMPORTRANGE(""https://docs.google.com/spreadsheets/d/1Yj_ptqi66GCucihVvJfMjLAmec39IyEx_6qawtMGysU/edit?usp=shCTing"",""สบก!CT83"")"),0)</f>
        <v>0</v>
      </c>
      <c r="I79" s="77">
        <f t="shared" ca="1" si="3"/>
        <v>0</v>
      </c>
      <c r="J79" s="137">
        <f t="shared" ca="1" si="4"/>
        <v>0</v>
      </c>
      <c r="K79" s="77">
        <f ca="1">IFERROR(__xludf.DUMMYFUNCTION("IMPORTRANGE(""https://docs.google.com/spreadsheets/d/1Yj_ptqi66GCucihVvJfMjLAmec39IyEx_6qawtMGysU/edit?usp=sharing"",""สบก!CU83"")"),0)</f>
        <v>0</v>
      </c>
      <c r="L79" s="137">
        <f t="shared" ca="1" si="5"/>
        <v>0</v>
      </c>
      <c r="M79" s="137">
        <f t="shared" ca="1" si="6"/>
        <v>0</v>
      </c>
      <c r="N79" s="137">
        <f ca="1">IFERROR(__xludf.DUMMYFUNCTION("IMPORTRANGE(""https://docs.google.com/spreadsheets/d/1Yj_ptqi66GCucihVvJfMjLAmec39IyEx_6qawtMGysU/edit?usp=sharing"",""สบก!CV83"")"),0)</f>
        <v>0</v>
      </c>
      <c r="O79" s="137">
        <f t="shared" ca="1" si="7"/>
        <v>0</v>
      </c>
      <c r="P79" s="77">
        <f ca="1">IFERROR(__xludf.DUMMYFUNCTION("IMPORTRANGE(""https://docs.google.com/spreadsheets/d/1C3CXT74ZlgGe6_JY_1olB1XN4rF0dxEuIIF-xsYjHgg/edit?usp=sharing"",""พรบ!BQ83"")"),0)</f>
        <v>0</v>
      </c>
      <c r="Q79" s="77">
        <f ca="1">IFERROR(__xludf.DUMMYFUNCTION("IMPORTRANGE(""https://docs.google.com/spreadsheets/d/1IYY_tgx_IHuhSq3AJ5eI5OnqOPBNLWSHKh2a30DoXe8/edit?usp=sharing"",""ตรัง!J209"")"),0)</f>
        <v>0</v>
      </c>
      <c r="R79" s="137">
        <f t="shared" ca="1" si="9"/>
        <v>0</v>
      </c>
      <c r="S79" s="77">
        <f ca="1">IFERROR(__xludf.DUMMYFUNCTION("IMPORTRANGE(""https://docs.google.com/spreadsheets/d/1IYY_tgx_IHuhSq3AJ5eI5OnqOPBNLWSHKh2a30DoXe8/edit?usp=sharing"",""ตรัง!J211"")"),0)</f>
        <v>0</v>
      </c>
      <c r="T79" s="137">
        <f t="shared" ca="1" si="10"/>
        <v>0</v>
      </c>
      <c r="U79" s="75">
        <f t="shared" ca="1" si="11"/>
        <v>0</v>
      </c>
      <c r="V79" s="76">
        <f t="shared" ca="1" si="60"/>
        <v>0</v>
      </c>
      <c r="W79" s="77">
        <f ca="1">IFERROR(__xludf.DUMMYFUNCTION("IMPORTRANGE(""https://docs.google.com/spreadsheets/d/1C3CXT74ZlgGe6_JY_1olB1XN4rF0dxEuIIF-xsYjHgg/edit?usp=sharing"",""พรบ!BT83"")"),0)</f>
        <v>0</v>
      </c>
      <c r="X79" s="77">
        <f ca="1">IFERROR(__xludf.DUMMYFUNCTION("IMPORTRANGE(""https://docs.google.com/spreadsheets/d/1C3CXT74ZlgGe6_JY_1olB1XN4rF0dxEuIIF-xsYjHgg/edit?usp=sharing"",""พรบ!BU83"")"),0)</f>
        <v>0</v>
      </c>
      <c r="Y79" s="77">
        <f ca="1">IFERROR(__xludf.DUMMYFUNCTION("IMPORTRANGE(""https://docs.google.com/spreadsheets/d/1Yj_ptqi66GCucihVvJfMjLAmec39IyEx_6qawtMGysU/edit?usp=sharing"",""สบก!DA83"")"),0)</f>
        <v>0</v>
      </c>
      <c r="Z79" s="77">
        <f ca="1">IFERROR(__xludf.DUMMYFUNCTION("IMPORTRANGE(""https://docs.google.com/spreadsheets/d/1Yj_ptqi66GCucihVvJfMjLAmec39IyEx_6qawtMGysU/edit?usp=shDCing"",""สบก!DC83"")"),0)</f>
        <v>0</v>
      </c>
      <c r="AA79" s="77">
        <f t="shared" ca="1" si="14"/>
        <v>0</v>
      </c>
      <c r="AB79" s="137">
        <f t="shared" ca="1" si="15"/>
        <v>0</v>
      </c>
      <c r="AC79" s="77">
        <f ca="1">IFERROR(__xludf.DUMMYFUNCTION("IMPORTRANGE(""https://docs.google.com/spreadsheets/d/1Yj_ptqi66GCucihVvJfMjLAmec39IyEx_6qawtMGysU/edit?usp=sharing"",""สบก!DD83"")"),0)</f>
        <v>0</v>
      </c>
      <c r="AD79" s="137">
        <f t="shared" ca="1" si="16"/>
        <v>0</v>
      </c>
      <c r="AE79" s="137">
        <f t="shared" ca="1" si="17"/>
        <v>0</v>
      </c>
      <c r="AF79" s="137">
        <f ca="1">IFERROR(__xludf.DUMMYFUNCTION("IMPORTRANGE(""https://docs.google.com/spreadsheets/d/1Yj_ptqi66GCucihVvJfMjLAmec39IyEx_6qawtMGysU/edit?usp=sharing"",""สบก!DE83"")"),0)</f>
        <v>0</v>
      </c>
      <c r="AG79" s="137">
        <f t="shared" ca="1" si="18"/>
        <v>0</v>
      </c>
      <c r="AH79" s="77">
        <f ca="1">IFERROR(__xludf.DUMMYFUNCTION("IMPORTRANGE(""https://docs.google.com/spreadsheets/d/1C3CXT74ZlgGe6_JY_1olB1XN4rF0dxEuIIF-xsYjHgg/edit?usp=sharing"",""พรบ!BV83"")"),0)</f>
        <v>0</v>
      </c>
      <c r="AI79" s="77">
        <f ca="1">IFERROR(__xludf.DUMMYFUNCTION("IMPORTRANGE(""https://docs.google.com/spreadsheets/d/1IYY_tgx_IHuhSq3AJ5eI5OnqOPBNLWSHKh2a30DoXe8/edit?usp=sharing"",""ตรัง!J224"")"),0)</f>
        <v>0</v>
      </c>
      <c r="AJ79" s="137">
        <f t="shared" ca="1" si="20"/>
        <v>0</v>
      </c>
      <c r="AK79" s="114"/>
      <c r="AL79" s="114"/>
      <c r="AM79" s="114"/>
      <c r="AN79" s="114"/>
      <c r="AO79" s="114"/>
      <c r="AP79" s="114"/>
    </row>
    <row r="80" spans="1:42" ht="21" customHeight="1">
      <c r="A80" s="73">
        <v>4</v>
      </c>
      <c r="B80" s="74" t="s">
        <v>104</v>
      </c>
      <c r="C80" s="75">
        <f t="shared" ca="1" si="0"/>
        <v>0</v>
      </c>
      <c r="D80" s="76">
        <f t="shared" ca="1" si="59"/>
        <v>0</v>
      </c>
      <c r="E80" s="77">
        <f ca="1">IFERROR(__xludf.DUMMYFUNCTION("IMPORTRANGE(""https://docs.google.com/spreadsheets/d/1C3CXT74ZlgGe6_JY_1olB1XN4rF0dxEuIIF-xsYjHgg/edit?usp=sharing"",""พรบ!BO84"")"),0)</f>
        <v>0</v>
      </c>
      <c r="F80" s="77">
        <f ca="1">IFERROR(__xludf.DUMMYFUNCTION("IMPORTRANGE(""https://docs.google.com/spreadsheets/d/1C3CXT74ZlgGe6_JY_1olB1XN4rF0dxEuIIF-xsYjHgg/edit?usp=sharing"",""พรบ!BP84"")"),0)</f>
        <v>0</v>
      </c>
      <c r="G80" s="77">
        <f ca="1">IFERROR(__xludf.DUMMYFUNCTION("IMPORTRANGE(""https://docs.google.com/spreadsheets/d/1Yj_ptqi66GCucihVvJfMjLAmec39IyEx_6qawtMGysU/edit?usp=sharing"",""สบก!CR84"")"),0)</f>
        <v>0</v>
      </c>
      <c r="H80" s="77">
        <f ca="1">IFERROR(__xludf.DUMMYFUNCTION("IMPORTRANGE(""https://docs.google.com/spreadsheets/d/1Yj_ptqi66GCucihVvJfMjLAmec39IyEx_6qawtMGysU/edit?usp=shCTing"",""สบก!CT84"")"),0)</f>
        <v>0</v>
      </c>
      <c r="I80" s="77">
        <f t="shared" ca="1" si="3"/>
        <v>0</v>
      </c>
      <c r="J80" s="137">
        <f t="shared" ca="1" si="4"/>
        <v>0</v>
      </c>
      <c r="K80" s="77">
        <f ca="1">IFERROR(__xludf.DUMMYFUNCTION("IMPORTRANGE(""https://docs.google.com/spreadsheets/d/1Yj_ptqi66GCucihVvJfMjLAmec39IyEx_6qawtMGysU/edit?usp=sharing"",""สบก!CU84"")"),0)</f>
        <v>0</v>
      </c>
      <c r="L80" s="137">
        <f t="shared" ca="1" si="5"/>
        <v>0</v>
      </c>
      <c r="M80" s="137">
        <f t="shared" ca="1" si="6"/>
        <v>0</v>
      </c>
      <c r="N80" s="137">
        <f ca="1">IFERROR(__xludf.DUMMYFUNCTION("IMPORTRANGE(""https://docs.google.com/spreadsheets/d/1Yj_ptqi66GCucihVvJfMjLAmec39IyEx_6qawtMGysU/edit?usp=sharing"",""สบก!CV84"")"),0)</f>
        <v>0</v>
      </c>
      <c r="O80" s="137">
        <f t="shared" ca="1" si="7"/>
        <v>0</v>
      </c>
      <c r="P80" s="77">
        <f ca="1">IFERROR(__xludf.DUMMYFUNCTION("IMPORTRANGE(""https://docs.google.com/spreadsheets/d/1C3CXT74ZlgGe6_JY_1olB1XN4rF0dxEuIIF-xsYjHgg/edit?usp=sharing"",""พรบ!BQ84"")"),0)</f>
        <v>0</v>
      </c>
      <c r="Q80" s="77">
        <f ca="1">IFERROR(__xludf.DUMMYFUNCTION("IMPORTRANGE(""https://docs.google.com/spreadsheets/d/1IYY_tgx_IHuhSq3AJ5eI5OnqOPBNLWSHKh2a30DoXe8/edit?usp=sharing"",""นครศรีธรรมราช!J209"")"),0)</f>
        <v>0</v>
      </c>
      <c r="R80" s="137">
        <f t="shared" ca="1" si="9"/>
        <v>0</v>
      </c>
      <c r="S80" s="77">
        <f ca="1">IFERROR(__xludf.DUMMYFUNCTION("IMPORTRANGE(""https://docs.google.com/spreadsheets/d/1IYY_tgx_IHuhSq3AJ5eI5OnqOPBNLWSHKh2a30DoXe8/edit?usp=sharing"",""นครศรีธรรมราช!J211"")"),0)</f>
        <v>0</v>
      </c>
      <c r="T80" s="137">
        <f t="shared" ca="1" si="10"/>
        <v>0</v>
      </c>
      <c r="U80" s="75">
        <f t="shared" ca="1" si="11"/>
        <v>0</v>
      </c>
      <c r="V80" s="76">
        <f t="shared" ca="1" si="60"/>
        <v>0</v>
      </c>
      <c r="W80" s="77">
        <f ca="1">IFERROR(__xludf.DUMMYFUNCTION("IMPORTRANGE(""https://docs.google.com/spreadsheets/d/1C3CXT74ZlgGe6_JY_1olB1XN4rF0dxEuIIF-xsYjHgg/edit?usp=sharing"",""พรบ!BT84"")"),0)</f>
        <v>0</v>
      </c>
      <c r="X80" s="77">
        <f ca="1">IFERROR(__xludf.DUMMYFUNCTION("IMPORTRANGE(""https://docs.google.com/spreadsheets/d/1C3CXT74ZlgGe6_JY_1olB1XN4rF0dxEuIIF-xsYjHgg/edit?usp=sharing"",""พรบ!BU84"")"),0)</f>
        <v>0</v>
      </c>
      <c r="Y80" s="77">
        <f ca="1">IFERROR(__xludf.DUMMYFUNCTION("IMPORTRANGE(""https://docs.google.com/spreadsheets/d/1Yj_ptqi66GCucihVvJfMjLAmec39IyEx_6qawtMGysU/edit?usp=sharing"",""สบก!DA84"")"),0)</f>
        <v>0</v>
      </c>
      <c r="Z80" s="77">
        <f ca="1">IFERROR(__xludf.DUMMYFUNCTION("IMPORTRANGE(""https://docs.google.com/spreadsheets/d/1Yj_ptqi66GCucihVvJfMjLAmec39IyEx_6qawtMGysU/edit?usp=shDCing"",""สบก!DC84"")"),0)</f>
        <v>0</v>
      </c>
      <c r="AA80" s="77">
        <f t="shared" ca="1" si="14"/>
        <v>0</v>
      </c>
      <c r="AB80" s="137">
        <f t="shared" ca="1" si="15"/>
        <v>0</v>
      </c>
      <c r="AC80" s="77">
        <f ca="1">IFERROR(__xludf.DUMMYFUNCTION("IMPORTRANGE(""https://docs.google.com/spreadsheets/d/1Yj_ptqi66GCucihVvJfMjLAmec39IyEx_6qawtMGysU/edit?usp=sharing"",""สบก!DD84"")"),0)</f>
        <v>0</v>
      </c>
      <c r="AD80" s="137">
        <f t="shared" ca="1" si="16"/>
        <v>0</v>
      </c>
      <c r="AE80" s="137">
        <f t="shared" ca="1" si="17"/>
        <v>0</v>
      </c>
      <c r="AF80" s="137">
        <f ca="1">IFERROR(__xludf.DUMMYFUNCTION("IMPORTRANGE(""https://docs.google.com/spreadsheets/d/1Yj_ptqi66GCucihVvJfMjLAmec39IyEx_6qawtMGysU/edit?usp=sharing"",""สบก!DE84"")"),0)</f>
        <v>0</v>
      </c>
      <c r="AG80" s="137">
        <f t="shared" ca="1" si="18"/>
        <v>0</v>
      </c>
      <c r="AH80" s="77">
        <f ca="1">IFERROR(__xludf.DUMMYFUNCTION("IMPORTRANGE(""https://docs.google.com/spreadsheets/d/1C3CXT74ZlgGe6_JY_1olB1XN4rF0dxEuIIF-xsYjHgg/edit?usp=sharing"",""พรบ!BV84"")"),0)</f>
        <v>0</v>
      </c>
      <c r="AI80" s="77">
        <f ca="1">IFERROR(__xludf.DUMMYFUNCTION("IMPORTRANGE(""https://docs.google.com/spreadsheets/d/1IYY_tgx_IHuhSq3AJ5eI5OnqOPBNLWSHKh2a30DoXe8/edit?usp=sharing"",""นครศรีธรรมราช!J224"")"),0)</f>
        <v>0</v>
      </c>
      <c r="AJ80" s="137">
        <f t="shared" ca="1" si="20"/>
        <v>0</v>
      </c>
      <c r="AK80" s="114"/>
      <c r="AL80" s="114"/>
      <c r="AM80" s="114"/>
      <c r="AN80" s="114"/>
      <c r="AO80" s="114"/>
      <c r="AP80" s="114"/>
    </row>
    <row r="81" spans="1:42" ht="21" customHeight="1">
      <c r="A81" s="73">
        <v>5</v>
      </c>
      <c r="B81" s="74" t="s">
        <v>105</v>
      </c>
      <c r="C81" s="75">
        <f t="shared" ca="1" si="0"/>
        <v>0</v>
      </c>
      <c r="D81" s="76">
        <f t="shared" ca="1" si="59"/>
        <v>0</v>
      </c>
      <c r="E81" s="77">
        <f ca="1">IFERROR(__xludf.DUMMYFUNCTION("IMPORTRANGE(""https://docs.google.com/spreadsheets/d/1C3CXT74ZlgGe6_JY_1olB1XN4rF0dxEuIIF-xsYjHgg/edit?usp=sharing"",""พรบ!BO85"")"),0)</f>
        <v>0</v>
      </c>
      <c r="F81" s="77">
        <f ca="1">IFERROR(__xludf.DUMMYFUNCTION("IMPORTRANGE(""https://docs.google.com/spreadsheets/d/1C3CXT74ZlgGe6_JY_1olB1XN4rF0dxEuIIF-xsYjHgg/edit?usp=sharing"",""พรบ!BP85"")"),0)</f>
        <v>0</v>
      </c>
      <c r="G81" s="77">
        <f ca="1">IFERROR(__xludf.DUMMYFUNCTION("IMPORTRANGE(""https://docs.google.com/spreadsheets/d/1Yj_ptqi66GCucihVvJfMjLAmec39IyEx_6qawtMGysU/edit?usp=sharing"",""สบก!CR85"")"),0)</f>
        <v>0</v>
      </c>
      <c r="H81" s="77">
        <f ca="1">IFERROR(__xludf.DUMMYFUNCTION("IMPORTRANGE(""https://docs.google.com/spreadsheets/d/1Yj_ptqi66GCucihVvJfMjLAmec39IyEx_6qawtMGysU/edit?usp=shCTing"",""สบก!CT85"")"),0)</f>
        <v>0</v>
      </c>
      <c r="I81" s="77">
        <f t="shared" ca="1" si="3"/>
        <v>0</v>
      </c>
      <c r="J81" s="137">
        <f t="shared" ca="1" si="4"/>
        <v>0</v>
      </c>
      <c r="K81" s="77">
        <f ca="1">IFERROR(__xludf.DUMMYFUNCTION("IMPORTRANGE(""https://docs.google.com/spreadsheets/d/1Yj_ptqi66GCucihVvJfMjLAmec39IyEx_6qawtMGysU/edit?usp=sharing"",""สบก!CU85"")"),0)</f>
        <v>0</v>
      </c>
      <c r="L81" s="137">
        <f t="shared" ca="1" si="5"/>
        <v>0</v>
      </c>
      <c r="M81" s="137">
        <f t="shared" ca="1" si="6"/>
        <v>0</v>
      </c>
      <c r="N81" s="137">
        <f ca="1">IFERROR(__xludf.DUMMYFUNCTION("IMPORTRANGE(""https://docs.google.com/spreadsheets/d/1Yj_ptqi66GCucihVvJfMjLAmec39IyEx_6qawtMGysU/edit?usp=sharing"",""สบก!CV85"")"),0)</f>
        <v>0</v>
      </c>
      <c r="O81" s="137">
        <f t="shared" ca="1" si="7"/>
        <v>0</v>
      </c>
      <c r="P81" s="77">
        <f ca="1">IFERROR(__xludf.DUMMYFUNCTION("IMPORTRANGE(""https://docs.google.com/spreadsheets/d/1C3CXT74ZlgGe6_JY_1olB1XN4rF0dxEuIIF-xsYjHgg/edit?usp=sharing"",""พรบ!BQ85"")"),0)</f>
        <v>0</v>
      </c>
      <c r="Q81" s="77">
        <f ca="1">IFERROR(__xludf.DUMMYFUNCTION("IMPORTRANGE(""https://docs.google.com/spreadsheets/d/1IYY_tgx_IHuhSq3AJ5eI5OnqOPBNLWSHKh2a30DoXe8/edit?usp=sharing"",""นราธิวาส!J209"")"),0)</f>
        <v>0</v>
      </c>
      <c r="R81" s="137">
        <f t="shared" ca="1" si="9"/>
        <v>0</v>
      </c>
      <c r="S81" s="77">
        <f ca="1">IFERROR(__xludf.DUMMYFUNCTION("IMPORTRANGE(""https://docs.google.com/spreadsheets/d/1IYY_tgx_IHuhSq3AJ5eI5OnqOPBNLWSHKh2a30DoXe8/edit?usp=sharing"",""นราธิวาส!J211"")"),0)</f>
        <v>0</v>
      </c>
      <c r="T81" s="137">
        <f t="shared" ca="1" si="10"/>
        <v>0</v>
      </c>
      <c r="U81" s="75">
        <f t="shared" ca="1" si="11"/>
        <v>0</v>
      </c>
      <c r="V81" s="76">
        <f t="shared" ca="1" si="60"/>
        <v>0</v>
      </c>
      <c r="W81" s="77">
        <f ca="1">IFERROR(__xludf.DUMMYFUNCTION("IMPORTRANGE(""https://docs.google.com/spreadsheets/d/1C3CXT74ZlgGe6_JY_1olB1XN4rF0dxEuIIF-xsYjHgg/edit?usp=sharing"",""พรบ!BT85"")"),0)</f>
        <v>0</v>
      </c>
      <c r="X81" s="77">
        <f ca="1">IFERROR(__xludf.DUMMYFUNCTION("IMPORTRANGE(""https://docs.google.com/spreadsheets/d/1C3CXT74ZlgGe6_JY_1olB1XN4rF0dxEuIIF-xsYjHgg/edit?usp=sharing"",""พรบ!BU85"")"),0)</f>
        <v>0</v>
      </c>
      <c r="Y81" s="77">
        <f ca="1">IFERROR(__xludf.DUMMYFUNCTION("IMPORTRANGE(""https://docs.google.com/spreadsheets/d/1Yj_ptqi66GCucihVvJfMjLAmec39IyEx_6qawtMGysU/edit?usp=sharing"",""สบก!DA85"")"),0)</f>
        <v>0</v>
      </c>
      <c r="Z81" s="77">
        <f ca="1">IFERROR(__xludf.DUMMYFUNCTION("IMPORTRANGE(""https://docs.google.com/spreadsheets/d/1Yj_ptqi66GCucihVvJfMjLAmec39IyEx_6qawtMGysU/edit?usp=shDCing"",""สบก!DC85"")"),0)</f>
        <v>0</v>
      </c>
      <c r="AA81" s="77">
        <f t="shared" ca="1" si="14"/>
        <v>0</v>
      </c>
      <c r="AB81" s="137">
        <f t="shared" ca="1" si="15"/>
        <v>0</v>
      </c>
      <c r="AC81" s="77">
        <f ca="1">IFERROR(__xludf.DUMMYFUNCTION("IMPORTRANGE(""https://docs.google.com/spreadsheets/d/1Yj_ptqi66GCucihVvJfMjLAmec39IyEx_6qawtMGysU/edit?usp=sharing"",""สบก!DD85"")"),0)</f>
        <v>0</v>
      </c>
      <c r="AD81" s="137">
        <f t="shared" ca="1" si="16"/>
        <v>0</v>
      </c>
      <c r="AE81" s="137">
        <f t="shared" ca="1" si="17"/>
        <v>0</v>
      </c>
      <c r="AF81" s="137">
        <f ca="1">IFERROR(__xludf.DUMMYFUNCTION("IMPORTRANGE(""https://docs.google.com/spreadsheets/d/1Yj_ptqi66GCucihVvJfMjLAmec39IyEx_6qawtMGysU/edit?usp=sharing"",""สบก!DE85"")"),0)</f>
        <v>0</v>
      </c>
      <c r="AG81" s="137">
        <f t="shared" ca="1" si="18"/>
        <v>0</v>
      </c>
      <c r="AH81" s="77">
        <f ca="1">IFERROR(__xludf.DUMMYFUNCTION("IMPORTRANGE(""https://docs.google.com/spreadsheets/d/1C3CXT74ZlgGe6_JY_1olB1XN4rF0dxEuIIF-xsYjHgg/edit?usp=sharing"",""พรบ!BV85"")"),0)</f>
        <v>0</v>
      </c>
      <c r="AI81" s="77">
        <f ca="1">IFERROR(__xludf.DUMMYFUNCTION("IMPORTRANGE(""https://docs.google.com/spreadsheets/d/1IYY_tgx_IHuhSq3AJ5eI5OnqOPBNLWSHKh2a30DoXe8/edit?usp=sharing"",""นราธิวาส!J224"")"),0)</f>
        <v>0</v>
      </c>
      <c r="AJ81" s="137">
        <f t="shared" ca="1" si="20"/>
        <v>0</v>
      </c>
      <c r="AK81" s="114"/>
      <c r="AL81" s="114"/>
      <c r="AM81" s="114"/>
      <c r="AN81" s="114"/>
      <c r="AO81" s="114"/>
      <c r="AP81" s="114"/>
    </row>
    <row r="82" spans="1:42" ht="21" customHeight="1">
      <c r="A82" s="73">
        <v>6</v>
      </c>
      <c r="B82" s="74" t="s">
        <v>106</v>
      </c>
      <c r="C82" s="75">
        <f t="shared" ca="1" si="0"/>
        <v>0</v>
      </c>
      <c r="D82" s="76">
        <f t="shared" ca="1" si="59"/>
        <v>0</v>
      </c>
      <c r="E82" s="77">
        <f ca="1">IFERROR(__xludf.DUMMYFUNCTION("IMPORTRANGE(""https://docs.google.com/spreadsheets/d/1C3CXT74ZlgGe6_JY_1olB1XN4rF0dxEuIIF-xsYjHgg/edit?usp=sharing"",""พรบ!BO86"")"),0)</f>
        <v>0</v>
      </c>
      <c r="F82" s="77">
        <f ca="1">IFERROR(__xludf.DUMMYFUNCTION("IMPORTRANGE(""https://docs.google.com/spreadsheets/d/1C3CXT74ZlgGe6_JY_1olB1XN4rF0dxEuIIF-xsYjHgg/edit?usp=sharing"",""พรบ!BP86"")"),0)</f>
        <v>0</v>
      </c>
      <c r="G82" s="77">
        <f ca="1">IFERROR(__xludf.DUMMYFUNCTION("IMPORTRANGE(""https://docs.google.com/spreadsheets/d/1Yj_ptqi66GCucihVvJfMjLAmec39IyEx_6qawtMGysU/edit?usp=sharing"",""สบก!CR86"")"),0)</f>
        <v>0</v>
      </c>
      <c r="H82" s="77">
        <f ca="1">IFERROR(__xludf.DUMMYFUNCTION("IMPORTRANGE(""https://docs.google.com/spreadsheets/d/1Yj_ptqi66GCucihVvJfMjLAmec39IyEx_6qawtMGysU/edit?usp=shCTing"",""สบก!CT86"")"),0)</f>
        <v>0</v>
      </c>
      <c r="I82" s="77">
        <f t="shared" ca="1" si="3"/>
        <v>0</v>
      </c>
      <c r="J82" s="137">
        <f t="shared" ca="1" si="4"/>
        <v>0</v>
      </c>
      <c r="K82" s="77">
        <f ca="1">IFERROR(__xludf.DUMMYFUNCTION("IMPORTRANGE(""https://docs.google.com/spreadsheets/d/1Yj_ptqi66GCucihVvJfMjLAmec39IyEx_6qawtMGysU/edit?usp=sharing"",""สบก!CU86"")"),0)</f>
        <v>0</v>
      </c>
      <c r="L82" s="137">
        <f t="shared" ca="1" si="5"/>
        <v>0</v>
      </c>
      <c r="M82" s="137">
        <f t="shared" ca="1" si="6"/>
        <v>0</v>
      </c>
      <c r="N82" s="137">
        <f ca="1">IFERROR(__xludf.DUMMYFUNCTION("IMPORTRANGE(""https://docs.google.com/spreadsheets/d/1Yj_ptqi66GCucihVvJfMjLAmec39IyEx_6qawtMGysU/edit?usp=sharing"",""สบก!CV86"")"),0)</f>
        <v>0</v>
      </c>
      <c r="O82" s="137">
        <f t="shared" ca="1" si="7"/>
        <v>0</v>
      </c>
      <c r="P82" s="77">
        <f ca="1">IFERROR(__xludf.DUMMYFUNCTION("IMPORTRANGE(""https://docs.google.com/spreadsheets/d/1C3CXT74ZlgGe6_JY_1olB1XN4rF0dxEuIIF-xsYjHgg/edit?usp=sharing"",""พรบ!BQ86"")"),0)</f>
        <v>0</v>
      </c>
      <c r="Q82" s="77">
        <f ca="1">IFERROR(__xludf.DUMMYFUNCTION("IMPORTRANGE(""https://docs.google.com/spreadsheets/d/1IYY_tgx_IHuhSq3AJ5eI5OnqOPBNLWSHKh2a30DoXe8/edit?usp=sharing"",""ปัตตานี!J209"")"),0)</f>
        <v>0</v>
      </c>
      <c r="R82" s="137">
        <f t="shared" ca="1" si="9"/>
        <v>0</v>
      </c>
      <c r="S82" s="77">
        <f ca="1">IFERROR(__xludf.DUMMYFUNCTION("IMPORTRANGE(""https://docs.google.com/spreadsheets/d/1IYY_tgx_IHuhSq3AJ5eI5OnqOPBNLWSHKh2a30DoXe8/edit?usp=sharing"",""ปัตตานี!J211"")"),0)</f>
        <v>0</v>
      </c>
      <c r="T82" s="137">
        <f t="shared" ca="1" si="10"/>
        <v>0</v>
      </c>
      <c r="U82" s="75">
        <f t="shared" ca="1" si="11"/>
        <v>0</v>
      </c>
      <c r="V82" s="76">
        <f t="shared" ca="1" si="60"/>
        <v>0</v>
      </c>
      <c r="W82" s="77">
        <f ca="1">IFERROR(__xludf.DUMMYFUNCTION("IMPORTRANGE(""https://docs.google.com/spreadsheets/d/1C3CXT74ZlgGe6_JY_1olB1XN4rF0dxEuIIF-xsYjHgg/edit?usp=sharing"",""พรบ!BT86"")"),0)</f>
        <v>0</v>
      </c>
      <c r="X82" s="77">
        <f ca="1">IFERROR(__xludf.DUMMYFUNCTION("IMPORTRANGE(""https://docs.google.com/spreadsheets/d/1C3CXT74ZlgGe6_JY_1olB1XN4rF0dxEuIIF-xsYjHgg/edit?usp=sharing"",""พรบ!BU86"")"),0)</f>
        <v>0</v>
      </c>
      <c r="Y82" s="77">
        <f ca="1">IFERROR(__xludf.DUMMYFUNCTION("IMPORTRANGE(""https://docs.google.com/spreadsheets/d/1Yj_ptqi66GCucihVvJfMjLAmec39IyEx_6qawtMGysU/edit?usp=sharing"",""สบก!DA86"")"),0)</f>
        <v>0</v>
      </c>
      <c r="Z82" s="77">
        <f ca="1">IFERROR(__xludf.DUMMYFUNCTION("IMPORTRANGE(""https://docs.google.com/spreadsheets/d/1Yj_ptqi66GCucihVvJfMjLAmec39IyEx_6qawtMGysU/edit?usp=shDCing"",""สบก!DC86"")"),0)</f>
        <v>0</v>
      </c>
      <c r="AA82" s="77">
        <f t="shared" ca="1" si="14"/>
        <v>0</v>
      </c>
      <c r="AB82" s="137">
        <f t="shared" ca="1" si="15"/>
        <v>0</v>
      </c>
      <c r="AC82" s="77">
        <f ca="1">IFERROR(__xludf.DUMMYFUNCTION("IMPORTRANGE(""https://docs.google.com/spreadsheets/d/1Yj_ptqi66GCucihVvJfMjLAmec39IyEx_6qawtMGysU/edit?usp=sharing"",""สบก!DD86"")"),0)</f>
        <v>0</v>
      </c>
      <c r="AD82" s="137">
        <f t="shared" ca="1" si="16"/>
        <v>0</v>
      </c>
      <c r="AE82" s="137">
        <f t="shared" ca="1" si="17"/>
        <v>0</v>
      </c>
      <c r="AF82" s="137">
        <f ca="1">IFERROR(__xludf.DUMMYFUNCTION("IMPORTRANGE(""https://docs.google.com/spreadsheets/d/1Yj_ptqi66GCucihVvJfMjLAmec39IyEx_6qawtMGysU/edit?usp=sharing"",""สบก!DE86"")"),0)</f>
        <v>0</v>
      </c>
      <c r="AG82" s="137">
        <f t="shared" ca="1" si="18"/>
        <v>0</v>
      </c>
      <c r="AH82" s="77">
        <f ca="1">IFERROR(__xludf.DUMMYFUNCTION("IMPORTRANGE(""https://docs.google.com/spreadsheets/d/1C3CXT74ZlgGe6_JY_1olB1XN4rF0dxEuIIF-xsYjHgg/edit?usp=sharing"",""พรบ!BV86"")"),0)</f>
        <v>0</v>
      </c>
      <c r="AI82" s="77">
        <f ca="1">IFERROR(__xludf.DUMMYFUNCTION("IMPORTRANGE(""https://docs.google.com/spreadsheets/d/1IYY_tgx_IHuhSq3AJ5eI5OnqOPBNLWSHKh2a30DoXe8/edit?usp=sharing"",""ปัตตานี!J224"")"),0)</f>
        <v>0</v>
      </c>
      <c r="AJ82" s="137">
        <f t="shared" ca="1" si="20"/>
        <v>0</v>
      </c>
      <c r="AK82" s="114"/>
      <c r="AL82" s="114"/>
      <c r="AM82" s="114"/>
      <c r="AN82" s="114"/>
      <c r="AO82" s="114"/>
      <c r="AP82" s="114"/>
    </row>
    <row r="83" spans="1:42" ht="21" customHeight="1">
      <c r="A83" s="73">
        <v>7</v>
      </c>
      <c r="B83" s="74" t="s">
        <v>107</v>
      </c>
      <c r="C83" s="75">
        <f t="shared" ca="1" si="0"/>
        <v>0</v>
      </c>
      <c r="D83" s="76">
        <f t="shared" ca="1" si="59"/>
        <v>0</v>
      </c>
      <c r="E83" s="77">
        <f ca="1">IFERROR(__xludf.DUMMYFUNCTION("IMPORTRANGE(""https://docs.google.com/spreadsheets/d/1C3CXT74ZlgGe6_JY_1olB1XN4rF0dxEuIIF-xsYjHgg/edit?usp=sharing"",""พรบ!BO87"")"),0)</f>
        <v>0</v>
      </c>
      <c r="F83" s="77">
        <f ca="1">IFERROR(__xludf.DUMMYFUNCTION("IMPORTRANGE(""https://docs.google.com/spreadsheets/d/1C3CXT74ZlgGe6_JY_1olB1XN4rF0dxEuIIF-xsYjHgg/edit?usp=sharing"",""พรบ!BP87"")"),0)</f>
        <v>0</v>
      </c>
      <c r="G83" s="77">
        <f ca="1">IFERROR(__xludf.DUMMYFUNCTION("IMPORTRANGE(""https://docs.google.com/spreadsheets/d/1Yj_ptqi66GCucihVvJfMjLAmec39IyEx_6qawtMGysU/edit?usp=sharing"",""สบก!CR87"")"),0)</f>
        <v>0</v>
      </c>
      <c r="H83" s="77">
        <f ca="1">IFERROR(__xludf.DUMMYFUNCTION("IMPORTRANGE(""https://docs.google.com/spreadsheets/d/1Yj_ptqi66GCucihVvJfMjLAmec39IyEx_6qawtMGysU/edit?usp=shCTing"",""สบก!CT87"")"),0)</f>
        <v>0</v>
      </c>
      <c r="I83" s="77">
        <f t="shared" ca="1" si="3"/>
        <v>0</v>
      </c>
      <c r="J83" s="137">
        <f t="shared" ca="1" si="4"/>
        <v>0</v>
      </c>
      <c r="K83" s="77">
        <f ca="1">IFERROR(__xludf.DUMMYFUNCTION("IMPORTRANGE(""https://docs.google.com/spreadsheets/d/1Yj_ptqi66GCucihVvJfMjLAmec39IyEx_6qawtMGysU/edit?usp=sharing"",""สบก!CU87"")"),0)</f>
        <v>0</v>
      </c>
      <c r="L83" s="137">
        <f t="shared" ca="1" si="5"/>
        <v>0</v>
      </c>
      <c r="M83" s="137">
        <f t="shared" ca="1" si="6"/>
        <v>0</v>
      </c>
      <c r="N83" s="137">
        <f ca="1">IFERROR(__xludf.DUMMYFUNCTION("IMPORTRANGE(""https://docs.google.com/spreadsheets/d/1Yj_ptqi66GCucihVvJfMjLAmec39IyEx_6qawtMGysU/edit?usp=sharing"",""สบก!CV87"")"),0)</f>
        <v>0</v>
      </c>
      <c r="O83" s="137">
        <f t="shared" ca="1" si="7"/>
        <v>0</v>
      </c>
      <c r="P83" s="77">
        <f ca="1">IFERROR(__xludf.DUMMYFUNCTION("IMPORTRANGE(""https://docs.google.com/spreadsheets/d/1C3CXT74ZlgGe6_JY_1olB1XN4rF0dxEuIIF-xsYjHgg/edit?usp=sharing"",""พรบ!BQ87"")"),0)</f>
        <v>0</v>
      </c>
      <c r="Q83" s="77">
        <f ca="1">IFERROR(__xludf.DUMMYFUNCTION("IMPORTRANGE(""https://docs.google.com/spreadsheets/d/1IYY_tgx_IHuhSq3AJ5eI5OnqOPBNLWSHKh2a30DoXe8/edit?usp=sharing"",""พังงา!J209"")"),0)</f>
        <v>0</v>
      </c>
      <c r="R83" s="137">
        <f t="shared" ca="1" si="9"/>
        <v>0</v>
      </c>
      <c r="S83" s="77">
        <f ca="1">IFERROR(__xludf.DUMMYFUNCTION("IMPORTRANGE(""https://docs.google.com/spreadsheets/d/1IYY_tgx_IHuhSq3AJ5eI5OnqOPBNLWSHKh2a30DoXe8/edit?usp=sharing"",""พังงา!J211"")"),0)</f>
        <v>0</v>
      </c>
      <c r="T83" s="137">
        <f t="shared" ca="1" si="10"/>
        <v>0</v>
      </c>
      <c r="U83" s="75">
        <f t="shared" ca="1" si="11"/>
        <v>0</v>
      </c>
      <c r="V83" s="76">
        <f t="shared" ca="1" si="60"/>
        <v>0</v>
      </c>
      <c r="W83" s="77">
        <f ca="1">IFERROR(__xludf.DUMMYFUNCTION("IMPORTRANGE(""https://docs.google.com/spreadsheets/d/1C3CXT74ZlgGe6_JY_1olB1XN4rF0dxEuIIF-xsYjHgg/edit?usp=sharing"",""พรบ!BT87"")"),0)</f>
        <v>0</v>
      </c>
      <c r="X83" s="77">
        <f ca="1">IFERROR(__xludf.DUMMYFUNCTION("IMPORTRANGE(""https://docs.google.com/spreadsheets/d/1C3CXT74ZlgGe6_JY_1olB1XN4rF0dxEuIIF-xsYjHgg/edit?usp=sharing"",""พรบ!BU87"")"),0)</f>
        <v>0</v>
      </c>
      <c r="Y83" s="77">
        <f ca="1">IFERROR(__xludf.DUMMYFUNCTION("IMPORTRANGE(""https://docs.google.com/spreadsheets/d/1Yj_ptqi66GCucihVvJfMjLAmec39IyEx_6qawtMGysU/edit?usp=sharing"",""สบก!DA87"")"),0)</f>
        <v>0</v>
      </c>
      <c r="Z83" s="77">
        <f ca="1">IFERROR(__xludf.DUMMYFUNCTION("IMPORTRANGE(""https://docs.google.com/spreadsheets/d/1Yj_ptqi66GCucihVvJfMjLAmec39IyEx_6qawtMGysU/edit?usp=shDCing"",""สบก!DC87"")"),0)</f>
        <v>0</v>
      </c>
      <c r="AA83" s="77">
        <f t="shared" ca="1" si="14"/>
        <v>0</v>
      </c>
      <c r="AB83" s="137">
        <f t="shared" ca="1" si="15"/>
        <v>0</v>
      </c>
      <c r="AC83" s="77">
        <f ca="1">IFERROR(__xludf.DUMMYFUNCTION("IMPORTRANGE(""https://docs.google.com/spreadsheets/d/1Yj_ptqi66GCucihVvJfMjLAmec39IyEx_6qawtMGysU/edit?usp=sharing"",""สบก!DD87"")"),0)</f>
        <v>0</v>
      </c>
      <c r="AD83" s="137">
        <f t="shared" ca="1" si="16"/>
        <v>0</v>
      </c>
      <c r="AE83" s="137">
        <f t="shared" ca="1" si="17"/>
        <v>0</v>
      </c>
      <c r="AF83" s="137">
        <f ca="1">IFERROR(__xludf.DUMMYFUNCTION("IMPORTRANGE(""https://docs.google.com/spreadsheets/d/1Yj_ptqi66GCucihVvJfMjLAmec39IyEx_6qawtMGysU/edit?usp=sharing"",""สบก!DE87"")"),0)</f>
        <v>0</v>
      </c>
      <c r="AG83" s="137">
        <f t="shared" ca="1" si="18"/>
        <v>0</v>
      </c>
      <c r="AH83" s="77">
        <f ca="1">IFERROR(__xludf.DUMMYFUNCTION("IMPORTRANGE(""https://docs.google.com/spreadsheets/d/1C3CXT74ZlgGe6_JY_1olB1XN4rF0dxEuIIF-xsYjHgg/edit?usp=sharing"",""พรบ!BV87"")"),0)</f>
        <v>0</v>
      </c>
      <c r="AI83" s="77">
        <f ca="1">IFERROR(__xludf.DUMMYFUNCTION("IMPORTRANGE(""https://docs.google.com/spreadsheets/d/1IYY_tgx_IHuhSq3AJ5eI5OnqOPBNLWSHKh2a30DoXe8/edit?usp=sharing"",""พังงา!J224"")"),0)</f>
        <v>0</v>
      </c>
      <c r="AJ83" s="137">
        <f t="shared" ca="1" si="20"/>
        <v>0</v>
      </c>
      <c r="AK83" s="114"/>
      <c r="AL83" s="114"/>
      <c r="AM83" s="114"/>
      <c r="AN83" s="114"/>
      <c r="AO83" s="114"/>
      <c r="AP83" s="114"/>
    </row>
    <row r="84" spans="1:42" ht="21" customHeight="1">
      <c r="A84" s="73">
        <v>8</v>
      </c>
      <c r="B84" s="74" t="s">
        <v>108</v>
      </c>
      <c r="C84" s="75">
        <f t="shared" ca="1" si="0"/>
        <v>0</v>
      </c>
      <c r="D84" s="76">
        <f t="shared" ca="1" si="59"/>
        <v>0</v>
      </c>
      <c r="E84" s="77">
        <f ca="1">IFERROR(__xludf.DUMMYFUNCTION("IMPORTRANGE(""https://docs.google.com/spreadsheets/d/1C3CXT74ZlgGe6_JY_1olB1XN4rF0dxEuIIF-xsYjHgg/edit?usp=sharing"",""พรบ!BO88"")"),0)</f>
        <v>0</v>
      </c>
      <c r="F84" s="77">
        <f ca="1">IFERROR(__xludf.DUMMYFUNCTION("IMPORTRANGE(""https://docs.google.com/spreadsheets/d/1C3CXT74ZlgGe6_JY_1olB1XN4rF0dxEuIIF-xsYjHgg/edit?usp=sharing"",""พรบ!BP88"")"),0)</f>
        <v>0</v>
      </c>
      <c r="G84" s="77">
        <f ca="1">IFERROR(__xludf.DUMMYFUNCTION("IMPORTRANGE(""https://docs.google.com/spreadsheets/d/1Yj_ptqi66GCucihVvJfMjLAmec39IyEx_6qawtMGysU/edit?usp=sharing"",""สบก!CR88"")"),0)</f>
        <v>0</v>
      </c>
      <c r="H84" s="77">
        <f ca="1">IFERROR(__xludf.DUMMYFUNCTION("IMPORTRANGE(""https://docs.google.com/spreadsheets/d/1Yj_ptqi66GCucihVvJfMjLAmec39IyEx_6qawtMGysU/edit?usp=shCTing"",""สบก!CT88"")"),0)</f>
        <v>0</v>
      </c>
      <c r="I84" s="77">
        <f t="shared" ca="1" si="3"/>
        <v>0</v>
      </c>
      <c r="J84" s="137">
        <f t="shared" ca="1" si="4"/>
        <v>0</v>
      </c>
      <c r="K84" s="77">
        <f ca="1">IFERROR(__xludf.DUMMYFUNCTION("IMPORTRANGE(""https://docs.google.com/spreadsheets/d/1Yj_ptqi66GCucihVvJfMjLAmec39IyEx_6qawtMGysU/edit?usp=sharing"",""สบก!CU88"")"),0)</f>
        <v>0</v>
      </c>
      <c r="L84" s="137">
        <f t="shared" ca="1" si="5"/>
        <v>0</v>
      </c>
      <c r="M84" s="137">
        <f t="shared" ca="1" si="6"/>
        <v>0</v>
      </c>
      <c r="N84" s="137">
        <f ca="1">IFERROR(__xludf.DUMMYFUNCTION("IMPORTRANGE(""https://docs.google.com/spreadsheets/d/1Yj_ptqi66GCucihVvJfMjLAmec39IyEx_6qawtMGysU/edit?usp=sharing"",""สบก!CV88"")"),0)</f>
        <v>0</v>
      </c>
      <c r="O84" s="137">
        <f t="shared" ca="1" si="7"/>
        <v>0</v>
      </c>
      <c r="P84" s="77">
        <f ca="1">IFERROR(__xludf.DUMMYFUNCTION("IMPORTRANGE(""https://docs.google.com/spreadsheets/d/1C3CXT74ZlgGe6_JY_1olB1XN4rF0dxEuIIF-xsYjHgg/edit?usp=sharing"",""พรบ!BQ88"")"),0)</f>
        <v>0</v>
      </c>
      <c r="Q84" s="77">
        <f ca="1">IFERROR(__xludf.DUMMYFUNCTION("IMPORTRANGE(""https://docs.google.com/spreadsheets/d/1IYY_tgx_IHuhSq3AJ5eI5OnqOPBNLWSHKh2a30DoXe8/edit?usp=sharing"",""พัทลุง!J209"")"),0)</f>
        <v>0</v>
      </c>
      <c r="R84" s="137">
        <f t="shared" ca="1" si="9"/>
        <v>0</v>
      </c>
      <c r="S84" s="77">
        <f ca="1">IFERROR(__xludf.DUMMYFUNCTION("IMPORTRANGE(""https://docs.google.com/spreadsheets/d/1IYY_tgx_IHuhSq3AJ5eI5OnqOPBNLWSHKh2a30DoXe8/edit?usp=sharing"",""พัทลุง!J211"")"),0)</f>
        <v>0</v>
      </c>
      <c r="T84" s="137">
        <f t="shared" ca="1" si="10"/>
        <v>0</v>
      </c>
      <c r="U84" s="75">
        <f t="shared" ca="1" si="11"/>
        <v>0</v>
      </c>
      <c r="V84" s="76">
        <f t="shared" ca="1" si="60"/>
        <v>0</v>
      </c>
      <c r="W84" s="77">
        <f ca="1">IFERROR(__xludf.DUMMYFUNCTION("IMPORTRANGE(""https://docs.google.com/spreadsheets/d/1C3CXT74ZlgGe6_JY_1olB1XN4rF0dxEuIIF-xsYjHgg/edit?usp=sharing"",""พรบ!BT88"")"),0)</f>
        <v>0</v>
      </c>
      <c r="X84" s="77">
        <f ca="1">IFERROR(__xludf.DUMMYFUNCTION("IMPORTRANGE(""https://docs.google.com/spreadsheets/d/1C3CXT74ZlgGe6_JY_1olB1XN4rF0dxEuIIF-xsYjHgg/edit?usp=sharing"",""พรบ!BU88"")"),0)</f>
        <v>0</v>
      </c>
      <c r="Y84" s="77">
        <f ca="1">IFERROR(__xludf.DUMMYFUNCTION("IMPORTRANGE(""https://docs.google.com/spreadsheets/d/1Yj_ptqi66GCucihVvJfMjLAmec39IyEx_6qawtMGysU/edit?usp=sharing"",""สบก!DA88"")"),0)</f>
        <v>0</v>
      </c>
      <c r="Z84" s="77">
        <f ca="1">IFERROR(__xludf.DUMMYFUNCTION("IMPORTRANGE(""https://docs.google.com/spreadsheets/d/1Yj_ptqi66GCucihVvJfMjLAmec39IyEx_6qawtMGysU/edit?usp=shDCing"",""สบก!DC88"")"),0)</f>
        <v>0</v>
      </c>
      <c r="AA84" s="77">
        <f t="shared" ca="1" si="14"/>
        <v>0</v>
      </c>
      <c r="AB84" s="137">
        <f t="shared" ca="1" si="15"/>
        <v>0</v>
      </c>
      <c r="AC84" s="77">
        <f ca="1">IFERROR(__xludf.DUMMYFUNCTION("IMPORTRANGE(""https://docs.google.com/spreadsheets/d/1Yj_ptqi66GCucihVvJfMjLAmec39IyEx_6qawtMGysU/edit?usp=sharing"",""สบก!DD88"")"),0)</f>
        <v>0</v>
      </c>
      <c r="AD84" s="137">
        <f t="shared" ca="1" si="16"/>
        <v>0</v>
      </c>
      <c r="AE84" s="137">
        <f t="shared" ca="1" si="17"/>
        <v>0</v>
      </c>
      <c r="AF84" s="137">
        <f ca="1">IFERROR(__xludf.DUMMYFUNCTION("IMPORTRANGE(""https://docs.google.com/spreadsheets/d/1Yj_ptqi66GCucihVvJfMjLAmec39IyEx_6qawtMGysU/edit?usp=sharing"",""สบก!DE88"")"),0)</f>
        <v>0</v>
      </c>
      <c r="AG84" s="137">
        <f t="shared" ca="1" si="18"/>
        <v>0</v>
      </c>
      <c r="AH84" s="77">
        <f ca="1">IFERROR(__xludf.DUMMYFUNCTION("IMPORTRANGE(""https://docs.google.com/spreadsheets/d/1C3CXT74ZlgGe6_JY_1olB1XN4rF0dxEuIIF-xsYjHgg/edit?usp=sharing"",""พรบ!BV88"")"),0)</f>
        <v>0</v>
      </c>
      <c r="AI84" s="77">
        <f ca="1">IFERROR(__xludf.DUMMYFUNCTION("IMPORTRANGE(""https://docs.google.com/spreadsheets/d/1IYY_tgx_IHuhSq3AJ5eI5OnqOPBNLWSHKh2a30DoXe8/edit?usp=sharing"",""พัทลุง!J224"")"),0)</f>
        <v>0</v>
      </c>
      <c r="AJ84" s="137">
        <f t="shared" ca="1" si="20"/>
        <v>0</v>
      </c>
      <c r="AK84" s="114"/>
      <c r="AL84" s="114"/>
      <c r="AM84" s="114"/>
      <c r="AN84" s="114"/>
      <c r="AO84" s="114"/>
      <c r="AP84" s="114"/>
    </row>
    <row r="85" spans="1:42" ht="21" customHeight="1">
      <c r="A85" s="73">
        <v>9</v>
      </c>
      <c r="B85" s="74" t="s">
        <v>109</v>
      </c>
      <c r="C85" s="75">
        <f t="shared" ca="1" si="0"/>
        <v>0</v>
      </c>
      <c r="D85" s="76">
        <f t="shared" ca="1" si="59"/>
        <v>0</v>
      </c>
      <c r="E85" s="77">
        <f ca="1">IFERROR(__xludf.DUMMYFUNCTION("IMPORTRANGE(""https://docs.google.com/spreadsheets/d/1C3CXT74ZlgGe6_JY_1olB1XN4rF0dxEuIIF-xsYjHgg/edit?usp=sharing"",""พรบ!BO89"")"),0)</f>
        <v>0</v>
      </c>
      <c r="F85" s="77">
        <f ca="1">IFERROR(__xludf.DUMMYFUNCTION("IMPORTRANGE(""https://docs.google.com/spreadsheets/d/1C3CXT74ZlgGe6_JY_1olB1XN4rF0dxEuIIF-xsYjHgg/edit?usp=sharing"",""พรบ!BP89"")"),0)</f>
        <v>0</v>
      </c>
      <c r="G85" s="77">
        <f ca="1">IFERROR(__xludf.DUMMYFUNCTION("IMPORTRANGE(""https://docs.google.com/spreadsheets/d/1Yj_ptqi66GCucihVvJfMjLAmec39IyEx_6qawtMGysU/edit?usp=sharing"",""สบก!CR89"")"),0)</f>
        <v>0</v>
      </c>
      <c r="H85" s="77">
        <f ca="1">IFERROR(__xludf.DUMMYFUNCTION("IMPORTRANGE(""https://docs.google.com/spreadsheets/d/1Yj_ptqi66GCucihVvJfMjLAmec39IyEx_6qawtMGysU/edit?usp=shCTing"",""สบก!CT89"")"),0)</f>
        <v>0</v>
      </c>
      <c r="I85" s="77">
        <f t="shared" ca="1" si="3"/>
        <v>0</v>
      </c>
      <c r="J85" s="137">
        <f t="shared" ca="1" si="4"/>
        <v>0</v>
      </c>
      <c r="K85" s="77">
        <f ca="1">IFERROR(__xludf.DUMMYFUNCTION("IMPORTRANGE(""https://docs.google.com/spreadsheets/d/1Yj_ptqi66GCucihVvJfMjLAmec39IyEx_6qawtMGysU/edit?usp=sharing"",""สบก!CU89"")"),0)</f>
        <v>0</v>
      </c>
      <c r="L85" s="137">
        <f t="shared" ca="1" si="5"/>
        <v>0</v>
      </c>
      <c r="M85" s="137">
        <f t="shared" ca="1" si="6"/>
        <v>0</v>
      </c>
      <c r="N85" s="137">
        <f ca="1">IFERROR(__xludf.DUMMYFUNCTION("IMPORTRANGE(""https://docs.google.com/spreadsheets/d/1Yj_ptqi66GCucihVvJfMjLAmec39IyEx_6qawtMGysU/edit?usp=sharing"",""สบก!CV89"")"),0)</f>
        <v>0</v>
      </c>
      <c r="O85" s="137">
        <f t="shared" ca="1" si="7"/>
        <v>0</v>
      </c>
      <c r="P85" s="77">
        <f ca="1">IFERROR(__xludf.DUMMYFUNCTION("IMPORTRANGE(""https://docs.google.com/spreadsheets/d/1C3CXT74ZlgGe6_JY_1olB1XN4rF0dxEuIIF-xsYjHgg/edit?usp=sharing"",""พรบ!BQ89"")"),0)</f>
        <v>0</v>
      </c>
      <c r="Q85" s="77">
        <f ca="1">IFERROR(__xludf.DUMMYFUNCTION("IMPORTRANGE(""https://docs.google.com/spreadsheets/d/1IYY_tgx_IHuhSq3AJ5eI5OnqOPBNLWSHKh2a30DoXe8/edit?usp=sharing"",""ภูเก็ต!J209"")"),0)</f>
        <v>0</v>
      </c>
      <c r="R85" s="137">
        <f t="shared" ca="1" si="9"/>
        <v>0</v>
      </c>
      <c r="S85" s="77">
        <f ca="1">IFERROR(__xludf.DUMMYFUNCTION("IMPORTRANGE(""https://docs.google.com/spreadsheets/d/1IYY_tgx_IHuhSq3AJ5eI5OnqOPBNLWSHKh2a30DoXe8/edit?usp=sharing"",""ภูเก็ต!J211"")"),0)</f>
        <v>0</v>
      </c>
      <c r="T85" s="137">
        <f t="shared" ca="1" si="10"/>
        <v>0</v>
      </c>
      <c r="U85" s="75">
        <f t="shared" ca="1" si="11"/>
        <v>0</v>
      </c>
      <c r="V85" s="76">
        <f t="shared" ca="1" si="60"/>
        <v>0</v>
      </c>
      <c r="W85" s="77">
        <f ca="1">IFERROR(__xludf.DUMMYFUNCTION("IMPORTRANGE(""https://docs.google.com/spreadsheets/d/1C3CXT74ZlgGe6_JY_1olB1XN4rF0dxEuIIF-xsYjHgg/edit?usp=sharing"",""พรบ!BT89"")"),0)</f>
        <v>0</v>
      </c>
      <c r="X85" s="77">
        <f ca="1">IFERROR(__xludf.DUMMYFUNCTION("IMPORTRANGE(""https://docs.google.com/spreadsheets/d/1C3CXT74ZlgGe6_JY_1olB1XN4rF0dxEuIIF-xsYjHgg/edit?usp=sharing"",""พรบ!BU89"")"),0)</f>
        <v>0</v>
      </c>
      <c r="Y85" s="77">
        <f ca="1">IFERROR(__xludf.DUMMYFUNCTION("IMPORTRANGE(""https://docs.google.com/spreadsheets/d/1Yj_ptqi66GCucihVvJfMjLAmec39IyEx_6qawtMGysU/edit?usp=sharing"",""สบก!DA89"")"),0)</f>
        <v>0</v>
      </c>
      <c r="Z85" s="77">
        <f ca="1">IFERROR(__xludf.DUMMYFUNCTION("IMPORTRANGE(""https://docs.google.com/spreadsheets/d/1Yj_ptqi66GCucihVvJfMjLAmec39IyEx_6qawtMGysU/edit?usp=shDCing"",""สบก!DC89"")"),0)</f>
        <v>0</v>
      </c>
      <c r="AA85" s="77">
        <f t="shared" ca="1" si="14"/>
        <v>0</v>
      </c>
      <c r="AB85" s="137">
        <f t="shared" ca="1" si="15"/>
        <v>0</v>
      </c>
      <c r="AC85" s="77">
        <f ca="1">IFERROR(__xludf.DUMMYFUNCTION("IMPORTRANGE(""https://docs.google.com/spreadsheets/d/1Yj_ptqi66GCucihVvJfMjLAmec39IyEx_6qawtMGysU/edit?usp=sharing"",""สบก!DD89"")"),0)</f>
        <v>0</v>
      </c>
      <c r="AD85" s="137">
        <f t="shared" ca="1" si="16"/>
        <v>0</v>
      </c>
      <c r="AE85" s="137">
        <f t="shared" ca="1" si="17"/>
        <v>0</v>
      </c>
      <c r="AF85" s="137">
        <f ca="1">IFERROR(__xludf.DUMMYFUNCTION("IMPORTRANGE(""https://docs.google.com/spreadsheets/d/1Yj_ptqi66GCucihVvJfMjLAmec39IyEx_6qawtMGysU/edit?usp=sharing"",""สบก!DE89"")"),0)</f>
        <v>0</v>
      </c>
      <c r="AG85" s="137">
        <f t="shared" ca="1" si="18"/>
        <v>0</v>
      </c>
      <c r="AH85" s="77">
        <f ca="1">IFERROR(__xludf.DUMMYFUNCTION("IMPORTRANGE(""https://docs.google.com/spreadsheets/d/1C3CXT74ZlgGe6_JY_1olB1XN4rF0dxEuIIF-xsYjHgg/edit?usp=sharing"",""พรบ!BV89"")"),0)</f>
        <v>0</v>
      </c>
      <c r="AI85" s="77">
        <f ca="1">IFERROR(__xludf.DUMMYFUNCTION("IMPORTRANGE(""https://docs.google.com/spreadsheets/d/1IYY_tgx_IHuhSq3AJ5eI5OnqOPBNLWSHKh2a30DoXe8/edit?usp=sharing"",""ภูเก็ต!J224"")"),0)</f>
        <v>0</v>
      </c>
      <c r="AJ85" s="137">
        <f t="shared" ca="1" si="20"/>
        <v>0</v>
      </c>
      <c r="AK85" s="114"/>
      <c r="AL85" s="114"/>
      <c r="AM85" s="114"/>
      <c r="AN85" s="114"/>
      <c r="AO85" s="114"/>
      <c r="AP85" s="114"/>
    </row>
    <row r="86" spans="1:42" ht="21" customHeight="1">
      <c r="A86" s="73">
        <v>10</v>
      </c>
      <c r="B86" s="74" t="s">
        <v>110</v>
      </c>
      <c r="C86" s="75">
        <f t="shared" ca="1" si="0"/>
        <v>0</v>
      </c>
      <c r="D86" s="76">
        <f t="shared" ca="1" si="59"/>
        <v>0</v>
      </c>
      <c r="E86" s="77">
        <f ca="1">IFERROR(__xludf.DUMMYFUNCTION("IMPORTRANGE(""https://docs.google.com/spreadsheets/d/1C3CXT74ZlgGe6_JY_1olB1XN4rF0dxEuIIF-xsYjHgg/edit?usp=sharing"",""พรบ!BO90"")"),0)</f>
        <v>0</v>
      </c>
      <c r="F86" s="77">
        <f ca="1">IFERROR(__xludf.DUMMYFUNCTION("IMPORTRANGE(""https://docs.google.com/spreadsheets/d/1C3CXT74ZlgGe6_JY_1olB1XN4rF0dxEuIIF-xsYjHgg/edit?usp=sharing"",""พรบ!BP90"")"),0)</f>
        <v>0</v>
      </c>
      <c r="G86" s="77">
        <f ca="1">IFERROR(__xludf.DUMMYFUNCTION("IMPORTRANGE(""https://docs.google.com/spreadsheets/d/1Yj_ptqi66GCucihVvJfMjLAmec39IyEx_6qawtMGysU/edit?usp=sharing"",""สบก!CR90"")"),0)</f>
        <v>0</v>
      </c>
      <c r="H86" s="77">
        <f ca="1">IFERROR(__xludf.DUMMYFUNCTION("IMPORTRANGE(""https://docs.google.com/spreadsheets/d/1Yj_ptqi66GCucihVvJfMjLAmec39IyEx_6qawtMGysU/edit?usp=shCTing"",""สบก!CT90"")"),0)</f>
        <v>0</v>
      </c>
      <c r="I86" s="77">
        <f t="shared" ca="1" si="3"/>
        <v>0</v>
      </c>
      <c r="J86" s="137">
        <f t="shared" ca="1" si="4"/>
        <v>0</v>
      </c>
      <c r="K86" s="77">
        <f ca="1">IFERROR(__xludf.DUMMYFUNCTION("IMPORTRANGE(""https://docs.google.com/spreadsheets/d/1Yj_ptqi66GCucihVvJfMjLAmec39IyEx_6qawtMGysU/edit?usp=sharing"",""สบก!CU90"")"),0)</f>
        <v>0</v>
      </c>
      <c r="L86" s="137">
        <f t="shared" ca="1" si="5"/>
        <v>0</v>
      </c>
      <c r="M86" s="137">
        <f t="shared" ca="1" si="6"/>
        <v>0</v>
      </c>
      <c r="N86" s="137">
        <f ca="1">IFERROR(__xludf.DUMMYFUNCTION("IMPORTRANGE(""https://docs.google.com/spreadsheets/d/1Yj_ptqi66GCucihVvJfMjLAmec39IyEx_6qawtMGysU/edit?usp=sharing"",""สบก!CV90"")"),0)</f>
        <v>0</v>
      </c>
      <c r="O86" s="137">
        <f t="shared" ca="1" si="7"/>
        <v>0</v>
      </c>
      <c r="P86" s="77">
        <f ca="1">IFERROR(__xludf.DUMMYFUNCTION("IMPORTRANGE(""https://docs.google.com/spreadsheets/d/1C3CXT74ZlgGe6_JY_1olB1XN4rF0dxEuIIF-xsYjHgg/edit?usp=sharing"",""พรบ!BQ90"")"),0)</f>
        <v>0</v>
      </c>
      <c r="Q86" s="77">
        <f ca="1">IFERROR(__xludf.DUMMYFUNCTION("IMPORTRANGE(""https://docs.google.com/spreadsheets/d/1IYY_tgx_IHuhSq3AJ5eI5OnqOPBNLWSHKh2a30DoXe8/edit?usp=sharing"",""ยะลา!J209"")"),0)</f>
        <v>0</v>
      </c>
      <c r="R86" s="137">
        <f t="shared" ca="1" si="9"/>
        <v>0</v>
      </c>
      <c r="S86" s="77">
        <f ca="1">IFERROR(__xludf.DUMMYFUNCTION("IMPORTRANGE(""https://docs.google.com/spreadsheets/d/1IYY_tgx_IHuhSq3AJ5eI5OnqOPBNLWSHKh2a30DoXe8/edit?usp=sharing"",""ยะลา!J211"")"),0)</f>
        <v>0</v>
      </c>
      <c r="T86" s="137">
        <f t="shared" ca="1" si="10"/>
        <v>0</v>
      </c>
      <c r="U86" s="75">
        <f t="shared" ca="1" si="11"/>
        <v>0</v>
      </c>
      <c r="V86" s="76">
        <f t="shared" ca="1" si="60"/>
        <v>0</v>
      </c>
      <c r="W86" s="77">
        <f ca="1">IFERROR(__xludf.DUMMYFUNCTION("IMPORTRANGE(""https://docs.google.com/spreadsheets/d/1C3CXT74ZlgGe6_JY_1olB1XN4rF0dxEuIIF-xsYjHgg/edit?usp=sharing"",""พรบ!BT90"")"),0)</f>
        <v>0</v>
      </c>
      <c r="X86" s="77">
        <f ca="1">IFERROR(__xludf.DUMMYFUNCTION("IMPORTRANGE(""https://docs.google.com/spreadsheets/d/1C3CXT74ZlgGe6_JY_1olB1XN4rF0dxEuIIF-xsYjHgg/edit?usp=sharing"",""พรบ!BU90"")"),0)</f>
        <v>0</v>
      </c>
      <c r="Y86" s="77">
        <f ca="1">IFERROR(__xludf.DUMMYFUNCTION("IMPORTRANGE(""https://docs.google.com/spreadsheets/d/1Yj_ptqi66GCucihVvJfMjLAmec39IyEx_6qawtMGysU/edit?usp=sharing"",""สบก!DA90"")"),0)</f>
        <v>0</v>
      </c>
      <c r="Z86" s="77">
        <f ca="1">IFERROR(__xludf.DUMMYFUNCTION("IMPORTRANGE(""https://docs.google.com/spreadsheets/d/1Yj_ptqi66GCucihVvJfMjLAmec39IyEx_6qawtMGysU/edit?usp=shDCing"",""สบก!DC90"")"),0)</f>
        <v>0</v>
      </c>
      <c r="AA86" s="77">
        <f t="shared" ca="1" si="14"/>
        <v>0</v>
      </c>
      <c r="AB86" s="137">
        <f t="shared" ca="1" si="15"/>
        <v>0</v>
      </c>
      <c r="AC86" s="77">
        <f ca="1">IFERROR(__xludf.DUMMYFUNCTION("IMPORTRANGE(""https://docs.google.com/spreadsheets/d/1Yj_ptqi66GCucihVvJfMjLAmec39IyEx_6qawtMGysU/edit?usp=sharing"",""สบก!DD90"")"),0)</f>
        <v>0</v>
      </c>
      <c r="AD86" s="137">
        <f t="shared" ca="1" si="16"/>
        <v>0</v>
      </c>
      <c r="AE86" s="137">
        <f t="shared" ca="1" si="17"/>
        <v>0</v>
      </c>
      <c r="AF86" s="137">
        <f ca="1">IFERROR(__xludf.DUMMYFUNCTION("IMPORTRANGE(""https://docs.google.com/spreadsheets/d/1Yj_ptqi66GCucihVvJfMjLAmec39IyEx_6qawtMGysU/edit?usp=sharing"",""สบก!DE90"")"),0)</f>
        <v>0</v>
      </c>
      <c r="AG86" s="137">
        <f t="shared" ca="1" si="18"/>
        <v>0</v>
      </c>
      <c r="AH86" s="77">
        <f ca="1">IFERROR(__xludf.DUMMYFUNCTION("IMPORTRANGE(""https://docs.google.com/spreadsheets/d/1C3CXT74ZlgGe6_JY_1olB1XN4rF0dxEuIIF-xsYjHgg/edit?usp=sharing"",""พรบ!BV90"")"),0)</f>
        <v>0</v>
      </c>
      <c r="AI86" s="77">
        <f ca="1">IFERROR(__xludf.DUMMYFUNCTION("IMPORTRANGE(""https://docs.google.com/spreadsheets/d/1IYY_tgx_IHuhSq3AJ5eI5OnqOPBNLWSHKh2a30DoXe8/edit?usp=sharing"",""ยะลา!J224"")"),0)</f>
        <v>0</v>
      </c>
      <c r="AJ86" s="137">
        <f t="shared" ca="1" si="20"/>
        <v>0</v>
      </c>
      <c r="AK86" s="114"/>
      <c r="AL86" s="114"/>
      <c r="AM86" s="114"/>
      <c r="AN86" s="114"/>
      <c r="AO86" s="114"/>
      <c r="AP86" s="114"/>
    </row>
    <row r="87" spans="1:42" ht="21" customHeight="1">
      <c r="A87" s="73">
        <v>11</v>
      </c>
      <c r="B87" s="74" t="s">
        <v>111</v>
      </c>
      <c r="C87" s="75">
        <f t="shared" ca="1" si="0"/>
        <v>0</v>
      </c>
      <c r="D87" s="76">
        <f t="shared" ca="1" si="59"/>
        <v>0</v>
      </c>
      <c r="E87" s="77">
        <f ca="1">IFERROR(__xludf.DUMMYFUNCTION("IMPORTRANGE(""https://docs.google.com/spreadsheets/d/1C3CXT74ZlgGe6_JY_1olB1XN4rF0dxEuIIF-xsYjHgg/edit?usp=sharing"",""พรบ!BO91"")"),0)</f>
        <v>0</v>
      </c>
      <c r="F87" s="77">
        <f ca="1">IFERROR(__xludf.DUMMYFUNCTION("IMPORTRANGE(""https://docs.google.com/spreadsheets/d/1C3CXT74ZlgGe6_JY_1olB1XN4rF0dxEuIIF-xsYjHgg/edit?usp=sharing"",""พรบ!BP91"")"),0)</f>
        <v>0</v>
      </c>
      <c r="G87" s="77">
        <f ca="1">IFERROR(__xludf.DUMMYFUNCTION("IMPORTRANGE(""https://docs.google.com/spreadsheets/d/1Yj_ptqi66GCucihVvJfMjLAmec39IyEx_6qawtMGysU/edit?usp=sharing"",""สบก!CR91"")"),0)</f>
        <v>0</v>
      </c>
      <c r="H87" s="77">
        <f ca="1">IFERROR(__xludf.DUMMYFUNCTION("IMPORTRANGE(""https://docs.google.com/spreadsheets/d/1Yj_ptqi66GCucihVvJfMjLAmec39IyEx_6qawtMGysU/edit?usp=shCTing"",""สบก!CT91"")"),0)</f>
        <v>0</v>
      </c>
      <c r="I87" s="77">
        <f t="shared" ca="1" si="3"/>
        <v>0</v>
      </c>
      <c r="J87" s="137">
        <f t="shared" ca="1" si="4"/>
        <v>0</v>
      </c>
      <c r="K87" s="77">
        <f ca="1">IFERROR(__xludf.DUMMYFUNCTION("IMPORTRANGE(""https://docs.google.com/spreadsheets/d/1Yj_ptqi66GCucihVvJfMjLAmec39IyEx_6qawtMGysU/edit?usp=sharing"",""สบก!CU91"")"),0)</f>
        <v>0</v>
      </c>
      <c r="L87" s="137">
        <f t="shared" ca="1" si="5"/>
        <v>0</v>
      </c>
      <c r="M87" s="137">
        <f t="shared" ca="1" si="6"/>
        <v>0</v>
      </c>
      <c r="N87" s="137">
        <f ca="1">IFERROR(__xludf.DUMMYFUNCTION("IMPORTRANGE(""https://docs.google.com/spreadsheets/d/1Yj_ptqi66GCucihVvJfMjLAmec39IyEx_6qawtMGysU/edit?usp=sharing"",""สบก!CV91"")"),0)</f>
        <v>0</v>
      </c>
      <c r="O87" s="137">
        <f t="shared" ca="1" si="7"/>
        <v>0</v>
      </c>
      <c r="P87" s="77">
        <f ca="1">IFERROR(__xludf.DUMMYFUNCTION("IMPORTRANGE(""https://docs.google.com/spreadsheets/d/1C3CXT74ZlgGe6_JY_1olB1XN4rF0dxEuIIF-xsYjHgg/edit?usp=sharing"",""พรบ!BQ91"")"),0)</f>
        <v>0</v>
      </c>
      <c r="Q87" s="77">
        <f ca="1">IFERROR(__xludf.DUMMYFUNCTION("IMPORTRANGE(""https://docs.google.com/spreadsheets/d/1IYY_tgx_IHuhSq3AJ5eI5OnqOPBNLWSHKh2a30DoXe8/edit?usp=sharing"",""ระนอง!J209"")"),0)</f>
        <v>0</v>
      </c>
      <c r="R87" s="137">
        <f t="shared" ca="1" si="9"/>
        <v>0</v>
      </c>
      <c r="S87" s="77">
        <f ca="1">IFERROR(__xludf.DUMMYFUNCTION("IMPORTRANGE(""https://docs.google.com/spreadsheets/d/1IYY_tgx_IHuhSq3AJ5eI5OnqOPBNLWSHKh2a30DoXe8/edit?usp=sharing"",""ระนอง!J211"")"),0)</f>
        <v>0</v>
      </c>
      <c r="T87" s="137">
        <f t="shared" ca="1" si="10"/>
        <v>0</v>
      </c>
      <c r="U87" s="75">
        <f t="shared" ca="1" si="11"/>
        <v>0</v>
      </c>
      <c r="V87" s="76">
        <f t="shared" ca="1" si="60"/>
        <v>0</v>
      </c>
      <c r="W87" s="77">
        <f ca="1">IFERROR(__xludf.DUMMYFUNCTION("IMPORTRANGE(""https://docs.google.com/spreadsheets/d/1C3CXT74ZlgGe6_JY_1olB1XN4rF0dxEuIIF-xsYjHgg/edit?usp=sharing"",""พรบ!BT91"")"),0)</f>
        <v>0</v>
      </c>
      <c r="X87" s="77">
        <f ca="1">IFERROR(__xludf.DUMMYFUNCTION("IMPORTRANGE(""https://docs.google.com/spreadsheets/d/1C3CXT74ZlgGe6_JY_1olB1XN4rF0dxEuIIF-xsYjHgg/edit?usp=sharing"",""พรบ!BU91"")"),0)</f>
        <v>0</v>
      </c>
      <c r="Y87" s="77">
        <f ca="1">IFERROR(__xludf.DUMMYFUNCTION("IMPORTRANGE(""https://docs.google.com/spreadsheets/d/1Yj_ptqi66GCucihVvJfMjLAmec39IyEx_6qawtMGysU/edit?usp=sharing"",""สบก!DA91"")"),0)</f>
        <v>0</v>
      </c>
      <c r="Z87" s="77">
        <f ca="1">IFERROR(__xludf.DUMMYFUNCTION("IMPORTRANGE(""https://docs.google.com/spreadsheets/d/1Yj_ptqi66GCucihVvJfMjLAmec39IyEx_6qawtMGysU/edit?usp=shDCing"",""สบก!DC91"")"),0)</f>
        <v>0</v>
      </c>
      <c r="AA87" s="77">
        <f t="shared" ca="1" si="14"/>
        <v>0</v>
      </c>
      <c r="AB87" s="137">
        <f t="shared" ca="1" si="15"/>
        <v>0</v>
      </c>
      <c r="AC87" s="77">
        <f ca="1">IFERROR(__xludf.DUMMYFUNCTION("IMPORTRANGE(""https://docs.google.com/spreadsheets/d/1Yj_ptqi66GCucihVvJfMjLAmec39IyEx_6qawtMGysU/edit?usp=sharing"",""สบก!DD91"")"),0)</f>
        <v>0</v>
      </c>
      <c r="AD87" s="137">
        <f t="shared" ca="1" si="16"/>
        <v>0</v>
      </c>
      <c r="AE87" s="137">
        <f t="shared" ca="1" si="17"/>
        <v>0</v>
      </c>
      <c r="AF87" s="137">
        <f ca="1">IFERROR(__xludf.DUMMYFUNCTION("IMPORTRANGE(""https://docs.google.com/spreadsheets/d/1Yj_ptqi66GCucihVvJfMjLAmec39IyEx_6qawtMGysU/edit?usp=sharing"",""สบก!DE91"")"),0)</f>
        <v>0</v>
      </c>
      <c r="AG87" s="137">
        <f t="shared" ca="1" si="18"/>
        <v>0</v>
      </c>
      <c r="AH87" s="77">
        <f ca="1">IFERROR(__xludf.DUMMYFUNCTION("IMPORTRANGE(""https://docs.google.com/spreadsheets/d/1C3CXT74ZlgGe6_JY_1olB1XN4rF0dxEuIIF-xsYjHgg/edit?usp=sharing"",""พรบ!BV91"")"),0)</f>
        <v>0</v>
      </c>
      <c r="AI87" s="77">
        <f ca="1">IFERROR(__xludf.DUMMYFUNCTION("IMPORTRANGE(""https://docs.google.com/spreadsheets/d/1IYY_tgx_IHuhSq3AJ5eI5OnqOPBNLWSHKh2a30DoXe8/edit?usp=sharing"",""ระนอง!J224"")"),0)</f>
        <v>0</v>
      </c>
      <c r="AJ87" s="137">
        <f t="shared" ca="1" si="20"/>
        <v>0</v>
      </c>
      <c r="AK87" s="114"/>
      <c r="AL87" s="114"/>
      <c r="AM87" s="114"/>
      <c r="AN87" s="114"/>
      <c r="AO87" s="114"/>
      <c r="AP87" s="114"/>
    </row>
    <row r="88" spans="1:42" ht="24" customHeight="1">
      <c r="A88" s="73">
        <v>12</v>
      </c>
      <c r="B88" s="74" t="s">
        <v>112</v>
      </c>
      <c r="C88" s="75">
        <f t="shared" ca="1" si="0"/>
        <v>81820</v>
      </c>
      <c r="D88" s="76">
        <f t="shared" ca="1" si="59"/>
        <v>81820</v>
      </c>
      <c r="E88" s="77">
        <f ca="1">IFERROR(__xludf.DUMMYFUNCTION("IMPORTRANGE(""https://docs.google.com/spreadsheets/d/1C3CXT74ZlgGe6_JY_1olB1XN4rF0dxEuIIF-xsYjHgg/edit?usp=sharing"",""พรบ!BO92"")"),0)</f>
        <v>0</v>
      </c>
      <c r="F88" s="77">
        <f ca="1">IFERROR(__xludf.DUMMYFUNCTION("IMPORTRANGE(""https://docs.google.com/spreadsheets/d/1C3CXT74ZlgGe6_JY_1olB1XN4rF0dxEuIIF-xsYjHgg/edit?usp=sharing"",""พรบ!BP92"")"),81820)</f>
        <v>81820</v>
      </c>
      <c r="G88" s="77">
        <f ca="1">IFERROR(__xludf.DUMMYFUNCTION("IMPORTRANGE(""https://docs.google.com/spreadsheets/d/1Yj_ptqi66GCucihVvJfMjLAmec39IyEx_6qawtMGysU/edit?usp=sharing"",""สบก!CR92"")"),0)</f>
        <v>0</v>
      </c>
      <c r="H88" s="77">
        <f ca="1">IFERROR(__xludf.DUMMYFUNCTION("IMPORTRANGE(""https://docs.google.com/spreadsheets/d/1Yj_ptqi66GCucihVvJfMjLAmec39IyEx_6qawtMGysU/edit?usp=shCTing"",""สบก!CT92"")"),81820)</f>
        <v>81820</v>
      </c>
      <c r="I88" s="77">
        <f t="shared" ca="1" si="3"/>
        <v>34760</v>
      </c>
      <c r="J88" s="137">
        <f t="shared" ca="1" si="4"/>
        <v>42.483500366658518</v>
      </c>
      <c r="K88" s="77">
        <f ca="1">IFERROR(__xludf.DUMMYFUNCTION("IMPORTRANGE(""https://docs.google.com/spreadsheets/d/1Yj_ptqi66GCucihVvJfMjLAmec39IyEx_6qawtMGysU/edit?usp=sharing"",""สบก!CU92"")"),34760)</f>
        <v>34760</v>
      </c>
      <c r="L88" s="137">
        <f t="shared" ca="1" si="5"/>
        <v>42.483500366658518</v>
      </c>
      <c r="M88" s="137">
        <f t="shared" ca="1" si="6"/>
        <v>42.483500366658518</v>
      </c>
      <c r="N88" s="137">
        <f ca="1">IFERROR(__xludf.DUMMYFUNCTION("IMPORTRANGE(""https://docs.google.com/spreadsheets/d/1Yj_ptqi66GCucihVvJfMjLAmec39IyEx_6qawtMGysU/edit?usp=sharing"",""สบก!CV92"")"),0)</f>
        <v>0</v>
      </c>
      <c r="O88" s="137">
        <f t="shared" ca="1" si="7"/>
        <v>0</v>
      </c>
      <c r="P88" s="77">
        <f ca="1">IFERROR(__xludf.DUMMYFUNCTION("IMPORTRANGE(""https://docs.google.com/spreadsheets/d/1C3CXT74ZlgGe6_JY_1olB1XN4rF0dxEuIIF-xsYjHgg/edit?usp=sharing"",""พรบ!BQ92"")"),15)</f>
        <v>15</v>
      </c>
      <c r="Q88" s="77">
        <f ca="1">IFERROR(__xludf.DUMMYFUNCTION("IMPORTRANGE(""https://docs.google.com/spreadsheets/d/1IYY_tgx_IHuhSq3AJ5eI5OnqOPBNLWSHKh2a30DoXe8/edit?usp=sharing"",""สงขลา!J209"")"),15)</f>
        <v>15</v>
      </c>
      <c r="R88" s="137">
        <f t="shared" ca="1" si="9"/>
        <v>100</v>
      </c>
      <c r="S88" s="77">
        <f ca="1">IFERROR(__xludf.DUMMYFUNCTION("IMPORTRANGE(""https://docs.google.com/spreadsheets/d/1IYY_tgx_IHuhSq3AJ5eI5OnqOPBNLWSHKh2a30DoXe8/edit?usp=sharing"",""สงขลา!J211"")"),0)</f>
        <v>0</v>
      </c>
      <c r="T88" s="137">
        <f t="shared" ca="1" si="10"/>
        <v>0</v>
      </c>
      <c r="U88" s="75">
        <f t="shared" ca="1" si="11"/>
        <v>1267600</v>
      </c>
      <c r="V88" s="76">
        <f t="shared" ca="1" si="60"/>
        <v>217600</v>
      </c>
      <c r="W88" s="77">
        <f ca="1">IFERROR(__xludf.DUMMYFUNCTION("IMPORTRANGE(""https://docs.google.com/spreadsheets/d/1C3CXT74ZlgGe6_JY_1olB1XN4rF0dxEuIIF-xsYjHgg/edit?usp=sharing"",""พรบ!BT92"")"),0)</f>
        <v>0</v>
      </c>
      <c r="X88" s="77">
        <f ca="1">IFERROR(__xludf.DUMMYFUNCTION("IMPORTRANGE(""https://docs.google.com/spreadsheets/d/1C3CXT74ZlgGe6_JY_1olB1XN4rF0dxEuIIF-xsYjHgg/edit?usp=sharing"",""พรบ!BU92"")"),217600)</f>
        <v>217600</v>
      </c>
      <c r="Y88" s="77">
        <f ca="1">IFERROR(__xludf.DUMMYFUNCTION("IMPORTRANGE(""https://docs.google.com/spreadsheets/d/1Yj_ptqi66GCucihVvJfMjLAmec39IyEx_6qawtMGysU/edit?usp=sharing"",""สบก!DA92"")"),1050000)</f>
        <v>1050000</v>
      </c>
      <c r="Z88" s="77">
        <f ca="1">IFERROR(__xludf.DUMMYFUNCTION("IMPORTRANGE(""https://docs.google.com/spreadsheets/d/1Yj_ptqi66GCucihVvJfMjLAmec39IyEx_6qawtMGysU/edit?usp=shDCing"",""สบก!DC92"")"),163200)</f>
        <v>163200</v>
      </c>
      <c r="AA88" s="77">
        <f t="shared" ca="1" si="14"/>
        <v>93970</v>
      </c>
      <c r="AB88" s="137">
        <f t="shared" ca="1" si="15"/>
        <v>7.4132218365414957</v>
      </c>
      <c r="AC88" s="77">
        <f ca="1">IFERROR(__xludf.DUMMYFUNCTION("IMPORTRANGE(""https://docs.google.com/spreadsheets/d/1Yj_ptqi66GCucihVvJfMjLAmec39IyEx_6qawtMGysU/edit?usp=sharing"",""สบก!DD92"")"),93970)</f>
        <v>93970</v>
      </c>
      <c r="AD88" s="137">
        <f t="shared" ca="1" si="16"/>
        <v>43.184742647058826</v>
      </c>
      <c r="AE88" s="137">
        <f t="shared" ca="1" si="17"/>
        <v>57.579656862745097</v>
      </c>
      <c r="AF88" s="137">
        <f ca="1">IFERROR(__xludf.DUMMYFUNCTION("IMPORTRANGE(""https://docs.google.com/spreadsheets/d/1Yj_ptqi66GCucihVvJfMjLAmec39IyEx_6qawtMGysU/edit?usp=sharing"",""สบก!DE92"")"),0)</f>
        <v>0</v>
      </c>
      <c r="AG88" s="137">
        <f t="shared" ca="1" si="18"/>
        <v>0</v>
      </c>
      <c r="AH88" s="77">
        <f ca="1">IFERROR(__xludf.DUMMYFUNCTION("IMPORTRANGE(""https://docs.google.com/spreadsheets/d/1C3CXT74ZlgGe6_JY_1olB1XN4rF0dxEuIIF-xsYjHgg/edit?usp=sharing"",""พรบ!BV92"")"),1)</f>
        <v>1</v>
      </c>
      <c r="AI88" s="77">
        <f ca="1">IFERROR(__xludf.DUMMYFUNCTION("IMPORTRANGE(""https://docs.google.com/spreadsheets/d/1IYY_tgx_IHuhSq3AJ5eI5OnqOPBNLWSHKh2a30DoXe8/edit?usp=sharing"",""สงขลา!J224"")"),1)</f>
        <v>1</v>
      </c>
      <c r="AJ88" s="137">
        <f t="shared" ca="1" si="20"/>
        <v>100</v>
      </c>
      <c r="AK88" s="114"/>
      <c r="AL88" s="114"/>
      <c r="AM88" s="114"/>
      <c r="AN88" s="114"/>
      <c r="AO88" s="114"/>
      <c r="AP88" s="114"/>
    </row>
    <row r="89" spans="1:42" ht="24" customHeight="1">
      <c r="A89" s="73">
        <v>13</v>
      </c>
      <c r="B89" s="74" t="s">
        <v>113</v>
      </c>
      <c r="C89" s="75">
        <f t="shared" ca="1" si="0"/>
        <v>0</v>
      </c>
      <c r="D89" s="76">
        <f t="shared" ca="1" si="59"/>
        <v>0</v>
      </c>
      <c r="E89" s="77">
        <f ca="1">IFERROR(__xludf.DUMMYFUNCTION("IMPORTRANGE(""https://docs.google.com/spreadsheets/d/1C3CXT74ZlgGe6_JY_1olB1XN4rF0dxEuIIF-xsYjHgg/edit?usp=sharing"",""พรบ!BO93"")"),0)</f>
        <v>0</v>
      </c>
      <c r="F89" s="77">
        <f ca="1">IFERROR(__xludf.DUMMYFUNCTION("IMPORTRANGE(""https://docs.google.com/spreadsheets/d/1C3CXT74ZlgGe6_JY_1olB1XN4rF0dxEuIIF-xsYjHgg/edit?usp=sharing"",""พรบ!BP93"")"),0)</f>
        <v>0</v>
      </c>
      <c r="G89" s="77">
        <f ca="1">IFERROR(__xludf.DUMMYFUNCTION("IMPORTRANGE(""https://docs.google.com/spreadsheets/d/1Yj_ptqi66GCucihVvJfMjLAmec39IyEx_6qawtMGysU/edit?usp=sharing"",""สบก!CR93"")"),0)</f>
        <v>0</v>
      </c>
      <c r="H89" s="77">
        <f ca="1">IFERROR(__xludf.DUMMYFUNCTION("IMPORTRANGE(""https://docs.google.com/spreadsheets/d/1Yj_ptqi66GCucihVvJfMjLAmec39IyEx_6qawtMGysU/edit?usp=shCTing"",""สบก!CT93"")"),0)</f>
        <v>0</v>
      </c>
      <c r="I89" s="77">
        <f t="shared" ca="1" si="3"/>
        <v>0</v>
      </c>
      <c r="J89" s="137">
        <f t="shared" ca="1" si="4"/>
        <v>0</v>
      </c>
      <c r="K89" s="77">
        <f ca="1">IFERROR(__xludf.DUMMYFUNCTION("IMPORTRANGE(""https://docs.google.com/spreadsheets/d/1Yj_ptqi66GCucihVvJfMjLAmec39IyEx_6qawtMGysU/edit?usp=sharing"",""สบก!CU93"")"),0)</f>
        <v>0</v>
      </c>
      <c r="L89" s="137">
        <f t="shared" ca="1" si="5"/>
        <v>0</v>
      </c>
      <c r="M89" s="137">
        <f t="shared" ca="1" si="6"/>
        <v>0</v>
      </c>
      <c r="N89" s="137">
        <f ca="1">IFERROR(__xludf.DUMMYFUNCTION("IMPORTRANGE(""https://docs.google.com/spreadsheets/d/1Yj_ptqi66GCucihVvJfMjLAmec39IyEx_6qawtMGysU/edit?usp=sharing"",""สบก!CV93"")"),0)</f>
        <v>0</v>
      </c>
      <c r="O89" s="137">
        <f t="shared" ca="1" si="7"/>
        <v>0</v>
      </c>
      <c r="P89" s="77">
        <f ca="1">IFERROR(__xludf.DUMMYFUNCTION("IMPORTRANGE(""https://docs.google.com/spreadsheets/d/1C3CXT74ZlgGe6_JY_1olB1XN4rF0dxEuIIF-xsYjHgg/edit?usp=sharing"",""พรบ!BQ93"")"),0)</f>
        <v>0</v>
      </c>
      <c r="Q89" s="77">
        <f ca="1">IFERROR(__xludf.DUMMYFUNCTION("IMPORTRANGE(""https://docs.google.com/spreadsheets/d/1IYY_tgx_IHuhSq3AJ5eI5OnqOPBNLWSHKh2a30DoXe8/edit?usp=sharing"",""สตูล!J209"")"),0)</f>
        <v>0</v>
      </c>
      <c r="R89" s="137">
        <f t="shared" ca="1" si="9"/>
        <v>0</v>
      </c>
      <c r="S89" s="77">
        <f ca="1">IFERROR(__xludf.DUMMYFUNCTION("IMPORTRANGE(""https://docs.google.com/spreadsheets/d/1IYY_tgx_IHuhSq3AJ5eI5OnqOPBNLWSHKh2a30DoXe8/edit?usp=sharing"",""สตูล!J211"")"),0)</f>
        <v>0</v>
      </c>
      <c r="T89" s="137">
        <f t="shared" ca="1" si="10"/>
        <v>0</v>
      </c>
      <c r="U89" s="75">
        <f t="shared" ca="1" si="11"/>
        <v>0</v>
      </c>
      <c r="V89" s="76">
        <f t="shared" ca="1" si="60"/>
        <v>0</v>
      </c>
      <c r="W89" s="77">
        <f ca="1">IFERROR(__xludf.DUMMYFUNCTION("IMPORTRANGE(""https://docs.google.com/spreadsheets/d/1C3CXT74ZlgGe6_JY_1olB1XN4rF0dxEuIIF-xsYjHgg/edit?usp=sharing"",""พรบ!BT93"")"),0)</f>
        <v>0</v>
      </c>
      <c r="X89" s="77">
        <f ca="1">IFERROR(__xludf.DUMMYFUNCTION("IMPORTRANGE(""https://docs.google.com/spreadsheets/d/1C3CXT74ZlgGe6_JY_1olB1XN4rF0dxEuIIF-xsYjHgg/edit?usp=sharing"",""พรบ!BU93"")"),0)</f>
        <v>0</v>
      </c>
      <c r="Y89" s="77">
        <f ca="1">IFERROR(__xludf.DUMMYFUNCTION("IMPORTRANGE(""https://docs.google.com/spreadsheets/d/1Yj_ptqi66GCucihVvJfMjLAmec39IyEx_6qawtMGysU/edit?usp=sharing"",""สบก!DA93"")"),0)</f>
        <v>0</v>
      </c>
      <c r="Z89" s="77">
        <f ca="1">IFERROR(__xludf.DUMMYFUNCTION("IMPORTRANGE(""https://docs.google.com/spreadsheets/d/1Yj_ptqi66GCucihVvJfMjLAmec39IyEx_6qawtMGysU/edit?usp=shDCing"",""สบก!DC93"")"),0)</f>
        <v>0</v>
      </c>
      <c r="AA89" s="77">
        <f t="shared" ca="1" si="14"/>
        <v>0</v>
      </c>
      <c r="AB89" s="137">
        <f t="shared" ca="1" si="15"/>
        <v>0</v>
      </c>
      <c r="AC89" s="77">
        <f ca="1">IFERROR(__xludf.DUMMYFUNCTION("IMPORTRANGE(""https://docs.google.com/spreadsheets/d/1Yj_ptqi66GCucihVvJfMjLAmec39IyEx_6qawtMGysU/edit?usp=sharing"",""สบก!DD93"")"),0)</f>
        <v>0</v>
      </c>
      <c r="AD89" s="137">
        <f t="shared" ca="1" si="16"/>
        <v>0</v>
      </c>
      <c r="AE89" s="137">
        <f t="shared" ca="1" si="17"/>
        <v>0</v>
      </c>
      <c r="AF89" s="137">
        <f ca="1">IFERROR(__xludf.DUMMYFUNCTION("IMPORTRANGE(""https://docs.google.com/spreadsheets/d/1Yj_ptqi66GCucihVvJfMjLAmec39IyEx_6qawtMGysU/edit?usp=sharing"",""สบก!DE93"")"),0)</f>
        <v>0</v>
      </c>
      <c r="AG89" s="137">
        <f t="shared" ca="1" si="18"/>
        <v>0</v>
      </c>
      <c r="AH89" s="77">
        <f ca="1">IFERROR(__xludf.DUMMYFUNCTION("IMPORTRANGE(""https://docs.google.com/spreadsheets/d/1C3CXT74ZlgGe6_JY_1olB1XN4rF0dxEuIIF-xsYjHgg/edit?usp=sharing"",""พรบ!BV93"")"),0)</f>
        <v>0</v>
      </c>
      <c r="AI89" s="77">
        <f ca="1">IFERROR(__xludf.DUMMYFUNCTION("IMPORTRANGE(""https://docs.google.com/spreadsheets/d/1IYY_tgx_IHuhSq3AJ5eI5OnqOPBNLWSHKh2a30DoXe8/edit?usp=sharing"",""สตูล!J224"")"),0)</f>
        <v>0</v>
      </c>
      <c r="AJ89" s="137">
        <f t="shared" ca="1" si="20"/>
        <v>0</v>
      </c>
      <c r="AK89" s="114"/>
      <c r="AL89" s="114"/>
      <c r="AM89" s="114"/>
      <c r="AN89" s="114"/>
      <c r="AO89" s="114"/>
      <c r="AP89" s="114"/>
    </row>
    <row r="90" spans="1:42" ht="24" customHeight="1">
      <c r="A90" s="84">
        <v>14</v>
      </c>
      <c r="B90" s="85" t="s">
        <v>114</v>
      </c>
      <c r="C90" s="86">
        <f t="shared" ca="1" si="0"/>
        <v>84260</v>
      </c>
      <c r="D90" s="87">
        <f t="shared" ca="1" si="59"/>
        <v>72260</v>
      </c>
      <c r="E90" s="88">
        <f ca="1">IFERROR(__xludf.DUMMYFUNCTION("IMPORTRANGE(""https://docs.google.com/spreadsheets/d/1C3CXT74ZlgGe6_JY_1olB1XN4rF0dxEuIIF-xsYjHgg/edit?usp=sharing"",""พรบ!BO94"")"),0)</f>
        <v>0</v>
      </c>
      <c r="F90" s="88">
        <f ca="1">IFERROR(__xludf.DUMMYFUNCTION("IMPORTRANGE(""https://docs.google.com/spreadsheets/d/1C3CXT74ZlgGe6_JY_1olB1XN4rF0dxEuIIF-xsYjHgg/edit?usp=sharing"",""พรบ!BP94"")"),72260)</f>
        <v>72260</v>
      </c>
      <c r="G90" s="88">
        <f ca="1">IFERROR(__xludf.DUMMYFUNCTION("IMPORTRANGE(""https://docs.google.com/spreadsheets/d/1Yj_ptqi66GCucihVvJfMjLAmec39IyEx_6qawtMGysU/edit?usp=sharing"",""สบก!CR94"")"),12000)</f>
        <v>12000</v>
      </c>
      <c r="H90" s="88">
        <f ca="1">IFERROR(__xludf.DUMMYFUNCTION("IMPORTRANGE(""https://docs.google.com/spreadsheets/d/1Yj_ptqi66GCucihVvJfMjLAmec39IyEx_6qawtMGysU/edit?usp=shCTing"",""สบก!CT94"")"),72260)</f>
        <v>72260</v>
      </c>
      <c r="I90" s="88">
        <f t="shared" ca="1" si="3"/>
        <v>43170</v>
      </c>
      <c r="J90" s="138">
        <f t="shared" ca="1" si="4"/>
        <v>51.234274863517683</v>
      </c>
      <c r="K90" s="88">
        <f ca="1">IFERROR(__xludf.DUMMYFUNCTION("IMPORTRANGE(""https://docs.google.com/spreadsheets/d/1Yj_ptqi66GCucihVvJfMjLAmec39IyEx_6qawtMGysU/edit?usp=sharing"",""สบก!CU94"")"),31170)</f>
        <v>31170</v>
      </c>
      <c r="L90" s="138">
        <f t="shared" ca="1" si="5"/>
        <v>43.135898145585386</v>
      </c>
      <c r="M90" s="138">
        <f t="shared" ca="1" si="6"/>
        <v>43.135898145585386</v>
      </c>
      <c r="N90" s="138">
        <f ca="1">IFERROR(__xludf.DUMMYFUNCTION("IMPORTRANGE(""https://docs.google.com/spreadsheets/d/1Yj_ptqi66GCucihVvJfMjLAmec39IyEx_6qawtMGysU/edit?usp=sharing"",""สบก!CV94"")"),12000)</f>
        <v>12000</v>
      </c>
      <c r="O90" s="138">
        <f t="shared" ca="1" si="7"/>
        <v>100</v>
      </c>
      <c r="P90" s="88">
        <f ca="1">IFERROR(__xludf.DUMMYFUNCTION("IMPORTRANGE(""https://docs.google.com/spreadsheets/d/1C3CXT74ZlgGe6_JY_1olB1XN4rF0dxEuIIF-xsYjHgg/edit?usp=sharing"",""พรบ!BQ94"")"),15)</f>
        <v>15</v>
      </c>
      <c r="Q90" s="88">
        <f ca="1">IFERROR(__xludf.DUMMYFUNCTION("IMPORTRANGE(""https://docs.google.com/spreadsheets/d/1IYY_tgx_IHuhSq3AJ5eI5OnqOPBNLWSHKh2a30DoXe8/edit?usp=sharing"",""สุราษฎร์ธานี!J209"")"),15)</f>
        <v>15</v>
      </c>
      <c r="R90" s="138">
        <f t="shared" ca="1" si="9"/>
        <v>100</v>
      </c>
      <c r="S90" s="88">
        <f ca="1">IFERROR(__xludf.DUMMYFUNCTION("IMPORTRANGE(""https://docs.google.com/spreadsheets/d/1IYY_tgx_IHuhSq3AJ5eI5OnqOPBNLWSHKh2a30DoXe8/edit?usp=sharing"",""สุราษฎร์ธานี!J211"")"),0)</f>
        <v>0</v>
      </c>
      <c r="T90" s="138">
        <f t="shared" ca="1" si="10"/>
        <v>0</v>
      </c>
      <c r="U90" s="86">
        <f t="shared" ca="1" si="11"/>
        <v>278600</v>
      </c>
      <c r="V90" s="87">
        <f t="shared" ca="1" si="60"/>
        <v>278600</v>
      </c>
      <c r="W90" s="88">
        <f ca="1">IFERROR(__xludf.DUMMYFUNCTION("IMPORTRANGE(""https://docs.google.com/spreadsheets/d/1C3CXT74ZlgGe6_JY_1olB1XN4rF0dxEuIIF-xsYjHgg/edit?usp=sharing"",""พรบ!BT94"")"),0)</f>
        <v>0</v>
      </c>
      <c r="X90" s="88">
        <f ca="1">IFERROR(__xludf.DUMMYFUNCTION("IMPORTRANGE(""https://docs.google.com/spreadsheets/d/1C3CXT74ZlgGe6_JY_1olB1XN4rF0dxEuIIF-xsYjHgg/edit?usp=sharing"",""พรบ!BU94"")"),278600)</f>
        <v>278600</v>
      </c>
      <c r="Y90" s="88">
        <f ca="1">IFERROR(__xludf.DUMMYFUNCTION("IMPORTRANGE(""https://docs.google.com/spreadsheets/d/1Yj_ptqi66GCucihVvJfMjLAmec39IyEx_6qawtMGysU/edit?usp=sharing"",""สบก!DA94"")"),0)</f>
        <v>0</v>
      </c>
      <c r="Z90" s="88">
        <f ca="1">IFERROR(__xludf.DUMMYFUNCTION("IMPORTRANGE(""https://docs.google.com/spreadsheets/d/1Yj_ptqi66GCucihVvJfMjLAmec39IyEx_6qawtMGysU/edit?usp=shDCing"",""สบก!DC94"")"),209000)</f>
        <v>209000</v>
      </c>
      <c r="AA90" s="88">
        <f t="shared" ca="1" si="14"/>
        <v>127497.4</v>
      </c>
      <c r="AB90" s="138">
        <f t="shared" ca="1" si="15"/>
        <v>45.763603732950465</v>
      </c>
      <c r="AC90" s="88">
        <f ca="1">IFERROR(__xludf.DUMMYFUNCTION("IMPORTRANGE(""https://docs.google.com/spreadsheets/d/1Yj_ptqi66GCucihVvJfMjLAmec39IyEx_6qawtMGysU/edit?usp=sharing"",""สบก!DD94"")"),127497.4)</f>
        <v>127497.4</v>
      </c>
      <c r="AD90" s="138">
        <f t="shared" ca="1" si="16"/>
        <v>45.763603732950465</v>
      </c>
      <c r="AE90" s="138">
        <f t="shared" ca="1" si="17"/>
        <v>61.003540669856463</v>
      </c>
      <c r="AF90" s="138">
        <f ca="1">IFERROR(__xludf.DUMMYFUNCTION("IMPORTRANGE(""https://docs.google.com/spreadsheets/d/1Yj_ptqi66GCucihVvJfMjLAmec39IyEx_6qawtMGysU/edit?usp=sharing"",""สบก!DE94"")"),0)</f>
        <v>0</v>
      </c>
      <c r="AG90" s="138">
        <f t="shared" ca="1" si="18"/>
        <v>0</v>
      </c>
      <c r="AH90" s="88">
        <f ca="1">IFERROR(__xludf.DUMMYFUNCTION("IMPORTRANGE(""https://docs.google.com/spreadsheets/d/1C3CXT74ZlgGe6_JY_1olB1XN4rF0dxEuIIF-xsYjHgg/edit?usp=sharing"",""พรบ!BV94"")"),1)</f>
        <v>1</v>
      </c>
      <c r="AI90" s="88">
        <f ca="1">IFERROR(__xludf.DUMMYFUNCTION("IMPORTRANGE(""https://docs.google.com/spreadsheets/d/1IYY_tgx_IHuhSq3AJ5eI5OnqOPBNLWSHKh2a30DoXe8/edit?usp=sharing"",""สุราษฎร์ธานี!J224"")"),1)</f>
        <v>1</v>
      </c>
      <c r="AJ90" s="138">
        <f t="shared" ca="1" si="20"/>
        <v>100</v>
      </c>
      <c r="AK90" s="114"/>
      <c r="AL90" s="114"/>
      <c r="AM90" s="114"/>
      <c r="AN90" s="114"/>
      <c r="AO90" s="114"/>
      <c r="AP90" s="114"/>
    </row>
    <row r="91" spans="1:42" ht="21" hidden="1" customHeight="1">
      <c r="A91" s="680" t="s">
        <v>115</v>
      </c>
      <c r="B91" s="652"/>
      <c r="C91" s="44">
        <f t="shared" ca="1" si="0"/>
        <v>999960</v>
      </c>
      <c r="D91" s="45">
        <f t="shared" ref="D91:H91" ca="1" si="61">+D92+D93+D94+D95+D96+D97+D98+D99+D100+D101+D102+D103+D104+D105</f>
        <v>999960</v>
      </c>
      <c r="E91" s="45">
        <f t="shared" ca="1" si="61"/>
        <v>209900</v>
      </c>
      <c r="F91" s="45">
        <f t="shared" ca="1" si="61"/>
        <v>790060</v>
      </c>
      <c r="G91" s="45">
        <f t="shared" ca="1" si="61"/>
        <v>0</v>
      </c>
      <c r="H91" s="45">
        <f t="shared" ca="1" si="61"/>
        <v>568560</v>
      </c>
      <c r="I91" s="45">
        <f t="shared" ca="1" si="3"/>
        <v>165574</v>
      </c>
      <c r="J91" s="46">
        <f t="shared" ca="1" si="4"/>
        <v>16.558062322492901</v>
      </c>
      <c r="K91" s="45">
        <f ca="1">+K92+K93+K94+K95+K96+K97+K98+K99+K100+K101+K102+K103+K104+K105</f>
        <v>165574</v>
      </c>
      <c r="L91" s="47">
        <f t="shared" ca="1" si="5"/>
        <v>16.558062322492901</v>
      </c>
      <c r="M91" s="47">
        <f t="shared" ca="1" si="6"/>
        <v>29.121640635992684</v>
      </c>
      <c r="N91" s="48">
        <f ca="1">+N92+N93+N94+N95+N96+N97+N98+N99+N100+N101+N102+N103+N104+N105</f>
        <v>0</v>
      </c>
      <c r="O91" s="47">
        <f t="shared" ca="1" si="7"/>
        <v>0</v>
      </c>
      <c r="P91" s="45">
        <f t="shared" ref="P91:Q91" ca="1" si="62">+P92+P93+P94+P95+P96+P97+P98+P99+P100+P101+P102+P103+P104+P105</f>
        <v>0</v>
      </c>
      <c r="Q91" s="45">
        <f t="shared" si="62"/>
        <v>0</v>
      </c>
      <c r="R91" s="127">
        <f t="shared" ca="1" si="9"/>
        <v>0</v>
      </c>
      <c r="S91" s="45">
        <f>+S92+S93+S94+S95+S96+S97+S98+S99+S100+S101+S102+S103+S104+S105</f>
        <v>0</v>
      </c>
      <c r="T91" s="127">
        <f t="shared" ca="1" si="10"/>
        <v>0</v>
      </c>
      <c r="U91" s="44">
        <f t="shared" ca="1" si="11"/>
        <v>3034400</v>
      </c>
      <c r="V91" s="45">
        <f t="shared" ref="V91:Z91" ca="1" si="63">+V92+V93+V94+V95+V96+V97+V98+V99+V100+V101+V102+V103+V104+V105</f>
        <v>3034400</v>
      </c>
      <c r="W91" s="45">
        <f t="shared" ca="1" si="63"/>
        <v>1100000</v>
      </c>
      <c r="X91" s="45">
        <f t="shared" ca="1" si="63"/>
        <v>1934400</v>
      </c>
      <c r="Y91" s="45">
        <f t="shared" ca="1" si="63"/>
        <v>0</v>
      </c>
      <c r="Z91" s="45">
        <f t="shared" ca="1" si="63"/>
        <v>2360400</v>
      </c>
      <c r="AA91" s="45">
        <f t="shared" ca="1" si="14"/>
        <v>842932.64</v>
      </c>
      <c r="AB91" s="127">
        <f t="shared" ca="1" si="15"/>
        <v>27.779219615080411</v>
      </c>
      <c r="AC91" s="45">
        <f ca="1">+AC92+AC93+AC94+AC95+AC96+AC97+AC98+AC99+AC100+AC101+AC102+AC103+AC104+AC105</f>
        <v>842932.64</v>
      </c>
      <c r="AD91" s="127">
        <f t="shared" ca="1" si="16"/>
        <v>27.779219615080411</v>
      </c>
      <c r="AE91" s="127">
        <f t="shared" ca="1" si="17"/>
        <v>35.711431960684628</v>
      </c>
      <c r="AF91" s="127">
        <f ca="1">+AF92+AF93+AF94+AF95+AF96+AF97+AF98+AF99+AF100+AF101+AF102+AF103+AF104+AF105</f>
        <v>0</v>
      </c>
      <c r="AG91" s="127">
        <f t="shared" ca="1" si="18"/>
        <v>0</v>
      </c>
      <c r="AH91" s="45">
        <f t="shared" ref="AH91:AI91" ca="1" si="64">+AH92+AH93+AH94+AH95+AH96+AH97+AH98+AH99+AH100+AH101+AH102+AH103+AH104+AH105</f>
        <v>0</v>
      </c>
      <c r="AI91" s="45">
        <f t="shared" si="64"/>
        <v>0</v>
      </c>
      <c r="AJ91" s="127">
        <f t="shared" ca="1" si="20"/>
        <v>0</v>
      </c>
      <c r="AK91" s="114"/>
      <c r="AL91" s="114"/>
      <c r="AM91" s="114"/>
      <c r="AN91" s="114"/>
      <c r="AO91" s="114"/>
      <c r="AP91" s="114"/>
    </row>
    <row r="92" spans="1:42" ht="24" hidden="1" customHeight="1">
      <c r="A92" s="102">
        <v>1</v>
      </c>
      <c r="B92" s="103" t="s">
        <v>116</v>
      </c>
      <c r="C92" s="65">
        <f t="shared" ca="1" si="0"/>
        <v>0</v>
      </c>
      <c r="D92" s="66">
        <f t="shared" ref="D92:D105" ca="1" si="65">+E92+F92</f>
        <v>0</v>
      </c>
      <c r="E92" s="67">
        <f ca="1">IFERROR(__xludf.DUMMYFUNCTION("IMPORTRANGE(""https://docs.google.com/spreadsheets/d/1C3CXT74ZlgGe6_JY_1olB1XN4rF0dxEuIIF-xsYjHgg/edit?usp=sharing"",""พรบ!BO96"")"),0)</f>
        <v>0</v>
      </c>
      <c r="F92" s="67">
        <f ca="1">IFERROR(__xludf.DUMMYFUNCTION("IMPORTRANGE(""https://docs.google.com/spreadsheets/d/1C3CXT74ZlgGe6_JY_1olB1XN4rF0dxEuIIF-xsYjHgg/edit?usp=sharing"",""พรบ!BP96"")"),0)</f>
        <v>0</v>
      </c>
      <c r="G92" s="67">
        <f ca="1">IFERROR(__xludf.DUMMYFUNCTION("IMPORTRANGE(""https://docs.google.com/spreadsheets/d/1Yj_ptqi66GCucihVvJfMjLAmec39IyEx_6qawtMGysU/edit?usp=sharing"",""สบก!CR96"")"),0)</f>
        <v>0</v>
      </c>
      <c r="H92" s="67">
        <f ca="1">IFERROR(__xludf.DUMMYFUNCTION("IMPORTRANGE(""https://docs.google.com/spreadsheets/d/1Yj_ptqi66GCucihVvJfMjLAmec39IyEx_6qawtMGysU/edit?usp=shCTing"",""สบก!CT96"")"),0)</f>
        <v>0</v>
      </c>
      <c r="I92" s="67">
        <f t="shared" ca="1" si="3"/>
        <v>0</v>
      </c>
      <c r="J92" s="136">
        <f t="shared" ca="1" si="4"/>
        <v>0</v>
      </c>
      <c r="K92" s="67">
        <f ca="1">IFERROR(__xludf.DUMMYFUNCTION("IMPORTRANGE(""https://docs.google.com/spreadsheets/d/1Yj_ptqi66GCucihVvJfMjLAmec39IyEx_6qawtMGysU/edit?usp=sharing"",""สบก!CU96"")"),0)</f>
        <v>0</v>
      </c>
      <c r="L92" s="136">
        <f t="shared" ca="1" si="5"/>
        <v>0</v>
      </c>
      <c r="M92" s="136">
        <f t="shared" ca="1" si="6"/>
        <v>0</v>
      </c>
      <c r="N92" s="136">
        <f ca="1">IFERROR(__xludf.DUMMYFUNCTION("IMPORTRANGE(""https://docs.google.com/spreadsheets/d/1Yj_ptqi66GCucihVvJfMjLAmec39IyEx_6qawtMGysU/edit?usp=sharing"",""สบก!CV96"")"),0)</f>
        <v>0</v>
      </c>
      <c r="O92" s="136">
        <f t="shared" ca="1" si="7"/>
        <v>0</v>
      </c>
      <c r="P92" s="67">
        <f ca="1">IFERROR(__xludf.DUMMYFUNCTION("IMPORTRANGE(""https://docs.google.com/spreadsheets/d/1C3CXT74ZlgGe6_JY_1olB1XN4rF0dxEuIIF-xsYjHgg/edit?usp=sharing"",""พรบ!BQ96"")"),0)</f>
        <v>0</v>
      </c>
      <c r="Q92" s="67">
        <v>0</v>
      </c>
      <c r="R92" s="136">
        <f t="shared" ca="1" si="9"/>
        <v>0</v>
      </c>
      <c r="S92" s="67">
        <v>0</v>
      </c>
      <c r="T92" s="136">
        <f t="shared" ca="1" si="10"/>
        <v>0</v>
      </c>
      <c r="U92" s="65">
        <f t="shared" ca="1" si="11"/>
        <v>0</v>
      </c>
      <c r="V92" s="66">
        <f t="shared" ref="V92:V105" ca="1" si="66">+W92+X92</f>
        <v>0</v>
      </c>
      <c r="W92" s="67">
        <f ca="1">IFERROR(__xludf.DUMMYFUNCTION("IMPORTRANGE(""https://docs.google.com/spreadsheets/d/1C3CXT74ZlgGe6_JY_1olB1XN4rF0dxEuIIF-xsYjHgg/edit?usp=sharing"",""พรบ!BT96"")"),0)</f>
        <v>0</v>
      </c>
      <c r="X92" s="67">
        <f ca="1">IFERROR(__xludf.DUMMYFUNCTION("IMPORTRANGE(""https://docs.google.com/spreadsheets/d/1C3CXT74ZlgGe6_JY_1olB1XN4rF0dxEuIIF-xsYjHgg/edit?usp=sharing"",""พรบ!BU96"")"),0)</f>
        <v>0</v>
      </c>
      <c r="Y92" s="67">
        <f ca="1">IFERROR(__xludf.DUMMYFUNCTION("IMPORTRANGE(""https://docs.google.com/spreadsheets/d/1Yj_ptqi66GCucihVvJfMjLAmec39IyEx_6qawtMGysU/edit?usp=sharing"",""สบก!DA96"")"),0)</f>
        <v>0</v>
      </c>
      <c r="Z92" s="67">
        <f ca="1">IFERROR(__xludf.DUMMYFUNCTION("IMPORTRANGE(""https://docs.google.com/spreadsheets/d/1Yj_ptqi66GCucihVvJfMjLAmec39IyEx_6qawtMGysU/edit?usp=shDCing"",""สบก!DC96"")"),0)</f>
        <v>0</v>
      </c>
      <c r="AA92" s="67">
        <f t="shared" ca="1" si="14"/>
        <v>0</v>
      </c>
      <c r="AB92" s="136">
        <f t="shared" ca="1" si="15"/>
        <v>0</v>
      </c>
      <c r="AC92" s="67">
        <f ca="1">IFERROR(__xludf.DUMMYFUNCTION("IMPORTRANGE(""https://docs.google.com/spreadsheets/d/1Yj_ptqi66GCucihVvJfMjLAmec39IyEx_6qawtMGysU/edit?usp=sharing"",""สบก!DD96"")"),0)</f>
        <v>0</v>
      </c>
      <c r="AD92" s="136">
        <f t="shared" ca="1" si="16"/>
        <v>0</v>
      </c>
      <c r="AE92" s="136">
        <f t="shared" ca="1" si="17"/>
        <v>0</v>
      </c>
      <c r="AF92" s="136">
        <f ca="1">IFERROR(__xludf.DUMMYFUNCTION("IMPORTRANGE(""https://docs.google.com/spreadsheets/d/1Yj_ptqi66GCucihVvJfMjLAmec39IyEx_6qawtMGysU/edit?usp=sharing"",""สบก!DE96"")"),0)</f>
        <v>0</v>
      </c>
      <c r="AG92" s="136">
        <f t="shared" ca="1" si="18"/>
        <v>0</v>
      </c>
      <c r="AH92" s="67">
        <f ca="1">IFERROR(__xludf.DUMMYFUNCTION("IMPORTRANGE(""https://docs.google.com/spreadsheets/d/1C3CXT74ZlgGe6_JY_1olB1XN4rF0dxEuIIF-xsYjHgg/edit?usp=sharing"",""พรบ!BV96"")"),0)</f>
        <v>0</v>
      </c>
      <c r="AI92" s="67">
        <v>0</v>
      </c>
      <c r="AJ92" s="136">
        <f t="shared" ca="1" si="20"/>
        <v>0</v>
      </c>
      <c r="AK92" s="114"/>
      <c r="AL92" s="114"/>
      <c r="AM92" s="114"/>
      <c r="AN92" s="114"/>
      <c r="AO92" s="114"/>
      <c r="AP92" s="114"/>
    </row>
    <row r="93" spans="1:42" ht="24" hidden="1" customHeight="1">
      <c r="A93" s="105">
        <v>2</v>
      </c>
      <c r="B93" s="106" t="s">
        <v>117</v>
      </c>
      <c r="C93" s="75">
        <f t="shared" ca="1" si="0"/>
        <v>0</v>
      </c>
      <c r="D93" s="76">
        <f t="shared" ca="1" si="65"/>
        <v>0</v>
      </c>
      <c r="E93" s="77">
        <f ca="1">IFERROR(__xludf.DUMMYFUNCTION("IMPORTRANGE(""https://docs.google.com/spreadsheets/d/1C3CXT74ZlgGe6_JY_1olB1XN4rF0dxEuIIF-xsYjHgg/edit?usp=sharing"",""พรบ!BO97"")"),0)</f>
        <v>0</v>
      </c>
      <c r="F93" s="77">
        <f ca="1">IFERROR(__xludf.DUMMYFUNCTION("IMPORTRANGE(""https://docs.google.com/spreadsheets/d/1C3CXT74ZlgGe6_JY_1olB1XN4rF0dxEuIIF-xsYjHgg/edit?usp=sharing"",""พรบ!BP97"")"),0)</f>
        <v>0</v>
      </c>
      <c r="G93" s="77">
        <f ca="1">IFERROR(__xludf.DUMMYFUNCTION("IMPORTRANGE(""https://docs.google.com/spreadsheets/d/1Yj_ptqi66GCucihVvJfMjLAmec39IyEx_6qawtMGysU/edit?usp=sharing"",""สบก!CR97"")"),0)</f>
        <v>0</v>
      </c>
      <c r="H93" s="77">
        <f ca="1">IFERROR(__xludf.DUMMYFUNCTION("IMPORTRANGE(""https://docs.google.com/spreadsheets/d/1Yj_ptqi66GCucihVvJfMjLAmec39IyEx_6qawtMGysU/edit?usp=shCTing"",""สบก!CT97"")"),0)</f>
        <v>0</v>
      </c>
      <c r="I93" s="77">
        <f t="shared" ca="1" si="3"/>
        <v>0</v>
      </c>
      <c r="J93" s="137">
        <f t="shared" ca="1" si="4"/>
        <v>0</v>
      </c>
      <c r="K93" s="77">
        <f ca="1">IFERROR(__xludf.DUMMYFUNCTION("IMPORTRANGE(""https://docs.google.com/spreadsheets/d/1Yj_ptqi66GCucihVvJfMjLAmec39IyEx_6qawtMGysU/edit?usp=sharing"",""สบก!CU97"")"),0)</f>
        <v>0</v>
      </c>
      <c r="L93" s="137">
        <f t="shared" ca="1" si="5"/>
        <v>0</v>
      </c>
      <c r="M93" s="137">
        <f t="shared" ca="1" si="6"/>
        <v>0</v>
      </c>
      <c r="N93" s="137">
        <f ca="1">IFERROR(__xludf.DUMMYFUNCTION("IMPORTRANGE(""https://docs.google.com/spreadsheets/d/1Yj_ptqi66GCucihVvJfMjLAmec39IyEx_6qawtMGysU/edit?usp=sharing"",""สบก!CV97"")"),0)</f>
        <v>0</v>
      </c>
      <c r="O93" s="137">
        <f t="shared" ca="1" si="7"/>
        <v>0</v>
      </c>
      <c r="P93" s="77">
        <f ca="1">IFERROR(__xludf.DUMMYFUNCTION("IMPORTRANGE(""https://docs.google.com/spreadsheets/d/1C3CXT74ZlgGe6_JY_1olB1XN4rF0dxEuIIF-xsYjHgg/edit?usp=sharing"",""พรบ!BQ97"")"),0)</f>
        <v>0</v>
      </c>
      <c r="Q93" s="77">
        <v>0</v>
      </c>
      <c r="R93" s="137">
        <f t="shared" ca="1" si="9"/>
        <v>0</v>
      </c>
      <c r="S93" s="77">
        <v>0</v>
      </c>
      <c r="T93" s="137">
        <f t="shared" ca="1" si="10"/>
        <v>0</v>
      </c>
      <c r="U93" s="75">
        <f t="shared" ca="1" si="11"/>
        <v>0</v>
      </c>
      <c r="V93" s="76">
        <f t="shared" ca="1" si="66"/>
        <v>0</v>
      </c>
      <c r="W93" s="77">
        <f ca="1">IFERROR(__xludf.DUMMYFUNCTION("IMPORTRANGE(""https://docs.google.com/spreadsheets/d/1C3CXT74ZlgGe6_JY_1olB1XN4rF0dxEuIIF-xsYjHgg/edit?usp=sharing"",""พรบ!BT97"")"),0)</f>
        <v>0</v>
      </c>
      <c r="X93" s="77">
        <f ca="1">IFERROR(__xludf.DUMMYFUNCTION("IMPORTRANGE(""https://docs.google.com/spreadsheets/d/1C3CXT74ZlgGe6_JY_1olB1XN4rF0dxEuIIF-xsYjHgg/edit?usp=sharing"",""พรบ!BU97"")"),0)</f>
        <v>0</v>
      </c>
      <c r="Y93" s="77">
        <f ca="1">IFERROR(__xludf.DUMMYFUNCTION("IMPORTRANGE(""https://docs.google.com/spreadsheets/d/1Yj_ptqi66GCucihVvJfMjLAmec39IyEx_6qawtMGysU/edit?usp=sharing"",""สบก!DA97"")"),0)</f>
        <v>0</v>
      </c>
      <c r="Z93" s="77">
        <f ca="1">IFERROR(__xludf.DUMMYFUNCTION("IMPORTRANGE(""https://docs.google.com/spreadsheets/d/1Yj_ptqi66GCucihVvJfMjLAmec39IyEx_6qawtMGysU/edit?usp=shDCing"",""สบก!DC97"")"),0)</f>
        <v>0</v>
      </c>
      <c r="AA93" s="77">
        <f t="shared" ca="1" si="14"/>
        <v>0</v>
      </c>
      <c r="AB93" s="137">
        <f t="shared" ca="1" si="15"/>
        <v>0</v>
      </c>
      <c r="AC93" s="77">
        <f ca="1">IFERROR(__xludf.DUMMYFUNCTION("IMPORTRANGE(""https://docs.google.com/spreadsheets/d/1Yj_ptqi66GCucihVvJfMjLAmec39IyEx_6qawtMGysU/edit?usp=sharing"",""สบก!DD97"")"),0)</f>
        <v>0</v>
      </c>
      <c r="AD93" s="137">
        <f t="shared" ca="1" si="16"/>
        <v>0</v>
      </c>
      <c r="AE93" s="137">
        <f t="shared" ca="1" si="17"/>
        <v>0</v>
      </c>
      <c r="AF93" s="137">
        <f ca="1">IFERROR(__xludf.DUMMYFUNCTION("IMPORTRANGE(""https://docs.google.com/spreadsheets/d/1Yj_ptqi66GCucihVvJfMjLAmec39IyEx_6qawtMGysU/edit?usp=sharing"",""สบก!DE97"")"),0)</f>
        <v>0</v>
      </c>
      <c r="AG93" s="137">
        <f t="shared" ca="1" si="18"/>
        <v>0</v>
      </c>
      <c r="AH93" s="77">
        <f ca="1">IFERROR(__xludf.DUMMYFUNCTION("IMPORTRANGE(""https://docs.google.com/spreadsheets/d/1C3CXT74ZlgGe6_JY_1olB1XN4rF0dxEuIIF-xsYjHgg/edit?usp=sharing"",""พรบ!BV97"")"),0)</f>
        <v>0</v>
      </c>
      <c r="AI93" s="77">
        <v>0</v>
      </c>
      <c r="AJ93" s="137">
        <f t="shared" ca="1" si="20"/>
        <v>0</v>
      </c>
      <c r="AK93" s="114"/>
      <c r="AL93" s="114"/>
      <c r="AM93" s="114"/>
      <c r="AN93" s="114"/>
      <c r="AO93" s="114"/>
      <c r="AP93" s="114"/>
    </row>
    <row r="94" spans="1:42" ht="24" hidden="1" customHeight="1">
      <c r="A94" s="105">
        <v>3</v>
      </c>
      <c r="B94" s="106" t="s">
        <v>118</v>
      </c>
      <c r="C94" s="75">
        <f t="shared" ca="1" si="0"/>
        <v>0</v>
      </c>
      <c r="D94" s="76">
        <f t="shared" ca="1" si="65"/>
        <v>0</v>
      </c>
      <c r="E94" s="77">
        <f ca="1">IFERROR(__xludf.DUMMYFUNCTION("IMPORTRANGE(""https://docs.google.com/spreadsheets/d/1C3CXT74ZlgGe6_JY_1olB1XN4rF0dxEuIIF-xsYjHgg/edit?usp=sharing"",""พรบ!BO98"")"),0)</f>
        <v>0</v>
      </c>
      <c r="F94" s="77">
        <f ca="1">IFERROR(__xludf.DUMMYFUNCTION("IMPORTRANGE(""https://docs.google.com/spreadsheets/d/1C3CXT74ZlgGe6_JY_1olB1XN4rF0dxEuIIF-xsYjHgg/edit?usp=sharing"",""พรบ!BP98"")"),0)</f>
        <v>0</v>
      </c>
      <c r="G94" s="77">
        <f ca="1">IFERROR(__xludf.DUMMYFUNCTION("IMPORTRANGE(""https://docs.google.com/spreadsheets/d/1Yj_ptqi66GCucihVvJfMjLAmec39IyEx_6qawtMGysU/edit?usp=sharing"",""สบก!CR98"")"),0)</f>
        <v>0</v>
      </c>
      <c r="H94" s="77">
        <f ca="1">IFERROR(__xludf.DUMMYFUNCTION("IMPORTRANGE(""https://docs.google.com/spreadsheets/d/1Yj_ptqi66GCucihVvJfMjLAmec39IyEx_6qawtMGysU/edit?usp=shCTing"",""สบก!CT98"")"),0)</f>
        <v>0</v>
      </c>
      <c r="I94" s="77">
        <f t="shared" ca="1" si="3"/>
        <v>0</v>
      </c>
      <c r="J94" s="137">
        <f t="shared" ca="1" si="4"/>
        <v>0</v>
      </c>
      <c r="K94" s="77">
        <f ca="1">IFERROR(__xludf.DUMMYFUNCTION("IMPORTRANGE(""https://docs.google.com/spreadsheets/d/1Yj_ptqi66GCucihVvJfMjLAmec39IyEx_6qawtMGysU/edit?usp=sharing"",""สบก!CU98"")"),0)</f>
        <v>0</v>
      </c>
      <c r="L94" s="137">
        <f t="shared" ca="1" si="5"/>
        <v>0</v>
      </c>
      <c r="M94" s="137">
        <f t="shared" ca="1" si="6"/>
        <v>0</v>
      </c>
      <c r="N94" s="137">
        <f ca="1">IFERROR(__xludf.DUMMYFUNCTION("IMPORTRANGE(""https://docs.google.com/spreadsheets/d/1Yj_ptqi66GCucihVvJfMjLAmec39IyEx_6qawtMGysU/edit?usp=sharing"",""สบก!CV98"")"),0)</f>
        <v>0</v>
      </c>
      <c r="O94" s="137">
        <f t="shared" ca="1" si="7"/>
        <v>0</v>
      </c>
      <c r="P94" s="77">
        <f ca="1">IFERROR(__xludf.DUMMYFUNCTION("IMPORTRANGE(""https://docs.google.com/spreadsheets/d/1C3CXT74ZlgGe6_JY_1olB1XN4rF0dxEuIIF-xsYjHgg/edit?usp=sharing"",""พรบ!BQ98"")"),0)</f>
        <v>0</v>
      </c>
      <c r="Q94" s="77">
        <v>0</v>
      </c>
      <c r="R94" s="137">
        <f t="shared" ca="1" si="9"/>
        <v>0</v>
      </c>
      <c r="S94" s="77">
        <v>0</v>
      </c>
      <c r="T94" s="137">
        <f t="shared" ca="1" si="10"/>
        <v>0</v>
      </c>
      <c r="U94" s="75">
        <f t="shared" ca="1" si="11"/>
        <v>0</v>
      </c>
      <c r="V94" s="76">
        <f t="shared" ca="1" si="66"/>
        <v>0</v>
      </c>
      <c r="W94" s="77">
        <f ca="1">IFERROR(__xludf.DUMMYFUNCTION("IMPORTRANGE(""https://docs.google.com/spreadsheets/d/1C3CXT74ZlgGe6_JY_1olB1XN4rF0dxEuIIF-xsYjHgg/edit?usp=sharing"",""พรบ!BT98"")"),0)</f>
        <v>0</v>
      </c>
      <c r="X94" s="77">
        <f ca="1">IFERROR(__xludf.DUMMYFUNCTION("IMPORTRANGE(""https://docs.google.com/spreadsheets/d/1C3CXT74ZlgGe6_JY_1olB1XN4rF0dxEuIIF-xsYjHgg/edit?usp=sharing"",""พรบ!BU98"")"),0)</f>
        <v>0</v>
      </c>
      <c r="Y94" s="77">
        <f ca="1">IFERROR(__xludf.DUMMYFUNCTION("IMPORTRANGE(""https://docs.google.com/spreadsheets/d/1Yj_ptqi66GCucihVvJfMjLAmec39IyEx_6qawtMGysU/edit?usp=sharing"",""สบก!DA98"")"),0)</f>
        <v>0</v>
      </c>
      <c r="Z94" s="77">
        <f ca="1">IFERROR(__xludf.DUMMYFUNCTION("IMPORTRANGE(""https://docs.google.com/spreadsheets/d/1Yj_ptqi66GCucihVvJfMjLAmec39IyEx_6qawtMGysU/edit?usp=shDCing"",""สบก!DC98"")"),466000)</f>
        <v>466000</v>
      </c>
      <c r="AA94" s="77">
        <f t="shared" ca="1" si="14"/>
        <v>141317</v>
      </c>
      <c r="AB94" s="137">
        <f t="shared" ca="1" si="15"/>
        <v>0</v>
      </c>
      <c r="AC94" s="77">
        <f ca="1">IFERROR(__xludf.DUMMYFUNCTION("IMPORTRANGE(""https://docs.google.com/spreadsheets/d/1Yj_ptqi66GCucihVvJfMjLAmec39IyEx_6qawtMGysU/edit?usp=sharing"",""สบก!DD98"")"),141317)</f>
        <v>141317</v>
      </c>
      <c r="AD94" s="137">
        <f t="shared" ca="1" si="16"/>
        <v>0</v>
      </c>
      <c r="AE94" s="137">
        <f t="shared" ca="1" si="17"/>
        <v>30.325536480686694</v>
      </c>
      <c r="AF94" s="137">
        <f ca="1">IFERROR(__xludf.DUMMYFUNCTION("IMPORTRANGE(""https://docs.google.com/spreadsheets/d/1Yj_ptqi66GCucihVvJfMjLAmec39IyEx_6qawtMGysU/edit?usp=sharing"",""สบก!DE98"")"),0)</f>
        <v>0</v>
      </c>
      <c r="AG94" s="137">
        <f t="shared" ca="1" si="18"/>
        <v>0</v>
      </c>
      <c r="AH94" s="77">
        <f ca="1">IFERROR(__xludf.DUMMYFUNCTION("IMPORTRANGE(""https://docs.google.com/spreadsheets/d/1C3CXT74ZlgGe6_JY_1olB1XN4rF0dxEuIIF-xsYjHgg/edit?usp=sharing"",""พรบ!BV98"")"),0)</f>
        <v>0</v>
      </c>
      <c r="AI94" s="77">
        <v>0</v>
      </c>
      <c r="AJ94" s="137">
        <f t="shared" ca="1" si="20"/>
        <v>0</v>
      </c>
      <c r="AK94" s="114"/>
      <c r="AL94" s="114"/>
      <c r="AM94" s="114"/>
      <c r="AN94" s="114"/>
      <c r="AO94" s="114"/>
      <c r="AP94" s="114"/>
    </row>
    <row r="95" spans="1:42" ht="24" hidden="1" customHeight="1">
      <c r="A95" s="105">
        <f t="shared" ref="A95:A105" si="67">+A94+1</f>
        <v>4</v>
      </c>
      <c r="B95" s="106" t="s">
        <v>119</v>
      </c>
      <c r="C95" s="75">
        <f t="shared" ca="1" si="0"/>
        <v>0</v>
      </c>
      <c r="D95" s="76">
        <f t="shared" ca="1" si="65"/>
        <v>0</v>
      </c>
      <c r="E95" s="77">
        <f ca="1">IFERROR(__xludf.DUMMYFUNCTION("IMPORTRANGE(""https://docs.google.com/spreadsheets/d/1C3CXT74ZlgGe6_JY_1olB1XN4rF0dxEuIIF-xsYjHgg/edit?usp=sharing"",""พรบ!BO99"")"),0)</f>
        <v>0</v>
      </c>
      <c r="F95" s="77">
        <f ca="1">IFERROR(__xludf.DUMMYFUNCTION("IMPORTRANGE(""https://docs.google.com/spreadsheets/d/1C3CXT74ZlgGe6_JY_1olB1XN4rF0dxEuIIF-xsYjHgg/edit?usp=sharing"",""พรบ!BP99"")"),0)</f>
        <v>0</v>
      </c>
      <c r="G95" s="77">
        <f ca="1">IFERROR(__xludf.DUMMYFUNCTION("IMPORTRANGE(""https://docs.google.com/spreadsheets/d/1Yj_ptqi66GCucihVvJfMjLAmec39IyEx_6qawtMGysU/edit?usp=sharing"",""สบก!CR99"")"),0)</f>
        <v>0</v>
      </c>
      <c r="H95" s="77">
        <f ca="1">IFERROR(__xludf.DUMMYFUNCTION("IMPORTRANGE(""https://docs.google.com/spreadsheets/d/1Yj_ptqi66GCucihVvJfMjLAmec39IyEx_6qawtMGysU/edit?usp=shCTing"",""สบก!CT99"")"),0)</f>
        <v>0</v>
      </c>
      <c r="I95" s="77">
        <f t="shared" ca="1" si="3"/>
        <v>0</v>
      </c>
      <c r="J95" s="137">
        <f t="shared" ca="1" si="4"/>
        <v>0</v>
      </c>
      <c r="K95" s="77">
        <f ca="1">IFERROR(__xludf.DUMMYFUNCTION("IMPORTRANGE(""https://docs.google.com/spreadsheets/d/1Yj_ptqi66GCucihVvJfMjLAmec39IyEx_6qawtMGysU/edit?usp=sharing"",""สบก!CU99"")"),0)</f>
        <v>0</v>
      </c>
      <c r="L95" s="137">
        <f t="shared" ca="1" si="5"/>
        <v>0</v>
      </c>
      <c r="M95" s="137">
        <f t="shared" ca="1" si="6"/>
        <v>0</v>
      </c>
      <c r="N95" s="137">
        <f ca="1">IFERROR(__xludf.DUMMYFUNCTION("IMPORTRANGE(""https://docs.google.com/spreadsheets/d/1Yj_ptqi66GCucihVvJfMjLAmec39IyEx_6qawtMGysU/edit?usp=sharing"",""สบก!CV99"")"),0)</f>
        <v>0</v>
      </c>
      <c r="O95" s="137">
        <f t="shared" ca="1" si="7"/>
        <v>0</v>
      </c>
      <c r="P95" s="77">
        <f ca="1">IFERROR(__xludf.DUMMYFUNCTION("IMPORTRANGE(""https://docs.google.com/spreadsheets/d/1C3CXT74ZlgGe6_JY_1olB1XN4rF0dxEuIIF-xsYjHgg/edit?usp=sharing"",""พรบ!BQ99"")"),0)</f>
        <v>0</v>
      </c>
      <c r="Q95" s="77">
        <v>0</v>
      </c>
      <c r="R95" s="137">
        <f t="shared" ca="1" si="9"/>
        <v>0</v>
      </c>
      <c r="S95" s="77">
        <v>0</v>
      </c>
      <c r="T95" s="137">
        <f t="shared" ca="1" si="10"/>
        <v>0</v>
      </c>
      <c r="U95" s="75">
        <f t="shared" ca="1" si="11"/>
        <v>400000</v>
      </c>
      <c r="V95" s="76">
        <f t="shared" ca="1" si="66"/>
        <v>400000</v>
      </c>
      <c r="W95" s="77">
        <f ca="1">IFERROR(__xludf.DUMMYFUNCTION("IMPORTRANGE(""https://docs.google.com/spreadsheets/d/1C3CXT74ZlgGe6_JY_1olB1XN4rF0dxEuIIF-xsYjHgg/edit?usp=sharing"",""พรบ!BT99"")"),400000)</f>
        <v>400000</v>
      </c>
      <c r="X95" s="77">
        <f ca="1">IFERROR(__xludf.DUMMYFUNCTION("IMPORTRANGE(""https://docs.google.com/spreadsheets/d/1C3CXT74ZlgGe6_JY_1olB1XN4rF0dxEuIIF-xsYjHgg/edit?usp=sharing"",""พรบ!BU99"")"),0)</f>
        <v>0</v>
      </c>
      <c r="Y95" s="77">
        <f ca="1">IFERROR(__xludf.DUMMYFUNCTION("IMPORTRANGE(""https://docs.google.com/spreadsheets/d/1Yj_ptqi66GCucihVvJfMjLAmec39IyEx_6qawtMGysU/edit?usp=sharing"",""สบก!DA99"")"),0)</f>
        <v>0</v>
      </c>
      <c r="Z95" s="77">
        <f ca="1">IFERROR(__xludf.DUMMYFUNCTION("IMPORTRANGE(""https://docs.google.com/spreadsheets/d/1Yj_ptqi66GCucihVvJfMjLAmec39IyEx_6qawtMGysU/edit?usp=shDCing"",""สบก!DC99"")"),180000)</f>
        <v>180000</v>
      </c>
      <c r="AA95" s="77">
        <f t="shared" ca="1" si="14"/>
        <v>14360</v>
      </c>
      <c r="AB95" s="137">
        <f t="shared" ca="1" si="15"/>
        <v>3.59</v>
      </c>
      <c r="AC95" s="77">
        <f ca="1">IFERROR(__xludf.DUMMYFUNCTION("IMPORTRANGE(""https://docs.google.com/spreadsheets/d/1Yj_ptqi66GCucihVvJfMjLAmec39IyEx_6qawtMGysU/edit?usp=sharing"",""สบก!DD99"")"),14360)</f>
        <v>14360</v>
      </c>
      <c r="AD95" s="137">
        <f t="shared" ca="1" si="16"/>
        <v>3.59</v>
      </c>
      <c r="AE95" s="137">
        <f t="shared" ca="1" si="17"/>
        <v>7.9777777777777779</v>
      </c>
      <c r="AF95" s="137">
        <f ca="1">IFERROR(__xludf.DUMMYFUNCTION("IMPORTRANGE(""https://docs.google.com/spreadsheets/d/1Yj_ptqi66GCucihVvJfMjLAmec39IyEx_6qawtMGysU/edit?usp=sharing"",""สบก!DE99"")"),0)</f>
        <v>0</v>
      </c>
      <c r="AG95" s="137">
        <f t="shared" ca="1" si="18"/>
        <v>0</v>
      </c>
      <c r="AH95" s="77">
        <f ca="1">IFERROR(__xludf.DUMMYFUNCTION("IMPORTRANGE(""https://docs.google.com/spreadsheets/d/1C3CXT74ZlgGe6_JY_1olB1XN4rF0dxEuIIF-xsYjHgg/edit?usp=sharing"",""พรบ!BV99"")"),0)</f>
        <v>0</v>
      </c>
      <c r="AI95" s="77">
        <v>0</v>
      </c>
      <c r="AJ95" s="137">
        <f t="shared" ca="1" si="20"/>
        <v>0</v>
      </c>
      <c r="AK95" s="114"/>
      <c r="AL95" s="114"/>
      <c r="AM95" s="114"/>
      <c r="AN95" s="114"/>
      <c r="AO95" s="114"/>
      <c r="AP95" s="114"/>
    </row>
    <row r="96" spans="1:42" ht="24" hidden="1" customHeight="1">
      <c r="A96" s="105">
        <f t="shared" si="67"/>
        <v>5</v>
      </c>
      <c r="B96" s="106" t="s">
        <v>120</v>
      </c>
      <c r="C96" s="75">
        <f t="shared" ca="1" si="0"/>
        <v>0</v>
      </c>
      <c r="D96" s="76">
        <f t="shared" ca="1" si="65"/>
        <v>0</v>
      </c>
      <c r="E96" s="77">
        <f ca="1">IFERROR(__xludf.DUMMYFUNCTION("IMPORTRANGE(""https://docs.google.com/spreadsheets/d/1C3CXT74ZlgGe6_JY_1olB1XN4rF0dxEuIIF-xsYjHgg/edit?usp=sharing"",""พรบ!BO100"")"),0)</f>
        <v>0</v>
      </c>
      <c r="F96" s="77">
        <f ca="1">IFERROR(__xludf.DUMMYFUNCTION("IMPORTRANGE(""https://docs.google.com/spreadsheets/d/1C3CXT74ZlgGe6_JY_1olB1XN4rF0dxEuIIF-xsYjHgg/edit?usp=sharing"",""พรบ!BP100"")"),0)</f>
        <v>0</v>
      </c>
      <c r="G96" s="77">
        <f ca="1">IFERROR(__xludf.DUMMYFUNCTION("IMPORTRANGE(""https://docs.google.com/spreadsheets/d/1Yj_ptqi66GCucihVvJfMjLAmec39IyEx_6qawtMGysU/edit?usp=sharing"",""สบก!CR100"")"),0)</f>
        <v>0</v>
      </c>
      <c r="H96" s="77">
        <f ca="1">IFERROR(__xludf.DUMMYFUNCTION("IMPORTRANGE(""https://docs.google.com/spreadsheets/d/1Yj_ptqi66GCucihVvJfMjLAmec39IyEx_6qawtMGysU/edit?usp=shCTing"",""สบก!CT100"")"),0)</f>
        <v>0</v>
      </c>
      <c r="I96" s="77">
        <f t="shared" ca="1" si="3"/>
        <v>0</v>
      </c>
      <c r="J96" s="137">
        <f t="shared" ca="1" si="4"/>
        <v>0</v>
      </c>
      <c r="K96" s="77">
        <f ca="1">IFERROR(__xludf.DUMMYFUNCTION("IMPORTRANGE(""https://docs.google.com/spreadsheets/d/1Yj_ptqi66GCucihVvJfMjLAmec39IyEx_6qawtMGysU/edit?usp=sharing"",""สบก!CU100"")"),0)</f>
        <v>0</v>
      </c>
      <c r="L96" s="137">
        <f t="shared" ca="1" si="5"/>
        <v>0</v>
      </c>
      <c r="M96" s="137">
        <f t="shared" ca="1" si="6"/>
        <v>0</v>
      </c>
      <c r="N96" s="137">
        <f ca="1">IFERROR(__xludf.DUMMYFUNCTION("IMPORTRANGE(""https://docs.google.com/spreadsheets/d/1Yj_ptqi66GCucihVvJfMjLAmec39IyEx_6qawtMGysU/edit?usp=sharing"",""สบก!CV100"")"),0)</f>
        <v>0</v>
      </c>
      <c r="O96" s="137">
        <f t="shared" ca="1" si="7"/>
        <v>0</v>
      </c>
      <c r="P96" s="77">
        <f ca="1">IFERROR(__xludf.DUMMYFUNCTION("IMPORTRANGE(""https://docs.google.com/spreadsheets/d/1C3CXT74ZlgGe6_JY_1olB1XN4rF0dxEuIIF-xsYjHgg/edit?usp=sharing"",""พรบ!BQ100"")"),0)</f>
        <v>0</v>
      </c>
      <c r="Q96" s="77">
        <v>0</v>
      </c>
      <c r="R96" s="137">
        <f t="shared" ca="1" si="9"/>
        <v>0</v>
      </c>
      <c r="S96" s="77">
        <v>0</v>
      </c>
      <c r="T96" s="137">
        <f t="shared" ca="1" si="10"/>
        <v>0</v>
      </c>
      <c r="U96" s="75">
        <f t="shared" ca="1" si="11"/>
        <v>0</v>
      </c>
      <c r="V96" s="76">
        <f t="shared" ca="1" si="66"/>
        <v>0</v>
      </c>
      <c r="W96" s="77">
        <f ca="1">IFERROR(__xludf.DUMMYFUNCTION("IMPORTRANGE(""https://docs.google.com/spreadsheets/d/1C3CXT74ZlgGe6_JY_1olB1XN4rF0dxEuIIF-xsYjHgg/edit?usp=sharing"",""พรบ!BT100"")"),0)</f>
        <v>0</v>
      </c>
      <c r="X96" s="77">
        <f ca="1">IFERROR(__xludf.DUMMYFUNCTION("IMPORTRANGE(""https://docs.google.com/spreadsheets/d/1C3CXT74ZlgGe6_JY_1olB1XN4rF0dxEuIIF-xsYjHgg/edit?usp=sharing"",""พรบ!BU100"")"),0)</f>
        <v>0</v>
      </c>
      <c r="Y96" s="77">
        <f ca="1">IFERROR(__xludf.DUMMYFUNCTION("IMPORTRANGE(""https://docs.google.com/spreadsheets/d/1Yj_ptqi66GCucihVvJfMjLAmec39IyEx_6qawtMGysU/edit?usp=sharing"",""สบก!DA100"")"),0)</f>
        <v>0</v>
      </c>
      <c r="Z96" s="77">
        <f ca="1">IFERROR(__xludf.DUMMYFUNCTION("IMPORTRANGE(""https://docs.google.com/spreadsheets/d/1Yj_ptqi66GCucihVvJfMjLAmec39IyEx_6qawtMGysU/edit?usp=shDCing"",""สบก!DC100"")"),0)</f>
        <v>0</v>
      </c>
      <c r="AA96" s="77">
        <f t="shared" ca="1" si="14"/>
        <v>0</v>
      </c>
      <c r="AB96" s="137">
        <f t="shared" ca="1" si="15"/>
        <v>0</v>
      </c>
      <c r="AC96" s="77">
        <f ca="1">IFERROR(__xludf.DUMMYFUNCTION("IMPORTRANGE(""https://docs.google.com/spreadsheets/d/1Yj_ptqi66GCucihVvJfMjLAmec39IyEx_6qawtMGysU/edit?usp=sharing"",""สบก!DD100"")"),0)</f>
        <v>0</v>
      </c>
      <c r="AD96" s="137">
        <f t="shared" ca="1" si="16"/>
        <v>0</v>
      </c>
      <c r="AE96" s="137">
        <f t="shared" ca="1" si="17"/>
        <v>0</v>
      </c>
      <c r="AF96" s="137">
        <f ca="1">IFERROR(__xludf.DUMMYFUNCTION("IMPORTRANGE(""https://docs.google.com/spreadsheets/d/1Yj_ptqi66GCucihVvJfMjLAmec39IyEx_6qawtMGysU/edit?usp=sharing"",""สบก!DE100"")"),0)</f>
        <v>0</v>
      </c>
      <c r="AG96" s="137">
        <f t="shared" ca="1" si="18"/>
        <v>0</v>
      </c>
      <c r="AH96" s="77">
        <f ca="1">IFERROR(__xludf.DUMMYFUNCTION("IMPORTRANGE(""https://docs.google.com/spreadsheets/d/1C3CXT74ZlgGe6_JY_1olB1XN4rF0dxEuIIF-xsYjHgg/edit?usp=sharing"",""พรบ!BV100"")"),0)</f>
        <v>0</v>
      </c>
      <c r="AI96" s="77">
        <v>0</v>
      </c>
      <c r="AJ96" s="137">
        <f t="shared" ca="1" si="20"/>
        <v>0</v>
      </c>
      <c r="AK96" s="114"/>
      <c r="AL96" s="114"/>
      <c r="AM96" s="114"/>
      <c r="AN96" s="114"/>
      <c r="AO96" s="114"/>
      <c r="AP96" s="114"/>
    </row>
    <row r="97" spans="1:42" ht="24" hidden="1" customHeight="1">
      <c r="A97" s="105">
        <f t="shared" si="67"/>
        <v>6</v>
      </c>
      <c r="B97" s="106" t="s">
        <v>121</v>
      </c>
      <c r="C97" s="75">
        <f t="shared" ca="1" si="0"/>
        <v>0</v>
      </c>
      <c r="D97" s="76">
        <f t="shared" ca="1" si="65"/>
        <v>0</v>
      </c>
      <c r="E97" s="77">
        <f ca="1">IFERROR(__xludf.DUMMYFUNCTION("IMPORTRANGE(""https://docs.google.com/spreadsheets/d/1C3CXT74ZlgGe6_JY_1olB1XN4rF0dxEuIIF-xsYjHgg/edit?usp=sharing"",""พรบ!BO101"")"),0)</f>
        <v>0</v>
      </c>
      <c r="F97" s="77">
        <f ca="1">IFERROR(__xludf.DUMMYFUNCTION("IMPORTRANGE(""https://docs.google.com/spreadsheets/d/1C3CXT74ZlgGe6_JY_1olB1XN4rF0dxEuIIF-xsYjHgg/edit?usp=sharing"",""พรบ!BP101"")"),0)</f>
        <v>0</v>
      </c>
      <c r="G97" s="77">
        <f ca="1">IFERROR(__xludf.DUMMYFUNCTION("IMPORTRANGE(""https://docs.google.com/spreadsheets/d/1Yj_ptqi66GCucihVvJfMjLAmec39IyEx_6qawtMGysU/edit?usp=sharing"",""สบก!CR101"")"),0)</f>
        <v>0</v>
      </c>
      <c r="H97" s="77">
        <f ca="1">IFERROR(__xludf.DUMMYFUNCTION("IMPORTRANGE(""https://docs.google.com/spreadsheets/d/1Yj_ptqi66GCucihVvJfMjLAmec39IyEx_6qawtMGysU/edit?usp=shCTing"",""สบก!CT101"")"),0)</f>
        <v>0</v>
      </c>
      <c r="I97" s="77">
        <f t="shared" ca="1" si="3"/>
        <v>0</v>
      </c>
      <c r="J97" s="137">
        <f t="shared" ca="1" si="4"/>
        <v>0</v>
      </c>
      <c r="K97" s="77">
        <f ca="1">IFERROR(__xludf.DUMMYFUNCTION("IMPORTRANGE(""https://docs.google.com/spreadsheets/d/1Yj_ptqi66GCucihVvJfMjLAmec39IyEx_6qawtMGysU/edit?usp=sharing"",""สบก!CU101"")"),0)</f>
        <v>0</v>
      </c>
      <c r="L97" s="137">
        <f t="shared" ca="1" si="5"/>
        <v>0</v>
      </c>
      <c r="M97" s="137">
        <f t="shared" ca="1" si="6"/>
        <v>0</v>
      </c>
      <c r="N97" s="137">
        <f ca="1">IFERROR(__xludf.DUMMYFUNCTION("IMPORTRANGE(""https://docs.google.com/spreadsheets/d/1Yj_ptqi66GCucihVvJfMjLAmec39IyEx_6qawtMGysU/edit?usp=sharing"",""สบก!CV101"")"),0)</f>
        <v>0</v>
      </c>
      <c r="O97" s="137">
        <f t="shared" ca="1" si="7"/>
        <v>0</v>
      </c>
      <c r="P97" s="77">
        <f ca="1">IFERROR(__xludf.DUMMYFUNCTION("IMPORTRANGE(""https://docs.google.com/spreadsheets/d/1C3CXT74ZlgGe6_JY_1olB1XN4rF0dxEuIIF-xsYjHgg/edit?usp=sharing"",""พรบ!BQ101"")"),0)</f>
        <v>0</v>
      </c>
      <c r="Q97" s="77">
        <v>0</v>
      </c>
      <c r="R97" s="137">
        <f t="shared" ca="1" si="9"/>
        <v>0</v>
      </c>
      <c r="S97" s="77">
        <v>0</v>
      </c>
      <c r="T97" s="137">
        <f t="shared" ca="1" si="10"/>
        <v>0</v>
      </c>
      <c r="U97" s="75">
        <f t="shared" ca="1" si="11"/>
        <v>1614400</v>
      </c>
      <c r="V97" s="76">
        <f t="shared" ca="1" si="66"/>
        <v>1614400</v>
      </c>
      <c r="W97" s="77">
        <f ca="1">IFERROR(__xludf.DUMMYFUNCTION("IMPORTRANGE(""https://docs.google.com/spreadsheets/d/1C3CXT74ZlgGe6_JY_1olB1XN4rF0dxEuIIF-xsYjHgg/edit?usp=sharing"",""พรบ!BT101"")"),0)</f>
        <v>0</v>
      </c>
      <c r="X97" s="77">
        <f ca="1">IFERROR(__xludf.DUMMYFUNCTION("IMPORTRANGE(""https://docs.google.com/spreadsheets/d/1C3CXT74ZlgGe6_JY_1olB1XN4rF0dxEuIIF-xsYjHgg/edit?usp=sharing"",""พรบ!BU101"")"),1614400)</f>
        <v>1614400</v>
      </c>
      <c r="Y97" s="77">
        <f ca="1">IFERROR(__xludf.DUMMYFUNCTION("IMPORTRANGE(""https://docs.google.com/spreadsheets/d/1Yj_ptqi66GCucihVvJfMjLAmec39IyEx_6qawtMGysU/edit?usp=sharing"",""สบก!DA101"")"),0)</f>
        <v>0</v>
      </c>
      <c r="Z97" s="77">
        <f ca="1">IFERROR(__xludf.DUMMYFUNCTION("IMPORTRANGE(""https://docs.google.com/spreadsheets/d/1Yj_ptqi66GCucihVvJfMjLAmec39IyEx_6qawtMGysU/edit?usp=shDCing"",""สบก!DC101"")"),952200)</f>
        <v>952200</v>
      </c>
      <c r="AA97" s="77">
        <f t="shared" ca="1" si="14"/>
        <v>229217.16</v>
      </c>
      <c r="AB97" s="137">
        <f t="shared" ca="1" si="15"/>
        <v>14.198287908820614</v>
      </c>
      <c r="AC97" s="77">
        <f ca="1">IFERROR(__xludf.DUMMYFUNCTION("IMPORTRANGE(""https://docs.google.com/spreadsheets/d/1Yj_ptqi66GCucihVvJfMjLAmec39IyEx_6qawtMGysU/edit?usp=sharing"",""สบก!DD101"")"),229217.16)</f>
        <v>229217.16</v>
      </c>
      <c r="AD97" s="137">
        <f t="shared" ca="1" si="16"/>
        <v>14.198287908820614</v>
      </c>
      <c r="AE97" s="137">
        <f t="shared" ca="1" si="17"/>
        <v>24.072375551354757</v>
      </c>
      <c r="AF97" s="137">
        <f ca="1">IFERROR(__xludf.DUMMYFUNCTION("IMPORTRANGE(""https://docs.google.com/spreadsheets/d/1Yj_ptqi66GCucihVvJfMjLAmec39IyEx_6qawtMGysU/edit?usp=sharing"",""สบก!DE101"")"),0)</f>
        <v>0</v>
      </c>
      <c r="AG97" s="137">
        <f t="shared" ca="1" si="18"/>
        <v>0</v>
      </c>
      <c r="AH97" s="77">
        <f ca="1">IFERROR(__xludf.DUMMYFUNCTION("IMPORTRANGE(""https://docs.google.com/spreadsheets/d/1C3CXT74ZlgGe6_JY_1olB1XN4rF0dxEuIIF-xsYjHgg/edit?usp=sharing"",""พรบ!BV101"")"),0)</f>
        <v>0</v>
      </c>
      <c r="AI97" s="77">
        <v>0</v>
      </c>
      <c r="AJ97" s="137">
        <f t="shared" ca="1" si="20"/>
        <v>0</v>
      </c>
      <c r="AK97" s="114"/>
      <c r="AL97" s="114"/>
      <c r="AM97" s="114"/>
      <c r="AN97" s="114"/>
      <c r="AO97" s="114"/>
      <c r="AP97" s="114"/>
    </row>
    <row r="98" spans="1:42" ht="24" hidden="1" customHeight="1">
      <c r="A98" s="105">
        <f t="shared" si="67"/>
        <v>7</v>
      </c>
      <c r="B98" s="106" t="s">
        <v>122</v>
      </c>
      <c r="C98" s="75">
        <f t="shared" ca="1" si="0"/>
        <v>999960</v>
      </c>
      <c r="D98" s="76">
        <f t="shared" ca="1" si="65"/>
        <v>999960</v>
      </c>
      <c r="E98" s="77">
        <f ca="1">IFERROR(__xludf.DUMMYFUNCTION("IMPORTRANGE(""https://docs.google.com/spreadsheets/d/1C3CXT74ZlgGe6_JY_1olB1XN4rF0dxEuIIF-xsYjHgg/edit?usp=sharing"",""พรบ!BO102"")"),209900)</f>
        <v>209900</v>
      </c>
      <c r="F98" s="77">
        <f ca="1">IFERROR(__xludf.DUMMYFUNCTION("IMPORTRANGE(""https://docs.google.com/spreadsheets/d/1C3CXT74ZlgGe6_JY_1olB1XN4rF0dxEuIIF-xsYjHgg/edit?usp=sharing"",""พรบ!BP102"")"),790060)</f>
        <v>790060</v>
      </c>
      <c r="G98" s="77">
        <f ca="1">IFERROR(__xludf.DUMMYFUNCTION("IMPORTRANGE(""https://docs.google.com/spreadsheets/d/1Yj_ptqi66GCucihVvJfMjLAmec39IyEx_6qawtMGysU/edit?usp=sharing"",""สบก!CR102"")"),0)</f>
        <v>0</v>
      </c>
      <c r="H98" s="77">
        <f ca="1">IFERROR(__xludf.DUMMYFUNCTION("IMPORTRANGE(""https://docs.google.com/spreadsheets/d/1Yj_ptqi66GCucihVvJfMjLAmec39IyEx_6qawtMGysU/edit?usp=shCTing"",""สบก!CT102"")"),568560)</f>
        <v>568560</v>
      </c>
      <c r="I98" s="77">
        <f t="shared" ca="1" si="3"/>
        <v>165574</v>
      </c>
      <c r="J98" s="137">
        <f t="shared" ca="1" si="4"/>
        <v>16.558062322492901</v>
      </c>
      <c r="K98" s="77">
        <f ca="1">IFERROR(__xludf.DUMMYFUNCTION("IMPORTRANGE(""https://docs.google.com/spreadsheets/d/1Yj_ptqi66GCucihVvJfMjLAmec39IyEx_6qawtMGysU/edit?usp=sharing"",""สบก!CU102"")"),165574)</f>
        <v>165574</v>
      </c>
      <c r="L98" s="137">
        <f t="shared" ca="1" si="5"/>
        <v>16.558062322492901</v>
      </c>
      <c r="M98" s="137">
        <f t="shared" ca="1" si="6"/>
        <v>29.121640635992684</v>
      </c>
      <c r="N98" s="137">
        <f ca="1">IFERROR(__xludf.DUMMYFUNCTION("IMPORTRANGE(""https://docs.google.com/spreadsheets/d/1Yj_ptqi66GCucihVvJfMjLAmec39IyEx_6qawtMGysU/edit?usp=sharing"",""สบก!CV102"")"),0)</f>
        <v>0</v>
      </c>
      <c r="O98" s="137">
        <f t="shared" ca="1" si="7"/>
        <v>0</v>
      </c>
      <c r="P98" s="77">
        <f ca="1">IFERROR(__xludf.DUMMYFUNCTION("IMPORTRANGE(""https://docs.google.com/spreadsheets/d/1C3CXT74ZlgGe6_JY_1olB1XN4rF0dxEuIIF-xsYjHgg/edit?usp=sharing"",""พรบ!BQ102"")"),0)</f>
        <v>0</v>
      </c>
      <c r="Q98" s="77">
        <v>0</v>
      </c>
      <c r="R98" s="137">
        <f t="shared" ca="1" si="9"/>
        <v>0</v>
      </c>
      <c r="S98" s="77">
        <v>0</v>
      </c>
      <c r="T98" s="137">
        <f t="shared" ca="1" si="10"/>
        <v>0</v>
      </c>
      <c r="U98" s="75">
        <f t="shared" ca="1" si="11"/>
        <v>0</v>
      </c>
      <c r="V98" s="76">
        <f t="shared" ca="1" si="66"/>
        <v>0</v>
      </c>
      <c r="W98" s="77">
        <f ca="1">IFERROR(__xludf.DUMMYFUNCTION("IMPORTRANGE(""https://docs.google.com/spreadsheets/d/1C3CXT74ZlgGe6_JY_1olB1XN4rF0dxEuIIF-xsYjHgg/edit?usp=sharing"",""พรบ!BT102"")"),0)</f>
        <v>0</v>
      </c>
      <c r="X98" s="77">
        <f ca="1">IFERROR(__xludf.DUMMYFUNCTION("IMPORTRANGE(""https://docs.google.com/spreadsheets/d/1C3CXT74ZlgGe6_JY_1olB1XN4rF0dxEuIIF-xsYjHgg/edit?usp=sharing"",""พรบ!BU102"")"),0)</f>
        <v>0</v>
      </c>
      <c r="Y98" s="77">
        <f ca="1">IFERROR(__xludf.DUMMYFUNCTION("IMPORTRANGE(""https://docs.google.com/spreadsheets/d/1Yj_ptqi66GCucihVvJfMjLAmec39IyEx_6qawtMGysU/edit?usp=sharing"",""สบก!DA102"")"),0)</f>
        <v>0</v>
      </c>
      <c r="Z98" s="77">
        <f ca="1">IFERROR(__xludf.DUMMYFUNCTION("IMPORTRANGE(""https://docs.google.com/spreadsheets/d/1Yj_ptqi66GCucihVvJfMjLAmec39IyEx_6qawtMGysU/edit?usp=shDCing"",""สบก!DC102"")"),0)</f>
        <v>0</v>
      </c>
      <c r="AA98" s="77">
        <f t="shared" ca="1" si="14"/>
        <v>0</v>
      </c>
      <c r="AB98" s="137">
        <f t="shared" ca="1" si="15"/>
        <v>0</v>
      </c>
      <c r="AC98" s="77">
        <f ca="1">IFERROR(__xludf.DUMMYFUNCTION("IMPORTRANGE(""https://docs.google.com/spreadsheets/d/1Yj_ptqi66GCucihVvJfMjLAmec39IyEx_6qawtMGysU/edit?usp=sharing"",""สบก!DD102"")"),0)</f>
        <v>0</v>
      </c>
      <c r="AD98" s="137">
        <f t="shared" ca="1" si="16"/>
        <v>0</v>
      </c>
      <c r="AE98" s="137">
        <f t="shared" ca="1" si="17"/>
        <v>0</v>
      </c>
      <c r="AF98" s="137">
        <f ca="1">IFERROR(__xludf.DUMMYFUNCTION("IMPORTRANGE(""https://docs.google.com/spreadsheets/d/1Yj_ptqi66GCucihVvJfMjLAmec39IyEx_6qawtMGysU/edit?usp=sharing"",""สบก!DE102"")"),0)</f>
        <v>0</v>
      </c>
      <c r="AG98" s="137">
        <f t="shared" ca="1" si="18"/>
        <v>0</v>
      </c>
      <c r="AH98" s="77">
        <f ca="1">IFERROR(__xludf.DUMMYFUNCTION("IMPORTRANGE(""https://docs.google.com/spreadsheets/d/1C3CXT74ZlgGe6_JY_1olB1XN4rF0dxEuIIF-xsYjHgg/edit?usp=sharing"",""พรบ!BV102"")"),0)</f>
        <v>0</v>
      </c>
      <c r="AI98" s="77">
        <v>0</v>
      </c>
      <c r="AJ98" s="137">
        <f t="shared" ca="1" si="20"/>
        <v>0</v>
      </c>
      <c r="AK98" s="114"/>
      <c r="AL98" s="114"/>
      <c r="AM98" s="114"/>
      <c r="AN98" s="114"/>
      <c r="AO98" s="114"/>
      <c r="AP98" s="114"/>
    </row>
    <row r="99" spans="1:42" ht="24" hidden="1" customHeight="1">
      <c r="A99" s="105">
        <f t="shared" si="67"/>
        <v>8</v>
      </c>
      <c r="B99" s="106" t="s">
        <v>123</v>
      </c>
      <c r="C99" s="75">
        <f t="shared" ca="1" si="0"/>
        <v>0</v>
      </c>
      <c r="D99" s="76">
        <f t="shared" ca="1" si="65"/>
        <v>0</v>
      </c>
      <c r="E99" s="77">
        <f ca="1">IFERROR(__xludf.DUMMYFUNCTION("IMPORTRANGE(""https://docs.google.com/spreadsheets/d/1C3CXT74ZlgGe6_JY_1olB1XN4rF0dxEuIIF-xsYjHgg/edit?usp=sharing"",""พรบ!BO103"")"),0)</f>
        <v>0</v>
      </c>
      <c r="F99" s="77">
        <f ca="1">IFERROR(__xludf.DUMMYFUNCTION("IMPORTRANGE(""https://docs.google.com/spreadsheets/d/1C3CXT74ZlgGe6_JY_1olB1XN4rF0dxEuIIF-xsYjHgg/edit?usp=sharing"",""พรบ!BP103"")"),0)</f>
        <v>0</v>
      </c>
      <c r="G99" s="77">
        <f ca="1">IFERROR(__xludf.DUMMYFUNCTION("IMPORTRANGE(""https://docs.google.com/spreadsheets/d/1Yj_ptqi66GCucihVvJfMjLAmec39IyEx_6qawtMGysU/edit?usp=sharing"",""สบก!CR103"")"),0)</f>
        <v>0</v>
      </c>
      <c r="H99" s="77">
        <f ca="1">IFERROR(__xludf.DUMMYFUNCTION("IMPORTRANGE(""https://docs.google.com/spreadsheets/d/1Yj_ptqi66GCucihVvJfMjLAmec39IyEx_6qawtMGysU/edit?usp=shCTing"",""สบก!CT103"")"),0)</f>
        <v>0</v>
      </c>
      <c r="I99" s="77">
        <f t="shared" ca="1" si="3"/>
        <v>0</v>
      </c>
      <c r="J99" s="137">
        <f t="shared" ca="1" si="4"/>
        <v>0</v>
      </c>
      <c r="K99" s="77">
        <f ca="1">IFERROR(__xludf.DUMMYFUNCTION("IMPORTRANGE(""https://docs.google.com/spreadsheets/d/1Yj_ptqi66GCucihVvJfMjLAmec39IyEx_6qawtMGysU/edit?usp=sharing"",""สบก!CU103"")"),0)</f>
        <v>0</v>
      </c>
      <c r="L99" s="137">
        <f t="shared" ca="1" si="5"/>
        <v>0</v>
      </c>
      <c r="M99" s="137">
        <f t="shared" ca="1" si="6"/>
        <v>0</v>
      </c>
      <c r="N99" s="137">
        <f ca="1">IFERROR(__xludf.DUMMYFUNCTION("IMPORTRANGE(""https://docs.google.com/spreadsheets/d/1Yj_ptqi66GCucihVvJfMjLAmec39IyEx_6qawtMGysU/edit?usp=sharing"",""สบก!CV103"")"),0)</f>
        <v>0</v>
      </c>
      <c r="O99" s="137">
        <f t="shared" ca="1" si="7"/>
        <v>0</v>
      </c>
      <c r="P99" s="77">
        <f ca="1">IFERROR(__xludf.DUMMYFUNCTION("IMPORTRANGE(""https://docs.google.com/spreadsheets/d/1C3CXT74ZlgGe6_JY_1olB1XN4rF0dxEuIIF-xsYjHgg/edit?usp=sharing"",""พรบ!BQ103"")"),0)</f>
        <v>0</v>
      </c>
      <c r="Q99" s="77">
        <v>0</v>
      </c>
      <c r="R99" s="137">
        <f t="shared" ca="1" si="9"/>
        <v>0</v>
      </c>
      <c r="S99" s="77">
        <v>0</v>
      </c>
      <c r="T99" s="137">
        <f t="shared" ca="1" si="10"/>
        <v>0</v>
      </c>
      <c r="U99" s="75">
        <f t="shared" ca="1" si="11"/>
        <v>1020000</v>
      </c>
      <c r="V99" s="76">
        <f t="shared" ca="1" si="66"/>
        <v>1020000</v>
      </c>
      <c r="W99" s="77">
        <f ca="1">IFERROR(__xludf.DUMMYFUNCTION("IMPORTRANGE(""https://docs.google.com/spreadsheets/d/1C3CXT74ZlgGe6_JY_1olB1XN4rF0dxEuIIF-xsYjHgg/edit?usp=sharing"",""พรบ!BT103"")"),700000)</f>
        <v>700000</v>
      </c>
      <c r="X99" s="77">
        <f ca="1">IFERROR(__xludf.DUMMYFUNCTION("IMPORTRANGE(""https://docs.google.com/spreadsheets/d/1C3CXT74ZlgGe6_JY_1olB1XN4rF0dxEuIIF-xsYjHgg/edit?usp=sharing"",""พรบ!BU103"")"),320000)</f>
        <v>320000</v>
      </c>
      <c r="Y99" s="77">
        <f ca="1">IFERROR(__xludf.DUMMYFUNCTION("IMPORTRANGE(""https://docs.google.com/spreadsheets/d/1Yj_ptqi66GCucihVvJfMjLAmec39IyEx_6qawtMGysU/edit?usp=sharing"",""สบก!DA103"")"),0)</f>
        <v>0</v>
      </c>
      <c r="Z99" s="77">
        <f ca="1">IFERROR(__xludf.DUMMYFUNCTION("IMPORTRANGE(""https://docs.google.com/spreadsheets/d/1Yj_ptqi66GCucihVvJfMjLAmec39IyEx_6qawtMGysU/edit?usp=shDCing"",""สบก!DC103"")"),762200)</f>
        <v>762200</v>
      </c>
      <c r="AA99" s="77">
        <f t="shared" ca="1" si="14"/>
        <v>458038.48</v>
      </c>
      <c r="AB99" s="137">
        <f t="shared" ca="1" si="15"/>
        <v>44.90573333333333</v>
      </c>
      <c r="AC99" s="77">
        <f ca="1">IFERROR(__xludf.DUMMYFUNCTION("IMPORTRANGE(""https://docs.google.com/spreadsheets/d/1Yj_ptqi66GCucihVvJfMjLAmec39IyEx_6qawtMGysU/edit?usp=sharing"",""สบก!DD103"")"),458038.48)</f>
        <v>458038.48</v>
      </c>
      <c r="AD99" s="137">
        <f t="shared" ca="1" si="16"/>
        <v>44.90573333333333</v>
      </c>
      <c r="AE99" s="137">
        <f t="shared" ca="1" si="17"/>
        <v>60.094263972710571</v>
      </c>
      <c r="AF99" s="137">
        <f ca="1">IFERROR(__xludf.DUMMYFUNCTION("IMPORTRANGE(""https://docs.google.com/spreadsheets/d/1Yj_ptqi66GCucihVvJfMjLAmec39IyEx_6qawtMGysU/edit?usp=sharing"",""สบก!DE103"")"),0)</f>
        <v>0</v>
      </c>
      <c r="AG99" s="137">
        <f t="shared" ca="1" si="18"/>
        <v>0</v>
      </c>
      <c r="AH99" s="77">
        <f ca="1">IFERROR(__xludf.DUMMYFUNCTION("IMPORTRANGE(""https://docs.google.com/spreadsheets/d/1C3CXT74ZlgGe6_JY_1olB1XN4rF0dxEuIIF-xsYjHgg/edit?usp=sharing"",""พรบ!BV103"")"),0)</f>
        <v>0</v>
      </c>
      <c r="AI99" s="77">
        <v>0</v>
      </c>
      <c r="AJ99" s="137">
        <f t="shared" ca="1" si="20"/>
        <v>0</v>
      </c>
      <c r="AK99" s="114"/>
      <c r="AL99" s="114"/>
      <c r="AM99" s="114"/>
      <c r="AN99" s="114"/>
      <c r="AO99" s="114"/>
      <c r="AP99" s="114"/>
    </row>
    <row r="100" spans="1:42" ht="24" hidden="1" customHeight="1">
      <c r="A100" s="105">
        <f t="shared" si="67"/>
        <v>9</v>
      </c>
      <c r="B100" s="106" t="s">
        <v>124</v>
      </c>
      <c r="C100" s="75">
        <f t="shared" ca="1" si="0"/>
        <v>0</v>
      </c>
      <c r="D100" s="76">
        <f t="shared" ca="1" si="65"/>
        <v>0</v>
      </c>
      <c r="E100" s="77">
        <f ca="1">IFERROR(__xludf.DUMMYFUNCTION("IMPORTRANGE(""https://docs.google.com/spreadsheets/d/1C3CXT74ZlgGe6_JY_1olB1XN4rF0dxEuIIF-xsYjHgg/edit?usp=sharing"",""พรบ!BO104"")"),0)</f>
        <v>0</v>
      </c>
      <c r="F100" s="77">
        <f ca="1">IFERROR(__xludf.DUMMYFUNCTION("IMPORTRANGE(""https://docs.google.com/spreadsheets/d/1C3CXT74ZlgGe6_JY_1olB1XN4rF0dxEuIIF-xsYjHgg/edit?usp=sharing"",""พรบ!BP104"")"),0)</f>
        <v>0</v>
      </c>
      <c r="G100" s="77">
        <f ca="1">IFERROR(__xludf.DUMMYFUNCTION("IMPORTRANGE(""https://docs.google.com/spreadsheets/d/1Yj_ptqi66GCucihVvJfMjLAmec39IyEx_6qawtMGysU/edit?usp=sharing"",""สบก!CR104"")"),0)</f>
        <v>0</v>
      </c>
      <c r="H100" s="77">
        <f ca="1">IFERROR(__xludf.DUMMYFUNCTION("IMPORTRANGE(""https://docs.google.com/spreadsheets/d/1Yj_ptqi66GCucihVvJfMjLAmec39IyEx_6qawtMGysU/edit?usp=shCTing"",""สบก!CT104"")"),0)</f>
        <v>0</v>
      </c>
      <c r="I100" s="77">
        <f t="shared" ca="1" si="3"/>
        <v>0</v>
      </c>
      <c r="J100" s="137">
        <f t="shared" ca="1" si="4"/>
        <v>0</v>
      </c>
      <c r="K100" s="77">
        <f ca="1">IFERROR(__xludf.DUMMYFUNCTION("IMPORTRANGE(""https://docs.google.com/spreadsheets/d/1Yj_ptqi66GCucihVvJfMjLAmec39IyEx_6qawtMGysU/edit?usp=sharing"",""สบก!CU104"")"),0)</f>
        <v>0</v>
      </c>
      <c r="L100" s="137">
        <f t="shared" ca="1" si="5"/>
        <v>0</v>
      </c>
      <c r="M100" s="137">
        <f t="shared" ca="1" si="6"/>
        <v>0</v>
      </c>
      <c r="N100" s="137">
        <f ca="1">IFERROR(__xludf.DUMMYFUNCTION("IMPORTRANGE(""https://docs.google.com/spreadsheets/d/1Yj_ptqi66GCucihVvJfMjLAmec39IyEx_6qawtMGysU/edit?usp=sharing"",""สบก!CV104"")"),0)</f>
        <v>0</v>
      </c>
      <c r="O100" s="137">
        <f t="shared" ca="1" si="7"/>
        <v>0</v>
      </c>
      <c r="P100" s="77">
        <f ca="1">IFERROR(__xludf.DUMMYFUNCTION("IMPORTRANGE(""https://docs.google.com/spreadsheets/d/1C3CXT74ZlgGe6_JY_1olB1XN4rF0dxEuIIF-xsYjHgg/edit?usp=sharing"",""พรบ!BQ104"")"),0)</f>
        <v>0</v>
      </c>
      <c r="Q100" s="77">
        <v>0</v>
      </c>
      <c r="R100" s="137">
        <f t="shared" ca="1" si="9"/>
        <v>0</v>
      </c>
      <c r="S100" s="77">
        <v>0</v>
      </c>
      <c r="T100" s="137">
        <f t="shared" ca="1" si="10"/>
        <v>0</v>
      </c>
      <c r="U100" s="75">
        <f t="shared" ca="1" si="11"/>
        <v>0</v>
      </c>
      <c r="V100" s="76">
        <f t="shared" ca="1" si="66"/>
        <v>0</v>
      </c>
      <c r="W100" s="77">
        <f ca="1">IFERROR(__xludf.DUMMYFUNCTION("IMPORTRANGE(""https://docs.google.com/spreadsheets/d/1C3CXT74ZlgGe6_JY_1olB1XN4rF0dxEuIIF-xsYjHgg/edit?usp=sharing"",""พรบ!BT104"")"),0)</f>
        <v>0</v>
      </c>
      <c r="X100" s="77">
        <f ca="1">IFERROR(__xludf.DUMMYFUNCTION("IMPORTRANGE(""https://docs.google.com/spreadsheets/d/1C3CXT74ZlgGe6_JY_1olB1XN4rF0dxEuIIF-xsYjHgg/edit?usp=sharing"",""พรบ!BU104"")"),0)</f>
        <v>0</v>
      </c>
      <c r="Y100" s="77">
        <f ca="1">IFERROR(__xludf.DUMMYFUNCTION("IMPORTRANGE(""https://docs.google.com/spreadsheets/d/1Yj_ptqi66GCucihVvJfMjLAmec39IyEx_6qawtMGysU/edit?usp=sharing"",""สบก!DA104"")"),0)</f>
        <v>0</v>
      </c>
      <c r="Z100" s="77">
        <f ca="1">IFERROR(__xludf.DUMMYFUNCTION("IMPORTRANGE(""https://docs.google.com/spreadsheets/d/1Yj_ptqi66GCucihVvJfMjLAmec39IyEx_6qawtMGysU/edit?usp=shDCing"",""สบก!DC104"")"),0)</f>
        <v>0</v>
      </c>
      <c r="AA100" s="77">
        <f t="shared" ca="1" si="14"/>
        <v>0</v>
      </c>
      <c r="AB100" s="137">
        <f t="shared" ca="1" si="15"/>
        <v>0</v>
      </c>
      <c r="AC100" s="77">
        <f ca="1">IFERROR(__xludf.DUMMYFUNCTION("IMPORTRANGE(""https://docs.google.com/spreadsheets/d/1Yj_ptqi66GCucihVvJfMjLAmec39IyEx_6qawtMGysU/edit?usp=sharing"",""สบก!DD104"")"),0)</f>
        <v>0</v>
      </c>
      <c r="AD100" s="137">
        <f t="shared" ca="1" si="16"/>
        <v>0</v>
      </c>
      <c r="AE100" s="137">
        <f t="shared" ca="1" si="17"/>
        <v>0</v>
      </c>
      <c r="AF100" s="137">
        <f ca="1">IFERROR(__xludf.DUMMYFUNCTION("IMPORTRANGE(""https://docs.google.com/spreadsheets/d/1Yj_ptqi66GCucihVvJfMjLAmec39IyEx_6qawtMGysU/edit?usp=sharing"",""สบก!DE104"")"),0)</f>
        <v>0</v>
      </c>
      <c r="AG100" s="137">
        <f t="shared" ca="1" si="18"/>
        <v>0</v>
      </c>
      <c r="AH100" s="77">
        <f ca="1">IFERROR(__xludf.DUMMYFUNCTION("IMPORTRANGE(""https://docs.google.com/spreadsheets/d/1C3CXT74ZlgGe6_JY_1olB1XN4rF0dxEuIIF-xsYjHgg/edit?usp=sharing"",""พรบ!BV104"")"),0)</f>
        <v>0</v>
      </c>
      <c r="AI100" s="77">
        <v>0</v>
      </c>
      <c r="AJ100" s="137">
        <f t="shared" ca="1" si="20"/>
        <v>0</v>
      </c>
      <c r="AK100" s="114"/>
      <c r="AL100" s="114"/>
      <c r="AM100" s="114"/>
      <c r="AN100" s="114"/>
      <c r="AO100" s="114"/>
      <c r="AP100" s="114"/>
    </row>
    <row r="101" spans="1:42" ht="24" hidden="1" customHeight="1">
      <c r="A101" s="105">
        <f t="shared" si="67"/>
        <v>10</v>
      </c>
      <c r="B101" s="106" t="s">
        <v>125</v>
      </c>
      <c r="C101" s="75">
        <f t="shared" ca="1" si="0"/>
        <v>0</v>
      </c>
      <c r="D101" s="76">
        <f t="shared" ca="1" si="65"/>
        <v>0</v>
      </c>
      <c r="E101" s="77">
        <f ca="1">IFERROR(__xludf.DUMMYFUNCTION("IMPORTRANGE(""https://docs.google.com/spreadsheets/d/1C3CXT74ZlgGe6_JY_1olB1XN4rF0dxEuIIF-xsYjHgg/edit?usp=sharing"",""พรบ!BO105"")"),0)</f>
        <v>0</v>
      </c>
      <c r="F101" s="77">
        <f ca="1">IFERROR(__xludf.DUMMYFUNCTION("IMPORTRANGE(""https://docs.google.com/spreadsheets/d/1C3CXT74ZlgGe6_JY_1olB1XN4rF0dxEuIIF-xsYjHgg/edit?usp=sharing"",""พรบ!BP105"")"),0)</f>
        <v>0</v>
      </c>
      <c r="G101" s="77">
        <f ca="1">IFERROR(__xludf.DUMMYFUNCTION("IMPORTRANGE(""https://docs.google.com/spreadsheets/d/1Yj_ptqi66GCucihVvJfMjLAmec39IyEx_6qawtMGysU/edit?usp=sharing"",""สบก!CR105"")"),0)</f>
        <v>0</v>
      </c>
      <c r="H101" s="77">
        <f ca="1">IFERROR(__xludf.DUMMYFUNCTION("IMPORTRANGE(""https://docs.google.com/spreadsheets/d/1Yj_ptqi66GCucihVvJfMjLAmec39IyEx_6qawtMGysU/edit?usp=shCTing"",""สบก!CT105"")"),0)</f>
        <v>0</v>
      </c>
      <c r="I101" s="77">
        <f t="shared" ca="1" si="3"/>
        <v>0</v>
      </c>
      <c r="J101" s="137">
        <f t="shared" ca="1" si="4"/>
        <v>0</v>
      </c>
      <c r="K101" s="77">
        <f ca="1">IFERROR(__xludf.DUMMYFUNCTION("IMPORTRANGE(""https://docs.google.com/spreadsheets/d/1Yj_ptqi66GCucihVvJfMjLAmec39IyEx_6qawtMGysU/edit?usp=sharing"",""สบก!CU105"")"),0)</f>
        <v>0</v>
      </c>
      <c r="L101" s="137">
        <f t="shared" ca="1" si="5"/>
        <v>0</v>
      </c>
      <c r="M101" s="137">
        <f t="shared" ca="1" si="6"/>
        <v>0</v>
      </c>
      <c r="N101" s="137">
        <f ca="1">IFERROR(__xludf.DUMMYFUNCTION("IMPORTRANGE(""https://docs.google.com/spreadsheets/d/1Yj_ptqi66GCucihVvJfMjLAmec39IyEx_6qawtMGysU/edit?usp=sharing"",""สบก!CV105"")"),0)</f>
        <v>0</v>
      </c>
      <c r="O101" s="137">
        <f t="shared" ca="1" si="7"/>
        <v>0</v>
      </c>
      <c r="P101" s="77">
        <f ca="1">IFERROR(__xludf.DUMMYFUNCTION("IMPORTRANGE(""https://docs.google.com/spreadsheets/d/1C3CXT74ZlgGe6_JY_1olB1XN4rF0dxEuIIF-xsYjHgg/edit?usp=sharing"",""พรบ!BQ105"")"),0)</f>
        <v>0</v>
      </c>
      <c r="Q101" s="77">
        <v>0</v>
      </c>
      <c r="R101" s="137">
        <f t="shared" ca="1" si="9"/>
        <v>0</v>
      </c>
      <c r="S101" s="77">
        <v>0</v>
      </c>
      <c r="T101" s="137">
        <f t="shared" ca="1" si="10"/>
        <v>0</v>
      </c>
      <c r="U101" s="75">
        <f t="shared" ca="1" si="11"/>
        <v>0</v>
      </c>
      <c r="V101" s="76">
        <f t="shared" ca="1" si="66"/>
        <v>0</v>
      </c>
      <c r="W101" s="77">
        <f ca="1">IFERROR(__xludf.DUMMYFUNCTION("IMPORTRANGE(""https://docs.google.com/spreadsheets/d/1C3CXT74ZlgGe6_JY_1olB1XN4rF0dxEuIIF-xsYjHgg/edit?usp=sharing"",""พรบ!BT105"")"),0)</f>
        <v>0</v>
      </c>
      <c r="X101" s="77">
        <f ca="1">IFERROR(__xludf.DUMMYFUNCTION("IMPORTRANGE(""https://docs.google.com/spreadsheets/d/1C3CXT74ZlgGe6_JY_1olB1XN4rF0dxEuIIF-xsYjHgg/edit?usp=sharing"",""พรบ!BU105"")"),0)</f>
        <v>0</v>
      </c>
      <c r="Y101" s="77">
        <f ca="1">IFERROR(__xludf.DUMMYFUNCTION("IMPORTRANGE(""https://docs.google.com/spreadsheets/d/1Yj_ptqi66GCucihVvJfMjLAmec39IyEx_6qawtMGysU/edit?usp=sharing"",""สบก!DA105"")"),0)</f>
        <v>0</v>
      </c>
      <c r="Z101" s="77">
        <f ca="1">IFERROR(__xludf.DUMMYFUNCTION("IMPORTRANGE(""https://docs.google.com/spreadsheets/d/1Yj_ptqi66GCucihVvJfMjLAmec39IyEx_6qawtMGysU/edit?usp=shDCing"",""สบก!DC105"")"),0)</f>
        <v>0</v>
      </c>
      <c r="AA101" s="77">
        <f t="shared" ca="1" si="14"/>
        <v>0</v>
      </c>
      <c r="AB101" s="137">
        <f t="shared" ca="1" si="15"/>
        <v>0</v>
      </c>
      <c r="AC101" s="77">
        <f ca="1">IFERROR(__xludf.DUMMYFUNCTION("IMPORTRANGE(""https://docs.google.com/spreadsheets/d/1Yj_ptqi66GCucihVvJfMjLAmec39IyEx_6qawtMGysU/edit?usp=sharing"",""สบก!DD105"")"),0)</f>
        <v>0</v>
      </c>
      <c r="AD101" s="137">
        <f t="shared" ca="1" si="16"/>
        <v>0</v>
      </c>
      <c r="AE101" s="137">
        <f t="shared" ca="1" si="17"/>
        <v>0</v>
      </c>
      <c r="AF101" s="137">
        <f ca="1">IFERROR(__xludf.DUMMYFUNCTION("IMPORTRANGE(""https://docs.google.com/spreadsheets/d/1Yj_ptqi66GCucihVvJfMjLAmec39IyEx_6qawtMGysU/edit?usp=sharing"",""สบก!DE105"")"),0)</f>
        <v>0</v>
      </c>
      <c r="AG101" s="137">
        <f t="shared" ca="1" si="18"/>
        <v>0</v>
      </c>
      <c r="AH101" s="77">
        <f ca="1">IFERROR(__xludf.DUMMYFUNCTION("IMPORTRANGE(""https://docs.google.com/spreadsheets/d/1C3CXT74ZlgGe6_JY_1olB1XN4rF0dxEuIIF-xsYjHgg/edit?usp=sharing"",""พรบ!BV105"")"),0)</f>
        <v>0</v>
      </c>
      <c r="AI101" s="77">
        <v>0</v>
      </c>
      <c r="AJ101" s="137">
        <f t="shared" ca="1" si="20"/>
        <v>0</v>
      </c>
      <c r="AK101" s="114"/>
      <c r="AL101" s="114"/>
      <c r="AM101" s="114"/>
      <c r="AN101" s="114"/>
      <c r="AO101" s="114"/>
      <c r="AP101" s="114"/>
    </row>
    <row r="102" spans="1:42" ht="24" hidden="1" customHeight="1">
      <c r="A102" s="105">
        <f t="shared" si="67"/>
        <v>11</v>
      </c>
      <c r="B102" s="106" t="s">
        <v>126</v>
      </c>
      <c r="C102" s="75">
        <f t="shared" ca="1" si="0"/>
        <v>0</v>
      </c>
      <c r="D102" s="76">
        <f t="shared" ca="1" si="65"/>
        <v>0</v>
      </c>
      <c r="E102" s="77">
        <f ca="1">IFERROR(__xludf.DUMMYFUNCTION("IMPORTRANGE(""https://docs.google.com/spreadsheets/d/1C3CXT74ZlgGe6_JY_1olB1XN4rF0dxEuIIF-xsYjHgg/edit?usp=sharing"",""พรบ!BO106"")"),0)</f>
        <v>0</v>
      </c>
      <c r="F102" s="77">
        <f ca="1">IFERROR(__xludf.DUMMYFUNCTION("IMPORTRANGE(""https://docs.google.com/spreadsheets/d/1C3CXT74ZlgGe6_JY_1olB1XN4rF0dxEuIIF-xsYjHgg/edit?usp=sharing"",""พรบ!BP106"")"),0)</f>
        <v>0</v>
      </c>
      <c r="G102" s="77">
        <f ca="1">IFERROR(__xludf.DUMMYFUNCTION("IMPORTRANGE(""https://docs.google.com/spreadsheets/d/1Yj_ptqi66GCucihVvJfMjLAmec39IyEx_6qawtMGysU/edit?usp=sharing"",""สบก!CR106"")"),0)</f>
        <v>0</v>
      </c>
      <c r="H102" s="77">
        <f ca="1">IFERROR(__xludf.DUMMYFUNCTION("IMPORTRANGE(""https://docs.google.com/spreadsheets/d/1Yj_ptqi66GCucihVvJfMjLAmec39IyEx_6qawtMGysU/edit?usp=shCTing"",""สบก!CT106"")"),0)</f>
        <v>0</v>
      </c>
      <c r="I102" s="77">
        <f t="shared" ca="1" si="3"/>
        <v>0</v>
      </c>
      <c r="J102" s="137">
        <f t="shared" ca="1" si="4"/>
        <v>0</v>
      </c>
      <c r="K102" s="77">
        <f ca="1">IFERROR(__xludf.DUMMYFUNCTION("IMPORTRANGE(""https://docs.google.com/spreadsheets/d/1Yj_ptqi66GCucihVvJfMjLAmec39IyEx_6qawtMGysU/edit?usp=sharing"",""สบก!CU106"")"),0)</f>
        <v>0</v>
      </c>
      <c r="L102" s="137">
        <f t="shared" ca="1" si="5"/>
        <v>0</v>
      </c>
      <c r="M102" s="137">
        <f t="shared" ca="1" si="6"/>
        <v>0</v>
      </c>
      <c r="N102" s="137">
        <f ca="1">IFERROR(__xludf.DUMMYFUNCTION("IMPORTRANGE(""https://docs.google.com/spreadsheets/d/1Yj_ptqi66GCucihVvJfMjLAmec39IyEx_6qawtMGysU/edit?usp=sharing"",""สบก!CV106"")"),0)</f>
        <v>0</v>
      </c>
      <c r="O102" s="137">
        <f t="shared" ca="1" si="7"/>
        <v>0</v>
      </c>
      <c r="P102" s="77">
        <f ca="1">IFERROR(__xludf.DUMMYFUNCTION("IMPORTRANGE(""https://docs.google.com/spreadsheets/d/1C3CXT74ZlgGe6_JY_1olB1XN4rF0dxEuIIF-xsYjHgg/edit?usp=sharing"",""พรบ!BQ106"")"),0)</f>
        <v>0</v>
      </c>
      <c r="Q102" s="77">
        <v>0</v>
      </c>
      <c r="R102" s="137">
        <f t="shared" ca="1" si="9"/>
        <v>0</v>
      </c>
      <c r="S102" s="77">
        <v>0</v>
      </c>
      <c r="T102" s="137">
        <f t="shared" ca="1" si="10"/>
        <v>0</v>
      </c>
      <c r="U102" s="75">
        <f t="shared" ca="1" si="11"/>
        <v>0</v>
      </c>
      <c r="V102" s="76">
        <f t="shared" ca="1" si="66"/>
        <v>0</v>
      </c>
      <c r="W102" s="77">
        <f ca="1">IFERROR(__xludf.DUMMYFUNCTION("IMPORTRANGE(""https://docs.google.com/spreadsheets/d/1C3CXT74ZlgGe6_JY_1olB1XN4rF0dxEuIIF-xsYjHgg/edit?usp=sharing"",""พรบ!BT106"")"),0)</f>
        <v>0</v>
      </c>
      <c r="X102" s="77">
        <f ca="1">IFERROR(__xludf.DUMMYFUNCTION("IMPORTRANGE(""https://docs.google.com/spreadsheets/d/1C3CXT74ZlgGe6_JY_1olB1XN4rF0dxEuIIF-xsYjHgg/edit?usp=sharing"",""พรบ!BU106"")"),0)</f>
        <v>0</v>
      </c>
      <c r="Y102" s="77">
        <f ca="1">IFERROR(__xludf.DUMMYFUNCTION("IMPORTRANGE(""https://docs.google.com/spreadsheets/d/1Yj_ptqi66GCucihVvJfMjLAmec39IyEx_6qawtMGysU/edit?usp=sharing"",""สบก!DA106"")"),0)</f>
        <v>0</v>
      </c>
      <c r="Z102" s="77">
        <f ca="1">IFERROR(__xludf.DUMMYFUNCTION("IMPORTRANGE(""https://docs.google.com/spreadsheets/d/1Yj_ptqi66GCucihVvJfMjLAmec39IyEx_6qawtMGysU/edit?usp=shDCing"",""สบก!DC106"")"),0)</f>
        <v>0</v>
      </c>
      <c r="AA102" s="77">
        <f t="shared" ca="1" si="14"/>
        <v>0</v>
      </c>
      <c r="AB102" s="137">
        <f t="shared" ca="1" si="15"/>
        <v>0</v>
      </c>
      <c r="AC102" s="77">
        <f ca="1">IFERROR(__xludf.DUMMYFUNCTION("IMPORTRANGE(""https://docs.google.com/spreadsheets/d/1Yj_ptqi66GCucihVvJfMjLAmec39IyEx_6qawtMGysU/edit?usp=sharing"",""สบก!DD106"")"),0)</f>
        <v>0</v>
      </c>
      <c r="AD102" s="137">
        <f t="shared" ca="1" si="16"/>
        <v>0</v>
      </c>
      <c r="AE102" s="137">
        <f t="shared" ca="1" si="17"/>
        <v>0</v>
      </c>
      <c r="AF102" s="137">
        <f ca="1">IFERROR(__xludf.DUMMYFUNCTION("IMPORTRANGE(""https://docs.google.com/spreadsheets/d/1Yj_ptqi66GCucihVvJfMjLAmec39IyEx_6qawtMGysU/edit?usp=sharing"",""สบก!DE106"")"),0)</f>
        <v>0</v>
      </c>
      <c r="AG102" s="137">
        <f t="shared" ca="1" si="18"/>
        <v>0</v>
      </c>
      <c r="AH102" s="77">
        <f ca="1">IFERROR(__xludf.DUMMYFUNCTION("IMPORTRANGE(""https://docs.google.com/spreadsheets/d/1C3CXT74ZlgGe6_JY_1olB1XN4rF0dxEuIIF-xsYjHgg/edit?usp=sharing"",""พรบ!BV106"")"),0)</f>
        <v>0</v>
      </c>
      <c r="AI102" s="77">
        <v>0</v>
      </c>
      <c r="AJ102" s="137">
        <f t="shared" ca="1" si="20"/>
        <v>0</v>
      </c>
      <c r="AK102" s="114"/>
      <c r="AL102" s="114"/>
      <c r="AM102" s="114"/>
      <c r="AN102" s="114"/>
      <c r="AO102" s="114"/>
      <c r="AP102" s="114"/>
    </row>
    <row r="103" spans="1:42" ht="24" hidden="1" customHeight="1">
      <c r="A103" s="105">
        <f t="shared" si="67"/>
        <v>12</v>
      </c>
      <c r="B103" s="106" t="s">
        <v>127</v>
      </c>
      <c r="C103" s="75">
        <f t="shared" ca="1" si="0"/>
        <v>0</v>
      </c>
      <c r="D103" s="76">
        <f t="shared" ca="1" si="65"/>
        <v>0</v>
      </c>
      <c r="E103" s="77">
        <f ca="1">IFERROR(__xludf.DUMMYFUNCTION("IMPORTRANGE(""https://docs.google.com/spreadsheets/d/1C3CXT74ZlgGe6_JY_1olB1XN4rF0dxEuIIF-xsYjHgg/edit?usp=sharing"",""พรบ!BO107"")"),0)</f>
        <v>0</v>
      </c>
      <c r="F103" s="77">
        <f ca="1">IFERROR(__xludf.DUMMYFUNCTION("IMPORTRANGE(""https://docs.google.com/spreadsheets/d/1C3CXT74ZlgGe6_JY_1olB1XN4rF0dxEuIIF-xsYjHgg/edit?usp=sharing"",""พรบ!BP107"")"),0)</f>
        <v>0</v>
      </c>
      <c r="G103" s="77">
        <f ca="1">IFERROR(__xludf.DUMMYFUNCTION("IMPORTRANGE(""https://docs.google.com/spreadsheets/d/1Yj_ptqi66GCucihVvJfMjLAmec39IyEx_6qawtMGysU/edit?usp=sharing"",""สบก!CR107"")"),0)</f>
        <v>0</v>
      </c>
      <c r="H103" s="77">
        <f ca="1">IFERROR(__xludf.DUMMYFUNCTION("IMPORTRANGE(""https://docs.google.com/spreadsheets/d/1Yj_ptqi66GCucihVvJfMjLAmec39IyEx_6qawtMGysU/edit?usp=shCTing"",""สบก!CT107"")"),0)</f>
        <v>0</v>
      </c>
      <c r="I103" s="77">
        <f t="shared" ca="1" si="3"/>
        <v>0</v>
      </c>
      <c r="J103" s="137">
        <f t="shared" ca="1" si="4"/>
        <v>0</v>
      </c>
      <c r="K103" s="77">
        <f ca="1">IFERROR(__xludf.DUMMYFUNCTION("IMPORTRANGE(""https://docs.google.com/spreadsheets/d/1Yj_ptqi66GCucihVvJfMjLAmec39IyEx_6qawtMGysU/edit?usp=sharing"",""สบก!CU107"")"),0)</f>
        <v>0</v>
      </c>
      <c r="L103" s="137">
        <f t="shared" ca="1" si="5"/>
        <v>0</v>
      </c>
      <c r="M103" s="137">
        <f t="shared" ca="1" si="6"/>
        <v>0</v>
      </c>
      <c r="N103" s="137">
        <f ca="1">IFERROR(__xludf.DUMMYFUNCTION("IMPORTRANGE(""https://docs.google.com/spreadsheets/d/1Yj_ptqi66GCucihVvJfMjLAmec39IyEx_6qawtMGysU/edit?usp=sharing"",""สบก!CV107"")"),0)</f>
        <v>0</v>
      </c>
      <c r="O103" s="137">
        <f t="shared" ca="1" si="7"/>
        <v>0</v>
      </c>
      <c r="P103" s="77">
        <f ca="1">IFERROR(__xludf.DUMMYFUNCTION("IMPORTRANGE(""https://docs.google.com/spreadsheets/d/1C3CXT74ZlgGe6_JY_1olB1XN4rF0dxEuIIF-xsYjHgg/edit?usp=sharing"",""พรบ!BQ107"")"),0)</f>
        <v>0</v>
      </c>
      <c r="Q103" s="77">
        <v>0</v>
      </c>
      <c r="R103" s="137">
        <f t="shared" ca="1" si="9"/>
        <v>0</v>
      </c>
      <c r="S103" s="77">
        <v>0</v>
      </c>
      <c r="T103" s="137">
        <f t="shared" ca="1" si="10"/>
        <v>0</v>
      </c>
      <c r="U103" s="75">
        <f t="shared" ca="1" si="11"/>
        <v>0</v>
      </c>
      <c r="V103" s="76">
        <f t="shared" ca="1" si="66"/>
        <v>0</v>
      </c>
      <c r="W103" s="77">
        <f ca="1">IFERROR(__xludf.DUMMYFUNCTION("IMPORTRANGE(""https://docs.google.com/spreadsheets/d/1C3CXT74ZlgGe6_JY_1olB1XN4rF0dxEuIIF-xsYjHgg/edit?usp=sharing"",""พรบ!BT107"")"),0)</f>
        <v>0</v>
      </c>
      <c r="X103" s="77">
        <f ca="1">IFERROR(__xludf.DUMMYFUNCTION("IMPORTRANGE(""https://docs.google.com/spreadsheets/d/1C3CXT74ZlgGe6_JY_1olB1XN4rF0dxEuIIF-xsYjHgg/edit?usp=sharing"",""พรบ!BU107"")"),0)</f>
        <v>0</v>
      </c>
      <c r="Y103" s="77">
        <f ca="1">IFERROR(__xludf.DUMMYFUNCTION("IMPORTRANGE(""https://docs.google.com/spreadsheets/d/1Yj_ptqi66GCucihVvJfMjLAmec39IyEx_6qawtMGysU/edit?usp=sharing"",""สบก!DA107"")"),0)</f>
        <v>0</v>
      </c>
      <c r="Z103" s="77">
        <f ca="1">IFERROR(__xludf.DUMMYFUNCTION("IMPORTRANGE(""https://docs.google.com/spreadsheets/d/1Yj_ptqi66GCucihVvJfMjLAmec39IyEx_6qawtMGysU/edit?usp=shDCing"",""สบก!DC107"")"),0)</f>
        <v>0</v>
      </c>
      <c r="AA103" s="77">
        <f t="shared" ca="1" si="14"/>
        <v>0</v>
      </c>
      <c r="AB103" s="137">
        <f t="shared" ca="1" si="15"/>
        <v>0</v>
      </c>
      <c r="AC103" s="77">
        <f ca="1">IFERROR(__xludf.DUMMYFUNCTION("IMPORTRANGE(""https://docs.google.com/spreadsheets/d/1Yj_ptqi66GCucihVvJfMjLAmec39IyEx_6qawtMGysU/edit?usp=sharing"",""สบก!DD107"")"),0)</f>
        <v>0</v>
      </c>
      <c r="AD103" s="137">
        <f t="shared" ca="1" si="16"/>
        <v>0</v>
      </c>
      <c r="AE103" s="137">
        <f t="shared" ca="1" si="17"/>
        <v>0</v>
      </c>
      <c r="AF103" s="137">
        <f ca="1">IFERROR(__xludf.DUMMYFUNCTION("IMPORTRANGE(""https://docs.google.com/spreadsheets/d/1Yj_ptqi66GCucihVvJfMjLAmec39IyEx_6qawtMGysU/edit?usp=sharing"",""สบก!DE107"")"),0)</f>
        <v>0</v>
      </c>
      <c r="AG103" s="137">
        <f t="shared" ca="1" si="18"/>
        <v>0</v>
      </c>
      <c r="AH103" s="77">
        <f ca="1">IFERROR(__xludf.DUMMYFUNCTION("IMPORTRANGE(""https://docs.google.com/spreadsheets/d/1C3CXT74ZlgGe6_JY_1olB1XN4rF0dxEuIIF-xsYjHgg/edit?usp=sharing"",""พรบ!BV107"")"),0)</f>
        <v>0</v>
      </c>
      <c r="AI103" s="77">
        <v>0</v>
      </c>
      <c r="AJ103" s="137">
        <f t="shared" ca="1" si="20"/>
        <v>0</v>
      </c>
      <c r="AK103" s="114"/>
      <c r="AL103" s="114"/>
      <c r="AM103" s="114"/>
      <c r="AN103" s="114"/>
      <c r="AO103" s="114"/>
      <c r="AP103" s="114"/>
    </row>
    <row r="104" spans="1:42" ht="24" hidden="1" customHeight="1">
      <c r="A104" s="105">
        <f t="shared" si="67"/>
        <v>13</v>
      </c>
      <c r="B104" s="106" t="s">
        <v>128</v>
      </c>
      <c r="C104" s="75">
        <f t="shared" ca="1" si="0"/>
        <v>0</v>
      </c>
      <c r="D104" s="76">
        <f t="shared" ca="1" si="65"/>
        <v>0</v>
      </c>
      <c r="E104" s="77">
        <f ca="1">IFERROR(__xludf.DUMMYFUNCTION("IMPORTRANGE(""https://docs.google.com/spreadsheets/d/1C3CXT74ZlgGe6_JY_1olB1XN4rF0dxEuIIF-xsYjHgg/edit?usp=sharing"",""พรบ!BO108"")"),0)</f>
        <v>0</v>
      </c>
      <c r="F104" s="77">
        <f ca="1">IFERROR(__xludf.DUMMYFUNCTION("IMPORTRANGE(""https://docs.google.com/spreadsheets/d/1C3CXT74ZlgGe6_JY_1olB1XN4rF0dxEuIIF-xsYjHgg/edit?usp=sharing"",""พรบ!BP108"")"),0)</f>
        <v>0</v>
      </c>
      <c r="G104" s="77">
        <f ca="1">IFERROR(__xludf.DUMMYFUNCTION("IMPORTRANGE(""https://docs.google.com/spreadsheets/d/1Yj_ptqi66GCucihVvJfMjLAmec39IyEx_6qawtMGysU/edit?usp=sharing"",""สบก!CR108"")"),0)</f>
        <v>0</v>
      </c>
      <c r="H104" s="77">
        <f ca="1">IFERROR(__xludf.DUMMYFUNCTION("IMPORTRANGE(""https://docs.google.com/spreadsheets/d/1Yj_ptqi66GCucihVvJfMjLAmec39IyEx_6qawtMGysU/edit?usp=shCTing"",""สบก!CT108"")"),0)</f>
        <v>0</v>
      </c>
      <c r="I104" s="77">
        <f t="shared" ca="1" si="3"/>
        <v>0</v>
      </c>
      <c r="J104" s="137">
        <f t="shared" ca="1" si="4"/>
        <v>0</v>
      </c>
      <c r="K104" s="77">
        <f ca="1">IFERROR(__xludf.DUMMYFUNCTION("IMPORTRANGE(""https://docs.google.com/spreadsheets/d/1Yj_ptqi66GCucihVvJfMjLAmec39IyEx_6qawtMGysU/edit?usp=sharing"",""สบก!CU108"")"),0)</f>
        <v>0</v>
      </c>
      <c r="L104" s="137">
        <f t="shared" ca="1" si="5"/>
        <v>0</v>
      </c>
      <c r="M104" s="137">
        <f t="shared" ca="1" si="6"/>
        <v>0</v>
      </c>
      <c r="N104" s="137">
        <f ca="1">IFERROR(__xludf.DUMMYFUNCTION("IMPORTRANGE(""https://docs.google.com/spreadsheets/d/1Yj_ptqi66GCucihVvJfMjLAmec39IyEx_6qawtMGysU/edit?usp=sharing"",""สบก!CV108"")"),0)</f>
        <v>0</v>
      </c>
      <c r="O104" s="137">
        <f t="shared" ca="1" si="7"/>
        <v>0</v>
      </c>
      <c r="P104" s="77">
        <f ca="1">IFERROR(__xludf.DUMMYFUNCTION("IMPORTRANGE(""https://docs.google.com/spreadsheets/d/1C3CXT74ZlgGe6_JY_1olB1XN4rF0dxEuIIF-xsYjHgg/edit?usp=sharing"",""พรบ!BQ108"")"),0)</f>
        <v>0</v>
      </c>
      <c r="Q104" s="77">
        <v>0</v>
      </c>
      <c r="R104" s="137">
        <f t="shared" ca="1" si="9"/>
        <v>0</v>
      </c>
      <c r="S104" s="77">
        <v>0</v>
      </c>
      <c r="T104" s="137">
        <f t="shared" ca="1" si="10"/>
        <v>0</v>
      </c>
      <c r="U104" s="75">
        <f t="shared" ca="1" si="11"/>
        <v>0</v>
      </c>
      <c r="V104" s="76">
        <f t="shared" ca="1" si="66"/>
        <v>0</v>
      </c>
      <c r="W104" s="77">
        <f ca="1">IFERROR(__xludf.DUMMYFUNCTION("IMPORTRANGE(""https://docs.google.com/spreadsheets/d/1C3CXT74ZlgGe6_JY_1olB1XN4rF0dxEuIIF-xsYjHgg/edit?usp=sharing"",""พรบ!BT108"")"),0)</f>
        <v>0</v>
      </c>
      <c r="X104" s="77">
        <f ca="1">IFERROR(__xludf.DUMMYFUNCTION("IMPORTRANGE(""https://docs.google.com/spreadsheets/d/1C3CXT74ZlgGe6_JY_1olB1XN4rF0dxEuIIF-xsYjHgg/edit?usp=sharing"",""พรบ!BU108"")"),0)</f>
        <v>0</v>
      </c>
      <c r="Y104" s="77">
        <f ca="1">IFERROR(__xludf.DUMMYFUNCTION("IMPORTRANGE(""https://docs.google.com/spreadsheets/d/1Yj_ptqi66GCucihVvJfMjLAmec39IyEx_6qawtMGysU/edit?usp=sharing"",""สบก!DA108"")"),0)</f>
        <v>0</v>
      </c>
      <c r="Z104" s="77">
        <f ca="1">IFERROR(__xludf.DUMMYFUNCTION("IMPORTRANGE(""https://docs.google.com/spreadsheets/d/1Yj_ptqi66GCucihVvJfMjLAmec39IyEx_6qawtMGysU/edit?usp=shDCing"",""สบก!DC108"")"),0)</f>
        <v>0</v>
      </c>
      <c r="AA104" s="77">
        <f t="shared" ca="1" si="14"/>
        <v>0</v>
      </c>
      <c r="AB104" s="137">
        <f t="shared" ca="1" si="15"/>
        <v>0</v>
      </c>
      <c r="AC104" s="77">
        <f ca="1">IFERROR(__xludf.DUMMYFUNCTION("IMPORTRANGE(""https://docs.google.com/spreadsheets/d/1Yj_ptqi66GCucihVvJfMjLAmec39IyEx_6qawtMGysU/edit?usp=sharing"",""สบก!DD108"")"),0)</f>
        <v>0</v>
      </c>
      <c r="AD104" s="137">
        <f t="shared" ca="1" si="16"/>
        <v>0</v>
      </c>
      <c r="AE104" s="137">
        <f t="shared" ca="1" si="17"/>
        <v>0</v>
      </c>
      <c r="AF104" s="137">
        <f ca="1">IFERROR(__xludf.DUMMYFUNCTION("IMPORTRANGE(""https://docs.google.com/spreadsheets/d/1Yj_ptqi66GCucihVvJfMjLAmec39IyEx_6qawtMGysU/edit?usp=sharing"",""สบก!DE108"")"),0)</f>
        <v>0</v>
      </c>
      <c r="AG104" s="137">
        <f t="shared" ca="1" si="18"/>
        <v>0</v>
      </c>
      <c r="AH104" s="77">
        <f ca="1">IFERROR(__xludf.DUMMYFUNCTION("IMPORTRANGE(""https://docs.google.com/spreadsheets/d/1C3CXT74ZlgGe6_JY_1olB1XN4rF0dxEuIIF-xsYjHgg/edit?usp=sharing"",""พรบ!BV108"")"),0)</f>
        <v>0</v>
      </c>
      <c r="AI104" s="77">
        <v>0</v>
      </c>
      <c r="AJ104" s="137">
        <f t="shared" ca="1" si="20"/>
        <v>0</v>
      </c>
      <c r="AK104" s="114"/>
      <c r="AL104" s="114"/>
      <c r="AM104" s="114"/>
      <c r="AN104" s="114"/>
      <c r="AO104" s="114"/>
      <c r="AP104" s="114"/>
    </row>
    <row r="105" spans="1:42" ht="24" hidden="1" customHeight="1">
      <c r="A105" s="107">
        <f t="shared" si="67"/>
        <v>14</v>
      </c>
      <c r="B105" s="108" t="s">
        <v>129</v>
      </c>
      <c r="C105" s="86">
        <f t="shared" ca="1" si="0"/>
        <v>0</v>
      </c>
      <c r="D105" s="87">
        <f t="shared" ca="1" si="65"/>
        <v>0</v>
      </c>
      <c r="E105" s="88">
        <f ca="1">IFERROR(__xludf.DUMMYFUNCTION("IMPORTRANGE(""https://docs.google.com/spreadsheets/d/1C3CXT74ZlgGe6_JY_1olB1XN4rF0dxEuIIF-xsYjHgg/edit?usp=sharing"",""พรบ!BO109"")"),0)</f>
        <v>0</v>
      </c>
      <c r="F105" s="88">
        <f ca="1">IFERROR(__xludf.DUMMYFUNCTION("IMPORTRANGE(""https://docs.google.com/spreadsheets/d/1C3CXT74ZlgGe6_JY_1olB1XN4rF0dxEuIIF-xsYjHgg/edit?usp=sharing"",""พรบ!BP109"")"),0)</f>
        <v>0</v>
      </c>
      <c r="G105" s="88">
        <f ca="1">IFERROR(__xludf.DUMMYFUNCTION("IMPORTRANGE(""https://docs.google.com/spreadsheets/d/1Yj_ptqi66GCucihVvJfMjLAmec39IyEx_6qawtMGysU/edit?usp=sharing"",""สบก!CR109"")"),0)</f>
        <v>0</v>
      </c>
      <c r="H105" s="88">
        <f ca="1">IFERROR(__xludf.DUMMYFUNCTION("IMPORTRANGE(""https://docs.google.com/spreadsheets/d/1Yj_ptqi66GCucihVvJfMjLAmec39IyEx_6qawtMGysU/edit?usp=shCTing"",""สบก!CT109"")"),0)</f>
        <v>0</v>
      </c>
      <c r="I105" s="88">
        <f t="shared" ca="1" si="3"/>
        <v>0</v>
      </c>
      <c r="J105" s="138">
        <f t="shared" ca="1" si="4"/>
        <v>0</v>
      </c>
      <c r="K105" s="88">
        <f ca="1">IFERROR(__xludf.DUMMYFUNCTION("IMPORTRANGE(""https://docs.google.com/spreadsheets/d/1Yj_ptqi66GCucihVvJfMjLAmec39IyEx_6qawtMGysU/edit?usp=sharing"",""สบก!CU109"")"),0)</f>
        <v>0</v>
      </c>
      <c r="L105" s="138">
        <f t="shared" ca="1" si="5"/>
        <v>0</v>
      </c>
      <c r="M105" s="138">
        <f t="shared" ca="1" si="6"/>
        <v>0</v>
      </c>
      <c r="N105" s="138">
        <f ca="1">IFERROR(__xludf.DUMMYFUNCTION("IMPORTRANGE(""https://docs.google.com/spreadsheets/d/1Yj_ptqi66GCucihVvJfMjLAmec39IyEx_6qawtMGysU/edit?usp=sharing"",""สบก!CV109"")"),0)</f>
        <v>0</v>
      </c>
      <c r="O105" s="138">
        <f t="shared" ca="1" si="7"/>
        <v>0</v>
      </c>
      <c r="P105" s="88">
        <f ca="1">IFERROR(__xludf.DUMMYFUNCTION("IMPORTRANGE(""https://docs.google.com/spreadsheets/d/1C3CXT74ZlgGe6_JY_1olB1XN4rF0dxEuIIF-xsYjHgg/edit?usp=sharing"",""พรบ!BQ109"")"),0)</f>
        <v>0</v>
      </c>
      <c r="Q105" s="88">
        <v>0</v>
      </c>
      <c r="R105" s="138">
        <f t="shared" ca="1" si="9"/>
        <v>0</v>
      </c>
      <c r="S105" s="88">
        <v>0</v>
      </c>
      <c r="T105" s="138">
        <f t="shared" ca="1" si="10"/>
        <v>0</v>
      </c>
      <c r="U105" s="86">
        <f t="shared" ca="1" si="11"/>
        <v>0</v>
      </c>
      <c r="V105" s="87">
        <f t="shared" ca="1" si="66"/>
        <v>0</v>
      </c>
      <c r="W105" s="88">
        <f ca="1">IFERROR(__xludf.DUMMYFUNCTION("IMPORTRANGE(""https://docs.google.com/spreadsheets/d/1C3CXT74ZlgGe6_JY_1olB1XN4rF0dxEuIIF-xsYjHgg/edit?usp=sharing"",""พรบ!BT109"")"),0)</f>
        <v>0</v>
      </c>
      <c r="X105" s="88">
        <f ca="1">IFERROR(__xludf.DUMMYFUNCTION("IMPORTRANGE(""https://docs.google.com/spreadsheets/d/1C3CXT74ZlgGe6_JY_1olB1XN4rF0dxEuIIF-xsYjHgg/edit?usp=sharing"",""พรบ!BU109"")"),0)</f>
        <v>0</v>
      </c>
      <c r="Y105" s="88">
        <f ca="1">IFERROR(__xludf.DUMMYFUNCTION("IMPORTRANGE(""https://docs.google.com/spreadsheets/d/1Yj_ptqi66GCucihVvJfMjLAmec39IyEx_6qawtMGysU/edit?usp=sharing"",""สบก!DA109"")"),0)</f>
        <v>0</v>
      </c>
      <c r="Z105" s="88">
        <f ca="1">IFERROR(__xludf.DUMMYFUNCTION("IMPORTRANGE(""https://docs.google.com/spreadsheets/d/1Yj_ptqi66GCucihVvJfMjLAmec39IyEx_6qawtMGysU/edit?usp=shDCing"",""สบก!DC109"")"),0)</f>
        <v>0</v>
      </c>
      <c r="AA105" s="88">
        <f t="shared" ca="1" si="14"/>
        <v>0</v>
      </c>
      <c r="AB105" s="138">
        <f t="shared" ca="1" si="15"/>
        <v>0</v>
      </c>
      <c r="AC105" s="88">
        <f ca="1">IFERROR(__xludf.DUMMYFUNCTION("IMPORTRANGE(""https://docs.google.com/spreadsheets/d/1Yj_ptqi66GCucihVvJfMjLAmec39IyEx_6qawtMGysU/edit?usp=sharing"",""สบก!DD109"")"),0)</f>
        <v>0</v>
      </c>
      <c r="AD105" s="138">
        <f t="shared" ca="1" si="16"/>
        <v>0</v>
      </c>
      <c r="AE105" s="138">
        <f t="shared" ca="1" si="17"/>
        <v>0</v>
      </c>
      <c r="AF105" s="138">
        <f ca="1">IFERROR(__xludf.DUMMYFUNCTION("IMPORTRANGE(""https://docs.google.com/spreadsheets/d/1Yj_ptqi66GCucihVvJfMjLAmec39IyEx_6qawtMGysU/edit?usp=sharing"",""สบก!DE109"")"),0)</f>
        <v>0</v>
      </c>
      <c r="AG105" s="138">
        <f t="shared" ca="1" si="18"/>
        <v>0</v>
      </c>
      <c r="AH105" s="88">
        <f ca="1">IFERROR(__xludf.DUMMYFUNCTION("IMPORTRANGE(""https://docs.google.com/spreadsheets/d/1C3CXT74ZlgGe6_JY_1olB1XN4rF0dxEuIIF-xsYjHgg/edit?usp=sharing"",""พรบ!BV109"")"),0)</f>
        <v>0</v>
      </c>
      <c r="AI105" s="88">
        <v>0</v>
      </c>
      <c r="AJ105" s="138">
        <f t="shared" ca="1" si="20"/>
        <v>0</v>
      </c>
      <c r="AK105" s="114"/>
      <c r="AL105" s="114"/>
      <c r="AM105" s="114"/>
      <c r="AN105" s="114"/>
      <c r="AO105" s="114"/>
      <c r="AP105" s="114"/>
    </row>
    <row r="106" spans="1:42" ht="21" hidden="1" customHeight="1">
      <c r="A106" s="680" t="s">
        <v>130</v>
      </c>
      <c r="B106" s="652"/>
      <c r="C106" s="44">
        <f t="shared" ca="1" si="0"/>
        <v>90600</v>
      </c>
      <c r="D106" s="45">
        <f t="shared" ref="D106:O106" ca="1" si="68">+D107+D108+D109+D110+D111+D112+D113+D114+D115+D116+D117+D118+D119</f>
        <v>90600</v>
      </c>
      <c r="E106" s="45">
        <f t="shared" ca="1" si="68"/>
        <v>90600</v>
      </c>
      <c r="F106" s="45">
        <f t="shared" ca="1" si="68"/>
        <v>0</v>
      </c>
      <c r="G106" s="45">
        <f t="shared" ca="1" si="68"/>
        <v>0</v>
      </c>
      <c r="H106" s="45">
        <f t="shared" ca="1" si="68"/>
        <v>82400</v>
      </c>
      <c r="I106" s="45">
        <f t="shared" ca="1" si="68"/>
        <v>0</v>
      </c>
      <c r="J106" s="45">
        <f t="shared" ca="1" si="68"/>
        <v>0</v>
      </c>
      <c r="K106" s="45">
        <f t="shared" ca="1" si="68"/>
        <v>0</v>
      </c>
      <c r="L106" s="45">
        <f t="shared" ca="1" si="68"/>
        <v>0</v>
      </c>
      <c r="M106" s="45">
        <f t="shared" ca="1" si="68"/>
        <v>0</v>
      </c>
      <c r="N106" s="45">
        <f t="shared" ca="1" si="68"/>
        <v>0</v>
      </c>
      <c r="O106" s="45">
        <f t="shared" ca="1" si="68"/>
        <v>0</v>
      </c>
      <c r="P106" s="45">
        <f t="shared" ref="P106:Q106" si="69">+P107+P108+P109+P110+P111+P112+P113+P114</f>
        <v>0</v>
      </c>
      <c r="Q106" s="45">
        <f t="shared" si="69"/>
        <v>0</v>
      </c>
      <c r="R106" s="127">
        <f t="shared" si="9"/>
        <v>0</v>
      </c>
      <c r="S106" s="45">
        <f>+S107+S108+S109+S110+S111+S112+S113+S114</f>
        <v>0</v>
      </c>
      <c r="T106" s="127">
        <f t="shared" si="10"/>
        <v>0</v>
      </c>
      <c r="U106" s="44">
        <f t="shared" ca="1" si="11"/>
        <v>687900</v>
      </c>
      <c r="V106" s="45">
        <f t="shared" ref="V106:AG106" ca="1" si="70">+V107+V108+V109+V110+V111+V112+V113+V114+V115+V116+V117+V118+V119</f>
        <v>687900</v>
      </c>
      <c r="W106" s="45">
        <f t="shared" ca="1" si="70"/>
        <v>687900</v>
      </c>
      <c r="X106" s="45">
        <f t="shared" ca="1" si="70"/>
        <v>0</v>
      </c>
      <c r="Y106" s="45">
        <f t="shared" ca="1" si="70"/>
        <v>0</v>
      </c>
      <c r="Z106" s="45">
        <f t="shared" ca="1" si="70"/>
        <v>74900</v>
      </c>
      <c r="AA106" s="45">
        <f t="shared" ca="1" si="70"/>
        <v>0</v>
      </c>
      <c r="AB106" s="45">
        <f t="shared" ca="1" si="70"/>
        <v>0</v>
      </c>
      <c r="AC106" s="45">
        <f t="shared" ca="1" si="70"/>
        <v>0</v>
      </c>
      <c r="AD106" s="45">
        <f t="shared" ca="1" si="70"/>
        <v>0</v>
      </c>
      <c r="AE106" s="45">
        <f t="shared" ca="1" si="70"/>
        <v>0</v>
      </c>
      <c r="AF106" s="45">
        <f t="shared" ca="1" si="70"/>
        <v>0</v>
      </c>
      <c r="AG106" s="45">
        <f t="shared" ca="1" si="70"/>
        <v>0</v>
      </c>
      <c r="AH106" s="45">
        <f t="shared" ref="AH106:AI106" si="71">+AH107+AH108+AH109+AH110+AH111+AH112+AH113+AH114</f>
        <v>0</v>
      </c>
      <c r="AI106" s="45">
        <f t="shared" si="71"/>
        <v>0</v>
      </c>
      <c r="AJ106" s="127">
        <f t="shared" si="20"/>
        <v>0</v>
      </c>
      <c r="AK106" s="114"/>
      <c r="AL106" s="114"/>
      <c r="AM106" s="114"/>
      <c r="AN106" s="114"/>
      <c r="AO106" s="114"/>
      <c r="AP106" s="114"/>
    </row>
    <row r="107" spans="1:42" ht="24" hidden="1" customHeight="1">
      <c r="A107" s="102">
        <v>1</v>
      </c>
      <c r="B107" s="109" t="s">
        <v>131</v>
      </c>
      <c r="C107" s="110">
        <f t="shared" ca="1" si="0"/>
        <v>90600</v>
      </c>
      <c r="D107" s="66">
        <f t="shared" ref="D107:D119" ca="1" si="72">+E107+F107</f>
        <v>90600</v>
      </c>
      <c r="E107" s="67">
        <f ca="1">IFERROR(__xludf.DUMMYFUNCTION("IMPORTRANGE(""https://docs.google.com/spreadsheets/d/1C3CXT74ZlgGe6_JY_1olB1XN4rF0dxEuIIF-xsYjHgg/edit?usp=sharing"",""พรบ!BO111"")"),90600)</f>
        <v>90600</v>
      </c>
      <c r="F107" s="67">
        <f ca="1">IFERROR(__xludf.DUMMYFUNCTION("IMPORTRANGE(""https://docs.google.com/spreadsheets/d/1C3CXT74ZlgGe6_JY_1olB1XN4rF0dxEuIIF-xsYjHgg/edit?usp=sharing"",""พรบ!BP111"")"),0)</f>
        <v>0</v>
      </c>
      <c r="G107" s="67">
        <f ca="1">IFERROR(__xludf.DUMMYFUNCTION("IMPORTRANGE(""https://docs.google.com/spreadsheets/d/1Yj_ptqi66GCucihVvJfMjLAmec39IyEx_6qawtMGysU/edit?usp=sharing"",""สบก!CR111"")"),0)</f>
        <v>0</v>
      </c>
      <c r="H107" s="67">
        <f ca="1">IFERROR(__xludf.DUMMYFUNCTION("IMPORTRANGE(""https://docs.google.com/spreadsheets/d/1Yj_ptqi66GCucihVvJfMjLAmec39IyEx_6qawtMGysU/edit?usp=shCTing"",""สบก!CT111"")"),82400)</f>
        <v>82400</v>
      </c>
      <c r="I107" s="67">
        <f t="shared" ref="I107:I119" ca="1" si="73">K107+N107</f>
        <v>0</v>
      </c>
      <c r="J107" s="70">
        <f t="shared" ref="J107:J119" ca="1" si="74">IF(C107&gt;0,I107*100/C107,0)</f>
        <v>0</v>
      </c>
      <c r="K107" s="67">
        <f ca="1">IFERROR(__xludf.DUMMYFUNCTION("IMPORTRANGE(""https://docs.google.com/spreadsheets/d/1Yj_ptqi66GCucihVvJfMjLAmec39IyEx_6qawtMGysU/edit?usp=sharing"",""สบก!BB111"")"),0)</f>
        <v>0</v>
      </c>
      <c r="L107" s="70">
        <f t="shared" ref="L107:L119" ca="1" si="75">IF(D107&gt;0,K107*100/D107,0)</f>
        <v>0</v>
      </c>
      <c r="M107" s="70">
        <f t="shared" ref="M107:M119" ca="1" si="76">IF(H107&gt;0,K107*100/H107,0)</f>
        <v>0</v>
      </c>
      <c r="N107" s="71">
        <f ca="1">IFERROR(__xludf.DUMMYFUNCTION("IMPORTRANGE(""https://docs.google.com/spreadsheets/d/1Yj_ptqi66GCucihVvJfMjLAmec39IyEx_6qawtMGysU/edit?usp=sharing"",""สบก!CV111"")"),0)</f>
        <v>0</v>
      </c>
      <c r="O107" s="70">
        <f t="shared" ref="O107:O119" ca="1" si="77">IF(G107&gt;0,N107*100/G107,0)</f>
        <v>0</v>
      </c>
      <c r="P107" s="67">
        <v>0</v>
      </c>
      <c r="Q107" s="67">
        <v>0</v>
      </c>
      <c r="R107" s="67">
        <v>0</v>
      </c>
      <c r="S107" s="70">
        <f t="shared" ref="S107:S119" si="78">IF(P107&gt;0,R107*100/P107,0)</f>
        <v>0</v>
      </c>
      <c r="T107" s="67">
        <v>0</v>
      </c>
      <c r="U107" s="110">
        <f t="shared" ca="1" si="11"/>
        <v>187900</v>
      </c>
      <c r="V107" s="66">
        <f t="shared" ref="V107:V119" ca="1" si="79">+W107+X107</f>
        <v>187900</v>
      </c>
      <c r="W107" s="67">
        <f ca="1">IFERROR(__xludf.DUMMYFUNCTION("IMPORTRANGE(""https://docs.google.com/spreadsheets/d/1C3CXT74ZlgGe6_JY_1olB1XN4rF0dxEuIIF-xsYjHgg/edit?usp=sharing"",""พรบ!BT111"")"),187900)</f>
        <v>187900</v>
      </c>
      <c r="X107" s="67">
        <f ca="1">IFERROR(__xludf.DUMMYFUNCTION("IMPORTRANGE(""https://docs.google.com/spreadsheets/d/1C3CXT74ZlgGe6_JY_1olB1XN4rF0dxEuIIF-xsYjHgg/edit?usp=sharing"",""พรบ!BU111"")"),0)</f>
        <v>0</v>
      </c>
      <c r="Y107" s="67">
        <f ca="1">IFERROR(__xludf.DUMMYFUNCTION("IMPORTRANGE(""https://docs.google.com/spreadsheets/d/1Yj_ptqi66GCucihVvJfMjLAmec39IyEx_6qawtMGysU/edit?usp=sharing"",""สบก!DA111"")"),0)</f>
        <v>0</v>
      </c>
      <c r="Z107" s="67">
        <f ca="1">IFERROR(__xludf.DUMMYFUNCTION("IMPORTRANGE(""https://docs.google.com/spreadsheets/d/1Yj_ptqi66GCucihVvJfMjLAmec39IyEx_6qawtMGysU/edit?usp=shDCing"",""สบก!DC111"")"),74900)</f>
        <v>74900</v>
      </c>
      <c r="AA107" s="67">
        <f t="shared" ref="AA107:AA119" ca="1" si="80">AC107+AF107</f>
        <v>0</v>
      </c>
      <c r="AB107" s="70">
        <f t="shared" ref="AB107:AB119" ca="1" si="81">IF(U107&gt;0,AA107*100/U107,0)</f>
        <v>0</v>
      </c>
      <c r="AC107" s="67">
        <f ca="1">IFERROR(__xludf.DUMMYFUNCTION("IMPORTRANGE(""https://docs.google.com/spreadsheets/d/1Yj_ptqi66GCucihVvJfMjLAmec39IyEx_6qawtMGysU/edit?usp=sharing"",""สบก!BB111"")"),0)</f>
        <v>0</v>
      </c>
      <c r="AD107" s="70">
        <f t="shared" ref="AD107:AD119" ca="1" si="82">IF(V107&gt;0,AC107*100/V107,0)</f>
        <v>0</v>
      </c>
      <c r="AE107" s="70">
        <f t="shared" ref="AE107:AE119" ca="1" si="83">IF(Z107&gt;0,AC107*100/Z107,0)</f>
        <v>0</v>
      </c>
      <c r="AF107" s="71">
        <f ca="1">IFERROR(__xludf.DUMMYFUNCTION("IMPORTRANGE(""https://docs.google.com/spreadsheets/d/1Yj_ptqi66GCucihVvJfMjLAmec39IyEx_6qawtMGysU/edit?usp=sharing"",""สบก!DE111"")"),0)</f>
        <v>0</v>
      </c>
      <c r="AG107" s="70">
        <f t="shared" ref="AG107:AG119" ca="1" si="84">IF(Y107&gt;0,AF107*100/Y107,0)</f>
        <v>0</v>
      </c>
      <c r="AH107" s="148">
        <v>0</v>
      </c>
      <c r="AI107" s="67">
        <v>0</v>
      </c>
      <c r="AJ107" s="136">
        <f t="shared" si="20"/>
        <v>0</v>
      </c>
      <c r="AK107" s="114"/>
      <c r="AL107" s="114"/>
      <c r="AM107" s="114"/>
      <c r="AN107" s="114"/>
      <c r="AO107" s="114"/>
      <c r="AP107" s="114"/>
    </row>
    <row r="108" spans="1:42" ht="24" hidden="1" customHeight="1">
      <c r="A108" s="105">
        <v>2</v>
      </c>
      <c r="B108" s="111" t="s">
        <v>132</v>
      </c>
      <c r="C108" s="112">
        <f t="shared" ca="1" si="0"/>
        <v>0</v>
      </c>
      <c r="D108" s="76">
        <f t="shared" ca="1" si="72"/>
        <v>0</v>
      </c>
      <c r="E108" s="77">
        <f ca="1">IFERROR(__xludf.DUMMYFUNCTION("IMPORTRANGE(""https://docs.google.com/spreadsheets/d/1C3CXT74ZlgGe6_JY_1olB1XN4rF0dxEuIIF-xsYjHgg/edit?usp=sharing"",""พรบ!BO112"")"),0)</f>
        <v>0</v>
      </c>
      <c r="F108" s="77">
        <f ca="1">IFERROR(__xludf.DUMMYFUNCTION("IMPORTRANGE(""https://docs.google.com/spreadsheets/d/1C3CXT74ZlgGe6_JY_1olB1XN4rF0dxEuIIF-xsYjHgg/edit?usp=sharing"",""พรบ!BP112"")"),0)</f>
        <v>0</v>
      </c>
      <c r="G108" s="77">
        <f ca="1">IFERROR(__xludf.DUMMYFUNCTION("IMPORTRANGE(""https://docs.google.com/spreadsheets/d/1Yj_ptqi66GCucihVvJfMjLAmec39IyEx_6qawtMGysU/edit?usp=sharing"",""สบก!CR112"")"),0)</f>
        <v>0</v>
      </c>
      <c r="H108" s="77">
        <f ca="1">IFERROR(__xludf.DUMMYFUNCTION("IMPORTRANGE(""https://docs.google.com/spreadsheets/d/1Yj_ptqi66GCucihVvJfMjLAmec39IyEx_6qawtMGysU/edit?usp=shCTing"",""สบก!CT112"")"),0)</f>
        <v>0</v>
      </c>
      <c r="I108" s="77">
        <f t="shared" ca="1" si="73"/>
        <v>0</v>
      </c>
      <c r="J108" s="79">
        <f t="shared" ca="1" si="74"/>
        <v>0</v>
      </c>
      <c r="K108" s="77">
        <f ca="1">IFERROR(__xludf.DUMMYFUNCTION("IMPORTRANGE(""https://docs.google.com/spreadsheets/d/1Yj_ptqi66GCucihVvJfMjLAmec39IyEx_6qawtMGysU/edit?usp=sharing"",""สบก!BB112"")"),0)</f>
        <v>0</v>
      </c>
      <c r="L108" s="79">
        <f t="shared" ca="1" si="75"/>
        <v>0</v>
      </c>
      <c r="M108" s="79">
        <f t="shared" ca="1" si="76"/>
        <v>0</v>
      </c>
      <c r="N108" s="80">
        <f ca="1">IFERROR(__xludf.DUMMYFUNCTION("IMPORTRANGE(""https://docs.google.com/spreadsheets/d/1Yj_ptqi66GCucihVvJfMjLAmec39IyEx_6qawtMGysU/edit?usp=sharing"",""สบก!CV112"")"),0)</f>
        <v>0</v>
      </c>
      <c r="O108" s="79">
        <f t="shared" ca="1" si="77"/>
        <v>0</v>
      </c>
      <c r="P108" s="77">
        <v>0</v>
      </c>
      <c r="Q108" s="77">
        <v>0</v>
      </c>
      <c r="R108" s="77">
        <v>0</v>
      </c>
      <c r="S108" s="79">
        <f t="shared" si="78"/>
        <v>0</v>
      </c>
      <c r="T108" s="77">
        <v>0</v>
      </c>
      <c r="U108" s="112">
        <f t="shared" ca="1" si="11"/>
        <v>0</v>
      </c>
      <c r="V108" s="76">
        <f t="shared" ca="1" si="79"/>
        <v>0</v>
      </c>
      <c r="W108" s="77">
        <f ca="1">IFERROR(__xludf.DUMMYFUNCTION("IMPORTRANGE(""https://docs.google.com/spreadsheets/d/1C3CXT74ZlgGe6_JY_1olB1XN4rF0dxEuIIF-xsYjHgg/edit?usp=sharing"",""พรบ!BT112"")"),0)</f>
        <v>0</v>
      </c>
      <c r="X108" s="77">
        <f ca="1">IFERROR(__xludf.DUMMYFUNCTION("IMPORTRANGE(""https://docs.google.com/spreadsheets/d/1C3CXT74ZlgGe6_JY_1olB1XN4rF0dxEuIIF-xsYjHgg/edit?usp=sharing"",""พรบ!BU112"")"),0)</f>
        <v>0</v>
      </c>
      <c r="Y108" s="77">
        <f ca="1">IFERROR(__xludf.DUMMYFUNCTION("IMPORTRANGE(""https://docs.google.com/spreadsheets/d/1Yj_ptqi66GCucihVvJfMjLAmec39IyEx_6qawtMGysU/edit?usp=sharing"",""สบก!DA112"")"),0)</f>
        <v>0</v>
      </c>
      <c r="Z108" s="77">
        <f ca="1">IFERROR(__xludf.DUMMYFUNCTION("IMPORTRANGE(""https://docs.google.com/spreadsheets/d/1Yj_ptqi66GCucihVvJfMjLAmec39IyEx_6qawtMGysU/edit?usp=shDCing"",""สบก!DC112"")"),0)</f>
        <v>0</v>
      </c>
      <c r="AA108" s="77">
        <f t="shared" ca="1" si="80"/>
        <v>0</v>
      </c>
      <c r="AB108" s="79">
        <f t="shared" ca="1" si="81"/>
        <v>0</v>
      </c>
      <c r="AC108" s="77">
        <f ca="1">IFERROR(__xludf.DUMMYFUNCTION("IMPORTRANGE(""https://docs.google.com/spreadsheets/d/1Yj_ptqi66GCucihVvJfMjLAmec39IyEx_6qawtMGysU/edit?usp=sharing"",""สบก!BB112"")"),0)</f>
        <v>0</v>
      </c>
      <c r="AD108" s="79">
        <f t="shared" ca="1" si="82"/>
        <v>0</v>
      </c>
      <c r="AE108" s="79">
        <f t="shared" ca="1" si="83"/>
        <v>0</v>
      </c>
      <c r="AF108" s="80">
        <f ca="1">IFERROR(__xludf.DUMMYFUNCTION("IMPORTRANGE(""https://docs.google.com/spreadsheets/d/1Yj_ptqi66GCucihVvJfMjLAmec39IyEx_6qawtMGysU/edit?usp=sharing"",""สบก!DE112"")"),0)</f>
        <v>0</v>
      </c>
      <c r="AG108" s="79">
        <f t="shared" ca="1" si="84"/>
        <v>0</v>
      </c>
      <c r="AH108" s="149">
        <v>0</v>
      </c>
      <c r="AI108" s="77">
        <v>0</v>
      </c>
      <c r="AJ108" s="137">
        <f t="shared" si="20"/>
        <v>0</v>
      </c>
      <c r="AK108" s="114"/>
      <c r="AL108" s="114"/>
      <c r="AM108" s="114"/>
      <c r="AN108" s="114"/>
      <c r="AO108" s="114"/>
      <c r="AP108" s="114"/>
    </row>
    <row r="109" spans="1:42" ht="24" hidden="1" customHeight="1">
      <c r="A109" s="105">
        <v>3</v>
      </c>
      <c r="B109" s="111" t="s">
        <v>133</v>
      </c>
      <c r="C109" s="112">
        <f t="shared" ca="1" si="0"/>
        <v>0</v>
      </c>
      <c r="D109" s="76">
        <f t="shared" ca="1" si="72"/>
        <v>0</v>
      </c>
      <c r="E109" s="77">
        <f ca="1">IFERROR(__xludf.DUMMYFUNCTION("IMPORTRANGE(""https://docs.google.com/spreadsheets/d/1C3CXT74ZlgGe6_JY_1olB1XN4rF0dxEuIIF-xsYjHgg/edit?usp=sharing"",""พรบ!BO113"")"),0)</f>
        <v>0</v>
      </c>
      <c r="F109" s="77">
        <f ca="1">IFERROR(__xludf.DUMMYFUNCTION("IMPORTRANGE(""https://docs.google.com/spreadsheets/d/1C3CXT74ZlgGe6_JY_1olB1XN4rF0dxEuIIF-xsYjHgg/edit?usp=sharing"",""พรบ!BP113"")"),0)</f>
        <v>0</v>
      </c>
      <c r="G109" s="77">
        <f ca="1">IFERROR(__xludf.DUMMYFUNCTION("IMPORTRANGE(""https://docs.google.com/spreadsheets/d/1Yj_ptqi66GCucihVvJfMjLAmec39IyEx_6qawtMGysU/edit?usp=sharing"",""สบก!CR113"")"),0)</f>
        <v>0</v>
      </c>
      <c r="H109" s="77">
        <f ca="1">IFERROR(__xludf.DUMMYFUNCTION("IMPORTRANGE(""https://docs.google.com/spreadsheets/d/1Yj_ptqi66GCucihVvJfMjLAmec39IyEx_6qawtMGysU/edit?usp=shCTing"",""สบก!CT113"")"),0)</f>
        <v>0</v>
      </c>
      <c r="I109" s="77">
        <f t="shared" ca="1" si="73"/>
        <v>0</v>
      </c>
      <c r="J109" s="79">
        <f t="shared" ca="1" si="74"/>
        <v>0</v>
      </c>
      <c r="K109" s="77">
        <f ca="1">IFERROR(__xludf.DUMMYFUNCTION("IMPORTRANGE(""https://docs.google.com/spreadsheets/d/1Yj_ptqi66GCucihVvJfMjLAmec39IyEx_6qawtMGysU/edit?usp=sharing"",""สบก!BB113"")"),0)</f>
        <v>0</v>
      </c>
      <c r="L109" s="79">
        <f t="shared" ca="1" si="75"/>
        <v>0</v>
      </c>
      <c r="M109" s="79">
        <f t="shared" ca="1" si="76"/>
        <v>0</v>
      </c>
      <c r="N109" s="80">
        <f ca="1">IFERROR(__xludf.DUMMYFUNCTION("IMPORTRANGE(""https://docs.google.com/spreadsheets/d/1Yj_ptqi66GCucihVvJfMjLAmec39IyEx_6qawtMGysU/edit?usp=sharing"",""สบก!CV113"")"),0)</f>
        <v>0</v>
      </c>
      <c r="O109" s="79">
        <f t="shared" ca="1" si="77"/>
        <v>0</v>
      </c>
      <c r="P109" s="77">
        <v>0</v>
      </c>
      <c r="Q109" s="77">
        <v>0</v>
      </c>
      <c r="R109" s="77">
        <v>0</v>
      </c>
      <c r="S109" s="79">
        <f t="shared" si="78"/>
        <v>0</v>
      </c>
      <c r="T109" s="77">
        <v>0</v>
      </c>
      <c r="U109" s="112">
        <f t="shared" ca="1" si="11"/>
        <v>0</v>
      </c>
      <c r="V109" s="76">
        <f t="shared" ca="1" si="79"/>
        <v>0</v>
      </c>
      <c r="W109" s="77">
        <f ca="1">IFERROR(__xludf.DUMMYFUNCTION("IMPORTRANGE(""https://docs.google.com/spreadsheets/d/1C3CXT74ZlgGe6_JY_1olB1XN4rF0dxEuIIF-xsYjHgg/edit?usp=sharing"",""พรบ!BT113"")"),0)</f>
        <v>0</v>
      </c>
      <c r="X109" s="77">
        <f ca="1">IFERROR(__xludf.DUMMYFUNCTION("IMPORTRANGE(""https://docs.google.com/spreadsheets/d/1C3CXT74ZlgGe6_JY_1olB1XN4rF0dxEuIIF-xsYjHgg/edit?usp=sharing"",""พรบ!BU113"")"),0)</f>
        <v>0</v>
      </c>
      <c r="Y109" s="77">
        <f ca="1">IFERROR(__xludf.DUMMYFUNCTION("IMPORTRANGE(""https://docs.google.com/spreadsheets/d/1Yj_ptqi66GCucihVvJfMjLAmec39IyEx_6qawtMGysU/edit?usp=sharing"",""สบก!DA113"")"),0)</f>
        <v>0</v>
      </c>
      <c r="Z109" s="77">
        <f ca="1">IFERROR(__xludf.DUMMYFUNCTION("IMPORTRANGE(""https://docs.google.com/spreadsheets/d/1Yj_ptqi66GCucihVvJfMjLAmec39IyEx_6qawtMGysU/edit?usp=shDCing"",""สบก!DC113"")"),0)</f>
        <v>0</v>
      </c>
      <c r="AA109" s="77">
        <f t="shared" ca="1" si="80"/>
        <v>0</v>
      </c>
      <c r="AB109" s="79">
        <f t="shared" ca="1" si="81"/>
        <v>0</v>
      </c>
      <c r="AC109" s="77">
        <f ca="1">IFERROR(__xludf.DUMMYFUNCTION("IMPORTRANGE(""https://docs.google.com/spreadsheets/d/1Yj_ptqi66GCucihVvJfMjLAmec39IyEx_6qawtMGysU/edit?usp=sharing"",""สบก!BB113"")"),0)</f>
        <v>0</v>
      </c>
      <c r="AD109" s="79">
        <f t="shared" ca="1" si="82"/>
        <v>0</v>
      </c>
      <c r="AE109" s="79">
        <f t="shared" ca="1" si="83"/>
        <v>0</v>
      </c>
      <c r="AF109" s="80">
        <f ca="1">IFERROR(__xludf.DUMMYFUNCTION("IMPORTRANGE(""https://docs.google.com/spreadsheets/d/1Yj_ptqi66GCucihVvJfMjLAmec39IyEx_6qawtMGysU/edit?usp=sharing"",""สบก!DE113"")"),0)</f>
        <v>0</v>
      </c>
      <c r="AG109" s="79">
        <f t="shared" ca="1" si="84"/>
        <v>0</v>
      </c>
      <c r="AH109" s="149">
        <v>0</v>
      </c>
      <c r="AI109" s="77">
        <v>0</v>
      </c>
      <c r="AJ109" s="137">
        <f t="shared" si="20"/>
        <v>0</v>
      </c>
      <c r="AK109" s="114"/>
      <c r="AL109" s="114"/>
      <c r="AM109" s="114"/>
      <c r="AN109" s="114"/>
      <c r="AO109" s="114"/>
      <c r="AP109" s="114"/>
    </row>
    <row r="110" spans="1:42" ht="24" hidden="1" customHeight="1">
      <c r="A110" s="113">
        <v>4</v>
      </c>
      <c r="B110" s="111" t="s">
        <v>134</v>
      </c>
      <c r="C110" s="112">
        <f t="shared" ca="1" si="0"/>
        <v>0</v>
      </c>
      <c r="D110" s="76">
        <f t="shared" ca="1" si="72"/>
        <v>0</v>
      </c>
      <c r="E110" s="77">
        <f ca="1">IFERROR(__xludf.DUMMYFUNCTION("IMPORTRANGE(""https://docs.google.com/spreadsheets/d/1C3CXT74ZlgGe6_JY_1olB1XN4rF0dxEuIIF-xsYjHgg/edit?usp=sharing"",""พรบ!BO114"")"),0)</f>
        <v>0</v>
      </c>
      <c r="F110" s="77">
        <f ca="1">IFERROR(__xludf.DUMMYFUNCTION("IMPORTRANGE(""https://docs.google.com/spreadsheets/d/1C3CXT74ZlgGe6_JY_1olB1XN4rF0dxEuIIF-xsYjHgg/edit?usp=sharing"",""พรบ!BP114"")"),0)</f>
        <v>0</v>
      </c>
      <c r="G110" s="77">
        <f ca="1">IFERROR(__xludf.DUMMYFUNCTION("IMPORTRANGE(""https://docs.google.com/spreadsheets/d/1Yj_ptqi66GCucihVvJfMjLAmec39IyEx_6qawtMGysU/edit?usp=sharing"",""สบก!CR114"")"),0)</f>
        <v>0</v>
      </c>
      <c r="H110" s="77">
        <f ca="1">IFERROR(__xludf.DUMMYFUNCTION("IMPORTRANGE(""https://docs.google.com/spreadsheets/d/1Yj_ptqi66GCucihVvJfMjLAmec39IyEx_6qawtMGysU/edit?usp=shCTing"",""สบก!CT114"")"),0)</f>
        <v>0</v>
      </c>
      <c r="I110" s="77">
        <f t="shared" ca="1" si="73"/>
        <v>0</v>
      </c>
      <c r="J110" s="79">
        <f t="shared" ca="1" si="74"/>
        <v>0</v>
      </c>
      <c r="K110" s="77">
        <f ca="1">IFERROR(__xludf.DUMMYFUNCTION("IMPORTRANGE(""https://docs.google.com/spreadsheets/d/1Yj_ptqi66GCucihVvJfMjLAmec39IyEx_6qawtMGysU/edit?usp=sharing"",""สบก!BB114"")"),0)</f>
        <v>0</v>
      </c>
      <c r="L110" s="79">
        <f t="shared" ca="1" si="75"/>
        <v>0</v>
      </c>
      <c r="M110" s="79">
        <f t="shared" ca="1" si="76"/>
        <v>0</v>
      </c>
      <c r="N110" s="80">
        <f ca="1">IFERROR(__xludf.DUMMYFUNCTION("IMPORTRANGE(""https://docs.google.com/spreadsheets/d/1Yj_ptqi66GCucihVvJfMjLAmec39IyEx_6qawtMGysU/edit?usp=sharing"",""สบก!CV114"")"),0)</f>
        <v>0</v>
      </c>
      <c r="O110" s="79">
        <f t="shared" ca="1" si="77"/>
        <v>0</v>
      </c>
      <c r="P110" s="77">
        <v>0</v>
      </c>
      <c r="Q110" s="77">
        <v>0</v>
      </c>
      <c r="R110" s="77">
        <v>0</v>
      </c>
      <c r="S110" s="79">
        <f t="shared" si="78"/>
        <v>0</v>
      </c>
      <c r="T110" s="77">
        <v>0</v>
      </c>
      <c r="U110" s="112">
        <f t="shared" ca="1" si="11"/>
        <v>0</v>
      </c>
      <c r="V110" s="76">
        <f t="shared" ca="1" si="79"/>
        <v>0</v>
      </c>
      <c r="W110" s="77">
        <f ca="1">IFERROR(__xludf.DUMMYFUNCTION("IMPORTRANGE(""https://docs.google.com/spreadsheets/d/1C3CXT74ZlgGe6_JY_1olB1XN4rF0dxEuIIF-xsYjHgg/edit?usp=sharing"",""พรบ!BT114"")"),0)</f>
        <v>0</v>
      </c>
      <c r="X110" s="77">
        <f ca="1">IFERROR(__xludf.DUMMYFUNCTION("IMPORTRANGE(""https://docs.google.com/spreadsheets/d/1C3CXT74ZlgGe6_JY_1olB1XN4rF0dxEuIIF-xsYjHgg/edit?usp=sharing"",""พรบ!BU114"")"),0)</f>
        <v>0</v>
      </c>
      <c r="Y110" s="77">
        <f ca="1">IFERROR(__xludf.DUMMYFUNCTION("IMPORTRANGE(""https://docs.google.com/spreadsheets/d/1Yj_ptqi66GCucihVvJfMjLAmec39IyEx_6qawtMGysU/edit?usp=sharing"",""สบก!DA114"")"),0)</f>
        <v>0</v>
      </c>
      <c r="Z110" s="77">
        <f ca="1">IFERROR(__xludf.DUMMYFUNCTION("IMPORTRANGE(""https://docs.google.com/spreadsheets/d/1Yj_ptqi66GCucihVvJfMjLAmec39IyEx_6qawtMGysU/edit?usp=shDCing"",""สบก!DC114"")"),0)</f>
        <v>0</v>
      </c>
      <c r="AA110" s="77">
        <f t="shared" ca="1" si="80"/>
        <v>0</v>
      </c>
      <c r="AB110" s="79">
        <f t="shared" ca="1" si="81"/>
        <v>0</v>
      </c>
      <c r="AC110" s="77">
        <f ca="1">IFERROR(__xludf.DUMMYFUNCTION("IMPORTRANGE(""https://docs.google.com/spreadsheets/d/1Yj_ptqi66GCucihVvJfMjLAmec39IyEx_6qawtMGysU/edit?usp=sharing"",""สบก!BB114"")"),0)</f>
        <v>0</v>
      </c>
      <c r="AD110" s="79">
        <f t="shared" ca="1" si="82"/>
        <v>0</v>
      </c>
      <c r="AE110" s="79">
        <f t="shared" ca="1" si="83"/>
        <v>0</v>
      </c>
      <c r="AF110" s="80">
        <f ca="1">IFERROR(__xludf.DUMMYFUNCTION("IMPORTRANGE(""https://docs.google.com/spreadsheets/d/1Yj_ptqi66GCucihVvJfMjLAmec39IyEx_6qawtMGysU/edit?usp=sharing"",""สบก!DE114"")"),0)</f>
        <v>0</v>
      </c>
      <c r="AG110" s="79">
        <f t="shared" ca="1" si="84"/>
        <v>0</v>
      </c>
      <c r="AH110" s="149">
        <v>0</v>
      </c>
      <c r="AI110" s="77">
        <v>0</v>
      </c>
      <c r="AJ110" s="137">
        <f t="shared" si="20"/>
        <v>0</v>
      </c>
      <c r="AK110" s="114"/>
      <c r="AL110" s="114"/>
      <c r="AM110" s="114"/>
      <c r="AN110" s="114"/>
      <c r="AO110" s="114"/>
      <c r="AP110" s="114"/>
    </row>
    <row r="111" spans="1:42" ht="24" hidden="1" customHeight="1">
      <c r="A111" s="113">
        <v>5</v>
      </c>
      <c r="B111" s="111" t="s">
        <v>135</v>
      </c>
      <c r="C111" s="112">
        <f t="shared" ca="1" si="0"/>
        <v>0</v>
      </c>
      <c r="D111" s="76">
        <f t="shared" ca="1" si="72"/>
        <v>0</v>
      </c>
      <c r="E111" s="77">
        <f ca="1">IFERROR(__xludf.DUMMYFUNCTION("IMPORTRANGE(""https://docs.google.com/spreadsheets/d/1C3CXT74ZlgGe6_JY_1olB1XN4rF0dxEuIIF-xsYjHgg/edit?usp=sharing"",""พรบ!BO115"")"),0)</f>
        <v>0</v>
      </c>
      <c r="F111" s="77">
        <f ca="1">IFERROR(__xludf.DUMMYFUNCTION("IMPORTRANGE(""https://docs.google.com/spreadsheets/d/1C3CXT74ZlgGe6_JY_1olB1XN4rF0dxEuIIF-xsYjHgg/edit?usp=sharing"",""พรบ!BP115"")"),0)</f>
        <v>0</v>
      </c>
      <c r="G111" s="77">
        <f ca="1">IFERROR(__xludf.DUMMYFUNCTION("IMPORTRANGE(""https://docs.google.com/spreadsheets/d/1Yj_ptqi66GCucihVvJfMjLAmec39IyEx_6qawtMGysU/edit?usp=sharing"",""สบก!CR115"")"),0)</f>
        <v>0</v>
      </c>
      <c r="H111" s="77">
        <f ca="1">IFERROR(__xludf.DUMMYFUNCTION("IMPORTRANGE(""https://docs.google.com/spreadsheets/d/1Yj_ptqi66GCucihVvJfMjLAmec39IyEx_6qawtMGysU/edit?usp=shCTing"",""สบก!CT115"")"),0)</f>
        <v>0</v>
      </c>
      <c r="I111" s="77">
        <f t="shared" ca="1" si="73"/>
        <v>0</v>
      </c>
      <c r="J111" s="79">
        <f t="shared" ca="1" si="74"/>
        <v>0</v>
      </c>
      <c r="K111" s="77">
        <f ca="1">IFERROR(__xludf.DUMMYFUNCTION("IMPORTRANGE(""https://docs.google.com/spreadsheets/d/1Yj_ptqi66GCucihVvJfMjLAmec39IyEx_6qawtMGysU/edit?usp=sharing"",""สบก!BB115"")"),0)</f>
        <v>0</v>
      </c>
      <c r="L111" s="79">
        <f t="shared" ca="1" si="75"/>
        <v>0</v>
      </c>
      <c r="M111" s="79">
        <f t="shared" ca="1" si="76"/>
        <v>0</v>
      </c>
      <c r="N111" s="80">
        <f ca="1">IFERROR(__xludf.DUMMYFUNCTION("IMPORTRANGE(""https://docs.google.com/spreadsheets/d/1Yj_ptqi66GCucihVvJfMjLAmec39IyEx_6qawtMGysU/edit?usp=sharing"",""สบก!CV115"")"),0)</f>
        <v>0</v>
      </c>
      <c r="O111" s="79">
        <f t="shared" ca="1" si="77"/>
        <v>0</v>
      </c>
      <c r="P111" s="77">
        <v>0</v>
      </c>
      <c r="Q111" s="77">
        <v>0</v>
      </c>
      <c r="R111" s="77">
        <v>0</v>
      </c>
      <c r="S111" s="79">
        <f t="shared" si="78"/>
        <v>0</v>
      </c>
      <c r="T111" s="77">
        <v>0</v>
      </c>
      <c r="U111" s="112">
        <f t="shared" ca="1" si="11"/>
        <v>0</v>
      </c>
      <c r="V111" s="76">
        <f t="shared" ca="1" si="79"/>
        <v>0</v>
      </c>
      <c r="W111" s="77">
        <f ca="1">IFERROR(__xludf.DUMMYFUNCTION("IMPORTRANGE(""https://docs.google.com/spreadsheets/d/1C3CXT74ZlgGe6_JY_1olB1XN4rF0dxEuIIF-xsYjHgg/edit?usp=sharing"",""พรบ!BT115"")"),0)</f>
        <v>0</v>
      </c>
      <c r="X111" s="77">
        <f ca="1">IFERROR(__xludf.DUMMYFUNCTION("IMPORTRANGE(""https://docs.google.com/spreadsheets/d/1C3CXT74ZlgGe6_JY_1olB1XN4rF0dxEuIIF-xsYjHgg/edit?usp=sharing"",""พรบ!BU115"")"),0)</f>
        <v>0</v>
      </c>
      <c r="Y111" s="77">
        <f ca="1">IFERROR(__xludf.DUMMYFUNCTION("IMPORTRANGE(""https://docs.google.com/spreadsheets/d/1Yj_ptqi66GCucihVvJfMjLAmec39IyEx_6qawtMGysU/edit?usp=sharing"",""สบก!DA115"")"),0)</f>
        <v>0</v>
      </c>
      <c r="Z111" s="77">
        <f ca="1">IFERROR(__xludf.DUMMYFUNCTION("IMPORTRANGE(""https://docs.google.com/spreadsheets/d/1Yj_ptqi66GCucihVvJfMjLAmec39IyEx_6qawtMGysU/edit?usp=shDCing"",""สบก!DC115"")"),0)</f>
        <v>0</v>
      </c>
      <c r="AA111" s="77">
        <f t="shared" ca="1" si="80"/>
        <v>0</v>
      </c>
      <c r="AB111" s="79">
        <f t="shared" ca="1" si="81"/>
        <v>0</v>
      </c>
      <c r="AC111" s="77">
        <f ca="1">IFERROR(__xludf.DUMMYFUNCTION("IMPORTRANGE(""https://docs.google.com/spreadsheets/d/1Yj_ptqi66GCucihVvJfMjLAmec39IyEx_6qawtMGysU/edit?usp=sharing"",""สบก!BB115"")"),0)</f>
        <v>0</v>
      </c>
      <c r="AD111" s="79">
        <f t="shared" ca="1" si="82"/>
        <v>0</v>
      </c>
      <c r="AE111" s="79">
        <f t="shared" ca="1" si="83"/>
        <v>0</v>
      </c>
      <c r="AF111" s="80">
        <f ca="1">IFERROR(__xludf.DUMMYFUNCTION("IMPORTRANGE(""https://docs.google.com/spreadsheets/d/1Yj_ptqi66GCucihVvJfMjLAmec39IyEx_6qawtMGysU/edit?usp=sharing"",""สบก!DE115"")"),0)</f>
        <v>0</v>
      </c>
      <c r="AG111" s="79">
        <f t="shared" ca="1" si="84"/>
        <v>0</v>
      </c>
      <c r="AH111" s="149">
        <v>0</v>
      </c>
      <c r="AI111" s="77">
        <v>0</v>
      </c>
      <c r="AJ111" s="137">
        <f t="shared" si="20"/>
        <v>0</v>
      </c>
      <c r="AK111" s="114"/>
      <c r="AL111" s="114"/>
      <c r="AM111" s="114"/>
      <c r="AN111" s="114"/>
      <c r="AO111" s="114"/>
      <c r="AP111" s="114"/>
    </row>
    <row r="112" spans="1:42" ht="24" hidden="1" customHeight="1">
      <c r="A112" s="113">
        <v>6</v>
      </c>
      <c r="B112" s="111" t="s">
        <v>136</v>
      </c>
      <c r="C112" s="112">
        <f t="shared" ca="1" si="0"/>
        <v>0</v>
      </c>
      <c r="D112" s="76">
        <f t="shared" ca="1" si="72"/>
        <v>0</v>
      </c>
      <c r="E112" s="77">
        <f ca="1">IFERROR(__xludf.DUMMYFUNCTION("IMPORTRANGE(""https://docs.google.com/spreadsheets/d/1C3CXT74ZlgGe6_JY_1olB1XN4rF0dxEuIIF-xsYjHgg/edit?usp=sharing"",""พรบ!BO116"")"),0)</f>
        <v>0</v>
      </c>
      <c r="F112" s="77">
        <f ca="1">IFERROR(__xludf.DUMMYFUNCTION("IMPORTRANGE(""https://docs.google.com/spreadsheets/d/1C3CXT74ZlgGe6_JY_1olB1XN4rF0dxEuIIF-xsYjHgg/edit?usp=sharing"",""พรบ!BP116"")"),0)</f>
        <v>0</v>
      </c>
      <c r="G112" s="77">
        <f ca="1">IFERROR(__xludf.DUMMYFUNCTION("IMPORTRANGE(""https://docs.google.com/spreadsheets/d/1Yj_ptqi66GCucihVvJfMjLAmec39IyEx_6qawtMGysU/edit?usp=sharing"",""สบก!CR116"")"),0)</f>
        <v>0</v>
      </c>
      <c r="H112" s="77">
        <f ca="1">IFERROR(__xludf.DUMMYFUNCTION("IMPORTRANGE(""https://docs.google.com/spreadsheets/d/1Yj_ptqi66GCucihVvJfMjLAmec39IyEx_6qawtMGysU/edit?usp=shCTing"",""สบก!CT116"")"),0)</f>
        <v>0</v>
      </c>
      <c r="I112" s="77">
        <f t="shared" ca="1" si="73"/>
        <v>0</v>
      </c>
      <c r="J112" s="79">
        <f t="shared" ca="1" si="74"/>
        <v>0</v>
      </c>
      <c r="K112" s="77">
        <f ca="1">IFERROR(__xludf.DUMMYFUNCTION("IMPORTRANGE(""https://docs.google.com/spreadsheets/d/1Yj_ptqi66GCucihVvJfMjLAmec39IyEx_6qawtMGysU/edit?usp=sharing"",""สบก!BB116"")"),0)</f>
        <v>0</v>
      </c>
      <c r="L112" s="79">
        <f t="shared" ca="1" si="75"/>
        <v>0</v>
      </c>
      <c r="M112" s="79">
        <f t="shared" ca="1" si="76"/>
        <v>0</v>
      </c>
      <c r="N112" s="80">
        <f ca="1">IFERROR(__xludf.DUMMYFUNCTION("IMPORTRANGE(""https://docs.google.com/spreadsheets/d/1Yj_ptqi66GCucihVvJfMjLAmec39IyEx_6qawtMGysU/edit?usp=sharing"",""สบก!CV116"")"),0)</f>
        <v>0</v>
      </c>
      <c r="O112" s="79">
        <f t="shared" ca="1" si="77"/>
        <v>0</v>
      </c>
      <c r="P112" s="77">
        <v>0</v>
      </c>
      <c r="Q112" s="77">
        <v>0</v>
      </c>
      <c r="R112" s="77">
        <v>0</v>
      </c>
      <c r="S112" s="79">
        <f t="shared" si="78"/>
        <v>0</v>
      </c>
      <c r="T112" s="77">
        <v>0</v>
      </c>
      <c r="U112" s="112">
        <f t="shared" ca="1" si="11"/>
        <v>500000</v>
      </c>
      <c r="V112" s="76">
        <f t="shared" ca="1" si="79"/>
        <v>500000</v>
      </c>
      <c r="W112" s="77">
        <f ca="1">IFERROR(__xludf.DUMMYFUNCTION("IMPORTRANGE(""https://docs.google.com/spreadsheets/d/1C3CXT74ZlgGe6_JY_1olB1XN4rF0dxEuIIF-xsYjHgg/edit?usp=sharing"",""พรบ!BT116"")"),500000)</f>
        <v>500000</v>
      </c>
      <c r="X112" s="77">
        <f ca="1">IFERROR(__xludf.DUMMYFUNCTION("IMPORTRANGE(""https://docs.google.com/spreadsheets/d/1C3CXT74ZlgGe6_JY_1olB1XN4rF0dxEuIIF-xsYjHgg/edit?usp=sharing"",""พรบ!BU116"")"),0)</f>
        <v>0</v>
      </c>
      <c r="Y112" s="77">
        <f ca="1">IFERROR(__xludf.DUMMYFUNCTION("IMPORTRANGE(""https://docs.google.com/spreadsheets/d/1Yj_ptqi66GCucihVvJfMjLAmec39IyEx_6qawtMGysU/edit?usp=sharing"",""สบก!DA116"")"),0)</f>
        <v>0</v>
      </c>
      <c r="Z112" s="77">
        <f ca="1">IFERROR(__xludf.DUMMYFUNCTION("IMPORTRANGE(""https://docs.google.com/spreadsheets/d/1Yj_ptqi66GCucihVvJfMjLAmec39IyEx_6qawtMGysU/edit?usp=shDCing"",""สบก!DC116"")"),0)</f>
        <v>0</v>
      </c>
      <c r="AA112" s="77">
        <f t="shared" ca="1" si="80"/>
        <v>0</v>
      </c>
      <c r="AB112" s="79">
        <f t="shared" ca="1" si="81"/>
        <v>0</v>
      </c>
      <c r="AC112" s="77">
        <f ca="1">IFERROR(__xludf.DUMMYFUNCTION("IMPORTRANGE(""https://docs.google.com/spreadsheets/d/1Yj_ptqi66GCucihVvJfMjLAmec39IyEx_6qawtMGysU/edit?usp=sharing"",""สบก!BB116"")"),0)</f>
        <v>0</v>
      </c>
      <c r="AD112" s="79">
        <f t="shared" ca="1" si="82"/>
        <v>0</v>
      </c>
      <c r="AE112" s="79">
        <f t="shared" ca="1" si="83"/>
        <v>0</v>
      </c>
      <c r="AF112" s="80">
        <f ca="1">IFERROR(__xludf.DUMMYFUNCTION("IMPORTRANGE(""https://docs.google.com/spreadsheets/d/1Yj_ptqi66GCucihVvJfMjLAmec39IyEx_6qawtMGysU/edit?usp=sharing"",""สบก!DE116"")"),0)</f>
        <v>0</v>
      </c>
      <c r="AG112" s="79">
        <f t="shared" ca="1" si="84"/>
        <v>0</v>
      </c>
      <c r="AH112" s="149">
        <v>0</v>
      </c>
      <c r="AI112" s="77">
        <v>0</v>
      </c>
      <c r="AJ112" s="137">
        <f t="shared" si="20"/>
        <v>0</v>
      </c>
      <c r="AK112" s="114"/>
      <c r="AL112" s="114"/>
      <c r="AM112" s="114"/>
      <c r="AN112" s="114"/>
      <c r="AO112" s="114"/>
      <c r="AP112" s="114"/>
    </row>
    <row r="113" spans="1:42" ht="24" hidden="1" customHeight="1">
      <c r="A113" s="113">
        <v>7</v>
      </c>
      <c r="B113" s="111" t="s">
        <v>137</v>
      </c>
      <c r="C113" s="112">
        <f t="shared" ca="1" si="0"/>
        <v>0</v>
      </c>
      <c r="D113" s="76">
        <f t="shared" ca="1" si="72"/>
        <v>0</v>
      </c>
      <c r="E113" s="77">
        <f ca="1">IFERROR(__xludf.DUMMYFUNCTION("IMPORTRANGE(""https://docs.google.com/spreadsheets/d/1C3CXT74ZlgGe6_JY_1olB1XN4rF0dxEuIIF-xsYjHgg/edit?usp=sharing"",""พรบ!BO117"")"),0)</f>
        <v>0</v>
      </c>
      <c r="F113" s="77">
        <f ca="1">IFERROR(__xludf.DUMMYFUNCTION("IMPORTRANGE(""https://docs.google.com/spreadsheets/d/1C3CXT74ZlgGe6_JY_1olB1XN4rF0dxEuIIF-xsYjHgg/edit?usp=sharing"",""พรบ!BP117"")"),0)</f>
        <v>0</v>
      </c>
      <c r="G113" s="77">
        <f ca="1">IFERROR(__xludf.DUMMYFUNCTION("IMPORTRANGE(""https://docs.google.com/spreadsheets/d/1Yj_ptqi66GCucihVvJfMjLAmec39IyEx_6qawtMGysU/edit?usp=sharing"",""สบก!CR117"")"),0)</f>
        <v>0</v>
      </c>
      <c r="H113" s="77">
        <f ca="1">IFERROR(__xludf.DUMMYFUNCTION("IMPORTRANGE(""https://docs.google.com/spreadsheets/d/1Yj_ptqi66GCucihVvJfMjLAmec39IyEx_6qawtMGysU/edit?usp=shCTing"",""สบก!CT117"")"),0)</f>
        <v>0</v>
      </c>
      <c r="I113" s="77">
        <f t="shared" ca="1" si="73"/>
        <v>0</v>
      </c>
      <c r="J113" s="79">
        <f t="shared" ca="1" si="74"/>
        <v>0</v>
      </c>
      <c r="K113" s="77">
        <f ca="1">IFERROR(__xludf.DUMMYFUNCTION("IMPORTRANGE(""https://docs.google.com/spreadsheets/d/1Yj_ptqi66GCucihVvJfMjLAmec39IyEx_6qawtMGysU/edit?usp=sharing"",""สบก!BB117"")"),0)</f>
        <v>0</v>
      </c>
      <c r="L113" s="79">
        <f t="shared" ca="1" si="75"/>
        <v>0</v>
      </c>
      <c r="M113" s="79">
        <f t="shared" ca="1" si="76"/>
        <v>0</v>
      </c>
      <c r="N113" s="80">
        <f ca="1">IFERROR(__xludf.DUMMYFUNCTION("IMPORTRANGE(""https://docs.google.com/spreadsheets/d/1Yj_ptqi66GCucihVvJfMjLAmec39IyEx_6qawtMGysU/edit?usp=sharing"",""สบก!CV117"")"),0)</f>
        <v>0</v>
      </c>
      <c r="O113" s="79">
        <f t="shared" ca="1" si="77"/>
        <v>0</v>
      </c>
      <c r="P113" s="77">
        <v>0</v>
      </c>
      <c r="Q113" s="77">
        <v>0</v>
      </c>
      <c r="R113" s="77">
        <v>0</v>
      </c>
      <c r="S113" s="79">
        <f t="shared" si="78"/>
        <v>0</v>
      </c>
      <c r="T113" s="77">
        <v>0</v>
      </c>
      <c r="U113" s="112">
        <f t="shared" ca="1" si="11"/>
        <v>0</v>
      </c>
      <c r="V113" s="76">
        <f t="shared" ca="1" si="79"/>
        <v>0</v>
      </c>
      <c r="W113" s="77">
        <f ca="1">IFERROR(__xludf.DUMMYFUNCTION("IMPORTRANGE(""https://docs.google.com/spreadsheets/d/1C3CXT74ZlgGe6_JY_1olB1XN4rF0dxEuIIF-xsYjHgg/edit?usp=sharing"",""พรบ!BT117"")"),0)</f>
        <v>0</v>
      </c>
      <c r="X113" s="77">
        <f ca="1">IFERROR(__xludf.DUMMYFUNCTION("IMPORTRANGE(""https://docs.google.com/spreadsheets/d/1C3CXT74ZlgGe6_JY_1olB1XN4rF0dxEuIIF-xsYjHgg/edit?usp=sharing"",""พรบ!BU117"")"),0)</f>
        <v>0</v>
      </c>
      <c r="Y113" s="77">
        <f ca="1">IFERROR(__xludf.DUMMYFUNCTION("IMPORTRANGE(""https://docs.google.com/spreadsheets/d/1Yj_ptqi66GCucihVvJfMjLAmec39IyEx_6qawtMGysU/edit?usp=sharing"",""สบก!DA117"")"),0)</f>
        <v>0</v>
      </c>
      <c r="Z113" s="77">
        <f ca="1">IFERROR(__xludf.DUMMYFUNCTION("IMPORTRANGE(""https://docs.google.com/spreadsheets/d/1Yj_ptqi66GCucihVvJfMjLAmec39IyEx_6qawtMGysU/edit?usp=shDCing"",""สบก!DC117"")"),0)</f>
        <v>0</v>
      </c>
      <c r="AA113" s="77">
        <f t="shared" ca="1" si="80"/>
        <v>0</v>
      </c>
      <c r="AB113" s="79">
        <f t="shared" ca="1" si="81"/>
        <v>0</v>
      </c>
      <c r="AC113" s="77">
        <f ca="1">IFERROR(__xludf.DUMMYFUNCTION("IMPORTRANGE(""https://docs.google.com/spreadsheets/d/1Yj_ptqi66GCucihVvJfMjLAmec39IyEx_6qawtMGysU/edit?usp=sharing"",""สบก!BB117"")"),0)</f>
        <v>0</v>
      </c>
      <c r="AD113" s="79">
        <f t="shared" ca="1" si="82"/>
        <v>0</v>
      </c>
      <c r="AE113" s="79">
        <f t="shared" ca="1" si="83"/>
        <v>0</v>
      </c>
      <c r="AF113" s="80">
        <f ca="1">IFERROR(__xludf.DUMMYFUNCTION("IMPORTRANGE(""https://docs.google.com/spreadsheets/d/1Yj_ptqi66GCucihVvJfMjLAmec39IyEx_6qawtMGysU/edit?usp=sharing"",""สบก!DE117"")"),0)</f>
        <v>0</v>
      </c>
      <c r="AG113" s="79">
        <f t="shared" ca="1" si="84"/>
        <v>0</v>
      </c>
      <c r="AH113" s="149">
        <v>0</v>
      </c>
      <c r="AI113" s="77">
        <v>0</v>
      </c>
      <c r="AJ113" s="137">
        <f t="shared" si="20"/>
        <v>0</v>
      </c>
      <c r="AK113" s="114"/>
      <c r="AL113" s="114"/>
      <c r="AM113" s="114"/>
      <c r="AN113" s="114"/>
      <c r="AO113" s="114"/>
      <c r="AP113" s="114"/>
    </row>
    <row r="114" spans="1:42" ht="24" hidden="1" customHeight="1">
      <c r="A114" s="113">
        <v>8</v>
      </c>
      <c r="B114" s="111" t="s">
        <v>138</v>
      </c>
      <c r="C114" s="112">
        <f t="shared" ca="1" si="0"/>
        <v>0</v>
      </c>
      <c r="D114" s="76">
        <f t="shared" ca="1" si="72"/>
        <v>0</v>
      </c>
      <c r="E114" s="77">
        <f ca="1">IFERROR(__xludf.DUMMYFUNCTION("IMPORTRANGE(""https://docs.google.com/spreadsheets/d/1C3CXT74ZlgGe6_JY_1olB1XN4rF0dxEuIIF-xsYjHgg/edit?usp=sharing"",""พรบ!BO118"")"),0)</f>
        <v>0</v>
      </c>
      <c r="F114" s="77">
        <f ca="1">IFERROR(__xludf.DUMMYFUNCTION("IMPORTRANGE(""https://docs.google.com/spreadsheets/d/1C3CXT74ZlgGe6_JY_1olB1XN4rF0dxEuIIF-xsYjHgg/edit?usp=sharing"",""พรบ!BP118"")"),0)</f>
        <v>0</v>
      </c>
      <c r="G114" s="77">
        <f ca="1">IFERROR(__xludf.DUMMYFUNCTION("IMPORTRANGE(""https://docs.google.com/spreadsheets/d/1Yj_ptqi66GCucihVvJfMjLAmec39IyEx_6qawtMGysU/edit?usp=sharing"",""สบก!CR118"")"),0)</f>
        <v>0</v>
      </c>
      <c r="H114" s="77">
        <f ca="1">IFERROR(__xludf.DUMMYFUNCTION("IMPORTRANGE(""https://docs.google.com/spreadsheets/d/1Yj_ptqi66GCucihVvJfMjLAmec39IyEx_6qawtMGysU/edit?usp=shCTing"",""สบก!CT118"")"),0)</f>
        <v>0</v>
      </c>
      <c r="I114" s="77">
        <f t="shared" ca="1" si="73"/>
        <v>0</v>
      </c>
      <c r="J114" s="79">
        <f t="shared" ca="1" si="74"/>
        <v>0</v>
      </c>
      <c r="K114" s="77">
        <f ca="1">IFERROR(__xludf.DUMMYFUNCTION("IMPORTRANGE(""https://docs.google.com/spreadsheets/d/1Yj_ptqi66GCucihVvJfMjLAmec39IyEx_6qawtMGysU/edit?usp=sharing"",""สบก!BB118"")"),0)</f>
        <v>0</v>
      </c>
      <c r="L114" s="79">
        <f t="shared" ca="1" si="75"/>
        <v>0</v>
      </c>
      <c r="M114" s="79">
        <f t="shared" ca="1" si="76"/>
        <v>0</v>
      </c>
      <c r="N114" s="80">
        <f ca="1">IFERROR(__xludf.DUMMYFUNCTION("IMPORTRANGE(""https://docs.google.com/spreadsheets/d/1Yj_ptqi66GCucihVvJfMjLAmec39IyEx_6qawtMGysU/edit?usp=sharing"",""สบก!CV118"")"),0)</f>
        <v>0</v>
      </c>
      <c r="O114" s="79">
        <f t="shared" ca="1" si="77"/>
        <v>0</v>
      </c>
      <c r="P114" s="77">
        <v>0</v>
      </c>
      <c r="Q114" s="77">
        <v>0</v>
      </c>
      <c r="R114" s="77">
        <v>0</v>
      </c>
      <c r="S114" s="79">
        <f t="shared" si="78"/>
        <v>0</v>
      </c>
      <c r="T114" s="77">
        <v>0</v>
      </c>
      <c r="U114" s="112">
        <f t="shared" ca="1" si="11"/>
        <v>0</v>
      </c>
      <c r="V114" s="76">
        <f t="shared" ca="1" si="79"/>
        <v>0</v>
      </c>
      <c r="W114" s="77">
        <f ca="1">IFERROR(__xludf.DUMMYFUNCTION("IMPORTRANGE(""https://docs.google.com/spreadsheets/d/1C3CXT74ZlgGe6_JY_1olB1XN4rF0dxEuIIF-xsYjHgg/edit?usp=sharing"",""พรบ!BT118"")"),0)</f>
        <v>0</v>
      </c>
      <c r="X114" s="77">
        <f ca="1">IFERROR(__xludf.DUMMYFUNCTION("IMPORTRANGE(""https://docs.google.com/spreadsheets/d/1C3CXT74ZlgGe6_JY_1olB1XN4rF0dxEuIIF-xsYjHgg/edit?usp=sharing"",""พรบ!BU118"")"),0)</f>
        <v>0</v>
      </c>
      <c r="Y114" s="77">
        <f ca="1">IFERROR(__xludf.DUMMYFUNCTION("IMPORTRANGE(""https://docs.google.com/spreadsheets/d/1Yj_ptqi66GCucihVvJfMjLAmec39IyEx_6qawtMGysU/edit?usp=sharing"",""สบก!DA118"")"),0)</f>
        <v>0</v>
      </c>
      <c r="Z114" s="77">
        <f ca="1">IFERROR(__xludf.DUMMYFUNCTION("IMPORTRANGE(""https://docs.google.com/spreadsheets/d/1Yj_ptqi66GCucihVvJfMjLAmec39IyEx_6qawtMGysU/edit?usp=shDCing"",""สบก!DC118"")"),0)</f>
        <v>0</v>
      </c>
      <c r="AA114" s="77">
        <f t="shared" ca="1" si="80"/>
        <v>0</v>
      </c>
      <c r="AB114" s="79">
        <f t="shared" ca="1" si="81"/>
        <v>0</v>
      </c>
      <c r="AC114" s="77">
        <f ca="1">IFERROR(__xludf.DUMMYFUNCTION("IMPORTRANGE(""https://docs.google.com/spreadsheets/d/1Yj_ptqi66GCucihVvJfMjLAmec39IyEx_6qawtMGysU/edit?usp=sharing"",""สบก!BB118"")"),0)</f>
        <v>0</v>
      </c>
      <c r="AD114" s="79">
        <f t="shared" ca="1" si="82"/>
        <v>0</v>
      </c>
      <c r="AE114" s="79">
        <f t="shared" ca="1" si="83"/>
        <v>0</v>
      </c>
      <c r="AF114" s="80">
        <f ca="1">IFERROR(__xludf.DUMMYFUNCTION("IMPORTRANGE(""https://docs.google.com/spreadsheets/d/1Yj_ptqi66GCucihVvJfMjLAmec39IyEx_6qawtMGysU/edit?usp=sharing"",""สบก!DE118"")"),0)</f>
        <v>0</v>
      </c>
      <c r="AG114" s="79">
        <f t="shared" ca="1" si="84"/>
        <v>0</v>
      </c>
      <c r="AH114" s="150">
        <v>0</v>
      </c>
      <c r="AI114" s="141">
        <v>0</v>
      </c>
      <c r="AJ114" s="140">
        <f t="shared" si="20"/>
        <v>0</v>
      </c>
      <c r="AK114" s="114"/>
      <c r="AL114" s="114"/>
      <c r="AM114" s="114"/>
      <c r="AN114" s="114"/>
      <c r="AO114" s="114"/>
      <c r="AP114" s="114"/>
    </row>
    <row r="115" spans="1:42" ht="24" hidden="1" customHeight="1">
      <c r="A115" s="113">
        <v>9</v>
      </c>
      <c r="B115" s="111" t="s">
        <v>139</v>
      </c>
      <c r="C115" s="112">
        <f t="shared" ca="1" si="0"/>
        <v>0</v>
      </c>
      <c r="D115" s="76">
        <f t="shared" ca="1" si="72"/>
        <v>0</v>
      </c>
      <c r="E115" s="77">
        <f ca="1">IFERROR(__xludf.DUMMYFUNCTION("IMPORTRANGE(""https://docs.google.com/spreadsheets/d/1C3CXT74ZlgGe6_JY_1olB1XN4rF0dxEuIIF-xsYjHgg/edit?usp=sharing"",""พรบ!BO119"")"),0)</f>
        <v>0</v>
      </c>
      <c r="F115" s="77">
        <f ca="1">IFERROR(__xludf.DUMMYFUNCTION("IMPORTRANGE(""https://docs.google.com/spreadsheets/d/1C3CXT74ZlgGe6_JY_1olB1XN4rF0dxEuIIF-xsYjHgg/edit?usp=sharing"",""พรบ!BP119"")"),0)</f>
        <v>0</v>
      </c>
      <c r="G115" s="77">
        <f ca="1">IFERROR(__xludf.DUMMYFUNCTION("IMPORTRANGE(""https://docs.google.com/spreadsheets/d/1Yj_ptqi66GCucihVvJfMjLAmec39IyEx_6qawtMGysU/edit?usp=sharing"",""สบก!CR119"")"),0)</f>
        <v>0</v>
      </c>
      <c r="H115" s="77">
        <f ca="1">IFERROR(__xludf.DUMMYFUNCTION("IMPORTRANGE(""https://docs.google.com/spreadsheets/d/1Yj_ptqi66GCucihVvJfMjLAmec39IyEx_6qawtMGysU/edit?usp=shCTing"",""สบก!CT119"")"),0)</f>
        <v>0</v>
      </c>
      <c r="I115" s="77">
        <f t="shared" ca="1" si="73"/>
        <v>0</v>
      </c>
      <c r="J115" s="79">
        <f t="shared" ca="1" si="74"/>
        <v>0</v>
      </c>
      <c r="K115" s="77">
        <f ca="1">IFERROR(__xludf.DUMMYFUNCTION("IMPORTRANGE(""https://docs.google.com/spreadsheets/d/1Yj_ptqi66GCucihVvJfMjLAmec39IyEx_6qawtMGysU/edit?usp=sharing"",""สบก!BB119"")"),0)</f>
        <v>0</v>
      </c>
      <c r="L115" s="79">
        <f t="shared" ca="1" si="75"/>
        <v>0</v>
      </c>
      <c r="M115" s="79">
        <f t="shared" ca="1" si="76"/>
        <v>0</v>
      </c>
      <c r="N115" s="80">
        <f ca="1">IFERROR(__xludf.DUMMYFUNCTION("IMPORTRANGE(""https://docs.google.com/spreadsheets/d/1Yj_ptqi66GCucihVvJfMjLAmec39IyEx_6qawtMGysU/edit?usp=sharing"",""สบก!CV119"")"),0)</f>
        <v>0</v>
      </c>
      <c r="O115" s="79">
        <f t="shared" ca="1" si="77"/>
        <v>0</v>
      </c>
      <c r="P115" s="77">
        <v>0</v>
      </c>
      <c r="Q115" s="77">
        <v>0</v>
      </c>
      <c r="R115" s="77">
        <v>0</v>
      </c>
      <c r="S115" s="79">
        <f t="shared" si="78"/>
        <v>0</v>
      </c>
      <c r="T115" s="77">
        <v>0</v>
      </c>
      <c r="U115" s="112">
        <f t="shared" ca="1" si="11"/>
        <v>0</v>
      </c>
      <c r="V115" s="76">
        <f t="shared" ca="1" si="79"/>
        <v>0</v>
      </c>
      <c r="W115" s="77">
        <f ca="1">IFERROR(__xludf.DUMMYFUNCTION("IMPORTRANGE(""https://docs.google.com/spreadsheets/d/1C3CXT74ZlgGe6_JY_1olB1XN4rF0dxEuIIF-xsYjHgg/edit?usp=sharing"",""พรบ!BT119"")"),0)</f>
        <v>0</v>
      </c>
      <c r="X115" s="77">
        <f ca="1">IFERROR(__xludf.DUMMYFUNCTION("IMPORTRANGE(""https://docs.google.com/spreadsheets/d/1C3CXT74ZlgGe6_JY_1olB1XN4rF0dxEuIIF-xsYjHgg/edit?usp=sharing"",""พรบ!BU119"")"),0)</f>
        <v>0</v>
      </c>
      <c r="Y115" s="77">
        <f ca="1">IFERROR(__xludf.DUMMYFUNCTION("IMPORTRANGE(""https://docs.google.com/spreadsheets/d/1Yj_ptqi66GCucihVvJfMjLAmec39IyEx_6qawtMGysU/edit?usp=sharing"",""สบก!DA119"")"),0)</f>
        <v>0</v>
      </c>
      <c r="Z115" s="77">
        <f ca="1">IFERROR(__xludf.DUMMYFUNCTION("IMPORTRANGE(""https://docs.google.com/spreadsheets/d/1Yj_ptqi66GCucihVvJfMjLAmec39IyEx_6qawtMGysU/edit?usp=shDCing"",""สบก!DC119"")"),0)</f>
        <v>0</v>
      </c>
      <c r="AA115" s="77">
        <f t="shared" ca="1" si="80"/>
        <v>0</v>
      </c>
      <c r="AB115" s="79">
        <f t="shared" ca="1" si="81"/>
        <v>0</v>
      </c>
      <c r="AC115" s="77">
        <f ca="1">IFERROR(__xludf.DUMMYFUNCTION("IMPORTRANGE(""https://docs.google.com/spreadsheets/d/1Yj_ptqi66GCucihVvJfMjLAmec39IyEx_6qawtMGysU/edit?usp=sharing"",""สบก!BB119"")"),0)</f>
        <v>0</v>
      </c>
      <c r="AD115" s="79">
        <f t="shared" ca="1" si="82"/>
        <v>0</v>
      </c>
      <c r="AE115" s="79">
        <f t="shared" ca="1" si="83"/>
        <v>0</v>
      </c>
      <c r="AF115" s="80">
        <f ca="1">IFERROR(__xludf.DUMMYFUNCTION("IMPORTRANGE(""https://docs.google.com/spreadsheets/d/1Yj_ptqi66GCucihVvJfMjLAmec39IyEx_6qawtMGysU/edit?usp=sharing"",""สบก!DE119"")"),0)</f>
        <v>0</v>
      </c>
      <c r="AG115" s="79">
        <f t="shared" ca="1" si="84"/>
        <v>0</v>
      </c>
      <c r="AH115" s="149">
        <v>0</v>
      </c>
      <c r="AI115" s="77">
        <v>0</v>
      </c>
      <c r="AJ115" s="137">
        <v>0</v>
      </c>
      <c r="AK115" s="114"/>
      <c r="AL115" s="114"/>
      <c r="AM115" s="114"/>
      <c r="AN115" s="114"/>
      <c r="AO115" s="114"/>
      <c r="AP115" s="114"/>
    </row>
    <row r="116" spans="1:42" ht="24" hidden="1" customHeight="1">
      <c r="A116" s="113">
        <v>10</v>
      </c>
      <c r="B116" s="111" t="s">
        <v>140</v>
      </c>
      <c r="C116" s="112">
        <f t="shared" ca="1" si="0"/>
        <v>0</v>
      </c>
      <c r="D116" s="76">
        <f t="shared" ca="1" si="72"/>
        <v>0</v>
      </c>
      <c r="E116" s="77">
        <f ca="1">IFERROR(__xludf.DUMMYFUNCTION("IMPORTRANGE(""https://docs.google.com/spreadsheets/d/1C3CXT74ZlgGe6_JY_1olB1XN4rF0dxEuIIF-xsYjHgg/edit?usp=sharing"",""พรบ!BO120"")"),0)</f>
        <v>0</v>
      </c>
      <c r="F116" s="77">
        <f ca="1">IFERROR(__xludf.DUMMYFUNCTION("IMPORTRANGE(""https://docs.google.com/spreadsheets/d/1C3CXT74ZlgGe6_JY_1olB1XN4rF0dxEuIIF-xsYjHgg/edit?usp=sharing"",""พรบ!BP120"")"),0)</f>
        <v>0</v>
      </c>
      <c r="G116" s="77">
        <f ca="1">IFERROR(__xludf.DUMMYFUNCTION("IMPORTRANGE(""https://docs.google.com/spreadsheets/d/1Yj_ptqi66GCucihVvJfMjLAmec39IyEx_6qawtMGysU/edit?usp=sharing"",""สบก!CR120"")"),0)</f>
        <v>0</v>
      </c>
      <c r="H116" s="77">
        <f ca="1">IFERROR(__xludf.DUMMYFUNCTION("IMPORTRANGE(""https://docs.google.com/spreadsheets/d/1Yj_ptqi66GCucihVvJfMjLAmec39IyEx_6qawtMGysU/edit?usp=shCTing"",""สบก!CT120"")"),0)</f>
        <v>0</v>
      </c>
      <c r="I116" s="77">
        <f t="shared" ca="1" si="73"/>
        <v>0</v>
      </c>
      <c r="J116" s="79">
        <f t="shared" ca="1" si="74"/>
        <v>0</v>
      </c>
      <c r="K116" s="77">
        <f ca="1">IFERROR(__xludf.DUMMYFUNCTION("IMPORTRANGE(""https://docs.google.com/spreadsheets/d/1Yj_ptqi66GCucihVvJfMjLAmec39IyEx_6qawtMGysU/edit?usp=sharing"",""สบก!BB120"")"),0)</f>
        <v>0</v>
      </c>
      <c r="L116" s="79">
        <f t="shared" ca="1" si="75"/>
        <v>0</v>
      </c>
      <c r="M116" s="79">
        <f t="shared" ca="1" si="76"/>
        <v>0</v>
      </c>
      <c r="N116" s="80">
        <f ca="1">IFERROR(__xludf.DUMMYFUNCTION("IMPORTRANGE(""https://docs.google.com/spreadsheets/d/1Yj_ptqi66GCucihVvJfMjLAmec39IyEx_6qawtMGysU/edit?usp=sharing"",""สบก!CV120"")"),0)</f>
        <v>0</v>
      </c>
      <c r="O116" s="79">
        <f t="shared" ca="1" si="77"/>
        <v>0</v>
      </c>
      <c r="P116" s="77">
        <v>0</v>
      </c>
      <c r="Q116" s="77">
        <v>0</v>
      </c>
      <c r="R116" s="77">
        <v>0</v>
      </c>
      <c r="S116" s="79">
        <f t="shared" si="78"/>
        <v>0</v>
      </c>
      <c r="T116" s="77">
        <v>0</v>
      </c>
      <c r="U116" s="112">
        <f t="shared" ca="1" si="11"/>
        <v>0</v>
      </c>
      <c r="V116" s="76">
        <f t="shared" ca="1" si="79"/>
        <v>0</v>
      </c>
      <c r="W116" s="77">
        <f ca="1">IFERROR(__xludf.DUMMYFUNCTION("IMPORTRANGE(""https://docs.google.com/spreadsheets/d/1C3CXT74ZlgGe6_JY_1olB1XN4rF0dxEuIIF-xsYjHgg/edit?usp=sharing"",""พรบ!BT120"")"),0)</f>
        <v>0</v>
      </c>
      <c r="X116" s="77">
        <f ca="1">IFERROR(__xludf.DUMMYFUNCTION("IMPORTRANGE(""https://docs.google.com/spreadsheets/d/1C3CXT74ZlgGe6_JY_1olB1XN4rF0dxEuIIF-xsYjHgg/edit?usp=sharing"",""พรบ!BU120"")"),0)</f>
        <v>0</v>
      </c>
      <c r="Y116" s="77">
        <f ca="1">IFERROR(__xludf.DUMMYFUNCTION("IMPORTRANGE(""https://docs.google.com/spreadsheets/d/1Yj_ptqi66GCucihVvJfMjLAmec39IyEx_6qawtMGysU/edit?usp=sharing"",""สบก!DA120"")"),0)</f>
        <v>0</v>
      </c>
      <c r="Z116" s="77">
        <f ca="1">IFERROR(__xludf.DUMMYFUNCTION("IMPORTRANGE(""https://docs.google.com/spreadsheets/d/1Yj_ptqi66GCucihVvJfMjLAmec39IyEx_6qawtMGysU/edit?usp=shDCing"",""สบก!DC120"")"),0)</f>
        <v>0</v>
      </c>
      <c r="AA116" s="77">
        <f t="shared" ca="1" si="80"/>
        <v>0</v>
      </c>
      <c r="AB116" s="79">
        <f t="shared" ca="1" si="81"/>
        <v>0</v>
      </c>
      <c r="AC116" s="77">
        <f ca="1">IFERROR(__xludf.DUMMYFUNCTION("IMPORTRANGE(""https://docs.google.com/spreadsheets/d/1Yj_ptqi66GCucihVvJfMjLAmec39IyEx_6qawtMGysU/edit?usp=sharing"",""สบก!BB120"")"),0)</f>
        <v>0</v>
      </c>
      <c r="AD116" s="79">
        <f t="shared" ca="1" si="82"/>
        <v>0</v>
      </c>
      <c r="AE116" s="79">
        <f t="shared" ca="1" si="83"/>
        <v>0</v>
      </c>
      <c r="AF116" s="80">
        <f ca="1">IFERROR(__xludf.DUMMYFUNCTION("IMPORTRANGE(""https://docs.google.com/spreadsheets/d/1Yj_ptqi66GCucihVvJfMjLAmec39IyEx_6qawtMGysU/edit?usp=sharing"",""สบก!DE120"")"),0)</f>
        <v>0</v>
      </c>
      <c r="AG116" s="79">
        <f t="shared" ca="1" si="84"/>
        <v>0</v>
      </c>
      <c r="AH116" s="149">
        <v>0</v>
      </c>
      <c r="AI116" s="77">
        <v>0</v>
      </c>
      <c r="AJ116" s="137">
        <v>0</v>
      </c>
      <c r="AK116" s="114"/>
      <c r="AL116" s="114"/>
      <c r="AM116" s="114"/>
      <c r="AN116" s="114"/>
      <c r="AO116" s="114"/>
      <c r="AP116" s="114"/>
    </row>
    <row r="117" spans="1:42" ht="24" hidden="1" customHeight="1">
      <c r="A117" s="113">
        <v>11</v>
      </c>
      <c r="B117" s="111" t="s">
        <v>141</v>
      </c>
      <c r="C117" s="112">
        <f t="shared" ca="1" si="0"/>
        <v>0</v>
      </c>
      <c r="D117" s="76">
        <f t="shared" ca="1" si="72"/>
        <v>0</v>
      </c>
      <c r="E117" s="77">
        <f ca="1">IFERROR(__xludf.DUMMYFUNCTION("IMPORTRANGE(""https://docs.google.com/spreadsheets/d/1C3CXT74ZlgGe6_JY_1olB1XN4rF0dxEuIIF-xsYjHgg/edit?usp=sharing"",""พรบ!BO121"")"),0)</f>
        <v>0</v>
      </c>
      <c r="F117" s="77">
        <f ca="1">IFERROR(__xludf.DUMMYFUNCTION("IMPORTRANGE(""https://docs.google.com/spreadsheets/d/1C3CXT74ZlgGe6_JY_1olB1XN4rF0dxEuIIF-xsYjHgg/edit?usp=sharing"",""พรบ!BP121"")"),0)</f>
        <v>0</v>
      </c>
      <c r="G117" s="77">
        <f ca="1">IFERROR(__xludf.DUMMYFUNCTION("IMPORTRANGE(""https://docs.google.com/spreadsheets/d/1Yj_ptqi66GCucihVvJfMjLAmec39IyEx_6qawtMGysU/edit?usp=sharing"",""สบก!CR121"")"),0)</f>
        <v>0</v>
      </c>
      <c r="H117" s="77">
        <f ca="1">IFERROR(__xludf.DUMMYFUNCTION("IMPORTRANGE(""https://docs.google.com/spreadsheets/d/1Yj_ptqi66GCucihVvJfMjLAmec39IyEx_6qawtMGysU/edit?usp=shCTing"",""สบก!CT121"")"),0)</f>
        <v>0</v>
      </c>
      <c r="I117" s="77">
        <f t="shared" ca="1" si="73"/>
        <v>0</v>
      </c>
      <c r="J117" s="79">
        <f t="shared" ca="1" si="74"/>
        <v>0</v>
      </c>
      <c r="K117" s="77">
        <f ca="1">IFERROR(__xludf.DUMMYFUNCTION("IMPORTRANGE(""https://docs.google.com/spreadsheets/d/1Yj_ptqi66GCucihVvJfMjLAmec39IyEx_6qawtMGysU/edit?usp=sharing"",""สบก!BB121"")"),0)</f>
        <v>0</v>
      </c>
      <c r="L117" s="79">
        <f t="shared" ca="1" si="75"/>
        <v>0</v>
      </c>
      <c r="M117" s="79">
        <f t="shared" ca="1" si="76"/>
        <v>0</v>
      </c>
      <c r="N117" s="80">
        <f ca="1">IFERROR(__xludf.DUMMYFUNCTION("IMPORTRANGE(""https://docs.google.com/spreadsheets/d/1Yj_ptqi66GCucihVvJfMjLAmec39IyEx_6qawtMGysU/edit?usp=sharing"",""สบก!CV121"")"),0)</f>
        <v>0</v>
      </c>
      <c r="O117" s="79">
        <f t="shared" ca="1" si="77"/>
        <v>0</v>
      </c>
      <c r="P117" s="77">
        <v>0</v>
      </c>
      <c r="Q117" s="77">
        <v>0</v>
      </c>
      <c r="R117" s="77">
        <v>0</v>
      </c>
      <c r="S117" s="79">
        <f t="shared" si="78"/>
        <v>0</v>
      </c>
      <c r="T117" s="77">
        <v>0</v>
      </c>
      <c r="U117" s="112">
        <f t="shared" ca="1" si="11"/>
        <v>0</v>
      </c>
      <c r="V117" s="76">
        <f t="shared" ca="1" si="79"/>
        <v>0</v>
      </c>
      <c r="W117" s="77">
        <f ca="1">IFERROR(__xludf.DUMMYFUNCTION("IMPORTRANGE(""https://docs.google.com/spreadsheets/d/1C3CXT74ZlgGe6_JY_1olB1XN4rF0dxEuIIF-xsYjHgg/edit?usp=sharing"",""พรบ!BT121"")"),0)</f>
        <v>0</v>
      </c>
      <c r="X117" s="77">
        <f ca="1">IFERROR(__xludf.DUMMYFUNCTION("IMPORTRANGE(""https://docs.google.com/spreadsheets/d/1C3CXT74ZlgGe6_JY_1olB1XN4rF0dxEuIIF-xsYjHgg/edit?usp=sharing"",""พรบ!BU121"")"),0)</f>
        <v>0</v>
      </c>
      <c r="Y117" s="77">
        <f ca="1">IFERROR(__xludf.DUMMYFUNCTION("IMPORTRANGE(""https://docs.google.com/spreadsheets/d/1Yj_ptqi66GCucihVvJfMjLAmec39IyEx_6qawtMGysU/edit?usp=sharing"",""สบก!DA121"")"),0)</f>
        <v>0</v>
      </c>
      <c r="Z117" s="77">
        <f ca="1">IFERROR(__xludf.DUMMYFUNCTION("IMPORTRANGE(""https://docs.google.com/spreadsheets/d/1Yj_ptqi66GCucihVvJfMjLAmec39IyEx_6qawtMGysU/edit?usp=shDCing"",""สบก!DC121"")"),0)</f>
        <v>0</v>
      </c>
      <c r="AA117" s="77">
        <f t="shared" ca="1" si="80"/>
        <v>0</v>
      </c>
      <c r="AB117" s="79">
        <f t="shared" ca="1" si="81"/>
        <v>0</v>
      </c>
      <c r="AC117" s="77">
        <f ca="1">IFERROR(__xludf.DUMMYFUNCTION("IMPORTRANGE(""https://docs.google.com/spreadsheets/d/1Yj_ptqi66GCucihVvJfMjLAmec39IyEx_6qawtMGysU/edit?usp=sharing"",""สบก!BB121"")"),0)</f>
        <v>0</v>
      </c>
      <c r="AD117" s="79">
        <f t="shared" ca="1" si="82"/>
        <v>0</v>
      </c>
      <c r="AE117" s="79">
        <f t="shared" ca="1" si="83"/>
        <v>0</v>
      </c>
      <c r="AF117" s="80">
        <f ca="1">IFERROR(__xludf.DUMMYFUNCTION("IMPORTRANGE(""https://docs.google.com/spreadsheets/d/1Yj_ptqi66GCucihVvJfMjLAmec39IyEx_6qawtMGysU/edit?usp=sharing"",""สบก!DE121"")"),0)</f>
        <v>0</v>
      </c>
      <c r="AG117" s="79">
        <f t="shared" ca="1" si="84"/>
        <v>0</v>
      </c>
      <c r="AH117" s="149">
        <v>0</v>
      </c>
      <c r="AI117" s="77">
        <v>0</v>
      </c>
      <c r="AJ117" s="137">
        <v>0</v>
      </c>
      <c r="AK117" s="114"/>
      <c r="AL117" s="114"/>
      <c r="AM117" s="114"/>
      <c r="AN117" s="114"/>
      <c r="AO117" s="114"/>
      <c r="AP117" s="114"/>
    </row>
    <row r="118" spans="1:42" ht="24" hidden="1" customHeight="1">
      <c r="A118" s="113">
        <v>12</v>
      </c>
      <c r="B118" s="111" t="s">
        <v>142</v>
      </c>
      <c r="C118" s="112">
        <f t="shared" ca="1" si="0"/>
        <v>0</v>
      </c>
      <c r="D118" s="76">
        <f t="shared" ca="1" si="72"/>
        <v>0</v>
      </c>
      <c r="E118" s="77">
        <f ca="1">IFERROR(__xludf.DUMMYFUNCTION("IMPORTRANGE(""https://docs.google.com/spreadsheets/d/1C3CXT74ZlgGe6_JY_1olB1XN4rF0dxEuIIF-xsYjHgg/edit?usp=sharing"",""พรบ!BO122"")"),0)</f>
        <v>0</v>
      </c>
      <c r="F118" s="77">
        <f ca="1">IFERROR(__xludf.DUMMYFUNCTION("IMPORTRANGE(""https://docs.google.com/spreadsheets/d/1C3CXT74ZlgGe6_JY_1olB1XN4rF0dxEuIIF-xsYjHgg/edit?usp=sharing"",""พรบ!BP122"")"),0)</f>
        <v>0</v>
      </c>
      <c r="G118" s="77">
        <f ca="1">IFERROR(__xludf.DUMMYFUNCTION("IMPORTRANGE(""https://docs.google.com/spreadsheets/d/1Yj_ptqi66GCucihVvJfMjLAmec39IyEx_6qawtMGysU/edit?usp=sharing"",""สบก!CR122"")"),0)</f>
        <v>0</v>
      </c>
      <c r="H118" s="77">
        <f ca="1">IFERROR(__xludf.DUMMYFUNCTION("IMPORTRANGE(""https://docs.google.com/spreadsheets/d/1Yj_ptqi66GCucihVvJfMjLAmec39IyEx_6qawtMGysU/edit?usp=shCTing"",""สบก!CT122"")"),0)</f>
        <v>0</v>
      </c>
      <c r="I118" s="77">
        <f t="shared" ca="1" si="73"/>
        <v>0</v>
      </c>
      <c r="J118" s="79">
        <f t="shared" ca="1" si="74"/>
        <v>0</v>
      </c>
      <c r="K118" s="77">
        <f ca="1">IFERROR(__xludf.DUMMYFUNCTION("IMPORTRANGE(""https://docs.google.com/spreadsheets/d/1Yj_ptqi66GCucihVvJfMjLAmec39IyEx_6qawtMGysU/edit?usp=sharing"",""สบก!BB122"")"),0)</f>
        <v>0</v>
      </c>
      <c r="L118" s="79">
        <f t="shared" ca="1" si="75"/>
        <v>0</v>
      </c>
      <c r="M118" s="79">
        <f t="shared" ca="1" si="76"/>
        <v>0</v>
      </c>
      <c r="N118" s="80">
        <f ca="1">IFERROR(__xludf.DUMMYFUNCTION("IMPORTRANGE(""https://docs.google.com/spreadsheets/d/1Yj_ptqi66GCucihVvJfMjLAmec39IyEx_6qawtMGysU/edit?usp=sharing"",""สบก!CV122"")"),0)</f>
        <v>0</v>
      </c>
      <c r="O118" s="79">
        <f t="shared" ca="1" si="77"/>
        <v>0</v>
      </c>
      <c r="P118" s="77">
        <v>0</v>
      </c>
      <c r="Q118" s="77">
        <v>0</v>
      </c>
      <c r="R118" s="77">
        <v>0</v>
      </c>
      <c r="S118" s="79">
        <f t="shared" si="78"/>
        <v>0</v>
      </c>
      <c r="T118" s="77">
        <v>0</v>
      </c>
      <c r="U118" s="112">
        <f t="shared" ca="1" si="11"/>
        <v>0</v>
      </c>
      <c r="V118" s="76">
        <f t="shared" ca="1" si="79"/>
        <v>0</v>
      </c>
      <c r="W118" s="77">
        <f ca="1">IFERROR(__xludf.DUMMYFUNCTION("IMPORTRANGE(""https://docs.google.com/spreadsheets/d/1C3CXT74ZlgGe6_JY_1olB1XN4rF0dxEuIIF-xsYjHgg/edit?usp=sharing"",""พรบ!BT122"")"),0)</f>
        <v>0</v>
      </c>
      <c r="X118" s="77">
        <f ca="1">IFERROR(__xludf.DUMMYFUNCTION("IMPORTRANGE(""https://docs.google.com/spreadsheets/d/1C3CXT74ZlgGe6_JY_1olB1XN4rF0dxEuIIF-xsYjHgg/edit?usp=sharing"",""พรบ!BU122"")"),0)</f>
        <v>0</v>
      </c>
      <c r="Y118" s="77">
        <f ca="1">IFERROR(__xludf.DUMMYFUNCTION("IMPORTRANGE(""https://docs.google.com/spreadsheets/d/1Yj_ptqi66GCucihVvJfMjLAmec39IyEx_6qawtMGysU/edit?usp=sharing"",""สบก!DA122"")"),0)</f>
        <v>0</v>
      </c>
      <c r="Z118" s="77">
        <f ca="1">IFERROR(__xludf.DUMMYFUNCTION("IMPORTRANGE(""https://docs.google.com/spreadsheets/d/1Yj_ptqi66GCucihVvJfMjLAmec39IyEx_6qawtMGysU/edit?usp=shDCing"",""สบก!DC122"")"),0)</f>
        <v>0</v>
      </c>
      <c r="AA118" s="77">
        <f t="shared" ca="1" si="80"/>
        <v>0</v>
      </c>
      <c r="AB118" s="79">
        <f t="shared" ca="1" si="81"/>
        <v>0</v>
      </c>
      <c r="AC118" s="77">
        <f ca="1">IFERROR(__xludf.DUMMYFUNCTION("IMPORTRANGE(""https://docs.google.com/spreadsheets/d/1Yj_ptqi66GCucihVvJfMjLAmec39IyEx_6qawtMGysU/edit?usp=sharing"",""สบก!BB122"")"),0)</f>
        <v>0</v>
      </c>
      <c r="AD118" s="79">
        <f t="shared" ca="1" si="82"/>
        <v>0</v>
      </c>
      <c r="AE118" s="79">
        <f t="shared" ca="1" si="83"/>
        <v>0</v>
      </c>
      <c r="AF118" s="80">
        <f ca="1">IFERROR(__xludf.DUMMYFUNCTION("IMPORTRANGE(""https://docs.google.com/spreadsheets/d/1Yj_ptqi66GCucihVvJfMjLAmec39IyEx_6qawtMGysU/edit?usp=sharing"",""สบก!DE122"")"),0)</f>
        <v>0</v>
      </c>
      <c r="AG118" s="79">
        <f t="shared" ca="1" si="84"/>
        <v>0</v>
      </c>
      <c r="AH118" s="149">
        <v>0</v>
      </c>
      <c r="AI118" s="77">
        <v>0</v>
      </c>
      <c r="AJ118" s="137">
        <v>0</v>
      </c>
      <c r="AK118" s="114"/>
      <c r="AL118" s="114"/>
      <c r="AM118" s="114"/>
      <c r="AN118" s="114"/>
      <c r="AO118" s="114"/>
      <c r="AP118" s="114"/>
    </row>
    <row r="119" spans="1:42" ht="24" hidden="1" customHeight="1">
      <c r="A119" s="113">
        <v>13</v>
      </c>
      <c r="B119" s="111" t="s">
        <v>143</v>
      </c>
      <c r="C119" s="112">
        <f t="shared" ca="1" si="0"/>
        <v>0</v>
      </c>
      <c r="D119" s="76">
        <f t="shared" ca="1" si="72"/>
        <v>0</v>
      </c>
      <c r="E119" s="77">
        <f ca="1">IFERROR(__xludf.DUMMYFUNCTION("IMPORTRANGE(""https://docs.google.com/spreadsheets/d/1C3CXT74ZlgGe6_JY_1olB1XN4rF0dxEuIIF-xsYjHgg/edit?usp=sharing"",""พรบ!BO123"")"),0)</f>
        <v>0</v>
      </c>
      <c r="F119" s="77">
        <f ca="1">IFERROR(__xludf.DUMMYFUNCTION("IMPORTRANGE(""https://docs.google.com/spreadsheets/d/1C3CXT74ZlgGe6_JY_1olB1XN4rF0dxEuIIF-xsYjHgg/edit?usp=sharing"",""พรบ!BP123"")"),0)</f>
        <v>0</v>
      </c>
      <c r="G119" s="77">
        <f ca="1">IFERROR(__xludf.DUMMYFUNCTION("IMPORTRANGE(""https://docs.google.com/spreadsheets/d/1Yj_ptqi66GCucihVvJfMjLAmec39IyEx_6qawtMGysU/edit?usp=sharing"",""สบก!CR123"")"),0)</f>
        <v>0</v>
      </c>
      <c r="H119" s="77">
        <f ca="1">IFERROR(__xludf.DUMMYFUNCTION("IMPORTRANGE(""https://docs.google.com/spreadsheets/d/1Yj_ptqi66GCucihVvJfMjLAmec39IyEx_6qawtMGysU/edit?usp=shCTing"",""สบก!CT123"")"),0)</f>
        <v>0</v>
      </c>
      <c r="I119" s="77">
        <f t="shared" ca="1" si="73"/>
        <v>0</v>
      </c>
      <c r="J119" s="79">
        <f t="shared" ca="1" si="74"/>
        <v>0</v>
      </c>
      <c r="K119" s="77">
        <f ca="1">IFERROR(__xludf.DUMMYFUNCTION("IMPORTRANGE(""https://docs.google.com/spreadsheets/d/1Yj_ptqi66GCucihVvJfMjLAmec39IyEx_6qawtMGysU/edit?usp=sharing"",""สบก!BB123"")"),0)</f>
        <v>0</v>
      </c>
      <c r="L119" s="79">
        <f t="shared" ca="1" si="75"/>
        <v>0</v>
      </c>
      <c r="M119" s="79">
        <f t="shared" ca="1" si="76"/>
        <v>0</v>
      </c>
      <c r="N119" s="80">
        <f ca="1">IFERROR(__xludf.DUMMYFUNCTION("IMPORTRANGE(""https://docs.google.com/spreadsheets/d/1Yj_ptqi66GCucihVvJfMjLAmec39IyEx_6qawtMGysU/edit?usp=sharing"",""สบก!CV123"")"),0)</f>
        <v>0</v>
      </c>
      <c r="O119" s="79">
        <f t="shared" ca="1" si="77"/>
        <v>0</v>
      </c>
      <c r="P119" s="77">
        <v>0</v>
      </c>
      <c r="Q119" s="77">
        <v>0</v>
      </c>
      <c r="R119" s="77">
        <v>0</v>
      </c>
      <c r="S119" s="79">
        <f t="shared" si="78"/>
        <v>0</v>
      </c>
      <c r="T119" s="77">
        <v>0</v>
      </c>
      <c r="U119" s="112">
        <f t="shared" ca="1" si="11"/>
        <v>0</v>
      </c>
      <c r="V119" s="76">
        <f t="shared" ca="1" si="79"/>
        <v>0</v>
      </c>
      <c r="W119" s="77">
        <f ca="1">IFERROR(__xludf.DUMMYFUNCTION("IMPORTRANGE(""https://docs.google.com/spreadsheets/d/1C3CXT74ZlgGe6_JY_1olB1XN4rF0dxEuIIF-xsYjHgg/edit?usp=sharing"",""พรบ!BT123"")"),0)</f>
        <v>0</v>
      </c>
      <c r="X119" s="77">
        <f ca="1">IFERROR(__xludf.DUMMYFUNCTION("IMPORTRANGE(""https://docs.google.com/spreadsheets/d/1C3CXT74ZlgGe6_JY_1olB1XN4rF0dxEuIIF-xsYjHgg/edit?usp=sharing"",""พรบ!BU123"")"),0)</f>
        <v>0</v>
      </c>
      <c r="Y119" s="77">
        <f ca="1">IFERROR(__xludf.DUMMYFUNCTION("IMPORTRANGE(""https://docs.google.com/spreadsheets/d/1Yj_ptqi66GCucihVvJfMjLAmec39IyEx_6qawtMGysU/edit?usp=sharing"",""สบก!DA123"")"),0)</f>
        <v>0</v>
      </c>
      <c r="Z119" s="77">
        <f ca="1">IFERROR(__xludf.DUMMYFUNCTION("IMPORTRANGE(""https://docs.google.com/spreadsheets/d/1Yj_ptqi66GCucihVvJfMjLAmec39IyEx_6qawtMGysU/edit?usp=shDCing"",""สบก!DC123"")"),0)</f>
        <v>0</v>
      </c>
      <c r="AA119" s="77">
        <f t="shared" ca="1" si="80"/>
        <v>0</v>
      </c>
      <c r="AB119" s="79">
        <f t="shared" ca="1" si="81"/>
        <v>0</v>
      </c>
      <c r="AC119" s="77">
        <f ca="1">IFERROR(__xludf.DUMMYFUNCTION("IMPORTRANGE(""https://docs.google.com/spreadsheets/d/1Yj_ptqi66GCucihVvJfMjLAmec39IyEx_6qawtMGysU/edit?usp=sharing"",""สบก!BB123"")"),0)</f>
        <v>0</v>
      </c>
      <c r="AD119" s="79">
        <f t="shared" ca="1" si="82"/>
        <v>0</v>
      </c>
      <c r="AE119" s="79">
        <f t="shared" ca="1" si="83"/>
        <v>0</v>
      </c>
      <c r="AF119" s="80">
        <f ca="1">IFERROR(__xludf.DUMMYFUNCTION("IMPORTRANGE(""https://docs.google.com/spreadsheets/d/1Yj_ptqi66GCucihVvJfMjLAmec39IyEx_6qawtMGysU/edit?usp=sharing"",""สบก!DE123"")"),0)</f>
        <v>0</v>
      </c>
      <c r="AG119" s="79">
        <f t="shared" ca="1" si="84"/>
        <v>0</v>
      </c>
      <c r="AH119" s="149">
        <v>0</v>
      </c>
      <c r="AI119" s="77">
        <v>0</v>
      </c>
      <c r="AJ119" s="137">
        <v>0</v>
      </c>
      <c r="AK119" s="114"/>
      <c r="AL119" s="114"/>
      <c r="AM119" s="114"/>
      <c r="AN119" s="114"/>
      <c r="AO119" s="114"/>
      <c r="AP119" s="114"/>
    </row>
    <row r="120" spans="1:42" ht="24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114"/>
      <c r="AL120" s="114"/>
      <c r="AM120" s="114"/>
      <c r="AN120" s="114"/>
      <c r="AO120" s="114"/>
      <c r="AP120" s="114"/>
    </row>
    <row r="121" spans="1:42" ht="24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114"/>
      <c r="AL121" s="114"/>
      <c r="AM121" s="114"/>
      <c r="AN121" s="114"/>
      <c r="AO121" s="114"/>
      <c r="AP121" s="114"/>
    </row>
    <row r="122" spans="1:42" ht="24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114"/>
      <c r="AL122" s="114"/>
      <c r="AM122" s="114"/>
      <c r="AN122" s="114"/>
      <c r="AO122" s="114"/>
      <c r="AP122" s="114"/>
    </row>
    <row r="123" spans="1:42" ht="24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114"/>
      <c r="AL123" s="114"/>
      <c r="AM123" s="114"/>
      <c r="AN123" s="114"/>
      <c r="AO123" s="114"/>
      <c r="AP123" s="114"/>
    </row>
    <row r="124" spans="1:42" ht="24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114"/>
      <c r="AL124" s="114"/>
      <c r="AM124" s="114"/>
      <c r="AN124" s="114"/>
      <c r="AO124" s="114"/>
      <c r="AP124" s="114"/>
    </row>
    <row r="125" spans="1:42" ht="24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114"/>
      <c r="AL125" s="114"/>
      <c r="AM125" s="114"/>
      <c r="AN125" s="114"/>
      <c r="AO125" s="114"/>
      <c r="AP125" s="114"/>
    </row>
    <row r="126" spans="1:42" ht="24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114"/>
      <c r="AL126" s="114"/>
      <c r="AM126" s="114"/>
      <c r="AN126" s="114"/>
      <c r="AO126" s="114"/>
      <c r="AP126" s="114"/>
    </row>
    <row r="127" spans="1:42" ht="24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114"/>
      <c r="AL127" s="114"/>
      <c r="AM127" s="114"/>
      <c r="AN127" s="114"/>
      <c r="AO127" s="114"/>
      <c r="AP127" s="114"/>
    </row>
    <row r="128" spans="1:42" ht="24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114"/>
      <c r="AL128" s="114"/>
      <c r="AM128" s="114"/>
      <c r="AN128" s="114"/>
      <c r="AO128" s="114"/>
      <c r="AP128" s="114"/>
    </row>
    <row r="129" spans="1:42" ht="24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114"/>
      <c r="AL129" s="114"/>
      <c r="AM129" s="114"/>
      <c r="AN129" s="114"/>
      <c r="AO129" s="114"/>
      <c r="AP129" s="114"/>
    </row>
    <row r="130" spans="1:42" ht="24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114"/>
      <c r="AL130" s="114"/>
      <c r="AM130" s="114"/>
      <c r="AN130" s="114"/>
      <c r="AO130" s="114"/>
      <c r="AP130" s="114"/>
    </row>
    <row r="131" spans="1:42" ht="24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114"/>
      <c r="AL131" s="114"/>
      <c r="AM131" s="114"/>
      <c r="AN131" s="114"/>
      <c r="AO131" s="114"/>
      <c r="AP131" s="114"/>
    </row>
    <row r="132" spans="1:42" ht="24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114"/>
      <c r="AL132" s="114"/>
      <c r="AM132" s="114"/>
      <c r="AN132" s="114"/>
      <c r="AO132" s="114"/>
      <c r="AP132" s="114"/>
    </row>
    <row r="133" spans="1:42" ht="24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114"/>
      <c r="AL133" s="114"/>
      <c r="AM133" s="114"/>
      <c r="AN133" s="114"/>
      <c r="AO133" s="114"/>
      <c r="AP133" s="114"/>
    </row>
    <row r="134" spans="1:42" ht="24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114"/>
      <c r="AL134" s="114"/>
      <c r="AM134" s="114"/>
      <c r="AN134" s="114"/>
      <c r="AO134" s="114"/>
      <c r="AP134" s="114"/>
    </row>
    <row r="135" spans="1:42" ht="24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114"/>
      <c r="AL135" s="114"/>
      <c r="AM135" s="114"/>
      <c r="AN135" s="114"/>
      <c r="AO135" s="114"/>
      <c r="AP135" s="114"/>
    </row>
    <row r="136" spans="1:42" ht="24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114"/>
      <c r="AL136" s="114"/>
      <c r="AM136" s="114"/>
      <c r="AN136" s="114"/>
      <c r="AO136" s="114"/>
      <c r="AP136" s="114"/>
    </row>
    <row r="137" spans="1:42" ht="24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114"/>
      <c r="AL137" s="114"/>
      <c r="AM137" s="114"/>
      <c r="AN137" s="114"/>
      <c r="AO137" s="114"/>
      <c r="AP137" s="114"/>
    </row>
    <row r="138" spans="1:42" ht="24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114"/>
      <c r="AL138" s="114"/>
      <c r="AM138" s="114"/>
      <c r="AN138" s="114"/>
      <c r="AO138" s="114"/>
      <c r="AP138" s="114"/>
    </row>
    <row r="139" spans="1:42" ht="24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114"/>
      <c r="AL139" s="114"/>
      <c r="AM139" s="114"/>
      <c r="AN139" s="114"/>
      <c r="AO139" s="114"/>
      <c r="AP139" s="114"/>
    </row>
    <row r="140" spans="1:42" ht="24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114"/>
      <c r="AL140" s="114"/>
      <c r="AM140" s="114"/>
      <c r="AN140" s="114"/>
      <c r="AO140" s="114"/>
      <c r="AP140" s="114"/>
    </row>
    <row r="141" spans="1:42" ht="24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114"/>
      <c r="AL141" s="114"/>
      <c r="AM141" s="114"/>
      <c r="AN141" s="114"/>
      <c r="AO141" s="114"/>
      <c r="AP141" s="114"/>
    </row>
    <row r="142" spans="1:42" ht="24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114"/>
      <c r="AL142" s="114"/>
      <c r="AM142" s="114"/>
      <c r="AN142" s="114"/>
      <c r="AO142" s="114"/>
      <c r="AP142" s="114"/>
    </row>
    <row r="143" spans="1:42" ht="24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114"/>
      <c r="AL143" s="114"/>
      <c r="AM143" s="114"/>
      <c r="AN143" s="114"/>
      <c r="AO143" s="114"/>
      <c r="AP143" s="114"/>
    </row>
    <row r="144" spans="1:42" ht="24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114"/>
      <c r="AL144" s="114"/>
      <c r="AM144" s="114"/>
      <c r="AN144" s="114"/>
      <c r="AO144" s="114"/>
      <c r="AP144" s="114"/>
    </row>
    <row r="145" spans="1:42" ht="24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114"/>
      <c r="AL145" s="114"/>
      <c r="AM145" s="114"/>
      <c r="AN145" s="114"/>
      <c r="AO145" s="114"/>
      <c r="AP145" s="114"/>
    </row>
    <row r="146" spans="1:42" ht="24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114"/>
      <c r="AL146" s="114"/>
      <c r="AM146" s="114"/>
      <c r="AN146" s="114"/>
      <c r="AO146" s="114"/>
      <c r="AP146" s="114"/>
    </row>
    <row r="147" spans="1:42" ht="24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114"/>
      <c r="AL147" s="114"/>
      <c r="AM147" s="114"/>
      <c r="AN147" s="114"/>
      <c r="AO147" s="114"/>
      <c r="AP147" s="114"/>
    </row>
    <row r="148" spans="1:42" ht="24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114"/>
      <c r="AL148" s="114"/>
      <c r="AM148" s="114"/>
      <c r="AN148" s="114"/>
      <c r="AO148" s="114"/>
      <c r="AP148" s="114"/>
    </row>
    <row r="149" spans="1:42" ht="24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114"/>
      <c r="AL149" s="114"/>
      <c r="AM149" s="114"/>
      <c r="AN149" s="114"/>
      <c r="AO149" s="114"/>
      <c r="AP149" s="114"/>
    </row>
    <row r="150" spans="1:42" ht="24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114"/>
      <c r="AL150" s="114"/>
      <c r="AM150" s="114"/>
      <c r="AN150" s="114"/>
      <c r="AO150" s="114"/>
      <c r="AP150" s="114"/>
    </row>
    <row r="151" spans="1:42" ht="24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114"/>
      <c r="AL151" s="114"/>
      <c r="AM151" s="114"/>
      <c r="AN151" s="114"/>
      <c r="AO151" s="114"/>
      <c r="AP151" s="114"/>
    </row>
    <row r="152" spans="1:42" ht="24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114"/>
      <c r="AL152" s="114"/>
      <c r="AM152" s="114"/>
      <c r="AN152" s="114"/>
      <c r="AO152" s="114"/>
      <c r="AP152" s="114"/>
    </row>
    <row r="153" spans="1:42" ht="24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114"/>
      <c r="AL153" s="114"/>
      <c r="AM153" s="114"/>
      <c r="AN153" s="114"/>
      <c r="AO153" s="114"/>
      <c r="AP153" s="114"/>
    </row>
    <row r="154" spans="1:42" ht="24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114"/>
      <c r="AL154" s="114"/>
      <c r="AM154" s="114"/>
      <c r="AN154" s="114"/>
      <c r="AO154" s="114"/>
      <c r="AP154" s="114"/>
    </row>
    <row r="155" spans="1:42" ht="24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114"/>
      <c r="AL155" s="114"/>
      <c r="AM155" s="114"/>
      <c r="AN155" s="114"/>
      <c r="AO155" s="114"/>
      <c r="AP155" s="114"/>
    </row>
    <row r="156" spans="1:42" ht="24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114"/>
      <c r="AL156" s="114"/>
      <c r="AM156" s="114"/>
      <c r="AN156" s="114"/>
      <c r="AO156" s="114"/>
      <c r="AP156" s="114"/>
    </row>
    <row r="157" spans="1:42" ht="24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114"/>
      <c r="AL157" s="114"/>
      <c r="AM157" s="114"/>
      <c r="AN157" s="114"/>
      <c r="AO157" s="114"/>
      <c r="AP157" s="114"/>
    </row>
    <row r="158" spans="1:42" ht="24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114"/>
      <c r="AL158" s="114"/>
      <c r="AM158" s="114"/>
      <c r="AN158" s="114"/>
      <c r="AO158" s="114"/>
      <c r="AP158" s="114"/>
    </row>
    <row r="159" spans="1:42" ht="24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114"/>
      <c r="AL159" s="114"/>
      <c r="AM159" s="114"/>
      <c r="AN159" s="114"/>
      <c r="AO159" s="114"/>
      <c r="AP159" s="114"/>
    </row>
    <row r="160" spans="1:42" ht="24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114"/>
      <c r="AL160" s="114"/>
      <c r="AM160" s="114"/>
      <c r="AN160" s="114"/>
      <c r="AO160" s="114"/>
      <c r="AP160" s="114"/>
    </row>
    <row r="161" spans="1:42" ht="24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114"/>
      <c r="AL161" s="114"/>
      <c r="AM161" s="114"/>
      <c r="AN161" s="114"/>
      <c r="AO161" s="114"/>
      <c r="AP161" s="114"/>
    </row>
    <row r="162" spans="1:42" ht="24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114"/>
      <c r="AL162" s="114"/>
      <c r="AM162" s="114"/>
      <c r="AN162" s="114"/>
      <c r="AO162" s="114"/>
      <c r="AP162" s="114"/>
    </row>
    <row r="163" spans="1:42" ht="24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114"/>
      <c r="AL163" s="114"/>
      <c r="AM163" s="114"/>
      <c r="AN163" s="114"/>
      <c r="AO163" s="114"/>
      <c r="AP163" s="114"/>
    </row>
    <row r="164" spans="1:42" ht="24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114"/>
      <c r="AL164" s="114"/>
      <c r="AM164" s="114"/>
      <c r="AN164" s="114"/>
      <c r="AO164" s="114"/>
      <c r="AP164" s="114"/>
    </row>
    <row r="165" spans="1:42" ht="24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114"/>
      <c r="AL165" s="114"/>
      <c r="AM165" s="114"/>
      <c r="AN165" s="114"/>
      <c r="AO165" s="114"/>
      <c r="AP165" s="114"/>
    </row>
    <row r="166" spans="1:42" ht="24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114"/>
      <c r="AL166" s="114"/>
      <c r="AM166" s="114"/>
      <c r="AN166" s="114"/>
      <c r="AO166" s="114"/>
      <c r="AP166" s="114"/>
    </row>
    <row r="167" spans="1:42" ht="24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114"/>
      <c r="AL167" s="114"/>
      <c r="AM167" s="114"/>
      <c r="AN167" s="114"/>
      <c r="AO167" s="114"/>
      <c r="AP167" s="114"/>
    </row>
    <row r="168" spans="1:42" ht="24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114"/>
      <c r="AL168" s="114"/>
      <c r="AM168" s="114"/>
      <c r="AN168" s="114"/>
      <c r="AO168" s="114"/>
      <c r="AP168" s="114"/>
    </row>
    <row r="169" spans="1:42" ht="24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114"/>
      <c r="AL169" s="114"/>
      <c r="AM169" s="114"/>
      <c r="AN169" s="114"/>
      <c r="AO169" s="114"/>
      <c r="AP169" s="114"/>
    </row>
    <row r="170" spans="1:42" ht="24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114"/>
      <c r="AL170" s="114"/>
      <c r="AM170" s="114"/>
      <c r="AN170" s="114"/>
      <c r="AO170" s="114"/>
      <c r="AP170" s="114"/>
    </row>
    <row r="171" spans="1:42" ht="24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114"/>
      <c r="AL171" s="114"/>
      <c r="AM171" s="114"/>
      <c r="AN171" s="114"/>
      <c r="AO171" s="114"/>
      <c r="AP171" s="114"/>
    </row>
    <row r="172" spans="1:42" ht="24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114"/>
      <c r="AL172" s="114"/>
      <c r="AM172" s="114"/>
      <c r="AN172" s="114"/>
      <c r="AO172" s="114"/>
      <c r="AP172" s="114"/>
    </row>
    <row r="173" spans="1:42" ht="24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114"/>
      <c r="AL173" s="114"/>
      <c r="AM173" s="114"/>
      <c r="AN173" s="114"/>
      <c r="AO173" s="114"/>
      <c r="AP173" s="114"/>
    </row>
    <row r="174" spans="1:42" ht="24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114"/>
      <c r="AL174" s="114"/>
      <c r="AM174" s="114"/>
      <c r="AN174" s="114"/>
      <c r="AO174" s="114"/>
      <c r="AP174" s="114"/>
    </row>
    <row r="175" spans="1:42" ht="24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114"/>
      <c r="AL175" s="114"/>
      <c r="AM175" s="114"/>
      <c r="AN175" s="114"/>
      <c r="AO175" s="114"/>
      <c r="AP175" s="114"/>
    </row>
    <row r="176" spans="1:42" ht="24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114"/>
      <c r="AL176" s="114"/>
      <c r="AM176" s="114"/>
      <c r="AN176" s="114"/>
      <c r="AO176" s="114"/>
      <c r="AP176" s="114"/>
    </row>
    <row r="177" spans="1:42" ht="24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114"/>
      <c r="AL177" s="114"/>
      <c r="AM177" s="114"/>
      <c r="AN177" s="114"/>
      <c r="AO177" s="114"/>
      <c r="AP177" s="114"/>
    </row>
    <row r="178" spans="1:42" ht="24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114"/>
      <c r="AL178" s="114"/>
      <c r="AM178" s="114"/>
      <c r="AN178" s="114"/>
      <c r="AO178" s="114"/>
      <c r="AP178" s="114"/>
    </row>
    <row r="179" spans="1:42" ht="24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114"/>
      <c r="AL179" s="114"/>
      <c r="AM179" s="114"/>
      <c r="AN179" s="114"/>
      <c r="AO179" s="114"/>
      <c r="AP179" s="114"/>
    </row>
    <row r="180" spans="1:42" ht="24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114"/>
      <c r="AL180" s="114"/>
      <c r="AM180" s="114"/>
      <c r="AN180" s="114"/>
      <c r="AO180" s="114"/>
      <c r="AP180" s="114"/>
    </row>
    <row r="181" spans="1:42" ht="24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114"/>
      <c r="AL181" s="114"/>
      <c r="AM181" s="114"/>
      <c r="AN181" s="114"/>
      <c r="AO181" s="114"/>
      <c r="AP181" s="114"/>
    </row>
    <row r="182" spans="1:42" ht="24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114"/>
      <c r="AL182" s="114"/>
      <c r="AM182" s="114"/>
      <c r="AN182" s="114"/>
      <c r="AO182" s="114"/>
      <c r="AP182" s="114"/>
    </row>
    <row r="183" spans="1:42" ht="24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114"/>
      <c r="AL183" s="114"/>
      <c r="AM183" s="114"/>
      <c r="AN183" s="114"/>
      <c r="AO183" s="114"/>
      <c r="AP183" s="114"/>
    </row>
    <row r="184" spans="1:42" ht="24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114"/>
      <c r="AL184" s="114"/>
      <c r="AM184" s="114"/>
      <c r="AN184" s="114"/>
      <c r="AO184" s="114"/>
      <c r="AP184" s="114"/>
    </row>
    <row r="185" spans="1:42" ht="24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114"/>
      <c r="AL185" s="114"/>
      <c r="AM185" s="114"/>
      <c r="AN185" s="114"/>
      <c r="AO185" s="114"/>
      <c r="AP185" s="114"/>
    </row>
    <row r="186" spans="1:42" ht="24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114"/>
      <c r="AL186" s="114"/>
      <c r="AM186" s="114"/>
      <c r="AN186" s="114"/>
      <c r="AO186" s="114"/>
      <c r="AP186" s="114"/>
    </row>
    <row r="187" spans="1:42" ht="24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114"/>
      <c r="AL187" s="114"/>
      <c r="AM187" s="114"/>
      <c r="AN187" s="114"/>
      <c r="AO187" s="114"/>
      <c r="AP187" s="114"/>
    </row>
    <row r="188" spans="1:42" ht="24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114"/>
      <c r="AL188" s="114"/>
      <c r="AM188" s="114"/>
      <c r="AN188" s="114"/>
      <c r="AO188" s="114"/>
      <c r="AP188" s="114"/>
    </row>
    <row r="189" spans="1:42" ht="24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114"/>
      <c r="AL189" s="114"/>
      <c r="AM189" s="114"/>
      <c r="AN189" s="114"/>
      <c r="AO189" s="114"/>
      <c r="AP189" s="114"/>
    </row>
    <row r="190" spans="1:42" ht="24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114"/>
      <c r="AL190" s="114"/>
      <c r="AM190" s="114"/>
      <c r="AN190" s="114"/>
      <c r="AO190" s="114"/>
      <c r="AP190" s="114"/>
    </row>
    <row r="191" spans="1:42" ht="24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114"/>
      <c r="AL191" s="114"/>
      <c r="AM191" s="114"/>
      <c r="AN191" s="114"/>
      <c r="AO191" s="114"/>
      <c r="AP191" s="114"/>
    </row>
    <row r="192" spans="1:42" ht="24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114"/>
      <c r="AL192" s="114"/>
      <c r="AM192" s="114"/>
      <c r="AN192" s="114"/>
      <c r="AO192" s="114"/>
      <c r="AP192" s="114"/>
    </row>
    <row r="193" spans="1:42" ht="24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114"/>
      <c r="AL193" s="114"/>
      <c r="AM193" s="114"/>
      <c r="AN193" s="114"/>
      <c r="AO193" s="114"/>
      <c r="AP193" s="114"/>
    </row>
    <row r="194" spans="1:42" ht="24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114"/>
      <c r="AL194" s="114"/>
      <c r="AM194" s="114"/>
      <c r="AN194" s="114"/>
      <c r="AO194" s="114"/>
      <c r="AP194" s="114"/>
    </row>
    <row r="195" spans="1:42" ht="24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114"/>
      <c r="AL195" s="114"/>
      <c r="AM195" s="114"/>
      <c r="AN195" s="114"/>
      <c r="AO195" s="114"/>
      <c r="AP195" s="114"/>
    </row>
    <row r="196" spans="1:42" ht="24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114"/>
      <c r="AL196" s="114"/>
      <c r="AM196" s="114"/>
      <c r="AN196" s="114"/>
      <c r="AO196" s="114"/>
      <c r="AP196" s="114"/>
    </row>
    <row r="197" spans="1:42" ht="24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114"/>
      <c r="AL197" s="114"/>
      <c r="AM197" s="114"/>
      <c r="AN197" s="114"/>
      <c r="AO197" s="114"/>
      <c r="AP197" s="114"/>
    </row>
    <row r="198" spans="1:42" ht="24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114"/>
      <c r="AL198" s="114"/>
      <c r="AM198" s="114"/>
      <c r="AN198" s="114"/>
      <c r="AO198" s="114"/>
      <c r="AP198" s="114"/>
    </row>
    <row r="199" spans="1:42" ht="24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114"/>
      <c r="AL199" s="114"/>
      <c r="AM199" s="114"/>
      <c r="AN199" s="114"/>
      <c r="AO199" s="114"/>
      <c r="AP199" s="114"/>
    </row>
    <row r="200" spans="1:42" ht="24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114"/>
      <c r="AL200" s="114"/>
      <c r="AM200" s="114"/>
      <c r="AN200" s="114"/>
      <c r="AO200" s="114"/>
      <c r="AP200" s="114"/>
    </row>
    <row r="201" spans="1:42" ht="24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114"/>
      <c r="AL201" s="114"/>
      <c r="AM201" s="114"/>
      <c r="AN201" s="114"/>
      <c r="AO201" s="114"/>
      <c r="AP201" s="114"/>
    </row>
    <row r="202" spans="1:42" ht="24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114"/>
      <c r="AL202" s="114"/>
      <c r="AM202" s="114"/>
      <c r="AN202" s="114"/>
      <c r="AO202" s="114"/>
      <c r="AP202" s="114"/>
    </row>
    <row r="203" spans="1:42" ht="24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114"/>
      <c r="AL203" s="114"/>
      <c r="AM203" s="114"/>
      <c r="AN203" s="114"/>
      <c r="AO203" s="114"/>
      <c r="AP203" s="114"/>
    </row>
    <row r="204" spans="1:42" ht="24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114"/>
      <c r="AL204" s="114"/>
      <c r="AM204" s="114"/>
      <c r="AN204" s="114"/>
      <c r="AO204" s="114"/>
      <c r="AP204" s="114"/>
    </row>
    <row r="205" spans="1:42" ht="24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114"/>
      <c r="AL205" s="114"/>
      <c r="AM205" s="114"/>
      <c r="AN205" s="114"/>
      <c r="AO205" s="114"/>
      <c r="AP205" s="114"/>
    </row>
    <row r="206" spans="1:42" ht="24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114"/>
      <c r="AL206" s="114"/>
      <c r="AM206" s="114"/>
      <c r="AN206" s="114"/>
      <c r="AO206" s="114"/>
      <c r="AP206" s="114"/>
    </row>
    <row r="207" spans="1:42" ht="24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114"/>
      <c r="AL207" s="114"/>
      <c r="AM207" s="114"/>
      <c r="AN207" s="114"/>
      <c r="AO207" s="114"/>
      <c r="AP207" s="114"/>
    </row>
    <row r="208" spans="1:42" ht="24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114"/>
      <c r="AL208" s="114"/>
      <c r="AM208" s="114"/>
      <c r="AN208" s="114"/>
      <c r="AO208" s="114"/>
      <c r="AP208" s="114"/>
    </row>
    <row r="209" spans="1:42" ht="24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114"/>
      <c r="AL209" s="114"/>
      <c r="AM209" s="114"/>
      <c r="AN209" s="114"/>
      <c r="AO209" s="114"/>
      <c r="AP209" s="114"/>
    </row>
    <row r="210" spans="1:42" ht="24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114"/>
      <c r="AL210" s="114"/>
      <c r="AM210" s="114"/>
      <c r="AN210" s="114"/>
      <c r="AO210" s="114"/>
      <c r="AP210" s="114"/>
    </row>
    <row r="211" spans="1:42" ht="24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114"/>
      <c r="AL211" s="114"/>
      <c r="AM211" s="114"/>
      <c r="AN211" s="114"/>
      <c r="AO211" s="114"/>
      <c r="AP211" s="114"/>
    </row>
    <row r="212" spans="1:42" ht="24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114"/>
      <c r="AL212" s="114"/>
      <c r="AM212" s="114"/>
      <c r="AN212" s="114"/>
      <c r="AO212" s="114"/>
      <c r="AP212" s="114"/>
    </row>
    <row r="213" spans="1:42" ht="24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114"/>
      <c r="AL213" s="114"/>
      <c r="AM213" s="114"/>
      <c r="AN213" s="114"/>
      <c r="AO213" s="114"/>
      <c r="AP213" s="114"/>
    </row>
    <row r="214" spans="1:42" ht="24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114"/>
      <c r="AL214" s="114"/>
      <c r="AM214" s="114"/>
      <c r="AN214" s="114"/>
      <c r="AO214" s="114"/>
      <c r="AP214" s="114"/>
    </row>
    <row r="215" spans="1:42" ht="24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114"/>
      <c r="AL215" s="114"/>
      <c r="AM215" s="114"/>
      <c r="AN215" s="114"/>
      <c r="AO215" s="114"/>
      <c r="AP215" s="114"/>
    </row>
    <row r="216" spans="1:42" ht="24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114"/>
      <c r="AL216" s="114"/>
      <c r="AM216" s="114"/>
      <c r="AN216" s="114"/>
      <c r="AO216" s="114"/>
      <c r="AP216" s="114"/>
    </row>
    <row r="217" spans="1:42" ht="24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114"/>
      <c r="AL217" s="114"/>
      <c r="AM217" s="114"/>
      <c r="AN217" s="114"/>
      <c r="AO217" s="114"/>
      <c r="AP217" s="114"/>
    </row>
    <row r="218" spans="1:42" ht="24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114"/>
      <c r="AL218" s="114"/>
      <c r="AM218" s="114"/>
      <c r="AN218" s="114"/>
      <c r="AO218" s="114"/>
      <c r="AP218" s="114"/>
    </row>
    <row r="219" spans="1:42" ht="24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114"/>
      <c r="AL219" s="114"/>
      <c r="AM219" s="114"/>
      <c r="AN219" s="114"/>
      <c r="AO219" s="114"/>
      <c r="AP219" s="114"/>
    </row>
    <row r="220" spans="1:42" ht="24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114"/>
      <c r="AL220" s="114"/>
      <c r="AM220" s="114"/>
      <c r="AN220" s="114"/>
      <c r="AO220" s="114"/>
      <c r="AP220" s="114"/>
    </row>
    <row r="221" spans="1:42" ht="24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114"/>
      <c r="AL221" s="114"/>
      <c r="AM221" s="114"/>
      <c r="AN221" s="114"/>
      <c r="AO221" s="114"/>
      <c r="AP221" s="114"/>
    </row>
    <row r="222" spans="1:42" ht="24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114"/>
      <c r="AL222" s="114"/>
      <c r="AM222" s="114"/>
      <c r="AN222" s="114"/>
      <c r="AO222" s="114"/>
      <c r="AP222" s="114"/>
    </row>
    <row r="223" spans="1:42" ht="24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114"/>
      <c r="AL223" s="114"/>
      <c r="AM223" s="114"/>
      <c r="AN223" s="114"/>
      <c r="AO223" s="114"/>
      <c r="AP223" s="114"/>
    </row>
    <row r="224" spans="1:42" ht="24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114"/>
      <c r="AL224" s="114"/>
      <c r="AM224" s="114"/>
      <c r="AN224" s="114"/>
      <c r="AO224" s="114"/>
      <c r="AP224" s="114"/>
    </row>
    <row r="225" spans="1:42" ht="24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114"/>
      <c r="AL225" s="114"/>
      <c r="AM225" s="114"/>
      <c r="AN225" s="114"/>
      <c r="AO225" s="114"/>
      <c r="AP225" s="114"/>
    </row>
    <row r="226" spans="1:42" ht="24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114"/>
      <c r="AL226" s="114"/>
      <c r="AM226" s="114"/>
      <c r="AN226" s="114"/>
      <c r="AO226" s="114"/>
      <c r="AP226" s="114"/>
    </row>
    <row r="227" spans="1:42" ht="24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114"/>
      <c r="AL227" s="114"/>
      <c r="AM227" s="114"/>
      <c r="AN227" s="114"/>
      <c r="AO227" s="114"/>
      <c r="AP227" s="114"/>
    </row>
    <row r="228" spans="1:42" ht="24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114"/>
      <c r="AL228" s="114"/>
      <c r="AM228" s="114"/>
      <c r="AN228" s="114"/>
      <c r="AO228" s="114"/>
      <c r="AP228" s="114"/>
    </row>
    <row r="229" spans="1:42" ht="24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114"/>
      <c r="AL229" s="114"/>
      <c r="AM229" s="114"/>
      <c r="AN229" s="114"/>
      <c r="AO229" s="114"/>
      <c r="AP229" s="114"/>
    </row>
    <row r="230" spans="1:42" ht="24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114"/>
      <c r="AL230" s="114"/>
      <c r="AM230" s="114"/>
      <c r="AN230" s="114"/>
      <c r="AO230" s="114"/>
      <c r="AP230" s="114"/>
    </row>
    <row r="231" spans="1:42" ht="24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114"/>
      <c r="AL231" s="114"/>
      <c r="AM231" s="114"/>
      <c r="AN231" s="114"/>
      <c r="AO231" s="114"/>
      <c r="AP231" s="114"/>
    </row>
    <row r="232" spans="1:42" ht="24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114"/>
      <c r="AL232" s="114"/>
      <c r="AM232" s="114"/>
      <c r="AN232" s="114"/>
      <c r="AO232" s="114"/>
      <c r="AP232" s="114"/>
    </row>
    <row r="233" spans="1:42" ht="24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114"/>
      <c r="AL233" s="114"/>
      <c r="AM233" s="114"/>
      <c r="AN233" s="114"/>
      <c r="AO233" s="114"/>
      <c r="AP233" s="114"/>
    </row>
    <row r="234" spans="1:42" ht="24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114"/>
      <c r="AL234" s="114"/>
      <c r="AM234" s="114"/>
      <c r="AN234" s="114"/>
      <c r="AO234" s="114"/>
      <c r="AP234" s="114"/>
    </row>
    <row r="235" spans="1:42" ht="24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114"/>
      <c r="AL235" s="114"/>
      <c r="AM235" s="114"/>
      <c r="AN235" s="114"/>
      <c r="AO235" s="114"/>
      <c r="AP235" s="114"/>
    </row>
    <row r="236" spans="1:42" ht="24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114"/>
      <c r="AL236" s="114"/>
      <c r="AM236" s="114"/>
      <c r="AN236" s="114"/>
      <c r="AO236" s="114"/>
      <c r="AP236" s="114"/>
    </row>
    <row r="237" spans="1:42" ht="24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114"/>
      <c r="AL237" s="114"/>
      <c r="AM237" s="114"/>
      <c r="AN237" s="114"/>
      <c r="AO237" s="114"/>
      <c r="AP237" s="114"/>
    </row>
    <row r="238" spans="1:42" ht="24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114"/>
      <c r="AL238" s="114"/>
      <c r="AM238" s="114"/>
      <c r="AN238" s="114"/>
      <c r="AO238" s="114"/>
      <c r="AP238" s="114"/>
    </row>
    <row r="239" spans="1:42" ht="24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114"/>
      <c r="AL239" s="114"/>
      <c r="AM239" s="114"/>
      <c r="AN239" s="114"/>
      <c r="AO239" s="114"/>
      <c r="AP239" s="114"/>
    </row>
    <row r="240" spans="1:42" ht="24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114"/>
      <c r="AL240" s="114"/>
      <c r="AM240" s="114"/>
      <c r="AN240" s="114"/>
      <c r="AO240" s="114"/>
      <c r="AP240" s="114"/>
    </row>
    <row r="241" spans="1:42" ht="24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114"/>
      <c r="AL241" s="114"/>
      <c r="AM241" s="114"/>
      <c r="AN241" s="114"/>
      <c r="AO241" s="114"/>
      <c r="AP241" s="114"/>
    </row>
    <row r="242" spans="1:42" ht="24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114"/>
      <c r="AL242" s="114"/>
      <c r="AM242" s="114"/>
      <c r="AN242" s="114"/>
      <c r="AO242" s="114"/>
      <c r="AP242" s="114"/>
    </row>
    <row r="243" spans="1:42" ht="24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114"/>
      <c r="AL243" s="114"/>
      <c r="AM243" s="114"/>
      <c r="AN243" s="114"/>
      <c r="AO243" s="114"/>
      <c r="AP243" s="114"/>
    </row>
    <row r="244" spans="1:42" ht="24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114"/>
      <c r="AL244" s="114"/>
      <c r="AM244" s="114"/>
      <c r="AN244" s="114"/>
      <c r="AO244" s="114"/>
      <c r="AP244" s="114"/>
    </row>
    <row r="245" spans="1:42" ht="24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114"/>
      <c r="AL245" s="114"/>
      <c r="AM245" s="114"/>
      <c r="AN245" s="114"/>
      <c r="AO245" s="114"/>
      <c r="AP245" s="114"/>
    </row>
    <row r="246" spans="1:42" ht="24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114"/>
      <c r="AL246" s="114"/>
      <c r="AM246" s="114"/>
      <c r="AN246" s="114"/>
      <c r="AO246" s="114"/>
      <c r="AP246" s="114"/>
    </row>
    <row r="247" spans="1:42" ht="24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114"/>
      <c r="AL247" s="114"/>
      <c r="AM247" s="114"/>
      <c r="AN247" s="114"/>
      <c r="AO247" s="114"/>
      <c r="AP247" s="114"/>
    </row>
    <row r="248" spans="1:42" ht="24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114"/>
      <c r="AL248" s="114"/>
      <c r="AM248" s="114"/>
      <c r="AN248" s="114"/>
      <c r="AO248" s="114"/>
      <c r="AP248" s="114"/>
    </row>
    <row r="249" spans="1:42" ht="24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114"/>
      <c r="AL249" s="114"/>
      <c r="AM249" s="114"/>
      <c r="AN249" s="114"/>
      <c r="AO249" s="114"/>
      <c r="AP249" s="114"/>
    </row>
    <row r="250" spans="1:42" ht="24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114"/>
      <c r="AL250" s="114"/>
      <c r="AM250" s="114"/>
      <c r="AN250" s="114"/>
      <c r="AO250" s="114"/>
      <c r="AP250" s="114"/>
    </row>
    <row r="251" spans="1:42" ht="24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114"/>
      <c r="AL251" s="114"/>
      <c r="AM251" s="114"/>
      <c r="AN251" s="114"/>
      <c r="AO251" s="114"/>
      <c r="AP251" s="114"/>
    </row>
    <row r="252" spans="1:42" ht="24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114"/>
      <c r="AL252" s="114"/>
      <c r="AM252" s="114"/>
      <c r="AN252" s="114"/>
      <c r="AO252" s="114"/>
      <c r="AP252" s="114"/>
    </row>
    <row r="253" spans="1:42" ht="24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114"/>
      <c r="AL253" s="114"/>
      <c r="AM253" s="114"/>
      <c r="AN253" s="114"/>
      <c r="AO253" s="114"/>
      <c r="AP253" s="114"/>
    </row>
    <row r="254" spans="1:42" ht="24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114"/>
      <c r="AL254" s="114"/>
      <c r="AM254" s="114"/>
      <c r="AN254" s="114"/>
      <c r="AO254" s="114"/>
      <c r="AP254" s="114"/>
    </row>
    <row r="255" spans="1:42" ht="24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114"/>
      <c r="AL255" s="114"/>
      <c r="AM255" s="114"/>
      <c r="AN255" s="114"/>
      <c r="AO255" s="114"/>
      <c r="AP255" s="114"/>
    </row>
    <row r="256" spans="1:42" ht="24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114"/>
      <c r="AL256" s="114"/>
      <c r="AM256" s="114"/>
      <c r="AN256" s="114"/>
      <c r="AO256" s="114"/>
      <c r="AP256" s="114"/>
    </row>
    <row r="257" spans="1:42" ht="24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114"/>
      <c r="AL257" s="114"/>
      <c r="AM257" s="114"/>
      <c r="AN257" s="114"/>
      <c r="AO257" s="114"/>
      <c r="AP257" s="114"/>
    </row>
    <row r="258" spans="1:42" ht="24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114"/>
      <c r="AL258" s="114"/>
      <c r="AM258" s="114"/>
      <c r="AN258" s="114"/>
      <c r="AO258" s="114"/>
      <c r="AP258" s="114"/>
    </row>
    <row r="259" spans="1:42" ht="24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114"/>
      <c r="AL259" s="114"/>
      <c r="AM259" s="114"/>
      <c r="AN259" s="114"/>
      <c r="AO259" s="114"/>
      <c r="AP259" s="114"/>
    </row>
    <row r="260" spans="1:42" ht="24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114"/>
      <c r="AL260" s="114"/>
      <c r="AM260" s="114"/>
      <c r="AN260" s="114"/>
      <c r="AO260" s="114"/>
      <c r="AP260" s="114"/>
    </row>
    <row r="261" spans="1:42" ht="24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114"/>
      <c r="AL261" s="114"/>
      <c r="AM261" s="114"/>
      <c r="AN261" s="114"/>
      <c r="AO261" s="114"/>
      <c r="AP261" s="114"/>
    </row>
    <row r="262" spans="1:42" ht="24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114"/>
      <c r="AL262" s="114"/>
      <c r="AM262" s="114"/>
      <c r="AN262" s="114"/>
      <c r="AO262" s="114"/>
      <c r="AP262" s="114"/>
    </row>
    <row r="263" spans="1:42" ht="24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114"/>
      <c r="AL263" s="114"/>
      <c r="AM263" s="114"/>
      <c r="AN263" s="114"/>
      <c r="AO263" s="114"/>
      <c r="AP263" s="114"/>
    </row>
    <row r="264" spans="1:42" ht="24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114"/>
      <c r="AL264" s="114"/>
      <c r="AM264" s="114"/>
      <c r="AN264" s="114"/>
      <c r="AO264" s="114"/>
      <c r="AP264" s="114"/>
    </row>
    <row r="265" spans="1:42" ht="24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114"/>
      <c r="AL265" s="114"/>
      <c r="AM265" s="114"/>
      <c r="AN265" s="114"/>
      <c r="AO265" s="114"/>
      <c r="AP265" s="114"/>
    </row>
    <row r="266" spans="1:42" ht="24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114"/>
      <c r="AL266" s="114"/>
      <c r="AM266" s="114"/>
      <c r="AN266" s="114"/>
      <c r="AO266" s="114"/>
      <c r="AP266" s="114"/>
    </row>
    <row r="267" spans="1:42" ht="24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114"/>
      <c r="AL267" s="114"/>
      <c r="AM267" s="114"/>
      <c r="AN267" s="114"/>
      <c r="AO267" s="114"/>
      <c r="AP267" s="114"/>
    </row>
    <row r="268" spans="1:42" ht="24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114"/>
      <c r="AL268" s="114"/>
      <c r="AM268" s="114"/>
      <c r="AN268" s="114"/>
      <c r="AO268" s="114"/>
      <c r="AP268" s="114"/>
    </row>
    <row r="269" spans="1:42" ht="24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114"/>
      <c r="AL269" s="114"/>
      <c r="AM269" s="114"/>
      <c r="AN269" s="114"/>
      <c r="AO269" s="114"/>
      <c r="AP269" s="114"/>
    </row>
    <row r="270" spans="1:42" ht="24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114"/>
      <c r="AL270" s="114"/>
      <c r="AM270" s="114"/>
      <c r="AN270" s="114"/>
      <c r="AO270" s="114"/>
      <c r="AP270" s="114"/>
    </row>
    <row r="271" spans="1:42" ht="24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114"/>
      <c r="AL271" s="114"/>
      <c r="AM271" s="114"/>
      <c r="AN271" s="114"/>
      <c r="AO271" s="114"/>
      <c r="AP271" s="114"/>
    </row>
    <row r="272" spans="1:42" ht="24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114"/>
      <c r="AL272" s="114"/>
      <c r="AM272" s="114"/>
      <c r="AN272" s="114"/>
      <c r="AO272" s="114"/>
      <c r="AP272" s="114"/>
    </row>
    <row r="273" spans="1:42" ht="24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114"/>
      <c r="AL273" s="114"/>
      <c r="AM273" s="114"/>
      <c r="AN273" s="114"/>
      <c r="AO273" s="114"/>
      <c r="AP273" s="114"/>
    </row>
    <row r="274" spans="1:42" ht="24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114"/>
      <c r="AL274" s="114"/>
      <c r="AM274" s="114"/>
      <c r="AN274" s="114"/>
      <c r="AO274" s="114"/>
      <c r="AP274" s="114"/>
    </row>
    <row r="275" spans="1:42" ht="24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114"/>
      <c r="AL275" s="114"/>
      <c r="AM275" s="114"/>
      <c r="AN275" s="114"/>
      <c r="AO275" s="114"/>
      <c r="AP275" s="114"/>
    </row>
    <row r="276" spans="1:42" ht="24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114"/>
      <c r="AL276" s="114"/>
      <c r="AM276" s="114"/>
      <c r="AN276" s="114"/>
      <c r="AO276" s="114"/>
      <c r="AP276" s="114"/>
    </row>
    <row r="277" spans="1:42" ht="24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114"/>
      <c r="AL277" s="114"/>
      <c r="AM277" s="114"/>
      <c r="AN277" s="114"/>
      <c r="AO277" s="114"/>
      <c r="AP277" s="114"/>
    </row>
    <row r="278" spans="1:42" ht="24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114"/>
      <c r="AL278" s="114"/>
      <c r="AM278" s="114"/>
      <c r="AN278" s="114"/>
      <c r="AO278" s="114"/>
      <c r="AP278" s="114"/>
    </row>
    <row r="279" spans="1:42" ht="24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114"/>
      <c r="AL279" s="114"/>
      <c r="AM279" s="114"/>
      <c r="AN279" s="114"/>
      <c r="AO279" s="114"/>
      <c r="AP279" s="114"/>
    </row>
    <row r="280" spans="1:42" ht="24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114"/>
      <c r="AL280" s="114"/>
      <c r="AM280" s="114"/>
      <c r="AN280" s="114"/>
      <c r="AO280" s="114"/>
      <c r="AP280" s="114"/>
    </row>
    <row r="281" spans="1:42" ht="24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114"/>
      <c r="AL281" s="114"/>
      <c r="AM281" s="114"/>
      <c r="AN281" s="114"/>
      <c r="AO281" s="114"/>
      <c r="AP281" s="114"/>
    </row>
    <row r="282" spans="1:42" ht="24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114"/>
      <c r="AL282" s="114"/>
      <c r="AM282" s="114"/>
      <c r="AN282" s="114"/>
      <c r="AO282" s="114"/>
      <c r="AP282" s="114"/>
    </row>
    <row r="283" spans="1:42" ht="24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114"/>
      <c r="AL283" s="114"/>
      <c r="AM283" s="114"/>
      <c r="AN283" s="114"/>
      <c r="AO283" s="114"/>
      <c r="AP283" s="114"/>
    </row>
    <row r="284" spans="1:42" ht="24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114"/>
      <c r="AL284" s="114"/>
      <c r="AM284" s="114"/>
      <c r="AN284" s="114"/>
      <c r="AO284" s="114"/>
      <c r="AP284" s="114"/>
    </row>
    <row r="285" spans="1:42" ht="24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114"/>
      <c r="AL285" s="114"/>
      <c r="AM285" s="114"/>
      <c r="AN285" s="114"/>
      <c r="AO285" s="114"/>
      <c r="AP285" s="114"/>
    </row>
    <row r="286" spans="1:42" ht="24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114"/>
      <c r="AL286" s="114"/>
      <c r="AM286" s="114"/>
      <c r="AN286" s="114"/>
      <c r="AO286" s="114"/>
      <c r="AP286" s="114"/>
    </row>
    <row r="287" spans="1:42" ht="24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114"/>
      <c r="AL287" s="114"/>
      <c r="AM287" s="114"/>
      <c r="AN287" s="114"/>
      <c r="AO287" s="114"/>
      <c r="AP287" s="114"/>
    </row>
    <row r="288" spans="1:42" ht="24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114"/>
      <c r="AL288" s="114"/>
      <c r="AM288" s="114"/>
      <c r="AN288" s="114"/>
      <c r="AO288" s="114"/>
      <c r="AP288" s="114"/>
    </row>
    <row r="289" spans="1:42" ht="24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114"/>
      <c r="AL289" s="114"/>
      <c r="AM289" s="114"/>
      <c r="AN289" s="114"/>
      <c r="AO289" s="114"/>
      <c r="AP289" s="114"/>
    </row>
    <row r="290" spans="1:42" ht="24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114"/>
      <c r="AL290" s="114"/>
      <c r="AM290" s="114"/>
      <c r="AN290" s="114"/>
      <c r="AO290" s="114"/>
      <c r="AP290" s="114"/>
    </row>
    <row r="291" spans="1:42" ht="24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114"/>
      <c r="AL291" s="114"/>
      <c r="AM291" s="114"/>
      <c r="AN291" s="114"/>
      <c r="AO291" s="114"/>
      <c r="AP291" s="114"/>
    </row>
    <row r="292" spans="1:42" ht="24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114"/>
      <c r="AL292" s="114"/>
      <c r="AM292" s="114"/>
      <c r="AN292" s="114"/>
      <c r="AO292" s="114"/>
      <c r="AP292" s="114"/>
    </row>
    <row r="293" spans="1:42" ht="24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114"/>
      <c r="AL293" s="114"/>
      <c r="AM293" s="114"/>
      <c r="AN293" s="114"/>
      <c r="AO293" s="114"/>
      <c r="AP293" s="114"/>
    </row>
    <row r="294" spans="1:42" ht="24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114"/>
      <c r="AL294" s="114"/>
      <c r="AM294" s="114"/>
      <c r="AN294" s="114"/>
      <c r="AO294" s="114"/>
      <c r="AP294" s="114"/>
    </row>
    <row r="295" spans="1:42" ht="24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114"/>
      <c r="AL295" s="114"/>
      <c r="AM295" s="114"/>
      <c r="AN295" s="114"/>
      <c r="AO295" s="114"/>
      <c r="AP295" s="114"/>
    </row>
    <row r="296" spans="1:42" ht="24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114"/>
      <c r="AL296" s="114"/>
      <c r="AM296" s="114"/>
      <c r="AN296" s="114"/>
      <c r="AO296" s="114"/>
      <c r="AP296" s="114"/>
    </row>
    <row r="297" spans="1:42" ht="24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114"/>
      <c r="AL297" s="114"/>
      <c r="AM297" s="114"/>
      <c r="AN297" s="114"/>
      <c r="AO297" s="114"/>
      <c r="AP297" s="114"/>
    </row>
    <row r="298" spans="1:42" ht="24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114"/>
      <c r="AL298" s="114"/>
      <c r="AM298" s="114"/>
      <c r="AN298" s="114"/>
      <c r="AO298" s="114"/>
      <c r="AP298" s="114"/>
    </row>
    <row r="299" spans="1:42" ht="24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114"/>
      <c r="AL299" s="114"/>
      <c r="AM299" s="114"/>
      <c r="AN299" s="114"/>
      <c r="AO299" s="114"/>
      <c r="AP299" s="114"/>
    </row>
    <row r="300" spans="1:42" ht="24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114"/>
      <c r="AL300" s="114"/>
      <c r="AM300" s="114"/>
      <c r="AN300" s="114"/>
      <c r="AO300" s="114"/>
      <c r="AP300" s="114"/>
    </row>
    <row r="301" spans="1:42" ht="24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114"/>
      <c r="AL301" s="114"/>
      <c r="AM301" s="114"/>
      <c r="AN301" s="114"/>
      <c r="AO301" s="114"/>
      <c r="AP301" s="114"/>
    </row>
    <row r="302" spans="1:42" ht="24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114"/>
      <c r="AL302" s="114"/>
      <c r="AM302" s="114"/>
      <c r="AN302" s="114"/>
      <c r="AO302" s="114"/>
      <c r="AP302" s="114"/>
    </row>
    <row r="303" spans="1:42" ht="24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114"/>
      <c r="AL303" s="114"/>
      <c r="AM303" s="114"/>
      <c r="AN303" s="114"/>
      <c r="AO303" s="114"/>
      <c r="AP303" s="114"/>
    </row>
    <row r="304" spans="1:42" ht="24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114"/>
      <c r="AL304" s="114"/>
      <c r="AM304" s="114"/>
      <c r="AN304" s="114"/>
      <c r="AO304" s="114"/>
      <c r="AP304" s="114"/>
    </row>
    <row r="305" spans="1:42" ht="24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114"/>
      <c r="AL305" s="114"/>
      <c r="AM305" s="114"/>
      <c r="AN305" s="114"/>
      <c r="AO305" s="114"/>
      <c r="AP305" s="114"/>
    </row>
    <row r="306" spans="1:42" ht="24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114"/>
      <c r="AL306" s="114"/>
      <c r="AM306" s="114"/>
      <c r="AN306" s="114"/>
      <c r="AO306" s="114"/>
      <c r="AP306" s="114"/>
    </row>
    <row r="307" spans="1:42" ht="24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114"/>
      <c r="AL307" s="114"/>
      <c r="AM307" s="114"/>
      <c r="AN307" s="114"/>
      <c r="AO307" s="114"/>
      <c r="AP307" s="114"/>
    </row>
    <row r="308" spans="1:42" ht="24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114"/>
      <c r="AL308" s="114"/>
      <c r="AM308" s="114"/>
      <c r="AN308" s="114"/>
      <c r="AO308" s="114"/>
      <c r="AP308" s="114"/>
    </row>
    <row r="309" spans="1:42" ht="24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114"/>
      <c r="AL309" s="114"/>
      <c r="AM309" s="114"/>
      <c r="AN309" s="114"/>
      <c r="AO309" s="114"/>
      <c r="AP309" s="114"/>
    </row>
    <row r="310" spans="1:42" ht="24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114"/>
      <c r="AL310" s="114"/>
      <c r="AM310" s="114"/>
      <c r="AN310" s="114"/>
      <c r="AO310" s="114"/>
      <c r="AP310" s="114"/>
    </row>
    <row r="311" spans="1:42" ht="24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114"/>
      <c r="AL311" s="114"/>
      <c r="AM311" s="114"/>
      <c r="AN311" s="114"/>
      <c r="AO311" s="114"/>
      <c r="AP311" s="114"/>
    </row>
    <row r="312" spans="1:42" ht="24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114"/>
      <c r="AL312" s="114"/>
      <c r="AM312" s="114"/>
      <c r="AN312" s="114"/>
      <c r="AO312" s="114"/>
      <c r="AP312" s="114"/>
    </row>
    <row r="313" spans="1:42" ht="24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114"/>
      <c r="AL313" s="114"/>
      <c r="AM313" s="114"/>
      <c r="AN313" s="114"/>
      <c r="AO313" s="114"/>
      <c r="AP313" s="114"/>
    </row>
    <row r="314" spans="1:42" ht="24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114"/>
      <c r="AL314" s="114"/>
      <c r="AM314" s="114"/>
      <c r="AN314" s="114"/>
      <c r="AO314" s="114"/>
      <c r="AP314" s="114"/>
    </row>
    <row r="315" spans="1:42" ht="15.75" customHeight="1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</row>
    <row r="316" spans="1:42" ht="15.75" customHeight="1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</row>
    <row r="317" spans="1:42" ht="15.75" customHeight="1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</row>
    <row r="318" spans="1:42" ht="15.75" customHeight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</row>
    <row r="319" spans="1:42" ht="15.75" customHeight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</row>
    <row r="320" spans="1:42" ht="15.75" customHeight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</row>
    <row r="321" spans="1:42" ht="15.75" customHeight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</row>
    <row r="322" spans="1:42" ht="15.75" customHeight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</row>
    <row r="323" spans="1:42" ht="15.75" customHeight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</row>
    <row r="324" spans="1:42" ht="15.75" customHeight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</row>
    <row r="325" spans="1:42" ht="15.75" customHeight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</row>
    <row r="326" spans="1:42" ht="15.75" customHeight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</row>
    <row r="327" spans="1:42" ht="15.75" customHeight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</row>
    <row r="328" spans="1:42" ht="15.75" customHeight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</row>
    <row r="329" spans="1:42" ht="15.75" customHeight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</row>
    <row r="330" spans="1:42" ht="15.75" customHeight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</row>
    <row r="331" spans="1:42" ht="15.75" customHeight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</row>
    <row r="332" spans="1:42" ht="15.75" customHeight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</row>
    <row r="333" spans="1:42" ht="15.75" customHeight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</row>
    <row r="334" spans="1:42" ht="15.75" customHeight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</row>
    <row r="335" spans="1:42" ht="15.75" customHeight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</row>
    <row r="336" spans="1:42" ht="15.75" customHeight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</row>
    <row r="337" spans="1:42" ht="15.75" customHeight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</row>
    <row r="338" spans="1:42" ht="15.75" customHeight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</row>
    <row r="339" spans="1:42" ht="15.75" customHeight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</row>
    <row r="340" spans="1:42" ht="15.75" customHeight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</row>
    <row r="341" spans="1:42" ht="15.75" customHeight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</row>
    <row r="342" spans="1:42" ht="15.75" customHeight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</row>
    <row r="343" spans="1:42" ht="15.75" customHeight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</row>
    <row r="344" spans="1:42" ht="15.75" customHeight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</row>
    <row r="345" spans="1:42" ht="15.75" customHeight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</row>
    <row r="346" spans="1:42" ht="15.75" customHeight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</row>
    <row r="347" spans="1:42" ht="15.75" customHeight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</row>
    <row r="348" spans="1:42" ht="15.75" customHeight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</row>
    <row r="349" spans="1:42" ht="15.75" customHeight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</row>
    <row r="350" spans="1:42" ht="15.75" customHeight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</row>
    <row r="351" spans="1:42" ht="15.75" customHeight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114"/>
      <c r="AJ351" s="114"/>
      <c r="AK351" s="114"/>
      <c r="AL351" s="114"/>
      <c r="AM351" s="114"/>
      <c r="AN351" s="114"/>
      <c r="AO351" s="114"/>
      <c r="AP351" s="114"/>
    </row>
    <row r="352" spans="1:42" ht="15.75" customHeight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  <c r="AD352" s="114"/>
      <c r="AE352" s="114"/>
      <c r="AF352" s="114"/>
      <c r="AG352" s="114"/>
      <c r="AH352" s="114"/>
      <c r="AI352" s="114"/>
      <c r="AJ352" s="114"/>
      <c r="AK352" s="114"/>
      <c r="AL352" s="114"/>
      <c r="AM352" s="114"/>
      <c r="AN352" s="114"/>
      <c r="AO352" s="114"/>
      <c r="AP352" s="114"/>
    </row>
    <row r="353" spans="1:42" ht="15.75" customHeight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</row>
    <row r="354" spans="1:42" ht="15.75" customHeight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</row>
    <row r="355" spans="1:42" ht="15.75" customHeight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</row>
    <row r="356" spans="1:42" ht="15.75" customHeight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114"/>
      <c r="AJ356" s="114"/>
      <c r="AK356" s="114"/>
      <c r="AL356" s="114"/>
      <c r="AM356" s="114"/>
      <c r="AN356" s="114"/>
      <c r="AO356" s="114"/>
      <c r="AP356" s="114"/>
    </row>
    <row r="357" spans="1:42" ht="15.75" customHeight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</row>
    <row r="358" spans="1:42" ht="15.75" customHeight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</row>
    <row r="359" spans="1:42" ht="15.75" customHeight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  <c r="AN359" s="114"/>
      <c r="AO359" s="114"/>
      <c r="AP359" s="114"/>
    </row>
    <row r="360" spans="1:42" ht="15.75" customHeight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4"/>
      <c r="AK360" s="114"/>
      <c r="AL360" s="114"/>
      <c r="AM360" s="114"/>
      <c r="AN360" s="114"/>
      <c r="AO360" s="114"/>
      <c r="AP360" s="114"/>
    </row>
    <row r="361" spans="1:42" ht="15.75" customHeight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</row>
    <row r="362" spans="1:42" ht="15.75" customHeight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</row>
    <row r="363" spans="1:42" ht="15.75" customHeight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4"/>
      <c r="AK363" s="114"/>
      <c r="AL363" s="114"/>
      <c r="AM363" s="114"/>
      <c r="AN363" s="114"/>
      <c r="AO363" s="114"/>
      <c r="AP363" s="114"/>
    </row>
    <row r="364" spans="1:42" ht="15.75" customHeight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114"/>
      <c r="AJ364" s="114"/>
      <c r="AK364" s="114"/>
      <c r="AL364" s="114"/>
      <c r="AM364" s="114"/>
      <c r="AN364" s="114"/>
      <c r="AO364" s="114"/>
      <c r="AP364" s="114"/>
    </row>
    <row r="365" spans="1:42" ht="15.75" customHeight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</row>
    <row r="366" spans="1:42" ht="15.75" customHeight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</row>
    <row r="367" spans="1:42" ht="15.75" customHeight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</row>
    <row r="368" spans="1:42" ht="15.75" customHeight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  <c r="AM368" s="114"/>
      <c r="AN368" s="114"/>
      <c r="AO368" s="114"/>
      <c r="AP368" s="114"/>
    </row>
    <row r="369" spans="1:42" ht="15.75" customHeight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</row>
    <row r="370" spans="1:42" ht="15.75" customHeight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</row>
    <row r="371" spans="1:42" ht="15.75" customHeight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  <c r="AC371" s="114"/>
      <c r="AD371" s="114"/>
      <c r="AE371" s="114"/>
      <c r="AF371" s="114"/>
      <c r="AG371" s="114"/>
      <c r="AH371" s="114"/>
      <c r="AI371" s="114"/>
      <c r="AJ371" s="114"/>
      <c r="AK371" s="114"/>
      <c r="AL371" s="114"/>
      <c r="AM371" s="114"/>
      <c r="AN371" s="114"/>
      <c r="AO371" s="114"/>
      <c r="AP371" s="114"/>
    </row>
    <row r="372" spans="1:42" ht="15.75" customHeight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/>
    </row>
    <row r="373" spans="1:42" ht="15.75" customHeight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</row>
    <row r="374" spans="1:42" ht="15.75" customHeight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4"/>
      <c r="AK374" s="114"/>
      <c r="AL374" s="114"/>
      <c r="AM374" s="114"/>
      <c r="AN374" s="114"/>
      <c r="AO374" s="114"/>
      <c r="AP374" s="114"/>
    </row>
    <row r="375" spans="1:42" ht="15.75" customHeight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4"/>
      <c r="AK375" s="114"/>
      <c r="AL375" s="114"/>
      <c r="AM375" s="114"/>
      <c r="AN375" s="114"/>
      <c r="AO375" s="114"/>
      <c r="AP375" s="114"/>
    </row>
    <row r="376" spans="1:42" ht="15.75" customHeight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/>
      <c r="AI376" s="114"/>
      <c r="AJ376" s="114"/>
      <c r="AK376" s="114"/>
      <c r="AL376" s="114"/>
      <c r="AM376" s="114"/>
      <c r="AN376" s="114"/>
      <c r="AO376" s="114"/>
      <c r="AP376" s="114"/>
    </row>
    <row r="377" spans="1:42" ht="15.75" customHeight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4"/>
      <c r="AK377" s="114"/>
      <c r="AL377" s="114"/>
      <c r="AM377" s="114"/>
      <c r="AN377" s="114"/>
      <c r="AO377" s="114"/>
      <c r="AP377" s="114"/>
    </row>
    <row r="378" spans="1:42" ht="15.75" customHeight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/>
    </row>
    <row r="379" spans="1:42" ht="15.75" customHeight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/>
    </row>
    <row r="380" spans="1:42" ht="15.75" customHeight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</row>
    <row r="381" spans="1:42" ht="15.75" customHeight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4"/>
      <c r="AK381" s="114"/>
      <c r="AL381" s="114"/>
      <c r="AM381" s="114"/>
      <c r="AN381" s="114"/>
      <c r="AO381" s="114"/>
      <c r="AP381" s="114"/>
    </row>
    <row r="382" spans="1:42" ht="15.75" customHeight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4"/>
      <c r="AK382" s="114"/>
      <c r="AL382" s="114"/>
      <c r="AM382" s="114"/>
      <c r="AN382" s="114"/>
      <c r="AO382" s="114"/>
      <c r="AP382" s="114"/>
    </row>
    <row r="383" spans="1:42" ht="15.75" customHeight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4"/>
      <c r="AK383" s="114"/>
      <c r="AL383" s="114"/>
      <c r="AM383" s="114"/>
      <c r="AN383" s="114"/>
      <c r="AO383" s="114"/>
      <c r="AP383" s="114"/>
    </row>
    <row r="384" spans="1:42" ht="15.75" customHeight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114"/>
      <c r="AJ384" s="114"/>
      <c r="AK384" s="114"/>
      <c r="AL384" s="114"/>
      <c r="AM384" s="114"/>
      <c r="AN384" s="114"/>
      <c r="AO384" s="114"/>
      <c r="AP384" s="114"/>
    </row>
    <row r="385" spans="1:42" ht="15.75" customHeight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4"/>
      <c r="AK385" s="114"/>
      <c r="AL385" s="114"/>
      <c r="AM385" s="114"/>
      <c r="AN385" s="114"/>
      <c r="AO385" s="114"/>
      <c r="AP385" s="114"/>
    </row>
    <row r="386" spans="1:42" ht="15.75" customHeight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4"/>
      <c r="AK386" s="114"/>
      <c r="AL386" s="114"/>
      <c r="AM386" s="114"/>
      <c r="AN386" s="114"/>
      <c r="AO386" s="114"/>
      <c r="AP386" s="114"/>
    </row>
    <row r="387" spans="1:42" ht="15.75" customHeight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</row>
    <row r="388" spans="1:42" ht="15.75" customHeight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</row>
    <row r="389" spans="1:42" ht="15.75" customHeight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4"/>
      <c r="AK389" s="114"/>
      <c r="AL389" s="114"/>
      <c r="AM389" s="114"/>
      <c r="AN389" s="114"/>
      <c r="AO389" s="114"/>
      <c r="AP389" s="114"/>
    </row>
    <row r="390" spans="1:42" ht="15.75" customHeight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4"/>
      <c r="AK390" s="114"/>
      <c r="AL390" s="114"/>
      <c r="AM390" s="114"/>
      <c r="AN390" s="114"/>
      <c r="AO390" s="114"/>
      <c r="AP390" s="114"/>
    </row>
    <row r="391" spans="1:42" ht="15.75" customHeight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</row>
    <row r="392" spans="1:42" ht="15.75" customHeight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</row>
    <row r="393" spans="1:42" ht="15.75" customHeight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/>
    </row>
    <row r="394" spans="1:42" ht="15.75" customHeight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/>
      <c r="AJ394" s="114"/>
      <c r="AK394" s="114"/>
      <c r="AL394" s="114"/>
      <c r="AM394" s="114"/>
      <c r="AN394" s="114"/>
      <c r="AO394" s="114"/>
      <c r="AP394" s="114"/>
    </row>
    <row r="395" spans="1:42" ht="15.75" customHeight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</row>
    <row r="396" spans="1:42" ht="15.75" customHeight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</row>
    <row r="397" spans="1:42" ht="15.75" customHeight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4"/>
      <c r="AK397" s="114"/>
      <c r="AL397" s="114"/>
      <c r="AM397" s="114"/>
      <c r="AN397" s="114"/>
      <c r="AO397" s="114"/>
      <c r="AP397" s="114"/>
    </row>
    <row r="398" spans="1:42" ht="15.75" customHeight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4"/>
      <c r="AK398" s="114"/>
      <c r="AL398" s="114"/>
      <c r="AM398" s="114"/>
      <c r="AN398" s="114"/>
      <c r="AO398" s="114"/>
      <c r="AP398" s="114"/>
    </row>
    <row r="399" spans="1:42" ht="15.75" customHeight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</row>
    <row r="400" spans="1:42" ht="15.75" customHeight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</row>
    <row r="401" spans="1:42" ht="15.75" customHeight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114"/>
      <c r="AJ401" s="114"/>
      <c r="AK401" s="114"/>
      <c r="AL401" s="114"/>
      <c r="AM401" s="114"/>
      <c r="AN401" s="114"/>
      <c r="AO401" s="114"/>
      <c r="AP401" s="114"/>
    </row>
    <row r="402" spans="1:42" ht="15.75" customHeight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114"/>
      <c r="AJ402" s="114"/>
      <c r="AK402" s="114"/>
      <c r="AL402" s="114"/>
      <c r="AM402" s="114"/>
      <c r="AN402" s="114"/>
      <c r="AO402" s="114"/>
      <c r="AP402" s="114"/>
    </row>
    <row r="403" spans="1:42" ht="15.75" customHeight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</row>
    <row r="404" spans="1:42" ht="15.75" customHeight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</row>
    <row r="405" spans="1:42" ht="15.75" customHeight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  <c r="AN405" s="114"/>
      <c r="AO405" s="114"/>
      <c r="AP405" s="114"/>
    </row>
    <row r="406" spans="1:42" ht="15.75" customHeight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4"/>
      <c r="AK406" s="114"/>
      <c r="AL406" s="114"/>
      <c r="AM406" s="114"/>
      <c r="AN406" s="114"/>
      <c r="AO406" s="114"/>
      <c r="AP406" s="114"/>
    </row>
    <row r="407" spans="1:42" ht="15.75" customHeight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</row>
    <row r="408" spans="1:42" ht="15.75" customHeight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</row>
    <row r="409" spans="1:42" ht="15.75" customHeight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4"/>
      <c r="AK409" s="114"/>
      <c r="AL409" s="114"/>
      <c r="AM409" s="114"/>
      <c r="AN409" s="114"/>
      <c r="AO409" s="114"/>
      <c r="AP409" s="114"/>
    </row>
    <row r="410" spans="1:42" ht="15.75" customHeight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4"/>
      <c r="AK410" s="114"/>
      <c r="AL410" s="114"/>
      <c r="AM410" s="114"/>
      <c r="AN410" s="114"/>
      <c r="AO410" s="114"/>
      <c r="AP410" s="114"/>
    </row>
    <row r="411" spans="1:42" ht="15.75" customHeight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</row>
    <row r="412" spans="1:42" ht="15.75" customHeight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</row>
    <row r="413" spans="1:42" ht="15.75" customHeight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</row>
    <row r="414" spans="1:42" ht="15.75" customHeight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  <c r="AM414" s="114"/>
      <c r="AN414" s="114"/>
      <c r="AO414" s="114"/>
      <c r="AP414" s="114"/>
    </row>
    <row r="415" spans="1:42" ht="15.75" customHeight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</row>
    <row r="416" spans="1:42" ht="15.75" customHeight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</row>
    <row r="417" spans="1:42" ht="15.75" customHeight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4"/>
      <c r="AK417" s="114"/>
      <c r="AL417" s="114"/>
      <c r="AM417" s="114"/>
      <c r="AN417" s="114"/>
      <c r="AO417" s="114"/>
      <c r="AP417" s="114"/>
    </row>
    <row r="418" spans="1:42" ht="15.75" customHeight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</row>
    <row r="419" spans="1:42" ht="15.75" customHeight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</row>
    <row r="420" spans="1:42" ht="15.75" customHeight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</row>
    <row r="421" spans="1:42" ht="15.75" customHeight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4"/>
      <c r="AK421" s="114"/>
      <c r="AL421" s="114"/>
      <c r="AM421" s="114"/>
      <c r="AN421" s="114"/>
      <c r="AO421" s="114"/>
      <c r="AP421" s="114"/>
    </row>
    <row r="422" spans="1:42" ht="15.75" customHeight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</row>
    <row r="423" spans="1:42" ht="15.75" customHeight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</row>
    <row r="424" spans="1:42" ht="15.75" customHeight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</row>
    <row r="425" spans="1:42" ht="15.75" customHeight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</row>
    <row r="426" spans="1:42" ht="15.75" customHeight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  <c r="AM426" s="114"/>
      <c r="AN426" s="114"/>
      <c r="AO426" s="114"/>
      <c r="AP426" s="114"/>
    </row>
    <row r="427" spans="1:42" ht="15.75" customHeight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</row>
    <row r="428" spans="1:42" ht="15.75" customHeight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</row>
    <row r="429" spans="1:42" ht="15.75" customHeight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  <c r="AN429" s="114"/>
      <c r="AO429" s="114"/>
      <c r="AP429" s="114"/>
    </row>
    <row r="430" spans="1:42" ht="15.75" customHeight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4"/>
      <c r="AK430" s="114"/>
      <c r="AL430" s="114"/>
      <c r="AM430" s="114"/>
      <c r="AN430" s="114"/>
      <c r="AO430" s="114"/>
      <c r="AP430" s="114"/>
    </row>
    <row r="431" spans="1:42" ht="15.75" customHeight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</row>
    <row r="432" spans="1:42" ht="15.75" customHeight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</row>
    <row r="433" spans="1:42" ht="15.75" customHeight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4"/>
      <c r="AN433" s="114"/>
      <c r="AO433" s="114"/>
      <c r="AP433" s="114"/>
    </row>
    <row r="434" spans="1:42" ht="15.75" customHeight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114"/>
      <c r="AJ434" s="114"/>
      <c r="AK434" s="114"/>
      <c r="AL434" s="114"/>
      <c r="AM434" s="114"/>
      <c r="AN434" s="114"/>
      <c r="AO434" s="114"/>
      <c r="AP434" s="114"/>
    </row>
    <row r="435" spans="1:42" ht="15.75" customHeight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</row>
    <row r="436" spans="1:42" ht="15.75" customHeight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</row>
    <row r="437" spans="1:42" ht="15.75" customHeight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  <c r="AA437" s="114"/>
      <c r="AB437" s="114"/>
      <c r="AC437" s="114"/>
      <c r="AD437" s="114"/>
      <c r="AE437" s="114"/>
      <c r="AF437" s="114"/>
      <c r="AG437" s="114"/>
      <c r="AH437" s="114"/>
      <c r="AI437" s="114"/>
      <c r="AJ437" s="114"/>
      <c r="AK437" s="114"/>
      <c r="AL437" s="114"/>
      <c r="AM437" s="114"/>
      <c r="AN437" s="114"/>
      <c r="AO437" s="114"/>
      <c r="AP437" s="114"/>
    </row>
    <row r="438" spans="1:42" ht="15.75" customHeight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/>
    </row>
    <row r="439" spans="1:42" ht="15.75" customHeight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</row>
    <row r="440" spans="1:42" ht="15.75" customHeight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</row>
    <row r="441" spans="1:42" ht="15.75" customHeight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  <c r="AD441" s="114"/>
      <c r="AE441" s="114"/>
      <c r="AF441" s="114"/>
      <c r="AG441" s="114"/>
      <c r="AH441" s="114"/>
      <c r="AI441" s="114"/>
      <c r="AJ441" s="114"/>
      <c r="AK441" s="114"/>
      <c r="AL441" s="114"/>
      <c r="AM441" s="114"/>
      <c r="AN441" s="114"/>
      <c r="AO441" s="114"/>
      <c r="AP441" s="114"/>
    </row>
    <row r="442" spans="1:42" ht="15.75" customHeight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  <c r="AC442" s="114"/>
      <c r="AD442" s="114"/>
      <c r="AE442" s="114"/>
      <c r="AF442" s="114"/>
      <c r="AG442" s="114"/>
      <c r="AH442" s="114"/>
      <c r="AI442" s="114"/>
      <c r="AJ442" s="114"/>
      <c r="AK442" s="114"/>
      <c r="AL442" s="114"/>
      <c r="AM442" s="114"/>
      <c r="AN442" s="114"/>
      <c r="AO442" s="114"/>
      <c r="AP442" s="114"/>
    </row>
    <row r="443" spans="1:42" ht="15.75" customHeight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</row>
    <row r="444" spans="1:42" ht="15.75" customHeight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</row>
    <row r="445" spans="1:42" ht="15.75" customHeight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  <c r="AA445" s="114"/>
      <c r="AB445" s="114"/>
      <c r="AC445" s="114"/>
      <c r="AD445" s="114"/>
      <c r="AE445" s="114"/>
      <c r="AF445" s="114"/>
      <c r="AG445" s="114"/>
      <c r="AH445" s="114"/>
      <c r="AI445" s="114"/>
      <c r="AJ445" s="114"/>
      <c r="AK445" s="114"/>
      <c r="AL445" s="114"/>
      <c r="AM445" s="114"/>
      <c r="AN445" s="114"/>
      <c r="AO445" s="114"/>
      <c r="AP445" s="114"/>
    </row>
    <row r="446" spans="1:42" ht="15.75" customHeight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  <c r="AA446" s="114"/>
      <c r="AB446" s="114"/>
      <c r="AC446" s="114"/>
      <c r="AD446" s="114"/>
      <c r="AE446" s="114"/>
      <c r="AF446" s="114"/>
      <c r="AG446" s="114"/>
      <c r="AH446" s="114"/>
      <c r="AI446" s="114"/>
      <c r="AJ446" s="114"/>
      <c r="AK446" s="114"/>
      <c r="AL446" s="114"/>
      <c r="AM446" s="114"/>
      <c r="AN446" s="114"/>
      <c r="AO446" s="114"/>
      <c r="AP446" s="114"/>
    </row>
    <row r="447" spans="1:42" ht="15.75" customHeight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</row>
    <row r="448" spans="1:42" ht="15.75" customHeight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</row>
    <row r="449" spans="1:42" ht="15.75" customHeight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  <c r="AA449" s="114"/>
      <c r="AB449" s="114"/>
      <c r="AC449" s="114"/>
      <c r="AD449" s="114"/>
      <c r="AE449" s="114"/>
      <c r="AF449" s="114"/>
      <c r="AG449" s="114"/>
      <c r="AH449" s="114"/>
      <c r="AI449" s="114"/>
      <c r="AJ449" s="114"/>
      <c r="AK449" s="114"/>
      <c r="AL449" s="114"/>
      <c r="AM449" s="114"/>
      <c r="AN449" s="114"/>
      <c r="AO449" s="114"/>
      <c r="AP449" s="114"/>
    </row>
    <row r="450" spans="1:42" ht="15.75" customHeight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  <c r="AA450" s="114"/>
      <c r="AB450" s="114"/>
      <c r="AC450" s="114"/>
      <c r="AD450" s="114"/>
      <c r="AE450" s="114"/>
      <c r="AF450" s="114"/>
      <c r="AG450" s="114"/>
      <c r="AH450" s="114"/>
      <c r="AI450" s="114"/>
      <c r="AJ450" s="114"/>
      <c r="AK450" s="114"/>
      <c r="AL450" s="114"/>
      <c r="AM450" s="114"/>
      <c r="AN450" s="114"/>
      <c r="AO450" s="114"/>
      <c r="AP450" s="114"/>
    </row>
    <row r="451" spans="1:42" ht="15.75" customHeight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</row>
    <row r="452" spans="1:42" ht="15.75" customHeight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</row>
    <row r="453" spans="1:42" ht="15.75" customHeight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  <c r="AA453" s="114"/>
      <c r="AB453" s="114"/>
      <c r="AC453" s="114"/>
      <c r="AD453" s="114"/>
      <c r="AE453" s="114"/>
      <c r="AF453" s="114"/>
      <c r="AG453" s="114"/>
      <c r="AH453" s="114"/>
      <c r="AI453" s="114"/>
      <c r="AJ453" s="114"/>
      <c r="AK453" s="114"/>
      <c r="AL453" s="114"/>
      <c r="AM453" s="114"/>
      <c r="AN453" s="114"/>
      <c r="AO453" s="114"/>
      <c r="AP453" s="114"/>
    </row>
    <row r="454" spans="1:42" ht="15.75" customHeight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  <c r="AA454" s="114"/>
      <c r="AB454" s="114"/>
      <c r="AC454" s="114"/>
      <c r="AD454" s="114"/>
      <c r="AE454" s="114"/>
      <c r="AF454" s="114"/>
      <c r="AG454" s="114"/>
      <c r="AH454" s="114"/>
      <c r="AI454" s="114"/>
      <c r="AJ454" s="114"/>
      <c r="AK454" s="114"/>
      <c r="AL454" s="114"/>
      <c r="AM454" s="114"/>
      <c r="AN454" s="114"/>
      <c r="AO454" s="114"/>
      <c r="AP454" s="114"/>
    </row>
    <row r="455" spans="1:42" ht="15.75" customHeight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</row>
    <row r="456" spans="1:42" ht="15.75" customHeight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</row>
    <row r="457" spans="1:42" ht="15.75" customHeight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114"/>
      <c r="AJ457" s="114"/>
      <c r="AK457" s="114"/>
      <c r="AL457" s="114"/>
      <c r="AM457" s="114"/>
      <c r="AN457" s="114"/>
      <c r="AO457" s="114"/>
      <c r="AP457" s="114"/>
    </row>
    <row r="458" spans="1:42" ht="15.75" customHeight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/>
    </row>
    <row r="459" spans="1:42" ht="15.75" customHeight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</row>
    <row r="460" spans="1:42" ht="15.75" customHeight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</row>
    <row r="461" spans="1:42" ht="15.75" customHeight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  <c r="AA461" s="114"/>
      <c r="AB461" s="114"/>
      <c r="AC461" s="114"/>
      <c r="AD461" s="114"/>
      <c r="AE461" s="114"/>
      <c r="AF461" s="114"/>
      <c r="AG461" s="114"/>
      <c r="AH461" s="114"/>
      <c r="AI461" s="114"/>
      <c r="AJ461" s="114"/>
      <c r="AK461" s="114"/>
      <c r="AL461" s="114"/>
      <c r="AM461" s="114"/>
      <c r="AN461" s="114"/>
      <c r="AO461" s="114"/>
      <c r="AP461" s="114"/>
    </row>
    <row r="462" spans="1:42" ht="15.75" customHeight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  <c r="AA462" s="114"/>
      <c r="AB462" s="114"/>
      <c r="AC462" s="114"/>
      <c r="AD462" s="114"/>
      <c r="AE462" s="114"/>
      <c r="AF462" s="114"/>
      <c r="AG462" s="114"/>
      <c r="AH462" s="114"/>
      <c r="AI462" s="114"/>
      <c r="AJ462" s="114"/>
      <c r="AK462" s="114"/>
      <c r="AL462" s="114"/>
      <c r="AM462" s="114"/>
      <c r="AN462" s="114"/>
      <c r="AO462" s="114"/>
      <c r="AP462" s="114"/>
    </row>
    <row r="463" spans="1:42" ht="15.75" customHeight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</row>
    <row r="464" spans="1:42" ht="15.75" customHeight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</row>
    <row r="465" spans="1:42" ht="15.75" customHeight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  <c r="AA465" s="114"/>
      <c r="AB465" s="114"/>
      <c r="AC465" s="114"/>
      <c r="AD465" s="114"/>
      <c r="AE465" s="114"/>
      <c r="AF465" s="114"/>
      <c r="AG465" s="114"/>
      <c r="AH465" s="114"/>
      <c r="AI465" s="114"/>
      <c r="AJ465" s="114"/>
      <c r="AK465" s="114"/>
      <c r="AL465" s="114"/>
      <c r="AM465" s="114"/>
      <c r="AN465" s="114"/>
      <c r="AO465" s="114"/>
      <c r="AP465" s="114"/>
    </row>
    <row r="466" spans="1:42" ht="15.75" customHeight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  <c r="AA466" s="114"/>
      <c r="AB466" s="114"/>
      <c r="AC466" s="114"/>
      <c r="AD466" s="114"/>
      <c r="AE466" s="114"/>
      <c r="AF466" s="114"/>
      <c r="AG466" s="114"/>
      <c r="AH466" s="114"/>
      <c r="AI466" s="114"/>
      <c r="AJ466" s="114"/>
      <c r="AK466" s="114"/>
      <c r="AL466" s="114"/>
      <c r="AM466" s="114"/>
      <c r="AN466" s="114"/>
      <c r="AO466" s="114"/>
      <c r="AP466" s="114"/>
    </row>
    <row r="467" spans="1:42" ht="15.75" customHeight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  <c r="AA467" s="114"/>
      <c r="AB467" s="114"/>
      <c r="AC467" s="114"/>
      <c r="AD467" s="114"/>
      <c r="AE467" s="114"/>
      <c r="AF467" s="114"/>
      <c r="AG467" s="114"/>
      <c r="AH467" s="114"/>
      <c r="AI467" s="114"/>
      <c r="AJ467" s="114"/>
      <c r="AK467" s="114"/>
      <c r="AL467" s="114"/>
      <c r="AM467" s="114"/>
      <c r="AN467" s="114"/>
      <c r="AO467" s="114"/>
      <c r="AP467" s="114"/>
    </row>
    <row r="468" spans="1:42" ht="15.75" customHeight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  <c r="AA468" s="114"/>
      <c r="AB468" s="114"/>
      <c r="AC468" s="114"/>
      <c r="AD468" s="114"/>
      <c r="AE468" s="114"/>
      <c r="AF468" s="114"/>
      <c r="AG468" s="114"/>
      <c r="AH468" s="114"/>
      <c r="AI468" s="114"/>
      <c r="AJ468" s="114"/>
      <c r="AK468" s="114"/>
      <c r="AL468" s="114"/>
      <c r="AM468" s="114"/>
      <c r="AN468" s="114"/>
      <c r="AO468" s="114"/>
      <c r="AP468" s="114"/>
    </row>
    <row r="469" spans="1:42" ht="15.75" customHeight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  <c r="AA469" s="114"/>
      <c r="AB469" s="114"/>
      <c r="AC469" s="114"/>
      <c r="AD469" s="114"/>
      <c r="AE469" s="114"/>
      <c r="AF469" s="114"/>
      <c r="AG469" s="114"/>
      <c r="AH469" s="114"/>
      <c r="AI469" s="114"/>
      <c r="AJ469" s="114"/>
      <c r="AK469" s="114"/>
      <c r="AL469" s="114"/>
      <c r="AM469" s="114"/>
      <c r="AN469" s="114"/>
      <c r="AO469" s="114"/>
      <c r="AP469" s="114"/>
    </row>
    <row r="470" spans="1:42" ht="15.75" customHeight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114"/>
      <c r="AJ470" s="114"/>
      <c r="AK470" s="114"/>
      <c r="AL470" s="114"/>
      <c r="AM470" s="114"/>
      <c r="AN470" s="114"/>
      <c r="AO470" s="114"/>
      <c r="AP470" s="114"/>
    </row>
    <row r="471" spans="1:42" ht="15.75" customHeight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  <c r="AA471" s="114"/>
      <c r="AB471" s="114"/>
      <c r="AC471" s="114"/>
      <c r="AD471" s="114"/>
      <c r="AE471" s="114"/>
      <c r="AF471" s="114"/>
      <c r="AG471" s="114"/>
      <c r="AH471" s="114"/>
      <c r="AI471" s="114"/>
      <c r="AJ471" s="114"/>
      <c r="AK471" s="114"/>
      <c r="AL471" s="114"/>
      <c r="AM471" s="114"/>
      <c r="AN471" s="114"/>
      <c r="AO471" s="114"/>
      <c r="AP471" s="114"/>
    </row>
    <row r="472" spans="1:42" ht="15.75" customHeight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  <c r="AA472" s="114"/>
      <c r="AB472" s="114"/>
      <c r="AC472" s="114"/>
      <c r="AD472" s="114"/>
      <c r="AE472" s="114"/>
      <c r="AF472" s="114"/>
      <c r="AG472" s="114"/>
      <c r="AH472" s="114"/>
      <c r="AI472" s="114"/>
      <c r="AJ472" s="114"/>
      <c r="AK472" s="114"/>
      <c r="AL472" s="114"/>
      <c r="AM472" s="114"/>
      <c r="AN472" s="114"/>
      <c r="AO472" s="114"/>
      <c r="AP472" s="114"/>
    </row>
    <row r="473" spans="1:42" ht="15.75" customHeight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4"/>
      <c r="AK473" s="114"/>
      <c r="AL473" s="114"/>
      <c r="AM473" s="114"/>
      <c r="AN473" s="114"/>
      <c r="AO473" s="114"/>
      <c r="AP473" s="114"/>
    </row>
    <row r="474" spans="1:42" ht="15.75" customHeight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  <c r="AA474" s="114"/>
      <c r="AB474" s="114"/>
      <c r="AC474" s="114"/>
      <c r="AD474" s="114"/>
      <c r="AE474" s="114"/>
      <c r="AF474" s="114"/>
      <c r="AG474" s="114"/>
      <c r="AH474" s="114"/>
      <c r="AI474" s="114"/>
      <c r="AJ474" s="114"/>
      <c r="AK474" s="114"/>
      <c r="AL474" s="114"/>
      <c r="AM474" s="114"/>
      <c r="AN474" s="114"/>
      <c r="AO474" s="114"/>
      <c r="AP474" s="114"/>
    </row>
    <row r="475" spans="1:42" ht="15.75" customHeight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  <c r="AA475" s="114"/>
      <c r="AB475" s="114"/>
      <c r="AC475" s="114"/>
      <c r="AD475" s="114"/>
      <c r="AE475" s="114"/>
      <c r="AF475" s="114"/>
      <c r="AG475" s="114"/>
      <c r="AH475" s="114"/>
      <c r="AI475" s="114"/>
      <c r="AJ475" s="114"/>
      <c r="AK475" s="114"/>
      <c r="AL475" s="114"/>
      <c r="AM475" s="114"/>
      <c r="AN475" s="114"/>
      <c r="AO475" s="114"/>
      <c r="AP475" s="114"/>
    </row>
    <row r="476" spans="1:42" ht="15.75" customHeight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  <c r="AA476" s="114"/>
      <c r="AB476" s="114"/>
      <c r="AC476" s="114"/>
      <c r="AD476" s="114"/>
      <c r="AE476" s="114"/>
      <c r="AF476" s="114"/>
      <c r="AG476" s="114"/>
      <c r="AH476" s="114"/>
      <c r="AI476" s="114"/>
      <c r="AJ476" s="114"/>
      <c r="AK476" s="114"/>
      <c r="AL476" s="114"/>
      <c r="AM476" s="114"/>
      <c r="AN476" s="114"/>
      <c r="AO476" s="114"/>
      <c r="AP476" s="114"/>
    </row>
    <row r="477" spans="1:42" ht="15.75" customHeight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  <c r="AA477" s="114"/>
      <c r="AB477" s="114"/>
      <c r="AC477" s="114"/>
      <c r="AD477" s="114"/>
      <c r="AE477" s="114"/>
      <c r="AF477" s="114"/>
      <c r="AG477" s="114"/>
      <c r="AH477" s="114"/>
      <c r="AI477" s="114"/>
      <c r="AJ477" s="114"/>
      <c r="AK477" s="114"/>
      <c r="AL477" s="114"/>
      <c r="AM477" s="114"/>
      <c r="AN477" s="114"/>
      <c r="AO477" s="114"/>
      <c r="AP477" s="114"/>
    </row>
    <row r="478" spans="1:42" ht="15.75" customHeight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114"/>
      <c r="AJ478" s="114"/>
      <c r="AK478" s="114"/>
      <c r="AL478" s="114"/>
      <c r="AM478" s="114"/>
      <c r="AN478" s="114"/>
      <c r="AO478" s="114"/>
      <c r="AP478" s="114"/>
    </row>
    <row r="479" spans="1:42" ht="15.75" customHeight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  <c r="AA479" s="114"/>
      <c r="AB479" s="114"/>
      <c r="AC479" s="114"/>
      <c r="AD479" s="114"/>
      <c r="AE479" s="114"/>
      <c r="AF479" s="114"/>
      <c r="AG479" s="114"/>
      <c r="AH479" s="114"/>
      <c r="AI479" s="114"/>
      <c r="AJ479" s="114"/>
      <c r="AK479" s="114"/>
      <c r="AL479" s="114"/>
      <c r="AM479" s="114"/>
      <c r="AN479" s="114"/>
      <c r="AO479" s="114"/>
      <c r="AP479" s="114"/>
    </row>
    <row r="480" spans="1:42" ht="15.75" customHeight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  <c r="AA480" s="114"/>
      <c r="AB480" s="114"/>
      <c r="AC480" s="114"/>
      <c r="AD480" s="114"/>
      <c r="AE480" s="114"/>
      <c r="AF480" s="114"/>
      <c r="AG480" s="114"/>
      <c r="AH480" s="114"/>
      <c r="AI480" s="114"/>
      <c r="AJ480" s="114"/>
      <c r="AK480" s="114"/>
      <c r="AL480" s="114"/>
      <c r="AM480" s="114"/>
      <c r="AN480" s="114"/>
      <c r="AO480" s="114"/>
      <c r="AP480" s="114"/>
    </row>
    <row r="481" spans="1:42" ht="15.75" customHeight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</row>
    <row r="482" spans="1:42" ht="15.75" customHeight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</row>
    <row r="483" spans="1:42" ht="15.75" customHeight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4"/>
      <c r="AK483" s="114"/>
      <c r="AL483" s="114"/>
      <c r="AM483" s="114"/>
      <c r="AN483" s="114"/>
      <c r="AO483" s="114"/>
      <c r="AP483" s="114"/>
    </row>
    <row r="484" spans="1:42" ht="15.75" customHeight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114"/>
      <c r="AJ484" s="114"/>
      <c r="AK484" s="114"/>
      <c r="AL484" s="114"/>
      <c r="AM484" s="114"/>
      <c r="AN484" s="114"/>
      <c r="AO484" s="114"/>
      <c r="AP484" s="114"/>
    </row>
    <row r="485" spans="1:42" ht="15.75" customHeight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</row>
    <row r="486" spans="1:42" ht="15.75" customHeight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</row>
    <row r="487" spans="1:42" ht="15.75" customHeight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  <c r="AC487" s="114"/>
      <c r="AD487" s="114"/>
      <c r="AE487" s="114"/>
      <c r="AF487" s="114"/>
      <c r="AG487" s="114"/>
      <c r="AH487" s="114"/>
      <c r="AI487" s="114"/>
      <c r="AJ487" s="114"/>
      <c r="AK487" s="114"/>
      <c r="AL487" s="114"/>
      <c r="AM487" s="114"/>
      <c r="AN487" s="114"/>
      <c r="AO487" s="114"/>
      <c r="AP487" s="114"/>
    </row>
    <row r="488" spans="1:42" ht="15.75" customHeight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  <c r="AA488" s="114"/>
      <c r="AB488" s="114"/>
      <c r="AC488" s="114"/>
      <c r="AD488" s="114"/>
      <c r="AE488" s="114"/>
      <c r="AF488" s="114"/>
      <c r="AG488" s="114"/>
      <c r="AH488" s="114"/>
      <c r="AI488" s="114"/>
      <c r="AJ488" s="114"/>
      <c r="AK488" s="114"/>
      <c r="AL488" s="114"/>
      <c r="AM488" s="114"/>
      <c r="AN488" s="114"/>
      <c r="AO488" s="114"/>
      <c r="AP488" s="114"/>
    </row>
    <row r="489" spans="1:42" ht="15.75" customHeight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</row>
    <row r="490" spans="1:42" ht="15.75" customHeight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</row>
    <row r="491" spans="1:42" ht="15.75" customHeight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  <c r="AA491" s="114"/>
      <c r="AB491" s="114"/>
      <c r="AC491" s="114"/>
      <c r="AD491" s="114"/>
      <c r="AE491" s="114"/>
      <c r="AF491" s="114"/>
      <c r="AG491" s="114"/>
      <c r="AH491" s="114"/>
      <c r="AI491" s="114"/>
      <c r="AJ491" s="114"/>
      <c r="AK491" s="114"/>
      <c r="AL491" s="114"/>
      <c r="AM491" s="114"/>
      <c r="AN491" s="114"/>
      <c r="AO491" s="114"/>
      <c r="AP491" s="114"/>
    </row>
    <row r="492" spans="1:42" ht="15.75" customHeight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  <c r="AC492" s="114"/>
      <c r="AD492" s="114"/>
      <c r="AE492" s="114"/>
      <c r="AF492" s="114"/>
      <c r="AG492" s="114"/>
      <c r="AH492" s="114"/>
      <c r="AI492" s="114"/>
      <c r="AJ492" s="114"/>
      <c r="AK492" s="114"/>
      <c r="AL492" s="114"/>
      <c r="AM492" s="114"/>
      <c r="AN492" s="114"/>
      <c r="AO492" s="114"/>
      <c r="AP492" s="114"/>
    </row>
    <row r="493" spans="1:42" ht="15.75" customHeight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</row>
    <row r="494" spans="1:42" ht="15.75" customHeight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</row>
    <row r="495" spans="1:42" ht="15.75" customHeight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114"/>
      <c r="AJ495" s="114"/>
      <c r="AK495" s="114"/>
      <c r="AL495" s="114"/>
      <c r="AM495" s="114"/>
      <c r="AN495" s="114"/>
      <c r="AO495" s="114"/>
      <c r="AP495" s="114"/>
    </row>
    <row r="496" spans="1:42" ht="15.75" customHeight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114"/>
      <c r="AJ496" s="114"/>
      <c r="AK496" s="114"/>
      <c r="AL496" s="114"/>
      <c r="AM496" s="114"/>
      <c r="AN496" s="114"/>
      <c r="AO496" s="114"/>
      <c r="AP496" s="114"/>
    </row>
    <row r="497" spans="1:42" ht="15.75" customHeight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</row>
    <row r="498" spans="1:42" ht="15.75" customHeight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</row>
    <row r="499" spans="1:42" ht="15.75" customHeight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  <c r="AA499" s="114"/>
      <c r="AB499" s="114"/>
      <c r="AC499" s="114"/>
      <c r="AD499" s="114"/>
      <c r="AE499" s="114"/>
      <c r="AF499" s="114"/>
      <c r="AG499" s="114"/>
      <c r="AH499" s="114"/>
      <c r="AI499" s="114"/>
      <c r="AJ499" s="114"/>
      <c r="AK499" s="114"/>
      <c r="AL499" s="114"/>
      <c r="AM499" s="114"/>
      <c r="AN499" s="114"/>
      <c r="AO499" s="114"/>
      <c r="AP499" s="114"/>
    </row>
    <row r="500" spans="1:42" ht="15.75" customHeight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  <c r="AA500" s="114"/>
      <c r="AB500" s="114"/>
      <c r="AC500" s="114"/>
      <c r="AD500" s="114"/>
      <c r="AE500" s="114"/>
      <c r="AF500" s="114"/>
      <c r="AG500" s="114"/>
      <c r="AH500" s="114"/>
      <c r="AI500" s="114"/>
      <c r="AJ500" s="114"/>
      <c r="AK500" s="114"/>
      <c r="AL500" s="114"/>
      <c r="AM500" s="114"/>
      <c r="AN500" s="114"/>
      <c r="AO500" s="114"/>
      <c r="AP500" s="114"/>
    </row>
    <row r="501" spans="1:42" ht="15.75" customHeight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</row>
    <row r="502" spans="1:42" ht="15.75" customHeight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</row>
    <row r="503" spans="1:42" ht="15.75" customHeight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  <c r="AA503" s="114"/>
      <c r="AB503" s="114"/>
      <c r="AC503" s="114"/>
      <c r="AD503" s="114"/>
      <c r="AE503" s="114"/>
      <c r="AF503" s="114"/>
      <c r="AG503" s="114"/>
      <c r="AH503" s="114"/>
      <c r="AI503" s="114"/>
      <c r="AJ503" s="114"/>
      <c r="AK503" s="114"/>
      <c r="AL503" s="114"/>
      <c r="AM503" s="114"/>
      <c r="AN503" s="114"/>
      <c r="AO503" s="114"/>
      <c r="AP503" s="114"/>
    </row>
    <row r="504" spans="1:42" ht="15.75" customHeight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  <c r="AC504" s="114"/>
      <c r="AD504" s="114"/>
      <c r="AE504" s="114"/>
      <c r="AF504" s="114"/>
      <c r="AG504" s="114"/>
      <c r="AH504" s="114"/>
      <c r="AI504" s="114"/>
      <c r="AJ504" s="114"/>
      <c r="AK504" s="114"/>
      <c r="AL504" s="114"/>
      <c r="AM504" s="114"/>
      <c r="AN504" s="114"/>
      <c r="AO504" s="114"/>
      <c r="AP504" s="114"/>
    </row>
    <row r="505" spans="1:42" ht="15.75" customHeight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</row>
    <row r="506" spans="1:42" ht="15.75" customHeight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</row>
    <row r="507" spans="1:42" ht="15.75" customHeight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  <c r="AA507" s="114"/>
      <c r="AB507" s="114"/>
      <c r="AC507" s="114"/>
      <c r="AD507" s="114"/>
      <c r="AE507" s="114"/>
      <c r="AF507" s="114"/>
      <c r="AG507" s="114"/>
      <c r="AH507" s="114"/>
      <c r="AI507" s="114"/>
      <c r="AJ507" s="114"/>
      <c r="AK507" s="114"/>
      <c r="AL507" s="114"/>
      <c r="AM507" s="114"/>
      <c r="AN507" s="114"/>
      <c r="AO507" s="114"/>
      <c r="AP507" s="114"/>
    </row>
    <row r="508" spans="1:42" ht="15.75" customHeight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  <c r="AD508" s="114"/>
      <c r="AE508" s="114"/>
      <c r="AF508" s="114"/>
      <c r="AG508" s="114"/>
      <c r="AH508" s="114"/>
      <c r="AI508" s="114"/>
      <c r="AJ508" s="114"/>
      <c r="AK508" s="114"/>
      <c r="AL508" s="114"/>
      <c r="AM508" s="114"/>
      <c r="AN508" s="114"/>
      <c r="AO508" s="114"/>
      <c r="AP508" s="114"/>
    </row>
    <row r="509" spans="1:42" ht="15.75" customHeight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</row>
    <row r="510" spans="1:42" ht="15.75" customHeight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</row>
    <row r="511" spans="1:42" ht="15.75" customHeight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  <c r="AA511" s="114"/>
      <c r="AB511" s="114"/>
      <c r="AC511" s="114"/>
      <c r="AD511" s="114"/>
      <c r="AE511" s="114"/>
      <c r="AF511" s="114"/>
      <c r="AG511" s="114"/>
      <c r="AH511" s="114"/>
      <c r="AI511" s="114"/>
      <c r="AJ511" s="114"/>
      <c r="AK511" s="114"/>
      <c r="AL511" s="114"/>
      <c r="AM511" s="114"/>
      <c r="AN511" s="114"/>
      <c r="AO511" s="114"/>
      <c r="AP511" s="114"/>
    </row>
    <row r="512" spans="1:42" ht="15.75" customHeight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  <c r="AA512" s="114"/>
      <c r="AB512" s="114"/>
      <c r="AC512" s="114"/>
      <c r="AD512" s="114"/>
      <c r="AE512" s="114"/>
      <c r="AF512" s="114"/>
      <c r="AG512" s="114"/>
      <c r="AH512" s="114"/>
      <c r="AI512" s="114"/>
      <c r="AJ512" s="114"/>
      <c r="AK512" s="114"/>
      <c r="AL512" s="114"/>
      <c r="AM512" s="114"/>
      <c r="AN512" s="114"/>
      <c r="AO512" s="114"/>
      <c r="AP512" s="114"/>
    </row>
    <row r="513" spans="1:42" ht="15.75" customHeight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</row>
    <row r="514" spans="1:42" ht="15.75" customHeight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</row>
    <row r="515" spans="1:42" ht="15.75" customHeight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114"/>
      <c r="AF515" s="114"/>
      <c r="AG515" s="114"/>
      <c r="AH515" s="114"/>
      <c r="AI515" s="114"/>
      <c r="AJ515" s="114"/>
      <c r="AK515" s="114"/>
      <c r="AL515" s="114"/>
      <c r="AM515" s="114"/>
      <c r="AN515" s="114"/>
      <c r="AO515" s="114"/>
      <c r="AP515" s="114"/>
    </row>
    <row r="516" spans="1:42" ht="15.75" customHeight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  <c r="AA516" s="114"/>
      <c r="AB516" s="114"/>
      <c r="AC516" s="114"/>
      <c r="AD516" s="114"/>
      <c r="AE516" s="114"/>
      <c r="AF516" s="114"/>
      <c r="AG516" s="114"/>
      <c r="AH516" s="114"/>
      <c r="AI516" s="114"/>
      <c r="AJ516" s="114"/>
      <c r="AK516" s="114"/>
      <c r="AL516" s="114"/>
      <c r="AM516" s="114"/>
      <c r="AN516" s="114"/>
      <c r="AO516" s="114"/>
      <c r="AP516" s="114"/>
    </row>
    <row r="517" spans="1:42" ht="15.75" customHeight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</row>
    <row r="518" spans="1:42" ht="15.75" customHeight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</row>
    <row r="519" spans="1:42" ht="15.75" customHeight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4"/>
      <c r="AK519" s="114"/>
      <c r="AL519" s="114"/>
      <c r="AM519" s="114"/>
      <c r="AN519" s="114"/>
      <c r="AO519" s="114"/>
      <c r="AP519" s="114"/>
    </row>
    <row r="520" spans="1:42" ht="15.75" customHeight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114"/>
      <c r="AJ520" s="114"/>
      <c r="AK520" s="114"/>
      <c r="AL520" s="114"/>
      <c r="AM520" s="114"/>
      <c r="AN520" s="114"/>
      <c r="AO520" s="114"/>
      <c r="AP520" s="114"/>
    </row>
    <row r="521" spans="1:42" ht="15.75" customHeight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</row>
    <row r="522" spans="1:42" ht="15.75" customHeight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</row>
    <row r="523" spans="1:42" ht="15.75" customHeight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  <c r="AA523" s="114"/>
      <c r="AB523" s="114"/>
      <c r="AC523" s="114"/>
      <c r="AD523" s="114"/>
      <c r="AE523" s="114"/>
      <c r="AF523" s="114"/>
      <c r="AG523" s="114"/>
      <c r="AH523" s="114"/>
      <c r="AI523" s="114"/>
      <c r="AJ523" s="114"/>
      <c r="AK523" s="114"/>
      <c r="AL523" s="114"/>
      <c r="AM523" s="114"/>
      <c r="AN523" s="114"/>
      <c r="AO523" s="114"/>
      <c r="AP523" s="114"/>
    </row>
    <row r="524" spans="1:42" ht="15.75" customHeight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  <c r="AA524" s="114"/>
      <c r="AB524" s="114"/>
      <c r="AC524" s="114"/>
      <c r="AD524" s="114"/>
      <c r="AE524" s="114"/>
      <c r="AF524" s="114"/>
      <c r="AG524" s="114"/>
      <c r="AH524" s="114"/>
      <c r="AI524" s="114"/>
      <c r="AJ524" s="114"/>
      <c r="AK524" s="114"/>
      <c r="AL524" s="114"/>
      <c r="AM524" s="114"/>
      <c r="AN524" s="114"/>
      <c r="AO524" s="114"/>
      <c r="AP524" s="114"/>
    </row>
    <row r="525" spans="1:42" ht="15.75" customHeight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</row>
    <row r="526" spans="1:42" ht="15.75" customHeight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</row>
    <row r="527" spans="1:42" ht="15.75" customHeight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/>
      <c r="AI527" s="114"/>
      <c r="AJ527" s="114"/>
      <c r="AK527" s="114"/>
      <c r="AL527" s="114"/>
      <c r="AM527" s="114"/>
      <c r="AN527" s="114"/>
      <c r="AO527" s="114"/>
      <c r="AP527" s="114"/>
    </row>
    <row r="528" spans="1:42" ht="15.75" customHeight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/>
      <c r="AI528" s="114"/>
      <c r="AJ528" s="114"/>
      <c r="AK528" s="114"/>
      <c r="AL528" s="114"/>
      <c r="AM528" s="114"/>
      <c r="AN528" s="114"/>
      <c r="AO528" s="114"/>
      <c r="AP528" s="114"/>
    </row>
    <row r="529" spans="1:42" ht="15.75" customHeight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</row>
    <row r="530" spans="1:42" ht="15.75" customHeight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</row>
    <row r="531" spans="1:42" ht="15.75" customHeight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  <c r="AA531" s="114"/>
      <c r="AB531" s="114"/>
      <c r="AC531" s="114"/>
      <c r="AD531" s="114"/>
      <c r="AE531" s="114"/>
      <c r="AF531" s="114"/>
      <c r="AG531" s="114"/>
      <c r="AH531" s="114"/>
      <c r="AI531" s="114"/>
      <c r="AJ531" s="114"/>
      <c r="AK531" s="114"/>
      <c r="AL531" s="114"/>
      <c r="AM531" s="114"/>
      <c r="AN531" s="114"/>
      <c r="AO531" s="114"/>
      <c r="AP531" s="114"/>
    </row>
    <row r="532" spans="1:42" ht="15.75" customHeight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114"/>
      <c r="AJ532" s="114"/>
      <c r="AK532" s="114"/>
      <c r="AL532" s="114"/>
      <c r="AM532" s="114"/>
      <c r="AN532" s="114"/>
      <c r="AO532" s="114"/>
      <c r="AP532" s="114"/>
    </row>
    <row r="533" spans="1:42" ht="15.75" customHeight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</row>
    <row r="534" spans="1:42" ht="15.75" customHeight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</row>
    <row r="535" spans="1:42" ht="15.75" customHeight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4"/>
      <c r="AK535" s="114"/>
      <c r="AL535" s="114"/>
      <c r="AM535" s="114"/>
      <c r="AN535" s="114"/>
      <c r="AO535" s="114"/>
      <c r="AP535" s="114"/>
    </row>
    <row r="536" spans="1:42" ht="15.75" customHeight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  <c r="AA536" s="114"/>
      <c r="AB536" s="114"/>
      <c r="AC536" s="114"/>
      <c r="AD536" s="114"/>
      <c r="AE536" s="114"/>
      <c r="AF536" s="114"/>
      <c r="AG536" s="114"/>
      <c r="AH536" s="114"/>
      <c r="AI536" s="114"/>
      <c r="AJ536" s="114"/>
      <c r="AK536" s="114"/>
      <c r="AL536" s="114"/>
      <c r="AM536" s="114"/>
      <c r="AN536" s="114"/>
      <c r="AO536" s="114"/>
      <c r="AP536" s="114"/>
    </row>
    <row r="537" spans="1:42" ht="15.75" customHeight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</row>
    <row r="538" spans="1:42" ht="15.75" customHeight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</row>
    <row r="539" spans="1:42" ht="15.75" customHeight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  <c r="AA539" s="114"/>
      <c r="AB539" s="114"/>
      <c r="AC539" s="114"/>
      <c r="AD539" s="114"/>
      <c r="AE539" s="114"/>
      <c r="AF539" s="114"/>
      <c r="AG539" s="114"/>
      <c r="AH539" s="114"/>
      <c r="AI539" s="114"/>
      <c r="AJ539" s="114"/>
      <c r="AK539" s="114"/>
      <c r="AL539" s="114"/>
      <c r="AM539" s="114"/>
      <c r="AN539" s="114"/>
      <c r="AO539" s="114"/>
      <c r="AP539" s="114"/>
    </row>
    <row r="540" spans="1:42" ht="15.75" customHeight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  <c r="AA540" s="114"/>
      <c r="AB540" s="114"/>
      <c r="AC540" s="114"/>
      <c r="AD540" s="114"/>
      <c r="AE540" s="114"/>
      <c r="AF540" s="114"/>
      <c r="AG540" s="114"/>
      <c r="AH540" s="114"/>
      <c r="AI540" s="114"/>
      <c r="AJ540" s="114"/>
      <c r="AK540" s="114"/>
      <c r="AL540" s="114"/>
      <c r="AM540" s="114"/>
      <c r="AN540" s="114"/>
      <c r="AO540" s="114"/>
      <c r="AP540" s="114"/>
    </row>
    <row r="541" spans="1:42" ht="15.75" customHeight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</row>
    <row r="542" spans="1:42" ht="15.75" customHeight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</row>
    <row r="543" spans="1:42" ht="15.75" customHeight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114"/>
      <c r="AF543" s="114"/>
      <c r="AG543" s="114"/>
      <c r="AH543" s="114"/>
      <c r="AI543" s="114"/>
      <c r="AJ543" s="114"/>
      <c r="AK543" s="114"/>
      <c r="AL543" s="114"/>
      <c r="AM543" s="114"/>
      <c r="AN543" s="114"/>
      <c r="AO543" s="114"/>
      <c r="AP543" s="114"/>
    </row>
    <row r="544" spans="1:42" ht="15.75" customHeight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  <c r="AA544" s="114"/>
      <c r="AB544" s="114"/>
      <c r="AC544" s="114"/>
      <c r="AD544" s="114"/>
      <c r="AE544" s="114"/>
      <c r="AF544" s="114"/>
      <c r="AG544" s="114"/>
      <c r="AH544" s="114"/>
      <c r="AI544" s="114"/>
      <c r="AJ544" s="114"/>
      <c r="AK544" s="114"/>
      <c r="AL544" s="114"/>
      <c r="AM544" s="114"/>
      <c r="AN544" s="114"/>
      <c r="AO544" s="114"/>
      <c r="AP544" s="114"/>
    </row>
    <row r="545" spans="1:42" ht="15.75" customHeight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</row>
    <row r="546" spans="1:42" ht="15.75" customHeight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</row>
    <row r="547" spans="1:42" ht="15.75" customHeight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114"/>
      <c r="AF547" s="114"/>
      <c r="AG547" s="114"/>
      <c r="AH547" s="114"/>
      <c r="AI547" s="114"/>
      <c r="AJ547" s="114"/>
      <c r="AK547" s="114"/>
      <c r="AL547" s="114"/>
      <c r="AM547" s="114"/>
      <c r="AN547" s="114"/>
      <c r="AO547" s="114"/>
      <c r="AP547" s="114"/>
    </row>
    <row r="548" spans="1:42" ht="15.75" customHeight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114"/>
      <c r="AF548" s="114"/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</row>
    <row r="549" spans="1:42" ht="15.75" customHeight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</row>
    <row r="550" spans="1:42" ht="15.75" customHeight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</row>
    <row r="551" spans="1:42" ht="15.75" customHeight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  <c r="AA551" s="114"/>
      <c r="AB551" s="114"/>
      <c r="AC551" s="114"/>
      <c r="AD551" s="114"/>
      <c r="AE551" s="114"/>
      <c r="AF551" s="114"/>
      <c r="AG551" s="114"/>
      <c r="AH551" s="114"/>
      <c r="AI551" s="114"/>
      <c r="AJ551" s="114"/>
      <c r="AK551" s="114"/>
      <c r="AL551" s="114"/>
      <c r="AM551" s="114"/>
      <c r="AN551" s="114"/>
      <c r="AO551" s="114"/>
      <c r="AP551" s="114"/>
    </row>
    <row r="552" spans="1:42" ht="15.75" customHeight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  <c r="AA552" s="114"/>
      <c r="AB552" s="114"/>
      <c r="AC552" s="114"/>
      <c r="AD552" s="114"/>
      <c r="AE552" s="114"/>
      <c r="AF552" s="114"/>
      <c r="AG552" s="114"/>
      <c r="AH552" s="114"/>
      <c r="AI552" s="114"/>
      <c r="AJ552" s="114"/>
      <c r="AK552" s="114"/>
      <c r="AL552" s="114"/>
      <c r="AM552" s="114"/>
      <c r="AN552" s="114"/>
      <c r="AO552" s="114"/>
      <c r="AP552" s="114"/>
    </row>
    <row r="553" spans="1:42" ht="15.75" customHeight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</row>
    <row r="554" spans="1:42" ht="15.75" customHeight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</row>
    <row r="555" spans="1:42" ht="15.75" customHeight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  <c r="AA555" s="114"/>
      <c r="AB555" s="114"/>
      <c r="AC555" s="114"/>
      <c r="AD555" s="114"/>
      <c r="AE555" s="114"/>
      <c r="AF555" s="114"/>
      <c r="AG555" s="114"/>
      <c r="AH555" s="114"/>
      <c r="AI555" s="114"/>
      <c r="AJ555" s="114"/>
      <c r="AK555" s="114"/>
      <c r="AL555" s="114"/>
      <c r="AM555" s="114"/>
      <c r="AN555" s="114"/>
      <c r="AO555" s="114"/>
      <c r="AP555" s="114"/>
    </row>
    <row r="556" spans="1:42" ht="15.75" customHeight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  <c r="AA556" s="114"/>
      <c r="AB556" s="114"/>
      <c r="AC556" s="114"/>
      <c r="AD556" s="114"/>
      <c r="AE556" s="114"/>
      <c r="AF556" s="114"/>
      <c r="AG556" s="114"/>
      <c r="AH556" s="114"/>
      <c r="AI556" s="114"/>
      <c r="AJ556" s="114"/>
      <c r="AK556" s="114"/>
      <c r="AL556" s="114"/>
      <c r="AM556" s="114"/>
      <c r="AN556" s="114"/>
      <c r="AO556" s="114"/>
      <c r="AP556" s="114"/>
    </row>
    <row r="557" spans="1:42" ht="15.75" customHeight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</row>
    <row r="558" spans="1:42" ht="15.75" customHeight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</row>
    <row r="559" spans="1:42" ht="15.75" customHeight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  <c r="AA559" s="114"/>
      <c r="AB559" s="114"/>
      <c r="AC559" s="114"/>
      <c r="AD559" s="114"/>
      <c r="AE559" s="114"/>
      <c r="AF559" s="114"/>
      <c r="AG559" s="114"/>
      <c r="AH559" s="114"/>
      <c r="AI559" s="114"/>
      <c r="AJ559" s="114"/>
      <c r="AK559" s="114"/>
      <c r="AL559" s="114"/>
      <c r="AM559" s="114"/>
      <c r="AN559" s="114"/>
      <c r="AO559" s="114"/>
      <c r="AP559" s="114"/>
    </row>
    <row r="560" spans="1:42" ht="15.75" customHeight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4"/>
      <c r="AK560" s="114"/>
      <c r="AL560" s="114"/>
      <c r="AM560" s="114"/>
      <c r="AN560" s="114"/>
      <c r="AO560" s="114"/>
      <c r="AP560" s="114"/>
    </row>
    <row r="561" spans="1:42" ht="15.75" customHeight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114"/>
      <c r="AF561" s="114"/>
      <c r="AG561" s="114"/>
      <c r="AH561" s="114"/>
      <c r="AI561" s="114"/>
      <c r="AJ561" s="114"/>
      <c r="AK561" s="114"/>
      <c r="AL561" s="114"/>
      <c r="AM561" s="114"/>
      <c r="AN561" s="114"/>
      <c r="AO561" s="114"/>
      <c r="AP561" s="114"/>
    </row>
    <row r="562" spans="1:42" ht="15.75" customHeight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4"/>
      <c r="AJ562" s="114"/>
      <c r="AK562" s="114"/>
      <c r="AL562" s="114"/>
      <c r="AM562" s="114"/>
      <c r="AN562" s="114"/>
      <c r="AO562" s="114"/>
      <c r="AP562" s="114"/>
    </row>
    <row r="563" spans="1:42" ht="15.75" customHeight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  <c r="AA563" s="114"/>
      <c r="AB563" s="114"/>
      <c r="AC563" s="114"/>
      <c r="AD563" s="114"/>
      <c r="AE563" s="114"/>
      <c r="AF563" s="114"/>
      <c r="AG563" s="114"/>
      <c r="AH563" s="114"/>
      <c r="AI563" s="114"/>
      <c r="AJ563" s="114"/>
      <c r="AK563" s="114"/>
      <c r="AL563" s="114"/>
      <c r="AM563" s="114"/>
      <c r="AN563" s="114"/>
      <c r="AO563" s="114"/>
      <c r="AP563" s="114"/>
    </row>
    <row r="564" spans="1:42" ht="15.75" customHeight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  <c r="AA564" s="114"/>
      <c r="AB564" s="114"/>
      <c r="AC564" s="114"/>
      <c r="AD564" s="114"/>
      <c r="AE564" s="114"/>
      <c r="AF564" s="114"/>
      <c r="AG564" s="114"/>
      <c r="AH564" s="114"/>
      <c r="AI564" s="114"/>
      <c r="AJ564" s="114"/>
      <c r="AK564" s="114"/>
      <c r="AL564" s="114"/>
      <c r="AM564" s="114"/>
      <c r="AN564" s="114"/>
      <c r="AO564" s="114"/>
      <c r="AP564" s="114"/>
    </row>
    <row r="565" spans="1:42" ht="15.75" customHeight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114"/>
      <c r="AJ565" s="114"/>
      <c r="AK565" s="114"/>
      <c r="AL565" s="114"/>
      <c r="AM565" s="114"/>
      <c r="AN565" s="114"/>
      <c r="AO565" s="114"/>
      <c r="AP565" s="114"/>
    </row>
    <row r="566" spans="1:42" ht="15.75" customHeight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  <c r="AA566" s="114"/>
      <c r="AB566" s="114"/>
      <c r="AC566" s="114"/>
      <c r="AD566" s="114"/>
      <c r="AE566" s="114"/>
      <c r="AF566" s="114"/>
      <c r="AG566" s="114"/>
      <c r="AH566" s="114"/>
      <c r="AI566" s="114"/>
      <c r="AJ566" s="114"/>
      <c r="AK566" s="114"/>
      <c r="AL566" s="114"/>
      <c r="AM566" s="114"/>
      <c r="AN566" s="114"/>
      <c r="AO566" s="114"/>
      <c r="AP566" s="114"/>
    </row>
    <row r="567" spans="1:42" ht="15.75" customHeight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  <c r="AA567" s="114"/>
      <c r="AB567" s="114"/>
      <c r="AC567" s="114"/>
      <c r="AD567" s="114"/>
      <c r="AE567" s="114"/>
      <c r="AF567" s="114"/>
      <c r="AG567" s="114"/>
      <c r="AH567" s="114"/>
      <c r="AI567" s="114"/>
      <c r="AJ567" s="114"/>
      <c r="AK567" s="114"/>
      <c r="AL567" s="114"/>
      <c r="AM567" s="114"/>
      <c r="AN567" s="114"/>
      <c r="AO567" s="114"/>
      <c r="AP567" s="114"/>
    </row>
    <row r="568" spans="1:42" ht="15.75" customHeight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  <c r="AA568" s="114"/>
      <c r="AB568" s="114"/>
      <c r="AC568" s="114"/>
      <c r="AD568" s="114"/>
      <c r="AE568" s="114"/>
      <c r="AF568" s="114"/>
      <c r="AG568" s="114"/>
      <c r="AH568" s="114"/>
      <c r="AI568" s="114"/>
      <c r="AJ568" s="114"/>
      <c r="AK568" s="114"/>
      <c r="AL568" s="114"/>
      <c r="AM568" s="114"/>
      <c r="AN568" s="114"/>
      <c r="AO568" s="114"/>
      <c r="AP568" s="114"/>
    </row>
    <row r="569" spans="1:42" ht="15.75" customHeight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  <c r="AA569" s="114"/>
      <c r="AB569" s="114"/>
      <c r="AC569" s="114"/>
      <c r="AD569" s="114"/>
      <c r="AE569" s="114"/>
      <c r="AF569" s="114"/>
      <c r="AG569" s="114"/>
      <c r="AH569" s="114"/>
      <c r="AI569" s="114"/>
      <c r="AJ569" s="114"/>
      <c r="AK569" s="114"/>
      <c r="AL569" s="114"/>
      <c r="AM569" s="114"/>
      <c r="AN569" s="114"/>
      <c r="AO569" s="114"/>
      <c r="AP569" s="114"/>
    </row>
    <row r="570" spans="1:42" ht="15.75" customHeight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  <c r="AA570" s="114"/>
      <c r="AB570" s="114"/>
      <c r="AC570" s="114"/>
      <c r="AD570" s="114"/>
      <c r="AE570" s="114"/>
      <c r="AF570" s="114"/>
      <c r="AG570" s="114"/>
      <c r="AH570" s="114"/>
      <c r="AI570" s="114"/>
      <c r="AJ570" s="114"/>
      <c r="AK570" s="114"/>
      <c r="AL570" s="114"/>
      <c r="AM570" s="114"/>
      <c r="AN570" s="114"/>
      <c r="AO570" s="114"/>
      <c r="AP570" s="114"/>
    </row>
    <row r="571" spans="1:42" ht="15.75" customHeight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  <c r="AA571" s="114"/>
      <c r="AB571" s="114"/>
      <c r="AC571" s="114"/>
      <c r="AD571" s="114"/>
      <c r="AE571" s="114"/>
      <c r="AF571" s="114"/>
      <c r="AG571" s="114"/>
      <c r="AH571" s="114"/>
      <c r="AI571" s="114"/>
      <c r="AJ571" s="114"/>
      <c r="AK571" s="114"/>
      <c r="AL571" s="114"/>
      <c r="AM571" s="114"/>
      <c r="AN571" s="114"/>
      <c r="AO571" s="114"/>
      <c r="AP571" s="114"/>
    </row>
    <row r="572" spans="1:42" ht="15.75" customHeight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  <c r="AA572" s="114"/>
      <c r="AB572" s="114"/>
      <c r="AC572" s="114"/>
      <c r="AD572" s="114"/>
      <c r="AE572" s="114"/>
      <c r="AF572" s="114"/>
      <c r="AG572" s="114"/>
      <c r="AH572" s="114"/>
      <c r="AI572" s="114"/>
      <c r="AJ572" s="114"/>
      <c r="AK572" s="114"/>
      <c r="AL572" s="114"/>
      <c r="AM572" s="114"/>
      <c r="AN572" s="114"/>
      <c r="AO572" s="114"/>
      <c r="AP572" s="114"/>
    </row>
    <row r="573" spans="1:42" ht="15.75" customHeight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/>
      <c r="AJ573" s="114"/>
      <c r="AK573" s="114"/>
      <c r="AL573" s="114"/>
      <c r="AM573" s="114"/>
      <c r="AN573" s="114"/>
      <c r="AO573" s="114"/>
      <c r="AP573" s="114"/>
    </row>
    <row r="574" spans="1:42" ht="15.75" customHeight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  <c r="AA574" s="114"/>
      <c r="AB574" s="114"/>
      <c r="AC574" s="114"/>
      <c r="AD574" s="114"/>
      <c r="AE574" s="114"/>
      <c r="AF574" s="114"/>
      <c r="AG574" s="114"/>
      <c r="AH574" s="114"/>
      <c r="AI574" s="114"/>
      <c r="AJ574" s="114"/>
      <c r="AK574" s="114"/>
      <c r="AL574" s="114"/>
      <c r="AM574" s="114"/>
      <c r="AN574" s="114"/>
      <c r="AO574" s="114"/>
      <c r="AP574" s="114"/>
    </row>
    <row r="575" spans="1:42" ht="15.75" customHeight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</row>
    <row r="576" spans="1:42" ht="15.75" customHeight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</row>
    <row r="577" spans="1:42" ht="15.75" customHeight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  <c r="AA577" s="114"/>
      <c r="AB577" s="114"/>
      <c r="AC577" s="114"/>
      <c r="AD577" s="114"/>
      <c r="AE577" s="114"/>
      <c r="AF577" s="114"/>
      <c r="AG577" s="114"/>
      <c r="AH577" s="114"/>
      <c r="AI577" s="114"/>
      <c r="AJ577" s="114"/>
      <c r="AK577" s="114"/>
      <c r="AL577" s="114"/>
      <c r="AM577" s="114"/>
      <c r="AN577" s="114"/>
      <c r="AO577" s="114"/>
      <c r="AP577" s="114"/>
    </row>
    <row r="578" spans="1:42" ht="15.75" customHeight="1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  <c r="AA578" s="114"/>
      <c r="AB578" s="114"/>
      <c r="AC578" s="114"/>
      <c r="AD578" s="114"/>
      <c r="AE578" s="114"/>
      <c r="AF578" s="114"/>
      <c r="AG578" s="114"/>
      <c r="AH578" s="114"/>
      <c r="AI578" s="114"/>
      <c r="AJ578" s="114"/>
      <c r="AK578" s="114"/>
      <c r="AL578" s="114"/>
      <c r="AM578" s="114"/>
      <c r="AN578" s="114"/>
      <c r="AO578" s="114"/>
      <c r="AP578" s="114"/>
    </row>
    <row r="579" spans="1:42" ht="15.75" customHeight="1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</row>
    <row r="580" spans="1:42" ht="15.75" customHeight="1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</row>
    <row r="581" spans="1:42" ht="15.75" customHeight="1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  <c r="AA581" s="114"/>
      <c r="AB581" s="114"/>
      <c r="AC581" s="114"/>
      <c r="AD581" s="114"/>
      <c r="AE581" s="114"/>
      <c r="AF581" s="114"/>
      <c r="AG581" s="114"/>
      <c r="AH581" s="114"/>
      <c r="AI581" s="114"/>
      <c r="AJ581" s="114"/>
      <c r="AK581" s="114"/>
      <c r="AL581" s="114"/>
      <c r="AM581" s="114"/>
      <c r="AN581" s="114"/>
      <c r="AO581" s="114"/>
      <c r="AP581" s="114"/>
    </row>
    <row r="582" spans="1:42" ht="15.75" customHeight="1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  <c r="AA582" s="114"/>
      <c r="AB582" s="114"/>
      <c r="AC582" s="114"/>
      <c r="AD582" s="114"/>
      <c r="AE582" s="114"/>
      <c r="AF582" s="114"/>
      <c r="AG582" s="114"/>
      <c r="AH582" s="114"/>
      <c r="AI582" s="114"/>
      <c r="AJ582" s="114"/>
      <c r="AK582" s="114"/>
      <c r="AL582" s="114"/>
      <c r="AM582" s="114"/>
      <c r="AN582" s="114"/>
      <c r="AO582" s="114"/>
      <c r="AP582" s="114"/>
    </row>
    <row r="583" spans="1:42" ht="15.75" customHeight="1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</row>
    <row r="584" spans="1:42" ht="15.75" customHeight="1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</row>
    <row r="585" spans="1:42" ht="15.75" customHeight="1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114"/>
      <c r="AF585" s="114"/>
      <c r="AG585" s="114"/>
      <c r="AH585" s="114"/>
      <c r="AI585" s="114"/>
      <c r="AJ585" s="114"/>
      <c r="AK585" s="114"/>
      <c r="AL585" s="114"/>
      <c r="AM585" s="114"/>
      <c r="AN585" s="114"/>
      <c r="AO585" s="114"/>
      <c r="AP585" s="114"/>
    </row>
    <row r="586" spans="1:42" ht="15.75" customHeight="1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  <c r="AA586" s="114"/>
      <c r="AB586" s="114"/>
      <c r="AC586" s="114"/>
      <c r="AD586" s="114"/>
      <c r="AE586" s="114"/>
      <c r="AF586" s="114"/>
      <c r="AG586" s="114"/>
      <c r="AH586" s="114"/>
      <c r="AI586" s="114"/>
      <c r="AJ586" s="114"/>
      <c r="AK586" s="114"/>
      <c r="AL586" s="114"/>
      <c r="AM586" s="114"/>
      <c r="AN586" s="114"/>
      <c r="AO586" s="114"/>
      <c r="AP586" s="114"/>
    </row>
    <row r="587" spans="1:42" ht="15.75" customHeight="1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</row>
    <row r="588" spans="1:42" ht="15.75" customHeight="1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</row>
    <row r="589" spans="1:42" ht="15.75" customHeight="1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  <c r="AA589" s="114"/>
      <c r="AB589" s="114"/>
      <c r="AC589" s="114"/>
      <c r="AD589" s="114"/>
      <c r="AE589" s="114"/>
      <c r="AF589" s="114"/>
      <c r="AG589" s="114"/>
      <c r="AH589" s="114"/>
      <c r="AI589" s="114"/>
      <c r="AJ589" s="114"/>
      <c r="AK589" s="114"/>
      <c r="AL589" s="114"/>
      <c r="AM589" s="114"/>
      <c r="AN589" s="114"/>
      <c r="AO589" s="114"/>
      <c r="AP589" s="114"/>
    </row>
    <row r="590" spans="1:42" ht="15.75" customHeight="1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  <c r="AA590" s="114"/>
      <c r="AB590" s="114"/>
      <c r="AC590" s="114"/>
      <c r="AD590" s="114"/>
      <c r="AE590" s="114"/>
      <c r="AF590" s="114"/>
      <c r="AG590" s="114"/>
      <c r="AH590" s="114"/>
      <c r="AI590" s="114"/>
      <c r="AJ590" s="114"/>
      <c r="AK590" s="114"/>
      <c r="AL590" s="114"/>
      <c r="AM590" s="114"/>
      <c r="AN590" s="114"/>
      <c r="AO590" s="114"/>
      <c r="AP590" s="114"/>
    </row>
    <row r="591" spans="1:42" ht="15.75" customHeight="1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</row>
    <row r="592" spans="1:42" ht="15.75" customHeight="1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</row>
    <row r="593" spans="1:42" ht="15.75" customHeight="1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114"/>
      <c r="AF593" s="114"/>
      <c r="AG593" s="114"/>
      <c r="AH593" s="114"/>
      <c r="AI593" s="114"/>
      <c r="AJ593" s="114"/>
      <c r="AK593" s="114"/>
      <c r="AL593" s="114"/>
      <c r="AM593" s="114"/>
      <c r="AN593" s="114"/>
      <c r="AO593" s="114"/>
      <c r="AP593" s="114"/>
    </row>
    <row r="594" spans="1:42" ht="15.75" customHeight="1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  <c r="AA594" s="114"/>
      <c r="AB594" s="114"/>
      <c r="AC594" s="114"/>
      <c r="AD594" s="114"/>
      <c r="AE594" s="114"/>
      <c r="AF594" s="114"/>
      <c r="AG594" s="114"/>
      <c r="AH594" s="114"/>
      <c r="AI594" s="114"/>
      <c r="AJ594" s="114"/>
      <c r="AK594" s="114"/>
      <c r="AL594" s="114"/>
      <c r="AM594" s="114"/>
      <c r="AN594" s="114"/>
      <c r="AO594" s="114"/>
      <c r="AP594" s="114"/>
    </row>
    <row r="595" spans="1:42" ht="15.75" customHeight="1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</row>
    <row r="596" spans="1:42" ht="15.75" customHeight="1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</row>
    <row r="597" spans="1:42" ht="15.75" customHeight="1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  <c r="AA597" s="114"/>
      <c r="AB597" s="114"/>
      <c r="AC597" s="114"/>
      <c r="AD597" s="114"/>
      <c r="AE597" s="114"/>
      <c r="AF597" s="114"/>
      <c r="AG597" s="114"/>
      <c r="AH597" s="114"/>
      <c r="AI597" s="114"/>
      <c r="AJ597" s="114"/>
      <c r="AK597" s="114"/>
      <c r="AL597" s="114"/>
      <c r="AM597" s="114"/>
      <c r="AN597" s="114"/>
      <c r="AO597" s="114"/>
      <c r="AP597" s="114"/>
    </row>
    <row r="598" spans="1:42" ht="15.75" customHeight="1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  <c r="AA598" s="114"/>
      <c r="AB598" s="114"/>
      <c r="AC598" s="114"/>
      <c r="AD598" s="114"/>
      <c r="AE598" s="114"/>
      <c r="AF598" s="114"/>
      <c r="AG598" s="114"/>
      <c r="AH598" s="114"/>
      <c r="AI598" s="114"/>
      <c r="AJ598" s="114"/>
      <c r="AK598" s="114"/>
      <c r="AL598" s="114"/>
      <c r="AM598" s="114"/>
      <c r="AN598" s="114"/>
      <c r="AO598" s="114"/>
      <c r="AP598" s="114"/>
    </row>
    <row r="599" spans="1:42" ht="15.75" customHeight="1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</row>
    <row r="600" spans="1:42" ht="15.75" customHeight="1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</row>
    <row r="601" spans="1:42" ht="15.75" customHeight="1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  <c r="AA601" s="114"/>
      <c r="AB601" s="114"/>
      <c r="AC601" s="114"/>
      <c r="AD601" s="114"/>
      <c r="AE601" s="114"/>
      <c r="AF601" s="114"/>
      <c r="AG601" s="114"/>
      <c r="AH601" s="114"/>
      <c r="AI601" s="114"/>
      <c r="AJ601" s="114"/>
      <c r="AK601" s="114"/>
      <c r="AL601" s="114"/>
      <c r="AM601" s="114"/>
      <c r="AN601" s="114"/>
      <c r="AO601" s="114"/>
      <c r="AP601" s="114"/>
    </row>
    <row r="602" spans="1:42" ht="15.75" customHeight="1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  <c r="AA602" s="114"/>
      <c r="AB602" s="114"/>
      <c r="AC602" s="114"/>
      <c r="AD602" s="114"/>
      <c r="AE602" s="114"/>
      <c r="AF602" s="114"/>
      <c r="AG602" s="114"/>
      <c r="AH602" s="114"/>
      <c r="AI602" s="114"/>
      <c r="AJ602" s="114"/>
      <c r="AK602" s="114"/>
      <c r="AL602" s="114"/>
      <c r="AM602" s="114"/>
      <c r="AN602" s="114"/>
      <c r="AO602" s="114"/>
      <c r="AP602" s="114"/>
    </row>
    <row r="603" spans="1:42" ht="15.75" customHeight="1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</row>
    <row r="604" spans="1:42" ht="15.75" customHeight="1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</row>
    <row r="605" spans="1:42" ht="15.75" customHeight="1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  <c r="AA605" s="114"/>
      <c r="AB605" s="114"/>
      <c r="AC605" s="114"/>
      <c r="AD605" s="114"/>
      <c r="AE605" s="114"/>
      <c r="AF605" s="114"/>
      <c r="AG605" s="114"/>
      <c r="AH605" s="114"/>
      <c r="AI605" s="114"/>
      <c r="AJ605" s="114"/>
      <c r="AK605" s="114"/>
      <c r="AL605" s="114"/>
      <c r="AM605" s="114"/>
      <c r="AN605" s="114"/>
      <c r="AO605" s="114"/>
      <c r="AP605" s="114"/>
    </row>
    <row r="606" spans="1:42" ht="15.75" customHeight="1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  <c r="AA606" s="114"/>
      <c r="AB606" s="114"/>
      <c r="AC606" s="114"/>
      <c r="AD606" s="114"/>
      <c r="AE606" s="114"/>
      <c r="AF606" s="114"/>
      <c r="AG606" s="114"/>
      <c r="AH606" s="114"/>
      <c r="AI606" s="114"/>
      <c r="AJ606" s="114"/>
      <c r="AK606" s="114"/>
      <c r="AL606" s="114"/>
      <c r="AM606" s="114"/>
      <c r="AN606" s="114"/>
      <c r="AO606" s="114"/>
      <c r="AP606" s="114"/>
    </row>
    <row r="607" spans="1:42" ht="15.75" customHeight="1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</row>
    <row r="608" spans="1:42" ht="15.75" customHeight="1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</row>
    <row r="609" spans="1:42" ht="15.75" customHeight="1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  <c r="AA609" s="114"/>
      <c r="AB609" s="114"/>
      <c r="AC609" s="114"/>
      <c r="AD609" s="114"/>
      <c r="AE609" s="114"/>
      <c r="AF609" s="114"/>
      <c r="AG609" s="114"/>
      <c r="AH609" s="114"/>
      <c r="AI609" s="114"/>
      <c r="AJ609" s="114"/>
      <c r="AK609" s="114"/>
      <c r="AL609" s="114"/>
      <c r="AM609" s="114"/>
      <c r="AN609" s="114"/>
      <c r="AO609" s="114"/>
      <c r="AP609" s="114"/>
    </row>
    <row r="610" spans="1:42" ht="15.75" customHeight="1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  <c r="AA610" s="114"/>
      <c r="AB610" s="114"/>
      <c r="AC610" s="114"/>
      <c r="AD610" s="114"/>
      <c r="AE610" s="114"/>
      <c r="AF610" s="114"/>
      <c r="AG610" s="114"/>
      <c r="AH610" s="114"/>
      <c r="AI610" s="114"/>
      <c r="AJ610" s="114"/>
      <c r="AK610" s="114"/>
      <c r="AL610" s="114"/>
      <c r="AM610" s="114"/>
      <c r="AN610" s="114"/>
      <c r="AO610" s="114"/>
      <c r="AP610" s="114"/>
    </row>
    <row r="611" spans="1:42" ht="15.75" customHeight="1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</row>
    <row r="612" spans="1:42" ht="15.75" customHeight="1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</row>
    <row r="613" spans="1:42" ht="15.75" customHeight="1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  <c r="AA613" s="114"/>
      <c r="AB613" s="114"/>
      <c r="AC613" s="114"/>
      <c r="AD613" s="114"/>
      <c r="AE613" s="114"/>
      <c r="AF613" s="114"/>
      <c r="AG613" s="114"/>
      <c r="AH613" s="114"/>
      <c r="AI613" s="114"/>
      <c r="AJ613" s="114"/>
      <c r="AK613" s="114"/>
      <c r="AL613" s="114"/>
      <c r="AM613" s="114"/>
      <c r="AN613" s="114"/>
      <c r="AO613" s="114"/>
      <c r="AP613" s="114"/>
    </row>
    <row r="614" spans="1:42" ht="15.75" customHeight="1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  <c r="AA614" s="114"/>
      <c r="AB614" s="114"/>
      <c r="AC614" s="114"/>
      <c r="AD614" s="114"/>
      <c r="AE614" s="114"/>
      <c r="AF614" s="114"/>
      <c r="AG614" s="114"/>
      <c r="AH614" s="114"/>
      <c r="AI614" s="114"/>
      <c r="AJ614" s="114"/>
      <c r="AK614" s="114"/>
      <c r="AL614" s="114"/>
      <c r="AM614" s="114"/>
      <c r="AN614" s="114"/>
      <c r="AO614" s="114"/>
      <c r="AP614" s="114"/>
    </row>
    <row r="615" spans="1:42" ht="15.75" customHeight="1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</row>
    <row r="616" spans="1:42" ht="15.75" customHeight="1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</row>
    <row r="617" spans="1:42" ht="15.75" customHeight="1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  <c r="AA617" s="114"/>
      <c r="AB617" s="114"/>
      <c r="AC617" s="114"/>
      <c r="AD617" s="114"/>
      <c r="AE617" s="114"/>
      <c r="AF617" s="114"/>
      <c r="AG617" s="114"/>
      <c r="AH617" s="114"/>
      <c r="AI617" s="114"/>
      <c r="AJ617" s="114"/>
      <c r="AK617" s="114"/>
      <c r="AL617" s="114"/>
      <c r="AM617" s="114"/>
      <c r="AN617" s="114"/>
      <c r="AO617" s="114"/>
      <c r="AP617" s="114"/>
    </row>
    <row r="618" spans="1:42" ht="15.75" customHeight="1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4"/>
      <c r="AK618" s="114"/>
      <c r="AL618" s="114"/>
      <c r="AM618" s="114"/>
      <c r="AN618" s="114"/>
      <c r="AO618" s="114"/>
      <c r="AP618" s="114"/>
    </row>
    <row r="619" spans="1:42" ht="15.75" customHeight="1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</row>
    <row r="620" spans="1:42" ht="15.75" customHeight="1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</row>
    <row r="621" spans="1:42" ht="15.75" customHeight="1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114"/>
      <c r="AF621" s="114"/>
      <c r="AG621" s="114"/>
      <c r="AH621" s="114"/>
      <c r="AI621" s="114"/>
      <c r="AJ621" s="114"/>
      <c r="AK621" s="114"/>
      <c r="AL621" s="114"/>
      <c r="AM621" s="114"/>
      <c r="AN621" s="114"/>
      <c r="AO621" s="114"/>
      <c r="AP621" s="114"/>
    </row>
    <row r="622" spans="1:42" ht="15.75" customHeight="1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  <c r="AA622" s="114"/>
      <c r="AB622" s="114"/>
      <c r="AC622" s="114"/>
      <c r="AD622" s="114"/>
      <c r="AE622" s="114"/>
      <c r="AF622" s="114"/>
      <c r="AG622" s="114"/>
      <c r="AH622" s="114"/>
      <c r="AI622" s="114"/>
      <c r="AJ622" s="114"/>
      <c r="AK622" s="114"/>
      <c r="AL622" s="114"/>
      <c r="AM622" s="114"/>
      <c r="AN622" s="114"/>
      <c r="AO622" s="114"/>
      <c r="AP622" s="114"/>
    </row>
    <row r="623" spans="1:42" ht="15.75" customHeight="1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</row>
    <row r="624" spans="1:42" ht="15.75" customHeight="1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</row>
    <row r="625" spans="1:42" ht="15.75" customHeight="1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  <c r="AA625" s="114"/>
      <c r="AB625" s="114"/>
      <c r="AC625" s="114"/>
      <c r="AD625" s="114"/>
      <c r="AE625" s="114"/>
      <c r="AF625" s="114"/>
      <c r="AG625" s="114"/>
      <c r="AH625" s="114"/>
      <c r="AI625" s="114"/>
      <c r="AJ625" s="114"/>
      <c r="AK625" s="114"/>
      <c r="AL625" s="114"/>
      <c r="AM625" s="114"/>
      <c r="AN625" s="114"/>
      <c r="AO625" s="114"/>
      <c r="AP625" s="114"/>
    </row>
    <row r="626" spans="1:42" ht="15.75" customHeight="1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  <c r="AB626" s="114"/>
      <c r="AC626" s="114"/>
      <c r="AD626" s="114"/>
      <c r="AE626" s="114"/>
      <c r="AF626" s="114"/>
      <c r="AG626" s="114"/>
      <c r="AH626" s="114"/>
      <c r="AI626" s="114"/>
      <c r="AJ626" s="114"/>
      <c r="AK626" s="114"/>
      <c r="AL626" s="114"/>
      <c r="AM626" s="114"/>
      <c r="AN626" s="114"/>
      <c r="AO626" s="114"/>
      <c r="AP626" s="114"/>
    </row>
    <row r="627" spans="1:42" ht="15.75" customHeight="1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</row>
    <row r="628" spans="1:42" ht="15.75" customHeight="1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</row>
    <row r="629" spans="1:42" ht="15.75" customHeight="1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114"/>
      <c r="AF629" s="114"/>
      <c r="AG629" s="114"/>
      <c r="AH629" s="114"/>
      <c r="AI629" s="114"/>
      <c r="AJ629" s="114"/>
      <c r="AK629" s="114"/>
      <c r="AL629" s="114"/>
      <c r="AM629" s="114"/>
      <c r="AN629" s="114"/>
      <c r="AO629" s="114"/>
      <c r="AP629" s="114"/>
    </row>
    <row r="630" spans="1:42" ht="15.75" customHeight="1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  <c r="AA630" s="114"/>
      <c r="AB630" s="114"/>
      <c r="AC630" s="114"/>
      <c r="AD630" s="114"/>
      <c r="AE630" s="114"/>
      <c r="AF630" s="114"/>
      <c r="AG630" s="114"/>
      <c r="AH630" s="114"/>
      <c r="AI630" s="114"/>
      <c r="AJ630" s="114"/>
      <c r="AK630" s="114"/>
      <c r="AL630" s="114"/>
      <c r="AM630" s="114"/>
      <c r="AN630" s="114"/>
      <c r="AO630" s="114"/>
      <c r="AP630" s="114"/>
    </row>
    <row r="631" spans="1:42" ht="15.75" customHeight="1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</row>
    <row r="632" spans="1:42" ht="15.75" customHeight="1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</row>
    <row r="633" spans="1:42" ht="15.75" customHeight="1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  <c r="AA633" s="114"/>
      <c r="AB633" s="114"/>
      <c r="AC633" s="114"/>
      <c r="AD633" s="114"/>
      <c r="AE633" s="114"/>
      <c r="AF633" s="114"/>
      <c r="AG633" s="114"/>
      <c r="AH633" s="114"/>
      <c r="AI633" s="114"/>
      <c r="AJ633" s="114"/>
      <c r="AK633" s="114"/>
      <c r="AL633" s="114"/>
      <c r="AM633" s="114"/>
      <c r="AN633" s="114"/>
      <c r="AO633" s="114"/>
      <c r="AP633" s="114"/>
    </row>
    <row r="634" spans="1:42" ht="15.75" customHeight="1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  <c r="AA634" s="114"/>
      <c r="AB634" s="114"/>
      <c r="AC634" s="114"/>
      <c r="AD634" s="114"/>
      <c r="AE634" s="114"/>
      <c r="AF634" s="114"/>
      <c r="AG634" s="114"/>
      <c r="AH634" s="114"/>
      <c r="AI634" s="114"/>
      <c r="AJ634" s="114"/>
      <c r="AK634" s="114"/>
      <c r="AL634" s="114"/>
      <c r="AM634" s="114"/>
      <c r="AN634" s="114"/>
      <c r="AO634" s="114"/>
      <c r="AP634" s="114"/>
    </row>
    <row r="635" spans="1:42" ht="15.75" customHeight="1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</row>
    <row r="636" spans="1:42" ht="15.75" customHeight="1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</row>
    <row r="637" spans="1:42" ht="15.75" customHeight="1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114"/>
      <c r="AJ637" s="114"/>
      <c r="AK637" s="114"/>
      <c r="AL637" s="114"/>
      <c r="AM637" s="114"/>
      <c r="AN637" s="114"/>
      <c r="AO637" s="114"/>
      <c r="AP637" s="114"/>
    </row>
    <row r="638" spans="1:42" ht="15.75" customHeight="1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  <c r="AA638" s="114"/>
      <c r="AB638" s="114"/>
      <c r="AC638" s="114"/>
      <c r="AD638" s="114"/>
      <c r="AE638" s="114"/>
      <c r="AF638" s="114"/>
      <c r="AG638" s="114"/>
      <c r="AH638" s="114"/>
      <c r="AI638" s="114"/>
      <c r="AJ638" s="114"/>
      <c r="AK638" s="114"/>
      <c r="AL638" s="114"/>
      <c r="AM638" s="114"/>
      <c r="AN638" s="114"/>
      <c r="AO638" s="114"/>
      <c r="AP638" s="114"/>
    </row>
    <row r="639" spans="1:42" ht="15.75" customHeight="1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</row>
    <row r="640" spans="1:42" ht="15.75" customHeight="1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</row>
    <row r="641" spans="1:42" ht="15.75" customHeight="1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  <c r="AA641" s="114"/>
      <c r="AB641" s="114"/>
      <c r="AC641" s="114"/>
      <c r="AD641" s="114"/>
      <c r="AE641" s="114"/>
      <c r="AF641" s="114"/>
      <c r="AG641" s="114"/>
      <c r="AH641" s="114"/>
      <c r="AI641" s="114"/>
      <c r="AJ641" s="114"/>
      <c r="AK641" s="114"/>
      <c r="AL641" s="114"/>
      <c r="AM641" s="114"/>
      <c r="AN641" s="114"/>
      <c r="AO641" s="114"/>
      <c r="AP641" s="114"/>
    </row>
    <row r="642" spans="1:42" ht="15.75" customHeight="1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  <c r="AA642" s="114"/>
      <c r="AB642" s="114"/>
      <c r="AC642" s="114"/>
      <c r="AD642" s="114"/>
      <c r="AE642" s="114"/>
      <c r="AF642" s="114"/>
      <c r="AG642" s="114"/>
      <c r="AH642" s="114"/>
      <c r="AI642" s="114"/>
      <c r="AJ642" s="114"/>
      <c r="AK642" s="114"/>
      <c r="AL642" s="114"/>
      <c r="AM642" s="114"/>
      <c r="AN642" s="114"/>
      <c r="AO642" s="114"/>
      <c r="AP642" s="114"/>
    </row>
    <row r="643" spans="1:42" ht="15.75" customHeight="1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</row>
    <row r="644" spans="1:42" ht="15.75" customHeight="1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</row>
    <row r="645" spans="1:42" ht="15.75" customHeight="1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  <c r="AA645" s="114"/>
      <c r="AB645" s="114"/>
      <c r="AC645" s="114"/>
      <c r="AD645" s="114"/>
      <c r="AE645" s="114"/>
      <c r="AF645" s="114"/>
      <c r="AG645" s="114"/>
      <c r="AH645" s="114"/>
      <c r="AI645" s="114"/>
      <c r="AJ645" s="114"/>
      <c r="AK645" s="114"/>
      <c r="AL645" s="114"/>
      <c r="AM645" s="114"/>
      <c r="AN645" s="114"/>
      <c r="AO645" s="114"/>
      <c r="AP645" s="114"/>
    </row>
    <row r="646" spans="1:42" ht="15.75" customHeight="1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  <c r="AA646" s="114"/>
      <c r="AB646" s="114"/>
      <c r="AC646" s="114"/>
      <c r="AD646" s="114"/>
      <c r="AE646" s="114"/>
      <c r="AF646" s="114"/>
      <c r="AG646" s="114"/>
      <c r="AH646" s="114"/>
      <c r="AI646" s="114"/>
      <c r="AJ646" s="114"/>
      <c r="AK646" s="114"/>
      <c r="AL646" s="114"/>
      <c r="AM646" s="114"/>
      <c r="AN646" s="114"/>
      <c r="AO646" s="114"/>
      <c r="AP646" s="114"/>
    </row>
    <row r="647" spans="1:42" ht="15.75" customHeight="1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</row>
    <row r="648" spans="1:42" ht="15.75" customHeight="1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</row>
    <row r="649" spans="1:42" ht="15.75" customHeight="1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  <c r="AA649" s="114"/>
      <c r="AB649" s="114"/>
      <c r="AC649" s="114"/>
      <c r="AD649" s="114"/>
      <c r="AE649" s="114"/>
      <c r="AF649" s="114"/>
      <c r="AG649" s="114"/>
      <c r="AH649" s="114"/>
      <c r="AI649" s="114"/>
      <c r="AJ649" s="114"/>
      <c r="AK649" s="114"/>
      <c r="AL649" s="114"/>
      <c r="AM649" s="114"/>
      <c r="AN649" s="114"/>
      <c r="AO649" s="114"/>
      <c r="AP649" s="114"/>
    </row>
    <row r="650" spans="1:42" ht="15.75" customHeight="1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  <c r="AA650" s="114"/>
      <c r="AB650" s="114"/>
      <c r="AC650" s="114"/>
      <c r="AD650" s="114"/>
      <c r="AE650" s="114"/>
      <c r="AF650" s="114"/>
      <c r="AG650" s="114"/>
      <c r="AH650" s="114"/>
      <c r="AI650" s="114"/>
      <c r="AJ650" s="114"/>
      <c r="AK650" s="114"/>
      <c r="AL650" s="114"/>
      <c r="AM650" s="114"/>
      <c r="AN650" s="114"/>
      <c r="AO650" s="114"/>
      <c r="AP650" s="114"/>
    </row>
    <row r="651" spans="1:42" ht="15.75" customHeight="1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</row>
    <row r="652" spans="1:42" ht="15.75" customHeight="1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</row>
    <row r="653" spans="1:42" ht="15.75" customHeight="1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114"/>
      <c r="AJ653" s="114"/>
      <c r="AK653" s="114"/>
      <c r="AL653" s="114"/>
      <c r="AM653" s="114"/>
      <c r="AN653" s="114"/>
      <c r="AO653" s="114"/>
      <c r="AP653" s="114"/>
    </row>
    <row r="654" spans="1:42" ht="15.75" customHeight="1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  <c r="AA654" s="114"/>
      <c r="AB654" s="114"/>
      <c r="AC654" s="114"/>
      <c r="AD654" s="114"/>
      <c r="AE654" s="114"/>
      <c r="AF654" s="114"/>
      <c r="AG654" s="114"/>
      <c r="AH654" s="114"/>
      <c r="AI654" s="114"/>
      <c r="AJ654" s="114"/>
      <c r="AK654" s="114"/>
      <c r="AL654" s="114"/>
      <c r="AM654" s="114"/>
      <c r="AN654" s="114"/>
      <c r="AO654" s="114"/>
      <c r="AP654" s="114"/>
    </row>
    <row r="655" spans="1:42" ht="15.75" customHeight="1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  <c r="AA655" s="114"/>
      <c r="AB655" s="114"/>
      <c r="AC655" s="114"/>
      <c r="AD655" s="114"/>
      <c r="AE655" s="114"/>
      <c r="AF655" s="114"/>
      <c r="AG655" s="114"/>
      <c r="AH655" s="114"/>
      <c r="AI655" s="114"/>
      <c r="AJ655" s="114"/>
      <c r="AK655" s="114"/>
      <c r="AL655" s="114"/>
      <c r="AM655" s="114"/>
      <c r="AN655" s="114"/>
      <c r="AO655" s="114"/>
      <c r="AP655" s="114"/>
    </row>
    <row r="656" spans="1:42" ht="15.75" customHeight="1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  <c r="AA656" s="114"/>
      <c r="AB656" s="114"/>
      <c r="AC656" s="114"/>
      <c r="AD656" s="114"/>
      <c r="AE656" s="114"/>
      <c r="AF656" s="114"/>
      <c r="AG656" s="114"/>
      <c r="AH656" s="114"/>
      <c r="AI656" s="114"/>
      <c r="AJ656" s="114"/>
      <c r="AK656" s="114"/>
      <c r="AL656" s="114"/>
      <c r="AM656" s="114"/>
      <c r="AN656" s="114"/>
      <c r="AO656" s="114"/>
      <c r="AP656" s="114"/>
    </row>
    <row r="657" spans="1:42" ht="15.75" customHeight="1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  <c r="AA657" s="114"/>
      <c r="AB657" s="114"/>
      <c r="AC657" s="114"/>
      <c r="AD657" s="114"/>
      <c r="AE657" s="114"/>
      <c r="AF657" s="114"/>
      <c r="AG657" s="114"/>
      <c r="AH657" s="114"/>
      <c r="AI657" s="114"/>
      <c r="AJ657" s="114"/>
      <c r="AK657" s="114"/>
      <c r="AL657" s="114"/>
      <c r="AM657" s="114"/>
      <c r="AN657" s="114"/>
      <c r="AO657" s="114"/>
      <c r="AP657" s="114"/>
    </row>
    <row r="658" spans="1:42" ht="15.75" customHeight="1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  <c r="AA658" s="114"/>
      <c r="AB658" s="114"/>
      <c r="AC658" s="114"/>
      <c r="AD658" s="114"/>
      <c r="AE658" s="114"/>
      <c r="AF658" s="114"/>
      <c r="AG658" s="114"/>
      <c r="AH658" s="114"/>
      <c r="AI658" s="114"/>
      <c r="AJ658" s="114"/>
      <c r="AK658" s="114"/>
      <c r="AL658" s="114"/>
      <c r="AM658" s="114"/>
      <c r="AN658" s="114"/>
      <c r="AO658" s="114"/>
      <c r="AP658" s="114"/>
    </row>
    <row r="659" spans="1:42" ht="15.75" customHeight="1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  <c r="AA659" s="114"/>
      <c r="AB659" s="114"/>
      <c r="AC659" s="114"/>
      <c r="AD659" s="114"/>
      <c r="AE659" s="114"/>
      <c r="AF659" s="114"/>
      <c r="AG659" s="114"/>
      <c r="AH659" s="114"/>
      <c r="AI659" s="114"/>
      <c r="AJ659" s="114"/>
      <c r="AK659" s="114"/>
      <c r="AL659" s="114"/>
      <c r="AM659" s="114"/>
      <c r="AN659" s="114"/>
      <c r="AO659" s="114"/>
      <c r="AP659" s="114"/>
    </row>
    <row r="660" spans="1:42" ht="15.75" customHeight="1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  <c r="AA660" s="114"/>
      <c r="AB660" s="114"/>
      <c r="AC660" s="114"/>
      <c r="AD660" s="114"/>
      <c r="AE660" s="114"/>
      <c r="AF660" s="114"/>
      <c r="AG660" s="114"/>
      <c r="AH660" s="114"/>
      <c r="AI660" s="114"/>
      <c r="AJ660" s="114"/>
      <c r="AK660" s="114"/>
      <c r="AL660" s="114"/>
      <c r="AM660" s="114"/>
      <c r="AN660" s="114"/>
      <c r="AO660" s="114"/>
      <c r="AP660" s="114"/>
    </row>
    <row r="661" spans="1:42" ht="15.75" customHeight="1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  <c r="AA661" s="114"/>
      <c r="AB661" s="114"/>
      <c r="AC661" s="114"/>
      <c r="AD661" s="114"/>
      <c r="AE661" s="114"/>
      <c r="AF661" s="114"/>
      <c r="AG661" s="114"/>
      <c r="AH661" s="114"/>
      <c r="AI661" s="114"/>
      <c r="AJ661" s="114"/>
      <c r="AK661" s="114"/>
      <c r="AL661" s="114"/>
      <c r="AM661" s="114"/>
      <c r="AN661" s="114"/>
      <c r="AO661" s="114"/>
      <c r="AP661" s="114"/>
    </row>
    <row r="662" spans="1:42" ht="15.75" customHeight="1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114"/>
      <c r="AJ662" s="114"/>
      <c r="AK662" s="114"/>
      <c r="AL662" s="114"/>
      <c r="AM662" s="114"/>
      <c r="AN662" s="114"/>
      <c r="AO662" s="114"/>
      <c r="AP662" s="114"/>
    </row>
    <row r="663" spans="1:42" ht="15.75" customHeight="1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4"/>
      <c r="AK663" s="114"/>
      <c r="AL663" s="114"/>
      <c r="AM663" s="114"/>
      <c r="AN663" s="114"/>
      <c r="AO663" s="114"/>
      <c r="AP663" s="114"/>
    </row>
    <row r="664" spans="1:42" ht="15.75" customHeight="1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  <c r="AA664" s="114"/>
      <c r="AB664" s="114"/>
      <c r="AC664" s="114"/>
      <c r="AD664" s="114"/>
      <c r="AE664" s="114"/>
      <c r="AF664" s="114"/>
      <c r="AG664" s="114"/>
      <c r="AH664" s="114"/>
      <c r="AI664" s="114"/>
      <c r="AJ664" s="114"/>
      <c r="AK664" s="114"/>
      <c r="AL664" s="114"/>
      <c r="AM664" s="114"/>
      <c r="AN664" s="114"/>
      <c r="AO664" s="114"/>
      <c r="AP664" s="114"/>
    </row>
    <row r="665" spans="1:42" ht="15.75" customHeight="1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  <c r="AA665" s="114"/>
      <c r="AB665" s="114"/>
      <c r="AC665" s="114"/>
      <c r="AD665" s="114"/>
      <c r="AE665" s="114"/>
      <c r="AF665" s="114"/>
      <c r="AG665" s="114"/>
      <c r="AH665" s="114"/>
      <c r="AI665" s="114"/>
      <c r="AJ665" s="114"/>
      <c r="AK665" s="114"/>
      <c r="AL665" s="114"/>
      <c r="AM665" s="114"/>
      <c r="AN665" s="114"/>
      <c r="AO665" s="114"/>
      <c r="AP665" s="114"/>
    </row>
    <row r="666" spans="1:42" ht="15.75" customHeight="1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  <c r="AA666" s="114"/>
      <c r="AB666" s="114"/>
      <c r="AC666" s="114"/>
      <c r="AD666" s="114"/>
      <c r="AE666" s="114"/>
      <c r="AF666" s="114"/>
      <c r="AG666" s="114"/>
      <c r="AH666" s="114"/>
      <c r="AI666" s="114"/>
      <c r="AJ666" s="114"/>
      <c r="AK666" s="114"/>
      <c r="AL666" s="114"/>
      <c r="AM666" s="114"/>
      <c r="AN666" s="114"/>
      <c r="AO666" s="114"/>
      <c r="AP666" s="114"/>
    </row>
    <row r="667" spans="1:42" ht="15.75" customHeight="1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  <c r="AA667" s="114"/>
      <c r="AB667" s="114"/>
      <c r="AC667" s="114"/>
      <c r="AD667" s="114"/>
      <c r="AE667" s="114"/>
      <c r="AF667" s="114"/>
      <c r="AG667" s="114"/>
      <c r="AH667" s="114"/>
      <c r="AI667" s="114"/>
      <c r="AJ667" s="114"/>
      <c r="AK667" s="114"/>
      <c r="AL667" s="114"/>
      <c r="AM667" s="114"/>
      <c r="AN667" s="114"/>
      <c r="AO667" s="114"/>
      <c r="AP667" s="114"/>
    </row>
    <row r="668" spans="1:42" ht="15.75" customHeight="1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  <c r="AA668" s="114"/>
      <c r="AB668" s="114"/>
      <c r="AC668" s="114"/>
      <c r="AD668" s="114"/>
      <c r="AE668" s="114"/>
      <c r="AF668" s="114"/>
      <c r="AG668" s="114"/>
      <c r="AH668" s="114"/>
      <c r="AI668" s="114"/>
      <c r="AJ668" s="114"/>
      <c r="AK668" s="114"/>
      <c r="AL668" s="114"/>
      <c r="AM668" s="114"/>
      <c r="AN668" s="114"/>
      <c r="AO668" s="114"/>
      <c r="AP668" s="114"/>
    </row>
    <row r="669" spans="1:42" ht="15.75" customHeight="1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</row>
    <row r="670" spans="1:42" ht="15.75" customHeight="1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</row>
    <row r="671" spans="1:42" ht="15.75" customHeight="1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  <c r="AA671" s="114"/>
      <c r="AB671" s="114"/>
      <c r="AC671" s="114"/>
      <c r="AD671" s="114"/>
      <c r="AE671" s="114"/>
      <c r="AF671" s="114"/>
      <c r="AG671" s="114"/>
      <c r="AH671" s="114"/>
      <c r="AI671" s="114"/>
      <c r="AJ671" s="114"/>
      <c r="AK671" s="114"/>
      <c r="AL671" s="114"/>
      <c r="AM671" s="114"/>
      <c r="AN671" s="114"/>
      <c r="AO671" s="114"/>
      <c r="AP671" s="114"/>
    </row>
    <row r="672" spans="1:42" ht="15.75" customHeight="1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  <c r="AI672" s="114"/>
      <c r="AJ672" s="114"/>
      <c r="AK672" s="114"/>
      <c r="AL672" s="114"/>
      <c r="AM672" s="114"/>
      <c r="AN672" s="114"/>
      <c r="AO672" s="114"/>
      <c r="AP672" s="114"/>
    </row>
    <row r="673" spans="1:42" ht="15.75" customHeight="1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</row>
    <row r="674" spans="1:42" ht="15.75" customHeight="1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</row>
    <row r="675" spans="1:42" ht="15.75" customHeight="1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4"/>
      <c r="AJ675" s="114"/>
      <c r="AK675" s="114"/>
      <c r="AL675" s="114"/>
      <c r="AM675" s="114"/>
      <c r="AN675" s="114"/>
      <c r="AO675" s="114"/>
      <c r="AP675" s="114"/>
    </row>
    <row r="676" spans="1:42" ht="15.75" customHeight="1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  <c r="AA676" s="114"/>
      <c r="AB676" s="114"/>
      <c r="AC676" s="114"/>
      <c r="AD676" s="114"/>
      <c r="AE676" s="114"/>
      <c r="AF676" s="114"/>
      <c r="AG676" s="114"/>
      <c r="AH676" s="114"/>
      <c r="AI676" s="114"/>
      <c r="AJ676" s="114"/>
      <c r="AK676" s="114"/>
      <c r="AL676" s="114"/>
      <c r="AM676" s="114"/>
      <c r="AN676" s="114"/>
      <c r="AO676" s="114"/>
      <c r="AP676" s="114"/>
    </row>
    <row r="677" spans="1:42" ht="15.75" customHeight="1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</row>
    <row r="678" spans="1:42" ht="15.75" customHeight="1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</row>
    <row r="679" spans="1:42" ht="15.75" customHeight="1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  <c r="AA679" s="114"/>
      <c r="AB679" s="114"/>
      <c r="AC679" s="114"/>
      <c r="AD679" s="114"/>
      <c r="AE679" s="114"/>
      <c r="AF679" s="114"/>
      <c r="AG679" s="114"/>
      <c r="AH679" s="114"/>
      <c r="AI679" s="114"/>
      <c r="AJ679" s="114"/>
      <c r="AK679" s="114"/>
      <c r="AL679" s="114"/>
      <c r="AM679" s="114"/>
      <c r="AN679" s="114"/>
      <c r="AO679" s="114"/>
      <c r="AP679" s="114"/>
    </row>
    <row r="680" spans="1:42" ht="15.75" customHeight="1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  <c r="AA680" s="114"/>
      <c r="AB680" s="114"/>
      <c r="AC680" s="114"/>
      <c r="AD680" s="114"/>
      <c r="AE680" s="114"/>
      <c r="AF680" s="114"/>
      <c r="AG680" s="114"/>
      <c r="AH680" s="114"/>
      <c r="AI680" s="114"/>
      <c r="AJ680" s="114"/>
      <c r="AK680" s="114"/>
      <c r="AL680" s="114"/>
      <c r="AM680" s="114"/>
      <c r="AN680" s="114"/>
      <c r="AO680" s="114"/>
      <c r="AP680" s="114"/>
    </row>
    <row r="681" spans="1:42" ht="15.75" customHeight="1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</row>
    <row r="682" spans="1:42" ht="15.75" customHeight="1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</row>
    <row r="683" spans="1:42" ht="15.75" customHeight="1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114"/>
      <c r="AJ683" s="114"/>
      <c r="AK683" s="114"/>
      <c r="AL683" s="114"/>
      <c r="AM683" s="114"/>
      <c r="AN683" s="114"/>
      <c r="AO683" s="114"/>
      <c r="AP683" s="114"/>
    </row>
    <row r="684" spans="1:42" ht="15.75" customHeight="1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4"/>
      <c r="AK684" s="114"/>
      <c r="AL684" s="114"/>
      <c r="AM684" s="114"/>
      <c r="AN684" s="114"/>
      <c r="AO684" s="114"/>
      <c r="AP684" s="114"/>
    </row>
    <row r="685" spans="1:42" ht="15.75" customHeight="1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</row>
    <row r="686" spans="1:42" ht="15.75" customHeight="1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</row>
    <row r="687" spans="1:42" ht="15.75" customHeight="1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  <c r="AA687" s="114"/>
      <c r="AB687" s="114"/>
      <c r="AC687" s="114"/>
      <c r="AD687" s="114"/>
      <c r="AE687" s="114"/>
      <c r="AF687" s="114"/>
      <c r="AG687" s="114"/>
      <c r="AH687" s="114"/>
      <c r="AI687" s="114"/>
      <c r="AJ687" s="114"/>
      <c r="AK687" s="114"/>
      <c r="AL687" s="114"/>
      <c r="AM687" s="114"/>
      <c r="AN687" s="114"/>
      <c r="AO687" s="114"/>
      <c r="AP687" s="114"/>
    </row>
    <row r="688" spans="1:42" ht="15.75" customHeight="1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  <c r="AA688" s="114"/>
      <c r="AB688" s="114"/>
      <c r="AC688" s="114"/>
      <c r="AD688" s="114"/>
      <c r="AE688" s="114"/>
      <c r="AF688" s="114"/>
      <c r="AG688" s="114"/>
      <c r="AH688" s="114"/>
      <c r="AI688" s="114"/>
      <c r="AJ688" s="114"/>
      <c r="AK688" s="114"/>
      <c r="AL688" s="114"/>
      <c r="AM688" s="114"/>
      <c r="AN688" s="114"/>
      <c r="AO688" s="114"/>
      <c r="AP688" s="114"/>
    </row>
    <row r="689" spans="1:42" ht="15.75" customHeight="1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</row>
    <row r="690" spans="1:42" ht="15.75" customHeight="1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</row>
    <row r="691" spans="1:42" ht="15.75" customHeight="1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  <c r="AA691" s="114"/>
      <c r="AB691" s="114"/>
      <c r="AC691" s="114"/>
      <c r="AD691" s="114"/>
      <c r="AE691" s="114"/>
      <c r="AF691" s="114"/>
      <c r="AG691" s="114"/>
      <c r="AH691" s="114"/>
      <c r="AI691" s="114"/>
      <c r="AJ691" s="114"/>
      <c r="AK691" s="114"/>
      <c r="AL691" s="114"/>
      <c r="AM691" s="114"/>
      <c r="AN691" s="114"/>
      <c r="AO691" s="114"/>
      <c r="AP691" s="114"/>
    </row>
    <row r="692" spans="1:42" ht="15.75" customHeight="1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  <c r="AA692" s="114"/>
      <c r="AB692" s="114"/>
      <c r="AC692" s="114"/>
      <c r="AD692" s="114"/>
      <c r="AE692" s="114"/>
      <c r="AF692" s="114"/>
      <c r="AG692" s="114"/>
      <c r="AH692" s="114"/>
      <c r="AI692" s="114"/>
      <c r="AJ692" s="114"/>
      <c r="AK692" s="114"/>
      <c r="AL692" s="114"/>
      <c r="AM692" s="114"/>
      <c r="AN692" s="114"/>
      <c r="AO692" s="114"/>
      <c r="AP692" s="114"/>
    </row>
    <row r="693" spans="1:42" ht="15.75" customHeight="1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</row>
    <row r="694" spans="1:42" ht="15.75" customHeight="1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</row>
    <row r="695" spans="1:42" ht="15.75" customHeight="1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  <c r="AA695" s="114"/>
      <c r="AB695" s="114"/>
      <c r="AC695" s="114"/>
      <c r="AD695" s="114"/>
      <c r="AE695" s="114"/>
      <c r="AF695" s="114"/>
      <c r="AG695" s="114"/>
      <c r="AH695" s="114"/>
      <c r="AI695" s="114"/>
      <c r="AJ695" s="114"/>
      <c r="AK695" s="114"/>
      <c r="AL695" s="114"/>
      <c r="AM695" s="114"/>
      <c r="AN695" s="114"/>
      <c r="AO695" s="114"/>
      <c r="AP695" s="114"/>
    </row>
    <row r="696" spans="1:42" ht="15.75" customHeight="1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  <c r="AA696" s="114"/>
      <c r="AB696" s="114"/>
      <c r="AC696" s="114"/>
      <c r="AD696" s="114"/>
      <c r="AE696" s="114"/>
      <c r="AF696" s="114"/>
      <c r="AG696" s="114"/>
      <c r="AH696" s="114"/>
      <c r="AI696" s="114"/>
      <c r="AJ696" s="114"/>
      <c r="AK696" s="114"/>
      <c r="AL696" s="114"/>
      <c r="AM696" s="114"/>
      <c r="AN696" s="114"/>
      <c r="AO696" s="114"/>
      <c r="AP696" s="114"/>
    </row>
    <row r="697" spans="1:42" ht="15.75" customHeight="1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</row>
    <row r="698" spans="1:42" ht="15.75" customHeight="1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</row>
    <row r="699" spans="1:42" ht="15.75" customHeight="1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  <c r="AA699" s="114"/>
      <c r="AB699" s="114"/>
      <c r="AC699" s="114"/>
      <c r="AD699" s="114"/>
      <c r="AE699" s="114"/>
      <c r="AF699" s="114"/>
      <c r="AG699" s="114"/>
      <c r="AH699" s="114"/>
      <c r="AI699" s="114"/>
      <c r="AJ699" s="114"/>
      <c r="AK699" s="114"/>
      <c r="AL699" s="114"/>
      <c r="AM699" s="114"/>
      <c r="AN699" s="114"/>
      <c r="AO699" s="114"/>
      <c r="AP699" s="114"/>
    </row>
    <row r="700" spans="1:42" ht="15.75" customHeight="1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  <c r="AA700" s="114"/>
      <c r="AB700" s="114"/>
      <c r="AC700" s="114"/>
      <c r="AD700" s="114"/>
      <c r="AE700" s="114"/>
      <c r="AF700" s="114"/>
      <c r="AG700" s="114"/>
      <c r="AH700" s="114"/>
      <c r="AI700" s="114"/>
      <c r="AJ700" s="114"/>
      <c r="AK700" s="114"/>
      <c r="AL700" s="114"/>
      <c r="AM700" s="114"/>
      <c r="AN700" s="114"/>
      <c r="AO700" s="114"/>
      <c r="AP700" s="114"/>
    </row>
    <row r="701" spans="1:42" ht="15.75" customHeight="1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</row>
    <row r="702" spans="1:42" ht="15.75" customHeight="1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</row>
    <row r="703" spans="1:42" ht="15.75" customHeight="1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  <c r="AA703" s="114"/>
      <c r="AB703" s="114"/>
      <c r="AC703" s="114"/>
      <c r="AD703" s="114"/>
      <c r="AE703" s="114"/>
      <c r="AF703" s="114"/>
      <c r="AG703" s="114"/>
      <c r="AH703" s="114"/>
      <c r="AI703" s="114"/>
      <c r="AJ703" s="114"/>
      <c r="AK703" s="114"/>
      <c r="AL703" s="114"/>
      <c r="AM703" s="114"/>
      <c r="AN703" s="114"/>
      <c r="AO703" s="114"/>
      <c r="AP703" s="114"/>
    </row>
    <row r="704" spans="1:42" ht="15.75" customHeight="1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  <c r="AA704" s="114"/>
      <c r="AB704" s="114"/>
      <c r="AC704" s="114"/>
      <c r="AD704" s="114"/>
      <c r="AE704" s="114"/>
      <c r="AF704" s="114"/>
      <c r="AG704" s="114"/>
      <c r="AH704" s="114"/>
      <c r="AI704" s="114"/>
      <c r="AJ704" s="114"/>
      <c r="AK704" s="114"/>
      <c r="AL704" s="114"/>
      <c r="AM704" s="114"/>
      <c r="AN704" s="114"/>
      <c r="AO704" s="114"/>
      <c r="AP704" s="114"/>
    </row>
    <row r="705" spans="1:42" ht="15.75" customHeight="1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</row>
    <row r="706" spans="1:42" ht="15.75" customHeight="1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</row>
    <row r="707" spans="1:42" ht="15.75" customHeight="1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  <c r="AA707" s="114"/>
      <c r="AB707" s="114"/>
      <c r="AC707" s="114"/>
      <c r="AD707" s="114"/>
      <c r="AE707" s="114"/>
      <c r="AF707" s="114"/>
      <c r="AG707" s="114"/>
      <c r="AH707" s="114"/>
      <c r="AI707" s="114"/>
      <c r="AJ707" s="114"/>
      <c r="AK707" s="114"/>
      <c r="AL707" s="114"/>
      <c r="AM707" s="114"/>
      <c r="AN707" s="114"/>
      <c r="AO707" s="114"/>
      <c r="AP707" s="114"/>
    </row>
    <row r="708" spans="1:42" ht="15.75" customHeight="1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114"/>
      <c r="AJ708" s="114"/>
      <c r="AK708" s="114"/>
      <c r="AL708" s="114"/>
      <c r="AM708" s="114"/>
      <c r="AN708" s="114"/>
      <c r="AO708" s="114"/>
      <c r="AP708" s="114"/>
    </row>
    <row r="709" spans="1:42" ht="15.75" customHeight="1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</row>
    <row r="710" spans="1:42" ht="15.75" customHeight="1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</row>
    <row r="711" spans="1:42" ht="15.75" customHeight="1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  <c r="AA711" s="114"/>
      <c r="AB711" s="114"/>
      <c r="AC711" s="114"/>
      <c r="AD711" s="114"/>
      <c r="AE711" s="114"/>
      <c r="AF711" s="114"/>
      <c r="AG711" s="114"/>
      <c r="AH711" s="114"/>
      <c r="AI711" s="114"/>
      <c r="AJ711" s="114"/>
      <c r="AK711" s="114"/>
      <c r="AL711" s="114"/>
      <c r="AM711" s="114"/>
      <c r="AN711" s="114"/>
      <c r="AO711" s="114"/>
      <c r="AP711" s="114"/>
    </row>
    <row r="712" spans="1:42" ht="15.75" customHeight="1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  <c r="AA712" s="114"/>
      <c r="AB712" s="114"/>
      <c r="AC712" s="114"/>
      <c r="AD712" s="114"/>
      <c r="AE712" s="114"/>
      <c r="AF712" s="114"/>
      <c r="AG712" s="114"/>
      <c r="AH712" s="114"/>
      <c r="AI712" s="114"/>
      <c r="AJ712" s="114"/>
      <c r="AK712" s="114"/>
      <c r="AL712" s="114"/>
      <c r="AM712" s="114"/>
      <c r="AN712" s="114"/>
      <c r="AO712" s="114"/>
      <c r="AP712" s="114"/>
    </row>
    <row r="713" spans="1:42" ht="15.75" customHeight="1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</row>
    <row r="714" spans="1:42" ht="15.75" customHeight="1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</row>
    <row r="715" spans="1:42" ht="15.75" customHeight="1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  <c r="AA715" s="114"/>
      <c r="AB715" s="114"/>
      <c r="AC715" s="114"/>
      <c r="AD715" s="114"/>
      <c r="AE715" s="114"/>
      <c r="AF715" s="114"/>
      <c r="AG715" s="114"/>
      <c r="AH715" s="114"/>
      <c r="AI715" s="114"/>
      <c r="AJ715" s="114"/>
      <c r="AK715" s="114"/>
      <c r="AL715" s="114"/>
      <c r="AM715" s="114"/>
      <c r="AN715" s="114"/>
      <c r="AO715" s="114"/>
      <c r="AP715" s="114"/>
    </row>
    <row r="716" spans="1:42" ht="15.75" customHeight="1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  <c r="AA716" s="114"/>
      <c r="AB716" s="114"/>
      <c r="AC716" s="114"/>
      <c r="AD716" s="114"/>
      <c r="AE716" s="114"/>
      <c r="AF716" s="114"/>
      <c r="AG716" s="114"/>
      <c r="AH716" s="114"/>
      <c r="AI716" s="114"/>
      <c r="AJ716" s="114"/>
      <c r="AK716" s="114"/>
      <c r="AL716" s="114"/>
      <c r="AM716" s="114"/>
      <c r="AN716" s="114"/>
      <c r="AO716" s="114"/>
      <c r="AP716" s="114"/>
    </row>
    <row r="717" spans="1:42" ht="15.75" customHeight="1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</row>
    <row r="718" spans="1:42" ht="15.75" customHeight="1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</row>
    <row r="719" spans="1:42" ht="15.75" customHeight="1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  <c r="AA719" s="114"/>
      <c r="AB719" s="114"/>
      <c r="AC719" s="114"/>
      <c r="AD719" s="114"/>
      <c r="AE719" s="114"/>
      <c r="AF719" s="114"/>
      <c r="AG719" s="114"/>
      <c r="AH719" s="114"/>
      <c r="AI719" s="114"/>
      <c r="AJ719" s="114"/>
      <c r="AK719" s="114"/>
      <c r="AL719" s="114"/>
      <c r="AM719" s="114"/>
      <c r="AN719" s="114"/>
      <c r="AO719" s="114"/>
      <c r="AP719" s="114"/>
    </row>
    <row r="720" spans="1:42" ht="15.75" customHeight="1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  <c r="AA720" s="114"/>
      <c r="AB720" s="114"/>
      <c r="AC720" s="114"/>
      <c r="AD720" s="114"/>
      <c r="AE720" s="114"/>
      <c r="AF720" s="114"/>
      <c r="AG720" s="114"/>
      <c r="AH720" s="114"/>
      <c r="AI720" s="114"/>
      <c r="AJ720" s="114"/>
      <c r="AK720" s="114"/>
      <c r="AL720" s="114"/>
      <c r="AM720" s="114"/>
      <c r="AN720" s="114"/>
      <c r="AO720" s="114"/>
      <c r="AP720" s="114"/>
    </row>
    <row r="721" spans="1:42" ht="15.75" customHeight="1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</row>
    <row r="722" spans="1:42" ht="15.75" customHeight="1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</row>
    <row r="723" spans="1:42" ht="15.75" customHeight="1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  <c r="AA723" s="114"/>
      <c r="AB723" s="114"/>
      <c r="AC723" s="114"/>
      <c r="AD723" s="114"/>
      <c r="AE723" s="114"/>
      <c r="AF723" s="114"/>
      <c r="AG723" s="114"/>
      <c r="AH723" s="114"/>
      <c r="AI723" s="114"/>
      <c r="AJ723" s="114"/>
      <c r="AK723" s="114"/>
      <c r="AL723" s="114"/>
      <c r="AM723" s="114"/>
      <c r="AN723" s="114"/>
      <c r="AO723" s="114"/>
      <c r="AP723" s="114"/>
    </row>
    <row r="724" spans="1:42" ht="15.75" customHeight="1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  <c r="AA724" s="114"/>
      <c r="AB724" s="114"/>
      <c r="AC724" s="114"/>
      <c r="AD724" s="114"/>
      <c r="AE724" s="114"/>
      <c r="AF724" s="114"/>
      <c r="AG724" s="114"/>
      <c r="AH724" s="114"/>
      <c r="AI724" s="114"/>
      <c r="AJ724" s="114"/>
      <c r="AK724" s="114"/>
      <c r="AL724" s="114"/>
      <c r="AM724" s="114"/>
      <c r="AN724" s="114"/>
      <c r="AO724" s="114"/>
      <c r="AP724" s="114"/>
    </row>
    <row r="725" spans="1:42" ht="15.75" customHeight="1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</row>
    <row r="726" spans="1:42" ht="15.75" customHeight="1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</row>
    <row r="727" spans="1:42" ht="15.75" customHeight="1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114"/>
      <c r="AJ727" s="114"/>
      <c r="AK727" s="114"/>
      <c r="AL727" s="114"/>
      <c r="AM727" s="114"/>
      <c r="AN727" s="114"/>
      <c r="AO727" s="114"/>
      <c r="AP727" s="114"/>
    </row>
    <row r="728" spans="1:42" ht="15.75" customHeight="1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  <c r="AA728" s="114"/>
      <c r="AB728" s="114"/>
      <c r="AC728" s="114"/>
      <c r="AD728" s="114"/>
      <c r="AE728" s="114"/>
      <c r="AF728" s="114"/>
      <c r="AG728" s="114"/>
      <c r="AH728" s="114"/>
      <c r="AI728" s="114"/>
      <c r="AJ728" s="114"/>
      <c r="AK728" s="114"/>
      <c r="AL728" s="114"/>
      <c r="AM728" s="114"/>
      <c r="AN728" s="114"/>
      <c r="AO728" s="114"/>
      <c r="AP728" s="114"/>
    </row>
    <row r="729" spans="1:42" ht="15.75" customHeight="1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</row>
    <row r="730" spans="1:42" ht="15.75" customHeight="1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</row>
    <row r="731" spans="1:42" ht="15.75" customHeight="1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  <c r="AA731" s="114"/>
      <c r="AB731" s="114"/>
      <c r="AC731" s="114"/>
      <c r="AD731" s="114"/>
      <c r="AE731" s="114"/>
      <c r="AF731" s="114"/>
      <c r="AG731" s="114"/>
      <c r="AH731" s="114"/>
      <c r="AI731" s="114"/>
      <c r="AJ731" s="114"/>
      <c r="AK731" s="114"/>
      <c r="AL731" s="114"/>
      <c r="AM731" s="114"/>
      <c r="AN731" s="114"/>
      <c r="AO731" s="114"/>
      <c r="AP731" s="114"/>
    </row>
    <row r="732" spans="1:42" ht="15.75" customHeight="1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  <c r="AA732" s="114"/>
      <c r="AB732" s="114"/>
      <c r="AC732" s="114"/>
      <c r="AD732" s="114"/>
      <c r="AE732" s="114"/>
      <c r="AF732" s="114"/>
      <c r="AG732" s="114"/>
      <c r="AH732" s="114"/>
      <c r="AI732" s="114"/>
      <c r="AJ732" s="114"/>
      <c r="AK732" s="114"/>
      <c r="AL732" s="114"/>
      <c r="AM732" s="114"/>
      <c r="AN732" s="114"/>
      <c r="AO732" s="114"/>
      <c r="AP732" s="114"/>
    </row>
    <row r="733" spans="1:42" ht="15.75" customHeight="1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</row>
    <row r="734" spans="1:42" ht="15.75" customHeight="1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</row>
    <row r="735" spans="1:42" ht="15.75" customHeight="1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114"/>
      <c r="AF735" s="114"/>
      <c r="AG735" s="114"/>
      <c r="AH735" s="114"/>
      <c r="AI735" s="114"/>
      <c r="AJ735" s="114"/>
      <c r="AK735" s="114"/>
      <c r="AL735" s="114"/>
      <c r="AM735" s="114"/>
      <c r="AN735" s="114"/>
      <c r="AO735" s="114"/>
      <c r="AP735" s="114"/>
    </row>
    <row r="736" spans="1:42" ht="15.75" customHeight="1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  <c r="AA736" s="114"/>
      <c r="AB736" s="114"/>
      <c r="AC736" s="114"/>
      <c r="AD736" s="114"/>
      <c r="AE736" s="114"/>
      <c r="AF736" s="114"/>
      <c r="AG736" s="114"/>
      <c r="AH736" s="114"/>
      <c r="AI736" s="114"/>
      <c r="AJ736" s="114"/>
      <c r="AK736" s="114"/>
      <c r="AL736" s="114"/>
      <c r="AM736" s="114"/>
      <c r="AN736" s="114"/>
      <c r="AO736" s="114"/>
      <c r="AP736" s="114"/>
    </row>
    <row r="737" spans="1:42" ht="15.75" customHeight="1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</row>
    <row r="738" spans="1:42" ht="15.75" customHeight="1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</row>
    <row r="739" spans="1:42" ht="15.75" customHeight="1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  <c r="AA739" s="114"/>
      <c r="AB739" s="114"/>
      <c r="AC739" s="114"/>
      <c r="AD739" s="114"/>
      <c r="AE739" s="114"/>
      <c r="AF739" s="114"/>
      <c r="AG739" s="114"/>
      <c r="AH739" s="114"/>
      <c r="AI739" s="114"/>
      <c r="AJ739" s="114"/>
      <c r="AK739" s="114"/>
      <c r="AL739" s="114"/>
      <c r="AM739" s="114"/>
      <c r="AN739" s="114"/>
      <c r="AO739" s="114"/>
      <c r="AP739" s="114"/>
    </row>
    <row r="740" spans="1:42" ht="15.75" customHeight="1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  <c r="AI740" s="114"/>
      <c r="AJ740" s="114"/>
      <c r="AK740" s="114"/>
      <c r="AL740" s="114"/>
      <c r="AM740" s="114"/>
      <c r="AN740" s="114"/>
      <c r="AO740" s="114"/>
      <c r="AP740" s="114"/>
    </row>
    <row r="741" spans="1:42" ht="15.75" customHeight="1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</row>
    <row r="742" spans="1:42" ht="15.75" customHeight="1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</row>
    <row r="743" spans="1:42" ht="15.75" customHeight="1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  <c r="AA743" s="114"/>
      <c r="AB743" s="114"/>
      <c r="AC743" s="114"/>
      <c r="AD743" s="114"/>
      <c r="AE743" s="114"/>
      <c r="AF743" s="114"/>
      <c r="AG743" s="114"/>
      <c r="AH743" s="114"/>
      <c r="AI743" s="114"/>
      <c r="AJ743" s="114"/>
      <c r="AK743" s="114"/>
      <c r="AL743" s="114"/>
      <c r="AM743" s="114"/>
      <c r="AN743" s="114"/>
      <c r="AO743" s="114"/>
      <c r="AP743" s="114"/>
    </row>
    <row r="744" spans="1:42" ht="15.75" customHeight="1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  <c r="AA744" s="114"/>
      <c r="AB744" s="114"/>
      <c r="AC744" s="114"/>
      <c r="AD744" s="114"/>
      <c r="AE744" s="114"/>
      <c r="AF744" s="114"/>
      <c r="AG744" s="114"/>
      <c r="AH744" s="114"/>
      <c r="AI744" s="114"/>
      <c r="AJ744" s="114"/>
      <c r="AK744" s="114"/>
      <c r="AL744" s="114"/>
      <c r="AM744" s="114"/>
      <c r="AN744" s="114"/>
      <c r="AO744" s="114"/>
      <c r="AP744" s="114"/>
    </row>
    <row r="745" spans="1:42" ht="15.75" customHeight="1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</row>
    <row r="746" spans="1:42" ht="15.75" customHeight="1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</row>
    <row r="747" spans="1:42" ht="15.75" customHeight="1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  <c r="AA747" s="114"/>
      <c r="AB747" s="114"/>
      <c r="AC747" s="114"/>
      <c r="AD747" s="114"/>
      <c r="AE747" s="114"/>
      <c r="AF747" s="114"/>
      <c r="AG747" s="114"/>
      <c r="AH747" s="114"/>
      <c r="AI747" s="114"/>
      <c r="AJ747" s="114"/>
      <c r="AK747" s="114"/>
      <c r="AL747" s="114"/>
      <c r="AM747" s="114"/>
      <c r="AN747" s="114"/>
      <c r="AO747" s="114"/>
      <c r="AP747" s="114"/>
    </row>
    <row r="748" spans="1:42" ht="15.75" customHeight="1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  <c r="AA748" s="114"/>
      <c r="AB748" s="114"/>
      <c r="AC748" s="114"/>
      <c r="AD748" s="114"/>
      <c r="AE748" s="114"/>
      <c r="AF748" s="114"/>
      <c r="AG748" s="114"/>
      <c r="AH748" s="114"/>
      <c r="AI748" s="114"/>
      <c r="AJ748" s="114"/>
      <c r="AK748" s="114"/>
      <c r="AL748" s="114"/>
      <c r="AM748" s="114"/>
      <c r="AN748" s="114"/>
      <c r="AO748" s="114"/>
      <c r="AP748" s="114"/>
    </row>
    <row r="749" spans="1:42" ht="15.75" customHeight="1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  <c r="AA749" s="114"/>
      <c r="AB749" s="114"/>
      <c r="AC749" s="114"/>
      <c r="AD749" s="114"/>
      <c r="AE749" s="114"/>
      <c r="AF749" s="114"/>
      <c r="AG749" s="114"/>
      <c r="AH749" s="114"/>
      <c r="AI749" s="114"/>
      <c r="AJ749" s="114"/>
      <c r="AK749" s="114"/>
      <c r="AL749" s="114"/>
      <c r="AM749" s="114"/>
      <c r="AN749" s="114"/>
      <c r="AO749" s="114"/>
      <c r="AP749" s="114"/>
    </row>
    <row r="750" spans="1:42" ht="15.75" customHeight="1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  <c r="AA750" s="114"/>
      <c r="AB750" s="114"/>
      <c r="AC750" s="114"/>
      <c r="AD750" s="114"/>
      <c r="AE750" s="114"/>
      <c r="AF750" s="114"/>
      <c r="AG750" s="114"/>
      <c r="AH750" s="114"/>
      <c r="AI750" s="114"/>
      <c r="AJ750" s="114"/>
      <c r="AK750" s="114"/>
      <c r="AL750" s="114"/>
      <c r="AM750" s="114"/>
      <c r="AN750" s="114"/>
      <c r="AO750" s="114"/>
      <c r="AP750" s="114"/>
    </row>
    <row r="751" spans="1:42" ht="15.75" customHeight="1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  <c r="AA751" s="114"/>
      <c r="AB751" s="114"/>
      <c r="AC751" s="114"/>
      <c r="AD751" s="114"/>
      <c r="AE751" s="114"/>
      <c r="AF751" s="114"/>
      <c r="AG751" s="114"/>
      <c r="AH751" s="114"/>
      <c r="AI751" s="114"/>
      <c r="AJ751" s="114"/>
      <c r="AK751" s="114"/>
      <c r="AL751" s="114"/>
      <c r="AM751" s="114"/>
      <c r="AN751" s="114"/>
      <c r="AO751" s="114"/>
      <c r="AP751" s="114"/>
    </row>
    <row r="752" spans="1:42" ht="15.75" customHeight="1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  <c r="AA752" s="114"/>
      <c r="AB752" s="114"/>
      <c r="AC752" s="114"/>
      <c r="AD752" s="114"/>
      <c r="AE752" s="114"/>
      <c r="AF752" s="114"/>
      <c r="AG752" s="114"/>
      <c r="AH752" s="114"/>
      <c r="AI752" s="114"/>
      <c r="AJ752" s="114"/>
      <c r="AK752" s="114"/>
      <c r="AL752" s="114"/>
      <c r="AM752" s="114"/>
      <c r="AN752" s="114"/>
      <c r="AO752" s="114"/>
      <c r="AP752" s="114"/>
    </row>
    <row r="753" spans="1:42" ht="15.75" customHeight="1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  <c r="AA753" s="114"/>
      <c r="AB753" s="114"/>
      <c r="AC753" s="114"/>
      <c r="AD753" s="114"/>
      <c r="AE753" s="114"/>
      <c r="AF753" s="114"/>
      <c r="AG753" s="114"/>
      <c r="AH753" s="114"/>
      <c r="AI753" s="114"/>
      <c r="AJ753" s="114"/>
      <c r="AK753" s="114"/>
      <c r="AL753" s="114"/>
      <c r="AM753" s="114"/>
      <c r="AN753" s="114"/>
      <c r="AO753" s="114"/>
      <c r="AP753" s="114"/>
    </row>
    <row r="754" spans="1:42" ht="15.75" customHeight="1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  <c r="AA754" s="114"/>
      <c r="AB754" s="114"/>
      <c r="AC754" s="114"/>
      <c r="AD754" s="114"/>
      <c r="AE754" s="114"/>
      <c r="AF754" s="114"/>
      <c r="AG754" s="114"/>
      <c r="AH754" s="114"/>
      <c r="AI754" s="114"/>
      <c r="AJ754" s="114"/>
      <c r="AK754" s="114"/>
      <c r="AL754" s="114"/>
      <c r="AM754" s="114"/>
      <c r="AN754" s="114"/>
      <c r="AO754" s="114"/>
      <c r="AP754" s="114"/>
    </row>
    <row r="755" spans="1:42" ht="15.75" customHeight="1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  <c r="AA755" s="114"/>
      <c r="AB755" s="114"/>
      <c r="AC755" s="114"/>
      <c r="AD755" s="114"/>
      <c r="AE755" s="114"/>
      <c r="AF755" s="114"/>
      <c r="AG755" s="114"/>
      <c r="AH755" s="114"/>
      <c r="AI755" s="114"/>
      <c r="AJ755" s="114"/>
      <c r="AK755" s="114"/>
      <c r="AL755" s="114"/>
      <c r="AM755" s="114"/>
      <c r="AN755" s="114"/>
      <c r="AO755" s="114"/>
      <c r="AP755" s="114"/>
    </row>
    <row r="756" spans="1:42" ht="15.75" customHeight="1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  <c r="AA756" s="114"/>
      <c r="AB756" s="114"/>
      <c r="AC756" s="114"/>
      <c r="AD756" s="114"/>
      <c r="AE756" s="114"/>
      <c r="AF756" s="114"/>
      <c r="AG756" s="114"/>
      <c r="AH756" s="114"/>
      <c r="AI756" s="114"/>
      <c r="AJ756" s="114"/>
      <c r="AK756" s="114"/>
      <c r="AL756" s="114"/>
      <c r="AM756" s="114"/>
      <c r="AN756" s="114"/>
      <c r="AO756" s="114"/>
      <c r="AP756" s="114"/>
    </row>
    <row r="757" spans="1:42" ht="15.75" customHeight="1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  <c r="AA757" s="114"/>
      <c r="AB757" s="114"/>
      <c r="AC757" s="114"/>
      <c r="AD757" s="114"/>
      <c r="AE757" s="114"/>
      <c r="AF757" s="114"/>
      <c r="AG757" s="114"/>
      <c r="AH757" s="114"/>
      <c r="AI757" s="114"/>
      <c r="AJ757" s="114"/>
      <c r="AK757" s="114"/>
      <c r="AL757" s="114"/>
      <c r="AM757" s="114"/>
      <c r="AN757" s="114"/>
      <c r="AO757" s="114"/>
      <c r="AP757" s="114"/>
    </row>
    <row r="758" spans="1:42" ht="15.75" customHeight="1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  <c r="AA758" s="114"/>
      <c r="AB758" s="114"/>
      <c r="AC758" s="114"/>
      <c r="AD758" s="114"/>
      <c r="AE758" s="114"/>
      <c r="AF758" s="114"/>
      <c r="AG758" s="114"/>
      <c r="AH758" s="114"/>
      <c r="AI758" s="114"/>
      <c r="AJ758" s="114"/>
      <c r="AK758" s="114"/>
      <c r="AL758" s="114"/>
      <c r="AM758" s="114"/>
      <c r="AN758" s="114"/>
      <c r="AO758" s="114"/>
      <c r="AP758" s="114"/>
    </row>
    <row r="759" spans="1:42" ht="15.75" customHeight="1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  <c r="AA759" s="114"/>
      <c r="AB759" s="114"/>
      <c r="AC759" s="114"/>
      <c r="AD759" s="114"/>
      <c r="AE759" s="114"/>
      <c r="AF759" s="114"/>
      <c r="AG759" s="114"/>
      <c r="AH759" s="114"/>
      <c r="AI759" s="114"/>
      <c r="AJ759" s="114"/>
      <c r="AK759" s="114"/>
      <c r="AL759" s="114"/>
      <c r="AM759" s="114"/>
      <c r="AN759" s="114"/>
      <c r="AO759" s="114"/>
      <c r="AP759" s="114"/>
    </row>
    <row r="760" spans="1:42" ht="15.75" customHeight="1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  <c r="AA760" s="114"/>
      <c r="AB760" s="114"/>
      <c r="AC760" s="114"/>
      <c r="AD760" s="114"/>
      <c r="AE760" s="114"/>
      <c r="AF760" s="114"/>
      <c r="AG760" s="114"/>
      <c r="AH760" s="114"/>
      <c r="AI760" s="114"/>
      <c r="AJ760" s="114"/>
      <c r="AK760" s="114"/>
      <c r="AL760" s="114"/>
      <c r="AM760" s="114"/>
      <c r="AN760" s="114"/>
      <c r="AO760" s="114"/>
      <c r="AP760" s="114"/>
    </row>
    <row r="761" spans="1:42" ht="15.75" customHeight="1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  <c r="AA761" s="114"/>
      <c r="AB761" s="114"/>
      <c r="AC761" s="114"/>
      <c r="AD761" s="114"/>
      <c r="AE761" s="114"/>
      <c r="AF761" s="114"/>
      <c r="AG761" s="114"/>
      <c r="AH761" s="114"/>
      <c r="AI761" s="114"/>
      <c r="AJ761" s="114"/>
      <c r="AK761" s="114"/>
      <c r="AL761" s="114"/>
      <c r="AM761" s="114"/>
      <c r="AN761" s="114"/>
      <c r="AO761" s="114"/>
      <c r="AP761" s="114"/>
    </row>
    <row r="762" spans="1:42" ht="15.75" customHeight="1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  <c r="AA762" s="114"/>
      <c r="AB762" s="114"/>
      <c r="AC762" s="114"/>
      <c r="AD762" s="114"/>
      <c r="AE762" s="114"/>
      <c r="AF762" s="114"/>
      <c r="AG762" s="114"/>
      <c r="AH762" s="114"/>
      <c r="AI762" s="114"/>
      <c r="AJ762" s="114"/>
      <c r="AK762" s="114"/>
      <c r="AL762" s="114"/>
      <c r="AM762" s="114"/>
      <c r="AN762" s="114"/>
      <c r="AO762" s="114"/>
      <c r="AP762" s="114"/>
    </row>
    <row r="763" spans="1:42" ht="15.75" customHeight="1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</row>
    <row r="764" spans="1:42" ht="15.75" customHeight="1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</row>
    <row r="765" spans="1:42" ht="15.75" customHeight="1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  <c r="AA765" s="114"/>
      <c r="AB765" s="114"/>
      <c r="AC765" s="114"/>
      <c r="AD765" s="114"/>
      <c r="AE765" s="114"/>
      <c r="AF765" s="114"/>
      <c r="AG765" s="114"/>
      <c r="AH765" s="114"/>
      <c r="AI765" s="114"/>
      <c r="AJ765" s="114"/>
      <c r="AK765" s="114"/>
      <c r="AL765" s="114"/>
      <c r="AM765" s="114"/>
      <c r="AN765" s="114"/>
      <c r="AO765" s="114"/>
      <c r="AP765" s="114"/>
    </row>
    <row r="766" spans="1:42" ht="15.75" customHeight="1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  <c r="AA766" s="114"/>
      <c r="AB766" s="114"/>
      <c r="AC766" s="114"/>
      <c r="AD766" s="114"/>
      <c r="AE766" s="114"/>
      <c r="AF766" s="114"/>
      <c r="AG766" s="114"/>
      <c r="AH766" s="114"/>
      <c r="AI766" s="114"/>
      <c r="AJ766" s="114"/>
      <c r="AK766" s="114"/>
      <c r="AL766" s="114"/>
      <c r="AM766" s="114"/>
      <c r="AN766" s="114"/>
      <c r="AO766" s="114"/>
      <c r="AP766" s="114"/>
    </row>
    <row r="767" spans="1:42" ht="15.75" customHeight="1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</row>
    <row r="768" spans="1:42" ht="15.75" customHeight="1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</row>
    <row r="769" spans="1:42" ht="15.75" customHeight="1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  <c r="AA769" s="114"/>
      <c r="AB769" s="114"/>
      <c r="AC769" s="114"/>
      <c r="AD769" s="114"/>
      <c r="AE769" s="114"/>
      <c r="AF769" s="114"/>
      <c r="AG769" s="114"/>
      <c r="AH769" s="114"/>
      <c r="AI769" s="114"/>
      <c r="AJ769" s="114"/>
      <c r="AK769" s="114"/>
      <c r="AL769" s="114"/>
      <c r="AM769" s="114"/>
      <c r="AN769" s="114"/>
      <c r="AO769" s="114"/>
      <c r="AP769" s="114"/>
    </row>
    <row r="770" spans="1:42" ht="15.75" customHeight="1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  <c r="AA770" s="114"/>
      <c r="AB770" s="114"/>
      <c r="AC770" s="114"/>
      <c r="AD770" s="114"/>
      <c r="AE770" s="114"/>
      <c r="AF770" s="114"/>
      <c r="AG770" s="114"/>
      <c r="AH770" s="114"/>
      <c r="AI770" s="114"/>
      <c r="AJ770" s="114"/>
      <c r="AK770" s="114"/>
      <c r="AL770" s="114"/>
      <c r="AM770" s="114"/>
      <c r="AN770" s="114"/>
      <c r="AO770" s="114"/>
      <c r="AP770" s="114"/>
    </row>
    <row r="771" spans="1:42" ht="15.75" customHeight="1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</row>
    <row r="772" spans="1:42" ht="15.75" customHeight="1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</row>
    <row r="773" spans="1:42" ht="15.75" customHeight="1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  <c r="AA773" s="114"/>
      <c r="AB773" s="114"/>
      <c r="AC773" s="114"/>
      <c r="AD773" s="114"/>
      <c r="AE773" s="114"/>
      <c r="AF773" s="114"/>
      <c r="AG773" s="114"/>
      <c r="AH773" s="114"/>
      <c r="AI773" s="114"/>
      <c r="AJ773" s="114"/>
      <c r="AK773" s="114"/>
      <c r="AL773" s="114"/>
      <c r="AM773" s="114"/>
      <c r="AN773" s="114"/>
      <c r="AO773" s="114"/>
      <c r="AP773" s="114"/>
    </row>
    <row r="774" spans="1:42" ht="15.75" customHeight="1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  <c r="AA774" s="114"/>
      <c r="AB774" s="114"/>
      <c r="AC774" s="114"/>
      <c r="AD774" s="114"/>
      <c r="AE774" s="114"/>
      <c r="AF774" s="114"/>
      <c r="AG774" s="114"/>
      <c r="AH774" s="114"/>
      <c r="AI774" s="114"/>
      <c r="AJ774" s="114"/>
      <c r="AK774" s="114"/>
      <c r="AL774" s="114"/>
      <c r="AM774" s="114"/>
      <c r="AN774" s="114"/>
      <c r="AO774" s="114"/>
      <c r="AP774" s="114"/>
    </row>
    <row r="775" spans="1:42" ht="15.75" customHeight="1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</row>
    <row r="776" spans="1:42" ht="15.75" customHeight="1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</row>
    <row r="777" spans="1:42" ht="15.75" customHeight="1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  <c r="AA777" s="114"/>
      <c r="AB777" s="114"/>
      <c r="AC777" s="114"/>
      <c r="AD777" s="114"/>
      <c r="AE777" s="114"/>
      <c r="AF777" s="114"/>
      <c r="AG777" s="114"/>
      <c r="AH777" s="114"/>
      <c r="AI777" s="114"/>
      <c r="AJ777" s="114"/>
      <c r="AK777" s="114"/>
      <c r="AL777" s="114"/>
      <c r="AM777" s="114"/>
      <c r="AN777" s="114"/>
      <c r="AO777" s="114"/>
      <c r="AP777" s="114"/>
    </row>
    <row r="778" spans="1:42" ht="15.75" customHeight="1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  <c r="AA778" s="114"/>
      <c r="AB778" s="114"/>
      <c r="AC778" s="114"/>
      <c r="AD778" s="114"/>
      <c r="AE778" s="114"/>
      <c r="AF778" s="114"/>
      <c r="AG778" s="114"/>
      <c r="AH778" s="114"/>
      <c r="AI778" s="114"/>
      <c r="AJ778" s="114"/>
      <c r="AK778" s="114"/>
      <c r="AL778" s="114"/>
      <c r="AM778" s="114"/>
      <c r="AN778" s="114"/>
      <c r="AO778" s="114"/>
      <c r="AP778" s="114"/>
    </row>
    <row r="779" spans="1:42" ht="15.75" customHeight="1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</row>
    <row r="780" spans="1:42" ht="15.75" customHeight="1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</row>
    <row r="781" spans="1:42" ht="15.75" customHeight="1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  <c r="AA781" s="114"/>
      <c r="AB781" s="114"/>
      <c r="AC781" s="114"/>
      <c r="AD781" s="114"/>
      <c r="AE781" s="114"/>
      <c r="AF781" s="114"/>
      <c r="AG781" s="114"/>
      <c r="AH781" s="114"/>
      <c r="AI781" s="114"/>
      <c r="AJ781" s="114"/>
      <c r="AK781" s="114"/>
      <c r="AL781" s="114"/>
      <c r="AM781" s="114"/>
      <c r="AN781" s="114"/>
      <c r="AO781" s="114"/>
      <c r="AP781" s="114"/>
    </row>
    <row r="782" spans="1:42" ht="15.75" customHeight="1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  <c r="AA782" s="114"/>
      <c r="AB782" s="114"/>
      <c r="AC782" s="114"/>
      <c r="AD782" s="114"/>
      <c r="AE782" s="114"/>
      <c r="AF782" s="114"/>
      <c r="AG782" s="114"/>
      <c r="AH782" s="114"/>
      <c r="AI782" s="114"/>
      <c r="AJ782" s="114"/>
      <c r="AK782" s="114"/>
      <c r="AL782" s="114"/>
      <c r="AM782" s="114"/>
      <c r="AN782" s="114"/>
      <c r="AO782" s="114"/>
      <c r="AP782" s="114"/>
    </row>
    <row r="783" spans="1:42" ht="15.75" customHeight="1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</row>
    <row r="784" spans="1:42" ht="15.75" customHeight="1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</row>
    <row r="785" spans="1:42" ht="15.75" customHeight="1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  <c r="AA785" s="114"/>
      <c r="AB785" s="114"/>
      <c r="AC785" s="114"/>
      <c r="AD785" s="114"/>
      <c r="AE785" s="114"/>
      <c r="AF785" s="114"/>
      <c r="AG785" s="114"/>
      <c r="AH785" s="114"/>
      <c r="AI785" s="114"/>
      <c r="AJ785" s="114"/>
      <c r="AK785" s="114"/>
      <c r="AL785" s="114"/>
      <c r="AM785" s="114"/>
      <c r="AN785" s="114"/>
      <c r="AO785" s="114"/>
      <c r="AP785" s="114"/>
    </row>
    <row r="786" spans="1:42" ht="15.75" customHeight="1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  <c r="AA786" s="114"/>
      <c r="AB786" s="114"/>
      <c r="AC786" s="114"/>
      <c r="AD786" s="114"/>
      <c r="AE786" s="114"/>
      <c r="AF786" s="114"/>
      <c r="AG786" s="114"/>
      <c r="AH786" s="114"/>
      <c r="AI786" s="114"/>
      <c r="AJ786" s="114"/>
      <c r="AK786" s="114"/>
      <c r="AL786" s="114"/>
      <c r="AM786" s="114"/>
      <c r="AN786" s="114"/>
      <c r="AO786" s="114"/>
      <c r="AP786" s="114"/>
    </row>
    <row r="787" spans="1:42" ht="15.75" customHeight="1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</row>
    <row r="788" spans="1:42" ht="15.75" customHeight="1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</row>
    <row r="789" spans="1:42" ht="15.75" customHeight="1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  <c r="AA789" s="114"/>
      <c r="AB789" s="114"/>
      <c r="AC789" s="114"/>
      <c r="AD789" s="114"/>
      <c r="AE789" s="114"/>
      <c r="AF789" s="114"/>
      <c r="AG789" s="114"/>
      <c r="AH789" s="114"/>
      <c r="AI789" s="114"/>
      <c r="AJ789" s="114"/>
      <c r="AK789" s="114"/>
      <c r="AL789" s="114"/>
      <c r="AM789" s="114"/>
      <c r="AN789" s="114"/>
      <c r="AO789" s="114"/>
      <c r="AP789" s="114"/>
    </row>
    <row r="790" spans="1:42" ht="15.75" customHeight="1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  <c r="AA790" s="114"/>
      <c r="AB790" s="114"/>
      <c r="AC790" s="114"/>
      <c r="AD790" s="114"/>
      <c r="AE790" s="114"/>
      <c r="AF790" s="114"/>
      <c r="AG790" s="114"/>
      <c r="AH790" s="114"/>
      <c r="AI790" s="114"/>
      <c r="AJ790" s="114"/>
      <c r="AK790" s="114"/>
      <c r="AL790" s="114"/>
      <c r="AM790" s="114"/>
      <c r="AN790" s="114"/>
      <c r="AO790" s="114"/>
      <c r="AP790" s="114"/>
    </row>
    <row r="791" spans="1:42" ht="15.75" customHeight="1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</row>
    <row r="792" spans="1:42" ht="15.75" customHeight="1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</row>
    <row r="793" spans="1:42" ht="15.75" customHeight="1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  <c r="AA793" s="114"/>
      <c r="AB793" s="114"/>
      <c r="AC793" s="114"/>
      <c r="AD793" s="114"/>
      <c r="AE793" s="114"/>
      <c r="AF793" s="114"/>
      <c r="AG793" s="114"/>
      <c r="AH793" s="114"/>
      <c r="AI793" s="114"/>
      <c r="AJ793" s="114"/>
      <c r="AK793" s="114"/>
      <c r="AL793" s="114"/>
      <c r="AM793" s="114"/>
      <c r="AN793" s="114"/>
      <c r="AO793" s="114"/>
      <c r="AP793" s="114"/>
    </row>
    <row r="794" spans="1:42" ht="15.75" customHeight="1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  <c r="AA794" s="114"/>
      <c r="AB794" s="114"/>
      <c r="AC794" s="114"/>
      <c r="AD794" s="114"/>
      <c r="AE794" s="114"/>
      <c r="AF794" s="114"/>
      <c r="AG794" s="114"/>
      <c r="AH794" s="114"/>
      <c r="AI794" s="114"/>
      <c r="AJ794" s="114"/>
      <c r="AK794" s="114"/>
      <c r="AL794" s="114"/>
      <c r="AM794" s="114"/>
      <c r="AN794" s="114"/>
      <c r="AO794" s="114"/>
      <c r="AP794" s="114"/>
    </row>
    <row r="795" spans="1:42" ht="15.75" customHeight="1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</row>
    <row r="796" spans="1:42" ht="15.75" customHeight="1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</row>
    <row r="797" spans="1:42" ht="15.75" customHeight="1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  <c r="AA797" s="114"/>
      <c r="AB797" s="114"/>
      <c r="AC797" s="114"/>
      <c r="AD797" s="114"/>
      <c r="AE797" s="114"/>
      <c r="AF797" s="114"/>
      <c r="AG797" s="114"/>
      <c r="AH797" s="114"/>
      <c r="AI797" s="114"/>
      <c r="AJ797" s="114"/>
      <c r="AK797" s="114"/>
      <c r="AL797" s="114"/>
      <c r="AM797" s="114"/>
      <c r="AN797" s="114"/>
      <c r="AO797" s="114"/>
      <c r="AP797" s="114"/>
    </row>
    <row r="798" spans="1:42" ht="15.75" customHeight="1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  <c r="AA798" s="114"/>
      <c r="AB798" s="114"/>
      <c r="AC798" s="114"/>
      <c r="AD798" s="114"/>
      <c r="AE798" s="114"/>
      <c r="AF798" s="114"/>
      <c r="AG798" s="114"/>
      <c r="AH798" s="114"/>
      <c r="AI798" s="114"/>
      <c r="AJ798" s="114"/>
      <c r="AK798" s="114"/>
      <c r="AL798" s="114"/>
      <c r="AM798" s="114"/>
      <c r="AN798" s="114"/>
      <c r="AO798" s="114"/>
      <c r="AP798" s="114"/>
    </row>
    <row r="799" spans="1:42" ht="15.75" customHeight="1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</row>
    <row r="800" spans="1:42" ht="15.75" customHeight="1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</row>
    <row r="801" spans="1:42" ht="15.75" customHeight="1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  <c r="AA801" s="114"/>
      <c r="AB801" s="114"/>
      <c r="AC801" s="114"/>
      <c r="AD801" s="114"/>
      <c r="AE801" s="114"/>
      <c r="AF801" s="114"/>
      <c r="AG801" s="114"/>
      <c r="AH801" s="114"/>
      <c r="AI801" s="114"/>
      <c r="AJ801" s="114"/>
      <c r="AK801" s="114"/>
      <c r="AL801" s="114"/>
      <c r="AM801" s="114"/>
      <c r="AN801" s="114"/>
      <c r="AO801" s="114"/>
      <c r="AP801" s="114"/>
    </row>
    <row r="802" spans="1:42" ht="15.75" customHeight="1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  <c r="AA802" s="114"/>
      <c r="AB802" s="114"/>
      <c r="AC802" s="114"/>
      <c r="AD802" s="114"/>
      <c r="AE802" s="114"/>
      <c r="AF802" s="114"/>
      <c r="AG802" s="114"/>
      <c r="AH802" s="114"/>
      <c r="AI802" s="114"/>
      <c r="AJ802" s="114"/>
      <c r="AK802" s="114"/>
      <c r="AL802" s="114"/>
      <c r="AM802" s="114"/>
      <c r="AN802" s="114"/>
      <c r="AO802" s="114"/>
      <c r="AP802" s="114"/>
    </row>
    <row r="803" spans="1:42" ht="15.75" customHeight="1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</row>
    <row r="804" spans="1:42" ht="15.75" customHeight="1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</row>
    <row r="805" spans="1:42" ht="15.75" customHeight="1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  <c r="AA805" s="114"/>
      <c r="AB805" s="114"/>
      <c r="AC805" s="114"/>
      <c r="AD805" s="114"/>
      <c r="AE805" s="114"/>
      <c r="AF805" s="114"/>
      <c r="AG805" s="114"/>
      <c r="AH805" s="114"/>
      <c r="AI805" s="114"/>
      <c r="AJ805" s="114"/>
      <c r="AK805" s="114"/>
      <c r="AL805" s="114"/>
      <c r="AM805" s="114"/>
      <c r="AN805" s="114"/>
      <c r="AO805" s="114"/>
      <c r="AP805" s="114"/>
    </row>
    <row r="806" spans="1:42" ht="15.75" customHeight="1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  <c r="AA806" s="114"/>
      <c r="AB806" s="114"/>
      <c r="AC806" s="114"/>
      <c r="AD806" s="114"/>
      <c r="AE806" s="114"/>
      <c r="AF806" s="114"/>
      <c r="AG806" s="114"/>
      <c r="AH806" s="114"/>
      <c r="AI806" s="114"/>
      <c r="AJ806" s="114"/>
      <c r="AK806" s="114"/>
      <c r="AL806" s="114"/>
      <c r="AM806" s="114"/>
      <c r="AN806" s="114"/>
      <c r="AO806" s="114"/>
      <c r="AP806" s="114"/>
    </row>
    <row r="807" spans="1:42" ht="15.75" customHeight="1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</row>
    <row r="808" spans="1:42" ht="15.75" customHeight="1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</row>
    <row r="809" spans="1:42" ht="15.75" customHeight="1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  <c r="AA809" s="114"/>
      <c r="AB809" s="114"/>
      <c r="AC809" s="114"/>
      <c r="AD809" s="114"/>
      <c r="AE809" s="114"/>
      <c r="AF809" s="114"/>
      <c r="AG809" s="114"/>
      <c r="AH809" s="114"/>
      <c r="AI809" s="114"/>
      <c r="AJ809" s="114"/>
      <c r="AK809" s="114"/>
      <c r="AL809" s="114"/>
      <c r="AM809" s="114"/>
      <c r="AN809" s="114"/>
      <c r="AO809" s="114"/>
      <c r="AP809" s="114"/>
    </row>
    <row r="810" spans="1:42" ht="15.75" customHeight="1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  <c r="AA810" s="114"/>
      <c r="AB810" s="114"/>
      <c r="AC810" s="114"/>
      <c r="AD810" s="114"/>
      <c r="AE810" s="114"/>
      <c r="AF810" s="114"/>
      <c r="AG810" s="114"/>
      <c r="AH810" s="114"/>
      <c r="AI810" s="114"/>
      <c r="AJ810" s="114"/>
      <c r="AK810" s="114"/>
      <c r="AL810" s="114"/>
      <c r="AM810" s="114"/>
      <c r="AN810" s="114"/>
      <c r="AO810" s="114"/>
      <c r="AP810" s="114"/>
    </row>
    <row r="811" spans="1:42" ht="15.75" customHeight="1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</row>
    <row r="812" spans="1:42" ht="15.75" customHeight="1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</row>
    <row r="813" spans="1:42" ht="15.75" customHeight="1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  <c r="AA813" s="114"/>
      <c r="AB813" s="114"/>
      <c r="AC813" s="114"/>
      <c r="AD813" s="114"/>
      <c r="AE813" s="114"/>
      <c r="AF813" s="114"/>
      <c r="AG813" s="114"/>
      <c r="AH813" s="114"/>
      <c r="AI813" s="114"/>
      <c r="AJ813" s="114"/>
      <c r="AK813" s="114"/>
      <c r="AL813" s="114"/>
      <c r="AM813" s="114"/>
      <c r="AN813" s="114"/>
      <c r="AO813" s="114"/>
      <c r="AP813" s="114"/>
    </row>
    <row r="814" spans="1:42" ht="15.75" customHeight="1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  <c r="AA814" s="114"/>
      <c r="AB814" s="114"/>
      <c r="AC814" s="114"/>
      <c r="AD814" s="114"/>
      <c r="AE814" s="114"/>
      <c r="AF814" s="114"/>
      <c r="AG814" s="114"/>
      <c r="AH814" s="114"/>
      <c r="AI814" s="114"/>
      <c r="AJ814" s="114"/>
      <c r="AK814" s="114"/>
      <c r="AL814" s="114"/>
      <c r="AM814" s="114"/>
      <c r="AN814" s="114"/>
      <c r="AO814" s="114"/>
      <c r="AP814" s="114"/>
    </row>
    <row r="815" spans="1:42" ht="15.75" customHeight="1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</row>
    <row r="816" spans="1:42" ht="15.75" customHeight="1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</row>
    <row r="817" spans="1:42" ht="15.75" customHeight="1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  <c r="AA817" s="114"/>
      <c r="AB817" s="114"/>
      <c r="AC817" s="114"/>
      <c r="AD817" s="114"/>
      <c r="AE817" s="114"/>
      <c r="AF817" s="114"/>
      <c r="AG817" s="114"/>
      <c r="AH817" s="114"/>
      <c r="AI817" s="114"/>
      <c r="AJ817" s="114"/>
      <c r="AK817" s="114"/>
      <c r="AL817" s="114"/>
      <c r="AM817" s="114"/>
      <c r="AN817" s="114"/>
      <c r="AO817" s="114"/>
      <c r="AP817" s="114"/>
    </row>
    <row r="818" spans="1:42" ht="15.75" customHeight="1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  <c r="AA818" s="114"/>
      <c r="AB818" s="114"/>
      <c r="AC818" s="114"/>
      <c r="AD818" s="114"/>
      <c r="AE818" s="114"/>
      <c r="AF818" s="114"/>
      <c r="AG818" s="114"/>
      <c r="AH818" s="114"/>
      <c r="AI818" s="114"/>
      <c r="AJ818" s="114"/>
      <c r="AK818" s="114"/>
      <c r="AL818" s="114"/>
      <c r="AM818" s="114"/>
      <c r="AN818" s="114"/>
      <c r="AO818" s="114"/>
      <c r="AP818" s="114"/>
    </row>
    <row r="819" spans="1:42" ht="15.75" customHeight="1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</row>
    <row r="820" spans="1:42" ht="15.75" customHeight="1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</row>
    <row r="821" spans="1:42" ht="15.75" customHeight="1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  <c r="AA821" s="114"/>
      <c r="AB821" s="114"/>
      <c r="AC821" s="114"/>
      <c r="AD821" s="114"/>
      <c r="AE821" s="114"/>
      <c r="AF821" s="114"/>
      <c r="AG821" s="114"/>
      <c r="AH821" s="114"/>
      <c r="AI821" s="114"/>
      <c r="AJ821" s="114"/>
      <c r="AK821" s="114"/>
      <c r="AL821" s="114"/>
      <c r="AM821" s="114"/>
      <c r="AN821" s="114"/>
      <c r="AO821" s="114"/>
      <c r="AP821" s="114"/>
    </row>
    <row r="822" spans="1:42" ht="15.75" customHeight="1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  <c r="AA822" s="114"/>
      <c r="AB822" s="114"/>
      <c r="AC822" s="114"/>
      <c r="AD822" s="114"/>
      <c r="AE822" s="114"/>
      <c r="AF822" s="114"/>
      <c r="AG822" s="114"/>
      <c r="AH822" s="114"/>
      <c r="AI822" s="114"/>
      <c r="AJ822" s="114"/>
      <c r="AK822" s="114"/>
      <c r="AL822" s="114"/>
      <c r="AM822" s="114"/>
      <c r="AN822" s="114"/>
      <c r="AO822" s="114"/>
      <c r="AP822" s="114"/>
    </row>
    <row r="823" spans="1:42" ht="15.75" customHeight="1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</row>
    <row r="824" spans="1:42" ht="15.75" customHeight="1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</row>
    <row r="825" spans="1:42" ht="15.75" customHeight="1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  <c r="AA825" s="114"/>
      <c r="AB825" s="114"/>
      <c r="AC825" s="114"/>
      <c r="AD825" s="114"/>
      <c r="AE825" s="114"/>
      <c r="AF825" s="114"/>
      <c r="AG825" s="114"/>
      <c r="AH825" s="114"/>
      <c r="AI825" s="114"/>
      <c r="AJ825" s="114"/>
      <c r="AK825" s="114"/>
      <c r="AL825" s="114"/>
      <c r="AM825" s="114"/>
      <c r="AN825" s="114"/>
      <c r="AO825" s="114"/>
      <c r="AP825" s="114"/>
    </row>
    <row r="826" spans="1:42" ht="15.75" customHeight="1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  <c r="AA826" s="114"/>
      <c r="AB826" s="114"/>
      <c r="AC826" s="114"/>
      <c r="AD826" s="114"/>
      <c r="AE826" s="114"/>
      <c r="AF826" s="114"/>
      <c r="AG826" s="114"/>
      <c r="AH826" s="114"/>
      <c r="AI826" s="114"/>
      <c r="AJ826" s="114"/>
      <c r="AK826" s="114"/>
      <c r="AL826" s="114"/>
      <c r="AM826" s="114"/>
      <c r="AN826" s="114"/>
      <c r="AO826" s="114"/>
      <c r="AP826" s="114"/>
    </row>
    <row r="827" spans="1:42" ht="15.75" customHeight="1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</row>
    <row r="828" spans="1:42" ht="15.75" customHeight="1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</row>
    <row r="829" spans="1:42" ht="15.75" customHeight="1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  <c r="AA829" s="114"/>
      <c r="AB829" s="114"/>
      <c r="AC829" s="114"/>
      <c r="AD829" s="114"/>
      <c r="AE829" s="114"/>
      <c r="AF829" s="114"/>
      <c r="AG829" s="114"/>
      <c r="AH829" s="114"/>
      <c r="AI829" s="114"/>
      <c r="AJ829" s="114"/>
      <c r="AK829" s="114"/>
      <c r="AL829" s="114"/>
      <c r="AM829" s="114"/>
      <c r="AN829" s="114"/>
      <c r="AO829" s="114"/>
      <c r="AP829" s="114"/>
    </row>
    <row r="830" spans="1:42" ht="15.75" customHeight="1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  <c r="AA830" s="114"/>
      <c r="AB830" s="114"/>
      <c r="AC830" s="114"/>
      <c r="AD830" s="114"/>
      <c r="AE830" s="114"/>
      <c r="AF830" s="114"/>
      <c r="AG830" s="114"/>
      <c r="AH830" s="114"/>
      <c r="AI830" s="114"/>
      <c r="AJ830" s="114"/>
      <c r="AK830" s="114"/>
      <c r="AL830" s="114"/>
      <c r="AM830" s="114"/>
      <c r="AN830" s="114"/>
      <c r="AO830" s="114"/>
      <c r="AP830" s="114"/>
    </row>
    <row r="831" spans="1:42" ht="15.75" customHeight="1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</row>
    <row r="832" spans="1:42" ht="15.75" customHeight="1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</row>
    <row r="833" spans="1:42" ht="15.75" customHeight="1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  <c r="AA833" s="114"/>
      <c r="AB833" s="114"/>
      <c r="AC833" s="114"/>
      <c r="AD833" s="114"/>
      <c r="AE833" s="114"/>
      <c r="AF833" s="114"/>
      <c r="AG833" s="114"/>
      <c r="AH833" s="114"/>
      <c r="AI833" s="114"/>
      <c r="AJ833" s="114"/>
      <c r="AK833" s="114"/>
      <c r="AL833" s="114"/>
      <c r="AM833" s="114"/>
      <c r="AN833" s="114"/>
      <c r="AO833" s="114"/>
      <c r="AP833" s="114"/>
    </row>
    <row r="834" spans="1:42" ht="15.75" customHeight="1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  <c r="AA834" s="114"/>
      <c r="AB834" s="114"/>
      <c r="AC834" s="114"/>
      <c r="AD834" s="114"/>
      <c r="AE834" s="114"/>
      <c r="AF834" s="114"/>
      <c r="AG834" s="114"/>
      <c r="AH834" s="114"/>
      <c r="AI834" s="114"/>
      <c r="AJ834" s="114"/>
      <c r="AK834" s="114"/>
      <c r="AL834" s="114"/>
      <c r="AM834" s="114"/>
      <c r="AN834" s="114"/>
      <c r="AO834" s="114"/>
      <c r="AP834" s="114"/>
    </row>
    <row r="835" spans="1:42" ht="15.75" customHeight="1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</row>
    <row r="836" spans="1:42" ht="15.75" customHeight="1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</row>
    <row r="837" spans="1:42" ht="15.75" customHeight="1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  <c r="AA837" s="114"/>
      <c r="AB837" s="114"/>
      <c r="AC837" s="114"/>
      <c r="AD837" s="114"/>
      <c r="AE837" s="114"/>
      <c r="AF837" s="114"/>
      <c r="AG837" s="114"/>
      <c r="AH837" s="114"/>
      <c r="AI837" s="114"/>
      <c r="AJ837" s="114"/>
      <c r="AK837" s="114"/>
      <c r="AL837" s="114"/>
      <c r="AM837" s="114"/>
      <c r="AN837" s="114"/>
      <c r="AO837" s="114"/>
      <c r="AP837" s="114"/>
    </row>
    <row r="838" spans="1:42" ht="15.75" customHeight="1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  <c r="AA838" s="114"/>
      <c r="AB838" s="114"/>
      <c r="AC838" s="114"/>
      <c r="AD838" s="114"/>
      <c r="AE838" s="114"/>
      <c r="AF838" s="114"/>
      <c r="AG838" s="114"/>
      <c r="AH838" s="114"/>
      <c r="AI838" s="114"/>
      <c r="AJ838" s="114"/>
      <c r="AK838" s="114"/>
      <c r="AL838" s="114"/>
      <c r="AM838" s="114"/>
      <c r="AN838" s="114"/>
      <c r="AO838" s="114"/>
      <c r="AP838" s="114"/>
    </row>
    <row r="839" spans="1:42" ht="15.75" customHeight="1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</row>
    <row r="840" spans="1:42" ht="15.75" customHeight="1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</row>
    <row r="841" spans="1:42" ht="15.75" customHeight="1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  <c r="AA841" s="114"/>
      <c r="AB841" s="114"/>
      <c r="AC841" s="114"/>
      <c r="AD841" s="114"/>
      <c r="AE841" s="114"/>
      <c r="AF841" s="114"/>
      <c r="AG841" s="114"/>
      <c r="AH841" s="114"/>
      <c r="AI841" s="114"/>
      <c r="AJ841" s="114"/>
      <c r="AK841" s="114"/>
      <c r="AL841" s="114"/>
      <c r="AM841" s="114"/>
      <c r="AN841" s="114"/>
      <c r="AO841" s="114"/>
      <c r="AP841" s="114"/>
    </row>
    <row r="842" spans="1:42" ht="15.75" customHeight="1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  <c r="AA842" s="114"/>
      <c r="AB842" s="114"/>
      <c r="AC842" s="114"/>
      <c r="AD842" s="114"/>
      <c r="AE842" s="114"/>
      <c r="AF842" s="114"/>
      <c r="AG842" s="114"/>
      <c r="AH842" s="114"/>
      <c r="AI842" s="114"/>
      <c r="AJ842" s="114"/>
      <c r="AK842" s="114"/>
      <c r="AL842" s="114"/>
      <c r="AM842" s="114"/>
      <c r="AN842" s="114"/>
      <c r="AO842" s="114"/>
      <c r="AP842" s="114"/>
    </row>
    <row r="843" spans="1:42" ht="15.75" customHeight="1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  <c r="AA843" s="114"/>
      <c r="AB843" s="114"/>
      <c r="AC843" s="114"/>
      <c r="AD843" s="114"/>
      <c r="AE843" s="114"/>
      <c r="AF843" s="114"/>
      <c r="AG843" s="114"/>
      <c r="AH843" s="114"/>
      <c r="AI843" s="114"/>
      <c r="AJ843" s="114"/>
      <c r="AK843" s="114"/>
      <c r="AL843" s="114"/>
      <c r="AM843" s="114"/>
      <c r="AN843" s="114"/>
      <c r="AO843" s="114"/>
      <c r="AP843" s="114"/>
    </row>
    <row r="844" spans="1:42" ht="15.75" customHeight="1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  <c r="AA844" s="114"/>
      <c r="AB844" s="114"/>
      <c r="AC844" s="114"/>
      <c r="AD844" s="114"/>
      <c r="AE844" s="114"/>
      <c r="AF844" s="114"/>
      <c r="AG844" s="114"/>
      <c r="AH844" s="114"/>
      <c r="AI844" s="114"/>
      <c r="AJ844" s="114"/>
      <c r="AK844" s="114"/>
      <c r="AL844" s="114"/>
      <c r="AM844" s="114"/>
      <c r="AN844" s="114"/>
      <c r="AO844" s="114"/>
      <c r="AP844" s="114"/>
    </row>
    <row r="845" spans="1:42" ht="15.75" customHeight="1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  <c r="AA845" s="114"/>
      <c r="AB845" s="114"/>
      <c r="AC845" s="114"/>
      <c r="AD845" s="114"/>
      <c r="AE845" s="114"/>
      <c r="AF845" s="114"/>
      <c r="AG845" s="114"/>
      <c r="AH845" s="114"/>
      <c r="AI845" s="114"/>
      <c r="AJ845" s="114"/>
      <c r="AK845" s="114"/>
      <c r="AL845" s="114"/>
      <c r="AM845" s="114"/>
      <c r="AN845" s="114"/>
      <c r="AO845" s="114"/>
      <c r="AP845" s="114"/>
    </row>
    <row r="846" spans="1:42" ht="15.75" customHeight="1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  <c r="AA846" s="114"/>
      <c r="AB846" s="114"/>
      <c r="AC846" s="114"/>
      <c r="AD846" s="114"/>
      <c r="AE846" s="114"/>
      <c r="AF846" s="114"/>
      <c r="AG846" s="114"/>
      <c r="AH846" s="114"/>
      <c r="AI846" s="114"/>
      <c r="AJ846" s="114"/>
      <c r="AK846" s="114"/>
      <c r="AL846" s="114"/>
      <c r="AM846" s="114"/>
      <c r="AN846" s="114"/>
      <c r="AO846" s="114"/>
      <c r="AP846" s="114"/>
    </row>
    <row r="847" spans="1:42" ht="15.75" customHeight="1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  <c r="AA847" s="114"/>
      <c r="AB847" s="114"/>
      <c r="AC847" s="114"/>
      <c r="AD847" s="114"/>
      <c r="AE847" s="114"/>
      <c r="AF847" s="114"/>
      <c r="AG847" s="114"/>
      <c r="AH847" s="114"/>
      <c r="AI847" s="114"/>
      <c r="AJ847" s="114"/>
      <c r="AK847" s="114"/>
      <c r="AL847" s="114"/>
      <c r="AM847" s="114"/>
      <c r="AN847" s="114"/>
      <c r="AO847" s="114"/>
      <c r="AP847" s="114"/>
    </row>
    <row r="848" spans="1:42" ht="15.75" customHeight="1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  <c r="AA848" s="114"/>
      <c r="AB848" s="114"/>
      <c r="AC848" s="114"/>
      <c r="AD848" s="114"/>
      <c r="AE848" s="114"/>
      <c r="AF848" s="114"/>
      <c r="AG848" s="114"/>
      <c r="AH848" s="114"/>
      <c r="AI848" s="114"/>
      <c r="AJ848" s="114"/>
      <c r="AK848" s="114"/>
      <c r="AL848" s="114"/>
      <c r="AM848" s="114"/>
      <c r="AN848" s="114"/>
      <c r="AO848" s="114"/>
      <c r="AP848" s="114"/>
    </row>
    <row r="849" spans="1:42" ht="15.75" customHeight="1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114"/>
      <c r="AF849" s="114"/>
      <c r="AG849" s="114"/>
      <c r="AH849" s="114"/>
      <c r="AI849" s="114"/>
      <c r="AJ849" s="114"/>
      <c r="AK849" s="114"/>
      <c r="AL849" s="114"/>
      <c r="AM849" s="114"/>
      <c r="AN849" s="114"/>
      <c r="AO849" s="114"/>
      <c r="AP849" s="114"/>
    </row>
    <row r="850" spans="1:42" ht="15.75" customHeight="1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  <c r="AA850" s="114"/>
      <c r="AB850" s="114"/>
      <c r="AC850" s="114"/>
      <c r="AD850" s="114"/>
      <c r="AE850" s="114"/>
      <c r="AF850" s="114"/>
      <c r="AG850" s="114"/>
      <c r="AH850" s="114"/>
      <c r="AI850" s="114"/>
      <c r="AJ850" s="114"/>
      <c r="AK850" s="114"/>
      <c r="AL850" s="114"/>
      <c r="AM850" s="114"/>
      <c r="AN850" s="114"/>
      <c r="AO850" s="114"/>
      <c r="AP850" s="114"/>
    </row>
    <row r="851" spans="1:42" ht="15.75" customHeight="1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  <c r="AA851" s="114"/>
      <c r="AB851" s="114"/>
      <c r="AC851" s="114"/>
      <c r="AD851" s="114"/>
      <c r="AE851" s="114"/>
      <c r="AF851" s="114"/>
      <c r="AG851" s="114"/>
      <c r="AH851" s="114"/>
      <c r="AI851" s="114"/>
      <c r="AJ851" s="114"/>
      <c r="AK851" s="114"/>
      <c r="AL851" s="114"/>
      <c r="AM851" s="114"/>
      <c r="AN851" s="114"/>
      <c r="AO851" s="114"/>
      <c r="AP851" s="114"/>
    </row>
    <row r="852" spans="1:42" ht="15.75" customHeight="1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  <c r="AA852" s="114"/>
      <c r="AB852" s="114"/>
      <c r="AC852" s="114"/>
      <c r="AD852" s="114"/>
      <c r="AE852" s="114"/>
      <c r="AF852" s="114"/>
      <c r="AG852" s="114"/>
      <c r="AH852" s="114"/>
      <c r="AI852" s="114"/>
      <c r="AJ852" s="114"/>
      <c r="AK852" s="114"/>
      <c r="AL852" s="114"/>
      <c r="AM852" s="114"/>
      <c r="AN852" s="114"/>
      <c r="AO852" s="114"/>
      <c r="AP852" s="114"/>
    </row>
    <row r="853" spans="1:42" ht="15.75" customHeight="1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  <c r="AA853" s="114"/>
      <c r="AB853" s="114"/>
      <c r="AC853" s="114"/>
      <c r="AD853" s="114"/>
      <c r="AE853" s="114"/>
      <c r="AF853" s="114"/>
      <c r="AG853" s="114"/>
      <c r="AH853" s="114"/>
      <c r="AI853" s="114"/>
      <c r="AJ853" s="114"/>
      <c r="AK853" s="114"/>
      <c r="AL853" s="114"/>
      <c r="AM853" s="114"/>
      <c r="AN853" s="114"/>
      <c r="AO853" s="114"/>
      <c r="AP853" s="114"/>
    </row>
    <row r="854" spans="1:42" ht="15.75" customHeight="1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  <c r="AA854" s="114"/>
      <c r="AB854" s="114"/>
      <c r="AC854" s="114"/>
      <c r="AD854" s="114"/>
      <c r="AE854" s="114"/>
      <c r="AF854" s="114"/>
      <c r="AG854" s="114"/>
      <c r="AH854" s="114"/>
      <c r="AI854" s="114"/>
      <c r="AJ854" s="114"/>
      <c r="AK854" s="114"/>
      <c r="AL854" s="114"/>
      <c r="AM854" s="114"/>
      <c r="AN854" s="114"/>
      <c r="AO854" s="114"/>
      <c r="AP854" s="114"/>
    </row>
    <row r="855" spans="1:42" ht="15.75" customHeight="1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  <c r="AA855" s="114"/>
      <c r="AB855" s="114"/>
      <c r="AC855" s="114"/>
      <c r="AD855" s="114"/>
      <c r="AE855" s="114"/>
      <c r="AF855" s="114"/>
      <c r="AG855" s="114"/>
      <c r="AH855" s="114"/>
      <c r="AI855" s="114"/>
      <c r="AJ855" s="114"/>
      <c r="AK855" s="114"/>
      <c r="AL855" s="114"/>
      <c r="AM855" s="114"/>
      <c r="AN855" s="114"/>
      <c r="AO855" s="114"/>
      <c r="AP855" s="114"/>
    </row>
    <row r="856" spans="1:42" ht="15.75" customHeight="1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  <c r="AA856" s="114"/>
      <c r="AB856" s="114"/>
      <c r="AC856" s="114"/>
      <c r="AD856" s="114"/>
      <c r="AE856" s="114"/>
      <c r="AF856" s="114"/>
      <c r="AG856" s="114"/>
      <c r="AH856" s="114"/>
      <c r="AI856" s="114"/>
      <c r="AJ856" s="114"/>
      <c r="AK856" s="114"/>
      <c r="AL856" s="114"/>
      <c r="AM856" s="114"/>
      <c r="AN856" s="114"/>
      <c r="AO856" s="114"/>
      <c r="AP856" s="114"/>
    </row>
    <row r="857" spans="1:42" ht="15.75" customHeight="1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</row>
    <row r="858" spans="1:42" ht="15.75" customHeight="1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</row>
    <row r="859" spans="1:42" ht="15.75" customHeight="1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  <c r="AA859" s="114"/>
      <c r="AB859" s="114"/>
      <c r="AC859" s="114"/>
      <c r="AD859" s="114"/>
      <c r="AE859" s="114"/>
      <c r="AF859" s="114"/>
      <c r="AG859" s="114"/>
      <c r="AH859" s="114"/>
      <c r="AI859" s="114"/>
      <c r="AJ859" s="114"/>
      <c r="AK859" s="114"/>
      <c r="AL859" s="114"/>
      <c r="AM859" s="114"/>
      <c r="AN859" s="114"/>
      <c r="AO859" s="114"/>
      <c r="AP859" s="114"/>
    </row>
    <row r="860" spans="1:42" ht="15.75" customHeight="1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  <c r="AA860" s="114"/>
      <c r="AB860" s="114"/>
      <c r="AC860" s="114"/>
      <c r="AD860" s="114"/>
      <c r="AE860" s="114"/>
      <c r="AF860" s="114"/>
      <c r="AG860" s="114"/>
      <c r="AH860" s="114"/>
      <c r="AI860" s="114"/>
      <c r="AJ860" s="114"/>
      <c r="AK860" s="114"/>
      <c r="AL860" s="114"/>
      <c r="AM860" s="114"/>
      <c r="AN860" s="114"/>
      <c r="AO860" s="114"/>
      <c r="AP860" s="114"/>
    </row>
    <row r="861" spans="1:42" ht="15.75" customHeight="1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</row>
    <row r="862" spans="1:42" ht="15.75" customHeight="1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</row>
    <row r="863" spans="1:42" ht="15.75" customHeight="1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  <c r="AA863" s="114"/>
      <c r="AB863" s="114"/>
      <c r="AC863" s="114"/>
      <c r="AD863" s="114"/>
      <c r="AE863" s="114"/>
      <c r="AF863" s="114"/>
      <c r="AG863" s="114"/>
      <c r="AH863" s="114"/>
      <c r="AI863" s="114"/>
      <c r="AJ863" s="114"/>
      <c r="AK863" s="114"/>
      <c r="AL863" s="114"/>
      <c r="AM863" s="114"/>
      <c r="AN863" s="114"/>
      <c r="AO863" s="114"/>
      <c r="AP863" s="114"/>
    </row>
    <row r="864" spans="1:42" ht="15.75" customHeight="1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  <c r="AA864" s="114"/>
      <c r="AB864" s="114"/>
      <c r="AC864" s="114"/>
      <c r="AD864" s="114"/>
      <c r="AE864" s="114"/>
      <c r="AF864" s="114"/>
      <c r="AG864" s="114"/>
      <c r="AH864" s="114"/>
      <c r="AI864" s="114"/>
      <c r="AJ864" s="114"/>
      <c r="AK864" s="114"/>
      <c r="AL864" s="114"/>
      <c r="AM864" s="114"/>
      <c r="AN864" s="114"/>
      <c r="AO864" s="114"/>
      <c r="AP864" s="114"/>
    </row>
    <row r="865" spans="1:42" ht="15.75" customHeight="1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</row>
    <row r="866" spans="1:42" ht="15.75" customHeight="1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</row>
    <row r="867" spans="1:42" ht="15.75" customHeight="1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  <c r="AA867" s="114"/>
      <c r="AB867" s="114"/>
      <c r="AC867" s="114"/>
      <c r="AD867" s="114"/>
      <c r="AE867" s="114"/>
      <c r="AF867" s="114"/>
      <c r="AG867" s="114"/>
      <c r="AH867" s="114"/>
      <c r="AI867" s="114"/>
      <c r="AJ867" s="114"/>
      <c r="AK867" s="114"/>
      <c r="AL867" s="114"/>
      <c r="AM867" s="114"/>
      <c r="AN867" s="114"/>
      <c r="AO867" s="114"/>
      <c r="AP867" s="114"/>
    </row>
    <row r="868" spans="1:42" ht="15.75" customHeight="1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  <c r="AA868" s="114"/>
      <c r="AB868" s="114"/>
      <c r="AC868" s="114"/>
      <c r="AD868" s="114"/>
      <c r="AE868" s="114"/>
      <c r="AF868" s="114"/>
      <c r="AG868" s="114"/>
      <c r="AH868" s="114"/>
      <c r="AI868" s="114"/>
      <c r="AJ868" s="114"/>
      <c r="AK868" s="114"/>
      <c r="AL868" s="114"/>
      <c r="AM868" s="114"/>
      <c r="AN868" s="114"/>
      <c r="AO868" s="114"/>
      <c r="AP868" s="114"/>
    </row>
    <row r="869" spans="1:42" ht="15.75" customHeight="1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</row>
    <row r="870" spans="1:42" ht="15.75" customHeight="1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</row>
    <row r="871" spans="1:42" ht="15.75" customHeight="1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  <c r="AA871" s="114"/>
      <c r="AB871" s="114"/>
      <c r="AC871" s="114"/>
      <c r="AD871" s="114"/>
      <c r="AE871" s="114"/>
      <c r="AF871" s="114"/>
      <c r="AG871" s="114"/>
      <c r="AH871" s="114"/>
      <c r="AI871" s="114"/>
      <c r="AJ871" s="114"/>
      <c r="AK871" s="114"/>
      <c r="AL871" s="114"/>
      <c r="AM871" s="114"/>
      <c r="AN871" s="114"/>
      <c r="AO871" s="114"/>
      <c r="AP871" s="114"/>
    </row>
    <row r="872" spans="1:42" ht="15.75" customHeight="1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  <c r="AA872" s="114"/>
      <c r="AB872" s="114"/>
      <c r="AC872" s="114"/>
      <c r="AD872" s="114"/>
      <c r="AE872" s="114"/>
      <c r="AF872" s="114"/>
      <c r="AG872" s="114"/>
      <c r="AH872" s="114"/>
      <c r="AI872" s="114"/>
      <c r="AJ872" s="114"/>
      <c r="AK872" s="114"/>
      <c r="AL872" s="114"/>
      <c r="AM872" s="114"/>
      <c r="AN872" s="114"/>
      <c r="AO872" s="114"/>
      <c r="AP872" s="114"/>
    </row>
    <row r="873" spans="1:42" ht="15.75" customHeight="1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</row>
    <row r="874" spans="1:42" ht="15.75" customHeight="1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</row>
    <row r="875" spans="1:42" ht="15.75" customHeight="1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114"/>
      <c r="AF875" s="114"/>
      <c r="AG875" s="114"/>
      <c r="AH875" s="114"/>
      <c r="AI875" s="114"/>
      <c r="AJ875" s="114"/>
      <c r="AK875" s="114"/>
      <c r="AL875" s="114"/>
      <c r="AM875" s="114"/>
      <c r="AN875" s="114"/>
      <c r="AO875" s="114"/>
      <c r="AP875" s="114"/>
    </row>
    <row r="876" spans="1:42" ht="15.75" customHeight="1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  <c r="AA876" s="114"/>
      <c r="AB876" s="114"/>
      <c r="AC876" s="114"/>
      <c r="AD876" s="114"/>
      <c r="AE876" s="114"/>
      <c r="AF876" s="114"/>
      <c r="AG876" s="114"/>
      <c r="AH876" s="114"/>
      <c r="AI876" s="114"/>
      <c r="AJ876" s="114"/>
      <c r="AK876" s="114"/>
      <c r="AL876" s="114"/>
      <c r="AM876" s="114"/>
      <c r="AN876" s="114"/>
      <c r="AO876" s="114"/>
      <c r="AP876" s="114"/>
    </row>
    <row r="877" spans="1:42" ht="15.75" customHeight="1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</row>
    <row r="878" spans="1:42" ht="15.75" customHeight="1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</row>
    <row r="879" spans="1:42" ht="15.75" customHeight="1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  <c r="AA879" s="114"/>
      <c r="AB879" s="114"/>
      <c r="AC879" s="114"/>
      <c r="AD879" s="114"/>
      <c r="AE879" s="114"/>
      <c r="AF879" s="114"/>
      <c r="AG879" s="114"/>
      <c r="AH879" s="114"/>
      <c r="AI879" s="114"/>
      <c r="AJ879" s="114"/>
      <c r="AK879" s="114"/>
      <c r="AL879" s="114"/>
      <c r="AM879" s="114"/>
      <c r="AN879" s="114"/>
      <c r="AO879" s="114"/>
      <c r="AP879" s="114"/>
    </row>
    <row r="880" spans="1:42" ht="15.75" customHeight="1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  <c r="AA880" s="114"/>
      <c r="AB880" s="114"/>
      <c r="AC880" s="114"/>
      <c r="AD880" s="114"/>
      <c r="AE880" s="114"/>
      <c r="AF880" s="114"/>
      <c r="AG880" s="114"/>
      <c r="AH880" s="114"/>
      <c r="AI880" s="114"/>
      <c r="AJ880" s="114"/>
      <c r="AK880" s="114"/>
      <c r="AL880" s="114"/>
      <c r="AM880" s="114"/>
      <c r="AN880" s="114"/>
      <c r="AO880" s="114"/>
      <c r="AP880" s="114"/>
    </row>
    <row r="881" spans="1:42" ht="15.75" customHeight="1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</row>
    <row r="882" spans="1:42" ht="15.75" customHeight="1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</row>
    <row r="883" spans="1:42" ht="15.75" customHeight="1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  <c r="AA883" s="114"/>
      <c r="AB883" s="114"/>
      <c r="AC883" s="114"/>
      <c r="AD883" s="114"/>
      <c r="AE883" s="114"/>
      <c r="AF883" s="114"/>
      <c r="AG883" s="114"/>
      <c r="AH883" s="114"/>
      <c r="AI883" s="114"/>
      <c r="AJ883" s="114"/>
      <c r="AK883" s="114"/>
      <c r="AL883" s="114"/>
      <c r="AM883" s="114"/>
      <c r="AN883" s="114"/>
      <c r="AO883" s="114"/>
      <c r="AP883" s="114"/>
    </row>
    <row r="884" spans="1:42" ht="15.75" customHeight="1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  <c r="AA884" s="114"/>
      <c r="AB884" s="114"/>
      <c r="AC884" s="114"/>
      <c r="AD884" s="114"/>
      <c r="AE884" s="114"/>
      <c r="AF884" s="114"/>
      <c r="AG884" s="114"/>
      <c r="AH884" s="114"/>
      <c r="AI884" s="114"/>
      <c r="AJ884" s="114"/>
      <c r="AK884" s="114"/>
      <c r="AL884" s="114"/>
      <c r="AM884" s="114"/>
      <c r="AN884" s="114"/>
      <c r="AO884" s="114"/>
      <c r="AP884" s="114"/>
    </row>
    <row r="885" spans="1:42" ht="15.75" customHeight="1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</row>
    <row r="886" spans="1:42" ht="15.75" customHeight="1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</row>
    <row r="887" spans="1:42" ht="15.75" customHeight="1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  <c r="AA887" s="114"/>
      <c r="AB887" s="114"/>
      <c r="AC887" s="114"/>
      <c r="AD887" s="114"/>
      <c r="AE887" s="114"/>
      <c r="AF887" s="114"/>
      <c r="AG887" s="114"/>
      <c r="AH887" s="114"/>
      <c r="AI887" s="114"/>
      <c r="AJ887" s="114"/>
      <c r="AK887" s="114"/>
      <c r="AL887" s="114"/>
      <c r="AM887" s="114"/>
      <c r="AN887" s="114"/>
      <c r="AO887" s="114"/>
      <c r="AP887" s="114"/>
    </row>
    <row r="888" spans="1:42" ht="15.75" customHeight="1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  <c r="AA888" s="114"/>
      <c r="AB888" s="114"/>
      <c r="AC888" s="114"/>
      <c r="AD888" s="114"/>
      <c r="AE888" s="114"/>
      <c r="AF888" s="114"/>
      <c r="AG888" s="114"/>
      <c r="AH888" s="114"/>
      <c r="AI888" s="114"/>
      <c r="AJ888" s="114"/>
      <c r="AK888" s="114"/>
      <c r="AL888" s="114"/>
      <c r="AM888" s="114"/>
      <c r="AN888" s="114"/>
      <c r="AO888" s="114"/>
      <c r="AP888" s="114"/>
    </row>
    <row r="889" spans="1:42" ht="15.75" customHeight="1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</row>
    <row r="890" spans="1:42" ht="15.75" customHeight="1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</row>
    <row r="891" spans="1:42" ht="15.75" customHeight="1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  <c r="AA891" s="114"/>
      <c r="AB891" s="114"/>
      <c r="AC891" s="114"/>
      <c r="AD891" s="114"/>
      <c r="AE891" s="114"/>
      <c r="AF891" s="114"/>
      <c r="AG891" s="114"/>
      <c r="AH891" s="114"/>
      <c r="AI891" s="114"/>
      <c r="AJ891" s="114"/>
      <c r="AK891" s="114"/>
      <c r="AL891" s="114"/>
      <c r="AM891" s="114"/>
      <c r="AN891" s="114"/>
      <c r="AO891" s="114"/>
      <c r="AP891" s="114"/>
    </row>
    <row r="892" spans="1:42" ht="15.75" customHeight="1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  <c r="AA892" s="114"/>
      <c r="AB892" s="114"/>
      <c r="AC892" s="114"/>
      <c r="AD892" s="114"/>
      <c r="AE892" s="114"/>
      <c r="AF892" s="114"/>
      <c r="AG892" s="114"/>
      <c r="AH892" s="114"/>
      <c r="AI892" s="114"/>
      <c r="AJ892" s="114"/>
      <c r="AK892" s="114"/>
      <c r="AL892" s="114"/>
      <c r="AM892" s="114"/>
      <c r="AN892" s="114"/>
      <c r="AO892" s="114"/>
      <c r="AP892" s="114"/>
    </row>
    <row r="893" spans="1:42" ht="15.75" customHeight="1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</row>
    <row r="894" spans="1:42" ht="15.75" customHeight="1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</row>
    <row r="895" spans="1:42" ht="15.75" customHeight="1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  <c r="AA895" s="114"/>
      <c r="AB895" s="114"/>
      <c r="AC895" s="114"/>
      <c r="AD895" s="114"/>
      <c r="AE895" s="114"/>
      <c r="AF895" s="114"/>
      <c r="AG895" s="114"/>
      <c r="AH895" s="114"/>
      <c r="AI895" s="114"/>
      <c r="AJ895" s="114"/>
      <c r="AK895" s="114"/>
      <c r="AL895" s="114"/>
      <c r="AM895" s="114"/>
      <c r="AN895" s="114"/>
      <c r="AO895" s="114"/>
      <c r="AP895" s="114"/>
    </row>
    <row r="896" spans="1:42" ht="15.75" customHeight="1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  <c r="AA896" s="114"/>
      <c r="AB896" s="114"/>
      <c r="AC896" s="114"/>
      <c r="AD896" s="114"/>
      <c r="AE896" s="114"/>
      <c r="AF896" s="114"/>
      <c r="AG896" s="114"/>
      <c r="AH896" s="114"/>
      <c r="AI896" s="114"/>
      <c r="AJ896" s="114"/>
      <c r="AK896" s="114"/>
      <c r="AL896" s="114"/>
      <c r="AM896" s="114"/>
      <c r="AN896" s="114"/>
      <c r="AO896" s="114"/>
      <c r="AP896" s="114"/>
    </row>
    <row r="897" spans="1:42" ht="15.75" customHeight="1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</row>
    <row r="898" spans="1:42" ht="15.75" customHeight="1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</row>
    <row r="899" spans="1:42" ht="15.75" customHeight="1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  <c r="AA899" s="114"/>
      <c r="AB899" s="114"/>
      <c r="AC899" s="114"/>
      <c r="AD899" s="114"/>
      <c r="AE899" s="114"/>
      <c r="AF899" s="114"/>
      <c r="AG899" s="114"/>
      <c r="AH899" s="114"/>
      <c r="AI899" s="114"/>
      <c r="AJ899" s="114"/>
      <c r="AK899" s="114"/>
      <c r="AL899" s="114"/>
      <c r="AM899" s="114"/>
      <c r="AN899" s="114"/>
      <c r="AO899" s="114"/>
      <c r="AP899" s="114"/>
    </row>
    <row r="900" spans="1:42" ht="15.75" customHeight="1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  <c r="AA900" s="114"/>
      <c r="AB900" s="114"/>
      <c r="AC900" s="114"/>
      <c r="AD900" s="114"/>
      <c r="AE900" s="114"/>
      <c r="AF900" s="114"/>
      <c r="AG900" s="114"/>
      <c r="AH900" s="114"/>
      <c r="AI900" s="114"/>
      <c r="AJ900" s="114"/>
      <c r="AK900" s="114"/>
      <c r="AL900" s="114"/>
      <c r="AM900" s="114"/>
      <c r="AN900" s="114"/>
      <c r="AO900" s="114"/>
      <c r="AP900" s="114"/>
    </row>
    <row r="901" spans="1:42" ht="15.75" customHeight="1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</row>
    <row r="902" spans="1:42" ht="15.75" customHeight="1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</row>
    <row r="903" spans="1:42" ht="15.75" customHeight="1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  <c r="AA903" s="114"/>
      <c r="AB903" s="114"/>
      <c r="AC903" s="114"/>
      <c r="AD903" s="114"/>
      <c r="AE903" s="114"/>
      <c r="AF903" s="114"/>
      <c r="AG903" s="114"/>
      <c r="AH903" s="114"/>
      <c r="AI903" s="114"/>
      <c r="AJ903" s="114"/>
      <c r="AK903" s="114"/>
      <c r="AL903" s="114"/>
      <c r="AM903" s="114"/>
      <c r="AN903" s="114"/>
      <c r="AO903" s="114"/>
      <c r="AP903" s="114"/>
    </row>
    <row r="904" spans="1:42" ht="15.75" customHeight="1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  <c r="AA904" s="114"/>
      <c r="AB904" s="114"/>
      <c r="AC904" s="114"/>
      <c r="AD904" s="114"/>
      <c r="AE904" s="114"/>
      <c r="AF904" s="114"/>
      <c r="AG904" s="114"/>
      <c r="AH904" s="114"/>
      <c r="AI904" s="114"/>
      <c r="AJ904" s="114"/>
      <c r="AK904" s="114"/>
      <c r="AL904" s="114"/>
      <c r="AM904" s="114"/>
      <c r="AN904" s="114"/>
      <c r="AO904" s="114"/>
      <c r="AP904" s="114"/>
    </row>
    <row r="905" spans="1:42" ht="15.75" customHeight="1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</row>
    <row r="906" spans="1:42" ht="15.75" customHeight="1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</row>
    <row r="907" spans="1:42" ht="15.75" customHeight="1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  <c r="AA907" s="114"/>
      <c r="AB907" s="114"/>
      <c r="AC907" s="114"/>
      <c r="AD907" s="114"/>
      <c r="AE907" s="114"/>
      <c r="AF907" s="114"/>
      <c r="AG907" s="114"/>
      <c r="AH907" s="114"/>
      <c r="AI907" s="114"/>
      <c r="AJ907" s="114"/>
      <c r="AK907" s="114"/>
      <c r="AL907" s="114"/>
      <c r="AM907" s="114"/>
      <c r="AN907" s="114"/>
      <c r="AO907" s="114"/>
      <c r="AP907" s="114"/>
    </row>
    <row r="908" spans="1:42" ht="15.75" customHeight="1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  <c r="AA908" s="114"/>
      <c r="AB908" s="114"/>
      <c r="AC908" s="114"/>
      <c r="AD908" s="114"/>
      <c r="AE908" s="114"/>
      <c r="AF908" s="114"/>
      <c r="AG908" s="114"/>
      <c r="AH908" s="114"/>
      <c r="AI908" s="114"/>
      <c r="AJ908" s="114"/>
      <c r="AK908" s="114"/>
      <c r="AL908" s="114"/>
      <c r="AM908" s="114"/>
      <c r="AN908" s="114"/>
      <c r="AO908" s="114"/>
      <c r="AP908" s="114"/>
    </row>
    <row r="909" spans="1:42" ht="15.75" customHeight="1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</row>
    <row r="910" spans="1:42" ht="15.75" customHeight="1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</row>
    <row r="911" spans="1:42" ht="15.75" customHeight="1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  <c r="AA911" s="114"/>
      <c r="AB911" s="114"/>
      <c r="AC911" s="114"/>
      <c r="AD911" s="114"/>
      <c r="AE911" s="114"/>
      <c r="AF911" s="114"/>
      <c r="AG911" s="114"/>
      <c r="AH911" s="114"/>
      <c r="AI911" s="114"/>
      <c r="AJ911" s="114"/>
      <c r="AK911" s="114"/>
      <c r="AL911" s="114"/>
      <c r="AM911" s="114"/>
      <c r="AN911" s="114"/>
      <c r="AO911" s="114"/>
      <c r="AP911" s="114"/>
    </row>
    <row r="912" spans="1:42" ht="15.75" customHeight="1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  <c r="AA912" s="114"/>
      <c r="AB912" s="114"/>
      <c r="AC912" s="114"/>
      <c r="AD912" s="114"/>
      <c r="AE912" s="114"/>
      <c r="AF912" s="114"/>
      <c r="AG912" s="114"/>
      <c r="AH912" s="114"/>
      <c r="AI912" s="114"/>
      <c r="AJ912" s="114"/>
      <c r="AK912" s="114"/>
      <c r="AL912" s="114"/>
      <c r="AM912" s="114"/>
      <c r="AN912" s="114"/>
      <c r="AO912" s="114"/>
      <c r="AP912" s="114"/>
    </row>
    <row r="913" spans="1:42" ht="15.75" customHeight="1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</row>
    <row r="914" spans="1:42" ht="15.75" customHeight="1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</row>
    <row r="915" spans="1:42" ht="15.75" customHeight="1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  <c r="AA915" s="114"/>
      <c r="AB915" s="114"/>
      <c r="AC915" s="114"/>
      <c r="AD915" s="114"/>
      <c r="AE915" s="114"/>
      <c r="AF915" s="114"/>
      <c r="AG915" s="114"/>
      <c r="AH915" s="114"/>
      <c r="AI915" s="114"/>
      <c r="AJ915" s="114"/>
      <c r="AK915" s="114"/>
      <c r="AL915" s="114"/>
      <c r="AM915" s="114"/>
      <c r="AN915" s="114"/>
      <c r="AO915" s="114"/>
      <c r="AP915" s="114"/>
    </row>
    <row r="916" spans="1:42" ht="15.75" customHeight="1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  <c r="AA916" s="114"/>
      <c r="AB916" s="114"/>
      <c r="AC916" s="114"/>
      <c r="AD916" s="114"/>
      <c r="AE916" s="114"/>
      <c r="AF916" s="114"/>
      <c r="AG916" s="114"/>
      <c r="AH916" s="114"/>
      <c r="AI916" s="114"/>
      <c r="AJ916" s="114"/>
      <c r="AK916" s="114"/>
      <c r="AL916" s="114"/>
      <c r="AM916" s="114"/>
      <c r="AN916" s="114"/>
      <c r="AO916" s="114"/>
      <c r="AP916" s="114"/>
    </row>
    <row r="917" spans="1:42" ht="15.75" customHeight="1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</row>
    <row r="918" spans="1:42" ht="15.75" customHeight="1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</row>
    <row r="919" spans="1:42" ht="15.75" customHeight="1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  <c r="AA919" s="114"/>
      <c r="AB919" s="114"/>
      <c r="AC919" s="114"/>
      <c r="AD919" s="114"/>
      <c r="AE919" s="114"/>
      <c r="AF919" s="114"/>
      <c r="AG919" s="114"/>
      <c r="AH919" s="114"/>
      <c r="AI919" s="114"/>
      <c r="AJ919" s="114"/>
      <c r="AK919" s="114"/>
      <c r="AL919" s="114"/>
      <c r="AM919" s="114"/>
      <c r="AN919" s="114"/>
      <c r="AO919" s="114"/>
      <c r="AP919" s="114"/>
    </row>
    <row r="920" spans="1:42" ht="15.75" customHeight="1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  <c r="AA920" s="114"/>
      <c r="AB920" s="114"/>
      <c r="AC920" s="114"/>
      <c r="AD920" s="114"/>
      <c r="AE920" s="114"/>
      <c r="AF920" s="114"/>
      <c r="AG920" s="114"/>
      <c r="AH920" s="114"/>
      <c r="AI920" s="114"/>
      <c r="AJ920" s="114"/>
      <c r="AK920" s="114"/>
      <c r="AL920" s="114"/>
      <c r="AM920" s="114"/>
      <c r="AN920" s="114"/>
      <c r="AO920" s="114"/>
      <c r="AP920" s="114"/>
    </row>
    <row r="921" spans="1:42" ht="15.75" customHeight="1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</row>
    <row r="922" spans="1:42" ht="15.75" customHeight="1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</row>
    <row r="923" spans="1:42" ht="15.75" customHeight="1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  <c r="AA923" s="114"/>
      <c r="AB923" s="114"/>
      <c r="AC923" s="114"/>
      <c r="AD923" s="114"/>
      <c r="AE923" s="114"/>
      <c r="AF923" s="114"/>
      <c r="AG923" s="114"/>
      <c r="AH923" s="114"/>
      <c r="AI923" s="114"/>
      <c r="AJ923" s="114"/>
      <c r="AK923" s="114"/>
      <c r="AL923" s="114"/>
      <c r="AM923" s="114"/>
      <c r="AN923" s="114"/>
      <c r="AO923" s="114"/>
      <c r="AP923" s="114"/>
    </row>
    <row r="924" spans="1:42" ht="15.75" customHeight="1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  <c r="AA924" s="114"/>
      <c r="AB924" s="114"/>
      <c r="AC924" s="114"/>
      <c r="AD924" s="114"/>
      <c r="AE924" s="114"/>
      <c r="AF924" s="114"/>
      <c r="AG924" s="114"/>
      <c r="AH924" s="114"/>
      <c r="AI924" s="114"/>
      <c r="AJ924" s="114"/>
      <c r="AK924" s="114"/>
      <c r="AL924" s="114"/>
      <c r="AM924" s="114"/>
      <c r="AN924" s="114"/>
      <c r="AO924" s="114"/>
      <c r="AP924" s="114"/>
    </row>
    <row r="925" spans="1:42" ht="15.75" customHeight="1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</row>
    <row r="926" spans="1:42" ht="15.75" customHeight="1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</row>
    <row r="927" spans="1:42" ht="15.75" customHeight="1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  <c r="AA927" s="114"/>
      <c r="AB927" s="114"/>
      <c r="AC927" s="114"/>
      <c r="AD927" s="114"/>
      <c r="AE927" s="114"/>
      <c r="AF927" s="114"/>
      <c r="AG927" s="114"/>
      <c r="AH927" s="114"/>
      <c r="AI927" s="114"/>
      <c r="AJ927" s="114"/>
      <c r="AK927" s="114"/>
      <c r="AL927" s="114"/>
      <c r="AM927" s="114"/>
      <c r="AN927" s="114"/>
      <c r="AO927" s="114"/>
      <c r="AP927" s="114"/>
    </row>
    <row r="928" spans="1:42" ht="15.75" customHeight="1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  <c r="AA928" s="114"/>
      <c r="AB928" s="114"/>
      <c r="AC928" s="114"/>
      <c r="AD928" s="114"/>
      <c r="AE928" s="114"/>
      <c r="AF928" s="114"/>
      <c r="AG928" s="114"/>
      <c r="AH928" s="114"/>
      <c r="AI928" s="114"/>
      <c r="AJ928" s="114"/>
      <c r="AK928" s="114"/>
      <c r="AL928" s="114"/>
      <c r="AM928" s="114"/>
      <c r="AN928" s="114"/>
      <c r="AO928" s="114"/>
      <c r="AP928" s="114"/>
    </row>
    <row r="929" spans="1:42" ht="15.75" customHeight="1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</row>
    <row r="930" spans="1:42" ht="15.75" customHeight="1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</row>
    <row r="931" spans="1:42" ht="15.75" customHeight="1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  <c r="AA931" s="114"/>
      <c r="AB931" s="114"/>
      <c r="AC931" s="114"/>
      <c r="AD931" s="114"/>
      <c r="AE931" s="114"/>
      <c r="AF931" s="114"/>
      <c r="AG931" s="114"/>
      <c r="AH931" s="114"/>
      <c r="AI931" s="114"/>
      <c r="AJ931" s="114"/>
      <c r="AK931" s="114"/>
      <c r="AL931" s="114"/>
      <c r="AM931" s="114"/>
      <c r="AN931" s="114"/>
      <c r="AO931" s="114"/>
      <c r="AP931" s="114"/>
    </row>
    <row r="932" spans="1:42" ht="15.75" customHeight="1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  <c r="AA932" s="114"/>
      <c r="AB932" s="114"/>
      <c r="AC932" s="114"/>
      <c r="AD932" s="114"/>
      <c r="AE932" s="114"/>
      <c r="AF932" s="114"/>
      <c r="AG932" s="114"/>
      <c r="AH932" s="114"/>
      <c r="AI932" s="114"/>
      <c r="AJ932" s="114"/>
      <c r="AK932" s="114"/>
      <c r="AL932" s="114"/>
      <c r="AM932" s="114"/>
      <c r="AN932" s="114"/>
      <c r="AO932" s="114"/>
      <c r="AP932" s="114"/>
    </row>
    <row r="933" spans="1:42" ht="15.75" customHeight="1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</row>
    <row r="934" spans="1:42" ht="15.75" customHeight="1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</row>
    <row r="935" spans="1:42" ht="15.75" customHeight="1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  <c r="AA935" s="114"/>
      <c r="AB935" s="114"/>
      <c r="AC935" s="114"/>
      <c r="AD935" s="114"/>
      <c r="AE935" s="114"/>
      <c r="AF935" s="114"/>
      <c r="AG935" s="114"/>
      <c r="AH935" s="114"/>
      <c r="AI935" s="114"/>
      <c r="AJ935" s="114"/>
      <c r="AK935" s="114"/>
      <c r="AL935" s="114"/>
      <c r="AM935" s="114"/>
      <c r="AN935" s="114"/>
      <c r="AO935" s="114"/>
      <c r="AP935" s="114"/>
    </row>
    <row r="936" spans="1:42" ht="15.75" customHeight="1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  <c r="AA936" s="114"/>
      <c r="AB936" s="114"/>
      <c r="AC936" s="114"/>
      <c r="AD936" s="114"/>
      <c r="AE936" s="114"/>
      <c r="AF936" s="114"/>
      <c r="AG936" s="114"/>
      <c r="AH936" s="114"/>
      <c r="AI936" s="114"/>
      <c r="AJ936" s="114"/>
      <c r="AK936" s="114"/>
      <c r="AL936" s="114"/>
      <c r="AM936" s="114"/>
      <c r="AN936" s="114"/>
      <c r="AO936" s="114"/>
      <c r="AP936" s="114"/>
    </row>
    <row r="937" spans="1:42" ht="15.75" customHeight="1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  <c r="AA937" s="114"/>
      <c r="AB937" s="114"/>
      <c r="AC937" s="114"/>
      <c r="AD937" s="114"/>
      <c r="AE937" s="114"/>
      <c r="AF937" s="114"/>
      <c r="AG937" s="114"/>
      <c r="AH937" s="114"/>
      <c r="AI937" s="114"/>
      <c r="AJ937" s="114"/>
      <c r="AK937" s="114"/>
      <c r="AL937" s="114"/>
      <c r="AM937" s="114"/>
      <c r="AN937" s="114"/>
      <c r="AO937" s="114"/>
      <c r="AP937" s="114"/>
    </row>
    <row r="938" spans="1:42" ht="15.75" customHeight="1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  <c r="AA938" s="114"/>
      <c r="AB938" s="114"/>
      <c r="AC938" s="114"/>
      <c r="AD938" s="114"/>
      <c r="AE938" s="114"/>
      <c r="AF938" s="114"/>
      <c r="AG938" s="114"/>
      <c r="AH938" s="114"/>
      <c r="AI938" s="114"/>
      <c r="AJ938" s="114"/>
      <c r="AK938" s="114"/>
      <c r="AL938" s="114"/>
      <c r="AM938" s="114"/>
      <c r="AN938" s="114"/>
      <c r="AO938" s="114"/>
      <c r="AP938" s="114"/>
    </row>
    <row r="939" spans="1:42" ht="15.75" customHeight="1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  <c r="AA939" s="114"/>
      <c r="AB939" s="114"/>
      <c r="AC939" s="114"/>
      <c r="AD939" s="114"/>
      <c r="AE939" s="114"/>
      <c r="AF939" s="114"/>
      <c r="AG939" s="114"/>
      <c r="AH939" s="114"/>
      <c r="AI939" s="114"/>
      <c r="AJ939" s="114"/>
      <c r="AK939" s="114"/>
      <c r="AL939" s="114"/>
      <c r="AM939" s="114"/>
      <c r="AN939" s="114"/>
      <c r="AO939" s="114"/>
      <c r="AP939" s="114"/>
    </row>
    <row r="940" spans="1:42" ht="15.75" customHeight="1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  <c r="AA940" s="114"/>
      <c r="AB940" s="114"/>
      <c r="AC940" s="114"/>
      <c r="AD940" s="114"/>
      <c r="AE940" s="114"/>
      <c r="AF940" s="114"/>
      <c r="AG940" s="114"/>
      <c r="AH940" s="114"/>
      <c r="AI940" s="114"/>
      <c r="AJ940" s="114"/>
      <c r="AK940" s="114"/>
      <c r="AL940" s="114"/>
      <c r="AM940" s="114"/>
      <c r="AN940" s="114"/>
      <c r="AO940" s="114"/>
      <c r="AP940" s="114"/>
    </row>
    <row r="941" spans="1:42" ht="15.75" customHeight="1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  <c r="AA941" s="114"/>
      <c r="AB941" s="114"/>
      <c r="AC941" s="114"/>
      <c r="AD941" s="114"/>
      <c r="AE941" s="114"/>
      <c r="AF941" s="114"/>
      <c r="AG941" s="114"/>
      <c r="AH941" s="114"/>
      <c r="AI941" s="114"/>
      <c r="AJ941" s="114"/>
      <c r="AK941" s="114"/>
      <c r="AL941" s="114"/>
      <c r="AM941" s="114"/>
      <c r="AN941" s="114"/>
      <c r="AO941" s="114"/>
      <c r="AP941" s="114"/>
    </row>
    <row r="942" spans="1:42" ht="15.75" customHeight="1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  <c r="AA942" s="114"/>
      <c r="AB942" s="114"/>
      <c r="AC942" s="114"/>
      <c r="AD942" s="114"/>
      <c r="AE942" s="114"/>
      <c r="AF942" s="114"/>
      <c r="AG942" s="114"/>
      <c r="AH942" s="114"/>
      <c r="AI942" s="114"/>
      <c r="AJ942" s="114"/>
      <c r="AK942" s="114"/>
      <c r="AL942" s="114"/>
      <c r="AM942" s="114"/>
      <c r="AN942" s="114"/>
      <c r="AO942" s="114"/>
      <c r="AP942" s="114"/>
    </row>
    <row r="943" spans="1:42" ht="15.75" customHeight="1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  <c r="AA943" s="114"/>
      <c r="AB943" s="114"/>
      <c r="AC943" s="114"/>
      <c r="AD943" s="114"/>
      <c r="AE943" s="114"/>
      <c r="AF943" s="114"/>
      <c r="AG943" s="114"/>
      <c r="AH943" s="114"/>
      <c r="AI943" s="114"/>
      <c r="AJ943" s="114"/>
      <c r="AK943" s="114"/>
      <c r="AL943" s="114"/>
      <c r="AM943" s="114"/>
      <c r="AN943" s="114"/>
      <c r="AO943" s="114"/>
      <c r="AP943" s="114"/>
    </row>
    <row r="944" spans="1:42" ht="15.75" customHeight="1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  <c r="AA944" s="114"/>
      <c r="AB944" s="114"/>
      <c r="AC944" s="114"/>
      <c r="AD944" s="114"/>
      <c r="AE944" s="114"/>
      <c r="AF944" s="114"/>
      <c r="AG944" s="114"/>
      <c r="AH944" s="114"/>
      <c r="AI944" s="114"/>
      <c r="AJ944" s="114"/>
      <c r="AK944" s="114"/>
      <c r="AL944" s="114"/>
      <c r="AM944" s="114"/>
      <c r="AN944" s="114"/>
      <c r="AO944" s="114"/>
      <c r="AP944" s="114"/>
    </row>
    <row r="945" spans="1:42" ht="15.75" customHeight="1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  <c r="AA945" s="114"/>
      <c r="AB945" s="114"/>
      <c r="AC945" s="114"/>
      <c r="AD945" s="114"/>
      <c r="AE945" s="114"/>
      <c r="AF945" s="114"/>
      <c r="AG945" s="114"/>
      <c r="AH945" s="114"/>
      <c r="AI945" s="114"/>
      <c r="AJ945" s="114"/>
      <c r="AK945" s="114"/>
      <c r="AL945" s="114"/>
      <c r="AM945" s="114"/>
      <c r="AN945" s="114"/>
      <c r="AO945" s="114"/>
      <c r="AP945" s="114"/>
    </row>
    <row r="946" spans="1:42" ht="15.75" customHeight="1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  <c r="AA946" s="114"/>
      <c r="AB946" s="114"/>
      <c r="AC946" s="114"/>
      <c r="AD946" s="114"/>
      <c r="AE946" s="114"/>
      <c r="AF946" s="114"/>
      <c r="AG946" s="114"/>
      <c r="AH946" s="114"/>
      <c r="AI946" s="114"/>
      <c r="AJ946" s="114"/>
      <c r="AK946" s="114"/>
      <c r="AL946" s="114"/>
      <c r="AM946" s="114"/>
      <c r="AN946" s="114"/>
      <c r="AO946" s="114"/>
      <c r="AP946" s="114"/>
    </row>
    <row r="947" spans="1:42" ht="15.75" customHeight="1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  <c r="AA947" s="114"/>
      <c r="AB947" s="114"/>
      <c r="AC947" s="114"/>
      <c r="AD947" s="114"/>
      <c r="AE947" s="114"/>
      <c r="AF947" s="114"/>
      <c r="AG947" s="114"/>
      <c r="AH947" s="114"/>
      <c r="AI947" s="114"/>
      <c r="AJ947" s="114"/>
      <c r="AK947" s="114"/>
      <c r="AL947" s="114"/>
      <c r="AM947" s="114"/>
      <c r="AN947" s="114"/>
      <c r="AO947" s="114"/>
      <c r="AP947" s="114"/>
    </row>
    <row r="948" spans="1:42" ht="15.75" customHeight="1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  <c r="AA948" s="114"/>
      <c r="AB948" s="114"/>
      <c r="AC948" s="114"/>
      <c r="AD948" s="114"/>
      <c r="AE948" s="114"/>
      <c r="AF948" s="114"/>
      <c r="AG948" s="114"/>
      <c r="AH948" s="114"/>
      <c r="AI948" s="114"/>
      <c r="AJ948" s="114"/>
      <c r="AK948" s="114"/>
      <c r="AL948" s="114"/>
      <c r="AM948" s="114"/>
      <c r="AN948" s="114"/>
      <c r="AO948" s="114"/>
      <c r="AP948" s="114"/>
    </row>
    <row r="949" spans="1:42" ht="15.75" customHeight="1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  <c r="AA949" s="114"/>
      <c r="AB949" s="114"/>
      <c r="AC949" s="114"/>
      <c r="AD949" s="114"/>
      <c r="AE949" s="114"/>
      <c r="AF949" s="114"/>
      <c r="AG949" s="114"/>
      <c r="AH949" s="114"/>
      <c r="AI949" s="114"/>
      <c r="AJ949" s="114"/>
      <c r="AK949" s="114"/>
      <c r="AL949" s="114"/>
      <c r="AM949" s="114"/>
      <c r="AN949" s="114"/>
      <c r="AO949" s="114"/>
      <c r="AP949" s="114"/>
    </row>
    <row r="950" spans="1:42" ht="15.75" customHeight="1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  <c r="AA950" s="114"/>
      <c r="AB950" s="114"/>
      <c r="AC950" s="114"/>
      <c r="AD950" s="114"/>
      <c r="AE950" s="114"/>
      <c r="AF950" s="114"/>
      <c r="AG950" s="114"/>
      <c r="AH950" s="114"/>
      <c r="AI950" s="114"/>
      <c r="AJ950" s="114"/>
      <c r="AK950" s="114"/>
      <c r="AL950" s="114"/>
      <c r="AM950" s="114"/>
      <c r="AN950" s="114"/>
      <c r="AO950" s="114"/>
      <c r="AP950" s="114"/>
    </row>
    <row r="951" spans="1:42" ht="15.75" customHeight="1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  <c r="AA951" s="114"/>
      <c r="AB951" s="114"/>
      <c r="AC951" s="114"/>
      <c r="AD951" s="114"/>
      <c r="AE951" s="114"/>
      <c r="AF951" s="114"/>
      <c r="AG951" s="114"/>
      <c r="AH951" s="114"/>
      <c r="AI951" s="114"/>
      <c r="AJ951" s="114"/>
      <c r="AK951" s="114"/>
      <c r="AL951" s="114"/>
      <c r="AM951" s="114"/>
      <c r="AN951" s="114"/>
      <c r="AO951" s="114"/>
      <c r="AP951" s="114"/>
    </row>
    <row r="952" spans="1:42" ht="15.75" customHeight="1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  <c r="AA952" s="114"/>
      <c r="AB952" s="114"/>
      <c r="AC952" s="114"/>
      <c r="AD952" s="114"/>
      <c r="AE952" s="114"/>
      <c r="AF952" s="114"/>
      <c r="AG952" s="114"/>
      <c r="AH952" s="114"/>
      <c r="AI952" s="114"/>
      <c r="AJ952" s="114"/>
      <c r="AK952" s="114"/>
      <c r="AL952" s="114"/>
      <c r="AM952" s="114"/>
      <c r="AN952" s="114"/>
      <c r="AO952" s="114"/>
      <c r="AP952" s="114"/>
    </row>
    <row r="953" spans="1:42" ht="15.75" customHeight="1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  <c r="AA953" s="114"/>
      <c r="AB953" s="114"/>
      <c r="AC953" s="114"/>
      <c r="AD953" s="114"/>
      <c r="AE953" s="114"/>
      <c r="AF953" s="114"/>
      <c r="AG953" s="114"/>
      <c r="AH953" s="114"/>
      <c r="AI953" s="114"/>
      <c r="AJ953" s="114"/>
      <c r="AK953" s="114"/>
      <c r="AL953" s="114"/>
      <c r="AM953" s="114"/>
      <c r="AN953" s="114"/>
      <c r="AO953" s="114"/>
      <c r="AP953" s="114"/>
    </row>
    <row r="954" spans="1:42" ht="15.75" customHeight="1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  <c r="AA954" s="114"/>
      <c r="AB954" s="114"/>
      <c r="AC954" s="114"/>
      <c r="AD954" s="114"/>
      <c r="AE954" s="114"/>
      <c r="AF954" s="114"/>
      <c r="AG954" s="114"/>
      <c r="AH954" s="114"/>
      <c r="AI954" s="114"/>
      <c r="AJ954" s="114"/>
      <c r="AK954" s="114"/>
      <c r="AL954" s="114"/>
      <c r="AM954" s="114"/>
      <c r="AN954" s="114"/>
      <c r="AO954" s="114"/>
      <c r="AP954" s="114"/>
    </row>
    <row r="955" spans="1:42" ht="15.75" customHeight="1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  <c r="AA955" s="114"/>
      <c r="AB955" s="114"/>
      <c r="AC955" s="114"/>
      <c r="AD955" s="114"/>
      <c r="AE955" s="114"/>
      <c r="AF955" s="114"/>
      <c r="AG955" s="114"/>
      <c r="AH955" s="114"/>
      <c r="AI955" s="114"/>
      <c r="AJ955" s="114"/>
      <c r="AK955" s="114"/>
      <c r="AL955" s="114"/>
      <c r="AM955" s="114"/>
      <c r="AN955" s="114"/>
      <c r="AO955" s="114"/>
      <c r="AP955" s="114"/>
    </row>
    <row r="956" spans="1:42" ht="15.75" customHeight="1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  <c r="AA956" s="114"/>
      <c r="AB956" s="114"/>
      <c r="AC956" s="114"/>
      <c r="AD956" s="114"/>
      <c r="AE956" s="114"/>
      <c r="AF956" s="114"/>
      <c r="AG956" s="114"/>
      <c r="AH956" s="114"/>
      <c r="AI956" s="114"/>
      <c r="AJ956" s="114"/>
      <c r="AK956" s="114"/>
      <c r="AL956" s="114"/>
      <c r="AM956" s="114"/>
      <c r="AN956" s="114"/>
      <c r="AO956" s="114"/>
      <c r="AP956" s="114"/>
    </row>
    <row r="957" spans="1:42" ht="15.75" customHeight="1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  <c r="AA957" s="114"/>
      <c r="AB957" s="114"/>
      <c r="AC957" s="114"/>
      <c r="AD957" s="114"/>
      <c r="AE957" s="114"/>
      <c r="AF957" s="114"/>
      <c r="AG957" s="114"/>
      <c r="AH957" s="114"/>
      <c r="AI957" s="114"/>
      <c r="AJ957" s="114"/>
      <c r="AK957" s="114"/>
      <c r="AL957" s="114"/>
      <c r="AM957" s="114"/>
      <c r="AN957" s="114"/>
      <c r="AO957" s="114"/>
      <c r="AP957" s="114"/>
    </row>
    <row r="958" spans="1:42" ht="15.75" customHeight="1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  <c r="AA958" s="114"/>
      <c r="AB958" s="114"/>
      <c r="AC958" s="114"/>
      <c r="AD958" s="114"/>
      <c r="AE958" s="114"/>
      <c r="AF958" s="114"/>
      <c r="AG958" s="114"/>
      <c r="AH958" s="114"/>
      <c r="AI958" s="114"/>
      <c r="AJ958" s="114"/>
      <c r="AK958" s="114"/>
      <c r="AL958" s="114"/>
      <c r="AM958" s="114"/>
      <c r="AN958" s="114"/>
      <c r="AO958" s="114"/>
      <c r="AP958" s="114"/>
    </row>
    <row r="959" spans="1:42" ht="15.75" customHeight="1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  <c r="AA959" s="114"/>
      <c r="AB959" s="114"/>
      <c r="AC959" s="114"/>
      <c r="AD959" s="114"/>
      <c r="AE959" s="114"/>
      <c r="AF959" s="114"/>
      <c r="AG959" s="114"/>
      <c r="AH959" s="114"/>
      <c r="AI959" s="114"/>
      <c r="AJ959" s="114"/>
      <c r="AK959" s="114"/>
      <c r="AL959" s="114"/>
      <c r="AM959" s="114"/>
      <c r="AN959" s="114"/>
      <c r="AO959" s="114"/>
      <c r="AP959" s="114"/>
    </row>
    <row r="960" spans="1:42" ht="15.75" customHeight="1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  <c r="AA960" s="114"/>
      <c r="AB960" s="114"/>
      <c r="AC960" s="114"/>
      <c r="AD960" s="114"/>
      <c r="AE960" s="114"/>
      <c r="AF960" s="114"/>
      <c r="AG960" s="114"/>
      <c r="AH960" s="114"/>
      <c r="AI960" s="114"/>
      <c r="AJ960" s="114"/>
      <c r="AK960" s="114"/>
      <c r="AL960" s="114"/>
      <c r="AM960" s="114"/>
      <c r="AN960" s="114"/>
      <c r="AO960" s="114"/>
      <c r="AP960" s="114"/>
    </row>
    <row r="961" spans="1:42" ht="15.75" customHeight="1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  <c r="AA961" s="114"/>
      <c r="AB961" s="114"/>
      <c r="AC961" s="114"/>
      <c r="AD961" s="114"/>
      <c r="AE961" s="114"/>
      <c r="AF961" s="114"/>
      <c r="AG961" s="114"/>
      <c r="AH961" s="114"/>
      <c r="AI961" s="114"/>
      <c r="AJ961" s="114"/>
      <c r="AK961" s="114"/>
      <c r="AL961" s="114"/>
      <c r="AM961" s="114"/>
      <c r="AN961" s="114"/>
      <c r="AO961" s="114"/>
      <c r="AP961" s="114"/>
    </row>
    <row r="962" spans="1:42" ht="15.75" customHeight="1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  <c r="AA962" s="114"/>
      <c r="AB962" s="114"/>
      <c r="AC962" s="114"/>
      <c r="AD962" s="114"/>
      <c r="AE962" s="114"/>
      <c r="AF962" s="114"/>
      <c r="AG962" s="114"/>
      <c r="AH962" s="114"/>
      <c r="AI962" s="114"/>
      <c r="AJ962" s="114"/>
      <c r="AK962" s="114"/>
      <c r="AL962" s="114"/>
      <c r="AM962" s="114"/>
      <c r="AN962" s="114"/>
      <c r="AO962" s="114"/>
      <c r="AP962" s="114"/>
    </row>
    <row r="963" spans="1:42" ht="15.75" customHeight="1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  <c r="AA963" s="114"/>
      <c r="AB963" s="114"/>
      <c r="AC963" s="114"/>
      <c r="AD963" s="114"/>
      <c r="AE963" s="114"/>
      <c r="AF963" s="114"/>
      <c r="AG963" s="114"/>
      <c r="AH963" s="114"/>
      <c r="AI963" s="114"/>
      <c r="AJ963" s="114"/>
      <c r="AK963" s="114"/>
      <c r="AL963" s="114"/>
      <c r="AM963" s="114"/>
      <c r="AN963" s="114"/>
      <c r="AO963" s="114"/>
      <c r="AP963" s="114"/>
    </row>
    <row r="964" spans="1:42" ht="15.75" customHeight="1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  <c r="AA964" s="114"/>
      <c r="AB964" s="114"/>
      <c r="AC964" s="114"/>
      <c r="AD964" s="114"/>
      <c r="AE964" s="114"/>
      <c r="AF964" s="114"/>
      <c r="AG964" s="114"/>
      <c r="AH964" s="114"/>
      <c r="AI964" s="114"/>
      <c r="AJ964" s="114"/>
      <c r="AK964" s="114"/>
      <c r="AL964" s="114"/>
      <c r="AM964" s="114"/>
      <c r="AN964" s="114"/>
      <c r="AO964" s="114"/>
      <c r="AP964" s="114"/>
    </row>
    <row r="965" spans="1:42" ht="15.75" customHeight="1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  <c r="AA965" s="114"/>
      <c r="AB965" s="114"/>
      <c r="AC965" s="114"/>
      <c r="AD965" s="114"/>
      <c r="AE965" s="114"/>
      <c r="AF965" s="114"/>
      <c r="AG965" s="114"/>
      <c r="AH965" s="114"/>
      <c r="AI965" s="114"/>
      <c r="AJ965" s="114"/>
      <c r="AK965" s="114"/>
      <c r="AL965" s="114"/>
      <c r="AM965" s="114"/>
      <c r="AN965" s="114"/>
      <c r="AO965" s="114"/>
      <c r="AP965" s="114"/>
    </row>
    <row r="966" spans="1:42" ht="15.75" customHeight="1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  <c r="AA966" s="114"/>
      <c r="AB966" s="114"/>
      <c r="AC966" s="114"/>
      <c r="AD966" s="114"/>
      <c r="AE966" s="114"/>
      <c r="AF966" s="114"/>
      <c r="AG966" s="114"/>
      <c r="AH966" s="114"/>
      <c r="AI966" s="114"/>
      <c r="AJ966" s="114"/>
      <c r="AK966" s="114"/>
      <c r="AL966" s="114"/>
      <c r="AM966" s="114"/>
      <c r="AN966" s="114"/>
      <c r="AO966" s="114"/>
      <c r="AP966" s="114"/>
    </row>
    <row r="967" spans="1:42" ht="15.75" customHeight="1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  <c r="AA967" s="114"/>
      <c r="AB967" s="114"/>
      <c r="AC967" s="114"/>
      <c r="AD967" s="114"/>
      <c r="AE967" s="114"/>
      <c r="AF967" s="114"/>
      <c r="AG967" s="114"/>
      <c r="AH967" s="114"/>
      <c r="AI967" s="114"/>
      <c r="AJ967" s="114"/>
      <c r="AK967" s="114"/>
      <c r="AL967" s="114"/>
      <c r="AM967" s="114"/>
      <c r="AN967" s="114"/>
      <c r="AO967" s="114"/>
      <c r="AP967" s="114"/>
    </row>
    <row r="968" spans="1:42" ht="15.75" customHeight="1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  <c r="AA968" s="114"/>
      <c r="AB968" s="114"/>
      <c r="AC968" s="114"/>
      <c r="AD968" s="114"/>
      <c r="AE968" s="114"/>
      <c r="AF968" s="114"/>
      <c r="AG968" s="114"/>
      <c r="AH968" s="114"/>
      <c r="AI968" s="114"/>
      <c r="AJ968" s="114"/>
      <c r="AK968" s="114"/>
      <c r="AL968" s="114"/>
      <c r="AM968" s="114"/>
      <c r="AN968" s="114"/>
      <c r="AO968" s="114"/>
      <c r="AP968" s="114"/>
    </row>
    <row r="969" spans="1:42" ht="15.75" customHeight="1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  <c r="AA969" s="114"/>
      <c r="AB969" s="114"/>
      <c r="AC969" s="114"/>
      <c r="AD969" s="114"/>
      <c r="AE969" s="114"/>
      <c r="AF969" s="114"/>
      <c r="AG969" s="114"/>
      <c r="AH969" s="114"/>
      <c r="AI969" s="114"/>
      <c r="AJ969" s="114"/>
      <c r="AK969" s="114"/>
      <c r="AL969" s="114"/>
      <c r="AM969" s="114"/>
      <c r="AN969" s="114"/>
      <c r="AO969" s="114"/>
      <c r="AP969" s="114"/>
    </row>
    <row r="970" spans="1:42" ht="15.75" customHeight="1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  <c r="AA970" s="114"/>
      <c r="AB970" s="114"/>
      <c r="AC970" s="114"/>
      <c r="AD970" s="114"/>
      <c r="AE970" s="114"/>
      <c r="AF970" s="114"/>
      <c r="AG970" s="114"/>
      <c r="AH970" s="114"/>
      <c r="AI970" s="114"/>
      <c r="AJ970" s="114"/>
      <c r="AK970" s="114"/>
      <c r="AL970" s="114"/>
      <c r="AM970" s="114"/>
      <c r="AN970" s="114"/>
      <c r="AO970" s="114"/>
      <c r="AP970" s="114"/>
    </row>
    <row r="971" spans="1:42" ht="15.75" customHeight="1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  <c r="AA971" s="114"/>
      <c r="AB971" s="114"/>
      <c r="AC971" s="114"/>
      <c r="AD971" s="114"/>
      <c r="AE971" s="114"/>
      <c r="AF971" s="114"/>
      <c r="AG971" s="114"/>
      <c r="AH971" s="114"/>
      <c r="AI971" s="114"/>
      <c r="AJ971" s="114"/>
      <c r="AK971" s="114"/>
      <c r="AL971" s="114"/>
      <c r="AM971" s="114"/>
      <c r="AN971" s="114"/>
      <c r="AO971" s="114"/>
      <c r="AP971" s="114"/>
    </row>
    <row r="972" spans="1:42" ht="15.75" customHeight="1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  <c r="AA972" s="114"/>
      <c r="AB972" s="114"/>
      <c r="AC972" s="114"/>
      <c r="AD972" s="114"/>
      <c r="AE972" s="114"/>
      <c r="AF972" s="114"/>
      <c r="AG972" s="114"/>
      <c r="AH972" s="114"/>
      <c r="AI972" s="114"/>
      <c r="AJ972" s="114"/>
      <c r="AK972" s="114"/>
      <c r="AL972" s="114"/>
      <c r="AM972" s="114"/>
      <c r="AN972" s="114"/>
      <c r="AO972" s="114"/>
      <c r="AP972" s="114"/>
    </row>
    <row r="973" spans="1:42" ht="15.75" customHeight="1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  <c r="AA973" s="114"/>
      <c r="AB973" s="114"/>
      <c r="AC973" s="114"/>
      <c r="AD973" s="114"/>
      <c r="AE973" s="114"/>
      <c r="AF973" s="114"/>
      <c r="AG973" s="114"/>
      <c r="AH973" s="114"/>
      <c r="AI973" s="114"/>
      <c r="AJ973" s="114"/>
      <c r="AK973" s="114"/>
      <c r="AL973" s="114"/>
      <c r="AM973" s="114"/>
      <c r="AN973" s="114"/>
      <c r="AO973" s="114"/>
      <c r="AP973" s="114"/>
    </row>
    <row r="974" spans="1:42" ht="15.75" customHeight="1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  <c r="AA974" s="114"/>
      <c r="AB974" s="114"/>
      <c r="AC974" s="114"/>
      <c r="AD974" s="114"/>
      <c r="AE974" s="114"/>
      <c r="AF974" s="114"/>
      <c r="AG974" s="114"/>
      <c r="AH974" s="114"/>
      <c r="AI974" s="114"/>
      <c r="AJ974" s="114"/>
      <c r="AK974" s="114"/>
      <c r="AL974" s="114"/>
      <c r="AM974" s="114"/>
      <c r="AN974" s="114"/>
      <c r="AO974" s="114"/>
      <c r="AP974" s="114"/>
    </row>
    <row r="975" spans="1:42" ht="15.75" customHeight="1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  <c r="AA975" s="114"/>
      <c r="AB975" s="114"/>
      <c r="AC975" s="114"/>
      <c r="AD975" s="114"/>
      <c r="AE975" s="114"/>
      <c r="AF975" s="114"/>
      <c r="AG975" s="114"/>
      <c r="AH975" s="114"/>
      <c r="AI975" s="114"/>
      <c r="AJ975" s="114"/>
      <c r="AK975" s="114"/>
      <c r="AL975" s="114"/>
      <c r="AM975" s="114"/>
      <c r="AN975" s="114"/>
      <c r="AO975" s="114"/>
      <c r="AP975" s="114"/>
    </row>
    <row r="976" spans="1:42" ht="15.75" customHeight="1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  <c r="AA976" s="114"/>
      <c r="AB976" s="114"/>
      <c r="AC976" s="114"/>
      <c r="AD976" s="114"/>
      <c r="AE976" s="114"/>
      <c r="AF976" s="114"/>
      <c r="AG976" s="114"/>
      <c r="AH976" s="114"/>
      <c r="AI976" s="114"/>
      <c r="AJ976" s="114"/>
      <c r="AK976" s="114"/>
      <c r="AL976" s="114"/>
      <c r="AM976" s="114"/>
      <c r="AN976" s="114"/>
      <c r="AO976" s="114"/>
      <c r="AP976" s="114"/>
    </row>
    <row r="977" spans="1:42" ht="15.75" customHeight="1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  <c r="AA977" s="114"/>
      <c r="AB977" s="114"/>
      <c r="AC977" s="114"/>
      <c r="AD977" s="114"/>
      <c r="AE977" s="114"/>
      <c r="AF977" s="114"/>
      <c r="AG977" s="114"/>
      <c r="AH977" s="114"/>
      <c r="AI977" s="114"/>
      <c r="AJ977" s="114"/>
      <c r="AK977" s="114"/>
      <c r="AL977" s="114"/>
      <c r="AM977" s="114"/>
      <c r="AN977" s="114"/>
      <c r="AO977" s="114"/>
      <c r="AP977" s="114"/>
    </row>
    <row r="978" spans="1:42" ht="15.75" customHeight="1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  <c r="AA978" s="114"/>
      <c r="AB978" s="114"/>
      <c r="AC978" s="114"/>
      <c r="AD978" s="114"/>
      <c r="AE978" s="114"/>
      <c r="AF978" s="114"/>
      <c r="AG978" s="114"/>
      <c r="AH978" s="114"/>
      <c r="AI978" s="114"/>
      <c r="AJ978" s="114"/>
      <c r="AK978" s="114"/>
      <c r="AL978" s="114"/>
      <c r="AM978" s="114"/>
      <c r="AN978" s="114"/>
      <c r="AO978" s="114"/>
      <c r="AP978" s="114"/>
    </row>
    <row r="979" spans="1:42" ht="15.75" customHeight="1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  <c r="AA979" s="114"/>
      <c r="AB979" s="114"/>
      <c r="AC979" s="114"/>
      <c r="AD979" s="114"/>
      <c r="AE979" s="114"/>
      <c r="AF979" s="114"/>
      <c r="AG979" s="114"/>
      <c r="AH979" s="114"/>
      <c r="AI979" s="114"/>
      <c r="AJ979" s="114"/>
      <c r="AK979" s="114"/>
      <c r="AL979" s="114"/>
      <c r="AM979" s="114"/>
      <c r="AN979" s="114"/>
      <c r="AO979" s="114"/>
      <c r="AP979" s="114"/>
    </row>
    <row r="980" spans="1:42" ht="15.75" customHeight="1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  <c r="AA980" s="114"/>
      <c r="AB980" s="114"/>
      <c r="AC980" s="114"/>
      <c r="AD980" s="114"/>
      <c r="AE980" s="114"/>
      <c r="AF980" s="114"/>
      <c r="AG980" s="114"/>
      <c r="AH980" s="114"/>
      <c r="AI980" s="114"/>
      <c r="AJ980" s="114"/>
      <c r="AK980" s="114"/>
      <c r="AL980" s="114"/>
      <c r="AM980" s="114"/>
      <c r="AN980" s="114"/>
      <c r="AO980" s="114"/>
      <c r="AP980" s="114"/>
    </row>
    <row r="981" spans="1:42" ht="15.75" customHeight="1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  <c r="AA981" s="114"/>
      <c r="AB981" s="114"/>
      <c r="AC981" s="114"/>
      <c r="AD981" s="114"/>
      <c r="AE981" s="114"/>
      <c r="AF981" s="114"/>
      <c r="AG981" s="114"/>
      <c r="AH981" s="114"/>
      <c r="AI981" s="114"/>
      <c r="AJ981" s="114"/>
      <c r="AK981" s="114"/>
      <c r="AL981" s="114"/>
      <c r="AM981" s="114"/>
      <c r="AN981" s="114"/>
      <c r="AO981" s="114"/>
      <c r="AP981" s="114"/>
    </row>
    <row r="982" spans="1:42" ht="15.75" customHeight="1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  <c r="AA982" s="114"/>
      <c r="AB982" s="114"/>
      <c r="AC982" s="114"/>
      <c r="AD982" s="114"/>
      <c r="AE982" s="114"/>
      <c r="AF982" s="114"/>
      <c r="AG982" s="114"/>
      <c r="AH982" s="114"/>
      <c r="AI982" s="114"/>
      <c r="AJ982" s="114"/>
      <c r="AK982" s="114"/>
      <c r="AL982" s="114"/>
      <c r="AM982" s="114"/>
      <c r="AN982" s="114"/>
      <c r="AO982" s="114"/>
      <c r="AP982" s="114"/>
    </row>
    <row r="983" spans="1:42" ht="15.75" customHeight="1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  <c r="AA983" s="114"/>
      <c r="AB983" s="114"/>
      <c r="AC983" s="114"/>
      <c r="AD983" s="114"/>
      <c r="AE983" s="114"/>
      <c r="AF983" s="114"/>
      <c r="AG983" s="114"/>
      <c r="AH983" s="114"/>
      <c r="AI983" s="114"/>
      <c r="AJ983" s="114"/>
      <c r="AK983" s="114"/>
      <c r="AL983" s="114"/>
      <c r="AM983" s="114"/>
      <c r="AN983" s="114"/>
      <c r="AO983" s="114"/>
      <c r="AP983" s="114"/>
    </row>
    <row r="984" spans="1:42" ht="15.75" customHeight="1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  <c r="AA984" s="114"/>
      <c r="AB984" s="114"/>
      <c r="AC984" s="114"/>
      <c r="AD984" s="114"/>
      <c r="AE984" s="114"/>
      <c r="AF984" s="114"/>
      <c r="AG984" s="114"/>
      <c r="AH984" s="114"/>
      <c r="AI984" s="114"/>
      <c r="AJ984" s="114"/>
      <c r="AK984" s="114"/>
      <c r="AL984" s="114"/>
      <c r="AM984" s="114"/>
      <c r="AN984" s="114"/>
      <c r="AO984" s="114"/>
      <c r="AP984" s="114"/>
    </row>
    <row r="985" spans="1:42" ht="15.75" customHeight="1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  <c r="AA985" s="114"/>
      <c r="AB985" s="114"/>
      <c r="AC985" s="114"/>
      <c r="AD985" s="114"/>
      <c r="AE985" s="114"/>
      <c r="AF985" s="114"/>
      <c r="AG985" s="114"/>
      <c r="AH985" s="114"/>
      <c r="AI985" s="114"/>
      <c r="AJ985" s="114"/>
      <c r="AK985" s="114"/>
      <c r="AL985" s="114"/>
      <c r="AM985" s="114"/>
      <c r="AN985" s="114"/>
      <c r="AO985" s="114"/>
      <c r="AP985" s="114"/>
    </row>
    <row r="986" spans="1:42" ht="15.75" customHeight="1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  <c r="AA986" s="114"/>
      <c r="AB986" s="114"/>
      <c r="AC986" s="114"/>
      <c r="AD986" s="114"/>
      <c r="AE986" s="114"/>
      <c r="AF986" s="114"/>
      <c r="AG986" s="114"/>
      <c r="AH986" s="114"/>
      <c r="AI986" s="114"/>
      <c r="AJ986" s="114"/>
      <c r="AK986" s="114"/>
      <c r="AL986" s="114"/>
      <c r="AM986" s="114"/>
      <c r="AN986" s="114"/>
      <c r="AO986" s="114"/>
      <c r="AP986" s="114"/>
    </row>
    <row r="987" spans="1:42" ht="15.75" customHeight="1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  <c r="AA987" s="114"/>
      <c r="AB987" s="114"/>
      <c r="AC987" s="114"/>
      <c r="AD987" s="114"/>
      <c r="AE987" s="114"/>
      <c r="AF987" s="114"/>
      <c r="AG987" s="114"/>
      <c r="AH987" s="114"/>
      <c r="AI987" s="114"/>
      <c r="AJ987" s="114"/>
      <c r="AK987" s="114"/>
      <c r="AL987" s="114"/>
      <c r="AM987" s="114"/>
      <c r="AN987" s="114"/>
      <c r="AO987" s="114"/>
      <c r="AP987" s="114"/>
    </row>
    <row r="988" spans="1:42" ht="15.75" customHeight="1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  <c r="AA988" s="114"/>
      <c r="AB988" s="114"/>
      <c r="AC988" s="114"/>
      <c r="AD988" s="114"/>
      <c r="AE988" s="114"/>
      <c r="AF988" s="114"/>
      <c r="AG988" s="114"/>
      <c r="AH988" s="114"/>
      <c r="AI988" s="114"/>
      <c r="AJ988" s="114"/>
      <c r="AK988" s="114"/>
      <c r="AL988" s="114"/>
      <c r="AM988" s="114"/>
      <c r="AN988" s="114"/>
      <c r="AO988" s="114"/>
      <c r="AP988" s="114"/>
    </row>
    <row r="989" spans="1:42" ht="15.75" customHeight="1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  <c r="AA989" s="114"/>
      <c r="AB989" s="114"/>
      <c r="AC989" s="114"/>
      <c r="AD989" s="114"/>
      <c r="AE989" s="114"/>
      <c r="AF989" s="114"/>
      <c r="AG989" s="114"/>
      <c r="AH989" s="114"/>
      <c r="AI989" s="114"/>
      <c r="AJ989" s="114"/>
      <c r="AK989" s="114"/>
      <c r="AL989" s="114"/>
      <c r="AM989" s="114"/>
      <c r="AN989" s="114"/>
      <c r="AO989" s="114"/>
      <c r="AP989" s="114"/>
    </row>
    <row r="990" spans="1:42" ht="15.75" customHeight="1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  <c r="AA990" s="114"/>
      <c r="AB990" s="114"/>
      <c r="AC990" s="114"/>
      <c r="AD990" s="114"/>
      <c r="AE990" s="114"/>
      <c r="AF990" s="114"/>
      <c r="AG990" s="114"/>
      <c r="AH990" s="114"/>
      <c r="AI990" s="114"/>
      <c r="AJ990" s="114"/>
      <c r="AK990" s="114"/>
      <c r="AL990" s="114"/>
      <c r="AM990" s="114"/>
      <c r="AN990" s="114"/>
      <c r="AO990" s="114"/>
      <c r="AP990" s="114"/>
    </row>
    <row r="991" spans="1:42" ht="15.75" customHeight="1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  <c r="AA991" s="114"/>
      <c r="AB991" s="114"/>
      <c r="AC991" s="114"/>
      <c r="AD991" s="114"/>
      <c r="AE991" s="114"/>
      <c r="AF991" s="114"/>
      <c r="AG991" s="114"/>
      <c r="AH991" s="114"/>
      <c r="AI991" s="114"/>
      <c r="AJ991" s="114"/>
      <c r="AK991" s="114"/>
      <c r="AL991" s="114"/>
      <c r="AM991" s="114"/>
      <c r="AN991" s="114"/>
      <c r="AO991" s="114"/>
      <c r="AP991" s="114"/>
    </row>
    <row r="992" spans="1:42" ht="15.75" customHeight="1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  <c r="AA992" s="114"/>
      <c r="AB992" s="114"/>
      <c r="AC992" s="114"/>
      <c r="AD992" s="114"/>
      <c r="AE992" s="114"/>
      <c r="AF992" s="114"/>
      <c r="AG992" s="114"/>
      <c r="AH992" s="114"/>
      <c r="AI992" s="114"/>
      <c r="AJ992" s="114"/>
      <c r="AK992" s="114"/>
      <c r="AL992" s="114"/>
      <c r="AM992" s="114"/>
      <c r="AN992" s="114"/>
      <c r="AO992" s="114"/>
      <c r="AP992" s="114"/>
    </row>
    <row r="993" spans="1:42" ht="15.75" customHeight="1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  <c r="AA993" s="114"/>
      <c r="AB993" s="114"/>
      <c r="AC993" s="114"/>
      <c r="AD993" s="114"/>
      <c r="AE993" s="114"/>
      <c r="AF993" s="114"/>
      <c r="AG993" s="114"/>
      <c r="AH993" s="114"/>
      <c r="AI993" s="114"/>
      <c r="AJ993" s="114"/>
      <c r="AK993" s="114"/>
      <c r="AL993" s="114"/>
      <c r="AM993" s="114"/>
      <c r="AN993" s="114"/>
      <c r="AO993" s="114"/>
      <c r="AP993" s="114"/>
    </row>
    <row r="994" spans="1:42" ht="15.75" customHeight="1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  <c r="AA994" s="114"/>
      <c r="AB994" s="114"/>
      <c r="AC994" s="114"/>
      <c r="AD994" s="114"/>
      <c r="AE994" s="114"/>
      <c r="AF994" s="114"/>
      <c r="AG994" s="114"/>
      <c r="AH994" s="114"/>
      <c r="AI994" s="114"/>
      <c r="AJ994" s="114"/>
      <c r="AK994" s="114"/>
      <c r="AL994" s="114"/>
      <c r="AM994" s="114"/>
      <c r="AN994" s="114"/>
      <c r="AO994" s="114"/>
      <c r="AP994" s="114"/>
    </row>
    <row r="995" spans="1:42" ht="15.75" customHeight="1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  <c r="AA995" s="114"/>
      <c r="AB995" s="114"/>
      <c r="AC995" s="114"/>
      <c r="AD995" s="114"/>
      <c r="AE995" s="114"/>
      <c r="AF995" s="114"/>
      <c r="AG995" s="114"/>
      <c r="AH995" s="114"/>
      <c r="AI995" s="114"/>
      <c r="AJ995" s="114"/>
      <c r="AK995" s="114"/>
      <c r="AL995" s="114"/>
      <c r="AM995" s="114"/>
      <c r="AN995" s="114"/>
      <c r="AO995" s="114"/>
      <c r="AP995" s="114"/>
    </row>
    <row r="996" spans="1:42" ht="15.75" customHeight="1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  <c r="AA996" s="114"/>
      <c r="AB996" s="114"/>
      <c r="AC996" s="114"/>
      <c r="AD996" s="114"/>
      <c r="AE996" s="114"/>
      <c r="AF996" s="114"/>
      <c r="AG996" s="114"/>
      <c r="AH996" s="114"/>
      <c r="AI996" s="114"/>
      <c r="AJ996" s="114"/>
      <c r="AK996" s="114"/>
      <c r="AL996" s="114"/>
      <c r="AM996" s="114"/>
      <c r="AN996" s="114"/>
      <c r="AO996" s="114"/>
      <c r="AP996" s="114"/>
    </row>
    <row r="997" spans="1:42" ht="15.75" customHeight="1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  <c r="AA997" s="114"/>
      <c r="AB997" s="114"/>
      <c r="AC997" s="114"/>
      <c r="AD997" s="114"/>
      <c r="AE997" s="114"/>
      <c r="AF997" s="114"/>
      <c r="AG997" s="114"/>
      <c r="AH997" s="114"/>
      <c r="AI997" s="114"/>
      <c r="AJ997" s="114"/>
      <c r="AK997" s="114"/>
      <c r="AL997" s="114"/>
      <c r="AM997" s="114"/>
      <c r="AN997" s="114"/>
      <c r="AO997" s="114"/>
      <c r="AP997" s="114"/>
    </row>
    <row r="998" spans="1:42" ht="15.75" customHeight="1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14"/>
      <c r="Y998" s="114"/>
      <c r="Z998" s="114"/>
      <c r="AA998" s="114"/>
      <c r="AB998" s="114"/>
      <c r="AC998" s="114"/>
      <c r="AD998" s="114"/>
      <c r="AE998" s="114"/>
      <c r="AF998" s="114"/>
      <c r="AG998" s="114"/>
      <c r="AH998" s="114"/>
      <c r="AI998" s="114"/>
      <c r="AJ998" s="114"/>
      <c r="AK998" s="114"/>
      <c r="AL998" s="114"/>
      <c r="AM998" s="114"/>
      <c r="AN998" s="114"/>
      <c r="AO998" s="114"/>
      <c r="AP998" s="114"/>
    </row>
    <row r="999" spans="1:42" ht="15.75" customHeight="1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114"/>
      <c r="R999" s="114"/>
      <c r="S999" s="114"/>
      <c r="T999" s="114"/>
      <c r="U999" s="114"/>
      <c r="V999" s="114"/>
      <c r="W999" s="114"/>
      <c r="X999" s="114"/>
      <c r="Y999" s="114"/>
      <c r="Z999" s="114"/>
      <c r="AA999" s="114"/>
      <c r="AB999" s="114"/>
      <c r="AC999" s="114"/>
      <c r="AD999" s="114"/>
      <c r="AE999" s="114"/>
      <c r="AF999" s="114"/>
      <c r="AG999" s="114"/>
      <c r="AH999" s="114"/>
      <c r="AI999" s="114"/>
      <c r="AJ999" s="114"/>
      <c r="AK999" s="114"/>
      <c r="AL999" s="114"/>
      <c r="AM999" s="114"/>
      <c r="AN999" s="114"/>
      <c r="AO999" s="114"/>
      <c r="AP999" s="114"/>
    </row>
    <row r="1000" spans="1:42" ht="15.75" customHeight="1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  <c r="S1000" s="114"/>
      <c r="T1000" s="114"/>
      <c r="U1000" s="114"/>
      <c r="V1000" s="114"/>
      <c r="W1000" s="114"/>
      <c r="X1000" s="114"/>
      <c r="Y1000" s="114"/>
      <c r="Z1000" s="114"/>
      <c r="AA1000" s="114"/>
      <c r="AB1000" s="114"/>
      <c r="AC1000" s="114"/>
      <c r="AD1000" s="114"/>
      <c r="AE1000" s="114"/>
      <c r="AF1000" s="114"/>
      <c r="AG1000" s="114"/>
      <c r="AH1000" s="114"/>
      <c r="AI1000" s="114"/>
      <c r="AJ1000" s="114"/>
      <c r="AK1000" s="114"/>
      <c r="AL1000" s="114"/>
      <c r="AM1000" s="114"/>
      <c r="AN1000" s="114"/>
      <c r="AO1000" s="114"/>
      <c r="AP1000" s="114"/>
    </row>
  </sheetData>
  <mergeCells count="43">
    <mergeCell ref="E7:E8"/>
    <mergeCell ref="F7:F8"/>
    <mergeCell ref="G7:G8"/>
    <mergeCell ref="I7:J7"/>
    <mergeCell ref="K7:M7"/>
    <mergeCell ref="A76:B76"/>
    <mergeCell ref="A91:B91"/>
    <mergeCell ref="A106:B106"/>
    <mergeCell ref="C7:C8"/>
    <mergeCell ref="D7:D8"/>
    <mergeCell ref="A6:B8"/>
    <mergeCell ref="A9:B9"/>
    <mergeCell ref="A15:B15"/>
    <mergeCell ref="A33:B33"/>
    <mergeCell ref="A54:B54"/>
    <mergeCell ref="AF7:AG7"/>
    <mergeCell ref="AI7:AJ7"/>
    <mergeCell ref="P6:P7"/>
    <mergeCell ref="Q6:R6"/>
    <mergeCell ref="N7:O7"/>
    <mergeCell ref="Q7:R7"/>
    <mergeCell ref="S7:T7"/>
    <mergeCell ref="U7:U8"/>
    <mergeCell ref="V7:V8"/>
    <mergeCell ref="W7:W8"/>
    <mergeCell ref="X7:X8"/>
    <mergeCell ref="Y7:Y8"/>
    <mergeCell ref="AA7:AB7"/>
    <mergeCell ref="AC7:AE7"/>
    <mergeCell ref="A2:B4"/>
    <mergeCell ref="C2:AJ2"/>
    <mergeCell ref="C3:AJ3"/>
    <mergeCell ref="C4:T4"/>
    <mergeCell ref="U4:AJ4"/>
    <mergeCell ref="U5:AG5"/>
    <mergeCell ref="AH5:AJ6"/>
    <mergeCell ref="U6:Y6"/>
    <mergeCell ref="AA6:AG6"/>
    <mergeCell ref="C5:O5"/>
    <mergeCell ref="C6:G6"/>
    <mergeCell ref="I6:O6"/>
    <mergeCell ref="P5:T5"/>
    <mergeCell ref="S6:T6"/>
  </mergeCells>
  <printOptions horizontalCentered="1"/>
  <pageMargins left="0.31496062992125984" right="0.31496062992125984" top="0.74803149606299213" bottom="0.74803149606299213" header="0" footer="0"/>
  <pageSetup paperSize="9" scale="50" fitToWidth="0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  <colBreaks count="1" manualBreakCount="1">
    <brk id="2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EAADB"/>
  </sheetPr>
  <dimension ref="A1:BC1000"/>
  <sheetViews>
    <sheetView view="pageBreakPreview" zoomScale="70" zoomScaleNormal="100" zoomScaleSheetLayoutView="70" workbookViewId="0">
      <pane xSplit="2" ySplit="9" topLeftCell="K10" activePane="bottomRight" state="frozen"/>
      <selection activeCell="A15" sqref="A15:B15"/>
      <selection pane="topRight" activeCell="A15" sqref="A15:B15"/>
      <selection pane="bottomLeft" activeCell="A15" sqref="A15:B15"/>
      <selection pane="bottomRight" activeCell="A15" sqref="A15:B15"/>
    </sheetView>
  </sheetViews>
  <sheetFormatPr defaultColWidth="14.44140625" defaultRowHeight="15" customHeight="1"/>
  <cols>
    <col min="1" max="1" width="7.21875" customWidth="1"/>
    <col min="2" max="2" width="43" customWidth="1"/>
    <col min="3" max="4" width="13" customWidth="1"/>
    <col min="5" max="5" width="12.5546875" customWidth="1"/>
    <col min="6" max="10" width="13.77734375" customWidth="1"/>
    <col min="11" max="11" width="11.44140625" customWidth="1"/>
    <col min="12" max="12" width="15.21875" customWidth="1"/>
    <col min="13" max="13" width="16.77734375" customWidth="1"/>
    <col min="14" max="14" width="13" customWidth="1"/>
    <col min="15" max="15" width="7.77734375" customWidth="1"/>
    <col min="16" max="16" width="11.5546875" customWidth="1"/>
    <col min="17" max="17" width="11.77734375" customWidth="1"/>
    <col min="18" max="18" width="8.109375" customWidth="1"/>
    <col min="19" max="19" width="8.21875" customWidth="1"/>
    <col min="20" max="23" width="11.5546875" customWidth="1"/>
    <col min="24" max="24" width="11.77734375" customWidth="1"/>
    <col min="25" max="25" width="10.44140625" customWidth="1"/>
    <col min="26" max="26" width="8.21875" customWidth="1"/>
    <col min="27" max="27" width="11.5546875" customWidth="1"/>
    <col min="28" max="28" width="11.77734375" customWidth="1"/>
    <col min="29" max="29" width="10.5546875" customWidth="1"/>
    <col min="30" max="30" width="8.21875" customWidth="1"/>
    <col min="31" max="31" width="11.77734375" customWidth="1"/>
    <col min="32" max="32" width="10.5546875" customWidth="1"/>
    <col min="33" max="33" width="8.21875" customWidth="1"/>
    <col min="34" max="35" width="11.5546875" customWidth="1"/>
    <col min="36" max="37" width="10.109375" customWidth="1"/>
    <col min="38" max="38" width="8.44140625" customWidth="1"/>
    <col min="39" max="39" width="8.21875" customWidth="1"/>
    <col min="40" max="40" width="11.77734375" customWidth="1"/>
    <col min="41" max="41" width="7.44140625" customWidth="1"/>
    <col min="42" max="42" width="8.21875" customWidth="1"/>
    <col min="43" max="43" width="11.5546875" customWidth="1"/>
    <col min="44" max="44" width="11.77734375" customWidth="1"/>
    <col min="45" max="45" width="7.77734375" customWidth="1"/>
    <col min="46" max="46" width="8.21875" customWidth="1"/>
    <col min="47" max="47" width="7.77734375" customWidth="1"/>
    <col min="48" max="48" width="6.109375" customWidth="1"/>
    <col min="49" max="49" width="7.77734375" customWidth="1"/>
    <col min="50" max="50" width="8.21875" customWidth="1"/>
    <col min="51" max="51" width="7.77734375" customWidth="1"/>
    <col min="52" max="52" width="8.21875" customWidth="1"/>
    <col min="53" max="53" width="11.77734375" customWidth="1"/>
    <col min="54" max="54" width="7.5546875" customWidth="1"/>
    <col min="55" max="55" width="8.21875" customWidth="1"/>
  </cols>
  <sheetData>
    <row r="1" spans="1:55" ht="24" customHeight="1">
      <c r="A1" s="1" t="s">
        <v>174</v>
      </c>
      <c r="B1" s="2"/>
      <c r="C1" s="3"/>
      <c r="D1" s="151"/>
      <c r="E1" s="151"/>
      <c r="F1" s="151"/>
      <c r="G1" s="151"/>
      <c r="H1" s="151"/>
      <c r="I1" s="151"/>
      <c r="J1" s="151"/>
      <c r="K1" s="151"/>
      <c r="L1" s="152"/>
      <c r="M1" s="152"/>
      <c r="N1" s="152"/>
      <c r="O1" s="152"/>
      <c r="P1" s="151"/>
      <c r="Q1" s="151"/>
      <c r="R1" s="151"/>
      <c r="S1" s="152"/>
      <c r="T1" s="151"/>
      <c r="U1" s="151"/>
      <c r="V1" s="151"/>
      <c r="W1" s="151"/>
      <c r="X1" s="151"/>
      <c r="Y1" s="151"/>
      <c r="Z1" s="152"/>
      <c r="AA1" s="3"/>
      <c r="AB1" s="2"/>
      <c r="AC1" s="2"/>
      <c r="AD1" s="117"/>
      <c r="AE1" s="2"/>
      <c r="AF1" s="2"/>
      <c r="AG1" s="117"/>
      <c r="AH1" s="3"/>
      <c r="AI1" s="2"/>
      <c r="AJ1" s="2"/>
      <c r="AK1" s="2"/>
      <c r="AL1" s="2"/>
      <c r="AM1" s="2"/>
      <c r="AN1" s="2"/>
      <c r="AO1" s="2"/>
      <c r="AP1" s="2"/>
      <c r="AQ1" s="3"/>
      <c r="AR1" s="2"/>
      <c r="AS1" s="2"/>
      <c r="AT1" s="117"/>
      <c r="AU1" s="2"/>
      <c r="AV1" s="2"/>
      <c r="AW1" s="2"/>
      <c r="AX1" s="2"/>
      <c r="AY1" s="2"/>
      <c r="AZ1" s="2"/>
      <c r="BA1" s="2"/>
      <c r="BB1" s="2"/>
      <c r="BC1" s="2"/>
    </row>
    <row r="2" spans="1:55" ht="24" customHeight="1">
      <c r="A2" s="681" t="s">
        <v>1</v>
      </c>
      <c r="B2" s="682"/>
      <c r="C2" s="730" t="s">
        <v>175</v>
      </c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C2" s="686"/>
      <c r="AD2" s="686"/>
      <c r="AE2" s="686"/>
      <c r="AF2" s="686"/>
      <c r="AG2" s="731"/>
      <c r="AH2" s="732" t="s">
        <v>175</v>
      </c>
      <c r="AI2" s="686"/>
      <c r="AJ2" s="686"/>
      <c r="AK2" s="686"/>
      <c r="AL2" s="686"/>
      <c r="AM2" s="686"/>
      <c r="AN2" s="686"/>
      <c r="AO2" s="686"/>
      <c r="AP2" s="686"/>
      <c r="AQ2" s="686"/>
      <c r="AR2" s="686"/>
      <c r="AS2" s="686"/>
      <c r="AT2" s="686"/>
      <c r="AU2" s="686"/>
      <c r="AV2" s="686"/>
      <c r="AW2" s="686"/>
      <c r="AX2" s="686"/>
      <c r="AY2" s="686"/>
      <c r="AZ2" s="686"/>
      <c r="BA2" s="686"/>
      <c r="BB2" s="686"/>
      <c r="BC2" s="687"/>
    </row>
    <row r="3" spans="1:55" ht="24" customHeight="1">
      <c r="A3" s="660"/>
      <c r="B3" s="661"/>
      <c r="C3" s="733" t="s">
        <v>176</v>
      </c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  <c r="Y3" s="651"/>
      <c r="Z3" s="651"/>
      <c r="AA3" s="651"/>
      <c r="AB3" s="651"/>
      <c r="AC3" s="651"/>
      <c r="AD3" s="651"/>
      <c r="AE3" s="651"/>
      <c r="AF3" s="651"/>
      <c r="AG3" s="652"/>
      <c r="AH3" s="734" t="s">
        <v>176</v>
      </c>
      <c r="AI3" s="651"/>
      <c r="AJ3" s="651"/>
      <c r="AK3" s="651"/>
      <c r="AL3" s="651"/>
      <c r="AM3" s="651"/>
      <c r="AN3" s="651"/>
      <c r="AO3" s="651"/>
      <c r="AP3" s="651"/>
      <c r="AQ3" s="651"/>
      <c r="AR3" s="651"/>
      <c r="AS3" s="651"/>
      <c r="AT3" s="651"/>
      <c r="AU3" s="651"/>
      <c r="AV3" s="651"/>
      <c r="AW3" s="651"/>
      <c r="AX3" s="651"/>
      <c r="AY3" s="651"/>
      <c r="AZ3" s="651"/>
      <c r="BA3" s="651"/>
      <c r="BB3" s="651"/>
      <c r="BC3" s="654"/>
    </row>
    <row r="4" spans="1:55" ht="24" customHeight="1">
      <c r="A4" s="683"/>
      <c r="B4" s="684"/>
      <c r="C4" s="735" t="s">
        <v>177</v>
      </c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  <c r="S4" s="651"/>
      <c r="T4" s="651"/>
      <c r="U4" s="651"/>
      <c r="V4" s="651"/>
      <c r="W4" s="651"/>
      <c r="X4" s="651"/>
      <c r="Y4" s="651"/>
      <c r="Z4" s="651"/>
      <c r="AA4" s="651"/>
      <c r="AB4" s="651"/>
      <c r="AC4" s="651"/>
      <c r="AD4" s="651"/>
      <c r="AE4" s="651"/>
      <c r="AF4" s="651"/>
      <c r="AG4" s="652"/>
      <c r="AH4" s="736" t="s">
        <v>177</v>
      </c>
      <c r="AI4" s="690"/>
      <c r="AJ4" s="690"/>
      <c r="AK4" s="690"/>
      <c r="AL4" s="690"/>
      <c r="AM4" s="690"/>
      <c r="AN4" s="690"/>
      <c r="AO4" s="690"/>
      <c r="AP4" s="690"/>
      <c r="AQ4" s="690"/>
      <c r="AR4" s="690"/>
      <c r="AS4" s="690"/>
      <c r="AT4" s="690"/>
      <c r="AU4" s="690"/>
      <c r="AV4" s="690"/>
      <c r="AW4" s="690"/>
      <c r="AX4" s="690"/>
      <c r="AY4" s="690"/>
      <c r="AZ4" s="690"/>
      <c r="BA4" s="690"/>
      <c r="BB4" s="690"/>
      <c r="BC4" s="691"/>
    </row>
    <row r="5" spans="1:55" ht="30" customHeight="1">
      <c r="A5" s="6"/>
      <c r="B5" s="7"/>
      <c r="C5" s="650" t="s">
        <v>5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4"/>
      <c r="P5" s="692" t="s">
        <v>178</v>
      </c>
      <c r="Q5" s="651"/>
      <c r="R5" s="651"/>
      <c r="S5" s="651"/>
      <c r="T5" s="651"/>
      <c r="U5" s="651"/>
      <c r="V5" s="654"/>
      <c r="W5" s="707" t="s">
        <v>179</v>
      </c>
      <c r="X5" s="651"/>
      <c r="Y5" s="651"/>
      <c r="Z5" s="654"/>
      <c r="AA5" s="692" t="s">
        <v>180</v>
      </c>
      <c r="AB5" s="651"/>
      <c r="AC5" s="651"/>
      <c r="AD5" s="651"/>
      <c r="AE5" s="651"/>
      <c r="AF5" s="651"/>
      <c r="AG5" s="654"/>
      <c r="AH5" s="692" t="s">
        <v>181</v>
      </c>
      <c r="AI5" s="651"/>
      <c r="AJ5" s="651"/>
      <c r="AK5" s="651"/>
      <c r="AL5" s="651"/>
      <c r="AM5" s="651"/>
      <c r="AN5" s="651"/>
      <c r="AO5" s="651"/>
      <c r="AP5" s="652"/>
      <c r="AQ5" s="692" t="s">
        <v>182</v>
      </c>
      <c r="AR5" s="651"/>
      <c r="AS5" s="651"/>
      <c r="AT5" s="651"/>
      <c r="AU5" s="651"/>
      <c r="AV5" s="651"/>
      <c r="AW5" s="651"/>
      <c r="AX5" s="651"/>
      <c r="AY5" s="651"/>
      <c r="AZ5" s="654"/>
      <c r="BA5" s="718" t="s">
        <v>183</v>
      </c>
      <c r="BB5" s="694"/>
      <c r="BC5" s="695"/>
    </row>
    <row r="6" spans="1:55" ht="30" customHeight="1">
      <c r="A6" s="658" t="s">
        <v>8</v>
      </c>
      <c r="B6" s="659"/>
      <c r="C6" s="653" t="s">
        <v>9</v>
      </c>
      <c r="D6" s="651"/>
      <c r="E6" s="651"/>
      <c r="F6" s="651"/>
      <c r="G6" s="654"/>
      <c r="H6" s="8" t="s">
        <v>10</v>
      </c>
      <c r="I6" s="655" t="s">
        <v>11</v>
      </c>
      <c r="J6" s="651"/>
      <c r="K6" s="651"/>
      <c r="L6" s="651"/>
      <c r="M6" s="651"/>
      <c r="N6" s="651"/>
      <c r="O6" s="654"/>
      <c r="P6" s="729" t="s">
        <v>184</v>
      </c>
      <c r="Q6" s="692" t="s">
        <v>185</v>
      </c>
      <c r="R6" s="651"/>
      <c r="S6" s="654"/>
      <c r="T6" s="744" t="s">
        <v>186</v>
      </c>
      <c r="U6" s="694"/>
      <c r="V6" s="695"/>
      <c r="W6" s="729" t="s">
        <v>184</v>
      </c>
      <c r="X6" s="692" t="s">
        <v>187</v>
      </c>
      <c r="Y6" s="651"/>
      <c r="Z6" s="654"/>
      <c r="AA6" s="729" t="s">
        <v>184</v>
      </c>
      <c r="AB6" s="692" t="s">
        <v>188</v>
      </c>
      <c r="AC6" s="651"/>
      <c r="AD6" s="654"/>
      <c r="AE6" s="737" t="s">
        <v>189</v>
      </c>
      <c r="AF6" s="690"/>
      <c r="AG6" s="691"/>
      <c r="AH6" s="729" t="s">
        <v>184</v>
      </c>
      <c r="AI6" s="692" t="s">
        <v>190</v>
      </c>
      <c r="AJ6" s="651"/>
      <c r="AK6" s="651"/>
      <c r="AL6" s="651"/>
      <c r="AM6" s="652"/>
      <c r="AN6" s="737" t="s">
        <v>191</v>
      </c>
      <c r="AO6" s="690"/>
      <c r="AP6" s="691"/>
      <c r="AQ6" s="729" t="s">
        <v>184</v>
      </c>
      <c r="AR6" s="741" t="s">
        <v>192</v>
      </c>
      <c r="AS6" s="742"/>
      <c r="AT6" s="743"/>
      <c r="AU6" s="692" t="s">
        <v>188</v>
      </c>
      <c r="AV6" s="651"/>
      <c r="AW6" s="651"/>
      <c r="AX6" s="651"/>
      <c r="AY6" s="651"/>
      <c r="AZ6" s="654"/>
      <c r="BA6" s="719"/>
      <c r="BB6" s="670"/>
      <c r="BC6" s="671"/>
    </row>
    <row r="7" spans="1:55" ht="24" customHeight="1">
      <c r="A7" s="660"/>
      <c r="B7" s="661"/>
      <c r="C7" s="702" t="s">
        <v>16</v>
      </c>
      <c r="D7" s="704" t="s">
        <v>17</v>
      </c>
      <c r="E7" s="705" t="s">
        <v>18</v>
      </c>
      <c r="F7" s="664" t="s">
        <v>19</v>
      </c>
      <c r="G7" s="666" t="s">
        <v>20</v>
      </c>
      <c r="H7" s="9" t="s">
        <v>21</v>
      </c>
      <c r="I7" s="667" t="s">
        <v>22</v>
      </c>
      <c r="J7" s="668"/>
      <c r="K7" s="669" t="s">
        <v>21</v>
      </c>
      <c r="L7" s="670"/>
      <c r="M7" s="671"/>
      <c r="N7" s="672" t="s">
        <v>23</v>
      </c>
      <c r="O7" s="671"/>
      <c r="P7" s="728"/>
      <c r="Q7" s="118" t="s">
        <v>24</v>
      </c>
      <c r="R7" s="706" t="s">
        <v>25</v>
      </c>
      <c r="S7" s="654"/>
      <c r="T7" s="153" t="s">
        <v>150</v>
      </c>
      <c r="U7" s="739" t="s">
        <v>193</v>
      </c>
      <c r="V7" s="739" t="s">
        <v>194</v>
      </c>
      <c r="W7" s="728"/>
      <c r="X7" s="118" t="s">
        <v>24</v>
      </c>
      <c r="Y7" s="706" t="s">
        <v>25</v>
      </c>
      <c r="Z7" s="654"/>
      <c r="AA7" s="728"/>
      <c r="AB7" s="118" t="s">
        <v>24</v>
      </c>
      <c r="AC7" s="706" t="s">
        <v>25</v>
      </c>
      <c r="AD7" s="654"/>
      <c r="AE7" s="118" t="s">
        <v>24</v>
      </c>
      <c r="AF7" s="706" t="s">
        <v>25</v>
      </c>
      <c r="AG7" s="654"/>
      <c r="AH7" s="728"/>
      <c r="AI7" s="118" t="s">
        <v>24</v>
      </c>
      <c r="AJ7" s="738" t="s">
        <v>195</v>
      </c>
      <c r="AK7" s="654"/>
      <c r="AL7" s="738" t="s">
        <v>196</v>
      </c>
      <c r="AM7" s="654"/>
      <c r="AN7" s="118" t="s">
        <v>24</v>
      </c>
      <c r="AO7" s="706" t="s">
        <v>25</v>
      </c>
      <c r="AP7" s="654"/>
      <c r="AQ7" s="728"/>
      <c r="AR7" s="118" t="s">
        <v>24</v>
      </c>
      <c r="AS7" s="706" t="s">
        <v>25</v>
      </c>
      <c r="AT7" s="654"/>
      <c r="AU7" s="656" t="s">
        <v>24</v>
      </c>
      <c r="AV7" s="654"/>
      <c r="AW7" s="706" t="s">
        <v>25</v>
      </c>
      <c r="AX7" s="651"/>
      <c r="AY7" s="651"/>
      <c r="AZ7" s="654"/>
      <c r="BA7" s="118" t="s">
        <v>24</v>
      </c>
      <c r="BB7" s="706" t="s">
        <v>25</v>
      </c>
      <c r="BC7" s="654"/>
    </row>
    <row r="8" spans="1:55" ht="24" customHeight="1">
      <c r="A8" s="662"/>
      <c r="B8" s="663"/>
      <c r="C8" s="703"/>
      <c r="D8" s="665"/>
      <c r="E8" s="665"/>
      <c r="F8" s="665"/>
      <c r="G8" s="665"/>
      <c r="H8" s="9"/>
      <c r="I8" s="11" t="s">
        <v>26</v>
      </c>
      <c r="J8" s="12" t="s">
        <v>27</v>
      </c>
      <c r="K8" s="11" t="s">
        <v>26</v>
      </c>
      <c r="L8" s="13" t="s">
        <v>28</v>
      </c>
      <c r="M8" s="14" t="s">
        <v>29</v>
      </c>
      <c r="N8" s="15" t="s">
        <v>26</v>
      </c>
      <c r="O8" s="15" t="s">
        <v>27</v>
      </c>
      <c r="P8" s="154" t="s">
        <v>197</v>
      </c>
      <c r="Q8" s="16" t="s">
        <v>198</v>
      </c>
      <c r="R8" s="119" t="s">
        <v>199</v>
      </c>
      <c r="S8" s="120" t="s">
        <v>27</v>
      </c>
      <c r="T8" s="155" t="s">
        <v>32</v>
      </c>
      <c r="U8" s="740"/>
      <c r="V8" s="740"/>
      <c r="W8" s="154" t="s">
        <v>197</v>
      </c>
      <c r="X8" s="16" t="s">
        <v>200</v>
      </c>
      <c r="Y8" s="156" t="s">
        <v>201</v>
      </c>
      <c r="Z8" s="120" t="s">
        <v>27</v>
      </c>
      <c r="AA8" s="154" t="s">
        <v>197</v>
      </c>
      <c r="AB8" s="16" t="s">
        <v>200</v>
      </c>
      <c r="AC8" s="119" t="s">
        <v>201</v>
      </c>
      <c r="AD8" s="120" t="s">
        <v>27</v>
      </c>
      <c r="AE8" s="16" t="s">
        <v>200</v>
      </c>
      <c r="AF8" s="119" t="s">
        <v>201</v>
      </c>
      <c r="AG8" s="120" t="s">
        <v>27</v>
      </c>
      <c r="AH8" s="154" t="s">
        <v>197</v>
      </c>
      <c r="AI8" s="16" t="s">
        <v>202</v>
      </c>
      <c r="AJ8" s="157" t="s">
        <v>203</v>
      </c>
      <c r="AK8" s="119" t="s">
        <v>27</v>
      </c>
      <c r="AL8" s="157" t="s">
        <v>203</v>
      </c>
      <c r="AM8" s="119" t="s">
        <v>27</v>
      </c>
      <c r="AN8" s="16" t="s">
        <v>32</v>
      </c>
      <c r="AO8" s="119" t="s">
        <v>31</v>
      </c>
      <c r="AP8" s="119" t="s">
        <v>27</v>
      </c>
      <c r="AQ8" s="154" t="s">
        <v>197</v>
      </c>
      <c r="AR8" s="16" t="s">
        <v>32</v>
      </c>
      <c r="AS8" s="119" t="s">
        <v>31</v>
      </c>
      <c r="AT8" s="120" t="s">
        <v>27</v>
      </c>
      <c r="AU8" s="16" t="s">
        <v>31</v>
      </c>
      <c r="AV8" s="16" t="s">
        <v>157</v>
      </c>
      <c r="AW8" s="119" t="s">
        <v>31</v>
      </c>
      <c r="AX8" s="119" t="s">
        <v>27</v>
      </c>
      <c r="AY8" s="119" t="s">
        <v>157</v>
      </c>
      <c r="AZ8" s="119" t="s">
        <v>27</v>
      </c>
      <c r="BA8" s="16" t="s">
        <v>32</v>
      </c>
      <c r="BB8" s="119" t="s">
        <v>31</v>
      </c>
      <c r="BC8" s="119" t="s">
        <v>27</v>
      </c>
    </row>
    <row r="9" spans="1:55" ht="24" customHeight="1">
      <c r="A9" s="674" t="s">
        <v>34</v>
      </c>
      <c r="B9" s="675"/>
      <c r="C9" s="20">
        <f t="shared" ref="C9:C119" ca="1" si="0">D9+G9</f>
        <v>26530200</v>
      </c>
      <c r="D9" s="21">
        <f t="shared" ref="D9:F9" ca="1" si="1">D10+D11</f>
        <v>26292200</v>
      </c>
      <c r="E9" s="22">
        <f t="shared" ca="1" si="1"/>
        <v>14035300</v>
      </c>
      <c r="F9" s="23">
        <f t="shared" ca="1" si="1"/>
        <v>12256900</v>
      </c>
      <c r="G9" s="24">
        <f t="shared" ref="G9:H9" ca="1" si="2">G10+G11+G14</f>
        <v>238000</v>
      </c>
      <c r="H9" s="25">
        <f t="shared" ca="1" si="2"/>
        <v>20569900</v>
      </c>
      <c r="I9" s="26">
        <f t="shared" ref="I9:I105" ca="1" si="3">K9+N9</f>
        <v>12148050.27</v>
      </c>
      <c r="J9" s="122">
        <f t="shared" ref="J9:J105" ca="1" si="4">IF(C9&gt;0,I9*100/C9,0)</f>
        <v>45.789516362485017</v>
      </c>
      <c r="K9" s="26">
        <f ca="1">K10+K11+K14</f>
        <v>11910050.27</v>
      </c>
      <c r="L9" s="122">
        <f t="shared" ref="L9:L105" ca="1" si="5">IF(D9&gt;0,K9*100/D9,0)</f>
        <v>45.298796867512038</v>
      </c>
      <c r="M9" s="122">
        <f t="shared" ref="M9:M105" ca="1" si="6">IF(H9&gt;0,K9*100/H9,0)</f>
        <v>57.900380021293252</v>
      </c>
      <c r="N9" s="122">
        <f ca="1">N10+N11+N14</f>
        <v>238000</v>
      </c>
      <c r="O9" s="122">
        <f t="shared" ref="O9:O105" ca="1" si="7">IF(G9&gt;0,N9*100/G9,0)</f>
        <v>100</v>
      </c>
      <c r="P9" s="158">
        <f t="shared" ref="P9:R9" ca="1" si="8">P10+P11</f>
        <v>589250</v>
      </c>
      <c r="Q9" s="30">
        <f t="shared" ca="1" si="8"/>
        <v>288</v>
      </c>
      <c r="R9" s="31">
        <f t="shared" ca="1" si="8"/>
        <v>126</v>
      </c>
      <c r="S9" s="123">
        <f t="shared" ref="S9:S106" ca="1" si="9">IF(Q9&gt;0,R9*100/Q9,0)</f>
        <v>43.75</v>
      </c>
      <c r="T9" s="31">
        <f t="shared" ref="T9:Y9" ca="1" si="10">T10+T11</f>
        <v>3976</v>
      </c>
      <c r="U9" s="31">
        <f t="shared" ca="1" si="10"/>
        <v>3923</v>
      </c>
      <c r="V9" s="31">
        <f t="shared" ca="1" si="10"/>
        <v>53</v>
      </c>
      <c r="W9" s="158">
        <f t="shared" ca="1" si="10"/>
        <v>3224000</v>
      </c>
      <c r="X9" s="30">
        <f t="shared" ca="1" si="10"/>
        <v>203</v>
      </c>
      <c r="Y9" s="31">
        <f t="shared" ca="1" si="10"/>
        <v>183</v>
      </c>
      <c r="Z9" s="123">
        <f t="shared" ref="Z9:Z106" ca="1" si="11">IF(X9&gt;0,Y9*100/X9,0)</f>
        <v>90.14778325123153</v>
      </c>
      <c r="AA9" s="158">
        <f t="shared" ref="AA9:AC9" ca="1" si="12">AA10+AA11</f>
        <v>1052000</v>
      </c>
      <c r="AB9" s="30">
        <f t="shared" ca="1" si="12"/>
        <v>58</v>
      </c>
      <c r="AC9" s="31">
        <f t="shared" ca="1" si="12"/>
        <v>6</v>
      </c>
      <c r="AD9" s="123">
        <f t="shared" ref="AD9:AD106" ca="1" si="13">IF(AB9&gt;0,AC9*100/AB9,0)</f>
        <v>10.344827586206897</v>
      </c>
      <c r="AE9" s="30">
        <f t="shared" ref="AE9:AF9" ca="1" si="14">AE10+AE11</f>
        <v>58</v>
      </c>
      <c r="AF9" s="31">
        <f t="shared" ca="1" si="14"/>
        <v>54</v>
      </c>
      <c r="AG9" s="123">
        <f t="shared" ref="AG9:AG106" ca="1" si="15">IF(AE9&gt;0,AF9*100/AE9,0)</f>
        <v>93.103448275862064</v>
      </c>
      <c r="AH9" s="158">
        <f t="shared" ref="AH9:AJ9" ca="1" si="16">AH10+AH11</f>
        <v>1593600</v>
      </c>
      <c r="AI9" s="30">
        <f t="shared" ca="1" si="16"/>
        <v>2857800</v>
      </c>
      <c r="AJ9" s="31">
        <f t="shared" ca="1" si="16"/>
        <v>1093600</v>
      </c>
      <c r="AK9" s="123">
        <f t="shared" ref="AK9:AK106" ca="1" si="17">IF(AI9&gt;0,AJ9*100/AI9,0)</f>
        <v>38.267198544334804</v>
      </c>
      <c r="AL9" s="31">
        <f ca="1">AL10+AL11</f>
        <v>0</v>
      </c>
      <c r="AM9" s="123">
        <f t="shared" ref="AM9:AM106" ca="1" si="18">IF(AI9&gt;0,AL9*100/AI9,0)</f>
        <v>0</v>
      </c>
      <c r="AN9" s="30">
        <f t="shared" ref="AN9:AO9" ca="1" si="19">AN10+AN11</f>
        <v>240</v>
      </c>
      <c r="AO9" s="31">
        <f t="shared" ca="1" si="19"/>
        <v>240</v>
      </c>
      <c r="AP9" s="123">
        <f t="shared" ref="AP9:AP106" ca="1" si="20">IF(AN9&gt;0,AO9*100/AN9,0)</f>
        <v>100</v>
      </c>
      <c r="AQ9" s="158">
        <f t="shared" ref="AQ9:AS9" ca="1" si="21">AQ10+AQ11</f>
        <v>5798050</v>
      </c>
      <c r="AR9" s="30">
        <f t="shared" ca="1" si="21"/>
        <v>960</v>
      </c>
      <c r="AS9" s="31">
        <f t="shared" ca="1" si="21"/>
        <v>932</v>
      </c>
      <c r="AT9" s="123">
        <f t="shared" ref="AT9:AT106" ca="1" si="22">IF(AR9&gt;0,AS9*100/AR9,0)</f>
        <v>97.083333333333329</v>
      </c>
      <c r="AU9" s="30">
        <f t="shared" ref="AU9:AW9" ca="1" si="23">AU10+AU11</f>
        <v>300</v>
      </c>
      <c r="AV9" s="30">
        <f t="shared" ca="1" si="23"/>
        <v>44</v>
      </c>
      <c r="AW9" s="31">
        <f t="shared" ca="1" si="23"/>
        <v>0</v>
      </c>
      <c r="AX9" s="123">
        <f t="shared" ref="AX9:AX106" ca="1" si="24">IF(AU9&gt;0,AW9*100/AU9,0)</f>
        <v>0</v>
      </c>
      <c r="AY9" s="31">
        <f ca="1">AY10+AY11</f>
        <v>0</v>
      </c>
      <c r="AZ9" s="123">
        <f t="shared" ref="AZ9:AZ106" ca="1" si="25">IF(AV9&gt;0,AY9*100/AV9,0)</f>
        <v>0</v>
      </c>
      <c r="BA9" s="30">
        <f t="shared" ref="BA9:BA90" ca="1" si="26">+AN9+AR9</f>
        <v>1200</v>
      </c>
      <c r="BB9" s="31">
        <f ca="1">BB10+BB11</f>
        <v>1172</v>
      </c>
      <c r="BC9" s="123">
        <f t="shared" ref="BC9:BC106" ca="1" si="27">IF(BA9&gt;0,BB9*100/BA9,0)</f>
        <v>97.666666666666671</v>
      </c>
    </row>
    <row r="10" spans="1:55" ht="28.5" customHeight="1">
      <c r="A10" s="33" t="s">
        <v>35</v>
      </c>
      <c r="B10" s="34"/>
      <c r="C10" s="124">
        <f t="shared" ca="1" si="0"/>
        <v>19559350</v>
      </c>
      <c r="D10" s="36">
        <f t="shared" ref="D10:H10" ca="1" si="28">+D15+D33+D54+D76</f>
        <v>19321350</v>
      </c>
      <c r="E10" s="36">
        <f t="shared" ca="1" si="28"/>
        <v>8823700</v>
      </c>
      <c r="F10" s="36">
        <f t="shared" ca="1" si="28"/>
        <v>10497650</v>
      </c>
      <c r="G10" s="36">
        <f t="shared" ca="1" si="28"/>
        <v>238000</v>
      </c>
      <c r="H10" s="36">
        <f t="shared" ca="1" si="28"/>
        <v>15908330</v>
      </c>
      <c r="I10" s="36">
        <f t="shared" ca="1" si="3"/>
        <v>10388156.199999999</v>
      </c>
      <c r="J10" s="125">
        <f t="shared" ca="1" si="4"/>
        <v>53.110947960949616</v>
      </c>
      <c r="K10" s="36">
        <f ca="1">+K15+K33+K54+K76</f>
        <v>10150156.199999999</v>
      </c>
      <c r="L10" s="125">
        <f t="shared" ca="1" si="5"/>
        <v>52.533369562685834</v>
      </c>
      <c r="M10" s="125">
        <f t="shared" ca="1" si="6"/>
        <v>63.804033484344359</v>
      </c>
      <c r="N10" s="125">
        <f ca="1">+N15+N33+N54+N76</f>
        <v>238000</v>
      </c>
      <c r="O10" s="125">
        <f t="shared" ca="1" si="7"/>
        <v>100</v>
      </c>
      <c r="P10" s="36">
        <f t="shared" ref="P10:R10" ca="1" si="29">+P15+P33+P54+P76</f>
        <v>540000</v>
      </c>
      <c r="Q10" s="36">
        <f t="shared" ca="1" si="29"/>
        <v>288</v>
      </c>
      <c r="R10" s="36">
        <f t="shared" ca="1" si="29"/>
        <v>126</v>
      </c>
      <c r="S10" s="125">
        <f t="shared" ca="1" si="9"/>
        <v>43.75</v>
      </c>
      <c r="T10" s="36">
        <f t="shared" ref="T10:Y10" ca="1" si="30">+T15+T33+T54+T76</f>
        <v>3976</v>
      </c>
      <c r="U10" s="36">
        <f t="shared" ca="1" si="30"/>
        <v>3923</v>
      </c>
      <c r="V10" s="36">
        <f t="shared" ca="1" si="30"/>
        <v>53</v>
      </c>
      <c r="W10" s="36">
        <f t="shared" ca="1" si="30"/>
        <v>2842000</v>
      </c>
      <c r="X10" s="36">
        <f t="shared" ca="1" si="30"/>
        <v>203</v>
      </c>
      <c r="Y10" s="36">
        <f t="shared" ca="1" si="30"/>
        <v>183</v>
      </c>
      <c r="Z10" s="125">
        <f t="shared" ca="1" si="11"/>
        <v>90.14778325123153</v>
      </c>
      <c r="AA10" s="36">
        <f t="shared" ref="AA10:AC10" ca="1" si="31">+AA15+AA33+AA54+AA76</f>
        <v>870000</v>
      </c>
      <c r="AB10" s="36">
        <f t="shared" ca="1" si="31"/>
        <v>58</v>
      </c>
      <c r="AC10" s="36">
        <f t="shared" ca="1" si="31"/>
        <v>6</v>
      </c>
      <c r="AD10" s="125">
        <f t="shared" ca="1" si="13"/>
        <v>10.344827586206897</v>
      </c>
      <c r="AE10" s="36">
        <f t="shared" ref="AE10:AF10" ca="1" si="32">+AE15+AE33+AE54+AE76</f>
        <v>58</v>
      </c>
      <c r="AF10" s="36">
        <f t="shared" ca="1" si="32"/>
        <v>54</v>
      </c>
      <c r="AG10" s="125">
        <f t="shared" ca="1" si="15"/>
        <v>93.103448275862064</v>
      </c>
      <c r="AH10" s="36">
        <f t="shared" ref="AH10:AJ10" ca="1" si="33">+AH15+AH33+AH54+AH76</f>
        <v>1399600</v>
      </c>
      <c r="AI10" s="36">
        <f t="shared" ca="1" si="33"/>
        <v>2857800</v>
      </c>
      <c r="AJ10" s="36">
        <f t="shared" ca="1" si="33"/>
        <v>1093600</v>
      </c>
      <c r="AK10" s="125">
        <f t="shared" ca="1" si="17"/>
        <v>38.267198544334804</v>
      </c>
      <c r="AL10" s="36">
        <f ca="1">+AL15+AL33+AL54+AL76</f>
        <v>0</v>
      </c>
      <c r="AM10" s="125">
        <f t="shared" ca="1" si="18"/>
        <v>0</v>
      </c>
      <c r="AN10" s="36">
        <f t="shared" ref="AN10:AO10" ca="1" si="34">+AN15+AN33+AN54+AN76</f>
        <v>240</v>
      </c>
      <c r="AO10" s="36">
        <f t="shared" ca="1" si="34"/>
        <v>240</v>
      </c>
      <c r="AP10" s="125">
        <f t="shared" ca="1" si="20"/>
        <v>100</v>
      </c>
      <c r="AQ10" s="36">
        <f t="shared" ref="AQ10:AS10" ca="1" si="35">+AQ15+AQ33+AQ54+AQ76</f>
        <v>4846050</v>
      </c>
      <c r="AR10" s="36">
        <f t="shared" ca="1" si="35"/>
        <v>960</v>
      </c>
      <c r="AS10" s="36">
        <f t="shared" ca="1" si="35"/>
        <v>932</v>
      </c>
      <c r="AT10" s="125">
        <f t="shared" ca="1" si="22"/>
        <v>97.083333333333329</v>
      </c>
      <c r="AU10" s="36">
        <f t="shared" ref="AU10:AW10" ca="1" si="36">+AU15+AU33+AU54+AU76</f>
        <v>300</v>
      </c>
      <c r="AV10" s="36">
        <f t="shared" ca="1" si="36"/>
        <v>44</v>
      </c>
      <c r="AW10" s="36">
        <f t="shared" ca="1" si="36"/>
        <v>0</v>
      </c>
      <c r="AX10" s="125">
        <f t="shared" ca="1" si="24"/>
        <v>0</v>
      </c>
      <c r="AY10" s="36">
        <f ca="1">+AY15+AY33+AY54+AY76</f>
        <v>0</v>
      </c>
      <c r="AZ10" s="125">
        <f t="shared" ca="1" si="25"/>
        <v>0</v>
      </c>
      <c r="BA10" s="36">
        <f t="shared" ca="1" si="26"/>
        <v>1200</v>
      </c>
      <c r="BB10" s="36">
        <f ca="1">+BB15+BB33+BB54+BB76</f>
        <v>1172</v>
      </c>
      <c r="BC10" s="125">
        <f t="shared" ca="1" si="27"/>
        <v>97.666666666666671</v>
      </c>
    </row>
    <row r="11" spans="1:55" ht="28.5" customHeight="1">
      <c r="A11" s="42" t="s">
        <v>373</v>
      </c>
      <c r="B11" s="43"/>
      <c r="C11" s="126">
        <f t="shared" ca="1" si="0"/>
        <v>6970850</v>
      </c>
      <c r="D11" s="45">
        <f t="shared" ref="D11:H11" ca="1" si="37">+D12+D13</f>
        <v>6970850</v>
      </c>
      <c r="E11" s="45">
        <f t="shared" ca="1" si="37"/>
        <v>5211600</v>
      </c>
      <c r="F11" s="45">
        <f t="shared" ca="1" si="37"/>
        <v>1759250</v>
      </c>
      <c r="G11" s="45">
        <f t="shared" ca="1" si="37"/>
        <v>0</v>
      </c>
      <c r="H11" s="45">
        <f t="shared" ca="1" si="37"/>
        <v>4661570</v>
      </c>
      <c r="I11" s="45">
        <f t="shared" ca="1" si="3"/>
        <v>1759894.0699999998</v>
      </c>
      <c r="J11" s="127">
        <f t="shared" ca="1" si="4"/>
        <v>25.246477402325393</v>
      </c>
      <c r="K11" s="45">
        <f ca="1">+K12+K13</f>
        <v>1759894.0699999998</v>
      </c>
      <c r="L11" s="127">
        <f t="shared" ca="1" si="5"/>
        <v>25.246477402325393</v>
      </c>
      <c r="M11" s="127">
        <f t="shared" ca="1" si="6"/>
        <v>37.753247725551688</v>
      </c>
      <c r="N11" s="127">
        <f ca="1">+N12+N13</f>
        <v>0</v>
      </c>
      <c r="O11" s="127">
        <f t="shared" ca="1" si="7"/>
        <v>0</v>
      </c>
      <c r="P11" s="45">
        <f t="shared" ref="P11:R11" ca="1" si="38">+P12+P13</f>
        <v>49250</v>
      </c>
      <c r="Q11" s="45">
        <f t="shared" ca="1" si="38"/>
        <v>0</v>
      </c>
      <c r="R11" s="45">
        <f t="shared" si="38"/>
        <v>0</v>
      </c>
      <c r="S11" s="127">
        <f t="shared" ca="1" si="9"/>
        <v>0</v>
      </c>
      <c r="T11" s="45">
        <f t="shared" ref="T11:Y11" si="39">+T12+T13</f>
        <v>0</v>
      </c>
      <c r="U11" s="45">
        <f t="shared" si="39"/>
        <v>0</v>
      </c>
      <c r="V11" s="45">
        <f t="shared" si="39"/>
        <v>0</v>
      </c>
      <c r="W11" s="45">
        <f t="shared" ca="1" si="39"/>
        <v>382000</v>
      </c>
      <c r="X11" s="45">
        <f t="shared" ca="1" si="39"/>
        <v>0</v>
      </c>
      <c r="Y11" s="45">
        <f t="shared" si="39"/>
        <v>0</v>
      </c>
      <c r="Z11" s="127">
        <f t="shared" ca="1" si="11"/>
        <v>0</v>
      </c>
      <c r="AA11" s="45">
        <f t="shared" ref="AA11:AC11" ca="1" si="40">+AA12+AA13</f>
        <v>182000</v>
      </c>
      <c r="AB11" s="45">
        <f t="shared" ca="1" si="40"/>
        <v>0</v>
      </c>
      <c r="AC11" s="45">
        <f t="shared" si="40"/>
        <v>0</v>
      </c>
      <c r="AD11" s="127">
        <f t="shared" ca="1" si="13"/>
        <v>0</v>
      </c>
      <c r="AE11" s="45">
        <f t="shared" ref="AE11:AF11" ca="1" si="41">+AE12+AE13</f>
        <v>0</v>
      </c>
      <c r="AF11" s="45">
        <f t="shared" si="41"/>
        <v>0</v>
      </c>
      <c r="AG11" s="127">
        <f t="shared" ca="1" si="15"/>
        <v>0</v>
      </c>
      <c r="AH11" s="45">
        <f t="shared" ref="AH11:AJ11" ca="1" si="42">+AH12+AH13</f>
        <v>194000</v>
      </c>
      <c r="AI11" s="45">
        <f t="shared" ca="1" si="42"/>
        <v>0</v>
      </c>
      <c r="AJ11" s="45">
        <f t="shared" si="42"/>
        <v>0</v>
      </c>
      <c r="AK11" s="127">
        <f t="shared" ca="1" si="17"/>
        <v>0</v>
      </c>
      <c r="AL11" s="45">
        <f>+AL12+AL13</f>
        <v>0</v>
      </c>
      <c r="AM11" s="127">
        <f t="shared" ca="1" si="18"/>
        <v>0</v>
      </c>
      <c r="AN11" s="45">
        <f t="shared" ref="AN11:AO11" ca="1" si="43">+AN12+AN13</f>
        <v>0</v>
      </c>
      <c r="AO11" s="45">
        <f t="shared" si="43"/>
        <v>0</v>
      </c>
      <c r="AP11" s="127">
        <f t="shared" ca="1" si="20"/>
        <v>0</v>
      </c>
      <c r="AQ11" s="45">
        <f t="shared" ref="AQ11:AS11" ca="1" si="44">+AQ12+AQ13</f>
        <v>952000</v>
      </c>
      <c r="AR11" s="45">
        <f t="shared" ca="1" si="44"/>
        <v>0</v>
      </c>
      <c r="AS11" s="45">
        <f t="shared" si="44"/>
        <v>0</v>
      </c>
      <c r="AT11" s="127">
        <f t="shared" ca="1" si="22"/>
        <v>0</v>
      </c>
      <c r="AU11" s="45">
        <f t="shared" ref="AU11:AW11" ca="1" si="45">+AU12+AU13</f>
        <v>0</v>
      </c>
      <c r="AV11" s="45">
        <f t="shared" ca="1" si="45"/>
        <v>0</v>
      </c>
      <c r="AW11" s="45">
        <f t="shared" si="45"/>
        <v>0</v>
      </c>
      <c r="AX11" s="127">
        <f t="shared" ca="1" si="24"/>
        <v>0</v>
      </c>
      <c r="AY11" s="45">
        <f>+AY12+AY13</f>
        <v>0</v>
      </c>
      <c r="AZ11" s="127">
        <f t="shared" ca="1" si="25"/>
        <v>0</v>
      </c>
      <c r="BA11" s="45">
        <f t="shared" ca="1" si="26"/>
        <v>0</v>
      </c>
      <c r="BB11" s="45">
        <f>+BB12+BB13</f>
        <v>0</v>
      </c>
      <c r="BC11" s="127">
        <f t="shared" ca="1" si="27"/>
        <v>0</v>
      </c>
    </row>
    <row r="12" spans="1:55" ht="28.5" hidden="1" customHeight="1">
      <c r="A12" s="42" t="s">
        <v>36</v>
      </c>
      <c r="B12" s="43"/>
      <c r="C12" s="126">
        <f t="shared" ca="1" si="0"/>
        <v>2470850</v>
      </c>
      <c r="D12" s="45">
        <f t="shared" ref="D12:H12" ca="1" si="46">+D91</f>
        <v>2470850</v>
      </c>
      <c r="E12" s="45">
        <f t="shared" ca="1" si="46"/>
        <v>711600</v>
      </c>
      <c r="F12" s="45">
        <f t="shared" ca="1" si="46"/>
        <v>1759250</v>
      </c>
      <c r="G12" s="45">
        <f t="shared" ca="1" si="46"/>
        <v>0</v>
      </c>
      <c r="H12" s="45">
        <f t="shared" ca="1" si="46"/>
        <v>2486770</v>
      </c>
      <c r="I12" s="45">
        <f t="shared" ca="1" si="3"/>
        <v>1002022.07</v>
      </c>
      <c r="J12" s="127">
        <f t="shared" ca="1" si="4"/>
        <v>40.553739401420565</v>
      </c>
      <c r="K12" s="45">
        <f ca="1">+K91</f>
        <v>1002022.07</v>
      </c>
      <c r="L12" s="127">
        <f t="shared" ca="1" si="5"/>
        <v>40.553739401420565</v>
      </c>
      <c r="M12" s="127">
        <f t="shared" ca="1" si="6"/>
        <v>40.294119279225662</v>
      </c>
      <c r="N12" s="127">
        <f ca="1">+N91</f>
        <v>0</v>
      </c>
      <c r="O12" s="127">
        <f t="shared" ca="1" si="7"/>
        <v>0</v>
      </c>
      <c r="P12" s="45">
        <f t="shared" ref="P12:R12" ca="1" si="47">+P91</f>
        <v>49250</v>
      </c>
      <c r="Q12" s="45">
        <f t="shared" ca="1" si="47"/>
        <v>0</v>
      </c>
      <c r="R12" s="45">
        <f t="shared" si="47"/>
        <v>0</v>
      </c>
      <c r="S12" s="127">
        <f t="shared" ca="1" si="9"/>
        <v>0</v>
      </c>
      <c r="T12" s="45">
        <f t="shared" ref="T12:Y12" si="48">+T91</f>
        <v>0</v>
      </c>
      <c r="U12" s="45">
        <f t="shared" si="48"/>
        <v>0</v>
      </c>
      <c r="V12" s="45">
        <f t="shared" si="48"/>
        <v>0</v>
      </c>
      <c r="W12" s="45">
        <f t="shared" ca="1" si="48"/>
        <v>382000</v>
      </c>
      <c r="X12" s="45">
        <f t="shared" ca="1" si="48"/>
        <v>0</v>
      </c>
      <c r="Y12" s="45">
        <f t="shared" si="48"/>
        <v>0</v>
      </c>
      <c r="Z12" s="127">
        <f t="shared" ca="1" si="11"/>
        <v>0</v>
      </c>
      <c r="AA12" s="45">
        <f t="shared" ref="AA12:AC12" ca="1" si="49">+AA91</f>
        <v>182000</v>
      </c>
      <c r="AB12" s="45">
        <f t="shared" ca="1" si="49"/>
        <v>0</v>
      </c>
      <c r="AC12" s="45">
        <f t="shared" si="49"/>
        <v>0</v>
      </c>
      <c r="AD12" s="127">
        <f t="shared" ca="1" si="13"/>
        <v>0</v>
      </c>
      <c r="AE12" s="45">
        <f t="shared" ref="AE12:AF12" ca="1" si="50">+AE91</f>
        <v>0</v>
      </c>
      <c r="AF12" s="45">
        <f t="shared" si="50"/>
        <v>0</v>
      </c>
      <c r="AG12" s="127">
        <f t="shared" ca="1" si="15"/>
        <v>0</v>
      </c>
      <c r="AH12" s="45">
        <f t="shared" ref="AH12:AJ12" ca="1" si="51">+AH91</f>
        <v>194000</v>
      </c>
      <c r="AI12" s="45">
        <f t="shared" ca="1" si="51"/>
        <v>0</v>
      </c>
      <c r="AJ12" s="45">
        <f t="shared" si="51"/>
        <v>0</v>
      </c>
      <c r="AK12" s="127">
        <f t="shared" ca="1" si="17"/>
        <v>0</v>
      </c>
      <c r="AL12" s="45">
        <f>+AL91</f>
        <v>0</v>
      </c>
      <c r="AM12" s="127">
        <f t="shared" ca="1" si="18"/>
        <v>0</v>
      </c>
      <c r="AN12" s="45">
        <f t="shared" ref="AN12:AO12" ca="1" si="52">+AN91</f>
        <v>0</v>
      </c>
      <c r="AO12" s="45">
        <f t="shared" si="52"/>
        <v>0</v>
      </c>
      <c r="AP12" s="127">
        <f t="shared" ca="1" si="20"/>
        <v>0</v>
      </c>
      <c r="AQ12" s="45">
        <f t="shared" ref="AQ12:AS12" ca="1" si="53">+AQ91</f>
        <v>952000</v>
      </c>
      <c r="AR12" s="45">
        <f t="shared" ca="1" si="53"/>
        <v>0</v>
      </c>
      <c r="AS12" s="45">
        <f t="shared" si="53"/>
        <v>0</v>
      </c>
      <c r="AT12" s="127">
        <f t="shared" ca="1" si="22"/>
        <v>0</v>
      </c>
      <c r="AU12" s="45">
        <f t="shared" ref="AU12:AW12" ca="1" si="54">+AU91</f>
        <v>0</v>
      </c>
      <c r="AV12" s="45">
        <f t="shared" ca="1" si="54"/>
        <v>0</v>
      </c>
      <c r="AW12" s="45">
        <f t="shared" si="54"/>
        <v>0</v>
      </c>
      <c r="AX12" s="127">
        <f t="shared" ca="1" si="24"/>
        <v>0</v>
      </c>
      <c r="AY12" s="45">
        <f>+AY91</f>
        <v>0</v>
      </c>
      <c r="AZ12" s="127">
        <f t="shared" ca="1" si="25"/>
        <v>0</v>
      </c>
      <c r="BA12" s="45">
        <f t="shared" ca="1" si="26"/>
        <v>0</v>
      </c>
      <c r="BB12" s="45">
        <f>+BB91</f>
        <v>0</v>
      </c>
      <c r="BC12" s="127">
        <f t="shared" ca="1" si="27"/>
        <v>0</v>
      </c>
    </row>
    <row r="13" spans="1:55" ht="28.5" hidden="1" customHeight="1">
      <c r="A13" s="42" t="s">
        <v>37</v>
      </c>
      <c r="B13" s="43"/>
      <c r="C13" s="126">
        <f t="shared" ca="1" si="0"/>
        <v>4500000</v>
      </c>
      <c r="D13" s="45">
        <f t="shared" ref="D13:H13" ca="1" si="55">+D106</f>
        <v>4500000</v>
      </c>
      <c r="E13" s="45">
        <f t="shared" ca="1" si="55"/>
        <v>4500000</v>
      </c>
      <c r="F13" s="45">
        <f t="shared" ca="1" si="55"/>
        <v>0</v>
      </c>
      <c r="G13" s="45">
        <f t="shared" ca="1" si="55"/>
        <v>0</v>
      </c>
      <c r="H13" s="45">
        <f t="shared" ca="1" si="55"/>
        <v>2174800</v>
      </c>
      <c r="I13" s="45">
        <f t="shared" ca="1" si="3"/>
        <v>757872</v>
      </c>
      <c r="J13" s="127">
        <f t="shared" ca="1" si="4"/>
        <v>16.8416</v>
      </c>
      <c r="K13" s="45">
        <f>+K106</f>
        <v>757872</v>
      </c>
      <c r="L13" s="127">
        <f t="shared" ca="1" si="5"/>
        <v>16.8416</v>
      </c>
      <c r="M13" s="127">
        <f t="shared" ca="1" si="6"/>
        <v>34.84789405922384</v>
      </c>
      <c r="N13" s="127">
        <f ca="1">+N106</f>
        <v>0</v>
      </c>
      <c r="O13" s="127">
        <f t="shared" ca="1" si="7"/>
        <v>0</v>
      </c>
      <c r="P13" s="45">
        <f t="shared" ref="P13:R13" si="56">+P106</f>
        <v>0</v>
      </c>
      <c r="Q13" s="45">
        <f t="shared" si="56"/>
        <v>0</v>
      </c>
      <c r="R13" s="45">
        <f t="shared" si="56"/>
        <v>0</v>
      </c>
      <c r="S13" s="127">
        <f t="shared" si="9"/>
        <v>0</v>
      </c>
      <c r="T13" s="45">
        <f t="shared" ref="T13:Y13" si="57">+T106</f>
        <v>0</v>
      </c>
      <c r="U13" s="45">
        <f t="shared" si="57"/>
        <v>0</v>
      </c>
      <c r="V13" s="45">
        <f t="shared" si="57"/>
        <v>0</v>
      </c>
      <c r="W13" s="45">
        <f t="shared" si="57"/>
        <v>0</v>
      </c>
      <c r="X13" s="45">
        <f t="shared" si="57"/>
        <v>0</v>
      </c>
      <c r="Y13" s="45">
        <f t="shared" si="57"/>
        <v>0</v>
      </c>
      <c r="Z13" s="127">
        <f t="shared" si="11"/>
        <v>0</v>
      </c>
      <c r="AA13" s="45">
        <f t="shared" ref="AA13:AC13" si="58">+AA106</f>
        <v>0</v>
      </c>
      <c r="AB13" s="45">
        <f t="shared" si="58"/>
        <v>0</v>
      </c>
      <c r="AC13" s="45">
        <f t="shared" si="58"/>
        <v>0</v>
      </c>
      <c r="AD13" s="127">
        <f t="shared" si="13"/>
        <v>0</v>
      </c>
      <c r="AE13" s="45">
        <f t="shared" ref="AE13:AF13" si="59">+AE106</f>
        <v>0</v>
      </c>
      <c r="AF13" s="45">
        <f t="shared" si="59"/>
        <v>0</v>
      </c>
      <c r="AG13" s="127">
        <f t="shared" si="15"/>
        <v>0</v>
      </c>
      <c r="AH13" s="45">
        <f t="shared" ref="AH13:AJ13" si="60">+AH106</f>
        <v>0</v>
      </c>
      <c r="AI13" s="45">
        <f t="shared" si="60"/>
        <v>0</v>
      </c>
      <c r="AJ13" s="45">
        <f t="shared" si="60"/>
        <v>0</v>
      </c>
      <c r="AK13" s="127">
        <f t="shared" si="17"/>
        <v>0</v>
      </c>
      <c r="AL13" s="45">
        <f>+AL106</f>
        <v>0</v>
      </c>
      <c r="AM13" s="127">
        <f t="shared" si="18"/>
        <v>0</v>
      </c>
      <c r="AN13" s="45">
        <f t="shared" ref="AN13:AO13" si="61">+AN106</f>
        <v>0</v>
      </c>
      <c r="AO13" s="45">
        <f t="shared" si="61"/>
        <v>0</v>
      </c>
      <c r="AP13" s="127">
        <f t="shared" si="20"/>
        <v>0</v>
      </c>
      <c r="AQ13" s="45">
        <f t="shared" ref="AQ13:AS13" si="62">+AQ106</f>
        <v>0</v>
      </c>
      <c r="AR13" s="45">
        <f t="shared" si="62"/>
        <v>0</v>
      </c>
      <c r="AS13" s="45">
        <f t="shared" si="62"/>
        <v>0</v>
      </c>
      <c r="AT13" s="127">
        <f t="shared" si="22"/>
        <v>0</v>
      </c>
      <c r="AU13" s="45">
        <f t="shared" ref="AU13:AW13" si="63">+AU106</f>
        <v>0</v>
      </c>
      <c r="AV13" s="45">
        <f t="shared" si="63"/>
        <v>0</v>
      </c>
      <c r="AW13" s="45">
        <f t="shared" si="63"/>
        <v>0</v>
      </c>
      <c r="AX13" s="127">
        <f t="shared" si="24"/>
        <v>0</v>
      </c>
      <c r="AY13" s="45">
        <f>+AY106</f>
        <v>0</v>
      </c>
      <c r="AZ13" s="127">
        <f t="shared" si="25"/>
        <v>0</v>
      </c>
      <c r="BA13" s="45">
        <f t="shared" si="26"/>
        <v>0</v>
      </c>
      <c r="BB13" s="45">
        <f>+BB106</f>
        <v>0</v>
      </c>
      <c r="BC13" s="127">
        <f t="shared" si="27"/>
        <v>0</v>
      </c>
    </row>
    <row r="14" spans="1:55" ht="28.5" hidden="1" customHeight="1">
      <c r="A14" s="51" t="s">
        <v>38</v>
      </c>
      <c r="B14" s="52"/>
      <c r="C14" s="128">
        <f t="shared" si="0"/>
        <v>0</v>
      </c>
      <c r="D14" s="129">
        <v>0</v>
      </c>
      <c r="E14" s="129">
        <v>0</v>
      </c>
      <c r="F14" s="129">
        <v>0</v>
      </c>
      <c r="G14" s="130">
        <v>0</v>
      </c>
      <c r="H14" s="130">
        <v>0</v>
      </c>
      <c r="I14" s="130">
        <f t="shared" si="3"/>
        <v>0</v>
      </c>
      <c r="J14" s="131">
        <f t="shared" si="4"/>
        <v>0</v>
      </c>
      <c r="K14" s="54">
        <v>0</v>
      </c>
      <c r="L14" s="131">
        <f t="shared" si="5"/>
        <v>0</v>
      </c>
      <c r="M14" s="132">
        <f t="shared" si="6"/>
        <v>0</v>
      </c>
      <c r="N14" s="132">
        <v>0</v>
      </c>
      <c r="O14" s="132">
        <f t="shared" si="7"/>
        <v>0</v>
      </c>
      <c r="P14" s="129">
        <v>0</v>
      </c>
      <c r="Q14" s="129">
        <v>0</v>
      </c>
      <c r="R14" s="129">
        <v>0</v>
      </c>
      <c r="S14" s="134">
        <f t="shared" si="9"/>
        <v>0</v>
      </c>
      <c r="T14" s="129"/>
      <c r="U14" s="129"/>
      <c r="V14" s="129"/>
      <c r="W14" s="129">
        <v>0</v>
      </c>
      <c r="X14" s="129">
        <v>0</v>
      </c>
      <c r="Y14" s="129">
        <v>0</v>
      </c>
      <c r="Z14" s="134">
        <f t="shared" si="11"/>
        <v>0</v>
      </c>
      <c r="AA14" s="129">
        <v>0</v>
      </c>
      <c r="AB14" s="129">
        <v>0</v>
      </c>
      <c r="AC14" s="129">
        <v>0</v>
      </c>
      <c r="AD14" s="134">
        <f t="shared" si="13"/>
        <v>0</v>
      </c>
      <c r="AE14" s="129">
        <v>0</v>
      </c>
      <c r="AF14" s="129">
        <v>0</v>
      </c>
      <c r="AG14" s="134">
        <f t="shared" si="15"/>
        <v>0</v>
      </c>
      <c r="AH14" s="129">
        <v>0</v>
      </c>
      <c r="AI14" s="129">
        <v>0</v>
      </c>
      <c r="AJ14" s="129">
        <v>0</v>
      </c>
      <c r="AK14" s="134">
        <f t="shared" si="17"/>
        <v>0</v>
      </c>
      <c r="AL14" s="129">
        <v>0</v>
      </c>
      <c r="AM14" s="134">
        <f t="shared" si="18"/>
        <v>0</v>
      </c>
      <c r="AN14" s="129">
        <v>0</v>
      </c>
      <c r="AO14" s="129">
        <v>0</v>
      </c>
      <c r="AP14" s="134">
        <f t="shared" si="20"/>
        <v>0</v>
      </c>
      <c r="AQ14" s="129">
        <v>0</v>
      </c>
      <c r="AR14" s="129">
        <v>0</v>
      </c>
      <c r="AS14" s="129">
        <v>0</v>
      </c>
      <c r="AT14" s="134">
        <f t="shared" si="22"/>
        <v>0</v>
      </c>
      <c r="AU14" s="129">
        <v>0</v>
      </c>
      <c r="AV14" s="129">
        <v>0</v>
      </c>
      <c r="AW14" s="129">
        <v>0</v>
      </c>
      <c r="AX14" s="134">
        <f t="shared" si="24"/>
        <v>0</v>
      </c>
      <c r="AY14" s="129">
        <v>0</v>
      </c>
      <c r="AZ14" s="134">
        <f t="shared" si="25"/>
        <v>0</v>
      </c>
      <c r="BA14" s="129">
        <f t="shared" si="26"/>
        <v>0</v>
      </c>
      <c r="BB14" s="129">
        <v>0</v>
      </c>
      <c r="BC14" s="134">
        <f t="shared" si="27"/>
        <v>0</v>
      </c>
    </row>
    <row r="15" spans="1:55" ht="28.5" customHeight="1">
      <c r="A15" s="676" t="s">
        <v>39</v>
      </c>
      <c r="B15" s="654"/>
      <c r="C15" s="58">
        <f t="shared" ca="1" si="0"/>
        <v>5884000</v>
      </c>
      <c r="D15" s="59">
        <f t="shared" ref="D15:H15" ca="1" si="64">SUM(D16:D32)</f>
        <v>5646000</v>
      </c>
      <c r="E15" s="59">
        <f t="shared" ca="1" si="64"/>
        <v>2232800</v>
      </c>
      <c r="F15" s="59">
        <f t="shared" ca="1" si="64"/>
        <v>3413200</v>
      </c>
      <c r="G15" s="59">
        <f t="shared" ca="1" si="64"/>
        <v>238000</v>
      </c>
      <c r="H15" s="59">
        <f t="shared" ca="1" si="64"/>
        <v>4520825</v>
      </c>
      <c r="I15" s="59">
        <f t="shared" ca="1" si="3"/>
        <v>3146784.0100000002</v>
      </c>
      <c r="J15" s="135">
        <f t="shared" ca="1" si="4"/>
        <v>53.480353670972129</v>
      </c>
      <c r="K15" s="59">
        <f ca="1">SUM(K16:K32)</f>
        <v>2908784.0100000002</v>
      </c>
      <c r="L15" s="135">
        <f t="shared" ca="1" si="5"/>
        <v>51.519376726886293</v>
      </c>
      <c r="M15" s="135">
        <f t="shared" ca="1" si="6"/>
        <v>64.34188472236815</v>
      </c>
      <c r="N15" s="135">
        <f ca="1">SUM(N16:N32)</f>
        <v>238000</v>
      </c>
      <c r="O15" s="135">
        <f t="shared" ca="1" si="7"/>
        <v>100</v>
      </c>
      <c r="P15" s="59">
        <f t="shared" ref="P15:R15" ca="1" si="65">SUM(P16:P32)</f>
        <v>127500</v>
      </c>
      <c r="Q15" s="59">
        <f t="shared" ca="1" si="65"/>
        <v>68</v>
      </c>
      <c r="R15" s="59">
        <f t="shared" ca="1" si="65"/>
        <v>32</v>
      </c>
      <c r="S15" s="135">
        <f t="shared" ca="1" si="9"/>
        <v>47.058823529411768</v>
      </c>
      <c r="T15" s="59">
        <f t="shared" ref="T15:Y15" ca="1" si="66">SUM(T16:T32)</f>
        <v>1233</v>
      </c>
      <c r="U15" s="59">
        <f t="shared" ca="1" si="66"/>
        <v>1231</v>
      </c>
      <c r="V15" s="59">
        <f t="shared" ca="1" si="66"/>
        <v>2</v>
      </c>
      <c r="W15" s="59">
        <f t="shared" ca="1" si="66"/>
        <v>728000</v>
      </c>
      <c r="X15" s="59">
        <f t="shared" ca="1" si="66"/>
        <v>52</v>
      </c>
      <c r="Y15" s="59">
        <f t="shared" ca="1" si="66"/>
        <v>48</v>
      </c>
      <c r="Z15" s="135">
        <f t="shared" ca="1" si="11"/>
        <v>92.307692307692307</v>
      </c>
      <c r="AA15" s="59">
        <f t="shared" ref="AA15:AC15" ca="1" si="67">SUM(AA16:AA32)</f>
        <v>60000</v>
      </c>
      <c r="AB15" s="59">
        <f t="shared" ca="1" si="67"/>
        <v>4</v>
      </c>
      <c r="AC15" s="59">
        <f t="shared" ca="1" si="67"/>
        <v>2</v>
      </c>
      <c r="AD15" s="135">
        <f t="shared" ca="1" si="13"/>
        <v>50</v>
      </c>
      <c r="AE15" s="59">
        <f t="shared" ref="AE15:AF15" ca="1" si="68">SUM(AE16:AE32)</f>
        <v>4</v>
      </c>
      <c r="AF15" s="59">
        <f t="shared" ca="1" si="68"/>
        <v>3</v>
      </c>
      <c r="AG15" s="135">
        <f t="shared" ca="1" si="15"/>
        <v>75</v>
      </c>
      <c r="AH15" s="59">
        <f t="shared" ref="AH15:AJ15" ca="1" si="69">SUM(AH16:AH32)</f>
        <v>491600</v>
      </c>
      <c r="AI15" s="59">
        <f t="shared" ca="1" si="69"/>
        <v>1224000</v>
      </c>
      <c r="AJ15" s="59">
        <f t="shared" ca="1" si="69"/>
        <v>644000</v>
      </c>
      <c r="AK15" s="135">
        <f t="shared" ca="1" si="17"/>
        <v>52.614379084967318</v>
      </c>
      <c r="AL15" s="59">
        <f ca="1">SUM(AL16:AL32)</f>
        <v>0</v>
      </c>
      <c r="AM15" s="135">
        <f t="shared" ca="1" si="18"/>
        <v>0</v>
      </c>
      <c r="AN15" s="59">
        <f t="shared" ref="AN15:AO15" ca="1" si="70">SUM(AN16:AN32)</f>
        <v>60</v>
      </c>
      <c r="AO15" s="59">
        <f t="shared" ca="1" si="70"/>
        <v>60</v>
      </c>
      <c r="AP15" s="135">
        <f t="shared" ca="1" si="20"/>
        <v>100</v>
      </c>
      <c r="AQ15" s="59">
        <f t="shared" ref="AQ15:AS15" ca="1" si="71">SUM(AQ16:AQ32)</f>
        <v>2006100</v>
      </c>
      <c r="AR15" s="59">
        <f t="shared" ca="1" si="71"/>
        <v>380</v>
      </c>
      <c r="AS15" s="59">
        <f t="shared" ca="1" si="71"/>
        <v>380</v>
      </c>
      <c r="AT15" s="135">
        <f t="shared" ca="1" si="22"/>
        <v>100</v>
      </c>
      <c r="AU15" s="59">
        <f t="shared" ref="AU15:AW15" ca="1" si="72">SUM(AU16:AU32)</f>
        <v>130</v>
      </c>
      <c r="AV15" s="59">
        <f t="shared" ca="1" si="72"/>
        <v>12</v>
      </c>
      <c r="AW15" s="59">
        <f t="shared" ca="1" si="72"/>
        <v>0</v>
      </c>
      <c r="AX15" s="135">
        <f t="shared" ca="1" si="24"/>
        <v>0</v>
      </c>
      <c r="AY15" s="59">
        <f ca="1">SUM(AY16:AY32)</f>
        <v>0</v>
      </c>
      <c r="AZ15" s="135">
        <f t="shared" ca="1" si="25"/>
        <v>0</v>
      </c>
      <c r="BA15" s="59">
        <f t="shared" ca="1" si="26"/>
        <v>440</v>
      </c>
      <c r="BB15" s="59">
        <f ca="1">SUM(BB16:BB32)</f>
        <v>440</v>
      </c>
      <c r="BC15" s="135">
        <f t="shared" ca="1" si="27"/>
        <v>100</v>
      </c>
    </row>
    <row r="16" spans="1:55" ht="24" customHeight="1">
      <c r="A16" s="63">
        <v>1</v>
      </c>
      <c r="B16" s="64" t="s">
        <v>40</v>
      </c>
      <c r="C16" s="65">
        <f t="shared" ca="1" si="0"/>
        <v>69000</v>
      </c>
      <c r="D16" s="66">
        <f ca="1">E16+F16</f>
        <v>69000</v>
      </c>
      <c r="E16" s="67">
        <f ca="1">IFERROR(__xludf.DUMMYFUNCTION("IMPORTRANGE(""https://docs.google.com/spreadsheets/d/1C3CXT74ZlgGe6_JY_1olB1XN4rF0dxEuIIF-xsYjHgg/edit?usp=sharing"",""พรบ!AD20"")"),0)</f>
        <v>0</v>
      </c>
      <c r="F16" s="67">
        <f ca="1">IFERROR(__xludf.DUMMYFUNCTION("IMPORTRANGE(""https://docs.google.com/spreadsheets/d/1C3CXT74ZlgGe6_JY_1olB1XN4rF0dxEuIIF-xsYjHgg/edit?usp=sharing"",""พรบ!AE20"")"),69000)</f>
        <v>69000</v>
      </c>
      <c r="G16" s="67">
        <f ca="1">IFERROR(__xludf.DUMMYFUNCTION("IMPORTRANGE(""https://docs.google.com/spreadsheets/d/1Yj_ptqi66GCucihVvJfMjLAmec39IyEx_6qawtMGysU/edit?usp=sharing"",""สบก!BH20"")"),0)</f>
        <v>0</v>
      </c>
      <c r="H16" s="67">
        <f ca="1">IFERROR(__xludf.DUMMYFUNCTION("IMPORTRANGE(""https://docs.google.com/spreadsheets/d/1Yj_ptqi66GCucihVvJfMjLAmec39IyEx_6qawtMGysU/edit?usp=shBJing"",""สบก!BJ20"")"),145425)</f>
        <v>145425</v>
      </c>
      <c r="I16" s="67">
        <f t="shared" ca="1" si="3"/>
        <v>109950</v>
      </c>
      <c r="J16" s="136">
        <f t="shared" ca="1" si="4"/>
        <v>159.34782608695653</v>
      </c>
      <c r="K16" s="67">
        <f ca="1">IFERROR(__xludf.DUMMYFUNCTION("IMPORTRANGE(""https://docs.google.com/spreadsheets/d/1Yj_ptqi66GCucihVvJfMjLAmec39IyEx_6qawtMGysU/edit?usp=sharing"",""สบก!BK20"")"),109950)</f>
        <v>109950</v>
      </c>
      <c r="L16" s="136">
        <f t="shared" ca="1" si="5"/>
        <v>159.34782608695653</v>
      </c>
      <c r="M16" s="136">
        <f t="shared" ca="1" si="6"/>
        <v>75.605982465188248</v>
      </c>
      <c r="N16" s="136">
        <f ca="1">IFERROR(__xludf.DUMMYFUNCTION("IMPORTRANGE(""https://docs.google.com/spreadsheets/d/1Yj_ptqi66GCucihVvJfMjLAmec39IyEx_6qawtMGysU/edit?usp=sharing"",""สบก!BL20"")"),0)</f>
        <v>0</v>
      </c>
      <c r="O16" s="136">
        <f t="shared" ca="1" si="7"/>
        <v>0</v>
      </c>
      <c r="P16" s="67">
        <f ca="1">IFERROR(__xludf.DUMMYFUNCTION("IMPORTRANGE(""https://docs.google.com/spreadsheets/d/1C3CXT74ZlgGe6_JY_1olB1XN4rF0dxEuIIF-xsYjHgg/edit?usp=sharing"",""พรบ!AF20"")"),7500)</f>
        <v>7500</v>
      </c>
      <c r="Q16" s="67">
        <f ca="1">IFERROR(__xludf.DUMMYFUNCTION("IMPORTRANGE(""https://docs.google.com/spreadsheets/d/1C3CXT74ZlgGe6_JY_1olB1XN4rF0dxEuIIF-xsYjHgg/edit?usp=sharing"",""พรบ!AG20"")"),4)</f>
        <v>4</v>
      </c>
      <c r="R16" s="67">
        <f ca="1">IFERROR(__xludf.DUMMYFUNCTION("IMPORTRANGE(""https://docs.google.com/spreadsheets/d/11923uPwbBZFjjGgGUA6NLw09EwE0CqkOc4q9oUmW1yo/edit?usp=sharing"",""กำแพงเพชร!J83"")"),2)</f>
        <v>2</v>
      </c>
      <c r="S16" s="136">
        <f t="shared" ca="1" si="9"/>
        <v>50</v>
      </c>
      <c r="T16" s="67">
        <f t="shared" ref="T16:T32" ca="1" si="73">U16+V16</f>
        <v>33</v>
      </c>
      <c r="U16" s="67">
        <f ca="1">IFERROR(__xludf.DUMMYFUNCTION("IMPORTRANGE(""https://docs.google.com/spreadsheets/d/11923uPwbBZFjjGgGUA6NLw09EwE0CqkOc4q9oUmW1yo/edit?usp=sharing"",""กำแพงเพชร!J85"")"),33)</f>
        <v>33</v>
      </c>
      <c r="V16" s="67">
        <f ca="1">IFERROR(__xludf.DUMMYFUNCTION("IMPORTRANGE(""https://docs.google.com/spreadsheets/d/11923uPwbBZFjjGgGUA6NLw09EwE0CqkOc4q9oUmW1yo/edit?usp=sharing"",""กำแพงเพชร!J86"")"),0)</f>
        <v>0</v>
      </c>
      <c r="W16" s="67">
        <f ca="1">IFERROR(__xludf.DUMMYFUNCTION("IMPORTRANGE(""https://docs.google.com/spreadsheets/d/1C3CXT74ZlgGe6_JY_1olB1XN4rF0dxEuIIF-xsYjHgg/edit?usp=sharing"",""พรบ!AH20"")"),42000)</f>
        <v>42000</v>
      </c>
      <c r="X16" s="67">
        <f ca="1">IFERROR(__xludf.DUMMYFUNCTION("IMPORTRANGE(""https://docs.google.com/spreadsheets/d/1C3CXT74ZlgGe6_JY_1olB1XN4rF0dxEuIIF-xsYjHgg/edit?usp=sharing"",""พรบ!AI20"")"),3)</f>
        <v>3</v>
      </c>
      <c r="Y16" s="67">
        <f ca="1">IFERROR(__xludf.DUMMYFUNCTION("IMPORTRANGE(""https://docs.google.com/spreadsheets/d/11923uPwbBZFjjGgGUA6NLw09EwE0CqkOc4q9oUmW1yo/edit?usp=sharing"",""กำแพงเพชร!J98"")"),2)</f>
        <v>2</v>
      </c>
      <c r="Z16" s="136">
        <f t="shared" ca="1" si="11"/>
        <v>66.666666666666671</v>
      </c>
      <c r="AA16" s="67">
        <f ca="1">IFERROR(__xludf.DUMMYFUNCTION("IMPORTRANGE(""https://docs.google.com/spreadsheets/d/1C3CXT74ZlgGe6_JY_1olB1XN4rF0dxEuIIF-xsYjHgg/edit?usp=sharing"",""พรบ!AJ20"")"),0)</f>
        <v>0</v>
      </c>
      <c r="AB16" s="67">
        <f ca="1">IFERROR(__xludf.DUMMYFUNCTION("IMPORTRANGE(""https://docs.google.com/spreadsheets/d/1C3CXT74ZlgGe6_JY_1olB1XN4rF0dxEuIIF-xsYjHgg/edit?usp=sharing"",""พรบ!AK20"")"),0)</f>
        <v>0</v>
      </c>
      <c r="AC16" s="67">
        <f ca="1">IFERROR(__xludf.DUMMYFUNCTION("IMPORTRANGE(""https://docs.google.com/spreadsheets/d/11923uPwbBZFjjGgGUA6NLw09EwE0CqkOc4q9oUmW1yo/edit?usp=sharing"",""กำแพงเพชร!J110"")"),0)</f>
        <v>0</v>
      </c>
      <c r="AD16" s="136">
        <f t="shared" ca="1" si="13"/>
        <v>0</v>
      </c>
      <c r="AE16" s="67">
        <f ca="1">IFERROR(__xludf.DUMMYFUNCTION("IMPORTRANGE(""https://docs.google.com/spreadsheets/d/1C3CXT74ZlgGe6_JY_1olB1XN4rF0dxEuIIF-xsYjHgg/edit?usp=sharing"",""พรบ!AL20"")"),0)</f>
        <v>0</v>
      </c>
      <c r="AF16" s="67">
        <f ca="1">IFERROR(__xludf.DUMMYFUNCTION("IMPORTRANGE(""https://docs.google.com/spreadsheets/d/11923uPwbBZFjjGgGUA6NLw09EwE0CqkOc4q9oUmW1yo/edit?usp=sharing"",""กำแพงเพชร!J111"")"),0)</f>
        <v>0</v>
      </c>
      <c r="AG16" s="136">
        <f t="shared" ca="1" si="15"/>
        <v>0</v>
      </c>
      <c r="AH16" s="67">
        <f ca="1">IFERROR(__xludf.DUMMYFUNCTION("IMPORTRANGE(""https://docs.google.com/spreadsheets/d/1C3CXT74ZlgGe6_JY_1olB1XN4rF0dxEuIIF-xsYjHgg/edit?usp=sharing"",""พรบ!AM20"")"),19500)</f>
        <v>19500</v>
      </c>
      <c r="AI16" s="67">
        <f ca="1">IFERROR(__xludf.DUMMYFUNCTION("IMPORTRANGE(""https://docs.google.com/spreadsheets/d/1C3CXT74ZlgGe6_JY_1olB1XN4rF0dxEuIIF-xsYjHgg/edit?usp=sharing"",""พรบ!AN20"")"),50000)</f>
        <v>50000</v>
      </c>
      <c r="AJ16" s="67">
        <f ca="1">IFERROR(__xludf.DUMMYFUNCTION("IMPORTRANGE(""https://docs.google.com/spreadsheets/d/11923uPwbBZFjjGgGUA6NLw09EwE0CqkOc4q9oUmW1yo/edit?usp=sharing"",""กำแพงเพชร!J124"")"),0)</f>
        <v>0</v>
      </c>
      <c r="AK16" s="136">
        <f t="shared" ca="1" si="17"/>
        <v>0</v>
      </c>
      <c r="AL16" s="67">
        <f ca="1">IFERROR(__xludf.DUMMYFUNCTION("IMPORTRANGE(""https://docs.google.com/spreadsheets/d/11923uPwbBZFjjGgGUA6NLw09EwE0CqkOc4q9oUmW1yo/edit?usp=sharing"",""กำแพงเพชร!J125"")"),0)</f>
        <v>0</v>
      </c>
      <c r="AM16" s="136">
        <f t="shared" ca="1" si="18"/>
        <v>0</v>
      </c>
      <c r="AN16" s="67">
        <f ca="1">IFERROR(__xludf.DUMMYFUNCTION("IMPORTRANGE(""https://docs.google.com/spreadsheets/d/1C3CXT74ZlgGe6_JY_1olB1XN4rF0dxEuIIF-xsYjHgg/edit?usp=sharing"",""พรบ!AQ20"")"),0)</f>
        <v>0</v>
      </c>
      <c r="AO16" s="67">
        <f ca="1">IFERROR(__xludf.DUMMYFUNCTION("IMPORTRANGE(""https://docs.google.com/spreadsheets/d/11923uPwbBZFjjGgGUA6NLw09EwE0CqkOc4q9oUmW1yo/edit?usp=sharing"",""กำแพงเพชร!J126"")"),0)</f>
        <v>0</v>
      </c>
      <c r="AP16" s="136">
        <f t="shared" ca="1" si="20"/>
        <v>0</v>
      </c>
      <c r="AQ16" s="67">
        <f ca="1">IFERROR(__xludf.DUMMYFUNCTION("IMPORTRANGE(""https://docs.google.com/spreadsheets/d/1C3CXT74ZlgGe6_JY_1olB1XN4rF0dxEuIIF-xsYjHgg/edit?usp=sharing"",""พรบ!AR20"")"),0)</f>
        <v>0</v>
      </c>
      <c r="AR16" s="67">
        <f ca="1">IFERROR(__xludf.DUMMYFUNCTION("IMPORTRANGE(""https://docs.google.com/spreadsheets/d/1C3CXT74ZlgGe6_JY_1olB1XN4rF0dxEuIIF-xsYjHgg/edit?usp=sharing"",""พรบ!AS20"")"),0)</f>
        <v>0</v>
      </c>
      <c r="AS16" s="67">
        <f ca="1">IFERROR(__xludf.DUMMYFUNCTION("IMPORTRANGE(""https://docs.google.com/spreadsheets/d/11923uPwbBZFjjGgGUA6NLw09EwE0CqkOc4q9oUmW1yo/edit?usp=sharing"",""กำแพงเพชร!J138"")"),0)</f>
        <v>0</v>
      </c>
      <c r="AT16" s="136">
        <f t="shared" ca="1" si="22"/>
        <v>0</v>
      </c>
      <c r="AU16" s="67">
        <f ca="1">IFERROR(__xludf.DUMMYFUNCTION("IMPORTRANGE(""https://docs.google.com/spreadsheets/d/1C3CXT74ZlgGe6_JY_1olB1XN4rF0dxEuIIF-xsYjHgg/edit?usp=sharing"",""พรบ!AT20"")"),0)</f>
        <v>0</v>
      </c>
      <c r="AV16" s="67">
        <f ca="1">IFERROR(__xludf.DUMMYFUNCTION("IMPORTRANGE(""https://docs.google.com/spreadsheets/d/1C3CXT74ZlgGe6_JY_1olB1XN4rF0dxEuIIF-xsYjHgg/edit?usp=sharing"",""พรบ!AU20"")"),0)</f>
        <v>0</v>
      </c>
      <c r="AW16" s="67">
        <f ca="1">IFERROR(__xludf.DUMMYFUNCTION("IMPORTRANGE(""https://docs.google.com/spreadsheets/d/11923uPwbBZFjjGgGUA6NLw09EwE0CqkOc4q9oUmW1yo/edit?usp=sharing"",""กำแพงเพชร!J140"")"),0)</f>
        <v>0</v>
      </c>
      <c r="AX16" s="136">
        <f t="shared" ca="1" si="24"/>
        <v>0</v>
      </c>
      <c r="AY16" s="67">
        <f ca="1">IFERROR(__xludf.DUMMYFUNCTION("IMPORTRANGE(""https://docs.google.com/spreadsheets/d/11923uPwbBZFjjGgGUA6NLw09EwE0CqkOc4q9oUmW1yo/edit?usp=sharing"",""กำแพงเพชร!J141"")"),0)</f>
        <v>0</v>
      </c>
      <c r="AZ16" s="136">
        <f t="shared" ca="1" si="25"/>
        <v>0</v>
      </c>
      <c r="BA16" s="67">
        <f t="shared" ca="1" si="26"/>
        <v>0</v>
      </c>
      <c r="BB16" s="67">
        <f t="shared" ref="BB16:BB32" ca="1" si="74">AO16+AS16</f>
        <v>0</v>
      </c>
      <c r="BC16" s="136">
        <f t="shared" ca="1" si="27"/>
        <v>0</v>
      </c>
    </row>
    <row r="17" spans="1:55" ht="24" customHeight="1">
      <c r="A17" s="73">
        <v>2</v>
      </c>
      <c r="B17" s="74" t="s">
        <v>41</v>
      </c>
      <c r="C17" s="75">
        <f t="shared" ca="1" si="0"/>
        <v>579900</v>
      </c>
      <c r="D17" s="76">
        <f t="shared" ref="D17:D32" ca="1" si="75">+E17+F17</f>
        <v>579900</v>
      </c>
      <c r="E17" s="77">
        <f ca="1">IFERROR(__xludf.DUMMYFUNCTION("IMPORTRANGE(""https://docs.google.com/spreadsheets/d/1C3CXT74ZlgGe6_JY_1olB1XN4rF0dxEuIIF-xsYjHgg/edit?usp=sharing"",""พรบ!AD21"")"),463400)</f>
        <v>463400</v>
      </c>
      <c r="F17" s="77">
        <f ca="1">IFERROR(__xludf.DUMMYFUNCTION("IMPORTRANGE(""https://docs.google.com/spreadsheets/d/1C3CXT74ZlgGe6_JY_1olB1XN4rF0dxEuIIF-xsYjHgg/edit?usp=sharing"",""พรบ!AE21"")"),116500)</f>
        <v>116500</v>
      </c>
      <c r="G17" s="77">
        <f ca="1">IFERROR(__xludf.DUMMYFUNCTION("IMPORTRANGE(""https://docs.google.com/spreadsheets/d/1Yj_ptqi66GCucihVvJfMjLAmec39IyEx_6qawtMGysU/edit?usp=sharing"",""สบก!BH21"")"),0)</f>
        <v>0</v>
      </c>
      <c r="H17" s="77">
        <f ca="1">IFERROR(__xludf.DUMMYFUNCTION("IMPORTRANGE(""https://docs.google.com/spreadsheets/d/1Yj_ptqi66GCucihVvJfMjLAmec39IyEx_6qawtMGysU/edit?usp=shBJing"",""สบก!BJ21"")"),446125)</f>
        <v>446125</v>
      </c>
      <c r="I17" s="77">
        <f t="shared" ca="1" si="3"/>
        <v>308085.63</v>
      </c>
      <c r="J17" s="137">
        <f t="shared" ca="1" si="4"/>
        <v>53.127371960682879</v>
      </c>
      <c r="K17" s="77">
        <f ca="1">IFERROR(__xludf.DUMMYFUNCTION("IMPORTRANGE(""https://docs.google.com/spreadsheets/d/1Yj_ptqi66GCucihVvJfMjLAmec39IyEx_6qawtMGysU/edit?usp=sharing"",""สบก!BK21"")"),308085.63)</f>
        <v>308085.63</v>
      </c>
      <c r="L17" s="137">
        <f t="shared" ca="1" si="5"/>
        <v>53.127371960682879</v>
      </c>
      <c r="M17" s="137">
        <f t="shared" ca="1" si="6"/>
        <v>69.058140655645843</v>
      </c>
      <c r="N17" s="137">
        <f ca="1">IFERROR(__xludf.DUMMYFUNCTION("IMPORTRANGE(""https://docs.google.com/spreadsheets/d/1Yj_ptqi66GCucihVvJfMjLAmec39IyEx_6qawtMGysU/edit?usp=sharing"",""สบก!BL21"")"),0)</f>
        <v>0</v>
      </c>
      <c r="O17" s="137">
        <f t="shared" ca="1" si="7"/>
        <v>0</v>
      </c>
      <c r="P17" s="77">
        <f ca="1">IFERROR(__xludf.DUMMYFUNCTION("IMPORTRANGE(""https://docs.google.com/spreadsheets/d/1C3CXT74ZlgGe6_JY_1olB1XN4rF0dxEuIIF-xsYjHgg/edit?usp=sharing"",""พรบ!AF21"")"),7500)</f>
        <v>7500</v>
      </c>
      <c r="Q17" s="77">
        <f ca="1">IFERROR(__xludf.DUMMYFUNCTION("IMPORTRANGE(""https://docs.google.com/spreadsheets/d/1C3CXT74ZlgGe6_JY_1olB1XN4rF0dxEuIIF-xsYjHgg/edit?usp=sharing"",""พรบ!AG21"")"),4)</f>
        <v>4</v>
      </c>
      <c r="R17" s="77">
        <f ca="1">IFERROR(__xludf.DUMMYFUNCTION("IMPORTRANGE(""https://docs.google.com/spreadsheets/d/11923uPwbBZFjjGgGUA6NLw09EwE0CqkOc4q9oUmW1yo/edit?usp=sharing"",""เชียงราย!J83"")"),2)</f>
        <v>2</v>
      </c>
      <c r="S17" s="137">
        <f t="shared" ca="1" si="9"/>
        <v>50</v>
      </c>
      <c r="T17" s="77">
        <f t="shared" ca="1" si="73"/>
        <v>23</v>
      </c>
      <c r="U17" s="77">
        <f ca="1">IFERROR(__xludf.DUMMYFUNCTION("IMPORTRANGE(""https://docs.google.com/spreadsheets/d/11923uPwbBZFjjGgGUA6NLw09EwE0CqkOc4q9oUmW1yo/edit?usp=sharing"",""เชียงราย!J85"")"),21)</f>
        <v>21</v>
      </c>
      <c r="V17" s="77">
        <f ca="1">IFERROR(__xludf.DUMMYFUNCTION("IMPORTRANGE(""https://docs.google.com/spreadsheets/d/11923uPwbBZFjjGgGUA6NLw09EwE0CqkOc4q9oUmW1yo/edit?usp=sharing"",""เชียงราย!J86"")"),2)</f>
        <v>2</v>
      </c>
      <c r="W17" s="77">
        <f ca="1">IFERROR(__xludf.DUMMYFUNCTION("IMPORTRANGE(""https://docs.google.com/spreadsheets/d/1C3CXT74ZlgGe6_JY_1olB1XN4rF0dxEuIIF-xsYjHgg/edit?usp=sharing"",""พรบ!AH21"")"),70000)</f>
        <v>70000</v>
      </c>
      <c r="X17" s="77">
        <f ca="1">IFERROR(__xludf.DUMMYFUNCTION("IMPORTRANGE(""https://docs.google.com/spreadsheets/d/1C3CXT74ZlgGe6_JY_1olB1XN4rF0dxEuIIF-xsYjHgg/edit?usp=sharing"",""พรบ!AI21"")"),5)</f>
        <v>5</v>
      </c>
      <c r="Y17" s="77">
        <f ca="1">IFERROR(__xludf.DUMMYFUNCTION("IMPORTRANGE(""https://docs.google.com/spreadsheets/d/11923uPwbBZFjjGgGUA6NLw09EwE0CqkOc4q9oUmW1yo/edit?usp=sharing"",""เชียงราย!J98"")"),5)</f>
        <v>5</v>
      </c>
      <c r="Z17" s="137">
        <f t="shared" ca="1" si="11"/>
        <v>100</v>
      </c>
      <c r="AA17" s="77">
        <f ca="1">IFERROR(__xludf.DUMMYFUNCTION("IMPORTRANGE(""https://docs.google.com/spreadsheets/d/1C3CXT74ZlgGe6_JY_1olB1XN4rF0dxEuIIF-xsYjHgg/edit?usp=sharing"",""พรบ!AJ21"")"),0)</f>
        <v>0</v>
      </c>
      <c r="AB17" s="77">
        <f ca="1">IFERROR(__xludf.DUMMYFUNCTION("IMPORTRANGE(""https://docs.google.com/spreadsheets/d/1C3CXT74ZlgGe6_JY_1olB1XN4rF0dxEuIIF-xsYjHgg/edit?usp=sharing"",""พรบ!AK21"")"),0)</f>
        <v>0</v>
      </c>
      <c r="AC17" s="77">
        <f ca="1">IFERROR(__xludf.DUMMYFUNCTION("IMPORTRANGE(""https://docs.google.com/spreadsheets/d/11923uPwbBZFjjGgGUA6NLw09EwE0CqkOc4q9oUmW1yo/edit?usp=sharing"",""เชียงราย!J110"")"),0)</f>
        <v>0</v>
      </c>
      <c r="AD17" s="137">
        <f t="shared" ca="1" si="13"/>
        <v>0</v>
      </c>
      <c r="AE17" s="77">
        <f ca="1">IFERROR(__xludf.DUMMYFUNCTION("IMPORTRANGE(""https://docs.google.com/spreadsheets/d/1C3CXT74ZlgGe6_JY_1olB1XN4rF0dxEuIIF-xsYjHgg/edit?usp=sharing"",""พรบ!AL21"")"),0)</f>
        <v>0</v>
      </c>
      <c r="AF17" s="77">
        <f ca="1">IFERROR(__xludf.DUMMYFUNCTION("IMPORTRANGE(""https://docs.google.com/spreadsheets/d/11923uPwbBZFjjGgGUA6NLw09EwE0CqkOc4q9oUmW1yo/edit?usp=sharing"",""เชียงราย!J111"")"),0)</f>
        <v>0</v>
      </c>
      <c r="AG17" s="137">
        <f t="shared" ca="1" si="15"/>
        <v>0</v>
      </c>
      <c r="AH17" s="77">
        <f ca="1">IFERROR(__xludf.DUMMYFUNCTION("IMPORTRANGE(""https://docs.google.com/spreadsheets/d/1C3CXT74ZlgGe6_JY_1olB1XN4rF0dxEuIIF-xsYjHgg/edit?usp=sharing"",""พรบ!AM21"")"),39000)</f>
        <v>39000</v>
      </c>
      <c r="AI17" s="77">
        <f ca="1">IFERROR(__xludf.DUMMYFUNCTION("IMPORTRANGE(""https://docs.google.com/spreadsheets/d/1C3CXT74ZlgGe6_JY_1olB1XN4rF0dxEuIIF-xsYjHgg/edit?usp=sharing"",""พรบ!AN21"")"),60000)</f>
        <v>60000</v>
      </c>
      <c r="AJ17" s="77">
        <f ca="1">IFERROR(__xludf.DUMMYFUNCTION("IMPORTRANGE(""https://docs.google.com/spreadsheets/d/11923uPwbBZFjjGgGUA6NLw09EwE0CqkOc4q9oUmW1yo/edit?usp=sharing"",""เชียงราย!J124"")"),0)</f>
        <v>0</v>
      </c>
      <c r="AK17" s="137">
        <f t="shared" ca="1" si="17"/>
        <v>0</v>
      </c>
      <c r="AL17" s="77">
        <f ca="1">IFERROR(__xludf.DUMMYFUNCTION("IMPORTRANGE(""https://docs.google.com/spreadsheets/d/11923uPwbBZFjjGgGUA6NLw09EwE0CqkOc4q9oUmW1yo/edit?usp=sharing"",""เชียงราย!J125"")"),0)</f>
        <v>0</v>
      </c>
      <c r="AM17" s="137">
        <f t="shared" ca="1" si="18"/>
        <v>0</v>
      </c>
      <c r="AN17" s="77">
        <f ca="1">IFERROR(__xludf.DUMMYFUNCTION("IMPORTRANGE(""https://docs.google.com/spreadsheets/d/1C3CXT74ZlgGe6_JY_1olB1XN4rF0dxEuIIF-xsYjHgg/edit?usp=sharing"",""พรบ!AQ21"")"),15)</f>
        <v>15</v>
      </c>
      <c r="AO17" s="77">
        <f ca="1">IFERROR(__xludf.DUMMYFUNCTION("IMPORTRANGE(""https://docs.google.com/spreadsheets/d/11923uPwbBZFjjGgGUA6NLw09EwE0CqkOc4q9oUmW1yo/edit?usp=sharing"",""เชียงราย!J126"")"),15)</f>
        <v>15</v>
      </c>
      <c r="AP17" s="137">
        <f t="shared" ca="1" si="20"/>
        <v>100</v>
      </c>
      <c r="AQ17" s="149">
        <f ca="1">IFERROR(__xludf.DUMMYFUNCTION("IMPORTRANGE(""https://docs.google.com/spreadsheets/d/1C3CXT74ZlgGe6_JY_1olB1XN4rF0dxEuIIF-xsYjHgg/edit?usp=sharing"",""พรบ!AR21"")"),0)</f>
        <v>0</v>
      </c>
      <c r="AR17" s="77">
        <f ca="1">IFERROR(__xludf.DUMMYFUNCTION("IMPORTRANGE(""https://docs.google.com/spreadsheets/d/1C3CXT74ZlgGe6_JY_1olB1XN4rF0dxEuIIF-xsYjHgg/edit?usp=sharing"",""พรบ!AS21"")"),0)</f>
        <v>0</v>
      </c>
      <c r="AS17" s="77">
        <f ca="1">IFERROR(__xludf.DUMMYFUNCTION("IMPORTRANGE(""https://docs.google.com/spreadsheets/d/11923uPwbBZFjjGgGUA6NLw09EwE0CqkOc4q9oUmW1yo/edit?usp=sharing"",""เชียงราย!J138"")"),0)</f>
        <v>0</v>
      </c>
      <c r="AT17" s="137">
        <f t="shared" ca="1" si="22"/>
        <v>0</v>
      </c>
      <c r="AU17" s="77">
        <f ca="1">IFERROR(__xludf.DUMMYFUNCTION("IMPORTRANGE(""https://docs.google.com/spreadsheets/d/1C3CXT74ZlgGe6_JY_1olB1XN4rF0dxEuIIF-xsYjHgg/edit?usp=sharing"",""พรบ!AT21"")"),0)</f>
        <v>0</v>
      </c>
      <c r="AV17" s="77">
        <f ca="1">IFERROR(__xludf.DUMMYFUNCTION("IMPORTRANGE(""https://docs.google.com/spreadsheets/d/1C3CXT74ZlgGe6_JY_1olB1XN4rF0dxEuIIF-xsYjHgg/edit?usp=sharing"",""พรบ!AU21"")"),0)</f>
        <v>0</v>
      </c>
      <c r="AW17" s="77">
        <f ca="1">IFERROR(__xludf.DUMMYFUNCTION("IMPORTRANGE(""https://docs.google.com/spreadsheets/d/11923uPwbBZFjjGgGUA6NLw09EwE0CqkOc4q9oUmW1yo/edit?usp=sharing"",""เชียงราย!J140"")"),0)</f>
        <v>0</v>
      </c>
      <c r="AX17" s="137">
        <f t="shared" ca="1" si="24"/>
        <v>0</v>
      </c>
      <c r="AY17" s="77">
        <f ca="1">IFERROR(__xludf.DUMMYFUNCTION("IMPORTRANGE(""https://docs.google.com/spreadsheets/d/11923uPwbBZFjjGgGUA6NLw09EwE0CqkOc4q9oUmW1yo/edit?usp=sharing"",""เชียงราย!J141"")"),0)</f>
        <v>0</v>
      </c>
      <c r="AZ17" s="137">
        <f t="shared" ca="1" si="25"/>
        <v>0</v>
      </c>
      <c r="BA17" s="77">
        <f t="shared" ca="1" si="26"/>
        <v>15</v>
      </c>
      <c r="BB17" s="77">
        <f t="shared" ca="1" si="74"/>
        <v>15</v>
      </c>
      <c r="BC17" s="137">
        <f t="shared" ca="1" si="27"/>
        <v>100</v>
      </c>
    </row>
    <row r="18" spans="1:55" ht="24" customHeight="1">
      <c r="A18" s="73">
        <v>3</v>
      </c>
      <c r="B18" s="74" t="s">
        <v>42</v>
      </c>
      <c r="C18" s="75">
        <f t="shared" ca="1" si="0"/>
        <v>891700</v>
      </c>
      <c r="D18" s="76">
        <f t="shared" ca="1" si="75"/>
        <v>891700</v>
      </c>
      <c r="E18" s="77">
        <f ca="1">IFERROR(__xludf.DUMMYFUNCTION("IMPORTRANGE(""https://docs.google.com/spreadsheets/d/1C3CXT74ZlgGe6_JY_1olB1XN4rF0dxEuIIF-xsYjHgg/edit?usp=sharing"",""พรบ!AD22"")"),331400)</f>
        <v>331400</v>
      </c>
      <c r="F18" s="77">
        <f ca="1">IFERROR(__xludf.DUMMYFUNCTION("IMPORTRANGE(""https://docs.google.com/spreadsheets/d/1C3CXT74ZlgGe6_JY_1olB1XN4rF0dxEuIIF-xsYjHgg/edit?usp=sharing"",""พรบ!AE22"")"),560300)</f>
        <v>560300</v>
      </c>
      <c r="G18" s="77">
        <f ca="1">IFERROR(__xludf.DUMMYFUNCTION("IMPORTRANGE(""https://docs.google.com/spreadsheets/d/1Yj_ptqi66GCucihVvJfMjLAmec39IyEx_6qawtMGysU/edit?usp=sharing"",""สบก!BH22"")"),0)</f>
        <v>0</v>
      </c>
      <c r="H18" s="77">
        <f ca="1">IFERROR(__xludf.DUMMYFUNCTION("IMPORTRANGE(""https://docs.google.com/spreadsheets/d/1Yj_ptqi66GCucihVvJfMjLAmec39IyEx_6qawtMGysU/edit?usp=shBJing"",""สบก!BJ22"")"),711425)</f>
        <v>711425</v>
      </c>
      <c r="I18" s="77">
        <f t="shared" ca="1" si="3"/>
        <v>372484.43</v>
      </c>
      <c r="J18" s="137">
        <f t="shared" ca="1" si="4"/>
        <v>41.772393181563309</v>
      </c>
      <c r="K18" s="77">
        <f ca="1">IFERROR(__xludf.DUMMYFUNCTION("IMPORTRANGE(""https://docs.google.com/spreadsheets/d/1Yj_ptqi66GCucihVvJfMjLAmec39IyEx_6qawtMGysU/edit?usp=sharing"",""สบก!BK22"")"),372484.43)</f>
        <v>372484.43</v>
      </c>
      <c r="L18" s="137">
        <f t="shared" ca="1" si="5"/>
        <v>41.772393181563309</v>
      </c>
      <c r="M18" s="137">
        <f t="shared" ca="1" si="6"/>
        <v>52.357512035702989</v>
      </c>
      <c r="N18" s="137">
        <f ca="1">IFERROR(__xludf.DUMMYFUNCTION("IMPORTRANGE(""https://docs.google.com/spreadsheets/d/1Yj_ptqi66GCucihVvJfMjLAmec39IyEx_6qawtMGysU/edit?usp=sharing"",""สบก!BL22"")"),0)</f>
        <v>0</v>
      </c>
      <c r="O18" s="137">
        <f t="shared" ca="1" si="7"/>
        <v>0</v>
      </c>
      <c r="P18" s="77">
        <f ca="1">IFERROR(__xludf.DUMMYFUNCTION("IMPORTRANGE(""https://docs.google.com/spreadsheets/d/1C3CXT74ZlgGe6_JY_1olB1XN4rF0dxEuIIF-xsYjHgg/edit?usp=sharing"",""พรบ!AF22"")"),7500)</f>
        <v>7500</v>
      </c>
      <c r="Q18" s="77">
        <f ca="1">IFERROR(__xludf.DUMMYFUNCTION("IMPORTRANGE(""https://docs.google.com/spreadsheets/d/1C3CXT74ZlgGe6_JY_1olB1XN4rF0dxEuIIF-xsYjHgg/edit?usp=sharing"",""พรบ!AG22"")"),4)</f>
        <v>4</v>
      </c>
      <c r="R18" s="77">
        <f ca="1">IFERROR(__xludf.DUMMYFUNCTION("IMPORTRANGE(""https://docs.google.com/spreadsheets/d/11923uPwbBZFjjGgGUA6NLw09EwE0CqkOc4q9oUmW1yo/edit?usp=sharing"",""เชียงใหม่!J83"")"),2)</f>
        <v>2</v>
      </c>
      <c r="S18" s="137">
        <f t="shared" ca="1" si="9"/>
        <v>50</v>
      </c>
      <c r="T18" s="77">
        <f t="shared" ca="1" si="73"/>
        <v>53</v>
      </c>
      <c r="U18" s="77">
        <f ca="1">IFERROR(__xludf.DUMMYFUNCTION("IMPORTRANGE(""https://docs.google.com/spreadsheets/d/11923uPwbBZFjjGgGUA6NLw09EwE0CqkOc4q9oUmW1yo/edit?usp=sharing"",""เชียงใหม่!J85"")"),53)</f>
        <v>53</v>
      </c>
      <c r="V18" s="77">
        <f ca="1">IFERROR(__xludf.DUMMYFUNCTION("IMPORTRANGE(""https://docs.google.com/spreadsheets/d/11923uPwbBZFjjGgGUA6NLw09EwE0CqkOc4q9oUmW1yo/edit?usp=sharing"",""เชียงใหม่!J86"")"),0)</f>
        <v>0</v>
      </c>
      <c r="W18" s="77">
        <f ca="1">IFERROR(__xludf.DUMMYFUNCTION("IMPORTRANGE(""https://docs.google.com/spreadsheets/d/1C3CXT74ZlgGe6_JY_1olB1XN4rF0dxEuIIF-xsYjHgg/edit?usp=sharing"",""พรบ!AH22"")"),28000)</f>
        <v>28000</v>
      </c>
      <c r="X18" s="77">
        <f ca="1">IFERROR(__xludf.DUMMYFUNCTION("IMPORTRANGE(""https://docs.google.com/spreadsheets/d/1C3CXT74ZlgGe6_JY_1olB1XN4rF0dxEuIIF-xsYjHgg/edit?usp=sharing"",""พรบ!AI22"")"),2)</f>
        <v>2</v>
      </c>
      <c r="Y18" s="77">
        <f ca="1">IFERROR(__xludf.DUMMYFUNCTION("IMPORTRANGE(""https://docs.google.com/spreadsheets/d/11923uPwbBZFjjGgGUA6NLw09EwE0CqkOc4q9oUmW1yo/edit?usp=sharing"",""เชียงใหม่!J98"")"),2)</f>
        <v>2</v>
      </c>
      <c r="Z18" s="137">
        <f t="shared" ca="1" si="11"/>
        <v>100</v>
      </c>
      <c r="AA18" s="77">
        <f ca="1">IFERROR(__xludf.DUMMYFUNCTION("IMPORTRANGE(""https://docs.google.com/spreadsheets/d/1C3CXT74ZlgGe6_JY_1olB1XN4rF0dxEuIIF-xsYjHgg/edit?usp=sharing"",""พรบ!AJ22"")"),15000)</f>
        <v>15000</v>
      </c>
      <c r="AB18" s="77">
        <f ca="1">IFERROR(__xludf.DUMMYFUNCTION("IMPORTRANGE(""https://docs.google.com/spreadsheets/d/1C3CXT74ZlgGe6_JY_1olB1XN4rF0dxEuIIF-xsYjHgg/edit?usp=sharing"",""พรบ!AK22"")"),1)</f>
        <v>1</v>
      </c>
      <c r="AC18" s="77">
        <f ca="1">IFERROR(__xludf.DUMMYFUNCTION("IMPORTRANGE(""https://docs.google.com/spreadsheets/d/11923uPwbBZFjjGgGUA6NLw09EwE0CqkOc4q9oUmW1yo/edit?usp=sharing"",""เชียงใหม่!J110"")"),0)</f>
        <v>0</v>
      </c>
      <c r="AD18" s="137">
        <f t="shared" ca="1" si="13"/>
        <v>0</v>
      </c>
      <c r="AE18" s="77">
        <f ca="1">IFERROR(__xludf.DUMMYFUNCTION("IMPORTRANGE(""https://docs.google.com/spreadsheets/d/1C3CXT74ZlgGe6_JY_1olB1XN4rF0dxEuIIF-xsYjHgg/edit?usp=sharing"",""พรบ!AL22"")"),1)</f>
        <v>1</v>
      </c>
      <c r="AF18" s="77">
        <f ca="1">IFERROR(__xludf.DUMMYFUNCTION("IMPORTRANGE(""https://docs.google.com/spreadsheets/d/11923uPwbBZFjjGgGUA6NLw09EwE0CqkOc4q9oUmW1yo/edit?usp=sharing"",""เชียงใหม่!J111"")"),1)</f>
        <v>1</v>
      </c>
      <c r="AG18" s="137">
        <f t="shared" ca="1" si="15"/>
        <v>100</v>
      </c>
      <c r="AH18" s="77">
        <f ca="1">IFERROR(__xludf.DUMMYFUNCTION("IMPORTRANGE(""https://docs.google.com/spreadsheets/d/1C3CXT74ZlgGe6_JY_1olB1XN4rF0dxEuIIF-xsYjHgg/edit?usp=sharing"",""พรบ!AM22"")"),8400)</f>
        <v>8400</v>
      </c>
      <c r="AI18" s="77">
        <f ca="1">IFERROR(__xludf.DUMMYFUNCTION("IMPORTRANGE(""https://docs.google.com/spreadsheets/d/1C3CXT74ZlgGe6_JY_1olB1XN4rF0dxEuIIF-xsYjHgg/edit?usp=sharing"",""พรบ!AN22"")"),16000)</f>
        <v>16000</v>
      </c>
      <c r="AJ18" s="77">
        <f ca="1">IFERROR(__xludf.DUMMYFUNCTION("IMPORTRANGE(""https://docs.google.com/spreadsheets/d/11923uPwbBZFjjGgGUA6NLw09EwE0CqkOc4q9oUmW1yo/edit?usp=sharing"",""เชียงใหม่!J124"")"),16000)</f>
        <v>16000</v>
      </c>
      <c r="AK18" s="137">
        <f t="shared" ca="1" si="17"/>
        <v>100</v>
      </c>
      <c r="AL18" s="77">
        <f ca="1">IFERROR(__xludf.DUMMYFUNCTION("IMPORTRANGE(""https://docs.google.com/spreadsheets/d/11923uPwbBZFjjGgGUA6NLw09EwE0CqkOc4q9oUmW1yo/edit?usp=sharing"",""เชียงใหม่!J125"")"),0)</f>
        <v>0</v>
      </c>
      <c r="AM18" s="137">
        <f t="shared" ca="1" si="18"/>
        <v>0</v>
      </c>
      <c r="AN18" s="77">
        <f ca="1">IFERROR(__xludf.DUMMYFUNCTION("IMPORTRANGE(""https://docs.google.com/spreadsheets/d/1C3CXT74ZlgGe6_JY_1olB1XN4rF0dxEuIIF-xsYjHgg/edit?usp=sharing"",""พรบ!AQ22"")"),0)</f>
        <v>0</v>
      </c>
      <c r="AO18" s="77">
        <f ca="1">IFERROR(__xludf.DUMMYFUNCTION("IMPORTRANGE(""https://docs.google.com/spreadsheets/d/11923uPwbBZFjjGgGUA6NLw09EwE0CqkOc4q9oUmW1yo/edit?usp=sharing"",""เชียงใหม่!J126"")"),0)</f>
        <v>0</v>
      </c>
      <c r="AP18" s="137">
        <f t="shared" ca="1" si="20"/>
        <v>0</v>
      </c>
      <c r="AQ18" s="77">
        <f ca="1">IFERROR(__xludf.DUMMYFUNCTION("IMPORTRANGE(""https://docs.google.com/spreadsheets/d/1C3CXT74ZlgGe6_JY_1olB1XN4rF0dxEuIIF-xsYjHgg/edit?usp=sharing"",""พรบ!AR22"")"),501400)</f>
        <v>501400</v>
      </c>
      <c r="AR18" s="77">
        <f ca="1">IFERROR(__xludf.DUMMYFUNCTION("IMPORTRANGE(""https://docs.google.com/spreadsheets/d/1C3CXT74ZlgGe6_JY_1olB1XN4rF0dxEuIIF-xsYjHgg/edit?usp=sharing"",""พรบ!AS22"")"),100)</f>
        <v>100</v>
      </c>
      <c r="AS18" s="77">
        <f ca="1">IFERROR(__xludf.DUMMYFUNCTION("IMPORTRANGE(""https://docs.google.com/spreadsheets/d/11923uPwbBZFjjGgGUA6NLw09EwE0CqkOc4q9oUmW1yo/edit?usp=sharing"",""เชียงใหม่!J138"")"),100)</f>
        <v>100</v>
      </c>
      <c r="AT18" s="137">
        <f t="shared" ca="1" si="22"/>
        <v>100</v>
      </c>
      <c r="AU18" s="149">
        <f ca="1">IFERROR(__xludf.DUMMYFUNCTION("IMPORTRANGE(""https://docs.google.com/spreadsheets/d/1C3CXT74ZlgGe6_JY_1olB1XN4rF0dxEuIIF-xsYjHgg/edit?usp=sharing"",""พรบ!AT22"")"),0)</f>
        <v>0</v>
      </c>
      <c r="AV18" s="149">
        <f ca="1">IFERROR(__xludf.DUMMYFUNCTION("IMPORTRANGE(""https://docs.google.com/spreadsheets/d/1C3CXT74ZlgGe6_JY_1olB1XN4rF0dxEuIIF-xsYjHgg/edit?usp=sharing"",""พรบ!AU22"")"),3)</f>
        <v>3</v>
      </c>
      <c r="AW18" s="77">
        <f ca="1">IFERROR(__xludf.DUMMYFUNCTION("IMPORTRANGE(""https://docs.google.com/spreadsheets/d/11923uPwbBZFjjGgGUA6NLw09EwE0CqkOc4q9oUmW1yo/edit?usp=sharing"",""เชียงใหม่!J140"")"),0)</f>
        <v>0</v>
      </c>
      <c r="AX18" s="137">
        <f t="shared" ca="1" si="24"/>
        <v>0</v>
      </c>
      <c r="AY18" s="77">
        <f ca="1">IFERROR(__xludf.DUMMYFUNCTION("IMPORTRANGE(""https://docs.google.com/spreadsheets/d/11923uPwbBZFjjGgGUA6NLw09EwE0CqkOc4q9oUmW1yo/edit?usp=sharing"",""เชียงใหม่!J141"")"),0)</f>
        <v>0</v>
      </c>
      <c r="AZ18" s="137">
        <f t="shared" ca="1" si="25"/>
        <v>0</v>
      </c>
      <c r="BA18" s="77">
        <f t="shared" ca="1" si="26"/>
        <v>100</v>
      </c>
      <c r="BB18" s="77">
        <f t="shared" ca="1" si="74"/>
        <v>100</v>
      </c>
      <c r="BC18" s="137">
        <f t="shared" ca="1" si="27"/>
        <v>100</v>
      </c>
    </row>
    <row r="19" spans="1:55" ht="24" customHeight="1">
      <c r="A19" s="73">
        <v>4</v>
      </c>
      <c r="B19" s="74" t="s">
        <v>43</v>
      </c>
      <c r="C19" s="75">
        <f t="shared" ca="1" si="0"/>
        <v>69000</v>
      </c>
      <c r="D19" s="76">
        <f t="shared" ca="1" si="75"/>
        <v>69000</v>
      </c>
      <c r="E19" s="77">
        <f ca="1">IFERROR(__xludf.DUMMYFUNCTION("IMPORTRANGE(""https://docs.google.com/spreadsheets/d/1C3CXT74ZlgGe6_JY_1olB1XN4rF0dxEuIIF-xsYjHgg/edit?usp=sharing"",""พรบ!AD23"")"),0)</f>
        <v>0</v>
      </c>
      <c r="F19" s="77">
        <f ca="1">IFERROR(__xludf.DUMMYFUNCTION("IMPORTRANGE(""https://docs.google.com/spreadsheets/d/1C3CXT74ZlgGe6_JY_1olB1XN4rF0dxEuIIF-xsYjHgg/edit?usp=sharing"",""พรบ!AE23"")"),69000)</f>
        <v>69000</v>
      </c>
      <c r="G19" s="77">
        <f ca="1">IFERROR(__xludf.DUMMYFUNCTION("IMPORTRANGE(""https://docs.google.com/spreadsheets/d/1Yj_ptqi66GCucihVvJfMjLAmec39IyEx_6qawtMGysU/edit?usp=sharing"",""สบก!BH23"")"),0)</f>
        <v>0</v>
      </c>
      <c r="H19" s="77">
        <f ca="1">IFERROR(__xludf.DUMMYFUNCTION("IMPORTRANGE(""https://docs.google.com/spreadsheets/d/1Yj_ptqi66GCucihVvJfMjLAmec39IyEx_6qawtMGysU/edit?usp=shBJing"",""สบก!BJ23"")"),51125)</f>
        <v>51125</v>
      </c>
      <c r="I19" s="77">
        <f t="shared" ca="1" si="3"/>
        <v>44000</v>
      </c>
      <c r="J19" s="137">
        <f t="shared" ca="1" si="4"/>
        <v>63.768115942028984</v>
      </c>
      <c r="K19" s="77">
        <f ca="1">IFERROR(__xludf.DUMMYFUNCTION("IMPORTRANGE(""https://docs.google.com/spreadsheets/d/1Yj_ptqi66GCucihVvJfMjLAmec39IyEx_6qawtMGysU/edit?usp=sharing"",""สบก!BK23"")"),44000)</f>
        <v>44000</v>
      </c>
      <c r="L19" s="137">
        <f t="shared" ca="1" si="5"/>
        <v>63.768115942028984</v>
      </c>
      <c r="M19" s="137">
        <f t="shared" ca="1" si="6"/>
        <v>86.063569682151595</v>
      </c>
      <c r="N19" s="137">
        <f ca="1">IFERROR(__xludf.DUMMYFUNCTION("IMPORTRANGE(""https://docs.google.com/spreadsheets/d/1Yj_ptqi66GCucihVvJfMjLAmec39IyEx_6qawtMGysU/edit?usp=sharing"",""สบก!BL23"")"),0)</f>
        <v>0</v>
      </c>
      <c r="O19" s="137">
        <f t="shared" ca="1" si="7"/>
        <v>0</v>
      </c>
      <c r="P19" s="77">
        <f ca="1">IFERROR(__xludf.DUMMYFUNCTION("IMPORTRANGE(""https://docs.google.com/spreadsheets/d/1C3CXT74ZlgGe6_JY_1olB1XN4rF0dxEuIIF-xsYjHgg/edit?usp=sharing"",""พรบ!AF23"")"),7500)</f>
        <v>7500</v>
      </c>
      <c r="Q19" s="77">
        <f ca="1">IFERROR(__xludf.DUMMYFUNCTION("IMPORTRANGE(""https://docs.google.com/spreadsheets/d/1C3CXT74ZlgGe6_JY_1olB1XN4rF0dxEuIIF-xsYjHgg/edit?usp=sharing"",""พรบ!AG23"")"),4)</f>
        <v>4</v>
      </c>
      <c r="R19" s="77">
        <f ca="1">IFERROR(__xludf.DUMMYFUNCTION("IMPORTRANGE(""https://docs.google.com/spreadsheets/d/11923uPwbBZFjjGgGUA6NLw09EwE0CqkOc4q9oUmW1yo/edit?usp=sharing"",""ตาก!J83"")"),1)</f>
        <v>1</v>
      </c>
      <c r="S19" s="137">
        <f t="shared" ca="1" si="9"/>
        <v>25</v>
      </c>
      <c r="T19" s="77">
        <f t="shared" ca="1" si="73"/>
        <v>24</v>
      </c>
      <c r="U19" s="77">
        <f ca="1">IFERROR(__xludf.DUMMYFUNCTION("IMPORTRANGE(""https://docs.google.com/spreadsheets/d/11923uPwbBZFjjGgGUA6NLw09EwE0CqkOc4q9oUmW1yo/edit?usp=sharing"",""ตาก!J85"")"),24)</f>
        <v>24</v>
      </c>
      <c r="V19" s="77">
        <f ca="1">IFERROR(__xludf.DUMMYFUNCTION("IMPORTRANGE(""https://docs.google.com/spreadsheets/d/11923uPwbBZFjjGgGUA6NLw09EwE0CqkOc4q9oUmW1yo/edit?usp=sharing"",""ตาก!J86"")"),0)</f>
        <v>0</v>
      </c>
      <c r="W19" s="77">
        <f ca="1">IFERROR(__xludf.DUMMYFUNCTION("IMPORTRANGE(""https://docs.google.com/spreadsheets/d/1C3CXT74ZlgGe6_JY_1olB1XN4rF0dxEuIIF-xsYjHgg/edit?usp=sharing"",""พรบ!AH23"")"),42000)</f>
        <v>42000</v>
      </c>
      <c r="X19" s="77">
        <f ca="1">IFERROR(__xludf.DUMMYFUNCTION("IMPORTRANGE(""https://docs.google.com/spreadsheets/d/1C3CXT74ZlgGe6_JY_1olB1XN4rF0dxEuIIF-xsYjHgg/edit?usp=sharing"",""พรบ!AI23"")"),3)</f>
        <v>3</v>
      </c>
      <c r="Y19" s="77">
        <f ca="1">IFERROR(__xludf.DUMMYFUNCTION("IMPORTRANGE(""https://docs.google.com/spreadsheets/d/11923uPwbBZFjjGgGUA6NLw09EwE0CqkOc4q9oUmW1yo/edit?usp=sharing"",""ตาก!J98"")"),3)</f>
        <v>3</v>
      </c>
      <c r="Z19" s="137">
        <f t="shared" ca="1" si="11"/>
        <v>100</v>
      </c>
      <c r="AA19" s="77">
        <f ca="1">IFERROR(__xludf.DUMMYFUNCTION("IMPORTRANGE(""https://docs.google.com/spreadsheets/d/1C3CXT74ZlgGe6_JY_1olB1XN4rF0dxEuIIF-xsYjHgg/edit?usp=sharing"",""พรบ!AJ23"")"),0)</f>
        <v>0</v>
      </c>
      <c r="AB19" s="77">
        <f ca="1">IFERROR(__xludf.DUMMYFUNCTION("IMPORTRANGE(""https://docs.google.com/spreadsheets/d/1C3CXT74ZlgGe6_JY_1olB1XN4rF0dxEuIIF-xsYjHgg/edit?usp=sharing"",""พรบ!AK23"")"),0)</f>
        <v>0</v>
      </c>
      <c r="AC19" s="77">
        <f ca="1">IFERROR(__xludf.DUMMYFUNCTION("IMPORTRANGE(""https://docs.google.com/spreadsheets/d/11923uPwbBZFjjGgGUA6NLw09EwE0CqkOc4q9oUmW1yo/edit?usp=sharing"",""ตาก!J110"")"),0)</f>
        <v>0</v>
      </c>
      <c r="AD19" s="137">
        <f t="shared" ca="1" si="13"/>
        <v>0</v>
      </c>
      <c r="AE19" s="77">
        <f ca="1">IFERROR(__xludf.DUMMYFUNCTION("IMPORTRANGE(""https://docs.google.com/spreadsheets/d/1C3CXT74ZlgGe6_JY_1olB1XN4rF0dxEuIIF-xsYjHgg/edit?usp=sharing"",""พรบ!AL23"")"),0)</f>
        <v>0</v>
      </c>
      <c r="AF19" s="77">
        <f ca="1">IFERROR(__xludf.DUMMYFUNCTION("IMPORTRANGE(""https://docs.google.com/spreadsheets/d/11923uPwbBZFjjGgGUA6NLw09EwE0CqkOc4q9oUmW1yo/edit?usp=sharing"",""ตาก!J111"")"),0)</f>
        <v>0</v>
      </c>
      <c r="AG19" s="137">
        <f t="shared" ca="1" si="15"/>
        <v>0</v>
      </c>
      <c r="AH19" s="77">
        <f ca="1">IFERROR(__xludf.DUMMYFUNCTION("IMPORTRANGE(""https://docs.google.com/spreadsheets/d/1C3CXT74ZlgGe6_JY_1olB1XN4rF0dxEuIIF-xsYjHgg/edit?usp=sharing"",""พรบ!AM23"")"),19500)</f>
        <v>19500</v>
      </c>
      <c r="AI19" s="77">
        <f ca="1">IFERROR(__xludf.DUMMYFUNCTION("IMPORTRANGE(""https://docs.google.com/spreadsheets/d/1C3CXT74ZlgGe6_JY_1olB1XN4rF0dxEuIIF-xsYjHgg/edit?usp=sharing"",""พรบ!AN23"")"),50000)</f>
        <v>50000</v>
      </c>
      <c r="AJ19" s="77">
        <f ca="1">IFERROR(__xludf.DUMMYFUNCTION("IMPORTRANGE(""https://docs.google.com/spreadsheets/d/11923uPwbBZFjjGgGUA6NLw09EwE0CqkOc4q9oUmW1yo/edit?usp=sharing"",""ตาก!J124"")"),50000)</f>
        <v>50000</v>
      </c>
      <c r="AK19" s="137">
        <f t="shared" ca="1" si="17"/>
        <v>100</v>
      </c>
      <c r="AL19" s="77">
        <f ca="1">IFERROR(__xludf.DUMMYFUNCTION("IMPORTRANGE(""https://docs.google.com/spreadsheets/d/11923uPwbBZFjjGgGUA6NLw09EwE0CqkOc4q9oUmW1yo/edit?usp=sharing"",""ตาก!J125"")"),0)</f>
        <v>0</v>
      </c>
      <c r="AM19" s="137">
        <f t="shared" ca="1" si="18"/>
        <v>0</v>
      </c>
      <c r="AN19" s="77">
        <f ca="1">IFERROR(__xludf.DUMMYFUNCTION("IMPORTRANGE(""https://docs.google.com/spreadsheets/d/1C3CXT74ZlgGe6_JY_1olB1XN4rF0dxEuIIF-xsYjHgg/edit?usp=sharing"",""พรบ!AQ23"")"),0)</f>
        <v>0</v>
      </c>
      <c r="AO19" s="77">
        <f ca="1">IFERROR(__xludf.DUMMYFUNCTION("IMPORTRANGE(""https://docs.google.com/spreadsheets/d/11923uPwbBZFjjGgGUA6NLw09EwE0CqkOc4q9oUmW1yo/edit?usp=sharing"",""ตาก!J126"")"),0)</f>
        <v>0</v>
      </c>
      <c r="AP19" s="137">
        <f t="shared" ca="1" si="20"/>
        <v>0</v>
      </c>
      <c r="AQ19" s="149">
        <f ca="1">IFERROR(__xludf.DUMMYFUNCTION("IMPORTRANGE(""https://docs.google.com/spreadsheets/d/1C3CXT74ZlgGe6_JY_1olB1XN4rF0dxEuIIF-xsYjHgg/edit?usp=sharing"",""พรบ!AR23"")"),0)</f>
        <v>0</v>
      </c>
      <c r="AR19" s="77">
        <f ca="1">IFERROR(__xludf.DUMMYFUNCTION("IMPORTRANGE(""https://docs.google.com/spreadsheets/d/1C3CXT74ZlgGe6_JY_1olB1XN4rF0dxEuIIF-xsYjHgg/edit?usp=sharing"",""พรบ!AS23"")"),0)</f>
        <v>0</v>
      </c>
      <c r="AS19" s="77">
        <f ca="1">IFERROR(__xludf.DUMMYFUNCTION("IMPORTRANGE(""https://docs.google.com/spreadsheets/d/11923uPwbBZFjjGgGUA6NLw09EwE0CqkOc4q9oUmW1yo/edit?usp=sharing"",""ตาก!J138"")"),0)</f>
        <v>0</v>
      </c>
      <c r="AT19" s="137">
        <f t="shared" ca="1" si="22"/>
        <v>0</v>
      </c>
      <c r="AU19" s="77">
        <f ca="1">IFERROR(__xludf.DUMMYFUNCTION("IMPORTRANGE(""https://docs.google.com/spreadsheets/d/1C3CXT74ZlgGe6_JY_1olB1XN4rF0dxEuIIF-xsYjHgg/edit?usp=sharing"",""พรบ!AT23"")"),0)</f>
        <v>0</v>
      </c>
      <c r="AV19" s="77">
        <f ca="1">IFERROR(__xludf.DUMMYFUNCTION("IMPORTRANGE(""https://docs.google.com/spreadsheets/d/1C3CXT74ZlgGe6_JY_1olB1XN4rF0dxEuIIF-xsYjHgg/edit?usp=sharing"",""พรบ!AU23"")"),0)</f>
        <v>0</v>
      </c>
      <c r="AW19" s="77">
        <f ca="1">IFERROR(__xludf.DUMMYFUNCTION("IMPORTRANGE(""https://docs.google.com/spreadsheets/d/11923uPwbBZFjjGgGUA6NLw09EwE0CqkOc4q9oUmW1yo/edit?usp=sharing"",""ตาก!J140"")"),0)</f>
        <v>0</v>
      </c>
      <c r="AX19" s="137">
        <f t="shared" ca="1" si="24"/>
        <v>0</v>
      </c>
      <c r="AY19" s="77">
        <f ca="1">IFERROR(__xludf.DUMMYFUNCTION("IMPORTRANGE(""https://docs.google.com/spreadsheets/d/11923uPwbBZFjjGgGUA6NLw09EwE0CqkOc4q9oUmW1yo/edit?usp=sharing"",""ตาก!J141"")"),0)</f>
        <v>0</v>
      </c>
      <c r="AZ19" s="137">
        <f t="shared" ca="1" si="25"/>
        <v>0</v>
      </c>
      <c r="BA19" s="77">
        <f t="shared" ca="1" si="26"/>
        <v>0</v>
      </c>
      <c r="BB19" s="77">
        <f t="shared" ca="1" si="74"/>
        <v>0</v>
      </c>
      <c r="BC19" s="137">
        <f t="shared" ca="1" si="27"/>
        <v>0</v>
      </c>
    </row>
    <row r="20" spans="1:55" ht="24" customHeight="1">
      <c r="A20" s="73">
        <v>5</v>
      </c>
      <c r="B20" s="74" t="s">
        <v>44</v>
      </c>
      <c r="C20" s="75">
        <f t="shared" ca="1" si="0"/>
        <v>163500</v>
      </c>
      <c r="D20" s="76">
        <f t="shared" ca="1" si="75"/>
        <v>163500</v>
      </c>
      <c r="E20" s="77">
        <f ca="1">IFERROR(__xludf.DUMMYFUNCTION("IMPORTRANGE(""https://docs.google.com/spreadsheets/d/1C3CXT74ZlgGe6_JY_1olB1XN4rF0dxEuIIF-xsYjHgg/edit?usp=sharing"",""พรบ!AD24"")"),0)</f>
        <v>0</v>
      </c>
      <c r="F20" s="77">
        <f ca="1">IFERROR(__xludf.DUMMYFUNCTION("IMPORTRANGE(""https://docs.google.com/spreadsheets/d/1C3CXT74ZlgGe6_JY_1olB1XN4rF0dxEuIIF-xsYjHgg/edit?usp=sharing"",""พรบ!AE24"")"),163500)</f>
        <v>163500</v>
      </c>
      <c r="G20" s="77">
        <f ca="1">IFERROR(__xludf.DUMMYFUNCTION("IMPORTRANGE(""https://docs.google.com/spreadsheets/d/1Yj_ptqi66GCucihVvJfMjLAmec39IyEx_6qawtMGysU/edit?usp=sharing"",""สบก!BH24"")"),0)</f>
        <v>0</v>
      </c>
      <c r="H20" s="77">
        <f ca="1">IFERROR(__xludf.DUMMYFUNCTION("IMPORTRANGE(""https://docs.google.com/spreadsheets/d/1Yj_ptqi66GCucihVvJfMjLAmec39IyEx_6qawtMGysU/edit?usp=shBJing"",""สบก!BJ24"")"),83625)</f>
        <v>83625</v>
      </c>
      <c r="I20" s="77">
        <f t="shared" ca="1" si="3"/>
        <v>72140</v>
      </c>
      <c r="J20" s="137">
        <f t="shared" ca="1" si="4"/>
        <v>44.12232415902141</v>
      </c>
      <c r="K20" s="77">
        <f ca="1">IFERROR(__xludf.DUMMYFUNCTION("IMPORTRANGE(""https://docs.google.com/spreadsheets/d/1Yj_ptqi66GCucihVvJfMjLAmec39IyEx_6qawtMGysU/edit?usp=sharing"",""สบก!BK24"")"),72140)</f>
        <v>72140</v>
      </c>
      <c r="L20" s="137">
        <f t="shared" ca="1" si="5"/>
        <v>44.12232415902141</v>
      </c>
      <c r="M20" s="137">
        <f t="shared" ca="1" si="6"/>
        <v>86.266068759342303</v>
      </c>
      <c r="N20" s="137">
        <f ca="1">IFERROR(__xludf.DUMMYFUNCTION("IMPORTRANGE(""https://docs.google.com/spreadsheets/d/1Yj_ptqi66GCucihVvJfMjLAmec39IyEx_6qawtMGysU/edit?usp=sharing"",""สบก!BL24"")"),0)</f>
        <v>0</v>
      </c>
      <c r="O20" s="137">
        <f t="shared" ca="1" si="7"/>
        <v>0</v>
      </c>
      <c r="P20" s="77">
        <f ca="1">IFERROR(__xludf.DUMMYFUNCTION("IMPORTRANGE(""https://docs.google.com/spreadsheets/d/1C3CXT74ZlgGe6_JY_1olB1XN4rF0dxEuIIF-xsYjHgg/edit?usp=sharing"",""พรบ!AF24"")"),7500)</f>
        <v>7500</v>
      </c>
      <c r="Q20" s="77">
        <f ca="1">IFERROR(__xludf.DUMMYFUNCTION("IMPORTRANGE(""https://docs.google.com/spreadsheets/d/1C3CXT74ZlgGe6_JY_1olB1XN4rF0dxEuIIF-xsYjHgg/edit?usp=sharing"",""พรบ!AG24"")"),4)</f>
        <v>4</v>
      </c>
      <c r="R20" s="77">
        <f ca="1">IFERROR(__xludf.DUMMYFUNCTION("IMPORTRANGE(""https://docs.google.com/spreadsheets/d/11923uPwbBZFjjGgGUA6NLw09EwE0CqkOc4q9oUmW1yo/edit?usp=sharing"",""นครสวรรค์!J83"")"),2)</f>
        <v>2</v>
      </c>
      <c r="S20" s="137">
        <f t="shared" ca="1" si="9"/>
        <v>50</v>
      </c>
      <c r="T20" s="77">
        <f t="shared" ca="1" si="73"/>
        <v>66</v>
      </c>
      <c r="U20" s="77">
        <f ca="1">IFERROR(__xludf.DUMMYFUNCTION("IMPORTRANGE(""https://docs.google.com/spreadsheets/d/11923uPwbBZFjjGgGUA6NLw09EwE0CqkOc4q9oUmW1yo/edit?usp=sharing"",""นครสวรรค์!J85"")"),66)</f>
        <v>66</v>
      </c>
      <c r="V20" s="77">
        <f ca="1">IFERROR(__xludf.DUMMYFUNCTION("IMPORTRANGE(""https://docs.google.com/spreadsheets/d/11923uPwbBZFjjGgGUA6NLw09EwE0CqkOc4q9oUmW1yo/edit?usp=sharing"",""นครสวรรค์!J86"")"),0)</f>
        <v>0</v>
      </c>
      <c r="W20" s="77">
        <f ca="1">IFERROR(__xludf.DUMMYFUNCTION("IMPORTRANGE(""https://docs.google.com/spreadsheets/d/1C3CXT74ZlgGe6_JY_1olB1XN4rF0dxEuIIF-xsYjHgg/edit?usp=sharing"",""พรบ!AH24"")"),70000)</f>
        <v>70000</v>
      </c>
      <c r="X20" s="77">
        <f ca="1">IFERROR(__xludf.DUMMYFUNCTION("IMPORTRANGE(""https://docs.google.com/spreadsheets/d/1C3CXT74ZlgGe6_JY_1olB1XN4rF0dxEuIIF-xsYjHgg/edit?usp=sharing"",""พรบ!AI24"")"),5)</f>
        <v>5</v>
      </c>
      <c r="Y20" s="77">
        <f ca="1">IFERROR(__xludf.DUMMYFUNCTION("IMPORTRANGE(""https://docs.google.com/spreadsheets/d/11923uPwbBZFjjGgGUA6NLw09EwE0CqkOc4q9oUmW1yo/edit?usp=sharing"",""นครสวรรค์!J98"")"),5)</f>
        <v>5</v>
      </c>
      <c r="Z20" s="137">
        <f t="shared" ca="1" si="11"/>
        <v>100</v>
      </c>
      <c r="AA20" s="77">
        <f ca="1">IFERROR(__xludf.DUMMYFUNCTION("IMPORTRANGE(""https://docs.google.com/spreadsheets/d/1C3CXT74ZlgGe6_JY_1olB1XN4rF0dxEuIIF-xsYjHgg/edit?usp=sharing"",""พรบ!AJ24"")"),0)</f>
        <v>0</v>
      </c>
      <c r="AB20" s="77">
        <f ca="1">IFERROR(__xludf.DUMMYFUNCTION("IMPORTRANGE(""https://docs.google.com/spreadsheets/d/1C3CXT74ZlgGe6_JY_1olB1XN4rF0dxEuIIF-xsYjHgg/edit?usp=sharing"",""พรบ!AK24"")"),0)</f>
        <v>0</v>
      </c>
      <c r="AC20" s="77">
        <f ca="1">IFERROR(__xludf.DUMMYFUNCTION("IMPORTRANGE(""https://docs.google.com/spreadsheets/d/11923uPwbBZFjjGgGUA6NLw09EwE0CqkOc4q9oUmW1yo/edit?usp=sharing"",""นครสวรรค์!J110"")"),0)</f>
        <v>0</v>
      </c>
      <c r="AD20" s="137">
        <f t="shared" ca="1" si="13"/>
        <v>0</v>
      </c>
      <c r="AE20" s="77">
        <f ca="1">IFERROR(__xludf.DUMMYFUNCTION("IMPORTRANGE(""https://docs.google.com/spreadsheets/d/1C3CXT74ZlgGe6_JY_1olB1XN4rF0dxEuIIF-xsYjHgg/edit?usp=sharing"",""พรบ!AL24"")"),0)</f>
        <v>0</v>
      </c>
      <c r="AF20" s="77">
        <f ca="1">IFERROR(__xludf.DUMMYFUNCTION("IMPORTRANGE(""https://docs.google.com/spreadsheets/d/11923uPwbBZFjjGgGUA6NLw09EwE0CqkOc4q9oUmW1yo/edit?usp=sharing"",""นครสวรรค์!J111"")"),0)</f>
        <v>0</v>
      </c>
      <c r="AG20" s="137">
        <f t="shared" ca="1" si="15"/>
        <v>0</v>
      </c>
      <c r="AH20" s="77">
        <f ca="1">IFERROR(__xludf.DUMMYFUNCTION("IMPORTRANGE(""https://docs.google.com/spreadsheets/d/1C3CXT74ZlgGe6_JY_1olB1XN4rF0dxEuIIF-xsYjHgg/edit?usp=sharing"",""พรบ!AM24"")"),86000)</f>
        <v>86000</v>
      </c>
      <c r="AI20" s="77">
        <f ca="1">IFERROR(__xludf.DUMMYFUNCTION("IMPORTRANGE(""https://docs.google.com/spreadsheets/d/1C3CXT74ZlgGe6_JY_1olB1XN4rF0dxEuIIF-xsYjHgg/edit?usp=sharing"",""พรบ!AN24"")"),300000)</f>
        <v>300000</v>
      </c>
      <c r="AJ20" s="77">
        <f ca="1">IFERROR(__xludf.DUMMYFUNCTION("IMPORTRANGE(""https://docs.google.com/spreadsheets/d/11923uPwbBZFjjGgGUA6NLw09EwE0CqkOc4q9oUmW1yo/edit?usp=sharing"",""นครสวรรค์!J124"")"),300000)</f>
        <v>300000</v>
      </c>
      <c r="AK20" s="137">
        <f t="shared" ca="1" si="17"/>
        <v>100</v>
      </c>
      <c r="AL20" s="77">
        <f ca="1">IFERROR(__xludf.DUMMYFUNCTION("IMPORTRANGE(""https://docs.google.com/spreadsheets/d/11923uPwbBZFjjGgGUA6NLw09EwE0CqkOc4q9oUmW1yo/edit?usp=sharing"",""นครสวรรค์!J125"")"),0)</f>
        <v>0</v>
      </c>
      <c r="AM20" s="137">
        <f t="shared" ca="1" si="18"/>
        <v>0</v>
      </c>
      <c r="AN20" s="77">
        <f ca="1">IFERROR(__xludf.DUMMYFUNCTION("IMPORTRANGE(""https://docs.google.com/spreadsheets/d/1C3CXT74ZlgGe6_JY_1olB1XN4rF0dxEuIIF-xsYjHgg/edit?usp=sharing"",""พรบ!AQ24"")"),0)</f>
        <v>0</v>
      </c>
      <c r="AO20" s="77">
        <f ca="1">IFERROR(__xludf.DUMMYFUNCTION("IMPORTRANGE(""https://docs.google.com/spreadsheets/d/11923uPwbBZFjjGgGUA6NLw09EwE0CqkOc4q9oUmW1yo/edit?usp=sharing"",""นครสวรรค์!J126"")"),0)</f>
        <v>0</v>
      </c>
      <c r="AP20" s="137">
        <f t="shared" ca="1" si="20"/>
        <v>0</v>
      </c>
      <c r="AQ20" s="149">
        <f ca="1">IFERROR(__xludf.DUMMYFUNCTION("IMPORTRANGE(""https://docs.google.com/spreadsheets/d/1C3CXT74ZlgGe6_JY_1olB1XN4rF0dxEuIIF-xsYjHgg/edit?usp=sharing"",""พรบ!AR24"")"),0)</f>
        <v>0</v>
      </c>
      <c r="AR20" s="77">
        <f ca="1">IFERROR(__xludf.DUMMYFUNCTION("IMPORTRANGE(""https://docs.google.com/spreadsheets/d/1C3CXT74ZlgGe6_JY_1olB1XN4rF0dxEuIIF-xsYjHgg/edit?usp=sharing"",""พรบ!AS24"")"),0)</f>
        <v>0</v>
      </c>
      <c r="AS20" s="77">
        <f ca="1">IFERROR(__xludf.DUMMYFUNCTION("IMPORTRANGE(""https://docs.google.com/spreadsheets/d/11923uPwbBZFjjGgGUA6NLw09EwE0CqkOc4q9oUmW1yo/edit?usp=sharing"",""นครสวรรค์!J138"")"),0)</f>
        <v>0</v>
      </c>
      <c r="AT20" s="137">
        <f t="shared" ca="1" si="22"/>
        <v>0</v>
      </c>
      <c r="AU20" s="77">
        <f ca="1">IFERROR(__xludf.DUMMYFUNCTION("IMPORTRANGE(""https://docs.google.com/spreadsheets/d/1C3CXT74ZlgGe6_JY_1olB1XN4rF0dxEuIIF-xsYjHgg/edit?usp=sharing"",""พรบ!AT24"")"),0)</f>
        <v>0</v>
      </c>
      <c r="AV20" s="77">
        <f ca="1">IFERROR(__xludf.DUMMYFUNCTION("IMPORTRANGE(""https://docs.google.com/spreadsheets/d/1C3CXT74ZlgGe6_JY_1olB1XN4rF0dxEuIIF-xsYjHgg/edit?usp=sharing"",""พรบ!AU24"")"),0)</f>
        <v>0</v>
      </c>
      <c r="AW20" s="77">
        <f ca="1">IFERROR(__xludf.DUMMYFUNCTION("IMPORTRANGE(""https://docs.google.com/spreadsheets/d/11923uPwbBZFjjGgGUA6NLw09EwE0CqkOc4q9oUmW1yo/edit?usp=sharing"",""นครสวรรค์!J140"")"),0)</f>
        <v>0</v>
      </c>
      <c r="AX20" s="137">
        <f t="shared" ca="1" si="24"/>
        <v>0</v>
      </c>
      <c r="AY20" s="77">
        <f ca="1">IFERROR(__xludf.DUMMYFUNCTION("IMPORTRANGE(""https://docs.google.com/spreadsheets/d/11923uPwbBZFjjGgGUA6NLw09EwE0CqkOc4q9oUmW1yo/edit?usp=sharing"",""นครสวรรค์!J141"")"),0)</f>
        <v>0</v>
      </c>
      <c r="AZ20" s="137">
        <f t="shared" ca="1" si="25"/>
        <v>0</v>
      </c>
      <c r="BA20" s="77">
        <f t="shared" ca="1" si="26"/>
        <v>0</v>
      </c>
      <c r="BB20" s="77">
        <f t="shared" ca="1" si="74"/>
        <v>0</v>
      </c>
      <c r="BC20" s="137">
        <f t="shared" ca="1" si="27"/>
        <v>0</v>
      </c>
    </row>
    <row r="21" spans="1:55" ht="24" customHeight="1">
      <c r="A21" s="73">
        <v>6</v>
      </c>
      <c r="B21" s="74" t="s">
        <v>45</v>
      </c>
      <c r="C21" s="75">
        <f t="shared" ca="1" si="0"/>
        <v>815200</v>
      </c>
      <c r="D21" s="76">
        <f t="shared" ca="1" si="75"/>
        <v>815200</v>
      </c>
      <c r="E21" s="77">
        <f ca="1">IFERROR(__xludf.DUMMYFUNCTION("IMPORTRANGE(""https://docs.google.com/spreadsheets/d/1C3CXT74ZlgGe6_JY_1olB1XN4rF0dxEuIIF-xsYjHgg/edit?usp=sharing"",""พรบ!AD25"")"),315900)</f>
        <v>315900</v>
      </c>
      <c r="F21" s="77">
        <f ca="1">IFERROR(__xludf.DUMMYFUNCTION("IMPORTRANGE(""https://docs.google.com/spreadsheets/d/1C3CXT74ZlgGe6_JY_1olB1XN4rF0dxEuIIF-xsYjHgg/edit?usp=sharing"",""พรบ!AE25"")"),499300)</f>
        <v>499300</v>
      </c>
      <c r="G21" s="77">
        <f ca="1">IFERROR(__xludf.DUMMYFUNCTION("IMPORTRANGE(""https://docs.google.com/spreadsheets/d/1Yj_ptqi66GCucihVvJfMjLAmec39IyEx_6qawtMGysU/edit?usp=sharing"",""สบก!BH25"")"),0)</f>
        <v>0</v>
      </c>
      <c r="H21" s="77">
        <f ca="1">IFERROR(__xludf.DUMMYFUNCTION("IMPORTRANGE(""https://docs.google.com/spreadsheets/d/1Yj_ptqi66GCucihVvJfMjLAmec39IyEx_6qawtMGysU/edit?usp=shBJing"",""สบก!BJ25"")"),664325)</f>
        <v>664325</v>
      </c>
      <c r="I21" s="77">
        <f t="shared" ca="1" si="3"/>
        <v>403461.52</v>
      </c>
      <c r="J21" s="137">
        <f t="shared" ca="1" si="4"/>
        <v>49.49233562315996</v>
      </c>
      <c r="K21" s="77">
        <f ca="1">IFERROR(__xludf.DUMMYFUNCTION("IMPORTRANGE(""https://docs.google.com/spreadsheets/d/1Yj_ptqi66GCucihVvJfMjLAmec39IyEx_6qawtMGysU/edit?usp=sharing"",""สบก!BK25"")"),403461.52)</f>
        <v>403461.52</v>
      </c>
      <c r="L21" s="137">
        <f t="shared" ca="1" si="5"/>
        <v>49.49233562315996</v>
      </c>
      <c r="M21" s="137">
        <f t="shared" ca="1" si="6"/>
        <v>60.732551085688478</v>
      </c>
      <c r="N21" s="137">
        <f ca="1">IFERROR(__xludf.DUMMYFUNCTION("IMPORTRANGE(""https://docs.google.com/spreadsheets/d/1Yj_ptqi66GCucihVvJfMjLAmec39IyEx_6qawtMGysU/edit?usp=sharing"",""สบก!BL25"")"),0)</f>
        <v>0</v>
      </c>
      <c r="O21" s="137">
        <f t="shared" ca="1" si="7"/>
        <v>0</v>
      </c>
      <c r="P21" s="77">
        <f ca="1">IFERROR(__xludf.DUMMYFUNCTION("IMPORTRANGE(""https://docs.google.com/spreadsheets/d/1C3CXT74ZlgGe6_JY_1olB1XN4rF0dxEuIIF-xsYjHgg/edit?usp=sharing"",""พรบ!AF25"")"),7500)</f>
        <v>7500</v>
      </c>
      <c r="Q21" s="77">
        <f ca="1">IFERROR(__xludf.DUMMYFUNCTION("IMPORTRANGE(""https://docs.google.com/spreadsheets/d/1C3CXT74ZlgGe6_JY_1olB1XN4rF0dxEuIIF-xsYjHgg/edit?usp=sharing"",""พรบ!AG25"")"),4)</f>
        <v>4</v>
      </c>
      <c r="R21" s="77">
        <f ca="1">IFERROR(__xludf.DUMMYFUNCTION("IMPORTRANGE(""https://docs.google.com/spreadsheets/d/11923uPwbBZFjjGgGUA6NLw09EwE0CqkOc4q9oUmW1yo/edit?usp=sharing"",""น่าน!J83"")"),2)</f>
        <v>2</v>
      </c>
      <c r="S21" s="137">
        <f t="shared" ca="1" si="9"/>
        <v>50</v>
      </c>
      <c r="T21" s="77">
        <f t="shared" ca="1" si="73"/>
        <v>137</v>
      </c>
      <c r="U21" s="77">
        <f ca="1">IFERROR(__xludf.DUMMYFUNCTION("IMPORTRANGE(""https://docs.google.com/spreadsheets/d/11923uPwbBZFjjGgGUA6NLw09EwE0CqkOc4q9oUmW1yo/edit?usp=sharing"",""น่าน!J85"")"),137)</f>
        <v>137</v>
      </c>
      <c r="V21" s="77">
        <f ca="1">IFERROR(__xludf.DUMMYFUNCTION("IMPORTRANGE(""https://docs.google.com/spreadsheets/d/11923uPwbBZFjjGgGUA6NLw09EwE0CqkOc4q9oUmW1yo/edit?usp=sharing"",""น่าน!J86"")"),0)</f>
        <v>0</v>
      </c>
      <c r="W21" s="77">
        <f ca="1">IFERROR(__xludf.DUMMYFUNCTION("IMPORTRANGE(""https://docs.google.com/spreadsheets/d/1C3CXT74ZlgGe6_JY_1olB1XN4rF0dxEuIIF-xsYjHgg/edit?usp=sharing"",""พรบ!AH25"")"),56000)</f>
        <v>56000</v>
      </c>
      <c r="X21" s="77">
        <f ca="1">IFERROR(__xludf.DUMMYFUNCTION("IMPORTRANGE(""https://docs.google.com/spreadsheets/d/1C3CXT74ZlgGe6_JY_1olB1XN4rF0dxEuIIF-xsYjHgg/edit?usp=sharing"",""พรบ!AI25"")"),4)</f>
        <v>4</v>
      </c>
      <c r="Y21" s="77">
        <f ca="1">IFERROR(__xludf.DUMMYFUNCTION("IMPORTRANGE(""https://docs.google.com/spreadsheets/d/11923uPwbBZFjjGgGUA6NLw09EwE0CqkOc4q9oUmW1yo/edit?usp=sharing"",""น่าน!J98"")"),4)</f>
        <v>4</v>
      </c>
      <c r="Z21" s="137">
        <f t="shared" ca="1" si="11"/>
        <v>100</v>
      </c>
      <c r="AA21" s="77">
        <f ca="1">IFERROR(__xludf.DUMMYFUNCTION("IMPORTRANGE(""https://docs.google.com/spreadsheets/d/1C3CXT74ZlgGe6_JY_1olB1XN4rF0dxEuIIF-xsYjHgg/edit?usp=sharing"",""พรบ!AJ25"")"),0)</f>
        <v>0</v>
      </c>
      <c r="AB21" s="77">
        <f ca="1">IFERROR(__xludf.DUMMYFUNCTION("IMPORTRANGE(""https://docs.google.com/spreadsheets/d/1C3CXT74ZlgGe6_JY_1olB1XN4rF0dxEuIIF-xsYjHgg/edit?usp=sharing"",""พรบ!AK25"")"),0)</f>
        <v>0</v>
      </c>
      <c r="AC21" s="77">
        <f ca="1">IFERROR(__xludf.DUMMYFUNCTION("IMPORTRANGE(""https://docs.google.com/spreadsheets/d/11923uPwbBZFjjGgGUA6NLw09EwE0CqkOc4q9oUmW1yo/edit?usp=sharing"",""น่าน!J110"")"),0)</f>
        <v>0</v>
      </c>
      <c r="AD21" s="137">
        <f t="shared" ca="1" si="13"/>
        <v>0</v>
      </c>
      <c r="AE21" s="77">
        <f ca="1">IFERROR(__xludf.DUMMYFUNCTION("IMPORTRANGE(""https://docs.google.com/spreadsheets/d/1C3CXT74ZlgGe6_JY_1olB1XN4rF0dxEuIIF-xsYjHgg/edit?usp=sharing"",""พรบ!AL25"")"),0)</f>
        <v>0</v>
      </c>
      <c r="AF21" s="77">
        <f ca="1">IFERROR(__xludf.DUMMYFUNCTION("IMPORTRANGE(""https://docs.google.com/spreadsheets/d/11923uPwbBZFjjGgGUA6NLw09EwE0CqkOc4q9oUmW1yo/edit?usp=sharing"",""น่าน!J111"")"),0)</f>
        <v>0</v>
      </c>
      <c r="AG21" s="137">
        <f t="shared" ca="1" si="15"/>
        <v>0</v>
      </c>
      <c r="AH21" s="77">
        <f ca="1">IFERROR(__xludf.DUMMYFUNCTION("IMPORTRANGE(""https://docs.google.com/spreadsheets/d/1C3CXT74ZlgGe6_JY_1olB1XN4rF0dxEuIIF-xsYjHgg/edit?usp=sharing"",""พรบ!AM25"")"),19500)</f>
        <v>19500</v>
      </c>
      <c r="AI21" s="77">
        <f ca="1">IFERROR(__xludf.DUMMYFUNCTION("IMPORTRANGE(""https://docs.google.com/spreadsheets/d/1C3CXT74ZlgGe6_JY_1olB1XN4rF0dxEuIIF-xsYjHgg/edit?usp=sharing"",""พรบ!AN25"")"),50000)</f>
        <v>50000</v>
      </c>
      <c r="AJ21" s="77">
        <f ca="1">IFERROR(__xludf.DUMMYFUNCTION("IMPORTRANGE(""https://docs.google.com/spreadsheets/d/11923uPwbBZFjjGgGUA6NLw09EwE0CqkOc4q9oUmW1yo/edit?usp=sharing"",""น่าน!J124"")"),0)</f>
        <v>0</v>
      </c>
      <c r="AK21" s="137">
        <f t="shared" ca="1" si="17"/>
        <v>0</v>
      </c>
      <c r="AL21" s="77">
        <f ca="1">IFERROR(__xludf.DUMMYFUNCTION("IMPORTRANGE(""https://docs.google.com/spreadsheets/d/11923uPwbBZFjjGgGUA6NLw09EwE0CqkOc4q9oUmW1yo/edit?usp=sharing"",""น่าน!J125"")"),0)</f>
        <v>0</v>
      </c>
      <c r="AM21" s="137">
        <f t="shared" ca="1" si="18"/>
        <v>0</v>
      </c>
      <c r="AN21" s="77">
        <f ca="1">IFERROR(__xludf.DUMMYFUNCTION("IMPORTRANGE(""https://docs.google.com/spreadsheets/d/1C3CXT74ZlgGe6_JY_1olB1XN4rF0dxEuIIF-xsYjHgg/edit?usp=sharing"",""พรบ!AQ25"")"),0)</f>
        <v>0</v>
      </c>
      <c r="AO21" s="77">
        <f ca="1">IFERROR(__xludf.DUMMYFUNCTION("IMPORTRANGE(""https://docs.google.com/spreadsheets/d/11923uPwbBZFjjGgGUA6NLw09EwE0CqkOc4q9oUmW1yo/edit?usp=sharing"",""น่าน!J126"")"),0)</f>
        <v>0</v>
      </c>
      <c r="AP21" s="137">
        <f t="shared" ca="1" si="20"/>
        <v>0</v>
      </c>
      <c r="AQ21" s="77">
        <f ca="1">IFERROR(__xludf.DUMMYFUNCTION("IMPORTRANGE(""https://docs.google.com/spreadsheets/d/1C3CXT74ZlgGe6_JY_1olB1XN4rF0dxEuIIF-xsYjHgg/edit?usp=sharing"",""พรบ!AR25"")"),416300)</f>
        <v>416300</v>
      </c>
      <c r="AR21" s="77">
        <f ca="1">IFERROR(__xludf.DUMMYFUNCTION("IMPORTRANGE(""https://docs.google.com/spreadsheets/d/1C3CXT74ZlgGe6_JY_1olB1XN4rF0dxEuIIF-xsYjHgg/edit?usp=sharing"",""พรบ!AS25"")"),90)</f>
        <v>90</v>
      </c>
      <c r="AS21" s="77">
        <f ca="1">IFERROR(__xludf.DUMMYFUNCTION("IMPORTRANGE(""https://docs.google.com/spreadsheets/d/11923uPwbBZFjjGgGUA6NLw09EwE0CqkOc4q9oUmW1yo/edit?usp=sharing"",""น่าน!J138"")"),90)</f>
        <v>90</v>
      </c>
      <c r="AT21" s="137">
        <f t="shared" ca="1" si="22"/>
        <v>100</v>
      </c>
      <c r="AU21" s="77">
        <f ca="1">IFERROR(__xludf.DUMMYFUNCTION("IMPORTRANGE(""https://docs.google.com/spreadsheets/d/1C3CXT74ZlgGe6_JY_1olB1XN4rF0dxEuIIF-xsYjHgg/edit?usp=sharing"",""พรบ!AT25"")"),90)</f>
        <v>90</v>
      </c>
      <c r="AV21" s="149">
        <f ca="1">IFERROR(__xludf.DUMMYFUNCTION("IMPORTRANGE(""https://docs.google.com/spreadsheets/d/1C3CXT74ZlgGe6_JY_1olB1XN4rF0dxEuIIF-xsYjHgg/edit?usp=sharing"",""พรบ!AU25"")"),4)</f>
        <v>4</v>
      </c>
      <c r="AW21" s="77">
        <f ca="1">IFERROR(__xludf.DUMMYFUNCTION("IMPORTRANGE(""https://docs.google.com/spreadsheets/d/11923uPwbBZFjjGgGUA6NLw09EwE0CqkOc4q9oUmW1yo/edit?usp=sharing"",""น่าน!J140"")"),0)</f>
        <v>0</v>
      </c>
      <c r="AX21" s="137">
        <f t="shared" ca="1" si="24"/>
        <v>0</v>
      </c>
      <c r="AY21" s="77">
        <f ca="1">IFERROR(__xludf.DUMMYFUNCTION("IMPORTRANGE(""https://docs.google.com/spreadsheets/d/11923uPwbBZFjjGgGUA6NLw09EwE0CqkOc4q9oUmW1yo/edit?usp=sharing"",""น่าน!J141"")"),0)</f>
        <v>0</v>
      </c>
      <c r="AZ21" s="137">
        <f t="shared" ca="1" si="25"/>
        <v>0</v>
      </c>
      <c r="BA21" s="77">
        <f t="shared" ca="1" si="26"/>
        <v>90</v>
      </c>
      <c r="BB21" s="77">
        <f t="shared" ca="1" si="74"/>
        <v>90</v>
      </c>
      <c r="BC21" s="137">
        <f t="shared" ca="1" si="27"/>
        <v>100</v>
      </c>
    </row>
    <row r="22" spans="1:55" ht="24" customHeight="1">
      <c r="A22" s="73">
        <v>7</v>
      </c>
      <c r="B22" s="74" t="s">
        <v>46</v>
      </c>
      <c r="C22" s="75">
        <f t="shared" ca="1" si="0"/>
        <v>828600</v>
      </c>
      <c r="D22" s="76">
        <f t="shared" ca="1" si="75"/>
        <v>828600</v>
      </c>
      <c r="E22" s="77">
        <f ca="1">IFERROR(__xludf.DUMMYFUNCTION("IMPORTRANGE(""https://docs.google.com/spreadsheets/d/1C3CXT74ZlgGe6_JY_1olB1XN4rF0dxEuIIF-xsYjHgg/edit?usp=sharing"",""พรบ!AD26"")"),462100)</f>
        <v>462100</v>
      </c>
      <c r="F22" s="77">
        <f ca="1">IFERROR(__xludf.DUMMYFUNCTION("IMPORTRANGE(""https://docs.google.com/spreadsheets/d/1C3CXT74ZlgGe6_JY_1olB1XN4rF0dxEuIIF-xsYjHgg/edit?usp=sharing"",""พรบ!AE26"")"),366500)</f>
        <v>366500</v>
      </c>
      <c r="G22" s="77">
        <f ca="1">IFERROR(__xludf.DUMMYFUNCTION("IMPORTRANGE(""https://docs.google.com/spreadsheets/d/1Yj_ptqi66GCucihVvJfMjLAmec39IyEx_6qawtMGysU/edit?usp=sharing"",""สบก!BH26"")"),0)</f>
        <v>0</v>
      </c>
      <c r="H22" s="77">
        <f ca="1">IFERROR(__xludf.DUMMYFUNCTION("IMPORTRANGE(""https://docs.google.com/spreadsheets/d/1Yj_ptqi66GCucihVvJfMjLAmec39IyEx_6qawtMGysU/edit?usp=shBJing"",""สบก!BJ26"")"),667225)</f>
        <v>667225</v>
      </c>
      <c r="I22" s="77">
        <f t="shared" ca="1" si="3"/>
        <v>425778.52</v>
      </c>
      <c r="J22" s="137">
        <f t="shared" ca="1" si="4"/>
        <v>51.385290852039581</v>
      </c>
      <c r="K22" s="77">
        <f ca="1">IFERROR(__xludf.DUMMYFUNCTION("IMPORTRANGE(""https://docs.google.com/spreadsheets/d/1Yj_ptqi66GCucihVvJfMjLAmec39IyEx_6qawtMGysU/edit?usp=sharing"",""สบก!BK26"")"),425778.52)</f>
        <v>425778.52</v>
      </c>
      <c r="L22" s="137">
        <f t="shared" ca="1" si="5"/>
        <v>51.385290852039581</v>
      </c>
      <c r="M22" s="137">
        <f t="shared" ca="1" si="6"/>
        <v>63.813334332496531</v>
      </c>
      <c r="N22" s="137">
        <f ca="1">IFERROR(__xludf.DUMMYFUNCTION("IMPORTRANGE(""https://docs.google.com/spreadsheets/d/1Yj_ptqi66GCucihVvJfMjLAmec39IyEx_6qawtMGysU/edit?usp=sharing"",""สบก!BL26"")"),0)</f>
        <v>0</v>
      </c>
      <c r="O22" s="137">
        <f t="shared" ca="1" si="7"/>
        <v>0</v>
      </c>
      <c r="P22" s="77">
        <f ca="1">IFERROR(__xludf.DUMMYFUNCTION("IMPORTRANGE(""https://docs.google.com/spreadsheets/d/1C3CXT74ZlgGe6_JY_1olB1XN4rF0dxEuIIF-xsYjHgg/edit?usp=sharing"",""พรบ!AF26"")"),7500)</f>
        <v>7500</v>
      </c>
      <c r="Q22" s="77">
        <f ca="1">IFERROR(__xludf.DUMMYFUNCTION("IMPORTRANGE(""https://docs.google.com/spreadsheets/d/1C3CXT74ZlgGe6_JY_1olB1XN4rF0dxEuIIF-xsYjHgg/edit?usp=sharing"",""พรบ!AG26"")"),4)</f>
        <v>4</v>
      </c>
      <c r="R22" s="77">
        <f ca="1">IFERROR(__xludf.DUMMYFUNCTION("IMPORTRANGE(""https://docs.google.com/spreadsheets/d/11923uPwbBZFjjGgGUA6NLw09EwE0CqkOc4q9oUmW1yo/edit?usp=sharing"",""พะเยา!J83"")"),2)</f>
        <v>2</v>
      </c>
      <c r="S22" s="137">
        <f t="shared" ca="1" si="9"/>
        <v>50</v>
      </c>
      <c r="T22" s="77">
        <f t="shared" ca="1" si="73"/>
        <v>120</v>
      </c>
      <c r="U22" s="77">
        <f ca="1">IFERROR(__xludf.DUMMYFUNCTION("IMPORTRANGE(""https://docs.google.com/spreadsheets/d/11923uPwbBZFjjGgGUA6NLw09EwE0CqkOc4q9oUmW1yo/edit?usp=sharing"",""พะเยา!J85"")"),120)</f>
        <v>120</v>
      </c>
      <c r="V22" s="77">
        <f ca="1">IFERROR(__xludf.DUMMYFUNCTION("IMPORTRANGE(""https://docs.google.com/spreadsheets/d/11923uPwbBZFjjGgGUA6NLw09EwE0CqkOc4q9oUmW1yo/edit?usp=sharing"",""พะเยา!J86"")"),0)</f>
        <v>0</v>
      </c>
      <c r="W22" s="77">
        <f ca="1">IFERROR(__xludf.DUMMYFUNCTION("IMPORTRANGE(""https://docs.google.com/spreadsheets/d/1C3CXT74ZlgGe6_JY_1olB1XN4rF0dxEuIIF-xsYjHgg/edit?usp=sharing"",""พรบ!AH26"")"),28000)</f>
        <v>28000</v>
      </c>
      <c r="X22" s="77">
        <f ca="1">IFERROR(__xludf.DUMMYFUNCTION("IMPORTRANGE(""https://docs.google.com/spreadsheets/d/1C3CXT74ZlgGe6_JY_1olB1XN4rF0dxEuIIF-xsYjHgg/edit?usp=sharing"",""พรบ!AI26"")"),2)</f>
        <v>2</v>
      </c>
      <c r="Y22" s="77">
        <f ca="1">IFERROR(__xludf.DUMMYFUNCTION("IMPORTRANGE(""https://docs.google.com/spreadsheets/d/11923uPwbBZFjjGgGUA6NLw09EwE0CqkOc4q9oUmW1yo/edit?usp=sharing"",""พะเยา!J98"")"),2)</f>
        <v>2</v>
      </c>
      <c r="Z22" s="137">
        <f t="shared" ca="1" si="11"/>
        <v>100</v>
      </c>
      <c r="AA22" s="77">
        <f ca="1">IFERROR(__xludf.DUMMYFUNCTION("IMPORTRANGE(""https://docs.google.com/spreadsheets/d/1C3CXT74ZlgGe6_JY_1olB1XN4rF0dxEuIIF-xsYjHgg/edit?usp=sharing"",""พรบ!AJ26"")"),0)</f>
        <v>0</v>
      </c>
      <c r="AB22" s="77">
        <f ca="1">IFERROR(__xludf.DUMMYFUNCTION("IMPORTRANGE(""https://docs.google.com/spreadsheets/d/1C3CXT74ZlgGe6_JY_1olB1XN4rF0dxEuIIF-xsYjHgg/edit?usp=sharing"",""พรบ!AK26"")"),0)</f>
        <v>0</v>
      </c>
      <c r="AC22" s="77">
        <f ca="1">IFERROR(__xludf.DUMMYFUNCTION("IMPORTRANGE(""https://docs.google.com/spreadsheets/d/11923uPwbBZFjjGgGUA6NLw09EwE0CqkOc4q9oUmW1yo/edit?usp=sharing"",""พะเยา!J110"")"),0)</f>
        <v>0</v>
      </c>
      <c r="AD22" s="137">
        <f t="shared" ca="1" si="13"/>
        <v>0</v>
      </c>
      <c r="AE22" s="77">
        <f ca="1">IFERROR(__xludf.DUMMYFUNCTION("IMPORTRANGE(""https://docs.google.com/spreadsheets/d/1C3CXT74ZlgGe6_JY_1olB1XN4rF0dxEuIIF-xsYjHgg/edit?usp=sharing"",""พรบ!AL26"")"),0)</f>
        <v>0</v>
      </c>
      <c r="AF22" s="77">
        <f ca="1">IFERROR(__xludf.DUMMYFUNCTION("IMPORTRANGE(""https://docs.google.com/spreadsheets/d/11923uPwbBZFjjGgGUA6NLw09EwE0CqkOc4q9oUmW1yo/edit?usp=sharing"",""พะเยา!J111"")"),0)</f>
        <v>0</v>
      </c>
      <c r="AG22" s="137">
        <f t="shared" ca="1" si="15"/>
        <v>0</v>
      </c>
      <c r="AH22" s="77">
        <f ca="1">IFERROR(__xludf.DUMMYFUNCTION("IMPORTRANGE(""https://docs.google.com/spreadsheets/d/1C3CXT74ZlgGe6_JY_1olB1XN4rF0dxEuIIF-xsYjHgg/edit?usp=sharing"",""พรบ!AM26"")"),24000)</f>
        <v>24000</v>
      </c>
      <c r="AI22" s="77">
        <f ca="1">IFERROR(__xludf.DUMMYFUNCTION("IMPORTRANGE(""https://docs.google.com/spreadsheets/d/1C3CXT74ZlgGe6_JY_1olB1XN4rF0dxEuIIF-xsYjHgg/edit?usp=sharing"",""พรบ!AN26"")"),20000)</f>
        <v>20000</v>
      </c>
      <c r="AJ22" s="77">
        <f ca="1">IFERROR(__xludf.DUMMYFUNCTION("IMPORTRANGE(""https://docs.google.com/spreadsheets/d/11923uPwbBZFjjGgGUA6NLw09EwE0CqkOc4q9oUmW1yo/edit?usp=sharing"",""พะเยา!J124"")"),20000)</f>
        <v>20000</v>
      </c>
      <c r="AK22" s="137">
        <f t="shared" ca="1" si="17"/>
        <v>100</v>
      </c>
      <c r="AL22" s="77">
        <f ca="1">IFERROR(__xludf.DUMMYFUNCTION("IMPORTRANGE(""https://docs.google.com/spreadsheets/d/11923uPwbBZFjjGgGUA6NLw09EwE0CqkOc4q9oUmW1yo/edit?usp=sharing"",""พะเยา!J125"")"),0)</f>
        <v>0</v>
      </c>
      <c r="AM22" s="137">
        <f t="shared" ca="1" si="18"/>
        <v>0</v>
      </c>
      <c r="AN22" s="77">
        <f ca="1">IFERROR(__xludf.DUMMYFUNCTION("IMPORTRANGE(""https://docs.google.com/spreadsheets/d/1C3CXT74ZlgGe6_JY_1olB1XN4rF0dxEuIIF-xsYjHgg/edit?usp=sharing"",""พรบ!AQ26"")"),15)</f>
        <v>15</v>
      </c>
      <c r="AO22" s="77">
        <f ca="1">IFERROR(__xludf.DUMMYFUNCTION("IMPORTRANGE(""https://docs.google.com/spreadsheets/d/11923uPwbBZFjjGgGUA6NLw09EwE0CqkOc4q9oUmW1yo/edit?usp=sharing"",""พะเยา!J126"")"),15)</f>
        <v>15</v>
      </c>
      <c r="AP22" s="137">
        <f t="shared" ca="1" si="20"/>
        <v>100</v>
      </c>
      <c r="AQ22" s="77">
        <f ca="1">IFERROR(__xludf.DUMMYFUNCTION("IMPORTRANGE(""https://docs.google.com/spreadsheets/d/1C3CXT74ZlgGe6_JY_1olB1XN4rF0dxEuIIF-xsYjHgg/edit?usp=sharing"",""พรบ!AR26"")"),307000)</f>
        <v>307000</v>
      </c>
      <c r="AR22" s="77">
        <f ca="1">IFERROR(__xludf.DUMMYFUNCTION("IMPORTRANGE(""https://docs.google.com/spreadsheets/d/1C3CXT74ZlgGe6_JY_1olB1XN4rF0dxEuIIF-xsYjHgg/edit?usp=sharing"",""พรบ!AS26"")"),40)</f>
        <v>40</v>
      </c>
      <c r="AS22" s="77">
        <f ca="1">IFERROR(__xludf.DUMMYFUNCTION("IMPORTRANGE(""https://docs.google.com/spreadsheets/d/11923uPwbBZFjjGgGUA6NLw09EwE0CqkOc4q9oUmW1yo/edit?usp=sharing"",""พะเยา!J138"")"),40)</f>
        <v>40</v>
      </c>
      <c r="AT22" s="137">
        <f t="shared" ca="1" si="22"/>
        <v>100</v>
      </c>
      <c r="AU22" s="77">
        <f ca="1">IFERROR(__xludf.DUMMYFUNCTION("IMPORTRANGE(""https://docs.google.com/spreadsheets/d/1C3CXT74ZlgGe6_JY_1olB1XN4rF0dxEuIIF-xsYjHgg/edit?usp=sharing"",""พรบ!AT26"")"),40)</f>
        <v>40</v>
      </c>
      <c r="AV22" s="149">
        <f ca="1">IFERROR(__xludf.DUMMYFUNCTION("IMPORTRANGE(""https://docs.google.com/spreadsheets/d/1C3CXT74ZlgGe6_JY_1olB1XN4rF0dxEuIIF-xsYjHgg/edit?usp=sharing"",""พรบ!AU26"")"),2)</f>
        <v>2</v>
      </c>
      <c r="AW22" s="77">
        <f ca="1">IFERROR(__xludf.DUMMYFUNCTION("IMPORTRANGE(""https://docs.google.com/spreadsheets/d/11923uPwbBZFjjGgGUA6NLw09EwE0CqkOc4q9oUmW1yo/edit?usp=sharing"",""พะเยา!J140"")"),0)</f>
        <v>0</v>
      </c>
      <c r="AX22" s="137">
        <f t="shared" ca="1" si="24"/>
        <v>0</v>
      </c>
      <c r="AY22" s="77">
        <f ca="1">IFERROR(__xludf.DUMMYFUNCTION("IMPORTRANGE(""https://docs.google.com/spreadsheets/d/11923uPwbBZFjjGgGUA6NLw09EwE0CqkOc4q9oUmW1yo/edit?usp=sharing"",""พะเยา!J141"")"),0)</f>
        <v>0</v>
      </c>
      <c r="AZ22" s="137">
        <f t="shared" ca="1" si="25"/>
        <v>0</v>
      </c>
      <c r="BA22" s="77">
        <f t="shared" ca="1" si="26"/>
        <v>55</v>
      </c>
      <c r="BB22" s="77">
        <f t="shared" ca="1" si="74"/>
        <v>55</v>
      </c>
      <c r="BC22" s="137">
        <f t="shared" ca="1" si="27"/>
        <v>100</v>
      </c>
    </row>
    <row r="23" spans="1:55" ht="24" customHeight="1">
      <c r="A23" s="73">
        <v>8</v>
      </c>
      <c r="B23" s="74" t="s">
        <v>47</v>
      </c>
      <c r="C23" s="75">
        <f t="shared" ca="1" si="0"/>
        <v>58500</v>
      </c>
      <c r="D23" s="76">
        <f t="shared" ca="1" si="75"/>
        <v>58500</v>
      </c>
      <c r="E23" s="77">
        <f ca="1">IFERROR(__xludf.DUMMYFUNCTION("IMPORTRANGE(""https://docs.google.com/spreadsheets/d/1C3CXT74ZlgGe6_JY_1olB1XN4rF0dxEuIIF-xsYjHgg/edit?usp=sharing"",""พรบ!AD27"")"),0)</f>
        <v>0</v>
      </c>
      <c r="F23" s="77">
        <f ca="1">IFERROR(__xludf.DUMMYFUNCTION("IMPORTRANGE(""https://docs.google.com/spreadsheets/d/1C3CXT74ZlgGe6_JY_1olB1XN4rF0dxEuIIF-xsYjHgg/edit?usp=sharing"",""พรบ!AE27"")"),58500)</f>
        <v>58500</v>
      </c>
      <c r="G23" s="77">
        <f ca="1">IFERROR(__xludf.DUMMYFUNCTION("IMPORTRANGE(""https://docs.google.com/spreadsheets/d/1Yj_ptqi66GCucihVvJfMjLAmec39IyEx_6qawtMGysU/edit?usp=sharing"",""สบก!BH27"")"),0)</f>
        <v>0</v>
      </c>
      <c r="H23" s="77">
        <f ca="1">IFERROR(__xludf.DUMMYFUNCTION("IMPORTRANGE(""https://docs.google.com/spreadsheets/d/1Yj_ptqi66GCucihVvJfMjLAmec39IyEx_6qawtMGysU/edit?usp=shBJing"",""สบก!BJ27"")"),55625)</f>
        <v>55625</v>
      </c>
      <c r="I23" s="77">
        <f t="shared" ca="1" si="3"/>
        <v>35258</v>
      </c>
      <c r="J23" s="137">
        <f t="shared" ca="1" si="4"/>
        <v>60.270085470085469</v>
      </c>
      <c r="K23" s="77">
        <f ca="1">IFERROR(__xludf.DUMMYFUNCTION("IMPORTRANGE(""https://docs.google.com/spreadsheets/d/1Yj_ptqi66GCucihVvJfMjLAmec39IyEx_6qawtMGysU/edit?usp=sharing"",""สบก!BK27"")"),35258)</f>
        <v>35258</v>
      </c>
      <c r="L23" s="137">
        <f t="shared" ca="1" si="5"/>
        <v>60.270085470085469</v>
      </c>
      <c r="M23" s="137">
        <f t="shared" ca="1" si="6"/>
        <v>63.385168539325839</v>
      </c>
      <c r="N23" s="137">
        <f ca="1">IFERROR(__xludf.DUMMYFUNCTION("IMPORTRANGE(""https://docs.google.com/spreadsheets/d/1Yj_ptqi66GCucihVvJfMjLAmec39IyEx_6qawtMGysU/edit?usp=sharing"",""สบก!BL27"")"),0)</f>
        <v>0</v>
      </c>
      <c r="O23" s="137">
        <f t="shared" ca="1" si="7"/>
        <v>0</v>
      </c>
      <c r="P23" s="77">
        <f ca="1">IFERROR(__xludf.DUMMYFUNCTION("IMPORTRANGE(""https://docs.google.com/spreadsheets/d/1C3CXT74ZlgGe6_JY_1olB1XN4rF0dxEuIIF-xsYjHgg/edit?usp=sharing"",""พรบ!AF27"")"),7500)</f>
        <v>7500</v>
      </c>
      <c r="Q23" s="77">
        <f ca="1">IFERROR(__xludf.DUMMYFUNCTION("IMPORTRANGE(""https://docs.google.com/spreadsheets/d/1C3CXT74ZlgGe6_JY_1olB1XN4rF0dxEuIIF-xsYjHgg/edit?usp=sharing"",""พรบ!AG27"")"),4)</f>
        <v>4</v>
      </c>
      <c r="R23" s="77">
        <f ca="1">IFERROR(__xludf.DUMMYFUNCTION("IMPORTRANGE(""https://docs.google.com/spreadsheets/d/11923uPwbBZFjjGgGUA6NLw09EwE0CqkOc4q9oUmW1yo/edit?usp=sharing"",""พิจิตร!J83"")"),1)</f>
        <v>1</v>
      </c>
      <c r="S23" s="137">
        <f t="shared" ca="1" si="9"/>
        <v>25</v>
      </c>
      <c r="T23" s="77">
        <f t="shared" ca="1" si="73"/>
        <v>28</v>
      </c>
      <c r="U23" s="77">
        <f ca="1">IFERROR(__xludf.DUMMYFUNCTION("IMPORTRANGE(""https://docs.google.com/spreadsheets/d/11923uPwbBZFjjGgGUA6NLw09EwE0CqkOc4q9oUmW1yo/edit?usp=sharing"",""พิจิตร!J85"")"),28)</f>
        <v>28</v>
      </c>
      <c r="V23" s="77">
        <f ca="1">IFERROR(__xludf.DUMMYFUNCTION("IMPORTRANGE(""https://docs.google.com/spreadsheets/d/11923uPwbBZFjjGgGUA6NLw09EwE0CqkOc4q9oUmW1yo/edit?usp=sharing"",""พิจิตร!J86"")"),0)</f>
        <v>0</v>
      </c>
      <c r="W23" s="77">
        <f ca="1">IFERROR(__xludf.DUMMYFUNCTION("IMPORTRANGE(""https://docs.google.com/spreadsheets/d/1C3CXT74ZlgGe6_JY_1olB1XN4rF0dxEuIIF-xsYjHgg/edit?usp=sharing"",""พรบ!AH27"")"),42000)</f>
        <v>42000</v>
      </c>
      <c r="X23" s="77">
        <f ca="1">IFERROR(__xludf.DUMMYFUNCTION("IMPORTRANGE(""https://docs.google.com/spreadsheets/d/1C3CXT74ZlgGe6_JY_1olB1XN4rF0dxEuIIF-xsYjHgg/edit?usp=sharing"",""พรบ!AI27"")"),3)</f>
        <v>3</v>
      </c>
      <c r="Y23" s="77">
        <f ca="1">IFERROR(__xludf.DUMMYFUNCTION("IMPORTRANGE(""https://docs.google.com/spreadsheets/d/11923uPwbBZFjjGgGUA6NLw09EwE0CqkOc4q9oUmW1yo/edit?usp=sharing"",""พิจิตร!J98"")"),1)</f>
        <v>1</v>
      </c>
      <c r="Z23" s="137">
        <f t="shared" ca="1" si="11"/>
        <v>33.333333333333336</v>
      </c>
      <c r="AA23" s="77">
        <f ca="1">IFERROR(__xludf.DUMMYFUNCTION("IMPORTRANGE(""https://docs.google.com/spreadsheets/d/1C3CXT74ZlgGe6_JY_1olB1XN4rF0dxEuIIF-xsYjHgg/edit?usp=sharing"",""พรบ!AJ27"")"),0)</f>
        <v>0</v>
      </c>
      <c r="AB23" s="77">
        <f ca="1">IFERROR(__xludf.DUMMYFUNCTION("IMPORTRANGE(""https://docs.google.com/spreadsheets/d/1C3CXT74ZlgGe6_JY_1olB1XN4rF0dxEuIIF-xsYjHgg/edit?usp=sharing"",""พรบ!AK27"")"),0)</f>
        <v>0</v>
      </c>
      <c r="AC23" s="77">
        <f ca="1">IFERROR(__xludf.DUMMYFUNCTION("IMPORTRANGE(""https://docs.google.com/spreadsheets/d/11923uPwbBZFjjGgGUA6NLw09EwE0CqkOc4q9oUmW1yo/edit?usp=sharing"",""พิจิตร!J110"")"),0)</f>
        <v>0</v>
      </c>
      <c r="AD23" s="137">
        <f t="shared" ca="1" si="13"/>
        <v>0</v>
      </c>
      <c r="AE23" s="77">
        <f ca="1">IFERROR(__xludf.DUMMYFUNCTION("IMPORTRANGE(""https://docs.google.com/spreadsheets/d/1C3CXT74ZlgGe6_JY_1olB1XN4rF0dxEuIIF-xsYjHgg/edit?usp=sharing"",""พรบ!AL27"")"),0)</f>
        <v>0</v>
      </c>
      <c r="AF23" s="77">
        <f ca="1">IFERROR(__xludf.DUMMYFUNCTION("IMPORTRANGE(""https://docs.google.com/spreadsheets/d/11923uPwbBZFjjGgGUA6NLw09EwE0CqkOc4q9oUmW1yo/edit?usp=sharing"",""พิจิตร!J111"")"),0)</f>
        <v>0</v>
      </c>
      <c r="AG23" s="137">
        <f t="shared" ca="1" si="15"/>
        <v>0</v>
      </c>
      <c r="AH23" s="77">
        <f ca="1">IFERROR(__xludf.DUMMYFUNCTION("IMPORTRANGE(""https://docs.google.com/spreadsheets/d/1C3CXT74ZlgGe6_JY_1olB1XN4rF0dxEuIIF-xsYjHgg/edit?usp=sharing"",""พรบ!AM27"")"),9000)</f>
        <v>9000</v>
      </c>
      <c r="AI23" s="77">
        <f ca="1">IFERROR(__xludf.DUMMYFUNCTION("IMPORTRANGE(""https://docs.google.com/spreadsheets/d/1C3CXT74ZlgGe6_JY_1olB1XN4rF0dxEuIIF-xsYjHgg/edit?usp=sharing"",""พรบ!AN27"")"),20000)</f>
        <v>20000</v>
      </c>
      <c r="AJ23" s="77">
        <f ca="1">IFERROR(__xludf.DUMMYFUNCTION("IMPORTRANGE(""https://docs.google.com/spreadsheets/d/11923uPwbBZFjjGgGUA6NLw09EwE0CqkOc4q9oUmW1yo/edit?usp=sharing"",""พิจิตร!J124"")"),0)</f>
        <v>0</v>
      </c>
      <c r="AK23" s="137">
        <f t="shared" ca="1" si="17"/>
        <v>0</v>
      </c>
      <c r="AL23" s="77">
        <f ca="1">IFERROR(__xludf.DUMMYFUNCTION("IMPORTRANGE(""https://docs.google.com/spreadsheets/d/11923uPwbBZFjjGgGUA6NLw09EwE0CqkOc4q9oUmW1yo/edit?usp=sharing"",""พิจิตร!J125"")"),0)</f>
        <v>0</v>
      </c>
      <c r="AM23" s="137">
        <f t="shared" ca="1" si="18"/>
        <v>0</v>
      </c>
      <c r="AN23" s="77">
        <f ca="1">IFERROR(__xludf.DUMMYFUNCTION("IMPORTRANGE(""https://docs.google.com/spreadsheets/d/1C3CXT74ZlgGe6_JY_1olB1XN4rF0dxEuIIF-xsYjHgg/edit?usp=sharing"",""พรบ!AQ27"")"),0)</f>
        <v>0</v>
      </c>
      <c r="AO23" s="77">
        <f ca="1">IFERROR(__xludf.DUMMYFUNCTION("IMPORTRANGE(""https://docs.google.com/spreadsheets/d/11923uPwbBZFjjGgGUA6NLw09EwE0CqkOc4q9oUmW1yo/edit?usp=sharing"",""พิจิตร!J126"")"),0)</f>
        <v>0</v>
      </c>
      <c r="AP23" s="137">
        <f t="shared" ca="1" si="20"/>
        <v>0</v>
      </c>
      <c r="AQ23" s="149">
        <f ca="1">IFERROR(__xludf.DUMMYFUNCTION("IMPORTRANGE(""https://docs.google.com/spreadsheets/d/1C3CXT74ZlgGe6_JY_1olB1XN4rF0dxEuIIF-xsYjHgg/edit?usp=sharing"",""พรบ!AR27"")"),0)</f>
        <v>0</v>
      </c>
      <c r="AR23" s="77">
        <f ca="1">IFERROR(__xludf.DUMMYFUNCTION("IMPORTRANGE(""https://docs.google.com/spreadsheets/d/1C3CXT74ZlgGe6_JY_1olB1XN4rF0dxEuIIF-xsYjHgg/edit?usp=sharing"",""พรบ!AS27"")"),0)</f>
        <v>0</v>
      </c>
      <c r="AS23" s="77">
        <f ca="1">IFERROR(__xludf.DUMMYFUNCTION("IMPORTRANGE(""https://docs.google.com/spreadsheets/d/11923uPwbBZFjjGgGUA6NLw09EwE0CqkOc4q9oUmW1yo/edit?usp=sharing"",""พิจิตร!J138"")"),0)</f>
        <v>0</v>
      </c>
      <c r="AT23" s="137">
        <f t="shared" ca="1" si="22"/>
        <v>0</v>
      </c>
      <c r="AU23" s="77">
        <f ca="1">IFERROR(__xludf.DUMMYFUNCTION("IMPORTRANGE(""https://docs.google.com/spreadsheets/d/1C3CXT74ZlgGe6_JY_1olB1XN4rF0dxEuIIF-xsYjHgg/edit?usp=sharing"",""พรบ!AT27"")"),0)</f>
        <v>0</v>
      </c>
      <c r="AV23" s="77">
        <f ca="1">IFERROR(__xludf.DUMMYFUNCTION("IMPORTRANGE(""https://docs.google.com/spreadsheets/d/1C3CXT74ZlgGe6_JY_1olB1XN4rF0dxEuIIF-xsYjHgg/edit?usp=sharing"",""พรบ!AU27"")"),0)</f>
        <v>0</v>
      </c>
      <c r="AW23" s="77">
        <f ca="1">IFERROR(__xludf.DUMMYFUNCTION("IMPORTRANGE(""https://docs.google.com/spreadsheets/d/11923uPwbBZFjjGgGUA6NLw09EwE0CqkOc4q9oUmW1yo/edit?usp=sharing"",""พิจิตร!J140"")"),0)</f>
        <v>0</v>
      </c>
      <c r="AX23" s="137">
        <f t="shared" ca="1" si="24"/>
        <v>0</v>
      </c>
      <c r="AY23" s="77">
        <f ca="1">IFERROR(__xludf.DUMMYFUNCTION("IMPORTRANGE(""https://docs.google.com/spreadsheets/d/11923uPwbBZFjjGgGUA6NLw09EwE0CqkOc4q9oUmW1yo/edit?usp=sharing"",""พิจิตร!J141"")"),0)</f>
        <v>0</v>
      </c>
      <c r="AZ23" s="137">
        <f t="shared" ca="1" si="25"/>
        <v>0</v>
      </c>
      <c r="BA23" s="77">
        <f t="shared" ca="1" si="26"/>
        <v>0</v>
      </c>
      <c r="BB23" s="77">
        <f t="shared" ca="1" si="74"/>
        <v>0</v>
      </c>
      <c r="BC23" s="137">
        <f t="shared" ca="1" si="27"/>
        <v>0</v>
      </c>
    </row>
    <row r="24" spans="1:55" ht="24" customHeight="1">
      <c r="A24" s="73">
        <v>9</v>
      </c>
      <c r="B24" s="74" t="s">
        <v>48</v>
      </c>
      <c r="C24" s="75">
        <f t="shared" ca="1" si="0"/>
        <v>348000</v>
      </c>
      <c r="D24" s="76">
        <f t="shared" ca="1" si="75"/>
        <v>348000</v>
      </c>
      <c r="E24" s="77">
        <f ca="1">IFERROR(__xludf.DUMMYFUNCTION("IMPORTRANGE(""https://docs.google.com/spreadsheets/d/1C3CXT74ZlgGe6_JY_1olB1XN4rF0dxEuIIF-xsYjHgg/edit?usp=sharing"",""พรบ!AD28"")"),264000)</f>
        <v>264000</v>
      </c>
      <c r="F24" s="77">
        <f ca="1">IFERROR(__xludf.DUMMYFUNCTION("IMPORTRANGE(""https://docs.google.com/spreadsheets/d/1C3CXT74ZlgGe6_JY_1olB1XN4rF0dxEuIIF-xsYjHgg/edit?usp=sharing"",""พรบ!AE28"")"),84000)</f>
        <v>84000</v>
      </c>
      <c r="G24" s="77">
        <f ca="1">IFERROR(__xludf.DUMMYFUNCTION("IMPORTRANGE(""https://docs.google.com/spreadsheets/d/1Yj_ptqi66GCucihVvJfMjLAmec39IyEx_6qawtMGysU/edit?usp=sharing"",""สบก!BH28"")"),0)</f>
        <v>0</v>
      </c>
      <c r="H24" s="77">
        <f ca="1">IFERROR(__xludf.DUMMYFUNCTION("IMPORTRANGE(""https://docs.google.com/spreadsheets/d/1Yj_ptqi66GCucihVvJfMjLAmec39IyEx_6qawtMGysU/edit?usp=shBJing"",""สบก!BJ28"")"),268625)</f>
        <v>268625</v>
      </c>
      <c r="I24" s="77">
        <f t="shared" ca="1" si="3"/>
        <v>188225.55</v>
      </c>
      <c r="J24" s="137">
        <f t="shared" ca="1" si="4"/>
        <v>54.087801724137933</v>
      </c>
      <c r="K24" s="77">
        <f ca="1">IFERROR(__xludf.DUMMYFUNCTION("IMPORTRANGE(""https://docs.google.com/spreadsheets/d/1Yj_ptqi66GCucihVvJfMjLAmec39IyEx_6qawtMGysU/edit?usp=sharing"",""สบก!BK28"")"),188225.55)</f>
        <v>188225.55</v>
      </c>
      <c r="L24" s="137">
        <f t="shared" ca="1" si="5"/>
        <v>54.087801724137933</v>
      </c>
      <c r="M24" s="137">
        <f t="shared" ca="1" si="6"/>
        <v>70.070004653327132</v>
      </c>
      <c r="N24" s="137">
        <f ca="1">IFERROR(__xludf.DUMMYFUNCTION("IMPORTRANGE(""https://docs.google.com/spreadsheets/d/1Yj_ptqi66GCucihVvJfMjLAmec39IyEx_6qawtMGysU/edit?usp=sharing"",""สบก!BL28"")"),0)</f>
        <v>0</v>
      </c>
      <c r="O24" s="137">
        <f t="shared" ca="1" si="7"/>
        <v>0</v>
      </c>
      <c r="P24" s="77">
        <f ca="1">IFERROR(__xludf.DUMMYFUNCTION("IMPORTRANGE(""https://docs.google.com/spreadsheets/d/1C3CXT74ZlgGe6_JY_1olB1XN4rF0dxEuIIF-xsYjHgg/edit?usp=sharing"",""พรบ!AF28"")"),7500)</f>
        <v>7500</v>
      </c>
      <c r="Q24" s="77">
        <f ca="1">IFERROR(__xludf.DUMMYFUNCTION("IMPORTRANGE(""https://docs.google.com/spreadsheets/d/1C3CXT74ZlgGe6_JY_1olB1XN4rF0dxEuIIF-xsYjHgg/edit?usp=sharing"",""พรบ!AG28"")"),4)</f>
        <v>4</v>
      </c>
      <c r="R24" s="77">
        <f ca="1">IFERROR(__xludf.DUMMYFUNCTION("IMPORTRANGE(""https://docs.google.com/spreadsheets/d/11923uPwbBZFjjGgGUA6NLw09EwE0CqkOc4q9oUmW1yo/edit?usp=sharing"",""พิษณุโลก!J83"")"),2)</f>
        <v>2</v>
      </c>
      <c r="S24" s="137">
        <f t="shared" ca="1" si="9"/>
        <v>50</v>
      </c>
      <c r="T24" s="77">
        <f t="shared" ca="1" si="73"/>
        <v>127</v>
      </c>
      <c r="U24" s="77">
        <f ca="1">IFERROR(__xludf.DUMMYFUNCTION("IMPORTRANGE(""https://docs.google.com/spreadsheets/d/11923uPwbBZFjjGgGUA6NLw09EwE0CqkOc4q9oUmW1yo/edit?usp=sharing"",""พิษณุโลก!J85"")"),127)</f>
        <v>127</v>
      </c>
      <c r="V24" s="77">
        <f ca="1">IFERROR(__xludf.DUMMYFUNCTION("IMPORTRANGE(""https://docs.google.com/spreadsheets/d/11923uPwbBZFjjGgGUA6NLw09EwE0CqkOc4q9oUmW1yo/edit?usp=sharing"",""พิษณุโลก!J86"")"),0)</f>
        <v>0</v>
      </c>
      <c r="W24" s="77">
        <f ca="1">IFERROR(__xludf.DUMMYFUNCTION("IMPORTRANGE(""https://docs.google.com/spreadsheets/d/1C3CXT74ZlgGe6_JY_1olB1XN4rF0dxEuIIF-xsYjHgg/edit?usp=sharing"",""พรบ!AH28"")"),42000)</f>
        <v>42000</v>
      </c>
      <c r="X24" s="77">
        <f ca="1">IFERROR(__xludf.DUMMYFUNCTION("IMPORTRANGE(""https://docs.google.com/spreadsheets/d/1C3CXT74ZlgGe6_JY_1olB1XN4rF0dxEuIIF-xsYjHgg/edit?usp=sharing"",""พรบ!AI28"")"),3)</f>
        <v>3</v>
      </c>
      <c r="Y24" s="77">
        <f ca="1">IFERROR(__xludf.DUMMYFUNCTION("IMPORTRANGE(""https://docs.google.com/spreadsheets/d/11923uPwbBZFjjGgGUA6NLw09EwE0CqkOc4q9oUmW1yo/edit?usp=sharing"",""พิษณุโลก!J98"")"),3)</f>
        <v>3</v>
      </c>
      <c r="Z24" s="137">
        <f t="shared" ca="1" si="11"/>
        <v>100</v>
      </c>
      <c r="AA24" s="77">
        <f ca="1">IFERROR(__xludf.DUMMYFUNCTION("IMPORTRANGE(""https://docs.google.com/spreadsheets/d/1C3CXT74ZlgGe6_JY_1olB1XN4rF0dxEuIIF-xsYjHgg/edit?usp=sharing"",""พรบ!AJ28"")"),0)</f>
        <v>0</v>
      </c>
      <c r="AB24" s="77">
        <f ca="1">IFERROR(__xludf.DUMMYFUNCTION("IMPORTRANGE(""https://docs.google.com/spreadsheets/d/1C3CXT74ZlgGe6_JY_1olB1XN4rF0dxEuIIF-xsYjHgg/edit?usp=sharing"",""พรบ!AK28"")"),0)</f>
        <v>0</v>
      </c>
      <c r="AC24" s="77">
        <f ca="1">IFERROR(__xludf.DUMMYFUNCTION("IMPORTRANGE(""https://docs.google.com/spreadsheets/d/11923uPwbBZFjjGgGUA6NLw09EwE0CqkOc4q9oUmW1yo/edit?usp=sharing"",""พิษณุโลก!J110"")"),0)</f>
        <v>0</v>
      </c>
      <c r="AD24" s="137">
        <f t="shared" ca="1" si="13"/>
        <v>0</v>
      </c>
      <c r="AE24" s="77">
        <f ca="1">IFERROR(__xludf.DUMMYFUNCTION("IMPORTRANGE(""https://docs.google.com/spreadsheets/d/1C3CXT74ZlgGe6_JY_1olB1XN4rF0dxEuIIF-xsYjHgg/edit?usp=sharing"",""พรบ!AL28"")"),0)</f>
        <v>0</v>
      </c>
      <c r="AF24" s="77">
        <f ca="1">IFERROR(__xludf.DUMMYFUNCTION("IMPORTRANGE(""https://docs.google.com/spreadsheets/d/11923uPwbBZFjjGgGUA6NLw09EwE0CqkOc4q9oUmW1yo/edit?usp=sharing"",""พิษณุโลก!J111"")"),0)</f>
        <v>0</v>
      </c>
      <c r="AG24" s="137">
        <f t="shared" ca="1" si="15"/>
        <v>0</v>
      </c>
      <c r="AH24" s="77">
        <f ca="1">IFERROR(__xludf.DUMMYFUNCTION("IMPORTRANGE(""https://docs.google.com/spreadsheets/d/1C3CXT74ZlgGe6_JY_1olB1XN4rF0dxEuIIF-xsYjHgg/edit?usp=sharing"",""พรบ!AM28"")"),34500)</f>
        <v>34500</v>
      </c>
      <c r="AI24" s="77">
        <f ca="1">IFERROR(__xludf.DUMMYFUNCTION("IMPORTRANGE(""https://docs.google.com/spreadsheets/d/1C3CXT74ZlgGe6_JY_1olB1XN4rF0dxEuIIF-xsYjHgg/edit?usp=sharing"",""พรบ!AN28"")"),50000)</f>
        <v>50000</v>
      </c>
      <c r="AJ24" s="77">
        <f ca="1">IFERROR(__xludf.DUMMYFUNCTION("IMPORTRANGE(""https://docs.google.com/spreadsheets/d/11923uPwbBZFjjGgGUA6NLw09EwE0CqkOc4q9oUmW1yo/edit?usp=sharing"",""พิษณุโลก!J124"")"),0)</f>
        <v>0</v>
      </c>
      <c r="AK24" s="137">
        <f t="shared" ca="1" si="17"/>
        <v>0</v>
      </c>
      <c r="AL24" s="77">
        <f ca="1">IFERROR(__xludf.DUMMYFUNCTION("IMPORTRANGE(""https://docs.google.com/spreadsheets/d/11923uPwbBZFjjGgGUA6NLw09EwE0CqkOc4q9oUmW1yo/edit?usp=sharing"",""พิษณุโลก!J125"")"),0)</f>
        <v>0</v>
      </c>
      <c r="AM24" s="137">
        <f t="shared" ca="1" si="18"/>
        <v>0</v>
      </c>
      <c r="AN24" s="77">
        <f ca="1">IFERROR(__xludf.DUMMYFUNCTION("IMPORTRANGE(""https://docs.google.com/spreadsheets/d/1C3CXT74ZlgGe6_JY_1olB1XN4rF0dxEuIIF-xsYjHgg/edit?usp=sharing"",""พรบ!AQ28"")"),15)</f>
        <v>15</v>
      </c>
      <c r="AO24" s="77">
        <f ca="1">IFERROR(__xludf.DUMMYFUNCTION("IMPORTRANGE(""https://docs.google.com/spreadsheets/d/11923uPwbBZFjjGgGUA6NLw09EwE0CqkOc4q9oUmW1yo/edit?usp=sharing"",""พิษณุโลก!J126"")"),15)</f>
        <v>15</v>
      </c>
      <c r="AP24" s="137">
        <f t="shared" ca="1" si="20"/>
        <v>100</v>
      </c>
      <c r="AQ24" s="149">
        <f ca="1">IFERROR(__xludf.DUMMYFUNCTION("IMPORTRANGE(""https://docs.google.com/spreadsheets/d/1C3CXT74ZlgGe6_JY_1olB1XN4rF0dxEuIIF-xsYjHgg/edit?usp=sharing"",""พรบ!AR28"")"),0)</f>
        <v>0</v>
      </c>
      <c r="AR24" s="77">
        <f ca="1">IFERROR(__xludf.DUMMYFUNCTION("IMPORTRANGE(""https://docs.google.com/spreadsheets/d/1C3CXT74ZlgGe6_JY_1olB1XN4rF0dxEuIIF-xsYjHgg/edit?usp=sharing"",""พรบ!AS28"")"),0)</f>
        <v>0</v>
      </c>
      <c r="AS24" s="77">
        <f ca="1">IFERROR(__xludf.DUMMYFUNCTION("IMPORTRANGE(""https://docs.google.com/spreadsheets/d/11923uPwbBZFjjGgGUA6NLw09EwE0CqkOc4q9oUmW1yo/edit?usp=sharing"",""พิษณุโลก!J138"")"),0)</f>
        <v>0</v>
      </c>
      <c r="AT24" s="137">
        <f t="shared" ca="1" si="22"/>
        <v>0</v>
      </c>
      <c r="AU24" s="77">
        <f ca="1">IFERROR(__xludf.DUMMYFUNCTION("IMPORTRANGE(""https://docs.google.com/spreadsheets/d/1C3CXT74ZlgGe6_JY_1olB1XN4rF0dxEuIIF-xsYjHgg/edit?usp=sharing"",""พรบ!AT28"")"),0)</f>
        <v>0</v>
      </c>
      <c r="AV24" s="77">
        <f ca="1">IFERROR(__xludf.DUMMYFUNCTION("IMPORTRANGE(""https://docs.google.com/spreadsheets/d/1C3CXT74ZlgGe6_JY_1olB1XN4rF0dxEuIIF-xsYjHgg/edit?usp=sharing"",""พรบ!AU28"")"),0)</f>
        <v>0</v>
      </c>
      <c r="AW24" s="77">
        <f ca="1">IFERROR(__xludf.DUMMYFUNCTION("IMPORTRANGE(""https://docs.google.com/spreadsheets/d/11923uPwbBZFjjGgGUA6NLw09EwE0CqkOc4q9oUmW1yo/edit?usp=sharing"",""พิษณุโลก!J140"")"),0)</f>
        <v>0</v>
      </c>
      <c r="AX24" s="137">
        <f t="shared" ca="1" si="24"/>
        <v>0</v>
      </c>
      <c r="AY24" s="77">
        <f ca="1">IFERROR(__xludf.DUMMYFUNCTION("IMPORTRANGE(""https://docs.google.com/spreadsheets/d/11923uPwbBZFjjGgGUA6NLw09EwE0CqkOc4q9oUmW1yo/edit?usp=sharing"",""พิษณุโลก!J141"")"),0)</f>
        <v>0</v>
      </c>
      <c r="AZ24" s="137">
        <f t="shared" ca="1" si="25"/>
        <v>0</v>
      </c>
      <c r="BA24" s="77">
        <f t="shared" ca="1" si="26"/>
        <v>15</v>
      </c>
      <c r="BB24" s="77">
        <f t="shared" ca="1" si="74"/>
        <v>15</v>
      </c>
      <c r="BC24" s="137">
        <f t="shared" ca="1" si="27"/>
        <v>100</v>
      </c>
    </row>
    <row r="25" spans="1:55" ht="24" customHeight="1">
      <c r="A25" s="73">
        <v>10</v>
      </c>
      <c r="B25" s="74" t="s">
        <v>49</v>
      </c>
      <c r="C25" s="75">
        <f t="shared" ca="1" si="0"/>
        <v>254700</v>
      </c>
      <c r="D25" s="76">
        <f t="shared" ca="1" si="75"/>
        <v>254700</v>
      </c>
      <c r="E25" s="77">
        <f ca="1">IFERROR(__xludf.DUMMYFUNCTION("IMPORTRANGE(""https://docs.google.com/spreadsheets/d/1C3CXT74ZlgGe6_JY_1olB1XN4rF0dxEuIIF-xsYjHgg/edit?usp=sharing"",""พรบ!AD29"")"),132000)</f>
        <v>132000</v>
      </c>
      <c r="F25" s="77">
        <f ca="1">IFERROR(__xludf.DUMMYFUNCTION("IMPORTRANGE(""https://docs.google.com/spreadsheets/d/1C3CXT74ZlgGe6_JY_1olB1XN4rF0dxEuIIF-xsYjHgg/edit?usp=sharing"",""พรบ!AE29"")"),122700)</f>
        <v>122700</v>
      </c>
      <c r="G25" s="77">
        <f ca="1">IFERROR(__xludf.DUMMYFUNCTION("IMPORTRANGE(""https://docs.google.com/spreadsheets/d/1Yj_ptqi66GCucihVvJfMjLAmec39IyEx_6qawtMGysU/edit?usp=sharing"",""สบก!BH29"")"),0)</f>
        <v>0</v>
      </c>
      <c r="H25" s="77">
        <f ca="1">IFERROR(__xludf.DUMMYFUNCTION("IMPORTRANGE(""https://docs.google.com/spreadsheets/d/1Yj_ptqi66GCucihVvJfMjLAmec39IyEx_6qawtMGysU/edit?usp=shBJing"",""สบก!BJ29"")"),185625)</f>
        <v>185625</v>
      </c>
      <c r="I25" s="77">
        <f t="shared" ca="1" si="3"/>
        <v>122060</v>
      </c>
      <c r="J25" s="137">
        <f t="shared" ca="1" si="4"/>
        <v>47.923046721633291</v>
      </c>
      <c r="K25" s="77">
        <f ca="1">IFERROR(__xludf.DUMMYFUNCTION("IMPORTRANGE(""https://docs.google.com/spreadsheets/d/1Yj_ptqi66GCucihVvJfMjLAmec39IyEx_6qawtMGysU/edit?usp=sharing"",""สบก!BK29"")"),122060)</f>
        <v>122060</v>
      </c>
      <c r="L25" s="137">
        <f t="shared" ca="1" si="5"/>
        <v>47.923046721633291</v>
      </c>
      <c r="M25" s="137">
        <f t="shared" ca="1" si="6"/>
        <v>65.756228956228952</v>
      </c>
      <c r="N25" s="137">
        <f ca="1">IFERROR(__xludf.DUMMYFUNCTION("IMPORTRANGE(""https://docs.google.com/spreadsheets/d/1Yj_ptqi66GCucihVvJfMjLAmec39IyEx_6qawtMGysU/edit?usp=sharing"",""สบก!BL29"")"),0)</f>
        <v>0</v>
      </c>
      <c r="O25" s="137">
        <f t="shared" ca="1" si="7"/>
        <v>0</v>
      </c>
      <c r="P25" s="77">
        <f ca="1">IFERROR(__xludf.DUMMYFUNCTION("IMPORTRANGE(""https://docs.google.com/spreadsheets/d/1C3CXT74ZlgGe6_JY_1olB1XN4rF0dxEuIIF-xsYjHgg/edit?usp=sharing"",""พรบ!AF29"")"),7500)</f>
        <v>7500</v>
      </c>
      <c r="Q25" s="77">
        <f ca="1">IFERROR(__xludf.DUMMYFUNCTION("IMPORTRANGE(""https://docs.google.com/spreadsheets/d/1C3CXT74ZlgGe6_JY_1olB1XN4rF0dxEuIIF-xsYjHgg/edit?usp=sharing"",""พรบ!AG29"")"),4)</f>
        <v>4</v>
      </c>
      <c r="R25" s="77">
        <f ca="1">IFERROR(__xludf.DUMMYFUNCTION("IMPORTRANGE(""https://docs.google.com/spreadsheets/d/11923uPwbBZFjjGgGUA6NLw09EwE0CqkOc4q9oUmW1yo/edit?usp=sharing"",""เพชรบูรณ์!J83"")"),2)</f>
        <v>2</v>
      </c>
      <c r="S25" s="137">
        <f t="shared" ca="1" si="9"/>
        <v>50</v>
      </c>
      <c r="T25" s="77">
        <f t="shared" ca="1" si="73"/>
        <v>123</v>
      </c>
      <c r="U25" s="77">
        <f ca="1">IFERROR(__xludf.DUMMYFUNCTION("IMPORTRANGE(""https://docs.google.com/spreadsheets/d/11923uPwbBZFjjGgGUA6NLw09EwE0CqkOc4q9oUmW1yo/edit?usp=sharing"",""เพชรบูรณ์!J85"")"),123)</f>
        <v>123</v>
      </c>
      <c r="V25" s="77">
        <f ca="1">IFERROR(__xludf.DUMMYFUNCTION("IMPORTRANGE(""https://docs.google.com/spreadsheets/d/11923uPwbBZFjjGgGUA6NLw09EwE0CqkOc4q9oUmW1yo/edit?usp=sharing"",""เพชรบูรณ์!J86"")"),0)</f>
        <v>0</v>
      </c>
      <c r="W25" s="77">
        <f ca="1">IFERROR(__xludf.DUMMYFUNCTION("IMPORTRANGE(""https://docs.google.com/spreadsheets/d/1C3CXT74ZlgGe6_JY_1olB1XN4rF0dxEuIIF-xsYjHgg/edit?usp=sharing"",""พรบ!AH29"")"),28000)</f>
        <v>28000</v>
      </c>
      <c r="X25" s="77">
        <f ca="1">IFERROR(__xludf.DUMMYFUNCTION("IMPORTRANGE(""https://docs.google.com/spreadsheets/d/1C3CXT74ZlgGe6_JY_1olB1XN4rF0dxEuIIF-xsYjHgg/edit?usp=sharing"",""พรบ!AI29"")"),2)</f>
        <v>2</v>
      </c>
      <c r="Y25" s="77">
        <f ca="1">IFERROR(__xludf.DUMMYFUNCTION("IMPORTRANGE(""https://docs.google.com/spreadsheets/d/11923uPwbBZFjjGgGUA6NLw09EwE0CqkOc4q9oUmW1yo/edit?usp=sharing"",""เพชรบูรณ์!J98"")"),2)</f>
        <v>2</v>
      </c>
      <c r="Z25" s="137">
        <f t="shared" ca="1" si="11"/>
        <v>100</v>
      </c>
      <c r="AA25" s="77">
        <f ca="1">IFERROR(__xludf.DUMMYFUNCTION("IMPORTRANGE(""https://docs.google.com/spreadsheets/d/1C3CXT74ZlgGe6_JY_1olB1XN4rF0dxEuIIF-xsYjHgg/edit?usp=sharing"",""พรบ!AJ29"")"),30000)</f>
        <v>30000</v>
      </c>
      <c r="AB25" s="77">
        <f ca="1">IFERROR(__xludf.DUMMYFUNCTION("IMPORTRANGE(""https://docs.google.com/spreadsheets/d/1C3CXT74ZlgGe6_JY_1olB1XN4rF0dxEuIIF-xsYjHgg/edit?usp=sharing"",""พรบ!AK29"")"),2)</f>
        <v>2</v>
      </c>
      <c r="AC25" s="77">
        <f ca="1">IFERROR(__xludf.DUMMYFUNCTION("IMPORTRANGE(""https://docs.google.com/spreadsheets/d/11923uPwbBZFjjGgGUA6NLw09EwE0CqkOc4q9oUmW1yo/edit?usp=sharing"",""เพชรบูรณ์!J110"")"),1)</f>
        <v>1</v>
      </c>
      <c r="AD25" s="137">
        <f t="shared" ca="1" si="13"/>
        <v>50</v>
      </c>
      <c r="AE25" s="77">
        <f ca="1">IFERROR(__xludf.DUMMYFUNCTION("IMPORTRANGE(""https://docs.google.com/spreadsheets/d/1C3CXT74ZlgGe6_JY_1olB1XN4rF0dxEuIIF-xsYjHgg/edit?usp=sharing"",""พรบ!AL29"")"),2)</f>
        <v>2</v>
      </c>
      <c r="AF25" s="77">
        <f ca="1">IFERROR(__xludf.DUMMYFUNCTION("IMPORTRANGE(""https://docs.google.com/spreadsheets/d/11923uPwbBZFjjGgGUA6NLw09EwE0CqkOc4q9oUmW1yo/edit?usp=sharing"",""เพชรบูรณ์!J111"")"),1)</f>
        <v>1</v>
      </c>
      <c r="AG25" s="137">
        <f t="shared" ca="1" si="15"/>
        <v>50</v>
      </c>
      <c r="AH25" s="77">
        <f ca="1">IFERROR(__xludf.DUMMYFUNCTION("IMPORTRANGE(""https://docs.google.com/spreadsheets/d/1C3CXT74ZlgGe6_JY_1olB1XN4rF0dxEuIIF-xsYjHgg/edit?usp=sharing"",""พรบ!AM29"")"),57200)</f>
        <v>57200</v>
      </c>
      <c r="AI25" s="77">
        <f ca="1">IFERROR(__xludf.DUMMYFUNCTION("IMPORTRANGE(""https://docs.google.com/spreadsheets/d/1C3CXT74ZlgGe6_JY_1olB1XN4rF0dxEuIIF-xsYjHgg/edit?usp=sharing"",""พรบ!AN29"")"),128000)</f>
        <v>128000</v>
      </c>
      <c r="AJ25" s="77">
        <f ca="1">IFERROR(__xludf.DUMMYFUNCTION("IMPORTRANGE(""https://docs.google.com/spreadsheets/d/11923uPwbBZFjjGgGUA6NLw09EwE0CqkOc4q9oUmW1yo/edit?usp=sharing"",""เพชรบูรณ์!J124"")"),128000)</f>
        <v>128000</v>
      </c>
      <c r="AK25" s="137">
        <f t="shared" ca="1" si="17"/>
        <v>100</v>
      </c>
      <c r="AL25" s="77">
        <f ca="1">IFERROR(__xludf.DUMMYFUNCTION("IMPORTRANGE(""https://docs.google.com/spreadsheets/d/11923uPwbBZFjjGgGUA6NLw09EwE0CqkOc4q9oUmW1yo/edit?usp=sharing"",""เพชรบูรณ์!J125"")"),0)</f>
        <v>0</v>
      </c>
      <c r="AM25" s="137">
        <f t="shared" ca="1" si="18"/>
        <v>0</v>
      </c>
      <c r="AN25" s="77">
        <f ca="1">IFERROR(__xludf.DUMMYFUNCTION("IMPORTRANGE(""https://docs.google.com/spreadsheets/d/1C3CXT74ZlgGe6_JY_1olB1XN4rF0dxEuIIF-xsYjHgg/edit?usp=sharing"",""พรบ!AQ29"")"),15)</f>
        <v>15</v>
      </c>
      <c r="AO25" s="77">
        <f ca="1">IFERROR(__xludf.DUMMYFUNCTION("IMPORTRANGE(""https://docs.google.com/spreadsheets/d/11923uPwbBZFjjGgGUA6NLw09EwE0CqkOc4q9oUmW1yo/edit?usp=sharing"",""เพชรบูรณ์!J126"")"),15)</f>
        <v>15</v>
      </c>
      <c r="AP25" s="137">
        <f t="shared" ca="1" si="20"/>
        <v>100</v>
      </c>
      <c r="AQ25" s="149">
        <f ca="1">IFERROR(__xludf.DUMMYFUNCTION("IMPORTRANGE(""https://docs.google.com/spreadsheets/d/1C3CXT74ZlgGe6_JY_1olB1XN4rF0dxEuIIF-xsYjHgg/edit?usp=sharing"",""พรบ!AR29"")"),0)</f>
        <v>0</v>
      </c>
      <c r="AR25" s="77">
        <f ca="1">IFERROR(__xludf.DUMMYFUNCTION("IMPORTRANGE(""https://docs.google.com/spreadsheets/d/1C3CXT74ZlgGe6_JY_1olB1XN4rF0dxEuIIF-xsYjHgg/edit?usp=sharing"",""พรบ!AS29"")"),0)</f>
        <v>0</v>
      </c>
      <c r="AS25" s="77">
        <f ca="1">IFERROR(__xludf.DUMMYFUNCTION("IMPORTRANGE(""https://docs.google.com/spreadsheets/d/11923uPwbBZFjjGgGUA6NLw09EwE0CqkOc4q9oUmW1yo/edit?usp=sharing"",""เพชรบูรณ์!J138"")"),0)</f>
        <v>0</v>
      </c>
      <c r="AT25" s="137">
        <f t="shared" ca="1" si="22"/>
        <v>0</v>
      </c>
      <c r="AU25" s="77">
        <f ca="1">IFERROR(__xludf.DUMMYFUNCTION("IMPORTRANGE(""https://docs.google.com/spreadsheets/d/1C3CXT74ZlgGe6_JY_1olB1XN4rF0dxEuIIF-xsYjHgg/edit?usp=sharing"",""พรบ!AT29"")"),0)</f>
        <v>0</v>
      </c>
      <c r="AV25" s="77">
        <f ca="1">IFERROR(__xludf.DUMMYFUNCTION("IMPORTRANGE(""https://docs.google.com/spreadsheets/d/1C3CXT74ZlgGe6_JY_1olB1XN4rF0dxEuIIF-xsYjHgg/edit?usp=sharing"",""พรบ!AU29"")"),0)</f>
        <v>0</v>
      </c>
      <c r="AW25" s="77">
        <f ca="1">IFERROR(__xludf.DUMMYFUNCTION("IMPORTRANGE(""https://docs.google.com/spreadsheets/d/11923uPwbBZFjjGgGUA6NLw09EwE0CqkOc4q9oUmW1yo/edit?usp=sharing"",""เพชรบูรณ์!J140"")"),0)</f>
        <v>0</v>
      </c>
      <c r="AX25" s="137">
        <f t="shared" ca="1" si="24"/>
        <v>0</v>
      </c>
      <c r="AY25" s="77">
        <f ca="1">IFERROR(__xludf.DUMMYFUNCTION("IMPORTRANGE(""https://docs.google.com/spreadsheets/d/11923uPwbBZFjjGgGUA6NLw09EwE0CqkOc4q9oUmW1yo/edit?usp=sharing"",""เพชรบูรณ์!J141"")"),0)</f>
        <v>0</v>
      </c>
      <c r="AZ25" s="137">
        <f t="shared" ca="1" si="25"/>
        <v>0</v>
      </c>
      <c r="BA25" s="77">
        <f t="shared" ca="1" si="26"/>
        <v>15</v>
      </c>
      <c r="BB25" s="77">
        <f t="shared" ca="1" si="74"/>
        <v>15</v>
      </c>
      <c r="BC25" s="137">
        <f t="shared" ca="1" si="27"/>
        <v>100</v>
      </c>
    </row>
    <row r="26" spans="1:55" ht="24" customHeight="1">
      <c r="A26" s="73">
        <v>11</v>
      </c>
      <c r="B26" s="74" t="s">
        <v>50</v>
      </c>
      <c r="C26" s="75">
        <f t="shared" ca="1" si="0"/>
        <v>69000</v>
      </c>
      <c r="D26" s="76">
        <f t="shared" ca="1" si="75"/>
        <v>69000</v>
      </c>
      <c r="E26" s="77">
        <f ca="1">IFERROR(__xludf.DUMMYFUNCTION("IMPORTRANGE(""https://docs.google.com/spreadsheets/d/1C3CXT74ZlgGe6_JY_1olB1XN4rF0dxEuIIF-xsYjHgg/edit?usp=sharing"",""พรบ!AD30"")"),0)</f>
        <v>0</v>
      </c>
      <c r="F26" s="77">
        <f ca="1">IFERROR(__xludf.DUMMYFUNCTION("IMPORTRANGE(""https://docs.google.com/spreadsheets/d/1C3CXT74ZlgGe6_JY_1olB1XN4rF0dxEuIIF-xsYjHgg/edit?usp=sharing"",""พรบ!AE30"")"),69000)</f>
        <v>69000</v>
      </c>
      <c r="G26" s="77">
        <f ca="1">IFERROR(__xludf.DUMMYFUNCTION("IMPORTRANGE(""https://docs.google.com/spreadsheets/d/1Yj_ptqi66GCucihVvJfMjLAmec39IyEx_6qawtMGysU/edit?usp=sharing"",""สบก!BH30"")"),0)</f>
        <v>0</v>
      </c>
      <c r="H26" s="77">
        <f ca="1">IFERROR(__xludf.DUMMYFUNCTION("IMPORTRANGE(""https://docs.google.com/spreadsheets/d/1Yj_ptqi66GCucihVvJfMjLAmec39IyEx_6qawtMGysU/edit?usp=shBJing"",""สบก!BJ30"")"),55625)</f>
        <v>55625</v>
      </c>
      <c r="I26" s="77">
        <f t="shared" ca="1" si="3"/>
        <v>34889</v>
      </c>
      <c r="J26" s="137">
        <f t="shared" ca="1" si="4"/>
        <v>50.563768115942032</v>
      </c>
      <c r="K26" s="77">
        <f ca="1">IFERROR(__xludf.DUMMYFUNCTION("IMPORTRANGE(""https://docs.google.com/spreadsheets/d/1Yj_ptqi66GCucihVvJfMjLAmec39IyEx_6qawtMGysU/edit?usp=sharing"",""สบก!BK30"")"),34889)</f>
        <v>34889</v>
      </c>
      <c r="L26" s="137">
        <f t="shared" ca="1" si="5"/>
        <v>50.563768115942032</v>
      </c>
      <c r="M26" s="137">
        <f t="shared" ca="1" si="6"/>
        <v>62.721797752808989</v>
      </c>
      <c r="N26" s="137">
        <f ca="1">IFERROR(__xludf.DUMMYFUNCTION("IMPORTRANGE(""https://docs.google.com/spreadsheets/d/1Yj_ptqi66GCucihVvJfMjLAmec39IyEx_6qawtMGysU/edit?usp=sharing"",""สบก!BL30"")"),0)</f>
        <v>0</v>
      </c>
      <c r="O26" s="137">
        <f t="shared" ca="1" si="7"/>
        <v>0</v>
      </c>
      <c r="P26" s="77">
        <f ca="1">IFERROR(__xludf.DUMMYFUNCTION("IMPORTRANGE(""https://docs.google.com/spreadsheets/d/1C3CXT74ZlgGe6_JY_1olB1XN4rF0dxEuIIF-xsYjHgg/edit?usp=sharing"",""พรบ!AF30"")"),7500)</f>
        <v>7500</v>
      </c>
      <c r="Q26" s="77">
        <f ca="1">IFERROR(__xludf.DUMMYFUNCTION("IMPORTRANGE(""https://docs.google.com/spreadsheets/d/1C3CXT74ZlgGe6_JY_1olB1XN4rF0dxEuIIF-xsYjHgg/edit?usp=sharing"",""พรบ!AG30"")"),4)</f>
        <v>4</v>
      </c>
      <c r="R26" s="77">
        <f ca="1">IFERROR(__xludf.DUMMYFUNCTION("IMPORTRANGE(""https://docs.google.com/spreadsheets/d/11923uPwbBZFjjGgGUA6NLw09EwE0CqkOc4q9oUmW1yo/edit?usp=sharing"",""แพร่!J83"")"),2)</f>
        <v>2</v>
      </c>
      <c r="S26" s="137">
        <f t="shared" ca="1" si="9"/>
        <v>50</v>
      </c>
      <c r="T26" s="77">
        <f t="shared" ca="1" si="73"/>
        <v>103</v>
      </c>
      <c r="U26" s="77">
        <f ca="1">IFERROR(__xludf.DUMMYFUNCTION("IMPORTRANGE(""https://docs.google.com/spreadsheets/d/11923uPwbBZFjjGgGUA6NLw09EwE0CqkOc4q9oUmW1yo/edit?usp=sharing"",""แพร่!J85"")"),103)</f>
        <v>103</v>
      </c>
      <c r="V26" s="77">
        <f ca="1">IFERROR(__xludf.DUMMYFUNCTION("IMPORTRANGE(""https://docs.google.com/spreadsheets/d/11923uPwbBZFjjGgGUA6NLw09EwE0CqkOc4q9oUmW1yo/edit?usp=sharing"",""แพร่!J86"")"),0)</f>
        <v>0</v>
      </c>
      <c r="W26" s="77">
        <f ca="1">IFERROR(__xludf.DUMMYFUNCTION("IMPORTRANGE(""https://docs.google.com/spreadsheets/d/1C3CXT74ZlgGe6_JY_1olB1XN4rF0dxEuIIF-xsYjHgg/edit?usp=sharing"",""พรบ!AH30"")"),42000)</f>
        <v>42000</v>
      </c>
      <c r="X26" s="77">
        <f ca="1">IFERROR(__xludf.DUMMYFUNCTION("IMPORTRANGE(""https://docs.google.com/spreadsheets/d/1C3CXT74ZlgGe6_JY_1olB1XN4rF0dxEuIIF-xsYjHgg/edit?usp=sharing"",""พรบ!AI30"")"),3)</f>
        <v>3</v>
      </c>
      <c r="Y26" s="77">
        <f ca="1">IFERROR(__xludf.DUMMYFUNCTION("IMPORTRANGE(""https://docs.google.com/spreadsheets/d/11923uPwbBZFjjGgGUA6NLw09EwE0CqkOc4q9oUmW1yo/edit?usp=sharing"",""แพร่!J98"")"),2)</f>
        <v>2</v>
      </c>
      <c r="Z26" s="137">
        <f t="shared" ca="1" si="11"/>
        <v>66.666666666666671</v>
      </c>
      <c r="AA26" s="77">
        <f ca="1">IFERROR(__xludf.DUMMYFUNCTION("IMPORTRANGE(""https://docs.google.com/spreadsheets/d/1C3CXT74ZlgGe6_JY_1olB1XN4rF0dxEuIIF-xsYjHgg/edit?usp=sharing"",""พรบ!AJ30"")"),0)</f>
        <v>0</v>
      </c>
      <c r="AB26" s="77">
        <f ca="1">IFERROR(__xludf.DUMMYFUNCTION("IMPORTRANGE(""https://docs.google.com/spreadsheets/d/1C3CXT74ZlgGe6_JY_1olB1XN4rF0dxEuIIF-xsYjHgg/edit?usp=sharing"",""พรบ!AK30"")"),0)</f>
        <v>0</v>
      </c>
      <c r="AC26" s="77">
        <f ca="1">IFERROR(__xludf.DUMMYFUNCTION("IMPORTRANGE(""https://docs.google.com/spreadsheets/d/11923uPwbBZFjjGgGUA6NLw09EwE0CqkOc4q9oUmW1yo/edit?usp=sharing"",""แพร่!J110"")"),0)</f>
        <v>0</v>
      </c>
      <c r="AD26" s="137">
        <f t="shared" ca="1" si="13"/>
        <v>0</v>
      </c>
      <c r="AE26" s="77">
        <f ca="1">IFERROR(__xludf.DUMMYFUNCTION("IMPORTRANGE(""https://docs.google.com/spreadsheets/d/1C3CXT74ZlgGe6_JY_1olB1XN4rF0dxEuIIF-xsYjHgg/edit?usp=sharing"",""พรบ!AL30"")"),0)</f>
        <v>0</v>
      </c>
      <c r="AF26" s="77">
        <f ca="1">IFERROR(__xludf.DUMMYFUNCTION("IMPORTRANGE(""https://docs.google.com/spreadsheets/d/11923uPwbBZFjjGgGUA6NLw09EwE0CqkOc4q9oUmW1yo/edit?usp=sharing"",""แพร่!J111"")"),0)</f>
        <v>0</v>
      </c>
      <c r="AG26" s="137">
        <f t="shared" ca="1" si="15"/>
        <v>0</v>
      </c>
      <c r="AH26" s="77">
        <f ca="1">IFERROR(__xludf.DUMMYFUNCTION("IMPORTRANGE(""https://docs.google.com/spreadsheets/d/1C3CXT74ZlgGe6_JY_1olB1XN4rF0dxEuIIF-xsYjHgg/edit?usp=sharing"",""พรบ!AM30"")"),19500)</f>
        <v>19500</v>
      </c>
      <c r="AI26" s="77">
        <f ca="1">IFERROR(__xludf.DUMMYFUNCTION("IMPORTRANGE(""https://docs.google.com/spreadsheets/d/1C3CXT74ZlgGe6_JY_1olB1XN4rF0dxEuIIF-xsYjHgg/edit?usp=sharing"",""พรบ!AN30"")"),50000)</f>
        <v>50000</v>
      </c>
      <c r="AJ26" s="77">
        <f ca="1">IFERROR(__xludf.DUMMYFUNCTION("IMPORTRANGE(""https://docs.google.com/spreadsheets/d/11923uPwbBZFjjGgGUA6NLw09EwE0CqkOc4q9oUmW1yo/edit?usp=sharing"",""แพร่!J124"")"),0)</f>
        <v>0</v>
      </c>
      <c r="AK26" s="137">
        <f t="shared" ca="1" si="17"/>
        <v>0</v>
      </c>
      <c r="AL26" s="77">
        <f ca="1">IFERROR(__xludf.DUMMYFUNCTION("IMPORTRANGE(""https://docs.google.com/spreadsheets/d/11923uPwbBZFjjGgGUA6NLw09EwE0CqkOc4q9oUmW1yo/edit?usp=sharing"",""แพร่!J125"")"),0)</f>
        <v>0</v>
      </c>
      <c r="AM26" s="137">
        <f t="shared" ca="1" si="18"/>
        <v>0</v>
      </c>
      <c r="AN26" s="77">
        <f ca="1">IFERROR(__xludf.DUMMYFUNCTION("IMPORTRANGE(""https://docs.google.com/spreadsheets/d/1C3CXT74ZlgGe6_JY_1olB1XN4rF0dxEuIIF-xsYjHgg/edit?usp=sharing"",""พรบ!AQ30"")"),0)</f>
        <v>0</v>
      </c>
      <c r="AO26" s="77">
        <f ca="1">IFERROR(__xludf.DUMMYFUNCTION("IMPORTRANGE(""https://docs.google.com/spreadsheets/d/11923uPwbBZFjjGgGUA6NLw09EwE0CqkOc4q9oUmW1yo/edit?usp=sharing"",""แพร่!J126"")"),0)</f>
        <v>0</v>
      </c>
      <c r="AP26" s="137">
        <f t="shared" ca="1" si="20"/>
        <v>0</v>
      </c>
      <c r="AQ26" s="149">
        <f ca="1">IFERROR(__xludf.DUMMYFUNCTION("IMPORTRANGE(""https://docs.google.com/spreadsheets/d/1C3CXT74ZlgGe6_JY_1olB1XN4rF0dxEuIIF-xsYjHgg/edit?usp=sharing"",""พรบ!AR30"")"),0)</f>
        <v>0</v>
      </c>
      <c r="AR26" s="77">
        <f ca="1">IFERROR(__xludf.DUMMYFUNCTION("IMPORTRANGE(""https://docs.google.com/spreadsheets/d/1C3CXT74ZlgGe6_JY_1olB1XN4rF0dxEuIIF-xsYjHgg/edit?usp=sharing"",""พรบ!AS30"")"),0)</f>
        <v>0</v>
      </c>
      <c r="AS26" s="77">
        <f ca="1">IFERROR(__xludf.DUMMYFUNCTION("IMPORTRANGE(""https://docs.google.com/spreadsheets/d/11923uPwbBZFjjGgGUA6NLw09EwE0CqkOc4q9oUmW1yo/edit?usp=sharing"",""แพร่!J138"")"),0)</f>
        <v>0</v>
      </c>
      <c r="AT26" s="137">
        <f t="shared" ca="1" si="22"/>
        <v>0</v>
      </c>
      <c r="AU26" s="77">
        <f ca="1">IFERROR(__xludf.DUMMYFUNCTION("IMPORTRANGE(""https://docs.google.com/spreadsheets/d/1C3CXT74ZlgGe6_JY_1olB1XN4rF0dxEuIIF-xsYjHgg/edit?usp=sharing"",""พรบ!AT30"")"),0)</f>
        <v>0</v>
      </c>
      <c r="AV26" s="77">
        <f ca="1">IFERROR(__xludf.DUMMYFUNCTION("IMPORTRANGE(""https://docs.google.com/spreadsheets/d/1C3CXT74ZlgGe6_JY_1olB1XN4rF0dxEuIIF-xsYjHgg/edit?usp=sharing"",""พรบ!AU30"")"),0)</f>
        <v>0</v>
      </c>
      <c r="AW26" s="77">
        <f ca="1">IFERROR(__xludf.DUMMYFUNCTION("IMPORTRANGE(""https://docs.google.com/spreadsheets/d/11923uPwbBZFjjGgGUA6NLw09EwE0CqkOc4q9oUmW1yo/edit?usp=sharing"",""แพร่!J140"")"),0)</f>
        <v>0</v>
      </c>
      <c r="AX26" s="137">
        <f t="shared" ca="1" si="24"/>
        <v>0</v>
      </c>
      <c r="AY26" s="77">
        <f ca="1">IFERROR(__xludf.DUMMYFUNCTION("IMPORTRANGE(""https://docs.google.com/spreadsheets/d/11923uPwbBZFjjGgGUA6NLw09EwE0CqkOc4q9oUmW1yo/edit?usp=sharing"",""แพร่!J141"")"),0)</f>
        <v>0</v>
      </c>
      <c r="AZ26" s="137">
        <f t="shared" ca="1" si="25"/>
        <v>0</v>
      </c>
      <c r="BA26" s="77">
        <f t="shared" ca="1" si="26"/>
        <v>0</v>
      </c>
      <c r="BB26" s="77">
        <f t="shared" ca="1" si="74"/>
        <v>0</v>
      </c>
      <c r="BC26" s="137">
        <f t="shared" ca="1" si="27"/>
        <v>0</v>
      </c>
    </row>
    <row r="27" spans="1:55" ht="24" customHeight="1">
      <c r="A27" s="73">
        <v>12</v>
      </c>
      <c r="B27" s="74" t="s">
        <v>51</v>
      </c>
      <c r="C27" s="75">
        <f t="shared" ca="1" si="0"/>
        <v>69500</v>
      </c>
      <c r="D27" s="76">
        <f t="shared" ca="1" si="75"/>
        <v>69500</v>
      </c>
      <c r="E27" s="77">
        <f ca="1">IFERROR(__xludf.DUMMYFUNCTION("IMPORTRANGE(""https://docs.google.com/spreadsheets/d/1C3CXT74ZlgGe6_JY_1olB1XN4rF0dxEuIIF-xsYjHgg/edit?usp=sharing"",""พรบ!AD31"")"),0)</f>
        <v>0</v>
      </c>
      <c r="F27" s="77">
        <f ca="1">IFERROR(__xludf.DUMMYFUNCTION("IMPORTRANGE(""https://docs.google.com/spreadsheets/d/1C3CXT74ZlgGe6_JY_1olB1XN4rF0dxEuIIF-xsYjHgg/edit?usp=sharing"",""พรบ!AE31"")"),69500)</f>
        <v>69500</v>
      </c>
      <c r="G27" s="77">
        <f ca="1">IFERROR(__xludf.DUMMYFUNCTION("IMPORTRANGE(""https://docs.google.com/spreadsheets/d/1Yj_ptqi66GCucihVvJfMjLAmec39IyEx_6qawtMGysU/edit?usp=sharing"",""สบก!BH31"")"),0)</f>
        <v>0</v>
      </c>
      <c r="H27" s="77">
        <f ca="1">IFERROR(__xludf.DUMMYFUNCTION("IMPORTRANGE(""https://docs.google.com/spreadsheets/d/1Yj_ptqi66GCucihVvJfMjLAmec39IyEx_6qawtMGysU/edit?usp=shBJing"",""สบก!BJ31"")"),41625)</f>
        <v>41625</v>
      </c>
      <c r="I27" s="77">
        <f t="shared" ca="1" si="3"/>
        <v>36940</v>
      </c>
      <c r="J27" s="137">
        <f t="shared" ca="1" si="4"/>
        <v>53.151079136690647</v>
      </c>
      <c r="K27" s="77">
        <f ca="1">IFERROR(__xludf.DUMMYFUNCTION("IMPORTRANGE(""https://docs.google.com/spreadsheets/d/1Yj_ptqi66GCucihVvJfMjLAmec39IyEx_6qawtMGysU/edit?usp=sharing"",""สบก!BK31"")"),36940)</f>
        <v>36940</v>
      </c>
      <c r="L27" s="137">
        <f t="shared" ca="1" si="5"/>
        <v>53.151079136690647</v>
      </c>
      <c r="M27" s="137">
        <f t="shared" ca="1" si="6"/>
        <v>88.74474474474475</v>
      </c>
      <c r="N27" s="137">
        <f ca="1">IFERROR(__xludf.DUMMYFUNCTION("IMPORTRANGE(""https://docs.google.com/spreadsheets/d/1Yj_ptqi66GCucihVvJfMjLAmec39IyEx_6qawtMGysU/edit?usp=sharing"",""สบก!BL31"")"),0)</f>
        <v>0</v>
      </c>
      <c r="O27" s="137">
        <f t="shared" ca="1" si="7"/>
        <v>0</v>
      </c>
      <c r="P27" s="77">
        <f ca="1">IFERROR(__xludf.DUMMYFUNCTION("IMPORTRANGE(""https://docs.google.com/spreadsheets/d/1C3CXT74ZlgGe6_JY_1olB1XN4rF0dxEuIIF-xsYjHgg/edit?usp=sharing"",""พรบ!AF31"")"),7500)</f>
        <v>7500</v>
      </c>
      <c r="Q27" s="77">
        <f ca="1">IFERROR(__xludf.DUMMYFUNCTION("IMPORTRANGE(""https://docs.google.com/spreadsheets/d/1C3CXT74ZlgGe6_JY_1olB1XN4rF0dxEuIIF-xsYjHgg/edit?usp=sharing"",""พรบ!AG31"")"),4)</f>
        <v>4</v>
      </c>
      <c r="R27" s="77">
        <f ca="1">IFERROR(__xludf.DUMMYFUNCTION("IMPORTRANGE(""https://docs.google.com/spreadsheets/d/11923uPwbBZFjjGgGUA6NLw09EwE0CqkOc4q9oUmW1yo/edit?usp=sharing"",""แม่ฮ่องสอน!J83"")"),2)</f>
        <v>2</v>
      </c>
      <c r="S27" s="137">
        <f t="shared" ca="1" si="9"/>
        <v>50</v>
      </c>
      <c r="T27" s="77">
        <f t="shared" ca="1" si="73"/>
        <v>50</v>
      </c>
      <c r="U27" s="77">
        <f ca="1">IFERROR(__xludf.DUMMYFUNCTION("IMPORTRANGE(""https://docs.google.com/spreadsheets/d/11923uPwbBZFjjGgGUA6NLw09EwE0CqkOc4q9oUmW1yo/edit?usp=sharing"",""แม่ฮ่องสอน!J85"")"),50)</f>
        <v>50</v>
      </c>
      <c r="V27" s="77">
        <f ca="1">IFERROR(__xludf.DUMMYFUNCTION("IMPORTRANGE(""https://docs.google.com/spreadsheets/d/11923uPwbBZFjjGgGUA6NLw09EwE0CqkOc4q9oUmW1yo/edit?usp=sharing"",""แม่ฮ่องสอน!J86"")"),0)</f>
        <v>0</v>
      </c>
      <c r="W27" s="77">
        <f ca="1">IFERROR(__xludf.DUMMYFUNCTION("IMPORTRANGE(""https://docs.google.com/spreadsheets/d/1C3CXT74ZlgGe6_JY_1olB1XN4rF0dxEuIIF-xsYjHgg/edit?usp=sharing"",""พรบ!AH31"")"),28000)</f>
        <v>28000</v>
      </c>
      <c r="X27" s="77">
        <f ca="1">IFERROR(__xludf.DUMMYFUNCTION("IMPORTRANGE(""https://docs.google.com/spreadsheets/d/1C3CXT74ZlgGe6_JY_1olB1XN4rF0dxEuIIF-xsYjHgg/edit?usp=sharing"",""พรบ!AI31"")"),2)</f>
        <v>2</v>
      </c>
      <c r="Y27" s="77">
        <f ca="1">IFERROR(__xludf.DUMMYFUNCTION("IMPORTRANGE(""https://docs.google.com/spreadsheets/d/11923uPwbBZFjjGgGUA6NLw09EwE0CqkOc4q9oUmW1yo/edit?usp=sharing"",""แม่ฮ่องสอน!J98"")"),2)</f>
        <v>2</v>
      </c>
      <c r="Z27" s="137">
        <f t="shared" ca="1" si="11"/>
        <v>100</v>
      </c>
      <c r="AA27" s="77">
        <f ca="1">IFERROR(__xludf.DUMMYFUNCTION("IMPORTRANGE(""https://docs.google.com/spreadsheets/d/1C3CXT74ZlgGe6_JY_1olB1XN4rF0dxEuIIF-xsYjHgg/edit?usp=sharing"",""พรบ!AJ31"")"),0)</f>
        <v>0</v>
      </c>
      <c r="AB27" s="77">
        <f ca="1">IFERROR(__xludf.DUMMYFUNCTION("IMPORTRANGE(""https://docs.google.com/spreadsheets/d/1C3CXT74ZlgGe6_JY_1olB1XN4rF0dxEuIIF-xsYjHgg/edit?usp=sharing"",""พรบ!AK31"")"),0)</f>
        <v>0</v>
      </c>
      <c r="AC27" s="77">
        <f ca="1">IFERROR(__xludf.DUMMYFUNCTION("IMPORTRANGE(""https://docs.google.com/spreadsheets/d/11923uPwbBZFjjGgGUA6NLw09EwE0CqkOc4q9oUmW1yo/edit?usp=sharing"",""แม่ฮ่องสอน!J110"")"),0)</f>
        <v>0</v>
      </c>
      <c r="AD27" s="137">
        <f t="shared" ca="1" si="13"/>
        <v>0</v>
      </c>
      <c r="AE27" s="77">
        <f ca="1">IFERROR(__xludf.DUMMYFUNCTION("IMPORTRANGE(""https://docs.google.com/spreadsheets/d/1C3CXT74ZlgGe6_JY_1olB1XN4rF0dxEuIIF-xsYjHgg/edit?usp=sharing"",""พรบ!AL31"")"),0)</f>
        <v>0</v>
      </c>
      <c r="AF27" s="77">
        <f ca="1">IFERROR(__xludf.DUMMYFUNCTION("IMPORTRANGE(""https://docs.google.com/spreadsheets/d/11923uPwbBZFjjGgGUA6NLw09EwE0CqkOc4q9oUmW1yo/edit?usp=sharing"",""แม่ฮ่องสอน!J111"")"),0)</f>
        <v>0</v>
      </c>
      <c r="AG27" s="137">
        <f t="shared" ca="1" si="15"/>
        <v>0</v>
      </c>
      <c r="AH27" s="77">
        <f ca="1">IFERROR(__xludf.DUMMYFUNCTION("IMPORTRANGE(""https://docs.google.com/spreadsheets/d/1C3CXT74ZlgGe6_JY_1olB1XN4rF0dxEuIIF-xsYjHgg/edit?usp=sharing"",""พรบ!AM31"")"),34000)</f>
        <v>34000</v>
      </c>
      <c r="AI27" s="77">
        <f ca="1">IFERROR(__xludf.DUMMYFUNCTION("IMPORTRANGE(""https://docs.google.com/spreadsheets/d/1C3CXT74ZlgGe6_JY_1olB1XN4rF0dxEuIIF-xsYjHgg/edit?usp=sharing"",""พรบ!AN31"")"),100000)</f>
        <v>100000</v>
      </c>
      <c r="AJ27" s="77">
        <f ca="1">IFERROR(__xludf.DUMMYFUNCTION("IMPORTRANGE(""https://docs.google.com/spreadsheets/d/11923uPwbBZFjjGgGUA6NLw09EwE0CqkOc4q9oUmW1yo/edit?usp=sharing"",""แม่ฮ่องสอน!J124"")"),100000)</f>
        <v>100000</v>
      </c>
      <c r="AK27" s="137">
        <f t="shared" ca="1" si="17"/>
        <v>100</v>
      </c>
      <c r="AL27" s="77">
        <f ca="1">IFERROR(__xludf.DUMMYFUNCTION("IMPORTRANGE(""https://docs.google.com/spreadsheets/d/11923uPwbBZFjjGgGUA6NLw09EwE0CqkOc4q9oUmW1yo/edit?usp=sharing"",""แม่ฮ่องสอน!J125"")"),0)</f>
        <v>0</v>
      </c>
      <c r="AM27" s="137">
        <f t="shared" ca="1" si="18"/>
        <v>0</v>
      </c>
      <c r="AN27" s="77">
        <f ca="1">IFERROR(__xludf.DUMMYFUNCTION("IMPORTRANGE(""https://docs.google.com/spreadsheets/d/1C3CXT74ZlgGe6_JY_1olB1XN4rF0dxEuIIF-xsYjHgg/edit?usp=sharing"",""พรบ!AQ31"")"),0)</f>
        <v>0</v>
      </c>
      <c r="AO27" s="77">
        <f ca="1">IFERROR(__xludf.DUMMYFUNCTION("IMPORTRANGE(""https://docs.google.com/spreadsheets/d/11923uPwbBZFjjGgGUA6NLw09EwE0CqkOc4q9oUmW1yo/edit?usp=sharing"",""แม่ฮ่องสอน!J126"")"),0)</f>
        <v>0</v>
      </c>
      <c r="AP27" s="137">
        <f t="shared" ca="1" si="20"/>
        <v>0</v>
      </c>
      <c r="AQ27" s="149">
        <f ca="1">IFERROR(__xludf.DUMMYFUNCTION("IMPORTRANGE(""https://docs.google.com/spreadsheets/d/1C3CXT74ZlgGe6_JY_1olB1XN4rF0dxEuIIF-xsYjHgg/edit?usp=sharing"",""พรบ!AR31"")"),0)</f>
        <v>0</v>
      </c>
      <c r="AR27" s="77">
        <f ca="1">IFERROR(__xludf.DUMMYFUNCTION("IMPORTRANGE(""https://docs.google.com/spreadsheets/d/1C3CXT74ZlgGe6_JY_1olB1XN4rF0dxEuIIF-xsYjHgg/edit?usp=sharing"",""พรบ!AS31"")"),0)</f>
        <v>0</v>
      </c>
      <c r="AS27" s="77">
        <f ca="1">IFERROR(__xludf.DUMMYFUNCTION("IMPORTRANGE(""https://docs.google.com/spreadsheets/d/11923uPwbBZFjjGgGUA6NLw09EwE0CqkOc4q9oUmW1yo/edit?usp=sharing"",""แม่ฮ่องสอน!J138"")"),0)</f>
        <v>0</v>
      </c>
      <c r="AT27" s="137">
        <f t="shared" ca="1" si="22"/>
        <v>0</v>
      </c>
      <c r="AU27" s="77">
        <f ca="1">IFERROR(__xludf.DUMMYFUNCTION("IMPORTRANGE(""https://docs.google.com/spreadsheets/d/1C3CXT74ZlgGe6_JY_1olB1XN4rF0dxEuIIF-xsYjHgg/edit?usp=sharing"",""พรบ!AT31"")"),0)</f>
        <v>0</v>
      </c>
      <c r="AV27" s="77">
        <f ca="1">IFERROR(__xludf.DUMMYFUNCTION("IMPORTRANGE(""https://docs.google.com/spreadsheets/d/1C3CXT74ZlgGe6_JY_1olB1XN4rF0dxEuIIF-xsYjHgg/edit?usp=sharing"",""พรบ!AU31"")"),0)</f>
        <v>0</v>
      </c>
      <c r="AW27" s="77">
        <f ca="1">IFERROR(__xludf.DUMMYFUNCTION("IMPORTRANGE(""https://docs.google.com/spreadsheets/d/11923uPwbBZFjjGgGUA6NLw09EwE0CqkOc4q9oUmW1yo/edit?usp=sharing"",""แม่ฮ่องสอน!J140"")"),0)</f>
        <v>0</v>
      </c>
      <c r="AX27" s="137">
        <f t="shared" ca="1" si="24"/>
        <v>0</v>
      </c>
      <c r="AY27" s="77">
        <f ca="1">IFERROR(__xludf.DUMMYFUNCTION("IMPORTRANGE(""https://docs.google.com/spreadsheets/d/11923uPwbBZFjjGgGUA6NLw09EwE0CqkOc4q9oUmW1yo/edit?usp=sharing"",""แม่ฮ่องสอน!J141"")"),0)</f>
        <v>0</v>
      </c>
      <c r="AZ27" s="137">
        <f t="shared" ca="1" si="25"/>
        <v>0</v>
      </c>
      <c r="BA27" s="77">
        <f t="shared" ca="1" si="26"/>
        <v>0</v>
      </c>
      <c r="BB27" s="77">
        <f t="shared" ca="1" si="74"/>
        <v>0</v>
      </c>
      <c r="BC27" s="137">
        <f t="shared" ca="1" si="27"/>
        <v>0</v>
      </c>
    </row>
    <row r="28" spans="1:55" ht="24" customHeight="1">
      <c r="A28" s="73">
        <v>13</v>
      </c>
      <c r="B28" s="74" t="s">
        <v>52</v>
      </c>
      <c r="C28" s="75">
        <f t="shared" ca="1" si="0"/>
        <v>69000</v>
      </c>
      <c r="D28" s="76">
        <f t="shared" ca="1" si="75"/>
        <v>69000</v>
      </c>
      <c r="E28" s="77">
        <f ca="1">IFERROR(__xludf.DUMMYFUNCTION("IMPORTRANGE(""https://docs.google.com/spreadsheets/d/1C3CXT74ZlgGe6_JY_1olB1XN4rF0dxEuIIF-xsYjHgg/edit?usp=sharing"",""พรบ!AD32"")"),0)</f>
        <v>0</v>
      </c>
      <c r="F28" s="77">
        <f ca="1">IFERROR(__xludf.DUMMYFUNCTION("IMPORTRANGE(""https://docs.google.com/spreadsheets/d/1C3CXT74ZlgGe6_JY_1olB1XN4rF0dxEuIIF-xsYjHgg/edit?usp=sharing"",""พรบ!AE32"")"),69000)</f>
        <v>69000</v>
      </c>
      <c r="G28" s="77">
        <f ca="1">IFERROR(__xludf.DUMMYFUNCTION("IMPORTRANGE(""https://docs.google.com/spreadsheets/d/1Yj_ptqi66GCucihVvJfMjLAmec39IyEx_6qawtMGysU/edit?usp=sharing"",""สบก!BH32"")"),0)</f>
        <v>0</v>
      </c>
      <c r="H28" s="77">
        <f ca="1">IFERROR(__xludf.DUMMYFUNCTION("IMPORTRANGE(""https://docs.google.com/spreadsheets/d/1Yj_ptqi66GCucihVvJfMjLAmec39IyEx_6qawtMGysU/edit?usp=shBJing"",""สบก!BJ32"")"),55625)</f>
        <v>55625</v>
      </c>
      <c r="I28" s="77">
        <f t="shared" ca="1" si="3"/>
        <v>51457</v>
      </c>
      <c r="J28" s="137">
        <f t="shared" ca="1" si="4"/>
        <v>74.575362318840575</v>
      </c>
      <c r="K28" s="77">
        <f ca="1">IFERROR(__xludf.DUMMYFUNCTION("IMPORTRANGE(""https://docs.google.com/spreadsheets/d/1Yj_ptqi66GCucihVvJfMjLAmec39IyEx_6qawtMGysU/edit?usp=sharing"",""สบก!BK32"")"),51457)</f>
        <v>51457</v>
      </c>
      <c r="L28" s="137">
        <f t="shared" ca="1" si="5"/>
        <v>74.575362318840575</v>
      </c>
      <c r="M28" s="137">
        <f t="shared" ca="1" si="6"/>
        <v>92.506966292134834</v>
      </c>
      <c r="N28" s="137">
        <f ca="1">IFERROR(__xludf.DUMMYFUNCTION("IMPORTRANGE(""https://docs.google.com/spreadsheets/d/1Yj_ptqi66GCucihVvJfMjLAmec39IyEx_6qawtMGysU/edit?usp=sharing"",""สบก!BL32"")"),0)</f>
        <v>0</v>
      </c>
      <c r="O28" s="137">
        <f t="shared" ca="1" si="7"/>
        <v>0</v>
      </c>
      <c r="P28" s="77">
        <f ca="1">IFERROR(__xludf.DUMMYFUNCTION("IMPORTRANGE(""https://docs.google.com/spreadsheets/d/1C3CXT74ZlgGe6_JY_1olB1XN4rF0dxEuIIF-xsYjHgg/edit?usp=sharing"",""พรบ!AF32"")"),7500)</f>
        <v>7500</v>
      </c>
      <c r="Q28" s="77">
        <f ca="1">IFERROR(__xludf.DUMMYFUNCTION("IMPORTRANGE(""https://docs.google.com/spreadsheets/d/1C3CXT74ZlgGe6_JY_1olB1XN4rF0dxEuIIF-xsYjHgg/edit?usp=sharing"",""พรบ!AG32"")"),4)</f>
        <v>4</v>
      </c>
      <c r="R28" s="77">
        <f ca="1">IFERROR(__xludf.DUMMYFUNCTION("IMPORTRANGE(""https://docs.google.com/spreadsheets/d/11923uPwbBZFjjGgGUA6NLw09EwE0CqkOc4q9oUmW1yo/edit?usp=sharing"",""ลำปาง!J83"")"),2)</f>
        <v>2</v>
      </c>
      <c r="S28" s="137">
        <f t="shared" ca="1" si="9"/>
        <v>50</v>
      </c>
      <c r="T28" s="77">
        <f t="shared" ca="1" si="73"/>
        <v>34</v>
      </c>
      <c r="U28" s="77">
        <f ca="1">IFERROR(__xludf.DUMMYFUNCTION("IMPORTRANGE(""https://docs.google.com/spreadsheets/d/11923uPwbBZFjjGgGUA6NLw09EwE0CqkOc4q9oUmW1yo/edit?usp=sharing"",""ลำปาง!J85"")"),34)</f>
        <v>34</v>
      </c>
      <c r="V28" s="77">
        <f ca="1">IFERROR(__xludf.DUMMYFUNCTION("IMPORTRANGE(""https://docs.google.com/spreadsheets/d/11923uPwbBZFjjGgGUA6NLw09EwE0CqkOc4q9oUmW1yo/edit?usp=sharing"",""ลำปาง!J86"")"),0)</f>
        <v>0</v>
      </c>
      <c r="W28" s="77">
        <f ca="1">IFERROR(__xludf.DUMMYFUNCTION("IMPORTRANGE(""https://docs.google.com/spreadsheets/d/1C3CXT74ZlgGe6_JY_1olB1XN4rF0dxEuIIF-xsYjHgg/edit?usp=sharing"",""พรบ!AH32"")"),42000)</f>
        <v>42000</v>
      </c>
      <c r="X28" s="77">
        <f ca="1">IFERROR(__xludf.DUMMYFUNCTION("IMPORTRANGE(""https://docs.google.com/spreadsheets/d/1C3CXT74ZlgGe6_JY_1olB1XN4rF0dxEuIIF-xsYjHgg/edit?usp=sharing"",""พรบ!AI32"")"),3)</f>
        <v>3</v>
      </c>
      <c r="Y28" s="77">
        <f ca="1">IFERROR(__xludf.DUMMYFUNCTION("IMPORTRANGE(""https://docs.google.com/spreadsheets/d/11923uPwbBZFjjGgGUA6NLw09EwE0CqkOc4q9oUmW1yo/edit?usp=sharing"",""ลำปาง!J98"")"),3)</f>
        <v>3</v>
      </c>
      <c r="Z28" s="137">
        <f t="shared" ca="1" si="11"/>
        <v>100</v>
      </c>
      <c r="AA28" s="77">
        <f ca="1">IFERROR(__xludf.DUMMYFUNCTION("IMPORTRANGE(""https://docs.google.com/spreadsheets/d/1C3CXT74ZlgGe6_JY_1olB1XN4rF0dxEuIIF-xsYjHgg/edit?usp=sharing"",""พรบ!AJ32"")"),0)</f>
        <v>0</v>
      </c>
      <c r="AB28" s="77">
        <f ca="1">IFERROR(__xludf.DUMMYFUNCTION("IMPORTRANGE(""https://docs.google.com/spreadsheets/d/1C3CXT74ZlgGe6_JY_1olB1XN4rF0dxEuIIF-xsYjHgg/edit?usp=sharing"",""พรบ!AK32"")"),0)</f>
        <v>0</v>
      </c>
      <c r="AC28" s="77">
        <f ca="1">IFERROR(__xludf.DUMMYFUNCTION("IMPORTRANGE(""https://docs.google.com/spreadsheets/d/11923uPwbBZFjjGgGUA6NLw09EwE0CqkOc4q9oUmW1yo/edit?usp=sharing"",""ลำปาง!J110"")"),0)</f>
        <v>0</v>
      </c>
      <c r="AD28" s="137">
        <f t="shared" ca="1" si="13"/>
        <v>0</v>
      </c>
      <c r="AE28" s="77">
        <f ca="1">IFERROR(__xludf.DUMMYFUNCTION("IMPORTRANGE(""https://docs.google.com/spreadsheets/d/1C3CXT74ZlgGe6_JY_1olB1XN4rF0dxEuIIF-xsYjHgg/edit?usp=sharing"",""พรบ!AL32"")"),0)</f>
        <v>0</v>
      </c>
      <c r="AF28" s="77">
        <f ca="1">IFERROR(__xludf.DUMMYFUNCTION("IMPORTRANGE(""https://docs.google.com/spreadsheets/d/11923uPwbBZFjjGgGUA6NLw09EwE0CqkOc4q9oUmW1yo/edit?usp=sharing"",""ลำปาง!J111"")"),0)</f>
        <v>0</v>
      </c>
      <c r="AG28" s="137">
        <f t="shared" ca="1" si="15"/>
        <v>0</v>
      </c>
      <c r="AH28" s="77">
        <f ca="1">IFERROR(__xludf.DUMMYFUNCTION("IMPORTRANGE(""https://docs.google.com/spreadsheets/d/1C3CXT74ZlgGe6_JY_1olB1XN4rF0dxEuIIF-xsYjHgg/edit?usp=sharing"",""พรบ!AM32"")"),19500)</f>
        <v>19500</v>
      </c>
      <c r="AI28" s="77">
        <f ca="1">IFERROR(__xludf.DUMMYFUNCTION("IMPORTRANGE(""https://docs.google.com/spreadsheets/d/1C3CXT74ZlgGe6_JY_1olB1XN4rF0dxEuIIF-xsYjHgg/edit?usp=sharing"",""พรบ!AN32"")"),50000)</f>
        <v>50000</v>
      </c>
      <c r="AJ28" s="77">
        <f ca="1">IFERROR(__xludf.DUMMYFUNCTION("IMPORTRANGE(""https://docs.google.com/spreadsheets/d/11923uPwbBZFjjGgGUA6NLw09EwE0CqkOc4q9oUmW1yo/edit?usp=sharing"",""ลำปาง!J124"")"),0)</f>
        <v>0</v>
      </c>
      <c r="AK28" s="137">
        <f t="shared" ca="1" si="17"/>
        <v>0</v>
      </c>
      <c r="AL28" s="77">
        <f ca="1">IFERROR(__xludf.DUMMYFUNCTION("IMPORTRANGE(""https://docs.google.com/spreadsheets/d/11923uPwbBZFjjGgGUA6NLw09EwE0CqkOc4q9oUmW1yo/edit?usp=sharing"",""ลำปาง!J125"")"),0)</f>
        <v>0</v>
      </c>
      <c r="AM28" s="137">
        <f t="shared" ca="1" si="18"/>
        <v>0</v>
      </c>
      <c r="AN28" s="77">
        <f ca="1">IFERROR(__xludf.DUMMYFUNCTION("IMPORTRANGE(""https://docs.google.com/spreadsheets/d/1C3CXT74ZlgGe6_JY_1olB1XN4rF0dxEuIIF-xsYjHgg/edit?usp=sharing"",""พรบ!AQ32"")"),0)</f>
        <v>0</v>
      </c>
      <c r="AO28" s="77">
        <f ca="1">IFERROR(__xludf.DUMMYFUNCTION("IMPORTRANGE(""https://docs.google.com/spreadsheets/d/11923uPwbBZFjjGgGUA6NLw09EwE0CqkOc4q9oUmW1yo/edit?usp=sharing"",""ลำปาง!J126"")"),0)</f>
        <v>0</v>
      </c>
      <c r="AP28" s="137">
        <f t="shared" ca="1" si="20"/>
        <v>0</v>
      </c>
      <c r="AQ28" s="149">
        <f ca="1">IFERROR(__xludf.DUMMYFUNCTION("IMPORTRANGE(""https://docs.google.com/spreadsheets/d/1C3CXT74ZlgGe6_JY_1olB1XN4rF0dxEuIIF-xsYjHgg/edit?usp=sharing"",""พรบ!AR32"")"),0)</f>
        <v>0</v>
      </c>
      <c r="AR28" s="77">
        <f ca="1">IFERROR(__xludf.DUMMYFUNCTION("IMPORTRANGE(""https://docs.google.com/spreadsheets/d/1C3CXT74ZlgGe6_JY_1olB1XN4rF0dxEuIIF-xsYjHgg/edit?usp=sharing"",""พรบ!AS32"")"),0)</f>
        <v>0</v>
      </c>
      <c r="AS28" s="77">
        <f ca="1">IFERROR(__xludf.DUMMYFUNCTION("IMPORTRANGE(""https://docs.google.com/spreadsheets/d/11923uPwbBZFjjGgGUA6NLw09EwE0CqkOc4q9oUmW1yo/edit?usp=sharing"",""ลำปาง!J138"")"),0)</f>
        <v>0</v>
      </c>
      <c r="AT28" s="137">
        <f t="shared" ca="1" si="22"/>
        <v>0</v>
      </c>
      <c r="AU28" s="77">
        <f ca="1">IFERROR(__xludf.DUMMYFUNCTION("IMPORTRANGE(""https://docs.google.com/spreadsheets/d/1C3CXT74ZlgGe6_JY_1olB1XN4rF0dxEuIIF-xsYjHgg/edit?usp=sharing"",""พรบ!AT32"")"),0)</f>
        <v>0</v>
      </c>
      <c r="AV28" s="77">
        <f ca="1">IFERROR(__xludf.DUMMYFUNCTION("IMPORTRANGE(""https://docs.google.com/spreadsheets/d/1C3CXT74ZlgGe6_JY_1olB1XN4rF0dxEuIIF-xsYjHgg/edit?usp=sharing"",""พรบ!AU32"")"),0)</f>
        <v>0</v>
      </c>
      <c r="AW28" s="77">
        <f ca="1">IFERROR(__xludf.DUMMYFUNCTION("IMPORTRANGE(""https://docs.google.com/spreadsheets/d/11923uPwbBZFjjGgGUA6NLw09EwE0CqkOc4q9oUmW1yo/edit?usp=sharing"",""ลำปาง!J140"")"),0)</f>
        <v>0</v>
      </c>
      <c r="AX28" s="137">
        <f t="shared" ca="1" si="24"/>
        <v>0</v>
      </c>
      <c r="AY28" s="77">
        <f ca="1">IFERROR(__xludf.DUMMYFUNCTION("IMPORTRANGE(""https://docs.google.com/spreadsheets/d/11923uPwbBZFjjGgGUA6NLw09EwE0CqkOc4q9oUmW1yo/edit?usp=sharing"",""ลำปาง!J141"")"),0)</f>
        <v>0</v>
      </c>
      <c r="AZ28" s="137">
        <f t="shared" ca="1" si="25"/>
        <v>0</v>
      </c>
      <c r="BA28" s="77">
        <f t="shared" ca="1" si="26"/>
        <v>0</v>
      </c>
      <c r="BB28" s="77">
        <f t="shared" ca="1" si="74"/>
        <v>0</v>
      </c>
      <c r="BC28" s="137">
        <f t="shared" ca="1" si="27"/>
        <v>0</v>
      </c>
    </row>
    <row r="29" spans="1:55" ht="24" customHeight="1">
      <c r="A29" s="73">
        <v>14</v>
      </c>
      <c r="B29" s="74" t="s">
        <v>53</v>
      </c>
      <c r="C29" s="75">
        <f t="shared" ca="1" si="0"/>
        <v>1352900</v>
      </c>
      <c r="D29" s="76">
        <f t="shared" ca="1" si="75"/>
        <v>1114900</v>
      </c>
      <c r="E29" s="77">
        <f ca="1">IFERROR(__xludf.DUMMYFUNCTION("IMPORTRANGE(""https://docs.google.com/spreadsheets/d/1C3CXT74ZlgGe6_JY_1olB1XN4rF0dxEuIIF-xsYjHgg/edit?usp=sharing"",""พรบ!AD33"")"),264000)</f>
        <v>264000</v>
      </c>
      <c r="F29" s="77">
        <f ca="1">IFERROR(__xludf.DUMMYFUNCTION("IMPORTRANGE(""https://docs.google.com/spreadsheets/d/1C3CXT74ZlgGe6_JY_1olB1XN4rF0dxEuIIF-xsYjHgg/edit?usp=sharing"",""พรบ!AE33"")"),850900)</f>
        <v>850900</v>
      </c>
      <c r="G29" s="77">
        <f ca="1">IFERROR(__xludf.DUMMYFUNCTION("IMPORTRANGE(""https://docs.google.com/spreadsheets/d/1Yj_ptqi66GCucihVvJfMjLAmec39IyEx_6qawtMGysU/edit?usp=sharing"",""สบก!BH33"")"),238000)</f>
        <v>238000</v>
      </c>
      <c r="H29" s="77">
        <f ca="1">IFERROR(__xludf.DUMMYFUNCTION("IMPORTRANGE(""https://docs.google.com/spreadsheets/d/1Yj_ptqi66GCucihVvJfMjLAmec39IyEx_6qawtMGysU/edit?usp=shBJing"",""สบก!BJ33"")"),892925)</f>
        <v>892925</v>
      </c>
      <c r="I29" s="77">
        <f t="shared" ca="1" si="3"/>
        <v>794634.76</v>
      </c>
      <c r="J29" s="137">
        <f t="shared" ca="1" si="4"/>
        <v>58.735661172296545</v>
      </c>
      <c r="K29" s="77">
        <f ca="1">IFERROR(__xludf.DUMMYFUNCTION("IMPORTRANGE(""https://docs.google.com/spreadsheets/d/1Yj_ptqi66GCucihVvJfMjLAmec39IyEx_6qawtMGysU/edit?usp=sharing"",""สบก!BK33"")"),556634.76)</f>
        <v>556634.76</v>
      </c>
      <c r="L29" s="137">
        <f t="shared" ca="1" si="5"/>
        <v>49.926877746883129</v>
      </c>
      <c r="M29" s="137">
        <f t="shared" ca="1" si="6"/>
        <v>62.338355404989223</v>
      </c>
      <c r="N29" s="137">
        <f ca="1">IFERROR(__xludf.DUMMYFUNCTION("IMPORTRANGE(""https://docs.google.com/spreadsheets/d/1Yj_ptqi66GCucihVvJfMjLAmec39IyEx_6qawtMGysU/edit?usp=sharing"",""สบก!BL33"")"),238000)</f>
        <v>238000</v>
      </c>
      <c r="O29" s="137">
        <f t="shared" ca="1" si="7"/>
        <v>100</v>
      </c>
      <c r="P29" s="77">
        <f ca="1">IFERROR(__xludf.DUMMYFUNCTION("IMPORTRANGE(""https://docs.google.com/spreadsheets/d/1C3CXT74ZlgGe6_JY_1olB1XN4rF0dxEuIIF-xsYjHgg/edit?usp=sharing"",""พรบ!AF33"")"),7500)</f>
        <v>7500</v>
      </c>
      <c r="Q29" s="77">
        <f ca="1">IFERROR(__xludf.DUMMYFUNCTION("IMPORTRANGE(""https://docs.google.com/spreadsheets/d/1C3CXT74ZlgGe6_JY_1olB1XN4rF0dxEuIIF-xsYjHgg/edit?usp=sharing"",""พรบ!AG33"")"),4)</f>
        <v>4</v>
      </c>
      <c r="R29" s="77">
        <f ca="1">IFERROR(__xludf.DUMMYFUNCTION("IMPORTRANGE(""https://docs.google.com/spreadsheets/d/11923uPwbBZFjjGgGUA6NLw09EwE0CqkOc4q9oUmW1yo/edit?usp=sharing"",""ลำพูน!J83"")"),2)</f>
        <v>2</v>
      </c>
      <c r="S29" s="137">
        <f t="shared" ca="1" si="9"/>
        <v>50</v>
      </c>
      <c r="T29" s="77">
        <f t="shared" ca="1" si="73"/>
        <v>119</v>
      </c>
      <c r="U29" s="77">
        <f ca="1">IFERROR(__xludf.DUMMYFUNCTION("IMPORTRANGE(""https://docs.google.com/spreadsheets/d/11923uPwbBZFjjGgGUA6NLw09EwE0CqkOc4q9oUmW1yo/edit?usp=sharing"",""ลำพูน!J85"")"),119)</f>
        <v>119</v>
      </c>
      <c r="V29" s="77">
        <f ca="1">IFERROR(__xludf.DUMMYFUNCTION("IMPORTRANGE(""https://docs.google.com/spreadsheets/d/11923uPwbBZFjjGgGUA6NLw09EwE0CqkOc4q9oUmW1yo/edit?usp=sharing"",""ลำพูน!J86"")"),0)</f>
        <v>0</v>
      </c>
      <c r="W29" s="77">
        <f ca="1">IFERROR(__xludf.DUMMYFUNCTION("IMPORTRANGE(""https://docs.google.com/spreadsheets/d/1C3CXT74ZlgGe6_JY_1olB1XN4rF0dxEuIIF-xsYjHgg/edit?usp=sharing"",""พรบ!AH33"")"),28000)</f>
        <v>28000</v>
      </c>
      <c r="X29" s="77">
        <f ca="1">IFERROR(__xludf.DUMMYFUNCTION("IMPORTRANGE(""https://docs.google.com/spreadsheets/d/1C3CXT74ZlgGe6_JY_1olB1XN4rF0dxEuIIF-xsYjHgg/edit?usp=sharing"",""พรบ!AI33"")"),2)</f>
        <v>2</v>
      </c>
      <c r="Y29" s="77">
        <f ca="1">IFERROR(__xludf.DUMMYFUNCTION("IMPORTRANGE(""https://docs.google.com/spreadsheets/d/11923uPwbBZFjjGgGUA6NLw09EwE0CqkOc4q9oUmW1yo/edit?usp=sharing"",""ลำพูน!J98"")"),2)</f>
        <v>2</v>
      </c>
      <c r="Z29" s="137">
        <f t="shared" ca="1" si="11"/>
        <v>100</v>
      </c>
      <c r="AA29" s="77">
        <f ca="1">IFERROR(__xludf.DUMMYFUNCTION("IMPORTRANGE(""https://docs.google.com/spreadsheets/d/1C3CXT74ZlgGe6_JY_1olB1XN4rF0dxEuIIF-xsYjHgg/edit?usp=sharing"",""พรบ!AJ33"")"),0)</f>
        <v>0</v>
      </c>
      <c r="AB29" s="77">
        <f ca="1">IFERROR(__xludf.DUMMYFUNCTION("IMPORTRANGE(""https://docs.google.com/spreadsheets/d/1C3CXT74ZlgGe6_JY_1olB1XN4rF0dxEuIIF-xsYjHgg/edit?usp=sharing"",""พรบ!AK33"")"),0)</f>
        <v>0</v>
      </c>
      <c r="AC29" s="77">
        <f ca="1">IFERROR(__xludf.DUMMYFUNCTION("IMPORTRANGE(""https://docs.google.com/spreadsheets/d/11923uPwbBZFjjGgGUA6NLw09EwE0CqkOc4q9oUmW1yo/edit?usp=sharing"",""ลำพูน!J110"")"),0)</f>
        <v>0</v>
      </c>
      <c r="AD29" s="137">
        <f t="shared" ca="1" si="13"/>
        <v>0</v>
      </c>
      <c r="AE29" s="77">
        <f ca="1">IFERROR(__xludf.DUMMYFUNCTION("IMPORTRANGE(""https://docs.google.com/spreadsheets/d/1C3CXT74ZlgGe6_JY_1olB1XN4rF0dxEuIIF-xsYjHgg/edit?usp=sharing"",""พรบ!AL33"")"),0)</f>
        <v>0</v>
      </c>
      <c r="AF29" s="77">
        <f ca="1">IFERROR(__xludf.DUMMYFUNCTION("IMPORTRANGE(""https://docs.google.com/spreadsheets/d/11923uPwbBZFjjGgGUA6NLw09EwE0CqkOc4q9oUmW1yo/edit?usp=sharing"",""ลำพูน!J111"")"),0)</f>
        <v>0</v>
      </c>
      <c r="AG29" s="137">
        <f t="shared" ca="1" si="15"/>
        <v>0</v>
      </c>
      <c r="AH29" s="77">
        <f ca="1">IFERROR(__xludf.DUMMYFUNCTION("IMPORTRANGE(""https://docs.google.com/spreadsheets/d/1C3CXT74ZlgGe6_JY_1olB1XN4rF0dxEuIIF-xsYjHgg/edit?usp=sharing"",""พรบ!AM33"")"),34000)</f>
        <v>34000</v>
      </c>
      <c r="AI29" s="77">
        <f ca="1">IFERROR(__xludf.DUMMYFUNCTION("IMPORTRANGE(""https://docs.google.com/spreadsheets/d/1C3CXT74ZlgGe6_JY_1olB1XN4rF0dxEuIIF-xsYjHgg/edit?usp=sharing"",""พรบ!AN33"")"),100000)</f>
        <v>100000</v>
      </c>
      <c r="AJ29" s="77">
        <f ca="1">IFERROR(__xludf.DUMMYFUNCTION("IMPORTRANGE(""https://docs.google.com/spreadsheets/d/11923uPwbBZFjjGgGUA6NLw09EwE0CqkOc4q9oUmW1yo/edit?usp=sharing"",""ลำพูน!J124"")"),0)</f>
        <v>0</v>
      </c>
      <c r="AK29" s="137">
        <f t="shared" ca="1" si="17"/>
        <v>0</v>
      </c>
      <c r="AL29" s="77">
        <f ca="1">IFERROR(__xludf.DUMMYFUNCTION("IMPORTRANGE(""https://docs.google.com/spreadsheets/d/11923uPwbBZFjjGgGUA6NLw09EwE0CqkOc4q9oUmW1yo/edit?usp=sharing"",""ลำพูน!J125"")"),0)</f>
        <v>0</v>
      </c>
      <c r="AM29" s="137">
        <f t="shared" ca="1" si="18"/>
        <v>0</v>
      </c>
      <c r="AN29" s="77">
        <f ca="1">IFERROR(__xludf.DUMMYFUNCTION("IMPORTRANGE(""https://docs.google.com/spreadsheets/d/1C3CXT74ZlgGe6_JY_1olB1XN4rF0dxEuIIF-xsYjHgg/edit?usp=sharing"",""พรบ!AQ33"")"),0)</f>
        <v>0</v>
      </c>
      <c r="AO29" s="77">
        <f ca="1">IFERROR(__xludf.DUMMYFUNCTION("IMPORTRANGE(""https://docs.google.com/spreadsheets/d/11923uPwbBZFjjGgGUA6NLw09EwE0CqkOc4q9oUmW1yo/edit?usp=sharing"",""ลำพูน!J126"")"),0)</f>
        <v>0</v>
      </c>
      <c r="AP29" s="137">
        <f t="shared" ca="1" si="20"/>
        <v>0</v>
      </c>
      <c r="AQ29" s="77">
        <f ca="1">IFERROR(__xludf.DUMMYFUNCTION("IMPORTRANGE(""https://docs.google.com/spreadsheets/d/1C3CXT74ZlgGe6_JY_1olB1XN4rF0dxEuIIF-xsYjHgg/edit?usp=sharing"",""พรบ!AR33"")"),781400)</f>
        <v>781400</v>
      </c>
      <c r="AR29" s="77">
        <f ca="1">IFERROR(__xludf.DUMMYFUNCTION("IMPORTRANGE(""https://docs.google.com/spreadsheets/d/1C3CXT74ZlgGe6_JY_1olB1XN4rF0dxEuIIF-xsYjHgg/edit?usp=sharing"",""พรบ!AS33"")"),150)</f>
        <v>150</v>
      </c>
      <c r="AS29" s="77">
        <f ca="1">IFERROR(__xludf.DUMMYFUNCTION("IMPORTRANGE(""https://docs.google.com/spreadsheets/d/11923uPwbBZFjjGgGUA6NLw09EwE0CqkOc4q9oUmW1yo/edit?usp=sharing"",""ลำพูน!J138"")"),150)</f>
        <v>150</v>
      </c>
      <c r="AT29" s="137">
        <f t="shared" ca="1" si="22"/>
        <v>100</v>
      </c>
      <c r="AU29" s="149">
        <f ca="1">IFERROR(__xludf.DUMMYFUNCTION("IMPORTRANGE(""https://docs.google.com/spreadsheets/d/1C3CXT74ZlgGe6_JY_1olB1XN4rF0dxEuIIF-xsYjHgg/edit?usp=sharing"",""พรบ!AT33"")"),0)</f>
        <v>0</v>
      </c>
      <c r="AV29" s="149">
        <f ca="1">IFERROR(__xludf.DUMMYFUNCTION("IMPORTRANGE(""https://docs.google.com/spreadsheets/d/1C3CXT74ZlgGe6_JY_1olB1XN4rF0dxEuIIF-xsYjHgg/edit?usp=sharing"",""พรบ!AU33"")"),3)</f>
        <v>3</v>
      </c>
      <c r="AW29" s="77">
        <f ca="1">IFERROR(__xludf.DUMMYFUNCTION("IMPORTRANGE(""https://docs.google.com/spreadsheets/d/11923uPwbBZFjjGgGUA6NLw09EwE0CqkOc4q9oUmW1yo/edit?usp=sharing"",""ลำพูน!J140"")"),0)</f>
        <v>0</v>
      </c>
      <c r="AX29" s="137">
        <f t="shared" ca="1" si="24"/>
        <v>0</v>
      </c>
      <c r="AY29" s="77">
        <f ca="1">IFERROR(__xludf.DUMMYFUNCTION("IMPORTRANGE(""https://docs.google.com/spreadsheets/d/11923uPwbBZFjjGgGUA6NLw09EwE0CqkOc4q9oUmW1yo/edit?usp=sharing"",""ลำพูน!J141"")"),0)</f>
        <v>0</v>
      </c>
      <c r="AZ29" s="137">
        <f t="shared" ca="1" si="25"/>
        <v>0</v>
      </c>
      <c r="BA29" s="77">
        <f t="shared" ca="1" si="26"/>
        <v>150</v>
      </c>
      <c r="BB29" s="77">
        <f t="shared" ca="1" si="74"/>
        <v>150</v>
      </c>
      <c r="BC29" s="137">
        <f t="shared" ca="1" si="27"/>
        <v>100</v>
      </c>
    </row>
    <row r="30" spans="1:55" ht="24" customHeight="1">
      <c r="A30" s="73">
        <v>15</v>
      </c>
      <c r="B30" s="74" t="s">
        <v>54</v>
      </c>
      <c r="C30" s="75">
        <f t="shared" ca="1" si="0"/>
        <v>83000</v>
      </c>
      <c r="D30" s="76">
        <f t="shared" ca="1" si="75"/>
        <v>83000</v>
      </c>
      <c r="E30" s="77">
        <f ca="1">IFERROR(__xludf.DUMMYFUNCTION("IMPORTRANGE(""https://docs.google.com/spreadsheets/d/1C3CXT74ZlgGe6_JY_1olB1XN4rF0dxEuIIF-xsYjHgg/edit?usp=sharing"",""พรบ!AD34"")"),0)</f>
        <v>0</v>
      </c>
      <c r="F30" s="77">
        <f ca="1">IFERROR(__xludf.DUMMYFUNCTION("IMPORTRANGE(""https://docs.google.com/spreadsheets/d/1C3CXT74ZlgGe6_JY_1olB1XN4rF0dxEuIIF-xsYjHgg/edit?usp=sharing"",""พรบ!AE34"")"),83000)</f>
        <v>83000</v>
      </c>
      <c r="G30" s="77">
        <f ca="1">IFERROR(__xludf.DUMMYFUNCTION("IMPORTRANGE(""https://docs.google.com/spreadsheets/d/1Yj_ptqi66GCucihVvJfMjLAmec39IyEx_6qawtMGysU/edit?usp=sharing"",""สบก!BH34"")"),0)</f>
        <v>0</v>
      </c>
      <c r="H30" s="77">
        <f ca="1">IFERROR(__xludf.DUMMYFUNCTION("IMPORTRANGE(""https://docs.google.com/spreadsheets/d/1Yj_ptqi66GCucihVvJfMjLAmec39IyEx_6qawtMGysU/edit?usp=shBJing"",""สบก!BJ34"")"),69625)</f>
        <v>69625</v>
      </c>
      <c r="I30" s="77">
        <f t="shared" ca="1" si="3"/>
        <v>44039</v>
      </c>
      <c r="J30" s="137">
        <f t="shared" ca="1" si="4"/>
        <v>53.059036144578315</v>
      </c>
      <c r="K30" s="77">
        <f ca="1">IFERROR(__xludf.DUMMYFUNCTION("IMPORTRANGE(""https://docs.google.com/spreadsheets/d/1Yj_ptqi66GCucihVvJfMjLAmec39IyEx_6qawtMGysU/edit?usp=sharing"",""สบก!BK34"")"),44039)</f>
        <v>44039</v>
      </c>
      <c r="L30" s="137">
        <f t="shared" ca="1" si="5"/>
        <v>53.059036144578315</v>
      </c>
      <c r="M30" s="137">
        <f t="shared" ca="1" si="6"/>
        <v>63.251705565529626</v>
      </c>
      <c r="N30" s="137">
        <f ca="1">IFERROR(__xludf.DUMMYFUNCTION("IMPORTRANGE(""https://docs.google.com/spreadsheets/d/1Yj_ptqi66GCucihVvJfMjLAmec39IyEx_6qawtMGysU/edit?usp=sharing"",""สบก!BL34"")"),0)</f>
        <v>0</v>
      </c>
      <c r="O30" s="137">
        <f t="shared" ca="1" si="7"/>
        <v>0</v>
      </c>
      <c r="P30" s="77">
        <f ca="1">IFERROR(__xludf.DUMMYFUNCTION("IMPORTRANGE(""https://docs.google.com/spreadsheets/d/1C3CXT74ZlgGe6_JY_1olB1XN4rF0dxEuIIF-xsYjHgg/edit?usp=sharing"",""พรบ!AF34"")"),7500)</f>
        <v>7500</v>
      </c>
      <c r="Q30" s="77">
        <f ca="1">IFERROR(__xludf.DUMMYFUNCTION("IMPORTRANGE(""https://docs.google.com/spreadsheets/d/1C3CXT74ZlgGe6_JY_1olB1XN4rF0dxEuIIF-xsYjHgg/edit?usp=sharing"",""พรบ!AG34"")"),4)</f>
        <v>4</v>
      </c>
      <c r="R30" s="77">
        <f ca="1">IFERROR(__xludf.DUMMYFUNCTION("IMPORTRANGE(""https://docs.google.com/spreadsheets/d/11923uPwbBZFjjGgGUA6NLw09EwE0CqkOc4q9oUmW1yo/edit?usp=sharing"",""สุโขทัย!J83"")"),2)</f>
        <v>2</v>
      </c>
      <c r="S30" s="137">
        <f t="shared" ca="1" si="9"/>
        <v>50</v>
      </c>
      <c r="T30" s="77">
        <f t="shared" ca="1" si="73"/>
        <v>81</v>
      </c>
      <c r="U30" s="77">
        <f ca="1">IFERROR(__xludf.DUMMYFUNCTION("IMPORTRANGE(""https://docs.google.com/spreadsheets/d/11923uPwbBZFjjGgGUA6NLw09EwE0CqkOc4q9oUmW1yo/edit?usp=sharing"",""สุโขทัย!J85"")"),81)</f>
        <v>81</v>
      </c>
      <c r="V30" s="77">
        <f ca="1">IFERROR(__xludf.DUMMYFUNCTION("IMPORTRANGE(""https://docs.google.com/spreadsheets/d/11923uPwbBZFjjGgGUA6NLw09EwE0CqkOc4q9oUmW1yo/edit?usp=sharing"",""สุโขทัย!J86"")"),0)</f>
        <v>0</v>
      </c>
      <c r="W30" s="77">
        <f ca="1">IFERROR(__xludf.DUMMYFUNCTION("IMPORTRANGE(""https://docs.google.com/spreadsheets/d/1C3CXT74ZlgGe6_JY_1olB1XN4rF0dxEuIIF-xsYjHgg/edit?usp=sharing"",""พรบ!AH34"")"),56000)</f>
        <v>56000</v>
      </c>
      <c r="X30" s="77">
        <f ca="1">IFERROR(__xludf.DUMMYFUNCTION("IMPORTRANGE(""https://docs.google.com/spreadsheets/d/1C3CXT74ZlgGe6_JY_1olB1XN4rF0dxEuIIF-xsYjHgg/edit?usp=sharing"",""พรบ!AI34"")"),4)</f>
        <v>4</v>
      </c>
      <c r="Y30" s="77">
        <f ca="1">IFERROR(__xludf.DUMMYFUNCTION("IMPORTRANGE(""https://docs.google.com/spreadsheets/d/11923uPwbBZFjjGgGUA6NLw09EwE0CqkOc4q9oUmW1yo/edit?usp=sharing"",""สุโขทัย!J98"")"),4)</f>
        <v>4</v>
      </c>
      <c r="Z30" s="137">
        <f t="shared" ca="1" si="11"/>
        <v>100</v>
      </c>
      <c r="AA30" s="77">
        <f ca="1">IFERROR(__xludf.DUMMYFUNCTION("IMPORTRANGE(""https://docs.google.com/spreadsheets/d/1C3CXT74ZlgGe6_JY_1olB1XN4rF0dxEuIIF-xsYjHgg/edit?usp=sharing"",""พรบ!AJ34"")"),0)</f>
        <v>0</v>
      </c>
      <c r="AB30" s="77">
        <f ca="1">IFERROR(__xludf.DUMMYFUNCTION("IMPORTRANGE(""https://docs.google.com/spreadsheets/d/1C3CXT74ZlgGe6_JY_1olB1XN4rF0dxEuIIF-xsYjHgg/edit?usp=sharing"",""พรบ!AK34"")"),0)</f>
        <v>0</v>
      </c>
      <c r="AC30" s="77">
        <f ca="1">IFERROR(__xludf.DUMMYFUNCTION("IMPORTRANGE(""https://docs.google.com/spreadsheets/d/11923uPwbBZFjjGgGUA6NLw09EwE0CqkOc4q9oUmW1yo/edit?usp=sharing"",""สุโขทัย!J110"")"),0)</f>
        <v>0</v>
      </c>
      <c r="AD30" s="137">
        <f t="shared" ca="1" si="13"/>
        <v>0</v>
      </c>
      <c r="AE30" s="77">
        <f ca="1">IFERROR(__xludf.DUMMYFUNCTION("IMPORTRANGE(""https://docs.google.com/spreadsheets/d/1C3CXT74ZlgGe6_JY_1olB1XN4rF0dxEuIIF-xsYjHgg/edit?usp=sharing"",""พรบ!AL34"")"),0)</f>
        <v>0</v>
      </c>
      <c r="AF30" s="77">
        <f ca="1">IFERROR(__xludf.DUMMYFUNCTION("IMPORTRANGE(""https://docs.google.com/spreadsheets/d/11923uPwbBZFjjGgGUA6NLw09EwE0CqkOc4q9oUmW1yo/edit?usp=sharing"",""สุโขทัย!J111"")"),0)</f>
        <v>0</v>
      </c>
      <c r="AG30" s="137">
        <f t="shared" ca="1" si="15"/>
        <v>0</v>
      </c>
      <c r="AH30" s="77">
        <f ca="1">IFERROR(__xludf.DUMMYFUNCTION("IMPORTRANGE(""https://docs.google.com/spreadsheets/d/1C3CXT74ZlgGe6_JY_1olB1XN4rF0dxEuIIF-xsYjHgg/edit?usp=sharing"",""พรบ!AM34"")"),19500)</f>
        <v>19500</v>
      </c>
      <c r="AI30" s="77">
        <f ca="1">IFERROR(__xludf.DUMMYFUNCTION("IMPORTRANGE(""https://docs.google.com/spreadsheets/d/1C3CXT74ZlgGe6_JY_1olB1XN4rF0dxEuIIF-xsYjHgg/edit?usp=sharing"",""พรบ!AN34"")"),50000)</f>
        <v>50000</v>
      </c>
      <c r="AJ30" s="77">
        <f ca="1">IFERROR(__xludf.DUMMYFUNCTION("IMPORTRANGE(""https://docs.google.com/spreadsheets/d/11923uPwbBZFjjGgGUA6NLw09EwE0CqkOc4q9oUmW1yo/edit?usp=sharing"",""สุโขทัย!J124"")"),0)</f>
        <v>0</v>
      </c>
      <c r="AK30" s="137">
        <f t="shared" ca="1" si="17"/>
        <v>0</v>
      </c>
      <c r="AL30" s="77">
        <f ca="1">IFERROR(__xludf.DUMMYFUNCTION("IMPORTRANGE(""https://docs.google.com/spreadsheets/d/11923uPwbBZFjjGgGUA6NLw09EwE0CqkOc4q9oUmW1yo/edit?usp=sharing"",""สุโขทัย!J125"")"),0)</f>
        <v>0</v>
      </c>
      <c r="AM30" s="137">
        <f t="shared" ca="1" si="18"/>
        <v>0</v>
      </c>
      <c r="AN30" s="77">
        <f ca="1">IFERROR(__xludf.DUMMYFUNCTION("IMPORTRANGE(""https://docs.google.com/spreadsheets/d/1C3CXT74ZlgGe6_JY_1olB1XN4rF0dxEuIIF-xsYjHgg/edit?usp=sharing"",""พรบ!AQ34"")"),0)</f>
        <v>0</v>
      </c>
      <c r="AO30" s="77">
        <f ca="1">IFERROR(__xludf.DUMMYFUNCTION("IMPORTRANGE(""https://docs.google.com/spreadsheets/d/11923uPwbBZFjjGgGUA6NLw09EwE0CqkOc4q9oUmW1yo/edit?usp=sharing"",""สุโขทัย!J126"")"),0)</f>
        <v>0</v>
      </c>
      <c r="AP30" s="137">
        <f t="shared" ca="1" si="20"/>
        <v>0</v>
      </c>
      <c r="AQ30" s="149">
        <f ca="1">IFERROR(__xludf.DUMMYFUNCTION("IMPORTRANGE(""https://docs.google.com/spreadsheets/d/1C3CXT74ZlgGe6_JY_1olB1XN4rF0dxEuIIF-xsYjHgg/edit?usp=sharing"",""พรบ!AR34"")"),0)</f>
        <v>0</v>
      </c>
      <c r="AR30" s="77">
        <f ca="1">IFERROR(__xludf.DUMMYFUNCTION("IMPORTRANGE(""https://docs.google.com/spreadsheets/d/1C3CXT74ZlgGe6_JY_1olB1XN4rF0dxEuIIF-xsYjHgg/edit?usp=sharing"",""พรบ!AS34"")"),0)</f>
        <v>0</v>
      </c>
      <c r="AS30" s="77">
        <f ca="1">IFERROR(__xludf.DUMMYFUNCTION("IMPORTRANGE(""https://docs.google.com/spreadsheets/d/11923uPwbBZFjjGgGUA6NLw09EwE0CqkOc4q9oUmW1yo/edit?usp=sharing"",""สุโขทัย!J138"")"),0)</f>
        <v>0</v>
      </c>
      <c r="AT30" s="137">
        <f t="shared" ca="1" si="22"/>
        <v>0</v>
      </c>
      <c r="AU30" s="77">
        <f ca="1">IFERROR(__xludf.DUMMYFUNCTION("IMPORTRANGE(""https://docs.google.com/spreadsheets/d/1C3CXT74ZlgGe6_JY_1olB1XN4rF0dxEuIIF-xsYjHgg/edit?usp=sharing"",""พรบ!AT34"")"),0)</f>
        <v>0</v>
      </c>
      <c r="AV30" s="77">
        <f ca="1">IFERROR(__xludf.DUMMYFUNCTION("IMPORTRANGE(""https://docs.google.com/spreadsheets/d/1C3CXT74ZlgGe6_JY_1olB1XN4rF0dxEuIIF-xsYjHgg/edit?usp=sharing"",""พรบ!AU34"")"),0)</f>
        <v>0</v>
      </c>
      <c r="AW30" s="77">
        <f ca="1">IFERROR(__xludf.DUMMYFUNCTION("IMPORTRANGE(""https://docs.google.com/spreadsheets/d/11923uPwbBZFjjGgGUA6NLw09EwE0CqkOc4q9oUmW1yo/edit?usp=sharing"",""สุโขทัย!J140"")"),0)</f>
        <v>0</v>
      </c>
      <c r="AX30" s="137">
        <f t="shared" ca="1" si="24"/>
        <v>0</v>
      </c>
      <c r="AY30" s="77">
        <f ca="1">IFERROR(__xludf.DUMMYFUNCTION("IMPORTRANGE(""https://docs.google.com/spreadsheets/d/11923uPwbBZFjjGgGUA6NLw09EwE0CqkOc4q9oUmW1yo/edit?usp=sharing"",""สุโขทัย!J141"")"),0)</f>
        <v>0</v>
      </c>
      <c r="AZ30" s="137">
        <f t="shared" ca="1" si="25"/>
        <v>0</v>
      </c>
      <c r="BA30" s="77">
        <f t="shared" ca="1" si="26"/>
        <v>0</v>
      </c>
      <c r="BB30" s="77">
        <f t="shared" ca="1" si="74"/>
        <v>0</v>
      </c>
      <c r="BC30" s="137">
        <f t="shared" ca="1" si="27"/>
        <v>0</v>
      </c>
    </row>
    <row r="31" spans="1:55" ht="24" customHeight="1">
      <c r="A31" s="73">
        <v>16</v>
      </c>
      <c r="B31" s="74" t="s">
        <v>55</v>
      </c>
      <c r="C31" s="75">
        <f t="shared" ca="1" si="0"/>
        <v>79000</v>
      </c>
      <c r="D31" s="76">
        <f t="shared" ca="1" si="75"/>
        <v>79000</v>
      </c>
      <c r="E31" s="77">
        <f ca="1">IFERROR(__xludf.DUMMYFUNCTION("IMPORTRANGE(""https://docs.google.com/spreadsheets/d/1C3CXT74ZlgGe6_JY_1olB1XN4rF0dxEuIIF-xsYjHgg/edit?usp=sharing"",""พรบ!AD35"")"),0)</f>
        <v>0</v>
      </c>
      <c r="F31" s="77">
        <f ca="1">IFERROR(__xludf.DUMMYFUNCTION("IMPORTRANGE(""https://docs.google.com/spreadsheets/d/1C3CXT74ZlgGe6_JY_1olB1XN4rF0dxEuIIF-xsYjHgg/edit?usp=sharing"",""พรบ!AE35"")"),79000)</f>
        <v>79000</v>
      </c>
      <c r="G31" s="77">
        <f ca="1">IFERROR(__xludf.DUMMYFUNCTION("IMPORTRANGE(""https://docs.google.com/spreadsheets/d/1Yj_ptqi66GCucihVvJfMjLAmec39IyEx_6qawtMGysU/edit?usp=sharing"",""สบก!BH35"")"),0)</f>
        <v>0</v>
      </c>
      <c r="H31" s="77">
        <f ca="1">IFERROR(__xludf.DUMMYFUNCTION("IMPORTRANGE(""https://docs.google.com/spreadsheets/d/1Yj_ptqi66GCucihVvJfMjLAmec39IyEx_6qawtMGysU/edit?usp=shBJing"",""สบก!BJ35"")"),70625)</f>
        <v>70625</v>
      </c>
      <c r="I31" s="77">
        <f t="shared" ca="1" si="3"/>
        <v>56090.6</v>
      </c>
      <c r="J31" s="137">
        <f t="shared" ca="1" si="4"/>
        <v>71.000759493670884</v>
      </c>
      <c r="K31" s="77">
        <f ca="1">IFERROR(__xludf.DUMMYFUNCTION("IMPORTRANGE(""https://docs.google.com/spreadsheets/d/1Yj_ptqi66GCucihVvJfMjLAmec39IyEx_6qawtMGysU/edit?usp=sharing"",""สบก!BK35"")"),56090.6)</f>
        <v>56090.6</v>
      </c>
      <c r="L31" s="137">
        <f t="shared" ca="1" si="5"/>
        <v>71.000759493670884</v>
      </c>
      <c r="M31" s="137">
        <f t="shared" ca="1" si="6"/>
        <v>79.420318584070799</v>
      </c>
      <c r="N31" s="137">
        <f ca="1">IFERROR(__xludf.DUMMYFUNCTION("IMPORTRANGE(""https://docs.google.com/spreadsheets/d/1Yj_ptqi66GCucihVvJfMjLAmec39IyEx_6qawtMGysU/edit?usp=sharing"",""สบก!BL35"")"),0)</f>
        <v>0</v>
      </c>
      <c r="O31" s="137">
        <f t="shared" ca="1" si="7"/>
        <v>0</v>
      </c>
      <c r="P31" s="77">
        <f ca="1">IFERROR(__xludf.DUMMYFUNCTION("IMPORTRANGE(""https://docs.google.com/spreadsheets/d/1C3CXT74ZlgGe6_JY_1olB1XN4rF0dxEuIIF-xsYjHgg/edit?usp=sharing"",""พรบ!AF35"")"),7500)</f>
        <v>7500</v>
      </c>
      <c r="Q31" s="77">
        <f ca="1">IFERROR(__xludf.DUMMYFUNCTION("IMPORTRANGE(""https://docs.google.com/spreadsheets/d/1C3CXT74ZlgGe6_JY_1olB1XN4rF0dxEuIIF-xsYjHgg/edit?usp=sharing"",""พรบ!AG35"")"),4)</f>
        <v>4</v>
      </c>
      <c r="R31" s="77">
        <f ca="1">IFERROR(__xludf.DUMMYFUNCTION("IMPORTRANGE(""https://docs.google.com/spreadsheets/d/11923uPwbBZFjjGgGUA6NLw09EwE0CqkOc4q9oUmW1yo/edit?usp=sharing"",""อุตรดิตถ์!J83"")"),2)</f>
        <v>2</v>
      </c>
      <c r="S31" s="137">
        <f t="shared" ca="1" si="9"/>
        <v>50</v>
      </c>
      <c r="T31" s="77">
        <f t="shared" ca="1" si="73"/>
        <v>102</v>
      </c>
      <c r="U31" s="77">
        <f ca="1">IFERROR(__xludf.DUMMYFUNCTION("IMPORTRANGE(""https://docs.google.com/spreadsheets/d/11923uPwbBZFjjGgGUA6NLw09EwE0CqkOc4q9oUmW1yo/edit?usp=sharing"",""อุตรดิตถ์!J85"")"),102)</f>
        <v>102</v>
      </c>
      <c r="V31" s="77">
        <f ca="1">IFERROR(__xludf.DUMMYFUNCTION("IMPORTRANGE(""https://docs.google.com/spreadsheets/d/11923uPwbBZFjjGgGUA6NLw09EwE0CqkOc4q9oUmW1yo/edit?usp=sharing"",""อุตรดิตถ์!J86"")"),0)</f>
        <v>0</v>
      </c>
      <c r="W31" s="77">
        <f ca="1">IFERROR(__xludf.DUMMYFUNCTION("IMPORTRANGE(""https://docs.google.com/spreadsheets/d/1C3CXT74ZlgGe6_JY_1olB1XN4rF0dxEuIIF-xsYjHgg/edit?usp=sharing"",""พรบ!AH35"")"),42000)</f>
        <v>42000</v>
      </c>
      <c r="X31" s="77">
        <f ca="1">IFERROR(__xludf.DUMMYFUNCTION("IMPORTRANGE(""https://docs.google.com/spreadsheets/d/1C3CXT74ZlgGe6_JY_1olB1XN4rF0dxEuIIF-xsYjHgg/edit?usp=sharing"",""พรบ!AI35"")"),3)</f>
        <v>3</v>
      </c>
      <c r="Y31" s="77">
        <f ca="1">IFERROR(__xludf.DUMMYFUNCTION("IMPORTRANGE(""https://docs.google.com/spreadsheets/d/11923uPwbBZFjjGgGUA6NLw09EwE0CqkOc4q9oUmW1yo/edit?usp=sharing"",""อุตรดิตถ์!J98"")"),3)</f>
        <v>3</v>
      </c>
      <c r="Z31" s="137">
        <f t="shared" ca="1" si="11"/>
        <v>100</v>
      </c>
      <c r="AA31" s="77">
        <f ca="1">IFERROR(__xludf.DUMMYFUNCTION("IMPORTRANGE(""https://docs.google.com/spreadsheets/d/1C3CXT74ZlgGe6_JY_1olB1XN4rF0dxEuIIF-xsYjHgg/edit?usp=sharing"",""พรบ!AJ35"")"),15000)</f>
        <v>15000</v>
      </c>
      <c r="AB31" s="77">
        <f ca="1">IFERROR(__xludf.DUMMYFUNCTION("IMPORTRANGE(""https://docs.google.com/spreadsheets/d/1C3CXT74ZlgGe6_JY_1olB1XN4rF0dxEuIIF-xsYjHgg/edit?usp=sharing"",""พรบ!AK35"")"),1)</f>
        <v>1</v>
      </c>
      <c r="AC31" s="77">
        <f ca="1">IFERROR(__xludf.DUMMYFUNCTION("IMPORTRANGE(""https://docs.google.com/spreadsheets/d/11923uPwbBZFjjGgGUA6NLw09EwE0CqkOc4q9oUmW1yo/edit?usp=sharing"",""อุตรดิตถ์!J110"")"),1)</f>
        <v>1</v>
      </c>
      <c r="AD31" s="137">
        <f t="shared" ca="1" si="13"/>
        <v>100</v>
      </c>
      <c r="AE31" s="77">
        <f ca="1">IFERROR(__xludf.DUMMYFUNCTION("IMPORTRANGE(""https://docs.google.com/spreadsheets/d/1C3CXT74ZlgGe6_JY_1olB1XN4rF0dxEuIIF-xsYjHgg/edit?usp=sharing"",""พรบ!AL35"")"),1)</f>
        <v>1</v>
      </c>
      <c r="AF31" s="77">
        <f ca="1">IFERROR(__xludf.DUMMYFUNCTION("IMPORTRANGE(""https://docs.google.com/spreadsheets/d/11923uPwbBZFjjGgGUA6NLw09EwE0CqkOc4q9oUmW1yo/edit?usp=sharing"",""อุตรดิตถ์!J111"")"),1)</f>
        <v>1</v>
      </c>
      <c r="AG31" s="137">
        <f t="shared" ca="1" si="15"/>
        <v>100</v>
      </c>
      <c r="AH31" s="77">
        <f ca="1">IFERROR(__xludf.DUMMYFUNCTION("IMPORTRANGE(""https://docs.google.com/spreadsheets/d/1C3CXT74ZlgGe6_JY_1olB1XN4rF0dxEuIIF-xsYjHgg/edit?usp=sharing"",""พรบ!AM35"")"),14500)</f>
        <v>14500</v>
      </c>
      <c r="AI31" s="77">
        <f ca="1">IFERROR(__xludf.DUMMYFUNCTION("IMPORTRANGE(""https://docs.google.com/spreadsheets/d/1C3CXT74ZlgGe6_JY_1olB1XN4rF0dxEuIIF-xsYjHgg/edit?usp=sharing"",""พรบ!AN35"")"),30000)</f>
        <v>30000</v>
      </c>
      <c r="AJ31" s="77">
        <f ca="1">IFERROR(__xludf.DUMMYFUNCTION("IMPORTRANGE(""https://docs.google.com/spreadsheets/d/11923uPwbBZFjjGgGUA6NLw09EwE0CqkOc4q9oUmW1yo/edit?usp=sharing"",""อุตรดิตถ์!J124"")"),30000)</f>
        <v>30000</v>
      </c>
      <c r="AK31" s="137">
        <f t="shared" ca="1" si="17"/>
        <v>100</v>
      </c>
      <c r="AL31" s="77">
        <f ca="1">IFERROR(__xludf.DUMMYFUNCTION("IMPORTRANGE(""https://docs.google.com/spreadsheets/d/11923uPwbBZFjjGgGUA6NLw09EwE0CqkOc4q9oUmW1yo/edit?usp=sharing"",""อุตรดิตถ์!J125"")"),0)</f>
        <v>0</v>
      </c>
      <c r="AM31" s="137">
        <f t="shared" ca="1" si="18"/>
        <v>0</v>
      </c>
      <c r="AN31" s="77">
        <f ca="1">IFERROR(__xludf.DUMMYFUNCTION("IMPORTRANGE(""https://docs.google.com/spreadsheets/d/1C3CXT74ZlgGe6_JY_1olB1XN4rF0dxEuIIF-xsYjHgg/edit?usp=sharing"",""พรบ!AQ35"")"),0)</f>
        <v>0</v>
      </c>
      <c r="AO31" s="77">
        <f ca="1">IFERROR(__xludf.DUMMYFUNCTION("IMPORTRANGE(""https://docs.google.com/spreadsheets/d/11923uPwbBZFjjGgGUA6NLw09EwE0CqkOc4q9oUmW1yo/edit?usp=sharing"",""อุตรดิตถ์!J126"")"),0)</f>
        <v>0</v>
      </c>
      <c r="AP31" s="137">
        <f t="shared" ca="1" si="20"/>
        <v>0</v>
      </c>
      <c r="AQ31" s="149">
        <f ca="1">IFERROR(__xludf.DUMMYFUNCTION("IMPORTRANGE(""https://docs.google.com/spreadsheets/d/1C3CXT74ZlgGe6_JY_1olB1XN4rF0dxEuIIF-xsYjHgg/edit?usp=sharing"",""พรบ!AR35"")"),0)</f>
        <v>0</v>
      </c>
      <c r="AR31" s="77">
        <f ca="1">IFERROR(__xludf.DUMMYFUNCTION("IMPORTRANGE(""https://docs.google.com/spreadsheets/d/1C3CXT74ZlgGe6_JY_1olB1XN4rF0dxEuIIF-xsYjHgg/edit?usp=sharing"",""พรบ!AS35"")"),0)</f>
        <v>0</v>
      </c>
      <c r="AS31" s="77">
        <f ca="1">IFERROR(__xludf.DUMMYFUNCTION("IMPORTRANGE(""https://docs.google.com/spreadsheets/d/11923uPwbBZFjjGgGUA6NLw09EwE0CqkOc4q9oUmW1yo/edit?usp=sharing"",""อุตรดิตถ์!J138"")"),0)</f>
        <v>0</v>
      </c>
      <c r="AT31" s="137">
        <f t="shared" ca="1" si="22"/>
        <v>0</v>
      </c>
      <c r="AU31" s="77">
        <f ca="1">IFERROR(__xludf.DUMMYFUNCTION("IMPORTRANGE(""https://docs.google.com/spreadsheets/d/1C3CXT74ZlgGe6_JY_1olB1XN4rF0dxEuIIF-xsYjHgg/edit?usp=sharing"",""พรบ!AT35"")"),0)</f>
        <v>0</v>
      </c>
      <c r="AV31" s="77">
        <f ca="1">IFERROR(__xludf.DUMMYFUNCTION("IMPORTRANGE(""https://docs.google.com/spreadsheets/d/1C3CXT74ZlgGe6_JY_1olB1XN4rF0dxEuIIF-xsYjHgg/edit?usp=sharing"",""พรบ!AU35"")"),0)</f>
        <v>0</v>
      </c>
      <c r="AW31" s="77">
        <f ca="1">IFERROR(__xludf.DUMMYFUNCTION("IMPORTRANGE(""https://docs.google.com/spreadsheets/d/11923uPwbBZFjjGgGUA6NLw09EwE0CqkOc4q9oUmW1yo/edit?usp=sharing"",""อุตรดิตถ์!J140"")"),0)</f>
        <v>0</v>
      </c>
      <c r="AX31" s="137">
        <f t="shared" ca="1" si="24"/>
        <v>0</v>
      </c>
      <c r="AY31" s="77">
        <f ca="1">IFERROR(__xludf.DUMMYFUNCTION("IMPORTRANGE(""https://docs.google.com/spreadsheets/d/11923uPwbBZFjjGgGUA6NLw09EwE0CqkOc4q9oUmW1yo/edit?usp=sharing"",""อุตรดิตถ์!J141"")"),0)</f>
        <v>0</v>
      </c>
      <c r="AZ31" s="137">
        <f t="shared" ca="1" si="25"/>
        <v>0</v>
      </c>
      <c r="BA31" s="77">
        <f t="shared" ca="1" si="26"/>
        <v>0</v>
      </c>
      <c r="BB31" s="77">
        <f t="shared" ca="1" si="74"/>
        <v>0</v>
      </c>
      <c r="BC31" s="137">
        <f t="shared" ca="1" si="27"/>
        <v>0</v>
      </c>
    </row>
    <row r="32" spans="1:55" ht="24" customHeight="1">
      <c r="A32" s="84">
        <v>17</v>
      </c>
      <c r="B32" s="85" t="s">
        <v>56</v>
      </c>
      <c r="C32" s="86">
        <f t="shared" ca="1" si="0"/>
        <v>83500</v>
      </c>
      <c r="D32" s="87">
        <f t="shared" ca="1" si="75"/>
        <v>83500</v>
      </c>
      <c r="E32" s="88">
        <f ca="1">IFERROR(__xludf.DUMMYFUNCTION("IMPORTRANGE(""https://docs.google.com/spreadsheets/d/1C3CXT74ZlgGe6_JY_1olB1XN4rF0dxEuIIF-xsYjHgg/edit?usp=sharing"",""พรบ!AD36"")"),0)</f>
        <v>0</v>
      </c>
      <c r="F32" s="77">
        <f ca="1">IFERROR(__xludf.DUMMYFUNCTION("IMPORTRANGE(""https://docs.google.com/spreadsheets/d/1C3CXT74ZlgGe6_JY_1olB1XN4rF0dxEuIIF-xsYjHgg/edit?usp=sharing"",""พรบ!AE36"")"),83500)</f>
        <v>83500</v>
      </c>
      <c r="G32" s="88">
        <f ca="1">IFERROR(__xludf.DUMMYFUNCTION("IMPORTRANGE(""https://docs.google.com/spreadsheets/d/1Yj_ptqi66GCucihVvJfMjLAmec39IyEx_6qawtMGysU/edit?usp=sharing"",""สบก!BH36"")"),0)</f>
        <v>0</v>
      </c>
      <c r="H32" s="88">
        <f ca="1">IFERROR(__xludf.DUMMYFUNCTION("IMPORTRANGE(""https://docs.google.com/spreadsheets/d/1Yj_ptqi66GCucihVvJfMjLAmec39IyEx_6qawtMGysU/edit?usp=shBJing"",""สบก!BJ36"")"),55625)</f>
        <v>55625</v>
      </c>
      <c r="I32" s="88">
        <f t="shared" ca="1" si="3"/>
        <v>47290</v>
      </c>
      <c r="J32" s="138">
        <f t="shared" ca="1" si="4"/>
        <v>56.634730538922156</v>
      </c>
      <c r="K32" s="88">
        <f ca="1">IFERROR(__xludf.DUMMYFUNCTION("IMPORTRANGE(""https://docs.google.com/spreadsheets/d/1Yj_ptqi66GCucihVvJfMjLAmec39IyEx_6qawtMGysU/edit?usp=sharing"",""สบก!BK36"")"),47290)</f>
        <v>47290</v>
      </c>
      <c r="L32" s="138">
        <f t="shared" ca="1" si="5"/>
        <v>56.634730538922156</v>
      </c>
      <c r="M32" s="138">
        <f t="shared" ca="1" si="6"/>
        <v>85.015730337078651</v>
      </c>
      <c r="N32" s="138">
        <f ca="1">IFERROR(__xludf.DUMMYFUNCTION("IMPORTRANGE(""https://docs.google.com/spreadsheets/d/1Yj_ptqi66GCucihVvJfMjLAmec39IyEx_6qawtMGysU/edit?usp=sharing"",""สบก!BL36"")"),0)</f>
        <v>0</v>
      </c>
      <c r="O32" s="138">
        <f t="shared" ca="1" si="7"/>
        <v>0</v>
      </c>
      <c r="P32" s="88">
        <f ca="1">IFERROR(__xludf.DUMMYFUNCTION("IMPORTRANGE(""https://docs.google.com/spreadsheets/d/1C3CXT74ZlgGe6_JY_1olB1XN4rF0dxEuIIF-xsYjHgg/edit?usp=sharing"",""พรบ!AF36"")"),7500)</f>
        <v>7500</v>
      </c>
      <c r="Q32" s="88">
        <f ca="1">IFERROR(__xludf.DUMMYFUNCTION("IMPORTRANGE(""https://docs.google.com/spreadsheets/d/1C3CXT74ZlgGe6_JY_1olB1XN4rF0dxEuIIF-xsYjHgg/edit?usp=sharing"",""พรบ!AG36"")"),4)</f>
        <v>4</v>
      </c>
      <c r="R32" s="77">
        <f ca="1">IFERROR(__xludf.DUMMYFUNCTION("IMPORTRANGE(""https://docs.google.com/spreadsheets/d/11923uPwbBZFjjGgGUA6NLw09EwE0CqkOc4q9oUmW1yo/edit?usp=sharing"",""อุทัยธานี!J83"")"),2)</f>
        <v>2</v>
      </c>
      <c r="S32" s="138">
        <f t="shared" ca="1" si="9"/>
        <v>50</v>
      </c>
      <c r="T32" s="88">
        <f t="shared" ca="1" si="73"/>
        <v>10</v>
      </c>
      <c r="U32" s="88">
        <f ca="1">IFERROR(__xludf.DUMMYFUNCTION("IMPORTRANGE(""https://docs.google.com/spreadsheets/d/11923uPwbBZFjjGgGUA6NLw09EwE0CqkOc4q9oUmW1yo/edit?usp=sharing"",""อุทัยธานี!J85"")"),10)</f>
        <v>10</v>
      </c>
      <c r="V32" s="88">
        <f ca="1">IFERROR(__xludf.DUMMYFUNCTION("IMPORTRANGE(""https://docs.google.com/spreadsheets/d/11923uPwbBZFjjGgGUA6NLw09EwE0CqkOc4q9oUmW1yo/edit?usp=sharing"",""อุทัยธานี!J86"")"),0)</f>
        <v>0</v>
      </c>
      <c r="W32" s="88">
        <f ca="1">IFERROR(__xludf.DUMMYFUNCTION("IMPORTRANGE(""https://docs.google.com/spreadsheets/d/1C3CXT74ZlgGe6_JY_1olB1XN4rF0dxEuIIF-xsYjHgg/edit?usp=sharing"",""พรบ!AH36"")"),42000)</f>
        <v>42000</v>
      </c>
      <c r="X32" s="88">
        <f ca="1">IFERROR(__xludf.DUMMYFUNCTION("IMPORTRANGE(""https://docs.google.com/spreadsheets/d/1C3CXT74ZlgGe6_JY_1olB1XN4rF0dxEuIIF-xsYjHgg/edit?usp=sharing"",""พรบ!AI36"")"),3)</f>
        <v>3</v>
      </c>
      <c r="Y32" s="77">
        <f ca="1">IFERROR(__xludf.DUMMYFUNCTION("IMPORTRANGE(""https://docs.google.com/spreadsheets/d/11923uPwbBZFjjGgGUA6NLw09EwE0CqkOc4q9oUmW1yo/edit?usp=sharing"",""อุทัยธานี!J98"")"),3)</f>
        <v>3</v>
      </c>
      <c r="Z32" s="138">
        <f t="shared" ca="1" si="11"/>
        <v>100</v>
      </c>
      <c r="AA32" s="88">
        <f ca="1">IFERROR(__xludf.DUMMYFUNCTION("IMPORTRANGE(""https://docs.google.com/spreadsheets/d/1C3CXT74ZlgGe6_JY_1olB1XN4rF0dxEuIIF-xsYjHgg/edit?usp=sharing"",""พรบ!AJ36"")"),0)</f>
        <v>0</v>
      </c>
      <c r="AB32" s="88">
        <f ca="1">IFERROR(__xludf.DUMMYFUNCTION("IMPORTRANGE(""https://docs.google.com/spreadsheets/d/1C3CXT74ZlgGe6_JY_1olB1XN4rF0dxEuIIF-xsYjHgg/edit?usp=sharing"",""พรบ!AK36"")"),0)</f>
        <v>0</v>
      </c>
      <c r="AC32" s="77">
        <f ca="1">IFERROR(__xludf.DUMMYFUNCTION("IMPORTRANGE(""https://docs.google.com/spreadsheets/d/11923uPwbBZFjjGgGUA6NLw09EwE0CqkOc4q9oUmW1yo/edit?usp=sharing"",""อุทัยธานี!J110"")"),0)</f>
        <v>0</v>
      </c>
      <c r="AD32" s="138">
        <f t="shared" ca="1" si="13"/>
        <v>0</v>
      </c>
      <c r="AE32" s="88">
        <f ca="1">IFERROR(__xludf.DUMMYFUNCTION("IMPORTRANGE(""https://docs.google.com/spreadsheets/d/1C3CXT74ZlgGe6_JY_1olB1XN4rF0dxEuIIF-xsYjHgg/edit?usp=sharing"",""พรบ!AL36"")"),0)</f>
        <v>0</v>
      </c>
      <c r="AF32" s="77">
        <f ca="1">IFERROR(__xludf.DUMMYFUNCTION("IMPORTRANGE(""https://docs.google.com/spreadsheets/d/11923uPwbBZFjjGgGUA6NLw09EwE0CqkOc4q9oUmW1yo/edit?usp=sharing"",""อุทัยธานี!J111"")"),0)</f>
        <v>0</v>
      </c>
      <c r="AG32" s="138">
        <f t="shared" ca="1" si="15"/>
        <v>0</v>
      </c>
      <c r="AH32" s="88">
        <f ca="1">IFERROR(__xludf.DUMMYFUNCTION("IMPORTRANGE(""https://docs.google.com/spreadsheets/d/1C3CXT74ZlgGe6_JY_1olB1XN4rF0dxEuIIF-xsYjHgg/edit?usp=sharing"",""พรบ!AM36"")"),34000)</f>
        <v>34000</v>
      </c>
      <c r="AI32" s="88">
        <f ca="1">IFERROR(__xludf.DUMMYFUNCTION("IMPORTRANGE(""https://docs.google.com/spreadsheets/d/1C3CXT74ZlgGe6_JY_1olB1XN4rF0dxEuIIF-xsYjHgg/edit?usp=sharing"",""พรบ!AN36"")"),100000)</f>
        <v>100000</v>
      </c>
      <c r="AJ32" s="88">
        <f ca="1">IFERROR(__xludf.DUMMYFUNCTION("IMPORTRANGE(""https://docs.google.com/spreadsheets/d/11923uPwbBZFjjGgGUA6NLw09EwE0CqkOc4q9oUmW1yo/edit?usp=sharing"",""อุทัยธานี!J124"")"),0)</f>
        <v>0</v>
      </c>
      <c r="AK32" s="138">
        <f t="shared" ca="1" si="17"/>
        <v>0</v>
      </c>
      <c r="AL32" s="88">
        <f ca="1">IFERROR(__xludf.DUMMYFUNCTION("IMPORTRANGE(""https://docs.google.com/spreadsheets/d/11923uPwbBZFjjGgGUA6NLw09EwE0CqkOc4q9oUmW1yo/edit?usp=sharing"",""อุทัยธานี!J125"")"),0)</f>
        <v>0</v>
      </c>
      <c r="AM32" s="138">
        <f t="shared" ca="1" si="18"/>
        <v>0</v>
      </c>
      <c r="AN32" s="88">
        <f ca="1">IFERROR(__xludf.DUMMYFUNCTION("IMPORTRANGE(""https://docs.google.com/spreadsheets/d/1C3CXT74ZlgGe6_JY_1olB1XN4rF0dxEuIIF-xsYjHgg/edit?usp=sharing"",""พรบ!AQ36"")"),0)</f>
        <v>0</v>
      </c>
      <c r="AO32" s="88">
        <f ca="1">IFERROR(__xludf.DUMMYFUNCTION("IMPORTRANGE(""https://docs.google.com/spreadsheets/d/11923uPwbBZFjjGgGUA6NLw09EwE0CqkOc4q9oUmW1yo/edit?usp=sharing"",""อุทัยธานี!J126"")"),0)</f>
        <v>0</v>
      </c>
      <c r="AP32" s="138">
        <f t="shared" ca="1" si="20"/>
        <v>0</v>
      </c>
      <c r="AQ32" s="159">
        <f ca="1">IFERROR(__xludf.DUMMYFUNCTION("IMPORTRANGE(""https://docs.google.com/spreadsheets/d/1C3CXT74ZlgGe6_JY_1olB1XN4rF0dxEuIIF-xsYjHgg/edit?usp=sharing"",""พรบ!AR36"")"),0)</f>
        <v>0</v>
      </c>
      <c r="AR32" s="88">
        <f ca="1">IFERROR(__xludf.DUMMYFUNCTION("IMPORTRANGE(""https://docs.google.com/spreadsheets/d/1C3CXT74ZlgGe6_JY_1olB1XN4rF0dxEuIIF-xsYjHgg/edit?usp=sharing"",""พรบ!AS36"")"),0)</f>
        <v>0</v>
      </c>
      <c r="AS32" s="88">
        <f ca="1">IFERROR(__xludf.DUMMYFUNCTION("IMPORTRANGE(""https://docs.google.com/spreadsheets/d/11923uPwbBZFjjGgGUA6NLw09EwE0CqkOc4q9oUmW1yo/edit?usp=sharing"",""อุทัยธานี!J138"")"),0)</f>
        <v>0</v>
      </c>
      <c r="AT32" s="138">
        <f t="shared" ca="1" si="22"/>
        <v>0</v>
      </c>
      <c r="AU32" s="88">
        <f ca="1">IFERROR(__xludf.DUMMYFUNCTION("IMPORTRANGE(""https://docs.google.com/spreadsheets/d/1C3CXT74ZlgGe6_JY_1olB1XN4rF0dxEuIIF-xsYjHgg/edit?usp=sharing"",""พรบ!AT36"")"),0)</f>
        <v>0</v>
      </c>
      <c r="AV32" s="88">
        <f ca="1">IFERROR(__xludf.DUMMYFUNCTION("IMPORTRANGE(""https://docs.google.com/spreadsheets/d/1C3CXT74ZlgGe6_JY_1olB1XN4rF0dxEuIIF-xsYjHgg/edit?usp=sharing"",""พรบ!AU36"")"),0)</f>
        <v>0</v>
      </c>
      <c r="AW32" s="88">
        <f ca="1">IFERROR(__xludf.DUMMYFUNCTION("IMPORTRANGE(""https://docs.google.com/spreadsheets/d/11923uPwbBZFjjGgGUA6NLw09EwE0CqkOc4q9oUmW1yo/edit?usp=sharing"",""อุทัยธานี!J140"")"),0)</f>
        <v>0</v>
      </c>
      <c r="AX32" s="138">
        <f t="shared" ca="1" si="24"/>
        <v>0</v>
      </c>
      <c r="AY32" s="88">
        <f ca="1">IFERROR(__xludf.DUMMYFUNCTION("IMPORTRANGE(""https://docs.google.com/spreadsheets/d/11923uPwbBZFjjGgGUA6NLw09EwE0CqkOc4q9oUmW1yo/edit?usp=sharing"",""อุทัยธานี!J141"")"),0)</f>
        <v>0</v>
      </c>
      <c r="AZ32" s="138">
        <f t="shared" ca="1" si="25"/>
        <v>0</v>
      </c>
      <c r="BA32" s="88">
        <f t="shared" ca="1" si="26"/>
        <v>0</v>
      </c>
      <c r="BB32" s="88">
        <f t="shared" ca="1" si="74"/>
        <v>0</v>
      </c>
      <c r="BC32" s="138">
        <f t="shared" ca="1" si="27"/>
        <v>0</v>
      </c>
    </row>
    <row r="33" spans="1:55" ht="21" customHeight="1">
      <c r="A33" s="677" t="s">
        <v>57</v>
      </c>
      <c r="B33" s="678"/>
      <c r="C33" s="94">
        <f t="shared" ca="1" si="0"/>
        <v>4440450</v>
      </c>
      <c r="D33" s="95">
        <f t="shared" ref="D33:H33" ca="1" si="76">SUM(D34:D53)</f>
        <v>4440450</v>
      </c>
      <c r="E33" s="95">
        <f t="shared" ca="1" si="76"/>
        <v>1888800</v>
      </c>
      <c r="F33" s="95">
        <f t="shared" ca="1" si="76"/>
        <v>2551650</v>
      </c>
      <c r="G33" s="95">
        <f t="shared" ca="1" si="76"/>
        <v>0</v>
      </c>
      <c r="H33" s="95">
        <f t="shared" ca="1" si="76"/>
        <v>3707050</v>
      </c>
      <c r="I33" s="95">
        <f t="shared" ca="1" si="3"/>
        <v>2506933.79</v>
      </c>
      <c r="J33" s="139">
        <f t="shared" ca="1" si="4"/>
        <v>56.456750779763311</v>
      </c>
      <c r="K33" s="95">
        <f ca="1">SUM(K34:K53)</f>
        <v>2506933.79</v>
      </c>
      <c r="L33" s="139">
        <f t="shared" ca="1" si="5"/>
        <v>56.456750779763311</v>
      </c>
      <c r="M33" s="139">
        <f t="shared" ca="1" si="6"/>
        <v>67.626112137683606</v>
      </c>
      <c r="N33" s="139">
        <f ca="1">SUM(N34:N53)</f>
        <v>0</v>
      </c>
      <c r="O33" s="139">
        <f t="shared" ca="1" si="7"/>
        <v>0</v>
      </c>
      <c r="P33" s="95">
        <f t="shared" ref="P33:R33" ca="1" si="77">SUM(P34:P53)</f>
        <v>150000</v>
      </c>
      <c r="Q33" s="95">
        <f t="shared" ca="1" si="77"/>
        <v>80</v>
      </c>
      <c r="R33" s="95">
        <f t="shared" ca="1" si="77"/>
        <v>35</v>
      </c>
      <c r="S33" s="139">
        <f t="shared" ca="1" si="9"/>
        <v>43.75</v>
      </c>
      <c r="T33" s="95">
        <f t="shared" ref="T33:Y33" ca="1" si="78">SUM(T34:T53)</f>
        <v>888</v>
      </c>
      <c r="U33" s="95">
        <f t="shared" ca="1" si="78"/>
        <v>888</v>
      </c>
      <c r="V33" s="95">
        <f t="shared" ca="1" si="78"/>
        <v>0</v>
      </c>
      <c r="W33" s="95">
        <f t="shared" ca="1" si="78"/>
        <v>924000</v>
      </c>
      <c r="X33" s="95">
        <f t="shared" ca="1" si="78"/>
        <v>66</v>
      </c>
      <c r="Y33" s="95">
        <f t="shared" ca="1" si="78"/>
        <v>58</v>
      </c>
      <c r="Z33" s="139">
        <f t="shared" ca="1" si="11"/>
        <v>87.878787878787875</v>
      </c>
      <c r="AA33" s="95">
        <f t="shared" ref="AA33:AC33" ca="1" si="79">SUM(AA34:AA53)</f>
        <v>405000</v>
      </c>
      <c r="AB33" s="95">
        <f t="shared" ca="1" si="79"/>
        <v>27</v>
      </c>
      <c r="AC33" s="95">
        <f t="shared" ca="1" si="79"/>
        <v>4</v>
      </c>
      <c r="AD33" s="139">
        <f t="shared" ca="1" si="13"/>
        <v>14.814814814814815</v>
      </c>
      <c r="AE33" s="95">
        <f t="shared" ref="AE33:AF33" ca="1" si="80">SUM(AE34:AE53)</f>
        <v>27</v>
      </c>
      <c r="AF33" s="95">
        <f t="shared" ca="1" si="80"/>
        <v>26</v>
      </c>
      <c r="AG33" s="139">
        <f t="shared" ca="1" si="15"/>
        <v>96.296296296296291</v>
      </c>
      <c r="AH33" s="95">
        <f t="shared" ref="AH33:AJ33" ca="1" si="81">SUM(AH34:AH53)</f>
        <v>438900</v>
      </c>
      <c r="AI33" s="95">
        <f t="shared" ca="1" si="81"/>
        <v>943800</v>
      </c>
      <c r="AJ33" s="95">
        <f t="shared" ca="1" si="81"/>
        <v>316800</v>
      </c>
      <c r="AK33" s="139">
        <f t="shared" ca="1" si="17"/>
        <v>33.566433566433567</v>
      </c>
      <c r="AL33" s="95">
        <f ca="1">SUM(AL34:AL53)</f>
        <v>0</v>
      </c>
      <c r="AM33" s="139">
        <f t="shared" ca="1" si="18"/>
        <v>0</v>
      </c>
      <c r="AN33" s="95">
        <f t="shared" ref="AN33:AO33" ca="1" si="82">SUM(AN34:AN53)</f>
        <v>60</v>
      </c>
      <c r="AO33" s="95">
        <f t="shared" ca="1" si="82"/>
        <v>60</v>
      </c>
      <c r="AP33" s="139">
        <f t="shared" ca="1" si="20"/>
        <v>100</v>
      </c>
      <c r="AQ33" s="95">
        <f t="shared" ref="AQ33:AS33" ca="1" si="83">SUM(AQ34:AQ53)</f>
        <v>633750</v>
      </c>
      <c r="AR33" s="95">
        <f t="shared" ca="1" si="83"/>
        <v>100</v>
      </c>
      <c r="AS33" s="95">
        <f t="shared" ca="1" si="83"/>
        <v>100</v>
      </c>
      <c r="AT33" s="139">
        <f t="shared" ca="1" si="22"/>
        <v>100</v>
      </c>
      <c r="AU33" s="95">
        <f t="shared" ref="AU33:AW33" ca="1" si="84">SUM(AU34:AU53)</f>
        <v>50</v>
      </c>
      <c r="AV33" s="95">
        <f t="shared" ca="1" si="84"/>
        <v>16</v>
      </c>
      <c r="AW33" s="95">
        <f t="shared" ca="1" si="84"/>
        <v>0</v>
      </c>
      <c r="AX33" s="139">
        <f t="shared" ca="1" si="24"/>
        <v>0</v>
      </c>
      <c r="AY33" s="95">
        <f ca="1">SUM(AY34:AY53)</f>
        <v>0</v>
      </c>
      <c r="AZ33" s="139">
        <f t="shared" ca="1" si="25"/>
        <v>0</v>
      </c>
      <c r="BA33" s="95">
        <f t="shared" ca="1" si="26"/>
        <v>160</v>
      </c>
      <c r="BB33" s="95">
        <f ca="1">SUM(BB34:BB53)</f>
        <v>160</v>
      </c>
      <c r="BC33" s="139">
        <f t="shared" ca="1" si="27"/>
        <v>100</v>
      </c>
    </row>
    <row r="34" spans="1:55" ht="21" customHeight="1">
      <c r="A34" s="63">
        <v>1</v>
      </c>
      <c r="B34" s="64" t="s">
        <v>58</v>
      </c>
      <c r="C34" s="65">
        <f t="shared" ca="1" si="0"/>
        <v>83500</v>
      </c>
      <c r="D34" s="66">
        <f t="shared" ref="D34:D53" ca="1" si="85">+E34+F34</f>
        <v>83500</v>
      </c>
      <c r="E34" s="67">
        <f ca="1">IFERROR(__xludf.DUMMYFUNCTION("IMPORTRANGE(""https://docs.google.com/spreadsheets/d/1C3CXT74ZlgGe6_JY_1olB1XN4rF0dxEuIIF-xsYjHgg/edit?usp=sharing"",""พรบ!AD38"")"),0)</f>
        <v>0</v>
      </c>
      <c r="F34" s="67">
        <f ca="1">IFERROR(__xludf.DUMMYFUNCTION("IMPORTRANGE(""https://docs.google.com/spreadsheets/d/1C3CXT74ZlgGe6_JY_1olB1XN4rF0dxEuIIF-xsYjHgg/edit?usp=sharing"",""พรบ!AE38"")"),83500)</f>
        <v>83500</v>
      </c>
      <c r="G34" s="67">
        <f ca="1">IFERROR(__xludf.DUMMYFUNCTION("IMPORTRANGE(""https://docs.google.com/spreadsheets/d/1Yj_ptqi66GCucihVvJfMjLAmec39IyEx_6qawtMGysU/edit?usp=sharing"",""สบก!BH38"")"),0)</f>
        <v>0</v>
      </c>
      <c r="H34" s="67">
        <f ca="1">IFERROR(__xludf.DUMMYFUNCTION("IMPORTRANGE(""https://docs.google.com/spreadsheets/d/1Yj_ptqi66GCucihVvJfMjLAmec39IyEx_6qawtMGysU/edit?usp=shBJing"",""สบก!BJ38"")"),55625)</f>
        <v>55625</v>
      </c>
      <c r="I34" s="67">
        <f t="shared" ca="1" si="3"/>
        <v>46555</v>
      </c>
      <c r="J34" s="136">
        <f t="shared" ca="1" si="4"/>
        <v>55.754491017964071</v>
      </c>
      <c r="K34" s="67">
        <f ca="1">IFERROR(__xludf.DUMMYFUNCTION("IMPORTRANGE(""https://docs.google.com/spreadsheets/d/1Yj_ptqi66GCucihVvJfMjLAmec39IyEx_6qawtMGysU/edit?usp=sharing"",""สบก!BK38"")"),46555)</f>
        <v>46555</v>
      </c>
      <c r="L34" s="136">
        <f t="shared" ca="1" si="5"/>
        <v>55.754491017964071</v>
      </c>
      <c r="M34" s="136">
        <f t="shared" ca="1" si="6"/>
        <v>83.694382022471913</v>
      </c>
      <c r="N34" s="136">
        <f ca="1">IFERROR(__xludf.DUMMYFUNCTION("IMPORTRANGE(""https://docs.google.com/spreadsheets/d/1Yj_ptqi66GCucihVvJfMjLAmec39IyEx_6qawtMGysU/edit?usp=sharing"",""สบก!BL38"")"),0)</f>
        <v>0</v>
      </c>
      <c r="O34" s="136">
        <f t="shared" ca="1" si="7"/>
        <v>0</v>
      </c>
      <c r="P34" s="67">
        <f ca="1">IFERROR(__xludf.DUMMYFUNCTION("IMPORTRANGE(""https://docs.google.com/spreadsheets/d/1C3CXT74ZlgGe6_JY_1olB1XN4rF0dxEuIIF-xsYjHgg/edit?usp=sharing"",""พรบ!AF38"")"),7500)</f>
        <v>7500</v>
      </c>
      <c r="Q34" s="67">
        <f ca="1">IFERROR(__xludf.DUMMYFUNCTION("IMPORTRANGE(""https://docs.google.com/spreadsheets/d/1C3CXT74ZlgGe6_JY_1olB1XN4rF0dxEuIIF-xsYjHgg/edit?usp=sharing"",""พรบ!AG38"")"),4)</f>
        <v>4</v>
      </c>
      <c r="R34" s="67">
        <f ca="1">IFERROR(__xludf.DUMMYFUNCTION("IMPORTRANGE(""https://docs.google.com/spreadsheets/d/1XL5vhW3sbDhbH9Cz0tuDiY8C3ctxq1tqvaCgkFb8cCA/edit?usp=sharing"",""กาฬสินธุ์!J83"")"),0)</f>
        <v>0</v>
      </c>
      <c r="S34" s="136">
        <f t="shared" ca="1" si="9"/>
        <v>0</v>
      </c>
      <c r="T34" s="67">
        <f t="shared" ref="T34:T53" ca="1" si="86">U34+V34</f>
        <v>0</v>
      </c>
      <c r="U34" s="67">
        <f ca="1">IFERROR(__xludf.DUMMYFUNCTION("IMPORTRANGE(""https://docs.google.com/spreadsheets/d/1XL5vhW3sbDhbH9Cz0tuDiY8C3ctxq1tqvaCgkFb8cCA/edit?usp=sharing"",""กาฬสินธุ์!J85"")"),0)</f>
        <v>0</v>
      </c>
      <c r="V34" s="67">
        <f ca="1">IFERROR(__xludf.DUMMYFUNCTION("IMPORTRANGE(""https://docs.google.com/spreadsheets/d/1XL5vhW3sbDhbH9Cz0tuDiY8C3ctxq1tqvaCgkFb8cCA/edit?usp=sharing"",""กาฬสินธุ์!J86"")"),0)</f>
        <v>0</v>
      </c>
      <c r="W34" s="67">
        <f ca="1">IFERROR(__xludf.DUMMYFUNCTION("IMPORTRANGE(""https://docs.google.com/spreadsheets/d/1C3CXT74ZlgGe6_JY_1olB1XN4rF0dxEuIIF-xsYjHgg/edit?usp=sharing"",""พรบ!AH38"")"),42000)</f>
        <v>42000</v>
      </c>
      <c r="X34" s="67">
        <f ca="1">IFERROR(__xludf.DUMMYFUNCTION("IMPORTRANGE(""https://docs.google.com/spreadsheets/d/1C3CXT74ZlgGe6_JY_1olB1XN4rF0dxEuIIF-xsYjHgg/edit?usp=sharing"",""พรบ!AI38"")"),3)</f>
        <v>3</v>
      </c>
      <c r="Y34" s="67">
        <f ca="1">IFERROR(__xludf.DUMMYFUNCTION("IMPORTRANGE(""https://docs.google.com/spreadsheets/d/1XL5vhW3sbDhbH9Cz0tuDiY8C3ctxq1tqvaCgkFb8cCA/edit?usp=sharing"",""กาฬสินธุ์!J98"")"),3)</f>
        <v>3</v>
      </c>
      <c r="Z34" s="136">
        <f t="shared" ca="1" si="11"/>
        <v>100</v>
      </c>
      <c r="AA34" s="67">
        <f ca="1">IFERROR(__xludf.DUMMYFUNCTION("IMPORTRANGE(""https://docs.google.com/spreadsheets/d/1C3CXT74ZlgGe6_JY_1olB1XN4rF0dxEuIIF-xsYjHgg/edit?usp=sharing"",""พรบ!AJ38"")"),0)</f>
        <v>0</v>
      </c>
      <c r="AB34" s="67">
        <f ca="1">IFERROR(__xludf.DUMMYFUNCTION("IMPORTRANGE(""https://docs.google.com/spreadsheets/d/1C3CXT74ZlgGe6_JY_1olB1XN4rF0dxEuIIF-xsYjHgg/edit?usp=sharing"",""พรบ!AK38"")"),0)</f>
        <v>0</v>
      </c>
      <c r="AC34" s="67">
        <f ca="1">IFERROR(__xludf.DUMMYFUNCTION("IMPORTRANGE(""https://docs.google.com/spreadsheets/d/1XL5vhW3sbDhbH9Cz0tuDiY8C3ctxq1tqvaCgkFb8cCA/edit?usp=sharing"",""กาฬสินธุ์!J110"")"),0)</f>
        <v>0</v>
      </c>
      <c r="AD34" s="136">
        <f t="shared" ca="1" si="13"/>
        <v>0</v>
      </c>
      <c r="AE34" s="67">
        <f ca="1">IFERROR(__xludf.DUMMYFUNCTION("IMPORTRANGE(""https://docs.google.com/spreadsheets/d/1C3CXT74ZlgGe6_JY_1olB1XN4rF0dxEuIIF-xsYjHgg/edit?usp=sharing"",""พรบ!AL38"")"),0)</f>
        <v>0</v>
      </c>
      <c r="AF34" s="67">
        <f ca="1">IFERROR(__xludf.DUMMYFUNCTION("IMPORTRANGE(""https://docs.google.com/spreadsheets/d/1XL5vhW3sbDhbH9Cz0tuDiY8C3ctxq1tqvaCgkFb8cCA/edit?usp=sharing"",""กาฬสินธุ์!J111"")"),0)</f>
        <v>0</v>
      </c>
      <c r="AG34" s="136">
        <f t="shared" ca="1" si="15"/>
        <v>0</v>
      </c>
      <c r="AH34" s="67">
        <f ca="1">IFERROR(__xludf.DUMMYFUNCTION("IMPORTRANGE(""https://docs.google.com/spreadsheets/d/1C3CXT74ZlgGe6_JY_1olB1XN4rF0dxEuIIF-xsYjHgg/edit?usp=sharing"",""พรบ!AM38"")"),34000)</f>
        <v>34000</v>
      </c>
      <c r="AI34" s="67">
        <f ca="1">IFERROR(__xludf.DUMMYFUNCTION("IMPORTRANGE(""https://docs.google.com/spreadsheets/d/1C3CXT74ZlgGe6_JY_1olB1XN4rF0dxEuIIF-xsYjHgg/edit?usp=sharing"",""พรบ!AN38"")"),100000)</f>
        <v>100000</v>
      </c>
      <c r="AJ34" s="67">
        <f ca="1">IFERROR(__xludf.DUMMYFUNCTION("IMPORTRANGE(""https://docs.google.com/spreadsheets/d/1XL5vhW3sbDhbH9Cz0tuDiY8C3ctxq1tqvaCgkFb8cCA/edit?usp=sharing"",""กาฬสินธุ์!J124"")"),100000)</f>
        <v>100000</v>
      </c>
      <c r="AK34" s="136">
        <f t="shared" ca="1" si="17"/>
        <v>100</v>
      </c>
      <c r="AL34" s="67">
        <f ca="1">IFERROR(__xludf.DUMMYFUNCTION("IMPORTRANGE(""https://docs.google.com/spreadsheets/d/1XL5vhW3sbDhbH9Cz0tuDiY8C3ctxq1tqvaCgkFb8cCA/edit?usp=sharing"",""กาฬสินธุ์!J125"")"),0)</f>
        <v>0</v>
      </c>
      <c r="AM34" s="136">
        <f t="shared" ca="1" si="18"/>
        <v>0</v>
      </c>
      <c r="AN34" s="67">
        <f ca="1">IFERROR(__xludf.DUMMYFUNCTION("IMPORTRANGE(""https://docs.google.com/spreadsheets/d/1C3CXT74ZlgGe6_JY_1olB1XN4rF0dxEuIIF-xsYjHgg/edit?usp=sharing"",""พรบ!AQ38"")"),0)</f>
        <v>0</v>
      </c>
      <c r="AO34" s="67">
        <f ca="1">IFERROR(__xludf.DUMMYFUNCTION("IMPORTRANGE(""https://docs.google.com/spreadsheets/d/1XL5vhW3sbDhbH9Cz0tuDiY8C3ctxq1tqvaCgkFb8cCA/edit?usp=sharing"",""กาฬสินธุ์!J126"")"),0)</f>
        <v>0</v>
      </c>
      <c r="AP34" s="136">
        <f t="shared" ca="1" si="20"/>
        <v>0</v>
      </c>
      <c r="AQ34" s="148">
        <f ca="1">IFERROR(__xludf.DUMMYFUNCTION("IMPORTRANGE(""https://docs.google.com/spreadsheets/d/1C3CXT74ZlgGe6_JY_1olB1XN4rF0dxEuIIF-xsYjHgg/edit?usp=sharing"",""พรบ!AR38"")"),0)</f>
        <v>0</v>
      </c>
      <c r="AR34" s="67">
        <f ca="1">IFERROR(__xludf.DUMMYFUNCTION("IMPORTRANGE(""https://docs.google.com/spreadsheets/d/1C3CXT74ZlgGe6_JY_1olB1XN4rF0dxEuIIF-xsYjHgg/edit?usp=sharing"",""พรบ!AS38"")"),0)</f>
        <v>0</v>
      </c>
      <c r="AS34" s="67">
        <f ca="1">IFERROR(__xludf.DUMMYFUNCTION("IMPORTRANGE(""https://docs.google.com/spreadsheets/d/1XL5vhW3sbDhbH9Cz0tuDiY8C3ctxq1tqvaCgkFb8cCA/edit?usp=sharing"",""กาฬสินธุ์!J138"")"),0)</f>
        <v>0</v>
      </c>
      <c r="AT34" s="136">
        <f t="shared" ca="1" si="22"/>
        <v>0</v>
      </c>
      <c r="AU34" s="67">
        <f ca="1">IFERROR(__xludf.DUMMYFUNCTION("IMPORTRANGE(""https://docs.google.com/spreadsheets/d/1C3CXT74ZlgGe6_JY_1olB1XN4rF0dxEuIIF-xsYjHgg/edit?usp=sharing"",""พรบ!AT38"")"),0)</f>
        <v>0</v>
      </c>
      <c r="AV34" s="67">
        <f ca="1">IFERROR(__xludf.DUMMYFUNCTION("IMPORTRANGE(""https://docs.google.com/spreadsheets/d/1C3CXT74ZlgGe6_JY_1olB1XN4rF0dxEuIIF-xsYjHgg/edit?usp=sharing"",""พรบ!AU38"")"),0)</f>
        <v>0</v>
      </c>
      <c r="AW34" s="67">
        <f ca="1">IFERROR(__xludf.DUMMYFUNCTION("IMPORTRANGE(""https://docs.google.com/spreadsheets/d/1XL5vhW3sbDhbH9Cz0tuDiY8C3ctxq1tqvaCgkFb8cCA/edit?usp=sharing"",""กาฬสินธุ์!J140"")"),0)</f>
        <v>0</v>
      </c>
      <c r="AX34" s="136">
        <f t="shared" ca="1" si="24"/>
        <v>0</v>
      </c>
      <c r="AY34" s="67">
        <f ca="1">IFERROR(__xludf.DUMMYFUNCTION("IMPORTRANGE(""https://docs.google.com/spreadsheets/d/1XL5vhW3sbDhbH9Cz0tuDiY8C3ctxq1tqvaCgkFb8cCA/edit?usp=sharing"",""กาฬสินธุ์!J141"")"),0)</f>
        <v>0</v>
      </c>
      <c r="AZ34" s="136">
        <f t="shared" ca="1" si="25"/>
        <v>0</v>
      </c>
      <c r="BA34" s="67">
        <f t="shared" ca="1" si="26"/>
        <v>0</v>
      </c>
      <c r="BB34" s="67">
        <f t="shared" ref="BB34:BB53" ca="1" si="87">AO34+AS34</f>
        <v>0</v>
      </c>
      <c r="BC34" s="136">
        <f t="shared" ca="1" si="27"/>
        <v>0</v>
      </c>
    </row>
    <row r="35" spans="1:55" ht="21" customHeight="1">
      <c r="A35" s="73">
        <v>2</v>
      </c>
      <c r="B35" s="74" t="s">
        <v>59</v>
      </c>
      <c r="C35" s="75">
        <f t="shared" ca="1" si="0"/>
        <v>69000</v>
      </c>
      <c r="D35" s="76">
        <f t="shared" ca="1" si="85"/>
        <v>69000</v>
      </c>
      <c r="E35" s="77">
        <f ca="1">IFERROR(__xludf.DUMMYFUNCTION("IMPORTRANGE(""https://docs.google.com/spreadsheets/d/1C3CXT74ZlgGe6_JY_1olB1XN4rF0dxEuIIF-xsYjHgg/edit?usp=sharing"",""พรบ!AD39"")"),0)</f>
        <v>0</v>
      </c>
      <c r="F35" s="77">
        <f ca="1">IFERROR(__xludf.DUMMYFUNCTION("IMPORTRANGE(""https://docs.google.com/spreadsheets/d/1C3CXT74ZlgGe6_JY_1olB1XN4rF0dxEuIIF-xsYjHgg/edit?usp=sharing"",""พรบ!AE39"")"),69000)</f>
        <v>69000</v>
      </c>
      <c r="G35" s="77">
        <f ca="1">IFERROR(__xludf.DUMMYFUNCTION("IMPORTRANGE(""https://docs.google.com/spreadsheets/d/1Yj_ptqi66GCucihVvJfMjLAmec39IyEx_6qawtMGysU/edit?usp=sharing"",""สบก!BH39"")"),0)</f>
        <v>0</v>
      </c>
      <c r="H35" s="77">
        <f ca="1">IFERROR(__xludf.DUMMYFUNCTION("IMPORTRANGE(""https://docs.google.com/spreadsheets/d/1Yj_ptqi66GCucihVvJfMjLAmec39IyEx_6qawtMGysU/edit?usp=shBJing"",""สบก!BJ39"")"),55625)</f>
        <v>55625</v>
      </c>
      <c r="I35" s="77">
        <f t="shared" ca="1" si="3"/>
        <v>45141.5</v>
      </c>
      <c r="J35" s="137">
        <f t="shared" ca="1" si="4"/>
        <v>65.422463768115946</v>
      </c>
      <c r="K35" s="77">
        <f ca="1">IFERROR(__xludf.DUMMYFUNCTION("IMPORTRANGE(""https://docs.google.com/spreadsheets/d/1Yj_ptqi66GCucihVvJfMjLAmec39IyEx_6qawtMGysU/edit?usp=sharing"",""สบก!BK39"")"),45141.5)</f>
        <v>45141.5</v>
      </c>
      <c r="L35" s="137">
        <f t="shared" ca="1" si="5"/>
        <v>65.422463768115946</v>
      </c>
      <c r="M35" s="137">
        <f t="shared" ca="1" si="6"/>
        <v>81.153258426966289</v>
      </c>
      <c r="N35" s="137">
        <f ca="1">IFERROR(__xludf.DUMMYFUNCTION("IMPORTRANGE(""https://docs.google.com/spreadsheets/d/1Yj_ptqi66GCucihVvJfMjLAmec39IyEx_6qawtMGysU/edit?usp=sharing"",""สบก!BL39"")"),0)</f>
        <v>0</v>
      </c>
      <c r="O35" s="137">
        <f t="shared" ca="1" si="7"/>
        <v>0</v>
      </c>
      <c r="P35" s="77">
        <f ca="1">IFERROR(__xludf.DUMMYFUNCTION("IMPORTRANGE(""https://docs.google.com/spreadsheets/d/1C3CXT74ZlgGe6_JY_1olB1XN4rF0dxEuIIF-xsYjHgg/edit?usp=sharing"",""พรบ!AF39"")"),7500)</f>
        <v>7500</v>
      </c>
      <c r="Q35" s="77">
        <f ca="1">IFERROR(__xludf.DUMMYFUNCTION("IMPORTRANGE(""https://docs.google.com/spreadsheets/d/1C3CXT74ZlgGe6_JY_1olB1XN4rF0dxEuIIF-xsYjHgg/edit?usp=sharing"",""พรบ!AG39"")"),4)</f>
        <v>4</v>
      </c>
      <c r="R35" s="77">
        <f ca="1">IFERROR(__xludf.DUMMYFUNCTION("IMPORTRANGE(""https://docs.google.com/spreadsheets/d/1XL5vhW3sbDhbH9Cz0tuDiY8C3ctxq1tqvaCgkFb8cCA/edit?usp=sharing"",""ขอนแก่น!J83"")"),1)</f>
        <v>1</v>
      </c>
      <c r="S35" s="137">
        <f t="shared" ca="1" si="9"/>
        <v>25</v>
      </c>
      <c r="T35" s="77">
        <f t="shared" ca="1" si="86"/>
        <v>0</v>
      </c>
      <c r="U35" s="77">
        <f ca="1">IFERROR(__xludf.DUMMYFUNCTION("IMPORTRANGE(""https://docs.google.com/spreadsheets/d/1XL5vhW3sbDhbH9Cz0tuDiY8C3ctxq1tqvaCgkFb8cCA/edit?usp=sharing"",""ขอนแก่น!J85"")"),0)</f>
        <v>0</v>
      </c>
      <c r="V35" s="77">
        <f ca="1">IFERROR(__xludf.DUMMYFUNCTION("IMPORTRANGE(""https://docs.google.com/spreadsheets/d/1XL5vhW3sbDhbH9Cz0tuDiY8C3ctxq1tqvaCgkFb8cCA/edit?usp=sharing"",""ขอนแก่น!J86"")"),0)</f>
        <v>0</v>
      </c>
      <c r="W35" s="77">
        <f ca="1">IFERROR(__xludf.DUMMYFUNCTION("IMPORTRANGE(""https://docs.google.com/spreadsheets/d/1C3CXT74ZlgGe6_JY_1olB1XN4rF0dxEuIIF-xsYjHgg/edit?usp=sharing"",""พรบ!AH39"")"),42000)</f>
        <v>42000</v>
      </c>
      <c r="X35" s="77">
        <f ca="1">IFERROR(__xludf.DUMMYFUNCTION("IMPORTRANGE(""https://docs.google.com/spreadsheets/d/1C3CXT74ZlgGe6_JY_1olB1XN4rF0dxEuIIF-xsYjHgg/edit?usp=sharing"",""พรบ!AI39"")"),3)</f>
        <v>3</v>
      </c>
      <c r="Y35" s="77">
        <f ca="1">IFERROR(__xludf.DUMMYFUNCTION("IMPORTRANGE(""https://docs.google.com/spreadsheets/d/1XL5vhW3sbDhbH9Cz0tuDiY8C3ctxq1tqvaCgkFb8cCA/edit?usp=sharing"",""ขอนแก่น!J98"")"),3)</f>
        <v>3</v>
      </c>
      <c r="Z35" s="137">
        <f t="shared" ca="1" si="11"/>
        <v>100</v>
      </c>
      <c r="AA35" s="77">
        <f ca="1">IFERROR(__xludf.DUMMYFUNCTION("IMPORTRANGE(""https://docs.google.com/spreadsheets/d/1C3CXT74ZlgGe6_JY_1olB1XN4rF0dxEuIIF-xsYjHgg/edit?usp=sharing"",""พรบ!AJ39"")"),0)</f>
        <v>0</v>
      </c>
      <c r="AB35" s="77">
        <f ca="1">IFERROR(__xludf.DUMMYFUNCTION("IMPORTRANGE(""https://docs.google.com/spreadsheets/d/1C3CXT74ZlgGe6_JY_1olB1XN4rF0dxEuIIF-xsYjHgg/edit?usp=sharing"",""พรบ!AK39"")"),0)</f>
        <v>0</v>
      </c>
      <c r="AC35" s="77">
        <f ca="1">IFERROR(__xludf.DUMMYFUNCTION("IMPORTRANGE(""https://docs.google.com/spreadsheets/d/1XL5vhW3sbDhbH9Cz0tuDiY8C3ctxq1tqvaCgkFb8cCA/edit?usp=sharing"",""ขอนแก่น!J110"")"),0)</f>
        <v>0</v>
      </c>
      <c r="AD35" s="137">
        <f t="shared" ca="1" si="13"/>
        <v>0</v>
      </c>
      <c r="AE35" s="77">
        <f ca="1">IFERROR(__xludf.DUMMYFUNCTION("IMPORTRANGE(""https://docs.google.com/spreadsheets/d/1C3CXT74ZlgGe6_JY_1olB1XN4rF0dxEuIIF-xsYjHgg/edit?usp=sharing"",""พรบ!AL39"")"),0)</f>
        <v>0</v>
      </c>
      <c r="AF35" s="77">
        <f ca="1">IFERROR(__xludf.DUMMYFUNCTION("IMPORTRANGE(""https://docs.google.com/spreadsheets/d/1XL5vhW3sbDhbH9Cz0tuDiY8C3ctxq1tqvaCgkFb8cCA/edit?usp=sharing"",""ขอนแก่น!J111"")"),0)</f>
        <v>0</v>
      </c>
      <c r="AG35" s="137">
        <f t="shared" ca="1" si="15"/>
        <v>0</v>
      </c>
      <c r="AH35" s="77">
        <f ca="1">IFERROR(__xludf.DUMMYFUNCTION("IMPORTRANGE(""https://docs.google.com/spreadsheets/d/1C3CXT74ZlgGe6_JY_1olB1XN4rF0dxEuIIF-xsYjHgg/edit?usp=sharing"",""พรบ!AM39"")"),19500)</f>
        <v>19500</v>
      </c>
      <c r="AI35" s="77">
        <f ca="1">IFERROR(__xludf.DUMMYFUNCTION("IMPORTRANGE(""https://docs.google.com/spreadsheets/d/1C3CXT74ZlgGe6_JY_1olB1XN4rF0dxEuIIF-xsYjHgg/edit?usp=sharing"",""พรบ!AN39"")"),50000)</f>
        <v>50000</v>
      </c>
      <c r="AJ35" s="77">
        <f ca="1">IFERROR(__xludf.DUMMYFUNCTION("IMPORTRANGE(""https://docs.google.com/spreadsheets/d/1XL5vhW3sbDhbH9Cz0tuDiY8C3ctxq1tqvaCgkFb8cCA/edit?usp=sharing"",""ขอนแก่น!J124"")"),0)</f>
        <v>0</v>
      </c>
      <c r="AK35" s="137">
        <f t="shared" ca="1" si="17"/>
        <v>0</v>
      </c>
      <c r="AL35" s="77">
        <f ca="1">IFERROR(__xludf.DUMMYFUNCTION("IMPORTRANGE(""https://docs.google.com/spreadsheets/d/1XL5vhW3sbDhbH9Cz0tuDiY8C3ctxq1tqvaCgkFb8cCA/edit?usp=sharing"",""ขอนแก่น!J125"")"),0)</f>
        <v>0</v>
      </c>
      <c r="AM35" s="137">
        <f t="shared" ca="1" si="18"/>
        <v>0</v>
      </c>
      <c r="AN35" s="77">
        <f ca="1">IFERROR(__xludf.DUMMYFUNCTION("IMPORTRANGE(""https://docs.google.com/spreadsheets/d/1C3CXT74ZlgGe6_JY_1olB1XN4rF0dxEuIIF-xsYjHgg/edit?usp=sharing"",""พรบ!AQ39"")"),0)</f>
        <v>0</v>
      </c>
      <c r="AO35" s="77">
        <f ca="1">IFERROR(__xludf.DUMMYFUNCTION("IMPORTRANGE(""https://docs.google.com/spreadsheets/d/1XL5vhW3sbDhbH9Cz0tuDiY8C3ctxq1tqvaCgkFb8cCA/edit?usp=sharing"",""ขอนแก่น!J126"")"),0)</f>
        <v>0</v>
      </c>
      <c r="AP35" s="137">
        <f t="shared" ca="1" si="20"/>
        <v>0</v>
      </c>
      <c r="AQ35" s="149">
        <f ca="1">IFERROR(__xludf.DUMMYFUNCTION("IMPORTRANGE(""https://docs.google.com/spreadsheets/d/1C3CXT74ZlgGe6_JY_1olB1XN4rF0dxEuIIF-xsYjHgg/edit?usp=sharing"",""พรบ!AR39"")"),0)</f>
        <v>0</v>
      </c>
      <c r="AR35" s="77">
        <f ca="1">IFERROR(__xludf.DUMMYFUNCTION("IMPORTRANGE(""https://docs.google.com/spreadsheets/d/1C3CXT74ZlgGe6_JY_1olB1XN4rF0dxEuIIF-xsYjHgg/edit?usp=sharing"",""พรบ!AS39"")"),0)</f>
        <v>0</v>
      </c>
      <c r="AS35" s="77">
        <f ca="1">IFERROR(__xludf.DUMMYFUNCTION("IMPORTRANGE(""https://docs.google.com/spreadsheets/d/1XL5vhW3sbDhbH9Cz0tuDiY8C3ctxq1tqvaCgkFb8cCA/edit?usp=sharing"",""ขอนแก่น!J138"")"),0)</f>
        <v>0</v>
      </c>
      <c r="AT35" s="137">
        <f t="shared" ca="1" si="22"/>
        <v>0</v>
      </c>
      <c r="AU35" s="77">
        <f ca="1">IFERROR(__xludf.DUMMYFUNCTION("IMPORTRANGE(""https://docs.google.com/spreadsheets/d/1C3CXT74ZlgGe6_JY_1olB1XN4rF0dxEuIIF-xsYjHgg/edit?usp=sharing"",""พรบ!AT39"")"),0)</f>
        <v>0</v>
      </c>
      <c r="AV35" s="77">
        <f ca="1">IFERROR(__xludf.DUMMYFUNCTION("IMPORTRANGE(""https://docs.google.com/spreadsheets/d/1C3CXT74ZlgGe6_JY_1olB1XN4rF0dxEuIIF-xsYjHgg/edit?usp=sharing"",""พรบ!AU39"")"),0)</f>
        <v>0</v>
      </c>
      <c r="AW35" s="77">
        <f ca="1">IFERROR(__xludf.DUMMYFUNCTION("IMPORTRANGE(""https://docs.google.com/spreadsheets/d/1XL5vhW3sbDhbH9Cz0tuDiY8C3ctxq1tqvaCgkFb8cCA/edit?usp=sharing"",""ขอนแก่น!J140"")"),0)</f>
        <v>0</v>
      </c>
      <c r="AX35" s="137">
        <f t="shared" ca="1" si="24"/>
        <v>0</v>
      </c>
      <c r="AY35" s="77">
        <f ca="1">IFERROR(__xludf.DUMMYFUNCTION("IMPORTRANGE(""https://docs.google.com/spreadsheets/d/1XL5vhW3sbDhbH9Cz0tuDiY8C3ctxq1tqvaCgkFb8cCA/edit?usp=sharing"",""ขอนแก่น!J141"")"),0)</f>
        <v>0</v>
      </c>
      <c r="AZ35" s="137">
        <f t="shared" ca="1" si="25"/>
        <v>0</v>
      </c>
      <c r="BA35" s="77">
        <f t="shared" ca="1" si="26"/>
        <v>0</v>
      </c>
      <c r="BB35" s="77">
        <f t="shared" ca="1" si="87"/>
        <v>0</v>
      </c>
      <c r="BC35" s="137">
        <f t="shared" ca="1" si="27"/>
        <v>0</v>
      </c>
    </row>
    <row r="36" spans="1:55" ht="21" customHeight="1">
      <c r="A36" s="73">
        <v>3</v>
      </c>
      <c r="B36" s="74" t="s">
        <v>60</v>
      </c>
      <c r="C36" s="75">
        <f t="shared" ca="1" si="0"/>
        <v>83000</v>
      </c>
      <c r="D36" s="76">
        <f t="shared" ca="1" si="85"/>
        <v>83000</v>
      </c>
      <c r="E36" s="77">
        <f ca="1">IFERROR(__xludf.DUMMYFUNCTION("IMPORTRANGE(""https://docs.google.com/spreadsheets/d/1C3CXT74ZlgGe6_JY_1olB1XN4rF0dxEuIIF-xsYjHgg/edit?usp=sharing"",""พรบ!AD40"")"),0)</f>
        <v>0</v>
      </c>
      <c r="F36" s="77">
        <f ca="1">IFERROR(__xludf.DUMMYFUNCTION("IMPORTRANGE(""https://docs.google.com/spreadsheets/d/1C3CXT74ZlgGe6_JY_1olB1XN4rF0dxEuIIF-xsYjHgg/edit?usp=sharing"",""พรบ!AE40"")"),83000)</f>
        <v>83000</v>
      </c>
      <c r="G36" s="77">
        <f ca="1">IFERROR(__xludf.DUMMYFUNCTION("IMPORTRANGE(""https://docs.google.com/spreadsheets/d/1Yj_ptqi66GCucihVvJfMjLAmec39IyEx_6qawtMGysU/edit?usp=sharing"",""สบก!BH40"")"),0)</f>
        <v>0</v>
      </c>
      <c r="H36" s="77">
        <f ca="1">IFERROR(__xludf.DUMMYFUNCTION("IMPORTRANGE(""https://docs.google.com/spreadsheets/d/1Yj_ptqi66GCucihVvJfMjLAmec39IyEx_6qawtMGysU/edit?usp=shBJing"",""สบก!BJ40"")"),69625)</f>
        <v>69625</v>
      </c>
      <c r="I36" s="77">
        <f t="shared" ca="1" si="3"/>
        <v>2200</v>
      </c>
      <c r="J36" s="137">
        <f t="shared" ca="1" si="4"/>
        <v>2.6506024096385543</v>
      </c>
      <c r="K36" s="77">
        <f ca="1">IFERROR(__xludf.DUMMYFUNCTION("IMPORTRANGE(""https://docs.google.com/spreadsheets/d/1Yj_ptqi66GCucihVvJfMjLAmec39IyEx_6qawtMGysU/edit?usp=sharing"",""สบก!BK40"")"),2200)</f>
        <v>2200</v>
      </c>
      <c r="L36" s="137">
        <f t="shared" ca="1" si="5"/>
        <v>2.6506024096385543</v>
      </c>
      <c r="M36" s="137">
        <f t="shared" ca="1" si="6"/>
        <v>3.1597845601436267</v>
      </c>
      <c r="N36" s="137">
        <f ca="1">IFERROR(__xludf.DUMMYFUNCTION("IMPORTRANGE(""https://docs.google.com/spreadsheets/d/1Yj_ptqi66GCucihVvJfMjLAmec39IyEx_6qawtMGysU/edit?usp=sharing"",""สบก!BL40"")"),0)</f>
        <v>0</v>
      </c>
      <c r="O36" s="137">
        <f t="shared" ca="1" si="7"/>
        <v>0</v>
      </c>
      <c r="P36" s="77">
        <f ca="1">IFERROR(__xludf.DUMMYFUNCTION("IMPORTRANGE(""https://docs.google.com/spreadsheets/d/1C3CXT74ZlgGe6_JY_1olB1XN4rF0dxEuIIF-xsYjHgg/edit?usp=sharing"",""พรบ!AF40"")"),7500)</f>
        <v>7500</v>
      </c>
      <c r="Q36" s="77">
        <f ca="1">IFERROR(__xludf.DUMMYFUNCTION("IMPORTRANGE(""https://docs.google.com/spreadsheets/d/1C3CXT74ZlgGe6_JY_1olB1XN4rF0dxEuIIF-xsYjHgg/edit?usp=sharing"",""พรบ!AG40"")"),4)</f>
        <v>4</v>
      </c>
      <c r="R36" s="77">
        <f ca="1">IFERROR(__xludf.DUMMYFUNCTION("IMPORTRANGE(""https://docs.google.com/spreadsheets/d/1XL5vhW3sbDhbH9Cz0tuDiY8C3ctxq1tqvaCgkFb8cCA/edit?usp=sharing"",""ชัยภูมิ!J83"")"),1)</f>
        <v>1</v>
      </c>
      <c r="S36" s="137">
        <f t="shared" ca="1" si="9"/>
        <v>25</v>
      </c>
      <c r="T36" s="77">
        <f t="shared" ca="1" si="86"/>
        <v>0</v>
      </c>
      <c r="U36" s="77">
        <f ca="1">IFERROR(__xludf.DUMMYFUNCTION("IMPORTRANGE(""https://docs.google.com/spreadsheets/d/1XL5vhW3sbDhbH9Cz0tuDiY8C3ctxq1tqvaCgkFb8cCA/edit?usp=sharing"",""ชัยภูมิ!J85"")"),0)</f>
        <v>0</v>
      </c>
      <c r="V36" s="77">
        <f ca="1">IFERROR(__xludf.DUMMYFUNCTION("IMPORTRANGE(""https://docs.google.com/spreadsheets/d/1XL5vhW3sbDhbH9Cz0tuDiY8C3ctxq1tqvaCgkFb8cCA/edit?usp=sharing"",""ชัยภูมิ!J86"")"),0)</f>
        <v>0</v>
      </c>
      <c r="W36" s="77">
        <f ca="1">IFERROR(__xludf.DUMMYFUNCTION("IMPORTRANGE(""https://docs.google.com/spreadsheets/d/1C3CXT74ZlgGe6_JY_1olB1XN4rF0dxEuIIF-xsYjHgg/edit?usp=sharing"",""พรบ!AH40"")"),56000)</f>
        <v>56000</v>
      </c>
      <c r="X36" s="77">
        <f ca="1">IFERROR(__xludf.DUMMYFUNCTION("IMPORTRANGE(""https://docs.google.com/spreadsheets/d/1C3CXT74ZlgGe6_JY_1olB1XN4rF0dxEuIIF-xsYjHgg/edit?usp=sharing"",""พรบ!AI40"")"),4)</f>
        <v>4</v>
      </c>
      <c r="Y36" s="77">
        <f ca="1">IFERROR(__xludf.DUMMYFUNCTION("IMPORTRANGE(""https://docs.google.com/spreadsheets/d/1XL5vhW3sbDhbH9Cz0tuDiY8C3ctxq1tqvaCgkFb8cCA/edit?usp=sharing"",""ชัยภูมิ!J98"")"),0)</f>
        <v>0</v>
      </c>
      <c r="Z36" s="137">
        <f t="shared" ca="1" si="11"/>
        <v>0</v>
      </c>
      <c r="AA36" s="77">
        <f ca="1">IFERROR(__xludf.DUMMYFUNCTION("IMPORTRANGE(""https://docs.google.com/spreadsheets/d/1C3CXT74ZlgGe6_JY_1olB1XN4rF0dxEuIIF-xsYjHgg/edit?usp=sharing"",""พรบ!AJ40"")"),0)</f>
        <v>0</v>
      </c>
      <c r="AB36" s="77">
        <f ca="1">IFERROR(__xludf.DUMMYFUNCTION("IMPORTRANGE(""https://docs.google.com/spreadsheets/d/1C3CXT74ZlgGe6_JY_1olB1XN4rF0dxEuIIF-xsYjHgg/edit?usp=sharing"",""พรบ!AK40"")"),0)</f>
        <v>0</v>
      </c>
      <c r="AC36" s="77">
        <f ca="1">IFERROR(__xludf.DUMMYFUNCTION("IMPORTRANGE(""https://docs.google.com/spreadsheets/d/1XL5vhW3sbDhbH9Cz0tuDiY8C3ctxq1tqvaCgkFb8cCA/edit?usp=sharing"",""ชัยภูมิ!J110"")"),0)</f>
        <v>0</v>
      </c>
      <c r="AD36" s="137">
        <f t="shared" ca="1" si="13"/>
        <v>0</v>
      </c>
      <c r="AE36" s="77">
        <f ca="1">IFERROR(__xludf.DUMMYFUNCTION("IMPORTRANGE(""https://docs.google.com/spreadsheets/d/1C3CXT74ZlgGe6_JY_1olB1XN4rF0dxEuIIF-xsYjHgg/edit?usp=sharing"",""พรบ!AL40"")"),0)</f>
        <v>0</v>
      </c>
      <c r="AF36" s="77">
        <f ca="1">IFERROR(__xludf.DUMMYFUNCTION("IMPORTRANGE(""https://docs.google.com/spreadsheets/d/1XL5vhW3sbDhbH9Cz0tuDiY8C3ctxq1tqvaCgkFb8cCA/edit?usp=sharing"",""ชัยภูมิ!J111"")"),0)</f>
        <v>0</v>
      </c>
      <c r="AG36" s="137">
        <f t="shared" ca="1" si="15"/>
        <v>0</v>
      </c>
      <c r="AH36" s="77">
        <f ca="1">IFERROR(__xludf.DUMMYFUNCTION("IMPORTRANGE(""https://docs.google.com/spreadsheets/d/1C3CXT74ZlgGe6_JY_1olB1XN4rF0dxEuIIF-xsYjHgg/edit?usp=sharing"",""พรบ!AM40"")"),19500)</f>
        <v>19500</v>
      </c>
      <c r="AI36" s="77">
        <f ca="1">IFERROR(__xludf.DUMMYFUNCTION("IMPORTRANGE(""https://docs.google.com/spreadsheets/d/1C3CXT74ZlgGe6_JY_1olB1XN4rF0dxEuIIF-xsYjHgg/edit?usp=sharing"",""พรบ!AN40"")"),50000)</f>
        <v>50000</v>
      </c>
      <c r="AJ36" s="77">
        <f ca="1">IFERROR(__xludf.DUMMYFUNCTION("IMPORTRANGE(""https://docs.google.com/spreadsheets/d/1XL5vhW3sbDhbH9Cz0tuDiY8C3ctxq1tqvaCgkFb8cCA/edit?usp=sharing"",""ชัยภูมิ!J124"")"),0)</f>
        <v>0</v>
      </c>
      <c r="AK36" s="137">
        <f t="shared" ca="1" si="17"/>
        <v>0</v>
      </c>
      <c r="AL36" s="77">
        <f ca="1">IFERROR(__xludf.DUMMYFUNCTION("IMPORTRANGE(""https://docs.google.com/spreadsheets/d/1XL5vhW3sbDhbH9Cz0tuDiY8C3ctxq1tqvaCgkFb8cCA/edit?usp=sharing"",""ชัยภูมิ!J125"")"),0)</f>
        <v>0</v>
      </c>
      <c r="AM36" s="137">
        <f t="shared" ca="1" si="18"/>
        <v>0</v>
      </c>
      <c r="AN36" s="77">
        <f ca="1">IFERROR(__xludf.DUMMYFUNCTION("IMPORTRANGE(""https://docs.google.com/spreadsheets/d/1C3CXT74ZlgGe6_JY_1olB1XN4rF0dxEuIIF-xsYjHgg/edit?usp=sharing"",""พรบ!AQ40"")"),0)</f>
        <v>0</v>
      </c>
      <c r="AO36" s="77">
        <f ca="1">IFERROR(__xludf.DUMMYFUNCTION("IMPORTRANGE(""https://docs.google.com/spreadsheets/d/1XL5vhW3sbDhbH9Cz0tuDiY8C3ctxq1tqvaCgkFb8cCA/edit?usp=sharing"",""ชัยภูมิ!J126"")"),0)</f>
        <v>0</v>
      </c>
      <c r="AP36" s="137">
        <f t="shared" ca="1" si="20"/>
        <v>0</v>
      </c>
      <c r="AQ36" s="149">
        <f ca="1">IFERROR(__xludf.DUMMYFUNCTION("IMPORTRANGE(""https://docs.google.com/spreadsheets/d/1C3CXT74ZlgGe6_JY_1olB1XN4rF0dxEuIIF-xsYjHgg/edit?usp=sharing"",""พรบ!AR40"")"),0)</f>
        <v>0</v>
      </c>
      <c r="AR36" s="77">
        <f ca="1">IFERROR(__xludf.DUMMYFUNCTION("IMPORTRANGE(""https://docs.google.com/spreadsheets/d/1C3CXT74ZlgGe6_JY_1olB1XN4rF0dxEuIIF-xsYjHgg/edit?usp=sharing"",""พรบ!AS40"")"),0)</f>
        <v>0</v>
      </c>
      <c r="AS36" s="77">
        <f ca="1">IFERROR(__xludf.DUMMYFUNCTION("IMPORTRANGE(""https://docs.google.com/spreadsheets/d/1XL5vhW3sbDhbH9Cz0tuDiY8C3ctxq1tqvaCgkFb8cCA/edit?usp=sharing"",""ชัยภูมิ!J138"")"),0)</f>
        <v>0</v>
      </c>
      <c r="AT36" s="137">
        <f t="shared" ca="1" si="22"/>
        <v>0</v>
      </c>
      <c r="AU36" s="77">
        <f ca="1">IFERROR(__xludf.DUMMYFUNCTION("IMPORTRANGE(""https://docs.google.com/spreadsheets/d/1C3CXT74ZlgGe6_JY_1olB1XN4rF0dxEuIIF-xsYjHgg/edit?usp=sharing"",""พรบ!AT40"")"),0)</f>
        <v>0</v>
      </c>
      <c r="AV36" s="77">
        <f ca="1">IFERROR(__xludf.DUMMYFUNCTION("IMPORTRANGE(""https://docs.google.com/spreadsheets/d/1C3CXT74ZlgGe6_JY_1olB1XN4rF0dxEuIIF-xsYjHgg/edit?usp=sharing"",""พรบ!AU40"")"),0)</f>
        <v>0</v>
      </c>
      <c r="AW36" s="77">
        <f ca="1">IFERROR(__xludf.DUMMYFUNCTION("IMPORTRANGE(""https://docs.google.com/spreadsheets/d/1XL5vhW3sbDhbH9Cz0tuDiY8C3ctxq1tqvaCgkFb8cCA/edit?usp=sharing"",""ชัยภูมิ!J140"")"),0)</f>
        <v>0</v>
      </c>
      <c r="AX36" s="137">
        <f t="shared" ca="1" si="24"/>
        <v>0</v>
      </c>
      <c r="AY36" s="77">
        <f ca="1">IFERROR(__xludf.DUMMYFUNCTION("IMPORTRANGE(""https://docs.google.com/spreadsheets/d/1XL5vhW3sbDhbH9Cz0tuDiY8C3ctxq1tqvaCgkFb8cCA/edit?usp=sharing"",""ชัยภูมิ!J141"")"),0)</f>
        <v>0</v>
      </c>
      <c r="AZ36" s="137">
        <f t="shared" ca="1" si="25"/>
        <v>0</v>
      </c>
      <c r="BA36" s="77">
        <f t="shared" ca="1" si="26"/>
        <v>0</v>
      </c>
      <c r="BB36" s="77">
        <f t="shared" ca="1" si="87"/>
        <v>0</v>
      </c>
      <c r="BC36" s="137">
        <f t="shared" ca="1" si="27"/>
        <v>0</v>
      </c>
    </row>
    <row r="37" spans="1:55" ht="21" customHeight="1">
      <c r="A37" s="73">
        <v>4</v>
      </c>
      <c r="B37" s="74" t="s">
        <v>61</v>
      </c>
      <c r="C37" s="75">
        <f t="shared" ca="1" si="0"/>
        <v>72000</v>
      </c>
      <c r="D37" s="76">
        <f t="shared" ca="1" si="85"/>
        <v>72000</v>
      </c>
      <c r="E37" s="77">
        <f ca="1">IFERROR(__xludf.DUMMYFUNCTION("IMPORTRANGE(""https://docs.google.com/spreadsheets/d/1C3CXT74ZlgGe6_JY_1olB1XN4rF0dxEuIIF-xsYjHgg/edit?usp=sharing"",""พรบ!AD41"")"),0)</f>
        <v>0</v>
      </c>
      <c r="F37" s="77">
        <f ca="1">IFERROR(__xludf.DUMMYFUNCTION("IMPORTRANGE(""https://docs.google.com/spreadsheets/d/1C3CXT74ZlgGe6_JY_1olB1XN4rF0dxEuIIF-xsYjHgg/edit?usp=sharing"",""พรบ!AE41"")"),72000)</f>
        <v>72000</v>
      </c>
      <c r="G37" s="77">
        <f ca="1">IFERROR(__xludf.DUMMYFUNCTION("IMPORTRANGE(""https://docs.google.com/spreadsheets/d/1Yj_ptqi66GCucihVvJfMjLAmec39IyEx_6qawtMGysU/edit?usp=sharing"",""สบก!BH41"")"),0)</f>
        <v>0</v>
      </c>
      <c r="H37" s="77">
        <f ca="1">IFERROR(__xludf.DUMMYFUNCTION("IMPORTRANGE(""https://docs.google.com/spreadsheets/d/1Yj_ptqi66GCucihVvJfMjLAmec39IyEx_6qawtMGysU/edit?usp=shBJing"",""สบก!BJ41"")"),70625)</f>
        <v>70625</v>
      </c>
      <c r="I37" s="77">
        <f t="shared" ca="1" si="3"/>
        <v>51679.8</v>
      </c>
      <c r="J37" s="137">
        <f t="shared" ca="1" si="4"/>
        <v>71.777500000000003</v>
      </c>
      <c r="K37" s="77">
        <f ca="1">IFERROR(__xludf.DUMMYFUNCTION("IMPORTRANGE(""https://docs.google.com/spreadsheets/d/1Yj_ptqi66GCucihVvJfMjLAmec39IyEx_6qawtMGysU/edit?usp=sharing"",""สบก!BK41"")"),51679.8)</f>
        <v>51679.8</v>
      </c>
      <c r="L37" s="137">
        <f t="shared" ca="1" si="5"/>
        <v>71.777500000000003</v>
      </c>
      <c r="M37" s="137">
        <f t="shared" ca="1" si="6"/>
        <v>73.17493805309735</v>
      </c>
      <c r="N37" s="137">
        <f ca="1">IFERROR(__xludf.DUMMYFUNCTION("IMPORTRANGE(""https://docs.google.com/spreadsheets/d/1Yj_ptqi66GCucihVvJfMjLAmec39IyEx_6qawtMGysU/edit?usp=sharing"",""สบก!BL41"")"),0)</f>
        <v>0</v>
      </c>
      <c r="O37" s="137">
        <f t="shared" ca="1" si="7"/>
        <v>0</v>
      </c>
      <c r="P37" s="77">
        <f ca="1">IFERROR(__xludf.DUMMYFUNCTION("IMPORTRANGE(""https://docs.google.com/spreadsheets/d/1C3CXT74ZlgGe6_JY_1olB1XN4rF0dxEuIIF-xsYjHgg/edit?usp=sharing"",""พรบ!AF41"")"),7500)</f>
        <v>7500</v>
      </c>
      <c r="Q37" s="77">
        <f ca="1">IFERROR(__xludf.DUMMYFUNCTION("IMPORTRANGE(""https://docs.google.com/spreadsheets/d/1C3CXT74ZlgGe6_JY_1olB1XN4rF0dxEuIIF-xsYjHgg/edit?usp=sharing"",""พรบ!AG41"")"),4)</f>
        <v>4</v>
      </c>
      <c r="R37" s="77">
        <f ca="1">IFERROR(__xludf.DUMMYFUNCTION("IMPORTRANGE(""https://docs.google.com/spreadsheets/d/1XL5vhW3sbDhbH9Cz0tuDiY8C3ctxq1tqvaCgkFb8cCA/edit?usp=sharing"",""นครพนม!J83"")"),2)</f>
        <v>2</v>
      </c>
      <c r="S37" s="137">
        <f t="shared" ca="1" si="9"/>
        <v>50</v>
      </c>
      <c r="T37" s="77">
        <f t="shared" ca="1" si="86"/>
        <v>51</v>
      </c>
      <c r="U37" s="77">
        <f ca="1">IFERROR(__xludf.DUMMYFUNCTION("IMPORTRANGE(""https://docs.google.com/spreadsheets/d/1XL5vhW3sbDhbH9Cz0tuDiY8C3ctxq1tqvaCgkFb8cCA/edit?usp=sharing"",""นครพนม!J85"")"),51)</f>
        <v>51</v>
      </c>
      <c r="V37" s="77">
        <f ca="1">IFERROR(__xludf.DUMMYFUNCTION("IMPORTRANGE(""https://docs.google.com/spreadsheets/d/1XL5vhW3sbDhbH9Cz0tuDiY8C3ctxq1tqvaCgkFb8cCA/edit?usp=sharing"",""นครพนม!J86"")"),0)</f>
        <v>0</v>
      </c>
      <c r="W37" s="77">
        <f ca="1">IFERROR(__xludf.DUMMYFUNCTION("IMPORTRANGE(""https://docs.google.com/spreadsheets/d/1C3CXT74ZlgGe6_JY_1olB1XN4rF0dxEuIIF-xsYjHgg/edit?usp=sharing"",""พรบ!AH41"")"),42000)</f>
        <v>42000</v>
      </c>
      <c r="X37" s="77">
        <f ca="1">IFERROR(__xludf.DUMMYFUNCTION("IMPORTRANGE(""https://docs.google.com/spreadsheets/d/1C3CXT74ZlgGe6_JY_1olB1XN4rF0dxEuIIF-xsYjHgg/edit?usp=sharing"",""พรบ!AI41"")"),3)</f>
        <v>3</v>
      </c>
      <c r="Y37" s="77">
        <f ca="1">IFERROR(__xludf.DUMMYFUNCTION("IMPORTRANGE(""https://docs.google.com/spreadsheets/d/1XL5vhW3sbDhbH9Cz0tuDiY8C3ctxq1tqvaCgkFb8cCA/edit?usp=sharing"",""นครพนม!J98"")"),3)</f>
        <v>3</v>
      </c>
      <c r="Z37" s="137">
        <f t="shared" ca="1" si="11"/>
        <v>100</v>
      </c>
      <c r="AA37" s="77">
        <f ca="1">IFERROR(__xludf.DUMMYFUNCTION("IMPORTRANGE(""https://docs.google.com/spreadsheets/d/1C3CXT74ZlgGe6_JY_1olB1XN4rF0dxEuIIF-xsYjHgg/edit?usp=sharing"",""พรบ!AJ41"")"),15000)</f>
        <v>15000</v>
      </c>
      <c r="AB37" s="77">
        <f ca="1">IFERROR(__xludf.DUMMYFUNCTION("IMPORTRANGE(""https://docs.google.com/spreadsheets/d/1C3CXT74ZlgGe6_JY_1olB1XN4rF0dxEuIIF-xsYjHgg/edit?usp=sharing"",""พรบ!AK41"")"),1)</f>
        <v>1</v>
      </c>
      <c r="AC37" s="77">
        <f ca="1">IFERROR(__xludf.DUMMYFUNCTION("IMPORTRANGE(""https://docs.google.com/spreadsheets/d/1XL5vhW3sbDhbH9Cz0tuDiY8C3ctxq1tqvaCgkFb8cCA/edit?usp=sharing"",""นครพนม!J110"")"),1)</f>
        <v>1</v>
      </c>
      <c r="AD37" s="137">
        <f t="shared" ca="1" si="13"/>
        <v>100</v>
      </c>
      <c r="AE37" s="77">
        <f ca="1">IFERROR(__xludf.DUMMYFUNCTION("IMPORTRANGE(""https://docs.google.com/spreadsheets/d/1C3CXT74ZlgGe6_JY_1olB1XN4rF0dxEuIIF-xsYjHgg/edit?usp=sharing"",""พรบ!AL41"")"),1)</f>
        <v>1</v>
      </c>
      <c r="AF37" s="77">
        <f ca="1">IFERROR(__xludf.DUMMYFUNCTION("IMPORTRANGE(""https://docs.google.com/spreadsheets/d/1XL5vhW3sbDhbH9Cz0tuDiY8C3ctxq1tqvaCgkFb8cCA/edit?usp=sharing"",""นครพนม!J111"")"),1)</f>
        <v>1</v>
      </c>
      <c r="AG37" s="137">
        <f t="shared" ca="1" si="15"/>
        <v>100</v>
      </c>
      <c r="AH37" s="77">
        <f ca="1">IFERROR(__xludf.DUMMYFUNCTION("IMPORTRANGE(""https://docs.google.com/spreadsheets/d/1C3CXT74ZlgGe6_JY_1olB1XN4rF0dxEuIIF-xsYjHgg/edit?usp=sharing"",""พรบ!AM41"")"),7500)</f>
        <v>7500</v>
      </c>
      <c r="AI37" s="77">
        <f ca="1">IFERROR(__xludf.DUMMYFUNCTION("IMPORTRANGE(""https://docs.google.com/spreadsheets/d/1C3CXT74ZlgGe6_JY_1olB1XN4rF0dxEuIIF-xsYjHgg/edit?usp=sharing"",""พรบ!AN41"")"),10000)</f>
        <v>10000</v>
      </c>
      <c r="AJ37" s="77">
        <f ca="1">IFERROR(__xludf.DUMMYFUNCTION("IMPORTRANGE(""https://docs.google.com/spreadsheets/d/1XL5vhW3sbDhbH9Cz0tuDiY8C3ctxq1tqvaCgkFb8cCA/edit?usp=sharing"",""นครพนม!J124"")"),0)</f>
        <v>0</v>
      </c>
      <c r="AK37" s="137">
        <f t="shared" ca="1" si="17"/>
        <v>0</v>
      </c>
      <c r="AL37" s="77">
        <f ca="1">IFERROR(__xludf.DUMMYFUNCTION("IMPORTRANGE(""https://docs.google.com/spreadsheets/d/1XL5vhW3sbDhbH9Cz0tuDiY8C3ctxq1tqvaCgkFb8cCA/edit?usp=sharing"",""นครพนม!J125"")"),0)</f>
        <v>0</v>
      </c>
      <c r="AM37" s="137">
        <f t="shared" ca="1" si="18"/>
        <v>0</v>
      </c>
      <c r="AN37" s="77">
        <f ca="1">IFERROR(__xludf.DUMMYFUNCTION("IMPORTRANGE(""https://docs.google.com/spreadsheets/d/1C3CXT74ZlgGe6_JY_1olB1XN4rF0dxEuIIF-xsYjHgg/edit?usp=sharing"",""พรบ!AQ41"")"),0)</f>
        <v>0</v>
      </c>
      <c r="AO37" s="77">
        <f ca="1">IFERROR(__xludf.DUMMYFUNCTION("IMPORTRANGE(""https://docs.google.com/spreadsheets/d/1XL5vhW3sbDhbH9Cz0tuDiY8C3ctxq1tqvaCgkFb8cCA/edit?usp=sharing"",""นครพนม!J126"")"),0)</f>
        <v>0</v>
      </c>
      <c r="AP37" s="137">
        <f t="shared" ca="1" si="20"/>
        <v>0</v>
      </c>
      <c r="AQ37" s="149">
        <f ca="1">IFERROR(__xludf.DUMMYFUNCTION("IMPORTRANGE(""https://docs.google.com/spreadsheets/d/1C3CXT74ZlgGe6_JY_1olB1XN4rF0dxEuIIF-xsYjHgg/edit?usp=sharing"",""พรบ!AR41"")"),0)</f>
        <v>0</v>
      </c>
      <c r="AR37" s="77">
        <f ca="1">IFERROR(__xludf.DUMMYFUNCTION("IMPORTRANGE(""https://docs.google.com/spreadsheets/d/1C3CXT74ZlgGe6_JY_1olB1XN4rF0dxEuIIF-xsYjHgg/edit?usp=sharing"",""พรบ!AS41"")"),0)</f>
        <v>0</v>
      </c>
      <c r="AS37" s="77">
        <f ca="1">IFERROR(__xludf.DUMMYFUNCTION("IMPORTRANGE(""https://docs.google.com/spreadsheets/d/1XL5vhW3sbDhbH9Cz0tuDiY8C3ctxq1tqvaCgkFb8cCA/edit?usp=sharing"",""นครพนม!J138"")"),0)</f>
        <v>0</v>
      </c>
      <c r="AT37" s="137">
        <f t="shared" ca="1" si="22"/>
        <v>0</v>
      </c>
      <c r="AU37" s="77">
        <f ca="1">IFERROR(__xludf.DUMMYFUNCTION("IMPORTRANGE(""https://docs.google.com/spreadsheets/d/1C3CXT74ZlgGe6_JY_1olB1XN4rF0dxEuIIF-xsYjHgg/edit?usp=sharing"",""พรบ!AT41"")"),0)</f>
        <v>0</v>
      </c>
      <c r="AV37" s="77">
        <f ca="1">IFERROR(__xludf.DUMMYFUNCTION("IMPORTRANGE(""https://docs.google.com/spreadsheets/d/1C3CXT74ZlgGe6_JY_1olB1XN4rF0dxEuIIF-xsYjHgg/edit?usp=sharing"",""พรบ!AU41"")"),0)</f>
        <v>0</v>
      </c>
      <c r="AW37" s="77">
        <f ca="1">IFERROR(__xludf.DUMMYFUNCTION("IMPORTRANGE(""https://docs.google.com/spreadsheets/d/1XL5vhW3sbDhbH9Cz0tuDiY8C3ctxq1tqvaCgkFb8cCA/edit?usp=sharing"",""นครพนม!J140"")"),0)</f>
        <v>0</v>
      </c>
      <c r="AX37" s="137">
        <f t="shared" ca="1" si="24"/>
        <v>0</v>
      </c>
      <c r="AY37" s="77">
        <f ca="1">IFERROR(__xludf.DUMMYFUNCTION("IMPORTRANGE(""https://docs.google.com/spreadsheets/d/1XL5vhW3sbDhbH9Cz0tuDiY8C3ctxq1tqvaCgkFb8cCA/edit?usp=sharing"",""นครพนม!J141"")"),0)</f>
        <v>0</v>
      </c>
      <c r="AZ37" s="137">
        <f t="shared" ca="1" si="25"/>
        <v>0</v>
      </c>
      <c r="BA37" s="77">
        <f t="shared" ca="1" si="26"/>
        <v>0</v>
      </c>
      <c r="BB37" s="77">
        <f t="shared" ca="1" si="87"/>
        <v>0</v>
      </c>
      <c r="BC37" s="137">
        <f t="shared" ca="1" si="27"/>
        <v>0</v>
      </c>
    </row>
    <row r="38" spans="1:55" ht="21" customHeight="1">
      <c r="A38" s="73">
        <v>5</v>
      </c>
      <c r="B38" s="74" t="s">
        <v>62</v>
      </c>
      <c r="C38" s="75">
        <f t="shared" ca="1" si="0"/>
        <v>589600</v>
      </c>
      <c r="D38" s="76">
        <f t="shared" ca="1" si="85"/>
        <v>589600</v>
      </c>
      <c r="E38" s="77">
        <f ca="1">IFERROR(__xludf.DUMMYFUNCTION("IMPORTRANGE(""https://docs.google.com/spreadsheets/d/1C3CXT74ZlgGe6_JY_1olB1XN4rF0dxEuIIF-xsYjHgg/edit?usp=sharing"",""พรบ!AD42"")"),469600)</f>
        <v>469600</v>
      </c>
      <c r="F38" s="77">
        <f ca="1">IFERROR(__xludf.DUMMYFUNCTION("IMPORTRANGE(""https://docs.google.com/spreadsheets/d/1C3CXT74ZlgGe6_JY_1olB1XN4rF0dxEuIIF-xsYjHgg/edit?usp=sharing"",""พรบ!AE42"")"),120000)</f>
        <v>120000</v>
      </c>
      <c r="G38" s="77">
        <f ca="1">IFERROR(__xludf.DUMMYFUNCTION("IMPORTRANGE(""https://docs.google.com/spreadsheets/d/1Yj_ptqi66GCucihVvJfMjLAmec39IyEx_6qawtMGysU/edit?usp=sharing"",""สบก!BH42"")"),0)</f>
        <v>0</v>
      </c>
      <c r="H38" s="77">
        <f ca="1">IFERROR(__xludf.DUMMYFUNCTION("IMPORTRANGE(""https://docs.google.com/spreadsheets/d/1Yj_ptqi66GCucihVvJfMjLAmec39IyEx_6qawtMGysU/edit?usp=shBJing"",""สบก!BJ42"")"),450825)</f>
        <v>450825</v>
      </c>
      <c r="I38" s="77">
        <f t="shared" ca="1" si="3"/>
        <v>337182</v>
      </c>
      <c r="J38" s="137">
        <f t="shared" ca="1" si="4"/>
        <v>57.188263229308006</v>
      </c>
      <c r="K38" s="77">
        <f ca="1">IFERROR(__xludf.DUMMYFUNCTION("IMPORTRANGE(""https://docs.google.com/spreadsheets/d/1Yj_ptqi66GCucihVvJfMjLAmec39IyEx_6qawtMGysU/edit?usp=sharing"",""สบก!BK42"")"),337182)</f>
        <v>337182</v>
      </c>
      <c r="L38" s="137">
        <f t="shared" ca="1" si="5"/>
        <v>57.188263229308006</v>
      </c>
      <c r="M38" s="137">
        <f t="shared" ca="1" si="6"/>
        <v>74.792214273831306</v>
      </c>
      <c r="N38" s="137">
        <f ca="1">IFERROR(__xludf.DUMMYFUNCTION("IMPORTRANGE(""https://docs.google.com/spreadsheets/d/1Yj_ptqi66GCucihVvJfMjLAmec39IyEx_6qawtMGysU/edit?usp=sharing"",""สบก!BL42"")"),0)</f>
        <v>0</v>
      </c>
      <c r="O38" s="137">
        <f t="shared" ca="1" si="7"/>
        <v>0</v>
      </c>
      <c r="P38" s="77">
        <f ca="1">IFERROR(__xludf.DUMMYFUNCTION("IMPORTRANGE(""https://docs.google.com/spreadsheets/d/1C3CXT74ZlgGe6_JY_1olB1XN4rF0dxEuIIF-xsYjHgg/edit?usp=sharing"",""พรบ!AF42"")"),7500)</f>
        <v>7500</v>
      </c>
      <c r="Q38" s="77">
        <f ca="1">IFERROR(__xludf.DUMMYFUNCTION("IMPORTRANGE(""https://docs.google.com/spreadsheets/d/1C3CXT74ZlgGe6_JY_1olB1XN4rF0dxEuIIF-xsYjHgg/edit?usp=sharing"",""พรบ!AG42"")"),4)</f>
        <v>4</v>
      </c>
      <c r="R38" s="77">
        <f ca="1">IFERROR(__xludf.DUMMYFUNCTION("IMPORTRANGE(""https://docs.google.com/spreadsheets/d/1XL5vhW3sbDhbH9Cz0tuDiY8C3ctxq1tqvaCgkFb8cCA/edit?usp=sharing"",""นครราชสีมา!J83"")"),2)</f>
        <v>2</v>
      </c>
      <c r="S38" s="137">
        <f t="shared" ca="1" si="9"/>
        <v>50</v>
      </c>
      <c r="T38" s="77">
        <f t="shared" ca="1" si="86"/>
        <v>85</v>
      </c>
      <c r="U38" s="77">
        <f ca="1">IFERROR(__xludf.DUMMYFUNCTION("IMPORTRANGE(""https://docs.google.com/spreadsheets/d/1XL5vhW3sbDhbH9Cz0tuDiY8C3ctxq1tqvaCgkFb8cCA/edit?usp=sharing"",""นครราชสีมา!J85"")"),85)</f>
        <v>85</v>
      </c>
      <c r="V38" s="77">
        <f ca="1">IFERROR(__xludf.DUMMYFUNCTION("IMPORTRANGE(""https://docs.google.com/spreadsheets/d/1XL5vhW3sbDhbH9Cz0tuDiY8C3ctxq1tqvaCgkFb8cCA/edit?usp=sharing"",""นครราชสีมา!J86"")"),0)</f>
        <v>0</v>
      </c>
      <c r="W38" s="77">
        <f ca="1">IFERROR(__xludf.DUMMYFUNCTION("IMPORTRANGE(""https://docs.google.com/spreadsheets/d/1C3CXT74ZlgGe6_JY_1olB1XN4rF0dxEuIIF-xsYjHgg/edit?usp=sharing"",""พรบ!AH42"")"),70000)</f>
        <v>70000</v>
      </c>
      <c r="X38" s="77">
        <f ca="1">IFERROR(__xludf.DUMMYFUNCTION("IMPORTRANGE(""https://docs.google.com/spreadsheets/d/1C3CXT74ZlgGe6_JY_1olB1XN4rF0dxEuIIF-xsYjHgg/edit?usp=sharing"",""พรบ!AI42"")"),5)</f>
        <v>5</v>
      </c>
      <c r="Y38" s="77">
        <f ca="1">IFERROR(__xludf.DUMMYFUNCTION("IMPORTRANGE(""https://docs.google.com/spreadsheets/d/1XL5vhW3sbDhbH9Cz0tuDiY8C3ctxq1tqvaCgkFb8cCA/edit?usp=sharing"",""นครราชสีมา!J98"")"),5)</f>
        <v>5</v>
      </c>
      <c r="Z38" s="137">
        <f t="shared" ca="1" si="11"/>
        <v>100</v>
      </c>
      <c r="AA38" s="77">
        <f ca="1">IFERROR(__xludf.DUMMYFUNCTION("IMPORTRANGE(""https://docs.google.com/spreadsheets/d/1C3CXT74ZlgGe6_JY_1olB1XN4rF0dxEuIIF-xsYjHgg/edit?usp=sharing"",""พรบ!AJ42"")"),0)</f>
        <v>0</v>
      </c>
      <c r="AB38" s="77">
        <f ca="1">IFERROR(__xludf.DUMMYFUNCTION("IMPORTRANGE(""https://docs.google.com/spreadsheets/d/1C3CXT74ZlgGe6_JY_1olB1XN4rF0dxEuIIF-xsYjHgg/edit?usp=sharing"",""พรบ!AK42"")"),0)</f>
        <v>0</v>
      </c>
      <c r="AC38" s="77">
        <f ca="1">IFERROR(__xludf.DUMMYFUNCTION("IMPORTRANGE(""https://docs.google.com/spreadsheets/d/1XL5vhW3sbDhbH9Cz0tuDiY8C3ctxq1tqvaCgkFb8cCA/edit?usp=sharing"",""นครราชสีมา!J110"")"),0)</f>
        <v>0</v>
      </c>
      <c r="AD38" s="137">
        <f t="shared" ca="1" si="13"/>
        <v>0</v>
      </c>
      <c r="AE38" s="77">
        <f ca="1">IFERROR(__xludf.DUMMYFUNCTION("IMPORTRANGE(""https://docs.google.com/spreadsheets/d/1C3CXT74ZlgGe6_JY_1olB1XN4rF0dxEuIIF-xsYjHgg/edit?usp=sharing"",""พรบ!AL42"")"),0)</f>
        <v>0</v>
      </c>
      <c r="AF38" s="77">
        <f ca="1">IFERROR(__xludf.DUMMYFUNCTION("IMPORTRANGE(""https://docs.google.com/spreadsheets/d/1XL5vhW3sbDhbH9Cz0tuDiY8C3ctxq1tqvaCgkFb8cCA/edit?usp=sharing"",""นครราชสีมา!J111"")"),0)</f>
        <v>0</v>
      </c>
      <c r="AG38" s="137">
        <f t="shared" ca="1" si="15"/>
        <v>0</v>
      </c>
      <c r="AH38" s="77">
        <f ca="1">IFERROR(__xludf.DUMMYFUNCTION("IMPORTRANGE(""https://docs.google.com/spreadsheets/d/1C3CXT74ZlgGe6_JY_1olB1XN4rF0dxEuIIF-xsYjHgg/edit?usp=sharing"",""พรบ!AM42"")"),42500)</f>
        <v>42500</v>
      </c>
      <c r="AI38" s="77">
        <f ca="1">IFERROR(__xludf.DUMMYFUNCTION("IMPORTRANGE(""https://docs.google.com/spreadsheets/d/1C3CXT74ZlgGe6_JY_1olB1XN4rF0dxEuIIF-xsYjHgg/edit?usp=sharing"",""พรบ!AN42"")"),70000)</f>
        <v>70000</v>
      </c>
      <c r="AJ38" s="77">
        <f ca="1">IFERROR(__xludf.DUMMYFUNCTION("IMPORTRANGE(""https://docs.google.com/spreadsheets/d/1XL5vhW3sbDhbH9Cz0tuDiY8C3ctxq1tqvaCgkFb8cCA/edit?usp=sharing"",""นครราชสีมา!J124"")"),0)</f>
        <v>0</v>
      </c>
      <c r="AK38" s="137">
        <f t="shared" ca="1" si="17"/>
        <v>0</v>
      </c>
      <c r="AL38" s="77">
        <f ca="1">IFERROR(__xludf.DUMMYFUNCTION("IMPORTRANGE(""https://docs.google.com/spreadsheets/d/1XL5vhW3sbDhbH9Cz0tuDiY8C3ctxq1tqvaCgkFb8cCA/edit?usp=sharing"",""นครราชสีมา!J125"")"),0)</f>
        <v>0</v>
      </c>
      <c r="AM38" s="137">
        <f t="shared" ca="1" si="18"/>
        <v>0</v>
      </c>
      <c r="AN38" s="77">
        <f ca="1">IFERROR(__xludf.DUMMYFUNCTION("IMPORTRANGE(""https://docs.google.com/spreadsheets/d/1C3CXT74ZlgGe6_JY_1olB1XN4rF0dxEuIIF-xsYjHgg/edit?usp=sharing"",""พรบ!AQ42"")"),15)</f>
        <v>15</v>
      </c>
      <c r="AO38" s="77">
        <f ca="1">IFERROR(__xludf.DUMMYFUNCTION("IMPORTRANGE(""https://docs.google.com/spreadsheets/d/1XL5vhW3sbDhbH9Cz0tuDiY8C3ctxq1tqvaCgkFb8cCA/edit?usp=sharing"",""นครราชสีมา!J126"")"),15)</f>
        <v>15</v>
      </c>
      <c r="AP38" s="137">
        <f t="shared" ca="1" si="20"/>
        <v>100</v>
      </c>
      <c r="AQ38" s="149">
        <f ca="1">IFERROR(__xludf.DUMMYFUNCTION("IMPORTRANGE(""https://docs.google.com/spreadsheets/d/1C3CXT74ZlgGe6_JY_1olB1XN4rF0dxEuIIF-xsYjHgg/edit?usp=sharing"",""พรบ!AR42"")"),0)</f>
        <v>0</v>
      </c>
      <c r="AR38" s="77">
        <f ca="1">IFERROR(__xludf.DUMMYFUNCTION("IMPORTRANGE(""https://docs.google.com/spreadsheets/d/1C3CXT74ZlgGe6_JY_1olB1XN4rF0dxEuIIF-xsYjHgg/edit?usp=sharing"",""พรบ!AS42"")"),0)</f>
        <v>0</v>
      </c>
      <c r="AS38" s="77">
        <f ca="1">IFERROR(__xludf.DUMMYFUNCTION("IMPORTRANGE(""https://docs.google.com/spreadsheets/d/1XL5vhW3sbDhbH9Cz0tuDiY8C3ctxq1tqvaCgkFb8cCA/edit?usp=sharing"",""นครราชสีมา!J138"")"),0)</f>
        <v>0</v>
      </c>
      <c r="AT38" s="137">
        <f t="shared" ca="1" si="22"/>
        <v>0</v>
      </c>
      <c r="AU38" s="77">
        <f ca="1">IFERROR(__xludf.DUMMYFUNCTION("IMPORTRANGE(""https://docs.google.com/spreadsheets/d/1C3CXT74ZlgGe6_JY_1olB1XN4rF0dxEuIIF-xsYjHgg/edit?usp=sharing"",""พรบ!AT42"")"),0)</f>
        <v>0</v>
      </c>
      <c r="AV38" s="77">
        <f ca="1">IFERROR(__xludf.DUMMYFUNCTION("IMPORTRANGE(""https://docs.google.com/spreadsheets/d/1C3CXT74ZlgGe6_JY_1olB1XN4rF0dxEuIIF-xsYjHgg/edit?usp=sharing"",""พรบ!AU42"")"),0)</f>
        <v>0</v>
      </c>
      <c r="AW38" s="77">
        <f ca="1">IFERROR(__xludf.DUMMYFUNCTION("IMPORTRANGE(""https://docs.google.com/spreadsheets/d/1XL5vhW3sbDhbH9Cz0tuDiY8C3ctxq1tqvaCgkFb8cCA/edit?usp=sharing"",""นครราชสีมา!J140"")"),0)</f>
        <v>0</v>
      </c>
      <c r="AX38" s="137">
        <f t="shared" ca="1" si="24"/>
        <v>0</v>
      </c>
      <c r="AY38" s="77">
        <f ca="1">IFERROR(__xludf.DUMMYFUNCTION("IMPORTRANGE(""https://docs.google.com/spreadsheets/d/1XL5vhW3sbDhbH9Cz0tuDiY8C3ctxq1tqvaCgkFb8cCA/edit?usp=sharing"",""นครราชสีมา!J141"")"),0)</f>
        <v>0</v>
      </c>
      <c r="AZ38" s="137">
        <f t="shared" ca="1" si="25"/>
        <v>0</v>
      </c>
      <c r="BA38" s="77">
        <f t="shared" ca="1" si="26"/>
        <v>15</v>
      </c>
      <c r="BB38" s="77">
        <f t="shared" ca="1" si="87"/>
        <v>15</v>
      </c>
      <c r="BC38" s="137">
        <f t="shared" ca="1" si="27"/>
        <v>100</v>
      </c>
    </row>
    <row r="39" spans="1:55" ht="21" customHeight="1">
      <c r="A39" s="73">
        <v>6</v>
      </c>
      <c r="B39" s="74" t="s">
        <v>63</v>
      </c>
      <c r="C39" s="75">
        <f t="shared" ca="1" si="0"/>
        <v>176500</v>
      </c>
      <c r="D39" s="76">
        <f t="shared" ca="1" si="85"/>
        <v>176500</v>
      </c>
      <c r="E39" s="77">
        <f ca="1">IFERROR(__xludf.DUMMYFUNCTION("IMPORTRANGE(""https://docs.google.com/spreadsheets/d/1C3CXT74ZlgGe6_JY_1olB1XN4rF0dxEuIIF-xsYjHgg/edit?usp=sharing"",""พรบ!AD43"")"),0)</f>
        <v>0</v>
      </c>
      <c r="F39" s="77">
        <f ca="1">IFERROR(__xludf.DUMMYFUNCTION("IMPORTRANGE(""https://docs.google.com/spreadsheets/d/1C3CXT74ZlgGe6_JY_1olB1XN4rF0dxEuIIF-xsYjHgg/edit?usp=sharing"",""พรบ!AE43"")"),176500)</f>
        <v>176500</v>
      </c>
      <c r="G39" s="77">
        <f ca="1">IFERROR(__xludf.DUMMYFUNCTION("IMPORTRANGE(""https://docs.google.com/spreadsheets/d/1Yj_ptqi66GCucihVvJfMjLAmec39IyEx_6qawtMGysU/edit?usp=sharing"",""สบก!BH43"")"),0)</f>
        <v>0</v>
      </c>
      <c r="H39" s="77">
        <f ca="1">IFERROR(__xludf.DUMMYFUNCTION("IMPORTRANGE(""https://docs.google.com/spreadsheets/d/1Yj_ptqi66GCucihVvJfMjLAmec39IyEx_6qawtMGysU/edit?usp=shBJing"",""สบก!BJ43"")"),173625)</f>
        <v>173625</v>
      </c>
      <c r="I39" s="77">
        <f t="shared" ca="1" si="3"/>
        <v>124130</v>
      </c>
      <c r="J39" s="137">
        <f t="shared" ca="1" si="4"/>
        <v>70.328611898017002</v>
      </c>
      <c r="K39" s="77">
        <f ca="1">IFERROR(__xludf.DUMMYFUNCTION("IMPORTRANGE(""https://docs.google.com/spreadsheets/d/1Yj_ptqi66GCucihVvJfMjLAmec39IyEx_6qawtMGysU/edit?usp=sharing"",""สบก!BK43"")"),124130)</f>
        <v>124130</v>
      </c>
      <c r="L39" s="137">
        <f t="shared" ca="1" si="5"/>
        <v>70.328611898017002</v>
      </c>
      <c r="M39" s="137">
        <f t="shared" ca="1" si="6"/>
        <v>71.493160547156222</v>
      </c>
      <c r="N39" s="137">
        <f ca="1">IFERROR(__xludf.DUMMYFUNCTION("IMPORTRANGE(""https://docs.google.com/spreadsheets/d/1Yj_ptqi66GCucihVvJfMjLAmec39IyEx_6qawtMGysU/edit?usp=sharing"",""สบก!BL43"")"),0)</f>
        <v>0</v>
      </c>
      <c r="O39" s="137">
        <f t="shared" ca="1" si="7"/>
        <v>0</v>
      </c>
      <c r="P39" s="77">
        <f ca="1">IFERROR(__xludf.DUMMYFUNCTION("IMPORTRANGE(""https://docs.google.com/spreadsheets/d/1C3CXT74ZlgGe6_JY_1olB1XN4rF0dxEuIIF-xsYjHgg/edit?usp=sharing"",""พรบ!AF43"")"),7500)</f>
        <v>7500</v>
      </c>
      <c r="Q39" s="77">
        <f ca="1">IFERROR(__xludf.DUMMYFUNCTION("IMPORTRANGE(""https://docs.google.com/spreadsheets/d/1C3CXT74ZlgGe6_JY_1olB1XN4rF0dxEuIIF-xsYjHgg/edit?usp=sharing"",""พรบ!AG43"")"),4)</f>
        <v>4</v>
      </c>
      <c r="R39" s="77">
        <f ca="1">IFERROR(__xludf.DUMMYFUNCTION("IMPORTRANGE(""https://docs.google.com/spreadsheets/d/1XL5vhW3sbDhbH9Cz0tuDiY8C3ctxq1tqvaCgkFb8cCA/edit?usp=sharing"",""บึงกาฬ!J83"")"),2)</f>
        <v>2</v>
      </c>
      <c r="S39" s="137">
        <f t="shared" ca="1" si="9"/>
        <v>50</v>
      </c>
      <c r="T39" s="77">
        <f t="shared" ca="1" si="86"/>
        <v>30</v>
      </c>
      <c r="U39" s="77">
        <f ca="1">IFERROR(__xludf.DUMMYFUNCTION("IMPORTRANGE(""https://docs.google.com/spreadsheets/d/1XL5vhW3sbDhbH9Cz0tuDiY8C3ctxq1tqvaCgkFb8cCA/edit?usp=sharing"",""บึงกาฬ!J85"")"),30)</f>
        <v>30</v>
      </c>
      <c r="V39" s="77">
        <f ca="1">IFERROR(__xludf.DUMMYFUNCTION("IMPORTRANGE(""https://docs.google.com/spreadsheets/d/1XL5vhW3sbDhbH9Cz0tuDiY8C3ctxq1tqvaCgkFb8cCA/edit?usp=sharing"",""บึงกาฬ!J86"")"),0)</f>
        <v>0</v>
      </c>
      <c r="W39" s="77">
        <f ca="1">IFERROR(__xludf.DUMMYFUNCTION("IMPORTRANGE(""https://docs.google.com/spreadsheets/d/1C3CXT74ZlgGe6_JY_1olB1XN4rF0dxEuIIF-xsYjHgg/edit?usp=sharing"",""พรบ!AH43"")"),70000)</f>
        <v>70000</v>
      </c>
      <c r="X39" s="77">
        <f ca="1">IFERROR(__xludf.DUMMYFUNCTION("IMPORTRANGE(""https://docs.google.com/spreadsheets/d/1C3CXT74ZlgGe6_JY_1olB1XN4rF0dxEuIIF-xsYjHgg/edit?usp=sharing"",""พรบ!AI43"")"),5)</f>
        <v>5</v>
      </c>
      <c r="Y39" s="77">
        <f ca="1">IFERROR(__xludf.DUMMYFUNCTION("IMPORTRANGE(""https://docs.google.com/spreadsheets/d/1XL5vhW3sbDhbH9Cz0tuDiY8C3ctxq1tqvaCgkFb8cCA/edit?usp=sharing"",""บึงกาฬ!J98"")"),5)</f>
        <v>5</v>
      </c>
      <c r="Z39" s="137">
        <f t="shared" ca="1" si="11"/>
        <v>100</v>
      </c>
      <c r="AA39" s="77">
        <f ca="1">IFERROR(__xludf.DUMMYFUNCTION("IMPORTRANGE(""https://docs.google.com/spreadsheets/d/1C3CXT74ZlgGe6_JY_1olB1XN4rF0dxEuIIF-xsYjHgg/edit?usp=sharing"",""พรบ!AJ43"")"),90000)</f>
        <v>90000</v>
      </c>
      <c r="AB39" s="77">
        <f ca="1">IFERROR(__xludf.DUMMYFUNCTION("IMPORTRANGE(""https://docs.google.com/spreadsheets/d/1C3CXT74ZlgGe6_JY_1olB1XN4rF0dxEuIIF-xsYjHgg/edit?usp=sharing"",""พรบ!AK43"")"),6)</f>
        <v>6</v>
      </c>
      <c r="AC39" s="77">
        <f ca="1">IFERROR(__xludf.DUMMYFUNCTION("IMPORTRANGE(""https://docs.google.com/spreadsheets/d/1XL5vhW3sbDhbH9Cz0tuDiY8C3ctxq1tqvaCgkFb8cCA/edit?usp=sharing"",""บึงกาฬ!J110"")"),0)</f>
        <v>0</v>
      </c>
      <c r="AD39" s="137">
        <f t="shared" ca="1" si="13"/>
        <v>0</v>
      </c>
      <c r="AE39" s="77">
        <f ca="1">IFERROR(__xludf.DUMMYFUNCTION("IMPORTRANGE(""https://docs.google.com/spreadsheets/d/1C3CXT74ZlgGe6_JY_1olB1XN4rF0dxEuIIF-xsYjHgg/edit?usp=sharing"",""พรบ!AL43"")"),6)</f>
        <v>6</v>
      </c>
      <c r="AF39" s="77">
        <f ca="1">IFERROR(__xludf.DUMMYFUNCTION("IMPORTRANGE(""https://docs.google.com/spreadsheets/d/1XL5vhW3sbDhbH9Cz0tuDiY8C3ctxq1tqvaCgkFb8cCA/edit?usp=sharing"",""บึงกาฬ!J111"")"),6)</f>
        <v>6</v>
      </c>
      <c r="AG39" s="137">
        <f t="shared" ca="1" si="15"/>
        <v>100</v>
      </c>
      <c r="AH39" s="77">
        <f ca="1">IFERROR(__xludf.DUMMYFUNCTION("IMPORTRANGE(""https://docs.google.com/spreadsheets/d/1C3CXT74ZlgGe6_JY_1olB1XN4rF0dxEuIIF-xsYjHgg/edit?usp=sharing"",""พรบ!AM43"")"),9000)</f>
        <v>9000</v>
      </c>
      <c r="AI39" s="77">
        <f ca="1">IFERROR(__xludf.DUMMYFUNCTION("IMPORTRANGE(""https://docs.google.com/spreadsheets/d/1C3CXT74ZlgGe6_JY_1olB1XN4rF0dxEuIIF-xsYjHgg/edit?usp=sharing"",""พรบ!AN43"")"),20000)</f>
        <v>20000</v>
      </c>
      <c r="AJ39" s="77">
        <f ca="1">IFERROR(__xludf.DUMMYFUNCTION("IMPORTRANGE(""https://docs.google.com/spreadsheets/d/1XL5vhW3sbDhbH9Cz0tuDiY8C3ctxq1tqvaCgkFb8cCA/edit?usp=sharing"",""บึงกาฬ!J124"")"),0)</f>
        <v>0</v>
      </c>
      <c r="AK39" s="137">
        <f t="shared" ca="1" si="17"/>
        <v>0</v>
      </c>
      <c r="AL39" s="77">
        <f ca="1">IFERROR(__xludf.DUMMYFUNCTION("IMPORTRANGE(""https://docs.google.com/spreadsheets/d/1XL5vhW3sbDhbH9Cz0tuDiY8C3ctxq1tqvaCgkFb8cCA/edit?usp=sharing"",""บึงกาฬ!J125"")"),0)</f>
        <v>0</v>
      </c>
      <c r="AM39" s="137">
        <f t="shared" ca="1" si="18"/>
        <v>0</v>
      </c>
      <c r="AN39" s="77">
        <f ca="1">IFERROR(__xludf.DUMMYFUNCTION("IMPORTRANGE(""https://docs.google.com/spreadsheets/d/1C3CXT74ZlgGe6_JY_1olB1XN4rF0dxEuIIF-xsYjHgg/edit?usp=sharing"",""พรบ!AQ43"")"),0)</f>
        <v>0</v>
      </c>
      <c r="AO39" s="77">
        <f ca="1">IFERROR(__xludf.DUMMYFUNCTION("IMPORTRANGE(""https://docs.google.com/spreadsheets/d/1XL5vhW3sbDhbH9Cz0tuDiY8C3ctxq1tqvaCgkFb8cCA/edit?usp=sharing"",""บึงกาฬ!J126"")"),0)</f>
        <v>0</v>
      </c>
      <c r="AP39" s="137">
        <f t="shared" ca="1" si="20"/>
        <v>0</v>
      </c>
      <c r="AQ39" s="149">
        <f ca="1">IFERROR(__xludf.DUMMYFUNCTION("IMPORTRANGE(""https://docs.google.com/spreadsheets/d/1C3CXT74ZlgGe6_JY_1olB1XN4rF0dxEuIIF-xsYjHgg/edit?usp=sharing"",""พรบ!AR43"")"),0)</f>
        <v>0</v>
      </c>
      <c r="AR39" s="77">
        <f ca="1">IFERROR(__xludf.DUMMYFUNCTION("IMPORTRANGE(""https://docs.google.com/spreadsheets/d/1C3CXT74ZlgGe6_JY_1olB1XN4rF0dxEuIIF-xsYjHgg/edit?usp=sharing"",""พรบ!AS43"")"),0)</f>
        <v>0</v>
      </c>
      <c r="AS39" s="77">
        <f ca="1">IFERROR(__xludf.DUMMYFUNCTION("IMPORTRANGE(""https://docs.google.com/spreadsheets/d/1XL5vhW3sbDhbH9Cz0tuDiY8C3ctxq1tqvaCgkFb8cCA/edit?usp=sharing"",""บึงกาฬ!J138"")"),0)</f>
        <v>0</v>
      </c>
      <c r="AT39" s="137">
        <f t="shared" ca="1" si="22"/>
        <v>0</v>
      </c>
      <c r="AU39" s="77">
        <f ca="1">IFERROR(__xludf.DUMMYFUNCTION("IMPORTRANGE(""https://docs.google.com/spreadsheets/d/1C3CXT74ZlgGe6_JY_1olB1XN4rF0dxEuIIF-xsYjHgg/edit?usp=sharing"",""พรบ!AT43"")"),0)</f>
        <v>0</v>
      </c>
      <c r="AV39" s="77">
        <f ca="1">IFERROR(__xludf.DUMMYFUNCTION("IMPORTRANGE(""https://docs.google.com/spreadsheets/d/1C3CXT74ZlgGe6_JY_1olB1XN4rF0dxEuIIF-xsYjHgg/edit?usp=sharing"",""พรบ!AU43"")"),0)</f>
        <v>0</v>
      </c>
      <c r="AW39" s="77">
        <f ca="1">IFERROR(__xludf.DUMMYFUNCTION("IMPORTRANGE(""https://docs.google.com/spreadsheets/d/1XL5vhW3sbDhbH9Cz0tuDiY8C3ctxq1tqvaCgkFb8cCA/edit?usp=sharing"",""บึงกาฬ!J140"")"),0)</f>
        <v>0</v>
      </c>
      <c r="AX39" s="137">
        <f t="shared" ca="1" si="24"/>
        <v>0</v>
      </c>
      <c r="AY39" s="77">
        <f ca="1">IFERROR(__xludf.DUMMYFUNCTION("IMPORTRANGE(""https://docs.google.com/spreadsheets/d/1XL5vhW3sbDhbH9Cz0tuDiY8C3ctxq1tqvaCgkFb8cCA/edit?usp=sharing"",""บึงกาฬ!J141"")"),0)</f>
        <v>0</v>
      </c>
      <c r="AZ39" s="137">
        <f t="shared" ca="1" si="25"/>
        <v>0</v>
      </c>
      <c r="BA39" s="77">
        <f t="shared" ca="1" si="26"/>
        <v>0</v>
      </c>
      <c r="BB39" s="77">
        <f t="shared" ca="1" si="87"/>
        <v>0</v>
      </c>
      <c r="BC39" s="137">
        <f t="shared" ca="1" si="27"/>
        <v>0</v>
      </c>
    </row>
    <row r="40" spans="1:55" ht="21" customHeight="1">
      <c r="A40" s="73">
        <v>7</v>
      </c>
      <c r="B40" s="74" t="s">
        <v>64</v>
      </c>
      <c r="C40" s="75">
        <f t="shared" ca="1" si="0"/>
        <v>98500</v>
      </c>
      <c r="D40" s="76">
        <f t="shared" ca="1" si="85"/>
        <v>98500</v>
      </c>
      <c r="E40" s="77">
        <f ca="1">IFERROR(__xludf.DUMMYFUNCTION("IMPORTRANGE(""https://docs.google.com/spreadsheets/d/1C3CXT74ZlgGe6_JY_1olB1XN4rF0dxEuIIF-xsYjHgg/edit?usp=sharing"",""พรบ!AD44"")"),0)</f>
        <v>0</v>
      </c>
      <c r="F40" s="77">
        <f ca="1">IFERROR(__xludf.DUMMYFUNCTION("IMPORTRANGE(""https://docs.google.com/spreadsheets/d/1C3CXT74ZlgGe6_JY_1olB1XN4rF0dxEuIIF-xsYjHgg/edit?usp=sharing"",""พรบ!AE44"")"),98500)</f>
        <v>98500</v>
      </c>
      <c r="G40" s="77">
        <f ca="1">IFERROR(__xludf.DUMMYFUNCTION("IMPORTRANGE(""https://docs.google.com/spreadsheets/d/1Yj_ptqi66GCucihVvJfMjLAmec39IyEx_6qawtMGysU/edit?usp=sharing"",""สบก!BH44"")"),0)</f>
        <v>0</v>
      </c>
      <c r="H40" s="77">
        <f ca="1">IFERROR(__xludf.DUMMYFUNCTION("IMPORTRANGE(""https://docs.google.com/spreadsheets/d/1Yj_ptqi66GCucihVvJfMjLAmec39IyEx_6qawtMGysU/edit?usp=shBJing"",""สบก!BJ44"")"),70625)</f>
        <v>70625</v>
      </c>
      <c r="I40" s="77">
        <f t="shared" ca="1" si="3"/>
        <v>56710</v>
      </c>
      <c r="J40" s="137">
        <f t="shared" ca="1" si="4"/>
        <v>57.573604060913702</v>
      </c>
      <c r="K40" s="77">
        <f ca="1">IFERROR(__xludf.DUMMYFUNCTION("IMPORTRANGE(""https://docs.google.com/spreadsheets/d/1Yj_ptqi66GCucihVvJfMjLAmec39IyEx_6qawtMGysU/edit?usp=sharing"",""สบก!BK44"")"),56710)</f>
        <v>56710</v>
      </c>
      <c r="L40" s="137">
        <f t="shared" ca="1" si="5"/>
        <v>57.573604060913702</v>
      </c>
      <c r="M40" s="137">
        <f t="shared" ca="1" si="6"/>
        <v>80.297345132743359</v>
      </c>
      <c r="N40" s="137">
        <f ca="1">IFERROR(__xludf.DUMMYFUNCTION("IMPORTRANGE(""https://docs.google.com/spreadsheets/d/1Yj_ptqi66GCucihVvJfMjLAmec39IyEx_6qawtMGysU/edit?usp=sharing"",""สบก!BL44"")"),0)</f>
        <v>0</v>
      </c>
      <c r="O40" s="137">
        <f t="shared" ca="1" si="7"/>
        <v>0</v>
      </c>
      <c r="P40" s="77">
        <f ca="1">IFERROR(__xludf.DUMMYFUNCTION("IMPORTRANGE(""https://docs.google.com/spreadsheets/d/1C3CXT74ZlgGe6_JY_1olB1XN4rF0dxEuIIF-xsYjHgg/edit?usp=sharing"",""พรบ!AF44"")"),7500)</f>
        <v>7500</v>
      </c>
      <c r="Q40" s="77">
        <f ca="1">IFERROR(__xludf.DUMMYFUNCTION("IMPORTRANGE(""https://docs.google.com/spreadsheets/d/1C3CXT74ZlgGe6_JY_1olB1XN4rF0dxEuIIF-xsYjHgg/edit?usp=sharing"",""พรบ!AG44"")"),4)</f>
        <v>4</v>
      </c>
      <c r="R40" s="77">
        <f ca="1">IFERROR(__xludf.DUMMYFUNCTION("IMPORTRANGE(""https://docs.google.com/spreadsheets/d/1XL5vhW3sbDhbH9Cz0tuDiY8C3ctxq1tqvaCgkFb8cCA/edit?usp=sharing"",""บุรีรัมย์!J83"")"),2)</f>
        <v>2</v>
      </c>
      <c r="S40" s="137">
        <f t="shared" ca="1" si="9"/>
        <v>50</v>
      </c>
      <c r="T40" s="77">
        <f t="shared" ca="1" si="86"/>
        <v>131</v>
      </c>
      <c r="U40" s="77">
        <f ca="1">IFERROR(__xludf.DUMMYFUNCTION("IMPORTRANGE(""https://docs.google.com/spreadsheets/d/1XL5vhW3sbDhbH9Cz0tuDiY8C3ctxq1tqvaCgkFb8cCA/edit?usp=sharing"",""บุรีรัมย์!J85"")"),131)</f>
        <v>131</v>
      </c>
      <c r="V40" s="77">
        <f ca="1">IFERROR(__xludf.DUMMYFUNCTION("IMPORTRANGE(""https://docs.google.com/spreadsheets/d/1XL5vhW3sbDhbH9Cz0tuDiY8C3ctxq1tqvaCgkFb8cCA/edit?usp=sharing"",""บุรีรัมย์!J86"")"),0)</f>
        <v>0</v>
      </c>
      <c r="W40" s="77">
        <f ca="1">IFERROR(__xludf.DUMMYFUNCTION("IMPORTRANGE(""https://docs.google.com/spreadsheets/d/1C3CXT74ZlgGe6_JY_1olB1XN4rF0dxEuIIF-xsYjHgg/edit?usp=sharing"",""พรบ!AH44"")"),42000)</f>
        <v>42000</v>
      </c>
      <c r="X40" s="77">
        <f ca="1">IFERROR(__xludf.DUMMYFUNCTION("IMPORTRANGE(""https://docs.google.com/spreadsheets/d/1C3CXT74ZlgGe6_JY_1olB1XN4rF0dxEuIIF-xsYjHgg/edit?usp=sharing"",""พรบ!AI44"")"),3)</f>
        <v>3</v>
      </c>
      <c r="Y40" s="77">
        <f ca="1">IFERROR(__xludf.DUMMYFUNCTION("IMPORTRANGE(""https://docs.google.com/spreadsheets/d/1XL5vhW3sbDhbH9Cz0tuDiY8C3ctxq1tqvaCgkFb8cCA/edit?usp=sharing"",""บุรีรัมย์!J98"")"),3)</f>
        <v>3</v>
      </c>
      <c r="Z40" s="137">
        <f t="shared" ca="1" si="11"/>
        <v>100</v>
      </c>
      <c r="AA40" s="77">
        <f ca="1">IFERROR(__xludf.DUMMYFUNCTION("IMPORTRANGE(""https://docs.google.com/spreadsheets/d/1C3CXT74ZlgGe6_JY_1olB1XN4rF0dxEuIIF-xsYjHgg/edit?usp=sharing"",""พรบ!AJ44"")"),15000)</f>
        <v>15000</v>
      </c>
      <c r="AB40" s="77">
        <f ca="1">IFERROR(__xludf.DUMMYFUNCTION("IMPORTRANGE(""https://docs.google.com/spreadsheets/d/1C3CXT74ZlgGe6_JY_1olB1XN4rF0dxEuIIF-xsYjHgg/edit?usp=sharing"",""พรบ!AK44"")"),1)</f>
        <v>1</v>
      </c>
      <c r="AC40" s="77">
        <f ca="1">IFERROR(__xludf.DUMMYFUNCTION("IMPORTRANGE(""https://docs.google.com/spreadsheets/d/1XL5vhW3sbDhbH9Cz0tuDiY8C3ctxq1tqvaCgkFb8cCA/edit?usp=sharing"",""บุรีรัมย์!J110"")"),0)</f>
        <v>0</v>
      </c>
      <c r="AD40" s="137">
        <f t="shared" ca="1" si="13"/>
        <v>0</v>
      </c>
      <c r="AE40" s="77">
        <f ca="1">IFERROR(__xludf.DUMMYFUNCTION("IMPORTRANGE(""https://docs.google.com/spreadsheets/d/1C3CXT74ZlgGe6_JY_1olB1XN4rF0dxEuIIF-xsYjHgg/edit?usp=sharing"",""พรบ!AL44"")"),1)</f>
        <v>1</v>
      </c>
      <c r="AF40" s="77">
        <f ca="1">IFERROR(__xludf.DUMMYFUNCTION("IMPORTRANGE(""https://docs.google.com/spreadsheets/d/1XL5vhW3sbDhbH9Cz0tuDiY8C3ctxq1tqvaCgkFb8cCA/edit?usp=sharing"",""บุรีรัมย์!J111"")"),1)</f>
        <v>1</v>
      </c>
      <c r="AG40" s="137">
        <f t="shared" ca="1" si="15"/>
        <v>100</v>
      </c>
      <c r="AH40" s="77">
        <f ca="1">IFERROR(__xludf.DUMMYFUNCTION("IMPORTRANGE(""https://docs.google.com/spreadsheets/d/1C3CXT74ZlgGe6_JY_1olB1XN4rF0dxEuIIF-xsYjHgg/edit?usp=sharing"",""พรบ!AM44"")"),34000)</f>
        <v>34000</v>
      </c>
      <c r="AI40" s="77">
        <f ca="1">IFERROR(__xludf.DUMMYFUNCTION("IMPORTRANGE(""https://docs.google.com/spreadsheets/d/1C3CXT74ZlgGe6_JY_1olB1XN4rF0dxEuIIF-xsYjHgg/edit?usp=sharing"",""พรบ!AN44"")"),100000)</f>
        <v>100000</v>
      </c>
      <c r="AJ40" s="77">
        <f ca="1">IFERROR(__xludf.DUMMYFUNCTION("IMPORTRANGE(""https://docs.google.com/spreadsheets/d/1XL5vhW3sbDhbH9Cz0tuDiY8C3ctxq1tqvaCgkFb8cCA/edit?usp=sharing"",""บุรีรัมย์!J124"")"),100000)</f>
        <v>100000</v>
      </c>
      <c r="AK40" s="137">
        <f t="shared" ca="1" si="17"/>
        <v>100</v>
      </c>
      <c r="AL40" s="77">
        <f ca="1">IFERROR(__xludf.DUMMYFUNCTION("IMPORTRANGE(""https://docs.google.com/spreadsheets/d/1XL5vhW3sbDhbH9Cz0tuDiY8C3ctxq1tqvaCgkFb8cCA/edit?usp=sharing"",""บุรีรัมย์!J125"")"),0)</f>
        <v>0</v>
      </c>
      <c r="AM40" s="137">
        <f t="shared" ca="1" si="18"/>
        <v>0</v>
      </c>
      <c r="AN40" s="77">
        <f ca="1">IFERROR(__xludf.DUMMYFUNCTION("IMPORTRANGE(""https://docs.google.com/spreadsheets/d/1C3CXT74ZlgGe6_JY_1olB1XN4rF0dxEuIIF-xsYjHgg/edit?usp=sharing"",""พรบ!AQ44"")"),0)</f>
        <v>0</v>
      </c>
      <c r="AO40" s="77">
        <f ca="1">IFERROR(__xludf.DUMMYFUNCTION("IMPORTRANGE(""https://docs.google.com/spreadsheets/d/1XL5vhW3sbDhbH9Cz0tuDiY8C3ctxq1tqvaCgkFb8cCA/edit?usp=sharing"",""บุรีรัมย์!J126"")"),0)</f>
        <v>0</v>
      </c>
      <c r="AP40" s="137">
        <f t="shared" ca="1" si="20"/>
        <v>0</v>
      </c>
      <c r="AQ40" s="149">
        <f ca="1">IFERROR(__xludf.DUMMYFUNCTION("IMPORTRANGE(""https://docs.google.com/spreadsheets/d/1C3CXT74ZlgGe6_JY_1olB1XN4rF0dxEuIIF-xsYjHgg/edit?usp=sharing"",""พรบ!AR44"")"),0)</f>
        <v>0</v>
      </c>
      <c r="AR40" s="77">
        <f ca="1">IFERROR(__xludf.DUMMYFUNCTION("IMPORTRANGE(""https://docs.google.com/spreadsheets/d/1C3CXT74ZlgGe6_JY_1olB1XN4rF0dxEuIIF-xsYjHgg/edit?usp=sharing"",""พรบ!AS44"")"),0)</f>
        <v>0</v>
      </c>
      <c r="AS40" s="77">
        <f ca="1">IFERROR(__xludf.DUMMYFUNCTION("IMPORTRANGE(""https://docs.google.com/spreadsheets/d/1XL5vhW3sbDhbH9Cz0tuDiY8C3ctxq1tqvaCgkFb8cCA/edit?usp=sharing"",""บุรีรัมย์!J138"")"),0)</f>
        <v>0</v>
      </c>
      <c r="AT40" s="137">
        <f t="shared" ca="1" si="22"/>
        <v>0</v>
      </c>
      <c r="AU40" s="77">
        <f ca="1">IFERROR(__xludf.DUMMYFUNCTION("IMPORTRANGE(""https://docs.google.com/spreadsheets/d/1C3CXT74ZlgGe6_JY_1olB1XN4rF0dxEuIIF-xsYjHgg/edit?usp=sharing"",""พรบ!AT44"")"),0)</f>
        <v>0</v>
      </c>
      <c r="AV40" s="77">
        <f ca="1">IFERROR(__xludf.DUMMYFUNCTION("IMPORTRANGE(""https://docs.google.com/spreadsheets/d/1C3CXT74ZlgGe6_JY_1olB1XN4rF0dxEuIIF-xsYjHgg/edit?usp=sharing"",""พรบ!AU44"")"),0)</f>
        <v>0</v>
      </c>
      <c r="AW40" s="77">
        <f ca="1">IFERROR(__xludf.DUMMYFUNCTION("IMPORTRANGE(""https://docs.google.com/spreadsheets/d/1XL5vhW3sbDhbH9Cz0tuDiY8C3ctxq1tqvaCgkFb8cCA/edit?usp=sharing"",""บุรีรัมย์!J140"")"),0)</f>
        <v>0</v>
      </c>
      <c r="AX40" s="137">
        <f t="shared" ca="1" si="24"/>
        <v>0</v>
      </c>
      <c r="AY40" s="77">
        <f ca="1">IFERROR(__xludf.DUMMYFUNCTION("IMPORTRANGE(""https://docs.google.com/spreadsheets/d/1XL5vhW3sbDhbH9Cz0tuDiY8C3ctxq1tqvaCgkFb8cCA/edit?usp=sharing"",""บุรีรัมย์!J141"")"),0)</f>
        <v>0</v>
      </c>
      <c r="AZ40" s="137">
        <f t="shared" ca="1" si="25"/>
        <v>0</v>
      </c>
      <c r="BA40" s="77">
        <f t="shared" ca="1" si="26"/>
        <v>0</v>
      </c>
      <c r="BB40" s="77">
        <f t="shared" ca="1" si="87"/>
        <v>0</v>
      </c>
      <c r="BC40" s="137">
        <f t="shared" ca="1" si="27"/>
        <v>0</v>
      </c>
    </row>
    <row r="41" spans="1:55" ht="21" customHeight="1">
      <c r="A41" s="73">
        <v>8</v>
      </c>
      <c r="B41" s="74" t="s">
        <v>65</v>
      </c>
      <c r="C41" s="75">
        <f t="shared" ca="1" si="0"/>
        <v>97500</v>
      </c>
      <c r="D41" s="76">
        <f t="shared" ca="1" si="85"/>
        <v>97500</v>
      </c>
      <c r="E41" s="77">
        <f ca="1">IFERROR(__xludf.DUMMYFUNCTION("IMPORTRANGE(""https://docs.google.com/spreadsheets/d/1C3CXT74ZlgGe6_JY_1olB1XN4rF0dxEuIIF-xsYjHgg/edit?usp=sharing"",""พรบ!AD45"")"),0)</f>
        <v>0</v>
      </c>
      <c r="F41" s="77">
        <f ca="1">IFERROR(__xludf.DUMMYFUNCTION("IMPORTRANGE(""https://docs.google.com/spreadsheets/d/1C3CXT74ZlgGe6_JY_1olB1XN4rF0dxEuIIF-xsYjHgg/edit?usp=sharing"",""พรบ!AE45"")"),97500)</f>
        <v>97500</v>
      </c>
      <c r="G41" s="77">
        <f ca="1">IFERROR(__xludf.DUMMYFUNCTION("IMPORTRANGE(""https://docs.google.com/spreadsheets/d/1Yj_ptqi66GCucihVvJfMjLAmec39IyEx_6qawtMGysU/edit?usp=sharing"",""สบก!BH45"")"),0)</f>
        <v>0</v>
      </c>
      <c r="H41" s="77">
        <f ca="1">IFERROR(__xludf.DUMMYFUNCTION("IMPORTRANGE(""https://docs.google.com/spreadsheets/d/1Yj_ptqi66GCucihVvJfMjLAmec39IyEx_6qawtMGysU/edit?usp=shBJing"",""สบก!BJ45"")"),69625)</f>
        <v>69625</v>
      </c>
      <c r="I41" s="77">
        <f t="shared" ca="1" si="3"/>
        <v>57120</v>
      </c>
      <c r="J41" s="137">
        <f t="shared" ca="1" si="4"/>
        <v>58.584615384615383</v>
      </c>
      <c r="K41" s="77">
        <f ca="1">IFERROR(__xludf.DUMMYFUNCTION("IMPORTRANGE(""https://docs.google.com/spreadsheets/d/1Yj_ptqi66GCucihVvJfMjLAmec39IyEx_6qawtMGysU/edit?usp=sharing"",""สบก!BK45"")"),57120)</f>
        <v>57120</v>
      </c>
      <c r="L41" s="137">
        <f t="shared" ca="1" si="5"/>
        <v>58.584615384615383</v>
      </c>
      <c r="M41" s="137">
        <f t="shared" ca="1" si="6"/>
        <v>82.039497307001795</v>
      </c>
      <c r="N41" s="137">
        <f ca="1">IFERROR(__xludf.DUMMYFUNCTION("IMPORTRANGE(""https://docs.google.com/spreadsheets/d/1Yj_ptqi66GCucihVvJfMjLAmec39IyEx_6qawtMGysU/edit?usp=sharing"",""สบก!BL45"")"),0)</f>
        <v>0</v>
      </c>
      <c r="O41" s="137">
        <f t="shared" ca="1" si="7"/>
        <v>0</v>
      </c>
      <c r="P41" s="77">
        <f ca="1">IFERROR(__xludf.DUMMYFUNCTION("IMPORTRANGE(""https://docs.google.com/spreadsheets/d/1C3CXT74ZlgGe6_JY_1olB1XN4rF0dxEuIIF-xsYjHgg/edit?usp=sharing"",""พรบ!AF45"")"),7500)</f>
        <v>7500</v>
      </c>
      <c r="Q41" s="77">
        <f ca="1">IFERROR(__xludf.DUMMYFUNCTION("IMPORTRANGE(""https://docs.google.com/spreadsheets/d/1C3CXT74ZlgGe6_JY_1olB1XN4rF0dxEuIIF-xsYjHgg/edit?usp=sharing"",""พรบ!AG45"")"),4)</f>
        <v>4</v>
      </c>
      <c r="R41" s="77">
        <f ca="1">IFERROR(__xludf.DUMMYFUNCTION("IMPORTRANGE(""https://docs.google.com/spreadsheets/d/1XL5vhW3sbDhbH9Cz0tuDiY8C3ctxq1tqvaCgkFb8cCA/edit?usp=sharing"",""มหาสารคาม!J83"")"),2)</f>
        <v>2</v>
      </c>
      <c r="S41" s="137">
        <f t="shared" ca="1" si="9"/>
        <v>50</v>
      </c>
      <c r="T41" s="77">
        <f t="shared" ca="1" si="86"/>
        <v>43</v>
      </c>
      <c r="U41" s="77">
        <f ca="1">IFERROR(__xludf.DUMMYFUNCTION("IMPORTRANGE(""https://docs.google.com/spreadsheets/d/1XL5vhW3sbDhbH9Cz0tuDiY8C3ctxq1tqvaCgkFb8cCA/edit?usp=sharing"",""มหาสารคาม!J85"")"),43)</f>
        <v>43</v>
      </c>
      <c r="V41" s="77">
        <f ca="1">IFERROR(__xludf.DUMMYFUNCTION("IMPORTRANGE(""https://docs.google.com/spreadsheets/d/1XL5vhW3sbDhbH9Cz0tuDiY8C3ctxq1tqvaCgkFb8cCA/edit?usp=sharing"",""มหาสารคาม!J86"")"),0)</f>
        <v>0</v>
      </c>
      <c r="W41" s="77">
        <f ca="1">IFERROR(__xludf.DUMMYFUNCTION("IMPORTRANGE(""https://docs.google.com/spreadsheets/d/1C3CXT74ZlgGe6_JY_1olB1XN4rF0dxEuIIF-xsYjHgg/edit?usp=sharing"",""พรบ!AH45"")"),56000)</f>
        <v>56000</v>
      </c>
      <c r="X41" s="77">
        <f ca="1">IFERROR(__xludf.DUMMYFUNCTION("IMPORTRANGE(""https://docs.google.com/spreadsheets/d/1C3CXT74ZlgGe6_JY_1olB1XN4rF0dxEuIIF-xsYjHgg/edit?usp=sharing"",""พรบ!AI45"")"),4)</f>
        <v>4</v>
      </c>
      <c r="Y41" s="77">
        <f ca="1">IFERROR(__xludf.DUMMYFUNCTION("IMPORTRANGE(""https://docs.google.com/spreadsheets/d/1XL5vhW3sbDhbH9Cz0tuDiY8C3ctxq1tqvaCgkFb8cCA/edit?usp=sharing"",""มหาสารคาม!J98"")"),2)</f>
        <v>2</v>
      </c>
      <c r="Z41" s="137">
        <f t="shared" ca="1" si="11"/>
        <v>50</v>
      </c>
      <c r="AA41" s="77">
        <f ca="1">IFERROR(__xludf.DUMMYFUNCTION("IMPORTRANGE(""https://docs.google.com/spreadsheets/d/1C3CXT74ZlgGe6_JY_1olB1XN4rF0dxEuIIF-xsYjHgg/edit?usp=sharing"",""พรบ!AJ45"")"),0)</f>
        <v>0</v>
      </c>
      <c r="AB41" s="77">
        <f ca="1">IFERROR(__xludf.DUMMYFUNCTION("IMPORTRANGE(""https://docs.google.com/spreadsheets/d/1C3CXT74ZlgGe6_JY_1olB1XN4rF0dxEuIIF-xsYjHgg/edit?usp=sharing"",""พรบ!AK45"")"),0)</f>
        <v>0</v>
      </c>
      <c r="AC41" s="77">
        <f ca="1">IFERROR(__xludf.DUMMYFUNCTION("IMPORTRANGE(""https://docs.google.com/spreadsheets/d/1XL5vhW3sbDhbH9Cz0tuDiY8C3ctxq1tqvaCgkFb8cCA/edit?usp=sharing"",""มหาสารคาม!J110"")"),0)</f>
        <v>0</v>
      </c>
      <c r="AD41" s="137">
        <f t="shared" ca="1" si="13"/>
        <v>0</v>
      </c>
      <c r="AE41" s="77">
        <f ca="1">IFERROR(__xludf.DUMMYFUNCTION("IMPORTRANGE(""https://docs.google.com/spreadsheets/d/1C3CXT74ZlgGe6_JY_1olB1XN4rF0dxEuIIF-xsYjHgg/edit?usp=sharing"",""พรบ!AL45"")"),0)</f>
        <v>0</v>
      </c>
      <c r="AF41" s="77">
        <f ca="1">IFERROR(__xludf.DUMMYFUNCTION("IMPORTRANGE(""https://docs.google.com/spreadsheets/d/1XL5vhW3sbDhbH9Cz0tuDiY8C3ctxq1tqvaCgkFb8cCA/edit?usp=sharing"",""มหาสารคาม!J111"")"),0)</f>
        <v>0</v>
      </c>
      <c r="AG41" s="137">
        <f t="shared" ca="1" si="15"/>
        <v>0</v>
      </c>
      <c r="AH41" s="77">
        <f ca="1">IFERROR(__xludf.DUMMYFUNCTION("IMPORTRANGE(""https://docs.google.com/spreadsheets/d/1C3CXT74ZlgGe6_JY_1olB1XN4rF0dxEuIIF-xsYjHgg/edit?usp=sharing"",""พรบ!AM45"")"),34000)</f>
        <v>34000</v>
      </c>
      <c r="AI41" s="77">
        <f ca="1">IFERROR(__xludf.DUMMYFUNCTION("IMPORTRANGE(""https://docs.google.com/spreadsheets/d/1C3CXT74ZlgGe6_JY_1olB1XN4rF0dxEuIIF-xsYjHgg/edit?usp=sharing"",""พรบ!AN45"")"),100000)</f>
        <v>100000</v>
      </c>
      <c r="AJ41" s="77">
        <f ca="1">IFERROR(__xludf.DUMMYFUNCTION("IMPORTRANGE(""https://docs.google.com/spreadsheets/d/1XL5vhW3sbDhbH9Cz0tuDiY8C3ctxq1tqvaCgkFb8cCA/edit?usp=sharing"",""มหาสารคาม!J124"")"),0)</f>
        <v>0</v>
      </c>
      <c r="AK41" s="137">
        <f t="shared" ca="1" si="17"/>
        <v>0</v>
      </c>
      <c r="AL41" s="77">
        <f ca="1">IFERROR(__xludf.DUMMYFUNCTION("IMPORTRANGE(""https://docs.google.com/spreadsheets/d/1XL5vhW3sbDhbH9Cz0tuDiY8C3ctxq1tqvaCgkFb8cCA/edit?usp=sharing"",""มหาสารคาม!J125"")"),0)</f>
        <v>0</v>
      </c>
      <c r="AM41" s="137">
        <f t="shared" ca="1" si="18"/>
        <v>0</v>
      </c>
      <c r="AN41" s="77">
        <f ca="1">IFERROR(__xludf.DUMMYFUNCTION("IMPORTRANGE(""https://docs.google.com/spreadsheets/d/1C3CXT74ZlgGe6_JY_1olB1XN4rF0dxEuIIF-xsYjHgg/edit?usp=sharing"",""พรบ!AQ45"")"),0)</f>
        <v>0</v>
      </c>
      <c r="AO41" s="77">
        <f ca="1">IFERROR(__xludf.DUMMYFUNCTION("IMPORTRANGE(""https://docs.google.com/spreadsheets/d/1XL5vhW3sbDhbH9Cz0tuDiY8C3ctxq1tqvaCgkFb8cCA/edit?usp=sharing"",""มหาสารคาม!J126"")"),0)</f>
        <v>0</v>
      </c>
      <c r="AP41" s="137">
        <f t="shared" ca="1" si="20"/>
        <v>0</v>
      </c>
      <c r="AQ41" s="149">
        <f ca="1">IFERROR(__xludf.DUMMYFUNCTION("IMPORTRANGE(""https://docs.google.com/spreadsheets/d/1C3CXT74ZlgGe6_JY_1olB1XN4rF0dxEuIIF-xsYjHgg/edit?usp=sharing"",""พรบ!AR45"")"),0)</f>
        <v>0</v>
      </c>
      <c r="AR41" s="77">
        <f ca="1">IFERROR(__xludf.DUMMYFUNCTION("IMPORTRANGE(""https://docs.google.com/spreadsheets/d/1C3CXT74ZlgGe6_JY_1olB1XN4rF0dxEuIIF-xsYjHgg/edit?usp=sharing"",""พรบ!AS45"")"),0)</f>
        <v>0</v>
      </c>
      <c r="AS41" s="77">
        <f ca="1">IFERROR(__xludf.DUMMYFUNCTION("IMPORTRANGE(""https://docs.google.com/spreadsheets/d/1XL5vhW3sbDhbH9Cz0tuDiY8C3ctxq1tqvaCgkFb8cCA/edit?usp=sharing"",""มหาสารคาม!J138"")"),0)</f>
        <v>0</v>
      </c>
      <c r="AT41" s="137">
        <f t="shared" ca="1" si="22"/>
        <v>0</v>
      </c>
      <c r="AU41" s="77">
        <f ca="1">IFERROR(__xludf.DUMMYFUNCTION("IMPORTRANGE(""https://docs.google.com/spreadsheets/d/1C3CXT74ZlgGe6_JY_1olB1XN4rF0dxEuIIF-xsYjHgg/edit?usp=sharing"",""พรบ!AT45"")"),0)</f>
        <v>0</v>
      </c>
      <c r="AV41" s="77">
        <f ca="1">IFERROR(__xludf.DUMMYFUNCTION("IMPORTRANGE(""https://docs.google.com/spreadsheets/d/1C3CXT74ZlgGe6_JY_1olB1XN4rF0dxEuIIF-xsYjHgg/edit?usp=sharing"",""พรบ!AU45"")"),0)</f>
        <v>0</v>
      </c>
      <c r="AW41" s="77">
        <f ca="1">IFERROR(__xludf.DUMMYFUNCTION("IMPORTRANGE(""https://docs.google.com/spreadsheets/d/1XL5vhW3sbDhbH9Cz0tuDiY8C3ctxq1tqvaCgkFb8cCA/edit?usp=sharing"",""มหาสารคาม!J140"")"),0)</f>
        <v>0</v>
      </c>
      <c r="AX41" s="137">
        <f t="shared" ca="1" si="24"/>
        <v>0</v>
      </c>
      <c r="AY41" s="77">
        <f ca="1">IFERROR(__xludf.DUMMYFUNCTION("IMPORTRANGE(""https://docs.google.com/spreadsheets/d/1XL5vhW3sbDhbH9Cz0tuDiY8C3ctxq1tqvaCgkFb8cCA/edit?usp=sharing"",""มหาสารคาม!J141"")"),0)</f>
        <v>0</v>
      </c>
      <c r="AZ41" s="137">
        <f t="shared" ca="1" si="25"/>
        <v>0</v>
      </c>
      <c r="BA41" s="77">
        <f t="shared" ca="1" si="26"/>
        <v>0</v>
      </c>
      <c r="BB41" s="77">
        <f t="shared" ca="1" si="87"/>
        <v>0</v>
      </c>
      <c r="BC41" s="137">
        <f t="shared" ca="1" si="27"/>
        <v>0</v>
      </c>
    </row>
    <row r="42" spans="1:55" ht="21" customHeight="1">
      <c r="A42" s="73">
        <v>9</v>
      </c>
      <c r="B42" s="74" t="s">
        <v>66</v>
      </c>
      <c r="C42" s="75">
        <f t="shared" ca="1" si="0"/>
        <v>227500</v>
      </c>
      <c r="D42" s="76">
        <f t="shared" ca="1" si="85"/>
        <v>227500</v>
      </c>
      <c r="E42" s="77">
        <f ca="1">IFERROR(__xludf.DUMMYFUNCTION("IMPORTRANGE(""https://docs.google.com/spreadsheets/d/1C3CXT74ZlgGe6_JY_1olB1XN4rF0dxEuIIF-xsYjHgg/edit?usp=sharing"",""พรบ!AD46"")"),132000)</f>
        <v>132000</v>
      </c>
      <c r="F42" s="77">
        <f ca="1">IFERROR(__xludf.DUMMYFUNCTION("IMPORTRANGE(""https://docs.google.com/spreadsheets/d/1C3CXT74ZlgGe6_JY_1olB1XN4rF0dxEuIIF-xsYjHgg/edit?usp=sharing"",""พรบ!AE46"")"),95500)</f>
        <v>95500</v>
      </c>
      <c r="G42" s="77">
        <f ca="1">IFERROR(__xludf.DUMMYFUNCTION("IMPORTRANGE(""https://docs.google.com/spreadsheets/d/1Yj_ptqi66GCucihVvJfMjLAmec39IyEx_6qawtMGysU/edit?usp=sharing"",""สบก!BH46"")"),0)</f>
        <v>0</v>
      </c>
      <c r="H42" s="77">
        <f ca="1">IFERROR(__xludf.DUMMYFUNCTION("IMPORTRANGE(""https://docs.google.com/spreadsheets/d/1Yj_ptqi66GCucihVvJfMjLAmec39IyEx_6qawtMGysU/edit?usp=shBJing"",""สบก!BJ46"")"),184625)</f>
        <v>184625</v>
      </c>
      <c r="I42" s="77">
        <f t="shared" ca="1" si="3"/>
        <v>112260</v>
      </c>
      <c r="J42" s="137">
        <f t="shared" ca="1" si="4"/>
        <v>49.345054945054947</v>
      </c>
      <c r="K42" s="77">
        <f ca="1">IFERROR(__xludf.DUMMYFUNCTION("IMPORTRANGE(""https://docs.google.com/spreadsheets/d/1Yj_ptqi66GCucihVvJfMjLAmec39IyEx_6qawtMGysU/edit?usp=sharing"",""สบก!BK46"")"),112260)</f>
        <v>112260</v>
      </c>
      <c r="L42" s="137">
        <f t="shared" ca="1" si="5"/>
        <v>49.345054945054947</v>
      </c>
      <c r="M42" s="137">
        <f t="shared" ca="1" si="6"/>
        <v>60.804333107650642</v>
      </c>
      <c r="N42" s="137">
        <f ca="1">IFERROR(__xludf.DUMMYFUNCTION("IMPORTRANGE(""https://docs.google.com/spreadsheets/d/1Yj_ptqi66GCucihVvJfMjLAmec39IyEx_6qawtMGysU/edit?usp=sharing"",""สบก!BL46"")"),0)</f>
        <v>0</v>
      </c>
      <c r="O42" s="137">
        <f t="shared" ca="1" si="7"/>
        <v>0</v>
      </c>
      <c r="P42" s="77">
        <f ca="1">IFERROR(__xludf.DUMMYFUNCTION("IMPORTRANGE(""https://docs.google.com/spreadsheets/d/1C3CXT74ZlgGe6_JY_1olB1XN4rF0dxEuIIF-xsYjHgg/edit?usp=sharing"",""พรบ!AF46"")"),7500)</f>
        <v>7500</v>
      </c>
      <c r="Q42" s="77">
        <f ca="1">IFERROR(__xludf.DUMMYFUNCTION("IMPORTRANGE(""https://docs.google.com/spreadsheets/d/1C3CXT74ZlgGe6_JY_1olB1XN4rF0dxEuIIF-xsYjHgg/edit?usp=sharing"",""พรบ!AG46"")"),4)</f>
        <v>4</v>
      </c>
      <c r="R42" s="77">
        <f ca="1">IFERROR(__xludf.DUMMYFUNCTION("IMPORTRANGE(""https://docs.google.com/spreadsheets/d/1XL5vhW3sbDhbH9Cz0tuDiY8C3ctxq1tqvaCgkFb8cCA/edit?usp=sharing"",""มุกดาหาร!J83"")"),1)</f>
        <v>1</v>
      </c>
      <c r="S42" s="137">
        <f t="shared" ca="1" si="9"/>
        <v>25</v>
      </c>
      <c r="T42" s="77">
        <f t="shared" ca="1" si="86"/>
        <v>11</v>
      </c>
      <c r="U42" s="77">
        <f ca="1">IFERROR(__xludf.DUMMYFUNCTION("IMPORTRANGE(""https://docs.google.com/spreadsheets/d/1XL5vhW3sbDhbH9Cz0tuDiY8C3ctxq1tqvaCgkFb8cCA/edit?usp=sharing"",""มุกดาหาร!J85"")"),11)</f>
        <v>11</v>
      </c>
      <c r="V42" s="77">
        <f ca="1">IFERROR(__xludf.DUMMYFUNCTION("IMPORTRANGE(""https://docs.google.com/spreadsheets/d/1XL5vhW3sbDhbH9Cz0tuDiY8C3ctxq1tqvaCgkFb8cCA/edit?usp=sharing"",""มุกดาหาร!J86"")"),0)</f>
        <v>0</v>
      </c>
      <c r="W42" s="77">
        <f ca="1">IFERROR(__xludf.DUMMYFUNCTION("IMPORTRANGE(""https://docs.google.com/spreadsheets/d/1C3CXT74ZlgGe6_JY_1olB1XN4rF0dxEuIIF-xsYjHgg/edit?usp=sharing"",""พรบ!AH46"")"),42000)</f>
        <v>42000</v>
      </c>
      <c r="X42" s="77">
        <f ca="1">IFERROR(__xludf.DUMMYFUNCTION("IMPORTRANGE(""https://docs.google.com/spreadsheets/d/1C3CXT74ZlgGe6_JY_1olB1XN4rF0dxEuIIF-xsYjHgg/edit?usp=sharing"",""พรบ!AI46"")"),3)</f>
        <v>3</v>
      </c>
      <c r="Y42" s="77">
        <f ca="1">IFERROR(__xludf.DUMMYFUNCTION("IMPORTRANGE(""https://docs.google.com/spreadsheets/d/1XL5vhW3sbDhbH9Cz0tuDiY8C3ctxq1tqvaCgkFb8cCA/edit?usp=sharing"",""มุกดาหาร!J98"")"),3)</f>
        <v>3</v>
      </c>
      <c r="Z42" s="137">
        <f t="shared" ca="1" si="11"/>
        <v>100</v>
      </c>
      <c r="AA42" s="77">
        <f ca="1">IFERROR(__xludf.DUMMYFUNCTION("IMPORTRANGE(""https://docs.google.com/spreadsheets/d/1C3CXT74ZlgGe6_JY_1olB1XN4rF0dxEuIIF-xsYjHgg/edit?usp=sharing"",""พรบ!AJ46"")"),15000)</f>
        <v>15000</v>
      </c>
      <c r="AB42" s="77">
        <f ca="1">IFERROR(__xludf.DUMMYFUNCTION("IMPORTRANGE(""https://docs.google.com/spreadsheets/d/1C3CXT74ZlgGe6_JY_1olB1XN4rF0dxEuIIF-xsYjHgg/edit?usp=sharing"",""พรบ!AK46"")"),1)</f>
        <v>1</v>
      </c>
      <c r="AC42" s="77">
        <f ca="1">IFERROR(__xludf.DUMMYFUNCTION("IMPORTRANGE(""https://docs.google.com/spreadsheets/d/1XL5vhW3sbDhbH9Cz0tuDiY8C3ctxq1tqvaCgkFb8cCA/edit?usp=sharing"",""มุกดาหาร!J110"")"),0)</f>
        <v>0</v>
      </c>
      <c r="AD42" s="137">
        <f t="shared" ca="1" si="13"/>
        <v>0</v>
      </c>
      <c r="AE42" s="77">
        <f ca="1">IFERROR(__xludf.DUMMYFUNCTION("IMPORTRANGE(""https://docs.google.com/spreadsheets/d/1C3CXT74ZlgGe6_JY_1olB1XN4rF0dxEuIIF-xsYjHgg/edit?usp=sharing"",""พรบ!AL46"")"),1)</f>
        <v>1</v>
      </c>
      <c r="AF42" s="77">
        <f ca="1">IFERROR(__xludf.DUMMYFUNCTION("IMPORTRANGE(""https://docs.google.com/spreadsheets/d/1XL5vhW3sbDhbH9Cz0tuDiY8C3ctxq1tqvaCgkFb8cCA/edit?usp=sharing"",""มุกดาหาร!J111"")"),1)</f>
        <v>1</v>
      </c>
      <c r="AG42" s="137">
        <f t="shared" ca="1" si="15"/>
        <v>100</v>
      </c>
      <c r="AH42" s="77">
        <f ca="1">IFERROR(__xludf.DUMMYFUNCTION("IMPORTRANGE(""https://docs.google.com/spreadsheets/d/1C3CXT74ZlgGe6_JY_1olB1XN4rF0dxEuIIF-xsYjHgg/edit?usp=sharing"",""พรบ!AM46"")"),31000)</f>
        <v>31000</v>
      </c>
      <c r="AI42" s="77">
        <f ca="1">IFERROR(__xludf.DUMMYFUNCTION("IMPORTRANGE(""https://docs.google.com/spreadsheets/d/1C3CXT74ZlgGe6_JY_1olB1XN4rF0dxEuIIF-xsYjHgg/edit?usp=sharing"",""พรบ!AN46"")"),40000)</f>
        <v>40000</v>
      </c>
      <c r="AJ42" s="77">
        <f ca="1">IFERROR(__xludf.DUMMYFUNCTION("IMPORTRANGE(""https://docs.google.com/spreadsheets/d/1XL5vhW3sbDhbH9Cz0tuDiY8C3ctxq1tqvaCgkFb8cCA/edit?usp=sharing"",""มุกดาหาร!J124"")"),0)</f>
        <v>0</v>
      </c>
      <c r="AK42" s="137">
        <f t="shared" ca="1" si="17"/>
        <v>0</v>
      </c>
      <c r="AL42" s="77">
        <f ca="1">IFERROR(__xludf.DUMMYFUNCTION("IMPORTRANGE(""https://docs.google.com/spreadsheets/d/1XL5vhW3sbDhbH9Cz0tuDiY8C3ctxq1tqvaCgkFb8cCA/edit?usp=sharing"",""มุกดาหาร!J125"")"),0)</f>
        <v>0</v>
      </c>
      <c r="AM42" s="137">
        <f t="shared" ca="1" si="18"/>
        <v>0</v>
      </c>
      <c r="AN42" s="77">
        <f ca="1">IFERROR(__xludf.DUMMYFUNCTION("IMPORTRANGE(""https://docs.google.com/spreadsheets/d/1C3CXT74ZlgGe6_JY_1olB1XN4rF0dxEuIIF-xsYjHgg/edit?usp=sharing"",""พรบ!AQ46"")"),15)</f>
        <v>15</v>
      </c>
      <c r="AO42" s="77">
        <f ca="1">IFERROR(__xludf.DUMMYFUNCTION("IMPORTRANGE(""https://docs.google.com/spreadsheets/d/1XL5vhW3sbDhbH9Cz0tuDiY8C3ctxq1tqvaCgkFb8cCA/edit?usp=sharing"",""มุกดาหาร!J126"")"),15)</f>
        <v>15</v>
      </c>
      <c r="AP42" s="137">
        <f t="shared" ca="1" si="20"/>
        <v>100</v>
      </c>
      <c r="AQ42" s="149">
        <f ca="1">IFERROR(__xludf.DUMMYFUNCTION("IMPORTRANGE(""https://docs.google.com/spreadsheets/d/1C3CXT74ZlgGe6_JY_1olB1XN4rF0dxEuIIF-xsYjHgg/edit?usp=sharing"",""พรบ!AR46"")"),0)</f>
        <v>0</v>
      </c>
      <c r="AR42" s="77">
        <f ca="1">IFERROR(__xludf.DUMMYFUNCTION("IMPORTRANGE(""https://docs.google.com/spreadsheets/d/1C3CXT74ZlgGe6_JY_1olB1XN4rF0dxEuIIF-xsYjHgg/edit?usp=sharing"",""พรบ!AS46"")"),0)</f>
        <v>0</v>
      </c>
      <c r="AS42" s="77">
        <f ca="1">IFERROR(__xludf.DUMMYFUNCTION("IMPORTRANGE(""https://docs.google.com/spreadsheets/d/1XL5vhW3sbDhbH9Cz0tuDiY8C3ctxq1tqvaCgkFb8cCA/edit?usp=sharing"",""มุกดาหาร!J138"")"),0)</f>
        <v>0</v>
      </c>
      <c r="AT42" s="137">
        <f t="shared" ca="1" si="22"/>
        <v>0</v>
      </c>
      <c r="AU42" s="77">
        <f ca="1">IFERROR(__xludf.DUMMYFUNCTION("IMPORTRANGE(""https://docs.google.com/spreadsheets/d/1C3CXT74ZlgGe6_JY_1olB1XN4rF0dxEuIIF-xsYjHgg/edit?usp=sharing"",""พรบ!AT46"")"),0)</f>
        <v>0</v>
      </c>
      <c r="AV42" s="77">
        <f ca="1">IFERROR(__xludf.DUMMYFUNCTION("IMPORTRANGE(""https://docs.google.com/spreadsheets/d/1C3CXT74ZlgGe6_JY_1olB1XN4rF0dxEuIIF-xsYjHgg/edit?usp=sharing"",""พรบ!AU46"")"),0)</f>
        <v>0</v>
      </c>
      <c r="AW42" s="77">
        <f ca="1">IFERROR(__xludf.DUMMYFUNCTION("IMPORTRANGE(""https://docs.google.com/spreadsheets/d/1XL5vhW3sbDhbH9Cz0tuDiY8C3ctxq1tqvaCgkFb8cCA/edit?usp=sharing"",""มุกดาหาร!J140"")"),0)</f>
        <v>0</v>
      </c>
      <c r="AX42" s="137">
        <f t="shared" ca="1" si="24"/>
        <v>0</v>
      </c>
      <c r="AY42" s="77">
        <f ca="1">IFERROR(__xludf.DUMMYFUNCTION("IMPORTRANGE(""https://docs.google.com/spreadsheets/d/1XL5vhW3sbDhbH9Cz0tuDiY8C3ctxq1tqvaCgkFb8cCA/edit?usp=sharing"",""มุกดาหาร!J141"")"),0)</f>
        <v>0</v>
      </c>
      <c r="AZ42" s="137">
        <f t="shared" ca="1" si="25"/>
        <v>0</v>
      </c>
      <c r="BA42" s="77">
        <f t="shared" ca="1" si="26"/>
        <v>15</v>
      </c>
      <c r="BB42" s="77">
        <f t="shared" ca="1" si="87"/>
        <v>15</v>
      </c>
      <c r="BC42" s="137">
        <f t="shared" ca="1" si="27"/>
        <v>100</v>
      </c>
    </row>
    <row r="43" spans="1:55" ht="21" customHeight="1">
      <c r="A43" s="73">
        <v>10</v>
      </c>
      <c r="B43" s="74" t="s">
        <v>67</v>
      </c>
      <c r="C43" s="75">
        <f t="shared" ca="1" si="0"/>
        <v>79000</v>
      </c>
      <c r="D43" s="76">
        <f t="shared" ca="1" si="85"/>
        <v>79000</v>
      </c>
      <c r="E43" s="77">
        <f ca="1">IFERROR(__xludf.DUMMYFUNCTION("IMPORTRANGE(""https://docs.google.com/spreadsheets/d/1C3CXT74ZlgGe6_JY_1olB1XN4rF0dxEuIIF-xsYjHgg/edit?usp=sharing"",""พรบ!AD47"")"),0)</f>
        <v>0</v>
      </c>
      <c r="F43" s="77">
        <f ca="1">IFERROR(__xludf.DUMMYFUNCTION("IMPORTRANGE(""https://docs.google.com/spreadsheets/d/1C3CXT74ZlgGe6_JY_1olB1XN4rF0dxEuIIF-xsYjHgg/edit?usp=sharing"",""พรบ!AE47"")"),79000)</f>
        <v>79000</v>
      </c>
      <c r="G43" s="77">
        <f ca="1">IFERROR(__xludf.DUMMYFUNCTION("IMPORTRANGE(""https://docs.google.com/spreadsheets/d/1Yj_ptqi66GCucihVvJfMjLAmec39IyEx_6qawtMGysU/edit?usp=sharing"",""สบก!BH47"")"),0)</f>
        <v>0</v>
      </c>
      <c r="H43" s="77">
        <f ca="1">IFERROR(__xludf.DUMMYFUNCTION("IMPORTRANGE(""https://docs.google.com/spreadsheets/d/1Yj_ptqi66GCucihVvJfMjLAmec39IyEx_6qawtMGysU/edit?usp=shBJing"",""สบก!BJ47"")"),70625)</f>
        <v>70625</v>
      </c>
      <c r="I43" s="77">
        <f t="shared" ca="1" si="3"/>
        <v>55480</v>
      </c>
      <c r="J43" s="137">
        <f t="shared" ca="1" si="4"/>
        <v>70.22784810126582</v>
      </c>
      <c r="K43" s="77">
        <f ca="1">IFERROR(__xludf.DUMMYFUNCTION("IMPORTRANGE(""https://docs.google.com/spreadsheets/d/1Yj_ptqi66GCucihVvJfMjLAmec39IyEx_6qawtMGysU/edit?usp=sharing"",""สบก!BK47"")"),55480)</f>
        <v>55480</v>
      </c>
      <c r="L43" s="137">
        <f t="shared" ca="1" si="5"/>
        <v>70.22784810126582</v>
      </c>
      <c r="M43" s="137">
        <f t="shared" ca="1" si="6"/>
        <v>78.555752212389379</v>
      </c>
      <c r="N43" s="137">
        <f ca="1">IFERROR(__xludf.DUMMYFUNCTION("IMPORTRANGE(""https://docs.google.com/spreadsheets/d/1Yj_ptqi66GCucihVvJfMjLAmec39IyEx_6qawtMGysU/edit?usp=sharing"",""สบก!BL47"")"),0)</f>
        <v>0</v>
      </c>
      <c r="O43" s="137">
        <f t="shared" ca="1" si="7"/>
        <v>0</v>
      </c>
      <c r="P43" s="77">
        <f ca="1">IFERROR(__xludf.DUMMYFUNCTION("IMPORTRANGE(""https://docs.google.com/spreadsheets/d/1C3CXT74ZlgGe6_JY_1olB1XN4rF0dxEuIIF-xsYjHgg/edit?usp=sharing"",""พรบ!AF47"")"),7500)</f>
        <v>7500</v>
      </c>
      <c r="Q43" s="77">
        <f ca="1">IFERROR(__xludf.DUMMYFUNCTION("IMPORTRANGE(""https://docs.google.com/spreadsheets/d/1C3CXT74ZlgGe6_JY_1olB1XN4rF0dxEuIIF-xsYjHgg/edit?usp=sharing"",""พรบ!AG47"")"),4)</f>
        <v>4</v>
      </c>
      <c r="R43" s="77">
        <f ca="1">IFERROR(__xludf.DUMMYFUNCTION("IMPORTRANGE(""https://docs.google.com/spreadsheets/d/1XL5vhW3sbDhbH9Cz0tuDiY8C3ctxq1tqvaCgkFb8cCA/edit?usp=sharing"",""ยโสธร!J83"")"),2)</f>
        <v>2</v>
      </c>
      <c r="S43" s="137">
        <f t="shared" ca="1" si="9"/>
        <v>50</v>
      </c>
      <c r="T43" s="77">
        <f t="shared" ca="1" si="86"/>
        <v>30</v>
      </c>
      <c r="U43" s="77">
        <f ca="1">IFERROR(__xludf.DUMMYFUNCTION("IMPORTRANGE(""https://docs.google.com/spreadsheets/d/1XL5vhW3sbDhbH9Cz0tuDiY8C3ctxq1tqvaCgkFb8cCA/edit?usp=sharing"",""ยโสธร!J85"")"),30)</f>
        <v>30</v>
      </c>
      <c r="V43" s="77">
        <f ca="1">IFERROR(__xludf.DUMMYFUNCTION("IMPORTRANGE(""https://docs.google.com/spreadsheets/d/1XL5vhW3sbDhbH9Cz0tuDiY8C3ctxq1tqvaCgkFb8cCA/edit?usp=sharing"",""ยโสธร!J86"")"),0)</f>
        <v>0</v>
      </c>
      <c r="W43" s="77">
        <f ca="1">IFERROR(__xludf.DUMMYFUNCTION("IMPORTRANGE(""https://docs.google.com/spreadsheets/d/1C3CXT74ZlgGe6_JY_1olB1XN4rF0dxEuIIF-xsYjHgg/edit?usp=sharing"",""พรบ!AH47"")"),42000)</f>
        <v>42000</v>
      </c>
      <c r="X43" s="77">
        <f ca="1">IFERROR(__xludf.DUMMYFUNCTION("IMPORTRANGE(""https://docs.google.com/spreadsheets/d/1C3CXT74ZlgGe6_JY_1olB1XN4rF0dxEuIIF-xsYjHgg/edit?usp=sharing"",""พรบ!AI47"")"),3)</f>
        <v>3</v>
      </c>
      <c r="Y43" s="77">
        <f ca="1">IFERROR(__xludf.DUMMYFUNCTION("IMPORTRANGE(""https://docs.google.com/spreadsheets/d/1XL5vhW3sbDhbH9Cz0tuDiY8C3ctxq1tqvaCgkFb8cCA/edit?usp=sharing"",""ยโสธร!J98"")"),3)</f>
        <v>3</v>
      </c>
      <c r="Z43" s="137">
        <f t="shared" ca="1" si="11"/>
        <v>100</v>
      </c>
      <c r="AA43" s="77">
        <f ca="1">IFERROR(__xludf.DUMMYFUNCTION("IMPORTRANGE(""https://docs.google.com/spreadsheets/d/1C3CXT74ZlgGe6_JY_1olB1XN4rF0dxEuIIF-xsYjHgg/edit?usp=sharing"",""พรบ!AJ47"")"),15000)</f>
        <v>15000</v>
      </c>
      <c r="AB43" s="77">
        <f ca="1">IFERROR(__xludf.DUMMYFUNCTION("IMPORTRANGE(""https://docs.google.com/spreadsheets/d/1C3CXT74ZlgGe6_JY_1olB1XN4rF0dxEuIIF-xsYjHgg/edit?usp=sharing"",""พรบ!AK47"")"),1)</f>
        <v>1</v>
      </c>
      <c r="AC43" s="77">
        <f ca="1">IFERROR(__xludf.DUMMYFUNCTION("IMPORTRANGE(""https://docs.google.com/spreadsheets/d/1XL5vhW3sbDhbH9Cz0tuDiY8C3ctxq1tqvaCgkFb8cCA/edit?usp=sharing"",""ยโสธร!J110"")"),0)</f>
        <v>0</v>
      </c>
      <c r="AD43" s="137">
        <f t="shared" ca="1" si="13"/>
        <v>0</v>
      </c>
      <c r="AE43" s="77">
        <f ca="1">IFERROR(__xludf.DUMMYFUNCTION("IMPORTRANGE(""https://docs.google.com/spreadsheets/d/1C3CXT74ZlgGe6_JY_1olB1XN4rF0dxEuIIF-xsYjHgg/edit?usp=sharing"",""พรบ!AL47"")"),1)</f>
        <v>1</v>
      </c>
      <c r="AF43" s="77">
        <f ca="1">IFERROR(__xludf.DUMMYFUNCTION("IMPORTRANGE(""https://docs.google.com/spreadsheets/d/1XL5vhW3sbDhbH9Cz0tuDiY8C3ctxq1tqvaCgkFb8cCA/edit?usp=sharing"",""ยโสธร!J111"")"),1)</f>
        <v>1</v>
      </c>
      <c r="AG43" s="137">
        <f t="shared" ca="1" si="15"/>
        <v>100</v>
      </c>
      <c r="AH43" s="77">
        <f ca="1">IFERROR(__xludf.DUMMYFUNCTION("IMPORTRANGE(""https://docs.google.com/spreadsheets/d/1C3CXT74ZlgGe6_JY_1olB1XN4rF0dxEuIIF-xsYjHgg/edit?usp=sharing"",""พรบ!AM47"")"),14500)</f>
        <v>14500</v>
      </c>
      <c r="AI43" s="77">
        <f ca="1">IFERROR(__xludf.DUMMYFUNCTION("IMPORTRANGE(""https://docs.google.com/spreadsheets/d/1C3CXT74ZlgGe6_JY_1olB1XN4rF0dxEuIIF-xsYjHgg/edit?usp=sharing"",""พรบ!AN47"")"),30000)</f>
        <v>30000</v>
      </c>
      <c r="AJ43" s="77">
        <f ca="1">IFERROR(__xludf.DUMMYFUNCTION("IMPORTRANGE(""https://docs.google.com/spreadsheets/d/1XL5vhW3sbDhbH9Cz0tuDiY8C3ctxq1tqvaCgkFb8cCA/edit?usp=sharing"",""ยโสธร!J124"")"),0)</f>
        <v>0</v>
      </c>
      <c r="AK43" s="137">
        <f t="shared" ca="1" si="17"/>
        <v>0</v>
      </c>
      <c r="AL43" s="77">
        <f ca="1">IFERROR(__xludf.DUMMYFUNCTION("IMPORTRANGE(""https://docs.google.com/spreadsheets/d/1XL5vhW3sbDhbH9Cz0tuDiY8C3ctxq1tqvaCgkFb8cCA/edit?usp=sharing"",""ยโสธร!J125"")"),0)</f>
        <v>0</v>
      </c>
      <c r="AM43" s="137">
        <f t="shared" ca="1" si="18"/>
        <v>0</v>
      </c>
      <c r="AN43" s="77">
        <f ca="1">IFERROR(__xludf.DUMMYFUNCTION("IMPORTRANGE(""https://docs.google.com/spreadsheets/d/1C3CXT74ZlgGe6_JY_1olB1XN4rF0dxEuIIF-xsYjHgg/edit?usp=sharing"",""พรบ!AQ47"")"),0)</f>
        <v>0</v>
      </c>
      <c r="AO43" s="77">
        <f ca="1">IFERROR(__xludf.DUMMYFUNCTION("IMPORTRANGE(""https://docs.google.com/spreadsheets/d/1XL5vhW3sbDhbH9Cz0tuDiY8C3ctxq1tqvaCgkFb8cCA/edit?usp=sharing"",""ยโสธร!J126"")"),0)</f>
        <v>0</v>
      </c>
      <c r="AP43" s="137">
        <f t="shared" ca="1" si="20"/>
        <v>0</v>
      </c>
      <c r="AQ43" s="149">
        <f ca="1">IFERROR(__xludf.DUMMYFUNCTION("IMPORTRANGE(""https://docs.google.com/spreadsheets/d/1C3CXT74ZlgGe6_JY_1olB1XN4rF0dxEuIIF-xsYjHgg/edit?usp=sharing"",""พรบ!AR47"")"),0)</f>
        <v>0</v>
      </c>
      <c r="AR43" s="77">
        <f ca="1">IFERROR(__xludf.DUMMYFUNCTION("IMPORTRANGE(""https://docs.google.com/spreadsheets/d/1C3CXT74ZlgGe6_JY_1olB1XN4rF0dxEuIIF-xsYjHgg/edit?usp=sharing"",""พรบ!AS47"")"),0)</f>
        <v>0</v>
      </c>
      <c r="AS43" s="77">
        <f ca="1">IFERROR(__xludf.DUMMYFUNCTION("IMPORTRANGE(""https://docs.google.com/spreadsheets/d/1XL5vhW3sbDhbH9Cz0tuDiY8C3ctxq1tqvaCgkFb8cCA/edit?usp=sharing"",""ยโสธร!J138"")"),0)</f>
        <v>0</v>
      </c>
      <c r="AT43" s="137">
        <f t="shared" ca="1" si="22"/>
        <v>0</v>
      </c>
      <c r="AU43" s="77">
        <f ca="1">IFERROR(__xludf.DUMMYFUNCTION("IMPORTRANGE(""https://docs.google.com/spreadsheets/d/1C3CXT74ZlgGe6_JY_1olB1XN4rF0dxEuIIF-xsYjHgg/edit?usp=sharing"",""พรบ!AT47"")"),0)</f>
        <v>0</v>
      </c>
      <c r="AV43" s="77">
        <f ca="1">IFERROR(__xludf.DUMMYFUNCTION("IMPORTRANGE(""https://docs.google.com/spreadsheets/d/1C3CXT74ZlgGe6_JY_1olB1XN4rF0dxEuIIF-xsYjHgg/edit?usp=sharing"",""พรบ!AU47"")"),0)</f>
        <v>0</v>
      </c>
      <c r="AW43" s="77">
        <f ca="1">IFERROR(__xludf.DUMMYFUNCTION("IMPORTRANGE(""https://docs.google.com/spreadsheets/d/1XL5vhW3sbDhbH9Cz0tuDiY8C3ctxq1tqvaCgkFb8cCA/edit?usp=sharing"",""ยโสธร!J140"")"),0)</f>
        <v>0</v>
      </c>
      <c r="AX43" s="137">
        <f t="shared" ca="1" si="24"/>
        <v>0</v>
      </c>
      <c r="AY43" s="77">
        <f ca="1">IFERROR(__xludf.DUMMYFUNCTION("IMPORTRANGE(""https://docs.google.com/spreadsheets/d/1XL5vhW3sbDhbH9Cz0tuDiY8C3ctxq1tqvaCgkFb8cCA/edit?usp=sharing"",""ยโสธร!J141"")"),0)</f>
        <v>0</v>
      </c>
      <c r="AZ43" s="137">
        <f t="shared" ca="1" si="25"/>
        <v>0</v>
      </c>
      <c r="BA43" s="77">
        <f t="shared" ca="1" si="26"/>
        <v>0</v>
      </c>
      <c r="BB43" s="77">
        <f t="shared" ca="1" si="87"/>
        <v>0</v>
      </c>
      <c r="BC43" s="137">
        <f t="shared" ca="1" si="27"/>
        <v>0</v>
      </c>
    </row>
    <row r="44" spans="1:55" ht="21" customHeight="1">
      <c r="A44" s="73">
        <v>11</v>
      </c>
      <c r="B44" s="74" t="s">
        <v>68</v>
      </c>
      <c r="C44" s="75">
        <f t="shared" ca="1" si="0"/>
        <v>76100</v>
      </c>
      <c r="D44" s="76">
        <f t="shared" ca="1" si="85"/>
        <v>76100</v>
      </c>
      <c r="E44" s="77">
        <f ca="1">IFERROR(__xludf.DUMMYFUNCTION("IMPORTRANGE(""https://docs.google.com/spreadsheets/d/1C3CXT74ZlgGe6_JY_1olB1XN4rF0dxEuIIF-xsYjHgg/edit?usp=sharing"",""พรบ!AD48"")"),0)</f>
        <v>0</v>
      </c>
      <c r="F44" s="77">
        <f ca="1">IFERROR(__xludf.DUMMYFUNCTION("IMPORTRANGE(""https://docs.google.com/spreadsheets/d/1C3CXT74ZlgGe6_JY_1olB1XN4rF0dxEuIIF-xsYjHgg/edit?usp=sharing"",""พรบ!AE48"")"),76100)</f>
        <v>76100</v>
      </c>
      <c r="G44" s="77">
        <f ca="1">IFERROR(__xludf.DUMMYFUNCTION("IMPORTRANGE(""https://docs.google.com/spreadsheets/d/1Yj_ptqi66GCucihVvJfMjLAmec39IyEx_6qawtMGysU/edit?usp=sharing"",""สบก!BH48"")"),0)</f>
        <v>0</v>
      </c>
      <c r="H44" s="77">
        <f ca="1">IFERROR(__xludf.DUMMYFUNCTION("IMPORTRANGE(""https://docs.google.com/spreadsheets/d/1Yj_ptqi66GCucihVvJfMjLAmec39IyEx_6qawtMGysU/edit?usp=shBJing"",""สบก!BJ48"")"),55625)</f>
        <v>55625</v>
      </c>
      <c r="I44" s="77">
        <f t="shared" ca="1" si="3"/>
        <v>53615</v>
      </c>
      <c r="J44" s="137">
        <f t="shared" ca="1" si="4"/>
        <v>70.453350854139288</v>
      </c>
      <c r="K44" s="77">
        <f ca="1">IFERROR(__xludf.DUMMYFUNCTION("IMPORTRANGE(""https://docs.google.com/spreadsheets/d/1Yj_ptqi66GCucihVvJfMjLAmec39IyEx_6qawtMGysU/edit?usp=sharing"",""สบก!BK48"")"),53615)</f>
        <v>53615</v>
      </c>
      <c r="L44" s="137">
        <f t="shared" ca="1" si="5"/>
        <v>70.453350854139288</v>
      </c>
      <c r="M44" s="137">
        <f t="shared" ca="1" si="6"/>
        <v>96.386516853932591</v>
      </c>
      <c r="N44" s="137">
        <f ca="1">IFERROR(__xludf.DUMMYFUNCTION("IMPORTRANGE(""https://docs.google.com/spreadsheets/d/1Yj_ptqi66GCucihVvJfMjLAmec39IyEx_6qawtMGysU/edit?usp=sharing"",""สบก!BL48"")"),0)</f>
        <v>0</v>
      </c>
      <c r="O44" s="137">
        <f t="shared" ca="1" si="7"/>
        <v>0</v>
      </c>
      <c r="P44" s="77">
        <f ca="1">IFERROR(__xludf.DUMMYFUNCTION("IMPORTRANGE(""https://docs.google.com/spreadsheets/d/1C3CXT74ZlgGe6_JY_1olB1XN4rF0dxEuIIF-xsYjHgg/edit?usp=sharing"",""พรบ!AF48"")"),7500)</f>
        <v>7500</v>
      </c>
      <c r="Q44" s="77">
        <f ca="1">IFERROR(__xludf.DUMMYFUNCTION("IMPORTRANGE(""https://docs.google.com/spreadsheets/d/1C3CXT74ZlgGe6_JY_1olB1XN4rF0dxEuIIF-xsYjHgg/edit?usp=sharing"",""พรบ!AG48"")"),4)</f>
        <v>4</v>
      </c>
      <c r="R44" s="77">
        <f ca="1">IFERROR(__xludf.DUMMYFUNCTION("IMPORTRANGE(""https://docs.google.com/spreadsheets/d/1XL5vhW3sbDhbH9Cz0tuDiY8C3ctxq1tqvaCgkFb8cCA/edit?usp=sharing"",""ร้อยเอ็ด!J83"")"),2)</f>
        <v>2</v>
      </c>
      <c r="S44" s="137">
        <f t="shared" ca="1" si="9"/>
        <v>50</v>
      </c>
      <c r="T44" s="77">
        <f t="shared" ca="1" si="86"/>
        <v>0</v>
      </c>
      <c r="U44" s="77">
        <f ca="1">IFERROR(__xludf.DUMMYFUNCTION("IMPORTRANGE(""https://docs.google.com/spreadsheets/d/1XL5vhW3sbDhbH9Cz0tuDiY8C3ctxq1tqvaCgkFb8cCA/edit?usp=sharing"",""ร้อยเอ็ด!J85"")"),0)</f>
        <v>0</v>
      </c>
      <c r="V44" s="77">
        <f ca="1">IFERROR(__xludf.DUMMYFUNCTION("IMPORTRANGE(""https://docs.google.com/spreadsheets/d/1XL5vhW3sbDhbH9Cz0tuDiY8C3ctxq1tqvaCgkFb8cCA/edit?usp=sharing"",""ร้อยเอ็ด!J86"")"),0)</f>
        <v>0</v>
      </c>
      <c r="W44" s="77">
        <f ca="1">IFERROR(__xludf.DUMMYFUNCTION("IMPORTRANGE(""https://docs.google.com/spreadsheets/d/1C3CXT74ZlgGe6_JY_1olB1XN4rF0dxEuIIF-xsYjHgg/edit?usp=sharing"",""พรบ!AH48"")"),42000)</f>
        <v>42000</v>
      </c>
      <c r="X44" s="77">
        <f ca="1">IFERROR(__xludf.DUMMYFUNCTION("IMPORTRANGE(""https://docs.google.com/spreadsheets/d/1C3CXT74ZlgGe6_JY_1olB1XN4rF0dxEuIIF-xsYjHgg/edit?usp=sharing"",""พรบ!AI48"")"),3)</f>
        <v>3</v>
      </c>
      <c r="Y44" s="77">
        <f ca="1">IFERROR(__xludf.DUMMYFUNCTION("IMPORTRANGE(""https://docs.google.com/spreadsheets/d/1XL5vhW3sbDhbH9Cz0tuDiY8C3ctxq1tqvaCgkFb8cCA/edit?usp=sharing"",""ร้อยเอ็ด!J98"")"),3)</f>
        <v>3</v>
      </c>
      <c r="Z44" s="137">
        <f t="shared" ca="1" si="11"/>
        <v>100</v>
      </c>
      <c r="AA44" s="77">
        <f ca="1">IFERROR(__xludf.DUMMYFUNCTION("IMPORTRANGE(""https://docs.google.com/spreadsheets/d/1C3CXT74ZlgGe6_JY_1olB1XN4rF0dxEuIIF-xsYjHgg/edit?usp=sharing"",""พรบ!AJ48"")"),0)</f>
        <v>0</v>
      </c>
      <c r="AB44" s="77">
        <f ca="1">IFERROR(__xludf.DUMMYFUNCTION("IMPORTRANGE(""https://docs.google.com/spreadsheets/d/1C3CXT74ZlgGe6_JY_1olB1XN4rF0dxEuIIF-xsYjHgg/edit?usp=sharing"",""พรบ!AK48"")"),0)</f>
        <v>0</v>
      </c>
      <c r="AC44" s="77">
        <f ca="1">IFERROR(__xludf.DUMMYFUNCTION("IMPORTRANGE(""https://docs.google.com/spreadsheets/d/1XL5vhW3sbDhbH9Cz0tuDiY8C3ctxq1tqvaCgkFb8cCA/edit?usp=sharing"",""ร้อยเอ็ด!J110"")"),0)</f>
        <v>0</v>
      </c>
      <c r="AD44" s="137">
        <f t="shared" ca="1" si="13"/>
        <v>0</v>
      </c>
      <c r="AE44" s="77">
        <f ca="1">IFERROR(__xludf.DUMMYFUNCTION("IMPORTRANGE(""https://docs.google.com/spreadsheets/d/1C3CXT74ZlgGe6_JY_1olB1XN4rF0dxEuIIF-xsYjHgg/edit?usp=sharing"",""พรบ!AL48"")"),0)</f>
        <v>0</v>
      </c>
      <c r="AF44" s="77">
        <f ca="1">IFERROR(__xludf.DUMMYFUNCTION("IMPORTRANGE(""https://docs.google.com/spreadsheets/d/1XL5vhW3sbDhbH9Cz0tuDiY8C3ctxq1tqvaCgkFb8cCA/edit?usp=sharing"",""ร้อยเอ็ด!J111"")"),0)</f>
        <v>0</v>
      </c>
      <c r="AG44" s="137">
        <f t="shared" ca="1" si="15"/>
        <v>0</v>
      </c>
      <c r="AH44" s="77">
        <f ca="1">IFERROR(__xludf.DUMMYFUNCTION("IMPORTRANGE(""https://docs.google.com/spreadsheets/d/1C3CXT74ZlgGe6_JY_1olB1XN4rF0dxEuIIF-xsYjHgg/edit?usp=sharing"",""พรบ!AM48"")"),26600)</f>
        <v>26600</v>
      </c>
      <c r="AI44" s="77">
        <f ca="1">IFERROR(__xludf.DUMMYFUNCTION("IMPORTRANGE(""https://docs.google.com/spreadsheets/d/1C3CXT74ZlgGe6_JY_1olB1XN4rF0dxEuIIF-xsYjHgg/edit?usp=sharing"",""พรบ!AN48"")"),64000)</f>
        <v>64000</v>
      </c>
      <c r="AJ44" s="77">
        <f ca="1">IFERROR(__xludf.DUMMYFUNCTION("IMPORTRANGE(""https://docs.google.com/spreadsheets/d/1XL5vhW3sbDhbH9Cz0tuDiY8C3ctxq1tqvaCgkFb8cCA/edit?usp=sharing"",""ร้อยเอ็ด!J124"")"),64000)</f>
        <v>64000</v>
      </c>
      <c r="AK44" s="137">
        <f t="shared" ca="1" si="17"/>
        <v>100</v>
      </c>
      <c r="AL44" s="77">
        <f ca="1">IFERROR(__xludf.DUMMYFUNCTION("IMPORTRANGE(""https://docs.google.com/spreadsheets/d/1XL5vhW3sbDhbH9Cz0tuDiY8C3ctxq1tqvaCgkFb8cCA/edit?usp=sharing"",""ร้อยเอ็ด!J125"")"),0)</f>
        <v>0</v>
      </c>
      <c r="AM44" s="137">
        <f t="shared" ca="1" si="18"/>
        <v>0</v>
      </c>
      <c r="AN44" s="77">
        <f ca="1">IFERROR(__xludf.DUMMYFUNCTION("IMPORTRANGE(""https://docs.google.com/spreadsheets/d/1C3CXT74ZlgGe6_JY_1olB1XN4rF0dxEuIIF-xsYjHgg/edit?usp=sharing"",""พรบ!AQ48"")"),0)</f>
        <v>0</v>
      </c>
      <c r="AO44" s="77">
        <f ca="1">IFERROR(__xludf.DUMMYFUNCTION("IMPORTRANGE(""https://docs.google.com/spreadsheets/d/1XL5vhW3sbDhbH9Cz0tuDiY8C3ctxq1tqvaCgkFb8cCA/edit?usp=sharing"",""ร้อยเอ็ด!J126"")"),0)</f>
        <v>0</v>
      </c>
      <c r="AP44" s="137">
        <f t="shared" ca="1" si="20"/>
        <v>0</v>
      </c>
      <c r="AQ44" s="149">
        <f ca="1">IFERROR(__xludf.DUMMYFUNCTION("IMPORTRANGE(""https://docs.google.com/spreadsheets/d/1C3CXT74ZlgGe6_JY_1olB1XN4rF0dxEuIIF-xsYjHgg/edit?usp=sharing"",""พรบ!AR48"")"),0)</f>
        <v>0</v>
      </c>
      <c r="AR44" s="77">
        <f ca="1">IFERROR(__xludf.DUMMYFUNCTION("IMPORTRANGE(""https://docs.google.com/spreadsheets/d/1C3CXT74ZlgGe6_JY_1olB1XN4rF0dxEuIIF-xsYjHgg/edit?usp=sharing"",""พรบ!AS48"")"),0)</f>
        <v>0</v>
      </c>
      <c r="AS44" s="77">
        <f ca="1">IFERROR(__xludf.DUMMYFUNCTION("IMPORTRANGE(""https://docs.google.com/spreadsheets/d/1XL5vhW3sbDhbH9Cz0tuDiY8C3ctxq1tqvaCgkFb8cCA/edit?usp=sharing"",""ร้อยเอ็ด!J138"")"),0)</f>
        <v>0</v>
      </c>
      <c r="AT44" s="137">
        <f t="shared" ca="1" si="22"/>
        <v>0</v>
      </c>
      <c r="AU44" s="77">
        <f ca="1">IFERROR(__xludf.DUMMYFUNCTION("IMPORTRANGE(""https://docs.google.com/spreadsheets/d/1C3CXT74ZlgGe6_JY_1olB1XN4rF0dxEuIIF-xsYjHgg/edit?usp=sharing"",""พรบ!AT48"")"),0)</f>
        <v>0</v>
      </c>
      <c r="AV44" s="77">
        <f ca="1">IFERROR(__xludf.DUMMYFUNCTION("IMPORTRANGE(""https://docs.google.com/spreadsheets/d/1C3CXT74ZlgGe6_JY_1olB1XN4rF0dxEuIIF-xsYjHgg/edit?usp=sharing"",""พรบ!AU48"")"),0)</f>
        <v>0</v>
      </c>
      <c r="AW44" s="77">
        <f ca="1">IFERROR(__xludf.DUMMYFUNCTION("IMPORTRANGE(""https://docs.google.com/spreadsheets/d/1XL5vhW3sbDhbH9Cz0tuDiY8C3ctxq1tqvaCgkFb8cCA/edit?usp=sharing"",""ร้อยเอ็ด!J140"")"),0)</f>
        <v>0</v>
      </c>
      <c r="AX44" s="137">
        <f t="shared" ca="1" si="24"/>
        <v>0</v>
      </c>
      <c r="AY44" s="77">
        <f ca="1">IFERROR(__xludf.DUMMYFUNCTION("IMPORTRANGE(""https://docs.google.com/spreadsheets/d/1XL5vhW3sbDhbH9Cz0tuDiY8C3ctxq1tqvaCgkFb8cCA/edit?usp=sharing"",""ร้อยเอ็ด!J141"")"),0)</f>
        <v>0</v>
      </c>
      <c r="AZ44" s="137">
        <f t="shared" ca="1" si="25"/>
        <v>0</v>
      </c>
      <c r="BA44" s="77">
        <f t="shared" ca="1" si="26"/>
        <v>0</v>
      </c>
      <c r="BB44" s="77">
        <f t="shared" ca="1" si="87"/>
        <v>0</v>
      </c>
      <c r="BC44" s="137">
        <f t="shared" ca="1" si="27"/>
        <v>0</v>
      </c>
    </row>
    <row r="45" spans="1:55" ht="21" customHeight="1">
      <c r="A45" s="73">
        <v>12</v>
      </c>
      <c r="B45" s="74" t="s">
        <v>69</v>
      </c>
      <c r="C45" s="75">
        <f t="shared" ca="1" si="0"/>
        <v>581800</v>
      </c>
      <c r="D45" s="76">
        <f t="shared" ca="1" si="85"/>
        <v>581800</v>
      </c>
      <c r="E45" s="77">
        <f ca="1">IFERROR(__xludf.DUMMYFUNCTION("IMPORTRANGE(""https://docs.google.com/spreadsheets/d/1C3CXT74ZlgGe6_JY_1olB1XN4rF0dxEuIIF-xsYjHgg/edit?usp=sharing"",""พรบ!AD49"")"),459100)</f>
        <v>459100</v>
      </c>
      <c r="F45" s="77">
        <f ca="1">IFERROR(__xludf.DUMMYFUNCTION("IMPORTRANGE(""https://docs.google.com/spreadsheets/d/1C3CXT74ZlgGe6_JY_1olB1XN4rF0dxEuIIF-xsYjHgg/edit?usp=sharing"",""พรบ!AE49"")"),122700)</f>
        <v>122700</v>
      </c>
      <c r="G45" s="77">
        <f ca="1">IFERROR(__xludf.DUMMYFUNCTION("IMPORTRANGE(""https://docs.google.com/spreadsheets/d/1Yj_ptqi66GCucihVvJfMjLAmec39IyEx_6qawtMGysU/edit?usp=sharing"",""สบก!BH49"")"),0)</f>
        <v>0</v>
      </c>
      <c r="H45" s="77">
        <f ca="1">IFERROR(__xludf.DUMMYFUNCTION("IMPORTRANGE(""https://docs.google.com/spreadsheets/d/1Yj_ptqi66GCucihVvJfMjLAmec39IyEx_6qawtMGysU/edit?usp=shBJing"",""สบก!BJ49"")"),431025)</f>
        <v>431025</v>
      </c>
      <c r="I45" s="77">
        <f t="shared" ca="1" si="3"/>
        <v>243259</v>
      </c>
      <c r="J45" s="137">
        <f t="shared" ca="1" si="4"/>
        <v>41.811447232726024</v>
      </c>
      <c r="K45" s="77">
        <f ca="1">IFERROR(__xludf.DUMMYFUNCTION("IMPORTRANGE(""https://docs.google.com/spreadsheets/d/1Yj_ptqi66GCucihVvJfMjLAmec39IyEx_6qawtMGysU/edit?usp=sharing"",""สบก!BK49"")"),243259)</f>
        <v>243259</v>
      </c>
      <c r="L45" s="137">
        <f t="shared" ca="1" si="5"/>
        <v>41.811447232726024</v>
      </c>
      <c r="M45" s="137">
        <f t="shared" ca="1" si="6"/>
        <v>56.437329621251671</v>
      </c>
      <c r="N45" s="137">
        <f ca="1">IFERROR(__xludf.DUMMYFUNCTION("IMPORTRANGE(""https://docs.google.com/spreadsheets/d/1Yj_ptqi66GCucihVvJfMjLAmec39IyEx_6qawtMGysU/edit?usp=sharing"",""สบก!BL49"")"),0)</f>
        <v>0</v>
      </c>
      <c r="O45" s="137">
        <f t="shared" ca="1" si="7"/>
        <v>0</v>
      </c>
      <c r="P45" s="77">
        <f ca="1">IFERROR(__xludf.DUMMYFUNCTION("IMPORTRANGE(""https://docs.google.com/spreadsheets/d/1C3CXT74ZlgGe6_JY_1olB1XN4rF0dxEuIIF-xsYjHgg/edit?usp=sharing"",""พรบ!AF49"")"),7500)</f>
        <v>7500</v>
      </c>
      <c r="Q45" s="77">
        <f ca="1">IFERROR(__xludf.DUMMYFUNCTION("IMPORTRANGE(""https://docs.google.com/spreadsheets/d/1C3CXT74ZlgGe6_JY_1olB1XN4rF0dxEuIIF-xsYjHgg/edit?usp=sharing"",""พรบ!AG49"")"),4)</f>
        <v>4</v>
      </c>
      <c r="R45" s="77">
        <f ca="1">IFERROR(__xludf.DUMMYFUNCTION("IMPORTRANGE(""https://docs.google.com/spreadsheets/d/1XL5vhW3sbDhbH9Cz0tuDiY8C3ctxq1tqvaCgkFb8cCA/edit?usp=sharing"",""เลย!J83"")"),2)</f>
        <v>2</v>
      </c>
      <c r="S45" s="137">
        <f t="shared" ca="1" si="9"/>
        <v>50</v>
      </c>
      <c r="T45" s="77">
        <f t="shared" ca="1" si="86"/>
        <v>107</v>
      </c>
      <c r="U45" s="77">
        <f ca="1">IFERROR(__xludf.DUMMYFUNCTION("IMPORTRANGE(""https://docs.google.com/spreadsheets/d/1XL5vhW3sbDhbH9Cz0tuDiY8C3ctxq1tqvaCgkFb8cCA/edit?usp=sharing"",""เลย!J85"")"),107)</f>
        <v>107</v>
      </c>
      <c r="V45" s="77">
        <f ca="1">IFERROR(__xludf.DUMMYFUNCTION("IMPORTRANGE(""https://docs.google.com/spreadsheets/d/1XL5vhW3sbDhbH9Cz0tuDiY8C3ctxq1tqvaCgkFb8cCA/edit?usp=sharing"",""เลย!J86"")"),0)</f>
        <v>0</v>
      </c>
      <c r="W45" s="77">
        <f ca="1">IFERROR(__xludf.DUMMYFUNCTION("IMPORTRANGE(""https://docs.google.com/spreadsheets/d/1C3CXT74ZlgGe6_JY_1olB1XN4rF0dxEuIIF-xsYjHgg/edit?usp=sharing"",""พรบ!AH49"")"),28000)</f>
        <v>28000</v>
      </c>
      <c r="X45" s="77">
        <f ca="1">IFERROR(__xludf.DUMMYFUNCTION("IMPORTRANGE(""https://docs.google.com/spreadsheets/d/1C3CXT74ZlgGe6_JY_1olB1XN4rF0dxEuIIF-xsYjHgg/edit?usp=sharing"",""พรบ!AI49"")"),2)</f>
        <v>2</v>
      </c>
      <c r="Y45" s="77">
        <f ca="1">IFERROR(__xludf.DUMMYFUNCTION("IMPORTRANGE(""https://docs.google.com/spreadsheets/d/1XL5vhW3sbDhbH9Cz0tuDiY8C3ctxq1tqvaCgkFb8cCA/edit?usp=sharing"",""เลย!J98"")"),2)</f>
        <v>2</v>
      </c>
      <c r="Z45" s="137">
        <f t="shared" ca="1" si="11"/>
        <v>100</v>
      </c>
      <c r="AA45" s="77">
        <f ca="1">IFERROR(__xludf.DUMMYFUNCTION("IMPORTRANGE(""https://docs.google.com/spreadsheets/d/1C3CXT74ZlgGe6_JY_1olB1XN4rF0dxEuIIF-xsYjHgg/edit?usp=sharing"",""พรบ!AJ49"")"),30000)</f>
        <v>30000</v>
      </c>
      <c r="AB45" s="77">
        <f ca="1">IFERROR(__xludf.DUMMYFUNCTION("IMPORTRANGE(""https://docs.google.com/spreadsheets/d/1C3CXT74ZlgGe6_JY_1olB1XN4rF0dxEuIIF-xsYjHgg/edit?usp=sharing"",""พรบ!AK49"")"),2)</f>
        <v>2</v>
      </c>
      <c r="AC45" s="77">
        <f ca="1">IFERROR(__xludf.DUMMYFUNCTION("IMPORTRANGE(""https://docs.google.com/spreadsheets/d/1XL5vhW3sbDhbH9Cz0tuDiY8C3ctxq1tqvaCgkFb8cCA/edit?usp=sharing"",""เลย!J110"")"),0)</f>
        <v>0</v>
      </c>
      <c r="AD45" s="137">
        <f t="shared" ca="1" si="13"/>
        <v>0</v>
      </c>
      <c r="AE45" s="77">
        <f ca="1">IFERROR(__xludf.DUMMYFUNCTION("IMPORTRANGE(""https://docs.google.com/spreadsheets/d/1C3CXT74ZlgGe6_JY_1olB1XN4rF0dxEuIIF-xsYjHgg/edit?usp=sharing"",""พรบ!AL49"")"),2)</f>
        <v>2</v>
      </c>
      <c r="AF45" s="77">
        <f ca="1">IFERROR(__xludf.DUMMYFUNCTION("IMPORTRANGE(""https://docs.google.com/spreadsheets/d/1XL5vhW3sbDhbH9Cz0tuDiY8C3ctxq1tqvaCgkFb8cCA/edit?usp=sharing"",""เลย!J111"")"),2)</f>
        <v>2</v>
      </c>
      <c r="AG45" s="137">
        <f t="shared" ca="1" si="15"/>
        <v>100</v>
      </c>
      <c r="AH45" s="77">
        <f ca="1">IFERROR(__xludf.DUMMYFUNCTION("IMPORTRANGE(""https://docs.google.com/spreadsheets/d/1C3CXT74ZlgGe6_JY_1olB1XN4rF0dxEuIIF-xsYjHgg/edit?usp=sharing"",""พรบ!AM49"")"),57200)</f>
        <v>57200</v>
      </c>
      <c r="AI45" s="77">
        <f ca="1">IFERROR(__xludf.DUMMYFUNCTION("IMPORTRANGE(""https://docs.google.com/spreadsheets/d/1C3CXT74ZlgGe6_JY_1olB1XN4rF0dxEuIIF-xsYjHgg/edit?usp=sharing"",""พรบ!AN49"")"),128000)</f>
        <v>128000</v>
      </c>
      <c r="AJ45" s="77">
        <f ca="1">IFERROR(__xludf.DUMMYFUNCTION("IMPORTRANGE(""https://docs.google.com/spreadsheets/d/1XL5vhW3sbDhbH9Cz0tuDiY8C3ctxq1tqvaCgkFb8cCA/edit?usp=sharing"",""เลย!J124"")"),0)</f>
        <v>0</v>
      </c>
      <c r="AK45" s="137">
        <f t="shared" ca="1" si="17"/>
        <v>0</v>
      </c>
      <c r="AL45" s="77">
        <f ca="1">IFERROR(__xludf.DUMMYFUNCTION("IMPORTRANGE(""https://docs.google.com/spreadsheets/d/1XL5vhW3sbDhbH9Cz0tuDiY8C3ctxq1tqvaCgkFb8cCA/edit?usp=sharing"",""เลย!J125"")"),0)</f>
        <v>0</v>
      </c>
      <c r="AM45" s="137">
        <f t="shared" ca="1" si="18"/>
        <v>0</v>
      </c>
      <c r="AN45" s="77">
        <f ca="1">IFERROR(__xludf.DUMMYFUNCTION("IMPORTRANGE(""https://docs.google.com/spreadsheets/d/1C3CXT74ZlgGe6_JY_1olB1XN4rF0dxEuIIF-xsYjHgg/edit?usp=sharing"",""พรบ!AQ49"")"),15)</f>
        <v>15</v>
      </c>
      <c r="AO45" s="77">
        <f ca="1">IFERROR(__xludf.DUMMYFUNCTION("IMPORTRANGE(""https://docs.google.com/spreadsheets/d/1XL5vhW3sbDhbH9Cz0tuDiY8C3ctxq1tqvaCgkFb8cCA/edit?usp=sharing"",""เลย!J126"")"),15)</f>
        <v>15</v>
      </c>
      <c r="AP45" s="137">
        <f t="shared" ca="1" si="20"/>
        <v>100</v>
      </c>
      <c r="AQ45" s="149">
        <f ca="1">IFERROR(__xludf.DUMMYFUNCTION("IMPORTRANGE(""https://docs.google.com/spreadsheets/d/1C3CXT74ZlgGe6_JY_1olB1XN4rF0dxEuIIF-xsYjHgg/edit?usp=sharing"",""พรบ!AR49"")"),0)</f>
        <v>0</v>
      </c>
      <c r="AR45" s="77">
        <f ca="1">IFERROR(__xludf.DUMMYFUNCTION("IMPORTRANGE(""https://docs.google.com/spreadsheets/d/1C3CXT74ZlgGe6_JY_1olB1XN4rF0dxEuIIF-xsYjHgg/edit?usp=sharing"",""พรบ!AS49"")"),0)</f>
        <v>0</v>
      </c>
      <c r="AS45" s="77">
        <f ca="1">IFERROR(__xludf.DUMMYFUNCTION("IMPORTRANGE(""https://docs.google.com/spreadsheets/d/1XL5vhW3sbDhbH9Cz0tuDiY8C3ctxq1tqvaCgkFb8cCA/edit?usp=sharing"",""เลย!J138"")"),0)</f>
        <v>0</v>
      </c>
      <c r="AT45" s="137">
        <f t="shared" ca="1" si="22"/>
        <v>0</v>
      </c>
      <c r="AU45" s="77">
        <f ca="1">IFERROR(__xludf.DUMMYFUNCTION("IMPORTRANGE(""https://docs.google.com/spreadsheets/d/1C3CXT74ZlgGe6_JY_1olB1XN4rF0dxEuIIF-xsYjHgg/edit?usp=sharing"",""พรบ!AT49"")"),0)</f>
        <v>0</v>
      </c>
      <c r="AV45" s="77">
        <f ca="1">IFERROR(__xludf.DUMMYFUNCTION("IMPORTRANGE(""https://docs.google.com/spreadsheets/d/1C3CXT74ZlgGe6_JY_1olB1XN4rF0dxEuIIF-xsYjHgg/edit?usp=sharing"",""พรบ!AU49"")"),0)</f>
        <v>0</v>
      </c>
      <c r="AW45" s="77">
        <f ca="1">IFERROR(__xludf.DUMMYFUNCTION("IMPORTRANGE(""https://docs.google.com/spreadsheets/d/1XL5vhW3sbDhbH9Cz0tuDiY8C3ctxq1tqvaCgkFb8cCA/edit?usp=sharing"",""เลย!J140"")"),0)</f>
        <v>0</v>
      </c>
      <c r="AX45" s="137">
        <f t="shared" ca="1" si="24"/>
        <v>0</v>
      </c>
      <c r="AY45" s="77">
        <f ca="1">IFERROR(__xludf.DUMMYFUNCTION("IMPORTRANGE(""https://docs.google.com/spreadsheets/d/1XL5vhW3sbDhbH9Cz0tuDiY8C3ctxq1tqvaCgkFb8cCA/edit?usp=sharing"",""เลย!J141"")"),0)</f>
        <v>0</v>
      </c>
      <c r="AZ45" s="137">
        <f t="shared" ca="1" si="25"/>
        <v>0</v>
      </c>
      <c r="BA45" s="77">
        <f t="shared" ca="1" si="26"/>
        <v>15</v>
      </c>
      <c r="BB45" s="77">
        <f t="shared" ca="1" si="87"/>
        <v>15</v>
      </c>
      <c r="BC45" s="137">
        <f t="shared" ca="1" si="27"/>
        <v>100</v>
      </c>
    </row>
    <row r="46" spans="1:55" ht="21" customHeight="1">
      <c r="A46" s="73">
        <v>13</v>
      </c>
      <c r="B46" s="74" t="s">
        <v>70</v>
      </c>
      <c r="C46" s="75">
        <f t="shared" ca="1" si="0"/>
        <v>86000</v>
      </c>
      <c r="D46" s="76">
        <f t="shared" ca="1" si="85"/>
        <v>86000</v>
      </c>
      <c r="E46" s="77">
        <f ca="1">IFERROR(__xludf.DUMMYFUNCTION("IMPORTRANGE(""https://docs.google.com/spreadsheets/d/1C3CXT74ZlgGe6_JY_1olB1XN4rF0dxEuIIF-xsYjHgg/edit?usp=sharing"",""พรบ!AD50"")"),0)</f>
        <v>0</v>
      </c>
      <c r="F46" s="77">
        <f ca="1">IFERROR(__xludf.DUMMYFUNCTION("IMPORTRANGE(""https://docs.google.com/spreadsheets/d/1C3CXT74ZlgGe6_JY_1olB1XN4rF0dxEuIIF-xsYjHgg/edit?usp=sharing"",""พรบ!AE50"")"),86000)</f>
        <v>86000</v>
      </c>
      <c r="G46" s="77">
        <f ca="1">IFERROR(__xludf.DUMMYFUNCTION("IMPORTRANGE(""https://docs.google.com/spreadsheets/d/1Yj_ptqi66GCucihVvJfMjLAmec39IyEx_6qawtMGysU/edit?usp=sharing"",""สบก!BH50"")"),0)</f>
        <v>0</v>
      </c>
      <c r="H46" s="77">
        <f ca="1">IFERROR(__xludf.DUMMYFUNCTION("IMPORTRANGE(""https://docs.google.com/spreadsheets/d/1Yj_ptqi66GCucihVvJfMjLAmec39IyEx_6qawtMGysU/edit?usp=shBJing"",""สบก!BJ50"")"),84625)</f>
        <v>84625</v>
      </c>
      <c r="I46" s="77">
        <f t="shared" ca="1" si="3"/>
        <v>67634</v>
      </c>
      <c r="J46" s="137">
        <f t="shared" ca="1" si="4"/>
        <v>78.644186046511635</v>
      </c>
      <c r="K46" s="77">
        <f ca="1">IFERROR(__xludf.DUMMYFUNCTION("IMPORTRANGE(""https://docs.google.com/spreadsheets/d/1Yj_ptqi66GCucihVvJfMjLAmec39IyEx_6qawtMGysU/edit?usp=sharing"",""สบก!BK50"")"),67634)</f>
        <v>67634</v>
      </c>
      <c r="L46" s="137">
        <f t="shared" ca="1" si="5"/>
        <v>78.644186046511635</v>
      </c>
      <c r="M46" s="137">
        <f t="shared" ca="1" si="6"/>
        <v>79.922008862629241</v>
      </c>
      <c r="N46" s="137">
        <f ca="1">IFERROR(__xludf.DUMMYFUNCTION("IMPORTRANGE(""https://docs.google.com/spreadsheets/d/1Yj_ptqi66GCucihVvJfMjLAmec39IyEx_6qawtMGysU/edit?usp=sharing"",""สบก!BL50"")"),0)</f>
        <v>0</v>
      </c>
      <c r="O46" s="137">
        <f t="shared" ca="1" si="7"/>
        <v>0</v>
      </c>
      <c r="P46" s="77">
        <f ca="1">IFERROR(__xludf.DUMMYFUNCTION("IMPORTRANGE(""https://docs.google.com/spreadsheets/d/1C3CXT74ZlgGe6_JY_1olB1XN4rF0dxEuIIF-xsYjHgg/edit?usp=sharing"",""พรบ!AF50"")"),7500)</f>
        <v>7500</v>
      </c>
      <c r="Q46" s="77">
        <f ca="1">IFERROR(__xludf.DUMMYFUNCTION("IMPORTRANGE(""https://docs.google.com/spreadsheets/d/1C3CXT74ZlgGe6_JY_1olB1XN4rF0dxEuIIF-xsYjHgg/edit?usp=sharing"",""พรบ!AG50"")"),4)</f>
        <v>4</v>
      </c>
      <c r="R46" s="77">
        <f ca="1">IFERROR(__xludf.DUMMYFUNCTION("IMPORTRANGE(""https://docs.google.com/spreadsheets/d/1XL5vhW3sbDhbH9Cz0tuDiY8C3ctxq1tqvaCgkFb8cCA/edit?usp=sharing"",""ศรีสะเกษ!J83"")"),2)</f>
        <v>2</v>
      </c>
      <c r="S46" s="137">
        <f t="shared" ca="1" si="9"/>
        <v>50</v>
      </c>
      <c r="T46" s="77">
        <f t="shared" ca="1" si="86"/>
        <v>23</v>
      </c>
      <c r="U46" s="77">
        <f ca="1">IFERROR(__xludf.DUMMYFUNCTION("IMPORTRANGE(""https://docs.google.com/spreadsheets/d/1XL5vhW3sbDhbH9Cz0tuDiY8C3ctxq1tqvaCgkFb8cCA/edit?usp=sharing"",""ศรีสะเกษ!J85"")"),23)</f>
        <v>23</v>
      </c>
      <c r="V46" s="77">
        <f ca="1">IFERROR(__xludf.DUMMYFUNCTION("IMPORTRANGE(""https://docs.google.com/spreadsheets/d/1XL5vhW3sbDhbH9Cz0tuDiY8C3ctxq1tqvaCgkFb8cCA/edit?usp=sharing"",""ศรีสะเกษ!J86"")"),0)</f>
        <v>0</v>
      </c>
      <c r="W46" s="77">
        <f ca="1">IFERROR(__xludf.DUMMYFUNCTION("IMPORTRANGE(""https://docs.google.com/spreadsheets/d/1C3CXT74ZlgGe6_JY_1olB1XN4rF0dxEuIIF-xsYjHgg/edit?usp=sharing"",""พรบ!AH50"")"),56000)</f>
        <v>56000</v>
      </c>
      <c r="X46" s="77">
        <f ca="1">IFERROR(__xludf.DUMMYFUNCTION("IMPORTRANGE(""https://docs.google.com/spreadsheets/d/1C3CXT74ZlgGe6_JY_1olB1XN4rF0dxEuIIF-xsYjHgg/edit?usp=sharing"",""พรบ!AI50"")"),4)</f>
        <v>4</v>
      </c>
      <c r="Y46" s="77">
        <f ca="1">IFERROR(__xludf.DUMMYFUNCTION("IMPORTRANGE(""https://docs.google.com/spreadsheets/d/1XL5vhW3sbDhbH9Cz0tuDiY8C3ctxq1tqvaCgkFb8cCA/edit?usp=sharing"",""ศรีสะเกษ!J98"")"),4)</f>
        <v>4</v>
      </c>
      <c r="Z46" s="137">
        <f t="shared" ca="1" si="11"/>
        <v>100</v>
      </c>
      <c r="AA46" s="77">
        <f ca="1">IFERROR(__xludf.DUMMYFUNCTION("IMPORTRANGE(""https://docs.google.com/spreadsheets/d/1C3CXT74ZlgGe6_JY_1olB1XN4rF0dxEuIIF-xsYjHgg/edit?usp=sharing"",""พรบ!AJ50"")"),15000)</f>
        <v>15000</v>
      </c>
      <c r="AB46" s="77">
        <f ca="1">IFERROR(__xludf.DUMMYFUNCTION("IMPORTRANGE(""https://docs.google.com/spreadsheets/d/1C3CXT74ZlgGe6_JY_1olB1XN4rF0dxEuIIF-xsYjHgg/edit?usp=sharing"",""พรบ!AK50"")"),1)</f>
        <v>1</v>
      </c>
      <c r="AC46" s="77">
        <f ca="1">IFERROR(__xludf.DUMMYFUNCTION("IMPORTRANGE(""https://docs.google.com/spreadsheets/d/1XL5vhW3sbDhbH9Cz0tuDiY8C3ctxq1tqvaCgkFb8cCA/edit?usp=sharing"",""ศรีสะเกษ!J110"")"),0)</f>
        <v>0</v>
      </c>
      <c r="AD46" s="137">
        <f t="shared" ca="1" si="13"/>
        <v>0</v>
      </c>
      <c r="AE46" s="77">
        <f ca="1">IFERROR(__xludf.DUMMYFUNCTION("IMPORTRANGE(""https://docs.google.com/spreadsheets/d/1C3CXT74ZlgGe6_JY_1olB1XN4rF0dxEuIIF-xsYjHgg/edit?usp=sharing"",""พรบ!AL50"")"),1)</f>
        <v>1</v>
      </c>
      <c r="AF46" s="77">
        <f ca="1">IFERROR(__xludf.DUMMYFUNCTION("IMPORTRANGE(""https://docs.google.com/spreadsheets/d/1XL5vhW3sbDhbH9Cz0tuDiY8C3ctxq1tqvaCgkFb8cCA/edit?usp=sharing"",""ศรีสะเกษ!J111"")"),1)</f>
        <v>1</v>
      </c>
      <c r="AG46" s="137">
        <f t="shared" ca="1" si="15"/>
        <v>100</v>
      </c>
      <c r="AH46" s="77">
        <f ca="1">IFERROR(__xludf.DUMMYFUNCTION("IMPORTRANGE(""https://docs.google.com/spreadsheets/d/1C3CXT74ZlgGe6_JY_1olB1XN4rF0dxEuIIF-xsYjHgg/edit?usp=sharing"",""พรบ!AM50"")"),7500)</f>
        <v>7500</v>
      </c>
      <c r="AI46" s="77">
        <f ca="1">IFERROR(__xludf.DUMMYFUNCTION("IMPORTRANGE(""https://docs.google.com/spreadsheets/d/1C3CXT74ZlgGe6_JY_1olB1XN4rF0dxEuIIF-xsYjHgg/edit?usp=sharing"",""พรบ!AN50"")"),10000)</f>
        <v>10000</v>
      </c>
      <c r="AJ46" s="77">
        <f ca="1">IFERROR(__xludf.DUMMYFUNCTION("IMPORTRANGE(""https://docs.google.com/spreadsheets/d/1XL5vhW3sbDhbH9Cz0tuDiY8C3ctxq1tqvaCgkFb8cCA/edit?usp=sharing"",""ศรีสะเกษ!J124"")"),0)</f>
        <v>0</v>
      </c>
      <c r="AK46" s="137">
        <f t="shared" ca="1" si="17"/>
        <v>0</v>
      </c>
      <c r="AL46" s="77">
        <f ca="1">IFERROR(__xludf.DUMMYFUNCTION("IMPORTRANGE(""https://docs.google.com/spreadsheets/d/1XL5vhW3sbDhbH9Cz0tuDiY8C3ctxq1tqvaCgkFb8cCA/edit?usp=sharing"",""ศรีสะเกษ!J125"")"),0)</f>
        <v>0</v>
      </c>
      <c r="AM46" s="137">
        <f t="shared" ca="1" si="18"/>
        <v>0</v>
      </c>
      <c r="AN46" s="77">
        <f ca="1">IFERROR(__xludf.DUMMYFUNCTION("IMPORTRANGE(""https://docs.google.com/spreadsheets/d/1C3CXT74ZlgGe6_JY_1olB1XN4rF0dxEuIIF-xsYjHgg/edit?usp=sharing"",""พรบ!AQ50"")"),0)</f>
        <v>0</v>
      </c>
      <c r="AO46" s="77">
        <f ca="1">IFERROR(__xludf.DUMMYFUNCTION("IMPORTRANGE(""https://docs.google.com/spreadsheets/d/1XL5vhW3sbDhbH9Cz0tuDiY8C3ctxq1tqvaCgkFb8cCA/edit?usp=sharing"",""ศรีสะเกษ!J126"")"),0)</f>
        <v>0</v>
      </c>
      <c r="AP46" s="137">
        <f t="shared" ca="1" si="20"/>
        <v>0</v>
      </c>
      <c r="AQ46" s="149">
        <f ca="1">IFERROR(__xludf.DUMMYFUNCTION("IMPORTRANGE(""https://docs.google.com/spreadsheets/d/1C3CXT74ZlgGe6_JY_1olB1XN4rF0dxEuIIF-xsYjHgg/edit?usp=sharing"",""พรบ!AR50"")"),0)</f>
        <v>0</v>
      </c>
      <c r="AR46" s="77">
        <f ca="1">IFERROR(__xludf.DUMMYFUNCTION("IMPORTRANGE(""https://docs.google.com/spreadsheets/d/1C3CXT74ZlgGe6_JY_1olB1XN4rF0dxEuIIF-xsYjHgg/edit?usp=sharing"",""พรบ!AS50"")"),0)</f>
        <v>0</v>
      </c>
      <c r="AS46" s="77">
        <f ca="1">IFERROR(__xludf.DUMMYFUNCTION("IMPORTRANGE(""https://docs.google.com/spreadsheets/d/1XL5vhW3sbDhbH9Cz0tuDiY8C3ctxq1tqvaCgkFb8cCA/edit?usp=sharing"",""ศรีสะเกษ!J138"")"),0)</f>
        <v>0</v>
      </c>
      <c r="AT46" s="137">
        <f t="shared" ca="1" si="22"/>
        <v>0</v>
      </c>
      <c r="AU46" s="77">
        <f ca="1">IFERROR(__xludf.DUMMYFUNCTION("IMPORTRANGE(""https://docs.google.com/spreadsheets/d/1C3CXT74ZlgGe6_JY_1olB1XN4rF0dxEuIIF-xsYjHgg/edit?usp=sharing"",""พรบ!AT50"")"),0)</f>
        <v>0</v>
      </c>
      <c r="AV46" s="77">
        <f ca="1">IFERROR(__xludf.DUMMYFUNCTION("IMPORTRANGE(""https://docs.google.com/spreadsheets/d/1C3CXT74ZlgGe6_JY_1olB1XN4rF0dxEuIIF-xsYjHgg/edit?usp=sharing"",""พรบ!AU50"")"),0)</f>
        <v>0</v>
      </c>
      <c r="AW46" s="77">
        <f ca="1">IFERROR(__xludf.DUMMYFUNCTION("IMPORTRANGE(""https://docs.google.com/spreadsheets/d/1XL5vhW3sbDhbH9Cz0tuDiY8C3ctxq1tqvaCgkFb8cCA/edit?usp=sharing"",""ศรีสะเกษ!J140"")"),0)</f>
        <v>0</v>
      </c>
      <c r="AX46" s="137">
        <f t="shared" ca="1" si="24"/>
        <v>0</v>
      </c>
      <c r="AY46" s="77">
        <f ca="1">IFERROR(__xludf.DUMMYFUNCTION("IMPORTRANGE(""https://docs.google.com/spreadsheets/d/1XL5vhW3sbDhbH9Cz0tuDiY8C3ctxq1tqvaCgkFb8cCA/edit?usp=sharing"",""ศรีสะเกษ!J141"")"),0)</f>
        <v>0</v>
      </c>
      <c r="AZ46" s="137">
        <f t="shared" ca="1" si="25"/>
        <v>0</v>
      </c>
      <c r="BA46" s="77">
        <f t="shared" ca="1" si="26"/>
        <v>0</v>
      </c>
      <c r="BB46" s="77">
        <f t="shared" ca="1" si="87"/>
        <v>0</v>
      </c>
      <c r="BC46" s="137">
        <f t="shared" ca="1" si="27"/>
        <v>0</v>
      </c>
    </row>
    <row r="47" spans="1:55" ht="21" customHeight="1">
      <c r="A47" s="73">
        <v>14</v>
      </c>
      <c r="B47" s="74" t="s">
        <v>71</v>
      </c>
      <c r="C47" s="75">
        <f t="shared" ca="1" si="0"/>
        <v>619500</v>
      </c>
      <c r="D47" s="76">
        <f t="shared" ca="1" si="85"/>
        <v>619500</v>
      </c>
      <c r="E47" s="77">
        <f ca="1">IFERROR(__xludf.DUMMYFUNCTION("IMPORTRANGE(""https://docs.google.com/spreadsheets/d/1C3CXT74ZlgGe6_JY_1olB1XN4rF0dxEuIIF-xsYjHgg/edit?usp=sharing"",""พรบ!AD51"")"),264000)</f>
        <v>264000</v>
      </c>
      <c r="F47" s="77">
        <f ca="1">IFERROR(__xludf.DUMMYFUNCTION("IMPORTRANGE(""https://docs.google.com/spreadsheets/d/1C3CXT74ZlgGe6_JY_1olB1XN4rF0dxEuIIF-xsYjHgg/edit?usp=sharing"",""พรบ!AE51"")"),355500)</f>
        <v>355500</v>
      </c>
      <c r="G47" s="77">
        <f ca="1">IFERROR(__xludf.DUMMYFUNCTION("IMPORTRANGE(""https://docs.google.com/spreadsheets/d/1Yj_ptqi66GCucihVvJfMjLAmec39IyEx_6qawtMGysU/edit?usp=sharing"",""สบก!BH51"")"),0)</f>
        <v>0</v>
      </c>
      <c r="H47" s="77">
        <f ca="1">IFERROR(__xludf.DUMMYFUNCTION("IMPORTRANGE(""https://docs.google.com/spreadsheets/d/1Yj_ptqi66GCucihVvJfMjLAmec39IyEx_6qawtMGysU/edit?usp=shBJing"",""สบก!BJ51"")"),503025)</f>
        <v>503025</v>
      </c>
      <c r="I47" s="77">
        <f t="shared" ca="1" si="3"/>
        <v>270337.81</v>
      </c>
      <c r="J47" s="137">
        <f t="shared" ca="1" si="4"/>
        <v>43.638064568200164</v>
      </c>
      <c r="K47" s="77">
        <f ca="1">IFERROR(__xludf.DUMMYFUNCTION("IMPORTRANGE(""https://docs.google.com/spreadsheets/d/1Yj_ptqi66GCucihVvJfMjLAmec39IyEx_6qawtMGysU/edit?usp=sharing"",""สบก!BK51"")"),270337.81)</f>
        <v>270337.81</v>
      </c>
      <c r="L47" s="137">
        <f t="shared" ca="1" si="5"/>
        <v>43.638064568200164</v>
      </c>
      <c r="M47" s="137">
        <f t="shared" ca="1" si="6"/>
        <v>53.742420356841109</v>
      </c>
      <c r="N47" s="137">
        <f ca="1">IFERROR(__xludf.DUMMYFUNCTION("IMPORTRANGE(""https://docs.google.com/spreadsheets/d/1Yj_ptqi66GCucihVvJfMjLAmec39IyEx_6qawtMGysU/edit?usp=sharing"",""สบก!BL51"")"),0)</f>
        <v>0</v>
      </c>
      <c r="O47" s="137">
        <f t="shared" ca="1" si="7"/>
        <v>0</v>
      </c>
      <c r="P47" s="77">
        <f ca="1">IFERROR(__xludf.DUMMYFUNCTION("IMPORTRANGE(""https://docs.google.com/spreadsheets/d/1C3CXT74ZlgGe6_JY_1olB1XN4rF0dxEuIIF-xsYjHgg/edit?usp=sharing"",""พรบ!AF51"")"),7500)</f>
        <v>7500</v>
      </c>
      <c r="Q47" s="77">
        <f ca="1">IFERROR(__xludf.DUMMYFUNCTION("IMPORTRANGE(""https://docs.google.com/spreadsheets/d/1C3CXT74ZlgGe6_JY_1olB1XN4rF0dxEuIIF-xsYjHgg/edit?usp=sharing"",""พรบ!AG51"")"),4)</f>
        <v>4</v>
      </c>
      <c r="R47" s="77">
        <f ca="1">IFERROR(__xludf.DUMMYFUNCTION("IMPORTRANGE(""https://docs.google.com/spreadsheets/d/1XL5vhW3sbDhbH9Cz0tuDiY8C3ctxq1tqvaCgkFb8cCA/edit?usp=sharing"",""สกลนคร!J83"")"),2)</f>
        <v>2</v>
      </c>
      <c r="S47" s="137">
        <f t="shared" ca="1" si="9"/>
        <v>50</v>
      </c>
      <c r="T47" s="77">
        <f t="shared" ca="1" si="86"/>
        <v>150</v>
      </c>
      <c r="U47" s="77">
        <f ca="1">IFERROR(__xludf.DUMMYFUNCTION("IMPORTRANGE(""https://docs.google.com/spreadsheets/d/1XL5vhW3sbDhbH9Cz0tuDiY8C3ctxq1tqvaCgkFb8cCA/edit?usp=sharing"",""สกลนคร!J85"")"),150)</f>
        <v>150</v>
      </c>
      <c r="V47" s="77">
        <f ca="1">IFERROR(__xludf.DUMMYFUNCTION("IMPORTRANGE(""https://docs.google.com/spreadsheets/d/1XL5vhW3sbDhbH9Cz0tuDiY8C3ctxq1tqvaCgkFb8cCA/edit?usp=sharing"",""สกลนคร!J86"")"),0)</f>
        <v>0</v>
      </c>
      <c r="W47" s="77">
        <f ca="1">IFERROR(__xludf.DUMMYFUNCTION("IMPORTRANGE(""https://docs.google.com/spreadsheets/d/1C3CXT74ZlgGe6_JY_1olB1XN4rF0dxEuIIF-xsYjHgg/edit?usp=sharing"",""พรบ!AH51"")"),42000)</f>
        <v>42000</v>
      </c>
      <c r="X47" s="77">
        <f ca="1">IFERROR(__xludf.DUMMYFUNCTION("IMPORTRANGE(""https://docs.google.com/spreadsheets/d/1C3CXT74ZlgGe6_JY_1olB1XN4rF0dxEuIIF-xsYjHgg/edit?usp=sharing"",""พรบ!AI51"")"),3)</f>
        <v>3</v>
      </c>
      <c r="Y47" s="77">
        <f ca="1">IFERROR(__xludf.DUMMYFUNCTION("IMPORTRANGE(""https://docs.google.com/spreadsheets/d/1XL5vhW3sbDhbH9Cz0tuDiY8C3ctxq1tqvaCgkFb8cCA/edit?usp=sharing"",""สกลนคร!J98"")"),2)</f>
        <v>2</v>
      </c>
      <c r="Z47" s="137">
        <f t="shared" ca="1" si="11"/>
        <v>66.666666666666671</v>
      </c>
      <c r="AA47" s="77">
        <f ca="1">IFERROR(__xludf.DUMMYFUNCTION("IMPORTRANGE(""https://docs.google.com/spreadsheets/d/1C3CXT74ZlgGe6_JY_1olB1XN4rF0dxEuIIF-xsYjHgg/edit?usp=sharing"",""พรบ!AJ51"")"),0)</f>
        <v>0</v>
      </c>
      <c r="AB47" s="77">
        <f ca="1">IFERROR(__xludf.DUMMYFUNCTION("IMPORTRANGE(""https://docs.google.com/spreadsheets/d/1C3CXT74ZlgGe6_JY_1olB1XN4rF0dxEuIIF-xsYjHgg/edit?usp=sharing"",""พรบ!AK51"")"),0)</f>
        <v>0</v>
      </c>
      <c r="AC47" s="77">
        <f ca="1">IFERROR(__xludf.DUMMYFUNCTION("IMPORTRANGE(""https://docs.google.com/spreadsheets/d/1XL5vhW3sbDhbH9Cz0tuDiY8C3ctxq1tqvaCgkFb8cCA/edit?usp=sharing"",""สกลนคร!J110"")"),0)</f>
        <v>0</v>
      </c>
      <c r="AD47" s="137">
        <f t="shared" ca="1" si="13"/>
        <v>0</v>
      </c>
      <c r="AE47" s="77">
        <f ca="1">IFERROR(__xludf.DUMMYFUNCTION("IMPORTRANGE(""https://docs.google.com/spreadsheets/d/1C3CXT74ZlgGe6_JY_1olB1XN4rF0dxEuIIF-xsYjHgg/edit?usp=sharing"",""พรบ!AL51"")"),0)</f>
        <v>0</v>
      </c>
      <c r="AF47" s="77">
        <f ca="1">IFERROR(__xludf.DUMMYFUNCTION("IMPORTRANGE(""https://docs.google.com/spreadsheets/d/1XL5vhW3sbDhbH9Cz0tuDiY8C3ctxq1tqvaCgkFb8cCA/edit?usp=sharing"",""สกลนคร!J111"")"),0)</f>
        <v>0</v>
      </c>
      <c r="AG47" s="137">
        <f t="shared" ca="1" si="15"/>
        <v>0</v>
      </c>
      <c r="AH47" s="77">
        <f ca="1">IFERROR(__xludf.DUMMYFUNCTION("IMPORTRANGE(""https://docs.google.com/spreadsheets/d/1C3CXT74ZlgGe6_JY_1olB1XN4rF0dxEuIIF-xsYjHgg/edit?usp=sharing"",""พรบ!AM51"")"),8100)</f>
        <v>8100</v>
      </c>
      <c r="AI47" s="77">
        <f ca="1">IFERROR(__xludf.DUMMYFUNCTION("IMPORTRANGE(""https://docs.google.com/spreadsheets/d/1C3CXT74ZlgGe6_JY_1olB1XN4rF0dxEuIIF-xsYjHgg/edit?usp=sharing"",""พรบ!AN51"")"),12800)</f>
        <v>12800</v>
      </c>
      <c r="AJ47" s="77">
        <f ca="1">IFERROR(__xludf.DUMMYFUNCTION("IMPORTRANGE(""https://docs.google.com/spreadsheets/d/1XL5vhW3sbDhbH9Cz0tuDiY8C3ctxq1tqvaCgkFb8cCA/edit?usp=sharing"",""สกลนคร!J124"")"),12800)</f>
        <v>12800</v>
      </c>
      <c r="AK47" s="137">
        <f t="shared" ca="1" si="17"/>
        <v>100</v>
      </c>
      <c r="AL47" s="77">
        <f ca="1">IFERROR(__xludf.DUMMYFUNCTION("IMPORTRANGE(""https://docs.google.com/spreadsheets/d/1XL5vhW3sbDhbH9Cz0tuDiY8C3ctxq1tqvaCgkFb8cCA/edit?usp=sharing"",""สกลนคร!J125"")"),0)</f>
        <v>0</v>
      </c>
      <c r="AM47" s="137">
        <f t="shared" ca="1" si="18"/>
        <v>0</v>
      </c>
      <c r="AN47" s="77">
        <f ca="1">IFERROR(__xludf.DUMMYFUNCTION("IMPORTRANGE(""https://docs.google.com/spreadsheets/d/1C3CXT74ZlgGe6_JY_1olB1XN4rF0dxEuIIF-xsYjHgg/edit?usp=sharing"",""พรบ!AQ51"")"),0)</f>
        <v>0</v>
      </c>
      <c r="AO47" s="77">
        <f ca="1">IFERROR(__xludf.DUMMYFUNCTION("IMPORTRANGE(""https://docs.google.com/spreadsheets/d/1XL5vhW3sbDhbH9Cz0tuDiY8C3ctxq1tqvaCgkFb8cCA/edit?usp=sharing"",""สกลนคร!J126"")"),0)</f>
        <v>0</v>
      </c>
      <c r="AP47" s="137">
        <f t="shared" ca="1" si="20"/>
        <v>0</v>
      </c>
      <c r="AQ47" s="77">
        <f ca="1">IFERROR(__xludf.DUMMYFUNCTION("IMPORTRANGE(""https://docs.google.com/spreadsheets/d/1C3CXT74ZlgGe6_JY_1olB1XN4rF0dxEuIIF-xsYjHgg/edit?usp=sharing"",""พรบ!AR51"")"),297900)</f>
        <v>297900</v>
      </c>
      <c r="AR47" s="77">
        <f ca="1">IFERROR(__xludf.DUMMYFUNCTION("IMPORTRANGE(""https://docs.google.com/spreadsheets/d/1C3CXT74ZlgGe6_JY_1olB1XN4rF0dxEuIIF-xsYjHgg/edit?usp=sharing"",""พรบ!AS51"")"),50)</f>
        <v>50</v>
      </c>
      <c r="AS47" s="77">
        <f ca="1">IFERROR(__xludf.DUMMYFUNCTION("IMPORTRANGE(""https://docs.google.com/spreadsheets/d/1XL5vhW3sbDhbH9Cz0tuDiY8C3ctxq1tqvaCgkFb8cCA/edit?usp=sharing"",""สกลนคร!J138"")"),50)</f>
        <v>50</v>
      </c>
      <c r="AT47" s="137">
        <f t="shared" ca="1" si="22"/>
        <v>100</v>
      </c>
      <c r="AU47" s="77">
        <f ca="1">IFERROR(__xludf.DUMMYFUNCTION("IMPORTRANGE(""https://docs.google.com/spreadsheets/d/1C3CXT74ZlgGe6_JY_1olB1XN4rF0dxEuIIF-xsYjHgg/edit?usp=sharing"",""พรบ!AT51"")"),50)</f>
        <v>50</v>
      </c>
      <c r="AV47" s="149">
        <f ca="1">IFERROR(__xludf.DUMMYFUNCTION("IMPORTRANGE(""https://docs.google.com/spreadsheets/d/1C3CXT74ZlgGe6_JY_1olB1XN4rF0dxEuIIF-xsYjHgg/edit?usp=sharing"",""พรบ!AU51"")"),1)</f>
        <v>1</v>
      </c>
      <c r="AW47" s="77">
        <f ca="1">IFERROR(__xludf.DUMMYFUNCTION("IMPORTRANGE(""https://docs.google.com/spreadsheets/d/1XL5vhW3sbDhbH9Cz0tuDiY8C3ctxq1tqvaCgkFb8cCA/edit?usp=sharing"",""สกลนคร!J140"")"),0)</f>
        <v>0</v>
      </c>
      <c r="AX47" s="137">
        <f t="shared" ca="1" si="24"/>
        <v>0</v>
      </c>
      <c r="AY47" s="77">
        <f ca="1">IFERROR(__xludf.DUMMYFUNCTION("IMPORTRANGE(""https://docs.google.com/spreadsheets/d/1XL5vhW3sbDhbH9Cz0tuDiY8C3ctxq1tqvaCgkFb8cCA/edit?usp=sharing"",""สกลนคร!J141"")"),0)</f>
        <v>0</v>
      </c>
      <c r="AZ47" s="137">
        <f t="shared" ca="1" si="25"/>
        <v>0</v>
      </c>
      <c r="BA47" s="77">
        <f t="shared" ca="1" si="26"/>
        <v>50</v>
      </c>
      <c r="BB47" s="77">
        <f t="shared" ca="1" si="87"/>
        <v>50</v>
      </c>
      <c r="BC47" s="137">
        <f t="shared" ca="1" si="27"/>
        <v>100</v>
      </c>
    </row>
    <row r="48" spans="1:55" ht="21" customHeight="1">
      <c r="A48" s="73">
        <v>15</v>
      </c>
      <c r="B48" s="74" t="s">
        <v>72</v>
      </c>
      <c r="C48" s="75">
        <f t="shared" ca="1" si="0"/>
        <v>117900</v>
      </c>
      <c r="D48" s="76">
        <f t="shared" ca="1" si="85"/>
        <v>117900</v>
      </c>
      <c r="E48" s="77">
        <f ca="1">IFERROR(__xludf.DUMMYFUNCTION("IMPORTRANGE(""https://docs.google.com/spreadsheets/d/1C3CXT74ZlgGe6_JY_1olB1XN4rF0dxEuIIF-xsYjHgg/edit?usp=sharing"",""พรบ!AD52"")"),0)</f>
        <v>0</v>
      </c>
      <c r="F48" s="77">
        <f ca="1">IFERROR(__xludf.DUMMYFUNCTION("IMPORTRANGE(""https://docs.google.com/spreadsheets/d/1C3CXT74ZlgGe6_JY_1olB1XN4rF0dxEuIIF-xsYjHgg/edit?usp=sharing"",""พรบ!AE52"")"),117900)</f>
        <v>117900</v>
      </c>
      <c r="G48" s="77">
        <f ca="1">IFERROR(__xludf.DUMMYFUNCTION("IMPORTRANGE(""https://docs.google.com/spreadsheets/d/1Yj_ptqi66GCucihVvJfMjLAmec39IyEx_6qawtMGysU/edit?usp=sharing"",""สบก!BH52"")"),0)</f>
        <v>0</v>
      </c>
      <c r="H48" s="77">
        <f ca="1">IFERROR(__xludf.DUMMYFUNCTION("IMPORTRANGE(""https://docs.google.com/spreadsheets/d/1Yj_ptqi66GCucihVvJfMjLAmec39IyEx_6qawtMGysU/edit?usp=shBJing"",""สบก!BJ52"")"),115625)</f>
        <v>115625</v>
      </c>
      <c r="I48" s="77">
        <f t="shared" ca="1" si="3"/>
        <v>62965</v>
      </c>
      <c r="J48" s="137">
        <f t="shared" ca="1" si="4"/>
        <v>53.405428329092452</v>
      </c>
      <c r="K48" s="77">
        <f ca="1">IFERROR(__xludf.DUMMYFUNCTION("IMPORTRANGE(""https://docs.google.com/spreadsheets/d/1Yj_ptqi66GCucihVvJfMjLAmec39IyEx_6qawtMGysU/edit?usp=sharing"",""สบก!BK52"")"),62965)</f>
        <v>62965</v>
      </c>
      <c r="L48" s="137">
        <f t="shared" ca="1" si="5"/>
        <v>53.405428329092452</v>
      </c>
      <c r="M48" s="137">
        <f t="shared" ca="1" si="6"/>
        <v>54.45621621621622</v>
      </c>
      <c r="N48" s="137">
        <f ca="1">IFERROR(__xludf.DUMMYFUNCTION("IMPORTRANGE(""https://docs.google.com/spreadsheets/d/1Yj_ptqi66GCucihVvJfMjLAmec39IyEx_6qawtMGysU/edit?usp=sharing"",""สบก!BL52"")"),0)</f>
        <v>0</v>
      </c>
      <c r="O48" s="137">
        <f t="shared" ca="1" si="7"/>
        <v>0</v>
      </c>
      <c r="P48" s="77">
        <f ca="1">IFERROR(__xludf.DUMMYFUNCTION("IMPORTRANGE(""https://docs.google.com/spreadsheets/d/1C3CXT74ZlgGe6_JY_1olB1XN4rF0dxEuIIF-xsYjHgg/edit?usp=sharing"",""พรบ!AF52"")"),7500)</f>
        <v>7500</v>
      </c>
      <c r="Q48" s="77">
        <f ca="1">IFERROR(__xludf.DUMMYFUNCTION("IMPORTRANGE(""https://docs.google.com/spreadsheets/d/1C3CXT74ZlgGe6_JY_1olB1XN4rF0dxEuIIF-xsYjHgg/edit?usp=sharing"",""พรบ!AG52"")"),4)</f>
        <v>4</v>
      </c>
      <c r="R48" s="77">
        <f ca="1">IFERROR(__xludf.DUMMYFUNCTION("IMPORTRANGE(""https://docs.google.com/spreadsheets/d/1XL5vhW3sbDhbH9Cz0tuDiY8C3ctxq1tqvaCgkFb8cCA/edit?usp=sharing"",""สุรินทร์!J83"")"),2)</f>
        <v>2</v>
      </c>
      <c r="S48" s="137">
        <f t="shared" ca="1" si="9"/>
        <v>50</v>
      </c>
      <c r="T48" s="77">
        <f t="shared" ca="1" si="86"/>
        <v>95</v>
      </c>
      <c r="U48" s="77">
        <f ca="1">IFERROR(__xludf.DUMMYFUNCTION("IMPORTRANGE(""https://docs.google.com/spreadsheets/d/1XL5vhW3sbDhbH9Cz0tuDiY8C3ctxq1tqvaCgkFb8cCA/edit?usp=sharing"",""สุรินทร์!J85"")"),95)</f>
        <v>95</v>
      </c>
      <c r="V48" s="77">
        <f ca="1">IFERROR(__xludf.DUMMYFUNCTION("IMPORTRANGE(""https://docs.google.com/spreadsheets/d/1XL5vhW3sbDhbH9Cz0tuDiY8C3ctxq1tqvaCgkFb8cCA/edit?usp=sharing"",""สุรินทร์!J86"")"),0)</f>
        <v>0</v>
      </c>
      <c r="W48" s="77">
        <f ca="1">IFERROR(__xludf.DUMMYFUNCTION("IMPORTRANGE(""https://docs.google.com/spreadsheets/d/1C3CXT74ZlgGe6_JY_1olB1XN4rF0dxEuIIF-xsYjHgg/edit?usp=sharing"",""พรบ!AH52"")"),42000)</f>
        <v>42000</v>
      </c>
      <c r="X48" s="77">
        <f ca="1">IFERROR(__xludf.DUMMYFUNCTION("IMPORTRANGE(""https://docs.google.com/spreadsheets/d/1C3CXT74ZlgGe6_JY_1olB1XN4rF0dxEuIIF-xsYjHgg/edit?usp=sharing"",""พรบ!AI52"")"),3)</f>
        <v>3</v>
      </c>
      <c r="Y48" s="77">
        <f ca="1">IFERROR(__xludf.DUMMYFUNCTION("IMPORTRANGE(""https://docs.google.com/spreadsheets/d/1XL5vhW3sbDhbH9Cz0tuDiY8C3ctxq1tqvaCgkFb8cCA/edit?usp=sharing"",""สุรินทร์!J98"")"),3)</f>
        <v>3</v>
      </c>
      <c r="Z48" s="137">
        <f t="shared" ca="1" si="11"/>
        <v>100</v>
      </c>
      <c r="AA48" s="77">
        <f ca="1">IFERROR(__xludf.DUMMYFUNCTION("IMPORTRANGE(""https://docs.google.com/spreadsheets/d/1C3CXT74ZlgGe6_JY_1olB1XN4rF0dxEuIIF-xsYjHgg/edit?usp=sharing"",""พรบ!AJ52"")"),60000)</f>
        <v>60000</v>
      </c>
      <c r="AB48" s="77">
        <f ca="1">IFERROR(__xludf.DUMMYFUNCTION("IMPORTRANGE(""https://docs.google.com/spreadsheets/d/1C3CXT74ZlgGe6_JY_1olB1XN4rF0dxEuIIF-xsYjHgg/edit?usp=sharing"",""พรบ!AK52"")"),4)</f>
        <v>4</v>
      </c>
      <c r="AC48" s="77">
        <f ca="1">IFERROR(__xludf.DUMMYFUNCTION("IMPORTRANGE(""https://docs.google.com/spreadsheets/d/1XL5vhW3sbDhbH9Cz0tuDiY8C3ctxq1tqvaCgkFb8cCA/edit?usp=sharing"",""สุรินทร์!J110"")"),0)</f>
        <v>0</v>
      </c>
      <c r="AD48" s="137">
        <f t="shared" ca="1" si="13"/>
        <v>0</v>
      </c>
      <c r="AE48" s="77">
        <f ca="1">IFERROR(__xludf.DUMMYFUNCTION("IMPORTRANGE(""https://docs.google.com/spreadsheets/d/1C3CXT74ZlgGe6_JY_1olB1XN4rF0dxEuIIF-xsYjHgg/edit?usp=sharing"",""พรบ!AL52"")"),4)</f>
        <v>4</v>
      </c>
      <c r="AF48" s="77">
        <f ca="1">IFERROR(__xludf.DUMMYFUNCTION("IMPORTRANGE(""https://docs.google.com/spreadsheets/d/1XL5vhW3sbDhbH9Cz0tuDiY8C3ctxq1tqvaCgkFb8cCA/edit?usp=sharing"",""สุรินทร์!J111"")"),4)</f>
        <v>4</v>
      </c>
      <c r="AG48" s="137">
        <f t="shared" ca="1" si="15"/>
        <v>100</v>
      </c>
      <c r="AH48" s="77">
        <f ca="1">IFERROR(__xludf.DUMMYFUNCTION("IMPORTRANGE(""https://docs.google.com/spreadsheets/d/1C3CXT74ZlgGe6_JY_1olB1XN4rF0dxEuIIF-xsYjHgg/edit?usp=sharing"",""พรบ!AM52"")"),8400)</f>
        <v>8400</v>
      </c>
      <c r="AI48" s="77">
        <f ca="1">IFERROR(__xludf.DUMMYFUNCTION("IMPORTRANGE(""https://docs.google.com/spreadsheets/d/1C3CXT74ZlgGe6_JY_1olB1XN4rF0dxEuIIF-xsYjHgg/edit?usp=sharing"",""พรบ!AN52"")"),15000)</f>
        <v>15000</v>
      </c>
      <c r="AJ48" s="77">
        <f ca="1">IFERROR(__xludf.DUMMYFUNCTION("IMPORTRANGE(""https://docs.google.com/spreadsheets/d/1XL5vhW3sbDhbH9Cz0tuDiY8C3ctxq1tqvaCgkFb8cCA/edit?usp=sharing"",""สุรินทร์!J124"")"),0)</f>
        <v>0</v>
      </c>
      <c r="AK48" s="137">
        <f t="shared" ca="1" si="17"/>
        <v>0</v>
      </c>
      <c r="AL48" s="77">
        <f ca="1">IFERROR(__xludf.DUMMYFUNCTION("IMPORTRANGE(""https://docs.google.com/spreadsheets/d/1XL5vhW3sbDhbH9Cz0tuDiY8C3ctxq1tqvaCgkFb8cCA/edit?usp=sharing"",""สุรินทร์!J125"")"),0)</f>
        <v>0</v>
      </c>
      <c r="AM48" s="137">
        <f t="shared" ca="1" si="18"/>
        <v>0</v>
      </c>
      <c r="AN48" s="77">
        <f ca="1">IFERROR(__xludf.DUMMYFUNCTION("IMPORTRANGE(""https://docs.google.com/spreadsheets/d/1C3CXT74ZlgGe6_JY_1olB1XN4rF0dxEuIIF-xsYjHgg/edit?usp=sharing"",""พรบ!AQ52"")"),0)</f>
        <v>0</v>
      </c>
      <c r="AO48" s="77">
        <f ca="1">IFERROR(__xludf.DUMMYFUNCTION("IMPORTRANGE(""https://docs.google.com/spreadsheets/d/1XL5vhW3sbDhbH9Cz0tuDiY8C3ctxq1tqvaCgkFb8cCA/edit?usp=sharing"",""สุรินทร์!J126"")"),0)</f>
        <v>0</v>
      </c>
      <c r="AP48" s="137">
        <f t="shared" ca="1" si="20"/>
        <v>0</v>
      </c>
      <c r="AQ48" s="149">
        <f ca="1">IFERROR(__xludf.DUMMYFUNCTION("IMPORTRANGE(""https://docs.google.com/spreadsheets/d/1C3CXT74ZlgGe6_JY_1olB1XN4rF0dxEuIIF-xsYjHgg/edit?usp=sharing"",""พรบ!AR52"")"),0)</f>
        <v>0</v>
      </c>
      <c r="AR48" s="77">
        <f ca="1">IFERROR(__xludf.DUMMYFUNCTION("IMPORTRANGE(""https://docs.google.com/spreadsheets/d/1C3CXT74ZlgGe6_JY_1olB1XN4rF0dxEuIIF-xsYjHgg/edit?usp=sharing"",""พรบ!AS52"")"),0)</f>
        <v>0</v>
      </c>
      <c r="AS48" s="77">
        <f ca="1">IFERROR(__xludf.DUMMYFUNCTION("IMPORTRANGE(""https://docs.google.com/spreadsheets/d/1XL5vhW3sbDhbH9Cz0tuDiY8C3ctxq1tqvaCgkFb8cCA/edit?usp=sharing"",""สุรินทร์!J138"")"),0)</f>
        <v>0</v>
      </c>
      <c r="AT48" s="137">
        <f t="shared" ca="1" si="22"/>
        <v>0</v>
      </c>
      <c r="AU48" s="77">
        <f ca="1">IFERROR(__xludf.DUMMYFUNCTION("IMPORTRANGE(""https://docs.google.com/spreadsheets/d/1C3CXT74ZlgGe6_JY_1olB1XN4rF0dxEuIIF-xsYjHgg/edit?usp=sharing"",""พรบ!AT52"")"),0)</f>
        <v>0</v>
      </c>
      <c r="AV48" s="77">
        <f ca="1">IFERROR(__xludf.DUMMYFUNCTION("IMPORTRANGE(""https://docs.google.com/spreadsheets/d/1C3CXT74ZlgGe6_JY_1olB1XN4rF0dxEuIIF-xsYjHgg/edit?usp=sharing"",""พรบ!AU52"")"),0)</f>
        <v>0</v>
      </c>
      <c r="AW48" s="77">
        <f ca="1">IFERROR(__xludf.DUMMYFUNCTION("IMPORTRANGE(""https://docs.google.com/spreadsheets/d/1XL5vhW3sbDhbH9Cz0tuDiY8C3ctxq1tqvaCgkFb8cCA/edit?usp=sharing"",""สุรินทร์!J140"")"),0)</f>
        <v>0</v>
      </c>
      <c r="AX48" s="137">
        <f t="shared" ca="1" si="24"/>
        <v>0</v>
      </c>
      <c r="AY48" s="77">
        <f ca="1">IFERROR(__xludf.DUMMYFUNCTION("IMPORTRANGE(""https://docs.google.com/spreadsheets/d/1XL5vhW3sbDhbH9Cz0tuDiY8C3ctxq1tqvaCgkFb8cCA/edit?usp=sharing"",""สุรินทร์!J141"")"),0)</f>
        <v>0</v>
      </c>
      <c r="AZ48" s="137">
        <f t="shared" ca="1" si="25"/>
        <v>0</v>
      </c>
      <c r="BA48" s="77">
        <f t="shared" ca="1" si="26"/>
        <v>0</v>
      </c>
      <c r="BB48" s="77">
        <f t="shared" ca="1" si="87"/>
        <v>0</v>
      </c>
      <c r="BC48" s="137">
        <f t="shared" ca="1" si="27"/>
        <v>0</v>
      </c>
    </row>
    <row r="49" spans="1:55" ht="21" customHeight="1">
      <c r="A49" s="73">
        <v>16</v>
      </c>
      <c r="B49" s="74" t="s">
        <v>73</v>
      </c>
      <c r="C49" s="75">
        <f t="shared" ca="1" si="0"/>
        <v>79000</v>
      </c>
      <c r="D49" s="76">
        <f t="shared" ca="1" si="85"/>
        <v>79000</v>
      </c>
      <c r="E49" s="77">
        <f ca="1">IFERROR(__xludf.DUMMYFUNCTION("IMPORTRANGE(""https://docs.google.com/spreadsheets/d/1C3CXT74ZlgGe6_JY_1olB1XN4rF0dxEuIIF-xsYjHgg/edit?usp=sharing"",""พรบ!AD53"")"),0)</f>
        <v>0</v>
      </c>
      <c r="F49" s="77">
        <f ca="1">IFERROR(__xludf.DUMMYFUNCTION("IMPORTRANGE(""https://docs.google.com/spreadsheets/d/1C3CXT74ZlgGe6_JY_1olB1XN4rF0dxEuIIF-xsYjHgg/edit?usp=sharing"",""พรบ!AE53"")"),79000)</f>
        <v>79000</v>
      </c>
      <c r="G49" s="77">
        <f ca="1">IFERROR(__xludf.DUMMYFUNCTION("IMPORTRANGE(""https://docs.google.com/spreadsheets/d/1Yj_ptqi66GCucihVvJfMjLAmec39IyEx_6qawtMGysU/edit?usp=sharing"",""สบก!BH53"")"),0)</f>
        <v>0</v>
      </c>
      <c r="H49" s="77">
        <f ca="1">IFERROR(__xludf.DUMMYFUNCTION("IMPORTRANGE(""https://docs.google.com/spreadsheets/d/1Yj_ptqi66GCucihVvJfMjLAmec39IyEx_6qawtMGysU/edit?usp=shBJing"",""สบก!BJ53"")"),70625)</f>
        <v>70625</v>
      </c>
      <c r="I49" s="77">
        <f t="shared" ca="1" si="3"/>
        <v>57200</v>
      </c>
      <c r="J49" s="137">
        <f t="shared" ca="1" si="4"/>
        <v>72.405063291139243</v>
      </c>
      <c r="K49" s="77">
        <f ca="1">IFERROR(__xludf.DUMMYFUNCTION("IMPORTRANGE(""https://docs.google.com/spreadsheets/d/1Yj_ptqi66GCucihVvJfMjLAmec39IyEx_6qawtMGysU/edit?usp=sharing"",""สบก!BK53"")"),57200)</f>
        <v>57200</v>
      </c>
      <c r="L49" s="137">
        <f t="shared" ca="1" si="5"/>
        <v>72.405063291139243</v>
      </c>
      <c r="M49" s="137">
        <f t="shared" ca="1" si="6"/>
        <v>80.991150442477874</v>
      </c>
      <c r="N49" s="137">
        <f ca="1">IFERROR(__xludf.DUMMYFUNCTION("IMPORTRANGE(""https://docs.google.com/spreadsheets/d/1Yj_ptqi66GCucihVvJfMjLAmec39IyEx_6qawtMGysU/edit?usp=sharing"",""สบก!BL53"")"),0)</f>
        <v>0</v>
      </c>
      <c r="O49" s="137">
        <f t="shared" ca="1" si="7"/>
        <v>0</v>
      </c>
      <c r="P49" s="77">
        <f ca="1">IFERROR(__xludf.DUMMYFUNCTION("IMPORTRANGE(""https://docs.google.com/spreadsheets/d/1C3CXT74ZlgGe6_JY_1olB1XN4rF0dxEuIIF-xsYjHgg/edit?usp=sharing"",""พรบ!AF53"")"),7500)</f>
        <v>7500</v>
      </c>
      <c r="Q49" s="77">
        <f ca="1">IFERROR(__xludf.DUMMYFUNCTION("IMPORTRANGE(""https://docs.google.com/spreadsheets/d/1C3CXT74ZlgGe6_JY_1olB1XN4rF0dxEuIIF-xsYjHgg/edit?usp=sharing"",""พรบ!AG53"")"),4)</f>
        <v>4</v>
      </c>
      <c r="R49" s="77">
        <f ca="1">IFERROR(__xludf.DUMMYFUNCTION("IMPORTRANGE(""https://docs.google.com/spreadsheets/d/1XL5vhW3sbDhbH9Cz0tuDiY8C3ctxq1tqvaCgkFb8cCA/edit?usp=sharing"",""หนองคาย!J83"")"),2)</f>
        <v>2</v>
      </c>
      <c r="S49" s="137">
        <f t="shared" ca="1" si="9"/>
        <v>50</v>
      </c>
      <c r="T49" s="77">
        <f t="shared" ca="1" si="86"/>
        <v>0</v>
      </c>
      <c r="U49" s="77">
        <f ca="1">IFERROR(__xludf.DUMMYFUNCTION("IMPORTRANGE(""https://docs.google.com/spreadsheets/d/1XL5vhW3sbDhbH9Cz0tuDiY8C3ctxq1tqvaCgkFb8cCA/edit?usp=sharing"",""หนองคาย!J85"")"),0)</f>
        <v>0</v>
      </c>
      <c r="V49" s="77">
        <f ca="1">IFERROR(__xludf.DUMMYFUNCTION("IMPORTRANGE(""https://docs.google.com/spreadsheets/d/1XL5vhW3sbDhbH9Cz0tuDiY8C3ctxq1tqvaCgkFb8cCA/edit?usp=sharing"",""หนองคาย!J86"")"),0)</f>
        <v>0</v>
      </c>
      <c r="W49" s="77">
        <f ca="1">IFERROR(__xludf.DUMMYFUNCTION("IMPORTRANGE(""https://docs.google.com/spreadsheets/d/1C3CXT74ZlgGe6_JY_1olB1XN4rF0dxEuIIF-xsYjHgg/edit?usp=sharing"",""พรบ!AH53"")"),42000)</f>
        <v>42000</v>
      </c>
      <c r="X49" s="77">
        <f ca="1">IFERROR(__xludf.DUMMYFUNCTION("IMPORTRANGE(""https://docs.google.com/spreadsheets/d/1C3CXT74ZlgGe6_JY_1olB1XN4rF0dxEuIIF-xsYjHgg/edit?usp=sharing"",""พรบ!AI53"")"),3)</f>
        <v>3</v>
      </c>
      <c r="Y49" s="77">
        <f ca="1">IFERROR(__xludf.DUMMYFUNCTION("IMPORTRANGE(""https://docs.google.com/spreadsheets/d/1XL5vhW3sbDhbH9Cz0tuDiY8C3ctxq1tqvaCgkFb8cCA/edit?usp=sharing"",""หนองคาย!J98"")"),3)</f>
        <v>3</v>
      </c>
      <c r="Z49" s="137">
        <f t="shared" ca="1" si="11"/>
        <v>100</v>
      </c>
      <c r="AA49" s="77">
        <f ca="1">IFERROR(__xludf.DUMMYFUNCTION("IMPORTRANGE(""https://docs.google.com/spreadsheets/d/1C3CXT74ZlgGe6_JY_1olB1XN4rF0dxEuIIF-xsYjHgg/edit?usp=sharing"",""พรบ!AJ53"")"),15000)</f>
        <v>15000</v>
      </c>
      <c r="AB49" s="77">
        <f ca="1">IFERROR(__xludf.DUMMYFUNCTION("IMPORTRANGE(""https://docs.google.com/spreadsheets/d/1C3CXT74ZlgGe6_JY_1olB1XN4rF0dxEuIIF-xsYjHgg/edit?usp=sharing"",""พรบ!AK53"")"),1)</f>
        <v>1</v>
      </c>
      <c r="AC49" s="77">
        <f ca="1">IFERROR(__xludf.DUMMYFUNCTION("IMPORTRANGE(""https://docs.google.com/spreadsheets/d/1XL5vhW3sbDhbH9Cz0tuDiY8C3ctxq1tqvaCgkFb8cCA/edit?usp=sharing"",""หนองคาย!J110"")"),0)</f>
        <v>0</v>
      </c>
      <c r="AD49" s="137">
        <f t="shared" ca="1" si="13"/>
        <v>0</v>
      </c>
      <c r="AE49" s="77">
        <f ca="1">IFERROR(__xludf.DUMMYFUNCTION("IMPORTRANGE(""https://docs.google.com/spreadsheets/d/1C3CXT74ZlgGe6_JY_1olB1XN4rF0dxEuIIF-xsYjHgg/edit?usp=sharing"",""พรบ!AL53"")"),1)</f>
        <v>1</v>
      </c>
      <c r="AF49" s="77">
        <f ca="1">IFERROR(__xludf.DUMMYFUNCTION("IMPORTRANGE(""https://docs.google.com/spreadsheets/d/1XL5vhW3sbDhbH9Cz0tuDiY8C3ctxq1tqvaCgkFb8cCA/edit?usp=sharing"",""หนองคาย!J111"")"),1)</f>
        <v>1</v>
      </c>
      <c r="AG49" s="137">
        <f t="shared" ca="1" si="15"/>
        <v>100</v>
      </c>
      <c r="AH49" s="77">
        <f ca="1">IFERROR(__xludf.DUMMYFUNCTION("IMPORTRANGE(""https://docs.google.com/spreadsheets/d/1C3CXT74ZlgGe6_JY_1olB1XN4rF0dxEuIIF-xsYjHgg/edit?usp=sharing"",""พรบ!AM53"")"),14500)</f>
        <v>14500</v>
      </c>
      <c r="AI49" s="77">
        <f ca="1">IFERROR(__xludf.DUMMYFUNCTION("IMPORTRANGE(""https://docs.google.com/spreadsheets/d/1C3CXT74ZlgGe6_JY_1olB1XN4rF0dxEuIIF-xsYjHgg/edit?usp=sharing"",""พรบ!AN53"")"),30000)</f>
        <v>30000</v>
      </c>
      <c r="AJ49" s="77">
        <f ca="1">IFERROR(__xludf.DUMMYFUNCTION("IMPORTRANGE(""https://docs.google.com/spreadsheets/d/1XL5vhW3sbDhbH9Cz0tuDiY8C3ctxq1tqvaCgkFb8cCA/edit?usp=sharing"",""หนองคาย!J124"")"),0)</f>
        <v>0</v>
      </c>
      <c r="AK49" s="137">
        <f t="shared" ca="1" si="17"/>
        <v>0</v>
      </c>
      <c r="AL49" s="77">
        <f ca="1">IFERROR(__xludf.DUMMYFUNCTION("IMPORTRANGE(""https://docs.google.com/spreadsheets/d/1XL5vhW3sbDhbH9Cz0tuDiY8C3ctxq1tqvaCgkFb8cCA/edit?usp=sharing"",""หนองคาย!J125"")"),0)</f>
        <v>0</v>
      </c>
      <c r="AM49" s="137">
        <f t="shared" ca="1" si="18"/>
        <v>0</v>
      </c>
      <c r="AN49" s="77">
        <f ca="1">IFERROR(__xludf.DUMMYFUNCTION("IMPORTRANGE(""https://docs.google.com/spreadsheets/d/1C3CXT74ZlgGe6_JY_1olB1XN4rF0dxEuIIF-xsYjHgg/edit?usp=sharing"",""พรบ!AQ53"")"),0)</f>
        <v>0</v>
      </c>
      <c r="AO49" s="77">
        <f ca="1">IFERROR(__xludf.DUMMYFUNCTION("IMPORTRANGE(""https://docs.google.com/spreadsheets/d/1XL5vhW3sbDhbH9Cz0tuDiY8C3ctxq1tqvaCgkFb8cCA/edit?usp=sharing"",""หนองคาย!J126"")"),0)</f>
        <v>0</v>
      </c>
      <c r="AP49" s="137">
        <f t="shared" ca="1" si="20"/>
        <v>0</v>
      </c>
      <c r="AQ49" s="149">
        <f ca="1">IFERROR(__xludf.DUMMYFUNCTION("IMPORTRANGE(""https://docs.google.com/spreadsheets/d/1C3CXT74ZlgGe6_JY_1olB1XN4rF0dxEuIIF-xsYjHgg/edit?usp=sharing"",""พรบ!AR53"")"),0)</f>
        <v>0</v>
      </c>
      <c r="AR49" s="77">
        <f ca="1">IFERROR(__xludf.DUMMYFUNCTION("IMPORTRANGE(""https://docs.google.com/spreadsheets/d/1C3CXT74ZlgGe6_JY_1olB1XN4rF0dxEuIIF-xsYjHgg/edit?usp=sharing"",""พรบ!AS53"")"),0)</f>
        <v>0</v>
      </c>
      <c r="AS49" s="77">
        <f ca="1">IFERROR(__xludf.DUMMYFUNCTION("IMPORTRANGE(""https://docs.google.com/spreadsheets/d/1XL5vhW3sbDhbH9Cz0tuDiY8C3ctxq1tqvaCgkFb8cCA/edit?usp=sharing"",""หนองคาย!J138"")"),0)</f>
        <v>0</v>
      </c>
      <c r="AT49" s="137">
        <f t="shared" ca="1" si="22"/>
        <v>0</v>
      </c>
      <c r="AU49" s="77">
        <f ca="1">IFERROR(__xludf.DUMMYFUNCTION("IMPORTRANGE(""https://docs.google.com/spreadsheets/d/1C3CXT74ZlgGe6_JY_1olB1XN4rF0dxEuIIF-xsYjHgg/edit?usp=sharing"",""พรบ!AT53"")"),0)</f>
        <v>0</v>
      </c>
      <c r="AV49" s="77">
        <f ca="1">IFERROR(__xludf.DUMMYFUNCTION("IMPORTRANGE(""https://docs.google.com/spreadsheets/d/1C3CXT74ZlgGe6_JY_1olB1XN4rF0dxEuIIF-xsYjHgg/edit?usp=sharing"",""พรบ!AU53"")"),0)</f>
        <v>0</v>
      </c>
      <c r="AW49" s="77">
        <f ca="1">IFERROR(__xludf.DUMMYFUNCTION("IMPORTRANGE(""https://docs.google.com/spreadsheets/d/1XL5vhW3sbDhbH9Cz0tuDiY8C3ctxq1tqvaCgkFb8cCA/edit?usp=sharing"",""หนองคาย!J140"")"),0)</f>
        <v>0</v>
      </c>
      <c r="AX49" s="137">
        <f t="shared" ca="1" si="24"/>
        <v>0</v>
      </c>
      <c r="AY49" s="77">
        <f ca="1">IFERROR(__xludf.DUMMYFUNCTION("IMPORTRANGE(""https://docs.google.com/spreadsheets/d/1XL5vhW3sbDhbH9Cz0tuDiY8C3ctxq1tqvaCgkFb8cCA/edit?usp=sharing"",""หนองคาย!J141"")"),0)</f>
        <v>0</v>
      </c>
      <c r="AZ49" s="137">
        <f t="shared" ca="1" si="25"/>
        <v>0</v>
      </c>
      <c r="BA49" s="77">
        <f t="shared" ca="1" si="26"/>
        <v>0</v>
      </c>
      <c r="BB49" s="77">
        <f t="shared" ca="1" si="87"/>
        <v>0</v>
      </c>
      <c r="BC49" s="137">
        <f t="shared" ca="1" si="27"/>
        <v>0</v>
      </c>
    </row>
    <row r="50" spans="1:55" ht="21" customHeight="1">
      <c r="A50" s="73">
        <v>17</v>
      </c>
      <c r="B50" s="74" t="s">
        <v>74</v>
      </c>
      <c r="C50" s="75">
        <f t="shared" ca="1" si="0"/>
        <v>212100</v>
      </c>
      <c r="D50" s="76">
        <f t="shared" ca="1" si="85"/>
        <v>212100</v>
      </c>
      <c r="E50" s="77">
        <f ca="1">IFERROR(__xludf.DUMMYFUNCTION("IMPORTRANGE(""https://docs.google.com/spreadsheets/d/1C3CXT74ZlgGe6_JY_1olB1XN4rF0dxEuIIF-xsYjHgg/edit?usp=sharing"",""พรบ!AD54"")"),95100)</f>
        <v>95100</v>
      </c>
      <c r="F50" s="77">
        <f ca="1">IFERROR(__xludf.DUMMYFUNCTION("IMPORTRANGE(""https://docs.google.com/spreadsheets/d/1C3CXT74ZlgGe6_JY_1olB1XN4rF0dxEuIIF-xsYjHgg/edit?usp=sharing"",""พรบ!AE54"")"),117000)</f>
        <v>117000</v>
      </c>
      <c r="G50" s="77">
        <f ca="1">IFERROR(__xludf.DUMMYFUNCTION("IMPORTRANGE(""https://docs.google.com/spreadsheets/d/1Yj_ptqi66GCucihVvJfMjLAmec39IyEx_6qawtMGysU/edit?usp=sharing"",""สบก!BH54"")"),0)</f>
        <v>0</v>
      </c>
      <c r="H50" s="77">
        <f ca="1">IFERROR(__xludf.DUMMYFUNCTION("IMPORTRANGE(""https://docs.google.com/spreadsheets/d/1Yj_ptqi66GCucihVvJfMjLAmec39IyEx_6qawtMGysU/edit?usp=shBJing"",""สบก!BJ54"")"),281525)</f>
        <v>281525</v>
      </c>
      <c r="I50" s="77">
        <f t="shared" ca="1" si="3"/>
        <v>226292.98</v>
      </c>
      <c r="J50" s="137">
        <f t="shared" ca="1" si="4"/>
        <v>106.69164545025932</v>
      </c>
      <c r="K50" s="77">
        <f ca="1">IFERROR(__xludf.DUMMYFUNCTION("IMPORTRANGE(""https://docs.google.com/spreadsheets/d/1Yj_ptqi66GCucihVvJfMjLAmec39IyEx_6qawtMGysU/edit?usp=sharing"",""สบก!BK54"")"),226292.98)</f>
        <v>226292.98</v>
      </c>
      <c r="L50" s="137">
        <f t="shared" ca="1" si="5"/>
        <v>106.69164545025932</v>
      </c>
      <c r="M50" s="137">
        <f t="shared" ca="1" si="6"/>
        <v>80.381131338247044</v>
      </c>
      <c r="N50" s="137">
        <f ca="1">IFERROR(__xludf.DUMMYFUNCTION("IMPORTRANGE(""https://docs.google.com/spreadsheets/d/1Yj_ptqi66GCucihVvJfMjLAmec39IyEx_6qawtMGysU/edit?usp=sharing"",""สบก!BL54"")"),0)</f>
        <v>0</v>
      </c>
      <c r="O50" s="137">
        <f t="shared" ca="1" si="7"/>
        <v>0</v>
      </c>
      <c r="P50" s="77">
        <f ca="1">IFERROR(__xludf.DUMMYFUNCTION("IMPORTRANGE(""https://docs.google.com/spreadsheets/d/1C3CXT74ZlgGe6_JY_1olB1XN4rF0dxEuIIF-xsYjHgg/edit?usp=sharing"",""พรบ!AF54"")"),7500)</f>
        <v>7500</v>
      </c>
      <c r="Q50" s="77">
        <f ca="1">IFERROR(__xludf.DUMMYFUNCTION("IMPORTRANGE(""https://docs.google.com/spreadsheets/d/1C3CXT74ZlgGe6_JY_1olB1XN4rF0dxEuIIF-xsYjHgg/edit?usp=sharing"",""พรบ!AG54"")"),4)</f>
        <v>4</v>
      </c>
      <c r="R50" s="77">
        <f ca="1">IFERROR(__xludf.DUMMYFUNCTION("IMPORTRANGE(""https://docs.google.com/spreadsheets/d/1XL5vhW3sbDhbH9Cz0tuDiY8C3ctxq1tqvaCgkFb8cCA/edit?usp=sharing"",""หนองบัวลำภู!J83"")"),2)</f>
        <v>2</v>
      </c>
      <c r="S50" s="137">
        <f t="shared" ca="1" si="9"/>
        <v>50</v>
      </c>
      <c r="T50" s="77">
        <f t="shared" ca="1" si="86"/>
        <v>40</v>
      </c>
      <c r="U50" s="77">
        <f ca="1">IFERROR(__xludf.DUMMYFUNCTION("IMPORTRANGE(""https://docs.google.com/spreadsheets/d/1XL5vhW3sbDhbH9Cz0tuDiY8C3ctxq1tqvaCgkFb8cCA/edit?usp=sharing"",""หนองบัวลำภู!J85"")"),40)</f>
        <v>40</v>
      </c>
      <c r="V50" s="77">
        <f ca="1">IFERROR(__xludf.DUMMYFUNCTION("IMPORTRANGE(""https://docs.google.com/spreadsheets/d/1XL5vhW3sbDhbH9Cz0tuDiY8C3ctxq1tqvaCgkFb8cCA/edit?usp=sharing"",""หนองบัวลำภู!J86"")"),0)</f>
        <v>0</v>
      </c>
      <c r="W50" s="77">
        <f ca="1">IFERROR(__xludf.DUMMYFUNCTION("IMPORTRANGE(""https://docs.google.com/spreadsheets/d/1C3CXT74ZlgGe6_JY_1olB1XN4rF0dxEuIIF-xsYjHgg/edit?usp=sharing"",""พรบ!AH54"")"),42000)</f>
        <v>42000</v>
      </c>
      <c r="X50" s="77">
        <f ca="1">IFERROR(__xludf.DUMMYFUNCTION("IMPORTRANGE(""https://docs.google.com/spreadsheets/d/1C3CXT74ZlgGe6_JY_1olB1XN4rF0dxEuIIF-xsYjHgg/edit?usp=sharing"",""พรบ!AI54"")"),3)</f>
        <v>3</v>
      </c>
      <c r="Y50" s="77">
        <f ca="1">IFERROR(__xludf.DUMMYFUNCTION("IMPORTRANGE(""https://docs.google.com/spreadsheets/d/1XL5vhW3sbDhbH9Cz0tuDiY8C3ctxq1tqvaCgkFb8cCA/edit?usp=sharing"",""หนองบัวลำภู!J98"")"),2)</f>
        <v>2</v>
      </c>
      <c r="Z50" s="137">
        <f t="shared" ca="1" si="11"/>
        <v>66.666666666666671</v>
      </c>
      <c r="AA50" s="77">
        <f ca="1">IFERROR(__xludf.DUMMYFUNCTION("IMPORTRANGE(""https://docs.google.com/spreadsheets/d/1C3CXT74ZlgGe6_JY_1olB1XN4rF0dxEuIIF-xsYjHgg/edit?usp=sharing"",""พรบ!AJ54"")"),45000)</f>
        <v>45000</v>
      </c>
      <c r="AB50" s="77">
        <f ca="1">IFERROR(__xludf.DUMMYFUNCTION("IMPORTRANGE(""https://docs.google.com/spreadsheets/d/1C3CXT74ZlgGe6_JY_1olB1XN4rF0dxEuIIF-xsYjHgg/edit?usp=sharing"",""พรบ!AK54"")"),3)</f>
        <v>3</v>
      </c>
      <c r="AC50" s="77">
        <f ca="1">IFERROR(__xludf.DUMMYFUNCTION("IMPORTRANGE(""https://docs.google.com/spreadsheets/d/1XL5vhW3sbDhbH9Cz0tuDiY8C3ctxq1tqvaCgkFb8cCA/edit?usp=sharing"",""หนองบัวลำภู!J110"")"),0)</f>
        <v>0</v>
      </c>
      <c r="AD50" s="137">
        <f t="shared" ca="1" si="13"/>
        <v>0</v>
      </c>
      <c r="AE50" s="77">
        <f ca="1">IFERROR(__xludf.DUMMYFUNCTION("IMPORTRANGE(""https://docs.google.com/spreadsheets/d/1C3CXT74ZlgGe6_JY_1olB1XN4rF0dxEuIIF-xsYjHgg/edit?usp=sharing"",""พรบ!AL54"")"),3)</f>
        <v>3</v>
      </c>
      <c r="AF50" s="77">
        <f ca="1">IFERROR(__xludf.DUMMYFUNCTION("IMPORTRANGE(""https://docs.google.com/spreadsheets/d/1XL5vhW3sbDhbH9Cz0tuDiY8C3ctxq1tqvaCgkFb8cCA/edit?usp=sharing"",""หนองบัวลำภู!J111"")"),2)</f>
        <v>2</v>
      </c>
      <c r="AG50" s="137">
        <f t="shared" ca="1" si="15"/>
        <v>66.666666666666671</v>
      </c>
      <c r="AH50" s="77">
        <f ca="1">IFERROR(__xludf.DUMMYFUNCTION("IMPORTRANGE(""https://docs.google.com/spreadsheets/d/1C3CXT74ZlgGe6_JY_1olB1XN4rF0dxEuIIF-xsYjHgg/edit?usp=sharing"",""พรบ!AM54"")"),22500)</f>
        <v>22500</v>
      </c>
      <c r="AI50" s="77">
        <f ca="1">IFERROR(__xludf.DUMMYFUNCTION("IMPORTRANGE(""https://docs.google.com/spreadsheets/d/1C3CXT74ZlgGe6_JY_1olB1XN4rF0dxEuIIF-xsYjHgg/edit?usp=sharing"",""พรบ!AN54"")"),10000)</f>
        <v>10000</v>
      </c>
      <c r="AJ50" s="77">
        <f ca="1">IFERROR(__xludf.DUMMYFUNCTION("IMPORTRANGE(""https://docs.google.com/spreadsheets/d/1XL5vhW3sbDhbH9Cz0tuDiY8C3ctxq1tqvaCgkFb8cCA/edit?usp=sharing"",""หนองบัวลำภู!J124"")"),10000)</f>
        <v>10000</v>
      </c>
      <c r="AK50" s="137">
        <f t="shared" ca="1" si="17"/>
        <v>100</v>
      </c>
      <c r="AL50" s="77">
        <f ca="1">IFERROR(__xludf.DUMMYFUNCTION("IMPORTRANGE(""https://docs.google.com/spreadsheets/d/1XL5vhW3sbDhbH9Cz0tuDiY8C3ctxq1tqvaCgkFb8cCA/edit?usp=sharing"",""หนองบัวลำภู!J125"")"),0)</f>
        <v>0</v>
      </c>
      <c r="AM50" s="137">
        <f t="shared" ca="1" si="18"/>
        <v>0</v>
      </c>
      <c r="AN50" s="77">
        <f ca="1">IFERROR(__xludf.DUMMYFUNCTION("IMPORTRANGE(""https://docs.google.com/spreadsheets/d/1C3CXT74ZlgGe6_JY_1olB1XN4rF0dxEuIIF-xsYjHgg/edit?usp=sharing"",""พรบ!AQ54"")"),15)</f>
        <v>15</v>
      </c>
      <c r="AO50" s="77">
        <f ca="1">IFERROR(__xludf.DUMMYFUNCTION("IMPORTRANGE(""https://docs.google.com/spreadsheets/d/1XL5vhW3sbDhbH9Cz0tuDiY8C3ctxq1tqvaCgkFb8cCA/edit?usp=sharing"",""หนองบัวลำภู!J126"")"),15)</f>
        <v>15</v>
      </c>
      <c r="AP50" s="137">
        <f t="shared" ca="1" si="20"/>
        <v>100</v>
      </c>
      <c r="AQ50" s="149">
        <f ca="1">IFERROR(__xludf.DUMMYFUNCTION("IMPORTRANGE(""https://docs.google.com/spreadsheets/d/1C3CXT74ZlgGe6_JY_1olB1XN4rF0dxEuIIF-xsYjHgg/edit?usp=sharing"",""พรบ!AR54"")"),0)</f>
        <v>0</v>
      </c>
      <c r="AR50" s="77">
        <f ca="1">IFERROR(__xludf.DUMMYFUNCTION("IMPORTRANGE(""https://docs.google.com/spreadsheets/d/1C3CXT74ZlgGe6_JY_1olB1XN4rF0dxEuIIF-xsYjHgg/edit?usp=sharing"",""พรบ!AS54"")"),0)</f>
        <v>0</v>
      </c>
      <c r="AS50" s="77">
        <f ca="1">IFERROR(__xludf.DUMMYFUNCTION("IMPORTRANGE(""https://docs.google.com/spreadsheets/d/1XL5vhW3sbDhbH9Cz0tuDiY8C3ctxq1tqvaCgkFb8cCA/edit?usp=sharing"",""หนองบัวลำภู!J138"")"),0)</f>
        <v>0</v>
      </c>
      <c r="AT50" s="137">
        <f t="shared" ca="1" si="22"/>
        <v>0</v>
      </c>
      <c r="AU50" s="77">
        <f ca="1">IFERROR(__xludf.DUMMYFUNCTION("IMPORTRANGE(""https://docs.google.com/spreadsheets/d/1C3CXT74ZlgGe6_JY_1olB1XN4rF0dxEuIIF-xsYjHgg/edit?usp=sharing"",""พรบ!AT54"")"),0)</f>
        <v>0</v>
      </c>
      <c r="AV50" s="77">
        <f ca="1">IFERROR(__xludf.DUMMYFUNCTION("IMPORTRANGE(""https://docs.google.com/spreadsheets/d/1C3CXT74ZlgGe6_JY_1olB1XN4rF0dxEuIIF-xsYjHgg/edit?usp=sharing"",""พรบ!AU54"")"),0)</f>
        <v>0</v>
      </c>
      <c r="AW50" s="77">
        <f ca="1">IFERROR(__xludf.DUMMYFUNCTION("IMPORTRANGE(""https://docs.google.com/spreadsheets/d/1XL5vhW3sbDhbH9Cz0tuDiY8C3ctxq1tqvaCgkFb8cCA/edit?usp=sharing"",""หนองบัวลำภู!J140"")"),0)</f>
        <v>0</v>
      </c>
      <c r="AX50" s="137">
        <f t="shared" ca="1" si="24"/>
        <v>0</v>
      </c>
      <c r="AY50" s="77">
        <f ca="1">IFERROR(__xludf.DUMMYFUNCTION("IMPORTRANGE(""https://docs.google.com/spreadsheets/d/1XL5vhW3sbDhbH9Cz0tuDiY8C3ctxq1tqvaCgkFb8cCA/edit?usp=sharing"",""หนองบัวลำภู!J141"")"),0)</f>
        <v>0</v>
      </c>
      <c r="AZ50" s="137">
        <f t="shared" ca="1" si="25"/>
        <v>0</v>
      </c>
      <c r="BA50" s="77">
        <f t="shared" ca="1" si="26"/>
        <v>15</v>
      </c>
      <c r="BB50" s="77">
        <f t="shared" ca="1" si="87"/>
        <v>15</v>
      </c>
      <c r="BC50" s="137">
        <f t="shared" ca="1" si="27"/>
        <v>100</v>
      </c>
    </row>
    <row r="51" spans="1:55" ht="21" customHeight="1">
      <c r="A51" s="73">
        <v>18</v>
      </c>
      <c r="B51" s="74" t="s">
        <v>75</v>
      </c>
      <c r="C51" s="75">
        <f t="shared" ca="1" si="0"/>
        <v>77100</v>
      </c>
      <c r="D51" s="76">
        <f t="shared" ca="1" si="85"/>
        <v>77100</v>
      </c>
      <c r="E51" s="77">
        <f ca="1">IFERROR(__xludf.DUMMYFUNCTION("IMPORTRANGE(""https://docs.google.com/spreadsheets/d/1C3CXT74ZlgGe6_JY_1olB1XN4rF0dxEuIIF-xsYjHgg/edit?usp=sharing"",""พรบ!AD55"")"),0)</f>
        <v>0</v>
      </c>
      <c r="F51" s="77">
        <f ca="1">IFERROR(__xludf.DUMMYFUNCTION("IMPORTRANGE(""https://docs.google.com/spreadsheets/d/1C3CXT74ZlgGe6_JY_1olB1XN4rF0dxEuIIF-xsYjHgg/edit?usp=sharing"",""พรบ!AE55"")"),77100)</f>
        <v>77100</v>
      </c>
      <c r="G51" s="77">
        <f ca="1">IFERROR(__xludf.DUMMYFUNCTION("IMPORTRANGE(""https://docs.google.com/spreadsheets/d/1Yj_ptqi66GCucihVvJfMjLAmec39IyEx_6qawtMGysU/edit?usp=sharing"",""สบก!BH55"")"),0)</f>
        <v>0</v>
      </c>
      <c r="H51" s="77">
        <f ca="1">IFERROR(__xludf.DUMMYFUNCTION("IMPORTRANGE(""https://docs.google.com/spreadsheets/d/1Yj_ptqi66GCucihVvJfMjLAmec39IyEx_6qawtMGysU/edit?usp=shBJing"",""สบก!BJ55"")"),56625)</f>
        <v>56625</v>
      </c>
      <c r="I51" s="77">
        <f t="shared" ca="1" si="3"/>
        <v>42500</v>
      </c>
      <c r="J51" s="137">
        <f t="shared" ca="1" si="4"/>
        <v>55.123216601815827</v>
      </c>
      <c r="K51" s="77">
        <f ca="1">IFERROR(__xludf.DUMMYFUNCTION("IMPORTRANGE(""https://docs.google.com/spreadsheets/d/1Yj_ptqi66GCucihVvJfMjLAmec39IyEx_6qawtMGysU/edit?usp=sharing"",""สบก!BK55"")"),42500)</f>
        <v>42500</v>
      </c>
      <c r="L51" s="137">
        <f t="shared" ca="1" si="5"/>
        <v>55.123216601815827</v>
      </c>
      <c r="M51" s="137">
        <f t="shared" ca="1" si="6"/>
        <v>75.055187637969098</v>
      </c>
      <c r="N51" s="137">
        <f ca="1">IFERROR(__xludf.DUMMYFUNCTION("IMPORTRANGE(""https://docs.google.com/spreadsheets/d/1Yj_ptqi66GCucihVvJfMjLAmec39IyEx_6qawtMGysU/edit?usp=sharing"",""สบก!BL55"")"),0)</f>
        <v>0</v>
      </c>
      <c r="O51" s="137">
        <f t="shared" ca="1" si="7"/>
        <v>0</v>
      </c>
      <c r="P51" s="77">
        <f ca="1">IFERROR(__xludf.DUMMYFUNCTION("IMPORTRANGE(""https://docs.google.com/spreadsheets/d/1C3CXT74ZlgGe6_JY_1olB1XN4rF0dxEuIIF-xsYjHgg/edit?usp=sharing"",""พรบ!AF55"")"),7500)</f>
        <v>7500</v>
      </c>
      <c r="Q51" s="77">
        <f ca="1">IFERROR(__xludf.DUMMYFUNCTION("IMPORTRANGE(""https://docs.google.com/spreadsheets/d/1C3CXT74ZlgGe6_JY_1olB1XN4rF0dxEuIIF-xsYjHgg/edit?usp=sharing"",""พรบ!AG55"")"),4)</f>
        <v>4</v>
      </c>
      <c r="R51" s="77">
        <f ca="1">IFERROR(__xludf.DUMMYFUNCTION("IMPORTRANGE(""https://docs.google.com/spreadsheets/d/1XL5vhW3sbDhbH9Cz0tuDiY8C3ctxq1tqvaCgkFb8cCA/edit?usp=sharing"",""อำนาจเจริญ!J83"")"),2)</f>
        <v>2</v>
      </c>
      <c r="S51" s="137">
        <f t="shared" ca="1" si="9"/>
        <v>50</v>
      </c>
      <c r="T51" s="77">
        <f t="shared" ca="1" si="86"/>
        <v>16</v>
      </c>
      <c r="U51" s="77">
        <f ca="1">IFERROR(__xludf.DUMMYFUNCTION("IMPORTRANGE(""https://docs.google.com/spreadsheets/d/1XL5vhW3sbDhbH9Cz0tuDiY8C3ctxq1tqvaCgkFb8cCA/edit?usp=sharing"",""อำนาจเจริญ!J85"")"),16)</f>
        <v>16</v>
      </c>
      <c r="V51" s="77">
        <f ca="1">IFERROR(__xludf.DUMMYFUNCTION("IMPORTRANGE(""https://docs.google.com/spreadsheets/d/1XL5vhW3sbDhbH9Cz0tuDiY8C3ctxq1tqvaCgkFb8cCA/edit?usp=sharing"",""อำนาจเจริญ!J86"")"),0)</f>
        <v>0</v>
      </c>
      <c r="W51" s="77">
        <f ca="1">IFERROR(__xludf.DUMMYFUNCTION("IMPORTRANGE(""https://docs.google.com/spreadsheets/d/1C3CXT74ZlgGe6_JY_1olB1XN4rF0dxEuIIF-xsYjHgg/edit?usp=sharing"",""พรบ!AH55"")"),28000)</f>
        <v>28000</v>
      </c>
      <c r="X51" s="77">
        <f ca="1">IFERROR(__xludf.DUMMYFUNCTION("IMPORTRANGE(""https://docs.google.com/spreadsheets/d/1C3CXT74ZlgGe6_JY_1olB1XN4rF0dxEuIIF-xsYjHgg/edit?usp=sharing"",""พรบ!AI55"")"),2)</f>
        <v>2</v>
      </c>
      <c r="Y51" s="77">
        <f ca="1">IFERROR(__xludf.DUMMYFUNCTION("IMPORTRANGE(""https://docs.google.com/spreadsheets/d/1XL5vhW3sbDhbH9Cz0tuDiY8C3ctxq1tqvaCgkFb8cCA/edit?usp=sharing"",""อำนาจเจริญ!J98"")"),2)</f>
        <v>2</v>
      </c>
      <c r="Z51" s="137">
        <f t="shared" ca="1" si="11"/>
        <v>100</v>
      </c>
      <c r="AA51" s="77">
        <f ca="1">IFERROR(__xludf.DUMMYFUNCTION("IMPORTRANGE(""https://docs.google.com/spreadsheets/d/1C3CXT74ZlgGe6_JY_1olB1XN4rF0dxEuIIF-xsYjHgg/edit?usp=sharing"",""พรบ!AJ55"")"),15000)</f>
        <v>15000</v>
      </c>
      <c r="AB51" s="77">
        <f ca="1">IFERROR(__xludf.DUMMYFUNCTION("IMPORTRANGE(""https://docs.google.com/spreadsheets/d/1C3CXT74ZlgGe6_JY_1olB1XN4rF0dxEuIIF-xsYjHgg/edit?usp=sharing"",""พรบ!AK55"")"),1)</f>
        <v>1</v>
      </c>
      <c r="AC51" s="77">
        <f ca="1">IFERROR(__xludf.DUMMYFUNCTION("IMPORTRANGE(""https://docs.google.com/spreadsheets/d/1XL5vhW3sbDhbH9Cz0tuDiY8C3ctxq1tqvaCgkFb8cCA/edit?usp=sharing"",""อำนาจเจริญ!J110"")"),1)</f>
        <v>1</v>
      </c>
      <c r="AD51" s="137">
        <f t="shared" ca="1" si="13"/>
        <v>100</v>
      </c>
      <c r="AE51" s="77">
        <f ca="1">IFERROR(__xludf.DUMMYFUNCTION("IMPORTRANGE(""https://docs.google.com/spreadsheets/d/1C3CXT74ZlgGe6_JY_1olB1XN4rF0dxEuIIF-xsYjHgg/edit?usp=sharing"",""พรบ!AL55"")"),1)</f>
        <v>1</v>
      </c>
      <c r="AF51" s="77">
        <f ca="1">IFERROR(__xludf.DUMMYFUNCTION("IMPORTRANGE(""https://docs.google.com/spreadsheets/d/1XL5vhW3sbDhbH9Cz0tuDiY8C3ctxq1tqvaCgkFb8cCA/edit?usp=sharing"",""อำนาจเจริญ!J111"")"),1)</f>
        <v>1</v>
      </c>
      <c r="AG51" s="137">
        <f t="shared" ca="1" si="15"/>
        <v>100</v>
      </c>
      <c r="AH51" s="77">
        <f ca="1">IFERROR(__xludf.DUMMYFUNCTION("IMPORTRANGE(""https://docs.google.com/spreadsheets/d/1C3CXT74ZlgGe6_JY_1olB1XN4rF0dxEuIIF-xsYjHgg/edit?usp=sharing"",""พรบ!AM55"")"),26600)</f>
        <v>26600</v>
      </c>
      <c r="AI51" s="77">
        <f ca="1">IFERROR(__xludf.DUMMYFUNCTION("IMPORTRANGE(""https://docs.google.com/spreadsheets/d/1C3CXT74ZlgGe6_JY_1olB1XN4rF0dxEuIIF-xsYjHgg/edit?usp=sharing"",""พรบ!AN55"")"),64000)</f>
        <v>64000</v>
      </c>
      <c r="AJ51" s="77">
        <f ca="1">IFERROR(__xludf.DUMMYFUNCTION("IMPORTRANGE(""https://docs.google.com/spreadsheets/d/1XL5vhW3sbDhbH9Cz0tuDiY8C3ctxq1tqvaCgkFb8cCA/edit?usp=sharing"",""อำนาจเจริญ!J124"")"),0)</f>
        <v>0</v>
      </c>
      <c r="AK51" s="137">
        <f t="shared" ca="1" si="17"/>
        <v>0</v>
      </c>
      <c r="AL51" s="77">
        <f ca="1">IFERROR(__xludf.DUMMYFUNCTION("IMPORTRANGE(""https://docs.google.com/spreadsheets/d/1XL5vhW3sbDhbH9Cz0tuDiY8C3ctxq1tqvaCgkFb8cCA/edit?usp=sharing"",""อำนาจเจริญ!J125"")"),0)</f>
        <v>0</v>
      </c>
      <c r="AM51" s="137">
        <f t="shared" ca="1" si="18"/>
        <v>0</v>
      </c>
      <c r="AN51" s="77">
        <f ca="1">IFERROR(__xludf.DUMMYFUNCTION("IMPORTRANGE(""https://docs.google.com/spreadsheets/d/1C3CXT74ZlgGe6_JY_1olB1XN4rF0dxEuIIF-xsYjHgg/edit?usp=sharing"",""พรบ!AQ55"")"),0)</f>
        <v>0</v>
      </c>
      <c r="AO51" s="77">
        <f ca="1">IFERROR(__xludf.DUMMYFUNCTION("IMPORTRANGE(""https://docs.google.com/spreadsheets/d/1XL5vhW3sbDhbH9Cz0tuDiY8C3ctxq1tqvaCgkFb8cCA/edit?usp=sharing"",""อำนาจเจริญ!J126"")"),0)</f>
        <v>0</v>
      </c>
      <c r="AP51" s="137">
        <f t="shared" ca="1" si="20"/>
        <v>0</v>
      </c>
      <c r="AQ51" s="149">
        <f ca="1">IFERROR(__xludf.DUMMYFUNCTION("IMPORTRANGE(""https://docs.google.com/spreadsheets/d/1C3CXT74ZlgGe6_JY_1olB1XN4rF0dxEuIIF-xsYjHgg/edit?usp=sharing"",""พรบ!AR55"")"),0)</f>
        <v>0</v>
      </c>
      <c r="AR51" s="77">
        <f ca="1">IFERROR(__xludf.DUMMYFUNCTION("IMPORTRANGE(""https://docs.google.com/spreadsheets/d/1C3CXT74ZlgGe6_JY_1olB1XN4rF0dxEuIIF-xsYjHgg/edit?usp=sharing"",""พรบ!AS55"")"),0)</f>
        <v>0</v>
      </c>
      <c r="AS51" s="77">
        <f ca="1">IFERROR(__xludf.DUMMYFUNCTION("IMPORTRANGE(""https://docs.google.com/spreadsheets/d/1XL5vhW3sbDhbH9Cz0tuDiY8C3ctxq1tqvaCgkFb8cCA/edit?usp=sharing"",""อำนาจเจริญ!J138"")"),0)</f>
        <v>0</v>
      </c>
      <c r="AT51" s="137">
        <f t="shared" ca="1" si="22"/>
        <v>0</v>
      </c>
      <c r="AU51" s="77">
        <f ca="1">IFERROR(__xludf.DUMMYFUNCTION("IMPORTRANGE(""https://docs.google.com/spreadsheets/d/1C3CXT74ZlgGe6_JY_1olB1XN4rF0dxEuIIF-xsYjHgg/edit?usp=sharing"",""พรบ!AT55"")"),0)</f>
        <v>0</v>
      </c>
      <c r="AV51" s="77">
        <f ca="1">IFERROR(__xludf.DUMMYFUNCTION("IMPORTRANGE(""https://docs.google.com/spreadsheets/d/1C3CXT74ZlgGe6_JY_1olB1XN4rF0dxEuIIF-xsYjHgg/edit?usp=sharing"",""พรบ!AU55"")"),0)</f>
        <v>0</v>
      </c>
      <c r="AW51" s="77">
        <f ca="1">IFERROR(__xludf.DUMMYFUNCTION("IMPORTRANGE(""https://docs.google.com/spreadsheets/d/1XL5vhW3sbDhbH9Cz0tuDiY8C3ctxq1tqvaCgkFb8cCA/edit?usp=sharing"",""อำนาจเจริญ!J140"")"),0)</f>
        <v>0</v>
      </c>
      <c r="AX51" s="137">
        <f t="shared" ca="1" si="24"/>
        <v>0</v>
      </c>
      <c r="AY51" s="77">
        <f ca="1">IFERROR(__xludf.DUMMYFUNCTION("IMPORTRANGE(""https://docs.google.com/spreadsheets/d/1XL5vhW3sbDhbH9Cz0tuDiY8C3ctxq1tqvaCgkFb8cCA/edit?usp=sharing"",""อำนาจเจริญ!J141"")"),0)</f>
        <v>0</v>
      </c>
      <c r="AZ51" s="137">
        <f t="shared" ca="1" si="25"/>
        <v>0</v>
      </c>
      <c r="BA51" s="77">
        <f t="shared" ca="1" si="26"/>
        <v>0</v>
      </c>
      <c r="BB51" s="77">
        <f t="shared" ca="1" si="87"/>
        <v>0</v>
      </c>
      <c r="BC51" s="137">
        <f t="shared" ca="1" si="27"/>
        <v>0</v>
      </c>
    </row>
    <row r="52" spans="1:55" ht="21" customHeight="1">
      <c r="A52" s="73">
        <v>19</v>
      </c>
      <c r="B52" s="74" t="s">
        <v>76</v>
      </c>
      <c r="C52" s="75">
        <f t="shared" ca="1" si="0"/>
        <v>102000</v>
      </c>
      <c r="D52" s="76">
        <f t="shared" ca="1" si="85"/>
        <v>102000</v>
      </c>
      <c r="E52" s="77">
        <f ca="1">IFERROR(__xludf.DUMMYFUNCTION("IMPORTRANGE(""https://docs.google.com/spreadsheets/d/1C3CXT74ZlgGe6_JY_1olB1XN4rF0dxEuIIF-xsYjHgg/edit?usp=sharing"",""พรบ!AD56"")"),0)</f>
        <v>0</v>
      </c>
      <c r="F52" s="77">
        <f ca="1">IFERROR(__xludf.DUMMYFUNCTION("IMPORTRANGE(""https://docs.google.com/spreadsheets/d/1C3CXT74ZlgGe6_JY_1olB1XN4rF0dxEuIIF-xsYjHgg/edit?usp=sharing"",""พรบ!AE56"")"),102000)</f>
        <v>102000</v>
      </c>
      <c r="G52" s="77">
        <f ca="1">IFERROR(__xludf.DUMMYFUNCTION("IMPORTRANGE(""https://docs.google.com/spreadsheets/d/1Yj_ptqi66GCucihVvJfMjLAmec39IyEx_6qawtMGysU/edit?usp=sharing"",""สบก!BH56"")"),0)</f>
        <v>0</v>
      </c>
      <c r="H52" s="77">
        <f ca="1">IFERROR(__xludf.DUMMYFUNCTION("IMPORTRANGE(""https://docs.google.com/spreadsheets/d/1Yj_ptqi66GCucihVvJfMjLAmec39IyEx_6qawtMGysU/edit?usp=shBJing"",""สบก!BJ56"")"),100625)</f>
        <v>100625</v>
      </c>
      <c r="I52" s="77">
        <f t="shared" ca="1" si="3"/>
        <v>75935</v>
      </c>
      <c r="J52" s="137">
        <f t="shared" ca="1" si="4"/>
        <v>74.446078431372555</v>
      </c>
      <c r="K52" s="77">
        <f ca="1">IFERROR(__xludf.DUMMYFUNCTION("IMPORTRANGE(""https://docs.google.com/spreadsheets/d/1Yj_ptqi66GCucihVvJfMjLAmec39IyEx_6qawtMGysU/edit?usp=sharing"",""สบก!BK56"")"),75935)</f>
        <v>75935</v>
      </c>
      <c r="L52" s="137">
        <f t="shared" ca="1" si="5"/>
        <v>74.446078431372555</v>
      </c>
      <c r="M52" s="137">
        <f t="shared" ca="1" si="6"/>
        <v>75.463354037267081</v>
      </c>
      <c r="N52" s="137">
        <f ca="1">IFERROR(__xludf.DUMMYFUNCTION("IMPORTRANGE(""https://docs.google.com/spreadsheets/d/1Yj_ptqi66GCucihVvJfMjLAmec39IyEx_6qawtMGysU/edit?usp=sharing"",""สบก!BL56"")"),0)</f>
        <v>0</v>
      </c>
      <c r="O52" s="137">
        <f t="shared" ca="1" si="7"/>
        <v>0</v>
      </c>
      <c r="P52" s="77">
        <f ca="1">IFERROR(__xludf.DUMMYFUNCTION("IMPORTRANGE(""https://docs.google.com/spreadsheets/d/1C3CXT74ZlgGe6_JY_1olB1XN4rF0dxEuIIF-xsYjHgg/edit?usp=sharing"",""พรบ!AF56"")"),7500)</f>
        <v>7500</v>
      </c>
      <c r="Q52" s="77">
        <f ca="1">IFERROR(__xludf.DUMMYFUNCTION("IMPORTRANGE(""https://docs.google.com/spreadsheets/d/1C3CXT74ZlgGe6_JY_1olB1XN4rF0dxEuIIF-xsYjHgg/edit?usp=sharing"",""พรบ!AG56"")"),4)</f>
        <v>4</v>
      </c>
      <c r="R52" s="77">
        <f ca="1">IFERROR(__xludf.DUMMYFUNCTION("IMPORTRANGE(""https://docs.google.com/spreadsheets/d/1XL5vhW3sbDhbH9Cz0tuDiY8C3ctxq1tqvaCgkFb8cCA/edit?usp=sharing"",""อุดรธานี!J83"")"),2)</f>
        <v>2</v>
      </c>
      <c r="S52" s="137">
        <f t="shared" ca="1" si="9"/>
        <v>50</v>
      </c>
      <c r="T52" s="77">
        <f t="shared" ca="1" si="86"/>
        <v>0</v>
      </c>
      <c r="U52" s="77">
        <f ca="1">IFERROR(__xludf.DUMMYFUNCTION("IMPORTRANGE(""https://docs.google.com/spreadsheets/d/1XL5vhW3sbDhbH9Cz0tuDiY8C3ctxq1tqvaCgkFb8cCA/edit?usp=sharing"",""อุดรธานี!J85"")"),0)</f>
        <v>0</v>
      </c>
      <c r="V52" s="77">
        <f ca="1">IFERROR(__xludf.DUMMYFUNCTION("IMPORTRANGE(""https://docs.google.com/spreadsheets/d/1XL5vhW3sbDhbH9Cz0tuDiY8C3ctxq1tqvaCgkFb8cCA/edit?usp=sharing"",""อุดรธานี!J86"")"),0)</f>
        <v>0</v>
      </c>
      <c r="W52" s="77">
        <f ca="1">IFERROR(__xludf.DUMMYFUNCTION("IMPORTRANGE(""https://docs.google.com/spreadsheets/d/1C3CXT74ZlgGe6_JY_1olB1XN4rF0dxEuIIF-xsYjHgg/edit?usp=sharing"",""พรบ!AH56"")"),42000)</f>
        <v>42000</v>
      </c>
      <c r="X52" s="77">
        <f ca="1">IFERROR(__xludf.DUMMYFUNCTION("IMPORTRANGE(""https://docs.google.com/spreadsheets/d/1C3CXT74ZlgGe6_JY_1olB1XN4rF0dxEuIIF-xsYjHgg/edit?usp=sharing"",""พรบ!AI56"")"),3)</f>
        <v>3</v>
      </c>
      <c r="Y52" s="77">
        <f ca="1">IFERROR(__xludf.DUMMYFUNCTION("IMPORTRANGE(""https://docs.google.com/spreadsheets/d/1XL5vhW3sbDhbH9Cz0tuDiY8C3ctxq1tqvaCgkFb8cCA/edit?usp=sharing"",""อุดรธานี!J98"")"),3)</f>
        <v>3</v>
      </c>
      <c r="Z52" s="137">
        <f t="shared" ca="1" si="11"/>
        <v>100</v>
      </c>
      <c r="AA52" s="77">
        <f ca="1">IFERROR(__xludf.DUMMYFUNCTION("IMPORTRANGE(""https://docs.google.com/spreadsheets/d/1C3CXT74ZlgGe6_JY_1olB1XN4rF0dxEuIIF-xsYjHgg/edit?usp=sharing"",""พรบ!AJ56"")"),45000)</f>
        <v>45000</v>
      </c>
      <c r="AB52" s="77">
        <f ca="1">IFERROR(__xludf.DUMMYFUNCTION("IMPORTRANGE(""https://docs.google.com/spreadsheets/d/1C3CXT74ZlgGe6_JY_1olB1XN4rF0dxEuIIF-xsYjHgg/edit?usp=sharing"",""พรบ!AK56"")"),3)</f>
        <v>3</v>
      </c>
      <c r="AC52" s="77">
        <f ca="1">IFERROR(__xludf.DUMMYFUNCTION("IMPORTRANGE(""https://docs.google.com/spreadsheets/d/1XL5vhW3sbDhbH9Cz0tuDiY8C3ctxq1tqvaCgkFb8cCA/edit?usp=sharing"",""อุดรธานี!J110"")"),0)</f>
        <v>0</v>
      </c>
      <c r="AD52" s="137">
        <f t="shared" ca="1" si="13"/>
        <v>0</v>
      </c>
      <c r="AE52" s="77">
        <f ca="1">IFERROR(__xludf.DUMMYFUNCTION("IMPORTRANGE(""https://docs.google.com/spreadsheets/d/1C3CXT74ZlgGe6_JY_1olB1XN4rF0dxEuIIF-xsYjHgg/edit?usp=sharing"",""พรบ!AL56"")"),3)</f>
        <v>3</v>
      </c>
      <c r="AF52" s="77">
        <f ca="1">IFERROR(__xludf.DUMMYFUNCTION("IMPORTRANGE(""https://docs.google.com/spreadsheets/d/1XL5vhW3sbDhbH9Cz0tuDiY8C3ctxq1tqvaCgkFb8cCA/edit?usp=sharing"",""อุดรธานี!J111"")"),3)</f>
        <v>3</v>
      </c>
      <c r="AG52" s="137">
        <f t="shared" ca="1" si="15"/>
        <v>100</v>
      </c>
      <c r="AH52" s="77">
        <f ca="1">IFERROR(__xludf.DUMMYFUNCTION("IMPORTRANGE(""https://docs.google.com/spreadsheets/d/1C3CXT74ZlgGe6_JY_1olB1XN4rF0dxEuIIF-xsYjHgg/edit?usp=sharing"",""พรบ!AM56"")"),7500)</f>
        <v>7500</v>
      </c>
      <c r="AI52" s="77">
        <f ca="1">IFERROR(__xludf.DUMMYFUNCTION("IMPORTRANGE(""https://docs.google.com/spreadsheets/d/1C3CXT74ZlgGe6_JY_1olB1XN4rF0dxEuIIF-xsYjHgg/edit?usp=sharing"",""พรบ!AN56"")"),10000)</f>
        <v>10000</v>
      </c>
      <c r="AJ52" s="77">
        <f ca="1">IFERROR(__xludf.DUMMYFUNCTION("IMPORTRANGE(""https://docs.google.com/spreadsheets/d/1XL5vhW3sbDhbH9Cz0tuDiY8C3ctxq1tqvaCgkFb8cCA/edit?usp=sharing"",""อุดรธานี!J124"")"),0)</f>
        <v>0</v>
      </c>
      <c r="AK52" s="137">
        <f t="shared" ca="1" si="17"/>
        <v>0</v>
      </c>
      <c r="AL52" s="77">
        <f ca="1">IFERROR(__xludf.DUMMYFUNCTION("IMPORTRANGE(""https://docs.google.com/spreadsheets/d/1XL5vhW3sbDhbH9Cz0tuDiY8C3ctxq1tqvaCgkFb8cCA/edit?usp=sharing"",""อุดรธานี!J125"")"),0)</f>
        <v>0</v>
      </c>
      <c r="AM52" s="137">
        <f t="shared" ca="1" si="18"/>
        <v>0</v>
      </c>
      <c r="AN52" s="77">
        <f ca="1">IFERROR(__xludf.DUMMYFUNCTION("IMPORTRANGE(""https://docs.google.com/spreadsheets/d/1C3CXT74ZlgGe6_JY_1olB1XN4rF0dxEuIIF-xsYjHgg/edit?usp=sharing"",""พรบ!AQ56"")"),0)</f>
        <v>0</v>
      </c>
      <c r="AO52" s="77">
        <f ca="1">IFERROR(__xludf.DUMMYFUNCTION("IMPORTRANGE(""https://docs.google.com/spreadsheets/d/1XL5vhW3sbDhbH9Cz0tuDiY8C3ctxq1tqvaCgkFb8cCA/edit?usp=sharing"",""อุดรธานี!J126"")"),0)</f>
        <v>0</v>
      </c>
      <c r="AP52" s="137">
        <f t="shared" ca="1" si="20"/>
        <v>0</v>
      </c>
      <c r="AQ52" s="149">
        <f ca="1">IFERROR(__xludf.DUMMYFUNCTION("IMPORTRANGE(""https://docs.google.com/spreadsheets/d/1C3CXT74ZlgGe6_JY_1olB1XN4rF0dxEuIIF-xsYjHgg/edit?usp=sharing"",""พรบ!AR56"")"),0)</f>
        <v>0</v>
      </c>
      <c r="AR52" s="77">
        <f ca="1">IFERROR(__xludf.DUMMYFUNCTION("IMPORTRANGE(""https://docs.google.com/spreadsheets/d/1C3CXT74ZlgGe6_JY_1olB1XN4rF0dxEuIIF-xsYjHgg/edit?usp=sharing"",""พรบ!AS56"")"),0)</f>
        <v>0</v>
      </c>
      <c r="AS52" s="77">
        <f ca="1">IFERROR(__xludf.DUMMYFUNCTION("IMPORTRANGE(""https://docs.google.com/spreadsheets/d/1XL5vhW3sbDhbH9Cz0tuDiY8C3ctxq1tqvaCgkFb8cCA/edit?usp=sharing"",""อุดรธานี!J138"")"),0)</f>
        <v>0</v>
      </c>
      <c r="AT52" s="137">
        <f t="shared" ca="1" si="22"/>
        <v>0</v>
      </c>
      <c r="AU52" s="77">
        <f ca="1">IFERROR(__xludf.DUMMYFUNCTION("IMPORTRANGE(""https://docs.google.com/spreadsheets/d/1C3CXT74ZlgGe6_JY_1olB1XN4rF0dxEuIIF-xsYjHgg/edit?usp=sharing"",""พรบ!AT56"")"),0)</f>
        <v>0</v>
      </c>
      <c r="AV52" s="77">
        <f ca="1">IFERROR(__xludf.DUMMYFUNCTION("IMPORTRANGE(""https://docs.google.com/spreadsheets/d/1C3CXT74ZlgGe6_JY_1olB1XN4rF0dxEuIIF-xsYjHgg/edit?usp=sharing"",""พรบ!AU56"")"),0)</f>
        <v>0</v>
      </c>
      <c r="AW52" s="77">
        <f ca="1">IFERROR(__xludf.DUMMYFUNCTION("IMPORTRANGE(""https://docs.google.com/spreadsheets/d/1XL5vhW3sbDhbH9Cz0tuDiY8C3ctxq1tqvaCgkFb8cCA/edit?usp=sharing"",""อุดรธานี!J140"")"),0)</f>
        <v>0</v>
      </c>
      <c r="AX52" s="137">
        <f t="shared" ca="1" si="24"/>
        <v>0</v>
      </c>
      <c r="AY52" s="77">
        <f ca="1">IFERROR(__xludf.DUMMYFUNCTION("IMPORTRANGE(""https://docs.google.com/spreadsheets/d/1XL5vhW3sbDhbH9Cz0tuDiY8C3ctxq1tqvaCgkFb8cCA/edit?usp=sharing"",""อุดรธานี!J141"")"),0)</f>
        <v>0</v>
      </c>
      <c r="AZ52" s="137">
        <f t="shared" ca="1" si="25"/>
        <v>0</v>
      </c>
      <c r="BA52" s="77">
        <f t="shared" ca="1" si="26"/>
        <v>0</v>
      </c>
      <c r="BB52" s="77">
        <f t="shared" ca="1" si="87"/>
        <v>0</v>
      </c>
      <c r="BC52" s="137">
        <f t="shared" ca="1" si="27"/>
        <v>0</v>
      </c>
    </row>
    <row r="53" spans="1:55" ht="21" customHeight="1">
      <c r="A53" s="84">
        <v>20</v>
      </c>
      <c r="B53" s="85" t="s">
        <v>77</v>
      </c>
      <c r="C53" s="86">
        <f t="shared" ca="1" si="0"/>
        <v>912850</v>
      </c>
      <c r="D53" s="87">
        <f t="shared" ca="1" si="85"/>
        <v>912850</v>
      </c>
      <c r="E53" s="88">
        <f ca="1">IFERROR(__xludf.DUMMYFUNCTION("IMPORTRANGE(""https://docs.google.com/spreadsheets/d/1C3CXT74ZlgGe6_JY_1olB1XN4rF0dxEuIIF-xsYjHgg/edit?usp=sharing"",""พรบ!AD57"")"),469000)</f>
        <v>469000</v>
      </c>
      <c r="F53" s="77">
        <f ca="1">IFERROR(__xludf.DUMMYFUNCTION("IMPORTRANGE(""https://docs.google.com/spreadsheets/d/1C3CXT74ZlgGe6_JY_1olB1XN4rF0dxEuIIF-xsYjHgg/edit?usp=sharing"",""พรบ!AE57"")"),443850)</f>
        <v>443850</v>
      </c>
      <c r="G53" s="88">
        <f ca="1">IFERROR(__xludf.DUMMYFUNCTION("IMPORTRANGE(""https://docs.google.com/spreadsheets/d/1Yj_ptqi66GCucihVvJfMjLAmec39IyEx_6qawtMGysU/edit?usp=sharing"",""สบก!BH57"")"),0)</f>
        <v>0</v>
      </c>
      <c r="H53" s="88">
        <f ca="1">IFERROR(__xludf.DUMMYFUNCTION("IMPORTRANGE(""https://docs.google.com/spreadsheets/d/1Yj_ptqi66GCucihVvJfMjLAmec39IyEx_6qawtMGysU/edit?usp=shBJing"",""สบก!BJ57"")"),736275)</f>
        <v>736275</v>
      </c>
      <c r="I53" s="88">
        <f t="shared" ca="1" si="3"/>
        <v>518736.7</v>
      </c>
      <c r="J53" s="138">
        <f t="shared" ca="1" si="4"/>
        <v>56.82606123678589</v>
      </c>
      <c r="K53" s="88">
        <f ca="1">IFERROR(__xludf.DUMMYFUNCTION("IMPORTRANGE(""https://docs.google.com/spreadsheets/d/1Yj_ptqi66GCucihVvJfMjLAmec39IyEx_6qawtMGysU/edit?usp=sharing"",""สบก!BK57"")"),518736.7)</f>
        <v>518736.7</v>
      </c>
      <c r="L53" s="138">
        <f t="shared" ca="1" si="5"/>
        <v>56.82606123678589</v>
      </c>
      <c r="M53" s="138">
        <f t="shared" ca="1" si="6"/>
        <v>70.454205290142951</v>
      </c>
      <c r="N53" s="138">
        <f ca="1">IFERROR(__xludf.DUMMYFUNCTION("IMPORTRANGE(""https://docs.google.com/spreadsheets/d/1Yj_ptqi66GCucihVvJfMjLAmec39IyEx_6qawtMGysU/edit?usp=sharing"",""สบก!BL57"")"),0)</f>
        <v>0</v>
      </c>
      <c r="O53" s="138">
        <f t="shared" ca="1" si="7"/>
        <v>0</v>
      </c>
      <c r="P53" s="88">
        <f ca="1">IFERROR(__xludf.DUMMYFUNCTION("IMPORTRANGE(""https://docs.google.com/spreadsheets/d/1C3CXT74ZlgGe6_JY_1olB1XN4rF0dxEuIIF-xsYjHgg/edit?usp=sharing"",""พรบ!AF57"")"),7500)</f>
        <v>7500</v>
      </c>
      <c r="Q53" s="88">
        <f ca="1">IFERROR(__xludf.DUMMYFUNCTION("IMPORTRANGE(""https://docs.google.com/spreadsheets/d/1C3CXT74ZlgGe6_JY_1olB1XN4rF0dxEuIIF-xsYjHgg/edit?usp=sharing"",""พรบ!AG57"")"),4)</f>
        <v>4</v>
      </c>
      <c r="R53" s="88">
        <f ca="1">IFERROR(__xludf.DUMMYFUNCTION("IMPORTRANGE(""https://docs.google.com/spreadsheets/d/1XL5vhW3sbDhbH9Cz0tuDiY8C3ctxq1tqvaCgkFb8cCA/edit?usp=sharing"",""อุบลราชธานี!J83"")"),2)</f>
        <v>2</v>
      </c>
      <c r="S53" s="138">
        <f t="shared" ca="1" si="9"/>
        <v>50</v>
      </c>
      <c r="T53" s="88">
        <f t="shared" ca="1" si="86"/>
        <v>76</v>
      </c>
      <c r="U53" s="88">
        <f ca="1">IFERROR(__xludf.DUMMYFUNCTION("IMPORTRANGE(""https://docs.google.com/spreadsheets/d/1XL5vhW3sbDhbH9Cz0tuDiY8C3ctxq1tqvaCgkFb8cCA/edit?usp=sharing"",""อุบลราชธานี!J85"")"),76)</f>
        <v>76</v>
      </c>
      <c r="V53" s="88">
        <f ca="1">IFERROR(__xludf.DUMMYFUNCTION("IMPORTRANGE(""https://docs.google.com/spreadsheets/d/1XL5vhW3sbDhbH9Cz0tuDiY8C3ctxq1tqvaCgkFb8cCA/edit?usp=sharing"",""อุบลราชธานี!J86"")"),0)</f>
        <v>0</v>
      </c>
      <c r="W53" s="88">
        <f ca="1">IFERROR(__xludf.DUMMYFUNCTION("IMPORTRANGE(""https://docs.google.com/spreadsheets/d/1C3CXT74ZlgGe6_JY_1olB1XN4rF0dxEuIIF-xsYjHgg/edit?usp=sharing"",""พรบ!AH57"")"),56000)</f>
        <v>56000</v>
      </c>
      <c r="X53" s="88">
        <f ca="1">IFERROR(__xludf.DUMMYFUNCTION("IMPORTRANGE(""https://docs.google.com/spreadsheets/d/1C3CXT74ZlgGe6_JY_1olB1XN4rF0dxEuIIF-xsYjHgg/edit?usp=sharing"",""พรบ!AI57"")"),4)</f>
        <v>4</v>
      </c>
      <c r="Y53" s="88">
        <f ca="1">IFERROR(__xludf.DUMMYFUNCTION("IMPORTRANGE(""https://docs.google.com/spreadsheets/d/1XL5vhW3sbDhbH9Cz0tuDiY8C3ctxq1tqvaCgkFb8cCA/edit?usp=sharing"",""อุบลราชธานี!J98"")"),4)</f>
        <v>4</v>
      </c>
      <c r="Z53" s="138">
        <f t="shared" ca="1" si="11"/>
        <v>100</v>
      </c>
      <c r="AA53" s="88">
        <f ca="1">IFERROR(__xludf.DUMMYFUNCTION("IMPORTRANGE(""https://docs.google.com/spreadsheets/d/1C3CXT74ZlgGe6_JY_1olB1XN4rF0dxEuIIF-xsYjHgg/edit?usp=sharing"",""พรบ!AJ57"")"),30000)</f>
        <v>30000</v>
      </c>
      <c r="AB53" s="88">
        <f ca="1">IFERROR(__xludf.DUMMYFUNCTION("IMPORTRANGE(""https://docs.google.com/spreadsheets/d/1C3CXT74ZlgGe6_JY_1olB1XN4rF0dxEuIIF-xsYjHgg/edit?usp=sharing"",""พรบ!AK57"")"),2)</f>
        <v>2</v>
      </c>
      <c r="AC53" s="88">
        <f ca="1">IFERROR(__xludf.DUMMYFUNCTION("IMPORTRANGE(""https://docs.google.com/spreadsheets/d/1XL5vhW3sbDhbH9Cz0tuDiY8C3ctxq1tqvaCgkFb8cCA/edit?usp=sharing"",""อุบลราชธานี!J110"")"),2)</f>
        <v>2</v>
      </c>
      <c r="AD53" s="138">
        <f t="shared" ca="1" si="13"/>
        <v>100</v>
      </c>
      <c r="AE53" s="88">
        <f ca="1">IFERROR(__xludf.DUMMYFUNCTION("IMPORTRANGE(""https://docs.google.com/spreadsheets/d/1C3CXT74ZlgGe6_JY_1olB1XN4rF0dxEuIIF-xsYjHgg/edit?usp=sharing"",""พรบ!AL57"")"),2)</f>
        <v>2</v>
      </c>
      <c r="AF53" s="88">
        <f ca="1">IFERROR(__xludf.DUMMYFUNCTION("IMPORTRANGE(""https://docs.google.com/spreadsheets/d/1XL5vhW3sbDhbH9Cz0tuDiY8C3ctxq1tqvaCgkFb8cCA/edit?usp=sharing"",""อุบลราชธานี!J111"")"),2)</f>
        <v>2</v>
      </c>
      <c r="AG53" s="138">
        <f t="shared" ca="1" si="15"/>
        <v>100</v>
      </c>
      <c r="AH53" s="88">
        <f ca="1">IFERROR(__xludf.DUMMYFUNCTION("IMPORTRANGE(""https://docs.google.com/spreadsheets/d/1C3CXT74ZlgGe6_JY_1olB1XN4rF0dxEuIIF-xsYjHgg/edit?usp=sharing"",""พรบ!AM57"")"),14500)</f>
        <v>14500</v>
      </c>
      <c r="AI53" s="88">
        <f ca="1">IFERROR(__xludf.DUMMYFUNCTION("IMPORTRANGE(""https://docs.google.com/spreadsheets/d/1C3CXT74ZlgGe6_JY_1olB1XN4rF0dxEuIIF-xsYjHgg/edit?usp=sharing"",""พรบ!AN57"")"),30000)</f>
        <v>30000</v>
      </c>
      <c r="AJ53" s="88">
        <f ca="1">IFERROR(__xludf.DUMMYFUNCTION("IMPORTRANGE(""https://docs.google.com/spreadsheets/d/1XL5vhW3sbDhbH9Cz0tuDiY8C3ctxq1tqvaCgkFb8cCA/edit?usp=sharing"",""อุบลราชธานี!J124"")"),30000)</f>
        <v>30000</v>
      </c>
      <c r="AK53" s="138">
        <f t="shared" ca="1" si="17"/>
        <v>100</v>
      </c>
      <c r="AL53" s="88">
        <f ca="1">IFERROR(__xludf.DUMMYFUNCTION("IMPORTRANGE(""https://docs.google.com/spreadsheets/d/1XL5vhW3sbDhbH9Cz0tuDiY8C3ctxq1tqvaCgkFb8cCA/edit?usp=sharing"",""อุบลราชธานี!J125"")"),0)</f>
        <v>0</v>
      </c>
      <c r="AM53" s="138">
        <f t="shared" ca="1" si="18"/>
        <v>0</v>
      </c>
      <c r="AN53" s="88">
        <f ca="1">IFERROR(__xludf.DUMMYFUNCTION("IMPORTRANGE(""https://docs.google.com/spreadsheets/d/1C3CXT74ZlgGe6_JY_1olB1XN4rF0dxEuIIF-xsYjHgg/edit?usp=sharing"",""พรบ!AQ57"")"),0)</f>
        <v>0</v>
      </c>
      <c r="AO53" s="88">
        <f ca="1">IFERROR(__xludf.DUMMYFUNCTION("IMPORTRANGE(""https://docs.google.com/spreadsheets/d/1XL5vhW3sbDhbH9Cz0tuDiY8C3ctxq1tqvaCgkFb8cCA/edit?usp=sharing"",""อุบลราชธานี!J126"")"),0)</f>
        <v>0</v>
      </c>
      <c r="AP53" s="138">
        <f t="shared" ca="1" si="20"/>
        <v>0</v>
      </c>
      <c r="AQ53" s="88">
        <f ca="1">IFERROR(__xludf.DUMMYFUNCTION("IMPORTRANGE(""https://docs.google.com/spreadsheets/d/1C3CXT74ZlgGe6_JY_1olB1XN4rF0dxEuIIF-xsYjHgg/edit?usp=sharing"",""พรบ!AR57"")"),335850)</f>
        <v>335850</v>
      </c>
      <c r="AR53" s="88">
        <f ca="1">IFERROR(__xludf.DUMMYFUNCTION("IMPORTRANGE(""https://docs.google.com/spreadsheets/d/1C3CXT74ZlgGe6_JY_1olB1XN4rF0dxEuIIF-xsYjHgg/edit?usp=sharing"",""พรบ!AS57"")"),50)</f>
        <v>50</v>
      </c>
      <c r="AS53" s="88">
        <f ca="1">IFERROR(__xludf.DUMMYFUNCTION("IMPORTRANGE(""https://docs.google.com/spreadsheets/d/1XL5vhW3sbDhbH9Cz0tuDiY8C3ctxq1tqvaCgkFb8cCA/edit?usp=sharing"",""อุบลราชธานี!J138"")"),50)</f>
        <v>50</v>
      </c>
      <c r="AT53" s="138">
        <f t="shared" ca="1" si="22"/>
        <v>100</v>
      </c>
      <c r="AU53" s="88">
        <f ca="1">IFERROR(__xludf.DUMMYFUNCTION("IMPORTRANGE(""https://docs.google.com/spreadsheets/d/1C3CXT74ZlgGe6_JY_1olB1XN4rF0dxEuIIF-xsYjHgg/edit?usp=sharing"",""พรบ!AT57"")"),0)</f>
        <v>0</v>
      </c>
      <c r="AV53" s="88">
        <f ca="1">IFERROR(__xludf.DUMMYFUNCTION("IMPORTRANGE(""https://docs.google.com/spreadsheets/d/1C3CXT74ZlgGe6_JY_1olB1XN4rF0dxEuIIF-xsYjHgg/edit?usp=sharing"",""พรบ!AU57"")"),15)</f>
        <v>15</v>
      </c>
      <c r="AW53" s="88">
        <f ca="1">IFERROR(__xludf.DUMMYFUNCTION("IMPORTRANGE(""https://docs.google.com/spreadsheets/d/1XL5vhW3sbDhbH9Cz0tuDiY8C3ctxq1tqvaCgkFb8cCA/edit?usp=sharing"",""อุบลราชธานี!J140"")"),0)</f>
        <v>0</v>
      </c>
      <c r="AX53" s="138">
        <f t="shared" ca="1" si="24"/>
        <v>0</v>
      </c>
      <c r="AY53" s="88">
        <f ca="1">IFERROR(__xludf.DUMMYFUNCTION("IMPORTRANGE(""https://docs.google.com/spreadsheets/d/1XL5vhW3sbDhbH9Cz0tuDiY8C3ctxq1tqvaCgkFb8cCA/edit?usp=sharing"",""อุบลราชธานี!J141"")"),0)</f>
        <v>0</v>
      </c>
      <c r="AZ53" s="138">
        <f t="shared" ca="1" si="25"/>
        <v>0</v>
      </c>
      <c r="BA53" s="88">
        <f t="shared" ca="1" si="26"/>
        <v>50</v>
      </c>
      <c r="BB53" s="88">
        <f t="shared" ca="1" si="87"/>
        <v>50</v>
      </c>
      <c r="BC53" s="138">
        <f t="shared" ca="1" si="27"/>
        <v>100</v>
      </c>
    </row>
    <row r="54" spans="1:55" ht="21" customHeight="1">
      <c r="A54" s="679" t="s">
        <v>78</v>
      </c>
      <c r="B54" s="678"/>
      <c r="C54" s="94">
        <f t="shared" ca="1" si="0"/>
        <v>6816300</v>
      </c>
      <c r="D54" s="95">
        <f t="shared" ref="D54:H54" ca="1" si="88">SUM(D55:D75)</f>
        <v>6816300</v>
      </c>
      <c r="E54" s="95">
        <f t="shared" ca="1" si="88"/>
        <v>3590600</v>
      </c>
      <c r="F54" s="95">
        <f t="shared" ca="1" si="88"/>
        <v>3225700</v>
      </c>
      <c r="G54" s="95">
        <f t="shared" ca="1" si="88"/>
        <v>0</v>
      </c>
      <c r="H54" s="95">
        <f t="shared" ca="1" si="88"/>
        <v>5661635</v>
      </c>
      <c r="I54" s="95">
        <f t="shared" ca="1" si="3"/>
        <v>3413242.0599999991</v>
      </c>
      <c r="J54" s="139">
        <f t="shared" ca="1" si="4"/>
        <v>50.0747041650162</v>
      </c>
      <c r="K54" s="95">
        <f ca="1">SUM(K55:K75)</f>
        <v>3413242.0599999991</v>
      </c>
      <c r="L54" s="139">
        <f t="shared" ca="1" si="5"/>
        <v>50.0747041650162</v>
      </c>
      <c r="M54" s="139">
        <f t="shared" ca="1" si="6"/>
        <v>60.287214912300058</v>
      </c>
      <c r="N54" s="139">
        <f ca="1">SUM(N55:N75)</f>
        <v>0</v>
      </c>
      <c r="O54" s="139">
        <f t="shared" ca="1" si="7"/>
        <v>0</v>
      </c>
      <c r="P54" s="95">
        <f t="shared" ref="P54:R54" ca="1" si="89">SUM(P55:P75)</f>
        <v>157500</v>
      </c>
      <c r="Q54" s="95">
        <f t="shared" ca="1" si="89"/>
        <v>84</v>
      </c>
      <c r="R54" s="95">
        <f t="shared" ca="1" si="89"/>
        <v>35</v>
      </c>
      <c r="S54" s="139">
        <f t="shared" ca="1" si="9"/>
        <v>41.666666666666664</v>
      </c>
      <c r="T54" s="95">
        <f t="shared" ref="T54:Y54" ca="1" si="90">SUM(T55:T75)</f>
        <v>1090</v>
      </c>
      <c r="U54" s="95">
        <f t="shared" ca="1" si="90"/>
        <v>1089</v>
      </c>
      <c r="V54" s="95">
        <f t="shared" ca="1" si="90"/>
        <v>1</v>
      </c>
      <c r="W54" s="95">
        <f t="shared" ca="1" si="90"/>
        <v>700000</v>
      </c>
      <c r="X54" s="95">
        <f t="shared" ca="1" si="90"/>
        <v>50</v>
      </c>
      <c r="Y54" s="95">
        <f t="shared" ca="1" si="90"/>
        <v>43</v>
      </c>
      <c r="Z54" s="139">
        <f t="shared" ca="1" si="11"/>
        <v>86</v>
      </c>
      <c r="AA54" s="95">
        <f t="shared" ref="AA54:AC54" ca="1" si="91">SUM(AA55:AA75)</f>
        <v>255000</v>
      </c>
      <c r="AB54" s="95">
        <f t="shared" ca="1" si="91"/>
        <v>17</v>
      </c>
      <c r="AC54" s="95">
        <f t="shared" ca="1" si="91"/>
        <v>0</v>
      </c>
      <c r="AD54" s="139">
        <f t="shared" ca="1" si="13"/>
        <v>0</v>
      </c>
      <c r="AE54" s="95">
        <f t="shared" ref="AE54:AF54" ca="1" si="92">SUM(AE55:AE75)</f>
        <v>17</v>
      </c>
      <c r="AF54" s="95">
        <f t="shared" ca="1" si="92"/>
        <v>17</v>
      </c>
      <c r="AG54" s="139">
        <f t="shared" ca="1" si="15"/>
        <v>100</v>
      </c>
      <c r="AH54" s="95">
        <f t="shared" ref="AH54:AJ54" ca="1" si="93">SUM(AH55:AH75)</f>
        <v>282500</v>
      </c>
      <c r="AI54" s="95">
        <f t="shared" ca="1" si="93"/>
        <v>451000</v>
      </c>
      <c r="AJ54" s="95">
        <f t="shared" ca="1" si="93"/>
        <v>72800</v>
      </c>
      <c r="AK54" s="139">
        <f t="shared" ca="1" si="17"/>
        <v>16.14190687361419</v>
      </c>
      <c r="AL54" s="95">
        <f ca="1">SUM(AL55:AL75)</f>
        <v>0</v>
      </c>
      <c r="AM54" s="139">
        <f t="shared" ca="1" si="18"/>
        <v>0</v>
      </c>
      <c r="AN54" s="95">
        <f t="shared" ref="AN54:AO54" ca="1" si="94">SUM(AN55:AN75)</f>
        <v>60</v>
      </c>
      <c r="AO54" s="95">
        <f t="shared" ca="1" si="94"/>
        <v>60</v>
      </c>
      <c r="AP54" s="139">
        <f t="shared" ca="1" si="20"/>
        <v>100</v>
      </c>
      <c r="AQ54" s="95">
        <f t="shared" ref="AQ54:AS54" ca="1" si="95">SUM(AQ55:AQ75)</f>
        <v>1830700</v>
      </c>
      <c r="AR54" s="95">
        <f t="shared" ca="1" si="95"/>
        <v>380</v>
      </c>
      <c r="AS54" s="95">
        <f t="shared" ca="1" si="95"/>
        <v>380</v>
      </c>
      <c r="AT54" s="139">
        <f t="shared" ca="1" si="22"/>
        <v>100</v>
      </c>
      <c r="AU54" s="95">
        <f t="shared" ref="AU54:AW54" ca="1" si="96">SUM(AU55:AU75)</f>
        <v>120</v>
      </c>
      <c r="AV54" s="95">
        <f t="shared" ca="1" si="96"/>
        <v>10</v>
      </c>
      <c r="AW54" s="95">
        <f t="shared" ca="1" si="96"/>
        <v>0</v>
      </c>
      <c r="AX54" s="139">
        <f t="shared" ca="1" si="24"/>
        <v>0</v>
      </c>
      <c r="AY54" s="95">
        <f ca="1">SUM(AY55:AY75)</f>
        <v>0</v>
      </c>
      <c r="AZ54" s="139">
        <f t="shared" ca="1" si="25"/>
        <v>0</v>
      </c>
      <c r="BA54" s="95">
        <f t="shared" ca="1" si="26"/>
        <v>440</v>
      </c>
      <c r="BB54" s="95">
        <f ca="1">SUM(BB55:BB75)</f>
        <v>440</v>
      </c>
      <c r="BC54" s="139">
        <f t="shared" ca="1" si="27"/>
        <v>100</v>
      </c>
    </row>
    <row r="55" spans="1:55" ht="21" customHeight="1">
      <c r="A55" s="63">
        <v>1</v>
      </c>
      <c r="B55" s="64" t="s">
        <v>79</v>
      </c>
      <c r="C55" s="65">
        <f t="shared" ca="1" si="0"/>
        <v>647600</v>
      </c>
      <c r="D55" s="66">
        <f t="shared" ref="D55:D75" ca="1" si="97">+E55+F55</f>
        <v>647600</v>
      </c>
      <c r="E55" s="67">
        <f ca="1">IFERROR(__xludf.DUMMYFUNCTION("IMPORTRANGE(""https://docs.google.com/spreadsheets/d/1C3CXT74ZlgGe6_JY_1olB1XN4rF0dxEuIIF-xsYjHgg/edit?usp=sharing"",""พรบ!AD59"")"),364700)</f>
        <v>364700</v>
      </c>
      <c r="F55" s="67">
        <f ca="1">IFERROR(__xludf.DUMMYFUNCTION("IMPORTRANGE(""https://docs.google.com/spreadsheets/d/1C3CXT74ZlgGe6_JY_1olB1XN4rF0dxEuIIF-xsYjHgg/edit?usp=sharing"",""พรบ!AE59"")"),282900)</f>
        <v>282900</v>
      </c>
      <c r="G55" s="67">
        <f ca="1">IFERROR(__xludf.DUMMYFUNCTION("IMPORTRANGE(""https://docs.google.com/spreadsheets/d/1Yj_ptqi66GCucihVvJfMjLAmec39IyEx_6qawtMGysU/edit?usp=sharing"",""สบก!BH59"")"),0)</f>
        <v>0</v>
      </c>
      <c r="H55" s="67">
        <f ca="1">IFERROR(__xludf.DUMMYFUNCTION("IMPORTRANGE(""https://docs.google.com/spreadsheets/d/1Yj_ptqi66GCucihVvJfMjLAmec39IyEx_6qawtMGysU/edit?usp=shBJing"",""สบก!BJ59"")"),533525)</f>
        <v>533525</v>
      </c>
      <c r="I55" s="67">
        <f t="shared" ca="1" si="3"/>
        <v>343035.48</v>
      </c>
      <c r="J55" s="136">
        <f t="shared" ca="1" si="4"/>
        <v>52.970271772699199</v>
      </c>
      <c r="K55" s="67">
        <f ca="1">IFERROR(__xludf.DUMMYFUNCTION("IMPORTRANGE(""https://docs.google.com/spreadsheets/d/1Yj_ptqi66GCucihVvJfMjLAmec39IyEx_6qawtMGysU/edit?usp=sharing"",""สบก!BK59"")"),343035.48)</f>
        <v>343035.48</v>
      </c>
      <c r="L55" s="136">
        <f t="shared" ca="1" si="5"/>
        <v>52.970271772699199</v>
      </c>
      <c r="M55" s="136">
        <f t="shared" ca="1" si="6"/>
        <v>64.296046108429778</v>
      </c>
      <c r="N55" s="136">
        <f ca="1">IFERROR(__xludf.DUMMYFUNCTION("IMPORTRANGE(""https://docs.google.com/spreadsheets/d/1Yj_ptqi66GCucihVvJfMjLAmec39IyEx_6qawtMGysU/edit?usp=sharing"",""สบก!BL59"")"),0)</f>
        <v>0</v>
      </c>
      <c r="O55" s="136">
        <f t="shared" ca="1" si="7"/>
        <v>0</v>
      </c>
      <c r="P55" s="67">
        <f ca="1">IFERROR(__xludf.DUMMYFUNCTION("IMPORTRANGE(""https://docs.google.com/spreadsheets/d/1C3CXT74ZlgGe6_JY_1olB1XN4rF0dxEuIIF-xsYjHgg/edit?usp=sharing"",""พรบ!AF59"")"),7500)</f>
        <v>7500</v>
      </c>
      <c r="Q55" s="67">
        <f ca="1">IFERROR(__xludf.DUMMYFUNCTION("IMPORTRANGE(""https://docs.google.com/spreadsheets/d/1C3CXT74ZlgGe6_JY_1olB1XN4rF0dxEuIIF-xsYjHgg/edit?usp=sharing"",""พรบ!AG59"")"),4)</f>
        <v>4</v>
      </c>
      <c r="R55" s="67">
        <f ca="1">IFERROR(__xludf.DUMMYFUNCTION("IMPORTRANGE(""https://docs.google.com/spreadsheets/d/1SX6NBoVAgQJ6U1MVXOaj8PK2l7WJ3RER9xtqwdhxkhw/edit?usp=sharing"",""กาญจนบุรี!J83"")"),2)</f>
        <v>2</v>
      </c>
      <c r="S55" s="136">
        <f t="shared" ca="1" si="9"/>
        <v>50</v>
      </c>
      <c r="T55" s="67">
        <f t="shared" ref="T55:T75" ca="1" si="98">U55+V55</f>
        <v>40</v>
      </c>
      <c r="U55" s="67">
        <f ca="1">IFERROR(__xludf.DUMMYFUNCTION("IMPORTRANGE(""https://docs.google.com/spreadsheets/d/1SX6NBoVAgQJ6U1MVXOaj8PK2l7WJ3RER9xtqwdhxkhw/edit?usp=sharing"",""กาญจนบุรี!J85"")"),40)</f>
        <v>40</v>
      </c>
      <c r="V55" s="67">
        <f ca="1">IFERROR(__xludf.DUMMYFUNCTION("IMPORTRANGE(""https://docs.google.com/spreadsheets/d/1SX6NBoVAgQJ6U1MVXOaj8PK2l7WJ3RER9xtqwdhxkhw/edit?usp=sharing"",""กาญจนบุรี!J86"")"),0)</f>
        <v>0</v>
      </c>
      <c r="W55" s="67">
        <f ca="1">IFERROR(__xludf.DUMMYFUNCTION("IMPORTRANGE(""https://docs.google.com/spreadsheets/d/1C3CXT74ZlgGe6_JY_1olB1XN4rF0dxEuIIF-xsYjHgg/edit?usp=sharing"",""พรบ!AH59"")"),56000)</f>
        <v>56000</v>
      </c>
      <c r="X55" s="67">
        <f ca="1">IFERROR(__xludf.DUMMYFUNCTION("IMPORTRANGE(""https://docs.google.com/spreadsheets/d/1C3CXT74ZlgGe6_JY_1olB1XN4rF0dxEuIIF-xsYjHgg/edit?usp=sharing"",""พรบ!AI59"")"),4)</f>
        <v>4</v>
      </c>
      <c r="Y55" s="67">
        <f ca="1">IFERROR(__xludf.DUMMYFUNCTION("IMPORTRANGE(""https://docs.google.com/spreadsheets/d/1SX6NBoVAgQJ6U1MVXOaj8PK2l7WJ3RER9xtqwdhxkhw/edit?usp=sharing"",""กาญจนบุรี!J98"")"),4)</f>
        <v>4</v>
      </c>
      <c r="Z55" s="136">
        <f t="shared" ca="1" si="11"/>
        <v>100</v>
      </c>
      <c r="AA55" s="67">
        <f ca="1">IFERROR(__xludf.DUMMYFUNCTION("IMPORTRANGE(""https://docs.google.com/spreadsheets/d/1C3CXT74ZlgGe6_JY_1olB1XN4rF0dxEuIIF-xsYjHgg/edit?usp=sharing"",""พรบ!AJ59"")"),90000)</f>
        <v>90000</v>
      </c>
      <c r="AB55" s="67">
        <f ca="1">IFERROR(__xludf.DUMMYFUNCTION("IMPORTRANGE(""https://docs.google.com/spreadsheets/d/1C3CXT74ZlgGe6_JY_1olB1XN4rF0dxEuIIF-xsYjHgg/edit?usp=sharing"",""พรบ!AK59"")"),6)</f>
        <v>6</v>
      </c>
      <c r="AC55" s="67">
        <f ca="1">IFERROR(__xludf.DUMMYFUNCTION("IMPORTRANGE(""https://docs.google.com/spreadsheets/d/1SX6NBoVAgQJ6U1MVXOaj8PK2l7WJ3RER9xtqwdhxkhw/edit?usp=sharing"",""กาญจนบุรี!J110"")"),0)</f>
        <v>0</v>
      </c>
      <c r="AD55" s="136">
        <f t="shared" ca="1" si="13"/>
        <v>0</v>
      </c>
      <c r="AE55" s="67">
        <f ca="1">IFERROR(__xludf.DUMMYFUNCTION("IMPORTRANGE(""https://docs.google.com/spreadsheets/d/1C3CXT74ZlgGe6_JY_1olB1XN4rF0dxEuIIF-xsYjHgg/edit?usp=sharing"",""พรบ!AL59"")"),6)</f>
        <v>6</v>
      </c>
      <c r="AF55" s="67">
        <f ca="1">IFERROR(__xludf.DUMMYFUNCTION("IMPORTRANGE(""https://docs.google.com/spreadsheets/d/1SX6NBoVAgQJ6U1MVXOaj8PK2l7WJ3RER9xtqwdhxkhw/edit?usp=sharing"",""กาญจนบุรี!J111"")"),6)</f>
        <v>6</v>
      </c>
      <c r="AG55" s="136">
        <f t="shared" ca="1" si="15"/>
        <v>100</v>
      </c>
      <c r="AH55" s="67">
        <f ca="1">IFERROR(__xludf.DUMMYFUNCTION("IMPORTRANGE(""https://docs.google.com/spreadsheets/d/1C3CXT74ZlgGe6_JY_1olB1XN4rF0dxEuIIF-xsYjHgg/edit?usp=sharing"",""พรบ!AM59"")"),9000)</f>
        <v>9000</v>
      </c>
      <c r="AI55" s="67">
        <f ca="1">IFERROR(__xludf.DUMMYFUNCTION("IMPORTRANGE(""https://docs.google.com/spreadsheets/d/1C3CXT74ZlgGe6_JY_1olB1XN4rF0dxEuIIF-xsYjHgg/edit?usp=sharing"",""พรบ!AN59"")"),20000)</f>
        <v>20000</v>
      </c>
      <c r="AJ55" s="67">
        <f ca="1">IFERROR(__xludf.DUMMYFUNCTION("IMPORTRANGE(""https://docs.google.com/spreadsheets/d/1SX6NBoVAgQJ6U1MVXOaj8PK2l7WJ3RER9xtqwdhxkhw/edit?usp=sharing"",""กาญจนบุรี!J124"")"),0)</f>
        <v>0</v>
      </c>
      <c r="AK55" s="136">
        <f t="shared" ca="1" si="17"/>
        <v>0</v>
      </c>
      <c r="AL55" s="67">
        <f ca="1">IFERROR(__xludf.DUMMYFUNCTION("IMPORTRANGE(""https://docs.google.com/spreadsheets/d/1SX6NBoVAgQJ6U1MVXOaj8PK2l7WJ3RER9xtqwdhxkhw/edit?usp=sharing"",""กาญจนบุรี!J125"")"),0)</f>
        <v>0</v>
      </c>
      <c r="AM55" s="136">
        <f t="shared" ca="1" si="18"/>
        <v>0</v>
      </c>
      <c r="AN55" s="67">
        <f ca="1">IFERROR(__xludf.DUMMYFUNCTION("IMPORTRANGE(""https://docs.google.com/spreadsheets/d/1C3CXT74ZlgGe6_JY_1olB1XN4rF0dxEuIIF-xsYjHgg/edit?usp=sharing"",""พรบ!AQ59"")"),0)</f>
        <v>0</v>
      </c>
      <c r="AO55" s="67">
        <f ca="1">IFERROR(__xludf.DUMMYFUNCTION("IMPORTRANGE(""https://docs.google.com/spreadsheets/d/1SX6NBoVAgQJ6U1MVXOaj8PK2l7WJ3RER9xtqwdhxkhw/edit?usp=sharing"",""กาญจนบุรี!J126"")"),0)</f>
        <v>0</v>
      </c>
      <c r="AP55" s="136">
        <f t="shared" ca="1" si="20"/>
        <v>0</v>
      </c>
      <c r="AQ55" s="67">
        <f ca="1">IFERROR(__xludf.DUMMYFUNCTION("IMPORTRANGE(""https://docs.google.com/spreadsheets/d/1C3CXT74ZlgGe6_JY_1olB1XN4rF0dxEuIIF-xsYjHgg/edit?usp=sharing"",""พรบ!AR59"")"),120400)</f>
        <v>120400</v>
      </c>
      <c r="AR55" s="67">
        <f ca="1">IFERROR(__xludf.DUMMYFUNCTION("IMPORTRANGE(""https://docs.google.com/spreadsheets/d/1C3CXT74ZlgGe6_JY_1olB1XN4rF0dxEuIIF-xsYjHgg/edit?usp=sharing"",""พรบ!AS59"")"),30)</f>
        <v>30</v>
      </c>
      <c r="AS55" s="67">
        <f ca="1">IFERROR(__xludf.DUMMYFUNCTION("IMPORTRANGE(""https://docs.google.com/spreadsheets/d/1SX6NBoVAgQJ6U1MVXOaj8PK2l7WJ3RER9xtqwdhxkhw/edit?usp=sharing"",""กาญจนบุรี!J138"")"),30)</f>
        <v>30</v>
      </c>
      <c r="AT55" s="136">
        <f t="shared" ca="1" si="22"/>
        <v>100</v>
      </c>
      <c r="AU55" s="148">
        <f ca="1">IFERROR(__xludf.DUMMYFUNCTION("IMPORTRANGE(""https://docs.google.com/spreadsheets/d/1C3CXT74ZlgGe6_JY_1olB1XN4rF0dxEuIIF-xsYjHgg/edit?usp=sharing"",""พรบ!AT59"")"),0)</f>
        <v>0</v>
      </c>
      <c r="AV55" s="148">
        <f ca="1">IFERROR(__xludf.DUMMYFUNCTION("IMPORTRANGE(""https://docs.google.com/spreadsheets/d/1C3CXT74ZlgGe6_JY_1olB1XN4rF0dxEuIIF-xsYjHgg/edit?usp=sharing"",""พรบ!AU59"")"),1)</f>
        <v>1</v>
      </c>
      <c r="AW55" s="67">
        <f ca="1">IFERROR(__xludf.DUMMYFUNCTION("IMPORTRANGE(""https://docs.google.com/spreadsheets/d/1SX6NBoVAgQJ6U1MVXOaj8PK2l7WJ3RER9xtqwdhxkhw/edit?usp=sharing"",""กาญจนบุรี!J140"")"),0)</f>
        <v>0</v>
      </c>
      <c r="AX55" s="136">
        <f t="shared" ca="1" si="24"/>
        <v>0</v>
      </c>
      <c r="AY55" s="67">
        <f ca="1">IFERROR(__xludf.DUMMYFUNCTION("IMPORTRANGE(""https://docs.google.com/spreadsheets/d/1SX6NBoVAgQJ6U1MVXOaj8PK2l7WJ3RER9xtqwdhxkhw/edit?usp=sharing"",""กาญจนบุรี!J141"")"),0)</f>
        <v>0</v>
      </c>
      <c r="AZ55" s="136">
        <f t="shared" ca="1" si="25"/>
        <v>0</v>
      </c>
      <c r="BA55" s="67">
        <f t="shared" ca="1" si="26"/>
        <v>30</v>
      </c>
      <c r="BB55" s="67">
        <f t="shared" ref="BB55:BB75" ca="1" si="99">AO55+AS55</f>
        <v>30</v>
      </c>
      <c r="BC55" s="136">
        <f t="shared" ca="1" si="27"/>
        <v>100</v>
      </c>
    </row>
    <row r="56" spans="1:55" ht="21" customHeight="1">
      <c r="A56" s="73">
        <v>2</v>
      </c>
      <c r="B56" s="74" t="s">
        <v>80</v>
      </c>
      <c r="C56" s="75">
        <f t="shared" ca="1" si="0"/>
        <v>255400</v>
      </c>
      <c r="D56" s="76">
        <f t="shared" ca="1" si="97"/>
        <v>255400</v>
      </c>
      <c r="E56" s="77">
        <f ca="1">IFERROR(__xludf.DUMMYFUNCTION("IMPORTRANGE(""https://docs.google.com/spreadsheets/d/1C3CXT74ZlgGe6_JY_1olB1XN4rF0dxEuIIF-xsYjHgg/edit?usp=sharing"",""พรบ!AD60"")"),132000)</f>
        <v>132000</v>
      </c>
      <c r="F56" s="77">
        <f ca="1">IFERROR(__xludf.DUMMYFUNCTION("IMPORTRANGE(""https://docs.google.com/spreadsheets/d/1C3CXT74ZlgGe6_JY_1olB1XN4rF0dxEuIIF-xsYjHgg/edit?usp=sharing"",""พรบ!AE60"")"),123400)</f>
        <v>123400</v>
      </c>
      <c r="G56" s="77">
        <f ca="1">IFERROR(__xludf.DUMMYFUNCTION("IMPORTRANGE(""https://docs.google.com/spreadsheets/d/1Yj_ptqi66GCucihVvJfMjLAmec39IyEx_6qawtMGysU/edit?usp=sharing"",""สบก!BH60"")"),0)</f>
        <v>0</v>
      </c>
      <c r="H56" s="77">
        <f ca="1">IFERROR(__xludf.DUMMYFUNCTION("IMPORTRANGE(""https://docs.google.com/spreadsheets/d/1Yj_ptqi66GCucihVvJfMjLAmec39IyEx_6qawtMGysU/edit?usp=shBJing"",""สบก!BJ60"")"),206425)</f>
        <v>206425</v>
      </c>
      <c r="I56" s="77">
        <f t="shared" ca="1" si="3"/>
        <v>86281</v>
      </c>
      <c r="J56" s="137">
        <f t="shared" ca="1" si="4"/>
        <v>33.782693813625684</v>
      </c>
      <c r="K56" s="77">
        <f ca="1">IFERROR(__xludf.DUMMYFUNCTION("IMPORTRANGE(""https://docs.google.com/spreadsheets/d/1Yj_ptqi66GCucihVvJfMjLAmec39IyEx_6qawtMGysU/edit?usp=sharing"",""สบก!BK60"")"),86281)</f>
        <v>86281</v>
      </c>
      <c r="L56" s="137">
        <f t="shared" ca="1" si="5"/>
        <v>33.782693813625684</v>
      </c>
      <c r="M56" s="137">
        <f t="shared" ca="1" si="6"/>
        <v>41.797747365871381</v>
      </c>
      <c r="N56" s="137">
        <f ca="1">IFERROR(__xludf.DUMMYFUNCTION("IMPORTRANGE(""https://docs.google.com/spreadsheets/d/1Yj_ptqi66GCucihVvJfMjLAmec39IyEx_6qawtMGysU/edit?usp=sharing"",""สบก!BL60"")"),0)</f>
        <v>0</v>
      </c>
      <c r="O56" s="137">
        <f t="shared" ca="1" si="7"/>
        <v>0</v>
      </c>
      <c r="P56" s="77">
        <f ca="1">IFERROR(__xludf.DUMMYFUNCTION("IMPORTRANGE(""https://docs.google.com/spreadsheets/d/1C3CXT74ZlgGe6_JY_1olB1XN4rF0dxEuIIF-xsYjHgg/edit?usp=sharing"",""พรบ!AF60"")"),7500)</f>
        <v>7500</v>
      </c>
      <c r="Q56" s="77">
        <f ca="1">IFERROR(__xludf.DUMMYFUNCTION("IMPORTRANGE(""https://docs.google.com/spreadsheets/d/1C3CXT74ZlgGe6_JY_1olB1XN4rF0dxEuIIF-xsYjHgg/edit?usp=sharing"",""พรบ!AG60"")"),4)</f>
        <v>4</v>
      </c>
      <c r="R56" s="77">
        <f ca="1">IFERROR(__xludf.DUMMYFUNCTION("IMPORTRANGE(""https://docs.google.com/spreadsheets/d/1SX6NBoVAgQJ6U1MVXOaj8PK2l7WJ3RER9xtqwdhxkhw/edit?usp=sharing"",""จันทบุรี!J83"")"),2)</f>
        <v>2</v>
      </c>
      <c r="S56" s="137">
        <f t="shared" ca="1" si="9"/>
        <v>50</v>
      </c>
      <c r="T56" s="77">
        <f t="shared" ca="1" si="98"/>
        <v>150</v>
      </c>
      <c r="U56" s="77">
        <f ca="1">IFERROR(__xludf.DUMMYFUNCTION("IMPORTRANGE(""https://docs.google.com/spreadsheets/d/1SX6NBoVAgQJ6U1MVXOaj8PK2l7WJ3RER9xtqwdhxkhw/edit?usp=sharing"",""จันทบุรี!J85"")"),150)</f>
        <v>150</v>
      </c>
      <c r="V56" s="77">
        <f ca="1">IFERROR(__xludf.DUMMYFUNCTION("IMPORTRANGE(""https://docs.google.com/spreadsheets/d/1SX6NBoVAgQJ6U1MVXOaj8PK2l7WJ3RER9xtqwdhxkhw/edit?usp=sharing"",""จันทบุรี!J86"")"),0)</f>
        <v>0</v>
      </c>
      <c r="W56" s="77">
        <f ca="1">IFERROR(__xludf.DUMMYFUNCTION("IMPORTRANGE(""https://docs.google.com/spreadsheets/d/1C3CXT74ZlgGe6_JY_1olB1XN4rF0dxEuIIF-xsYjHgg/edit?usp=sharing"",""พรบ!AH60"")"),28000)</f>
        <v>28000</v>
      </c>
      <c r="X56" s="77">
        <f ca="1">IFERROR(__xludf.DUMMYFUNCTION("IMPORTRANGE(""https://docs.google.com/spreadsheets/d/1C3CXT74ZlgGe6_JY_1olB1XN4rF0dxEuIIF-xsYjHgg/edit?usp=sharing"",""พรบ!AI60"")"),2)</f>
        <v>2</v>
      </c>
      <c r="Y56" s="77">
        <f ca="1">IFERROR(__xludf.DUMMYFUNCTION("IMPORTRANGE(""https://docs.google.com/spreadsheets/d/1SX6NBoVAgQJ6U1MVXOaj8PK2l7WJ3RER9xtqwdhxkhw/edit?usp=sharing"",""จันทบุรี!J98"")"),2)</f>
        <v>2</v>
      </c>
      <c r="Z56" s="137">
        <f t="shared" ca="1" si="11"/>
        <v>100</v>
      </c>
      <c r="AA56" s="77">
        <f ca="1">IFERROR(__xludf.DUMMYFUNCTION("IMPORTRANGE(""https://docs.google.com/spreadsheets/d/1C3CXT74ZlgGe6_JY_1olB1XN4rF0dxEuIIF-xsYjHgg/edit?usp=sharing"",""พรบ!AJ60"")"),15000)</f>
        <v>15000</v>
      </c>
      <c r="AB56" s="77">
        <f ca="1">IFERROR(__xludf.DUMMYFUNCTION("IMPORTRANGE(""https://docs.google.com/spreadsheets/d/1C3CXT74ZlgGe6_JY_1olB1XN4rF0dxEuIIF-xsYjHgg/edit?usp=sharing"",""พรบ!AK60"")"),1)</f>
        <v>1</v>
      </c>
      <c r="AC56" s="77">
        <f ca="1">IFERROR(__xludf.DUMMYFUNCTION("IMPORTRANGE(""https://docs.google.com/spreadsheets/d/1SX6NBoVAgQJ6U1MVXOaj8PK2l7WJ3RER9xtqwdhxkhw/edit?usp=sharing"",""จันทบุรี!J110"")"),0)</f>
        <v>0</v>
      </c>
      <c r="AD56" s="137">
        <f t="shared" ca="1" si="13"/>
        <v>0</v>
      </c>
      <c r="AE56" s="77">
        <f ca="1">IFERROR(__xludf.DUMMYFUNCTION("IMPORTRANGE(""https://docs.google.com/spreadsheets/d/1C3CXT74ZlgGe6_JY_1olB1XN4rF0dxEuIIF-xsYjHgg/edit?usp=sharing"",""พรบ!AL60"")"),1)</f>
        <v>1</v>
      </c>
      <c r="AF56" s="77">
        <f ca="1">IFERROR(__xludf.DUMMYFUNCTION("IMPORTRANGE(""https://docs.google.com/spreadsheets/d/1SX6NBoVAgQJ6U1MVXOaj8PK2l7WJ3RER9xtqwdhxkhw/edit?usp=sharing"",""จันทบุรี!J111"")"),1)</f>
        <v>1</v>
      </c>
      <c r="AG56" s="137">
        <f t="shared" ca="1" si="15"/>
        <v>100</v>
      </c>
      <c r="AH56" s="77">
        <f ca="1">IFERROR(__xludf.DUMMYFUNCTION("IMPORTRANGE(""https://docs.google.com/spreadsheets/d/1C3CXT74ZlgGe6_JY_1olB1XN4rF0dxEuIIF-xsYjHgg/edit?usp=sharing"",""พรบ!AM60"")"),8100)</f>
        <v>8100</v>
      </c>
      <c r="AI56" s="77">
        <f ca="1">IFERROR(__xludf.DUMMYFUNCTION("IMPORTRANGE(""https://docs.google.com/spreadsheets/d/1C3CXT74ZlgGe6_JY_1olB1XN4rF0dxEuIIF-xsYjHgg/edit?usp=sharing"",""พรบ!AN60"")"),12800)</f>
        <v>12800</v>
      </c>
      <c r="AJ56" s="77">
        <f ca="1">IFERROR(__xludf.DUMMYFUNCTION("IMPORTRANGE(""https://docs.google.com/spreadsheets/d/1SX6NBoVAgQJ6U1MVXOaj8PK2l7WJ3RER9xtqwdhxkhw/edit?usp=sharing"",""จันทบุรี!J124"")"),12800)</f>
        <v>12800</v>
      </c>
      <c r="AK56" s="137">
        <f t="shared" ca="1" si="17"/>
        <v>100</v>
      </c>
      <c r="AL56" s="77">
        <f ca="1">IFERROR(__xludf.DUMMYFUNCTION("IMPORTRANGE(""https://docs.google.com/spreadsheets/d/1SX6NBoVAgQJ6U1MVXOaj8PK2l7WJ3RER9xtqwdhxkhw/edit?usp=sharing"",""จันทบุรี!J125"")"),0)</f>
        <v>0</v>
      </c>
      <c r="AM56" s="137">
        <f t="shared" ca="1" si="18"/>
        <v>0</v>
      </c>
      <c r="AN56" s="77">
        <f ca="1">IFERROR(__xludf.DUMMYFUNCTION("IMPORTRANGE(""https://docs.google.com/spreadsheets/d/1C3CXT74ZlgGe6_JY_1olB1XN4rF0dxEuIIF-xsYjHgg/edit?usp=sharing"",""พรบ!AQ60"")"),0)</f>
        <v>0</v>
      </c>
      <c r="AO56" s="77">
        <f ca="1">IFERROR(__xludf.DUMMYFUNCTION("IMPORTRANGE(""https://docs.google.com/spreadsheets/d/1SX6NBoVAgQJ6U1MVXOaj8PK2l7WJ3RER9xtqwdhxkhw/edit?usp=sharing"",""จันทบุรี!J126"")"),0)</f>
        <v>0</v>
      </c>
      <c r="AP56" s="137">
        <f t="shared" ca="1" si="20"/>
        <v>0</v>
      </c>
      <c r="AQ56" s="77">
        <f ca="1">IFERROR(__xludf.DUMMYFUNCTION("IMPORTRANGE(""https://docs.google.com/spreadsheets/d/1C3CXT74ZlgGe6_JY_1olB1XN4rF0dxEuIIF-xsYjHgg/edit?usp=sharing"",""พรบ!AR60"")"),64800)</f>
        <v>64800</v>
      </c>
      <c r="AR56" s="77">
        <f ca="1">IFERROR(__xludf.DUMMYFUNCTION("IMPORTRANGE(""https://docs.google.com/spreadsheets/d/1C3CXT74ZlgGe6_JY_1olB1XN4rF0dxEuIIF-xsYjHgg/edit?usp=sharing"",""พรบ!AS60"")"),20)</f>
        <v>20</v>
      </c>
      <c r="AS56" s="77">
        <f ca="1">IFERROR(__xludf.DUMMYFUNCTION("IMPORTRANGE(""https://docs.google.com/spreadsheets/d/1SX6NBoVAgQJ6U1MVXOaj8PK2l7WJ3RER9xtqwdhxkhw/edit?usp=sharing"",""จันทบุรี!J138"")"),20)</f>
        <v>20</v>
      </c>
      <c r="AT56" s="137">
        <f t="shared" ca="1" si="22"/>
        <v>100</v>
      </c>
      <c r="AU56" s="77">
        <f ca="1">IFERROR(__xludf.DUMMYFUNCTION("IMPORTRANGE(""https://docs.google.com/spreadsheets/d/1C3CXT74ZlgGe6_JY_1olB1XN4rF0dxEuIIF-xsYjHgg/edit?usp=sharing"",""พรบ!AT60"")"),0)</f>
        <v>0</v>
      </c>
      <c r="AV56" s="77">
        <f ca="1">IFERROR(__xludf.DUMMYFUNCTION("IMPORTRANGE(""https://docs.google.com/spreadsheets/d/1C3CXT74ZlgGe6_JY_1olB1XN4rF0dxEuIIF-xsYjHgg/edit?usp=sharing"",""พรบ!AU60"")"),0)</f>
        <v>0</v>
      </c>
      <c r="AW56" s="77">
        <f ca="1">IFERROR(__xludf.DUMMYFUNCTION("IMPORTRANGE(""https://docs.google.com/spreadsheets/d/1SX6NBoVAgQJ6U1MVXOaj8PK2l7WJ3RER9xtqwdhxkhw/edit?usp=sharing"",""จันทบุรี!J140"")"),0)</f>
        <v>0</v>
      </c>
      <c r="AX56" s="137">
        <f t="shared" ca="1" si="24"/>
        <v>0</v>
      </c>
      <c r="AY56" s="77">
        <f ca="1">IFERROR(__xludf.DUMMYFUNCTION("IMPORTRANGE(""https://docs.google.com/spreadsheets/d/1SX6NBoVAgQJ6U1MVXOaj8PK2l7WJ3RER9xtqwdhxkhw/edit?usp=sharing"",""จันทบุรี!J141"")"),0)</f>
        <v>0</v>
      </c>
      <c r="AZ56" s="137">
        <f t="shared" ca="1" si="25"/>
        <v>0</v>
      </c>
      <c r="BA56" s="77">
        <f t="shared" ca="1" si="26"/>
        <v>20</v>
      </c>
      <c r="BB56" s="77">
        <f t="shared" ca="1" si="99"/>
        <v>20</v>
      </c>
      <c r="BC56" s="137">
        <f t="shared" ca="1" si="27"/>
        <v>100</v>
      </c>
    </row>
    <row r="57" spans="1:55" ht="21" customHeight="1">
      <c r="A57" s="73">
        <v>3</v>
      </c>
      <c r="B57" s="74" t="s">
        <v>81</v>
      </c>
      <c r="C57" s="75">
        <f t="shared" ca="1" si="0"/>
        <v>842400</v>
      </c>
      <c r="D57" s="76">
        <f t="shared" ca="1" si="97"/>
        <v>842400</v>
      </c>
      <c r="E57" s="77">
        <f ca="1">IFERROR(__xludf.DUMMYFUNCTION("IMPORTRANGE(""https://docs.google.com/spreadsheets/d/1C3CXT74ZlgGe6_JY_1olB1XN4rF0dxEuIIF-xsYjHgg/edit?usp=sharing"",""พรบ!AD61"")"),311500)</f>
        <v>311500</v>
      </c>
      <c r="F57" s="77">
        <f ca="1">IFERROR(__xludf.DUMMYFUNCTION("IMPORTRANGE(""https://docs.google.com/spreadsheets/d/1C3CXT74ZlgGe6_JY_1olB1XN4rF0dxEuIIF-xsYjHgg/edit?usp=sharing"",""พรบ!AE61"")"),530900)</f>
        <v>530900</v>
      </c>
      <c r="G57" s="77">
        <f ca="1">IFERROR(__xludf.DUMMYFUNCTION("IMPORTRANGE(""https://docs.google.com/spreadsheets/d/1Yj_ptqi66GCucihVvJfMjLAmec39IyEx_6qawtMGysU/edit?usp=sharing"",""สบก!BH61"")"),0)</f>
        <v>0</v>
      </c>
      <c r="H57" s="77">
        <f ca="1">IFERROR(__xludf.DUMMYFUNCTION("IMPORTRANGE(""https://docs.google.com/spreadsheets/d/1Yj_ptqi66GCucihVvJfMjLAmec39IyEx_6qawtMGysU/edit?usp=shBJing"",""สบก!BJ61"")"),695125)</f>
        <v>695125</v>
      </c>
      <c r="I57" s="77">
        <f t="shared" ca="1" si="3"/>
        <v>428983.86</v>
      </c>
      <c r="J57" s="137">
        <f t="shared" ca="1" si="4"/>
        <v>50.924009971509975</v>
      </c>
      <c r="K57" s="77">
        <f ca="1">IFERROR(__xludf.DUMMYFUNCTION("IMPORTRANGE(""https://docs.google.com/spreadsheets/d/1Yj_ptqi66GCucihVvJfMjLAmec39IyEx_6qawtMGysU/edit?usp=sharing"",""สบก!BK61"")"),428983.86)</f>
        <v>428983.86</v>
      </c>
      <c r="L57" s="137">
        <f t="shared" ca="1" si="5"/>
        <v>50.924009971509975</v>
      </c>
      <c r="M57" s="137">
        <f t="shared" ca="1" si="6"/>
        <v>61.713196907031111</v>
      </c>
      <c r="N57" s="137">
        <f ca="1">IFERROR(__xludf.DUMMYFUNCTION("IMPORTRANGE(""https://docs.google.com/spreadsheets/d/1Yj_ptqi66GCucihVvJfMjLAmec39IyEx_6qawtMGysU/edit?usp=sharing"",""สบก!BL61"")"),0)</f>
        <v>0</v>
      </c>
      <c r="O57" s="137">
        <f t="shared" ca="1" si="7"/>
        <v>0</v>
      </c>
      <c r="P57" s="77">
        <f ca="1">IFERROR(__xludf.DUMMYFUNCTION("IMPORTRANGE(""https://docs.google.com/spreadsheets/d/1C3CXT74ZlgGe6_JY_1olB1XN4rF0dxEuIIF-xsYjHgg/edit?usp=sharing"",""พรบ!AF61"")"),7500)</f>
        <v>7500</v>
      </c>
      <c r="Q57" s="77">
        <f ca="1">IFERROR(__xludf.DUMMYFUNCTION("IMPORTRANGE(""https://docs.google.com/spreadsheets/d/1C3CXT74ZlgGe6_JY_1olB1XN4rF0dxEuIIF-xsYjHgg/edit?usp=sharing"",""พรบ!AG61"")"),4)</f>
        <v>4</v>
      </c>
      <c r="R57" s="77">
        <f ca="1">IFERROR(__xludf.DUMMYFUNCTION("IMPORTRANGE(""https://docs.google.com/spreadsheets/d/1SX6NBoVAgQJ6U1MVXOaj8PK2l7WJ3RER9xtqwdhxkhw/edit?usp=sharing"",""ฉะเชิงเทรา!J83"")"),1)</f>
        <v>1</v>
      </c>
      <c r="S57" s="137">
        <f t="shared" ca="1" si="9"/>
        <v>25</v>
      </c>
      <c r="T57" s="77">
        <f t="shared" ca="1" si="98"/>
        <v>51</v>
      </c>
      <c r="U57" s="77">
        <f ca="1">IFERROR(__xludf.DUMMYFUNCTION("IMPORTRANGE(""https://docs.google.com/spreadsheets/d/1SX6NBoVAgQJ6U1MVXOaj8PK2l7WJ3RER9xtqwdhxkhw/edit?usp=sharing"",""ฉะเชิงเทรา!J85"")"),51)</f>
        <v>51</v>
      </c>
      <c r="V57" s="77">
        <f ca="1">IFERROR(__xludf.DUMMYFUNCTION("IMPORTRANGE(""https://docs.google.com/spreadsheets/d/1SX6NBoVAgQJ6U1MVXOaj8PK2l7WJ3RER9xtqwdhxkhw/edit?usp=sharing"",""ฉะเชิงเทรา!J86"")"),0)</f>
        <v>0</v>
      </c>
      <c r="W57" s="77">
        <f ca="1">IFERROR(__xludf.DUMMYFUNCTION("IMPORTRANGE(""https://docs.google.com/spreadsheets/d/1C3CXT74ZlgGe6_JY_1olB1XN4rF0dxEuIIF-xsYjHgg/edit?usp=sharing"",""พรบ!AH61"")"),56000)</f>
        <v>56000</v>
      </c>
      <c r="X57" s="77">
        <f ca="1">IFERROR(__xludf.DUMMYFUNCTION("IMPORTRANGE(""https://docs.google.com/spreadsheets/d/1C3CXT74ZlgGe6_JY_1olB1XN4rF0dxEuIIF-xsYjHgg/edit?usp=sharing"",""พรบ!AI61"")"),4)</f>
        <v>4</v>
      </c>
      <c r="Y57" s="77">
        <f ca="1">IFERROR(__xludf.DUMMYFUNCTION("IMPORTRANGE(""https://docs.google.com/spreadsheets/d/1SX6NBoVAgQJ6U1MVXOaj8PK2l7WJ3RER9xtqwdhxkhw/edit?usp=sharing"",""ฉะเชิงเทรา!J98"")"),4)</f>
        <v>4</v>
      </c>
      <c r="Z57" s="137">
        <f t="shared" ca="1" si="11"/>
        <v>100</v>
      </c>
      <c r="AA57" s="77">
        <f ca="1">IFERROR(__xludf.DUMMYFUNCTION("IMPORTRANGE(""https://docs.google.com/spreadsheets/d/1C3CXT74ZlgGe6_JY_1olB1XN4rF0dxEuIIF-xsYjHgg/edit?usp=sharing"",""พรบ!AJ61"")"),45000)</f>
        <v>45000</v>
      </c>
      <c r="AB57" s="77">
        <f ca="1">IFERROR(__xludf.DUMMYFUNCTION("IMPORTRANGE(""https://docs.google.com/spreadsheets/d/1C3CXT74ZlgGe6_JY_1olB1XN4rF0dxEuIIF-xsYjHgg/edit?usp=sharing"",""พรบ!AK61"")"),3)</f>
        <v>3</v>
      </c>
      <c r="AC57" s="77">
        <f ca="1">IFERROR(__xludf.DUMMYFUNCTION("IMPORTRANGE(""https://docs.google.com/spreadsheets/d/1SX6NBoVAgQJ6U1MVXOaj8PK2l7WJ3RER9xtqwdhxkhw/edit?usp=sharing"",""ฉะเชิงเทรา!J110"")"),0)</f>
        <v>0</v>
      </c>
      <c r="AD57" s="137">
        <f t="shared" ca="1" si="13"/>
        <v>0</v>
      </c>
      <c r="AE57" s="77">
        <f ca="1">IFERROR(__xludf.DUMMYFUNCTION("IMPORTRANGE(""https://docs.google.com/spreadsheets/d/1C3CXT74ZlgGe6_JY_1olB1XN4rF0dxEuIIF-xsYjHgg/edit?usp=sharing"",""พรบ!AL61"")"),3)</f>
        <v>3</v>
      </c>
      <c r="AF57" s="77">
        <f ca="1">IFERROR(__xludf.DUMMYFUNCTION("IMPORTRANGE(""https://docs.google.com/spreadsheets/d/1SX6NBoVAgQJ6U1MVXOaj8PK2l7WJ3RER9xtqwdhxkhw/edit?usp=sharing"",""ฉะเชิงเทรา!J111"")"),3)</f>
        <v>3</v>
      </c>
      <c r="AG57" s="137">
        <f t="shared" ca="1" si="15"/>
        <v>100</v>
      </c>
      <c r="AH57" s="77">
        <f ca="1">IFERROR(__xludf.DUMMYFUNCTION("IMPORTRANGE(""https://docs.google.com/spreadsheets/d/1C3CXT74ZlgGe6_JY_1olB1XN4rF0dxEuIIF-xsYjHgg/edit?usp=sharing"",""พรบ!AM61"")"),31000)</f>
        <v>31000</v>
      </c>
      <c r="AI57" s="77">
        <f ca="1">IFERROR(__xludf.DUMMYFUNCTION("IMPORTRANGE(""https://docs.google.com/spreadsheets/d/1C3CXT74ZlgGe6_JY_1olB1XN4rF0dxEuIIF-xsYjHgg/edit?usp=sharing"",""พรบ!AN61"")"),40000)</f>
        <v>40000</v>
      </c>
      <c r="AJ57" s="77">
        <f ca="1">IFERROR(__xludf.DUMMYFUNCTION("IMPORTRANGE(""https://docs.google.com/spreadsheets/d/1SX6NBoVAgQJ6U1MVXOaj8PK2l7WJ3RER9xtqwdhxkhw/edit?usp=sharing"",""ฉะเชิงเทรา!J124"")"),40000)</f>
        <v>40000</v>
      </c>
      <c r="AK57" s="137">
        <f t="shared" ca="1" si="17"/>
        <v>100</v>
      </c>
      <c r="AL57" s="77">
        <f ca="1">IFERROR(__xludf.DUMMYFUNCTION("IMPORTRANGE(""https://docs.google.com/spreadsheets/d/1SX6NBoVAgQJ6U1MVXOaj8PK2l7WJ3RER9xtqwdhxkhw/edit?usp=sharing"",""ฉะเชิงเทรา!J125"")"),0)</f>
        <v>0</v>
      </c>
      <c r="AM57" s="137">
        <f t="shared" ca="1" si="18"/>
        <v>0</v>
      </c>
      <c r="AN57" s="77">
        <f ca="1">IFERROR(__xludf.DUMMYFUNCTION("IMPORTRANGE(""https://docs.google.com/spreadsheets/d/1C3CXT74ZlgGe6_JY_1olB1XN4rF0dxEuIIF-xsYjHgg/edit?usp=sharing"",""พรบ!AQ61"")"),15)</f>
        <v>15</v>
      </c>
      <c r="AO57" s="77">
        <f ca="1">IFERROR(__xludf.DUMMYFUNCTION("IMPORTRANGE(""https://docs.google.com/spreadsheets/d/1SX6NBoVAgQJ6U1MVXOaj8PK2l7WJ3RER9xtqwdhxkhw/edit?usp=sharing"",""ฉะเชิงเทรา!J126"")"),15)</f>
        <v>15</v>
      </c>
      <c r="AP57" s="137">
        <f t="shared" ca="1" si="20"/>
        <v>100</v>
      </c>
      <c r="AQ57" s="77">
        <f ca="1">IFERROR(__xludf.DUMMYFUNCTION("IMPORTRANGE(""https://docs.google.com/spreadsheets/d/1C3CXT74ZlgGe6_JY_1olB1XN4rF0dxEuIIF-xsYjHgg/edit?usp=sharing"",""พรบ!AR61"")"),391400)</f>
        <v>391400</v>
      </c>
      <c r="AR57" s="77">
        <f ca="1">IFERROR(__xludf.DUMMYFUNCTION("IMPORTRANGE(""https://docs.google.com/spreadsheets/d/1C3CXT74ZlgGe6_JY_1olB1XN4rF0dxEuIIF-xsYjHgg/edit?usp=sharing"",""พรบ!AS61"")"),80)</f>
        <v>80</v>
      </c>
      <c r="AS57" s="77">
        <f ca="1">IFERROR(__xludf.DUMMYFUNCTION("IMPORTRANGE(""https://docs.google.com/spreadsheets/d/1SX6NBoVAgQJ6U1MVXOaj8PK2l7WJ3RER9xtqwdhxkhw/edit?usp=sharing"",""ฉะเชิงเทรา!J138"")"),80)</f>
        <v>80</v>
      </c>
      <c r="AT57" s="137">
        <f t="shared" ca="1" si="22"/>
        <v>100</v>
      </c>
      <c r="AU57" s="149">
        <f ca="1">IFERROR(__xludf.DUMMYFUNCTION("IMPORTRANGE(""https://docs.google.com/spreadsheets/d/1C3CXT74ZlgGe6_JY_1olB1XN4rF0dxEuIIF-xsYjHgg/edit?usp=sharing"",""พรบ!AT61"")"),40)</f>
        <v>40</v>
      </c>
      <c r="AV57" s="149">
        <f ca="1">IFERROR(__xludf.DUMMYFUNCTION("IMPORTRANGE(""https://docs.google.com/spreadsheets/d/1C3CXT74ZlgGe6_JY_1olB1XN4rF0dxEuIIF-xsYjHgg/edit?usp=sharing"",""พรบ!AU61"")"),1)</f>
        <v>1</v>
      </c>
      <c r="AW57" s="77">
        <f ca="1">IFERROR(__xludf.DUMMYFUNCTION("IMPORTRANGE(""https://docs.google.com/spreadsheets/d/1SX6NBoVAgQJ6U1MVXOaj8PK2l7WJ3RER9xtqwdhxkhw/edit?usp=sharing"",""ฉะเชิงเทรา!J140"")"),0)</f>
        <v>0</v>
      </c>
      <c r="AX57" s="137">
        <f t="shared" ca="1" si="24"/>
        <v>0</v>
      </c>
      <c r="AY57" s="77">
        <f ca="1">IFERROR(__xludf.DUMMYFUNCTION("IMPORTRANGE(""https://docs.google.com/spreadsheets/d/1SX6NBoVAgQJ6U1MVXOaj8PK2l7WJ3RER9xtqwdhxkhw/edit?usp=sharing"",""ฉะเชิงเทรา!J141"")"),0)</f>
        <v>0</v>
      </c>
      <c r="AZ57" s="137">
        <f t="shared" ca="1" si="25"/>
        <v>0</v>
      </c>
      <c r="BA57" s="77">
        <f t="shared" ca="1" si="26"/>
        <v>95</v>
      </c>
      <c r="BB57" s="77">
        <f t="shared" ca="1" si="99"/>
        <v>95</v>
      </c>
      <c r="BC57" s="137">
        <f t="shared" ca="1" si="27"/>
        <v>100</v>
      </c>
    </row>
    <row r="58" spans="1:55" ht="21" customHeight="1">
      <c r="A58" s="73">
        <v>4</v>
      </c>
      <c r="B58" s="74" t="s">
        <v>82</v>
      </c>
      <c r="C58" s="75">
        <f t="shared" ca="1" si="0"/>
        <v>323600</v>
      </c>
      <c r="D58" s="160">
        <f t="shared" ca="1" si="97"/>
        <v>323600</v>
      </c>
      <c r="E58" s="77">
        <f ca="1">IFERROR(__xludf.DUMMYFUNCTION("IMPORTRANGE(""https://docs.google.com/spreadsheets/d/1C3CXT74ZlgGe6_JY_1olB1XN4rF0dxEuIIF-xsYjHgg/edit?usp=sharing"",""พรบ!AD62"")"),132000)</f>
        <v>132000</v>
      </c>
      <c r="F58" s="77">
        <f ca="1">IFERROR(__xludf.DUMMYFUNCTION("IMPORTRANGE(""https://docs.google.com/spreadsheets/d/1C3CXT74ZlgGe6_JY_1olB1XN4rF0dxEuIIF-xsYjHgg/edit?usp=sharing"",""พรบ!AE62"")"),191600)</f>
        <v>191600</v>
      </c>
      <c r="G58" s="77">
        <f ca="1">IFERROR(__xludf.DUMMYFUNCTION("IMPORTRANGE(""https://docs.google.com/spreadsheets/d/1Yj_ptqi66GCucihVvJfMjLAmec39IyEx_6qawtMGysU/edit?usp=sharing"",""สบก!BH62"")"),0)</f>
        <v>0</v>
      </c>
      <c r="H58" s="77">
        <f ca="1">IFERROR(__xludf.DUMMYFUNCTION("IMPORTRANGE(""https://docs.google.com/spreadsheets/d/1Yj_ptqi66GCucihVvJfMjLAmec39IyEx_6qawtMGysU/edit?usp=shBJing"",""สบก!BJ62"")"),275825)</f>
        <v>275825</v>
      </c>
      <c r="I58" s="77">
        <f t="shared" ca="1" si="3"/>
        <v>140578.48000000001</v>
      </c>
      <c r="J58" s="137">
        <f t="shared" ca="1" si="4"/>
        <v>43.442051915945619</v>
      </c>
      <c r="K58" s="77">
        <f ca="1">IFERROR(__xludf.DUMMYFUNCTION("IMPORTRANGE(""https://docs.google.com/spreadsheets/d/1Yj_ptqi66GCucihVvJfMjLAmec39IyEx_6qawtMGysU/edit?usp=sharing"",""สบก!BK62"")"),140578.48)</f>
        <v>140578.48000000001</v>
      </c>
      <c r="L58" s="137">
        <f t="shared" ca="1" si="5"/>
        <v>43.442051915945619</v>
      </c>
      <c r="M58" s="137">
        <f t="shared" ca="1" si="6"/>
        <v>50.966547629837763</v>
      </c>
      <c r="N58" s="137">
        <f ca="1">IFERROR(__xludf.DUMMYFUNCTION("IMPORTRANGE(""https://docs.google.com/spreadsheets/d/1Yj_ptqi66GCucihVvJfMjLAmec39IyEx_6qawtMGysU/edit?usp=sharing"",""สบก!BL62"")"),0)</f>
        <v>0</v>
      </c>
      <c r="O58" s="137">
        <f t="shared" ca="1" si="7"/>
        <v>0</v>
      </c>
      <c r="P58" s="77">
        <f ca="1">IFERROR(__xludf.DUMMYFUNCTION("IMPORTRANGE(""https://docs.google.com/spreadsheets/d/1C3CXT74ZlgGe6_JY_1olB1XN4rF0dxEuIIF-xsYjHgg/edit?usp=sharing"",""พรบ!AF62"")"),7500)</f>
        <v>7500</v>
      </c>
      <c r="Q58" s="77">
        <f ca="1">IFERROR(__xludf.DUMMYFUNCTION("IMPORTRANGE(""https://docs.google.com/spreadsheets/d/1C3CXT74ZlgGe6_JY_1olB1XN4rF0dxEuIIF-xsYjHgg/edit?usp=sharing"",""พรบ!AG62"")"),4)</f>
        <v>4</v>
      </c>
      <c r="R58" s="77">
        <f ca="1">IFERROR(__xludf.DUMMYFUNCTION("IMPORTRANGE(""https://docs.google.com/spreadsheets/d/1SX6NBoVAgQJ6U1MVXOaj8PK2l7WJ3RER9xtqwdhxkhw/edit?usp=sharing"",""ชลบุรี!J83"")"),2)</f>
        <v>2</v>
      </c>
      <c r="S58" s="137">
        <f t="shared" ca="1" si="9"/>
        <v>50</v>
      </c>
      <c r="T58" s="77">
        <f t="shared" ca="1" si="98"/>
        <v>0</v>
      </c>
      <c r="U58" s="77">
        <f ca="1">IFERROR(__xludf.DUMMYFUNCTION("IMPORTRANGE(""https://docs.google.com/spreadsheets/d/1SX6NBoVAgQJ6U1MVXOaj8PK2l7WJ3RER9xtqwdhxkhw/edit?usp=sharing"",""ชลบุรี!J85"")"),0)</f>
        <v>0</v>
      </c>
      <c r="V58" s="77">
        <f ca="1">IFERROR(__xludf.DUMMYFUNCTION("IMPORTRANGE(""https://docs.google.com/spreadsheets/d/1SX6NBoVAgQJ6U1MVXOaj8PK2l7WJ3RER9xtqwdhxkhw/edit?usp=sharing"",""ชลบุรี!J86"")"),0)</f>
        <v>0</v>
      </c>
      <c r="W58" s="77">
        <f ca="1">IFERROR(__xludf.DUMMYFUNCTION("IMPORTRANGE(""https://docs.google.com/spreadsheets/d/1C3CXT74ZlgGe6_JY_1olB1XN4rF0dxEuIIF-xsYjHgg/edit?usp=sharing"",""พรบ!AH62"")"),56000)</f>
        <v>56000</v>
      </c>
      <c r="X58" s="77">
        <f ca="1">IFERROR(__xludf.DUMMYFUNCTION("IMPORTRANGE(""https://docs.google.com/spreadsheets/d/1C3CXT74ZlgGe6_JY_1olB1XN4rF0dxEuIIF-xsYjHgg/edit?usp=sharing"",""พรบ!AI62"")"),4)</f>
        <v>4</v>
      </c>
      <c r="Y58" s="77">
        <f ca="1">IFERROR(__xludf.DUMMYFUNCTION("IMPORTRANGE(""https://docs.google.com/spreadsheets/d/1SX6NBoVAgQJ6U1MVXOaj8PK2l7WJ3RER9xtqwdhxkhw/edit?usp=sharing"",""ชลบุรี!J98"")"),1)</f>
        <v>1</v>
      </c>
      <c r="Z58" s="137">
        <f t="shared" ca="1" si="11"/>
        <v>25</v>
      </c>
      <c r="AA58" s="77">
        <f ca="1">IFERROR(__xludf.DUMMYFUNCTION("IMPORTRANGE(""https://docs.google.com/spreadsheets/d/1C3CXT74ZlgGe6_JY_1olB1XN4rF0dxEuIIF-xsYjHgg/edit?usp=sharing"",""พรบ!AJ62"")"),0)</f>
        <v>0</v>
      </c>
      <c r="AB58" s="77">
        <f ca="1">IFERROR(__xludf.DUMMYFUNCTION("IMPORTRANGE(""https://docs.google.com/spreadsheets/d/1C3CXT74ZlgGe6_JY_1olB1XN4rF0dxEuIIF-xsYjHgg/edit?usp=sharing"",""พรบ!AK62"")"),0)</f>
        <v>0</v>
      </c>
      <c r="AC58" s="77">
        <f ca="1">IFERROR(__xludf.DUMMYFUNCTION("IMPORTRANGE(""https://docs.google.com/spreadsheets/d/1SX6NBoVAgQJ6U1MVXOaj8PK2l7WJ3RER9xtqwdhxkhw/edit?usp=sharing"",""ชลบุรี!J110"")"),0)</f>
        <v>0</v>
      </c>
      <c r="AD58" s="137">
        <f t="shared" ca="1" si="13"/>
        <v>0</v>
      </c>
      <c r="AE58" s="77">
        <f ca="1">IFERROR(__xludf.DUMMYFUNCTION("IMPORTRANGE(""https://docs.google.com/spreadsheets/d/1C3CXT74ZlgGe6_JY_1olB1XN4rF0dxEuIIF-xsYjHgg/edit?usp=sharing"",""พรบ!AL62"")"),0)</f>
        <v>0</v>
      </c>
      <c r="AF58" s="77">
        <f ca="1">IFERROR(__xludf.DUMMYFUNCTION("IMPORTRANGE(""https://docs.google.com/spreadsheets/d/1SX6NBoVAgQJ6U1MVXOaj8PK2l7WJ3RER9xtqwdhxkhw/edit?usp=sharing"",""ชลบุรี!J111"")"),0)</f>
        <v>0</v>
      </c>
      <c r="AG58" s="137">
        <f t="shared" ca="1" si="15"/>
        <v>0</v>
      </c>
      <c r="AH58" s="77">
        <f ca="1">IFERROR(__xludf.DUMMYFUNCTION("IMPORTRANGE(""https://docs.google.com/spreadsheets/d/1C3CXT74ZlgGe6_JY_1olB1XN4rF0dxEuIIF-xsYjHgg/edit?usp=sharing"",""พรบ!AM62"")"),21900)</f>
        <v>21900</v>
      </c>
      <c r="AI58" s="77">
        <f ca="1">IFERROR(__xludf.DUMMYFUNCTION("IMPORTRANGE(""https://docs.google.com/spreadsheets/d/1C3CXT74ZlgGe6_JY_1olB1XN4rF0dxEuIIF-xsYjHgg/edit?usp=sharing"",""พรบ!AN62"")"),5000)</f>
        <v>5000</v>
      </c>
      <c r="AJ58" s="77">
        <f ca="1">IFERROR(__xludf.DUMMYFUNCTION("IMPORTRANGE(""https://docs.google.com/spreadsheets/d/1SX6NBoVAgQJ6U1MVXOaj8PK2l7WJ3RER9xtqwdhxkhw/edit?usp=sharing"",""ชลบุรี!J124"")"),0)</f>
        <v>0</v>
      </c>
      <c r="AK58" s="137">
        <f t="shared" ca="1" si="17"/>
        <v>0</v>
      </c>
      <c r="AL58" s="77">
        <f ca="1">IFERROR(__xludf.DUMMYFUNCTION("IMPORTRANGE(""https://docs.google.com/spreadsheets/d/1SX6NBoVAgQJ6U1MVXOaj8PK2l7WJ3RER9xtqwdhxkhw/edit?usp=sharing"",""ชลบุรี!J125"")"),0)</f>
        <v>0</v>
      </c>
      <c r="AM58" s="137">
        <f t="shared" ca="1" si="18"/>
        <v>0</v>
      </c>
      <c r="AN58" s="77">
        <f ca="1">IFERROR(__xludf.DUMMYFUNCTION("IMPORTRANGE(""https://docs.google.com/spreadsheets/d/1C3CXT74ZlgGe6_JY_1olB1XN4rF0dxEuIIF-xsYjHgg/edit?usp=sharing"",""พรบ!AQ62"")"),15)</f>
        <v>15</v>
      </c>
      <c r="AO58" s="77">
        <f ca="1">IFERROR(__xludf.DUMMYFUNCTION("IMPORTRANGE(""https://docs.google.com/spreadsheets/d/1SX6NBoVAgQJ6U1MVXOaj8PK2l7WJ3RER9xtqwdhxkhw/edit?usp=sharing"",""ชลบุรี!J126"")"),15)</f>
        <v>15</v>
      </c>
      <c r="AP58" s="137">
        <f t="shared" ca="1" si="20"/>
        <v>100</v>
      </c>
      <c r="AQ58" s="77">
        <f ca="1">IFERROR(__xludf.DUMMYFUNCTION("IMPORTRANGE(""https://docs.google.com/spreadsheets/d/1C3CXT74ZlgGe6_JY_1olB1XN4rF0dxEuIIF-xsYjHgg/edit?usp=sharing"",""พรบ!AR62"")"),106200)</f>
        <v>106200</v>
      </c>
      <c r="AR58" s="77">
        <f ca="1">IFERROR(__xludf.DUMMYFUNCTION("IMPORTRANGE(""https://docs.google.com/spreadsheets/d/1C3CXT74ZlgGe6_JY_1olB1XN4rF0dxEuIIF-xsYjHgg/edit?usp=sharing"",""พรบ!AS62"")"),40)</f>
        <v>40</v>
      </c>
      <c r="AS58" s="77">
        <f ca="1">IFERROR(__xludf.DUMMYFUNCTION("IMPORTRANGE(""https://docs.google.com/spreadsheets/d/1SX6NBoVAgQJ6U1MVXOaj8PK2l7WJ3RER9xtqwdhxkhw/edit?usp=sharing"",""ชลบุรี!J138"")"),40)</f>
        <v>40</v>
      </c>
      <c r="AT58" s="137">
        <f t="shared" ca="1" si="22"/>
        <v>100</v>
      </c>
      <c r="AU58" s="77">
        <f ca="1">IFERROR(__xludf.DUMMYFUNCTION("IMPORTRANGE(""https://docs.google.com/spreadsheets/d/1C3CXT74ZlgGe6_JY_1olB1XN4rF0dxEuIIF-xsYjHgg/edit?usp=sharing"",""พรบ!AT62"")"),40)</f>
        <v>40</v>
      </c>
      <c r="AV58" s="77">
        <f ca="1">IFERROR(__xludf.DUMMYFUNCTION("IMPORTRANGE(""https://docs.google.com/spreadsheets/d/1C3CXT74ZlgGe6_JY_1olB1XN4rF0dxEuIIF-xsYjHgg/edit?usp=sharing"",""พรบ!AU62"")"),0)</f>
        <v>0</v>
      </c>
      <c r="AW58" s="77">
        <f ca="1">IFERROR(__xludf.DUMMYFUNCTION("IMPORTRANGE(""https://docs.google.com/spreadsheets/d/1SX6NBoVAgQJ6U1MVXOaj8PK2l7WJ3RER9xtqwdhxkhw/edit?usp=sharing"",""ชลบุรี!J140"")"),0)</f>
        <v>0</v>
      </c>
      <c r="AX58" s="137">
        <f t="shared" ca="1" si="24"/>
        <v>0</v>
      </c>
      <c r="AY58" s="77">
        <f ca="1">IFERROR(__xludf.DUMMYFUNCTION("IMPORTRANGE(""https://docs.google.com/spreadsheets/d/1SX6NBoVAgQJ6U1MVXOaj8PK2l7WJ3RER9xtqwdhxkhw/edit?usp=sharing"",""ชลบุรี!J141"")"),0)</f>
        <v>0</v>
      </c>
      <c r="AZ58" s="137">
        <f t="shared" ca="1" si="25"/>
        <v>0</v>
      </c>
      <c r="BA58" s="77">
        <f t="shared" ca="1" si="26"/>
        <v>55</v>
      </c>
      <c r="BB58" s="77">
        <f t="shared" ca="1" si="99"/>
        <v>55</v>
      </c>
      <c r="BC58" s="137">
        <f t="shared" ca="1" si="27"/>
        <v>100</v>
      </c>
    </row>
    <row r="59" spans="1:55" ht="21" customHeight="1">
      <c r="A59" s="73">
        <v>5</v>
      </c>
      <c r="B59" s="74" t="s">
        <v>83</v>
      </c>
      <c r="C59" s="75">
        <f t="shared" ca="1" si="0"/>
        <v>264400</v>
      </c>
      <c r="D59" s="76">
        <f t="shared" ca="1" si="97"/>
        <v>264400</v>
      </c>
      <c r="E59" s="77">
        <f ca="1">IFERROR(__xludf.DUMMYFUNCTION("IMPORTRANGE(""https://docs.google.com/spreadsheets/d/1C3CXT74ZlgGe6_JY_1olB1XN4rF0dxEuIIF-xsYjHgg/edit?usp=sharing"",""พรบ!AD63"")"),219800)</f>
        <v>219800</v>
      </c>
      <c r="F59" s="77">
        <f ca="1">IFERROR(__xludf.DUMMYFUNCTION("IMPORTRANGE(""https://docs.google.com/spreadsheets/d/1C3CXT74ZlgGe6_JY_1olB1XN4rF0dxEuIIF-xsYjHgg/edit?usp=sharing"",""พรบ!AE63"")"),44600)</f>
        <v>44600</v>
      </c>
      <c r="G59" s="77">
        <f ca="1">IFERROR(__xludf.DUMMYFUNCTION("IMPORTRANGE(""https://docs.google.com/spreadsheets/d/1Yj_ptqi66GCucihVvJfMjLAmec39IyEx_6qawtMGysU/edit?usp=sharing"",""สบก!BH63"")"),0)</f>
        <v>0</v>
      </c>
      <c r="H59" s="77">
        <f ca="1">IFERROR(__xludf.DUMMYFUNCTION("IMPORTRANGE(""https://docs.google.com/spreadsheets/d/1Yj_ptqi66GCucihVvJfMjLAmec39IyEx_6qawtMGysU/edit?usp=shBJing"",""สบก!BJ63"")"),207425)</f>
        <v>207425</v>
      </c>
      <c r="I59" s="77">
        <f t="shared" ca="1" si="3"/>
        <v>103636.59</v>
      </c>
      <c r="J59" s="137">
        <f t="shared" ca="1" si="4"/>
        <v>39.196894856278369</v>
      </c>
      <c r="K59" s="77">
        <f ca="1">IFERROR(__xludf.DUMMYFUNCTION("IMPORTRANGE(""https://docs.google.com/spreadsheets/d/1Yj_ptqi66GCucihVvJfMjLAmec39IyEx_6qawtMGysU/edit?usp=sharing"",""สบก!BK63"")"),103636.59)</f>
        <v>103636.59</v>
      </c>
      <c r="L59" s="137">
        <f t="shared" ca="1" si="5"/>
        <v>39.196894856278369</v>
      </c>
      <c r="M59" s="137">
        <f t="shared" ca="1" si="6"/>
        <v>49.963403639869831</v>
      </c>
      <c r="N59" s="137">
        <f ca="1">IFERROR(__xludf.DUMMYFUNCTION("IMPORTRANGE(""https://docs.google.com/spreadsheets/d/1Yj_ptqi66GCucihVvJfMjLAmec39IyEx_6qawtMGysU/edit?usp=sharing"",""สบก!BL63"")"),0)</f>
        <v>0</v>
      </c>
      <c r="O59" s="137">
        <f t="shared" ca="1" si="7"/>
        <v>0</v>
      </c>
      <c r="P59" s="77">
        <f ca="1">IFERROR(__xludf.DUMMYFUNCTION("IMPORTRANGE(""https://docs.google.com/spreadsheets/d/1C3CXT74ZlgGe6_JY_1olB1XN4rF0dxEuIIF-xsYjHgg/edit?usp=sharing"",""พรบ!AF63"")"),7500)</f>
        <v>7500</v>
      </c>
      <c r="Q59" s="77">
        <f ca="1">IFERROR(__xludf.DUMMYFUNCTION("IMPORTRANGE(""https://docs.google.com/spreadsheets/d/1C3CXT74ZlgGe6_JY_1olB1XN4rF0dxEuIIF-xsYjHgg/edit?usp=sharing"",""พรบ!AG63"")"),4)</f>
        <v>4</v>
      </c>
      <c r="R59" s="77">
        <f ca="1">IFERROR(__xludf.DUMMYFUNCTION("IMPORTRANGE(""https://docs.google.com/spreadsheets/d/1SX6NBoVAgQJ6U1MVXOaj8PK2l7WJ3RER9xtqwdhxkhw/edit?usp=sharing"",""ชัยนาท!J83"")"),2)</f>
        <v>2</v>
      </c>
      <c r="S59" s="137">
        <f t="shared" ca="1" si="9"/>
        <v>50</v>
      </c>
      <c r="T59" s="77">
        <f t="shared" ca="1" si="98"/>
        <v>85</v>
      </c>
      <c r="U59" s="77">
        <f ca="1">IFERROR(__xludf.DUMMYFUNCTION("IMPORTRANGE(""https://docs.google.com/spreadsheets/d/1SX6NBoVAgQJ6U1MVXOaj8PK2l7WJ3RER9xtqwdhxkhw/edit?usp=sharing"",""ชัยนาท!J85"")"),85)</f>
        <v>85</v>
      </c>
      <c r="V59" s="77">
        <f ca="1">IFERROR(__xludf.DUMMYFUNCTION("IMPORTRANGE(""https://docs.google.com/spreadsheets/d/1SX6NBoVAgQJ6U1MVXOaj8PK2l7WJ3RER9xtqwdhxkhw/edit?usp=sharing"",""ชัยนาท!J86"")"),0)</f>
        <v>0</v>
      </c>
      <c r="W59" s="77">
        <f ca="1">IFERROR(__xludf.DUMMYFUNCTION("IMPORTRANGE(""https://docs.google.com/spreadsheets/d/1C3CXT74ZlgGe6_JY_1olB1XN4rF0dxEuIIF-xsYjHgg/edit?usp=sharing"",""พรบ!AH63"")"),14000)</f>
        <v>14000</v>
      </c>
      <c r="X59" s="77">
        <f ca="1">IFERROR(__xludf.DUMMYFUNCTION("IMPORTRANGE(""https://docs.google.com/spreadsheets/d/1C3CXT74ZlgGe6_JY_1olB1XN4rF0dxEuIIF-xsYjHgg/edit?usp=sharing"",""พรบ!AI63"")"),1)</f>
        <v>1</v>
      </c>
      <c r="Y59" s="77">
        <f ca="1">IFERROR(__xludf.DUMMYFUNCTION("IMPORTRANGE(""https://docs.google.com/spreadsheets/d/1SX6NBoVAgQJ6U1MVXOaj8PK2l7WJ3RER9xtqwdhxkhw/edit?usp=sharing"",""ชัยนาท!J98"")"),1)</f>
        <v>1</v>
      </c>
      <c r="Z59" s="137">
        <f t="shared" ca="1" si="11"/>
        <v>100</v>
      </c>
      <c r="AA59" s="77">
        <f ca="1">IFERROR(__xludf.DUMMYFUNCTION("IMPORTRANGE(""https://docs.google.com/spreadsheets/d/1C3CXT74ZlgGe6_JY_1olB1XN4rF0dxEuIIF-xsYjHgg/edit?usp=sharing"",""พรบ!AJ63"")"),0)</f>
        <v>0</v>
      </c>
      <c r="AB59" s="77">
        <f ca="1">IFERROR(__xludf.DUMMYFUNCTION("IMPORTRANGE(""https://docs.google.com/spreadsheets/d/1C3CXT74ZlgGe6_JY_1olB1XN4rF0dxEuIIF-xsYjHgg/edit?usp=sharing"",""พรบ!AK63"")"),0)</f>
        <v>0</v>
      </c>
      <c r="AC59" s="77">
        <f ca="1">IFERROR(__xludf.DUMMYFUNCTION("IMPORTRANGE(""https://docs.google.com/spreadsheets/d/1SX6NBoVAgQJ6U1MVXOaj8PK2l7WJ3RER9xtqwdhxkhw/edit?usp=sharing"",""ชัยนาท!J110"")"),0)</f>
        <v>0</v>
      </c>
      <c r="AD59" s="137">
        <f t="shared" ca="1" si="13"/>
        <v>0</v>
      </c>
      <c r="AE59" s="77">
        <f ca="1">IFERROR(__xludf.DUMMYFUNCTION("IMPORTRANGE(""https://docs.google.com/spreadsheets/d/1C3CXT74ZlgGe6_JY_1olB1XN4rF0dxEuIIF-xsYjHgg/edit?usp=sharing"",""พรบ!AL63"")"),0)</f>
        <v>0</v>
      </c>
      <c r="AF59" s="77">
        <f ca="1">IFERROR(__xludf.DUMMYFUNCTION("IMPORTRANGE(""https://docs.google.com/spreadsheets/d/1SX6NBoVAgQJ6U1MVXOaj8PK2l7WJ3RER9xtqwdhxkhw/edit?usp=sharing"",""ชัยนาท!J111"")"),0)</f>
        <v>0</v>
      </c>
      <c r="AG59" s="137">
        <f t="shared" ca="1" si="15"/>
        <v>0</v>
      </c>
      <c r="AH59" s="77">
        <f ca="1">IFERROR(__xludf.DUMMYFUNCTION("IMPORTRANGE(""https://docs.google.com/spreadsheets/d/1C3CXT74ZlgGe6_JY_1olB1XN4rF0dxEuIIF-xsYjHgg/edit?usp=sharing"",""พรบ!AM63"")"),23100)</f>
        <v>23100</v>
      </c>
      <c r="AI59" s="77">
        <f ca="1">IFERROR(__xludf.DUMMYFUNCTION("IMPORTRANGE(""https://docs.google.com/spreadsheets/d/1C3CXT74ZlgGe6_JY_1olB1XN4rF0dxEuIIF-xsYjHgg/edit?usp=sharing"",""พรบ!AN63"")"),12800)</f>
        <v>12800</v>
      </c>
      <c r="AJ59" s="77">
        <f ca="1">IFERROR(__xludf.DUMMYFUNCTION("IMPORTRANGE(""https://docs.google.com/spreadsheets/d/1SX6NBoVAgQJ6U1MVXOaj8PK2l7WJ3RER9xtqwdhxkhw/edit?usp=sharing"",""ชัยนาท!J124"")"),0)</f>
        <v>0</v>
      </c>
      <c r="AK59" s="137">
        <f t="shared" ca="1" si="17"/>
        <v>0</v>
      </c>
      <c r="AL59" s="77">
        <f ca="1">IFERROR(__xludf.DUMMYFUNCTION("IMPORTRANGE(""https://docs.google.com/spreadsheets/d/1SX6NBoVAgQJ6U1MVXOaj8PK2l7WJ3RER9xtqwdhxkhw/edit?usp=sharing"",""ชัยนาท!J125"")"),0)</f>
        <v>0</v>
      </c>
      <c r="AM59" s="137">
        <f t="shared" ca="1" si="18"/>
        <v>0</v>
      </c>
      <c r="AN59" s="77">
        <f ca="1">IFERROR(__xludf.DUMMYFUNCTION("IMPORTRANGE(""https://docs.google.com/spreadsheets/d/1C3CXT74ZlgGe6_JY_1olB1XN4rF0dxEuIIF-xsYjHgg/edit?usp=sharing"",""พรบ!AQ63"")"),15)</f>
        <v>15</v>
      </c>
      <c r="AO59" s="77">
        <f ca="1">IFERROR(__xludf.DUMMYFUNCTION("IMPORTRANGE(""https://docs.google.com/spreadsheets/d/1SX6NBoVAgQJ6U1MVXOaj8PK2l7WJ3RER9xtqwdhxkhw/edit?usp=sharing"",""ชัยนาท!J126"")"),15)</f>
        <v>15</v>
      </c>
      <c r="AP59" s="137">
        <f t="shared" ca="1" si="20"/>
        <v>100</v>
      </c>
      <c r="AQ59" s="149">
        <f ca="1">IFERROR(__xludf.DUMMYFUNCTION("IMPORTRANGE(""https://docs.google.com/spreadsheets/d/1C3CXT74ZlgGe6_JY_1olB1XN4rF0dxEuIIF-xsYjHgg/edit?usp=sharing"",""พรบ!AR63"")"),0)</f>
        <v>0</v>
      </c>
      <c r="AR59" s="77">
        <f ca="1">IFERROR(__xludf.DUMMYFUNCTION("IMPORTRANGE(""https://docs.google.com/spreadsheets/d/1C3CXT74ZlgGe6_JY_1olB1XN4rF0dxEuIIF-xsYjHgg/edit?usp=sharing"",""พรบ!AS63"")"),0)</f>
        <v>0</v>
      </c>
      <c r="AS59" s="77">
        <f ca="1">IFERROR(__xludf.DUMMYFUNCTION("IMPORTRANGE(""https://docs.google.com/spreadsheets/d/1SX6NBoVAgQJ6U1MVXOaj8PK2l7WJ3RER9xtqwdhxkhw/edit?usp=sharing"",""ชัยนาท!J138"")"),0)</f>
        <v>0</v>
      </c>
      <c r="AT59" s="137">
        <f t="shared" ca="1" si="22"/>
        <v>0</v>
      </c>
      <c r="AU59" s="77">
        <f ca="1">IFERROR(__xludf.DUMMYFUNCTION("IMPORTRANGE(""https://docs.google.com/spreadsheets/d/1C3CXT74ZlgGe6_JY_1olB1XN4rF0dxEuIIF-xsYjHgg/edit?usp=sharing"",""พรบ!AT63"")"),0)</f>
        <v>0</v>
      </c>
      <c r="AV59" s="77">
        <f ca="1">IFERROR(__xludf.DUMMYFUNCTION("IMPORTRANGE(""https://docs.google.com/spreadsheets/d/1C3CXT74ZlgGe6_JY_1olB1XN4rF0dxEuIIF-xsYjHgg/edit?usp=sharing"",""พรบ!AU63"")"),0)</f>
        <v>0</v>
      </c>
      <c r="AW59" s="77">
        <f ca="1">IFERROR(__xludf.DUMMYFUNCTION("IMPORTRANGE(""https://docs.google.com/spreadsheets/d/1SX6NBoVAgQJ6U1MVXOaj8PK2l7WJ3RER9xtqwdhxkhw/edit?usp=sharing"",""ชัยนาท!J140"")"),0)</f>
        <v>0</v>
      </c>
      <c r="AX59" s="137">
        <f t="shared" ca="1" si="24"/>
        <v>0</v>
      </c>
      <c r="AY59" s="77">
        <f ca="1">IFERROR(__xludf.DUMMYFUNCTION("IMPORTRANGE(""https://docs.google.com/spreadsheets/d/1SX6NBoVAgQJ6U1MVXOaj8PK2l7WJ3RER9xtqwdhxkhw/edit?usp=sharing"",""ชัยนาท!J141"")"),0)</f>
        <v>0</v>
      </c>
      <c r="AZ59" s="137">
        <f t="shared" ca="1" si="25"/>
        <v>0</v>
      </c>
      <c r="BA59" s="77">
        <f t="shared" ca="1" si="26"/>
        <v>15</v>
      </c>
      <c r="BB59" s="77">
        <f t="shared" ca="1" si="99"/>
        <v>15</v>
      </c>
      <c r="BC59" s="137">
        <f t="shared" ca="1" si="27"/>
        <v>100</v>
      </c>
    </row>
    <row r="60" spans="1:55" ht="21" customHeight="1">
      <c r="A60" s="73">
        <v>6</v>
      </c>
      <c r="B60" s="74" t="s">
        <v>84</v>
      </c>
      <c r="C60" s="75">
        <f t="shared" ca="1" si="0"/>
        <v>43100</v>
      </c>
      <c r="D60" s="76">
        <f t="shared" ca="1" si="97"/>
        <v>43100</v>
      </c>
      <c r="E60" s="77">
        <f ca="1">IFERROR(__xludf.DUMMYFUNCTION("IMPORTRANGE(""https://docs.google.com/spreadsheets/d/1C3CXT74ZlgGe6_JY_1olB1XN4rF0dxEuIIF-xsYjHgg/edit?usp=sharing"",""พรบ!AD64"")"),0)</f>
        <v>0</v>
      </c>
      <c r="F60" s="77">
        <f ca="1">IFERROR(__xludf.DUMMYFUNCTION("IMPORTRANGE(""https://docs.google.com/spreadsheets/d/1C3CXT74ZlgGe6_JY_1olB1XN4rF0dxEuIIF-xsYjHgg/edit?usp=sharing"",""พรบ!AE64"")"),43100)</f>
        <v>43100</v>
      </c>
      <c r="G60" s="77">
        <f ca="1">IFERROR(__xludf.DUMMYFUNCTION("IMPORTRANGE(""https://docs.google.com/spreadsheets/d/1Yj_ptqi66GCucihVvJfMjLAmec39IyEx_6qawtMGysU/edit?usp=sharing"",""สบก!BH64"")"),0)</f>
        <v>0</v>
      </c>
      <c r="H60" s="77">
        <f ca="1">IFERROR(__xludf.DUMMYFUNCTION("IMPORTRANGE(""https://docs.google.com/spreadsheets/d/1Yj_ptqi66GCucihVvJfMjLAmec39IyEx_6qawtMGysU/edit?usp=shBJing"",""สบก!BJ64"")"),42625)</f>
        <v>42625</v>
      </c>
      <c r="I60" s="77">
        <f t="shared" ca="1" si="3"/>
        <v>29120</v>
      </c>
      <c r="J60" s="137">
        <f t="shared" ca="1" si="4"/>
        <v>67.56380510440836</v>
      </c>
      <c r="K60" s="77">
        <f ca="1">IFERROR(__xludf.DUMMYFUNCTION("IMPORTRANGE(""https://docs.google.com/spreadsheets/d/1Yj_ptqi66GCucihVvJfMjLAmec39IyEx_6qawtMGysU/edit?usp=sharing"",""สบก!BK64"")"),29120)</f>
        <v>29120</v>
      </c>
      <c r="L60" s="137">
        <f t="shared" ca="1" si="5"/>
        <v>67.56380510440836</v>
      </c>
      <c r="M60" s="137">
        <f t="shared" ca="1" si="6"/>
        <v>68.31671554252199</v>
      </c>
      <c r="N60" s="137">
        <f ca="1">IFERROR(__xludf.DUMMYFUNCTION("IMPORTRANGE(""https://docs.google.com/spreadsheets/d/1Yj_ptqi66GCucihVvJfMjLAmec39IyEx_6qawtMGysU/edit?usp=sharing"",""สบก!BL64"")"),0)</f>
        <v>0</v>
      </c>
      <c r="O60" s="137">
        <f t="shared" ca="1" si="7"/>
        <v>0</v>
      </c>
      <c r="P60" s="77">
        <f ca="1">IFERROR(__xludf.DUMMYFUNCTION("IMPORTRANGE(""https://docs.google.com/spreadsheets/d/1C3CXT74ZlgGe6_JY_1olB1XN4rF0dxEuIIF-xsYjHgg/edit?usp=sharing"",""พรบ!AF64"")"),7500)</f>
        <v>7500</v>
      </c>
      <c r="Q60" s="77">
        <f ca="1">IFERROR(__xludf.DUMMYFUNCTION("IMPORTRANGE(""https://docs.google.com/spreadsheets/d/1C3CXT74ZlgGe6_JY_1olB1XN4rF0dxEuIIF-xsYjHgg/edit?usp=sharing"",""พรบ!AG64"")"),4)</f>
        <v>4</v>
      </c>
      <c r="R60" s="77">
        <f ca="1">IFERROR(__xludf.DUMMYFUNCTION("IMPORTRANGE(""https://docs.google.com/spreadsheets/d/1SX6NBoVAgQJ6U1MVXOaj8PK2l7WJ3RER9xtqwdhxkhw/edit?usp=sharing"",""ตราด!J83"")"),1)</f>
        <v>1</v>
      </c>
      <c r="S60" s="137">
        <f t="shared" ca="1" si="9"/>
        <v>25</v>
      </c>
      <c r="T60" s="77">
        <f t="shared" ca="1" si="98"/>
        <v>19</v>
      </c>
      <c r="U60" s="77">
        <f ca="1">IFERROR(__xludf.DUMMYFUNCTION("IMPORTRANGE(""https://docs.google.com/spreadsheets/d/1SX6NBoVAgQJ6U1MVXOaj8PK2l7WJ3RER9xtqwdhxkhw/edit?usp=sharing"",""ตราด!J85"")"),19)</f>
        <v>19</v>
      </c>
      <c r="V60" s="77">
        <f ca="1">IFERROR(__xludf.DUMMYFUNCTION("IMPORTRANGE(""https://docs.google.com/spreadsheets/d/1SX6NBoVAgQJ6U1MVXOaj8PK2l7WJ3RER9xtqwdhxkhw/edit?usp=sharing"",""ตราด!J86"")"),0)</f>
        <v>0</v>
      </c>
      <c r="W60" s="77">
        <f ca="1">IFERROR(__xludf.DUMMYFUNCTION("IMPORTRANGE(""https://docs.google.com/spreadsheets/d/1C3CXT74ZlgGe6_JY_1olB1XN4rF0dxEuIIF-xsYjHgg/edit?usp=sharing"",""พรบ!AH64"")"),14000)</f>
        <v>14000</v>
      </c>
      <c r="X60" s="77">
        <f ca="1">IFERROR(__xludf.DUMMYFUNCTION("IMPORTRANGE(""https://docs.google.com/spreadsheets/d/1C3CXT74ZlgGe6_JY_1olB1XN4rF0dxEuIIF-xsYjHgg/edit?usp=sharing"",""พรบ!AI64"")"),1)</f>
        <v>1</v>
      </c>
      <c r="Y60" s="77">
        <f ca="1">IFERROR(__xludf.DUMMYFUNCTION("IMPORTRANGE(""https://docs.google.com/spreadsheets/d/1SX6NBoVAgQJ6U1MVXOaj8PK2l7WJ3RER9xtqwdhxkhw/edit?usp=sharing"",""ตราด!J98"")"),1)</f>
        <v>1</v>
      </c>
      <c r="Z60" s="137">
        <f t="shared" ca="1" si="11"/>
        <v>100</v>
      </c>
      <c r="AA60" s="77">
        <f ca="1">IFERROR(__xludf.DUMMYFUNCTION("IMPORTRANGE(""https://docs.google.com/spreadsheets/d/1C3CXT74ZlgGe6_JY_1olB1XN4rF0dxEuIIF-xsYjHgg/edit?usp=sharing"",""พรบ!AJ64"")"),15000)</f>
        <v>15000</v>
      </c>
      <c r="AB60" s="77">
        <f ca="1">IFERROR(__xludf.DUMMYFUNCTION("IMPORTRANGE(""https://docs.google.com/spreadsheets/d/1C3CXT74ZlgGe6_JY_1olB1XN4rF0dxEuIIF-xsYjHgg/edit?usp=sharing"",""พรบ!AK64"")"),1)</f>
        <v>1</v>
      </c>
      <c r="AC60" s="77">
        <f ca="1">IFERROR(__xludf.DUMMYFUNCTION("IMPORTRANGE(""https://docs.google.com/spreadsheets/d/1SX6NBoVAgQJ6U1MVXOaj8PK2l7WJ3RER9xtqwdhxkhw/edit?usp=sharing"",""ตราด!J110"")"),0)</f>
        <v>0</v>
      </c>
      <c r="AD60" s="137">
        <f t="shared" ca="1" si="13"/>
        <v>0</v>
      </c>
      <c r="AE60" s="77">
        <f ca="1">IFERROR(__xludf.DUMMYFUNCTION("IMPORTRANGE(""https://docs.google.com/spreadsheets/d/1C3CXT74ZlgGe6_JY_1olB1XN4rF0dxEuIIF-xsYjHgg/edit?usp=sharing"",""พรบ!AL64"")"),1)</f>
        <v>1</v>
      </c>
      <c r="AF60" s="77">
        <f ca="1">IFERROR(__xludf.DUMMYFUNCTION("IMPORTRANGE(""https://docs.google.com/spreadsheets/d/1SX6NBoVAgQJ6U1MVXOaj8PK2l7WJ3RER9xtqwdhxkhw/edit?usp=sharing"",""ตราด!J111"")"),1)</f>
        <v>1</v>
      </c>
      <c r="AG60" s="137">
        <f t="shared" ca="1" si="15"/>
        <v>100</v>
      </c>
      <c r="AH60" s="77">
        <f ca="1">IFERROR(__xludf.DUMMYFUNCTION("IMPORTRANGE(""https://docs.google.com/spreadsheets/d/1C3CXT74ZlgGe6_JY_1olB1XN4rF0dxEuIIF-xsYjHgg/edit?usp=sharing"",""พรบ!AM64"")"),6600)</f>
        <v>6600</v>
      </c>
      <c r="AI60" s="77">
        <f ca="1">IFERROR(__xludf.DUMMYFUNCTION("IMPORTRANGE(""https://docs.google.com/spreadsheets/d/1C3CXT74ZlgGe6_JY_1olB1XN4rF0dxEuIIF-xsYjHgg/edit?usp=sharing"",""พรบ!AN64"")"),3200)</f>
        <v>3200</v>
      </c>
      <c r="AJ60" s="77">
        <f ca="1">IFERROR(__xludf.DUMMYFUNCTION("IMPORTRANGE(""https://docs.google.com/spreadsheets/d/1SX6NBoVAgQJ6U1MVXOaj8PK2l7WJ3RER9xtqwdhxkhw/edit?usp=sharing"",""ตราด!J124"")"),0)</f>
        <v>0</v>
      </c>
      <c r="AK60" s="137">
        <f t="shared" ca="1" si="17"/>
        <v>0</v>
      </c>
      <c r="AL60" s="77">
        <f ca="1">IFERROR(__xludf.DUMMYFUNCTION("IMPORTRANGE(""https://docs.google.com/spreadsheets/d/1SX6NBoVAgQJ6U1MVXOaj8PK2l7WJ3RER9xtqwdhxkhw/edit?usp=sharing"",""ตราด!J125"")"),0)</f>
        <v>0</v>
      </c>
      <c r="AM60" s="137">
        <f t="shared" ca="1" si="18"/>
        <v>0</v>
      </c>
      <c r="AN60" s="77">
        <f ca="1">IFERROR(__xludf.DUMMYFUNCTION("IMPORTRANGE(""https://docs.google.com/spreadsheets/d/1C3CXT74ZlgGe6_JY_1olB1XN4rF0dxEuIIF-xsYjHgg/edit?usp=sharing"",""พรบ!AQ64"")"),0)</f>
        <v>0</v>
      </c>
      <c r="AO60" s="77">
        <f ca="1">IFERROR(__xludf.DUMMYFUNCTION("IMPORTRANGE(""https://docs.google.com/spreadsheets/d/1SX6NBoVAgQJ6U1MVXOaj8PK2l7WJ3RER9xtqwdhxkhw/edit?usp=sharing"",""ตราด!J126"")"),0)</f>
        <v>0</v>
      </c>
      <c r="AP60" s="137">
        <f t="shared" ca="1" si="20"/>
        <v>0</v>
      </c>
      <c r="AQ60" s="149">
        <f ca="1">IFERROR(__xludf.DUMMYFUNCTION("IMPORTRANGE(""https://docs.google.com/spreadsheets/d/1C3CXT74ZlgGe6_JY_1olB1XN4rF0dxEuIIF-xsYjHgg/edit?usp=sharing"",""พรบ!AR64"")"),0)</f>
        <v>0</v>
      </c>
      <c r="AR60" s="77">
        <f ca="1">IFERROR(__xludf.DUMMYFUNCTION("IMPORTRANGE(""https://docs.google.com/spreadsheets/d/1C3CXT74ZlgGe6_JY_1olB1XN4rF0dxEuIIF-xsYjHgg/edit?usp=sharing"",""พรบ!AS64"")"),0)</f>
        <v>0</v>
      </c>
      <c r="AS60" s="77">
        <f ca="1">IFERROR(__xludf.DUMMYFUNCTION("IMPORTRANGE(""https://docs.google.com/spreadsheets/d/1SX6NBoVAgQJ6U1MVXOaj8PK2l7WJ3RER9xtqwdhxkhw/edit?usp=sharing"",""ตราด!J138"")"),0)</f>
        <v>0</v>
      </c>
      <c r="AT60" s="137">
        <f t="shared" ca="1" si="22"/>
        <v>0</v>
      </c>
      <c r="AU60" s="77">
        <f ca="1">IFERROR(__xludf.DUMMYFUNCTION("IMPORTRANGE(""https://docs.google.com/spreadsheets/d/1C3CXT74ZlgGe6_JY_1olB1XN4rF0dxEuIIF-xsYjHgg/edit?usp=sharing"",""พรบ!AT64"")"),0)</f>
        <v>0</v>
      </c>
      <c r="AV60" s="77">
        <f ca="1">IFERROR(__xludf.DUMMYFUNCTION("IMPORTRANGE(""https://docs.google.com/spreadsheets/d/1C3CXT74ZlgGe6_JY_1olB1XN4rF0dxEuIIF-xsYjHgg/edit?usp=sharing"",""พรบ!AU64"")"),0)</f>
        <v>0</v>
      </c>
      <c r="AW60" s="77">
        <f ca="1">IFERROR(__xludf.DUMMYFUNCTION("IMPORTRANGE(""https://docs.google.com/spreadsheets/d/1SX6NBoVAgQJ6U1MVXOaj8PK2l7WJ3RER9xtqwdhxkhw/edit?usp=sharing"",""ตราด!J140"")"),0)</f>
        <v>0</v>
      </c>
      <c r="AX60" s="137">
        <f t="shared" ca="1" si="24"/>
        <v>0</v>
      </c>
      <c r="AY60" s="77">
        <f ca="1">IFERROR(__xludf.DUMMYFUNCTION("IMPORTRANGE(""https://docs.google.com/spreadsheets/d/1SX6NBoVAgQJ6U1MVXOaj8PK2l7WJ3RER9xtqwdhxkhw/edit?usp=sharing"",""ตราด!J141"")"),0)</f>
        <v>0</v>
      </c>
      <c r="AZ60" s="137">
        <f t="shared" ca="1" si="25"/>
        <v>0</v>
      </c>
      <c r="BA60" s="77">
        <f t="shared" ca="1" si="26"/>
        <v>0</v>
      </c>
      <c r="BB60" s="77">
        <f t="shared" ca="1" si="99"/>
        <v>0</v>
      </c>
      <c r="BC60" s="137">
        <f t="shared" ca="1" si="27"/>
        <v>0</v>
      </c>
    </row>
    <row r="61" spans="1:55" ht="21" customHeight="1">
      <c r="A61" s="73">
        <v>7</v>
      </c>
      <c r="B61" s="74" t="s">
        <v>85</v>
      </c>
      <c r="C61" s="75">
        <f t="shared" ca="1" si="0"/>
        <v>569800</v>
      </c>
      <c r="D61" s="160">
        <f t="shared" ca="1" si="97"/>
        <v>569800</v>
      </c>
      <c r="E61" s="77">
        <f ca="1">IFERROR(__xludf.DUMMYFUNCTION("IMPORTRANGE(""https://docs.google.com/spreadsheets/d/1C3CXT74ZlgGe6_JY_1olB1XN4rF0dxEuIIF-xsYjHgg/edit?usp=sharing"",""พรบ!AD65"")"),305000)</f>
        <v>305000</v>
      </c>
      <c r="F61" s="77">
        <f ca="1">IFERROR(__xludf.DUMMYFUNCTION("IMPORTRANGE(""https://docs.google.com/spreadsheets/d/1C3CXT74ZlgGe6_JY_1olB1XN4rF0dxEuIIF-xsYjHgg/edit?usp=sharing"",""พรบ!AE65"")"),264800)</f>
        <v>264800</v>
      </c>
      <c r="G61" s="77">
        <f ca="1">IFERROR(__xludf.DUMMYFUNCTION("IMPORTRANGE(""https://docs.google.com/spreadsheets/d/1Yj_ptqi66GCucihVvJfMjLAmec39IyEx_6qawtMGysU/edit?usp=sharing"",""สบก!BH65"")"),0)</f>
        <v>0</v>
      </c>
      <c r="H61" s="77">
        <f ca="1">IFERROR(__xludf.DUMMYFUNCTION("IMPORTRANGE(""https://docs.google.com/spreadsheets/d/1Yj_ptqi66GCucihVvJfMjLAmec39IyEx_6qawtMGysU/edit?usp=shBJing"",""สบก!BJ65"")"),436125)</f>
        <v>436125</v>
      </c>
      <c r="I61" s="77">
        <f t="shared" ca="1" si="3"/>
        <v>150496.25</v>
      </c>
      <c r="J61" s="137">
        <f t="shared" ca="1" si="4"/>
        <v>26.412118287118286</v>
      </c>
      <c r="K61" s="77">
        <f ca="1">IFERROR(__xludf.DUMMYFUNCTION("IMPORTRANGE(""https://docs.google.com/spreadsheets/d/1Yj_ptqi66GCucihVvJfMjLAmec39IyEx_6qawtMGysU/edit?usp=sharing"",""สบก!BK65"")"),150496.25)</f>
        <v>150496.25</v>
      </c>
      <c r="L61" s="137">
        <f t="shared" ca="1" si="5"/>
        <v>26.412118287118286</v>
      </c>
      <c r="M61" s="137">
        <f t="shared" ca="1" si="6"/>
        <v>34.507595299512751</v>
      </c>
      <c r="N61" s="137">
        <f ca="1">IFERROR(__xludf.DUMMYFUNCTION("IMPORTRANGE(""https://docs.google.com/spreadsheets/d/1Yj_ptqi66GCucihVvJfMjLAmec39IyEx_6qawtMGysU/edit?usp=sharing"",""สบก!BL65"")"),0)</f>
        <v>0</v>
      </c>
      <c r="O61" s="137">
        <f t="shared" ca="1" si="7"/>
        <v>0</v>
      </c>
      <c r="P61" s="77">
        <f ca="1">IFERROR(__xludf.DUMMYFUNCTION("IMPORTRANGE(""https://docs.google.com/spreadsheets/d/1C3CXT74ZlgGe6_JY_1olB1XN4rF0dxEuIIF-xsYjHgg/edit?usp=sharing"",""พรบ!AF65"")"),7500)</f>
        <v>7500</v>
      </c>
      <c r="Q61" s="77">
        <f ca="1">IFERROR(__xludf.DUMMYFUNCTION("IMPORTRANGE(""https://docs.google.com/spreadsheets/d/1C3CXT74ZlgGe6_JY_1olB1XN4rF0dxEuIIF-xsYjHgg/edit?usp=sharing"",""พรบ!AG65"")"),4)</f>
        <v>4</v>
      </c>
      <c r="R61" s="77">
        <f ca="1">IFERROR(__xludf.DUMMYFUNCTION("IMPORTRANGE(""https://docs.google.com/spreadsheets/d/1SX6NBoVAgQJ6U1MVXOaj8PK2l7WJ3RER9xtqwdhxkhw/edit?usp=sharing"",""นครนายก!J83"")"),1)</f>
        <v>1</v>
      </c>
      <c r="S61" s="137">
        <f t="shared" ca="1" si="9"/>
        <v>25</v>
      </c>
      <c r="T61" s="77">
        <f t="shared" ca="1" si="98"/>
        <v>96</v>
      </c>
      <c r="U61" s="77">
        <f ca="1">IFERROR(__xludf.DUMMYFUNCTION("IMPORTRANGE(""https://docs.google.com/spreadsheets/d/1SX6NBoVAgQJ6U1MVXOaj8PK2l7WJ3RER9xtqwdhxkhw/edit?usp=sharing"",""นครนายก!J85"")"),96)</f>
        <v>96</v>
      </c>
      <c r="V61" s="77">
        <f ca="1">IFERROR(__xludf.DUMMYFUNCTION("IMPORTRANGE(""https://docs.google.com/spreadsheets/d/1SX6NBoVAgQJ6U1MVXOaj8PK2l7WJ3RER9xtqwdhxkhw/edit?usp=sharing"",""นครนายก!J86"")"),0)</f>
        <v>0</v>
      </c>
      <c r="W61" s="77">
        <f ca="1">IFERROR(__xludf.DUMMYFUNCTION("IMPORTRANGE(""https://docs.google.com/spreadsheets/d/1C3CXT74ZlgGe6_JY_1olB1XN4rF0dxEuIIF-xsYjHgg/edit?usp=sharing"",""พรบ!AH65"")"),42000)</f>
        <v>42000</v>
      </c>
      <c r="X61" s="77">
        <f ca="1">IFERROR(__xludf.DUMMYFUNCTION("IMPORTRANGE(""https://docs.google.com/spreadsheets/d/1C3CXT74ZlgGe6_JY_1olB1XN4rF0dxEuIIF-xsYjHgg/edit?usp=sharing"",""พรบ!AI65"")"),3)</f>
        <v>3</v>
      </c>
      <c r="Y61" s="77">
        <f ca="1">IFERROR(__xludf.DUMMYFUNCTION("IMPORTRANGE(""https://docs.google.com/spreadsheets/d/1SX6NBoVAgQJ6U1MVXOaj8PK2l7WJ3RER9xtqwdhxkhw/edit?usp=sharing"",""นครนายก!J98"")"),3)</f>
        <v>3</v>
      </c>
      <c r="Z61" s="137">
        <f t="shared" ca="1" si="11"/>
        <v>100</v>
      </c>
      <c r="AA61" s="77">
        <f ca="1">IFERROR(__xludf.DUMMYFUNCTION("IMPORTRANGE(""https://docs.google.com/spreadsheets/d/1C3CXT74ZlgGe6_JY_1olB1XN4rF0dxEuIIF-xsYjHgg/edit?usp=sharing"",""พรบ!AJ65"")"),0)</f>
        <v>0</v>
      </c>
      <c r="AB61" s="77">
        <f ca="1">IFERROR(__xludf.DUMMYFUNCTION("IMPORTRANGE(""https://docs.google.com/spreadsheets/d/1C3CXT74ZlgGe6_JY_1olB1XN4rF0dxEuIIF-xsYjHgg/edit?usp=sharing"",""พรบ!AK65"")"),0)</f>
        <v>0</v>
      </c>
      <c r="AC61" s="77">
        <f ca="1">IFERROR(__xludf.DUMMYFUNCTION("IMPORTRANGE(""https://docs.google.com/spreadsheets/d/1SX6NBoVAgQJ6U1MVXOaj8PK2l7WJ3RER9xtqwdhxkhw/edit?usp=sharing"",""นครนายก!J110"")"),0)</f>
        <v>0</v>
      </c>
      <c r="AD61" s="137">
        <f t="shared" ca="1" si="13"/>
        <v>0</v>
      </c>
      <c r="AE61" s="77">
        <f ca="1">IFERROR(__xludf.DUMMYFUNCTION("IMPORTRANGE(""https://docs.google.com/spreadsheets/d/1C3CXT74ZlgGe6_JY_1olB1XN4rF0dxEuIIF-xsYjHgg/edit?usp=sharing"",""พรบ!AL65"")"),0)</f>
        <v>0</v>
      </c>
      <c r="AF61" s="77">
        <f ca="1">IFERROR(__xludf.DUMMYFUNCTION("IMPORTRANGE(""https://docs.google.com/spreadsheets/d/1SX6NBoVAgQJ6U1MVXOaj8PK2l7WJ3RER9xtqwdhxkhw/edit?usp=sharing"",""นครนายก!J111"")"),0)</f>
        <v>0</v>
      </c>
      <c r="AG61" s="137">
        <f t="shared" ca="1" si="15"/>
        <v>0</v>
      </c>
      <c r="AH61" s="77">
        <f ca="1">IFERROR(__xludf.DUMMYFUNCTION("IMPORTRANGE(""https://docs.google.com/spreadsheets/d/1C3CXT74ZlgGe6_JY_1olB1XN4rF0dxEuIIF-xsYjHgg/edit?usp=sharing"",""พรบ!AM65"")"),14500)</f>
        <v>14500</v>
      </c>
      <c r="AI61" s="77">
        <f ca="1">IFERROR(__xludf.DUMMYFUNCTION("IMPORTRANGE(""https://docs.google.com/spreadsheets/d/1C3CXT74ZlgGe6_JY_1olB1XN4rF0dxEuIIF-xsYjHgg/edit?usp=sharing"",""พรบ!AN65"")"),30000)</f>
        <v>30000</v>
      </c>
      <c r="AJ61" s="77">
        <f ca="1">IFERROR(__xludf.DUMMYFUNCTION("IMPORTRANGE(""https://docs.google.com/spreadsheets/d/1SX6NBoVAgQJ6U1MVXOaj8PK2l7WJ3RER9xtqwdhxkhw/edit?usp=sharing"",""นครนายก!J124"")"),0)</f>
        <v>0</v>
      </c>
      <c r="AK61" s="137">
        <f t="shared" ca="1" si="17"/>
        <v>0</v>
      </c>
      <c r="AL61" s="77">
        <f ca="1">IFERROR(__xludf.DUMMYFUNCTION("IMPORTRANGE(""https://docs.google.com/spreadsheets/d/1SX6NBoVAgQJ6U1MVXOaj8PK2l7WJ3RER9xtqwdhxkhw/edit?usp=sharing"",""นครนายก!J125"")"),0)</f>
        <v>0</v>
      </c>
      <c r="AM61" s="137">
        <f t="shared" ca="1" si="18"/>
        <v>0</v>
      </c>
      <c r="AN61" s="77">
        <f ca="1">IFERROR(__xludf.DUMMYFUNCTION("IMPORTRANGE(""https://docs.google.com/spreadsheets/d/1C3CXT74ZlgGe6_JY_1olB1XN4rF0dxEuIIF-xsYjHgg/edit?usp=sharing"",""พรบ!AQ65"")"),0)</f>
        <v>0</v>
      </c>
      <c r="AO61" s="77">
        <f ca="1">IFERROR(__xludf.DUMMYFUNCTION("IMPORTRANGE(""https://docs.google.com/spreadsheets/d/1SX6NBoVAgQJ6U1MVXOaj8PK2l7WJ3RER9xtqwdhxkhw/edit?usp=sharing"",""นครนายก!J126"")"),0)</f>
        <v>0</v>
      </c>
      <c r="AP61" s="137">
        <f t="shared" ca="1" si="20"/>
        <v>0</v>
      </c>
      <c r="AQ61" s="77">
        <f ca="1">IFERROR(__xludf.DUMMYFUNCTION("IMPORTRANGE(""https://docs.google.com/spreadsheets/d/1C3CXT74ZlgGe6_JY_1olB1XN4rF0dxEuIIF-xsYjHgg/edit?usp=sharing"",""พรบ!AR65"")"),200800)</f>
        <v>200800</v>
      </c>
      <c r="AR61" s="77">
        <f ca="1">IFERROR(__xludf.DUMMYFUNCTION("IMPORTRANGE(""https://docs.google.com/spreadsheets/d/1C3CXT74ZlgGe6_JY_1olB1XN4rF0dxEuIIF-xsYjHgg/edit?usp=sharing"",""พรบ!AS65"")"),20)</f>
        <v>20</v>
      </c>
      <c r="AS61" s="77">
        <f ca="1">IFERROR(__xludf.DUMMYFUNCTION("IMPORTRANGE(""https://docs.google.com/spreadsheets/d/1SX6NBoVAgQJ6U1MVXOaj8PK2l7WJ3RER9xtqwdhxkhw/edit?usp=sharing"",""นครนายก!J138"")"),20)</f>
        <v>20</v>
      </c>
      <c r="AT61" s="137">
        <f t="shared" ca="1" si="22"/>
        <v>100</v>
      </c>
      <c r="AU61" s="149">
        <f ca="1">IFERROR(__xludf.DUMMYFUNCTION("IMPORTRANGE(""https://docs.google.com/spreadsheets/d/1C3CXT74ZlgGe6_JY_1olB1XN4rF0dxEuIIF-xsYjHgg/edit?usp=sharing"",""พรบ!AT65"")"),0)</f>
        <v>0</v>
      </c>
      <c r="AV61" s="149">
        <f ca="1">IFERROR(__xludf.DUMMYFUNCTION("IMPORTRANGE(""https://docs.google.com/spreadsheets/d/1C3CXT74ZlgGe6_JY_1olB1XN4rF0dxEuIIF-xsYjHgg/edit?usp=sharing"",""พรบ!AU65"")"),1)</f>
        <v>1</v>
      </c>
      <c r="AW61" s="77">
        <f ca="1">IFERROR(__xludf.DUMMYFUNCTION("IMPORTRANGE(""https://docs.google.com/spreadsheets/d/1SX6NBoVAgQJ6U1MVXOaj8PK2l7WJ3RER9xtqwdhxkhw/edit?usp=sharing"",""นครนายก!J140"")"),0)</f>
        <v>0</v>
      </c>
      <c r="AX61" s="137">
        <f t="shared" ca="1" si="24"/>
        <v>0</v>
      </c>
      <c r="AY61" s="77">
        <f ca="1">IFERROR(__xludf.DUMMYFUNCTION("IMPORTRANGE(""https://docs.google.com/spreadsheets/d/1SX6NBoVAgQJ6U1MVXOaj8PK2l7WJ3RER9xtqwdhxkhw/edit?usp=sharing"",""นครนายก!J141"")"),0)</f>
        <v>0</v>
      </c>
      <c r="AZ61" s="137">
        <f t="shared" ca="1" si="25"/>
        <v>0</v>
      </c>
      <c r="BA61" s="77">
        <f t="shared" ca="1" si="26"/>
        <v>20</v>
      </c>
      <c r="BB61" s="77">
        <f t="shared" ca="1" si="99"/>
        <v>20</v>
      </c>
      <c r="BC61" s="137">
        <f t="shared" ca="1" si="27"/>
        <v>100</v>
      </c>
    </row>
    <row r="62" spans="1:55" ht="21" customHeight="1">
      <c r="A62" s="73">
        <v>8</v>
      </c>
      <c r="B62" s="74" t="s">
        <v>86</v>
      </c>
      <c r="C62" s="75">
        <f t="shared" ca="1" si="0"/>
        <v>567900</v>
      </c>
      <c r="D62" s="76">
        <f t="shared" ca="1" si="97"/>
        <v>567900</v>
      </c>
      <c r="E62" s="77">
        <f ca="1">IFERROR(__xludf.DUMMYFUNCTION("IMPORTRANGE(""https://docs.google.com/spreadsheets/d/1C3CXT74ZlgGe6_JY_1olB1XN4rF0dxEuIIF-xsYjHgg/edit?usp=sharing"",""พรบ!AD66"")"),310700)</f>
        <v>310700</v>
      </c>
      <c r="F62" s="77">
        <f ca="1">IFERROR(__xludf.DUMMYFUNCTION("IMPORTRANGE(""https://docs.google.com/spreadsheets/d/1C3CXT74ZlgGe6_JY_1olB1XN4rF0dxEuIIF-xsYjHgg/edit?usp=sharing"",""พรบ!AE66"")"),257200)</f>
        <v>257200</v>
      </c>
      <c r="G62" s="77">
        <f ca="1">IFERROR(__xludf.DUMMYFUNCTION("IMPORTRANGE(""https://docs.google.com/spreadsheets/d/1Yj_ptqi66GCucihVvJfMjLAmec39IyEx_6qawtMGysU/edit?usp=sharing"",""สบก!BH66"")"),0)</f>
        <v>0</v>
      </c>
      <c r="H62" s="77">
        <f ca="1">IFERROR(__xludf.DUMMYFUNCTION("IMPORTRANGE(""https://docs.google.com/spreadsheets/d/1Yj_ptqi66GCucihVvJfMjLAmec39IyEx_6qawtMGysU/edit?usp=shBJing"",""สบก!BJ66"")"),443925)</f>
        <v>443925</v>
      </c>
      <c r="I62" s="77">
        <f t="shared" ca="1" si="3"/>
        <v>265704.39</v>
      </c>
      <c r="J62" s="137">
        <f t="shared" ca="1" si="4"/>
        <v>46.787179080824089</v>
      </c>
      <c r="K62" s="77">
        <f ca="1">IFERROR(__xludf.DUMMYFUNCTION("IMPORTRANGE(""https://docs.google.com/spreadsheets/d/1Yj_ptqi66GCucihVvJfMjLAmec39IyEx_6qawtMGysU/edit?usp=sharing"",""สบก!BK66"")"),265704.39)</f>
        <v>265704.39</v>
      </c>
      <c r="L62" s="137">
        <f t="shared" ca="1" si="5"/>
        <v>46.787179080824089</v>
      </c>
      <c r="M62" s="137">
        <f t="shared" ca="1" si="6"/>
        <v>59.853441459706033</v>
      </c>
      <c r="N62" s="137">
        <f ca="1">IFERROR(__xludf.DUMMYFUNCTION("IMPORTRANGE(""https://docs.google.com/spreadsheets/d/1Yj_ptqi66GCucihVvJfMjLAmec39IyEx_6qawtMGysU/edit?usp=sharing"",""สบก!BL66"")"),0)</f>
        <v>0</v>
      </c>
      <c r="O62" s="137">
        <f t="shared" ca="1" si="7"/>
        <v>0</v>
      </c>
      <c r="P62" s="77">
        <f ca="1">IFERROR(__xludf.DUMMYFUNCTION("IMPORTRANGE(""https://docs.google.com/spreadsheets/d/1C3CXT74ZlgGe6_JY_1olB1XN4rF0dxEuIIF-xsYjHgg/edit?usp=sharing"",""พรบ!AF66"")"),7500)</f>
        <v>7500</v>
      </c>
      <c r="Q62" s="77">
        <f ca="1">IFERROR(__xludf.DUMMYFUNCTION("IMPORTRANGE(""https://docs.google.com/spreadsheets/d/1C3CXT74ZlgGe6_JY_1olB1XN4rF0dxEuIIF-xsYjHgg/edit?usp=sharing"",""พรบ!AG66"")"),4)</f>
        <v>4</v>
      </c>
      <c r="R62" s="77">
        <f ca="1">IFERROR(__xludf.DUMMYFUNCTION("IMPORTRANGE(""https://docs.google.com/spreadsheets/d/1SX6NBoVAgQJ6U1MVXOaj8PK2l7WJ3RER9xtqwdhxkhw/edit?usp=sharing"",""นครปฐม!J83"")"),2)</f>
        <v>2</v>
      </c>
      <c r="S62" s="137">
        <f t="shared" ca="1" si="9"/>
        <v>50</v>
      </c>
      <c r="T62" s="77">
        <f t="shared" ca="1" si="98"/>
        <v>40</v>
      </c>
      <c r="U62" s="77">
        <f ca="1">IFERROR(__xludf.DUMMYFUNCTION("IMPORTRANGE(""https://docs.google.com/spreadsheets/d/1SX6NBoVAgQJ6U1MVXOaj8PK2l7WJ3RER9xtqwdhxkhw/edit?usp=sharing"",""นครปฐม!J85"")"),40)</f>
        <v>40</v>
      </c>
      <c r="V62" s="77">
        <f ca="1">IFERROR(__xludf.DUMMYFUNCTION("IMPORTRANGE(""https://docs.google.com/spreadsheets/d/1SX6NBoVAgQJ6U1MVXOaj8PK2l7WJ3RER9xtqwdhxkhw/edit?usp=sharing"",""นครปฐม!J86"")"),0)</f>
        <v>0</v>
      </c>
      <c r="W62" s="77">
        <f ca="1">IFERROR(__xludf.DUMMYFUNCTION("IMPORTRANGE(""https://docs.google.com/spreadsheets/d/1C3CXT74ZlgGe6_JY_1olB1XN4rF0dxEuIIF-xsYjHgg/edit?usp=sharing"",""พรบ!AH66"")"),42000)</f>
        <v>42000</v>
      </c>
      <c r="X62" s="77">
        <f ca="1">IFERROR(__xludf.DUMMYFUNCTION("IMPORTRANGE(""https://docs.google.com/spreadsheets/d/1C3CXT74ZlgGe6_JY_1olB1XN4rF0dxEuIIF-xsYjHgg/edit?usp=sharing"",""พรบ!AI66"")"),3)</f>
        <v>3</v>
      </c>
      <c r="Y62" s="77">
        <f ca="1">IFERROR(__xludf.DUMMYFUNCTION("IMPORTRANGE(""https://docs.google.com/spreadsheets/d/1SX6NBoVAgQJ6U1MVXOaj8PK2l7WJ3RER9xtqwdhxkhw/edit?usp=sharing"",""นครปฐม!J98"")"),3)</f>
        <v>3</v>
      </c>
      <c r="Z62" s="137">
        <f t="shared" ca="1" si="11"/>
        <v>100</v>
      </c>
      <c r="AA62" s="77">
        <f ca="1">IFERROR(__xludf.DUMMYFUNCTION("IMPORTRANGE(""https://docs.google.com/spreadsheets/d/1C3CXT74ZlgGe6_JY_1olB1XN4rF0dxEuIIF-xsYjHgg/edit?usp=sharing"",""พรบ!AJ66"")"),0)</f>
        <v>0</v>
      </c>
      <c r="AB62" s="77">
        <f ca="1">IFERROR(__xludf.DUMMYFUNCTION("IMPORTRANGE(""https://docs.google.com/spreadsheets/d/1C3CXT74ZlgGe6_JY_1olB1XN4rF0dxEuIIF-xsYjHgg/edit?usp=sharing"",""พรบ!AK66"")"),0)</f>
        <v>0</v>
      </c>
      <c r="AC62" s="77">
        <f ca="1">IFERROR(__xludf.DUMMYFUNCTION("IMPORTRANGE(""https://docs.google.com/spreadsheets/d/1SX6NBoVAgQJ6U1MVXOaj8PK2l7WJ3RER9xtqwdhxkhw/edit?usp=sharing"",""นครปฐม!J110"")"),0)</f>
        <v>0</v>
      </c>
      <c r="AD62" s="137">
        <f t="shared" ca="1" si="13"/>
        <v>0</v>
      </c>
      <c r="AE62" s="77">
        <f ca="1">IFERROR(__xludf.DUMMYFUNCTION("IMPORTRANGE(""https://docs.google.com/spreadsheets/d/1C3CXT74ZlgGe6_JY_1olB1XN4rF0dxEuIIF-xsYjHgg/edit?usp=sharing"",""พรบ!AL66"")"),0)</f>
        <v>0</v>
      </c>
      <c r="AF62" s="77">
        <f ca="1">IFERROR(__xludf.DUMMYFUNCTION("IMPORTRANGE(""https://docs.google.com/spreadsheets/d/1SX6NBoVAgQJ6U1MVXOaj8PK2l7WJ3RER9xtqwdhxkhw/edit?usp=sharing"",""นครปฐม!J111"")"),0)</f>
        <v>0</v>
      </c>
      <c r="AG62" s="137">
        <f t="shared" ca="1" si="15"/>
        <v>0</v>
      </c>
      <c r="AH62" s="77">
        <f ca="1">IFERROR(__xludf.DUMMYFUNCTION("IMPORTRANGE(""https://docs.google.com/spreadsheets/d/1C3CXT74ZlgGe6_JY_1olB1XN4rF0dxEuIIF-xsYjHgg/edit?usp=sharing"",""พรบ!AM66"")"),6900)</f>
        <v>6900</v>
      </c>
      <c r="AI62" s="77">
        <f ca="1">IFERROR(__xludf.DUMMYFUNCTION("IMPORTRANGE(""https://docs.google.com/spreadsheets/d/1C3CXT74ZlgGe6_JY_1olB1XN4rF0dxEuIIF-xsYjHgg/edit?usp=sharing"",""พรบ!AN66"")"),5000)</f>
        <v>5000</v>
      </c>
      <c r="AJ62" s="77">
        <f ca="1">IFERROR(__xludf.DUMMYFUNCTION("IMPORTRANGE(""https://docs.google.com/spreadsheets/d/1SX6NBoVAgQJ6U1MVXOaj8PK2l7WJ3RER9xtqwdhxkhw/edit?usp=sharing"",""นครปฐม!J124"")"),0)</f>
        <v>0</v>
      </c>
      <c r="AK62" s="137">
        <f t="shared" ca="1" si="17"/>
        <v>0</v>
      </c>
      <c r="AL62" s="77">
        <f ca="1">IFERROR(__xludf.DUMMYFUNCTION("IMPORTRANGE(""https://docs.google.com/spreadsheets/d/1SX6NBoVAgQJ6U1MVXOaj8PK2l7WJ3RER9xtqwdhxkhw/edit?usp=sharing"",""นครปฐม!J125"")"),0)</f>
        <v>0</v>
      </c>
      <c r="AM62" s="137">
        <f t="shared" ca="1" si="18"/>
        <v>0</v>
      </c>
      <c r="AN62" s="77">
        <f ca="1">IFERROR(__xludf.DUMMYFUNCTION("IMPORTRANGE(""https://docs.google.com/spreadsheets/d/1C3CXT74ZlgGe6_JY_1olB1XN4rF0dxEuIIF-xsYjHgg/edit?usp=sharing"",""พรบ!AQ66"")"),0)</f>
        <v>0</v>
      </c>
      <c r="AO62" s="77">
        <f ca="1">IFERROR(__xludf.DUMMYFUNCTION("IMPORTRANGE(""https://docs.google.com/spreadsheets/d/1SX6NBoVAgQJ6U1MVXOaj8PK2l7WJ3RER9xtqwdhxkhw/edit?usp=sharing"",""นครปฐม!J126"")"),0)</f>
        <v>0</v>
      </c>
      <c r="AP62" s="137">
        <f t="shared" ca="1" si="20"/>
        <v>0</v>
      </c>
      <c r="AQ62" s="77">
        <f ca="1">IFERROR(__xludf.DUMMYFUNCTION("IMPORTRANGE(""https://docs.google.com/spreadsheets/d/1C3CXT74ZlgGe6_JY_1olB1XN4rF0dxEuIIF-xsYjHgg/edit?usp=sharing"",""พรบ!AR66"")"),200800)</f>
        <v>200800</v>
      </c>
      <c r="AR62" s="77">
        <f ca="1">IFERROR(__xludf.DUMMYFUNCTION("IMPORTRANGE(""https://docs.google.com/spreadsheets/d/1C3CXT74ZlgGe6_JY_1olB1XN4rF0dxEuIIF-xsYjHgg/edit?usp=sharing"",""พรบ!AS66"")"),20)</f>
        <v>20</v>
      </c>
      <c r="AS62" s="77">
        <f ca="1">IFERROR(__xludf.DUMMYFUNCTION("IMPORTRANGE(""https://docs.google.com/spreadsheets/d/1SX6NBoVAgQJ6U1MVXOaj8PK2l7WJ3RER9xtqwdhxkhw/edit?usp=sharing"",""นครปฐม!J138"")"),20)</f>
        <v>20</v>
      </c>
      <c r="AT62" s="137">
        <f t="shared" ca="1" si="22"/>
        <v>100</v>
      </c>
      <c r="AU62" s="149">
        <f ca="1">IFERROR(__xludf.DUMMYFUNCTION("IMPORTRANGE(""https://docs.google.com/spreadsheets/d/1C3CXT74ZlgGe6_JY_1olB1XN4rF0dxEuIIF-xsYjHgg/edit?usp=sharing"",""พรบ!AT66"")"),0)</f>
        <v>0</v>
      </c>
      <c r="AV62" s="149">
        <f ca="1">IFERROR(__xludf.DUMMYFUNCTION("IMPORTRANGE(""https://docs.google.com/spreadsheets/d/1C3CXT74ZlgGe6_JY_1olB1XN4rF0dxEuIIF-xsYjHgg/edit?usp=sharing"",""พรบ!AU66"")"),1)</f>
        <v>1</v>
      </c>
      <c r="AW62" s="77">
        <f ca="1">IFERROR(__xludf.DUMMYFUNCTION("IMPORTRANGE(""https://docs.google.com/spreadsheets/d/1SX6NBoVAgQJ6U1MVXOaj8PK2l7WJ3RER9xtqwdhxkhw/edit?usp=sharing"",""นครปฐม!J140"")"),0)</f>
        <v>0</v>
      </c>
      <c r="AX62" s="137">
        <f t="shared" ca="1" si="24"/>
        <v>0</v>
      </c>
      <c r="AY62" s="77">
        <f ca="1">IFERROR(__xludf.DUMMYFUNCTION("IMPORTRANGE(""https://docs.google.com/spreadsheets/d/1SX6NBoVAgQJ6U1MVXOaj8PK2l7WJ3RER9xtqwdhxkhw/edit?usp=sharing"",""นครปฐม!J141"")"),0)</f>
        <v>0</v>
      </c>
      <c r="AZ62" s="137">
        <f t="shared" ca="1" si="25"/>
        <v>0</v>
      </c>
      <c r="BA62" s="77">
        <f t="shared" ca="1" si="26"/>
        <v>20</v>
      </c>
      <c r="BB62" s="77">
        <f t="shared" ca="1" si="99"/>
        <v>20</v>
      </c>
      <c r="BC62" s="137">
        <f t="shared" ca="1" si="27"/>
        <v>100</v>
      </c>
    </row>
    <row r="63" spans="1:55" ht="21" customHeight="1">
      <c r="A63" s="73">
        <v>9</v>
      </c>
      <c r="B63" s="74" t="s">
        <v>87</v>
      </c>
      <c r="C63" s="75">
        <f t="shared" ca="1" si="0"/>
        <v>668300</v>
      </c>
      <c r="D63" s="160">
        <f t="shared" ca="1" si="97"/>
        <v>668300</v>
      </c>
      <c r="E63" s="77">
        <f ca="1">IFERROR(__xludf.DUMMYFUNCTION("IMPORTRANGE(""https://docs.google.com/spreadsheets/d/1C3CXT74ZlgGe6_JY_1olB1XN4rF0dxEuIIF-xsYjHgg/edit?usp=sharing"",""พรบ!AD67"")"),448300)</f>
        <v>448300</v>
      </c>
      <c r="F63" s="77">
        <f ca="1">IFERROR(__xludf.DUMMYFUNCTION("IMPORTRANGE(""https://docs.google.com/spreadsheets/d/1C3CXT74ZlgGe6_JY_1olB1XN4rF0dxEuIIF-xsYjHgg/edit?usp=sharing"",""พรบ!AE67"")"),220000)</f>
        <v>220000</v>
      </c>
      <c r="G63" s="77">
        <f ca="1">IFERROR(__xludf.DUMMYFUNCTION("IMPORTRANGE(""https://docs.google.com/spreadsheets/d/1Yj_ptqi66GCucihVvJfMjLAmec39IyEx_6qawtMGysU/edit?usp=sharing"",""สบก!BH67"")"),0)</f>
        <v>0</v>
      </c>
      <c r="H63" s="77">
        <f ca="1">IFERROR(__xludf.DUMMYFUNCTION("IMPORTRANGE(""https://docs.google.com/spreadsheets/d/1Yj_ptqi66GCucihVvJfMjLAmec39IyEx_6qawtMGysU/edit?usp=shBJing"",""สบก!BJ67"")"),519325)</f>
        <v>519325</v>
      </c>
      <c r="I63" s="77">
        <f t="shared" ca="1" si="3"/>
        <v>333282.76</v>
      </c>
      <c r="J63" s="137">
        <f t="shared" ca="1" si="4"/>
        <v>49.870231931767172</v>
      </c>
      <c r="K63" s="77">
        <f ca="1">IFERROR(__xludf.DUMMYFUNCTION("IMPORTRANGE(""https://docs.google.com/spreadsheets/d/1Yj_ptqi66GCucihVvJfMjLAmec39IyEx_6qawtMGysU/edit?usp=sharing"",""สบก!BK67"")"),333282.76)</f>
        <v>333282.76</v>
      </c>
      <c r="L63" s="137">
        <f t="shared" ca="1" si="5"/>
        <v>49.870231931767172</v>
      </c>
      <c r="M63" s="137">
        <f t="shared" ca="1" si="6"/>
        <v>64.176144033119911</v>
      </c>
      <c r="N63" s="137">
        <f ca="1">IFERROR(__xludf.DUMMYFUNCTION("IMPORTRANGE(""https://docs.google.com/spreadsheets/d/1Yj_ptqi66GCucihVvJfMjLAmec39IyEx_6qawtMGysU/edit?usp=sharing"",""สบก!BL67"")"),0)</f>
        <v>0</v>
      </c>
      <c r="O63" s="137">
        <f t="shared" ca="1" si="7"/>
        <v>0</v>
      </c>
      <c r="P63" s="77">
        <f ca="1">IFERROR(__xludf.DUMMYFUNCTION("IMPORTRANGE(""https://docs.google.com/spreadsheets/d/1C3CXT74ZlgGe6_JY_1olB1XN4rF0dxEuIIF-xsYjHgg/edit?usp=sharing"",""พรบ!AF67"")"),7500)</f>
        <v>7500</v>
      </c>
      <c r="Q63" s="77">
        <f ca="1">IFERROR(__xludf.DUMMYFUNCTION("IMPORTRANGE(""https://docs.google.com/spreadsheets/d/1C3CXT74ZlgGe6_JY_1olB1XN4rF0dxEuIIF-xsYjHgg/edit?usp=sharing"",""พรบ!AG67"")"),4)</f>
        <v>4</v>
      </c>
      <c r="R63" s="77">
        <f ca="1">IFERROR(__xludf.DUMMYFUNCTION("IMPORTRANGE(""https://docs.google.com/spreadsheets/d/1SX6NBoVAgQJ6U1MVXOaj8PK2l7WJ3RER9xtqwdhxkhw/edit?usp=sharing"",""ปทุมธานี!J83"")"),2)</f>
        <v>2</v>
      </c>
      <c r="S63" s="137">
        <f t="shared" ca="1" si="9"/>
        <v>50</v>
      </c>
      <c r="T63" s="77">
        <f t="shared" ca="1" si="98"/>
        <v>59</v>
      </c>
      <c r="U63" s="77">
        <f ca="1">IFERROR(__xludf.DUMMYFUNCTION("IMPORTRANGE(""https://docs.google.com/spreadsheets/d/1SX6NBoVAgQJ6U1MVXOaj8PK2l7WJ3RER9xtqwdhxkhw/edit?usp=sharing"",""ปทุมธานี!J85"")"),59)</f>
        <v>59</v>
      </c>
      <c r="V63" s="77">
        <f ca="1">IFERROR(__xludf.DUMMYFUNCTION("IMPORTRANGE(""https://docs.google.com/spreadsheets/d/1SX6NBoVAgQJ6U1MVXOaj8PK2l7WJ3RER9xtqwdhxkhw/edit?usp=sharing"",""ปทุมธานี!J86"")"),0)</f>
        <v>0</v>
      </c>
      <c r="W63" s="77">
        <f ca="1">IFERROR(__xludf.DUMMYFUNCTION("IMPORTRANGE(""https://docs.google.com/spreadsheets/d/1C3CXT74ZlgGe6_JY_1olB1XN4rF0dxEuIIF-xsYjHgg/edit?usp=sharing"",""พรบ!AH67"")"),14000)</f>
        <v>14000</v>
      </c>
      <c r="X63" s="77">
        <f ca="1">IFERROR(__xludf.DUMMYFUNCTION("IMPORTRANGE(""https://docs.google.com/spreadsheets/d/1C3CXT74ZlgGe6_JY_1olB1XN4rF0dxEuIIF-xsYjHgg/edit?usp=sharing"",""พรบ!AI67"")"),1)</f>
        <v>1</v>
      </c>
      <c r="Y63" s="77">
        <f ca="1">IFERROR(__xludf.DUMMYFUNCTION("IMPORTRANGE(""https://docs.google.com/spreadsheets/d/1SX6NBoVAgQJ6U1MVXOaj8PK2l7WJ3RER9xtqwdhxkhw/edit?usp=sharing"",""ปทุมธานี!J98"")"),1)</f>
        <v>1</v>
      </c>
      <c r="Z63" s="137">
        <f t="shared" ca="1" si="11"/>
        <v>100</v>
      </c>
      <c r="AA63" s="77">
        <f ca="1">IFERROR(__xludf.DUMMYFUNCTION("IMPORTRANGE(""https://docs.google.com/spreadsheets/d/1C3CXT74ZlgGe6_JY_1olB1XN4rF0dxEuIIF-xsYjHgg/edit?usp=sharing"",""พรบ!AJ67"")"),0)</f>
        <v>0</v>
      </c>
      <c r="AB63" s="77">
        <f ca="1">IFERROR(__xludf.DUMMYFUNCTION("IMPORTRANGE(""https://docs.google.com/spreadsheets/d/1C3CXT74ZlgGe6_JY_1olB1XN4rF0dxEuIIF-xsYjHgg/edit?usp=sharing"",""พรบ!AK67"")"),0)</f>
        <v>0</v>
      </c>
      <c r="AC63" s="77">
        <f ca="1">IFERROR(__xludf.DUMMYFUNCTION("IMPORTRANGE(""https://docs.google.com/spreadsheets/d/1SX6NBoVAgQJ6U1MVXOaj8PK2l7WJ3RER9xtqwdhxkhw/edit?usp=sharing"",""ปทุมธานี!J110"")"),0)</f>
        <v>0</v>
      </c>
      <c r="AD63" s="137">
        <f t="shared" ca="1" si="13"/>
        <v>0</v>
      </c>
      <c r="AE63" s="77">
        <f ca="1">IFERROR(__xludf.DUMMYFUNCTION("IMPORTRANGE(""https://docs.google.com/spreadsheets/d/1C3CXT74ZlgGe6_JY_1olB1XN4rF0dxEuIIF-xsYjHgg/edit?usp=sharing"",""พรบ!AL67"")"),0)</f>
        <v>0</v>
      </c>
      <c r="AF63" s="77">
        <f ca="1">IFERROR(__xludf.DUMMYFUNCTION("IMPORTRANGE(""https://docs.google.com/spreadsheets/d/1SX6NBoVAgQJ6U1MVXOaj8PK2l7WJ3RER9xtqwdhxkhw/edit?usp=sharing"",""ปทุมธานี!J111"")"),0)</f>
        <v>0</v>
      </c>
      <c r="AG63" s="137">
        <f t="shared" ca="1" si="15"/>
        <v>0</v>
      </c>
      <c r="AH63" s="77">
        <f ca="1">IFERROR(__xludf.DUMMYFUNCTION("IMPORTRANGE(""https://docs.google.com/spreadsheets/d/1C3CXT74ZlgGe6_JY_1olB1XN4rF0dxEuIIF-xsYjHgg/edit?usp=sharing"",""พรบ!AM67"")"),7500)</f>
        <v>7500</v>
      </c>
      <c r="AI63" s="77">
        <f ca="1">IFERROR(__xludf.DUMMYFUNCTION("IMPORTRANGE(""https://docs.google.com/spreadsheets/d/1C3CXT74ZlgGe6_JY_1olB1XN4rF0dxEuIIF-xsYjHgg/edit?usp=sharing"",""พรบ!AN67"")"),20000)</f>
        <v>20000</v>
      </c>
      <c r="AJ63" s="77">
        <f ca="1">IFERROR(__xludf.DUMMYFUNCTION("IMPORTRANGE(""https://docs.google.com/spreadsheets/d/1SX6NBoVAgQJ6U1MVXOaj8PK2l7WJ3RER9xtqwdhxkhw/edit?usp=sharing"",""ปทุมธานี!J124"")"),0)</f>
        <v>0</v>
      </c>
      <c r="AK63" s="137">
        <f t="shared" ca="1" si="17"/>
        <v>0</v>
      </c>
      <c r="AL63" s="77">
        <f ca="1">IFERROR(__xludf.DUMMYFUNCTION("IMPORTRANGE(""https://docs.google.com/spreadsheets/d/1SX6NBoVAgQJ6U1MVXOaj8PK2l7WJ3RER9xtqwdhxkhw/edit?usp=sharing"",""ปทุมธานี!J125"")"),0)</f>
        <v>0</v>
      </c>
      <c r="AM63" s="137">
        <f t="shared" ca="1" si="18"/>
        <v>0</v>
      </c>
      <c r="AN63" s="77">
        <f ca="1">IFERROR(__xludf.DUMMYFUNCTION("IMPORTRANGE(""https://docs.google.com/spreadsheets/d/1C3CXT74ZlgGe6_JY_1olB1XN4rF0dxEuIIF-xsYjHgg/edit?usp=sharing"",""พรบ!AQ67"")"),0)</f>
        <v>0</v>
      </c>
      <c r="AO63" s="77">
        <f ca="1">IFERROR(__xludf.DUMMYFUNCTION("IMPORTRANGE(""https://docs.google.com/spreadsheets/d/1SX6NBoVAgQJ6U1MVXOaj8PK2l7WJ3RER9xtqwdhxkhw/edit?usp=sharing"",""ปทุมธานี!J126"")"),0)</f>
        <v>0</v>
      </c>
      <c r="AP63" s="137">
        <f t="shared" ca="1" si="20"/>
        <v>0</v>
      </c>
      <c r="AQ63" s="77">
        <f ca="1">IFERROR(__xludf.DUMMYFUNCTION("IMPORTRANGE(""https://docs.google.com/spreadsheets/d/1C3CXT74ZlgGe6_JY_1olB1XN4rF0dxEuIIF-xsYjHgg/edit?usp=sharing"",""พรบ!AR67"")"),191000)</f>
        <v>191000</v>
      </c>
      <c r="AR63" s="77">
        <f ca="1">IFERROR(__xludf.DUMMYFUNCTION("IMPORTRANGE(""https://docs.google.com/spreadsheets/d/1C3CXT74ZlgGe6_JY_1olB1XN4rF0dxEuIIF-xsYjHgg/edit?usp=sharing"",""พรบ!AS67"")"),30)</f>
        <v>30</v>
      </c>
      <c r="AS63" s="77">
        <f ca="1">IFERROR(__xludf.DUMMYFUNCTION("IMPORTRANGE(""https://docs.google.com/spreadsheets/d/1SX6NBoVAgQJ6U1MVXOaj8PK2l7WJ3RER9xtqwdhxkhw/edit?usp=sharing"",""ปทุมธานี!J138"")"),30)</f>
        <v>30</v>
      </c>
      <c r="AT63" s="137">
        <f t="shared" ca="1" si="22"/>
        <v>100</v>
      </c>
      <c r="AU63" s="149">
        <f ca="1">IFERROR(__xludf.DUMMYFUNCTION("IMPORTRANGE(""https://docs.google.com/spreadsheets/d/1C3CXT74ZlgGe6_JY_1olB1XN4rF0dxEuIIF-xsYjHgg/edit?usp=sharing"",""พรบ!AT67"")"),0)</f>
        <v>0</v>
      </c>
      <c r="AV63" s="77">
        <f ca="1">IFERROR(__xludf.DUMMYFUNCTION("IMPORTRANGE(""https://docs.google.com/spreadsheets/d/1C3CXT74ZlgGe6_JY_1olB1XN4rF0dxEuIIF-xsYjHgg/edit?usp=sharing"",""พรบ!AU67"")"),1)</f>
        <v>1</v>
      </c>
      <c r="AW63" s="77">
        <f ca="1">IFERROR(__xludf.DUMMYFUNCTION("IMPORTRANGE(""https://docs.google.com/spreadsheets/d/1SX6NBoVAgQJ6U1MVXOaj8PK2l7WJ3RER9xtqwdhxkhw/edit?usp=sharing"",""ปทุมธานี!J140"")"),0)</f>
        <v>0</v>
      </c>
      <c r="AX63" s="137">
        <f t="shared" ca="1" si="24"/>
        <v>0</v>
      </c>
      <c r="AY63" s="77">
        <f ca="1">IFERROR(__xludf.DUMMYFUNCTION("IMPORTRANGE(""https://docs.google.com/spreadsheets/d/1SX6NBoVAgQJ6U1MVXOaj8PK2l7WJ3RER9xtqwdhxkhw/edit?usp=sharing"",""ปทุมธานี!J141"")"),0)</f>
        <v>0</v>
      </c>
      <c r="AZ63" s="137">
        <f t="shared" ca="1" si="25"/>
        <v>0</v>
      </c>
      <c r="BA63" s="77">
        <f t="shared" ca="1" si="26"/>
        <v>30</v>
      </c>
      <c r="BB63" s="77">
        <f t="shared" ca="1" si="99"/>
        <v>30</v>
      </c>
      <c r="BC63" s="137">
        <f t="shared" ca="1" si="27"/>
        <v>100</v>
      </c>
    </row>
    <row r="64" spans="1:55" ht="21" customHeight="1">
      <c r="A64" s="73">
        <v>10</v>
      </c>
      <c r="B64" s="74" t="s">
        <v>88</v>
      </c>
      <c r="C64" s="75">
        <f t="shared" ca="1" si="0"/>
        <v>44500</v>
      </c>
      <c r="D64" s="76">
        <f t="shared" ca="1" si="97"/>
        <v>44500</v>
      </c>
      <c r="E64" s="77">
        <f ca="1">IFERROR(__xludf.DUMMYFUNCTION("IMPORTRANGE(""https://docs.google.com/spreadsheets/d/1C3CXT74ZlgGe6_JY_1olB1XN4rF0dxEuIIF-xsYjHgg/edit?usp=sharing"",""พรบ!AD68"")"),0)</f>
        <v>0</v>
      </c>
      <c r="F64" s="77">
        <f ca="1">IFERROR(__xludf.DUMMYFUNCTION("IMPORTRANGE(""https://docs.google.com/spreadsheets/d/1C3CXT74ZlgGe6_JY_1olB1XN4rF0dxEuIIF-xsYjHgg/edit?usp=sharing"",""พรบ!AE68"")"),44500)</f>
        <v>44500</v>
      </c>
      <c r="G64" s="77">
        <f ca="1">IFERROR(__xludf.DUMMYFUNCTION("IMPORTRANGE(""https://docs.google.com/spreadsheets/d/1Yj_ptqi66GCucihVvJfMjLAmec39IyEx_6qawtMGysU/edit?usp=sharing"",""สบก!BH68"")"),0)</f>
        <v>0</v>
      </c>
      <c r="H64" s="77">
        <f ca="1">IFERROR(__xludf.DUMMYFUNCTION("IMPORTRANGE(""https://docs.google.com/spreadsheets/d/1Yj_ptqi66GCucihVvJfMjLAmec39IyEx_6qawtMGysU/edit?usp=shBJing"",""สบก!BJ68"")"),41625)</f>
        <v>41625</v>
      </c>
      <c r="I64" s="77">
        <f t="shared" ca="1" si="3"/>
        <v>23592</v>
      </c>
      <c r="J64" s="137">
        <f t="shared" ca="1" si="4"/>
        <v>53.015730337078651</v>
      </c>
      <c r="K64" s="77">
        <f ca="1">IFERROR(__xludf.DUMMYFUNCTION("IMPORTRANGE(""https://docs.google.com/spreadsheets/d/1Yj_ptqi66GCucihVvJfMjLAmec39IyEx_6qawtMGysU/edit?usp=sharing"",""สบก!BK68"")"),23592)</f>
        <v>23592</v>
      </c>
      <c r="L64" s="137">
        <f t="shared" ca="1" si="5"/>
        <v>53.015730337078651</v>
      </c>
      <c r="M64" s="137">
        <f t="shared" ca="1" si="6"/>
        <v>56.677477477477474</v>
      </c>
      <c r="N64" s="137">
        <f ca="1">IFERROR(__xludf.DUMMYFUNCTION("IMPORTRANGE(""https://docs.google.com/spreadsheets/d/1Yj_ptqi66GCucihVvJfMjLAmec39IyEx_6qawtMGysU/edit?usp=sharing"",""สบก!BL68"")"),0)</f>
        <v>0</v>
      </c>
      <c r="O64" s="137">
        <f t="shared" ca="1" si="7"/>
        <v>0</v>
      </c>
      <c r="P64" s="77">
        <f ca="1">IFERROR(__xludf.DUMMYFUNCTION("IMPORTRANGE(""https://docs.google.com/spreadsheets/d/1C3CXT74ZlgGe6_JY_1olB1XN4rF0dxEuIIF-xsYjHgg/edit?usp=sharing"",""พรบ!AF68"")"),7500)</f>
        <v>7500</v>
      </c>
      <c r="Q64" s="77">
        <f ca="1">IFERROR(__xludf.DUMMYFUNCTION("IMPORTRANGE(""https://docs.google.com/spreadsheets/d/1C3CXT74ZlgGe6_JY_1olB1XN4rF0dxEuIIF-xsYjHgg/edit?usp=sharing"",""พรบ!AG68"")"),4)</f>
        <v>4</v>
      </c>
      <c r="R64" s="77">
        <f ca="1">IFERROR(__xludf.DUMMYFUNCTION("IMPORTRANGE(""https://docs.google.com/spreadsheets/d/1SX6NBoVAgQJ6U1MVXOaj8PK2l7WJ3RER9xtqwdhxkhw/edit?usp=sharing"",""ประจวบคีรีขันธ์!J83"")"),2)</f>
        <v>2</v>
      </c>
      <c r="S64" s="137">
        <f t="shared" ca="1" si="9"/>
        <v>50</v>
      </c>
      <c r="T64" s="77">
        <f t="shared" ca="1" si="98"/>
        <v>45</v>
      </c>
      <c r="U64" s="77">
        <f ca="1">IFERROR(__xludf.DUMMYFUNCTION("IMPORTRANGE(""https://docs.google.com/spreadsheets/d/1SX6NBoVAgQJ6U1MVXOaj8PK2l7WJ3RER9xtqwdhxkhw/edit?usp=sharing"",""ประจวบคีรีขันธ์!J85"")"),45)</f>
        <v>45</v>
      </c>
      <c r="V64" s="77">
        <f ca="1">IFERROR(__xludf.DUMMYFUNCTION("IMPORTRANGE(""https://docs.google.com/spreadsheets/d/1SX6NBoVAgQJ6U1MVXOaj8PK2l7WJ3RER9xtqwdhxkhw/edit?usp=sharing"",""ประจวบคีรีขันธ์!J86"")"),0)</f>
        <v>0</v>
      </c>
      <c r="W64" s="77">
        <f ca="1">IFERROR(__xludf.DUMMYFUNCTION("IMPORTRANGE(""https://docs.google.com/spreadsheets/d/1C3CXT74ZlgGe6_JY_1olB1XN4rF0dxEuIIF-xsYjHgg/edit?usp=sharing"",""พรบ!AH68"")"),28000)</f>
        <v>28000</v>
      </c>
      <c r="X64" s="77">
        <f ca="1">IFERROR(__xludf.DUMMYFUNCTION("IMPORTRANGE(""https://docs.google.com/spreadsheets/d/1C3CXT74ZlgGe6_JY_1olB1XN4rF0dxEuIIF-xsYjHgg/edit?usp=sharing"",""พรบ!AI68"")"),2)</f>
        <v>2</v>
      </c>
      <c r="Y64" s="77">
        <f ca="1">IFERROR(__xludf.DUMMYFUNCTION("IMPORTRANGE(""https://docs.google.com/spreadsheets/d/1SX6NBoVAgQJ6U1MVXOaj8PK2l7WJ3RER9xtqwdhxkhw/edit?usp=sharing"",""ประจวบคีรีขันธ์!J98"")"),1)</f>
        <v>1</v>
      </c>
      <c r="Z64" s="137">
        <f t="shared" ca="1" si="11"/>
        <v>50</v>
      </c>
      <c r="AA64" s="77">
        <f ca="1">IFERROR(__xludf.DUMMYFUNCTION("IMPORTRANGE(""https://docs.google.com/spreadsheets/d/1C3CXT74ZlgGe6_JY_1olB1XN4rF0dxEuIIF-xsYjHgg/edit?usp=sharing"",""พรบ!AJ68"")"),0)</f>
        <v>0</v>
      </c>
      <c r="AB64" s="77">
        <f ca="1">IFERROR(__xludf.DUMMYFUNCTION("IMPORTRANGE(""https://docs.google.com/spreadsheets/d/1C3CXT74ZlgGe6_JY_1olB1XN4rF0dxEuIIF-xsYjHgg/edit?usp=sharing"",""พรบ!AK68"")"),0)</f>
        <v>0</v>
      </c>
      <c r="AC64" s="77">
        <f ca="1">IFERROR(__xludf.DUMMYFUNCTION("IMPORTRANGE(""https://docs.google.com/spreadsheets/d/1SX6NBoVAgQJ6U1MVXOaj8PK2l7WJ3RER9xtqwdhxkhw/edit?usp=sharing"",""ประจวบคีรีขันธ์!J110"")"),0)</f>
        <v>0</v>
      </c>
      <c r="AD64" s="137">
        <f t="shared" ca="1" si="13"/>
        <v>0</v>
      </c>
      <c r="AE64" s="77">
        <f ca="1">IFERROR(__xludf.DUMMYFUNCTION("IMPORTRANGE(""https://docs.google.com/spreadsheets/d/1C3CXT74ZlgGe6_JY_1olB1XN4rF0dxEuIIF-xsYjHgg/edit?usp=sharing"",""พรบ!AL68"")"),0)</f>
        <v>0</v>
      </c>
      <c r="AF64" s="77">
        <f ca="1">IFERROR(__xludf.DUMMYFUNCTION("IMPORTRANGE(""https://docs.google.com/spreadsheets/d/1SX6NBoVAgQJ6U1MVXOaj8PK2l7WJ3RER9xtqwdhxkhw/edit?usp=sharing"",""ประจวบคีรีขันธ์!J111"")"),0)</f>
        <v>0</v>
      </c>
      <c r="AG64" s="137">
        <f t="shared" ca="1" si="15"/>
        <v>0</v>
      </c>
      <c r="AH64" s="77">
        <f ca="1">IFERROR(__xludf.DUMMYFUNCTION("IMPORTRANGE(""https://docs.google.com/spreadsheets/d/1C3CXT74ZlgGe6_JY_1olB1XN4rF0dxEuIIF-xsYjHgg/edit?usp=sharing"",""พรบ!AM68"")"),9000)</f>
        <v>9000</v>
      </c>
      <c r="AI64" s="77">
        <f ca="1">IFERROR(__xludf.DUMMYFUNCTION("IMPORTRANGE(""https://docs.google.com/spreadsheets/d/1C3CXT74ZlgGe6_JY_1olB1XN4rF0dxEuIIF-xsYjHgg/edit?usp=sharing"",""พรบ!AN68"")"),20000)</f>
        <v>20000</v>
      </c>
      <c r="AJ64" s="77">
        <f ca="1">IFERROR(__xludf.DUMMYFUNCTION("IMPORTRANGE(""https://docs.google.com/spreadsheets/d/1SX6NBoVAgQJ6U1MVXOaj8PK2l7WJ3RER9xtqwdhxkhw/edit?usp=sharing"",""ประจวบคีรีขันธ์!J124"")"),0)</f>
        <v>0</v>
      </c>
      <c r="AK64" s="137">
        <f t="shared" ca="1" si="17"/>
        <v>0</v>
      </c>
      <c r="AL64" s="77">
        <f ca="1">IFERROR(__xludf.DUMMYFUNCTION("IMPORTRANGE(""https://docs.google.com/spreadsheets/d/1SX6NBoVAgQJ6U1MVXOaj8PK2l7WJ3RER9xtqwdhxkhw/edit?usp=sharing"",""ประจวบคีรีขันธ์!J125"")"),0)</f>
        <v>0</v>
      </c>
      <c r="AM64" s="137">
        <f t="shared" ca="1" si="18"/>
        <v>0</v>
      </c>
      <c r="AN64" s="77">
        <f ca="1">IFERROR(__xludf.DUMMYFUNCTION("IMPORTRANGE(""https://docs.google.com/spreadsheets/d/1C3CXT74ZlgGe6_JY_1olB1XN4rF0dxEuIIF-xsYjHgg/edit?usp=sharing"",""พรบ!AQ68"")"),0)</f>
        <v>0</v>
      </c>
      <c r="AO64" s="77">
        <f ca="1">IFERROR(__xludf.DUMMYFUNCTION("IMPORTRANGE(""https://docs.google.com/spreadsheets/d/1SX6NBoVAgQJ6U1MVXOaj8PK2l7WJ3RER9xtqwdhxkhw/edit?usp=sharing"",""ประจวบคีรีขันธ์!J126"")"),0)</f>
        <v>0</v>
      </c>
      <c r="AP64" s="137">
        <f t="shared" ca="1" si="20"/>
        <v>0</v>
      </c>
      <c r="AQ64" s="149">
        <f ca="1">IFERROR(__xludf.DUMMYFUNCTION("IMPORTRANGE(""https://docs.google.com/spreadsheets/d/1C3CXT74ZlgGe6_JY_1olB1XN4rF0dxEuIIF-xsYjHgg/edit?usp=sharing"",""พรบ!AR68"")"),0)</f>
        <v>0</v>
      </c>
      <c r="AR64" s="77">
        <f ca="1">IFERROR(__xludf.DUMMYFUNCTION("IMPORTRANGE(""https://docs.google.com/spreadsheets/d/1C3CXT74ZlgGe6_JY_1olB1XN4rF0dxEuIIF-xsYjHgg/edit?usp=sharing"",""พรบ!AS68"")"),0)</f>
        <v>0</v>
      </c>
      <c r="AS64" s="77">
        <f ca="1">IFERROR(__xludf.DUMMYFUNCTION("IMPORTRANGE(""https://docs.google.com/spreadsheets/d/1SX6NBoVAgQJ6U1MVXOaj8PK2l7WJ3RER9xtqwdhxkhw/edit?usp=sharing"",""ประจวบคีรีขันธ์!J138"")"),0)</f>
        <v>0</v>
      </c>
      <c r="AT64" s="137">
        <f t="shared" ca="1" si="22"/>
        <v>0</v>
      </c>
      <c r="AU64" s="77">
        <f ca="1">IFERROR(__xludf.DUMMYFUNCTION("IMPORTRANGE(""https://docs.google.com/spreadsheets/d/1C3CXT74ZlgGe6_JY_1olB1XN4rF0dxEuIIF-xsYjHgg/edit?usp=sharing"",""พรบ!AT68"")"),0)</f>
        <v>0</v>
      </c>
      <c r="AV64" s="77">
        <f ca="1">IFERROR(__xludf.DUMMYFUNCTION("IMPORTRANGE(""https://docs.google.com/spreadsheets/d/1C3CXT74ZlgGe6_JY_1olB1XN4rF0dxEuIIF-xsYjHgg/edit?usp=sharing"",""พรบ!AU68"")"),0)</f>
        <v>0</v>
      </c>
      <c r="AW64" s="77">
        <f ca="1">IFERROR(__xludf.DUMMYFUNCTION("IMPORTRANGE(""https://docs.google.com/spreadsheets/d/1SX6NBoVAgQJ6U1MVXOaj8PK2l7WJ3RER9xtqwdhxkhw/edit?usp=sharing"",""ประจวบคีรีขันธ์!J140"")"),0)</f>
        <v>0</v>
      </c>
      <c r="AX64" s="137">
        <f t="shared" ca="1" si="24"/>
        <v>0</v>
      </c>
      <c r="AY64" s="77">
        <f ca="1">IFERROR(__xludf.DUMMYFUNCTION("IMPORTRANGE(""https://docs.google.com/spreadsheets/d/1SX6NBoVAgQJ6U1MVXOaj8PK2l7WJ3RER9xtqwdhxkhw/edit?usp=sharing"",""ประจวบคีรีขันธ์!J141"")"),0)</f>
        <v>0</v>
      </c>
      <c r="AZ64" s="137">
        <f t="shared" ca="1" si="25"/>
        <v>0</v>
      </c>
      <c r="BA64" s="77">
        <f t="shared" ca="1" si="26"/>
        <v>0</v>
      </c>
      <c r="BB64" s="77">
        <f t="shared" ca="1" si="99"/>
        <v>0</v>
      </c>
      <c r="BC64" s="137">
        <f t="shared" ca="1" si="27"/>
        <v>0</v>
      </c>
    </row>
    <row r="65" spans="1:55" ht="21" customHeight="1">
      <c r="A65" s="73">
        <v>11</v>
      </c>
      <c r="B65" s="74" t="s">
        <v>89</v>
      </c>
      <c r="C65" s="75">
        <f t="shared" ca="1" si="0"/>
        <v>431300</v>
      </c>
      <c r="D65" s="76">
        <f t="shared" ca="1" si="97"/>
        <v>431300</v>
      </c>
      <c r="E65" s="77">
        <f ca="1">IFERROR(__xludf.DUMMYFUNCTION("IMPORTRANGE(""https://docs.google.com/spreadsheets/d/1C3CXT74ZlgGe6_JY_1olB1XN4rF0dxEuIIF-xsYjHgg/edit?usp=sharing"",""พรบ!AD69"")"),305000)</f>
        <v>305000</v>
      </c>
      <c r="F65" s="77">
        <f ca="1">IFERROR(__xludf.DUMMYFUNCTION("IMPORTRANGE(""https://docs.google.com/spreadsheets/d/1C3CXT74ZlgGe6_JY_1olB1XN4rF0dxEuIIF-xsYjHgg/edit?usp=sharing"",""พรบ!AE69"")"),126300)</f>
        <v>126300</v>
      </c>
      <c r="G65" s="77">
        <f ca="1">IFERROR(__xludf.DUMMYFUNCTION("IMPORTRANGE(""https://docs.google.com/spreadsheets/d/1Yj_ptqi66GCucihVvJfMjLAmec39IyEx_6qawtMGysU/edit?usp=sharing"",""สบก!BH69"")"),0)</f>
        <v>0</v>
      </c>
      <c r="H65" s="77">
        <f ca="1">IFERROR(__xludf.DUMMYFUNCTION("IMPORTRANGE(""https://docs.google.com/spreadsheets/d/1Yj_ptqi66GCucihVvJfMjLAmec39IyEx_6qawtMGysU/edit?usp=shBJing"",""สบก!BJ69"")"),347125)</f>
        <v>347125</v>
      </c>
      <c r="I65" s="77">
        <f t="shared" ca="1" si="3"/>
        <v>237557</v>
      </c>
      <c r="J65" s="137">
        <f t="shared" ca="1" si="4"/>
        <v>55.079295154185019</v>
      </c>
      <c r="K65" s="77">
        <f ca="1">IFERROR(__xludf.DUMMYFUNCTION("IMPORTRANGE(""https://docs.google.com/spreadsheets/d/1Yj_ptqi66GCucihVvJfMjLAmec39IyEx_6qawtMGysU/edit?usp=sharing"",""สบก!BK69"")"),237557)</f>
        <v>237557</v>
      </c>
      <c r="L65" s="137">
        <f t="shared" ca="1" si="5"/>
        <v>55.079295154185019</v>
      </c>
      <c r="M65" s="137">
        <f t="shared" ca="1" si="6"/>
        <v>68.43557796182931</v>
      </c>
      <c r="N65" s="137">
        <f ca="1">IFERROR(__xludf.DUMMYFUNCTION("IMPORTRANGE(""https://docs.google.com/spreadsheets/d/1Yj_ptqi66GCucihVvJfMjLAmec39IyEx_6qawtMGysU/edit?usp=sharing"",""สบก!BL69"")"),0)</f>
        <v>0</v>
      </c>
      <c r="O65" s="137">
        <f t="shared" ca="1" si="7"/>
        <v>0</v>
      </c>
      <c r="P65" s="77">
        <f ca="1">IFERROR(__xludf.DUMMYFUNCTION("IMPORTRANGE(""https://docs.google.com/spreadsheets/d/1C3CXT74ZlgGe6_JY_1olB1XN4rF0dxEuIIF-xsYjHgg/edit?usp=sharing"",""พรบ!AF69"")"),7500)</f>
        <v>7500</v>
      </c>
      <c r="Q65" s="77">
        <f ca="1">IFERROR(__xludf.DUMMYFUNCTION("IMPORTRANGE(""https://docs.google.com/spreadsheets/d/1C3CXT74ZlgGe6_JY_1olB1XN4rF0dxEuIIF-xsYjHgg/edit?usp=sharing"",""พรบ!AG69"")"),4)</f>
        <v>4</v>
      </c>
      <c r="R65" s="77">
        <f ca="1">IFERROR(__xludf.DUMMYFUNCTION("IMPORTRANGE(""https://docs.google.com/spreadsheets/d/1SX6NBoVAgQJ6U1MVXOaj8PK2l7WJ3RER9xtqwdhxkhw/edit?usp=sharing"",""ปราจีนบุรี!J83"")"),1)</f>
        <v>1</v>
      </c>
      <c r="S65" s="137">
        <f t="shared" ca="1" si="9"/>
        <v>25</v>
      </c>
      <c r="T65" s="77">
        <f t="shared" ca="1" si="98"/>
        <v>21</v>
      </c>
      <c r="U65" s="77">
        <f ca="1">IFERROR(__xludf.DUMMYFUNCTION("IMPORTRANGE(""https://docs.google.com/spreadsheets/d/1SX6NBoVAgQJ6U1MVXOaj8PK2l7WJ3RER9xtqwdhxkhw/edit?usp=sharing"",""ปราจีนบุรี!J85"")"),20)</f>
        <v>20</v>
      </c>
      <c r="V65" s="77">
        <f ca="1">IFERROR(__xludf.DUMMYFUNCTION("IMPORTRANGE(""https://docs.google.com/spreadsheets/d/1SX6NBoVAgQJ6U1MVXOaj8PK2l7WJ3RER9xtqwdhxkhw/edit?usp=sharing"",""ปราจีนบุรี!J86"")"),1)</f>
        <v>1</v>
      </c>
      <c r="W65" s="77">
        <f ca="1">IFERROR(__xludf.DUMMYFUNCTION("IMPORTRANGE(""https://docs.google.com/spreadsheets/d/1C3CXT74ZlgGe6_JY_1olB1XN4rF0dxEuIIF-xsYjHgg/edit?usp=sharing"",""พรบ!AH69"")"),42000)</f>
        <v>42000</v>
      </c>
      <c r="X65" s="77">
        <f ca="1">IFERROR(__xludf.DUMMYFUNCTION("IMPORTRANGE(""https://docs.google.com/spreadsheets/d/1C3CXT74ZlgGe6_JY_1olB1XN4rF0dxEuIIF-xsYjHgg/edit?usp=sharing"",""พรบ!AI69"")"),3)</f>
        <v>3</v>
      </c>
      <c r="Y65" s="77">
        <f ca="1">IFERROR(__xludf.DUMMYFUNCTION("IMPORTRANGE(""https://docs.google.com/spreadsheets/d/1SX6NBoVAgQJ6U1MVXOaj8PK2l7WJ3RER9xtqwdhxkhw/edit?usp=sharing"",""ปราจีนบุรี!J98"")"),3)</f>
        <v>3</v>
      </c>
      <c r="Z65" s="137">
        <f t="shared" ca="1" si="11"/>
        <v>100</v>
      </c>
      <c r="AA65" s="77">
        <f ca="1">IFERROR(__xludf.DUMMYFUNCTION("IMPORTRANGE(""https://docs.google.com/spreadsheets/d/1C3CXT74ZlgGe6_JY_1olB1XN4rF0dxEuIIF-xsYjHgg/edit?usp=sharing"",""พรบ!AJ69"")"),0)</f>
        <v>0</v>
      </c>
      <c r="AB65" s="77">
        <f ca="1">IFERROR(__xludf.DUMMYFUNCTION("IMPORTRANGE(""https://docs.google.com/spreadsheets/d/1C3CXT74ZlgGe6_JY_1olB1XN4rF0dxEuIIF-xsYjHgg/edit?usp=sharing"",""พรบ!AK69"")"),0)</f>
        <v>0</v>
      </c>
      <c r="AC65" s="77">
        <f ca="1">IFERROR(__xludf.DUMMYFUNCTION("IMPORTRANGE(""https://docs.google.com/spreadsheets/d/1SX6NBoVAgQJ6U1MVXOaj8PK2l7WJ3RER9xtqwdhxkhw/edit?usp=sharing"",""ปราจีนบุรี!J110"")"),0)</f>
        <v>0</v>
      </c>
      <c r="AD65" s="137">
        <f t="shared" ca="1" si="13"/>
        <v>0</v>
      </c>
      <c r="AE65" s="77">
        <f ca="1">IFERROR(__xludf.DUMMYFUNCTION("IMPORTRANGE(""https://docs.google.com/spreadsheets/d/1C3CXT74ZlgGe6_JY_1olB1XN4rF0dxEuIIF-xsYjHgg/edit?usp=sharing"",""พรบ!AL69"")"),0)</f>
        <v>0</v>
      </c>
      <c r="AF65" s="77">
        <f ca="1">IFERROR(__xludf.DUMMYFUNCTION("IMPORTRANGE(""https://docs.google.com/spreadsheets/d/1SX6NBoVAgQJ6U1MVXOaj8PK2l7WJ3RER9xtqwdhxkhw/edit?usp=sharing"",""ปราจีนบุรี!J111"")"),0)</f>
        <v>0</v>
      </c>
      <c r="AG65" s="137">
        <f t="shared" ca="1" si="15"/>
        <v>0</v>
      </c>
      <c r="AH65" s="77">
        <f ca="1">IFERROR(__xludf.DUMMYFUNCTION("IMPORTRANGE(""https://docs.google.com/spreadsheets/d/1C3CXT74ZlgGe6_JY_1olB1XN4rF0dxEuIIF-xsYjHgg/edit?usp=sharing"",""พรบ!AM69"")"),9000)</f>
        <v>9000</v>
      </c>
      <c r="AI65" s="77">
        <f ca="1">IFERROR(__xludf.DUMMYFUNCTION("IMPORTRANGE(""https://docs.google.com/spreadsheets/d/1C3CXT74ZlgGe6_JY_1olB1XN4rF0dxEuIIF-xsYjHgg/edit?usp=sharing"",""พรบ!AN69"")"),20000)</f>
        <v>20000</v>
      </c>
      <c r="AJ65" s="77">
        <f ca="1">IFERROR(__xludf.DUMMYFUNCTION("IMPORTRANGE(""https://docs.google.com/spreadsheets/d/1SX6NBoVAgQJ6U1MVXOaj8PK2l7WJ3RER9xtqwdhxkhw/edit?usp=sharing"",""ปราจีนบุรี!J124"")"),0)</f>
        <v>0</v>
      </c>
      <c r="AK65" s="137">
        <f t="shared" ca="1" si="17"/>
        <v>0</v>
      </c>
      <c r="AL65" s="77">
        <f ca="1">IFERROR(__xludf.DUMMYFUNCTION("IMPORTRANGE(""https://docs.google.com/spreadsheets/d/1SX6NBoVAgQJ6U1MVXOaj8PK2l7WJ3RER9xtqwdhxkhw/edit?usp=sharing"",""ปราจีนบุรี!J125"")"),0)</f>
        <v>0</v>
      </c>
      <c r="AM65" s="137">
        <f t="shared" ca="1" si="18"/>
        <v>0</v>
      </c>
      <c r="AN65" s="77">
        <f ca="1">IFERROR(__xludf.DUMMYFUNCTION("IMPORTRANGE(""https://docs.google.com/spreadsheets/d/1C3CXT74ZlgGe6_JY_1olB1XN4rF0dxEuIIF-xsYjHgg/edit?usp=sharing"",""พรบ!AQ69"")"),0)</f>
        <v>0</v>
      </c>
      <c r="AO65" s="77">
        <f ca="1">IFERROR(__xludf.DUMMYFUNCTION("IMPORTRANGE(""https://docs.google.com/spreadsheets/d/1SX6NBoVAgQJ6U1MVXOaj8PK2l7WJ3RER9xtqwdhxkhw/edit?usp=sharing"",""ปราจีนบุรี!J126"")"),0)</f>
        <v>0</v>
      </c>
      <c r="AP65" s="137">
        <f t="shared" ca="1" si="20"/>
        <v>0</v>
      </c>
      <c r="AQ65" s="77">
        <f ca="1">IFERROR(__xludf.DUMMYFUNCTION("IMPORTRANGE(""https://docs.google.com/spreadsheets/d/1C3CXT74ZlgGe6_JY_1olB1XN4rF0dxEuIIF-xsYjHgg/edit?usp=sharing"",""พรบ!AR69"")"),67800)</f>
        <v>67800</v>
      </c>
      <c r="AR65" s="77">
        <f ca="1">IFERROR(__xludf.DUMMYFUNCTION("IMPORTRANGE(""https://docs.google.com/spreadsheets/d/1C3CXT74ZlgGe6_JY_1olB1XN4rF0dxEuIIF-xsYjHgg/edit?usp=sharing"",""พรบ!AS69"")"),20)</f>
        <v>20</v>
      </c>
      <c r="AS65" s="77">
        <f ca="1">IFERROR(__xludf.DUMMYFUNCTION("IMPORTRANGE(""https://docs.google.com/spreadsheets/d/1SX6NBoVAgQJ6U1MVXOaj8PK2l7WJ3RER9xtqwdhxkhw/edit?usp=sharing"",""ปราจีนบุรี!J138"")"),20)</f>
        <v>20</v>
      </c>
      <c r="AT65" s="137">
        <f t="shared" ca="1" si="22"/>
        <v>100</v>
      </c>
      <c r="AU65" s="149">
        <f ca="1">IFERROR(__xludf.DUMMYFUNCTION("IMPORTRANGE(""https://docs.google.com/spreadsheets/d/1C3CXT74ZlgGe6_JY_1olB1XN4rF0dxEuIIF-xsYjHgg/edit?usp=sharing"",""พรบ!AT69"")"),0)</f>
        <v>0</v>
      </c>
      <c r="AV65" s="149">
        <f ca="1">IFERROR(__xludf.DUMMYFUNCTION("IMPORTRANGE(""https://docs.google.com/spreadsheets/d/1C3CXT74ZlgGe6_JY_1olB1XN4rF0dxEuIIF-xsYjHgg/edit?usp=sharing"",""พรบ!AU69"")"),1)</f>
        <v>1</v>
      </c>
      <c r="AW65" s="77">
        <f ca="1">IFERROR(__xludf.DUMMYFUNCTION("IMPORTRANGE(""https://docs.google.com/spreadsheets/d/1SX6NBoVAgQJ6U1MVXOaj8PK2l7WJ3RER9xtqwdhxkhw/edit?usp=sharing"",""ปราจีนบุรี!J140"")"),0)</f>
        <v>0</v>
      </c>
      <c r="AX65" s="137">
        <f t="shared" ca="1" si="24"/>
        <v>0</v>
      </c>
      <c r="AY65" s="77">
        <f ca="1">IFERROR(__xludf.DUMMYFUNCTION("IMPORTRANGE(""https://docs.google.com/spreadsheets/d/1SX6NBoVAgQJ6U1MVXOaj8PK2l7WJ3RER9xtqwdhxkhw/edit?usp=sharing"",""ปราจีนบุรี!J141"")"),0)</f>
        <v>0</v>
      </c>
      <c r="AZ65" s="137">
        <f t="shared" ca="1" si="25"/>
        <v>0</v>
      </c>
      <c r="BA65" s="77">
        <f t="shared" ca="1" si="26"/>
        <v>20</v>
      </c>
      <c r="BB65" s="77">
        <f t="shared" ca="1" si="99"/>
        <v>20</v>
      </c>
      <c r="BC65" s="137">
        <f t="shared" ca="1" si="27"/>
        <v>100</v>
      </c>
    </row>
    <row r="66" spans="1:55" ht="21" customHeight="1">
      <c r="A66" s="73">
        <v>12</v>
      </c>
      <c r="B66" s="74" t="s">
        <v>90</v>
      </c>
      <c r="C66" s="75">
        <f t="shared" ca="1" si="0"/>
        <v>670200</v>
      </c>
      <c r="D66" s="76">
        <f t="shared" ca="1" si="97"/>
        <v>670200</v>
      </c>
      <c r="E66" s="77">
        <f ca="1">IFERROR(__xludf.DUMMYFUNCTION("IMPORTRANGE(""https://docs.google.com/spreadsheets/d/1C3CXT74ZlgGe6_JY_1olB1XN4rF0dxEuIIF-xsYjHgg/edit?usp=sharing"",""พรบ!AD70"")"),396000)</f>
        <v>396000</v>
      </c>
      <c r="F66" s="77">
        <f ca="1">IFERROR(__xludf.DUMMYFUNCTION("IMPORTRANGE(""https://docs.google.com/spreadsheets/d/1C3CXT74ZlgGe6_JY_1olB1XN4rF0dxEuIIF-xsYjHgg/edit?usp=sharing"",""พรบ!AE70"")"),274200)</f>
        <v>274200</v>
      </c>
      <c r="G66" s="77">
        <f ca="1">IFERROR(__xludf.DUMMYFUNCTION("IMPORTRANGE(""https://docs.google.com/spreadsheets/d/1Yj_ptqi66GCucihVvJfMjLAmec39IyEx_6qawtMGysU/edit?usp=sharing"",""สบก!BH70"")"),0)</f>
        <v>0</v>
      </c>
      <c r="H66" s="77">
        <f ca="1">IFERROR(__xludf.DUMMYFUNCTION("IMPORTRANGE(""https://docs.google.com/spreadsheets/d/1Yj_ptqi66GCucihVvJfMjLAmec39IyEx_6qawtMGysU/edit?usp=shBJing"",""สบก!BJ70"")"),593305)</f>
        <v>593305</v>
      </c>
      <c r="I66" s="77">
        <f t="shared" ca="1" si="3"/>
        <v>382880.08</v>
      </c>
      <c r="J66" s="137">
        <f t="shared" ca="1" si="4"/>
        <v>57.129227096389137</v>
      </c>
      <c r="K66" s="77">
        <f ca="1">IFERROR(__xludf.DUMMYFUNCTION("IMPORTRANGE(""https://docs.google.com/spreadsheets/d/1Yj_ptqi66GCucihVvJfMjLAmec39IyEx_6qawtMGysU/edit?usp=sharing"",""สบก!BK70"")"),382880.08)</f>
        <v>382880.08</v>
      </c>
      <c r="L66" s="137">
        <f t="shared" ca="1" si="5"/>
        <v>57.129227096389137</v>
      </c>
      <c r="M66" s="137">
        <f t="shared" ca="1" si="6"/>
        <v>64.53343221445968</v>
      </c>
      <c r="N66" s="137">
        <f ca="1">IFERROR(__xludf.DUMMYFUNCTION("IMPORTRANGE(""https://docs.google.com/spreadsheets/d/1Yj_ptqi66GCucihVvJfMjLAmec39IyEx_6qawtMGysU/edit?usp=sharing"",""สบก!BL70"")"),0)</f>
        <v>0</v>
      </c>
      <c r="O66" s="137">
        <f t="shared" ca="1" si="7"/>
        <v>0</v>
      </c>
      <c r="P66" s="77">
        <f ca="1">IFERROR(__xludf.DUMMYFUNCTION("IMPORTRANGE(""https://docs.google.com/spreadsheets/d/1C3CXT74ZlgGe6_JY_1olB1XN4rF0dxEuIIF-xsYjHgg/edit?usp=sharing"",""พรบ!AF70"")"),7500)</f>
        <v>7500</v>
      </c>
      <c r="Q66" s="77">
        <f ca="1">IFERROR(__xludf.DUMMYFUNCTION("IMPORTRANGE(""https://docs.google.com/spreadsheets/d/1C3CXT74ZlgGe6_JY_1olB1XN4rF0dxEuIIF-xsYjHgg/edit?usp=sharing"",""พรบ!AG70"")"),4)</f>
        <v>4</v>
      </c>
      <c r="R66" s="77">
        <f ca="1">IFERROR(__xludf.DUMMYFUNCTION("IMPORTRANGE(""https://docs.google.com/spreadsheets/d/1SX6NBoVAgQJ6U1MVXOaj8PK2l7WJ3RER9xtqwdhxkhw/edit?usp=sharing"",""พระนครศรีอยุธยา!J83"")"),1)</f>
        <v>1</v>
      </c>
      <c r="S66" s="137">
        <f t="shared" ca="1" si="9"/>
        <v>25</v>
      </c>
      <c r="T66" s="77">
        <f t="shared" ca="1" si="98"/>
        <v>22</v>
      </c>
      <c r="U66" s="77">
        <f ca="1">IFERROR(__xludf.DUMMYFUNCTION("IMPORTRANGE(""https://docs.google.com/spreadsheets/d/1SX6NBoVAgQJ6U1MVXOaj8PK2l7WJ3RER9xtqwdhxkhw/edit?usp=sharing"",""พระนครศรีอยุธยา!J85"")"),22)</f>
        <v>22</v>
      </c>
      <c r="V66" s="77">
        <f ca="1">IFERROR(__xludf.DUMMYFUNCTION("IMPORTRANGE(""https://docs.google.com/spreadsheets/d/1SX6NBoVAgQJ6U1MVXOaj8PK2l7WJ3RER9xtqwdhxkhw/edit?usp=sharing"",""พระนครศรีอยุธยา!J86"")"),0)</f>
        <v>0</v>
      </c>
      <c r="W66" s="77">
        <f ca="1">IFERROR(__xludf.DUMMYFUNCTION("IMPORTRANGE(""https://docs.google.com/spreadsheets/d/1C3CXT74ZlgGe6_JY_1olB1XN4rF0dxEuIIF-xsYjHgg/edit?usp=sharing"",""พรบ!AH70"")"),42000)</f>
        <v>42000</v>
      </c>
      <c r="X66" s="77">
        <f ca="1">IFERROR(__xludf.DUMMYFUNCTION("IMPORTRANGE(""https://docs.google.com/spreadsheets/d/1C3CXT74ZlgGe6_JY_1olB1XN4rF0dxEuIIF-xsYjHgg/edit?usp=sharing"",""พรบ!AI70"")"),3)</f>
        <v>3</v>
      </c>
      <c r="Y66" s="77">
        <f ca="1">IFERROR(__xludf.DUMMYFUNCTION("IMPORTRANGE(""https://docs.google.com/spreadsheets/d/1SX6NBoVAgQJ6U1MVXOaj8PK2l7WJ3RER9xtqwdhxkhw/edit?usp=sharing"",""พระนครศรีอยุธยา!J98"")"),3)</f>
        <v>3</v>
      </c>
      <c r="Z66" s="137">
        <f t="shared" ca="1" si="11"/>
        <v>100</v>
      </c>
      <c r="AA66" s="77">
        <f ca="1">IFERROR(__xludf.DUMMYFUNCTION("IMPORTRANGE(""https://docs.google.com/spreadsheets/d/1C3CXT74ZlgGe6_JY_1olB1XN4rF0dxEuIIF-xsYjHgg/edit?usp=sharing"",""พรบ!AJ70"")"),0)</f>
        <v>0</v>
      </c>
      <c r="AB66" s="77">
        <f ca="1">IFERROR(__xludf.DUMMYFUNCTION("IMPORTRANGE(""https://docs.google.com/spreadsheets/d/1C3CXT74ZlgGe6_JY_1olB1XN4rF0dxEuIIF-xsYjHgg/edit?usp=sharing"",""พรบ!AK70"")"),0)</f>
        <v>0</v>
      </c>
      <c r="AC66" s="77">
        <f ca="1">IFERROR(__xludf.DUMMYFUNCTION("IMPORTRANGE(""https://docs.google.com/spreadsheets/d/1SX6NBoVAgQJ6U1MVXOaj8PK2l7WJ3RER9xtqwdhxkhw/edit?usp=sharing"",""พระนครศรีอยุธยา!J110"")"),0)</f>
        <v>0</v>
      </c>
      <c r="AD66" s="137">
        <f t="shared" ca="1" si="13"/>
        <v>0</v>
      </c>
      <c r="AE66" s="77">
        <f ca="1">IFERROR(__xludf.DUMMYFUNCTION("IMPORTRANGE(""https://docs.google.com/spreadsheets/d/1C3CXT74ZlgGe6_JY_1olB1XN4rF0dxEuIIF-xsYjHgg/edit?usp=sharing"",""พรบ!AL70"")"),0)</f>
        <v>0</v>
      </c>
      <c r="AF66" s="77">
        <f ca="1">IFERROR(__xludf.DUMMYFUNCTION("IMPORTRANGE(""https://docs.google.com/spreadsheets/d/1SX6NBoVAgQJ6U1MVXOaj8PK2l7WJ3RER9xtqwdhxkhw/edit?usp=sharing"",""พระนครศรีอยุธยา!J111"")"),0)</f>
        <v>0</v>
      </c>
      <c r="AG66" s="137">
        <f t="shared" ca="1" si="15"/>
        <v>0</v>
      </c>
      <c r="AH66" s="77">
        <f ca="1">IFERROR(__xludf.DUMMYFUNCTION("IMPORTRANGE(""https://docs.google.com/spreadsheets/d/1C3CXT74ZlgGe6_JY_1olB1XN4rF0dxEuIIF-xsYjHgg/edit?usp=sharing"",""พรบ!AM70"")"),9000)</f>
        <v>9000</v>
      </c>
      <c r="AI66" s="77">
        <f ca="1">IFERROR(__xludf.DUMMYFUNCTION("IMPORTRANGE(""https://docs.google.com/spreadsheets/d/1C3CXT74ZlgGe6_JY_1olB1XN4rF0dxEuIIF-xsYjHgg/edit?usp=sharing"",""พรบ!AN70"")"),20000)</f>
        <v>20000</v>
      </c>
      <c r="AJ66" s="77">
        <f ca="1">IFERROR(__xludf.DUMMYFUNCTION("IMPORTRANGE(""https://docs.google.com/spreadsheets/d/1SX6NBoVAgQJ6U1MVXOaj8PK2l7WJ3RER9xtqwdhxkhw/edit?usp=sharing"",""พระนครศรีอยุธยา!J124"")"),0)</f>
        <v>0</v>
      </c>
      <c r="AK66" s="137">
        <f t="shared" ca="1" si="17"/>
        <v>0</v>
      </c>
      <c r="AL66" s="77">
        <f ca="1">IFERROR(__xludf.DUMMYFUNCTION("IMPORTRANGE(""https://docs.google.com/spreadsheets/d/1SX6NBoVAgQJ6U1MVXOaj8PK2l7WJ3RER9xtqwdhxkhw/edit?usp=sharing"",""พระนครศรีอยุธยา!J125"")"),0)</f>
        <v>0</v>
      </c>
      <c r="AM66" s="137">
        <f t="shared" ca="1" si="18"/>
        <v>0</v>
      </c>
      <c r="AN66" s="77">
        <f ca="1">IFERROR(__xludf.DUMMYFUNCTION("IMPORTRANGE(""https://docs.google.com/spreadsheets/d/1C3CXT74ZlgGe6_JY_1olB1XN4rF0dxEuIIF-xsYjHgg/edit?usp=sharing"",""พรบ!AQ70"")"),0)</f>
        <v>0</v>
      </c>
      <c r="AO66" s="77">
        <f ca="1">IFERROR(__xludf.DUMMYFUNCTION("IMPORTRANGE(""https://docs.google.com/spreadsheets/d/1SX6NBoVAgQJ6U1MVXOaj8PK2l7WJ3RER9xtqwdhxkhw/edit?usp=sharing"",""พระนครศรีอยุธยา!J126"")"),0)</f>
        <v>0</v>
      </c>
      <c r="AP66" s="137">
        <f t="shared" ca="1" si="20"/>
        <v>0</v>
      </c>
      <c r="AQ66" s="77">
        <f ca="1">IFERROR(__xludf.DUMMYFUNCTION("IMPORTRANGE(""https://docs.google.com/spreadsheets/d/1C3CXT74ZlgGe6_JY_1olB1XN4rF0dxEuIIF-xsYjHgg/edit?usp=sharing"",""พรบ!AR70"")"),215700)</f>
        <v>215700</v>
      </c>
      <c r="AR66" s="77">
        <f ca="1">IFERROR(__xludf.DUMMYFUNCTION("IMPORTRANGE(""https://docs.google.com/spreadsheets/d/1C3CXT74ZlgGe6_JY_1olB1XN4rF0dxEuIIF-xsYjHgg/edit?usp=sharing"",""พรบ!AS70"")"),40)</f>
        <v>40</v>
      </c>
      <c r="AS66" s="77">
        <f ca="1">IFERROR(__xludf.DUMMYFUNCTION("IMPORTRANGE(""https://docs.google.com/spreadsheets/d/1SX6NBoVAgQJ6U1MVXOaj8PK2l7WJ3RER9xtqwdhxkhw/edit?usp=sharing"",""พระนครศรีอยุธยา!J138"")"),40)</f>
        <v>40</v>
      </c>
      <c r="AT66" s="137">
        <f t="shared" ca="1" si="22"/>
        <v>100</v>
      </c>
      <c r="AU66" s="149">
        <f ca="1">IFERROR(__xludf.DUMMYFUNCTION("IMPORTRANGE(""https://docs.google.com/spreadsheets/d/1C3CXT74ZlgGe6_JY_1olB1XN4rF0dxEuIIF-xsYjHgg/edit?usp=sharing"",""พรบ!AT70"")"),0)</f>
        <v>0</v>
      </c>
      <c r="AV66" s="149">
        <f ca="1">IFERROR(__xludf.DUMMYFUNCTION("IMPORTRANGE(""https://docs.google.com/spreadsheets/d/1C3CXT74ZlgGe6_JY_1olB1XN4rF0dxEuIIF-xsYjHgg/edit?usp=sharing"",""พรบ!AU70"")"),1)</f>
        <v>1</v>
      </c>
      <c r="AW66" s="77">
        <f ca="1">IFERROR(__xludf.DUMMYFUNCTION("IMPORTRANGE(""https://docs.google.com/spreadsheets/d/1SX6NBoVAgQJ6U1MVXOaj8PK2l7WJ3RER9xtqwdhxkhw/edit?usp=sharing"",""พระนครศรีอยุธยา!J140"")"),0)</f>
        <v>0</v>
      </c>
      <c r="AX66" s="137">
        <f t="shared" ca="1" si="24"/>
        <v>0</v>
      </c>
      <c r="AY66" s="77">
        <f ca="1">IFERROR(__xludf.DUMMYFUNCTION("IMPORTRANGE(""https://docs.google.com/spreadsheets/d/1SX6NBoVAgQJ6U1MVXOaj8PK2l7WJ3RER9xtqwdhxkhw/edit?usp=sharing"",""พระนครศรีอยุธยา!J141"")"),0)</f>
        <v>0</v>
      </c>
      <c r="AZ66" s="137">
        <f t="shared" ca="1" si="25"/>
        <v>0</v>
      </c>
      <c r="BA66" s="77">
        <f t="shared" ca="1" si="26"/>
        <v>40</v>
      </c>
      <c r="BB66" s="77">
        <f t="shared" ca="1" si="99"/>
        <v>40</v>
      </c>
      <c r="BC66" s="137">
        <f t="shared" ca="1" si="27"/>
        <v>100</v>
      </c>
    </row>
    <row r="67" spans="1:55" ht="21" customHeight="1">
      <c r="A67" s="73">
        <v>13</v>
      </c>
      <c r="B67" s="74" t="s">
        <v>91</v>
      </c>
      <c r="C67" s="75">
        <f t="shared" ca="1" si="0"/>
        <v>50000</v>
      </c>
      <c r="D67" s="160">
        <f t="shared" ca="1" si="97"/>
        <v>50000</v>
      </c>
      <c r="E67" s="77">
        <f ca="1">IFERROR(__xludf.DUMMYFUNCTION("IMPORTRANGE(""https://docs.google.com/spreadsheets/d/1C3CXT74ZlgGe6_JY_1olB1XN4rF0dxEuIIF-xsYjHgg/edit?usp=sharing"",""พรบ!AD71"")"),0)</f>
        <v>0</v>
      </c>
      <c r="F67" s="77">
        <f ca="1">IFERROR(__xludf.DUMMYFUNCTION("IMPORTRANGE(""https://docs.google.com/spreadsheets/d/1C3CXT74ZlgGe6_JY_1olB1XN4rF0dxEuIIF-xsYjHgg/edit?usp=sharing"",""พรบ!AE71"")"),50000)</f>
        <v>50000</v>
      </c>
      <c r="G67" s="77">
        <f ca="1">IFERROR(__xludf.DUMMYFUNCTION("IMPORTRANGE(""https://docs.google.com/spreadsheets/d/1Yj_ptqi66GCucihVvJfMjLAmec39IyEx_6qawtMGysU/edit?usp=sharing"",""สบก!BH71"")"),0)</f>
        <v>0</v>
      </c>
      <c r="H67" s="77">
        <f ca="1">IFERROR(__xludf.DUMMYFUNCTION("IMPORTRANGE(""https://docs.google.com/spreadsheets/d/1Yj_ptqi66GCucihVvJfMjLAmec39IyEx_6qawtMGysU/edit?usp=shBJing"",""สบก!BJ71"")"),41625)</f>
        <v>41625</v>
      </c>
      <c r="I67" s="77">
        <f t="shared" ca="1" si="3"/>
        <v>35235</v>
      </c>
      <c r="J67" s="137">
        <f t="shared" ca="1" si="4"/>
        <v>70.47</v>
      </c>
      <c r="K67" s="77">
        <f ca="1">IFERROR(__xludf.DUMMYFUNCTION("IMPORTRANGE(""https://docs.google.com/spreadsheets/d/1Yj_ptqi66GCucihVvJfMjLAmec39IyEx_6qawtMGysU/edit?usp=sharing"",""สบก!BK71"")"),35235)</f>
        <v>35235</v>
      </c>
      <c r="L67" s="137">
        <f t="shared" ca="1" si="5"/>
        <v>70.47</v>
      </c>
      <c r="M67" s="137">
        <f t="shared" ca="1" si="6"/>
        <v>84.648648648648646</v>
      </c>
      <c r="N67" s="137">
        <f ca="1">IFERROR(__xludf.DUMMYFUNCTION("IMPORTRANGE(""https://docs.google.com/spreadsheets/d/1Yj_ptqi66GCucihVvJfMjLAmec39IyEx_6qawtMGysU/edit?usp=sharing"",""สบก!BL71"")"),0)</f>
        <v>0</v>
      </c>
      <c r="O67" s="137">
        <f t="shared" ca="1" si="7"/>
        <v>0</v>
      </c>
      <c r="P67" s="77">
        <f ca="1">IFERROR(__xludf.DUMMYFUNCTION("IMPORTRANGE(""https://docs.google.com/spreadsheets/d/1C3CXT74ZlgGe6_JY_1olB1XN4rF0dxEuIIF-xsYjHgg/edit?usp=sharing"",""พรบ!AF71"")"),7500)</f>
        <v>7500</v>
      </c>
      <c r="Q67" s="77">
        <f ca="1">IFERROR(__xludf.DUMMYFUNCTION("IMPORTRANGE(""https://docs.google.com/spreadsheets/d/1C3CXT74ZlgGe6_JY_1olB1XN4rF0dxEuIIF-xsYjHgg/edit?usp=sharing"",""พรบ!AG71"")"),4)</f>
        <v>4</v>
      </c>
      <c r="R67" s="77">
        <f ca="1">IFERROR(__xludf.DUMMYFUNCTION("IMPORTRANGE(""https://docs.google.com/spreadsheets/d/1SX6NBoVAgQJ6U1MVXOaj8PK2l7WJ3RER9xtqwdhxkhw/edit?usp=sharing"",""เพชรบุรี!J83"")"),2)</f>
        <v>2</v>
      </c>
      <c r="S67" s="137">
        <f t="shared" ca="1" si="9"/>
        <v>50</v>
      </c>
      <c r="T67" s="77">
        <f t="shared" ca="1" si="98"/>
        <v>77</v>
      </c>
      <c r="U67" s="77">
        <f ca="1">IFERROR(__xludf.DUMMYFUNCTION("IMPORTRANGE(""https://docs.google.com/spreadsheets/d/1SX6NBoVAgQJ6U1MVXOaj8PK2l7WJ3RER9xtqwdhxkhw/edit?usp=sharing"",""เพชรบุรี!J85"")"),77)</f>
        <v>77</v>
      </c>
      <c r="V67" s="77">
        <f ca="1">IFERROR(__xludf.DUMMYFUNCTION("IMPORTRANGE(""https://docs.google.com/spreadsheets/d/1SX6NBoVAgQJ6U1MVXOaj8PK2l7WJ3RER9xtqwdhxkhw/edit?usp=sharing"",""เพชรบุรี!J86"")"),0)</f>
        <v>0</v>
      </c>
      <c r="W67" s="77">
        <f ca="1">IFERROR(__xludf.DUMMYFUNCTION("IMPORTRANGE(""https://docs.google.com/spreadsheets/d/1C3CXT74ZlgGe6_JY_1olB1XN4rF0dxEuIIF-xsYjHgg/edit?usp=sharing"",""พรบ!AH71"")"),28000)</f>
        <v>28000</v>
      </c>
      <c r="X67" s="77">
        <f ca="1">IFERROR(__xludf.DUMMYFUNCTION("IMPORTRANGE(""https://docs.google.com/spreadsheets/d/1C3CXT74ZlgGe6_JY_1olB1XN4rF0dxEuIIF-xsYjHgg/edit?usp=sharing"",""พรบ!AI71"")"),2)</f>
        <v>2</v>
      </c>
      <c r="Y67" s="77">
        <f ca="1">IFERROR(__xludf.DUMMYFUNCTION("IMPORTRANGE(""https://docs.google.com/spreadsheets/d/1SX6NBoVAgQJ6U1MVXOaj8PK2l7WJ3RER9xtqwdhxkhw/edit?usp=sharing"",""เพชรบุรี!J98"")"),2)</f>
        <v>2</v>
      </c>
      <c r="Z67" s="137">
        <f t="shared" ca="1" si="11"/>
        <v>100</v>
      </c>
      <c r="AA67" s="77">
        <f ca="1">IFERROR(__xludf.DUMMYFUNCTION("IMPORTRANGE(""https://docs.google.com/spreadsheets/d/1C3CXT74ZlgGe6_JY_1olB1XN4rF0dxEuIIF-xsYjHgg/edit?usp=sharing"",""พรบ!AJ71"")"),0)</f>
        <v>0</v>
      </c>
      <c r="AB67" s="77">
        <f ca="1">IFERROR(__xludf.DUMMYFUNCTION("IMPORTRANGE(""https://docs.google.com/spreadsheets/d/1C3CXT74ZlgGe6_JY_1olB1XN4rF0dxEuIIF-xsYjHgg/edit?usp=sharing"",""พรบ!AK71"")"),0)</f>
        <v>0</v>
      </c>
      <c r="AC67" s="77">
        <f ca="1">IFERROR(__xludf.DUMMYFUNCTION("IMPORTRANGE(""https://docs.google.com/spreadsheets/d/1SX6NBoVAgQJ6U1MVXOaj8PK2l7WJ3RER9xtqwdhxkhw/edit?usp=sharing"",""เพชรบุรี!J110"")"),0)</f>
        <v>0</v>
      </c>
      <c r="AD67" s="137">
        <f t="shared" ca="1" si="13"/>
        <v>0</v>
      </c>
      <c r="AE67" s="77">
        <f ca="1">IFERROR(__xludf.DUMMYFUNCTION("IMPORTRANGE(""https://docs.google.com/spreadsheets/d/1C3CXT74ZlgGe6_JY_1olB1XN4rF0dxEuIIF-xsYjHgg/edit?usp=sharing"",""พรบ!AL71"")"),0)</f>
        <v>0</v>
      </c>
      <c r="AF67" s="77">
        <f ca="1">IFERROR(__xludf.DUMMYFUNCTION("IMPORTRANGE(""https://docs.google.com/spreadsheets/d/1SX6NBoVAgQJ6U1MVXOaj8PK2l7WJ3RER9xtqwdhxkhw/edit?usp=sharing"",""เพชรบุรี!J111"")"),0)</f>
        <v>0</v>
      </c>
      <c r="AG67" s="137">
        <f t="shared" ca="1" si="15"/>
        <v>0</v>
      </c>
      <c r="AH67" s="77">
        <f ca="1">IFERROR(__xludf.DUMMYFUNCTION("IMPORTRANGE(""https://docs.google.com/spreadsheets/d/1C3CXT74ZlgGe6_JY_1olB1XN4rF0dxEuIIF-xsYjHgg/edit?usp=sharing"",""พรบ!AM71"")"),14500)</f>
        <v>14500</v>
      </c>
      <c r="AI67" s="77">
        <f ca="1">IFERROR(__xludf.DUMMYFUNCTION("IMPORTRANGE(""https://docs.google.com/spreadsheets/d/1C3CXT74ZlgGe6_JY_1olB1XN4rF0dxEuIIF-xsYjHgg/edit?usp=sharing"",""พรบ!AN71"")"),30000)</f>
        <v>30000</v>
      </c>
      <c r="AJ67" s="77">
        <f ca="1">IFERROR(__xludf.DUMMYFUNCTION("IMPORTRANGE(""https://docs.google.com/spreadsheets/d/1SX6NBoVAgQJ6U1MVXOaj8PK2l7WJ3RER9xtqwdhxkhw/edit?usp=sharing"",""เพชรบุรี!J124"")"),0)</f>
        <v>0</v>
      </c>
      <c r="AK67" s="137">
        <f t="shared" ca="1" si="17"/>
        <v>0</v>
      </c>
      <c r="AL67" s="77">
        <f ca="1">IFERROR(__xludf.DUMMYFUNCTION("IMPORTRANGE(""https://docs.google.com/spreadsheets/d/1SX6NBoVAgQJ6U1MVXOaj8PK2l7WJ3RER9xtqwdhxkhw/edit?usp=sharing"",""เพชรบุรี!J125"")"),0)</f>
        <v>0</v>
      </c>
      <c r="AM67" s="137">
        <f t="shared" ca="1" si="18"/>
        <v>0</v>
      </c>
      <c r="AN67" s="77">
        <f ca="1">IFERROR(__xludf.DUMMYFUNCTION("IMPORTRANGE(""https://docs.google.com/spreadsheets/d/1C3CXT74ZlgGe6_JY_1olB1XN4rF0dxEuIIF-xsYjHgg/edit?usp=sharing"",""พรบ!AQ71"")"),0)</f>
        <v>0</v>
      </c>
      <c r="AO67" s="77">
        <f ca="1">IFERROR(__xludf.DUMMYFUNCTION("IMPORTRANGE(""https://docs.google.com/spreadsheets/d/1SX6NBoVAgQJ6U1MVXOaj8PK2l7WJ3RER9xtqwdhxkhw/edit?usp=sharing"",""เพชรบุรี!J126"")"),0)</f>
        <v>0</v>
      </c>
      <c r="AP67" s="137">
        <f t="shared" ca="1" si="20"/>
        <v>0</v>
      </c>
      <c r="AQ67" s="149">
        <f ca="1">IFERROR(__xludf.DUMMYFUNCTION("IMPORTRANGE(""https://docs.google.com/spreadsheets/d/1C3CXT74ZlgGe6_JY_1olB1XN4rF0dxEuIIF-xsYjHgg/edit?usp=sharing"",""พรบ!AR71"")"),0)</f>
        <v>0</v>
      </c>
      <c r="AR67" s="77">
        <f ca="1">IFERROR(__xludf.DUMMYFUNCTION("IMPORTRANGE(""https://docs.google.com/spreadsheets/d/1C3CXT74ZlgGe6_JY_1olB1XN4rF0dxEuIIF-xsYjHgg/edit?usp=sharing"",""พรบ!AS71"")"),0)</f>
        <v>0</v>
      </c>
      <c r="AS67" s="77">
        <f ca="1">IFERROR(__xludf.DUMMYFUNCTION("IMPORTRANGE(""https://docs.google.com/spreadsheets/d/1SX6NBoVAgQJ6U1MVXOaj8PK2l7WJ3RER9xtqwdhxkhw/edit?usp=sharing"",""เพชรบุรี!J138"")"),0)</f>
        <v>0</v>
      </c>
      <c r="AT67" s="137">
        <f t="shared" ca="1" si="22"/>
        <v>0</v>
      </c>
      <c r="AU67" s="77">
        <f ca="1">IFERROR(__xludf.DUMMYFUNCTION("IMPORTRANGE(""https://docs.google.com/spreadsheets/d/1C3CXT74ZlgGe6_JY_1olB1XN4rF0dxEuIIF-xsYjHgg/edit?usp=sharing"",""พรบ!AT71"")"),0)</f>
        <v>0</v>
      </c>
      <c r="AV67" s="77">
        <f ca="1">IFERROR(__xludf.DUMMYFUNCTION("IMPORTRANGE(""https://docs.google.com/spreadsheets/d/1C3CXT74ZlgGe6_JY_1olB1XN4rF0dxEuIIF-xsYjHgg/edit?usp=sharing"",""พรบ!AU71"")"),0)</f>
        <v>0</v>
      </c>
      <c r="AW67" s="77">
        <f ca="1">IFERROR(__xludf.DUMMYFUNCTION("IMPORTRANGE(""https://docs.google.com/spreadsheets/d/1SX6NBoVAgQJ6U1MVXOaj8PK2l7WJ3RER9xtqwdhxkhw/edit?usp=sharing"",""เพชรบุรี!J140"")"),0)</f>
        <v>0</v>
      </c>
      <c r="AX67" s="137">
        <f t="shared" ca="1" si="24"/>
        <v>0</v>
      </c>
      <c r="AY67" s="77">
        <f ca="1">IFERROR(__xludf.DUMMYFUNCTION("IMPORTRANGE(""https://docs.google.com/spreadsheets/d/1SX6NBoVAgQJ6U1MVXOaj8PK2l7WJ3RER9xtqwdhxkhw/edit?usp=sharing"",""เพชรบุรี!J141"")"),0)</f>
        <v>0</v>
      </c>
      <c r="AZ67" s="137">
        <f t="shared" ca="1" si="25"/>
        <v>0</v>
      </c>
      <c r="BA67" s="77">
        <f t="shared" ca="1" si="26"/>
        <v>0</v>
      </c>
      <c r="BB67" s="77">
        <f t="shared" ca="1" si="99"/>
        <v>0</v>
      </c>
      <c r="BC67" s="137">
        <f t="shared" ca="1" si="27"/>
        <v>0</v>
      </c>
    </row>
    <row r="68" spans="1:55" ht="21" customHeight="1">
      <c r="A68" s="73">
        <v>14</v>
      </c>
      <c r="B68" s="74" t="s">
        <v>92</v>
      </c>
      <c r="C68" s="75">
        <f t="shared" ca="1" si="0"/>
        <v>340900</v>
      </c>
      <c r="D68" s="76">
        <f t="shared" ca="1" si="97"/>
        <v>340900</v>
      </c>
      <c r="E68" s="77">
        <f ca="1">IFERROR(__xludf.DUMMYFUNCTION("IMPORTRANGE(""https://docs.google.com/spreadsheets/d/1C3CXT74ZlgGe6_JY_1olB1XN4rF0dxEuIIF-xsYjHgg/edit?usp=sharing"",""พรบ!AD72"")"),232000)</f>
        <v>232000</v>
      </c>
      <c r="F68" s="77">
        <f ca="1">IFERROR(__xludf.DUMMYFUNCTION("IMPORTRANGE(""https://docs.google.com/spreadsheets/d/1C3CXT74ZlgGe6_JY_1olB1XN4rF0dxEuIIF-xsYjHgg/edit?usp=sharing"",""พรบ!AE72"")"),108900)</f>
        <v>108900</v>
      </c>
      <c r="G68" s="77">
        <f ca="1">IFERROR(__xludf.DUMMYFUNCTION("IMPORTRANGE(""https://docs.google.com/spreadsheets/d/1Yj_ptqi66GCucihVvJfMjLAmec39IyEx_6qawtMGysU/edit?usp=sharing"",""สบก!BH72"")"),0)</f>
        <v>0</v>
      </c>
      <c r="H68" s="77">
        <f ca="1">IFERROR(__xludf.DUMMYFUNCTION("IMPORTRANGE(""https://docs.google.com/spreadsheets/d/1Yj_ptqi66GCucihVvJfMjLAmec39IyEx_6qawtMGysU/edit?usp=shBJing"",""สบก!BJ72"")"),267825)</f>
        <v>267825</v>
      </c>
      <c r="I68" s="77">
        <f t="shared" ca="1" si="3"/>
        <v>150758.53</v>
      </c>
      <c r="J68" s="137">
        <f t="shared" ca="1" si="4"/>
        <v>44.223681431504843</v>
      </c>
      <c r="K68" s="77">
        <f ca="1">IFERROR(__xludf.DUMMYFUNCTION("IMPORTRANGE(""https://docs.google.com/spreadsheets/d/1Yj_ptqi66GCucihVvJfMjLAmec39IyEx_6qawtMGysU/edit?usp=sharing"",""สบก!BK72"")"),150758.53)</f>
        <v>150758.53</v>
      </c>
      <c r="L68" s="137">
        <f t="shared" ca="1" si="5"/>
        <v>44.223681431504843</v>
      </c>
      <c r="M68" s="137">
        <f t="shared" ca="1" si="6"/>
        <v>56.289939326052462</v>
      </c>
      <c r="N68" s="137">
        <f ca="1">IFERROR(__xludf.DUMMYFUNCTION("IMPORTRANGE(""https://docs.google.com/spreadsheets/d/1Yj_ptqi66GCucihVvJfMjLAmec39IyEx_6qawtMGysU/edit?usp=sharing"",""สบก!BL72"")"),0)</f>
        <v>0</v>
      </c>
      <c r="O68" s="137">
        <f t="shared" ca="1" si="7"/>
        <v>0</v>
      </c>
      <c r="P68" s="77">
        <f ca="1">IFERROR(__xludf.DUMMYFUNCTION("IMPORTRANGE(""https://docs.google.com/spreadsheets/d/1C3CXT74ZlgGe6_JY_1olB1XN4rF0dxEuIIF-xsYjHgg/edit?usp=sharing"",""พรบ!AF72"")"),7500)</f>
        <v>7500</v>
      </c>
      <c r="Q68" s="77">
        <f ca="1">IFERROR(__xludf.DUMMYFUNCTION("IMPORTRANGE(""https://docs.google.com/spreadsheets/d/1C3CXT74ZlgGe6_JY_1olB1XN4rF0dxEuIIF-xsYjHgg/edit?usp=sharing"",""พรบ!AG72"")"),4)</f>
        <v>4</v>
      </c>
      <c r="R68" s="77">
        <f ca="1">IFERROR(__xludf.DUMMYFUNCTION("IMPORTRANGE(""https://docs.google.com/spreadsheets/d/1SX6NBoVAgQJ6U1MVXOaj8PK2l7WJ3RER9xtqwdhxkhw/edit?usp=sharing"",""ระยอง!J83"")"),2)</f>
        <v>2</v>
      </c>
      <c r="S68" s="137">
        <f t="shared" ca="1" si="9"/>
        <v>50</v>
      </c>
      <c r="T68" s="77">
        <f t="shared" ca="1" si="98"/>
        <v>0</v>
      </c>
      <c r="U68" s="77">
        <f ca="1">IFERROR(__xludf.DUMMYFUNCTION("IMPORTRANGE(""https://docs.google.com/spreadsheets/d/1SX6NBoVAgQJ6U1MVXOaj8PK2l7WJ3RER9xtqwdhxkhw/edit?usp=sharing"",""ระยอง!J85"")"),0)</f>
        <v>0</v>
      </c>
      <c r="V68" s="77">
        <f ca="1">IFERROR(__xludf.DUMMYFUNCTION("IMPORTRANGE(""https://docs.google.com/spreadsheets/d/1SX6NBoVAgQJ6U1MVXOaj8PK2l7WJ3RER9xtqwdhxkhw/edit?usp=sharing"",""ระยอง!J86"")"),0)</f>
        <v>0</v>
      </c>
      <c r="W68" s="77">
        <f ca="1">IFERROR(__xludf.DUMMYFUNCTION("IMPORTRANGE(""https://docs.google.com/spreadsheets/d/1C3CXT74ZlgGe6_JY_1olB1XN4rF0dxEuIIF-xsYjHgg/edit?usp=sharing"",""พรบ!AH72"")"),14000)</f>
        <v>14000</v>
      </c>
      <c r="X68" s="77">
        <f ca="1">IFERROR(__xludf.DUMMYFUNCTION("IMPORTRANGE(""https://docs.google.com/spreadsheets/d/1C3CXT74ZlgGe6_JY_1olB1XN4rF0dxEuIIF-xsYjHgg/edit?usp=sharing"",""พรบ!AI72"")"),1)</f>
        <v>1</v>
      </c>
      <c r="Y68" s="77">
        <f ca="1">IFERROR(__xludf.DUMMYFUNCTION("IMPORTRANGE(""https://docs.google.com/spreadsheets/d/1SX6NBoVAgQJ6U1MVXOaj8PK2l7WJ3RER9xtqwdhxkhw/edit?usp=sharing"",""ระยอง!J98"")"),1)</f>
        <v>1</v>
      </c>
      <c r="Z68" s="137">
        <f t="shared" ca="1" si="11"/>
        <v>100</v>
      </c>
      <c r="AA68" s="77">
        <f ca="1">IFERROR(__xludf.DUMMYFUNCTION("IMPORTRANGE(""https://docs.google.com/spreadsheets/d/1C3CXT74ZlgGe6_JY_1olB1XN4rF0dxEuIIF-xsYjHgg/edit?usp=sharing"",""พรบ!AJ72"")"),0)</f>
        <v>0</v>
      </c>
      <c r="AB68" s="77">
        <f ca="1">IFERROR(__xludf.DUMMYFUNCTION("IMPORTRANGE(""https://docs.google.com/spreadsheets/d/1C3CXT74ZlgGe6_JY_1olB1XN4rF0dxEuIIF-xsYjHgg/edit?usp=sharing"",""พรบ!AK72"")"),0)</f>
        <v>0</v>
      </c>
      <c r="AC68" s="77">
        <f ca="1">IFERROR(__xludf.DUMMYFUNCTION("IMPORTRANGE(""https://docs.google.com/spreadsheets/d/1SX6NBoVAgQJ6U1MVXOaj8PK2l7WJ3RER9xtqwdhxkhw/edit?usp=sharing"",""ระยอง!J110"")"),0)</f>
        <v>0</v>
      </c>
      <c r="AD68" s="137">
        <f t="shared" ca="1" si="13"/>
        <v>0</v>
      </c>
      <c r="AE68" s="77">
        <f ca="1">IFERROR(__xludf.DUMMYFUNCTION("IMPORTRANGE(""https://docs.google.com/spreadsheets/d/1C3CXT74ZlgGe6_JY_1olB1XN4rF0dxEuIIF-xsYjHgg/edit?usp=sharing"",""พรบ!AL72"")"),0)</f>
        <v>0</v>
      </c>
      <c r="AF68" s="77">
        <f ca="1">IFERROR(__xludf.DUMMYFUNCTION("IMPORTRANGE(""https://docs.google.com/spreadsheets/d/1SX6NBoVAgQJ6U1MVXOaj8PK2l7WJ3RER9xtqwdhxkhw/edit?usp=sharing"",""ระยอง!J111"")"),0)</f>
        <v>0</v>
      </c>
      <c r="AG68" s="137">
        <f t="shared" ca="1" si="15"/>
        <v>0</v>
      </c>
      <c r="AH68" s="77">
        <f ca="1">IFERROR(__xludf.DUMMYFUNCTION("IMPORTRANGE(""https://docs.google.com/spreadsheets/d/1C3CXT74ZlgGe6_JY_1olB1XN4rF0dxEuIIF-xsYjHgg/edit?usp=sharing"",""พรบ!AM72"")"),7200)</f>
        <v>7200</v>
      </c>
      <c r="AI68" s="77">
        <f ca="1">IFERROR(__xludf.DUMMYFUNCTION("IMPORTRANGE(""https://docs.google.com/spreadsheets/d/1C3CXT74ZlgGe6_JY_1olB1XN4rF0dxEuIIF-xsYjHgg/edit?usp=sharing"",""พรบ!AN72"")"),6400)</f>
        <v>6400</v>
      </c>
      <c r="AJ68" s="77">
        <f ca="1">IFERROR(__xludf.DUMMYFUNCTION("IMPORTRANGE(""https://docs.google.com/spreadsheets/d/1SX6NBoVAgQJ6U1MVXOaj8PK2l7WJ3RER9xtqwdhxkhw/edit?usp=sharing"",""ระยอง!J124"")"),0)</f>
        <v>0</v>
      </c>
      <c r="AK68" s="137">
        <f t="shared" ca="1" si="17"/>
        <v>0</v>
      </c>
      <c r="AL68" s="77">
        <f ca="1">IFERROR(__xludf.DUMMYFUNCTION("IMPORTRANGE(""https://docs.google.com/spreadsheets/d/1SX6NBoVAgQJ6U1MVXOaj8PK2l7WJ3RER9xtqwdhxkhw/edit?usp=sharing"",""ระยอง!J125"")"),0)</f>
        <v>0</v>
      </c>
      <c r="AM68" s="137">
        <f t="shared" ca="1" si="18"/>
        <v>0</v>
      </c>
      <c r="AN68" s="77">
        <f ca="1">IFERROR(__xludf.DUMMYFUNCTION("IMPORTRANGE(""https://docs.google.com/spreadsheets/d/1C3CXT74ZlgGe6_JY_1olB1XN4rF0dxEuIIF-xsYjHgg/edit?usp=sharing"",""พรบ!AQ72"")"),0)</f>
        <v>0</v>
      </c>
      <c r="AO68" s="77">
        <f ca="1">IFERROR(__xludf.DUMMYFUNCTION("IMPORTRANGE(""https://docs.google.com/spreadsheets/d/1SX6NBoVAgQJ6U1MVXOaj8PK2l7WJ3RER9xtqwdhxkhw/edit?usp=sharing"",""ระยอง!J126"")"),0)</f>
        <v>0</v>
      </c>
      <c r="AP68" s="137">
        <f t="shared" ca="1" si="20"/>
        <v>0</v>
      </c>
      <c r="AQ68" s="77">
        <f ca="1">IFERROR(__xludf.DUMMYFUNCTION("IMPORTRANGE(""https://docs.google.com/spreadsheets/d/1C3CXT74ZlgGe6_JY_1olB1XN4rF0dxEuIIF-xsYjHgg/edit?usp=sharing"",""พรบ!AR72"")"),80200)</f>
        <v>80200</v>
      </c>
      <c r="AR68" s="77">
        <f ca="1">IFERROR(__xludf.DUMMYFUNCTION("IMPORTRANGE(""https://docs.google.com/spreadsheets/d/1C3CXT74ZlgGe6_JY_1olB1XN4rF0dxEuIIF-xsYjHgg/edit?usp=sharing"",""พรบ!AS72"")"),20)</f>
        <v>20</v>
      </c>
      <c r="AS68" s="77">
        <f ca="1">IFERROR(__xludf.DUMMYFUNCTION("IMPORTRANGE(""https://docs.google.com/spreadsheets/d/1SX6NBoVAgQJ6U1MVXOaj8PK2l7WJ3RER9xtqwdhxkhw/edit?usp=sharing"",""ระยอง!J138"")"),20)</f>
        <v>20</v>
      </c>
      <c r="AT68" s="137">
        <f t="shared" ca="1" si="22"/>
        <v>100</v>
      </c>
      <c r="AU68" s="77">
        <f ca="1">IFERROR(__xludf.DUMMYFUNCTION("IMPORTRANGE(""https://docs.google.com/spreadsheets/d/1C3CXT74ZlgGe6_JY_1olB1XN4rF0dxEuIIF-xsYjHgg/edit?usp=sharing"",""พรบ!AT72"")"),20)</f>
        <v>20</v>
      </c>
      <c r="AV68" s="77">
        <f ca="1">IFERROR(__xludf.DUMMYFUNCTION("IMPORTRANGE(""https://docs.google.com/spreadsheets/d/1C3CXT74ZlgGe6_JY_1olB1XN4rF0dxEuIIF-xsYjHgg/edit?usp=sharing"",""พรบ!AU72"")"),0)</f>
        <v>0</v>
      </c>
      <c r="AW68" s="77">
        <f ca="1">IFERROR(__xludf.DUMMYFUNCTION("IMPORTRANGE(""https://docs.google.com/spreadsheets/d/1SX6NBoVAgQJ6U1MVXOaj8PK2l7WJ3RER9xtqwdhxkhw/edit?usp=sharing"",""ระยอง!J140"")"),0)</f>
        <v>0</v>
      </c>
      <c r="AX68" s="137">
        <f t="shared" ca="1" si="24"/>
        <v>0</v>
      </c>
      <c r="AY68" s="77">
        <f ca="1">IFERROR(__xludf.DUMMYFUNCTION("IMPORTRANGE(""https://docs.google.com/spreadsheets/d/1SX6NBoVAgQJ6U1MVXOaj8PK2l7WJ3RER9xtqwdhxkhw/edit?usp=sharing"",""ระยอง!J141"")"),0)</f>
        <v>0</v>
      </c>
      <c r="AZ68" s="137">
        <f t="shared" ca="1" si="25"/>
        <v>0</v>
      </c>
      <c r="BA68" s="77">
        <f t="shared" ca="1" si="26"/>
        <v>20</v>
      </c>
      <c r="BB68" s="77">
        <f t="shared" ca="1" si="99"/>
        <v>20</v>
      </c>
      <c r="BC68" s="137">
        <f t="shared" ca="1" si="27"/>
        <v>100</v>
      </c>
    </row>
    <row r="69" spans="1:55" ht="21" customHeight="1">
      <c r="A69" s="73">
        <v>15</v>
      </c>
      <c r="B69" s="74" t="s">
        <v>93</v>
      </c>
      <c r="C69" s="75">
        <f t="shared" ca="1" si="0"/>
        <v>58500</v>
      </c>
      <c r="D69" s="76">
        <f t="shared" ca="1" si="97"/>
        <v>58500</v>
      </c>
      <c r="E69" s="77">
        <f ca="1">IFERROR(__xludf.DUMMYFUNCTION("IMPORTRANGE(""https://docs.google.com/spreadsheets/d/1C3CXT74ZlgGe6_JY_1olB1XN4rF0dxEuIIF-xsYjHgg/edit?usp=sharing"",""พรบ!AD73"")"),0)</f>
        <v>0</v>
      </c>
      <c r="F69" s="77">
        <f ca="1">IFERROR(__xludf.DUMMYFUNCTION("IMPORTRANGE(""https://docs.google.com/spreadsheets/d/1C3CXT74ZlgGe6_JY_1olB1XN4rF0dxEuIIF-xsYjHgg/edit?usp=sharing"",""พรบ!AE73"")"),58500)</f>
        <v>58500</v>
      </c>
      <c r="G69" s="77">
        <f ca="1">IFERROR(__xludf.DUMMYFUNCTION("IMPORTRANGE(""https://docs.google.com/spreadsheets/d/1Yj_ptqi66GCucihVvJfMjLAmec39IyEx_6qawtMGysU/edit?usp=sharing"",""สบก!BH73"")"),0)</f>
        <v>0</v>
      </c>
      <c r="H69" s="77">
        <f ca="1">IFERROR(__xludf.DUMMYFUNCTION("IMPORTRANGE(""https://docs.google.com/spreadsheets/d/1Yj_ptqi66GCucihVvJfMjLAmec39IyEx_6qawtMGysU/edit?usp=shBJing"",""สบก!BJ73"")"),55625)</f>
        <v>55625</v>
      </c>
      <c r="I69" s="77">
        <f t="shared" ca="1" si="3"/>
        <v>1616.1</v>
      </c>
      <c r="J69" s="137">
        <f t="shared" ca="1" si="4"/>
        <v>2.7625641025641028</v>
      </c>
      <c r="K69" s="77">
        <f ca="1">IFERROR(__xludf.DUMMYFUNCTION("IMPORTRANGE(""https://docs.google.com/spreadsheets/d/1Yj_ptqi66GCucihVvJfMjLAmec39IyEx_6qawtMGysU/edit?usp=sharing"",""สบก!BK73"")"),1616.1)</f>
        <v>1616.1</v>
      </c>
      <c r="L69" s="137">
        <f t="shared" ca="1" si="5"/>
        <v>2.7625641025641028</v>
      </c>
      <c r="M69" s="137">
        <f t="shared" ca="1" si="6"/>
        <v>2.9053483146067416</v>
      </c>
      <c r="N69" s="137">
        <f ca="1">IFERROR(__xludf.DUMMYFUNCTION("IMPORTRANGE(""https://docs.google.com/spreadsheets/d/1Yj_ptqi66GCucihVvJfMjLAmec39IyEx_6qawtMGysU/edit?usp=sharing"",""สบก!BL73"")"),0)</f>
        <v>0</v>
      </c>
      <c r="O69" s="137">
        <f t="shared" ca="1" si="7"/>
        <v>0</v>
      </c>
      <c r="P69" s="77">
        <f ca="1">IFERROR(__xludf.DUMMYFUNCTION("IMPORTRANGE(""https://docs.google.com/spreadsheets/d/1C3CXT74ZlgGe6_JY_1olB1XN4rF0dxEuIIF-xsYjHgg/edit?usp=sharing"",""พรบ!AF73"")"),7500)</f>
        <v>7500</v>
      </c>
      <c r="Q69" s="77">
        <f ca="1">IFERROR(__xludf.DUMMYFUNCTION("IMPORTRANGE(""https://docs.google.com/spreadsheets/d/1C3CXT74ZlgGe6_JY_1olB1XN4rF0dxEuIIF-xsYjHgg/edit?usp=sharing"",""พรบ!AG73"")"),4)</f>
        <v>4</v>
      </c>
      <c r="R69" s="77">
        <f ca="1">IFERROR(__xludf.DUMMYFUNCTION("IMPORTRANGE(""https://docs.google.com/spreadsheets/d/1SX6NBoVAgQJ6U1MVXOaj8PK2l7WJ3RER9xtqwdhxkhw/edit?usp=sharing"",""ราชบุรี!J83"")"),2)</f>
        <v>2</v>
      </c>
      <c r="S69" s="137">
        <f t="shared" ca="1" si="9"/>
        <v>50</v>
      </c>
      <c r="T69" s="77">
        <f t="shared" ca="1" si="98"/>
        <v>110</v>
      </c>
      <c r="U69" s="77">
        <f ca="1">IFERROR(__xludf.DUMMYFUNCTION("IMPORTRANGE(""https://docs.google.com/spreadsheets/d/1SX6NBoVAgQJ6U1MVXOaj8PK2l7WJ3RER9xtqwdhxkhw/edit?usp=sharing"",""ราชบุรี!J85"")"),110)</f>
        <v>110</v>
      </c>
      <c r="V69" s="77">
        <f ca="1">IFERROR(__xludf.DUMMYFUNCTION("IMPORTRANGE(""https://docs.google.com/spreadsheets/d/1SX6NBoVAgQJ6U1MVXOaj8PK2l7WJ3RER9xtqwdhxkhw/edit?usp=sharing"",""ราชบุรี!J86"")"),0)</f>
        <v>0</v>
      </c>
      <c r="W69" s="77">
        <f ca="1">IFERROR(__xludf.DUMMYFUNCTION("IMPORTRANGE(""https://docs.google.com/spreadsheets/d/1C3CXT74ZlgGe6_JY_1olB1XN4rF0dxEuIIF-xsYjHgg/edit?usp=sharing"",""พรบ!AH73"")"),42000)</f>
        <v>42000</v>
      </c>
      <c r="X69" s="77">
        <f ca="1">IFERROR(__xludf.DUMMYFUNCTION("IMPORTRANGE(""https://docs.google.com/spreadsheets/d/1C3CXT74ZlgGe6_JY_1olB1XN4rF0dxEuIIF-xsYjHgg/edit?usp=sharing"",""พรบ!AI73"")"),3)</f>
        <v>3</v>
      </c>
      <c r="Y69" s="77">
        <f ca="1">IFERROR(__xludf.DUMMYFUNCTION("IMPORTRANGE(""https://docs.google.com/spreadsheets/d/1SX6NBoVAgQJ6U1MVXOaj8PK2l7WJ3RER9xtqwdhxkhw/edit?usp=sharing"",""ราชบุรี!J98"")"),0)</f>
        <v>0</v>
      </c>
      <c r="Z69" s="137">
        <f t="shared" ca="1" si="11"/>
        <v>0</v>
      </c>
      <c r="AA69" s="77">
        <f ca="1">IFERROR(__xludf.DUMMYFUNCTION("IMPORTRANGE(""https://docs.google.com/spreadsheets/d/1C3CXT74ZlgGe6_JY_1olB1XN4rF0dxEuIIF-xsYjHgg/edit?usp=sharing"",""พรบ!AJ73"")"),0)</f>
        <v>0</v>
      </c>
      <c r="AB69" s="77">
        <f ca="1">IFERROR(__xludf.DUMMYFUNCTION("IMPORTRANGE(""https://docs.google.com/spreadsheets/d/1C3CXT74ZlgGe6_JY_1olB1XN4rF0dxEuIIF-xsYjHgg/edit?usp=sharing"",""พรบ!AK73"")"),0)</f>
        <v>0</v>
      </c>
      <c r="AC69" s="77">
        <f ca="1">IFERROR(__xludf.DUMMYFUNCTION("IMPORTRANGE(""https://docs.google.com/spreadsheets/d/1SX6NBoVAgQJ6U1MVXOaj8PK2l7WJ3RER9xtqwdhxkhw/edit?usp=sharing"",""ราชบุรี!J110"")"),0)</f>
        <v>0</v>
      </c>
      <c r="AD69" s="137">
        <f t="shared" ca="1" si="13"/>
        <v>0</v>
      </c>
      <c r="AE69" s="77">
        <f ca="1">IFERROR(__xludf.DUMMYFUNCTION("IMPORTRANGE(""https://docs.google.com/spreadsheets/d/1C3CXT74ZlgGe6_JY_1olB1XN4rF0dxEuIIF-xsYjHgg/edit?usp=sharing"",""พรบ!AL73"")"),0)</f>
        <v>0</v>
      </c>
      <c r="AF69" s="77">
        <f ca="1">IFERROR(__xludf.DUMMYFUNCTION("IMPORTRANGE(""https://docs.google.com/spreadsheets/d/1SX6NBoVAgQJ6U1MVXOaj8PK2l7WJ3RER9xtqwdhxkhw/edit?usp=sharing"",""ราชบุรี!J111"")"),0)</f>
        <v>0</v>
      </c>
      <c r="AG69" s="137">
        <f t="shared" ca="1" si="15"/>
        <v>0</v>
      </c>
      <c r="AH69" s="77">
        <f ca="1">IFERROR(__xludf.DUMMYFUNCTION("IMPORTRANGE(""https://docs.google.com/spreadsheets/d/1C3CXT74ZlgGe6_JY_1olB1XN4rF0dxEuIIF-xsYjHgg/edit?usp=sharing"",""พรบ!AM73"")"),9000)</f>
        <v>9000</v>
      </c>
      <c r="AI69" s="77">
        <f ca="1">IFERROR(__xludf.DUMMYFUNCTION("IMPORTRANGE(""https://docs.google.com/spreadsheets/d/1C3CXT74ZlgGe6_JY_1olB1XN4rF0dxEuIIF-xsYjHgg/edit?usp=sharing"",""พรบ!AN73"")"),20000)</f>
        <v>20000</v>
      </c>
      <c r="AJ69" s="77">
        <f ca="1">IFERROR(__xludf.DUMMYFUNCTION("IMPORTRANGE(""https://docs.google.com/spreadsheets/d/1SX6NBoVAgQJ6U1MVXOaj8PK2l7WJ3RER9xtqwdhxkhw/edit?usp=sharing"",""ราชบุรี!J124"")"),0)</f>
        <v>0</v>
      </c>
      <c r="AK69" s="137">
        <f t="shared" ca="1" si="17"/>
        <v>0</v>
      </c>
      <c r="AL69" s="77">
        <f ca="1">IFERROR(__xludf.DUMMYFUNCTION("IMPORTRANGE(""https://docs.google.com/spreadsheets/d/1SX6NBoVAgQJ6U1MVXOaj8PK2l7WJ3RER9xtqwdhxkhw/edit?usp=sharing"",""ราชบุรี!J125"")"),0)</f>
        <v>0</v>
      </c>
      <c r="AM69" s="137">
        <f t="shared" ca="1" si="18"/>
        <v>0</v>
      </c>
      <c r="AN69" s="77">
        <f ca="1">IFERROR(__xludf.DUMMYFUNCTION("IMPORTRANGE(""https://docs.google.com/spreadsheets/d/1C3CXT74ZlgGe6_JY_1olB1XN4rF0dxEuIIF-xsYjHgg/edit?usp=sharing"",""พรบ!AQ73"")"),0)</f>
        <v>0</v>
      </c>
      <c r="AO69" s="77">
        <f ca="1">IFERROR(__xludf.DUMMYFUNCTION("IMPORTRANGE(""https://docs.google.com/spreadsheets/d/1SX6NBoVAgQJ6U1MVXOaj8PK2l7WJ3RER9xtqwdhxkhw/edit?usp=sharing"",""ราชบุรี!J126"")"),0)</f>
        <v>0</v>
      </c>
      <c r="AP69" s="137">
        <f t="shared" ca="1" si="20"/>
        <v>0</v>
      </c>
      <c r="AQ69" s="149">
        <f ca="1">IFERROR(__xludf.DUMMYFUNCTION("IMPORTRANGE(""https://docs.google.com/spreadsheets/d/1C3CXT74ZlgGe6_JY_1olB1XN4rF0dxEuIIF-xsYjHgg/edit?usp=sharing"",""พรบ!AR73"")"),0)</f>
        <v>0</v>
      </c>
      <c r="AR69" s="77">
        <f ca="1">IFERROR(__xludf.DUMMYFUNCTION("IMPORTRANGE(""https://docs.google.com/spreadsheets/d/1C3CXT74ZlgGe6_JY_1olB1XN4rF0dxEuIIF-xsYjHgg/edit?usp=sharing"",""พรบ!AS73"")"),0)</f>
        <v>0</v>
      </c>
      <c r="AS69" s="77">
        <f ca="1">IFERROR(__xludf.DUMMYFUNCTION("IMPORTRANGE(""https://docs.google.com/spreadsheets/d/1SX6NBoVAgQJ6U1MVXOaj8PK2l7WJ3RER9xtqwdhxkhw/edit?usp=sharing"",""ราชบุรี!J138"")"),0)</f>
        <v>0</v>
      </c>
      <c r="AT69" s="137">
        <f t="shared" ca="1" si="22"/>
        <v>0</v>
      </c>
      <c r="AU69" s="77">
        <f ca="1">IFERROR(__xludf.DUMMYFUNCTION("IMPORTRANGE(""https://docs.google.com/spreadsheets/d/1C3CXT74ZlgGe6_JY_1olB1XN4rF0dxEuIIF-xsYjHgg/edit?usp=sharing"",""พรบ!AT73"")"),0)</f>
        <v>0</v>
      </c>
      <c r="AV69" s="77">
        <f ca="1">IFERROR(__xludf.DUMMYFUNCTION("IMPORTRANGE(""https://docs.google.com/spreadsheets/d/1C3CXT74ZlgGe6_JY_1olB1XN4rF0dxEuIIF-xsYjHgg/edit?usp=sharing"",""พรบ!AU73"")"),0)</f>
        <v>0</v>
      </c>
      <c r="AW69" s="77">
        <f ca="1">IFERROR(__xludf.DUMMYFUNCTION("IMPORTRANGE(""https://docs.google.com/spreadsheets/d/1SX6NBoVAgQJ6U1MVXOaj8PK2l7WJ3RER9xtqwdhxkhw/edit?usp=sharing"",""ราชบุรี!J140"")"),0)</f>
        <v>0</v>
      </c>
      <c r="AX69" s="137">
        <f t="shared" ca="1" si="24"/>
        <v>0</v>
      </c>
      <c r="AY69" s="77">
        <f ca="1">IFERROR(__xludf.DUMMYFUNCTION("IMPORTRANGE(""https://docs.google.com/spreadsheets/d/1SX6NBoVAgQJ6U1MVXOaj8PK2l7WJ3RER9xtqwdhxkhw/edit?usp=sharing"",""ราชบุรี!J141"")"),0)</f>
        <v>0</v>
      </c>
      <c r="AZ69" s="137">
        <f t="shared" ca="1" si="25"/>
        <v>0</v>
      </c>
      <c r="BA69" s="77">
        <f t="shared" ca="1" si="26"/>
        <v>0</v>
      </c>
      <c r="BB69" s="77">
        <f t="shared" ca="1" si="99"/>
        <v>0</v>
      </c>
      <c r="BC69" s="137">
        <f t="shared" ca="1" si="27"/>
        <v>0</v>
      </c>
    </row>
    <row r="70" spans="1:55" ht="24" customHeight="1">
      <c r="A70" s="73">
        <v>16</v>
      </c>
      <c r="B70" s="74" t="s">
        <v>94</v>
      </c>
      <c r="C70" s="75">
        <f t="shared" ca="1" si="0"/>
        <v>97500</v>
      </c>
      <c r="D70" s="76">
        <f t="shared" ca="1" si="97"/>
        <v>97500</v>
      </c>
      <c r="E70" s="77">
        <f ca="1">IFERROR(__xludf.DUMMYFUNCTION("IMPORTRANGE(""https://docs.google.com/spreadsheets/d/1C3CXT74ZlgGe6_JY_1olB1XN4rF0dxEuIIF-xsYjHgg/edit?usp=sharing"",""พรบ!AD74"")"),0)</f>
        <v>0</v>
      </c>
      <c r="F70" s="77">
        <f ca="1">IFERROR(__xludf.DUMMYFUNCTION("IMPORTRANGE(""https://docs.google.com/spreadsheets/d/1C3CXT74ZlgGe6_JY_1olB1XN4rF0dxEuIIF-xsYjHgg/edit?usp=sharing"",""พรบ!AE74"")"),97500)</f>
        <v>97500</v>
      </c>
      <c r="G70" s="77">
        <f ca="1">IFERROR(__xludf.DUMMYFUNCTION("IMPORTRANGE(""https://docs.google.com/spreadsheets/d/1Yj_ptqi66GCucihVvJfMjLAmec39IyEx_6qawtMGysU/edit?usp=sharing"",""สบก!BH74"")"),0)</f>
        <v>0</v>
      </c>
      <c r="H70" s="77">
        <f ca="1">IFERROR(__xludf.DUMMYFUNCTION("IMPORTRANGE(""https://docs.google.com/spreadsheets/d/1Yj_ptqi66GCucihVvJfMjLAmec39IyEx_6qawtMGysU/edit?usp=shBJing"",""สบก!BJ74"")"),69625)</f>
        <v>69625</v>
      </c>
      <c r="I70" s="77">
        <f t="shared" ca="1" si="3"/>
        <v>61294</v>
      </c>
      <c r="J70" s="137">
        <f t="shared" ca="1" si="4"/>
        <v>62.865641025641025</v>
      </c>
      <c r="K70" s="77">
        <f ca="1">IFERROR(__xludf.DUMMYFUNCTION("IMPORTRANGE(""https://docs.google.com/spreadsheets/d/1Yj_ptqi66GCucihVvJfMjLAmec39IyEx_6qawtMGysU/edit?usp=sharing"",""สบก!BK74"")"),61294)</f>
        <v>61294</v>
      </c>
      <c r="L70" s="137">
        <f t="shared" ca="1" si="5"/>
        <v>62.865641025641025</v>
      </c>
      <c r="M70" s="137">
        <f t="shared" ca="1" si="6"/>
        <v>88.034470377019744</v>
      </c>
      <c r="N70" s="137">
        <f ca="1">IFERROR(__xludf.DUMMYFUNCTION("IMPORTRANGE(""https://docs.google.com/spreadsheets/d/1Yj_ptqi66GCucihVvJfMjLAmec39IyEx_6qawtMGysU/edit?usp=sharing"",""สบก!BL74"")"),0)</f>
        <v>0</v>
      </c>
      <c r="O70" s="137">
        <f t="shared" ca="1" si="7"/>
        <v>0</v>
      </c>
      <c r="P70" s="77">
        <f ca="1">IFERROR(__xludf.DUMMYFUNCTION("IMPORTRANGE(""https://docs.google.com/spreadsheets/d/1C3CXT74ZlgGe6_JY_1olB1XN4rF0dxEuIIF-xsYjHgg/edit?usp=sharing"",""พรบ!AF74"")"),7500)</f>
        <v>7500</v>
      </c>
      <c r="Q70" s="77">
        <f ca="1">IFERROR(__xludf.DUMMYFUNCTION("IMPORTRANGE(""https://docs.google.com/spreadsheets/d/1C3CXT74ZlgGe6_JY_1olB1XN4rF0dxEuIIF-xsYjHgg/edit?usp=sharing"",""พรบ!AG74"")"),4)</f>
        <v>4</v>
      </c>
      <c r="R70" s="77">
        <f ca="1">IFERROR(__xludf.DUMMYFUNCTION("IMPORTRANGE(""https://docs.google.com/spreadsheets/d/1SX6NBoVAgQJ6U1MVXOaj8PK2l7WJ3RER9xtqwdhxkhw/edit?usp=sharing"",""ลพบุรี!J83"")"),2)</f>
        <v>2</v>
      </c>
      <c r="S70" s="137">
        <f t="shared" ca="1" si="9"/>
        <v>50</v>
      </c>
      <c r="T70" s="77">
        <f t="shared" ca="1" si="98"/>
        <v>32</v>
      </c>
      <c r="U70" s="77">
        <f ca="1">IFERROR(__xludf.DUMMYFUNCTION("IMPORTRANGE(""https://docs.google.com/spreadsheets/d/1SX6NBoVAgQJ6U1MVXOaj8PK2l7WJ3RER9xtqwdhxkhw/edit?usp=sharing"",""ลพบุรี!J85"")"),32)</f>
        <v>32</v>
      </c>
      <c r="V70" s="77">
        <f ca="1">IFERROR(__xludf.DUMMYFUNCTION("IMPORTRANGE(""https://docs.google.com/spreadsheets/d/1SX6NBoVAgQJ6U1MVXOaj8PK2l7WJ3RER9xtqwdhxkhw/edit?usp=sharing"",""ลพบุรี!J86"")"),0)</f>
        <v>0</v>
      </c>
      <c r="W70" s="77">
        <f ca="1">IFERROR(__xludf.DUMMYFUNCTION("IMPORTRANGE(""https://docs.google.com/spreadsheets/d/1C3CXT74ZlgGe6_JY_1olB1XN4rF0dxEuIIF-xsYjHgg/edit?usp=sharing"",""พรบ!AH74"")"),56000)</f>
        <v>56000</v>
      </c>
      <c r="X70" s="77">
        <f ca="1">IFERROR(__xludf.DUMMYFUNCTION("IMPORTRANGE(""https://docs.google.com/spreadsheets/d/1C3CXT74ZlgGe6_JY_1olB1XN4rF0dxEuIIF-xsYjHgg/edit?usp=sharing"",""พรบ!AI74"")"),4)</f>
        <v>4</v>
      </c>
      <c r="Y70" s="77">
        <f ca="1">IFERROR(__xludf.DUMMYFUNCTION("IMPORTRANGE(""https://docs.google.com/spreadsheets/d/1SX6NBoVAgQJ6U1MVXOaj8PK2l7WJ3RER9xtqwdhxkhw/edit?usp=sharing"",""ลพบุรี!J98"")"),4)</f>
        <v>4</v>
      </c>
      <c r="Z70" s="137">
        <f t="shared" ca="1" si="11"/>
        <v>100</v>
      </c>
      <c r="AA70" s="77">
        <f ca="1">IFERROR(__xludf.DUMMYFUNCTION("IMPORTRANGE(""https://docs.google.com/spreadsheets/d/1C3CXT74ZlgGe6_JY_1olB1XN4rF0dxEuIIF-xsYjHgg/edit?usp=sharing"",""พรบ!AJ74"")"),0)</f>
        <v>0</v>
      </c>
      <c r="AB70" s="77">
        <f ca="1">IFERROR(__xludf.DUMMYFUNCTION("IMPORTRANGE(""https://docs.google.com/spreadsheets/d/1C3CXT74ZlgGe6_JY_1olB1XN4rF0dxEuIIF-xsYjHgg/edit?usp=sharing"",""พรบ!AK74"")"),0)</f>
        <v>0</v>
      </c>
      <c r="AC70" s="77">
        <f ca="1">IFERROR(__xludf.DUMMYFUNCTION("IMPORTRANGE(""https://docs.google.com/spreadsheets/d/1SX6NBoVAgQJ6U1MVXOaj8PK2l7WJ3RER9xtqwdhxkhw/edit?usp=sharing"",""ลพบุรี!J110"")"),0)</f>
        <v>0</v>
      </c>
      <c r="AD70" s="137">
        <f t="shared" ca="1" si="13"/>
        <v>0</v>
      </c>
      <c r="AE70" s="77">
        <f ca="1">IFERROR(__xludf.DUMMYFUNCTION("IMPORTRANGE(""https://docs.google.com/spreadsheets/d/1C3CXT74ZlgGe6_JY_1olB1XN4rF0dxEuIIF-xsYjHgg/edit?usp=sharing"",""พรบ!AL74"")"),0)</f>
        <v>0</v>
      </c>
      <c r="AF70" s="77">
        <f ca="1">IFERROR(__xludf.DUMMYFUNCTION("IMPORTRANGE(""https://docs.google.com/spreadsheets/d/1SX6NBoVAgQJ6U1MVXOaj8PK2l7WJ3RER9xtqwdhxkhw/edit?usp=sharing"",""ลพบุรี!J111"")"),0)</f>
        <v>0</v>
      </c>
      <c r="AG70" s="137">
        <f t="shared" ca="1" si="15"/>
        <v>0</v>
      </c>
      <c r="AH70" s="77">
        <f ca="1">IFERROR(__xludf.DUMMYFUNCTION("IMPORTRANGE(""https://docs.google.com/spreadsheets/d/1C3CXT74ZlgGe6_JY_1olB1XN4rF0dxEuIIF-xsYjHgg/edit?usp=sharing"",""พรบ!AM74"")"),34000)</f>
        <v>34000</v>
      </c>
      <c r="AI70" s="77">
        <f ca="1">IFERROR(__xludf.DUMMYFUNCTION("IMPORTRANGE(""https://docs.google.com/spreadsheets/d/1C3CXT74ZlgGe6_JY_1olB1XN4rF0dxEuIIF-xsYjHgg/edit?usp=sharing"",""พรบ!AN74"")"),100000)</f>
        <v>100000</v>
      </c>
      <c r="AJ70" s="77">
        <f ca="1">IFERROR(__xludf.DUMMYFUNCTION("IMPORTRANGE(""https://docs.google.com/spreadsheets/d/1SX6NBoVAgQJ6U1MVXOaj8PK2l7WJ3RER9xtqwdhxkhw/edit?usp=sharing"",""ลพบุรี!J124"")"),0)</f>
        <v>0</v>
      </c>
      <c r="AK70" s="137">
        <f t="shared" ca="1" si="17"/>
        <v>0</v>
      </c>
      <c r="AL70" s="77">
        <f ca="1">IFERROR(__xludf.DUMMYFUNCTION("IMPORTRANGE(""https://docs.google.com/spreadsheets/d/1SX6NBoVAgQJ6U1MVXOaj8PK2l7WJ3RER9xtqwdhxkhw/edit?usp=sharing"",""ลพบุรี!J125"")"),0)</f>
        <v>0</v>
      </c>
      <c r="AM70" s="137">
        <f t="shared" ca="1" si="18"/>
        <v>0</v>
      </c>
      <c r="AN70" s="77">
        <f ca="1">IFERROR(__xludf.DUMMYFUNCTION("IMPORTRANGE(""https://docs.google.com/spreadsheets/d/1C3CXT74ZlgGe6_JY_1olB1XN4rF0dxEuIIF-xsYjHgg/edit?usp=sharing"",""พรบ!AQ74"")"),0)</f>
        <v>0</v>
      </c>
      <c r="AO70" s="77">
        <f ca="1">IFERROR(__xludf.DUMMYFUNCTION("IMPORTRANGE(""https://docs.google.com/spreadsheets/d/1SX6NBoVAgQJ6U1MVXOaj8PK2l7WJ3RER9xtqwdhxkhw/edit?usp=sharing"",""ลพบุรี!J126"")"),0)</f>
        <v>0</v>
      </c>
      <c r="AP70" s="137">
        <f t="shared" ca="1" si="20"/>
        <v>0</v>
      </c>
      <c r="AQ70" s="149">
        <f ca="1">IFERROR(__xludf.DUMMYFUNCTION("IMPORTRANGE(""https://docs.google.com/spreadsheets/d/1C3CXT74ZlgGe6_JY_1olB1XN4rF0dxEuIIF-xsYjHgg/edit?usp=sharing"",""พรบ!AR74"")"),0)</f>
        <v>0</v>
      </c>
      <c r="AR70" s="77">
        <f ca="1">IFERROR(__xludf.DUMMYFUNCTION("IMPORTRANGE(""https://docs.google.com/spreadsheets/d/1C3CXT74ZlgGe6_JY_1olB1XN4rF0dxEuIIF-xsYjHgg/edit?usp=sharing"",""พรบ!AS74"")"),0)</f>
        <v>0</v>
      </c>
      <c r="AS70" s="77">
        <f ca="1">IFERROR(__xludf.DUMMYFUNCTION("IMPORTRANGE(""https://docs.google.com/spreadsheets/d/1SX6NBoVAgQJ6U1MVXOaj8PK2l7WJ3RER9xtqwdhxkhw/edit?usp=sharing"",""ลพบุรี!J138"")"),0)</f>
        <v>0</v>
      </c>
      <c r="AT70" s="137">
        <f t="shared" ca="1" si="22"/>
        <v>0</v>
      </c>
      <c r="AU70" s="77">
        <f ca="1">IFERROR(__xludf.DUMMYFUNCTION("IMPORTRANGE(""https://docs.google.com/spreadsheets/d/1C3CXT74ZlgGe6_JY_1olB1XN4rF0dxEuIIF-xsYjHgg/edit?usp=sharing"",""พรบ!AT74"")"),0)</f>
        <v>0</v>
      </c>
      <c r="AV70" s="77">
        <f ca="1">IFERROR(__xludf.DUMMYFUNCTION("IMPORTRANGE(""https://docs.google.com/spreadsheets/d/1C3CXT74ZlgGe6_JY_1olB1XN4rF0dxEuIIF-xsYjHgg/edit?usp=sharing"",""พรบ!AU74"")"),0)</f>
        <v>0</v>
      </c>
      <c r="AW70" s="77">
        <f ca="1">IFERROR(__xludf.DUMMYFUNCTION("IMPORTRANGE(""https://docs.google.com/spreadsheets/d/1SX6NBoVAgQJ6U1MVXOaj8PK2l7WJ3RER9xtqwdhxkhw/edit?usp=sharing"",""ลพบุรี!J140"")"),0)</f>
        <v>0</v>
      </c>
      <c r="AX70" s="137">
        <f t="shared" ca="1" si="24"/>
        <v>0</v>
      </c>
      <c r="AY70" s="77">
        <f ca="1">IFERROR(__xludf.DUMMYFUNCTION("IMPORTRANGE(""https://docs.google.com/spreadsheets/d/1SX6NBoVAgQJ6U1MVXOaj8PK2l7WJ3RER9xtqwdhxkhw/edit?usp=sharing"",""ลพบุรี!J141"")"),0)</f>
        <v>0</v>
      </c>
      <c r="AZ70" s="137">
        <f t="shared" ca="1" si="25"/>
        <v>0</v>
      </c>
      <c r="BA70" s="77">
        <f t="shared" ca="1" si="26"/>
        <v>0</v>
      </c>
      <c r="BB70" s="77">
        <f t="shared" ca="1" si="99"/>
        <v>0</v>
      </c>
      <c r="BC70" s="137">
        <f t="shared" ca="1" si="27"/>
        <v>0</v>
      </c>
    </row>
    <row r="71" spans="1:55" ht="21" customHeight="1">
      <c r="A71" s="73">
        <v>17</v>
      </c>
      <c r="B71" s="74" t="s">
        <v>95</v>
      </c>
      <c r="C71" s="75">
        <f t="shared" ca="1" si="0"/>
        <v>479100</v>
      </c>
      <c r="D71" s="76">
        <f t="shared" ca="1" si="97"/>
        <v>479100</v>
      </c>
      <c r="E71" s="77">
        <f ca="1">IFERROR(__xludf.DUMMYFUNCTION("IMPORTRANGE(""https://docs.google.com/spreadsheets/d/1C3CXT74ZlgGe6_JY_1olB1XN4rF0dxEuIIF-xsYjHgg/edit?usp=sharing"",""พรบ!AD75"")"),132000)</f>
        <v>132000</v>
      </c>
      <c r="F71" s="77">
        <f ca="1">IFERROR(__xludf.DUMMYFUNCTION("IMPORTRANGE(""https://docs.google.com/spreadsheets/d/1C3CXT74ZlgGe6_JY_1olB1XN4rF0dxEuIIF-xsYjHgg/edit?usp=sharing"",""พรบ!AE75"")"),347100)</f>
        <v>347100</v>
      </c>
      <c r="G71" s="77">
        <f ca="1">IFERROR(__xludf.DUMMYFUNCTION("IMPORTRANGE(""https://docs.google.com/spreadsheets/d/1Yj_ptqi66GCucihVvJfMjLAmec39IyEx_6qawtMGysU/edit?usp=sharing"",""สบก!BH75"")"),0)</f>
        <v>0</v>
      </c>
      <c r="H71" s="77">
        <f ca="1">IFERROR(__xludf.DUMMYFUNCTION("IMPORTRANGE(""https://docs.google.com/spreadsheets/d/1Yj_ptqi66GCucihVvJfMjLAmec39IyEx_6qawtMGysU/edit?usp=shBJing"",""สบก!BJ75"")"),401725)</f>
        <v>401725</v>
      </c>
      <c r="I71" s="77">
        <f t="shared" ca="1" si="3"/>
        <v>277539.01</v>
      </c>
      <c r="J71" s="137">
        <f t="shared" ca="1" si="4"/>
        <v>57.929244416614488</v>
      </c>
      <c r="K71" s="77">
        <f ca="1">IFERROR(__xludf.DUMMYFUNCTION("IMPORTRANGE(""https://docs.google.com/spreadsheets/d/1Yj_ptqi66GCucihVvJfMjLAmec39IyEx_6qawtMGysU/edit?usp=sharing"",""สบก!BK75"")"),277539.01)</f>
        <v>277539.01</v>
      </c>
      <c r="L71" s="137">
        <f t="shared" ca="1" si="5"/>
        <v>57.929244416614488</v>
      </c>
      <c r="M71" s="137">
        <f t="shared" ca="1" si="6"/>
        <v>69.086815607691832</v>
      </c>
      <c r="N71" s="137">
        <f ca="1">IFERROR(__xludf.DUMMYFUNCTION("IMPORTRANGE(""https://docs.google.com/spreadsheets/d/1Yj_ptqi66GCucihVvJfMjLAmec39IyEx_6qawtMGysU/edit?usp=sharing"",""สบก!BL75"")"),0)</f>
        <v>0</v>
      </c>
      <c r="O71" s="137">
        <f t="shared" ca="1" si="7"/>
        <v>0</v>
      </c>
      <c r="P71" s="77">
        <f ca="1">IFERROR(__xludf.DUMMYFUNCTION("IMPORTRANGE(""https://docs.google.com/spreadsheets/d/1C3CXT74ZlgGe6_JY_1olB1XN4rF0dxEuIIF-xsYjHgg/edit?usp=sharing"",""พรบ!AF75"")"),7500)</f>
        <v>7500</v>
      </c>
      <c r="Q71" s="77">
        <f ca="1">IFERROR(__xludf.DUMMYFUNCTION("IMPORTRANGE(""https://docs.google.com/spreadsheets/d/1C3CXT74ZlgGe6_JY_1olB1XN4rF0dxEuIIF-xsYjHgg/edit?usp=sharing"",""พรบ!AG75"")"),4)</f>
        <v>4</v>
      </c>
      <c r="R71" s="77">
        <f ca="1">IFERROR(__xludf.DUMMYFUNCTION("IMPORTRANGE(""https://docs.google.com/spreadsheets/d/1SX6NBoVAgQJ6U1MVXOaj8PK2l7WJ3RER9xtqwdhxkhw/edit?usp=sharing"",""สระแก้ว!J83"")"),2)</f>
        <v>2</v>
      </c>
      <c r="S71" s="137">
        <f t="shared" ca="1" si="9"/>
        <v>50</v>
      </c>
      <c r="T71" s="77">
        <f t="shared" ca="1" si="98"/>
        <v>0</v>
      </c>
      <c r="U71" s="77">
        <f ca="1">IFERROR(__xludf.DUMMYFUNCTION("IMPORTRANGE(""https://docs.google.com/spreadsheets/d/1SX6NBoVAgQJ6U1MVXOaj8PK2l7WJ3RER9xtqwdhxkhw/edit?usp=sharing"",""สระแก้ว!J85"")"),0)</f>
        <v>0</v>
      </c>
      <c r="V71" s="77">
        <f ca="1">IFERROR(__xludf.DUMMYFUNCTION("IMPORTRANGE(""https://docs.google.com/spreadsheets/d/1SX6NBoVAgQJ6U1MVXOaj8PK2l7WJ3RER9xtqwdhxkhw/edit?usp=sharing"",""สระแก้ว!J86"")"),0)</f>
        <v>0</v>
      </c>
      <c r="W71" s="77">
        <f ca="1">IFERROR(__xludf.DUMMYFUNCTION("IMPORTRANGE(""https://docs.google.com/spreadsheets/d/1C3CXT74ZlgGe6_JY_1olB1XN4rF0dxEuIIF-xsYjHgg/edit?usp=sharing"",""พรบ!AH75"")"),42000)</f>
        <v>42000</v>
      </c>
      <c r="X71" s="77">
        <f ca="1">IFERROR(__xludf.DUMMYFUNCTION("IMPORTRANGE(""https://docs.google.com/spreadsheets/d/1C3CXT74ZlgGe6_JY_1olB1XN4rF0dxEuIIF-xsYjHgg/edit?usp=sharing"",""พรบ!AI75"")"),3)</f>
        <v>3</v>
      </c>
      <c r="Y71" s="77">
        <f ca="1">IFERROR(__xludf.DUMMYFUNCTION("IMPORTRANGE(""https://docs.google.com/spreadsheets/d/1SX6NBoVAgQJ6U1MVXOaj8PK2l7WJ3RER9xtqwdhxkhw/edit?usp=sharing"",""สระแก้ว!J98"")"),3)</f>
        <v>3</v>
      </c>
      <c r="Z71" s="137">
        <f t="shared" ca="1" si="11"/>
        <v>100</v>
      </c>
      <c r="AA71" s="77">
        <f ca="1">IFERROR(__xludf.DUMMYFUNCTION("IMPORTRANGE(""https://docs.google.com/spreadsheets/d/1C3CXT74ZlgGe6_JY_1olB1XN4rF0dxEuIIF-xsYjHgg/edit?usp=sharing"",""พรบ!AJ75"")"),90000)</f>
        <v>90000</v>
      </c>
      <c r="AB71" s="77">
        <f ca="1">IFERROR(__xludf.DUMMYFUNCTION("IMPORTRANGE(""https://docs.google.com/spreadsheets/d/1C3CXT74ZlgGe6_JY_1olB1XN4rF0dxEuIIF-xsYjHgg/edit?usp=sharing"",""พรบ!AK75"")"),6)</f>
        <v>6</v>
      </c>
      <c r="AC71" s="77">
        <f ca="1">IFERROR(__xludf.DUMMYFUNCTION("IMPORTRANGE(""https://docs.google.com/spreadsheets/d/1SX6NBoVAgQJ6U1MVXOaj8PK2l7WJ3RER9xtqwdhxkhw/edit?usp=sharing"",""สระแก้ว!J110"")"),0)</f>
        <v>0</v>
      </c>
      <c r="AD71" s="137">
        <f t="shared" ca="1" si="13"/>
        <v>0</v>
      </c>
      <c r="AE71" s="77">
        <f ca="1">IFERROR(__xludf.DUMMYFUNCTION("IMPORTRANGE(""https://docs.google.com/spreadsheets/d/1C3CXT74ZlgGe6_JY_1olB1XN4rF0dxEuIIF-xsYjHgg/edit?usp=sharing"",""พรบ!AL75"")"),6)</f>
        <v>6</v>
      </c>
      <c r="AF71" s="77">
        <f ca="1">IFERROR(__xludf.DUMMYFUNCTION("IMPORTRANGE(""https://docs.google.com/spreadsheets/d/1SX6NBoVAgQJ6U1MVXOaj8PK2l7WJ3RER9xtqwdhxkhw/edit?usp=sharing"",""สระแก้ว!J111"")"),6)</f>
        <v>6</v>
      </c>
      <c r="AG71" s="137">
        <f t="shared" ca="1" si="15"/>
        <v>100</v>
      </c>
      <c r="AH71" s="77">
        <f ca="1">IFERROR(__xludf.DUMMYFUNCTION("IMPORTRANGE(""https://docs.google.com/spreadsheets/d/1C3CXT74ZlgGe6_JY_1olB1XN4rF0dxEuIIF-xsYjHgg/edit?usp=sharing"",""พรบ!AM75"")"),16000)</f>
        <v>16000</v>
      </c>
      <c r="AI71" s="77">
        <f ca="1">IFERROR(__xludf.DUMMYFUNCTION("IMPORTRANGE(""https://docs.google.com/spreadsheets/d/1C3CXT74ZlgGe6_JY_1olB1XN4rF0dxEuIIF-xsYjHgg/edit?usp=sharing"",""พรบ!AN75"")"),40000)</f>
        <v>40000</v>
      </c>
      <c r="AJ71" s="77">
        <f ca="1">IFERROR(__xludf.DUMMYFUNCTION("IMPORTRANGE(""https://docs.google.com/spreadsheets/d/1SX6NBoVAgQJ6U1MVXOaj8PK2l7WJ3RER9xtqwdhxkhw/edit?usp=sharing"",""สระแก้ว!J124"")"),0)</f>
        <v>0</v>
      </c>
      <c r="AK71" s="137">
        <f t="shared" ca="1" si="17"/>
        <v>0</v>
      </c>
      <c r="AL71" s="77">
        <f ca="1">IFERROR(__xludf.DUMMYFUNCTION("IMPORTRANGE(""https://docs.google.com/spreadsheets/d/1SX6NBoVAgQJ6U1MVXOaj8PK2l7WJ3RER9xtqwdhxkhw/edit?usp=sharing"",""สระแก้ว!J125"")"),0)</f>
        <v>0</v>
      </c>
      <c r="AM71" s="137">
        <f t="shared" ca="1" si="18"/>
        <v>0</v>
      </c>
      <c r="AN71" s="77">
        <f ca="1">IFERROR(__xludf.DUMMYFUNCTION("IMPORTRANGE(""https://docs.google.com/spreadsheets/d/1C3CXT74ZlgGe6_JY_1olB1XN4rF0dxEuIIF-xsYjHgg/edit?usp=sharing"",""พรบ!AQ75"")"),0)</f>
        <v>0</v>
      </c>
      <c r="AO71" s="77">
        <f ca="1">IFERROR(__xludf.DUMMYFUNCTION("IMPORTRANGE(""https://docs.google.com/spreadsheets/d/1SX6NBoVAgQJ6U1MVXOaj8PK2l7WJ3RER9xtqwdhxkhw/edit?usp=sharing"",""สระแก้ว!J126"")"),0)</f>
        <v>0</v>
      </c>
      <c r="AP71" s="137">
        <f t="shared" ca="1" si="20"/>
        <v>0</v>
      </c>
      <c r="AQ71" s="77">
        <f ca="1">IFERROR(__xludf.DUMMYFUNCTION("IMPORTRANGE(""https://docs.google.com/spreadsheets/d/1C3CXT74ZlgGe6_JY_1olB1XN4rF0dxEuIIF-xsYjHgg/edit?usp=sharing"",""พรบ!AR75"")"),191600)</f>
        <v>191600</v>
      </c>
      <c r="AR71" s="77">
        <f ca="1">IFERROR(__xludf.DUMMYFUNCTION("IMPORTRANGE(""https://docs.google.com/spreadsheets/d/1C3CXT74ZlgGe6_JY_1olB1XN4rF0dxEuIIF-xsYjHgg/edit?usp=sharing"",""พรบ!AS75"")"),60)</f>
        <v>60</v>
      </c>
      <c r="AS71" s="77">
        <f ca="1">IFERROR(__xludf.DUMMYFUNCTION("IMPORTRANGE(""https://docs.google.com/spreadsheets/d/1SX6NBoVAgQJ6U1MVXOaj8PK2l7WJ3RER9xtqwdhxkhw/edit?usp=sharing"",""สระแก้ว!J138"")"),60)</f>
        <v>60</v>
      </c>
      <c r="AT71" s="137">
        <f t="shared" ca="1" si="22"/>
        <v>100</v>
      </c>
      <c r="AU71" s="77">
        <f ca="1">IFERROR(__xludf.DUMMYFUNCTION("IMPORTRANGE(""https://docs.google.com/spreadsheets/d/1C3CXT74ZlgGe6_JY_1olB1XN4rF0dxEuIIF-xsYjHgg/edit?usp=sharing"",""พรบ!AT75"")"),20)</f>
        <v>20</v>
      </c>
      <c r="AV71" s="77">
        <f ca="1">IFERROR(__xludf.DUMMYFUNCTION("IMPORTRANGE(""https://docs.google.com/spreadsheets/d/1C3CXT74ZlgGe6_JY_1olB1XN4rF0dxEuIIF-xsYjHgg/edit?usp=sharing"",""พรบ!AU75"")"),3)</f>
        <v>3</v>
      </c>
      <c r="AW71" s="77">
        <f ca="1">IFERROR(__xludf.DUMMYFUNCTION("IMPORTRANGE(""https://docs.google.com/spreadsheets/d/1SX6NBoVAgQJ6U1MVXOaj8PK2l7WJ3RER9xtqwdhxkhw/edit?usp=sharing"",""สระแก้ว!J140"")"),0)</f>
        <v>0</v>
      </c>
      <c r="AX71" s="137">
        <f t="shared" ca="1" si="24"/>
        <v>0</v>
      </c>
      <c r="AY71" s="77">
        <f ca="1">IFERROR(__xludf.DUMMYFUNCTION("IMPORTRANGE(""https://docs.google.com/spreadsheets/d/1SX6NBoVAgQJ6U1MVXOaj8PK2l7WJ3RER9xtqwdhxkhw/edit?usp=sharing"",""สระแก้ว!J141"")"),0)</f>
        <v>0</v>
      </c>
      <c r="AZ71" s="137">
        <f t="shared" ca="1" si="25"/>
        <v>0</v>
      </c>
      <c r="BA71" s="77">
        <f t="shared" ca="1" si="26"/>
        <v>60</v>
      </c>
      <c r="BB71" s="77">
        <f t="shared" ca="1" si="99"/>
        <v>60</v>
      </c>
      <c r="BC71" s="137">
        <f t="shared" ca="1" si="27"/>
        <v>100</v>
      </c>
    </row>
    <row r="72" spans="1:55" ht="21" customHeight="1">
      <c r="A72" s="73">
        <v>18</v>
      </c>
      <c r="B72" s="74" t="s">
        <v>96</v>
      </c>
      <c r="C72" s="75">
        <f t="shared" ca="1" si="0"/>
        <v>374200</v>
      </c>
      <c r="D72" s="76">
        <f t="shared" ca="1" si="97"/>
        <v>374200</v>
      </c>
      <c r="E72" s="77">
        <f ca="1">IFERROR(__xludf.DUMMYFUNCTION("IMPORTRANGE(""https://docs.google.com/spreadsheets/d/1C3CXT74ZlgGe6_JY_1olB1XN4rF0dxEuIIF-xsYjHgg/edit?usp=sharing"",""พรบ!AD76"")"),301600)</f>
        <v>301600</v>
      </c>
      <c r="F72" s="77">
        <f ca="1">IFERROR(__xludf.DUMMYFUNCTION("IMPORTRANGE(""https://docs.google.com/spreadsheets/d/1C3CXT74ZlgGe6_JY_1olB1XN4rF0dxEuIIF-xsYjHgg/edit?usp=sharing"",""พรบ!AE76"")"),72600)</f>
        <v>72600</v>
      </c>
      <c r="G72" s="77">
        <f ca="1">IFERROR(__xludf.DUMMYFUNCTION("IMPORTRANGE(""https://docs.google.com/spreadsheets/d/1Yj_ptqi66GCucihVvJfMjLAmec39IyEx_6qawtMGysU/edit?usp=sharing"",""สบก!BH76"")"),0)</f>
        <v>0</v>
      </c>
      <c r="H72" s="77">
        <f ca="1">IFERROR(__xludf.DUMMYFUNCTION("IMPORTRANGE(""https://docs.google.com/spreadsheets/d/1Yj_ptqi66GCucihVvJfMjLAmec39IyEx_6qawtMGysU/edit?usp=shBJing"",""สบก!BJ76"")"),296825)</f>
        <v>296825</v>
      </c>
      <c r="I72" s="77">
        <f t="shared" ca="1" si="3"/>
        <v>211271.53</v>
      </c>
      <c r="J72" s="137">
        <f t="shared" ca="1" si="4"/>
        <v>56.459521646178516</v>
      </c>
      <c r="K72" s="77">
        <f ca="1">IFERROR(__xludf.DUMMYFUNCTION("IMPORTRANGE(""https://docs.google.com/spreadsheets/d/1Yj_ptqi66GCucihVvJfMjLAmec39IyEx_6qawtMGysU/edit?usp=sharing"",""สบก!BK76"")"),211271.53)</f>
        <v>211271.53</v>
      </c>
      <c r="L72" s="137">
        <f t="shared" ca="1" si="5"/>
        <v>56.459521646178516</v>
      </c>
      <c r="M72" s="137">
        <f t="shared" ca="1" si="6"/>
        <v>71.177134675313738</v>
      </c>
      <c r="N72" s="137">
        <f ca="1">IFERROR(__xludf.DUMMYFUNCTION("IMPORTRANGE(""https://docs.google.com/spreadsheets/d/1Yj_ptqi66GCucihVvJfMjLAmec39IyEx_6qawtMGysU/edit?usp=sharing"",""สบก!BL76"")"),0)</f>
        <v>0</v>
      </c>
      <c r="O72" s="137">
        <f t="shared" ca="1" si="7"/>
        <v>0</v>
      </c>
      <c r="P72" s="77">
        <f ca="1">IFERROR(__xludf.DUMMYFUNCTION("IMPORTRANGE(""https://docs.google.com/spreadsheets/d/1C3CXT74ZlgGe6_JY_1olB1XN4rF0dxEuIIF-xsYjHgg/edit?usp=sharing"",""พรบ!AF76"")"),7500)</f>
        <v>7500</v>
      </c>
      <c r="Q72" s="77">
        <f ca="1">IFERROR(__xludf.DUMMYFUNCTION("IMPORTRANGE(""https://docs.google.com/spreadsheets/d/1C3CXT74ZlgGe6_JY_1olB1XN4rF0dxEuIIF-xsYjHgg/edit?usp=sharing"",""พรบ!AG76"")"),4)</f>
        <v>4</v>
      </c>
      <c r="R72" s="77">
        <f ca="1">IFERROR(__xludf.DUMMYFUNCTION("IMPORTRANGE(""https://docs.google.com/spreadsheets/d/1SX6NBoVAgQJ6U1MVXOaj8PK2l7WJ3RER9xtqwdhxkhw/edit?usp=sharing"",""สระบุรี!J83"")"),2)</f>
        <v>2</v>
      </c>
      <c r="S72" s="137">
        <f t="shared" ca="1" si="9"/>
        <v>50</v>
      </c>
      <c r="T72" s="77">
        <f t="shared" ca="1" si="98"/>
        <v>101</v>
      </c>
      <c r="U72" s="77">
        <f ca="1">IFERROR(__xludf.DUMMYFUNCTION("IMPORTRANGE(""https://docs.google.com/spreadsheets/d/1SX6NBoVAgQJ6U1MVXOaj8PK2l7WJ3RER9xtqwdhxkhw/edit?usp=sharing"",""สระบุรี!J85"")"),101)</f>
        <v>101</v>
      </c>
      <c r="V72" s="77">
        <f ca="1">IFERROR(__xludf.DUMMYFUNCTION("IMPORTRANGE(""https://docs.google.com/spreadsheets/d/1SX6NBoVAgQJ6U1MVXOaj8PK2l7WJ3RER9xtqwdhxkhw/edit?usp=sharing"",""สระบุรี!J86"")"),0)</f>
        <v>0</v>
      </c>
      <c r="W72" s="77">
        <f ca="1">IFERROR(__xludf.DUMMYFUNCTION("IMPORTRANGE(""https://docs.google.com/spreadsheets/d/1C3CXT74ZlgGe6_JY_1olB1XN4rF0dxEuIIF-xsYjHgg/edit?usp=sharing"",""พรบ!AH76"")"),42000)</f>
        <v>42000</v>
      </c>
      <c r="X72" s="77">
        <f ca="1">IFERROR(__xludf.DUMMYFUNCTION("IMPORTRANGE(""https://docs.google.com/spreadsheets/d/1C3CXT74ZlgGe6_JY_1olB1XN4rF0dxEuIIF-xsYjHgg/edit?usp=sharing"",""พรบ!AI76"")"),3)</f>
        <v>3</v>
      </c>
      <c r="Y72" s="77">
        <f ca="1">IFERROR(__xludf.DUMMYFUNCTION("IMPORTRANGE(""https://docs.google.com/spreadsheets/d/1SX6NBoVAgQJ6U1MVXOaj8PK2l7WJ3RER9xtqwdhxkhw/edit?usp=sharing"",""สระบุรี!J98"")"),3)</f>
        <v>3</v>
      </c>
      <c r="Z72" s="137">
        <f t="shared" ca="1" si="11"/>
        <v>100</v>
      </c>
      <c r="AA72" s="77">
        <f ca="1">IFERROR(__xludf.DUMMYFUNCTION("IMPORTRANGE(""https://docs.google.com/spreadsheets/d/1C3CXT74ZlgGe6_JY_1olB1XN4rF0dxEuIIF-xsYjHgg/edit?usp=sharing"",""พรบ!AJ76"")"),0)</f>
        <v>0</v>
      </c>
      <c r="AB72" s="77">
        <f ca="1">IFERROR(__xludf.DUMMYFUNCTION("IMPORTRANGE(""https://docs.google.com/spreadsheets/d/1C3CXT74ZlgGe6_JY_1olB1XN4rF0dxEuIIF-xsYjHgg/edit?usp=sharing"",""พรบ!AK76"")"),0)</f>
        <v>0</v>
      </c>
      <c r="AC72" s="77">
        <f ca="1">IFERROR(__xludf.DUMMYFUNCTION("IMPORTRANGE(""https://docs.google.com/spreadsheets/d/1SX6NBoVAgQJ6U1MVXOaj8PK2l7WJ3RER9xtqwdhxkhw/edit?usp=sharing"",""สระบุรี!J110"")"),0)</f>
        <v>0</v>
      </c>
      <c r="AD72" s="137">
        <f t="shared" ca="1" si="13"/>
        <v>0</v>
      </c>
      <c r="AE72" s="77">
        <f ca="1">IFERROR(__xludf.DUMMYFUNCTION("IMPORTRANGE(""https://docs.google.com/spreadsheets/d/1C3CXT74ZlgGe6_JY_1olB1XN4rF0dxEuIIF-xsYjHgg/edit?usp=sharing"",""พรบ!AL76"")"),0)</f>
        <v>0</v>
      </c>
      <c r="AF72" s="77">
        <f ca="1">IFERROR(__xludf.DUMMYFUNCTION("IMPORTRANGE(""https://docs.google.com/spreadsheets/d/1SX6NBoVAgQJ6U1MVXOaj8PK2l7WJ3RER9xtqwdhxkhw/edit?usp=sharing"",""สระบุรี!J111"")"),0)</f>
        <v>0</v>
      </c>
      <c r="AG72" s="137">
        <f t="shared" ca="1" si="15"/>
        <v>0</v>
      </c>
      <c r="AH72" s="77">
        <f ca="1">IFERROR(__xludf.DUMMYFUNCTION("IMPORTRANGE(""https://docs.google.com/spreadsheets/d/1C3CXT74ZlgGe6_JY_1olB1XN4rF0dxEuIIF-xsYjHgg/edit?usp=sharing"",""พรบ!AM76"")"),23100)</f>
        <v>23100</v>
      </c>
      <c r="AI72" s="77">
        <f ca="1">IFERROR(__xludf.DUMMYFUNCTION("IMPORTRANGE(""https://docs.google.com/spreadsheets/d/1C3CXT74ZlgGe6_JY_1olB1XN4rF0dxEuIIF-xsYjHgg/edit?usp=sharing"",""พรบ!AN76"")"),12800)</f>
        <v>12800</v>
      </c>
      <c r="AJ72" s="77">
        <f ca="1">IFERROR(__xludf.DUMMYFUNCTION("IMPORTRANGE(""https://docs.google.com/spreadsheets/d/1SX6NBoVAgQJ6U1MVXOaj8PK2l7WJ3RER9xtqwdhxkhw/edit?usp=sharing"",""สระบุรี!J124"")"),0)</f>
        <v>0</v>
      </c>
      <c r="AK72" s="137">
        <f t="shared" ca="1" si="17"/>
        <v>0</v>
      </c>
      <c r="AL72" s="77">
        <f ca="1">IFERROR(__xludf.DUMMYFUNCTION("IMPORTRANGE(""https://docs.google.com/spreadsheets/d/1SX6NBoVAgQJ6U1MVXOaj8PK2l7WJ3RER9xtqwdhxkhw/edit?usp=sharing"",""สระบุรี!J125"")"),0)</f>
        <v>0</v>
      </c>
      <c r="AM72" s="137">
        <f t="shared" ca="1" si="18"/>
        <v>0</v>
      </c>
      <c r="AN72" s="77">
        <f ca="1">IFERROR(__xludf.DUMMYFUNCTION("IMPORTRANGE(""https://docs.google.com/spreadsheets/d/1C3CXT74ZlgGe6_JY_1olB1XN4rF0dxEuIIF-xsYjHgg/edit?usp=sharing"",""พรบ!AQ76"")"),15)</f>
        <v>15</v>
      </c>
      <c r="AO72" s="77">
        <f ca="1">IFERROR(__xludf.DUMMYFUNCTION("IMPORTRANGE(""https://docs.google.com/spreadsheets/d/1SX6NBoVAgQJ6U1MVXOaj8PK2l7WJ3RER9xtqwdhxkhw/edit?usp=sharing"",""สระบุรี!J126"")"),15)</f>
        <v>15</v>
      </c>
      <c r="AP72" s="137">
        <f t="shared" ca="1" si="20"/>
        <v>100</v>
      </c>
      <c r="AQ72" s="149">
        <f ca="1">IFERROR(__xludf.DUMMYFUNCTION("IMPORTRANGE(""https://docs.google.com/spreadsheets/d/1C3CXT74ZlgGe6_JY_1olB1XN4rF0dxEuIIF-xsYjHgg/edit?usp=sharing"",""พรบ!AR76"")"),0)</f>
        <v>0</v>
      </c>
      <c r="AR72" s="77">
        <f ca="1">IFERROR(__xludf.DUMMYFUNCTION("IMPORTRANGE(""https://docs.google.com/spreadsheets/d/1C3CXT74ZlgGe6_JY_1olB1XN4rF0dxEuIIF-xsYjHgg/edit?usp=sharing"",""พรบ!AS76"")"),0)</f>
        <v>0</v>
      </c>
      <c r="AS72" s="77">
        <f ca="1">IFERROR(__xludf.DUMMYFUNCTION("IMPORTRANGE(""https://docs.google.com/spreadsheets/d/1SX6NBoVAgQJ6U1MVXOaj8PK2l7WJ3RER9xtqwdhxkhw/edit?usp=sharing"",""สระบุรี!J138"")"),0)</f>
        <v>0</v>
      </c>
      <c r="AT72" s="137">
        <f t="shared" ca="1" si="22"/>
        <v>0</v>
      </c>
      <c r="AU72" s="77">
        <f ca="1">IFERROR(__xludf.DUMMYFUNCTION("IMPORTRANGE(""https://docs.google.com/spreadsheets/d/1C3CXT74ZlgGe6_JY_1olB1XN4rF0dxEuIIF-xsYjHgg/edit?usp=sharing"",""พรบ!AT76"")"),0)</f>
        <v>0</v>
      </c>
      <c r="AV72" s="77">
        <f ca="1">IFERROR(__xludf.DUMMYFUNCTION("IMPORTRANGE(""https://docs.google.com/spreadsheets/d/1C3CXT74ZlgGe6_JY_1olB1XN4rF0dxEuIIF-xsYjHgg/edit?usp=sharing"",""พรบ!AU76"")"),0)</f>
        <v>0</v>
      </c>
      <c r="AW72" s="77">
        <f ca="1">IFERROR(__xludf.DUMMYFUNCTION("IMPORTRANGE(""https://docs.google.com/spreadsheets/d/1SX6NBoVAgQJ6U1MVXOaj8PK2l7WJ3RER9xtqwdhxkhw/edit?usp=sharing"",""สระบุรี!J140"")"),0)</f>
        <v>0</v>
      </c>
      <c r="AX72" s="137">
        <f t="shared" ca="1" si="24"/>
        <v>0</v>
      </c>
      <c r="AY72" s="77">
        <f ca="1">IFERROR(__xludf.DUMMYFUNCTION("IMPORTRANGE(""https://docs.google.com/spreadsheets/d/1SX6NBoVAgQJ6U1MVXOaj8PK2l7WJ3RER9xtqwdhxkhw/edit?usp=sharing"",""สระบุรี!J141"")"),0)</f>
        <v>0</v>
      </c>
      <c r="AZ72" s="137">
        <f t="shared" ca="1" si="25"/>
        <v>0</v>
      </c>
      <c r="BA72" s="77">
        <f t="shared" ca="1" si="26"/>
        <v>15</v>
      </c>
      <c r="BB72" s="77">
        <f t="shared" ca="1" si="99"/>
        <v>15</v>
      </c>
      <c r="BC72" s="137">
        <f t="shared" ca="1" si="27"/>
        <v>100</v>
      </c>
    </row>
    <row r="73" spans="1:55" ht="21" customHeight="1">
      <c r="A73" s="73">
        <v>19</v>
      </c>
      <c r="B73" s="74" t="s">
        <v>97</v>
      </c>
      <c r="C73" s="75">
        <f t="shared" ca="1" si="0"/>
        <v>28700</v>
      </c>
      <c r="D73" s="76">
        <f t="shared" ca="1" si="97"/>
        <v>28700</v>
      </c>
      <c r="E73" s="77">
        <f ca="1">IFERROR(__xludf.DUMMYFUNCTION("IMPORTRANGE(""https://docs.google.com/spreadsheets/d/1C3CXT74ZlgGe6_JY_1olB1XN4rF0dxEuIIF-xsYjHgg/edit?usp=sharing"",""พรบ!AD77"")"),0)</f>
        <v>0</v>
      </c>
      <c r="F73" s="77">
        <f ca="1">IFERROR(__xludf.DUMMYFUNCTION("IMPORTRANGE(""https://docs.google.com/spreadsheets/d/1C3CXT74ZlgGe6_JY_1olB1XN4rF0dxEuIIF-xsYjHgg/edit?usp=sharing"",""พรบ!AE77"")"),28700)</f>
        <v>28700</v>
      </c>
      <c r="G73" s="77">
        <f ca="1">IFERROR(__xludf.DUMMYFUNCTION("IMPORTRANGE(""https://docs.google.com/spreadsheets/d/1Yj_ptqi66GCucihVvJfMjLAmec39IyEx_6qawtMGysU/edit?usp=sharing"",""สบก!BH77"")"),0)</f>
        <v>0</v>
      </c>
      <c r="H73" s="77">
        <f ca="1">IFERROR(__xludf.DUMMYFUNCTION("IMPORTRANGE(""https://docs.google.com/spreadsheets/d/1Yj_ptqi66GCucihVvJfMjLAmec39IyEx_6qawtMGysU/edit?usp=shBJing"",""สบก!BJ77"")"),27625)</f>
        <v>27625</v>
      </c>
      <c r="I73" s="77">
        <f t="shared" ca="1" si="3"/>
        <v>15500</v>
      </c>
      <c r="J73" s="137">
        <f t="shared" ca="1" si="4"/>
        <v>54.00696864111498</v>
      </c>
      <c r="K73" s="77">
        <f ca="1">IFERROR(__xludf.DUMMYFUNCTION("IMPORTRANGE(""https://docs.google.com/spreadsheets/d/1Yj_ptqi66GCucihVvJfMjLAmec39IyEx_6qawtMGysU/edit?usp=sharing"",""สบก!BK77"")"),15500)</f>
        <v>15500</v>
      </c>
      <c r="L73" s="137">
        <f t="shared" ca="1" si="5"/>
        <v>54.00696864111498</v>
      </c>
      <c r="M73" s="137">
        <f t="shared" ca="1" si="6"/>
        <v>56.108597285067873</v>
      </c>
      <c r="N73" s="137">
        <f ca="1">IFERROR(__xludf.DUMMYFUNCTION("IMPORTRANGE(""https://docs.google.com/spreadsheets/d/1Yj_ptqi66GCucihVvJfMjLAmec39IyEx_6qawtMGysU/edit?usp=sharing"",""สบก!BL77"")"),0)</f>
        <v>0</v>
      </c>
      <c r="O73" s="137">
        <f t="shared" ca="1" si="7"/>
        <v>0</v>
      </c>
      <c r="P73" s="77">
        <f ca="1">IFERROR(__xludf.DUMMYFUNCTION("IMPORTRANGE(""https://docs.google.com/spreadsheets/d/1C3CXT74ZlgGe6_JY_1olB1XN4rF0dxEuIIF-xsYjHgg/edit?usp=sharing"",""พรบ!AF77"")"),7500)</f>
        <v>7500</v>
      </c>
      <c r="Q73" s="77">
        <f ca="1">IFERROR(__xludf.DUMMYFUNCTION("IMPORTRANGE(""https://docs.google.com/spreadsheets/d/1C3CXT74ZlgGe6_JY_1olB1XN4rF0dxEuIIF-xsYjHgg/edit?usp=sharing"",""พรบ!AG77"")"),4)</f>
        <v>4</v>
      </c>
      <c r="R73" s="77">
        <f ca="1">IFERROR(__xludf.DUMMYFUNCTION("IMPORTRANGE(""https://docs.google.com/spreadsheets/d/1SX6NBoVAgQJ6U1MVXOaj8PK2l7WJ3RER9xtqwdhxkhw/edit?usp=sharing"",""สิงห์บุรี!J83"")"),1)</f>
        <v>1</v>
      </c>
      <c r="S73" s="137">
        <f t="shared" ca="1" si="9"/>
        <v>25</v>
      </c>
      <c r="T73" s="77">
        <f t="shared" ca="1" si="98"/>
        <v>42</v>
      </c>
      <c r="U73" s="77">
        <f ca="1">IFERROR(__xludf.DUMMYFUNCTION("IMPORTRANGE(""https://docs.google.com/spreadsheets/d/1SX6NBoVAgQJ6U1MVXOaj8PK2l7WJ3RER9xtqwdhxkhw/edit?usp=sharing"",""สิงห์บุรี!J85"")"),42)</f>
        <v>42</v>
      </c>
      <c r="V73" s="77">
        <f ca="1">IFERROR(__xludf.DUMMYFUNCTION("IMPORTRANGE(""https://docs.google.com/spreadsheets/d/1SX6NBoVAgQJ6U1MVXOaj8PK2l7WJ3RER9xtqwdhxkhw/edit?usp=sharing"",""สิงห์บุรี!J86"")"),0)</f>
        <v>0</v>
      </c>
      <c r="W73" s="77">
        <f ca="1">IFERROR(__xludf.DUMMYFUNCTION("IMPORTRANGE(""https://docs.google.com/spreadsheets/d/1C3CXT74ZlgGe6_JY_1olB1XN4rF0dxEuIIF-xsYjHgg/edit?usp=sharing"",""พรบ!AH77"")"),14000)</f>
        <v>14000</v>
      </c>
      <c r="X73" s="77">
        <f ca="1">IFERROR(__xludf.DUMMYFUNCTION("IMPORTRANGE(""https://docs.google.com/spreadsheets/d/1C3CXT74ZlgGe6_JY_1olB1XN4rF0dxEuIIF-xsYjHgg/edit?usp=sharing"",""พรบ!AI77"")"),1)</f>
        <v>1</v>
      </c>
      <c r="Y73" s="77">
        <f ca="1">IFERROR(__xludf.DUMMYFUNCTION("IMPORTRANGE(""https://docs.google.com/spreadsheets/d/1SX6NBoVAgQJ6U1MVXOaj8PK2l7WJ3RER9xtqwdhxkhw/edit?usp=sharing"",""สิงห์บุรี!J98"")"),1)</f>
        <v>1</v>
      </c>
      <c r="Z73" s="137">
        <f t="shared" ca="1" si="11"/>
        <v>100</v>
      </c>
      <c r="AA73" s="77">
        <f ca="1">IFERROR(__xludf.DUMMYFUNCTION("IMPORTRANGE(""https://docs.google.com/spreadsheets/d/1C3CXT74ZlgGe6_JY_1olB1XN4rF0dxEuIIF-xsYjHgg/edit?usp=sharing"",""พรบ!AJ77"")"),0)</f>
        <v>0</v>
      </c>
      <c r="AB73" s="77">
        <f ca="1">IFERROR(__xludf.DUMMYFUNCTION("IMPORTRANGE(""https://docs.google.com/spreadsheets/d/1C3CXT74ZlgGe6_JY_1olB1XN4rF0dxEuIIF-xsYjHgg/edit?usp=sharing"",""พรบ!AK77"")"),0)</f>
        <v>0</v>
      </c>
      <c r="AC73" s="77">
        <f ca="1">IFERROR(__xludf.DUMMYFUNCTION("IMPORTRANGE(""https://docs.google.com/spreadsheets/d/1SX6NBoVAgQJ6U1MVXOaj8PK2l7WJ3RER9xtqwdhxkhw/edit?usp=sharing"",""สิงห์บุรี!J110"")"),0)</f>
        <v>0</v>
      </c>
      <c r="AD73" s="137">
        <f t="shared" ca="1" si="13"/>
        <v>0</v>
      </c>
      <c r="AE73" s="77">
        <f ca="1">IFERROR(__xludf.DUMMYFUNCTION("IMPORTRANGE(""https://docs.google.com/spreadsheets/d/1C3CXT74ZlgGe6_JY_1olB1XN4rF0dxEuIIF-xsYjHgg/edit?usp=sharing"",""พรบ!AL77"")"),0)</f>
        <v>0</v>
      </c>
      <c r="AF73" s="77">
        <f ca="1">IFERROR(__xludf.DUMMYFUNCTION("IMPORTRANGE(""https://docs.google.com/spreadsheets/d/1SX6NBoVAgQJ6U1MVXOaj8PK2l7WJ3RER9xtqwdhxkhw/edit?usp=sharing"",""สิงห์บุรี!J111"")"),0)</f>
        <v>0</v>
      </c>
      <c r="AG73" s="137">
        <f t="shared" ca="1" si="15"/>
        <v>0</v>
      </c>
      <c r="AH73" s="77">
        <f ca="1">IFERROR(__xludf.DUMMYFUNCTION("IMPORTRANGE(""https://docs.google.com/spreadsheets/d/1C3CXT74ZlgGe6_JY_1olB1XN4rF0dxEuIIF-xsYjHgg/edit?usp=sharing"",""พรบ!AM77"")"),7200)</f>
        <v>7200</v>
      </c>
      <c r="AI73" s="77">
        <f ca="1">IFERROR(__xludf.DUMMYFUNCTION("IMPORTRANGE(""https://docs.google.com/spreadsheets/d/1C3CXT74ZlgGe6_JY_1olB1XN4rF0dxEuIIF-xsYjHgg/edit?usp=sharing"",""พรบ!AN77"")"),8000)</f>
        <v>8000</v>
      </c>
      <c r="AJ73" s="77">
        <f ca="1">IFERROR(__xludf.DUMMYFUNCTION("IMPORTRANGE(""https://docs.google.com/spreadsheets/d/1SX6NBoVAgQJ6U1MVXOaj8PK2l7WJ3RER9xtqwdhxkhw/edit?usp=sharing"",""สิงห์บุรี!J124"")"),0)</f>
        <v>0</v>
      </c>
      <c r="AK73" s="137">
        <f t="shared" ca="1" si="17"/>
        <v>0</v>
      </c>
      <c r="AL73" s="77">
        <f ca="1">IFERROR(__xludf.DUMMYFUNCTION("IMPORTRANGE(""https://docs.google.com/spreadsheets/d/1SX6NBoVAgQJ6U1MVXOaj8PK2l7WJ3RER9xtqwdhxkhw/edit?usp=sharing"",""สิงห์บุรี!J125"")"),0)</f>
        <v>0</v>
      </c>
      <c r="AM73" s="137">
        <f t="shared" ca="1" si="18"/>
        <v>0</v>
      </c>
      <c r="AN73" s="77">
        <f ca="1">IFERROR(__xludf.DUMMYFUNCTION("IMPORTRANGE(""https://docs.google.com/spreadsheets/d/1C3CXT74ZlgGe6_JY_1olB1XN4rF0dxEuIIF-xsYjHgg/edit?usp=sharing"",""พรบ!AQ77"")"),0)</f>
        <v>0</v>
      </c>
      <c r="AO73" s="77">
        <f ca="1">IFERROR(__xludf.DUMMYFUNCTION("IMPORTRANGE(""https://docs.google.com/spreadsheets/d/1SX6NBoVAgQJ6U1MVXOaj8PK2l7WJ3RER9xtqwdhxkhw/edit?usp=sharing"",""สิงห์บุรี!J126"")"),0)</f>
        <v>0</v>
      </c>
      <c r="AP73" s="137">
        <f t="shared" ca="1" si="20"/>
        <v>0</v>
      </c>
      <c r="AQ73" s="149">
        <f ca="1">IFERROR(__xludf.DUMMYFUNCTION("IMPORTRANGE(""https://docs.google.com/spreadsheets/d/1C3CXT74ZlgGe6_JY_1olB1XN4rF0dxEuIIF-xsYjHgg/edit?usp=sharing"",""พรบ!AR77"")"),0)</f>
        <v>0</v>
      </c>
      <c r="AR73" s="77">
        <f ca="1">IFERROR(__xludf.DUMMYFUNCTION("IMPORTRANGE(""https://docs.google.com/spreadsheets/d/1C3CXT74ZlgGe6_JY_1olB1XN4rF0dxEuIIF-xsYjHgg/edit?usp=sharing"",""พรบ!AS77"")"),0)</f>
        <v>0</v>
      </c>
      <c r="AS73" s="77">
        <f ca="1">IFERROR(__xludf.DUMMYFUNCTION("IMPORTRANGE(""https://docs.google.com/spreadsheets/d/1SX6NBoVAgQJ6U1MVXOaj8PK2l7WJ3RER9xtqwdhxkhw/edit?usp=sharing"",""สิงห์บุรี!J138"")"),0)</f>
        <v>0</v>
      </c>
      <c r="AT73" s="137">
        <f t="shared" ca="1" si="22"/>
        <v>0</v>
      </c>
      <c r="AU73" s="77">
        <f ca="1">IFERROR(__xludf.DUMMYFUNCTION("IMPORTRANGE(""https://docs.google.com/spreadsheets/d/1C3CXT74ZlgGe6_JY_1olB1XN4rF0dxEuIIF-xsYjHgg/edit?usp=sharing"",""พรบ!AT77"")"),0)</f>
        <v>0</v>
      </c>
      <c r="AV73" s="77">
        <f ca="1">IFERROR(__xludf.DUMMYFUNCTION("IMPORTRANGE(""https://docs.google.com/spreadsheets/d/1C3CXT74ZlgGe6_JY_1olB1XN4rF0dxEuIIF-xsYjHgg/edit?usp=sharing"",""พรบ!AU77"")"),0)</f>
        <v>0</v>
      </c>
      <c r="AW73" s="77">
        <f ca="1">IFERROR(__xludf.DUMMYFUNCTION("IMPORTRANGE(""https://docs.google.com/spreadsheets/d/1SX6NBoVAgQJ6U1MVXOaj8PK2l7WJ3RER9xtqwdhxkhw/edit?usp=sharing"",""สิงห์บุรี!J140"")"),0)</f>
        <v>0</v>
      </c>
      <c r="AX73" s="137">
        <f t="shared" ca="1" si="24"/>
        <v>0</v>
      </c>
      <c r="AY73" s="77">
        <f ca="1">IFERROR(__xludf.DUMMYFUNCTION("IMPORTRANGE(""https://docs.google.com/spreadsheets/d/1SX6NBoVAgQJ6U1MVXOaj8PK2l7WJ3RER9xtqwdhxkhw/edit?usp=sharing"",""สิงห์บุรี!J141"")"),0)</f>
        <v>0</v>
      </c>
      <c r="AZ73" s="137">
        <f t="shared" ca="1" si="25"/>
        <v>0</v>
      </c>
      <c r="BA73" s="77">
        <f t="shared" ca="1" si="26"/>
        <v>0</v>
      </c>
      <c r="BB73" s="77">
        <f t="shared" ca="1" si="99"/>
        <v>0</v>
      </c>
      <c r="BC73" s="137">
        <f t="shared" ca="1" si="27"/>
        <v>0</v>
      </c>
    </row>
    <row r="74" spans="1:55" ht="21" customHeight="1">
      <c r="A74" s="73">
        <v>20</v>
      </c>
      <c r="B74" s="74" t="s">
        <v>98</v>
      </c>
      <c r="C74" s="75">
        <f t="shared" ca="1" si="0"/>
        <v>30500</v>
      </c>
      <c r="D74" s="160">
        <f t="shared" ca="1" si="97"/>
        <v>30500</v>
      </c>
      <c r="E74" s="77">
        <f ca="1">IFERROR(__xludf.DUMMYFUNCTION("IMPORTRANGE(""https://docs.google.com/spreadsheets/d/1C3CXT74ZlgGe6_JY_1olB1XN4rF0dxEuIIF-xsYjHgg/edit?usp=sharing"",""พรบ!AD78"")"),0)</f>
        <v>0</v>
      </c>
      <c r="F74" s="77">
        <f ca="1">IFERROR(__xludf.DUMMYFUNCTION("IMPORTRANGE(""https://docs.google.com/spreadsheets/d/1C3CXT74ZlgGe6_JY_1olB1XN4rF0dxEuIIF-xsYjHgg/edit?usp=sharing"",""พรบ!AE78"")"),30500)</f>
        <v>30500</v>
      </c>
      <c r="G74" s="77">
        <f ca="1">IFERROR(__xludf.DUMMYFUNCTION("IMPORTRANGE(""https://docs.google.com/spreadsheets/d/1Yj_ptqi66GCucihVvJfMjLAmec39IyEx_6qawtMGysU/edit?usp=sharing"",""สบก!BH78"")"),0)</f>
        <v>0</v>
      </c>
      <c r="H74" s="77">
        <f ca="1">IFERROR(__xludf.DUMMYFUNCTION("IMPORTRANGE(""https://docs.google.com/spreadsheets/d/1Yj_ptqi66GCucihVvJfMjLAmec39IyEx_6qawtMGysU/edit?usp=shBJing"",""สบก!BJ78"")"),130755)</f>
        <v>130755</v>
      </c>
      <c r="I74" s="77">
        <f t="shared" ca="1" si="3"/>
        <v>120880</v>
      </c>
      <c r="J74" s="137">
        <f t="shared" ca="1" si="4"/>
        <v>396.32786885245901</v>
      </c>
      <c r="K74" s="77">
        <f ca="1">IFERROR(__xludf.DUMMYFUNCTION("IMPORTRANGE(""https://docs.google.com/spreadsheets/d/1Yj_ptqi66GCucihVvJfMjLAmec39IyEx_6qawtMGysU/edit?usp=sharing"",""สบก!BK78"")"),120880)</f>
        <v>120880</v>
      </c>
      <c r="L74" s="137">
        <f t="shared" ca="1" si="5"/>
        <v>396.32786885245901</v>
      </c>
      <c r="M74" s="137">
        <f t="shared" ca="1" si="6"/>
        <v>92.447707544644558</v>
      </c>
      <c r="N74" s="137">
        <f ca="1">IFERROR(__xludf.DUMMYFUNCTION("IMPORTRANGE(""https://docs.google.com/spreadsheets/d/1Yj_ptqi66GCucihVvJfMjLAmec39IyEx_6qawtMGysU/edit?usp=sharing"",""สบก!BL78"")"),0)</f>
        <v>0</v>
      </c>
      <c r="O74" s="137">
        <f t="shared" ca="1" si="7"/>
        <v>0</v>
      </c>
      <c r="P74" s="77">
        <f ca="1">IFERROR(__xludf.DUMMYFUNCTION("IMPORTRANGE(""https://docs.google.com/spreadsheets/d/1C3CXT74ZlgGe6_JY_1olB1XN4rF0dxEuIIF-xsYjHgg/edit?usp=sharing"",""พรบ!AF78"")"),7500)</f>
        <v>7500</v>
      </c>
      <c r="Q74" s="77">
        <f ca="1">IFERROR(__xludf.DUMMYFUNCTION("IMPORTRANGE(""https://docs.google.com/spreadsheets/d/1C3CXT74ZlgGe6_JY_1olB1XN4rF0dxEuIIF-xsYjHgg/edit?usp=sharing"",""พรบ!AG78"")"),4)</f>
        <v>4</v>
      </c>
      <c r="R74" s="77">
        <f ca="1">IFERROR(__xludf.DUMMYFUNCTION("IMPORTRANGE(""https://docs.google.com/spreadsheets/d/1SX6NBoVAgQJ6U1MVXOaj8PK2l7WJ3RER9xtqwdhxkhw/edit?usp=sharing"",""สุพรรณบุรี!J83"")"),1)</f>
        <v>1</v>
      </c>
      <c r="S74" s="137">
        <f t="shared" ca="1" si="9"/>
        <v>25</v>
      </c>
      <c r="T74" s="77">
        <f t="shared" ca="1" si="98"/>
        <v>53</v>
      </c>
      <c r="U74" s="77">
        <f ca="1">IFERROR(__xludf.DUMMYFUNCTION("IMPORTRANGE(""https://docs.google.com/spreadsheets/d/1SX6NBoVAgQJ6U1MVXOaj8PK2l7WJ3RER9xtqwdhxkhw/edit?usp=sharing"",""สุพรรณบุรี!J85"")"),53)</f>
        <v>53</v>
      </c>
      <c r="V74" s="77">
        <f ca="1">IFERROR(__xludf.DUMMYFUNCTION("IMPORTRANGE(""https://docs.google.com/spreadsheets/d/1SX6NBoVAgQJ6U1MVXOaj8PK2l7WJ3RER9xtqwdhxkhw/edit?usp=sharing"",""สุพรรณบุรี!J86"")"),0)</f>
        <v>0</v>
      </c>
      <c r="W74" s="77">
        <f ca="1">IFERROR(__xludf.DUMMYFUNCTION("IMPORTRANGE(""https://docs.google.com/spreadsheets/d/1C3CXT74ZlgGe6_JY_1olB1XN4rF0dxEuIIF-xsYjHgg/edit?usp=sharing"",""พรบ!AH78"")"),14000)</f>
        <v>14000</v>
      </c>
      <c r="X74" s="77">
        <f ca="1">IFERROR(__xludf.DUMMYFUNCTION("IMPORTRANGE(""https://docs.google.com/spreadsheets/d/1C3CXT74ZlgGe6_JY_1olB1XN4rF0dxEuIIF-xsYjHgg/edit?usp=sharing"",""พรบ!AI78"")"),1)</f>
        <v>1</v>
      </c>
      <c r="Y74" s="77">
        <f ca="1">IFERROR(__xludf.DUMMYFUNCTION("IMPORTRANGE(""https://docs.google.com/spreadsheets/d/1SX6NBoVAgQJ6U1MVXOaj8PK2l7WJ3RER9xtqwdhxkhw/edit?usp=sharing"",""สุพรรณบุรี!J98"")"),1)</f>
        <v>1</v>
      </c>
      <c r="Z74" s="137">
        <f t="shared" ca="1" si="11"/>
        <v>100</v>
      </c>
      <c r="AA74" s="77">
        <f ca="1">IFERROR(__xludf.DUMMYFUNCTION("IMPORTRANGE(""https://docs.google.com/spreadsheets/d/1C3CXT74ZlgGe6_JY_1olB1XN4rF0dxEuIIF-xsYjHgg/edit?usp=sharing"",""พรบ!AJ78"")"),0)</f>
        <v>0</v>
      </c>
      <c r="AB74" s="77">
        <f ca="1">IFERROR(__xludf.DUMMYFUNCTION("IMPORTRANGE(""https://docs.google.com/spreadsheets/d/1C3CXT74ZlgGe6_JY_1olB1XN4rF0dxEuIIF-xsYjHgg/edit?usp=sharing"",""พรบ!AK78"")"),0)</f>
        <v>0</v>
      </c>
      <c r="AC74" s="77">
        <f ca="1">IFERROR(__xludf.DUMMYFUNCTION("IMPORTRANGE(""https://docs.google.com/spreadsheets/d/1SX6NBoVAgQJ6U1MVXOaj8PK2l7WJ3RER9xtqwdhxkhw/edit?usp=sharing"",""สุพรรณบุรี!J110"")"),0)</f>
        <v>0</v>
      </c>
      <c r="AD74" s="137">
        <f t="shared" ca="1" si="13"/>
        <v>0</v>
      </c>
      <c r="AE74" s="77">
        <f ca="1">IFERROR(__xludf.DUMMYFUNCTION("IMPORTRANGE(""https://docs.google.com/spreadsheets/d/1C3CXT74ZlgGe6_JY_1olB1XN4rF0dxEuIIF-xsYjHgg/edit?usp=sharing"",""พรบ!AL78"")"),0)</f>
        <v>0</v>
      </c>
      <c r="AF74" s="77">
        <f ca="1">IFERROR(__xludf.DUMMYFUNCTION("IMPORTRANGE(""https://docs.google.com/spreadsheets/d/1SX6NBoVAgQJ6U1MVXOaj8PK2l7WJ3RER9xtqwdhxkhw/edit?usp=sharing"",""สุพรรณบุรี!J111"")"),0)</f>
        <v>0</v>
      </c>
      <c r="AG74" s="137">
        <f t="shared" ca="1" si="15"/>
        <v>0</v>
      </c>
      <c r="AH74" s="77">
        <f ca="1">IFERROR(__xludf.DUMMYFUNCTION("IMPORTRANGE(""https://docs.google.com/spreadsheets/d/1C3CXT74ZlgGe6_JY_1olB1XN4rF0dxEuIIF-xsYjHgg/edit?usp=sharing"",""พรบ!AM78"")"),9000)</f>
        <v>9000</v>
      </c>
      <c r="AI74" s="77">
        <f ca="1">IFERROR(__xludf.DUMMYFUNCTION("IMPORTRANGE(""https://docs.google.com/spreadsheets/d/1C3CXT74ZlgGe6_JY_1olB1XN4rF0dxEuIIF-xsYjHgg/edit?usp=sharing"",""พรบ!AN78"")"),20000)</f>
        <v>20000</v>
      </c>
      <c r="AJ74" s="77">
        <f ca="1">IFERROR(__xludf.DUMMYFUNCTION("IMPORTRANGE(""https://docs.google.com/spreadsheets/d/1SX6NBoVAgQJ6U1MVXOaj8PK2l7WJ3RER9xtqwdhxkhw/edit?usp=sharing"",""สุพรรณบุรี!J124"")"),20000)</f>
        <v>20000</v>
      </c>
      <c r="AK74" s="137">
        <f t="shared" ca="1" si="17"/>
        <v>100</v>
      </c>
      <c r="AL74" s="77">
        <f ca="1">IFERROR(__xludf.DUMMYFUNCTION("IMPORTRANGE(""https://docs.google.com/spreadsheets/d/1SX6NBoVAgQJ6U1MVXOaj8PK2l7WJ3RER9xtqwdhxkhw/edit?usp=sharing"",""สุพรรณบุรี!J125"")"),0)</f>
        <v>0</v>
      </c>
      <c r="AM74" s="137">
        <f t="shared" ca="1" si="18"/>
        <v>0</v>
      </c>
      <c r="AN74" s="77">
        <f ca="1">IFERROR(__xludf.DUMMYFUNCTION("IMPORTRANGE(""https://docs.google.com/spreadsheets/d/1C3CXT74ZlgGe6_JY_1olB1XN4rF0dxEuIIF-xsYjHgg/edit?usp=sharing"",""พรบ!AQ78"")"),0)</f>
        <v>0</v>
      </c>
      <c r="AO74" s="77">
        <f ca="1">IFERROR(__xludf.DUMMYFUNCTION("IMPORTRANGE(""https://docs.google.com/spreadsheets/d/1SX6NBoVAgQJ6U1MVXOaj8PK2l7WJ3RER9xtqwdhxkhw/edit?usp=sharing"",""สุพรรณบุรี!J126"")"),0)</f>
        <v>0</v>
      </c>
      <c r="AP74" s="137">
        <f t="shared" ca="1" si="20"/>
        <v>0</v>
      </c>
      <c r="AQ74" s="149">
        <f ca="1">IFERROR(__xludf.DUMMYFUNCTION("IMPORTRANGE(""https://docs.google.com/spreadsheets/d/1C3CXT74ZlgGe6_JY_1olB1XN4rF0dxEuIIF-xsYjHgg/edit?usp=sharing"",""พรบ!AR78"")"),0)</f>
        <v>0</v>
      </c>
      <c r="AR74" s="77">
        <f ca="1">IFERROR(__xludf.DUMMYFUNCTION("IMPORTRANGE(""https://docs.google.com/spreadsheets/d/1C3CXT74ZlgGe6_JY_1olB1XN4rF0dxEuIIF-xsYjHgg/edit?usp=sharing"",""พรบ!AS78"")"),0)</f>
        <v>0</v>
      </c>
      <c r="AS74" s="77">
        <f ca="1">IFERROR(__xludf.DUMMYFUNCTION("IMPORTRANGE(""https://docs.google.com/spreadsheets/d/1SX6NBoVAgQJ6U1MVXOaj8PK2l7WJ3RER9xtqwdhxkhw/edit?usp=sharing"",""สุพรรณบุรี!J138"")"),0)</f>
        <v>0</v>
      </c>
      <c r="AT74" s="137">
        <f t="shared" ca="1" si="22"/>
        <v>0</v>
      </c>
      <c r="AU74" s="77">
        <f ca="1">IFERROR(__xludf.DUMMYFUNCTION("IMPORTRANGE(""https://docs.google.com/spreadsheets/d/1C3CXT74ZlgGe6_JY_1olB1XN4rF0dxEuIIF-xsYjHgg/edit?usp=sharing"",""พรบ!AT78"")"),0)</f>
        <v>0</v>
      </c>
      <c r="AV74" s="77">
        <f ca="1">IFERROR(__xludf.DUMMYFUNCTION("IMPORTRANGE(""https://docs.google.com/spreadsheets/d/1C3CXT74ZlgGe6_JY_1olB1XN4rF0dxEuIIF-xsYjHgg/edit?usp=sharing"",""พรบ!AU78"")"),0)</f>
        <v>0</v>
      </c>
      <c r="AW74" s="77">
        <f ca="1">IFERROR(__xludf.DUMMYFUNCTION("IMPORTRANGE(""https://docs.google.com/spreadsheets/d/1SX6NBoVAgQJ6U1MVXOaj8PK2l7WJ3RER9xtqwdhxkhw/edit?usp=sharing"",""สุพรรณบุรี!J140"")"),0)</f>
        <v>0</v>
      </c>
      <c r="AX74" s="137">
        <f t="shared" ca="1" si="24"/>
        <v>0</v>
      </c>
      <c r="AY74" s="77">
        <f ca="1">IFERROR(__xludf.DUMMYFUNCTION("IMPORTRANGE(""https://docs.google.com/spreadsheets/d/1SX6NBoVAgQJ6U1MVXOaj8PK2l7WJ3RER9xtqwdhxkhw/edit?usp=sharing"",""สุพรรณบุรี!J141"")"),0)</f>
        <v>0</v>
      </c>
      <c r="AZ74" s="137">
        <f t="shared" ca="1" si="25"/>
        <v>0</v>
      </c>
      <c r="BA74" s="77">
        <f t="shared" ca="1" si="26"/>
        <v>0</v>
      </c>
      <c r="BB74" s="77">
        <f t="shared" ca="1" si="99"/>
        <v>0</v>
      </c>
      <c r="BC74" s="137">
        <f t="shared" ca="1" si="27"/>
        <v>0</v>
      </c>
    </row>
    <row r="75" spans="1:55" ht="21" customHeight="1">
      <c r="A75" s="84">
        <v>21</v>
      </c>
      <c r="B75" s="85" t="s">
        <v>99</v>
      </c>
      <c r="C75" s="86">
        <f t="shared" ca="1" si="0"/>
        <v>28400</v>
      </c>
      <c r="D75" s="87">
        <f t="shared" ca="1" si="97"/>
        <v>28400</v>
      </c>
      <c r="E75" s="88">
        <f ca="1">IFERROR(__xludf.DUMMYFUNCTION("IMPORTRANGE(""https://docs.google.com/spreadsheets/d/1C3CXT74ZlgGe6_JY_1olB1XN4rF0dxEuIIF-xsYjHgg/edit?usp=sharing"",""พรบ!AD79"")"),0)</f>
        <v>0</v>
      </c>
      <c r="F75" s="77">
        <f ca="1">IFERROR(__xludf.DUMMYFUNCTION("IMPORTRANGE(""https://docs.google.com/spreadsheets/d/1C3CXT74ZlgGe6_JY_1olB1XN4rF0dxEuIIF-xsYjHgg/edit?usp=sharing"",""พรบ!AE79"")"),28400)</f>
        <v>28400</v>
      </c>
      <c r="G75" s="88">
        <f ca="1">IFERROR(__xludf.DUMMYFUNCTION("IMPORTRANGE(""https://docs.google.com/spreadsheets/d/1Yj_ptqi66GCucihVvJfMjLAmec39IyEx_6qawtMGysU/edit?usp=sharing"",""สบก!BH79"")"),0)</f>
        <v>0</v>
      </c>
      <c r="H75" s="88">
        <f ca="1">IFERROR(__xludf.DUMMYFUNCTION("IMPORTRANGE(""https://docs.google.com/spreadsheets/d/1Yj_ptqi66GCucihVvJfMjLAmec39IyEx_6qawtMGysU/edit?usp=shBJing"",""สบก!BJ79"")"),27625)</f>
        <v>27625</v>
      </c>
      <c r="I75" s="88">
        <f t="shared" ca="1" si="3"/>
        <v>14000</v>
      </c>
      <c r="J75" s="138">
        <f t="shared" ca="1" si="4"/>
        <v>49.29577464788732</v>
      </c>
      <c r="K75" s="88">
        <f ca="1">IFERROR(__xludf.DUMMYFUNCTION("IMPORTRANGE(""https://docs.google.com/spreadsheets/d/1Yj_ptqi66GCucihVvJfMjLAmec39IyEx_6qawtMGysU/edit?usp=sharing"",""สบก!BK79"")"),14000)</f>
        <v>14000</v>
      </c>
      <c r="L75" s="138">
        <f t="shared" ca="1" si="5"/>
        <v>49.29577464788732</v>
      </c>
      <c r="M75" s="138">
        <f t="shared" ca="1" si="6"/>
        <v>50.678733031674206</v>
      </c>
      <c r="N75" s="138">
        <f ca="1">IFERROR(__xludf.DUMMYFUNCTION("IMPORTRANGE(""https://docs.google.com/spreadsheets/d/1Yj_ptqi66GCucihVvJfMjLAmec39IyEx_6qawtMGysU/edit?usp=sharing"",""สบก!BL79"")"),0)</f>
        <v>0</v>
      </c>
      <c r="O75" s="138">
        <f t="shared" ca="1" si="7"/>
        <v>0</v>
      </c>
      <c r="P75" s="88">
        <f ca="1">IFERROR(__xludf.DUMMYFUNCTION("IMPORTRANGE(""https://docs.google.com/spreadsheets/d/1C3CXT74ZlgGe6_JY_1olB1XN4rF0dxEuIIF-xsYjHgg/edit?usp=sharing"",""พรบ!AF79"")"),7500)</f>
        <v>7500</v>
      </c>
      <c r="Q75" s="88">
        <f ca="1">IFERROR(__xludf.DUMMYFUNCTION("IMPORTRANGE(""https://docs.google.com/spreadsheets/d/1C3CXT74ZlgGe6_JY_1olB1XN4rF0dxEuIIF-xsYjHgg/edit?usp=sharing"",""พรบ!AG79"")"),4)</f>
        <v>4</v>
      </c>
      <c r="R75" s="88">
        <f ca="1">IFERROR(__xludf.DUMMYFUNCTION("IMPORTRANGE(""https://docs.google.com/spreadsheets/d/1SX6NBoVAgQJ6U1MVXOaj8PK2l7WJ3RER9xtqwdhxkhw/edit?usp=sharing"",""อ่างทอง!J83"")"),2)</f>
        <v>2</v>
      </c>
      <c r="S75" s="138">
        <f t="shared" ca="1" si="9"/>
        <v>50</v>
      </c>
      <c r="T75" s="88">
        <f t="shared" ca="1" si="98"/>
        <v>47</v>
      </c>
      <c r="U75" s="88">
        <f ca="1">IFERROR(__xludf.DUMMYFUNCTION("IMPORTRANGE(""https://docs.google.com/spreadsheets/d/1SX6NBoVAgQJ6U1MVXOaj8PK2l7WJ3RER9xtqwdhxkhw/edit?usp=sharing"",""อ่างทอง!J85"")"),47)</f>
        <v>47</v>
      </c>
      <c r="V75" s="88">
        <f ca="1">IFERROR(__xludf.DUMMYFUNCTION("IMPORTRANGE(""https://docs.google.com/spreadsheets/d/1SX6NBoVAgQJ6U1MVXOaj8PK2l7WJ3RER9xtqwdhxkhw/edit?usp=sharing"",""อ่างทอง!J86"")"),0)</f>
        <v>0</v>
      </c>
      <c r="W75" s="88">
        <f ca="1">IFERROR(__xludf.DUMMYFUNCTION("IMPORTRANGE(""https://docs.google.com/spreadsheets/d/1C3CXT74ZlgGe6_JY_1olB1XN4rF0dxEuIIF-xsYjHgg/edit?usp=sharing"",""พรบ!AH79"")"),14000)</f>
        <v>14000</v>
      </c>
      <c r="X75" s="88">
        <f ca="1">IFERROR(__xludf.DUMMYFUNCTION("IMPORTRANGE(""https://docs.google.com/spreadsheets/d/1C3CXT74ZlgGe6_JY_1olB1XN4rF0dxEuIIF-xsYjHgg/edit?usp=sharing"",""พรบ!AI79"")"),1)</f>
        <v>1</v>
      </c>
      <c r="Y75" s="88">
        <f ca="1">IFERROR(__xludf.DUMMYFUNCTION("IMPORTRANGE(""https://docs.google.com/spreadsheets/d/1SX6NBoVAgQJ6U1MVXOaj8PK2l7WJ3RER9xtqwdhxkhw/edit?usp=sharing"",""อ่างทอง!J98"")"),1)</f>
        <v>1</v>
      </c>
      <c r="Z75" s="138">
        <f t="shared" ca="1" si="11"/>
        <v>100</v>
      </c>
      <c r="AA75" s="88">
        <f ca="1">IFERROR(__xludf.DUMMYFUNCTION("IMPORTRANGE(""https://docs.google.com/spreadsheets/d/1C3CXT74ZlgGe6_JY_1olB1XN4rF0dxEuIIF-xsYjHgg/edit?usp=sharing"",""พรบ!AJ79"")"),0)</f>
        <v>0</v>
      </c>
      <c r="AB75" s="88">
        <f ca="1">IFERROR(__xludf.DUMMYFUNCTION("IMPORTRANGE(""https://docs.google.com/spreadsheets/d/1C3CXT74ZlgGe6_JY_1olB1XN4rF0dxEuIIF-xsYjHgg/edit?usp=sharing"",""พรบ!AK79"")"),0)</f>
        <v>0</v>
      </c>
      <c r="AC75" s="88">
        <f ca="1">IFERROR(__xludf.DUMMYFUNCTION("IMPORTRANGE(""https://docs.google.com/spreadsheets/d/1SX6NBoVAgQJ6U1MVXOaj8PK2l7WJ3RER9xtqwdhxkhw/edit?usp=sharing"",""อ่างทอง!J110"")"),0)</f>
        <v>0</v>
      </c>
      <c r="AD75" s="138">
        <f t="shared" ca="1" si="13"/>
        <v>0</v>
      </c>
      <c r="AE75" s="88">
        <f ca="1">IFERROR(__xludf.DUMMYFUNCTION("IMPORTRANGE(""https://docs.google.com/spreadsheets/d/1C3CXT74ZlgGe6_JY_1olB1XN4rF0dxEuIIF-xsYjHgg/edit?usp=sharing"",""พรบ!AL79"")"),0)</f>
        <v>0</v>
      </c>
      <c r="AF75" s="88">
        <f ca="1">IFERROR(__xludf.DUMMYFUNCTION("IMPORTRANGE(""https://docs.google.com/spreadsheets/d/1SX6NBoVAgQJ6U1MVXOaj8PK2l7WJ3RER9xtqwdhxkhw/edit?usp=sharing"",""อ่างทอง!J111"")"),0)</f>
        <v>0</v>
      </c>
      <c r="AG75" s="138">
        <f t="shared" ca="1" si="15"/>
        <v>0</v>
      </c>
      <c r="AH75" s="88">
        <f ca="1">IFERROR(__xludf.DUMMYFUNCTION("IMPORTRANGE(""https://docs.google.com/spreadsheets/d/1C3CXT74ZlgGe6_JY_1olB1XN4rF0dxEuIIF-xsYjHgg/edit?usp=sharing"",""พรบ!AM79"")"),6900)</f>
        <v>6900</v>
      </c>
      <c r="AI75" s="88">
        <f ca="1">IFERROR(__xludf.DUMMYFUNCTION("IMPORTRANGE(""https://docs.google.com/spreadsheets/d/1C3CXT74ZlgGe6_JY_1olB1XN4rF0dxEuIIF-xsYjHgg/edit?usp=sharing"",""พรบ!AN79"")"),5000)</f>
        <v>5000</v>
      </c>
      <c r="AJ75" s="88">
        <f ca="1">IFERROR(__xludf.DUMMYFUNCTION("IMPORTRANGE(""https://docs.google.com/spreadsheets/d/1SX6NBoVAgQJ6U1MVXOaj8PK2l7WJ3RER9xtqwdhxkhw/edit?usp=sharing"",""อ่างทอง!J124"")"),0)</f>
        <v>0</v>
      </c>
      <c r="AK75" s="138">
        <f t="shared" ca="1" si="17"/>
        <v>0</v>
      </c>
      <c r="AL75" s="88">
        <f ca="1">IFERROR(__xludf.DUMMYFUNCTION("IMPORTRANGE(""https://docs.google.com/spreadsheets/d/1SX6NBoVAgQJ6U1MVXOaj8PK2l7WJ3RER9xtqwdhxkhw/edit?usp=sharing"",""อ่างทอง!J125"")"),0)</f>
        <v>0</v>
      </c>
      <c r="AM75" s="138">
        <f t="shared" ca="1" si="18"/>
        <v>0</v>
      </c>
      <c r="AN75" s="88">
        <f ca="1">IFERROR(__xludf.DUMMYFUNCTION("IMPORTRANGE(""https://docs.google.com/spreadsheets/d/1C3CXT74ZlgGe6_JY_1olB1XN4rF0dxEuIIF-xsYjHgg/edit?usp=sharing"",""พรบ!AQ79"")"),0)</f>
        <v>0</v>
      </c>
      <c r="AO75" s="88">
        <f ca="1">IFERROR(__xludf.DUMMYFUNCTION("IMPORTRANGE(""https://docs.google.com/spreadsheets/d/1SX6NBoVAgQJ6U1MVXOaj8PK2l7WJ3RER9xtqwdhxkhw/edit?usp=sharing"",""อ่างทอง!J126"")"),0)</f>
        <v>0</v>
      </c>
      <c r="AP75" s="138">
        <f t="shared" ca="1" si="20"/>
        <v>0</v>
      </c>
      <c r="AQ75" s="159">
        <f ca="1">IFERROR(__xludf.DUMMYFUNCTION("IMPORTRANGE(""https://docs.google.com/spreadsheets/d/1C3CXT74ZlgGe6_JY_1olB1XN4rF0dxEuIIF-xsYjHgg/edit?usp=sharing"",""พรบ!AR79"")"),0)</f>
        <v>0</v>
      </c>
      <c r="AR75" s="88">
        <f ca="1">IFERROR(__xludf.DUMMYFUNCTION("IMPORTRANGE(""https://docs.google.com/spreadsheets/d/1C3CXT74ZlgGe6_JY_1olB1XN4rF0dxEuIIF-xsYjHgg/edit?usp=sharing"",""พรบ!AS79"")"),0)</f>
        <v>0</v>
      </c>
      <c r="AS75" s="88">
        <f ca="1">IFERROR(__xludf.DUMMYFUNCTION("IMPORTRANGE(""https://docs.google.com/spreadsheets/d/1SX6NBoVAgQJ6U1MVXOaj8PK2l7WJ3RER9xtqwdhxkhw/edit?usp=sharing"",""อ่างทอง!J138"")"),0)</f>
        <v>0</v>
      </c>
      <c r="AT75" s="138">
        <f t="shared" ca="1" si="22"/>
        <v>0</v>
      </c>
      <c r="AU75" s="88">
        <f ca="1">IFERROR(__xludf.DUMMYFUNCTION("IMPORTRANGE(""https://docs.google.com/spreadsheets/d/1C3CXT74ZlgGe6_JY_1olB1XN4rF0dxEuIIF-xsYjHgg/edit?usp=sharing"",""พรบ!AT79"")"),0)</f>
        <v>0</v>
      </c>
      <c r="AV75" s="88">
        <f ca="1">IFERROR(__xludf.DUMMYFUNCTION("IMPORTRANGE(""https://docs.google.com/spreadsheets/d/1C3CXT74ZlgGe6_JY_1olB1XN4rF0dxEuIIF-xsYjHgg/edit?usp=sharing"",""พรบ!AU79"")"),0)</f>
        <v>0</v>
      </c>
      <c r="AW75" s="88">
        <f ca="1">IFERROR(__xludf.DUMMYFUNCTION("IMPORTRANGE(""https://docs.google.com/spreadsheets/d/1SX6NBoVAgQJ6U1MVXOaj8PK2l7WJ3RER9xtqwdhxkhw/edit?usp=sharing"",""อ่างทอง!J140"")"),0)</f>
        <v>0</v>
      </c>
      <c r="AX75" s="138">
        <f t="shared" ca="1" si="24"/>
        <v>0</v>
      </c>
      <c r="AY75" s="88">
        <f ca="1">IFERROR(__xludf.DUMMYFUNCTION("IMPORTRANGE(""https://docs.google.com/spreadsheets/d/1SX6NBoVAgQJ6U1MVXOaj8PK2l7WJ3RER9xtqwdhxkhw/edit?usp=sharing"",""อ่างทอง!J141"")"),0)</f>
        <v>0</v>
      </c>
      <c r="AZ75" s="138">
        <f t="shared" ca="1" si="25"/>
        <v>0</v>
      </c>
      <c r="BA75" s="88">
        <f t="shared" ca="1" si="26"/>
        <v>0</v>
      </c>
      <c r="BB75" s="88">
        <f t="shared" ca="1" si="99"/>
        <v>0</v>
      </c>
      <c r="BC75" s="138">
        <f t="shared" ca="1" si="27"/>
        <v>0</v>
      </c>
    </row>
    <row r="76" spans="1:55" ht="21" customHeight="1">
      <c r="A76" s="676" t="s">
        <v>100</v>
      </c>
      <c r="B76" s="652"/>
      <c r="C76" s="99">
        <f t="shared" ca="1" si="0"/>
        <v>2418600</v>
      </c>
      <c r="D76" s="95">
        <f t="shared" ref="D76:H76" ca="1" si="100">SUM(D77:D90)</f>
        <v>2418600</v>
      </c>
      <c r="E76" s="95">
        <f t="shared" ca="1" si="100"/>
        <v>1111500</v>
      </c>
      <c r="F76" s="95">
        <f t="shared" ca="1" si="100"/>
        <v>1307100</v>
      </c>
      <c r="G76" s="95">
        <f t="shared" ca="1" si="100"/>
        <v>0</v>
      </c>
      <c r="H76" s="95">
        <f t="shared" ca="1" si="100"/>
        <v>2018820</v>
      </c>
      <c r="I76" s="95">
        <f t="shared" ca="1" si="3"/>
        <v>1321196.3399999999</v>
      </c>
      <c r="J76" s="139">
        <f t="shared" ca="1" si="4"/>
        <v>54.626492185561887</v>
      </c>
      <c r="K76" s="95">
        <f ca="1">SUM(K77:K90)</f>
        <v>1321196.3399999999</v>
      </c>
      <c r="L76" s="139">
        <f t="shared" ca="1" si="5"/>
        <v>54.626492185561887</v>
      </c>
      <c r="M76" s="139">
        <f t="shared" ca="1" si="6"/>
        <v>65.443989062917936</v>
      </c>
      <c r="N76" s="139">
        <f ca="1">SUM(N77:N90)</f>
        <v>0</v>
      </c>
      <c r="O76" s="139">
        <f t="shared" ca="1" si="7"/>
        <v>0</v>
      </c>
      <c r="P76" s="95">
        <f t="shared" ref="P76:R76" ca="1" si="101">SUM(P77:P90)</f>
        <v>105000</v>
      </c>
      <c r="Q76" s="95">
        <f t="shared" ca="1" si="101"/>
        <v>56</v>
      </c>
      <c r="R76" s="95">
        <f t="shared" ca="1" si="101"/>
        <v>24</v>
      </c>
      <c r="S76" s="139">
        <f t="shared" ca="1" si="9"/>
        <v>42.857142857142854</v>
      </c>
      <c r="T76" s="95">
        <f t="shared" ref="T76:Y76" ca="1" si="102">SUM(T77:T90)</f>
        <v>765</v>
      </c>
      <c r="U76" s="95">
        <f t="shared" ca="1" si="102"/>
        <v>715</v>
      </c>
      <c r="V76" s="95">
        <f t="shared" ca="1" si="102"/>
        <v>50</v>
      </c>
      <c r="W76" s="95">
        <f t="shared" ca="1" si="102"/>
        <v>490000</v>
      </c>
      <c r="X76" s="95">
        <f t="shared" ca="1" si="102"/>
        <v>35</v>
      </c>
      <c r="Y76" s="95">
        <f t="shared" ca="1" si="102"/>
        <v>34</v>
      </c>
      <c r="Z76" s="139">
        <f t="shared" ca="1" si="11"/>
        <v>97.142857142857139</v>
      </c>
      <c r="AA76" s="95">
        <f t="shared" ref="AA76:AC76" ca="1" si="103">SUM(AA77:AA90)</f>
        <v>150000</v>
      </c>
      <c r="AB76" s="95">
        <f t="shared" ca="1" si="103"/>
        <v>10</v>
      </c>
      <c r="AC76" s="95">
        <f t="shared" ca="1" si="103"/>
        <v>0</v>
      </c>
      <c r="AD76" s="139">
        <f t="shared" ca="1" si="13"/>
        <v>0</v>
      </c>
      <c r="AE76" s="95">
        <f t="shared" ref="AE76:AF76" ca="1" si="104">SUM(AE77:AE90)</f>
        <v>10</v>
      </c>
      <c r="AF76" s="95">
        <f t="shared" ca="1" si="104"/>
        <v>8</v>
      </c>
      <c r="AG76" s="139">
        <f t="shared" ca="1" si="15"/>
        <v>80</v>
      </c>
      <c r="AH76" s="95">
        <f t="shared" ref="AH76:AJ76" ca="1" si="105">SUM(AH77:AH90)</f>
        <v>186600</v>
      </c>
      <c r="AI76" s="95">
        <f t="shared" ca="1" si="105"/>
        <v>239000</v>
      </c>
      <c r="AJ76" s="95">
        <f t="shared" ca="1" si="105"/>
        <v>60000</v>
      </c>
      <c r="AK76" s="139">
        <f t="shared" ca="1" si="17"/>
        <v>25.10460251046025</v>
      </c>
      <c r="AL76" s="95">
        <f ca="1">SUM(AL77:AL90)</f>
        <v>0</v>
      </c>
      <c r="AM76" s="139">
        <f t="shared" ca="1" si="18"/>
        <v>0</v>
      </c>
      <c r="AN76" s="95">
        <f t="shared" ref="AN76:AO76" ca="1" si="106">SUM(AN77:AN90)</f>
        <v>60</v>
      </c>
      <c r="AO76" s="95">
        <f t="shared" ca="1" si="106"/>
        <v>60</v>
      </c>
      <c r="AP76" s="139">
        <f t="shared" ca="1" si="20"/>
        <v>100</v>
      </c>
      <c r="AQ76" s="95">
        <f t="shared" ref="AQ76:AS76" ca="1" si="107">SUM(AQ77:AQ90)</f>
        <v>375500</v>
      </c>
      <c r="AR76" s="95">
        <f t="shared" ca="1" si="107"/>
        <v>100</v>
      </c>
      <c r="AS76" s="95">
        <f t="shared" ca="1" si="107"/>
        <v>72</v>
      </c>
      <c r="AT76" s="139">
        <f t="shared" ca="1" si="22"/>
        <v>72</v>
      </c>
      <c r="AU76" s="95">
        <f t="shared" ref="AU76:AW76" ca="1" si="108">SUM(AU77:AU90)</f>
        <v>0</v>
      </c>
      <c r="AV76" s="95">
        <f t="shared" ca="1" si="108"/>
        <v>6</v>
      </c>
      <c r="AW76" s="95">
        <f t="shared" ca="1" si="108"/>
        <v>0</v>
      </c>
      <c r="AX76" s="139">
        <f t="shared" ca="1" si="24"/>
        <v>0</v>
      </c>
      <c r="AY76" s="95">
        <f ca="1">SUM(AY77:AY90)</f>
        <v>0</v>
      </c>
      <c r="AZ76" s="139">
        <f t="shared" ca="1" si="25"/>
        <v>0</v>
      </c>
      <c r="BA76" s="95">
        <f t="shared" ca="1" si="26"/>
        <v>160</v>
      </c>
      <c r="BB76" s="95">
        <f ca="1">SUM(BB77:BB90)</f>
        <v>132</v>
      </c>
      <c r="BC76" s="139">
        <f t="shared" ca="1" si="27"/>
        <v>82.5</v>
      </c>
    </row>
    <row r="77" spans="1:55" ht="21" customHeight="1">
      <c r="A77" s="63">
        <v>1</v>
      </c>
      <c r="B77" s="64" t="s">
        <v>101</v>
      </c>
      <c r="C77" s="65">
        <f t="shared" ca="1" si="0"/>
        <v>70000</v>
      </c>
      <c r="D77" s="66">
        <f t="shared" ref="D77:D90" ca="1" si="109">+E77+F77</f>
        <v>70000</v>
      </c>
      <c r="E77" s="67">
        <f ca="1">IFERROR(__xludf.DUMMYFUNCTION("IMPORTRANGE(""https://docs.google.com/spreadsheets/d/1C3CXT74ZlgGe6_JY_1olB1XN4rF0dxEuIIF-xsYjHgg/edit?usp=sharing"",""พรบ!AD81"")"),0)</f>
        <v>0</v>
      </c>
      <c r="F77" s="67">
        <f ca="1">IFERROR(__xludf.DUMMYFUNCTION("IMPORTRANGE(""https://docs.google.com/spreadsheets/d/1C3CXT74ZlgGe6_JY_1olB1XN4rF0dxEuIIF-xsYjHgg/edit?usp=sharing"",""พรบ!AE81"")"),70000)</f>
        <v>70000</v>
      </c>
      <c r="G77" s="67">
        <f ca="1">IFERROR(__xludf.DUMMYFUNCTION("IMPORTRANGE(""https://docs.google.com/spreadsheets/d/1Yj_ptqi66GCucihVvJfMjLAmec39IyEx_6qawtMGysU/edit?usp=sharing"",""สบก!BH81"")"),0)</f>
        <v>0</v>
      </c>
      <c r="H77" s="67">
        <f ca="1">IFERROR(__xludf.DUMMYFUNCTION("IMPORTRANGE(""https://docs.google.com/spreadsheets/d/1Yj_ptqi66GCucihVvJfMjLAmec39IyEx_6qawtMGysU/edit?usp=shBJing"",""สบก!BJ81"")"),56625)</f>
        <v>56625</v>
      </c>
      <c r="I77" s="67">
        <f t="shared" ca="1" si="3"/>
        <v>42462</v>
      </c>
      <c r="J77" s="136">
        <f t="shared" ca="1" si="4"/>
        <v>60.66</v>
      </c>
      <c r="K77" s="67">
        <f ca="1">IFERROR(__xludf.DUMMYFUNCTION("IMPORTRANGE(""https://docs.google.com/spreadsheets/d/1Yj_ptqi66GCucihVvJfMjLAmec39IyEx_6qawtMGysU/edit?usp=sharing"",""สบก!BK81"")"),42462)</f>
        <v>42462</v>
      </c>
      <c r="L77" s="136">
        <f t="shared" ca="1" si="5"/>
        <v>60.66</v>
      </c>
      <c r="M77" s="136">
        <f t="shared" ca="1" si="6"/>
        <v>74.98807947019867</v>
      </c>
      <c r="N77" s="136">
        <f ca="1">IFERROR(__xludf.DUMMYFUNCTION("IMPORTRANGE(""https://docs.google.com/spreadsheets/d/1Yj_ptqi66GCucihVvJfMjLAmec39IyEx_6qawtMGysU/edit?usp=sharing"",""สบก!BL81"")"),0)</f>
        <v>0</v>
      </c>
      <c r="O77" s="136">
        <f t="shared" ca="1" si="7"/>
        <v>0</v>
      </c>
      <c r="P77" s="67">
        <f ca="1">IFERROR(__xludf.DUMMYFUNCTION("IMPORTRANGE(""https://docs.google.com/spreadsheets/d/1C3CXT74ZlgGe6_JY_1olB1XN4rF0dxEuIIF-xsYjHgg/edit?usp=sharing"",""พรบ!AF81"")"),7500)</f>
        <v>7500</v>
      </c>
      <c r="Q77" s="67">
        <f ca="1">IFERROR(__xludf.DUMMYFUNCTION("IMPORTRANGE(""https://docs.google.com/spreadsheets/d/1C3CXT74ZlgGe6_JY_1olB1XN4rF0dxEuIIF-xsYjHgg/edit?usp=sharing"",""พรบ!AG81"")"),4)</f>
        <v>4</v>
      </c>
      <c r="R77" s="67">
        <f ca="1">IFERROR(__xludf.DUMMYFUNCTION("IMPORTRANGE(""https://docs.google.com/spreadsheets/d/1IYY_tgx_IHuhSq3AJ5eI5OnqOPBNLWSHKh2a30DoXe8/edit?usp=sharing"",""กระบี่!J83"")"),2)</f>
        <v>2</v>
      </c>
      <c r="S77" s="136">
        <f t="shared" ca="1" si="9"/>
        <v>50</v>
      </c>
      <c r="T77" s="67">
        <f t="shared" ref="T77:T90" ca="1" si="110">U77+V77</f>
        <v>22</v>
      </c>
      <c r="U77" s="67">
        <f ca="1">IFERROR(__xludf.DUMMYFUNCTION("IMPORTRANGE(""https://docs.google.com/spreadsheets/d/1IYY_tgx_IHuhSq3AJ5eI5OnqOPBNLWSHKh2a30DoXe8/edit?usp=sharing"",""กระบี่!J85"")"),22)</f>
        <v>22</v>
      </c>
      <c r="V77" s="67">
        <f ca="1">IFERROR(__xludf.DUMMYFUNCTION("IMPORTRANGE(""https://docs.google.com/spreadsheets/d/1IYY_tgx_IHuhSq3AJ5eI5OnqOPBNLWSHKh2a30DoXe8/edit?usp=sharing"",""กระบี่!J86"")"),0)</f>
        <v>0</v>
      </c>
      <c r="W77" s="67">
        <f ca="1">IFERROR(__xludf.DUMMYFUNCTION("IMPORTRANGE(""https://docs.google.com/spreadsheets/d/1C3CXT74ZlgGe6_JY_1olB1XN4rF0dxEuIIF-xsYjHgg/edit?usp=sharing"",""พรบ!AH81"")"),28000)</f>
        <v>28000</v>
      </c>
      <c r="X77" s="67">
        <f ca="1">IFERROR(__xludf.DUMMYFUNCTION("IMPORTRANGE(""https://docs.google.com/spreadsheets/d/1C3CXT74ZlgGe6_JY_1olB1XN4rF0dxEuIIF-xsYjHgg/edit?usp=sharing"",""พรบ!AI81"")"),2)</f>
        <v>2</v>
      </c>
      <c r="Y77" s="67">
        <f ca="1">IFERROR(__xludf.DUMMYFUNCTION("IMPORTRANGE(""https://docs.google.com/spreadsheets/d/1IYY_tgx_IHuhSq3AJ5eI5OnqOPBNLWSHKh2a30DoXe8/edit?usp=sharing"",""กระบี่!J98"")"),2)</f>
        <v>2</v>
      </c>
      <c r="Z77" s="136">
        <f t="shared" ca="1" si="11"/>
        <v>100</v>
      </c>
      <c r="AA77" s="67">
        <f ca="1">IFERROR(__xludf.DUMMYFUNCTION("IMPORTRANGE(""https://docs.google.com/spreadsheets/d/1C3CXT74ZlgGe6_JY_1olB1XN4rF0dxEuIIF-xsYjHgg/edit?usp=sharing"",""พรบ!AJ81"")"),0)</f>
        <v>0</v>
      </c>
      <c r="AB77" s="67">
        <f ca="1">IFERROR(__xludf.DUMMYFUNCTION("IMPORTRANGE(""https://docs.google.com/spreadsheets/d/1C3CXT74ZlgGe6_JY_1olB1XN4rF0dxEuIIF-xsYjHgg/edit?usp=sharing"",""พรบ!AK81"")"),0)</f>
        <v>0</v>
      </c>
      <c r="AC77" s="67">
        <f ca="1">IFERROR(__xludf.DUMMYFUNCTION("IMPORTRANGE(""https://docs.google.com/spreadsheets/d/1IYY_tgx_IHuhSq3AJ5eI5OnqOPBNLWSHKh2a30DoXe8/edit?usp=sharing"",""กระบี่!J110"")"),0)</f>
        <v>0</v>
      </c>
      <c r="AD77" s="136">
        <f t="shared" ca="1" si="13"/>
        <v>0</v>
      </c>
      <c r="AE77" s="67">
        <f ca="1">IFERROR(__xludf.DUMMYFUNCTION("IMPORTRANGE(""https://docs.google.com/spreadsheets/d/1C3CXT74ZlgGe6_JY_1olB1XN4rF0dxEuIIF-xsYjHgg/edit?usp=sharing"",""พรบ!AL81"")"),0)</f>
        <v>0</v>
      </c>
      <c r="AF77" s="67">
        <f ca="1">IFERROR(__xludf.DUMMYFUNCTION("IMPORTRANGE(""https://docs.google.com/spreadsheets/d/1IYY_tgx_IHuhSq3AJ5eI5OnqOPBNLWSHKh2a30DoXe8/edit?usp=sharing"",""กระบี่!J111"")"),0)</f>
        <v>0</v>
      </c>
      <c r="AG77" s="136">
        <f t="shared" ca="1" si="15"/>
        <v>0</v>
      </c>
      <c r="AH77" s="67">
        <f ca="1">IFERROR(__xludf.DUMMYFUNCTION("IMPORTRANGE(""https://docs.google.com/spreadsheets/d/1C3CXT74ZlgGe6_JY_1olB1XN4rF0dxEuIIF-xsYjHgg/edit?usp=sharing"",""พรบ!AM81"")"),34500)</f>
        <v>34500</v>
      </c>
      <c r="AI77" s="67">
        <f ca="1">IFERROR(__xludf.DUMMYFUNCTION("IMPORTRANGE(""https://docs.google.com/spreadsheets/d/1C3CXT74ZlgGe6_JY_1olB1XN4rF0dxEuIIF-xsYjHgg/edit?usp=sharing"",""พรบ!AN81"")"),50000)</f>
        <v>50000</v>
      </c>
      <c r="AJ77" s="67">
        <f ca="1">IFERROR(__xludf.DUMMYFUNCTION("IMPORTRANGE(""https://docs.google.com/spreadsheets/d/1IYY_tgx_IHuhSq3AJ5eI5OnqOPBNLWSHKh2a30DoXe8/edit?usp=sharing"",""กระบี่!J124"")"),50000)</f>
        <v>50000</v>
      </c>
      <c r="AK77" s="136">
        <f t="shared" ca="1" si="17"/>
        <v>100</v>
      </c>
      <c r="AL77" s="67">
        <f ca="1">IFERROR(__xludf.DUMMYFUNCTION("IMPORTRANGE(""https://docs.google.com/spreadsheets/d/1IYY_tgx_IHuhSq3AJ5eI5OnqOPBNLWSHKh2a30DoXe8/edit?usp=sharing"",""กระบี่!J125"")"),0)</f>
        <v>0</v>
      </c>
      <c r="AM77" s="136">
        <f t="shared" ca="1" si="18"/>
        <v>0</v>
      </c>
      <c r="AN77" s="67">
        <f ca="1">IFERROR(__xludf.DUMMYFUNCTION("IMPORTRANGE(""https://docs.google.com/spreadsheets/d/1C3CXT74ZlgGe6_JY_1olB1XN4rF0dxEuIIF-xsYjHgg/edit?usp=sharing"",""พรบ!AQ81"")"),15)</f>
        <v>15</v>
      </c>
      <c r="AO77" s="67">
        <f ca="1">IFERROR(__xludf.DUMMYFUNCTION("IMPORTRANGE(""https://docs.google.com/spreadsheets/d/1IYY_tgx_IHuhSq3AJ5eI5OnqOPBNLWSHKh2a30DoXe8/edit?usp=sharing"",""กระบี่!J126"")"),15)</f>
        <v>15</v>
      </c>
      <c r="AP77" s="136">
        <f t="shared" ca="1" si="20"/>
        <v>100</v>
      </c>
      <c r="AQ77" s="148">
        <f ca="1">IFERROR(__xludf.DUMMYFUNCTION("IMPORTRANGE(""https://docs.google.com/spreadsheets/d/1C3CXT74ZlgGe6_JY_1olB1XN4rF0dxEuIIF-xsYjHgg/edit?usp=sharing"",""พรบ!AR81"")"),0)</f>
        <v>0</v>
      </c>
      <c r="AR77" s="67">
        <f ca="1">IFERROR(__xludf.DUMMYFUNCTION("IMPORTRANGE(""https://docs.google.com/spreadsheets/d/1C3CXT74ZlgGe6_JY_1olB1XN4rF0dxEuIIF-xsYjHgg/edit?usp=sharing"",""พรบ!AS81"")"),0)</f>
        <v>0</v>
      </c>
      <c r="AS77" s="67">
        <f ca="1">IFERROR(__xludf.DUMMYFUNCTION("IMPORTRANGE(""https://docs.google.com/spreadsheets/d/1IYY_tgx_IHuhSq3AJ5eI5OnqOPBNLWSHKh2a30DoXe8/edit?usp=sharing"",""กระบี่!J138"")"),0)</f>
        <v>0</v>
      </c>
      <c r="AT77" s="136">
        <f t="shared" ca="1" si="22"/>
        <v>0</v>
      </c>
      <c r="AU77" s="67">
        <f ca="1">IFERROR(__xludf.DUMMYFUNCTION("IMPORTRANGE(""https://docs.google.com/spreadsheets/d/1C3CXT74ZlgGe6_JY_1olB1XN4rF0dxEuIIF-xsYjHgg/edit?usp=sharing"",""พรบ!AT81"")"),0)</f>
        <v>0</v>
      </c>
      <c r="AV77" s="67">
        <f ca="1">IFERROR(__xludf.DUMMYFUNCTION("IMPORTRANGE(""https://docs.google.com/spreadsheets/d/1C3CXT74ZlgGe6_JY_1olB1XN4rF0dxEuIIF-xsYjHgg/edit?usp=sharing"",""พรบ!AU81"")"),0)</f>
        <v>0</v>
      </c>
      <c r="AW77" s="67">
        <f ca="1">IFERROR(__xludf.DUMMYFUNCTION("IMPORTRANGE(""https://docs.google.com/spreadsheets/d/1IYY_tgx_IHuhSq3AJ5eI5OnqOPBNLWSHKh2a30DoXe8/edit?usp=sharing"",""กระบี่!J140"")"),0)</f>
        <v>0</v>
      </c>
      <c r="AX77" s="136">
        <f t="shared" ca="1" si="24"/>
        <v>0</v>
      </c>
      <c r="AY77" s="67">
        <f ca="1">IFERROR(__xludf.DUMMYFUNCTION("IMPORTRANGE(""https://docs.google.com/spreadsheets/d/1IYY_tgx_IHuhSq3AJ5eI5OnqOPBNLWSHKh2a30DoXe8/edit?usp=sharing"",""กระบี่!J141"")"),0)</f>
        <v>0</v>
      </c>
      <c r="AZ77" s="136">
        <f t="shared" ca="1" si="25"/>
        <v>0</v>
      </c>
      <c r="BA77" s="67">
        <f t="shared" ca="1" si="26"/>
        <v>15</v>
      </c>
      <c r="BB77" s="67">
        <f t="shared" ref="BB77:BB90" ca="1" si="111">AO77+AS77</f>
        <v>15</v>
      </c>
      <c r="BC77" s="136">
        <f t="shared" ca="1" si="27"/>
        <v>100</v>
      </c>
    </row>
    <row r="78" spans="1:55" ht="21" customHeight="1">
      <c r="A78" s="73">
        <v>2</v>
      </c>
      <c r="B78" s="74" t="s">
        <v>102</v>
      </c>
      <c r="C78" s="75">
        <f t="shared" ca="1" si="0"/>
        <v>206500</v>
      </c>
      <c r="D78" s="76">
        <f t="shared" ca="1" si="109"/>
        <v>206500</v>
      </c>
      <c r="E78" s="77">
        <f ca="1">IFERROR(__xludf.DUMMYFUNCTION("IMPORTRANGE(""https://docs.google.com/spreadsheets/d/1C3CXT74ZlgGe6_JY_1olB1XN4rF0dxEuIIF-xsYjHgg/edit?usp=sharing"",""พรบ!AD82"")"),132000)</f>
        <v>132000</v>
      </c>
      <c r="F78" s="77">
        <f ca="1">IFERROR(__xludf.DUMMYFUNCTION("IMPORTRANGE(""https://docs.google.com/spreadsheets/d/1C3CXT74ZlgGe6_JY_1olB1XN4rF0dxEuIIF-xsYjHgg/edit?usp=sharing"",""พรบ!AE82"")"),74500)</f>
        <v>74500</v>
      </c>
      <c r="G78" s="77">
        <f ca="1">IFERROR(__xludf.DUMMYFUNCTION("IMPORTRANGE(""https://docs.google.com/spreadsheets/d/1Yj_ptqi66GCucihVvJfMjLAmec39IyEx_6qawtMGysU/edit?usp=sharing"",""สบก!BH82"")"),0)</f>
        <v>0</v>
      </c>
      <c r="H78" s="77">
        <f ca="1">IFERROR(__xludf.DUMMYFUNCTION("IMPORTRANGE(""https://docs.google.com/spreadsheets/d/1Yj_ptqi66GCucihVvJfMjLAmec39IyEx_6qawtMGysU/edit?usp=shBJing"",""สบก!BJ82"")"),170625)</f>
        <v>170625</v>
      </c>
      <c r="I78" s="77">
        <f t="shared" ca="1" si="3"/>
        <v>82926</v>
      </c>
      <c r="J78" s="137">
        <f t="shared" ca="1" si="4"/>
        <v>40.157869249394672</v>
      </c>
      <c r="K78" s="77">
        <f ca="1">IFERROR(__xludf.DUMMYFUNCTION("IMPORTRANGE(""https://docs.google.com/spreadsheets/d/1Yj_ptqi66GCucihVvJfMjLAmec39IyEx_6qawtMGysU/edit?usp=sharing"",""สบก!BK82"")"),82926)</f>
        <v>82926</v>
      </c>
      <c r="L78" s="137">
        <f t="shared" ca="1" si="5"/>
        <v>40.157869249394672</v>
      </c>
      <c r="M78" s="137">
        <f t="shared" ca="1" si="6"/>
        <v>48.601318681318681</v>
      </c>
      <c r="N78" s="137">
        <f ca="1">IFERROR(__xludf.DUMMYFUNCTION("IMPORTRANGE(""https://docs.google.com/spreadsheets/d/1Yj_ptqi66GCucihVvJfMjLAmec39IyEx_6qawtMGysU/edit?usp=sharing"",""สบก!BL82"")"),0)</f>
        <v>0</v>
      </c>
      <c r="O78" s="137">
        <f t="shared" ca="1" si="7"/>
        <v>0</v>
      </c>
      <c r="P78" s="77">
        <f ca="1">IFERROR(__xludf.DUMMYFUNCTION("IMPORTRANGE(""https://docs.google.com/spreadsheets/d/1C3CXT74ZlgGe6_JY_1olB1XN4rF0dxEuIIF-xsYjHgg/edit?usp=sharing"",""พรบ!AF82"")"),7500)</f>
        <v>7500</v>
      </c>
      <c r="Q78" s="77">
        <f ca="1">IFERROR(__xludf.DUMMYFUNCTION("IMPORTRANGE(""https://docs.google.com/spreadsheets/d/1C3CXT74ZlgGe6_JY_1olB1XN4rF0dxEuIIF-xsYjHgg/edit?usp=sharing"",""พรบ!AG82"")"),4)</f>
        <v>4</v>
      </c>
      <c r="R78" s="77">
        <f ca="1">IFERROR(__xludf.DUMMYFUNCTION("IMPORTRANGE(""https://docs.google.com/spreadsheets/d/1IYY_tgx_IHuhSq3AJ5eI5OnqOPBNLWSHKh2a30DoXe8/edit?usp=sharing"",""ชุมพร!J83"")"),1)</f>
        <v>1</v>
      </c>
      <c r="S78" s="137">
        <f t="shared" ca="1" si="9"/>
        <v>25</v>
      </c>
      <c r="T78" s="77">
        <f t="shared" ca="1" si="110"/>
        <v>45</v>
      </c>
      <c r="U78" s="77">
        <f ca="1">IFERROR(__xludf.DUMMYFUNCTION("IMPORTRANGE(""https://docs.google.com/spreadsheets/d/1IYY_tgx_IHuhSq3AJ5eI5OnqOPBNLWSHKh2a30DoXe8/edit?usp=sharing"",""ชุมพร!J85"")"),0)</f>
        <v>0</v>
      </c>
      <c r="V78" s="77">
        <f ca="1">IFERROR(__xludf.DUMMYFUNCTION("IMPORTRANGE(""https://docs.google.com/spreadsheets/d/1IYY_tgx_IHuhSq3AJ5eI5OnqOPBNLWSHKh2a30DoXe8/edit?usp=sharing"",""ชุมพร!J86"")"),45)</f>
        <v>45</v>
      </c>
      <c r="W78" s="77">
        <f ca="1">IFERROR(__xludf.DUMMYFUNCTION("IMPORTRANGE(""https://docs.google.com/spreadsheets/d/1C3CXT74ZlgGe6_JY_1olB1XN4rF0dxEuIIF-xsYjHgg/edit?usp=sharing"",""พรบ!AH82"")"),28000)</f>
        <v>28000</v>
      </c>
      <c r="X78" s="77">
        <f ca="1">IFERROR(__xludf.DUMMYFUNCTION("IMPORTRANGE(""https://docs.google.com/spreadsheets/d/1C3CXT74ZlgGe6_JY_1olB1XN4rF0dxEuIIF-xsYjHgg/edit?usp=sharing"",""พรบ!AI82"")"),2)</f>
        <v>2</v>
      </c>
      <c r="Y78" s="77">
        <f ca="1">IFERROR(__xludf.DUMMYFUNCTION("IMPORTRANGE(""https://docs.google.com/spreadsheets/d/1IYY_tgx_IHuhSq3AJ5eI5OnqOPBNLWSHKh2a30DoXe8/edit?usp=sharing"",""ชุมพร!J98"")"),2)</f>
        <v>2</v>
      </c>
      <c r="Z78" s="137">
        <f t="shared" ca="1" si="11"/>
        <v>100</v>
      </c>
      <c r="AA78" s="77">
        <f ca="1">IFERROR(__xludf.DUMMYFUNCTION("IMPORTRANGE(""https://docs.google.com/spreadsheets/d/1C3CXT74ZlgGe6_JY_1olB1XN4rF0dxEuIIF-xsYjHgg/edit?usp=sharing"",""พรบ!AJ82"")"),15000)</f>
        <v>15000</v>
      </c>
      <c r="AB78" s="77">
        <f ca="1">IFERROR(__xludf.DUMMYFUNCTION("IMPORTRANGE(""https://docs.google.com/spreadsheets/d/1C3CXT74ZlgGe6_JY_1olB1XN4rF0dxEuIIF-xsYjHgg/edit?usp=sharing"",""พรบ!AK82"")"),1)</f>
        <v>1</v>
      </c>
      <c r="AC78" s="77">
        <f ca="1">IFERROR(__xludf.DUMMYFUNCTION("IMPORTRANGE(""https://docs.google.com/spreadsheets/d/1IYY_tgx_IHuhSq3AJ5eI5OnqOPBNLWSHKh2a30DoXe8/edit?usp=sharing"",""ชุมพร!J110"")"),0)</f>
        <v>0</v>
      </c>
      <c r="AD78" s="137">
        <f t="shared" ca="1" si="13"/>
        <v>0</v>
      </c>
      <c r="AE78" s="77">
        <f ca="1">IFERROR(__xludf.DUMMYFUNCTION("IMPORTRANGE(""https://docs.google.com/spreadsheets/d/1C3CXT74ZlgGe6_JY_1olB1XN4rF0dxEuIIF-xsYjHgg/edit?usp=sharing"",""พรบ!AL82"")"),1)</f>
        <v>1</v>
      </c>
      <c r="AF78" s="77">
        <f ca="1">IFERROR(__xludf.DUMMYFUNCTION("IMPORTRANGE(""https://docs.google.com/spreadsheets/d/1IYY_tgx_IHuhSq3AJ5eI5OnqOPBNLWSHKh2a30DoXe8/edit?usp=sharing"",""ชุมพร!J111"")"),1)</f>
        <v>1</v>
      </c>
      <c r="AG78" s="137">
        <f t="shared" ca="1" si="15"/>
        <v>100</v>
      </c>
      <c r="AH78" s="77">
        <f ca="1">IFERROR(__xludf.DUMMYFUNCTION("IMPORTRANGE(""https://docs.google.com/spreadsheets/d/1C3CXT74ZlgGe6_JY_1olB1XN4rF0dxEuIIF-xsYjHgg/edit?usp=sharing"",""พรบ!AM82"")"),24000)</f>
        <v>24000</v>
      </c>
      <c r="AI78" s="77">
        <f ca="1">IFERROR(__xludf.DUMMYFUNCTION("IMPORTRANGE(""https://docs.google.com/spreadsheets/d/1C3CXT74ZlgGe6_JY_1olB1XN4rF0dxEuIIF-xsYjHgg/edit?usp=sharing"",""พรบ!AN82"")"),20000)</f>
        <v>20000</v>
      </c>
      <c r="AJ78" s="77">
        <f ca="1">IFERROR(__xludf.DUMMYFUNCTION("IMPORTRANGE(""https://docs.google.com/spreadsheets/d/1IYY_tgx_IHuhSq3AJ5eI5OnqOPBNLWSHKh2a30DoXe8/edit?usp=sharing"",""ชุมพร!J124"")"),0)</f>
        <v>0</v>
      </c>
      <c r="AK78" s="137">
        <f t="shared" ca="1" si="17"/>
        <v>0</v>
      </c>
      <c r="AL78" s="77">
        <f ca="1">IFERROR(__xludf.DUMMYFUNCTION("IMPORTRANGE(""https://docs.google.com/spreadsheets/d/1IYY_tgx_IHuhSq3AJ5eI5OnqOPBNLWSHKh2a30DoXe8/edit?usp=sharing"",""ชุมพร!J125"")"),0)</f>
        <v>0</v>
      </c>
      <c r="AM78" s="137">
        <f t="shared" ca="1" si="18"/>
        <v>0</v>
      </c>
      <c r="AN78" s="77">
        <f ca="1">IFERROR(__xludf.DUMMYFUNCTION("IMPORTRANGE(""https://docs.google.com/spreadsheets/d/1C3CXT74ZlgGe6_JY_1olB1XN4rF0dxEuIIF-xsYjHgg/edit?usp=sharing"",""พรบ!AQ82"")"),15)</f>
        <v>15</v>
      </c>
      <c r="AO78" s="77">
        <f ca="1">IFERROR(__xludf.DUMMYFUNCTION("IMPORTRANGE(""https://docs.google.com/spreadsheets/d/1IYY_tgx_IHuhSq3AJ5eI5OnqOPBNLWSHKh2a30DoXe8/edit?usp=sharing"",""ชุมพร!J126"")"),15)</f>
        <v>15</v>
      </c>
      <c r="AP78" s="137">
        <f t="shared" ca="1" si="20"/>
        <v>100</v>
      </c>
      <c r="AQ78" s="149">
        <f ca="1">IFERROR(__xludf.DUMMYFUNCTION("IMPORTRANGE(""https://docs.google.com/spreadsheets/d/1C3CXT74ZlgGe6_JY_1olB1XN4rF0dxEuIIF-xsYjHgg/edit?usp=sharing"",""พรบ!AR82"")"),0)</f>
        <v>0</v>
      </c>
      <c r="AR78" s="77">
        <f ca="1">IFERROR(__xludf.DUMMYFUNCTION("IMPORTRANGE(""https://docs.google.com/spreadsheets/d/1C3CXT74ZlgGe6_JY_1olB1XN4rF0dxEuIIF-xsYjHgg/edit?usp=sharing"",""พรบ!AS82"")"),0)</f>
        <v>0</v>
      </c>
      <c r="AS78" s="77">
        <f ca="1">IFERROR(__xludf.DUMMYFUNCTION("IMPORTRANGE(""https://docs.google.com/spreadsheets/d/1IYY_tgx_IHuhSq3AJ5eI5OnqOPBNLWSHKh2a30DoXe8/edit?usp=sharing"",""ชุมพร!J138"")"),0)</f>
        <v>0</v>
      </c>
      <c r="AT78" s="137">
        <f t="shared" ca="1" si="22"/>
        <v>0</v>
      </c>
      <c r="AU78" s="77">
        <f ca="1">IFERROR(__xludf.DUMMYFUNCTION("IMPORTRANGE(""https://docs.google.com/spreadsheets/d/1C3CXT74ZlgGe6_JY_1olB1XN4rF0dxEuIIF-xsYjHgg/edit?usp=sharing"",""พรบ!AT82"")"),0)</f>
        <v>0</v>
      </c>
      <c r="AV78" s="77">
        <f ca="1">IFERROR(__xludf.DUMMYFUNCTION("IMPORTRANGE(""https://docs.google.com/spreadsheets/d/1C3CXT74ZlgGe6_JY_1olB1XN4rF0dxEuIIF-xsYjHgg/edit?usp=sharing"",""พรบ!AU82"")"),0)</f>
        <v>0</v>
      </c>
      <c r="AW78" s="77">
        <f ca="1">IFERROR(__xludf.DUMMYFUNCTION("IMPORTRANGE(""https://docs.google.com/spreadsheets/d/1IYY_tgx_IHuhSq3AJ5eI5OnqOPBNLWSHKh2a30DoXe8/edit?usp=sharing"",""ชุมพร!J140"")"),0)</f>
        <v>0</v>
      </c>
      <c r="AX78" s="137">
        <f t="shared" ca="1" si="24"/>
        <v>0</v>
      </c>
      <c r="AY78" s="77">
        <f ca="1">IFERROR(__xludf.DUMMYFUNCTION("IMPORTRANGE(""https://docs.google.com/spreadsheets/d/1IYY_tgx_IHuhSq3AJ5eI5OnqOPBNLWSHKh2a30DoXe8/edit?usp=sharing"",""ชุมพร!J141"")"),0)</f>
        <v>0</v>
      </c>
      <c r="AZ78" s="137">
        <f t="shared" ca="1" si="25"/>
        <v>0</v>
      </c>
      <c r="BA78" s="77">
        <f t="shared" ca="1" si="26"/>
        <v>15</v>
      </c>
      <c r="BB78" s="77">
        <f t="shared" ca="1" si="111"/>
        <v>15</v>
      </c>
      <c r="BC78" s="137">
        <f t="shared" ca="1" si="27"/>
        <v>100</v>
      </c>
    </row>
    <row r="79" spans="1:55" ht="21" customHeight="1">
      <c r="A79" s="73">
        <v>3</v>
      </c>
      <c r="B79" s="74" t="s">
        <v>103</v>
      </c>
      <c r="C79" s="75">
        <f t="shared" ca="1" si="0"/>
        <v>389400</v>
      </c>
      <c r="D79" s="76">
        <f t="shared" ca="1" si="109"/>
        <v>389400</v>
      </c>
      <c r="E79" s="77">
        <f ca="1">IFERROR(__xludf.DUMMYFUNCTION("IMPORTRANGE(""https://docs.google.com/spreadsheets/d/1C3CXT74ZlgGe6_JY_1olB1XN4rF0dxEuIIF-xsYjHgg/edit?usp=sharing"",""พรบ!AD83"")"),331400)</f>
        <v>331400</v>
      </c>
      <c r="F79" s="77">
        <f ca="1">IFERROR(__xludf.DUMMYFUNCTION("IMPORTRANGE(""https://docs.google.com/spreadsheets/d/1C3CXT74ZlgGe6_JY_1olB1XN4rF0dxEuIIF-xsYjHgg/edit?usp=sharing"",""พรบ!AE83"")"),58000)</f>
        <v>58000</v>
      </c>
      <c r="G79" s="77">
        <f ca="1">IFERROR(__xludf.DUMMYFUNCTION("IMPORTRANGE(""https://docs.google.com/spreadsheets/d/1Yj_ptqi66GCucihVvJfMjLAmec39IyEx_6qawtMGysU/edit?usp=sharing"",""สบก!BH83"")"),0)</f>
        <v>0</v>
      </c>
      <c r="H79" s="77">
        <f ca="1">IFERROR(__xludf.DUMMYFUNCTION("IMPORTRANGE(""https://docs.google.com/spreadsheets/d/1Yj_ptqi66GCucihVvJfMjLAmec39IyEx_6qawtMGysU/edit?usp=shBJing"",""สบก!BJ83"")"),305125)</f>
        <v>305125</v>
      </c>
      <c r="I79" s="77">
        <f t="shared" ca="1" si="3"/>
        <v>206137.60000000001</v>
      </c>
      <c r="J79" s="137">
        <f t="shared" ca="1" si="4"/>
        <v>52.937236774524912</v>
      </c>
      <c r="K79" s="77">
        <f ca="1">IFERROR(__xludf.DUMMYFUNCTION("IMPORTRANGE(""https://docs.google.com/spreadsheets/d/1Yj_ptqi66GCucihVvJfMjLAmec39IyEx_6qawtMGysU/edit?usp=sharing"",""สบก!BK83"")"),206137.6)</f>
        <v>206137.60000000001</v>
      </c>
      <c r="L79" s="137">
        <f t="shared" ca="1" si="5"/>
        <v>52.937236774524912</v>
      </c>
      <c r="M79" s="137">
        <f t="shared" ca="1" si="6"/>
        <v>67.558410487505114</v>
      </c>
      <c r="N79" s="137">
        <f ca="1">IFERROR(__xludf.DUMMYFUNCTION("IMPORTRANGE(""https://docs.google.com/spreadsheets/d/1Yj_ptqi66GCucihVvJfMjLAmec39IyEx_6qawtMGysU/edit?usp=sharing"",""สบก!BL83"")"),0)</f>
        <v>0</v>
      </c>
      <c r="O79" s="137">
        <f t="shared" ca="1" si="7"/>
        <v>0</v>
      </c>
      <c r="P79" s="77">
        <f ca="1">IFERROR(__xludf.DUMMYFUNCTION("IMPORTRANGE(""https://docs.google.com/spreadsheets/d/1C3CXT74ZlgGe6_JY_1olB1XN4rF0dxEuIIF-xsYjHgg/edit?usp=sharing"",""พรบ!AF83"")"),7500)</f>
        <v>7500</v>
      </c>
      <c r="Q79" s="77">
        <f ca="1">IFERROR(__xludf.DUMMYFUNCTION("IMPORTRANGE(""https://docs.google.com/spreadsheets/d/1C3CXT74ZlgGe6_JY_1olB1XN4rF0dxEuIIF-xsYjHgg/edit?usp=sharing"",""พรบ!AG83"")"),4)</f>
        <v>4</v>
      </c>
      <c r="R79" s="77">
        <f ca="1">IFERROR(__xludf.DUMMYFUNCTION("IMPORTRANGE(""https://docs.google.com/spreadsheets/d/1IYY_tgx_IHuhSq3AJ5eI5OnqOPBNLWSHKh2a30DoXe8/edit?usp=sharing"",""ตรัง!J83"")"),2)</f>
        <v>2</v>
      </c>
      <c r="S79" s="137">
        <f t="shared" ca="1" si="9"/>
        <v>50</v>
      </c>
      <c r="T79" s="77">
        <f t="shared" ca="1" si="110"/>
        <v>52</v>
      </c>
      <c r="U79" s="77">
        <f ca="1">IFERROR(__xludf.DUMMYFUNCTION("IMPORTRANGE(""https://docs.google.com/spreadsheets/d/1IYY_tgx_IHuhSq3AJ5eI5OnqOPBNLWSHKh2a30DoXe8/edit?usp=sharing"",""ตรัง!J85"")"),52)</f>
        <v>52</v>
      </c>
      <c r="V79" s="77">
        <f ca="1">IFERROR(__xludf.DUMMYFUNCTION("IMPORTRANGE(""https://docs.google.com/spreadsheets/d/1IYY_tgx_IHuhSq3AJ5eI5OnqOPBNLWSHKh2a30DoXe8/edit?usp=sharing"",""ตรัง!J86"")"),0)</f>
        <v>0</v>
      </c>
      <c r="W79" s="77">
        <f ca="1">IFERROR(__xludf.DUMMYFUNCTION("IMPORTRANGE(""https://docs.google.com/spreadsheets/d/1C3CXT74ZlgGe6_JY_1olB1XN4rF0dxEuIIF-xsYjHgg/edit?usp=sharing"",""พรบ!AH83"")"),28000)</f>
        <v>28000</v>
      </c>
      <c r="X79" s="77">
        <f ca="1">IFERROR(__xludf.DUMMYFUNCTION("IMPORTRANGE(""https://docs.google.com/spreadsheets/d/1C3CXT74ZlgGe6_JY_1olB1XN4rF0dxEuIIF-xsYjHgg/edit?usp=sharing"",""พรบ!AI83"")"),2)</f>
        <v>2</v>
      </c>
      <c r="Y79" s="77">
        <f ca="1">IFERROR(__xludf.DUMMYFUNCTION("IMPORTRANGE(""https://docs.google.com/spreadsheets/d/1IYY_tgx_IHuhSq3AJ5eI5OnqOPBNLWSHKh2a30DoXe8/edit?usp=sharing"",""ตรัง!J98"")"),2)</f>
        <v>2</v>
      </c>
      <c r="Z79" s="137">
        <f t="shared" ca="1" si="11"/>
        <v>100</v>
      </c>
      <c r="AA79" s="77">
        <f ca="1">IFERROR(__xludf.DUMMYFUNCTION("IMPORTRANGE(""https://docs.google.com/spreadsheets/d/1C3CXT74ZlgGe6_JY_1olB1XN4rF0dxEuIIF-xsYjHgg/edit?usp=sharing"",""พรบ!AJ83"")"),0)</f>
        <v>0</v>
      </c>
      <c r="AB79" s="77">
        <f ca="1">IFERROR(__xludf.DUMMYFUNCTION("IMPORTRANGE(""https://docs.google.com/spreadsheets/d/1C3CXT74ZlgGe6_JY_1olB1XN4rF0dxEuIIF-xsYjHgg/edit?usp=sharing"",""พรบ!AK83"")"),0)</f>
        <v>0</v>
      </c>
      <c r="AC79" s="77">
        <f ca="1">IFERROR(__xludf.DUMMYFUNCTION("IMPORTRANGE(""https://docs.google.com/spreadsheets/d/1IYY_tgx_IHuhSq3AJ5eI5OnqOPBNLWSHKh2a30DoXe8/edit?usp=sharing"",""ตรัง!J110"")"),0)</f>
        <v>0</v>
      </c>
      <c r="AD79" s="137">
        <f t="shared" ca="1" si="13"/>
        <v>0</v>
      </c>
      <c r="AE79" s="77">
        <f ca="1">IFERROR(__xludf.DUMMYFUNCTION("IMPORTRANGE(""https://docs.google.com/spreadsheets/d/1C3CXT74ZlgGe6_JY_1olB1XN4rF0dxEuIIF-xsYjHgg/edit?usp=sharing"",""พรบ!AL83"")"),0)</f>
        <v>0</v>
      </c>
      <c r="AF79" s="77">
        <f ca="1">IFERROR(__xludf.DUMMYFUNCTION("IMPORTRANGE(""https://docs.google.com/spreadsheets/d/1IYY_tgx_IHuhSq3AJ5eI5OnqOPBNLWSHKh2a30DoXe8/edit?usp=sharing"",""ตรัง!J111"")"),0)</f>
        <v>0</v>
      </c>
      <c r="AG79" s="137">
        <f t="shared" ca="1" si="15"/>
        <v>0</v>
      </c>
      <c r="AH79" s="77">
        <f ca="1">IFERROR(__xludf.DUMMYFUNCTION("IMPORTRANGE(""https://docs.google.com/spreadsheets/d/1C3CXT74ZlgGe6_JY_1olB1XN4rF0dxEuIIF-xsYjHgg/edit?usp=sharing"",""พรบ!AM83"")"),22500)</f>
        <v>22500</v>
      </c>
      <c r="AI79" s="77">
        <f ca="1">IFERROR(__xludf.DUMMYFUNCTION("IMPORTRANGE(""https://docs.google.com/spreadsheets/d/1C3CXT74ZlgGe6_JY_1olB1XN4rF0dxEuIIF-xsYjHgg/edit?usp=sharing"",""พรบ!AN83"")"),10000)</f>
        <v>10000</v>
      </c>
      <c r="AJ79" s="77">
        <f ca="1">IFERROR(__xludf.DUMMYFUNCTION("IMPORTRANGE(""https://docs.google.com/spreadsheets/d/1IYY_tgx_IHuhSq3AJ5eI5OnqOPBNLWSHKh2a30DoXe8/edit?usp=sharing"",""ตรัง!J124"")"),0)</f>
        <v>0</v>
      </c>
      <c r="AK79" s="137">
        <f t="shared" ca="1" si="17"/>
        <v>0</v>
      </c>
      <c r="AL79" s="77">
        <f ca="1">IFERROR(__xludf.DUMMYFUNCTION("IMPORTRANGE(""https://docs.google.com/spreadsheets/d/1IYY_tgx_IHuhSq3AJ5eI5OnqOPBNLWSHKh2a30DoXe8/edit?usp=sharing"",""ตรัง!J125"")"),0)</f>
        <v>0</v>
      </c>
      <c r="AM79" s="137">
        <f t="shared" ca="1" si="18"/>
        <v>0</v>
      </c>
      <c r="AN79" s="77">
        <f ca="1">IFERROR(__xludf.DUMMYFUNCTION("IMPORTRANGE(""https://docs.google.com/spreadsheets/d/1C3CXT74ZlgGe6_JY_1olB1XN4rF0dxEuIIF-xsYjHgg/edit?usp=sharing"",""พรบ!AQ83"")"),15)</f>
        <v>15</v>
      </c>
      <c r="AO79" s="77">
        <f ca="1">IFERROR(__xludf.DUMMYFUNCTION("IMPORTRANGE(""https://docs.google.com/spreadsheets/d/1IYY_tgx_IHuhSq3AJ5eI5OnqOPBNLWSHKh2a30DoXe8/edit?usp=sharing"",""ตรัง!J126"")"),15)</f>
        <v>15</v>
      </c>
      <c r="AP79" s="137">
        <f t="shared" ca="1" si="20"/>
        <v>100</v>
      </c>
      <c r="AQ79" s="149">
        <f ca="1">IFERROR(__xludf.DUMMYFUNCTION("IMPORTRANGE(""https://docs.google.com/spreadsheets/d/1C3CXT74ZlgGe6_JY_1olB1XN4rF0dxEuIIF-xsYjHgg/edit?usp=sharing"",""พรบ!AR83"")"),0)</f>
        <v>0</v>
      </c>
      <c r="AR79" s="77">
        <f ca="1">IFERROR(__xludf.DUMMYFUNCTION("IMPORTRANGE(""https://docs.google.com/spreadsheets/d/1C3CXT74ZlgGe6_JY_1olB1XN4rF0dxEuIIF-xsYjHgg/edit?usp=sharing"",""พรบ!AS83"")"),0)</f>
        <v>0</v>
      </c>
      <c r="AS79" s="77">
        <f ca="1">IFERROR(__xludf.DUMMYFUNCTION("IMPORTRANGE(""https://docs.google.com/spreadsheets/d/1IYY_tgx_IHuhSq3AJ5eI5OnqOPBNLWSHKh2a30DoXe8/edit?usp=sharing"",""ตรัง!J138"")"),0)</f>
        <v>0</v>
      </c>
      <c r="AT79" s="137">
        <f t="shared" ca="1" si="22"/>
        <v>0</v>
      </c>
      <c r="AU79" s="77">
        <f ca="1">IFERROR(__xludf.DUMMYFUNCTION("IMPORTRANGE(""https://docs.google.com/spreadsheets/d/1C3CXT74ZlgGe6_JY_1olB1XN4rF0dxEuIIF-xsYjHgg/edit?usp=sharing"",""พรบ!AT83"")"),0)</f>
        <v>0</v>
      </c>
      <c r="AV79" s="77">
        <f ca="1">IFERROR(__xludf.DUMMYFUNCTION("IMPORTRANGE(""https://docs.google.com/spreadsheets/d/1C3CXT74ZlgGe6_JY_1olB1XN4rF0dxEuIIF-xsYjHgg/edit?usp=sharing"",""พรบ!AU83"")"),0)</f>
        <v>0</v>
      </c>
      <c r="AW79" s="77">
        <f ca="1">IFERROR(__xludf.DUMMYFUNCTION("IMPORTRANGE(""https://docs.google.com/spreadsheets/d/1IYY_tgx_IHuhSq3AJ5eI5OnqOPBNLWSHKh2a30DoXe8/edit?usp=sharing"",""ตรัง!J140"")"),0)</f>
        <v>0</v>
      </c>
      <c r="AX79" s="137">
        <f t="shared" ca="1" si="24"/>
        <v>0</v>
      </c>
      <c r="AY79" s="77">
        <f ca="1">IFERROR(__xludf.DUMMYFUNCTION("IMPORTRANGE(""https://docs.google.com/spreadsheets/d/1IYY_tgx_IHuhSq3AJ5eI5OnqOPBNLWSHKh2a30DoXe8/edit?usp=sharing"",""ตรัง!J141"")"),0)</f>
        <v>0</v>
      </c>
      <c r="AZ79" s="137">
        <f t="shared" ca="1" si="25"/>
        <v>0</v>
      </c>
      <c r="BA79" s="77">
        <f t="shared" ca="1" si="26"/>
        <v>15</v>
      </c>
      <c r="BB79" s="77">
        <f t="shared" ca="1" si="111"/>
        <v>15</v>
      </c>
      <c r="BC79" s="137">
        <f t="shared" ca="1" si="27"/>
        <v>100</v>
      </c>
    </row>
    <row r="80" spans="1:55" ht="21" customHeight="1">
      <c r="A80" s="73">
        <v>4</v>
      </c>
      <c r="B80" s="74" t="s">
        <v>104</v>
      </c>
      <c r="C80" s="75">
        <f t="shared" ca="1" si="0"/>
        <v>818600</v>
      </c>
      <c r="D80" s="76">
        <f t="shared" ca="1" si="109"/>
        <v>818600</v>
      </c>
      <c r="E80" s="77">
        <f ca="1">IFERROR(__xludf.DUMMYFUNCTION("IMPORTRANGE(""https://docs.google.com/spreadsheets/d/1C3CXT74ZlgGe6_JY_1olB1XN4rF0dxEuIIF-xsYjHgg/edit?usp=sharing"",""พรบ!AD84"")"),330100)</f>
        <v>330100</v>
      </c>
      <c r="F80" s="77">
        <f ca="1">IFERROR(__xludf.DUMMYFUNCTION("IMPORTRANGE(""https://docs.google.com/spreadsheets/d/1C3CXT74ZlgGe6_JY_1olB1XN4rF0dxEuIIF-xsYjHgg/edit?usp=sharing"",""พรบ!AE84"")"),488500)</f>
        <v>488500</v>
      </c>
      <c r="G80" s="77">
        <f ca="1">IFERROR(__xludf.DUMMYFUNCTION("IMPORTRANGE(""https://docs.google.com/spreadsheets/d/1Yj_ptqi66GCucihVvJfMjLAmec39IyEx_6qawtMGysU/edit?usp=sharing"",""สบก!BH84"")"),0)</f>
        <v>0</v>
      </c>
      <c r="H80" s="77">
        <f ca="1">IFERROR(__xludf.DUMMYFUNCTION("IMPORTRANGE(""https://docs.google.com/spreadsheets/d/1Yj_ptqi66GCucihVvJfMjLAmec39IyEx_6qawtMGysU/edit?usp=shBJing"",""สบก!BJ84"")"),662555)</f>
        <v>662555</v>
      </c>
      <c r="I80" s="77">
        <f t="shared" ca="1" si="3"/>
        <v>335866.33</v>
      </c>
      <c r="J80" s="137">
        <f t="shared" ca="1" si="4"/>
        <v>41.029358661128754</v>
      </c>
      <c r="K80" s="77">
        <f ca="1">IFERROR(__xludf.DUMMYFUNCTION("IMPORTRANGE(""https://docs.google.com/spreadsheets/d/1Yj_ptqi66GCucihVvJfMjLAmec39IyEx_6qawtMGysU/edit?usp=sharing"",""สบก!BK84"")"),335866.33)</f>
        <v>335866.33</v>
      </c>
      <c r="L80" s="137">
        <f t="shared" ca="1" si="5"/>
        <v>41.029358661128754</v>
      </c>
      <c r="M80" s="137">
        <f t="shared" ca="1" si="6"/>
        <v>50.692596086362641</v>
      </c>
      <c r="N80" s="137">
        <f ca="1">IFERROR(__xludf.DUMMYFUNCTION("IMPORTRANGE(""https://docs.google.com/spreadsheets/d/1Yj_ptqi66GCucihVvJfMjLAmec39IyEx_6qawtMGysU/edit?usp=sharing"",""สบก!BL84"")"),0)</f>
        <v>0</v>
      </c>
      <c r="O80" s="137">
        <f t="shared" ca="1" si="7"/>
        <v>0</v>
      </c>
      <c r="P80" s="77">
        <f ca="1">IFERROR(__xludf.DUMMYFUNCTION("IMPORTRANGE(""https://docs.google.com/spreadsheets/d/1C3CXT74ZlgGe6_JY_1olB1XN4rF0dxEuIIF-xsYjHgg/edit?usp=sharing"",""พรบ!AF84"")"),7500)</f>
        <v>7500</v>
      </c>
      <c r="Q80" s="77">
        <f ca="1">IFERROR(__xludf.DUMMYFUNCTION("IMPORTRANGE(""https://docs.google.com/spreadsheets/d/1C3CXT74ZlgGe6_JY_1olB1XN4rF0dxEuIIF-xsYjHgg/edit?usp=sharing"",""พรบ!AG84"")"),4)</f>
        <v>4</v>
      </c>
      <c r="R80" s="77">
        <f ca="1">IFERROR(__xludf.DUMMYFUNCTION("IMPORTRANGE(""https://docs.google.com/spreadsheets/d/1IYY_tgx_IHuhSq3AJ5eI5OnqOPBNLWSHKh2a30DoXe8/edit?usp=sharing"",""นครศรีธรรมราช!J83"")"),2)</f>
        <v>2</v>
      </c>
      <c r="S80" s="137">
        <f t="shared" ca="1" si="9"/>
        <v>50</v>
      </c>
      <c r="T80" s="77">
        <f t="shared" ca="1" si="110"/>
        <v>55</v>
      </c>
      <c r="U80" s="77">
        <f ca="1">IFERROR(__xludf.DUMMYFUNCTION("IMPORTRANGE(""https://docs.google.com/spreadsheets/d/1IYY_tgx_IHuhSq3AJ5eI5OnqOPBNLWSHKh2a30DoXe8/edit?usp=sharing"",""นครศรีธรรมราช!J85"")"),55)</f>
        <v>55</v>
      </c>
      <c r="V80" s="77">
        <f ca="1">IFERROR(__xludf.DUMMYFUNCTION("IMPORTRANGE(""https://docs.google.com/spreadsheets/d/1IYY_tgx_IHuhSq3AJ5eI5OnqOPBNLWSHKh2a30DoXe8/edit?usp=sharing"",""นครศรีธรรมราช!J86"")"),0)</f>
        <v>0</v>
      </c>
      <c r="W80" s="77">
        <f ca="1">IFERROR(__xludf.DUMMYFUNCTION("IMPORTRANGE(""https://docs.google.com/spreadsheets/d/1C3CXT74ZlgGe6_JY_1olB1XN4rF0dxEuIIF-xsYjHgg/edit?usp=sharing"",""พรบ!AH84"")"),56000)</f>
        <v>56000</v>
      </c>
      <c r="X80" s="77">
        <f ca="1">IFERROR(__xludf.DUMMYFUNCTION("IMPORTRANGE(""https://docs.google.com/spreadsheets/d/1C3CXT74ZlgGe6_JY_1olB1XN4rF0dxEuIIF-xsYjHgg/edit?usp=sharing"",""พรบ!AI84"")"),4)</f>
        <v>4</v>
      </c>
      <c r="Y80" s="77">
        <f ca="1">IFERROR(__xludf.DUMMYFUNCTION("IMPORTRANGE(""https://docs.google.com/spreadsheets/d/1IYY_tgx_IHuhSq3AJ5eI5OnqOPBNLWSHKh2a30DoXe8/edit?usp=sharing"",""นครศรีธรรมราช!J98"")"),4)</f>
        <v>4</v>
      </c>
      <c r="Z80" s="137">
        <f t="shared" ca="1" si="11"/>
        <v>100</v>
      </c>
      <c r="AA80" s="77">
        <f ca="1">IFERROR(__xludf.DUMMYFUNCTION("IMPORTRANGE(""https://docs.google.com/spreadsheets/d/1C3CXT74ZlgGe6_JY_1olB1XN4rF0dxEuIIF-xsYjHgg/edit?usp=sharing"",""พรบ!AJ84"")"),30000)</f>
        <v>30000</v>
      </c>
      <c r="AB80" s="77">
        <f ca="1">IFERROR(__xludf.DUMMYFUNCTION("IMPORTRANGE(""https://docs.google.com/spreadsheets/d/1C3CXT74ZlgGe6_JY_1olB1XN4rF0dxEuIIF-xsYjHgg/edit?usp=sharing"",""พรบ!AK84"")"),2)</f>
        <v>2</v>
      </c>
      <c r="AC80" s="77">
        <f ca="1">IFERROR(__xludf.DUMMYFUNCTION("IMPORTRANGE(""https://docs.google.com/spreadsheets/d/1IYY_tgx_IHuhSq3AJ5eI5OnqOPBNLWSHKh2a30DoXe8/edit?usp=sharing"",""นครศรีธรรมราช!J110"")"),0)</f>
        <v>0</v>
      </c>
      <c r="AD80" s="137">
        <f t="shared" ca="1" si="13"/>
        <v>0</v>
      </c>
      <c r="AE80" s="77">
        <f ca="1">IFERROR(__xludf.DUMMYFUNCTION("IMPORTRANGE(""https://docs.google.com/spreadsheets/d/1C3CXT74ZlgGe6_JY_1olB1XN4rF0dxEuIIF-xsYjHgg/edit?usp=sharing"",""พรบ!AL84"")"),2)</f>
        <v>2</v>
      </c>
      <c r="AF80" s="77">
        <f ca="1">IFERROR(__xludf.DUMMYFUNCTION("IMPORTRANGE(""https://docs.google.com/spreadsheets/d/1IYY_tgx_IHuhSq3AJ5eI5OnqOPBNLWSHKh2a30DoXe8/edit?usp=sharing"",""นครศรีธรรมราช!J111"")"),0)</f>
        <v>0</v>
      </c>
      <c r="AG80" s="137">
        <f t="shared" ca="1" si="15"/>
        <v>0</v>
      </c>
      <c r="AH80" s="77">
        <f ca="1">IFERROR(__xludf.DUMMYFUNCTION("IMPORTRANGE(""https://docs.google.com/spreadsheets/d/1C3CXT74ZlgGe6_JY_1olB1XN4rF0dxEuIIF-xsYjHgg/edit?usp=sharing"",""พรบ!AM84"")"),19500)</f>
        <v>19500</v>
      </c>
      <c r="AI80" s="77">
        <f ca="1">IFERROR(__xludf.DUMMYFUNCTION("IMPORTRANGE(""https://docs.google.com/spreadsheets/d/1C3CXT74ZlgGe6_JY_1olB1XN4rF0dxEuIIF-xsYjHgg/edit?usp=sharing"",""พรบ!AN84"")"),50000)</f>
        <v>50000</v>
      </c>
      <c r="AJ80" s="77">
        <f ca="1">IFERROR(__xludf.DUMMYFUNCTION("IMPORTRANGE(""https://docs.google.com/spreadsheets/d/1IYY_tgx_IHuhSq3AJ5eI5OnqOPBNLWSHKh2a30DoXe8/edit?usp=sharing"",""นครศรีธรรมราช!J124"")"),0)</f>
        <v>0</v>
      </c>
      <c r="AK80" s="137">
        <f t="shared" ca="1" si="17"/>
        <v>0</v>
      </c>
      <c r="AL80" s="77">
        <f ca="1">IFERROR(__xludf.DUMMYFUNCTION("IMPORTRANGE(""https://docs.google.com/spreadsheets/d/1IYY_tgx_IHuhSq3AJ5eI5OnqOPBNLWSHKh2a30DoXe8/edit?usp=sharing"",""นครศรีธรรมราช!J125"")"),0)</f>
        <v>0</v>
      </c>
      <c r="AM80" s="137">
        <f t="shared" ca="1" si="18"/>
        <v>0</v>
      </c>
      <c r="AN80" s="77">
        <f ca="1">IFERROR(__xludf.DUMMYFUNCTION("IMPORTRANGE(""https://docs.google.com/spreadsheets/d/1C3CXT74ZlgGe6_JY_1olB1XN4rF0dxEuIIF-xsYjHgg/edit?usp=sharing"",""พรบ!AQ84"")"),0)</f>
        <v>0</v>
      </c>
      <c r="AO80" s="77">
        <f ca="1">IFERROR(__xludf.DUMMYFUNCTION("IMPORTRANGE(""https://docs.google.com/spreadsheets/d/1IYY_tgx_IHuhSq3AJ5eI5OnqOPBNLWSHKh2a30DoXe8/edit?usp=sharing"",""นครศรีธรรมราช!J126"")"),0)</f>
        <v>0</v>
      </c>
      <c r="AP80" s="137">
        <f t="shared" ca="1" si="20"/>
        <v>0</v>
      </c>
      <c r="AQ80" s="77">
        <f ca="1">IFERROR(__xludf.DUMMYFUNCTION("IMPORTRANGE(""https://docs.google.com/spreadsheets/d/1C3CXT74ZlgGe6_JY_1olB1XN4rF0dxEuIIF-xsYjHgg/edit?usp=sharing"",""พรบ!AR84"")"),375500)</f>
        <v>375500</v>
      </c>
      <c r="AR80" s="77">
        <f ca="1">IFERROR(__xludf.DUMMYFUNCTION("IMPORTRANGE(""https://docs.google.com/spreadsheets/d/1C3CXT74ZlgGe6_JY_1olB1XN4rF0dxEuIIF-xsYjHgg/edit?usp=sharing"",""พรบ!AS84"")"),100)</f>
        <v>100</v>
      </c>
      <c r="AS80" s="77">
        <f ca="1">IFERROR(__xludf.DUMMYFUNCTION("IMPORTRANGE(""https://docs.google.com/spreadsheets/d/1IYY_tgx_IHuhSq3AJ5eI5OnqOPBNLWSHKh2a30DoXe8/edit?usp=sharing"",""นครศรีธรรมราช!J138"")"),72)</f>
        <v>72</v>
      </c>
      <c r="AT80" s="137">
        <f t="shared" ca="1" si="22"/>
        <v>72</v>
      </c>
      <c r="AU80" s="77">
        <f ca="1">IFERROR(__xludf.DUMMYFUNCTION("IMPORTRANGE(""https://docs.google.com/spreadsheets/d/1C3CXT74ZlgGe6_JY_1olB1XN4rF0dxEuIIF-xsYjHgg/edit?usp=sharing"",""พรบ!AT84"")"),0)</f>
        <v>0</v>
      </c>
      <c r="AV80" s="77">
        <f ca="1">IFERROR(__xludf.DUMMYFUNCTION("IMPORTRANGE(""https://docs.google.com/spreadsheets/d/1C3CXT74ZlgGe6_JY_1olB1XN4rF0dxEuIIF-xsYjHgg/edit?usp=sharing"",""พรบ!AU84"")"),6)</f>
        <v>6</v>
      </c>
      <c r="AW80" s="77">
        <f ca="1">IFERROR(__xludf.DUMMYFUNCTION("IMPORTRANGE(""https://docs.google.com/spreadsheets/d/1IYY_tgx_IHuhSq3AJ5eI5OnqOPBNLWSHKh2a30DoXe8/edit?usp=sharing"",""นครศรีธรรมราช!J140"")"),0)</f>
        <v>0</v>
      </c>
      <c r="AX80" s="137">
        <f t="shared" ca="1" si="24"/>
        <v>0</v>
      </c>
      <c r="AY80" s="77">
        <f ca="1">IFERROR(__xludf.DUMMYFUNCTION("IMPORTRANGE(""https://docs.google.com/spreadsheets/d/1IYY_tgx_IHuhSq3AJ5eI5OnqOPBNLWSHKh2a30DoXe8/edit?usp=sharing"",""นครศรีธรรมราช!J141"")"),0)</f>
        <v>0</v>
      </c>
      <c r="AZ80" s="137">
        <f t="shared" ca="1" si="25"/>
        <v>0</v>
      </c>
      <c r="BA80" s="77">
        <f t="shared" ca="1" si="26"/>
        <v>100</v>
      </c>
      <c r="BB80" s="77">
        <f t="shared" ca="1" si="111"/>
        <v>72</v>
      </c>
      <c r="BC80" s="137">
        <f t="shared" ca="1" si="27"/>
        <v>72</v>
      </c>
    </row>
    <row r="81" spans="1:55" ht="21" customHeight="1">
      <c r="A81" s="73">
        <v>5</v>
      </c>
      <c r="B81" s="74" t="s">
        <v>105</v>
      </c>
      <c r="C81" s="75">
        <f t="shared" ca="1" si="0"/>
        <v>43000</v>
      </c>
      <c r="D81" s="76">
        <f t="shared" ca="1" si="109"/>
        <v>43000</v>
      </c>
      <c r="E81" s="77">
        <f ca="1">IFERROR(__xludf.DUMMYFUNCTION("IMPORTRANGE(""https://docs.google.com/spreadsheets/d/1C3CXT74ZlgGe6_JY_1olB1XN4rF0dxEuIIF-xsYjHgg/edit?usp=sharing"",""พรบ!AD85"")"),0)</f>
        <v>0</v>
      </c>
      <c r="F81" s="77">
        <f ca="1">IFERROR(__xludf.DUMMYFUNCTION("IMPORTRANGE(""https://docs.google.com/spreadsheets/d/1C3CXT74ZlgGe6_JY_1olB1XN4rF0dxEuIIF-xsYjHgg/edit?usp=sharing"",""พรบ!AE85"")"),43000)</f>
        <v>43000</v>
      </c>
      <c r="G81" s="77">
        <f ca="1">IFERROR(__xludf.DUMMYFUNCTION("IMPORTRANGE(""https://docs.google.com/spreadsheets/d/1Yj_ptqi66GCucihVvJfMjLAmec39IyEx_6qawtMGysU/edit?usp=sharing"",""สบก!BH85"")"),0)</f>
        <v>0</v>
      </c>
      <c r="H81" s="77">
        <f ca="1">IFERROR(__xludf.DUMMYFUNCTION("IMPORTRANGE(""https://docs.google.com/spreadsheets/d/1Yj_ptqi66GCucihVvJfMjLAmec39IyEx_6qawtMGysU/edit?usp=shBJing"",""สบก!BJ85"")"),41625)</f>
        <v>41625</v>
      </c>
      <c r="I81" s="77">
        <f t="shared" ca="1" si="3"/>
        <v>38900</v>
      </c>
      <c r="J81" s="137">
        <f t="shared" ca="1" si="4"/>
        <v>90.465116279069761</v>
      </c>
      <c r="K81" s="77">
        <f ca="1">IFERROR(__xludf.DUMMYFUNCTION("IMPORTRANGE(""https://docs.google.com/spreadsheets/d/1Yj_ptqi66GCucihVvJfMjLAmec39IyEx_6qawtMGysU/edit?usp=sharing"",""สบก!BK85"")"),38900)</f>
        <v>38900</v>
      </c>
      <c r="L81" s="137">
        <f t="shared" ca="1" si="5"/>
        <v>90.465116279069761</v>
      </c>
      <c r="M81" s="137">
        <f t="shared" ca="1" si="6"/>
        <v>93.453453453453449</v>
      </c>
      <c r="N81" s="137">
        <f ca="1">IFERROR(__xludf.DUMMYFUNCTION("IMPORTRANGE(""https://docs.google.com/spreadsheets/d/1Yj_ptqi66GCucihVvJfMjLAmec39IyEx_6qawtMGysU/edit?usp=sharing"",""สบก!BL85"")"),0)</f>
        <v>0</v>
      </c>
      <c r="O81" s="137">
        <f t="shared" ca="1" si="7"/>
        <v>0</v>
      </c>
      <c r="P81" s="77">
        <f ca="1">IFERROR(__xludf.DUMMYFUNCTION("IMPORTRANGE(""https://docs.google.com/spreadsheets/d/1C3CXT74ZlgGe6_JY_1olB1XN4rF0dxEuIIF-xsYjHgg/edit?usp=sharing"",""พรบ!AF85"")"),7500)</f>
        <v>7500</v>
      </c>
      <c r="Q81" s="77">
        <f ca="1">IFERROR(__xludf.DUMMYFUNCTION("IMPORTRANGE(""https://docs.google.com/spreadsheets/d/1C3CXT74ZlgGe6_JY_1olB1XN4rF0dxEuIIF-xsYjHgg/edit?usp=sharing"",""พรบ!AG85"")"),4)</f>
        <v>4</v>
      </c>
      <c r="R81" s="77">
        <f ca="1">IFERROR(__xludf.DUMMYFUNCTION("IMPORTRANGE(""https://docs.google.com/spreadsheets/d/1IYY_tgx_IHuhSq3AJ5eI5OnqOPBNLWSHKh2a30DoXe8/edit?usp=sharing"",""นราธิวาส!J83"")"),2)</f>
        <v>2</v>
      </c>
      <c r="S81" s="137">
        <f t="shared" ca="1" si="9"/>
        <v>50</v>
      </c>
      <c r="T81" s="77">
        <f t="shared" ca="1" si="110"/>
        <v>91</v>
      </c>
      <c r="U81" s="77">
        <f ca="1">IFERROR(__xludf.DUMMYFUNCTION("IMPORTRANGE(""https://docs.google.com/spreadsheets/d/1IYY_tgx_IHuhSq3AJ5eI5OnqOPBNLWSHKh2a30DoXe8/edit?usp=sharing"",""นราธิวาส!J85"")"),91)</f>
        <v>91</v>
      </c>
      <c r="V81" s="77">
        <f ca="1">IFERROR(__xludf.DUMMYFUNCTION("IMPORTRANGE(""https://docs.google.com/spreadsheets/d/1IYY_tgx_IHuhSq3AJ5eI5OnqOPBNLWSHKh2a30DoXe8/edit?usp=sharing"",""นราธิวาส!J86"")"),0)</f>
        <v>0</v>
      </c>
      <c r="W81" s="77">
        <f ca="1">IFERROR(__xludf.DUMMYFUNCTION("IMPORTRANGE(""https://docs.google.com/spreadsheets/d/1C3CXT74ZlgGe6_JY_1olB1XN4rF0dxEuIIF-xsYjHgg/edit?usp=sharing"",""พรบ!AH85"")"),28000)</f>
        <v>28000</v>
      </c>
      <c r="X81" s="77">
        <f ca="1">IFERROR(__xludf.DUMMYFUNCTION("IMPORTRANGE(""https://docs.google.com/spreadsheets/d/1C3CXT74ZlgGe6_JY_1olB1XN4rF0dxEuIIF-xsYjHgg/edit?usp=sharing"",""พรบ!AI85"")"),2)</f>
        <v>2</v>
      </c>
      <c r="Y81" s="77">
        <f ca="1">IFERROR(__xludf.DUMMYFUNCTION("IMPORTRANGE(""https://docs.google.com/spreadsheets/d/1IYY_tgx_IHuhSq3AJ5eI5OnqOPBNLWSHKh2a30DoXe8/edit?usp=sharing"",""นราธิวาส!J98"")"),2)</f>
        <v>2</v>
      </c>
      <c r="Z81" s="137">
        <f t="shared" ca="1" si="11"/>
        <v>100</v>
      </c>
      <c r="AA81" s="77">
        <f ca="1">IFERROR(__xludf.DUMMYFUNCTION("IMPORTRANGE(""https://docs.google.com/spreadsheets/d/1C3CXT74ZlgGe6_JY_1olB1XN4rF0dxEuIIF-xsYjHgg/edit?usp=sharing"",""พรบ!AJ85"")"),0)</f>
        <v>0</v>
      </c>
      <c r="AB81" s="77">
        <f ca="1">IFERROR(__xludf.DUMMYFUNCTION("IMPORTRANGE(""https://docs.google.com/spreadsheets/d/1C3CXT74ZlgGe6_JY_1olB1XN4rF0dxEuIIF-xsYjHgg/edit?usp=sharing"",""พรบ!AK85"")"),0)</f>
        <v>0</v>
      </c>
      <c r="AC81" s="77">
        <f ca="1">IFERROR(__xludf.DUMMYFUNCTION("IMPORTRANGE(""https://docs.google.com/spreadsheets/d/1IYY_tgx_IHuhSq3AJ5eI5OnqOPBNLWSHKh2a30DoXe8/edit?usp=sharing"",""นราธิวาส!J110"")"),0)</f>
        <v>0</v>
      </c>
      <c r="AD81" s="137">
        <f t="shared" ca="1" si="13"/>
        <v>0</v>
      </c>
      <c r="AE81" s="77">
        <f ca="1">IFERROR(__xludf.DUMMYFUNCTION("IMPORTRANGE(""https://docs.google.com/spreadsheets/d/1C3CXT74ZlgGe6_JY_1olB1XN4rF0dxEuIIF-xsYjHgg/edit?usp=sharing"",""พรบ!AL85"")"),0)</f>
        <v>0</v>
      </c>
      <c r="AF81" s="77">
        <f ca="1">IFERROR(__xludf.DUMMYFUNCTION("IMPORTRANGE(""https://docs.google.com/spreadsheets/d/1IYY_tgx_IHuhSq3AJ5eI5OnqOPBNLWSHKh2a30DoXe8/edit?usp=sharing"",""นราธิวาส!J111"")"),0)</f>
        <v>0</v>
      </c>
      <c r="AG81" s="137">
        <f t="shared" ca="1" si="15"/>
        <v>0</v>
      </c>
      <c r="AH81" s="77">
        <f ca="1">IFERROR(__xludf.DUMMYFUNCTION("IMPORTRANGE(""https://docs.google.com/spreadsheets/d/1C3CXT74ZlgGe6_JY_1olB1XN4rF0dxEuIIF-xsYjHgg/edit?usp=sharing"",""พรบ!AM85"")"),7500)</f>
        <v>7500</v>
      </c>
      <c r="AI81" s="77">
        <f ca="1">IFERROR(__xludf.DUMMYFUNCTION("IMPORTRANGE(""https://docs.google.com/spreadsheets/d/1C3CXT74ZlgGe6_JY_1olB1XN4rF0dxEuIIF-xsYjHgg/edit?usp=sharing"",""พรบ!AN85"")"),10000)</f>
        <v>10000</v>
      </c>
      <c r="AJ81" s="77">
        <f ca="1">IFERROR(__xludf.DUMMYFUNCTION("IMPORTRANGE(""https://docs.google.com/spreadsheets/d/1IYY_tgx_IHuhSq3AJ5eI5OnqOPBNLWSHKh2a30DoXe8/edit?usp=sharing"",""นราธิวาส!J124"")"),0)</f>
        <v>0</v>
      </c>
      <c r="AK81" s="137">
        <f t="shared" ca="1" si="17"/>
        <v>0</v>
      </c>
      <c r="AL81" s="77">
        <f ca="1">IFERROR(__xludf.DUMMYFUNCTION("IMPORTRANGE(""https://docs.google.com/spreadsheets/d/1IYY_tgx_IHuhSq3AJ5eI5OnqOPBNLWSHKh2a30DoXe8/edit?usp=sharing"",""นราธิวาส!J125"")"),0)</f>
        <v>0</v>
      </c>
      <c r="AM81" s="137">
        <f t="shared" ca="1" si="18"/>
        <v>0</v>
      </c>
      <c r="AN81" s="77">
        <f ca="1">IFERROR(__xludf.DUMMYFUNCTION("IMPORTRANGE(""https://docs.google.com/spreadsheets/d/1C3CXT74ZlgGe6_JY_1olB1XN4rF0dxEuIIF-xsYjHgg/edit?usp=sharing"",""พรบ!AQ85"")"),0)</f>
        <v>0</v>
      </c>
      <c r="AO81" s="77">
        <f ca="1">IFERROR(__xludf.DUMMYFUNCTION("IMPORTRANGE(""https://docs.google.com/spreadsheets/d/1IYY_tgx_IHuhSq3AJ5eI5OnqOPBNLWSHKh2a30DoXe8/edit?usp=sharing"",""นราธิวาส!J126"")"),0)</f>
        <v>0</v>
      </c>
      <c r="AP81" s="137">
        <f t="shared" ca="1" si="20"/>
        <v>0</v>
      </c>
      <c r="AQ81" s="149">
        <f ca="1">IFERROR(__xludf.DUMMYFUNCTION("IMPORTRANGE(""https://docs.google.com/spreadsheets/d/1C3CXT74ZlgGe6_JY_1olB1XN4rF0dxEuIIF-xsYjHgg/edit?usp=sharing"",""พรบ!AR85"")"),0)</f>
        <v>0</v>
      </c>
      <c r="AR81" s="77">
        <f ca="1">IFERROR(__xludf.DUMMYFUNCTION("IMPORTRANGE(""https://docs.google.com/spreadsheets/d/1C3CXT74ZlgGe6_JY_1olB1XN4rF0dxEuIIF-xsYjHgg/edit?usp=sharing"",""พรบ!AS85"")"),0)</f>
        <v>0</v>
      </c>
      <c r="AS81" s="77">
        <f ca="1">IFERROR(__xludf.DUMMYFUNCTION("IMPORTRANGE(""https://docs.google.com/spreadsheets/d/1IYY_tgx_IHuhSq3AJ5eI5OnqOPBNLWSHKh2a30DoXe8/edit?usp=sharing"",""นราธิวาส!J138"")"),0)</f>
        <v>0</v>
      </c>
      <c r="AT81" s="137">
        <f t="shared" ca="1" si="22"/>
        <v>0</v>
      </c>
      <c r="AU81" s="77">
        <f ca="1">IFERROR(__xludf.DUMMYFUNCTION("IMPORTRANGE(""https://docs.google.com/spreadsheets/d/1C3CXT74ZlgGe6_JY_1olB1XN4rF0dxEuIIF-xsYjHgg/edit?usp=sharing"",""พรบ!AT85"")"),0)</f>
        <v>0</v>
      </c>
      <c r="AV81" s="77">
        <f ca="1">IFERROR(__xludf.DUMMYFUNCTION("IMPORTRANGE(""https://docs.google.com/spreadsheets/d/1C3CXT74ZlgGe6_JY_1olB1XN4rF0dxEuIIF-xsYjHgg/edit?usp=sharing"",""พรบ!AU85"")"),0)</f>
        <v>0</v>
      </c>
      <c r="AW81" s="77">
        <f ca="1">IFERROR(__xludf.DUMMYFUNCTION("IMPORTRANGE(""https://docs.google.com/spreadsheets/d/1IYY_tgx_IHuhSq3AJ5eI5OnqOPBNLWSHKh2a30DoXe8/edit?usp=sharing"",""นราธิวาส!J140"")"),0)</f>
        <v>0</v>
      </c>
      <c r="AX81" s="137">
        <f t="shared" ca="1" si="24"/>
        <v>0</v>
      </c>
      <c r="AY81" s="77">
        <f ca="1">IFERROR(__xludf.DUMMYFUNCTION("IMPORTRANGE(""https://docs.google.com/spreadsheets/d/1IYY_tgx_IHuhSq3AJ5eI5OnqOPBNLWSHKh2a30DoXe8/edit?usp=sharing"",""นราธิวาส!J141"")"),0)</f>
        <v>0</v>
      </c>
      <c r="AZ81" s="137">
        <f t="shared" ca="1" si="25"/>
        <v>0</v>
      </c>
      <c r="BA81" s="77">
        <f t="shared" ca="1" si="26"/>
        <v>0</v>
      </c>
      <c r="BB81" s="77">
        <f t="shared" ca="1" si="111"/>
        <v>0</v>
      </c>
      <c r="BC81" s="137">
        <f t="shared" ca="1" si="27"/>
        <v>0</v>
      </c>
    </row>
    <row r="82" spans="1:55" ht="21" customHeight="1">
      <c r="A82" s="73">
        <v>6</v>
      </c>
      <c r="B82" s="74" t="s">
        <v>106</v>
      </c>
      <c r="C82" s="75">
        <f t="shared" ca="1" si="0"/>
        <v>376600</v>
      </c>
      <c r="D82" s="76">
        <f t="shared" ca="1" si="109"/>
        <v>376600</v>
      </c>
      <c r="E82" s="77">
        <f ca="1">IFERROR(__xludf.DUMMYFUNCTION("IMPORTRANGE(""https://docs.google.com/spreadsheets/d/1C3CXT74ZlgGe6_JY_1olB1XN4rF0dxEuIIF-xsYjHgg/edit?usp=sharing"",""พรบ!AD86"")"),318000)</f>
        <v>318000</v>
      </c>
      <c r="F82" s="77">
        <f ca="1">IFERROR(__xludf.DUMMYFUNCTION("IMPORTRANGE(""https://docs.google.com/spreadsheets/d/1C3CXT74ZlgGe6_JY_1olB1XN4rF0dxEuIIF-xsYjHgg/edit?usp=sharing"",""พรบ!AE86"")"),58600)</f>
        <v>58600</v>
      </c>
      <c r="G82" s="77">
        <f ca="1">IFERROR(__xludf.DUMMYFUNCTION("IMPORTRANGE(""https://docs.google.com/spreadsheets/d/1Yj_ptqi66GCucihVvJfMjLAmec39IyEx_6qawtMGysU/edit?usp=sharing"",""สบก!BH86"")"),0)</f>
        <v>0</v>
      </c>
      <c r="H82" s="77">
        <f ca="1">IFERROR(__xludf.DUMMYFUNCTION("IMPORTRANGE(""https://docs.google.com/spreadsheets/d/1Yj_ptqi66GCucihVvJfMjLAmec39IyEx_6qawtMGysU/edit?usp=shBJing"",""สบก!BJ86"")"),295125)</f>
        <v>295125</v>
      </c>
      <c r="I82" s="77">
        <f t="shared" ca="1" si="3"/>
        <v>260594.41</v>
      </c>
      <c r="J82" s="137">
        <f t="shared" ca="1" si="4"/>
        <v>69.196603823685606</v>
      </c>
      <c r="K82" s="77">
        <f ca="1">IFERROR(__xludf.DUMMYFUNCTION("IMPORTRANGE(""https://docs.google.com/spreadsheets/d/1Yj_ptqi66GCucihVvJfMjLAmec39IyEx_6qawtMGysU/edit?usp=sharing"",""สบก!BK86"")"),260594.41)</f>
        <v>260594.41</v>
      </c>
      <c r="L82" s="137">
        <f t="shared" ca="1" si="5"/>
        <v>69.196603823685606</v>
      </c>
      <c r="M82" s="137">
        <f t="shared" ca="1" si="6"/>
        <v>88.29967301990682</v>
      </c>
      <c r="N82" s="137">
        <f ca="1">IFERROR(__xludf.DUMMYFUNCTION("IMPORTRANGE(""https://docs.google.com/spreadsheets/d/1Yj_ptqi66GCucihVvJfMjLAmec39IyEx_6qawtMGysU/edit?usp=sharing"",""สบก!BL86"")"),0)</f>
        <v>0</v>
      </c>
      <c r="O82" s="137">
        <f t="shared" ca="1" si="7"/>
        <v>0</v>
      </c>
      <c r="P82" s="77">
        <f ca="1">IFERROR(__xludf.DUMMYFUNCTION("IMPORTRANGE(""https://docs.google.com/spreadsheets/d/1C3CXT74ZlgGe6_JY_1olB1XN4rF0dxEuIIF-xsYjHgg/edit?usp=sharing"",""พรบ!AF86"")"),7500)</f>
        <v>7500</v>
      </c>
      <c r="Q82" s="77">
        <f ca="1">IFERROR(__xludf.DUMMYFUNCTION("IMPORTRANGE(""https://docs.google.com/spreadsheets/d/1C3CXT74ZlgGe6_JY_1olB1XN4rF0dxEuIIF-xsYjHgg/edit?usp=sharing"",""พรบ!AG86"")"),4)</f>
        <v>4</v>
      </c>
      <c r="R82" s="77">
        <f ca="1">IFERROR(__xludf.DUMMYFUNCTION("IMPORTRANGE(""https://docs.google.com/spreadsheets/d/1IYY_tgx_IHuhSq3AJ5eI5OnqOPBNLWSHKh2a30DoXe8/edit?usp=sharing"",""ปัตตานี!J83"")"),1)</f>
        <v>1</v>
      </c>
      <c r="S82" s="137">
        <f t="shared" ca="1" si="9"/>
        <v>25</v>
      </c>
      <c r="T82" s="77">
        <f t="shared" ca="1" si="110"/>
        <v>55</v>
      </c>
      <c r="U82" s="77">
        <f ca="1">IFERROR(__xludf.DUMMYFUNCTION("IMPORTRANGE(""https://docs.google.com/spreadsheets/d/1IYY_tgx_IHuhSq3AJ5eI5OnqOPBNLWSHKh2a30DoXe8/edit?usp=sharing"",""ปัตตานี!J85"")"),55)</f>
        <v>55</v>
      </c>
      <c r="V82" s="77">
        <f ca="1">IFERROR(__xludf.DUMMYFUNCTION("IMPORTRANGE(""https://docs.google.com/spreadsheets/d/1IYY_tgx_IHuhSq3AJ5eI5OnqOPBNLWSHKh2a30DoXe8/edit?usp=sharing"",""ปัตตานี!J86"")"),0)</f>
        <v>0</v>
      </c>
      <c r="W82" s="77">
        <f ca="1">IFERROR(__xludf.DUMMYFUNCTION("IMPORTRANGE(""https://docs.google.com/spreadsheets/d/1C3CXT74ZlgGe6_JY_1olB1XN4rF0dxEuIIF-xsYjHgg/edit?usp=sharing"",""พรบ!AH86"")"),28000)</f>
        <v>28000</v>
      </c>
      <c r="X82" s="77">
        <f ca="1">IFERROR(__xludf.DUMMYFUNCTION("IMPORTRANGE(""https://docs.google.com/spreadsheets/d/1C3CXT74ZlgGe6_JY_1olB1XN4rF0dxEuIIF-xsYjHgg/edit?usp=sharing"",""พรบ!AI86"")"),2)</f>
        <v>2</v>
      </c>
      <c r="Y82" s="77">
        <f ca="1">IFERROR(__xludf.DUMMYFUNCTION("IMPORTRANGE(""https://docs.google.com/spreadsheets/d/1IYY_tgx_IHuhSq3AJ5eI5OnqOPBNLWSHKh2a30DoXe8/edit?usp=sharing"",""ปัตตานี!J98"")"),2)</f>
        <v>2</v>
      </c>
      <c r="Z82" s="137">
        <f t="shared" ca="1" si="11"/>
        <v>100</v>
      </c>
      <c r="AA82" s="77">
        <f ca="1">IFERROR(__xludf.DUMMYFUNCTION("IMPORTRANGE(""https://docs.google.com/spreadsheets/d/1C3CXT74ZlgGe6_JY_1olB1XN4rF0dxEuIIF-xsYjHgg/edit?usp=sharing"",""พรบ!AJ86"")"),0)</f>
        <v>0</v>
      </c>
      <c r="AB82" s="77">
        <f ca="1">IFERROR(__xludf.DUMMYFUNCTION("IMPORTRANGE(""https://docs.google.com/spreadsheets/d/1C3CXT74ZlgGe6_JY_1olB1XN4rF0dxEuIIF-xsYjHgg/edit?usp=sharing"",""พรบ!AK86"")"),0)</f>
        <v>0</v>
      </c>
      <c r="AC82" s="77">
        <f ca="1">IFERROR(__xludf.DUMMYFUNCTION("IMPORTRANGE(""https://docs.google.com/spreadsheets/d/1IYY_tgx_IHuhSq3AJ5eI5OnqOPBNLWSHKh2a30DoXe8/edit?usp=sharing"",""ปัตตานี!J110"")"),0)</f>
        <v>0</v>
      </c>
      <c r="AD82" s="137">
        <f t="shared" ca="1" si="13"/>
        <v>0</v>
      </c>
      <c r="AE82" s="77">
        <f ca="1">IFERROR(__xludf.DUMMYFUNCTION("IMPORTRANGE(""https://docs.google.com/spreadsheets/d/1C3CXT74ZlgGe6_JY_1olB1XN4rF0dxEuIIF-xsYjHgg/edit?usp=sharing"",""พรบ!AL86"")"),0)</f>
        <v>0</v>
      </c>
      <c r="AF82" s="77">
        <f ca="1">IFERROR(__xludf.DUMMYFUNCTION("IMPORTRANGE(""https://docs.google.com/spreadsheets/d/1IYY_tgx_IHuhSq3AJ5eI5OnqOPBNLWSHKh2a30DoXe8/edit?usp=sharing"",""ปัตตานี!J111"")"),0)</f>
        <v>0</v>
      </c>
      <c r="AG82" s="137">
        <f t="shared" ca="1" si="15"/>
        <v>0</v>
      </c>
      <c r="AH82" s="77">
        <f ca="1">IFERROR(__xludf.DUMMYFUNCTION("IMPORTRANGE(""https://docs.google.com/spreadsheets/d/1C3CXT74ZlgGe6_JY_1olB1XN4rF0dxEuIIF-xsYjHgg/edit?usp=sharing"",""พรบ!AM86"")"),23100)</f>
        <v>23100</v>
      </c>
      <c r="AI82" s="77">
        <f ca="1">IFERROR(__xludf.DUMMYFUNCTION("IMPORTRANGE(""https://docs.google.com/spreadsheets/d/1C3CXT74ZlgGe6_JY_1olB1XN4rF0dxEuIIF-xsYjHgg/edit?usp=sharing"",""พรบ!AN86"")"),12800)</f>
        <v>12800</v>
      </c>
      <c r="AJ82" s="77">
        <f ca="1">IFERROR(__xludf.DUMMYFUNCTION("IMPORTRANGE(""https://docs.google.com/spreadsheets/d/1IYY_tgx_IHuhSq3AJ5eI5OnqOPBNLWSHKh2a30DoXe8/edit?usp=sharing"",""ปัตตานี!J124"")"),0)</f>
        <v>0</v>
      </c>
      <c r="AK82" s="137">
        <f t="shared" ca="1" si="17"/>
        <v>0</v>
      </c>
      <c r="AL82" s="77">
        <f ca="1">IFERROR(__xludf.DUMMYFUNCTION("IMPORTRANGE(""https://docs.google.com/spreadsheets/d/1IYY_tgx_IHuhSq3AJ5eI5OnqOPBNLWSHKh2a30DoXe8/edit?usp=sharing"",""ปัตตานี!J125"")"),0)</f>
        <v>0</v>
      </c>
      <c r="AM82" s="137">
        <f t="shared" ca="1" si="18"/>
        <v>0</v>
      </c>
      <c r="AN82" s="77">
        <f ca="1">IFERROR(__xludf.DUMMYFUNCTION("IMPORTRANGE(""https://docs.google.com/spreadsheets/d/1C3CXT74ZlgGe6_JY_1olB1XN4rF0dxEuIIF-xsYjHgg/edit?usp=sharing"",""พรบ!AQ86"")"),15)</f>
        <v>15</v>
      </c>
      <c r="AO82" s="77">
        <f ca="1">IFERROR(__xludf.DUMMYFUNCTION("IMPORTRANGE(""https://docs.google.com/spreadsheets/d/1IYY_tgx_IHuhSq3AJ5eI5OnqOPBNLWSHKh2a30DoXe8/edit?usp=sharing"",""ปัตตานี!J126"")"),15)</f>
        <v>15</v>
      </c>
      <c r="AP82" s="137">
        <f t="shared" ca="1" si="20"/>
        <v>100</v>
      </c>
      <c r="AQ82" s="149">
        <f ca="1">IFERROR(__xludf.DUMMYFUNCTION("IMPORTRANGE(""https://docs.google.com/spreadsheets/d/1C3CXT74ZlgGe6_JY_1olB1XN4rF0dxEuIIF-xsYjHgg/edit?usp=sharing"",""พรบ!AR86"")"),0)</f>
        <v>0</v>
      </c>
      <c r="AR82" s="77">
        <f ca="1">IFERROR(__xludf.DUMMYFUNCTION("IMPORTRANGE(""https://docs.google.com/spreadsheets/d/1C3CXT74ZlgGe6_JY_1olB1XN4rF0dxEuIIF-xsYjHgg/edit?usp=sharing"",""พรบ!AS86"")"),0)</f>
        <v>0</v>
      </c>
      <c r="AS82" s="77">
        <f ca="1">IFERROR(__xludf.DUMMYFUNCTION("IMPORTRANGE(""https://docs.google.com/spreadsheets/d/1IYY_tgx_IHuhSq3AJ5eI5OnqOPBNLWSHKh2a30DoXe8/edit?usp=sharing"",""ปัตตานี!J138"")"),0)</f>
        <v>0</v>
      </c>
      <c r="AT82" s="137">
        <f t="shared" ca="1" si="22"/>
        <v>0</v>
      </c>
      <c r="AU82" s="77">
        <f ca="1">IFERROR(__xludf.DUMMYFUNCTION("IMPORTRANGE(""https://docs.google.com/spreadsheets/d/1C3CXT74ZlgGe6_JY_1olB1XN4rF0dxEuIIF-xsYjHgg/edit?usp=sharing"",""พรบ!AT86"")"),0)</f>
        <v>0</v>
      </c>
      <c r="AV82" s="77">
        <f ca="1">IFERROR(__xludf.DUMMYFUNCTION("IMPORTRANGE(""https://docs.google.com/spreadsheets/d/1C3CXT74ZlgGe6_JY_1olB1XN4rF0dxEuIIF-xsYjHgg/edit?usp=sharing"",""พรบ!AU86"")"),0)</f>
        <v>0</v>
      </c>
      <c r="AW82" s="77">
        <f ca="1">IFERROR(__xludf.DUMMYFUNCTION("IMPORTRANGE(""https://docs.google.com/spreadsheets/d/1IYY_tgx_IHuhSq3AJ5eI5OnqOPBNLWSHKh2a30DoXe8/edit?usp=sharing"",""ปัตตานี!J140"")"),0)</f>
        <v>0</v>
      </c>
      <c r="AX82" s="137">
        <f t="shared" ca="1" si="24"/>
        <v>0</v>
      </c>
      <c r="AY82" s="77">
        <f ca="1">IFERROR(__xludf.DUMMYFUNCTION("IMPORTRANGE(""https://docs.google.com/spreadsheets/d/1IYY_tgx_IHuhSq3AJ5eI5OnqOPBNLWSHKh2a30DoXe8/edit?usp=sharing"",""ปัตตานี!J141"")"),0)</f>
        <v>0</v>
      </c>
      <c r="AZ82" s="137">
        <f t="shared" ca="1" si="25"/>
        <v>0</v>
      </c>
      <c r="BA82" s="77">
        <f t="shared" ca="1" si="26"/>
        <v>15</v>
      </c>
      <c r="BB82" s="77">
        <f t="shared" ca="1" si="111"/>
        <v>15</v>
      </c>
      <c r="BC82" s="137">
        <f t="shared" ca="1" si="27"/>
        <v>100</v>
      </c>
    </row>
    <row r="83" spans="1:55" ht="21" customHeight="1">
      <c r="A83" s="73">
        <v>7</v>
      </c>
      <c r="B83" s="74" t="s">
        <v>107</v>
      </c>
      <c r="C83" s="75">
        <f t="shared" ca="1" si="0"/>
        <v>72500</v>
      </c>
      <c r="D83" s="76">
        <f t="shared" ca="1" si="109"/>
        <v>72500</v>
      </c>
      <c r="E83" s="77">
        <f ca="1">IFERROR(__xludf.DUMMYFUNCTION("IMPORTRANGE(""https://docs.google.com/spreadsheets/d/1C3CXT74ZlgGe6_JY_1olB1XN4rF0dxEuIIF-xsYjHgg/edit?usp=sharing"",""พรบ!AD87"")"),0)</f>
        <v>0</v>
      </c>
      <c r="F83" s="77">
        <f ca="1">IFERROR(__xludf.DUMMYFUNCTION("IMPORTRANGE(""https://docs.google.com/spreadsheets/d/1C3CXT74ZlgGe6_JY_1olB1XN4rF0dxEuIIF-xsYjHgg/edit?usp=sharing"",""พรบ!AE87"")"),72500)</f>
        <v>72500</v>
      </c>
      <c r="G83" s="77">
        <f ca="1">IFERROR(__xludf.DUMMYFUNCTION("IMPORTRANGE(""https://docs.google.com/spreadsheets/d/1Yj_ptqi66GCucihVvJfMjLAmec39IyEx_6qawtMGysU/edit?usp=sharing"",""สบก!BH87"")"),0)</f>
        <v>0</v>
      </c>
      <c r="H83" s="77">
        <f ca="1">IFERROR(__xludf.DUMMYFUNCTION("IMPORTRANGE(""https://docs.google.com/spreadsheets/d/1Yj_ptqi66GCucihVvJfMjLAmec39IyEx_6qawtMGysU/edit?usp=shBJing"",""สบก!BJ87"")"),67078)</f>
        <v>67078</v>
      </c>
      <c r="I83" s="77">
        <f t="shared" ca="1" si="3"/>
        <v>36213</v>
      </c>
      <c r="J83" s="137">
        <f t="shared" ca="1" si="4"/>
        <v>49.948965517241376</v>
      </c>
      <c r="K83" s="77">
        <f ca="1">IFERROR(__xludf.DUMMYFUNCTION("IMPORTRANGE(""https://docs.google.com/spreadsheets/d/1Yj_ptqi66GCucihVvJfMjLAmec39IyEx_6qawtMGysU/edit?usp=sharing"",""สบก!BK87"")"),36213)</f>
        <v>36213</v>
      </c>
      <c r="L83" s="137">
        <f t="shared" ca="1" si="5"/>
        <v>49.948965517241376</v>
      </c>
      <c r="M83" s="137">
        <f t="shared" ca="1" si="6"/>
        <v>53.986403888010969</v>
      </c>
      <c r="N83" s="137">
        <f ca="1">IFERROR(__xludf.DUMMYFUNCTION("IMPORTRANGE(""https://docs.google.com/spreadsheets/d/1Yj_ptqi66GCucihVvJfMjLAmec39IyEx_6qawtMGysU/edit?usp=sharing"",""สบก!BL87"")"),0)</f>
        <v>0</v>
      </c>
      <c r="O83" s="137">
        <f t="shared" ca="1" si="7"/>
        <v>0</v>
      </c>
      <c r="P83" s="77">
        <f ca="1">IFERROR(__xludf.DUMMYFUNCTION("IMPORTRANGE(""https://docs.google.com/spreadsheets/d/1C3CXT74ZlgGe6_JY_1olB1XN4rF0dxEuIIF-xsYjHgg/edit?usp=sharing"",""พรบ!AF87"")"),7500)</f>
        <v>7500</v>
      </c>
      <c r="Q83" s="77">
        <f ca="1">IFERROR(__xludf.DUMMYFUNCTION("IMPORTRANGE(""https://docs.google.com/spreadsheets/d/1C3CXT74ZlgGe6_JY_1olB1XN4rF0dxEuIIF-xsYjHgg/edit?usp=sharing"",""พรบ!AG87"")"),4)</f>
        <v>4</v>
      </c>
      <c r="R83" s="77">
        <f ca="1">IFERROR(__xludf.DUMMYFUNCTION("IMPORTRANGE(""https://docs.google.com/spreadsheets/d/1IYY_tgx_IHuhSq3AJ5eI5OnqOPBNLWSHKh2a30DoXe8/edit?usp=sharing"",""พังงา!J83"")"),2)</f>
        <v>2</v>
      </c>
      <c r="S83" s="137">
        <f t="shared" ca="1" si="9"/>
        <v>50</v>
      </c>
      <c r="T83" s="77">
        <f t="shared" ca="1" si="110"/>
        <v>89</v>
      </c>
      <c r="U83" s="77">
        <f ca="1">IFERROR(__xludf.DUMMYFUNCTION("IMPORTRANGE(""https://docs.google.com/spreadsheets/d/1IYY_tgx_IHuhSq3AJ5eI5OnqOPBNLWSHKh2a30DoXe8/edit?usp=sharing"",""พังงา!J85"")"),89)</f>
        <v>89</v>
      </c>
      <c r="V83" s="77">
        <f ca="1">IFERROR(__xludf.DUMMYFUNCTION("IMPORTRANGE(""https://docs.google.com/spreadsheets/d/1IYY_tgx_IHuhSq3AJ5eI5OnqOPBNLWSHKh2a30DoXe8/edit?usp=sharing"",""พังงา!J86"")"),0)</f>
        <v>0</v>
      </c>
      <c r="W83" s="77">
        <f ca="1">IFERROR(__xludf.DUMMYFUNCTION("IMPORTRANGE(""https://docs.google.com/spreadsheets/d/1C3CXT74ZlgGe6_JY_1olB1XN4rF0dxEuIIF-xsYjHgg/edit?usp=sharing"",""พรบ!AH87"")"),56000)</f>
        <v>56000</v>
      </c>
      <c r="X83" s="77">
        <f ca="1">IFERROR(__xludf.DUMMYFUNCTION("IMPORTRANGE(""https://docs.google.com/spreadsheets/d/1C3CXT74ZlgGe6_JY_1olB1XN4rF0dxEuIIF-xsYjHgg/edit?usp=sharing"",""พรบ!AI87"")"),4)</f>
        <v>4</v>
      </c>
      <c r="Y83" s="77">
        <f ca="1">IFERROR(__xludf.DUMMYFUNCTION("IMPORTRANGE(""https://docs.google.com/spreadsheets/d/1IYY_tgx_IHuhSq3AJ5eI5OnqOPBNLWSHKh2a30DoXe8/edit?usp=sharing"",""พังงา!J98"")"),3)</f>
        <v>3</v>
      </c>
      <c r="Z83" s="137">
        <f t="shared" ca="1" si="11"/>
        <v>75</v>
      </c>
      <c r="AA83" s="77">
        <f ca="1">IFERROR(__xludf.DUMMYFUNCTION("IMPORTRANGE(""https://docs.google.com/spreadsheets/d/1C3CXT74ZlgGe6_JY_1olB1XN4rF0dxEuIIF-xsYjHgg/edit?usp=sharing"",""พรบ!AJ87"")"),0)</f>
        <v>0</v>
      </c>
      <c r="AB83" s="77">
        <f ca="1">IFERROR(__xludf.DUMMYFUNCTION("IMPORTRANGE(""https://docs.google.com/spreadsheets/d/1C3CXT74ZlgGe6_JY_1olB1XN4rF0dxEuIIF-xsYjHgg/edit?usp=sharing"",""พรบ!AK87"")"),0)</f>
        <v>0</v>
      </c>
      <c r="AC83" s="77">
        <f ca="1">IFERROR(__xludf.DUMMYFUNCTION("IMPORTRANGE(""https://docs.google.com/spreadsheets/d/1IYY_tgx_IHuhSq3AJ5eI5OnqOPBNLWSHKh2a30DoXe8/edit?usp=sharing"",""พังงา!J110"")"),0)</f>
        <v>0</v>
      </c>
      <c r="AD83" s="137">
        <f t="shared" ca="1" si="13"/>
        <v>0</v>
      </c>
      <c r="AE83" s="77">
        <f ca="1">IFERROR(__xludf.DUMMYFUNCTION("IMPORTRANGE(""https://docs.google.com/spreadsheets/d/1C3CXT74ZlgGe6_JY_1olB1XN4rF0dxEuIIF-xsYjHgg/edit?usp=sharing"",""พรบ!AL87"")"),0)</f>
        <v>0</v>
      </c>
      <c r="AF83" s="77">
        <f ca="1">IFERROR(__xludf.DUMMYFUNCTION("IMPORTRANGE(""https://docs.google.com/spreadsheets/d/1IYY_tgx_IHuhSq3AJ5eI5OnqOPBNLWSHKh2a30DoXe8/edit?usp=sharing"",""พังงา!J111"")"),0)</f>
        <v>0</v>
      </c>
      <c r="AG83" s="137">
        <f t="shared" ca="1" si="15"/>
        <v>0</v>
      </c>
      <c r="AH83" s="77">
        <f ca="1">IFERROR(__xludf.DUMMYFUNCTION("IMPORTRANGE(""https://docs.google.com/spreadsheets/d/1C3CXT74ZlgGe6_JY_1olB1XN4rF0dxEuIIF-xsYjHgg/edit?usp=sharing"",""พรบ!AM87"")"),9000)</f>
        <v>9000</v>
      </c>
      <c r="AI83" s="77">
        <f ca="1">IFERROR(__xludf.DUMMYFUNCTION("IMPORTRANGE(""https://docs.google.com/spreadsheets/d/1C3CXT74ZlgGe6_JY_1olB1XN4rF0dxEuIIF-xsYjHgg/edit?usp=sharing"",""พรบ!AN87"")"),20000)</f>
        <v>20000</v>
      </c>
      <c r="AJ83" s="77">
        <f ca="1">IFERROR(__xludf.DUMMYFUNCTION("IMPORTRANGE(""https://docs.google.com/spreadsheets/d/1IYY_tgx_IHuhSq3AJ5eI5OnqOPBNLWSHKh2a30DoXe8/edit?usp=sharing"",""พังงา!J124"")"),0)</f>
        <v>0</v>
      </c>
      <c r="AK83" s="137">
        <f t="shared" ca="1" si="17"/>
        <v>0</v>
      </c>
      <c r="AL83" s="77">
        <f ca="1">IFERROR(__xludf.DUMMYFUNCTION("IMPORTRANGE(""https://docs.google.com/spreadsheets/d/1IYY_tgx_IHuhSq3AJ5eI5OnqOPBNLWSHKh2a30DoXe8/edit?usp=sharing"",""พังงา!J125"")"),0)</f>
        <v>0</v>
      </c>
      <c r="AM83" s="137">
        <f t="shared" ca="1" si="18"/>
        <v>0</v>
      </c>
      <c r="AN83" s="77">
        <f ca="1">IFERROR(__xludf.DUMMYFUNCTION("IMPORTRANGE(""https://docs.google.com/spreadsheets/d/1C3CXT74ZlgGe6_JY_1olB1XN4rF0dxEuIIF-xsYjHgg/edit?usp=sharing"",""พรบ!AQ87"")"),0)</f>
        <v>0</v>
      </c>
      <c r="AO83" s="77">
        <f ca="1">IFERROR(__xludf.DUMMYFUNCTION("IMPORTRANGE(""https://docs.google.com/spreadsheets/d/1IYY_tgx_IHuhSq3AJ5eI5OnqOPBNLWSHKh2a30DoXe8/edit?usp=sharing"",""พังงา!J126"")"),0)</f>
        <v>0</v>
      </c>
      <c r="AP83" s="137">
        <f t="shared" ca="1" si="20"/>
        <v>0</v>
      </c>
      <c r="AQ83" s="149">
        <f ca="1">IFERROR(__xludf.DUMMYFUNCTION("IMPORTRANGE(""https://docs.google.com/spreadsheets/d/1C3CXT74ZlgGe6_JY_1olB1XN4rF0dxEuIIF-xsYjHgg/edit?usp=sharing"",""พรบ!AR87"")"),0)</f>
        <v>0</v>
      </c>
      <c r="AR83" s="77">
        <f ca="1">IFERROR(__xludf.DUMMYFUNCTION("IMPORTRANGE(""https://docs.google.com/spreadsheets/d/1C3CXT74ZlgGe6_JY_1olB1XN4rF0dxEuIIF-xsYjHgg/edit?usp=sharing"",""พรบ!AS87"")"),0)</f>
        <v>0</v>
      </c>
      <c r="AS83" s="77">
        <f ca="1">IFERROR(__xludf.DUMMYFUNCTION("IMPORTRANGE(""https://docs.google.com/spreadsheets/d/1IYY_tgx_IHuhSq3AJ5eI5OnqOPBNLWSHKh2a30DoXe8/edit?usp=sharing"",""พังงา!J138"")"),0)</f>
        <v>0</v>
      </c>
      <c r="AT83" s="137">
        <f t="shared" ca="1" si="22"/>
        <v>0</v>
      </c>
      <c r="AU83" s="77">
        <f ca="1">IFERROR(__xludf.DUMMYFUNCTION("IMPORTRANGE(""https://docs.google.com/spreadsheets/d/1C3CXT74ZlgGe6_JY_1olB1XN4rF0dxEuIIF-xsYjHgg/edit?usp=sharing"",""พรบ!AT87"")"),0)</f>
        <v>0</v>
      </c>
      <c r="AV83" s="77">
        <f ca="1">IFERROR(__xludf.DUMMYFUNCTION("IMPORTRANGE(""https://docs.google.com/spreadsheets/d/1C3CXT74ZlgGe6_JY_1olB1XN4rF0dxEuIIF-xsYjHgg/edit?usp=sharing"",""พรบ!AU87"")"),0)</f>
        <v>0</v>
      </c>
      <c r="AW83" s="77">
        <f ca="1">IFERROR(__xludf.DUMMYFUNCTION("IMPORTRANGE(""https://docs.google.com/spreadsheets/d/1IYY_tgx_IHuhSq3AJ5eI5OnqOPBNLWSHKh2a30DoXe8/edit?usp=sharing"",""พังงา!J140"")"),0)</f>
        <v>0</v>
      </c>
      <c r="AX83" s="137">
        <f t="shared" ca="1" si="24"/>
        <v>0</v>
      </c>
      <c r="AY83" s="77">
        <f ca="1">IFERROR(__xludf.DUMMYFUNCTION("IMPORTRANGE(""https://docs.google.com/spreadsheets/d/1IYY_tgx_IHuhSq3AJ5eI5OnqOPBNLWSHKh2a30DoXe8/edit?usp=sharing"",""พังงา!J141"")"),0)</f>
        <v>0</v>
      </c>
      <c r="AZ83" s="137">
        <f t="shared" ca="1" si="25"/>
        <v>0</v>
      </c>
      <c r="BA83" s="77">
        <f t="shared" ca="1" si="26"/>
        <v>0</v>
      </c>
      <c r="BB83" s="77">
        <f t="shared" ca="1" si="111"/>
        <v>0</v>
      </c>
      <c r="BC83" s="137">
        <f t="shared" ca="1" si="27"/>
        <v>0</v>
      </c>
    </row>
    <row r="84" spans="1:55" ht="21" customHeight="1">
      <c r="A84" s="73">
        <v>8</v>
      </c>
      <c r="B84" s="74" t="s">
        <v>108</v>
      </c>
      <c r="C84" s="75">
        <f t="shared" ca="1" si="0"/>
        <v>43000</v>
      </c>
      <c r="D84" s="76">
        <f t="shared" ca="1" si="109"/>
        <v>43000</v>
      </c>
      <c r="E84" s="77">
        <f ca="1">IFERROR(__xludf.DUMMYFUNCTION("IMPORTRANGE(""https://docs.google.com/spreadsheets/d/1C3CXT74ZlgGe6_JY_1olB1XN4rF0dxEuIIF-xsYjHgg/edit?usp=sharing"",""พรบ!AD88"")"),0)</f>
        <v>0</v>
      </c>
      <c r="F84" s="77">
        <f ca="1">IFERROR(__xludf.DUMMYFUNCTION("IMPORTRANGE(""https://docs.google.com/spreadsheets/d/1C3CXT74ZlgGe6_JY_1olB1XN4rF0dxEuIIF-xsYjHgg/edit?usp=sharing"",""พรบ!AE88"")"),43000)</f>
        <v>43000</v>
      </c>
      <c r="G84" s="77">
        <f ca="1">IFERROR(__xludf.DUMMYFUNCTION("IMPORTRANGE(""https://docs.google.com/spreadsheets/d/1Yj_ptqi66GCucihVvJfMjLAmec39IyEx_6qawtMGysU/edit?usp=sharing"",""สบก!BH88"")"),0)</f>
        <v>0</v>
      </c>
      <c r="H84" s="77">
        <f ca="1">IFERROR(__xludf.DUMMYFUNCTION("IMPORTRANGE(""https://docs.google.com/spreadsheets/d/1Yj_ptqi66GCucihVvJfMjLAmec39IyEx_6qawtMGysU/edit?usp=shBJing"",""สบก!BJ88"")"),41625)</f>
        <v>41625</v>
      </c>
      <c r="I84" s="77">
        <f t="shared" ca="1" si="3"/>
        <v>33715</v>
      </c>
      <c r="J84" s="137">
        <f t="shared" ca="1" si="4"/>
        <v>78.406976744186053</v>
      </c>
      <c r="K84" s="77">
        <f ca="1">IFERROR(__xludf.DUMMYFUNCTION("IMPORTRANGE(""https://docs.google.com/spreadsheets/d/1Yj_ptqi66GCucihVvJfMjLAmec39IyEx_6qawtMGysU/edit?usp=sharing"",""สบก!BK88"")"),33715)</f>
        <v>33715</v>
      </c>
      <c r="L84" s="137">
        <f t="shared" ca="1" si="5"/>
        <v>78.406976744186053</v>
      </c>
      <c r="M84" s="137">
        <f t="shared" ca="1" si="6"/>
        <v>80.996996996996998</v>
      </c>
      <c r="N84" s="137">
        <f ca="1">IFERROR(__xludf.DUMMYFUNCTION("IMPORTRANGE(""https://docs.google.com/spreadsheets/d/1Yj_ptqi66GCucihVvJfMjLAmec39IyEx_6qawtMGysU/edit?usp=sharing"",""สบก!BL88"")"),0)</f>
        <v>0</v>
      </c>
      <c r="O84" s="137">
        <f t="shared" ca="1" si="7"/>
        <v>0</v>
      </c>
      <c r="P84" s="77">
        <f ca="1">IFERROR(__xludf.DUMMYFUNCTION("IMPORTRANGE(""https://docs.google.com/spreadsheets/d/1C3CXT74ZlgGe6_JY_1olB1XN4rF0dxEuIIF-xsYjHgg/edit?usp=sharing"",""พรบ!AF88"")"),7500)</f>
        <v>7500</v>
      </c>
      <c r="Q84" s="77">
        <f ca="1">IFERROR(__xludf.DUMMYFUNCTION("IMPORTRANGE(""https://docs.google.com/spreadsheets/d/1C3CXT74ZlgGe6_JY_1olB1XN4rF0dxEuIIF-xsYjHgg/edit?usp=sharing"",""พรบ!AG88"")"),4)</f>
        <v>4</v>
      </c>
      <c r="R84" s="77">
        <f ca="1">IFERROR(__xludf.DUMMYFUNCTION("IMPORTRANGE(""https://docs.google.com/spreadsheets/d/1IYY_tgx_IHuhSq3AJ5eI5OnqOPBNLWSHKh2a30DoXe8/edit?usp=sharing"",""พัทลุง!J83"")"),2)</f>
        <v>2</v>
      </c>
      <c r="S84" s="137">
        <f t="shared" ca="1" si="9"/>
        <v>50</v>
      </c>
      <c r="T84" s="77">
        <f t="shared" ca="1" si="110"/>
        <v>29</v>
      </c>
      <c r="U84" s="77">
        <f ca="1">IFERROR(__xludf.DUMMYFUNCTION("IMPORTRANGE(""https://docs.google.com/spreadsheets/d/1IYY_tgx_IHuhSq3AJ5eI5OnqOPBNLWSHKh2a30DoXe8/edit?usp=sharing"",""พัทลุง!J85"")"),29)</f>
        <v>29</v>
      </c>
      <c r="V84" s="77">
        <f ca="1">IFERROR(__xludf.DUMMYFUNCTION("IMPORTRANGE(""https://docs.google.com/spreadsheets/d/1IYY_tgx_IHuhSq3AJ5eI5OnqOPBNLWSHKh2a30DoXe8/edit?usp=sharing"",""พัทลุง!J86"")"),0)</f>
        <v>0</v>
      </c>
      <c r="W84" s="77">
        <f ca="1">IFERROR(__xludf.DUMMYFUNCTION("IMPORTRANGE(""https://docs.google.com/spreadsheets/d/1C3CXT74ZlgGe6_JY_1olB1XN4rF0dxEuIIF-xsYjHgg/edit?usp=sharing"",""พรบ!AH88"")"),28000)</f>
        <v>28000</v>
      </c>
      <c r="X84" s="77">
        <f ca="1">IFERROR(__xludf.DUMMYFUNCTION("IMPORTRANGE(""https://docs.google.com/spreadsheets/d/1C3CXT74ZlgGe6_JY_1olB1XN4rF0dxEuIIF-xsYjHgg/edit?usp=sharing"",""พรบ!AI88"")"),2)</f>
        <v>2</v>
      </c>
      <c r="Y84" s="77">
        <f ca="1">IFERROR(__xludf.DUMMYFUNCTION("IMPORTRANGE(""https://docs.google.com/spreadsheets/d/1IYY_tgx_IHuhSq3AJ5eI5OnqOPBNLWSHKh2a30DoXe8/edit?usp=sharing"",""พัทลุง!J98"")"),2)</f>
        <v>2</v>
      </c>
      <c r="Z84" s="137">
        <f t="shared" ca="1" si="11"/>
        <v>100</v>
      </c>
      <c r="AA84" s="77">
        <f ca="1">IFERROR(__xludf.DUMMYFUNCTION("IMPORTRANGE(""https://docs.google.com/spreadsheets/d/1C3CXT74ZlgGe6_JY_1olB1XN4rF0dxEuIIF-xsYjHgg/edit?usp=sharing"",""พรบ!AJ88"")"),0)</f>
        <v>0</v>
      </c>
      <c r="AB84" s="77">
        <f ca="1">IFERROR(__xludf.DUMMYFUNCTION("IMPORTRANGE(""https://docs.google.com/spreadsheets/d/1C3CXT74ZlgGe6_JY_1olB1XN4rF0dxEuIIF-xsYjHgg/edit?usp=sharing"",""พรบ!AK88"")"),0)</f>
        <v>0</v>
      </c>
      <c r="AC84" s="77">
        <f ca="1">IFERROR(__xludf.DUMMYFUNCTION("IMPORTRANGE(""https://docs.google.com/spreadsheets/d/1IYY_tgx_IHuhSq3AJ5eI5OnqOPBNLWSHKh2a30DoXe8/edit?usp=sharing"",""พัทลุง!J110"")"),0)</f>
        <v>0</v>
      </c>
      <c r="AD84" s="137">
        <f t="shared" ca="1" si="13"/>
        <v>0</v>
      </c>
      <c r="AE84" s="77">
        <f ca="1">IFERROR(__xludf.DUMMYFUNCTION("IMPORTRANGE(""https://docs.google.com/spreadsheets/d/1C3CXT74ZlgGe6_JY_1olB1XN4rF0dxEuIIF-xsYjHgg/edit?usp=sharing"",""พรบ!AL88"")"),0)</f>
        <v>0</v>
      </c>
      <c r="AF84" s="77">
        <f ca="1">IFERROR(__xludf.DUMMYFUNCTION("IMPORTRANGE(""https://docs.google.com/spreadsheets/d/1IYY_tgx_IHuhSq3AJ5eI5OnqOPBNLWSHKh2a30DoXe8/edit?usp=sharing"",""พัทลุง!J111"")"),0)</f>
        <v>0</v>
      </c>
      <c r="AG84" s="137">
        <f t="shared" ca="1" si="15"/>
        <v>0</v>
      </c>
      <c r="AH84" s="77">
        <f ca="1">IFERROR(__xludf.DUMMYFUNCTION("IMPORTRANGE(""https://docs.google.com/spreadsheets/d/1C3CXT74ZlgGe6_JY_1olB1XN4rF0dxEuIIF-xsYjHgg/edit?usp=sharing"",""พรบ!AM88"")"),7500)</f>
        <v>7500</v>
      </c>
      <c r="AI84" s="77">
        <f ca="1">IFERROR(__xludf.DUMMYFUNCTION("IMPORTRANGE(""https://docs.google.com/spreadsheets/d/1C3CXT74ZlgGe6_JY_1olB1XN4rF0dxEuIIF-xsYjHgg/edit?usp=sharing"",""พรบ!AN88"")"),10000)</f>
        <v>10000</v>
      </c>
      <c r="AJ84" s="77">
        <f ca="1">IFERROR(__xludf.DUMMYFUNCTION("IMPORTRANGE(""https://docs.google.com/spreadsheets/d/1IYY_tgx_IHuhSq3AJ5eI5OnqOPBNLWSHKh2a30DoXe8/edit?usp=sharing"",""พัทลุง!J124"")"),0)</f>
        <v>0</v>
      </c>
      <c r="AK84" s="137">
        <f t="shared" ca="1" si="17"/>
        <v>0</v>
      </c>
      <c r="AL84" s="77">
        <f ca="1">IFERROR(__xludf.DUMMYFUNCTION("IMPORTRANGE(""https://docs.google.com/spreadsheets/d/1IYY_tgx_IHuhSq3AJ5eI5OnqOPBNLWSHKh2a30DoXe8/edit?usp=sharing"",""พัทลุง!J125"")"),0)</f>
        <v>0</v>
      </c>
      <c r="AM84" s="137">
        <f t="shared" ca="1" si="18"/>
        <v>0</v>
      </c>
      <c r="AN84" s="77">
        <f ca="1">IFERROR(__xludf.DUMMYFUNCTION("IMPORTRANGE(""https://docs.google.com/spreadsheets/d/1C3CXT74ZlgGe6_JY_1olB1XN4rF0dxEuIIF-xsYjHgg/edit?usp=sharing"",""พรบ!AQ88"")"),0)</f>
        <v>0</v>
      </c>
      <c r="AO84" s="77">
        <f ca="1">IFERROR(__xludf.DUMMYFUNCTION("IMPORTRANGE(""https://docs.google.com/spreadsheets/d/1IYY_tgx_IHuhSq3AJ5eI5OnqOPBNLWSHKh2a30DoXe8/edit?usp=sharing"",""พัทลุง!J126"")"),0)</f>
        <v>0</v>
      </c>
      <c r="AP84" s="137">
        <f t="shared" ca="1" si="20"/>
        <v>0</v>
      </c>
      <c r="AQ84" s="149">
        <f ca="1">IFERROR(__xludf.DUMMYFUNCTION("IMPORTRANGE(""https://docs.google.com/spreadsheets/d/1C3CXT74ZlgGe6_JY_1olB1XN4rF0dxEuIIF-xsYjHgg/edit?usp=sharing"",""พรบ!AR88"")"),0)</f>
        <v>0</v>
      </c>
      <c r="AR84" s="77">
        <f ca="1">IFERROR(__xludf.DUMMYFUNCTION("IMPORTRANGE(""https://docs.google.com/spreadsheets/d/1C3CXT74ZlgGe6_JY_1olB1XN4rF0dxEuIIF-xsYjHgg/edit?usp=sharing"",""พรบ!AS88"")"),0)</f>
        <v>0</v>
      </c>
      <c r="AS84" s="77">
        <f ca="1">IFERROR(__xludf.DUMMYFUNCTION("IMPORTRANGE(""https://docs.google.com/spreadsheets/d/1IYY_tgx_IHuhSq3AJ5eI5OnqOPBNLWSHKh2a30DoXe8/edit?usp=sharing"",""พัทลุง!J138"")"),0)</f>
        <v>0</v>
      </c>
      <c r="AT84" s="137">
        <f t="shared" ca="1" si="22"/>
        <v>0</v>
      </c>
      <c r="AU84" s="77">
        <f ca="1">IFERROR(__xludf.DUMMYFUNCTION("IMPORTRANGE(""https://docs.google.com/spreadsheets/d/1C3CXT74ZlgGe6_JY_1olB1XN4rF0dxEuIIF-xsYjHgg/edit?usp=sharing"",""พรบ!AT88"")"),0)</f>
        <v>0</v>
      </c>
      <c r="AV84" s="77">
        <f ca="1">IFERROR(__xludf.DUMMYFUNCTION("IMPORTRANGE(""https://docs.google.com/spreadsheets/d/1C3CXT74ZlgGe6_JY_1olB1XN4rF0dxEuIIF-xsYjHgg/edit?usp=sharing"",""พรบ!AU88"")"),0)</f>
        <v>0</v>
      </c>
      <c r="AW84" s="77">
        <f ca="1">IFERROR(__xludf.DUMMYFUNCTION("IMPORTRANGE(""https://docs.google.com/spreadsheets/d/1IYY_tgx_IHuhSq3AJ5eI5OnqOPBNLWSHKh2a30DoXe8/edit?usp=sharing"",""พัทลุง!J140"")"),0)</f>
        <v>0</v>
      </c>
      <c r="AX84" s="137">
        <f t="shared" ca="1" si="24"/>
        <v>0</v>
      </c>
      <c r="AY84" s="77">
        <f ca="1">IFERROR(__xludf.DUMMYFUNCTION("IMPORTRANGE(""https://docs.google.com/spreadsheets/d/1IYY_tgx_IHuhSq3AJ5eI5OnqOPBNLWSHKh2a30DoXe8/edit?usp=sharing"",""พัทลุง!J141"")"),0)</f>
        <v>0</v>
      </c>
      <c r="AZ84" s="137">
        <f t="shared" ca="1" si="25"/>
        <v>0</v>
      </c>
      <c r="BA84" s="77">
        <f t="shared" ca="1" si="26"/>
        <v>0</v>
      </c>
      <c r="BB84" s="77">
        <f t="shared" ca="1" si="111"/>
        <v>0</v>
      </c>
      <c r="BC84" s="137">
        <f t="shared" ca="1" si="27"/>
        <v>0</v>
      </c>
    </row>
    <row r="85" spans="1:55" ht="21" customHeight="1">
      <c r="A85" s="73">
        <v>9</v>
      </c>
      <c r="B85" s="74" t="s">
        <v>109</v>
      </c>
      <c r="C85" s="75">
        <f t="shared" ca="1" si="0"/>
        <v>21500</v>
      </c>
      <c r="D85" s="76">
        <f t="shared" ca="1" si="109"/>
        <v>21500</v>
      </c>
      <c r="E85" s="77">
        <f ca="1">IFERROR(__xludf.DUMMYFUNCTION("IMPORTRANGE(""https://docs.google.com/spreadsheets/d/1C3CXT74ZlgGe6_JY_1olB1XN4rF0dxEuIIF-xsYjHgg/edit?usp=sharing"",""พรบ!AD89"")"),0)</f>
        <v>0</v>
      </c>
      <c r="F85" s="77">
        <f ca="1">IFERROR(__xludf.DUMMYFUNCTION("IMPORTRANGE(""https://docs.google.com/spreadsheets/d/1C3CXT74ZlgGe6_JY_1olB1XN4rF0dxEuIIF-xsYjHgg/edit?usp=sharing"",""พรบ!AE89"")"),21500)</f>
        <v>21500</v>
      </c>
      <c r="G85" s="77">
        <f ca="1">IFERROR(__xludf.DUMMYFUNCTION("IMPORTRANGE(""https://docs.google.com/spreadsheets/d/1Yj_ptqi66GCucihVvJfMjLAmec39IyEx_6qawtMGysU/edit?usp=sharing"",""สบก!BH89"")"),0)</f>
        <v>0</v>
      </c>
      <c r="H85" s="77">
        <f ca="1">IFERROR(__xludf.DUMMYFUNCTION("IMPORTRANGE(""https://docs.google.com/spreadsheets/d/1Yj_ptqi66GCucihVvJfMjLAmec39IyEx_6qawtMGysU/edit?usp=shBJing"",""สบก!BJ89"")"),25312)</f>
        <v>25312</v>
      </c>
      <c r="I85" s="77">
        <f t="shared" ca="1" si="3"/>
        <v>22767</v>
      </c>
      <c r="J85" s="137">
        <f t="shared" ca="1" si="4"/>
        <v>105.89302325581396</v>
      </c>
      <c r="K85" s="77">
        <f ca="1">IFERROR(__xludf.DUMMYFUNCTION("IMPORTRANGE(""https://docs.google.com/spreadsheets/d/1Yj_ptqi66GCucihVvJfMjLAmec39IyEx_6qawtMGysU/edit?usp=sharing"",""สบก!BK89"")"),22767)</f>
        <v>22767</v>
      </c>
      <c r="L85" s="137">
        <f t="shared" ca="1" si="5"/>
        <v>105.89302325581396</v>
      </c>
      <c r="M85" s="137">
        <f t="shared" ca="1" si="6"/>
        <v>89.945480404551205</v>
      </c>
      <c r="N85" s="137">
        <f ca="1">IFERROR(__xludf.DUMMYFUNCTION("IMPORTRANGE(""https://docs.google.com/spreadsheets/d/1Yj_ptqi66GCucihVvJfMjLAmec39IyEx_6qawtMGysU/edit?usp=sharing"",""สบก!BL89"")"),0)</f>
        <v>0</v>
      </c>
      <c r="O85" s="137">
        <f t="shared" ca="1" si="7"/>
        <v>0</v>
      </c>
      <c r="P85" s="77">
        <f ca="1">IFERROR(__xludf.DUMMYFUNCTION("IMPORTRANGE(""https://docs.google.com/spreadsheets/d/1C3CXT74ZlgGe6_JY_1olB1XN4rF0dxEuIIF-xsYjHgg/edit?usp=sharing"",""พรบ!AF89"")"),7500)</f>
        <v>7500</v>
      </c>
      <c r="Q85" s="77">
        <f ca="1">IFERROR(__xludf.DUMMYFUNCTION("IMPORTRANGE(""https://docs.google.com/spreadsheets/d/1C3CXT74ZlgGe6_JY_1olB1XN4rF0dxEuIIF-xsYjHgg/edit?usp=sharing"",""พรบ!AG89"")"),4)</f>
        <v>4</v>
      </c>
      <c r="R85" s="77">
        <f ca="1">IFERROR(__xludf.DUMMYFUNCTION("IMPORTRANGE(""https://docs.google.com/spreadsheets/d/1IYY_tgx_IHuhSq3AJ5eI5OnqOPBNLWSHKh2a30DoXe8/edit?usp=sharing"",""ภูเก็ต!J83"")"),2)</f>
        <v>2</v>
      </c>
      <c r="S85" s="137">
        <f t="shared" ca="1" si="9"/>
        <v>50</v>
      </c>
      <c r="T85" s="77">
        <f t="shared" ca="1" si="110"/>
        <v>89</v>
      </c>
      <c r="U85" s="77">
        <f ca="1">IFERROR(__xludf.DUMMYFUNCTION("IMPORTRANGE(""https://docs.google.com/spreadsheets/d/1IYY_tgx_IHuhSq3AJ5eI5OnqOPBNLWSHKh2a30DoXe8/edit?usp=sharing"",""ภูเก็ต!J85"")"),89)</f>
        <v>89</v>
      </c>
      <c r="V85" s="77">
        <f ca="1">IFERROR(__xludf.DUMMYFUNCTION("IMPORTRANGE(""https://docs.google.com/spreadsheets/d/1IYY_tgx_IHuhSq3AJ5eI5OnqOPBNLWSHKh2a30DoXe8/edit?usp=sharing"",""ภูเก็ต!J86"")"),0)</f>
        <v>0</v>
      </c>
      <c r="W85" s="77">
        <f ca="1">IFERROR(__xludf.DUMMYFUNCTION("IMPORTRANGE(""https://docs.google.com/spreadsheets/d/1C3CXT74ZlgGe6_JY_1olB1XN4rF0dxEuIIF-xsYjHgg/edit?usp=sharing"",""พรบ!AH89"")"),14000)</f>
        <v>14000</v>
      </c>
      <c r="X85" s="77">
        <f ca="1">IFERROR(__xludf.DUMMYFUNCTION("IMPORTRANGE(""https://docs.google.com/spreadsheets/d/1C3CXT74ZlgGe6_JY_1olB1XN4rF0dxEuIIF-xsYjHgg/edit?usp=sharing"",""พรบ!AI89"")"),1)</f>
        <v>1</v>
      </c>
      <c r="Y85" s="77">
        <f ca="1">IFERROR(__xludf.DUMMYFUNCTION("IMPORTRANGE(""https://docs.google.com/spreadsheets/d/1IYY_tgx_IHuhSq3AJ5eI5OnqOPBNLWSHKh2a30DoXe8/edit?usp=sharing"",""ภูเก็ต!J98"")"),1)</f>
        <v>1</v>
      </c>
      <c r="Z85" s="137">
        <f t="shared" ca="1" si="11"/>
        <v>100</v>
      </c>
      <c r="AA85" s="77">
        <f ca="1">IFERROR(__xludf.DUMMYFUNCTION("IMPORTRANGE(""https://docs.google.com/spreadsheets/d/1C3CXT74ZlgGe6_JY_1olB1XN4rF0dxEuIIF-xsYjHgg/edit?usp=sharing"",""พรบ!AJ89"")"),0)</f>
        <v>0</v>
      </c>
      <c r="AB85" s="77">
        <f ca="1">IFERROR(__xludf.DUMMYFUNCTION("IMPORTRANGE(""https://docs.google.com/spreadsheets/d/1C3CXT74ZlgGe6_JY_1olB1XN4rF0dxEuIIF-xsYjHgg/edit?usp=sharing"",""พรบ!AK89"")"),0)</f>
        <v>0</v>
      </c>
      <c r="AC85" s="77">
        <f ca="1">IFERROR(__xludf.DUMMYFUNCTION("IMPORTRANGE(""https://docs.google.com/spreadsheets/d/1IYY_tgx_IHuhSq3AJ5eI5OnqOPBNLWSHKh2a30DoXe8/edit?usp=sharing"",""ภูเก็ต!J110"")"),0)</f>
        <v>0</v>
      </c>
      <c r="AD85" s="137">
        <f t="shared" ca="1" si="13"/>
        <v>0</v>
      </c>
      <c r="AE85" s="77">
        <f ca="1">IFERROR(__xludf.DUMMYFUNCTION("IMPORTRANGE(""https://docs.google.com/spreadsheets/d/1C3CXT74ZlgGe6_JY_1olB1XN4rF0dxEuIIF-xsYjHgg/edit?usp=sharing"",""พรบ!AL89"")"),0)</f>
        <v>0</v>
      </c>
      <c r="AF85" s="77">
        <f ca="1">IFERROR(__xludf.DUMMYFUNCTION("IMPORTRANGE(""https://docs.google.com/spreadsheets/d/1IYY_tgx_IHuhSq3AJ5eI5OnqOPBNLWSHKh2a30DoXe8/edit?usp=sharing"",""ภูเก็ต!J111"")"),0)</f>
        <v>0</v>
      </c>
      <c r="AG85" s="137">
        <f t="shared" ca="1" si="15"/>
        <v>0</v>
      </c>
      <c r="AH85" s="77">
        <f ca="1">IFERROR(__xludf.DUMMYFUNCTION("IMPORTRANGE(""https://docs.google.com/spreadsheets/d/1C3CXT74ZlgGe6_JY_1olB1XN4rF0dxEuIIF-xsYjHgg/edit?usp=sharing"",""พรบ!AM89"")"),0)</f>
        <v>0</v>
      </c>
      <c r="AI85" s="77">
        <f ca="1">IFERROR(__xludf.DUMMYFUNCTION("IMPORTRANGE(""https://docs.google.com/spreadsheets/d/1C3CXT74ZlgGe6_JY_1olB1XN4rF0dxEuIIF-xsYjHgg/edit?usp=sharing"",""พรบ!AN89"")"),0)</f>
        <v>0</v>
      </c>
      <c r="AJ85" s="77">
        <f ca="1">IFERROR(__xludf.DUMMYFUNCTION("IMPORTRANGE(""https://docs.google.com/spreadsheets/d/1IYY_tgx_IHuhSq3AJ5eI5OnqOPBNLWSHKh2a30DoXe8/edit?usp=sharing"",""ภูเก็ต!J124"")"),0)</f>
        <v>0</v>
      </c>
      <c r="AK85" s="137">
        <f t="shared" ca="1" si="17"/>
        <v>0</v>
      </c>
      <c r="AL85" s="77">
        <f ca="1">IFERROR(__xludf.DUMMYFUNCTION("IMPORTRANGE(""https://docs.google.com/spreadsheets/d/1IYY_tgx_IHuhSq3AJ5eI5OnqOPBNLWSHKh2a30DoXe8/edit?usp=sharing"",""ภูเก็ต!J125"")"),0)</f>
        <v>0</v>
      </c>
      <c r="AM85" s="137">
        <f t="shared" ca="1" si="18"/>
        <v>0</v>
      </c>
      <c r="AN85" s="77">
        <f ca="1">IFERROR(__xludf.DUMMYFUNCTION("IMPORTRANGE(""https://docs.google.com/spreadsheets/d/1C3CXT74ZlgGe6_JY_1olB1XN4rF0dxEuIIF-xsYjHgg/edit?usp=sharing"",""พรบ!AQ89"")"),0)</f>
        <v>0</v>
      </c>
      <c r="AO85" s="77">
        <f ca="1">IFERROR(__xludf.DUMMYFUNCTION("IMPORTRANGE(""https://docs.google.com/spreadsheets/d/1IYY_tgx_IHuhSq3AJ5eI5OnqOPBNLWSHKh2a30DoXe8/edit?usp=sharing"",""ภูเก็ต!J126"")"),0)</f>
        <v>0</v>
      </c>
      <c r="AP85" s="137">
        <f t="shared" ca="1" si="20"/>
        <v>0</v>
      </c>
      <c r="AQ85" s="149">
        <f ca="1">IFERROR(__xludf.DUMMYFUNCTION("IMPORTRANGE(""https://docs.google.com/spreadsheets/d/1C3CXT74ZlgGe6_JY_1olB1XN4rF0dxEuIIF-xsYjHgg/edit?usp=sharing"",""พรบ!AR89"")"),0)</f>
        <v>0</v>
      </c>
      <c r="AR85" s="77">
        <f ca="1">IFERROR(__xludf.DUMMYFUNCTION("IMPORTRANGE(""https://docs.google.com/spreadsheets/d/1C3CXT74ZlgGe6_JY_1olB1XN4rF0dxEuIIF-xsYjHgg/edit?usp=sharing"",""พรบ!AS89"")"),0)</f>
        <v>0</v>
      </c>
      <c r="AS85" s="77">
        <f ca="1">IFERROR(__xludf.DUMMYFUNCTION("IMPORTRANGE(""https://docs.google.com/spreadsheets/d/1IYY_tgx_IHuhSq3AJ5eI5OnqOPBNLWSHKh2a30DoXe8/edit?usp=sharing"",""ภูเก็ต!J138"")"),0)</f>
        <v>0</v>
      </c>
      <c r="AT85" s="137">
        <f t="shared" ca="1" si="22"/>
        <v>0</v>
      </c>
      <c r="AU85" s="77">
        <f ca="1">IFERROR(__xludf.DUMMYFUNCTION("IMPORTRANGE(""https://docs.google.com/spreadsheets/d/1C3CXT74ZlgGe6_JY_1olB1XN4rF0dxEuIIF-xsYjHgg/edit?usp=sharing"",""พรบ!AT89"")"),0)</f>
        <v>0</v>
      </c>
      <c r="AV85" s="77">
        <f ca="1">IFERROR(__xludf.DUMMYFUNCTION("IMPORTRANGE(""https://docs.google.com/spreadsheets/d/1C3CXT74ZlgGe6_JY_1olB1XN4rF0dxEuIIF-xsYjHgg/edit?usp=sharing"",""พรบ!AU89"")"),0)</f>
        <v>0</v>
      </c>
      <c r="AW85" s="77">
        <f ca="1">IFERROR(__xludf.DUMMYFUNCTION("IMPORTRANGE(""https://docs.google.com/spreadsheets/d/1IYY_tgx_IHuhSq3AJ5eI5OnqOPBNLWSHKh2a30DoXe8/edit?usp=sharing"",""ภูเก็ต!J140"")"),0)</f>
        <v>0</v>
      </c>
      <c r="AX85" s="137">
        <f t="shared" ca="1" si="24"/>
        <v>0</v>
      </c>
      <c r="AY85" s="77">
        <f ca="1">IFERROR(__xludf.DUMMYFUNCTION("IMPORTRANGE(""https://docs.google.com/spreadsheets/d/1IYY_tgx_IHuhSq3AJ5eI5OnqOPBNLWSHKh2a30DoXe8/edit?usp=sharing"",""ภูเก็ต!J141"")"),0)</f>
        <v>0</v>
      </c>
      <c r="AZ85" s="137">
        <f t="shared" ca="1" si="25"/>
        <v>0</v>
      </c>
      <c r="BA85" s="77">
        <f t="shared" ca="1" si="26"/>
        <v>0</v>
      </c>
      <c r="BB85" s="77">
        <f t="shared" ca="1" si="111"/>
        <v>0</v>
      </c>
      <c r="BC85" s="137">
        <f t="shared" ca="1" si="27"/>
        <v>0</v>
      </c>
    </row>
    <row r="86" spans="1:55" ht="21" customHeight="1">
      <c r="A86" s="73">
        <v>10</v>
      </c>
      <c r="B86" s="74" t="s">
        <v>110</v>
      </c>
      <c r="C86" s="75">
        <f t="shared" ca="1" si="0"/>
        <v>29300</v>
      </c>
      <c r="D86" s="76">
        <f t="shared" ca="1" si="109"/>
        <v>29300</v>
      </c>
      <c r="E86" s="77">
        <f ca="1">IFERROR(__xludf.DUMMYFUNCTION("IMPORTRANGE(""https://docs.google.com/spreadsheets/d/1C3CXT74ZlgGe6_JY_1olB1XN4rF0dxEuIIF-xsYjHgg/edit?usp=sharing"",""พรบ!AD90"")"),0)</f>
        <v>0</v>
      </c>
      <c r="F86" s="77">
        <f ca="1">IFERROR(__xludf.DUMMYFUNCTION("IMPORTRANGE(""https://docs.google.com/spreadsheets/d/1C3CXT74ZlgGe6_JY_1olB1XN4rF0dxEuIIF-xsYjHgg/edit?usp=sharing"",""พรบ!AE90"")"),29300)</f>
        <v>29300</v>
      </c>
      <c r="G86" s="77">
        <f ca="1">IFERROR(__xludf.DUMMYFUNCTION("IMPORTRANGE(""https://docs.google.com/spreadsheets/d/1Yj_ptqi66GCucihVvJfMjLAmec39IyEx_6qawtMGysU/edit?usp=sharing"",""สบก!BH90"")"),0)</f>
        <v>0</v>
      </c>
      <c r="H86" s="77">
        <f ca="1">IFERROR(__xludf.DUMMYFUNCTION("IMPORTRANGE(""https://docs.google.com/spreadsheets/d/1Yj_ptqi66GCucihVvJfMjLAmec39IyEx_6qawtMGysU/edit?usp=shBJing"",""สบก!BJ90"")"),27625)</f>
        <v>27625</v>
      </c>
      <c r="I86" s="77">
        <f t="shared" ca="1" si="3"/>
        <v>18400</v>
      </c>
      <c r="J86" s="137">
        <f t="shared" ca="1" si="4"/>
        <v>62.798634812286693</v>
      </c>
      <c r="K86" s="77">
        <f ca="1">IFERROR(__xludf.DUMMYFUNCTION("IMPORTRANGE(""https://docs.google.com/spreadsheets/d/1Yj_ptqi66GCucihVvJfMjLAmec39IyEx_6qawtMGysU/edit?usp=sharing"",""สบก!BK90"")"),18400)</f>
        <v>18400</v>
      </c>
      <c r="L86" s="137">
        <f t="shared" ca="1" si="5"/>
        <v>62.798634812286693</v>
      </c>
      <c r="M86" s="137">
        <f t="shared" ca="1" si="6"/>
        <v>66.606334841628964</v>
      </c>
      <c r="N86" s="137">
        <f ca="1">IFERROR(__xludf.DUMMYFUNCTION("IMPORTRANGE(""https://docs.google.com/spreadsheets/d/1Yj_ptqi66GCucihVvJfMjLAmec39IyEx_6qawtMGysU/edit?usp=sharing"",""สบก!BL90"")"),0)</f>
        <v>0</v>
      </c>
      <c r="O86" s="137">
        <f t="shared" ca="1" si="7"/>
        <v>0</v>
      </c>
      <c r="P86" s="77">
        <f ca="1">IFERROR(__xludf.DUMMYFUNCTION("IMPORTRANGE(""https://docs.google.com/spreadsheets/d/1C3CXT74ZlgGe6_JY_1olB1XN4rF0dxEuIIF-xsYjHgg/edit?usp=sharing"",""พรบ!AF90"")"),7500)</f>
        <v>7500</v>
      </c>
      <c r="Q86" s="77">
        <f ca="1">IFERROR(__xludf.DUMMYFUNCTION("IMPORTRANGE(""https://docs.google.com/spreadsheets/d/1C3CXT74ZlgGe6_JY_1olB1XN4rF0dxEuIIF-xsYjHgg/edit?usp=sharing"",""พรบ!AG90"")"),4)</f>
        <v>4</v>
      </c>
      <c r="R86" s="77">
        <f ca="1">IFERROR(__xludf.DUMMYFUNCTION("IMPORTRANGE(""https://docs.google.com/spreadsheets/d/1IYY_tgx_IHuhSq3AJ5eI5OnqOPBNLWSHKh2a30DoXe8/edit?usp=sharing"",""ยะลา!J83"")"),2)</f>
        <v>2</v>
      </c>
      <c r="S86" s="137">
        <f t="shared" ca="1" si="9"/>
        <v>50</v>
      </c>
      <c r="T86" s="77">
        <f t="shared" ca="1" si="110"/>
        <v>142</v>
      </c>
      <c r="U86" s="77">
        <f ca="1">IFERROR(__xludf.DUMMYFUNCTION("IMPORTRANGE(""https://docs.google.com/spreadsheets/d/1IYY_tgx_IHuhSq3AJ5eI5OnqOPBNLWSHKh2a30DoXe8/edit?usp=sharing"",""ยะลา!J85"")"),142)</f>
        <v>142</v>
      </c>
      <c r="V86" s="77">
        <f ca="1">IFERROR(__xludf.DUMMYFUNCTION("IMPORTRANGE(""https://docs.google.com/spreadsheets/d/1IYY_tgx_IHuhSq3AJ5eI5OnqOPBNLWSHKh2a30DoXe8/edit?usp=sharing"",""ยะลา!J86"")"),0)</f>
        <v>0</v>
      </c>
      <c r="W86" s="77">
        <f ca="1">IFERROR(__xludf.DUMMYFUNCTION("IMPORTRANGE(""https://docs.google.com/spreadsheets/d/1C3CXT74ZlgGe6_JY_1olB1XN4rF0dxEuIIF-xsYjHgg/edit?usp=sharing"",""พรบ!AH90"")"),14000)</f>
        <v>14000</v>
      </c>
      <c r="X86" s="77">
        <f ca="1">IFERROR(__xludf.DUMMYFUNCTION("IMPORTRANGE(""https://docs.google.com/spreadsheets/d/1C3CXT74ZlgGe6_JY_1olB1XN4rF0dxEuIIF-xsYjHgg/edit?usp=sharing"",""พรบ!AI90"")"),1)</f>
        <v>1</v>
      </c>
      <c r="Y86" s="77">
        <f ca="1">IFERROR(__xludf.DUMMYFUNCTION("IMPORTRANGE(""https://docs.google.com/spreadsheets/d/1IYY_tgx_IHuhSq3AJ5eI5OnqOPBNLWSHKh2a30DoXe8/edit?usp=sharing"",""ยะลา!J98"")"),1)</f>
        <v>1</v>
      </c>
      <c r="Z86" s="137">
        <f t="shared" ca="1" si="11"/>
        <v>100</v>
      </c>
      <c r="AA86" s="77">
        <f ca="1">IFERROR(__xludf.DUMMYFUNCTION("IMPORTRANGE(""https://docs.google.com/spreadsheets/d/1C3CXT74ZlgGe6_JY_1olB1XN4rF0dxEuIIF-xsYjHgg/edit?usp=sharing"",""พรบ!AJ90"")"),0)</f>
        <v>0</v>
      </c>
      <c r="AB86" s="77">
        <f ca="1">IFERROR(__xludf.DUMMYFUNCTION("IMPORTRANGE(""https://docs.google.com/spreadsheets/d/1C3CXT74ZlgGe6_JY_1olB1XN4rF0dxEuIIF-xsYjHgg/edit?usp=sharing"",""พรบ!AK90"")"),0)</f>
        <v>0</v>
      </c>
      <c r="AC86" s="77">
        <f ca="1">IFERROR(__xludf.DUMMYFUNCTION("IMPORTRANGE(""https://docs.google.com/spreadsheets/d/1IYY_tgx_IHuhSq3AJ5eI5OnqOPBNLWSHKh2a30DoXe8/edit?usp=sharing"",""ยะลา!J110"")"),0)</f>
        <v>0</v>
      </c>
      <c r="AD86" s="137">
        <f t="shared" ca="1" si="13"/>
        <v>0</v>
      </c>
      <c r="AE86" s="77">
        <f ca="1">IFERROR(__xludf.DUMMYFUNCTION("IMPORTRANGE(""https://docs.google.com/spreadsheets/d/1C3CXT74ZlgGe6_JY_1olB1XN4rF0dxEuIIF-xsYjHgg/edit?usp=sharing"",""พรบ!AL90"")"),0)</f>
        <v>0</v>
      </c>
      <c r="AF86" s="77">
        <f ca="1">IFERROR(__xludf.DUMMYFUNCTION("IMPORTRANGE(""https://docs.google.com/spreadsheets/d/1IYY_tgx_IHuhSq3AJ5eI5OnqOPBNLWSHKh2a30DoXe8/edit?usp=sharing"",""ยะลา!J111"")"),0)</f>
        <v>0</v>
      </c>
      <c r="AG86" s="137">
        <f t="shared" ca="1" si="15"/>
        <v>0</v>
      </c>
      <c r="AH86" s="77">
        <f ca="1">IFERROR(__xludf.DUMMYFUNCTION("IMPORTRANGE(""https://docs.google.com/spreadsheets/d/1C3CXT74ZlgGe6_JY_1olB1XN4rF0dxEuIIF-xsYjHgg/edit?usp=sharing"",""พรบ!AM90"")"),7800)</f>
        <v>7800</v>
      </c>
      <c r="AI86" s="77">
        <f ca="1">IFERROR(__xludf.DUMMYFUNCTION("IMPORTRANGE(""https://docs.google.com/spreadsheets/d/1C3CXT74ZlgGe6_JY_1olB1XN4rF0dxEuIIF-xsYjHgg/edit?usp=sharing"",""พรบ!AN90"")"),12000)</f>
        <v>12000</v>
      </c>
      <c r="AJ86" s="77">
        <f ca="1">IFERROR(__xludf.DUMMYFUNCTION("IMPORTRANGE(""https://docs.google.com/spreadsheets/d/1IYY_tgx_IHuhSq3AJ5eI5OnqOPBNLWSHKh2a30DoXe8/edit?usp=sharing"",""ยะลา!J124"")"),0)</f>
        <v>0</v>
      </c>
      <c r="AK86" s="137">
        <f t="shared" ca="1" si="17"/>
        <v>0</v>
      </c>
      <c r="AL86" s="77">
        <f ca="1">IFERROR(__xludf.DUMMYFUNCTION("IMPORTRANGE(""https://docs.google.com/spreadsheets/d/1IYY_tgx_IHuhSq3AJ5eI5OnqOPBNLWSHKh2a30DoXe8/edit?usp=sharing"",""ยะลา!J125"")"),0)</f>
        <v>0</v>
      </c>
      <c r="AM86" s="137">
        <f t="shared" ca="1" si="18"/>
        <v>0</v>
      </c>
      <c r="AN86" s="77">
        <f ca="1">IFERROR(__xludf.DUMMYFUNCTION("IMPORTRANGE(""https://docs.google.com/spreadsheets/d/1C3CXT74ZlgGe6_JY_1olB1XN4rF0dxEuIIF-xsYjHgg/edit?usp=sharing"",""พรบ!AQ90"")"),0)</f>
        <v>0</v>
      </c>
      <c r="AO86" s="77">
        <f ca="1">IFERROR(__xludf.DUMMYFUNCTION("IMPORTRANGE(""https://docs.google.com/spreadsheets/d/1IYY_tgx_IHuhSq3AJ5eI5OnqOPBNLWSHKh2a30DoXe8/edit?usp=sharing"",""ยะลา!J126"")"),0)</f>
        <v>0</v>
      </c>
      <c r="AP86" s="137">
        <f t="shared" ca="1" si="20"/>
        <v>0</v>
      </c>
      <c r="AQ86" s="149">
        <f ca="1">IFERROR(__xludf.DUMMYFUNCTION("IMPORTRANGE(""https://docs.google.com/spreadsheets/d/1C3CXT74ZlgGe6_JY_1olB1XN4rF0dxEuIIF-xsYjHgg/edit?usp=sharing"",""พรบ!AR90"")"),0)</f>
        <v>0</v>
      </c>
      <c r="AR86" s="77">
        <f ca="1">IFERROR(__xludf.DUMMYFUNCTION("IMPORTRANGE(""https://docs.google.com/spreadsheets/d/1C3CXT74ZlgGe6_JY_1olB1XN4rF0dxEuIIF-xsYjHgg/edit?usp=sharing"",""พรบ!AS90"")"),0)</f>
        <v>0</v>
      </c>
      <c r="AS86" s="77">
        <f ca="1">IFERROR(__xludf.DUMMYFUNCTION("IMPORTRANGE(""https://docs.google.com/spreadsheets/d/1IYY_tgx_IHuhSq3AJ5eI5OnqOPBNLWSHKh2a30DoXe8/edit?usp=sharing"",""ยะลา!J138"")"),0)</f>
        <v>0</v>
      </c>
      <c r="AT86" s="137">
        <f t="shared" ca="1" si="22"/>
        <v>0</v>
      </c>
      <c r="AU86" s="77">
        <f ca="1">IFERROR(__xludf.DUMMYFUNCTION("IMPORTRANGE(""https://docs.google.com/spreadsheets/d/1C3CXT74ZlgGe6_JY_1olB1XN4rF0dxEuIIF-xsYjHgg/edit?usp=sharing"",""พรบ!AT90"")"),0)</f>
        <v>0</v>
      </c>
      <c r="AV86" s="77">
        <f ca="1">IFERROR(__xludf.DUMMYFUNCTION("IMPORTRANGE(""https://docs.google.com/spreadsheets/d/1C3CXT74ZlgGe6_JY_1olB1XN4rF0dxEuIIF-xsYjHgg/edit?usp=sharing"",""พรบ!AU90"")"),0)</f>
        <v>0</v>
      </c>
      <c r="AW86" s="77">
        <f ca="1">IFERROR(__xludf.DUMMYFUNCTION("IMPORTRANGE(""https://docs.google.com/spreadsheets/d/1IYY_tgx_IHuhSq3AJ5eI5OnqOPBNLWSHKh2a30DoXe8/edit?usp=sharing"",""ยะลา!J140"")"),0)</f>
        <v>0</v>
      </c>
      <c r="AX86" s="137">
        <f t="shared" ca="1" si="24"/>
        <v>0</v>
      </c>
      <c r="AY86" s="77">
        <f ca="1">IFERROR(__xludf.DUMMYFUNCTION("IMPORTRANGE(""https://docs.google.com/spreadsheets/d/1IYY_tgx_IHuhSq3AJ5eI5OnqOPBNLWSHKh2a30DoXe8/edit?usp=sharing"",""ยะลา!J141"")"),0)</f>
        <v>0</v>
      </c>
      <c r="AZ86" s="137">
        <f t="shared" ca="1" si="25"/>
        <v>0</v>
      </c>
      <c r="BA86" s="77">
        <f t="shared" ca="1" si="26"/>
        <v>0</v>
      </c>
      <c r="BB86" s="77">
        <f t="shared" ca="1" si="111"/>
        <v>0</v>
      </c>
      <c r="BC86" s="137">
        <f t="shared" ca="1" si="27"/>
        <v>0</v>
      </c>
    </row>
    <row r="87" spans="1:55" ht="21" customHeight="1">
      <c r="A87" s="73">
        <v>11</v>
      </c>
      <c r="B87" s="74" t="s">
        <v>111</v>
      </c>
      <c r="C87" s="75">
        <f t="shared" ca="1" si="0"/>
        <v>43600</v>
      </c>
      <c r="D87" s="76">
        <f t="shared" ca="1" si="109"/>
        <v>43600</v>
      </c>
      <c r="E87" s="77">
        <f ca="1">IFERROR(__xludf.DUMMYFUNCTION("IMPORTRANGE(""https://docs.google.com/spreadsheets/d/1C3CXT74ZlgGe6_JY_1olB1XN4rF0dxEuIIF-xsYjHgg/edit?usp=sharing"",""พรบ!AD91"")"),0)</f>
        <v>0</v>
      </c>
      <c r="F87" s="77">
        <f ca="1">IFERROR(__xludf.DUMMYFUNCTION("IMPORTRANGE(""https://docs.google.com/spreadsheets/d/1C3CXT74ZlgGe6_JY_1olB1XN4rF0dxEuIIF-xsYjHgg/edit?usp=sharing"",""พรบ!AE91"")"),43600)</f>
        <v>43600</v>
      </c>
      <c r="G87" s="77">
        <f ca="1">IFERROR(__xludf.DUMMYFUNCTION("IMPORTRANGE(""https://docs.google.com/spreadsheets/d/1Yj_ptqi66GCucihVvJfMjLAmec39IyEx_6qawtMGysU/edit?usp=sharing"",""สบก!BH91"")"),0)</f>
        <v>0</v>
      </c>
      <c r="H87" s="77">
        <f ca="1">IFERROR(__xludf.DUMMYFUNCTION("IMPORTRANGE(""https://docs.google.com/spreadsheets/d/1Yj_ptqi66GCucihVvJfMjLAmec39IyEx_6qawtMGysU/edit?usp=shBJing"",""สบก!BJ91"")"),41625)</f>
        <v>41625</v>
      </c>
      <c r="I87" s="77">
        <f t="shared" ca="1" si="3"/>
        <v>35000</v>
      </c>
      <c r="J87" s="137">
        <f t="shared" ca="1" si="4"/>
        <v>80.275229357798167</v>
      </c>
      <c r="K87" s="77">
        <f ca="1">IFERROR(__xludf.DUMMYFUNCTION("IMPORTRANGE(""https://docs.google.com/spreadsheets/d/1Yj_ptqi66GCucihVvJfMjLAmec39IyEx_6qawtMGysU/edit?usp=sharing"",""สบก!BK91"")"),35000)</f>
        <v>35000</v>
      </c>
      <c r="L87" s="137">
        <f t="shared" ca="1" si="5"/>
        <v>80.275229357798167</v>
      </c>
      <c r="M87" s="137">
        <f t="shared" ca="1" si="6"/>
        <v>84.084084084084083</v>
      </c>
      <c r="N87" s="137">
        <f ca="1">IFERROR(__xludf.DUMMYFUNCTION("IMPORTRANGE(""https://docs.google.com/spreadsheets/d/1Yj_ptqi66GCucihVvJfMjLAmec39IyEx_6qawtMGysU/edit?usp=sharing"",""สบก!BL91"")"),0)</f>
        <v>0</v>
      </c>
      <c r="O87" s="137">
        <f t="shared" ca="1" si="7"/>
        <v>0</v>
      </c>
      <c r="P87" s="77">
        <f ca="1">IFERROR(__xludf.DUMMYFUNCTION("IMPORTRANGE(""https://docs.google.com/spreadsheets/d/1C3CXT74ZlgGe6_JY_1olB1XN4rF0dxEuIIF-xsYjHgg/edit?usp=sharing"",""พรบ!AF91"")"),7500)</f>
        <v>7500</v>
      </c>
      <c r="Q87" s="77">
        <f ca="1">IFERROR(__xludf.DUMMYFUNCTION("IMPORTRANGE(""https://docs.google.com/spreadsheets/d/1C3CXT74ZlgGe6_JY_1olB1XN4rF0dxEuIIF-xsYjHgg/edit?usp=sharing"",""พรบ!AG91"")"),4)</f>
        <v>4</v>
      </c>
      <c r="R87" s="77">
        <f ca="1">IFERROR(__xludf.DUMMYFUNCTION("IMPORTRANGE(""https://docs.google.com/spreadsheets/d/1IYY_tgx_IHuhSq3AJ5eI5OnqOPBNLWSHKh2a30DoXe8/edit?usp=sharing"",""ระนอง!J83"")"),1)</f>
        <v>1</v>
      </c>
      <c r="S87" s="137">
        <f t="shared" ca="1" si="9"/>
        <v>25</v>
      </c>
      <c r="T87" s="77">
        <f t="shared" ca="1" si="110"/>
        <v>0</v>
      </c>
      <c r="U87" s="77">
        <f ca="1">IFERROR(__xludf.DUMMYFUNCTION("IMPORTRANGE(""https://docs.google.com/spreadsheets/d/1IYY_tgx_IHuhSq3AJ5eI5OnqOPBNLWSHKh2a30DoXe8/edit?usp=sharing"",""ระนอง!J85"")"),0)</f>
        <v>0</v>
      </c>
      <c r="V87" s="77">
        <f ca="1">IFERROR(__xludf.DUMMYFUNCTION("IMPORTRANGE(""https://docs.google.com/spreadsheets/d/1IYY_tgx_IHuhSq3AJ5eI5OnqOPBNLWSHKh2a30DoXe8/edit?usp=sharing"",""ระนอง!J86"")"),0)</f>
        <v>0</v>
      </c>
      <c r="W87" s="77">
        <f ca="1">IFERROR(__xludf.DUMMYFUNCTION("IMPORTRANGE(""https://docs.google.com/spreadsheets/d/1C3CXT74ZlgGe6_JY_1olB1XN4rF0dxEuIIF-xsYjHgg/edit?usp=sharing"",""พรบ!AH91"")"),28000)</f>
        <v>28000</v>
      </c>
      <c r="X87" s="77">
        <f ca="1">IFERROR(__xludf.DUMMYFUNCTION("IMPORTRANGE(""https://docs.google.com/spreadsheets/d/1C3CXT74ZlgGe6_JY_1olB1XN4rF0dxEuIIF-xsYjHgg/edit?usp=sharing"",""พรบ!AI91"")"),2)</f>
        <v>2</v>
      </c>
      <c r="Y87" s="77">
        <f ca="1">IFERROR(__xludf.DUMMYFUNCTION("IMPORTRANGE(""https://docs.google.com/spreadsheets/d/1IYY_tgx_IHuhSq3AJ5eI5OnqOPBNLWSHKh2a30DoXe8/edit?usp=sharing"",""ระนอง!J98"")"),2)</f>
        <v>2</v>
      </c>
      <c r="Z87" s="137">
        <f t="shared" ca="1" si="11"/>
        <v>100</v>
      </c>
      <c r="AA87" s="77">
        <f ca="1">IFERROR(__xludf.DUMMYFUNCTION("IMPORTRANGE(""https://docs.google.com/spreadsheets/d/1C3CXT74ZlgGe6_JY_1olB1XN4rF0dxEuIIF-xsYjHgg/edit?usp=sharing"",""พรบ!AJ91"")"),0)</f>
        <v>0</v>
      </c>
      <c r="AB87" s="77">
        <f ca="1">IFERROR(__xludf.DUMMYFUNCTION("IMPORTRANGE(""https://docs.google.com/spreadsheets/d/1C3CXT74ZlgGe6_JY_1olB1XN4rF0dxEuIIF-xsYjHgg/edit?usp=sharing"",""พรบ!AK91"")"),0)</f>
        <v>0</v>
      </c>
      <c r="AC87" s="77">
        <f ca="1">IFERROR(__xludf.DUMMYFUNCTION("IMPORTRANGE(""https://docs.google.com/spreadsheets/d/1IYY_tgx_IHuhSq3AJ5eI5OnqOPBNLWSHKh2a30DoXe8/edit?usp=sharing"",""ระนอง!J110"")"),0)</f>
        <v>0</v>
      </c>
      <c r="AD87" s="137">
        <f t="shared" ca="1" si="13"/>
        <v>0</v>
      </c>
      <c r="AE87" s="77">
        <f ca="1">IFERROR(__xludf.DUMMYFUNCTION("IMPORTRANGE(""https://docs.google.com/spreadsheets/d/1C3CXT74ZlgGe6_JY_1olB1XN4rF0dxEuIIF-xsYjHgg/edit?usp=sharing"",""พรบ!AL91"")"),0)</f>
        <v>0</v>
      </c>
      <c r="AF87" s="77">
        <f ca="1">IFERROR(__xludf.DUMMYFUNCTION("IMPORTRANGE(""https://docs.google.com/spreadsheets/d/1IYY_tgx_IHuhSq3AJ5eI5OnqOPBNLWSHKh2a30DoXe8/edit?usp=sharing"",""ระนอง!J111"")"),0)</f>
        <v>0</v>
      </c>
      <c r="AG87" s="137">
        <f t="shared" ca="1" si="15"/>
        <v>0</v>
      </c>
      <c r="AH87" s="77">
        <f ca="1">IFERROR(__xludf.DUMMYFUNCTION("IMPORTRANGE(""https://docs.google.com/spreadsheets/d/1C3CXT74ZlgGe6_JY_1olB1XN4rF0dxEuIIF-xsYjHgg/edit?usp=sharing"",""พรบ!AM91"")"),8100)</f>
        <v>8100</v>
      </c>
      <c r="AI87" s="77">
        <f ca="1">IFERROR(__xludf.DUMMYFUNCTION("IMPORTRANGE(""https://docs.google.com/spreadsheets/d/1C3CXT74ZlgGe6_JY_1olB1XN4rF0dxEuIIF-xsYjHgg/edit?usp=sharing"",""พรบ!AN91"")"),12800)</f>
        <v>12800</v>
      </c>
      <c r="AJ87" s="77">
        <f ca="1">IFERROR(__xludf.DUMMYFUNCTION("IMPORTRANGE(""https://docs.google.com/spreadsheets/d/1IYY_tgx_IHuhSq3AJ5eI5OnqOPBNLWSHKh2a30DoXe8/edit?usp=sharing"",""ระนอง!J124"")"),0)</f>
        <v>0</v>
      </c>
      <c r="AK87" s="137">
        <f t="shared" ca="1" si="17"/>
        <v>0</v>
      </c>
      <c r="AL87" s="77">
        <f ca="1">IFERROR(__xludf.DUMMYFUNCTION("IMPORTRANGE(""https://docs.google.com/spreadsheets/d/1IYY_tgx_IHuhSq3AJ5eI5OnqOPBNLWSHKh2a30DoXe8/edit?usp=sharing"",""ระนอง!J125"")"),0)</f>
        <v>0</v>
      </c>
      <c r="AM87" s="137">
        <f t="shared" ca="1" si="18"/>
        <v>0</v>
      </c>
      <c r="AN87" s="77">
        <f ca="1">IFERROR(__xludf.DUMMYFUNCTION("IMPORTRANGE(""https://docs.google.com/spreadsheets/d/1C3CXT74ZlgGe6_JY_1olB1XN4rF0dxEuIIF-xsYjHgg/edit?usp=sharing"",""พรบ!AQ91"")"),0)</f>
        <v>0</v>
      </c>
      <c r="AO87" s="77">
        <f ca="1">IFERROR(__xludf.DUMMYFUNCTION("IMPORTRANGE(""https://docs.google.com/spreadsheets/d/1IYY_tgx_IHuhSq3AJ5eI5OnqOPBNLWSHKh2a30DoXe8/edit?usp=sharing"",""ระนอง!J126"")"),0)</f>
        <v>0</v>
      </c>
      <c r="AP87" s="137">
        <f t="shared" ca="1" si="20"/>
        <v>0</v>
      </c>
      <c r="AQ87" s="149">
        <f ca="1">IFERROR(__xludf.DUMMYFUNCTION("IMPORTRANGE(""https://docs.google.com/spreadsheets/d/1C3CXT74ZlgGe6_JY_1olB1XN4rF0dxEuIIF-xsYjHgg/edit?usp=sharing"",""พรบ!AR91"")"),0)</f>
        <v>0</v>
      </c>
      <c r="AR87" s="77">
        <f ca="1">IFERROR(__xludf.DUMMYFUNCTION("IMPORTRANGE(""https://docs.google.com/spreadsheets/d/1C3CXT74ZlgGe6_JY_1olB1XN4rF0dxEuIIF-xsYjHgg/edit?usp=sharing"",""พรบ!AS91"")"),0)</f>
        <v>0</v>
      </c>
      <c r="AS87" s="77">
        <f ca="1">IFERROR(__xludf.DUMMYFUNCTION("IMPORTRANGE(""https://docs.google.com/spreadsheets/d/1IYY_tgx_IHuhSq3AJ5eI5OnqOPBNLWSHKh2a30DoXe8/edit?usp=sharing"",""ระนอง!J138"")"),0)</f>
        <v>0</v>
      </c>
      <c r="AT87" s="137">
        <f t="shared" ca="1" si="22"/>
        <v>0</v>
      </c>
      <c r="AU87" s="77">
        <f ca="1">IFERROR(__xludf.DUMMYFUNCTION("IMPORTRANGE(""https://docs.google.com/spreadsheets/d/1C3CXT74ZlgGe6_JY_1olB1XN4rF0dxEuIIF-xsYjHgg/edit?usp=sharing"",""พรบ!AT91"")"),0)</f>
        <v>0</v>
      </c>
      <c r="AV87" s="77">
        <f ca="1">IFERROR(__xludf.DUMMYFUNCTION("IMPORTRANGE(""https://docs.google.com/spreadsheets/d/1C3CXT74ZlgGe6_JY_1olB1XN4rF0dxEuIIF-xsYjHgg/edit?usp=sharing"",""พรบ!AU91"")"),0)</f>
        <v>0</v>
      </c>
      <c r="AW87" s="77">
        <f ca="1">IFERROR(__xludf.DUMMYFUNCTION("IMPORTRANGE(""https://docs.google.com/spreadsheets/d/1IYY_tgx_IHuhSq3AJ5eI5OnqOPBNLWSHKh2a30DoXe8/edit?usp=sharing"",""ระนอง!J140"")"),0)</f>
        <v>0</v>
      </c>
      <c r="AX87" s="137">
        <f t="shared" ca="1" si="24"/>
        <v>0</v>
      </c>
      <c r="AY87" s="77">
        <f ca="1">IFERROR(__xludf.DUMMYFUNCTION("IMPORTRANGE(""https://docs.google.com/spreadsheets/d/1IYY_tgx_IHuhSq3AJ5eI5OnqOPBNLWSHKh2a30DoXe8/edit?usp=sharing"",""ระนอง!J141"")"),0)</f>
        <v>0</v>
      </c>
      <c r="AZ87" s="137">
        <f t="shared" ca="1" si="25"/>
        <v>0</v>
      </c>
      <c r="BA87" s="77">
        <f t="shared" ca="1" si="26"/>
        <v>0</v>
      </c>
      <c r="BB87" s="77">
        <f t="shared" ca="1" si="111"/>
        <v>0</v>
      </c>
      <c r="BC87" s="137">
        <f t="shared" ca="1" si="27"/>
        <v>0</v>
      </c>
    </row>
    <row r="88" spans="1:55" ht="24" customHeight="1">
      <c r="A88" s="73">
        <v>12</v>
      </c>
      <c r="B88" s="74" t="s">
        <v>112</v>
      </c>
      <c r="C88" s="75">
        <f t="shared" ca="1" si="0"/>
        <v>204900</v>
      </c>
      <c r="D88" s="76">
        <f t="shared" ca="1" si="109"/>
        <v>204900</v>
      </c>
      <c r="E88" s="77">
        <f ca="1">IFERROR(__xludf.DUMMYFUNCTION("IMPORTRANGE(""https://docs.google.com/spreadsheets/d/1C3CXT74ZlgGe6_JY_1olB1XN4rF0dxEuIIF-xsYjHgg/edit?usp=sharing"",""พรบ!AD92"")"),0)</f>
        <v>0</v>
      </c>
      <c r="F88" s="77">
        <f ca="1">IFERROR(__xludf.DUMMYFUNCTION("IMPORTRANGE(""https://docs.google.com/spreadsheets/d/1C3CXT74ZlgGe6_JY_1olB1XN4rF0dxEuIIF-xsYjHgg/edit?usp=sharing"",""พรบ!AE92"")"),204900)</f>
        <v>204900</v>
      </c>
      <c r="G88" s="77">
        <f ca="1">IFERROR(__xludf.DUMMYFUNCTION("IMPORTRANGE(""https://docs.google.com/spreadsheets/d/1Yj_ptqi66GCucihVvJfMjLAmec39IyEx_6qawtMGysU/edit?usp=sharing"",""สบก!BH92"")"),0)</f>
        <v>0</v>
      </c>
      <c r="H88" s="77">
        <f ca="1">IFERROR(__xludf.DUMMYFUNCTION("IMPORTRANGE(""https://docs.google.com/spreadsheets/d/1Yj_ptqi66GCucihVvJfMjLAmec39IyEx_6qawtMGysU/edit?usp=shBJing"",""สบก!BJ92"")"),194625)</f>
        <v>194625</v>
      </c>
      <c r="I88" s="77">
        <f t="shared" ca="1" si="3"/>
        <v>132580</v>
      </c>
      <c r="J88" s="137">
        <f t="shared" ca="1" si="4"/>
        <v>64.704734016593463</v>
      </c>
      <c r="K88" s="77">
        <f ca="1">IFERROR(__xludf.DUMMYFUNCTION("IMPORTRANGE(""https://docs.google.com/spreadsheets/d/1Yj_ptqi66GCucihVvJfMjLAmec39IyEx_6qawtMGysU/edit?usp=sharing"",""สบก!BK92"")"),132580)</f>
        <v>132580</v>
      </c>
      <c r="L88" s="137">
        <f t="shared" ca="1" si="5"/>
        <v>64.704734016593463</v>
      </c>
      <c r="M88" s="137">
        <f t="shared" ca="1" si="6"/>
        <v>68.120745022479127</v>
      </c>
      <c r="N88" s="137">
        <f ca="1">IFERROR(__xludf.DUMMYFUNCTION("IMPORTRANGE(""https://docs.google.com/spreadsheets/d/1Yj_ptqi66GCucihVvJfMjLAmec39IyEx_6qawtMGysU/edit?usp=sharing"",""สบก!BL92"")"),0)</f>
        <v>0</v>
      </c>
      <c r="O88" s="137">
        <f t="shared" ca="1" si="7"/>
        <v>0</v>
      </c>
      <c r="P88" s="77">
        <f ca="1">IFERROR(__xludf.DUMMYFUNCTION("IMPORTRANGE(""https://docs.google.com/spreadsheets/d/1C3CXT74ZlgGe6_JY_1olB1XN4rF0dxEuIIF-xsYjHgg/edit?usp=sharing"",""พรบ!AF92"")"),7500)</f>
        <v>7500</v>
      </c>
      <c r="Q88" s="77">
        <f ca="1">IFERROR(__xludf.DUMMYFUNCTION("IMPORTRANGE(""https://docs.google.com/spreadsheets/d/1C3CXT74ZlgGe6_JY_1olB1XN4rF0dxEuIIF-xsYjHgg/edit?usp=sharing"",""พรบ!AG92"")"),4)</f>
        <v>4</v>
      </c>
      <c r="R88" s="77">
        <f ca="1">IFERROR(__xludf.DUMMYFUNCTION("IMPORTRANGE(""https://docs.google.com/spreadsheets/d/1IYY_tgx_IHuhSq3AJ5eI5OnqOPBNLWSHKh2a30DoXe8/edit?usp=sharing"",""สงขลา!J83"")"),1)</f>
        <v>1</v>
      </c>
      <c r="S88" s="137">
        <f t="shared" ca="1" si="9"/>
        <v>25</v>
      </c>
      <c r="T88" s="77">
        <f t="shared" ca="1" si="110"/>
        <v>34</v>
      </c>
      <c r="U88" s="77">
        <f ca="1">IFERROR(__xludf.DUMMYFUNCTION("IMPORTRANGE(""https://docs.google.com/spreadsheets/d/1IYY_tgx_IHuhSq3AJ5eI5OnqOPBNLWSHKh2a30DoXe8/edit?usp=sharing"",""สงขลา!J85"")"),34)</f>
        <v>34</v>
      </c>
      <c r="V88" s="77">
        <f ca="1">IFERROR(__xludf.DUMMYFUNCTION("IMPORTRANGE(""https://docs.google.com/spreadsheets/d/1IYY_tgx_IHuhSq3AJ5eI5OnqOPBNLWSHKh2a30DoXe8/edit?usp=sharing"",""สงขลา!J86"")"),0)</f>
        <v>0</v>
      </c>
      <c r="W88" s="77">
        <f ca="1">IFERROR(__xludf.DUMMYFUNCTION("IMPORTRANGE(""https://docs.google.com/spreadsheets/d/1C3CXT74ZlgGe6_JY_1olB1XN4rF0dxEuIIF-xsYjHgg/edit?usp=sharing"",""พรบ!AH92"")"),84000)</f>
        <v>84000</v>
      </c>
      <c r="X88" s="77">
        <f ca="1">IFERROR(__xludf.DUMMYFUNCTION("IMPORTRANGE(""https://docs.google.com/spreadsheets/d/1C3CXT74ZlgGe6_JY_1olB1XN4rF0dxEuIIF-xsYjHgg/edit?usp=sharing"",""พรบ!AI92"")"),6)</f>
        <v>6</v>
      </c>
      <c r="Y88" s="77">
        <f ca="1">IFERROR(__xludf.DUMMYFUNCTION("IMPORTRANGE(""https://docs.google.com/spreadsheets/d/1IYY_tgx_IHuhSq3AJ5eI5OnqOPBNLWSHKh2a30DoXe8/edit?usp=sharing"",""สงขลา!J98"")"),6)</f>
        <v>6</v>
      </c>
      <c r="Z88" s="137">
        <f t="shared" ca="1" si="11"/>
        <v>100</v>
      </c>
      <c r="AA88" s="77">
        <f ca="1">IFERROR(__xludf.DUMMYFUNCTION("IMPORTRANGE(""https://docs.google.com/spreadsheets/d/1C3CXT74ZlgGe6_JY_1olB1XN4rF0dxEuIIF-xsYjHgg/edit?usp=sharing"",""พรบ!AJ92"")"),105000)</f>
        <v>105000</v>
      </c>
      <c r="AB88" s="77">
        <f ca="1">IFERROR(__xludf.DUMMYFUNCTION("IMPORTRANGE(""https://docs.google.com/spreadsheets/d/1C3CXT74ZlgGe6_JY_1olB1XN4rF0dxEuIIF-xsYjHgg/edit?usp=sharing"",""พรบ!AK92"")"),7)</f>
        <v>7</v>
      </c>
      <c r="AC88" s="77">
        <f ca="1">IFERROR(__xludf.DUMMYFUNCTION("IMPORTRANGE(""https://docs.google.com/spreadsheets/d/1IYY_tgx_IHuhSq3AJ5eI5OnqOPBNLWSHKh2a30DoXe8/edit?usp=sharing"",""สงขลา!J110"")"),0)</f>
        <v>0</v>
      </c>
      <c r="AD88" s="137">
        <f t="shared" ca="1" si="13"/>
        <v>0</v>
      </c>
      <c r="AE88" s="77">
        <f ca="1">IFERROR(__xludf.DUMMYFUNCTION("IMPORTRANGE(""https://docs.google.com/spreadsheets/d/1C3CXT74ZlgGe6_JY_1olB1XN4rF0dxEuIIF-xsYjHgg/edit?usp=sharing"",""พรบ!AL92"")"),7)</f>
        <v>7</v>
      </c>
      <c r="AF88" s="77">
        <f ca="1">IFERROR(__xludf.DUMMYFUNCTION("IMPORTRANGE(""https://docs.google.com/spreadsheets/d/1IYY_tgx_IHuhSq3AJ5eI5OnqOPBNLWSHKh2a30DoXe8/edit?usp=sharing"",""สงขลา!J111"")"),7)</f>
        <v>7</v>
      </c>
      <c r="AG88" s="137">
        <f t="shared" ca="1" si="15"/>
        <v>100</v>
      </c>
      <c r="AH88" s="77">
        <f ca="1">IFERROR(__xludf.DUMMYFUNCTION("IMPORTRANGE(""https://docs.google.com/spreadsheets/d/1C3CXT74ZlgGe6_JY_1olB1XN4rF0dxEuIIF-xsYjHgg/edit?usp=sharing"",""พรบ!AM92"")"),8400)</f>
        <v>8400</v>
      </c>
      <c r="AI88" s="77">
        <f ca="1">IFERROR(__xludf.DUMMYFUNCTION("IMPORTRANGE(""https://docs.google.com/spreadsheets/d/1C3CXT74ZlgGe6_JY_1olB1XN4rF0dxEuIIF-xsYjHgg/edit?usp=sharing"",""พรบ!AN92"")"),15000)</f>
        <v>15000</v>
      </c>
      <c r="AJ88" s="77">
        <f ca="1">IFERROR(__xludf.DUMMYFUNCTION("IMPORTRANGE(""https://docs.google.com/spreadsheets/d/1IYY_tgx_IHuhSq3AJ5eI5OnqOPBNLWSHKh2a30DoXe8/edit?usp=sharing"",""สงขลา!J124"")"),0)</f>
        <v>0</v>
      </c>
      <c r="AK88" s="137">
        <f t="shared" ca="1" si="17"/>
        <v>0</v>
      </c>
      <c r="AL88" s="77">
        <f ca="1">IFERROR(__xludf.DUMMYFUNCTION("IMPORTRANGE(""https://docs.google.com/spreadsheets/d/1IYY_tgx_IHuhSq3AJ5eI5OnqOPBNLWSHKh2a30DoXe8/edit?usp=sharing"",""สงขลา!J125"")"),0)</f>
        <v>0</v>
      </c>
      <c r="AM88" s="137">
        <f t="shared" ca="1" si="18"/>
        <v>0</v>
      </c>
      <c r="AN88" s="77">
        <f ca="1">IFERROR(__xludf.DUMMYFUNCTION("IMPORTRANGE(""https://docs.google.com/spreadsheets/d/1C3CXT74ZlgGe6_JY_1olB1XN4rF0dxEuIIF-xsYjHgg/edit?usp=sharing"",""พรบ!AQ92"")"),0)</f>
        <v>0</v>
      </c>
      <c r="AO88" s="77">
        <f ca="1">IFERROR(__xludf.DUMMYFUNCTION("IMPORTRANGE(""https://docs.google.com/spreadsheets/d/1IYY_tgx_IHuhSq3AJ5eI5OnqOPBNLWSHKh2a30DoXe8/edit?usp=sharing"",""สงขลา!J126"")"),0)</f>
        <v>0</v>
      </c>
      <c r="AP88" s="137">
        <f t="shared" ca="1" si="20"/>
        <v>0</v>
      </c>
      <c r="AQ88" s="149">
        <f ca="1">IFERROR(__xludf.DUMMYFUNCTION("IMPORTRANGE(""https://docs.google.com/spreadsheets/d/1C3CXT74ZlgGe6_JY_1olB1XN4rF0dxEuIIF-xsYjHgg/edit?usp=sharing"",""พรบ!AR92"")"),0)</f>
        <v>0</v>
      </c>
      <c r="AR88" s="77">
        <f ca="1">IFERROR(__xludf.DUMMYFUNCTION("IMPORTRANGE(""https://docs.google.com/spreadsheets/d/1C3CXT74ZlgGe6_JY_1olB1XN4rF0dxEuIIF-xsYjHgg/edit?usp=sharing"",""พรบ!AS92"")"),0)</f>
        <v>0</v>
      </c>
      <c r="AS88" s="77">
        <f ca="1">IFERROR(__xludf.DUMMYFUNCTION("IMPORTRANGE(""https://docs.google.com/spreadsheets/d/1IYY_tgx_IHuhSq3AJ5eI5OnqOPBNLWSHKh2a30DoXe8/edit?usp=sharing"",""สงขลา!J138"")"),0)</f>
        <v>0</v>
      </c>
      <c r="AT88" s="137">
        <f t="shared" ca="1" si="22"/>
        <v>0</v>
      </c>
      <c r="AU88" s="77">
        <f ca="1">IFERROR(__xludf.DUMMYFUNCTION("IMPORTRANGE(""https://docs.google.com/spreadsheets/d/1C3CXT74ZlgGe6_JY_1olB1XN4rF0dxEuIIF-xsYjHgg/edit?usp=sharing"",""พรบ!AT92"")"),0)</f>
        <v>0</v>
      </c>
      <c r="AV88" s="77">
        <f ca="1">IFERROR(__xludf.DUMMYFUNCTION("IMPORTRANGE(""https://docs.google.com/spreadsheets/d/1C3CXT74ZlgGe6_JY_1olB1XN4rF0dxEuIIF-xsYjHgg/edit?usp=sharing"",""พรบ!AU92"")"),0)</f>
        <v>0</v>
      </c>
      <c r="AW88" s="77">
        <f ca="1">IFERROR(__xludf.DUMMYFUNCTION("IMPORTRANGE(""https://docs.google.com/spreadsheets/d/1IYY_tgx_IHuhSq3AJ5eI5OnqOPBNLWSHKh2a30DoXe8/edit?usp=sharing"",""สงขลา!J140"")"),0)</f>
        <v>0</v>
      </c>
      <c r="AX88" s="137">
        <f t="shared" ca="1" si="24"/>
        <v>0</v>
      </c>
      <c r="AY88" s="77">
        <f ca="1">IFERROR(__xludf.DUMMYFUNCTION("IMPORTRANGE(""https://docs.google.com/spreadsheets/d/1IYY_tgx_IHuhSq3AJ5eI5OnqOPBNLWSHKh2a30DoXe8/edit?usp=sharing"",""สงขลา!J141"")"),0)</f>
        <v>0</v>
      </c>
      <c r="AZ88" s="137">
        <f t="shared" ca="1" si="25"/>
        <v>0</v>
      </c>
      <c r="BA88" s="77">
        <f t="shared" ca="1" si="26"/>
        <v>0</v>
      </c>
      <c r="BB88" s="77">
        <f t="shared" ca="1" si="111"/>
        <v>0</v>
      </c>
      <c r="BC88" s="137">
        <f t="shared" ca="1" si="27"/>
        <v>0</v>
      </c>
    </row>
    <row r="89" spans="1:55" ht="24" customHeight="1">
      <c r="A89" s="73">
        <v>13</v>
      </c>
      <c r="B89" s="74" t="s">
        <v>113</v>
      </c>
      <c r="C89" s="75">
        <f t="shared" ca="1" si="0"/>
        <v>42700</v>
      </c>
      <c r="D89" s="76">
        <f t="shared" ca="1" si="109"/>
        <v>42700</v>
      </c>
      <c r="E89" s="77">
        <f ca="1">IFERROR(__xludf.DUMMYFUNCTION("IMPORTRANGE(""https://docs.google.com/spreadsheets/d/1C3CXT74ZlgGe6_JY_1olB1XN4rF0dxEuIIF-xsYjHgg/edit?usp=sharing"",""พรบ!AD93"")"),0)</f>
        <v>0</v>
      </c>
      <c r="F89" s="77">
        <f ca="1">IFERROR(__xludf.DUMMYFUNCTION("IMPORTRANGE(""https://docs.google.com/spreadsheets/d/1C3CXT74ZlgGe6_JY_1olB1XN4rF0dxEuIIF-xsYjHgg/edit?usp=sharing"",""พรบ!AE93"")"),42700)</f>
        <v>42700</v>
      </c>
      <c r="G89" s="77">
        <f ca="1">IFERROR(__xludf.DUMMYFUNCTION("IMPORTRANGE(""https://docs.google.com/spreadsheets/d/1Yj_ptqi66GCucihVvJfMjLAmec39IyEx_6qawtMGysU/edit?usp=sharing"",""สบก!BH93"")"),0)</f>
        <v>0</v>
      </c>
      <c r="H89" s="77">
        <f ca="1">IFERROR(__xludf.DUMMYFUNCTION("IMPORTRANGE(""https://docs.google.com/spreadsheets/d/1Yj_ptqi66GCucihVvJfMjLAmec39IyEx_6qawtMGysU/edit?usp=shBJing"",""สบก!BJ93"")"),41625)</f>
        <v>41625</v>
      </c>
      <c r="I89" s="77">
        <f t="shared" ca="1" si="3"/>
        <v>29375</v>
      </c>
      <c r="J89" s="137">
        <f t="shared" ca="1" si="4"/>
        <v>68.793911007025756</v>
      </c>
      <c r="K89" s="77">
        <f ca="1">IFERROR(__xludf.DUMMYFUNCTION("IMPORTRANGE(""https://docs.google.com/spreadsheets/d/1Yj_ptqi66GCucihVvJfMjLAmec39IyEx_6qawtMGysU/edit?usp=sharing"",""สบก!BK93"")"),29375)</f>
        <v>29375</v>
      </c>
      <c r="L89" s="137">
        <f t="shared" ca="1" si="5"/>
        <v>68.793911007025756</v>
      </c>
      <c r="M89" s="137">
        <f t="shared" ca="1" si="6"/>
        <v>70.570570570570567</v>
      </c>
      <c r="N89" s="137">
        <f ca="1">IFERROR(__xludf.DUMMYFUNCTION("IMPORTRANGE(""https://docs.google.com/spreadsheets/d/1Yj_ptqi66GCucihVvJfMjLAmec39IyEx_6qawtMGysU/edit?usp=sharing"",""สบก!BL93"")"),0)</f>
        <v>0</v>
      </c>
      <c r="O89" s="137">
        <f t="shared" ca="1" si="7"/>
        <v>0</v>
      </c>
      <c r="P89" s="77">
        <f ca="1">IFERROR(__xludf.DUMMYFUNCTION("IMPORTRANGE(""https://docs.google.com/spreadsheets/d/1C3CXT74ZlgGe6_JY_1olB1XN4rF0dxEuIIF-xsYjHgg/edit?usp=sharing"",""พรบ!AF93"")"),7500)</f>
        <v>7500</v>
      </c>
      <c r="Q89" s="77">
        <f ca="1">IFERROR(__xludf.DUMMYFUNCTION("IMPORTRANGE(""https://docs.google.com/spreadsheets/d/1C3CXT74ZlgGe6_JY_1olB1XN4rF0dxEuIIF-xsYjHgg/edit?usp=sharing"",""พรบ!AG93"")"),4)</f>
        <v>4</v>
      </c>
      <c r="R89" s="77">
        <f ca="1">IFERROR(__xludf.DUMMYFUNCTION("IMPORTRANGE(""https://docs.google.com/spreadsheets/d/1IYY_tgx_IHuhSq3AJ5eI5OnqOPBNLWSHKh2a30DoXe8/edit?usp=sharing"",""สตูล!J83"")"),2)</f>
        <v>2</v>
      </c>
      <c r="S89" s="137">
        <f t="shared" ca="1" si="9"/>
        <v>50</v>
      </c>
      <c r="T89" s="77">
        <f t="shared" ca="1" si="110"/>
        <v>12</v>
      </c>
      <c r="U89" s="77">
        <f ca="1">IFERROR(__xludf.DUMMYFUNCTION("IMPORTRANGE(""https://docs.google.com/spreadsheets/d/1IYY_tgx_IHuhSq3AJ5eI5OnqOPBNLWSHKh2a30DoXe8/edit?usp=sharing"",""สตูล!J85"")"),12)</f>
        <v>12</v>
      </c>
      <c r="V89" s="77">
        <f ca="1">IFERROR(__xludf.DUMMYFUNCTION("IMPORTRANGE(""https://docs.google.com/spreadsheets/d/1IYY_tgx_IHuhSq3AJ5eI5OnqOPBNLWSHKh2a30DoXe8/edit?usp=sharing"",""สตูล!J86"")"),0)</f>
        <v>0</v>
      </c>
      <c r="W89" s="77">
        <f ca="1">IFERROR(__xludf.DUMMYFUNCTION("IMPORTRANGE(""https://docs.google.com/spreadsheets/d/1C3CXT74ZlgGe6_JY_1olB1XN4rF0dxEuIIF-xsYjHgg/edit?usp=sharing"",""พรบ!AH93"")"),28000)</f>
        <v>28000</v>
      </c>
      <c r="X89" s="77">
        <f ca="1">IFERROR(__xludf.DUMMYFUNCTION("IMPORTRANGE(""https://docs.google.com/spreadsheets/d/1C3CXT74ZlgGe6_JY_1olB1XN4rF0dxEuIIF-xsYjHgg/edit?usp=sharing"",""พรบ!AI93"")"),2)</f>
        <v>2</v>
      </c>
      <c r="Y89" s="77">
        <f ca="1">IFERROR(__xludf.DUMMYFUNCTION("IMPORTRANGE(""https://docs.google.com/spreadsheets/d/1IYY_tgx_IHuhSq3AJ5eI5OnqOPBNLWSHKh2a30DoXe8/edit?usp=sharing"",""สตูล!J98"")"),2)</f>
        <v>2</v>
      </c>
      <c r="Z89" s="137">
        <f t="shared" ca="1" si="11"/>
        <v>100</v>
      </c>
      <c r="AA89" s="77">
        <f ca="1">IFERROR(__xludf.DUMMYFUNCTION("IMPORTRANGE(""https://docs.google.com/spreadsheets/d/1C3CXT74ZlgGe6_JY_1olB1XN4rF0dxEuIIF-xsYjHgg/edit?usp=sharing"",""พรบ!AJ93"")"),0)</f>
        <v>0</v>
      </c>
      <c r="AB89" s="77">
        <f ca="1">IFERROR(__xludf.DUMMYFUNCTION("IMPORTRANGE(""https://docs.google.com/spreadsheets/d/1C3CXT74ZlgGe6_JY_1olB1XN4rF0dxEuIIF-xsYjHgg/edit?usp=sharing"",""พรบ!AK93"")"),0)</f>
        <v>0</v>
      </c>
      <c r="AC89" s="77">
        <f ca="1">IFERROR(__xludf.DUMMYFUNCTION("IMPORTRANGE(""https://docs.google.com/spreadsheets/d/1IYY_tgx_IHuhSq3AJ5eI5OnqOPBNLWSHKh2a30DoXe8/edit?usp=sharing"",""สตูล!J110"")"),0)</f>
        <v>0</v>
      </c>
      <c r="AD89" s="137">
        <f t="shared" ca="1" si="13"/>
        <v>0</v>
      </c>
      <c r="AE89" s="77">
        <f ca="1">IFERROR(__xludf.DUMMYFUNCTION("IMPORTRANGE(""https://docs.google.com/spreadsheets/d/1C3CXT74ZlgGe6_JY_1olB1XN4rF0dxEuIIF-xsYjHgg/edit?usp=sharing"",""พรบ!AL93"")"),0)</f>
        <v>0</v>
      </c>
      <c r="AF89" s="77">
        <f ca="1">IFERROR(__xludf.DUMMYFUNCTION("IMPORTRANGE(""https://docs.google.com/spreadsheets/d/1IYY_tgx_IHuhSq3AJ5eI5OnqOPBNLWSHKh2a30DoXe8/edit?usp=sharing"",""สตูล!J111"")"),0)</f>
        <v>0</v>
      </c>
      <c r="AG89" s="137">
        <f t="shared" ca="1" si="15"/>
        <v>0</v>
      </c>
      <c r="AH89" s="77">
        <f ca="1">IFERROR(__xludf.DUMMYFUNCTION("IMPORTRANGE(""https://docs.google.com/spreadsheets/d/1C3CXT74ZlgGe6_JY_1olB1XN4rF0dxEuIIF-xsYjHgg/edit?usp=sharing"",""พรบ!AM93"")"),7200)</f>
        <v>7200</v>
      </c>
      <c r="AI89" s="77">
        <f ca="1">IFERROR(__xludf.DUMMYFUNCTION("IMPORTRANGE(""https://docs.google.com/spreadsheets/d/1C3CXT74ZlgGe6_JY_1olB1XN4rF0dxEuIIF-xsYjHgg/edit?usp=sharing"",""พรบ!AN93"")"),6400)</f>
        <v>6400</v>
      </c>
      <c r="AJ89" s="77">
        <f ca="1">IFERROR(__xludf.DUMMYFUNCTION("IMPORTRANGE(""https://docs.google.com/spreadsheets/d/1IYY_tgx_IHuhSq3AJ5eI5OnqOPBNLWSHKh2a30DoXe8/edit?usp=sharing"",""สตูล!J124"")"),0)</f>
        <v>0</v>
      </c>
      <c r="AK89" s="137">
        <f t="shared" ca="1" si="17"/>
        <v>0</v>
      </c>
      <c r="AL89" s="77">
        <f ca="1">IFERROR(__xludf.DUMMYFUNCTION("IMPORTRANGE(""https://docs.google.com/spreadsheets/d/1IYY_tgx_IHuhSq3AJ5eI5OnqOPBNLWSHKh2a30DoXe8/edit?usp=sharing"",""สตูล!J125"")"),0)</f>
        <v>0</v>
      </c>
      <c r="AM89" s="137">
        <f t="shared" ca="1" si="18"/>
        <v>0</v>
      </c>
      <c r="AN89" s="77">
        <f ca="1">IFERROR(__xludf.DUMMYFUNCTION("IMPORTRANGE(""https://docs.google.com/spreadsheets/d/1C3CXT74ZlgGe6_JY_1olB1XN4rF0dxEuIIF-xsYjHgg/edit?usp=sharing"",""พรบ!AQ93"")"),0)</f>
        <v>0</v>
      </c>
      <c r="AO89" s="77">
        <f ca="1">IFERROR(__xludf.DUMMYFUNCTION("IMPORTRANGE(""https://docs.google.com/spreadsheets/d/1IYY_tgx_IHuhSq3AJ5eI5OnqOPBNLWSHKh2a30DoXe8/edit?usp=sharing"",""สตูล!J126"")"),0)</f>
        <v>0</v>
      </c>
      <c r="AP89" s="137">
        <f t="shared" ca="1" si="20"/>
        <v>0</v>
      </c>
      <c r="AQ89" s="149">
        <f ca="1">IFERROR(__xludf.DUMMYFUNCTION("IMPORTRANGE(""https://docs.google.com/spreadsheets/d/1C3CXT74ZlgGe6_JY_1olB1XN4rF0dxEuIIF-xsYjHgg/edit?usp=sharing"",""พรบ!AR93"")"),0)</f>
        <v>0</v>
      </c>
      <c r="AR89" s="77">
        <f ca="1">IFERROR(__xludf.DUMMYFUNCTION("IMPORTRANGE(""https://docs.google.com/spreadsheets/d/1C3CXT74ZlgGe6_JY_1olB1XN4rF0dxEuIIF-xsYjHgg/edit?usp=sharing"",""พรบ!AS93"")"),0)</f>
        <v>0</v>
      </c>
      <c r="AS89" s="77">
        <f ca="1">IFERROR(__xludf.DUMMYFUNCTION("IMPORTRANGE(""https://docs.google.com/spreadsheets/d/1IYY_tgx_IHuhSq3AJ5eI5OnqOPBNLWSHKh2a30DoXe8/edit?usp=sharing"",""สตูล!J138"")"),0)</f>
        <v>0</v>
      </c>
      <c r="AT89" s="137">
        <f t="shared" ca="1" si="22"/>
        <v>0</v>
      </c>
      <c r="AU89" s="77">
        <f ca="1">IFERROR(__xludf.DUMMYFUNCTION("IMPORTRANGE(""https://docs.google.com/spreadsheets/d/1C3CXT74ZlgGe6_JY_1olB1XN4rF0dxEuIIF-xsYjHgg/edit?usp=sharing"",""พรบ!AT93"")"),0)</f>
        <v>0</v>
      </c>
      <c r="AV89" s="77">
        <f ca="1">IFERROR(__xludf.DUMMYFUNCTION("IMPORTRANGE(""https://docs.google.com/spreadsheets/d/1C3CXT74ZlgGe6_JY_1olB1XN4rF0dxEuIIF-xsYjHgg/edit?usp=sharing"",""พรบ!AU93"")"),0)</f>
        <v>0</v>
      </c>
      <c r="AW89" s="77">
        <f ca="1">IFERROR(__xludf.DUMMYFUNCTION("IMPORTRANGE(""https://docs.google.com/spreadsheets/d/1IYY_tgx_IHuhSq3AJ5eI5OnqOPBNLWSHKh2a30DoXe8/edit?usp=sharing"",""สตูล!J140"")"),0)</f>
        <v>0</v>
      </c>
      <c r="AX89" s="137">
        <f t="shared" ca="1" si="24"/>
        <v>0</v>
      </c>
      <c r="AY89" s="77">
        <f ca="1">IFERROR(__xludf.DUMMYFUNCTION("IMPORTRANGE(""https://docs.google.com/spreadsheets/d/1IYY_tgx_IHuhSq3AJ5eI5OnqOPBNLWSHKh2a30DoXe8/edit?usp=sharing"",""สตูล!J141"")"),0)</f>
        <v>0</v>
      </c>
      <c r="AZ89" s="137">
        <f t="shared" ca="1" si="25"/>
        <v>0</v>
      </c>
      <c r="BA89" s="77">
        <f t="shared" ca="1" si="26"/>
        <v>0</v>
      </c>
      <c r="BB89" s="77">
        <f t="shared" ca="1" si="111"/>
        <v>0</v>
      </c>
      <c r="BC89" s="137">
        <f t="shared" ca="1" si="27"/>
        <v>0</v>
      </c>
    </row>
    <row r="90" spans="1:55" ht="24" customHeight="1">
      <c r="A90" s="84">
        <v>14</v>
      </c>
      <c r="B90" s="85" t="s">
        <v>114</v>
      </c>
      <c r="C90" s="86">
        <f t="shared" ca="1" si="0"/>
        <v>57000</v>
      </c>
      <c r="D90" s="87">
        <f t="shared" ca="1" si="109"/>
        <v>57000</v>
      </c>
      <c r="E90" s="88">
        <f ca="1">IFERROR(__xludf.DUMMYFUNCTION("IMPORTRANGE(""https://docs.google.com/spreadsheets/d/1C3CXT74ZlgGe6_JY_1olB1XN4rF0dxEuIIF-xsYjHgg/edit?usp=sharing"",""พรบ!AD94"")"),0)</f>
        <v>0</v>
      </c>
      <c r="F90" s="77">
        <f ca="1">IFERROR(__xludf.DUMMYFUNCTION("IMPORTRANGE(""https://docs.google.com/spreadsheets/d/1C3CXT74ZlgGe6_JY_1olB1XN4rF0dxEuIIF-xsYjHgg/edit?usp=sharing"",""พรบ!AE94"")"),57000)</f>
        <v>57000</v>
      </c>
      <c r="G90" s="88">
        <f ca="1">IFERROR(__xludf.DUMMYFUNCTION("IMPORTRANGE(""https://docs.google.com/spreadsheets/d/1Yj_ptqi66GCucihVvJfMjLAmec39IyEx_6qawtMGysU/edit?usp=sharing"",""สบก!BH94"")"),0)</f>
        <v>0</v>
      </c>
      <c r="H90" s="88">
        <f ca="1">IFERROR(__xludf.DUMMYFUNCTION("IMPORTRANGE(""https://docs.google.com/spreadsheets/d/1Yj_ptqi66GCucihVvJfMjLAmec39IyEx_6qawtMGysU/edit?usp=shBJing"",""สบก!BJ94"")"),47625)</f>
        <v>47625</v>
      </c>
      <c r="I90" s="88">
        <f t="shared" ca="1" si="3"/>
        <v>46260</v>
      </c>
      <c r="J90" s="138">
        <f t="shared" ca="1" si="4"/>
        <v>81.15789473684211</v>
      </c>
      <c r="K90" s="88">
        <f ca="1">IFERROR(__xludf.DUMMYFUNCTION("IMPORTRANGE(""https://docs.google.com/spreadsheets/d/1Yj_ptqi66GCucihVvJfMjLAmec39IyEx_6qawtMGysU/edit?usp=sharing"",""สบก!BK94"")"),46260)</f>
        <v>46260</v>
      </c>
      <c r="L90" s="138">
        <f t="shared" ca="1" si="5"/>
        <v>81.15789473684211</v>
      </c>
      <c r="M90" s="138">
        <f t="shared" ca="1" si="6"/>
        <v>97.133858267716533</v>
      </c>
      <c r="N90" s="138">
        <f ca="1">IFERROR(__xludf.DUMMYFUNCTION("IMPORTRANGE(""https://docs.google.com/spreadsheets/d/1Yj_ptqi66GCucihVvJfMjLAmec39IyEx_6qawtMGysU/edit?usp=sharing"",""สบก!BL94"")"),0)</f>
        <v>0</v>
      </c>
      <c r="O90" s="138">
        <f t="shared" ca="1" si="7"/>
        <v>0</v>
      </c>
      <c r="P90" s="88">
        <f ca="1">IFERROR(__xludf.DUMMYFUNCTION("IMPORTRANGE(""https://docs.google.com/spreadsheets/d/1C3CXT74ZlgGe6_JY_1olB1XN4rF0dxEuIIF-xsYjHgg/edit?usp=sharing"",""พรบ!AF94"")"),7500)</f>
        <v>7500</v>
      </c>
      <c r="Q90" s="88">
        <f ca="1">IFERROR(__xludf.DUMMYFUNCTION("IMPORTRANGE(""https://docs.google.com/spreadsheets/d/1C3CXT74ZlgGe6_JY_1olB1XN4rF0dxEuIIF-xsYjHgg/edit?usp=sharing"",""พรบ!AG94"")"),4)</f>
        <v>4</v>
      </c>
      <c r="R90" s="88">
        <f ca="1">IFERROR(__xludf.DUMMYFUNCTION("IMPORTRANGE(""https://docs.google.com/spreadsheets/d/1IYY_tgx_IHuhSq3AJ5eI5OnqOPBNLWSHKh2a30DoXe8/edit?usp=sharing"",""สุราษฎร์ธานี!J83"")"),2)</f>
        <v>2</v>
      </c>
      <c r="S90" s="138">
        <f t="shared" ca="1" si="9"/>
        <v>50</v>
      </c>
      <c r="T90" s="88">
        <f t="shared" ca="1" si="110"/>
        <v>50</v>
      </c>
      <c r="U90" s="88">
        <f ca="1">IFERROR(__xludf.DUMMYFUNCTION("IMPORTRANGE(""https://docs.google.com/spreadsheets/d/1IYY_tgx_IHuhSq3AJ5eI5OnqOPBNLWSHKh2a30DoXe8/edit?usp=sharing"",""สุราษฎร์ธานี!J85"")"),45)</f>
        <v>45</v>
      </c>
      <c r="V90" s="88">
        <f ca="1">IFERROR(__xludf.DUMMYFUNCTION("IMPORTRANGE(""https://docs.google.com/spreadsheets/d/1IYY_tgx_IHuhSq3AJ5eI5OnqOPBNLWSHKh2a30DoXe8/edit?usp=sharing"",""สุราษฎร์ธานี!J86"")"),5)</f>
        <v>5</v>
      </c>
      <c r="W90" s="88">
        <f ca="1">IFERROR(__xludf.DUMMYFUNCTION("IMPORTRANGE(""https://docs.google.com/spreadsheets/d/1C3CXT74ZlgGe6_JY_1olB1XN4rF0dxEuIIF-xsYjHgg/edit?usp=sharing"",""พรบ!AH94"")"),42000)</f>
        <v>42000</v>
      </c>
      <c r="X90" s="88">
        <f ca="1">IFERROR(__xludf.DUMMYFUNCTION("IMPORTRANGE(""https://docs.google.com/spreadsheets/d/1C3CXT74ZlgGe6_JY_1olB1XN4rF0dxEuIIF-xsYjHgg/edit?usp=sharing"",""พรบ!AI94"")"),3)</f>
        <v>3</v>
      </c>
      <c r="Y90" s="88">
        <f ca="1">IFERROR(__xludf.DUMMYFUNCTION("IMPORTRANGE(""https://docs.google.com/spreadsheets/d/1IYY_tgx_IHuhSq3AJ5eI5OnqOPBNLWSHKh2a30DoXe8/edit?usp=sharing"",""สุราษฎร์ธานี!J98"")"),3)</f>
        <v>3</v>
      </c>
      <c r="Z90" s="138">
        <f t="shared" ca="1" si="11"/>
        <v>100</v>
      </c>
      <c r="AA90" s="88">
        <f ca="1">IFERROR(__xludf.DUMMYFUNCTION("IMPORTRANGE(""https://docs.google.com/spreadsheets/d/1C3CXT74ZlgGe6_JY_1olB1XN4rF0dxEuIIF-xsYjHgg/edit?usp=sharing"",""พรบ!AJ94"")"),0)</f>
        <v>0</v>
      </c>
      <c r="AB90" s="88">
        <f ca="1">IFERROR(__xludf.DUMMYFUNCTION("IMPORTRANGE(""https://docs.google.com/spreadsheets/d/1C3CXT74ZlgGe6_JY_1olB1XN4rF0dxEuIIF-xsYjHgg/edit?usp=sharing"",""พรบ!AK94"")"),0)</f>
        <v>0</v>
      </c>
      <c r="AC90" s="88">
        <f ca="1">IFERROR(__xludf.DUMMYFUNCTION("IMPORTRANGE(""https://docs.google.com/spreadsheets/d/1IYY_tgx_IHuhSq3AJ5eI5OnqOPBNLWSHKh2a30DoXe8/edit?usp=sharing"",""สุราษฎร์ธานี!J110"")"),0)</f>
        <v>0</v>
      </c>
      <c r="AD90" s="138">
        <f t="shared" ca="1" si="13"/>
        <v>0</v>
      </c>
      <c r="AE90" s="88">
        <f ca="1">IFERROR(__xludf.DUMMYFUNCTION("IMPORTRANGE(""https://docs.google.com/spreadsheets/d/1C3CXT74ZlgGe6_JY_1olB1XN4rF0dxEuIIF-xsYjHgg/edit?usp=sharing"",""พรบ!AL94"")"),0)</f>
        <v>0</v>
      </c>
      <c r="AF90" s="88">
        <f ca="1">IFERROR(__xludf.DUMMYFUNCTION("IMPORTRANGE(""https://docs.google.com/spreadsheets/d/1IYY_tgx_IHuhSq3AJ5eI5OnqOPBNLWSHKh2a30DoXe8/edit?usp=sharing"",""สุราษฎร์ธานี!J111"")"),0)</f>
        <v>0</v>
      </c>
      <c r="AG90" s="138">
        <f t="shared" ca="1" si="15"/>
        <v>0</v>
      </c>
      <c r="AH90" s="88">
        <f ca="1">IFERROR(__xludf.DUMMYFUNCTION("IMPORTRANGE(""https://docs.google.com/spreadsheets/d/1C3CXT74ZlgGe6_JY_1olB1XN4rF0dxEuIIF-xsYjHgg/edit?usp=sharing"",""พรบ!AM94"")"),7500)</f>
        <v>7500</v>
      </c>
      <c r="AI90" s="88">
        <f ca="1">IFERROR(__xludf.DUMMYFUNCTION("IMPORTRANGE(""https://docs.google.com/spreadsheets/d/1C3CXT74ZlgGe6_JY_1olB1XN4rF0dxEuIIF-xsYjHgg/edit?usp=sharing"",""พรบ!AN94"")"),10000)</f>
        <v>10000</v>
      </c>
      <c r="AJ90" s="88">
        <f ca="1">IFERROR(__xludf.DUMMYFUNCTION("IMPORTRANGE(""https://docs.google.com/spreadsheets/d/1IYY_tgx_IHuhSq3AJ5eI5OnqOPBNLWSHKh2a30DoXe8/edit?usp=sharing"",""สุราษฎร์ธานี!J124"")"),10000)</f>
        <v>10000</v>
      </c>
      <c r="AK90" s="138">
        <f t="shared" ca="1" si="17"/>
        <v>100</v>
      </c>
      <c r="AL90" s="88">
        <f ca="1">IFERROR(__xludf.DUMMYFUNCTION("IMPORTRANGE(""https://docs.google.com/spreadsheets/d/1IYY_tgx_IHuhSq3AJ5eI5OnqOPBNLWSHKh2a30DoXe8/edit?usp=sharing"",""สุราษฎร์ธานี!J125"")"),0)</f>
        <v>0</v>
      </c>
      <c r="AM90" s="138">
        <f t="shared" ca="1" si="18"/>
        <v>0</v>
      </c>
      <c r="AN90" s="88">
        <f ca="1">IFERROR(__xludf.DUMMYFUNCTION("IMPORTRANGE(""https://docs.google.com/spreadsheets/d/1C3CXT74ZlgGe6_JY_1olB1XN4rF0dxEuIIF-xsYjHgg/edit?usp=sharing"",""พรบ!AQ94"")"),0)</f>
        <v>0</v>
      </c>
      <c r="AO90" s="88">
        <f ca="1">IFERROR(__xludf.DUMMYFUNCTION("IMPORTRANGE(""https://docs.google.com/spreadsheets/d/1IYY_tgx_IHuhSq3AJ5eI5OnqOPBNLWSHKh2a30DoXe8/edit?usp=sharing"",""สุราษฎร์ธานี!J126"")"),0)</f>
        <v>0</v>
      </c>
      <c r="AP90" s="138">
        <f t="shared" ca="1" si="20"/>
        <v>0</v>
      </c>
      <c r="AQ90" s="159">
        <f ca="1">IFERROR(__xludf.DUMMYFUNCTION("IMPORTRANGE(""https://docs.google.com/spreadsheets/d/1C3CXT74ZlgGe6_JY_1olB1XN4rF0dxEuIIF-xsYjHgg/edit?usp=sharing"",""พรบ!AR94"")"),0)</f>
        <v>0</v>
      </c>
      <c r="AR90" s="88">
        <f ca="1">IFERROR(__xludf.DUMMYFUNCTION("IMPORTRANGE(""https://docs.google.com/spreadsheets/d/1C3CXT74ZlgGe6_JY_1olB1XN4rF0dxEuIIF-xsYjHgg/edit?usp=sharing"",""พรบ!AS94"")"),0)</f>
        <v>0</v>
      </c>
      <c r="AS90" s="88">
        <f ca="1">IFERROR(__xludf.DUMMYFUNCTION("IMPORTRANGE(""https://docs.google.com/spreadsheets/d/1IYY_tgx_IHuhSq3AJ5eI5OnqOPBNLWSHKh2a30DoXe8/edit?usp=sharing"",""สุราษฎร์ธานี!J138"")"),0)</f>
        <v>0</v>
      </c>
      <c r="AT90" s="138">
        <f t="shared" ca="1" si="22"/>
        <v>0</v>
      </c>
      <c r="AU90" s="88">
        <f ca="1">IFERROR(__xludf.DUMMYFUNCTION("IMPORTRANGE(""https://docs.google.com/spreadsheets/d/1C3CXT74ZlgGe6_JY_1olB1XN4rF0dxEuIIF-xsYjHgg/edit?usp=sharing"",""พรบ!AT94"")"),0)</f>
        <v>0</v>
      </c>
      <c r="AV90" s="88">
        <f ca="1">IFERROR(__xludf.DUMMYFUNCTION("IMPORTRANGE(""https://docs.google.com/spreadsheets/d/1C3CXT74ZlgGe6_JY_1olB1XN4rF0dxEuIIF-xsYjHgg/edit?usp=sharing"",""พรบ!AU94"")"),0)</f>
        <v>0</v>
      </c>
      <c r="AW90" s="88">
        <f ca="1">IFERROR(__xludf.DUMMYFUNCTION("IMPORTRANGE(""https://docs.google.com/spreadsheets/d/1IYY_tgx_IHuhSq3AJ5eI5OnqOPBNLWSHKh2a30DoXe8/edit?usp=sharing"",""สุราษฎร์ธานี!J140"")"),0)</f>
        <v>0</v>
      </c>
      <c r="AX90" s="138">
        <f t="shared" ca="1" si="24"/>
        <v>0</v>
      </c>
      <c r="AY90" s="88">
        <f ca="1">IFERROR(__xludf.DUMMYFUNCTION("IMPORTRANGE(""https://docs.google.com/spreadsheets/d/1IYY_tgx_IHuhSq3AJ5eI5OnqOPBNLWSHKh2a30DoXe8/edit?usp=sharing"",""สุราษฎร์ธานี!J141"")"),0)</f>
        <v>0</v>
      </c>
      <c r="AZ90" s="138">
        <f t="shared" ca="1" si="25"/>
        <v>0</v>
      </c>
      <c r="BA90" s="88">
        <f t="shared" ca="1" si="26"/>
        <v>0</v>
      </c>
      <c r="BB90" s="88">
        <f t="shared" ca="1" si="111"/>
        <v>0</v>
      </c>
      <c r="BC90" s="138">
        <f t="shared" ca="1" si="27"/>
        <v>0</v>
      </c>
    </row>
    <row r="91" spans="1:55" ht="21" hidden="1" customHeight="1">
      <c r="A91" s="680" t="s">
        <v>115</v>
      </c>
      <c r="B91" s="652"/>
      <c r="C91" s="44">
        <f t="shared" ca="1" si="0"/>
        <v>2470850</v>
      </c>
      <c r="D91" s="45">
        <f t="shared" ref="D91:H91" ca="1" si="112">+D92+D93+D94+D95+D96+D97+D98+D99+D100+D101+D102+D103+D104+D105</f>
        <v>2470850</v>
      </c>
      <c r="E91" s="45">
        <f t="shared" ca="1" si="112"/>
        <v>711600</v>
      </c>
      <c r="F91" s="45">
        <f t="shared" ca="1" si="112"/>
        <v>1759250</v>
      </c>
      <c r="G91" s="45">
        <f t="shared" ca="1" si="112"/>
        <v>0</v>
      </c>
      <c r="H91" s="45">
        <f t="shared" ca="1" si="112"/>
        <v>2486770</v>
      </c>
      <c r="I91" s="45">
        <f t="shared" ca="1" si="3"/>
        <v>1002022.07</v>
      </c>
      <c r="J91" s="46">
        <f t="shared" ca="1" si="4"/>
        <v>40.553739401420565</v>
      </c>
      <c r="K91" s="45">
        <f ca="1">+K92+K93+K94+K95+K96+K97+K98+K99+K100+K101+K102+K103+K104+K105</f>
        <v>1002022.07</v>
      </c>
      <c r="L91" s="47">
        <f t="shared" ca="1" si="5"/>
        <v>40.553739401420565</v>
      </c>
      <c r="M91" s="47">
        <f t="shared" ca="1" si="6"/>
        <v>40.294119279225662</v>
      </c>
      <c r="N91" s="48">
        <f ca="1">+N92+N93+N94+N95+N96+N97+N98+N99+N100+N101+N102+N103+N104+N105</f>
        <v>0</v>
      </c>
      <c r="O91" s="47">
        <f t="shared" ca="1" si="7"/>
        <v>0</v>
      </c>
      <c r="P91" s="45">
        <f t="shared" ref="P91:R91" ca="1" si="113">+P92+P93+P94+P95+P96+P97+P98+P99+P100+P101+P102+P103+P104+P105</f>
        <v>49250</v>
      </c>
      <c r="Q91" s="45">
        <f t="shared" ca="1" si="113"/>
        <v>0</v>
      </c>
      <c r="R91" s="45">
        <f t="shared" si="113"/>
        <v>0</v>
      </c>
      <c r="S91" s="127">
        <f t="shared" ca="1" si="9"/>
        <v>0</v>
      </c>
      <c r="T91" s="45"/>
      <c r="U91" s="45"/>
      <c r="V91" s="45"/>
      <c r="W91" s="45">
        <f t="shared" ref="W91:Y91" ca="1" si="114">+W92+W93+W94+W95+W96+W97+W98+W99+W100+W101+W102+W103+W104+W105</f>
        <v>382000</v>
      </c>
      <c r="X91" s="45">
        <f t="shared" ca="1" si="114"/>
        <v>0</v>
      </c>
      <c r="Y91" s="45">
        <f t="shared" si="114"/>
        <v>0</v>
      </c>
      <c r="Z91" s="127">
        <f t="shared" ca="1" si="11"/>
        <v>0</v>
      </c>
      <c r="AA91" s="45">
        <f t="shared" ref="AA91:AC91" ca="1" si="115">+AA92+AA93+AA94+AA95+AA96+AA97+AA98+AA99+AA100+AA101+AA102+AA103+AA104+AA105</f>
        <v>182000</v>
      </c>
      <c r="AB91" s="45">
        <f t="shared" ca="1" si="115"/>
        <v>0</v>
      </c>
      <c r="AC91" s="45">
        <f t="shared" si="115"/>
        <v>0</v>
      </c>
      <c r="AD91" s="127">
        <f t="shared" ca="1" si="13"/>
        <v>0</v>
      </c>
      <c r="AE91" s="45">
        <f t="shared" ref="AE91:AF91" ca="1" si="116">+AE92+AE93+AE94+AE95+AE96+AE97+AE98+AE99+AE100+AE101+AE102+AE103+AE104+AE105</f>
        <v>0</v>
      </c>
      <c r="AF91" s="45">
        <f t="shared" si="116"/>
        <v>0</v>
      </c>
      <c r="AG91" s="127">
        <f t="shared" ca="1" si="15"/>
        <v>0</v>
      </c>
      <c r="AH91" s="45">
        <f t="shared" ref="AH91:AJ91" ca="1" si="117">+AH92+AH93+AH94+AH95+AH96+AH97+AH98+AH99+AH100+AH101+AH102+AH103+AH104+AH105</f>
        <v>194000</v>
      </c>
      <c r="AI91" s="45">
        <f t="shared" ca="1" si="117"/>
        <v>0</v>
      </c>
      <c r="AJ91" s="45">
        <f t="shared" si="117"/>
        <v>0</v>
      </c>
      <c r="AK91" s="127">
        <f t="shared" ca="1" si="17"/>
        <v>0</v>
      </c>
      <c r="AL91" s="45">
        <f>+AL92+AL93+AL94+AL95+AL96+AL97+AL98+AL99+AL100+AL101+AL102+AL103+AL104+AL105</f>
        <v>0</v>
      </c>
      <c r="AM91" s="127">
        <f t="shared" ca="1" si="18"/>
        <v>0</v>
      </c>
      <c r="AN91" s="45">
        <f t="shared" ref="AN91:AO91" ca="1" si="118">+AN92+AN93+AN94+AN95+AN96+AN97+AN98+AN99+AN100+AN101+AN102+AN103+AN104+AN105</f>
        <v>0</v>
      </c>
      <c r="AO91" s="45">
        <f t="shared" si="118"/>
        <v>0</v>
      </c>
      <c r="AP91" s="127">
        <f t="shared" ca="1" si="20"/>
        <v>0</v>
      </c>
      <c r="AQ91" s="45">
        <f t="shared" ref="AQ91:AS91" ca="1" si="119">+AQ92+AQ93+AQ94+AQ95+AQ96+AQ97+AQ98+AQ99+AQ100+AQ101+AQ102+AQ103+AQ104+AQ105</f>
        <v>952000</v>
      </c>
      <c r="AR91" s="45">
        <f t="shared" ca="1" si="119"/>
        <v>0</v>
      </c>
      <c r="AS91" s="45">
        <f t="shared" si="119"/>
        <v>0</v>
      </c>
      <c r="AT91" s="127">
        <f t="shared" ca="1" si="22"/>
        <v>0</v>
      </c>
      <c r="AU91" s="45">
        <f t="shared" ref="AU91:AW91" ca="1" si="120">+AU92+AU93+AU94+AU95+AU96+AU97+AU98+AU99+AU100+AU101+AU102+AU103+AU104+AU105</f>
        <v>0</v>
      </c>
      <c r="AV91" s="45">
        <f t="shared" ca="1" si="120"/>
        <v>0</v>
      </c>
      <c r="AW91" s="45">
        <f t="shared" si="120"/>
        <v>0</v>
      </c>
      <c r="AX91" s="127">
        <f t="shared" ca="1" si="24"/>
        <v>0</v>
      </c>
      <c r="AY91" s="45">
        <f>+AY92+AY93+AY94+AY95+AY96+AY97+AY98+AY99+AY100+AY101+AY102+AY103+AY104+AY105</f>
        <v>0</v>
      </c>
      <c r="AZ91" s="127">
        <f t="shared" ca="1" si="25"/>
        <v>0</v>
      </c>
      <c r="BA91" s="45">
        <f t="shared" ref="BA91:BB91" si="121">+BA92+BA93+BA94+BA95+BA96+BA97+BA98+BA99+BA100+BA101+BA102+BA103+BA104+BA105</f>
        <v>0</v>
      </c>
      <c r="BB91" s="45">
        <f t="shared" si="121"/>
        <v>0</v>
      </c>
      <c r="BC91" s="127">
        <f t="shared" si="27"/>
        <v>0</v>
      </c>
    </row>
    <row r="92" spans="1:55" ht="24" hidden="1" customHeight="1">
      <c r="A92" s="102">
        <v>1</v>
      </c>
      <c r="B92" s="103" t="s">
        <v>116</v>
      </c>
      <c r="C92" s="65">
        <f t="shared" ca="1" si="0"/>
        <v>0</v>
      </c>
      <c r="D92" s="66">
        <f t="shared" ref="D92:D105" ca="1" si="122">+E92+F92</f>
        <v>0</v>
      </c>
      <c r="E92" s="67">
        <f ca="1">IFERROR(__xludf.DUMMYFUNCTION("IMPORTRANGE(""https://docs.google.com/spreadsheets/d/1C3CXT74ZlgGe6_JY_1olB1XN4rF0dxEuIIF-xsYjHgg/edit?usp=sharing"",""พรบ!AD96"")"),0)</f>
        <v>0</v>
      </c>
      <c r="F92" s="67">
        <f ca="1">IFERROR(__xludf.DUMMYFUNCTION("IMPORTRANGE(""https://docs.google.com/spreadsheets/d/1C3CXT74ZlgGe6_JY_1olB1XN4rF0dxEuIIF-xsYjHgg/edit?usp=sharing"",""พรบ!AE96"")"),0)</f>
        <v>0</v>
      </c>
      <c r="G92" s="67">
        <f ca="1">IFERROR(__xludf.DUMMYFUNCTION("IMPORTRANGE(""https://docs.google.com/spreadsheets/d/1Yj_ptqi66GCucihVvJfMjLAmec39IyEx_6qawtMGysU/edit?usp=sharing"",""สบก!BH96"")"),0)</f>
        <v>0</v>
      </c>
      <c r="H92" s="67">
        <f ca="1">IFERROR(__xludf.DUMMYFUNCTION("IMPORTRANGE(""https://docs.google.com/spreadsheets/d/1Yj_ptqi66GCucihVvJfMjLAmec39IyEx_6qawtMGysU/edit?usp=shBJing"",""สบก!BJ96"")"),0)</f>
        <v>0</v>
      </c>
      <c r="I92" s="67">
        <f t="shared" ca="1" si="3"/>
        <v>0</v>
      </c>
      <c r="J92" s="136">
        <f t="shared" ca="1" si="4"/>
        <v>0</v>
      </c>
      <c r="K92" s="67">
        <f ca="1">IFERROR(__xludf.DUMMYFUNCTION("IMPORTRANGE(""https://docs.google.com/spreadsheets/d/1Yj_ptqi66GCucihVvJfMjLAmec39IyEx_6qawtMGysU/edit?usp=sharing"",""สบก!BK96"")"),0)</f>
        <v>0</v>
      </c>
      <c r="L92" s="136">
        <f t="shared" ca="1" si="5"/>
        <v>0</v>
      </c>
      <c r="M92" s="136">
        <f t="shared" ca="1" si="6"/>
        <v>0</v>
      </c>
      <c r="N92" s="136">
        <f ca="1">IFERROR(__xludf.DUMMYFUNCTION("IMPORTRANGE(""https://docs.google.com/spreadsheets/d/1Yj_ptqi66GCucihVvJfMjLAmec39IyEx_6qawtMGysU/edit?usp=sharing"",""สบก!BL96"")"),0)</f>
        <v>0</v>
      </c>
      <c r="O92" s="136">
        <f t="shared" ca="1" si="7"/>
        <v>0</v>
      </c>
      <c r="P92" s="67">
        <f ca="1">IFERROR(__xludf.DUMMYFUNCTION("IMPORTRANGE(""https://docs.google.com/spreadsheets/d/1C3CXT74ZlgGe6_JY_1olB1XN4rF0dxEuIIF-xsYjHgg/edit?usp=sharing"",""พรบ!AF96"")"),0)</f>
        <v>0</v>
      </c>
      <c r="Q92" s="67">
        <f ca="1">IFERROR(__xludf.DUMMYFUNCTION("IMPORTRANGE(""https://docs.google.com/spreadsheets/d/1C3CXT74ZlgGe6_JY_1olB1XN4rF0dxEuIIF-xsYjHgg/edit?usp=sharing"",""พรบ!AG96"")"),0)</f>
        <v>0</v>
      </c>
      <c r="R92" s="67">
        <v>0</v>
      </c>
      <c r="S92" s="136">
        <f t="shared" ca="1" si="9"/>
        <v>0</v>
      </c>
      <c r="T92" s="67"/>
      <c r="U92" s="67"/>
      <c r="V92" s="67"/>
      <c r="W92" s="67">
        <f ca="1">IFERROR(__xludf.DUMMYFUNCTION("IMPORTRANGE(""https://docs.google.com/spreadsheets/d/1C3CXT74ZlgGe6_JY_1olB1XN4rF0dxEuIIF-xsYjHgg/edit?usp=sharing"",""พรบ!AH96"")"),0)</f>
        <v>0</v>
      </c>
      <c r="X92" s="67">
        <f ca="1">IFERROR(__xludf.DUMMYFUNCTION("IMPORTRANGE(""https://docs.google.com/spreadsheets/d/1C3CXT74ZlgGe6_JY_1olB1XN4rF0dxEuIIF-xsYjHgg/edit?usp=sharing"",""พรบ!AI96"")"),0)</f>
        <v>0</v>
      </c>
      <c r="Y92" s="67">
        <v>0</v>
      </c>
      <c r="Z92" s="136">
        <f t="shared" ca="1" si="11"/>
        <v>0</v>
      </c>
      <c r="AA92" s="67">
        <f ca="1">IFERROR(__xludf.DUMMYFUNCTION("IMPORTRANGE(""https://docs.google.com/spreadsheets/d/1C3CXT74ZlgGe6_JY_1olB1XN4rF0dxEuIIF-xsYjHgg/edit?usp=sharing"",""พรบ!AJ96"")"),0)</f>
        <v>0</v>
      </c>
      <c r="AB92" s="67">
        <f ca="1">IFERROR(__xludf.DUMMYFUNCTION("IMPORTRANGE(""https://docs.google.com/spreadsheets/d/1C3CXT74ZlgGe6_JY_1olB1XN4rF0dxEuIIF-xsYjHgg/edit?usp=sharing"",""พรบ!AK96"")"),0)</f>
        <v>0</v>
      </c>
      <c r="AC92" s="67">
        <v>0</v>
      </c>
      <c r="AD92" s="136">
        <f t="shared" ca="1" si="13"/>
        <v>0</v>
      </c>
      <c r="AE92" s="67">
        <f ca="1">IFERROR(__xludf.DUMMYFUNCTION("IMPORTRANGE(""https://docs.google.com/spreadsheets/d/1C3CXT74ZlgGe6_JY_1olB1XN4rF0dxEuIIF-xsYjHgg/edit?usp=sharing"",""พรบ!AL96"")"),0)</f>
        <v>0</v>
      </c>
      <c r="AF92" s="67">
        <v>0</v>
      </c>
      <c r="AG92" s="136">
        <f t="shared" ca="1" si="15"/>
        <v>0</v>
      </c>
      <c r="AH92" s="67">
        <f ca="1">IFERROR(__xludf.DUMMYFUNCTION("IMPORTRANGE(""https://docs.google.com/spreadsheets/d/1C3CXT74ZlgGe6_JY_1olB1XN4rF0dxEuIIF-xsYjHgg/edit?usp=sharing"",""พรบ!AM96"")"),0)</f>
        <v>0</v>
      </c>
      <c r="AI92" s="67">
        <f ca="1">IFERROR(__xludf.DUMMYFUNCTION("IMPORTRANGE(""https://docs.google.com/spreadsheets/d/1C3CXT74ZlgGe6_JY_1olB1XN4rF0dxEuIIF-xsYjHgg/edit?usp=sharing"",""พรบ!AN96"")"),0)</f>
        <v>0</v>
      </c>
      <c r="AJ92" s="67">
        <v>0</v>
      </c>
      <c r="AK92" s="136">
        <f t="shared" ca="1" si="17"/>
        <v>0</v>
      </c>
      <c r="AL92" s="67">
        <v>0</v>
      </c>
      <c r="AM92" s="136">
        <f t="shared" ca="1" si="18"/>
        <v>0</v>
      </c>
      <c r="AN92" s="67">
        <f ca="1">IFERROR(__xludf.DUMMYFUNCTION("IMPORTRANGE(""https://docs.google.com/spreadsheets/d/1C3CXT74ZlgGe6_JY_1olB1XN4rF0dxEuIIF-xsYjHgg/edit?usp=sharing"",""พรบ!AQ96"")"),0)</f>
        <v>0</v>
      </c>
      <c r="AO92" s="67">
        <v>0</v>
      </c>
      <c r="AP92" s="136">
        <f t="shared" ca="1" si="20"/>
        <v>0</v>
      </c>
      <c r="AQ92" s="67">
        <f ca="1">IFERROR(__xludf.DUMMYFUNCTION("IMPORTRANGE(""https://docs.google.com/spreadsheets/d/1C3CXT74ZlgGe6_JY_1olB1XN4rF0dxEuIIF-xsYjHgg/edit?usp=sharing"",""พรบ!AR96"")"),0)</f>
        <v>0</v>
      </c>
      <c r="AR92" s="67">
        <f ca="1">IFERROR(__xludf.DUMMYFUNCTION("IMPORTRANGE(""https://docs.google.com/spreadsheets/d/1C3CXT74ZlgGe6_JY_1olB1XN4rF0dxEuIIF-xsYjHgg/edit?usp=sharing"",""พรบ!AS96"")"),0)</f>
        <v>0</v>
      </c>
      <c r="AS92" s="67">
        <v>0</v>
      </c>
      <c r="AT92" s="136">
        <f t="shared" ca="1" si="22"/>
        <v>0</v>
      </c>
      <c r="AU92" s="67">
        <f ca="1">IFERROR(__xludf.DUMMYFUNCTION("IMPORTRANGE(""https://docs.google.com/spreadsheets/d/1C3CXT74ZlgGe6_JY_1olB1XN4rF0dxEuIIF-xsYjHgg/edit?usp=sharing"",""พรบ!AT96"")"),0)</f>
        <v>0</v>
      </c>
      <c r="AV92" s="67">
        <f ca="1">IFERROR(__xludf.DUMMYFUNCTION("IMPORTRANGE(""https://docs.google.com/spreadsheets/d/1C3CXT74ZlgGe6_JY_1olB1XN4rF0dxEuIIF-xsYjHgg/edit?usp=sharing"",""พรบ!AU96"")"),0)</f>
        <v>0</v>
      </c>
      <c r="AW92" s="67">
        <v>0</v>
      </c>
      <c r="AX92" s="136">
        <f t="shared" ca="1" si="24"/>
        <v>0</v>
      </c>
      <c r="AY92" s="67">
        <v>0</v>
      </c>
      <c r="AZ92" s="136">
        <f t="shared" ca="1" si="25"/>
        <v>0</v>
      </c>
      <c r="BA92" s="67">
        <v>0</v>
      </c>
      <c r="BB92" s="67">
        <v>0</v>
      </c>
      <c r="BC92" s="136">
        <f t="shared" si="27"/>
        <v>0</v>
      </c>
    </row>
    <row r="93" spans="1:55" ht="24" hidden="1" customHeight="1">
      <c r="A93" s="105">
        <v>2</v>
      </c>
      <c r="B93" s="106" t="s">
        <v>117</v>
      </c>
      <c r="C93" s="75">
        <f t="shared" ca="1" si="0"/>
        <v>0</v>
      </c>
      <c r="D93" s="76">
        <f t="shared" ca="1" si="122"/>
        <v>0</v>
      </c>
      <c r="E93" s="77">
        <f ca="1">IFERROR(__xludf.DUMMYFUNCTION("IMPORTRANGE(""https://docs.google.com/spreadsheets/d/1C3CXT74ZlgGe6_JY_1olB1XN4rF0dxEuIIF-xsYjHgg/edit?usp=sharing"",""พรบ!AD97"")"),0)</f>
        <v>0</v>
      </c>
      <c r="F93" s="77">
        <f ca="1">IFERROR(__xludf.DUMMYFUNCTION("IMPORTRANGE(""https://docs.google.com/spreadsheets/d/1C3CXT74ZlgGe6_JY_1olB1XN4rF0dxEuIIF-xsYjHgg/edit?usp=sharing"",""พรบ!AE97"")"),0)</f>
        <v>0</v>
      </c>
      <c r="G93" s="77">
        <f ca="1">IFERROR(__xludf.DUMMYFUNCTION("IMPORTRANGE(""https://docs.google.com/spreadsheets/d/1Yj_ptqi66GCucihVvJfMjLAmec39IyEx_6qawtMGysU/edit?usp=sharing"",""สบก!BH97"")"),0)</f>
        <v>0</v>
      </c>
      <c r="H93" s="77">
        <f ca="1">IFERROR(__xludf.DUMMYFUNCTION("IMPORTRANGE(""https://docs.google.com/spreadsheets/d/1Yj_ptqi66GCucihVvJfMjLAmec39IyEx_6qawtMGysU/edit?usp=shBJing"",""สบก!BJ97"")"),0)</f>
        <v>0</v>
      </c>
      <c r="I93" s="77">
        <f t="shared" ca="1" si="3"/>
        <v>0</v>
      </c>
      <c r="J93" s="137">
        <f t="shared" ca="1" si="4"/>
        <v>0</v>
      </c>
      <c r="K93" s="77">
        <f ca="1">IFERROR(__xludf.DUMMYFUNCTION("IMPORTRANGE(""https://docs.google.com/spreadsheets/d/1Yj_ptqi66GCucihVvJfMjLAmec39IyEx_6qawtMGysU/edit?usp=sharing"",""สบก!BK97"")"),0)</f>
        <v>0</v>
      </c>
      <c r="L93" s="137">
        <f t="shared" ca="1" si="5"/>
        <v>0</v>
      </c>
      <c r="M93" s="137">
        <f t="shared" ca="1" si="6"/>
        <v>0</v>
      </c>
      <c r="N93" s="137">
        <f ca="1">IFERROR(__xludf.DUMMYFUNCTION("IMPORTRANGE(""https://docs.google.com/spreadsheets/d/1Yj_ptqi66GCucihVvJfMjLAmec39IyEx_6qawtMGysU/edit?usp=sharing"",""สบก!BL97"")"),0)</f>
        <v>0</v>
      </c>
      <c r="O93" s="137">
        <f t="shared" ca="1" si="7"/>
        <v>0</v>
      </c>
      <c r="P93" s="77">
        <f ca="1">IFERROR(__xludf.DUMMYFUNCTION("IMPORTRANGE(""https://docs.google.com/spreadsheets/d/1C3CXT74ZlgGe6_JY_1olB1XN4rF0dxEuIIF-xsYjHgg/edit?usp=sharing"",""พรบ!AF97"")"),0)</f>
        <v>0</v>
      </c>
      <c r="Q93" s="77">
        <f ca="1">IFERROR(__xludf.DUMMYFUNCTION("IMPORTRANGE(""https://docs.google.com/spreadsheets/d/1C3CXT74ZlgGe6_JY_1olB1XN4rF0dxEuIIF-xsYjHgg/edit?usp=sharing"",""พรบ!AG97"")"),0)</f>
        <v>0</v>
      </c>
      <c r="R93" s="77">
        <v>0</v>
      </c>
      <c r="S93" s="137">
        <f t="shared" ca="1" si="9"/>
        <v>0</v>
      </c>
      <c r="T93" s="77"/>
      <c r="U93" s="77"/>
      <c r="V93" s="77"/>
      <c r="W93" s="77">
        <f ca="1">IFERROR(__xludf.DUMMYFUNCTION("IMPORTRANGE(""https://docs.google.com/spreadsheets/d/1C3CXT74ZlgGe6_JY_1olB1XN4rF0dxEuIIF-xsYjHgg/edit?usp=sharing"",""พรบ!AH97"")"),0)</f>
        <v>0</v>
      </c>
      <c r="X93" s="77">
        <f ca="1">IFERROR(__xludf.DUMMYFUNCTION("IMPORTRANGE(""https://docs.google.com/spreadsheets/d/1C3CXT74ZlgGe6_JY_1olB1XN4rF0dxEuIIF-xsYjHgg/edit?usp=sharing"",""พรบ!AI97"")"),0)</f>
        <v>0</v>
      </c>
      <c r="Y93" s="77">
        <v>0</v>
      </c>
      <c r="Z93" s="137">
        <f t="shared" ca="1" si="11"/>
        <v>0</v>
      </c>
      <c r="AA93" s="77">
        <f ca="1">IFERROR(__xludf.DUMMYFUNCTION("IMPORTRANGE(""https://docs.google.com/spreadsheets/d/1C3CXT74ZlgGe6_JY_1olB1XN4rF0dxEuIIF-xsYjHgg/edit?usp=sharing"",""พรบ!AJ97"")"),0)</f>
        <v>0</v>
      </c>
      <c r="AB93" s="77">
        <f ca="1">IFERROR(__xludf.DUMMYFUNCTION("IMPORTRANGE(""https://docs.google.com/spreadsheets/d/1C3CXT74ZlgGe6_JY_1olB1XN4rF0dxEuIIF-xsYjHgg/edit?usp=sharing"",""พรบ!AK97"")"),0)</f>
        <v>0</v>
      </c>
      <c r="AC93" s="77">
        <v>0</v>
      </c>
      <c r="AD93" s="137">
        <f t="shared" ca="1" si="13"/>
        <v>0</v>
      </c>
      <c r="AE93" s="77">
        <f ca="1">IFERROR(__xludf.DUMMYFUNCTION("IMPORTRANGE(""https://docs.google.com/spreadsheets/d/1C3CXT74ZlgGe6_JY_1olB1XN4rF0dxEuIIF-xsYjHgg/edit?usp=sharing"",""พรบ!AL97"")"),0)</f>
        <v>0</v>
      </c>
      <c r="AF93" s="77">
        <v>0</v>
      </c>
      <c r="AG93" s="137">
        <f t="shared" ca="1" si="15"/>
        <v>0</v>
      </c>
      <c r="AH93" s="77">
        <f ca="1">IFERROR(__xludf.DUMMYFUNCTION("IMPORTRANGE(""https://docs.google.com/spreadsheets/d/1C3CXT74ZlgGe6_JY_1olB1XN4rF0dxEuIIF-xsYjHgg/edit?usp=sharing"",""พรบ!AM97"")"),0)</f>
        <v>0</v>
      </c>
      <c r="AI93" s="77">
        <f ca="1">IFERROR(__xludf.DUMMYFUNCTION("IMPORTRANGE(""https://docs.google.com/spreadsheets/d/1C3CXT74ZlgGe6_JY_1olB1XN4rF0dxEuIIF-xsYjHgg/edit?usp=sharing"",""พรบ!AN97"")"),0)</f>
        <v>0</v>
      </c>
      <c r="AJ93" s="77">
        <v>0</v>
      </c>
      <c r="AK93" s="137">
        <f t="shared" ca="1" si="17"/>
        <v>0</v>
      </c>
      <c r="AL93" s="77">
        <v>0</v>
      </c>
      <c r="AM93" s="137">
        <f t="shared" ca="1" si="18"/>
        <v>0</v>
      </c>
      <c r="AN93" s="77">
        <f ca="1">IFERROR(__xludf.DUMMYFUNCTION("IMPORTRANGE(""https://docs.google.com/spreadsheets/d/1C3CXT74ZlgGe6_JY_1olB1XN4rF0dxEuIIF-xsYjHgg/edit?usp=sharing"",""พรบ!AQ97"")"),0)</f>
        <v>0</v>
      </c>
      <c r="AO93" s="77">
        <v>0</v>
      </c>
      <c r="AP93" s="137">
        <f t="shared" ca="1" si="20"/>
        <v>0</v>
      </c>
      <c r="AQ93" s="77">
        <f ca="1">IFERROR(__xludf.DUMMYFUNCTION("IMPORTRANGE(""https://docs.google.com/spreadsheets/d/1C3CXT74ZlgGe6_JY_1olB1XN4rF0dxEuIIF-xsYjHgg/edit?usp=sharing"",""พรบ!AR97"")"),0)</f>
        <v>0</v>
      </c>
      <c r="AR93" s="77">
        <f ca="1">IFERROR(__xludf.DUMMYFUNCTION("IMPORTRANGE(""https://docs.google.com/spreadsheets/d/1C3CXT74ZlgGe6_JY_1olB1XN4rF0dxEuIIF-xsYjHgg/edit?usp=sharing"",""พรบ!AS97"")"),0)</f>
        <v>0</v>
      </c>
      <c r="AS93" s="77">
        <v>0</v>
      </c>
      <c r="AT93" s="137">
        <f t="shared" ca="1" si="22"/>
        <v>0</v>
      </c>
      <c r="AU93" s="77">
        <f ca="1">IFERROR(__xludf.DUMMYFUNCTION("IMPORTRANGE(""https://docs.google.com/spreadsheets/d/1C3CXT74ZlgGe6_JY_1olB1XN4rF0dxEuIIF-xsYjHgg/edit?usp=sharing"",""พรบ!AT97"")"),0)</f>
        <v>0</v>
      </c>
      <c r="AV93" s="77">
        <f ca="1">IFERROR(__xludf.DUMMYFUNCTION("IMPORTRANGE(""https://docs.google.com/spreadsheets/d/1C3CXT74ZlgGe6_JY_1olB1XN4rF0dxEuIIF-xsYjHgg/edit?usp=sharing"",""พรบ!AU97"")"),0)</f>
        <v>0</v>
      </c>
      <c r="AW93" s="77">
        <v>0</v>
      </c>
      <c r="AX93" s="137">
        <f t="shared" ca="1" si="24"/>
        <v>0</v>
      </c>
      <c r="AY93" s="77">
        <v>0</v>
      </c>
      <c r="AZ93" s="137">
        <f t="shared" ca="1" si="25"/>
        <v>0</v>
      </c>
      <c r="BA93" s="77">
        <v>0</v>
      </c>
      <c r="BB93" s="77">
        <v>0</v>
      </c>
      <c r="BC93" s="137">
        <f t="shared" si="27"/>
        <v>0</v>
      </c>
    </row>
    <row r="94" spans="1:55" ht="24" hidden="1" customHeight="1">
      <c r="A94" s="105">
        <v>3</v>
      </c>
      <c r="B94" s="106" t="s">
        <v>118</v>
      </c>
      <c r="C94" s="75">
        <f t="shared" ca="1" si="0"/>
        <v>0</v>
      </c>
      <c r="D94" s="76">
        <f t="shared" ca="1" si="122"/>
        <v>0</v>
      </c>
      <c r="E94" s="77">
        <f ca="1">IFERROR(__xludf.DUMMYFUNCTION("IMPORTRANGE(""https://docs.google.com/spreadsheets/d/1C3CXT74ZlgGe6_JY_1olB1XN4rF0dxEuIIF-xsYjHgg/edit?usp=sharing"",""พรบ!AD98"")"),0)</f>
        <v>0</v>
      </c>
      <c r="F94" s="77">
        <f ca="1">IFERROR(__xludf.DUMMYFUNCTION("IMPORTRANGE(""https://docs.google.com/spreadsheets/d/1C3CXT74ZlgGe6_JY_1olB1XN4rF0dxEuIIF-xsYjHgg/edit?usp=sharing"",""พรบ!AE98"")"),0)</f>
        <v>0</v>
      </c>
      <c r="G94" s="77">
        <f ca="1">IFERROR(__xludf.DUMMYFUNCTION("IMPORTRANGE(""https://docs.google.com/spreadsheets/d/1Yj_ptqi66GCucihVvJfMjLAmec39IyEx_6qawtMGysU/edit?usp=sharing"",""สบก!BH98"")"),0)</f>
        <v>0</v>
      </c>
      <c r="H94" s="77">
        <f ca="1">IFERROR(__xludf.DUMMYFUNCTION("IMPORTRANGE(""https://docs.google.com/spreadsheets/d/1Yj_ptqi66GCucihVvJfMjLAmec39IyEx_6qawtMGysU/edit?usp=shBJing"",""สบก!BJ98"")"),437900)</f>
        <v>437900</v>
      </c>
      <c r="I94" s="77">
        <f t="shared" ca="1" si="3"/>
        <v>437900</v>
      </c>
      <c r="J94" s="137">
        <f t="shared" ca="1" si="4"/>
        <v>0</v>
      </c>
      <c r="K94" s="77">
        <f ca="1">IFERROR(__xludf.DUMMYFUNCTION("IMPORTRANGE(""https://docs.google.com/spreadsheets/d/1Yj_ptqi66GCucihVvJfMjLAmec39IyEx_6qawtMGysU/edit?usp=sharing"",""สบก!BK98"")"),437900)</f>
        <v>437900</v>
      </c>
      <c r="L94" s="137">
        <f t="shared" ca="1" si="5"/>
        <v>0</v>
      </c>
      <c r="M94" s="137">
        <f t="shared" ca="1" si="6"/>
        <v>100</v>
      </c>
      <c r="N94" s="137">
        <f ca="1">IFERROR(__xludf.DUMMYFUNCTION("IMPORTRANGE(""https://docs.google.com/spreadsheets/d/1Yj_ptqi66GCucihVvJfMjLAmec39IyEx_6qawtMGysU/edit?usp=sharing"",""สบก!BL98"")"),0)</f>
        <v>0</v>
      </c>
      <c r="O94" s="137">
        <f t="shared" ca="1" si="7"/>
        <v>0</v>
      </c>
      <c r="P94" s="77">
        <f ca="1">IFERROR(__xludf.DUMMYFUNCTION("IMPORTRANGE(""https://docs.google.com/spreadsheets/d/1C3CXT74ZlgGe6_JY_1olB1XN4rF0dxEuIIF-xsYjHgg/edit?usp=sharing"",""พรบ!AF98"")"),0)</f>
        <v>0</v>
      </c>
      <c r="Q94" s="77">
        <f ca="1">IFERROR(__xludf.DUMMYFUNCTION("IMPORTRANGE(""https://docs.google.com/spreadsheets/d/1C3CXT74ZlgGe6_JY_1olB1XN4rF0dxEuIIF-xsYjHgg/edit?usp=sharing"",""พรบ!AG98"")"),0)</f>
        <v>0</v>
      </c>
      <c r="R94" s="77">
        <v>0</v>
      </c>
      <c r="S94" s="137">
        <f t="shared" ca="1" si="9"/>
        <v>0</v>
      </c>
      <c r="T94" s="77"/>
      <c r="U94" s="77"/>
      <c r="V94" s="77"/>
      <c r="W94" s="77">
        <f ca="1">IFERROR(__xludf.DUMMYFUNCTION("IMPORTRANGE(""https://docs.google.com/spreadsheets/d/1C3CXT74ZlgGe6_JY_1olB1XN4rF0dxEuIIF-xsYjHgg/edit?usp=sharing"",""พรบ!AH98"")"),0)</f>
        <v>0</v>
      </c>
      <c r="X94" s="77">
        <f ca="1">IFERROR(__xludf.DUMMYFUNCTION("IMPORTRANGE(""https://docs.google.com/spreadsheets/d/1C3CXT74ZlgGe6_JY_1olB1XN4rF0dxEuIIF-xsYjHgg/edit?usp=sharing"",""พรบ!AI98"")"),0)</f>
        <v>0</v>
      </c>
      <c r="Y94" s="77">
        <v>0</v>
      </c>
      <c r="Z94" s="137">
        <f t="shared" ca="1" si="11"/>
        <v>0</v>
      </c>
      <c r="AA94" s="77">
        <f ca="1">IFERROR(__xludf.DUMMYFUNCTION("IMPORTRANGE(""https://docs.google.com/spreadsheets/d/1C3CXT74ZlgGe6_JY_1olB1XN4rF0dxEuIIF-xsYjHgg/edit?usp=sharing"",""พรบ!AJ98"")"),0)</f>
        <v>0</v>
      </c>
      <c r="AB94" s="77">
        <f ca="1">IFERROR(__xludf.DUMMYFUNCTION("IMPORTRANGE(""https://docs.google.com/spreadsheets/d/1C3CXT74ZlgGe6_JY_1olB1XN4rF0dxEuIIF-xsYjHgg/edit?usp=sharing"",""พรบ!AK98"")"),0)</f>
        <v>0</v>
      </c>
      <c r="AC94" s="77">
        <v>0</v>
      </c>
      <c r="AD94" s="137">
        <f t="shared" ca="1" si="13"/>
        <v>0</v>
      </c>
      <c r="AE94" s="77">
        <f ca="1">IFERROR(__xludf.DUMMYFUNCTION("IMPORTRANGE(""https://docs.google.com/spreadsheets/d/1C3CXT74ZlgGe6_JY_1olB1XN4rF0dxEuIIF-xsYjHgg/edit?usp=sharing"",""พรบ!AL98"")"),0)</f>
        <v>0</v>
      </c>
      <c r="AF94" s="77">
        <v>0</v>
      </c>
      <c r="AG94" s="137">
        <f t="shared" ca="1" si="15"/>
        <v>0</v>
      </c>
      <c r="AH94" s="77">
        <f ca="1">IFERROR(__xludf.DUMMYFUNCTION("IMPORTRANGE(""https://docs.google.com/spreadsheets/d/1C3CXT74ZlgGe6_JY_1olB1XN4rF0dxEuIIF-xsYjHgg/edit?usp=sharing"",""พรบ!AM98"")"),0)</f>
        <v>0</v>
      </c>
      <c r="AI94" s="77">
        <f ca="1">IFERROR(__xludf.DUMMYFUNCTION("IMPORTRANGE(""https://docs.google.com/spreadsheets/d/1C3CXT74ZlgGe6_JY_1olB1XN4rF0dxEuIIF-xsYjHgg/edit?usp=sharing"",""พรบ!AN98"")"),0)</f>
        <v>0</v>
      </c>
      <c r="AJ94" s="77">
        <v>0</v>
      </c>
      <c r="AK94" s="137">
        <f t="shared" ca="1" si="17"/>
        <v>0</v>
      </c>
      <c r="AL94" s="77">
        <v>0</v>
      </c>
      <c r="AM94" s="137">
        <f t="shared" ca="1" si="18"/>
        <v>0</v>
      </c>
      <c r="AN94" s="77">
        <f ca="1">IFERROR(__xludf.DUMMYFUNCTION("IMPORTRANGE(""https://docs.google.com/spreadsheets/d/1C3CXT74ZlgGe6_JY_1olB1XN4rF0dxEuIIF-xsYjHgg/edit?usp=sharing"",""พรบ!AQ98"")"),0)</f>
        <v>0</v>
      </c>
      <c r="AO94" s="77">
        <v>0</v>
      </c>
      <c r="AP94" s="137">
        <f t="shared" ca="1" si="20"/>
        <v>0</v>
      </c>
      <c r="AQ94" s="77">
        <f ca="1">IFERROR(__xludf.DUMMYFUNCTION("IMPORTRANGE(""https://docs.google.com/spreadsheets/d/1C3CXT74ZlgGe6_JY_1olB1XN4rF0dxEuIIF-xsYjHgg/edit?usp=sharing"",""พรบ!AR98"")"),0)</f>
        <v>0</v>
      </c>
      <c r="AR94" s="77">
        <f ca="1">IFERROR(__xludf.DUMMYFUNCTION("IMPORTRANGE(""https://docs.google.com/spreadsheets/d/1C3CXT74ZlgGe6_JY_1olB1XN4rF0dxEuIIF-xsYjHgg/edit?usp=sharing"",""พรบ!AS98"")"),0)</f>
        <v>0</v>
      </c>
      <c r="AS94" s="77">
        <v>0</v>
      </c>
      <c r="AT94" s="137">
        <f t="shared" ca="1" si="22"/>
        <v>0</v>
      </c>
      <c r="AU94" s="77">
        <f ca="1">IFERROR(__xludf.DUMMYFUNCTION("IMPORTRANGE(""https://docs.google.com/spreadsheets/d/1C3CXT74ZlgGe6_JY_1olB1XN4rF0dxEuIIF-xsYjHgg/edit?usp=sharing"",""พรบ!AT98"")"),0)</f>
        <v>0</v>
      </c>
      <c r="AV94" s="77">
        <f ca="1">IFERROR(__xludf.DUMMYFUNCTION("IMPORTRANGE(""https://docs.google.com/spreadsheets/d/1C3CXT74ZlgGe6_JY_1olB1XN4rF0dxEuIIF-xsYjHgg/edit?usp=sharing"",""พรบ!AU98"")"),0)</f>
        <v>0</v>
      </c>
      <c r="AW94" s="77">
        <v>0</v>
      </c>
      <c r="AX94" s="137">
        <f t="shared" ca="1" si="24"/>
        <v>0</v>
      </c>
      <c r="AY94" s="77">
        <v>0</v>
      </c>
      <c r="AZ94" s="137">
        <f t="shared" ca="1" si="25"/>
        <v>0</v>
      </c>
      <c r="BA94" s="77">
        <v>0</v>
      </c>
      <c r="BB94" s="77">
        <v>0</v>
      </c>
      <c r="BC94" s="137">
        <f t="shared" si="27"/>
        <v>0</v>
      </c>
    </row>
    <row r="95" spans="1:55" ht="24" hidden="1" customHeight="1">
      <c r="A95" s="105">
        <f t="shared" ref="A95:A105" si="123">+A94+1</f>
        <v>4</v>
      </c>
      <c r="B95" s="106" t="s">
        <v>119</v>
      </c>
      <c r="C95" s="75">
        <f t="shared" ca="1" si="0"/>
        <v>80000</v>
      </c>
      <c r="D95" s="76">
        <f t="shared" ca="1" si="122"/>
        <v>80000</v>
      </c>
      <c r="E95" s="77">
        <f ca="1">IFERROR(__xludf.DUMMYFUNCTION("IMPORTRANGE(""https://docs.google.com/spreadsheets/d/1C3CXT74ZlgGe6_JY_1olB1XN4rF0dxEuIIF-xsYjHgg/edit?usp=sharing"",""พรบ!AD99"")"),80000)</f>
        <v>80000</v>
      </c>
      <c r="F95" s="77">
        <f ca="1">IFERROR(__xludf.DUMMYFUNCTION("IMPORTRANGE(""https://docs.google.com/spreadsheets/d/1C3CXT74ZlgGe6_JY_1olB1XN4rF0dxEuIIF-xsYjHgg/edit?usp=sharing"",""พรบ!AE99"")"),0)</f>
        <v>0</v>
      </c>
      <c r="G95" s="77">
        <f ca="1">IFERROR(__xludf.DUMMYFUNCTION("IMPORTRANGE(""https://docs.google.com/spreadsheets/d/1Yj_ptqi66GCucihVvJfMjLAmec39IyEx_6qawtMGysU/edit?usp=sharing"",""สบก!BH99"")"),0)</f>
        <v>0</v>
      </c>
      <c r="H95" s="77">
        <f ca="1">IFERROR(__xludf.DUMMYFUNCTION("IMPORTRANGE(""https://docs.google.com/spreadsheets/d/1Yj_ptqi66GCucihVvJfMjLAmec39IyEx_6qawtMGysU/edit?usp=shBJing"",""สบก!BJ99"")"),60000)</f>
        <v>60000</v>
      </c>
      <c r="I95" s="77">
        <f t="shared" ca="1" si="3"/>
        <v>0</v>
      </c>
      <c r="J95" s="137">
        <f t="shared" ca="1" si="4"/>
        <v>0</v>
      </c>
      <c r="K95" s="77">
        <f ca="1">IFERROR(__xludf.DUMMYFUNCTION("IMPORTRANGE(""https://docs.google.com/spreadsheets/d/1Yj_ptqi66GCucihVvJfMjLAmec39IyEx_6qawtMGysU/edit?usp=sharing"",""สบก!BK99"")"),0)</f>
        <v>0</v>
      </c>
      <c r="L95" s="137">
        <f t="shared" ca="1" si="5"/>
        <v>0</v>
      </c>
      <c r="M95" s="137">
        <f t="shared" ca="1" si="6"/>
        <v>0</v>
      </c>
      <c r="N95" s="137">
        <f ca="1">IFERROR(__xludf.DUMMYFUNCTION("IMPORTRANGE(""https://docs.google.com/spreadsheets/d/1Yj_ptqi66GCucihVvJfMjLAmec39IyEx_6qawtMGysU/edit?usp=sharing"",""สบก!BL99"")"),0)</f>
        <v>0</v>
      </c>
      <c r="O95" s="137">
        <f t="shared" ca="1" si="7"/>
        <v>0</v>
      </c>
      <c r="P95" s="77">
        <f ca="1">IFERROR(__xludf.DUMMYFUNCTION("IMPORTRANGE(""https://docs.google.com/spreadsheets/d/1C3CXT74ZlgGe6_JY_1olB1XN4rF0dxEuIIF-xsYjHgg/edit?usp=sharing"",""พรบ!AF99"")"),0)</f>
        <v>0</v>
      </c>
      <c r="Q95" s="77">
        <f ca="1">IFERROR(__xludf.DUMMYFUNCTION("IMPORTRANGE(""https://docs.google.com/spreadsheets/d/1C3CXT74ZlgGe6_JY_1olB1XN4rF0dxEuIIF-xsYjHgg/edit?usp=sharing"",""พรบ!AG99"")"),0)</f>
        <v>0</v>
      </c>
      <c r="R95" s="77">
        <v>0</v>
      </c>
      <c r="S95" s="137">
        <f t="shared" ca="1" si="9"/>
        <v>0</v>
      </c>
      <c r="T95" s="77"/>
      <c r="U95" s="77"/>
      <c r="V95" s="77"/>
      <c r="W95" s="77">
        <f ca="1">IFERROR(__xludf.DUMMYFUNCTION("IMPORTRANGE(""https://docs.google.com/spreadsheets/d/1C3CXT74ZlgGe6_JY_1olB1XN4rF0dxEuIIF-xsYjHgg/edit?usp=sharing"",""พรบ!AH99"")"),0)</f>
        <v>0</v>
      </c>
      <c r="X95" s="77">
        <f ca="1">IFERROR(__xludf.DUMMYFUNCTION("IMPORTRANGE(""https://docs.google.com/spreadsheets/d/1C3CXT74ZlgGe6_JY_1olB1XN4rF0dxEuIIF-xsYjHgg/edit?usp=sharing"",""พรบ!AI99"")"),0)</f>
        <v>0</v>
      </c>
      <c r="Y95" s="77">
        <v>0</v>
      </c>
      <c r="Z95" s="137">
        <f t="shared" ca="1" si="11"/>
        <v>0</v>
      </c>
      <c r="AA95" s="77">
        <f ca="1">IFERROR(__xludf.DUMMYFUNCTION("IMPORTRANGE(""https://docs.google.com/spreadsheets/d/1C3CXT74ZlgGe6_JY_1olB1XN4rF0dxEuIIF-xsYjHgg/edit?usp=sharing"",""พรบ!AJ99"")"),0)</f>
        <v>0</v>
      </c>
      <c r="AB95" s="77">
        <f ca="1">IFERROR(__xludf.DUMMYFUNCTION("IMPORTRANGE(""https://docs.google.com/spreadsheets/d/1C3CXT74ZlgGe6_JY_1olB1XN4rF0dxEuIIF-xsYjHgg/edit?usp=sharing"",""พรบ!AK99"")"),0)</f>
        <v>0</v>
      </c>
      <c r="AC95" s="77">
        <v>0</v>
      </c>
      <c r="AD95" s="137">
        <f t="shared" ca="1" si="13"/>
        <v>0</v>
      </c>
      <c r="AE95" s="77">
        <f ca="1">IFERROR(__xludf.DUMMYFUNCTION("IMPORTRANGE(""https://docs.google.com/spreadsheets/d/1C3CXT74ZlgGe6_JY_1olB1XN4rF0dxEuIIF-xsYjHgg/edit?usp=sharing"",""พรบ!AL99"")"),0)</f>
        <v>0</v>
      </c>
      <c r="AF95" s="77">
        <v>0</v>
      </c>
      <c r="AG95" s="137">
        <f t="shared" ca="1" si="15"/>
        <v>0</v>
      </c>
      <c r="AH95" s="77">
        <f ca="1">IFERROR(__xludf.DUMMYFUNCTION("IMPORTRANGE(""https://docs.google.com/spreadsheets/d/1C3CXT74ZlgGe6_JY_1olB1XN4rF0dxEuIIF-xsYjHgg/edit?usp=sharing"",""พรบ!AM99"")"),0)</f>
        <v>0</v>
      </c>
      <c r="AI95" s="77">
        <f ca="1">IFERROR(__xludf.DUMMYFUNCTION("IMPORTRANGE(""https://docs.google.com/spreadsheets/d/1C3CXT74ZlgGe6_JY_1olB1XN4rF0dxEuIIF-xsYjHgg/edit?usp=sharing"",""พรบ!AN99"")"),0)</f>
        <v>0</v>
      </c>
      <c r="AJ95" s="77">
        <v>0</v>
      </c>
      <c r="AK95" s="137">
        <f t="shared" ca="1" si="17"/>
        <v>0</v>
      </c>
      <c r="AL95" s="77">
        <v>0</v>
      </c>
      <c r="AM95" s="137">
        <f t="shared" ca="1" si="18"/>
        <v>0</v>
      </c>
      <c r="AN95" s="77">
        <f ca="1">IFERROR(__xludf.DUMMYFUNCTION("IMPORTRANGE(""https://docs.google.com/spreadsheets/d/1C3CXT74ZlgGe6_JY_1olB1XN4rF0dxEuIIF-xsYjHgg/edit?usp=sharing"",""พรบ!AQ99"")"),0)</f>
        <v>0</v>
      </c>
      <c r="AO95" s="77">
        <v>0</v>
      </c>
      <c r="AP95" s="137">
        <f t="shared" ca="1" si="20"/>
        <v>0</v>
      </c>
      <c r="AQ95" s="77">
        <f ca="1">IFERROR(__xludf.DUMMYFUNCTION("IMPORTRANGE(""https://docs.google.com/spreadsheets/d/1C3CXT74ZlgGe6_JY_1olB1XN4rF0dxEuIIF-xsYjHgg/edit?usp=sharing"",""พรบ!AR99"")"),0)</f>
        <v>0</v>
      </c>
      <c r="AR95" s="77">
        <f ca="1">IFERROR(__xludf.DUMMYFUNCTION("IMPORTRANGE(""https://docs.google.com/spreadsheets/d/1C3CXT74ZlgGe6_JY_1olB1XN4rF0dxEuIIF-xsYjHgg/edit?usp=sharing"",""พรบ!AS99"")"),0)</f>
        <v>0</v>
      </c>
      <c r="AS95" s="77">
        <v>0</v>
      </c>
      <c r="AT95" s="137">
        <f t="shared" ca="1" si="22"/>
        <v>0</v>
      </c>
      <c r="AU95" s="77">
        <f ca="1">IFERROR(__xludf.DUMMYFUNCTION("IMPORTRANGE(""https://docs.google.com/spreadsheets/d/1C3CXT74ZlgGe6_JY_1olB1XN4rF0dxEuIIF-xsYjHgg/edit?usp=sharing"",""พรบ!AT99"")"),0)</f>
        <v>0</v>
      </c>
      <c r="AV95" s="77">
        <f ca="1">IFERROR(__xludf.DUMMYFUNCTION("IMPORTRANGE(""https://docs.google.com/spreadsheets/d/1C3CXT74ZlgGe6_JY_1olB1XN4rF0dxEuIIF-xsYjHgg/edit?usp=sharing"",""พรบ!AU99"")"),0)</f>
        <v>0</v>
      </c>
      <c r="AW95" s="77">
        <v>0</v>
      </c>
      <c r="AX95" s="137">
        <f t="shared" ca="1" si="24"/>
        <v>0</v>
      </c>
      <c r="AY95" s="77">
        <v>0</v>
      </c>
      <c r="AZ95" s="137">
        <f t="shared" ca="1" si="25"/>
        <v>0</v>
      </c>
      <c r="BA95" s="77">
        <v>0</v>
      </c>
      <c r="BB95" s="77">
        <v>0</v>
      </c>
      <c r="BC95" s="137">
        <f t="shared" si="27"/>
        <v>0</v>
      </c>
    </row>
    <row r="96" spans="1:55" ht="24" hidden="1" customHeight="1">
      <c r="A96" s="105">
        <f t="shared" si="123"/>
        <v>5</v>
      </c>
      <c r="B96" s="106" t="s">
        <v>120</v>
      </c>
      <c r="C96" s="75">
        <f t="shared" ca="1" si="0"/>
        <v>0</v>
      </c>
      <c r="D96" s="76">
        <f t="shared" ca="1" si="122"/>
        <v>0</v>
      </c>
      <c r="E96" s="77">
        <f ca="1">IFERROR(__xludf.DUMMYFUNCTION("IMPORTRANGE(""https://docs.google.com/spreadsheets/d/1C3CXT74ZlgGe6_JY_1olB1XN4rF0dxEuIIF-xsYjHgg/edit?usp=sharing"",""พรบ!AD100"")"),0)</f>
        <v>0</v>
      </c>
      <c r="F96" s="77">
        <f ca="1">IFERROR(__xludf.DUMMYFUNCTION("IMPORTRANGE(""https://docs.google.com/spreadsheets/d/1C3CXT74ZlgGe6_JY_1olB1XN4rF0dxEuIIF-xsYjHgg/edit?usp=sharing"",""พรบ!AE100"")"),0)</f>
        <v>0</v>
      </c>
      <c r="G96" s="77">
        <f ca="1">IFERROR(__xludf.DUMMYFUNCTION("IMPORTRANGE(""https://docs.google.com/spreadsheets/d/1Yj_ptqi66GCucihVvJfMjLAmec39IyEx_6qawtMGysU/edit?usp=sharing"",""สบก!BH100"")"),0)</f>
        <v>0</v>
      </c>
      <c r="H96" s="77">
        <f ca="1">IFERROR(__xludf.DUMMYFUNCTION("IMPORTRANGE(""https://docs.google.com/spreadsheets/d/1Yj_ptqi66GCucihVvJfMjLAmec39IyEx_6qawtMGysU/edit?usp=shBJing"",""สบก!BJ100"")"),0)</f>
        <v>0</v>
      </c>
      <c r="I96" s="77">
        <f t="shared" ca="1" si="3"/>
        <v>0</v>
      </c>
      <c r="J96" s="137">
        <f t="shared" ca="1" si="4"/>
        <v>0</v>
      </c>
      <c r="K96" s="77">
        <f ca="1">IFERROR(__xludf.DUMMYFUNCTION("IMPORTRANGE(""https://docs.google.com/spreadsheets/d/1Yj_ptqi66GCucihVvJfMjLAmec39IyEx_6qawtMGysU/edit?usp=sharing"",""สบก!BK100"")"),0)</f>
        <v>0</v>
      </c>
      <c r="L96" s="137">
        <f t="shared" ca="1" si="5"/>
        <v>0</v>
      </c>
      <c r="M96" s="137">
        <f t="shared" ca="1" si="6"/>
        <v>0</v>
      </c>
      <c r="N96" s="137">
        <f ca="1">IFERROR(__xludf.DUMMYFUNCTION("IMPORTRANGE(""https://docs.google.com/spreadsheets/d/1Yj_ptqi66GCucihVvJfMjLAmec39IyEx_6qawtMGysU/edit?usp=sharing"",""สบก!BL100"")"),0)</f>
        <v>0</v>
      </c>
      <c r="O96" s="137">
        <f t="shared" ca="1" si="7"/>
        <v>0</v>
      </c>
      <c r="P96" s="77">
        <f ca="1">IFERROR(__xludf.DUMMYFUNCTION("IMPORTRANGE(""https://docs.google.com/spreadsheets/d/1C3CXT74ZlgGe6_JY_1olB1XN4rF0dxEuIIF-xsYjHgg/edit?usp=sharing"",""พรบ!AF100"")"),0)</f>
        <v>0</v>
      </c>
      <c r="Q96" s="77">
        <f ca="1">IFERROR(__xludf.DUMMYFUNCTION("IMPORTRANGE(""https://docs.google.com/spreadsheets/d/1C3CXT74ZlgGe6_JY_1olB1XN4rF0dxEuIIF-xsYjHgg/edit?usp=sharing"",""พรบ!AG100"")"),0)</f>
        <v>0</v>
      </c>
      <c r="R96" s="77">
        <v>0</v>
      </c>
      <c r="S96" s="137">
        <f t="shared" ca="1" si="9"/>
        <v>0</v>
      </c>
      <c r="T96" s="77"/>
      <c r="U96" s="77"/>
      <c r="V96" s="77"/>
      <c r="W96" s="77">
        <f ca="1">IFERROR(__xludf.DUMMYFUNCTION("IMPORTRANGE(""https://docs.google.com/spreadsheets/d/1C3CXT74ZlgGe6_JY_1olB1XN4rF0dxEuIIF-xsYjHgg/edit?usp=sharing"",""พรบ!AH100"")"),0)</f>
        <v>0</v>
      </c>
      <c r="X96" s="77">
        <f ca="1">IFERROR(__xludf.DUMMYFUNCTION("IMPORTRANGE(""https://docs.google.com/spreadsheets/d/1C3CXT74ZlgGe6_JY_1olB1XN4rF0dxEuIIF-xsYjHgg/edit?usp=sharing"",""พรบ!AI100"")"),0)</f>
        <v>0</v>
      </c>
      <c r="Y96" s="77">
        <v>0</v>
      </c>
      <c r="Z96" s="137">
        <f t="shared" ca="1" si="11"/>
        <v>0</v>
      </c>
      <c r="AA96" s="77">
        <f ca="1">IFERROR(__xludf.DUMMYFUNCTION("IMPORTRANGE(""https://docs.google.com/spreadsheets/d/1C3CXT74ZlgGe6_JY_1olB1XN4rF0dxEuIIF-xsYjHgg/edit?usp=sharing"",""พรบ!AJ100"")"),0)</f>
        <v>0</v>
      </c>
      <c r="AB96" s="77">
        <f ca="1">IFERROR(__xludf.DUMMYFUNCTION("IMPORTRANGE(""https://docs.google.com/spreadsheets/d/1C3CXT74ZlgGe6_JY_1olB1XN4rF0dxEuIIF-xsYjHgg/edit?usp=sharing"",""พรบ!AK100"")"),0)</f>
        <v>0</v>
      </c>
      <c r="AC96" s="77">
        <v>0</v>
      </c>
      <c r="AD96" s="137">
        <f t="shared" ca="1" si="13"/>
        <v>0</v>
      </c>
      <c r="AE96" s="77">
        <f ca="1">IFERROR(__xludf.DUMMYFUNCTION("IMPORTRANGE(""https://docs.google.com/spreadsheets/d/1C3CXT74ZlgGe6_JY_1olB1XN4rF0dxEuIIF-xsYjHgg/edit?usp=sharing"",""พรบ!AL100"")"),0)</f>
        <v>0</v>
      </c>
      <c r="AF96" s="77">
        <v>0</v>
      </c>
      <c r="AG96" s="137">
        <f t="shared" ca="1" si="15"/>
        <v>0</v>
      </c>
      <c r="AH96" s="77">
        <f ca="1">IFERROR(__xludf.DUMMYFUNCTION("IMPORTRANGE(""https://docs.google.com/spreadsheets/d/1C3CXT74ZlgGe6_JY_1olB1XN4rF0dxEuIIF-xsYjHgg/edit?usp=sharing"",""พรบ!AM100"")"),0)</f>
        <v>0</v>
      </c>
      <c r="AI96" s="77">
        <f ca="1">IFERROR(__xludf.DUMMYFUNCTION("IMPORTRANGE(""https://docs.google.com/spreadsheets/d/1C3CXT74ZlgGe6_JY_1olB1XN4rF0dxEuIIF-xsYjHgg/edit?usp=sharing"",""พรบ!AN100"")"),0)</f>
        <v>0</v>
      </c>
      <c r="AJ96" s="77">
        <v>0</v>
      </c>
      <c r="AK96" s="137">
        <f t="shared" ca="1" si="17"/>
        <v>0</v>
      </c>
      <c r="AL96" s="77">
        <v>0</v>
      </c>
      <c r="AM96" s="137">
        <f t="shared" ca="1" si="18"/>
        <v>0</v>
      </c>
      <c r="AN96" s="77">
        <f ca="1">IFERROR(__xludf.DUMMYFUNCTION("IMPORTRANGE(""https://docs.google.com/spreadsheets/d/1C3CXT74ZlgGe6_JY_1olB1XN4rF0dxEuIIF-xsYjHgg/edit?usp=sharing"",""พรบ!AQ100"")"),0)</f>
        <v>0</v>
      </c>
      <c r="AO96" s="77">
        <v>0</v>
      </c>
      <c r="AP96" s="137">
        <f t="shared" ca="1" si="20"/>
        <v>0</v>
      </c>
      <c r="AQ96" s="77">
        <f ca="1">IFERROR(__xludf.DUMMYFUNCTION("IMPORTRANGE(""https://docs.google.com/spreadsheets/d/1C3CXT74ZlgGe6_JY_1olB1XN4rF0dxEuIIF-xsYjHgg/edit?usp=sharing"",""พรบ!AR100"")"),0)</f>
        <v>0</v>
      </c>
      <c r="AR96" s="77">
        <f ca="1">IFERROR(__xludf.DUMMYFUNCTION("IMPORTRANGE(""https://docs.google.com/spreadsheets/d/1C3CXT74ZlgGe6_JY_1olB1XN4rF0dxEuIIF-xsYjHgg/edit?usp=sharing"",""พรบ!AS100"")"),0)</f>
        <v>0</v>
      </c>
      <c r="AS96" s="77">
        <v>0</v>
      </c>
      <c r="AT96" s="137">
        <f t="shared" ca="1" si="22"/>
        <v>0</v>
      </c>
      <c r="AU96" s="77">
        <f ca="1">IFERROR(__xludf.DUMMYFUNCTION("IMPORTRANGE(""https://docs.google.com/spreadsheets/d/1C3CXT74ZlgGe6_JY_1olB1XN4rF0dxEuIIF-xsYjHgg/edit?usp=sharing"",""พรบ!AT100"")"),0)</f>
        <v>0</v>
      </c>
      <c r="AV96" s="77">
        <f ca="1">IFERROR(__xludf.DUMMYFUNCTION("IMPORTRANGE(""https://docs.google.com/spreadsheets/d/1C3CXT74ZlgGe6_JY_1olB1XN4rF0dxEuIIF-xsYjHgg/edit?usp=sharing"",""พรบ!AU100"")"),0)</f>
        <v>0</v>
      </c>
      <c r="AW96" s="77">
        <v>0</v>
      </c>
      <c r="AX96" s="137">
        <f t="shared" ca="1" si="24"/>
        <v>0</v>
      </c>
      <c r="AY96" s="77">
        <v>0</v>
      </c>
      <c r="AZ96" s="137">
        <f t="shared" ca="1" si="25"/>
        <v>0</v>
      </c>
      <c r="BA96" s="77">
        <v>0</v>
      </c>
      <c r="BB96" s="77">
        <v>0</v>
      </c>
      <c r="BC96" s="137">
        <f t="shared" si="27"/>
        <v>0</v>
      </c>
    </row>
    <row r="97" spans="1:55" ht="24" hidden="1" customHeight="1">
      <c r="A97" s="105">
        <f t="shared" si="123"/>
        <v>6</v>
      </c>
      <c r="B97" s="106" t="s">
        <v>121</v>
      </c>
      <c r="C97" s="75">
        <f t="shared" ca="1" si="0"/>
        <v>0</v>
      </c>
      <c r="D97" s="76">
        <f t="shared" ca="1" si="122"/>
        <v>0</v>
      </c>
      <c r="E97" s="77">
        <f ca="1">IFERROR(__xludf.DUMMYFUNCTION("IMPORTRANGE(""https://docs.google.com/spreadsheets/d/1C3CXT74ZlgGe6_JY_1olB1XN4rF0dxEuIIF-xsYjHgg/edit?usp=sharing"",""พรบ!AD101"")"),0)</f>
        <v>0</v>
      </c>
      <c r="F97" s="77">
        <f ca="1">IFERROR(__xludf.DUMMYFUNCTION("IMPORTRANGE(""https://docs.google.com/spreadsheets/d/1C3CXT74ZlgGe6_JY_1olB1XN4rF0dxEuIIF-xsYjHgg/edit?usp=sharing"",""พรบ!AE101"")"),0)</f>
        <v>0</v>
      </c>
      <c r="G97" s="77">
        <f ca="1">IFERROR(__xludf.DUMMYFUNCTION("IMPORTRANGE(""https://docs.google.com/spreadsheets/d/1Yj_ptqi66GCucihVvJfMjLAmec39IyEx_6qawtMGysU/edit?usp=sharing"",""สบก!BH101"")"),0)</f>
        <v>0</v>
      </c>
      <c r="H97" s="77">
        <f ca="1">IFERROR(__xludf.DUMMYFUNCTION("IMPORTRANGE(""https://docs.google.com/spreadsheets/d/1Yj_ptqi66GCucihVvJfMjLAmec39IyEx_6qawtMGysU/edit?usp=shBJing"",""สบก!BJ101"")"),0)</f>
        <v>0</v>
      </c>
      <c r="I97" s="77">
        <f t="shared" ca="1" si="3"/>
        <v>0</v>
      </c>
      <c r="J97" s="137">
        <f t="shared" ca="1" si="4"/>
        <v>0</v>
      </c>
      <c r="K97" s="77">
        <f ca="1">IFERROR(__xludf.DUMMYFUNCTION("IMPORTRANGE(""https://docs.google.com/spreadsheets/d/1Yj_ptqi66GCucihVvJfMjLAmec39IyEx_6qawtMGysU/edit?usp=sharing"",""สบก!BK101"")"),0)</f>
        <v>0</v>
      </c>
      <c r="L97" s="137">
        <f t="shared" ca="1" si="5"/>
        <v>0</v>
      </c>
      <c r="M97" s="137">
        <f t="shared" ca="1" si="6"/>
        <v>0</v>
      </c>
      <c r="N97" s="137">
        <f ca="1">IFERROR(__xludf.DUMMYFUNCTION("IMPORTRANGE(""https://docs.google.com/spreadsheets/d/1Yj_ptqi66GCucihVvJfMjLAmec39IyEx_6qawtMGysU/edit?usp=sharing"",""สบก!BL101"")"),0)</f>
        <v>0</v>
      </c>
      <c r="O97" s="137">
        <f t="shared" ca="1" si="7"/>
        <v>0</v>
      </c>
      <c r="P97" s="77">
        <f ca="1">IFERROR(__xludf.DUMMYFUNCTION("IMPORTRANGE(""https://docs.google.com/spreadsheets/d/1C3CXT74ZlgGe6_JY_1olB1XN4rF0dxEuIIF-xsYjHgg/edit?usp=sharing"",""พรบ!AF101"")"),0)</f>
        <v>0</v>
      </c>
      <c r="Q97" s="77">
        <f ca="1">IFERROR(__xludf.DUMMYFUNCTION("IMPORTRANGE(""https://docs.google.com/spreadsheets/d/1C3CXT74ZlgGe6_JY_1olB1XN4rF0dxEuIIF-xsYjHgg/edit?usp=sharing"",""พรบ!AG101"")"),0)</f>
        <v>0</v>
      </c>
      <c r="R97" s="77">
        <v>0</v>
      </c>
      <c r="S97" s="137">
        <f t="shared" ca="1" si="9"/>
        <v>0</v>
      </c>
      <c r="T97" s="77"/>
      <c r="U97" s="77"/>
      <c r="V97" s="77"/>
      <c r="W97" s="77">
        <f ca="1">IFERROR(__xludf.DUMMYFUNCTION("IMPORTRANGE(""https://docs.google.com/spreadsheets/d/1C3CXT74ZlgGe6_JY_1olB1XN4rF0dxEuIIF-xsYjHgg/edit?usp=sharing"",""พรบ!AH101"")"),0)</f>
        <v>0</v>
      </c>
      <c r="X97" s="77">
        <f ca="1">IFERROR(__xludf.DUMMYFUNCTION("IMPORTRANGE(""https://docs.google.com/spreadsheets/d/1C3CXT74ZlgGe6_JY_1olB1XN4rF0dxEuIIF-xsYjHgg/edit?usp=sharing"",""พรบ!AI101"")"),0)</f>
        <v>0</v>
      </c>
      <c r="Y97" s="77">
        <v>0</v>
      </c>
      <c r="Z97" s="137">
        <f t="shared" ca="1" si="11"/>
        <v>0</v>
      </c>
      <c r="AA97" s="77">
        <f ca="1">IFERROR(__xludf.DUMMYFUNCTION("IMPORTRANGE(""https://docs.google.com/spreadsheets/d/1C3CXT74ZlgGe6_JY_1olB1XN4rF0dxEuIIF-xsYjHgg/edit?usp=sharing"",""พรบ!AJ101"")"),0)</f>
        <v>0</v>
      </c>
      <c r="AB97" s="77">
        <f ca="1">IFERROR(__xludf.DUMMYFUNCTION("IMPORTRANGE(""https://docs.google.com/spreadsheets/d/1C3CXT74ZlgGe6_JY_1olB1XN4rF0dxEuIIF-xsYjHgg/edit?usp=sharing"",""พรบ!AK101"")"),0)</f>
        <v>0</v>
      </c>
      <c r="AC97" s="77">
        <v>0</v>
      </c>
      <c r="AD97" s="137">
        <f t="shared" ca="1" si="13"/>
        <v>0</v>
      </c>
      <c r="AE97" s="77">
        <f ca="1">IFERROR(__xludf.DUMMYFUNCTION("IMPORTRANGE(""https://docs.google.com/spreadsheets/d/1C3CXT74ZlgGe6_JY_1olB1XN4rF0dxEuIIF-xsYjHgg/edit?usp=sharing"",""พรบ!AL101"")"),0)</f>
        <v>0</v>
      </c>
      <c r="AF97" s="77">
        <v>0</v>
      </c>
      <c r="AG97" s="137">
        <f t="shared" ca="1" si="15"/>
        <v>0</v>
      </c>
      <c r="AH97" s="77">
        <f ca="1">IFERROR(__xludf.DUMMYFUNCTION("IMPORTRANGE(""https://docs.google.com/spreadsheets/d/1C3CXT74ZlgGe6_JY_1olB1XN4rF0dxEuIIF-xsYjHgg/edit?usp=sharing"",""พรบ!AM101"")"),0)</f>
        <v>0</v>
      </c>
      <c r="AI97" s="77">
        <f ca="1">IFERROR(__xludf.DUMMYFUNCTION("IMPORTRANGE(""https://docs.google.com/spreadsheets/d/1C3CXT74ZlgGe6_JY_1olB1XN4rF0dxEuIIF-xsYjHgg/edit?usp=sharing"",""พรบ!AN101"")"),0)</f>
        <v>0</v>
      </c>
      <c r="AJ97" s="77">
        <v>0</v>
      </c>
      <c r="AK97" s="137">
        <f t="shared" ca="1" si="17"/>
        <v>0</v>
      </c>
      <c r="AL97" s="77">
        <v>0</v>
      </c>
      <c r="AM97" s="137">
        <f t="shared" ca="1" si="18"/>
        <v>0</v>
      </c>
      <c r="AN97" s="77">
        <f ca="1">IFERROR(__xludf.DUMMYFUNCTION("IMPORTRANGE(""https://docs.google.com/spreadsheets/d/1C3CXT74ZlgGe6_JY_1olB1XN4rF0dxEuIIF-xsYjHgg/edit?usp=sharing"",""พรบ!AQ101"")"),0)</f>
        <v>0</v>
      </c>
      <c r="AO97" s="77">
        <v>0</v>
      </c>
      <c r="AP97" s="137">
        <f t="shared" ca="1" si="20"/>
        <v>0</v>
      </c>
      <c r="AQ97" s="77">
        <f ca="1">IFERROR(__xludf.DUMMYFUNCTION("IMPORTRANGE(""https://docs.google.com/spreadsheets/d/1C3CXT74ZlgGe6_JY_1olB1XN4rF0dxEuIIF-xsYjHgg/edit?usp=sharing"",""พรบ!AR101"")"),0)</f>
        <v>0</v>
      </c>
      <c r="AR97" s="77">
        <f ca="1">IFERROR(__xludf.DUMMYFUNCTION("IMPORTRANGE(""https://docs.google.com/spreadsheets/d/1C3CXT74ZlgGe6_JY_1olB1XN4rF0dxEuIIF-xsYjHgg/edit?usp=sharing"",""พรบ!AS101"")"),0)</f>
        <v>0</v>
      </c>
      <c r="AS97" s="77">
        <v>0</v>
      </c>
      <c r="AT97" s="137">
        <f t="shared" ca="1" si="22"/>
        <v>0</v>
      </c>
      <c r="AU97" s="77">
        <f ca="1">IFERROR(__xludf.DUMMYFUNCTION("IMPORTRANGE(""https://docs.google.com/spreadsheets/d/1C3CXT74ZlgGe6_JY_1olB1XN4rF0dxEuIIF-xsYjHgg/edit?usp=sharing"",""พรบ!AT101"")"),0)</f>
        <v>0</v>
      </c>
      <c r="AV97" s="77">
        <f ca="1">IFERROR(__xludf.DUMMYFUNCTION("IMPORTRANGE(""https://docs.google.com/spreadsheets/d/1C3CXT74ZlgGe6_JY_1olB1XN4rF0dxEuIIF-xsYjHgg/edit?usp=sharing"",""พรบ!AU101"")"),0)</f>
        <v>0</v>
      </c>
      <c r="AW97" s="77">
        <v>0</v>
      </c>
      <c r="AX97" s="137">
        <f t="shared" ca="1" si="24"/>
        <v>0</v>
      </c>
      <c r="AY97" s="77">
        <v>0</v>
      </c>
      <c r="AZ97" s="137">
        <f t="shared" ca="1" si="25"/>
        <v>0</v>
      </c>
      <c r="BA97" s="77">
        <v>0</v>
      </c>
      <c r="BB97" s="77">
        <v>0</v>
      </c>
      <c r="BC97" s="137">
        <f t="shared" si="27"/>
        <v>0</v>
      </c>
    </row>
    <row r="98" spans="1:55" ht="24" hidden="1" customHeight="1">
      <c r="A98" s="105">
        <f t="shared" si="123"/>
        <v>7</v>
      </c>
      <c r="B98" s="106" t="s">
        <v>122</v>
      </c>
      <c r="C98" s="75">
        <f t="shared" ca="1" si="0"/>
        <v>0</v>
      </c>
      <c r="D98" s="76">
        <f t="shared" ca="1" si="122"/>
        <v>0</v>
      </c>
      <c r="E98" s="77">
        <f ca="1">IFERROR(__xludf.DUMMYFUNCTION("IMPORTRANGE(""https://docs.google.com/spreadsheets/d/1C3CXT74ZlgGe6_JY_1olB1XN4rF0dxEuIIF-xsYjHgg/edit?usp=sharing"",""พรบ!AD102"")"),0)</f>
        <v>0</v>
      </c>
      <c r="F98" s="77">
        <f ca="1">IFERROR(__xludf.DUMMYFUNCTION("IMPORTRANGE(""https://docs.google.com/spreadsheets/d/1C3CXT74ZlgGe6_JY_1olB1XN4rF0dxEuIIF-xsYjHgg/edit?usp=sharing"",""พรบ!AE102"")"),0)</f>
        <v>0</v>
      </c>
      <c r="G98" s="77">
        <f ca="1">IFERROR(__xludf.DUMMYFUNCTION("IMPORTRANGE(""https://docs.google.com/spreadsheets/d/1Yj_ptqi66GCucihVvJfMjLAmec39IyEx_6qawtMGysU/edit?usp=sharing"",""สบก!BH102"")"),0)</f>
        <v>0</v>
      </c>
      <c r="H98" s="77">
        <f ca="1">IFERROR(__xludf.DUMMYFUNCTION("IMPORTRANGE(""https://docs.google.com/spreadsheets/d/1Yj_ptqi66GCucihVvJfMjLAmec39IyEx_6qawtMGysU/edit?usp=shBJing"",""สบก!BJ102"")"),0)</f>
        <v>0</v>
      </c>
      <c r="I98" s="77">
        <f t="shared" ca="1" si="3"/>
        <v>0</v>
      </c>
      <c r="J98" s="137">
        <f t="shared" ca="1" si="4"/>
        <v>0</v>
      </c>
      <c r="K98" s="77">
        <f ca="1">IFERROR(__xludf.DUMMYFUNCTION("IMPORTRANGE(""https://docs.google.com/spreadsheets/d/1Yj_ptqi66GCucihVvJfMjLAmec39IyEx_6qawtMGysU/edit?usp=sharing"",""สบก!BK102"")"),0)</f>
        <v>0</v>
      </c>
      <c r="L98" s="137">
        <f t="shared" ca="1" si="5"/>
        <v>0</v>
      </c>
      <c r="M98" s="137">
        <f t="shared" ca="1" si="6"/>
        <v>0</v>
      </c>
      <c r="N98" s="137">
        <f ca="1">IFERROR(__xludf.DUMMYFUNCTION("IMPORTRANGE(""https://docs.google.com/spreadsheets/d/1Yj_ptqi66GCucihVvJfMjLAmec39IyEx_6qawtMGysU/edit?usp=sharing"",""สบก!BL102"")"),0)</f>
        <v>0</v>
      </c>
      <c r="O98" s="137">
        <f t="shared" ca="1" si="7"/>
        <v>0</v>
      </c>
      <c r="P98" s="77">
        <f ca="1">IFERROR(__xludf.DUMMYFUNCTION("IMPORTRANGE(""https://docs.google.com/spreadsheets/d/1C3CXT74ZlgGe6_JY_1olB1XN4rF0dxEuIIF-xsYjHgg/edit?usp=sharing"",""พรบ!AF102"")"),0)</f>
        <v>0</v>
      </c>
      <c r="Q98" s="77">
        <f ca="1">IFERROR(__xludf.DUMMYFUNCTION("IMPORTRANGE(""https://docs.google.com/spreadsheets/d/1C3CXT74ZlgGe6_JY_1olB1XN4rF0dxEuIIF-xsYjHgg/edit?usp=sharing"",""พรบ!AG102"")"),0)</f>
        <v>0</v>
      </c>
      <c r="R98" s="77">
        <v>0</v>
      </c>
      <c r="S98" s="137">
        <f t="shared" ca="1" si="9"/>
        <v>0</v>
      </c>
      <c r="T98" s="77"/>
      <c r="U98" s="77"/>
      <c r="V98" s="77"/>
      <c r="W98" s="77">
        <f ca="1">IFERROR(__xludf.DUMMYFUNCTION("IMPORTRANGE(""https://docs.google.com/spreadsheets/d/1C3CXT74ZlgGe6_JY_1olB1XN4rF0dxEuIIF-xsYjHgg/edit?usp=sharing"",""พรบ!AH102"")"),0)</f>
        <v>0</v>
      </c>
      <c r="X98" s="77">
        <f ca="1">IFERROR(__xludf.DUMMYFUNCTION("IMPORTRANGE(""https://docs.google.com/spreadsheets/d/1C3CXT74ZlgGe6_JY_1olB1XN4rF0dxEuIIF-xsYjHgg/edit?usp=sharing"",""พรบ!AI102"")"),0)</f>
        <v>0</v>
      </c>
      <c r="Y98" s="77">
        <v>0</v>
      </c>
      <c r="Z98" s="137">
        <f t="shared" ca="1" si="11"/>
        <v>0</v>
      </c>
      <c r="AA98" s="77">
        <f ca="1">IFERROR(__xludf.DUMMYFUNCTION("IMPORTRANGE(""https://docs.google.com/spreadsheets/d/1C3CXT74ZlgGe6_JY_1olB1XN4rF0dxEuIIF-xsYjHgg/edit?usp=sharing"",""พรบ!AJ102"")"),0)</f>
        <v>0</v>
      </c>
      <c r="AB98" s="77">
        <f ca="1">IFERROR(__xludf.DUMMYFUNCTION("IMPORTRANGE(""https://docs.google.com/spreadsheets/d/1C3CXT74ZlgGe6_JY_1olB1XN4rF0dxEuIIF-xsYjHgg/edit?usp=sharing"",""พรบ!AK102"")"),0)</f>
        <v>0</v>
      </c>
      <c r="AC98" s="77">
        <v>0</v>
      </c>
      <c r="AD98" s="137">
        <f t="shared" ca="1" si="13"/>
        <v>0</v>
      </c>
      <c r="AE98" s="77">
        <f ca="1">IFERROR(__xludf.DUMMYFUNCTION("IMPORTRANGE(""https://docs.google.com/spreadsheets/d/1C3CXT74ZlgGe6_JY_1olB1XN4rF0dxEuIIF-xsYjHgg/edit?usp=sharing"",""พรบ!AL102"")"),0)</f>
        <v>0</v>
      </c>
      <c r="AF98" s="77">
        <v>0</v>
      </c>
      <c r="AG98" s="137">
        <f t="shared" ca="1" si="15"/>
        <v>0</v>
      </c>
      <c r="AH98" s="77">
        <f ca="1">IFERROR(__xludf.DUMMYFUNCTION("IMPORTRANGE(""https://docs.google.com/spreadsheets/d/1C3CXT74ZlgGe6_JY_1olB1XN4rF0dxEuIIF-xsYjHgg/edit?usp=sharing"",""พรบ!AM102"")"),0)</f>
        <v>0</v>
      </c>
      <c r="AI98" s="77">
        <f ca="1">IFERROR(__xludf.DUMMYFUNCTION("IMPORTRANGE(""https://docs.google.com/spreadsheets/d/1C3CXT74ZlgGe6_JY_1olB1XN4rF0dxEuIIF-xsYjHgg/edit?usp=sharing"",""พรบ!AN102"")"),0)</f>
        <v>0</v>
      </c>
      <c r="AJ98" s="77">
        <v>0</v>
      </c>
      <c r="AK98" s="137">
        <f t="shared" ca="1" si="17"/>
        <v>0</v>
      </c>
      <c r="AL98" s="77">
        <v>0</v>
      </c>
      <c r="AM98" s="137">
        <f t="shared" ca="1" si="18"/>
        <v>0</v>
      </c>
      <c r="AN98" s="77">
        <f ca="1">IFERROR(__xludf.DUMMYFUNCTION("IMPORTRANGE(""https://docs.google.com/spreadsheets/d/1C3CXT74ZlgGe6_JY_1olB1XN4rF0dxEuIIF-xsYjHgg/edit?usp=sharing"",""พรบ!AQ102"")"),0)</f>
        <v>0</v>
      </c>
      <c r="AO98" s="77">
        <v>0</v>
      </c>
      <c r="AP98" s="137">
        <f t="shared" ca="1" si="20"/>
        <v>0</v>
      </c>
      <c r="AQ98" s="77">
        <f ca="1">IFERROR(__xludf.DUMMYFUNCTION("IMPORTRANGE(""https://docs.google.com/spreadsheets/d/1C3CXT74ZlgGe6_JY_1olB1XN4rF0dxEuIIF-xsYjHgg/edit?usp=sharing"",""พรบ!AR102"")"),0)</f>
        <v>0</v>
      </c>
      <c r="AR98" s="77">
        <f ca="1">IFERROR(__xludf.DUMMYFUNCTION("IMPORTRANGE(""https://docs.google.com/spreadsheets/d/1C3CXT74ZlgGe6_JY_1olB1XN4rF0dxEuIIF-xsYjHgg/edit?usp=sharing"",""พรบ!AS102"")"),0)</f>
        <v>0</v>
      </c>
      <c r="AS98" s="77">
        <v>0</v>
      </c>
      <c r="AT98" s="137">
        <f t="shared" ca="1" si="22"/>
        <v>0</v>
      </c>
      <c r="AU98" s="77">
        <f ca="1">IFERROR(__xludf.DUMMYFUNCTION("IMPORTRANGE(""https://docs.google.com/spreadsheets/d/1C3CXT74ZlgGe6_JY_1olB1XN4rF0dxEuIIF-xsYjHgg/edit?usp=sharing"",""พรบ!AT102"")"),0)</f>
        <v>0</v>
      </c>
      <c r="AV98" s="77">
        <f ca="1">IFERROR(__xludf.DUMMYFUNCTION("IMPORTRANGE(""https://docs.google.com/spreadsheets/d/1C3CXT74ZlgGe6_JY_1olB1XN4rF0dxEuIIF-xsYjHgg/edit?usp=sharing"",""พรบ!AU102"")"),0)</f>
        <v>0</v>
      </c>
      <c r="AW98" s="77">
        <v>0</v>
      </c>
      <c r="AX98" s="137">
        <f t="shared" ca="1" si="24"/>
        <v>0</v>
      </c>
      <c r="AY98" s="77">
        <v>0</v>
      </c>
      <c r="AZ98" s="137">
        <f t="shared" ca="1" si="25"/>
        <v>0</v>
      </c>
      <c r="BA98" s="77">
        <v>0</v>
      </c>
      <c r="BB98" s="77">
        <v>0</v>
      </c>
      <c r="BC98" s="137">
        <f t="shared" si="27"/>
        <v>0</v>
      </c>
    </row>
    <row r="99" spans="1:55" ht="24" hidden="1" customHeight="1">
      <c r="A99" s="105">
        <f t="shared" si="123"/>
        <v>8</v>
      </c>
      <c r="B99" s="106" t="s">
        <v>123</v>
      </c>
      <c r="C99" s="75">
        <f t="shared" ca="1" si="0"/>
        <v>0</v>
      </c>
      <c r="D99" s="76">
        <f t="shared" ca="1" si="122"/>
        <v>0</v>
      </c>
      <c r="E99" s="77">
        <f ca="1">IFERROR(__xludf.DUMMYFUNCTION("IMPORTRANGE(""https://docs.google.com/spreadsheets/d/1C3CXT74ZlgGe6_JY_1olB1XN4rF0dxEuIIF-xsYjHgg/edit?usp=sharing"",""พรบ!AD103"")"),0)</f>
        <v>0</v>
      </c>
      <c r="F99" s="77">
        <f ca="1">IFERROR(__xludf.DUMMYFUNCTION("IMPORTRANGE(""https://docs.google.com/spreadsheets/d/1C3CXT74ZlgGe6_JY_1olB1XN4rF0dxEuIIF-xsYjHgg/edit?usp=sharing"",""พรบ!AE103"")"),0)</f>
        <v>0</v>
      </c>
      <c r="G99" s="77">
        <f ca="1">IFERROR(__xludf.DUMMYFUNCTION("IMPORTRANGE(""https://docs.google.com/spreadsheets/d/1Yj_ptqi66GCucihVvJfMjLAmec39IyEx_6qawtMGysU/edit?usp=sharing"",""สบก!BH103"")"),0)</f>
        <v>0</v>
      </c>
      <c r="H99" s="77">
        <f ca="1">IFERROR(__xludf.DUMMYFUNCTION("IMPORTRANGE(""https://docs.google.com/spreadsheets/d/1Yj_ptqi66GCucihVvJfMjLAmec39IyEx_6qawtMGysU/edit?usp=shBJing"",""สบก!BJ103"")"),0)</f>
        <v>0</v>
      </c>
      <c r="I99" s="77">
        <f t="shared" ca="1" si="3"/>
        <v>0</v>
      </c>
      <c r="J99" s="137">
        <f t="shared" ca="1" si="4"/>
        <v>0</v>
      </c>
      <c r="K99" s="77">
        <f ca="1">IFERROR(__xludf.DUMMYFUNCTION("IMPORTRANGE(""https://docs.google.com/spreadsheets/d/1Yj_ptqi66GCucihVvJfMjLAmec39IyEx_6qawtMGysU/edit?usp=sharing"",""สบก!BK103"")"),0)</f>
        <v>0</v>
      </c>
      <c r="L99" s="137">
        <f t="shared" ca="1" si="5"/>
        <v>0</v>
      </c>
      <c r="M99" s="137">
        <f t="shared" ca="1" si="6"/>
        <v>0</v>
      </c>
      <c r="N99" s="137">
        <f ca="1">IFERROR(__xludf.DUMMYFUNCTION("IMPORTRANGE(""https://docs.google.com/spreadsheets/d/1Yj_ptqi66GCucihVvJfMjLAmec39IyEx_6qawtMGysU/edit?usp=sharing"",""สบก!BL103"")"),0)</f>
        <v>0</v>
      </c>
      <c r="O99" s="137">
        <f t="shared" ca="1" si="7"/>
        <v>0</v>
      </c>
      <c r="P99" s="77">
        <f ca="1">IFERROR(__xludf.DUMMYFUNCTION("IMPORTRANGE(""https://docs.google.com/spreadsheets/d/1C3CXT74ZlgGe6_JY_1olB1XN4rF0dxEuIIF-xsYjHgg/edit?usp=sharing"",""พรบ!AF103"")"),0)</f>
        <v>0</v>
      </c>
      <c r="Q99" s="77">
        <f ca="1">IFERROR(__xludf.DUMMYFUNCTION("IMPORTRANGE(""https://docs.google.com/spreadsheets/d/1C3CXT74ZlgGe6_JY_1olB1XN4rF0dxEuIIF-xsYjHgg/edit?usp=sharing"",""พรบ!AG103"")"),0)</f>
        <v>0</v>
      </c>
      <c r="R99" s="77">
        <v>0</v>
      </c>
      <c r="S99" s="137">
        <f t="shared" ca="1" si="9"/>
        <v>0</v>
      </c>
      <c r="T99" s="77"/>
      <c r="U99" s="77"/>
      <c r="V99" s="77"/>
      <c r="W99" s="77">
        <f ca="1">IFERROR(__xludf.DUMMYFUNCTION("IMPORTRANGE(""https://docs.google.com/spreadsheets/d/1C3CXT74ZlgGe6_JY_1olB1XN4rF0dxEuIIF-xsYjHgg/edit?usp=sharing"",""พรบ!AH103"")"),0)</f>
        <v>0</v>
      </c>
      <c r="X99" s="77">
        <f ca="1">IFERROR(__xludf.DUMMYFUNCTION("IMPORTRANGE(""https://docs.google.com/spreadsheets/d/1C3CXT74ZlgGe6_JY_1olB1XN4rF0dxEuIIF-xsYjHgg/edit?usp=sharing"",""พรบ!AI103"")"),0)</f>
        <v>0</v>
      </c>
      <c r="Y99" s="77">
        <v>0</v>
      </c>
      <c r="Z99" s="137">
        <f t="shared" ca="1" si="11"/>
        <v>0</v>
      </c>
      <c r="AA99" s="77">
        <f ca="1">IFERROR(__xludf.DUMMYFUNCTION("IMPORTRANGE(""https://docs.google.com/spreadsheets/d/1C3CXT74ZlgGe6_JY_1olB1XN4rF0dxEuIIF-xsYjHgg/edit?usp=sharing"",""พรบ!AJ103"")"),0)</f>
        <v>0</v>
      </c>
      <c r="AB99" s="77">
        <f ca="1">IFERROR(__xludf.DUMMYFUNCTION("IMPORTRANGE(""https://docs.google.com/spreadsheets/d/1C3CXT74ZlgGe6_JY_1olB1XN4rF0dxEuIIF-xsYjHgg/edit?usp=sharing"",""พรบ!AK103"")"),0)</f>
        <v>0</v>
      </c>
      <c r="AC99" s="77">
        <v>0</v>
      </c>
      <c r="AD99" s="137">
        <f t="shared" ca="1" si="13"/>
        <v>0</v>
      </c>
      <c r="AE99" s="77">
        <f ca="1">IFERROR(__xludf.DUMMYFUNCTION("IMPORTRANGE(""https://docs.google.com/spreadsheets/d/1C3CXT74ZlgGe6_JY_1olB1XN4rF0dxEuIIF-xsYjHgg/edit?usp=sharing"",""พรบ!AL103"")"),0)</f>
        <v>0</v>
      </c>
      <c r="AF99" s="77">
        <v>0</v>
      </c>
      <c r="AG99" s="137">
        <f t="shared" ca="1" si="15"/>
        <v>0</v>
      </c>
      <c r="AH99" s="77">
        <f ca="1">IFERROR(__xludf.DUMMYFUNCTION("IMPORTRANGE(""https://docs.google.com/spreadsheets/d/1C3CXT74ZlgGe6_JY_1olB1XN4rF0dxEuIIF-xsYjHgg/edit?usp=sharing"",""พรบ!AM103"")"),0)</f>
        <v>0</v>
      </c>
      <c r="AI99" s="77">
        <f ca="1">IFERROR(__xludf.DUMMYFUNCTION("IMPORTRANGE(""https://docs.google.com/spreadsheets/d/1C3CXT74ZlgGe6_JY_1olB1XN4rF0dxEuIIF-xsYjHgg/edit?usp=sharing"",""พรบ!AN103"")"),0)</f>
        <v>0</v>
      </c>
      <c r="AJ99" s="77">
        <v>0</v>
      </c>
      <c r="AK99" s="137">
        <f t="shared" ca="1" si="17"/>
        <v>0</v>
      </c>
      <c r="AL99" s="77">
        <v>0</v>
      </c>
      <c r="AM99" s="137">
        <f t="shared" ca="1" si="18"/>
        <v>0</v>
      </c>
      <c r="AN99" s="77">
        <f ca="1">IFERROR(__xludf.DUMMYFUNCTION("IMPORTRANGE(""https://docs.google.com/spreadsheets/d/1C3CXT74ZlgGe6_JY_1olB1XN4rF0dxEuIIF-xsYjHgg/edit?usp=sharing"",""พรบ!AQ103"")"),0)</f>
        <v>0</v>
      </c>
      <c r="AO99" s="77">
        <v>0</v>
      </c>
      <c r="AP99" s="137">
        <f t="shared" ca="1" si="20"/>
        <v>0</v>
      </c>
      <c r="AQ99" s="77">
        <f ca="1">IFERROR(__xludf.DUMMYFUNCTION("IMPORTRANGE(""https://docs.google.com/spreadsheets/d/1C3CXT74ZlgGe6_JY_1olB1XN4rF0dxEuIIF-xsYjHgg/edit?usp=sharing"",""พรบ!AR103"")"),0)</f>
        <v>0</v>
      </c>
      <c r="AR99" s="77">
        <f ca="1">IFERROR(__xludf.DUMMYFUNCTION("IMPORTRANGE(""https://docs.google.com/spreadsheets/d/1C3CXT74ZlgGe6_JY_1olB1XN4rF0dxEuIIF-xsYjHgg/edit?usp=sharing"",""พรบ!AS103"")"),0)</f>
        <v>0</v>
      </c>
      <c r="AS99" s="77">
        <v>0</v>
      </c>
      <c r="AT99" s="137">
        <f t="shared" ca="1" si="22"/>
        <v>0</v>
      </c>
      <c r="AU99" s="77">
        <f ca="1">IFERROR(__xludf.DUMMYFUNCTION("IMPORTRANGE(""https://docs.google.com/spreadsheets/d/1C3CXT74ZlgGe6_JY_1olB1XN4rF0dxEuIIF-xsYjHgg/edit?usp=sharing"",""พรบ!AT103"")"),0)</f>
        <v>0</v>
      </c>
      <c r="AV99" s="77">
        <f ca="1">IFERROR(__xludf.DUMMYFUNCTION("IMPORTRANGE(""https://docs.google.com/spreadsheets/d/1C3CXT74ZlgGe6_JY_1olB1XN4rF0dxEuIIF-xsYjHgg/edit?usp=sharing"",""พรบ!AU103"")"),0)</f>
        <v>0</v>
      </c>
      <c r="AW99" s="77">
        <v>0</v>
      </c>
      <c r="AX99" s="137">
        <f t="shared" ca="1" si="24"/>
        <v>0</v>
      </c>
      <c r="AY99" s="77">
        <v>0</v>
      </c>
      <c r="AZ99" s="137">
        <f t="shared" ca="1" si="25"/>
        <v>0</v>
      </c>
      <c r="BA99" s="77">
        <v>0</v>
      </c>
      <c r="BB99" s="77">
        <v>0</v>
      </c>
      <c r="BC99" s="137">
        <f t="shared" si="27"/>
        <v>0</v>
      </c>
    </row>
    <row r="100" spans="1:55" ht="24" hidden="1" customHeight="1">
      <c r="A100" s="105">
        <f t="shared" si="123"/>
        <v>9</v>
      </c>
      <c r="B100" s="106" t="s">
        <v>124</v>
      </c>
      <c r="C100" s="75">
        <f t="shared" ca="1" si="0"/>
        <v>0</v>
      </c>
      <c r="D100" s="76">
        <f t="shared" ca="1" si="122"/>
        <v>0</v>
      </c>
      <c r="E100" s="77">
        <f ca="1">IFERROR(__xludf.DUMMYFUNCTION("IMPORTRANGE(""https://docs.google.com/spreadsheets/d/1C3CXT74ZlgGe6_JY_1olB1XN4rF0dxEuIIF-xsYjHgg/edit?usp=sharing"",""พรบ!AD104"")"),0)</f>
        <v>0</v>
      </c>
      <c r="F100" s="77">
        <f ca="1">IFERROR(__xludf.DUMMYFUNCTION("IMPORTRANGE(""https://docs.google.com/spreadsheets/d/1C3CXT74ZlgGe6_JY_1olB1XN4rF0dxEuIIF-xsYjHgg/edit?usp=sharing"",""พรบ!AE104"")"),0)</f>
        <v>0</v>
      </c>
      <c r="G100" s="77">
        <f ca="1">IFERROR(__xludf.DUMMYFUNCTION("IMPORTRANGE(""https://docs.google.com/spreadsheets/d/1Yj_ptqi66GCucihVvJfMjLAmec39IyEx_6qawtMGysU/edit?usp=sharing"",""สบก!BH104"")"),0)</f>
        <v>0</v>
      </c>
      <c r="H100" s="77">
        <f ca="1">IFERROR(__xludf.DUMMYFUNCTION("IMPORTRANGE(""https://docs.google.com/spreadsheets/d/1Yj_ptqi66GCucihVvJfMjLAmec39IyEx_6qawtMGysU/edit?usp=shBJing"",""สบก!BJ104"")"),0)</f>
        <v>0</v>
      </c>
      <c r="I100" s="77">
        <f t="shared" ca="1" si="3"/>
        <v>0</v>
      </c>
      <c r="J100" s="137">
        <f t="shared" ca="1" si="4"/>
        <v>0</v>
      </c>
      <c r="K100" s="77">
        <f ca="1">IFERROR(__xludf.DUMMYFUNCTION("IMPORTRANGE(""https://docs.google.com/spreadsheets/d/1Yj_ptqi66GCucihVvJfMjLAmec39IyEx_6qawtMGysU/edit?usp=sharing"",""สบก!BK104"")"),0)</f>
        <v>0</v>
      </c>
      <c r="L100" s="137">
        <f t="shared" ca="1" si="5"/>
        <v>0</v>
      </c>
      <c r="M100" s="137">
        <f t="shared" ca="1" si="6"/>
        <v>0</v>
      </c>
      <c r="N100" s="137">
        <f ca="1">IFERROR(__xludf.DUMMYFUNCTION("IMPORTRANGE(""https://docs.google.com/spreadsheets/d/1Yj_ptqi66GCucihVvJfMjLAmec39IyEx_6qawtMGysU/edit?usp=sharing"",""สบก!BL104"")"),0)</f>
        <v>0</v>
      </c>
      <c r="O100" s="137">
        <f t="shared" ca="1" si="7"/>
        <v>0</v>
      </c>
      <c r="P100" s="77">
        <f ca="1">IFERROR(__xludf.DUMMYFUNCTION("IMPORTRANGE(""https://docs.google.com/spreadsheets/d/1C3CXT74ZlgGe6_JY_1olB1XN4rF0dxEuIIF-xsYjHgg/edit?usp=sharing"",""พรบ!AF104"")"),0)</f>
        <v>0</v>
      </c>
      <c r="Q100" s="77">
        <f ca="1">IFERROR(__xludf.DUMMYFUNCTION("IMPORTRANGE(""https://docs.google.com/spreadsheets/d/1C3CXT74ZlgGe6_JY_1olB1XN4rF0dxEuIIF-xsYjHgg/edit?usp=sharing"",""พรบ!AG104"")"),0)</f>
        <v>0</v>
      </c>
      <c r="R100" s="77">
        <v>0</v>
      </c>
      <c r="S100" s="137">
        <f t="shared" ca="1" si="9"/>
        <v>0</v>
      </c>
      <c r="T100" s="77"/>
      <c r="U100" s="77"/>
      <c r="V100" s="77"/>
      <c r="W100" s="77">
        <f ca="1">IFERROR(__xludf.DUMMYFUNCTION("IMPORTRANGE(""https://docs.google.com/spreadsheets/d/1C3CXT74ZlgGe6_JY_1olB1XN4rF0dxEuIIF-xsYjHgg/edit?usp=sharing"",""พรบ!AH104"")"),0)</f>
        <v>0</v>
      </c>
      <c r="X100" s="77">
        <f ca="1">IFERROR(__xludf.DUMMYFUNCTION("IMPORTRANGE(""https://docs.google.com/spreadsheets/d/1C3CXT74ZlgGe6_JY_1olB1XN4rF0dxEuIIF-xsYjHgg/edit?usp=sharing"",""พรบ!AI104"")"),0)</f>
        <v>0</v>
      </c>
      <c r="Y100" s="77">
        <v>0</v>
      </c>
      <c r="Z100" s="137">
        <f t="shared" ca="1" si="11"/>
        <v>0</v>
      </c>
      <c r="AA100" s="77">
        <f ca="1">IFERROR(__xludf.DUMMYFUNCTION("IMPORTRANGE(""https://docs.google.com/spreadsheets/d/1C3CXT74ZlgGe6_JY_1olB1XN4rF0dxEuIIF-xsYjHgg/edit?usp=sharing"",""พรบ!AJ104"")"),0)</f>
        <v>0</v>
      </c>
      <c r="AB100" s="77">
        <f ca="1">IFERROR(__xludf.DUMMYFUNCTION("IMPORTRANGE(""https://docs.google.com/spreadsheets/d/1C3CXT74ZlgGe6_JY_1olB1XN4rF0dxEuIIF-xsYjHgg/edit?usp=sharing"",""พรบ!AK104"")"),0)</f>
        <v>0</v>
      </c>
      <c r="AC100" s="77">
        <v>0</v>
      </c>
      <c r="AD100" s="137">
        <f t="shared" ca="1" si="13"/>
        <v>0</v>
      </c>
      <c r="AE100" s="77">
        <f ca="1">IFERROR(__xludf.DUMMYFUNCTION("IMPORTRANGE(""https://docs.google.com/spreadsheets/d/1C3CXT74ZlgGe6_JY_1olB1XN4rF0dxEuIIF-xsYjHgg/edit?usp=sharing"",""พรบ!AL104"")"),0)</f>
        <v>0</v>
      </c>
      <c r="AF100" s="77">
        <v>0</v>
      </c>
      <c r="AG100" s="137">
        <f t="shared" ca="1" si="15"/>
        <v>0</v>
      </c>
      <c r="AH100" s="77">
        <f ca="1">IFERROR(__xludf.DUMMYFUNCTION("IMPORTRANGE(""https://docs.google.com/spreadsheets/d/1C3CXT74ZlgGe6_JY_1olB1XN4rF0dxEuIIF-xsYjHgg/edit?usp=sharing"",""พรบ!AM104"")"),0)</f>
        <v>0</v>
      </c>
      <c r="AI100" s="77">
        <f ca="1">IFERROR(__xludf.DUMMYFUNCTION("IMPORTRANGE(""https://docs.google.com/spreadsheets/d/1C3CXT74ZlgGe6_JY_1olB1XN4rF0dxEuIIF-xsYjHgg/edit?usp=sharing"",""พรบ!AN104"")"),0)</f>
        <v>0</v>
      </c>
      <c r="AJ100" s="77">
        <v>0</v>
      </c>
      <c r="AK100" s="137">
        <f t="shared" ca="1" si="17"/>
        <v>0</v>
      </c>
      <c r="AL100" s="77">
        <v>0</v>
      </c>
      <c r="AM100" s="137">
        <f t="shared" ca="1" si="18"/>
        <v>0</v>
      </c>
      <c r="AN100" s="77">
        <f ca="1">IFERROR(__xludf.DUMMYFUNCTION("IMPORTRANGE(""https://docs.google.com/spreadsheets/d/1C3CXT74ZlgGe6_JY_1olB1XN4rF0dxEuIIF-xsYjHgg/edit?usp=sharing"",""พรบ!AQ104"")"),0)</f>
        <v>0</v>
      </c>
      <c r="AO100" s="77">
        <v>0</v>
      </c>
      <c r="AP100" s="137">
        <f t="shared" ca="1" si="20"/>
        <v>0</v>
      </c>
      <c r="AQ100" s="77">
        <f ca="1">IFERROR(__xludf.DUMMYFUNCTION("IMPORTRANGE(""https://docs.google.com/spreadsheets/d/1C3CXT74ZlgGe6_JY_1olB1XN4rF0dxEuIIF-xsYjHgg/edit?usp=sharing"",""พรบ!AR104"")"),0)</f>
        <v>0</v>
      </c>
      <c r="AR100" s="77">
        <f ca="1">IFERROR(__xludf.DUMMYFUNCTION("IMPORTRANGE(""https://docs.google.com/spreadsheets/d/1C3CXT74ZlgGe6_JY_1olB1XN4rF0dxEuIIF-xsYjHgg/edit?usp=sharing"",""พรบ!AS104"")"),0)</f>
        <v>0</v>
      </c>
      <c r="AS100" s="77">
        <v>0</v>
      </c>
      <c r="AT100" s="137">
        <f t="shared" ca="1" si="22"/>
        <v>0</v>
      </c>
      <c r="AU100" s="77">
        <f ca="1">IFERROR(__xludf.DUMMYFUNCTION("IMPORTRANGE(""https://docs.google.com/spreadsheets/d/1C3CXT74ZlgGe6_JY_1olB1XN4rF0dxEuIIF-xsYjHgg/edit?usp=sharing"",""พรบ!AT104"")"),0)</f>
        <v>0</v>
      </c>
      <c r="AV100" s="77">
        <f ca="1">IFERROR(__xludf.DUMMYFUNCTION("IMPORTRANGE(""https://docs.google.com/spreadsheets/d/1C3CXT74ZlgGe6_JY_1olB1XN4rF0dxEuIIF-xsYjHgg/edit?usp=sharing"",""พรบ!AU104"")"),0)</f>
        <v>0</v>
      </c>
      <c r="AW100" s="77">
        <v>0</v>
      </c>
      <c r="AX100" s="137">
        <f t="shared" ca="1" si="24"/>
        <v>0</v>
      </c>
      <c r="AY100" s="77">
        <v>0</v>
      </c>
      <c r="AZ100" s="137">
        <f t="shared" ca="1" si="25"/>
        <v>0</v>
      </c>
      <c r="BA100" s="77">
        <v>0</v>
      </c>
      <c r="BB100" s="77">
        <v>0</v>
      </c>
      <c r="BC100" s="137">
        <f t="shared" si="27"/>
        <v>0</v>
      </c>
    </row>
    <row r="101" spans="1:55" ht="24" hidden="1" customHeight="1">
      <c r="A101" s="105">
        <f t="shared" si="123"/>
        <v>10</v>
      </c>
      <c r="B101" s="106" t="s">
        <v>125</v>
      </c>
      <c r="C101" s="75">
        <f t="shared" ca="1" si="0"/>
        <v>0</v>
      </c>
      <c r="D101" s="76">
        <f t="shared" ca="1" si="122"/>
        <v>0</v>
      </c>
      <c r="E101" s="77">
        <f ca="1">IFERROR(__xludf.DUMMYFUNCTION("IMPORTRANGE(""https://docs.google.com/spreadsheets/d/1C3CXT74ZlgGe6_JY_1olB1XN4rF0dxEuIIF-xsYjHgg/edit?usp=sharing"",""พรบ!AD105"")"),0)</f>
        <v>0</v>
      </c>
      <c r="F101" s="77">
        <f ca="1">IFERROR(__xludf.DUMMYFUNCTION("IMPORTRANGE(""https://docs.google.com/spreadsheets/d/1C3CXT74ZlgGe6_JY_1olB1XN4rF0dxEuIIF-xsYjHgg/edit?usp=sharing"",""พรบ!AE105"")"),0)</f>
        <v>0</v>
      </c>
      <c r="G101" s="77">
        <f ca="1">IFERROR(__xludf.DUMMYFUNCTION("IMPORTRANGE(""https://docs.google.com/spreadsheets/d/1Yj_ptqi66GCucihVvJfMjLAmec39IyEx_6qawtMGysU/edit?usp=sharing"",""สบก!BH105"")"),0)</f>
        <v>0</v>
      </c>
      <c r="H101" s="77">
        <f ca="1">IFERROR(__xludf.DUMMYFUNCTION("IMPORTRANGE(""https://docs.google.com/spreadsheets/d/1Yj_ptqi66GCucihVvJfMjLAmec39IyEx_6qawtMGysU/edit?usp=shBJing"",""สบก!BJ105"")"),0)</f>
        <v>0</v>
      </c>
      <c r="I101" s="77">
        <f t="shared" ca="1" si="3"/>
        <v>0</v>
      </c>
      <c r="J101" s="137">
        <f t="shared" ca="1" si="4"/>
        <v>0</v>
      </c>
      <c r="K101" s="77">
        <f ca="1">IFERROR(__xludf.DUMMYFUNCTION("IMPORTRANGE(""https://docs.google.com/spreadsheets/d/1Yj_ptqi66GCucihVvJfMjLAmec39IyEx_6qawtMGysU/edit?usp=sharing"",""สบก!BK105"")"),0)</f>
        <v>0</v>
      </c>
      <c r="L101" s="137">
        <f t="shared" ca="1" si="5"/>
        <v>0</v>
      </c>
      <c r="M101" s="137">
        <f t="shared" ca="1" si="6"/>
        <v>0</v>
      </c>
      <c r="N101" s="137">
        <f ca="1">IFERROR(__xludf.DUMMYFUNCTION("IMPORTRANGE(""https://docs.google.com/spreadsheets/d/1Yj_ptqi66GCucihVvJfMjLAmec39IyEx_6qawtMGysU/edit?usp=sharing"",""สบก!BL105"")"),0)</f>
        <v>0</v>
      </c>
      <c r="O101" s="137">
        <f t="shared" ca="1" si="7"/>
        <v>0</v>
      </c>
      <c r="P101" s="77">
        <f ca="1">IFERROR(__xludf.DUMMYFUNCTION("IMPORTRANGE(""https://docs.google.com/spreadsheets/d/1C3CXT74ZlgGe6_JY_1olB1XN4rF0dxEuIIF-xsYjHgg/edit?usp=sharing"",""พรบ!AF105"")"),0)</f>
        <v>0</v>
      </c>
      <c r="Q101" s="77">
        <f ca="1">IFERROR(__xludf.DUMMYFUNCTION("IMPORTRANGE(""https://docs.google.com/spreadsheets/d/1C3CXT74ZlgGe6_JY_1olB1XN4rF0dxEuIIF-xsYjHgg/edit?usp=sharing"",""พรบ!AG105"")"),0)</f>
        <v>0</v>
      </c>
      <c r="R101" s="77">
        <v>0</v>
      </c>
      <c r="S101" s="137">
        <f t="shared" ca="1" si="9"/>
        <v>0</v>
      </c>
      <c r="T101" s="77"/>
      <c r="U101" s="77"/>
      <c r="V101" s="77"/>
      <c r="W101" s="77">
        <f ca="1">IFERROR(__xludf.DUMMYFUNCTION("IMPORTRANGE(""https://docs.google.com/spreadsheets/d/1C3CXT74ZlgGe6_JY_1olB1XN4rF0dxEuIIF-xsYjHgg/edit?usp=sharing"",""พรบ!AH105"")"),0)</f>
        <v>0</v>
      </c>
      <c r="X101" s="77">
        <f ca="1">IFERROR(__xludf.DUMMYFUNCTION("IMPORTRANGE(""https://docs.google.com/spreadsheets/d/1C3CXT74ZlgGe6_JY_1olB1XN4rF0dxEuIIF-xsYjHgg/edit?usp=sharing"",""พรบ!AI105"")"),0)</f>
        <v>0</v>
      </c>
      <c r="Y101" s="77">
        <v>0</v>
      </c>
      <c r="Z101" s="137">
        <f t="shared" ca="1" si="11"/>
        <v>0</v>
      </c>
      <c r="AA101" s="77">
        <f ca="1">IFERROR(__xludf.DUMMYFUNCTION("IMPORTRANGE(""https://docs.google.com/spreadsheets/d/1C3CXT74ZlgGe6_JY_1olB1XN4rF0dxEuIIF-xsYjHgg/edit?usp=sharing"",""พรบ!AJ105"")"),0)</f>
        <v>0</v>
      </c>
      <c r="AB101" s="77">
        <f ca="1">IFERROR(__xludf.DUMMYFUNCTION("IMPORTRANGE(""https://docs.google.com/spreadsheets/d/1C3CXT74ZlgGe6_JY_1olB1XN4rF0dxEuIIF-xsYjHgg/edit?usp=sharing"",""พรบ!AK105"")"),0)</f>
        <v>0</v>
      </c>
      <c r="AC101" s="77">
        <v>0</v>
      </c>
      <c r="AD101" s="137">
        <f t="shared" ca="1" si="13"/>
        <v>0</v>
      </c>
      <c r="AE101" s="77">
        <f ca="1">IFERROR(__xludf.DUMMYFUNCTION("IMPORTRANGE(""https://docs.google.com/spreadsheets/d/1C3CXT74ZlgGe6_JY_1olB1XN4rF0dxEuIIF-xsYjHgg/edit?usp=sharing"",""พรบ!AL105"")"),0)</f>
        <v>0</v>
      </c>
      <c r="AF101" s="77">
        <v>0</v>
      </c>
      <c r="AG101" s="137">
        <f t="shared" ca="1" si="15"/>
        <v>0</v>
      </c>
      <c r="AH101" s="77">
        <f ca="1">IFERROR(__xludf.DUMMYFUNCTION("IMPORTRANGE(""https://docs.google.com/spreadsheets/d/1C3CXT74ZlgGe6_JY_1olB1XN4rF0dxEuIIF-xsYjHgg/edit?usp=sharing"",""พรบ!AM105"")"),0)</f>
        <v>0</v>
      </c>
      <c r="AI101" s="77">
        <f ca="1">IFERROR(__xludf.DUMMYFUNCTION("IMPORTRANGE(""https://docs.google.com/spreadsheets/d/1C3CXT74ZlgGe6_JY_1olB1XN4rF0dxEuIIF-xsYjHgg/edit?usp=sharing"",""พรบ!AN105"")"),0)</f>
        <v>0</v>
      </c>
      <c r="AJ101" s="77">
        <v>0</v>
      </c>
      <c r="AK101" s="137">
        <f t="shared" ca="1" si="17"/>
        <v>0</v>
      </c>
      <c r="AL101" s="77">
        <v>0</v>
      </c>
      <c r="AM101" s="137">
        <f t="shared" ca="1" si="18"/>
        <v>0</v>
      </c>
      <c r="AN101" s="77">
        <f ca="1">IFERROR(__xludf.DUMMYFUNCTION("IMPORTRANGE(""https://docs.google.com/spreadsheets/d/1C3CXT74ZlgGe6_JY_1olB1XN4rF0dxEuIIF-xsYjHgg/edit?usp=sharing"",""พรบ!AQ105"")"),0)</f>
        <v>0</v>
      </c>
      <c r="AO101" s="77">
        <v>0</v>
      </c>
      <c r="AP101" s="137">
        <f t="shared" ca="1" si="20"/>
        <v>0</v>
      </c>
      <c r="AQ101" s="77">
        <f ca="1">IFERROR(__xludf.DUMMYFUNCTION("IMPORTRANGE(""https://docs.google.com/spreadsheets/d/1C3CXT74ZlgGe6_JY_1olB1XN4rF0dxEuIIF-xsYjHgg/edit?usp=sharing"",""พรบ!AR105"")"),0)</f>
        <v>0</v>
      </c>
      <c r="AR101" s="77">
        <f ca="1">IFERROR(__xludf.DUMMYFUNCTION("IMPORTRANGE(""https://docs.google.com/spreadsheets/d/1C3CXT74ZlgGe6_JY_1olB1XN4rF0dxEuIIF-xsYjHgg/edit?usp=sharing"",""พรบ!AS105"")"),0)</f>
        <v>0</v>
      </c>
      <c r="AS101" s="77">
        <v>0</v>
      </c>
      <c r="AT101" s="137">
        <f t="shared" ca="1" si="22"/>
        <v>0</v>
      </c>
      <c r="AU101" s="77">
        <f ca="1">IFERROR(__xludf.DUMMYFUNCTION("IMPORTRANGE(""https://docs.google.com/spreadsheets/d/1C3CXT74ZlgGe6_JY_1olB1XN4rF0dxEuIIF-xsYjHgg/edit?usp=sharing"",""พรบ!AT105"")"),0)</f>
        <v>0</v>
      </c>
      <c r="AV101" s="77">
        <f ca="1">IFERROR(__xludf.DUMMYFUNCTION("IMPORTRANGE(""https://docs.google.com/spreadsheets/d/1C3CXT74ZlgGe6_JY_1olB1XN4rF0dxEuIIF-xsYjHgg/edit?usp=sharing"",""พรบ!AU105"")"),0)</f>
        <v>0</v>
      </c>
      <c r="AW101" s="77">
        <v>0</v>
      </c>
      <c r="AX101" s="137">
        <f t="shared" ca="1" si="24"/>
        <v>0</v>
      </c>
      <c r="AY101" s="77">
        <v>0</v>
      </c>
      <c r="AZ101" s="137">
        <f t="shared" ca="1" si="25"/>
        <v>0</v>
      </c>
      <c r="BA101" s="77">
        <v>0</v>
      </c>
      <c r="BB101" s="77">
        <v>0</v>
      </c>
      <c r="BC101" s="137">
        <f t="shared" si="27"/>
        <v>0</v>
      </c>
    </row>
    <row r="102" spans="1:55" ht="24" hidden="1" customHeight="1">
      <c r="A102" s="105">
        <f t="shared" si="123"/>
        <v>11</v>
      </c>
      <c r="B102" s="106" t="s">
        <v>126</v>
      </c>
      <c r="C102" s="75">
        <f t="shared" ca="1" si="0"/>
        <v>0</v>
      </c>
      <c r="D102" s="76">
        <f t="shared" ca="1" si="122"/>
        <v>0</v>
      </c>
      <c r="E102" s="77">
        <f ca="1">IFERROR(__xludf.DUMMYFUNCTION("IMPORTRANGE(""https://docs.google.com/spreadsheets/d/1C3CXT74ZlgGe6_JY_1olB1XN4rF0dxEuIIF-xsYjHgg/edit?usp=sharing"",""พรบ!AD106"")"),0)</f>
        <v>0</v>
      </c>
      <c r="F102" s="77">
        <f ca="1">IFERROR(__xludf.DUMMYFUNCTION("IMPORTRANGE(""https://docs.google.com/spreadsheets/d/1C3CXT74ZlgGe6_JY_1olB1XN4rF0dxEuIIF-xsYjHgg/edit?usp=sharing"",""พรบ!AE106"")"),0)</f>
        <v>0</v>
      </c>
      <c r="G102" s="77">
        <f ca="1">IFERROR(__xludf.DUMMYFUNCTION("IMPORTRANGE(""https://docs.google.com/spreadsheets/d/1Yj_ptqi66GCucihVvJfMjLAmec39IyEx_6qawtMGysU/edit?usp=sharing"",""สบก!BH106"")"),0)</f>
        <v>0</v>
      </c>
      <c r="H102" s="77">
        <f ca="1">IFERROR(__xludf.DUMMYFUNCTION("IMPORTRANGE(""https://docs.google.com/spreadsheets/d/1Yj_ptqi66GCucihVvJfMjLAmec39IyEx_6qawtMGysU/edit?usp=shBJing"",""สบก!BJ106"")"),0)</f>
        <v>0</v>
      </c>
      <c r="I102" s="77">
        <f t="shared" ca="1" si="3"/>
        <v>0</v>
      </c>
      <c r="J102" s="137">
        <f t="shared" ca="1" si="4"/>
        <v>0</v>
      </c>
      <c r="K102" s="77">
        <f ca="1">IFERROR(__xludf.DUMMYFUNCTION("IMPORTRANGE(""https://docs.google.com/spreadsheets/d/1Yj_ptqi66GCucihVvJfMjLAmec39IyEx_6qawtMGysU/edit?usp=sharing"",""สบก!BK106"")"),0)</f>
        <v>0</v>
      </c>
      <c r="L102" s="137">
        <f t="shared" ca="1" si="5"/>
        <v>0</v>
      </c>
      <c r="M102" s="137">
        <f t="shared" ca="1" si="6"/>
        <v>0</v>
      </c>
      <c r="N102" s="137">
        <f ca="1">IFERROR(__xludf.DUMMYFUNCTION("IMPORTRANGE(""https://docs.google.com/spreadsheets/d/1Yj_ptqi66GCucihVvJfMjLAmec39IyEx_6qawtMGysU/edit?usp=sharing"",""สบก!BL106"")"),0)</f>
        <v>0</v>
      </c>
      <c r="O102" s="137">
        <f t="shared" ca="1" si="7"/>
        <v>0</v>
      </c>
      <c r="P102" s="77">
        <f ca="1">IFERROR(__xludf.DUMMYFUNCTION("IMPORTRANGE(""https://docs.google.com/spreadsheets/d/1C3CXT74ZlgGe6_JY_1olB1XN4rF0dxEuIIF-xsYjHgg/edit?usp=sharing"",""พรบ!AF106"")"),0)</f>
        <v>0</v>
      </c>
      <c r="Q102" s="77">
        <f ca="1">IFERROR(__xludf.DUMMYFUNCTION("IMPORTRANGE(""https://docs.google.com/spreadsheets/d/1C3CXT74ZlgGe6_JY_1olB1XN4rF0dxEuIIF-xsYjHgg/edit?usp=sharing"",""พรบ!AG106"")"),0)</f>
        <v>0</v>
      </c>
      <c r="R102" s="77">
        <v>0</v>
      </c>
      <c r="S102" s="137">
        <f t="shared" ca="1" si="9"/>
        <v>0</v>
      </c>
      <c r="T102" s="77"/>
      <c r="U102" s="77"/>
      <c r="V102" s="77"/>
      <c r="W102" s="77">
        <f ca="1">IFERROR(__xludf.DUMMYFUNCTION("IMPORTRANGE(""https://docs.google.com/spreadsheets/d/1C3CXT74ZlgGe6_JY_1olB1XN4rF0dxEuIIF-xsYjHgg/edit?usp=sharing"",""พรบ!AH106"")"),0)</f>
        <v>0</v>
      </c>
      <c r="X102" s="77">
        <f ca="1">IFERROR(__xludf.DUMMYFUNCTION("IMPORTRANGE(""https://docs.google.com/spreadsheets/d/1C3CXT74ZlgGe6_JY_1olB1XN4rF0dxEuIIF-xsYjHgg/edit?usp=sharing"",""พรบ!AI106"")"),0)</f>
        <v>0</v>
      </c>
      <c r="Y102" s="77">
        <v>0</v>
      </c>
      <c r="Z102" s="137">
        <f t="shared" ca="1" si="11"/>
        <v>0</v>
      </c>
      <c r="AA102" s="77">
        <f ca="1">IFERROR(__xludf.DUMMYFUNCTION("IMPORTRANGE(""https://docs.google.com/spreadsheets/d/1C3CXT74ZlgGe6_JY_1olB1XN4rF0dxEuIIF-xsYjHgg/edit?usp=sharing"",""พรบ!AJ106"")"),0)</f>
        <v>0</v>
      </c>
      <c r="AB102" s="77">
        <f ca="1">IFERROR(__xludf.DUMMYFUNCTION("IMPORTRANGE(""https://docs.google.com/spreadsheets/d/1C3CXT74ZlgGe6_JY_1olB1XN4rF0dxEuIIF-xsYjHgg/edit?usp=sharing"",""พรบ!AK106"")"),0)</f>
        <v>0</v>
      </c>
      <c r="AC102" s="77">
        <v>0</v>
      </c>
      <c r="AD102" s="137">
        <f t="shared" ca="1" si="13"/>
        <v>0</v>
      </c>
      <c r="AE102" s="77">
        <f ca="1">IFERROR(__xludf.DUMMYFUNCTION("IMPORTRANGE(""https://docs.google.com/spreadsheets/d/1C3CXT74ZlgGe6_JY_1olB1XN4rF0dxEuIIF-xsYjHgg/edit?usp=sharing"",""พรบ!AL106"")"),0)</f>
        <v>0</v>
      </c>
      <c r="AF102" s="77">
        <v>0</v>
      </c>
      <c r="AG102" s="137">
        <f t="shared" ca="1" si="15"/>
        <v>0</v>
      </c>
      <c r="AH102" s="77">
        <f ca="1">IFERROR(__xludf.DUMMYFUNCTION("IMPORTRANGE(""https://docs.google.com/spreadsheets/d/1C3CXT74ZlgGe6_JY_1olB1XN4rF0dxEuIIF-xsYjHgg/edit?usp=sharing"",""พรบ!AM106"")"),0)</f>
        <v>0</v>
      </c>
      <c r="AI102" s="77">
        <f ca="1">IFERROR(__xludf.DUMMYFUNCTION("IMPORTRANGE(""https://docs.google.com/spreadsheets/d/1C3CXT74ZlgGe6_JY_1olB1XN4rF0dxEuIIF-xsYjHgg/edit?usp=sharing"",""พรบ!AN106"")"),0)</f>
        <v>0</v>
      </c>
      <c r="AJ102" s="77">
        <v>0</v>
      </c>
      <c r="AK102" s="137">
        <f t="shared" ca="1" si="17"/>
        <v>0</v>
      </c>
      <c r="AL102" s="77">
        <v>0</v>
      </c>
      <c r="AM102" s="137">
        <f t="shared" ca="1" si="18"/>
        <v>0</v>
      </c>
      <c r="AN102" s="77">
        <f ca="1">IFERROR(__xludf.DUMMYFUNCTION("IMPORTRANGE(""https://docs.google.com/spreadsheets/d/1C3CXT74ZlgGe6_JY_1olB1XN4rF0dxEuIIF-xsYjHgg/edit?usp=sharing"",""พรบ!AQ106"")"),0)</f>
        <v>0</v>
      </c>
      <c r="AO102" s="77">
        <v>0</v>
      </c>
      <c r="AP102" s="137">
        <f t="shared" ca="1" si="20"/>
        <v>0</v>
      </c>
      <c r="AQ102" s="77">
        <f ca="1">IFERROR(__xludf.DUMMYFUNCTION("IMPORTRANGE(""https://docs.google.com/spreadsheets/d/1C3CXT74ZlgGe6_JY_1olB1XN4rF0dxEuIIF-xsYjHgg/edit?usp=sharing"",""พรบ!AR106"")"),0)</f>
        <v>0</v>
      </c>
      <c r="AR102" s="77">
        <f ca="1">IFERROR(__xludf.DUMMYFUNCTION("IMPORTRANGE(""https://docs.google.com/spreadsheets/d/1C3CXT74ZlgGe6_JY_1olB1XN4rF0dxEuIIF-xsYjHgg/edit?usp=sharing"",""พรบ!AS106"")"),0)</f>
        <v>0</v>
      </c>
      <c r="AS102" s="77">
        <v>0</v>
      </c>
      <c r="AT102" s="137">
        <f t="shared" ca="1" si="22"/>
        <v>0</v>
      </c>
      <c r="AU102" s="77">
        <f ca="1">IFERROR(__xludf.DUMMYFUNCTION("IMPORTRANGE(""https://docs.google.com/spreadsheets/d/1C3CXT74ZlgGe6_JY_1olB1XN4rF0dxEuIIF-xsYjHgg/edit?usp=sharing"",""พรบ!AT106"")"),0)</f>
        <v>0</v>
      </c>
      <c r="AV102" s="77">
        <f ca="1">IFERROR(__xludf.DUMMYFUNCTION("IMPORTRANGE(""https://docs.google.com/spreadsheets/d/1C3CXT74ZlgGe6_JY_1olB1XN4rF0dxEuIIF-xsYjHgg/edit?usp=sharing"",""พรบ!AU106"")"),0)</f>
        <v>0</v>
      </c>
      <c r="AW102" s="77">
        <v>0</v>
      </c>
      <c r="AX102" s="137">
        <f t="shared" ca="1" si="24"/>
        <v>0</v>
      </c>
      <c r="AY102" s="77">
        <v>0</v>
      </c>
      <c r="AZ102" s="137">
        <f t="shared" ca="1" si="25"/>
        <v>0</v>
      </c>
      <c r="BA102" s="77">
        <v>0</v>
      </c>
      <c r="BB102" s="77">
        <v>0</v>
      </c>
      <c r="BC102" s="137">
        <f t="shared" si="27"/>
        <v>0</v>
      </c>
    </row>
    <row r="103" spans="1:55" ht="24" hidden="1" customHeight="1">
      <c r="A103" s="105">
        <f t="shared" si="123"/>
        <v>12</v>
      </c>
      <c r="B103" s="106" t="s">
        <v>127</v>
      </c>
      <c r="C103" s="75">
        <f t="shared" ca="1" si="0"/>
        <v>0</v>
      </c>
      <c r="D103" s="76">
        <f t="shared" ca="1" si="122"/>
        <v>0</v>
      </c>
      <c r="E103" s="77">
        <f ca="1">IFERROR(__xludf.DUMMYFUNCTION("IMPORTRANGE(""https://docs.google.com/spreadsheets/d/1C3CXT74ZlgGe6_JY_1olB1XN4rF0dxEuIIF-xsYjHgg/edit?usp=sharing"",""พรบ!AD107"")"),0)</f>
        <v>0</v>
      </c>
      <c r="F103" s="77">
        <f ca="1">IFERROR(__xludf.DUMMYFUNCTION("IMPORTRANGE(""https://docs.google.com/spreadsheets/d/1C3CXT74ZlgGe6_JY_1olB1XN4rF0dxEuIIF-xsYjHgg/edit?usp=sharing"",""พรบ!AE107"")"),0)</f>
        <v>0</v>
      </c>
      <c r="G103" s="77">
        <f ca="1">IFERROR(__xludf.DUMMYFUNCTION("IMPORTRANGE(""https://docs.google.com/spreadsheets/d/1Yj_ptqi66GCucihVvJfMjLAmec39IyEx_6qawtMGysU/edit?usp=sharing"",""สบก!BH107"")"),0)</f>
        <v>0</v>
      </c>
      <c r="H103" s="77">
        <f ca="1">IFERROR(__xludf.DUMMYFUNCTION("IMPORTRANGE(""https://docs.google.com/spreadsheets/d/1Yj_ptqi66GCucihVvJfMjLAmec39IyEx_6qawtMGysU/edit?usp=shBJing"",""สบก!BJ107"")"),0)</f>
        <v>0</v>
      </c>
      <c r="I103" s="77">
        <f t="shared" ca="1" si="3"/>
        <v>0</v>
      </c>
      <c r="J103" s="137">
        <f t="shared" ca="1" si="4"/>
        <v>0</v>
      </c>
      <c r="K103" s="77">
        <f ca="1">IFERROR(__xludf.DUMMYFUNCTION("IMPORTRANGE(""https://docs.google.com/spreadsheets/d/1Yj_ptqi66GCucihVvJfMjLAmec39IyEx_6qawtMGysU/edit?usp=sharing"",""สบก!BK107"")"),0)</f>
        <v>0</v>
      </c>
      <c r="L103" s="137">
        <f t="shared" ca="1" si="5"/>
        <v>0</v>
      </c>
      <c r="M103" s="137">
        <f t="shared" ca="1" si="6"/>
        <v>0</v>
      </c>
      <c r="N103" s="137">
        <f ca="1">IFERROR(__xludf.DUMMYFUNCTION("IMPORTRANGE(""https://docs.google.com/spreadsheets/d/1Yj_ptqi66GCucihVvJfMjLAmec39IyEx_6qawtMGysU/edit?usp=sharing"",""สบก!BL107"")"),0)</f>
        <v>0</v>
      </c>
      <c r="O103" s="137">
        <f t="shared" ca="1" si="7"/>
        <v>0</v>
      </c>
      <c r="P103" s="77">
        <f ca="1">IFERROR(__xludf.DUMMYFUNCTION("IMPORTRANGE(""https://docs.google.com/spreadsheets/d/1C3CXT74ZlgGe6_JY_1olB1XN4rF0dxEuIIF-xsYjHgg/edit?usp=sharing"",""พรบ!AF107"")"),0)</f>
        <v>0</v>
      </c>
      <c r="Q103" s="77">
        <f ca="1">IFERROR(__xludf.DUMMYFUNCTION("IMPORTRANGE(""https://docs.google.com/spreadsheets/d/1C3CXT74ZlgGe6_JY_1olB1XN4rF0dxEuIIF-xsYjHgg/edit?usp=sharing"",""พรบ!AG107"")"),0)</f>
        <v>0</v>
      </c>
      <c r="R103" s="77">
        <v>0</v>
      </c>
      <c r="S103" s="137">
        <f t="shared" ca="1" si="9"/>
        <v>0</v>
      </c>
      <c r="T103" s="77"/>
      <c r="U103" s="77"/>
      <c r="V103" s="77"/>
      <c r="W103" s="77">
        <f ca="1">IFERROR(__xludf.DUMMYFUNCTION("IMPORTRANGE(""https://docs.google.com/spreadsheets/d/1C3CXT74ZlgGe6_JY_1olB1XN4rF0dxEuIIF-xsYjHgg/edit?usp=sharing"",""พรบ!AH107"")"),0)</f>
        <v>0</v>
      </c>
      <c r="X103" s="77">
        <f ca="1">IFERROR(__xludf.DUMMYFUNCTION("IMPORTRANGE(""https://docs.google.com/spreadsheets/d/1C3CXT74ZlgGe6_JY_1olB1XN4rF0dxEuIIF-xsYjHgg/edit?usp=sharing"",""พรบ!AI107"")"),0)</f>
        <v>0</v>
      </c>
      <c r="Y103" s="77">
        <v>0</v>
      </c>
      <c r="Z103" s="137">
        <f t="shared" ca="1" si="11"/>
        <v>0</v>
      </c>
      <c r="AA103" s="77">
        <f ca="1">IFERROR(__xludf.DUMMYFUNCTION("IMPORTRANGE(""https://docs.google.com/spreadsheets/d/1C3CXT74ZlgGe6_JY_1olB1XN4rF0dxEuIIF-xsYjHgg/edit?usp=sharing"",""พรบ!AJ107"")"),0)</f>
        <v>0</v>
      </c>
      <c r="AB103" s="77">
        <f ca="1">IFERROR(__xludf.DUMMYFUNCTION("IMPORTRANGE(""https://docs.google.com/spreadsheets/d/1C3CXT74ZlgGe6_JY_1olB1XN4rF0dxEuIIF-xsYjHgg/edit?usp=sharing"",""พรบ!AK107"")"),0)</f>
        <v>0</v>
      </c>
      <c r="AC103" s="77">
        <v>0</v>
      </c>
      <c r="AD103" s="137">
        <f t="shared" ca="1" si="13"/>
        <v>0</v>
      </c>
      <c r="AE103" s="77">
        <f ca="1">IFERROR(__xludf.DUMMYFUNCTION("IMPORTRANGE(""https://docs.google.com/spreadsheets/d/1C3CXT74ZlgGe6_JY_1olB1XN4rF0dxEuIIF-xsYjHgg/edit?usp=sharing"",""พรบ!AL107"")"),0)</f>
        <v>0</v>
      </c>
      <c r="AF103" s="77">
        <v>0</v>
      </c>
      <c r="AG103" s="137">
        <f t="shared" ca="1" si="15"/>
        <v>0</v>
      </c>
      <c r="AH103" s="77">
        <f ca="1">IFERROR(__xludf.DUMMYFUNCTION("IMPORTRANGE(""https://docs.google.com/spreadsheets/d/1C3CXT74ZlgGe6_JY_1olB1XN4rF0dxEuIIF-xsYjHgg/edit?usp=sharing"",""พรบ!AM107"")"),0)</f>
        <v>0</v>
      </c>
      <c r="AI103" s="77">
        <f ca="1">IFERROR(__xludf.DUMMYFUNCTION("IMPORTRANGE(""https://docs.google.com/spreadsheets/d/1C3CXT74ZlgGe6_JY_1olB1XN4rF0dxEuIIF-xsYjHgg/edit?usp=sharing"",""พรบ!AN107"")"),0)</f>
        <v>0</v>
      </c>
      <c r="AJ103" s="77">
        <v>0</v>
      </c>
      <c r="AK103" s="137">
        <f t="shared" ca="1" si="17"/>
        <v>0</v>
      </c>
      <c r="AL103" s="77">
        <v>0</v>
      </c>
      <c r="AM103" s="137">
        <f t="shared" ca="1" si="18"/>
        <v>0</v>
      </c>
      <c r="AN103" s="77">
        <f ca="1">IFERROR(__xludf.DUMMYFUNCTION("IMPORTRANGE(""https://docs.google.com/spreadsheets/d/1C3CXT74ZlgGe6_JY_1olB1XN4rF0dxEuIIF-xsYjHgg/edit?usp=sharing"",""พรบ!AQ107"")"),0)</f>
        <v>0</v>
      </c>
      <c r="AO103" s="77">
        <v>0</v>
      </c>
      <c r="AP103" s="137">
        <f t="shared" ca="1" si="20"/>
        <v>0</v>
      </c>
      <c r="AQ103" s="77">
        <f ca="1">IFERROR(__xludf.DUMMYFUNCTION("IMPORTRANGE(""https://docs.google.com/spreadsheets/d/1C3CXT74ZlgGe6_JY_1olB1XN4rF0dxEuIIF-xsYjHgg/edit?usp=sharing"",""พรบ!AR107"")"),0)</f>
        <v>0</v>
      </c>
      <c r="AR103" s="77">
        <f ca="1">IFERROR(__xludf.DUMMYFUNCTION("IMPORTRANGE(""https://docs.google.com/spreadsheets/d/1C3CXT74ZlgGe6_JY_1olB1XN4rF0dxEuIIF-xsYjHgg/edit?usp=sharing"",""พรบ!AS107"")"),0)</f>
        <v>0</v>
      </c>
      <c r="AS103" s="77">
        <v>0</v>
      </c>
      <c r="AT103" s="137">
        <f t="shared" ca="1" si="22"/>
        <v>0</v>
      </c>
      <c r="AU103" s="77">
        <f ca="1">IFERROR(__xludf.DUMMYFUNCTION("IMPORTRANGE(""https://docs.google.com/spreadsheets/d/1C3CXT74ZlgGe6_JY_1olB1XN4rF0dxEuIIF-xsYjHgg/edit?usp=sharing"",""พรบ!AT107"")"),0)</f>
        <v>0</v>
      </c>
      <c r="AV103" s="77">
        <f ca="1">IFERROR(__xludf.DUMMYFUNCTION("IMPORTRANGE(""https://docs.google.com/spreadsheets/d/1C3CXT74ZlgGe6_JY_1olB1XN4rF0dxEuIIF-xsYjHgg/edit?usp=sharing"",""พรบ!AU107"")"),0)</f>
        <v>0</v>
      </c>
      <c r="AW103" s="77">
        <v>0</v>
      </c>
      <c r="AX103" s="137">
        <f t="shared" ca="1" si="24"/>
        <v>0</v>
      </c>
      <c r="AY103" s="77">
        <v>0</v>
      </c>
      <c r="AZ103" s="137">
        <f t="shared" ca="1" si="25"/>
        <v>0</v>
      </c>
      <c r="BA103" s="77">
        <v>0</v>
      </c>
      <c r="BB103" s="77">
        <v>0</v>
      </c>
      <c r="BC103" s="137">
        <f t="shared" si="27"/>
        <v>0</v>
      </c>
    </row>
    <row r="104" spans="1:55" ht="24" hidden="1" customHeight="1">
      <c r="A104" s="105">
        <f t="shared" si="123"/>
        <v>13</v>
      </c>
      <c r="B104" s="106" t="s">
        <v>128</v>
      </c>
      <c r="C104" s="75">
        <f t="shared" ca="1" si="0"/>
        <v>2390850</v>
      </c>
      <c r="D104" s="76">
        <f t="shared" ca="1" si="122"/>
        <v>2390850</v>
      </c>
      <c r="E104" s="77">
        <f ca="1">IFERROR(__xludf.DUMMYFUNCTION("IMPORTRANGE(""https://docs.google.com/spreadsheets/d/1C3CXT74ZlgGe6_JY_1olB1XN4rF0dxEuIIF-xsYjHgg/edit?usp=sharing"",""พรบ!AD108"")"),631600)</f>
        <v>631600</v>
      </c>
      <c r="F104" s="77">
        <f ca="1">IFERROR(__xludf.DUMMYFUNCTION("IMPORTRANGE(""https://docs.google.com/spreadsheets/d/1C3CXT74ZlgGe6_JY_1olB1XN4rF0dxEuIIF-xsYjHgg/edit?usp=sharing"",""พรบ!AE108"")"),1759250)</f>
        <v>1759250</v>
      </c>
      <c r="G104" s="77">
        <f ca="1">IFERROR(__xludf.DUMMYFUNCTION("IMPORTRANGE(""https://docs.google.com/spreadsheets/d/1Yj_ptqi66GCucihVvJfMjLAmec39IyEx_6qawtMGysU/edit?usp=sharing"",""สบก!BH108"")"),0)</f>
        <v>0</v>
      </c>
      <c r="H104" s="77">
        <f ca="1">IFERROR(__xludf.DUMMYFUNCTION("IMPORTRANGE(""https://docs.google.com/spreadsheets/d/1Yj_ptqi66GCucihVvJfMjLAmec39IyEx_6qawtMGysU/edit?usp=shBJing"",""สบก!BJ108"")"),1988870)</f>
        <v>1988870</v>
      </c>
      <c r="I104" s="77">
        <f t="shared" ca="1" si="3"/>
        <v>564122.06999999995</v>
      </c>
      <c r="J104" s="137">
        <f t="shared" ca="1" si="4"/>
        <v>23.595042348955388</v>
      </c>
      <c r="K104" s="77">
        <f ca="1">IFERROR(__xludf.DUMMYFUNCTION("IMPORTRANGE(""https://docs.google.com/spreadsheets/d/1Yj_ptqi66GCucihVvJfMjLAmec39IyEx_6qawtMGysU/edit?usp=sharing"",""สบก!BK108"")"),564122.07)</f>
        <v>564122.06999999995</v>
      </c>
      <c r="L104" s="137">
        <f t="shared" ca="1" si="5"/>
        <v>23.595042348955388</v>
      </c>
      <c r="M104" s="137">
        <f t="shared" ca="1" si="6"/>
        <v>28.36394887549211</v>
      </c>
      <c r="N104" s="137">
        <f ca="1">IFERROR(__xludf.DUMMYFUNCTION("IMPORTRANGE(""https://docs.google.com/spreadsheets/d/1Yj_ptqi66GCucihVvJfMjLAmec39IyEx_6qawtMGysU/edit?usp=sharing"",""สบก!BL108"")"),0)</f>
        <v>0</v>
      </c>
      <c r="O104" s="137">
        <f t="shared" ca="1" si="7"/>
        <v>0</v>
      </c>
      <c r="P104" s="77">
        <f ca="1">IFERROR(__xludf.DUMMYFUNCTION("IMPORTRANGE(""https://docs.google.com/spreadsheets/d/1C3CXT74ZlgGe6_JY_1olB1XN4rF0dxEuIIF-xsYjHgg/edit?usp=sharing"",""พรบ!AF108"")"),49250)</f>
        <v>49250</v>
      </c>
      <c r="Q104" s="77">
        <f ca="1">IFERROR(__xludf.DUMMYFUNCTION("IMPORTRANGE(""https://docs.google.com/spreadsheets/d/1C3CXT74ZlgGe6_JY_1olB1XN4rF0dxEuIIF-xsYjHgg/edit?usp=sharing"",""พรบ!AG108"")"),0)</f>
        <v>0</v>
      </c>
      <c r="R104" s="77">
        <v>0</v>
      </c>
      <c r="S104" s="137">
        <f t="shared" ca="1" si="9"/>
        <v>0</v>
      </c>
      <c r="T104" s="77"/>
      <c r="U104" s="77"/>
      <c r="V104" s="77"/>
      <c r="W104" s="77">
        <f ca="1">IFERROR(__xludf.DUMMYFUNCTION("IMPORTRANGE(""https://docs.google.com/spreadsheets/d/1C3CXT74ZlgGe6_JY_1olB1XN4rF0dxEuIIF-xsYjHgg/edit?usp=sharing"",""พรบ!AH108"")"),382000)</f>
        <v>382000</v>
      </c>
      <c r="X104" s="77">
        <f ca="1">IFERROR(__xludf.DUMMYFUNCTION("IMPORTRANGE(""https://docs.google.com/spreadsheets/d/1C3CXT74ZlgGe6_JY_1olB1XN4rF0dxEuIIF-xsYjHgg/edit?usp=sharing"",""พรบ!AI108"")"),0)</f>
        <v>0</v>
      </c>
      <c r="Y104" s="77">
        <v>0</v>
      </c>
      <c r="Z104" s="137">
        <f t="shared" ca="1" si="11"/>
        <v>0</v>
      </c>
      <c r="AA104" s="77">
        <f ca="1">IFERROR(__xludf.DUMMYFUNCTION("IMPORTRANGE(""https://docs.google.com/spreadsheets/d/1C3CXT74ZlgGe6_JY_1olB1XN4rF0dxEuIIF-xsYjHgg/edit?usp=sharing"",""พรบ!AJ108"")"),182000)</f>
        <v>182000</v>
      </c>
      <c r="AB104" s="77">
        <f ca="1">IFERROR(__xludf.DUMMYFUNCTION("IMPORTRANGE(""https://docs.google.com/spreadsheets/d/1C3CXT74ZlgGe6_JY_1olB1XN4rF0dxEuIIF-xsYjHgg/edit?usp=sharing"",""พรบ!AK108"")"),0)</f>
        <v>0</v>
      </c>
      <c r="AC104" s="77">
        <v>0</v>
      </c>
      <c r="AD104" s="137">
        <f t="shared" ca="1" si="13"/>
        <v>0</v>
      </c>
      <c r="AE104" s="77">
        <f ca="1">IFERROR(__xludf.DUMMYFUNCTION("IMPORTRANGE(""https://docs.google.com/spreadsheets/d/1C3CXT74ZlgGe6_JY_1olB1XN4rF0dxEuIIF-xsYjHgg/edit?usp=sharing"",""พรบ!AL108"")"),0)</f>
        <v>0</v>
      </c>
      <c r="AF104" s="77">
        <v>0</v>
      </c>
      <c r="AG104" s="137">
        <f t="shared" ca="1" si="15"/>
        <v>0</v>
      </c>
      <c r="AH104" s="77">
        <f ca="1">IFERROR(__xludf.DUMMYFUNCTION("IMPORTRANGE(""https://docs.google.com/spreadsheets/d/1C3CXT74ZlgGe6_JY_1olB1XN4rF0dxEuIIF-xsYjHgg/edit?usp=sharing"",""พรบ!AM108"")"),194000)</f>
        <v>194000</v>
      </c>
      <c r="AI104" s="77">
        <f ca="1">IFERROR(__xludf.DUMMYFUNCTION("IMPORTRANGE(""https://docs.google.com/spreadsheets/d/1C3CXT74ZlgGe6_JY_1olB1XN4rF0dxEuIIF-xsYjHgg/edit?usp=sharing"",""พรบ!AN108"")"),0)</f>
        <v>0</v>
      </c>
      <c r="AJ104" s="77">
        <v>0</v>
      </c>
      <c r="AK104" s="137">
        <f t="shared" ca="1" si="17"/>
        <v>0</v>
      </c>
      <c r="AL104" s="77">
        <v>0</v>
      </c>
      <c r="AM104" s="137">
        <f t="shared" ca="1" si="18"/>
        <v>0</v>
      </c>
      <c r="AN104" s="77">
        <f ca="1">IFERROR(__xludf.DUMMYFUNCTION("IMPORTRANGE(""https://docs.google.com/spreadsheets/d/1C3CXT74ZlgGe6_JY_1olB1XN4rF0dxEuIIF-xsYjHgg/edit?usp=sharing"",""พรบ!AQ108"")"),0)</f>
        <v>0</v>
      </c>
      <c r="AO104" s="77">
        <v>0</v>
      </c>
      <c r="AP104" s="137">
        <f t="shared" ca="1" si="20"/>
        <v>0</v>
      </c>
      <c r="AQ104" s="77">
        <f ca="1">IFERROR(__xludf.DUMMYFUNCTION("IMPORTRANGE(""https://docs.google.com/spreadsheets/d/1C3CXT74ZlgGe6_JY_1olB1XN4rF0dxEuIIF-xsYjHgg/edit?usp=sharing"",""พรบ!AR108"")"),952000)</f>
        <v>952000</v>
      </c>
      <c r="AR104" s="77">
        <f ca="1">IFERROR(__xludf.DUMMYFUNCTION("IMPORTRANGE(""https://docs.google.com/spreadsheets/d/1C3CXT74ZlgGe6_JY_1olB1XN4rF0dxEuIIF-xsYjHgg/edit?usp=sharing"",""พรบ!AS108"")"),0)</f>
        <v>0</v>
      </c>
      <c r="AS104" s="77">
        <v>0</v>
      </c>
      <c r="AT104" s="137">
        <f t="shared" ca="1" si="22"/>
        <v>0</v>
      </c>
      <c r="AU104" s="77">
        <f ca="1">IFERROR(__xludf.DUMMYFUNCTION("IMPORTRANGE(""https://docs.google.com/spreadsheets/d/1C3CXT74ZlgGe6_JY_1olB1XN4rF0dxEuIIF-xsYjHgg/edit?usp=sharing"",""พรบ!AT108"")"),0)</f>
        <v>0</v>
      </c>
      <c r="AV104" s="77">
        <f ca="1">IFERROR(__xludf.DUMMYFUNCTION("IMPORTRANGE(""https://docs.google.com/spreadsheets/d/1C3CXT74ZlgGe6_JY_1olB1XN4rF0dxEuIIF-xsYjHgg/edit?usp=sharing"",""พรบ!AU108"")"),0)</f>
        <v>0</v>
      </c>
      <c r="AW104" s="77">
        <v>0</v>
      </c>
      <c r="AX104" s="137">
        <f t="shared" ca="1" si="24"/>
        <v>0</v>
      </c>
      <c r="AY104" s="77">
        <v>0</v>
      </c>
      <c r="AZ104" s="137">
        <f t="shared" ca="1" si="25"/>
        <v>0</v>
      </c>
      <c r="BA104" s="77">
        <v>0</v>
      </c>
      <c r="BB104" s="77">
        <v>0</v>
      </c>
      <c r="BC104" s="137">
        <f t="shared" si="27"/>
        <v>0</v>
      </c>
    </row>
    <row r="105" spans="1:55" ht="24" hidden="1" customHeight="1" thickBot="1">
      <c r="A105" s="107">
        <f t="shared" si="123"/>
        <v>14</v>
      </c>
      <c r="B105" s="108" t="s">
        <v>129</v>
      </c>
      <c r="C105" s="86">
        <f t="shared" ca="1" si="0"/>
        <v>0</v>
      </c>
      <c r="D105" s="87">
        <f t="shared" ca="1" si="122"/>
        <v>0</v>
      </c>
      <c r="E105" s="88">
        <f ca="1">IFERROR(__xludf.DUMMYFUNCTION("IMPORTRANGE(""https://docs.google.com/spreadsheets/d/1C3CXT74ZlgGe6_JY_1olB1XN4rF0dxEuIIF-xsYjHgg/edit?usp=sharing"",""พรบ!AD109"")"),0)</f>
        <v>0</v>
      </c>
      <c r="F105" s="77">
        <f ca="1">IFERROR(__xludf.DUMMYFUNCTION("IMPORTRANGE(""https://docs.google.com/spreadsheets/d/1C3CXT74ZlgGe6_JY_1olB1XN4rF0dxEuIIF-xsYjHgg/edit?usp=sharing"",""พรบ!AE109"")"),0)</f>
        <v>0</v>
      </c>
      <c r="G105" s="88">
        <f ca="1">IFERROR(__xludf.DUMMYFUNCTION("IMPORTRANGE(""https://docs.google.com/spreadsheets/d/1Yj_ptqi66GCucihVvJfMjLAmec39IyEx_6qawtMGysU/edit?usp=sharing"",""สบก!BH109"")"),0)</f>
        <v>0</v>
      </c>
      <c r="H105" s="88">
        <f ca="1">IFERROR(__xludf.DUMMYFUNCTION("IMPORTRANGE(""https://docs.google.com/spreadsheets/d/1Yj_ptqi66GCucihVvJfMjLAmec39IyEx_6qawtMGysU/edit?usp=shBJing"",""สบก!BJ109"")"),0)</f>
        <v>0</v>
      </c>
      <c r="I105" s="88">
        <f t="shared" ca="1" si="3"/>
        <v>0</v>
      </c>
      <c r="J105" s="138">
        <f t="shared" ca="1" si="4"/>
        <v>0</v>
      </c>
      <c r="K105" s="88">
        <f ca="1">IFERROR(__xludf.DUMMYFUNCTION("IMPORTRANGE(""https://docs.google.com/spreadsheets/d/1Yj_ptqi66GCucihVvJfMjLAmec39IyEx_6qawtMGysU/edit?usp=sharing"",""สบก!BK109"")"),0)</f>
        <v>0</v>
      </c>
      <c r="L105" s="138">
        <f t="shared" ca="1" si="5"/>
        <v>0</v>
      </c>
      <c r="M105" s="138">
        <f t="shared" ca="1" si="6"/>
        <v>0</v>
      </c>
      <c r="N105" s="138">
        <f ca="1">IFERROR(__xludf.DUMMYFUNCTION("IMPORTRANGE(""https://docs.google.com/spreadsheets/d/1Yj_ptqi66GCucihVvJfMjLAmec39IyEx_6qawtMGysU/edit?usp=sharing"",""สบก!BL109"")"),0)</f>
        <v>0</v>
      </c>
      <c r="O105" s="138">
        <f t="shared" ca="1" si="7"/>
        <v>0</v>
      </c>
      <c r="P105" s="88">
        <f ca="1">IFERROR(__xludf.DUMMYFUNCTION("IMPORTRANGE(""https://docs.google.com/spreadsheets/d/1C3CXT74ZlgGe6_JY_1olB1XN4rF0dxEuIIF-xsYjHgg/edit?usp=sharing"",""พรบ!AF109"")"),0)</f>
        <v>0</v>
      </c>
      <c r="Q105" s="88">
        <f ca="1">IFERROR(__xludf.DUMMYFUNCTION("IMPORTRANGE(""https://docs.google.com/spreadsheets/d/1C3CXT74ZlgGe6_JY_1olB1XN4rF0dxEuIIF-xsYjHgg/edit?usp=sharing"",""พรบ!AG109"")"),0)</f>
        <v>0</v>
      </c>
      <c r="R105" s="88">
        <v>0</v>
      </c>
      <c r="S105" s="138">
        <f t="shared" ca="1" si="9"/>
        <v>0</v>
      </c>
      <c r="T105" s="88"/>
      <c r="U105" s="88"/>
      <c r="V105" s="88"/>
      <c r="W105" s="88">
        <f ca="1">IFERROR(__xludf.DUMMYFUNCTION("IMPORTRANGE(""https://docs.google.com/spreadsheets/d/1C3CXT74ZlgGe6_JY_1olB1XN4rF0dxEuIIF-xsYjHgg/edit?usp=sharing"",""พรบ!AH109"")"),0)</f>
        <v>0</v>
      </c>
      <c r="X105" s="88">
        <f ca="1">IFERROR(__xludf.DUMMYFUNCTION("IMPORTRANGE(""https://docs.google.com/spreadsheets/d/1C3CXT74ZlgGe6_JY_1olB1XN4rF0dxEuIIF-xsYjHgg/edit?usp=sharing"",""พรบ!AI109"")"),0)</f>
        <v>0</v>
      </c>
      <c r="Y105" s="88">
        <v>0</v>
      </c>
      <c r="Z105" s="138">
        <f t="shared" ca="1" si="11"/>
        <v>0</v>
      </c>
      <c r="AA105" s="88">
        <f ca="1">IFERROR(__xludf.DUMMYFUNCTION("IMPORTRANGE(""https://docs.google.com/spreadsheets/d/1C3CXT74ZlgGe6_JY_1olB1XN4rF0dxEuIIF-xsYjHgg/edit?usp=sharing"",""พรบ!AJ109"")"),0)</f>
        <v>0</v>
      </c>
      <c r="AB105" s="88">
        <f ca="1">IFERROR(__xludf.DUMMYFUNCTION("IMPORTRANGE(""https://docs.google.com/spreadsheets/d/1C3CXT74ZlgGe6_JY_1olB1XN4rF0dxEuIIF-xsYjHgg/edit?usp=sharing"",""พรบ!AK109"")"),0)</f>
        <v>0</v>
      </c>
      <c r="AC105" s="88">
        <v>0</v>
      </c>
      <c r="AD105" s="138">
        <f t="shared" ca="1" si="13"/>
        <v>0</v>
      </c>
      <c r="AE105" s="88">
        <f ca="1">IFERROR(__xludf.DUMMYFUNCTION("IMPORTRANGE(""https://docs.google.com/spreadsheets/d/1C3CXT74ZlgGe6_JY_1olB1XN4rF0dxEuIIF-xsYjHgg/edit?usp=sharing"",""พรบ!AL109"")"),0)</f>
        <v>0</v>
      </c>
      <c r="AF105" s="88">
        <v>0</v>
      </c>
      <c r="AG105" s="138">
        <f t="shared" ca="1" si="15"/>
        <v>0</v>
      </c>
      <c r="AH105" s="88">
        <f ca="1">IFERROR(__xludf.DUMMYFUNCTION("IMPORTRANGE(""https://docs.google.com/spreadsheets/d/1C3CXT74ZlgGe6_JY_1olB1XN4rF0dxEuIIF-xsYjHgg/edit?usp=sharing"",""พรบ!AM109"")"),0)</f>
        <v>0</v>
      </c>
      <c r="AI105" s="88">
        <f ca="1">IFERROR(__xludf.DUMMYFUNCTION("IMPORTRANGE(""https://docs.google.com/spreadsheets/d/1C3CXT74ZlgGe6_JY_1olB1XN4rF0dxEuIIF-xsYjHgg/edit?usp=sharing"",""พรบ!AN109"")"),0)</f>
        <v>0</v>
      </c>
      <c r="AJ105" s="88">
        <v>0</v>
      </c>
      <c r="AK105" s="138">
        <f t="shared" ca="1" si="17"/>
        <v>0</v>
      </c>
      <c r="AL105" s="88">
        <v>0</v>
      </c>
      <c r="AM105" s="138">
        <f t="shared" ca="1" si="18"/>
        <v>0</v>
      </c>
      <c r="AN105" s="88">
        <f ca="1">IFERROR(__xludf.DUMMYFUNCTION("IMPORTRANGE(""https://docs.google.com/spreadsheets/d/1C3CXT74ZlgGe6_JY_1olB1XN4rF0dxEuIIF-xsYjHgg/edit?usp=sharing"",""พรบ!AQ109"")"),0)</f>
        <v>0</v>
      </c>
      <c r="AO105" s="88">
        <v>0</v>
      </c>
      <c r="AP105" s="138">
        <f t="shared" ca="1" si="20"/>
        <v>0</v>
      </c>
      <c r="AQ105" s="88">
        <f ca="1">IFERROR(__xludf.DUMMYFUNCTION("IMPORTRANGE(""https://docs.google.com/spreadsheets/d/1C3CXT74ZlgGe6_JY_1olB1XN4rF0dxEuIIF-xsYjHgg/edit?usp=sharing"",""พรบ!AR109"")"),0)</f>
        <v>0</v>
      </c>
      <c r="AR105" s="88">
        <f ca="1">IFERROR(__xludf.DUMMYFUNCTION("IMPORTRANGE(""https://docs.google.com/spreadsheets/d/1C3CXT74ZlgGe6_JY_1olB1XN4rF0dxEuIIF-xsYjHgg/edit?usp=sharing"",""พรบ!AS109"")"),0)</f>
        <v>0</v>
      </c>
      <c r="AS105" s="88">
        <v>0</v>
      </c>
      <c r="AT105" s="138">
        <f t="shared" ca="1" si="22"/>
        <v>0</v>
      </c>
      <c r="AU105" s="88">
        <f ca="1">IFERROR(__xludf.DUMMYFUNCTION("IMPORTRANGE(""https://docs.google.com/spreadsheets/d/1C3CXT74ZlgGe6_JY_1olB1XN4rF0dxEuIIF-xsYjHgg/edit?usp=sharing"",""พรบ!AT109"")"),0)</f>
        <v>0</v>
      </c>
      <c r="AV105" s="88">
        <f ca="1">IFERROR(__xludf.DUMMYFUNCTION("IMPORTRANGE(""https://docs.google.com/spreadsheets/d/1C3CXT74ZlgGe6_JY_1olB1XN4rF0dxEuIIF-xsYjHgg/edit?usp=sharing"",""พรบ!AU109"")"),0)</f>
        <v>0</v>
      </c>
      <c r="AW105" s="88">
        <v>0</v>
      </c>
      <c r="AX105" s="138">
        <f t="shared" ca="1" si="24"/>
        <v>0</v>
      </c>
      <c r="AY105" s="88">
        <v>0</v>
      </c>
      <c r="AZ105" s="138">
        <f t="shared" ca="1" si="25"/>
        <v>0</v>
      </c>
      <c r="BA105" s="88">
        <v>0</v>
      </c>
      <c r="BB105" s="88">
        <v>0</v>
      </c>
      <c r="BC105" s="138">
        <f t="shared" si="27"/>
        <v>0</v>
      </c>
    </row>
    <row r="106" spans="1:55" ht="21" hidden="1" customHeight="1" thickBot="1">
      <c r="A106" s="680" t="s">
        <v>130</v>
      </c>
      <c r="B106" s="652"/>
      <c r="C106" s="44">
        <f t="shared" ca="1" si="0"/>
        <v>4500000</v>
      </c>
      <c r="D106" s="45">
        <f t="shared" ref="D106:O106" ca="1" si="124">+D107+D108+D109+D110+D111+D112+D113+D114+D115+D116+D117+D118+D119</f>
        <v>4500000</v>
      </c>
      <c r="E106" s="45">
        <f t="shared" ca="1" si="124"/>
        <v>4500000</v>
      </c>
      <c r="F106" s="45">
        <f t="shared" ca="1" si="124"/>
        <v>0</v>
      </c>
      <c r="G106" s="45">
        <f t="shared" ca="1" si="124"/>
        <v>0</v>
      </c>
      <c r="H106" s="45">
        <f t="shared" ca="1" si="124"/>
        <v>2174800</v>
      </c>
      <c r="I106" s="647">
        <v>757872</v>
      </c>
      <c r="J106" s="648">
        <v>16.84</v>
      </c>
      <c r="K106" s="649">
        <v>757872</v>
      </c>
      <c r="L106" s="648">
        <v>16.84</v>
      </c>
      <c r="M106" s="648">
        <v>34.85</v>
      </c>
      <c r="N106" s="45">
        <f t="shared" ca="1" si="124"/>
        <v>0</v>
      </c>
      <c r="O106" s="45">
        <f t="shared" ca="1" si="124"/>
        <v>0</v>
      </c>
      <c r="P106" s="45">
        <f t="shared" ref="P106:R106" si="125">+P107+P108+P109+P110+P111+P112+P113+P114</f>
        <v>0</v>
      </c>
      <c r="Q106" s="45">
        <f t="shared" si="125"/>
        <v>0</v>
      </c>
      <c r="R106" s="45">
        <f t="shared" si="125"/>
        <v>0</v>
      </c>
      <c r="S106" s="127">
        <f t="shared" si="9"/>
        <v>0</v>
      </c>
      <c r="T106" s="45"/>
      <c r="U106" s="45"/>
      <c r="V106" s="45"/>
      <c r="W106" s="45">
        <f t="shared" ref="W106:Y106" si="126">+W107+W108+W109+W110+W111+W112+W113+W114</f>
        <v>0</v>
      </c>
      <c r="X106" s="45">
        <f t="shared" si="126"/>
        <v>0</v>
      </c>
      <c r="Y106" s="45">
        <f t="shared" si="126"/>
        <v>0</v>
      </c>
      <c r="Z106" s="127">
        <f t="shared" si="11"/>
        <v>0</v>
      </c>
      <c r="AA106" s="45">
        <f t="shared" ref="AA106:AC106" si="127">+AA107+AA108+AA109+AA110+AA111+AA112+AA113+AA114</f>
        <v>0</v>
      </c>
      <c r="AB106" s="45">
        <f t="shared" si="127"/>
        <v>0</v>
      </c>
      <c r="AC106" s="45">
        <f t="shared" si="127"/>
        <v>0</v>
      </c>
      <c r="AD106" s="127">
        <f t="shared" si="13"/>
        <v>0</v>
      </c>
      <c r="AE106" s="45">
        <f t="shared" ref="AE106:AF106" si="128">+AE107+AE108+AE109+AE110+AE111+AE112+AE113+AE114</f>
        <v>0</v>
      </c>
      <c r="AF106" s="45">
        <f t="shared" si="128"/>
        <v>0</v>
      </c>
      <c r="AG106" s="127">
        <f t="shared" si="15"/>
        <v>0</v>
      </c>
      <c r="AH106" s="45">
        <f t="shared" ref="AH106:AJ106" si="129">+AH107+AH108+AH109+AH110+AH111+AH112+AH113+AH114</f>
        <v>0</v>
      </c>
      <c r="AI106" s="45">
        <f t="shared" si="129"/>
        <v>0</v>
      </c>
      <c r="AJ106" s="45">
        <f t="shared" si="129"/>
        <v>0</v>
      </c>
      <c r="AK106" s="127">
        <f t="shared" si="17"/>
        <v>0</v>
      </c>
      <c r="AL106" s="45">
        <f>+AL107+AL108+AL109+AL110+AL111+AL112+AL113+AL114</f>
        <v>0</v>
      </c>
      <c r="AM106" s="127">
        <f t="shared" si="18"/>
        <v>0</v>
      </c>
      <c r="AN106" s="45">
        <f t="shared" ref="AN106:AO106" si="130">+AN107+AN108+AN109+AN110+AN111+AN112+AN113+AN114</f>
        <v>0</v>
      </c>
      <c r="AO106" s="45">
        <f t="shared" si="130"/>
        <v>0</v>
      </c>
      <c r="AP106" s="127">
        <f t="shared" si="20"/>
        <v>0</v>
      </c>
      <c r="AQ106" s="45">
        <f t="shared" ref="AQ106:AS106" si="131">+AQ107+AQ108+AQ109+AQ110+AQ111+AQ112+AQ113+AQ114</f>
        <v>0</v>
      </c>
      <c r="AR106" s="45">
        <f t="shared" si="131"/>
        <v>0</v>
      </c>
      <c r="AS106" s="45">
        <f t="shared" si="131"/>
        <v>0</v>
      </c>
      <c r="AT106" s="127">
        <f t="shared" si="22"/>
        <v>0</v>
      </c>
      <c r="AU106" s="45">
        <f t="shared" ref="AU106:AW106" si="132">+AU107+AU108+AU109+AU110+AU111+AU112+AU113+AU114</f>
        <v>0</v>
      </c>
      <c r="AV106" s="45">
        <f t="shared" si="132"/>
        <v>0</v>
      </c>
      <c r="AW106" s="45">
        <f t="shared" si="132"/>
        <v>0</v>
      </c>
      <c r="AX106" s="127">
        <f t="shared" si="24"/>
        <v>0</v>
      </c>
      <c r="AY106" s="45">
        <f>+AY107+AY108+AY109+AY110+AY111+AY112+AY113+AY114</f>
        <v>0</v>
      </c>
      <c r="AZ106" s="127">
        <f t="shared" si="25"/>
        <v>0</v>
      </c>
      <c r="BA106" s="45">
        <f t="shared" ref="BA106:BB106" si="133">+BA107+BA108+BA109+BA110+BA111+BA112+BA113+BA114</f>
        <v>0</v>
      </c>
      <c r="BB106" s="45">
        <f t="shared" si="133"/>
        <v>0</v>
      </c>
      <c r="BC106" s="127">
        <f t="shared" si="27"/>
        <v>0</v>
      </c>
    </row>
    <row r="107" spans="1:55" ht="24" hidden="1" customHeight="1">
      <c r="A107" s="102">
        <v>1</v>
      </c>
      <c r="B107" s="109" t="s">
        <v>131</v>
      </c>
      <c r="C107" s="110">
        <f t="shared" ca="1" si="0"/>
        <v>1000000</v>
      </c>
      <c r="D107" s="66">
        <f t="shared" ref="D107:D119" ca="1" si="134">+E107+F107</f>
        <v>1000000</v>
      </c>
      <c r="E107" s="67">
        <f ca="1">IFERROR(__xludf.DUMMYFUNCTION("IMPORTRANGE(""https://docs.google.com/spreadsheets/d/1C3CXT74ZlgGe6_JY_1olB1XN4rF0dxEuIIF-xsYjHgg/edit?usp=sharing"",""พรบ!AD111"")"),1000000)</f>
        <v>1000000</v>
      </c>
      <c r="F107" s="67">
        <f ca="1">IFERROR(__xludf.DUMMYFUNCTION("IMPORTRANGE(""https://docs.google.com/spreadsheets/d/1C3CXT74ZlgGe6_JY_1olB1XN4rF0dxEuIIF-xsYjHgg/edit?usp=sharing"",""พรบ!AE111"")"),0)</f>
        <v>0</v>
      </c>
      <c r="G107" s="67">
        <f ca="1">IFERROR(__xludf.DUMMYFUNCTION("IMPORTRANGE(""https://docs.google.com/spreadsheets/d/1Yj_ptqi66GCucihVvJfMjLAmec39IyEx_6qawtMGysU/edit?usp=sharing"",""สบก!BH111"")"),0)</f>
        <v>0</v>
      </c>
      <c r="H107" s="67">
        <f ca="1">IFERROR(__xludf.DUMMYFUNCTION("IMPORTRANGE(""https://docs.google.com/spreadsheets/d/1Yj_ptqi66GCucihVvJfMjLAmec39IyEx_6qawtMGysU/edit?usp=shBJing"",""สบก!BJ111"")"),250000)</f>
        <v>250000</v>
      </c>
      <c r="I107" s="67">
        <f t="shared" ref="I107:I119" ca="1" si="135">K107+N107</f>
        <v>0</v>
      </c>
      <c r="J107" s="70">
        <f t="shared" ref="J107:J119" ca="1" si="136">IF(C107&gt;0,I107*100/C107,0)</f>
        <v>0</v>
      </c>
      <c r="K107" s="67">
        <f ca="1">IFERROR(__xludf.DUMMYFUNCTION("IMPORTRANGE(""https://docs.google.com/spreadsheets/d/1Yj_ptqi66GCucihVvJfMjLAmec39IyEx_6qawtMGysU/edit?usp=sharing"",""สบก!BB111"")"),0)</f>
        <v>0</v>
      </c>
      <c r="L107" s="70">
        <f t="shared" ref="L107:L119" ca="1" si="137">IF(D107&gt;0,K107*100/D107,0)</f>
        <v>0</v>
      </c>
      <c r="M107" s="70">
        <f t="shared" ref="M107:M119" ca="1" si="138">IF(H107&gt;0,K107*100/H107,0)</f>
        <v>0</v>
      </c>
      <c r="N107" s="71">
        <f ca="1">IFERROR(__xludf.DUMMYFUNCTION("IMPORTRANGE(""https://docs.google.com/spreadsheets/d/1Yj_ptqi66GCucihVvJfMjLAmec39IyEx_6qawtMGysU/edit?usp=sharing"",""สบก!BL111"")"),0)</f>
        <v>0</v>
      </c>
      <c r="O107" s="70">
        <f t="shared" ref="O107:O119" ca="1" si="139">IF(G107&gt;0,N107*100/G107,0)</f>
        <v>0</v>
      </c>
      <c r="P107" s="67">
        <v>0</v>
      </c>
      <c r="Q107" s="67">
        <v>0</v>
      </c>
      <c r="R107" s="67">
        <v>0</v>
      </c>
      <c r="S107" s="67">
        <v>0</v>
      </c>
      <c r="T107" s="67">
        <v>0</v>
      </c>
      <c r="U107" s="67">
        <v>0</v>
      </c>
      <c r="V107" s="67">
        <v>0</v>
      </c>
      <c r="W107" s="67">
        <v>0</v>
      </c>
      <c r="X107" s="67">
        <v>0</v>
      </c>
      <c r="Y107" s="67">
        <v>0</v>
      </c>
      <c r="Z107" s="67">
        <v>0</v>
      </c>
      <c r="AA107" s="67">
        <v>0</v>
      </c>
      <c r="AB107" s="67">
        <v>0</v>
      </c>
      <c r="AC107" s="67">
        <v>0</v>
      </c>
      <c r="AD107" s="67">
        <v>0</v>
      </c>
      <c r="AE107" s="67">
        <v>0</v>
      </c>
      <c r="AF107" s="67">
        <v>0</v>
      </c>
      <c r="AG107" s="67">
        <v>0</v>
      </c>
      <c r="AH107" s="67">
        <v>0</v>
      </c>
      <c r="AI107" s="67">
        <v>0</v>
      </c>
      <c r="AJ107" s="67">
        <v>0</v>
      </c>
      <c r="AK107" s="67">
        <v>0</v>
      </c>
      <c r="AL107" s="67">
        <v>0</v>
      </c>
      <c r="AM107" s="67">
        <v>0</v>
      </c>
      <c r="AN107" s="67">
        <v>0</v>
      </c>
      <c r="AO107" s="67">
        <v>0</v>
      </c>
      <c r="AP107" s="67">
        <v>0</v>
      </c>
      <c r="AQ107" s="67">
        <v>0</v>
      </c>
      <c r="AR107" s="67">
        <v>0</v>
      </c>
      <c r="AS107" s="67">
        <v>0</v>
      </c>
      <c r="AT107" s="67">
        <v>0</v>
      </c>
      <c r="AU107" s="67">
        <v>0</v>
      </c>
      <c r="AV107" s="67">
        <v>0</v>
      </c>
      <c r="AW107" s="67">
        <v>0</v>
      </c>
      <c r="AX107" s="67">
        <v>0</v>
      </c>
      <c r="AY107" s="67">
        <v>0</v>
      </c>
      <c r="AZ107" s="67">
        <v>0</v>
      </c>
      <c r="BA107" s="67">
        <v>0</v>
      </c>
      <c r="BB107" s="67">
        <v>0</v>
      </c>
      <c r="BC107" s="67">
        <v>0</v>
      </c>
    </row>
    <row r="108" spans="1:55" ht="24" hidden="1" customHeight="1">
      <c r="A108" s="105">
        <v>2</v>
      </c>
      <c r="B108" s="111" t="s">
        <v>132</v>
      </c>
      <c r="C108" s="112">
        <f t="shared" ca="1" si="0"/>
        <v>0</v>
      </c>
      <c r="D108" s="76">
        <f t="shared" ca="1" si="134"/>
        <v>0</v>
      </c>
      <c r="E108" s="77">
        <f ca="1">IFERROR(__xludf.DUMMYFUNCTION("IMPORTRANGE(""https://docs.google.com/spreadsheets/d/1C3CXT74ZlgGe6_JY_1olB1XN4rF0dxEuIIF-xsYjHgg/edit?usp=sharing"",""พรบ!AD112"")"),0)</f>
        <v>0</v>
      </c>
      <c r="F108" s="77">
        <f ca="1">IFERROR(__xludf.DUMMYFUNCTION("IMPORTRANGE(""https://docs.google.com/spreadsheets/d/1C3CXT74ZlgGe6_JY_1olB1XN4rF0dxEuIIF-xsYjHgg/edit?usp=sharing"",""พรบ!AE112"")"),0)</f>
        <v>0</v>
      </c>
      <c r="G108" s="77">
        <f ca="1">IFERROR(__xludf.DUMMYFUNCTION("IMPORTRANGE(""https://docs.google.com/spreadsheets/d/1Yj_ptqi66GCucihVvJfMjLAmec39IyEx_6qawtMGysU/edit?usp=sharing"",""สบก!BH112"")"),0)</f>
        <v>0</v>
      </c>
      <c r="H108" s="77">
        <f ca="1">IFERROR(__xludf.DUMMYFUNCTION("IMPORTRANGE(""https://docs.google.com/spreadsheets/d/1Yj_ptqi66GCucihVvJfMjLAmec39IyEx_6qawtMGysU/edit?usp=shBJing"",""สบก!BJ112"")"),0)</f>
        <v>0</v>
      </c>
      <c r="I108" s="77">
        <f t="shared" ca="1" si="135"/>
        <v>0</v>
      </c>
      <c r="J108" s="79">
        <f t="shared" ca="1" si="136"/>
        <v>0</v>
      </c>
      <c r="K108" s="77">
        <f ca="1">IFERROR(__xludf.DUMMYFUNCTION("IMPORTRANGE(""https://docs.google.com/spreadsheets/d/1Yj_ptqi66GCucihVvJfMjLAmec39IyEx_6qawtMGysU/edit?usp=sharing"",""สบก!BB112"")"),0)</f>
        <v>0</v>
      </c>
      <c r="L108" s="79">
        <f t="shared" ca="1" si="137"/>
        <v>0</v>
      </c>
      <c r="M108" s="79">
        <f t="shared" ca="1" si="138"/>
        <v>0</v>
      </c>
      <c r="N108" s="80">
        <f ca="1">IFERROR(__xludf.DUMMYFUNCTION("IMPORTRANGE(""https://docs.google.com/spreadsheets/d/1Yj_ptqi66GCucihVvJfMjLAmec39IyEx_6qawtMGysU/edit?usp=sharing"",""สบก!BL112"")"),0)</f>
        <v>0</v>
      </c>
      <c r="O108" s="79">
        <f t="shared" ca="1" si="139"/>
        <v>0</v>
      </c>
      <c r="P108" s="77">
        <v>0</v>
      </c>
      <c r="Q108" s="77">
        <v>0</v>
      </c>
      <c r="R108" s="77">
        <v>0</v>
      </c>
      <c r="S108" s="77">
        <v>0</v>
      </c>
      <c r="T108" s="77">
        <v>0</v>
      </c>
      <c r="U108" s="77">
        <v>0</v>
      </c>
      <c r="V108" s="77">
        <v>0</v>
      </c>
      <c r="W108" s="77">
        <v>0</v>
      </c>
      <c r="X108" s="77">
        <v>0</v>
      </c>
      <c r="Y108" s="77">
        <v>0</v>
      </c>
      <c r="Z108" s="77">
        <v>0</v>
      </c>
      <c r="AA108" s="77">
        <v>0</v>
      </c>
      <c r="AB108" s="77">
        <v>0</v>
      </c>
      <c r="AC108" s="77">
        <v>0</v>
      </c>
      <c r="AD108" s="77">
        <v>0</v>
      </c>
      <c r="AE108" s="77">
        <v>0</v>
      </c>
      <c r="AF108" s="77">
        <v>0</v>
      </c>
      <c r="AG108" s="77">
        <v>0</v>
      </c>
      <c r="AH108" s="77">
        <v>0</v>
      </c>
      <c r="AI108" s="77">
        <v>0</v>
      </c>
      <c r="AJ108" s="77">
        <v>0</v>
      </c>
      <c r="AK108" s="77">
        <v>0</v>
      </c>
      <c r="AL108" s="77">
        <v>0</v>
      </c>
      <c r="AM108" s="77">
        <v>0</v>
      </c>
      <c r="AN108" s="77">
        <v>0</v>
      </c>
      <c r="AO108" s="77">
        <v>0</v>
      </c>
      <c r="AP108" s="77">
        <v>0</v>
      </c>
      <c r="AQ108" s="77">
        <v>0</v>
      </c>
      <c r="AR108" s="77">
        <v>0</v>
      </c>
      <c r="AS108" s="77">
        <v>0</v>
      </c>
      <c r="AT108" s="77">
        <v>0</v>
      </c>
      <c r="AU108" s="77">
        <v>0</v>
      </c>
      <c r="AV108" s="77">
        <v>0</v>
      </c>
      <c r="AW108" s="77">
        <v>0</v>
      </c>
      <c r="AX108" s="77">
        <v>0</v>
      </c>
      <c r="AY108" s="77">
        <v>0</v>
      </c>
      <c r="AZ108" s="77">
        <v>0</v>
      </c>
      <c r="BA108" s="77">
        <v>0</v>
      </c>
      <c r="BB108" s="77">
        <v>0</v>
      </c>
      <c r="BC108" s="77">
        <v>0</v>
      </c>
    </row>
    <row r="109" spans="1:55" ht="24" hidden="1" customHeight="1">
      <c r="A109" s="105">
        <v>3</v>
      </c>
      <c r="B109" s="111" t="s">
        <v>133</v>
      </c>
      <c r="C109" s="112">
        <f t="shared" ca="1" si="0"/>
        <v>500000</v>
      </c>
      <c r="D109" s="76">
        <f t="shared" ca="1" si="134"/>
        <v>500000</v>
      </c>
      <c r="E109" s="77">
        <f ca="1">IFERROR(__xludf.DUMMYFUNCTION("IMPORTRANGE(""https://docs.google.com/spreadsheets/d/1C3CXT74ZlgGe6_JY_1olB1XN4rF0dxEuIIF-xsYjHgg/edit?usp=sharing"",""พรบ!AD113"")"),500000)</f>
        <v>500000</v>
      </c>
      <c r="F109" s="77">
        <f ca="1">IFERROR(__xludf.DUMMYFUNCTION("IMPORTRANGE(""https://docs.google.com/spreadsheets/d/1C3CXT74ZlgGe6_JY_1olB1XN4rF0dxEuIIF-xsYjHgg/edit?usp=sharing"",""พรบ!AE113"")"),0)</f>
        <v>0</v>
      </c>
      <c r="G109" s="77">
        <f ca="1">IFERROR(__xludf.DUMMYFUNCTION("IMPORTRANGE(""https://docs.google.com/spreadsheets/d/1Yj_ptqi66GCucihVvJfMjLAmec39IyEx_6qawtMGysU/edit?usp=sharing"",""สบก!BH113"")"),0)</f>
        <v>0</v>
      </c>
      <c r="H109" s="77">
        <f ca="1">IFERROR(__xludf.DUMMYFUNCTION("IMPORTRANGE(""https://docs.google.com/spreadsheets/d/1Yj_ptqi66GCucihVvJfMjLAmec39IyEx_6qawtMGysU/edit?usp=shBJing"",""สบก!BJ113"")"),500000)</f>
        <v>500000</v>
      </c>
      <c r="I109" s="77">
        <f t="shared" ca="1" si="135"/>
        <v>0</v>
      </c>
      <c r="J109" s="79">
        <f t="shared" ca="1" si="136"/>
        <v>0</v>
      </c>
      <c r="K109" s="77">
        <f ca="1">IFERROR(__xludf.DUMMYFUNCTION("IMPORTRANGE(""https://docs.google.com/spreadsheets/d/1Yj_ptqi66GCucihVvJfMjLAmec39IyEx_6qawtMGysU/edit?usp=sharing"",""สบก!BB113"")"),0)</f>
        <v>0</v>
      </c>
      <c r="L109" s="79">
        <f t="shared" ca="1" si="137"/>
        <v>0</v>
      </c>
      <c r="M109" s="79">
        <f t="shared" ca="1" si="138"/>
        <v>0</v>
      </c>
      <c r="N109" s="80">
        <f ca="1">IFERROR(__xludf.DUMMYFUNCTION("IMPORTRANGE(""https://docs.google.com/spreadsheets/d/1Yj_ptqi66GCucihVvJfMjLAmec39IyEx_6qawtMGysU/edit?usp=sharing"",""สบก!BL113"")"),0)</f>
        <v>0</v>
      </c>
      <c r="O109" s="79">
        <f t="shared" ca="1" si="139"/>
        <v>0</v>
      </c>
      <c r="P109" s="77">
        <v>0</v>
      </c>
      <c r="Q109" s="77">
        <v>0</v>
      </c>
      <c r="R109" s="77">
        <v>0</v>
      </c>
      <c r="S109" s="77">
        <v>0</v>
      </c>
      <c r="T109" s="77">
        <v>0</v>
      </c>
      <c r="U109" s="77">
        <v>0</v>
      </c>
      <c r="V109" s="77">
        <v>0</v>
      </c>
      <c r="W109" s="77">
        <v>0</v>
      </c>
      <c r="X109" s="77">
        <v>0</v>
      </c>
      <c r="Y109" s="77">
        <v>0</v>
      </c>
      <c r="Z109" s="77">
        <v>0</v>
      </c>
      <c r="AA109" s="77">
        <v>0</v>
      </c>
      <c r="AB109" s="77">
        <v>0</v>
      </c>
      <c r="AC109" s="77">
        <v>0</v>
      </c>
      <c r="AD109" s="77">
        <v>0</v>
      </c>
      <c r="AE109" s="77">
        <v>0</v>
      </c>
      <c r="AF109" s="77">
        <v>0</v>
      </c>
      <c r="AG109" s="77">
        <v>0</v>
      </c>
      <c r="AH109" s="77">
        <v>0</v>
      </c>
      <c r="AI109" s="77">
        <v>0</v>
      </c>
      <c r="AJ109" s="77">
        <v>0</v>
      </c>
      <c r="AK109" s="77">
        <v>0</v>
      </c>
      <c r="AL109" s="77">
        <v>0</v>
      </c>
      <c r="AM109" s="77">
        <v>0</v>
      </c>
      <c r="AN109" s="77">
        <v>0</v>
      </c>
      <c r="AO109" s="77">
        <v>0</v>
      </c>
      <c r="AP109" s="77">
        <v>0</v>
      </c>
      <c r="AQ109" s="77">
        <v>0</v>
      </c>
      <c r="AR109" s="77">
        <v>0</v>
      </c>
      <c r="AS109" s="77">
        <v>0</v>
      </c>
      <c r="AT109" s="77">
        <v>0</v>
      </c>
      <c r="AU109" s="77">
        <v>0</v>
      </c>
      <c r="AV109" s="77">
        <v>0</v>
      </c>
      <c r="AW109" s="77">
        <v>0</v>
      </c>
      <c r="AX109" s="77">
        <v>0</v>
      </c>
      <c r="AY109" s="77">
        <v>0</v>
      </c>
      <c r="AZ109" s="77">
        <v>0</v>
      </c>
      <c r="BA109" s="77">
        <v>0</v>
      </c>
      <c r="BB109" s="77">
        <v>0</v>
      </c>
      <c r="BC109" s="77">
        <v>0</v>
      </c>
    </row>
    <row r="110" spans="1:55" ht="24" hidden="1" customHeight="1">
      <c r="A110" s="113">
        <v>4</v>
      </c>
      <c r="B110" s="111" t="s">
        <v>134</v>
      </c>
      <c r="C110" s="112">
        <f t="shared" ca="1" si="0"/>
        <v>1000000</v>
      </c>
      <c r="D110" s="76">
        <f t="shared" ca="1" si="134"/>
        <v>1000000</v>
      </c>
      <c r="E110" s="77">
        <f ca="1">IFERROR(__xludf.DUMMYFUNCTION("IMPORTRANGE(""https://docs.google.com/spreadsheets/d/1C3CXT74ZlgGe6_JY_1olB1XN4rF0dxEuIIF-xsYjHgg/edit?usp=sharing"",""พรบ!AD114"")"),1000000)</f>
        <v>1000000</v>
      </c>
      <c r="F110" s="77">
        <f ca="1">IFERROR(__xludf.DUMMYFUNCTION("IMPORTRANGE(""https://docs.google.com/spreadsheets/d/1C3CXT74ZlgGe6_JY_1olB1XN4rF0dxEuIIF-xsYjHgg/edit?usp=sharing"",""พรบ!AE114"")"),0)</f>
        <v>0</v>
      </c>
      <c r="G110" s="77">
        <f ca="1">IFERROR(__xludf.DUMMYFUNCTION("IMPORTRANGE(""https://docs.google.com/spreadsheets/d/1Yj_ptqi66GCucihVvJfMjLAmec39IyEx_6qawtMGysU/edit?usp=sharing"",""สบก!BH114"")"),0)</f>
        <v>0</v>
      </c>
      <c r="H110" s="77">
        <f ca="1">IFERROR(__xludf.DUMMYFUNCTION("IMPORTRANGE(""https://docs.google.com/spreadsheets/d/1Yj_ptqi66GCucihVvJfMjLAmec39IyEx_6qawtMGysU/edit?usp=shBJing"",""สบก!BJ114"")"),462870)</f>
        <v>462870</v>
      </c>
      <c r="I110" s="77">
        <f t="shared" ca="1" si="135"/>
        <v>0</v>
      </c>
      <c r="J110" s="79">
        <f t="shared" ca="1" si="136"/>
        <v>0</v>
      </c>
      <c r="K110" s="77">
        <f ca="1">IFERROR(__xludf.DUMMYFUNCTION("IMPORTRANGE(""https://docs.google.com/spreadsheets/d/1Yj_ptqi66GCucihVvJfMjLAmec39IyEx_6qawtMGysU/edit?usp=sharing"",""สบก!BB114"")"),0)</f>
        <v>0</v>
      </c>
      <c r="L110" s="79">
        <f t="shared" ca="1" si="137"/>
        <v>0</v>
      </c>
      <c r="M110" s="79">
        <f t="shared" ca="1" si="138"/>
        <v>0</v>
      </c>
      <c r="N110" s="80">
        <f ca="1">IFERROR(__xludf.DUMMYFUNCTION("IMPORTRANGE(""https://docs.google.com/spreadsheets/d/1Yj_ptqi66GCucihVvJfMjLAmec39IyEx_6qawtMGysU/edit?usp=sharing"",""สบก!BL114"")"),0)</f>
        <v>0</v>
      </c>
      <c r="O110" s="79">
        <f t="shared" ca="1" si="139"/>
        <v>0</v>
      </c>
      <c r="P110" s="77">
        <v>0</v>
      </c>
      <c r="Q110" s="77">
        <v>0</v>
      </c>
      <c r="R110" s="77">
        <v>0</v>
      </c>
      <c r="S110" s="77">
        <v>0</v>
      </c>
      <c r="T110" s="77">
        <v>0</v>
      </c>
      <c r="U110" s="77">
        <v>0</v>
      </c>
      <c r="V110" s="77">
        <v>0</v>
      </c>
      <c r="W110" s="77">
        <v>0</v>
      </c>
      <c r="X110" s="77">
        <v>0</v>
      </c>
      <c r="Y110" s="77">
        <v>0</v>
      </c>
      <c r="Z110" s="77">
        <v>0</v>
      </c>
      <c r="AA110" s="77">
        <v>0</v>
      </c>
      <c r="AB110" s="77">
        <v>0</v>
      </c>
      <c r="AC110" s="77">
        <v>0</v>
      </c>
      <c r="AD110" s="77">
        <v>0</v>
      </c>
      <c r="AE110" s="77">
        <v>0</v>
      </c>
      <c r="AF110" s="77">
        <v>0</v>
      </c>
      <c r="AG110" s="77">
        <v>0</v>
      </c>
      <c r="AH110" s="77">
        <v>0</v>
      </c>
      <c r="AI110" s="77">
        <v>0</v>
      </c>
      <c r="AJ110" s="77">
        <v>0</v>
      </c>
      <c r="AK110" s="77">
        <v>0</v>
      </c>
      <c r="AL110" s="77">
        <v>0</v>
      </c>
      <c r="AM110" s="77">
        <v>0</v>
      </c>
      <c r="AN110" s="77">
        <v>0</v>
      </c>
      <c r="AO110" s="77">
        <v>0</v>
      </c>
      <c r="AP110" s="77">
        <v>0</v>
      </c>
      <c r="AQ110" s="77">
        <v>0</v>
      </c>
      <c r="AR110" s="77">
        <v>0</v>
      </c>
      <c r="AS110" s="77">
        <v>0</v>
      </c>
      <c r="AT110" s="77">
        <v>0</v>
      </c>
      <c r="AU110" s="77">
        <v>0</v>
      </c>
      <c r="AV110" s="77">
        <v>0</v>
      </c>
      <c r="AW110" s="77">
        <v>0</v>
      </c>
      <c r="AX110" s="77">
        <v>0</v>
      </c>
      <c r="AY110" s="77">
        <v>0</v>
      </c>
      <c r="AZ110" s="77">
        <v>0</v>
      </c>
      <c r="BA110" s="77">
        <v>0</v>
      </c>
      <c r="BB110" s="77">
        <v>0</v>
      </c>
      <c r="BC110" s="77">
        <v>0</v>
      </c>
    </row>
    <row r="111" spans="1:55" ht="24" hidden="1" customHeight="1">
      <c r="A111" s="113">
        <v>5</v>
      </c>
      <c r="B111" s="111" t="s">
        <v>135</v>
      </c>
      <c r="C111" s="112">
        <f t="shared" ca="1" si="0"/>
        <v>1500000</v>
      </c>
      <c r="D111" s="76">
        <f t="shared" ca="1" si="134"/>
        <v>1500000</v>
      </c>
      <c r="E111" s="77">
        <f ca="1">IFERROR(__xludf.DUMMYFUNCTION("IMPORTRANGE(""https://docs.google.com/spreadsheets/d/1C3CXT74ZlgGe6_JY_1olB1XN4rF0dxEuIIF-xsYjHgg/edit?usp=sharing"",""พรบ!AD115"")"),1500000)</f>
        <v>1500000</v>
      </c>
      <c r="F111" s="77">
        <f ca="1">IFERROR(__xludf.DUMMYFUNCTION("IMPORTRANGE(""https://docs.google.com/spreadsheets/d/1C3CXT74ZlgGe6_JY_1olB1XN4rF0dxEuIIF-xsYjHgg/edit?usp=sharing"",""พรบ!AE115"")"),0)</f>
        <v>0</v>
      </c>
      <c r="G111" s="77">
        <f ca="1">IFERROR(__xludf.DUMMYFUNCTION("IMPORTRANGE(""https://docs.google.com/spreadsheets/d/1Yj_ptqi66GCucihVvJfMjLAmec39IyEx_6qawtMGysU/edit?usp=sharing"",""สบก!BH115"")"),0)</f>
        <v>0</v>
      </c>
      <c r="H111" s="77">
        <f ca="1">IFERROR(__xludf.DUMMYFUNCTION("IMPORTRANGE(""https://docs.google.com/spreadsheets/d/1Yj_ptqi66GCucihVvJfMjLAmec39IyEx_6qawtMGysU/edit?usp=shBJing"",""สบก!BJ115"")"),961930)</f>
        <v>961930</v>
      </c>
      <c r="I111" s="77">
        <f t="shared" ca="1" si="135"/>
        <v>0</v>
      </c>
      <c r="J111" s="79">
        <f t="shared" ca="1" si="136"/>
        <v>0</v>
      </c>
      <c r="K111" s="77">
        <f ca="1">IFERROR(__xludf.DUMMYFUNCTION("IMPORTRANGE(""https://docs.google.com/spreadsheets/d/1Yj_ptqi66GCucihVvJfMjLAmec39IyEx_6qawtMGysU/edit?usp=sharing"",""สบก!BB115"")"),0)</f>
        <v>0</v>
      </c>
      <c r="L111" s="79">
        <f t="shared" ca="1" si="137"/>
        <v>0</v>
      </c>
      <c r="M111" s="79">
        <f t="shared" ca="1" si="138"/>
        <v>0</v>
      </c>
      <c r="N111" s="80">
        <f ca="1">IFERROR(__xludf.DUMMYFUNCTION("IMPORTRANGE(""https://docs.google.com/spreadsheets/d/1Yj_ptqi66GCucihVvJfMjLAmec39IyEx_6qawtMGysU/edit?usp=sharing"",""สบก!BL115"")"),0)</f>
        <v>0</v>
      </c>
      <c r="O111" s="79">
        <f t="shared" ca="1" si="139"/>
        <v>0</v>
      </c>
      <c r="P111" s="77">
        <v>0</v>
      </c>
      <c r="Q111" s="77">
        <v>0</v>
      </c>
      <c r="R111" s="77">
        <v>0</v>
      </c>
      <c r="S111" s="77">
        <v>0</v>
      </c>
      <c r="T111" s="77">
        <v>0</v>
      </c>
      <c r="U111" s="77">
        <v>0</v>
      </c>
      <c r="V111" s="77">
        <v>0</v>
      </c>
      <c r="W111" s="77">
        <v>0</v>
      </c>
      <c r="X111" s="77">
        <v>0</v>
      </c>
      <c r="Y111" s="77">
        <v>0</v>
      </c>
      <c r="Z111" s="77">
        <v>0</v>
      </c>
      <c r="AA111" s="77">
        <v>0</v>
      </c>
      <c r="AB111" s="77">
        <v>0</v>
      </c>
      <c r="AC111" s="77">
        <v>0</v>
      </c>
      <c r="AD111" s="77">
        <v>0</v>
      </c>
      <c r="AE111" s="77">
        <v>0</v>
      </c>
      <c r="AF111" s="77">
        <v>0</v>
      </c>
      <c r="AG111" s="77">
        <v>0</v>
      </c>
      <c r="AH111" s="77">
        <v>0</v>
      </c>
      <c r="AI111" s="77">
        <v>0</v>
      </c>
      <c r="AJ111" s="77">
        <v>0</v>
      </c>
      <c r="AK111" s="77">
        <v>0</v>
      </c>
      <c r="AL111" s="77">
        <v>0</v>
      </c>
      <c r="AM111" s="77">
        <v>0</v>
      </c>
      <c r="AN111" s="77">
        <v>0</v>
      </c>
      <c r="AO111" s="77">
        <v>0</v>
      </c>
      <c r="AP111" s="77">
        <v>0</v>
      </c>
      <c r="AQ111" s="77">
        <v>0</v>
      </c>
      <c r="AR111" s="77">
        <v>0</v>
      </c>
      <c r="AS111" s="77">
        <v>0</v>
      </c>
      <c r="AT111" s="77">
        <v>0</v>
      </c>
      <c r="AU111" s="77">
        <v>0</v>
      </c>
      <c r="AV111" s="77">
        <v>0</v>
      </c>
      <c r="AW111" s="77">
        <v>0</v>
      </c>
      <c r="AX111" s="77">
        <v>0</v>
      </c>
      <c r="AY111" s="77">
        <v>0</v>
      </c>
      <c r="AZ111" s="77">
        <v>0</v>
      </c>
      <c r="BA111" s="77">
        <v>0</v>
      </c>
      <c r="BB111" s="77">
        <v>0</v>
      </c>
      <c r="BC111" s="77">
        <v>0</v>
      </c>
    </row>
    <row r="112" spans="1:55" ht="24" hidden="1" customHeight="1">
      <c r="A112" s="113">
        <v>6</v>
      </c>
      <c r="B112" s="111" t="s">
        <v>136</v>
      </c>
      <c r="C112" s="112">
        <f t="shared" ca="1" si="0"/>
        <v>500000</v>
      </c>
      <c r="D112" s="76">
        <f t="shared" ca="1" si="134"/>
        <v>500000</v>
      </c>
      <c r="E112" s="77">
        <f ca="1">IFERROR(__xludf.DUMMYFUNCTION("IMPORTRANGE(""https://docs.google.com/spreadsheets/d/1C3CXT74ZlgGe6_JY_1olB1XN4rF0dxEuIIF-xsYjHgg/edit?usp=sharing"",""พรบ!AD116"")"),500000)</f>
        <v>500000</v>
      </c>
      <c r="F112" s="77">
        <f ca="1">IFERROR(__xludf.DUMMYFUNCTION("IMPORTRANGE(""https://docs.google.com/spreadsheets/d/1C3CXT74ZlgGe6_JY_1olB1XN4rF0dxEuIIF-xsYjHgg/edit?usp=sharing"",""พรบ!AE116"")"),0)</f>
        <v>0</v>
      </c>
      <c r="G112" s="77">
        <f ca="1">IFERROR(__xludf.DUMMYFUNCTION("IMPORTRANGE(""https://docs.google.com/spreadsheets/d/1Yj_ptqi66GCucihVvJfMjLAmec39IyEx_6qawtMGysU/edit?usp=sharing"",""สบก!BH116"")"),0)</f>
        <v>0</v>
      </c>
      <c r="H112" s="77">
        <f ca="1">IFERROR(__xludf.DUMMYFUNCTION("IMPORTRANGE(""https://docs.google.com/spreadsheets/d/1Yj_ptqi66GCucihVvJfMjLAmec39IyEx_6qawtMGysU/edit?usp=shBJing"",""สบก!BJ116"")"),0)</f>
        <v>0</v>
      </c>
      <c r="I112" s="77">
        <f t="shared" ca="1" si="135"/>
        <v>0</v>
      </c>
      <c r="J112" s="79">
        <f t="shared" ca="1" si="136"/>
        <v>0</v>
      </c>
      <c r="K112" s="77">
        <f ca="1">IFERROR(__xludf.DUMMYFUNCTION("IMPORTRANGE(""https://docs.google.com/spreadsheets/d/1Yj_ptqi66GCucihVvJfMjLAmec39IyEx_6qawtMGysU/edit?usp=sharing"",""สบก!BB116"")"),0)</f>
        <v>0</v>
      </c>
      <c r="L112" s="79">
        <f t="shared" ca="1" si="137"/>
        <v>0</v>
      </c>
      <c r="M112" s="79">
        <f t="shared" ca="1" si="138"/>
        <v>0</v>
      </c>
      <c r="N112" s="80">
        <f ca="1">IFERROR(__xludf.DUMMYFUNCTION("IMPORTRANGE(""https://docs.google.com/spreadsheets/d/1Yj_ptqi66GCucihVvJfMjLAmec39IyEx_6qawtMGysU/edit?usp=sharing"",""สบก!BL116"")"),0)</f>
        <v>0</v>
      </c>
      <c r="O112" s="79">
        <f t="shared" ca="1" si="139"/>
        <v>0</v>
      </c>
      <c r="P112" s="77">
        <v>0</v>
      </c>
      <c r="Q112" s="77">
        <v>0</v>
      </c>
      <c r="R112" s="77">
        <v>0</v>
      </c>
      <c r="S112" s="77">
        <v>0</v>
      </c>
      <c r="T112" s="77">
        <v>0</v>
      </c>
      <c r="U112" s="77">
        <v>0</v>
      </c>
      <c r="V112" s="77">
        <v>0</v>
      </c>
      <c r="W112" s="77">
        <v>0</v>
      </c>
      <c r="X112" s="77">
        <v>0</v>
      </c>
      <c r="Y112" s="77">
        <v>0</v>
      </c>
      <c r="Z112" s="77">
        <v>0</v>
      </c>
      <c r="AA112" s="77">
        <v>0</v>
      </c>
      <c r="AB112" s="77">
        <v>0</v>
      </c>
      <c r="AC112" s="77">
        <v>0</v>
      </c>
      <c r="AD112" s="77">
        <v>0</v>
      </c>
      <c r="AE112" s="77">
        <v>0</v>
      </c>
      <c r="AF112" s="77">
        <v>0</v>
      </c>
      <c r="AG112" s="77">
        <v>0</v>
      </c>
      <c r="AH112" s="77">
        <v>0</v>
      </c>
      <c r="AI112" s="77">
        <v>0</v>
      </c>
      <c r="AJ112" s="77">
        <v>0</v>
      </c>
      <c r="AK112" s="77">
        <v>0</v>
      </c>
      <c r="AL112" s="77">
        <v>0</v>
      </c>
      <c r="AM112" s="77">
        <v>0</v>
      </c>
      <c r="AN112" s="77">
        <v>0</v>
      </c>
      <c r="AO112" s="77">
        <v>0</v>
      </c>
      <c r="AP112" s="77">
        <v>0</v>
      </c>
      <c r="AQ112" s="77">
        <v>0</v>
      </c>
      <c r="AR112" s="77">
        <v>0</v>
      </c>
      <c r="AS112" s="77">
        <v>0</v>
      </c>
      <c r="AT112" s="77">
        <v>0</v>
      </c>
      <c r="AU112" s="77">
        <v>0</v>
      </c>
      <c r="AV112" s="77">
        <v>0</v>
      </c>
      <c r="AW112" s="77">
        <v>0</v>
      </c>
      <c r="AX112" s="77">
        <v>0</v>
      </c>
      <c r="AY112" s="77">
        <v>0</v>
      </c>
      <c r="AZ112" s="77">
        <v>0</v>
      </c>
      <c r="BA112" s="77">
        <v>0</v>
      </c>
      <c r="BB112" s="77">
        <v>0</v>
      </c>
      <c r="BC112" s="77">
        <v>0</v>
      </c>
    </row>
    <row r="113" spans="1:55" ht="24" hidden="1" customHeight="1">
      <c r="A113" s="113">
        <v>7</v>
      </c>
      <c r="B113" s="111" t="s">
        <v>137</v>
      </c>
      <c r="C113" s="112">
        <f t="shared" ca="1" si="0"/>
        <v>0</v>
      </c>
      <c r="D113" s="76">
        <f t="shared" ca="1" si="134"/>
        <v>0</v>
      </c>
      <c r="E113" s="77">
        <f ca="1">IFERROR(__xludf.DUMMYFUNCTION("IMPORTRANGE(""https://docs.google.com/spreadsheets/d/1C3CXT74ZlgGe6_JY_1olB1XN4rF0dxEuIIF-xsYjHgg/edit?usp=sharing"",""พรบ!AD117"")"),0)</f>
        <v>0</v>
      </c>
      <c r="F113" s="77">
        <f ca="1">IFERROR(__xludf.DUMMYFUNCTION("IMPORTRANGE(""https://docs.google.com/spreadsheets/d/1C3CXT74ZlgGe6_JY_1olB1XN4rF0dxEuIIF-xsYjHgg/edit?usp=sharing"",""พรบ!AE117"")"),0)</f>
        <v>0</v>
      </c>
      <c r="G113" s="77">
        <f ca="1">IFERROR(__xludf.DUMMYFUNCTION("IMPORTRANGE(""https://docs.google.com/spreadsheets/d/1Yj_ptqi66GCucihVvJfMjLAmec39IyEx_6qawtMGysU/edit?usp=sharing"",""สบก!BH117"")"),0)</f>
        <v>0</v>
      </c>
      <c r="H113" s="77">
        <f ca="1">IFERROR(__xludf.DUMMYFUNCTION("IMPORTRANGE(""https://docs.google.com/spreadsheets/d/1Yj_ptqi66GCucihVvJfMjLAmec39IyEx_6qawtMGysU/edit?usp=shBJing"",""สบก!BJ117"")"),0)</f>
        <v>0</v>
      </c>
      <c r="I113" s="77">
        <f t="shared" ca="1" si="135"/>
        <v>0</v>
      </c>
      <c r="J113" s="79">
        <f t="shared" ca="1" si="136"/>
        <v>0</v>
      </c>
      <c r="K113" s="77">
        <f ca="1">IFERROR(__xludf.DUMMYFUNCTION("IMPORTRANGE(""https://docs.google.com/spreadsheets/d/1Yj_ptqi66GCucihVvJfMjLAmec39IyEx_6qawtMGysU/edit?usp=sharing"",""สบก!BB117"")"),0)</f>
        <v>0</v>
      </c>
      <c r="L113" s="79">
        <f t="shared" ca="1" si="137"/>
        <v>0</v>
      </c>
      <c r="M113" s="79">
        <f t="shared" ca="1" si="138"/>
        <v>0</v>
      </c>
      <c r="N113" s="80">
        <f ca="1">IFERROR(__xludf.DUMMYFUNCTION("IMPORTRANGE(""https://docs.google.com/spreadsheets/d/1Yj_ptqi66GCucihVvJfMjLAmec39IyEx_6qawtMGysU/edit?usp=sharing"",""สบก!BL117"")"),0)</f>
        <v>0</v>
      </c>
      <c r="O113" s="79">
        <f t="shared" ca="1" si="139"/>
        <v>0</v>
      </c>
      <c r="P113" s="77">
        <v>0</v>
      </c>
      <c r="Q113" s="77">
        <v>0</v>
      </c>
      <c r="R113" s="77">
        <v>0</v>
      </c>
      <c r="S113" s="77">
        <v>0</v>
      </c>
      <c r="T113" s="77">
        <v>0</v>
      </c>
      <c r="U113" s="77">
        <v>0</v>
      </c>
      <c r="V113" s="77">
        <v>0</v>
      </c>
      <c r="W113" s="77">
        <v>0</v>
      </c>
      <c r="X113" s="77">
        <v>0</v>
      </c>
      <c r="Y113" s="77">
        <v>0</v>
      </c>
      <c r="Z113" s="77">
        <v>0</v>
      </c>
      <c r="AA113" s="77">
        <v>0</v>
      </c>
      <c r="AB113" s="77">
        <v>0</v>
      </c>
      <c r="AC113" s="77">
        <v>0</v>
      </c>
      <c r="AD113" s="77">
        <v>0</v>
      </c>
      <c r="AE113" s="77">
        <v>0</v>
      </c>
      <c r="AF113" s="77">
        <v>0</v>
      </c>
      <c r="AG113" s="77">
        <v>0</v>
      </c>
      <c r="AH113" s="77">
        <v>0</v>
      </c>
      <c r="AI113" s="77">
        <v>0</v>
      </c>
      <c r="AJ113" s="77">
        <v>0</v>
      </c>
      <c r="AK113" s="77">
        <v>0</v>
      </c>
      <c r="AL113" s="77">
        <v>0</v>
      </c>
      <c r="AM113" s="77">
        <v>0</v>
      </c>
      <c r="AN113" s="77">
        <v>0</v>
      </c>
      <c r="AO113" s="77">
        <v>0</v>
      </c>
      <c r="AP113" s="77">
        <v>0</v>
      </c>
      <c r="AQ113" s="77">
        <v>0</v>
      </c>
      <c r="AR113" s="77">
        <v>0</v>
      </c>
      <c r="AS113" s="77">
        <v>0</v>
      </c>
      <c r="AT113" s="77">
        <v>0</v>
      </c>
      <c r="AU113" s="77">
        <v>0</v>
      </c>
      <c r="AV113" s="77">
        <v>0</v>
      </c>
      <c r="AW113" s="77">
        <v>0</v>
      </c>
      <c r="AX113" s="77">
        <v>0</v>
      </c>
      <c r="AY113" s="77">
        <v>0</v>
      </c>
      <c r="AZ113" s="77">
        <v>0</v>
      </c>
      <c r="BA113" s="77">
        <v>0</v>
      </c>
      <c r="BB113" s="77">
        <v>0</v>
      </c>
      <c r="BC113" s="77">
        <v>0</v>
      </c>
    </row>
    <row r="114" spans="1:55" ht="24" hidden="1" customHeight="1">
      <c r="A114" s="113">
        <v>8</v>
      </c>
      <c r="B114" s="111" t="s">
        <v>138</v>
      </c>
      <c r="C114" s="112">
        <f t="shared" ca="1" si="0"/>
        <v>0</v>
      </c>
      <c r="D114" s="76">
        <f t="shared" ca="1" si="134"/>
        <v>0</v>
      </c>
      <c r="E114" s="77">
        <f ca="1">IFERROR(__xludf.DUMMYFUNCTION("IMPORTRANGE(""https://docs.google.com/spreadsheets/d/1C3CXT74ZlgGe6_JY_1olB1XN4rF0dxEuIIF-xsYjHgg/edit?usp=sharing"",""พรบ!AD118"")"),0)</f>
        <v>0</v>
      </c>
      <c r="F114" s="77">
        <f ca="1">IFERROR(__xludf.DUMMYFUNCTION("IMPORTRANGE(""https://docs.google.com/spreadsheets/d/1C3CXT74ZlgGe6_JY_1olB1XN4rF0dxEuIIF-xsYjHgg/edit?usp=sharing"",""พรบ!AE118"")"),0)</f>
        <v>0</v>
      </c>
      <c r="G114" s="77">
        <f ca="1">IFERROR(__xludf.DUMMYFUNCTION("IMPORTRANGE(""https://docs.google.com/spreadsheets/d/1Yj_ptqi66GCucihVvJfMjLAmec39IyEx_6qawtMGysU/edit?usp=sharing"",""สบก!BH118"")"),0)</f>
        <v>0</v>
      </c>
      <c r="H114" s="77">
        <f ca="1">IFERROR(__xludf.DUMMYFUNCTION("IMPORTRANGE(""https://docs.google.com/spreadsheets/d/1Yj_ptqi66GCucihVvJfMjLAmec39IyEx_6qawtMGysU/edit?usp=shBJing"",""สบก!BJ118"")"),0)</f>
        <v>0</v>
      </c>
      <c r="I114" s="77">
        <f t="shared" ca="1" si="135"/>
        <v>0</v>
      </c>
      <c r="J114" s="79">
        <f t="shared" ca="1" si="136"/>
        <v>0</v>
      </c>
      <c r="K114" s="77">
        <f ca="1">IFERROR(__xludf.DUMMYFUNCTION("IMPORTRANGE(""https://docs.google.com/spreadsheets/d/1Yj_ptqi66GCucihVvJfMjLAmec39IyEx_6qawtMGysU/edit?usp=sharing"",""สบก!BB118"")"),0)</f>
        <v>0</v>
      </c>
      <c r="L114" s="79">
        <f t="shared" ca="1" si="137"/>
        <v>0</v>
      </c>
      <c r="M114" s="79">
        <f t="shared" ca="1" si="138"/>
        <v>0</v>
      </c>
      <c r="N114" s="80">
        <f ca="1">IFERROR(__xludf.DUMMYFUNCTION("IMPORTRANGE(""https://docs.google.com/spreadsheets/d/1Yj_ptqi66GCucihVvJfMjLAmec39IyEx_6qawtMGysU/edit?usp=sharing"",""สบก!BL118"")"),0)</f>
        <v>0</v>
      </c>
      <c r="O114" s="79">
        <f t="shared" ca="1" si="139"/>
        <v>0</v>
      </c>
      <c r="P114" s="77">
        <v>0</v>
      </c>
      <c r="Q114" s="77">
        <v>0</v>
      </c>
      <c r="R114" s="77">
        <v>0</v>
      </c>
      <c r="S114" s="77">
        <v>0</v>
      </c>
      <c r="T114" s="77">
        <v>0</v>
      </c>
      <c r="U114" s="77">
        <v>0</v>
      </c>
      <c r="V114" s="77">
        <v>0</v>
      </c>
      <c r="W114" s="77">
        <v>0</v>
      </c>
      <c r="X114" s="77">
        <v>0</v>
      </c>
      <c r="Y114" s="77">
        <v>0</v>
      </c>
      <c r="Z114" s="77">
        <v>0</v>
      </c>
      <c r="AA114" s="77">
        <v>0</v>
      </c>
      <c r="AB114" s="77">
        <v>0</v>
      </c>
      <c r="AC114" s="77">
        <v>0</v>
      </c>
      <c r="AD114" s="77">
        <v>0</v>
      </c>
      <c r="AE114" s="77">
        <v>0</v>
      </c>
      <c r="AF114" s="77">
        <v>0</v>
      </c>
      <c r="AG114" s="77">
        <v>0</v>
      </c>
      <c r="AH114" s="77">
        <v>0</v>
      </c>
      <c r="AI114" s="77">
        <v>0</v>
      </c>
      <c r="AJ114" s="77">
        <v>0</v>
      </c>
      <c r="AK114" s="77">
        <v>0</v>
      </c>
      <c r="AL114" s="77">
        <v>0</v>
      </c>
      <c r="AM114" s="77">
        <v>0</v>
      </c>
      <c r="AN114" s="77">
        <v>0</v>
      </c>
      <c r="AO114" s="77">
        <v>0</v>
      </c>
      <c r="AP114" s="77">
        <v>0</v>
      </c>
      <c r="AQ114" s="77">
        <v>0</v>
      </c>
      <c r="AR114" s="77">
        <v>0</v>
      </c>
      <c r="AS114" s="77">
        <v>0</v>
      </c>
      <c r="AT114" s="77">
        <v>0</v>
      </c>
      <c r="AU114" s="77">
        <v>0</v>
      </c>
      <c r="AV114" s="77">
        <v>0</v>
      </c>
      <c r="AW114" s="77">
        <v>0</v>
      </c>
      <c r="AX114" s="77">
        <v>0</v>
      </c>
      <c r="AY114" s="77">
        <v>0</v>
      </c>
      <c r="AZ114" s="77">
        <v>0</v>
      </c>
      <c r="BA114" s="77">
        <v>0</v>
      </c>
      <c r="BB114" s="77">
        <v>0</v>
      </c>
      <c r="BC114" s="77">
        <v>0</v>
      </c>
    </row>
    <row r="115" spans="1:55" ht="24" hidden="1" customHeight="1">
      <c r="A115" s="113">
        <v>9</v>
      </c>
      <c r="B115" s="111" t="s">
        <v>139</v>
      </c>
      <c r="C115" s="112">
        <f t="shared" ca="1" si="0"/>
        <v>0</v>
      </c>
      <c r="D115" s="76">
        <f t="shared" ca="1" si="134"/>
        <v>0</v>
      </c>
      <c r="E115" s="77">
        <f ca="1">IFERROR(__xludf.DUMMYFUNCTION("IMPORTRANGE(""https://docs.google.com/spreadsheets/d/1C3CXT74ZlgGe6_JY_1olB1XN4rF0dxEuIIF-xsYjHgg/edit?usp=sharing"",""พรบ!AD119"")"),0)</f>
        <v>0</v>
      </c>
      <c r="F115" s="77">
        <f ca="1">IFERROR(__xludf.DUMMYFUNCTION("IMPORTRANGE(""https://docs.google.com/spreadsheets/d/1C3CXT74ZlgGe6_JY_1olB1XN4rF0dxEuIIF-xsYjHgg/edit?usp=sharing"",""พรบ!AE119"")"),0)</f>
        <v>0</v>
      </c>
      <c r="G115" s="77">
        <f ca="1">IFERROR(__xludf.DUMMYFUNCTION("IMPORTRANGE(""https://docs.google.com/spreadsheets/d/1Yj_ptqi66GCucihVvJfMjLAmec39IyEx_6qawtMGysU/edit?usp=sharing"",""สบก!BH119"")"),0)</f>
        <v>0</v>
      </c>
      <c r="H115" s="77">
        <f ca="1">IFERROR(__xludf.DUMMYFUNCTION("IMPORTRANGE(""https://docs.google.com/spreadsheets/d/1Yj_ptqi66GCucihVvJfMjLAmec39IyEx_6qawtMGysU/edit?usp=shBJing"",""สบก!BJ119"")"),0)</f>
        <v>0</v>
      </c>
      <c r="I115" s="77">
        <f t="shared" ca="1" si="135"/>
        <v>0</v>
      </c>
      <c r="J115" s="79">
        <f t="shared" ca="1" si="136"/>
        <v>0</v>
      </c>
      <c r="K115" s="77">
        <f ca="1">IFERROR(__xludf.DUMMYFUNCTION("IMPORTRANGE(""https://docs.google.com/spreadsheets/d/1Yj_ptqi66GCucihVvJfMjLAmec39IyEx_6qawtMGysU/edit?usp=sharing"",""สบก!BB119"")"),0)</f>
        <v>0</v>
      </c>
      <c r="L115" s="79">
        <f t="shared" ca="1" si="137"/>
        <v>0</v>
      </c>
      <c r="M115" s="79">
        <f t="shared" ca="1" si="138"/>
        <v>0</v>
      </c>
      <c r="N115" s="80">
        <f ca="1">IFERROR(__xludf.DUMMYFUNCTION("IMPORTRANGE(""https://docs.google.com/spreadsheets/d/1Yj_ptqi66GCucihVvJfMjLAmec39IyEx_6qawtMGysU/edit?usp=sharing"",""สบก!BL119"")"),0)</f>
        <v>0</v>
      </c>
      <c r="O115" s="79">
        <f t="shared" ca="1" si="139"/>
        <v>0</v>
      </c>
      <c r="P115" s="77">
        <v>0</v>
      </c>
      <c r="Q115" s="77">
        <v>0</v>
      </c>
      <c r="R115" s="77">
        <v>0</v>
      </c>
      <c r="S115" s="77">
        <v>0</v>
      </c>
      <c r="T115" s="77">
        <v>0</v>
      </c>
      <c r="U115" s="77">
        <v>0</v>
      </c>
      <c r="V115" s="77">
        <v>0</v>
      </c>
      <c r="W115" s="77">
        <v>0</v>
      </c>
      <c r="X115" s="77">
        <v>0</v>
      </c>
      <c r="Y115" s="77">
        <v>0</v>
      </c>
      <c r="Z115" s="77">
        <v>0</v>
      </c>
      <c r="AA115" s="77">
        <v>0</v>
      </c>
      <c r="AB115" s="77">
        <v>0</v>
      </c>
      <c r="AC115" s="77">
        <v>0</v>
      </c>
      <c r="AD115" s="77">
        <v>0</v>
      </c>
      <c r="AE115" s="77">
        <v>0</v>
      </c>
      <c r="AF115" s="77">
        <v>0</v>
      </c>
      <c r="AG115" s="77">
        <v>0</v>
      </c>
      <c r="AH115" s="77">
        <v>0</v>
      </c>
      <c r="AI115" s="77">
        <v>0</v>
      </c>
      <c r="AJ115" s="77">
        <v>0</v>
      </c>
      <c r="AK115" s="77">
        <v>0</v>
      </c>
      <c r="AL115" s="77">
        <v>0</v>
      </c>
      <c r="AM115" s="77">
        <v>0</v>
      </c>
      <c r="AN115" s="77">
        <v>0</v>
      </c>
      <c r="AO115" s="77">
        <v>0</v>
      </c>
      <c r="AP115" s="77">
        <v>0</v>
      </c>
      <c r="AQ115" s="77">
        <v>0</v>
      </c>
      <c r="AR115" s="77">
        <v>0</v>
      </c>
      <c r="AS115" s="77">
        <v>0</v>
      </c>
      <c r="AT115" s="77">
        <v>0</v>
      </c>
      <c r="AU115" s="77">
        <v>0</v>
      </c>
      <c r="AV115" s="77">
        <v>0</v>
      </c>
      <c r="AW115" s="77">
        <v>0</v>
      </c>
      <c r="AX115" s="77">
        <v>0</v>
      </c>
      <c r="AY115" s="77">
        <v>0</v>
      </c>
      <c r="AZ115" s="77">
        <v>0</v>
      </c>
      <c r="BA115" s="77">
        <v>0</v>
      </c>
      <c r="BB115" s="77">
        <v>0</v>
      </c>
      <c r="BC115" s="77">
        <v>0</v>
      </c>
    </row>
    <row r="116" spans="1:55" ht="24" hidden="1" customHeight="1">
      <c r="A116" s="113">
        <v>10</v>
      </c>
      <c r="B116" s="111" t="s">
        <v>140</v>
      </c>
      <c r="C116" s="112">
        <f t="shared" ca="1" si="0"/>
        <v>0</v>
      </c>
      <c r="D116" s="76">
        <f t="shared" ca="1" si="134"/>
        <v>0</v>
      </c>
      <c r="E116" s="77">
        <f ca="1">IFERROR(__xludf.DUMMYFUNCTION("IMPORTRANGE(""https://docs.google.com/spreadsheets/d/1C3CXT74ZlgGe6_JY_1olB1XN4rF0dxEuIIF-xsYjHgg/edit?usp=sharing"",""พรบ!AD120"")"),0)</f>
        <v>0</v>
      </c>
      <c r="F116" s="77">
        <f ca="1">IFERROR(__xludf.DUMMYFUNCTION("IMPORTRANGE(""https://docs.google.com/spreadsheets/d/1C3CXT74ZlgGe6_JY_1olB1XN4rF0dxEuIIF-xsYjHgg/edit?usp=sharing"",""พรบ!AE120"")"),0)</f>
        <v>0</v>
      </c>
      <c r="G116" s="77">
        <f ca="1">IFERROR(__xludf.DUMMYFUNCTION("IMPORTRANGE(""https://docs.google.com/spreadsheets/d/1Yj_ptqi66GCucihVvJfMjLAmec39IyEx_6qawtMGysU/edit?usp=sharing"",""สบก!BH120"")"),0)</f>
        <v>0</v>
      </c>
      <c r="H116" s="77">
        <f ca="1">IFERROR(__xludf.DUMMYFUNCTION("IMPORTRANGE(""https://docs.google.com/spreadsheets/d/1Yj_ptqi66GCucihVvJfMjLAmec39IyEx_6qawtMGysU/edit?usp=shBJing"",""สบก!BJ120"")"),0)</f>
        <v>0</v>
      </c>
      <c r="I116" s="77">
        <f t="shared" ca="1" si="135"/>
        <v>0</v>
      </c>
      <c r="J116" s="79">
        <f t="shared" ca="1" si="136"/>
        <v>0</v>
      </c>
      <c r="K116" s="77">
        <f ca="1">IFERROR(__xludf.DUMMYFUNCTION("IMPORTRANGE(""https://docs.google.com/spreadsheets/d/1Yj_ptqi66GCucihVvJfMjLAmec39IyEx_6qawtMGysU/edit?usp=sharing"",""สบก!BB120"")"),0)</f>
        <v>0</v>
      </c>
      <c r="L116" s="79">
        <f t="shared" ca="1" si="137"/>
        <v>0</v>
      </c>
      <c r="M116" s="79">
        <f t="shared" ca="1" si="138"/>
        <v>0</v>
      </c>
      <c r="N116" s="80">
        <f ca="1">IFERROR(__xludf.DUMMYFUNCTION("IMPORTRANGE(""https://docs.google.com/spreadsheets/d/1Yj_ptqi66GCucihVvJfMjLAmec39IyEx_6qawtMGysU/edit?usp=sharing"",""สบก!BL120"")"),0)</f>
        <v>0</v>
      </c>
      <c r="O116" s="79">
        <f t="shared" ca="1" si="139"/>
        <v>0</v>
      </c>
      <c r="P116" s="77">
        <v>0</v>
      </c>
      <c r="Q116" s="77">
        <v>0</v>
      </c>
      <c r="R116" s="77">
        <v>0</v>
      </c>
      <c r="S116" s="77">
        <v>0</v>
      </c>
      <c r="T116" s="77">
        <v>0</v>
      </c>
      <c r="U116" s="77">
        <v>0</v>
      </c>
      <c r="V116" s="77">
        <v>0</v>
      </c>
      <c r="W116" s="77">
        <v>0</v>
      </c>
      <c r="X116" s="77">
        <v>0</v>
      </c>
      <c r="Y116" s="77">
        <v>0</v>
      </c>
      <c r="Z116" s="77">
        <v>0</v>
      </c>
      <c r="AA116" s="77">
        <v>0</v>
      </c>
      <c r="AB116" s="77">
        <v>0</v>
      </c>
      <c r="AC116" s="77">
        <v>0</v>
      </c>
      <c r="AD116" s="77">
        <v>0</v>
      </c>
      <c r="AE116" s="77">
        <v>0</v>
      </c>
      <c r="AF116" s="77">
        <v>0</v>
      </c>
      <c r="AG116" s="77">
        <v>0</v>
      </c>
      <c r="AH116" s="77">
        <v>0</v>
      </c>
      <c r="AI116" s="77">
        <v>0</v>
      </c>
      <c r="AJ116" s="77">
        <v>0</v>
      </c>
      <c r="AK116" s="77">
        <v>0</v>
      </c>
      <c r="AL116" s="77">
        <v>0</v>
      </c>
      <c r="AM116" s="77">
        <v>0</v>
      </c>
      <c r="AN116" s="77">
        <v>0</v>
      </c>
      <c r="AO116" s="77">
        <v>0</v>
      </c>
      <c r="AP116" s="77">
        <v>0</v>
      </c>
      <c r="AQ116" s="77">
        <v>0</v>
      </c>
      <c r="AR116" s="77">
        <v>0</v>
      </c>
      <c r="AS116" s="77">
        <v>0</v>
      </c>
      <c r="AT116" s="77">
        <v>0</v>
      </c>
      <c r="AU116" s="77">
        <v>0</v>
      </c>
      <c r="AV116" s="77">
        <v>0</v>
      </c>
      <c r="AW116" s="77">
        <v>0</v>
      </c>
      <c r="AX116" s="77">
        <v>0</v>
      </c>
      <c r="AY116" s="77">
        <v>0</v>
      </c>
      <c r="AZ116" s="77">
        <v>0</v>
      </c>
      <c r="BA116" s="77">
        <v>0</v>
      </c>
      <c r="BB116" s="77">
        <v>0</v>
      </c>
      <c r="BC116" s="77">
        <v>0</v>
      </c>
    </row>
    <row r="117" spans="1:55" ht="24" hidden="1" customHeight="1">
      <c r="A117" s="113">
        <v>11</v>
      </c>
      <c r="B117" s="111" t="s">
        <v>141</v>
      </c>
      <c r="C117" s="112">
        <f t="shared" ca="1" si="0"/>
        <v>0</v>
      </c>
      <c r="D117" s="76">
        <f t="shared" ca="1" si="134"/>
        <v>0</v>
      </c>
      <c r="E117" s="77">
        <f ca="1">IFERROR(__xludf.DUMMYFUNCTION("IMPORTRANGE(""https://docs.google.com/spreadsheets/d/1C3CXT74ZlgGe6_JY_1olB1XN4rF0dxEuIIF-xsYjHgg/edit?usp=sharing"",""พรบ!AD121"")"),0)</f>
        <v>0</v>
      </c>
      <c r="F117" s="77">
        <f ca="1">IFERROR(__xludf.DUMMYFUNCTION("IMPORTRANGE(""https://docs.google.com/spreadsheets/d/1C3CXT74ZlgGe6_JY_1olB1XN4rF0dxEuIIF-xsYjHgg/edit?usp=sharing"",""พรบ!AE121"")"),0)</f>
        <v>0</v>
      </c>
      <c r="G117" s="77">
        <f ca="1">IFERROR(__xludf.DUMMYFUNCTION("IMPORTRANGE(""https://docs.google.com/spreadsheets/d/1Yj_ptqi66GCucihVvJfMjLAmec39IyEx_6qawtMGysU/edit?usp=sharing"",""สบก!BH121"")"),0)</f>
        <v>0</v>
      </c>
      <c r="H117" s="77">
        <f ca="1">IFERROR(__xludf.DUMMYFUNCTION("IMPORTRANGE(""https://docs.google.com/spreadsheets/d/1Yj_ptqi66GCucihVvJfMjLAmec39IyEx_6qawtMGysU/edit?usp=shBJing"",""สบก!BJ121"")"),0)</f>
        <v>0</v>
      </c>
      <c r="I117" s="77">
        <f t="shared" ca="1" si="135"/>
        <v>0</v>
      </c>
      <c r="J117" s="79">
        <f t="shared" ca="1" si="136"/>
        <v>0</v>
      </c>
      <c r="K117" s="77">
        <f ca="1">IFERROR(__xludf.DUMMYFUNCTION("IMPORTRANGE(""https://docs.google.com/spreadsheets/d/1Yj_ptqi66GCucihVvJfMjLAmec39IyEx_6qawtMGysU/edit?usp=sharing"",""สบก!BB121"")"),0)</f>
        <v>0</v>
      </c>
      <c r="L117" s="79">
        <f t="shared" ca="1" si="137"/>
        <v>0</v>
      </c>
      <c r="M117" s="79">
        <f t="shared" ca="1" si="138"/>
        <v>0</v>
      </c>
      <c r="N117" s="80">
        <f ca="1">IFERROR(__xludf.DUMMYFUNCTION("IMPORTRANGE(""https://docs.google.com/spreadsheets/d/1Yj_ptqi66GCucihVvJfMjLAmec39IyEx_6qawtMGysU/edit?usp=sharing"",""สบก!BL121"")"),0)</f>
        <v>0</v>
      </c>
      <c r="O117" s="79">
        <f t="shared" ca="1" si="139"/>
        <v>0</v>
      </c>
      <c r="P117" s="77">
        <v>0</v>
      </c>
      <c r="Q117" s="77">
        <v>0</v>
      </c>
      <c r="R117" s="77">
        <v>0</v>
      </c>
      <c r="S117" s="77">
        <v>0</v>
      </c>
      <c r="T117" s="77">
        <v>0</v>
      </c>
      <c r="U117" s="77">
        <v>0</v>
      </c>
      <c r="V117" s="77">
        <v>0</v>
      </c>
      <c r="W117" s="77">
        <v>0</v>
      </c>
      <c r="X117" s="77">
        <v>0</v>
      </c>
      <c r="Y117" s="77">
        <v>0</v>
      </c>
      <c r="Z117" s="77">
        <v>0</v>
      </c>
      <c r="AA117" s="77">
        <v>0</v>
      </c>
      <c r="AB117" s="77">
        <v>0</v>
      </c>
      <c r="AC117" s="77">
        <v>0</v>
      </c>
      <c r="AD117" s="77">
        <v>0</v>
      </c>
      <c r="AE117" s="77">
        <v>0</v>
      </c>
      <c r="AF117" s="77">
        <v>0</v>
      </c>
      <c r="AG117" s="77">
        <v>0</v>
      </c>
      <c r="AH117" s="77">
        <v>0</v>
      </c>
      <c r="AI117" s="77">
        <v>0</v>
      </c>
      <c r="AJ117" s="77">
        <v>0</v>
      </c>
      <c r="AK117" s="77">
        <v>0</v>
      </c>
      <c r="AL117" s="77">
        <v>0</v>
      </c>
      <c r="AM117" s="77">
        <v>0</v>
      </c>
      <c r="AN117" s="77">
        <v>0</v>
      </c>
      <c r="AO117" s="77">
        <v>0</v>
      </c>
      <c r="AP117" s="77">
        <v>0</v>
      </c>
      <c r="AQ117" s="77">
        <v>0</v>
      </c>
      <c r="AR117" s="77">
        <v>0</v>
      </c>
      <c r="AS117" s="77">
        <v>0</v>
      </c>
      <c r="AT117" s="77">
        <v>0</v>
      </c>
      <c r="AU117" s="77">
        <v>0</v>
      </c>
      <c r="AV117" s="77">
        <v>0</v>
      </c>
      <c r="AW117" s="77">
        <v>0</v>
      </c>
      <c r="AX117" s="77">
        <v>0</v>
      </c>
      <c r="AY117" s="77">
        <v>0</v>
      </c>
      <c r="AZ117" s="77">
        <v>0</v>
      </c>
      <c r="BA117" s="77">
        <v>0</v>
      </c>
      <c r="BB117" s="77">
        <v>0</v>
      </c>
      <c r="BC117" s="77">
        <v>0</v>
      </c>
    </row>
    <row r="118" spans="1:55" ht="24" hidden="1" customHeight="1">
      <c r="A118" s="113">
        <v>12</v>
      </c>
      <c r="B118" s="111" t="s">
        <v>142</v>
      </c>
      <c r="C118" s="112">
        <f t="shared" ca="1" si="0"/>
        <v>0</v>
      </c>
      <c r="D118" s="76">
        <f t="shared" ca="1" si="134"/>
        <v>0</v>
      </c>
      <c r="E118" s="77">
        <f ca="1">IFERROR(__xludf.DUMMYFUNCTION("IMPORTRANGE(""https://docs.google.com/spreadsheets/d/1C3CXT74ZlgGe6_JY_1olB1XN4rF0dxEuIIF-xsYjHgg/edit?usp=sharing"",""พรบ!AD122"")"),0)</f>
        <v>0</v>
      </c>
      <c r="F118" s="77">
        <f ca="1">IFERROR(__xludf.DUMMYFUNCTION("IMPORTRANGE(""https://docs.google.com/spreadsheets/d/1C3CXT74ZlgGe6_JY_1olB1XN4rF0dxEuIIF-xsYjHgg/edit?usp=sharing"",""พรบ!AE122"")"),0)</f>
        <v>0</v>
      </c>
      <c r="G118" s="77">
        <f ca="1">IFERROR(__xludf.DUMMYFUNCTION("IMPORTRANGE(""https://docs.google.com/spreadsheets/d/1Yj_ptqi66GCucihVvJfMjLAmec39IyEx_6qawtMGysU/edit?usp=sharing"",""สบก!BH122"")"),0)</f>
        <v>0</v>
      </c>
      <c r="H118" s="77">
        <f ca="1">IFERROR(__xludf.DUMMYFUNCTION("IMPORTRANGE(""https://docs.google.com/spreadsheets/d/1Yj_ptqi66GCucihVvJfMjLAmec39IyEx_6qawtMGysU/edit?usp=shBJing"",""สบก!BJ122"")"),0)</f>
        <v>0</v>
      </c>
      <c r="I118" s="77">
        <f t="shared" ca="1" si="135"/>
        <v>0</v>
      </c>
      <c r="J118" s="79">
        <f t="shared" ca="1" si="136"/>
        <v>0</v>
      </c>
      <c r="K118" s="77">
        <f ca="1">IFERROR(__xludf.DUMMYFUNCTION("IMPORTRANGE(""https://docs.google.com/spreadsheets/d/1Yj_ptqi66GCucihVvJfMjLAmec39IyEx_6qawtMGysU/edit?usp=sharing"",""สบก!BB122"")"),0)</f>
        <v>0</v>
      </c>
      <c r="L118" s="79">
        <f t="shared" ca="1" si="137"/>
        <v>0</v>
      </c>
      <c r="M118" s="79">
        <f t="shared" ca="1" si="138"/>
        <v>0</v>
      </c>
      <c r="N118" s="80">
        <f ca="1">IFERROR(__xludf.DUMMYFUNCTION("IMPORTRANGE(""https://docs.google.com/spreadsheets/d/1Yj_ptqi66GCucihVvJfMjLAmec39IyEx_6qawtMGysU/edit?usp=sharing"",""สบก!BL122"")"),0)</f>
        <v>0</v>
      </c>
      <c r="O118" s="79">
        <f t="shared" ca="1" si="139"/>
        <v>0</v>
      </c>
      <c r="P118" s="77">
        <v>0</v>
      </c>
      <c r="Q118" s="77">
        <v>0</v>
      </c>
      <c r="R118" s="77">
        <v>0</v>
      </c>
      <c r="S118" s="77">
        <v>0</v>
      </c>
      <c r="T118" s="77">
        <v>0</v>
      </c>
      <c r="U118" s="77">
        <v>0</v>
      </c>
      <c r="V118" s="77">
        <v>0</v>
      </c>
      <c r="W118" s="77">
        <v>0</v>
      </c>
      <c r="X118" s="77">
        <v>0</v>
      </c>
      <c r="Y118" s="77">
        <v>0</v>
      </c>
      <c r="Z118" s="77">
        <v>0</v>
      </c>
      <c r="AA118" s="77">
        <v>0</v>
      </c>
      <c r="AB118" s="77">
        <v>0</v>
      </c>
      <c r="AC118" s="77">
        <v>0</v>
      </c>
      <c r="AD118" s="77">
        <v>0</v>
      </c>
      <c r="AE118" s="77">
        <v>0</v>
      </c>
      <c r="AF118" s="77">
        <v>0</v>
      </c>
      <c r="AG118" s="77">
        <v>0</v>
      </c>
      <c r="AH118" s="77">
        <v>0</v>
      </c>
      <c r="AI118" s="77">
        <v>0</v>
      </c>
      <c r="AJ118" s="77">
        <v>0</v>
      </c>
      <c r="AK118" s="77">
        <v>0</v>
      </c>
      <c r="AL118" s="77">
        <v>0</v>
      </c>
      <c r="AM118" s="77">
        <v>0</v>
      </c>
      <c r="AN118" s="77">
        <v>0</v>
      </c>
      <c r="AO118" s="77">
        <v>0</v>
      </c>
      <c r="AP118" s="77">
        <v>0</v>
      </c>
      <c r="AQ118" s="77">
        <v>0</v>
      </c>
      <c r="AR118" s="77">
        <v>0</v>
      </c>
      <c r="AS118" s="77">
        <v>0</v>
      </c>
      <c r="AT118" s="77">
        <v>0</v>
      </c>
      <c r="AU118" s="77">
        <v>0</v>
      </c>
      <c r="AV118" s="77">
        <v>0</v>
      </c>
      <c r="AW118" s="77">
        <v>0</v>
      </c>
      <c r="AX118" s="77">
        <v>0</v>
      </c>
      <c r="AY118" s="77">
        <v>0</v>
      </c>
      <c r="AZ118" s="77">
        <v>0</v>
      </c>
      <c r="BA118" s="77">
        <v>0</v>
      </c>
      <c r="BB118" s="77">
        <v>0</v>
      </c>
      <c r="BC118" s="77">
        <v>0</v>
      </c>
    </row>
    <row r="119" spans="1:55" ht="24" hidden="1" customHeight="1">
      <c r="A119" s="113">
        <v>13</v>
      </c>
      <c r="B119" s="111" t="s">
        <v>143</v>
      </c>
      <c r="C119" s="112">
        <f t="shared" ca="1" si="0"/>
        <v>0</v>
      </c>
      <c r="D119" s="76">
        <f t="shared" ca="1" si="134"/>
        <v>0</v>
      </c>
      <c r="E119" s="77">
        <f ca="1">IFERROR(__xludf.DUMMYFUNCTION("IMPORTRANGE(""https://docs.google.com/spreadsheets/d/1C3CXT74ZlgGe6_JY_1olB1XN4rF0dxEuIIF-xsYjHgg/edit?usp=sharing"",""พรบ!AD123"")"),0)</f>
        <v>0</v>
      </c>
      <c r="F119" s="77">
        <f ca="1">IFERROR(__xludf.DUMMYFUNCTION("IMPORTRANGE(""https://docs.google.com/spreadsheets/d/1C3CXT74ZlgGe6_JY_1olB1XN4rF0dxEuIIF-xsYjHgg/edit?usp=sharing"",""พรบ!AE123"")"),0)</f>
        <v>0</v>
      </c>
      <c r="G119" s="77">
        <f ca="1">IFERROR(__xludf.DUMMYFUNCTION("IMPORTRANGE(""https://docs.google.com/spreadsheets/d/1Yj_ptqi66GCucihVvJfMjLAmec39IyEx_6qawtMGysU/edit?usp=sharing"",""สบก!BH123"")"),0)</f>
        <v>0</v>
      </c>
      <c r="H119" s="77">
        <f ca="1">IFERROR(__xludf.DUMMYFUNCTION("IMPORTRANGE(""https://docs.google.com/spreadsheets/d/1Yj_ptqi66GCucihVvJfMjLAmec39IyEx_6qawtMGysU/edit?usp=shBJing"",""สบก!BJ123"")"),0)</f>
        <v>0</v>
      </c>
      <c r="I119" s="77">
        <f t="shared" ca="1" si="135"/>
        <v>0</v>
      </c>
      <c r="J119" s="79">
        <f t="shared" ca="1" si="136"/>
        <v>0</v>
      </c>
      <c r="K119" s="77">
        <f ca="1">IFERROR(__xludf.DUMMYFUNCTION("IMPORTRANGE(""https://docs.google.com/spreadsheets/d/1Yj_ptqi66GCucihVvJfMjLAmec39IyEx_6qawtMGysU/edit?usp=sharing"",""สบก!BB123"")"),0)</f>
        <v>0</v>
      </c>
      <c r="L119" s="79">
        <f t="shared" ca="1" si="137"/>
        <v>0</v>
      </c>
      <c r="M119" s="79">
        <f t="shared" ca="1" si="138"/>
        <v>0</v>
      </c>
      <c r="N119" s="80">
        <f ca="1">IFERROR(__xludf.DUMMYFUNCTION("IMPORTRANGE(""https://docs.google.com/spreadsheets/d/1Yj_ptqi66GCucihVvJfMjLAmec39IyEx_6qawtMGysU/edit?usp=sharing"",""สบก!BL123"")"),0)</f>
        <v>0</v>
      </c>
      <c r="O119" s="79">
        <f t="shared" ca="1" si="139"/>
        <v>0</v>
      </c>
      <c r="P119" s="77">
        <v>0</v>
      </c>
      <c r="Q119" s="77">
        <v>0</v>
      </c>
      <c r="R119" s="77">
        <v>0</v>
      </c>
      <c r="S119" s="77">
        <v>0</v>
      </c>
      <c r="T119" s="77">
        <v>0</v>
      </c>
      <c r="U119" s="77">
        <v>0</v>
      </c>
      <c r="V119" s="77">
        <v>0</v>
      </c>
      <c r="W119" s="77">
        <v>0</v>
      </c>
      <c r="X119" s="77">
        <v>0</v>
      </c>
      <c r="Y119" s="77">
        <v>0</v>
      </c>
      <c r="Z119" s="77">
        <v>0</v>
      </c>
      <c r="AA119" s="77">
        <v>0</v>
      </c>
      <c r="AB119" s="77">
        <v>0</v>
      </c>
      <c r="AC119" s="77">
        <v>0</v>
      </c>
      <c r="AD119" s="77">
        <v>0</v>
      </c>
      <c r="AE119" s="77">
        <v>0</v>
      </c>
      <c r="AF119" s="77">
        <v>0</v>
      </c>
      <c r="AG119" s="77">
        <v>0</v>
      </c>
      <c r="AH119" s="77">
        <v>0</v>
      </c>
      <c r="AI119" s="77">
        <v>0</v>
      </c>
      <c r="AJ119" s="77">
        <v>0</v>
      </c>
      <c r="AK119" s="77">
        <v>0</v>
      </c>
      <c r="AL119" s="77">
        <v>0</v>
      </c>
      <c r="AM119" s="77">
        <v>0</v>
      </c>
      <c r="AN119" s="77">
        <v>0</v>
      </c>
      <c r="AO119" s="77">
        <v>0</v>
      </c>
      <c r="AP119" s="77">
        <v>0</v>
      </c>
      <c r="AQ119" s="77">
        <v>0</v>
      </c>
      <c r="AR119" s="77">
        <v>0</v>
      </c>
      <c r="AS119" s="77">
        <v>0</v>
      </c>
      <c r="AT119" s="77">
        <v>0</v>
      </c>
      <c r="AU119" s="77">
        <v>0</v>
      </c>
      <c r="AV119" s="77">
        <v>0</v>
      </c>
      <c r="AW119" s="77">
        <v>0</v>
      </c>
      <c r="AX119" s="77">
        <v>0</v>
      </c>
      <c r="AY119" s="77">
        <v>0</v>
      </c>
      <c r="AZ119" s="77">
        <v>0</v>
      </c>
      <c r="BA119" s="77">
        <v>0</v>
      </c>
      <c r="BB119" s="77">
        <v>0</v>
      </c>
      <c r="BC119" s="77">
        <v>0</v>
      </c>
    </row>
    <row r="120" spans="1:55" ht="24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117"/>
      <c r="M120" s="117"/>
      <c r="N120" s="117"/>
      <c r="O120" s="117"/>
      <c r="P120" s="2"/>
      <c r="Q120" s="2"/>
      <c r="R120" s="2"/>
      <c r="S120" s="117"/>
      <c r="T120" s="2"/>
      <c r="U120" s="2"/>
      <c r="V120" s="2"/>
      <c r="W120" s="2"/>
      <c r="X120" s="2"/>
      <c r="Y120" s="2"/>
      <c r="Z120" s="117"/>
      <c r="AA120" s="2"/>
      <c r="AB120" s="2"/>
      <c r="AC120" s="2"/>
      <c r="AD120" s="117"/>
      <c r="AE120" s="2"/>
      <c r="AF120" s="2"/>
      <c r="AG120" s="117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117"/>
      <c r="AU120" s="2"/>
      <c r="AV120" s="2"/>
      <c r="AW120" s="2"/>
      <c r="AX120" s="2"/>
      <c r="AY120" s="2"/>
      <c r="AZ120" s="2"/>
      <c r="BA120" s="2"/>
      <c r="BB120" s="2"/>
      <c r="BC120" s="2"/>
    </row>
    <row r="121" spans="1:55" ht="24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117"/>
      <c r="M121" s="117"/>
      <c r="N121" s="117"/>
      <c r="O121" s="117"/>
      <c r="P121" s="2"/>
      <c r="Q121" s="2"/>
      <c r="R121" s="2"/>
      <c r="S121" s="117"/>
      <c r="T121" s="2"/>
      <c r="U121" s="2"/>
      <c r="V121" s="2"/>
      <c r="W121" s="2"/>
      <c r="X121" s="2"/>
      <c r="Y121" s="2"/>
      <c r="Z121" s="117"/>
      <c r="AA121" s="2"/>
      <c r="AB121" s="2"/>
      <c r="AC121" s="2"/>
      <c r="AD121" s="117"/>
      <c r="AE121" s="2"/>
      <c r="AF121" s="2"/>
      <c r="AG121" s="117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117"/>
      <c r="AU121" s="2"/>
      <c r="AV121" s="2"/>
      <c r="AW121" s="2"/>
      <c r="AX121" s="2"/>
      <c r="AY121" s="2"/>
      <c r="AZ121" s="2"/>
      <c r="BA121" s="2"/>
      <c r="BB121" s="2"/>
      <c r="BC121" s="2"/>
    </row>
    <row r="122" spans="1:55" ht="24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117"/>
      <c r="M122" s="117"/>
      <c r="N122" s="117"/>
      <c r="O122" s="117"/>
      <c r="P122" s="2"/>
      <c r="Q122" s="2"/>
      <c r="R122" s="2"/>
      <c r="S122" s="117"/>
      <c r="T122" s="2"/>
      <c r="U122" s="2"/>
      <c r="V122" s="2"/>
      <c r="W122" s="2"/>
      <c r="X122" s="2"/>
      <c r="Y122" s="2"/>
      <c r="Z122" s="117"/>
      <c r="AA122" s="2"/>
      <c r="AB122" s="2"/>
      <c r="AC122" s="2"/>
      <c r="AD122" s="117"/>
      <c r="AE122" s="2"/>
      <c r="AF122" s="2"/>
      <c r="AG122" s="117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117"/>
      <c r="AU122" s="2"/>
      <c r="AV122" s="2"/>
      <c r="AW122" s="2"/>
      <c r="AX122" s="2"/>
      <c r="AY122" s="2"/>
      <c r="AZ122" s="2"/>
      <c r="BA122" s="2"/>
      <c r="BB122" s="2"/>
      <c r="BC122" s="2"/>
    </row>
    <row r="123" spans="1:55" ht="24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117"/>
      <c r="M123" s="117"/>
      <c r="N123" s="117"/>
      <c r="O123" s="117"/>
      <c r="P123" s="2"/>
      <c r="Q123" s="2"/>
      <c r="R123" s="2"/>
      <c r="S123" s="117"/>
      <c r="T123" s="2"/>
      <c r="U123" s="2"/>
      <c r="V123" s="2"/>
      <c r="W123" s="2"/>
      <c r="X123" s="2"/>
      <c r="Y123" s="2"/>
      <c r="Z123" s="117"/>
      <c r="AA123" s="2"/>
      <c r="AB123" s="2"/>
      <c r="AC123" s="2"/>
      <c r="AD123" s="117"/>
      <c r="AE123" s="2"/>
      <c r="AF123" s="2"/>
      <c r="AG123" s="117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117"/>
      <c r="AU123" s="2"/>
      <c r="AV123" s="2"/>
      <c r="AW123" s="2"/>
      <c r="AX123" s="2"/>
      <c r="AY123" s="2"/>
      <c r="AZ123" s="2"/>
      <c r="BA123" s="2"/>
      <c r="BB123" s="2"/>
      <c r="BC123" s="2"/>
    </row>
    <row r="124" spans="1:55" ht="24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117"/>
      <c r="M124" s="117"/>
      <c r="N124" s="117"/>
      <c r="O124" s="117"/>
      <c r="P124" s="2"/>
      <c r="Q124" s="2"/>
      <c r="R124" s="2"/>
      <c r="S124" s="117"/>
      <c r="T124" s="2"/>
      <c r="U124" s="2"/>
      <c r="V124" s="2"/>
      <c r="W124" s="2"/>
      <c r="X124" s="2"/>
      <c r="Y124" s="2"/>
      <c r="Z124" s="117"/>
      <c r="AA124" s="2"/>
      <c r="AB124" s="2"/>
      <c r="AC124" s="2"/>
      <c r="AD124" s="117"/>
      <c r="AE124" s="2"/>
      <c r="AF124" s="2"/>
      <c r="AG124" s="117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117"/>
      <c r="AU124" s="2"/>
      <c r="AV124" s="2"/>
      <c r="AW124" s="2"/>
      <c r="AX124" s="2"/>
      <c r="AY124" s="2"/>
      <c r="AZ124" s="2"/>
      <c r="BA124" s="2"/>
      <c r="BB124" s="2"/>
      <c r="BC124" s="2"/>
    </row>
    <row r="125" spans="1:55" ht="24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117"/>
      <c r="M125" s="117"/>
      <c r="N125" s="117"/>
      <c r="O125" s="117"/>
      <c r="P125" s="2"/>
      <c r="Q125" s="2"/>
      <c r="R125" s="2"/>
      <c r="S125" s="117"/>
      <c r="T125" s="2"/>
      <c r="U125" s="2"/>
      <c r="V125" s="2"/>
      <c r="W125" s="2"/>
      <c r="X125" s="2"/>
      <c r="Y125" s="2"/>
      <c r="Z125" s="117"/>
      <c r="AA125" s="2"/>
      <c r="AB125" s="2"/>
      <c r="AC125" s="2"/>
      <c r="AD125" s="117"/>
      <c r="AE125" s="2"/>
      <c r="AF125" s="2"/>
      <c r="AG125" s="117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117"/>
      <c r="AU125" s="2"/>
      <c r="AV125" s="2"/>
      <c r="AW125" s="2"/>
      <c r="AX125" s="2"/>
      <c r="AY125" s="2"/>
      <c r="AZ125" s="2"/>
      <c r="BA125" s="2"/>
      <c r="BB125" s="2"/>
      <c r="BC125" s="2"/>
    </row>
    <row r="126" spans="1:55" ht="24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117"/>
      <c r="M126" s="117"/>
      <c r="N126" s="117"/>
      <c r="O126" s="117"/>
      <c r="P126" s="2"/>
      <c r="Q126" s="2"/>
      <c r="R126" s="2"/>
      <c r="S126" s="117"/>
      <c r="T126" s="2"/>
      <c r="U126" s="2"/>
      <c r="V126" s="2"/>
      <c r="W126" s="2"/>
      <c r="X126" s="2"/>
      <c r="Y126" s="2"/>
      <c r="Z126" s="117"/>
      <c r="AA126" s="2"/>
      <c r="AB126" s="2"/>
      <c r="AC126" s="2"/>
      <c r="AD126" s="117"/>
      <c r="AE126" s="2"/>
      <c r="AF126" s="2"/>
      <c r="AG126" s="117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117"/>
      <c r="AU126" s="2"/>
      <c r="AV126" s="2"/>
      <c r="AW126" s="2"/>
      <c r="AX126" s="2"/>
      <c r="AY126" s="2"/>
      <c r="AZ126" s="2"/>
      <c r="BA126" s="2"/>
      <c r="BB126" s="2"/>
      <c r="BC126" s="2"/>
    </row>
    <row r="127" spans="1:55" ht="24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117"/>
      <c r="M127" s="117"/>
      <c r="N127" s="117"/>
      <c r="O127" s="117"/>
      <c r="P127" s="2"/>
      <c r="Q127" s="2"/>
      <c r="R127" s="2"/>
      <c r="S127" s="117"/>
      <c r="T127" s="2"/>
      <c r="U127" s="2"/>
      <c r="V127" s="2"/>
      <c r="W127" s="2"/>
      <c r="X127" s="2"/>
      <c r="Y127" s="2"/>
      <c r="Z127" s="117"/>
      <c r="AA127" s="2"/>
      <c r="AB127" s="2"/>
      <c r="AC127" s="2"/>
      <c r="AD127" s="117"/>
      <c r="AE127" s="2"/>
      <c r="AF127" s="2"/>
      <c r="AG127" s="117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117"/>
      <c r="AU127" s="2"/>
      <c r="AV127" s="2"/>
      <c r="AW127" s="2"/>
      <c r="AX127" s="2"/>
      <c r="AY127" s="2"/>
      <c r="AZ127" s="2"/>
      <c r="BA127" s="2"/>
      <c r="BB127" s="2"/>
      <c r="BC127" s="2"/>
    </row>
    <row r="128" spans="1:55" ht="24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117"/>
      <c r="M128" s="117"/>
      <c r="N128" s="117"/>
      <c r="O128" s="117"/>
      <c r="P128" s="2"/>
      <c r="Q128" s="2"/>
      <c r="R128" s="2"/>
      <c r="S128" s="117"/>
      <c r="T128" s="2"/>
      <c r="U128" s="2"/>
      <c r="V128" s="2"/>
      <c r="W128" s="2"/>
      <c r="X128" s="2"/>
      <c r="Y128" s="2"/>
      <c r="Z128" s="117"/>
      <c r="AA128" s="2"/>
      <c r="AB128" s="2"/>
      <c r="AC128" s="2"/>
      <c r="AD128" s="117"/>
      <c r="AE128" s="2"/>
      <c r="AF128" s="2"/>
      <c r="AG128" s="117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117"/>
      <c r="AU128" s="2"/>
      <c r="AV128" s="2"/>
      <c r="AW128" s="2"/>
      <c r="AX128" s="2"/>
      <c r="AY128" s="2"/>
      <c r="AZ128" s="2"/>
      <c r="BA128" s="2"/>
      <c r="BB128" s="2"/>
      <c r="BC128" s="2"/>
    </row>
    <row r="129" spans="1:55" ht="24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117"/>
      <c r="M129" s="117"/>
      <c r="N129" s="117"/>
      <c r="O129" s="117"/>
      <c r="P129" s="2"/>
      <c r="Q129" s="2"/>
      <c r="R129" s="2"/>
      <c r="S129" s="117"/>
      <c r="T129" s="2"/>
      <c r="U129" s="2"/>
      <c r="V129" s="2"/>
      <c r="W129" s="2"/>
      <c r="X129" s="2"/>
      <c r="Y129" s="2"/>
      <c r="Z129" s="117"/>
      <c r="AA129" s="2"/>
      <c r="AB129" s="2"/>
      <c r="AC129" s="2"/>
      <c r="AD129" s="117"/>
      <c r="AE129" s="2"/>
      <c r="AF129" s="2"/>
      <c r="AG129" s="117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117"/>
      <c r="AU129" s="2"/>
      <c r="AV129" s="2"/>
      <c r="AW129" s="2"/>
      <c r="AX129" s="2"/>
      <c r="AY129" s="2"/>
      <c r="AZ129" s="2"/>
      <c r="BA129" s="2"/>
      <c r="BB129" s="2"/>
      <c r="BC129" s="2"/>
    </row>
    <row r="130" spans="1:55" ht="24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117"/>
      <c r="M130" s="117"/>
      <c r="N130" s="117"/>
      <c r="O130" s="117"/>
      <c r="P130" s="2"/>
      <c r="Q130" s="2"/>
      <c r="R130" s="2"/>
      <c r="S130" s="117"/>
      <c r="T130" s="2"/>
      <c r="U130" s="2"/>
      <c r="V130" s="2"/>
      <c r="W130" s="2"/>
      <c r="X130" s="2"/>
      <c r="Y130" s="2"/>
      <c r="Z130" s="117"/>
      <c r="AA130" s="2"/>
      <c r="AB130" s="2"/>
      <c r="AC130" s="2"/>
      <c r="AD130" s="117"/>
      <c r="AE130" s="2"/>
      <c r="AF130" s="2"/>
      <c r="AG130" s="117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117"/>
      <c r="AU130" s="2"/>
      <c r="AV130" s="2"/>
      <c r="AW130" s="2"/>
      <c r="AX130" s="2"/>
      <c r="AY130" s="2"/>
      <c r="AZ130" s="2"/>
      <c r="BA130" s="2"/>
      <c r="BB130" s="2"/>
      <c r="BC130" s="2"/>
    </row>
    <row r="131" spans="1:55" ht="24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117"/>
      <c r="M131" s="117"/>
      <c r="N131" s="117"/>
      <c r="O131" s="117"/>
      <c r="P131" s="2"/>
      <c r="Q131" s="2"/>
      <c r="R131" s="2"/>
      <c r="S131" s="117"/>
      <c r="T131" s="2"/>
      <c r="U131" s="2"/>
      <c r="V131" s="2"/>
      <c r="W131" s="2"/>
      <c r="X131" s="2"/>
      <c r="Y131" s="2"/>
      <c r="Z131" s="117"/>
      <c r="AA131" s="2"/>
      <c r="AB131" s="2"/>
      <c r="AC131" s="2"/>
      <c r="AD131" s="117"/>
      <c r="AE131" s="2"/>
      <c r="AF131" s="2"/>
      <c r="AG131" s="117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117"/>
      <c r="AU131" s="2"/>
      <c r="AV131" s="2"/>
      <c r="AW131" s="2"/>
      <c r="AX131" s="2"/>
      <c r="AY131" s="2"/>
      <c r="AZ131" s="2"/>
      <c r="BA131" s="2"/>
      <c r="BB131" s="2"/>
      <c r="BC131" s="2"/>
    </row>
    <row r="132" spans="1:55" ht="24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117"/>
      <c r="M132" s="117"/>
      <c r="N132" s="117"/>
      <c r="O132" s="117"/>
      <c r="P132" s="2"/>
      <c r="Q132" s="2"/>
      <c r="R132" s="2"/>
      <c r="S132" s="117"/>
      <c r="T132" s="2"/>
      <c r="U132" s="2"/>
      <c r="V132" s="2"/>
      <c r="W132" s="2"/>
      <c r="X132" s="2"/>
      <c r="Y132" s="2"/>
      <c r="Z132" s="117"/>
      <c r="AA132" s="2"/>
      <c r="AB132" s="2"/>
      <c r="AC132" s="2"/>
      <c r="AD132" s="117"/>
      <c r="AE132" s="2"/>
      <c r="AF132" s="2"/>
      <c r="AG132" s="117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117"/>
      <c r="AU132" s="2"/>
      <c r="AV132" s="2"/>
      <c r="AW132" s="2"/>
      <c r="AX132" s="2"/>
      <c r="AY132" s="2"/>
      <c r="AZ132" s="2"/>
      <c r="BA132" s="2"/>
      <c r="BB132" s="2"/>
      <c r="BC132" s="2"/>
    </row>
    <row r="133" spans="1:55" ht="24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117"/>
      <c r="M133" s="117"/>
      <c r="N133" s="117"/>
      <c r="O133" s="117"/>
      <c r="P133" s="2"/>
      <c r="Q133" s="2"/>
      <c r="R133" s="2"/>
      <c r="S133" s="117"/>
      <c r="T133" s="2"/>
      <c r="U133" s="2"/>
      <c r="V133" s="2"/>
      <c r="W133" s="2"/>
      <c r="X133" s="2"/>
      <c r="Y133" s="2"/>
      <c r="Z133" s="117"/>
      <c r="AA133" s="2"/>
      <c r="AB133" s="2"/>
      <c r="AC133" s="2"/>
      <c r="AD133" s="117"/>
      <c r="AE133" s="2"/>
      <c r="AF133" s="2"/>
      <c r="AG133" s="117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117"/>
      <c r="AU133" s="2"/>
      <c r="AV133" s="2"/>
      <c r="AW133" s="2"/>
      <c r="AX133" s="2"/>
      <c r="AY133" s="2"/>
      <c r="AZ133" s="2"/>
      <c r="BA133" s="2"/>
      <c r="BB133" s="2"/>
      <c r="BC133" s="2"/>
    </row>
    <row r="134" spans="1:55" ht="24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117"/>
      <c r="M134" s="117"/>
      <c r="N134" s="117"/>
      <c r="O134" s="117"/>
      <c r="P134" s="2"/>
      <c r="Q134" s="2"/>
      <c r="R134" s="2"/>
      <c r="S134" s="117"/>
      <c r="T134" s="2"/>
      <c r="U134" s="2"/>
      <c r="V134" s="2"/>
      <c r="W134" s="2"/>
      <c r="X134" s="2"/>
      <c r="Y134" s="2"/>
      <c r="Z134" s="117"/>
      <c r="AA134" s="2"/>
      <c r="AB134" s="2"/>
      <c r="AC134" s="2"/>
      <c r="AD134" s="117"/>
      <c r="AE134" s="2"/>
      <c r="AF134" s="2"/>
      <c r="AG134" s="117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117"/>
      <c r="AU134" s="2"/>
      <c r="AV134" s="2"/>
      <c r="AW134" s="2"/>
      <c r="AX134" s="2"/>
      <c r="AY134" s="2"/>
      <c r="AZ134" s="2"/>
      <c r="BA134" s="2"/>
      <c r="BB134" s="2"/>
      <c r="BC134" s="2"/>
    </row>
    <row r="135" spans="1:55" ht="24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117"/>
      <c r="M135" s="117"/>
      <c r="N135" s="117"/>
      <c r="O135" s="117"/>
      <c r="P135" s="2"/>
      <c r="Q135" s="2"/>
      <c r="R135" s="2"/>
      <c r="S135" s="117"/>
      <c r="T135" s="2"/>
      <c r="U135" s="2"/>
      <c r="V135" s="2"/>
      <c r="W135" s="2"/>
      <c r="X135" s="2"/>
      <c r="Y135" s="2"/>
      <c r="Z135" s="117"/>
      <c r="AA135" s="2"/>
      <c r="AB135" s="2"/>
      <c r="AC135" s="2"/>
      <c r="AD135" s="117"/>
      <c r="AE135" s="2"/>
      <c r="AF135" s="2"/>
      <c r="AG135" s="117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117"/>
      <c r="AU135" s="2"/>
      <c r="AV135" s="2"/>
      <c r="AW135" s="2"/>
      <c r="AX135" s="2"/>
      <c r="AY135" s="2"/>
      <c r="AZ135" s="2"/>
      <c r="BA135" s="2"/>
      <c r="BB135" s="2"/>
      <c r="BC135" s="2"/>
    </row>
    <row r="136" spans="1:55" ht="24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117"/>
      <c r="M136" s="117"/>
      <c r="N136" s="117"/>
      <c r="O136" s="117"/>
      <c r="P136" s="2"/>
      <c r="Q136" s="2"/>
      <c r="R136" s="2"/>
      <c r="S136" s="117"/>
      <c r="T136" s="2"/>
      <c r="U136" s="2"/>
      <c r="V136" s="2"/>
      <c r="W136" s="2"/>
      <c r="X136" s="2"/>
      <c r="Y136" s="2"/>
      <c r="Z136" s="117"/>
      <c r="AA136" s="2"/>
      <c r="AB136" s="2"/>
      <c r="AC136" s="2"/>
      <c r="AD136" s="117"/>
      <c r="AE136" s="2"/>
      <c r="AF136" s="2"/>
      <c r="AG136" s="117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117"/>
      <c r="AU136" s="2"/>
      <c r="AV136" s="2"/>
      <c r="AW136" s="2"/>
      <c r="AX136" s="2"/>
      <c r="AY136" s="2"/>
      <c r="AZ136" s="2"/>
      <c r="BA136" s="2"/>
      <c r="BB136" s="2"/>
      <c r="BC136" s="2"/>
    </row>
    <row r="137" spans="1:55" ht="24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117"/>
      <c r="M137" s="117"/>
      <c r="N137" s="117"/>
      <c r="O137" s="117"/>
      <c r="P137" s="2"/>
      <c r="Q137" s="2"/>
      <c r="R137" s="2"/>
      <c r="S137" s="117"/>
      <c r="T137" s="2"/>
      <c r="U137" s="2"/>
      <c r="V137" s="2"/>
      <c r="W137" s="2"/>
      <c r="X137" s="2"/>
      <c r="Y137" s="2"/>
      <c r="Z137" s="117"/>
      <c r="AA137" s="2"/>
      <c r="AB137" s="2"/>
      <c r="AC137" s="2"/>
      <c r="AD137" s="117"/>
      <c r="AE137" s="2"/>
      <c r="AF137" s="2"/>
      <c r="AG137" s="117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117"/>
      <c r="AU137" s="2"/>
      <c r="AV137" s="2"/>
      <c r="AW137" s="2"/>
      <c r="AX137" s="2"/>
      <c r="AY137" s="2"/>
      <c r="AZ137" s="2"/>
      <c r="BA137" s="2"/>
      <c r="BB137" s="2"/>
      <c r="BC137" s="2"/>
    </row>
    <row r="138" spans="1:55" ht="24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117"/>
      <c r="M138" s="117"/>
      <c r="N138" s="117"/>
      <c r="O138" s="117"/>
      <c r="P138" s="2"/>
      <c r="Q138" s="2"/>
      <c r="R138" s="2"/>
      <c r="S138" s="117"/>
      <c r="T138" s="2"/>
      <c r="U138" s="2"/>
      <c r="V138" s="2"/>
      <c r="W138" s="2"/>
      <c r="X138" s="2"/>
      <c r="Y138" s="2"/>
      <c r="Z138" s="117"/>
      <c r="AA138" s="2"/>
      <c r="AB138" s="2"/>
      <c r="AC138" s="2"/>
      <c r="AD138" s="117"/>
      <c r="AE138" s="2"/>
      <c r="AF138" s="2"/>
      <c r="AG138" s="117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117"/>
      <c r="AU138" s="2"/>
      <c r="AV138" s="2"/>
      <c r="AW138" s="2"/>
      <c r="AX138" s="2"/>
      <c r="AY138" s="2"/>
      <c r="AZ138" s="2"/>
      <c r="BA138" s="2"/>
      <c r="BB138" s="2"/>
      <c r="BC138" s="2"/>
    </row>
    <row r="139" spans="1:55" ht="24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117"/>
      <c r="M139" s="117"/>
      <c r="N139" s="117"/>
      <c r="O139" s="117"/>
      <c r="P139" s="2"/>
      <c r="Q139" s="2"/>
      <c r="R139" s="2"/>
      <c r="S139" s="117"/>
      <c r="T139" s="2"/>
      <c r="U139" s="2"/>
      <c r="V139" s="2"/>
      <c r="W139" s="2"/>
      <c r="X139" s="2"/>
      <c r="Y139" s="2"/>
      <c r="Z139" s="117"/>
      <c r="AA139" s="2"/>
      <c r="AB139" s="2"/>
      <c r="AC139" s="2"/>
      <c r="AD139" s="117"/>
      <c r="AE139" s="2"/>
      <c r="AF139" s="2"/>
      <c r="AG139" s="117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117"/>
      <c r="AU139" s="2"/>
      <c r="AV139" s="2"/>
      <c r="AW139" s="2"/>
      <c r="AX139" s="2"/>
      <c r="AY139" s="2"/>
      <c r="AZ139" s="2"/>
      <c r="BA139" s="2"/>
      <c r="BB139" s="2"/>
      <c r="BC139" s="2"/>
    </row>
    <row r="140" spans="1:55" ht="24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117"/>
      <c r="M140" s="117"/>
      <c r="N140" s="117"/>
      <c r="O140" s="117"/>
      <c r="P140" s="2"/>
      <c r="Q140" s="2"/>
      <c r="R140" s="2"/>
      <c r="S140" s="117"/>
      <c r="T140" s="2"/>
      <c r="U140" s="2"/>
      <c r="V140" s="2"/>
      <c r="W140" s="2"/>
      <c r="X140" s="2"/>
      <c r="Y140" s="2"/>
      <c r="Z140" s="117"/>
      <c r="AA140" s="2"/>
      <c r="AB140" s="2"/>
      <c r="AC140" s="2"/>
      <c r="AD140" s="117"/>
      <c r="AE140" s="2"/>
      <c r="AF140" s="2"/>
      <c r="AG140" s="117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117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 ht="24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117"/>
      <c r="M141" s="117"/>
      <c r="N141" s="117"/>
      <c r="O141" s="117"/>
      <c r="P141" s="2"/>
      <c r="Q141" s="2"/>
      <c r="R141" s="2"/>
      <c r="S141" s="117"/>
      <c r="T141" s="2"/>
      <c r="U141" s="2"/>
      <c r="V141" s="2"/>
      <c r="W141" s="2"/>
      <c r="X141" s="2"/>
      <c r="Y141" s="2"/>
      <c r="Z141" s="117"/>
      <c r="AA141" s="2"/>
      <c r="AB141" s="2"/>
      <c r="AC141" s="2"/>
      <c r="AD141" s="117"/>
      <c r="AE141" s="2"/>
      <c r="AF141" s="2"/>
      <c r="AG141" s="117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117"/>
      <c r="AU141" s="2"/>
      <c r="AV141" s="2"/>
      <c r="AW141" s="2"/>
      <c r="AX141" s="2"/>
      <c r="AY141" s="2"/>
      <c r="AZ141" s="2"/>
      <c r="BA141" s="2"/>
      <c r="BB141" s="2"/>
      <c r="BC141" s="2"/>
    </row>
    <row r="142" spans="1:55" ht="24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117"/>
      <c r="M142" s="117"/>
      <c r="N142" s="117"/>
      <c r="O142" s="117"/>
      <c r="P142" s="2"/>
      <c r="Q142" s="2"/>
      <c r="R142" s="2"/>
      <c r="S142" s="117"/>
      <c r="T142" s="2"/>
      <c r="U142" s="2"/>
      <c r="V142" s="2"/>
      <c r="W142" s="2"/>
      <c r="X142" s="2"/>
      <c r="Y142" s="2"/>
      <c r="Z142" s="117"/>
      <c r="AA142" s="2"/>
      <c r="AB142" s="2"/>
      <c r="AC142" s="2"/>
      <c r="AD142" s="117"/>
      <c r="AE142" s="2"/>
      <c r="AF142" s="2"/>
      <c r="AG142" s="117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117"/>
      <c r="AU142" s="2"/>
      <c r="AV142" s="2"/>
      <c r="AW142" s="2"/>
      <c r="AX142" s="2"/>
      <c r="AY142" s="2"/>
      <c r="AZ142" s="2"/>
      <c r="BA142" s="2"/>
      <c r="BB142" s="2"/>
      <c r="BC142" s="2"/>
    </row>
    <row r="143" spans="1:55" ht="24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117"/>
      <c r="M143" s="117"/>
      <c r="N143" s="117"/>
      <c r="O143" s="117"/>
      <c r="P143" s="2"/>
      <c r="Q143" s="2"/>
      <c r="R143" s="2"/>
      <c r="S143" s="117"/>
      <c r="T143" s="2"/>
      <c r="U143" s="2"/>
      <c r="V143" s="2"/>
      <c r="W143" s="2"/>
      <c r="X143" s="2"/>
      <c r="Y143" s="2"/>
      <c r="Z143" s="117"/>
      <c r="AA143" s="2"/>
      <c r="AB143" s="2"/>
      <c r="AC143" s="2"/>
      <c r="AD143" s="117"/>
      <c r="AE143" s="2"/>
      <c r="AF143" s="2"/>
      <c r="AG143" s="117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117"/>
      <c r="AU143" s="2"/>
      <c r="AV143" s="2"/>
      <c r="AW143" s="2"/>
      <c r="AX143" s="2"/>
      <c r="AY143" s="2"/>
      <c r="AZ143" s="2"/>
      <c r="BA143" s="2"/>
      <c r="BB143" s="2"/>
      <c r="BC143" s="2"/>
    </row>
    <row r="144" spans="1:55" ht="24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117"/>
      <c r="M144" s="117"/>
      <c r="N144" s="117"/>
      <c r="O144" s="117"/>
      <c r="P144" s="2"/>
      <c r="Q144" s="2"/>
      <c r="R144" s="2"/>
      <c r="S144" s="117"/>
      <c r="T144" s="2"/>
      <c r="U144" s="2"/>
      <c r="V144" s="2"/>
      <c r="W144" s="2"/>
      <c r="X144" s="2"/>
      <c r="Y144" s="2"/>
      <c r="Z144" s="117"/>
      <c r="AA144" s="2"/>
      <c r="AB144" s="2"/>
      <c r="AC144" s="2"/>
      <c r="AD144" s="117"/>
      <c r="AE144" s="2"/>
      <c r="AF144" s="2"/>
      <c r="AG144" s="117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117"/>
      <c r="AU144" s="2"/>
      <c r="AV144" s="2"/>
      <c r="AW144" s="2"/>
      <c r="AX144" s="2"/>
      <c r="AY144" s="2"/>
      <c r="AZ144" s="2"/>
      <c r="BA144" s="2"/>
      <c r="BB144" s="2"/>
      <c r="BC144" s="2"/>
    </row>
    <row r="145" spans="1:55" ht="24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117"/>
      <c r="M145" s="117"/>
      <c r="N145" s="117"/>
      <c r="O145" s="117"/>
      <c r="P145" s="2"/>
      <c r="Q145" s="2"/>
      <c r="R145" s="2"/>
      <c r="S145" s="117"/>
      <c r="T145" s="2"/>
      <c r="U145" s="2"/>
      <c r="V145" s="2"/>
      <c r="W145" s="2"/>
      <c r="X145" s="2"/>
      <c r="Y145" s="2"/>
      <c r="Z145" s="117"/>
      <c r="AA145" s="2"/>
      <c r="AB145" s="2"/>
      <c r="AC145" s="2"/>
      <c r="AD145" s="117"/>
      <c r="AE145" s="2"/>
      <c r="AF145" s="2"/>
      <c r="AG145" s="117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117"/>
      <c r="AU145" s="2"/>
      <c r="AV145" s="2"/>
      <c r="AW145" s="2"/>
      <c r="AX145" s="2"/>
      <c r="AY145" s="2"/>
      <c r="AZ145" s="2"/>
      <c r="BA145" s="2"/>
      <c r="BB145" s="2"/>
      <c r="BC145" s="2"/>
    </row>
    <row r="146" spans="1:55" ht="24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117"/>
      <c r="M146" s="117"/>
      <c r="N146" s="117"/>
      <c r="O146" s="117"/>
      <c r="P146" s="2"/>
      <c r="Q146" s="2"/>
      <c r="R146" s="2"/>
      <c r="S146" s="117"/>
      <c r="T146" s="2"/>
      <c r="U146" s="2"/>
      <c r="V146" s="2"/>
      <c r="W146" s="2"/>
      <c r="X146" s="2"/>
      <c r="Y146" s="2"/>
      <c r="Z146" s="117"/>
      <c r="AA146" s="2"/>
      <c r="AB146" s="2"/>
      <c r="AC146" s="2"/>
      <c r="AD146" s="117"/>
      <c r="AE146" s="2"/>
      <c r="AF146" s="2"/>
      <c r="AG146" s="117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117"/>
      <c r="AU146" s="2"/>
      <c r="AV146" s="2"/>
      <c r="AW146" s="2"/>
      <c r="AX146" s="2"/>
      <c r="AY146" s="2"/>
      <c r="AZ146" s="2"/>
      <c r="BA146" s="2"/>
      <c r="BB146" s="2"/>
      <c r="BC146" s="2"/>
    </row>
    <row r="147" spans="1:55" ht="24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117"/>
      <c r="M147" s="117"/>
      <c r="N147" s="117"/>
      <c r="O147" s="117"/>
      <c r="P147" s="2"/>
      <c r="Q147" s="2"/>
      <c r="R147" s="2"/>
      <c r="S147" s="117"/>
      <c r="T147" s="2"/>
      <c r="U147" s="2"/>
      <c r="V147" s="2"/>
      <c r="W147" s="2"/>
      <c r="X147" s="2"/>
      <c r="Y147" s="2"/>
      <c r="Z147" s="117"/>
      <c r="AA147" s="2"/>
      <c r="AB147" s="2"/>
      <c r="AC147" s="2"/>
      <c r="AD147" s="117"/>
      <c r="AE147" s="2"/>
      <c r="AF147" s="2"/>
      <c r="AG147" s="117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117"/>
      <c r="AU147" s="2"/>
      <c r="AV147" s="2"/>
      <c r="AW147" s="2"/>
      <c r="AX147" s="2"/>
      <c r="AY147" s="2"/>
      <c r="AZ147" s="2"/>
      <c r="BA147" s="2"/>
      <c r="BB147" s="2"/>
      <c r="BC147" s="2"/>
    </row>
    <row r="148" spans="1:55" ht="24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117"/>
      <c r="M148" s="117"/>
      <c r="N148" s="117"/>
      <c r="O148" s="117"/>
      <c r="P148" s="2"/>
      <c r="Q148" s="2"/>
      <c r="R148" s="2"/>
      <c r="S148" s="117"/>
      <c r="T148" s="2"/>
      <c r="U148" s="2"/>
      <c r="V148" s="2"/>
      <c r="W148" s="2"/>
      <c r="X148" s="2"/>
      <c r="Y148" s="2"/>
      <c r="Z148" s="117"/>
      <c r="AA148" s="2"/>
      <c r="AB148" s="2"/>
      <c r="AC148" s="2"/>
      <c r="AD148" s="117"/>
      <c r="AE148" s="2"/>
      <c r="AF148" s="2"/>
      <c r="AG148" s="117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117"/>
      <c r="AU148" s="2"/>
      <c r="AV148" s="2"/>
      <c r="AW148" s="2"/>
      <c r="AX148" s="2"/>
      <c r="AY148" s="2"/>
      <c r="AZ148" s="2"/>
      <c r="BA148" s="2"/>
      <c r="BB148" s="2"/>
      <c r="BC148" s="2"/>
    </row>
    <row r="149" spans="1:55" ht="24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117"/>
      <c r="M149" s="117"/>
      <c r="N149" s="117"/>
      <c r="O149" s="117"/>
      <c r="P149" s="2"/>
      <c r="Q149" s="2"/>
      <c r="R149" s="2"/>
      <c r="S149" s="117"/>
      <c r="T149" s="2"/>
      <c r="U149" s="2"/>
      <c r="V149" s="2"/>
      <c r="W149" s="2"/>
      <c r="X149" s="2"/>
      <c r="Y149" s="2"/>
      <c r="Z149" s="117"/>
      <c r="AA149" s="2"/>
      <c r="AB149" s="2"/>
      <c r="AC149" s="2"/>
      <c r="AD149" s="117"/>
      <c r="AE149" s="2"/>
      <c r="AF149" s="2"/>
      <c r="AG149" s="117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117"/>
      <c r="AU149" s="2"/>
      <c r="AV149" s="2"/>
      <c r="AW149" s="2"/>
      <c r="AX149" s="2"/>
      <c r="AY149" s="2"/>
      <c r="AZ149" s="2"/>
      <c r="BA149" s="2"/>
      <c r="BB149" s="2"/>
      <c r="BC149" s="2"/>
    </row>
    <row r="150" spans="1:55" ht="24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117"/>
      <c r="M150" s="117"/>
      <c r="N150" s="117"/>
      <c r="O150" s="117"/>
      <c r="P150" s="2"/>
      <c r="Q150" s="2"/>
      <c r="R150" s="2"/>
      <c r="S150" s="117"/>
      <c r="T150" s="2"/>
      <c r="U150" s="2"/>
      <c r="V150" s="2"/>
      <c r="W150" s="2"/>
      <c r="X150" s="2"/>
      <c r="Y150" s="2"/>
      <c r="Z150" s="117"/>
      <c r="AA150" s="2"/>
      <c r="AB150" s="2"/>
      <c r="AC150" s="2"/>
      <c r="AD150" s="117"/>
      <c r="AE150" s="2"/>
      <c r="AF150" s="2"/>
      <c r="AG150" s="117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117"/>
      <c r="AU150" s="2"/>
      <c r="AV150" s="2"/>
      <c r="AW150" s="2"/>
      <c r="AX150" s="2"/>
      <c r="AY150" s="2"/>
      <c r="AZ150" s="2"/>
      <c r="BA150" s="2"/>
      <c r="BB150" s="2"/>
      <c r="BC150" s="2"/>
    </row>
    <row r="151" spans="1:55" ht="24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117"/>
      <c r="M151" s="117"/>
      <c r="N151" s="117"/>
      <c r="O151" s="117"/>
      <c r="P151" s="2"/>
      <c r="Q151" s="2"/>
      <c r="R151" s="2"/>
      <c r="S151" s="117"/>
      <c r="T151" s="2"/>
      <c r="U151" s="2"/>
      <c r="V151" s="2"/>
      <c r="W151" s="2"/>
      <c r="X151" s="2"/>
      <c r="Y151" s="2"/>
      <c r="Z151" s="117"/>
      <c r="AA151" s="2"/>
      <c r="AB151" s="2"/>
      <c r="AC151" s="2"/>
      <c r="AD151" s="117"/>
      <c r="AE151" s="2"/>
      <c r="AF151" s="2"/>
      <c r="AG151" s="117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117"/>
      <c r="AU151" s="2"/>
      <c r="AV151" s="2"/>
      <c r="AW151" s="2"/>
      <c r="AX151" s="2"/>
      <c r="AY151" s="2"/>
      <c r="AZ151" s="2"/>
      <c r="BA151" s="2"/>
      <c r="BB151" s="2"/>
      <c r="BC151" s="2"/>
    </row>
    <row r="152" spans="1:55" ht="24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117"/>
      <c r="M152" s="117"/>
      <c r="N152" s="117"/>
      <c r="O152" s="117"/>
      <c r="P152" s="2"/>
      <c r="Q152" s="2"/>
      <c r="R152" s="2"/>
      <c r="S152" s="117"/>
      <c r="T152" s="2"/>
      <c r="U152" s="2"/>
      <c r="V152" s="2"/>
      <c r="W152" s="2"/>
      <c r="X152" s="2"/>
      <c r="Y152" s="2"/>
      <c r="Z152" s="117"/>
      <c r="AA152" s="2"/>
      <c r="AB152" s="2"/>
      <c r="AC152" s="2"/>
      <c r="AD152" s="117"/>
      <c r="AE152" s="2"/>
      <c r="AF152" s="2"/>
      <c r="AG152" s="117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117"/>
      <c r="AU152" s="2"/>
      <c r="AV152" s="2"/>
      <c r="AW152" s="2"/>
      <c r="AX152" s="2"/>
      <c r="AY152" s="2"/>
      <c r="AZ152" s="2"/>
      <c r="BA152" s="2"/>
      <c r="BB152" s="2"/>
      <c r="BC152" s="2"/>
    </row>
    <row r="153" spans="1:55" ht="24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117"/>
      <c r="M153" s="117"/>
      <c r="N153" s="117"/>
      <c r="O153" s="117"/>
      <c r="P153" s="2"/>
      <c r="Q153" s="2"/>
      <c r="R153" s="2"/>
      <c r="S153" s="117"/>
      <c r="T153" s="2"/>
      <c r="U153" s="2"/>
      <c r="V153" s="2"/>
      <c r="W153" s="2"/>
      <c r="X153" s="2"/>
      <c r="Y153" s="2"/>
      <c r="Z153" s="117"/>
      <c r="AA153" s="2"/>
      <c r="AB153" s="2"/>
      <c r="AC153" s="2"/>
      <c r="AD153" s="117"/>
      <c r="AE153" s="2"/>
      <c r="AF153" s="2"/>
      <c r="AG153" s="117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117"/>
      <c r="AU153" s="2"/>
      <c r="AV153" s="2"/>
      <c r="AW153" s="2"/>
      <c r="AX153" s="2"/>
      <c r="AY153" s="2"/>
      <c r="AZ153" s="2"/>
      <c r="BA153" s="2"/>
      <c r="BB153" s="2"/>
      <c r="BC153" s="2"/>
    </row>
    <row r="154" spans="1:55" ht="24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117"/>
      <c r="M154" s="117"/>
      <c r="N154" s="117"/>
      <c r="O154" s="117"/>
      <c r="P154" s="2"/>
      <c r="Q154" s="2"/>
      <c r="R154" s="2"/>
      <c r="S154" s="117"/>
      <c r="T154" s="2"/>
      <c r="U154" s="2"/>
      <c r="V154" s="2"/>
      <c r="W154" s="2"/>
      <c r="X154" s="2"/>
      <c r="Y154" s="2"/>
      <c r="Z154" s="117"/>
      <c r="AA154" s="2"/>
      <c r="AB154" s="2"/>
      <c r="AC154" s="2"/>
      <c r="AD154" s="117"/>
      <c r="AE154" s="2"/>
      <c r="AF154" s="2"/>
      <c r="AG154" s="117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117"/>
      <c r="AU154" s="2"/>
      <c r="AV154" s="2"/>
      <c r="AW154" s="2"/>
      <c r="AX154" s="2"/>
      <c r="AY154" s="2"/>
      <c r="AZ154" s="2"/>
      <c r="BA154" s="2"/>
      <c r="BB154" s="2"/>
      <c r="BC154" s="2"/>
    </row>
    <row r="155" spans="1:55" ht="24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117"/>
      <c r="M155" s="117"/>
      <c r="N155" s="117"/>
      <c r="O155" s="117"/>
      <c r="P155" s="2"/>
      <c r="Q155" s="2"/>
      <c r="R155" s="2"/>
      <c r="S155" s="117"/>
      <c r="T155" s="2"/>
      <c r="U155" s="2"/>
      <c r="V155" s="2"/>
      <c r="W155" s="2"/>
      <c r="X155" s="2"/>
      <c r="Y155" s="2"/>
      <c r="Z155" s="117"/>
      <c r="AA155" s="2"/>
      <c r="AB155" s="2"/>
      <c r="AC155" s="2"/>
      <c r="AD155" s="117"/>
      <c r="AE155" s="2"/>
      <c r="AF155" s="2"/>
      <c r="AG155" s="117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117"/>
      <c r="AU155" s="2"/>
      <c r="AV155" s="2"/>
      <c r="AW155" s="2"/>
      <c r="AX155" s="2"/>
      <c r="AY155" s="2"/>
      <c r="AZ155" s="2"/>
      <c r="BA155" s="2"/>
      <c r="BB155" s="2"/>
      <c r="BC155" s="2"/>
    </row>
    <row r="156" spans="1:55" ht="24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117"/>
      <c r="M156" s="117"/>
      <c r="N156" s="117"/>
      <c r="O156" s="117"/>
      <c r="P156" s="2"/>
      <c r="Q156" s="2"/>
      <c r="R156" s="2"/>
      <c r="S156" s="117"/>
      <c r="T156" s="2"/>
      <c r="U156" s="2"/>
      <c r="V156" s="2"/>
      <c r="W156" s="2"/>
      <c r="X156" s="2"/>
      <c r="Y156" s="2"/>
      <c r="Z156" s="117"/>
      <c r="AA156" s="2"/>
      <c r="AB156" s="2"/>
      <c r="AC156" s="2"/>
      <c r="AD156" s="117"/>
      <c r="AE156" s="2"/>
      <c r="AF156" s="2"/>
      <c r="AG156" s="117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117"/>
      <c r="AU156" s="2"/>
      <c r="AV156" s="2"/>
      <c r="AW156" s="2"/>
      <c r="AX156" s="2"/>
      <c r="AY156" s="2"/>
      <c r="AZ156" s="2"/>
      <c r="BA156" s="2"/>
      <c r="BB156" s="2"/>
      <c r="BC156" s="2"/>
    </row>
    <row r="157" spans="1:55" ht="24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117"/>
      <c r="M157" s="117"/>
      <c r="N157" s="117"/>
      <c r="O157" s="117"/>
      <c r="P157" s="2"/>
      <c r="Q157" s="2"/>
      <c r="R157" s="2"/>
      <c r="S157" s="117"/>
      <c r="T157" s="2"/>
      <c r="U157" s="2"/>
      <c r="V157" s="2"/>
      <c r="W157" s="2"/>
      <c r="X157" s="2"/>
      <c r="Y157" s="2"/>
      <c r="Z157" s="117"/>
      <c r="AA157" s="2"/>
      <c r="AB157" s="2"/>
      <c r="AC157" s="2"/>
      <c r="AD157" s="117"/>
      <c r="AE157" s="2"/>
      <c r="AF157" s="2"/>
      <c r="AG157" s="117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117"/>
      <c r="AU157" s="2"/>
      <c r="AV157" s="2"/>
      <c r="AW157" s="2"/>
      <c r="AX157" s="2"/>
      <c r="AY157" s="2"/>
      <c r="AZ157" s="2"/>
      <c r="BA157" s="2"/>
      <c r="BB157" s="2"/>
      <c r="BC157" s="2"/>
    </row>
    <row r="158" spans="1:55" ht="24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117"/>
      <c r="M158" s="117"/>
      <c r="N158" s="117"/>
      <c r="O158" s="117"/>
      <c r="P158" s="2"/>
      <c r="Q158" s="2"/>
      <c r="R158" s="2"/>
      <c r="S158" s="117"/>
      <c r="T158" s="2"/>
      <c r="U158" s="2"/>
      <c r="V158" s="2"/>
      <c r="W158" s="2"/>
      <c r="X158" s="2"/>
      <c r="Y158" s="2"/>
      <c r="Z158" s="117"/>
      <c r="AA158" s="2"/>
      <c r="AB158" s="2"/>
      <c r="AC158" s="2"/>
      <c r="AD158" s="117"/>
      <c r="AE158" s="2"/>
      <c r="AF158" s="2"/>
      <c r="AG158" s="117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117"/>
      <c r="AU158" s="2"/>
      <c r="AV158" s="2"/>
      <c r="AW158" s="2"/>
      <c r="AX158" s="2"/>
      <c r="AY158" s="2"/>
      <c r="AZ158" s="2"/>
      <c r="BA158" s="2"/>
      <c r="BB158" s="2"/>
      <c r="BC158" s="2"/>
    </row>
    <row r="159" spans="1:55" ht="24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117"/>
      <c r="M159" s="117"/>
      <c r="N159" s="117"/>
      <c r="O159" s="117"/>
      <c r="P159" s="2"/>
      <c r="Q159" s="2"/>
      <c r="R159" s="2"/>
      <c r="S159" s="117"/>
      <c r="T159" s="2"/>
      <c r="U159" s="2"/>
      <c r="V159" s="2"/>
      <c r="W159" s="2"/>
      <c r="X159" s="2"/>
      <c r="Y159" s="2"/>
      <c r="Z159" s="117"/>
      <c r="AA159" s="2"/>
      <c r="AB159" s="2"/>
      <c r="AC159" s="2"/>
      <c r="AD159" s="117"/>
      <c r="AE159" s="2"/>
      <c r="AF159" s="2"/>
      <c r="AG159" s="117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117"/>
      <c r="AU159" s="2"/>
      <c r="AV159" s="2"/>
      <c r="AW159" s="2"/>
      <c r="AX159" s="2"/>
      <c r="AY159" s="2"/>
      <c r="AZ159" s="2"/>
      <c r="BA159" s="2"/>
      <c r="BB159" s="2"/>
      <c r="BC159" s="2"/>
    </row>
    <row r="160" spans="1:55" ht="24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117"/>
      <c r="M160" s="117"/>
      <c r="N160" s="117"/>
      <c r="O160" s="117"/>
      <c r="P160" s="2"/>
      <c r="Q160" s="2"/>
      <c r="R160" s="2"/>
      <c r="S160" s="117"/>
      <c r="T160" s="2"/>
      <c r="U160" s="2"/>
      <c r="V160" s="2"/>
      <c r="W160" s="2"/>
      <c r="X160" s="2"/>
      <c r="Y160" s="2"/>
      <c r="Z160" s="117"/>
      <c r="AA160" s="2"/>
      <c r="AB160" s="2"/>
      <c r="AC160" s="2"/>
      <c r="AD160" s="117"/>
      <c r="AE160" s="2"/>
      <c r="AF160" s="2"/>
      <c r="AG160" s="117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117"/>
      <c r="AU160" s="2"/>
      <c r="AV160" s="2"/>
      <c r="AW160" s="2"/>
      <c r="AX160" s="2"/>
      <c r="AY160" s="2"/>
      <c r="AZ160" s="2"/>
      <c r="BA160" s="2"/>
      <c r="BB160" s="2"/>
      <c r="BC160" s="2"/>
    </row>
    <row r="161" spans="1:55" ht="24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117"/>
      <c r="M161" s="117"/>
      <c r="N161" s="117"/>
      <c r="O161" s="117"/>
      <c r="P161" s="2"/>
      <c r="Q161" s="2"/>
      <c r="R161" s="2"/>
      <c r="S161" s="117"/>
      <c r="T161" s="2"/>
      <c r="U161" s="2"/>
      <c r="V161" s="2"/>
      <c r="W161" s="2"/>
      <c r="X161" s="2"/>
      <c r="Y161" s="2"/>
      <c r="Z161" s="117"/>
      <c r="AA161" s="2"/>
      <c r="AB161" s="2"/>
      <c r="AC161" s="2"/>
      <c r="AD161" s="117"/>
      <c r="AE161" s="2"/>
      <c r="AF161" s="2"/>
      <c r="AG161" s="117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117"/>
      <c r="AU161" s="2"/>
      <c r="AV161" s="2"/>
      <c r="AW161" s="2"/>
      <c r="AX161" s="2"/>
      <c r="AY161" s="2"/>
      <c r="AZ161" s="2"/>
      <c r="BA161" s="2"/>
      <c r="BB161" s="2"/>
      <c r="BC161" s="2"/>
    </row>
    <row r="162" spans="1:55" ht="24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117"/>
      <c r="M162" s="117"/>
      <c r="N162" s="117"/>
      <c r="O162" s="117"/>
      <c r="P162" s="2"/>
      <c r="Q162" s="2"/>
      <c r="R162" s="2"/>
      <c r="S162" s="117"/>
      <c r="T162" s="2"/>
      <c r="U162" s="2"/>
      <c r="V162" s="2"/>
      <c r="W162" s="2"/>
      <c r="X162" s="2"/>
      <c r="Y162" s="2"/>
      <c r="Z162" s="117"/>
      <c r="AA162" s="2"/>
      <c r="AB162" s="2"/>
      <c r="AC162" s="2"/>
      <c r="AD162" s="117"/>
      <c r="AE162" s="2"/>
      <c r="AF162" s="2"/>
      <c r="AG162" s="117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117"/>
      <c r="AU162" s="2"/>
      <c r="AV162" s="2"/>
      <c r="AW162" s="2"/>
      <c r="AX162" s="2"/>
      <c r="AY162" s="2"/>
      <c r="AZ162" s="2"/>
      <c r="BA162" s="2"/>
      <c r="BB162" s="2"/>
      <c r="BC162" s="2"/>
    </row>
    <row r="163" spans="1:55" ht="24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117"/>
      <c r="M163" s="117"/>
      <c r="N163" s="117"/>
      <c r="O163" s="117"/>
      <c r="P163" s="2"/>
      <c r="Q163" s="2"/>
      <c r="R163" s="2"/>
      <c r="S163" s="117"/>
      <c r="T163" s="2"/>
      <c r="U163" s="2"/>
      <c r="V163" s="2"/>
      <c r="W163" s="2"/>
      <c r="X163" s="2"/>
      <c r="Y163" s="2"/>
      <c r="Z163" s="117"/>
      <c r="AA163" s="2"/>
      <c r="AB163" s="2"/>
      <c r="AC163" s="2"/>
      <c r="AD163" s="117"/>
      <c r="AE163" s="2"/>
      <c r="AF163" s="2"/>
      <c r="AG163" s="117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117"/>
      <c r="AU163" s="2"/>
      <c r="AV163" s="2"/>
      <c r="AW163" s="2"/>
      <c r="AX163" s="2"/>
      <c r="AY163" s="2"/>
      <c r="AZ163" s="2"/>
      <c r="BA163" s="2"/>
      <c r="BB163" s="2"/>
      <c r="BC163" s="2"/>
    </row>
    <row r="164" spans="1:55" ht="24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117"/>
      <c r="M164" s="117"/>
      <c r="N164" s="117"/>
      <c r="O164" s="117"/>
      <c r="P164" s="2"/>
      <c r="Q164" s="2"/>
      <c r="R164" s="2"/>
      <c r="S164" s="117"/>
      <c r="T164" s="2"/>
      <c r="U164" s="2"/>
      <c r="V164" s="2"/>
      <c r="W164" s="2"/>
      <c r="X164" s="2"/>
      <c r="Y164" s="2"/>
      <c r="Z164" s="117"/>
      <c r="AA164" s="2"/>
      <c r="AB164" s="2"/>
      <c r="AC164" s="2"/>
      <c r="AD164" s="117"/>
      <c r="AE164" s="2"/>
      <c r="AF164" s="2"/>
      <c r="AG164" s="117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117"/>
      <c r="AU164" s="2"/>
      <c r="AV164" s="2"/>
      <c r="AW164" s="2"/>
      <c r="AX164" s="2"/>
      <c r="AY164" s="2"/>
      <c r="AZ164" s="2"/>
      <c r="BA164" s="2"/>
      <c r="BB164" s="2"/>
      <c r="BC164" s="2"/>
    </row>
    <row r="165" spans="1:55" ht="24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117"/>
      <c r="M165" s="117"/>
      <c r="N165" s="117"/>
      <c r="O165" s="117"/>
      <c r="P165" s="2"/>
      <c r="Q165" s="2"/>
      <c r="R165" s="2"/>
      <c r="S165" s="117"/>
      <c r="T165" s="2"/>
      <c r="U165" s="2"/>
      <c r="V165" s="2"/>
      <c r="W165" s="2"/>
      <c r="X165" s="2"/>
      <c r="Y165" s="2"/>
      <c r="Z165" s="117"/>
      <c r="AA165" s="2"/>
      <c r="AB165" s="2"/>
      <c r="AC165" s="2"/>
      <c r="AD165" s="117"/>
      <c r="AE165" s="2"/>
      <c r="AF165" s="2"/>
      <c r="AG165" s="117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117"/>
      <c r="AU165" s="2"/>
      <c r="AV165" s="2"/>
      <c r="AW165" s="2"/>
      <c r="AX165" s="2"/>
      <c r="AY165" s="2"/>
      <c r="AZ165" s="2"/>
      <c r="BA165" s="2"/>
      <c r="BB165" s="2"/>
      <c r="BC165" s="2"/>
    </row>
    <row r="166" spans="1:55" ht="24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117"/>
      <c r="M166" s="117"/>
      <c r="N166" s="117"/>
      <c r="O166" s="117"/>
      <c r="P166" s="2"/>
      <c r="Q166" s="2"/>
      <c r="R166" s="2"/>
      <c r="S166" s="117"/>
      <c r="T166" s="2"/>
      <c r="U166" s="2"/>
      <c r="V166" s="2"/>
      <c r="W166" s="2"/>
      <c r="X166" s="2"/>
      <c r="Y166" s="2"/>
      <c r="Z166" s="117"/>
      <c r="AA166" s="2"/>
      <c r="AB166" s="2"/>
      <c r="AC166" s="2"/>
      <c r="AD166" s="117"/>
      <c r="AE166" s="2"/>
      <c r="AF166" s="2"/>
      <c r="AG166" s="117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117"/>
      <c r="AU166" s="2"/>
      <c r="AV166" s="2"/>
      <c r="AW166" s="2"/>
      <c r="AX166" s="2"/>
      <c r="AY166" s="2"/>
      <c r="AZ166" s="2"/>
      <c r="BA166" s="2"/>
      <c r="BB166" s="2"/>
      <c r="BC166" s="2"/>
    </row>
    <row r="167" spans="1:55" ht="24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117"/>
      <c r="M167" s="117"/>
      <c r="N167" s="117"/>
      <c r="O167" s="117"/>
      <c r="P167" s="2"/>
      <c r="Q167" s="2"/>
      <c r="R167" s="2"/>
      <c r="S167" s="117"/>
      <c r="T167" s="2"/>
      <c r="U167" s="2"/>
      <c r="V167" s="2"/>
      <c r="W167" s="2"/>
      <c r="X167" s="2"/>
      <c r="Y167" s="2"/>
      <c r="Z167" s="117"/>
      <c r="AA167" s="2"/>
      <c r="AB167" s="2"/>
      <c r="AC167" s="2"/>
      <c r="AD167" s="117"/>
      <c r="AE167" s="2"/>
      <c r="AF167" s="2"/>
      <c r="AG167" s="117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117"/>
      <c r="AU167" s="2"/>
      <c r="AV167" s="2"/>
      <c r="AW167" s="2"/>
      <c r="AX167" s="2"/>
      <c r="AY167" s="2"/>
      <c r="AZ167" s="2"/>
      <c r="BA167" s="2"/>
      <c r="BB167" s="2"/>
      <c r="BC167" s="2"/>
    </row>
    <row r="168" spans="1:55" ht="24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117"/>
      <c r="M168" s="117"/>
      <c r="N168" s="117"/>
      <c r="O168" s="117"/>
      <c r="P168" s="2"/>
      <c r="Q168" s="2"/>
      <c r="R168" s="2"/>
      <c r="S168" s="117"/>
      <c r="T168" s="2"/>
      <c r="U168" s="2"/>
      <c r="V168" s="2"/>
      <c r="W168" s="2"/>
      <c r="X168" s="2"/>
      <c r="Y168" s="2"/>
      <c r="Z168" s="117"/>
      <c r="AA168" s="2"/>
      <c r="AB168" s="2"/>
      <c r="AC168" s="2"/>
      <c r="AD168" s="117"/>
      <c r="AE168" s="2"/>
      <c r="AF168" s="2"/>
      <c r="AG168" s="117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117"/>
      <c r="AU168" s="2"/>
      <c r="AV168" s="2"/>
      <c r="AW168" s="2"/>
      <c r="AX168" s="2"/>
      <c r="AY168" s="2"/>
      <c r="AZ168" s="2"/>
      <c r="BA168" s="2"/>
      <c r="BB168" s="2"/>
      <c r="BC168" s="2"/>
    </row>
    <row r="169" spans="1:55" ht="24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117"/>
      <c r="M169" s="117"/>
      <c r="N169" s="117"/>
      <c r="O169" s="117"/>
      <c r="P169" s="2"/>
      <c r="Q169" s="2"/>
      <c r="R169" s="2"/>
      <c r="S169" s="117"/>
      <c r="T169" s="2"/>
      <c r="U169" s="2"/>
      <c r="V169" s="2"/>
      <c r="W169" s="2"/>
      <c r="X169" s="2"/>
      <c r="Y169" s="2"/>
      <c r="Z169" s="117"/>
      <c r="AA169" s="2"/>
      <c r="AB169" s="2"/>
      <c r="AC169" s="2"/>
      <c r="AD169" s="117"/>
      <c r="AE169" s="2"/>
      <c r="AF169" s="2"/>
      <c r="AG169" s="117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117"/>
      <c r="AU169" s="2"/>
      <c r="AV169" s="2"/>
      <c r="AW169" s="2"/>
      <c r="AX169" s="2"/>
      <c r="AY169" s="2"/>
      <c r="AZ169" s="2"/>
      <c r="BA169" s="2"/>
      <c r="BB169" s="2"/>
      <c r="BC169" s="2"/>
    </row>
    <row r="170" spans="1:55" ht="24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117"/>
      <c r="M170" s="117"/>
      <c r="N170" s="117"/>
      <c r="O170" s="117"/>
      <c r="P170" s="2"/>
      <c r="Q170" s="2"/>
      <c r="R170" s="2"/>
      <c r="S170" s="117"/>
      <c r="T170" s="2"/>
      <c r="U170" s="2"/>
      <c r="V170" s="2"/>
      <c r="W170" s="2"/>
      <c r="X170" s="2"/>
      <c r="Y170" s="2"/>
      <c r="Z170" s="117"/>
      <c r="AA170" s="2"/>
      <c r="AB170" s="2"/>
      <c r="AC170" s="2"/>
      <c r="AD170" s="117"/>
      <c r="AE170" s="2"/>
      <c r="AF170" s="2"/>
      <c r="AG170" s="117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117"/>
      <c r="AU170" s="2"/>
      <c r="AV170" s="2"/>
      <c r="AW170" s="2"/>
      <c r="AX170" s="2"/>
      <c r="AY170" s="2"/>
      <c r="AZ170" s="2"/>
      <c r="BA170" s="2"/>
      <c r="BB170" s="2"/>
      <c r="BC170" s="2"/>
    </row>
    <row r="171" spans="1:55" ht="24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117"/>
      <c r="M171" s="117"/>
      <c r="N171" s="117"/>
      <c r="O171" s="117"/>
      <c r="P171" s="2"/>
      <c r="Q171" s="2"/>
      <c r="R171" s="2"/>
      <c r="S171" s="117"/>
      <c r="T171" s="2"/>
      <c r="U171" s="2"/>
      <c r="V171" s="2"/>
      <c r="W171" s="2"/>
      <c r="X171" s="2"/>
      <c r="Y171" s="2"/>
      <c r="Z171" s="117"/>
      <c r="AA171" s="2"/>
      <c r="AB171" s="2"/>
      <c r="AC171" s="2"/>
      <c r="AD171" s="117"/>
      <c r="AE171" s="2"/>
      <c r="AF171" s="2"/>
      <c r="AG171" s="117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117"/>
      <c r="AU171" s="2"/>
      <c r="AV171" s="2"/>
      <c r="AW171" s="2"/>
      <c r="AX171" s="2"/>
      <c r="AY171" s="2"/>
      <c r="AZ171" s="2"/>
      <c r="BA171" s="2"/>
      <c r="BB171" s="2"/>
      <c r="BC171" s="2"/>
    </row>
    <row r="172" spans="1:55" ht="24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117"/>
      <c r="M172" s="117"/>
      <c r="N172" s="117"/>
      <c r="O172" s="117"/>
      <c r="P172" s="2"/>
      <c r="Q172" s="2"/>
      <c r="R172" s="2"/>
      <c r="S172" s="117"/>
      <c r="T172" s="2"/>
      <c r="U172" s="2"/>
      <c r="V172" s="2"/>
      <c r="W172" s="2"/>
      <c r="X172" s="2"/>
      <c r="Y172" s="2"/>
      <c r="Z172" s="117"/>
      <c r="AA172" s="2"/>
      <c r="AB172" s="2"/>
      <c r="AC172" s="2"/>
      <c r="AD172" s="117"/>
      <c r="AE172" s="2"/>
      <c r="AF172" s="2"/>
      <c r="AG172" s="117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117"/>
      <c r="AU172" s="2"/>
      <c r="AV172" s="2"/>
      <c r="AW172" s="2"/>
      <c r="AX172" s="2"/>
      <c r="AY172" s="2"/>
      <c r="AZ172" s="2"/>
      <c r="BA172" s="2"/>
      <c r="BB172" s="2"/>
      <c r="BC172" s="2"/>
    </row>
    <row r="173" spans="1:55" ht="24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117"/>
      <c r="M173" s="117"/>
      <c r="N173" s="117"/>
      <c r="O173" s="117"/>
      <c r="P173" s="2"/>
      <c r="Q173" s="2"/>
      <c r="R173" s="2"/>
      <c r="S173" s="117"/>
      <c r="T173" s="2"/>
      <c r="U173" s="2"/>
      <c r="V173" s="2"/>
      <c r="W173" s="2"/>
      <c r="X173" s="2"/>
      <c r="Y173" s="2"/>
      <c r="Z173" s="117"/>
      <c r="AA173" s="2"/>
      <c r="AB173" s="2"/>
      <c r="AC173" s="2"/>
      <c r="AD173" s="117"/>
      <c r="AE173" s="2"/>
      <c r="AF173" s="2"/>
      <c r="AG173" s="117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117"/>
      <c r="AU173" s="2"/>
      <c r="AV173" s="2"/>
      <c r="AW173" s="2"/>
      <c r="AX173" s="2"/>
      <c r="AY173" s="2"/>
      <c r="AZ173" s="2"/>
      <c r="BA173" s="2"/>
      <c r="BB173" s="2"/>
      <c r="BC173" s="2"/>
    </row>
    <row r="174" spans="1:55" ht="24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117"/>
      <c r="M174" s="117"/>
      <c r="N174" s="117"/>
      <c r="O174" s="117"/>
      <c r="P174" s="2"/>
      <c r="Q174" s="2"/>
      <c r="R174" s="2"/>
      <c r="S174" s="117"/>
      <c r="T174" s="2"/>
      <c r="U174" s="2"/>
      <c r="V174" s="2"/>
      <c r="W174" s="2"/>
      <c r="X174" s="2"/>
      <c r="Y174" s="2"/>
      <c r="Z174" s="117"/>
      <c r="AA174" s="2"/>
      <c r="AB174" s="2"/>
      <c r="AC174" s="2"/>
      <c r="AD174" s="117"/>
      <c r="AE174" s="2"/>
      <c r="AF174" s="2"/>
      <c r="AG174" s="117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117"/>
      <c r="AU174" s="2"/>
      <c r="AV174" s="2"/>
      <c r="AW174" s="2"/>
      <c r="AX174" s="2"/>
      <c r="AY174" s="2"/>
      <c r="AZ174" s="2"/>
      <c r="BA174" s="2"/>
      <c r="BB174" s="2"/>
      <c r="BC174" s="2"/>
    </row>
    <row r="175" spans="1:55" ht="24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117"/>
      <c r="M175" s="117"/>
      <c r="N175" s="117"/>
      <c r="O175" s="117"/>
      <c r="P175" s="2"/>
      <c r="Q175" s="2"/>
      <c r="R175" s="2"/>
      <c r="S175" s="117"/>
      <c r="T175" s="2"/>
      <c r="U175" s="2"/>
      <c r="V175" s="2"/>
      <c r="W175" s="2"/>
      <c r="X175" s="2"/>
      <c r="Y175" s="2"/>
      <c r="Z175" s="117"/>
      <c r="AA175" s="2"/>
      <c r="AB175" s="2"/>
      <c r="AC175" s="2"/>
      <c r="AD175" s="117"/>
      <c r="AE175" s="2"/>
      <c r="AF175" s="2"/>
      <c r="AG175" s="117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117"/>
      <c r="AU175" s="2"/>
      <c r="AV175" s="2"/>
      <c r="AW175" s="2"/>
      <c r="AX175" s="2"/>
      <c r="AY175" s="2"/>
      <c r="AZ175" s="2"/>
      <c r="BA175" s="2"/>
      <c r="BB175" s="2"/>
      <c r="BC175" s="2"/>
    </row>
    <row r="176" spans="1:55" ht="24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117"/>
      <c r="M176" s="117"/>
      <c r="N176" s="117"/>
      <c r="O176" s="117"/>
      <c r="P176" s="2"/>
      <c r="Q176" s="2"/>
      <c r="R176" s="2"/>
      <c r="S176" s="117"/>
      <c r="T176" s="2"/>
      <c r="U176" s="2"/>
      <c r="V176" s="2"/>
      <c r="W176" s="2"/>
      <c r="X176" s="2"/>
      <c r="Y176" s="2"/>
      <c r="Z176" s="117"/>
      <c r="AA176" s="2"/>
      <c r="AB176" s="2"/>
      <c r="AC176" s="2"/>
      <c r="AD176" s="117"/>
      <c r="AE176" s="2"/>
      <c r="AF176" s="2"/>
      <c r="AG176" s="117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117"/>
      <c r="AU176" s="2"/>
      <c r="AV176" s="2"/>
      <c r="AW176" s="2"/>
      <c r="AX176" s="2"/>
      <c r="AY176" s="2"/>
      <c r="AZ176" s="2"/>
      <c r="BA176" s="2"/>
      <c r="BB176" s="2"/>
      <c r="BC176" s="2"/>
    </row>
    <row r="177" spans="1:55" ht="24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117"/>
      <c r="M177" s="117"/>
      <c r="N177" s="117"/>
      <c r="O177" s="117"/>
      <c r="P177" s="2"/>
      <c r="Q177" s="2"/>
      <c r="R177" s="2"/>
      <c r="S177" s="117"/>
      <c r="T177" s="2"/>
      <c r="U177" s="2"/>
      <c r="V177" s="2"/>
      <c r="W177" s="2"/>
      <c r="X177" s="2"/>
      <c r="Y177" s="2"/>
      <c r="Z177" s="117"/>
      <c r="AA177" s="2"/>
      <c r="AB177" s="2"/>
      <c r="AC177" s="2"/>
      <c r="AD177" s="117"/>
      <c r="AE177" s="2"/>
      <c r="AF177" s="2"/>
      <c r="AG177" s="117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117"/>
      <c r="AU177" s="2"/>
      <c r="AV177" s="2"/>
      <c r="AW177" s="2"/>
      <c r="AX177" s="2"/>
      <c r="AY177" s="2"/>
      <c r="AZ177" s="2"/>
      <c r="BA177" s="2"/>
      <c r="BB177" s="2"/>
      <c r="BC177" s="2"/>
    </row>
    <row r="178" spans="1:55" ht="24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117"/>
      <c r="M178" s="117"/>
      <c r="N178" s="117"/>
      <c r="O178" s="117"/>
      <c r="P178" s="2"/>
      <c r="Q178" s="2"/>
      <c r="R178" s="2"/>
      <c r="S178" s="117"/>
      <c r="T178" s="2"/>
      <c r="U178" s="2"/>
      <c r="V178" s="2"/>
      <c r="W178" s="2"/>
      <c r="X178" s="2"/>
      <c r="Y178" s="2"/>
      <c r="Z178" s="117"/>
      <c r="AA178" s="2"/>
      <c r="AB178" s="2"/>
      <c r="AC178" s="2"/>
      <c r="AD178" s="117"/>
      <c r="AE178" s="2"/>
      <c r="AF178" s="2"/>
      <c r="AG178" s="117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117"/>
      <c r="AU178" s="2"/>
      <c r="AV178" s="2"/>
      <c r="AW178" s="2"/>
      <c r="AX178" s="2"/>
      <c r="AY178" s="2"/>
      <c r="AZ178" s="2"/>
      <c r="BA178" s="2"/>
      <c r="BB178" s="2"/>
      <c r="BC178" s="2"/>
    </row>
    <row r="179" spans="1:55" ht="24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117"/>
      <c r="M179" s="117"/>
      <c r="N179" s="117"/>
      <c r="O179" s="117"/>
      <c r="P179" s="2"/>
      <c r="Q179" s="2"/>
      <c r="R179" s="2"/>
      <c r="S179" s="117"/>
      <c r="T179" s="2"/>
      <c r="U179" s="2"/>
      <c r="V179" s="2"/>
      <c r="W179" s="2"/>
      <c r="X179" s="2"/>
      <c r="Y179" s="2"/>
      <c r="Z179" s="117"/>
      <c r="AA179" s="2"/>
      <c r="AB179" s="2"/>
      <c r="AC179" s="2"/>
      <c r="AD179" s="117"/>
      <c r="AE179" s="2"/>
      <c r="AF179" s="2"/>
      <c r="AG179" s="117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117"/>
      <c r="AU179" s="2"/>
      <c r="AV179" s="2"/>
      <c r="AW179" s="2"/>
      <c r="AX179" s="2"/>
      <c r="AY179" s="2"/>
      <c r="AZ179" s="2"/>
      <c r="BA179" s="2"/>
      <c r="BB179" s="2"/>
      <c r="BC179" s="2"/>
    </row>
    <row r="180" spans="1:55" ht="24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117"/>
      <c r="M180" s="117"/>
      <c r="N180" s="117"/>
      <c r="O180" s="117"/>
      <c r="P180" s="2"/>
      <c r="Q180" s="2"/>
      <c r="R180" s="2"/>
      <c r="S180" s="117"/>
      <c r="T180" s="2"/>
      <c r="U180" s="2"/>
      <c r="V180" s="2"/>
      <c r="W180" s="2"/>
      <c r="X180" s="2"/>
      <c r="Y180" s="2"/>
      <c r="Z180" s="117"/>
      <c r="AA180" s="2"/>
      <c r="AB180" s="2"/>
      <c r="AC180" s="2"/>
      <c r="AD180" s="117"/>
      <c r="AE180" s="2"/>
      <c r="AF180" s="2"/>
      <c r="AG180" s="117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117"/>
      <c r="AU180" s="2"/>
      <c r="AV180" s="2"/>
      <c r="AW180" s="2"/>
      <c r="AX180" s="2"/>
      <c r="AY180" s="2"/>
      <c r="AZ180" s="2"/>
      <c r="BA180" s="2"/>
      <c r="BB180" s="2"/>
      <c r="BC180" s="2"/>
    </row>
    <row r="181" spans="1:55" ht="24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117"/>
      <c r="M181" s="117"/>
      <c r="N181" s="117"/>
      <c r="O181" s="117"/>
      <c r="P181" s="2"/>
      <c r="Q181" s="2"/>
      <c r="R181" s="2"/>
      <c r="S181" s="117"/>
      <c r="T181" s="2"/>
      <c r="U181" s="2"/>
      <c r="V181" s="2"/>
      <c r="W181" s="2"/>
      <c r="X181" s="2"/>
      <c r="Y181" s="2"/>
      <c r="Z181" s="117"/>
      <c r="AA181" s="2"/>
      <c r="AB181" s="2"/>
      <c r="AC181" s="2"/>
      <c r="AD181" s="117"/>
      <c r="AE181" s="2"/>
      <c r="AF181" s="2"/>
      <c r="AG181" s="117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117"/>
      <c r="AU181" s="2"/>
      <c r="AV181" s="2"/>
      <c r="AW181" s="2"/>
      <c r="AX181" s="2"/>
      <c r="AY181" s="2"/>
      <c r="AZ181" s="2"/>
      <c r="BA181" s="2"/>
      <c r="BB181" s="2"/>
      <c r="BC181" s="2"/>
    </row>
    <row r="182" spans="1:55" ht="24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117"/>
      <c r="M182" s="117"/>
      <c r="N182" s="117"/>
      <c r="O182" s="117"/>
      <c r="P182" s="2"/>
      <c r="Q182" s="2"/>
      <c r="R182" s="2"/>
      <c r="S182" s="117"/>
      <c r="T182" s="2"/>
      <c r="U182" s="2"/>
      <c r="V182" s="2"/>
      <c r="W182" s="2"/>
      <c r="X182" s="2"/>
      <c r="Y182" s="2"/>
      <c r="Z182" s="117"/>
      <c r="AA182" s="2"/>
      <c r="AB182" s="2"/>
      <c r="AC182" s="2"/>
      <c r="AD182" s="117"/>
      <c r="AE182" s="2"/>
      <c r="AF182" s="2"/>
      <c r="AG182" s="117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117"/>
      <c r="AU182" s="2"/>
      <c r="AV182" s="2"/>
      <c r="AW182" s="2"/>
      <c r="AX182" s="2"/>
      <c r="AY182" s="2"/>
      <c r="AZ182" s="2"/>
      <c r="BA182" s="2"/>
      <c r="BB182" s="2"/>
      <c r="BC182" s="2"/>
    </row>
    <row r="183" spans="1:55" ht="24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117"/>
      <c r="M183" s="117"/>
      <c r="N183" s="117"/>
      <c r="O183" s="117"/>
      <c r="P183" s="2"/>
      <c r="Q183" s="2"/>
      <c r="R183" s="2"/>
      <c r="S183" s="117"/>
      <c r="T183" s="2"/>
      <c r="U183" s="2"/>
      <c r="V183" s="2"/>
      <c r="W183" s="2"/>
      <c r="X183" s="2"/>
      <c r="Y183" s="2"/>
      <c r="Z183" s="117"/>
      <c r="AA183" s="2"/>
      <c r="AB183" s="2"/>
      <c r="AC183" s="2"/>
      <c r="AD183" s="117"/>
      <c r="AE183" s="2"/>
      <c r="AF183" s="2"/>
      <c r="AG183" s="117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117"/>
      <c r="AU183" s="2"/>
      <c r="AV183" s="2"/>
      <c r="AW183" s="2"/>
      <c r="AX183" s="2"/>
      <c r="AY183" s="2"/>
      <c r="AZ183" s="2"/>
      <c r="BA183" s="2"/>
      <c r="BB183" s="2"/>
      <c r="BC183" s="2"/>
    </row>
    <row r="184" spans="1:55" ht="24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117"/>
      <c r="M184" s="117"/>
      <c r="N184" s="117"/>
      <c r="O184" s="117"/>
      <c r="P184" s="2"/>
      <c r="Q184" s="2"/>
      <c r="R184" s="2"/>
      <c r="S184" s="117"/>
      <c r="T184" s="2"/>
      <c r="U184" s="2"/>
      <c r="V184" s="2"/>
      <c r="W184" s="2"/>
      <c r="X184" s="2"/>
      <c r="Y184" s="2"/>
      <c r="Z184" s="117"/>
      <c r="AA184" s="2"/>
      <c r="AB184" s="2"/>
      <c r="AC184" s="2"/>
      <c r="AD184" s="117"/>
      <c r="AE184" s="2"/>
      <c r="AF184" s="2"/>
      <c r="AG184" s="117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117"/>
      <c r="AU184" s="2"/>
      <c r="AV184" s="2"/>
      <c r="AW184" s="2"/>
      <c r="AX184" s="2"/>
      <c r="AY184" s="2"/>
      <c r="AZ184" s="2"/>
      <c r="BA184" s="2"/>
      <c r="BB184" s="2"/>
      <c r="BC184" s="2"/>
    </row>
    <row r="185" spans="1:55" ht="24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117"/>
      <c r="M185" s="117"/>
      <c r="N185" s="117"/>
      <c r="O185" s="117"/>
      <c r="P185" s="2"/>
      <c r="Q185" s="2"/>
      <c r="R185" s="2"/>
      <c r="S185" s="117"/>
      <c r="T185" s="2"/>
      <c r="U185" s="2"/>
      <c r="V185" s="2"/>
      <c r="W185" s="2"/>
      <c r="X185" s="2"/>
      <c r="Y185" s="2"/>
      <c r="Z185" s="117"/>
      <c r="AA185" s="2"/>
      <c r="AB185" s="2"/>
      <c r="AC185" s="2"/>
      <c r="AD185" s="117"/>
      <c r="AE185" s="2"/>
      <c r="AF185" s="2"/>
      <c r="AG185" s="117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117"/>
      <c r="AU185" s="2"/>
      <c r="AV185" s="2"/>
      <c r="AW185" s="2"/>
      <c r="AX185" s="2"/>
      <c r="AY185" s="2"/>
      <c r="AZ185" s="2"/>
      <c r="BA185" s="2"/>
      <c r="BB185" s="2"/>
      <c r="BC185" s="2"/>
    </row>
    <row r="186" spans="1:55" ht="24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117"/>
      <c r="M186" s="117"/>
      <c r="N186" s="117"/>
      <c r="O186" s="117"/>
      <c r="P186" s="2"/>
      <c r="Q186" s="2"/>
      <c r="R186" s="2"/>
      <c r="S186" s="117"/>
      <c r="T186" s="2"/>
      <c r="U186" s="2"/>
      <c r="V186" s="2"/>
      <c r="W186" s="2"/>
      <c r="X186" s="2"/>
      <c r="Y186" s="2"/>
      <c r="Z186" s="117"/>
      <c r="AA186" s="2"/>
      <c r="AB186" s="2"/>
      <c r="AC186" s="2"/>
      <c r="AD186" s="117"/>
      <c r="AE186" s="2"/>
      <c r="AF186" s="2"/>
      <c r="AG186" s="117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117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 ht="24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117"/>
      <c r="M187" s="117"/>
      <c r="N187" s="117"/>
      <c r="O187" s="117"/>
      <c r="P187" s="2"/>
      <c r="Q187" s="2"/>
      <c r="R187" s="2"/>
      <c r="S187" s="117"/>
      <c r="T187" s="2"/>
      <c r="U187" s="2"/>
      <c r="V187" s="2"/>
      <c r="W187" s="2"/>
      <c r="X187" s="2"/>
      <c r="Y187" s="2"/>
      <c r="Z187" s="117"/>
      <c r="AA187" s="2"/>
      <c r="AB187" s="2"/>
      <c r="AC187" s="2"/>
      <c r="AD187" s="117"/>
      <c r="AE187" s="2"/>
      <c r="AF187" s="2"/>
      <c r="AG187" s="117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117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 ht="24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117"/>
      <c r="M188" s="117"/>
      <c r="N188" s="117"/>
      <c r="O188" s="117"/>
      <c r="P188" s="2"/>
      <c r="Q188" s="2"/>
      <c r="R188" s="2"/>
      <c r="S188" s="117"/>
      <c r="T188" s="2"/>
      <c r="U188" s="2"/>
      <c r="V188" s="2"/>
      <c r="W188" s="2"/>
      <c r="X188" s="2"/>
      <c r="Y188" s="2"/>
      <c r="Z188" s="117"/>
      <c r="AA188" s="2"/>
      <c r="AB188" s="2"/>
      <c r="AC188" s="2"/>
      <c r="AD188" s="117"/>
      <c r="AE188" s="2"/>
      <c r="AF188" s="2"/>
      <c r="AG188" s="117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117"/>
      <c r="AU188" s="2"/>
      <c r="AV188" s="2"/>
      <c r="AW188" s="2"/>
      <c r="AX188" s="2"/>
      <c r="AY188" s="2"/>
      <c r="AZ188" s="2"/>
      <c r="BA188" s="2"/>
      <c r="BB188" s="2"/>
      <c r="BC188" s="2"/>
    </row>
    <row r="189" spans="1:55" ht="24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117"/>
      <c r="M189" s="117"/>
      <c r="N189" s="117"/>
      <c r="O189" s="117"/>
      <c r="P189" s="2"/>
      <c r="Q189" s="2"/>
      <c r="R189" s="2"/>
      <c r="S189" s="117"/>
      <c r="T189" s="2"/>
      <c r="U189" s="2"/>
      <c r="V189" s="2"/>
      <c r="W189" s="2"/>
      <c r="X189" s="2"/>
      <c r="Y189" s="2"/>
      <c r="Z189" s="117"/>
      <c r="AA189" s="2"/>
      <c r="AB189" s="2"/>
      <c r="AC189" s="2"/>
      <c r="AD189" s="117"/>
      <c r="AE189" s="2"/>
      <c r="AF189" s="2"/>
      <c r="AG189" s="117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117"/>
      <c r="AU189" s="2"/>
      <c r="AV189" s="2"/>
      <c r="AW189" s="2"/>
      <c r="AX189" s="2"/>
      <c r="AY189" s="2"/>
      <c r="AZ189" s="2"/>
      <c r="BA189" s="2"/>
      <c r="BB189" s="2"/>
      <c r="BC189" s="2"/>
    </row>
    <row r="190" spans="1:55" ht="24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117"/>
      <c r="M190" s="117"/>
      <c r="N190" s="117"/>
      <c r="O190" s="117"/>
      <c r="P190" s="2"/>
      <c r="Q190" s="2"/>
      <c r="R190" s="2"/>
      <c r="S190" s="117"/>
      <c r="T190" s="2"/>
      <c r="U190" s="2"/>
      <c r="V190" s="2"/>
      <c r="W190" s="2"/>
      <c r="X190" s="2"/>
      <c r="Y190" s="2"/>
      <c r="Z190" s="117"/>
      <c r="AA190" s="2"/>
      <c r="AB190" s="2"/>
      <c r="AC190" s="2"/>
      <c r="AD190" s="117"/>
      <c r="AE190" s="2"/>
      <c r="AF190" s="2"/>
      <c r="AG190" s="117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117"/>
      <c r="AU190" s="2"/>
      <c r="AV190" s="2"/>
      <c r="AW190" s="2"/>
      <c r="AX190" s="2"/>
      <c r="AY190" s="2"/>
      <c r="AZ190" s="2"/>
      <c r="BA190" s="2"/>
      <c r="BB190" s="2"/>
      <c r="BC190" s="2"/>
    </row>
    <row r="191" spans="1:55" ht="24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117"/>
      <c r="M191" s="117"/>
      <c r="N191" s="117"/>
      <c r="O191" s="117"/>
      <c r="P191" s="2"/>
      <c r="Q191" s="2"/>
      <c r="R191" s="2"/>
      <c r="S191" s="117"/>
      <c r="T191" s="2"/>
      <c r="U191" s="2"/>
      <c r="V191" s="2"/>
      <c r="W191" s="2"/>
      <c r="X191" s="2"/>
      <c r="Y191" s="2"/>
      <c r="Z191" s="117"/>
      <c r="AA191" s="2"/>
      <c r="AB191" s="2"/>
      <c r="AC191" s="2"/>
      <c r="AD191" s="117"/>
      <c r="AE191" s="2"/>
      <c r="AF191" s="2"/>
      <c r="AG191" s="117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117"/>
      <c r="AU191" s="2"/>
      <c r="AV191" s="2"/>
      <c r="AW191" s="2"/>
      <c r="AX191" s="2"/>
      <c r="AY191" s="2"/>
      <c r="AZ191" s="2"/>
      <c r="BA191" s="2"/>
      <c r="BB191" s="2"/>
      <c r="BC191" s="2"/>
    </row>
    <row r="192" spans="1:55" ht="24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117"/>
      <c r="M192" s="117"/>
      <c r="N192" s="117"/>
      <c r="O192" s="117"/>
      <c r="P192" s="2"/>
      <c r="Q192" s="2"/>
      <c r="R192" s="2"/>
      <c r="S192" s="117"/>
      <c r="T192" s="2"/>
      <c r="U192" s="2"/>
      <c r="V192" s="2"/>
      <c r="W192" s="2"/>
      <c r="X192" s="2"/>
      <c r="Y192" s="2"/>
      <c r="Z192" s="117"/>
      <c r="AA192" s="2"/>
      <c r="AB192" s="2"/>
      <c r="AC192" s="2"/>
      <c r="AD192" s="117"/>
      <c r="AE192" s="2"/>
      <c r="AF192" s="2"/>
      <c r="AG192" s="117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117"/>
      <c r="AU192" s="2"/>
      <c r="AV192" s="2"/>
      <c r="AW192" s="2"/>
      <c r="AX192" s="2"/>
      <c r="AY192" s="2"/>
      <c r="AZ192" s="2"/>
      <c r="BA192" s="2"/>
      <c r="BB192" s="2"/>
      <c r="BC192" s="2"/>
    </row>
    <row r="193" spans="1:55" ht="24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117"/>
      <c r="M193" s="117"/>
      <c r="N193" s="117"/>
      <c r="O193" s="117"/>
      <c r="P193" s="2"/>
      <c r="Q193" s="2"/>
      <c r="R193" s="2"/>
      <c r="S193" s="117"/>
      <c r="T193" s="2"/>
      <c r="U193" s="2"/>
      <c r="V193" s="2"/>
      <c r="W193" s="2"/>
      <c r="X193" s="2"/>
      <c r="Y193" s="2"/>
      <c r="Z193" s="117"/>
      <c r="AA193" s="2"/>
      <c r="AB193" s="2"/>
      <c r="AC193" s="2"/>
      <c r="AD193" s="117"/>
      <c r="AE193" s="2"/>
      <c r="AF193" s="2"/>
      <c r="AG193" s="117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117"/>
      <c r="AU193" s="2"/>
      <c r="AV193" s="2"/>
      <c r="AW193" s="2"/>
      <c r="AX193" s="2"/>
      <c r="AY193" s="2"/>
      <c r="AZ193" s="2"/>
      <c r="BA193" s="2"/>
      <c r="BB193" s="2"/>
      <c r="BC193" s="2"/>
    </row>
    <row r="194" spans="1:55" ht="24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117"/>
      <c r="M194" s="117"/>
      <c r="N194" s="117"/>
      <c r="O194" s="117"/>
      <c r="P194" s="2"/>
      <c r="Q194" s="2"/>
      <c r="R194" s="2"/>
      <c r="S194" s="117"/>
      <c r="T194" s="2"/>
      <c r="U194" s="2"/>
      <c r="V194" s="2"/>
      <c r="W194" s="2"/>
      <c r="X194" s="2"/>
      <c r="Y194" s="2"/>
      <c r="Z194" s="117"/>
      <c r="AA194" s="2"/>
      <c r="AB194" s="2"/>
      <c r="AC194" s="2"/>
      <c r="AD194" s="117"/>
      <c r="AE194" s="2"/>
      <c r="AF194" s="2"/>
      <c r="AG194" s="117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117"/>
      <c r="AU194" s="2"/>
      <c r="AV194" s="2"/>
      <c r="AW194" s="2"/>
      <c r="AX194" s="2"/>
      <c r="AY194" s="2"/>
      <c r="AZ194" s="2"/>
      <c r="BA194" s="2"/>
      <c r="BB194" s="2"/>
      <c r="BC194" s="2"/>
    </row>
    <row r="195" spans="1:55" ht="24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117"/>
      <c r="M195" s="117"/>
      <c r="N195" s="117"/>
      <c r="O195" s="117"/>
      <c r="P195" s="2"/>
      <c r="Q195" s="2"/>
      <c r="R195" s="2"/>
      <c r="S195" s="117"/>
      <c r="T195" s="2"/>
      <c r="U195" s="2"/>
      <c r="V195" s="2"/>
      <c r="W195" s="2"/>
      <c r="X195" s="2"/>
      <c r="Y195" s="2"/>
      <c r="Z195" s="117"/>
      <c r="AA195" s="2"/>
      <c r="AB195" s="2"/>
      <c r="AC195" s="2"/>
      <c r="AD195" s="117"/>
      <c r="AE195" s="2"/>
      <c r="AF195" s="2"/>
      <c r="AG195" s="117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117"/>
      <c r="AU195" s="2"/>
      <c r="AV195" s="2"/>
      <c r="AW195" s="2"/>
      <c r="AX195" s="2"/>
      <c r="AY195" s="2"/>
      <c r="AZ195" s="2"/>
      <c r="BA195" s="2"/>
      <c r="BB195" s="2"/>
      <c r="BC195" s="2"/>
    </row>
    <row r="196" spans="1:55" ht="24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117"/>
      <c r="M196" s="117"/>
      <c r="N196" s="117"/>
      <c r="O196" s="117"/>
      <c r="P196" s="2"/>
      <c r="Q196" s="2"/>
      <c r="R196" s="2"/>
      <c r="S196" s="117"/>
      <c r="T196" s="2"/>
      <c r="U196" s="2"/>
      <c r="V196" s="2"/>
      <c r="W196" s="2"/>
      <c r="X196" s="2"/>
      <c r="Y196" s="2"/>
      <c r="Z196" s="117"/>
      <c r="AA196" s="2"/>
      <c r="AB196" s="2"/>
      <c r="AC196" s="2"/>
      <c r="AD196" s="117"/>
      <c r="AE196" s="2"/>
      <c r="AF196" s="2"/>
      <c r="AG196" s="117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117"/>
      <c r="AU196" s="2"/>
      <c r="AV196" s="2"/>
      <c r="AW196" s="2"/>
      <c r="AX196" s="2"/>
      <c r="AY196" s="2"/>
      <c r="AZ196" s="2"/>
      <c r="BA196" s="2"/>
      <c r="BB196" s="2"/>
      <c r="BC196" s="2"/>
    </row>
    <row r="197" spans="1:55" ht="24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117"/>
      <c r="M197" s="117"/>
      <c r="N197" s="117"/>
      <c r="O197" s="117"/>
      <c r="P197" s="2"/>
      <c r="Q197" s="2"/>
      <c r="R197" s="2"/>
      <c r="S197" s="117"/>
      <c r="T197" s="2"/>
      <c r="U197" s="2"/>
      <c r="V197" s="2"/>
      <c r="W197" s="2"/>
      <c r="X197" s="2"/>
      <c r="Y197" s="2"/>
      <c r="Z197" s="117"/>
      <c r="AA197" s="2"/>
      <c r="AB197" s="2"/>
      <c r="AC197" s="2"/>
      <c r="AD197" s="117"/>
      <c r="AE197" s="2"/>
      <c r="AF197" s="2"/>
      <c r="AG197" s="117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117"/>
      <c r="AU197" s="2"/>
      <c r="AV197" s="2"/>
      <c r="AW197" s="2"/>
      <c r="AX197" s="2"/>
      <c r="AY197" s="2"/>
      <c r="AZ197" s="2"/>
      <c r="BA197" s="2"/>
      <c r="BB197" s="2"/>
      <c r="BC197" s="2"/>
    </row>
    <row r="198" spans="1:55" ht="24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117"/>
      <c r="M198" s="117"/>
      <c r="N198" s="117"/>
      <c r="O198" s="117"/>
      <c r="P198" s="2"/>
      <c r="Q198" s="2"/>
      <c r="R198" s="2"/>
      <c r="S198" s="117"/>
      <c r="T198" s="2"/>
      <c r="U198" s="2"/>
      <c r="V198" s="2"/>
      <c r="W198" s="2"/>
      <c r="X198" s="2"/>
      <c r="Y198" s="2"/>
      <c r="Z198" s="117"/>
      <c r="AA198" s="2"/>
      <c r="AB198" s="2"/>
      <c r="AC198" s="2"/>
      <c r="AD198" s="117"/>
      <c r="AE198" s="2"/>
      <c r="AF198" s="2"/>
      <c r="AG198" s="117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117"/>
      <c r="AU198" s="2"/>
      <c r="AV198" s="2"/>
      <c r="AW198" s="2"/>
      <c r="AX198" s="2"/>
      <c r="AY198" s="2"/>
      <c r="AZ198" s="2"/>
      <c r="BA198" s="2"/>
      <c r="BB198" s="2"/>
      <c r="BC198" s="2"/>
    </row>
    <row r="199" spans="1:55" ht="24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117"/>
      <c r="M199" s="117"/>
      <c r="N199" s="117"/>
      <c r="O199" s="117"/>
      <c r="P199" s="2"/>
      <c r="Q199" s="2"/>
      <c r="R199" s="2"/>
      <c r="S199" s="117"/>
      <c r="T199" s="2"/>
      <c r="U199" s="2"/>
      <c r="V199" s="2"/>
      <c r="W199" s="2"/>
      <c r="X199" s="2"/>
      <c r="Y199" s="2"/>
      <c r="Z199" s="117"/>
      <c r="AA199" s="2"/>
      <c r="AB199" s="2"/>
      <c r="AC199" s="2"/>
      <c r="AD199" s="117"/>
      <c r="AE199" s="2"/>
      <c r="AF199" s="2"/>
      <c r="AG199" s="117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117"/>
      <c r="AU199" s="2"/>
      <c r="AV199" s="2"/>
      <c r="AW199" s="2"/>
      <c r="AX199" s="2"/>
      <c r="AY199" s="2"/>
      <c r="AZ199" s="2"/>
      <c r="BA199" s="2"/>
      <c r="BB199" s="2"/>
      <c r="BC199" s="2"/>
    </row>
    <row r="200" spans="1:55" ht="24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117"/>
      <c r="M200" s="117"/>
      <c r="N200" s="117"/>
      <c r="O200" s="117"/>
      <c r="P200" s="2"/>
      <c r="Q200" s="2"/>
      <c r="R200" s="2"/>
      <c r="S200" s="117"/>
      <c r="T200" s="2"/>
      <c r="U200" s="2"/>
      <c r="V200" s="2"/>
      <c r="W200" s="2"/>
      <c r="X200" s="2"/>
      <c r="Y200" s="2"/>
      <c r="Z200" s="117"/>
      <c r="AA200" s="2"/>
      <c r="AB200" s="2"/>
      <c r="AC200" s="2"/>
      <c r="AD200" s="117"/>
      <c r="AE200" s="2"/>
      <c r="AF200" s="2"/>
      <c r="AG200" s="117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117"/>
      <c r="AU200" s="2"/>
      <c r="AV200" s="2"/>
      <c r="AW200" s="2"/>
      <c r="AX200" s="2"/>
      <c r="AY200" s="2"/>
      <c r="AZ200" s="2"/>
      <c r="BA200" s="2"/>
      <c r="BB200" s="2"/>
      <c r="BC200" s="2"/>
    </row>
    <row r="201" spans="1:55" ht="24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117"/>
      <c r="M201" s="117"/>
      <c r="N201" s="117"/>
      <c r="O201" s="117"/>
      <c r="P201" s="2"/>
      <c r="Q201" s="2"/>
      <c r="R201" s="2"/>
      <c r="S201" s="117"/>
      <c r="T201" s="2"/>
      <c r="U201" s="2"/>
      <c r="V201" s="2"/>
      <c r="W201" s="2"/>
      <c r="X201" s="2"/>
      <c r="Y201" s="2"/>
      <c r="Z201" s="117"/>
      <c r="AA201" s="2"/>
      <c r="AB201" s="2"/>
      <c r="AC201" s="2"/>
      <c r="AD201" s="117"/>
      <c r="AE201" s="2"/>
      <c r="AF201" s="2"/>
      <c r="AG201" s="117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117"/>
      <c r="AU201" s="2"/>
      <c r="AV201" s="2"/>
      <c r="AW201" s="2"/>
      <c r="AX201" s="2"/>
      <c r="AY201" s="2"/>
      <c r="AZ201" s="2"/>
      <c r="BA201" s="2"/>
      <c r="BB201" s="2"/>
      <c r="BC201" s="2"/>
    </row>
    <row r="202" spans="1:55" ht="24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117"/>
      <c r="M202" s="117"/>
      <c r="N202" s="117"/>
      <c r="O202" s="117"/>
      <c r="P202" s="2"/>
      <c r="Q202" s="2"/>
      <c r="R202" s="2"/>
      <c r="S202" s="117"/>
      <c r="T202" s="2"/>
      <c r="U202" s="2"/>
      <c r="V202" s="2"/>
      <c r="W202" s="2"/>
      <c r="X202" s="2"/>
      <c r="Y202" s="2"/>
      <c r="Z202" s="117"/>
      <c r="AA202" s="2"/>
      <c r="AB202" s="2"/>
      <c r="AC202" s="2"/>
      <c r="AD202" s="117"/>
      <c r="AE202" s="2"/>
      <c r="AF202" s="2"/>
      <c r="AG202" s="117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117"/>
      <c r="AU202" s="2"/>
      <c r="AV202" s="2"/>
      <c r="AW202" s="2"/>
      <c r="AX202" s="2"/>
      <c r="AY202" s="2"/>
      <c r="AZ202" s="2"/>
      <c r="BA202" s="2"/>
      <c r="BB202" s="2"/>
      <c r="BC202" s="2"/>
    </row>
    <row r="203" spans="1:55" ht="24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117"/>
      <c r="M203" s="117"/>
      <c r="N203" s="117"/>
      <c r="O203" s="117"/>
      <c r="P203" s="2"/>
      <c r="Q203" s="2"/>
      <c r="R203" s="2"/>
      <c r="S203" s="117"/>
      <c r="T203" s="2"/>
      <c r="U203" s="2"/>
      <c r="V203" s="2"/>
      <c r="W203" s="2"/>
      <c r="X203" s="2"/>
      <c r="Y203" s="2"/>
      <c r="Z203" s="117"/>
      <c r="AA203" s="2"/>
      <c r="AB203" s="2"/>
      <c r="AC203" s="2"/>
      <c r="AD203" s="117"/>
      <c r="AE203" s="2"/>
      <c r="AF203" s="2"/>
      <c r="AG203" s="117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117"/>
      <c r="AU203" s="2"/>
      <c r="AV203" s="2"/>
      <c r="AW203" s="2"/>
      <c r="AX203" s="2"/>
      <c r="AY203" s="2"/>
      <c r="AZ203" s="2"/>
      <c r="BA203" s="2"/>
      <c r="BB203" s="2"/>
      <c r="BC203" s="2"/>
    </row>
    <row r="204" spans="1:55" ht="24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117"/>
      <c r="M204" s="117"/>
      <c r="N204" s="117"/>
      <c r="O204" s="117"/>
      <c r="P204" s="2"/>
      <c r="Q204" s="2"/>
      <c r="R204" s="2"/>
      <c r="S204" s="117"/>
      <c r="T204" s="2"/>
      <c r="U204" s="2"/>
      <c r="V204" s="2"/>
      <c r="W204" s="2"/>
      <c r="X204" s="2"/>
      <c r="Y204" s="2"/>
      <c r="Z204" s="117"/>
      <c r="AA204" s="2"/>
      <c r="AB204" s="2"/>
      <c r="AC204" s="2"/>
      <c r="AD204" s="117"/>
      <c r="AE204" s="2"/>
      <c r="AF204" s="2"/>
      <c r="AG204" s="117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117"/>
      <c r="AU204" s="2"/>
      <c r="AV204" s="2"/>
      <c r="AW204" s="2"/>
      <c r="AX204" s="2"/>
      <c r="AY204" s="2"/>
      <c r="AZ204" s="2"/>
      <c r="BA204" s="2"/>
      <c r="BB204" s="2"/>
      <c r="BC204" s="2"/>
    </row>
    <row r="205" spans="1:55" ht="24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117"/>
      <c r="M205" s="117"/>
      <c r="N205" s="117"/>
      <c r="O205" s="117"/>
      <c r="P205" s="2"/>
      <c r="Q205" s="2"/>
      <c r="R205" s="2"/>
      <c r="S205" s="117"/>
      <c r="T205" s="2"/>
      <c r="U205" s="2"/>
      <c r="V205" s="2"/>
      <c r="W205" s="2"/>
      <c r="X205" s="2"/>
      <c r="Y205" s="2"/>
      <c r="Z205" s="117"/>
      <c r="AA205" s="2"/>
      <c r="AB205" s="2"/>
      <c r="AC205" s="2"/>
      <c r="AD205" s="117"/>
      <c r="AE205" s="2"/>
      <c r="AF205" s="2"/>
      <c r="AG205" s="117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117"/>
      <c r="AU205" s="2"/>
      <c r="AV205" s="2"/>
      <c r="AW205" s="2"/>
      <c r="AX205" s="2"/>
      <c r="AY205" s="2"/>
      <c r="AZ205" s="2"/>
      <c r="BA205" s="2"/>
      <c r="BB205" s="2"/>
      <c r="BC205" s="2"/>
    </row>
    <row r="206" spans="1:55" ht="24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117"/>
      <c r="M206" s="117"/>
      <c r="N206" s="117"/>
      <c r="O206" s="117"/>
      <c r="P206" s="2"/>
      <c r="Q206" s="2"/>
      <c r="R206" s="2"/>
      <c r="S206" s="117"/>
      <c r="T206" s="2"/>
      <c r="U206" s="2"/>
      <c r="V206" s="2"/>
      <c r="W206" s="2"/>
      <c r="X206" s="2"/>
      <c r="Y206" s="2"/>
      <c r="Z206" s="117"/>
      <c r="AA206" s="2"/>
      <c r="AB206" s="2"/>
      <c r="AC206" s="2"/>
      <c r="AD206" s="117"/>
      <c r="AE206" s="2"/>
      <c r="AF206" s="2"/>
      <c r="AG206" s="117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117"/>
      <c r="AU206" s="2"/>
      <c r="AV206" s="2"/>
      <c r="AW206" s="2"/>
      <c r="AX206" s="2"/>
      <c r="AY206" s="2"/>
      <c r="AZ206" s="2"/>
      <c r="BA206" s="2"/>
      <c r="BB206" s="2"/>
      <c r="BC206" s="2"/>
    </row>
    <row r="207" spans="1:55" ht="24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117"/>
      <c r="M207" s="117"/>
      <c r="N207" s="117"/>
      <c r="O207" s="117"/>
      <c r="P207" s="2"/>
      <c r="Q207" s="2"/>
      <c r="R207" s="2"/>
      <c r="S207" s="117"/>
      <c r="T207" s="2"/>
      <c r="U207" s="2"/>
      <c r="V207" s="2"/>
      <c r="W207" s="2"/>
      <c r="X207" s="2"/>
      <c r="Y207" s="2"/>
      <c r="Z207" s="117"/>
      <c r="AA207" s="2"/>
      <c r="AB207" s="2"/>
      <c r="AC207" s="2"/>
      <c r="AD207" s="117"/>
      <c r="AE207" s="2"/>
      <c r="AF207" s="2"/>
      <c r="AG207" s="117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117"/>
      <c r="AU207" s="2"/>
      <c r="AV207" s="2"/>
      <c r="AW207" s="2"/>
      <c r="AX207" s="2"/>
      <c r="AY207" s="2"/>
      <c r="AZ207" s="2"/>
      <c r="BA207" s="2"/>
      <c r="BB207" s="2"/>
      <c r="BC207" s="2"/>
    </row>
    <row r="208" spans="1:55" ht="24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117"/>
      <c r="M208" s="117"/>
      <c r="N208" s="117"/>
      <c r="O208" s="117"/>
      <c r="P208" s="2"/>
      <c r="Q208" s="2"/>
      <c r="R208" s="2"/>
      <c r="S208" s="117"/>
      <c r="T208" s="2"/>
      <c r="U208" s="2"/>
      <c r="V208" s="2"/>
      <c r="W208" s="2"/>
      <c r="X208" s="2"/>
      <c r="Y208" s="2"/>
      <c r="Z208" s="117"/>
      <c r="AA208" s="2"/>
      <c r="AB208" s="2"/>
      <c r="AC208" s="2"/>
      <c r="AD208" s="117"/>
      <c r="AE208" s="2"/>
      <c r="AF208" s="2"/>
      <c r="AG208" s="117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117"/>
      <c r="AU208" s="2"/>
      <c r="AV208" s="2"/>
      <c r="AW208" s="2"/>
      <c r="AX208" s="2"/>
      <c r="AY208" s="2"/>
      <c r="AZ208" s="2"/>
      <c r="BA208" s="2"/>
      <c r="BB208" s="2"/>
      <c r="BC208" s="2"/>
    </row>
    <row r="209" spans="1:55" ht="24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117"/>
      <c r="M209" s="117"/>
      <c r="N209" s="117"/>
      <c r="O209" s="117"/>
      <c r="P209" s="2"/>
      <c r="Q209" s="2"/>
      <c r="R209" s="2"/>
      <c r="S209" s="117"/>
      <c r="T209" s="2"/>
      <c r="U209" s="2"/>
      <c r="V209" s="2"/>
      <c r="W209" s="2"/>
      <c r="X209" s="2"/>
      <c r="Y209" s="2"/>
      <c r="Z209" s="117"/>
      <c r="AA209" s="2"/>
      <c r="AB209" s="2"/>
      <c r="AC209" s="2"/>
      <c r="AD209" s="117"/>
      <c r="AE209" s="2"/>
      <c r="AF209" s="2"/>
      <c r="AG209" s="117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117"/>
      <c r="AU209" s="2"/>
      <c r="AV209" s="2"/>
      <c r="AW209" s="2"/>
      <c r="AX209" s="2"/>
      <c r="AY209" s="2"/>
      <c r="AZ209" s="2"/>
      <c r="BA209" s="2"/>
      <c r="BB209" s="2"/>
      <c r="BC209" s="2"/>
    </row>
    <row r="210" spans="1:55" ht="24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117"/>
      <c r="M210" s="117"/>
      <c r="N210" s="117"/>
      <c r="O210" s="117"/>
      <c r="P210" s="2"/>
      <c r="Q210" s="2"/>
      <c r="R210" s="2"/>
      <c r="S210" s="117"/>
      <c r="T210" s="2"/>
      <c r="U210" s="2"/>
      <c r="V210" s="2"/>
      <c r="W210" s="2"/>
      <c r="X210" s="2"/>
      <c r="Y210" s="2"/>
      <c r="Z210" s="117"/>
      <c r="AA210" s="2"/>
      <c r="AB210" s="2"/>
      <c r="AC210" s="2"/>
      <c r="AD210" s="117"/>
      <c r="AE210" s="2"/>
      <c r="AF210" s="2"/>
      <c r="AG210" s="117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117"/>
      <c r="AU210" s="2"/>
      <c r="AV210" s="2"/>
      <c r="AW210" s="2"/>
      <c r="AX210" s="2"/>
      <c r="AY210" s="2"/>
      <c r="AZ210" s="2"/>
      <c r="BA210" s="2"/>
      <c r="BB210" s="2"/>
      <c r="BC210" s="2"/>
    </row>
    <row r="211" spans="1:55" ht="24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117"/>
      <c r="M211" s="117"/>
      <c r="N211" s="117"/>
      <c r="O211" s="117"/>
      <c r="P211" s="2"/>
      <c r="Q211" s="2"/>
      <c r="R211" s="2"/>
      <c r="S211" s="117"/>
      <c r="T211" s="2"/>
      <c r="U211" s="2"/>
      <c r="V211" s="2"/>
      <c r="W211" s="2"/>
      <c r="X211" s="2"/>
      <c r="Y211" s="2"/>
      <c r="Z211" s="117"/>
      <c r="AA211" s="2"/>
      <c r="AB211" s="2"/>
      <c r="AC211" s="2"/>
      <c r="AD211" s="117"/>
      <c r="AE211" s="2"/>
      <c r="AF211" s="2"/>
      <c r="AG211" s="117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117"/>
      <c r="AU211" s="2"/>
      <c r="AV211" s="2"/>
      <c r="AW211" s="2"/>
      <c r="AX211" s="2"/>
      <c r="AY211" s="2"/>
      <c r="AZ211" s="2"/>
      <c r="BA211" s="2"/>
      <c r="BB211" s="2"/>
      <c r="BC211" s="2"/>
    </row>
    <row r="212" spans="1:55" ht="24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117"/>
      <c r="M212" s="117"/>
      <c r="N212" s="117"/>
      <c r="O212" s="117"/>
      <c r="P212" s="2"/>
      <c r="Q212" s="2"/>
      <c r="R212" s="2"/>
      <c r="S212" s="117"/>
      <c r="T212" s="2"/>
      <c r="U212" s="2"/>
      <c r="V212" s="2"/>
      <c r="W212" s="2"/>
      <c r="X212" s="2"/>
      <c r="Y212" s="2"/>
      <c r="Z212" s="117"/>
      <c r="AA212" s="2"/>
      <c r="AB212" s="2"/>
      <c r="AC212" s="2"/>
      <c r="AD212" s="117"/>
      <c r="AE212" s="2"/>
      <c r="AF212" s="2"/>
      <c r="AG212" s="117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117"/>
      <c r="AU212" s="2"/>
      <c r="AV212" s="2"/>
      <c r="AW212" s="2"/>
      <c r="AX212" s="2"/>
      <c r="AY212" s="2"/>
      <c r="AZ212" s="2"/>
      <c r="BA212" s="2"/>
      <c r="BB212" s="2"/>
      <c r="BC212" s="2"/>
    </row>
    <row r="213" spans="1:55" ht="24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117"/>
      <c r="M213" s="117"/>
      <c r="N213" s="117"/>
      <c r="O213" s="117"/>
      <c r="P213" s="2"/>
      <c r="Q213" s="2"/>
      <c r="R213" s="2"/>
      <c r="S213" s="117"/>
      <c r="T213" s="2"/>
      <c r="U213" s="2"/>
      <c r="V213" s="2"/>
      <c r="W213" s="2"/>
      <c r="X213" s="2"/>
      <c r="Y213" s="2"/>
      <c r="Z213" s="117"/>
      <c r="AA213" s="2"/>
      <c r="AB213" s="2"/>
      <c r="AC213" s="2"/>
      <c r="AD213" s="117"/>
      <c r="AE213" s="2"/>
      <c r="AF213" s="2"/>
      <c r="AG213" s="117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117"/>
      <c r="AU213" s="2"/>
      <c r="AV213" s="2"/>
      <c r="AW213" s="2"/>
      <c r="AX213" s="2"/>
      <c r="AY213" s="2"/>
      <c r="AZ213" s="2"/>
      <c r="BA213" s="2"/>
      <c r="BB213" s="2"/>
      <c r="BC213" s="2"/>
    </row>
    <row r="214" spans="1:55" ht="24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117"/>
      <c r="M214" s="117"/>
      <c r="N214" s="117"/>
      <c r="O214" s="117"/>
      <c r="P214" s="2"/>
      <c r="Q214" s="2"/>
      <c r="R214" s="2"/>
      <c r="S214" s="117"/>
      <c r="T214" s="2"/>
      <c r="U214" s="2"/>
      <c r="V214" s="2"/>
      <c r="W214" s="2"/>
      <c r="X214" s="2"/>
      <c r="Y214" s="2"/>
      <c r="Z214" s="117"/>
      <c r="AA214" s="2"/>
      <c r="AB214" s="2"/>
      <c r="AC214" s="2"/>
      <c r="AD214" s="117"/>
      <c r="AE214" s="2"/>
      <c r="AF214" s="2"/>
      <c r="AG214" s="117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117"/>
      <c r="AU214" s="2"/>
      <c r="AV214" s="2"/>
      <c r="AW214" s="2"/>
      <c r="AX214" s="2"/>
      <c r="AY214" s="2"/>
      <c r="AZ214" s="2"/>
      <c r="BA214" s="2"/>
      <c r="BB214" s="2"/>
      <c r="BC214" s="2"/>
    </row>
    <row r="215" spans="1:55" ht="24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117"/>
      <c r="M215" s="117"/>
      <c r="N215" s="117"/>
      <c r="O215" s="117"/>
      <c r="P215" s="2"/>
      <c r="Q215" s="2"/>
      <c r="R215" s="2"/>
      <c r="S215" s="117"/>
      <c r="T215" s="2"/>
      <c r="U215" s="2"/>
      <c r="V215" s="2"/>
      <c r="W215" s="2"/>
      <c r="X215" s="2"/>
      <c r="Y215" s="2"/>
      <c r="Z215" s="117"/>
      <c r="AA215" s="2"/>
      <c r="AB215" s="2"/>
      <c r="AC215" s="2"/>
      <c r="AD215" s="117"/>
      <c r="AE215" s="2"/>
      <c r="AF215" s="2"/>
      <c r="AG215" s="117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117"/>
      <c r="AU215" s="2"/>
      <c r="AV215" s="2"/>
      <c r="AW215" s="2"/>
      <c r="AX215" s="2"/>
      <c r="AY215" s="2"/>
      <c r="AZ215" s="2"/>
      <c r="BA215" s="2"/>
      <c r="BB215" s="2"/>
      <c r="BC215" s="2"/>
    </row>
    <row r="216" spans="1:55" ht="24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117"/>
      <c r="M216" s="117"/>
      <c r="N216" s="117"/>
      <c r="O216" s="117"/>
      <c r="P216" s="2"/>
      <c r="Q216" s="2"/>
      <c r="R216" s="2"/>
      <c r="S216" s="117"/>
      <c r="T216" s="2"/>
      <c r="U216" s="2"/>
      <c r="V216" s="2"/>
      <c r="W216" s="2"/>
      <c r="X216" s="2"/>
      <c r="Y216" s="2"/>
      <c r="Z216" s="117"/>
      <c r="AA216" s="2"/>
      <c r="AB216" s="2"/>
      <c r="AC216" s="2"/>
      <c r="AD216" s="117"/>
      <c r="AE216" s="2"/>
      <c r="AF216" s="2"/>
      <c r="AG216" s="117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117"/>
      <c r="AU216" s="2"/>
      <c r="AV216" s="2"/>
      <c r="AW216" s="2"/>
      <c r="AX216" s="2"/>
      <c r="AY216" s="2"/>
      <c r="AZ216" s="2"/>
      <c r="BA216" s="2"/>
      <c r="BB216" s="2"/>
      <c r="BC216" s="2"/>
    </row>
    <row r="217" spans="1:55" ht="24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117"/>
      <c r="M217" s="117"/>
      <c r="N217" s="117"/>
      <c r="O217" s="117"/>
      <c r="P217" s="2"/>
      <c r="Q217" s="2"/>
      <c r="R217" s="2"/>
      <c r="S217" s="117"/>
      <c r="T217" s="2"/>
      <c r="U217" s="2"/>
      <c r="V217" s="2"/>
      <c r="W217" s="2"/>
      <c r="X217" s="2"/>
      <c r="Y217" s="2"/>
      <c r="Z217" s="117"/>
      <c r="AA217" s="2"/>
      <c r="AB217" s="2"/>
      <c r="AC217" s="2"/>
      <c r="AD217" s="117"/>
      <c r="AE217" s="2"/>
      <c r="AF217" s="2"/>
      <c r="AG217" s="117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117"/>
      <c r="AU217" s="2"/>
      <c r="AV217" s="2"/>
      <c r="AW217" s="2"/>
      <c r="AX217" s="2"/>
      <c r="AY217" s="2"/>
      <c r="AZ217" s="2"/>
      <c r="BA217" s="2"/>
      <c r="BB217" s="2"/>
      <c r="BC217" s="2"/>
    </row>
    <row r="218" spans="1:55" ht="24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117"/>
      <c r="M218" s="117"/>
      <c r="N218" s="117"/>
      <c r="O218" s="117"/>
      <c r="P218" s="2"/>
      <c r="Q218" s="2"/>
      <c r="R218" s="2"/>
      <c r="S218" s="117"/>
      <c r="T218" s="2"/>
      <c r="U218" s="2"/>
      <c r="V218" s="2"/>
      <c r="W218" s="2"/>
      <c r="X218" s="2"/>
      <c r="Y218" s="2"/>
      <c r="Z218" s="117"/>
      <c r="AA218" s="2"/>
      <c r="AB218" s="2"/>
      <c r="AC218" s="2"/>
      <c r="AD218" s="117"/>
      <c r="AE218" s="2"/>
      <c r="AF218" s="2"/>
      <c r="AG218" s="117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117"/>
      <c r="AU218" s="2"/>
      <c r="AV218" s="2"/>
      <c r="AW218" s="2"/>
      <c r="AX218" s="2"/>
      <c r="AY218" s="2"/>
      <c r="AZ218" s="2"/>
      <c r="BA218" s="2"/>
      <c r="BB218" s="2"/>
      <c r="BC218" s="2"/>
    </row>
    <row r="219" spans="1:55" ht="24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117"/>
      <c r="M219" s="117"/>
      <c r="N219" s="117"/>
      <c r="O219" s="117"/>
      <c r="P219" s="2"/>
      <c r="Q219" s="2"/>
      <c r="R219" s="2"/>
      <c r="S219" s="117"/>
      <c r="T219" s="2"/>
      <c r="U219" s="2"/>
      <c r="V219" s="2"/>
      <c r="W219" s="2"/>
      <c r="X219" s="2"/>
      <c r="Y219" s="2"/>
      <c r="Z219" s="117"/>
      <c r="AA219" s="2"/>
      <c r="AB219" s="2"/>
      <c r="AC219" s="2"/>
      <c r="AD219" s="117"/>
      <c r="AE219" s="2"/>
      <c r="AF219" s="2"/>
      <c r="AG219" s="117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117"/>
      <c r="AU219" s="2"/>
      <c r="AV219" s="2"/>
      <c r="AW219" s="2"/>
      <c r="AX219" s="2"/>
      <c r="AY219" s="2"/>
      <c r="AZ219" s="2"/>
      <c r="BA219" s="2"/>
      <c r="BB219" s="2"/>
      <c r="BC219" s="2"/>
    </row>
    <row r="220" spans="1:55" ht="24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117"/>
      <c r="M220" s="117"/>
      <c r="N220" s="117"/>
      <c r="O220" s="117"/>
      <c r="P220" s="2"/>
      <c r="Q220" s="2"/>
      <c r="R220" s="2"/>
      <c r="S220" s="117"/>
      <c r="T220" s="2"/>
      <c r="U220" s="2"/>
      <c r="V220" s="2"/>
      <c r="W220" s="2"/>
      <c r="X220" s="2"/>
      <c r="Y220" s="2"/>
      <c r="Z220" s="117"/>
      <c r="AA220" s="2"/>
      <c r="AB220" s="2"/>
      <c r="AC220" s="2"/>
      <c r="AD220" s="117"/>
      <c r="AE220" s="2"/>
      <c r="AF220" s="2"/>
      <c r="AG220" s="117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117"/>
      <c r="AU220" s="2"/>
      <c r="AV220" s="2"/>
      <c r="AW220" s="2"/>
      <c r="AX220" s="2"/>
      <c r="AY220" s="2"/>
      <c r="AZ220" s="2"/>
      <c r="BA220" s="2"/>
      <c r="BB220" s="2"/>
      <c r="BC220" s="2"/>
    </row>
    <row r="221" spans="1:55" ht="24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117"/>
      <c r="M221" s="117"/>
      <c r="N221" s="117"/>
      <c r="O221" s="117"/>
      <c r="P221" s="2"/>
      <c r="Q221" s="2"/>
      <c r="R221" s="2"/>
      <c r="S221" s="117"/>
      <c r="T221" s="2"/>
      <c r="U221" s="2"/>
      <c r="V221" s="2"/>
      <c r="W221" s="2"/>
      <c r="X221" s="2"/>
      <c r="Y221" s="2"/>
      <c r="Z221" s="117"/>
      <c r="AA221" s="2"/>
      <c r="AB221" s="2"/>
      <c r="AC221" s="2"/>
      <c r="AD221" s="117"/>
      <c r="AE221" s="2"/>
      <c r="AF221" s="2"/>
      <c r="AG221" s="117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117"/>
      <c r="AU221" s="2"/>
      <c r="AV221" s="2"/>
      <c r="AW221" s="2"/>
      <c r="AX221" s="2"/>
      <c r="AY221" s="2"/>
      <c r="AZ221" s="2"/>
      <c r="BA221" s="2"/>
      <c r="BB221" s="2"/>
      <c r="BC221" s="2"/>
    </row>
    <row r="222" spans="1:55" ht="24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117"/>
      <c r="M222" s="117"/>
      <c r="N222" s="117"/>
      <c r="O222" s="117"/>
      <c r="P222" s="2"/>
      <c r="Q222" s="2"/>
      <c r="R222" s="2"/>
      <c r="S222" s="117"/>
      <c r="T222" s="2"/>
      <c r="U222" s="2"/>
      <c r="V222" s="2"/>
      <c r="W222" s="2"/>
      <c r="X222" s="2"/>
      <c r="Y222" s="2"/>
      <c r="Z222" s="117"/>
      <c r="AA222" s="2"/>
      <c r="AB222" s="2"/>
      <c r="AC222" s="2"/>
      <c r="AD222" s="117"/>
      <c r="AE222" s="2"/>
      <c r="AF222" s="2"/>
      <c r="AG222" s="117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117"/>
      <c r="AU222" s="2"/>
      <c r="AV222" s="2"/>
      <c r="AW222" s="2"/>
      <c r="AX222" s="2"/>
      <c r="AY222" s="2"/>
      <c r="AZ222" s="2"/>
      <c r="BA222" s="2"/>
      <c r="BB222" s="2"/>
      <c r="BC222" s="2"/>
    </row>
    <row r="223" spans="1:55" ht="24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117"/>
      <c r="M223" s="117"/>
      <c r="N223" s="117"/>
      <c r="O223" s="117"/>
      <c r="P223" s="2"/>
      <c r="Q223" s="2"/>
      <c r="R223" s="2"/>
      <c r="S223" s="117"/>
      <c r="T223" s="2"/>
      <c r="U223" s="2"/>
      <c r="V223" s="2"/>
      <c r="W223" s="2"/>
      <c r="X223" s="2"/>
      <c r="Y223" s="2"/>
      <c r="Z223" s="117"/>
      <c r="AA223" s="2"/>
      <c r="AB223" s="2"/>
      <c r="AC223" s="2"/>
      <c r="AD223" s="117"/>
      <c r="AE223" s="2"/>
      <c r="AF223" s="2"/>
      <c r="AG223" s="117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117"/>
      <c r="AU223" s="2"/>
      <c r="AV223" s="2"/>
      <c r="AW223" s="2"/>
      <c r="AX223" s="2"/>
      <c r="AY223" s="2"/>
      <c r="AZ223" s="2"/>
      <c r="BA223" s="2"/>
      <c r="BB223" s="2"/>
      <c r="BC223" s="2"/>
    </row>
    <row r="224" spans="1:55" ht="24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117"/>
      <c r="M224" s="117"/>
      <c r="N224" s="117"/>
      <c r="O224" s="117"/>
      <c r="P224" s="2"/>
      <c r="Q224" s="2"/>
      <c r="R224" s="2"/>
      <c r="S224" s="117"/>
      <c r="T224" s="2"/>
      <c r="U224" s="2"/>
      <c r="V224" s="2"/>
      <c r="W224" s="2"/>
      <c r="X224" s="2"/>
      <c r="Y224" s="2"/>
      <c r="Z224" s="117"/>
      <c r="AA224" s="2"/>
      <c r="AB224" s="2"/>
      <c r="AC224" s="2"/>
      <c r="AD224" s="117"/>
      <c r="AE224" s="2"/>
      <c r="AF224" s="2"/>
      <c r="AG224" s="117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117"/>
      <c r="AU224" s="2"/>
      <c r="AV224" s="2"/>
      <c r="AW224" s="2"/>
      <c r="AX224" s="2"/>
      <c r="AY224" s="2"/>
      <c r="AZ224" s="2"/>
      <c r="BA224" s="2"/>
      <c r="BB224" s="2"/>
      <c r="BC224" s="2"/>
    </row>
    <row r="225" spans="1:55" ht="24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117"/>
      <c r="M225" s="117"/>
      <c r="N225" s="117"/>
      <c r="O225" s="117"/>
      <c r="P225" s="2"/>
      <c r="Q225" s="2"/>
      <c r="R225" s="2"/>
      <c r="S225" s="117"/>
      <c r="T225" s="2"/>
      <c r="U225" s="2"/>
      <c r="V225" s="2"/>
      <c r="W225" s="2"/>
      <c r="X225" s="2"/>
      <c r="Y225" s="2"/>
      <c r="Z225" s="117"/>
      <c r="AA225" s="2"/>
      <c r="AB225" s="2"/>
      <c r="AC225" s="2"/>
      <c r="AD225" s="117"/>
      <c r="AE225" s="2"/>
      <c r="AF225" s="2"/>
      <c r="AG225" s="117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117"/>
      <c r="AU225" s="2"/>
      <c r="AV225" s="2"/>
      <c r="AW225" s="2"/>
      <c r="AX225" s="2"/>
      <c r="AY225" s="2"/>
      <c r="AZ225" s="2"/>
      <c r="BA225" s="2"/>
      <c r="BB225" s="2"/>
      <c r="BC225" s="2"/>
    </row>
    <row r="226" spans="1:55" ht="24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117"/>
      <c r="M226" s="117"/>
      <c r="N226" s="117"/>
      <c r="O226" s="117"/>
      <c r="P226" s="2"/>
      <c r="Q226" s="2"/>
      <c r="R226" s="2"/>
      <c r="S226" s="117"/>
      <c r="T226" s="2"/>
      <c r="U226" s="2"/>
      <c r="V226" s="2"/>
      <c r="W226" s="2"/>
      <c r="X226" s="2"/>
      <c r="Y226" s="2"/>
      <c r="Z226" s="117"/>
      <c r="AA226" s="2"/>
      <c r="AB226" s="2"/>
      <c r="AC226" s="2"/>
      <c r="AD226" s="117"/>
      <c r="AE226" s="2"/>
      <c r="AF226" s="2"/>
      <c r="AG226" s="117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117"/>
      <c r="AU226" s="2"/>
      <c r="AV226" s="2"/>
      <c r="AW226" s="2"/>
      <c r="AX226" s="2"/>
      <c r="AY226" s="2"/>
      <c r="AZ226" s="2"/>
      <c r="BA226" s="2"/>
      <c r="BB226" s="2"/>
      <c r="BC226" s="2"/>
    </row>
    <row r="227" spans="1:55" ht="24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117"/>
      <c r="M227" s="117"/>
      <c r="N227" s="117"/>
      <c r="O227" s="117"/>
      <c r="P227" s="2"/>
      <c r="Q227" s="2"/>
      <c r="R227" s="2"/>
      <c r="S227" s="117"/>
      <c r="T227" s="2"/>
      <c r="U227" s="2"/>
      <c r="V227" s="2"/>
      <c r="W227" s="2"/>
      <c r="X227" s="2"/>
      <c r="Y227" s="2"/>
      <c r="Z227" s="117"/>
      <c r="AA227" s="2"/>
      <c r="AB227" s="2"/>
      <c r="AC227" s="2"/>
      <c r="AD227" s="117"/>
      <c r="AE227" s="2"/>
      <c r="AF227" s="2"/>
      <c r="AG227" s="117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117"/>
      <c r="AU227" s="2"/>
      <c r="AV227" s="2"/>
      <c r="AW227" s="2"/>
      <c r="AX227" s="2"/>
      <c r="AY227" s="2"/>
      <c r="AZ227" s="2"/>
      <c r="BA227" s="2"/>
      <c r="BB227" s="2"/>
      <c r="BC227" s="2"/>
    </row>
    <row r="228" spans="1:55" ht="24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117"/>
      <c r="M228" s="117"/>
      <c r="N228" s="117"/>
      <c r="O228" s="117"/>
      <c r="P228" s="2"/>
      <c r="Q228" s="2"/>
      <c r="R228" s="2"/>
      <c r="S228" s="117"/>
      <c r="T228" s="2"/>
      <c r="U228" s="2"/>
      <c r="V228" s="2"/>
      <c r="W228" s="2"/>
      <c r="X228" s="2"/>
      <c r="Y228" s="2"/>
      <c r="Z228" s="117"/>
      <c r="AA228" s="2"/>
      <c r="AB228" s="2"/>
      <c r="AC228" s="2"/>
      <c r="AD228" s="117"/>
      <c r="AE228" s="2"/>
      <c r="AF228" s="2"/>
      <c r="AG228" s="117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117"/>
      <c r="AU228" s="2"/>
      <c r="AV228" s="2"/>
      <c r="AW228" s="2"/>
      <c r="AX228" s="2"/>
      <c r="AY228" s="2"/>
      <c r="AZ228" s="2"/>
      <c r="BA228" s="2"/>
      <c r="BB228" s="2"/>
      <c r="BC228" s="2"/>
    </row>
    <row r="229" spans="1:55" ht="24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117"/>
      <c r="M229" s="117"/>
      <c r="N229" s="117"/>
      <c r="O229" s="117"/>
      <c r="P229" s="2"/>
      <c r="Q229" s="2"/>
      <c r="R229" s="2"/>
      <c r="S229" s="117"/>
      <c r="T229" s="2"/>
      <c r="U229" s="2"/>
      <c r="V229" s="2"/>
      <c r="W229" s="2"/>
      <c r="X229" s="2"/>
      <c r="Y229" s="2"/>
      <c r="Z229" s="117"/>
      <c r="AA229" s="2"/>
      <c r="AB229" s="2"/>
      <c r="AC229" s="2"/>
      <c r="AD229" s="117"/>
      <c r="AE229" s="2"/>
      <c r="AF229" s="2"/>
      <c r="AG229" s="117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117"/>
      <c r="AU229" s="2"/>
      <c r="AV229" s="2"/>
      <c r="AW229" s="2"/>
      <c r="AX229" s="2"/>
      <c r="AY229" s="2"/>
      <c r="AZ229" s="2"/>
      <c r="BA229" s="2"/>
      <c r="BB229" s="2"/>
      <c r="BC229" s="2"/>
    </row>
    <row r="230" spans="1:55" ht="24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117"/>
      <c r="M230" s="117"/>
      <c r="N230" s="117"/>
      <c r="O230" s="117"/>
      <c r="P230" s="2"/>
      <c r="Q230" s="2"/>
      <c r="R230" s="2"/>
      <c r="S230" s="117"/>
      <c r="T230" s="2"/>
      <c r="U230" s="2"/>
      <c r="V230" s="2"/>
      <c r="W230" s="2"/>
      <c r="X230" s="2"/>
      <c r="Y230" s="2"/>
      <c r="Z230" s="117"/>
      <c r="AA230" s="2"/>
      <c r="AB230" s="2"/>
      <c r="AC230" s="2"/>
      <c r="AD230" s="117"/>
      <c r="AE230" s="2"/>
      <c r="AF230" s="2"/>
      <c r="AG230" s="117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117"/>
      <c r="AU230" s="2"/>
      <c r="AV230" s="2"/>
      <c r="AW230" s="2"/>
      <c r="AX230" s="2"/>
      <c r="AY230" s="2"/>
      <c r="AZ230" s="2"/>
      <c r="BA230" s="2"/>
      <c r="BB230" s="2"/>
      <c r="BC230" s="2"/>
    </row>
    <row r="231" spans="1:55" ht="24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117"/>
      <c r="M231" s="117"/>
      <c r="N231" s="117"/>
      <c r="O231" s="117"/>
      <c r="P231" s="2"/>
      <c r="Q231" s="2"/>
      <c r="R231" s="2"/>
      <c r="S231" s="117"/>
      <c r="T231" s="2"/>
      <c r="U231" s="2"/>
      <c r="V231" s="2"/>
      <c r="W231" s="2"/>
      <c r="X231" s="2"/>
      <c r="Y231" s="2"/>
      <c r="Z231" s="117"/>
      <c r="AA231" s="2"/>
      <c r="AB231" s="2"/>
      <c r="AC231" s="2"/>
      <c r="AD231" s="117"/>
      <c r="AE231" s="2"/>
      <c r="AF231" s="2"/>
      <c r="AG231" s="117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117"/>
      <c r="AU231" s="2"/>
      <c r="AV231" s="2"/>
      <c r="AW231" s="2"/>
      <c r="AX231" s="2"/>
      <c r="AY231" s="2"/>
      <c r="AZ231" s="2"/>
      <c r="BA231" s="2"/>
      <c r="BB231" s="2"/>
      <c r="BC231" s="2"/>
    </row>
    <row r="232" spans="1:55" ht="24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117"/>
      <c r="M232" s="117"/>
      <c r="N232" s="117"/>
      <c r="O232" s="117"/>
      <c r="P232" s="2"/>
      <c r="Q232" s="2"/>
      <c r="R232" s="2"/>
      <c r="S232" s="117"/>
      <c r="T232" s="2"/>
      <c r="U232" s="2"/>
      <c r="V232" s="2"/>
      <c r="W232" s="2"/>
      <c r="X232" s="2"/>
      <c r="Y232" s="2"/>
      <c r="Z232" s="117"/>
      <c r="AA232" s="2"/>
      <c r="AB232" s="2"/>
      <c r="AC232" s="2"/>
      <c r="AD232" s="117"/>
      <c r="AE232" s="2"/>
      <c r="AF232" s="2"/>
      <c r="AG232" s="117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117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 ht="24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117"/>
      <c r="M233" s="117"/>
      <c r="N233" s="117"/>
      <c r="O233" s="117"/>
      <c r="P233" s="2"/>
      <c r="Q233" s="2"/>
      <c r="R233" s="2"/>
      <c r="S233" s="117"/>
      <c r="T233" s="2"/>
      <c r="U233" s="2"/>
      <c r="V233" s="2"/>
      <c r="W233" s="2"/>
      <c r="X233" s="2"/>
      <c r="Y233" s="2"/>
      <c r="Z233" s="117"/>
      <c r="AA233" s="2"/>
      <c r="AB233" s="2"/>
      <c r="AC233" s="2"/>
      <c r="AD233" s="117"/>
      <c r="AE233" s="2"/>
      <c r="AF233" s="2"/>
      <c r="AG233" s="117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117"/>
      <c r="AU233" s="2"/>
      <c r="AV233" s="2"/>
      <c r="AW233" s="2"/>
      <c r="AX233" s="2"/>
      <c r="AY233" s="2"/>
      <c r="AZ233" s="2"/>
      <c r="BA233" s="2"/>
      <c r="BB233" s="2"/>
      <c r="BC233" s="2"/>
    </row>
    <row r="234" spans="1:55" ht="24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117"/>
      <c r="M234" s="117"/>
      <c r="N234" s="117"/>
      <c r="O234" s="117"/>
      <c r="P234" s="2"/>
      <c r="Q234" s="2"/>
      <c r="R234" s="2"/>
      <c r="S234" s="117"/>
      <c r="T234" s="2"/>
      <c r="U234" s="2"/>
      <c r="V234" s="2"/>
      <c r="W234" s="2"/>
      <c r="X234" s="2"/>
      <c r="Y234" s="2"/>
      <c r="Z234" s="117"/>
      <c r="AA234" s="2"/>
      <c r="AB234" s="2"/>
      <c r="AC234" s="2"/>
      <c r="AD234" s="117"/>
      <c r="AE234" s="2"/>
      <c r="AF234" s="2"/>
      <c r="AG234" s="117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117"/>
      <c r="AU234" s="2"/>
      <c r="AV234" s="2"/>
      <c r="AW234" s="2"/>
      <c r="AX234" s="2"/>
      <c r="AY234" s="2"/>
      <c r="AZ234" s="2"/>
      <c r="BA234" s="2"/>
      <c r="BB234" s="2"/>
      <c r="BC234" s="2"/>
    </row>
    <row r="235" spans="1:55" ht="24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117"/>
      <c r="M235" s="117"/>
      <c r="N235" s="117"/>
      <c r="O235" s="117"/>
      <c r="P235" s="2"/>
      <c r="Q235" s="2"/>
      <c r="R235" s="2"/>
      <c r="S235" s="117"/>
      <c r="T235" s="2"/>
      <c r="U235" s="2"/>
      <c r="V235" s="2"/>
      <c r="W235" s="2"/>
      <c r="X235" s="2"/>
      <c r="Y235" s="2"/>
      <c r="Z235" s="117"/>
      <c r="AA235" s="2"/>
      <c r="AB235" s="2"/>
      <c r="AC235" s="2"/>
      <c r="AD235" s="117"/>
      <c r="AE235" s="2"/>
      <c r="AF235" s="2"/>
      <c r="AG235" s="117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117"/>
      <c r="AU235" s="2"/>
      <c r="AV235" s="2"/>
      <c r="AW235" s="2"/>
      <c r="AX235" s="2"/>
      <c r="AY235" s="2"/>
      <c r="AZ235" s="2"/>
      <c r="BA235" s="2"/>
      <c r="BB235" s="2"/>
      <c r="BC235" s="2"/>
    </row>
    <row r="236" spans="1:55" ht="24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117"/>
      <c r="M236" s="117"/>
      <c r="N236" s="117"/>
      <c r="O236" s="117"/>
      <c r="P236" s="2"/>
      <c r="Q236" s="2"/>
      <c r="R236" s="2"/>
      <c r="S236" s="117"/>
      <c r="T236" s="2"/>
      <c r="U236" s="2"/>
      <c r="V236" s="2"/>
      <c r="W236" s="2"/>
      <c r="X236" s="2"/>
      <c r="Y236" s="2"/>
      <c r="Z236" s="117"/>
      <c r="AA236" s="2"/>
      <c r="AB236" s="2"/>
      <c r="AC236" s="2"/>
      <c r="AD236" s="117"/>
      <c r="AE236" s="2"/>
      <c r="AF236" s="2"/>
      <c r="AG236" s="117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117"/>
      <c r="AU236" s="2"/>
      <c r="AV236" s="2"/>
      <c r="AW236" s="2"/>
      <c r="AX236" s="2"/>
      <c r="AY236" s="2"/>
      <c r="AZ236" s="2"/>
      <c r="BA236" s="2"/>
      <c r="BB236" s="2"/>
      <c r="BC236" s="2"/>
    </row>
    <row r="237" spans="1:55" ht="24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117"/>
      <c r="M237" s="117"/>
      <c r="N237" s="117"/>
      <c r="O237" s="117"/>
      <c r="P237" s="2"/>
      <c r="Q237" s="2"/>
      <c r="R237" s="2"/>
      <c r="S237" s="117"/>
      <c r="T237" s="2"/>
      <c r="U237" s="2"/>
      <c r="V237" s="2"/>
      <c r="W237" s="2"/>
      <c r="X237" s="2"/>
      <c r="Y237" s="2"/>
      <c r="Z237" s="117"/>
      <c r="AA237" s="2"/>
      <c r="AB237" s="2"/>
      <c r="AC237" s="2"/>
      <c r="AD237" s="117"/>
      <c r="AE237" s="2"/>
      <c r="AF237" s="2"/>
      <c r="AG237" s="117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117"/>
      <c r="AU237" s="2"/>
      <c r="AV237" s="2"/>
      <c r="AW237" s="2"/>
      <c r="AX237" s="2"/>
      <c r="AY237" s="2"/>
      <c r="AZ237" s="2"/>
      <c r="BA237" s="2"/>
      <c r="BB237" s="2"/>
      <c r="BC237" s="2"/>
    </row>
    <row r="238" spans="1:55" ht="24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117"/>
      <c r="M238" s="117"/>
      <c r="N238" s="117"/>
      <c r="O238" s="117"/>
      <c r="P238" s="2"/>
      <c r="Q238" s="2"/>
      <c r="R238" s="2"/>
      <c r="S238" s="117"/>
      <c r="T238" s="2"/>
      <c r="U238" s="2"/>
      <c r="V238" s="2"/>
      <c r="W238" s="2"/>
      <c r="X238" s="2"/>
      <c r="Y238" s="2"/>
      <c r="Z238" s="117"/>
      <c r="AA238" s="2"/>
      <c r="AB238" s="2"/>
      <c r="AC238" s="2"/>
      <c r="AD238" s="117"/>
      <c r="AE238" s="2"/>
      <c r="AF238" s="2"/>
      <c r="AG238" s="117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117"/>
      <c r="AU238" s="2"/>
      <c r="AV238" s="2"/>
      <c r="AW238" s="2"/>
      <c r="AX238" s="2"/>
      <c r="AY238" s="2"/>
      <c r="AZ238" s="2"/>
      <c r="BA238" s="2"/>
      <c r="BB238" s="2"/>
      <c r="BC238" s="2"/>
    </row>
    <row r="239" spans="1:55" ht="24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117"/>
      <c r="M239" s="117"/>
      <c r="N239" s="117"/>
      <c r="O239" s="117"/>
      <c r="P239" s="2"/>
      <c r="Q239" s="2"/>
      <c r="R239" s="2"/>
      <c r="S239" s="117"/>
      <c r="T239" s="2"/>
      <c r="U239" s="2"/>
      <c r="V239" s="2"/>
      <c r="W239" s="2"/>
      <c r="X239" s="2"/>
      <c r="Y239" s="2"/>
      <c r="Z239" s="117"/>
      <c r="AA239" s="2"/>
      <c r="AB239" s="2"/>
      <c r="AC239" s="2"/>
      <c r="AD239" s="117"/>
      <c r="AE239" s="2"/>
      <c r="AF239" s="2"/>
      <c r="AG239" s="117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117"/>
      <c r="AU239" s="2"/>
      <c r="AV239" s="2"/>
      <c r="AW239" s="2"/>
      <c r="AX239" s="2"/>
      <c r="AY239" s="2"/>
      <c r="AZ239" s="2"/>
      <c r="BA239" s="2"/>
      <c r="BB239" s="2"/>
      <c r="BC239" s="2"/>
    </row>
    <row r="240" spans="1:55" ht="24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117"/>
      <c r="M240" s="117"/>
      <c r="N240" s="117"/>
      <c r="O240" s="117"/>
      <c r="P240" s="2"/>
      <c r="Q240" s="2"/>
      <c r="R240" s="2"/>
      <c r="S240" s="117"/>
      <c r="T240" s="2"/>
      <c r="U240" s="2"/>
      <c r="V240" s="2"/>
      <c r="W240" s="2"/>
      <c r="X240" s="2"/>
      <c r="Y240" s="2"/>
      <c r="Z240" s="117"/>
      <c r="AA240" s="2"/>
      <c r="AB240" s="2"/>
      <c r="AC240" s="2"/>
      <c r="AD240" s="117"/>
      <c r="AE240" s="2"/>
      <c r="AF240" s="2"/>
      <c r="AG240" s="117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117"/>
      <c r="AU240" s="2"/>
      <c r="AV240" s="2"/>
      <c r="AW240" s="2"/>
      <c r="AX240" s="2"/>
      <c r="AY240" s="2"/>
      <c r="AZ240" s="2"/>
      <c r="BA240" s="2"/>
      <c r="BB240" s="2"/>
      <c r="BC240" s="2"/>
    </row>
    <row r="241" spans="1:55" ht="24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117"/>
      <c r="M241" s="117"/>
      <c r="N241" s="117"/>
      <c r="O241" s="117"/>
      <c r="P241" s="2"/>
      <c r="Q241" s="2"/>
      <c r="R241" s="2"/>
      <c r="S241" s="117"/>
      <c r="T241" s="2"/>
      <c r="U241" s="2"/>
      <c r="V241" s="2"/>
      <c r="W241" s="2"/>
      <c r="X241" s="2"/>
      <c r="Y241" s="2"/>
      <c r="Z241" s="117"/>
      <c r="AA241" s="2"/>
      <c r="AB241" s="2"/>
      <c r="AC241" s="2"/>
      <c r="AD241" s="117"/>
      <c r="AE241" s="2"/>
      <c r="AF241" s="2"/>
      <c r="AG241" s="117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117"/>
      <c r="AU241" s="2"/>
      <c r="AV241" s="2"/>
      <c r="AW241" s="2"/>
      <c r="AX241" s="2"/>
      <c r="AY241" s="2"/>
      <c r="AZ241" s="2"/>
      <c r="BA241" s="2"/>
      <c r="BB241" s="2"/>
      <c r="BC241" s="2"/>
    </row>
    <row r="242" spans="1:55" ht="24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117"/>
      <c r="M242" s="117"/>
      <c r="N242" s="117"/>
      <c r="O242" s="117"/>
      <c r="P242" s="2"/>
      <c r="Q242" s="2"/>
      <c r="R242" s="2"/>
      <c r="S242" s="117"/>
      <c r="T242" s="2"/>
      <c r="U242" s="2"/>
      <c r="V242" s="2"/>
      <c r="W242" s="2"/>
      <c r="X242" s="2"/>
      <c r="Y242" s="2"/>
      <c r="Z242" s="117"/>
      <c r="AA242" s="2"/>
      <c r="AB242" s="2"/>
      <c r="AC242" s="2"/>
      <c r="AD242" s="117"/>
      <c r="AE242" s="2"/>
      <c r="AF242" s="2"/>
      <c r="AG242" s="117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117"/>
      <c r="AU242" s="2"/>
      <c r="AV242" s="2"/>
      <c r="AW242" s="2"/>
      <c r="AX242" s="2"/>
      <c r="AY242" s="2"/>
      <c r="AZ242" s="2"/>
      <c r="BA242" s="2"/>
      <c r="BB242" s="2"/>
      <c r="BC242" s="2"/>
    </row>
    <row r="243" spans="1:55" ht="24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117"/>
      <c r="M243" s="117"/>
      <c r="N243" s="117"/>
      <c r="O243" s="117"/>
      <c r="P243" s="2"/>
      <c r="Q243" s="2"/>
      <c r="R243" s="2"/>
      <c r="S243" s="117"/>
      <c r="T243" s="2"/>
      <c r="U243" s="2"/>
      <c r="V243" s="2"/>
      <c r="W243" s="2"/>
      <c r="X243" s="2"/>
      <c r="Y243" s="2"/>
      <c r="Z243" s="117"/>
      <c r="AA243" s="2"/>
      <c r="AB243" s="2"/>
      <c r="AC243" s="2"/>
      <c r="AD243" s="117"/>
      <c r="AE243" s="2"/>
      <c r="AF243" s="2"/>
      <c r="AG243" s="117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117"/>
      <c r="AU243" s="2"/>
      <c r="AV243" s="2"/>
      <c r="AW243" s="2"/>
      <c r="AX243" s="2"/>
      <c r="AY243" s="2"/>
      <c r="AZ243" s="2"/>
      <c r="BA243" s="2"/>
      <c r="BB243" s="2"/>
      <c r="BC243" s="2"/>
    </row>
    <row r="244" spans="1:55" ht="24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117"/>
      <c r="M244" s="117"/>
      <c r="N244" s="117"/>
      <c r="O244" s="117"/>
      <c r="P244" s="2"/>
      <c r="Q244" s="2"/>
      <c r="R244" s="2"/>
      <c r="S244" s="117"/>
      <c r="T244" s="2"/>
      <c r="U244" s="2"/>
      <c r="V244" s="2"/>
      <c r="W244" s="2"/>
      <c r="X244" s="2"/>
      <c r="Y244" s="2"/>
      <c r="Z244" s="117"/>
      <c r="AA244" s="2"/>
      <c r="AB244" s="2"/>
      <c r="AC244" s="2"/>
      <c r="AD244" s="117"/>
      <c r="AE244" s="2"/>
      <c r="AF244" s="2"/>
      <c r="AG244" s="117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117"/>
      <c r="AU244" s="2"/>
      <c r="AV244" s="2"/>
      <c r="AW244" s="2"/>
      <c r="AX244" s="2"/>
      <c r="AY244" s="2"/>
      <c r="AZ244" s="2"/>
      <c r="BA244" s="2"/>
      <c r="BB244" s="2"/>
      <c r="BC244" s="2"/>
    </row>
    <row r="245" spans="1:55" ht="24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117"/>
      <c r="M245" s="117"/>
      <c r="N245" s="117"/>
      <c r="O245" s="117"/>
      <c r="P245" s="2"/>
      <c r="Q245" s="2"/>
      <c r="R245" s="2"/>
      <c r="S245" s="117"/>
      <c r="T245" s="2"/>
      <c r="U245" s="2"/>
      <c r="V245" s="2"/>
      <c r="W245" s="2"/>
      <c r="X245" s="2"/>
      <c r="Y245" s="2"/>
      <c r="Z245" s="117"/>
      <c r="AA245" s="2"/>
      <c r="AB245" s="2"/>
      <c r="AC245" s="2"/>
      <c r="AD245" s="117"/>
      <c r="AE245" s="2"/>
      <c r="AF245" s="2"/>
      <c r="AG245" s="117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117"/>
      <c r="AU245" s="2"/>
      <c r="AV245" s="2"/>
      <c r="AW245" s="2"/>
      <c r="AX245" s="2"/>
      <c r="AY245" s="2"/>
      <c r="AZ245" s="2"/>
      <c r="BA245" s="2"/>
      <c r="BB245" s="2"/>
      <c r="BC245" s="2"/>
    </row>
    <row r="246" spans="1:55" ht="24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117"/>
      <c r="M246" s="117"/>
      <c r="N246" s="117"/>
      <c r="O246" s="117"/>
      <c r="P246" s="2"/>
      <c r="Q246" s="2"/>
      <c r="R246" s="2"/>
      <c r="S246" s="117"/>
      <c r="T246" s="2"/>
      <c r="U246" s="2"/>
      <c r="V246" s="2"/>
      <c r="W246" s="2"/>
      <c r="X246" s="2"/>
      <c r="Y246" s="2"/>
      <c r="Z246" s="117"/>
      <c r="AA246" s="2"/>
      <c r="AB246" s="2"/>
      <c r="AC246" s="2"/>
      <c r="AD246" s="117"/>
      <c r="AE246" s="2"/>
      <c r="AF246" s="2"/>
      <c r="AG246" s="117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117"/>
      <c r="AU246" s="2"/>
      <c r="AV246" s="2"/>
      <c r="AW246" s="2"/>
      <c r="AX246" s="2"/>
      <c r="AY246" s="2"/>
      <c r="AZ246" s="2"/>
      <c r="BA246" s="2"/>
      <c r="BB246" s="2"/>
      <c r="BC246" s="2"/>
    </row>
    <row r="247" spans="1:55" ht="24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117"/>
      <c r="M247" s="117"/>
      <c r="N247" s="117"/>
      <c r="O247" s="117"/>
      <c r="P247" s="2"/>
      <c r="Q247" s="2"/>
      <c r="R247" s="2"/>
      <c r="S247" s="117"/>
      <c r="T247" s="2"/>
      <c r="U247" s="2"/>
      <c r="V247" s="2"/>
      <c r="W247" s="2"/>
      <c r="X247" s="2"/>
      <c r="Y247" s="2"/>
      <c r="Z247" s="117"/>
      <c r="AA247" s="2"/>
      <c r="AB247" s="2"/>
      <c r="AC247" s="2"/>
      <c r="AD247" s="117"/>
      <c r="AE247" s="2"/>
      <c r="AF247" s="2"/>
      <c r="AG247" s="117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117"/>
      <c r="AU247" s="2"/>
      <c r="AV247" s="2"/>
      <c r="AW247" s="2"/>
      <c r="AX247" s="2"/>
      <c r="AY247" s="2"/>
      <c r="AZ247" s="2"/>
      <c r="BA247" s="2"/>
      <c r="BB247" s="2"/>
      <c r="BC247" s="2"/>
    </row>
    <row r="248" spans="1:55" ht="24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117"/>
      <c r="M248" s="117"/>
      <c r="N248" s="117"/>
      <c r="O248" s="117"/>
      <c r="P248" s="2"/>
      <c r="Q248" s="2"/>
      <c r="R248" s="2"/>
      <c r="S248" s="117"/>
      <c r="T248" s="2"/>
      <c r="U248" s="2"/>
      <c r="V248" s="2"/>
      <c r="W248" s="2"/>
      <c r="X248" s="2"/>
      <c r="Y248" s="2"/>
      <c r="Z248" s="117"/>
      <c r="AA248" s="2"/>
      <c r="AB248" s="2"/>
      <c r="AC248" s="2"/>
      <c r="AD248" s="117"/>
      <c r="AE248" s="2"/>
      <c r="AF248" s="2"/>
      <c r="AG248" s="117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117"/>
      <c r="AU248" s="2"/>
      <c r="AV248" s="2"/>
      <c r="AW248" s="2"/>
      <c r="AX248" s="2"/>
      <c r="AY248" s="2"/>
      <c r="AZ248" s="2"/>
      <c r="BA248" s="2"/>
      <c r="BB248" s="2"/>
      <c r="BC248" s="2"/>
    </row>
    <row r="249" spans="1:55" ht="24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117"/>
      <c r="M249" s="117"/>
      <c r="N249" s="117"/>
      <c r="O249" s="117"/>
      <c r="P249" s="2"/>
      <c r="Q249" s="2"/>
      <c r="R249" s="2"/>
      <c r="S249" s="117"/>
      <c r="T249" s="2"/>
      <c r="U249" s="2"/>
      <c r="V249" s="2"/>
      <c r="W249" s="2"/>
      <c r="X249" s="2"/>
      <c r="Y249" s="2"/>
      <c r="Z249" s="117"/>
      <c r="AA249" s="2"/>
      <c r="AB249" s="2"/>
      <c r="AC249" s="2"/>
      <c r="AD249" s="117"/>
      <c r="AE249" s="2"/>
      <c r="AF249" s="2"/>
      <c r="AG249" s="117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117"/>
      <c r="AU249" s="2"/>
      <c r="AV249" s="2"/>
      <c r="AW249" s="2"/>
      <c r="AX249" s="2"/>
      <c r="AY249" s="2"/>
      <c r="AZ249" s="2"/>
      <c r="BA249" s="2"/>
      <c r="BB249" s="2"/>
      <c r="BC249" s="2"/>
    </row>
    <row r="250" spans="1:55" ht="24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117"/>
      <c r="M250" s="117"/>
      <c r="N250" s="117"/>
      <c r="O250" s="117"/>
      <c r="P250" s="2"/>
      <c r="Q250" s="2"/>
      <c r="R250" s="2"/>
      <c r="S250" s="117"/>
      <c r="T250" s="2"/>
      <c r="U250" s="2"/>
      <c r="V250" s="2"/>
      <c r="W250" s="2"/>
      <c r="X250" s="2"/>
      <c r="Y250" s="2"/>
      <c r="Z250" s="117"/>
      <c r="AA250" s="2"/>
      <c r="AB250" s="2"/>
      <c r="AC250" s="2"/>
      <c r="AD250" s="117"/>
      <c r="AE250" s="2"/>
      <c r="AF250" s="2"/>
      <c r="AG250" s="117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117"/>
      <c r="AU250" s="2"/>
      <c r="AV250" s="2"/>
      <c r="AW250" s="2"/>
      <c r="AX250" s="2"/>
      <c r="AY250" s="2"/>
      <c r="AZ250" s="2"/>
      <c r="BA250" s="2"/>
      <c r="BB250" s="2"/>
      <c r="BC250" s="2"/>
    </row>
    <row r="251" spans="1:55" ht="24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117"/>
      <c r="M251" s="117"/>
      <c r="N251" s="117"/>
      <c r="O251" s="117"/>
      <c r="P251" s="2"/>
      <c r="Q251" s="2"/>
      <c r="R251" s="2"/>
      <c r="S251" s="117"/>
      <c r="T251" s="2"/>
      <c r="U251" s="2"/>
      <c r="V251" s="2"/>
      <c r="W251" s="2"/>
      <c r="X251" s="2"/>
      <c r="Y251" s="2"/>
      <c r="Z251" s="117"/>
      <c r="AA251" s="2"/>
      <c r="AB251" s="2"/>
      <c r="AC251" s="2"/>
      <c r="AD251" s="117"/>
      <c r="AE251" s="2"/>
      <c r="AF251" s="2"/>
      <c r="AG251" s="117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117"/>
      <c r="AU251" s="2"/>
      <c r="AV251" s="2"/>
      <c r="AW251" s="2"/>
      <c r="AX251" s="2"/>
      <c r="AY251" s="2"/>
      <c r="AZ251" s="2"/>
      <c r="BA251" s="2"/>
      <c r="BB251" s="2"/>
      <c r="BC251" s="2"/>
    </row>
    <row r="252" spans="1:55" ht="24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117"/>
      <c r="M252" s="117"/>
      <c r="N252" s="117"/>
      <c r="O252" s="117"/>
      <c r="P252" s="2"/>
      <c r="Q252" s="2"/>
      <c r="R252" s="2"/>
      <c r="S252" s="117"/>
      <c r="T252" s="2"/>
      <c r="U252" s="2"/>
      <c r="V252" s="2"/>
      <c r="W252" s="2"/>
      <c r="X252" s="2"/>
      <c r="Y252" s="2"/>
      <c r="Z252" s="117"/>
      <c r="AA252" s="2"/>
      <c r="AB252" s="2"/>
      <c r="AC252" s="2"/>
      <c r="AD252" s="117"/>
      <c r="AE252" s="2"/>
      <c r="AF252" s="2"/>
      <c r="AG252" s="117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117"/>
      <c r="AU252" s="2"/>
      <c r="AV252" s="2"/>
      <c r="AW252" s="2"/>
      <c r="AX252" s="2"/>
      <c r="AY252" s="2"/>
      <c r="AZ252" s="2"/>
      <c r="BA252" s="2"/>
      <c r="BB252" s="2"/>
      <c r="BC252" s="2"/>
    </row>
    <row r="253" spans="1:55" ht="24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117"/>
      <c r="M253" s="117"/>
      <c r="N253" s="117"/>
      <c r="O253" s="117"/>
      <c r="P253" s="2"/>
      <c r="Q253" s="2"/>
      <c r="R253" s="2"/>
      <c r="S253" s="117"/>
      <c r="T253" s="2"/>
      <c r="U253" s="2"/>
      <c r="V253" s="2"/>
      <c r="W253" s="2"/>
      <c r="X253" s="2"/>
      <c r="Y253" s="2"/>
      <c r="Z253" s="117"/>
      <c r="AA253" s="2"/>
      <c r="AB253" s="2"/>
      <c r="AC253" s="2"/>
      <c r="AD253" s="117"/>
      <c r="AE253" s="2"/>
      <c r="AF253" s="2"/>
      <c r="AG253" s="117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117"/>
      <c r="AU253" s="2"/>
      <c r="AV253" s="2"/>
      <c r="AW253" s="2"/>
      <c r="AX253" s="2"/>
      <c r="AY253" s="2"/>
      <c r="AZ253" s="2"/>
      <c r="BA253" s="2"/>
      <c r="BB253" s="2"/>
      <c r="BC253" s="2"/>
    </row>
    <row r="254" spans="1:55" ht="24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117"/>
      <c r="M254" s="117"/>
      <c r="N254" s="117"/>
      <c r="O254" s="117"/>
      <c r="P254" s="2"/>
      <c r="Q254" s="2"/>
      <c r="R254" s="2"/>
      <c r="S254" s="117"/>
      <c r="T254" s="2"/>
      <c r="U254" s="2"/>
      <c r="V254" s="2"/>
      <c r="W254" s="2"/>
      <c r="X254" s="2"/>
      <c r="Y254" s="2"/>
      <c r="Z254" s="117"/>
      <c r="AA254" s="2"/>
      <c r="AB254" s="2"/>
      <c r="AC254" s="2"/>
      <c r="AD254" s="117"/>
      <c r="AE254" s="2"/>
      <c r="AF254" s="2"/>
      <c r="AG254" s="117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117"/>
      <c r="AU254" s="2"/>
      <c r="AV254" s="2"/>
      <c r="AW254" s="2"/>
      <c r="AX254" s="2"/>
      <c r="AY254" s="2"/>
      <c r="AZ254" s="2"/>
      <c r="BA254" s="2"/>
      <c r="BB254" s="2"/>
      <c r="BC254" s="2"/>
    </row>
    <row r="255" spans="1:55" ht="24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117"/>
      <c r="M255" s="117"/>
      <c r="N255" s="117"/>
      <c r="O255" s="117"/>
      <c r="P255" s="2"/>
      <c r="Q255" s="2"/>
      <c r="R255" s="2"/>
      <c r="S255" s="117"/>
      <c r="T255" s="2"/>
      <c r="U255" s="2"/>
      <c r="V255" s="2"/>
      <c r="W255" s="2"/>
      <c r="X255" s="2"/>
      <c r="Y255" s="2"/>
      <c r="Z255" s="117"/>
      <c r="AA255" s="2"/>
      <c r="AB255" s="2"/>
      <c r="AC255" s="2"/>
      <c r="AD255" s="117"/>
      <c r="AE255" s="2"/>
      <c r="AF255" s="2"/>
      <c r="AG255" s="117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117"/>
      <c r="AU255" s="2"/>
      <c r="AV255" s="2"/>
      <c r="AW255" s="2"/>
      <c r="AX255" s="2"/>
      <c r="AY255" s="2"/>
      <c r="AZ255" s="2"/>
      <c r="BA255" s="2"/>
      <c r="BB255" s="2"/>
      <c r="BC255" s="2"/>
    </row>
    <row r="256" spans="1:55" ht="24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117"/>
      <c r="M256" s="117"/>
      <c r="N256" s="117"/>
      <c r="O256" s="117"/>
      <c r="P256" s="2"/>
      <c r="Q256" s="2"/>
      <c r="R256" s="2"/>
      <c r="S256" s="117"/>
      <c r="T256" s="2"/>
      <c r="U256" s="2"/>
      <c r="V256" s="2"/>
      <c r="W256" s="2"/>
      <c r="X256" s="2"/>
      <c r="Y256" s="2"/>
      <c r="Z256" s="117"/>
      <c r="AA256" s="2"/>
      <c r="AB256" s="2"/>
      <c r="AC256" s="2"/>
      <c r="AD256" s="117"/>
      <c r="AE256" s="2"/>
      <c r="AF256" s="2"/>
      <c r="AG256" s="117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117"/>
      <c r="AU256" s="2"/>
      <c r="AV256" s="2"/>
      <c r="AW256" s="2"/>
      <c r="AX256" s="2"/>
      <c r="AY256" s="2"/>
      <c r="AZ256" s="2"/>
      <c r="BA256" s="2"/>
      <c r="BB256" s="2"/>
      <c r="BC256" s="2"/>
    </row>
    <row r="257" spans="1:55" ht="24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117"/>
      <c r="M257" s="117"/>
      <c r="N257" s="117"/>
      <c r="O257" s="117"/>
      <c r="P257" s="2"/>
      <c r="Q257" s="2"/>
      <c r="R257" s="2"/>
      <c r="S257" s="117"/>
      <c r="T257" s="2"/>
      <c r="U257" s="2"/>
      <c r="V257" s="2"/>
      <c r="W257" s="2"/>
      <c r="X257" s="2"/>
      <c r="Y257" s="2"/>
      <c r="Z257" s="117"/>
      <c r="AA257" s="2"/>
      <c r="AB257" s="2"/>
      <c r="AC257" s="2"/>
      <c r="AD257" s="117"/>
      <c r="AE257" s="2"/>
      <c r="AF257" s="2"/>
      <c r="AG257" s="117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117"/>
      <c r="AU257" s="2"/>
      <c r="AV257" s="2"/>
      <c r="AW257" s="2"/>
      <c r="AX257" s="2"/>
      <c r="AY257" s="2"/>
      <c r="AZ257" s="2"/>
      <c r="BA257" s="2"/>
      <c r="BB257" s="2"/>
      <c r="BC257" s="2"/>
    </row>
    <row r="258" spans="1:55" ht="24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117"/>
      <c r="M258" s="117"/>
      <c r="N258" s="117"/>
      <c r="O258" s="117"/>
      <c r="P258" s="2"/>
      <c r="Q258" s="2"/>
      <c r="R258" s="2"/>
      <c r="S258" s="117"/>
      <c r="T258" s="2"/>
      <c r="U258" s="2"/>
      <c r="V258" s="2"/>
      <c r="W258" s="2"/>
      <c r="X258" s="2"/>
      <c r="Y258" s="2"/>
      <c r="Z258" s="117"/>
      <c r="AA258" s="2"/>
      <c r="AB258" s="2"/>
      <c r="AC258" s="2"/>
      <c r="AD258" s="117"/>
      <c r="AE258" s="2"/>
      <c r="AF258" s="2"/>
      <c r="AG258" s="117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117"/>
      <c r="AU258" s="2"/>
      <c r="AV258" s="2"/>
      <c r="AW258" s="2"/>
      <c r="AX258" s="2"/>
      <c r="AY258" s="2"/>
      <c r="AZ258" s="2"/>
      <c r="BA258" s="2"/>
      <c r="BB258" s="2"/>
      <c r="BC258" s="2"/>
    </row>
    <row r="259" spans="1:55" ht="24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117"/>
      <c r="M259" s="117"/>
      <c r="N259" s="117"/>
      <c r="O259" s="117"/>
      <c r="P259" s="2"/>
      <c r="Q259" s="2"/>
      <c r="R259" s="2"/>
      <c r="S259" s="117"/>
      <c r="T259" s="2"/>
      <c r="U259" s="2"/>
      <c r="V259" s="2"/>
      <c r="W259" s="2"/>
      <c r="X259" s="2"/>
      <c r="Y259" s="2"/>
      <c r="Z259" s="117"/>
      <c r="AA259" s="2"/>
      <c r="AB259" s="2"/>
      <c r="AC259" s="2"/>
      <c r="AD259" s="117"/>
      <c r="AE259" s="2"/>
      <c r="AF259" s="2"/>
      <c r="AG259" s="117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117"/>
      <c r="AU259" s="2"/>
      <c r="AV259" s="2"/>
      <c r="AW259" s="2"/>
      <c r="AX259" s="2"/>
      <c r="AY259" s="2"/>
      <c r="AZ259" s="2"/>
      <c r="BA259" s="2"/>
      <c r="BB259" s="2"/>
      <c r="BC259" s="2"/>
    </row>
    <row r="260" spans="1:55" ht="24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117"/>
      <c r="M260" s="117"/>
      <c r="N260" s="117"/>
      <c r="O260" s="117"/>
      <c r="P260" s="2"/>
      <c r="Q260" s="2"/>
      <c r="R260" s="2"/>
      <c r="S260" s="117"/>
      <c r="T260" s="2"/>
      <c r="U260" s="2"/>
      <c r="V260" s="2"/>
      <c r="W260" s="2"/>
      <c r="X260" s="2"/>
      <c r="Y260" s="2"/>
      <c r="Z260" s="117"/>
      <c r="AA260" s="2"/>
      <c r="AB260" s="2"/>
      <c r="AC260" s="2"/>
      <c r="AD260" s="117"/>
      <c r="AE260" s="2"/>
      <c r="AF260" s="2"/>
      <c r="AG260" s="117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117"/>
      <c r="AU260" s="2"/>
      <c r="AV260" s="2"/>
      <c r="AW260" s="2"/>
      <c r="AX260" s="2"/>
      <c r="AY260" s="2"/>
      <c r="AZ260" s="2"/>
      <c r="BA260" s="2"/>
      <c r="BB260" s="2"/>
      <c r="BC260" s="2"/>
    </row>
    <row r="261" spans="1:55" ht="24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117"/>
      <c r="M261" s="117"/>
      <c r="N261" s="117"/>
      <c r="O261" s="117"/>
      <c r="P261" s="2"/>
      <c r="Q261" s="2"/>
      <c r="R261" s="2"/>
      <c r="S261" s="117"/>
      <c r="T261" s="2"/>
      <c r="U261" s="2"/>
      <c r="V261" s="2"/>
      <c r="W261" s="2"/>
      <c r="X261" s="2"/>
      <c r="Y261" s="2"/>
      <c r="Z261" s="117"/>
      <c r="AA261" s="2"/>
      <c r="AB261" s="2"/>
      <c r="AC261" s="2"/>
      <c r="AD261" s="117"/>
      <c r="AE261" s="2"/>
      <c r="AF261" s="2"/>
      <c r="AG261" s="117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117"/>
      <c r="AU261" s="2"/>
      <c r="AV261" s="2"/>
      <c r="AW261" s="2"/>
      <c r="AX261" s="2"/>
      <c r="AY261" s="2"/>
      <c r="AZ261" s="2"/>
      <c r="BA261" s="2"/>
      <c r="BB261" s="2"/>
      <c r="BC261" s="2"/>
    </row>
    <row r="262" spans="1:55" ht="24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117"/>
      <c r="M262" s="117"/>
      <c r="N262" s="117"/>
      <c r="O262" s="117"/>
      <c r="P262" s="2"/>
      <c r="Q262" s="2"/>
      <c r="R262" s="2"/>
      <c r="S262" s="117"/>
      <c r="T262" s="2"/>
      <c r="U262" s="2"/>
      <c r="V262" s="2"/>
      <c r="W262" s="2"/>
      <c r="X262" s="2"/>
      <c r="Y262" s="2"/>
      <c r="Z262" s="117"/>
      <c r="AA262" s="2"/>
      <c r="AB262" s="2"/>
      <c r="AC262" s="2"/>
      <c r="AD262" s="117"/>
      <c r="AE262" s="2"/>
      <c r="AF262" s="2"/>
      <c r="AG262" s="117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117"/>
      <c r="AU262" s="2"/>
      <c r="AV262" s="2"/>
      <c r="AW262" s="2"/>
      <c r="AX262" s="2"/>
      <c r="AY262" s="2"/>
      <c r="AZ262" s="2"/>
      <c r="BA262" s="2"/>
      <c r="BB262" s="2"/>
      <c r="BC262" s="2"/>
    </row>
    <row r="263" spans="1:55" ht="24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117"/>
      <c r="M263" s="117"/>
      <c r="N263" s="117"/>
      <c r="O263" s="117"/>
      <c r="P263" s="2"/>
      <c r="Q263" s="2"/>
      <c r="R263" s="2"/>
      <c r="S263" s="117"/>
      <c r="T263" s="2"/>
      <c r="U263" s="2"/>
      <c r="V263" s="2"/>
      <c r="W263" s="2"/>
      <c r="X263" s="2"/>
      <c r="Y263" s="2"/>
      <c r="Z263" s="117"/>
      <c r="AA263" s="2"/>
      <c r="AB263" s="2"/>
      <c r="AC263" s="2"/>
      <c r="AD263" s="117"/>
      <c r="AE263" s="2"/>
      <c r="AF263" s="2"/>
      <c r="AG263" s="117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117"/>
      <c r="AU263" s="2"/>
      <c r="AV263" s="2"/>
      <c r="AW263" s="2"/>
      <c r="AX263" s="2"/>
      <c r="AY263" s="2"/>
      <c r="AZ263" s="2"/>
      <c r="BA263" s="2"/>
      <c r="BB263" s="2"/>
      <c r="BC263" s="2"/>
    </row>
    <row r="264" spans="1:55" ht="24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117"/>
      <c r="M264" s="117"/>
      <c r="N264" s="117"/>
      <c r="O264" s="117"/>
      <c r="P264" s="2"/>
      <c r="Q264" s="2"/>
      <c r="R264" s="2"/>
      <c r="S264" s="117"/>
      <c r="T264" s="2"/>
      <c r="U264" s="2"/>
      <c r="V264" s="2"/>
      <c r="W264" s="2"/>
      <c r="X264" s="2"/>
      <c r="Y264" s="2"/>
      <c r="Z264" s="117"/>
      <c r="AA264" s="2"/>
      <c r="AB264" s="2"/>
      <c r="AC264" s="2"/>
      <c r="AD264" s="117"/>
      <c r="AE264" s="2"/>
      <c r="AF264" s="2"/>
      <c r="AG264" s="117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117"/>
      <c r="AU264" s="2"/>
      <c r="AV264" s="2"/>
      <c r="AW264" s="2"/>
      <c r="AX264" s="2"/>
      <c r="AY264" s="2"/>
      <c r="AZ264" s="2"/>
      <c r="BA264" s="2"/>
      <c r="BB264" s="2"/>
      <c r="BC264" s="2"/>
    </row>
    <row r="265" spans="1:55" ht="24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117"/>
      <c r="M265" s="117"/>
      <c r="N265" s="117"/>
      <c r="O265" s="117"/>
      <c r="P265" s="2"/>
      <c r="Q265" s="2"/>
      <c r="R265" s="2"/>
      <c r="S265" s="117"/>
      <c r="T265" s="2"/>
      <c r="U265" s="2"/>
      <c r="V265" s="2"/>
      <c r="W265" s="2"/>
      <c r="X265" s="2"/>
      <c r="Y265" s="2"/>
      <c r="Z265" s="117"/>
      <c r="AA265" s="2"/>
      <c r="AB265" s="2"/>
      <c r="AC265" s="2"/>
      <c r="AD265" s="117"/>
      <c r="AE265" s="2"/>
      <c r="AF265" s="2"/>
      <c r="AG265" s="117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117"/>
      <c r="AU265" s="2"/>
      <c r="AV265" s="2"/>
      <c r="AW265" s="2"/>
      <c r="AX265" s="2"/>
      <c r="AY265" s="2"/>
      <c r="AZ265" s="2"/>
      <c r="BA265" s="2"/>
      <c r="BB265" s="2"/>
      <c r="BC265" s="2"/>
    </row>
    <row r="266" spans="1:55" ht="24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117"/>
      <c r="M266" s="117"/>
      <c r="N266" s="117"/>
      <c r="O266" s="117"/>
      <c r="P266" s="2"/>
      <c r="Q266" s="2"/>
      <c r="R266" s="2"/>
      <c r="S266" s="117"/>
      <c r="T266" s="2"/>
      <c r="U266" s="2"/>
      <c r="V266" s="2"/>
      <c r="W266" s="2"/>
      <c r="X266" s="2"/>
      <c r="Y266" s="2"/>
      <c r="Z266" s="117"/>
      <c r="AA266" s="2"/>
      <c r="AB266" s="2"/>
      <c r="AC266" s="2"/>
      <c r="AD266" s="117"/>
      <c r="AE266" s="2"/>
      <c r="AF266" s="2"/>
      <c r="AG266" s="117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117"/>
      <c r="AU266" s="2"/>
      <c r="AV266" s="2"/>
      <c r="AW266" s="2"/>
      <c r="AX266" s="2"/>
      <c r="AY266" s="2"/>
      <c r="AZ266" s="2"/>
      <c r="BA266" s="2"/>
      <c r="BB266" s="2"/>
      <c r="BC266" s="2"/>
    </row>
    <row r="267" spans="1:55" ht="24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117"/>
      <c r="M267" s="117"/>
      <c r="N267" s="117"/>
      <c r="O267" s="117"/>
      <c r="P267" s="2"/>
      <c r="Q267" s="2"/>
      <c r="R267" s="2"/>
      <c r="S267" s="117"/>
      <c r="T267" s="2"/>
      <c r="U267" s="2"/>
      <c r="V267" s="2"/>
      <c r="W267" s="2"/>
      <c r="X267" s="2"/>
      <c r="Y267" s="2"/>
      <c r="Z267" s="117"/>
      <c r="AA267" s="2"/>
      <c r="AB267" s="2"/>
      <c r="AC267" s="2"/>
      <c r="AD267" s="117"/>
      <c r="AE267" s="2"/>
      <c r="AF267" s="2"/>
      <c r="AG267" s="117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117"/>
      <c r="AU267" s="2"/>
      <c r="AV267" s="2"/>
      <c r="AW267" s="2"/>
      <c r="AX267" s="2"/>
      <c r="AY267" s="2"/>
      <c r="AZ267" s="2"/>
      <c r="BA267" s="2"/>
      <c r="BB267" s="2"/>
      <c r="BC267" s="2"/>
    </row>
    <row r="268" spans="1:55" ht="24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117"/>
      <c r="M268" s="117"/>
      <c r="N268" s="117"/>
      <c r="O268" s="117"/>
      <c r="P268" s="2"/>
      <c r="Q268" s="2"/>
      <c r="R268" s="2"/>
      <c r="S268" s="117"/>
      <c r="T268" s="2"/>
      <c r="U268" s="2"/>
      <c r="V268" s="2"/>
      <c r="W268" s="2"/>
      <c r="X268" s="2"/>
      <c r="Y268" s="2"/>
      <c r="Z268" s="117"/>
      <c r="AA268" s="2"/>
      <c r="AB268" s="2"/>
      <c r="AC268" s="2"/>
      <c r="AD268" s="117"/>
      <c r="AE268" s="2"/>
      <c r="AF268" s="2"/>
      <c r="AG268" s="117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117"/>
      <c r="AU268" s="2"/>
      <c r="AV268" s="2"/>
      <c r="AW268" s="2"/>
      <c r="AX268" s="2"/>
      <c r="AY268" s="2"/>
      <c r="AZ268" s="2"/>
      <c r="BA268" s="2"/>
      <c r="BB268" s="2"/>
      <c r="BC268" s="2"/>
    </row>
    <row r="269" spans="1:55" ht="24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117"/>
      <c r="M269" s="117"/>
      <c r="N269" s="117"/>
      <c r="O269" s="117"/>
      <c r="P269" s="2"/>
      <c r="Q269" s="2"/>
      <c r="R269" s="2"/>
      <c r="S269" s="117"/>
      <c r="T269" s="2"/>
      <c r="U269" s="2"/>
      <c r="V269" s="2"/>
      <c r="W269" s="2"/>
      <c r="X269" s="2"/>
      <c r="Y269" s="2"/>
      <c r="Z269" s="117"/>
      <c r="AA269" s="2"/>
      <c r="AB269" s="2"/>
      <c r="AC269" s="2"/>
      <c r="AD269" s="117"/>
      <c r="AE269" s="2"/>
      <c r="AF269" s="2"/>
      <c r="AG269" s="117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117"/>
      <c r="AU269" s="2"/>
      <c r="AV269" s="2"/>
      <c r="AW269" s="2"/>
      <c r="AX269" s="2"/>
      <c r="AY269" s="2"/>
      <c r="AZ269" s="2"/>
      <c r="BA269" s="2"/>
      <c r="BB269" s="2"/>
      <c r="BC269" s="2"/>
    </row>
    <row r="270" spans="1:55" ht="24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117"/>
      <c r="M270" s="117"/>
      <c r="N270" s="117"/>
      <c r="O270" s="117"/>
      <c r="P270" s="2"/>
      <c r="Q270" s="2"/>
      <c r="R270" s="2"/>
      <c r="S270" s="117"/>
      <c r="T270" s="2"/>
      <c r="U270" s="2"/>
      <c r="V270" s="2"/>
      <c r="W270" s="2"/>
      <c r="X270" s="2"/>
      <c r="Y270" s="2"/>
      <c r="Z270" s="117"/>
      <c r="AA270" s="2"/>
      <c r="AB270" s="2"/>
      <c r="AC270" s="2"/>
      <c r="AD270" s="117"/>
      <c r="AE270" s="2"/>
      <c r="AF270" s="2"/>
      <c r="AG270" s="117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117"/>
      <c r="AU270" s="2"/>
      <c r="AV270" s="2"/>
      <c r="AW270" s="2"/>
      <c r="AX270" s="2"/>
      <c r="AY270" s="2"/>
      <c r="AZ270" s="2"/>
      <c r="BA270" s="2"/>
      <c r="BB270" s="2"/>
      <c r="BC270" s="2"/>
    </row>
    <row r="271" spans="1:55" ht="24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117"/>
      <c r="M271" s="117"/>
      <c r="N271" s="117"/>
      <c r="O271" s="117"/>
      <c r="P271" s="2"/>
      <c r="Q271" s="2"/>
      <c r="R271" s="2"/>
      <c r="S271" s="117"/>
      <c r="T271" s="2"/>
      <c r="U271" s="2"/>
      <c r="V271" s="2"/>
      <c r="W271" s="2"/>
      <c r="X271" s="2"/>
      <c r="Y271" s="2"/>
      <c r="Z271" s="117"/>
      <c r="AA271" s="2"/>
      <c r="AB271" s="2"/>
      <c r="AC271" s="2"/>
      <c r="AD271" s="117"/>
      <c r="AE271" s="2"/>
      <c r="AF271" s="2"/>
      <c r="AG271" s="117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117"/>
      <c r="AU271" s="2"/>
      <c r="AV271" s="2"/>
      <c r="AW271" s="2"/>
      <c r="AX271" s="2"/>
      <c r="AY271" s="2"/>
      <c r="AZ271" s="2"/>
      <c r="BA271" s="2"/>
      <c r="BB271" s="2"/>
      <c r="BC271" s="2"/>
    </row>
    <row r="272" spans="1:55" ht="24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117"/>
      <c r="M272" s="117"/>
      <c r="N272" s="117"/>
      <c r="O272" s="117"/>
      <c r="P272" s="2"/>
      <c r="Q272" s="2"/>
      <c r="R272" s="2"/>
      <c r="S272" s="117"/>
      <c r="T272" s="2"/>
      <c r="U272" s="2"/>
      <c r="V272" s="2"/>
      <c r="W272" s="2"/>
      <c r="X272" s="2"/>
      <c r="Y272" s="2"/>
      <c r="Z272" s="117"/>
      <c r="AA272" s="2"/>
      <c r="AB272" s="2"/>
      <c r="AC272" s="2"/>
      <c r="AD272" s="117"/>
      <c r="AE272" s="2"/>
      <c r="AF272" s="2"/>
      <c r="AG272" s="117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117"/>
      <c r="AU272" s="2"/>
      <c r="AV272" s="2"/>
      <c r="AW272" s="2"/>
      <c r="AX272" s="2"/>
      <c r="AY272" s="2"/>
      <c r="AZ272" s="2"/>
      <c r="BA272" s="2"/>
      <c r="BB272" s="2"/>
      <c r="BC272" s="2"/>
    </row>
    <row r="273" spans="1:55" ht="24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117"/>
      <c r="M273" s="117"/>
      <c r="N273" s="117"/>
      <c r="O273" s="117"/>
      <c r="P273" s="2"/>
      <c r="Q273" s="2"/>
      <c r="R273" s="2"/>
      <c r="S273" s="117"/>
      <c r="T273" s="2"/>
      <c r="U273" s="2"/>
      <c r="V273" s="2"/>
      <c r="W273" s="2"/>
      <c r="X273" s="2"/>
      <c r="Y273" s="2"/>
      <c r="Z273" s="117"/>
      <c r="AA273" s="2"/>
      <c r="AB273" s="2"/>
      <c r="AC273" s="2"/>
      <c r="AD273" s="117"/>
      <c r="AE273" s="2"/>
      <c r="AF273" s="2"/>
      <c r="AG273" s="117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117"/>
      <c r="AU273" s="2"/>
      <c r="AV273" s="2"/>
      <c r="AW273" s="2"/>
      <c r="AX273" s="2"/>
      <c r="AY273" s="2"/>
      <c r="AZ273" s="2"/>
      <c r="BA273" s="2"/>
      <c r="BB273" s="2"/>
      <c r="BC273" s="2"/>
    </row>
    <row r="274" spans="1:55" ht="24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117"/>
      <c r="M274" s="117"/>
      <c r="N274" s="117"/>
      <c r="O274" s="117"/>
      <c r="P274" s="2"/>
      <c r="Q274" s="2"/>
      <c r="R274" s="2"/>
      <c r="S274" s="117"/>
      <c r="T274" s="2"/>
      <c r="U274" s="2"/>
      <c r="V274" s="2"/>
      <c r="W274" s="2"/>
      <c r="X274" s="2"/>
      <c r="Y274" s="2"/>
      <c r="Z274" s="117"/>
      <c r="AA274" s="2"/>
      <c r="AB274" s="2"/>
      <c r="AC274" s="2"/>
      <c r="AD274" s="117"/>
      <c r="AE274" s="2"/>
      <c r="AF274" s="2"/>
      <c r="AG274" s="117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117"/>
      <c r="AU274" s="2"/>
      <c r="AV274" s="2"/>
      <c r="AW274" s="2"/>
      <c r="AX274" s="2"/>
      <c r="AY274" s="2"/>
      <c r="AZ274" s="2"/>
      <c r="BA274" s="2"/>
      <c r="BB274" s="2"/>
      <c r="BC274" s="2"/>
    </row>
    <row r="275" spans="1:55" ht="24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117"/>
      <c r="M275" s="117"/>
      <c r="N275" s="117"/>
      <c r="O275" s="117"/>
      <c r="P275" s="2"/>
      <c r="Q275" s="2"/>
      <c r="R275" s="2"/>
      <c r="S275" s="117"/>
      <c r="T275" s="2"/>
      <c r="U275" s="2"/>
      <c r="V275" s="2"/>
      <c r="W275" s="2"/>
      <c r="X275" s="2"/>
      <c r="Y275" s="2"/>
      <c r="Z275" s="117"/>
      <c r="AA275" s="2"/>
      <c r="AB275" s="2"/>
      <c r="AC275" s="2"/>
      <c r="AD275" s="117"/>
      <c r="AE275" s="2"/>
      <c r="AF275" s="2"/>
      <c r="AG275" s="117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117"/>
      <c r="AU275" s="2"/>
      <c r="AV275" s="2"/>
      <c r="AW275" s="2"/>
      <c r="AX275" s="2"/>
      <c r="AY275" s="2"/>
      <c r="AZ275" s="2"/>
      <c r="BA275" s="2"/>
      <c r="BB275" s="2"/>
      <c r="BC275" s="2"/>
    </row>
    <row r="276" spans="1:55" ht="24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117"/>
      <c r="M276" s="117"/>
      <c r="N276" s="117"/>
      <c r="O276" s="117"/>
      <c r="P276" s="2"/>
      <c r="Q276" s="2"/>
      <c r="R276" s="2"/>
      <c r="S276" s="117"/>
      <c r="T276" s="2"/>
      <c r="U276" s="2"/>
      <c r="V276" s="2"/>
      <c r="W276" s="2"/>
      <c r="X276" s="2"/>
      <c r="Y276" s="2"/>
      <c r="Z276" s="117"/>
      <c r="AA276" s="2"/>
      <c r="AB276" s="2"/>
      <c r="AC276" s="2"/>
      <c r="AD276" s="117"/>
      <c r="AE276" s="2"/>
      <c r="AF276" s="2"/>
      <c r="AG276" s="117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117"/>
      <c r="AU276" s="2"/>
      <c r="AV276" s="2"/>
      <c r="AW276" s="2"/>
      <c r="AX276" s="2"/>
      <c r="AY276" s="2"/>
      <c r="AZ276" s="2"/>
      <c r="BA276" s="2"/>
      <c r="BB276" s="2"/>
      <c r="BC276" s="2"/>
    </row>
    <row r="277" spans="1:55" ht="24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117"/>
      <c r="M277" s="117"/>
      <c r="N277" s="117"/>
      <c r="O277" s="117"/>
      <c r="P277" s="2"/>
      <c r="Q277" s="2"/>
      <c r="R277" s="2"/>
      <c r="S277" s="117"/>
      <c r="T277" s="2"/>
      <c r="U277" s="2"/>
      <c r="V277" s="2"/>
      <c r="W277" s="2"/>
      <c r="X277" s="2"/>
      <c r="Y277" s="2"/>
      <c r="Z277" s="117"/>
      <c r="AA277" s="2"/>
      <c r="AB277" s="2"/>
      <c r="AC277" s="2"/>
      <c r="AD277" s="117"/>
      <c r="AE277" s="2"/>
      <c r="AF277" s="2"/>
      <c r="AG277" s="117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117"/>
      <c r="AU277" s="2"/>
      <c r="AV277" s="2"/>
      <c r="AW277" s="2"/>
      <c r="AX277" s="2"/>
      <c r="AY277" s="2"/>
      <c r="AZ277" s="2"/>
      <c r="BA277" s="2"/>
      <c r="BB277" s="2"/>
      <c r="BC277" s="2"/>
    </row>
    <row r="278" spans="1:55" ht="24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117"/>
      <c r="M278" s="117"/>
      <c r="N278" s="117"/>
      <c r="O278" s="117"/>
      <c r="P278" s="2"/>
      <c r="Q278" s="2"/>
      <c r="R278" s="2"/>
      <c r="S278" s="117"/>
      <c r="T278" s="2"/>
      <c r="U278" s="2"/>
      <c r="V278" s="2"/>
      <c r="W278" s="2"/>
      <c r="X278" s="2"/>
      <c r="Y278" s="2"/>
      <c r="Z278" s="117"/>
      <c r="AA278" s="2"/>
      <c r="AB278" s="2"/>
      <c r="AC278" s="2"/>
      <c r="AD278" s="117"/>
      <c r="AE278" s="2"/>
      <c r="AF278" s="2"/>
      <c r="AG278" s="117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117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 ht="24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117"/>
      <c r="M279" s="117"/>
      <c r="N279" s="117"/>
      <c r="O279" s="117"/>
      <c r="P279" s="2"/>
      <c r="Q279" s="2"/>
      <c r="R279" s="2"/>
      <c r="S279" s="117"/>
      <c r="T279" s="2"/>
      <c r="U279" s="2"/>
      <c r="V279" s="2"/>
      <c r="W279" s="2"/>
      <c r="X279" s="2"/>
      <c r="Y279" s="2"/>
      <c r="Z279" s="117"/>
      <c r="AA279" s="2"/>
      <c r="AB279" s="2"/>
      <c r="AC279" s="2"/>
      <c r="AD279" s="117"/>
      <c r="AE279" s="2"/>
      <c r="AF279" s="2"/>
      <c r="AG279" s="117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117"/>
      <c r="AU279" s="2"/>
      <c r="AV279" s="2"/>
      <c r="AW279" s="2"/>
      <c r="AX279" s="2"/>
      <c r="AY279" s="2"/>
      <c r="AZ279" s="2"/>
      <c r="BA279" s="2"/>
      <c r="BB279" s="2"/>
      <c r="BC279" s="2"/>
    </row>
    <row r="280" spans="1:55" ht="24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117"/>
      <c r="M280" s="117"/>
      <c r="N280" s="117"/>
      <c r="O280" s="117"/>
      <c r="P280" s="2"/>
      <c r="Q280" s="2"/>
      <c r="R280" s="2"/>
      <c r="S280" s="117"/>
      <c r="T280" s="2"/>
      <c r="U280" s="2"/>
      <c r="V280" s="2"/>
      <c r="W280" s="2"/>
      <c r="X280" s="2"/>
      <c r="Y280" s="2"/>
      <c r="Z280" s="117"/>
      <c r="AA280" s="2"/>
      <c r="AB280" s="2"/>
      <c r="AC280" s="2"/>
      <c r="AD280" s="117"/>
      <c r="AE280" s="2"/>
      <c r="AF280" s="2"/>
      <c r="AG280" s="117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117"/>
      <c r="AU280" s="2"/>
      <c r="AV280" s="2"/>
      <c r="AW280" s="2"/>
      <c r="AX280" s="2"/>
      <c r="AY280" s="2"/>
      <c r="AZ280" s="2"/>
      <c r="BA280" s="2"/>
      <c r="BB280" s="2"/>
      <c r="BC280" s="2"/>
    </row>
    <row r="281" spans="1:55" ht="24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117"/>
      <c r="M281" s="117"/>
      <c r="N281" s="117"/>
      <c r="O281" s="117"/>
      <c r="P281" s="2"/>
      <c r="Q281" s="2"/>
      <c r="R281" s="2"/>
      <c r="S281" s="117"/>
      <c r="T281" s="2"/>
      <c r="U281" s="2"/>
      <c r="V281" s="2"/>
      <c r="W281" s="2"/>
      <c r="X281" s="2"/>
      <c r="Y281" s="2"/>
      <c r="Z281" s="117"/>
      <c r="AA281" s="2"/>
      <c r="AB281" s="2"/>
      <c r="AC281" s="2"/>
      <c r="AD281" s="117"/>
      <c r="AE281" s="2"/>
      <c r="AF281" s="2"/>
      <c r="AG281" s="117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117"/>
      <c r="AU281" s="2"/>
      <c r="AV281" s="2"/>
      <c r="AW281" s="2"/>
      <c r="AX281" s="2"/>
      <c r="AY281" s="2"/>
      <c r="AZ281" s="2"/>
      <c r="BA281" s="2"/>
      <c r="BB281" s="2"/>
      <c r="BC281" s="2"/>
    </row>
    <row r="282" spans="1:55" ht="24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117"/>
      <c r="M282" s="117"/>
      <c r="N282" s="117"/>
      <c r="O282" s="117"/>
      <c r="P282" s="2"/>
      <c r="Q282" s="2"/>
      <c r="R282" s="2"/>
      <c r="S282" s="117"/>
      <c r="T282" s="2"/>
      <c r="U282" s="2"/>
      <c r="V282" s="2"/>
      <c r="W282" s="2"/>
      <c r="X282" s="2"/>
      <c r="Y282" s="2"/>
      <c r="Z282" s="117"/>
      <c r="AA282" s="2"/>
      <c r="AB282" s="2"/>
      <c r="AC282" s="2"/>
      <c r="AD282" s="117"/>
      <c r="AE282" s="2"/>
      <c r="AF282" s="2"/>
      <c r="AG282" s="117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117"/>
      <c r="AU282" s="2"/>
      <c r="AV282" s="2"/>
      <c r="AW282" s="2"/>
      <c r="AX282" s="2"/>
      <c r="AY282" s="2"/>
      <c r="AZ282" s="2"/>
      <c r="BA282" s="2"/>
      <c r="BB282" s="2"/>
      <c r="BC282" s="2"/>
    </row>
    <row r="283" spans="1:55" ht="24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117"/>
      <c r="M283" s="117"/>
      <c r="N283" s="117"/>
      <c r="O283" s="117"/>
      <c r="P283" s="2"/>
      <c r="Q283" s="2"/>
      <c r="R283" s="2"/>
      <c r="S283" s="117"/>
      <c r="T283" s="2"/>
      <c r="U283" s="2"/>
      <c r="V283" s="2"/>
      <c r="W283" s="2"/>
      <c r="X283" s="2"/>
      <c r="Y283" s="2"/>
      <c r="Z283" s="117"/>
      <c r="AA283" s="2"/>
      <c r="AB283" s="2"/>
      <c r="AC283" s="2"/>
      <c r="AD283" s="117"/>
      <c r="AE283" s="2"/>
      <c r="AF283" s="2"/>
      <c r="AG283" s="117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117"/>
      <c r="AU283" s="2"/>
      <c r="AV283" s="2"/>
      <c r="AW283" s="2"/>
      <c r="AX283" s="2"/>
      <c r="AY283" s="2"/>
      <c r="AZ283" s="2"/>
      <c r="BA283" s="2"/>
      <c r="BB283" s="2"/>
      <c r="BC283" s="2"/>
    </row>
    <row r="284" spans="1:55" ht="24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117"/>
      <c r="M284" s="117"/>
      <c r="N284" s="117"/>
      <c r="O284" s="117"/>
      <c r="P284" s="2"/>
      <c r="Q284" s="2"/>
      <c r="R284" s="2"/>
      <c r="S284" s="117"/>
      <c r="T284" s="2"/>
      <c r="U284" s="2"/>
      <c r="V284" s="2"/>
      <c r="W284" s="2"/>
      <c r="X284" s="2"/>
      <c r="Y284" s="2"/>
      <c r="Z284" s="117"/>
      <c r="AA284" s="2"/>
      <c r="AB284" s="2"/>
      <c r="AC284" s="2"/>
      <c r="AD284" s="117"/>
      <c r="AE284" s="2"/>
      <c r="AF284" s="2"/>
      <c r="AG284" s="117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117"/>
      <c r="AU284" s="2"/>
      <c r="AV284" s="2"/>
      <c r="AW284" s="2"/>
      <c r="AX284" s="2"/>
      <c r="AY284" s="2"/>
      <c r="AZ284" s="2"/>
      <c r="BA284" s="2"/>
      <c r="BB284" s="2"/>
      <c r="BC284" s="2"/>
    </row>
    <row r="285" spans="1:55" ht="24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117"/>
      <c r="M285" s="117"/>
      <c r="N285" s="117"/>
      <c r="O285" s="117"/>
      <c r="P285" s="2"/>
      <c r="Q285" s="2"/>
      <c r="R285" s="2"/>
      <c r="S285" s="117"/>
      <c r="T285" s="2"/>
      <c r="U285" s="2"/>
      <c r="V285" s="2"/>
      <c r="W285" s="2"/>
      <c r="X285" s="2"/>
      <c r="Y285" s="2"/>
      <c r="Z285" s="117"/>
      <c r="AA285" s="2"/>
      <c r="AB285" s="2"/>
      <c r="AC285" s="2"/>
      <c r="AD285" s="117"/>
      <c r="AE285" s="2"/>
      <c r="AF285" s="2"/>
      <c r="AG285" s="117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117"/>
      <c r="AU285" s="2"/>
      <c r="AV285" s="2"/>
      <c r="AW285" s="2"/>
      <c r="AX285" s="2"/>
      <c r="AY285" s="2"/>
      <c r="AZ285" s="2"/>
      <c r="BA285" s="2"/>
      <c r="BB285" s="2"/>
      <c r="BC285" s="2"/>
    </row>
    <row r="286" spans="1:55" ht="24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117"/>
      <c r="M286" s="117"/>
      <c r="N286" s="117"/>
      <c r="O286" s="117"/>
      <c r="P286" s="2"/>
      <c r="Q286" s="2"/>
      <c r="R286" s="2"/>
      <c r="S286" s="117"/>
      <c r="T286" s="2"/>
      <c r="U286" s="2"/>
      <c r="V286" s="2"/>
      <c r="W286" s="2"/>
      <c r="X286" s="2"/>
      <c r="Y286" s="2"/>
      <c r="Z286" s="117"/>
      <c r="AA286" s="2"/>
      <c r="AB286" s="2"/>
      <c r="AC286" s="2"/>
      <c r="AD286" s="117"/>
      <c r="AE286" s="2"/>
      <c r="AF286" s="2"/>
      <c r="AG286" s="117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117"/>
      <c r="AU286" s="2"/>
      <c r="AV286" s="2"/>
      <c r="AW286" s="2"/>
      <c r="AX286" s="2"/>
      <c r="AY286" s="2"/>
      <c r="AZ286" s="2"/>
      <c r="BA286" s="2"/>
      <c r="BB286" s="2"/>
      <c r="BC286" s="2"/>
    </row>
    <row r="287" spans="1:55" ht="24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117"/>
      <c r="M287" s="117"/>
      <c r="N287" s="117"/>
      <c r="O287" s="117"/>
      <c r="P287" s="2"/>
      <c r="Q287" s="2"/>
      <c r="R287" s="2"/>
      <c r="S287" s="117"/>
      <c r="T287" s="2"/>
      <c r="U287" s="2"/>
      <c r="V287" s="2"/>
      <c r="W287" s="2"/>
      <c r="X287" s="2"/>
      <c r="Y287" s="2"/>
      <c r="Z287" s="117"/>
      <c r="AA287" s="2"/>
      <c r="AB287" s="2"/>
      <c r="AC287" s="2"/>
      <c r="AD287" s="117"/>
      <c r="AE287" s="2"/>
      <c r="AF287" s="2"/>
      <c r="AG287" s="117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117"/>
      <c r="AU287" s="2"/>
      <c r="AV287" s="2"/>
      <c r="AW287" s="2"/>
      <c r="AX287" s="2"/>
      <c r="AY287" s="2"/>
      <c r="AZ287" s="2"/>
      <c r="BA287" s="2"/>
      <c r="BB287" s="2"/>
      <c r="BC287" s="2"/>
    </row>
    <row r="288" spans="1:55" ht="24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117"/>
      <c r="M288" s="117"/>
      <c r="N288" s="117"/>
      <c r="O288" s="117"/>
      <c r="P288" s="2"/>
      <c r="Q288" s="2"/>
      <c r="R288" s="2"/>
      <c r="S288" s="117"/>
      <c r="T288" s="2"/>
      <c r="U288" s="2"/>
      <c r="V288" s="2"/>
      <c r="W288" s="2"/>
      <c r="X288" s="2"/>
      <c r="Y288" s="2"/>
      <c r="Z288" s="117"/>
      <c r="AA288" s="2"/>
      <c r="AB288" s="2"/>
      <c r="AC288" s="2"/>
      <c r="AD288" s="117"/>
      <c r="AE288" s="2"/>
      <c r="AF288" s="2"/>
      <c r="AG288" s="117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117"/>
      <c r="AU288" s="2"/>
      <c r="AV288" s="2"/>
      <c r="AW288" s="2"/>
      <c r="AX288" s="2"/>
      <c r="AY288" s="2"/>
      <c r="AZ288" s="2"/>
      <c r="BA288" s="2"/>
      <c r="BB288" s="2"/>
      <c r="BC288" s="2"/>
    </row>
    <row r="289" spans="1:55" ht="24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117"/>
      <c r="M289" s="117"/>
      <c r="N289" s="117"/>
      <c r="O289" s="117"/>
      <c r="P289" s="2"/>
      <c r="Q289" s="2"/>
      <c r="R289" s="2"/>
      <c r="S289" s="117"/>
      <c r="T289" s="2"/>
      <c r="U289" s="2"/>
      <c r="V289" s="2"/>
      <c r="W289" s="2"/>
      <c r="X289" s="2"/>
      <c r="Y289" s="2"/>
      <c r="Z289" s="117"/>
      <c r="AA289" s="2"/>
      <c r="AB289" s="2"/>
      <c r="AC289" s="2"/>
      <c r="AD289" s="117"/>
      <c r="AE289" s="2"/>
      <c r="AF289" s="2"/>
      <c r="AG289" s="117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117"/>
      <c r="AU289" s="2"/>
      <c r="AV289" s="2"/>
      <c r="AW289" s="2"/>
      <c r="AX289" s="2"/>
      <c r="AY289" s="2"/>
      <c r="AZ289" s="2"/>
      <c r="BA289" s="2"/>
      <c r="BB289" s="2"/>
      <c r="BC289" s="2"/>
    </row>
    <row r="290" spans="1:55" ht="24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117"/>
      <c r="M290" s="117"/>
      <c r="N290" s="117"/>
      <c r="O290" s="117"/>
      <c r="P290" s="2"/>
      <c r="Q290" s="2"/>
      <c r="R290" s="2"/>
      <c r="S290" s="117"/>
      <c r="T290" s="2"/>
      <c r="U290" s="2"/>
      <c r="V290" s="2"/>
      <c r="W290" s="2"/>
      <c r="X290" s="2"/>
      <c r="Y290" s="2"/>
      <c r="Z290" s="117"/>
      <c r="AA290" s="2"/>
      <c r="AB290" s="2"/>
      <c r="AC290" s="2"/>
      <c r="AD290" s="117"/>
      <c r="AE290" s="2"/>
      <c r="AF290" s="2"/>
      <c r="AG290" s="117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117"/>
      <c r="AU290" s="2"/>
      <c r="AV290" s="2"/>
      <c r="AW290" s="2"/>
      <c r="AX290" s="2"/>
      <c r="AY290" s="2"/>
      <c r="AZ290" s="2"/>
      <c r="BA290" s="2"/>
      <c r="BB290" s="2"/>
      <c r="BC290" s="2"/>
    </row>
    <row r="291" spans="1:55" ht="24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117"/>
      <c r="M291" s="117"/>
      <c r="N291" s="117"/>
      <c r="O291" s="117"/>
      <c r="P291" s="2"/>
      <c r="Q291" s="2"/>
      <c r="R291" s="2"/>
      <c r="S291" s="117"/>
      <c r="T291" s="2"/>
      <c r="U291" s="2"/>
      <c r="V291" s="2"/>
      <c r="W291" s="2"/>
      <c r="X291" s="2"/>
      <c r="Y291" s="2"/>
      <c r="Z291" s="117"/>
      <c r="AA291" s="2"/>
      <c r="AB291" s="2"/>
      <c r="AC291" s="2"/>
      <c r="AD291" s="117"/>
      <c r="AE291" s="2"/>
      <c r="AF291" s="2"/>
      <c r="AG291" s="117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117"/>
      <c r="AU291" s="2"/>
      <c r="AV291" s="2"/>
      <c r="AW291" s="2"/>
      <c r="AX291" s="2"/>
      <c r="AY291" s="2"/>
      <c r="AZ291" s="2"/>
      <c r="BA291" s="2"/>
      <c r="BB291" s="2"/>
      <c r="BC291" s="2"/>
    </row>
    <row r="292" spans="1:55" ht="24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117"/>
      <c r="M292" s="117"/>
      <c r="N292" s="117"/>
      <c r="O292" s="117"/>
      <c r="P292" s="2"/>
      <c r="Q292" s="2"/>
      <c r="R292" s="2"/>
      <c r="S292" s="117"/>
      <c r="T292" s="2"/>
      <c r="U292" s="2"/>
      <c r="V292" s="2"/>
      <c r="W292" s="2"/>
      <c r="X292" s="2"/>
      <c r="Y292" s="2"/>
      <c r="Z292" s="117"/>
      <c r="AA292" s="2"/>
      <c r="AB292" s="2"/>
      <c r="AC292" s="2"/>
      <c r="AD292" s="117"/>
      <c r="AE292" s="2"/>
      <c r="AF292" s="2"/>
      <c r="AG292" s="117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117"/>
      <c r="AU292" s="2"/>
      <c r="AV292" s="2"/>
      <c r="AW292" s="2"/>
      <c r="AX292" s="2"/>
      <c r="AY292" s="2"/>
      <c r="AZ292" s="2"/>
      <c r="BA292" s="2"/>
      <c r="BB292" s="2"/>
      <c r="BC292" s="2"/>
    </row>
    <row r="293" spans="1:55" ht="24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117"/>
      <c r="M293" s="117"/>
      <c r="N293" s="117"/>
      <c r="O293" s="117"/>
      <c r="P293" s="2"/>
      <c r="Q293" s="2"/>
      <c r="R293" s="2"/>
      <c r="S293" s="117"/>
      <c r="T293" s="2"/>
      <c r="U293" s="2"/>
      <c r="V293" s="2"/>
      <c r="W293" s="2"/>
      <c r="X293" s="2"/>
      <c r="Y293" s="2"/>
      <c r="Z293" s="117"/>
      <c r="AA293" s="2"/>
      <c r="AB293" s="2"/>
      <c r="AC293" s="2"/>
      <c r="AD293" s="117"/>
      <c r="AE293" s="2"/>
      <c r="AF293" s="2"/>
      <c r="AG293" s="117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117"/>
      <c r="AU293" s="2"/>
      <c r="AV293" s="2"/>
      <c r="AW293" s="2"/>
      <c r="AX293" s="2"/>
      <c r="AY293" s="2"/>
      <c r="AZ293" s="2"/>
      <c r="BA293" s="2"/>
      <c r="BB293" s="2"/>
      <c r="BC293" s="2"/>
    </row>
    <row r="294" spans="1:55" ht="24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117"/>
      <c r="M294" s="117"/>
      <c r="N294" s="117"/>
      <c r="O294" s="117"/>
      <c r="P294" s="2"/>
      <c r="Q294" s="2"/>
      <c r="R294" s="2"/>
      <c r="S294" s="117"/>
      <c r="T294" s="2"/>
      <c r="U294" s="2"/>
      <c r="V294" s="2"/>
      <c r="W294" s="2"/>
      <c r="X294" s="2"/>
      <c r="Y294" s="2"/>
      <c r="Z294" s="117"/>
      <c r="AA294" s="2"/>
      <c r="AB294" s="2"/>
      <c r="AC294" s="2"/>
      <c r="AD294" s="117"/>
      <c r="AE294" s="2"/>
      <c r="AF294" s="2"/>
      <c r="AG294" s="117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117"/>
      <c r="AU294" s="2"/>
      <c r="AV294" s="2"/>
      <c r="AW294" s="2"/>
      <c r="AX294" s="2"/>
      <c r="AY294" s="2"/>
      <c r="AZ294" s="2"/>
      <c r="BA294" s="2"/>
      <c r="BB294" s="2"/>
      <c r="BC294" s="2"/>
    </row>
    <row r="295" spans="1:55" ht="24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117"/>
      <c r="M295" s="117"/>
      <c r="N295" s="117"/>
      <c r="O295" s="117"/>
      <c r="P295" s="2"/>
      <c r="Q295" s="2"/>
      <c r="R295" s="2"/>
      <c r="S295" s="117"/>
      <c r="T295" s="2"/>
      <c r="U295" s="2"/>
      <c r="V295" s="2"/>
      <c r="W295" s="2"/>
      <c r="X295" s="2"/>
      <c r="Y295" s="2"/>
      <c r="Z295" s="117"/>
      <c r="AA295" s="2"/>
      <c r="AB295" s="2"/>
      <c r="AC295" s="2"/>
      <c r="AD295" s="117"/>
      <c r="AE295" s="2"/>
      <c r="AF295" s="2"/>
      <c r="AG295" s="117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117"/>
      <c r="AU295" s="2"/>
      <c r="AV295" s="2"/>
      <c r="AW295" s="2"/>
      <c r="AX295" s="2"/>
      <c r="AY295" s="2"/>
      <c r="AZ295" s="2"/>
      <c r="BA295" s="2"/>
      <c r="BB295" s="2"/>
      <c r="BC295" s="2"/>
    </row>
    <row r="296" spans="1:55" ht="24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117"/>
      <c r="M296" s="117"/>
      <c r="N296" s="117"/>
      <c r="O296" s="117"/>
      <c r="P296" s="2"/>
      <c r="Q296" s="2"/>
      <c r="R296" s="2"/>
      <c r="S296" s="117"/>
      <c r="T296" s="2"/>
      <c r="U296" s="2"/>
      <c r="V296" s="2"/>
      <c r="W296" s="2"/>
      <c r="X296" s="2"/>
      <c r="Y296" s="2"/>
      <c r="Z296" s="117"/>
      <c r="AA296" s="2"/>
      <c r="AB296" s="2"/>
      <c r="AC296" s="2"/>
      <c r="AD296" s="117"/>
      <c r="AE296" s="2"/>
      <c r="AF296" s="2"/>
      <c r="AG296" s="117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117"/>
      <c r="AU296" s="2"/>
      <c r="AV296" s="2"/>
      <c r="AW296" s="2"/>
      <c r="AX296" s="2"/>
      <c r="AY296" s="2"/>
      <c r="AZ296" s="2"/>
      <c r="BA296" s="2"/>
      <c r="BB296" s="2"/>
      <c r="BC296" s="2"/>
    </row>
    <row r="297" spans="1:55" ht="24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117"/>
      <c r="M297" s="117"/>
      <c r="N297" s="117"/>
      <c r="O297" s="117"/>
      <c r="P297" s="2"/>
      <c r="Q297" s="2"/>
      <c r="R297" s="2"/>
      <c r="S297" s="117"/>
      <c r="T297" s="2"/>
      <c r="U297" s="2"/>
      <c r="V297" s="2"/>
      <c r="W297" s="2"/>
      <c r="X297" s="2"/>
      <c r="Y297" s="2"/>
      <c r="Z297" s="117"/>
      <c r="AA297" s="2"/>
      <c r="AB297" s="2"/>
      <c r="AC297" s="2"/>
      <c r="AD297" s="117"/>
      <c r="AE297" s="2"/>
      <c r="AF297" s="2"/>
      <c r="AG297" s="117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117"/>
      <c r="AU297" s="2"/>
      <c r="AV297" s="2"/>
      <c r="AW297" s="2"/>
      <c r="AX297" s="2"/>
      <c r="AY297" s="2"/>
      <c r="AZ297" s="2"/>
      <c r="BA297" s="2"/>
      <c r="BB297" s="2"/>
      <c r="BC297" s="2"/>
    </row>
    <row r="298" spans="1:55" ht="24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117"/>
      <c r="M298" s="117"/>
      <c r="N298" s="117"/>
      <c r="O298" s="117"/>
      <c r="P298" s="2"/>
      <c r="Q298" s="2"/>
      <c r="R298" s="2"/>
      <c r="S298" s="117"/>
      <c r="T298" s="2"/>
      <c r="U298" s="2"/>
      <c r="V298" s="2"/>
      <c r="W298" s="2"/>
      <c r="X298" s="2"/>
      <c r="Y298" s="2"/>
      <c r="Z298" s="117"/>
      <c r="AA298" s="2"/>
      <c r="AB298" s="2"/>
      <c r="AC298" s="2"/>
      <c r="AD298" s="117"/>
      <c r="AE298" s="2"/>
      <c r="AF298" s="2"/>
      <c r="AG298" s="117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117"/>
      <c r="AU298" s="2"/>
      <c r="AV298" s="2"/>
      <c r="AW298" s="2"/>
      <c r="AX298" s="2"/>
      <c r="AY298" s="2"/>
      <c r="AZ298" s="2"/>
      <c r="BA298" s="2"/>
      <c r="BB298" s="2"/>
      <c r="BC298" s="2"/>
    </row>
    <row r="299" spans="1:55" ht="24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117"/>
      <c r="M299" s="117"/>
      <c r="N299" s="117"/>
      <c r="O299" s="117"/>
      <c r="P299" s="2"/>
      <c r="Q299" s="2"/>
      <c r="R299" s="2"/>
      <c r="S299" s="117"/>
      <c r="T299" s="2"/>
      <c r="U299" s="2"/>
      <c r="V299" s="2"/>
      <c r="W299" s="2"/>
      <c r="X299" s="2"/>
      <c r="Y299" s="2"/>
      <c r="Z299" s="117"/>
      <c r="AA299" s="2"/>
      <c r="AB299" s="2"/>
      <c r="AC299" s="2"/>
      <c r="AD299" s="117"/>
      <c r="AE299" s="2"/>
      <c r="AF299" s="2"/>
      <c r="AG299" s="117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117"/>
      <c r="AU299" s="2"/>
      <c r="AV299" s="2"/>
      <c r="AW299" s="2"/>
      <c r="AX299" s="2"/>
      <c r="AY299" s="2"/>
      <c r="AZ299" s="2"/>
      <c r="BA299" s="2"/>
      <c r="BB299" s="2"/>
      <c r="BC299" s="2"/>
    </row>
    <row r="300" spans="1:55" ht="24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117"/>
      <c r="M300" s="117"/>
      <c r="N300" s="117"/>
      <c r="O300" s="117"/>
      <c r="P300" s="2"/>
      <c r="Q300" s="2"/>
      <c r="R300" s="2"/>
      <c r="S300" s="117"/>
      <c r="T300" s="2"/>
      <c r="U300" s="2"/>
      <c r="V300" s="2"/>
      <c r="W300" s="2"/>
      <c r="X300" s="2"/>
      <c r="Y300" s="2"/>
      <c r="Z300" s="117"/>
      <c r="AA300" s="2"/>
      <c r="AB300" s="2"/>
      <c r="AC300" s="2"/>
      <c r="AD300" s="117"/>
      <c r="AE300" s="2"/>
      <c r="AF300" s="2"/>
      <c r="AG300" s="117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117"/>
      <c r="AU300" s="2"/>
      <c r="AV300" s="2"/>
      <c r="AW300" s="2"/>
      <c r="AX300" s="2"/>
      <c r="AY300" s="2"/>
      <c r="AZ300" s="2"/>
      <c r="BA300" s="2"/>
      <c r="BB300" s="2"/>
      <c r="BC300" s="2"/>
    </row>
    <row r="301" spans="1:55" ht="24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117"/>
      <c r="M301" s="117"/>
      <c r="N301" s="117"/>
      <c r="O301" s="117"/>
      <c r="P301" s="2"/>
      <c r="Q301" s="2"/>
      <c r="R301" s="2"/>
      <c r="S301" s="117"/>
      <c r="T301" s="2"/>
      <c r="U301" s="2"/>
      <c r="V301" s="2"/>
      <c r="W301" s="2"/>
      <c r="X301" s="2"/>
      <c r="Y301" s="2"/>
      <c r="Z301" s="117"/>
      <c r="AA301" s="2"/>
      <c r="AB301" s="2"/>
      <c r="AC301" s="2"/>
      <c r="AD301" s="117"/>
      <c r="AE301" s="2"/>
      <c r="AF301" s="2"/>
      <c r="AG301" s="117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117"/>
      <c r="AU301" s="2"/>
      <c r="AV301" s="2"/>
      <c r="AW301" s="2"/>
      <c r="AX301" s="2"/>
      <c r="AY301" s="2"/>
      <c r="AZ301" s="2"/>
      <c r="BA301" s="2"/>
      <c r="BB301" s="2"/>
      <c r="BC301" s="2"/>
    </row>
    <row r="302" spans="1:55" ht="24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117"/>
      <c r="M302" s="117"/>
      <c r="N302" s="117"/>
      <c r="O302" s="117"/>
      <c r="P302" s="2"/>
      <c r="Q302" s="2"/>
      <c r="R302" s="2"/>
      <c r="S302" s="117"/>
      <c r="T302" s="2"/>
      <c r="U302" s="2"/>
      <c r="V302" s="2"/>
      <c r="W302" s="2"/>
      <c r="X302" s="2"/>
      <c r="Y302" s="2"/>
      <c r="Z302" s="117"/>
      <c r="AA302" s="2"/>
      <c r="AB302" s="2"/>
      <c r="AC302" s="2"/>
      <c r="AD302" s="117"/>
      <c r="AE302" s="2"/>
      <c r="AF302" s="2"/>
      <c r="AG302" s="117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117"/>
      <c r="AU302" s="2"/>
      <c r="AV302" s="2"/>
      <c r="AW302" s="2"/>
      <c r="AX302" s="2"/>
      <c r="AY302" s="2"/>
      <c r="AZ302" s="2"/>
      <c r="BA302" s="2"/>
      <c r="BB302" s="2"/>
      <c r="BC302" s="2"/>
    </row>
    <row r="303" spans="1:55" ht="24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117"/>
      <c r="M303" s="117"/>
      <c r="N303" s="117"/>
      <c r="O303" s="117"/>
      <c r="P303" s="2"/>
      <c r="Q303" s="2"/>
      <c r="R303" s="2"/>
      <c r="S303" s="117"/>
      <c r="T303" s="2"/>
      <c r="U303" s="2"/>
      <c r="V303" s="2"/>
      <c r="W303" s="2"/>
      <c r="X303" s="2"/>
      <c r="Y303" s="2"/>
      <c r="Z303" s="117"/>
      <c r="AA303" s="2"/>
      <c r="AB303" s="2"/>
      <c r="AC303" s="2"/>
      <c r="AD303" s="117"/>
      <c r="AE303" s="2"/>
      <c r="AF303" s="2"/>
      <c r="AG303" s="117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117"/>
      <c r="AU303" s="2"/>
      <c r="AV303" s="2"/>
      <c r="AW303" s="2"/>
      <c r="AX303" s="2"/>
      <c r="AY303" s="2"/>
      <c r="AZ303" s="2"/>
      <c r="BA303" s="2"/>
      <c r="BB303" s="2"/>
      <c r="BC303" s="2"/>
    </row>
    <row r="304" spans="1:55" ht="24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117"/>
      <c r="M304" s="117"/>
      <c r="N304" s="117"/>
      <c r="O304" s="117"/>
      <c r="P304" s="2"/>
      <c r="Q304" s="2"/>
      <c r="R304" s="2"/>
      <c r="S304" s="117"/>
      <c r="T304" s="2"/>
      <c r="U304" s="2"/>
      <c r="V304" s="2"/>
      <c r="W304" s="2"/>
      <c r="X304" s="2"/>
      <c r="Y304" s="2"/>
      <c r="Z304" s="117"/>
      <c r="AA304" s="2"/>
      <c r="AB304" s="2"/>
      <c r="AC304" s="2"/>
      <c r="AD304" s="117"/>
      <c r="AE304" s="2"/>
      <c r="AF304" s="2"/>
      <c r="AG304" s="117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117"/>
      <c r="AU304" s="2"/>
      <c r="AV304" s="2"/>
      <c r="AW304" s="2"/>
      <c r="AX304" s="2"/>
      <c r="AY304" s="2"/>
      <c r="AZ304" s="2"/>
      <c r="BA304" s="2"/>
      <c r="BB304" s="2"/>
      <c r="BC304" s="2"/>
    </row>
    <row r="305" spans="1:55" ht="24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117"/>
      <c r="M305" s="117"/>
      <c r="N305" s="117"/>
      <c r="O305" s="117"/>
      <c r="P305" s="2"/>
      <c r="Q305" s="2"/>
      <c r="R305" s="2"/>
      <c r="S305" s="117"/>
      <c r="T305" s="2"/>
      <c r="U305" s="2"/>
      <c r="V305" s="2"/>
      <c r="W305" s="2"/>
      <c r="X305" s="2"/>
      <c r="Y305" s="2"/>
      <c r="Z305" s="117"/>
      <c r="AA305" s="2"/>
      <c r="AB305" s="2"/>
      <c r="AC305" s="2"/>
      <c r="AD305" s="117"/>
      <c r="AE305" s="2"/>
      <c r="AF305" s="2"/>
      <c r="AG305" s="117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117"/>
      <c r="AU305" s="2"/>
      <c r="AV305" s="2"/>
      <c r="AW305" s="2"/>
      <c r="AX305" s="2"/>
      <c r="AY305" s="2"/>
      <c r="AZ305" s="2"/>
      <c r="BA305" s="2"/>
      <c r="BB305" s="2"/>
      <c r="BC305" s="2"/>
    </row>
    <row r="306" spans="1:55" ht="24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117"/>
      <c r="M306" s="117"/>
      <c r="N306" s="117"/>
      <c r="O306" s="117"/>
      <c r="P306" s="2"/>
      <c r="Q306" s="2"/>
      <c r="R306" s="2"/>
      <c r="S306" s="117"/>
      <c r="T306" s="2"/>
      <c r="U306" s="2"/>
      <c r="V306" s="2"/>
      <c r="W306" s="2"/>
      <c r="X306" s="2"/>
      <c r="Y306" s="2"/>
      <c r="Z306" s="117"/>
      <c r="AA306" s="2"/>
      <c r="AB306" s="2"/>
      <c r="AC306" s="2"/>
      <c r="AD306" s="117"/>
      <c r="AE306" s="2"/>
      <c r="AF306" s="2"/>
      <c r="AG306" s="117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117"/>
      <c r="AU306" s="2"/>
      <c r="AV306" s="2"/>
      <c r="AW306" s="2"/>
      <c r="AX306" s="2"/>
      <c r="AY306" s="2"/>
      <c r="AZ306" s="2"/>
      <c r="BA306" s="2"/>
      <c r="BB306" s="2"/>
      <c r="BC306" s="2"/>
    </row>
    <row r="307" spans="1:55" ht="24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117"/>
      <c r="M307" s="117"/>
      <c r="N307" s="117"/>
      <c r="O307" s="117"/>
      <c r="P307" s="2"/>
      <c r="Q307" s="2"/>
      <c r="R307" s="2"/>
      <c r="S307" s="117"/>
      <c r="T307" s="2"/>
      <c r="U307" s="2"/>
      <c r="V307" s="2"/>
      <c r="W307" s="2"/>
      <c r="X307" s="2"/>
      <c r="Y307" s="2"/>
      <c r="Z307" s="117"/>
      <c r="AA307" s="2"/>
      <c r="AB307" s="2"/>
      <c r="AC307" s="2"/>
      <c r="AD307" s="117"/>
      <c r="AE307" s="2"/>
      <c r="AF307" s="2"/>
      <c r="AG307" s="117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117"/>
      <c r="AU307" s="2"/>
      <c r="AV307" s="2"/>
      <c r="AW307" s="2"/>
      <c r="AX307" s="2"/>
      <c r="AY307" s="2"/>
      <c r="AZ307" s="2"/>
      <c r="BA307" s="2"/>
      <c r="BB307" s="2"/>
      <c r="BC307" s="2"/>
    </row>
    <row r="308" spans="1:55" ht="24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117"/>
      <c r="M308" s="117"/>
      <c r="N308" s="117"/>
      <c r="O308" s="117"/>
      <c r="P308" s="2"/>
      <c r="Q308" s="2"/>
      <c r="R308" s="2"/>
      <c r="S308" s="117"/>
      <c r="T308" s="2"/>
      <c r="U308" s="2"/>
      <c r="V308" s="2"/>
      <c r="W308" s="2"/>
      <c r="X308" s="2"/>
      <c r="Y308" s="2"/>
      <c r="Z308" s="117"/>
      <c r="AA308" s="2"/>
      <c r="AB308" s="2"/>
      <c r="AC308" s="2"/>
      <c r="AD308" s="117"/>
      <c r="AE308" s="2"/>
      <c r="AF308" s="2"/>
      <c r="AG308" s="117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117"/>
      <c r="AU308" s="2"/>
      <c r="AV308" s="2"/>
      <c r="AW308" s="2"/>
      <c r="AX308" s="2"/>
      <c r="AY308" s="2"/>
      <c r="AZ308" s="2"/>
      <c r="BA308" s="2"/>
      <c r="BB308" s="2"/>
      <c r="BC308" s="2"/>
    </row>
    <row r="309" spans="1:55" ht="24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117"/>
      <c r="M309" s="117"/>
      <c r="N309" s="117"/>
      <c r="O309" s="117"/>
      <c r="P309" s="2"/>
      <c r="Q309" s="2"/>
      <c r="R309" s="2"/>
      <c r="S309" s="117"/>
      <c r="T309" s="2"/>
      <c r="U309" s="2"/>
      <c r="V309" s="2"/>
      <c r="W309" s="2"/>
      <c r="X309" s="2"/>
      <c r="Y309" s="2"/>
      <c r="Z309" s="117"/>
      <c r="AA309" s="2"/>
      <c r="AB309" s="2"/>
      <c r="AC309" s="2"/>
      <c r="AD309" s="117"/>
      <c r="AE309" s="2"/>
      <c r="AF309" s="2"/>
      <c r="AG309" s="117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117"/>
      <c r="AU309" s="2"/>
      <c r="AV309" s="2"/>
      <c r="AW309" s="2"/>
      <c r="AX309" s="2"/>
      <c r="AY309" s="2"/>
      <c r="AZ309" s="2"/>
      <c r="BA309" s="2"/>
      <c r="BB309" s="2"/>
      <c r="BC309" s="2"/>
    </row>
    <row r="310" spans="1:55" ht="24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117"/>
      <c r="M310" s="117"/>
      <c r="N310" s="117"/>
      <c r="O310" s="117"/>
      <c r="P310" s="2"/>
      <c r="Q310" s="2"/>
      <c r="R310" s="2"/>
      <c r="S310" s="117"/>
      <c r="T310" s="2"/>
      <c r="U310" s="2"/>
      <c r="V310" s="2"/>
      <c r="W310" s="2"/>
      <c r="X310" s="2"/>
      <c r="Y310" s="2"/>
      <c r="Z310" s="117"/>
      <c r="AA310" s="2"/>
      <c r="AB310" s="2"/>
      <c r="AC310" s="2"/>
      <c r="AD310" s="117"/>
      <c r="AE310" s="2"/>
      <c r="AF310" s="2"/>
      <c r="AG310" s="117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117"/>
      <c r="AU310" s="2"/>
      <c r="AV310" s="2"/>
      <c r="AW310" s="2"/>
      <c r="AX310" s="2"/>
      <c r="AY310" s="2"/>
      <c r="AZ310" s="2"/>
      <c r="BA310" s="2"/>
      <c r="BB310" s="2"/>
      <c r="BC310" s="2"/>
    </row>
    <row r="311" spans="1:55" ht="24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117"/>
      <c r="M311" s="117"/>
      <c r="N311" s="117"/>
      <c r="O311" s="117"/>
      <c r="P311" s="2"/>
      <c r="Q311" s="2"/>
      <c r="R311" s="2"/>
      <c r="S311" s="117"/>
      <c r="T311" s="2"/>
      <c r="U311" s="2"/>
      <c r="V311" s="2"/>
      <c r="W311" s="2"/>
      <c r="X311" s="2"/>
      <c r="Y311" s="2"/>
      <c r="Z311" s="117"/>
      <c r="AA311" s="2"/>
      <c r="AB311" s="2"/>
      <c r="AC311" s="2"/>
      <c r="AD311" s="117"/>
      <c r="AE311" s="2"/>
      <c r="AF311" s="2"/>
      <c r="AG311" s="117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117"/>
      <c r="AU311" s="2"/>
      <c r="AV311" s="2"/>
      <c r="AW311" s="2"/>
      <c r="AX311" s="2"/>
      <c r="AY311" s="2"/>
      <c r="AZ311" s="2"/>
      <c r="BA311" s="2"/>
      <c r="BB311" s="2"/>
      <c r="BC311" s="2"/>
    </row>
    <row r="312" spans="1:55" ht="24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117"/>
      <c r="M312" s="117"/>
      <c r="N312" s="117"/>
      <c r="O312" s="117"/>
      <c r="P312" s="2"/>
      <c r="Q312" s="2"/>
      <c r="R312" s="2"/>
      <c r="S312" s="117"/>
      <c r="T312" s="2"/>
      <c r="U312" s="2"/>
      <c r="V312" s="2"/>
      <c r="W312" s="2"/>
      <c r="X312" s="2"/>
      <c r="Y312" s="2"/>
      <c r="Z312" s="117"/>
      <c r="AA312" s="2"/>
      <c r="AB312" s="2"/>
      <c r="AC312" s="2"/>
      <c r="AD312" s="117"/>
      <c r="AE312" s="2"/>
      <c r="AF312" s="2"/>
      <c r="AG312" s="117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117"/>
      <c r="AU312" s="2"/>
      <c r="AV312" s="2"/>
      <c r="AW312" s="2"/>
      <c r="AX312" s="2"/>
      <c r="AY312" s="2"/>
      <c r="AZ312" s="2"/>
      <c r="BA312" s="2"/>
      <c r="BB312" s="2"/>
      <c r="BC312" s="2"/>
    </row>
    <row r="313" spans="1:55" ht="24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117"/>
      <c r="M313" s="117"/>
      <c r="N313" s="117"/>
      <c r="O313" s="117"/>
      <c r="P313" s="2"/>
      <c r="Q313" s="2"/>
      <c r="R313" s="2"/>
      <c r="S313" s="117"/>
      <c r="T313" s="2"/>
      <c r="U313" s="2"/>
      <c r="V313" s="2"/>
      <c r="W313" s="2"/>
      <c r="X313" s="2"/>
      <c r="Y313" s="2"/>
      <c r="Z313" s="117"/>
      <c r="AA313" s="2"/>
      <c r="AB313" s="2"/>
      <c r="AC313" s="2"/>
      <c r="AD313" s="117"/>
      <c r="AE313" s="2"/>
      <c r="AF313" s="2"/>
      <c r="AG313" s="117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117"/>
      <c r="AU313" s="2"/>
      <c r="AV313" s="2"/>
      <c r="AW313" s="2"/>
      <c r="AX313" s="2"/>
      <c r="AY313" s="2"/>
      <c r="AZ313" s="2"/>
      <c r="BA313" s="2"/>
      <c r="BB313" s="2"/>
      <c r="BC313" s="2"/>
    </row>
    <row r="314" spans="1:55" ht="24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117"/>
      <c r="M314" s="117"/>
      <c r="N314" s="117"/>
      <c r="O314" s="117"/>
      <c r="P314" s="2"/>
      <c r="Q314" s="2"/>
      <c r="R314" s="2"/>
      <c r="S314" s="117"/>
      <c r="T314" s="2"/>
      <c r="U314" s="2"/>
      <c r="V314" s="2"/>
      <c r="W314" s="2"/>
      <c r="X314" s="2"/>
      <c r="Y314" s="2"/>
      <c r="Z314" s="117"/>
      <c r="AA314" s="2"/>
      <c r="AB314" s="2"/>
      <c r="AC314" s="2"/>
      <c r="AD314" s="117"/>
      <c r="AE314" s="2"/>
      <c r="AF314" s="2"/>
      <c r="AG314" s="117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117"/>
      <c r="AU314" s="2"/>
      <c r="AV314" s="2"/>
      <c r="AW314" s="2"/>
      <c r="AX314" s="2"/>
      <c r="AY314" s="2"/>
      <c r="AZ314" s="2"/>
      <c r="BA314" s="2"/>
      <c r="BB314" s="2"/>
      <c r="BC314" s="2"/>
    </row>
    <row r="315" spans="1:55" ht="15.75" customHeight="1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43"/>
      <c r="M315" s="143"/>
      <c r="N315" s="143"/>
      <c r="O315" s="143"/>
      <c r="P315" s="114"/>
      <c r="Q315" s="114"/>
      <c r="R315" s="114"/>
      <c r="S315" s="143"/>
      <c r="T315" s="114"/>
      <c r="U315" s="114"/>
      <c r="V315" s="114"/>
      <c r="W315" s="114"/>
      <c r="X315" s="114"/>
      <c r="Y315" s="114"/>
      <c r="Z315" s="143"/>
      <c r="AA315" s="114"/>
      <c r="AB315" s="114"/>
      <c r="AC315" s="114"/>
      <c r="AD315" s="143"/>
      <c r="AE315" s="114"/>
      <c r="AF315" s="114"/>
      <c r="AG315" s="143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43"/>
      <c r="AU315" s="114"/>
      <c r="AV315" s="114"/>
      <c r="AW315" s="114"/>
      <c r="AX315" s="114"/>
      <c r="AY315" s="114"/>
      <c r="AZ315" s="114"/>
      <c r="BA315" s="114"/>
      <c r="BB315" s="114"/>
      <c r="BC315" s="114"/>
    </row>
    <row r="316" spans="1:55" ht="15.75" customHeight="1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43"/>
      <c r="M316" s="143"/>
      <c r="N316" s="143"/>
      <c r="O316" s="143"/>
      <c r="P316" s="114"/>
      <c r="Q316" s="114"/>
      <c r="R316" s="114"/>
      <c r="S316" s="143"/>
      <c r="T316" s="114"/>
      <c r="U316" s="114"/>
      <c r="V316" s="114"/>
      <c r="W316" s="114"/>
      <c r="X316" s="114"/>
      <c r="Y316" s="114"/>
      <c r="Z316" s="143"/>
      <c r="AA316" s="114"/>
      <c r="AB316" s="114"/>
      <c r="AC316" s="114"/>
      <c r="AD316" s="143"/>
      <c r="AE316" s="114"/>
      <c r="AF316" s="114"/>
      <c r="AG316" s="143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43"/>
      <c r="AU316" s="114"/>
      <c r="AV316" s="114"/>
      <c r="AW316" s="114"/>
      <c r="AX316" s="114"/>
      <c r="AY316" s="114"/>
      <c r="AZ316" s="114"/>
      <c r="BA316" s="114"/>
      <c r="BB316" s="114"/>
      <c r="BC316" s="114"/>
    </row>
    <row r="317" spans="1:55" ht="15.75" customHeight="1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43"/>
      <c r="M317" s="143"/>
      <c r="N317" s="143"/>
      <c r="O317" s="143"/>
      <c r="P317" s="114"/>
      <c r="Q317" s="114"/>
      <c r="R317" s="114"/>
      <c r="S317" s="143"/>
      <c r="T317" s="114"/>
      <c r="U317" s="114"/>
      <c r="V317" s="114"/>
      <c r="W317" s="114"/>
      <c r="X317" s="114"/>
      <c r="Y317" s="114"/>
      <c r="Z317" s="143"/>
      <c r="AA317" s="114"/>
      <c r="AB317" s="114"/>
      <c r="AC317" s="114"/>
      <c r="AD317" s="143"/>
      <c r="AE317" s="114"/>
      <c r="AF317" s="114"/>
      <c r="AG317" s="143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43"/>
      <c r="AU317" s="114"/>
      <c r="AV317" s="114"/>
      <c r="AW317" s="114"/>
      <c r="AX317" s="114"/>
      <c r="AY317" s="114"/>
      <c r="AZ317" s="114"/>
      <c r="BA317" s="114"/>
      <c r="BB317" s="114"/>
      <c r="BC317" s="114"/>
    </row>
    <row r="318" spans="1:55" ht="15.75" customHeight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43"/>
      <c r="M318" s="143"/>
      <c r="N318" s="143"/>
      <c r="O318" s="143"/>
      <c r="P318" s="114"/>
      <c r="Q318" s="114"/>
      <c r="R318" s="114"/>
      <c r="S318" s="143"/>
      <c r="T318" s="114"/>
      <c r="U318" s="114"/>
      <c r="V318" s="114"/>
      <c r="W318" s="114"/>
      <c r="X318" s="114"/>
      <c r="Y318" s="114"/>
      <c r="Z318" s="143"/>
      <c r="AA318" s="114"/>
      <c r="AB318" s="114"/>
      <c r="AC318" s="114"/>
      <c r="AD318" s="143"/>
      <c r="AE318" s="114"/>
      <c r="AF318" s="114"/>
      <c r="AG318" s="143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43"/>
      <c r="AU318" s="114"/>
      <c r="AV318" s="114"/>
      <c r="AW318" s="114"/>
      <c r="AX318" s="114"/>
      <c r="AY318" s="114"/>
      <c r="AZ318" s="114"/>
      <c r="BA318" s="114"/>
      <c r="BB318" s="114"/>
      <c r="BC318" s="114"/>
    </row>
    <row r="319" spans="1:55" ht="15.75" customHeight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43"/>
      <c r="M319" s="143"/>
      <c r="N319" s="143"/>
      <c r="O319" s="143"/>
      <c r="P319" s="114"/>
      <c r="Q319" s="114"/>
      <c r="R319" s="114"/>
      <c r="S319" s="143"/>
      <c r="T319" s="114"/>
      <c r="U319" s="114"/>
      <c r="V319" s="114"/>
      <c r="W319" s="114"/>
      <c r="X319" s="114"/>
      <c r="Y319" s="114"/>
      <c r="Z319" s="143"/>
      <c r="AA319" s="114"/>
      <c r="AB319" s="114"/>
      <c r="AC319" s="114"/>
      <c r="AD319" s="143"/>
      <c r="AE319" s="114"/>
      <c r="AF319" s="114"/>
      <c r="AG319" s="143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43"/>
      <c r="AU319" s="114"/>
      <c r="AV319" s="114"/>
      <c r="AW319" s="114"/>
      <c r="AX319" s="114"/>
      <c r="AY319" s="114"/>
      <c r="AZ319" s="114"/>
      <c r="BA319" s="114"/>
      <c r="BB319" s="114"/>
      <c r="BC319" s="114"/>
    </row>
    <row r="320" spans="1:55" ht="15.75" customHeight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43"/>
      <c r="M320" s="143"/>
      <c r="N320" s="143"/>
      <c r="O320" s="143"/>
      <c r="P320" s="114"/>
      <c r="Q320" s="114"/>
      <c r="R320" s="114"/>
      <c r="S320" s="143"/>
      <c r="T320" s="114"/>
      <c r="U320" s="114"/>
      <c r="V320" s="114"/>
      <c r="W320" s="114"/>
      <c r="X320" s="114"/>
      <c r="Y320" s="114"/>
      <c r="Z320" s="143"/>
      <c r="AA320" s="114"/>
      <c r="AB320" s="114"/>
      <c r="AC320" s="114"/>
      <c r="AD320" s="143"/>
      <c r="AE320" s="114"/>
      <c r="AF320" s="114"/>
      <c r="AG320" s="143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43"/>
      <c r="AU320" s="114"/>
      <c r="AV320" s="114"/>
      <c r="AW320" s="114"/>
      <c r="AX320" s="114"/>
      <c r="AY320" s="114"/>
      <c r="AZ320" s="114"/>
      <c r="BA320" s="114"/>
      <c r="BB320" s="114"/>
      <c r="BC320" s="114"/>
    </row>
    <row r="321" spans="1:55" ht="15.75" customHeight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43"/>
      <c r="M321" s="143"/>
      <c r="N321" s="143"/>
      <c r="O321" s="143"/>
      <c r="P321" s="114"/>
      <c r="Q321" s="114"/>
      <c r="R321" s="114"/>
      <c r="S321" s="143"/>
      <c r="T321" s="114"/>
      <c r="U321" s="114"/>
      <c r="V321" s="114"/>
      <c r="W321" s="114"/>
      <c r="X321" s="114"/>
      <c r="Y321" s="114"/>
      <c r="Z321" s="143"/>
      <c r="AA321" s="114"/>
      <c r="AB321" s="114"/>
      <c r="AC321" s="114"/>
      <c r="AD321" s="143"/>
      <c r="AE321" s="114"/>
      <c r="AF321" s="114"/>
      <c r="AG321" s="143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43"/>
      <c r="AU321" s="114"/>
      <c r="AV321" s="114"/>
      <c r="AW321" s="114"/>
      <c r="AX321" s="114"/>
      <c r="AY321" s="114"/>
      <c r="AZ321" s="114"/>
      <c r="BA321" s="114"/>
      <c r="BB321" s="114"/>
      <c r="BC321" s="114"/>
    </row>
    <row r="322" spans="1:55" ht="15.75" customHeight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43"/>
      <c r="M322" s="143"/>
      <c r="N322" s="143"/>
      <c r="O322" s="143"/>
      <c r="P322" s="114"/>
      <c r="Q322" s="114"/>
      <c r="R322" s="114"/>
      <c r="S322" s="143"/>
      <c r="T322" s="114"/>
      <c r="U322" s="114"/>
      <c r="V322" s="114"/>
      <c r="W322" s="114"/>
      <c r="X322" s="114"/>
      <c r="Y322" s="114"/>
      <c r="Z322" s="143"/>
      <c r="AA322" s="114"/>
      <c r="AB322" s="114"/>
      <c r="AC322" s="114"/>
      <c r="AD322" s="143"/>
      <c r="AE322" s="114"/>
      <c r="AF322" s="114"/>
      <c r="AG322" s="143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43"/>
      <c r="AU322" s="114"/>
      <c r="AV322" s="114"/>
      <c r="AW322" s="114"/>
      <c r="AX322" s="114"/>
      <c r="AY322" s="114"/>
      <c r="AZ322" s="114"/>
      <c r="BA322" s="114"/>
      <c r="BB322" s="114"/>
      <c r="BC322" s="114"/>
    </row>
    <row r="323" spans="1:55" ht="15.75" customHeight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43"/>
      <c r="M323" s="143"/>
      <c r="N323" s="143"/>
      <c r="O323" s="143"/>
      <c r="P323" s="114"/>
      <c r="Q323" s="114"/>
      <c r="R323" s="114"/>
      <c r="S323" s="143"/>
      <c r="T323" s="114"/>
      <c r="U323" s="114"/>
      <c r="V323" s="114"/>
      <c r="W323" s="114"/>
      <c r="X323" s="114"/>
      <c r="Y323" s="114"/>
      <c r="Z323" s="143"/>
      <c r="AA323" s="114"/>
      <c r="AB323" s="114"/>
      <c r="AC323" s="114"/>
      <c r="AD323" s="143"/>
      <c r="AE323" s="114"/>
      <c r="AF323" s="114"/>
      <c r="AG323" s="143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43"/>
      <c r="AU323" s="114"/>
      <c r="AV323" s="114"/>
      <c r="AW323" s="114"/>
      <c r="AX323" s="114"/>
      <c r="AY323" s="114"/>
      <c r="AZ323" s="114"/>
      <c r="BA323" s="114"/>
      <c r="BB323" s="114"/>
      <c r="BC323" s="114"/>
    </row>
    <row r="324" spans="1:55" ht="15.75" customHeight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43"/>
      <c r="M324" s="143"/>
      <c r="N324" s="143"/>
      <c r="O324" s="143"/>
      <c r="P324" s="114"/>
      <c r="Q324" s="114"/>
      <c r="R324" s="114"/>
      <c r="S324" s="143"/>
      <c r="T324" s="114"/>
      <c r="U324" s="114"/>
      <c r="V324" s="114"/>
      <c r="W324" s="114"/>
      <c r="X324" s="114"/>
      <c r="Y324" s="114"/>
      <c r="Z324" s="143"/>
      <c r="AA324" s="114"/>
      <c r="AB324" s="114"/>
      <c r="AC324" s="114"/>
      <c r="AD324" s="143"/>
      <c r="AE324" s="114"/>
      <c r="AF324" s="114"/>
      <c r="AG324" s="143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43"/>
      <c r="AU324" s="114"/>
      <c r="AV324" s="114"/>
      <c r="AW324" s="114"/>
      <c r="AX324" s="114"/>
      <c r="AY324" s="114"/>
      <c r="AZ324" s="114"/>
      <c r="BA324" s="114"/>
      <c r="BB324" s="114"/>
      <c r="BC324" s="114"/>
    </row>
    <row r="325" spans="1:55" ht="15.75" customHeight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43"/>
      <c r="M325" s="143"/>
      <c r="N325" s="143"/>
      <c r="O325" s="143"/>
      <c r="P325" s="114"/>
      <c r="Q325" s="114"/>
      <c r="R325" s="114"/>
      <c r="S325" s="143"/>
      <c r="T325" s="114"/>
      <c r="U325" s="114"/>
      <c r="V325" s="114"/>
      <c r="W325" s="114"/>
      <c r="X325" s="114"/>
      <c r="Y325" s="114"/>
      <c r="Z325" s="143"/>
      <c r="AA325" s="114"/>
      <c r="AB325" s="114"/>
      <c r="AC325" s="114"/>
      <c r="AD325" s="143"/>
      <c r="AE325" s="114"/>
      <c r="AF325" s="114"/>
      <c r="AG325" s="143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43"/>
      <c r="AU325" s="114"/>
      <c r="AV325" s="114"/>
      <c r="AW325" s="114"/>
      <c r="AX325" s="114"/>
      <c r="AY325" s="114"/>
      <c r="AZ325" s="114"/>
      <c r="BA325" s="114"/>
      <c r="BB325" s="114"/>
      <c r="BC325" s="114"/>
    </row>
    <row r="326" spans="1:55" ht="15.75" customHeight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43"/>
      <c r="M326" s="143"/>
      <c r="N326" s="143"/>
      <c r="O326" s="143"/>
      <c r="P326" s="114"/>
      <c r="Q326" s="114"/>
      <c r="R326" s="114"/>
      <c r="S326" s="143"/>
      <c r="T326" s="114"/>
      <c r="U326" s="114"/>
      <c r="V326" s="114"/>
      <c r="W326" s="114"/>
      <c r="X326" s="114"/>
      <c r="Y326" s="114"/>
      <c r="Z326" s="143"/>
      <c r="AA326" s="114"/>
      <c r="AB326" s="114"/>
      <c r="AC326" s="114"/>
      <c r="AD326" s="143"/>
      <c r="AE326" s="114"/>
      <c r="AF326" s="114"/>
      <c r="AG326" s="143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43"/>
      <c r="AU326" s="114"/>
      <c r="AV326" s="114"/>
      <c r="AW326" s="114"/>
      <c r="AX326" s="114"/>
      <c r="AY326" s="114"/>
      <c r="AZ326" s="114"/>
      <c r="BA326" s="114"/>
      <c r="BB326" s="114"/>
      <c r="BC326" s="114"/>
    </row>
    <row r="327" spans="1:55" ht="15.75" customHeight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43"/>
      <c r="M327" s="143"/>
      <c r="N327" s="143"/>
      <c r="O327" s="143"/>
      <c r="P327" s="114"/>
      <c r="Q327" s="114"/>
      <c r="R327" s="114"/>
      <c r="S327" s="143"/>
      <c r="T327" s="114"/>
      <c r="U327" s="114"/>
      <c r="V327" s="114"/>
      <c r="W327" s="114"/>
      <c r="X327" s="114"/>
      <c r="Y327" s="114"/>
      <c r="Z327" s="143"/>
      <c r="AA327" s="114"/>
      <c r="AB327" s="114"/>
      <c r="AC327" s="114"/>
      <c r="AD327" s="143"/>
      <c r="AE327" s="114"/>
      <c r="AF327" s="114"/>
      <c r="AG327" s="143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43"/>
      <c r="AU327" s="114"/>
      <c r="AV327" s="114"/>
      <c r="AW327" s="114"/>
      <c r="AX327" s="114"/>
      <c r="AY327" s="114"/>
      <c r="AZ327" s="114"/>
      <c r="BA327" s="114"/>
      <c r="BB327" s="114"/>
      <c r="BC327" s="114"/>
    </row>
    <row r="328" spans="1:55" ht="15.75" customHeight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43"/>
      <c r="M328" s="143"/>
      <c r="N328" s="143"/>
      <c r="O328" s="143"/>
      <c r="P328" s="114"/>
      <c r="Q328" s="114"/>
      <c r="R328" s="114"/>
      <c r="S328" s="143"/>
      <c r="T328" s="114"/>
      <c r="U328" s="114"/>
      <c r="V328" s="114"/>
      <c r="W328" s="114"/>
      <c r="X328" s="114"/>
      <c r="Y328" s="114"/>
      <c r="Z328" s="143"/>
      <c r="AA328" s="114"/>
      <c r="AB328" s="114"/>
      <c r="AC328" s="114"/>
      <c r="AD328" s="143"/>
      <c r="AE328" s="114"/>
      <c r="AF328" s="114"/>
      <c r="AG328" s="143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43"/>
      <c r="AU328" s="114"/>
      <c r="AV328" s="114"/>
      <c r="AW328" s="114"/>
      <c r="AX328" s="114"/>
      <c r="AY328" s="114"/>
      <c r="AZ328" s="114"/>
      <c r="BA328" s="114"/>
      <c r="BB328" s="114"/>
      <c r="BC328" s="114"/>
    </row>
    <row r="329" spans="1:55" ht="15.75" customHeight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43"/>
      <c r="M329" s="143"/>
      <c r="N329" s="143"/>
      <c r="O329" s="143"/>
      <c r="P329" s="114"/>
      <c r="Q329" s="114"/>
      <c r="R329" s="114"/>
      <c r="S329" s="143"/>
      <c r="T329" s="114"/>
      <c r="U329" s="114"/>
      <c r="V329" s="114"/>
      <c r="W329" s="114"/>
      <c r="X329" s="114"/>
      <c r="Y329" s="114"/>
      <c r="Z329" s="143"/>
      <c r="AA329" s="114"/>
      <c r="AB329" s="114"/>
      <c r="AC329" s="114"/>
      <c r="AD329" s="143"/>
      <c r="AE329" s="114"/>
      <c r="AF329" s="114"/>
      <c r="AG329" s="143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43"/>
      <c r="AU329" s="114"/>
      <c r="AV329" s="114"/>
      <c r="AW329" s="114"/>
      <c r="AX329" s="114"/>
      <c r="AY329" s="114"/>
      <c r="AZ329" s="114"/>
      <c r="BA329" s="114"/>
      <c r="BB329" s="114"/>
      <c r="BC329" s="114"/>
    </row>
    <row r="330" spans="1:55" ht="15.75" customHeight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43"/>
      <c r="M330" s="143"/>
      <c r="N330" s="143"/>
      <c r="O330" s="143"/>
      <c r="P330" s="114"/>
      <c r="Q330" s="114"/>
      <c r="R330" s="114"/>
      <c r="S330" s="143"/>
      <c r="T330" s="114"/>
      <c r="U330" s="114"/>
      <c r="V330" s="114"/>
      <c r="W330" s="114"/>
      <c r="X330" s="114"/>
      <c r="Y330" s="114"/>
      <c r="Z330" s="143"/>
      <c r="AA330" s="114"/>
      <c r="AB330" s="114"/>
      <c r="AC330" s="114"/>
      <c r="AD330" s="143"/>
      <c r="AE330" s="114"/>
      <c r="AF330" s="114"/>
      <c r="AG330" s="143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43"/>
      <c r="AU330" s="114"/>
      <c r="AV330" s="114"/>
      <c r="AW330" s="114"/>
      <c r="AX330" s="114"/>
      <c r="AY330" s="114"/>
      <c r="AZ330" s="114"/>
      <c r="BA330" s="114"/>
      <c r="BB330" s="114"/>
      <c r="BC330" s="114"/>
    </row>
    <row r="331" spans="1:55" ht="15.75" customHeight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43"/>
      <c r="M331" s="143"/>
      <c r="N331" s="143"/>
      <c r="O331" s="143"/>
      <c r="P331" s="114"/>
      <c r="Q331" s="114"/>
      <c r="R331" s="114"/>
      <c r="S331" s="143"/>
      <c r="T331" s="114"/>
      <c r="U331" s="114"/>
      <c r="V331" s="114"/>
      <c r="W331" s="114"/>
      <c r="X331" s="114"/>
      <c r="Y331" s="114"/>
      <c r="Z331" s="143"/>
      <c r="AA331" s="114"/>
      <c r="AB331" s="114"/>
      <c r="AC331" s="114"/>
      <c r="AD331" s="143"/>
      <c r="AE331" s="114"/>
      <c r="AF331" s="114"/>
      <c r="AG331" s="143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43"/>
      <c r="AU331" s="114"/>
      <c r="AV331" s="114"/>
      <c r="AW331" s="114"/>
      <c r="AX331" s="114"/>
      <c r="AY331" s="114"/>
      <c r="AZ331" s="114"/>
      <c r="BA331" s="114"/>
      <c r="BB331" s="114"/>
      <c r="BC331" s="114"/>
    </row>
    <row r="332" spans="1:55" ht="15.75" customHeight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43"/>
      <c r="M332" s="143"/>
      <c r="N332" s="143"/>
      <c r="O332" s="143"/>
      <c r="P332" s="114"/>
      <c r="Q332" s="114"/>
      <c r="R332" s="114"/>
      <c r="S332" s="143"/>
      <c r="T332" s="114"/>
      <c r="U332" s="114"/>
      <c r="V332" s="114"/>
      <c r="W332" s="114"/>
      <c r="X332" s="114"/>
      <c r="Y332" s="114"/>
      <c r="Z332" s="143"/>
      <c r="AA332" s="114"/>
      <c r="AB332" s="114"/>
      <c r="AC332" s="114"/>
      <c r="AD332" s="143"/>
      <c r="AE332" s="114"/>
      <c r="AF332" s="114"/>
      <c r="AG332" s="143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43"/>
      <c r="AU332" s="114"/>
      <c r="AV332" s="114"/>
      <c r="AW332" s="114"/>
      <c r="AX332" s="114"/>
      <c r="AY332" s="114"/>
      <c r="AZ332" s="114"/>
      <c r="BA332" s="114"/>
      <c r="BB332" s="114"/>
      <c r="BC332" s="114"/>
    </row>
    <row r="333" spans="1:55" ht="15.75" customHeight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43"/>
      <c r="M333" s="143"/>
      <c r="N333" s="143"/>
      <c r="O333" s="143"/>
      <c r="P333" s="114"/>
      <c r="Q333" s="114"/>
      <c r="R333" s="114"/>
      <c r="S333" s="143"/>
      <c r="T333" s="114"/>
      <c r="U333" s="114"/>
      <c r="V333" s="114"/>
      <c r="W333" s="114"/>
      <c r="X333" s="114"/>
      <c r="Y333" s="114"/>
      <c r="Z333" s="143"/>
      <c r="AA333" s="114"/>
      <c r="AB333" s="114"/>
      <c r="AC333" s="114"/>
      <c r="AD333" s="143"/>
      <c r="AE333" s="114"/>
      <c r="AF333" s="114"/>
      <c r="AG333" s="143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43"/>
      <c r="AU333" s="114"/>
      <c r="AV333" s="114"/>
      <c r="AW333" s="114"/>
      <c r="AX333" s="114"/>
      <c r="AY333" s="114"/>
      <c r="AZ333" s="114"/>
      <c r="BA333" s="114"/>
      <c r="BB333" s="114"/>
      <c r="BC333" s="114"/>
    </row>
    <row r="334" spans="1:55" ht="15.75" customHeight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43"/>
      <c r="M334" s="143"/>
      <c r="N334" s="143"/>
      <c r="O334" s="143"/>
      <c r="P334" s="114"/>
      <c r="Q334" s="114"/>
      <c r="R334" s="114"/>
      <c r="S334" s="143"/>
      <c r="T334" s="114"/>
      <c r="U334" s="114"/>
      <c r="V334" s="114"/>
      <c r="W334" s="114"/>
      <c r="X334" s="114"/>
      <c r="Y334" s="114"/>
      <c r="Z334" s="143"/>
      <c r="AA334" s="114"/>
      <c r="AB334" s="114"/>
      <c r="AC334" s="114"/>
      <c r="AD334" s="143"/>
      <c r="AE334" s="114"/>
      <c r="AF334" s="114"/>
      <c r="AG334" s="143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43"/>
      <c r="AU334" s="114"/>
      <c r="AV334" s="114"/>
      <c r="AW334" s="114"/>
      <c r="AX334" s="114"/>
      <c r="AY334" s="114"/>
      <c r="AZ334" s="114"/>
      <c r="BA334" s="114"/>
      <c r="BB334" s="114"/>
      <c r="BC334" s="114"/>
    </row>
    <row r="335" spans="1:55" ht="15.75" customHeight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43"/>
      <c r="M335" s="143"/>
      <c r="N335" s="143"/>
      <c r="O335" s="143"/>
      <c r="P335" s="114"/>
      <c r="Q335" s="114"/>
      <c r="R335" s="114"/>
      <c r="S335" s="143"/>
      <c r="T335" s="114"/>
      <c r="U335" s="114"/>
      <c r="V335" s="114"/>
      <c r="W335" s="114"/>
      <c r="X335" s="114"/>
      <c r="Y335" s="114"/>
      <c r="Z335" s="143"/>
      <c r="AA335" s="114"/>
      <c r="AB335" s="114"/>
      <c r="AC335" s="114"/>
      <c r="AD335" s="143"/>
      <c r="AE335" s="114"/>
      <c r="AF335" s="114"/>
      <c r="AG335" s="143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43"/>
      <c r="AU335" s="114"/>
      <c r="AV335" s="114"/>
      <c r="AW335" s="114"/>
      <c r="AX335" s="114"/>
      <c r="AY335" s="114"/>
      <c r="AZ335" s="114"/>
      <c r="BA335" s="114"/>
      <c r="BB335" s="114"/>
      <c r="BC335" s="114"/>
    </row>
    <row r="336" spans="1:55" ht="15.75" customHeight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43"/>
      <c r="M336" s="143"/>
      <c r="N336" s="143"/>
      <c r="O336" s="143"/>
      <c r="P336" s="114"/>
      <c r="Q336" s="114"/>
      <c r="R336" s="114"/>
      <c r="S336" s="143"/>
      <c r="T336" s="114"/>
      <c r="U336" s="114"/>
      <c r="V336" s="114"/>
      <c r="W336" s="114"/>
      <c r="X336" s="114"/>
      <c r="Y336" s="114"/>
      <c r="Z336" s="143"/>
      <c r="AA336" s="114"/>
      <c r="AB336" s="114"/>
      <c r="AC336" s="114"/>
      <c r="AD336" s="143"/>
      <c r="AE336" s="114"/>
      <c r="AF336" s="114"/>
      <c r="AG336" s="143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43"/>
      <c r="AU336" s="114"/>
      <c r="AV336" s="114"/>
      <c r="AW336" s="114"/>
      <c r="AX336" s="114"/>
      <c r="AY336" s="114"/>
      <c r="AZ336" s="114"/>
      <c r="BA336" s="114"/>
      <c r="BB336" s="114"/>
      <c r="BC336" s="114"/>
    </row>
    <row r="337" spans="1:55" ht="15.75" customHeight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43"/>
      <c r="M337" s="143"/>
      <c r="N337" s="143"/>
      <c r="O337" s="143"/>
      <c r="P337" s="114"/>
      <c r="Q337" s="114"/>
      <c r="R337" s="114"/>
      <c r="S337" s="143"/>
      <c r="T337" s="114"/>
      <c r="U337" s="114"/>
      <c r="V337" s="114"/>
      <c r="W337" s="114"/>
      <c r="X337" s="114"/>
      <c r="Y337" s="114"/>
      <c r="Z337" s="143"/>
      <c r="AA337" s="114"/>
      <c r="AB337" s="114"/>
      <c r="AC337" s="114"/>
      <c r="AD337" s="143"/>
      <c r="AE337" s="114"/>
      <c r="AF337" s="114"/>
      <c r="AG337" s="143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43"/>
      <c r="AU337" s="114"/>
      <c r="AV337" s="114"/>
      <c r="AW337" s="114"/>
      <c r="AX337" s="114"/>
      <c r="AY337" s="114"/>
      <c r="AZ337" s="114"/>
      <c r="BA337" s="114"/>
      <c r="BB337" s="114"/>
      <c r="BC337" s="114"/>
    </row>
    <row r="338" spans="1:55" ht="15.75" customHeight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43"/>
      <c r="M338" s="143"/>
      <c r="N338" s="143"/>
      <c r="O338" s="143"/>
      <c r="P338" s="114"/>
      <c r="Q338" s="114"/>
      <c r="R338" s="114"/>
      <c r="S338" s="143"/>
      <c r="T338" s="114"/>
      <c r="U338" s="114"/>
      <c r="V338" s="114"/>
      <c r="W338" s="114"/>
      <c r="X338" s="114"/>
      <c r="Y338" s="114"/>
      <c r="Z338" s="143"/>
      <c r="AA338" s="114"/>
      <c r="AB338" s="114"/>
      <c r="AC338" s="114"/>
      <c r="AD338" s="143"/>
      <c r="AE338" s="114"/>
      <c r="AF338" s="114"/>
      <c r="AG338" s="143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43"/>
      <c r="AU338" s="114"/>
      <c r="AV338" s="114"/>
      <c r="AW338" s="114"/>
      <c r="AX338" s="114"/>
      <c r="AY338" s="114"/>
      <c r="AZ338" s="114"/>
      <c r="BA338" s="114"/>
      <c r="BB338" s="114"/>
      <c r="BC338" s="114"/>
    </row>
    <row r="339" spans="1:55" ht="15.75" customHeight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43"/>
      <c r="M339" s="143"/>
      <c r="N339" s="143"/>
      <c r="O339" s="143"/>
      <c r="P339" s="114"/>
      <c r="Q339" s="114"/>
      <c r="R339" s="114"/>
      <c r="S339" s="143"/>
      <c r="T339" s="114"/>
      <c r="U339" s="114"/>
      <c r="V339" s="114"/>
      <c r="W339" s="114"/>
      <c r="X339" s="114"/>
      <c r="Y339" s="114"/>
      <c r="Z339" s="143"/>
      <c r="AA339" s="114"/>
      <c r="AB339" s="114"/>
      <c r="AC339" s="114"/>
      <c r="AD339" s="143"/>
      <c r="AE339" s="114"/>
      <c r="AF339" s="114"/>
      <c r="AG339" s="143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  <c r="AR339" s="114"/>
      <c r="AS339" s="114"/>
      <c r="AT339" s="143"/>
      <c r="AU339" s="114"/>
      <c r="AV339" s="114"/>
      <c r="AW339" s="114"/>
      <c r="AX339" s="114"/>
      <c r="AY339" s="114"/>
      <c r="AZ339" s="114"/>
      <c r="BA339" s="114"/>
      <c r="BB339" s="114"/>
      <c r="BC339" s="114"/>
    </row>
    <row r="340" spans="1:55" ht="15.75" customHeight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43"/>
      <c r="M340" s="143"/>
      <c r="N340" s="143"/>
      <c r="O340" s="143"/>
      <c r="P340" s="114"/>
      <c r="Q340" s="114"/>
      <c r="R340" s="114"/>
      <c r="S340" s="143"/>
      <c r="T340" s="114"/>
      <c r="U340" s="114"/>
      <c r="V340" s="114"/>
      <c r="W340" s="114"/>
      <c r="X340" s="114"/>
      <c r="Y340" s="114"/>
      <c r="Z340" s="143"/>
      <c r="AA340" s="114"/>
      <c r="AB340" s="114"/>
      <c r="AC340" s="114"/>
      <c r="AD340" s="143"/>
      <c r="AE340" s="114"/>
      <c r="AF340" s="114"/>
      <c r="AG340" s="143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  <c r="AR340" s="114"/>
      <c r="AS340" s="114"/>
      <c r="AT340" s="143"/>
      <c r="AU340" s="114"/>
      <c r="AV340" s="114"/>
      <c r="AW340" s="114"/>
      <c r="AX340" s="114"/>
      <c r="AY340" s="114"/>
      <c r="AZ340" s="114"/>
      <c r="BA340" s="114"/>
      <c r="BB340" s="114"/>
      <c r="BC340" s="114"/>
    </row>
    <row r="341" spans="1:55" ht="15.75" customHeight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43"/>
      <c r="M341" s="143"/>
      <c r="N341" s="143"/>
      <c r="O341" s="143"/>
      <c r="P341" s="114"/>
      <c r="Q341" s="114"/>
      <c r="R341" s="114"/>
      <c r="S341" s="143"/>
      <c r="T341" s="114"/>
      <c r="U341" s="114"/>
      <c r="V341" s="114"/>
      <c r="W341" s="114"/>
      <c r="X341" s="114"/>
      <c r="Y341" s="114"/>
      <c r="Z341" s="143"/>
      <c r="AA341" s="114"/>
      <c r="AB341" s="114"/>
      <c r="AC341" s="114"/>
      <c r="AD341" s="143"/>
      <c r="AE341" s="114"/>
      <c r="AF341" s="114"/>
      <c r="AG341" s="143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43"/>
      <c r="AU341" s="114"/>
      <c r="AV341" s="114"/>
      <c r="AW341" s="114"/>
      <c r="AX341" s="114"/>
      <c r="AY341" s="114"/>
      <c r="AZ341" s="114"/>
      <c r="BA341" s="114"/>
      <c r="BB341" s="114"/>
      <c r="BC341" s="114"/>
    </row>
    <row r="342" spans="1:55" ht="15.75" customHeight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43"/>
      <c r="M342" s="143"/>
      <c r="N342" s="143"/>
      <c r="O342" s="143"/>
      <c r="P342" s="114"/>
      <c r="Q342" s="114"/>
      <c r="R342" s="114"/>
      <c r="S342" s="143"/>
      <c r="T342" s="114"/>
      <c r="U342" s="114"/>
      <c r="V342" s="114"/>
      <c r="W342" s="114"/>
      <c r="X342" s="114"/>
      <c r="Y342" s="114"/>
      <c r="Z342" s="143"/>
      <c r="AA342" s="114"/>
      <c r="AB342" s="114"/>
      <c r="AC342" s="114"/>
      <c r="AD342" s="143"/>
      <c r="AE342" s="114"/>
      <c r="AF342" s="114"/>
      <c r="AG342" s="143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43"/>
      <c r="AU342" s="114"/>
      <c r="AV342" s="114"/>
      <c r="AW342" s="114"/>
      <c r="AX342" s="114"/>
      <c r="AY342" s="114"/>
      <c r="AZ342" s="114"/>
      <c r="BA342" s="114"/>
      <c r="BB342" s="114"/>
      <c r="BC342" s="114"/>
    </row>
    <row r="343" spans="1:55" ht="15.75" customHeight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43"/>
      <c r="M343" s="143"/>
      <c r="N343" s="143"/>
      <c r="O343" s="143"/>
      <c r="P343" s="114"/>
      <c r="Q343" s="114"/>
      <c r="R343" s="114"/>
      <c r="S343" s="143"/>
      <c r="T343" s="114"/>
      <c r="U343" s="114"/>
      <c r="V343" s="114"/>
      <c r="W343" s="114"/>
      <c r="X343" s="114"/>
      <c r="Y343" s="114"/>
      <c r="Z343" s="143"/>
      <c r="AA343" s="114"/>
      <c r="AB343" s="114"/>
      <c r="AC343" s="114"/>
      <c r="AD343" s="143"/>
      <c r="AE343" s="114"/>
      <c r="AF343" s="114"/>
      <c r="AG343" s="143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43"/>
      <c r="AU343" s="114"/>
      <c r="AV343" s="114"/>
      <c r="AW343" s="114"/>
      <c r="AX343" s="114"/>
      <c r="AY343" s="114"/>
      <c r="AZ343" s="114"/>
      <c r="BA343" s="114"/>
      <c r="BB343" s="114"/>
      <c r="BC343" s="114"/>
    </row>
    <row r="344" spans="1:55" ht="15.75" customHeight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43"/>
      <c r="M344" s="143"/>
      <c r="N344" s="143"/>
      <c r="O344" s="143"/>
      <c r="P344" s="114"/>
      <c r="Q344" s="114"/>
      <c r="R344" s="114"/>
      <c r="S344" s="143"/>
      <c r="T344" s="114"/>
      <c r="U344" s="114"/>
      <c r="V344" s="114"/>
      <c r="W344" s="114"/>
      <c r="X344" s="114"/>
      <c r="Y344" s="114"/>
      <c r="Z344" s="143"/>
      <c r="AA344" s="114"/>
      <c r="AB344" s="114"/>
      <c r="AC344" s="114"/>
      <c r="AD344" s="143"/>
      <c r="AE344" s="114"/>
      <c r="AF344" s="114"/>
      <c r="AG344" s="143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43"/>
      <c r="AU344" s="114"/>
      <c r="AV344" s="114"/>
      <c r="AW344" s="114"/>
      <c r="AX344" s="114"/>
      <c r="AY344" s="114"/>
      <c r="AZ344" s="114"/>
      <c r="BA344" s="114"/>
      <c r="BB344" s="114"/>
      <c r="BC344" s="114"/>
    </row>
    <row r="345" spans="1:55" ht="15.75" customHeight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43"/>
      <c r="M345" s="143"/>
      <c r="N345" s="143"/>
      <c r="O345" s="143"/>
      <c r="P345" s="114"/>
      <c r="Q345" s="114"/>
      <c r="R345" s="114"/>
      <c r="S345" s="143"/>
      <c r="T345" s="114"/>
      <c r="U345" s="114"/>
      <c r="V345" s="114"/>
      <c r="W345" s="114"/>
      <c r="X345" s="114"/>
      <c r="Y345" s="114"/>
      <c r="Z345" s="143"/>
      <c r="AA345" s="114"/>
      <c r="AB345" s="114"/>
      <c r="AC345" s="114"/>
      <c r="AD345" s="143"/>
      <c r="AE345" s="114"/>
      <c r="AF345" s="114"/>
      <c r="AG345" s="143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43"/>
      <c r="AU345" s="114"/>
      <c r="AV345" s="114"/>
      <c r="AW345" s="114"/>
      <c r="AX345" s="114"/>
      <c r="AY345" s="114"/>
      <c r="AZ345" s="114"/>
      <c r="BA345" s="114"/>
      <c r="BB345" s="114"/>
      <c r="BC345" s="114"/>
    </row>
    <row r="346" spans="1:55" ht="15.75" customHeight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43"/>
      <c r="M346" s="143"/>
      <c r="N346" s="143"/>
      <c r="O346" s="143"/>
      <c r="P346" s="114"/>
      <c r="Q346" s="114"/>
      <c r="R346" s="114"/>
      <c r="S346" s="143"/>
      <c r="T346" s="114"/>
      <c r="U346" s="114"/>
      <c r="V346" s="114"/>
      <c r="W346" s="114"/>
      <c r="X346" s="114"/>
      <c r="Y346" s="114"/>
      <c r="Z346" s="143"/>
      <c r="AA346" s="114"/>
      <c r="AB346" s="114"/>
      <c r="AC346" s="114"/>
      <c r="AD346" s="143"/>
      <c r="AE346" s="114"/>
      <c r="AF346" s="114"/>
      <c r="AG346" s="143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43"/>
      <c r="AU346" s="114"/>
      <c r="AV346" s="114"/>
      <c r="AW346" s="114"/>
      <c r="AX346" s="114"/>
      <c r="AY346" s="114"/>
      <c r="AZ346" s="114"/>
      <c r="BA346" s="114"/>
      <c r="BB346" s="114"/>
      <c r="BC346" s="114"/>
    </row>
    <row r="347" spans="1:55" ht="15.75" customHeight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43"/>
      <c r="M347" s="143"/>
      <c r="N347" s="143"/>
      <c r="O347" s="143"/>
      <c r="P347" s="114"/>
      <c r="Q347" s="114"/>
      <c r="R347" s="114"/>
      <c r="S347" s="143"/>
      <c r="T347" s="114"/>
      <c r="U347" s="114"/>
      <c r="V347" s="114"/>
      <c r="W347" s="114"/>
      <c r="X347" s="114"/>
      <c r="Y347" s="114"/>
      <c r="Z347" s="143"/>
      <c r="AA347" s="114"/>
      <c r="AB347" s="114"/>
      <c r="AC347" s="114"/>
      <c r="AD347" s="143"/>
      <c r="AE347" s="114"/>
      <c r="AF347" s="114"/>
      <c r="AG347" s="143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43"/>
      <c r="AU347" s="114"/>
      <c r="AV347" s="114"/>
      <c r="AW347" s="114"/>
      <c r="AX347" s="114"/>
      <c r="AY347" s="114"/>
      <c r="AZ347" s="114"/>
      <c r="BA347" s="114"/>
      <c r="BB347" s="114"/>
      <c r="BC347" s="114"/>
    </row>
    <row r="348" spans="1:55" ht="15.75" customHeight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43"/>
      <c r="M348" s="143"/>
      <c r="N348" s="143"/>
      <c r="O348" s="143"/>
      <c r="P348" s="114"/>
      <c r="Q348" s="114"/>
      <c r="R348" s="114"/>
      <c r="S348" s="143"/>
      <c r="T348" s="114"/>
      <c r="U348" s="114"/>
      <c r="V348" s="114"/>
      <c r="W348" s="114"/>
      <c r="X348" s="114"/>
      <c r="Y348" s="114"/>
      <c r="Z348" s="143"/>
      <c r="AA348" s="114"/>
      <c r="AB348" s="114"/>
      <c r="AC348" s="114"/>
      <c r="AD348" s="143"/>
      <c r="AE348" s="114"/>
      <c r="AF348" s="114"/>
      <c r="AG348" s="143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43"/>
      <c r="AU348" s="114"/>
      <c r="AV348" s="114"/>
      <c r="AW348" s="114"/>
      <c r="AX348" s="114"/>
      <c r="AY348" s="114"/>
      <c r="AZ348" s="114"/>
      <c r="BA348" s="114"/>
      <c r="BB348" s="114"/>
      <c r="BC348" s="114"/>
    </row>
    <row r="349" spans="1:55" ht="15.75" customHeight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43"/>
      <c r="M349" s="143"/>
      <c r="N349" s="143"/>
      <c r="O349" s="143"/>
      <c r="P349" s="114"/>
      <c r="Q349" s="114"/>
      <c r="R349" s="114"/>
      <c r="S349" s="143"/>
      <c r="T349" s="114"/>
      <c r="U349" s="114"/>
      <c r="V349" s="114"/>
      <c r="W349" s="114"/>
      <c r="X349" s="114"/>
      <c r="Y349" s="114"/>
      <c r="Z349" s="143"/>
      <c r="AA349" s="114"/>
      <c r="AB349" s="114"/>
      <c r="AC349" s="114"/>
      <c r="AD349" s="143"/>
      <c r="AE349" s="114"/>
      <c r="AF349" s="114"/>
      <c r="AG349" s="143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43"/>
      <c r="AU349" s="114"/>
      <c r="AV349" s="114"/>
      <c r="AW349" s="114"/>
      <c r="AX349" s="114"/>
      <c r="AY349" s="114"/>
      <c r="AZ349" s="114"/>
      <c r="BA349" s="114"/>
      <c r="BB349" s="114"/>
      <c r="BC349" s="114"/>
    </row>
    <row r="350" spans="1:55" ht="15.75" customHeight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43"/>
      <c r="M350" s="143"/>
      <c r="N350" s="143"/>
      <c r="O350" s="143"/>
      <c r="P350" s="114"/>
      <c r="Q350" s="114"/>
      <c r="R350" s="114"/>
      <c r="S350" s="143"/>
      <c r="T350" s="114"/>
      <c r="U350" s="114"/>
      <c r="V350" s="114"/>
      <c r="W350" s="114"/>
      <c r="X350" s="114"/>
      <c r="Y350" s="114"/>
      <c r="Z350" s="143"/>
      <c r="AA350" s="114"/>
      <c r="AB350" s="114"/>
      <c r="AC350" s="114"/>
      <c r="AD350" s="143"/>
      <c r="AE350" s="114"/>
      <c r="AF350" s="114"/>
      <c r="AG350" s="143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43"/>
      <c r="AU350" s="114"/>
      <c r="AV350" s="114"/>
      <c r="AW350" s="114"/>
      <c r="AX350" s="114"/>
      <c r="AY350" s="114"/>
      <c r="AZ350" s="114"/>
      <c r="BA350" s="114"/>
      <c r="BB350" s="114"/>
      <c r="BC350" s="114"/>
    </row>
    <row r="351" spans="1:55" ht="15.75" customHeight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43"/>
      <c r="M351" s="143"/>
      <c r="N351" s="143"/>
      <c r="O351" s="143"/>
      <c r="P351" s="114"/>
      <c r="Q351" s="114"/>
      <c r="R351" s="114"/>
      <c r="S351" s="143"/>
      <c r="T351" s="114"/>
      <c r="U351" s="114"/>
      <c r="V351" s="114"/>
      <c r="W351" s="114"/>
      <c r="X351" s="114"/>
      <c r="Y351" s="114"/>
      <c r="Z351" s="143"/>
      <c r="AA351" s="114"/>
      <c r="AB351" s="114"/>
      <c r="AC351" s="114"/>
      <c r="AD351" s="143"/>
      <c r="AE351" s="114"/>
      <c r="AF351" s="114"/>
      <c r="AG351" s="143"/>
      <c r="AH351" s="114"/>
      <c r="AI351" s="114"/>
      <c r="AJ351" s="114"/>
      <c r="AK351" s="114"/>
      <c r="AL351" s="114"/>
      <c r="AM351" s="114"/>
      <c r="AN351" s="114"/>
      <c r="AO351" s="114"/>
      <c r="AP351" s="114"/>
      <c r="AQ351" s="114"/>
      <c r="AR351" s="114"/>
      <c r="AS351" s="114"/>
      <c r="AT351" s="143"/>
      <c r="AU351" s="114"/>
      <c r="AV351" s="114"/>
      <c r="AW351" s="114"/>
      <c r="AX351" s="114"/>
      <c r="AY351" s="114"/>
      <c r="AZ351" s="114"/>
      <c r="BA351" s="114"/>
      <c r="BB351" s="114"/>
      <c r="BC351" s="114"/>
    </row>
    <row r="352" spans="1:55" ht="15.75" customHeight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43"/>
      <c r="M352" s="143"/>
      <c r="N352" s="143"/>
      <c r="O352" s="143"/>
      <c r="P352" s="114"/>
      <c r="Q352" s="114"/>
      <c r="R352" s="114"/>
      <c r="S352" s="143"/>
      <c r="T352" s="114"/>
      <c r="U352" s="114"/>
      <c r="V352" s="114"/>
      <c r="W352" s="114"/>
      <c r="X352" s="114"/>
      <c r="Y352" s="114"/>
      <c r="Z352" s="143"/>
      <c r="AA352" s="114"/>
      <c r="AB352" s="114"/>
      <c r="AC352" s="114"/>
      <c r="AD352" s="143"/>
      <c r="AE352" s="114"/>
      <c r="AF352" s="114"/>
      <c r="AG352" s="143"/>
      <c r="AH352" s="114"/>
      <c r="AI352" s="114"/>
      <c r="AJ352" s="114"/>
      <c r="AK352" s="114"/>
      <c r="AL352" s="114"/>
      <c r="AM352" s="114"/>
      <c r="AN352" s="114"/>
      <c r="AO352" s="114"/>
      <c r="AP352" s="114"/>
      <c r="AQ352" s="114"/>
      <c r="AR352" s="114"/>
      <c r="AS352" s="114"/>
      <c r="AT352" s="143"/>
      <c r="AU352" s="114"/>
      <c r="AV352" s="114"/>
      <c r="AW352" s="114"/>
      <c r="AX352" s="114"/>
      <c r="AY352" s="114"/>
      <c r="AZ352" s="114"/>
      <c r="BA352" s="114"/>
      <c r="BB352" s="114"/>
      <c r="BC352" s="114"/>
    </row>
    <row r="353" spans="1:55" ht="15.75" customHeight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43"/>
      <c r="M353" s="143"/>
      <c r="N353" s="143"/>
      <c r="O353" s="143"/>
      <c r="P353" s="114"/>
      <c r="Q353" s="114"/>
      <c r="R353" s="114"/>
      <c r="S353" s="143"/>
      <c r="T353" s="114"/>
      <c r="U353" s="114"/>
      <c r="V353" s="114"/>
      <c r="W353" s="114"/>
      <c r="X353" s="114"/>
      <c r="Y353" s="114"/>
      <c r="Z353" s="143"/>
      <c r="AA353" s="114"/>
      <c r="AB353" s="114"/>
      <c r="AC353" s="114"/>
      <c r="AD353" s="143"/>
      <c r="AE353" s="114"/>
      <c r="AF353" s="114"/>
      <c r="AG353" s="143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43"/>
      <c r="AU353" s="114"/>
      <c r="AV353" s="114"/>
      <c r="AW353" s="114"/>
      <c r="AX353" s="114"/>
      <c r="AY353" s="114"/>
      <c r="AZ353" s="114"/>
      <c r="BA353" s="114"/>
      <c r="BB353" s="114"/>
      <c r="BC353" s="114"/>
    </row>
    <row r="354" spans="1:55" ht="15.75" customHeight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43"/>
      <c r="M354" s="143"/>
      <c r="N354" s="143"/>
      <c r="O354" s="143"/>
      <c r="P354" s="114"/>
      <c r="Q354" s="114"/>
      <c r="R354" s="114"/>
      <c r="S354" s="143"/>
      <c r="T354" s="114"/>
      <c r="U354" s="114"/>
      <c r="V354" s="114"/>
      <c r="W354" s="114"/>
      <c r="X354" s="114"/>
      <c r="Y354" s="114"/>
      <c r="Z354" s="143"/>
      <c r="AA354" s="114"/>
      <c r="AB354" s="114"/>
      <c r="AC354" s="114"/>
      <c r="AD354" s="143"/>
      <c r="AE354" s="114"/>
      <c r="AF354" s="114"/>
      <c r="AG354" s="143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43"/>
      <c r="AU354" s="114"/>
      <c r="AV354" s="114"/>
      <c r="AW354" s="114"/>
      <c r="AX354" s="114"/>
      <c r="AY354" s="114"/>
      <c r="AZ354" s="114"/>
      <c r="BA354" s="114"/>
      <c r="BB354" s="114"/>
      <c r="BC354" s="114"/>
    </row>
    <row r="355" spans="1:55" ht="15.75" customHeight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43"/>
      <c r="M355" s="143"/>
      <c r="N355" s="143"/>
      <c r="O355" s="143"/>
      <c r="P355" s="114"/>
      <c r="Q355" s="114"/>
      <c r="R355" s="114"/>
      <c r="S355" s="143"/>
      <c r="T355" s="114"/>
      <c r="U355" s="114"/>
      <c r="V355" s="114"/>
      <c r="W355" s="114"/>
      <c r="X355" s="114"/>
      <c r="Y355" s="114"/>
      <c r="Z355" s="143"/>
      <c r="AA355" s="114"/>
      <c r="AB355" s="114"/>
      <c r="AC355" s="114"/>
      <c r="AD355" s="143"/>
      <c r="AE355" s="114"/>
      <c r="AF355" s="114"/>
      <c r="AG355" s="143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43"/>
      <c r="AU355" s="114"/>
      <c r="AV355" s="114"/>
      <c r="AW355" s="114"/>
      <c r="AX355" s="114"/>
      <c r="AY355" s="114"/>
      <c r="AZ355" s="114"/>
      <c r="BA355" s="114"/>
      <c r="BB355" s="114"/>
      <c r="BC355" s="114"/>
    </row>
    <row r="356" spans="1:55" ht="15.75" customHeight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43"/>
      <c r="M356" s="143"/>
      <c r="N356" s="143"/>
      <c r="O356" s="143"/>
      <c r="P356" s="114"/>
      <c r="Q356" s="114"/>
      <c r="R356" s="114"/>
      <c r="S356" s="143"/>
      <c r="T356" s="114"/>
      <c r="U356" s="114"/>
      <c r="V356" s="114"/>
      <c r="W356" s="114"/>
      <c r="X356" s="114"/>
      <c r="Y356" s="114"/>
      <c r="Z356" s="143"/>
      <c r="AA356" s="114"/>
      <c r="AB356" s="114"/>
      <c r="AC356" s="114"/>
      <c r="AD356" s="143"/>
      <c r="AE356" s="114"/>
      <c r="AF356" s="114"/>
      <c r="AG356" s="143"/>
      <c r="AH356" s="114"/>
      <c r="AI356" s="114"/>
      <c r="AJ356" s="114"/>
      <c r="AK356" s="114"/>
      <c r="AL356" s="114"/>
      <c r="AM356" s="114"/>
      <c r="AN356" s="114"/>
      <c r="AO356" s="114"/>
      <c r="AP356" s="114"/>
      <c r="AQ356" s="114"/>
      <c r="AR356" s="114"/>
      <c r="AS356" s="114"/>
      <c r="AT356" s="143"/>
      <c r="AU356" s="114"/>
      <c r="AV356" s="114"/>
      <c r="AW356" s="114"/>
      <c r="AX356" s="114"/>
      <c r="AY356" s="114"/>
      <c r="AZ356" s="114"/>
      <c r="BA356" s="114"/>
      <c r="BB356" s="114"/>
      <c r="BC356" s="114"/>
    </row>
    <row r="357" spans="1:55" ht="15.75" customHeight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43"/>
      <c r="M357" s="143"/>
      <c r="N357" s="143"/>
      <c r="O357" s="143"/>
      <c r="P357" s="114"/>
      <c r="Q357" s="114"/>
      <c r="R357" s="114"/>
      <c r="S357" s="143"/>
      <c r="T357" s="114"/>
      <c r="U357" s="114"/>
      <c r="V357" s="114"/>
      <c r="W357" s="114"/>
      <c r="X357" s="114"/>
      <c r="Y357" s="114"/>
      <c r="Z357" s="143"/>
      <c r="AA357" s="114"/>
      <c r="AB357" s="114"/>
      <c r="AC357" s="114"/>
      <c r="AD357" s="143"/>
      <c r="AE357" s="114"/>
      <c r="AF357" s="114"/>
      <c r="AG357" s="143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43"/>
      <c r="AU357" s="114"/>
      <c r="AV357" s="114"/>
      <c r="AW357" s="114"/>
      <c r="AX357" s="114"/>
      <c r="AY357" s="114"/>
      <c r="AZ357" s="114"/>
      <c r="BA357" s="114"/>
      <c r="BB357" s="114"/>
      <c r="BC357" s="114"/>
    </row>
    <row r="358" spans="1:55" ht="15.75" customHeight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43"/>
      <c r="M358" s="143"/>
      <c r="N358" s="143"/>
      <c r="O358" s="143"/>
      <c r="P358" s="114"/>
      <c r="Q358" s="114"/>
      <c r="R358" s="114"/>
      <c r="S358" s="143"/>
      <c r="T358" s="114"/>
      <c r="U358" s="114"/>
      <c r="V358" s="114"/>
      <c r="W358" s="114"/>
      <c r="X358" s="114"/>
      <c r="Y358" s="114"/>
      <c r="Z358" s="143"/>
      <c r="AA358" s="114"/>
      <c r="AB358" s="114"/>
      <c r="AC358" s="114"/>
      <c r="AD358" s="143"/>
      <c r="AE358" s="114"/>
      <c r="AF358" s="114"/>
      <c r="AG358" s="143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43"/>
      <c r="AU358" s="114"/>
      <c r="AV358" s="114"/>
      <c r="AW358" s="114"/>
      <c r="AX358" s="114"/>
      <c r="AY358" s="114"/>
      <c r="AZ358" s="114"/>
      <c r="BA358" s="114"/>
      <c r="BB358" s="114"/>
      <c r="BC358" s="114"/>
    </row>
    <row r="359" spans="1:55" ht="15.75" customHeight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43"/>
      <c r="M359" s="143"/>
      <c r="N359" s="143"/>
      <c r="O359" s="143"/>
      <c r="P359" s="114"/>
      <c r="Q359" s="114"/>
      <c r="R359" s="114"/>
      <c r="S359" s="143"/>
      <c r="T359" s="114"/>
      <c r="U359" s="114"/>
      <c r="V359" s="114"/>
      <c r="W359" s="114"/>
      <c r="X359" s="114"/>
      <c r="Y359" s="114"/>
      <c r="Z359" s="143"/>
      <c r="AA359" s="114"/>
      <c r="AB359" s="114"/>
      <c r="AC359" s="114"/>
      <c r="AD359" s="143"/>
      <c r="AE359" s="114"/>
      <c r="AF359" s="114"/>
      <c r="AG359" s="143"/>
      <c r="AH359" s="114"/>
      <c r="AI359" s="114"/>
      <c r="AJ359" s="114"/>
      <c r="AK359" s="114"/>
      <c r="AL359" s="114"/>
      <c r="AM359" s="114"/>
      <c r="AN359" s="114"/>
      <c r="AO359" s="114"/>
      <c r="AP359" s="114"/>
      <c r="AQ359" s="114"/>
      <c r="AR359" s="114"/>
      <c r="AS359" s="114"/>
      <c r="AT359" s="143"/>
      <c r="AU359" s="114"/>
      <c r="AV359" s="114"/>
      <c r="AW359" s="114"/>
      <c r="AX359" s="114"/>
      <c r="AY359" s="114"/>
      <c r="AZ359" s="114"/>
      <c r="BA359" s="114"/>
      <c r="BB359" s="114"/>
      <c r="BC359" s="114"/>
    </row>
    <row r="360" spans="1:55" ht="15.75" customHeight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43"/>
      <c r="M360" s="143"/>
      <c r="N360" s="143"/>
      <c r="O360" s="143"/>
      <c r="P360" s="114"/>
      <c r="Q360" s="114"/>
      <c r="R360" s="114"/>
      <c r="S360" s="143"/>
      <c r="T360" s="114"/>
      <c r="U360" s="114"/>
      <c r="V360" s="114"/>
      <c r="W360" s="114"/>
      <c r="X360" s="114"/>
      <c r="Y360" s="114"/>
      <c r="Z360" s="143"/>
      <c r="AA360" s="114"/>
      <c r="AB360" s="114"/>
      <c r="AC360" s="114"/>
      <c r="AD360" s="143"/>
      <c r="AE360" s="114"/>
      <c r="AF360" s="114"/>
      <c r="AG360" s="143"/>
      <c r="AH360" s="114"/>
      <c r="AI360" s="114"/>
      <c r="AJ360" s="114"/>
      <c r="AK360" s="114"/>
      <c r="AL360" s="114"/>
      <c r="AM360" s="114"/>
      <c r="AN360" s="114"/>
      <c r="AO360" s="114"/>
      <c r="AP360" s="114"/>
      <c r="AQ360" s="114"/>
      <c r="AR360" s="114"/>
      <c r="AS360" s="114"/>
      <c r="AT360" s="143"/>
      <c r="AU360" s="114"/>
      <c r="AV360" s="114"/>
      <c r="AW360" s="114"/>
      <c r="AX360" s="114"/>
      <c r="AY360" s="114"/>
      <c r="AZ360" s="114"/>
      <c r="BA360" s="114"/>
      <c r="BB360" s="114"/>
      <c r="BC360" s="114"/>
    </row>
    <row r="361" spans="1:55" ht="15.75" customHeight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43"/>
      <c r="M361" s="143"/>
      <c r="N361" s="143"/>
      <c r="O361" s="143"/>
      <c r="P361" s="114"/>
      <c r="Q361" s="114"/>
      <c r="R361" s="114"/>
      <c r="S361" s="143"/>
      <c r="T361" s="114"/>
      <c r="U361" s="114"/>
      <c r="V361" s="114"/>
      <c r="W361" s="114"/>
      <c r="X361" s="114"/>
      <c r="Y361" s="114"/>
      <c r="Z361" s="143"/>
      <c r="AA361" s="114"/>
      <c r="AB361" s="114"/>
      <c r="AC361" s="114"/>
      <c r="AD361" s="143"/>
      <c r="AE361" s="114"/>
      <c r="AF361" s="114"/>
      <c r="AG361" s="143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43"/>
      <c r="AU361" s="114"/>
      <c r="AV361" s="114"/>
      <c r="AW361" s="114"/>
      <c r="AX361" s="114"/>
      <c r="AY361" s="114"/>
      <c r="AZ361" s="114"/>
      <c r="BA361" s="114"/>
      <c r="BB361" s="114"/>
      <c r="BC361" s="114"/>
    </row>
    <row r="362" spans="1:55" ht="15.75" customHeight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43"/>
      <c r="M362" s="143"/>
      <c r="N362" s="143"/>
      <c r="O362" s="143"/>
      <c r="P362" s="114"/>
      <c r="Q362" s="114"/>
      <c r="R362" s="114"/>
      <c r="S362" s="143"/>
      <c r="T362" s="114"/>
      <c r="U362" s="114"/>
      <c r="V362" s="114"/>
      <c r="W362" s="114"/>
      <c r="X362" s="114"/>
      <c r="Y362" s="114"/>
      <c r="Z362" s="143"/>
      <c r="AA362" s="114"/>
      <c r="AB362" s="114"/>
      <c r="AC362" s="114"/>
      <c r="AD362" s="143"/>
      <c r="AE362" s="114"/>
      <c r="AF362" s="114"/>
      <c r="AG362" s="143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43"/>
      <c r="AU362" s="114"/>
      <c r="AV362" s="114"/>
      <c r="AW362" s="114"/>
      <c r="AX362" s="114"/>
      <c r="AY362" s="114"/>
      <c r="AZ362" s="114"/>
      <c r="BA362" s="114"/>
      <c r="BB362" s="114"/>
      <c r="BC362" s="114"/>
    </row>
    <row r="363" spans="1:55" ht="15.75" customHeight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43"/>
      <c r="M363" s="143"/>
      <c r="N363" s="143"/>
      <c r="O363" s="143"/>
      <c r="P363" s="114"/>
      <c r="Q363" s="114"/>
      <c r="R363" s="114"/>
      <c r="S363" s="143"/>
      <c r="T363" s="114"/>
      <c r="U363" s="114"/>
      <c r="V363" s="114"/>
      <c r="W363" s="114"/>
      <c r="X363" s="114"/>
      <c r="Y363" s="114"/>
      <c r="Z363" s="143"/>
      <c r="AA363" s="114"/>
      <c r="AB363" s="114"/>
      <c r="AC363" s="114"/>
      <c r="AD363" s="143"/>
      <c r="AE363" s="114"/>
      <c r="AF363" s="114"/>
      <c r="AG363" s="143"/>
      <c r="AH363" s="114"/>
      <c r="AI363" s="114"/>
      <c r="AJ363" s="114"/>
      <c r="AK363" s="114"/>
      <c r="AL363" s="114"/>
      <c r="AM363" s="114"/>
      <c r="AN363" s="114"/>
      <c r="AO363" s="114"/>
      <c r="AP363" s="114"/>
      <c r="AQ363" s="114"/>
      <c r="AR363" s="114"/>
      <c r="AS363" s="114"/>
      <c r="AT363" s="143"/>
      <c r="AU363" s="114"/>
      <c r="AV363" s="114"/>
      <c r="AW363" s="114"/>
      <c r="AX363" s="114"/>
      <c r="AY363" s="114"/>
      <c r="AZ363" s="114"/>
      <c r="BA363" s="114"/>
      <c r="BB363" s="114"/>
      <c r="BC363" s="114"/>
    </row>
    <row r="364" spans="1:55" ht="15.75" customHeight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43"/>
      <c r="M364" s="143"/>
      <c r="N364" s="143"/>
      <c r="O364" s="143"/>
      <c r="P364" s="114"/>
      <c r="Q364" s="114"/>
      <c r="R364" s="114"/>
      <c r="S364" s="143"/>
      <c r="T364" s="114"/>
      <c r="U364" s="114"/>
      <c r="V364" s="114"/>
      <c r="W364" s="114"/>
      <c r="X364" s="114"/>
      <c r="Y364" s="114"/>
      <c r="Z364" s="143"/>
      <c r="AA364" s="114"/>
      <c r="AB364" s="114"/>
      <c r="AC364" s="114"/>
      <c r="AD364" s="143"/>
      <c r="AE364" s="114"/>
      <c r="AF364" s="114"/>
      <c r="AG364" s="143"/>
      <c r="AH364" s="114"/>
      <c r="AI364" s="114"/>
      <c r="AJ364" s="114"/>
      <c r="AK364" s="114"/>
      <c r="AL364" s="114"/>
      <c r="AM364" s="114"/>
      <c r="AN364" s="114"/>
      <c r="AO364" s="114"/>
      <c r="AP364" s="114"/>
      <c r="AQ364" s="114"/>
      <c r="AR364" s="114"/>
      <c r="AS364" s="114"/>
      <c r="AT364" s="143"/>
      <c r="AU364" s="114"/>
      <c r="AV364" s="114"/>
      <c r="AW364" s="114"/>
      <c r="AX364" s="114"/>
      <c r="AY364" s="114"/>
      <c r="AZ364" s="114"/>
      <c r="BA364" s="114"/>
      <c r="BB364" s="114"/>
      <c r="BC364" s="114"/>
    </row>
    <row r="365" spans="1:55" ht="15.75" customHeight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43"/>
      <c r="M365" s="143"/>
      <c r="N365" s="143"/>
      <c r="O365" s="143"/>
      <c r="P365" s="114"/>
      <c r="Q365" s="114"/>
      <c r="R365" s="114"/>
      <c r="S365" s="143"/>
      <c r="T365" s="114"/>
      <c r="U365" s="114"/>
      <c r="V365" s="114"/>
      <c r="W365" s="114"/>
      <c r="X365" s="114"/>
      <c r="Y365" s="114"/>
      <c r="Z365" s="143"/>
      <c r="AA365" s="114"/>
      <c r="AB365" s="114"/>
      <c r="AC365" s="114"/>
      <c r="AD365" s="143"/>
      <c r="AE365" s="114"/>
      <c r="AF365" s="114"/>
      <c r="AG365" s="143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43"/>
      <c r="AU365" s="114"/>
      <c r="AV365" s="114"/>
      <c r="AW365" s="114"/>
      <c r="AX365" s="114"/>
      <c r="AY365" s="114"/>
      <c r="AZ365" s="114"/>
      <c r="BA365" s="114"/>
      <c r="BB365" s="114"/>
      <c r="BC365" s="114"/>
    </row>
    <row r="366" spans="1:55" ht="15.75" customHeight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43"/>
      <c r="M366" s="143"/>
      <c r="N366" s="143"/>
      <c r="O366" s="143"/>
      <c r="P366" s="114"/>
      <c r="Q366" s="114"/>
      <c r="R366" s="114"/>
      <c r="S366" s="143"/>
      <c r="T366" s="114"/>
      <c r="U366" s="114"/>
      <c r="V366" s="114"/>
      <c r="W366" s="114"/>
      <c r="X366" s="114"/>
      <c r="Y366" s="114"/>
      <c r="Z366" s="143"/>
      <c r="AA366" s="114"/>
      <c r="AB366" s="114"/>
      <c r="AC366" s="114"/>
      <c r="AD366" s="143"/>
      <c r="AE366" s="114"/>
      <c r="AF366" s="114"/>
      <c r="AG366" s="143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43"/>
      <c r="AU366" s="114"/>
      <c r="AV366" s="114"/>
      <c r="AW366" s="114"/>
      <c r="AX366" s="114"/>
      <c r="AY366" s="114"/>
      <c r="AZ366" s="114"/>
      <c r="BA366" s="114"/>
      <c r="BB366" s="114"/>
      <c r="BC366" s="114"/>
    </row>
    <row r="367" spans="1:55" ht="15.75" customHeight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43"/>
      <c r="M367" s="143"/>
      <c r="N367" s="143"/>
      <c r="O367" s="143"/>
      <c r="P367" s="114"/>
      <c r="Q367" s="114"/>
      <c r="R367" s="114"/>
      <c r="S367" s="143"/>
      <c r="T367" s="114"/>
      <c r="U367" s="114"/>
      <c r="V367" s="114"/>
      <c r="W367" s="114"/>
      <c r="X367" s="114"/>
      <c r="Y367" s="114"/>
      <c r="Z367" s="143"/>
      <c r="AA367" s="114"/>
      <c r="AB367" s="114"/>
      <c r="AC367" s="114"/>
      <c r="AD367" s="143"/>
      <c r="AE367" s="114"/>
      <c r="AF367" s="114"/>
      <c r="AG367" s="143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  <c r="AR367" s="114"/>
      <c r="AS367" s="114"/>
      <c r="AT367" s="143"/>
      <c r="AU367" s="114"/>
      <c r="AV367" s="114"/>
      <c r="AW367" s="114"/>
      <c r="AX367" s="114"/>
      <c r="AY367" s="114"/>
      <c r="AZ367" s="114"/>
      <c r="BA367" s="114"/>
      <c r="BB367" s="114"/>
      <c r="BC367" s="114"/>
    </row>
    <row r="368" spans="1:55" ht="15.75" customHeight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43"/>
      <c r="M368" s="143"/>
      <c r="N368" s="143"/>
      <c r="O368" s="143"/>
      <c r="P368" s="114"/>
      <c r="Q368" s="114"/>
      <c r="R368" s="114"/>
      <c r="S368" s="143"/>
      <c r="T368" s="114"/>
      <c r="U368" s="114"/>
      <c r="V368" s="114"/>
      <c r="W368" s="114"/>
      <c r="X368" s="114"/>
      <c r="Y368" s="114"/>
      <c r="Z368" s="143"/>
      <c r="AA368" s="114"/>
      <c r="AB368" s="114"/>
      <c r="AC368" s="114"/>
      <c r="AD368" s="143"/>
      <c r="AE368" s="114"/>
      <c r="AF368" s="114"/>
      <c r="AG368" s="143"/>
      <c r="AH368" s="114"/>
      <c r="AI368" s="114"/>
      <c r="AJ368" s="114"/>
      <c r="AK368" s="114"/>
      <c r="AL368" s="114"/>
      <c r="AM368" s="114"/>
      <c r="AN368" s="114"/>
      <c r="AO368" s="114"/>
      <c r="AP368" s="114"/>
      <c r="AQ368" s="114"/>
      <c r="AR368" s="114"/>
      <c r="AS368" s="114"/>
      <c r="AT368" s="143"/>
      <c r="AU368" s="114"/>
      <c r="AV368" s="114"/>
      <c r="AW368" s="114"/>
      <c r="AX368" s="114"/>
      <c r="AY368" s="114"/>
      <c r="AZ368" s="114"/>
      <c r="BA368" s="114"/>
      <c r="BB368" s="114"/>
      <c r="BC368" s="114"/>
    </row>
    <row r="369" spans="1:55" ht="15.75" customHeight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43"/>
      <c r="M369" s="143"/>
      <c r="N369" s="143"/>
      <c r="O369" s="143"/>
      <c r="P369" s="114"/>
      <c r="Q369" s="114"/>
      <c r="R369" s="114"/>
      <c r="S369" s="143"/>
      <c r="T369" s="114"/>
      <c r="U369" s="114"/>
      <c r="V369" s="114"/>
      <c r="W369" s="114"/>
      <c r="X369" s="114"/>
      <c r="Y369" s="114"/>
      <c r="Z369" s="143"/>
      <c r="AA369" s="114"/>
      <c r="AB369" s="114"/>
      <c r="AC369" s="114"/>
      <c r="AD369" s="143"/>
      <c r="AE369" s="114"/>
      <c r="AF369" s="114"/>
      <c r="AG369" s="143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43"/>
      <c r="AU369" s="114"/>
      <c r="AV369" s="114"/>
      <c r="AW369" s="114"/>
      <c r="AX369" s="114"/>
      <c r="AY369" s="114"/>
      <c r="AZ369" s="114"/>
      <c r="BA369" s="114"/>
      <c r="BB369" s="114"/>
      <c r="BC369" s="114"/>
    </row>
    <row r="370" spans="1:55" ht="15.75" customHeight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43"/>
      <c r="M370" s="143"/>
      <c r="N370" s="143"/>
      <c r="O370" s="143"/>
      <c r="P370" s="114"/>
      <c r="Q370" s="114"/>
      <c r="R370" s="114"/>
      <c r="S370" s="143"/>
      <c r="T370" s="114"/>
      <c r="U370" s="114"/>
      <c r="V370" s="114"/>
      <c r="W370" s="114"/>
      <c r="X370" s="114"/>
      <c r="Y370" s="114"/>
      <c r="Z370" s="143"/>
      <c r="AA370" s="114"/>
      <c r="AB370" s="114"/>
      <c r="AC370" s="114"/>
      <c r="AD370" s="143"/>
      <c r="AE370" s="114"/>
      <c r="AF370" s="114"/>
      <c r="AG370" s="143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43"/>
      <c r="AU370" s="114"/>
      <c r="AV370" s="114"/>
      <c r="AW370" s="114"/>
      <c r="AX370" s="114"/>
      <c r="AY370" s="114"/>
      <c r="AZ370" s="114"/>
      <c r="BA370" s="114"/>
      <c r="BB370" s="114"/>
      <c r="BC370" s="114"/>
    </row>
    <row r="371" spans="1:55" ht="15.75" customHeight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43"/>
      <c r="M371" s="143"/>
      <c r="N371" s="143"/>
      <c r="O371" s="143"/>
      <c r="P371" s="114"/>
      <c r="Q371" s="114"/>
      <c r="R371" s="114"/>
      <c r="S371" s="143"/>
      <c r="T371" s="114"/>
      <c r="U371" s="114"/>
      <c r="V371" s="114"/>
      <c r="W371" s="114"/>
      <c r="X371" s="114"/>
      <c r="Y371" s="114"/>
      <c r="Z371" s="143"/>
      <c r="AA371" s="114"/>
      <c r="AB371" s="114"/>
      <c r="AC371" s="114"/>
      <c r="AD371" s="143"/>
      <c r="AE371" s="114"/>
      <c r="AF371" s="114"/>
      <c r="AG371" s="143"/>
      <c r="AH371" s="114"/>
      <c r="AI371" s="114"/>
      <c r="AJ371" s="114"/>
      <c r="AK371" s="114"/>
      <c r="AL371" s="114"/>
      <c r="AM371" s="114"/>
      <c r="AN371" s="114"/>
      <c r="AO371" s="114"/>
      <c r="AP371" s="114"/>
      <c r="AQ371" s="114"/>
      <c r="AR371" s="114"/>
      <c r="AS371" s="114"/>
      <c r="AT371" s="143"/>
      <c r="AU371" s="114"/>
      <c r="AV371" s="114"/>
      <c r="AW371" s="114"/>
      <c r="AX371" s="114"/>
      <c r="AY371" s="114"/>
      <c r="AZ371" s="114"/>
      <c r="BA371" s="114"/>
      <c r="BB371" s="114"/>
      <c r="BC371" s="114"/>
    </row>
    <row r="372" spans="1:55" ht="15.75" customHeight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43"/>
      <c r="M372" s="143"/>
      <c r="N372" s="143"/>
      <c r="O372" s="143"/>
      <c r="P372" s="114"/>
      <c r="Q372" s="114"/>
      <c r="R372" s="114"/>
      <c r="S372" s="143"/>
      <c r="T372" s="114"/>
      <c r="U372" s="114"/>
      <c r="V372" s="114"/>
      <c r="W372" s="114"/>
      <c r="X372" s="114"/>
      <c r="Y372" s="114"/>
      <c r="Z372" s="143"/>
      <c r="AA372" s="114"/>
      <c r="AB372" s="114"/>
      <c r="AC372" s="114"/>
      <c r="AD372" s="143"/>
      <c r="AE372" s="114"/>
      <c r="AF372" s="114"/>
      <c r="AG372" s="143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4"/>
      <c r="AR372" s="114"/>
      <c r="AS372" s="114"/>
      <c r="AT372" s="143"/>
      <c r="AU372" s="114"/>
      <c r="AV372" s="114"/>
      <c r="AW372" s="114"/>
      <c r="AX372" s="114"/>
      <c r="AY372" s="114"/>
      <c r="AZ372" s="114"/>
      <c r="BA372" s="114"/>
      <c r="BB372" s="114"/>
      <c r="BC372" s="114"/>
    </row>
    <row r="373" spans="1:55" ht="15.75" customHeight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43"/>
      <c r="M373" s="143"/>
      <c r="N373" s="143"/>
      <c r="O373" s="143"/>
      <c r="P373" s="114"/>
      <c r="Q373" s="114"/>
      <c r="R373" s="114"/>
      <c r="S373" s="143"/>
      <c r="T373" s="114"/>
      <c r="U373" s="114"/>
      <c r="V373" s="114"/>
      <c r="W373" s="114"/>
      <c r="X373" s="114"/>
      <c r="Y373" s="114"/>
      <c r="Z373" s="143"/>
      <c r="AA373" s="114"/>
      <c r="AB373" s="114"/>
      <c r="AC373" s="114"/>
      <c r="AD373" s="143"/>
      <c r="AE373" s="114"/>
      <c r="AF373" s="114"/>
      <c r="AG373" s="143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  <c r="AR373" s="114"/>
      <c r="AS373" s="114"/>
      <c r="AT373" s="143"/>
      <c r="AU373" s="114"/>
      <c r="AV373" s="114"/>
      <c r="AW373" s="114"/>
      <c r="AX373" s="114"/>
      <c r="AY373" s="114"/>
      <c r="AZ373" s="114"/>
      <c r="BA373" s="114"/>
      <c r="BB373" s="114"/>
      <c r="BC373" s="114"/>
    </row>
    <row r="374" spans="1:55" ht="15.75" customHeight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43"/>
      <c r="M374" s="143"/>
      <c r="N374" s="143"/>
      <c r="O374" s="143"/>
      <c r="P374" s="114"/>
      <c r="Q374" s="114"/>
      <c r="R374" s="114"/>
      <c r="S374" s="143"/>
      <c r="T374" s="114"/>
      <c r="U374" s="114"/>
      <c r="V374" s="114"/>
      <c r="W374" s="114"/>
      <c r="X374" s="114"/>
      <c r="Y374" s="114"/>
      <c r="Z374" s="143"/>
      <c r="AA374" s="114"/>
      <c r="AB374" s="114"/>
      <c r="AC374" s="114"/>
      <c r="AD374" s="143"/>
      <c r="AE374" s="114"/>
      <c r="AF374" s="114"/>
      <c r="AG374" s="143"/>
      <c r="AH374" s="114"/>
      <c r="AI374" s="114"/>
      <c r="AJ374" s="114"/>
      <c r="AK374" s="114"/>
      <c r="AL374" s="114"/>
      <c r="AM374" s="114"/>
      <c r="AN374" s="114"/>
      <c r="AO374" s="114"/>
      <c r="AP374" s="114"/>
      <c r="AQ374" s="114"/>
      <c r="AR374" s="114"/>
      <c r="AS374" s="114"/>
      <c r="AT374" s="143"/>
      <c r="AU374" s="114"/>
      <c r="AV374" s="114"/>
      <c r="AW374" s="114"/>
      <c r="AX374" s="114"/>
      <c r="AY374" s="114"/>
      <c r="AZ374" s="114"/>
      <c r="BA374" s="114"/>
      <c r="BB374" s="114"/>
      <c r="BC374" s="114"/>
    </row>
    <row r="375" spans="1:55" ht="15.75" customHeight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43"/>
      <c r="M375" s="143"/>
      <c r="N375" s="143"/>
      <c r="O375" s="143"/>
      <c r="P375" s="114"/>
      <c r="Q375" s="114"/>
      <c r="R375" s="114"/>
      <c r="S375" s="143"/>
      <c r="T375" s="114"/>
      <c r="U375" s="114"/>
      <c r="V375" s="114"/>
      <c r="W375" s="114"/>
      <c r="X375" s="114"/>
      <c r="Y375" s="114"/>
      <c r="Z375" s="143"/>
      <c r="AA375" s="114"/>
      <c r="AB375" s="114"/>
      <c r="AC375" s="114"/>
      <c r="AD375" s="143"/>
      <c r="AE375" s="114"/>
      <c r="AF375" s="114"/>
      <c r="AG375" s="143"/>
      <c r="AH375" s="114"/>
      <c r="AI375" s="114"/>
      <c r="AJ375" s="114"/>
      <c r="AK375" s="114"/>
      <c r="AL375" s="114"/>
      <c r="AM375" s="114"/>
      <c r="AN375" s="114"/>
      <c r="AO375" s="114"/>
      <c r="AP375" s="114"/>
      <c r="AQ375" s="114"/>
      <c r="AR375" s="114"/>
      <c r="AS375" s="114"/>
      <c r="AT375" s="143"/>
      <c r="AU375" s="114"/>
      <c r="AV375" s="114"/>
      <c r="AW375" s="114"/>
      <c r="AX375" s="114"/>
      <c r="AY375" s="114"/>
      <c r="AZ375" s="114"/>
      <c r="BA375" s="114"/>
      <c r="BB375" s="114"/>
      <c r="BC375" s="114"/>
    </row>
    <row r="376" spans="1:55" ht="15.75" customHeight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43"/>
      <c r="M376" s="143"/>
      <c r="N376" s="143"/>
      <c r="O376" s="143"/>
      <c r="P376" s="114"/>
      <c r="Q376" s="114"/>
      <c r="R376" s="114"/>
      <c r="S376" s="143"/>
      <c r="T376" s="114"/>
      <c r="U376" s="114"/>
      <c r="V376" s="114"/>
      <c r="W376" s="114"/>
      <c r="X376" s="114"/>
      <c r="Y376" s="114"/>
      <c r="Z376" s="143"/>
      <c r="AA376" s="114"/>
      <c r="AB376" s="114"/>
      <c r="AC376" s="114"/>
      <c r="AD376" s="143"/>
      <c r="AE376" s="114"/>
      <c r="AF376" s="114"/>
      <c r="AG376" s="143"/>
      <c r="AH376" s="114"/>
      <c r="AI376" s="114"/>
      <c r="AJ376" s="114"/>
      <c r="AK376" s="114"/>
      <c r="AL376" s="114"/>
      <c r="AM376" s="114"/>
      <c r="AN376" s="114"/>
      <c r="AO376" s="114"/>
      <c r="AP376" s="114"/>
      <c r="AQ376" s="114"/>
      <c r="AR376" s="114"/>
      <c r="AS376" s="114"/>
      <c r="AT376" s="143"/>
      <c r="AU376" s="114"/>
      <c r="AV376" s="114"/>
      <c r="AW376" s="114"/>
      <c r="AX376" s="114"/>
      <c r="AY376" s="114"/>
      <c r="AZ376" s="114"/>
      <c r="BA376" s="114"/>
      <c r="BB376" s="114"/>
      <c r="BC376" s="114"/>
    </row>
    <row r="377" spans="1:55" ht="15.75" customHeight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43"/>
      <c r="M377" s="143"/>
      <c r="N377" s="143"/>
      <c r="O377" s="143"/>
      <c r="P377" s="114"/>
      <c r="Q377" s="114"/>
      <c r="R377" s="114"/>
      <c r="S377" s="143"/>
      <c r="T377" s="114"/>
      <c r="U377" s="114"/>
      <c r="V377" s="114"/>
      <c r="W377" s="114"/>
      <c r="X377" s="114"/>
      <c r="Y377" s="114"/>
      <c r="Z377" s="143"/>
      <c r="AA377" s="114"/>
      <c r="AB377" s="114"/>
      <c r="AC377" s="114"/>
      <c r="AD377" s="143"/>
      <c r="AE377" s="114"/>
      <c r="AF377" s="114"/>
      <c r="AG377" s="143"/>
      <c r="AH377" s="114"/>
      <c r="AI377" s="114"/>
      <c r="AJ377" s="114"/>
      <c r="AK377" s="114"/>
      <c r="AL377" s="114"/>
      <c r="AM377" s="114"/>
      <c r="AN377" s="114"/>
      <c r="AO377" s="114"/>
      <c r="AP377" s="114"/>
      <c r="AQ377" s="114"/>
      <c r="AR377" s="114"/>
      <c r="AS377" s="114"/>
      <c r="AT377" s="143"/>
      <c r="AU377" s="114"/>
      <c r="AV377" s="114"/>
      <c r="AW377" s="114"/>
      <c r="AX377" s="114"/>
      <c r="AY377" s="114"/>
      <c r="AZ377" s="114"/>
      <c r="BA377" s="114"/>
      <c r="BB377" s="114"/>
      <c r="BC377" s="114"/>
    </row>
    <row r="378" spans="1:55" ht="15.75" customHeight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43"/>
      <c r="M378" s="143"/>
      <c r="N378" s="143"/>
      <c r="O378" s="143"/>
      <c r="P378" s="114"/>
      <c r="Q378" s="114"/>
      <c r="R378" s="114"/>
      <c r="S378" s="143"/>
      <c r="T378" s="114"/>
      <c r="U378" s="114"/>
      <c r="V378" s="114"/>
      <c r="W378" s="114"/>
      <c r="X378" s="114"/>
      <c r="Y378" s="114"/>
      <c r="Z378" s="143"/>
      <c r="AA378" s="114"/>
      <c r="AB378" s="114"/>
      <c r="AC378" s="114"/>
      <c r="AD378" s="143"/>
      <c r="AE378" s="114"/>
      <c r="AF378" s="114"/>
      <c r="AG378" s="143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4"/>
      <c r="AR378" s="114"/>
      <c r="AS378" s="114"/>
      <c r="AT378" s="143"/>
      <c r="AU378" s="114"/>
      <c r="AV378" s="114"/>
      <c r="AW378" s="114"/>
      <c r="AX378" s="114"/>
      <c r="AY378" s="114"/>
      <c r="AZ378" s="114"/>
      <c r="BA378" s="114"/>
      <c r="BB378" s="114"/>
      <c r="BC378" s="114"/>
    </row>
    <row r="379" spans="1:55" ht="15.75" customHeight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43"/>
      <c r="M379" s="143"/>
      <c r="N379" s="143"/>
      <c r="O379" s="143"/>
      <c r="P379" s="114"/>
      <c r="Q379" s="114"/>
      <c r="R379" s="114"/>
      <c r="S379" s="143"/>
      <c r="T379" s="114"/>
      <c r="U379" s="114"/>
      <c r="V379" s="114"/>
      <c r="W379" s="114"/>
      <c r="X379" s="114"/>
      <c r="Y379" s="114"/>
      <c r="Z379" s="143"/>
      <c r="AA379" s="114"/>
      <c r="AB379" s="114"/>
      <c r="AC379" s="114"/>
      <c r="AD379" s="143"/>
      <c r="AE379" s="114"/>
      <c r="AF379" s="114"/>
      <c r="AG379" s="143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4"/>
      <c r="AR379" s="114"/>
      <c r="AS379" s="114"/>
      <c r="AT379" s="143"/>
      <c r="AU379" s="114"/>
      <c r="AV379" s="114"/>
      <c r="AW379" s="114"/>
      <c r="AX379" s="114"/>
      <c r="AY379" s="114"/>
      <c r="AZ379" s="114"/>
      <c r="BA379" s="114"/>
      <c r="BB379" s="114"/>
      <c r="BC379" s="114"/>
    </row>
    <row r="380" spans="1:55" ht="15.75" customHeight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43"/>
      <c r="M380" s="143"/>
      <c r="N380" s="143"/>
      <c r="O380" s="143"/>
      <c r="P380" s="114"/>
      <c r="Q380" s="114"/>
      <c r="R380" s="114"/>
      <c r="S380" s="143"/>
      <c r="T380" s="114"/>
      <c r="U380" s="114"/>
      <c r="V380" s="114"/>
      <c r="W380" s="114"/>
      <c r="X380" s="114"/>
      <c r="Y380" s="114"/>
      <c r="Z380" s="143"/>
      <c r="AA380" s="114"/>
      <c r="AB380" s="114"/>
      <c r="AC380" s="114"/>
      <c r="AD380" s="143"/>
      <c r="AE380" s="114"/>
      <c r="AF380" s="114"/>
      <c r="AG380" s="143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  <c r="AR380" s="114"/>
      <c r="AS380" s="114"/>
      <c r="AT380" s="143"/>
      <c r="AU380" s="114"/>
      <c r="AV380" s="114"/>
      <c r="AW380" s="114"/>
      <c r="AX380" s="114"/>
      <c r="AY380" s="114"/>
      <c r="AZ380" s="114"/>
      <c r="BA380" s="114"/>
      <c r="BB380" s="114"/>
      <c r="BC380" s="114"/>
    </row>
    <row r="381" spans="1:55" ht="15.75" customHeight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43"/>
      <c r="M381" s="143"/>
      <c r="N381" s="143"/>
      <c r="O381" s="143"/>
      <c r="P381" s="114"/>
      <c r="Q381" s="114"/>
      <c r="R381" s="114"/>
      <c r="S381" s="143"/>
      <c r="T381" s="114"/>
      <c r="U381" s="114"/>
      <c r="V381" s="114"/>
      <c r="W381" s="114"/>
      <c r="X381" s="114"/>
      <c r="Y381" s="114"/>
      <c r="Z381" s="143"/>
      <c r="AA381" s="114"/>
      <c r="AB381" s="114"/>
      <c r="AC381" s="114"/>
      <c r="AD381" s="143"/>
      <c r="AE381" s="114"/>
      <c r="AF381" s="114"/>
      <c r="AG381" s="143"/>
      <c r="AH381" s="114"/>
      <c r="AI381" s="114"/>
      <c r="AJ381" s="114"/>
      <c r="AK381" s="114"/>
      <c r="AL381" s="114"/>
      <c r="AM381" s="114"/>
      <c r="AN381" s="114"/>
      <c r="AO381" s="114"/>
      <c r="AP381" s="114"/>
      <c r="AQ381" s="114"/>
      <c r="AR381" s="114"/>
      <c r="AS381" s="114"/>
      <c r="AT381" s="143"/>
      <c r="AU381" s="114"/>
      <c r="AV381" s="114"/>
      <c r="AW381" s="114"/>
      <c r="AX381" s="114"/>
      <c r="AY381" s="114"/>
      <c r="AZ381" s="114"/>
      <c r="BA381" s="114"/>
      <c r="BB381" s="114"/>
      <c r="BC381" s="114"/>
    </row>
    <row r="382" spans="1:55" ht="15.75" customHeight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43"/>
      <c r="M382" s="143"/>
      <c r="N382" s="143"/>
      <c r="O382" s="143"/>
      <c r="P382" s="114"/>
      <c r="Q382" s="114"/>
      <c r="R382" s="114"/>
      <c r="S382" s="143"/>
      <c r="T382" s="114"/>
      <c r="U382" s="114"/>
      <c r="V382" s="114"/>
      <c r="W382" s="114"/>
      <c r="X382" s="114"/>
      <c r="Y382" s="114"/>
      <c r="Z382" s="143"/>
      <c r="AA382" s="114"/>
      <c r="AB382" s="114"/>
      <c r="AC382" s="114"/>
      <c r="AD382" s="143"/>
      <c r="AE382" s="114"/>
      <c r="AF382" s="114"/>
      <c r="AG382" s="143"/>
      <c r="AH382" s="114"/>
      <c r="AI382" s="114"/>
      <c r="AJ382" s="114"/>
      <c r="AK382" s="114"/>
      <c r="AL382" s="114"/>
      <c r="AM382" s="114"/>
      <c r="AN382" s="114"/>
      <c r="AO382" s="114"/>
      <c r="AP382" s="114"/>
      <c r="AQ382" s="114"/>
      <c r="AR382" s="114"/>
      <c r="AS382" s="114"/>
      <c r="AT382" s="143"/>
      <c r="AU382" s="114"/>
      <c r="AV382" s="114"/>
      <c r="AW382" s="114"/>
      <c r="AX382" s="114"/>
      <c r="AY382" s="114"/>
      <c r="AZ382" s="114"/>
      <c r="BA382" s="114"/>
      <c r="BB382" s="114"/>
      <c r="BC382" s="114"/>
    </row>
    <row r="383" spans="1:55" ht="15.75" customHeight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43"/>
      <c r="M383" s="143"/>
      <c r="N383" s="143"/>
      <c r="O383" s="143"/>
      <c r="P383" s="114"/>
      <c r="Q383" s="114"/>
      <c r="R383" s="114"/>
      <c r="S383" s="143"/>
      <c r="T383" s="114"/>
      <c r="U383" s="114"/>
      <c r="V383" s="114"/>
      <c r="W383" s="114"/>
      <c r="X383" s="114"/>
      <c r="Y383" s="114"/>
      <c r="Z383" s="143"/>
      <c r="AA383" s="114"/>
      <c r="AB383" s="114"/>
      <c r="AC383" s="114"/>
      <c r="AD383" s="143"/>
      <c r="AE383" s="114"/>
      <c r="AF383" s="114"/>
      <c r="AG383" s="143"/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4"/>
      <c r="AR383" s="114"/>
      <c r="AS383" s="114"/>
      <c r="AT383" s="143"/>
      <c r="AU383" s="114"/>
      <c r="AV383" s="114"/>
      <c r="AW383" s="114"/>
      <c r="AX383" s="114"/>
      <c r="AY383" s="114"/>
      <c r="AZ383" s="114"/>
      <c r="BA383" s="114"/>
      <c r="BB383" s="114"/>
      <c r="BC383" s="114"/>
    </row>
    <row r="384" spans="1:55" ht="15.75" customHeight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43"/>
      <c r="M384" s="143"/>
      <c r="N384" s="143"/>
      <c r="O384" s="143"/>
      <c r="P384" s="114"/>
      <c r="Q384" s="114"/>
      <c r="R384" s="114"/>
      <c r="S384" s="143"/>
      <c r="T384" s="114"/>
      <c r="U384" s="114"/>
      <c r="V384" s="114"/>
      <c r="W384" s="114"/>
      <c r="X384" s="114"/>
      <c r="Y384" s="114"/>
      <c r="Z384" s="143"/>
      <c r="AA384" s="114"/>
      <c r="AB384" s="114"/>
      <c r="AC384" s="114"/>
      <c r="AD384" s="143"/>
      <c r="AE384" s="114"/>
      <c r="AF384" s="114"/>
      <c r="AG384" s="143"/>
      <c r="AH384" s="114"/>
      <c r="AI384" s="114"/>
      <c r="AJ384" s="114"/>
      <c r="AK384" s="114"/>
      <c r="AL384" s="114"/>
      <c r="AM384" s="114"/>
      <c r="AN384" s="114"/>
      <c r="AO384" s="114"/>
      <c r="AP384" s="114"/>
      <c r="AQ384" s="114"/>
      <c r="AR384" s="114"/>
      <c r="AS384" s="114"/>
      <c r="AT384" s="143"/>
      <c r="AU384" s="114"/>
      <c r="AV384" s="114"/>
      <c r="AW384" s="114"/>
      <c r="AX384" s="114"/>
      <c r="AY384" s="114"/>
      <c r="AZ384" s="114"/>
      <c r="BA384" s="114"/>
      <c r="BB384" s="114"/>
      <c r="BC384" s="114"/>
    </row>
    <row r="385" spans="1:55" ht="15.75" customHeight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43"/>
      <c r="M385" s="143"/>
      <c r="N385" s="143"/>
      <c r="O385" s="143"/>
      <c r="P385" s="114"/>
      <c r="Q385" s="114"/>
      <c r="R385" s="114"/>
      <c r="S385" s="143"/>
      <c r="T385" s="114"/>
      <c r="U385" s="114"/>
      <c r="V385" s="114"/>
      <c r="W385" s="114"/>
      <c r="X385" s="114"/>
      <c r="Y385" s="114"/>
      <c r="Z385" s="143"/>
      <c r="AA385" s="114"/>
      <c r="AB385" s="114"/>
      <c r="AC385" s="114"/>
      <c r="AD385" s="143"/>
      <c r="AE385" s="114"/>
      <c r="AF385" s="114"/>
      <c r="AG385" s="143"/>
      <c r="AH385" s="114"/>
      <c r="AI385" s="114"/>
      <c r="AJ385" s="114"/>
      <c r="AK385" s="114"/>
      <c r="AL385" s="114"/>
      <c r="AM385" s="114"/>
      <c r="AN385" s="114"/>
      <c r="AO385" s="114"/>
      <c r="AP385" s="114"/>
      <c r="AQ385" s="114"/>
      <c r="AR385" s="114"/>
      <c r="AS385" s="114"/>
      <c r="AT385" s="143"/>
      <c r="AU385" s="114"/>
      <c r="AV385" s="114"/>
      <c r="AW385" s="114"/>
      <c r="AX385" s="114"/>
      <c r="AY385" s="114"/>
      <c r="AZ385" s="114"/>
      <c r="BA385" s="114"/>
      <c r="BB385" s="114"/>
      <c r="BC385" s="114"/>
    </row>
    <row r="386" spans="1:55" ht="15.75" customHeight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43"/>
      <c r="M386" s="143"/>
      <c r="N386" s="143"/>
      <c r="O386" s="143"/>
      <c r="P386" s="114"/>
      <c r="Q386" s="114"/>
      <c r="R386" s="114"/>
      <c r="S386" s="143"/>
      <c r="T386" s="114"/>
      <c r="U386" s="114"/>
      <c r="V386" s="114"/>
      <c r="W386" s="114"/>
      <c r="X386" s="114"/>
      <c r="Y386" s="114"/>
      <c r="Z386" s="143"/>
      <c r="AA386" s="114"/>
      <c r="AB386" s="114"/>
      <c r="AC386" s="114"/>
      <c r="AD386" s="143"/>
      <c r="AE386" s="114"/>
      <c r="AF386" s="114"/>
      <c r="AG386" s="143"/>
      <c r="AH386" s="114"/>
      <c r="AI386" s="114"/>
      <c r="AJ386" s="114"/>
      <c r="AK386" s="114"/>
      <c r="AL386" s="114"/>
      <c r="AM386" s="114"/>
      <c r="AN386" s="114"/>
      <c r="AO386" s="114"/>
      <c r="AP386" s="114"/>
      <c r="AQ386" s="114"/>
      <c r="AR386" s="114"/>
      <c r="AS386" s="114"/>
      <c r="AT386" s="143"/>
      <c r="AU386" s="114"/>
      <c r="AV386" s="114"/>
      <c r="AW386" s="114"/>
      <c r="AX386" s="114"/>
      <c r="AY386" s="114"/>
      <c r="AZ386" s="114"/>
      <c r="BA386" s="114"/>
      <c r="BB386" s="114"/>
      <c r="BC386" s="114"/>
    </row>
    <row r="387" spans="1:55" ht="15.75" customHeight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43"/>
      <c r="M387" s="143"/>
      <c r="N387" s="143"/>
      <c r="O387" s="143"/>
      <c r="P387" s="114"/>
      <c r="Q387" s="114"/>
      <c r="R387" s="114"/>
      <c r="S387" s="143"/>
      <c r="T387" s="114"/>
      <c r="U387" s="114"/>
      <c r="V387" s="114"/>
      <c r="W387" s="114"/>
      <c r="X387" s="114"/>
      <c r="Y387" s="114"/>
      <c r="Z387" s="143"/>
      <c r="AA387" s="114"/>
      <c r="AB387" s="114"/>
      <c r="AC387" s="114"/>
      <c r="AD387" s="143"/>
      <c r="AE387" s="114"/>
      <c r="AF387" s="114"/>
      <c r="AG387" s="143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43"/>
      <c r="AU387" s="114"/>
      <c r="AV387" s="114"/>
      <c r="AW387" s="114"/>
      <c r="AX387" s="114"/>
      <c r="AY387" s="114"/>
      <c r="AZ387" s="114"/>
      <c r="BA387" s="114"/>
      <c r="BB387" s="114"/>
      <c r="BC387" s="114"/>
    </row>
    <row r="388" spans="1:55" ht="15.75" customHeight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43"/>
      <c r="M388" s="143"/>
      <c r="N388" s="143"/>
      <c r="O388" s="143"/>
      <c r="P388" s="114"/>
      <c r="Q388" s="114"/>
      <c r="R388" s="114"/>
      <c r="S388" s="143"/>
      <c r="T388" s="114"/>
      <c r="U388" s="114"/>
      <c r="V388" s="114"/>
      <c r="W388" s="114"/>
      <c r="X388" s="114"/>
      <c r="Y388" s="114"/>
      <c r="Z388" s="143"/>
      <c r="AA388" s="114"/>
      <c r="AB388" s="114"/>
      <c r="AC388" s="114"/>
      <c r="AD388" s="143"/>
      <c r="AE388" s="114"/>
      <c r="AF388" s="114"/>
      <c r="AG388" s="143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43"/>
      <c r="AU388" s="114"/>
      <c r="AV388" s="114"/>
      <c r="AW388" s="114"/>
      <c r="AX388" s="114"/>
      <c r="AY388" s="114"/>
      <c r="AZ388" s="114"/>
      <c r="BA388" s="114"/>
      <c r="BB388" s="114"/>
      <c r="BC388" s="114"/>
    </row>
    <row r="389" spans="1:55" ht="15.75" customHeight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43"/>
      <c r="M389" s="143"/>
      <c r="N389" s="143"/>
      <c r="O389" s="143"/>
      <c r="P389" s="114"/>
      <c r="Q389" s="114"/>
      <c r="R389" s="114"/>
      <c r="S389" s="143"/>
      <c r="T389" s="114"/>
      <c r="U389" s="114"/>
      <c r="V389" s="114"/>
      <c r="W389" s="114"/>
      <c r="X389" s="114"/>
      <c r="Y389" s="114"/>
      <c r="Z389" s="143"/>
      <c r="AA389" s="114"/>
      <c r="AB389" s="114"/>
      <c r="AC389" s="114"/>
      <c r="AD389" s="143"/>
      <c r="AE389" s="114"/>
      <c r="AF389" s="114"/>
      <c r="AG389" s="143"/>
      <c r="AH389" s="114"/>
      <c r="AI389" s="114"/>
      <c r="AJ389" s="114"/>
      <c r="AK389" s="114"/>
      <c r="AL389" s="114"/>
      <c r="AM389" s="114"/>
      <c r="AN389" s="114"/>
      <c r="AO389" s="114"/>
      <c r="AP389" s="114"/>
      <c r="AQ389" s="114"/>
      <c r="AR389" s="114"/>
      <c r="AS389" s="114"/>
      <c r="AT389" s="143"/>
      <c r="AU389" s="114"/>
      <c r="AV389" s="114"/>
      <c r="AW389" s="114"/>
      <c r="AX389" s="114"/>
      <c r="AY389" s="114"/>
      <c r="AZ389" s="114"/>
      <c r="BA389" s="114"/>
      <c r="BB389" s="114"/>
      <c r="BC389" s="114"/>
    </row>
    <row r="390" spans="1:55" ht="15.75" customHeight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43"/>
      <c r="M390" s="143"/>
      <c r="N390" s="143"/>
      <c r="O390" s="143"/>
      <c r="P390" s="114"/>
      <c r="Q390" s="114"/>
      <c r="R390" s="114"/>
      <c r="S390" s="143"/>
      <c r="T390" s="114"/>
      <c r="U390" s="114"/>
      <c r="V390" s="114"/>
      <c r="W390" s="114"/>
      <c r="X390" s="114"/>
      <c r="Y390" s="114"/>
      <c r="Z390" s="143"/>
      <c r="AA390" s="114"/>
      <c r="AB390" s="114"/>
      <c r="AC390" s="114"/>
      <c r="AD390" s="143"/>
      <c r="AE390" s="114"/>
      <c r="AF390" s="114"/>
      <c r="AG390" s="143"/>
      <c r="AH390" s="114"/>
      <c r="AI390" s="114"/>
      <c r="AJ390" s="114"/>
      <c r="AK390" s="114"/>
      <c r="AL390" s="114"/>
      <c r="AM390" s="114"/>
      <c r="AN390" s="114"/>
      <c r="AO390" s="114"/>
      <c r="AP390" s="114"/>
      <c r="AQ390" s="114"/>
      <c r="AR390" s="114"/>
      <c r="AS390" s="114"/>
      <c r="AT390" s="143"/>
      <c r="AU390" s="114"/>
      <c r="AV390" s="114"/>
      <c r="AW390" s="114"/>
      <c r="AX390" s="114"/>
      <c r="AY390" s="114"/>
      <c r="AZ390" s="114"/>
      <c r="BA390" s="114"/>
      <c r="BB390" s="114"/>
      <c r="BC390" s="114"/>
    </row>
    <row r="391" spans="1:55" ht="15.75" customHeight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43"/>
      <c r="M391" s="143"/>
      <c r="N391" s="143"/>
      <c r="O391" s="143"/>
      <c r="P391" s="114"/>
      <c r="Q391" s="114"/>
      <c r="R391" s="114"/>
      <c r="S391" s="143"/>
      <c r="T391" s="114"/>
      <c r="U391" s="114"/>
      <c r="V391" s="114"/>
      <c r="W391" s="114"/>
      <c r="X391" s="114"/>
      <c r="Y391" s="114"/>
      <c r="Z391" s="143"/>
      <c r="AA391" s="114"/>
      <c r="AB391" s="114"/>
      <c r="AC391" s="114"/>
      <c r="AD391" s="143"/>
      <c r="AE391" s="114"/>
      <c r="AF391" s="114"/>
      <c r="AG391" s="143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43"/>
      <c r="AU391" s="114"/>
      <c r="AV391" s="114"/>
      <c r="AW391" s="114"/>
      <c r="AX391" s="114"/>
      <c r="AY391" s="114"/>
      <c r="AZ391" s="114"/>
      <c r="BA391" s="114"/>
      <c r="BB391" s="114"/>
      <c r="BC391" s="114"/>
    </row>
    <row r="392" spans="1:55" ht="15.75" customHeight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43"/>
      <c r="M392" s="143"/>
      <c r="N392" s="143"/>
      <c r="O392" s="143"/>
      <c r="P392" s="114"/>
      <c r="Q392" s="114"/>
      <c r="R392" s="114"/>
      <c r="S392" s="143"/>
      <c r="T392" s="114"/>
      <c r="U392" s="114"/>
      <c r="V392" s="114"/>
      <c r="W392" s="114"/>
      <c r="X392" s="114"/>
      <c r="Y392" s="114"/>
      <c r="Z392" s="143"/>
      <c r="AA392" s="114"/>
      <c r="AB392" s="114"/>
      <c r="AC392" s="114"/>
      <c r="AD392" s="143"/>
      <c r="AE392" s="114"/>
      <c r="AF392" s="114"/>
      <c r="AG392" s="143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43"/>
      <c r="AU392" s="114"/>
      <c r="AV392" s="114"/>
      <c r="AW392" s="114"/>
      <c r="AX392" s="114"/>
      <c r="AY392" s="114"/>
      <c r="AZ392" s="114"/>
      <c r="BA392" s="114"/>
      <c r="BB392" s="114"/>
      <c r="BC392" s="114"/>
    </row>
    <row r="393" spans="1:55" ht="15.75" customHeight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43"/>
      <c r="M393" s="143"/>
      <c r="N393" s="143"/>
      <c r="O393" s="143"/>
      <c r="P393" s="114"/>
      <c r="Q393" s="114"/>
      <c r="R393" s="114"/>
      <c r="S393" s="143"/>
      <c r="T393" s="114"/>
      <c r="U393" s="114"/>
      <c r="V393" s="114"/>
      <c r="W393" s="114"/>
      <c r="X393" s="114"/>
      <c r="Y393" s="114"/>
      <c r="Z393" s="143"/>
      <c r="AA393" s="114"/>
      <c r="AB393" s="114"/>
      <c r="AC393" s="114"/>
      <c r="AD393" s="143"/>
      <c r="AE393" s="114"/>
      <c r="AF393" s="114"/>
      <c r="AG393" s="143"/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4"/>
      <c r="AR393" s="114"/>
      <c r="AS393" s="114"/>
      <c r="AT393" s="143"/>
      <c r="AU393" s="114"/>
      <c r="AV393" s="114"/>
      <c r="AW393" s="114"/>
      <c r="AX393" s="114"/>
      <c r="AY393" s="114"/>
      <c r="AZ393" s="114"/>
      <c r="BA393" s="114"/>
      <c r="BB393" s="114"/>
      <c r="BC393" s="114"/>
    </row>
    <row r="394" spans="1:55" ht="15.75" customHeight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43"/>
      <c r="M394" s="143"/>
      <c r="N394" s="143"/>
      <c r="O394" s="143"/>
      <c r="P394" s="114"/>
      <c r="Q394" s="114"/>
      <c r="R394" s="114"/>
      <c r="S394" s="143"/>
      <c r="T394" s="114"/>
      <c r="U394" s="114"/>
      <c r="V394" s="114"/>
      <c r="W394" s="114"/>
      <c r="X394" s="114"/>
      <c r="Y394" s="114"/>
      <c r="Z394" s="143"/>
      <c r="AA394" s="114"/>
      <c r="AB394" s="114"/>
      <c r="AC394" s="114"/>
      <c r="AD394" s="143"/>
      <c r="AE394" s="114"/>
      <c r="AF394" s="114"/>
      <c r="AG394" s="143"/>
      <c r="AH394" s="114"/>
      <c r="AI394" s="114"/>
      <c r="AJ394" s="114"/>
      <c r="AK394" s="114"/>
      <c r="AL394" s="114"/>
      <c r="AM394" s="114"/>
      <c r="AN394" s="114"/>
      <c r="AO394" s="114"/>
      <c r="AP394" s="114"/>
      <c r="AQ394" s="114"/>
      <c r="AR394" s="114"/>
      <c r="AS394" s="114"/>
      <c r="AT394" s="143"/>
      <c r="AU394" s="114"/>
      <c r="AV394" s="114"/>
      <c r="AW394" s="114"/>
      <c r="AX394" s="114"/>
      <c r="AY394" s="114"/>
      <c r="AZ394" s="114"/>
      <c r="BA394" s="114"/>
      <c r="BB394" s="114"/>
      <c r="BC394" s="114"/>
    </row>
    <row r="395" spans="1:55" ht="15.75" customHeight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43"/>
      <c r="M395" s="143"/>
      <c r="N395" s="143"/>
      <c r="O395" s="143"/>
      <c r="P395" s="114"/>
      <c r="Q395" s="114"/>
      <c r="R395" s="114"/>
      <c r="S395" s="143"/>
      <c r="T395" s="114"/>
      <c r="U395" s="114"/>
      <c r="V395" s="114"/>
      <c r="W395" s="114"/>
      <c r="X395" s="114"/>
      <c r="Y395" s="114"/>
      <c r="Z395" s="143"/>
      <c r="AA395" s="114"/>
      <c r="AB395" s="114"/>
      <c r="AC395" s="114"/>
      <c r="AD395" s="143"/>
      <c r="AE395" s="114"/>
      <c r="AF395" s="114"/>
      <c r="AG395" s="143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43"/>
      <c r="AU395" s="114"/>
      <c r="AV395" s="114"/>
      <c r="AW395" s="114"/>
      <c r="AX395" s="114"/>
      <c r="AY395" s="114"/>
      <c r="AZ395" s="114"/>
      <c r="BA395" s="114"/>
      <c r="BB395" s="114"/>
      <c r="BC395" s="114"/>
    </row>
    <row r="396" spans="1:55" ht="15.75" customHeight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43"/>
      <c r="M396" s="143"/>
      <c r="N396" s="143"/>
      <c r="O396" s="143"/>
      <c r="P396" s="114"/>
      <c r="Q396" s="114"/>
      <c r="R396" s="114"/>
      <c r="S396" s="143"/>
      <c r="T396" s="114"/>
      <c r="U396" s="114"/>
      <c r="V396" s="114"/>
      <c r="W396" s="114"/>
      <c r="X396" s="114"/>
      <c r="Y396" s="114"/>
      <c r="Z396" s="143"/>
      <c r="AA396" s="114"/>
      <c r="AB396" s="114"/>
      <c r="AC396" s="114"/>
      <c r="AD396" s="143"/>
      <c r="AE396" s="114"/>
      <c r="AF396" s="114"/>
      <c r="AG396" s="143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43"/>
      <c r="AU396" s="114"/>
      <c r="AV396" s="114"/>
      <c r="AW396" s="114"/>
      <c r="AX396" s="114"/>
      <c r="AY396" s="114"/>
      <c r="AZ396" s="114"/>
      <c r="BA396" s="114"/>
      <c r="BB396" s="114"/>
      <c r="BC396" s="114"/>
    </row>
    <row r="397" spans="1:55" ht="15.75" customHeight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43"/>
      <c r="M397" s="143"/>
      <c r="N397" s="143"/>
      <c r="O397" s="143"/>
      <c r="P397" s="114"/>
      <c r="Q397" s="114"/>
      <c r="R397" s="114"/>
      <c r="S397" s="143"/>
      <c r="T397" s="114"/>
      <c r="U397" s="114"/>
      <c r="V397" s="114"/>
      <c r="W397" s="114"/>
      <c r="X397" s="114"/>
      <c r="Y397" s="114"/>
      <c r="Z397" s="143"/>
      <c r="AA397" s="114"/>
      <c r="AB397" s="114"/>
      <c r="AC397" s="114"/>
      <c r="AD397" s="143"/>
      <c r="AE397" s="114"/>
      <c r="AF397" s="114"/>
      <c r="AG397" s="143"/>
      <c r="AH397" s="114"/>
      <c r="AI397" s="114"/>
      <c r="AJ397" s="114"/>
      <c r="AK397" s="114"/>
      <c r="AL397" s="114"/>
      <c r="AM397" s="114"/>
      <c r="AN397" s="114"/>
      <c r="AO397" s="114"/>
      <c r="AP397" s="114"/>
      <c r="AQ397" s="114"/>
      <c r="AR397" s="114"/>
      <c r="AS397" s="114"/>
      <c r="AT397" s="143"/>
      <c r="AU397" s="114"/>
      <c r="AV397" s="114"/>
      <c r="AW397" s="114"/>
      <c r="AX397" s="114"/>
      <c r="AY397" s="114"/>
      <c r="AZ397" s="114"/>
      <c r="BA397" s="114"/>
      <c r="BB397" s="114"/>
      <c r="BC397" s="114"/>
    </row>
    <row r="398" spans="1:55" ht="15.75" customHeight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43"/>
      <c r="M398" s="143"/>
      <c r="N398" s="143"/>
      <c r="O398" s="143"/>
      <c r="P398" s="114"/>
      <c r="Q398" s="114"/>
      <c r="R398" s="114"/>
      <c r="S398" s="143"/>
      <c r="T398" s="114"/>
      <c r="U398" s="114"/>
      <c r="V398" s="114"/>
      <c r="W398" s="114"/>
      <c r="X398" s="114"/>
      <c r="Y398" s="114"/>
      <c r="Z398" s="143"/>
      <c r="AA398" s="114"/>
      <c r="AB398" s="114"/>
      <c r="AC398" s="114"/>
      <c r="AD398" s="143"/>
      <c r="AE398" s="114"/>
      <c r="AF398" s="114"/>
      <c r="AG398" s="143"/>
      <c r="AH398" s="114"/>
      <c r="AI398" s="114"/>
      <c r="AJ398" s="114"/>
      <c r="AK398" s="114"/>
      <c r="AL398" s="114"/>
      <c r="AM398" s="114"/>
      <c r="AN398" s="114"/>
      <c r="AO398" s="114"/>
      <c r="AP398" s="114"/>
      <c r="AQ398" s="114"/>
      <c r="AR398" s="114"/>
      <c r="AS398" s="114"/>
      <c r="AT398" s="143"/>
      <c r="AU398" s="114"/>
      <c r="AV398" s="114"/>
      <c r="AW398" s="114"/>
      <c r="AX398" s="114"/>
      <c r="AY398" s="114"/>
      <c r="AZ398" s="114"/>
      <c r="BA398" s="114"/>
      <c r="BB398" s="114"/>
      <c r="BC398" s="114"/>
    </row>
    <row r="399" spans="1:55" ht="15.75" customHeight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43"/>
      <c r="M399" s="143"/>
      <c r="N399" s="143"/>
      <c r="O399" s="143"/>
      <c r="P399" s="114"/>
      <c r="Q399" s="114"/>
      <c r="R399" s="114"/>
      <c r="S399" s="143"/>
      <c r="T399" s="114"/>
      <c r="U399" s="114"/>
      <c r="V399" s="114"/>
      <c r="W399" s="114"/>
      <c r="X399" s="114"/>
      <c r="Y399" s="114"/>
      <c r="Z399" s="143"/>
      <c r="AA399" s="114"/>
      <c r="AB399" s="114"/>
      <c r="AC399" s="114"/>
      <c r="AD399" s="143"/>
      <c r="AE399" s="114"/>
      <c r="AF399" s="114"/>
      <c r="AG399" s="143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43"/>
      <c r="AU399" s="114"/>
      <c r="AV399" s="114"/>
      <c r="AW399" s="114"/>
      <c r="AX399" s="114"/>
      <c r="AY399" s="114"/>
      <c r="AZ399" s="114"/>
      <c r="BA399" s="114"/>
      <c r="BB399" s="114"/>
      <c r="BC399" s="114"/>
    </row>
    <row r="400" spans="1:55" ht="15.75" customHeight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43"/>
      <c r="M400" s="143"/>
      <c r="N400" s="143"/>
      <c r="O400" s="143"/>
      <c r="P400" s="114"/>
      <c r="Q400" s="114"/>
      <c r="R400" s="114"/>
      <c r="S400" s="143"/>
      <c r="T400" s="114"/>
      <c r="U400" s="114"/>
      <c r="V400" s="114"/>
      <c r="W400" s="114"/>
      <c r="X400" s="114"/>
      <c r="Y400" s="114"/>
      <c r="Z400" s="143"/>
      <c r="AA400" s="114"/>
      <c r="AB400" s="114"/>
      <c r="AC400" s="114"/>
      <c r="AD400" s="143"/>
      <c r="AE400" s="114"/>
      <c r="AF400" s="114"/>
      <c r="AG400" s="143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43"/>
      <c r="AU400" s="114"/>
      <c r="AV400" s="114"/>
      <c r="AW400" s="114"/>
      <c r="AX400" s="114"/>
      <c r="AY400" s="114"/>
      <c r="AZ400" s="114"/>
      <c r="BA400" s="114"/>
      <c r="BB400" s="114"/>
      <c r="BC400" s="114"/>
    </row>
    <row r="401" spans="1:55" ht="15.75" customHeight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43"/>
      <c r="M401" s="143"/>
      <c r="N401" s="143"/>
      <c r="O401" s="143"/>
      <c r="P401" s="114"/>
      <c r="Q401" s="114"/>
      <c r="R401" s="114"/>
      <c r="S401" s="143"/>
      <c r="T401" s="114"/>
      <c r="U401" s="114"/>
      <c r="V401" s="114"/>
      <c r="W401" s="114"/>
      <c r="X401" s="114"/>
      <c r="Y401" s="114"/>
      <c r="Z401" s="143"/>
      <c r="AA401" s="114"/>
      <c r="AB401" s="114"/>
      <c r="AC401" s="114"/>
      <c r="AD401" s="143"/>
      <c r="AE401" s="114"/>
      <c r="AF401" s="114"/>
      <c r="AG401" s="143"/>
      <c r="AH401" s="114"/>
      <c r="AI401" s="114"/>
      <c r="AJ401" s="114"/>
      <c r="AK401" s="114"/>
      <c r="AL401" s="114"/>
      <c r="AM401" s="114"/>
      <c r="AN401" s="114"/>
      <c r="AO401" s="114"/>
      <c r="AP401" s="114"/>
      <c r="AQ401" s="114"/>
      <c r="AR401" s="114"/>
      <c r="AS401" s="114"/>
      <c r="AT401" s="143"/>
      <c r="AU401" s="114"/>
      <c r="AV401" s="114"/>
      <c r="AW401" s="114"/>
      <c r="AX401" s="114"/>
      <c r="AY401" s="114"/>
      <c r="AZ401" s="114"/>
      <c r="BA401" s="114"/>
      <c r="BB401" s="114"/>
      <c r="BC401" s="114"/>
    </row>
    <row r="402" spans="1:55" ht="15.75" customHeight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43"/>
      <c r="M402" s="143"/>
      <c r="N402" s="143"/>
      <c r="O402" s="143"/>
      <c r="P402" s="114"/>
      <c r="Q402" s="114"/>
      <c r="R402" s="114"/>
      <c r="S402" s="143"/>
      <c r="T402" s="114"/>
      <c r="U402" s="114"/>
      <c r="V402" s="114"/>
      <c r="W402" s="114"/>
      <c r="X402" s="114"/>
      <c r="Y402" s="114"/>
      <c r="Z402" s="143"/>
      <c r="AA402" s="114"/>
      <c r="AB402" s="114"/>
      <c r="AC402" s="114"/>
      <c r="AD402" s="143"/>
      <c r="AE402" s="114"/>
      <c r="AF402" s="114"/>
      <c r="AG402" s="143"/>
      <c r="AH402" s="114"/>
      <c r="AI402" s="114"/>
      <c r="AJ402" s="114"/>
      <c r="AK402" s="114"/>
      <c r="AL402" s="114"/>
      <c r="AM402" s="114"/>
      <c r="AN402" s="114"/>
      <c r="AO402" s="114"/>
      <c r="AP402" s="114"/>
      <c r="AQ402" s="114"/>
      <c r="AR402" s="114"/>
      <c r="AS402" s="114"/>
      <c r="AT402" s="143"/>
      <c r="AU402" s="114"/>
      <c r="AV402" s="114"/>
      <c r="AW402" s="114"/>
      <c r="AX402" s="114"/>
      <c r="AY402" s="114"/>
      <c r="AZ402" s="114"/>
      <c r="BA402" s="114"/>
      <c r="BB402" s="114"/>
      <c r="BC402" s="114"/>
    </row>
    <row r="403" spans="1:55" ht="15.75" customHeight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43"/>
      <c r="M403" s="143"/>
      <c r="N403" s="143"/>
      <c r="O403" s="143"/>
      <c r="P403" s="114"/>
      <c r="Q403" s="114"/>
      <c r="R403" s="114"/>
      <c r="S403" s="143"/>
      <c r="T403" s="114"/>
      <c r="U403" s="114"/>
      <c r="V403" s="114"/>
      <c r="W403" s="114"/>
      <c r="X403" s="114"/>
      <c r="Y403" s="114"/>
      <c r="Z403" s="143"/>
      <c r="AA403" s="114"/>
      <c r="AB403" s="114"/>
      <c r="AC403" s="114"/>
      <c r="AD403" s="143"/>
      <c r="AE403" s="114"/>
      <c r="AF403" s="114"/>
      <c r="AG403" s="143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43"/>
      <c r="AU403" s="114"/>
      <c r="AV403" s="114"/>
      <c r="AW403" s="114"/>
      <c r="AX403" s="114"/>
      <c r="AY403" s="114"/>
      <c r="AZ403" s="114"/>
      <c r="BA403" s="114"/>
      <c r="BB403" s="114"/>
      <c r="BC403" s="114"/>
    </row>
    <row r="404" spans="1:55" ht="15.75" customHeight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43"/>
      <c r="M404" s="143"/>
      <c r="N404" s="143"/>
      <c r="O404" s="143"/>
      <c r="P404" s="114"/>
      <c r="Q404" s="114"/>
      <c r="R404" s="114"/>
      <c r="S404" s="143"/>
      <c r="T404" s="114"/>
      <c r="U404" s="114"/>
      <c r="V404" s="114"/>
      <c r="W404" s="114"/>
      <c r="X404" s="114"/>
      <c r="Y404" s="114"/>
      <c r="Z404" s="143"/>
      <c r="AA404" s="114"/>
      <c r="AB404" s="114"/>
      <c r="AC404" s="114"/>
      <c r="AD404" s="143"/>
      <c r="AE404" s="114"/>
      <c r="AF404" s="114"/>
      <c r="AG404" s="143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43"/>
      <c r="AU404" s="114"/>
      <c r="AV404" s="114"/>
      <c r="AW404" s="114"/>
      <c r="AX404" s="114"/>
      <c r="AY404" s="114"/>
      <c r="AZ404" s="114"/>
      <c r="BA404" s="114"/>
      <c r="BB404" s="114"/>
      <c r="BC404" s="114"/>
    </row>
    <row r="405" spans="1:55" ht="15.75" customHeight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43"/>
      <c r="M405" s="143"/>
      <c r="N405" s="143"/>
      <c r="O405" s="143"/>
      <c r="P405" s="114"/>
      <c r="Q405" s="114"/>
      <c r="R405" s="114"/>
      <c r="S405" s="143"/>
      <c r="T405" s="114"/>
      <c r="U405" s="114"/>
      <c r="V405" s="114"/>
      <c r="W405" s="114"/>
      <c r="X405" s="114"/>
      <c r="Y405" s="114"/>
      <c r="Z405" s="143"/>
      <c r="AA405" s="114"/>
      <c r="AB405" s="114"/>
      <c r="AC405" s="114"/>
      <c r="AD405" s="143"/>
      <c r="AE405" s="114"/>
      <c r="AF405" s="114"/>
      <c r="AG405" s="143"/>
      <c r="AH405" s="114"/>
      <c r="AI405" s="114"/>
      <c r="AJ405" s="114"/>
      <c r="AK405" s="114"/>
      <c r="AL405" s="114"/>
      <c r="AM405" s="114"/>
      <c r="AN405" s="114"/>
      <c r="AO405" s="114"/>
      <c r="AP405" s="114"/>
      <c r="AQ405" s="114"/>
      <c r="AR405" s="114"/>
      <c r="AS405" s="114"/>
      <c r="AT405" s="143"/>
      <c r="AU405" s="114"/>
      <c r="AV405" s="114"/>
      <c r="AW405" s="114"/>
      <c r="AX405" s="114"/>
      <c r="AY405" s="114"/>
      <c r="AZ405" s="114"/>
      <c r="BA405" s="114"/>
      <c r="BB405" s="114"/>
      <c r="BC405" s="114"/>
    </row>
    <row r="406" spans="1:55" ht="15.75" customHeight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43"/>
      <c r="M406" s="143"/>
      <c r="N406" s="143"/>
      <c r="O406" s="143"/>
      <c r="P406" s="114"/>
      <c r="Q406" s="114"/>
      <c r="R406" s="114"/>
      <c r="S406" s="143"/>
      <c r="T406" s="114"/>
      <c r="U406" s="114"/>
      <c r="V406" s="114"/>
      <c r="W406" s="114"/>
      <c r="X406" s="114"/>
      <c r="Y406" s="114"/>
      <c r="Z406" s="143"/>
      <c r="AA406" s="114"/>
      <c r="AB406" s="114"/>
      <c r="AC406" s="114"/>
      <c r="AD406" s="143"/>
      <c r="AE406" s="114"/>
      <c r="AF406" s="114"/>
      <c r="AG406" s="143"/>
      <c r="AH406" s="114"/>
      <c r="AI406" s="114"/>
      <c r="AJ406" s="114"/>
      <c r="AK406" s="114"/>
      <c r="AL406" s="114"/>
      <c r="AM406" s="114"/>
      <c r="AN406" s="114"/>
      <c r="AO406" s="114"/>
      <c r="AP406" s="114"/>
      <c r="AQ406" s="114"/>
      <c r="AR406" s="114"/>
      <c r="AS406" s="114"/>
      <c r="AT406" s="143"/>
      <c r="AU406" s="114"/>
      <c r="AV406" s="114"/>
      <c r="AW406" s="114"/>
      <c r="AX406" s="114"/>
      <c r="AY406" s="114"/>
      <c r="AZ406" s="114"/>
      <c r="BA406" s="114"/>
      <c r="BB406" s="114"/>
      <c r="BC406" s="114"/>
    </row>
    <row r="407" spans="1:55" ht="15.75" customHeight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43"/>
      <c r="M407" s="143"/>
      <c r="N407" s="143"/>
      <c r="O407" s="143"/>
      <c r="P407" s="114"/>
      <c r="Q407" s="114"/>
      <c r="R407" s="114"/>
      <c r="S407" s="143"/>
      <c r="T407" s="114"/>
      <c r="U407" s="114"/>
      <c r="V407" s="114"/>
      <c r="W407" s="114"/>
      <c r="X407" s="114"/>
      <c r="Y407" s="114"/>
      <c r="Z407" s="143"/>
      <c r="AA407" s="114"/>
      <c r="AB407" s="114"/>
      <c r="AC407" s="114"/>
      <c r="AD407" s="143"/>
      <c r="AE407" s="114"/>
      <c r="AF407" s="114"/>
      <c r="AG407" s="143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43"/>
      <c r="AU407" s="114"/>
      <c r="AV407" s="114"/>
      <c r="AW407" s="114"/>
      <c r="AX407" s="114"/>
      <c r="AY407" s="114"/>
      <c r="AZ407" s="114"/>
      <c r="BA407" s="114"/>
      <c r="BB407" s="114"/>
      <c r="BC407" s="114"/>
    </row>
    <row r="408" spans="1:55" ht="15.75" customHeight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43"/>
      <c r="M408" s="143"/>
      <c r="N408" s="143"/>
      <c r="O408" s="143"/>
      <c r="P408" s="114"/>
      <c r="Q408" s="114"/>
      <c r="R408" s="114"/>
      <c r="S408" s="143"/>
      <c r="T408" s="114"/>
      <c r="U408" s="114"/>
      <c r="V408" s="114"/>
      <c r="W408" s="114"/>
      <c r="X408" s="114"/>
      <c r="Y408" s="114"/>
      <c r="Z408" s="143"/>
      <c r="AA408" s="114"/>
      <c r="AB408" s="114"/>
      <c r="AC408" s="114"/>
      <c r="AD408" s="143"/>
      <c r="AE408" s="114"/>
      <c r="AF408" s="114"/>
      <c r="AG408" s="143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43"/>
      <c r="AU408" s="114"/>
      <c r="AV408" s="114"/>
      <c r="AW408" s="114"/>
      <c r="AX408" s="114"/>
      <c r="AY408" s="114"/>
      <c r="AZ408" s="114"/>
      <c r="BA408" s="114"/>
      <c r="BB408" s="114"/>
      <c r="BC408" s="114"/>
    </row>
    <row r="409" spans="1:55" ht="15.75" customHeight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43"/>
      <c r="M409" s="143"/>
      <c r="N409" s="143"/>
      <c r="O409" s="143"/>
      <c r="P409" s="114"/>
      <c r="Q409" s="114"/>
      <c r="R409" s="114"/>
      <c r="S409" s="143"/>
      <c r="T409" s="114"/>
      <c r="U409" s="114"/>
      <c r="V409" s="114"/>
      <c r="W409" s="114"/>
      <c r="X409" s="114"/>
      <c r="Y409" s="114"/>
      <c r="Z409" s="143"/>
      <c r="AA409" s="114"/>
      <c r="AB409" s="114"/>
      <c r="AC409" s="114"/>
      <c r="AD409" s="143"/>
      <c r="AE409" s="114"/>
      <c r="AF409" s="114"/>
      <c r="AG409" s="143"/>
      <c r="AH409" s="114"/>
      <c r="AI409" s="114"/>
      <c r="AJ409" s="114"/>
      <c r="AK409" s="114"/>
      <c r="AL409" s="114"/>
      <c r="AM409" s="114"/>
      <c r="AN409" s="114"/>
      <c r="AO409" s="114"/>
      <c r="AP409" s="114"/>
      <c r="AQ409" s="114"/>
      <c r="AR409" s="114"/>
      <c r="AS409" s="114"/>
      <c r="AT409" s="143"/>
      <c r="AU409" s="114"/>
      <c r="AV409" s="114"/>
      <c r="AW409" s="114"/>
      <c r="AX409" s="114"/>
      <c r="AY409" s="114"/>
      <c r="AZ409" s="114"/>
      <c r="BA409" s="114"/>
      <c r="BB409" s="114"/>
      <c r="BC409" s="114"/>
    </row>
    <row r="410" spans="1:55" ht="15.75" customHeight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43"/>
      <c r="M410" s="143"/>
      <c r="N410" s="143"/>
      <c r="O410" s="143"/>
      <c r="P410" s="114"/>
      <c r="Q410" s="114"/>
      <c r="R410" s="114"/>
      <c r="S410" s="143"/>
      <c r="T410" s="114"/>
      <c r="U410" s="114"/>
      <c r="V410" s="114"/>
      <c r="W410" s="114"/>
      <c r="X410" s="114"/>
      <c r="Y410" s="114"/>
      <c r="Z410" s="143"/>
      <c r="AA410" s="114"/>
      <c r="AB410" s="114"/>
      <c r="AC410" s="114"/>
      <c r="AD410" s="143"/>
      <c r="AE410" s="114"/>
      <c r="AF410" s="114"/>
      <c r="AG410" s="143"/>
      <c r="AH410" s="114"/>
      <c r="AI410" s="114"/>
      <c r="AJ410" s="114"/>
      <c r="AK410" s="114"/>
      <c r="AL410" s="114"/>
      <c r="AM410" s="114"/>
      <c r="AN410" s="114"/>
      <c r="AO410" s="114"/>
      <c r="AP410" s="114"/>
      <c r="AQ410" s="114"/>
      <c r="AR410" s="114"/>
      <c r="AS410" s="114"/>
      <c r="AT410" s="143"/>
      <c r="AU410" s="114"/>
      <c r="AV410" s="114"/>
      <c r="AW410" s="114"/>
      <c r="AX410" s="114"/>
      <c r="AY410" s="114"/>
      <c r="AZ410" s="114"/>
      <c r="BA410" s="114"/>
      <c r="BB410" s="114"/>
      <c r="BC410" s="114"/>
    </row>
    <row r="411" spans="1:55" ht="15.75" customHeight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43"/>
      <c r="M411" s="143"/>
      <c r="N411" s="143"/>
      <c r="O411" s="143"/>
      <c r="P411" s="114"/>
      <c r="Q411" s="114"/>
      <c r="R411" s="114"/>
      <c r="S411" s="143"/>
      <c r="T411" s="114"/>
      <c r="U411" s="114"/>
      <c r="V411" s="114"/>
      <c r="W411" s="114"/>
      <c r="X411" s="114"/>
      <c r="Y411" s="114"/>
      <c r="Z411" s="143"/>
      <c r="AA411" s="114"/>
      <c r="AB411" s="114"/>
      <c r="AC411" s="114"/>
      <c r="AD411" s="143"/>
      <c r="AE411" s="114"/>
      <c r="AF411" s="114"/>
      <c r="AG411" s="143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43"/>
      <c r="AU411" s="114"/>
      <c r="AV411" s="114"/>
      <c r="AW411" s="114"/>
      <c r="AX411" s="114"/>
      <c r="AY411" s="114"/>
      <c r="AZ411" s="114"/>
      <c r="BA411" s="114"/>
      <c r="BB411" s="114"/>
      <c r="BC411" s="114"/>
    </row>
    <row r="412" spans="1:55" ht="15.75" customHeight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43"/>
      <c r="M412" s="143"/>
      <c r="N412" s="143"/>
      <c r="O412" s="143"/>
      <c r="P412" s="114"/>
      <c r="Q412" s="114"/>
      <c r="R412" s="114"/>
      <c r="S412" s="143"/>
      <c r="T412" s="114"/>
      <c r="U412" s="114"/>
      <c r="V412" s="114"/>
      <c r="W412" s="114"/>
      <c r="X412" s="114"/>
      <c r="Y412" s="114"/>
      <c r="Z412" s="143"/>
      <c r="AA412" s="114"/>
      <c r="AB412" s="114"/>
      <c r="AC412" s="114"/>
      <c r="AD412" s="143"/>
      <c r="AE412" s="114"/>
      <c r="AF412" s="114"/>
      <c r="AG412" s="143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43"/>
      <c r="AU412" s="114"/>
      <c r="AV412" s="114"/>
      <c r="AW412" s="114"/>
      <c r="AX412" s="114"/>
      <c r="AY412" s="114"/>
      <c r="AZ412" s="114"/>
      <c r="BA412" s="114"/>
      <c r="BB412" s="114"/>
      <c r="BC412" s="114"/>
    </row>
    <row r="413" spans="1:55" ht="15.75" customHeight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43"/>
      <c r="M413" s="143"/>
      <c r="N413" s="143"/>
      <c r="O413" s="143"/>
      <c r="P413" s="114"/>
      <c r="Q413" s="114"/>
      <c r="R413" s="114"/>
      <c r="S413" s="143"/>
      <c r="T413" s="114"/>
      <c r="U413" s="114"/>
      <c r="V413" s="114"/>
      <c r="W413" s="114"/>
      <c r="X413" s="114"/>
      <c r="Y413" s="114"/>
      <c r="Z413" s="143"/>
      <c r="AA413" s="114"/>
      <c r="AB413" s="114"/>
      <c r="AC413" s="114"/>
      <c r="AD413" s="143"/>
      <c r="AE413" s="114"/>
      <c r="AF413" s="114"/>
      <c r="AG413" s="143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4"/>
      <c r="AR413" s="114"/>
      <c r="AS413" s="114"/>
      <c r="AT413" s="143"/>
      <c r="AU413" s="114"/>
      <c r="AV413" s="114"/>
      <c r="AW413" s="114"/>
      <c r="AX413" s="114"/>
      <c r="AY413" s="114"/>
      <c r="AZ413" s="114"/>
      <c r="BA413" s="114"/>
      <c r="BB413" s="114"/>
      <c r="BC413" s="114"/>
    </row>
    <row r="414" spans="1:55" ht="15.75" customHeight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43"/>
      <c r="M414" s="143"/>
      <c r="N414" s="143"/>
      <c r="O414" s="143"/>
      <c r="P414" s="114"/>
      <c r="Q414" s="114"/>
      <c r="R414" s="114"/>
      <c r="S414" s="143"/>
      <c r="T414" s="114"/>
      <c r="U414" s="114"/>
      <c r="V414" s="114"/>
      <c r="W414" s="114"/>
      <c r="X414" s="114"/>
      <c r="Y414" s="114"/>
      <c r="Z414" s="143"/>
      <c r="AA414" s="114"/>
      <c r="AB414" s="114"/>
      <c r="AC414" s="114"/>
      <c r="AD414" s="143"/>
      <c r="AE414" s="114"/>
      <c r="AF414" s="114"/>
      <c r="AG414" s="143"/>
      <c r="AH414" s="114"/>
      <c r="AI414" s="114"/>
      <c r="AJ414" s="114"/>
      <c r="AK414" s="114"/>
      <c r="AL414" s="114"/>
      <c r="AM414" s="114"/>
      <c r="AN414" s="114"/>
      <c r="AO414" s="114"/>
      <c r="AP414" s="114"/>
      <c r="AQ414" s="114"/>
      <c r="AR414" s="114"/>
      <c r="AS414" s="114"/>
      <c r="AT414" s="143"/>
      <c r="AU414" s="114"/>
      <c r="AV414" s="114"/>
      <c r="AW414" s="114"/>
      <c r="AX414" s="114"/>
      <c r="AY414" s="114"/>
      <c r="AZ414" s="114"/>
      <c r="BA414" s="114"/>
      <c r="BB414" s="114"/>
      <c r="BC414" s="114"/>
    </row>
    <row r="415" spans="1:55" ht="15.75" customHeight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43"/>
      <c r="M415" s="143"/>
      <c r="N415" s="143"/>
      <c r="O415" s="143"/>
      <c r="P415" s="114"/>
      <c r="Q415" s="114"/>
      <c r="R415" s="114"/>
      <c r="S415" s="143"/>
      <c r="T415" s="114"/>
      <c r="U415" s="114"/>
      <c r="V415" s="114"/>
      <c r="W415" s="114"/>
      <c r="X415" s="114"/>
      <c r="Y415" s="114"/>
      <c r="Z415" s="143"/>
      <c r="AA415" s="114"/>
      <c r="AB415" s="114"/>
      <c r="AC415" s="114"/>
      <c r="AD415" s="143"/>
      <c r="AE415" s="114"/>
      <c r="AF415" s="114"/>
      <c r="AG415" s="143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43"/>
      <c r="AU415" s="114"/>
      <c r="AV415" s="114"/>
      <c r="AW415" s="114"/>
      <c r="AX415" s="114"/>
      <c r="AY415" s="114"/>
      <c r="AZ415" s="114"/>
      <c r="BA415" s="114"/>
      <c r="BB415" s="114"/>
      <c r="BC415" s="114"/>
    </row>
    <row r="416" spans="1:55" ht="15.75" customHeight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43"/>
      <c r="M416" s="143"/>
      <c r="N416" s="143"/>
      <c r="O416" s="143"/>
      <c r="P416" s="114"/>
      <c r="Q416" s="114"/>
      <c r="R416" s="114"/>
      <c r="S416" s="143"/>
      <c r="T416" s="114"/>
      <c r="U416" s="114"/>
      <c r="V416" s="114"/>
      <c r="W416" s="114"/>
      <c r="X416" s="114"/>
      <c r="Y416" s="114"/>
      <c r="Z416" s="143"/>
      <c r="AA416" s="114"/>
      <c r="AB416" s="114"/>
      <c r="AC416" s="114"/>
      <c r="AD416" s="143"/>
      <c r="AE416" s="114"/>
      <c r="AF416" s="114"/>
      <c r="AG416" s="143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43"/>
      <c r="AU416" s="114"/>
      <c r="AV416" s="114"/>
      <c r="AW416" s="114"/>
      <c r="AX416" s="114"/>
      <c r="AY416" s="114"/>
      <c r="AZ416" s="114"/>
      <c r="BA416" s="114"/>
      <c r="BB416" s="114"/>
      <c r="BC416" s="114"/>
    </row>
    <row r="417" spans="1:55" ht="15.75" customHeight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43"/>
      <c r="M417" s="143"/>
      <c r="N417" s="143"/>
      <c r="O417" s="143"/>
      <c r="P417" s="114"/>
      <c r="Q417" s="114"/>
      <c r="R417" s="114"/>
      <c r="S417" s="143"/>
      <c r="T417" s="114"/>
      <c r="U417" s="114"/>
      <c r="V417" s="114"/>
      <c r="W417" s="114"/>
      <c r="X417" s="114"/>
      <c r="Y417" s="114"/>
      <c r="Z417" s="143"/>
      <c r="AA417" s="114"/>
      <c r="AB417" s="114"/>
      <c r="AC417" s="114"/>
      <c r="AD417" s="143"/>
      <c r="AE417" s="114"/>
      <c r="AF417" s="114"/>
      <c r="AG417" s="143"/>
      <c r="AH417" s="114"/>
      <c r="AI417" s="114"/>
      <c r="AJ417" s="114"/>
      <c r="AK417" s="114"/>
      <c r="AL417" s="114"/>
      <c r="AM417" s="114"/>
      <c r="AN417" s="114"/>
      <c r="AO417" s="114"/>
      <c r="AP417" s="114"/>
      <c r="AQ417" s="114"/>
      <c r="AR417" s="114"/>
      <c r="AS417" s="114"/>
      <c r="AT417" s="143"/>
      <c r="AU417" s="114"/>
      <c r="AV417" s="114"/>
      <c r="AW417" s="114"/>
      <c r="AX417" s="114"/>
      <c r="AY417" s="114"/>
      <c r="AZ417" s="114"/>
      <c r="BA417" s="114"/>
      <c r="BB417" s="114"/>
      <c r="BC417" s="114"/>
    </row>
    <row r="418" spans="1:55" ht="15.75" customHeight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43"/>
      <c r="M418" s="143"/>
      <c r="N418" s="143"/>
      <c r="O418" s="143"/>
      <c r="P418" s="114"/>
      <c r="Q418" s="114"/>
      <c r="R418" s="114"/>
      <c r="S418" s="143"/>
      <c r="T418" s="114"/>
      <c r="U418" s="114"/>
      <c r="V418" s="114"/>
      <c r="W418" s="114"/>
      <c r="X418" s="114"/>
      <c r="Y418" s="114"/>
      <c r="Z418" s="143"/>
      <c r="AA418" s="114"/>
      <c r="AB418" s="114"/>
      <c r="AC418" s="114"/>
      <c r="AD418" s="143"/>
      <c r="AE418" s="114"/>
      <c r="AF418" s="114"/>
      <c r="AG418" s="143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4"/>
      <c r="AR418" s="114"/>
      <c r="AS418" s="114"/>
      <c r="AT418" s="143"/>
      <c r="AU418" s="114"/>
      <c r="AV418" s="114"/>
      <c r="AW418" s="114"/>
      <c r="AX418" s="114"/>
      <c r="AY418" s="114"/>
      <c r="AZ418" s="114"/>
      <c r="BA418" s="114"/>
      <c r="BB418" s="114"/>
      <c r="BC418" s="114"/>
    </row>
    <row r="419" spans="1:55" ht="15.75" customHeight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43"/>
      <c r="M419" s="143"/>
      <c r="N419" s="143"/>
      <c r="O419" s="143"/>
      <c r="P419" s="114"/>
      <c r="Q419" s="114"/>
      <c r="R419" s="114"/>
      <c r="S419" s="143"/>
      <c r="T419" s="114"/>
      <c r="U419" s="114"/>
      <c r="V419" s="114"/>
      <c r="W419" s="114"/>
      <c r="X419" s="114"/>
      <c r="Y419" s="114"/>
      <c r="Z419" s="143"/>
      <c r="AA419" s="114"/>
      <c r="AB419" s="114"/>
      <c r="AC419" s="114"/>
      <c r="AD419" s="143"/>
      <c r="AE419" s="114"/>
      <c r="AF419" s="114"/>
      <c r="AG419" s="143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43"/>
      <c r="AU419" s="114"/>
      <c r="AV419" s="114"/>
      <c r="AW419" s="114"/>
      <c r="AX419" s="114"/>
      <c r="AY419" s="114"/>
      <c r="AZ419" s="114"/>
      <c r="BA419" s="114"/>
      <c r="BB419" s="114"/>
      <c r="BC419" s="114"/>
    </row>
    <row r="420" spans="1:55" ht="15.75" customHeight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43"/>
      <c r="M420" s="143"/>
      <c r="N420" s="143"/>
      <c r="O420" s="143"/>
      <c r="P420" s="114"/>
      <c r="Q420" s="114"/>
      <c r="R420" s="114"/>
      <c r="S420" s="143"/>
      <c r="T420" s="114"/>
      <c r="U420" s="114"/>
      <c r="V420" s="114"/>
      <c r="W420" s="114"/>
      <c r="X420" s="114"/>
      <c r="Y420" s="114"/>
      <c r="Z420" s="143"/>
      <c r="AA420" s="114"/>
      <c r="AB420" s="114"/>
      <c r="AC420" s="114"/>
      <c r="AD420" s="143"/>
      <c r="AE420" s="114"/>
      <c r="AF420" s="114"/>
      <c r="AG420" s="143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43"/>
      <c r="AU420" s="114"/>
      <c r="AV420" s="114"/>
      <c r="AW420" s="114"/>
      <c r="AX420" s="114"/>
      <c r="AY420" s="114"/>
      <c r="AZ420" s="114"/>
      <c r="BA420" s="114"/>
      <c r="BB420" s="114"/>
      <c r="BC420" s="114"/>
    </row>
    <row r="421" spans="1:55" ht="15.75" customHeight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43"/>
      <c r="M421" s="143"/>
      <c r="N421" s="143"/>
      <c r="O421" s="143"/>
      <c r="P421" s="114"/>
      <c r="Q421" s="114"/>
      <c r="R421" s="114"/>
      <c r="S421" s="143"/>
      <c r="T421" s="114"/>
      <c r="U421" s="114"/>
      <c r="V421" s="114"/>
      <c r="W421" s="114"/>
      <c r="X421" s="114"/>
      <c r="Y421" s="114"/>
      <c r="Z421" s="143"/>
      <c r="AA421" s="114"/>
      <c r="AB421" s="114"/>
      <c r="AC421" s="114"/>
      <c r="AD421" s="143"/>
      <c r="AE421" s="114"/>
      <c r="AF421" s="114"/>
      <c r="AG421" s="143"/>
      <c r="AH421" s="114"/>
      <c r="AI421" s="114"/>
      <c r="AJ421" s="114"/>
      <c r="AK421" s="114"/>
      <c r="AL421" s="114"/>
      <c r="AM421" s="114"/>
      <c r="AN421" s="114"/>
      <c r="AO421" s="114"/>
      <c r="AP421" s="114"/>
      <c r="AQ421" s="114"/>
      <c r="AR421" s="114"/>
      <c r="AS421" s="114"/>
      <c r="AT421" s="143"/>
      <c r="AU421" s="114"/>
      <c r="AV421" s="114"/>
      <c r="AW421" s="114"/>
      <c r="AX421" s="114"/>
      <c r="AY421" s="114"/>
      <c r="AZ421" s="114"/>
      <c r="BA421" s="114"/>
      <c r="BB421" s="114"/>
      <c r="BC421" s="114"/>
    </row>
    <row r="422" spans="1:55" ht="15.75" customHeight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43"/>
      <c r="M422" s="143"/>
      <c r="N422" s="143"/>
      <c r="O422" s="143"/>
      <c r="P422" s="114"/>
      <c r="Q422" s="114"/>
      <c r="R422" s="114"/>
      <c r="S422" s="143"/>
      <c r="T422" s="114"/>
      <c r="U422" s="114"/>
      <c r="V422" s="114"/>
      <c r="W422" s="114"/>
      <c r="X422" s="114"/>
      <c r="Y422" s="114"/>
      <c r="Z422" s="143"/>
      <c r="AA422" s="114"/>
      <c r="AB422" s="114"/>
      <c r="AC422" s="114"/>
      <c r="AD422" s="143"/>
      <c r="AE422" s="114"/>
      <c r="AF422" s="114"/>
      <c r="AG422" s="143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4"/>
      <c r="AR422" s="114"/>
      <c r="AS422" s="114"/>
      <c r="AT422" s="143"/>
      <c r="AU422" s="114"/>
      <c r="AV422" s="114"/>
      <c r="AW422" s="114"/>
      <c r="AX422" s="114"/>
      <c r="AY422" s="114"/>
      <c r="AZ422" s="114"/>
      <c r="BA422" s="114"/>
      <c r="BB422" s="114"/>
      <c r="BC422" s="114"/>
    </row>
    <row r="423" spans="1:55" ht="15.75" customHeight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43"/>
      <c r="M423" s="143"/>
      <c r="N423" s="143"/>
      <c r="O423" s="143"/>
      <c r="P423" s="114"/>
      <c r="Q423" s="114"/>
      <c r="R423" s="114"/>
      <c r="S423" s="143"/>
      <c r="T423" s="114"/>
      <c r="U423" s="114"/>
      <c r="V423" s="114"/>
      <c r="W423" s="114"/>
      <c r="X423" s="114"/>
      <c r="Y423" s="114"/>
      <c r="Z423" s="143"/>
      <c r="AA423" s="114"/>
      <c r="AB423" s="114"/>
      <c r="AC423" s="114"/>
      <c r="AD423" s="143"/>
      <c r="AE423" s="114"/>
      <c r="AF423" s="114"/>
      <c r="AG423" s="143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43"/>
      <c r="AU423" s="114"/>
      <c r="AV423" s="114"/>
      <c r="AW423" s="114"/>
      <c r="AX423" s="114"/>
      <c r="AY423" s="114"/>
      <c r="AZ423" s="114"/>
      <c r="BA423" s="114"/>
      <c r="BB423" s="114"/>
      <c r="BC423" s="114"/>
    </row>
    <row r="424" spans="1:55" ht="15.75" customHeight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43"/>
      <c r="M424" s="143"/>
      <c r="N424" s="143"/>
      <c r="O424" s="143"/>
      <c r="P424" s="114"/>
      <c r="Q424" s="114"/>
      <c r="R424" s="114"/>
      <c r="S424" s="143"/>
      <c r="T424" s="114"/>
      <c r="U424" s="114"/>
      <c r="V424" s="114"/>
      <c r="W424" s="114"/>
      <c r="X424" s="114"/>
      <c r="Y424" s="114"/>
      <c r="Z424" s="143"/>
      <c r="AA424" s="114"/>
      <c r="AB424" s="114"/>
      <c r="AC424" s="114"/>
      <c r="AD424" s="143"/>
      <c r="AE424" s="114"/>
      <c r="AF424" s="114"/>
      <c r="AG424" s="143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43"/>
      <c r="AU424" s="114"/>
      <c r="AV424" s="114"/>
      <c r="AW424" s="114"/>
      <c r="AX424" s="114"/>
      <c r="AY424" s="114"/>
      <c r="AZ424" s="114"/>
      <c r="BA424" s="114"/>
      <c r="BB424" s="114"/>
      <c r="BC424" s="114"/>
    </row>
    <row r="425" spans="1:55" ht="15.75" customHeight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43"/>
      <c r="M425" s="143"/>
      <c r="N425" s="143"/>
      <c r="O425" s="143"/>
      <c r="P425" s="114"/>
      <c r="Q425" s="114"/>
      <c r="R425" s="114"/>
      <c r="S425" s="143"/>
      <c r="T425" s="114"/>
      <c r="U425" s="114"/>
      <c r="V425" s="114"/>
      <c r="W425" s="114"/>
      <c r="X425" s="114"/>
      <c r="Y425" s="114"/>
      <c r="Z425" s="143"/>
      <c r="AA425" s="114"/>
      <c r="AB425" s="114"/>
      <c r="AC425" s="114"/>
      <c r="AD425" s="143"/>
      <c r="AE425" s="114"/>
      <c r="AF425" s="114"/>
      <c r="AG425" s="143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4"/>
      <c r="AR425" s="114"/>
      <c r="AS425" s="114"/>
      <c r="AT425" s="143"/>
      <c r="AU425" s="114"/>
      <c r="AV425" s="114"/>
      <c r="AW425" s="114"/>
      <c r="AX425" s="114"/>
      <c r="AY425" s="114"/>
      <c r="AZ425" s="114"/>
      <c r="BA425" s="114"/>
      <c r="BB425" s="114"/>
      <c r="BC425" s="114"/>
    </row>
    <row r="426" spans="1:55" ht="15.75" customHeight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43"/>
      <c r="M426" s="143"/>
      <c r="N426" s="143"/>
      <c r="O426" s="143"/>
      <c r="P426" s="114"/>
      <c r="Q426" s="114"/>
      <c r="R426" s="114"/>
      <c r="S426" s="143"/>
      <c r="T426" s="114"/>
      <c r="U426" s="114"/>
      <c r="V426" s="114"/>
      <c r="W426" s="114"/>
      <c r="X426" s="114"/>
      <c r="Y426" s="114"/>
      <c r="Z426" s="143"/>
      <c r="AA426" s="114"/>
      <c r="AB426" s="114"/>
      <c r="AC426" s="114"/>
      <c r="AD426" s="143"/>
      <c r="AE426" s="114"/>
      <c r="AF426" s="114"/>
      <c r="AG426" s="143"/>
      <c r="AH426" s="114"/>
      <c r="AI426" s="114"/>
      <c r="AJ426" s="114"/>
      <c r="AK426" s="114"/>
      <c r="AL426" s="114"/>
      <c r="AM426" s="114"/>
      <c r="AN426" s="114"/>
      <c r="AO426" s="114"/>
      <c r="AP426" s="114"/>
      <c r="AQ426" s="114"/>
      <c r="AR426" s="114"/>
      <c r="AS426" s="114"/>
      <c r="AT426" s="143"/>
      <c r="AU426" s="114"/>
      <c r="AV426" s="114"/>
      <c r="AW426" s="114"/>
      <c r="AX426" s="114"/>
      <c r="AY426" s="114"/>
      <c r="AZ426" s="114"/>
      <c r="BA426" s="114"/>
      <c r="BB426" s="114"/>
      <c r="BC426" s="114"/>
    </row>
    <row r="427" spans="1:55" ht="15.75" customHeight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43"/>
      <c r="M427" s="143"/>
      <c r="N427" s="143"/>
      <c r="O427" s="143"/>
      <c r="P427" s="114"/>
      <c r="Q427" s="114"/>
      <c r="R427" s="114"/>
      <c r="S427" s="143"/>
      <c r="T427" s="114"/>
      <c r="U427" s="114"/>
      <c r="V427" s="114"/>
      <c r="W427" s="114"/>
      <c r="X427" s="114"/>
      <c r="Y427" s="114"/>
      <c r="Z427" s="143"/>
      <c r="AA427" s="114"/>
      <c r="AB427" s="114"/>
      <c r="AC427" s="114"/>
      <c r="AD427" s="143"/>
      <c r="AE427" s="114"/>
      <c r="AF427" s="114"/>
      <c r="AG427" s="143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43"/>
      <c r="AU427" s="114"/>
      <c r="AV427" s="114"/>
      <c r="AW427" s="114"/>
      <c r="AX427" s="114"/>
      <c r="AY427" s="114"/>
      <c r="AZ427" s="114"/>
      <c r="BA427" s="114"/>
      <c r="BB427" s="114"/>
      <c r="BC427" s="114"/>
    </row>
    <row r="428" spans="1:55" ht="15.75" customHeight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43"/>
      <c r="M428" s="143"/>
      <c r="N428" s="143"/>
      <c r="O428" s="143"/>
      <c r="P428" s="114"/>
      <c r="Q428" s="114"/>
      <c r="R428" s="114"/>
      <c r="S428" s="143"/>
      <c r="T428" s="114"/>
      <c r="U428" s="114"/>
      <c r="V428" s="114"/>
      <c r="W428" s="114"/>
      <c r="X428" s="114"/>
      <c r="Y428" s="114"/>
      <c r="Z428" s="143"/>
      <c r="AA428" s="114"/>
      <c r="AB428" s="114"/>
      <c r="AC428" s="114"/>
      <c r="AD428" s="143"/>
      <c r="AE428" s="114"/>
      <c r="AF428" s="114"/>
      <c r="AG428" s="143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43"/>
      <c r="AU428" s="114"/>
      <c r="AV428" s="114"/>
      <c r="AW428" s="114"/>
      <c r="AX428" s="114"/>
      <c r="AY428" s="114"/>
      <c r="AZ428" s="114"/>
      <c r="BA428" s="114"/>
      <c r="BB428" s="114"/>
      <c r="BC428" s="114"/>
    </row>
    <row r="429" spans="1:55" ht="15.75" customHeight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43"/>
      <c r="M429" s="143"/>
      <c r="N429" s="143"/>
      <c r="O429" s="143"/>
      <c r="P429" s="114"/>
      <c r="Q429" s="114"/>
      <c r="R429" s="114"/>
      <c r="S429" s="143"/>
      <c r="T429" s="114"/>
      <c r="U429" s="114"/>
      <c r="V429" s="114"/>
      <c r="W429" s="114"/>
      <c r="X429" s="114"/>
      <c r="Y429" s="114"/>
      <c r="Z429" s="143"/>
      <c r="AA429" s="114"/>
      <c r="AB429" s="114"/>
      <c r="AC429" s="114"/>
      <c r="AD429" s="143"/>
      <c r="AE429" s="114"/>
      <c r="AF429" s="114"/>
      <c r="AG429" s="143"/>
      <c r="AH429" s="114"/>
      <c r="AI429" s="114"/>
      <c r="AJ429" s="114"/>
      <c r="AK429" s="114"/>
      <c r="AL429" s="114"/>
      <c r="AM429" s="114"/>
      <c r="AN429" s="114"/>
      <c r="AO429" s="114"/>
      <c r="AP429" s="114"/>
      <c r="AQ429" s="114"/>
      <c r="AR429" s="114"/>
      <c r="AS429" s="114"/>
      <c r="AT429" s="143"/>
      <c r="AU429" s="114"/>
      <c r="AV429" s="114"/>
      <c r="AW429" s="114"/>
      <c r="AX429" s="114"/>
      <c r="AY429" s="114"/>
      <c r="AZ429" s="114"/>
      <c r="BA429" s="114"/>
      <c r="BB429" s="114"/>
      <c r="BC429" s="114"/>
    </row>
    <row r="430" spans="1:55" ht="15.75" customHeight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43"/>
      <c r="M430" s="143"/>
      <c r="N430" s="143"/>
      <c r="O430" s="143"/>
      <c r="P430" s="114"/>
      <c r="Q430" s="114"/>
      <c r="R430" s="114"/>
      <c r="S430" s="143"/>
      <c r="T430" s="114"/>
      <c r="U430" s="114"/>
      <c r="V430" s="114"/>
      <c r="W430" s="114"/>
      <c r="X430" s="114"/>
      <c r="Y430" s="114"/>
      <c r="Z430" s="143"/>
      <c r="AA430" s="114"/>
      <c r="AB430" s="114"/>
      <c r="AC430" s="114"/>
      <c r="AD430" s="143"/>
      <c r="AE430" s="114"/>
      <c r="AF430" s="114"/>
      <c r="AG430" s="143"/>
      <c r="AH430" s="114"/>
      <c r="AI430" s="114"/>
      <c r="AJ430" s="114"/>
      <c r="AK430" s="114"/>
      <c r="AL430" s="114"/>
      <c r="AM430" s="114"/>
      <c r="AN430" s="114"/>
      <c r="AO430" s="114"/>
      <c r="AP430" s="114"/>
      <c r="AQ430" s="114"/>
      <c r="AR430" s="114"/>
      <c r="AS430" s="114"/>
      <c r="AT430" s="143"/>
      <c r="AU430" s="114"/>
      <c r="AV430" s="114"/>
      <c r="AW430" s="114"/>
      <c r="AX430" s="114"/>
      <c r="AY430" s="114"/>
      <c r="AZ430" s="114"/>
      <c r="BA430" s="114"/>
      <c r="BB430" s="114"/>
      <c r="BC430" s="114"/>
    </row>
    <row r="431" spans="1:55" ht="15.75" customHeight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43"/>
      <c r="M431" s="143"/>
      <c r="N431" s="143"/>
      <c r="O431" s="143"/>
      <c r="P431" s="114"/>
      <c r="Q431" s="114"/>
      <c r="R431" s="114"/>
      <c r="S431" s="143"/>
      <c r="T431" s="114"/>
      <c r="U431" s="114"/>
      <c r="V431" s="114"/>
      <c r="W431" s="114"/>
      <c r="X431" s="114"/>
      <c r="Y431" s="114"/>
      <c r="Z431" s="143"/>
      <c r="AA431" s="114"/>
      <c r="AB431" s="114"/>
      <c r="AC431" s="114"/>
      <c r="AD431" s="143"/>
      <c r="AE431" s="114"/>
      <c r="AF431" s="114"/>
      <c r="AG431" s="143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43"/>
      <c r="AU431" s="114"/>
      <c r="AV431" s="114"/>
      <c r="AW431" s="114"/>
      <c r="AX431" s="114"/>
      <c r="AY431" s="114"/>
      <c r="AZ431" s="114"/>
      <c r="BA431" s="114"/>
      <c r="BB431" s="114"/>
      <c r="BC431" s="114"/>
    </row>
    <row r="432" spans="1:55" ht="15.75" customHeight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43"/>
      <c r="M432" s="143"/>
      <c r="N432" s="143"/>
      <c r="O432" s="143"/>
      <c r="P432" s="114"/>
      <c r="Q432" s="114"/>
      <c r="R432" s="114"/>
      <c r="S432" s="143"/>
      <c r="T432" s="114"/>
      <c r="U432" s="114"/>
      <c r="V432" s="114"/>
      <c r="W432" s="114"/>
      <c r="X432" s="114"/>
      <c r="Y432" s="114"/>
      <c r="Z432" s="143"/>
      <c r="AA432" s="114"/>
      <c r="AB432" s="114"/>
      <c r="AC432" s="114"/>
      <c r="AD432" s="143"/>
      <c r="AE432" s="114"/>
      <c r="AF432" s="114"/>
      <c r="AG432" s="143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43"/>
      <c r="AU432" s="114"/>
      <c r="AV432" s="114"/>
      <c r="AW432" s="114"/>
      <c r="AX432" s="114"/>
      <c r="AY432" s="114"/>
      <c r="AZ432" s="114"/>
      <c r="BA432" s="114"/>
      <c r="BB432" s="114"/>
      <c r="BC432" s="114"/>
    </row>
    <row r="433" spans="1:55" ht="15.75" customHeight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43"/>
      <c r="M433" s="143"/>
      <c r="N433" s="143"/>
      <c r="O433" s="143"/>
      <c r="P433" s="114"/>
      <c r="Q433" s="114"/>
      <c r="R433" s="114"/>
      <c r="S433" s="143"/>
      <c r="T433" s="114"/>
      <c r="U433" s="114"/>
      <c r="V433" s="114"/>
      <c r="W433" s="114"/>
      <c r="X433" s="114"/>
      <c r="Y433" s="114"/>
      <c r="Z433" s="143"/>
      <c r="AA433" s="114"/>
      <c r="AB433" s="114"/>
      <c r="AC433" s="114"/>
      <c r="AD433" s="143"/>
      <c r="AE433" s="114"/>
      <c r="AF433" s="114"/>
      <c r="AG433" s="143"/>
      <c r="AH433" s="114"/>
      <c r="AI433" s="114"/>
      <c r="AJ433" s="114"/>
      <c r="AK433" s="114"/>
      <c r="AL433" s="114"/>
      <c r="AM433" s="114"/>
      <c r="AN433" s="114"/>
      <c r="AO433" s="114"/>
      <c r="AP433" s="114"/>
      <c r="AQ433" s="114"/>
      <c r="AR433" s="114"/>
      <c r="AS433" s="114"/>
      <c r="AT433" s="143"/>
      <c r="AU433" s="114"/>
      <c r="AV433" s="114"/>
      <c r="AW433" s="114"/>
      <c r="AX433" s="114"/>
      <c r="AY433" s="114"/>
      <c r="AZ433" s="114"/>
      <c r="BA433" s="114"/>
      <c r="BB433" s="114"/>
      <c r="BC433" s="114"/>
    </row>
    <row r="434" spans="1:55" ht="15.75" customHeight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43"/>
      <c r="M434" s="143"/>
      <c r="N434" s="143"/>
      <c r="O434" s="143"/>
      <c r="P434" s="114"/>
      <c r="Q434" s="114"/>
      <c r="R434" s="114"/>
      <c r="S434" s="143"/>
      <c r="T434" s="114"/>
      <c r="U434" s="114"/>
      <c r="V434" s="114"/>
      <c r="W434" s="114"/>
      <c r="X434" s="114"/>
      <c r="Y434" s="114"/>
      <c r="Z434" s="143"/>
      <c r="AA434" s="114"/>
      <c r="AB434" s="114"/>
      <c r="AC434" s="114"/>
      <c r="AD434" s="143"/>
      <c r="AE434" s="114"/>
      <c r="AF434" s="114"/>
      <c r="AG434" s="143"/>
      <c r="AH434" s="114"/>
      <c r="AI434" s="114"/>
      <c r="AJ434" s="114"/>
      <c r="AK434" s="114"/>
      <c r="AL434" s="114"/>
      <c r="AM434" s="114"/>
      <c r="AN434" s="114"/>
      <c r="AO434" s="114"/>
      <c r="AP434" s="114"/>
      <c r="AQ434" s="114"/>
      <c r="AR434" s="114"/>
      <c r="AS434" s="114"/>
      <c r="AT434" s="143"/>
      <c r="AU434" s="114"/>
      <c r="AV434" s="114"/>
      <c r="AW434" s="114"/>
      <c r="AX434" s="114"/>
      <c r="AY434" s="114"/>
      <c r="AZ434" s="114"/>
      <c r="BA434" s="114"/>
      <c r="BB434" s="114"/>
      <c r="BC434" s="114"/>
    </row>
    <row r="435" spans="1:55" ht="15.75" customHeight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43"/>
      <c r="M435" s="143"/>
      <c r="N435" s="143"/>
      <c r="O435" s="143"/>
      <c r="P435" s="114"/>
      <c r="Q435" s="114"/>
      <c r="R435" s="114"/>
      <c r="S435" s="143"/>
      <c r="T435" s="114"/>
      <c r="U435" s="114"/>
      <c r="V435" s="114"/>
      <c r="W435" s="114"/>
      <c r="X435" s="114"/>
      <c r="Y435" s="114"/>
      <c r="Z435" s="143"/>
      <c r="AA435" s="114"/>
      <c r="AB435" s="114"/>
      <c r="AC435" s="114"/>
      <c r="AD435" s="143"/>
      <c r="AE435" s="114"/>
      <c r="AF435" s="114"/>
      <c r="AG435" s="143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43"/>
      <c r="AU435" s="114"/>
      <c r="AV435" s="114"/>
      <c r="AW435" s="114"/>
      <c r="AX435" s="114"/>
      <c r="AY435" s="114"/>
      <c r="AZ435" s="114"/>
      <c r="BA435" s="114"/>
      <c r="BB435" s="114"/>
      <c r="BC435" s="114"/>
    </row>
    <row r="436" spans="1:55" ht="15.75" customHeight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43"/>
      <c r="M436" s="143"/>
      <c r="N436" s="143"/>
      <c r="O436" s="143"/>
      <c r="P436" s="114"/>
      <c r="Q436" s="114"/>
      <c r="R436" s="114"/>
      <c r="S436" s="143"/>
      <c r="T436" s="114"/>
      <c r="U436" s="114"/>
      <c r="V436" s="114"/>
      <c r="W436" s="114"/>
      <c r="X436" s="114"/>
      <c r="Y436" s="114"/>
      <c r="Z436" s="143"/>
      <c r="AA436" s="114"/>
      <c r="AB436" s="114"/>
      <c r="AC436" s="114"/>
      <c r="AD436" s="143"/>
      <c r="AE436" s="114"/>
      <c r="AF436" s="114"/>
      <c r="AG436" s="143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43"/>
      <c r="AU436" s="114"/>
      <c r="AV436" s="114"/>
      <c r="AW436" s="114"/>
      <c r="AX436" s="114"/>
      <c r="AY436" s="114"/>
      <c r="AZ436" s="114"/>
      <c r="BA436" s="114"/>
      <c r="BB436" s="114"/>
      <c r="BC436" s="114"/>
    </row>
    <row r="437" spans="1:55" ht="15.75" customHeight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43"/>
      <c r="M437" s="143"/>
      <c r="N437" s="143"/>
      <c r="O437" s="143"/>
      <c r="P437" s="114"/>
      <c r="Q437" s="114"/>
      <c r="R437" s="114"/>
      <c r="S437" s="143"/>
      <c r="T437" s="114"/>
      <c r="U437" s="114"/>
      <c r="V437" s="114"/>
      <c r="W437" s="114"/>
      <c r="X437" s="114"/>
      <c r="Y437" s="114"/>
      <c r="Z437" s="143"/>
      <c r="AA437" s="114"/>
      <c r="AB437" s="114"/>
      <c r="AC437" s="114"/>
      <c r="AD437" s="143"/>
      <c r="AE437" s="114"/>
      <c r="AF437" s="114"/>
      <c r="AG437" s="143"/>
      <c r="AH437" s="114"/>
      <c r="AI437" s="114"/>
      <c r="AJ437" s="114"/>
      <c r="AK437" s="114"/>
      <c r="AL437" s="114"/>
      <c r="AM437" s="114"/>
      <c r="AN437" s="114"/>
      <c r="AO437" s="114"/>
      <c r="AP437" s="114"/>
      <c r="AQ437" s="114"/>
      <c r="AR437" s="114"/>
      <c r="AS437" s="114"/>
      <c r="AT437" s="143"/>
      <c r="AU437" s="114"/>
      <c r="AV437" s="114"/>
      <c r="AW437" s="114"/>
      <c r="AX437" s="114"/>
      <c r="AY437" s="114"/>
      <c r="AZ437" s="114"/>
      <c r="BA437" s="114"/>
      <c r="BB437" s="114"/>
      <c r="BC437" s="114"/>
    </row>
    <row r="438" spans="1:55" ht="15.75" customHeight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43"/>
      <c r="M438" s="143"/>
      <c r="N438" s="143"/>
      <c r="O438" s="143"/>
      <c r="P438" s="114"/>
      <c r="Q438" s="114"/>
      <c r="R438" s="114"/>
      <c r="S438" s="143"/>
      <c r="T438" s="114"/>
      <c r="U438" s="114"/>
      <c r="V438" s="114"/>
      <c r="W438" s="114"/>
      <c r="X438" s="114"/>
      <c r="Y438" s="114"/>
      <c r="Z438" s="143"/>
      <c r="AA438" s="114"/>
      <c r="AB438" s="114"/>
      <c r="AC438" s="114"/>
      <c r="AD438" s="143"/>
      <c r="AE438" s="114"/>
      <c r="AF438" s="114"/>
      <c r="AG438" s="143"/>
      <c r="AH438" s="114"/>
      <c r="AI438" s="114"/>
      <c r="AJ438" s="114"/>
      <c r="AK438" s="114"/>
      <c r="AL438" s="114"/>
      <c r="AM438" s="114"/>
      <c r="AN438" s="114"/>
      <c r="AO438" s="114"/>
      <c r="AP438" s="114"/>
      <c r="AQ438" s="114"/>
      <c r="AR438" s="114"/>
      <c r="AS438" s="114"/>
      <c r="AT438" s="143"/>
      <c r="AU438" s="114"/>
      <c r="AV438" s="114"/>
      <c r="AW438" s="114"/>
      <c r="AX438" s="114"/>
      <c r="AY438" s="114"/>
      <c r="AZ438" s="114"/>
      <c r="BA438" s="114"/>
      <c r="BB438" s="114"/>
      <c r="BC438" s="114"/>
    </row>
    <row r="439" spans="1:55" ht="15.75" customHeight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43"/>
      <c r="M439" s="143"/>
      <c r="N439" s="143"/>
      <c r="O439" s="143"/>
      <c r="P439" s="114"/>
      <c r="Q439" s="114"/>
      <c r="R439" s="114"/>
      <c r="S439" s="143"/>
      <c r="T439" s="114"/>
      <c r="U439" s="114"/>
      <c r="V439" s="114"/>
      <c r="W439" s="114"/>
      <c r="X439" s="114"/>
      <c r="Y439" s="114"/>
      <c r="Z439" s="143"/>
      <c r="AA439" s="114"/>
      <c r="AB439" s="114"/>
      <c r="AC439" s="114"/>
      <c r="AD439" s="143"/>
      <c r="AE439" s="114"/>
      <c r="AF439" s="114"/>
      <c r="AG439" s="143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43"/>
      <c r="AU439" s="114"/>
      <c r="AV439" s="114"/>
      <c r="AW439" s="114"/>
      <c r="AX439" s="114"/>
      <c r="AY439" s="114"/>
      <c r="AZ439" s="114"/>
      <c r="BA439" s="114"/>
      <c r="BB439" s="114"/>
      <c r="BC439" s="114"/>
    </row>
    <row r="440" spans="1:55" ht="15.75" customHeight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43"/>
      <c r="M440" s="143"/>
      <c r="N440" s="143"/>
      <c r="O440" s="143"/>
      <c r="P440" s="114"/>
      <c r="Q440" s="114"/>
      <c r="R440" s="114"/>
      <c r="S440" s="143"/>
      <c r="T440" s="114"/>
      <c r="U440" s="114"/>
      <c r="V440" s="114"/>
      <c r="W440" s="114"/>
      <c r="X440" s="114"/>
      <c r="Y440" s="114"/>
      <c r="Z440" s="143"/>
      <c r="AA440" s="114"/>
      <c r="AB440" s="114"/>
      <c r="AC440" s="114"/>
      <c r="AD440" s="143"/>
      <c r="AE440" s="114"/>
      <c r="AF440" s="114"/>
      <c r="AG440" s="143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43"/>
      <c r="AU440" s="114"/>
      <c r="AV440" s="114"/>
      <c r="AW440" s="114"/>
      <c r="AX440" s="114"/>
      <c r="AY440" s="114"/>
      <c r="AZ440" s="114"/>
      <c r="BA440" s="114"/>
      <c r="BB440" s="114"/>
      <c r="BC440" s="114"/>
    </row>
    <row r="441" spans="1:55" ht="15.75" customHeight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43"/>
      <c r="M441" s="143"/>
      <c r="N441" s="143"/>
      <c r="O441" s="143"/>
      <c r="P441" s="114"/>
      <c r="Q441" s="114"/>
      <c r="R441" s="114"/>
      <c r="S441" s="143"/>
      <c r="T441" s="114"/>
      <c r="U441" s="114"/>
      <c r="V441" s="114"/>
      <c r="W441" s="114"/>
      <c r="X441" s="114"/>
      <c r="Y441" s="114"/>
      <c r="Z441" s="143"/>
      <c r="AA441" s="114"/>
      <c r="AB441" s="114"/>
      <c r="AC441" s="114"/>
      <c r="AD441" s="143"/>
      <c r="AE441" s="114"/>
      <c r="AF441" s="114"/>
      <c r="AG441" s="143"/>
      <c r="AH441" s="114"/>
      <c r="AI441" s="114"/>
      <c r="AJ441" s="114"/>
      <c r="AK441" s="114"/>
      <c r="AL441" s="114"/>
      <c r="AM441" s="114"/>
      <c r="AN441" s="114"/>
      <c r="AO441" s="114"/>
      <c r="AP441" s="114"/>
      <c r="AQ441" s="114"/>
      <c r="AR441" s="114"/>
      <c r="AS441" s="114"/>
      <c r="AT441" s="143"/>
      <c r="AU441" s="114"/>
      <c r="AV441" s="114"/>
      <c r="AW441" s="114"/>
      <c r="AX441" s="114"/>
      <c r="AY441" s="114"/>
      <c r="AZ441" s="114"/>
      <c r="BA441" s="114"/>
      <c r="BB441" s="114"/>
      <c r="BC441" s="114"/>
    </row>
    <row r="442" spans="1:55" ht="15.75" customHeight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43"/>
      <c r="M442" s="143"/>
      <c r="N442" s="143"/>
      <c r="O442" s="143"/>
      <c r="P442" s="114"/>
      <c r="Q442" s="114"/>
      <c r="R442" s="114"/>
      <c r="S442" s="143"/>
      <c r="T442" s="114"/>
      <c r="U442" s="114"/>
      <c r="V442" s="114"/>
      <c r="W442" s="114"/>
      <c r="X442" s="114"/>
      <c r="Y442" s="114"/>
      <c r="Z442" s="143"/>
      <c r="AA442" s="114"/>
      <c r="AB442" s="114"/>
      <c r="AC442" s="114"/>
      <c r="AD442" s="143"/>
      <c r="AE442" s="114"/>
      <c r="AF442" s="114"/>
      <c r="AG442" s="143"/>
      <c r="AH442" s="114"/>
      <c r="AI442" s="114"/>
      <c r="AJ442" s="114"/>
      <c r="AK442" s="114"/>
      <c r="AL442" s="114"/>
      <c r="AM442" s="114"/>
      <c r="AN442" s="114"/>
      <c r="AO442" s="114"/>
      <c r="AP442" s="114"/>
      <c r="AQ442" s="114"/>
      <c r="AR442" s="114"/>
      <c r="AS442" s="114"/>
      <c r="AT442" s="143"/>
      <c r="AU442" s="114"/>
      <c r="AV442" s="114"/>
      <c r="AW442" s="114"/>
      <c r="AX442" s="114"/>
      <c r="AY442" s="114"/>
      <c r="AZ442" s="114"/>
      <c r="BA442" s="114"/>
      <c r="BB442" s="114"/>
      <c r="BC442" s="114"/>
    </row>
    <row r="443" spans="1:55" ht="15.75" customHeight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43"/>
      <c r="M443" s="143"/>
      <c r="N443" s="143"/>
      <c r="O443" s="143"/>
      <c r="P443" s="114"/>
      <c r="Q443" s="114"/>
      <c r="R443" s="114"/>
      <c r="S443" s="143"/>
      <c r="T443" s="114"/>
      <c r="U443" s="114"/>
      <c r="V443" s="114"/>
      <c r="W443" s="114"/>
      <c r="X443" s="114"/>
      <c r="Y443" s="114"/>
      <c r="Z443" s="143"/>
      <c r="AA443" s="114"/>
      <c r="AB443" s="114"/>
      <c r="AC443" s="114"/>
      <c r="AD443" s="143"/>
      <c r="AE443" s="114"/>
      <c r="AF443" s="114"/>
      <c r="AG443" s="143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43"/>
      <c r="AU443" s="114"/>
      <c r="AV443" s="114"/>
      <c r="AW443" s="114"/>
      <c r="AX443" s="114"/>
      <c r="AY443" s="114"/>
      <c r="AZ443" s="114"/>
      <c r="BA443" s="114"/>
      <c r="BB443" s="114"/>
      <c r="BC443" s="114"/>
    </row>
    <row r="444" spans="1:55" ht="15.75" customHeight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43"/>
      <c r="M444" s="143"/>
      <c r="N444" s="143"/>
      <c r="O444" s="143"/>
      <c r="P444" s="114"/>
      <c r="Q444" s="114"/>
      <c r="R444" s="114"/>
      <c r="S444" s="143"/>
      <c r="T444" s="114"/>
      <c r="U444" s="114"/>
      <c r="V444" s="114"/>
      <c r="W444" s="114"/>
      <c r="X444" s="114"/>
      <c r="Y444" s="114"/>
      <c r="Z444" s="143"/>
      <c r="AA444" s="114"/>
      <c r="AB444" s="114"/>
      <c r="AC444" s="114"/>
      <c r="AD444" s="143"/>
      <c r="AE444" s="114"/>
      <c r="AF444" s="114"/>
      <c r="AG444" s="143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43"/>
      <c r="AU444" s="114"/>
      <c r="AV444" s="114"/>
      <c r="AW444" s="114"/>
      <c r="AX444" s="114"/>
      <c r="AY444" s="114"/>
      <c r="AZ444" s="114"/>
      <c r="BA444" s="114"/>
      <c r="BB444" s="114"/>
      <c r="BC444" s="114"/>
    </row>
    <row r="445" spans="1:55" ht="15.75" customHeight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43"/>
      <c r="M445" s="143"/>
      <c r="N445" s="143"/>
      <c r="O445" s="143"/>
      <c r="P445" s="114"/>
      <c r="Q445" s="114"/>
      <c r="R445" s="114"/>
      <c r="S445" s="143"/>
      <c r="T445" s="114"/>
      <c r="U445" s="114"/>
      <c r="V445" s="114"/>
      <c r="W445" s="114"/>
      <c r="X445" s="114"/>
      <c r="Y445" s="114"/>
      <c r="Z445" s="143"/>
      <c r="AA445" s="114"/>
      <c r="AB445" s="114"/>
      <c r="AC445" s="114"/>
      <c r="AD445" s="143"/>
      <c r="AE445" s="114"/>
      <c r="AF445" s="114"/>
      <c r="AG445" s="143"/>
      <c r="AH445" s="114"/>
      <c r="AI445" s="114"/>
      <c r="AJ445" s="114"/>
      <c r="AK445" s="114"/>
      <c r="AL445" s="114"/>
      <c r="AM445" s="114"/>
      <c r="AN445" s="114"/>
      <c r="AO445" s="114"/>
      <c r="AP445" s="114"/>
      <c r="AQ445" s="114"/>
      <c r="AR445" s="114"/>
      <c r="AS445" s="114"/>
      <c r="AT445" s="143"/>
      <c r="AU445" s="114"/>
      <c r="AV445" s="114"/>
      <c r="AW445" s="114"/>
      <c r="AX445" s="114"/>
      <c r="AY445" s="114"/>
      <c r="AZ445" s="114"/>
      <c r="BA445" s="114"/>
      <c r="BB445" s="114"/>
      <c r="BC445" s="114"/>
    </row>
    <row r="446" spans="1:55" ht="15.75" customHeight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43"/>
      <c r="M446" s="143"/>
      <c r="N446" s="143"/>
      <c r="O446" s="143"/>
      <c r="P446" s="114"/>
      <c r="Q446" s="114"/>
      <c r="R446" s="114"/>
      <c r="S446" s="143"/>
      <c r="T446" s="114"/>
      <c r="U446" s="114"/>
      <c r="V446" s="114"/>
      <c r="W446" s="114"/>
      <c r="X446" s="114"/>
      <c r="Y446" s="114"/>
      <c r="Z446" s="143"/>
      <c r="AA446" s="114"/>
      <c r="AB446" s="114"/>
      <c r="AC446" s="114"/>
      <c r="AD446" s="143"/>
      <c r="AE446" s="114"/>
      <c r="AF446" s="114"/>
      <c r="AG446" s="143"/>
      <c r="AH446" s="114"/>
      <c r="AI446" s="114"/>
      <c r="AJ446" s="114"/>
      <c r="AK446" s="114"/>
      <c r="AL446" s="114"/>
      <c r="AM446" s="114"/>
      <c r="AN446" s="114"/>
      <c r="AO446" s="114"/>
      <c r="AP446" s="114"/>
      <c r="AQ446" s="114"/>
      <c r="AR446" s="114"/>
      <c r="AS446" s="114"/>
      <c r="AT446" s="143"/>
      <c r="AU446" s="114"/>
      <c r="AV446" s="114"/>
      <c r="AW446" s="114"/>
      <c r="AX446" s="114"/>
      <c r="AY446" s="114"/>
      <c r="AZ446" s="114"/>
      <c r="BA446" s="114"/>
      <c r="BB446" s="114"/>
      <c r="BC446" s="114"/>
    </row>
    <row r="447" spans="1:55" ht="15.75" customHeight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43"/>
      <c r="M447" s="143"/>
      <c r="N447" s="143"/>
      <c r="O447" s="143"/>
      <c r="P447" s="114"/>
      <c r="Q447" s="114"/>
      <c r="R447" s="114"/>
      <c r="S447" s="143"/>
      <c r="T447" s="114"/>
      <c r="U447" s="114"/>
      <c r="V447" s="114"/>
      <c r="W447" s="114"/>
      <c r="X447" s="114"/>
      <c r="Y447" s="114"/>
      <c r="Z447" s="143"/>
      <c r="AA447" s="114"/>
      <c r="AB447" s="114"/>
      <c r="AC447" s="114"/>
      <c r="AD447" s="143"/>
      <c r="AE447" s="114"/>
      <c r="AF447" s="114"/>
      <c r="AG447" s="143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43"/>
      <c r="AU447" s="114"/>
      <c r="AV447" s="114"/>
      <c r="AW447" s="114"/>
      <c r="AX447" s="114"/>
      <c r="AY447" s="114"/>
      <c r="AZ447" s="114"/>
      <c r="BA447" s="114"/>
      <c r="BB447" s="114"/>
      <c r="BC447" s="114"/>
    </row>
    <row r="448" spans="1:55" ht="15.75" customHeight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43"/>
      <c r="M448" s="143"/>
      <c r="N448" s="143"/>
      <c r="O448" s="143"/>
      <c r="P448" s="114"/>
      <c r="Q448" s="114"/>
      <c r="R448" s="114"/>
      <c r="S448" s="143"/>
      <c r="T448" s="114"/>
      <c r="U448" s="114"/>
      <c r="V448" s="114"/>
      <c r="W448" s="114"/>
      <c r="X448" s="114"/>
      <c r="Y448" s="114"/>
      <c r="Z448" s="143"/>
      <c r="AA448" s="114"/>
      <c r="AB448" s="114"/>
      <c r="AC448" s="114"/>
      <c r="AD448" s="143"/>
      <c r="AE448" s="114"/>
      <c r="AF448" s="114"/>
      <c r="AG448" s="143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43"/>
      <c r="AU448" s="114"/>
      <c r="AV448" s="114"/>
      <c r="AW448" s="114"/>
      <c r="AX448" s="114"/>
      <c r="AY448" s="114"/>
      <c r="AZ448" s="114"/>
      <c r="BA448" s="114"/>
      <c r="BB448" s="114"/>
      <c r="BC448" s="114"/>
    </row>
    <row r="449" spans="1:55" ht="15.75" customHeight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43"/>
      <c r="M449" s="143"/>
      <c r="N449" s="143"/>
      <c r="O449" s="143"/>
      <c r="P449" s="114"/>
      <c r="Q449" s="114"/>
      <c r="R449" s="114"/>
      <c r="S449" s="143"/>
      <c r="T449" s="114"/>
      <c r="U449" s="114"/>
      <c r="V449" s="114"/>
      <c r="W449" s="114"/>
      <c r="X449" s="114"/>
      <c r="Y449" s="114"/>
      <c r="Z449" s="143"/>
      <c r="AA449" s="114"/>
      <c r="AB449" s="114"/>
      <c r="AC449" s="114"/>
      <c r="AD449" s="143"/>
      <c r="AE449" s="114"/>
      <c r="AF449" s="114"/>
      <c r="AG449" s="143"/>
      <c r="AH449" s="114"/>
      <c r="AI449" s="114"/>
      <c r="AJ449" s="114"/>
      <c r="AK449" s="114"/>
      <c r="AL449" s="114"/>
      <c r="AM449" s="114"/>
      <c r="AN449" s="114"/>
      <c r="AO449" s="114"/>
      <c r="AP449" s="114"/>
      <c r="AQ449" s="114"/>
      <c r="AR449" s="114"/>
      <c r="AS449" s="114"/>
      <c r="AT449" s="143"/>
      <c r="AU449" s="114"/>
      <c r="AV449" s="114"/>
      <c r="AW449" s="114"/>
      <c r="AX449" s="114"/>
      <c r="AY449" s="114"/>
      <c r="AZ449" s="114"/>
      <c r="BA449" s="114"/>
      <c r="BB449" s="114"/>
      <c r="BC449" s="114"/>
    </row>
    <row r="450" spans="1:55" ht="15.75" customHeight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43"/>
      <c r="M450" s="143"/>
      <c r="N450" s="143"/>
      <c r="O450" s="143"/>
      <c r="P450" s="114"/>
      <c r="Q450" s="114"/>
      <c r="R450" s="114"/>
      <c r="S450" s="143"/>
      <c r="T450" s="114"/>
      <c r="U450" s="114"/>
      <c r="V450" s="114"/>
      <c r="W450" s="114"/>
      <c r="X450" s="114"/>
      <c r="Y450" s="114"/>
      <c r="Z450" s="143"/>
      <c r="AA450" s="114"/>
      <c r="AB450" s="114"/>
      <c r="AC450" s="114"/>
      <c r="AD450" s="143"/>
      <c r="AE450" s="114"/>
      <c r="AF450" s="114"/>
      <c r="AG450" s="143"/>
      <c r="AH450" s="114"/>
      <c r="AI450" s="114"/>
      <c r="AJ450" s="114"/>
      <c r="AK450" s="114"/>
      <c r="AL450" s="114"/>
      <c r="AM450" s="114"/>
      <c r="AN450" s="114"/>
      <c r="AO450" s="114"/>
      <c r="AP450" s="114"/>
      <c r="AQ450" s="114"/>
      <c r="AR450" s="114"/>
      <c r="AS450" s="114"/>
      <c r="AT450" s="143"/>
      <c r="AU450" s="114"/>
      <c r="AV450" s="114"/>
      <c r="AW450" s="114"/>
      <c r="AX450" s="114"/>
      <c r="AY450" s="114"/>
      <c r="AZ450" s="114"/>
      <c r="BA450" s="114"/>
      <c r="BB450" s="114"/>
      <c r="BC450" s="114"/>
    </row>
    <row r="451" spans="1:55" ht="15.75" customHeight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43"/>
      <c r="M451" s="143"/>
      <c r="N451" s="143"/>
      <c r="O451" s="143"/>
      <c r="P451" s="114"/>
      <c r="Q451" s="114"/>
      <c r="R451" s="114"/>
      <c r="S451" s="143"/>
      <c r="T451" s="114"/>
      <c r="U451" s="114"/>
      <c r="V451" s="114"/>
      <c r="W451" s="114"/>
      <c r="X451" s="114"/>
      <c r="Y451" s="114"/>
      <c r="Z451" s="143"/>
      <c r="AA451" s="114"/>
      <c r="AB451" s="114"/>
      <c r="AC451" s="114"/>
      <c r="AD451" s="143"/>
      <c r="AE451" s="114"/>
      <c r="AF451" s="114"/>
      <c r="AG451" s="143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43"/>
      <c r="AU451" s="114"/>
      <c r="AV451" s="114"/>
      <c r="AW451" s="114"/>
      <c r="AX451" s="114"/>
      <c r="AY451" s="114"/>
      <c r="AZ451" s="114"/>
      <c r="BA451" s="114"/>
      <c r="BB451" s="114"/>
      <c r="BC451" s="114"/>
    </row>
    <row r="452" spans="1:55" ht="15.75" customHeight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43"/>
      <c r="M452" s="143"/>
      <c r="N452" s="143"/>
      <c r="O452" s="143"/>
      <c r="P452" s="114"/>
      <c r="Q452" s="114"/>
      <c r="R452" s="114"/>
      <c r="S452" s="143"/>
      <c r="T452" s="114"/>
      <c r="U452" s="114"/>
      <c r="V452" s="114"/>
      <c r="W452" s="114"/>
      <c r="X452" s="114"/>
      <c r="Y452" s="114"/>
      <c r="Z452" s="143"/>
      <c r="AA452" s="114"/>
      <c r="AB452" s="114"/>
      <c r="AC452" s="114"/>
      <c r="AD452" s="143"/>
      <c r="AE452" s="114"/>
      <c r="AF452" s="114"/>
      <c r="AG452" s="143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43"/>
      <c r="AU452" s="114"/>
      <c r="AV452" s="114"/>
      <c r="AW452" s="114"/>
      <c r="AX452" s="114"/>
      <c r="AY452" s="114"/>
      <c r="AZ452" s="114"/>
      <c r="BA452" s="114"/>
      <c r="BB452" s="114"/>
      <c r="BC452" s="114"/>
    </row>
    <row r="453" spans="1:55" ht="15.75" customHeight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43"/>
      <c r="M453" s="143"/>
      <c r="N453" s="143"/>
      <c r="O453" s="143"/>
      <c r="P453" s="114"/>
      <c r="Q453" s="114"/>
      <c r="R453" s="114"/>
      <c r="S453" s="143"/>
      <c r="T453" s="114"/>
      <c r="U453" s="114"/>
      <c r="V453" s="114"/>
      <c r="W453" s="114"/>
      <c r="X453" s="114"/>
      <c r="Y453" s="114"/>
      <c r="Z453" s="143"/>
      <c r="AA453" s="114"/>
      <c r="AB453" s="114"/>
      <c r="AC453" s="114"/>
      <c r="AD453" s="143"/>
      <c r="AE453" s="114"/>
      <c r="AF453" s="114"/>
      <c r="AG453" s="143"/>
      <c r="AH453" s="114"/>
      <c r="AI453" s="114"/>
      <c r="AJ453" s="114"/>
      <c r="AK453" s="114"/>
      <c r="AL453" s="114"/>
      <c r="AM453" s="114"/>
      <c r="AN453" s="114"/>
      <c r="AO453" s="114"/>
      <c r="AP453" s="114"/>
      <c r="AQ453" s="114"/>
      <c r="AR453" s="114"/>
      <c r="AS453" s="114"/>
      <c r="AT453" s="143"/>
      <c r="AU453" s="114"/>
      <c r="AV453" s="114"/>
      <c r="AW453" s="114"/>
      <c r="AX453" s="114"/>
      <c r="AY453" s="114"/>
      <c r="AZ453" s="114"/>
      <c r="BA453" s="114"/>
      <c r="BB453" s="114"/>
      <c r="BC453" s="114"/>
    </row>
    <row r="454" spans="1:55" ht="15.75" customHeight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43"/>
      <c r="M454" s="143"/>
      <c r="N454" s="143"/>
      <c r="O454" s="143"/>
      <c r="P454" s="114"/>
      <c r="Q454" s="114"/>
      <c r="R454" s="114"/>
      <c r="S454" s="143"/>
      <c r="T454" s="114"/>
      <c r="U454" s="114"/>
      <c r="V454" s="114"/>
      <c r="W454" s="114"/>
      <c r="X454" s="114"/>
      <c r="Y454" s="114"/>
      <c r="Z454" s="143"/>
      <c r="AA454" s="114"/>
      <c r="AB454" s="114"/>
      <c r="AC454" s="114"/>
      <c r="AD454" s="143"/>
      <c r="AE454" s="114"/>
      <c r="AF454" s="114"/>
      <c r="AG454" s="143"/>
      <c r="AH454" s="114"/>
      <c r="AI454" s="114"/>
      <c r="AJ454" s="114"/>
      <c r="AK454" s="114"/>
      <c r="AL454" s="114"/>
      <c r="AM454" s="114"/>
      <c r="AN454" s="114"/>
      <c r="AO454" s="114"/>
      <c r="AP454" s="114"/>
      <c r="AQ454" s="114"/>
      <c r="AR454" s="114"/>
      <c r="AS454" s="114"/>
      <c r="AT454" s="143"/>
      <c r="AU454" s="114"/>
      <c r="AV454" s="114"/>
      <c r="AW454" s="114"/>
      <c r="AX454" s="114"/>
      <c r="AY454" s="114"/>
      <c r="AZ454" s="114"/>
      <c r="BA454" s="114"/>
      <c r="BB454" s="114"/>
      <c r="BC454" s="114"/>
    </row>
    <row r="455" spans="1:55" ht="15.75" customHeight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43"/>
      <c r="M455" s="143"/>
      <c r="N455" s="143"/>
      <c r="O455" s="143"/>
      <c r="P455" s="114"/>
      <c r="Q455" s="114"/>
      <c r="R455" s="114"/>
      <c r="S455" s="143"/>
      <c r="T455" s="114"/>
      <c r="U455" s="114"/>
      <c r="V455" s="114"/>
      <c r="W455" s="114"/>
      <c r="X455" s="114"/>
      <c r="Y455" s="114"/>
      <c r="Z455" s="143"/>
      <c r="AA455" s="114"/>
      <c r="AB455" s="114"/>
      <c r="AC455" s="114"/>
      <c r="AD455" s="143"/>
      <c r="AE455" s="114"/>
      <c r="AF455" s="114"/>
      <c r="AG455" s="143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43"/>
      <c r="AU455" s="114"/>
      <c r="AV455" s="114"/>
      <c r="AW455" s="114"/>
      <c r="AX455" s="114"/>
      <c r="AY455" s="114"/>
      <c r="AZ455" s="114"/>
      <c r="BA455" s="114"/>
      <c r="BB455" s="114"/>
      <c r="BC455" s="114"/>
    </row>
    <row r="456" spans="1:55" ht="15.75" customHeight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43"/>
      <c r="M456" s="143"/>
      <c r="N456" s="143"/>
      <c r="O456" s="143"/>
      <c r="P456" s="114"/>
      <c r="Q456" s="114"/>
      <c r="R456" s="114"/>
      <c r="S456" s="143"/>
      <c r="T456" s="114"/>
      <c r="U456" s="114"/>
      <c r="V456" s="114"/>
      <c r="W456" s="114"/>
      <c r="X456" s="114"/>
      <c r="Y456" s="114"/>
      <c r="Z456" s="143"/>
      <c r="AA456" s="114"/>
      <c r="AB456" s="114"/>
      <c r="AC456" s="114"/>
      <c r="AD456" s="143"/>
      <c r="AE456" s="114"/>
      <c r="AF456" s="114"/>
      <c r="AG456" s="143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43"/>
      <c r="AU456" s="114"/>
      <c r="AV456" s="114"/>
      <c r="AW456" s="114"/>
      <c r="AX456" s="114"/>
      <c r="AY456" s="114"/>
      <c r="AZ456" s="114"/>
      <c r="BA456" s="114"/>
      <c r="BB456" s="114"/>
      <c r="BC456" s="114"/>
    </row>
    <row r="457" spans="1:55" ht="15.75" customHeight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43"/>
      <c r="M457" s="143"/>
      <c r="N457" s="143"/>
      <c r="O457" s="143"/>
      <c r="P457" s="114"/>
      <c r="Q457" s="114"/>
      <c r="R457" s="114"/>
      <c r="S457" s="143"/>
      <c r="T457" s="114"/>
      <c r="U457" s="114"/>
      <c r="V457" s="114"/>
      <c r="W457" s="114"/>
      <c r="X457" s="114"/>
      <c r="Y457" s="114"/>
      <c r="Z457" s="143"/>
      <c r="AA457" s="114"/>
      <c r="AB457" s="114"/>
      <c r="AC457" s="114"/>
      <c r="AD457" s="143"/>
      <c r="AE457" s="114"/>
      <c r="AF457" s="114"/>
      <c r="AG457" s="143"/>
      <c r="AH457" s="114"/>
      <c r="AI457" s="114"/>
      <c r="AJ457" s="114"/>
      <c r="AK457" s="114"/>
      <c r="AL457" s="114"/>
      <c r="AM457" s="114"/>
      <c r="AN457" s="114"/>
      <c r="AO457" s="114"/>
      <c r="AP457" s="114"/>
      <c r="AQ457" s="114"/>
      <c r="AR457" s="114"/>
      <c r="AS457" s="114"/>
      <c r="AT457" s="143"/>
      <c r="AU457" s="114"/>
      <c r="AV457" s="114"/>
      <c r="AW457" s="114"/>
      <c r="AX457" s="114"/>
      <c r="AY457" s="114"/>
      <c r="AZ457" s="114"/>
      <c r="BA457" s="114"/>
      <c r="BB457" s="114"/>
      <c r="BC457" s="114"/>
    </row>
    <row r="458" spans="1:55" ht="15.75" customHeight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43"/>
      <c r="M458" s="143"/>
      <c r="N458" s="143"/>
      <c r="O458" s="143"/>
      <c r="P458" s="114"/>
      <c r="Q458" s="114"/>
      <c r="R458" s="114"/>
      <c r="S458" s="143"/>
      <c r="T458" s="114"/>
      <c r="U458" s="114"/>
      <c r="V458" s="114"/>
      <c r="W458" s="114"/>
      <c r="X458" s="114"/>
      <c r="Y458" s="114"/>
      <c r="Z458" s="143"/>
      <c r="AA458" s="114"/>
      <c r="AB458" s="114"/>
      <c r="AC458" s="114"/>
      <c r="AD458" s="143"/>
      <c r="AE458" s="114"/>
      <c r="AF458" s="114"/>
      <c r="AG458" s="143"/>
      <c r="AH458" s="114"/>
      <c r="AI458" s="114"/>
      <c r="AJ458" s="114"/>
      <c r="AK458" s="114"/>
      <c r="AL458" s="114"/>
      <c r="AM458" s="114"/>
      <c r="AN458" s="114"/>
      <c r="AO458" s="114"/>
      <c r="AP458" s="114"/>
      <c r="AQ458" s="114"/>
      <c r="AR458" s="114"/>
      <c r="AS458" s="114"/>
      <c r="AT458" s="143"/>
      <c r="AU458" s="114"/>
      <c r="AV458" s="114"/>
      <c r="AW458" s="114"/>
      <c r="AX458" s="114"/>
      <c r="AY458" s="114"/>
      <c r="AZ458" s="114"/>
      <c r="BA458" s="114"/>
      <c r="BB458" s="114"/>
      <c r="BC458" s="114"/>
    </row>
    <row r="459" spans="1:55" ht="15.75" customHeight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43"/>
      <c r="M459" s="143"/>
      <c r="N459" s="143"/>
      <c r="O459" s="143"/>
      <c r="P459" s="114"/>
      <c r="Q459" s="114"/>
      <c r="R459" s="114"/>
      <c r="S459" s="143"/>
      <c r="T459" s="114"/>
      <c r="U459" s="114"/>
      <c r="V459" s="114"/>
      <c r="W459" s="114"/>
      <c r="X459" s="114"/>
      <c r="Y459" s="114"/>
      <c r="Z459" s="143"/>
      <c r="AA459" s="114"/>
      <c r="AB459" s="114"/>
      <c r="AC459" s="114"/>
      <c r="AD459" s="143"/>
      <c r="AE459" s="114"/>
      <c r="AF459" s="114"/>
      <c r="AG459" s="143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43"/>
      <c r="AU459" s="114"/>
      <c r="AV459" s="114"/>
      <c r="AW459" s="114"/>
      <c r="AX459" s="114"/>
      <c r="AY459" s="114"/>
      <c r="AZ459" s="114"/>
      <c r="BA459" s="114"/>
      <c r="BB459" s="114"/>
      <c r="BC459" s="114"/>
    </row>
    <row r="460" spans="1:55" ht="15.75" customHeight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43"/>
      <c r="M460" s="143"/>
      <c r="N460" s="143"/>
      <c r="O460" s="143"/>
      <c r="P460" s="114"/>
      <c r="Q460" s="114"/>
      <c r="R460" s="114"/>
      <c r="S460" s="143"/>
      <c r="T460" s="114"/>
      <c r="U460" s="114"/>
      <c r="V460" s="114"/>
      <c r="W460" s="114"/>
      <c r="X460" s="114"/>
      <c r="Y460" s="114"/>
      <c r="Z460" s="143"/>
      <c r="AA460" s="114"/>
      <c r="AB460" s="114"/>
      <c r="AC460" s="114"/>
      <c r="AD460" s="143"/>
      <c r="AE460" s="114"/>
      <c r="AF460" s="114"/>
      <c r="AG460" s="143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43"/>
      <c r="AU460" s="114"/>
      <c r="AV460" s="114"/>
      <c r="AW460" s="114"/>
      <c r="AX460" s="114"/>
      <c r="AY460" s="114"/>
      <c r="AZ460" s="114"/>
      <c r="BA460" s="114"/>
      <c r="BB460" s="114"/>
      <c r="BC460" s="114"/>
    </row>
    <row r="461" spans="1:55" ht="15.75" customHeight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43"/>
      <c r="M461" s="143"/>
      <c r="N461" s="143"/>
      <c r="O461" s="143"/>
      <c r="P461" s="114"/>
      <c r="Q461" s="114"/>
      <c r="R461" s="114"/>
      <c r="S461" s="143"/>
      <c r="T461" s="114"/>
      <c r="U461" s="114"/>
      <c r="V461" s="114"/>
      <c r="W461" s="114"/>
      <c r="X461" s="114"/>
      <c r="Y461" s="114"/>
      <c r="Z461" s="143"/>
      <c r="AA461" s="114"/>
      <c r="AB461" s="114"/>
      <c r="AC461" s="114"/>
      <c r="AD461" s="143"/>
      <c r="AE461" s="114"/>
      <c r="AF461" s="114"/>
      <c r="AG461" s="143"/>
      <c r="AH461" s="114"/>
      <c r="AI461" s="114"/>
      <c r="AJ461" s="114"/>
      <c r="AK461" s="114"/>
      <c r="AL461" s="114"/>
      <c r="AM461" s="114"/>
      <c r="AN461" s="114"/>
      <c r="AO461" s="114"/>
      <c r="AP461" s="114"/>
      <c r="AQ461" s="114"/>
      <c r="AR461" s="114"/>
      <c r="AS461" s="114"/>
      <c r="AT461" s="143"/>
      <c r="AU461" s="114"/>
      <c r="AV461" s="114"/>
      <c r="AW461" s="114"/>
      <c r="AX461" s="114"/>
      <c r="AY461" s="114"/>
      <c r="AZ461" s="114"/>
      <c r="BA461" s="114"/>
      <c r="BB461" s="114"/>
      <c r="BC461" s="114"/>
    </row>
    <row r="462" spans="1:55" ht="15.75" customHeight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43"/>
      <c r="M462" s="143"/>
      <c r="N462" s="143"/>
      <c r="O462" s="143"/>
      <c r="P462" s="114"/>
      <c r="Q462" s="114"/>
      <c r="R462" s="114"/>
      <c r="S462" s="143"/>
      <c r="T462" s="114"/>
      <c r="U462" s="114"/>
      <c r="V462" s="114"/>
      <c r="W462" s="114"/>
      <c r="X462" s="114"/>
      <c r="Y462" s="114"/>
      <c r="Z462" s="143"/>
      <c r="AA462" s="114"/>
      <c r="AB462" s="114"/>
      <c r="AC462" s="114"/>
      <c r="AD462" s="143"/>
      <c r="AE462" s="114"/>
      <c r="AF462" s="114"/>
      <c r="AG462" s="143"/>
      <c r="AH462" s="114"/>
      <c r="AI462" s="114"/>
      <c r="AJ462" s="114"/>
      <c r="AK462" s="114"/>
      <c r="AL462" s="114"/>
      <c r="AM462" s="114"/>
      <c r="AN462" s="114"/>
      <c r="AO462" s="114"/>
      <c r="AP462" s="114"/>
      <c r="AQ462" s="114"/>
      <c r="AR462" s="114"/>
      <c r="AS462" s="114"/>
      <c r="AT462" s="143"/>
      <c r="AU462" s="114"/>
      <c r="AV462" s="114"/>
      <c r="AW462" s="114"/>
      <c r="AX462" s="114"/>
      <c r="AY462" s="114"/>
      <c r="AZ462" s="114"/>
      <c r="BA462" s="114"/>
      <c r="BB462" s="114"/>
      <c r="BC462" s="114"/>
    </row>
    <row r="463" spans="1:55" ht="15.75" customHeight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43"/>
      <c r="M463" s="143"/>
      <c r="N463" s="143"/>
      <c r="O463" s="143"/>
      <c r="P463" s="114"/>
      <c r="Q463" s="114"/>
      <c r="R463" s="114"/>
      <c r="S463" s="143"/>
      <c r="T463" s="114"/>
      <c r="U463" s="114"/>
      <c r="V463" s="114"/>
      <c r="W463" s="114"/>
      <c r="X463" s="114"/>
      <c r="Y463" s="114"/>
      <c r="Z463" s="143"/>
      <c r="AA463" s="114"/>
      <c r="AB463" s="114"/>
      <c r="AC463" s="114"/>
      <c r="AD463" s="143"/>
      <c r="AE463" s="114"/>
      <c r="AF463" s="114"/>
      <c r="AG463" s="143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43"/>
      <c r="AU463" s="114"/>
      <c r="AV463" s="114"/>
      <c r="AW463" s="114"/>
      <c r="AX463" s="114"/>
      <c r="AY463" s="114"/>
      <c r="AZ463" s="114"/>
      <c r="BA463" s="114"/>
      <c r="BB463" s="114"/>
      <c r="BC463" s="114"/>
    </row>
    <row r="464" spans="1:55" ht="15.75" customHeight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43"/>
      <c r="M464" s="143"/>
      <c r="N464" s="143"/>
      <c r="O464" s="143"/>
      <c r="P464" s="114"/>
      <c r="Q464" s="114"/>
      <c r="R464" s="114"/>
      <c r="S464" s="143"/>
      <c r="T464" s="114"/>
      <c r="U464" s="114"/>
      <c r="V464" s="114"/>
      <c r="W464" s="114"/>
      <c r="X464" s="114"/>
      <c r="Y464" s="114"/>
      <c r="Z464" s="143"/>
      <c r="AA464" s="114"/>
      <c r="AB464" s="114"/>
      <c r="AC464" s="114"/>
      <c r="AD464" s="143"/>
      <c r="AE464" s="114"/>
      <c r="AF464" s="114"/>
      <c r="AG464" s="143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43"/>
      <c r="AU464" s="114"/>
      <c r="AV464" s="114"/>
      <c r="AW464" s="114"/>
      <c r="AX464" s="114"/>
      <c r="AY464" s="114"/>
      <c r="AZ464" s="114"/>
      <c r="BA464" s="114"/>
      <c r="BB464" s="114"/>
      <c r="BC464" s="114"/>
    </row>
    <row r="465" spans="1:55" ht="15.75" customHeight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43"/>
      <c r="M465" s="143"/>
      <c r="N465" s="143"/>
      <c r="O465" s="143"/>
      <c r="P465" s="114"/>
      <c r="Q465" s="114"/>
      <c r="R465" s="114"/>
      <c r="S465" s="143"/>
      <c r="T465" s="114"/>
      <c r="U465" s="114"/>
      <c r="V465" s="114"/>
      <c r="W465" s="114"/>
      <c r="X465" s="114"/>
      <c r="Y465" s="114"/>
      <c r="Z465" s="143"/>
      <c r="AA465" s="114"/>
      <c r="AB465" s="114"/>
      <c r="AC465" s="114"/>
      <c r="AD465" s="143"/>
      <c r="AE465" s="114"/>
      <c r="AF465" s="114"/>
      <c r="AG465" s="143"/>
      <c r="AH465" s="114"/>
      <c r="AI465" s="114"/>
      <c r="AJ465" s="114"/>
      <c r="AK465" s="114"/>
      <c r="AL465" s="114"/>
      <c r="AM465" s="114"/>
      <c r="AN465" s="114"/>
      <c r="AO465" s="114"/>
      <c r="AP465" s="114"/>
      <c r="AQ465" s="114"/>
      <c r="AR465" s="114"/>
      <c r="AS465" s="114"/>
      <c r="AT465" s="143"/>
      <c r="AU465" s="114"/>
      <c r="AV465" s="114"/>
      <c r="AW465" s="114"/>
      <c r="AX465" s="114"/>
      <c r="AY465" s="114"/>
      <c r="AZ465" s="114"/>
      <c r="BA465" s="114"/>
      <c r="BB465" s="114"/>
      <c r="BC465" s="114"/>
    </row>
    <row r="466" spans="1:55" ht="15.75" customHeight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43"/>
      <c r="M466" s="143"/>
      <c r="N466" s="143"/>
      <c r="O466" s="143"/>
      <c r="P466" s="114"/>
      <c r="Q466" s="114"/>
      <c r="R466" s="114"/>
      <c r="S466" s="143"/>
      <c r="T466" s="114"/>
      <c r="U466" s="114"/>
      <c r="V466" s="114"/>
      <c r="W466" s="114"/>
      <c r="X466" s="114"/>
      <c r="Y466" s="114"/>
      <c r="Z466" s="143"/>
      <c r="AA466" s="114"/>
      <c r="AB466" s="114"/>
      <c r="AC466" s="114"/>
      <c r="AD466" s="143"/>
      <c r="AE466" s="114"/>
      <c r="AF466" s="114"/>
      <c r="AG466" s="143"/>
      <c r="AH466" s="114"/>
      <c r="AI466" s="114"/>
      <c r="AJ466" s="114"/>
      <c r="AK466" s="114"/>
      <c r="AL466" s="114"/>
      <c r="AM466" s="114"/>
      <c r="AN466" s="114"/>
      <c r="AO466" s="114"/>
      <c r="AP466" s="114"/>
      <c r="AQ466" s="114"/>
      <c r="AR466" s="114"/>
      <c r="AS466" s="114"/>
      <c r="AT466" s="143"/>
      <c r="AU466" s="114"/>
      <c r="AV466" s="114"/>
      <c r="AW466" s="114"/>
      <c r="AX466" s="114"/>
      <c r="AY466" s="114"/>
      <c r="AZ466" s="114"/>
      <c r="BA466" s="114"/>
      <c r="BB466" s="114"/>
      <c r="BC466" s="114"/>
    </row>
    <row r="467" spans="1:55" ht="15.75" customHeight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43"/>
      <c r="M467" s="143"/>
      <c r="N467" s="143"/>
      <c r="O467" s="143"/>
      <c r="P467" s="114"/>
      <c r="Q467" s="114"/>
      <c r="R467" s="114"/>
      <c r="S467" s="143"/>
      <c r="T467" s="114"/>
      <c r="U467" s="114"/>
      <c r="V467" s="114"/>
      <c r="W467" s="114"/>
      <c r="X467" s="114"/>
      <c r="Y467" s="114"/>
      <c r="Z467" s="143"/>
      <c r="AA467" s="114"/>
      <c r="AB467" s="114"/>
      <c r="AC467" s="114"/>
      <c r="AD467" s="143"/>
      <c r="AE467" s="114"/>
      <c r="AF467" s="114"/>
      <c r="AG467" s="143"/>
      <c r="AH467" s="114"/>
      <c r="AI467" s="114"/>
      <c r="AJ467" s="114"/>
      <c r="AK467" s="114"/>
      <c r="AL467" s="114"/>
      <c r="AM467" s="114"/>
      <c r="AN467" s="114"/>
      <c r="AO467" s="114"/>
      <c r="AP467" s="114"/>
      <c r="AQ467" s="114"/>
      <c r="AR467" s="114"/>
      <c r="AS467" s="114"/>
      <c r="AT467" s="143"/>
      <c r="AU467" s="114"/>
      <c r="AV467" s="114"/>
      <c r="AW467" s="114"/>
      <c r="AX467" s="114"/>
      <c r="AY467" s="114"/>
      <c r="AZ467" s="114"/>
      <c r="BA467" s="114"/>
      <c r="BB467" s="114"/>
      <c r="BC467" s="114"/>
    </row>
    <row r="468" spans="1:55" ht="15.75" customHeight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43"/>
      <c r="M468" s="143"/>
      <c r="N468" s="143"/>
      <c r="O468" s="143"/>
      <c r="P468" s="114"/>
      <c r="Q468" s="114"/>
      <c r="R468" s="114"/>
      <c r="S468" s="143"/>
      <c r="T468" s="114"/>
      <c r="U468" s="114"/>
      <c r="V468" s="114"/>
      <c r="W468" s="114"/>
      <c r="X468" s="114"/>
      <c r="Y468" s="114"/>
      <c r="Z468" s="143"/>
      <c r="AA468" s="114"/>
      <c r="AB468" s="114"/>
      <c r="AC468" s="114"/>
      <c r="AD468" s="143"/>
      <c r="AE468" s="114"/>
      <c r="AF468" s="114"/>
      <c r="AG468" s="143"/>
      <c r="AH468" s="114"/>
      <c r="AI468" s="114"/>
      <c r="AJ468" s="114"/>
      <c r="AK468" s="114"/>
      <c r="AL468" s="114"/>
      <c r="AM468" s="114"/>
      <c r="AN468" s="114"/>
      <c r="AO468" s="114"/>
      <c r="AP468" s="114"/>
      <c r="AQ468" s="114"/>
      <c r="AR468" s="114"/>
      <c r="AS468" s="114"/>
      <c r="AT468" s="143"/>
      <c r="AU468" s="114"/>
      <c r="AV468" s="114"/>
      <c r="AW468" s="114"/>
      <c r="AX468" s="114"/>
      <c r="AY468" s="114"/>
      <c r="AZ468" s="114"/>
      <c r="BA468" s="114"/>
      <c r="BB468" s="114"/>
      <c r="BC468" s="114"/>
    </row>
    <row r="469" spans="1:55" ht="15.75" customHeight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43"/>
      <c r="M469" s="143"/>
      <c r="N469" s="143"/>
      <c r="O469" s="143"/>
      <c r="P469" s="114"/>
      <c r="Q469" s="114"/>
      <c r="R469" s="114"/>
      <c r="S469" s="143"/>
      <c r="T469" s="114"/>
      <c r="U469" s="114"/>
      <c r="V469" s="114"/>
      <c r="W469" s="114"/>
      <c r="X469" s="114"/>
      <c r="Y469" s="114"/>
      <c r="Z469" s="143"/>
      <c r="AA469" s="114"/>
      <c r="AB469" s="114"/>
      <c r="AC469" s="114"/>
      <c r="AD469" s="143"/>
      <c r="AE469" s="114"/>
      <c r="AF469" s="114"/>
      <c r="AG469" s="143"/>
      <c r="AH469" s="114"/>
      <c r="AI469" s="114"/>
      <c r="AJ469" s="114"/>
      <c r="AK469" s="114"/>
      <c r="AL469" s="114"/>
      <c r="AM469" s="114"/>
      <c r="AN469" s="114"/>
      <c r="AO469" s="114"/>
      <c r="AP469" s="114"/>
      <c r="AQ469" s="114"/>
      <c r="AR469" s="114"/>
      <c r="AS469" s="114"/>
      <c r="AT469" s="143"/>
      <c r="AU469" s="114"/>
      <c r="AV469" s="114"/>
      <c r="AW469" s="114"/>
      <c r="AX469" s="114"/>
      <c r="AY469" s="114"/>
      <c r="AZ469" s="114"/>
      <c r="BA469" s="114"/>
      <c r="BB469" s="114"/>
      <c r="BC469" s="114"/>
    </row>
    <row r="470" spans="1:55" ht="15.75" customHeight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43"/>
      <c r="M470" s="143"/>
      <c r="N470" s="143"/>
      <c r="O470" s="143"/>
      <c r="P470" s="114"/>
      <c r="Q470" s="114"/>
      <c r="R470" s="114"/>
      <c r="S470" s="143"/>
      <c r="T470" s="114"/>
      <c r="U470" s="114"/>
      <c r="V470" s="114"/>
      <c r="W470" s="114"/>
      <c r="X470" s="114"/>
      <c r="Y470" s="114"/>
      <c r="Z470" s="143"/>
      <c r="AA470" s="114"/>
      <c r="AB470" s="114"/>
      <c r="AC470" s="114"/>
      <c r="AD470" s="143"/>
      <c r="AE470" s="114"/>
      <c r="AF470" s="114"/>
      <c r="AG470" s="143"/>
      <c r="AH470" s="114"/>
      <c r="AI470" s="114"/>
      <c r="AJ470" s="114"/>
      <c r="AK470" s="114"/>
      <c r="AL470" s="114"/>
      <c r="AM470" s="114"/>
      <c r="AN470" s="114"/>
      <c r="AO470" s="114"/>
      <c r="AP470" s="114"/>
      <c r="AQ470" s="114"/>
      <c r="AR470" s="114"/>
      <c r="AS470" s="114"/>
      <c r="AT470" s="143"/>
      <c r="AU470" s="114"/>
      <c r="AV470" s="114"/>
      <c r="AW470" s="114"/>
      <c r="AX470" s="114"/>
      <c r="AY470" s="114"/>
      <c r="AZ470" s="114"/>
      <c r="BA470" s="114"/>
      <c r="BB470" s="114"/>
      <c r="BC470" s="114"/>
    </row>
    <row r="471" spans="1:55" ht="15.75" customHeight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43"/>
      <c r="M471" s="143"/>
      <c r="N471" s="143"/>
      <c r="O471" s="143"/>
      <c r="P471" s="114"/>
      <c r="Q471" s="114"/>
      <c r="R471" s="114"/>
      <c r="S471" s="143"/>
      <c r="T471" s="114"/>
      <c r="U471" s="114"/>
      <c r="V471" s="114"/>
      <c r="W471" s="114"/>
      <c r="X471" s="114"/>
      <c r="Y471" s="114"/>
      <c r="Z471" s="143"/>
      <c r="AA471" s="114"/>
      <c r="AB471" s="114"/>
      <c r="AC471" s="114"/>
      <c r="AD471" s="143"/>
      <c r="AE471" s="114"/>
      <c r="AF471" s="114"/>
      <c r="AG471" s="143"/>
      <c r="AH471" s="114"/>
      <c r="AI471" s="114"/>
      <c r="AJ471" s="114"/>
      <c r="AK471" s="114"/>
      <c r="AL471" s="114"/>
      <c r="AM471" s="114"/>
      <c r="AN471" s="114"/>
      <c r="AO471" s="114"/>
      <c r="AP471" s="114"/>
      <c r="AQ471" s="114"/>
      <c r="AR471" s="114"/>
      <c r="AS471" s="114"/>
      <c r="AT471" s="143"/>
      <c r="AU471" s="114"/>
      <c r="AV471" s="114"/>
      <c r="AW471" s="114"/>
      <c r="AX471" s="114"/>
      <c r="AY471" s="114"/>
      <c r="AZ471" s="114"/>
      <c r="BA471" s="114"/>
      <c r="BB471" s="114"/>
      <c r="BC471" s="114"/>
    </row>
    <row r="472" spans="1:55" ht="15.75" customHeight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43"/>
      <c r="M472" s="143"/>
      <c r="N472" s="143"/>
      <c r="O472" s="143"/>
      <c r="P472" s="114"/>
      <c r="Q472" s="114"/>
      <c r="R472" s="114"/>
      <c r="S472" s="143"/>
      <c r="T472" s="114"/>
      <c r="U472" s="114"/>
      <c r="V472" s="114"/>
      <c r="W472" s="114"/>
      <c r="X472" s="114"/>
      <c r="Y472" s="114"/>
      <c r="Z472" s="143"/>
      <c r="AA472" s="114"/>
      <c r="AB472" s="114"/>
      <c r="AC472" s="114"/>
      <c r="AD472" s="143"/>
      <c r="AE472" s="114"/>
      <c r="AF472" s="114"/>
      <c r="AG472" s="143"/>
      <c r="AH472" s="114"/>
      <c r="AI472" s="114"/>
      <c r="AJ472" s="114"/>
      <c r="AK472" s="114"/>
      <c r="AL472" s="114"/>
      <c r="AM472" s="114"/>
      <c r="AN472" s="114"/>
      <c r="AO472" s="114"/>
      <c r="AP472" s="114"/>
      <c r="AQ472" s="114"/>
      <c r="AR472" s="114"/>
      <c r="AS472" s="114"/>
      <c r="AT472" s="143"/>
      <c r="AU472" s="114"/>
      <c r="AV472" s="114"/>
      <c r="AW472" s="114"/>
      <c r="AX472" s="114"/>
      <c r="AY472" s="114"/>
      <c r="AZ472" s="114"/>
      <c r="BA472" s="114"/>
      <c r="BB472" s="114"/>
      <c r="BC472" s="114"/>
    </row>
    <row r="473" spans="1:55" ht="15.75" customHeight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43"/>
      <c r="M473" s="143"/>
      <c r="N473" s="143"/>
      <c r="O473" s="143"/>
      <c r="P473" s="114"/>
      <c r="Q473" s="114"/>
      <c r="R473" s="114"/>
      <c r="S473" s="143"/>
      <c r="T473" s="114"/>
      <c r="U473" s="114"/>
      <c r="V473" s="114"/>
      <c r="W473" s="114"/>
      <c r="X473" s="114"/>
      <c r="Y473" s="114"/>
      <c r="Z473" s="143"/>
      <c r="AA473" s="114"/>
      <c r="AB473" s="114"/>
      <c r="AC473" s="114"/>
      <c r="AD473" s="143"/>
      <c r="AE473" s="114"/>
      <c r="AF473" s="114"/>
      <c r="AG473" s="143"/>
      <c r="AH473" s="114"/>
      <c r="AI473" s="114"/>
      <c r="AJ473" s="114"/>
      <c r="AK473" s="114"/>
      <c r="AL473" s="114"/>
      <c r="AM473" s="114"/>
      <c r="AN473" s="114"/>
      <c r="AO473" s="114"/>
      <c r="AP473" s="114"/>
      <c r="AQ473" s="114"/>
      <c r="AR473" s="114"/>
      <c r="AS473" s="114"/>
      <c r="AT473" s="143"/>
      <c r="AU473" s="114"/>
      <c r="AV473" s="114"/>
      <c r="AW473" s="114"/>
      <c r="AX473" s="114"/>
      <c r="AY473" s="114"/>
      <c r="AZ473" s="114"/>
      <c r="BA473" s="114"/>
      <c r="BB473" s="114"/>
      <c r="BC473" s="114"/>
    </row>
    <row r="474" spans="1:55" ht="15.75" customHeight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43"/>
      <c r="M474" s="143"/>
      <c r="N474" s="143"/>
      <c r="O474" s="143"/>
      <c r="P474" s="114"/>
      <c r="Q474" s="114"/>
      <c r="R474" s="114"/>
      <c r="S474" s="143"/>
      <c r="T474" s="114"/>
      <c r="U474" s="114"/>
      <c r="V474" s="114"/>
      <c r="W474" s="114"/>
      <c r="X474" s="114"/>
      <c r="Y474" s="114"/>
      <c r="Z474" s="143"/>
      <c r="AA474" s="114"/>
      <c r="AB474" s="114"/>
      <c r="AC474" s="114"/>
      <c r="AD474" s="143"/>
      <c r="AE474" s="114"/>
      <c r="AF474" s="114"/>
      <c r="AG474" s="143"/>
      <c r="AH474" s="114"/>
      <c r="AI474" s="114"/>
      <c r="AJ474" s="114"/>
      <c r="AK474" s="114"/>
      <c r="AL474" s="114"/>
      <c r="AM474" s="114"/>
      <c r="AN474" s="114"/>
      <c r="AO474" s="114"/>
      <c r="AP474" s="114"/>
      <c r="AQ474" s="114"/>
      <c r="AR474" s="114"/>
      <c r="AS474" s="114"/>
      <c r="AT474" s="143"/>
      <c r="AU474" s="114"/>
      <c r="AV474" s="114"/>
      <c r="AW474" s="114"/>
      <c r="AX474" s="114"/>
      <c r="AY474" s="114"/>
      <c r="AZ474" s="114"/>
      <c r="BA474" s="114"/>
      <c r="BB474" s="114"/>
      <c r="BC474" s="114"/>
    </row>
    <row r="475" spans="1:55" ht="15.75" customHeight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43"/>
      <c r="M475" s="143"/>
      <c r="N475" s="143"/>
      <c r="O475" s="143"/>
      <c r="P475" s="114"/>
      <c r="Q475" s="114"/>
      <c r="R475" s="114"/>
      <c r="S475" s="143"/>
      <c r="T475" s="114"/>
      <c r="U475" s="114"/>
      <c r="V475" s="114"/>
      <c r="W475" s="114"/>
      <c r="X475" s="114"/>
      <c r="Y475" s="114"/>
      <c r="Z475" s="143"/>
      <c r="AA475" s="114"/>
      <c r="AB475" s="114"/>
      <c r="AC475" s="114"/>
      <c r="AD475" s="143"/>
      <c r="AE475" s="114"/>
      <c r="AF475" s="114"/>
      <c r="AG475" s="143"/>
      <c r="AH475" s="114"/>
      <c r="AI475" s="114"/>
      <c r="AJ475" s="114"/>
      <c r="AK475" s="114"/>
      <c r="AL475" s="114"/>
      <c r="AM475" s="114"/>
      <c r="AN475" s="114"/>
      <c r="AO475" s="114"/>
      <c r="AP475" s="114"/>
      <c r="AQ475" s="114"/>
      <c r="AR475" s="114"/>
      <c r="AS475" s="114"/>
      <c r="AT475" s="143"/>
      <c r="AU475" s="114"/>
      <c r="AV475" s="114"/>
      <c r="AW475" s="114"/>
      <c r="AX475" s="114"/>
      <c r="AY475" s="114"/>
      <c r="AZ475" s="114"/>
      <c r="BA475" s="114"/>
      <c r="BB475" s="114"/>
      <c r="BC475" s="114"/>
    </row>
    <row r="476" spans="1:55" ht="15.75" customHeight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43"/>
      <c r="M476" s="143"/>
      <c r="N476" s="143"/>
      <c r="O476" s="143"/>
      <c r="P476" s="114"/>
      <c r="Q476" s="114"/>
      <c r="R476" s="114"/>
      <c r="S476" s="143"/>
      <c r="T476" s="114"/>
      <c r="U476" s="114"/>
      <c r="V476" s="114"/>
      <c r="W476" s="114"/>
      <c r="X476" s="114"/>
      <c r="Y476" s="114"/>
      <c r="Z476" s="143"/>
      <c r="AA476" s="114"/>
      <c r="AB476" s="114"/>
      <c r="AC476" s="114"/>
      <c r="AD476" s="143"/>
      <c r="AE476" s="114"/>
      <c r="AF476" s="114"/>
      <c r="AG476" s="143"/>
      <c r="AH476" s="114"/>
      <c r="AI476" s="114"/>
      <c r="AJ476" s="114"/>
      <c r="AK476" s="114"/>
      <c r="AL476" s="114"/>
      <c r="AM476" s="114"/>
      <c r="AN476" s="114"/>
      <c r="AO476" s="114"/>
      <c r="AP476" s="114"/>
      <c r="AQ476" s="114"/>
      <c r="AR476" s="114"/>
      <c r="AS476" s="114"/>
      <c r="AT476" s="143"/>
      <c r="AU476" s="114"/>
      <c r="AV476" s="114"/>
      <c r="AW476" s="114"/>
      <c r="AX476" s="114"/>
      <c r="AY476" s="114"/>
      <c r="AZ476" s="114"/>
      <c r="BA476" s="114"/>
      <c r="BB476" s="114"/>
      <c r="BC476" s="114"/>
    </row>
    <row r="477" spans="1:55" ht="15.75" customHeight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43"/>
      <c r="M477" s="143"/>
      <c r="N477" s="143"/>
      <c r="O477" s="143"/>
      <c r="P477" s="114"/>
      <c r="Q477" s="114"/>
      <c r="R477" s="114"/>
      <c r="S477" s="143"/>
      <c r="T477" s="114"/>
      <c r="U477" s="114"/>
      <c r="V477" s="114"/>
      <c r="W477" s="114"/>
      <c r="X477" s="114"/>
      <c r="Y477" s="114"/>
      <c r="Z477" s="143"/>
      <c r="AA477" s="114"/>
      <c r="AB477" s="114"/>
      <c r="AC477" s="114"/>
      <c r="AD477" s="143"/>
      <c r="AE477" s="114"/>
      <c r="AF477" s="114"/>
      <c r="AG477" s="143"/>
      <c r="AH477" s="114"/>
      <c r="AI477" s="114"/>
      <c r="AJ477" s="114"/>
      <c r="AK477" s="114"/>
      <c r="AL477" s="114"/>
      <c r="AM477" s="114"/>
      <c r="AN477" s="114"/>
      <c r="AO477" s="114"/>
      <c r="AP477" s="114"/>
      <c r="AQ477" s="114"/>
      <c r="AR477" s="114"/>
      <c r="AS477" s="114"/>
      <c r="AT477" s="143"/>
      <c r="AU477" s="114"/>
      <c r="AV477" s="114"/>
      <c r="AW477" s="114"/>
      <c r="AX477" s="114"/>
      <c r="AY477" s="114"/>
      <c r="AZ477" s="114"/>
      <c r="BA477" s="114"/>
      <c r="BB477" s="114"/>
      <c r="BC477" s="114"/>
    </row>
    <row r="478" spans="1:55" ht="15.75" customHeight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43"/>
      <c r="M478" s="143"/>
      <c r="N478" s="143"/>
      <c r="O478" s="143"/>
      <c r="P478" s="114"/>
      <c r="Q478" s="114"/>
      <c r="R478" s="114"/>
      <c r="S478" s="143"/>
      <c r="T478" s="114"/>
      <c r="U478" s="114"/>
      <c r="V478" s="114"/>
      <c r="W478" s="114"/>
      <c r="X478" s="114"/>
      <c r="Y478" s="114"/>
      <c r="Z478" s="143"/>
      <c r="AA478" s="114"/>
      <c r="AB478" s="114"/>
      <c r="AC478" s="114"/>
      <c r="AD478" s="143"/>
      <c r="AE478" s="114"/>
      <c r="AF478" s="114"/>
      <c r="AG478" s="143"/>
      <c r="AH478" s="114"/>
      <c r="AI478" s="114"/>
      <c r="AJ478" s="114"/>
      <c r="AK478" s="114"/>
      <c r="AL478" s="114"/>
      <c r="AM478" s="114"/>
      <c r="AN478" s="114"/>
      <c r="AO478" s="114"/>
      <c r="AP478" s="114"/>
      <c r="AQ478" s="114"/>
      <c r="AR478" s="114"/>
      <c r="AS478" s="114"/>
      <c r="AT478" s="143"/>
      <c r="AU478" s="114"/>
      <c r="AV478" s="114"/>
      <c r="AW478" s="114"/>
      <c r="AX478" s="114"/>
      <c r="AY478" s="114"/>
      <c r="AZ478" s="114"/>
      <c r="BA478" s="114"/>
      <c r="BB478" s="114"/>
      <c r="BC478" s="114"/>
    </row>
    <row r="479" spans="1:55" ht="15.75" customHeight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43"/>
      <c r="M479" s="143"/>
      <c r="N479" s="143"/>
      <c r="O479" s="143"/>
      <c r="P479" s="114"/>
      <c r="Q479" s="114"/>
      <c r="R479" s="114"/>
      <c r="S479" s="143"/>
      <c r="T479" s="114"/>
      <c r="U479" s="114"/>
      <c r="V479" s="114"/>
      <c r="W479" s="114"/>
      <c r="X479" s="114"/>
      <c r="Y479" s="114"/>
      <c r="Z479" s="143"/>
      <c r="AA479" s="114"/>
      <c r="AB479" s="114"/>
      <c r="AC479" s="114"/>
      <c r="AD479" s="143"/>
      <c r="AE479" s="114"/>
      <c r="AF479" s="114"/>
      <c r="AG479" s="143"/>
      <c r="AH479" s="114"/>
      <c r="AI479" s="114"/>
      <c r="AJ479" s="114"/>
      <c r="AK479" s="114"/>
      <c r="AL479" s="114"/>
      <c r="AM479" s="114"/>
      <c r="AN479" s="114"/>
      <c r="AO479" s="114"/>
      <c r="AP479" s="114"/>
      <c r="AQ479" s="114"/>
      <c r="AR479" s="114"/>
      <c r="AS479" s="114"/>
      <c r="AT479" s="143"/>
      <c r="AU479" s="114"/>
      <c r="AV479" s="114"/>
      <c r="AW479" s="114"/>
      <c r="AX479" s="114"/>
      <c r="AY479" s="114"/>
      <c r="AZ479" s="114"/>
      <c r="BA479" s="114"/>
      <c r="BB479" s="114"/>
      <c r="BC479" s="114"/>
    </row>
    <row r="480" spans="1:55" ht="15.75" customHeight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43"/>
      <c r="M480" s="143"/>
      <c r="N480" s="143"/>
      <c r="O480" s="143"/>
      <c r="P480" s="114"/>
      <c r="Q480" s="114"/>
      <c r="R480" s="114"/>
      <c r="S480" s="143"/>
      <c r="T480" s="114"/>
      <c r="U480" s="114"/>
      <c r="V480" s="114"/>
      <c r="W480" s="114"/>
      <c r="X480" s="114"/>
      <c r="Y480" s="114"/>
      <c r="Z480" s="143"/>
      <c r="AA480" s="114"/>
      <c r="AB480" s="114"/>
      <c r="AC480" s="114"/>
      <c r="AD480" s="143"/>
      <c r="AE480" s="114"/>
      <c r="AF480" s="114"/>
      <c r="AG480" s="143"/>
      <c r="AH480" s="114"/>
      <c r="AI480" s="114"/>
      <c r="AJ480" s="114"/>
      <c r="AK480" s="114"/>
      <c r="AL480" s="114"/>
      <c r="AM480" s="114"/>
      <c r="AN480" s="114"/>
      <c r="AO480" s="114"/>
      <c r="AP480" s="114"/>
      <c r="AQ480" s="114"/>
      <c r="AR480" s="114"/>
      <c r="AS480" s="114"/>
      <c r="AT480" s="143"/>
      <c r="AU480" s="114"/>
      <c r="AV480" s="114"/>
      <c r="AW480" s="114"/>
      <c r="AX480" s="114"/>
      <c r="AY480" s="114"/>
      <c r="AZ480" s="114"/>
      <c r="BA480" s="114"/>
      <c r="BB480" s="114"/>
      <c r="BC480" s="114"/>
    </row>
    <row r="481" spans="1:55" ht="15.75" customHeight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43"/>
      <c r="M481" s="143"/>
      <c r="N481" s="143"/>
      <c r="O481" s="143"/>
      <c r="P481" s="114"/>
      <c r="Q481" s="114"/>
      <c r="R481" s="114"/>
      <c r="S481" s="143"/>
      <c r="T481" s="114"/>
      <c r="U481" s="114"/>
      <c r="V481" s="114"/>
      <c r="W481" s="114"/>
      <c r="X481" s="114"/>
      <c r="Y481" s="114"/>
      <c r="Z481" s="143"/>
      <c r="AA481" s="114"/>
      <c r="AB481" s="114"/>
      <c r="AC481" s="114"/>
      <c r="AD481" s="143"/>
      <c r="AE481" s="114"/>
      <c r="AF481" s="114"/>
      <c r="AG481" s="143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43"/>
      <c r="AU481" s="114"/>
      <c r="AV481" s="114"/>
      <c r="AW481" s="114"/>
      <c r="AX481" s="114"/>
      <c r="AY481" s="114"/>
      <c r="AZ481" s="114"/>
      <c r="BA481" s="114"/>
      <c r="BB481" s="114"/>
      <c r="BC481" s="114"/>
    </row>
    <row r="482" spans="1:55" ht="15.75" customHeight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43"/>
      <c r="M482" s="143"/>
      <c r="N482" s="143"/>
      <c r="O482" s="143"/>
      <c r="P482" s="114"/>
      <c r="Q482" s="114"/>
      <c r="R482" s="114"/>
      <c r="S482" s="143"/>
      <c r="T482" s="114"/>
      <c r="U482" s="114"/>
      <c r="V482" s="114"/>
      <c r="W482" s="114"/>
      <c r="X482" s="114"/>
      <c r="Y482" s="114"/>
      <c r="Z482" s="143"/>
      <c r="AA482" s="114"/>
      <c r="AB482" s="114"/>
      <c r="AC482" s="114"/>
      <c r="AD482" s="143"/>
      <c r="AE482" s="114"/>
      <c r="AF482" s="114"/>
      <c r="AG482" s="143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43"/>
      <c r="AU482" s="114"/>
      <c r="AV482" s="114"/>
      <c r="AW482" s="114"/>
      <c r="AX482" s="114"/>
      <c r="AY482" s="114"/>
      <c r="AZ482" s="114"/>
      <c r="BA482" s="114"/>
      <c r="BB482" s="114"/>
      <c r="BC482" s="114"/>
    </row>
    <row r="483" spans="1:55" ht="15.75" customHeight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43"/>
      <c r="M483" s="143"/>
      <c r="N483" s="143"/>
      <c r="O483" s="143"/>
      <c r="P483" s="114"/>
      <c r="Q483" s="114"/>
      <c r="R483" s="114"/>
      <c r="S483" s="143"/>
      <c r="T483" s="114"/>
      <c r="U483" s="114"/>
      <c r="V483" s="114"/>
      <c r="W483" s="114"/>
      <c r="X483" s="114"/>
      <c r="Y483" s="114"/>
      <c r="Z483" s="143"/>
      <c r="AA483" s="114"/>
      <c r="AB483" s="114"/>
      <c r="AC483" s="114"/>
      <c r="AD483" s="143"/>
      <c r="AE483" s="114"/>
      <c r="AF483" s="114"/>
      <c r="AG483" s="143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4"/>
      <c r="AR483" s="114"/>
      <c r="AS483" s="114"/>
      <c r="AT483" s="143"/>
      <c r="AU483" s="114"/>
      <c r="AV483" s="114"/>
      <c r="AW483" s="114"/>
      <c r="AX483" s="114"/>
      <c r="AY483" s="114"/>
      <c r="AZ483" s="114"/>
      <c r="BA483" s="114"/>
      <c r="BB483" s="114"/>
      <c r="BC483" s="114"/>
    </row>
    <row r="484" spans="1:55" ht="15.75" customHeight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43"/>
      <c r="M484" s="143"/>
      <c r="N484" s="143"/>
      <c r="O484" s="143"/>
      <c r="P484" s="114"/>
      <c r="Q484" s="114"/>
      <c r="R484" s="114"/>
      <c r="S484" s="143"/>
      <c r="T484" s="114"/>
      <c r="U484" s="114"/>
      <c r="V484" s="114"/>
      <c r="W484" s="114"/>
      <c r="X484" s="114"/>
      <c r="Y484" s="114"/>
      <c r="Z484" s="143"/>
      <c r="AA484" s="114"/>
      <c r="AB484" s="114"/>
      <c r="AC484" s="114"/>
      <c r="AD484" s="143"/>
      <c r="AE484" s="114"/>
      <c r="AF484" s="114"/>
      <c r="AG484" s="143"/>
      <c r="AH484" s="114"/>
      <c r="AI484" s="114"/>
      <c r="AJ484" s="114"/>
      <c r="AK484" s="114"/>
      <c r="AL484" s="114"/>
      <c r="AM484" s="114"/>
      <c r="AN484" s="114"/>
      <c r="AO484" s="114"/>
      <c r="AP484" s="114"/>
      <c r="AQ484" s="114"/>
      <c r="AR484" s="114"/>
      <c r="AS484" s="114"/>
      <c r="AT484" s="143"/>
      <c r="AU484" s="114"/>
      <c r="AV484" s="114"/>
      <c r="AW484" s="114"/>
      <c r="AX484" s="114"/>
      <c r="AY484" s="114"/>
      <c r="AZ484" s="114"/>
      <c r="BA484" s="114"/>
      <c r="BB484" s="114"/>
      <c r="BC484" s="114"/>
    </row>
    <row r="485" spans="1:55" ht="15.75" customHeight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43"/>
      <c r="M485" s="143"/>
      <c r="N485" s="143"/>
      <c r="O485" s="143"/>
      <c r="P485" s="114"/>
      <c r="Q485" s="114"/>
      <c r="R485" s="114"/>
      <c r="S485" s="143"/>
      <c r="T485" s="114"/>
      <c r="U485" s="114"/>
      <c r="V485" s="114"/>
      <c r="W485" s="114"/>
      <c r="X485" s="114"/>
      <c r="Y485" s="114"/>
      <c r="Z485" s="143"/>
      <c r="AA485" s="114"/>
      <c r="AB485" s="114"/>
      <c r="AC485" s="114"/>
      <c r="AD485" s="143"/>
      <c r="AE485" s="114"/>
      <c r="AF485" s="114"/>
      <c r="AG485" s="143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43"/>
      <c r="AU485" s="114"/>
      <c r="AV485" s="114"/>
      <c r="AW485" s="114"/>
      <c r="AX485" s="114"/>
      <c r="AY485" s="114"/>
      <c r="AZ485" s="114"/>
      <c r="BA485" s="114"/>
      <c r="BB485" s="114"/>
      <c r="BC485" s="114"/>
    </row>
    <row r="486" spans="1:55" ht="15.75" customHeight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43"/>
      <c r="M486" s="143"/>
      <c r="N486" s="143"/>
      <c r="O486" s="143"/>
      <c r="P486" s="114"/>
      <c r="Q486" s="114"/>
      <c r="R486" s="114"/>
      <c r="S486" s="143"/>
      <c r="T486" s="114"/>
      <c r="U486" s="114"/>
      <c r="V486" s="114"/>
      <c r="W486" s="114"/>
      <c r="X486" s="114"/>
      <c r="Y486" s="114"/>
      <c r="Z486" s="143"/>
      <c r="AA486" s="114"/>
      <c r="AB486" s="114"/>
      <c r="AC486" s="114"/>
      <c r="AD486" s="143"/>
      <c r="AE486" s="114"/>
      <c r="AF486" s="114"/>
      <c r="AG486" s="143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43"/>
      <c r="AU486" s="114"/>
      <c r="AV486" s="114"/>
      <c r="AW486" s="114"/>
      <c r="AX486" s="114"/>
      <c r="AY486" s="114"/>
      <c r="AZ486" s="114"/>
      <c r="BA486" s="114"/>
      <c r="BB486" s="114"/>
      <c r="BC486" s="114"/>
    </row>
    <row r="487" spans="1:55" ht="15.75" customHeight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43"/>
      <c r="M487" s="143"/>
      <c r="N487" s="143"/>
      <c r="O487" s="143"/>
      <c r="P487" s="114"/>
      <c r="Q487" s="114"/>
      <c r="R487" s="114"/>
      <c r="S487" s="143"/>
      <c r="T487" s="114"/>
      <c r="U487" s="114"/>
      <c r="V487" s="114"/>
      <c r="W487" s="114"/>
      <c r="X487" s="114"/>
      <c r="Y487" s="114"/>
      <c r="Z487" s="143"/>
      <c r="AA487" s="114"/>
      <c r="AB487" s="114"/>
      <c r="AC487" s="114"/>
      <c r="AD487" s="143"/>
      <c r="AE487" s="114"/>
      <c r="AF487" s="114"/>
      <c r="AG487" s="143"/>
      <c r="AH487" s="114"/>
      <c r="AI487" s="114"/>
      <c r="AJ487" s="114"/>
      <c r="AK487" s="114"/>
      <c r="AL487" s="114"/>
      <c r="AM487" s="114"/>
      <c r="AN487" s="114"/>
      <c r="AO487" s="114"/>
      <c r="AP487" s="114"/>
      <c r="AQ487" s="114"/>
      <c r="AR487" s="114"/>
      <c r="AS487" s="114"/>
      <c r="AT487" s="143"/>
      <c r="AU487" s="114"/>
      <c r="AV487" s="114"/>
      <c r="AW487" s="114"/>
      <c r="AX487" s="114"/>
      <c r="AY487" s="114"/>
      <c r="AZ487" s="114"/>
      <c r="BA487" s="114"/>
      <c r="BB487" s="114"/>
      <c r="BC487" s="114"/>
    </row>
    <row r="488" spans="1:55" ht="15.75" customHeight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43"/>
      <c r="M488" s="143"/>
      <c r="N488" s="143"/>
      <c r="O488" s="143"/>
      <c r="P488" s="114"/>
      <c r="Q488" s="114"/>
      <c r="R488" s="114"/>
      <c r="S488" s="143"/>
      <c r="T488" s="114"/>
      <c r="U488" s="114"/>
      <c r="V488" s="114"/>
      <c r="W488" s="114"/>
      <c r="X488" s="114"/>
      <c r="Y488" s="114"/>
      <c r="Z488" s="143"/>
      <c r="AA488" s="114"/>
      <c r="AB488" s="114"/>
      <c r="AC488" s="114"/>
      <c r="AD488" s="143"/>
      <c r="AE488" s="114"/>
      <c r="AF488" s="114"/>
      <c r="AG488" s="143"/>
      <c r="AH488" s="114"/>
      <c r="AI488" s="114"/>
      <c r="AJ488" s="114"/>
      <c r="AK488" s="114"/>
      <c r="AL488" s="114"/>
      <c r="AM488" s="114"/>
      <c r="AN488" s="114"/>
      <c r="AO488" s="114"/>
      <c r="AP488" s="114"/>
      <c r="AQ488" s="114"/>
      <c r="AR488" s="114"/>
      <c r="AS488" s="114"/>
      <c r="AT488" s="143"/>
      <c r="AU488" s="114"/>
      <c r="AV488" s="114"/>
      <c r="AW488" s="114"/>
      <c r="AX488" s="114"/>
      <c r="AY488" s="114"/>
      <c r="AZ488" s="114"/>
      <c r="BA488" s="114"/>
      <c r="BB488" s="114"/>
      <c r="BC488" s="114"/>
    </row>
    <row r="489" spans="1:55" ht="15.75" customHeight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43"/>
      <c r="M489" s="143"/>
      <c r="N489" s="143"/>
      <c r="O489" s="143"/>
      <c r="P489" s="114"/>
      <c r="Q489" s="114"/>
      <c r="R489" s="114"/>
      <c r="S489" s="143"/>
      <c r="T489" s="114"/>
      <c r="U489" s="114"/>
      <c r="V489" s="114"/>
      <c r="W489" s="114"/>
      <c r="X489" s="114"/>
      <c r="Y489" s="114"/>
      <c r="Z489" s="143"/>
      <c r="AA489" s="114"/>
      <c r="AB489" s="114"/>
      <c r="AC489" s="114"/>
      <c r="AD489" s="143"/>
      <c r="AE489" s="114"/>
      <c r="AF489" s="114"/>
      <c r="AG489" s="143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43"/>
      <c r="AU489" s="114"/>
      <c r="AV489" s="114"/>
      <c r="AW489" s="114"/>
      <c r="AX489" s="114"/>
      <c r="AY489" s="114"/>
      <c r="AZ489" s="114"/>
      <c r="BA489" s="114"/>
      <c r="BB489" s="114"/>
      <c r="BC489" s="114"/>
    </row>
    <row r="490" spans="1:55" ht="15.75" customHeight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43"/>
      <c r="M490" s="143"/>
      <c r="N490" s="143"/>
      <c r="O490" s="143"/>
      <c r="P490" s="114"/>
      <c r="Q490" s="114"/>
      <c r="R490" s="114"/>
      <c r="S490" s="143"/>
      <c r="T490" s="114"/>
      <c r="U490" s="114"/>
      <c r="V490" s="114"/>
      <c r="W490" s="114"/>
      <c r="X490" s="114"/>
      <c r="Y490" s="114"/>
      <c r="Z490" s="143"/>
      <c r="AA490" s="114"/>
      <c r="AB490" s="114"/>
      <c r="AC490" s="114"/>
      <c r="AD490" s="143"/>
      <c r="AE490" s="114"/>
      <c r="AF490" s="114"/>
      <c r="AG490" s="143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43"/>
      <c r="AU490" s="114"/>
      <c r="AV490" s="114"/>
      <c r="AW490" s="114"/>
      <c r="AX490" s="114"/>
      <c r="AY490" s="114"/>
      <c r="AZ490" s="114"/>
      <c r="BA490" s="114"/>
      <c r="BB490" s="114"/>
      <c r="BC490" s="114"/>
    </row>
    <row r="491" spans="1:55" ht="15.75" customHeight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43"/>
      <c r="M491" s="143"/>
      <c r="N491" s="143"/>
      <c r="O491" s="143"/>
      <c r="P491" s="114"/>
      <c r="Q491" s="114"/>
      <c r="R491" s="114"/>
      <c r="S491" s="143"/>
      <c r="T491" s="114"/>
      <c r="U491" s="114"/>
      <c r="V491" s="114"/>
      <c r="W491" s="114"/>
      <c r="X491" s="114"/>
      <c r="Y491" s="114"/>
      <c r="Z491" s="143"/>
      <c r="AA491" s="114"/>
      <c r="AB491" s="114"/>
      <c r="AC491" s="114"/>
      <c r="AD491" s="143"/>
      <c r="AE491" s="114"/>
      <c r="AF491" s="114"/>
      <c r="AG491" s="143"/>
      <c r="AH491" s="114"/>
      <c r="AI491" s="114"/>
      <c r="AJ491" s="114"/>
      <c r="AK491" s="114"/>
      <c r="AL491" s="114"/>
      <c r="AM491" s="114"/>
      <c r="AN491" s="114"/>
      <c r="AO491" s="114"/>
      <c r="AP491" s="114"/>
      <c r="AQ491" s="114"/>
      <c r="AR491" s="114"/>
      <c r="AS491" s="114"/>
      <c r="AT491" s="143"/>
      <c r="AU491" s="114"/>
      <c r="AV491" s="114"/>
      <c r="AW491" s="114"/>
      <c r="AX491" s="114"/>
      <c r="AY491" s="114"/>
      <c r="AZ491" s="114"/>
      <c r="BA491" s="114"/>
      <c r="BB491" s="114"/>
      <c r="BC491" s="114"/>
    </row>
    <row r="492" spans="1:55" ht="15.75" customHeight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43"/>
      <c r="M492" s="143"/>
      <c r="N492" s="143"/>
      <c r="O492" s="143"/>
      <c r="P492" s="114"/>
      <c r="Q492" s="114"/>
      <c r="R492" s="114"/>
      <c r="S492" s="143"/>
      <c r="T492" s="114"/>
      <c r="U492" s="114"/>
      <c r="V492" s="114"/>
      <c r="W492" s="114"/>
      <c r="X492" s="114"/>
      <c r="Y492" s="114"/>
      <c r="Z492" s="143"/>
      <c r="AA492" s="114"/>
      <c r="AB492" s="114"/>
      <c r="AC492" s="114"/>
      <c r="AD492" s="143"/>
      <c r="AE492" s="114"/>
      <c r="AF492" s="114"/>
      <c r="AG492" s="143"/>
      <c r="AH492" s="114"/>
      <c r="AI492" s="114"/>
      <c r="AJ492" s="114"/>
      <c r="AK492" s="114"/>
      <c r="AL492" s="114"/>
      <c r="AM492" s="114"/>
      <c r="AN492" s="114"/>
      <c r="AO492" s="114"/>
      <c r="AP492" s="114"/>
      <c r="AQ492" s="114"/>
      <c r="AR492" s="114"/>
      <c r="AS492" s="114"/>
      <c r="AT492" s="143"/>
      <c r="AU492" s="114"/>
      <c r="AV492" s="114"/>
      <c r="AW492" s="114"/>
      <c r="AX492" s="114"/>
      <c r="AY492" s="114"/>
      <c r="AZ492" s="114"/>
      <c r="BA492" s="114"/>
      <c r="BB492" s="114"/>
      <c r="BC492" s="114"/>
    </row>
    <row r="493" spans="1:55" ht="15.75" customHeight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43"/>
      <c r="M493" s="143"/>
      <c r="N493" s="143"/>
      <c r="O493" s="143"/>
      <c r="P493" s="114"/>
      <c r="Q493" s="114"/>
      <c r="R493" s="114"/>
      <c r="S493" s="143"/>
      <c r="T493" s="114"/>
      <c r="U493" s="114"/>
      <c r="V493" s="114"/>
      <c r="W493" s="114"/>
      <c r="X493" s="114"/>
      <c r="Y493" s="114"/>
      <c r="Z493" s="143"/>
      <c r="AA493" s="114"/>
      <c r="AB493" s="114"/>
      <c r="AC493" s="114"/>
      <c r="AD493" s="143"/>
      <c r="AE493" s="114"/>
      <c r="AF493" s="114"/>
      <c r="AG493" s="143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43"/>
      <c r="AU493" s="114"/>
      <c r="AV493" s="114"/>
      <c r="AW493" s="114"/>
      <c r="AX493" s="114"/>
      <c r="AY493" s="114"/>
      <c r="AZ493" s="114"/>
      <c r="BA493" s="114"/>
      <c r="BB493" s="114"/>
      <c r="BC493" s="114"/>
    </row>
    <row r="494" spans="1:55" ht="15.75" customHeight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43"/>
      <c r="M494" s="143"/>
      <c r="N494" s="143"/>
      <c r="O494" s="143"/>
      <c r="P494" s="114"/>
      <c r="Q494" s="114"/>
      <c r="R494" s="114"/>
      <c r="S494" s="143"/>
      <c r="T494" s="114"/>
      <c r="U494" s="114"/>
      <c r="V494" s="114"/>
      <c r="W494" s="114"/>
      <c r="X494" s="114"/>
      <c r="Y494" s="114"/>
      <c r="Z494" s="143"/>
      <c r="AA494" s="114"/>
      <c r="AB494" s="114"/>
      <c r="AC494" s="114"/>
      <c r="AD494" s="143"/>
      <c r="AE494" s="114"/>
      <c r="AF494" s="114"/>
      <c r="AG494" s="143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43"/>
      <c r="AU494" s="114"/>
      <c r="AV494" s="114"/>
      <c r="AW494" s="114"/>
      <c r="AX494" s="114"/>
      <c r="AY494" s="114"/>
      <c r="AZ494" s="114"/>
      <c r="BA494" s="114"/>
      <c r="BB494" s="114"/>
      <c r="BC494" s="114"/>
    </row>
    <row r="495" spans="1:55" ht="15.75" customHeight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43"/>
      <c r="M495" s="143"/>
      <c r="N495" s="143"/>
      <c r="O495" s="143"/>
      <c r="P495" s="114"/>
      <c r="Q495" s="114"/>
      <c r="R495" s="114"/>
      <c r="S495" s="143"/>
      <c r="T495" s="114"/>
      <c r="U495" s="114"/>
      <c r="V495" s="114"/>
      <c r="W495" s="114"/>
      <c r="X495" s="114"/>
      <c r="Y495" s="114"/>
      <c r="Z495" s="143"/>
      <c r="AA495" s="114"/>
      <c r="AB495" s="114"/>
      <c r="AC495" s="114"/>
      <c r="AD495" s="143"/>
      <c r="AE495" s="114"/>
      <c r="AF495" s="114"/>
      <c r="AG495" s="143"/>
      <c r="AH495" s="114"/>
      <c r="AI495" s="114"/>
      <c r="AJ495" s="114"/>
      <c r="AK495" s="114"/>
      <c r="AL495" s="114"/>
      <c r="AM495" s="114"/>
      <c r="AN495" s="114"/>
      <c r="AO495" s="114"/>
      <c r="AP495" s="114"/>
      <c r="AQ495" s="114"/>
      <c r="AR495" s="114"/>
      <c r="AS495" s="114"/>
      <c r="AT495" s="143"/>
      <c r="AU495" s="114"/>
      <c r="AV495" s="114"/>
      <c r="AW495" s="114"/>
      <c r="AX495" s="114"/>
      <c r="AY495" s="114"/>
      <c r="AZ495" s="114"/>
      <c r="BA495" s="114"/>
      <c r="BB495" s="114"/>
      <c r="BC495" s="114"/>
    </row>
    <row r="496" spans="1:55" ht="15.75" customHeight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43"/>
      <c r="M496" s="143"/>
      <c r="N496" s="143"/>
      <c r="O496" s="143"/>
      <c r="P496" s="114"/>
      <c r="Q496" s="114"/>
      <c r="R496" s="114"/>
      <c r="S496" s="143"/>
      <c r="T496" s="114"/>
      <c r="U496" s="114"/>
      <c r="V496" s="114"/>
      <c r="W496" s="114"/>
      <c r="X496" s="114"/>
      <c r="Y496" s="114"/>
      <c r="Z496" s="143"/>
      <c r="AA496" s="114"/>
      <c r="AB496" s="114"/>
      <c r="AC496" s="114"/>
      <c r="AD496" s="143"/>
      <c r="AE496" s="114"/>
      <c r="AF496" s="114"/>
      <c r="AG496" s="143"/>
      <c r="AH496" s="114"/>
      <c r="AI496" s="114"/>
      <c r="AJ496" s="114"/>
      <c r="AK496" s="114"/>
      <c r="AL496" s="114"/>
      <c r="AM496" s="114"/>
      <c r="AN496" s="114"/>
      <c r="AO496" s="114"/>
      <c r="AP496" s="114"/>
      <c r="AQ496" s="114"/>
      <c r="AR496" s="114"/>
      <c r="AS496" s="114"/>
      <c r="AT496" s="143"/>
      <c r="AU496" s="114"/>
      <c r="AV496" s="114"/>
      <c r="AW496" s="114"/>
      <c r="AX496" s="114"/>
      <c r="AY496" s="114"/>
      <c r="AZ496" s="114"/>
      <c r="BA496" s="114"/>
      <c r="BB496" s="114"/>
      <c r="BC496" s="114"/>
    </row>
    <row r="497" spans="1:55" ht="15.75" customHeight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43"/>
      <c r="M497" s="143"/>
      <c r="N497" s="143"/>
      <c r="O497" s="143"/>
      <c r="P497" s="114"/>
      <c r="Q497" s="114"/>
      <c r="R497" s="114"/>
      <c r="S497" s="143"/>
      <c r="T497" s="114"/>
      <c r="U497" s="114"/>
      <c r="V497" s="114"/>
      <c r="W497" s="114"/>
      <c r="X497" s="114"/>
      <c r="Y497" s="114"/>
      <c r="Z497" s="143"/>
      <c r="AA497" s="114"/>
      <c r="AB497" s="114"/>
      <c r="AC497" s="114"/>
      <c r="AD497" s="143"/>
      <c r="AE497" s="114"/>
      <c r="AF497" s="114"/>
      <c r="AG497" s="143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43"/>
      <c r="AU497" s="114"/>
      <c r="AV497" s="114"/>
      <c r="AW497" s="114"/>
      <c r="AX497" s="114"/>
      <c r="AY497" s="114"/>
      <c r="AZ497" s="114"/>
      <c r="BA497" s="114"/>
      <c r="BB497" s="114"/>
      <c r="BC497" s="114"/>
    </row>
    <row r="498" spans="1:55" ht="15.75" customHeight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43"/>
      <c r="M498" s="143"/>
      <c r="N498" s="143"/>
      <c r="O498" s="143"/>
      <c r="P498" s="114"/>
      <c r="Q498" s="114"/>
      <c r="R498" s="114"/>
      <c r="S498" s="143"/>
      <c r="T498" s="114"/>
      <c r="U498" s="114"/>
      <c r="V498" s="114"/>
      <c r="W498" s="114"/>
      <c r="X498" s="114"/>
      <c r="Y498" s="114"/>
      <c r="Z498" s="143"/>
      <c r="AA498" s="114"/>
      <c r="AB498" s="114"/>
      <c r="AC498" s="114"/>
      <c r="AD498" s="143"/>
      <c r="AE498" s="114"/>
      <c r="AF498" s="114"/>
      <c r="AG498" s="143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43"/>
      <c r="AU498" s="114"/>
      <c r="AV498" s="114"/>
      <c r="AW498" s="114"/>
      <c r="AX498" s="114"/>
      <c r="AY498" s="114"/>
      <c r="AZ498" s="114"/>
      <c r="BA498" s="114"/>
      <c r="BB498" s="114"/>
      <c r="BC498" s="114"/>
    </row>
    <row r="499" spans="1:55" ht="15.75" customHeight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43"/>
      <c r="M499" s="143"/>
      <c r="N499" s="143"/>
      <c r="O499" s="143"/>
      <c r="P499" s="114"/>
      <c r="Q499" s="114"/>
      <c r="R499" s="114"/>
      <c r="S499" s="143"/>
      <c r="T499" s="114"/>
      <c r="U499" s="114"/>
      <c r="V499" s="114"/>
      <c r="W499" s="114"/>
      <c r="X499" s="114"/>
      <c r="Y499" s="114"/>
      <c r="Z499" s="143"/>
      <c r="AA499" s="114"/>
      <c r="AB499" s="114"/>
      <c r="AC499" s="114"/>
      <c r="AD499" s="143"/>
      <c r="AE499" s="114"/>
      <c r="AF499" s="114"/>
      <c r="AG499" s="143"/>
      <c r="AH499" s="114"/>
      <c r="AI499" s="114"/>
      <c r="AJ499" s="114"/>
      <c r="AK499" s="114"/>
      <c r="AL499" s="114"/>
      <c r="AM499" s="114"/>
      <c r="AN499" s="114"/>
      <c r="AO499" s="114"/>
      <c r="AP499" s="114"/>
      <c r="AQ499" s="114"/>
      <c r="AR499" s="114"/>
      <c r="AS499" s="114"/>
      <c r="AT499" s="143"/>
      <c r="AU499" s="114"/>
      <c r="AV499" s="114"/>
      <c r="AW499" s="114"/>
      <c r="AX499" s="114"/>
      <c r="AY499" s="114"/>
      <c r="AZ499" s="114"/>
      <c r="BA499" s="114"/>
      <c r="BB499" s="114"/>
      <c r="BC499" s="114"/>
    </row>
    <row r="500" spans="1:55" ht="15.75" customHeight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43"/>
      <c r="M500" s="143"/>
      <c r="N500" s="143"/>
      <c r="O500" s="143"/>
      <c r="P500" s="114"/>
      <c r="Q500" s="114"/>
      <c r="R500" s="114"/>
      <c r="S500" s="143"/>
      <c r="T500" s="114"/>
      <c r="U500" s="114"/>
      <c r="V500" s="114"/>
      <c r="W500" s="114"/>
      <c r="X500" s="114"/>
      <c r="Y500" s="114"/>
      <c r="Z500" s="143"/>
      <c r="AA500" s="114"/>
      <c r="AB500" s="114"/>
      <c r="AC500" s="114"/>
      <c r="AD500" s="143"/>
      <c r="AE500" s="114"/>
      <c r="AF500" s="114"/>
      <c r="AG500" s="143"/>
      <c r="AH500" s="114"/>
      <c r="AI500" s="114"/>
      <c r="AJ500" s="114"/>
      <c r="AK500" s="114"/>
      <c r="AL500" s="114"/>
      <c r="AM500" s="114"/>
      <c r="AN500" s="114"/>
      <c r="AO500" s="114"/>
      <c r="AP500" s="114"/>
      <c r="AQ500" s="114"/>
      <c r="AR500" s="114"/>
      <c r="AS500" s="114"/>
      <c r="AT500" s="143"/>
      <c r="AU500" s="114"/>
      <c r="AV500" s="114"/>
      <c r="AW500" s="114"/>
      <c r="AX500" s="114"/>
      <c r="AY500" s="114"/>
      <c r="AZ500" s="114"/>
      <c r="BA500" s="114"/>
      <c r="BB500" s="114"/>
      <c r="BC500" s="114"/>
    </row>
    <row r="501" spans="1:55" ht="15.75" customHeight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43"/>
      <c r="M501" s="143"/>
      <c r="N501" s="143"/>
      <c r="O501" s="143"/>
      <c r="P501" s="114"/>
      <c r="Q501" s="114"/>
      <c r="R501" s="114"/>
      <c r="S501" s="143"/>
      <c r="T501" s="114"/>
      <c r="U501" s="114"/>
      <c r="V501" s="114"/>
      <c r="W501" s="114"/>
      <c r="X501" s="114"/>
      <c r="Y501" s="114"/>
      <c r="Z501" s="143"/>
      <c r="AA501" s="114"/>
      <c r="AB501" s="114"/>
      <c r="AC501" s="114"/>
      <c r="AD501" s="143"/>
      <c r="AE501" s="114"/>
      <c r="AF501" s="114"/>
      <c r="AG501" s="143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43"/>
      <c r="AU501" s="114"/>
      <c r="AV501" s="114"/>
      <c r="AW501" s="114"/>
      <c r="AX501" s="114"/>
      <c r="AY501" s="114"/>
      <c r="AZ501" s="114"/>
      <c r="BA501" s="114"/>
      <c r="BB501" s="114"/>
      <c r="BC501" s="114"/>
    </row>
    <row r="502" spans="1:55" ht="15.75" customHeight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43"/>
      <c r="M502" s="143"/>
      <c r="N502" s="143"/>
      <c r="O502" s="143"/>
      <c r="P502" s="114"/>
      <c r="Q502" s="114"/>
      <c r="R502" s="114"/>
      <c r="S502" s="143"/>
      <c r="T502" s="114"/>
      <c r="U502" s="114"/>
      <c r="V502" s="114"/>
      <c r="W502" s="114"/>
      <c r="X502" s="114"/>
      <c r="Y502" s="114"/>
      <c r="Z502" s="143"/>
      <c r="AA502" s="114"/>
      <c r="AB502" s="114"/>
      <c r="AC502" s="114"/>
      <c r="AD502" s="143"/>
      <c r="AE502" s="114"/>
      <c r="AF502" s="114"/>
      <c r="AG502" s="143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43"/>
      <c r="AU502" s="114"/>
      <c r="AV502" s="114"/>
      <c r="AW502" s="114"/>
      <c r="AX502" s="114"/>
      <c r="AY502" s="114"/>
      <c r="AZ502" s="114"/>
      <c r="BA502" s="114"/>
      <c r="BB502" s="114"/>
      <c r="BC502" s="114"/>
    </row>
    <row r="503" spans="1:55" ht="15.75" customHeight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43"/>
      <c r="M503" s="143"/>
      <c r="N503" s="143"/>
      <c r="O503" s="143"/>
      <c r="P503" s="114"/>
      <c r="Q503" s="114"/>
      <c r="R503" s="114"/>
      <c r="S503" s="143"/>
      <c r="T503" s="114"/>
      <c r="U503" s="114"/>
      <c r="V503" s="114"/>
      <c r="W503" s="114"/>
      <c r="X503" s="114"/>
      <c r="Y503" s="114"/>
      <c r="Z503" s="143"/>
      <c r="AA503" s="114"/>
      <c r="AB503" s="114"/>
      <c r="AC503" s="114"/>
      <c r="AD503" s="143"/>
      <c r="AE503" s="114"/>
      <c r="AF503" s="114"/>
      <c r="AG503" s="143"/>
      <c r="AH503" s="114"/>
      <c r="AI503" s="114"/>
      <c r="AJ503" s="114"/>
      <c r="AK503" s="114"/>
      <c r="AL503" s="114"/>
      <c r="AM503" s="114"/>
      <c r="AN503" s="114"/>
      <c r="AO503" s="114"/>
      <c r="AP503" s="114"/>
      <c r="AQ503" s="114"/>
      <c r="AR503" s="114"/>
      <c r="AS503" s="114"/>
      <c r="AT503" s="143"/>
      <c r="AU503" s="114"/>
      <c r="AV503" s="114"/>
      <c r="AW503" s="114"/>
      <c r="AX503" s="114"/>
      <c r="AY503" s="114"/>
      <c r="AZ503" s="114"/>
      <c r="BA503" s="114"/>
      <c r="BB503" s="114"/>
      <c r="BC503" s="114"/>
    </row>
    <row r="504" spans="1:55" ht="15.75" customHeight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43"/>
      <c r="M504" s="143"/>
      <c r="N504" s="143"/>
      <c r="O504" s="143"/>
      <c r="P504" s="114"/>
      <c r="Q504" s="114"/>
      <c r="R504" s="114"/>
      <c r="S504" s="143"/>
      <c r="T504" s="114"/>
      <c r="U504" s="114"/>
      <c r="V504" s="114"/>
      <c r="W504" s="114"/>
      <c r="X504" s="114"/>
      <c r="Y504" s="114"/>
      <c r="Z504" s="143"/>
      <c r="AA504" s="114"/>
      <c r="AB504" s="114"/>
      <c r="AC504" s="114"/>
      <c r="AD504" s="143"/>
      <c r="AE504" s="114"/>
      <c r="AF504" s="114"/>
      <c r="AG504" s="143"/>
      <c r="AH504" s="114"/>
      <c r="AI504" s="114"/>
      <c r="AJ504" s="114"/>
      <c r="AK504" s="114"/>
      <c r="AL504" s="114"/>
      <c r="AM504" s="114"/>
      <c r="AN504" s="114"/>
      <c r="AO504" s="114"/>
      <c r="AP504" s="114"/>
      <c r="AQ504" s="114"/>
      <c r="AR504" s="114"/>
      <c r="AS504" s="114"/>
      <c r="AT504" s="143"/>
      <c r="AU504" s="114"/>
      <c r="AV504" s="114"/>
      <c r="AW504" s="114"/>
      <c r="AX504" s="114"/>
      <c r="AY504" s="114"/>
      <c r="AZ504" s="114"/>
      <c r="BA504" s="114"/>
      <c r="BB504" s="114"/>
      <c r="BC504" s="114"/>
    </row>
    <row r="505" spans="1:55" ht="15.75" customHeight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43"/>
      <c r="M505" s="143"/>
      <c r="N505" s="143"/>
      <c r="O505" s="143"/>
      <c r="P505" s="114"/>
      <c r="Q505" s="114"/>
      <c r="R505" s="114"/>
      <c r="S505" s="143"/>
      <c r="T505" s="114"/>
      <c r="U505" s="114"/>
      <c r="V505" s="114"/>
      <c r="W505" s="114"/>
      <c r="X505" s="114"/>
      <c r="Y505" s="114"/>
      <c r="Z505" s="143"/>
      <c r="AA505" s="114"/>
      <c r="AB505" s="114"/>
      <c r="AC505" s="114"/>
      <c r="AD505" s="143"/>
      <c r="AE505" s="114"/>
      <c r="AF505" s="114"/>
      <c r="AG505" s="143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43"/>
      <c r="AU505" s="114"/>
      <c r="AV505" s="114"/>
      <c r="AW505" s="114"/>
      <c r="AX505" s="114"/>
      <c r="AY505" s="114"/>
      <c r="AZ505" s="114"/>
      <c r="BA505" s="114"/>
      <c r="BB505" s="114"/>
      <c r="BC505" s="114"/>
    </row>
    <row r="506" spans="1:55" ht="15.75" customHeight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43"/>
      <c r="M506" s="143"/>
      <c r="N506" s="143"/>
      <c r="O506" s="143"/>
      <c r="P506" s="114"/>
      <c r="Q506" s="114"/>
      <c r="R506" s="114"/>
      <c r="S506" s="143"/>
      <c r="T506" s="114"/>
      <c r="U506" s="114"/>
      <c r="V506" s="114"/>
      <c r="W506" s="114"/>
      <c r="X506" s="114"/>
      <c r="Y506" s="114"/>
      <c r="Z506" s="143"/>
      <c r="AA506" s="114"/>
      <c r="AB506" s="114"/>
      <c r="AC506" s="114"/>
      <c r="AD506" s="143"/>
      <c r="AE506" s="114"/>
      <c r="AF506" s="114"/>
      <c r="AG506" s="143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43"/>
      <c r="AU506" s="114"/>
      <c r="AV506" s="114"/>
      <c r="AW506" s="114"/>
      <c r="AX506" s="114"/>
      <c r="AY506" s="114"/>
      <c r="AZ506" s="114"/>
      <c r="BA506" s="114"/>
      <c r="BB506" s="114"/>
      <c r="BC506" s="114"/>
    </row>
    <row r="507" spans="1:55" ht="15.75" customHeight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43"/>
      <c r="M507" s="143"/>
      <c r="N507" s="143"/>
      <c r="O507" s="143"/>
      <c r="P507" s="114"/>
      <c r="Q507" s="114"/>
      <c r="R507" s="114"/>
      <c r="S507" s="143"/>
      <c r="T507" s="114"/>
      <c r="U507" s="114"/>
      <c r="V507" s="114"/>
      <c r="W507" s="114"/>
      <c r="X507" s="114"/>
      <c r="Y507" s="114"/>
      <c r="Z507" s="143"/>
      <c r="AA507" s="114"/>
      <c r="AB507" s="114"/>
      <c r="AC507" s="114"/>
      <c r="AD507" s="143"/>
      <c r="AE507" s="114"/>
      <c r="AF507" s="114"/>
      <c r="AG507" s="143"/>
      <c r="AH507" s="114"/>
      <c r="AI507" s="114"/>
      <c r="AJ507" s="114"/>
      <c r="AK507" s="114"/>
      <c r="AL507" s="114"/>
      <c r="AM507" s="114"/>
      <c r="AN507" s="114"/>
      <c r="AO507" s="114"/>
      <c r="AP507" s="114"/>
      <c r="AQ507" s="114"/>
      <c r="AR507" s="114"/>
      <c r="AS507" s="114"/>
      <c r="AT507" s="143"/>
      <c r="AU507" s="114"/>
      <c r="AV507" s="114"/>
      <c r="AW507" s="114"/>
      <c r="AX507" s="114"/>
      <c r="AY507" s="114"/>
      <c r="AZ507" s="114"/>
      <c r="BA507" s="114"/>
      <c r="BB507" s="114"/>
      <c r="BC507" s="114"/>
    </row>
    <row r="508" spans="1:55" ht="15.75" customHeight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43"/>
      <c r="M508" s="143"/>
      <c r="N508" s="143"/>
      <c r="O508" s="143"/>
      <c r="P508" s="114"/>
      <c r="Q508" s="114"/>
      <c r="R508" s="114"/>
      <c r="S508" s="143"/>
      <c r="T508" s="114"/>
      <c r="U508" s="114"/>
      <c r="V508" s="114"/>
      <c r="W508" s="114"/>
      <c r="X508" s="114"/>
      <c r="Y508" s="114"/>
      <c r="Z508" s="143"/>
      <c r="AA508" s="114"/>
      <c r="AB508" s="114"/>
      <c r="AC508" s="114"/>
      <c r="AD508" s="143"/>
      <c r="AE508" s="114"/>
      <c r="AF508" s="114"/>
      <c r="AG508" s="143"/>
      <c r="AH508" s="114"/>
      <c r="AI508" s="114"/>
      <c r="AJ508" s="114"/>
      <c r="AK508" s="114"/>
      <c r="AL508" s="114"/>
      <c r="AM508" s="114"/>
      <c r="AN508" s="114"/>
      <c r="AO508" s="114"/>
      <c r="AP508" s="114"/>
      <c r="AQ508" s="114"/>
      <c r="AR508" s="114"/>
      <c r="AS508" s="114"/>
      <c r="AT508" s="143"/>
      <c r="AU508" s="114"/>
      <c r="AV508" s="114"/>
      <c r="AW508" s="114"/>
      <c r="AX508" s="114"/>
      <c r="AY508" s="114"/>
      <c r="AZ508" s="114"/>
      <c r="BA508" s="114"/>
      <c r="BB508" s="114"/>
      <c r="BC508" s="114"/>
    </row>
    <row r="509" spans="1:55" ht="15.75" customHeight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43"/>
      <c r="M509" s="143"/>
      <c r="N509" s="143"/>
      <c r="O509" s="143"/>
      <c r="P509" s="114"/>
      <c r="Q509" s="114"/>
      <c r="R509" s="114"/>
      <c r="S509" s="143"/>
      <c r="T509" s="114"/>
      <c r="U509" s="114"/>
      <c r="V509" s="114"/>
      <c r="W509" s="114"/>
      <c r="X509" s="114"/>
      <c r="Y509" s="114"/>
      <c r="Z509" s="143"/>
      <c r="AA509" s="114"/>
      <c r="AB509" s="114"/>
      <c r="AC509" s="114"/>
      <c r="AD509" s="143"/>
      <c r="AE509" s="114"/>
      <c r="AF509" s="114"/>
      <c r="AG509" s="143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43"/>
      <c r="AU509" s="114"/>
      <c r="AV509" s="114"/>
      <c r="AW509" s="114"/>
      <c r="AX509" s="114"/>
      <c r="AY509" s="114"/>
      <c r="AZ509" s="114"/>
      <c r="BA509" s="114"/>
      <c r="BB509" s="114"/>
      <c r="BC509" s="114"/>
    </row>
    <row r="510" spans="1:55" ht="15.75" customHeight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43"/>
      <c r="M510" s="143"/>
      <c r="N510" s="143"/>
      <c r="O510" s="143"/>
      <c r="P510" s="114"/>
      <c r="Q510" s="114"/>
      <c r="R510" s="114"/>
      <c r="S510" s="143"/>
      <c r="T510" s="114"/>
      <c r="U510" s="114"/>
      <c r="V510" s="114"/>
      <c r="W510" s="114"/>
      <c r="X510" s="114"/>
      <c r="Y510" s="114"/>
      <c r="Z510" s="143"/>
      <c r="AA510" s="114"/>
      <c r="AB510" s="114"/>
      <c r="AC510" s="114"/>
      <c r="AD510" s="143"/>
      <c r="AE510" s="114"/>
      <c r="AF510" s="114"/>
      <c r="AG510" s="143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43"/>
      <c r="AU510" s="114"/>
      <c r="AV510" s="114"/>
      <c r="AW510" s="114"/>
      <c r="AX510" s="114"/>
      <c r="AY510" s="114"/>
      <c r="AZ510" s="114"/>
      <c r="BA510" s="114"/>
      <c r="BB510" s="114"/>
      <c r="BC510" s="114"/>
    </row>
    <row r="511" spans="1:55" ht="15.75" customHeight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43"/>
      <c r="M511" s="143"/>
      <c r="N511" s="143"/>
      <c r="O511" s="143"/>
      <c r="P511" s="114"/>
      <c r="Q511" s="114"/>
      <c r="R511" s="114"/>
      <c r="S511" s="143"/>
      <c r="T511" s="114"/>
      <c r="U511" s="114"/>
      <c r="V511" s="114"/>
      <c r="W511" s="114"/>
      <c r="X511" s="114"/>
      <c r="Y511" s="114"/>
      <c r="Z511" s="143"/>
      <c r="AA511" s="114"/>
      <c r="AB511" s="114"/>
      <c r="AC511" s="114"/>
      <c r="AD511" s="143"/>
      <c r="AE511" s="114"/>
      <c r="AF511" s="114"/>
      <c r="AG511" s="143"/>
      <c r="AH511" s="114"/>
      <c r="AI511" s="114"/>
      <c r="AJ511" s="114"/>
      <c r="AK511" s="114"/>
      <c r="AL511" s="114"/>
      <c r="AM511" s="114"/>
      <c r="AN511" s="114"/>
      <c r="AO511" s="114"/>
      <c r="AP511" s="114"/>
      <c r="AQ511" s="114"/>
      <c r="AR511" s="114"/>
      <c r="AS511" s="114"/>
      <c r="AT511" s="143"/>
      <c r="AU511" s="114"/>
      <c r="AV511" s="114"/>
      <c r="AW511" s="114"/>
      <c r="AX511" s="114"/>
      <c r="AY511" s="114"/>
      <c r="AZ511" s="114"/>
      <c r="BA511" s="114"/>
      <c r="BB511" s="114"/>
      <c r="BC511" s="114"/>
    </row>
    <row r="512" spans="1:55" ht="15.75" customHeight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43"/>
      <c r="M512" s="143"/>
      <c r="N512" s="143"/>
      <c r="O512" s="143"/>
      <c r="P512" s="114"/>
      <c r="Q512" s="114"/>
      <c r="R512" s="114"/>
      <c r="S512" s="143"/>
      <c r="T512" s="114"/>
      <c r="U512" s="114"/>
      <c r="V512" s="114"/>
      <c r="W512" s="114"/>
      <c r="X512" s="114"/>
      <c r="Y512" s="114"/>
      <c r="Z512" s="143"/>
      <c r="AA512" s="114"/>
      <c r="AB512" s="114"/>
      <c r="AC512" s="114"/>
      <c r="AD512" s="143"/>
      <c r="AE512" s="114"/>
      <c r="AF512" s="114"/>
      <c r="AG512" s="143"/>
      <c r="AH512" s="114"/>
      <c r="AI512" s="114"/>
      <c r="AJ512" s="114"/>
      <c r="AK512" s="114"/>
      <c r="AL512" s="114"/>
      <c r="AM512" s="114"/>
      <c r="AN512" s="114"/>
      <c r="AO512" s="114"/>
      <c r="AP512" s="114"/>
      <c r="AQ512" s="114"/>
      <c r="AR512" s="114"/>
      <c r="AS512" s="114"/>
      <c r="AT512" s="143"/>
      <c r="AU512" s="114"/>
      <c r="AV512" s="114"/>
      <c r="AW512" s="114"/>
      <c r="AX512" s="114"/>
      <c r="AY512" s="114"/>
      <c r="AZ512" s="114"/>
      <c r="BA512" s="114"/>
      <c r="BB512" s="114"/>
      <c r="BC512" s="114"/>
    </row>
    <row r="513" spans="1:55" ht="15.75" customHeight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43"/>
      <c r="M513" s="143"/>
      <c r="N513" s="143"/>
      <c r="O513" s="143"/>
      <c r="P513" s="114"/>
      <c r="Q513" s="114"/>
      <c r="R513" s="114"/>
      <c r="S513" s="143"/>
      <c r="T513" s="114"/>
      <c r="U513" s="114"/>
      <c r="V513" s="114"/>
      <c r="W513" s="114"/>
      <c r="X513" s="114"/>
      <c r="Y513" s="114"/>
      <c r="Z513" s="143"/>
      <c r="AA513" s="114"/>
      <c r="AB513" s="114"/>
      <c r="AC513" s="114"/>
      <c r="AD513" s="143"/>
      <c r="AE513" s="114"/>
      <c r="AF513" s="114"/>
      <c r="AG513" s="143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43"/>
      <c r="AU513" s="114"/>
      <c r="AV513" s="114"/>
      <c r="AW513" s="114"/>
      <c r="AX513" s="114"/>
      <c r="AY513" s="114"/>
      <c r="AZ513" s="114"/>
      <c r="BA513" s="114"/>
      <c r="BB513" s="114"/>
      <c r="BC513" s="114"/>
    </row>
    <row r="514" spans="1:55" ht="15.75" customHeight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43"/>
      <c r="M514" s="143"/>
      <c r="N514" s="143"/>
      <c r="O514" s="143"/>
      <c r="P514" s="114"/>
      <c r="Q514" s="114"/>
      <c r="R514" s="114"/>
      <c r="S514" s="143"/>
      <c r="T514" s="114"/>
      <c r="U514" s="114"/>
      <c r="V514" s="114"/>
      <c r="W514" s="114"/>
      <c r="X514" s="114"/>
      <c r="Y514" s="114"/>
      <c r="Z514" s="143"/>
      <c r="AA514" s="114"/>
      <c r="AB514" s="114"/>
      <c r="AC514" s="114"/>
      <c r="AD514" s="143"/>
      <c r="AE514" s="114"/>
      <c r="AF514" s="114"/>
      <c r="AG514" s="143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43"/>
      <c r="AU514" s="114"/>
      <c r="AV514" s="114"/>
      <c r="AW514" s="114"/>
      <c r="AX514" s="114"/>
      <c r="AY514" s="114"/>
      <c r="AZ514" s="114"/>
      <c r="BA514" s="114"/>
      <c r="BB514" s="114"/>
      <c r="BC514" s="114"/>
    </row>
    <row r="515" spans="1:55" ht="15.75" customHeight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43"/>
      <c r="M515" s="143"/>
      <c r="N515" s="143"/>
      <c r="O515" s="143"/>
      <c r="P515" s="114"/>
      <c r="Q515" s="114"/>
      <c r="R515" s="114"/>
      <c r="S515" s="143"/>
      <c r="T515" s="114"/>
      <c r="U515" s="114"/>
      <c r="V515" s="114"/>
      <c r="W515" s="114"/>
      <c r="X515" s="114"/>
      <c r="Y515" s="114"/>
      <c r="Z515" s="143"/>
      <c r="AA515" s="114"/>
      <c r="AB515" s="114"/>
      <c r="AC515" s="114"/>
      <c r="AD515" s="143"/>
      <c r="AE515" s="114"/>
      <c r="AF515" s="114"/>
      <c r="AG515" s="143"/>
      <c r="AH515" s="114"/>
      <c r="AI515" s="114"/>
      <c r="AJ515" s="114"/>
      <c r="AK515" s="114"/>
      <c r="AL515" s="114"/>
      <c r="AM515" s="114"/>
      <c r="AN515" s="114"/>
      <c r="AO515" s="114"/>
      <c r="AP515" s="114"/>
      <c r="AQ515" s="114"/>
      <c r="AR515" s="114"/>
      <c r="AS515" s="114"/>
      <c r="AT515" s="143"/>
      <c r="AU515" s="114"/>
      <c r="AV515" s="114"/>
      <c r="AW515" s="114"/>
      <c r="AX515" s="114"/>
      <c r="AY515" s="114"/>
      <c r="AZ515" s="114"/>
      <c r="BA515" s="114"/>
      <c r="BB515" s="114"/>
      <c r="BC515" s="114"/>
    </row>
    <row r="516" spans="1:55" ht="15.75" customHeight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43"/>
      <c r="M516" s="143"/>
      <c r="N516" s="143"/>
      <c r="O516" s="143"/>
      <c r="P516" s="114"/>
      <c r="Q516" s="114"/>
      <c r="R516" s="114"/>
      <c r="S516" s="143"/>
      <c r="T516" s="114"/>
      <c r="U516" s="114"/>
      <c r="V516" s="114"/>
      <c r="W516" s="114"/>
      <c r="X516" s="114"/>
      <c r="Y516" s="114"/>
      <c r="Z516" s="143"/>
      <c r="AA516" s="114"/>
      <c r="AB516" s="114"/>
      <c r="AC516" s="114"/>
      <c r="AD516" s="143"/>
      <c r="AE516" s="114"/>
      <c r="AF516" s="114"/>
      <c r="AG516" s="143"/>
      <c r="AH516" s="114"/>
      <c r="AI516" s="114"/>
      <c r="AJ516" s="114"/>
      <c r="AK516" s="114"/>
      <c r="AL516" s="114"/>
      <c r="AM516" s="114"/>
      <c r="AN516" s="114"/>
      <c r="AO516" s="114"/>
      <c r="AP516" s="114"/>
      <c r="AQ516" s="114"/>
      <c r="AR516" s="114"/>
      <c r="AS516" s="114"/>
      <c r="AT516" s="143"/>
      <c r="AU516" s="114"/>
      <c r="AV516" s="114"/>
      <c r="AW516" s="114"/>
      <c r="AX516" s="114"/>
      <c r="AY516" s="114"/>
      <c r="AZ516" s="114"/>
      <c r="BA516" s="114"/>
      <c r="BB516" s="114"/>
      <c r="BC516" s="114"/>
    </row>
    <row r="517" spans="1:55" ht="15.75" customHeight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43"/>
      <c r="M517" s="143"/>
      <c r="N517" s="143"/>
      <c r="O517" s="143"/>
      <c r="P517" s="114"/>
      <c r="Q517" s="114"/>
      <c r="R517" s="114"/>
      <c r="S517" s="143"/>
      <c r="T517" s="114"/>
      <c r="U517" s="114"/>
      <c r="V517" s="114"/>
      <c r="W517" s="114"/>
      <c r="X517" s="114"/>
      <c r="Y517" s="114"/>
      <c r="Z517" s="143"/>
      <c r="AA517" s="114"/>
      <c r="AB517" s="114"/>
      <c r="AC517" s="114"/>
      <c r="AD517" s="143"/>
      <c r="AE517" s="114"/>
      <c r="AF517" s="114"/>
      <c r="AG517" s="143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43"/>
      <c r="AU517" s="114"/>
      <c r="AV517" s="114"/>
      <c r="AW517" s="114"/>
      <c r="AX517" s="114"/>
      <c r="AY517" s="114"/>
      <c r="AZ517" s="114"/>
      <c r="BA517" s="114"/>
      <c r="BB517" s="114"/>
      <c r="BC517" s="114"/>
    </row>
    <row r="518" spans="1:55" ht="15.75" customHeight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43"/>
      <c r="M518" s="143"/>
      <c r="N518" s="143"/>
      <c r="O518" s="143"/>
      <c r="P518" s="114"/>
      <c r="Q518" s="114"/>
      <c r="R518" s="114"/>
      <c r="S518" s="143"/>
      <c r="T518" s="114"/>
      <c r="U518" s="114"/>
      <c r="V518" s="114"/>
      <c r="W518" s="114"/>
      <c r="X518" s="114"/>
      <c r="Y518" s="114"/>
      <c r="Z518" s="143"/>
      <c r="AA518" s="114"/>
      <c r="AB518" s="114"/>
      <c r="AC518" s="114"/>
      <c r="AD518" s="143"/>
      <c r="AE518" s="114"/>
      <c r="AF518" s="114"/>
      <c r="AG518" s="143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43"/>
      <c r="AU518" s="114"/>
      <c r="AV518" s="114"/>
      <c r="AW518" s="114"/>
      <c r="AX518" s="114"/>
      <c r="AY518" s="114"/>
      <c r="AZ518" s="114"/>
      <c r="BA518" s="114"/>
      <c r="BB518" s="114"/>
      <c r="BC518" s="114"/>
    </row>
    <row r="519" spans="1:55" ht="15.75" customHeight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43"/>
      <c r="M519" s="143"/>
      <c r="N519" s="143"/>
      <c r="O519" s="143"/>
      <c r="P519" s="114"/>
      <c r="Q519" s="114"/>
      <c r="R519" s="114"/>
      <c r="S519" s="143"/>
      <c r="T519" s="114"/>
      <c r="U519" s="114"/>
      <c r="V519" s="114"/>
      <c r="W519" s="114"/>
      <c r="X519" s="114"/>
      <c r="Y519" s="114"/>
      <c r="Z519" s="143"/>
      <c r="AA519" s="114"/>
      <c r="AB519" s="114"/>
      <c r="AC519" s="114"/>
      <c r="AD519" s="143"/>
      <c r="AE519" s="114"/>
      <c r="AF519" s="114"/>
      <c r="AG519" s="143"/>
      <c r="AH519" s="114"/>
      <c r="AI519" s="114"/>
      <c r="AJ519" s="114"/>
      <c r="AK519" s="114"/>
      <c r="AL519" s="114"/>
      <c r="AM519" s="114"/>
      <c r="AN519" s="114"/>
      <c r="AO519" s="114"/>
      <c r="AP519" s="114"/>
      <c r="AQ519" s="114"/>
      <c r="AR519" s="114"/>
      <c r="AS519" s="114"/>
      <c r="AT519" s="143"/>
      <c r="AU519" s="114"/>
      <c r="AV519" s="114"/>
      <c r="AW519" s="114"/>
      <c r="AX519" s="114"/>
      <c r="AY519" s="114"/>
      <c r="AZ519" s="114"/>
      <c r="BA519" s="114"/>
      <c r="BB519" s="114"/>
      <c r="BC519" s="114"/>
    </row>
    <row r="520" spans="1:55" ht="15.75" customHeight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43"/>
      <c r="M520" s="143"/>
      <c r="N520" s="143"/>
      <c r="O520" s="143"/>
      <c r="P520" s="114"/>
      <c r="Q520" s="114"/>
      <c r="R520" s="114"/>
      <c r="S520" s="143"/>
      <c r="T520" s="114"/>
      <c r="U520" s="114"/>
      <c r="V520" s="114"/>
      <c r="W520" s="114"/>
      <c r="X520" s="114"/>
      <c r="Y520" s="114"/>
      <c r="Z520" s="143"/>
      <c r="AA520" s="114"/>
      <c r="AB520" s="114"/>
      <c r="AC520" s="114"/>
      <c r="AD520" s="143"/>
      <c r="AE520" s="114"/>
      <c r="AF520" s="114"/>
      <c r="AG520" s="143"/>
      <c r="AH520" s="114"/>
      <c r="AI520" s="114"/>
      <c r="AJ520" s="114"/>
      <c r="AK520" s="114"/>
      <c r="AL520" s="114"/>
      <c r="AM520" s="114"/>
      <c r="AN520" s="114"/>
      <c r="AO520" s="114"/>
      <c r="AP520" s="114"/>
      <c r="AQ520" s="114"/>
      <c r="AR520" s="114"/>
      <c r="AS520" s="114"/>
      <c r="AT520" s="143"/>
      <c r="AU520" s="114"/>
      <c r="AV520" s="114"/>
      <c r="AW520" s="114"/>
      <c r="AX520" s="114"/>
      <c r="AY520" s="114"/>
      <c r="AZ520" s="114"/>
      <c r="BA520" s="114"/>
      <c r="BB520" s="114"/>
      <c r="BC520" s="114"/>
    </row>
    <row r="521" spans="1:55" ht="15.75" customHeight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43"/>
      <c r="M521" s="143"/>
      <c r="N521" s="143"/>
      <c r="O521" s="143"/>
      <c r="P521" s="114"/>
      <c r="Q521" s="114"/>
      <c r="R521" s="114"/>
      <c r="S521" s="143"/>
      <c r="T521" s="114"/>
      <c r="U521" s="114"/>
      <c r="V521" s="114"/>
      <c r="W521" s="114"/>
      <c r="X521" s="114"/>
      <c r="Y521" s="114"/>
      <c r="Z521" s="143"/>
      <c r="AA521" s="114"/>
      <c r="AB521" s="114"/>
      <c r="AC521" s="114"/>
      <c r="AD521" s="143"/>
      <c r="AE521" s="114"/>
      <c r="AF521" s="114"/>
      <c r="AG521" s="143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43"/>
      <c r="AU521" s="114"/>
      <c r="AV521" s="114"/>
      <c r="AW521" s="114"/>
      <c r="AX521" s="114"/>
      <c r="AY521" s="114"/>
      <c r="AZ521" s="114"/>
      <c r="BA521" s="114"/>
      <c r="BB521" s="114"/>
      <c r="BC521" s="114"/>
    </row>
    <row r="522" spans="1:55" ht="15.75" customHeight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43"/>
      <c r="M522" s="143"/>
      <c r="N522" s="143"/>
      <c r="O522" s="143"/>
      <c r="P522" s="114"/>
      <c r="Q522" s="114"/>
      <c r="R522" s="114"/>
      <c r="S522" s="143"/>
      <c r="T522" s="114"/>
      <c r="U522" s="114"/>
      <c r="V522" s="114"/>
      <c r="W522" s="114"/>
      <c r="X522" s="114"/>
      <c r="Y522" s="114"/>
      <c r="Z522" s="143"/>
      <c r="AA522" s="114"/>
      <c r="AB522" s="114"/>
      <c r="AC522" s="114"/>
      <c r="AD522" s="143"/>
      <c r="AE522" s="114"/>
      <c r="AF522" s="114"/>
      <c r="AG522" s="143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43"/>
      <c r="AU522" s="114"/>
      <c r="AV522" s="114"/>
      <c r="AW522" s="114"/>
      <c r="AX522" s="114"/>
      <c r="AY522" s="114"/>
      <c r="AZ522" s="114"/>
      <c r="BA522" s="114"/>
      <c r="BB522" s="114"/>
      <c r="BC522" s="114"/>
    </row>
    <row r="523" spans="1:55" ht="15.75" customHeight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43"/>
      <c r="M523" s="143"/>
      <c r="N523" s="143"/>
      <c r="O523" s="143"/>
      <c r="P523" s="114"/>
      <c r="Q523" s="114"/>
      <c r="R523" s="114"/>
      <c r="S523" s="143"/>
      <c r="T523" s="114"/>
      <c r="U523" s="114"/>
      <c r="V523" s="114"/>
      <c r="W523" s="114"/>
      <c r="X523" s="114"/>
      <c r="Y523" s="114"/>
      <c r="Z523" s="143"/>
      <c r="AA523" s="114"/>
      <c r="AB523" s="114"/>
      <c r="AC523" s="114"/>
      <c r="AD523" s="143"/>
      <c r="AE523" s="114"/>
      <c r="AF523" s="114"/>
      <c r="AG523" s="143"/>
      <c r="AH523" s="114"/>
      <c r="AI523" s="114"/>
      <c r="AJ523" s="114"/>
      <c r="AK523" s="114"/>
      <c r="AL523" s="114"/>
      <c r="AM523" s="114"/>
      <c r="AN523" s="114"/>
      <c r="AO523" s="114"/>
      <c r="AP523" s="114"/>
      <c r="AQ523" s="114"/>
      <c r="AR523" s="114"/>
      <c r="AS523" s="114"/>
      <c r="AT523" s="143"/>
      <c r="AU523" s="114"/>
      <c r="AV523" s="114"/>
      <c r="AW523" s="114"/>
      <c r="AX523" s="114"/>
      <c r="AY523" s="114"/>
      <c r="AZ523" s="114"/>
      <c r="BA523" s="114"/>
      <c r="BB523" s="114"/>
      <c r="BC523" s="114"/>
    </row>
    <row r="524" spans="1:55" ht="15.75" customHeight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43"/>
      <c r="M524" s="143"/>
      <c r="N524" s="143"/>
      <c r="O524" s="143"/>
      <c r="P524" s="114"/>
      <c r="Q524" s="114"/>
      <c r="R524" s="114"/>
      <c r="S524" s="143"/>
      <c r="T524" s="114"/>
      <c r="U524" s="114"/>
      <c r="V524" s="114"/>
      <c r="W524" s="114"/>
      <c r="X524" s="114"/>
      <c r="Y524" s="114"/>
      <c r="Z524" s="143"/>
      <c r="AA524" s="114"/>
      <c r="AB524" s="114"/>
      <c r="AC524" s="114"/>
      <c r="AD524" s="143"/>
      <c r="AE524" s="114"/>
      <c r="AF524" s="114"/>
      <c r="AG524" s="143"/>
      <c r="AH524" s="114"/>
      <c r="AI524" s="114"/>
      <c r="AJ524" s="114"/>
      <c r="AK524" s="114"/>
      <c r="AL524" s="114"/>
      <c r="AM524" s="114"/>
      <c r="AN524" s="114"/>
      <c r="AO524" s="114"/>
      <c r="AP524" s="114"/>
      <c r="AQ524" s="114"/>
      <c r="AR524" s="114"/>
      <c r="AS524" s="114"/>
      <c r="AT524" s="143"/>
      <c r="AU524" s="114"/>
      <c r="AV524" s="114"/>
      <c r="AW524" s="114"/>
      <c r="AX524" s="114"/>
      <c r="AY524" s="114"/>
      <c r="AZ524" s="114"/>
      <c r="BA524" s="114"/>
      <c r="BB524" s="114"/>
      <c r="BC524" s="114"/>
    </row>
    <row r="525" spans="1:55" ht="15.75" customHeight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43"/>
      <c r="M525" s="143"/>
      <c r="N525" s="143"/>
      <c r="O525" s="143"/>
      <c r="P525" s="114"/>
      <c r="Q525" s="114"/>
      <c r="R525" s="114"/>
      <c r="S525" s="143"/>
      <c r="T525" s="114"/>
      <c r="U525" s="114"/>
      <c r="V525" s="114"/>
      <c r="W525" s="114"/>
      <c r="X525" s="114"/>
      <c r="Y525" s="114"/>
      <c r="Z525" s="143"/>
      <c r="AA525" s="114"/>
      <c r="AB525" s="114"/>
      <c r="AC525" s="114"/>
      <c r="AD525" s="143"/>
      <c r="AE525" s="114"/>
      <c r="AF525" s="114"/>
      <c r="AG525" s="143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43"/>
      <c r="AU525" s="114"/>
      <c r="AV525" s="114"/>
      <c r="AW525" s="114"/>
      <c r="AX525" s="114"/>
      <c r="AY525" s="114"/>
      <c r="AZ525" s="114"/>
      <c r="BA525" s="114"/>
      <c r="BB525" s="114"/>
      <c r="BC525" s="114"/>
    </row>
    <row r="526" spans="1:55" ht="15.75" customHeight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43"/>
      <c r="M526" s="143"/>
      <c r="N526" s="143"/>
      <c r="O526" s="143"/>
      <c r="P526" s="114"/>
      <c r="Q526" s="114"/>
      <c r="R526" s="114"/>
      <c r="S526" s="143"/>
      <c r="T526" s="114"/>
      <c r="U526" s="114"/>
      <c r="V526" s="114"/>
      <c r="W526" s="114"/>
      <c r="X526" s="114"/>
      <c r="Y526" s="114"/>
      <c r="Z526" s="143"/>
      <c r="AA526" s="114"/>
      <c r="AB526" s="114"/>
      <c r="AC526" s="114"/>
      <c r="AD526" s="143"/>
      <c r="AE526" s="114"/>
      <c r="AF526" s="114"/>
      <c r="AG526" s="143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43"/>
      <c r="AU526" s="114"/>
      <c r="AV526" s="114"/>
      <c r="AW526" s="114"/>
      <c r="AX526" s="114"/>
      <c r="AY526" s="114"/>
      <c r="AZ526" s="114"/>
      <c r="BA526" s="114"/>
      <c r="BB526" s="114"/>
      <c r="BC526" s="114"/>
    </row>
    <row r="527" spans="1:55" ht="15.75" customHeight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43"/>
      <c r="M527" s="143"/>
      <c r="N527" s="143"/>
      <c r="O527" s="143"/>
      <c r="P527" s="114"/>
      <c r="Q527" s="114"/>
      <c r="R527" s="114"/>
      <c r="S527" s="143"/>
      <c r="T527" s="114"/>
      <c r="U527" s="114"/>
      <c r="V527" s="114"/>
      <c r="W527" s="114"/>
      <c r="X527" s="114"/>
      <c r="Y527" s="114"/>
      <c r="Z527" s="143"/>
      <c r="AA527" s="114"/>
      <c r="AB527" s="114"/>
      <c r="AC527" s="114"/>
      <c r="AD527" s="143"/>
      <c r="AE527" s="114"/>
      <c r="AF527" s="114"/>
      <c r="AG527" s="143"/>
      <c r="AH527" s="114"/>
      <c r="AI527" s="114"/>
      <c r="AJ527" s="114"/>
      <c r="AK527" s="114"/>
      <c r="AL527" s="114"/>
      <c r="AM527" s="114"/>
      <c r="AN527" s="114"/>
      <c r="AO527" s="114"/>
      <c r="AP527" s="114"/>
      <c r="AQ527" s="114"/>
      <c r="AR527" s="114"/>
      <c r="AS527" s="114"/>
      <c r="AT527" s="143"/>
      <c r="AU527" s="114"/>
      <c r="AV527" s="114"/>
      <c r="AW527" s="114"/>
      <c r="AX527" s="114"/>
      <c r="AY527" s="114"/>
      <c r="AZ527" s="114"/>
      <c r="BA527" s="114"/>
      <c r="BB527" s="114"/>
      <c r="BC527" s="114"/>
    </row>
    <row r="528" spans="1:55" ht="15.75" customHeight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43"/>
      <c r="M528" s="143"/>
      <c r="N528" s="143"/>
      <c r="O528" s="143"/>
      <c r="P528" s="114"/>
      <c r="Q528" s="114"/>
      <c r="R528" s="114"/>
      <c r="S528" s="143"/>
      <c r="T528" s="114"/>
      <c r="U528" s="114"/>
      <c r="V528" s="114"/>
      <c r="W528" s="114"/>
      <c r="X528" s="114"/>
      <c r="Y528" s="114"/>
      <c r="Z528" s="143"/>
      <c r="AA528" s="114"/>
      <c r="AB528" s="114"/>
      <c r="AC528" s="114"/>
      <c r="AD528" s="143"/>
      <c r="AE528" s="114"/>
      <c r="AF528" s="114"/>
      <c r="AG528" s="143"/>
      <c r="AH528" s="114"/>
      <c r="AI528" s="114"/>
      <c r="AJ528" s="114"/>
      <c r="AK528" s="114"/>
      <c r="AL528" s="114"/>
      <c r="AM528" s="114"/>
      <c r="AN528" s="114"/>
      <c r="AO528" s="114"/>
      <c r="AP528" s="114"/>
      <c r="AQ528" s="114"/>
      <c r="AR528" s="114"/>
      <c r="AS528" s="114"/>
      <c r="AT528" s="143"/>
      <c r="AU528" s="114"/>
      <c r="AV528" s="114"/>
      <c r="AW528" s="114"/>
      <c r="AX528" s="114"/>
      <c r="AY528" s="114"/>
      <c r="AZ528" s="114"/>
      <c r="BA528" s="114"/>
      <c r="BB528" s="114"/>
      <c r="BC528" s="114"/>
    </row>
    <row r="529" spans="1:55" ht="15.75" customHeight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43"/>
      <c r="M529" s="143"/>
      <c r="N529" s="143"/>
      <c r="O529" s="143"/>
      <c r="P529" s="114"/>
      <c r="Q529" s="114"/>
      <c r="R529" s="114"/>
      <c r="S529" s="143"/>
      <c r="T529" s="114"/>
      <c r="U529" s="114"/>
      <c r="V529" s="114"/>
      <c r="W529" s="114"/>
      <c r="X529" s="114"/>
      <c r="Y529" s="114"/>
      <c r="Z529" s="143"/>
      <c r="AA529" s="114"/>
      <c r="AB529" s="114"/>
      <c r="AC529" s="114"/>
      <c r="AD529" s="143"/>
      <c r="AE529" s="114"/>
      <c r="AF529" s="114"/>
      <c r="AG529" s="143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43"/>
      <c r="AU529" s="114"/>
      <c r="AV529" s="114"/>
      <c r="AW529" s="114"/>
      <c r="AX529" s="114"/>
      <c r="AY529" s="114"/>
      <c r="AZ529" s="114"/>
      <c r="BA529" s="114"/>
      <c r="BB529" s="114"/>
      <c r="BC529" s="114"/>
    </row>
    <row r="530" spans="1:55" ht="15.75" customHeight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43"/>
      <c r="M530" s="143"/>
      <c r="N530" s="143"/>
      <c r="O530" s="143"/>
      <c r="P530" s="114"/>
      <c r="Q530" s="114"/>
      <c r="R530" s="114"/>
      <c r="S530" s="143"/>
      <c r="T530" s="114"/>
      <c r="U530" s="114"/>
      <c r="V530" s="114"/>
      <c r="W530" s="114"/>
      <c r="X530" s="114"/>
      <c r="Y530" s="114"/>
      <c r="Z530" s="143"/>
      <c r="AA530" s="114"/>
      <c r="AB530" s="114"/>
      <c r="AC530" s="114"/>
      <c r="AD530" s="143"/>
      <c r="AE530" s="114"/>
      <c r="AF530" s="114"/>
      <c r="AG530" s="143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43"/>
      <c r="AU530" s="114"/>
      <c r="AV530" s="114"/>
      <c r="AW530" s="114"/>
      <c r="AX530" s="114"/>
      <c r="AY530" s="114"/>
      <c r="AZ530" s="114"/>
      <c r="BA530" s="114"/>
      <c r="BB530" s="114"/>
      <c r="BC530" s="114"/>
    </row>
    <row r="531" spans="1:55" ht="15.75" customHeight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43"/>
      <c r="M531" s="143"/>
      <c r="N531" s="143"/>
      <c r="O531" s="143"/>
      <c r="P531" s="114"/>
      <c r="Q531" s="114"/>
      <c r="R531" s="114"/>
      <c r="S531" s="143"/>
      <c r="T531" s="114"/>
      <c r="U531" s="114"/>
      <c r="V531" s="114"/>
      <c r="W531" s="114"/>
      <c r="X531" s="114"/>
      <c r="Y531" s="114"/>
      <c r="Z531" s="143"/>
      <c r="AA531" s="114"/>
      <c r="AB531" s="114"/>
      <c r="AC531" s="114"/>
      <c r="AD531" s="143"/>
      <c r="AE531" s="114"/>
      <c r="AF531" s="114"/>
      <c r="AG531" s="143"/>
      <c r="AH531" s="114"/>
      <c r="AI531" s="114"/>
      <c r="AJ531" s="114"/>
      <c r="AK531" s="114"/>
      <c r="AL531" s="114"/>
      <c r="AM531" s="114"/>
      <c r="AN531" s="114"/>
      <c r="AO531" s="114"/>
      <c r="AP531" s="114"/>
      <c r="AQ531" s="114"/>
      <c r="AR531" s="114"/>
      <c r="AS531" s="114"/>
      <c r="AT531" s="143"/>
      <c r="AU531" s="114"/>
      <c r="AV531" s="114"/>
      <c r="AW531" s="114"/>
      <c r="AX531" s="114"/>
      <c r="AY531" s="114"/>
      <c r="AZ531" s="114"/>
      <c r="BA531" s="114"/>
      <c r="BB531" s="114"/>
      <c r="BC531" s="114"/>
    </row>
    <row r="532" spans="1:55" ht="15.75" customHeight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43"/>
      <c r="M532" s="143"/>
      <c r="N532" s="143"/>
      <c r="O532" s="143"/>
      <c r="P532" s="114"/>
      <c r="Q532" s="114"/>
      <c r="R532" s="114"/>
      <c r="S532" s="143"/>
      <c r="T532" s="114"/>
      <c r="U532" s="114"/>
      <c r="V532" s="114"/>
      <c r="W532" s="114"/>
      <c r="X532" s="114"/>
      <c r="Y532" s="114"/>
      <c r="Z532" s="143"/>
      <c r="AA532" s="114"/>
      <c r="AB532" s="114"/>
      <c r="AC532" s="114"/>
      <c r="AD532" s="143"/>
      <c r="AE532" s="114"/>
      <c r="AF532" s="114"/>
      <c r="AG532" s="143"/>
      <c r="AH532" s="114"/>
      <c r="AI532" s="114"/>
      <c r="AJ532" s="114"/>
      <c r="AK532" s="114"/>
      <c r="AL532" s="114"/>
      <c r="AM532" s="114"/>
      <c r="AN532" s="114"/>
      <c r="AO532" s="114"/>
      <c r="AP532" s="114"/>
      <c r="AQ532" s="114"/>
      <c r="AR532" s="114"/>
      <c r="AS532" s="114"/>
      <c r="AT532" s="143"/>
      <c r="AU532" s="114"/>
      <c r="AV532" s="114"/>
      <c r="AW532" s="114"/>
      <c r="AX532" s="114"/>
      <c r="AY532" s="114"/>
      <c r="AZ532" s="114"/>
      <c r="BA532" s="114"/>
      <c r="BB532" s="114"/>
      <c r="BC532" s="114"/>
    </row>
    <row r="533" spans="1:55" ht="15.75" customHeight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43"/>
      <c r="M533" s="143"/>
      <c r="N533" s="143"/>
      <c r="O533" s="143"/>
      <c r="P533" s="114"/>
      <c r="Q533" s="114"/>
      <c r="R533" s="114"/>
      <c r="S533" s="143"/>
      <c r="T533" s="114"/>
      <c r="U533" s="114"/>
      <c r="V533" s="114"/>
      <c r="W533" s="114"/>
      <c r="X533" s="114"/>
      <c r="Y533" s="114"/>
      <c r="Z533" s="143"/>
      <c r="AA533" s="114"/>
      <c r="AB533" s="114"/>
      <c r="AC533" s="114"/>
      <c r="AD533" s="143"/>
      <c r="AE533" s="114"/>
      <c r="AF533" s="114"/>
      <c r="AG533" s="143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43"/>
      <c r="AU533" s="114"/>
      <c r="AV533" s="114"/>
      <c r="AW533" s="114"/>
      <c r="AX533" s="114"/>
      <c r="AY533" s="114"/>
      <c r="AZ533" s="114"/>
      <c r="BA533" s="114"/>
      <c r="BB533" s="114"/>
      <c r="BC533" s="114"/>
    </row>
    <row r="534" spans="1:55" ht="15.75" customHeight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43"/>
      <c r="M534" s="143"/>
      <c r="N534" s="143"/>
      <c r="O534" s="143"/>
      <c r="P534" s="114"/>
      <c r="Q534" s="114"/>
      <c r="R534" s="114"/>
      <c r="S534" s="143"/>
      <c r="T534" s="114"/>
      <c r="U534" s="114"/>
      <c r="V534" s="114"/>
      <c r="W534" s="114"/>
      <c r="X534" s="114"/>
      <c r="Y534" s="114"/>
      <c r="Z534" s="143"/>
      <c r="AA534" s="114"/>
      <c r="AB534" s="114"/>
      <c r="AC534" s="114"/>
      <c r="AD534" s="143"/>
      <c r="AE534" s="114"/>
      <c r="AF534" s="114"/>
      <c r="AG534" s="143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43"/>
      <c r="AU534" s="114"/>
      <c r="AV534" s="114"/>
      <c r="AW534" s="114"/>
      <c r="AX534" s="114"/>
      <c r="AY534" s="114"/>
      <c r="AZ534" s="114"/>
      <c r="BA534" s="114"/>
      <c r="BB534" s="114"/>
      <c r="BC534" s="114"/>
    </row>
    <row r="535" spans="1:55" ht="15.75" customHeight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43"/>
      <c r="M535" s="143"/>
      <c r="N535" s="143"/>
      <c r="O535" s="143"/>
      <c r="P535" s="114"/>
      <c r="Q535" s="114"/>
      <c r="R535" s="114"/>
      <c r="S535" s="143"/>
      <c r="T535" s="114"/>
      <c r="U535" s="114"/>
      <c r="V535" s="114"/>
      <c r="W535" s="114"/>
      <c r="X535" s="114"/>
      <c r="Y535" s="114"/>
      <c r="Z535" s="143"/>
      <c r="AA535" s="114"/>
      <c r="AB535" s="114"/>
      <c r="AC535" s="114"/>
      <c r="AD535" s="143"/>
      <c r="AE535" s="114"/>
      <c r="AF535" s="114"/>
      <c r="AG535" s="143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4"/>
      <c r="AR535" s="114"/>
      <c r="AS535" s="114"/>
      <c r="AT535" s="143"/>
      <c r="AU535" s="114"/>
      <c r="AV535" s="114"/>
      <c r="AW535" s="114"/>
      <c r="AX535" s="114"/>
      <c r="AY535" s="114"/>
      <c r="AZ535" s="114"/>
      <c r="BA535" s="114"/>
      <c r="BB535" s="114"/>
      <c r="BC535" s="114"/>
    </row>
    <row r="536" spans="1:55" ht="15.75" customHeight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43"/>
      <c r="M536" s="143"/>
      <c r="N536" s="143"/>
      <c r="O536" s="143"/>
      <c r="P536" s="114"/>
      <c r="Q536" s="114"/>
      <c r="R536" s="114"/>
      <c r="S536" s="143"/>
      <c r="T536" s="114"/>
      <c r="U536" s="114"/>
      <c r="V536" s="114"/>
      <c r="W536" s="114"/>
      <c r="X536" s="114"/>
      <c r="Y536" s="114"/>
      <c r="Z536" s="143"/>
      <c r="AA536" s="114"/>
      <c r="AB536" s="114"/>
      <c r="AC536" s="114"/>
      <c r="AD536" s="143"/>
      <c r="AE536" s="114"/>
      <c r="AF536" s="114"/>
      <c r="AG536" s="143"/>
      <c r="AH536" s="114"/>
      <c r="AI536" s="114"/>
      <c r="AJ536" s="114"/>
      <c r="AK536" s="114"/>
      <c r="AL536" s="114"/>
      <c r="AM536" s="114"/>
      <c r="AN536" s="114"/>
      <c r="AO536" s="114"/>
      <c r="AP536" s="114"/>
      <c r="AQ536" s="114"/>
      <c r="AR536" s="114"/>
      <c r="AS536" s="114"/>
      <c r="AT536" s="143"/>
      <c r="AU536" s="114"/>
      <c r="AV536" s="114"/>
      <c r="AW536" s="114"/>
      <c r="AX536" s="114"/>
      <c r="AY536" s="114"/>
      <c r="AZ536" s="114"/>
      <c r="BA536" s="114"/>
      <c r="BB536" s="114"/>
      <c r="BC536" s="114"/>
    </row>
    <row r="537" spans="1:55" ht="15.75" customHeight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43"/>
      <c r="M537" s="143"/>
      <c r="N537" s="143"/>
      <c r="O537" s="143"/>
      <c r="P537" s="114"/>
      <c r="Q537" s="114"/>
      <c r="R537" s="114"/>
      <c r="S537" s="143"/>
      <c r="T537" s="114"/>
      <c r="U537" s="114"/>
      <c r="V537" s="114"/>
      <c r="W537" s="114"/>
      <c r="X537" s="114"/>
      <c r="Y537" s="114"/>
      <c r="Z537" s="143"/>
      <c r="AA537" s="114"/>
      <c r="AB537" s="114"/>
      <c r="AC537" s="114"/>
      <c r="AD537" s="143"/>
      <c r="AE537" s="114"/>
      <c r="AF537" s="114"/>
      <c r="AG537" s="143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43"/>
      <c r="AU537" s="114"/>
      <c r="AV537" s="114"/>
      <c r="AW537" s="114"/>
      <c r="AX537" s="114"/>
      <c r="AY537" s="114"/>
      <c r="AZ537" s="114"/>
      <c r="BA537" s="114"/>
      <c r="BB537" s="114"/>
      <c r="BC537" s="114"/>
    </row>
    <row r="538" spans="1:55" ht="15.75" customHeight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43"/>
      <c r="M538" s="143"/>
      <c r="N538" s="143"/>
      <c r="O538" s="143"/>
      <c r="P538" s="114"/>
      <c r="Q538" s="114"/>
      <c r="R538" s="114"/>
      <c r="S538" s="143"/>
      <c r="T538" s="114"/>
      <c r="U538" s="114"/>
      <c r="V538" s="114"/>
      <c r="W538" s="114"/>
      <c r="X538" s="114"/>
      <c r="Y538" s="114"/>
      <c r="Z538" s="143"/>
      <c r="AA538" s="114"/>
      <c r="AB538" s="114"/>
      <c r="AC538" s="114"/>
      <c r="AD538" s="143"/>
      <c r="AE538" s="114"/>
      <c r="AF538" s="114"/>
      <c r="AG538" s="143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43"/>
      <c r="AU538" s="114"/>
      <c r="AV538" s="114"/>
      <c r="AW538" s="114"/>
      <c r="AX538" s="114"/>
      <c r="AY538" s="114"/>
      <c r="AZ538" s="114"/>
      <c r="BA538" s="114"/>
      <c r="BB538" s="114"/>
      <c r="BC538" s="114"/>
    </row>
    <row r="539" spans="1:55" ht="15.75" customHeight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43"/>
      <c r="M539" s="143"/>
      <c r="N539" s="143"/>
      <c r="O539" s="143"/>
      <c r="P539" s="114"/>
      <c r="Q539" s="114"/>
      <c r="R539" s="114"/>
      <c r="S539" s="143"/>
      <c r="T539" s="114"/>
      <c r="U539" s="114"/>
      <c r="V539" s="114"/>
      <c r="W539" s="114"/>
      <c r="X539" s="114"/>
      <c r="Y539" s="114"/>
      <c r="Z539" s="143"/>
      <c r="AA539" s="114"/>
      <c r="AB539" s="114"/>
      <c r="AC539" s="114"/>
      <c r="AD539" s="143"/>
      <c r="AE539" s="114"/>
      <c r="AF539" s="114"/>
      <c r="AG539" s="143"/>
      <c r="AH539" s="114"/>
      <c r="AI539" s="114"/>
      <c r="AJ539" s="114"/>
      <c r="AK539" s="114"/>
      <c r="AL539" s="114"/>
      <c r="AM539" s="114"/>
      <c r="AN539" s="114"/>
      <c r="AO539" s="114"/>
      <c r="AP539" s="114"/>
      <c r="AQ539" s="114"/>
      <c r="AR539" s="114"/>
      <c r="AS539" s="114"/>
      <c r="AT539" s="143"/>
      <c r="AU539" s="114"/>
      <c r="AV539" s="114"/>
      <c r="AW539" s="114"/>
      <c r="AX539" s="114"/>
      <c r="AY539" s="114"/>
      <c r="AZ539" s="114"/>
      <c r="BA539" s="114"/>
      <c r="BB539" s="114"/>
      <c r="BC539" s="114"/>
    </row>
    <row r="540" spans="1:55" ht="15.75" customHeight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43"/>
      <c r="M540" s="143"/>
      <c r="N540" s="143"/>
      <c r="O540" s="143"/>
      <c r="P540" s="114"/>
      <c r="Q540" s="114"/>
      <c r="R540" s="114"/>
      <c r="S540" s="143"/>
      <c r="T540" s="114"/>
      <c r="U540" s="114"/>
      <c r="V540" s="114"/>
      <c r="W540" s="114"/>
      <c r="X540" s="114"/>
      <c r="Y540" s="114"/>
      <c r="Z540" s="143"/>
      <c r="AA540" s="114"/>
      <c r="AB540" s="114"/>
      <c r="AC540" s="114"/>
      <c r="AD540" s="143"/>
      <c r="AE540" s="114"/>
      <c r="AF540" s="114"/>
      <c r="AG540" s="143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  <c r="AR540" s="114"/>
      <c r="AS540" s="114"/>
      <c r="AT540" s="143"/>
      <c r="AU540" s="114"/>
      <c r="AV540" s="114"/>
      <c r="AW540" s="114"/>
      <c r="AX540" s="114"/>
      <c r="AY540" s="114"/>
      <c r="AZ540" s="114"/>
      <c r="BA540" s="114"/>
      <c r="BB540" s="114"/>
      <c r="BC540" s="114"/>
    </row>
    <row r="541" spans="1:55" ht="15.75" customHeight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43"/>
      <c r="M541" s="143"/>
      <c r="N541" s="143"/>
      <c r="O541" s="143"/>
      <c r="P541" s="114"/>
      <c r="Q541" s="114"/>
      <c r="R541" s="114"/>
      <c r="S541" s="143"/>
      <c r="T541" s="114"/>
      <c r="U541" s="114"/>
      <c r="V541" s="114"/>
      <c r="W541" s="114"/>
      <c r="X541" s="114"/>
      <c r="Y541" s="114"/>
      <c r="Z541" s="143"/>
      <c r="AA541" s="114"/>
      <c r="AB541" s="114"/>
      <c r="AC541" s="114"/>
      <c r="AD541" s="143"/>
      <c r="AE541" s="114"/>
      <c r="AF541" s="114"/>
      <c r="AG541" s="143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43"/>
      <c r="AU541" s="114"/>
      <c r="AV541" s="114"/>
      <c r="AW541" s="114"/>
      <c r="AX541" s="114"/>
      <c r="AY541" s="114"/>
      <c r="AZ541" s="114"/>
      <c r="BA541" s="114"/>
      <c r="BB541" s="114"/>
      <c r="BC541" s="114"/>
    </row>
    <row r="542" spans="1:55" ht="15.75" customHeight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43"/>
      <c r="M542" s="143"/>
      <c r="N542" s="143"/>
      <c r="O542" s="143"/>
      <c r="P542" s="114"/>
      <c r="Q542" s="114"/>
      <c r="R542" s="114"/>
      <c r="S542" s="143"/>
      <c r="T542" s="114"/>
      <c r="U542" s="114"/>
      <c r="V542" s="114"/>
      <c r="W542" s="114"/>
      <c r="X542" s="114"/>
      <c r="Y542" s="114"/>
      <c r="Z542" s="143"/>
      <c r="AA542" s="114"/>
      <c r="AB542" s="114"/>
      <c r="AC542" s="114"/>
      <c r="AD542" s="143"/>
      <c r="AE542" s="114"/>
      <c r="AF542" s="114"/>
      <c r="AG542" s="143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43"/>
      <c r="AU542" s="114"/>
      <c r="AV542" s="114"/>
      <c r="AW542" s="114"/>
      <c r="AX542" s="114"/>
      <c r="AY542" s="114"/>
      <c r="AZ542" s="114"/>
      <c r="BA542" s="114"/>
      <c r="BB542" s="114"/>
      <c r="BC542" s="114"/>
    </row>
    <row r="543" spans="1:55" ht="15.75" customHeight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43"/>
      <c r="M543" s="143"/>
      <c r="N543" s="143"/>
      <c r="O543" s="143"/>
      <c r="P543" s="114"/>
      <c r="Q543" s="114"/>
      <c r="R543" s="114"/>
      <c r="S543" s="143"/>
      <c r="T543" s="114"/>
      <c r="U543" s="114"/>
      <c r="V543" s="114"/>
      <c r="W543" s="114"/>
      <c r="X543" s="114"/>
      <c r="Y543" s="114"/>
      <c r="Z543" s="143"/>
      <c r="AA543" s="114"/>
      <c r="AB543" s="114"/>
      <c r="AC543" s="114"/>
      <c r="AD543" s="143"/>
      <c r="AE543" s="114"/>
      <c r="AF543" s="114"/>
      <c r="AG543" s="143"/>
      <c r="AH543" s="114"/>
      <c r="AI543" s="114"/>
      <c r="AJ543" s="114"/>
      <c r="AK543" s="114"/>
      <c r="AL543" s="114"/>
      <c r="AM543" s="114"/>
      <c r="AN543" s="114"/>
      <c r="AO543" s="114"/>
      <c r="AP543" s="114"/>
      <c r="AQ543" s="114"/>
      <c r="AR543" s="114"/>
      <c r="AS543" s="114"/>
      <c r="AT543" s="143"/>
      <c r="AU543" s="114"/>
      <c r="AV543" s="114"/>
      <c r="AW543" s="114"/>
      <c r="AX543" s="114"/>
      <c r="AY543" s="114"/>
      <c r="AZ543" s="114"/>
      <c r="BA543" s="114"/>
      <c r="BB543" s="114"/>
      <c r="BC543" s="114"/>
    </row>
    <row r="544" spans="1:55" ht="15.75" customHeight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43"/>
      <c r="M544" s="143"/>
      <c r="N544" s="143"/>
      <c r="O544" s="143"/>
      <c r="P544" s="114"/>
      <c r="Q544" s="114"/>
      <c r="R544" s="114"/>
      <c r="S544" s="143"/>
      <c r="T544" s="114"/>
      <c r="U544" s="114"/>
      <c r="V544" s="114"/>
      <c r="W544" s="114"/>
      <c r="X544" s="114"/>
      <c r="Y544" s="114"/>
      <c r="Z544" s="143"/>
      <c r="AA544" s="114"/>
      <c r="AB544" s="114"/>
      <c r="AC544" s="114"/>
      <c r="AD544" s="143"/>
      <c r="AE544" s="114"/>
      <c r="AF544" s="114"/>
      <c r="AG544" s="143"/>
      <c r="AH544" s="114"/>
      <c r="AI544" s="114"/>
      <c r="AJ544" s="114"/>
      <c r="AK544" s="114"/>
      <c r="AL544" s="114"/>
      <c r="AM544" s="114"/>
      <c r="AN544" s="114"/>
      <c r="AO544" s="114"/>
      <c r="AP544" s="114"/>
      <c r="AQ544" s="114"/>
      <c r="AR544" s="114"/>
      <c r="AS544" s="114"/>
      <c r="AT544" s="143"/>
      <c r="AU544" s="114"/>
      <c r="AV544" s="114"/>
      <c r="AW544" s="114"/>
      <c r="AX544" s="114"/>
      <c r="AY544" s="114"/>
      <c r="AZ544" s="114"/>
      <c r="BA544" s="114"/>
      <c r="BB544" s="114"/>
      <c r="BC544" s="114"/>
    </row>
    <row r="545" spans="1:55" ht="15.75" customHeight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43"/>
      <c r="M545" s="143"/>
      <c r="N545" s="143"/>
      <c r="O545" s="143"/>
      <c r="P545" s="114"/>
      <c r="Q545" s="114"/>
      <c r="R545" s="114"/>
      <c r="S545" s="143"/>
      <c r="T545" s="114"/>
      <c r="U545" s="114"/>
      <c r="V545" s="114"/>
      <c r="W545" s="114"/>
      <c r="X545" s="114"/>
      <c r="Y545" s="114"/>
      <c r="Z545" s="143"/>
      <c r="AA545" s="114"/>
      <c r="AB545" s="114"/>
      <c r="AC545" s="114"/>
      <c r="AD545" s="143"/>
      <c r="AE545" s="114"/>
      <c r="AF545" s="114"/>
      <c r="AG545" s="143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43"/>
      <c r="AU545" s="114"/>
      <c r="AV545" s="114"/>
      <c r="AW545" s="114"/>
      <c r="AX545" s="114"/>
      <c r="AY545" s="114"/>
      <c r="AZ545" s="114"/>
      <c r="BA545" s="114"/>
      <c r="BB545" s="114"/>
      <c r="BC545" s="114"/>
    </row>
    <row r="546" spans="1:55" ht="15.75" customHeight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43"/>
      <c r="M546" s="143"/>
      <c r="N546" s="143"/>
      <c r="O546" s="143"/>
      <c r="P546" s="114"/>
      <c r="Q546" s="114"/>
      <c r="R546" s="114"/>
      <c r="S546" s="143"/>
      <c r="T546" s="114"/>
      <c r="U546" s="114"/>
      <c r="V546" s="114"/>
      <c r="W546" s="114"/>
      <c r="X546" s="114"/>
      <c r="Y546" s="114"/>
      <c r="Z546" s="143"/>
      <c r="AA546" s="114"/>
      <c r="AB546" s="114"/>
      <c r="AC546" s="114"/>
      <c r="AD546" s="143"/>
      <c r="AE546" s="114"/>
      <c r="AF546" s="114"/>
      <c r="AG546" s="143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43"/>
      <c r="AU546" s="114"/>
      <c r="AV546" s="114"/>
      <c r="AW546" s="114"/>
      <c r="AX546" s="114"/>
      <c r="AY546" s="114"/>
      <c r="AZ546" s="114"/>
      <c r="BA546" s="114"/>
      <c r="BB546" s="114"/>
      <c r="BC546" s="114"/>
    </row>
    <row r="547" spans="1:55" ht="15.75" customHeight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43"/>
      <c r="M547" s="143"/>
      <c r="N547" s="143"/>
      <c r="O547" s="143"/>
      <c r="P547" s="114"/>
      <c r="Q547" s="114"/>
      <c r="R547" s="114"/>
      <c r="S547" s="143"/>
      <c r="T547" s="114"/>
      <c r="U547" s="114"/>
      <c r="V547" s="114"/>
      <c r="W547" s="114"/>
      <c r="X547" s="114"/>
      <c r="Y547" s="114"/>
      <c r="Z547" s="143"/>
      <c r="AA547" s="114"/>
      <c r="AB547" s="114"/>
      <c r="AC547" s="114"/>
      <c r="AD547" s="143"/>
      <c r="AE547" s="114"/>
      <c r="AF547" s="114"/>
      <c r="AG547" s="143"/>
      <c r="AH547" s="114"/>
      <c r="AI547" s="114"/>
      <c r="AJ547" s="114"/>
      <c r="AK547" s="114"/>
      <c r="AL547" s="114"/>
      <c r="AM547" s="114"/>
      <c r="AN547" s="114"/>
      <c r="AO547" s="114"/>
      <c r="AP547" s="114"/>
      <c r="AQ547" s="114"/>
      <c r="AR547" s="114"/>
      <c r="AS547" s="114"/>
      <c r="AT547" s="143"/>
      <c r="AU547" s="114"/>
      <c r="AV547" s="114"/>
      <c r="AW547" s="114"/>
      <c r="AX547" s="114"/>
      <c r="AY547" s="114"/>
      <c r="AZ547" s="114"/>
      <c r="BA547" s="114"/>
      <c r="BB547" s="114"/>
      <c r="BC547" s="114"/>
    </row>
    <row r="548" spans="1:55" ht="15.75" customHeight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43"/>
      <c r="M548" s="143"/>
      <c r="N548" s="143"/>
      <c r="O548" s="143"/>
      <c r="P548" s="114"/>
      <c r="Q548" s="114"/>
      <c r="R548" s="114"/>
      <c r="S548" s="143"/>
      <c r="T548" s="114"/>
      <c r="U548" s="114"/>
      <c r="V548" s="114"/>
      <c r="W548" s="114"/>
      <c r="X548" s="114"/>
      <c r="Y548" s="114"/>
      <c r="Z548" s="143"/>
      <c r="AA548" s="114"/>
      <c r="AB548" s="114"/>
      <c r="AC548" s="114"/>
      <c r="AD548" s="143"/>
      <c r="AE548" s="114"/>
      <c r="AF548" s="114"/>
      <c r="AG548" s="143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  <c r="AR548" s="114"/>
      <c r="AS548" s="114"/>
      <c r="AT548" s="143"/>
      <c r="AU548" s="114"/>
      <c r="AV548" s="114"/>
      <c r="AW548" s="114"/>
      <c r="AX548" s="114"/>
      <c r="AY548" s="114"/>
      <c r="AZ548" s="114"/>
      <c r="BA548" s="114"/>
      <c r="BB548" s="114"/>
      <c r="BC548" s="114"/>
    </row>
    <row r="549" spans="1:55" ht="15.75" customHeight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43"/>
      <c r="M549" s="143"/>
      <c r="N549" s="143"/>
      <c r="O549" s="143"/>
      <c r="P549" s="114"/>
      <c r="Q549" s="114"/>
      <c r="R549" s="114"/>
      <c r="S549" s="143"/>
      <c r="T549" s="114"/>
      <c r="U549" s="114"/>
      <c r="V549" s="114"/>
      <c r="W549" s="114"/>
      <c r="X549" s="114"/>
      <c r="Y549" s="114"/>
      <c r="Z549" s="143"/>
      <c r="AA549" s="114"/>
      <c r="AB549" s="114"/>
      <c r="AC549" s="114"/>
      <c r="AD549" s="143"/>
      <c r="AE549" s="114"/>
      <c r="AF549" s="114"/>
      <c r="AG549" s="143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43"/>
      <c r="AU549" s="114"/>
      <c r="AV549" s="114"/>
      <c r="AW549" s="114"/>
      <c r="AX549" s="114"/>
      <c r="AY549" s="114"/>
      <c r="AZ549" s="114"/>
      <c r="BA549" s="114"/>
      <c r="BB549" s="114"/>
      <c r="BC549" s="114"/>
    </row>
    <row r="550" spans="1:55" ht="15.75" customHeight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43"/>
      <c r="M550" s="143"/>
      <c r="N550" s="143"/>
      <c r="O550" s="143"/>
      <c r="P550" s="114"/>
      <c r="Q550" s="114"/>
      <c r="R550" s="114"/>
      <c r="S550" s="143"/>
      <c r="T550" s="114"/>
      <c r="U550" s="114"/>
      <c r="V550" s="114"/>
      <c r="W550" s="114"/>
      <c r="X550" s="114"/>
      <c r="Y550" s="114"/>
      <c r="Z550" s="143"/>
      <c r="AA550" s="114"/>
      <c r="AB550" s="114"/>
      <c r="AC550" s="114"/>
      <c r="AD550" s="143"/>
      <c r="AE550" s="114"/>
      <c r="AF550" s="114"/>
      <c r="AG550" s="143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43"/>
      <c r="AU550" s="114"/>
      <c r="AV550" s="114"/>
      <c r="AW550" s="114"/>
      <c r="AX550" s="114"/>
      <c r="AY550" s="114"/>
      <c r="AZ550" s="114"/>
      <c r="BA550" s="114"/>
      <c r="BB550" s="114"/>
      <c r="BC550" s="114"/>
    </row>
    <row r="551" spans="1:55" ht="15.75" customHeight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43"/>
      <c r="M551" s="143"/>
      <c r="N551" s="143"/>
      <c r="O551" s="143"/>
      <c r="P551" s="114"/>
      <c r="Q551" s="114"/>
      <c r="R551" s="114"/>
      <c r="S551" s="143"/>
      <c r="T551" s="114"/>
      <c r="U551" s="114"/>
      <c r="V551" s="114"/>
      <c r="W551" s="114"/>
      <c r="X551" s="114"/>
      <c r="Y551" s="114"/>
      <c r="Z551" s="143"/>
      <c r="AA551" s="114"/>
      <c r="AB551" s="114"/>
      <c r="AC551" s="114"/>
      <c r="AD551" s="143"/>
      <c r="AE551" s="114"/>
      <c r="AF551" s="114"/>
      <c r="AG551" s="143"/>
      <c r="AH551" s="114"/>
      <c r="AI551" s="114"/>
      <c r="AJ551" s="114"/>
      <c r="AK551" s="114"/>
      <c r="AL551" s="114"/>
      <c r="AM551" s="114"/>
      <c r="AN551" s="114"/>
      <c r="AO551" s="114"/>
      <c r="AP551" s="114"/>
      <c r="AQ551" s="114"/>
      <c r="AR551" s="114"/>
      <c r="AS551" s="114"/>
      <c r="AT551" s="143"/>
      <c r="AU551" s="114"/>
      <c r="AV551" s="114"/>
      <c r="AW551" s="114"/>
      <c r="AX551" s="114"/>
      <c r="AY551" s="114"/>
      <c r="AZ551" s="114"/>
      <c r="BA551" s="114"/>
      <c r="BB551" s="114"/>
      <c r="BC551" s="114"/>
    </row>
    <row r="552" spans="1:55" ht="15.75" customHeight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43"/>
      <c r="M552" s="143"/>
      <c r="N552" s="143"/>
      <c r="O552" s="143"/>
      <c r="P552" s="114"/>
      <c r="Q552" s="114"/>
      <c r="R552" s="114"/>
      <c r="S552" s="143"/>
      <c r="T552" s="114"/>
      <c r="U552" s="114"/>
      <c r="V552" s="114"/>
      <c r="W552" s="114"/>
      <c r="X552" s="114"/>
      <c r="Y552" s="114"/>
      <c r="Z552" s="143"/>
      <c r="AA552" s="114"/>
      <c r="AB552" s="114"/>
      <c r="AC552" s="114"/>
      <c r="AD552" s="143"/>
      <c r="AE552" s="114"/>
      <c r="AF552" s="114"/>
      <c r="AG552" s="143"/>
      <c r="AH552" s="114"/>
      <c r="AI552" s="114"/>
      <c r="AJ552" s="114"/>
      <c r="AK552" s="114"/>
      <c r="AL552" s="114"/>
      <c r="AM552" s="114"/>
      <c r="AN552" s="114"/>
      <c r="AO552" s="114"/>
      <c r="AP552" s="114"/>
      <c r="AQ552" s="114"/>
      <c r="AR552" s="114"/>
      <c r="AS552" s="114"/>
      <c r="AT552" s="143"/>
      <c r="AU552" s="114"/>
      <c r="AV552" s="114"/>
      <c r="AW552" s="114"/>
      <c r="AX552" s="114"/>
      <c r="AY552" s="114"/>
      <c r="AZ552" s="114"/>
      <c r="BA552" s="114"/>
      <c r="BB552" s="114"/>
      <c r="BC552" s="114"/>
    </row>
    <row r="553" spans="1:55" ht="15.75" customHeight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43"/>
      <c r="M553" s="143"/>
      <c r="N553" s="143"/>
      <c r="O553" s="143"/>
      <c r="P553" s="114"/>
      <c r="Q553" s="114"/>
      <c r="R553" s="114"/>
      <c r="S553" s="143"/>
      <c r="T553" s="114"/>
      <c r="U553" s="114"/>
      <c r="V553" s="114"/>
      <c r="W553" s="114"/>
      <c r="X553" s="114"/>
      <c r="Y553" s="114"/>
      <c r="Z553" s="143"/>
      <c r="AA553" s="114"/>
      <c r="AB553" s="114"/>
      <c r="AC553" s="114"/>
      <c r="AD553" s="143"/>
      <c r="AE553" s="114"/>
      <c r="AF553" s="114"/>
      <c r="AG553" s="143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43"/>
      <c r="AU553" s="114"/>
      <c r="AV553" s="114"/>
      <c r="AW553" s="114"/>
      <c r="AX553" s="114"/>
      <c r="AY553" s="114"/>
      <c r="AZ553" s="114"/>
      <c r="BA553" s="114"/>
      <c r="BB553" s="114"/>
      <c r="BC553" s="114"/>
    </row>
    <row r="554" spans="1:55" ht="15.75" customHeight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43"/>
      <c r="M554" s="143"/>
      <c r="N554" s="143"/>
      <c r="O554" s="143"/>
      <c r="P554" s="114"/>
      <c r="Q554" s="114"/>
      <c r="R554" s="114"/>
      <c r="S554" s="143"/>
      <c r="T554" s="114"/>
      <c r="U554" s="114"/>
      <c r="V554" s="114"/>
      <c r="W554" s="114"/>
      <c r="X554" s="114"/>
      <c r="Y554" s="114"/>
      <c r="Z554" s="143"/>
      <c r="AA554" s="114"/>
      <c r="AB554" s="114"/>
      <c r="AC554" s="114"/>
      <c r="AD554" s="143"/>
      <c r="AE554" s="114"/>
      <c r="AF554" s="114"/>
      <c r="AG554" s="143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43"/>
      <c r="AU554" s="114"/>
      <c r="AV554" s="114"/>
      <c r="AW554" s="114"/>
      <c r="AX554" s="114"/>
      <c r="AY554" s="114"/>
      <c r="AZ554" s="114"/>
      <c r="BA554" s="114"/>
      <c r="BB554" s="114"/>
      <c r="BC554" s="114"/>
    </row>
    <row r="555" spans="1:55" ht="15.75" customHeight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43"/>
      <c r="M555" s="143"/>
      <c r="N555" s="143"/>
      <c r="O555" s="143"/>
      <c r="P555" s="114"/>
      <c r="Q555" s="114"/>
      <c r="R555" s="114"/>
      <c r="S555" s="143"/>
      <c r="T555" s="114"/>
      <c r="U555" s="114"/>
      <c r="V555" s="114"/>
      <c r="W555" s="114"/>
      <c r="X555" s="114"/>
      <c r="Y555" s="114"/>
      <c r="Z555" s="143"/>
      <c r="AA555" s="114"/>
      <c r="AB555" s="114"/>
      <c r="AC555" s="114"/>
      <c r="AD555" s="143"/>
      <c r="AE555" s="114"/>
      <c r="AF555" s="114"/>
      <c r="AG555" s="143"/>
      <c r="AH555" s="114"/>
      <c r="AI555" s="114"/>
      <c r="AJ555" s="114"/>
      <c r="AK555" s="114"/>
      <c r="AL555" s="114"/>
      <c r="AM555" s="114"/>
      <c r="AN555" s="114"/>
      <c r="AO555" s="114"/>
      <c r="AP555" s="114"/>
      <c r="AQ555" s="114"/>
      <c r="AR555" s="114"/>
      <c r="AS555" s="114"/>
      <c r="AT555" s="143"/>
      <c r="AU555" s="114"/>
      <c r="AV555" s="114"/>
      <c r="AW555" s="114"/>
      <c r="AX555" s="114"/>
      <c r="AY555" s="114"/>
      <c r="AZ555" s="114"/>
      <c r="BA555" s="114"/>
      <c r="BB555" s="114"/>
      <c r="BC555" s="114"/>
    </row>
    <row r="556" spans="1:55" ht="15.75" customHeight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43"/>
      <c r="M556" s="143"/>
      <c r="N556" s="143"/>
      <c r="O556" s="143"/>
      <c r="P556" s="114"/>
      <c r="Q556" s="114"/>
      <c r="R556" s="114"/>
      <c r="S556" s="143"/>
      <c r="T556" s="114"/>
      <c r="U556" s="114"/>
      <c r="V556" s="114"/>
      <c r="W556" s="114"/>
      <c r="X556" s="114"/>
      <c r="Y556" s="114"/>
      <c r="Z556" s="143"/>
      <c r="AA556" s="114"/>
      <c r="AB556" s="114"/>
      <c r="AC556" s="114"/>
      <c r="AD556" s="143"/>
      <c r="AE556" s="114"/>
      <c r="AF556" s="114"/>
      <c r="AG556" s="143"/>
      <c r="AH556" s="114"/>
      <c r="AI556" s="114"/>
      <c r="AJ556" s="114"/>
      <c r="AK556" s="114"/>
      <c r="AL556" s="114"/>
      <c r="AM556" s="114"/>
      <c r="AN556" s="114"/>
      <c r="AO556" s="114"/>
      <c r="AP556" s="114"/>
      <c r="AQ556" s="114"/>
      <c r="AR556" s="114"/>
      <c r="AS556" s="114"/>
      <c r="AT556" s="143"/>
      <c r="AU556" s="114"/>
      <c r="AV556" s="114"/>
      <c r="AW556" s="114"/>
      <c r="AX556" s="114"/>
      <c r="AY556" s="114"/>
      <c r="AZ556" s="114"/>
      <c r="BA556" s="114"/>
      <c r="BB556" s="114"/>
      <c r="BC556" s="114"/>
    </row>
    <row r="557" spans="1:55" ht="15.75" customHeight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43"/>
      <c r="M557" s="143"/>
      <c r="N557" s="143"/>
      <c r="O557" s="143"/>
      <c r="P557" s="114"/>
      <c r="Q557" s="114"/>
      <c r="R557" s="114"/>
      <c r="S557" s="143"/>
      <c r="T557" s="114"/>
      <c r="U557" s="114"/>
      <c r="V557" s="114"/>
      <c r="W557" s="114"/>
      <c r="X557" s="114"/>
      <c r="Y557" s="114"/>
      <c r="Z557" s="143"/>
      <c r="AA557" s="114"/>
      <c r="AB557" s="114"/>
      <c r="AC557" s="114"/>
      <c r="AD557" s="143"/>
      <c r="AE557" s="114"/>
      <c r="AF557" s="114"/>
      <c r="AG557" s="143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43"/>
      <c r="AU557" s="114"/>
      <c r="AV557" s="114"/>
      <c r="AW557" s="114"/>
      <c r="AX557" s="114"/>
      <c r="AY557" s="114"/>
      <c r="AZ557" s="114"/>
      <c r="BA557" s="114"/>
      <c r="BB557" s="114"/>
      <c r="BC557" s="114"/>
    </row>
    <row r="558" spans="1:55" ht="15.75" customHeight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43"/>
      <c r="M558" s="143"/>
      <c r="N558" s="143"/>
      <c r="O558" s="143"/>
      <c r="P558" s="114"/>
      <c r="Q558" s="114"/>
      <c r="R558" s="114"/>
      <c r="S558" s="143"/>
      <c r="T558" s="114"/>
      <c r="U558" s="114"/>
      <c r="V558" s="114"/>
      <c r="W558" s="114"/>
      <c r="X558" s="114"/>
      <c r="Y558" s="114"/>
      <c r="Z558" s="143"/>
      <c r="AA558" s="114"/>
      <c r="AB558" s="114"/>
      <c r="AC558" s="114"/>
      <c r="AD558" s="143"/>
      <c r="AE558" s="114"/>
      <c r="AF558" s="114"/>
      <c r="AG558" s="143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43"/>
      <c r="AU558" s="114"/>
      <c r="AV558" s="114"/>
      <c r="AW558" s="114"/>
      <c r="AX558" s="114"/>
      <c r="AY558" s="114"/>
      <c r="AZ558" s="114"/>
      <c r="BA558" s="114"/>
      <c r="BB558" s="114"/>
      <c r="BC558" s="114"/>
    </row>
    <row r="559" spans="1:55" ht="15.75" customHeight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43"/>
      <c r="M559" s="143"/>
      <c r="N559" s="143"/>
      <c r="O559" s="143"/>
      <c r="P559" s="114"/>
      <c r="Q559" s="114"/>
      <c r="R559" s="114"/>
      <c r="S559" s="143"/>
      <c r="T559" s="114"/>
      <c r="U559" s="114"/>
      <c r="V559" s="114"/>
      <c r="W559" s="114"/>
      <c r="X559" s="114"/>
      <c r="Y559" s="114"/>
      <c r="Z559" s="143"/>
      <c r="AA559" s="114"/>
      <c r="AB559" s="114"/>
      <c r="AC559" s="114"/>
      <c r="AD559" s="143"/>
      <c r="AE559" s="114"/>
      <c r="AF559" s="114"/>
      <c r="AG559" s="143"/>
      <c r="AH559" s="114"/>
      <c r="AI559" s="114"/>
      <c r="AJ559" s="114"/>
      <c r="AK559" s="114"/>
      <c r="AL559" s="114"/>
      <c r="AM559" s="114"/>
      <c r="AN559" s="114"/>
      <c r="AO559" s="114"/>
      <c r="AP559" s="114"/>
      <c r="AQ559" s="114"/>
      <c r="AR559" s="114"/>
      <c r="AS559" s="114"/>
      <c r="AT559" s="143"/>
      <c r="AU559" s="114"/>
      <c r="AV559" s="114"/>
      <c r="AW559" s="114"/>
      <c r="AX559" s="114"/>
      <c r="AY559" s="114"/>
      <c r="AZ559" s="114"/>
      <c r="BA559" s="114"/>
      <c r="BB559" s="114"/>
      <c r="BC559" s="114"/>
    </row>
    <row r="560" spans="1:55" ht="15.75" customHeight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43"/>
      <c r="M560" s="143"/>
      <c r="N560" s="143"/>
      <c r="O560" s="143"/>
      <c r="P560" s="114"/>
      <c r="Q560" s="114"/>
      <c r="R560" s="114"/>
      <c r="S560" s="143"/>
      <c r="T560" s="114"/>
      <c r="U560" s="114"/>
      <c r="V560" s="114"/>
      <c r="W560" s="114"/>
      <c r="X560" s="114"/>
      <c r="Y560" s="114"/>
      <c r="Z560" s="143"/>
      <c r="AA560" s="114"/>
      <c r="AB560" s="114"/>
      <c r="AC560" s="114"/>
      <c r="AD560" s="143"/>
      <c r="AE560" s="114"/>
      <c r="AF560" s="114"/>
      <c r="AG560" s="143"/>
      <c r="AH560" s="114"/>
      <c r="AI560" s="114"/>
      <c r="AJ560" s="114"/>
      <c r="AK560" s="114"/>
      <c r="AL560" s="114"/>
      <c r="AM560" s="114"/>
      <c r="AN560" s="114"/>
      <c r="AO560" s="114"/>
      <c r="AP560" s="114"/>
      <c r="AQ560" s="114"/>
      <c r="AR560" s="114"/>
      <c r="AS560" s="114"/>
      <c r="AT560" s="143"/>
      <c r="AU560" s="114"/>
      <c r="AV560" s="114"/>
      <c r="AW560" s="114"/>
      <c r="AX560" s="114"/>
      <c r="AY560" s="114"/>
      <c r="AZ560" s="114"/>
      <c r="BA560" s="114"/>
      <c r="BB560" s="114"/>
      <c r="BC560" s="114"/>
    </row>
    <row r="561" spans="1:55" ht="15.75" customHeight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43"/>
      <c r="M561" s="143"/>
      <c r="N561" s="143"/>
      <c r="O561" s="143"/>
      <c r="P561" s="114"/>
      <c r="Q561" s="114"/>
      <c r="R561" s="114"/>
      <c r="S561" s="143"/>
      <c r="T561" s="114"/>
      <c r="U561" s="114"/>
      <c r="V561" s="114"/>
      <c r="W561" s="114"/>
      <c r="X561" s="114"/>
      <c r="Y561" s="114"/>
      <c r="Z561" s="143"/>
      <c r="AA561" s="114"/>
      <c r="AB561" s="114"/>
      <c r="AC561" s="114"/>
      <c r="AD561" s="143"/>
      <c r="AE561" s="114"/>
      <c r="AF561" s="114"/>
      <c r="AG561" s="143"/>
      <c r="AH561" s="114"/>
      <c r="AI561" s="114"/>
      <c r="AJ561" s="114"/>
      <c r="AK561" s="114"/>
      <c r="AL561" s="114"/>
      <c r="AM561" s="114"/>
      <c r="AN561" s="114"/>
      <c r="AO561" s="114"/>
      <c r="AP561" s="114"/>
      <c r="AQ561" s="114"/>
      <c r="AR561" s="114"/>
      <c r="AS561" s="114"/>
      <c r="AT561" s="143"/>
      <c r="AU561" s="114"/>
      <c r="AV561" s="114"/>
      <c r="AW561" s="114"/>
      <c r="AX561" s="114"/>
      <c r="AY561" s="114"/>
      <c r="AZ561" s="114"/>
      <c r="BA561" s="114"/>
      <c r="BB561" s="114"/>
      <c r="BC561" s="114"/>
    </row>
    <row r="562" spans="1:55" ht="15.75" customHeight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43"/>
      <c r="M562" s="143"/>
      <c r="N562" s="143"/>
      <c r="O562" s="143"/>
      <c r="P562" s="114"/>
      <c r="Q562" s="114"/>
      <c r="R562" s="114"/>
      <c r="S562" s="143"/>
      <c r="T562" s="114"/>
      <c r="U562" s="114"/>
      <c r="V562" s="114"/>
      <c r="W562" s="114"/>
      <c r="X562" s="114"/>
      <c r="Y562" s="114"/>
      <c r="Z562" s="143"/>
      <c r="AA562" s="114"/>
      <c r="AB562" s="114"/>
      <c r="AC562" s="114"/>
      <c r="AD562" s="143"/>
      <c r="AE562" s="114"/>
      <c r="AF562" s="114"/>
      <c r="AG562" s="143"/>
      <c r="AH562" s="114"/>
      <c r="AI562" s="114"/>
      <c r="AJ562" s="114"/>
      <c r="AK562" s="114"/>
      <c r="AL562" s="114"/>
      <c r="AM562" s="114"/>
      <c r="AN562" s="114"/>
      <c r="AO562" s="114"/>
      <c r="AP562" s="114"/>
      <c r="AQ562" s="114"/>
      <c r="AR562" s="114"/>
      <c r="AS562" s="114"/>
      <c r="AT562" s="143"/>
      <c r="AU562" s="114"/>
      <c r="AV562" s="114"/>
      <c r="AW562" s="114"/>
      <c r="AX562" s="114"/>
      <c r="AY562" s="114"/>
      <c r="AZ562" s="114"/>
      <c r="BA562" s="114"/>
      <c r="BB562" s="114"/>
      <c r="BC562" s="114"/>
    </row>
    <row r="563" spans="1:55" ht="15.75" customHeight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43"/>
      <c r="M563" s="143"/>
      <c r="N563" s="143"/>
      <c r="O563" s="143"/>
      <c r="P563" s="114"/>
      <c r="Q563" s="114"/>
      <c r="R563" s="114"/>
      <c r="S563" s="143"/>
      <c r="T563" s="114"/>
      <c r="U563" s="114"/>
      <c r="V563" s="114"/>
      <c r="W563" s="114"/>
      <c r="X563" s="114"/>
      <c r="Y563" s="114"/>
      <c r="Z563" s="143"/>
      <c r="AA563" s="114"/>
      <c r="AB563" s="114"/>
      <c r="AC563" s="114"/>
      <c r="AD563" s="143"/>
      <c r="AE563" s="114"/>
      <c r="AF563" s="114"/>
      <c r="AG563" s="143"/>
      <c r="AH563" s="114"/>
      <c r="AI563" s="114"/>
      <c r="AJ563" s="114"/>
      <c r="AK563" s="114"/>
      <c r="AL563" s="114"/>
      <c r="AM563" s="114"/>
      <c r="AN563" s="114"/>
      <c r="AO563" s="114"/>
      <c r="AP563" s="114"/>
      <c r="AQ563" s="114"/>
      <c r="AR563" s="114"/>
      <c r="AS563" s="114"/>
      <c r="AT563" s="143"/>
      <c r="AU563" s="114"/>
      <c r="AV563" s="114"/>
      <c r="AW563" s="114"/>
      <c r="AX563" s="114"/>
      <c r="AY563" s="114"/>
      <c r="AZ563" s="114"/>
      <c r="BA563" s="114"/>
      <c r="BB563" s="114"/>
      <c r="BC563" s="114"/>
    </row>
    <row r="564" spans="1:55" ht="15.75" customHeight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43"/>
      <c r="M564" s="143"/>
      <c r="N564" s="143"/>
      <c r="O564" s="143"/>
      <c r="P564" s="114"/>
      <c r="Q564" s="114"/>
      <c r="R564" s="114"/>
      <c r="S564" s="143"/>
      <c r="T564" s="114"/>
      <c r="U564" s="114"/>
      <c r="V564" s="114"/>
      <c r="W564" s="114"/>
      <c r="X564" s="114"/>
      <c r="Y564" s="114"/>
      <c r="Z564" s="143"/>
      <c r="AA564" s="114"/>
      <c r="AB564" s="114"/>
      <c r="AC564" s="114"/>
      <c r="AD564" s="143"/>
      <c r="AE564" s="114"/>
      <c r="AF564" s="114"/>
      <c r="AG564" s="143"/>
      <c r="AH564" s="114"/>
      <c r="AI564" s="114"/>
      <c r="AJ564" s="114"/>
      <c r="AK564" s="114"/>
      <c r="AL564" s="114"/>
      <c r="AM564" s="114"/>
      <c r="AN564" s="114"/>
      <c r="AO564" s="114"/>
      <c r="AP564" s="114"/>
      <c r="AQ564" s="114"/>
      <c r="AR564" s="114"/>
      <c r="AS564" s="114"/>
      <c r="AT564" s="143"/>
      <c r="AU564" s="114"/>
      <c r="AV564" s="114"/>
      <c r="AW564" s="114"/>
      <c r="AX564" s="114"/>
      <c r="AY564" s="114"/>
      <c r="AZ564" s="114"/>
      <c r="BA564" s="114"/>
      <c r="BB564" s="114"/>
      <c r="BC564" s="114"/>
    </row>
    <row r="565" spans="1:55" ht="15.75" customHeight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43"/>
      <c r="M565" s="143"/>
      <c r="N565" s="143"/>
      <c r="O565" s="143"/>
      <c r="P565" s="114"/>
      <c r="Q565" s="114"/>
      <c r="R565" s="114"/>
      <c r="S565" s="143"/>
      <c r="T565" s="114"/>
      <c r="U565" s="114"/>
      <c r="V565" s="114"/>
      <c r="W565" s="114"/>
      <c r="X565" s="114"/>
      <c r="Y565" s="114"/>
      <c r="Z565" s="143"/>
      <c r="AA565" s="114"/>
      <c r="AB565" s="114"/>
      <c r="AC565" s="114"/>
      <c r="AD565" s="143"/>
      <c r="AE565" s="114"/>
      <c r="AF565" s="114"/>
      <c r="AG565" s="143"/>
      <c r="AH565" s="114"/>
      <c r="AI565" s="114"/>
      <c r="AJ565" s="114"/>
      <c r="AK565" s="114"/>
      <c r="AL565" s="114"/>
      <c r="AM565" s="114"/>
      <c r="AN565" s="114"/>
      <c r="AO565" s="114"/>
      <c r="AP565" s="114"/>
      <c r="AQ565" s="114"/>
      <c r="AR565" s="114"/>
      <c r="AS565" s="114"/>
      <c r="AT565" s="143"/>
      <c r="AU565" s="114"/>
      <c r="AV565" s="114"/>
      <c r="AW565" s="114"/>
      <c r="AX565" s="114"/>
      <c r="AY565" s="114"/>
      <c r="AZ565" s="114"/>
      <c r="BA565" s="114"/>
      <c r="BB565" s="114"/>
      <c r="BC565" s="114"/>
    </row>
    <row r="566" spans="1:55" ht="15.75" customHeight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43"/>
      <c r="M566" s="143"/>
      <c r="N566" s="143"/>
      <c r="O566" s="143"/>
      <c r="P566" s="114"/>
      <c r="Q566" s="114"/>
      <c r="R566" s="114"/>
      <c r="S566" s="143"/>
      <c r="T566" s="114"/>
      <c r="U566" s="114"/>
      <c r="V566" s="114"/>
      <c r="W566" s="114"/>
      <c r="X566" s="114"/>
      <c r="Y566" s="114"/>
      <c r="Z566" s="143"/>
      <c r="AA566" s="114"/>
      <c r="AB566" s="114"/>
      <c r="AC566" s="114"/>
      <c r="AD566" s="143"/>
      <c r="AE566" s="114"/>
      <c r="AF566" s="114"/>
      <c r="AG566" s="143"/>
      <c r="AH566" s="114"/>
      <c r="AI566" s="114"/>
      <c r="AJ566" s="114"/>
      <c r="AK566" s="114"/>
      <c r="AL566" s="114"/>
      <c r="AM566" s="114"/>
      <c r="AN566" s="114"/>
      <c r="AO566" s="114"/>
      <c r="AP566" s="114"/>
      <c r="AQ566" s="114"/>
      <c r="AR566" s="114"/>
      <c r="AS566" s="114"/>
      <c r="AT566" s="143"/>
      <c r="AU566" s="114"/>
      <c r="AV566" s="114"/>
      <c r="AW566" s="114"/>
      <c r="AX566" s="114"/>
      <c r="AY566" s="114"/>
      <c r="AZ566" s="114"/>
      <c r="BA566" s="114"/>
      <c r="BB566" s="114"/>
      <c r="BC566" s="114"/>
    </row>
    <row r="567" spans="1:55" ht="15.75" customHeight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43"/>
      <c r="M567" s="143"/>
      <c r="N567" s="143"/>
      <c r="O567" s="143"/>
      <c r="P567" s="114"/>
      <c r="Q567" s="114"/>
      <c r="R567" s="114"/>
      <c r="S567" s="143"/>
      <c r="T567" s="114"/>
      <c r="U567" s="114"/>
      <c r="V567" s="114"/>
      <c r="W567" s="114"/>
      <c r="X567" s="114"/>
      <c r="Y567" s="114"/>
      <c r="Z567" s="143"/>
      <c r="AA567" s="114"/>
      <c r="AB567" s="114"/>
      <c r="AC567" s="114"/>
      <c r="AD567" s="143"/>
      <c r="AE567" s="114"/>
      <c r="AF567" s="114"/>
      <c r="AG567" s="143"/>
      <c r="AH567" s="114"/>
      <c r="AI567" s="114"/>
      <c r="AJ567" s="114"/>
      <c r="AK567" s="114"/>
      <c r="AL567" s="114"/>
      <c r="AM567" s="114"/>
      <c r="AN567" s="114"/>
      <c r="AO567" s="114"/>
      <c r="AP567" s="114"/>
      <c r="AQ567" s="114"/>
      <c r="AR567" s="114"/>
      <c r="AS567" s="114"/>
      <c r="AT567" s="143"/>
      <c r="AU567" s="114"/>
      <c r="AV567" s="114"/>
      <c r="AW567" s="114"/>
      <c r="AX567" s="114"/>
      <c r="AY567" s="114"/>
      <c r="AZ567" s="114"/>
      <c r="BA567" s="114"/>
      <c r="BB567" s="114"/>
      <c r="BC567" s="114"/>
    </row>
    <row r="568" spans="1:55" ht="15.75" customHeight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43"/>
      <c r="M568" s="143"/>
      <c r="N568" s="143"/>
      <c r="O568" s="143"/>
      <c r="P568" s="114"/>
      <c r="Q568" s="114"/>
      <c r="R568" s="114"/>
      <c r="S568" s="143"/>
      <c r="T568" s="114"/>
      <c r="U568" s="114"/>
      <c r="V568" s="114"/>
      <c r="W568" s="114"/>
      <c r="X568" s="114"/>
      <c r="Y568" s="114"/>
      <c r="Z568" s="143"/>
      <c r="AA568" s="114"/>
      <c r="AB568" s="114"/>
      <c r="AC568" s="114"/>
      <c r="AD568" s="143"/>
      <c r="AE568" s="114"/>
      <c r="AF568" s="114"/>
      <c r="AG568" s="143"/>
      <c r="AH568" s="114"/>
      <c r="AI568" s="114"/>
      <c r="AJ568" s="114"/>
      <c r="AK568" s="114"/>
      <c r="AL568" s="114"/>
      <c r="AM568" s="114"/>
      <c r="AN568" s="114"/>
      <c r="AO568" s="114"/>
      <c r="AP568" s="114"/>
      <c r="AQ568" s="114"/>
      <c r="AR568" s="114"/>
      <c r="AS568" s="114"/>
      <c r="AT568" s="143"/>
      <c r="AU568" s="114"/>
      <c r="AV568" s="114"/>
      <c r="AW568" s="114"/>
      <c r="AX568" s="114"/>
      <c r="AY568" s="114"/>
      <c r="AZ568" s="114"/>
      <c r="BA568" s="114"/>
      <c r="BB568" s="114"/>
      <c r="BC568" s="114"/>
    </row>
    <row r="569" spans="1:55" ht="15.75" customHeight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43"/>
      <c r="M569" s="143"/>
      <c r="N569" s="143"/>
      <c r="O569" s="143"/>
      <c r="P569" s="114"/>
      <c r="Q569" s="114"/>
      <c r="R569" s="114"/>
      <c r="S569" s="143"/>
      <c r="T569" s="114"/>
      <c r="U569" s="114"/>
      <c r="V569" s="114"/>
      <c r="W569" s="114"/>
      <c r="X569" s="114"/>
      <c r="Y569" s="114"/>
      <c r="Z569" s="143"/>
      <c r="AA569" s="114"/>
      <c r="AB569" s="114"/>
      <c r="AC569" s="114"/>
      <c r="AD569" s="143"/>
      <c r="AE569" s="114"/>
      <c r="AF569" s="114"/>
      <c r="AG569" s="143"/>
      <c r="AH569" s="114"/>
      <c r="AI569" s="114"/>
      <c r="AJ569" s="114"/>
      <c r="AK569" s="114"/>
      <c r="AL569" s="114"/>
      <c r="AM569" s="114"/>
      <c r="AN569" s="114"/>
      <c r="AO569" s="114"/>
      <c r="AP569" s="114"/>
      <c r="AQ569" s="114"/>
      <c r="AR569" s="114"/>
      <c r="AS569" s="114"/>
      <c r="AT569" s="143"/>
      <c r="AU569" s="114"/>
      <c r="AV569" s="114"/>
      <c r="AW569" s="114"/>
      <c r="AX569" s="114"/>
      <c r="AY569" s="114"/>
      <c r="AZ569" s="114"/>
      <c r="BA569" s="114"/>
      <c r="BB569" s="114"/>
      <c r="BC569" s="114"/>
    </row>
    <row r="570" spans="1:55" ht="15.75" customHeight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43"/>
      <c r="M570" s="143"/>
      <c r="N570" s="143"/>
      <c r="O570" s="143"/>
      <c r="P570" s="114"/>
      <c r="Q570" s="114"/>
      <c r="R570" s="114"/>
      <c r="S570" s="143"/>
      <c r="T570" s="114"/>
      <c r="U570" s="114"/>
      <c r="V570" s="114"/>
      <c r="W570" s="114"/>
      <c r="X570" s="114"/>
      <c r="Y570" s="114"/>
      <c r="Z570" s="143"/>
      <c r="AA570" s="114"/>
      <c r="AB570" s="114"/>
      <c r="AC570" s="114"/>
      <c r="AD570" s="143"/>
      <c r="AE570" s="114"/>
      <c r="AF570" s="114"/>
      <c r="AG570" s="143"/>
      <c r="AH570" s="114"/>
      <c r="AI570" s="114"/>
      <c r="AJ570" s="114"/>
      <c r="AK570" s="114"/>
      <c r="AL570" s="114"/>
      <c r="AM570" s="114"/>
      <c r="AN570" s="114"/>
      <c r="AO570" s="114"/>
      <c r="AP570" s="114"/>
      <c r="AQ570" s="114"/>
      <c r="AR570" s="114"/>
      <c r="AS570" s="114"/>
      <c r="AT570" s="143"/>
      <c r="AU570" s="114"/>
      <c r="AV570" s="114"/>
      <c r="AW570" s="114"/>
      <c r="AX570" s="114"/>
      <c r="AY570" s="114"/>
      <c r="AZ570" s="114"/>
      <c r="BA570" s="114"/>
      <c r="BB570" s="114"/>
      <c r="BC570" s="114"/>
    </row>
    <row r="571" spans="1:55" ht="15.75" customHeight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43"/>
      <c r="M571" s="143"/>
      <c r="N571" s="143"/>
      <c r="O571" s="143"/>
      <c r="P571" s="114"/>
      <c r="Q571" s="114"/>
      <c r="R571" s="114"/>
      <c r="S571" s="143"/>
      <c r="T571" s="114"/>
      <c r="U571" s="114"/>
      <c r="V571" s="114"/>
      <c r="W571" s="114"/>
      <c r="X571" s="114"/>
      <c r="Y571" s="114"/>
      <c r="Z571" s="143"/>
      <c r="AA571" s="114"/>
      <c r="AB571" s="114"/>
      <c r="AC571" s="114"/>
      <c r="AD571" s="143"/>
      <c r="AE571" s="114"/>
      <c r="AF571" s="114"/>
      <c r="AG571" s="143"/>
      <c r="AH571" s="114"/>
      <c r="AI571" s="114"/>
      <c r="AJ571" s="114"/>
      <c r="AK571" s="114"/>
      <c r="AL571" s="114"/>
      <c r="AM571" s="114"/>
      <c r="AN571" s="114"/>
      <c r="AO571" s="114"/>
      <c r="AP571" s="114"/>
      <c r="AQ571" s="114"/>
      <c r="AR571" s="114"/>
      <c r="AS571" s="114"/>
      <c r="AT571" s="143"/>
      <c r="AU571" s="114"/>
      <c r="AV571" s="114"/>
      <c r="AW571" s="114"/>
      <c r="AX571" s="114"/>
      <c r="AY571" s="114"/>
      <c r="AZ571" s="114"/>
      <c r="BA571" s="114"/>
      <c r="BB571" s="114"/>
      <c r="BC571" s="114"/>
    </row>
    <row r="572" spans="1:55" ht="15.75" customHeight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43"/>
      <c r="M572" s="143"/>
      <c r="N572" s="143"/>
      <c r="O572" s="143"/>
      <c r="P572" s="114"/>
      <c r="Q572" s="114"/>
      <c r="R572" s="114"/>
      <c r="S572" s="143"/>
      <c r="T572" s="114"/>
      <c r="U572" s="114"/>
      <c r="V572" s="114"/>
      <c r="W572" s="114"/>
      <c r="X572" s="114"/>
      <c r="Y572" s="114"/>
      <c r="Z572" s="143"/>
      <c r="AA572" s="114"/>
      <c r="AB572" s="114"/>
      <c r="AC572" s="114"/>
      <c r="AD572" s="143"/>
      <c r="AE572" s="114"/>
      <c r="AF572" s="114"/>
      <c r="AG572" s="143"/>
      <c r="AH572" s="114"/>
      <c r="AI572" s="114"/>
      <c r="AJ572" s="114"/>
      <c r="AK572" s="114"/>
      <c r="AL572" s="114"/>
      <c r="AM572" s="114"/>
      <c r="AN572" s="114"/>
      <c r="AO572" s="114"/>
      <c r="AP572" s="114"/>
      <c r="AQ572" s="114"/>
      <c r="AR572" s="114"/>
      <c r="AS572" s="114"/>
      <c r="AT572" s="143"/>
      <c r="AU572" s="114"/>
      <c r="AV572" s="114"/>
      <c r="AW572" s="114"/>
      <c r="AX572" s="114"/>
      <c r="AY572" s="114"/>
      <c r="AZ572" s="114"/>
      <c r="BA572" s="114"/>
      <c r="BB572" s="114"/>
      <c r="BC572" s="114"/>
    </row>
    <row r="573" spans="1:55" ht="15.75" customHeight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43"/>
      <c r="M573" s="143"/>
      <c r="N573" s="143"/>
      <c r="O573" s="143"/>
      <c r="P573" s="114"/>
      <c r="Q573" s="114"/>
      <c r="R573" s="114"/>
      <c r="S573" s="143"/>
      <c r="T573" s="114"/>
      <c r="U573" s="114"/>
      <c r="V573" s="114"/>
      <c r="W573" s="114"/>
      <c r="X573" s="114"/>
      <c r="Y573" s="114"/>
      <c r="Z573" s="143"/>
      <c r="AA573" s="114"/>
      <c r="AB573" s="114"/>
      <c r="AC573" s="114"/>
      <c r="AD573" s="143"/>
      <c r="AE573" s="114"/>
      <c r="AF573" s="114"/>
      <c r="AG573" s="143"/>
      <c r="AH573" s="114"/>
      <c r="AI573" s="114"/>
      <c r="AJ573" s="114"/>
      <c r="AK573" s="114"/>
      <c r="AL573" s="114"/>
      <c r="AM573" s="114"/>
      <c r="AN573" s="114"/>
      <c r="AO573" s="114"/>
      <c r="AP573" s="114"/>
      <c r="AQ573" s="114"/>
      <c r="AR573" s="114"/>
      <c r="AS573" s="114"/>
      <c r="AT573" s="143"/>
      <c r="AU573" s="114"/>
      <c r="AV573" s="114"/>
      <c r="AW573" s="114"/>
      <c r="AX573" s="114"/>
      <c r="AY573" s="114"/>
      <c r="AZ573" s="114"/>
      <c r="BA573" s="114"/>
      <c r="BB573" s="114"/>
      <c r="BC573" s="114"/>
    </row>
    <row r="574" spans="1:55" ht="15.75" customHeight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43"/>
      <c r="M574" s="143"/>
      <c r="N574" s="143"/>
      <c r="O574" s="143"/>
      <c r="P574" s="114"/>
      <c r="Q574" s="114"/>
      <c r="R574" s="114"/>
      <c r="S574" s="143"/>
      <c r="T574" s="114"/>
      <c r="U574" s="114"/>
      <c r="V574" s="114"/>
      <c r="W574" s="114"/>
      <c r="X574" s="114"/>
      <c r="Y574" s="114"/>
      <c r="Z574" s="143"/>
      <c r="AA574" s="114"/>
      <c r="AB574" s="114"/>
      <c r="AC574" s="114"/>
      <c r="AD574" s="143"/>
      <c r="AE574" s="114"/>
      <c r="AF574" s="114"/>
      <c r="AG574" s="143"/>
      <c r="AH574" s="114"/>
      <c r="AI574" s="114"/>
      <c r="AJ574" s="114"/>
      <c r="AK574" s="114"/>
      <c r="AL574" s="114"/>
      <c r="AM574" s="114"/>
      <c r="AN574" s="114"/>
      <c r="AO574" s="114"/>
      <c r="AP574" s="114"/>
      <c r="AQ574" s="114"/>
      <c r="AR574" s="114"/>
      <c r="AS574" s="114"/>
      <c r="AT574" s="143"/>
      <c r="AU574" s="114"/>
      <c r="AV574" s="114"/>
      <c r="AW574" s="114"/>
      <c r="AX574" s="114"/>
      <c r="AY574" s="114"/>
      <c r="AZ574" s="114"/>
      <c r="BA574" s="114"/>
      <c r="BB574" s="114"/>
      <c r="BC574" s="114"/>
    </row>
    <row r="575" spans="1:55" ht="15.75" customHeight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43"/>
      <c r="M575" s="143"/>
      <c r="N575" s="143"/>
      <c r="O575" s="143"/>
      <c r="P575" s="114"/>
      <c r="Q575" s="114"/>
      <c r="R575" s="114"/>
      <c r="S575" s="143"/>
      <c r="T575" s="114"/>
      <c r="U575" s="114"/>
      <c r="V575" s="114"/>
      <c r="W575" s="114"/>
      <c r="X575" s="114"/>
      <c r="Y575" s="114"/>
      <c r="Z575" s="143"/>
      <c r="AA575" s="114"/>
      <c r="AB575" s="114"/>
      <c r="AC575" s="114"/>
      <c r="AD575" s="143"/>
      <c r="AE575" s="114"/>
      <c r="AF575" s="114"/>
      <c r="AG575" s="143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43"/>
      <c r="AU575" s="114"/>
      <c r="AV575" s="114"/>
      <c r="AW575" s="114"/>
      <c r="AX575" s="114"/>
      <c r="AY575" s="114"/>
      <c r="AZ575" s="114"/>
      <c r="BA575" s="114"/>
      <c r="BB575" s="114"/>
      <c r="BC575" s="114"/>
    </row>
    <row r="576" spans="1:55" ht="15.75" customHeight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43"/>
      <c r="M576" s="143"/>
      <c r="N576" s="143"/>
      <c r="O576" s="143"/>
      <c r="P576" s="114"/>
      <c r="Q576" s="114"/>
      <c r="R576" s="114"/>
      <c r="S576" s="143"/>
      <c r="T576" s="114"/>
      <c r="U576" s="114"/>
      <c r="V576" s="114"/>
      <c r="W576" s="114"/>
      <c r="X576" s="114"/>
      <c r="Y576" s="114"/>
      <c r="Z576" s="143"/>
      <c r="AA576" s="114"/>
      <c r="AB576" s="114"/>
      <c r="AC576" s="114"/>
      <c r="AD576" s="143"/>
      <c r="AE576" s="114"/>
      <c r="AF576" s="114"/>
      <c r="AG576" s="143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43"/>
      <c r="AU576" s="114"/>
      <c r="AV576" s="114"/>
      <c r="AW576" s="114"/>
      <c r="AX576" s="114"/>
      <c r="AY576" s="114"/>
      <c r="AZ576" s="114"/>
      <c r="BA576" s="114"/>
      <c r="BB576" s="114"/>
      <c r="BC576" s="114"/>
    </row>
    <row r="577" spans="1:55" ht="15.75" customHeight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43"/>
      <c r="M577" s="143"/>
      <c r="N577" s="143"/>
      <c r="O577" s="143"/>
      <c r="P577" s="114"/>
      <c r="Q577" s="114"/>
      <c r="R577" s="114"/>
      <c r="S577" s="143"/>
      <c r="T577" s="114"/>
      <c r="U577" s="114"/>
      <c r="V577" s="114"/>
      <c r="W577" s="114"/>
      <c r="X577" s="114"/>
      <c r="Y577" s="114"/>
      <c r="Z577" s="143"/>
      <c r="AA577" s="114"/>
      <c r="AB577" s="114"/>
      <c r="AC577" s="114"/>
      <c r="AD577" s="143"/>
      <c r="AE577" s="114"/>
      <c r="AF577" s="114"/>
      <c r="AG577" s="143"/>
      <c r="AH577" s="114"/>
      <c r="AI577" s="114"/>
      <c r="AJ577" s="114"/>
      <c r="AK577" s="114"/>
      <c r="AL577" s="114"/>
      <c r="AM577" s="114"/>
      <c r="AN577" s="114"/>
      <c r="AO577" s="114"/>
      <c r="AP577" s="114"/>
      <c r="AQ577" s="114"/>
      <c r="AR577" s="114"/>
      <c r="AS577" s="114"/>
      <c r="AT577" s="143"/>
      <c r="AU577" s="114"/>
      <c r="AV577" s="114"/>
      <c r="AW577" s="114"/>
      <c r="AX577" s="114"/>
      <c r="AY577" s="114"/>
      <c r="AZ577" s="114"/>
      <c r="BA577" s="114"/>
      <c r="BB577" s="114"/>
      <c r="BC577" s="114"/>
    </row>
    <row r="578" spans="1:55" ht="15.75" customHeight="1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43"/>
      <c r="M578" s="143"/>
      <c r="N578" s="143"/>
      <c r="O578" s="143"/>
      <c r="P578" s="114"/>
      <c r="Q578" s="114"/>
      <c r="R578" s="114"/>
      <c r="S578" s="143"/>
      <c r="T578" s="114"/>
      <c r="U578" s="114"/>
      <c r="V578" s="114"/>
      <c r="W578" s="114"/>
      <c r="X578" s="114"/>
      <c r="Y578" s="114"/>
      <c r="Z578" s="143"/>
      <c r="AA578" s="114"/>
      <c r="AB578" s="114"/>
      <c r="AC578" s="114"/>
      <c r="AD578" s="143"/>
      <c r="AE578" s="114"/>
      <c r="AF578" s="114"/>
      <c r="AG578" s="143"/>
      <c r="AH578" s="114"/>
      <c r="AI578" s="114"/>
      <c r="AJ578" s="114"/>
      <c r="AK578" s="114"/>
      <c r="AL578" s="114"/>
      <c r="AM578" s="114"/>
      <c r="AN578" s="114"/>
      <c r="AO578" s="114"/>
      <c r="AP578" s="114"/>
      <c r="AQ578" s="114"/>
      <c r="AR578" s="114"/>
      <c r="AS578" s="114"/>
      <c r="AT578" s="143"/>
      <c r="AU578" s="114"/>
      <c r="AV578" s="114"/>
      <c r="AW578" s="114"/>
      <c r="AX578" s="114"/>
      <c r="AY578" s="114"/>
      <c r="AZ578" s="114"/>
      <c r="BA578" s="114"/>
      <c r="BB578" s="114"/>
      <c r="BC578" s="114"/>
    </row>
    <row r="579" spans="1:55" ht="15.75" customHeight="1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43"/>
      <c r="M579" s="143"/>
      <c r="N579" s="143"/>
      <c r="O579" s="143"/>
      <c r="P579" s="114"/>
      <c r="Q579" s="114"/>
      <c r="R579" s="114"/>
      <c r="S579" s="143"/>
      <c r="T579" s="114"/>
      <c r="U579" s="114"/>
      <c r="V579" s="114"/>
      <c r="W579" s="114"/>
      <c r="X579" s="114"/>
      <c r="Y579" s="114"/>
      <c r="Z579" s="143"/>
      <c r="AA579" s="114"/>
      <c r="AB579" s="114"/>
      <c r="AC579" s="114"/>
      <c r="AD579" s="143"/>
      <c r="AE579" s="114"/>
      <c r="AF579" s="114"/>
      <c r="AG579" s="143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43"/>
      <c r="AU579" s="114"/>
      <c r="AV579" s="114"/>
      <c r="AW579" s="114"/>
      <c r="AX579" s="114"/>
      <c r="AY579" s="114"/>
      <c r="AZ579" s="114"/>
      <c r="BA579" s="114"/>
      <c r="BB579" s="114"/>
      <c r="BC579" s="114"/>
    </row>
    <row r="580" spans="1:55" ht="15.75" customHeight="1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43"/>
      <c r="M580" s="143"/>
      <c r="N580" s="143"/>
      <c r="O580" s="143"/>
      <c r="P580" s="114"/>
      <c r="Q580" s="114"/>
      <c r="R580" s="114"/>
      <c r="S580" s="143"/>
      <c r="T580" s="114"/>
      <c r="U580" s="114"/>
      <c r="V580" s="114"/>
      <c r="W580" s="114"/>
      <c r="X580" s="114"/>
      <c r="Y580" s="114"/>
      <c r="Z580" s="143"/>
      <c r="AA580" s="114"/>
      <c r="AB580" s="114"/>
      <c r="AC580" s="114"/>
      <c r="AD580" s="143"/>
      <c r="AE580" s="114"/>
      <c r="AF580" s="114"/>
      <c r="AG580" s="143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43"/>
      <c r="AU580" s="114"/>
      <c r="AV580" s="114"/>
      <c r="AW580" s="114"/>
      <c r="AX580" s="114"/>
      <c r="AY580" s="114"/>
      <c r="AZ580" s="114"/>
      <c r="BA580" s="114"/>
      <c r="BB580" s="114"/>
      <c r="BC580" s="114"/>
    </row>
    <row r="581" spans="1:55" ht="15.75" customHeight="1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43"/>
      <c r="M581" s="143"/>
      <c r="N581" s="143"/>
      <c r="O581" s="143"/>
      <c r="P581" s="114"/>
      <c r="Q581" s="114"/>
      <c r="R581" s="114"/>
      <c r="S581" s="143"/>
      <c r="T581" s="114"/>
      <c r="U581" s="114"/>
      <c r="V581" s="114"/>
      <c r="W581" s="114"/>
      <c r="X581" s="114"/>
      <c r="Y581" s="114"/>
      <c r="Z581" s="143"/>
      <c r="AA581" s="114"/>
      <c r="AB581" s="114"/>
      <c r="AC581" s="114"/>
      <c r="AD581" s="143"/>
      <c r="AE581" s="114"/>
      <c r="AF581" s="114"/>
      <c r="AG581" s="143"/>
      <c r="AH581" s="114"/>
      <c r="AI581" s="114"/>
      <c r="AJ581" s="114"/>
      <c r="AK581" s="114"/>
      <c r="AL581" s="114"/>
      <c r="AM581" s="114"/>
      <c r="AN581" s="114"/>
      <c r="AO581" s="114"/>
      <c r="AP581" s="114"/>
      <c r="AQ581" s="114"/>
      <c r="AR581" s="114"/>
      <c r="AS581" s="114"/>
      <c r="AT581" s="143"/>
      <c r="AU581" s="114"/>
      <c r="AV581" s="114"/>
      <c r="AW581" s="114"/>
      <c r="AX581" s="114"/>
      <c r="AY581" s="114"/>
      <c r="AZ581" s="114"/>
      <c r="BA581" s="114"/>
      <c r="BB581" s="114"/>
      <c r="BC581" s="114"/>
    </row>
    <row r="582" spans="1:55" ht="15.75" customHeight="1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43"/>
      <c r="M582" s="143"/>
      <c r="N582" s="143"/>
      <c r="O582" s="143"/>
      <c r="P582" s="114"/>
      <c r="Q582" s="114"/>
      <c r="R582" s="114"/>
      <c r="S582" s="143"/>
      <c r="T582" s="114"/>
      <c r="U582" s="114"/>
      <c r="V582" s="114"/>
      <c r="W582" s="114"/>
      <c r="X582" s="114"/>
      <c r="Y582" s="114"/>
      <c r="Z582" s="143"/>
      <c r="AA582" s="114"/>
      <c r="AB582" s="114"/>
      <c r="AC582" s="114"/>
      <c r="AD582" s="143"/>
      <c r="AE582" s="114"/>
      <c r="AF582" s="114"/>
      <c r="AG582" s="143"/>
      <c r="AH582" s="114"/>
      <c r="AI582" s="114"/>
      <c r="AJ582" s="114"/>
      <c r="AK582" s="114"/>
      <c r="AL582" s="114"/>
      <c r="AM582" s="114"/>
      <c r="AN582" s="114"/>
      <c r="AO582" s="114"/>
      <c r="AP582" s="114"/>
      <c r="AQ582" s="114"/>
      <c r="AR582" s="114"/>
      <c r="AS582" s="114"/>
      <c r="AT582" s="143"/>
      <c r="AU582" s="114"/>
      <c r="AV582" s="114"/>
      <c r="AW582" s="114"/>
      <c r="AX582" s="114"/>
      <c r="AY582" s="114"/>
      <c r="AZ582" s="114"/>
      <c r="BA582" s="114"/>
      <c r="BB582" s="114"/>
      <c r="BC582" s="114"/>
    </row>
    <row r="583" spans="1:55" ht="15.75" customHeight="1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43"/>
      <c r="M583" s="143"/>
      <c r="N583" s="143"/>
      <c r="O583" s="143"/>
      <c r="P583" s="114"/>
      <c r="Q583" s="114"/>
      <c r="R583" s="114"/>
      <c r="S583" s="143"/>
      <c r="T583" s="114"/>
      <c r="U583" s="114"/>
      <c r="V583" s="114"/>
      <c r="W583" s="114"/>
      <c r="X583" s="114"/>
      <c r="Y583" s="114"/>
      <c r="Z583" s="143"/>
      <c r="AA583" s="114"/>
      <c r="AB583" s="114"/>
      <c r="AC583" s="114"/>
      <c r="AD583" s="143"/>
      <c r="AE583" s="114"/>
      <c r="AF583" s="114"/>
      <c r="AG583" s="143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43"/>
      <c r="AU583" s="114"/>
      <c r="AV583" s="114"/>
      <c r="AW583" s="114"/>
      <c r="AX583" s="114"/>
      <c r="AY583" s="114"/>
      <c r="AZ583" s="114"/>
      <c r="BA583" s="114"/>
      <c r="BB583" s="114"/>
      <c r="BC583" s="114"/>
    </row>
    <row r="584" spans="1:55" ht="15.75" customHeight="1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43"/>
      <c r="M584" s="143"/>
      <c r="N584" s="143"/>
      <c r="O584" s="143"/>
      <c r="P584" s="114"/>
      <c r="Q584" s="114"/>
      <c r="R584" s="114"/>
      <c r="S584" s="143"/>
      <c r="T584" s="114"/>
      <c r="U584" s="114"/>
      <c r="V584" s="114"/>
      <c r="W584" s="114"/>
      <c r="X584" s="114"/>
      <c r="Y584" s="114"/>
      <c r="Z584" s="143"/>
      <c r="AA584" s="114"/>
      <c r="AB584" s="114"/>
      <c r="AC584" s="114"/>
      <c r="AD584" s="143"/>
      <c r="AE584" s="114"/>
      <c r="AF584" s="114"/>
      <c r="AG584" s="143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43"/>
      <c r="AU584" s="114"/>
      <c r="AV584" s="114"/>
      <c r="AW584" s="114"/>
      <c r="AX584" s="114"/>
      <c r="AY584" s="114"/>
      <c r="AZ584" s="114"/>
      <c r="BA584" s="114"/>
      <c r="BB584" s="114"/>
      <c r="BC584" s="114"/>
    </row>
    <row r="585" spans="1:55" ht="15.75" customHeight="1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43"/>
      <c r="M585" s="143"/>
      <c r="N585" s="143"/>
      <c r="O585" s="143"/>
      <c r="P585" s="114"/>
      <c r="Q585" s="114"/>
      <c r="R585" s="114"/>
      <c r="S585" s="143"/>
      <c r="T585" s="114"/>
      <c r="U585" s="114"/>
      <c r="V585" s="114"/>
      <c r="W585" s="114"/>
      <c r="X585" s="114"/>
      <c r="Y585" s="114"/>
      <c r="Z585" s="143"/>
      <c r="AA585" s="114"/>
      <c r="AB585" s="114"/>
      <c r="AC585" s="114"/>
      <c r="AD585" s="143"/>
      <c r="AE585" s="114"/>
      <c r="AF585" s="114"/>
      <c r="AG585" s="143"/>
      <c r="AH585" s="114"/>
      <c r="AI585" s="114"/>
      <c r="AJ585" s="114"/>
      <c r="AK585" s="114"/>
      <c r="AL585" s="114"/>
      <c r="AM585" s="114"/>
      <c r="AN585" s="114"/>
      <c r="AO585" s="114"/>
      <c r="AP585" s="114"/>
      <c r="AQ585" s="114"/>
      <c r="AR585" s="114"/>
      <c r="AS585" s="114"/>
      <c r="AT585" s="143"/>
      <c r="AU585" s="114"/>
      <c r="AV585" s="114"/>
      <c r="AW585" s="114"/>
      <c r="AX585" s="114"/>
      <c r="AY585" s="114"/>
      <c r="AZ585" s="114"/>
      <c r="BA585" s="114"/>
      <c r="BB585" s="114"/>
      <c r="BC585" s="114"/>
    </row>
    <row r="586" spans="1:55" ht="15.75" customHeight="1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43"/>
      <c r="M586" s="143"/>
      <c r="N586" s="143"/>
      <c r="O586" s="143"/>
      <c r="P586" s="114"/>
      <c r="Q586" s="114"/>
      <c r="R586" s="114"/>
      <c r="S586" s="143"/>
      <c r="T586" s="114"/>
      <c r="U586" s="114"/>
      <c r="V586" s="114"/>
      <c r="W586" s="114"/>
      <c r="X586" s="114"/>
      <c r="Y586" s="114"/>
      <c r="Z586" s="143"/>
      <c r="AA586" s="114"/>
      <c r="AB586" s="114"/>
      <c r="AC586" s="114"/>
      <c r="AD586" s="143"/>
      <c r="AE586" s="114"/>
      <c r="AF586" s="114"/>
      <c r="AG586" s="143"/>
      <c r="AH586" s="114"/>
      <c r="AI586" s="114"/>
      <c r="AJ586" s="114"/>
      <c r="AK586" s="114"/>
      <c r="AL586" s="114"/>
      <c r="AM586" s="114"/>
      <c r="AN586" s="114"/>
      <c r="AO586" s="114"/>
      <c r="AP586" s="114"/>
      <c r="AQ586" s="114"/>
      <c r="AR586" s="114"/>
      <c r="AS586" s="114"/>
      <c r="AT586" s="143"/>
      <c r="AU586" s="114"/>
      <c r="AV586" s="114"/>
      <c r="AW586" s="114"/>
      <c r="AX586" s="114"/>
      <c r="AY586" s="114"/>
      <c r="AZ586" s="114"/>
      <c r="BA586" s="114"/>
      <c r="BB586" s="114"/>
      <c r="BC586" s="114"/>
    </row>
    <row r="587" spans="1:55" ht="15.75" customHeight="1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43"/>
      <c r="M587" s="143"/>
      <c r="N587" s="143"/>
      <c r="O587" s="143"/>
      <c r="P587" s="114"/>
      <c r="Q587" s="114"/>
      <c r="R587" s="114"/>
      <c r="S587" s="143"/>
      <c r="T587" s="114"/>
      <c r="U587" s="114"/>
      <c r="V587" s="114"/>
      <c r="W587" s="114"/>
      <c r="X587" s="114"/>
      <c r="Y587" s="114"/>
      <c r="Z587" s="143"/>
      <c r="AA587" s="114"/>
      <c r="AB587" s="114"/>
      <c r="AC587" s="114"/>
      <c r="AD587" s="143"/>
      <c r="AE587" s="114"/>
      <c r="AF587" s="114"/>
      <c r="AG587" s="143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43"/>
      <c r="AU587" s="114"/>
      <c r="AV587" s="114"/>
      <c r="AW587" s="114"/>
      <c r="AX587" s="114"/>
      <c r="AY587" s="114"/>
      <c r="AZ587" s="114"/>
      <c r="BA587" s="114"/>
      <c r="BB587" s="114"/>
      <c r="BC587" s="114"/>
    </row>
    <row r="588" spans="1:55" ht="15.75" customHeight="1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43"/>
      <c r="M588" s="143"/>
      <c r="N588" s="143"/>
      <c r="O588" s="143"/>
      <c r="P588" s="114"/>
      <c r="Q588" s="114"/>
      <c r="R588" s="114"/>
      <c r="S588" s="143"/>
      <c r="T588" s="114"/>
      <c r="U588" s="114"/>
      <c r="V588" s="114"/>
      <c r="W588" s="114"/>
      <c r="X588" s="114"/>
      <c r="Y588" s="114"/>
      <c r="Z588" s="143"/>
      <c r="AA588" s="114"/>
      <c r="AB588" s="114"/>
      <c r="AC588" s="114"/>
      <c r="AD588" s="143"/>
      <c r="AE588" s="114"/>
      <c r="AF588" s="114"/>
      <c r="AG588" s="143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43"/>
      <c r="AU588" s="114"/>
      <c r="AV588" s="114"/>
      <c r="AW588" s="114"/>
      <c r="AX588" s="114"/>
      <c r="AY588" s="114"/>
      <c r="AZ588" s="114"/>
      <c r="BA588" s="114"/>
      <c r="BB588" s="114"/>
      <c r="BC588" s="114"/>
    </row>
    <row r="589" spans="1:55" ht="15.75" customHeight="1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43"/>
      <c r="M589" s="143"/>
      <c r="N589" s="143"/>
      <c r="O589" s="143"/>
      <c r="P589" s="114"/>
      <c r="Q589" s="114"/>
      <c r="R589" s="114"/>
      <c r="S589" s="143"/>
      <c r="T589" s="114"/>
      <c r="U589" s="114"/>
      <c r="V589" s="114"/>
      <c r="W589" s="114"/>
      <c r="X589" s="114"/>
      <c r="Y589" s="114"/>
      <c r="Z589" s="143"/>
      <c r="AA589" s="114"/>
      <c r="AB589" s="114"/>
      <c r="AC589" s="114"/>
      <c r="AD589" s="143"/>
      <c r="AE589" s="114"/>
      <c r="AF589" s="114"/>
      <c r="AG589" s="143"/>
      <c r="AH589" s="114"/>
      <c r="AI589" s="114"/>
      <c r="AJ589" s="114"/>
      <c r="AK589" s="114"/>
      <c r="AL589" s="114"/>
      <c r="AM589" s="114"/>
      <c r="AN589" s="114"/>
      <c r="AO589" s="114"/>
      <c r="AP589" s="114"/>
      <c r="AQ589" s="114"/>
      <c r="AR589" s="114"/>
      <c r="AS589" s="114"/>
      <c r="AT589" s="143"/>
      <c r="AU589" s="114"/>
      <c r="AV589" s="114"/>
      <c r="AW589" s="114"/>
      <c r="AX589" s="114"/>
      <c r="AY589" s="114"/>
      <c r="AZ589" s="114"/>
      <c r="BA589" s="114"/>
      <c r="BB589" s="114"/>
      <c r="BC589" s="114"/>
    </row>
    <row r="590" spans="1:55" ht="15.75" customHeight="1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43"/>
      <c r="M590" s="143"/>
      <c r="N590" s="143"/>
      <c r="O590" s="143"/>
      <c r="P590" s="114"/>
      <c r="Q590" s="114"/>
      <c r="R590" s="114"/>
      <c r="S590" s="143"/>
      <c r="T590" s="114"/>
      <c r="U590" s="114"/>
      <c r="V590" s="114"/>
      <c r="W590" s="114"/>
      <c r="X590" s="114"/>
      <c r="Y590" s="114"/>
      <c r="Z590" s="143"/>
      <c r="AA590" s="114"/>
      <c r="AB590" s="114"/>
      <c r="AC590" s="114"/>
      <c r="AD590" s="143"/>
      <c r="AE590" s="114"/>
      <c r="AF590" s="114"/>
      <c r="AG590" s="143"/>
      <c r="AH590" s="114"/>
      <c r="AI590" s="114"/>
      <c r="AJ590" s="114"/>
      <c r="AK590" s="114"/>
      <c r="AL590" s="114"/>
      <c r="AM590" s="114"/>
      <c r="AN590" s="114"/>
      <c r="AO590" s="114"/>
      <c r="AP590" s="114"/>
      <c r="AQ590" s="114"/>
      <c r="AR590" s="114"/>
      <c r="AS590" s="114"/>
      <c r="AT590" s="143"/>
      <c r="AU590" s="114"/>
      <c r="AV590" s="114"/>
      <c r="AW590" s="114"/>
      <c r="AX590" s="114"/>
      <c r="AY590" s="114"/>
      <c r="AZ590" s="114"/>
      <c r="BA590" s="114"/>
      <c r="BB590" s="114"/>
      <c r="BC590" s="114"/>
    </row>
    <row r="591" spans="1:55" ht="15.75" customHeight="1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43"/>
      <c r="M591" s="143"/>
      <c r="N591" s="143"/>
      <c r="O591" s="143"/>
      <c r="P591" s="114"/>
      <c r="Q591" s="114"/>
      <c r="R591" s="114"/>
      <c r="S591" s="143"/>
      <c r="T591" s="114"/>
      <c r="U591" s="114"/>
      <c r="V591" s="114"/>
      <c r="W591" s="114"/>
      <c r="X591" s="114"/>
      <c r="Y591" s="114"/>
      <c r="Z591" s="143"/>
      <c r="AA591" s="114"/>
      <c r="AB591" s="114"/>
      <c r="AC591" s="114"/>
      <c r="AD591" s="143"/>
      <c r="AE591" s="114"/>
      <c r="AF591" s="114"/>
      <c r="AG591" s="143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43"/>
      <c r="AU591" s="114"/>
      <c r="AV591" s="114"/>
      <c r="AW591" s="114"/>
      <c r="AX591" s="114"/>
      <c r="AY591" s="114"/>
      <c r="AZ591" s="114"/>
      <c r="BA591" s="114"/>
      <c r="BB591" s="114"/>
      <c r="BC591" s="114"/>
    </row>
    <row r="592" spans="1:55" ht="15.75" customHeight="1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43"/>
      <c r="M592" s="143"/>
      <c r="N592" s="143"/>
      <c r="O592" s="143"/>
      <c r="P592" s="114"/>
      <c r="Q592" s="114"/>
      <c r="R592" s="114"/>
      <c r="S592" s="143"/>
      <c r="T592" s="114"/>
      <c r="U592" s="114"/>
      <c r="V592" s="114"/>
      <c r="W592" s="114"/>
      <c r="X592" s="114"/>
      <c r="Y592" s="114"/>
      <c r="Z592" s="143"/>
      <c r="AA592" s="114"/>
      <c r="AB592" s="114"/>
      <c r="AC592" s="114"/>
      <c r="AD592" s="143"/>
      <c r="AE592" s="114"/>
      <c r="AF592" s="114"/>
      <c r="AG592" s="143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43"/>
      <c r="AU592" s="114"/>
      <c r="AV592" s="114"/>
      <c r="AW592" s="114"/>
      <c r="AX592" s="114"/>
      <c r="AY592" s="114"/>
      <c r="AZ592" s="114"/>
      <c r="BA592" s="114"/>
      <c r="BB592" s="114"/>
      <c r="BC592" s="114"/>
    </row>
    <row r="593" spans="1:55" ht="15.75" customHeight="1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43"/>
      <c r="M593" s="143"/>
      <c r="N593" s="143"/>
      <c r="O593" s="143"/>
      <c r="P593" s="114"/>
      <c r="Q593" s="114"/>
      <c r="R593" s="114"/>
      <c r="S593" s="143"/>
      <c r="T593" s="114"/>
      <c r="U593" s="114"/>
      <c r="V593" s="114"/>
      <c r="W593" s="114"/>
      <c r="X593" s="114"/>
      <c r="Y593" s="114"/>
      <c r="Z593" s="143"/>
      <c r="AA593" s="114"/>
      <c r="AB593" s="114"/>
      <c r="AC593" s="114"/>
      <c r="AD593" s="143"/>
      <c r="AE593" s="114"/>
      <c r="AF593" s="114"/>
      <c r="AG593" s="143"/>
      <c r="AH593" s="114"/>
      <c r="AI593" s="114"/>
      <c r="AJ593" s="114"/>
      <c r="AK593" s="114"/>
      <c r="AL593" s="114"/>
      <c r="AM593" s="114"/>
      <c r="AN593" s="114"/>
      <c r="AO593" s="114"/>
      <c r="AP593" s="114"/>
      <c r="AQ593" s="114"/>
      <c r="AR593" s="114"/>
      <c r="AS593" s="114"/>
      <c r="AT593" s="143"/>
      <c r="AU593" s="114"/>
      <c r="AV593" s="114"/>
      <c r="AW593" s="114"/>
      <c r="AX593" s="114"/>
      <c r="AY593" s="114"/>
      <c r="AZ593" s="114"/>
      <c r="BA593" s="114"/>
      <c r="BB593" s="114"/>
      <c r="BC593" s="114"/>
    </row>
    <row r="594" spans="1:55" ht="15.75" customHeight="1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43"/>
      <c r="M594" s="143"/>
      <c r="N594" s="143"/>
      <c r="O594" s="143"/>
      <c r="P594" s="114"/>
      <c r="Q594" s="114"/>
      <c r="R594" s="114"/>
      <c r="S594" s="143"/>
      <c r="T594" s="114"/>
      <c r="U594" s="114"/>
      <c r="V594" s="114"/>
      <c r="W594" s="114"/>
      <c r="X594" s="114"/>
      <c r="Y594" s="114"/>
      <c r="Z594" s="143"/>
      <c r="AA594" s="114"/>
      <c r="AB594" s="114"/>
      <c r="AC594" s="114"/>
      <c r="AD594" s="143"/>
      <c r="AE594" s="114"/>
      <c r="AF594" s="114"/>
      <c r="AG594" s="143"/>
      <c r="AH594" s="114"/>
      <c r="AI594" s="114"/>
      <c r="AJ594" s="114"/>
      <c r="AK594" s="114"/>
      <c r="AL594" s="114"/>
      <c r="AM594" s="114"/>
      <c r="AN594" s="114"/>
      <c r="AO594" s="114"/>
      <c r="AP594" s="114"/>
      <c r="AQ594" s="114"/>
      <c r="AR594" s="114"/>
      <c r="AS594" s="114"/>
      <c r="AT594" s="143"/>
      <c r="AU594" s="114"/>
      <c r="AV594" s="114"/>
      <c r="AW594" s="114"/>
      <c r="AX594" s="114"/>
      <c r="AY594" s="114"/>
      <c r="AZ594" s="114"/>
      <c r="BA594" s="114"/>
      <c r="BB594" s="114"/>
      <c r="BC594" s="114"/>
    </row>
    <row r="595" spans="1:55" ht="15.75" customHeight="1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43"/>
      <c r="M595" s="143"/>
      <c r="N595" s="143"/>
      <c r="O595" s="143"/>
      <c r="P595" s="114"/>
      <c r="Q595" s="114"/>
      <c r="R595" s="114"/>
      <c r="S595" s="143"/>
      <c r="T595" s="114"/>
      <c r="U595" s="114"/>
      <c r="V595" s="114"/>
      <c r="W595" s="114"/>
      <c r="X595" s="114"/>
      <c r="Y595" s="114"/>
      <c r="Z595" s="143"/>
      <c r="AA595" s="114"/>
      <c r="AB595" s="114"/>
      <c r="AC595" s="114"/>
      <c r="AD595" s="143"/>
      <c r="AE595" s="114"/>
      <c r="AF595" s="114"/>
      <c r="AG595" s="143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43"/>
      <c r="AU595" s="114"/>
      <c r="AV595" s="114"/>
      <c r="AW595" s="114"/>
      <c r="AX595" s="114"/>
      <c r="AY595" s="114"/>
      <c r="AZ595" s="114"/>
      <c r="BA595" s="114"/>
      <c r="BB595" s="114"/>
      <c r="BC595" s="114"/>
    </row>
    <row r="596" spans="1:55" ht="15.75" customHeight="1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43"/>
      <c r="M596" s="143"/>
      <c r="N596" s="143"/>
      <c r="O596" s="143"/>
      <c r="P596" s="114"/>
      <c r="Q596" s="114"/>
      <c r="R596" s="114"/>
      <c r="S596" s="143"/>
      <c r="T596" s="114"/>
      <c r="U596" s="114"/>
      <c r="V596" s="114"/>
      <c r="W596" s="114"/>
      <c r="X596" s="114"/>
      <c r="Y596" s="114"/>
      <c r="Z596" s="143"/>
      <c r="AA596" s="114"/>
      <c r="AB596" s="114"/>
      <c r="AC596" s="114"/>
      <c r="AD596" s="143"/>
      <c r="AE596" s="114"/>
      <c r="AF596" s="114"/>
      <c r="AG596" s="143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43"/>
      <c r="AU596" s="114"/>
      <c r="AV596" s="114"/>
      <c r="AW596" s="114"/>
      <c r="AX596" s="114"/>
      <c r="AY596" s="114"/>
      <c r="AZ596" s="114"/>
      <c r="BA596" s="114"/>
      <c r="BB596" s="114"/>
      <c r="BC596" s="114"/>
    </row>
    <row r="597" spans="1:55" ht="15.75" customHeight="1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43"/>
      <c r="M597" s="143"/>
      <c r="N597" s="143"/>
      <c r="O597" s="143"/>
      <c r="P597" s="114"/>
      <c r="Q597" s="114"/>
      <c r="R597" s="114"/>
      <c r="S597" s="143"/>
      <c r="T597" s="114"/>
      <c r="U597" s="114"/>
      <c r="V597" s="114"/>
      <c r="W597" s="114"/>
      <c r="X597" s="114"/>
      <c r="Y597" s="114"/>
      <c r="Z597" s="143"/>
      <c r="AA597" s="114"/>
      <c r="AB597" s="114"/>
      <c r="AC597" s="114"/>
      <c r="AD597" s="143"/>
      <c r="AE597" s="114"/>
      <c r="AF597" s="114"/>
      <c r="AG597" s="143"/>
      <c r="AH597" s="114"/>
      <c r="AI597" s="114"/>
      <c r="AJ597" s="114"/>
      <c r="AK597" s="114"/>
      <c r="AL597" s="114"/>
      <c r="AM597" s="114"/>
      <c r="AN597" s="114"/>
      <c r="AO597" s="114"/>
      <c r="AP597" s="114"/>
      <c r="AQ597" s="114"/>
      <c r="AR597" s="114"/>
      <c r="AS597" s="114"/>
      <c r="AT597" s="143"/>
      <c r="AU597" s="114"/>
      <c r="AV597" s="114"/>
      <c r="AW597" s="114"/>
      <c r="AX597" s="114"/>
      <c r="AY597" s="114"/>
      <c r="AZ597" s="114"/>
      <c r="BA597" s="114"/>
      <c r="BB597" s="114"/>
      <c r="BC597" s="114"/>
    </row>
    <row r="598" spans="1:55" ht="15.75" customHeight="1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43"/>
      <c r="M598" s="143"/>
      <c r="N598" s="143"/>
      <c r="O598" s="143"/>
      <c r="P598" s="114"/>
      <c r="Q598" s="114"/>
      <c r="R598" s="114"/>
      <c r="S598" s="143"/>
      <c r="T598" s="114"/>
      <c r="U598" s="114"/>
      <c r="V598" s="114"/>
      <c r="W598" s="114"/>
      <c r="X598" s="114"/>
      <c r="Y598" s="114"/>
      <c r="Z598" s="143"/>
      <c r="AA598" s="114"/>
      <c r="AB598" s="114"/>
      <c r="AC598" s="114"/>
      <c r="AD598" s="143"/>
      <c r="AE598" s="114"/>
      <c r="AF598" s="114"/>
      <c r="AG598" s="143"/>
      <c r="AH598" s="114"/>
      <c r="AI598" s="114"/>
      <c r="AJ598" s="114"/>
      <c r="AK598" s="114"/>
      <c r="AL598" s="114"/>
      <c r="AM598" s="114"/>
      <c r="AN598" s="114"/>
      <c r="AO598" s="114"/>
      <c r="AP598" s="114"/>
      <c r="AQ598" s="114"/>
      <c r="AR598" s="114"/>
      <c r="AS598" s="114"/>
      <c r="AT598" s="143"/>
      <c r="AU598" s="114"/>
      <c r="AV598" s="114"/>
      <c r="AW598" s="114"/>
      <c r="AX598" s="114"/>
      <c r="AY598" s="114"/>
      <c r="AZ598" s="114"/>
      <c r="BA598" s="114"/>
      <c r="BB598" s="114"/>
      <c r="BC598" s="114"/>
    </row>
    <row r="599" spans="1:55" ht="15.75" customHeight="1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43"/>
      <c r="M599" s="143"/>
      <c r="N599" s="143"/>
      <c r="O599" s="143"/>
      <c r="P599" s="114"/>
      <c r="Q599" s="114"/>
      <c r="R599" s="114"/>
      <c r="S599" s="143"/>
      <c r="T599" s="114"/>
      <c r="U599" s="114"/>
      <c r="V599" s="114"/>
      <c r="W599" s="114"/>
      <c r="X599" s="114"/>
      <c r="Y599" s="114"/>
      <c r="Z599" s="143"/>
      <c r="AA599" s="114"/>
      <c r="AB599" s="114"/>
      <c r="AC599" s="114"/>
      <c r="AD599" s="143"/>
      <c r="AE599" s="114"/>
      <c r="AF599" s="114"/>
      <c r="AG599" s="143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43"/>
      <c r="AU599" s="114"/>
      <c r="AV599" s="114"/>
      <c r="AW599" s="114"/>
      <c r="AX599" s="114"/>
      <c r="AY599" s="114"/>
      <c r="AZ599" s="114"/>
      <c r="BA599" s="114"/>
      <c r="BB599" s="114"/>
      <c r="BC599" s="114"/>
    </row>
    <row r="600" spans="1:55" ht="15.75" customHeight="1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43"/>
      <c r="M600" s="143"/>
      <c r="N600" s="143"/>
      <c r="O600" s="143"/>
      <c r="P600" s="114"/>
      <c r="Q600" s="114"/>
      <c r="R600" s="114"/>
      <c r="S600" s="143"/>
      <c r="T600" s="114"/>
      <c r="U600" s="114"/>
      <c r="V600" s="114"/>
      <c r="W600" s="114"/>
      <c r="X600" s="114"/>
      <c r="Y600" s="114"/>
      <c r="Z600" s="143"/>
      <c r="AA600" s="114"/>
      <c r="AB600" s="114"/>
      <c r="AC600" s="114"/>
      <c r="AD600" s="143"/>
      <c r="AE600" s="114"/>
      <c r="AF600" s="114"/>
      <c r="AG600" s="143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43"/>
      <c r="AU600" s="114"/>
      <c r="AV600" s="114"/>
      <c r="AW600" s="114"/>
      <c r="AX600" s="114"/>
      <c r="AY600" s="114"/>
      <c r="AZ600" s="114"/>
      <c r="BA600" s="114"/>
      <c r="BB600" s="114"/>
      <c r="BC600" s="114"/>
    </row>
    <row r="601" spans="1:55" ht="15.75" customHeight="1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43"/>
      <c r="M601" s="143"/>
      <c r="N601" s="143"/>
      <c r="O601" s="143"/>
      <c r="P601" s="114"/>
      <c r="Q601" s="114"/>
      <c r="R601" s="114"/>
      <c r="S601" s="143"/>
      <c r="T601" s="114"/>
      <c r="U601" s="114"/>
      <c r="V601" s="114"/>
      <c r="W601" s="114"/>
      <c r="X601" s="114"/>
      <c r="Y601" s="114"/>
      <c r="Z601" s="143"/>
      <c r="AA601" s="114"/>
      <c r="AB601" s="114"/>
      <c r="AC601" s="114"/>
      <c r="AD601" s="143"/>
      <c r="AE601" s="114"/>
      <c r="AF601" s="114"/>
      <c r="AG601" s="143"/>
      <c r="AH601" s="114"/>
      <c r="AI601" s="114"/>
      <c r="AJ601" s="114"/>
      <c r="AK601" s="114"/>
      <c r="AL601" s="114"/>
      <c r="AM601" s="114"/>
      <c r="AN601" s="114"/>
      <c r="AO601" s="114"/>
      <c r="AP601" s="114"/>
      <c r="AQ601" s="114"/>
      <c r="AR601" s="114"/>
      <c r="AS601" s="114"/>
      <c r="AT601" s="143"/>
      <c r="AU601" s="114"/>
      <c r="AV601" s="114"/>
      <c r="AW601" s="114"/>
      <c r="AX601" s="114"/>
      <c r="AY601" s="114"/>
      <c r="AZ601" s="114"/>
      <c r="BA601" s="114"/>
      <c r="BB601" s="114"/>
      <c r="BC601" s="114"/>
    </row>
    <row r="602" spans="1:55" ht="15.75" customHeight="1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43"/>
      <c r="M602" s="143"/>
      <c r="N602" s="143"/>
      <c r="O602" s="143"/>
      <c r="P602" s="114"/>
      <c r="Q602" s="114"/>
      <c r="R602" s="114"/>
      <c r="S602" s="143"/>
      <c r="T602" s="114"/>
      <c r="U602" s="114"/>
      <c r="V602" s="114"/>
      <c r="W602" s="114"/>
      <c r="X602" s="114"/>
      <c r="Y602" s="114"/>
      <c r="Z602" s="143"/>
      <c r="AA602" s="114"/>
      <c r="AB602" s="114"/>
      <c r="AC602" s="114"/>
      <c r="AD602" s="143"/>
      <c r="AE602" s="114"/>
      <c r="AF602" s="114"/>
      <c r="AG602" s="143"/>
      <c r="AH602" s="114"/>
      <c r="AI602" s="114"/>
      <c r="AJ602" s="114"/>
      <c r="AK602" s="114"/>
      <c r="AL602" s="114"/>
      <c r="AM602" s="114"/>
      <c r="AN602" s="114"/>
      <c r="AO602" s="114"/>
      <c r="AP602" s="114"/>
      <c r="AQ602" s="114"/>
      <c r="AR602" s="114"/>
      <c r="AS602" s="114"/>
      <c r="AT602" s="143"/>
      <c r="AU602" s="114"/>
      <c r="AV602" s="114"/>
      <c r="AW602" s="114"/>
      <c r="AX602" s="114"/>
      <c r="AY602" s="114"/>
      <c r="AZ602" s="114"/>
      <c r="BA602" s="114"/>
      <c r="BB602" s="114"/>
      <c r="BC602" s="114"/>
    </row>
    <row r="603" spans="1:55" ht="15.75" customHeight="1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43"/>
      <c r="M603" s="143"/>
      <c r="N603" s="143"/>
      <c r="O603" s="143"/>
      <c r="P603" s="114"/>
      <c r="Q603" s="114"/>
      <c r="R603" s="114"/>
      <c r="S603" s="143"/>
      <c r="T603" s="114"/>
      <c r="U603" s="114"/>
      <c r="V603" s="114"/>
      <c r="W603" s="114"/>
      <c r="X603" s="114"/>
      <c r="Y603" s="114"/>
      <c r="Z603" s="143"/>
      <c r="AA603" s="114"/>
      <c r="AB603" s="114"/>
      <c r="AC603" s="114"/>
      <c r="AD603" s="143"/>
      <c r="AE603" s="114"/>
      <c r="AF603" s="114"/>
      <c r="AG603" s="143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43"/>
      <c r="AU603" s="114"/>
      <c r="AV603" s="114"/>
      <c r="AW603" s="114"/>
      <c r="AX603" s="114"/>
      <c r="AY603" s="114"/>
      <c r="AZ603" s="114"/>
      <c r="BA603" s="114"/>
      <c r="BB603" s="114"/>
      <c r="BC603" s="114"/>
    </row>
    <row r="604" spans="1:55" ht="15.75" customHeight="1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43"/>
      <c r="M604" s="143"/>
      <c r="N604" s="143"/>
      <c r="O604" s="143"/>
      <c r="P604" s="114"/>
      <c r="Q604" s="114"/>
      <c r="R604" s="114"/>
      <c r="S604" s="143"/>
      <c r="T604" s="114"/>
      <c r="U604" s="114"/>
      <c r="V604" s="114"/>
      <c r="W604" s="114"/>
      <c r="X604" s="114"/>
      <c r="Y604" s="114"/>
      <c r="Z604" s="143"/>
      <c r="AA604" s="114"/>
      <c r="AB604" s="114"/>
      <c r="AC604" s="114"/>
      <c r="AD604" s="143"/>
      <c r="AE604" s="114"/>
      <c r="AF604" s="114"/>
      <c r="AG604" s="143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43"/>
      <c r="AU604" s="114"/>
      <c r="AV604" s="114"/>
      <c r="AW604" s="114"/>
      <c r="AX604" s="114"/>
      <c r="AY604" s="114"/>
      <c r="AZ604" s="114"/>
      <c r="BA604" s="114"/>
      <c r="BB604" s="114"/>
      <c r="BC604" s="114"/>
    </row>
    <row r="605" spans="1:55" ht="15.75" customHeight="1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43"/>
      <c r="M605" s="143"/>
      <c r="N605" s="143"/>
      <c r="O605" s="143"/>
      <c r="P605" s="114"/>
      <c r="Q605" s="114"/>
      <c r="R605" s="114"/>
      <c r="S605" s="143"/>
      <c r="T605" s="114"/>
      <c r="U605" s="114"/>
      <c r="V605" s="114"/>
      <c r="W605" s="114"/>
      <c r="X605" s="114"/>
      <c r="Y605" s="114"/>
      <c r="Z605" s="143"/>
      <c r="AA605" s="114"/>
      <c r="AB605" s="114"/>
      <c r="AC605" s="114"/>
      <c r="AD605" s="143"/>
      <c r="AE605" s="114"/>
      <c r="AF605" s="114"/>
      <c r="AG605" s="143"/>
      <c r="AH605" s="114"/>
      <c r="AI605" s="114"/>
      <c r="AJ605" s="114"/>
      <c r="AK605" s="114"/>
      <c r="AL605" s="114"/>
      <c r="AM605" s="114"/>
      <c r="AN605" s="114"/>
      <c r="AO605" s="114"/>
      <c r="AP605" s="114"/>
      <c r="AQ605" s="114"/>
      <c r="AR605" s="114"/>
      <c r="AS605" s="114"/>
      <c r="AT605" s="143"/>
      <c r="AU605" s="114"/>
      <c r="AV605" s="114"/>
      <c r="AW605" s="114"/>
      <c r="AX605" s="114"/>
      <c r="AY605" s="114"/>
      <c r="AZ605" s="114"/>
      <c r="BA605" s="114"/>
      <c r="BB605" s="114"/>
      <c r="BC605" s="114"/>
    </row>
    <row r="606" spans="1:55" ht="15.75" customHeight="1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43"/>
      <c r="M606" s="143"/>
      <c r="N606" s="143"/>
      <c r="O606" s="143"/>
      <c r="P606" s="114"/>
      <c r="Q606" s="114"/>
      <c r="R606" s="114"/>
      <c r="S606" s="143"/>
      <c r="T606" s="114"/>
      <c r="U606" s="114"/>
      <c r="V606" s="114"/>
      <c r="W606" s="114"/>
      <c r="X606" s="114"/>
      <c r="Y606" s="114"/>
      <c r="Z606" s="143"/>
      <c r="AA606" s="114"/>
      <c r="AB606" s="114"/>
      <c r="AC606" s="114"/>
      <c r="AD606" s="143"/>
      <c r="AE606" s="114"/>
      <c r="AF606" s="114"/>
      <c r="AG606" s="143"/>
      <c r="AH606" s="114"/>
      <c r="AI606" s="114"/>
      <c r="AJ606" s="114"/>
      <c r="AK606" s="114"/>
      <c r="AL606" s="114"/>
      <c r="AM606" s="114"/>
      <c r="AN606" s="114"/>
      <c r="AO606" s="114"/>
      <c r="AP606" s="114"/>
      <c r="AQ606" s="114"/>
      <c r="AR606" s="114"/>
      <c r="AS606" s="114"/>
      <c r="AT606" s="143"/>
      <c r="AU606" s="114"/>
      <c r="AV606" s="114"/>
      <c r="AW606" s="114"/>
      <c r="AX606" s="114"/>
      <c r="AY606" s="114"/>
      <c r="AZ606" s="114"/>
      <c r="BA606" s="114"/>
      <c r="BB606" s="114"/>
      <c r="BC606" s="114"/>
    </row>
    <row r="607" spans="1:55" ht="15.75" customHeight="1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43"/>
      <c r="M607" s="143"/>
      <c r="N607" s="143"/>
      <c r="O607" s="143"/>
      <c r="P607" s="114"/>
      <c r="Q607" s="114"/>
      <c r="R607" s="114"/>
      <c r="S607" s="143"/>
      <c r="T607" s="114"/>
      <c r="U607" s="114"/>
      <c r="V607" s="114"/>
      <c r="W607" s="114"/>
      <c r="X607" s="114"/>
      <c r="Y607" s="114"/>
      <c r="Z607" s="143"/>
      <c r="AA607" s="114"/>
      <c r="AB607" s="114"/>
      <c r="AC607" s="114"/>
      <c r="AD607" s="143"/>
      <c r="AE607" s="114"/>
      <c r="AF607" s="114"/>
      <c r="AG607" s="143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43"/>
      <c r="AU607" s="114"/>
      <c r="AV607" s="114"/>
      <c r="AW607" s="114"/>
      <c r="AX607" s="114"/>
      <c r="AY607" s="114"/>
      <c r="AZ607" s="114"/>
      <c r="BA607" s="114"/>
      <c r="BB607" s="114"/>
      <c r="BC607" s="114"/>
    </row>
    <row r="608" spans="1:55" ht="15.75" customHeight="1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43"/>
      <c r="M608" s="143"/>
      <c r="N608" s="143"/>
      <c r="O608" s="143"/>
      <c r="P608" s="114"/>
      <c r="Q608" s="114"/>
      <c r="R608" s="114"/>
      <c r="S608" s="143"/>
      <c r="T608" s="114"/>
      <c r="U608" s="114"/>
      <c r="V608" s="114"/>
      <c r="W608" s="114"/>
      <c r="X608" s="114"/>
      <c r="Y608" s="114"/>
      <c r="Z608" s="143"/>
      <c r="AA608" s="114"/>
      <c r="AB608" s="114"/>
      <c r="AC608" s="114"/>
      <c r="AD608" s="143"/>
      <c r="AE608" s="114"/>
      <c r="AF608" s="114"/>
      <c r="AG608" s="143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43"/>
      <c r="AU608" s="114"/>
      <c r="AV608" s="114"/>
      <c r="AW608" s="114"/>
      <c r="AX608" s="114"/>
      <c r="AY608" s="114"/>
      <c r="AZ608" s="114"/>
      <c r="BA608" s="114"/>
      <c r="BB608" s="114"/>
      <c r="BC608" s="114"/>
    </row>
    <row r="609" spans="1:55" ht="15.75" customHeight="1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43"/>
      <c r="M609" s="143"/>
      <c r="N609" s="143"/>
      <c r="O609" s="143"/>
      <c r="P609" s="114"/>
      <c r="Q609" s="114"/>
      <c r="R609" s="114"/>
      <c r="S609" s="143"/>
      <c r="T609" s="114"/>
      <c r="U609" s="114"/>
      <c r="V609" s="114"/>
      <c r="W609" s="114"/>
      <c r="X609" s="114"/>
      <c r="Y609" s="114"/>
      <c r="Z609" s="143"/>
      <c r="AA609" s="114"/>
      <c r="AB609" s="114"/>
      <c r="AC609" s="114"/>
      <c r="AD609" s="143"/>
      <c r="AE609" s="114"/>
      <c r="AF609" s="114"/>
      <c r="AG609" s="143"/>
      <c r="AH609" s="114"/>
      <c r="AI609" s="114"/>
      <c r="AJ609" s="114"/>
      <c r="AK609" s="114"/>
      <c r="AL609" s="114"/>
      <c r="AM609" s="114"/>
      <c r="AN609" s="114"/>
      <c r="AO609" s="114"/>
      <c r="AP609" s="114"/>
      <c r="AQ609" s="114"/>
      <c r="AR609" s="114"/>
      <c r="AS609" s="114"/>
      <c r="AT609" s="143"/>
      <c r="AU609" s="114"/>
      <c r="AV609" s="114"/>
      <c r="AW609" s="114"/>
      <c r="AX609" s="114"/>
      <c r="AY609" s="114"/>
      <c r="AZ609" s="114"/>
      <c r="BA609" s="114"/>
      <c r="BB609" s="114"/>
      <c r="BC609" s="114"/>
    </row>
    <row r="610" spans="1:55" ht="15.75" customHeight="1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43"/>
      <c r="M610" s="143"/>
      <c r="N610" s="143"/>
      <c r="O610" s="143"/>
      <c r="P610" s="114"/>
      <c r="Q610" s="114"/>
      <c r="R610" s="114"/>
      <c r="S610" s="143"/>
      <c r="T610" s="114"/>
      <c r="U610" s="114"/>
      <c r="V610" s="114"/>
      <c r="W610" s="114"/>
      <c r="X610" s="114"/>
      <c r="Y610" s="114"/>
      <c r="Z610" s="143"/>
      <c r="AA610" s="114"/>
      <c r="AB610" s="114"/>
      <c r="AC610" s="114"/>
      <c r="AD610" s="143"/>
      <c r="AE610" s="114"/>
      <c r="AF610" s="114"/>
      <c r="AG610" s="143"/>
      <c r="AH610" s="114"/>
      <c r="AI610" s="114"/>
      <c r="AJ610" s="114"/>
      <c r="AK610" s="114"/>
      <c r="AL610" s="114"/>
      <c r="AM610" s="114"/>
      <c r="AN610" s="114"/>
      <c r="AO610" s="114"/>
      <c r="AP610" s="114"/>
      <c r="AQ610" s="114"/>
      <c r="AR610" s="114"/>
      <c r="AS610" s="114"/>
      <c r="AT610" s="143"/>
      <c r="AU610" s="114"/>
      <c r="AV610" s="114"/>
      <c r="AW610" s="114"/>
      <c r="AX610" s="114"/>
      <c r="AY610" s="114"/>
      <c r="AZ610" s="114"/>
      <c r="BA610" s="114"/>
      <c r="BB610" s="114"/>
      <c r="BC610" s="114"/>
    </row>
    <row r="611" spans="1:55" ht="15.75" customHeight="1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43"/>
      <c r="M611" s="143"/>
      <c r="N611" s="143"/>
      <c r="O611" s="143"/>
      <c r="P611" s="114"/>
      <c r="Q611" s="114"/>
      <c r="R611" s="114"/>
      <c r="S611" s="143"/>
      <c r="T611" s="114"/>
      <c r="U611" s="114"/>
      <c r="V611" s="114"/>
      <c r="W611" s="114"/>
      <c r="X611" s="114"/>
      <c r="Y611" s="114"/>
      <c r="Z611" s="143"/>
      <c r="AA611" s="114"/>
      <c r="AB611" s="114"/>
      <c r="AC611" s="114"/>
      <c r="AD611" s="143"/>
      <c r="AE611" s="114"/>
      <c r="AF611" s="114"/>
      <c r="AG611" s="143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43"/>
      <c r="AU611" s="114"/>
      <c r="AV611" s="114"/>
      <c r="AW611" s="114"/>
      <c r="AX611" s="114"/>
      <c r="AY611" s="114"/>
      <c r="AZ611" s="114"/>
      <c r="BA611" s="114"/>
      <c r="BB611" s="114"/>
      <c r="BC611" s="114"/>
    </row>
    <row r="612" spans="1:55" ht="15.75" customHeight="1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43"/>
      <c r="M612" s="143"/>
      <c r="N612" s="143"/>
      <c r="O612" s="143"/>
      <c r="P612" s="114"/>
      <c r="Q612" s="114"/>
      <c r="R612" s="114"/>
      <c r="S612" s="143"/>
      <c r="T612" s="114"/>
      <c r="U612" s="114"/>
      <c r="V612" s="114"/>
      <c r="W612" s="114"/>
      <c r="X612" s="114"/>
      <c r="Y612" s="114"/>
      <c r="Z612" s="143"/>
      <c r="AA612" s="114"/>
      <c r="AB612" s="114"/>
      <c r="AC612" s="114"/>
      <c r="AD612" s="143"/>
      <c r="AE612" s="114"/>
      <c r="AF612" s="114"/>
      <c r="AG612" s="143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43"/>
      <c r="AU612" s="114"/>
      <c r="AV612" s="114"/>
      <c r="AW612" s="114"/>
      <c r="AX612" s="114"/>
      <c r="AY612" s="114"/>
      <c r="AZ612" s="114"/>
      <c r="BA612" s="114"/>
      <c r="BB612" s="114"/>
      <c r="BC612" s="114"/>
    </row>
    <row r="613" spans="1:55" ht="15.75" customHeight="1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43"/>
      <c r="M613" s="143"/>
      <c r="N613" s="143"/>
      <c r="O613" s="143"/>
      <c r="P613" s="114"/>
      <c r="Q613" s="114"/>
      <c r="R613" s="114"/>
      <c r="S613" s="143"/>
      <c r="T613" s="114"/>
      <c r="U613" s="114"/>
      <c r="V613" s="114"/>
      <c r="W613" s="114"/>
      <c r="X613" s="114"/>
      <c r="Y613" s="114"/>
      <c r="Z613" s="143"/>
      <c r="AA613" s="114"/>
      <c r="AB613" s="114"/>
      <c r="AC613" s="114"/>
      <c r="AD613" s="143"/>
      <c r="AE613" s="114"/>
      <c r="AF613" s="114"/>
      <c r="AG613" s="143"/>
      <c r="AH613" s="114"/>
      <c r="AI613" s="114"/>
      <c r="AJ613" s="114"/>
      <c r="AK613" s="114"/>
      <c r="AL613" s="114"/>
      <c r="AM613" s="114"/>
      <c r="AN613" s="114"/>
      <c r="AO613" s="114"/>
      <c r="AP613" s="114"/>
      <c r="AQ613" s="114"/>
      <c r="AR613" s="114"/>
      <c r="AS613" s="114"/>
      <c r="AT613" s="143"/>
      <c r="AU613" s="114"/>
      <c r="AV613" s="114"/>
      <c r="AW613" s="114"/>
      <c r="AX613" s="114"/>
      <c r="AY613" s="114"/>
      <c r="AZ613" s="114"/>
      <c r="BA613" s="114"/>
      <c r="BB613" s="114"/>
      <c r="BC613" s="114"/>
    </row>
    <row r="614" spans="1:55" ht="15.75" customHeight="1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43"/>
      <c r="M614" s="143"/>
      <c r="N614" s="143"/>
      <c r="O614" s="143"/>
      <c r="P614" s="114"/>
      <c r="Q614" s="114"/>
      <c r="R614" s="114"/>
      <c r="S614" s="143"/>
      <c r="T614" s="114"/>
      <c r="U614" s="114"/>
      <c r="V614" s="114"/>
      <c r="W614" s="114"/>
      <c r="X614" s="114"/>
      <c r="Y614" s="114"/>
      <c r="Z614" s="143"/>
      <c r="AA614" s="114"/>
      <c r="AB614" s="114"/>
      <c r="AC614" s="114"/>
      <c r="AD614" s="143"/>
      <c r="AE614" s="114"/>
      <c r="AF614" s="114"/>
      <c r="AG614" s="143"/>
      <c r="AH614" s="114"/>
      <c r="AI614" s="114"/>
      <c r="AJ614" s="114"/>
      <c r="AK614" s="114"/>
      <c r="AL614" s="114"/>
      <c r="AM614" s="114"/>
      <c r="AN614" s="114"/>
      <c r="AO614" s="114"/>
      <c r="AP614" s="114"/>
      <c r="AQ614" s="114"/>
      <c r="AR614" s="114"/>
      <c r="AS614" s="114"/>
      <c r="AT614" s="143"/>
      <c r="AU614" s="114"/>
      <c r="AV614" s="114"/>
      <c r="AW614" s="114"/>
      <c r="AX614" s="114"/>
      <c r="AY614" s="114"/>
      <c r="AZ614" s="114"/>
      <c r="BA614" s="114"/>
      <c r="BB614" s="114"/>
      <c r="BC614" s="114"/>
    </row>
    <row r="615" spans="1:55" ht="15.75" customHeight="1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43"/>
      <c r="M615" s="143"/>
      <c r="N615" s="143"/>
      <c r="O615" s="143"/>
      <c r="P615" s="114"/>
      <c r="Q615" s="114"/>
      <c r="R615" s="114"/>
      <c r="S615" s="143"/>
      <c r="T615" s="114"/>
      <c r="U615" s="114"/>
      <c r="V615" s="114"/>
      <c r="W615" s="114"/>
      <c r="X615" s="114"/>
      <c r="Y615" s="114"/>
      <c r="Z615" s="143"/>
      <c r="AA615" s="114"/>
      <c r="AB615" s="114"/>
      <c r="AC615" s="114"/>
      <c r="AD615" s="143"/>
      <c r="AE615" s="114"/>
      <c r="AF615" s="114"/>
      <c r="AG615" s="143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43"/>
      <c r="AU615" s="114"/>
      <c r="AV615" s="114"/>
      <c r="AW615" s="114"/>
      <c r="AX615" s="114"/>
      <c r="AY615" s="114"/>
      <c r="AZ615" s="114"/>
      <c r="BA615" s="114"/>
      <c r="BB615" s="114"/>
      <c r="BC615" s="114"/>
    </row>
    <row r="616" spans="1:55" ht="15.75" customHeight="1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43"/>
      <c r="M616" s="143"/>
      <c r="N616" s="143"/>
      <c r="O616" s="143"/>
      <c r="P616" s="114"/>
      <c r="Q616" s="114"/>
      <c r="R616" s="114"/>
      <c r="S616" s="143"/>
      <c r="T616" s="114"/>
      <c r="U616" s="114"/>
      <c r="V616" s="114"/>
      <c r="W616" s="114"/>
      <c r="X616" s="114"/>
      <c r="Y616" s="114"/>
      <c r="Z616" s="143"/>
      <c r="AA616" s="114"/>
      <c r="AB616" s="114"/>
      <c r="AC616" s="114"/>
      <c r="AD616" s="143"/>
      <c r="AE616" s="114"/>
      <c r="AF616" s="114"/>
      <c r="AG616" s="143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43"/>
      <c r="AU616" s="114"/>
      <c r="AV616" s="114"/>
      <c r="AW616" s="114"/>
      <c r="AX616" s="114"/>
      <c r="AY616" s="114"/>
      <c r="AZ616" s="114"/>
      <c r="BA616" s="114"/>
      <c r="BB616" s="114"/>
      <c r="BC616" s="114"/>
    </row>
    <row r="617" spans="1:55" ht="15.75" customHeight="1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43"/>
      <c r="M617" s="143"/>
      <c r="N617" s="143"/>
      <c r="O617" s="143"/>
      <c r="P617" s="114"/>
      <c r="Q617" s="114"/>
      <c r="R617" s="114"/>
      <c r="S617" s="143"/>
      <c r="T617" s="114"/>
      <c r="U617" s="114"/>
      <c r="V617" s="114"/>
      <c r="W617" s="114"/>
      <c r="X617" s="114"/>
      <c r="Y617" s="114"/>
      <c r="Z617" s="143"/>
      <c r="AA617" s="114"/>
      <c r="AB617" s="114"/>
      <c r="AC617" s="114"/>
      <c r="AD617" s="143"/>
      <c r="AE617" s="114"/>
      <c r="AF617" s="114"/>
      <c r="AG617" s="143"/>
      <c r="AH617" s="114"/>
      <c r="AI617" s="114"/>
      <c r="AJ617" s="114"/>
      <c r="AK617" s="114"/>
      <c r="AL617" s="114"/>
      <c r="AM617" s="114"/>
      <c r="AN617" s="114"/>
      <c r="AO617" s="114"/>
      <c r="AP617" s="114"/>
      <c r="AQ617" s="114"/>
      <c r="AR617" s="114"/>
      <c r="AS617" s="114"/>
      <c r="AT617" s="143"/>
      <c r="AU617" s="114"/>
      <c r="AV617" s="114"/>
      <c r="AW617" s="114"/>
      <c r="AX617" s="114"/>
      <c r="AY617" s="114"/>
      <c r="AZ617" s="114"/>
      <c r="BA617" s="114"/>
      <c r="BB617" s="114"/>
      <c r="BC617" s="114"/>
    </row>
    <row r="618" spans="1:55" ht="15.75" customHeight="1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43"/>
      <c r="M618" s="143"/>
      <c r="N618" s="143"/>
      <c r="O618" s="143"/>
      <c r="P618" s="114"/>
      <c r="Q618" s="114"/>
      <c r="R618" s="114"/>
      <c r="S618" s="143"/>
      <c r="T618" s="114"/>
      <c r="U618" s="114"/>
      <c r="V618" s="114"/>
      <c r="W618" s="114"/>
      <c r="X618" s="114"/>
      <c r="Y618" s="114"/>
      <c r="Z618" s="143"/>
      <c r="AA618" s="114"/>
      <c r="AB618" s="114"/>
      <c r="AC618" s="114"/>
      <c r="AD618" s="143"/>
      <c r="AE618" s="114"/>
      <c r="AF618" s="114"/>
      <c r="AG618" s="143"/>
      <c r="AH618" s="114"/>
      <c r="AI618" s="114"/>
      <c r="AJ618" s="114"/>
      <c r="AK618" s="114"/>
      <c r="AL618" s="114"/>
      <c r="AM618" s="114"/>
      <c r="AN618" s="114"/>
      <c r="AO618" s="114"/>
      <c r="AP618" s="114"/>
      <c r="AQ618" s="114"/>
      <c r="AR618" s="114"/>
      <c r="AS618" s="114"/>
      <c r="AT618" s="143"/>
      <c r="AU618" s="114"/>
      <c r="AV618" s="114"/>
      <c r="AW618" s="114"/>
      <c r="AX618" s="114"/>
      <c r="AY618" s="114"/>
      <c r="AZ618" s="114"/>
      <c r="BA618" s="114"/>
      <c r="BB618" s="114"/>
      <c r="BC618" s="114"/>
    </row>
    <row r="619" spans="1:55" ht="15.75" customHeight="1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43"/>
      <c r="M619" s="143"/>
      <c r="N619" s="143"/>
      <c r="O619" s="143"/>
      <c r="P619" s="114"/>
      <c r="Q619" s="114"/>
      <c r="R619" s="114"/>
      <c r="S619" s="143"/>
      <c r="T619" s="114"/>
      <c r="U619" s="114"/>
      <c r="V619" s="114"/>
      <c r="W619" s="114"/>
      <c r="X619" s="114"/>
      <c r="Y619" s="114"/>
      <c r="Z619" s="143"/>
      <c r="AA619" s="114"/>
      <c r="AB619" s="114"/>
      <c r="AC619" s="114"/>
      <c r="AD619" s="143"/>
      <c r="AE619" s="114"/>
      <c r="AF619" s="114"/>
      <c r="AG619" s="143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43"/>
      <c r="AU619" s="114"/>
      <c r="AV619" s="114"/>
      <c r="AW619" s="114"/>
      <c r="AX619" s="114"/>
      <c r="AY619" s="114"/>
      <c r="AZ619" s="114"/>
      <c r="BA619" s="114"/>
      <c r="BB619" s="114"/>
      <c r="BC619" s="114"/>
    </row>
    <row r="620" spans="1:55" ht="15.75" customHeight="1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43"/>
      <c r="M620" s="143"/>
      <c r="N620" s="143"/>
      <c r="O620" s="143"/>
      <c r="P620" s="114"/>
      <c r="Q620" s="114"/>
      <c r="R620" s="114"/>
      <c r="S620" s="143"/>
      <c r="T620" s="114"/>
      <c r="U620" s="114"/>
      <c r="V620" s="114"/>
      <c r="W620" s="114"/>
      <c r="X620" s="114"/>
      <c r="Y620" s="114"/>
      <c r="Z620" s="143"/>
      <c r="AA620" s="114"/>
      <c r="AB620" s="114"/>
      <c r="AC620" s="114"/>
      <c r="AD620" s="143"/>
      <c r="AE620" s="114"/>
      <c r="AF620" s="114"/>
      <c r="AG620" s="143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43"/>
      <c r="AU620" s="114"/>
      <c r="AV620" s="114"/>
      <c r="AW620" s="114"/>
      <c r="AX620" s="114"/>
      <c r="AY620" s="114"/>
      <c r="AZ620" s="114"/>
      <c r="BA620" s="114"/>
      <c r="BB620" s="114"/>
      <c r="BC620" s="114"/>
    </row>
    <row r="621" spans="1:55" ht="15.75" customHeight="1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43"/>
      <c r="M621" s="143"/>
      <c r="N621" s="143"/>
      <c r="O621" s="143"/>
      <c r="P621" s="114"/>
      <c r="Q621" s="114"/>
      <c r="R621" s="114"/>
      <c r="S621" s="143"/>
      <c r="T621" s="114"/>
      <c r="U621" s="114"/>
      <c r="V621" s="114"/>
      <c r="W621" s="114"/>
      <c r="X621" s="114"/>
      <c r="Y621" s="114"/>
      <c r="Z621" s="143"/>
      <c r="AA621" s="114"/>
      <c r="AB621" s="114"/>
      <c r="AC621" s="114"/>
      <c r="AD621" s="143"/>
      <c r="AE621" s="114"/>
      <c r="AF621" s="114"/>
      <c r="AG621" s="143"/>
      <c r="AH621" s="114"/>
      <c r="AI621" s="114"/>
      <c r="AJ621" s="114"/>
      <c r="AK621" s="114"/>
      <c r="AL621" s="114"/>
      <c r="AM621" s="114"/>
      <c r="AN621" s="114"/>
      <c r="AO621" s="114"/>
      <c r="AP621" s="114"/>
      <c r="AQ621" s="114"/>
      <c r="AR621" s="114"/>
      <c r="AS621" s="114"/>
      <c r="AT621" s="143"/>
      <c r="AU621" s="114"/>
      <c r="AV621" s="114"/>
      <c r="AW621" s="114"/>
      <c r="AX621" s="114"/>
      <c r="AY621" s="114"/>
      <c r="AZ621" s="114"/>
      <c r="BA621" s="114"/>
      <c r="BB621" s="114"/>
      <c r="BC621" s="114"/>
    </row>
    <row r="622" spans="1:55" ht="15.75" customHeight="1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43"/>
      <c r="M622" s="143"/>
      <c r="N622" s="143"/>
      <c r="O622" s="143"/>
      <c r="P622" s="114"/>
      <c r="Q622" s="114"/>
      <c r="R622" s="114"/>
      <c r="S622" s="143"/>
      <c r="T622" s="114"/>
      <c r="U622" s="114"/>
      <c r="V622" s="114"/>
      <c r="W622" s="114"/>
      <c r="X622" s="114"/>
      <c r="Y622" s="114"/>
      <c r="Z622" s="143"/>
      <c r="AA622" s="114"/>
      <c r="AB622" s="114"/>
      <c r="AC622" s="114"/>
      <c r="AD622" s="143"/>
      <c r="AE622" s="114"/>
      <c r="AF622" s="114"/>
      <c r="AG622" s="143"/>
      <c r="AH622" s="114"/>
      <c r="AI622" s="114"/>
      <c r="AJ622" s="114"/>
      <c r="AK622" s="114"/>
      <c r="AL622" s="114"/>
      <c r="AM622" s="114"/>
      <c r="AN622" s="114"/>
      <c r="AO622" s="114"/>
      <c r="AP622" s="114"/>
      <c r="AQ622" s="114"/>
      <c r="AR622" s="114"/>
      <c r="AS622" s="114"/>
      <c r="AT622" s="143"/>
      <c r="AU622" s="114"/>
      <c r="AV622" s="114"/>
      <c r="AW622" s="114"/>
      <c r="AX622" s="114"/>
      <c r="AY622" s="114"/>
      <c r="AZ622" s="114"/>
      <c r="BA622" s="114"/>
      <c r="BB622" s="114"/>
      <c r="BC622" s="114"/>
    </row>
    <row r="623" spans="1:55" ht="15.75" customHeight="1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43"/>
      <c r="M623" s="143"/>
      <c r="N623" s="143"/>
      <c r="O623" s="143"/>
      <c r="P623" s="114"/>
      <c r="Q623" s="114"/>
      <c r="R623" s="114"/>
      <c r="S623" s="143"/>
      <c r="T623" s="114"/>
      <c r="U623" s="114"/>
      <c r="V623" s="114"/>
      <c r="W623" s="114"/>
      <c r="X623" s="114"/>
      <c r="Y623" s="114"/>
      <c r="Z623" s="143"/>
      <c r="AA623" s="114"/>
      <c r="AB623" s="114"/>
      <c r="AC623" s="114"/>
      <c r="AD623" s="143"/>
      <c r="AE623" s="114"/>
      <c r="AF623" s="114"/>
      <c r="AG623" s="143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43"/>
      <c r="AU623" s="114"/>
      <c r="AV623" s="114"/>
      <c r="AW623" s="114"/>
      <c r="AX623" s="114"/>
      <c r="AY623" s="114"/>
      <c r="AZ623" s="114"/>
      <c r="BA623" s="114"/>
      <c r="BB623" s="114"/>
      <c r="BC623" s="114"/>
    </row>
    <row r="624" spans="1:55" ht="15.75" customHeight="1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43"/>
      <c r="M624" s="143"/>
      <c r="N624" s="143"/>
      <c r="O624" s="143"/>
      <c r="P624" s="114"/>
      <c r="Q624" s="114"/>
      <c r="R624" s="114"/>
      <c r="S624" s="143"/>
      <c r="T624" s="114"/>
      <c r="U624" s="114"/>
      <c r="V624" s="114"/>
      <c r="W624" s="114"/>
      <c r="X624" s="114"/>
      <c r="Y624" s="114"/>
      <c r="Z624" s="143"/>
      <c r="AA624" s="114"/>
      <c r="AB624" s="114"/>
      <c r="AC624" s="114"/>
      <c r="AD624" s="143"/>
      <c r="AE624" s="114"/>
      <c r="AF624" s="114"/>
      <c r="AG624" s="143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43"/>
      <c r="AU624" s="114"/>
      <c r="AV624" s="114"/>
      <c r="AW624" s="114"/>
      <c r="AX624" s="114"/>
      <c r="AY624" s="114"/>
      <c r="AZ624" s="114"/>
      <c r="BA624" s="114"/>
      <c r="BB624" s="114"/>
      <c r="BC624" s="114"/>
    </row>
    <row r="625" spans="1:55" ht="15.75" customHeight="1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43"/>
      <c r="M625" s="143"/>
      <c r="N625" s="143"/>
      <c r="O625" s="143"/>
      <c r="P625" s="114"/>
      <c r="Q625" s="114"/>
      <c r="R625" s="114"/>
      <c r="S625" s="143"/>
      <c r="T625" s="114"/>
      <c r="U625" s="114"/>
      <c r="V625" s="114"/>
      <c r="W625" s="114"/>
      <c r="X625" s="114"/>
      <c r="Y625" s="114"/>
      <c r="Z625" s="143"/>
      <c r="AA625" s="114"/>
      <c r="AB625" s="114"/>
      <c r="AC625" s="114"/>
      <c r="AD625" s="143"/>
      <c r="AE625" s="114"/>
      <c r="AF625" s="114"/>
      <c r="AG625" s="143"/>
      <c r="AH625" s="114"/>
      <c r="AI625" s="114"/>
      <c r="AJ625" s="114"/>
      <c r="AK625" s="114"/>
      <c r="AL625" s="114"/>
      <c r="AM625" s="114"/>
      <c r="AN625" s="114"/>
      <c r="AO625" s="114"/>
      <c r="AP625" s="114"/>
      <c r="AQ625" s="114"/>
      <c r="AR625" s="114"/>
      <c r="AS625" s="114"/>
      <c r="AT625" s="143"/>
      <c r="AU625" s="114"/>
      <c r="AV625" s="114"/>
      <c r="AW625" s="114"/>
      <c r="AX625" s="114"/>
      <c r="AY625" s="114"/>
      <c r="AZ625" s="114"/>
      <c r="BA625" s="114"/>
      <c r="BB625" s="114"/>
      <c r="BC625" s="114"/>
    </row>
    <row r="626" spans="1:55" ht="15.75" customHeight="1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43"/>
      <c r="M626" s="143"/>
      <c r="N626" s="143"/>
      <c r="O626" s="143"/>
      <c r="P626" s="114"/>
      <c r="Q626" s="114"/>
      <c r="R626" s="114"/>
      <c r="S626" s="143"/>
      <c r="T626" s="114"/>
      <c r="U626" s="114"/>
      <c r="V626" s="114"/>
      <c r="W626" s="114"/>
      <c r="X626" s="114"/>
      <c r="Y626" s="114"/>
      <c r="Z626" s="143"/>
      <c r="AA626" s="114"/>
      <c r="AB626" s="114"/>
      <c r="AC626" s="114"/>
      <c r="AD626" s="143"/>
      <c r="AE626" s="114"/>
      <c r="AF626" s="114"/>
      <c r="AG626" s="143"/>
      <c r="AH626" s="114"/>
      <c r="AI626" s="114"/>
      <c r="AJ626" s="114"/>
      <c r="AK626" s="114"/>
      <c r="AL626" s="114"/>
      <c r="AM626" s="114"/>
      <c r="AN626" s="114"/>
      <c r="AO626" s="114"/>
      <c r="AP626" s="114"/>
      <c r="AQ626" s="114"/>
      <c r="AR626" s="114"/>
      <c r="AS626" s="114"/>
      <c r="AT626" s="143"/>
      <c r="AU626" s="114"/>
      <c r="AV626" s="114"/>
      <c r="AW626" s="114"/>
      <c r="AX626" s="114"/>
      <c r="AY626" s="114"/>
      <c r="AZ626" s="114"/>
      <c r="BA626" s="114"/>
      <c r="BB626" s="114"/>
      <c r="BC626" s="114"/>
    </row>
    <row r="627" spans="1:55" ht="15.75" customHeight="1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43"/>
      <c r="M627" s="143"/>
      <c r="N627" s="143"/>
      <c r="O627" s="143"/>
      <c r="P627" s="114"/>
      <c r="Q627" s="114"/>
      <c r="R627" s="114"/>
      <c r="S627" s="143"/>
      <c r="T627" s="114"/>
      <c r="U627" s="114"/>
      <c r="V627" s="114"/>
      <c r="W627" s="114"/>
      <c r="X627" s="114"/>
      <c r="Y627" s="114"/>
      <c r="Z627" s="143"/>
      <c r="AA627" s="114"/>
      <c r="AB627" s="114"/>
      <c r="AC627" s="114"/>
      <c r="AD627" s="143"/>
      <c r="AE627" s="114"/>
      <c r="AF627" s="114"/>
      <c r="AG627" s="143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43"/>
      <c r="AU627" s="114"/>
      <c r="AV627" s="114"/>
      <c r="AW627" s="114"/>
      <c r="AX627" s="114"/>
      <c r="AY627" s="114"/>
      <c r="AZ627" s="114"/>
      <c r="BA627" s="114"/>
      <c r="BB627" s="114"/>
      <c r="BC627" s="114"/>
    </row>
    <row r="628" spans="1:55" ht="15.75" customHeight="1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43"/>
      <c r="M628" s="143"/>
      <c r="N628" s="143"/>
      <c r="O628" s="143"/>
      <c r="P628" s="114"/>
      <c r="Q628" s="114"/>
      <c r="R628" s="114"/>
      <c r="S628" s="143"/>
      <c r="T628" s="114"/>
      <c r="U628" s="114"/>
      <c r="V628" s="114"/>
      <c r="W628" s="114"/>
      <c r="X628" s="114"/>
      <c r="Y628" s="114"/>
      <c r="Z628" s="143"/>
      <c r="AA628" s="114"/>
      <c r="AB628" s="114"/>
      <c r="AC628" s="114"/>
      <c r="AD628" s="143"/>
      <c r="AE628" s="114"/>
      <c r="AF628" s="114"/>
      <c r="AG628" s="143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43"/>
      <c r="AU628" s="114"/>
      <c r="AV628" s="114"/>
      <c r="AW628" s="114"/>
      <c r="AX628" s="114"/>
      <c r="AY628" s="114"/>
      <c r="AZ628" s="114"/>
      <c r="BA628" s="114"/>
      <c r="BB628" s="114"/>
      <c r="BC628" s="114"/>
    </row>
    <row r="629" spans="1:55" ht="15.75" customHeight="1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43"/>
      <c r="M629" s="143"/>
      <c r="N629" s="143"/>
      <c r="O629" s="143"/>
      <c r="P629" s="114"/>
      <c r="Q629" s="114"/>
      <c r="R629" s="114"/>
      <c r="S629" s="143"/>
      <c r="T629" s="114"/>
      <c r="U629" s="114"/>
      <c r="V629" s="114"/>
      <c r="W629" s="114"/>
      <c r="X629" s="114"/>
      <c r="Y629" s="114"/>
      <c r="Z629" s="143"/>
      <c r="AA629" s="114"/>
      <c r="AB629" s="114"/>
      <c r="AC629" s="114"/>
      <c r="AD629" s="143"/>
      <c r="AE629" s="114"/>
      <c r="AF629" s="114"/>
      <c r="AG629" s="143"/>
      <c r="AH629" s="114"/>
      <c r="AI629" s="114"/>
      <c r="AJ629" s="114"/>
      <c r="AK629" s="114"/>
      <c r="AL629" s="114"/>
      <c r="AM629" s="114"/>
      <c r="AN629" s="114"/>
      <c r="AO629" s="114"/>
      <c r="AP629" s="114"/>
      <c r="AQ629" s="114"/>
      <c r="AR629" s="114"/>
      <c r="AS629" s="114"/>
      <c r="AT629" s="143"/>
      <c r="AU629" s="114"/>
      <c r="AV629" s="114"/>
      <c r="AW629" s="114"/>
      <c r="AX629" s="114"/>
      <c r="AY629" s="114"/>
      <c r="AZ629" s="114"/>
      <c r="BA629" s="114"/>
      <c r="BB629" s="114"/>
      <c r="BC629" s="114"/>
    </row>
    <row r="630" spans="1:55" ht="15.75" customHeight="1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43"/>
      <c r="M630" s="143"/>
      <c r="N630" s="143"/>
      <c r="O630" s="143"/>
      <c r="P630" s="114"/>
      <c r="Q630" s="114"/>
      <c r="R630" s="114"/>
      <c r="S630" s="143"/>
      <c r="T630" s="114"/>
      <c r="U630" s="114"/>
      <c r="V630" s="114"/>
      <c r="W630" s="114"/>
      <c r="X630" s="114"/>
      <c r="Y630" s="114"/>
      <c r="Z630" s="143"/>
      <c r="AA630" s="114"/>
      <c r="AB630" s="114"/>
      <c r="AC630" s="114"/>
      <c r="AD630" s="143"/>
      <c r="AE630" s="114"/>
      <c r="AF630" s="114"/>
      <c r="AG630" s="143"/>
      <c r="AH630" s="114"/>
      <c r="AI630" s="114"/>
      <c r="AJ630" s="114"/>
      <c r="AK630" s="114"/>
      <c r="AL630" s="114"/>
      <c r="AM630" s="114"/>
      <c r="AN630" s="114"/>
      <c r="AO630" s="114"/>
      <c r="AP630" s="114"/>
      <c r="AQ630" s="114"/>
      <c r="AR630" s="114"/>
      <c r="AS630" s="114"/>
      <c r="AT630" s="143"/>
      <c r="AU630" s="114"/>
      <c r="AV630" s="114"/>
      <c r="AW630" s="114"/>
      <c r="AX630" s="114"/>
      <c r="AY630" s="114"/>
      <c r="AZ630" s="114"/>
      <c r="BA630" s="114"/>
      <c r="BB630" s="114"/>
      <c r="BC630" s="114"/>
    </row>
    <row r="631" spans="1:55" ht="15.75" customHeight="1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43"/>
      <c r="M631" s="143"/>
      <c r="N631" s="143"/>
      <c r="O631" s="143"/>
      <c r="P631" s="114"/>
      <c r="Q631" s="114"/>
      <c r="R631" s="114"/>
      <c r="S631" s="143"/>
      <c r="T631" s="114"/>
      <c r="U631" s="114"/>
      <c r="V631" s="114"/>
      <c r="W631" s="114"/>
      <c r="X631" s="114"/>
      <c r="Y631" s="114"/>
      <c r="Z631" s="143"/>
      <c r="AA631" s="114"/>
      <c r="AB631" s="114"/>
      <c r="AC631" s="114"/>
      <c r="AD631" s="143"/>
      <c r="AE631" s="114"/>
      <c r="AF631" s="114"/>
      <c r="AG631" s="143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43"/>
      <c r="AU631" s="114"/>
      <c r="AV631" s="114"/>
      <c r="AW631" s="114"/>
      <c r="AX631" s="114"/>
      <c r="AY631" s="114"/>
      <c r="AZ631" s="114"/>
      <c r="BA631" s="114"/>
      <c r="BB631" s="114"/>
      <c r="BC631" s="114"/>
    </row>
    <row r="632" spans="1:55" ht="15.75" customHeight="1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43"/>
      <c r="M632" s="143"/>
      <c r="N632" s="143"/>
      <c r="O632" s="143"/>
      <c r="P632" s="114"/>
      <c r="Q632" s="114"/>
      <c r="R632" s="114"/>
      <c r="S632" s="143"/>
      <c r="T632" s="114"/>
      <c r="U632" s="114"/>
      <c r="V632" s="114"/>
      <c r="W632" s="114"/>
      <c r="X632" s="114"/>
      <c r="Y632" s="114"/>
      <c r="Z632" s="143"/>
      <c r="AA632" s="114"/>
      <c r="AB632" s="114"/>
      <c r="AC632" s="114"/>
      <c r="AD632" s="143"/>
      <c r="AE632" s="114"/>
      <c r="AF632" s="114"/>
      <c r="AG632" s="143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43"/>
      <c r="AU632" s="114"/>
      <c r="AV632" s="114"/>
      <c r="AW632" s="114"/>
      <c r="AX632" s="114"/>
      <c r="AY632" s="114"/>
      <c r="AZ632" s="114"/>
      <c r="BA632" s="114"/>
      <c r="BB632" s="114"/>
      <c r="BC632" s="114"/>
    </row>
    <row r="633" spans="1:55" ht="15.75" customHeight="1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43"/>
      <c r="M633" s="143"/>
      <c r="N633" s="143"/>
      <c r="O633" s="143"/>
      <c r="P633" s="114"/>
      <c r="Q633" s="114"/>
      <c r="R633" s="114"/>
      <c r="S633" s="143"/>
      <c r="T633" s="114"/>
      <c r="U633" s="114"/>
      <c r="V633" s="114"/>
      <c r="W633" s="114"/>
      <c r="X633" s="114"/>
      <c r="Y633" s="114"/>
      <c r="Z633" s="143"/>
      <c r="AA633" s="114"/>
      <c r="AB633" s="114"/>
      <c r="AC633" s="114"/>
      <c r="AD633" s="143"/>
      <c r="AE633" s="114"/>
      <c r="AF633" s="114"/>
      <c r="AG633" s="143"/>
      <c r="AH633" s="114"/>
      <c r="AI633" s="114"/>
      <c r="AJ633" s="114"/>
      <c r="AK633" s="114"/>
      <c r="AL633" s="114"/>
      <c r="AM633" s="114"/>
      <c r="AN633" s="114"/>
      <c r="AO633" s="114"/>
      <c r="AP633" s="114"/>
      <c r="AQ633" s="114"/>
      <c r="AR633" s="114"/>
      <c r="AS633" s="114"/>
      <c r="AT633" s="143"/>
      <c r="AU633" s="114"/>
      <c r="AV633" s="114"/>
      <c r="AW633" s="114"/>
      <c r="AX633" s="114"/>
      <c r="AY633" s="114"/>
      <c r="AZ633" s="114"/>
      <c r="BA633" s="114"/>
      <c r="BB633" s="114"/>
      <c r="BC633" s="114"/>
    </row>
    <row r="634" spans="1:55" ht="15.75" customHeight="1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43"/>
      <c r="M634" s="143"/>
      <c r="N634" s="143"/>
      <c r="O634" s="143"/>
      <c r="P634" s="114"/>
      <c r="Q634" s="114"/>
      <c r="R634" s="114"/>
      <c r="S634" s="143"/>
      <c r="T634" s="114"/>
      <c r="U634" s="114"/>
      <c r="V634" s="114"/>
      <c r="W634" s="114"/>
      <c r="X634" s="114"/>
      <c r="Y634" s="114"/>
      <c r="Z634" s="143"/>
      <c r="AA634" s="114"/>
      <c r="AB634" s="114"/>
      <c r="AC634" s="114"/>
      <c r="AD634" s="143"/>
      <c r="AE634" s="114"/>
      <c r="AF634" s="114"/>
      <c r="AG634" s="143"/>
      <c r="AH634" s="114"/>
      <c r="AI634" s="114"/>
      <c r="AJ634" s="114"/>
      <c r="AK634" s="114"/>
      <c r="AL634" s="114"/>
      <c r="AM634" s="114"/>
      <c r="AN634" s="114"/>
      <c r="AO634" s="114"/>
      <c r="AP634" s="114"/>
      <c r="AQ634" s="114"/>
      <c r="AR634" s="114"/>
      <c r="AS634" s="114"/>
      <c r="AT634" s="143"/>
      <c r="AU634" s="114"/>
      <c r="AV634" s="114"/>
      <c r="AW634" s="114"/>
      <c r="AX634" s="114"/>
      <c r="AY634" s="114"/>
      <c r="AZ634" s="114"/>
      <c r="BA634" s="114"/>
      <c r="BB634" s="114"/>
      <c r="BC634" s="114"/>
    </row>
    <row r="635" spans="1:55" ht="15.75" customHeight="1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43"/>
      <c r="M635" s="143"/>
      <c r="N635" s="143"/>
      <c r="O635" s="143"/>
      <c r="P635" s="114"/>
      <c r="Q635" s="114"/>
      <c r="R635" s="114"/>
      <c r="S635" s="143"/>
      <c r="T635" s="114"/>
      <c r="U635" s="114"/>
      <c r="V635" s="114"/>
      <c r="W635" s="114"/>
      <c r="X635" s="114"/>
      <c r="Y635" s="114"/>
      <c r="Z635" s="143"/>
      <c r="AA635" s="114"/>
      <c r="AB635" s="114"/>
      <c r="AC635" s="114"/>
      <c r="AD635" s="143"/>
      <c r="AE635" s="114"/>
      <c r="AF635" s="114"/>
      <c r="AG635" s="143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43"/>
      <c r="AU635" s="114"/>
      <c r="AV635" s="114"/>
      <c r="AW635" s="114"/>
      <c r="AX635" s="114"/>
      <c r="AY635" s="114"/>
      <c r="AZ635" s="114"/>
      <c r="BA635" s="114"/>
      <c r="BB635" s="114"/>
      <c r="BC635" s="114"/>
    </row>
    <row r="636" spans="1:55" ht="15.75" customHeight="1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43"/>
      <c r="M636" s="143"/>
      <c r="N636" s="143"/>
      <c r="O636" s="143"/>
      <c r="P636" s="114"/>
      <c r="Q636" s="114"/>
      <c r="R636" s="114"/>
      <c r="S636" s="143"/>
      <c r="T636" s="114"/>
      <c r="U636" s="114"/>
      <c r="V636" s="114"/>
      <c r="W636" s="114"/>
      <c r="X636" s="114"/>
      <c r="Y636" s="114"/>
      <c r="Z636" s="143"/>
      <c r="AA636" s="114"/>
      <c r="AB636" s="114"/>
      <c r="AC636" s="114"/>
      <c r="AD636" s="143"/>
      <c r="AE636" s="114"/>
      <c r="AF636" s="114"/>
      <c r="AG636" s="143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43"/>
      <c r="AU636" s="114"/>
      <c r="AV636" s="114"/>
      <c r="AW636" s="114"/>
      <c r="AX636" s="114"/>
      <c r="AY636" s="114"/>
      <c r="AZ636" s="114"/>
      <c r="BA636" s="114"/>
      <c r="BB636" s="114"/>
      <c r="BC636" s="114"/>
    </row>
    <row r="637" spans="1:55" ht="15.75" customHeight="1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43"/>
      <c r="M637" s="143"/>
      <c r="N637" s="143"/>
      <c r="O637" s="143"/>
      <c r="P637" s="114"/>
      <c r="Q637" s="114"/>
      <c r="R637" s="114"/>
      <c r="S637" s="143"/>
      <c r="T637" s="114"/>
      <c r="U637" s="114"/>
      <c r="V637" s="114"/>
      <c r="W637" s="114"/>
      <c r="X637" s="114"/>
      <c r="Y637" s="114"/>
      <c r="Z637" s="143"/>
      <c r="AA637" s="114"/>
      <c r="AB637" s="114"/>
      <c r="AC637" s="114"/>
      <c r="AD637" s="143"/>
      <c r="AE637" s="114"/>
      <c r="AF637" s="114"/>
      <c r="AG637" s="143"/>
      <c r="AH637" s="114"/>
      <c r="AI637" s="114"/>
      <c r="AJ637" s="114"/>
      <c r="AK637" s="114"/>
      <c r="AL637" s="114"/>
      <c r="AM637" s="114"/>
      <c r="AN637" s="114"/>
      <c r="AO637" s="114"/>
      <c r="AP637" s="114"/>
      <c r="AQ637" s="114"/>
      <c r="AR637" s="114"/>
      <c r="AS637" s="114"/>
      <c r="AT637" s="143"/>
      <c r="AU637" s="114"/>
      <c r="AV637" s="114"/>
      <c r="AW637" s="114"/>
      <c r="AX637" s="114"/>
      <c r="AY637" s="114"/>
      <c r="AZ637" s="114"/>
      <c r="BA637" s="114"/>
      <c r="BB637" s="114"/>
      <c r="BC637" s="114"/>
    </row>
    <row r="638" spans="1:55" ht="15.75" customHeight="1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43"/>
      <c r="M638" s="143"/>
      <c r="N638" s="143"/>
      <c r="O638" s="143"/>
      <c r="P638" s="114"/>
      <c r="Q638" s="114"/>
      <c r="R638" s="114"/>
      <c r="S638" s="143"/>
      <c r="T638" s="114"/>
      <c r="U638" s="114"/>
      <c r="V638" s="114"/>
      <c r="W638" s="114"/>
      <c r="X638" s="114"/>
      <c r="Y638" s="114"/>
      <c r="Z638" s="143"/>
      <c r="AA638" s="114"/>
      <c r="AB638" s="114"/>
      <c r="AC638" s="114"/>
      <c r="AD638" s="143"/>
      <c r="AE638" s="114"/>
      <c r="AF638" s="114"/>
      <c r="AG638" s="143"/>
      <c r="AH638" s="114"/>
      <c r="AI638" s="114"/>
      <c r="AJ638" s="114"/>
      <c r="AK638" s="114"/>
      <c r="AL638" s="114"/>
      <c r="AM638" s="114"/>
      <c r="AN638" s="114"/>
      <c r="AO638" s="114"/>
      <c r="AP638" s="114"/>
      <c r="AQ638" s="114"/>
      <c r="AR638" s="114"/>
      <c r="AS638" s="114"/>
      <c r="AT638" s="143"/>
      <c r="AU638" s="114"/>
      <c r="AV638" s="114"/>
      <c r="AW638" s="114"/>
      <c r="AX638" s="114"/>
      <c r="AY638" s="114"/>
      <c r="AZ638" s="114"/>
      <c r="BA638" s="114"/>
      <c r="BB638" s="114"/>
      <c r="BC638" s="114"/>
    </row>
    <row r="639" spans="1:55" ht="15.75" customHeight="1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43"/>
      <c r="M639" s="143"/>
      <c r="N639" s="143"/>
      <c r="O639" s="143"/>
      <c r="P639" s="114"/>
      <c r="Q639" s="114"/>
      <c r="R639" s="114"/>
      <c r="S639" s="143"/>
      <c r="T639" s="114"/>
      <c r="U639" s="114"/>
      <c r="V639" s="114"/>
      <c r="W639" s="114"/>
      <c r="X639" s="114"/>
      <c r="Y639" s="114"/>
      <c r="Z639" s="143"/>
      <c r="AA639" s="114"/>
      <c r="AB639" s="114"/>
      <c r="AC639" s="114"/>
      <c r="AD639" s="143"/>
      <c r="AE639" s="114"/>
      <c r="AF639" s="114"/>
      <c r="AG639" s="143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43"/>
      <c r="AU639" s="114"/>
      <c r="AV639" s="114"/>
      <c r="AW639" s="114"/>
      <c r="AX639" s="114"/>
      <c r="AY639" s="114"/>
      <c r="AZ639" s="114"/>
      <c r="BA639" s="114"/>
      <c r="BB639" s="114"/>
      <c r="BC639" s="114"/>
    </row>
    <row r="640" spans="1:55" ht="15.75" customHeight="1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43"/>
      <c r="M640" s="143"/>
      <c r="N640" s="143"/>
      <c r="O640" s="143"/>
      <c r="P640" s="114"/>
      <c r="Q640" s="114"/>
      <c r="R640" s="114"/>
      <c r="S640" s="143"/>
      <c r="T640" s="114"/>
      <c r="U640" s="114"/>
      <c r="V640" s="114"/>
      <c r="W640" s="114"/>
      <c r="X640" s="114"/>
      <c r="Y640" s="114"/>
      <c r="Z640" s="143"/>
      <c r="AA640" s="114"/>
      <c r="AB640" s="114"/>
      <c r="AC640" s="114"/>
      <c r="AD640" s="143"/>
      <c r="AE640" s="114"/>
      <c r="AF640" s="114"/>
      <c r="AG640" s="143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43"/>
      <c r="AU640" s="114"/>
      <c r="AV640" s="114"/>
      <c r="AW640" s="114"/>
      <c r="AX640" s="114"/>
      <c r="AY640" s="114"/>
      <c r="AZ640" s="114"/>
      <c r="BA640" s="114"/>
      <c r="BB640" s="114"/>
      <c r="BC640" s="114"/>
    </row>
    <row r="641" spans="1:55" ht="15.75" customHeight="1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43"/>
      <c r="M641" s="143"/>
      <c r="N641" s="143"/>
      <c r="O641" s="143"/>
      <c r="P641" s="114"/>
      <c r="Q641" s="114"/>
      <c r="R641" s="114"/>
      <c r="S641" s="143"/>
      <c r="T641" s="114"/>
      <c r="U641" s="114"/>
      <c r="V641" s="114"/>
      <c r="W641" s="114"/>
      <c r="X641" s="114"/>
      <c r="Y641" s="114"/>
      <c r="Z641" s="143"/>
      <c r="AA641" s="114"/>
      <c r="AB641" s="114"/>
      <c r="AC641" s="114"/>
      <c r="AD641" s="143"/>
      <c r="AE641" s="114"/>
      <c r="AF641" s="114"/>
      <c r="AG641" s="143"/>
      <c r="AH641" s="114"/>
      <c r="AI641" s="114"/>
      <c r="AJ641" s="114"/>
      <c r="AK641" s="114"/>
      <c r="AL641" s="114"/>
      <c r="AM641" s="114"/>
      <c r="AN641" s="114"/>
      <c r="AO641" s="114"/>
      <c r="AP641" s="114"/>
      <c r="AQ641" s="114"/>
      <c r="AR641" s="114"/>
      <c r="AS641" s="114"/>
      <c r="AT641" s="143"/>
      <c r="AU641" s="114"/>
      <c r="AV641" s="114"/>
      <c r="AW641" s="114"/>
      <c r="AX641" s="114"/>
      <c r="AY641" s="114"/>
      <c r="AZ641" s="114"/>
      <c r="BA641" s="114"/>
      <c r="BB641" s="114"/>
      <c r="BC641" s="114"/>
    </row>
    <row r="642" spans="1:55" ht="15.75" customHeight="1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43"/>
      <c r="M642" s="143"/>
      <c r="N642" s="143"/>
      <c r="O642" s="143"/>
      <c r="P642" s="114"/>
      <c r="Q642" s="114"/>
      <c r="R642" s="114"/>
      <c r="S642" s="143"/>
      <c r="T642" s="114"/>
      <c r="U642" s="114"/>
      <c r="V642" s="114"/>
      <c r="W642" s="114"/>
      <c r="X642" s="114"/>
      <c r="Y642" s="114"/>
      <c r="Z642" s="143"/>
      <c r="AA642" s="114"/>
      <c r="AB642" s="114"/>
      <c r="AC642" s="114"/>
      <c r="AD642" s="143"/>
      <c r="AE642" s="114"/>
      <c r="AF642" s="114"/>
      <c r="AG642" s="143"/>
      <c r="AH642" s="114"/>
      <c r="AI642" s="114"/>
      <c r="AJ642" s="114"/>
      <c r="AK642" s="114"/>
      <c r="AL642" s="114"/>
      <c r="AM642" s="114"/>
      <c r="AN642" s="114"/>
      <c r="AO642" s="114"/>
      <c r="AP642" s="114"/>
      <c r="AQ642" s="114"/>
      <c r="AR642" s="114"/>
      <c r="AS642" s="114"/>
      <c r="AT642" s="143"/>
      <c r="AU642" s="114"/>
      <c r="AV642" s="114"/>
      <c r="AW642" s="114"/>
      <c r="AX642" s="114"/>
      <c r="AY642" s="114"/>
      <c r="AZ642" s="114"/>
      <c r="BA642" s="114"/>
      <c r="BB642" s="114"/>
      <c r="BC642" s="114"/>
    </row>
    <row r="643" spans="1:55" ht="15.75" customHeight="1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43"/>
      <c r="M643" s="143"/>
      <c r="N643" s="143"/>
      <c r="O643" s="143"/>
      <c r="P643" s="114"/>
      <c r="Q643" s="114"/>
      <c r="R643" s="114"/>
      <c r="S643" s="143"/>
      <c r="T643" s="114"/>
      <c r="U643" s="114"/>
      <c r="V643" s="114"/>
      <c r="W643" s="114"/>
      <c r="X643" s="114"/>
      <c r="Y643" s="114"/>
      <c r="Z643" s="143"/>
      <c r="AA643" s="114"/>
      <c r="AB643" s="114"/>
      <c r="AC643" s="114"/>
      <c r="AD643" s="143"/>
      <c r="AE643" s="114"/>
      <c r="AF643" s="114"/>
      <c r="AG643" s="143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43"/>
      <c r="AU643" s="114"/>
      <c r="AV643" s="114"/>
      <c r="AW643" s="114"/>
      <c r="AX643" s="114"/>
      <c r="AY643" s="114"/>
      <c r="AZ643" s="114"/>
      <c r="BA643" s="114"/>
      <c r="BB643" s="114"/>
      <c r="BC643" s="114"/>
    </row>
    <row r="644" spans="1:55" ht="15.75" customHeight="1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43"/>
      <c r="M644" s="143"/>
      <c r="N644" s="143"/>
      <c r="O644" s="143"/>
      <c r="P644" s="114"/>
      <c r="Q644" s="114"/>
      <c r="R644" s="114"/>
      <c r="S644" s="143"/>
      <c r="T644" s="114"/>
      <c r="U644" s="114"/>
      <c r="V644" s="114"/>
      <c r="W644" s="114"/>
      <c r="X644" s="114"/>
      <c r="Y644" s="114"/>
      <c r="Z644" s="143"/>
      <c r="AA644" s="114"/>
      <c r="AB644" s="114"/>
      <c r="AC644" s="114"/>
      <c r="AD644" s="143"/>
      <c r="AE644" s="114"/>
      <c r="AF644" s="114"/>
      <c r="AG644" s="143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43"/>
      <c r="AU644" s="114"/>
      <c r="AV644" s="114"/>
      <c r="AW644" s="114"/>
      <c r="AX644" s="114"/>
      <c r="AY644" s="114"/>
      <c r="AZ644" s="114"/>
      <c r="BA644" s="114"/>
      <c r="BB644" s="114"/>
      <c r="BC644" s="114"/>
    </row>
    <row r="645" spans="1:55" ht="15.75" customHeight="1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43"/>
      <c r="M645" s="143"/>
      <c r="N645" s="143"/>
      <c r="O645" s="143"/>
      <c r="P645" s="114"/>
      <c r="Q645" s="114"/>
      <c r="R645" s="114"/>
      <c r="S645" s="143"/>
      <c r="T645" s="114"/>
      <c r="U645" s="114"/>
      <c r="V645" s="114"/>
      <c r="W645" s="114"/>
      <c r="X645" s="114"/>
      <c r="Y645" s="114"/>
      <c r="Z645" s="143"/>
      <c r="AA645" s="114"/>
      <c r="AB645" s="114"/>
      <c r="AC645" s="114"/>
      <c r="AD645" s="143"/>
      <c r="AE645" s="114"/>
      <c r="AF645" s="114"/>
      <c r="AG645" s="143"/>
      <c r="AH645" s="114"/>
      <c r="AI645" s="114"/>
      <c r="AJ645" s="114"/>
      <c r="AK645" s="114"/>
      <c r="AL645" s="114"/>
      <c r="AM645" s="114"/>
      <c r="AN645" s="114"/>
      <c r="AO645" s="114"/>
      <c r="AP645" s="114"/>
      <c r="AQ645" s="114"/>
      <c r="AR645" s="114"/>
      <c r="AS645" s="114"/>
      <c r="AT645" s="143"/>
      <c r="AU645" s="114"/>
      <c r="AV645" s="114"/>
      <c r="AW645" s="114"/>
      <c r="AX645" s="114"/>
      <c r="AY645" s="114"/>
      <c r="AZ645" s="114"/>
      <c r="BA645" s="114"/>
      <c r="BB645" s="114"/>
      <c r="BC645" s="114"/>
    </row>
    <row r="646" spans="1:55" ht="15.75" customHeight="1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43"/>
      <c r="M646" s="143"/>
      <c r="N646" s="143"/>
      <c r="O646" s="143"/>
      <c r="P646" s="114"/>
      <c r="Q646" s="114"/>
      <c r="R646" s="114"/>
      <c r="S646" s="143"/>
      <c r="T646" s="114"/>
      <c r="U646" s="114"/>
      <c r="V646" s="114"/>
      <c r="W646" s="114"/>
      <c r="X646" s="114"/>
      <c r="Y646" s="114"/>
      <c r="Z646" s="143"/>
      <c r="AA646" s="114"/>
      <c r="AB646" s="114"/>
      <c r="AC646" s="114"/>
      <c r="AD646" s="143"/>
      <c r="AE646" s="114"/>
      <c r="AF646" s="114"/>
      <c r="AG646" s="143"/>
      <c r="AH646" s="114"/>
      <c r="AI646" s="114"/>
      <c r="AJ646" s="114"/>
      <c r="AK646" s="114"/>
      <c r="AL646" s="114"/>
      <c r="AM646" s="114"/>
      <c r="AN646" s="114"/>
      <c r="AO646" s="114"/>
      <c r="AP646" s="114"/>
      <c r="AQ646" s="114"/>
      <c r="AR646" s="114"/>
      <c r="AS646" s="114"/>
      <c r="AT646" s="143"/>
      <c r="AU646" s="114"/>
      <c r="AV646" s="114"/>
      <c r="AW646" s="114"/>
      <c r="AX646" s="114"/>
      <c r="AY646" s="114"/>
      <c r="AZ646" s="114"/>
      <c r="BA646" s="114"/>
      <c r="BB646" s="114"/>
      <c r="BC646" s="114"/>
    </row>
    <row r="647" spans="1:55" ht="15.75" customHeight="1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43"/>
      <c r="M647" s="143"/>
      <c r="N647" s="143"/>
      <c r="O647" s="143"/>
      <c r="P647" s="114"/>
      <c r="Q647" s="114"/>
      <c r="R647" s="114"/>
      <c r="S647" s="143"/>
      <c r="T647" s="114"/>
      <c r="U647" s="114"/>
      <c r="V647" s="114"/>
      <c r="W647" s="114"/>
      <c r="X647" s="114"/>
      <c r="Y647" s="114"/>
      <c r="Z647" s="143"/>
      <c r="AA647" s="114"/>
      <c r="AB647" s="114"/>
      <c r="AC647" s="114"/>
      <c r="AD647" s="143"/>
      <c r="AE647" s="114"/>
      <c r="AF647" s="114"/>
      <c r="AG647" s="143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43"/>
      <c r="AU647" s="114"/>
      <c r="AV647" s="114"/>
      <c r="AW647" s="114"/>
      <c r="AX647" s="114"/>
      <c r="AY647" s="114"/>
      <c r="AZ647" s="114"/>
      <c r="BA647" s="114"/>
      <c r="BB647" s="114"/>
      <c r="BC647" s="114"/>
    </row>
    <row r="648" spans="1:55" ht="15.75" customHeight="1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43"/>
      <c r="M648" s="143"/>
      <c r="N648" s="143"/>
      <c r="O648" s="143"/>
      <c r="P648" s="114"/>
      <c r="Q648" s="114"/>
      <c r="R648" s="114"/>
      <c r="S648" s="143"/>
      <c r="T648" s="114"/>
      <c r="U648" s="114"/>
      <c r="V648" s="114"/>
      <c r="W648" s="114"/>
      <c r="X648" s="114"/>
      <c r="Y648" s="114"/>
      <c r="Z648" s="143"/>
      <c r="AA648" s="114"/>
      <c r="AB648" s="114"/>
      <c r="AC648" s="114"/>
      <c r="AD648" s="143"/>
      <c r="AE648" s="114"/>
      <c r="AF648" s="114"/>
      <c r="AG648" s="143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43"/>
      <c r="AU648" s="114"/>
      <c r="AV648" s="114"/>
      <c r="AW648" s="114"/>
      <c r="AX648" s="114"/>
      <c r="AY648" s="114"/>
      <c r="AZ648" s="114"/>
      <c r="BA648" s="114"/>
      <c r="BB648" s="114"/>
      <c r="BC648" s="114"/>
    </row>
    <row r="649" spans="1:55" ht="15.75" customHeight="1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43"/>
      <c r="M649" s="143"/>
      <c r="N649" s="143"/>
      <c r="O649" s="143"/>
      <c r="P649" s="114"/>
      <c r="Q649" s="114"/>
      <c r="R649" s="114"/>
      <c r="S649" s="143"/>
      <c r="T649" s="114"/>
      <c r="U649" s="114"/>
      <c r="V649" s="114"/>
      <c r="W649" s="114"/>
      <c r="X649" s="114"/>
      <c r="Y649" s="114"/>
      <c r="Z649" s="143"/>
      <c r="AA649" s="114"/>
      <c r="AB649" s="114"/>
      <c r="AC649" s="114"/>
      <c r="AD649" s="143"/>
      <c r="AE649" s="114"/>
      <c r="AF649" s="114"/>
      <c r="AG649" s="143"/>
      <c r="AH649" s="114"/>
      <c r="AI649" s="114"/>
      <c r="AJ649" s="114"/>
      <c r="AK649" s="114"/>
      <c r="AL649" s="114"/>
      <c r="AM649" s="114"/>
      <c r="AN649" s="114"/>
      <c r="AO649" s="114"/>
      <c r="AP649" s="114"/>
      <c r="AQ649" s="114"/>
      <c r="AR649" s="114"/>
      <c r="AS649" s="114"/>
      <c r="AT649" s="143"/>
      <c r="AU649" s="114"/>
      <c r="AV649" s="114"/>
      <c r="AW649" s="114"/>
      <c r="AX649" s="114"/>
      <c r="AY649" s="114"/>
      <c r="AZ649" s="114"/>
      <c r="BA649" s="114"/>
      <c r="BB649" s="114"/>
      <c r="BC649" s="114"/>
    </row>
    <row r="650" spans="1:55" ht="15.75" customHeight="1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43"/>
      <c r="M650" s="143"/>
      <c r="N650" s="143"/>
      <c r="O650" s="143"/>
      <c r="P650" s="114"/>
      <c r="Q650" s="114"/>
      <c r="R650" s="114"/>
      <c r="S650" s="143"/>
      <c r="T650" s="114"/>
      <c r="U650" s="114"/>
      <c r="V650" s="114"/>
      <c r="W650" s="114"/>
      <c r="X650" s="114"/>
      <c r="Y650" s="114"/>
      <c r="Z650" s="143"/>
      <c r="AA650" s="114"/>
      <c r="AB650" s="114"/>
      <c r="AC650" s="114"/>
      <c r="AD650" s="143"/>
      <c r="AE650" s="114"/>
      <c r="AF650" s="114"/>
      <c r="AG650" s="143"/>
      <c r="AH650" s="114"/>
      <c r="AI650" s="114"/>
      <c r="AJ650" s="114"/>
      <c r="AK650" s="114"/>
      <c r="AL650" s="114"/>
      <c r="AM650" s="114"/>
      <c r="AN650" s="114"/>
      <c r="AO650" s="114"/>
      <c r="AP650" s="114"/>
      <c r="AQ650" s="114"/>
      <c r="AR650" s="114"/>
      <c r="AS650" s="114"/>
      <c r="AT650" s="143"/>
      <c r="AU650" s="114"/>
      <c r="AV650" s="114"/>
      <c r="AW650" s="114"/>
      <c r="AX650" s="114"/>
      <c r="AY650" s="114"/>
      <c r="AZ650" s="114"/>
      <c r="BA650" s="114"/>
      <c r="BB650" s="114"/>
      <c r="BC650" s="114"/>
    </row>
    <row r="651" spans="1:55" ht="15.75" customHeight="1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43"/>
      <c r="M651" s="143"/>
      <c r="N651" s="143"/>
      <c r="O651" s="143"/>
      <c r="P651" s="114"/>
      <c r="Q651" s="114"/>
      <c r="R651" s="114"/>
      <c r="S651" s="143"/>
      <c r="T651" s="114"/>
      <c r="U651" s="114"/>
      <c r="V651" s="114"/>
      <c r="W651" s="114"/>
      <c r="X651" s="114"/>
      <c r="Y651" s="114"/>
      <c r="Z651" s="143"/>
      <c r="AA651" s="114"/>
      <c r="AB651" s="114"/>
      <c r="AC651" s="114"/>
      <c r="AD651" s="143"/>
      <c r="AE651" s="114"/>
      <c r="AF651" s="114"/>
      <c r="AG651" s="143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43"/>
      <c r="AU651" s="114"/>
      <c r="AV651" s="114"/>
      <c r="AW651" s="114"/>
      <c r="AX651" s="114"/>
      <c r="AY651" s="114"/>
      <c r="AZ651" s="114"/>
      <c r="BA651" s="114"/>
      <c r="BB651" s="114"/>
      <c r="BC651" s="114"/>
    </row>
    <row r="652" spans="1:55" ht="15.75" customHeight="1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43"/>
      <c r="M652" s="143"/>
      <c r="N652" s="143"/>
      <c r="O652" s="143"/>
      <c r="P652" s="114"/>
      <c r="Q652" s="114"/>
      <c r="R652" s="114"/>
      <c r="S652" s="143"/>
      <c r="T652" s="114"/>
      <c r="U652" s="114"/>
      <c r="V652" s="114"/>
      <c r="W652" s="114"/>
      <c r="X652" s="114"/>
      <c r="Y652" s="114"/>
      <c r="Z652" s="143"/>
      <c r="AA652" s="114"/>
      <c r="AB652" s="114"/>
      <c r="AC652" s="114"/>
      <c r="AD652" s="143"/>
      <c r="AE652" s="114"/>
      <c r="AF652" s="114"/>
      <c r="AG652" s="143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43"/>
      <c r="AU652" s="114"/>
      <c r="AV652" s="114"/>
      <c r="AW652" s="114"/>
      <c r="AX652" s="114"/>
      <c r="AY652" s="114"/>
      <c r="AZ652" s="114"/>
      <c r="BA652" s="114"/>
      <c r="BB652" s="114"/>
      <c r="BC652" s="114"/>
    </row>
    <row r="653" spans="1:55" ht="15.75" customHeight="1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43"/>
      <c r="M653" s="143"/>
      <c r="N653" s="143"/>
      <c r="O653" s="143"/>
      <c r="P653" s="114"/>
      <c r="Q653" s="114"/>
      <c r="R653" s="114"/>
      <c r="S653" s="143"/>
      <c r="T653" s="114"/>
      <c r="U653" s="114"/>
      <c r="V653" s="114"/>
      <c r="W653" s="114"/>
      <c r="X653" s="114"/>
      <c r="Y653" s="114"/>
      <c r="Z653" s="143"/>
      <c r="AA653" s="114"/>
      <c r="AB653" s="114"/>
      <c r="AC653" s="114"/>
      <c r="AD653" s="143"/>
      <c r="AE653" s="114"/>
      <c r="AF653" s="114"/>
      <c r="AG653" s="143"/>
      <c r="AH653" s="114"/>
      <c r="AI653" s="114"/>
      <c r="AJ653" s="114"/>
      <c r="AK653" s="114"/>
      <c r="AL653" s="114"/>
      <c r="AM653" s="114"/>
      <c r="AN653" s="114"/>
      <c r="AO653" s="114"/>
      <c r="AP653" s="114"/>
      <c r="AQ653" s="114"/>
      <c r="AR653" s="114"/>
      <c r="AS653" s="114"/>
      <c r="AT653" s="143"/>
      <c r="AU653" s="114"/>
      <c r="AV653" s="114"/>
      <c r="AW653" s="114"/>
      <c r="AX653" s="114"/>
      <c r="AY653" s="114"/>
      <c r="AZ653" s="114"/>
      <c r="BA653" s="114"/>
      <c r="BB653" s="114"/>
      <c r="BC653" s="114"/>
    </row>
    <row r="654" spans="1:55" ht="15.75" customHeight="1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43"/>
      <c r="M654" s="143"/>
      <c r="N654" s="143"/>
      <c r="O654" s="143"/>
      <c r="P654" s="114"/>
      <c r="Q654" s="114"/>
      <c r="R654" s="114"/>
      <c r="S654" s="143"/>
      <c r="T654" s="114"/>
      <c r="U654" s="114"/>
      <c r="V654" s="114"/>
      <c r="W654" s="114"/>
      <c r="X654" s="114"/>
      <c r="Y654" s="114"/>
      <c r="Z654" s="143"/>
      <c r="AA654" s="114"/>
      <c r="AB654" s="114"/>
      <c r="AC654" s="114"/>
      <c r="AD654" s="143"/>
      <c r="AE654" s="114"/>
      <c r="AF654" s="114"/>
      <c r="AG654" s="143"/>
      <c r="AH654" s="114"/>
      <c r="AI654" s="114"/>
      <c r="AJ654" s="114"/>
      <c r="AK654" s="114"/>
      <c r="AL654" s="114"/>
      <c r="AM654" s="114"/>
      <c r="AN654" s="114"/>
      <c r="AO654" s="114"/>
      <c r="AP654" s="114"/>
      <c r="AQ654" s="114"/>
      <c r="AR654" s="114"/>
      <c r="AS654" s="114"/>
      <c r="AT654" s="143"/>
      <c r="AU654" s="114"/>
      <c r="AV654" s="114"/>
      <c r="AW654" s="114"/>
      <c r="AX654" s="114"/>
      <c r="AY654" s="114"/>
      <c r="AZ654" s="114"/>
      <c r="BA654" s="114"/>
      <c r="BB654" s="114"/>
      <c r="BC654" s="114"/>
    </row>
    <row r="655" spans="1:55" ht="15.75" customHeight="1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43"/>
      <c r="M655" s="143"/>
      <c r="N655" s="143"/>
      <c r="O655" s="143"/>
      <c r="P655" s="114"/>
      <c r="Q655" s="114"/>
      <c r="R655" s="114"/>
      <c r="S655" s="143"/>
      <c r="T655" s="114"/>
      <c r="U655" s="114"/>
      <c r="V655" s="114"/>
      <c r="W655" s="114"/>
      <c r="X655" s="114"/>
      <c r="Y655" s="114"/>
      <c r="Z655" s="143"/>
      <c r="AA655" s="114"/>
      <c r="AB655" s="114"/>
      <c r="AC655" s="114"/>
      <c r="AD655" s="143"/>
      <c r="AE655" s="114"/>
      <c r="AF655" s="114"/>
      <c r="AG655" s="143"/>
      <c r="AH655" s="114"/>
      <c r="AI655" s="114"/>
      <c r="AJ655" s="114"/>
      <c r="AK655" s="114"/>
      <c r="AL655" s="114"/>
      <c r="AM655" s="114"/>
      <c r="AN655" s="114"/>
      <c r="AO655" s="114"/>
      <c r="AP655" s="114"/>
      <c r="AQ655" s="114"/>
      <c r="AR655" s="114"/>
      <c r="AS655" s="114"/>
      <c r="AT655" s="143"/>
      <c r="AU655" s="114"/>
      <c r="AV655" s="114"/>
      <c r="AW655" s="114"/>
      <c r="AX655" s="114"/>
      <c r="AY655" s="114"/>
      <c r="AZ655" s="114"/>
      <c r="BA655" s="114"/>
      <c r="BB655" s="114"/>
      <c r="BC655" s="114"/>
    </row>
    <row r="656" spans="1:55" ht="15.75" customHeight="1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43"/>
      <c r="M656" s="143"/>
      <c r="N656" s="143"/>
      <c r="O656" s="143"/>
      <c r="P656" s="114"/>
      <c r="Q656" s="114"/>
      <c r="R656" s="114"/>
      <c r="S656" s="143"/>
      <c r="T656" s="114"/>
      <c r="U656" s="114"/>
      <c r="V656" s="114"/>
      <c r="W656" s="114"/>
      <c r="X656" s="114"/>
      <c r="Y656" s="114"/>
      <c r="Z656" s="143"/>
      <c r="AA656" s="114"/>
      <c r="AB656" s="114"/>
      <c r="AC656" s="114"/>
      <c r="AD656" s="143"/>
      <c r="AE656" s="114"/>
      <c r="AF656" s="114"/>
      <c r="AG656" s="143"/>
      <c r="AH656" s="114"/>
      <c r="AI656" s="114"/>
      <c r="AJ656" s="114"/>
      <c r="AK656" s="114"/>
      <c r="AL656" s="114"/>
      <c r="AM656" s="114"/>
      <c r="AN656" s="114"/>
      <c r="AO656" s="114"/>
      <c r="AP656" s="114"/>
      <c r="AQ656" s="114"/>
      <c r="AR656" s="114"/>
      <c r="AS656" s="114"/>
      <c r="AT656" s="143"/>
      <c r="AU656" s="114"/>
      <c r="AV656" s="114"/>
      <c r="AW656" s="114"/>
      <c r="AX656" s="114"/>
      <c r="AY656" s="114"/>
      <c r="AZ656" s="114"/>
      <c r="BA656" s="114"/>
      <c r="BB656" s="114"/>
      <c r="BC656" s="114"/>
    </row>
    <row r="657" spans="1:55" ht="15.75" customHeight="1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43"/>
      <c r="M657" s="143"/>
      <c r="N657" s="143"/>
      <c r="O657" s="143"/>
      <c r="P657" s="114"/>
      <c r="Q657" s="114"/>
      <c r="R657" s="114"/>
      <c r="S657" s="143"/>
      <c r="T657" s="114"/>
      <c r="U657" s="114"/>
      <c r="V657" s="114"/>
      <c r="W657" s="114"/>
      <c r="X657" s="114"/>
      <c r="Y657" s="114"/>
      <c r="Z657" s="143"/>
      <c r="AA657" s="114"/>
      <c r="AB657" s="114"/>
      <c r="AC657" s="114"/>
      <c r="AD657" s="143"/>
      <c r="AE657" s="114"/>
      <c r="AF657" s="114"/>
      <c r="AG657" s="143"/>
      <c r="AH657" s="114"/>
      <c r="AI657" s="114"/>
      <c r="AJ657" s="114"/>
      <c r="AK657" s="114"/>
      <c r="AL657" s="114"/>
      <c r="AM657" s="114"/>
      <c r="AN657" s="114"/>
      <c r="AO657" s="114"/>
      <c r="AP657" s="114"/>
      <c r="AQ657" s="114"/>
      <c r="AR657" s="114"/>
      <c r="AS657" s="114"/>
      <c r="AT657" s="143"/>
      <c r="AU657" s="114"/>
      <c r="AV657" s="114"/>
      <c r="AW657" s="114"/>
      <c r="AX657" s="114"/>
      <c r="AY657" s="114"/>
      <c r="AZ657" s="114"/>
      <c r="BA657" s="114"/>
      <c r="BB657" s="114"/>
      <c r="BC657" s="114"/>
    </row>
    <row r="658" spans="1:55" ht="15.75" customHeight="1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43"/>
      <c r="M658" s="143"/>
      <c r="N658" s="143"/>
      <c r="O658" s="143"/>
      <c r="P658" s="114"/>
      <c r="Q658" s="114"/>
      <c r="R658" s="114"/>
      <c r="S658" s="143"/>
      <c r="T658" s="114"/>
      <c r="U658" s="114"/>
      <c r="V658" s="114"/>
      <c r="W658" s="114"/>
      <c r="X658" s="114"/>
      <c r="Y658" s="114"/>
      <c r="Z658" s="143"/>
      <c r="AA658" s="114"/>
      <c r="AB658" s="114"/>
      <c r="AC658" s="114"/>
      <c r="AD658" s="143"/>
      <c r="AE658" s="114"/>
      <c r="AF658" s="114"/>
      <c r="AG658" s="143"/>
      <c r="AH658" s="114"/>
      <c r="AI658" s="114"/>
      <c r="AJ658" s="114"/>
      <c r="AK658" s="114"/>
      <c r="AL658" s="114"/>
      <c r="AM658" s="114"/>
      <c r="AN658" s="114"/>
      <c r="AO658" s="114"/>
      <c r="AP658" s="114"/>
      <c r="AQ658" s="114"/>
      <c r="AR658" s="114"/>
      <c r="AS658" s="114"/>
      <c r="AT658" s="143"/>
      <c r="AU658" s="114"/>
      <c r="AV658" s="114"/>
      <c r="AW658" s="114"/>
      <c r="AX658" s="114"/>
      <c r="AY658" s="114"/>
      <c r="AZ658" s="114"/>
      <c r="BA658" s="114"/>
      <c r="BB658" s="114"/>
      <c r="BC658" s="114"/>
    </row>
    <row r="659" spans="1:55" ht="15.75" customHeight="1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43"/>
      <c r="M659" s="143"/>
      <c r="N659" s="143"/>
      <c r="O659" s="143"/>
      <c r="P659" s="114"/>
      <c r="Q659" s="114"/>
      <c r="R659" s="114"/>
      <c r="S659" s="143"/>
      <c r="T659" s="114"/>
      <c r="U659" s="114"/>
      <c r="V659" s="114"/>
      <c r="W659" s="114"/>
      <c r="X659" s="114"/>
      <c r="Y659" s="114"/>
      <c r="Z659" s="143"/>
      <c r="AA659" s="114"/>
      <c r="AB659" s="114"/>
      <c r="AC659" s="114"/>
      <c r="AD659" s="143"/>
      <c r="AE659" s="114"/>
      <c r="AF659" s="114"/>
      <c r="AG659" s="143"/>
      <c r="AH659" s="114"/>
      <c r="AI659" s="114"/>
      <c r="AJ659" s="114"/>
      <c r="AK659" s="114"/>
      <c r="AL659" s="114"/>
      <c r="AM659" s="114"/>
      <c r="AN659" s="114"/>
      <c r="AO659" s="114"/>
      <c r="AP659" s="114"/>
      <c r="AQ659" s="114"/>
      <c r="AR659" s="114"/>
      <c r="AS659" s="114"/>
      <c r="AT659" s="143"/>
      <c r="AU659" s="114"/>
      <c r="AV659" s="114"/>
      <c r="AW659" s="114"/>
      <c r="AX659" s="114"/>
      <c r="AY659" s="114"/>
      <c r="AZ659" s="114"/>
      <c r="BA659" s="114"/>
      <c r="BB659" s="114"/>
      <c r="BC659" s="114"/>
    </row>
    <row r="660" spans="1:55" ht="15.75" customHeight="1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43"/>
      <c r="M660" s="143"/>
      <c r="N660" s="143"/>
      <c r="O660" s="143"/>
      <c r="P660" s="114"/>
      <c r="Q660" s="114"/>
      <c r="R660" s="114"/>
      <c r="S660" s="143"/>
      <c r="T660" s="114"/>
      <c r="U660" s="114"/>
      <c r="V660" s="114"/>
      <c r="W660" s="114"/>
      <c r="X660" s="114"/>
      <c r="Y660" s="114"/>
      <c r="Z660" s="143"/>
      <c r="AA660" s="114"/>
      <c r="AB660" s="114"/>
      <c r="AC660" s="114"/>
      <c r="AD660" s="143"/>
      <c r="AE660" s="114"/>
      <c r="AF660" s="114"/>
      <c r="AG660" s="143"/>
      <c r="AH660" s="114"/>
      <c r="AI660" s="114"/>
      <c r="AJ660" s="114"/>
      <c r="AK660" s="114"/>
      <c r="AL660" s="114"/>
      <c r="AM660" s="114"/>
      <c r="AN660" s="114"/>
      <c r="AO660" s="114"/>
      <c r="AP660" s="114"/>
      <c r="AQ660" s="114"/>
      <c r="AR660" s="114"/>
      <c r="AS660" s="114"/>
      <c r="AT660" s="143"/>
      <c r="AU660" s="114"/>
      <c r="AV660" s="114"/>
      <c r="AW660" s="114"/>
      <c r="AX660" s="114"/>
      <c r="AY660" s="114"/>
      <c r="AZ660" s="114"/>
      <c r="BA660" s="114"/>
      <c r="BB660" s="114"/>
      <c r="BC660" s="114"/>
    </row>
    <row r="661" spans="1:55" ht="15.75" customHeight="1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43"/>
      <c r="M661" s="143"/>
      <c r="N661" s="143"/>
      <c r="O661" s="143"/>
      <c r="P661" s="114"/>
      <c r="Q661" s="114"/>
      <c r="R661" s="114"/>
      <c r="S661" s="143"/>
      <c r="T661" s="114"/>
      <c r="U661" s="114"/>
      <c r="V661" s="114"/>
      <c r="W661" s="114"/>
      <c r="X661" s="114"/>
      <c r="Y661" s="114"/>
      <c r="Z661" s="143"/>
      <c r="AA661" s="114"/>
      <c r="AB661" s="114"/>
      <c r="AC661" s="114"/>
      <c r="AD661" s="143"/>
      <c r="AE661" s="114"/>
      <c r="AF661" s="114"/>
      <c r="AG661" s="143"/>
      <c r="AH661" s="114"/>
      <c r="AI661" s="114"/>
      <c r="AJ661" s="114"/>
      <c r="AK661" s="114"/>
      <c r="AL661" s="114"/>
      <c r="AM661" s="114"/>
      <c r="AN661" s="114"/>
      <c r="AO661" s="114"/>
      <c r="AP661" s="114"/>
      <c r="AQ661" s="114"/>
      <c r="AR661" s="114"/>
      <c r="AS661" s="114"/>
      <c r="AT661" s="143"/>
      <c r="AU661" s="114"/>
      <c r="AV661" s="114"/>
      <c r="AW661" s="114"/>
      <c r="AX661" s="114"/>
      <c r="AY661" s="114"/>
      <c r="AZ661" s="114"/>
      <c r="BA661" s="114"/>
      <c r="BB661" s="114"/>
      <c r="BC661" s="114"/>
    </row>
    <row r="662" spans="1:55" ht="15.75" customHeight="1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43"/>
      <c r="M662" s="143"/>
      <c r="N662" s="143"/>
      <c r="O662" s="143"/>
      <c r="P662" s="114"/>
      <c r="Q662" s="114"/>
      <c r="R662" s="114"/>
      <c r="S662" s="143"/>
      <c r="T662" s="114"/>
      <c r="U662" s="114"/>
      <c r="V662" s="114"/>
      <c r="W662" s="114"/>
      <c r="X662" s="114"/>
      <c r="Y662" s="114"/>
      <c r="Z662" s="143"/>
      <c r="AA662" s="114"/>
      <c r="AB662" s="114"/>
      <c r="AC662" s="114"/>
      <c r="AD662" s="143"/>
      <c r="AE662" s="114"/>
      <c r="AF662" s="114"/>
      <c r="AG662" s="143"/>
      <c r="AH662" s="114"/>
      <c r="AI662" s="114"/>
      <c r="AJ662" s="114"/>
      <c r="AK662" s="114"/>
      <c r="AL662" s="114"/>
      <c r="AM662" s="114"/>
      <c r="AN662" s="114"/>
      <c r="AO662" s="114"/>
      <c r="AP662" s="114"/>
      <c r="AQ662" s="114"/>
      <c r="AR662" s="114"/>
      <c r="AS662" s="114"/>
      <c r="AT662" s="143"/>
      <c r="AU662" s="114"/>
      <c r="AV662" s="114"/>
      <c r="AW662" s="114"/>
      <c r="AX662" s="114"/>
      <c r="AY662" s="114"/>
      <c r="AZ662" s="114"/>
      <c r="BA662" s="114"/>
      <c r="BB662" s="114"/>
      <c r="BC662" s="114"/>
    </row>
    <row r="663" spans="1:55" ht="15.75" customHeight="1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43"/>
      <c r="M663" s="143"/>
      <c r="N663" s="143"/>
      <c r="O663" s="143"/>
      <c r="P663" s="114"/>
      <c r="Q663" s="114"/>
      <c r="R663" s="114"/>
      <c r="S663" s="143"/>
      <c r="T663" s="114"/>
      <c r="U663" s="114"/>
      <c r="V663" s="114"/>
      <c r="W663" s="114"/>
      <c r="X663" s="114"/>
      <c r="Y663" s="114"/>
      <c r="Z663" s="143"/>
      <c r="AA663" s="114"/>
      <c r="AB663" s="114"/>
      <c r="AC663" s="114"/>
      <c r="AD663" s="143"/>
      <c r="AE663" s="114"/>
      <c r="AF663" s="114"/>
      <c r="AG663" s="143"/>
      <c r="AH663" s="114"/>
      <c r="AI663" s="114"/>
      <c r="AJ663" s="114"/>
      <c r="AK663" s="114"/>
      <c r="AL663" s="114"/>
      <c r="AM663" s="114"/>
      <c r="AN663" s="114"/>
      <c r="AO663" s="114"/>
      <c r="AP663" s="114"/>
      <c r="AQ663" s="114"/>
      <c r="AR663" s="114"/>
      <c r="AS663" s="114"/>
      <c r="AT663" s="143"/>
      <c r="AU663" s="114"/>
      <c r="AV663" s="114"/>
      <c r="AW663" s="114"/>
      <c r="AX663" s="114"/>
      <c r="AY663" s="114"/>
      <c r="AZ663" s="114"/>
      <c r="BA663" s="114"/>
      <c r="BB663" s="114"/>
      <c r="BC663" s="114"/>
    </row>
    <row r="664" spans="1:55" ht="15.75" customHeight="1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43"/>
      <c r="M664" s="143"/>
      <c r="N664" s="143"/>
      <c r="O664" s="143"/>
      <c r="P664" s="114"/>
      <c r="Q664" s="114"/>
      <c r="R664" s="114"/>
      <c r="S664" s="143"/>
      <c r="T664" s="114"/>
      <c r="U664" s="114"/>
      <c r="V664" s="114"/>
      <c r="W664" s="114"/>
      <c r="X664" s="114"/>
      <c r="Y664" s="114"/>
      <c r="Z664" s="143"/>
      <c r="AA664" s="114"/>
      <c r="AB664" s="114"/>
      <c r="AC664" s="114"/>
      <c r="AD664" s="143"/>
      <c r="AE664" s="114"/>
      <c r="AF664" s="114"/>
      <c r="AG664" s="143"/>
      <c r="AH664" s="114"/>
      <c r="AI664" s="114"/>
      <c r="AJ664" s="114"/>
      <c r="AK664" s="114"/>
      <c r="AL664" s="114"/>
      <c r="AM664" s="114"/>
      <c r="AN664" s="114"/>
      <c r="AO664" s="114"/>
      <c r="AP664" s="114"/>
      <c r="AQ664" s="114"/>
      <c r="AR664" s="114"/>
      <c r="AS664" s="114"/>
      <c r="AT664" s="143"/>
      <c r="AU664" s="114"/>
      <c r="AV664" s="114"/>
      <c r="AW664" s="114"/>
      <c r="AX664" s="114"/>
      <c r="AY664" s="114"/>
      <c r="AZ664" s="114"/>
      <c r="BA664" s="114"/>
      <c r="BB664" s="114"/>
      <c r="BC664" s="114"/>
    </row>
    <row r="665" spans="1:55" ht="15.75" customHeight="1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43"/>
      <c r="M665" s="143"/>
      <c r="N665" s="143"/>
      <c r="O665" s="143"/>
      <c r="P665" s="114"/>
      <c r="Q665" s="114"/>
      <c r="R665" s="114"/>
      <c r="S665" s="143"/>
      <c r="T665" s="114"/>
      <c r="U665" s="114"/>
      <c r="V665" s="114"/>
      <c r="W665" s="114"/>
      <c r="X665" s="114"/>
      <c r="Y665" s="114"/>
      <c r="Z665" s="143"/>
      <c r="AA665" s="114"/>
      <c r="AB665" s="114"/>
      <c r="AC665" s="114"/>
      <c r="AD665" s="143"/>
      <c r="AE665" s="114"/>
      <c r="AF665" s="114"/>
      <c r="AG665" s="143"/>
      <c r="AH665" s="114"/>
      <c r="AI665" s="114"/>
      <c r="AJ665" s="114"/>
      <c r="AK665" s="114"/>
      <c r="AL665" s="114"/>
      <c r="AM665" s="114"/>
      <c r="AN665" s="114"/>
      <c r="AO665" s="114"/>
      <c r="AP665" s="114"/>
      <c r="AQ665" s="114"/>
      <c r="AR665" s="114"/>
      <c r="AS665" s="114"/>
      <c r="AT665" s="143"/>
      <c r="AU665" s="114"/>
      <c r="AV665" s="114"/>
      <c r="AW665" s="114"/>
      <c r="AX665" s="114"/>
      <c r="AY665" s="114"/>
      <c r="AZ665" s="114"/>
      <c r="BA665" s="114"/>
      <c r="BB665" s="114"/>
      <c r="BC665" s="114"/>
    </row>
    <row r="666" spans="1:55" ht="15.75" customHeight="1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43"/>
      <c r="M666" s="143"/>
      <c r="N666" s="143"/>
      <c r="O666" s="143"/>
      <c r="P666" s="114"/>
      <c r="Q666" s="114"/>
      <c r="R666" s="114"/>
      <c r="S666" s="143"/>
      <c r="T666" s="114"/>
      <c r="U666" s="114"/>
      <c r="V666" s="114"/>
      <c r="W666" s="114"/>
      <c r="X666" s="114"/>
      <c r="Y666" s="114"/>
      <c r="Z666" s="143"/>
      <c r="AA666" s="114"/>
      <c r="AB666" s="114"/>
      <c r="AC666" s="114"/>
      <c r="AD666" s="143"/>
      <c r="AE666" s="114"/>
      <c r="AF666" s="114"/>
      <c r="AG666" s="143"/>
      <c r="AH666" s="114"/>
      <c r="AI666" s="114"/>
      <c r="AJ666" s="114"/>
      <c r="AK666" s="114"/>
      <c r="AL666" s="114"/>
      <c r="AM666" s="114"/>
      <c r="AN666" s="114"/>
      <c r="AO666" s="114"/>
      <c r="AP666" s="114"/>
      <c r="AQ666" s="114"/>
      <c r="AR666" s="114"/>
      <c r="AS666" s="114"/>
      <c r="AT666" s="143"/>
      <c r="AU666" s="114"/>
      <c r="AV666" s="114"/>
      <c r="AW666" s="114"/>
      <c r="AX666" s="114"/>
      <c r="AY666" s="114"/>
      <c r="AZ666" s="114"/>
      <c r="BA666" s="114"/>
      <c r="BB666" s="114"/>
      <c r="BC666" s="114"/>
    </row>
    <row r="667" spans="1:55" ht="15.75" customHeight="1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43"/>
      <c r="M667" s="143"/>
      <c r="N667" s="143"/>
      <c r="O667" s="143"/>
      <c r="P667" s="114"/>
      <c r="Q667" s="114"/>
      <c r="R667" s="114"/>
      <c r="S667" s="143"/>
      <c r="T667" s="114"/>
      <c r="U667" s="114"/>
      <c r="V667" s="114"/>
      <c r="W667" s="114"/>
      <c r="X667" s="114"/>
      <c r="Y667" s="114"/>
      <c r="Z667" s="143"/>
      <c r="AA667" s="114"/>
      <c r="AB667" s="114"/>
      <c r="AC667" s="114"/>
      <c r="AD667" s="143"/>
      <c r="AE667" s="114"/>
      <c r="AF667" s="114"/>
      <c r="AG667" s="143"/>
      <c r="AH667" s="114"/>
      <c r="AI667" s="114"/>
      <c r="AJ667" s="114"/>
      <c r="AK667" s="114"/>
      <c r="AL667" s="114"/>
      <c r="AM667" s="114"/>
      <c r="AN667" s="114"/>
      <c r="AO667" s="114"/>
      <c r="AP667" s="114"/>
      <c r="AQ667" s="114"/>
      <c r="AR667" s="114"/>
      <c r="AS667" s="114"/>
      <c r="AT667" s="143"/>
      <c r="AU667" s="114"/>
      <c r="AV667" s="114"/>
      <c r="AW667" s="114"/>
      <c r="AX667" s="114"/>
      <c r="AY667" s="114"/>
      <c r="AZ667" s="114"/>
      <c r="BA667" s="114"/>
      <c r="BB667" s="114"/>
      <c r="BC667" s="114"/>
    </row>
    <row r="668" spans="1:55" ht="15.75" customHeight="1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43"/>
      <c r="M668" s="143"/>
      <c r="N668" s="143"/>
      <c r="O668" s="143"/>
      <c r="P668" s="114"/>
      <c r="Q668" s="114"/>
      <c r="R668" s="114"/>
      <c r="S668" s="143"/>
      <c r="T668" s="114"/>
      <c r="U668" s="114"/>
      <c r="V668" s="114"/>
      <c r="W668" s="114"/>
      <c r="X668" s="114"/>
      <c r="Y668" s="114"/>
      <c r="Z668" s="143"/>
      <c r="AA668" s="114"/>
      <c r="AB668" s="114"/>
      <c r="AC668" s="114"/>
      <c r="AD668" s="143"/>
      <c r="AE668" s="114"/>
      <c r="AF668" s="114"/>
      <c r="AG668" s="143"/>
      <c r="AH668" s="114"/>
      <c r="AI668" s="114"/>
      <c r="AJ668" s="114"/>
      <c r="AK668" s="114"/>
      <c r="AL668" s="114"/>
      <c r="AM668" s="114"/>
      <c r="AN668" s="114"/>
      <c r="AO668" s="114"/>
      <c r="AP668" s="114"/>
      <c r="AQ668" s="114"/>
      <c r="AR668" s="114"/>
      <c r="AS668" s="114"/>
      <c r="AT668" s="143"/>
      <c r="AU668" s="114"/>
      <c r="AV668" s="114"/>
      <c r="AW668" s="114"/>
      <c r="AX668" s="114"/>
      <c r="AY668" s="114"/>
      <c r="AZ668" s="114"/>
      <c r="BA668" s="114"/>
      <c r="BB668" s="114"/>
      <c r="BC668" s="114"/>
    </row>
    <row r="669" spans="1:55" ht="15.75" customHeight="1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43"/>
      <c r="M669" s="143"/>
      <c r="N669" s="143"/>
      <c r="O669" s="143"/>
      <c r="P669" s="114"/>
      <c r="Q669" s="114"/>
      <c r="R669" s="114"/>
      <c r="S669" s="143"/>
      <c r="T669" s="114"/>
      <c r="U669" s="114"/>
      <c r="V669" s="114"/>
      <c r="W669" s="114"/>
      <c r="X669" s="114"/>
      <c r="Y669" s="114"/>
      <c r="Z669" s="143"/>
      <c r="AA669" s="114"/>
      <c r="AB669" s="114"/>
      <c r="AC669" s="114"/>
      <c r="AD669" s="143"/>
      <c r="AE669" s="114"/>
      <c r="AF669" s="114"/>
      <c r="AG669" s="143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43"/>
      <c r="AU669" s="114"/>
      <c r="AV669" s="114"/>
      <c r="AW669" s="114"/>
      <c r="AX669" s="114"/>
      <c r="AY669" s="114"/>
      <c r="AZ669" s="114"/>
      <c r="BA669" s="114"/>
      <c r="BB669" s="114"/>
      <c r="BC669" s="114"/>
    </row>
    <row r="670" spans="1:55" ht="15.75" customHeight="1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43"/>
      <c r="M670" s="143"/>
      <c r="N670" s="143"/>
      <c r="O670" s="143"/>
      <c r="P670" s="114"/>
      <c r="Q670" s="114"/>
      <c r="R670" s="114"/>
      <c r="S670" s="143"/>
      <c r="T670" s="114"/>
      <c r="U670" s="114"/>
      <c r="V670" s="114"/>
      <c r="W670" s="114"/>
      <c r="X670" s="114"/>
      <c r="Y670" s="114"/>
      <c r="Z670" s="143"/>
      <c r="AA670" s="114"/>
      <c r="AB670" s="114"/>
      <c r="AC670" s="114"/>
      <c r="AD670" s="143"/>
      <c r="AE670" s="114"/>
      <c r="AF670" s="114"/>
      <c r="AG670" s="143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43"/>
      <c r="AU670" s="114"/>
      <c r="AV670" s="114"/>
      <c r="AW670" s="114"/>
      <c r="AX670" s="114"/>
      <c r="AY670" s="114"/>
      <c r="AZ670" s="114"/>
      <c r="BA670" s="114"/>
      <c r="BB670" s="114"/>
      <c r="BC670" s="114"/>
    </row>
    <row r="671" spans="1:55" ht="15.75" customHeight="1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43"/>
      <c r="M671" s="143"/>
      <c r="N671" s="143"/>
      <c r="O671" s="143"/>
      <c r="P671" s="114"/>
      <c r="Q671" s="114"/>
      <c r="R671" s="114"/>
      <c r="S671" s="143"/>
      <c r="T671" s="114"/>
      <c r="U671" s="114"/>
      <c r="V671" s="114"/>
      <c r="W671" s="114"/>
      <c r="X671" s="114"/>
      <c r="Y671" s="114"/>
      <c r="Z671" s="143"/>
      <c r="AA671" s="114"/>
      <c r="AB671" s="114"/>
      <c r="AC671" s="114"/>
      <c r="AD671" s="143"/>
      <c r="AE671" s="114"/>
      <c r="AF671" s="114"/>
      <c r="AG671" s="143"/>
      <c r="AH671" s="114"/>
      <c r="AI671" s="114"/>
      <c r="AJ671" s="114"/>
      <c r="AK671" s="114"/>
      <c r="AL671" s="114"/>
      <c r="AM671" s="114"/>
      <c r="AN671" s="114"/>
      <c r="AO671" s="114"/>
      <c r="AP671" s="114"/>
      <c r="AQ671" s="114"/>
      <c r="AR671" s="114"/>
      <c r="AS671" s="114"/>
      <c r="AT671" s="143"/>
      <c r="AU671" s="114"/>
      <c r="AV671" s="114"/>
      <c r="AW671" s="114"/>
      <c r="AX671" s="114"/>
      <c r="AY671" s="114"/>
      <c r="AZ671" s="114"/>
      <c r="BA671" s="114"/>
      <c r="BB671" s="114"/>
      <c r="BC671" s="114"/>
    </row>
    <row r="672" spans="1:55" ht="15.75" customHeight="1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43"/>
      <c r="M672" s="143"/>
      <c r="N672" s="143"/>
      <c r="O672" s="143"/>
      <c r="P672" s="114"/>
      <c r="Q672" s="114"/>
      <c r="R672" s="114"/>
      <c r="S672" s="143"/>
      <c r="T672" s="114"/>
      <c r="U672" s="114"/>
      <c r="V672" s="114"/>
      <c r="W672" s="114"/>
      <c r="X672" s="114"/>
      <c r="Y672" s="114"/>
      <c r="Z672" s="143"/>
      <c r="AA672" s="114"/>
      <c r="AB672" s="114"/>
      <c r="AC672" s="114"/>
      <c r="AD672" s="143"/>
      <c r="AE672" s="114"/>
      <c r="AF672" s="114"/>
      <c r="AG672" s="143"/>
      <c r="AH672" s="114"/>
      <c r="AI672" s="114"/>
      <c r="AJ672" s="114"/>
      <c r="AK672" s="114"/>
      <c r="AL672" s="114"/>
      <c r="AM672" s="114"/>
      <c r="AN672" s="114"/>
      <c r="AO672" s="114"/>
      <c r="AP672" s="114"/>
      <c r="AQ672" s="114"/>
      <c r="AR672" s="114"/>
      <c r="AS672" s="114"/>
      <c r="AT672" s="143"/>
      <c r="AU672" s="114"/>
      <c r="AV672" s="114"/>
      <c r="AW672" s="114"/>
      <c r="AX672" s="114"/>
      <c r="AY672" s="114"/>
      <c r="AZ672" s="114"/>
      <c r="BA672" s="114"/>
      <c r="BB672" s="114"/>
      <c r="BC672" s="114"/>
    </row>
    <row r="673" spans="1:55" ht="15.75" customHeight="1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43"/>
      <c r="M673" s="143"/>
      <c r="N673" s="143"/>
      <c r="O673" s="143"/>
      <c r="P673" s="114"/>
      <c r="Q673" s="114"/>
      <c r="R673" s="114"/>
      <c r="S673" s="143"/>
      <c r="T673" s="114"/>
      <c r="U673" s="114"/>
      <c r="V673" s="114"/>
      <c r="W673" s="114"/>
      <c r="X673" s="114"/>
      <c r="Y673" s="114"/>
      <c r="Z673" s="143"/>
      <c r="AA673" s="114"/>
      <c r="AB673" s="114"/>
      <c r="AC673" s="114"/>
      <c r="AD673" s="143"/>
      <c r="AE673" s="114"/>
      <c r="AF673" s="114"/>
      <c r="AG673" s="143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43"/>
      <c r="AU673" s="114"/>
      <c r="AV673" s="114"/>
      <c r="AW673" s="114"/>
      <c r="AX673" s="114"/>
      <c r="AY673" s="114"/>
      <c r="AZ673" s="114"/>
      <c r="BA673" s="114"/>
      <c r="BB673" s="114"/>
      <c r="BC673" s="114"/>
    </row>
    <row r="674" spans="1:55" ht="15.75" customHeight="1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43"/>
      <c r="M674" s="143"/>
      <c r="N674" s="143"/>
      <c r="O674" s="143"/>
      <c r="P674" s="114"/>
      <c r="Q674" s="114"/>
      <c r="R674" s="114"/>
      <c r="S674" s="143"/>
      <c r="T674" s="114"/>
      <c r="U674" s="114"/>
      <c r="V674" s="114"/>
      <c r="W674" s="114"/>
      <c r="X674" s="114"/>
      <c r="Y674" s="114"/>
      <c r="Z674" s="143"/>
      <c r="AA674" s="114"/>
      <c r="AB674" s="114"/>
      <c r="AC674" s="114"/>
      <c r="AD674" s="143"/>
      <c r="AE674" s="114"/>
      <c r="AF674" s="114"/>
      <c r="AG674" s="143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43"/>
      <c r="AU674" s="114"/>
      <c r="AV674" s="114"/>
      <c r="AW674" s="114"/>
      <c r="AX674" s="114"/>
      <c r="AY674" s="114"/>
      <c r="AZ674" s="114"/>
      <c r="BA674" s="114"/>
      <c r="BB674" s="114"/>
      <c r="BC674" s="114"/>
    </row>
    <row r="675" spans="1:55" ht="15.75" customHeight="1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43"/>
      <c r="M675" s="143"/>
      <c r="N675" s="143"/>
      <c r="O675" s="143"/>
      <c r="P675" s="114"/>
      <c r="Q675" s="114"/>
      <c r="R675" s="114"/>
      <c r="S675" s="143"/>
      <c r="T675" s="114"/>
      <c r="U675" s="114"/>
      <c r="V675" s="114"/>
      <c r="W675" s="114"/>
      <c r="X675" s="114"/>
      <c r="Y675" s="114"/>
      <c r="Z675" s="143"/>
      <c r="AA675" s="114"/>
      <c r="AB675" s="114"/>
      <c r="AC675" s="114"/>
      <c r="AD675" s="143"/>
      <c r="AE675" s="114"/>
      <c r="AF675" s="114"/>
      <c r="AG675" s="143"/>
      <c r="AH675" s="114"/>
      <c r="AI675" s="114"/>
      <c r="AJ675" s="114"/>
      <c r="AK675" s="114"/>
      <c r="AL675" s="114"/>
      <c r="AM675" s="114"/>
      <c r="AN675" s="114"/>
      <c r="AO675" s="114"/>
      <c r="AP675" s="114"/>
      <c r="AQ675" s="114"/>
      <c r="AR675" s="114"/>
      <c r="AS675" s="114"/>
      <c r="AT675" s="143"/>
      <c r="AU675" s="114"/>
      <c r="AV675" s="114"/>
      <c r="AW675" s="114"/>
      <c r="AX675" s="114"/>
      <c r="AY675" s="114"/>
      <c r="AZ675" s="114"/>
      <c r="BA675" s="114"/>
      <c r="BB675" s="114"/>
      <c r="BC675" s="114"/>
    </row>
    <row r="676" spans="1:55" ht="15.75" customHeight="1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43"/>
      <c r="M676" s="143"/>
      <c r="N676" s="143"/>
      <c r="O676" s="143"/>
      <c r="P676" s="114"/>
      <c r="Q676" s="114"/>
      <c r="R676" s="114"/>
      <c r="S676" s="143"/>
      <c r="T676" s="114"/>
      <c r="U676" s="114"/>
      <c r="V676" s="114"/>
      <c r="W676" s="114"/>
      <c r="X676" s="114"/>
      <c r="Y676" s="114"/>
      <c r="Z676" s="143"/>
      <c r="AA676" s="114"/>
      <c r="AB676" s="114"/>
      <c r="AC676" s="114"/>
      <c r="AD676" s="143"/>
      <c r="AE676" s="114"/>
      <c r="AF676" s="114"/>
      <c r="AG676" s="143"/>
      <c r="AH676" s="114"/>
      <c r="AI676" s="114"/>
      <c r="AJ676" s="114"/>
      <c r="AK676" s="114"/>
      <c r="AL676" s="114"/>
      <c r="AM676" s="114"/>
      <c r="AN676" s="114"/>
      <c r="AO676" s="114"/>
      <c r="AP676" s="114"/>
      <c r="AQ676" s="114"/>
      <c r="AR676" s="114"/>
      <c r="AS676" s="114"/>
      <c r="AT676" s="143"/>
      <c r="AU676" s="114"/>
      <c r="AV676" s="114"/>
      <c r="AW676" s="114"/>
      <c r="AX676" s="114"/>
      <c r="AY676" s="114"/>
      <c r="AZ676" s="114"/>
      <c r="BA676" s="114"/>
      <c r="BB676" s="114"/>
      <c r="BC676" s="114"/>
    </row>
    <row r="677" spans="1:55" ht="15.75" customHeight="1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43"/>
      <c r="M677" s="143"/>
      <c r="N677" s="143"/>
      <c r="O677" s="143"/>
      <c r="P677" s="114"/>
      <c r="Q677" s="114"/>
      <c r="R677" s="114"/>
      <c r="S677" s="143"/>
      <c r="T677" s="114"/>
      <c r="U677" s="114"/>
      <c r="V677" s="114"/>
      <c r="W677" s="114"/>
      <c r="X677" s="114"/>
      <c r="Y677" s="114"/>
      <c r="Z677" s="143"/>
      <c r="AA677" s="114"/>
      <c r="AB677" s="114"/>
      <c r="AC677" s="114"/>
      <c r="AD677" s="143"/>
      <c r="AE677" s="114"/>
      <c r="AF677" s="114"/>
      <c r="AG677" s="143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43"/>
      <c r="AU677" s="114"/>
      <c r="AV677" s="114"/>
      <c r="AW677" s="114"/>
      <c r="AX677" s="114"/>
      <c r="AY677" s="114"/>
      <c r="AZ677" s="114"/>
      <c r="BA677" s="114"/>
      <c r="BB677" s="114"/>
      <c r="BC677" s="114"/>
    </row>
    <row r="678" spans="1:55" ht="15.75" customHeight="1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43"/>
      <c r="M678" s="143"/>
      <c r="N678" s="143"/>
      <c r="O678" s="143"/>
      <c r="P678" s="114"/>
      <c r="Q678" s="114"/>
      <c r="R678" s="114"/>
      <c r="S678" s="143"/>
      <c r="T678" s="114"/>
      <c r="U678" s="114"/>
      <c r="V678" s="114"/>
      <c r="W678" s="114"/>
      <c r="X678" s="114"/>
      <c r="Y678" s="114"/>
      <c r="Z678" s="143"/>
      <c r="AA678" s="114"/>
      <c r="AB678" s="114"/>
      <c r="AC678" s="114"/>
      <c r="AD678" s="143"/>
      <c r="AE678" s="114"/>
      <c r="AF678" s="114"/>
      <c r="AG678" s="143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43"/>
      <c r="AU678" s="114"/>
      <c r="AV678" s="114"/>
      <c r="AW678" s="114"/>
      <c r="AX678" s="114"/>
      <c r="AY678" s="114"/>
      <c r="AZ678" s="114"/>
      <c r="BA678" s="114"/>
      <c r="BB678" s="114"/>
      <c r="BC678" s="114"/>
    </row>
    <row r="679" spans="1:55" ht="15.75" customHeight="1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43"/>
      <c r="M679" s="143"/>
      <c r="N679" s="143"/>
      <c r="O679" s="143"/>
      <c r="P679" s="114"/>
      <c r="Q679" s="114"/>
      <c r="R679" s="114"/>
      <c r="S679" s="143"/>
      <c r="T679" s="114"/>
      <c r="U679" s="114"/>
      <c r="V679" s="114"/>
      <c r="W679" s="114"/>
      <c r="X679" s="114"/>
      <c r="Y679" s="114"/>
      <c r="Z679" s="143"/>
      <c r="AA679" s="114"/>
      <c r="AB679" s="114"/>
      <c r="AC679" s="114"/>
      <c r="AD679" s="143"/>
      <c r="AE679" s="114"/>
      <c r="AF679" s="114"/>
      <c r="AG679" s="143"/>
      <c r="AH679" s="114"/>
      <c r="AI679" s="114"/>
      <c r="AJ679" s="114"/>
      <c r="AK679" s="114"/>
      <c r="AL679" s="114"/>
      <c r="AM679" s="114"/>
      <c r="AN679" s="114"/>
      <c r="AO679" s="114"/>
      <c r="AP679" s="114"/>
      <c r="AQ679" s="114"/>
      <c r="AR679" s="114"/>
      <c r="AS679" s="114"/>
      <c r="AT679" s="143"/>
      <c r="AU679" s="114"/>
      <c r="AV679" s="114"/>
      <c r="AW679" s="114"/>
      <c r="AX679" s="114"/>
      <c r="AY679" s="114"/>
      <c r="AZ679" s="114"/>
      <c r="BA679" s="114"/>
      <c r="BB679" s="114"/>
      <c r="BC679" s="114"/>
    </row>
    <row r="680" spans="1:55" ht="15.75" customHeight="1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43"/>
      <c r="M680" s="143"/>
      <c r="N680" s="143"/>
      <c r="O680" s="143"/>
      <c r="P680" s="114"/>
      <c r="Q680" s="114"/>
      <c r="R680" s="114"/>
      <c r="S680" s="143"/>
      <c r="T680" s="114"/>
      <c r="U680" s="114"/>
      <c r="V680" s="114"/>
      <c r="W680" s="114"/>
      <c r="X680" s="114"/>
      <c r="Y680" s="114"/>
      <c r="Z680" s="143"/>
      <c r="AA680" s="114"/>
      <c r="AB680" s="114"/>
      <c r="AC680" s="114"/>
      <c r="AD680" s="143"/>
      <c r="AE680" s="114"/>
      <c r="AF680" s="114"/>
      <c r="AG680" s="143"/>
      <c r="AH680" s="114"/>
      <c r="AI680" s="114"/>
      <c r="AJ680" s="114"/>
      <c r="AK680" s="114"/>
      <c r="AL680" s="114"/>
      <c r="AM680" s="114"/>
      <c r="AN680" s="114"/>
      <c r="AO680" s="114"/>
      <c r="AP680" s="114"/>
      <c r="AQ680" s="114"/>
      <c r="AR680" s="114"/>
      <c r="AS680" s="114"/>
      <c r="AT680" s="143"/>
      <c r="AU680" s="114"/>
      <c r="AV680" s="114"/>
      <c r="AW680" s="114"/>
      <c r="AX680" s="114"/>
      <c r="AY680" s="114"/>
      <c r="AZ680" s="114"/>
      <c r="BA680" s="114"/>
      <c r="BB680" s="114"/>
      <c r="BC680" s="114"/>
    </row>
    <row r="681" spans="1:55" ht="15.75" customHeight="1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43"/>
      <c r="M681" s="143"/>
      <c r="N681" s="143"/>
      <c r="O681" s="143"/>
      <c r="P681" s="114"/>
      <c r="Q681" s="114"/>
      <c r="R681" s="114"/>
      <c r="S681" s="143"/>
      <c r="T681" s="114"/>
      <c r="U681" s="114"/>
      <c r="V681" s="114"/>
      <c r="W681" s="114"/>
      <c r="X681" s="114"/>
      <c r="Y681" s="114"/>
      <c r="Z681" s="143"/>
      <c r="AA681" s="114"/>
      <c r="AB681" s="114"/>
      <c r="AC681" s="114"/>
      <c r="AD681" s="143"/>
      <c r="AE681" s="114"/>
      <c r="AF681" s="114"/>
      <c r="AG681" s="143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43"/>
      <c r="AU681" s="114"/>
      <c r="AV681" s="114"/>
      <c r="AW681" s="114"/>
      <c r="AX681" s="114"/>
      <c r="AY681" s="114"/>
      <c r="AZ681" s="114"/>
      <c r="BA681" s="114"/>
      <c r="BB681" s="114"/>
      <c r="BC681" s="114"/>
    </row>
    <row r="682" spans="1:55" ht="15.75" customHeight="1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43"/>
      <c r="M682" s="143"/>
      <c r="N682" s="143"/>
      <c r="O682" s="143"/>
      <c r="P682" s="114"/>
      <c r="Q682" s="114"/>
      <c r="R682" s="114"/>
      <c r="S682" s="143"/>
      <c r="T682" s="114"/>
      <c r="U682" s="114"/>
      <c r="V682" s="114"/>
      <c r="W682" s="114"/>
      <c r="X682" s="114"/>
      <c r="Y682" s="114"/>
      <c r="Z682" s="143"/>
      <c r="AA682" s="114"/>
      <c r="AB682" s="114"/>
      <c r="AC682" s="114"/>
      <c r="AD682" s="143"/>
      <c r="AE682" s="114"/>
      <c r="AF682" s="114"/>
      <c r="AG682" s="143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43"/>
      <c r="AU682" s="114"/>
      <c r="AV682" s="114"/>
      <c r="AW682" s="114"/>
      <c r="AX682" s="114"/>
      <c r="AY682" s="114"/>
      <c r="AZ682" s="114"/>
      <c r="BA682" s="114"/>
      <c r="BB682" s="114"/>
      <c r="BC682" s="114"/>
    </row>
    <row r="683" spans="1:55" ht="15.75" customHeight="1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43"/>
      <c r="M683" s="143"/>
      <c r="N683" s="143"/>
      <c r="O683" s="143"/>
      <c r="P683" s="114"/>
      <c r="Q683" s="114"/>
      <c r="R683" s="114"/>
      <c r="S683" s="143"/>
      <c r="T683" s="114"/>
      <c r="U683" s="114"/>
      <c r="V683" s="114"/>
      <c r="W683" s="114"/>
      <c r="X683" s="114"/>
      <c r="Y683" s="114"/>
      <c r="Z683" s="143"/>
      <c r="AA683" s="114"/>
      <c r="AB683" s="114"/>
      <c r="AC683" s="114"/>
      <c r="AD683" s="143"/>
      <c r="AE683" s="114"/>
      <c r="AF683" s="114"/>
      <c r="AG683" s="143"/>
      <c r="AH683" s="114"/>
      <c r="AI683" s="114"/>
      <c r="AJ683" s="114"/>
      <c r="AK683" s="114"/>
      <c r="AL683" s="114"/>
      <c r="AM683" s="114"/>
      <c r="AN683" s="114"/>
      <c r="AO683" s="114"/>
      <c r="AP683" s="114"/>
      <c r="AQ683" s="114"/>
      <c r="AR683" s="114"/>
      <c r="AS683" s="114"/>
      <c r="AT683" s="143"/>
      <c r="AU683" s="114"/>
      <c r="AV683" s="114"/>
      <c r="AW683" s="114"/>
      <c r="AX683" s="114"/>
      <c r="AY683" s="114"/>
      <c r="AZ683" s="114"/>
      <c r="BA683" s="114"/>
      <c r="BB683" s="114"/>
      <c r="BC683" s="114"/>
    </row>
    <row r="684" spans="1:55" ht="15.75" customHeight="1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43"/>
      <c r="M684" s="143"/>
      <c r="N684" s="143"/>
      <c r="O684" s="143"/>
      <c r="P684" s="114"/>
      <c r="Q684" s="114"/>
      <c r="R684" s="114"/>
      <c r="S684" s="143"/>
      <c r="T684" s="114"/>
      <c r="U684" s="114"/>
      <c r="V684" s="114"/>
      <c r="W684" s="114"/>
      <c r="X684" s="114"/>
      <c r="Y684" s="114"/>
      <c r="Z684" s="143"/>
      <c r="AA684" s="114"/>
      <c r="AB684" s="114"/>
      <c r="AC684" s="114"/>
      <c r="AD684" s="143"/>
      <c r="AE684" s="114"/>
      <c r="AF684" s="114"/>
      <c r="AG684" s="143"/>
      <c r="AH684" s="114"/>
      <c r="AI684" s="114"/>
      <c r="AJ684" s="114"/>
      <c r="AK684" s="114"/>
      <c r="AL684" s="114"/>
      <c r="AM684" s="114"/>
      <c r="AN684" s="114"/>
      <c r="AO684" s="114"/>
      <c r="AP684" s="114"/>
      <c r="AQ684" s="114"/>
      <c r="AR684" s="114"/>
      <c r="AS684" s="114"/>
      <c r="AT684" s="143"/>
      <c r="AU684" s="114"/>
      <c r="AV684" s="114"/>
      <c r="AW684" s="114"/>
      <c r="AX684" s="114"/>
      <c r="AY684" s="114"/>
      <c r="AZ684" s="114"/>
      <c r="BA684" s="114"/>
      <c r="BB684" s="114"/>
      <c r="BC684" s="114"/>
    </row>
    <row r="685" spans="1:55" ht="15.75" customHeight="1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43"/>
      <c r="M685" s="143"/>
      <c r="N685" s="143"/>
      <c r="O685" s="143"/>
      <c r="P685" s="114"/>
      <c r="Q685" s="114"/>
      <c r="R685" s="114"/>
      <c r="S685" s="143"/>
      <c r="T685" s="114"/>
      <c r="U685" s="114"/>
      <c r="V685" s="114"/>
      <c r="W685" s="114"/>
      <c r="X685" s="114"/>
      <c r="Y685" s="114"/>
      <c r="Z685" s="143"/>
      <c r="AA685" s="114"/>
      <c r="AB685" s="114"/>
      <c r="AC685" s="114"/>
      <c r="AD685" s="143"/>
      <c r="AE685" s="114"/>
      <c r="AF685" s="114"/>
      <c r="AG685" s="143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43"/>
      <c r="AU685" s="114"/>
      <c r="AV685" s="114"/>
      <c r="AW685" s="114"/>
      <c r="AX685" s="114"/>
      <c r="AY685" s="114"/>
      <c r="AZ685" s="114"/>
      <c r="BA685" s="114"/>
      <c r="BB685" s="114"/>
      <c r="BC685" s="114"/>
    </row>
    <row r="686" spans="1:55" ht="15.75" customHeight="1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43"/>
      <c r="M686" s="143"/>
      <c r="N686" s="143"/>
      <c r="O686" s="143"/>
      <c r="P686" s="114"/>
      <c r="Q686" s="114"/>
      <c r="R686" s="114"/>
      <c r="S686" s="143"/>
      <c r="T686" s="114"/>
      <c r="U686" s="114"/>
      <c r="V686" s="114"/>
      <c r="W686" s="114"/>
      <c r="X686" s="114"/>
      <c r="Y686" s="114"/>
      <c r="Z686" s="143"/>
      <c r="AA686" s="114"/>
      <c r="AB686" s="114"/>
      <c r="AC686" s="114"/>
      <c r="AD686" s="143"/>
      <c r="AE686" s="114"/>
      <c r="AF686" s="114"/>
      <c r="AG686" s="143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43"/>
      <c r="AU686" s="114"/>
      <c r="AV686" s="114"/>
      <c r="AW686" s="114"/>
      <c r="AX686" s="114"/>
      <c r="AY686" s="114"/>
      <c r="AZ686" s="114"/>
      <c r="BA686" s="114"/>
      <c r="BB686" s="114"/>
      <c r="BC686" s="114"/>
    </row>
    <row r="687" spans="1:55" ht="15.75" customHeight="1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43"/>
      <c r="M687" s="143"/>
      <c r="N687" s="143"/>
      <c r="O687" s="143"/>
      <c r="P687" s="114"/>
      <c r="Q687" s="114"/>
      <c r="R687" s="114"/>
      <c r="S687" s="143"/>
      <c r="T687" s="114"/>
      <c r="U687" s="114"/>
      <c r="V687" s="114"/>
      <c r="W687" s="114"/>
      <c r="X687" s="114"/>
      <c r="Y687" s="114"/>
      <c r="Z687" s="143"/>
      <c r="AA687" s="114"/>
      <c r="AB687" s="114"/>
      <c r="AC687" s="114"/>
      <c r="AD687" s="143"/>
      <c r="AE687" s="114"/>
      <c r="AF687" s="114"/>
      <c r="AG687" s="143"/>
      <c r="AH687" s="114"/>
      <c r="AI687" s="114"/>
      <c r="AJ687" s="114"/>
      <c r="AK687" s="114"/>
      <c r="AL687" s="114"/>
      <c r="AM687" s="114"/>
      <c r="AN687" s="114"/>
      <c r="AO687" s="114"/>
      <c r="AP687" s="114"/>
      <c r="AQ687" s="114"/>
      <c r="AR687" s="114"/>
      <c r="AS687" s="114"/>
      <c r="AT687" s="143"/>
      <c r="AU687" s="114"/>
      <c r="AV687" s="114"/>
      <c r="AW687" s="114"/>
      <c r="AX687" s="114"/>
      <c r="AY687" s="114"/>
      <c r="AZ687" s="114"/>
      <c r="BA687" s="114"/>
      <c r="BB687" s="114"/>
      <c r="BC687" s="114"/>
    </row>
    <row r="688" spans="1:55" ht="15.75" customHeight="1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43"/>
      <c r="M688" s="143"/>
      <c r="N688" s="143"/>
      <c r="O688" s="143"/>
      <c r="P688" s="114"/>
      <c r="Q688" s="114"/>
      <c r="R688" s="114"/>
      <c r="S688" s="143"/>
      <c r="T688" s="114"/>
      <c r="U688" s="114"/>
      <c r="V688" s="114"/>
      <c r="W688" s="114"/>
      <c r="X688" s="114"/>
      <c r="Y688" s="114"/>
      <c r="Z688" s="143"/>
      <c r="AA688" s="114"/>
      <c r="AB688" s="114"/>
      <c r="AC688" s="114"/>
      <c r="AD688" s="143"/>
      <c r="AE688" s="114"/>
      <c r="AF688" s="114"/>
      <c r="AG688" s="143"/>
      <c r="AH688" s="114"/>
      <c r="AI688" s="114"/>
      <c r="AJ688" s="114"/>
      <c r="AK688" s="114"/>
      <c r="AL688" s="114"/>
      <c r="AM688" s="114"/>
      <c r="AN688" s="114"/>
      <c r="AO688" s="114"/>
      <c r="AP688" s="114"/>
      <c r="AQ688" s="114"/>
      <c r="AR688" s="114"/>
      <c r="AS688" s="114"/>
      <c r="AT688" s="143"/>
      <c r="AU688" s="114"/>
      <c r="AV688" s="114"/>
      <c r="AW688" s="114"/>
      <c r="AX688" s="114"/>
      <c r="AY688" s="114"/>
      <c r="AZ688" s="114"/>
      <c r="BA688" s="114"/>
      <c r="BB688" s="114"/>
      <c r="BC688" s="114"/>
    </row>
    <row r="689" spans="1:55" ht="15.75" customHeight="1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43"/>
      <c r="M689" s="143"/>
      <c r="N689" s="143"/>
      <c r="O689" s="143"/>
      <c r="P689" s="114"/>
      <c r="Q689" s="114"/>
      <c r="R689" s="114"/>
      <c r="S689" s="143"/>
      <c r="T689" s="114"/>
      <c r="U689" s="114"/>
      <c r="V689" s="114"/>
      <c r="W689" s="114"/>
      <c r="X689" s="114"/>
      <c r="Y689" s="114"/>
      <c r="Z689" s="143"/>
      <c r="AA689" s="114"/>
      <c r="AB689" s="114"/>
      <c r="AC689" s="114"/>
      <c r="AD689" s="143"/>
      <c r="AE689" s="114"/>
      <c r="AF689" s="114"/>
      <c r="AG689" s="143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43"/>
      <c r="AU689" s="114"/>
      <c r="AV689" s="114"/>
      <c r="AW689" s="114"/>
      <c r="AX689" s="114"/>
      <c r="AY689" s="114"/>
      <c r="AZ689" s="114"/>
      <c r="BA689" s="114"/>
      <c r="BB689" s="114"/>
      <c r="BC689" s="114"/>
    </row>
    <row r="690" spans="1:55" ht="15.75" customHeight="1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43"/>
      <c r="M690" s="143"/>
      <c r="N690" s="143"/>
      <c r="O690" s="143"/>
      <c r="P690" s="114"/>
      <c r="Q690" s="114"/>
      <c r="R690" s="114"/>
      <c r="S690" s="143"/>
      <c r="T690" s="114"/>
      <c r="U690" s="114"/>
      <c r="V690" s="114"/>
      <c r="W690" s="114"/>
      <c r="X690" s="114"/>
      <c r="Y690" s="114"/>
      <c r="Z690" s="143"/>
      <c r="AA690" s="114"/>
      <c r="AB690" s="114"/>
      <c r="AC690" s="114"/>
      <c r="AD690" s="143"/>
      <c r="AE690" s="114"/>
      <c r="AF690" s="114"/>
      <c r="AG690" s="143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43"/>
      <c r="AU690" s="114"/>
      <c r="AV690" s="114"/>
      <c r="AW690" s="114"/>
      <c r="AX690" s="114"/>
      <c r="AY690" s="114"/>
      <c r="AZ690" s="114"/>
      <c r="BA690" s="114"/>
      <c r="BB690" s="114"/>
      <c r="BC690" s="114"/>
    </row>
    <row r="691" spans="1:55" ht="15.75" customHeight="1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43"/>
      <c r="M691" s="143"/>
      <c r="N691" s="143"/>
      <c r="O691" s="143"/>
      <c r="P691" s="114"/>
      <c r="Q691" s="114"/>
      <c r="R691" s="114"/>
      <c r="S691" s="143"/>
      <c r="T691" s="114"/>
      <c r="U691" s="114"/>
      <c r="V691" s="114"/>
      <c r="W691" s="114"/>
      <c r="X691" s="114"/>
      <c r="Y691" s="114"/>
      <c r="Z691" s="143"/>
      <c r="AA691" s="114"/>
      <c r="AB691" s="114"/>
      <c r="AC691" s="114"/>
      <c r="AD691" s="143"/>
      <c r="AE691" s="114"/>
      <c r="AF691" s="114"/>
      <c r="AG691" s="143"/>
      <c r="AH691" s="114"/>
      <c r="AI691" s="114"/>
      <c r="AJ691" s="114"/>
      <c r="AK691" s="114"/>
      <c r="AL691" s="114"/>
      <c r="AM691" s="114"/>
      <c r="AN691" s="114"/>
      <c r="AO691" s="114"/>
      <c r="AP691" s="114"/>
      <c r="AQ691" s="114"/>
      <c r="AR691" s="114"/>
      <c r="AS691" s="114"/>
      <c r="AT691" s="143"/>
      <c r="AU691" s="114"/>
      <c r="AV691" s="114"/>
      <c r="AW691" s="114"/>
      <c r="AX691" s="114"/>
      <c r="AY691" s="114"/>
      <c r="AZ691" s="114"/>
      <c r="BA691" s="114"/>
      <c r="BB691" s="114"/>
      <c r="BC691" s="114"/>
    </row>
    <row r="692" spans="1:55" ht="15.75" customHeight="1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43"/>
      <c r="M692" s="143"/>
      <c r="N692" s="143"/>
      <c r="O692" s="143"/>
      <c r="P692" s="114"/>
      <c r="Q692" s="114"/>
      <c r="R692" s="114"/>
      <c r="S692" s="143"/>
      <c r="T692" s="114"/>
      <c r="U692" s="114"/>
      <c r="V692" s="114"/>
      <c r="W692" s="114"/>
      <c r="X692" s="114"/>
      <c r="Y692" s="114"/>
      <c r="Z692" s="143"/>
      <c r="AA692" s="114"/>
      <c r="AB692" s="114"/>
      <c r="AC692" s="114"/>
      <c r="AD692" s="143"/>
      <c r="AE692" s="114"/>
      <c r="AF692" s="114"/>
      <c r="AG692" s="143"/>
      <c r="AH692" s="114"/>
      <c r="AI692" s="114"/>
      <c r="AJ692" s="114"/>
      <c r="AK692" s="114"/>
      <c r="AL692" s="114"/>
      <c r="AM692" s="114"/>
      <c r="AN692" s="114"/>
      <c r="AO692" s="114"/>
      <c r="AP692" s="114"/>
      <c r="AQ692" s="114"/>
      <c r="AR692" s="114"/>
      <c r="AS692" s="114"/>
      <c r="AT692" s="143"/>
      <c r="AU692" s="114"/>
      <c r="AV692" s="114"/>
      <c r="AW692" s="114"/>
      <c r="AX692" s="114"/>
      <c r="AY692" s="114"/>
      <c r="AZ692" s="114"/>
      <c r="BA692" s="114"/>
      <c r="BB692" s="114"/>
      <c r="BC692" s="114"/>
    </row>
    <row r="693" spans="1:55" ht="15.75" customHeight="1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43"/>
      <c r="M693" s="143"/>
      <c r="N693" s="143"/>
      <c r="O693" s="143"/>
      <c r="P693" s="114"/>
      <c r="Q693" s="114"/>
      <c r="R693" s="114"/>
      <c r="S693" s="143"/>
      <c r="T693" s="114"/>
      <c r="U693" s="114"/>
      <c r="V693" s="114"/>
      <c r="W693" s="114"/>
      <c r="X693" s="114"/>
      <c r="Y693" s="114"/>
      <c r="Z693" s="143"/>
      <c r="AA693" s="114"/>
      <c r="AB693" s="114"/>
      <c r="AC693" s="114"/>
      <c r="AD693" s="143"/>
      <c r="AE693" s="114"/>
      <c r="AF693" s="114"/>
      <c r="AG693" s="143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43"/>
      <c r="AU693" s="114"/>
      <c r="AV693" s="114"/>
      <c r="AW693" s="114"/>
      <c r="AX693" s="114"/>
      <c r="AY693" s="114"/>
      <c r="AZ693" s="114"/>
      <c r="BA693" s="114"/>
      <c r="BB693" s="114"/>
      <c r="BC693" s="114"/>
    </row>
    <row r="694" spans="1:55" ht="15.75" customHeight="1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43"/>
      <c r="M694" s="143"/>
      <c r="N694" s="143"/>
      <c r="O694" s="143"/>
      <c r="P694" s="114"/>
      <c r="Q694" s="114"/>
      <c r="R694" s="114"/>
      <c r="S694" s="143"/>
      <c r="T694" s="114"/>
      <c r="U694" s="114"/>
      <c r="V694" s="114"/>
      <c r="W694" s="114"/>
      <c r="X694" s="114"/>
      <c r="Y694" s="114"/>
      <c r="Z694" s="143"/>
      <c r="AA694" s="114"/>
      <c r="AB694" s="114"/>
      <c r="AC694" s="114"/>
      <c r="AD694" s="143"/>
      <c r="AE694" s="114"/>
      <c r="AF694" s="114"/>
      <c r="AG694" s="143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43"/>
      <c r="AU694" s="114"/>
      <c r="AV694" s="114"/>
      <c r="AW694" s="114"/>
      <c r="AX694" s="114"/>
      <c r="AY694" s="114"/>
      <c r="AZ694" s="114"/>
      <c r="BA694" s="114"/>
      <c r="BB694" s="114"/>
      <c r="BC694" s="114"/>
    </row>
    <row r="695" spans="1:55" ht="15.75" customHeight="1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43"/>
      <c r="M695" s="143"/>
      <c r="N695" s="143"/>
      <c r="O695" s="143"/>
      <c r="P695" s="114"/>
      <c r="Q695" s="114"/>
      <c r="R695" s="114"/>
      <c r="S695" s="143"/>
      <c r="T695" s="114"/>
      <c r="U695" s="114"/>
      <c r="V695" s="114"/>
      <c r="W695" s="114"/>
      <c r="X695" s="114"/>
      <c r="Y695" s="114"/>
      <c r="Z695" s="143"/>
      <c r="AA695" s="114"/>
      <c r="AB695" s="114"/>
      <c r="AC695" s="114"/>
      <c r="AD695" s="143"/>
      <c r="AE695" s="114"/>
      <c r="AF695" s="114"/>
      <c r="AG695" s="143"/>
      <c r="AH695" s="114"/>
      <c r="AI695" s="114"/>
      <c r="AJ695" s="114"/>
      <c r="AK695" s="114"/>
      <c r="AL695" s="114"/>
      <c r="AM695" s="114"/>
      <c r="AN695" s="114"/>
      <c r="AO695" s="114"/>
      <c r="AP695" s="114"/>
      <c r="AQ695" s="114"/>
      <c r="AR695" s="114"/>
      <c r="AS695" s="114"/>
      <c r="AT695" s="143"/>
      <c r="AU695" s="114"/>
      <c r="AV695" s="114"/>
      <c r="AW695" s="114"/>
      <c r="AX695" s="114"/>
      <c r="AY695" s="114"/>
      <c r="AZ695" s="114"/>
      <c r="BA695" s="114"/>
      <c r="BB695" s="114"/>
      <c r="BC695" s="114"/>
    </row>
    <row r="696" spans="1:55" ht="15.75" customHeight="1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43"/>
      <c r="M696" s="143"/>
      <c r="N696" s="143"/>
      <c r="O696" s="143"/>
      <c r="P696" s="114"/>
      <c r="Q696" s="114"/>
      <c r="R696" s="114"/>
      <c r="S696" s="143"/>
      <c r="T696" s="114"/>
      <c r="U696" s="114"/>
      <c r="V696" s="114"/>
      <c r="W696" s="114"/>
      <c r="X696" s="114"/>
      <c r="Y696" s="114"/>
      <c r="Z696" s="143"/>
      <c r="AA696" s="114"/>
      <c r="AB696" s="114"/>
      <c r="AC696" s="114"/>
      <c r="AD696" s="143"/>
      <c r="AE696" s="114"/>
      <c r="AF696" s="114"/>
      <c r="AG696" s="143"/>
      <c r="AH696" s="114"/>
      <c r="AI696" s="114"/>
      <c r="AJ696" s="114"/>
      <c r="AK696" s="114"/>
      <c r="AL696" s="114"/>
      <c r="AM696" s="114"/>
      <c r="AN696" s="114"/>
      <c r="AO696" s="114"/>
      <c r="AP696" s="114"/>
      <c r="AQ696" s="114"/>
      <c r="AR696" s="114"/>
      <c r="AS696" s="114"/>
      <c r="AT696" s="143"/>
      <c r="AU696" s="114"/>
      <c r="AV696" s="114"/>
      <c r="AW696" s="114"/>
      <c r="AX696" s="114"/>
      <c r="AY696" s="114"/>
      <c r="AZ696" s="114"/>
      <c r="BA696" s="114"/>
      <c r="BB696" s="114"/>
      <c r="BC696" s="114"/>
    </row>
    <row r="697" spans="1:55" ht="15.75" customHeight="1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43"/>
      <c r="M697" s="143"/>
      <c r="N697" s="143"/>
      <c r="O697" s="143"/>
      <c r="P697" s="114"/>
      <c r="Q697" s="114"/>
      <c r="R697" s="114"/>
      <c r="S697" s="143"/>
      <c r="T697" s="114"/>
      <c r="U697" s="114"/>
      <c r="V697" s="114"/>
      <c r="W697" s="114"/>
      <c r="X697" s="114"/>
      <c r="Y697" s="114"/>
      <c r="Z697" s="143"/>
      <c r="AA697" s="114"/>
      <c r="AB697" s="114"/>
      <c r="AC697" s="114"/>
      <c r="AD697" s="143"/>
      <c r="AE697" s="114"/>
      <c r="AF697" s="114"/>
      <c r="AG697" s="143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43"/>
      <c r="AU697" s="114"/>
      <c r="AV697" s="114"/>
      <c r="AW697" s="114"/>
      <c r="AX697" s="114"/>
      <c r="AY697" s="114"/>
      <c r="AZ697" s="114"/>
      <c r="BA697" s="114"/>
      <c r="BB697" s="114"/>
      <c r="BC697" s="114"/>
    </row>
    <row r="698" spans="1:55" ht="15.75" customHeight="1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43"/>
      <c r="M698" s="143"/>
      <c r="N698" s="143"/>
      <c r="O698" s="143"/>
      <c r="P698" s="114"/>
      <c r="Q698" s="114"/>
      <c r="R698" s="114"/>
      <c r="S698" s="143"/>
      <c r="T698" s="114"/>
      <c r="U698" s="114"/>
      <c r="V698" s="114"/>
      <c r="W698" s="114"/>
      <c r="X698" s="114"/>
      <c r="Y698" s="114"/>
      <c r="Z698" s="143"/>
      <c r="AA698" s="114"/>
      <c r="AB698" s="114"/>
      <c r="AC698" s="114"/>
      <c r="AD698" s="143"/>
      <c r="AE698" s="114"/>
      <c r="AF698" s="114"/>
      <c r="AG698" s="143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43"/>
      <c r="AU698" s="114"/>
      <c r="AV698" s="114"/>
      <c r="AW698" s="114"/>
      <c r="AX698" s="114"/>
      <c r="AY698" s="114"/>
      <c r="AZ698" s="114"/>
      <c r="BA698" s="114"/>
      <c r="BB698" s="114"/>
      <c r="BC698" s="114"/>
    </row>
    <row r="699" spans="1:55" ht="15.75" customHeight="1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43"/>
      <c r="M699" s="143"/>
      <c r="N699" s="143"/>
      <c r="O699" s="143"/>
      <c r="P699" s="114"/>
      <c r="Q699" s="114"/>
      <c r="R699" s="114"/>
      <c r="S699" s="143"/>
      <c r="T699" s="114"/>
      <c r="U699" s="114"/>
      <c r="V699" s="114"/>
      <c r="W699" s="114"/>
      <c r="X699" s="114"/>
      <c r="Y699" s="114"/>
      <c r="Z699" s="143"/>
      <c r="AA699" s="114"/>
      <c r="AB699" s="114"/>
      <c r="AC699" s="114"/>
      <c r="AD699" s="143"/>
      <c r="AE699" s="114"/>
      <c r="AF699" s="114"/>
      <c r="AG699" s="143"/>
      <c r="AH699" s="114"/>
      <c r="AI699" s="114"/>
      <c r="AJ699" s="114"/>
      <c r="AK699" s="114"/>
      <c r="AL699" s="114"/>
      <c r="AM699" s="114"/>
      <c r="AN699" s="114"/>
      <c r="AO699" s="114"/>
      <c r="AP699" s="114"/>
      <c r="AQ699" s="114"/>
      <c r="AR699" s="114"/>
      <c r="AS699" s="114"/>
      <c r="AT699" s="143"/>
      <c r="AU699" s="114"/>
      <c r="AV699" s="114"/>
      <c r="AW699" s="114"/>
      <c r="AX699" s="114"/>
      <c r="AY699" s="114"/>
      <c r="AZ699" s="114"/>
      <c r="BA699" s="114"/>
      <c r="BB699" s="114"/>
      <c r="BC699" s="114"/>
    </row>
    <row r="700" spans="1:55" ht="15.75" customHeight="1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43"/>
      <c r="M700" s="143"/>
      <c r="N700" s="143"/>
      <c r="O700" s="143"/>
      <c r="P700" s="114"/>
      <c r="Q700" s="114"/>
      <c r="R700" s="114"/>
      <c r="S700" s="143"/>
      <c r="T700" s="114"/>
      <c r="U700" s="114"/>
      <c r="V700" s="114"/>
      <c r="W700" s="114"/>
      <c r="X700" s="114"/>
      <c r="Y700" s="114"/>
      <c r="Z700" s="143"/>
      <c r="AA700" s="114"/>
      <c r="AB700" s="114"/>
      <c r="AC700" s="114"/>
      <c r="AD700" s="143"/>
      <c r="AE700" s="114"/>
      <c r="AF700" s="114"/>
      <c r="AG700" s="143"/>
      <c r="AH700" s="114"/>
      <c r="AI700" s="114"/>
      <c r="AJ700" s="114"/>
      <c r="AK700" s="114"/>
      <c r="AL700" s="114"/>
      <c r="AM700" s="114"/>
      <c r="AN700" s="114"/>
      <c r="AO700" s="114"/>
      <c r="AP700" s="114"/>
      <c r="AQ700" s="114"/>
      <c r="AR700" s="114"/>
      <c r="AS700" s="114"/>
      <c r="AT700" s="143"/>
      <c r="AU700" s="114"/>
      <c r="AV700" s="114"/>
      <c r="AW700" s="114"/>
      <c r="AX700" s="114"/>
      <c r="AY700" s="114"/>
      <c r="AZ700" s="114"/>
      <c r="BA700" s="114"/>
      <c r="BB700" s="114"/>
      <c r="BC700" s="114"/>
    </row>
    <row r="701" spans="1:55" ht="15.75" customHeight="1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43"/>
      <c r="M701" s="143"/>
      <c r="N701" s="143"/>
      <c r="O701" s="143"/>
      <c r="P701" s="114"/>
      <c r="Q701" s="114"/>
      <c r="R701" s="114"/>
      <c r="S701" s="143"/>
      <c r="T701" s="114"/>
      <c r="U701" s="114"/>
      <c r="V701" s="114"/>
      <c r="W701" s="114"/>
      <c r="X701" s="114"/>
      <c r="Y701" s="114"/>
      <c r="Z701" s="143"/>
      <c r="AA701" s="114"/>
      <c r="AB701" s="114"/>
      <c r="AC701" s="114"/>
      <c r="AD701" s="143"/>
      <c r="AE701" s="114"/>
      <c r="AF701" s="114"/>
      <c r="AG701" s="143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43"/>
      <c r="AU701" s="114"/>
      <c r="AV701" s="114"/>
      <c r="AW701" s="114"/>
      <c r="AX701" s="114"/>
      <c r="AY701" s="114"/>
      <c r="AZ701" s="114"/>
      <c r="BA701" s="114"/>
      <c r="BB701" s="114"/>
      <c r="BC701" s="114"/>
    </row>
    <row r="702" spans="1:55" ht="15.75" customHeight="1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43"/>
      <c r="M702" s="143"/>
      <c r="N702" s="143"/>
      <c r="O702" s="143"/>
      <c r="P702" s="114"/>
      <c r="Q702" s="114"/>
      <c r="R702" s="114"/>
      <c r="S702" s="143"/>
      <c r="T702" s="114"/>
      <c r="U702" s="114"/>
      <c r="V702" s="114"/>
      <c r="W702" s="114"/>
      <c r="X702" s="114"/>
      <c r="Y702" s="114"/>
      <c r="Z702" s="143"/>
      <c r="AA702" s="114"/>
      <c r="AB702" s="114"/>
      <c r="AC702" s="114"/>
      <c r="AD702" s="143"/>
      <c r="AE702" s="114"/>
      <c r="AF702" s="114"/>
      <c r="AG702" s="143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43"/>
      <c r="AU702" s="114"/>
      <c r="AV702" s="114"/>
      <c r="AW702" s="114"/>
      <c r="AX702" s="114"/>
      <c r="AY702" s="114"/>
      <c r="AZ702" s="114"/>
      <c r="BA702" s="114"/>
      <c r="BB702" s="114"/>
      <c r="BC702" s="114"/>
    </row>
    <row r="703" spans="1:55" ht="15.75" customHeight="1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43"/>
      <c r="M703" s="143"/>
      <c r="N703" s="143"/>
      <c r="O703" s="143"/>
      <c r="P703" s="114"/>
      <c r="Q703" s="114"/>
      <c r="R703" s="114"/>
      <c r="S703" s="143"/>
      <c r="T703" s="114"/>
      <c r="U703" s="114"/>
      <c r="V703" s="114"/>
      <c r="W703" s="114"/>
      <c r="X703" s="114"/>
      <c r="Y703" s="114"/>
      <c r="Z703" s="143"/>
      <c r="AA703" s="114"/>
      <c r="AB703" s="114"/>
      <c r="AC703" s="114"/>
      <c r="AD703" s="143"/>
      <c r="AE703" s="114"/>
      <c r="AF703" s="114"/>
      <c r="AG703" s="143"/>
      <c r="AH703" s="114"/>
      <c r="AI703" s="114"/>
      <c r="AJ703" s="114"/>
      <c r="AK703" s="114"/>
      <c r="AL703" s="114"/>
      <c r="AM703" s="114"/>
      <c r="AN703" s="114"/>
      <c r="AO703" s="114"/>
      <c r="AP703" s="114"/>
      <c r="AQ703" s="114"/>
      <c r="AR703" s="114"/>
      <c r="AS703" s="114"/>
      <c r="AT703" s="143"/>
      <c r="AU703" s="114"/>
      <c r="AV703" s="114"/>
      <c r="AW703" s="114"/>
      <c r="AX703" s="114"/>
      <c r="AY703" s="114"/>
      <c r="AZ703" s="114"/>
      <c r="BA703" s="114"/>
      <c r="BB703" s="114"/>
      <c r="BC703" s="114"/>
    </row>
    <row r="704" spans="1:55" ht="15.75" customHeight="1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43"/>
      <c r="M704" s="143"/>
      <c r="N704" s="143"/>
      <c r="O704" s="143"/>
      <c r="P704" s="114"/>
      <c r="Q704" s="114"/>
      <c r="R704" s="114"/>
      <c r="S704" s="143"/>
      <c r="T704" s="114"/>
      <c r="U704" s="114"/>
      <c r="V704" s="114"/>
      <c r="W704" s="114"/>
      <c r="X704" s="114"/>
      <c r="Y704" s="114"/>
      <c r="Z704" s="143"/>
      <c r="AA704" s="114"/>
      <c r="AB704" s="114"/>
      <c r="AC704" s="114"/>
      <c r="AD704" s="143"/>
      <c r="AE704" s="114"/>
      <c r="AF704" s="114"/>
      <c r="AG704" s="143"/>
      <c r="AH704" s="114"/>
      <c r="AI704" s="114"/>
      <c r="AJ704" s="114"/>
      <c r="AK704" s="114"/>
      <c r="AL704" s="114"/>
      <c r="AM704" s="114"/>
      <c r="AN704" s="114"/>
      <c r="AO704" s="114"/>
      <c r="AP704" s="114"/>
      <c r="AQ704" s="114"/>
      <c r="AR704" s="114"/>
      <c r="AS704" s="114"/>
      <c r="AT704" s="143"/>
      <c r="AU704" s="114"/>
      <c r="AV704" s="114"/>
      <c r="AW704" s="114"/>
      <c r="AX704" s="114"/>
      <c r="AY704" s="114"/>
      <c r="AZ704" s="114"/>
      <c r="BA704" s="114"/>
      <c r="BB704" s="114"/>
      <c r="BC704" s="114"/>
    </row>
    <row r="705" spans="1:55" ht="15.75" customHeight="1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43"/>
      <c r="M705" s="143"/>
      <c r="N705" s="143"/>
      <c r="O705" s="143"/>
      <c r="P705" s="114"/>
      <c r="Q705" s="114"/>
      <c r="R705" s="114"/>
      <c r="S705" s="143"/>
      <c r="T705" s="114"/>
      <c r="U705" s="114"/>
      <c r="V705" s="114"/>
      <c r="W705" s="114"/>
      <c r="X705" s="114"/>
      <c r="Y705" s="114"/>
      <c r="Z705" s="143"/>
      <c r="AA705" s="114"/>
      <c r="AB705" s="114"/>
      <c r="AC705" s="114"/>
      <c r="AD705" s="143"/>
      <c r="AE705" s="114"/>
      <c r="AF705" s="114"/>
      <c r="AG705" s="143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43"/>
      <c r="AU705" s="114"/>
      <c r="AV705" s="114"/>
      <c r="AW705" s="114"/>
      <c r="AX705" s="114"/>
      <c r="AY705" s="114"/>
      <c r="AZ705" s="114"/>
      <c r="BA705" s="114"/>
      <c r="BB705" s="114"/>
      <c r="BC705" s="114"/>
    </row>
    <row r="706" spans="1:55" ht="15.75" customHeight="1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43"/>
      <c r="M706" s="143"/>
      <c r="N706" s="143"/>
      <c r="O706" s="143"/>
      <c r="P706" s="114"/>
      <c r="Q706" s="114"/>
      <c r="R706" s="114"/>
      <c r="S706" s="143"/>
      <c r="T706" s="114"/>
      <c r="U706" s="114"/>
      <c r="V706" s="114"/>
      <c r="W706" s="114"/>
      <c r="X706" s="114"/>
      <c r="Y706" s="114"/>
      <c r="Z706" s="143"/>
      <c r="AA706" s="114"/>
      <c r="AB706" s="114"/>
      <c r="AC706" s="114"/>
      <c r="AD706" s="143"/>
      <c r="AE706" s="114"/>
      <c r="AF706" s="114"/>
      <c r="AG706" s="143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43"/>
      <c r="AU706" s="114"/>
      <c r="AV706" s="114"/>
      <c r="AW706" s="114"/>
      <c r="AX706" s="114"/>
      <c r="AY706" s="114"/>
      <c r="AZ706" s="114"/>
      <c r="BA706" s="114"/>
      <c r="BB706" s="114"/>
      <c r="BC706" s="114"/>
    </row>
    <row r="707" spans="1:55" ht="15.75" customHeight="1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43"/>
      <c r="M707" s="143"/>
      <c r="N707" s="143"/>
      <c r="O707" s="143"/>
      <c r="P707" s="114"/>
      <c r="Q707" s="114"/>
      <c r="R707" s="114"/>
      <c r="S707" s="143"/>
      <c r="T707" s="114"/>
      <c r="U707" s="114"/>
      <c r="V707" s="114"/>
      <c r="W707" s="114"/>
      <c r="X707" s="114"/>
      <c r="Y707" s="114"/>
      <c r="Z707" s="143"/>
      <c r="AA707" s="114"/>
      <c r="AB707" s="114"/>
      <c r="AC707" s="114"/>
      <c r="AD707" s="143"/>
      <c r="AE707" s="114"/>
      <c r="AF707" s="114"/>
      <c r="AG707" s="143"/>
      <c r="AH707" s="114"/>
      <c r="AI707" s="114"/>
      <c r="AJ707" s="114"/>
      <c r="AK707" s="114"/>
      <c r="AL707" s="114"/>
      <c r="AM707" s="114"/>
      <c r="AN707" s="114"/>
      <c r="AO707" s="114"/>
      <c r="AP707" s="114"/>
      <c r="AQ707" s="114"/>
      <c r="AR707" s="114"/>
      <c r="AS707" s="114"/>
      <c r="AT707" s="143"/>
      <c r="AU707" s="114"/>
      <c r="AV707" s="114"/>
      <c r="AW707" s="114"/>
      <c r="AX707" s="114"/>
      <c r="AY707" s="114"/>
      <c r="AZ707" s="114"/>
      <c r="BA707" s="114"/>
      <c r="BB707" s="114"/>
      <c r="BC707" s="114"/>
    </row>
    <row r="708" spans="1:55" ht="15.75" customHeight="1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43"/>
      <c r="M708" s="143"/>
      <c r="N708" s="143"/>
      <c r="O708" s="143"/>
      <c r="P708" s="114"/>
      <c r="Q708" s="114"/>
      <c r="R708" s="114"/>
      <c r="S708" s="143"/>
      <c r="T708" s="114"/>
      <c r="U708" s="114"/>
      <c r="V708" s="114"/>
      <c r="W708" s="114"/>
      <c r="X708" s="114"/>
      <c r="Y708" s="114"/>
      <c r="Z708" s="143"/>
      <c r="AA708" s="114"/>
      <c r="AB708" s="114"/>
      <c r="AC708" s="114"/>
      <c r="AD708" s="143"/>
      <c r="AE708" s="114"/>
      <c r="AF708" s="114"/>
      <c r="AG708" s="143"/>
      <c r="AH708" s="114"/>
      <c r="AI708" s="114"/>
      <c r="AJ708" s="114"/>
      <c r="AK708" s="114"/>
      <c r="AL708" s="114"/>
      <c r="AM708" s="114"/>
      <c r="AN708" s="114"/>
      <c r="AO708" s="114"/>
      <c r="AP708" s="114"/>
      <c r="AQ708" s="114"/>
      <c r="AR708" s="114"/>
      <c r="AS708" s="114"/>
      <c r="AT708" s="143"/>
      <c r="AU708" s="114"/>
      <c r="AV708" s="114"/>
      <c r="AW708" s="114"/>
      <c r="AX708" s="114"/>
      <c r="AY708" s="114"/>
      <c r="AZ708" s="114"/>
      <c r="BA708" s="114"/>
      <c r="BB708" s="114"/>
      <c r="BC708" s="114"/>
    </row>
    <row r="709" spans="1:55" ht="15.75" customHeight="1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43"/>
      <c r="M709" s="143"/>
      <c r="N709" s="143"/>
      <c r="O709" s="143"/>
      <c r="P709" s="114"/>
      <c r="Q709" s="114"/>
      <c r="R709" s="114"/>
      <c r="S709" s="143"/>
      <c r="T709" s="114"/>
      <c r="U709" s="114"/>
      <c r="V709" s="114"/>
      <c r="W709" s="114"/>
      <c r="X709" s="114"/>
      <c r="Y709" s="114"/>
      <c r="Z709" s="143"/>
      <c r="AA709" s="114"/>
      <c r="AB709" s="114"/>
      <c r="AC709" s="114"/>
      <c r="AD709" s="143"/>
      <c r="AE709" s="114"/>
      <c r="AF709" s="114"/>
      <c r="AG709" s="143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43"/>
      <c r="AU709" s="114"/>
      <c r="AV709" s="114"/>
      <c r="AW709" s="114"/>
      <c r="AX709" s="114"/>
      <c r="AY709" s="114"/>
      <c r="AZ709" s="114"/>
      <c r="BA709" s="114"/>
      <c r="BB709" s="114"/>
      <c r="BC709" s="114"/>
    </row>
    <row r="710" spans="1:55" ht="15.75" customHeight="1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43"/>
      <c r="M710" s="143"/>
      <c r="N710" s="143"/>
      <c r="O710" s="143"/>
      <c r="P710" s="114"/>
      <c r="Q710" s="114"/>
      <c r="R710" s="114"/>
      <c r="S710" s="143"/>
      <c r="T710" s="114"/>
      <c r="U710" s="114"/>
      <c r="V710" s="114"/>
      <c r="W710" s="114"/>
      <c r="X710" s="114"/>
      <c r="Y710" s="114"/>
      <c r="Z710" s="143"/>
      <c r="AA710" s="114"/>
      <c r="AB710" s="114"/>
      <c r="AC710" s="114"/>
      <c r="AD710" s="143"/>
      <c r="AE710" s="114"/>
      <c r="AF710" s="114"/>
      <c r="AG710" s="143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43"/>
      <c r="AU710" s="114"/>
      <c r="AV710" s="114"/>
      <c r="AW710" s="114"/>
      <c r="AX710" s="114"/>
      <c r="AY710" s="114"/>
      <c r="AZ710" s="114"/>
      <c r="BA710" s="114"/>
      <c r="BB710" s="114"/>
      <c r="BC710" s="114"/>
    </row>
    <row r="711" spans="1:55" ht="15.75" customHeight="1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43"/>
      <c r="M711" s="143"/>
      <c r="N711" s="143"/>
      <c r="O711" s="143"/>
      <c r="P711" s="114"/>
      <c r="Q711" s="114"/>
      <c r="R711" s="114"/>
      <c r="S711" s="143"/>
      <c r="T711" s="114"/>
      <c r="U711" s="114"/>
      <c r="V711" s="114"/>
      <c r="W711" s="114"/>
      <c r="X711" s="114"/>
      <c r="Y711" s="114"/>
      <c r="Z711" s="143"/>
      <c r="AA711" s="114"/>
      <c r="AB711" s="114"/>
      <c r="AC711" s="114"/>
      <c r="AD711" s="143"/>
      <c r="AE711" s="114"/>
      <c r="AF711" s="114"/>
      <c r="AG711" s="143"/>
      <c r="AH711" s="114"/>
      <c r="AI711" s="114"/>
      <c r="AJ711" s="114"/>
      <c r="AK711" s="114"/>
      <c r="AL711" s="114"/>
      <c r="AM711" s="114"/>
      <c r="AN711" s="114"/>
      <c r="AO711" s="114"/>
      <c r="AP711" s="114"/>
      <c r="AQ711" s="114"/>
      <c r="AR711" s="114"/>
      <c r="AS711" s="114"/>
      <c r="AT711" s="143"/>
      <c r="AU711" s="114"/>
      <c r="AV711" s="114"/>
      <c r="AW711" s="114"/>
      <c r="AX711" s="114"/>
      <c r="AY711" s="114"/>
      <c r="AZ711" s="114"/>
      <c r="BA711" s="114"/>
      <c r="BB711" s="114"/>
      <c r="BC711" s="114"/>
    </row>
    <row r="712" spans="1:55" ht="15.75" customHeight="1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43"/>
      <c r="M712" s="143"/>
      <c r="N712" s="143"/>
      <c r="O712" s="143"/>
      <c r="P712" s="114"/>
      <c r="Q712" s="114"/>
      <c r="R712" s="114"/>
      <c r="S712" s="143"/>
      <c r="T712" s="114"/>
      <c r="U712" s="114"/>
      <c r="V712" s="114"/>
      <c r="W712" s="114"/>
      <c r="X712" s="114"/>
      <c r="Y712" s="114"/>
      <c r="Z712" s="143"/>
      <c r="AA712" s="114"/>
      <c r="AB712" s="114"/>
      <c r="AC712" s="114"/>
      <c r="AD712" s="143"/>
      <c r="AE712" s="114"/>
      <c r="AF712" s="114"/>
      <c r="AG712" s="143"/>
      <c r="AH712" s="114"/>
      <c r="AI712" s="114"/>
      <c r="AJ712" s="114"/>
      <c r="AK712" s="114"/>
      <c r="AL712" s="114"/>
      <c r="AM712" s="114"/>
      <c r="AN712" s="114"/>
      <c r="AO712" s="114"/>
      <c r="AP712" s="114"/>
      <c r="AQ712" s="114"/>
      <c r="AR712" s="114"/>
      <c r="AS712" s="114"/>
      <c r="AT712" s="143"/>
      <c r="AU712" s="114"/>
      <c r="AV712" s="114"/>
      <c r="AW712" s="114"/>
      <c r="AX712" s="114"/>
      <c r="AY712" s="114"/>
      <c r="AZ712" s="114"/>
      <c r="BA712" s="114"/>
      <c r="BB712" s="114"/>
      <c r="BC712" s="114"/>
    </row>
    <row r="713" spans="1:55" ht="15.75" customHeight="1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43"/>
      <c r="M713" s="143"/>
      <c r="N713" s="143"/>
      <c r="O713" s="143"/>
      <c r="P713" s="114"/>
      <c r="Q713" s="114"/>
      <c r="R713" s="114"/>
      <c r="S713" s="143"/>
      <c r="T713" s="114"/>
      <c r="U713" s="114"/>
      <c r="V713" s="114"/>
      <c r="W713" s="114"/>
      <c r="X713" s="114"/>
      <c r="Y713" s="114"/>
      <c r="Z713" s="143"/>
      <c r="AA713" s="114"/>
      <c r="AB713" s="114"/>
      <c r="AC713" s="114"/>
      <c r="AD713" s="143"/>
      <c r="AE713" s="114"/>
      <c r="AF713" s="114"/>
      <c r="AG713" s="143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43"/>
      <c r="AU713" s="114"/>
      <c r="AV713" s="114"/>
      <c r="AW713" s="114"/>
      <c r="AX713" s="114"/>
      <c r="AY713" s="114"/>
      <c r="AZ713" s="114"/>
      <c r="BA713" s="114"/>
      <c r="BB713" s="114"/>
      <c r="BC713" s="114"/>
    </row>
    <row r="714" spans="1:55" ht="15.75" customHeight="1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43"/>
      <c r="M714" s="143"/>
      <c r="N714" s="143"/>
      <c r="O714" s="143"/>
      <c r="P714" s="114"/>
      <c r="Q714" s="114"/>
      <c r="R714" s="114"/>
      <c r="S714" s="143"/>
      <c r="T714" s="114"/>
      <c r="U714" s="114"/>
      <c r="V714" s="114"/>
      <c r="W714" s="114"/>
      <c r="X714" s="114"/>
      <c r="Y714" s="114"/>
      <c r="Z714" s="143"/>
      <c r="AA714" s="114"/>
      <c r="AB714" s="114"/>
      <c r="AC714" s="114"/>
      <c r="AD714" s="143"/>
      <c r="AE714" s="114"/>
      <c r="AF714" s="114"/>
      <c r="AG714" s="143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43"/>
      <c r="AU714" s="114"/>
      <c r="AV714" s="114"/>
      <c r="AW714" s="114"/>
      <c r="AX714" s="114"/>
      <c r="AY714" s="114"/>
      <c r="AZ714" s="114"/>
      <c r="BA714" s="114"/>
      <c r="BB714" s="114"/>
      <c r="BC714" s="114"/>
    </row>
    <row r="715" spans="1:55" ht="15.75" customHeight="1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43"/>
      <c r="M715" s="143"/>
      <c r="N715" s="143"/>
      <c r="O715" s="143"/>
      <c r="P715" s="114"/>
      <c r="Q715" s="114"/>
      <c r="R715" s="114"/>
      <c r="S715" s="143"/>
      <c r="T715" s="114"/>
      <c r="U715" s="114"/>
      <c r="V715" s="114"/>
      <c r="W715" s="114"/>
      <c r="X715" s="114"/>
      <c r="Y715" s="114"/>
      <c r="Z715" s="143"/>
      <c r="AA715" s="114"/>
      <c r="AB715" s="114"/>
      <c r="AC715" s="114"/>
      <c r="AD715" s="143"/>
      <c r="AE715" s="114"/>
      <c r="AF715" s="114"/>
      <c r="AG715" s="143"/>
      <c r="AH715" s="114"/>
      <c r="AI715" s="114"/>
      <c r="AJ715" s="114"/>
      <c r="AK715" s="114"/>
      <c r="AL715" s="114"/>
      <c r="AM715" s="114"/>
      <c r="AN715" s="114"/>
      <c r="AO715" s="114"/>
      <c r="AP715" s="114"/>
      <c r="AQ715" s="114"/>
      <c r="AR715" s="114"/>
      <c r="AS715" s="114"/>
      <c r="AT715" s="143"/>
      <c r="AU715" s="114"/>
      <c r="AV715" s="114"/>
      <c r="AW715" s="114"/>
      <c r="AX715" s="114"/>
      <c r="AY715" s="114"/>
      <c r="AZ715" s="114"/>
      <c r="BA715" s="114"/>
      <c r="BB715" s="114"/>
      <c r="BC715" s="114"/>
    </row>
    <row r="716" spans="1:55" ht="15.75" customHeight="1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43"/>
      <c r="M716" s="143"/>
      <c r="N716" s="143"/>
      <c r="O716" s="143"/>
      <c r="P716" s="114"/>
      <c r="Q716" s="114"/>
      <c r="R716" s="114"/>
      <c r="S716" s="143"/>
      <c r="T716" s="114"/>
      <c r="U716" s="114"/>
      <c r="V716" s="114"/>
      <c r="W716" s="114"/>
      <c r="X716" s="114"/>
      <c r="Y716" s="114"/>
      <c r="Z716" s="143"/>
      <c r="AA716" s="114"/>
      <c r="AB716" s="114"/>
      <c r="AC716" s="114"/>
      <c r="AD716" s="143"/>
      <c r="AE716" s="114"/>
      <c r="AF716" s="114"/>
      <c r="AG716" s="143"/>
      <c r="AH716" s="114"/>
      <c r="AI716" s="114"/>
      <c r="AJ716" s="114"/>
      <c r="AK716" s="114"/>
      <c r="AL716" s="114"/>
      <c r="AM716" s="114"/>
      <c r="AN716" s="114"/>
      <c r="AO716" s="114"/>
      <c r="AP716" s="114"/>
      <c r="AQ716" s="114"/>
      <c r="AR716" s="114"/>
      <c r="AS716" s="114"/>
      <c r="AT716" s="143"/>
      <c r="AU716" s="114"/>
      <c r="AV716" s="114"/>
      <c r="AW716" s="114"/>
      <c r="AX716" s="114"/>
      <c r="AY716" s="114"/>
      <c r="AZ716" s="114"/>
      <c r="BA716" s="114"/>
      <c r="BB716" s="114"/>
      <c r="BC716" s="114"/>
    </row>
    <row r="717" spans="1:55" ht="15.75" customHeight="1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43"/>
      <c r="M717" s="143"/>
      <c r="N717" s="143"/>
      <c r="O717" s="143"/>
      <c r="P717" s="114"/>
      <c r="Q717" s="114"/>
      <c r="R717" s="114"/>
      <c r="S717" s="143"/>
      <c r="T717" s="114"/>
      <c r="U717" s="114"/>
      <c r="V717" s="114"/>
      <c r="W717" s="114"/>
      <c r="X717" s="114"/>
      <c r="Y717" s="114"/>
      <c r="Z717" s="143"/>
      <c r="AA717" s="114"/>
      <c r="AB717" s="114"/>
      <c r="AC717" s="114"/>
      <c r="AD717" s="143"/>
      <c r="AE717" s="114"/>
      <c r="AF717" s="114"/>
      <c r="AG717" s="143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43"/>
      <c r="AU717" s="114"/>
      <c r="AV717" s="114"/>
      <c r="AW717" s="114"/>
      <c r="AX717" s="114"/>
      <c r="AY717" s="114"/>
      <c r="AZ717" s="114"/>
      <c r="BA717" s="114"/>
      <c r="BB717" s="114"/>
      <c r="BC717" s="114"/>
    </row>
    <row r="718" spans="1:55" ht="15.75" customHeight="1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43"/>
      <c r="M718" s="143"/>
      <c r="N718" s="143"/>
      <c r="O718" s="143"/>
      <c r="P718" s="114"/>
      <c r="Q718" s="114"/>
      <c r="R718" s="114"/>
      <c r="S718" s="143"/>
      <c r="T718" s="114"/>
      <c r="U718" s="114"/>
      <c r="V718" s="114"/>
      <c r="W718" s="114"/>
      <c r="X718" s="114"/>
      <c r="Y718" s="114"/>
      <c r="Z718" s="143"/>
      <c r="AA718" s="114"/>
      <c r="AB718" s="114"/>
      <c r="AC718" s="114"/>
      <c r="AD718" s="143"/>
      <c r="AE718" s="114"/>
      <c r="AF718" s="114"/>
      <c r="AG718" s="143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43"/>
      <c r="AU718" s="114"/>
      <c r="AV718" s="114"/>
      <c r="AW718" s="114"/>
      <c r="AX718" s="114"/>
      <c r="AY718" s="114"/>
      <c r="AZ718" s="114"/>
      <c r="BA718" s="114"/>
      <c r="BB718" s="114"/>
      <c r="BC718" s="114"/>
    </row>
    <row r="719" spans="1:55" ht="15.75" customHeight="1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43"/>
      <c r="M719" s="143"/>
      <c r="N719" s="143"/>
      <c r="O719" s="143"/>
      <c r="P719" s="114"/>
      <c r="Q719" s="114"/>
      <c r="R719" s="114"/>
      <c r="S719" s="143"/>
      <c r="T719" s="114"/>
      <c r="U719" s="114"/>
      <c r="V719" s="114"/>
      <c r="W719" s="114"/>
      <c r="X719" s="114"/>
      <c r="Y719" s="114"/>
      <c r="Z719" s="143"/>
      <c r="AA719" s="114"/>
      <c r="AB719" s="114"/>
      <c r="AC719" s="114"/>
      <c r="AD719" s="143"/>
      <c r="AE719" s="114"/>
      <c r="AF719" s="114"/>
      <c r="AG719" s="143"/>
      <c r="AH719" s="114"/>
      <c r="AI719" s="114"/>
      <c r="AJ719" s="114"/>
      <c r="AK719" s="114"/>
      <c r="AL719" s="114"/>
      <c r="AM719" s="114"/>
      <c r="AN719" s="114"/>
      <c r="AO719" s="114"/>
      <c r="AP719" s="114"/>
      <c r="AQ719" s="114"/>
      <c r="AR719" s="114"/>
      <c r="AS719" s="114"/>
      <c r="AT719" s="143"/>
      <c r="AU719" s="114"/>
      <c r="AV719" s="114"/>
      <c r="AW719" s="114"/>
      <c r="AX719" s="114"/>
      <c r="AY719" s="114"/>
      <c r="AZ719" s="114"/>
      <c r="BA719" s="114"/>
      <c r="BB719" s="114"/>
      <c r="BC719" s="114"/>
    </row>
    <row r="720" spans="1:55" ht="15.75" customHeight="1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43"/>
      <c r="M720" s="143"/>
      <c r="N720" s="143"/>
      <c r="O720" s="143"/>
      <c r="P720" s="114"/>
      <c r="Q720" s="114"/>
      <c r="R720" s="114"/>
      <c r="S720" s="143"/>
      <c r="T720" s="114"/>
      <c r="U720" s="114"/>
      <c r="V720" s="114"/>
      <c r="W720" s="114"/>
      <c r="X720" s="114"/>
      <c r="Y720" s="114"/>
      <c r="Z720" s="143"/>
      <c r="AA720" s="114"/>
      <c r="AB720" s="114"/>
      <c r="AC720" s="114"/>
      <c r="AD720" s="143"/>
      <c r="AE720" s="114"/>
      <c r="AF720" s="114"/>
      <c r="AG720" s="143"/>
      <c r="AH720" s="114"/>
      <c r="AI720" s="114"/>
      <c r="AJ720" s="114"/>
      <c r="AK720" s="114"/>
      <c r="AL720" s="114"/>
      <c r="AM720" s="114"/>
      <c r="AN720" s="114"/>
      <c r="AO720" s="114"/>
      <c r="AP720" s="114"/>
      <c r="AQ720" s="114"/>
      <c r="AR720" s="114"/>
      <c r="AS720" s="114"/>
      <c r="AT720" s="143"/>
      <c r="AU720" s="114"/>
      <c r="AV720" s="114"/>
      <c r="AW720" s="114"/>
      <c r="AX720" s="114"/>
      <c r="AY720" s="114"/>
      <c r="AZ720" s="114"/>
      <c r="BA720" s="114"/>
      <c r="BB720" s="114"/>
      <c r="BC720" s="114"/>
    </row>
    <row r="721" spans="1:55" ht="15.75" customHeight="1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43"/>
      <c r="M721" s="143"/>
      <c r="N721" s="143"/>
      <c r="O721" s="143"/>
      <c r="P721" s="114"/>
      <c r="Q721" s="114"/>
      <c r="R721" s="114"/>
      <c r="S721" s="143"/>
      <c r="T721" s="114"/>
      <c r="U721" s="114"/>
      <c r="V721" s="114"/>
      <c r="W721" s="114"/>
      <c r="X721" s="114"/>
      <c r="Y721" s="114"/>
      <c r="Z721" s="143"/>
      <c r="AA721" s="114"/>
      <c r="AB721" s="114"/>
      <c r="AC721" s="114"/>
      <c r="AD721" s="143"/>
      <c r="AE721" s="114"/>
      <c r="AF721" s="114"/>
      <c r="AG721" s="143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43"/>
      <c r="AU721" s="114"/>
      <c r="AV721" s="114"/>
      <c r="AW721" s="114"/>
      <c r="AX721" s="114"/>
      <c r="AY721" s="114"/>
      <c r="AZ721" s="114"/>
      <c r="BA721" s="114"/>
      <c r="BB721" s="114"/>
      <c r="BC721" s="114"/>
    </row>
    <row r="722" spans="1:55" ht="15.75" customHeight="1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43"/>
      <c r="M722" s="143"/>
      <c r="N722" s="143"/>
      <c r="O722" s="143"/>
      <c r="P722" s="114"/>
      <c r="Q722" s="114"/>
      <c r="R722" s="114"/>
      <c r="S722" s="143"/>
      <c r="T722" s="114"/>
      <c r="U722" s="114"/>
      <c r="V722" s="114"/>
      <c r="W722" s="114"/>
      <c r="X722" s="114"/>
      <c r="Y722" s="114"/>
      <c r="Z722" s="143"/>
      <c r="AA722" s="114"/>
      <c r="AB722" s="114"/>
      <c r="AC722" s="114"/>
      <c r="AD722" s="143"/>
      <c r="AE722" s="114"/>
      <c r="AF722" s="114"/>
      <c r="AG722" s="143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43"/>
      <c r="AU722" s="114"/>
      <c r="AV722" s="114"/>
      <c r="AW722" s="114"/>
      <c r="AX722" s="114"/>
      <c r="AY722" s="114"/>
      <c r="AZ722" s="114"/>
      <c r="BA722" s="114"/>
      <c r="BB722" s="114"/>
      <c r="BC722" s="114"/>
    </row>
    <row r="723" spans="1:55" ht="15.75" customHeight="1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43"/>
      <c r="M723" s="143"/>
      <c r="N723" s="143"/>
      <c r="O723" s="143"/>
      <c r="P723" s="114"/>
      <c r="Q723" s="114"/>
      <c r="R723" s="114"/>
      <c r="S723" s="143"/>
      <c r="T723" s="114"/>
      <c r="U723" s="114"/>
      <c r="V723" s="114"/>
      <c r="W723" s="114"/>
      <c r="X723" s="114"/>
      <c r="Y723" s="114"/>
      <c r="Z723" s="143"/>
      <c r="AA723" s="114"/>
      <c r="AB723" s="114"/>
      <c r="AC723" s="114"/>
      <c r="AD723" s="143"/>
      <c r="AE723" s="114"/>
      <c r="AF723" s="114"/>
      <c r="AG723" s="143"/>
      <c r="AH723" s="114"/>
      <c r="AI723" s="114"/>
      <c r="AJ723" s="114"/>
      <c r="AK723" s="114"/>
      <c r="AL723" s="114"/>
      <c r="AM723" s="114"/>
      <c r="AN723" s="114"/>
      <c r="AO723" s="114"/>
      <c r="AP723" s="114"/>
      <c r="AQ723" s="114"/>
      <c r="AR723" s="114"/>
      <c r="AS723" s="114"/>
      <c r="AT723" s="143"/>
      <c r="AU723" s="114"/>
      <c r="AV723" s="114"/>
      <c r="AW723" s="114"/>
      <c r="AX723" s="114"/>
      <c r="AY723" s="114"/>
      <c r="AZ723" s="114"/>
      <c r="BA723" s="114"/>
      <c r="BB723" s="114"/>
      <c r="BC723" s="114"/>
    </row>
    <row r="724" spans="1:55" ht="15.75" customHeight="1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43"/>
      <c r="M724" s="143"/>
      <c r="N724" s="143"/>
      <c r="O724" s="143"/>
      <c r="P724" s="114"/>
      <c r="Q724" s="114"/>
      <c r="R724" s="114"/>
      <c r="S724" s="143"/>
      <c r="T724" s="114"/>
      <c r="U724" s="114"/>
      <c r="V724" s="114"/>
      <c r="W724" s="114"/>
      <c r="X724" s="114"/>
      <c r="Y724" s="114"/>
      <c r="Z724" s="143"/>
      <c r="AA724" s="114"/>
      <c r="AB724" s="114"/>
      <c r="AC724" s="114"/>
      <c r="AD724" s="143"/>
      <c r="AE724" s="114"/>
      <c r="AF724" s="114"/>
      <c r="AG724" s="143"/>
      <c r="AH724" s="114"/>
      <c r="AI724" s="114"/>
      <c r="AJ724" s="114"/>
      <c r="AK724" s="114"/>
      <c r="AL724" s="114"/>
      <c r="AM724" s="114"/>
      <c r="AN724" s="114"/>
      <c r="AO724" s="114"/>
      <c r="AP724" s="114"/>
      <c r="AQ724" s="114"/>
      <c r="AR724" s="114"/>
      <c r="AS724" s="114"/>
      <c r="AT724" s="143"/>
      <c r="AU724" s="114"/>
      <c r="AV724" s="114"/>
      <c r="AW724" s="114"/>
      <c r="AX724" s="114"/>
      <c r="AY724" s="114"/>
      <c r="AZ724" s="114"/>
      <c r="BA724" s="114"/>
      <c r="BB724" s="114"/>
      <c r="BC724" s="114"/>
    </row>
    <row r="725" spans="1:55" ht="15.75" customHeight="1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43"/>
      <c r="M725" s="143"/>
      <c r="N725" s="143"/>
      <c r="O725" s="143"/>
      <c r="P725" s="114"/>
      <c r="Q725" s="114"/>
      <c r="R725" s="114"/>
      <c r="S725" s="143"/>
      <c r="T725" s="114"/>
      <c r="U725" s="114"/>
      <c r="V725" s="114"/>
      <c r="W725" s="114"/>
      <c r="X725" s="114"/>
      <c r="Y725" s="114"/>
      <c r="Z725" s="143"/>
      <c r="AA725" s="114"/>
      <c r="AB725" s="114"/>
      <c r="AC725" s="114"/>
      <c r="AD725" s="143"/>
      <c r="AE725" s="114"/>
      <c r="AF725" s="114"/>
      <c r="AG725" s="143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43"/>
      <c r="AU725" s="114"/>
      <c r="AV725" s="114"/>
      <c r="AW725" s="114"/>
      <c r="AX725" s="114"/>
      <c r="AY725" s="114"/>
      <c r="AZ725" s="114"/>
      <c r="BA725" s="114"/>
      <c r="BB725" s="114"/>
      <c r="BC725" s="114"/>
    </row>
    <row r="726" spans="1:55" ht="15.75" customHeight="1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43"/>
      <c r="M726" s="143"/>
      <c r="N726" s="143"/>
      <c r="O726" s="143"/>
      <c r="P726" s="114"/>
      <c r="Q726" s="114"/>
      <c r="R726" s="114"/>
      <c r="S726" s="143"/>
      <c r="T726" s="114"/>
      <c r="U726" s="114"/>
      <c r="V726" s="114"/>
      <c r="W726" s="114"/>
      <c r="X726" s="114"/>
      <c r="Y726" s="114"/>
      <c r="Z726" s="143"/>
      <c r="AA726" s="114"/>
      <c r="AB726" s="114"/>
      <c r="AC726" s="114"/>
      <c r="AD726" s="143"/>
      <c r="AE726" s="114"/>
      <c r="AF726" s="114"/>
      <c r="AG726" s="143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43"/>
      <c r="AU726" s="114"/>
      <c r="AV726" s="114"/>
      <c r="AW726" s="114"/>
      <c r="AX726" s="114"/>
      <c r="AY726" s="114"/>
      <c r="AZ726" s="114"/>
      <c r="BA726" s="114"/>
      <c r="BB726" s="114"/>
      <c r="BC726" s="114"/>
    </row>
    <row r="727" spans="1:55" ht="15.75" customHeight="1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43"/>
      <c r="M727" s="143"/>
      <c r="N727" s="143"/>
      <c r="O727" s="143"/>
      <c r="P727" s="114"/>
      <c r="Q727" s="114"/>
      <c r="R727" s="114"/>
      <c r="S727" s="143"/>
      <c r="T727" s="114"/>
      <c r="U727" s="114"/>
      <c r="V727" s="114"/>
      <c r="W727" s="114"/>
      <c r="X727" s="114"/>
      <c r="Y727" s="114"/>
      <c r="Z727" s="143"/>
      <c r="AA727" s="114"/>
      <c r="AB727" s="114"/>
      <c r="AC727" s="114"/>
      <c r="AD727" s="143"/>
      <c r="AE727" s="114"/>
      <c r="AF727" s="114"/>
      <c r="AG727" s="143"/>
      <c r="AH727" s="114"/>
      <c r="AI727" s="114"/>
      <c r="AJ727" s="114"/>
      <c r="AK727" s="114"/>
      <c r="AL727" s="114"/>
      <c r="AM727" s="114"/>
      <c r="AN727" s="114"/>
      <c r="AO727" s="114"/>
      <c r="AP727" s="114"/>
      <c r="AQ727" s="114"/>
      <c r="AR727" s="114"/>
      <c r="AS727" s="114"/>
      <c r="AT727" s="143"/>
      <c r="AU727" s="114"/>
      <c r="AV727" s="114"/>
      <c r="AW727" s="114"/>
      <c r="AX727" s="114"/>
      <c r="AY727" s="114"/>
      <c r="AZ727" s="114"/>
      <c r="BA727" s="114"/>
      <c r="BB727" s="114"/>
      <c r="BC727" s="114"/>
    </row>
    <row r="728" spans="1:55" ht="15.75" customHeight="1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43"/>
      <c r="M728" s="143"/>
      <c r="N728" s="143"/>
      <c r="O728" s="143"/>
      <c r="P728" s="114"/>
      <c r="Q728" s="114"/>
      <c r="R728" s="114"/>
      <c r="S728" s="143"/>
      <c r="T728" s="114"/>
      <c r="U728" s="114"/>
      <c r="V728" s="114"/>
      <c r="W728" s="114"/>
      <c r="X728" s="114"/>
      <c r="Y728" s="114"/>
      <c r="Z728" s="143"/>
      <c r="AA728" s="114"/>
      <c r="AB728" s="114"/>
      <c r="AC728" s="114"/>
      <c r="AD728" s="143"/>
      <c r="AE728" s="114"/>
      <c r="AF728" s="114"/>
      <c r="AG728" s="143"/>
      <c r="AH728" s="114"/>
      <c r="AI728" s="114"/>
      <c r="AJ728" s="114"/>
      <c r="AK728" s="114"/>
      <c r="AL728" s="114"/>
      <c r="AM728" s="114"/>
      <c r="AN728" s="114"/>
      <c r="AO728" s="114"/>
      <c r="AP728" s="114"/>
      <c r="AQ728" s="114"/>
      <c r="AR728" s="114"/>
      <c r="AS728" s="114"/>
      <c r="AT728" s="143"/>
      <c r="AU728" s="114"/>
      <c r="AV728" s="114"/>
      <c r="AW728" s="114"/>
      <c r="AX728" s="114"/>
      <c r="AY728" s="114"/>
      <c r="AZ728" s="114"/>
      <c r="BA728" s="114"/>
      <c r="BB728" s="114"/>
      <c r="BC728" s="114"/>
    </row>
    <row r="729" spans="1:55" ht="15.75" customHeight="1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43"/>
      <c r="M729" s="143"/>
      <c r="N729" s="143"/>
      <c r="O729" s="143"/>
      <c r="P729" s="114"/>
      <c r="Q729" s="114"/>
      <c r="R729" s="114"/>
      <c r="S729" s="143"/>
      <c r="T729" s="114"/>
      <c r="U729" s="114"/>
      <c r="V729" s="114"/>
      <c r="W729" s="114"/>
      <c r="X729" s="114"/>
      <c r="Y729" s="114"/>
      <c r="Z729" s="143"/>
      <c r="AA729" s="114"/>
      <c r="AB729" s="114"/>
      <c r="AC729" s="114"/>
      <c r="AD729" s="143"/>
      <c r="AE729" s="114"/>
      <c r="AF729" s="114"/>
      <c r="AG729" s="143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43"/>
      <c r="AU729" s="114"/>
      <c r="AV729" s="114"/>
      <c r="AW729" s="114"/>
      <c r="AX729" s="114"/>
      <c r="AY729" s="114"/>
      <c r="AZ729" s="114"/>
      <c r="BA729" s="114"/>
      <c r="BB729" s="114"/>
      <c r="BC729" s="114"/>
    </row>
    <row r="730" spans="1:55" ht="15.75" customHeight="1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43"/>
      <c r="M730" s="143"/>
      <c r="N730" s="143"/>
      <c r="O730" s="143"/>
      <c r="P730" s="114"/>
      <c r="Q730" s="114"/>
      <c r="R730" s="114"/>
      <c r="S730" s="143"/>
      <c r="T730" s="114"/>
      <c r="U730" s="114"/>
      <c r="V730" s="114"/>
      <c r="W730" s="114"/>
      <c r="X730" s="114"/>
      <c r="Y730" s="114"/>
      <c r="Z730" s="143"/>
      <c r="AA730" s="114"/>
      <c r="AB730" s="114"/>
      <c r="AC730" s="114"/>
      <c r="AD730" s="143"/>
      <c r="AE730" s="114"/>
      <c r="AF730" s="114"/>
      <c r="AG730" s="143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43"/>
      <c r="AU730" s="114"/>
      <c r="AV730" s="114"/>
      <c r="AW730" s="114"/>
      <c r="AX730" s="114"/>
      <c r="AY730" s="114"/>
      <c r="AZ730" s="114"/>
      <c r="BA730" s="114"/>
      <c r="BB730" s="114"/>
      <c r="BC730" s="114"/>
    </row>
    <row r="731" spans="1:55" ht="15.75" customHeight="1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43"/>
      <c r="M731" s="143"/>
      <c r="N731" s="143"/>
      <c r="O731" s="143"/>
      <c r="P731" s="114"/>
      <c r="Q731" s="114"/>
      <c r="R731" s="114"/>
      <c r="S731" s="143"/>
      <c r="T731" s="114"/>
      <c r="U731" s="114"/>
      <c r="V731" s="114"/>
      <c r="W731" s="114"/>
      <c r="X731" s="114"/>
      <c r="Y731" s="114"/>
      <c r="Z731" s="143"/>
      <c r="AA731" s="114"/>
      <c r="AB731" s="114"/>
      <c r="AC731" s="114"/>
      <c r="AD731" s="143"/>
      <c r="AE731" s="114"/>
      <c r="AF731" s="114"/>
      <c r="AG731" s="143"/>
      <c r="AH731" s="114"/>
      <c r="AI731" s="114"/>
      <c r="AJ731" s="114"/>
      <c r="AK731" s="114"/>
      <c r="AL731" s="114"/>
      <c r="AM731" s="114"/>
      <c r="AN731" s="114"/>
      <c r="AO731" s="114"/>
      <c r="AP731" s="114"/>
      <c r="AQ731" s="114"/>
      <c r="AR731" s="114"/>
      <c r="AS731" s="114"/>
      <c r="AT731" s="143"/>
      <c r="AU731" s="114"/>
      <c r="AV731" s="114"/>
      <c r="AW731" s="114"/>
      <c r="AX731" s="114"/>
      <c r="AY731" s="114"/>
      <c r="AZ731" s="114"/>
      <c r="BA731" s="114"/>
      <c r="BB731" s="114"/>
      <c r="BC731" s="114"/>
    </row>
    <row r="732" spans="1:55" ht="15.75" customHeight="1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43"/>
      <c r="M732" s="143"/>
      <c r="N732" s="143"/>
      <c r="O732" s="143"/>
      <c r="P732" s="114"/>
      <c r="Q732" s="114"/>
      <c r="R732" s="114"/>
      <c r="S732" s="143"/>
      <c r="T732" s="114"/>
      <c r="U732" s="114"/>
      <c r="V732" s="114"/>
      <c r="W732" s="114"/>
      <c r="X732" s="114"/>
      <c r="Y732" s="114"/>
      <c r="Z732" s="143"/>
      <c r="AA732" s="114"/>
      <c r="AB732" s="114"/>
      <c r="AC732" s="114"/>
      <c r="AD732" s="143"/>
      <c r="AE732" s="114"/>
      <c r="AF732" s="114"/>
      <c r="AG732" s="143"/>
      <c r="AH732" s="114"/>
      <c r="AI732" s="114"/>
      <c r="AJ732" s="114"/>
      <c r="AK732" s="114"/>
      <c r="AL732" s="114"/>
      <c r="AM732" s="114"/>
      <c r="AN732" s="114"/>
      <c r="AO732" s="114"/>
      <c r="AP732" s="114"/>
      <c r="AQ732" s="114"/>
      <c r="AR732" s="114"/>
      <c r="AS732" s="114"/>
      <c r="AT732" s="143"/>
      <c r="AU732" s="114"/>
      <c r="AV732" s="114"/>
      <c r="AW732" s="114"/>
      <c r="AX732" s="114"/>
      <c r="AY732" s="114"/>
      <c r="AZ732" s="114"/>
      <c r="BA732" s="114"/>
      <c r="BB732" s="114"/>
      <c r="BC732" s="114"/>
    </row>
    <row r="733" spans="1:55" ht="15.75" customHeight="1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43"/>
      <c r="M733" s="143"/>
      <c r="N733" s="143"/>
      <c r="O733" s="143"/>
      <c r="P733" s="114"/>
      <c r="Q733" s="114"/>
      <c r="R733" s="114"/>
      <c r="S733" s="143"/>
      <c r="T733" s="114"/>
      <c r="U733" s="114"/>
      <c r="V733" s="114"/>
      <c r="W733" s="114"/>
      <c r="X733" s="114"/>
      <c r="Y733" s="114"/>
      <c r="Z733" s="143"/>
      <c r="AA733" s="114"/>
      <c r="AB733" s="114"/>
      <c r="AC733" s="114"/>
      <c r="AD733" s="143"/>
      <c r="AE733" s="114"/>
      <c r="AF733" s="114"/>
      <c r="AG733" s="143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43"/>
      <c r="AU733" s="114"/>
      <c r="AV733" s="114"/>
      <c r="AW733" s="114"/>
      <c r="AX733" s="114"/>
      <c r="AY733" s="114"/>
      <c r="AZ733" s="114"/>
      <c r="BA733" s="114"/>
      <c r="BB733" s="114"/>
      <c r="BC733" s="114"/>
    </row>
    <row r="734" spans="1:55" ht="15.75" customHeight="1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43"/>
      <c r="M734" s="143"/>
      <c r="N734" s="143"/>
      <c r="O734" s="143"/>
      <c r="P734" s="114"/>
      <c r="Q734" s="114"/>
      <c r="R734" s="114"/>
      <c r="S734" s="143"/>
      <c r="T734" s="114"/>
      <c r="U734" s="114"/>
      <c r="V734" s="114"/>
      <c r="W734" s="114"/>
      <c r="X734" s="114"/>
      <c r="Y734" s="114"/>
      <c r="Z734" s="143"/>
      <c r="AA734" s="114"/>
      <c r="AB734" s="114"/>
      <c r="AC734" s="114"/>
      <c r="AD734" s="143"/>
      <c r="AE734" s="114"/>
      <c r="AF734" s="114"/>
      <c r="AG734" s="143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43"/>
      <c r="AU734" s="114"/>
      <c r="AV734" s="114"/>
      <c r="AW734" s="114"/>
      <c r="AX734" s="114"/>
      <c r="AY734" s="114"/>
      <c r="AZ734" s="114"/>
      <c r="BA734" s="114"/>
      <c r="BB734" s="114"/>
      <c r="BC734" s="114"/>
    </row>
    <row r="735" spans="1:55" ht="15.75" customHeight="1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43"/>
      <c r="M735" s="143"/>
      <c r="N735" s="143"/>
      <c r="O735" s="143"/>
      <c r="P735" s="114"/>
      <c r="Q735" s="114"/>
      <c r="R735" s="114"/>
      <c r="S735" s="143"/>
      <c r="T735" s="114"/>
      <c r="U735" s="114"/>
      <c r="V735" s="114"/>
      <c r="W735" s="114"/>
      <c r="X735" s="114"/>
      <c r="Y735" s="114"/>
      <c r="Z735" s="143"/>
      <c r="AA735" s="114"/>
      <c r="AB735" s="114"/>
      <c r="AC735" s="114"/>
      <c r="AD735" s="143"/>
      <c r="AE735" s="114"/>
      <c r="AF735" s="114"/>
      <c r="AG735" s="143"/>
      <c r="AH735" s="114"/>
      <c r="AI735" s="114"/>
      <c r="AJ735" s="114"/>
      <c r="AK735" s="114"/>
      <c r="AL735" s="114"/>
      <c r="AM735" s="114"/>
      <c r="AN735" s="114"/>
      <c r="AO735" s="114"/>
      <c r="AP735" s="114"/>
      <c r="AQ735" s="114"/>
      <c r="AR735" s="114"/>
      <c r="AS735" s="114"/>
      <c r="AT735" s="143"/>
      <c r="AU735" s="114"/>
      <c r="AV735" s="114"/>
      <c r="AW735" s="114"/>
      <c r="AX735" s="114"/>
      <c r="AY735" s="114"/>
      <c r="AZ735" s="114"/>
      <c r="BA735" s="114"/>
      <c r="BB735" s="114"/>
      <c r="BC735" s="114"/>
    </row>
    <row r="736" spans="1:55" ht="15.75" customHeight="1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43"/>
      <c r="M736" s="143"/>
      <c r="N736" s="143"/>
      <c r="O736" s="143"/>
      <c r="P736" s="114"/>
      <c r="Q736" s="114"/>
      <c r="R736" s="114"/>
      <c r="S736" s="143"/>
      <c r="T736" s="114"/>
      <c r="U736" s="114"/>
      <c r="V736" s="114"/>
      <c r="W736" s="114"/>
      <c r="X736" s="114"/>
      <c r="Y736" s="114"/>
      <c r="Z736" s="143"/>
      <c r="AA736" s="114"/>
      <c r="AB736" s="114"/>
      <c r="AC736" s="114"/>
      <c r="AD736" s="143"/>
      <c r="AE736" s="114"/>
      <c r="AF736" s="114"/>
      <c r="AG736" s="143"/>
      <c r="AH736" s="114"/>
      <c r="AI736" s="114"/>
      <c r="AJ736" s="114"/>
      <c r="AK736" s="114"/>
      <c r="AL736" s="114"/>
      <c r="AM736" s="114"/>
      <c r="AN736" s="114"/>
      <c r="AO736" s="114"/>
      <c r="AP736" s="114"/>
      <c r="AQ736" s="114"/>
      <c r="AR736" s="114"/>
      <c r="AS736" s="114"/>
      <c r="AT736" s="143"/>
      <c r="AU736" s="114"/>
      <c r="AV736" s="114"/>
      <c r="AW736" s="114"/>
      <c r="AX736" s="114"/>
      <c r="AY736" s="114"/>
      <c r="AZ736" s="114"/>
      <c r="BA736" s="114"/>
      <c r="BB736" s="114"/>
      <c r="BC736" s="114"/>
    </row>
    <row r="737" spans="1:55" ht="15.75" customHeight="1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43"/>
      <c r="M737" s="143"/>
      <c r="N737" s="143"/>
      <c r="O737" s="143"/>
      <c r="P737" s="114"/>
      <c r="Q737" s="114"/>
      <c r="R737" s="114"/>
      <c r="S737" s="143"/>
      <c r="T737" s="114"/>
      <c r="U737" s="114"/>
      <c r="V737" s="114"/>
      <c r="W737" s="114"/>
      <c r="X737" s="114"/>
      <c r="Y737" s="114"/>
      <c r="Z737" s="143"/>
      <c r="AA737" s="114"/>
      <c r="AB737" s="114"/>
      <c r="AC737" s="114"/>
      <c r="AD737" s="143"/>
      <c r="AE737" s="114"/>
      <c r="AF737" s="114"/>
      <c r="AG737" s="143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43"/>
      <c r="AU737" s="114"/>
      <c r="AV737" s="114"/>
      <c r="AW737" s="114"/>
      <c r="AX737" s="114"/>
      <c r="AY737" s="114"/>
      <c r="AZ737" s="114"/>
      <c r="BA737" s="114"/>
      <c r="BB737" s="114"/>
      <c r="BC737" s="114"/>
    </row>
    <row r="738" spans="1:55" ht="15.75" customHeight="1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43"/>
      <c r="M738" s="143"/>
      <c r="N738" s="143"/>
      <c r="O738" s="143"/>
      <c r="P738" s="114"/>
      <c r="Q738" s="114"/>
      <c r="R738" s="114"/>
      <c r="S738" s="143"/>
      <c r="T738" s="114"/>
      <c r="U738" s="114"/>
      <c r="V738" s="114"/>
      <c r="W738" s="114"/>
      <c r="X738" s="114"/>
      <c r="Y738" s="114"/>
      <c r="Z738" s="143"/>
      <c r="AA738" s="114"/>
      <c r="AB738" s="114"/>
      <c r="AC738" s="114"/>
      <c r="AD738" s="143"/>
      <c r="AE738" s="114"/>
      <c r="AF738" s="114"/>
      <c r="AG738" s="143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43"/>
      <c r="AU738" s="114"/>
      <c r="AV738" s="114"/>
      <c r="AW738" s="114"/>
      <c r="AX738" s="114"/>
      <c r="AY738" s="114"/>
      <c r="AZ738" s="114"/>
      <c r="BA738" s="114"/>
      <c r="BB738" s="114"/>
      <c r="BC738" s="114"/>
    </row>
    <row r="739" spans="1:55" ht="15.75" customHeight="1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43"/>
      <c r="M739" s="143"/>
      <c r="N739" s="143"/>
      <c r="O739" s="143"/>
      <c r="P739" s="114"/>
      <c r="Q739" s="114"/>
      <c r="R739" s="114"/>
      <c r="S739" s="143"/>
      <c r="T739" s="114"/>
      <c r="U739" s="114"/>
      <c r="V739" s="114"/>
      <c r="W739" s="114"/>
      <c r="X739" s="114"/>
      <c r="Y739" s="114"/>
      <c r="Z739" s="143"/>
      <c r="AA739" s="114"/>
      <c r="AB739" s="114"/>
      <c r="AC739" s="114"/>
      <c r="AD739" s="143"/>
      <c r="AE739" s="114"/>
      <c r="AF739" s="114"/>
      <c r="AG739" s="143"/>
      <c r="AH739" s="114"/>
      <c r="AI739" s="114"/>
      <c r="AJ739" s="114"/>
      <c r="AK739" s="114"/>
      <c r="AL739" s="114"/>
      <c r="AM739" s="114"/>
      <c r="AN739" s="114"/>
      <c r="AO739" s="114"/>
      <c r="AP739" s="114"/>
      <c r="AQ739" s="114"/>
      <c r="AR739" s="114"/>
      <c r="AS739" s="114"/>
      <c r="AT739" s="143"/>
      <c r="AU739" s="114"/>
      <c r="AV739" s="114"/>
      <c r="AW739" s="114"/>
      <c r="AX739" s="114"/>
      <c r="AY739" s="114"/>
      <c r="AZ739" s="114"/>
      <c r="BA739" s="114"/>
      <c r="BB739" s="114"/>
      <c r="BC739" s="114"/>
    </row>
    <row r="740" spans="1:55" ht="15.75" customHeight="1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43"/>
      <c r="M740" s="143"/>
      <c r="N740" s="143"/>
      <c r="O740" s="143"/>
      <c r="P740" s="114"/>
      <c r="Q740" s="114"/>
      <c r="R740" s="114"/>
      <c r="S740" s="143"/>
      <c r="T740" s="114"/>
      <c r="U740" s="114"/>
      <c r="V740" s="114"/>
      <c r="W740" s="114"/>
      <c r="X740" s="114"/>
      <c r="Y740" s="114"/>
      <c r="Z740" s="143"/>
      <c r="AA740" s="114"/>
      <c r="AB740" s="114"/>
      <c r="AC740" s="114"/>
      <c r="AD740" s="143"/>
      <c r="AE740" s="114"/>
      <c r="AF740" s="114"/>
      <c r="AG740" s="143"/>
      <c r="AH740" s="114"/>
      <c r="AI740" s="114"/>
      <c r="AJ740" s="114"/>
      <c r="AK740" s="114"/>
      <c r="AL740" s="114"/>
      <c r="AM740" s="114"/>
      <c r="AN740" s="114"/>
      <c r="AO740" s="114"/>
      <c r="AP740" s="114"/>
      <c r="AQ740" s="114"/>
      <c r="AR740" s="114"/>
      <c r="AS740" s="114"/>
      <c r="AT740" s="143"/>
      <c r="AU740" s="114"/>
      <c r="AV740" s="114"/>
      <c r="AW740" s="114"/>
      <c r="AX740" s="114"/>
      <c r="AY740" s="114"/>
      <c r="AZ740" s="114"/>
      <c r="BA740" s="114"/>
      <c r="BB740" s="114"/>
      <c r="BC740" s="114"/>
    </row>
    <row r="741" spans="1:55" ht="15.75" customHeight="1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43"/>
      <c r="M741" s="143"/>
      <c r="N741" s="143"/>
      <c r="O741" s="143"/>
      <c r="P741" s="114"/>
      <c r="Q741" s="114"/>
      <c r="R741" s="114"/>
      <c r="S741" s="143"/>
      <c r="T741" s="114"/>
      <c r="U741" s="114"/>
      <c r="V741" s="114"/>
      <c r="W741" s="114"/>
      <c r="X741" s="114"/>
      <c r="Y741" s="114"/>
      <c r="Z741" s="143"/>
      <c r="AA741" s="114"/>
      <c r="AB741" s="114"/>
      <c r="AC741" s="114"/>
      <c r="AD741" s="143"/>
      <c r="AE741" s="114"/>
      <c r="AF741" s="114"/>
      <c r="AG741" s="143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43"/>
      <c r="AU741" s="114"/>
      <c r="AV741" s="114"/>
      <c r="AW741" s="114"/>
      <c r="AX741" s="114"/>
      <c r="AY741" s="114"/>
      <c r="AZ741" s="114"/>
      <c r="BA741" s="114"/>
      <c r="BB741" s="114"/>
      <c r="BC741" s="114"/>
    </row>
    <row r="742" spans="1:55" ht="15.75" customHeight="1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43"/>
      <c r="M742" s="143"/>
      <c r="N742" s="143"/>
      <c r="O742" s="143"/>
      <c r="P742" s="114"/>
      <c r="Q742" s="114"/>
      <c r="R742" s="114"/>
      <c r="S742" s="143"/>
      <c r="T742" s="114"/>
      <c r="U742" s="114"/>
      <c r="V742" s="114"/>
      <c r="W742" s="114"/>
      <c r="X742" s="114"/>
      <c r="Y742" s="114"/>
      <c r="Z742" s="143"/>
      <c r="AA742" s="114"/>
      <c r="AB742" s="114"/>
      <c r="AC742" s="114"/>
      <c r="AD742" s="143"/>
      <c r="AE742" s="114"/>
      <c r="AF742" s="114"/>
      <c r="AG742" s="143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43"/>
      <c r="AU742" s="114"/>
      <c r="AV742" s="114"/>
      <c r="AW742" s="114"/>
      <c r="AX742" s="114"/>
      <c r="AY742" s="114"/>
      <c r="AZ742" s="114"/>
      <c r="BA742" s="114"/>
      <c r="BB742" s="114"/>
      <c r="BC742" s="114"/>
    </row>
    <row r="743" spans="1:55" ht="15.75" customHeight="1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43"/>
      <c r="M743" s="143"/>
      <c r="N743" s="143"/>
      <c r="O743" s="143"/>
      <c r="P743" s="114"/>
      <c r="Q743" s="114"/>
      <c r="R743" s="114"/>
      <c r="S743" s="143"/>
      <c r="T743" s="114"/>
      <c r="U743" s="114"/>
      <c r="V743" s="114"/>
      <c r="W743" s="114"/>
      <c r="X743" s="114"/>
      <c r="Y743" s="114"/>
      <c r="Z743" s="143"/>
      <c r="AA743" s="114"/>
      <c r="AB743" s="114"/>
      <c r="AC743" s="114"/>
      <c r="AD743" s="143"/>
      <c r="AE743" s="114"/>
      <c r="AF743" s="114"/>
      <c r="AG743" s="143"/>
      <c r="AH743" s="114"/>
      <c r="AI743" s="114"/>
      <c r="AJ743" s="114"/>
      <c r="AK743" s="114"/>
      <c r="AL743" s="114"/>
      <c r="AM743" s="114"/>
      <c r="AN743" s="114"/>
      <c r="AO743" s="114"/>
      <c r="AP743" s="114"/>
      <c r="AQ743" s="114"/>
      <c r="AR743" s="114"/>
      <c r="AS743" s="114"/>
      <c r="AT743" s="143"/>
      <c r="AU743" s="114"/>
      <c r="AV743" s="114"/>
      <c r="AW743" s="114"/>
      <c r="AX743" s="114"/>
      <c r="AY743" s="114"/>
      <c r="AZ743" s="114"/>
      <c r="BA743" s="114"/>
      <c r="BB743" s="114"/>
      <c r="BC743" s="114"/>
    </row>
    <row r="744" spans="1:55" ht="15.75" customHeight="1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43"/>
      <c r="M744" s="143"/>
      <c r="N744" s="143"/>
      <c r="O744" s="143"/>
      <c r="P744" s="114"/>
      <c r="Q744" s="114"/>
      <c r="R744" s="114"/>
      <c r="S744" s="143"/>
      <c r="T744" s="114"/>
      <c r="U744" s="114"/>
      <c r="V744" s="114"/>
      <c r="W744" s="114"/>
      <c r="X744" s="114"/>
      <c r="Y744" s="114"/>
      <c r="Z744" s="143"/>
      <c r="AA744" s="114"/>
      <c r="AB744" s="114"/>
      <c r="AC744" s="114"/>
      <c r="AD744" s="143"/>
      <c r="AE744" s="114"/>
      <c r="AF744" s="114"/>
      <c r="AG744" s="143"/>
      <c r="AH744" s="114"/>
      <c r="AI744" s="114"/>
      <c r="AJ744" s="114"/>
      <c r="AK744" s="114"/>
      <c r="AL744" s="114"/>
      <c r="AM744" s="114"/>
      <c r="AN744" s="114"/>
      <c r="AO744" s="114"/>
      <c r="AP744" s="114"/>
      <c r="AQ744" s="114"/>
      <c r="AR744" s="114"/>
      <c r="AS744" s="114"/>
      <c r="AT744" s="143"/>
      <c r="AU744" s="114"/>
      <c r="AV744" s="114"/>
      <c r="AW744" s="114"/>
      <c r="AX744" s="114"/>
      <c r="AY744" s="114"/>
      <c r="AZ744" s="114"/>
      <c r="BA744" s="114"/>
      <c r="BB744" s="114"/>
      <c r="BC744" s="114"/>
    </row>
    <row r="745" spans="1:55" ht="15.75" customHeight="1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43"/>
      <c r="M745" s="143"/>
      <c r="N745" s="143"/>
      <c r="O745" s="143"/>
      <c r="P745" s="114"/>
      <c r="Q745" s="114"/>
      <c r="R745" s="114"/>
      <c r="S745" s="143"/>
      <c r="T745" s="114"/>
      <c r="U745" s="114"/>
      <c r="V745" s="114"/>
      <c r="W745" s="114"/>
      <c r="X745" s="114"/>
      <c r="Y745" s="114"/>
      <c r="Z745" s="143"/>
      <c r="AA745" s="114"/>
      <c r="AB745" s="114"/>
      <c r="AC745" s="114"/>
      <c r="AD745" s="143"/>
      <c r="AE745" s="114"/>
      <c r="AF745" s="114"/>
      <c r="AG745" s="143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43"/>
      <c r="AU745" s="114"/>
      <c r="AV745" s="114"/>
      <c r="AW745" s="114"/>
      <c r="AX745" s="114"/>
      <c r="AY745" s="114"/>
      <c r="AZ745" s="114"/>
      <c r="BA745" s="114"/>
      <c r="BB745" s="114"/>
      <c r="BC745" s="114"/>
    </row>
    <row r="746" spans="1:55" ht="15.75" customHeight="1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43"/>
      <c r="M746" s="143"/>
      <c r="N746" s="143"/>
      <c r="O746" s="143"/>
      <c r="P746" s="114"/>
      <c r="Q746" s="114"/>
      <c r="R746" s="114"/>
      <c r="S746" s="143"/>
      <c r="T746" s="114"/>
      <c r="U746" s="114"/>
      <c r="V746" s="114"/>
      <c r="W746" s="114"/>
      <c r="X746" s="114"/>
      <c r="Y746" s="114"/>
      <c r="Z746" s="143"/>
      <c r="AA746" s="114"/>
      <c r="AB746" s="114"/>
      <c r="AC746" s="114"/>
      <c r="AD746" s="143"/>
      <c r="AE746" s="114"/>
      <c r="AF746" s="114"/>
      <c r="AG746" s="143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43"/>
      <c r="AU746" s="114"/>
      <c r="AV746" s="114"/>
      <c r="AW746" s="114"/>
      <c r="AX746" s="114"/>
      <c r="AY746" s="114"/>
      <c r="AZ746" s="114"/>
      <c r="BA746" s="114"/>
      <c r="BB746" s="114"/>
      <c r="BC746" s="114"/>
    </row>
    <row r="747" spans="1:55" ht="15.75" customHeight="1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43"/>
      <c r="M747" s="143"/>
      <c r="N747" s="143"/>
      <c r="O747" s="143"/>
      <c r="P747" s="114"/>
      <c r="Q747" s="114"/>
      <c r="R747" s="114"/>
      <c r="S747" s="143"/>
      <c r="T747" s="114"/>
      <c r="U747" s="114"/>
      <c r="V747" s="114"/>
      <c r="W747" s="114"/>
      <c r="X747" s="114"/>
      <c r="Y747" s="114"/>
      <c r="Z747" s="143"/>
      <c r="AA747" s="114"/>
      <c r="AB747" s="114"/>
      <c r="AC747" s="114"/>
      <c r="AD747" s="143"/>
      <c r="AE747" s="114"/>
      <c r="AF747" s="114"/>
      <c r="AG747" s="143"/>
      <c r="AH747" s="114"/>
      <c r="AI747" s="114"/>
      <c r="AJ747" s="114"/>
      <c r="AK747" s="114"/>
      <c r="AL747" s="114"/>
      <c r="AM747" s="114"/>
      <c r="AN747" s="114"/>
      <c r="AO747" s="114"/>
      <c r="AP747" s="114"/>
      <c r="AQ747" s="114"/>
      <c r="AR747" s="114"/>
      <c r="AS747" s="114"/>
      <c r="AT747" s="143"/>
      <c r="AU747" s="114"/>
      <c r="AV747" s="114"/>
      <c r="AW747" s="114"/>
      <c r="AX747" s="114"/>
      <c r="AY747" s="114"/>
      <c r="AZ747" s="114"/>
      <c r="BA747" s="114"/>
      <c r="BB747" s="114"/>
      <c r="BC747" s="114"/>
    </row>
    <row r="748" spans="1:55" ht="15.75" customHeight="1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43"/>
      <c r="M748" s="143"/>
      <c r="N748" s="143"/>
      <c r="O748" s="143"/>
      <c r="P748" s="114"/>
      <c r="Q748" s="114"/>
      <c r="R748" s="114"/>
      <c r="S748" s="143"/>
      <c r="T748" s="114"/>
      <c r="U748" s="114"/>
      <c r="V748" s="114"/>
      <c r="W748" s="114"/>
      <c r="X748" s="114"/>
      <c r="Y748" s="114"/>
      <c r="Z748" s="143"/>
      <c r="AA748" s="114"/>
      <c r="AB748" s="114"/>
      <c r="AC748" s="114"/>
      <c r="AD748" s="143"/>
      <c r="AE748" s="114"/>
      <c r="AF748" s="114"/>
      <c r="AG748" s="143"/>
      <c r="AH748" s="114"/>
      <c r="AI748" s="114"/>
      <c r="AJ748" s="114"/>
      <c r="AK748" s="114"/>
      <c r="AL748" s="114"/>
      <c r="AM748" s="114"/>
      <c r="AN748" s="114"/>
      <c r="AO748" s="114"/>
      <c r="AP748" s="114"/>
      <c r="AQ748" s="114"/>
      <c r="AR748" s="114"/>
      <c r="AS748" s="114"/>
      <c r="AT748" s="143"/>
      <c r="AU748" s="114"/>
      <c r="AV748" s="114"/>
      <c r="AW748" s="114"/>
      <c r="AX748" s="114"/>
      <c r="AY748" s="114"/>
      <c r="AZ748" s="114"/>
      <c r="BA748" s="114"/>
      <c r="BB748" s="114"/>
      <c r="BC748" s="114"/>
    </row>
    <row r="749" spans="1:55" ht="15.75" customHeight="1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43"/>
      <c r="M749" s="143"/>
      <c r="N749" s="143"/>
      <c r="O749" s="143"/>
      <c r="P749" s="114"/>
      <c r="Q749" s="114"/>
      <c r="R749" s="114"/>
      <c r="S749" s="143"/>
      <c r="T749" s="114"/>
      <c r="U749" s="114"/>
      <c r="V749" s="114"/>
      <c r="W749" s="114"/>
      <c r="X749" s="114"/>
      <c r="Y749" s="114"/>
      <c r="Z749" s="143"/>
      <c r="AA749" s="114"/>
      <c r="AB749" s="114"/>
      <c r="AC749" s="114"/>
      <c r="AD749" s="143"/>
      <c r="AE749" s="114"/>
      <c r="AF749" s="114"/>
      <c r="AG749" s="143"/>
      <c r="AH749" s="114"/>
      <c r="AI749" s="114"/>
      <c r="AJ749" s="114"/>
      <c r="AK749" s="114"/>
      <c r="AL749" s="114"/>
      <c r="AM749" s="114"/>
      <c r="AN749" s="114"/>
      <c r="AO749" s="114"/>
      <c r="AP749" s="114"/>
      <c r="AQ749" s="114"/>
      <c r="AR749" s="114"/>
      <c r="AS749" s="114"/>
      <c r="AT749" s="143"/>
      <c r="AU749" s="114"/>
      <c r="AV749" s="114"/>
      <c r="AW749" s="114"/>
      <c r="AX749" s="114"/>
      <c r="AY749" s="114"/>
      <c r="AZ749" s="114"/>
      <c r="BA749" s="114"/>
      <c r="BB749" s="114"/>
      <c r="BC749" s="114"/>
    </row>
    <row r="750" spans="1:55" ht="15.75" customHeight="1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43"/>
      <c r="M750" s="143"/>
      <c r="N750" s="143"/>
      <c r="O750" s="143"/>
      <c r="P750" s="114"/>
      <c r="Q750" s="114"/>
      <c r="R750" s="114"/>
      <c r="S750" s="143"/>
      <c r="T750" s="114"/>
      <c r="U750" s="114"/>
      <c r="V750" s="114"/>
      <c r="W750" s="114"/>
      <c r="X750" s="114"/>
      <c r="Y750" s="114"/>
      <c r="Z750" s="143"/>
      <c r="AA750" s="114"/>
      <c r="AB750" s="114"/>
      <c r="AC750" s="114"/>
      <c r="AD750" s="143"/>
      <c r="AE750" s="114"/>
      <c r="AF750" s="114"/>
      <c r="AG750" s="143"/>
      <c r="AH750" s="114"/>
      <c r="AI750" s="114"/>
      <c r="AJ750" s="114"/>
      <c r="AK750" s="114"/>
      <c r="AL750" s="114"/>
      <c r="AM750" s="114"/>
      <c r="AN750" s="114"/>
      <c r="AO750" s="114"/>
      <c r="AP750" s="114"/>
      <c r="AQ750" s="114"/>
      <c r="AR750" s="114"/>
      <c r="AS750" s="114"/>
      <c r="AT750" s="143"/>
      <c r="AU750" s="114"/>
      <c r="AV750" s="114"/>
      <c r="AW750" s="114"/>
      <c r="AX750" s="114"/>
      <c r="AY750" s="114"/>
      <c r="AZ750" s="114"/>
      <c r="BA750" s="114"/>
      <c r="BB750" s="114"/>
      <c r="BC750" s="114"/>
    </row>
    <row r="751" spans="1:55" ht="15.75" customHeight="1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43"/>
      <c r="M751" s="143"/>
      <c r="N751" s="143"/>
      <c r="O751" s="143"/>
      <c r="P751" s="114"/>
      <c r="Q751" s="114"/>
      <c r="R751" s="114"/>
      <c r="S751" s="143"/>
      <c r="T751" s="114"/>
      <c r="U751" s="114"/>
      <c r="V751" s="114"/>
      <c r="W751" s="114"/>
      <c r="X751" s="114"/>
      <c r="Y751" s="114"/>
      <c r="Z751" s="143"/>
      <c r="AA751" s="114"/>
      <c r="AB751" s="114"/>
      <c r="AC751" s="114"/>
      <c r="AD751" s="143"/>
      <c r="AE751" s="114"/>
      <c r="AF751" s="114"/>
      <c r="AG751" s="143"/>
      <c r="AH751" s="114"/>
      <c r="AI751" s="114"/>
      <c r="AJ751" s="114"/>
      <c r="AK751" s="114"/>
      <c r="AL751" s="114"/>
      <c r="AM751" s="114"/>
      <c r="AN751" s="114"/>
      <c r="AO751" s="114"/>
      <c r="AP751" s="114"/>
      <c r="AQ751" s="114"/>
      <c r="AR751" s="114"/>
      <c r="AS751" s="114"/>
      <c r="AT751" s="143"/>
      <c r="AU751" s="114"/>
      <c r="AV751" s="114"/>
      <c r="AW751" s="114"/>
      <c r="AX751" s="114"/>
      <c r="AY751" s="114"/>
      <c r="AZ751" s="114"/>
      <c r="BA751" s="114"/>
      <c r="BB751" s="114"/>
      <c r="BC751" s="114"/>
    </row>
    <row r="752" spans="1:55" ht="15.75" customHeight="1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43"/>
      <c r="M752" s="143"/>
      <c r="N752" s="143"/>
      <c r="O752" s="143"/>
      <c r="P752" s="114"/>
      <c r="Q752" s="114"/>
      <c r="R752" s="114"/>
      <c r="S752" s="143"/>
      <c r="T752" s="114"/>
      <c r="U752" s="114"/>
      <c r="V752" s="114"/>
      <c r="W752" s="114"/>
      <c r="X752" s="114"/>
      <c r="Y752" s="114"/>
      <c r="Z752" s="143"/>
      <c r="AA752" s="114"/>
      <c r="AB752" s="114"/>
      <c r="AC752" s="114"/>
      <c r="AD752" s="143"/>
      <c r="AE752" s="114"/>
      <c r="AF752" s="114"/>
      <c r="AG752" s="143"/>
      <c r="AH752" s="114"/>
      <c r="AI752" s="114"/>
      <c r="AJ752" s="114"/>
      <c r="AK752" s="114"/>
      <c r="AL752" s="114"/>
      <c r="AM752" s="114"/>
      <c r="AN752" s="114"/>
      <c r="AO752" s="114"/>
      <c r="AP752" s="114"/>
      <c r="AQ752" s="114"/>
      <c r="AR752" s="114"/>
      <c r="AS752" s="114"/>
      <c r="AT752" s="143"/>
      <c r="AU752" s="114"/>
      <c r="AV752" s="114"/>
      <c r="AW752" s="114"/>
      <c r="AX752" s="114"/>
      <c r="AY752" s="114"/>
      <c r="AZ752" s="114"/>
      <c r="BA752" s="114"/>
      <c r="BB752" s="114"/>
      <c r="BC752" s="114"/>
    </row>
    <row r="753" spans="1:55" ht="15.75" customHeight="1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43"/>
      <c r="M753" s="143"/>
      <c r="N753" s="143"/>
      <c r="O753" s="143"/>
      <c r="P753" s="114"/>
      <c r="Q753" s="114"/>
      <c r="R753" s="114"/>
      <c r="S753" s="143"/>
      <c r="T753" s="114"/>
      <c r="U753" s="114"/>
      <c r="V753" s="114"/>
      <c r="W753" s="114"/>
      <c r="X753" s="114"/>
      <c r="Y753" s="114"/>
      <c r="Z753" s="143"/>
      <c r="AA753" s="114"/>
      <c r="AB753" s="114"/>
      <c r="AC753" s="114"/>
      <c r="AD753" s="143"/>
      <c r="AE753" s="114"/>
      <c r="AF753" s="114"/>
      <c r="AG753" s="143"/>
      <c r="AH753" s="114"/>
      <c r="AI753" s="114"/>
      <c r="AJ753" s="114"/>
      <c r="AK753" s="114"/>
      <c r="AL753" s="114"/>
      <c r="AM753" s="114"/>
      <c r="AN753" s="114"/>
      <c r="AO753" s="114"/>
      <c r="AP753" s="114"/>
      <c r="AQ753" s="114"/>
      <c r="AR753" s="114"/>
      <c r="AS753" s="114"/>
      <c r="AT753" s="143"/>
      <c r="AU753" s="114"/>
      <c r="AV753" s="114"/>
      <c r="AW753" s="114"/>
      <c r="AX753" s="114"/>
      <c r="AY753" s="114"/>
      <c r="AZ753" s="114"/>
      <c r="BA753" s="114"/>
      <c r="BB753" s="114"/>
      <c r="BC753" s="114"/>
    </row>
    <row r="754" spans="1:55" ht="15.75" customHeight="1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43"/>
      <c r="M754" s="143"/>
      <c r="N754" s="143"/>
      <c r="O754" s="143"/>
      <c r="P754" s="114"/>
      <c r="Q754" s="114"/>
      <c r="R754" s="114"/>
      <c r="S754" s="143"/>
      <c r="T754" s="114"/>
      <c r="U754" s="114"/>
      <c r="V754" s="114"/>
      <c r="W754" s="114"/>
      <c r="X754" s="114"/>
      <c r="Y754" s="114"/>
      <c r="Z754" s="143"/>
      <c r="AA754" s="114"/>
      <c r="AB754" s="114"/>
      <c r="AC754" s="114"/>
      <c r="AD754" s="143"/>
      <c r="AE754" s="114"/>
      <c r="AF754" s="114"/>
      <c r="AG754" s="143"/>
      <c r="AH754" s="114"/>
      <c r="AI754" s="114"/>
      <c r="AJ754" s="114"/>
      <c r="AK754" s="114"/>
      <c r="AL754" s="114"/>
      <c r="AM754" s="114"/>
      <c r="AN754" s="114"/>
      <c r="AO754" s="114"/>
      <c r="AP754" s="114"/>
      <c r="AQ754" s="114"/>
      <c r="AR754" s="114"/>
      <c r="AS754" s="114"/>
      <c r="AT754" s="143"/>
      <c r="AU754" s="114"/>
      <c r="AV754" s="114"/>
      <c r="AW754" s="114"/>
      <c r="AX754" s="114"/>
      <c r="AY754" s="114"/>
      <c r="AZ754" s="114"/>
      <c r="BA754" s="114"/>
      <c r="BB754" s="114"/>
      <c r="BC754" s="114"/>
    </row>
    <row r="755" spans="1:55" ht="15.75" customHeight="1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43"/>
      <c r="M755" s="143"/>
      <c r="N755" s="143"/>
      <c r="O755" s="143"/>
      <c r="P755" s="114"/>
      <c r="Q755" s="114"/>
      <c r="R755" s="114"/>
      <c r="S755" s="143"/>
      <c r="T755" s="114"/>
      <c r="U755" s="114"/>
      <c r="V755" s="114"/>
      <c r="W755" s="114"/>
      <c r="X755" s="114"/>
      <c r="Y755" s="114"/>
      <c r="Z755" s="143"/>
      <c r="AA755" s="114"/>
      <c r="AB755" s="114"/>
      <c r="AC755" s="114"/>
      <c r="AD755" s="143"/>
      <c r="AE755" s="114"/>
      <c r="AF755" s="114"/>
      <c r="AG755" s="143"/>
      <c r="AH755" s="114"/>
      <c r="AI755" s="114"/>
      <c r="AJ755" s="114"/>
      <c r="AK755" s="114"/>
      <c r="AL755" s="114"/>
      <c r="AM755" s="114"/>
      <c r="AN755" s="114"/>
      <c r="AO755" s="114"/>
      <c r="AP755" s="114"/>
      <c r="AQ755" s="114"/>
      <c r="AR755" s="114"/>
      <c r="AS755" s="114"/>
      <c r="AT755" s="143"/>
      <c r="AU755" s="114"/>
      <c r="AV755" s="114"/>
      <c r="AW755" s="114"/>
      <c r="AX755" s="114"/>
      <c r="AY755" s="114"/>
      <c r="AZ755" s="114"/>
      <c r="BA755" s="114"/>
      <c r="BB755" s="114"/>
      <c r="BC755" s="114"/>
    </row>
    <row r="756" spans="1:55" ht="15.75" customHeight="1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43"/>
      <c r="M756" s="143"/>
      <c r="N756" s="143"/>
      <c r="O756" s="143"/>
      <c r="P756" s="114"/>
      <c r="Q756" s="114"/>
      <c r="R756" s="114"/>
      <c r="S756" s="143"/>
      <c r="T756" s="114"/>
      <c r="U756" s="114"/>
      <c r="V756" s="114"/>
      <c r="W756" s="114"/>
      <c r="X756" s="114"/>
      <c r="Y756" s="114"/>
      <c r="Z756" s="143"/>
      <c r="AA756" s="114"/>
      <c r="AB756" s="114"/>
      <c r="AC756" s="114"/>
      <c r="AD756" s="143"/>
      <c r="AE756" s="114"/>
      <c r="AF756" s="114"/>
      <c r="AG756" s="143"/>
      <c r="AH756" s="114"/>
      <c r="AI756" s="114"/>
      <c r="AJ756" s="114"/>
      <c r="AK756" s="114"/>
      <c r="AL756" s="114"/>
      <c r="AM756" s="114"/>
      <c r="AN756" s="114"/>
      <c r="AO756" s="114"/>
      <c r="AP756" s="114"/>
      <c r="AQ756" s="114"/>
      <c r="AR756" s="114"/>
      <c r="AS756" s="114"/>
      <c r="AT756" s="143"/>
      <c r="AU756" s="114"/>
      <c r="AV756" s="114"/>
      <c r="AW756" s="114"/>
      <c r="AX756" s="114"/>
      <c r="AY756" s="114"/>
      <c r="AZ756" s="114"/>
      <c r="BA756" s="114"/>
      <c r="BB756" s="114"/>
      <c r="BC756" s="114"/>
    </row>
    <row r="757" spans="1:55" ht="15.75" customHeight="1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43"/>
      <c r="M757" s="143"/>
      <c r="N757" s="143"/>
      <c r="O757" s="143"/>
      <c r="P757" s="114"/>
      <c r="Q757" s="114"/>
      <c r="R757" s="114"/>
      <c r="S757" s="143"/>
      <c r="T757" s="114"/>
      <c r="U757" s="114"/>
      <c r="V757" s="114"/>
      <c r="W757" s="114"/>
      <c r="X757" s="114"/>
      <c r="Y757" s="114"/>
      <c r="Z757" s="143"/>
      <c r="AA757" s="114"/>
      <c r="AB757" s="114"/>
      <c r="AC757" s="114"/>
      <c r="AD757" s="143"/>
      <c r="AE757" s="114"/>
      <c r="AF757" s="114"/>
      <c r="AG757" s="143"/>
      <c r="AH757" s="114"/>
      <c r="AI757" s="114"/>
      <c r="AJ757" s="114"/>
      <c r="AK757" s="114"/>
      <c r="AL757" s="114"/>
      <c r="AM757" s="114"/>
      <c r="AN757" s="114"/>
      <c r="AO757" s="114"/>
      <c r="AP757" s="114"/>
      <c r="AQ757" s="114"/>
      <c r="AR757" s="114"/>
      <c r="AS757" s="114"/>
      <c r="AT757" s="143"/>
      <c r="AU757" s="114"/>
      <c r="AV757" s="114"/>
      <c r="AW757" s="114"/>
      <c r="AX757" s="114"/>
      <c r="AY757" s="114"/>
      <c r="AZ757" s="114"/>
      <c r="BA757" s="114"/>
      <c r="BB757" s="114"/>
      <c r="BC757" s="114"/>
    </row>
    <row r="758" spans="1:55" ht="15.75" customHeight="1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43"/>
      <c r="M758" s="143"/>
      <c r="N758" s="143"/>
      <c r="O758" s="143"/>
      <c r="P758" s="114"/>
      <c r="Q758" s="114"/>
      <c r="R758" s="114"/>
      <c r="S758" s="143"/>
      <c r="T758" s="114"/>
      <c r="U758" s="114"/>
      <c r="V758" s="114"/>
      <c r="W758" s="114"/>
      <c r="X758" s="114"/>
      <c r="Y758" s="114"/>
      <c r="Z758" s="143"/>
      <c r="AA758" s="114"/>
      <c r="AB758" s="114"/>
      <c r="AC758" s="114"/>
      <c r="AD758" s="143"/>
      <c r="AE758" s="114"/>
      <c r="AF758" s="114"/>
      <c r="AG758" s="143"/>
      <c r="AH758" s="114"/>
      <c r="AI758" s="114"/>
      <c r="AJ758" s="114"/>
      <c r="AK758" s="114"/>
      <c r="AL758" s="114"/>
      <c r="AM758" s="114"/>
      <c r="AN758" s="114"/>
      <c r="AO758" s="114"/>
      <c r="AP758" s="114"/>
      <c r="AQ758" s="114"/>
      <c r="AR758" s="114"/>
      <c r="AS758" s="114"/>
      <c r="AT758" s="143"/>
      <c r="AU758" s="114"/>
      <c r="AV758" s="114"/>
      <c r="AW758" s="114"/>
      <c r="AX758" s="114"/>
      <c r="AY758" s="114"/>
      <c r="AZ758" s="114"/>
      <c r="BA758" s="114"/>
      <c r="BB758" s="114"/>
      <c r="BC758" s="114"/>
    </row>
    <row r="759" spans="1:55" ht="15.75" customHeight="1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43"/>
      <c r="M759" s="143"/>
      <c r="N759" s="143"/>
      <c r="O759" s="143"/>
      <c r="P759" s="114"/>
      <c r="Q759" s="114"/>
      <c r="R759" s="114"/>
      <c r="S759" s="143"/>
      <c r="T759" s="114"/>
      <c r="U759" s="114"/>
      <c r="V759" s="114"/>
      <c r="W759" s="114"/>
      <c r="X759" s="114"/>
      <c r="Y759" s="114"/>
      <c r="Z759" s="143"/>
      <c r="AA759" s="114"/>
      <c r="AB759" s="114"/>
      <c r="AC759" s="114"/>
      <c r="AD759" s="143"/>
      <c r="AE759" s="114"/>
      <c r="AF759" s="114"/>
      <c r="AG759" s="143"/>
      <c r="AH759" s="114"/>
      <c r="AI759" s="114"/>
      <c r="AJ759" s="114"/>
      <c r="AK759" s="114"/>
      <c r="AL759" s="114"/>
      <c r="AM759" s="114"/>
      <c r="AN759" s="114"/>
      <c r="AO759" s="114"/>
      <c r="AP759" s="114"/>
      <c r="AQ759" s="114"/>
      <c r="AR759" s="114"/>
      <c r="AS759" s="114"/>
      <c r="AT759" s="143"/>
      <c r="AU759" s="114"/>
      <c r="AV759" s="114"/>
      <c r="AW759" s="114"/>
      <c r="AX759" s="114"/>
      <c r="AY759" s="114"/>
      <c r="AZ759" s="114"/>
      <c r="BA759" s="114"/>
      <c r="BB759" s="114"/>
      <c r="BC759" s="114"/>
    </row>
    <row r="760" spans="1:55" ht="15.75" customHeight="1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43"/>
      <c r="M760" s="143"/>
      <c r="N760" s="143"/>
      <c r="O760" s="143"/>
      <c r="P760" s="114"/>
      <c r="Q760" s="114"/>
      <c r="R760" s="114"/>
      <c r="S760" s="143"/>
      <c r="T760" s="114"/>
      <c r="U760" s="114"/>
      <c r="V760" s="114"/>
      <c r="W760" s="114"/>
      <c r="X760" s="114"/>
      <c r="Y760" s="114"/>
      <c r="Z760" s="143"/>
      <c r="AA760" s="114"/>
      <c r="AB760" s="114"/>
      <c r="AC760" s="114"/>
      <c r="AD760" s="143"/>
      <c r="AE760" s="114"/>
      <c r="AF760" s="114"/>
      <c r="AG760" s="143"/>
      <c r="AH760" s="114"/>
      <c r="AI760" s="114"/>
      <c r="AJ760" s="114"/>
      <c r="AK760" s="114"/>
      <c r="AL760" s="114"/>
      <c r="AM760" s="114"/>
      <c r="AN760" s="114"/>
      <c r="AO760" s="114"/>
      <c r="AP760" s="114"/>
      <c r="AQ760" s="114"/>
      <c r="AR760" s="114"/>
      <c r="AS760" s="114"/>
      <c r="AT760" s="143"/>
      <c r="AU760" s="114"/>
      <c r="AV760" s="114"/>
      <c r="AW760" s="114"/>
      <c r="AX760" s="114"/>
      <c r="AY760" s="114"/>
      <c r="AZ760" s="114"/>
      <c r="BA760" s="114"/>
      <c r="BB760" s="114"/>
      <c r="BC760" s="114"/>
    </row>
    <row r="761" spans="1:55" ht="15.75" customHeight="1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43"/>
      <c r="M761" s="143"/>
      <c r="N761" s="143"/>
      <c r="O761" s="143"/>
      <c r="P761" s="114"/>
      <c r="Q761" s="114"/>
      <c r="R761" s="114"/>
      <c r="S761" s="143"/>
      <c r="T761" s="114"/>
      <c r="U761" s="114"/>
      <c r="V761" s="114"/>
      <c r="W761" s="114"/>
      <c r="X761" s="114"/>
      <c r="Y761" s="114"/>
      <c r="Z761" s="143"/>
      <c r="AA761" s="114"/>
      <c r="AB761" s="114"/>
      <c r="AC761" s="114"/>
      <c r="AD761" s="143"/>
      <c r="AE761" s="114"/>
      <c r="AF761" s="114"/>
      <c r="AG761" s="143"/>
      <c r="AH761" s="114"/>
      <c r="AI761" s="114"/>
      <c r="AJ761" s="114"/>
      <c r="AK761" s="114"/>
      <c r="AL761" s="114"/>
      <c r="AM761" s="114"/>
      <c r="AN761" s="114"/>
      <c r="AO761" s="114"/>
      <c r="AP761" s="114"/>
      <c r="AQ761" s="114"/>
      <c r="AR761" s="114"/>
      <c r="AS761" s="114"/>
      <c r="AT761" s="143"/>
      <c r="AU761" s="114"/>
      <c r="AV761" s="114"/>
      <c r="AW761" s="114"/>
      <c r="AX761" s="114"/>
      <c r="AY761" s="114"/>
      <c r="AZ761" s="114"/>
      <c r="BA761" s="114"/>
      <c r="BB761" s="114"/>
      <c r="BC761" s="114"/>
    </row>
    <row r="762" spans="1:55" ht="15.75" customHeight="1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43"/>
      <c r="M762" s="143"/>
      <c r="N762" s="143"/>
      <c r="O762" s="143"/>
      <c r="P762" s="114"/>
      <c r="Q762" s="114"/>
      <c r="R762" s="114"/>
      <c r="S762" s="143"/>
      <c r="T762" s="114"/>
      <c r="U762" s="114"/>
      <c r="V762" s="114"/>
      <c r="W762" s="114"/>
      <c r="X762" s="114"/>
      <c r="Y762" s="114"/>
      <c r="Z762" s="143"/>
      <c r="AA762" s="114"/>
      <c r="AB762" s="114"/>
      <c r="AC762" s="114"/>
      <c r="AD762" s="143"/>
      <c r="AE762" s="114"/>
      <c r="AF762" s="114"/>
      <c r="AG762" s="143"/>
      <c r="AH762" s="114"/>
      <c r="AI762" s="114"/>
      <c r="AJ762" s="114"/>
      <c r="AK762" s="114"/>
      <c r="AL762" s="114"/>
      <c r="AM762" s="114"/>
      <c r="AN762" s="114"/>
      <c r="AO762" s="114"/>
      <c r="AP762" s="114"/>
      <c r="AQ762" s="114"/>
      <c r="AR762" s="114"/>
      <c r="AS762" s="114"/>
      <c r="AT762" s="143"/>
      <c r="AU762" s="114"/>
      <c r="AV762" s="114"/>
      <c r="AW762" s="114"/>
      <c r="AX762" s="114"/>
      <c r="AY762" s="114"/>
      <c r="AZ762" s="114"/>
      <c r="BA762" s="114"/>
      <c r="BB762" s="114"/>
      <c r="BC762" s="114"/>
    </row>
    <row r="763" spans="1:55" ht="15.75" customHeight="1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43"/>
      <c r="M763" s="143"/>
      <c r="N763" s="143"/>
      <c r="O763" s="143"/>
      <c r="P763" s="114"/>
      <c r="Q763" s="114"/>
      <c r="R763" s="114"/>
      <c r="S763" s="143"/>
      <c r="T763" s="114"/>
      <c r="U763" s="114"/>
      <c r="V763" s="114"/>
      <c r="W763" s="114"/>
      <c r="X763" s="114"/>
      <c r="Y763" s="114"/>
      <c r="Z763" s="143"/>
      <c r="AA763" s="114"/>
      <c r="AB763" s="114"/>
      <c r="AC763" s="114"/>
      <c r="AD763" s="143"/>
      <c r="AE763" s="114"/>
      <c r="AF763" s="114"/>
      <c r="AG763" s="143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43"/>
      <c r="AU763" s="114"/>
      <c r="AV763" s="114"/>
      <c r="AW763" s="114"/>
      <c r="AX763" s="114"/>
      <c r="AY763" s="114"/>
      <c r="AZ763" s="114"/>
      <c r="BA763" s="114"/>
      <c r="BB763" s="114"/>
      <c r="BC763" s="114"/>
    </row>
    <row r="764" spans="1:55" ht="15.75" customHeight="1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43"/>
      <c r="M764" s="143"/>
      <c r="N764" s="143"/>
      <c r="O764" s="143"/>
      <c r="P764" s="114"/>
      <c r="Q764" s="114"/>
      <c r="R764" s="114"/>
      <c r="S764" s="143"/>
      <c r="T764" s="114"/>
      <c r="U764" s="114"/>
      <c r="V764" s="114"/>
      <c r="W764" s="114"/>
      <c r="X764" s="114"/>
      <c r="Y764" s="114"/>
      <c r="Z764" s="143"/>
      <c r="AA764" s="114"/>
      <c r="AB764" s="114"/>
      <c r="AC764" s="114"/>
      <c r="AD764" s="143"/>
      <c r="AE764" s="114"/>
      <c r="AF764" s="114"/>
      <c r="AG764" s="143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43"/>
      <c r="AU764" s="114"/>
      <c r="AV764" s="114"/>
      <c r="AW764" s="114"/>
      <c r="AX764" s="114"/>
      <c r="AY764" s="114"/>
      <c r="AZ764" s="114"/>
      <c r="BA764" s="114"/>
      <c r="BB764" s="114"/>
      <c r="BC764" s="114"/>
    </row>
    <row r="765" spans="1:55" ht="15.75" customHeight="1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43"/>
      <c r="M765" s="143"/>
      <c r="N765" s="143"/>
      <c r="O765" s="143"/>
      <c r="P765" s="114"/>
      <c r="Q765" s="114"/>
      <c r="R765" s="114"/>
      <c r="S765" s="143"/>
      <c r="T765" s="114"/>
      <c r="U765" s="114"/>
      <c r="V765" s="114"/>
      <c r="W765" s="114"/>
      <c r="X765" s="114"/>
      <c r="Y765" s="114"/>
      <c r="Z765" s="143"/>
      <c r="AA765" s="114"/>
      <c r="AB765" s="114"/>
      <c r="AC765" s="114"/>
      <c r="AD765" s="143"/>
      <c r="AE765" s="114"/>
      <c r="AF765" s="114"/>
      <c r="AG765" s="143"/>
      <c r="AH765" s="114"/>
      <c r="AI765" s="114"/>
      <c r="AJ765" s="114"/>
      <c r="AK765" s="114"/>
      <c r="AL765" s="114"/>
      <c r="AM765" s="114"/>
      <c r="AN765" s="114"/>
      <c r="AO765" s="114"/>
      <c r="AP765" s="114"/>
      <c r="AQ765" s="114"/>
      <c r="AR765" s="114"/>
      <c r="AS765" s="114"/>
      <c r="AT765" s="143"/>
      <c r="AU765" s="114"/>
      <c r="AV765" s="114"/>
      <c r="AW765" s="114"/>
      <c r="AX765" s="114"/>
      <c r="AY765" s="114"/>
      <c r="AZ765" s="114"/>
      <c r="BA765" s="114"/>
      <c r="BB765" s="114"/>
      <c r="BC765" s="114"/>
    </row>
    <row r="766" spans="1:55" ht="15.75" customHeight="1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43"/>
      <c r="M766" s="143"/>
      <c r="N766" s="143"/>
      <c r="O766" s="143"/>
      <c r="P766" s="114"/>
      <c r="Q766" s="114"/>
      <c r="R766" s="114"/>
      <c r="S766" s="143"/>
      <c r="T766" s="114"/>
      <c r="U766" s="114"/>
      <c r="V766" s="114"/>
      <c r="W766" s="114"/>
      <c r="X766" s="114"/>
      <c r="Y766" s="114"/>
      <c r="Z766" s="143"/>
      <c r="AA766" s="114"/>
      <c r="AB766" s="114"/>
      <c r="AC766" s="114"/>
      <c r="AD766" s="143"/>
      <c r="AE766" s="114"/>
      <c r="AF766" s="114"/>
      <c r="AG766" s="143"/>
      <c r="AH766" s="114"/>
      <c r="AI766" s="114"/>
      <c r="AJ766" s="114"/>
      <c r="AK766" s="114"/>
      <c r="AL766" s="114"/>
      <c r="AM766" s="114"/>
      <c r="AN766" s="114"/>
      <c r="AO766" s="114"/>
      <c r="AP766" s="114"/>
      <c r="AQ766" s="114"/>
      <c r="AR766" s="114"/>
      <c r="AS766" s="114"/>
      <c r="AT766" s="143"/>
      <c r="AU766" s="114"/>
      <c r="AV766" s="114"/>
      <c r="AW766" s="114"/>
      <c r="AX766" s="114"/>
      <c r="AY766" s="114"/>
      <c r="AZ766" s="114"/>
      <c r="BA766" s="114"/>
      <c r="BB766" s="114"/>
      <c r="BC766" s="114"/>
    </row>
    <row r="767" spans="1:55" ht="15.75" customHeight="1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43"/>
      <c r="M767" s="143"/>
      <c r="N767" s="143"/>
      <c r="O767" s="143"/>
      <c r="P767" s="114"/>
      <c r="Q767" s="114"/>
      <c r="R767" s="114"/>
      <c r="S767" s="143"/>
      <c r="T767" s="114"/>
      <c r="U767" s="114"/>
      <c r="V767" s="114"/>
      <c r="W767" s="114"/>
      <c r="X767" s="114"/>
      <c r="Y767" s="114"/>
      <c r="Z767" s="143"/>
      <c r="AA767" s="114"/>
      <c r="AB767" s="114"/>
      <c r="AC767" s="114"/>
      <c r="AD767" s="143"/>
      <c r="AE767" s="114"/>
      <c r="AF767" s="114"/>
      <c r="AG767" s="143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43"/>
      <c r="AU767" s="114"/>
      <c r="AV767" s="114"/>
      <c r="AW767" s="114"/>
      <c r="AX767" s="114"/>
      <c r="AY767" s="114"/>
      <c r="AZ767" s="114"/>
      <c r="BA767" s="114"/>
      <c r="BB767" s="114"/>
      <c r="BC767" s="114"/>
    </row>
    <row r="768" spans="1:55" ht="15.75" customHeight="1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43"/>
      <c r="M768" s="143"/>
      <c r="N768" s="143"/>
      <c r="O768" s="143"/>
      <c r="P768" s="114"/>
      <c r="Q768" s="114"/>
      <c r="R768" s="114"/>
      <c r="S768" s="143"/>
      <c r="T768" s="114"/>
      <c r="U768" s="114"/>
      <c r="V768" s="114"/>
      <c r="W768" s="114"/>
      <c r="X768" s="114"/>
      <c r="Y768" s="114"/>
      <c r="Z768" s="143"/>
      <c r="AA768" s="114"/>
      <c r="AB768" s="114"/>
      <c r="AC768" s="114"/>
      <c r="AD768" s="143"/>
      <c r="AE768" s="114"/>
      <c r="AF768" s="114"/>
      <c r="AG768" s="143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43"/>
      <c r="AU768" s="114"/>
      <c r="AV768" s="114"/>
      <c r="AW768" s="114"/>
      <c r="AX768" s="114"/>
      <c r="AY768" s="114"/>
      <c r="AZ768" s="114"/>
      <c r="BA768" s="114"/>
      <c r="BB768" s="114"/>
      <c r="BC768" s="114"/>
    </row>
    <row r="769" spans="1:55" ht="15.75" customHeight="1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43"/>
      <c r="M769" s="143"/>
      <c r="N769" s="143"/>
      <c r="O769" s="143"/>
      <c r="P769" s="114"/>
      <c r="Q769" s="114"/>
      <c r="R769" s="114"/>
      <c r="S769" s="143"/>
      <c r="T769" s="114"/>
      <c r="U769" s="114"/>
      <c r="V769" s="114"/>
      <c r="W769" s="114"/>
      <c r="X769" s="114"/>
      <c r="Y769" s="114"/>
      <c r="Z769" s="143"/>
      <c r="AA769" s="114"/>
      <c r="AB769" s="114"/>
      <c r="AC769" s="114"/>
      <c r="AD769" s="143"/>
      <c r="AE769" s="114"/>
      <c r="AF769" s="114"/>
      <c r="AG769" s="143"/>
      <c r="AH769" s="114"/>
      <c r="AI769" s="114"/>
      <c r="AJ769" s="114"/>
      <c r="AK769" s="114"/>
      <c r="AL769" s="114"/>
      <c r="AM769" s="114"/>
      <c r="AN769" s="114"/>
      <c r="AO769" s="114"/>
      <c r="AP769" s="114"/>
      <c r="AQ769" s="114"/>
      <c r="AR769" s="114"/>
      <c r="AS769" s="114"/>
      <c r="AT769" s="143"/>
      <c r="AU769" s="114"/>
      <c r="AV769" s="114"/>
      <c r="AW769" s="114"/>
      <c r="AX769" s="114"/>
      <c r="AY769" s="114"/>
      <c r="AZ769" s="114"/>
      <c r="BA769" s="114"/>
      <c r="BB769" s="114"/>
      <c r="BC769" s="114"/>
    </row>
    <row r="770" spans="1:55" ht="15.75" customHeight="1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43"/>
      <c r="M770" s="143"/>
      <c r="N770" s="143"/>
      <c r="O770" s="143"/>
      <c r="P770" s="114"/>
      <c r="Q770" s="114"/>
      <c r="R770" s="114"/>
      <c r="S770" s="143"/>
      <c r="T770" s="114"/>
      <c r="U770" s="114"/>
      <c r="V770" s="114"/>
      <c r="W770" s="114"/>
      <c r="X770" s="114"/>
      <c r="Y770" s="114"/>
      <c r="Z770" s="143"/>
      <c r="AA770" s="114"/>
      <c r="AB770" s="114"/>
      <c r="AC770" s="114"/>
      <c r="AD770" s="143"/>
      <c r="AE770" s="114"/>
      <c r="AF770" s="114"/>
      <c r="AG770" s="143"/>
      <c r="AH770" s="114"/>
      <c r="AI770" s="114"/>
      <c r="AJ770" s="114"/>
      <c r="AK770" s="114"/>
      <c r="AL770" s="114"/>
      <c r="AM770" s="114"/>
      <c r="AN770" s="114"/>
      <c r="AO770" s="114"/>
      <c r="AP770" s="114"/>
      <c r="AQ770" s="114"/>
      <c r="AR770" s="114"/>
      <c r="AS770" s="114"/>
      <c r="AT770" s="143"/>
      <c r="AU770" s="114"/>
      <c r="AV770" s="114"/>
      <c r="AW770" s="114"/>
      <c r="AX770" s="114"/>
      <c r="AY770" s="114"/>
      <c r="AZ770" s="114"/>
      <c r="BA770" s="114"/>
      <c r="BB770" s="114"/>
      <c r="BC770" s="114"/>
    </row>
    <row r="771" spans="1:55" ht="15.75" customHeight="1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43"/>
      <c r="M771" s="143"/>
      <c r="N771" s="143"/>
      <c r="O771" s="143"/>
      <c r="P771" s="114"/>
      <c r="Q771" s="114"/>
      <c r="R771" s="114"/>
      <c r="S771" s="143"/>
      <c r="T771" s="114"/>
      <c r="U771" s="114"/>
      <c r="V771" s="114"/>
      <c r="W771" s="114"/>
      <c r="X771" s="114"/>
      <c r="Y771" s="114"/>
      <c r="Z771" s="143"/>
      <c r="AA771" s="114"/>
      <c r="AB771" s="114"/>
      <c r="AC771" s="114"/>
      <c r="AD771" s="143"/>
      <c r="AE771" s="114"/>
      <c r="AF771" s="114"/>
      <c r="AG771" s="143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43"/>
      <c r="AU771" s="114"/>
      <c r="AV771" s="114"/>
      <c r="AW771" s="114"/>
      <c r="AX771" s="114"/>
      <c r="AY771" s="114"/>
      <c r="AZ771" s="114"/>
      <c r="BA771" s="114"/>
      <c r="BB771" s="114"/>
      <c r="BC771" s="114"/>
    </row>
    <row r="772" spans="1:55" ht="15.75" customHeight="1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43"/>
      <c r="M772" s="143"/>
      <c r="N772" s="143"/>
      <c r="O772" s="143"/>
      <c r="P772" s="114"/>
      <c r="Q772" s="114"/>
      <c r="R772" s="114"/>
      <c r="S772" s="143"/>
      <c r="T772" s="114"/>
      <c r="U772" s="114"/>
      <c r="V772" s="114"/>
      <c r="W772" s="114"/>
      <c r="X772" s="114"/>
      <c r="Y772" s="114"/>
      <c r="Z772" s="143"/>
      <c r="AA772" s="114"/>
      <c r="AB772" s="114"/>
      <c r="AC772" s="114"/>
      <c r="AD772" s="143"/>
      <c r="AE772" s="114"/>
      <c r="AF772" s="114"/>
      <c r="AG772" s="143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43"/>
      <c r="AU772" s="114"/>
      <c r="AV772" s="114"/>
      <c r="AW772" s="114"/>
      <c r="AX772" s="114"/>
      <c r="AY772" s="114"/>
      <c r="AZ772" s="114"/>
      <c r="BA772" s="114"/>
      <c r="BB772" s="114"/>
      <c r="BC772" s="114"/>
    </row>
    <row r="773" spans="1:55" ht="15.75" customHeight="1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43"/>
      <c r="M773" s="143"/>
      <c r="N773" s="143"/>
      <c r="O773" s="143"/>
      <c r="P773" s="114"/>
      <c r="Q773" s="114"/>
      <c r="R773" s="114"/>
      <c r="S773" s="143"/>
      <c r="T773" s="114"/>
      <c r="U773" s="114"/>
      <c r="V773" s="114"/>
      <c r="W773" s="114"/>
      <c r="X773" s="114"/>
      <c r="Y773" s="114"/>
      <c r="Z773" s="143"/>
      <c r="AA773" s="114"/>
      <c r="AB773" s="114"/>
      <c r="AC773" s="114"/>
      <c r="AD773" s="143"/>
      <c r="AE773" s="114"/>
      <c r="AF773" s="114"/>
      <c r="AG773" s="143"/>
      <c r="AH773" s="114"/>
      <c r="AI773" s="114"/>
      <c r="AJ773" s="114"/>
      <c r="AK773" s="114"/>
      <c r="AL773" s="114"/>
      <c r="AM773" s="114"/>
      <c r="AN773" s="114"/>
      <c r="AO773" s="114"/>
      <c r="AP773" s="114"/>
      <c r="AQ773" s="114"/>
      <c r="AR773" s="114"/>
      <c r="AS773" s="114"/>
      <c r="AT773" s="143"/>
      <c r="AU773" s="114"/>
      <c r="AV773" s="114"/>
      <c r="AW773" s="114"/>
      <c r="AX773" s="114"/>
      <c r="AY773" s="114"/>
      <c r="AZ773" s="114"/>
      <c r="BA773" s="114"/>
      <c r="BB773" s="114"/>
      <c r="BC773" s="114"/>
    </row>
    <row r="774" spans="1:55" ht="15.75" customHeight="1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43"/>
      <c r="M774" s="143"/>
      <c r="N774" s="143"/>
      <c r="O774" s="143"/>
      <c r="P774" s="114"/>
      <c r="Q774" s="114"/>
      <c r="R774" s="114"/>
      <c r="S774" s="143"/>
      <c r="T774" s="114"/>
      <c r="U774" s="114"/>
      <c r="V774" s="114"/>
      <c r="W774" s="114"/>
      <c r="X774" s="114"/>
      <c r="Y774" s="114"/>
      <c r="Z774" s="143"/>
      <c r="AA774" s="114"/>
      <c r="AB774" s="114"/>
      <c r="AC774" s="114"/>
      <c r="AD774" s="143"/>
      <c r="AE774" s="114"/>
      <c r="AF774" s="114"/>
      <c r="AG774" s="143"/>
      <c r="AH774" s="114"/>
      <c r="AI774" s="114"/>
      <c r="AJ774" s="114"/>
      <c r="AK774" s="114"/>
      <c r="AL774" s="114"/>
      <c r="AM774" s="114"/>
      <c r="AN774" s="114"/>
      <c r="AO774" s="114"/>
      <c r="AP774" s="114"/>
      <c r="AQ774" s="114"/>
      <c r="AR774" s="114"/>
      <c r="AS774" s="114"/>
      <c r="AT774" s="143"/>
      <c r="AU774" s="114"/>
      <c r="AV774" s="114"/>
      <c r="AW774" s="114"/>
      <c r="AX774" s="114"/>
      <c r="AY774" s="114"/>
      <c r="AZ774" s="114"/>
      <c r="BA774" s="114"/>
      <c r="BB774" s="114"/>
      <c r="BC774" s="114"/>
    </row>
    <row r="775" spans="1:55" ht="15.75" customHeight="1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43"/>
      <c r="M775" s="143"/>
      <c r="N775" s="143"/>
      <c r="O775" s="143"/>
      <c r="P775" s="114"/>
      <c r="Q775" s="114"/>
      <c r="R775" s="114"/>
      <c r="S775" s="143"/>
      <c r="T775" s="114"/>
      <c r="U775" s="114"/>
      <c r="V775" s="114"/>
      <c r="W775" s="114"/>
      <c r="X775" s="114"/>
      <c r="Y775" s="114"/>
      <c r="Z775" s="143"/>
      <c r="AA775" s="114"/>
      <c r="AB775" s="114"/>
      <c r="AC775" s="114"/>
      <c r="AD775" s="143"/>
      <c r="AE775" s="114"/>
      <c r="AF775" s="114"/>
      <c r="AG775" s="143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43"/>
      <c r="AU775" s="114"/>
      <c r="AV775" s="114"/>
      <c r="AW775" s="114"/>
      <c r="AX775" s="114"/>
      <c r="AY775" s="114"/>
      <c r="AZ775" s="114"/>
      <c r="BA775" s="114"/>
      <c r="BB775" s="114"/>
      <c r="BC775" s="114"/>
    </row>
    <row r="776" spans="1:55" ht="15.75" customHeight="1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43"/>
      <c r="M776" s="143"/>
      <c r="N776" s="143"/>
      <c r="O776" s="143"/>
      <c r="P776" s="114"/>
      <c r="Q776" s="114"/>
      <c r="R776" s="114"/>
      <c r="S776" s="143"/>
      <c r="T776" s="114"/>
      <c r="U776" s="114"/>
      <c r="V776" s="114"/>
      <c r="W776" s="114"/>
      <c r="X776" s="114"/>
      <c r="Y776" s="114"/>
      <c r="Z776" s="143"/>
      <c r="AA776" s="114"/>
      <c r="AB776" s="114"/>
      <c r="AC776" s="114"/>
      <c r="AD776" s="143"/>
      <c r="AE776" s="114"/>
      <c r="AF776" s="114"/>
      <c r="AG776" s="143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43"/>
      <c r="AU776" s="114"/>
      <c r="AV776" s="114"/>
      <c r="AW776" s="114"/>
      <c r="AX776" s="114"/>
      <c r="AY776" s="114"/>
      <c r="AZ776" s="114"/>
      <c r="BA776" s="114"/>
      <c r="BB776" s="114"/>
      <c r="BC776" s="114"/>
    </row>
    <row r="777" spans="1:55" ht="15.75" customHeight="1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43"/>
      <c r="M777" s="143"/>
      <c r="N777" s="143"/>
      <c r="O777" s="143"/>
      <c r="P777" s="114"/>
      <c r="Q777" s="114"/>
      <c r="R777" s="114"/>
      <c r="S777" s="143"/>
      <c r="T777" s="114"/>
      <c r="U777" s="114"/>
      <c r="V777" s="114"/>
      <c r="W777" s="114"/>
      <c r="X777" s="114"/>
      <c r="Y777" s="114"/>
      <c r="Z777" s="143"/>
      <c r="AA777" s="114"/>
      <c r="AB777" s="114"/>
      <c r="AC777" s="114"/>
      <c r="AD777" s="143"/>
      <c r="AE777" s="114"/>
      <c r="AF777" s="114"/>
      <c r="AG777" s="143"/>
      <c r="AH777" s="114"/>
      <c r="AI777" s="114"/>
      <c r="AJ777" s="114"/>
      <c r="AK777" s="114"/>
      <c r="AL777" s="114"/>
      <c r="AM777" s="114"/>
      <c r="AN777" s="114"/>
      <c r="AO777" s="114"/>
      <c r="AP777" s="114"/>
      <c r="AQ777" s="114"/>
      <c r="AR777" s="114"/>
      <c r="AS777" s="114"/>
      <c r="AT777" s="143"/>
      <c r="AU777" s="114"/>
      <c r="AV777" s="114"/>
      <c r="AW777" s="114"/>
      <c r="AX777" s="114"/>
      <c r="AY777" s="114"/>
      <c r="AZ777" s="114"/>
      <c r="BA777" s="114"/>
      <c r="BB777" s="114"/>
      <c r="BC777" s="114"/>
    </row>
    <row r="778" spans="1:55" ht="15.75" customHeight="1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43"/>
      <c r="M778" s="143"/>
      <c r="N778" s="143"/>
      <c r="O778" s="143"/>
      <c r="P778" s="114"/>
      <c r="Q778" s="114"/>
      <c r="R778" s="114"/>
      <c r="S778" s="143"/>
      <c r="T778" s="114"/>
      <c r="U778" s="114"/>
      <c r="V778" s="114"/>
      <c r="W778" s="114"/>
      <c r="X778" s="114"/>
      <c r="Y778" s="114"/>
      <c r="Z778" s="143"/>
      <c r="AA778" s="114"/>
      <c r="AB778" s="114"/>
      <c r="AC778" s="114"/>
      <c r="AD778" s="143"/>
      <c r="AE778" s="114"/>
      <c r="AF778" s="114"/>
      <c r="AG778" s="143"/>
      <c r="AH778" s="114"/>
      <c r="AI778" s="114"/>
      <c r="AJ778" s="114"/>
      <c r="AK778" s="114"/>
      <c r="AL778" s="114"/>
      <c r="AM778" s="114"/>
      <c r="AN778" s="114"/>
      <c r="AO778" s="114"/>
      <c r="AP778" s="114"/>
      <c r="AQ778" s="114"/>
      <c r="AR778" s="114"/>
      <c r="AS778" s="114"/>
      <c r="AT778" s="143"/>
      <c r="AU778" s="114"/>
      <c r="AV778" s="114"/>
      <c r="AW778" s="114"/>
      <c r="AX778" s="114"/>
      <c r="AY778" s="114"/>
      <c r="AZ778" s="114"/>
      <c r="BA778" s="114"/>
      <c r="BB778" s="114"/>
      <c r="BC778" s="114"/>
    </row>
    <row r="779" spans="1:55" ht="15.75" customHeight="1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43"/>
      <c r="M779" s="143"/>
      <c r="N779" s="143"/>
      <c r="O779" s="143"/>
      <c r="P779" s="114"/>
      <c r="Q779" s="114"/>
      <c r="R779" s="114"/>
      <c r="S779" s="143"/>
      <c r="T779" s="114"/>
      <c r="U779" s="114"/>
      <c r="V779" s="114"/>
      <c r="W779" s="114"/>
      <c r="X779" s="114"/>
      <c r="Y779" s="114"/>
      <c r="Z779" s="143"/>
      <c r="AA779" s="114"/>
      <c r="AB779" s="114"/>
      <c r="AC779" s="114"/>
      <c r="AD779" s="143"/>
      <c r="AE779" s="114"/>
      <c r="AF779" s="114"/>
      <c r="AG779" s="143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43"/>
      <c r="AU779" s="114"/>
      <c r="AV779" s="114"/>
      <c r="AW779" s="114"/>
      <c r="AX779" s="114"/>
      <c r="AY779" s="114"/>
      <c r="AZ779" s="114"/>
      <c r="BA779" s="114"/>
      <c r="BB779" s="114"/>
      <c r="BC779" s="114"/>
    </row>
    <row r="780" spans="1:55" ht="15.75" customHeight="1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43"/>
      <c r="M780" s="143"/>
      <c r="N780" s="143"/>
      <c r="O780" s="143"/>
      <c r="P780" s="114"/>
      <c r="Q780" s="114"/>
      <c r="R780" s="114"/>
      <c r="S780" s="143"/>
      <c r="T780" s="114"/>
      <c r="U780" s="114"/>
      <c r="V780" s="114"/>
      <c r="W780" s="114"/>
      <c r="X780" s="114"/>
      <c r="Y780" s="114"/>
      <c r="Z780" s="143"/>
      <c r="AA780" s="114"/>
      <c r="AB780" s="114"/>
      <c r="AC780" s="114"/>
      <c r="AD780" s="143"/>
      <c r="AE780" s="114"/>
      <c r="AF780" s="114"/>
      <c r="AG780" s="143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43"/>
      <c r="AU780" s="114"/>
      <c r="AV780" s="114"/>
      <c r="AW780" s="114"/>
      <c r="AX780" s="114"/>
      <c r="AY780" s="114"/>
      <c r="AZ780" s="114"/>
      <c r="BA780" s="114"/>
      <c r="BB780" s="114"/>
      <c r="BC780" s="114"/>
    </row>
    <row r="781" spans="1:55" ht="15.75" customHeight="1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43"/>
      <c r="M781" s="143"/>
      <c r="N781" s="143"/>
      <c r="O781" s="143"/>
      <c r="P781" s="114"/>
      <c r="Q781" s="114"/>
      <c r="R781" s="114"/>
      <c r="S781" s="143"/>
      <c r="T781" s="114"/>
      <c r="U781" s="114"/>
      <c r="V781" s="114"/>
      <c r="W781" s="114"/>
      <c r="X781" s="114"/>
      <c r="Y781" s="114"/>
      <c r="Z781" s="143"/>
      <c r="AA781" s="114"/>
      <c r="AB781" s="114"/>
      <c r="AC781" s="114"/>
      <c r="AD781" s="143"/>
      <c r="AE781" s="114"/>
      <c r="AF781" s="114"/>
      <c r="AG781" s="143"/>
      <c r="AH781" s="114"/>
      <c r="AI781" s="114"/>
      <c r="AJ781" s="114"/>
      <c r="AK781" s="114"/>
      <c r="AL781" s="114"/>
      <c r="AM781" s="114"/>
      <c r="AN781" s="114"/>
      <c r="AO781" s="114"/>
      <c r="AP781" s="114"/>
      <c r="AQ781" s="114"/>
      <c r="AR781" s="114"/>
      <c r="AS781" s="114"/>
      <c r="AT781" s="143"/>
      <c r="AU781" s="114"/>
      <c r="AV781" s="114"/>
      <c r="AW781" s="114"/>
      <c r="AX781" s="114"/>
      <c r="AY781" s="114"/>
      <c r="AZ781" s="114"/>
      <c r="BA781" s="114"/>
      <c r="BB781" s="114"/>
      <c r="BC781" s="114"/>
    </row>
    <row r="782" spans="1:55" ht="15.75" customHeight="1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43"/>
      <c r="M782" s="143"/>
      <c r="N782" s="143"/>
      <c r="O782" s="143"/>
      <c r="P782" s="114"/>
      <c r="Q782" s="114"/>
      <c r="R782" s="114"/>
      <c r="S782" s="143"/>
      <c r="T782" s="114"/>
      <c r="U782" s="114"/>
      <c r="V782" s="114"/>
      <c r="W782" s="114"/>
      <c r="X782" s="114"/>
      <c r="Y782" s="114"/>
      <c r="Z782" s="143"/>
      <c r="AA782" s="114"/>
      <c r="AB782" s="114"/>
      <c r="AC782" s="114"/>
      <c r="AD782" s="143"/>
      <c r="AE782" s="114"/>
      <c r="AF782" s="114"/>
      <c r="AG782" s="143"/>
      <c r="AH782" s="114"/>
      <c r="AI782" s="114"/>
      <c r="AJ782" s="114"/>
      <c r="AK782" s="114"/>
      <c r="AL782" s="114"/>
      <c r="AM782" s="114"/>
      <c r="AN782" s="114"/>
      <c r="AO782" s="114"/>
      <c r="AP782" s="114"/>
      <c r="AQ782" s="114"/>
      <c r="AR782" s="114"/>
      <c r="AS782" s="114"/>
      <c r="AT782" s="143"/>
      <c r="AU782" s="114"/>
      <c r="AV782" s="114"/>
      <c r="AW782" s="114"/>
      <c r="AX782" s="114"/>
      <c r="AY782" s="114"/>
      <c r="AZ782" s="114"/>
      <c r="BA782" s="114"/>
      <c r="BB782" s="114"/>
      <c r="BC782" s="114"/>
    </row>
    <row r="783" spans="1:55" ht="15.75" customHeight="1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43"/>
      <c r="M783" s="143"/>
      <c r="N783" s="143"/>
      <c r="O783" s="143"/>
      <c r="P783" s="114"/>
      <c r="Q783" s="114"/>
      <c r="R783" s="114"/>
      <c r="S783" s="143"/>
      <c r="T783" s="114"/>
      <c r="U783" s="114"/>
      <c r="V783" s="114"/>
      <c r="W783" s="114"/>
      <c r="X783" s="114"/>
      <c r="Y783" s="114"/>
      <c r="Z783" s="143"/>
      <c r="AA783" s="114"/>
      <c r="AB783" s="114"/>
      <c r="AC783" s="114"/>
      <c r="AD783" s="143"/>
      <c r="AE783" s="114"/>
      <c r="AF783" s="114"/>
      <c r="AG783" s="143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43"/>
      <c r="AU783" s="114"/>
      <c r="AV783" s="114"/>
      <c r="AW783" s="114"/>
      <c r="AX783" s="114"/>
      <c r="AY783" s="114"/>
      <c r="AZ783" s="114"/>
      <c r="BA783" s="114"/>
      <c r="BB783" s="114"/>
      <c r="BC783" s="114"/>
    </row>
    <row r="784" spans="1:55" ht="15.75" customHeight="1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43"/>
      <c r="M784" s="143"/>
      <c r="N784" s="143"/>
      <c r="O784" s="143"/>
      <c r="P784" s="114"/>
      <c r="Q784" s="114"/>
      <c r="R784" s="114"/>
      <c r="S784" s="143"/>
      <c r="T784" s="114"/>
      <c r="U784" s="114"/>
      <c r="V784" s="114"/>
      <c r="W784" s="114"/>
      <c r="X784" s="114"/>
      <c r="Y784" s="114"/>
      <c r="Z784" s="143"/>
      <c r="AA784" s="114"/>
      <c r="AB784" s="114"/>
      <c r="AC784" s="114"/>
      <c r="AD784" s="143"/>
      <c r="AE784" s="114"/>
      <c r="AF784" s="114"/>
      <c r="AG784" s="143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43"/>
      <c r="AU784" s="114"/>
      <c r="AV784" s="114"/>
      <c r="AW784" s="114"/>
      <c r="AX784" s="114"/>
      <c r="AY784" s="114"/>
      <c r="AZ784" s="114"/>
      <c r="BA784" s="114"/>
      <c r="BB784" s="114"/>
      <c r="BC784" s="114"/>
    </row>
    <row r="785" spans="1:55" ht="15.75" customHeight="1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43"/>
      <c r="M785" s="143"/>
      <c r="N785" s="143"/>
      <c r="O785" s="143"/>
      <c r="P785" s="114"/>
      <c r="Q785" s="114"/>
      <c r="R785" s="114"/>
      <c r="S785" s="143"/>
      <c r="T785" s="114"/>
      <c r="U785" s="114"/>
      <c r="V785" s="114"/>
      <c r="W785" s="114"/>
      <c r="X785" s="114"/>
      <c r="Y785" s="114"/>
      <c r="Z785" s="143"/>
      <c r="AA785" s="114"/>
      <c r="AB785" s="114"/>
      <c r="AC785" s="114"/>
      <c r="AD785" s="143"/>
      <c r="AE785" s="114"/>
      <c r="AF785" s="114"/>
      <c r="AG785" s="143"/>
      <c r="AH785" s="114"/>
      <c r="AI785" s="114"/>
      <c r="AJ785" s="114"/>
      <c r="AK785" s="114"/>
      <c r="AL785" s="114"/>
      <c r="AM785" s="114"/>
      <c r="AN785" s="114"/>
      <c r="AO785" s="114"/>
      <c r="AP785" s="114"/>
      <c r="AQ785" s="114"/>
      <c r="AR785" s="114"/>
      <c r="AS785" s="114"/>
      <c r="AT785" s="143"/>
      <c r="AU785" s="114"/>
      <c r="AV785" s="114"/>
      <c r="AW785" s="114"/>
      <c r="AX785" s="114"/>
      <c r="AY785" s="114"/>
      <c r="AZ785" s="114"/>
      <c r="BA785" s="114"/>
      <c r="BB785" s="114"/>
      <c r="BC785" s="114"/>
    </row>
    <row r="786" spans="1:55" ht="15.75" customHeight="1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43"/>
      <c r="M786" s="143"/>
      <c r="N786" s="143"/>
      <c r="O786" s="143"/>
      <c r="P786" s="114"/>
      <c r="Q786" s="114"/>
      <c r="R786" s="114"/>
      <c r="S786" s="143"/>
      <c r="T786" s="114"/>
      <c r="U786" s="114"/>
      <c r="V786" s="114"/>
      <c r="W786" s="114"/>
      <c r="X786" s="114"/>
      <c r="Y786" s="114"/>
      <c r="Z786" s="143"/>
      <c r="AA786" s="114"/>
      <c r="AB786" s="114"/>
      <c r="AC786" s="114"/>
      <c r="AD786" s="143"/>
      <c r="AE786" s="114"/>
      <c r="AF786" s="114"/>
      <c r="AG786" s="143"/>
      <c r="AH786" s="114"/>
      <c r="AI786" s="114"/>
      <c r="AJ786" s="114"/>
      <c r="AK786" s="114"/>
      <c r="AL786" s="114"/>
      <c r="AM786" s="114"/>
      <c r="AN786" s="114"/>
      <c r="AO786" s="114"/>
      <c r="AP786" s="114"/>
      <c r="AQ786" s="114"/>
      <c r="AR786" s="114"/>
      <c r="AS786" s="114"/>
      <c r="AT786" s="143"/>
      <c r="AU786" s="114"/>
      <c r="AV786" s="114"/>
      <c r="AW786" s="114"/>
      <c r="AX786" s="114"/>
      <c r="AY786" s="114"/>
      <c r="AZ786" s="114"/>
      <c r="BA786" s="114"/>
      <c r="BB786" s="114"/>
      <c r="BC786" s="114"/>
    </row>
    <row r="787" spans="1:55" ht="15.75" customHeight="1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43"/>
      <c r="M787" s="143"/>
      <c r="N787" s="143"/>
      <c r="O787" s="143"/>
      <c r="P787" s="114"/>
      <c r="Q787" s="114"/>
      <c r="R787" s="114"/>
      <c r="S787" s="143"/>
      <c r="T787" s="114"/>
      <c r="U787" s="114"/>
      <c r="V787" s="114"/>
      <c r="W787" s="114"/>
      <c r="X787" s="114"/>
      <c r="Y787" s="114"/>
      <c r="Z787" s="143"/>
      <c r="AA787" s="114"/>
      <c r="AB787" s="114"/>
      <c r="AC787" s="114"/>
      <c r="AD787" s="143"/>
      <c r="AE787" s="114"/>
      <c r="AF787" s="114"/>
      <c r="AG787" s="143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43"/>
      <c r="AU787" s="114"/>
      <c r="AV787" s="114"/>
      <c r="AW787" s="114"/>
      <c r="AX787" s="114"/>
      <c r="AY787" s="114"/>
      <c r="AZ787" s="114"/>
      <c r="BA787" s="114"/>
      <c r="BB787" s="114"/>
      <c r="BC787" s="114"/>
    </row>
    <row r="788" spans="1:55" ht="15.75" customHeight="1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43"/>
      <c r="M788" s="143"/>
      <c r="N788" s="143"/>
      <c r="O788" s="143"/>
      <c r="P788" s="114"/>
      <c r="Q788" s="114"/>
      <c r="R788" s="114"/>
      <c r="S788" s="143"/>
      <c r="T788" s="114"/>
      <c r="U788" s="114"/>
      <c r="V788" s="114"/>
      <c r="W788" s="114"/>
      <c r="X788" s="114"/>
      <c r="Y788" s="114"/>
      <c r="Z788" s="143"/>
      <c r="AA788" s="114"/>
      <c r="AB788" s="114"/>
      <c r="AC788" s="114"/>
      <c r="AD788" s="143"/>
      <c r="AE788" s="114"/>
      <c r="AF788" s="114"/>
      <c r="AG788" s="143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43"/>
      <c r="AU788" s="114"/>
      <c r="AV788" s="114"/>
      <c r="AW788" s="114"/>
      <c r="AX788" s="114"/>
      <c r="AY788" s="114"/>
      <c r="AZ788" s="114"/>
      <c r="BA788" s="114"/>
      <c r="BB788" s="114"/>
      <c r="BC788" s="114"/>
    </row>
    <row r="789" spans="1:55" ht="15.75" customHeight="1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43"/>
      <c r="M789" s="143"/>
      <c r="N789" s="143"/>
      <c r="O789" s="143"/>
      <c r="P789" s="114"/>
      <c r="Q789" s="114"/>
      <c r="R789" s="114"/>
      <c r="S789" s="143"/>
      <c r="T789" s="114"/>
      <c r="U789" s="114"/>
      <c r="V789" s="114"/>
      <c r="W789" s="114"/>
      <c r="X789" s="114"/>
      <c r="Y789" s="114"/>
      <c r="Z789" s="143"/>
      <c r="AA789" s="114"/>
      <c r="AB789" s="114"/>
      <c r="AC789" s="114"/>
      <c r="AD789" s="143"/>
      <c r="AE789" s="114"/>
      <c r="AF789" s="114"/>
      <c r="AG789" s="143"/>
      <c r="AH789" s="114"/>
      <c r="AI789" s="114"/>
      <c r="AJ789" s="114"/>
      <c r="AK789" s="114"/>
      <c r="AL789" s="114"/>
      <c r="AM789" s="114"/>
      <c r="AN789" s="114"/>
      <c r="AO789" s="114"/>
      <c r="AP789" s="114"/>
      <c r="AQ789" s="114"/>
      <c r="AR789" s="114"/>
      <c r="AS789" s="114"/>
      <c r="AT789" s="143"/>
      <c r="AU789" s="114"/>
      <c r="AV789" s="114"/>
      <c r="AW789" s="114"/>
      <c r="AX789" s="114"/>
      <c r="AY789" s="114"/>
      <c r="AZ789" s="114"/>
      <c r="BA789" s="114"/>
      <c r="BB789" s="114"/>
      <c r="BC789" s="114"/>
    </row>
    <row r="790" spans="1:55" ht="15.75" customHeight="1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43"/>
      <c r="M790" s="143"/>
      <c r="N790" s="143"/>
      <c r="O790" s="143"/>
      <c r="P790" s="114"/>
      <c r="Q790" s="114"/>
      <c r="R790" s="114"/>
      <c r="S790" s="143"/>
      <c r="T790" s="114"/>
      <c r="U790" s="114"/>
      <c r="V790" s="114"/>
      <c r="W790" s="114"/>
      <c r="X790" s="114"/>
      <c r="Y790" s="114"/>
      <c r="Z790" s="143"/>
      <c r="AA790" s="114"/>
      <c r="AB790" s="114"/>
      <c r="AC790" s="114"/>
      <c r="AD790" s="143"/>
      <c r="AE790" s="114"/>
      <c r="AF790" s="114"/>
      <c r="AG790" s="143"/>
      <c r="AH790" s="114"/>
      <c r="AI790" s="114"/>
      <c r="AJ790" s="114"/>
      <c r="AK790" s="114"/>
      <c r="AL790" s="114"/>
      <c r="AM790" s="114"/>
      <c r="AN790" s="114"/>
      <c r="AO790" s="114"/>
      <c r="AP790" s="114"/>
      <c r="AQ790" s="114"/>
      <c r="AR790" s="114"/>
      <c r="AS790" s="114"/>
      <c r="AT790" s="143"/>
      <c r="AU790" s="114"/>
      <c r="AV790" s="114"/>
      <c r="AW790" s="114"/>
      <c r="AX790" s="114"/>
      <c r="AY790" s="114"/>
      <c r="AZ790" s="114"/>
      <c r="BA790" s="114"/>
      <c r="BB790" s="114"/>
      <c r="BC790" s="114"/>
    </row>
    <row r="791" spans="1:55" ht="15.75" customHeight="1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43"/>
      <c r="M791" s="143"/>
      <c r="N791" s="143"/>
      <c r="O791" s="143"/>
      <c r="P791" s="114"/>
      <c r="Q791" s="114"/>
      <c r="R791" s="114"/>
      <c r="S791" s="143"/>
      <c r="T791" s="114"/>
      <c r="U791" s="114"/>
      <c r="V791" s="114"/>
      <c r="W791" s="114"/>
      <c r="X791" s="114"/>
      <c r="Y791" s="114"/>
      <c r="Z791" s="143"/>
      <c r="AA791" s="114"/>
      <c r="AB791" s="114"/>
      <c r="AC791" s="114"/>
      <c r="AD791" s="143"/>
      <c r="AE791" s="114"/>
      <c r="AF791" s="114"/>
      <c r="AG791" s="143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43"/>
      <c r="AU791" s="114"/>
      <c r="AV791" s="114"/>
      <c r="AW791" s="114"/>
      <c r="AX791" s="114"/>
      <c r="AY791" s="114"/>
      <c r="AZ791" s="114"/>
      <c r="BA791" s="114"/>
      <c r="BB791" s="114"/>
      <c r="BC791" s="114"/>
    </row>
    <row r="792" spans="1:55" ht="15.75" customHeight="1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43"/>
      <c r="M792" s="143"/>
      <c r="N792" s="143"/>
      <c r="O792" s="143"/>
      <c r="P792" s="114"/>
      <c r="Q792" s="114"/>
      <c r="R792" s="114"/>
      <c r="S792" s="143"/>
      <c r="T792" s="114"/>
      <c r="U792" s="114"/>
      <c r="V792" s="114"/>
      <c r="W792" s="114"/>
      <c r="X792" s="114"/>
      <c r="Y792" s="114"/>
      <c r="Z792" s="143"/>
      <c r="AA792" s="114"/>
      <c r="AB792" s="114"/>
      <c r="AC792" s="114"/>
      <c r="AD792" s="143"/>
      <c r="AE792" s="114"/>
      <c r="AF792" s="114"/>
      <c r="AG792" s="143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43"/>
      <c r="AU792" s="114"/>
      <c r="AV792" s="114"/>
      <c r="AW792" s="114"/>
      <c r="AX792" s="114"/>
      <c r="AY792" s="114"/>
      <c r="AZ792" s="114"/>
      <c r="BA792" s="114"/>
      <c r="BB792" s="114"/>
      <c r="BC792" s="114"/>
    </row>
    <row r="793" spans="1:55" ht="15.75" customHeight="1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43"/>
      <c r="M793" s="143"/>
      <c r="N793" s="143"/>
      <c r="O793" s="143"/>
      <c r="P793" s="114"/>
      <c r="Q793" s="114"/>
      <c r="R793" s="114"/>
      <c r="S793" s="143"/>
      <c r="T793" s="114"/>
      <c r="U793" s="114"/>
      <c r="V793" s="114"/>
      <c r="W793" s="114"/>
      <c r="X793" s="114"/>
      <c r="Y793" s="114"/>
      <c r="Z793" s="143"/>
      <c r="AA793" s="114"/>
      <c r="AB793" s="114"/>
      <c r="AC793" s="114"/>
      <c r="AD793" s="143"/>
      <c r="AE793" s="114"/>
      <c r="AF793" s="114"/>
      <c r="AG793" s="143"/>
      <c r="AH793" s="114"/>
      <c r="AI793" s="114"/>
      <c r="AJ793" s="114"/>
      <c r="AK793" s="114"/>
      <c r="AL793" s="114"/>
      <c r="AM793" s="114"/>
      <c r="AN793" s="114"/>
      <c r="AO793" s="114"/>
      <c r="AP793" s="114"/>
      <c r="AQ793" s="114"/>
      <c r="AR793" s="114"/>
      <c r="AS793" s="114"/>
      <c r="AT793" s="143"/>
      <c r="AU793" s="114"/>
      <c r="AV793" s="114"/>
      <c r="AW793" s="114"/>
      <c r="AX793" s="114"/>
      <c r="AY793" s="114"/>
      <c r="AZ793" s="114"/>
      <c r="BA793" s="114"/>
      <c r="BB793" s="114"/>
      <c r="BC793" s="114"/>
    </row>
    <row r="794" spans="1:55" ht="15.75" customHeight="1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43"/>
      <c r="M794" s="143"/>
      <c r="N794" s="143"/>
      <c r="O794" s="143"/>
      <c r="P794" s="114"/>
      <c r="Q794" s="114"/>
      <c r="R794" s="114"/>
      <c r="S794" s="143"/>
      <c r="T794" s="114"/>
      <c r="U794" s="114"/>
      <c r="V794" s="114"/>
      <c r="W794" s="114"/>
      <c r="X794" s="114"/>
      <c r="Y794" s="114"/>
      <c r="Z794" s="143"/>
      <c r="AA794" s="114"/>
      <c r="AB794" s="114"/>
      <c r="AC794" s="114"/>
      <c r="AD794" s="143"/>
      <c r="AE794" s="114"/>
      <c r="AF794" s="114"/>
      <c r="AG794" s="143"/>
      <c r="AH794" s="114"/>
      <c r="AI794" s="114"/>
      <c r="AJ794" s="114"/>
      <c r="AK794" s="114"/>
      <c r="AL794" s="114"/>
      <c r="AM794" s="114"/>
      <c r="AN794" s="114"/>
      <c r="AO794" s="114"/>
      <c r="AP794" s="114"/>
      <c r="AQ794" s="114"/>
      <c r="AR794" s="114"/>
      <c r="AS794" s="114"/>
      <c r="AT794" s="143"/>
      <c r="AU794" s="114"/>
      <c r="AV794" s="114"/>
      <c r="AW794" s="114"/>
      <c r="AX794" s="114"/>
      <c r="AY794" s="114"/>
      <c r="AZ794" s="114"/>
      <c r="BA794" s="114"/>
      <c r="BB794" s="114"/>
      <c r="BC794" s="114"/>
    </row>
    <row r="795" spans="1:55" ht="15.75" customHeight="1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43"/>
      <c r="M795" s="143"/>
      <c r="N795" s="143"/>
      <c r="O795" s="143"/>
      <c r="P795" s="114"/>
      <c r="Q795" s="114"/>
      <c r="R795" s="114"/>
      <c r="S795" s="143"/>
      <c r="T795" s="114"/>
      <c r="U795" s="114"/>
      <c r="V795" s="114"/>
      <c r="W795" s="114"/>
      <c r="X795" s="114"/>
      <c r="Y795" s="114"/>
      <c r="Z795" s="143"/>
      <c r="AA795" s="114"/>
      <c r="AB795" s="114"/>
      <c r="AC795" s="114"/>
      <c r="AD795" s="143"/>
      <c r="AE795" s="114"/>
      <c r="AF795" s="114"/>
      <c r="AG795" s="143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43"/>
      <c r="AU795" s="114"/>
      <c r="AV795" s="114"/>
      <c r="AW795" s="114"/>
      <c r="AX795" s="114"/>
      <c r="AY795" s="114"/>
      <c r="AZ795" s="114"/>
      <c r="BA795" s="114"/>
      <c r="BB795" s="114"/>
      <c r="BC795" s="114"/>
    </row>
    <row r="796" spans="1:55" ht="15.75" customHeight="1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43"/>
      <c r="M796" s="143"/>
      <c r="N796" s="143"/>
      <c r="O796" s="143"/>
      <c r="P796" s="114"/>
      <c r="Q796" s="114"/>
      <c r="R796" s="114"/>
      <c r="S796" s="143"/>
      <c r="T796" s="114"/>
      <c r="U796" s="114"/>
      <c r="V796" s="114"/>
      <c r="W796" s="114"/>
      <c r="X796" s="114"/>
      <c r="Y796" s="114"/>
      <c r="Z796" s="143"/>
      <c r="AA796" s="114"/>
      <c r="AB796" s="114"/>
      <c r="AC796" s="114"/>
      <c r="AD796" s="143"/>
      <c r="AE796" s="114"/>
      <c r="AF796" s="114"/>
      <c r="AG796" s="143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43"/>
      <c r="AU796" s="114"/>
      <c r="AV796" s="114"/>
      <c r="AW796" s="114"/>
      <c r="AX796" s="114"/>
      <c r="AY796" s="114"/>
      <c r="AZ796" s="114"/>
      <c r="BA796" s="114"/>
      <c r="BB796" s="114"/>
      <c r="BC796" s="114"/>
    </row>
    <row r="797" spans="1:55" ht="15.75" customHeight="1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43"/>
      <c r="M797" s="143"/>
      <c r="N797" s="143"/>
      <c r="O797" s="143"/>
      <c r="P797" s="114"/>
      <c r="Q797" s="114"/>
      <c r="R797" s="114"/>
      <c r="S797" s="143"/>
      <c r="T797" s="114"/>
      <c r="U797" s="114"/>
      <c r="V797" s="114"/>
      <c r="W797" s="114"/>
      <c r="X797" s="114"/>
      <c r="Y797" s="114"/>
      <c r="Z797" s="143"/>
      <c r="AA797" s="114"/>
      <c r="AB797" s="114"/>
      <c r="AC797" s="114"/>
      <c r="AD797" s="143"/>
      <c r="AE797" s="114"/>
      <c r="AF797" s="114"/>
      <c r="AG797" s="143"/>
      <c r="AH797" s="114"/>
      <c r="AI797" s="114"/>
      <c r="AJ797" s="114"/>
      <c r="AK797" s="114"/>
      <c r="AL797" s="114"/>
      <c r="AM797" s="114"/>
      <c r="AN797" s="114"/>
      <c r="AO797" s="114"/>
      <c r="AP797" s="114"/>
      <c r="AQ797" s="114"/>
      <c r="AR797" s="114"/>
      <c r="AS797" s="114"/>
      <c r="AT797" s="143"/>
      <c r="AU797" s="114"/>
      <c r="AV797" s="114"/>
      <c r="AW797" s="114"/>
      <c r="AX797" s="114"/>
      <c r="AY797" s="114"/>
      <c r="AZ797" s="114"/>
      <c r="BA797" s="114"/>
      <c r="BB797" s="114"/>
      <c r="BC797" s="114"/>
    </row>
    <row r="798" spans="1:55" ht="15.75" customHeight="1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43"/>
      <c r="M798" s="143"/>
      <c r="N798" s="143"/>
      <c r="O798" s="143"/>
      <c r="P798" s="114"/>
      <c r="Q798" s="114"/>
      <c r="R798" s="114"/>
      <c r="S798" s="143"/>
      <c r="T798" s="114"/>
      <c r="U798" s="114"/>
      <c r="V798" s="114"/>
      <c r="W798" s="114"/>
      <c r="X798" s="114"/>
      <c r="Y798" s="114"/>
      <c r="Z798" s="143"/>
      <c r="AA798" s="114"/>
      <c r="AB798" s="114"/>
      <c r="AC798" s="114"/>
      <c r="AD798" s="143"/>
      <c r="AE798" s="114"/>
      <c r="AF798" s="114"/>
      <c r="AG798" s="143"/>
      <c r="AH798" s="114"/>
      <c r="AI798" s="114"/>
      <c r="AJ798" s="114"/>
      <c r="AK798" s="114"/>
      <c r="AL798" s="114"/>
      <c r="AM798" s="114"/>
      <c r="AN798" s="114"/>
      <c r="AO798" s="114"/>
      <c r="AP798" s="114"/>
      <c r="AQ798" s="114"/>
      <c r="AR798" s="114"/>
      <c r="AS798" s="114"/>
      <c r="AT798" s="143"/>
      <c r="AU798" s="114"/>
      <c r="AV798" s="114"/>
      <c r="AW798" s="114"/>
      <c r="AX798" s="114"/>
      <c r="AY798" s="114"/>
      <c r="AZ798" s="114"/>
      <c r="BA798" s="114"/>
      <c r="BB798" s="114"/>
      <c r="BC798" s="114"/>
    </row>
    <row r="799" spans="1:55" ht="15.75" customHeight="1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43"/>
      <c r="M799" s="143"/>
      <c r="N799" s="143"/>
      <c r="O799" s="143"/>
      <c r="P799" s="114"/>
      <c r="Q799" s="114"/>
      <c r="R799" s="114"/>
      <c r="S799" s="143"/>
      <c r="T799" s="114"/>
      <c r="U799" s="114"/>
      <c r="V799" s="114"/>
      <c r="W799" s="114"/>
      <c r="X799" s="114"/>
      <c r="Y799" s="114"/>
      <c r="Z799" s="143"/>
      <c r="AA799" s="114"/>
      <c r="AB799" s="114"/>
      <c r="AC799" s="114"/>
      <c r="AD799" s="143"/>
      <c r="AE799" s="114"/>
      <c r="AF799" s="114"/>
      <c r="AG799" s="143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43"/>
      <c r="AU799" s="114"/>
      <c r="AV799" s="114"/>
      <c r="AW799" s="114"/>
      <c r="AX799" s="114"/>
      <c r="AY799" s="114"/>
      <c r="AZ799" s="114"/>
      <c r="BA799" s="114"/>
      <c r="BB799" s="114"/>
      <c r="BC799" s="114"/>
    </row>
    <row r="800" spans="1:55" ht="15.75" customHeight="1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43"/>
      <c r="M800" s="143"/>
      <c r="N800" s="143"/>
      <c r="O800" s="143"/>
      <c r="P800" s="114"/>
      <c r="Q800" s="114"/>
      <c r="R800" s="114"/>
      <c r="S800" s="143"/>
      <c r="T800" s="114"/>
      <c r="U800" s="114"/>
      <c r="V800" s="114"/>
      <c r="W800" s="114"/>
      <c r="X800" s="114"/>
      <c r="Y800" s="114"/>
      <c r="Z800" s="143"/>
      <c r="AA800" s="114"/>
      <c r="AB800" s="114"/>
      <c r="AC800" s="114"/>
      <c r="AD800" s="143"/>
      <c r="AE800" s="114"/>
      <c r="AF800" s="114"/>
      <c r="AG800" s="143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43"/>
      <c r="AU800" s="114"/>
      <c r="AV800" s="114"/>
      <c r="AW800" s="114"/>
      <c r="AX800" s="114"/>
      <c r="AY800" s="114"/>
      <c r="AZ800" s="114"/>
      <c r="BA800" s="114"/>
      <c r="BB800" s="114"/>
      <c r="BC800" s="114"/>
    </row>
    <row r="801" spans="1:55" ht="15.75" customHeight="1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43"/>
      <c r="M801" s="143"/>
      <c r="N801" s="143"/>
      <c r="O801" s="143"/>
      <c r="P801" s="114"/>
      <c r="Q801" s="114"/>
      <c r="R801" s="114"/>
      <c r="S801" s="143"/>
      <c r="T801" s="114"/>
      <c r="U801" s="114"/>
      <c r="V801" s="114"/>
      <c r="W801" s="114"/>
      <c r="X801" s="114"/>
      <c r="Y801" s="114"/>
      <c r="Z801" s="143"/>
      <c r="AA801" s="114"/>
      <c r="AB801" s="114"/>
      <c r="AC801" s="114"/>
      <c r="AD801" s="143"/>
      <c r="AE801" s="114"/>
      <c r="AF801" s="114"/>
      <c r="AG801" s="143"/>
      <c r="AH801" s="114"/>
      <c r="AI801" s="114"/>
      <c r="AJ801" s="114"/>
      <c r="AK801" s="114"/>
      <c r="AL801" s="114"/>
      <c r="AM801" s="114"/>
      <c r="AN801" s="114"/>
      <c r="AO801" s="114"/>
      <c r="AP801" s="114"/>
      <c r="AQ801" s="114"/>
      <c r="AR801" s="114"/>
      <c r="AS801" s="114"/>
      <c r="AT801" s="143"/>
      <c r="AU801" s="114"/>
      <c r="AV801" s="114"/>
      <c r="AW801" s="114"/>
      <c r="AX801" s="114"/>
      <c r="AY801" s="114"/>
      <c r="AZ801" s="114"/>
      <c r="BA801" s="114"/>
      <c r="BB801" s="114"/>
      <c r="BC801" s="114"/>
    </row>
    <row r="802" spans="1:55" ht="15.75" customHeight="1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43"/>
      <c r="M802" s="143"/>
      <c r="N802" s="143"/>
      <c r="O802" s="143"/>
      <c r="P802" s="114"/>
      <c r="Q802" s="114"/>
      <c r="R802" s="114"/>
      <c r="S802" s="143"/>
      <c r="T802" s="114"/>
      <c r="U802" s="114"/>
      <c r="V802" s="114"/>
      <c r="W802" s="114"/>
      <c r="X802" s="114"/>
      <c r="Y802" s="114"/>
      <c r="Z802" s="143"/>
      <c r="AA802" s="114"/>
      <c r="AB802" s="114"/>
      <c r="AC802" s="114"/>
      <c r="AD802" s="143"/>
      <c r="AE802" s="114"/>
      <c r="AF802" s="114"/>
      <c r="AG802" s="143"/>
      <c r="AH802" s="114"/>
      <c r="AI802" s="114"/>
      <c r="AJ802" s="114"/>
      <c r="AK802" s="114"/>
      <c r="AL802" s="114"/>
      <c r="AM802" s="114"/>
      <c r="AN802" s="114"/>
      <c r="AO802" s="114"/>
      <c r="AP802" s="114"/>
      <c r="AQ802" s="114"/>
      <c r="AR802" s="114"/>
      <c r="AS802" s="114"/>
      <c r="AT802" s="143"/>
      <c r="AU802" s="114"/>
      <c r="AV802" s="114"/>
      <c r="AW802" s="114"/>
      <c r="AX802" s="114"/>
      <c r="AY802" s="114"/>
      <c r="AZ802" s="114"/>
      <c r="BA802" s="114"/>
      <c r="BB802" s="114"/>
      <c r="BC802" s="114"/>
    </row>
    <row r="803" spans="1:55" ht="15.75" customHeight="1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43"/>
      <c r="M803" s="143"/>
      <c r="N803" s="143"/>
      <c r="O803" s="143"/>
      <c r="P803" s="114"/>
      <c r="Q803" s="114"/>
      <c r="R803" s="114"/>
      <c r="S803" s="143"/>
      <c r="T803" s="114"/>
      <c r="U803" s="114"/>
      <c r="V803" s="114"/>
      <c r="W803" s="114"/>
      <c r="X803" s="114"/>
      <c r="Y803" s="114"/>
      <c r="Z803" s="143"/>
      <c r="AA803" s="114"/>
      <c r="AB803" s="114"/>
      <c r="AC803" s="114"/>
      <c r="AD803" s="143"/>
      <c r="AE803" s="114"/>
      <c r="AF803" s="114"/>
      <c r="AG803" s="143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43"/>
      <c r="AU803" s="114"/>
      <c r="AV803" s="114"/>
      <c r="AW803" s="114"/>
      <c r="AX803" s="114"/>
      <c r="AY803" s="114"/>
      <c r="AZ803" s="114"/>
      <c r="BA803" s="114"/>
      <c r="BB803" s="114"/>
      <c r="BC803" s="114"/>
    </row>
    <row r="804" spans="1:55" ht="15.75" customHeight="1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43"/>
      <c r="M804" s="143"/>
      <c r="N804" s="143"/>
      <c r="O804" s="143"/>
      <c r="P804" s="114"/>
      <c r="Q804" s="114"/>
      <c r="R804" s="114"/>
      <c r="S804" s="143"/>
      <c r="T804" s="114"/>
      <c r="U804" s="114"/>
      <c r="V804" s="114"/>
      <c r="W804" s="114"/>
      <c r="X804" s="114"/>
      <c r="Y804" s="114"/>
      <c r="Z804" s="143"/>
      <c r="AA804" s="114"/>
      <c r="AB804" s="114"/>
      <c r="AC804" s="114"/>
      <c r="AD804" s="143"/>
      <c r="AE804" s="114"/>
      <c r="AF804" s="114"/>
      <c r="AG804" s="143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43"/>
      <c r="AU804" s="114"/>
      <c r="AV804" s="114"/>
      <c r="AW804" s="114"/>
      <c r="AX804" s="114"/>
      <c r="AY804" s="114"/>
      <c r="AZ804" s="114"/>
      <c r="BA804" s="114"/>
      <c r="BB804" s="114"/>
      <c r="BC804" s="114"/>
    </row>
    <row r="805" spans="1:55" ht="15.75" customHeight="1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43"/>
      <c r="M805" s="143"/>
      <c r="N805" s="143"/>
      <c r="O805" s="143"/>
      <c r="P805" s="114"/>
      <c r="Q805" s="114"/>
      <c r="R805" s="114"/>
      <c r="S805" s="143"/>
      <c r="T805" s="114"/>
      <c r="U805" s="114"/>
      <c r="V805" s="114"/>
      <c r="W805" s="114"/>
      <c r="X805" s="114"/>
      <c r="Y805" s="114"/>
      <c r="Z805" s="143"/>
      <c r="AA805" s="114"/>
      <c r="AB805" s="114"/>
      <c r="AC805" s="114"/>
      <c r="AD805" s="143"/>
      <c r="AE805" s="114"/>
      <c r="AF805" s="114"/>
      <c r="AG805" s="143"/>
      <c r="AH805" s="114"/>
      <c r="AI805" s="114"/>
      <c r="AJ805" s="114"/>
      <c r="AK805" s="114"/>
      <c r="AL805" s="114"/>
      <c r="AM805" s="114"/>
      <c r="AN805" s="114"/>
      <c r="AO805" s="114"/>
      <c r="AP805" s="114"/>
      <c r="AQ805" s="114"/>
      <c r="AR805" s="114"/>
      <c r="AS805" s="114"/>
      <c r="AT805" s="143"/>
      <c r="AU805" s="114"/>
      <c r="AV805" s="114"/>
      <c r="AW805" s="114"/>
      <c r="AX805" s="114"/>
      <c r="AY805" s="114"/>
      <c r="AZ805" s="114"/>
      <c r="BA805" s="114"/>
      <c r="BB805" s="114"/>
      <c r="BC805" s="114"/>
    </row>
    <row r="806" spans="1:55" ht="15.75" customHeight="1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43"/>
      <c r="M806" s="143"/>
      <c r="N806" s="143"/>
      <c r="O806" s="143"/>
      <c r="P806" s="114"/>
      <c r="Q806" s="114"/>
      <c r="R806" s="114"/>
      <c r="S806" s="143"/>
      <c r="T806" s="114"/>
      <c r="U806" s="114"/>
      <c r="V806" s="114"/>
      <c r="W806" s="114"/>
      <c r="X806" s="114"/>
      <c r="Y806" s="114"/>
      <c r="Z806" s="143"/>
      <c r="AA806" s="114"/>
      <c r="AB806" s="114"/>
      <c r="AC806" s="114"/>
      <c r="AD806" s="143"/>
      <c r="AE806" s="114"/>
      <c r="AF806" s="114"/>
      <c r="AG806" s="143"/>
      <c r="AH806" s="114"/>
      <c r="AI806" s="114"/>
      <c r="AJ806" s="114"/>
      <c r="AK806" s="114"/>
      <c r="AL806" s="114"/>
      <c r="AM806" s="114"/>
      <c r="AN806" s="114"/>
      <c r="AO806" s="114"/>
      <c r="AP806" s="114"/>
      <c r="AQ806" s="114"/>
      <c r="AR806" s="114"/>
      <c r="AS806" s="114"/>
      <c r="AT806" s="143"/>
      <c r="AU806" s="114"/>
      <c r="AV806" s="114"/>
      <c r="AW806" s="114"/>
      <c r="AX806" s="114"/>
      <c r="AY806" s="114"/>
      <c r="AZ806" s="114"/>
      <c r="BA806" s="114"/>
      <c r="BB806" s="114"/>
      <c r="BC806" s="114"/>
    </row>
    <row r="807" spans="1:55" ht="15.75" customHeight="1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43"/>
      <c r="M807" s="143"/>
      <c r="N807" s="143"/>
      <c r="O807" s="143"/>
      <c r="P807" s="114"/>
      <c r="Q807" s="114"/>
      <c r="R807" s="114"/>
      <c r="S807" s="143"/>
      <c r="T807" s="114"/>
      <c r="U807" s="114"/>
      <c r="V807" s="114"/>
      <c r="W807" s="114"/>
      <c r="X807" s="114"/>
      <c r="Y807" s="114"/>
      <c r="Z807" s="143"/>
      <c r="AA807" s="114"/>
      <c r="AB807" s="114"/>
      <c r="AC807" s="114"/>
      <c r="AD807" s="143"/>
      <c r="AE807" s="114"/>
      <c r="AF807" s="114"/>
      <c r="AG807" s="143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43"/>
      <c r="AU807" s="114"/>
      <c r="AV807" s="114"/>
      <c r="AW807" s="114"/>
      <c r="AX807" s="114"/>
      <c r="AY807" s="114"/>
      <c r="AZ807" s="114"/>
      <c r="BA807" s="114"/>
      <c r="BB807" s="114"/>
      <c r="BC807" s="114"/>
    </row>
    <row r="808" spans="1:55" ht="15.75" customHeight="1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43"/>
      <c r="M808" s="143"/>
      <c r="N808" s="143"/>
      <c r="O808" s="143"/>
      <c r="P808" s="114"/>
      <c r="Q808" s="114"/>
      <c r="R808" s="114"/>
      <c r="S808" s="143"/>
      <c r="T808" s="114"/>
      <c r="U808" s="114"/>
      <c r="V808" s="114"/>
      <c r="W808" s="114"/>
      <c r="X808" s="114"/>
      <c r="Y808" s="114"/>
      <c r="Z808" s="143"/>
      <c r="AA808" s="114"/>
      <c r="AB808" s="114"/>
      <c r="AC808" s="114"/>
      <c r="AD808" s="143"/>
      <c r="AE808" s="114"/>
      <c r="AF808" s="114"/>
      <c r="AG808" s="143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43"/>
      <c r="AU808" s="114"/>
      <c r="AV808" s="114"/>
      <c r="AW808" s="114"/>
      <c r="AX808" s="114"/>
      <c r="AY808" s="114"/>
      <c r="AZ808" s="114"/>
      <c r="BA808" s="114"/>
      <c r="BB808" s="114"/>
      <c r="BC808" s="114"/>
    </row>
    <row r="809" spans="1:55" ht="15.75" customHeight="1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43"/>
      <c r="M809" s="143"/>
      <c r="N809" s="143"/>
      <c r="O809" s="143"/>
      <c r="P809" s="114"/>
      <c r="Q809" s="114"/>
      <c r="R809" s="114"/>
      <c r="S809" s="143"/>
      <c r="T809" s="114"/>
      <c r="U809" s="114"/>
      <c r="V809" s="114"/>
      <c r="W809" s="114"/>
      <c r="X809" s="114"/>
      <c r="Y809" s="114"/>
      <c r="Z809" s="143"/>
      <c r="AA809" s="114"/>
      <c r="AB809" s="114"/>
      <c r="AC809" s="114"/>
      <c r="AD809" s="143"/>
      <c r="AE809" s="114"/>
      <c r="AF809" s="114"/>
      <c r="AG809" s="143"/>
      <c r="AH809" s="114"/>
      <c r="AI809" s="114"/>
      <c r="AJ809" s="114"/>
      <c r="AK809" s="114"/>
      <c r="AL809" s="114"/>
      <c r="AM809" s="114"/>
      <c r="AN809" s="114"/>
      <c r="AO809" s="114"/>
      <c r="AP809" s="114"/>
      <c r="AQ809" s="114"/>
      <c r="AR809" s="114"/>
      <c r="AS809" s="114"/>
      <c r="AT809" s="143"/>
      <c r="AU809" s="114"/>
      <c r="AV809" s="114"/>
      <c r="AW809" s="114"/>
      <c r="AX809" s="114"/>
      <c r="AY809" s="114"/>
      <c r="AZ809" s="114"/>
      <c r="BA809" s="114"/>
      <c r="BB809" s="114"/>
      <c r="BC809" s="114"/>
    </row>
    <row r="810" spans="1:55" ht="15.75" customHeight="1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43"/>
      <c r="M810" s="143"/>
      <c r="N810" s="143"/>
      <c r="O810" s="143"/>
      <c r="P810" s="114"/>
      <c r="Q810" s="114"/>
      <c r="R810" s="114"/>
      <c r="S810" s="143"/>
      <c r="T810" s="114"/>
      <c r="U810" s="114"/>
      <c r="V810" s="114"/>
      <c r="W810" s="114"/>
      <c r="X810" s="114"/>
      <c r="Y810" s="114"/>
      <c r="Z810" s="143"/>
      <c r="AA810" s="114"/>
      <c r="AB810" s="114"/>
      <c r="AC810" s="114"/>
      <c r="AD810" s="143"/>
      <c r="AE810" s="114"/>
      <c r="AF810" s="114"/>
      <c r="AG810" s="143"/>
      <c r="AH810" s="114"/>
      <c r="AI810" s="114"/>
      <c r="AJ810" s="114"/>
      <c r="AK810" s="114"/>
      <c r="AL810" s="114"/>
      <c r="AM810" s="114"/>
      <c r="AN810" s="114"/>
      <c r="AO810" s="114"/>
      <c r="AP810" s="114"/>
      <c r="AQ810" s="114"/>
      <c r="AR810" s="114"/>
      <c r="AS810" s="114"/>
      <c r="AT810" s="143"/>
      <c r="AU810" s="114"/>
      <c r="AV810" s="114"/>
      <c r="AW810" s="114"/>
      <c r="AX810" s="114"/>
      <c r="AY810" s="114"/>
      <c r="AZ810" s="114"/>
      <c r="BA810" s="114"/>
      <c r="BB810" s="114"/>
      <c r="BC810" s="114"/>
    </row>
    <row r="811" spans="1:55" ht="15.75" customHeight="1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43"/>
      <c r="M811" s="143"/>
      <c r="N811" s="143"/>
      <c r="O811" s="143"/>
      <c r="P811" s="114"/>
      <c r="Q811" s="114"/>
      <c r="R811" s="114"/>
      <c r="S811" s="143"/>
      <c r="T811" s="114"/>
      <c r="U811" s="114"/>
      <c r="V811" s="114"/>
      <c r="W811" s="114"/>
      <c r="X811" s="114"/>
      <c r="Y811" s="114"/>
      <c r="Z811" s="143"/>
      <c r="AA811" s="114"/>
      <c r="AB811" s="114"/>
      <c r="AC811" s="114"/>
      <c r="AD811" s="143"/>
      <c r="AE811" s="114"/>
      <c r="AF811" s="114"/>
      <c r="AG811" s="143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43"/>
      <c r="AU811" s="114"/>
      <c r="AV811" s="114"/>
      <c r="AW811" s="114"/>
      <c r="AX811" s="114"/>
      <c r="AY811" s="114"/>
      <c r="AZ811" s="114"/>
      <c r="BA811" s="114"/>
      <c r="BB811" s="114"/>
      <c r="BC811" s="114"/>
    </row>
    <row r="812" spans="1:55" ht="15.75" customHeight="1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43"/>
      <c r="M812" s="143"/>
      <c r="N812" s="143"/>
      <c r="O812" s="143"/>
      <c r="P812" s="114"/>
      <c r="Q812" s="114"/>
      <c r="R812" s="114"/>
      <c r="S812" s="143"/>
      <c r="T812" s="114"/>
      <c r="U812" s="114"/>
      <c r="V812" s="114"/>
      <c r="W812" s="114"/>
      <c r="X812" s="114"/>
      <c r="Y812" s="114"/>
      <c r="Z812" s="143"/>
      <c r="AA812" s="114"/>
      <c r="AB812" s="114"/>
      <c r="AC812" s="114"/>
      <c r="AD812" s="143"/>
      <c r="AE812" s="114"/>
      <c r="AF812" s="114"/>
      <c r="AG812" s="143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43"/>
      <c r="AU812" s="114"/>
      <c r="AV812" s="114"/>
      <c r="AW812" s="114"/>
      <c r="AX812" s="114"/>
      <c r="AY812" s="114"/>
      <c r="AZ812" s="114"/>
      <c r="BA812" s="114"/>
      <c r="BB812" s="114"/>
      <c r="BC812" s="114"/>
    </row>
    <row r="813" spans="1:55" ht="15.75" customHeight="1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43"/>
      <c r="M813" s="143"/>
      <c r="N813" s="143"/>
      <c r="O813" s="143"/>
      <c r="P813" s="114"/>
      <c r="Q813" s="114"/>
      <c r="R813" s="114"/>
      <c r="S813" s="143"/>
      <c r="T813" s="114"/>
      <c r="U813" s="114"/>
      <c r="V813" s="114"/>
      <c r="W813" s="114"/>
      <c r="X813" s="114"/>
      <c r="Y813" s="114"/>
      <c r="Z813" s="143"/>
      <c r="AA813" s="114"/>
      <c r="AB813" s="114"/>
      <c r="AC813" s="114"/>
      <c r="AD813" s="143"/>
      <c r="AE813" s="114"/>
      <c r="AF813" s="114"/>
      <c r="AG813" s="143"/>
      <c r="AH813" s="114"/>
      <c r="AI813" s="114"/>
      <c r="AJ813" s="114"/>
      <c r="AK813" s="114"/>
      <c r="AL813" s="114"/>
      <c r="AM813" s="114"/>
      <c r="AN813" s="114"/>
      <c r="AO813" s="114"/>
      <c r="AP813" s="114"/>
      <c r="AQ813" s="114"/>
      <c r="AR813" s="114"/>
      <c r="AS813" s="114"/>
      <c r="AT813" s="143"/>
      <c r="AU813" s="114"/>
      <c r="AV813" s="114"/>
      <c r="AW813" s="114"/>
      <c r="AX813" s="114"/>
      <c r="AY813" s="114"/>
      <c r="AZ813" s="114"/>
      <c r="BA813" s="114"/>
      <c r="BB813" s="114"/>
      <c r="BC813" s="114"/>
    </row>
    <row r="814" spans="1:55" ht="15.75" customHeight="1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43"/>
      <c r="M814" s="143"/>
      <c r="N814" s="143"/>
      <c r="O814" s="143"/>
      <c r="P814" s="114"/>
      <c r="Q814" s="114"/>
      <c r="R814" s="114"/>
      <c r="S814" s="143"/>
      <c r="T814" s="114"/>
      <c r="U814" s="114"/>
      <c r="V814" s="114"/>
      <c r="W814" s="114"/>
      <c r="X814" s="114"/>
      <c r="Y814" s="114"/>
      <c r="Z814" s="143"/>
      <c r="AA814" s="114"/>
      <c r="AB814" s="114"/>
      <c r="AC814" s="114"/>
      <c r="AD814" s="143"/>
      <c r="AE814" s="114"/>
      <c r="AF814" s="114"/>
      <c r="AG814" s="143"/>
      <c r="AH814" s="114"/>
      <c r="AI814" s="114"/>
      <c r="AJ814" s="114"/>
      <c r="AK814" s="114"/>
      <c r="AL814" s="114"/>
      <c r="AM814" s="114"/>
      <c r="AN814" s="114"/>
      <c r="AO814" s="114"/>
      <c r="AP814" s="114"/>
      <c r="AQ814" s="114"/>
      <c r="AR814" s="114"/>
      <c r="AS814" s="114"/>
      <c r="AT814" s="143"/>
      <c r="AU814" s="114"/>
      <c r="AV814" s="114"/>
      <c r="AW814" s="114"/>
      <c r="AX814" s="114"/>
      <c r="AY814" s="114"/>
      <c r="AZ814" s="114"/>
      <c r="BA814" s="114"/>
      <c r="BB814" s="114"/>
      <c r="BC814" s="114"/>
    </row>
    <row r="815" spans="1:55" ht="15.75" customHeight="1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43"/>
      <c r="M815" s="143"/>
      <c r="N815" s="143"/>
      <c r="O815" s="143"/>
      <c r="P815" s="114"/>
      <c r="Q815" s="114"/>
      <c r="R815" s="114"/>
      <c r="S815" s="143"/>
      <c r="T815" s="114"/>
      <c r="U815" s="114"/>
      <c r="V815" s="114"/>
      <c r="W815" s="114"/>
      <c r="X815" s="114"/>
      <c r="Y815" s="114"/>
      <c r="Z815" s="143"/>
      <c r="AA815" s="114"/>
      <c r="AB815" s="114"/>
      <c r="AC815" s="114"/>
      <c r="AD815" s="143"/>
      <c r="AE815" s="114"/>
      <c r="AF815" s="114"/>
      <c r="AG815" s="143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43"/>
      <c r="AU815" s="114"/>
      <c r="AV815" s="114"/>
      <c r="AW815" s="114"/>
      <c r="AX815" s="114"/>
      <c r="AY815" s="114"/>
      <c r="AZ815" s="114"/>
      <c r="BA815" s="114"/>
      <c r="BB815" s="114"/>
      <c r="BC815" s="114"/>
    </row>
    <row r="816" spans="1:55" ht="15.75" customHeight="1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43"/>
      <c r="M816" s="143"/>
      <c r="N816" s="143"/>
      <c r="O816" s="143"/>
      <c r="P816" s="114"/>
      <c r="Q816" s="114"/>
      <c r="R816" s="114"/>
      <c r="S816" s="143"/>
      <c r="T816" s="114"/>
      <c r="U816" s="114"/>
      <c r="V816" s="114"/>
      <c r="W816" s="114"/>
      <c r="X816" s="114"/>
      <c r="Y816" s="114"/>
      <c r="Z816" s="143"/>
      <c r="AA816" s="114"/>
      <c r="AB816" s="114"/>
      <c r="AC816" s="114"/>
      <c r="AD816" s="143"/>
      <c r="AE816" s="114"/>
      <c r="AF816" s="114"/>
      <c r="AG816" s="143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43"/>
      <c r="AU816" s="114"/>
      <c r="AV816" s="114"/>
      <c r="AW816" s="114"/>
      <c r="AX816" s="114"/>
      <c r="AY816" s="114"/>
      <c r="AZ816" s="114"/>
      <c r="BA816" s="114"/>
      <c r="BB816" s="114"/>
      <c r="BC816" s="114"/>
    </row>
    <row r="817" spans="1:55" ht="15.75" customHeight="1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43"/>
      <c r="M817" s="143"/>
      <c r="N817" s="143"/>
      <c r="O817" s="143"/>
      <c r="P817" s="114"/>
      <c r="Q817" s="114"/>
      <c r="R817" s="114"/>
      <c r="S817" s="143"/>
      <c r="T817" s="114"/>
      <c r="U817" s="114"/>
      <c r="V817" s="114"/>
      <c r="W817" s="114"/>
      <c r="X817" s="114"/>
      <c r="Y817" s="114"/>
      <c r="Z817" s="143"/>
      <c r="AA817" s="114"/>
      <c r="AB817" s="114"/>
      <c r="AC817" s="114"/>
      <c r="AD817" s="143"/>
      <c r="AE817" s="114"/>
      <c r="AF817" s="114"/>
      <c r="AG817" s="143"/>
      <c r="AH817" s="114"/>
      <c r="AI817" s="114"/>
      <c r="AJ817" s="114"/>
      <c r="AK817" s="114"/>
      <c r="AL817" s="114"/>
      <c r="AM817" s="114"/>
      <c r="AN817" s="114"/>
      <c r="AO817" s="114"/>
      <c r="AP817" s="114"/>
      <c r="AQ817" s="114"/>
      <c r="AR817" s="114"/>
      <c r="AS817" s="114"/>
      <c r="AT817" s="143"/>
      <c r="AU817" s="114"/>
      <c r="AV817" s="114"/>
      <c r="AW817" s="114"/>
      <c r="AX817" s="114"/>
      <c r="AY817" s="114"/>
      <c r="AZ817" s="114"/>
      <c r="BA817" s="114"/>
      <c r="BB817" s="114"/>
      <c r="BC817" s="114"/>
    </row>
    <row r="818" spans="1:55" ht="15.75" customHeight="1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43"/>
      <c r="M818" s="143"/>
      <c r="N818" s="143"/>
      <c r="O818" s="143"/>
      <c r="P818" s="114"/>
      <c r="Q818" s="114"/>
      <c r="R818" s="114"/>
      <c r="S818" s="143"/>
      <c r="T818" s="114"/>
      <c r="U818" s="114"/>
      <c r="V818" s="114"/>
      <c r="W818" s="114"/>
      <c r="X818" s="114"/>
      <c r="Y818" s="114"/>
      <c r="Z818" s="143"/>
      <c r="AA818" s="114"/>
      <c r="AB818" s="114"/>
      <c r="AC818" s="114"/>
      <c r="AD818" s="143"/>
      <c r="AE818" s="114"/>
      <c r="AF818" s="114"/>
      <c r="AG818" s="143"/>
      <c r="AH818" s="114"/>
      <c r="AI818" s="114"/>
      <c r="AJ818" s="114"/>
      <c r="AK818" s="114"/>
      <c r="AL818" s="114"/>
      <c r="AM818" s="114"/>
      <c r="AN818" s="114"/>
      <c r="AO818" s="114"/>
      <c r="AP818" s="114"/>
      <c r="AQ818" s="114"/>
      <c r="AR818" s="114"/>
      <c r="AS818" s="114"/>
      <c r="AT818" s="143"/>
      <c r="AU818" s="114"/>
      <c r="AV818" s="114"/>
      <c r="AW818" s="114"/>
      <c r="AX818" s="114"/>
      <c r="AY818" s="114"/>
      <c r="AZ818" s="114"/>
      <c r="BA818" s="114"/>
      <c r="BB818" s="114"/>
      <c r="BC818" s="114"/>
    </row>
    <row r="819" spans="1:55" ht="15.75" customHeight="1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43"/>
      <c r="M819" s="143"/>
      <c r="N819" s="143"/>
      <c r="O819" s="143"/>
      <c r="P819" s="114"/>
      <c r="Q819" s="114"/>
      <c r="R819" s="114"/>
      <c r="S819" s="143"/>
      <c r="T819" s="114"/>
      <c r="U819" s="114"/>
      <c r="V819" s="114"/>
      <c r="W819" s="114"/>
      <c r="X819" s="114"/>
      <c r="Y819" s="114"/>
      <c r="Z819" s="143"/>
      <c r="AA819" s="114"/>
      <c r="AB819" s="114"/>
      <c r="AC819" s="114"/>
      <c r="AD819" s="143"/>
      <c r="AE819" s="114"/>
      <c r="AF819" s="114"/>
      <c r="AG819" s="143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43"/>
      <c r="AU819" s="114"/>
      <c r="AV819" s="114"/>
      <c r="AW819" s="114"/>
      <c r="AX819" s="114"/>
      <c r="AY819" s="114"/>
      <c r="AZ819" s="114"/>
      <c r="BA819" s="114"/>
      <c r="BB819" s="114"/>
      <c r="BC819" s="114"/>
    </row>
    <row r="820" spans="1:55" ht="15.75" customHeight="1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43"/>
      <c r="M820" s="143"/>
      <c r="N820" s="143"/>
      <c r="O820" s="143"/>
      <c r="P820" s="114"/>
      <c r="Q820" s="114"/>
      <c r="R820" s="114"/>
      <c r="S820" s="143"/>
      <c r="T820" s="114"/>
      <c r="U820" s="114"/>
      <c r="V820" s="114"/>
      <c r="W820" s="114"/>
      <c r="X820" s="114"/>
      <c r="Y820" s="114"/>
      <c r="Z820" s="143"/>
      <c r="AA820" s="114"/>
      <c r="AB820" s="114"/>
      <c r="AC820" s="114"/>
      <c r="AD820" s="143"/>
      <c r="AE820" s="114"/>
      <c r="AF820" s="114"/>
      <c r="AG820" s="143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43"/>
      <c r="AU820" s="114"/>
      <c r="AV820" s="114"/>
      <c r="AW820" s="114"/>
      <c r="AX820" s="114"/>
      <c r="AY820" s="114"/>
      <c r="AZ820" s="114"/>
      <c r="BA820" s="114"/>
      <c r="BB820" s="114"/>
      <c r="BC820" s="114"/>
    </row>
    <row r="821" spans="1:55" ht="15.75" customHeight="1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43"/>
      <c r="M821" s="143"/>
      <c r="N821" s="143"/>
      <c r="O821" s="143"/>
      <c r="P821" s="114"/>
      <c r="Q821" s="114"/>
      <c r="R821" s="114"/>
      <c r="S821" s="143"/>
      <c r="T821" s="114"/>
      <c r="U821" s="114"/>
      <c r="V821" s="114"/>
      <c r="W821" s="114"/>
      <c r="X821" s="114"/>
      <c r="Y821" s="114"/>
      <c r="Z821" s="143"/>
      <c r="AA821" s="114"/>
      <c r="AB821" s="114"/>
      <c r="AC821" s="114"/>
      <c r="AD821" s="143"/>
      <c r="AE821" s="114"/>
      <c r="AF821" s="114"/>
      <c r="AG821" s="143"/>
      <c r="AH821" s="114"/>
      <c r="AI821" s="114"/>
      <c r="AJ821" s="114"/>
      <c r="AK821" s="114"/>
      <c r="AL821" s="114"/>
      <c r="AM821" s="114"/>
      <c r="AN821" s="114"/>
      <c r="AO821" s="114"/>
      <c r="AP821" s="114"/>
      <c r="AQ821" s="114"/>
      <c r="AR821" s="114"/>
      <c r="AS821" s="114"/>
      <c r="AT821" s="143"/>
      <c r="AU821" s="114"/>
      <c r="AV821" s="114"/>
      <c r="AW821" s="114"/>
      <c r="AX821" s="114"/>
      <c r="AY821" s="114"/>
      <c r="AZ821" s="114"/>
      <c r="BA821" s="114"/>
      <c r="BB821" s="114"/>
      <c r="BC821" s="114"/>
    </row>
    <row r="822" spans="1:55" ht="15.75" customHeight="1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43"/>
      <c r="M822" s="143"/>
      <c r="N822" s="143"/>
      <c r="O822" s="143"/>
      <c r="P822" s="114"/>
      <c r="Q822" s="114"/>
      <c r="R822" s="114"/>
      <c r="S822" s="143"/>
      <c r="T822" s="114"/>
      <c r="U822" s="114"/>
      <c r="V822" s="114"/>
      <c r="W822" s="114"/>
      <c r="X822" s="114"/>
      <c r="Y822" s="114"/>
      <c r="Z822" s="143"/>
      <c r="AA822" s="114"/>
      <c r="AB822" s="114"/>
      <c r="AC822" s="114"/>
      <c r="AD822" s="143"/>
      <c r="AE822" s="114"/>
      <c r="AF822" s="114"/>
      <c r="AG822" s="143"/>
      <c r="AH822" s="114"/>
      <c r="AI822" s="114"/>
      <c r="AJ822" s="114"/>
      <c r="AK822" s="114"/>
      <c r="AL822" s="114"/>
      <c r="AM822" s="114"/>
      <c r="AN822" s="114"/>
      <c r="AO822" s="114"/>
      <c r="AP822" s="114"/>
      <c r="AQ822" s="114"/>
      <c r="AR822" s="114"/>
      <c r="AS822" s="114"/>
      <c r="AT822" s="143"/>
      <c r="AU822" s="114"/>
      <c r="AV822" s="114"/>
      <c r="AW822" s="114"/>
      <c r="AX822" s="114"/>
      <c r="AY822" s="114"/>
      <c r="AZ822" s="114"/>
      <c r="BA822" s="114"/>
      <c r="BB822" s="114"/>
      <c r="BC822" s="114"/>
    </row>
    <row r="823" spans="1:55" ht="15.75" customHeight="1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43"/>
      <c r="M823" s="143"/>
      <c r="N823" s="143"/>
      <c r="O823" s="143"/>
      <c r="P823" s="114"/>
      <c r="Q823" s="114"/>
      <c r="R823" s="114"/>
      <c r="S823" s="143"/>
      <c r="T823" s="114"/>
      <c r="U823" s="114"/>
      <c r="V823" s="114"/>
      <c r="W823" s="114"/>
      <c r="X823" s="114"/>
      <c r="Y823" s="114"/>
      <c r="Z823" s="143"/>
      <c r="AA823" s="114"/>
      <c r="AB823" s="114"/>
      <c r="AC823" s="114"/>
      <c r="AD823" s="143"/>
      <c r="AE823" s="114"/>
      <c r="AF823" s="114"/>
      <c r="AG823" s="143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43"/>
      <c r="AU823" s="114"/>
      <c r="AV823" s="114"/>
      <c r="AW823" s="114"/>
      <c r="AX823" s="114"/>
      <c r="AY823" s="114"/>
      <c r="AZ823" s="114"/>
      <c r="BA823" s="114"/>
      <c r="BB823" s="114"/>
      <c r="BC823" s="114"/>
    </row>
    <row r="824" spans="1:55" ht="15.75" customHeight="1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43"/>
      <c r="M824" s="143"/>
      <c r="N824" s="143"/>
      <c r="O824" s="143"/>
      <c r="P824" s="114"/>
      <c r="Q824" s="114"/>
      <c r="R824" s="114"/>
      <c r="S824" s="143"/>
      <c r="T824" s="114"/>
      <c r="U824" s="114"/>
      <c r="V824" s="114"/>
      <c r="W824" s="114"/>
      <c r="X824" s="114"/>
      <c r="Y824" s="114"/>
      <c r="Z824" s="143"/>
      <c r="AA824" s="114"/>
      <c r="AB824" s="114"/>
      <c r="AC824" s="114"/>
      <c r="AD824" s="143"/>
      <c r="AE824" s="114"/>
      <c r="AF824" s="114"/>
      <c r="AG824" s="143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43"/>
      <c r="AU824" s="114"/>
      <c r="AV824" s="114"/>
      <c r="AW824" s="114"/>
      <c r="AX824" s="114"/>
      <c r="AY824" s="114"/>
      <c r="AZ824" s="114"/>
      <c r="BA824" s="114"/>
      <c r="BB824" s="114"/>
      <c r="BC824" s="114"/>
    </row>
    <row r="825" spans="1:55" ht="15.75" customHeight="1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43"/>
      <c r="M825" s="143"/>
      <c r="N825" s="143"/>
      <c r="O825" s="143"/>
      <c r="P825" s="114"/>
      <c r="Q825" s="114"/>
      <c r="R825" s="114"/>
      <c r="S825" s="143"/>
      <c r="T825" s="114"/>
      <c r="U825" s="114"/>
      <c r="V825" s="114"/>
      <c r="W825" s="114"/>
      <c r="X825" s="114"/>
      <c r="Y825" s="114"/>
      <c r="Z825" s="143"/>
      <c r="AA825" s="114"/>
      <c r="AB825" s="114"/>
      <c r="AC825" s="114"/>
      <c r="AD825" s="143"/>
      <c r="AE825" s="114"/>
      <c r="AF825" s="114"/>
      <c r="AG825" s="143"/>
      <c r="AH825" s="114"/>
      <c r="AI825" s="114"/>
      <c r="AJ825" s="114"/>
      <c r="AK825" s="114"/>
      <c r="AL825" s="114"/>
      <c r="AM825" s="114"/>
      <c r="AN825" s="114"/>
      <c r="AO825" s="114"/>
      <c r="AP825" s="114"/>
      <c r="AQ825" s="114"/>
      <c r="AR825" s="114"/>
      <c r="AS825" s="114"/>
      <c r="AT825" s="143"/>
      <c r="AU825" s="114"/>
      <c r="AV825" s="114"/>
      <c r="AW825" s="114"/>
      <c r="AX825" s="114"/>
      <c r="AY825" s="114"/>
      <c r="AZ825" s="114"/>
      <c r="BA825" s="114"/>
      <c r="BB825" s="114"/>
      <c r="BC825" s="114"/>
    </row>
    <row r="826" spans="1:55" ht="15.75" customHeight="1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43"/>
      <c r="M826" s="143"/>
      <c r="N826" s="143"/>
      <c r="O826" s="143"/>
      <c r="P826" s="114"/>
      <c r="Q826" s="114"/>
      <c r="R826" s="114"/>
      <c r="S826" s="143"/>
      <c r="T826" s="114"/>
      <c r="U826" s="114"/>
      <c r="V826" s="114"/>
      <c r="W826" s="114"/>
      <c r="X826" s="114"/>
      <c r="Y826" s="114"/>
      <c r="Z826" s="143"/>
      <c r="AA826" s="114"/>
      <c r="AB826" s="114"/>
      <c r="AC826" s="114"/>
      <c r="AD826" s="143"/>
      <c r="AE826" s="114"/>
      <c r="AF826" s="114"/>
      <c r="AG826" s="143"/>
      <c r="AH826" s="114"/>
      <c r="AI826" s="114"/>
      <c r="AJ826" s="114"/>
      <c r="AK826" s="114"/>
      <c r="AL826" s="114"/>
      <c r="AM826" s="114"/>
      <c r="AN826" s="114"/>
      <c r="AO826" s="114"/>
      <c r="AP826" s="114"/>
      <c r="AQ826" s="114"/>
      <c r="AR826" s="114"/>
      <c r="AS826" s="114"/>
      <c r="AT826" s="143"/>
      <c r="AU826" s="114"/>
      <c r="AV826" s="114"/>
      <c r="AW826" s="114"/>
      <c r="AX826" s="114"/>
      <c r="AY826" s="114"/>
      <c r="AZ826" s="114"/>
      <c r="BA826" s="114"/>
      <c r="BB826" s="114"/>
      <c r="BC826" s="114"/>
    </row>
    <row r="827" spans="1:55" ht="15.75" customHeight="1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43"/>
      <c r="M827" s="143"/>
      <c r="N827" s="143"/>
      <c r="O827" s="143"/>
      <c r="P827" s="114"/>
      <c r="Q827" s="114"/>
      <c r="R827" s="114"/>
      <c r="S827" s="143"/>
      <c r="T827" s="114"/>
      <c r="U827" s="114"/>
      <c r="V827" s="114"/>
      <c r="W827" s="114"/>
      <c r="X827" s="114"/>
      <c r="Y827" s="114"/>
      <c r="Z827" s="143"/>
      <c r="AA827" s="114"/>
      <c r="AB827" s="114"/>
      <c r="AC827" s="114"/>
      <c r="AD827" s="143"/>
      <c r="AE827" s="114"/>
      <c r="AF827" s="114"/>
      <c r="AG827" s="143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43"/>
      <c r="AU827" s="114"/>
      <c r="AV827" s="114"/>
      <c r="AW827" s="114"/>
      <c r="AX827" s="114"/>
      <c r="AY827" s="114"/>
      <c r="AZ827" s="114"/>
      <c r="BA827" s="114"/>
      <c r="BB827" s="114"/>
      <c r="BC827" s="114"/>
    </row>
    <row r="828" spans="1:55" ht="15.75" customHeight="1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43"/>
      <c r="M828" s="143"/>
      <c r="N828" s="143"/>
      <c r="O828" s="143"/>
      <c r="P828" s="114"/>
      <c r="Q828" s="114"/>
      <c r="R828" s="114"/>
      <c r="S828" s="143"/>
      <c r="T828" s="114"/>
      <c r="U828" s="114"/>
      <c r="V828" s="114"/>
      <c r="W828" s="114"/>
      <c r="X828" s="114"/>
      <c r="Y828" s="114"/>
      <c r="Z828" s="143"/>
      <c r="AA828" s="114"/>
      <c r="AB828" s="114"/>
      <c r="AC828" s="114"/>
      <c r="AD828" s="143"/>
      <c r="AE828" s="114"/>
      <c r="AF828" s="114"/>
      <c r="AG828" s="143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43"/>
      <c r="AU828" s="114"/>
      <c r="AV828" s="114"/>
      <c r="AW828" s="114"/>
      <c r="AX828" s="114"/>
      <c r="AY828" s="114"/>
      <c r="AZ828" s="114"/>
      <c r="BA828" s="114"/>
      <c r="BB828" s="114"/>
      <c r="BC828" s="114"/>
    </row>
    <row r="829" spans="1:55" ht="15.75" customHeight="1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43"/>
      <c r="M829" s="143"/>
      <c r="N829" s="143"/>
      <c r="O829" s="143"/>
      <c r="P829" s="114"/>
      <c r="Q829" s="114"/>
      <c r="R829" s="114"/>
      <c r="S829" s="143"/>
      <c r="T829" s="114"/>
      <c r="U829" s="114"/>
      <c r="V829" s="114"/>
      <c r="W829" s="114"/>
      <c r="X829" s="114"/>
      <c r="Y829" s="114"/>
      <c r="Z829" s="143"/>
      <c r="AA829" s="114"/>
      <c r="AB829" s="114"/>
      <c r="AC829" s="114"/>
      <c r="AD829" s="143"/>
      <c r="AE829" s="114"/>
      <c r="AF829" s="114"/>
      <c r="AG829" s="143"/>
      <c r="AH829" s="114"/>
      <c r="AI829" s="114"/>
      <c r="AJ829" s="114"/>
      <c r="AK829" s="114"/>
      <c r="AL829" s="114"/>
      <c r="AM829" s="114"/>
      <c r="AN829" s="114"/>
      <c r="AO829" s="114"/>
      <c r="AP829" s="114"/>
      <c r="AQ829" s="114"/>
      <c r="AR829" s="114"/>
      <c r="AS829" s="114"/>
      <c r="AT829" s="143"/>
      <c r="AU829" s="114"/>
      <c r="AV829" s="114"/>
      <c r="AW829" s="114"/>
      <c r="AX829" s="114"/>
      <c r="AY829" s="114"/>
      <c r="AZ829" s="114"/>
      <c r="BA829" s="114"/>
      <c r="BB829" s="114"/>
      <c r="BC829" s="114"/>
    </row>
    <row r="830" spans="1:55" ht="15.75" customHeight="1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43"/>
      <c r="M830" s="143"/>
      <c r="N830" s="143"/>
      <c r="O830" s="143"/>
      <c r="P830" s="114"/>
      <c r="Q830" s="114"/>
      <c r="R830" s="114"/>
      <c r="S830" s="143"/>
      <c r="T830" s="114"/>
      <c r="U830" s="114"/>
      <c r="V830" s="114"/>
      <c r="W830" s="114"/>
      <c r="X830" s="114"/>
      <c r="Y830" s="114"/>
      <c r="Z830" s="143"/>
      <c r="AA830" s="114"/>
      <c r="AB830" s="114"/>
      <c r="AC830" s="114"/>
      <c r="AD830" s="143"/>
      <c r="AE830" s="114"/>
      <c r="AF830" s="114"/>
      <c r="AG830" s="143"/>
      <c r="AH830" s="114"/>
      <c r="AI830" s="114"/>
      <c r="AJ830" s="114"/>
      <c r="AK830" s="114"/>
      <c r="AL830" s="114"/>
      <c r="AM830" s="114"/>
      <c r="AN830" s="114"/>
      <c r="AO830" s="114"/>
      <c r="AP830" s="114"/>
      <c r="AQ830" s="114"/>
      <c r="AR830" s="114"/>
      <c r="AS830" s="114"/>
      <c r="AT830" s="143"/>
      <c r="AU830" s="114"/>
      <c r="AV830" s="114"/>
      <c r="AW830" s="114"/>
      <c r="AX830" s="114"/>
      <c r="AY830" s="114"/>
      <c r="AZ830" s="114"/>
      <c r="BA830" s="114"/>
      <c r="BB830" s="114"/>
      <c r="BC830" s="114"/>
    </row>
    <row r="831" spans="1:55" ht="15.75" customHeight="1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43"/>
      <c r="M831" s="143"/>
      <c r="N831" s="143"/>
      <c r="O831" s="143"/>
      <c r="P831" s="114"/>
      <c r="Q831" s="114"/>
      <c r="R831" s="114"/>
      <c r="S831" s="143"/>
      <c r="T831" s="114"/>
      <c r="U831" s="114"/>
      <c r="V831" s="114"/>
      <c r="W831" s="114"/>
      <c r="X831" s="114"/>
      <c r="Y831" s="114"/>
      <c r="Z831" s="143"/>
      <c r="AA831" s="114"/>
      <c r="AB831" s="114"/>
      <c r="AC831" s="114"/>
      <c r="AD831" s="143"/>
      <c r="AE831" s="114"/>
      <c r="AF831" s="114"/>
      <c r="AG831" s="143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43"/>
      <c r="AU831" s="114"/>
      <c r="AV831" s="114"/>
      <c r="AW831" s="114"/>
      <c r="AX831" s="114"/>
      <c r="AY831" s="114"/>
      <c r="AZ831" s="114"/>
      <c r="BA831" s="114"/>
      <c r="BB831" s="114"/>
      <c r="BC831" s="114"/>
    </row>
    <row r="832" spans="1:55" ht="15.75" customHeight="1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43"/>
      <c r="M832" s="143"/>
      <c r="N832" s="143"/>
      <c r="O832" s="143"/>
      <c r="P832" s="114"/>
      <c r="Q832" s="114"/>
      <c r="R832" s="114"/>
      <c r="S832" s="143"/>
      <c r="T832" s="114"/>
      <c r="U832" s="114"/>
      <c r="V832" s="114"/>
      <c r="W832" s="114"/>
      <c r="X832" s="114"/>
      <c r="Y832" s="114"/>
      <c r="Z832" s="143"/>
      <c r="AA832" s="114"/>
      <c r="AB832" s="114"/>
      <c r="AC832" s="114"/>
      <c r="AD832" s="143"/>
      <c r="AE832" s="114"/>
      <c r="AF832" s="114"/>
      <c r="AG832" s="143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43"/>
      <c r="AU832" s="114"/>
      <c r="AV832" s="114"/>
      <c r="AW832" s="114"/>
      <c r="AX832" s="114"/>
      <c r="AY832" s="114"/>
      <c r="AZ832" s="114"/>
      <c r="BA832" s="114"/>
      <c r="BB832" s="114"/>
      <c r="BC832" s="114"/>
    </row>
    <row r="833" spans="1:55" ht="15.75" customHeight="1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43"/>
      <c r="M833" s="143"/>
      <c r="N833" s="143"/>
      <c r="O833" s="143"/>
      <c r="P833" s="114"/>
      <c r="Q833" s="114"/>
      <c r="R833" s="114"/>
      <c r="S833" s="143"/>
      <c r="T833" s="114"/>
      <c r="U833" s="114"/>
      <c r="V833" s="114"/>
      <c r="W833" s="114"/>
      <c r="X833" s="114"/>
      <c r="Y833" s="114"/>
      <c r="Z833" s="143"/>
      <c r="AA833" s="114"/>
      <c r="AB833" s="114"/>
      <c r="AC833" s="114"/>
      <c r="AD833" s="143"/>
      <c r="AE833" s="114"/>
      <c r="AF833" s="114"/>
      <c r="AG833" s="143"/>
      <c r="AH833" s="114"/>
      <c r="AI833" s="114"/>
      <c r="AJ833" s="114"/>
      <c r="AK833" s="114"/>
      <c r="AL833" s="114"/>
      <c r="AM833" s="114"/>
      <c r="AN833" s="114"/>
      <c r="AO833" s="114"/>
      <c r="AP833" s="114"/>
      <c r="AQ833" s="114"/>
      <c r="AR833" s="114"/>
      <c r="AS833" s="114"/>
      <c r="AT833" s="143"/>
      <c r="AU833" s="114"/>
      <c r="AV833" s="114"/>
      <c r="AW833" s="114"/>
      <c r="AX833" s="114"/>
      <c r="AY833" s="114"/>
      <c r="AZ833" s="114"/>
      <c r="BA833" s="114"/>
      <c r="BB833" s="114"/>
      <c r="BC833" s="114"/>
    </row>
    <row r="834" spans="1:55" ht="15.75" customHeight="1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43"/>
      <c r="M834" s="143"/>
      <c r="N834" s="143"/>
      <c r="O834" s="143"/>
      <c r="P834" s="114"/>
      <c r="Q834" s="114"/>
      <c r="R834" s="114"/>
      <c r="S834" s="143"/>
      <c r="T834" s="114"/>
      <c r="U834" s="114"/>
      <c r="V834" s="114"/>
      <c r="W834" s="114"/>
      <c r="X834" s="114"/>
      <c r="Y834" s="114"/>
      <c r="Z834" s="143"/>
      <c r="AA834" s="114"/>
      <c r="AB834" s="114"/>
      <c r="AC834" s="114"/>
      <c r="AD834" s="143"/>
      <c r="AE834" s="114"/>
      <c r="AF834" s="114"/>
      <c r="AG834" s="143"/>
      <c r="AH834" s="114"/>
      <c r="AI834" s="114"/>
      <c r="AJ834" s="114"/>
      <c r="AK834" s="114"/>
      <c r="AL834" s="114"/>
      <c r="AM834" s="114"/>
      <c r="AN834" s="114"/>
      <c r="AO834" s="114"/>
      <c r="AP834" s="114"/>
      <c r="AQ834" s="114"/>
      <c r="AR834" s="114"/>
      <c r="AS834" s="114"/>
      <c r="AT834" s="143"/>
      <c r="AU834" s="114"/>
      <c r="AV834" s="114"/>
      <c r="AW834" s="114"/>
      <c r="AX834" s="114"/>
      <c r="AY834" s="114"/>
      <c r="AZ834" s="114"/>
      <c r="BA834" s="114"/>
      <c r="BB834" s="114"/>
      <c r="BC834" s="114"/>
    </row>
    <row r="835" spans="1:55" ht="15.75" customHeight="1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43"/>
      <c r="M835" s="143"/>
      <c r="N835" s="143"/>
      <c r="O835" s="143"/>
      <c r="P835" s="114"/>
      <c r="Q835" s="114"/>
      <c r="R835" s="114"/>
      <c r="S835" s="143"/>
      <c r="T835" s="114"/>
      <c r="U835" s="114"/>
      <c r="V835" s="114"/>
      <c r="W835" s="114"/>
      <c r="X835" s="114"/>
      <c r="Y835" s="114"/>
      <c r="Z835" s="143"/>
      <c r="AA835" s="114"/>
      <c r="AB835" s="114"/>
      <c r="AC835" s="114"/>
      <c r="AD835" s="143"/>
      <c r="AE835" s="114"/>
      <c r="AF835" s="114"/>
      <c r="AG835" s="143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43"/>
      <c r="AU835" s="114"/>
      <c r="AV835" s="114"/>
      <c r="AW835" s="114"/>
      <c r="AX835" s="114"/>
      <c r="AY835" s="114"/>
      <c r="AZ835" s="114"/>
      <c r="BA835" s="114"/>
      <c r="BB835" s="114"/>
      <c r="BC835" s="114"/>
    </row>
    <row r="836" spans="1:55" ht="15.75" customHeight="1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43"/>
      <c r="M836" s="143"/>
      <c r="N836" s="143"/>
      <c r="O836" s="143"/>
      <c r="P836" s="114"/>
      <c r="Q836" s="114"/>
      <c r="R836" s="114"/>
      <c r="S836" s="143"/>
      <c r="T836" s="114"/>
      <c r="U836" s="114"/>
      <c r="V836" s="114"/>
      <c r="W836" s="114"/>
      <c r="X836" s="114"/>
      <c r="Y836" s="114"/>
      <c r="Z836" s="143"/>
      <c r="AA836" s="114"/>
      <c r="AB836" s="114"/>
      <c r="AC836" s="114"/>
      <c r="AD836" s="143"/>
      <c r="AE836" s="114"/>
      <c r="AF836" s="114"/>
      <c r="AG836" s="143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43"/>
      <c r="AU836" s="114"/>
      <c r="AV836" s="114"/>
      <c r="AW836" s="114"/>
      <c r="AX836" s="114"/>
      <c r="AY836" s="114"/>
      <c r="AZ836" s="114"/>
      <c r="BA836" s="114"/>
      <c r="BB836" s="114"/>
      <c r="BC836" s="114"/>
    </row>
    <row r="837" spans="1:55" ht="15.75" customHeight="1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43"/>
      <c r="M837" s="143"/>
      <c r="N837" s="143"/>
      <c r="O837" s="143"/>
      <c r="P837" s="114"/>
      <c r="Q837" s="114"/>
      <c r="R837" s="114"/>
      <c r="S837" s="143"/>
      <c r="T837" s="114"/>
      <c r="U837" s="114"/>
      <c r="V837" s="114"/>
      <c r="W837" s="114"/>
      <c r="X837" s="114"/>
      <c r="Y837" s="114"/>
      <c r="Z837" s="143"/>
      <c r="AA837" s="114"/>
      <c r="AB837" s="114"/>
      <c r="AC837" s="114"/>
      <c r="AD837" s="143"/>
      <c r="AE837" s="114"/>
      <c r="AF837" s="114"/>
      <c r="AG837" s="143"/>
      <c r="AH837" s="114"/>
      <c r="AI837" s="114"/>
      <c r="AJ837" s="114"/>
      <c r="AK837" s="114"/>
      <c r="AL837" s="114"/>
      <c r="AM837" s="114"/>
      <c r="AN837" s="114"/>
      <c r="AO837" s="114"/>
      <c r="AP837" s="114"/>
      <c r="AQ837" s="114"/>
      <c r="AR837" s="114"/>
      <c r="AS837" s="114"/>
      <c r="AT837" s="143"/>
      <c r="AU837" s="114"/>
      <c r="AV837" s="114"/>
      <c r="AW837" s="114"/>
      <c r="AX837" s="114"/>
      <c r="AY837" s="114"/>
      <c r="AZ837" s="114"/>
      <c r="BA837" s="114"/>
      <c r="BB837" s="114"/>
      <c r="BC837" s="114"/>
    </row>
    <row r="838" spans="1:55" ht="15.75" customHeight="1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43"/>
      <c r="M838" s="143"/>
      <c r="N838" s="143"/>
      <c r="O838" s="143"/>
      <c r="P838" s="114"/>
      <c r="Q838" s="114"/>
      <c r="R838" s="114"/>
      <c r="S838" s="143"/>
      <c r="T838" s="114"/>
      <c r="U838" s="114"/>
      <c r="V838" s="114"/>
      <c r="W838" s="114"/>
      <c r="X838" s="114"/>
      <c r="Y838" s="114"/>
      <c r="Z838" s="143"/>
      <c r="AA838" s="114"/>
      <c r="AB838" s="114"/>
      <c r="AC838" s="114"/>
      <c r="AD838" s="143"/>
      <c r="AE838" s="114"/>
      <c r="AF838" s="114"/>
      <c r="AG838" s="143"/>
      <c r="AH838" s="114"/>
      <c r="AI838" s="114"/>
      <c r="AJ838" s="114"/>
      <c r="AK838" s="114"/>
      <c r="AL838" s="114"/>
      <c r="AM838" s="114"/>
      <c r="AN838" s="114"/>
      <c r="AO838" s="114"/>
      <c r="AP838" s="114"/>
      <c r="AQ838" s="114"/>
      <c r="AR838" s="114"/>
      <c r="AS838" s="114"/>
      <c r="AT838" s="143"/>
      <c r="AU838" s="114"/>
      <c r="AV838" s="114"/>
      <c r="AW838" s="114"/>
      <c r="AX838" s="114"/>
      <c r="AY838" s="114"/>
      <c r="AZ838" s="114"/>
      <c r="BA838" s="114"/>
      <c r="BB838" s="114"/>
      <c r="BC838" s="114"/>
    </row>
    <row r="839" spans="1:55" ht="15.75" customHeight="1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43"/>
      <c r="M839" s="143"/>
      <c r="N839" s="143"/>
      <c r="O839" s="143"/>
      <c r="P839" s="114"/>
      <c r="Q839" s="114"/>
      <c r="R839" s="114"/>
      <c r="S839" s="143"/>
      <c r="T839" s="114"/>
      <c r="U839" s="114"/>
      <c r="V839" s="114"/>
      <c r="W839" s="114"/>
      <c r="X839" s="114"/>
      <c r="Y839" s="114"/>
      <c r="Z839" s="143"/>
      <c r="AA839" s="114"/>
      <c r="AB839" s="114"/>
      <c r="AC839" s="114"/>
      <c r="AD839" s="143"/>
      <c r="AE839" s="114"/>
      <c r="AF839" s="114"/>
      <c r="AG839" s="143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43"/>
      <c r="AU839" s="114"/>
      <c r="AV839" s="114"/>
      <c r="AW839" s="114"/>
      <c r="AX839" s="114"/>
      <c r="AY839" s="114"/>
      <c r="AZ839" s="114"/>
      <c r="BA839" s="114"/>
      <c r="BB839" s="114"/>
      <c r="BC839" s="114"/>
    </row>
    <row r="840" spans="1:55" ht="15.75" customHeight="1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43"/>
      <c r="M840" s="143"/>
      <c r="N840" s="143"/>
      <c r="O840" s="143"/>
      <c r="P840" s="114"/>
      <c r="Q840" s="114"/>
      <c r="R840" s="114"/>
      <c r="S840" s="143"/>
      <c r="T840" s="114"/>
      <c r="U840" s="114"/>
      <c r="V840" s="114"/>
      <c r="W840" s="114"/>
      <c r="X840" s="114"/>
      <c r="Y840" s="114"/>
      <c r="Z840" s="143"/>
      <c r="AA840" s="114"/>
      <c r="AB840" s="114"/>
      <c r="AC840" s="114"/>
      <c r="AD840" s="143"/>
      <c r="AE840" s="114"/>
      <c r="AF840" s="114"/>
      <c r="AG840" s="143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43"/>
      <c r="AU840" s="114"/>
      <c r="AV840" s="114"/>
      <c r="AW840" s="114"/>
      <c r="AX840" s="114"/>
      <c r="AY840" s="114"/>
      <c r="AZ840" s="114"/>
      <c r="BA840" s="114"/>
      <c r="BB840" s="114"/>
      <c r="BC840" s="114"/>
    </row>
    <row r="841" spans="1:55" ht="15.75" customHeight="1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43"/>
      <c r="M841" s="143"/>
      <c r="N841" s="143"/>
      <c r="O841" s="143"/>
      <c r="P841" s="114"/>
      <c r="Q841" s="114"/>
      <c r="R841" s="114"/>
      <c r="S841" s="143"/>
      <c r="T841" s="114"/>
      <c r="U841" s="114"/>
      <c r="V841" s="114"/>
      <c r="W841" s="114"/>
      <c r="X841" s="114"/>
      <c r="Y841" s="114"/>
      <c r="Z841" s="143"/>
      <c r="AA841" s="114"/>
      <c r="AB841" s="114"/>
      <c r="AC841" s="114"/>
      <c r="AD841" s="143"/>
      <c r="AE841" s="114"/>
      <c r="AF841" s="114"/>
      <c r="AG841" s="143"/>
      <c r="AH841" s="114"/>
      <c r="AI841" s="114"/>
      <c r="AJ841" s="114"/>
      <c r="AK841" s="114"/>
      <c r="AL841" s="114"/>
      <c r="AM841" s="114"/>
      <c r="AN841" s="114"/>
      <c r="AO841" s="114"/>
      <c r="AP841" s="114"/>
      <c r="AQ841" s="114"/>
      <c r="AR841" s="114"/>
      <c r="AS841" s="114"/>
      <c r="AT841" s="143"/>
      <c r="AU841" s="114"/>
      <c r="AV841" s="114"/>
      <c r="AW841" s="114"/>
      <c r="AX841" s="114"/>
      <c r="AY841" s="114"/>
      <c r="AZ841" s="114"/>
      <c r="BA841" s="114"/>
      <c r="BB841" s="114"/>
      <c r="BC841" s="114"/>
    </row>
    <row r="842" spans="1:55" ht="15.75" customHeight="1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43"/>
      <c r="M842" s="143"/>
      <c r="N842" s="143"/>
      <c r="O842" s="143"/>
      <c r="P842" s="114"/>
      <c r="Q842" s="114"/>
      <c r="R842" s="114"/>
      <c r="S842" s="143"/>
      <c r="T842" s="114"/>
      <c r="U842" s="114"/>
      <c r="V842" s="114"/>
      <c r="W842" s="114"/>
      <c r="X842" s="114"/>
      <c r="Y842" s="114"/>
      <c r="Z842" s="143"/>
      <c r="AA842" s="114"/>
      <c r="AB842" s="114"/>
      <c r="AC842" s="114"/>
      <c r="AD842" s="143"/>
      <c r="AE842" s="114"/>
      <c r="AF842" s="114"/>
      <c r="AG842" s="143"/>
      <c r="AH842" s="114"/>
      <c r="AI842" s="114"/>
      <c r="AJ842" s="114"/>
      <c r="AK842" s="114"/>
      <c r="AL842" s="114"/>
      <c r="AM842" s="114"/>
      <c r="AN842" s="114"/>
      <c r="AO842" s="114"/>
      <c r="AP842" s="114"/>
      <c r="AQ842" s="114"/>
      <c r="AR842" s="114"/>
      <c r="AS842" s="114"/>
      <c r="AT842" s="143"/>
      <c r="AU842" s="114"/>
      <c r="AV842" s="114"/>
      <c r="AW842" s="114"/>
      <c r="AX842" s="114"/>
      <c r="AY842" s="114"/>
      <c r="AZ842" s="114"/>
      <c r="BA842" s="114"/>
      <c r="BB842" s="114"/>
      <c r="BC842" s="114"/>
    </row>
    <row r="843" spans="1:55" ht="15.75" customHeight="1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43"/>
      <c r="M843" s="143"/>
      <c r="N843" s="143"/>
      <c r="O843" s="143"/>
      <c r="P843" s="114"/>
      <c r="Q843" s="114"/>
      <c r="R843" s="114"/>
      <c r="S843" s="143"/>
      <c r="T843" s="114"/>
      <c r="U843" s="114"/>
      <c r="V843" s="114"/>
      <c r="W843" s="114"/>
      <c r="X843" s="114"/>
      <c r="Y843" s="114"/>
      <c r="Z843" s="143"/>
      <c r="AA843" s="114"/>
      <c r="AB843" s="114"/>
      <c r="AC843" s="114"/>
      <c r="AD843" s="143"/>
      <c r="AE843" s="114"/>
      <c r="AF843" s="114"/>
      <c r="AG843" s="143"/>
      <c r="AH843" s="114"/>
      <c r="AI843" s="114"/>
      <c r="AJ843" s="114"/>
      <c r="AK843" s="114"/>
      <c r="AL843" s="114"/>
      <c r="AM843" s="114"/>
      <c r="AN843" s="114"/>
      <c r="AO843" s="114"/>
      <c r="AP843" s="114"/>
      <c r="AQ843" s="114"/>
      <c r="AR843" s="114"/>
      <c r="AS843" s="114"/>
      <c r="AT843" s="143"/>
      <c r="AU843" s="114"/>
      <c r="AV843" s="114"/>
      <c r="AW843" s="114"/>
      <c r="AX843" s="114"/>
      <c r="AY843" s="114"/>
      <c r="AZ843" s="114"/>
      <c r="BA843" s="114"/>
      <c r="BB843" s="114"/>
      <c r="BC843" s="114"/>
    </row>
    <row r="844" spans="1:55" ht="15.75" customHeight="1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43"/>
      <c r="M844" s="143"/>
      <c r="N844" s="143"/>
      <c r="O844" s="143"/>
      <c r="P844" s="114"/>
      <c r="Q844" s="114"/>
      <c r="R844" s="114"/>
      <c r="S844" s="143"/>
      <c r="T844" s="114"/>
      <c r="U844" s="114"/>
      <c r="V844" s="114"/>
      <c r="W844" s="114"/>
      <c r="X844" s="114"/>
      <c r="Y844" s="114"/>
      <c r="Z844" s="143"/>
      <c r="AA844" s="114"/>
      <c r="AB844" s="114"/>
      <c r="AC844" s="114"/>
      <c r="AD844" s="143"/>
      <c r="AE844" s="114"/>
      <c r="AF844" s="114"/>
      <c r="AG844" s="143"/>
      <c r="AH844" s="114"/>
      <c r="AI844" s="114"/>
      <c r="AJ844" s="114"/>
      <c r="AK844" s="114"/>
      <c r="AL844" s="114"/>
      <c r="AM844" s="114"/>
      <c r="AN844" s="114"/>
      <c r="AO844" s="114"/>
      <c r="AP844" s="114"/>
      <c r="AQ844" s="114"/>
      <c r="AR844" s="114"/>
      <c r="AS844" s="114"/>
      <c r="AT844" s="143"/>
      <c r="AU844" s="114"/>
      <c r="AV844" s="114"/>
      <c r="AW844" s="114"/>
      <c r="AX844" s="114"/>
      <c r="AY844" s="114"/>
      <c r="AZ844" s="114"/>
      <c r="BA844" s="114"/>
      <c r="BB844" s="114"/>
      <c r="BC844" s="114"/>
    </row>
    <row r="845" spans="1:55" ht="15.75" customHeight="1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43"/>
      <c r="M845" s="143"/>
      <c r="N845" s="143"/>
      <c r="O845" s="143"/>
      <c r="P845" s="114"/>
      <c r="Q845" s="114"/>
      <c r="R845" s="114"/>
      <c r="S845" s="143"/>
      <c r="T845" s="114"/>
      <c r="U845" s="114"/>
      <c r="V845" s="114"/>
      <c r="W845" s="114"/>
      <c r="X845" s="114"/>
      <c r="Y845" s="114"/>
      <c r="Z845" s="143"/>
      <c r="AA845" s="114"/>
      <c r="AB845" s="114"/>
      <c r="AC845" s="114"/>
      <c r="AD845" s="143"/>
      <c r="AE845" s="114"/>
      <c r="AF845" s="114"/>
      <c r="AG845" s="143"/>
      <c r="AH845" s="114"/>
      <c r="AI845" s="114"/>
      <c r="AJ845" s="114"/>
      <c r="AK845" s="114"/>
      <c r="AL845" s="114"/>
      <c r="AM845" s="114"/>
      <c r="AN845" s="114"/>
      <c r="AO845" s="114"/>
      <c r="AP845" s="114"/>
      <c r="AQ845" s="114"/>
      <c r="AR845" s="114"/>
      <c r="AS845" s="114"/>
      <c r="AT845" s="143"/>
      <c r="AU845" s="114"/>
      <c r="AV845" s="114"/>
      <c r="AW845" s="114"/>
      <c r="AX845" s="114"/>
      <c r="AY845" s="114"/>
      <c r="AZ845" s="114"/>
      <c r="BA845" s="114"/>
      <c r="BB845" s="114"/>
      <c r="BC845" s="114"/>
    </row>
    <row r="846" spans="1:55" ht="15.75" customHeight="1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43"/>
      <c r="M846" s="143"/>
      <c r="N846" s="143"/>
      <c r="O846" s="143"/>
      <c r="P846" s="114"/>
      <c r="Q846" s="114"/>
      <c r="R846" s="114"/>
      <c r="S846" s="143"/>
      <c r="T846" s="114"/>
      <c r="U846" s="114"/>
      <c r="V846" s="114"/>
      <c r="W846" s="114"/>
      <c r="X846" s="114"/>
      <c r="Y846" s="114"/>
      <c r="Z846" s="143"/>
      <c r="AA846" s="114"/>
      <c r="AB846" s="114"/>
      <c r="AC846" s="114"/>
      <c r="AD846" s="143"/>
      <c r="AE846" s="114"/>
      <c r="AF846" s="114"/>
      <c r="AG846" s="143"/>
      <c r="AH846" s="114"/>
      <c r="AI846" s="114"/>
      <c r="AJ846" s="114"/>
      <c r="AK846" s="114"/>
      <c r="AL846" s="114"/>
      <c r="AM846" s="114"/>
      <c r="AN846" s="114"/>
      <c r="AO846" s="114"/>
      <c r="AP846" s="114"/>
      <c r="AQ846" s="114"/>
      <c r="AR846" s="114"/>
      <c r="AS846" s="114"/>
      <c r="AT846" s="143"/>
      <c r="AU846" s="114"/>
      <c r="AV846" s="114"/>
      <c r="AW846" s="114"/>
      <c r="AX846" s="114"/>
      <c r="AY846" s="114"/>
      <c r="AZ846" s="114"/>
      <c r="BA846" s="114"/>
      <c r="BB846" s="114"/>
      <c r="BC846" s="114"/>
    </row>
    <row r="847" spans="1:55" ht="15.75" customHeight="1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43"/>
      <c r="M847" s="143"/>
      <c r="N847" s="143"/>
      <c r="O847" s="143"/>
      <c r="P847" s="114"/>
      <c r="Q847" s="114"/>
      <c r="R847" s="114"/>
      <c r="S847" s="143"/>
      <c r="T847" s="114"/>
      <c r="U847" s="114"/>
      <c r="V847" s="114"/>
      <c r="W847" s="114"/>
      <c r="X847" s="114"/>
      <c r="Y847" s="114"/>
      <c r="Z847" s="143"/>
      <c r="AA847" s="114"/>
      <c r="AB847" s="114"/>
      <c r="AC847" s="114"/>
      <c r="AD847" s="143"/>
      <c r="AE847" s="114"/>
      <c r="AF847" s="114"/>
      <c r="AG847" s="143"/>
      <c r="AH847" s="114"/>
      <c r="AI847" s="114"/>
      <c r="AJ847" s="114"/>
      <c r="AK847" s="114"/>
      <c r="AL847" s="114"/>
      <c r="AM847" s="114"/>
      <c r="AN847" s="114"/>
      <c r="AO847" s="114"/>
      <c r="AP847" s="114"/>
      <c r="AQ847" s="114"/>
      <c r="AR847" s="114"/>
      <c r="AS847" s="114"/>
      <c r="AT847" s="143"/>
      <c r="AU847" s="114"/>
      <c r="AV847" s="114"/>
      <c r="AW847" s="114"/>
      <c r="AX847" s="114"/>
      <c r="AY847" s="114"/>
      <c r="AZ847" s="114"/>
      <c r="BA847" s="114"/>
      <c r="BB847" s="114"/>
      <c r="BC847" s="114"/>
    </row>
    <row r="848" spans="1:55" ht="15.75" customHeight="1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43"/>
      <c r="M848" s="143"/>
      <c r="N848" s="143"/>
      <c r="O848" s="143"/>
      <c r="P848" s="114"/>
      <c r="Q848" s="114"/>
      <c r="R848" s="114"/>
      <c r="S848" s="143"/>
      <c r="T848" s="114"/>
      <c r="U848" s="114"/>
      <c r="V848" s="114"/>
      <c r="W848" s="114"/>
      <c r="X848" s="114"/>
      <c r="Y848" s="114"/>
      <c r="Z848" s="143"/>
      <c r="AA848" s="114"/>
      <c r="AB848" s="114"/>
      <c r="AC848" s="114"/>
      <c r="AD848" s="143"/>
      <c r="AE848" s="114"/>
      <c r="AF848" s="114"/>
      <c r="AG848" s="143"/>
      <c r="AH848" s="114"/>
      <c r="AI848" s="114"/>
      <c r="AJ848" s="114"/>
      <c r="AK848" s="114"/>
      <c r="AL848" s="114"/>
      <c r="AM848" s="114"/>
      <c r="AN848" s="114"/>
      <c r="AO848" s="114"/>
      <c r="AP848" s="114"/>
      <c r="AQ848" s="114"/>
      <c r="AR848" s="114"/>
      <c r="AS848" s="114"/>
      <c r="AT848" s="143"/>
      <c r="AU848" s="114"/>
      <c r="AV848" s="114"/>
      <c r="AW848" s="114"/>
      <c r="AX848" s="114"/>
      <c r="AY848" s="114"/>
      <c r="AZ848" s="114"/>
      <c r="BA848" s="114"/>
      <c r="BB848" s="114"/>
      <c r="BC848" s="114"/>
    </row>
    <row r="849" spans="1:55" ht="15.75" customHeight="1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43"/>
      <c r="M849" s="143"/>
      <c r="N849" s="143"/>
      <c r="O849" s="143"/>
      <c r="P849" s="114"/>
      <c r="Q849" s="114"/>
      <c r="R849" s="114"/>
      <c r="S849" s="143"/>
      <c r="T849" s="114"/>
      <c r="U849" s="114"/>
      <c r="V849" s="114"/>
      <c r="W849" s="114"/>
      <c r="X849" s="114"/>
      <c r="Y849" s="114"/>
      <c r="Z849" s="143"/>
      <c r="AA849" s="114"/>
      <c r="AB849" s="114"/>
      <c r="AC849" s="114"/>
      <c r="AD849" s="143"/>
      <c r="AE849" s="114"/>
      <c r="AF849" s="114"/>
      <c r="AG849" s="143"/>
      <c r="AH849" s="114"/>
      <c r="AI849" s="114"/>
      <c r="AJ849" s="114"/>
      <c r="AK849" s="114"/>
      <c r="AL849" s="114"/>
      <c r="AM849" s="114"/>
      <c r="AN849" s="114"/>
      <c r="AO849" s="114"/>
      <c r="AP849" s="114"/>
      <c r="AQ849" s="114"/>
      <c r="AR849" s="114"/>
      <c r="AS849" s="114"/>
      <c r="AT849" s="143"/>
      <c r="AU849" s="114"/>
      <c r="AV849" s="114"/>
      <c r="AW849" s="114"/>
      <c r="AX849" s="114"/>
      <c r="AY849" s="114"/>
      <c r="AZ849" s="114"/>
      <c r="BA849" s="114"/>
      <c r="BB849" s="114"/>
      <c r="BC849" s="114"/>
    </row>
    <row r="850" spans="1:55" ht="15.75" customHeight="1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43"/>
      <c r="M850" s="143"/>
      <c r="N850" s="143"/>
      <c r="O850" s="143"/>
      <c r="P850" s="114"/>
      <c r="Q850" s="114"/>
      <c r="R850" s="114"/>
      <c r="S850" s="143"/>
      <c r="T850" s="114"/>
      <c r="U850" s="114"/>
      <c r="V850" s="114"/>
      <c r="W850" s="114"/>
      <c r="X850" s="114"/>
      <c r="Y850" s="114"/>
      <c r="Z850" s="143"/>
      <c r="AA850" s="114"/>
      <c r="AB850" s="114"/>
      <c r="AC850" s="114"/>
      <c r="AD850" s="143"/>
      <c r="AE850" s="114"/>
      <c r="AF850" s="114"/>
      <c r="AG850" s="143"/>
      <c r="AH850" s="114"/>
      <c r="AI850" s="114"/>
      <c r="AJ850" s="114"/>
      <c r="AK850" s="114"/>
      <c r="AL850" s="114"/>
      <c r="AM850" s="114"/>
      <c r="AN850" s="114"/>
      <c r="AO850" s="114"/>
      <c r="AP850" s="114"/>
      <c r="AQ850" s="114"/>
      <c r="AR850" s="114"/>
      <c r="AS850" s="114"/>
      <c r="AT850" s="143"/>
      <c r="AU850" s="114"/>
      <c r="AV850" s="114"/>
      <c r="AW850" s="114"/>
      <c r="AX850" s="114"/>
      <c r="AY850" s="114"/>
      <c r="AZ850" s="114"/>
      <c r="BA850" s="114"/>
      <c r="BB850" s="114"/>
      <c r="BC850" s="114"/>
    </row>
    <row r="851" spans="1:55" ht="15.75" customHeight="1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43"/>
      <c r="M851" s="143"/>
      <c r="N851" s="143"/>
      <c r="O851" s="143"/>
      <c r="P851" s="114"/>
      <c r="Q851" s="114"/>
      <c r="R851" s="114"/>
      <c r="S851" s="143"/>
      <c r="T851" s="114"/>
      <c r="U851" s="114"/>
      <c r="V851" s="114"/>
      <c r="W851" s="114"/>
      <c r="X851" s="114"/>
      <c r="Y851" s="114"/>
      <c r="Z851" s="143"/>
      <c r="AA851" s="114"/>
      <c r="AB851" s="114"/>
      <c r="AC851" s="114"/>
      <c r="AD851" s="143"/>
      <c r="AE851" s="114"/>
      <c r="AF851" s="114"/>
      <c r="AG851" s="143"/>
      <c r="AH851" s="114"/>
      <c r="AI851" s="114"/>
      <c r="AJ851" s="114"/>
      <c r="AK851" s="114"/>
      <c r="AL851" s="114"/>
      <c r="AM851" s="114"/>
      <c r="AN851" s="114"/>
      <c r="AO851" s="114"/>
      <c r="AP851" s="114"/>
      <c r="AQ851" s="114"/>
      <c r="AR851" s="114"/>
      <c r="AS851" s="114"/>
      <c r="AT851" s="143"/>
      <c r="AU851" s="114"/>
      <c r="AV851" s="114"/>
      <c r="AW851" s="114"/>
      <c r="AX851" s="114"/>
      <c r="AY851" s="114"/>
      <c r="AZ851" s="114"/>
      <c r="BA851" s="114"/>
      <c r="BB851" s="114"/>
      <c r="BC851" s="114"/>
    </row>
    <row r="852" spans="1:55" ht="15.75" customHeight="1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43"/>
      <c r="M852" s="143"/>
      <c r="N852" s="143"/>
      <c r="O852" s="143"/>
      <c r="P852" s="114"/>
      <c r="Q852" s="114"/>
      <c r="R852" s="114"/>
      <c r="S852" s="143"/>
      <c r="T852" s="114"/>
      <c r="U852" s="114"/>
      <c r="V852" s="114"/>
      <c r="W852" s="114"/>
      <c r="X852" s="114"/>
      <c r="Y852" s="114"/>
      <c r="Z852" s="143"/>
      <c r="AA852" s="114"/>
      <c r="AB852" s="114"/>
      <c r="AC852" s="114"/>
      <c r="AD852" s="143"/>
      <c r="AE852" s="114"/>
      <c r="AF852" s="114"/>
      <c r="AG852" s="143"/>
      <c r="AH852" s="114"/>
      <c r="AI852" s="114"/>
      <c r="AJ852" s="114"/>
      <c r="AK852" s="114"/>
      <c r="AL852" s="114"/>
      <c r="AM852" s="114"/>
      <c r="AN852" s="114"/>
      <c r="AO852" s="114"/>
      <c r="AP852" s="114"/>
      <c r="AQ852" s="114"/>
      <c r="AR852" s="114"/>
      <c r="AS852" s="114"/>
      <c r="AT852" s="143"/>
      <c r="AU852" s="114"/>
      <c r="AV852" s="114"/>
      <c r="AW852" s="114"/>
      <c r="AX852" s="114"/>
      <c r="AY852" s="114"/>
      <c r="AZ852" s="114"/>
      <c r="BA852" s="114"/>
      <c r="BB852" s="114"/>
      <c r="BC852" s="114"/>
    </row>
    <row r="853" spans="1:55" ht="15.75" customHeight="1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43"/>
      <c r="M853" s="143"/>
      <c r="N853" s="143"/>
      <c r="O853" s="143"/>
      <c r="P853" s="114"/>
      <c r="Q853" s="114"/>
      <c r="R853" s="114"/>
      <c r="S853" s="143"/>
      <c r="T853" s="114"/>
      <c r="U853" s="114"/>
      <c r="V853" s="114"/>
      <c r="W853" s="114"/>
      <c r="X853" s="114"/>
      <c r="Y853" s="114"/>
      <c r="Z853" s="143"/>
      <c r="AA853" s="114"/>
      <c r="AB853" s="114"/>
      <c r="AC853" s="114"/>
      <c r="AD853" s="143"/>
      <c r="AE853" s="114"/>
      <c r="AF853" s="114"/>
      <c r="AG853" s="143"/>
      <c r="AH853" s="114"/>
      <c r="AI853" s="114"/>
      <c r="AJ853" s="114"/>
      <c r="AK853" s="114"/>
      <c r="AL853" s="114"/>
      <c r="AM853" s="114"/>
      <c r="AN853" s="114"/>
      <c r="AO853" s="114"/>
      <c r="AP853" s="114"/>
      <c r="AQ853" s="114"/>
      <c r="AR853" s="114"/>
      <c r="AS853" s="114"/>
      <c r="AT853" s="143"/>
      <c r="AU853" s="114"/>
      <c r="AV853" s="114"/>
      <c r="AW853" s="114"/>
      <c r="AX853" s="114"/>
      <c r="AY853" s="114"/>
      <c r="AZ853" s="114"/>
      <c r="BA853" s="114"/>
      <c r="BB853" s="114"/>
      <c r="BC853" s="114"/>
    </row>
    <row r="854" spans="1:55" ht="15.75" customHeight="1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43"/>
      <c r="M854" s="143"/>
      <c r="N854" s="143"/>
      <c r="O854" s="143"/>
      <c r="P854" s="114"/>
      <c r="Q854" s="114"/>
      <c r="R854" s="114"/>
      <c r="S854" s="143"/>
      <c r="T854" s="114"/>
      <c r="U854" s="114"/>
      <c r="V854" s="114"/>
      <c r="W854" s="114"/>
      <c r="X854" s="114"/>
      <c r="Y854" s="114"/>
      <c r="Z854" s="143"/>
      <c r="AA854" s="114"/>
      <c r="AB854" s="114"/>
      <c r="AC854" s="114"/>
      <c r="AD854" s="143"/>
      <c r="AE854" s="114"/>
      <c r="AF854" s="114"/>
      <c r="AG854" s="143"/>
      <c r="AH854" s="114"/>
      <c r="AI854" s="114"/>
      <c r="AJ854" s="114"/>
      <c r="AK854" s="114"/>
      <c r="AL854" s="114"/>
      <c r="AM854" s="114"/>
      <c r="AN854" s="114"/>
      <c r="AO854" s="114"/>
      <c r="AP854" s="114"/>
      <c r="AQ854" s="114"/>
      <c r="AR854" s="114"/>
      <c r="AS854" s="114"/>
      <c r="AT854" s="143"/>
      <c r="AU854" s="114"/>
      <c r="AV854" s="114"/>
      <c r="AW854" s="114"/>
      <c r="AX854" s="114"/>
      <c r="AY854" s="114"/>
      <c r="AZ854" s="114"/>
      <c r="BA854" s="114"/>
      <c r="BB854" s="114"/>
      <c r="BC854" s="114"/>
    </row>
    <row r="855" spans="1:55" ht="15.75" customHeight="1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43"/>
      <c r="M855" s="143"/>
      <c r="N855" s="143"/>
      <c r="O855" s="143"/>
      <c r="P855" s="114"/>
      <c r="Q855" s="114"/>
      <c r="R855" s="114"/>
      <c r="S855" s="143"/>
      <c r="T855" s="114"/>
      <c r="U855" s="114"/>
      <c r="V855" s="114"/>
      <c r="W855" s="114"/>
      <c r="X855" s="114"/>
      <c r="Y855" s="114"/>
      <c r="Z855" s="143"/>
      <c r="AA855" s="114"/>
      <c r="AB855" s="114"/>
      <c r="AC855" s="114"/>
      <c r="AD855" s="143"/>
      <c r="AE855" s="114"/>
      <c r="AF855" s="114"/>
      <c r="AG855" s="143"/>
      <c r="AH855" s="114"/>
      <c r="AI855" s="114"/>
      <c r="AJ855" s="114"/>
      <c r="AK855" s="114"/>
      <c r="AL855" s="114"/>
      <c r="AM855" s="114"/>
      <c r="AN855" s="114"/>
      <c r="AO855" s="114"/>
      <c r="AP855" s="114"/>
      <c r="AQ855" s="114"/>
      <c r="AR855" s="114"/>
      <c r="AS855" s="114"/>
      <c r="AT855" s="143"/>
      <c r="AU855" s="114"/>
      <c r="AV855" s="114"/>
      <c r="AW855" s="114"/>
      <c r="AX855" s="114"/>
      <c r="AY855" s="114"/>
      <c r="AZ855" s="114"/>
      <c r="BA855" s="114"/>
      <c r="BB855" s="114"/>
      <c r="BC855" s="114"/>
    </row>
    <row r="856" spans="1:55" ht="15.75" customHeight="1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43"/>
      <c r="M856" s="143"/>
      <c r="N856" s="143"/>
      <c r="O856" s="143"/>
      <c r="P856" s="114"/>
      <c r="Q856" s="114"/>
      <c r="R856" s="114"/>
      <c r="S856" s="143"/>
      <c r="T856" s="114"/>
      <c r="U856" s="114"/>
      <c r="V856" s="114"/>
      <c r="W856" s="114"/>
      <c r="X856" s="114"/>
      <c r="Y856" s="114"/>
      <c r="Z856" s="143"/>
      <c r="AA856" s="114"/>
      <c r="AB856" s="114"/>
      <c r="AC856" s="114"/>
      <c r="AD856" s="143"/>
      <c r="AE856" s="114"/>
      <c r="AF856" s="114"/>
      <c r="AG856" s="143"/>
      <c r="AH856" s="114"/>
      <c r="AI856" s="114"/>
      <c r="AJ856" s="114"/>
      <c r="AK856" s="114"/>
      <c r="AL856" s="114"/>
      <c r="AM856" s="114"/>
      <c r="AN856" s="114"/>
      <c r="AO856" s="114"/>
      <c r="AP856" s="114"/>
      <c r="AQ856" s="114"/>
      <c r="AR856" s="114"/>
      <c r="AS856" s="114"/>
      <c r="AT856" s="143"/>
      <c r="AU856" s="114"/>
      <c r="AV856" s="114"/>
      <c r="AW856" s="114"/>
      <c r="AX856" s="114"/>
      <c r="AY856" s="114"/>
      <c r="AZ856" s="114"/>
      <c r="BA856" s="114"/>
      <c r="BB856" s="114"/>
      <c r="BC856" s="114"/>
    </row>
    <row r="857" spans="1:55" ht="15.75" customHeight="1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43"/>
      <c r="M857" s="143"/>
      <c r="N857" s="143"/>
      <c r="O857" s="143"/>
      <c r="P857" s="114"/>
      <c r="Q857" s="114"/>
      <c r="R857" s="114"/>
      <c r="S857" s="143"/>
      <c r="T857" s="114"/>
      <c r="U857" s="114"/>
      <c r="V857" s="114"/>
      <c r="W857" s="114"/>
      <c r="X857" s="114"/>
      <c r="Y857" s="114"/>
      <c r="Z857" s="143"/>
      <c r="AA857" s="114"/>
      <c r="AB857" s="114"/>
      <c r="AC857" s="114"/>
      <c r="AD857" s="143"/>
      <c r="AE857" s="114"/>
      <c r="AF857" s="114"/>
      <c r="AG857" s="143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43"/>
      <c r="AU857" s="114"/>
      <c r="AV857" s="114"/>
      <c r="AW857" s="114"/>
      <c r="AX857" s="114"/>
      <c r="AY857" s="114"/>
      <c r="AZ857" s="114"/>
      <c r="BA857" s="114"/>
      <c r="BB857" s="114"/>
      <c r="BC857" s="114"/>
    </row>
    <row r="858" spans="1:55" ht="15.75" customHeight="1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43"/>
      <c r="M858" s="143"/>
      <c r="N858" s="143"/>
      <c r="O858" s="143"/>
      <c r="P858" s="114"/>
      <c r="Q858" s="114"/>
      <c r="R858" s="114"/>
      <c r="S858" s="143"/>
      <c r="T858" s="114"/>
      <c r="U858" s="114"/>
      <c r="V858" s="114"/>
      <c r="W858" s="114"/>
      <c r="X858" s="114"/>
      <c r="Y858" s="114"/>
      <c r="Z858" s="143"/>
      <c r="AA858" s="114"/>
      <c r="AB858" s="114"/>
      <c r="AC858" s="114"/>
      <c r="AD858" s="143"/>
      <c r="AE858" s="114"/>
      <c r="AF858" s="114"/>
      <c r="AG858" s="143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43"/>
      <c r="AU858" s="114"/>
      <c r="AV858" s="114"/>
      <c r="AW858" s="114"/>
      <c r="AX858" s="114"/>
      <c r="AY858" s="114"/>
      <c r="AZ858" s="114"/>
      <c r="BA858" s="114"/>
      <c r="BB858" s="114"/>
      <c r="BC858" s="114"/>
    </row>
    <row r="859" spans="1:55" ht="15.75" customHeight="1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43"/>
      <c r="M859" s="143"/>
      <c r="N859" s="143"/>
      <c r="O859" s="143"/>
      <c r="P859" s="114"/>
      <c r="Q859" s="114"/>
      <c r="R859" s="114"/>
      <c r="S859" s="143"/>
      <c r="T859" s="114"/>
      <c r="U859" s="114"/>
      <c r="V859" s="114"/>
      <c r="W859" s="114"/>
      <c r="X859" s="114"/>
      <c r="Y859" s="114"/>
      <c r="Z859" s="143"/>
      <c r="AA859" s="114"/>
      <c r="AB859" s="114"/>
      <c r="AC859" s="114"/>
      <c r="AD859" s="143"/>
      <c r="AE859" s="114"/>
      <c r="AF859" s="114"/>
      <c r="AG859" s="143"/>
      <c r="AH859" s="114"/>
      <c r="AI859" s="114"/>
      <c r="AJ859" s="114"/>
      <c r="AK859" s="114"/>
      <c r="AL859" s="114"/>
      <c r="AM859" s="114"/>
      <c r="AN859" s="114"/>
      <c r="AO859" s="114"/>
      <c r="AP859" s="114"/>
      <c r="AQ859" s="114"/>
      <c r="AR859" s="114"/>
      <c r="AS859" s="114"/>
      <c r="AT859" s="143"/>
      <c r="AU859" s="114"/>
      <c r="AV859" s="114"/>
      <c r="AW859" s="114"/>
      <c r="AX859" s="114"/>
      <c r="AY859" s="114"/>
      <c r="AZ859" s="114"/>
      <c r="BA859" s="114"/>
      <c r="BB859" s="114"/>
      <c r="BC859" s="114"/>
    </row>
    <row r="860" spans="1:55" ht="15.75" customHeight="1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43"/>
      <c r="M860" s="143"/>
      <c r="N860" s="143"/>
      <c r="O860" s="143"/>
      <c r="P860" s="114"/>
      <c r="Q860" s="114"/>
      <c r="R860" s="114"/>
      <c r="S860" s="143"/>
      <c r="T860" s="114"/>
      <c r="U860" s="114"/>
      <c r="V860" s="114"/>
      <c r="W860" s="114"/>
      <c r="X860" s="114"/>
      <c r="Y860" s="114"/>
      <c r="Z860" s="143"/>
      <c r="AA860" s="114"/>
      <c r="AB860" s="114"/>
      <c r="AC860" s="114"/>
      <c r="AD860" s="143"/>
      <c r="AE860" s="114"/>
      <c r="AF860" s="114"/>
      <c r="AG860" s="143"/>
      <c r="AH860" s="114"/>
      <c r="AI860" s="114"/>
      <c r="AJ860" s="114"/>
      <c r="AK860" s="114"/>
      <c r="AL860" s="114"/>
      <c r="AM860" s="114"/>
      <c r="AN860" s="114"/>
      <c r="AO860" s="114"/>
      <c r="AP860" s="114"/>
      <c r="AQ860" s="114"/>
      <c r="AR860" s="114"/>
      <c r="AS860" s="114"/>
      <c r="AT860" s="143"/>
      <c r="AU860" s="114"/>
      <c r="AV860" s="114"/>
      <c r="AW860" s="114"/>
      <c r="AX860" s="114"/>
      <c r="AY860" s="114"/>
      <c r="AZ860" s="114"/>
      <c r="BA860" s="114"/>
      <c r="BB860" s="114"/>
      <c r="BC860" s="114"/>
    </row>
    <row r="861" spans="1:55" ht="15.75" customHeight="1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43"/>
      <c r="M861" s="143"/>
      <c r="N861" s="143"/>
      <c r="O861" s="143"/>
      <c r="P861" s="114"/>
      <c r="Q861" s="114"/>
      <c r="R861" s="114"/>
      <c r="S861" s="143"/>
      <c r="T861" s="114"/>
      <c r="U861" s="114"/>
      <c r="V861" s="114"/>
      <c r="W861" s="114"/>
      <c r="X861" s="114"/>
      <c r="Y861" s="114"/>
      <c r="Z861" s="143"/>
      <c r="AA861" s="114"/>
      <c r="AB861" s="114"/>
      <c r="AC861" s="114"/>
      <c r="AD861" s="143"/>
      <c r="AE861" s="114"/>
      <c r="AF861" s="114"/>
      <c r="AG861" s="143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43"/>
      <c r="AU861" s="114"/>
      <c r="AV861" s="114"/>
      <c r="AW861" s="114"/>
      <c r="AX861" s="114"/>
      <c r="AY861" s="114"/>
      <c r="AZ861" s="114"/>
      <c r="BA861" s="114"/>
      <c r="BB861" s="114"/>
      <c r="BC861" s="114"/>
    </row>
    <row r="862" spans="1:55" ht="15.75" customHeight="1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43"/>
      <c r="M862" s="143"/>
      <c r="N862" s="143"/>
      <c r="O862" s="143"/>
      <c r="P862" s="114"/>
      <c r="Q862" s="114"/>
      <c r="R862" s="114"/>
      <c r="S862" s="143"/>
      <c r="T862" s="114"/>
      <c r="U862" s="114"/>
      <c r="V862" s="114"/>
      <c r="W862" s="114"/>
      <c r="X862" s="114"/>
      <c r="Y862" s="114"/>
      <c r="Z862" s="143"/>
      <c r="AA862" s="114"/>
      <c r="AB862" s="114"/>
      <c r="AC862" s="114"/>
      <c r="AD862" s="143"/>
      <c r="AE862" s="114"/>
      <c r="AF862" s="114"/>
      <c r="AG862" s="143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43"/>
      <c r="AU862" s="114"/>
      <c r="AV862" s="114"/>
      <c r="AW862" s="114"/>
      <c r="AX862" s="114"/>
      <c r="AY862" s="114"/>
      <c r="AZ862" s="114"/>
      <c r="BA862" s="114"/>
      <c r="BB862" s="114"/>
      <c r="BC862" s="114"/>
    </row>
    <row r="863" spans="1:55" ht="15.75" customHeight="1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43"/>
      <c r="M863" s="143"/>
      <c r="N863" s="143"/>
      <c r="O863" s="143"/>
      <c r="P863" s="114"/>
      <c r="Q863" s="114"/>
      <c r="R863" s="114"/>
      <c r="S863" s="143"/>
      <c r="T863" s="114"/>
      <c r="U863" s="114"/>
      <c r="V863" s="114"/>
      <c r="W863" s="114"/>
      <c r="X863" s="114"/>
      <c r="Y863" s="114"/>
      <c r="Z863" s="143"/>
      <c r="AA863" s="114"/>
      <c r="AB863" s="114"/>
      <c r="AC863" s="114"/>
      <c r="AD863" s="143"/>
      <c r="AE863" s="114"/>
      <c r="AF863" s="114"/>
      <c r="AG863" s="143"/>
      <c r="AH863" s="114"/>
      <c r="AI863" s="114"/>
      <c r="AJ863" s="114"/>
      <c r="AK863" s="114"/>
      <c r="AL863" s="114"/>
      <c r="AM863" s="114"/>
      <c r="AN863" s="114"/>
      <c r="AO863" s="114"/>
      <c r="AP863" s="114"/>
      <c r="AQ863" s="114"/>
      <c r="AR863" s="114"/>
      <c r="AS863" s="114"/>
      <c r="AT863" s="143"/>
      <c r="AU863" s="114"/>
      <c r="AV863" s="114"/>
      <c r="AW863" s="114"/>
      <c r="AX863" s="114"/>
      <c r="AY863" s="114"/>
      <c r="AZ863" s="114"/>
      <c r="BA863" s="114"/>
      <c r="BB863" s="114"/>
      <c r="BC863" s="114"/>
    </row>
    <row r="864" spans="1:55" ht="15.75" customHeight="1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43"/>
      <c r="M864" s="143"/>
      <c r="N864" s="143"/>
      <c r="O864" s="143"/>
      <c r="P864" s="114"/>
      <c r="Q864" s="114"/>
      <c r="R864" s="114"/>
      <c r="S864" s="143"/>
      <c r="T864" s="114"/>
      <c r="U864" s="114"/>
      <c r="V864" s="114"/>
      <c r="W864" s="114"/>
      <c r="X864" s="114"/>
      <c r="Y864" s="114"/>
      <c r="Z864" s="143"/>
      <c r="AA864" s="114"/>
      <c r="AB864" s="114"/>
      <c r="AC864" s="114"/>
      <c r="AD864" s="143"/>
      <c r="AE864" s="114"/>
      <c r="AF864" s="114"/>
      <c r="AG864" s="143"/>
      <c r="AH864" s="114"/>
      <c r="AI864" s="114"/>
      <c r="AJ864" s="114"/>
      <c r="AK864" s="114"/>
      <c r="AL864" s="114"/>
      <c r="AM864" s="114"/>
      <c r="AN864" s="114"/>
      <c r="AO864" s="114"/>
      <c r="AP864" s="114"/>
      <c r="AQ864" s="114"/>
      <c r="AR864" s="114"/>
      <c r="AS864" s="114"/>
      <c r="AT864" s="143"/>
      <c r="AU864" s="114"/>
      <c r="AV864" s="114"/>
      <c r="AW864" s="114"/>
      <c r="AX864" s="114"/>
      <c r="AY864" s="114"/>
      <c r="AZ864" s="114"/>
      <c r="BA864" s="114"/>
      <c r="BB864" s="114"/>
      <c r="BC864" s="114"/>
    </row>
    <row r="865" spans="1:55" ht="15.75" customHeight="1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43"/>
      <c r="M865" s="143"/>
      <c r="N865" s="143"/>
      <c r="O865" s="143"/>
      <c r="P865" s="114"/>
      <c r="Q865" s="114"/>
      <c r="R865" s="114"/>
      <c r="S865" s="143"/>
      <c r="T865" s="114"/>
      <c r="U865" s="114"/>
      <c r="V865" s="114"/>
      <c r="W865" s="114"/>
      <c r="X865" s="114"/>
      <c r="Y865" s="114"/>
      <c r="Z865" s="143"/>
      <c r="AA865" s="114"/>
      <c r="AB865" s="114"/>
      <c r="AC865" s="114"/>
      <c r="AD865" s="143"/>
      <c r="AE865" s="114"/>
      <c r="AF865" s="114"/>
      <c r="AG865" s="143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43"/>
      <c r="AU865" s="114"/>
      <c r="AV865" s="114"/>
      <c r="AW865" s="114"/>
      <c r="AX865" s="114"/>
      <c r="AY865" s="114"/>
      <c r="AZ865" s="114"/>
      <c r="BA865" s="114"/>
      <c r="BB865" s="114"/>
      <c r="BC865" s="114"/>
    </row>
    <row r="866" spans="1:55" ht="15.75" customHeight="1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43"/>
      <c r="M866" s="143"/>
      <c r="N866" s="143"/>
      <c r="O866" s="143"/>
      <c r="P866" s="114"/>
      <c r="Q866" s="114"/>
      <c r="R866" s="114"/>
      <c r="S866" s="143"/>
      <c r="T866" s="114"/>
      <c r="U866" s="114"/>
      <c r="V866" s="114"/>
      <c r="W866" s="114"/>
      <c r="X866" s="114"/>
      <c r="Y866" s="114"/>
      <c r="Z866" s="143"/>
      <c r="AA866" s="114"/>
      <c r="AB866" s="114"/>
      <c r="AC866" s="114"/>
      <c r="AD866" s="143"/>
      <c r="AE866" s="114"/>
      <c r="AF866" s="114"/>
      <c r="AG866" s="143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43"/>
      <c r="AU866" s="114"/>
      <c r="AV866" s="114"/>
      <c r="AW866" s="114"/>
      <c r="AX866" s="114"/>
      <c r="AY866" s="114"/>
      <c r="AZ866" s="114"/>
      <c r="BA866" s="114"/>
      <c r="BB866" s="114"/>
      <c r="BC866" s="114"/>
    </row>
    <row r="867" spans="1:55" ht="15.75" customHeight="1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43"/>
      <c r="M867" s="143"/>
      <c r="N867" s="143"/>
      <c r="O867" s="143"/>
      <c r="P867" s="114"/>
      <c r="Q867" s="114"/>
      <c r="R867" s="114"/>
      <c r="S867" s="143"/>
      <c r="T867" s="114"/>
      <c r="U867" s="114"/>
      <c r="V867" s="114"/>
      <c r="W867" s="114"/>
      <c r="X867" s="114"/>
      <c r="Y867" s="114"/>
      <c r="Z867" s="143"/>
      <c r="AA867" s="114"/>
      <c r="AB867" s="114"/>
      <c r="AC867" s="114"/>
      <c r="AD867" s="143"/>
      <c r="AE867" s="114"/>
      <c r="AF867" s="114"/>
      <c r="AG867" s="143"/>
      <c r="AH867" s="114"/>
      <c r="AI867" s="114"/>
      <c r="AJ867" s="114"/>
      <c r="AK867" s="114"/>
      <c r="AL867" s="114"/>
      <c r="AM867" s="114"/>
      <c r="AN867" s="114"/>
      <c r="AO867" s="114"/>
      <c r="AP867" s="114"/>
      <c r="AQ867" s="114"/>
      <c r="AR867" s="114"/>
      <c r="AS867" s="114"/>
      <c r="AT867" s="143"/>
      <c r="AU867" s="114"/>
      <c r="AV867" s="114"/>
      <c r="AW867" s="114"/>
      <c r="AX867" s="114"/>
      <c r="AY867" s="114"/>
      <c r="AZ867" s="114"/>
      <c r="BA867" s="114"/>
      <c r="BB867" s="114"/>
      <c r="BC867" s="114"/>
    </row>
    <row r="868" spans="1:55" ht="15.75" customHeight="1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43"/>
      <c r="M868" s="143"/>
      <c r="N868" s="143"/>
      <c r="O868" s="143"/>
      <c r="P868" s="114"/>
      <c r="Q868" s="114"/>
      <c r="R868" s="114"/>
      <c r="S868" s="143"/>
      <c r="T868" s="114"/>
      <c r="U868" s="114"/>
      <c r="V868" s="114"/>
      <c r="W868" s="114"/>
      <c r="X868" s="114"/>
      <c r="Y868" s="114"/>
      <c r="Z868" s="143"/>
      <c r="AA868" s="114"/>
      <c r="AB868" s="114"/>
      <c r="AC868" s="114"/>
      <c r="AD868" s="143"/>
      <c r="AE868" s="114"/>
      <c r="AF868" s="114"/>
      <c r="AG868" s="143"/>
      <c r="AH868" s="114"/>
      <c r="AI868" s="114"/>
      <c r="AJ868" s="114"/>
      <c r="AK868" s="114"/>
      <c r="AL868" s="114"/>
      <c r="AM868" s="114"/>
      <c r="AN868" s="114"/>
      <c r="AO868" s="114"/>
      <c r="AP868" s="114"/>
      <c r="AQ868" s="114"/>
      <c r="AR868" s="114"/>
      <c r="AS868" s="114"/>
      <c r="AT868" s="143"/>
      <c r="AU868" s="114"/>
      <c r="AV868" s="114"/>
      <c r="AW868" s="114"/>
      <c r="AX868" s="114"/>
      <c r="AY868" s="114"/>
      <c r="AZ868" s="114"/>
      <c r="BA868" s="114"/>
      <c r="BB868" s="114"/>
      <c r="BC868" s="114"/>
    </row>
    <row r="869" spans="1:55" ht="15.75" customHeight="1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43"/>
      <c r="M869" s="143"/>
      <c r="N869" s="143"/>
      <c r="O869" s="143"/>
      <c r="P869" s="114"/>
      <c r="Q869" s="114"/>
      <c r="R869" s="114"/>
      <c r="S869" s="143"/>
      <c r="T869" s="114"/>
      <c r="U869" s="114"/>
      <c r="V869" s="114"/>
      <c r="W869" s="114"/>
      <c r="X869" s="114"/>
      <c r="Y869" s="114"/>
      <c r="Z869" s="143"/>
      <c r="AA869" s="114"/>
      <c r="AB869" s="114"/>
      <c r="AC869" s="114"/>
      <c r="AD869" s="143"/>
      <c r="AE869" s="114"/>
      <c r="AF869" s="114"/>
      <c r="AG869" s="143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43"/>
      <c r="AU869" s="114"/>
      <c r="AV869" s="114"/>
      <c r="AW869" s="114"/>
      <c r="AX869" s="114"/>
      <c r="AY869" s="114"/>
      <c r="AZ869" s="114"/>
      <c r="BA869" s="114"/>
      <c r="BB869" s="114"/>
      <c r="BC869" s="114"/>
    </row>
    <row r="870" spans="1:55" ht="15.75" customHeight="1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43"/>
      <c r="M870" s="143"/>
      <c r="N870" s="143"/>
      <c r="O870" s="143"/>
      <c r="P870" s="114"/>
      <c r="Q870" s="114"/>
      <c r="R870" s="114"/>
      <c r="S870" s="143"/>
      <c r="T870" s="114"/>
      <c r="U870" s="114"/>
      <c r="V870" s="114"/>
      <c r="W870" s="114"/>
      <c r="X870" s="114"/>
      <c r="Y870" s="114"/>
      <c r="Z870" s="143"/>
      <c r="AA870" s="114"/>
      <c r="AB870" s="114"/>
      <c r="AC870" s="114"/>
      <c r="AD870" s="143"/>
      <c r="AE870" s="114"/>
      <c r="AF870" s="114"/>
      <c r="AG870" s="143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43"/>
      <c r="AU870" s="114"/>
      <c r="AV870" s="114"/>
      <c r="AW870" s="114"/>
      <c r="AX870" s="114"/>
      <c r="AY870" s="114"/>
      <c r="AZ870" s="114"/>
      <c r="BA870" s="114"/>
      <c r="BB870" s="114"/>
      <c r="BC870" s="114"/>
    </row>
    <row r="871" spans="1:55" ht="15.75" customHeight="1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43"/>
      <c r="M871" s="143"/>
      <c r="N871" s="143"/>
      <c r="O871" s="143"/>
      <c r="P871" s="114"/>
      <c r="Q871" s="114"/>
      <c r="R871" s="114"/>
      <c r="S871" s="143"/>
      <c r="T871" s="114"/>
      <c r="U871" s="114"/>
      <c r="V871" s="114"/>
      <c r="W871" s="114"/>
      <c r="X871" s="114"/>
      <c r="Y871" s="114"/>
      <c r="Z871" s="143"/>
      <c r="AA871" s="114"/>
      <c r="AB871" s="114"/>
      <c r="AC871" s="114"/>
      <c r="AD871" s="143"/>
      <c r="AE871" s="114"/>
      <c r="AF871" s="114"/>
      <c r="AG871" s="143"/>
      <c r="AH871" s="114"/>
      <c r="AI871" s="114"/>
      <c r="AJ871" s="114"/>
      <c r="AK871" s="114"/>
      <c r="AL871" s="114"/>
      <c r="AM871" s="114"/>
      <c r="AN871" s="114"/>
      <c r="AO871" s="114"/>
      <c r="AP871" s="114"/>
      <c r="AQ871" s="114"/>
      <c r="AR871" s="114"/>
      <c r="AS871" s="114"/>
      <c r="AT871" s="143"/>
      <c r="AU871" s="114"/>
      <c r="AV871" s="114"/>
      <c r="AW871" s="114"/>
      <c r="AX871" s="114"/>
      <c r="AY871" s="114"/>
      <c r="AZ871" s="114"/>
      <c r="BA871" s="114"/>
      <c r="BB871" s="114"/>
      <c r="BC871" s="114"/>
    </row>
    <row r="872" spans="1:55" ht="15.75" customHeight="1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43"/>
      <c r="M872" s="143"/>
      <c r="N872" s="143"/>
      <c r="O872" s="143"/>
      <c r="P872" s="114"/>
      <c r="Q872" s="114"/>
      <c r="R872" s="114"/>
      <c r="S872" s="143"/>
      <c r="T872" s="114"/>
      <c r="U872" s="114"/>
      <c r="V872" s="114"/>
      <c r="W872" s="114"/>
      <c r="X872" s="114"/>
      <c r="Y872" s="114"/>
      <c r="Z872" s="143"/>
      <c r="AA872" s="114"/>
      <c r="AB872" s="114"/>
      <c r="AC872" s="114"/>
      <c r="AD872" s="143"/>
      <c r="AE872" s="114"/>
      <c r="AF872" s="114"/>
      <c r="AG872" s="143"/>
      <c r="AH872" s="114"/>
      <c r="AI872" s="114"/>
      <c r="AJ872" s="114"/>
      <c r="AK872" s="114"/>
      <c r="AL872" s="114"/>
      <c r="AM872" s="114"/>
      <c r="AN872" s="114"/>
      <c r="AO872" s="114"/>
      <c r="AP872" s="114"/>
      <c r="AQ872" s="114"/>
      <c r="AR872" s="114"/>
      <c r="AS872" s="114"/>
      <c r="AT872" s="143"/>
      <c r="AU872" s="114"/>
      <c r="AV872" s="114"/>
      <c r="AW872" s="114"/>
      <c r="AX872" s="114"/>
      <c r="AY872" s="114"/>
      <c r="AZ872" s="114"/>
      <c r="BA872" s="114"/>
      <c r="BB872" s="114"/>
      <c r="BC872" s="114"/>
    </row>
    <row r="873" spans="1:55" ht="15.75" customHeight="1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43"/>
      <c r="M873" s="143"/>
      <c r="N873" s="143"/>
      <c r="O873" s="143"/>
      <c r="P873" s="114"/>
      <c r="Q873" s="114"/>
      <c r="R873" s="114"/>
      <c r="S873" s="143"/>
      <c r="T873" s="114"/>
      <c r="U873" s="114"/>
      <c r="V873" s="114"/>
      <c r="W873" s="114"/>
      <c r="X873" s="114"/>
      <c r="Y873" s="114"/>
      <c r="Z873" s="143"/>
      <c r="AA873" s="114"/>
      <c r="AB873" s="114"/>
      <c r="AC873" s="114"/>
      <c r="AD873" s="143"/>
      <c r="AE873" s="114"/>
      <c r="AF873" s="114"/>
      <c r="AG873" s="143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43"/>
      <c r="AU873" s="114"/>
      <c r="AV873" s="114"/>
      <c r="AW873" s="114"/>
      <c r="AX873" s="114"/>
      <c r="AY873" s="114"/>
      <c r="AZ873" s="114"/>
      <c r="BA873" s="114"/>
      <c r="BB873" s="114"/>
      <c r="BC873" s="114"/>
    </row>
    <row r="874" spans="1:55" ht="15.75" customHeight="1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43"/>
      <c r="M874" s="143"/>
      <c r="N874" s="143"/>
      <c r="O874" s="143"/>
      <c r="P874" s="114"/>
      <c r="Q874" s="114"/>
      <c r="R874" s="114"/>
      <c r="S874" s="143"/>
      <c r="T874" s="114"/>
      <c r="U874" s="114"/>
      <c r="V874" s="114"/>
      <c r="W874" s="114"/>
      <c r="X874" s="114"/>
      <c r="Y874" s="114"/>
      <c r="Z874" s="143"/>
      <c r="AA874" s="114"/>
      <c r="AB874" s="114"/>
      <c r="AC874" s="114"/>
      <c r="AD874" s="143"/>
      <c r="AE874" s="114"/>
      <c r="AF874" s="114"/>
      <c r="AG874" s="143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43"/>
      <c r="AU874" s="114"/>
      <c r="AV874" s="114"/>
      <c r="AW874" s="114"/>
      <c r="AX874" s="114"/>
      <c r="AY874" s="114"/>
      <c r="AZ874" s="114"/>
      <c r="BA874" s="114"/>
      <c r="BB874" s="114"/>
      <c r="BC874" s="114"/>
    </row>
    <row r="875" spans="1:55" ht="15.75" customHeight="1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43"/>
      <c r="M875" s="143"/>
      <c r="N875" s="143"/>
      <c r="O875" s="143"/>
      <c r="P875" s="114"/>
      <c r="Q875" s="114"/>
      <c r="R875" s="114"/>
      <c r="S875" s="143"/>
      <c r="T875" s="114"/>
      <c r="U875" s="114"/>
      <c r="V875" s="114"/>
      <c r="W875" s="114"/>
      <c r="X875" s="114"/>
      <c r="Y875" s="114"/>
      <c r="Z875" s="143"/>
      <c r="AA875" s="114"/>
      <c r="AB875" s="114"/>
      <c r="AC875" s="114"/>
      <c r="AD875" s="143"/>
      <c r="AE875" s="114"/>
      <c r="AF875" s="114"/>
      <c r="AG875" s="143"/>
      <c r="AH875" s="114"/>
      <c r="AI875" s="114"/>
      <c r="AJ875" s="114"/>
      <c r="AK875" s="114"/>
      <c r="AL875" s="114"/>
      <c r="AM875" s="114"/>
      <c r="AN875" s="114"/>
      <c r="AO875" s="114"/>
      <c r="AP875" s="114"/>
      <c r="AQ875" s="114"/>
      <c r="AR875" s="114"/>
      <c r="AS875" s="114"/>
      <c r="AT875" s="143"/>
      <c r="AU875" s="114"/>
      <c r="AV875" s="114"/>
      <c r="AW875" s="114"/>
      <c r="AX875" s="114"/>
      <c r="AY875" s="114"/>
      <c r="AZ875" s="114"/>
      <c r="BA875" s="114"/>
      <c r="BB875" s="114"/>
      <c r="BC875" s="114"/>
    </row>
    <row r="876" spans="1:55" ht="15.75" customHeight="1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43"/>
      <c r="M876" s="143"/>
      <c r="N876" s="143"/>
      <c r="O876" s="143"/>
      <c r="P876" s="114"/>
      <c r="Q876" s="114"/>
      <c r="R876" s="114"/>
      <c r="S876" s="143"/>
      <c r="T876" s="114"/>
      <c r="U876" s="114"/>
      <c r="V876" s="114"/>
      <c r="W876" s="114"/>
      <c r="X876" s="114"/>
      <c r="Y876" s="114"/>
      <c r="Z876" s="143"/>
      <c r="AA876" s="114"/>
      <c r="AB876" s="114"/>
      <c r="AC876" s="114"/>
      <c r="AD876" s="143"/>
      <c r="AE876" s="114"/>
      <c r="AF876" s="114"/>
      <c r="AG876" s="143"/>
      <c r="AH876" s="114"/>
      <c r="AI876" s="114"/>
      <c r="AJ876" s="114"/>
      <c r="AK876" s="114"/>
      <c r="AL876" s="114"/>
      <c r="AM876" s="114"/>
      <c r="AN876" s="114"/>
      <c r="AO876" s="114"/>
      <c r="AP876" s="114"/>
      <c r="AQ876" s="114"/>
      <c r="AR876" s="114"/>
      <c r="AS876" s="114"/>
      <c r="AT876" s="143"/>
      <c r="AU876" s="114"/>
      <c r="AV876" s="114"/>
      <c r="AW876" s="114"/>
      <c r="AX876" s="114"/>
      <c r="AY876" s="114"/>
      <c r="AZ876" s="114"/>
      <c r="BA876" s="114"/>
      <c r="BB876" s="114"/>
      <c r="BC876" s="114"/>
    </row>
    <row r="877" spans="1:55" ht="15.75" customHeight="1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43"/>
      <c r="M877" s="143"/>
      <c r="N877" s="143"/>
      <c r="O877" s="143"/>
      <c r="P877" s="114"/>
      <c r="Q877" s="114"/>
      <c r="R877" s="114"/>
      <c r="S877" s="143"/>
      <c r="T877" s="114"/>
      <c r="U877" s="114"/>
      <c r="V877" s="114"/>
      <c r="W877" s="114"/>
      <c r="X877" s="114"/>
      <c r="Y877" s="114"/>
      <c r="Z877" s="143"/>
      <c r="AA877" s="114"/>
      <c r="AB877" s="114"/>
      <c r="AC877" s="114"/>
      <c r="AD877" s="143"/>
      <c r="AE877" s="114"/>
      <c r="AF877" s="114"/>
      <c r="AG877" s="143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43"/>
      <c r="AU877" s="114"/>
      <c r="AV877" s="114"/>
      <c r="AW877" s="114"/>
      <c r="AX877" s="114"/>
      <c r="AY877" s="114"/>
      <c r="AZ877" s="114"/>
      <c r="BA877" s="114"/>
      <c r="BB877" s="114"/>
      <c r="BC877" s="114"/>
    </row>
    <row r="878" spans="1:55" ht="15.75" customHeight="1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43"/>
      <c r="M878" s="143"/>
      <c r="N878" s="143"/>
      <c r="O878" s="143"/>
      <c r="P878" s="114"/>
      <c r="Q878" s="114"/>
      <c r="R878" s="114"/>
      <c r="S878" s="143"/>
      <c r="T878" s="114"/>
      <c r="U878" s="114"/>
      <c r="V878" s="114"/>
      <c r="W878" s="114"/>
      <c r="X878" s="114"/>
      <c r="Y878" s="114"/>
      <c r="Z878" s="143"/>
      <c r="AA878" s="114"/>
      <c r="AB878" s="114"/>
      <c r="AC878" s="114"/>
      <c r="AD878" s="143"/>
      <c r="AE878" s="114"/>
      <c r="AF878" s="114"/>
      <c r="AG878" s="143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43"/>
      <c r="AU878" s="114"/>
      <c r="AV878" s="114"/>
      <c r="AW878" s="114"/>
      <c r="AX878" s="114"/>
      <c r="AY878" s="114"/>
      <c r="AZ878" s="114"/>
      <c r="BA878" s="114"/>
      <c r="BB878" s="114"/>
      <c r="BC878" s="114"/>
    </row>
    <row r="879" spans="1:55" ht="15.75" customHeight="1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43"/>
      <c r="M879" s="143"/>
      <c r="N879" s="143"/>
      <c r="O879" s="143"/>
      <c r="P879" s="114"/>
      <c r="Q879" s="114"/>
      <c r="R879" s="114"/>
      <c r="S879" s="143"/>
      <c r="T879" s="114"/>
      <c r="U879" s="114"/>
      <c r="V879" s="114"/>
      <c r="W879" s="114"/>
      <c r="X879" s="114"/>
      <c r="Y879" s="114"/>
      <c r="Z879" s="143"/>
      <c r="AA879" s="114"/>
      <c r="AB879" s="114"/>
      <c r="AC879" s="114"/>
      <c r="AD879" s="143"/>
      <c r="AE879" s="114"/>
      <c r="AF879" s="114"/>
      <c r="AG879" s="143"/>
      <c r="AH879" s="114"/>
      <c r="AI879" s="114"/>
      <c r="AJ879" s="114"/>
      <c r="AK879" s="114"/>
      <c r="AL879" s="114"/>
      <c r="AM879" s="114"/>
      <c r="AN879" s="114"/>
      <c r="AO879" s="114"/>
      <c r="AP879" s="114"/>
      <c r="AQ879" s="114"/>
      <c r="AR879" s="114"/>
      <c r="AS879" s="114"/>
      <c r="AT879" s="143"/>
      <c r="AU879" s="114"/>
      <c r="AV879" s="114"/>
      <c r="AW879" s="114"/>
      <c r="AX879" s="114"/>
      <c r="AY879" s="114"/>
      <c r="AZ879" s="114"/>
      <c r="BA879" s="114"/>
      <c r="BB879" s="114"/>
      <c r="BC879" s="114"/>
    </row>
    <row r="880" spans="1:55" ht="15.75" customHeight="1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43"/>
      <c r="M880" s="143"/>
      <c r="N880" s="143"/>
      <c r="O880" s="143"/>
      <c r="P880" s="114"/>
      <c r="Q880" s="114"/>
      <c r="R880" s="114"/>
      <c r="S880" s="143"/>
      <c r="T880" s="114"/>
      <c r="U880" s="114"/>
      <c r="V880" s="114"/>
      <c r="W880" s="114"/>
      <c r="X880" s="114"/>
      <c r="Y880" s="114"/>
      <c r="Z880" s="143"/>
      <c r="AA880" s="114"/>
      <c r="AB880" s="114"/>
      <c r="AC880" s="114"/>
      <c r="AD880" s="143"/>
      <c r="AE880" s="114"/>
      <c r="AF880" s="114"/>
      <c r="AG880" s="143"/>
      <c r="AH880" s="114"/>
      <c r="AI880" s="114"/>
      <c r="AJ880" s="114"/>
      <c r="AK880" s="114"/>
      <c r="AL880" s="114"/>
      <c r="AM880" s="114"/>
      <c r="AN880" s="114"/>
      <c r="AO880" s="114"/>
      <c r="AP880" s="114"/>
      <c r="AQ880" s="114"/>
      <c r="AR880" s="114"/>
      <c r="AS880" s="114"/>
      <c r="AT880" s="143"/>
      <c r="AU880" s="114"/>
      <c r="AV880" s="114"/>
      <c r="AW880" s="114"/>
      <c r="AX880" s="114"/>
      <c r="AY880" s="114"/>
      <c r="AZ880" s="114"/>
      <c r="BA880" s="114"/>
      <c r="BB880" s="114"/>
      <c r="BC880" s="114"/>
    </row>
    <row r="881" spans="1:55" ht="15.75" customHeight="1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43"/>
      <c r="M881" s="143"/>
      <c r="N881" s="143"/>
      <c r="O881" s="143"/>
      <c r="P881" s="114"/>
      <c r="Q881" s="114"/>
      <c r="R881" s="114"/>
      <c r="S881" s="143"/>
      <c r="T881" s="114"/>
      <c r="U881" s="114"/>
      <c r="V881" s="114"/>
      <c r="W881" s="114"/>
      <c r="X881" s="114"/>
      <c r="Y881" s="114"/>
      <c r="Z881" s="143"/>
      <c r="AA881" s="114"/>
      <c r="AB881" s="114"/>
      <c r="AC881" s="114"/>
      <c r="AD881" s="143"/>
      <c r="AE881" s="114"/>
      <c r="AF881" s="114"/>
      <c r="AG881" s="143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43"/>
      <c r="AU881" s="114"/>
      <c r="AV881" s="114"/>
      <c r="AW881" s="114"/>
      <c r="AX881" s="114"/>
      <c r="AY881" s="114"/>
      <c r="AZ881" s="114"/>
      <c r="BA881" s="114"/>
      <c r="BB881" s="114"/>
      <c r="BC881" s="114"/>
    </row>
    <row r="882" spans="1:55" ht="15.75" customHeight="1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43"/>
      <c r="M882" s="143"/>
      <c r="N882" s="143"/>
      <c r="O882" s="143"/>
      <c r="P882" s="114"/>
      <c r="Q882" s="114"/>
      <c r="R882" s="114"/>
      <c r="S882" s="143"/>
      <c r="T882" s="114"/>
      <c r="U882" s="114"/>
      <c r="V882" s="114"/>
      <c r="W882" s="114"/>
      <c r="X882" s="114"/>
      <c r="Y882" s="114"/>
      <c r="Z882" s="143"/>
      <c r="AA882" s="114"/>
      <c r="AB882" s="114"/>
      <c r="AC882" s="114"/>
      <c r="AD882" s="143"/>
      <c r="AE882" s="114"/>
      <c r="AF882" s="114"/>
      <c r="AG882" s="143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43"/>
      <c r="AU882" s="114"/>
      <c r="AV882" s="114"/>
      <c r="AW882" s="114"/>
      <c r="AX882" s="114"/>
      <c r="AY882" s="114"/>
      <c r="AZ882" s="114"/>
      <c r="BA882" s="114"/>
      <c r="BB882" s="114"/>
      <c r="BC882" s="114"/>
    </row>
    <row r="883" spans="1:55" ht="15.75" customHeight="1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43"/>
      <c r="M883" s="143"/>
      <c r="N883" s="143"/>
      <c r="O883" s="143"/>
      <c r="P883" s="114"/>
      <c r="Q883" s="114"/>
      <c r="R883" s="114"/>
      <c r="S883" s="143"/>
      <c r="T883" s="114"/>
      <c r="U883" s="114"/>
      <c r="V883" s="114"/>
      <c r="W883" s="114"/>
      <c r="X883" s="114"/>
      <c r="Y883" s="114"/>
      <c r="Z883" s="143"/>
      <c r="AA883" s="114"/>
      <c r="AB883" s="114"/>
      <c r="AC883" s="114"/>
      <c r="AD883" s="143"/>
      <c r="AE883" s="114"/>
      <c r="AF883" s="114"/>
      <c r="AG883" s="143"/>
      <c r="AH883" s="114"/>
      <c r="AI883" s="114"/>
      <c r="AJ883" s="114"/>
      <c r="AK883" s="114"/>
      <c r="AL883" s="114"/>
      <c r="AM883" s="114"/>
      <c r="AN883" s="114"/>
      <c r="AO883" s="114"/>
      <c r="AP883" s="114"/>
      <c r="AQ883" s="114"/>
      <c r="AR883" s="114"/>
      <c r="AS883" s="114"/>
      <c r="AT883" s="143"/>
      <c r="AU883" s="114"/>
      <c r="AV883" s="114"/>
      <c r="AW883" s="114"/>
      <c r="AX883" s="114"/>
      <c r="AY883" s="114"/>
      <c r="AZ883" s="114"/>
      <c r="BA883" s="114"/>
      <c r="BB883" s="114"/>
      <c r="BC883" s="114"/>
    </row>
    <row r="884" spans="1:55" ht="15.75" customHeight="1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43"/>
      <c r="M884" s="143"/>
      <c r="N884" s="143"/>
      <c r="O884" s="143"/>
      <c r="P884" s="114"/>
      <c r="Q884" s="114"/>
      <c r="R884" s="114"/>
      <c r="S884" s="143"/>
      <c r="T884" s="114"/>
      <c r="U884" s="114"/>
      <c r="V884" s="114"/>
      <c r="W884" s="114"/>
      <c r="X884" s="114"/>
      <c r="Y884" s="114"/>
      <c r="Z884" s="143"/>
      <c r="AA884" s="114"/>
      <c r="AB884" s="114"/>
      <c r="AC884" s="114"/>
      <c r="AD884" s="143"/>
      <c r="AE884" s="114"/>
      <c r="AF884" s="114"/>
      <c r="AG884" s="143"/>
      <c r="AH884" s="114"/>
      <c r="AI884" s="114"/>
      <c r="AJ884" s="114"/>
      <c r="AK884" s="114"/>
      <c r="AL884" s="114"/>
      <c r="AM884" s="114"/>
      <c r="AN884" s="114"/>
      <c r="AO884" s="114"/>
      <c r="AP884" s="114"/>
      <c r="AQ884" s="114"/>
      <c r="AR884" s="114"/>
      <c r="AS884" s="114"/>
      <c r="AT884" s="143"/>
      <c r="AU884" s="114"/>
      <c r="AV884" s="114"/>
      <c r="AW884" s="114"/>
      <c r="AX884" s="114"/>
      <c r="AY884" s="114"/>
      <c r="AZ884" s="114"/>
      <c r="BA884" s="114"/>
      <c r="BB884" s="114"/>
      <c r="BC884" s="114"/>
    </row>
    <row r="885" spans="1:55" ht="15.75" customHeight="1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43"/>
      <c r="M885" s="143"/>
      <c r="N885" s="143"/>
      <c r="O885" s="143"/>
      <c r="P885" s="114"/>
      <c r="Q885" s="114"/>
      <c r="R885" s="114"/>
      <c r="S885" s="143"/>
      <c r="T885" s="114"/>
      <c r="U885" s="114"/>
      <c r="V885" s="114"/>
      <c r="W885" s="114"/>
      <c r="X885" s="114"/>
      <c r="Y885" s="114"/>
      <c r="Z885" s="143"/>
      <c r="AA885" s="114"/>
      <c r="AB885" s="114"/>
      <c r="AC885" s="114"/>
      <c r="AD885" s="143"/>
      <c r="AE885" s="114"/>
      <c r="AF885" s="114"/>
      <c r="AG885" s="143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43"/>
      <c r="AU885" s="114"/>
      <c r="AV885" s="114"/>
      <c r="AW885" s="114"/>
      <c r="AX885" s="114"/>
      <c r="AY885" s="114"/>
      <c r="AZ885" s="114"/>
      <c r="BA885" s="114"/>
      <c r="BB885" s="114"/>
      <c r="BC885" s="114"/>
    </row>
    <row r="886" spans="1:55" ht="15.75" customHeight="1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43"/>
      <c r="M886" s="143"/>
      <c r="N886" s="143"/>
      <c r="O886" s="143"/>
      <c r="P886" s="114"/>
      <c r="Q886" s="114"/>
      <c r="R886" s="114"/>
      <c r="S886" s="143"/>
      <c r="T886" s="114"/>
      <c r="U886" s="114"/>
      <c r="V886" s="114"/>
      <c r="W886" s="114"/>
      <c r="X886" s="114"/>
      <c r="Y886" s="114"/>
      <c r="Z886" s="143"/>
      <c r="AA886" s="114"/>
      <c r="AB886" s="114"/>
      <c r="AC886" s="114"/>
      <c r="AD886" s="143"/>
      <c r="AE886" s="114"/>
      <c r="AF886" s="114"/>
      <c r="AG886" s="143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43"/>
      <c r="AU886" s="114"/>
      <c r="AV886" s="114"/>
      <c r="AW886" s="114"/>
      <c r="AX886" s="114"/>
      <c r="AY886" s="114"/>
      <c r="AZ886" s="114"/>
      <c r="BA886" s="114"/>
      <c r="BB886" s="114"/>
      <c r="BC886" s="114"/>
    </row>
    <row r="887" spans="1:55" ht="15.75" customHeight="1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43"/>
      <c r="M887" s="143"/>
      <c r="N887" s="143"/>
      <c r="O887" s="143"/>
      <c r="P887" s="114"/>
      <c r="Q887" s="114"/>
      <c r="R887" s="114"/>
      <c r="S887" s="143"/>
      <c r="T887" s="114"/>
      <c r="U887" s="114"/>
      <c r="V887" s="114"/>
      <c r="W887" s="114"/>
      <c r="X887" s="114"/>
      <c r="Y887" s="114"/>
      <c r="Z887" s="143"/>
      <c r="AA887" s="114"/>
      <c r="AB887" s="114"/>
      <c r="AC887" s="114"/>
      <c r="AD887" s="143"/>
      <c r="AE887" s="114"/>
      <c r="AF887" s="114"/>
      <c r="AG887" s="143"/>
      <c r="AH887" s="114"/>
      <c r="AI887" s="114"/>
      <c r="AJ887" s="114"/>
      <c r="AK887" s="114"/>
      <c r="AL887" s="114"/>
      <c r="AM887" s="114"/>
      <c r="AN887" s="114"/>
      <c r="AO887" s="114"/>
      <c r="AP887" s="114"/>
      <c r="AQ887" s="114"/>
      <c r="AR887" s="114"/>
      <c r="AS887" s="114"/>
      <c r="AT887" s="143"/>
      <c r="AU887" s="114"/>
      <c r="AV887" s="114"/>
      <c r="AW887" s="114"/>
      <c r="AX887" s="114"/>
      <c r="AY887" s="114"/>
      <c r="AZ887" s="114"/>
      <c r="BA887" s="114"/>
      <c r="BB887" s="114"/>
      <c r="BC887" s="114"/>
    </row>
    <row r="888" spans="1:55" ht="15.75" customHeight="1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43"/>
      <c r="M888" s="143"/>
      <c r="N888" s="143"/>
      <c r="O888" s="143"/>
      <c r="P888" s="114"/>
      <c r="Q888" s="114"/>
      <c r="R888" s="114"/>
      <c r="S888" s="143"/>
      <c r="T888" s="114"/>
      <c r="U888" s="114"/>
      <c r="V888" s="114"/>
      <c r="W888" s="114"/>
      <c r="X888" s="114"/>
      <c r="Y888" s="114"/>
      <c r="Z888" s="143"/>
      <c r="AA888" s="114"/>
      <c r="AB888" s="114"/>
      <c r="AC888" s="114"/>
      <c r="AD888" s="143"/>
      <c r="AE888" s="114"/>
      <c r="AF888" s="114"/>
      <c r="AG888" s="143"/>
      <c r="AH888" s="114"/>
      <c r="AI888" s="114"/>
      <c r="AJ888" s="114"/>
      <c r="AK888" s="114"/>
      <c r="AL888" s="114"/>
      <c r="AM888" s="114"/>
      <c r="AN888" s="114"/>
      <c r="AO888" s="114"/>
      <c r="AP888" s="114"/>
      <c r="AQ888" s="114"/>
      <c r="AR888" s="114"/>
      <c r="AS888" s="114"/>
      <c r="AT888" s="143"/>
      <c r="AU888" s="114"/>
      <c r="AV888" s="114"/>
      <c r="AW888" s="114"/>
      <c r="AX888" s="114"/>
      <c r="AY888" s="114"/>
      <c r="AZ888" s="114"/>
      <c r="BA888" s="114"/>
      <c r="BB888" s="114"/>
      <c r="BC888" s="114"/>
    </row>
    <row r="889" spans="1:55" ht="15.75" customHeight="1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43"/>
      <c r="M889" s="143"/>
      <c r="N889" s="143"/>
      <c r="O889" s="143"/>
      <c r="P889" s="114"/>
      <c r="Q889" s="114"/>
      <c r="R889" s="114"/>
      <c r="S889" s="143"/>
      <c r="T889" s="114"/>
      <c r="U889" s="114"/>
      <c r="V889" s="114"/>
      <c r="W889" s="114"/>
      <c r="X889" s="114"/>
      <c r="Y889" s="114"/>
      <c r="Z889" s="143"/>
      <c r="AA889" s="114"/>
      <c r="AB889" s="114"/>
      <c r="AC889" s="114"/>
      <c r="AD889" s="143"/>
      <c r="AE889" s="114"/>
      <c r="AF889" s="114"/>
      <c r="AG889" s="143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  <c r="AR889" s="114"/>
      <c r="AS889" s="114"/>
      <c r="AT889" s="143"/>
      <c r="AU889" s="114"/>
      <c r="AV889" s="114"/>
      <c r="AW889" s="114"/>
      <c r="AX889" s="114"/>
      <c r="AY889" s="114"/>
      <c r="AZ889" s="114"/>
      <c r="BA889" s="114"/>
      <c r="BB889" s="114"/>
      <c r="BC889" s="114"/>
    </row>
    <row r="890" spans="1:55" ht="15.75" customHeight="1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43"/>
      <c r="M890" s="143"/>
      <c r="N890" s="143"/>
      <c r="O890" s="143"/>
      <c r="P890" s="114"/>
      <c r="Q890" s="114"/>
      <c r="R890" s="114"/>
      <c r="S890" s="143"/>
      <c r="T890" s="114"/>
      <c r="U890" s="114"/>
      <c r="V890" s="114"/>
      <c r="W890" s="114"/>
      <c r="X890" s="114"/>
      <c r="Y890" s="114"/>
      <c r="Z890" s="143"/>
      <c r="AA890" s="114"/>
      <c r="AB890" s="114"/>
      <c r="AC890" s="114"/>
      <c r="AD890" s="143"/>
      <c r="AE890" s="114"/>
      <c r="AF890" s="114"/>
      <c r="AG890" s="143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43"/>
      <c r="AU890" s="114"/>
      <c r="AV890" s="114"/>
      <c r="AW890" s="114"/>
      <c r="AX890" s="114"/>
      <c r="AY890" s="114"/>
      <c r="AZ890" s="114"/>
      <c r="BA890" s="114"/>
      <c r="BB890" s="114"/>
      <c r="BC890" s="114"/>
    </row>
    <row r="891" spans="1:55" ht="15.75" customHeight="1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43"/>
      <c r="M891" s="143"/>
      <c r="N891" s="143"/>
      <c r="O891" s="143"/>
      <c r="P891" s="114"/>
      <c r="Q891" s="114"/>
      <c r="R891" s="114"/>
      <c r="S891" s="143"/>
      <c r="T891" s="114"/>
      <c r="U891" s="114"/>
      <c r="V891" s="114"/>
      <c r="W891" s="114"/>
      <c r="X891" s="114"/>
      <c r="Y891" s="114"/>
      <c r="Z891" s="143"/>
      <c r="AA891" s="114"/>
      <c r="AB891" s="114"/>
      <c r="AC891" s="114"/>
      <c r="AD891" s="143"/>
      <c r="AE891" s="114"/>
      <c r="AF891" s="114"/>
      <c r="AG891" s="143"/>
      <c r="AH891" s="114"/>
      <c r="AI891" s="114"/>
      <c r="AJ891" s="114"/>
      <c r="AK891" s="114"/>
      <c r="AL891" s="114"/>
      <c r="AM891" s="114"/>
      <c r="AN891" s="114"/>
      <c r="AO891" s="114"/>
      <c r="AP891" s="114"/>
      <c r="AQ891" s="114"/>
      <c r="AR891" s="114"/>
      <c r="AS891" s="114"/>
      <c r="AT891" s="143"/>
      <c r="AU891" s="114"/>
      <c r="AV891" s="114"/>
      <c r="AW891" s="114"/>
      <c r="AX891" s="114"/>
      <c r="AY891" s="114"/>
      <c r="AZ891" s="114"/>
      <c r="BA891" s="114"/>
      <c r="BB891" s="114"/>
      <c r="BC891" s="114"/>
    </row>
    <row r="892" spans="1:55" ht="15.75" customHeight="1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43"/>
      <c r="M892" s="143"/>
      <c r="N892" s="143"/>
      <c r="O892" s="143"/>
      <c r="P892" s="114"/>
      <c r="Q892" s="114"/>
      <c r="R892" s="114"/>
      <c r="S892" s="143"/>
      <c r="T892" s="114"/>
      <c r="U892" s="114"/>
      <c r="V892" s="114"/>
      <c r="W892" s="114"/>
      <c r="X892" s="114"/>
      <c r="Y892" s="114"/>
      <c r="Z892" s="143"/>
      <c r="AA892" s="114"/>
      <c r="AB892" s="114"/>
      <c r="AC892" s="114"/>
      <c r="AD892" s="143"/>
      <c r="AE892" s="114"/>
      <c r="AF892" s="114"/>
      <c r="AG892" s="143"/>
      <c r="AH892" s="114"/>
      <c r="AI892" s="114"/>
      <c r="AJ892" s="114"/>
      <c r="AK892" s="114"/>
      <c r="AL892" s="114"/>
      <c r="AM892" s="114"/>
      <c r="AN892" s="114"/>
      <c r="AO892" s="114"/>
      <c r="AP892" s="114"/>
      <c r="AQ892" s="114"/>
      <c r="AR892" s="114"/>
      <c r="AS892" s="114"/>
      <c r="AT892" s="143"/>
      <c r="AU892" s="114"/>
      <c r="AV892" s="114"/>
      <c r="AW892" s="114"/>
      <c r="AX892" s="114"/>
      <c r="AY892" s="114"/>
      <c r="AZ892" s="114"/>
      <c r="BA892" s="114"/>
      <c r="BB892" s="114"/>
      <c r="BC892" s="114"/>
    </row>
    <row r="893" spans="1:55" ht="15.75" customHeight="1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43"/>
      <c r="M893" s="143"/>
      <c r="N893" s="143"/>
      <c r="O893" s="143"/>
      <c r="P893" s="114"/>
      <c r="Q893" s="114"/>
      <c r="R893" s="114"/>
      <c r="S893" s="143"/>
      <c r="T893" s="114"/>
      <c r="U893" s="114"/>
      <c r="V893" s="114"/>
      <c r="W893" s="114"/>
      <c r="X893" s="114"/>
      <c r="Y893" s="114"/>
      <c r="Z893" s="143"/>
      <c r="AA893" s="114"/>
      <c r="AB893" s="114"/>
      <c r="AC893" s="114"/>
      <c r="AD893" s="143"/>
      <c r="AE893" s="114"/>
      <c r="AF893" s="114"/>
      <c r="AG893" s="143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43"/>
      <c r="AU893" s="114"/>
      <c r="AV893" s="114"/>
      <c r="AW893" s="114"/>
      <c r="AX893" s="114"/>
      <c r="AY893" s="114"/>
      <c r="AZ893" s="114"/>
      <c r="BA893" s="114"/>
      <c r="BB893" s="114"/>
      <c r="BC893" s="114"/>
    </row>
    <row r="894" spans="1:55" ht="15.75" customHeight="1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43"/>
      <c r="M894" s="143"/>
      <c r="N894" s="143"/>
      <c r="O894" s="143"/>
      <c r="P894" s="114"/>
      <c r="Q894" s="114"/>
      <c r="R894" s="114"/>
      <c r="S894" s="143"/>
      <c r="T894" s="114"/>
      <c r="U894" s="114"/>
      <c r="V894" s="114"/>
      <c r="W894" s="114"/>
      <c r="X894" s="114"/>
      <c r="Y894" s="114"/>
      <c r="Z894" s="143"/>
      <c r="AA894" s="114"/>
      <c r="AB894" s="114"/>
      <c r="AC894" s="114"/>
      <c r="AD894" s="143"/>
      <c r="AE894" s="114"/>
      <c r="AF894" s="114"/>
      <c r="AG894" s="143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43"/>
      <c r="AU894" s="114"/>
      <c r="AV894" s="114"/>
      <c r="AW894" s="114"/>
      <c r="AX894" s="114"/>
      <c r="AY894" s="114"/>
      <c r="AZ894" s="114"/>
      <c r="BA894" s="114"/>
      <c r="BB894" s="114"/>
      <c r="BC894" s="114"/>
    </row>
    <row r="895" spans="1:55" ht="15.75" customHeight="1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43"/>
      <c r="M895" s="143"/>
      <c r="N895" s="143"/>
      <c r="O895" s="143"/>
      <c r="P895" s="114"/>
      <c r="Q895" s="114"/>
      <c r="R895" s="114"/>
      <c r="S895" s="143"/>
      <c r="T895" s="114"/>
      <c r="U895" s="114"/>
      <c r="V895" s="114"/>
      <c r="W895" s="114"/>
      <c r="X895" s="114"/>
      <c r="Y895" s="114"/>
      <c r="Z895" s="143"/>
      <c r="AA895" s="114"/>
      <c r="AB895" s="114"/>
      <c r="AC895" s="114"/>
      <c r="AD895" s="143"/>
      <c r="AE895" s="114"/>
      <c r="AF895" s="114"/>
      <c r="AG895" s="143"/>
      <c r="AH895" s="114"/>
      <c r="AI895" s="114"/>
      <c r="AJ895" s="114"/>
      <c r="AK895" s="114"/>
      <c r="AL895" s="114"/>
      <c r="AM895" s="114"/>
      <c r="AN895" s="114"/>
      <c r="AO895" s="114"/>
      <c r="AP895" s="114"/>
      <c r="AQ895" s="114"/>
      <c r="AR895" s="114"/>
      <c r="AS895" s="114"/>
      <c r="AT895" s="143"/>
      <c r="AU895" s="114"/>
      <c r="AV895" s="114"/>
      <c r="AW895" s="114"/>
      <c r="AX895" s="114"/>
      <c r="AY895" s="114"/>
      <c r="AZ895" s="114"/>
      <c r="BA895" s="114"/>
      <c r="BB895" s="114"/>
      <c r="BC895" s="114"/>
    </row>
    <row r="896" spans="1:55" ht="15.75" customHeight="1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43"/>
      <c r="M896" s="143"/>
      <c r="N896" s="143"/>
      <c r="O896" s="143"/>
      <c r="P896" s="114"/>
      <c r="Q896" s="114"/>
      <c r="R896" s="114"/>
      <c r="S896" s="143"/>
      <c r="T896" s="114"/>
      <c r="U896" s="114"/>
      <c r="V896" s="114"/>
      <c r="W896" s="114"/>
      <c r="X896" s="114"/>
      <c r="Y896" s="114"/>
      <c r="Z896" s="143"/>
      <c r="AA896" s="114"/>
      <c r="AB896" s="114"/>
      <c r="AC896" s="114"/>
      <c r="AD896" s="143"/>
      <c r="AE896" s="114"/>
      <c r="AF896" s="114"/>
      <c r="AG896" s="143"/>
      <c r="AH896" s="114"/>
      <c r="AI896" s="114"/>
      <c r="AJ896" s="114"/>
      <c r="AK896" s="114"/>
      <c r="AL896" s="114"/>
      <c r="AM896" s="114"/>
      <c r="AN896" s="114"/>
      <c r="AO896" s="114"/>
      <c r="AP896" s="114"/>
      <c r="AQ896" s="114"/>
      <c r="AR896" s="114"/>
      <c r="AS896" s="114"/>
      <c r="AT896" s="143"/>
      <c r="AU896" s="114"/>
      <c r="AV896" s="114"/>
      <c r="AW896" s="114"/>
      <c r="AX896" s="114"/>
      <c r="AY896" s="114"/>
      <c r="AZ896" s="114"/>
      <c r="BA896" s="114"/>
      <c r="BB896" s="114"/>
      <c r="BC896" s="114"/>
    </row>
    <row r="897" spans="1:55" ht="15.75" customHeight="1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43"/>
      <c r="M897" s="143"/>
      <c r="N897" s="143"/>
      <c r="O897" s="143"/>
      <c r="P897" s="114"/>
      <c r="Q897" s="114"/>
      <c r="R897" s="114"/>
      <c r="S897" s="143"/>
      <c r="T897" s="114"/>
      <c r="U897" s="114"/>
      <c r="V897" s="114"/>
      <c r="W897" s="114"/>
      <c r="X897" s="114"/>
      <c r="Y897" s="114"/>
      <c r="Z897" s="143"/>
      <c r="AA897" s="114"/>
      <c r="AB897" s="114"/>
      <c r="AC897" s="114"/>
      <c r="AD897" s="143"/>
      <c r="AE897" s="114"/>
      <c r="AF897" s="114"/>
      <c r="AG897" s="143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43"/>
      <c r="AU897" s="114"/>
      <c r="AV897" s="114"/>
      <c r="AW897" s="114"/>
      <c r="AX897" s="114"/>
      <c r="AY897" s="114"/>
      <c r="AZ897" s="114"/>
      <c r="BA897" s="114"/>
      <c r="BB897" s="114"/>
      <c r="BC897" s="114"/>
    </row>
    <row r="898" spans="1:55" ht="15.75" customHeight="1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43"/>
      <c r="M898" s="143"/>
      <c r="N898" s="143"/>
      <c r="O898" s="143"/>
      <c r="P898" s="114"/>
      <c r="Q898" s="114"/>
      <c r="R898" s="114"/>
      <c r="S898" s="143"/>
      <c r="T898" s="114"/>
      <c r="U898" s="114"/>
      <c r="V898" s="114"/>
      <c r="W898" s="114"/>
      <c r="X898" s="114"/>
      <c r="Y898" s="114"/>
      <c r="Z898" s="143"/>
      <c r="AA898" s="114"/>
      <c r="AB898" s="114"/>
      <c r="AC898" s="114"/>
      <c r="AD898" s="143"/>
      <c r="AE898" s="114"/>
      <c r="AF898" s="114"/>
      <c r="AG898" s="143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43"/>
      <c r="AU898" s="114"/>
      <c r="AV898" s="114"/>
      <c r="AW898" s="114"/>
      <c r="AX898" s="114"/>
      <c r="AY898" s="114"/>
      <c r="AZ898" s="114"/>
      <c r="BA898" s="114"/>
      <c r="BB898" s="114"/>
      <c r="BC898" s="114"/>
    </row>
    <row r="899" spans="1:55" ht="15.75" customHeight="1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43"/>
      <c r="M899" s="143"/>
      <c r="N899" s="143"/>
      <c r="O899" s="143"/>
      <c r="P899" s="114"/>
      <c r="Q899" s="114"/>
      <c r="R899" s="114"/>
      <c r="S899" s="143"/>
      <c r="T899" s="114"/>
      <c r="U899" s="114"/>
      <c r="V899" s="114"/>
      <c r="W899" s="114"/>
      <c r="X899" s="114"/>
      <c r="Y899" s="114"/>
      <c r="Z899" s="143"/>
      <c r="AA899" s="114"/>
      <c r="AB899" s="114"/>
      <c r="AC899" s="114"/>
      <c r="AD899" s="143"/>
      <c r="AE899" s="114"/>
      <c r="AF899" s="114"/>
      <c r="AG899" s="143"/>
      <c r="AH899" s="114"/>
      <c r="AI899" s="114"/>
      <c r="AJ899" s="114"/>
      <c r="AK899" s="114"/>
      <c r="AL899" s="114"/>
      <c r="AM899" s="114"/>
      <c r="AN899" s="114"/>
      <c r="AO899" s="114"/>
      <c r="AP899" s="114"/>
      <c r="AQ899" s="114"/>
      <c r="AR899" s="114"/>
      <c r="AS899" s="114"/>
      <c r="AT899" s="143"/>
      <c r="AU899" s="114"/>
      <c r="AV899" s="114"/>
      <c r="AW899" s="114"/>
      <c r="AX899" s="114"/>
      <c r="AY899" s="114"/>
      <c r="AZ899" s="114"/>
      <c r="BA899" s="114"/>
      <c r="BB899" s="114"/>
      <c r="BC899" s="114"/>
    </row>
    <row r="900" spans="1:55" ht="15.75" customHeight="1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43"/>
      <c r="M900" s="143"/>
      <c r="N900" s="143"/>
      <c r="O900" s="143"/>
      <c r="P900" s="114"/>
      <c r="Q900" s="114"/>
      <c r="R900" s="114"/>
      <c r="S900" s="143"/>
      <c r="T900" s="114"/>
      <c r="U900" s="114"/>
      <c r="V900" s="114"/>
      <c r="W900" s="114"/>
      <c r="X900" s="114"/>
      <c r="Y900" s="114"/>
      <c r="Z900" s="143"/>
      <c r="AA900" s="114"/>
      <c r="AB900" s="114"/>
      <c r="AC900" s="114"/>
      <c r="AD900" s="143"/>
      <c r="AE900" s="114"/>
      <c r="AF900" s="114"/>
      <c r="AG900" s="143"/>
      <c r="AH900" s="114"/>
      <c r="AI900" s="114"/>
      <c r="AJ900" s="114"/>
      <c r="AK900" s="114"/>
      <c r="AL900" s="114"/>
      <c r="AM900" s="114"/>
      <c r="AN900" s="114"/>
      <c r="AO900" s="114"/>
      <c r="AP900" s="114"/>
      <c r="AQ900" s="114"/>
      <c r="AR900" s="114"/>
      <c r="AS900" s="114"/>
      <c r="AT900" s="143"/>
      <c r="AU900" s="114"/>
      <c r="AV900" s="114"/>
      <c r="AW900" s="114"/>
      <c r="AX900" s="114"/>
      <c r="AY900" s="114"/>
      <c r="AZ900" s="114"/>
      <c r="BA900" s="114"/>
      <c r="BB900" s="114"/>
      <c r="BC900" s="114"/>
    </row>
    <row r="901" spans="1:55" ht="15.75" customHeight="1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43"/>
      <c r="M901" s="143"/>
      <c r="N901" s="143"/>
      <c r="O901" s="143"/>
      <c r="P901" s="114"/>
      <c r="Q901" s="114"/>
      <c r="R901" s="114"/>
      <c r="S901" s="143"/>
      <c r="T901" s="114"/>
      <c r="U901" s="114"/>
      <c r="V901" s="114"/>
      <c r="W901" s="114"/>
      <c r="X901" s="114"/>
      <c r="Y901" s="114"/>
      <c r="Z901" s="143"/>
      <c r="AA901" s="114"/>
      <c r="AB901" s="114"/>
      <c r="AC901" s="114"/>
      <c r="AD901" s="143"/>
      <c r="AE901" s="114"/>
      <c r="AF901" s="114"/>
      <c r="AG901" s="143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43"/>
      <c r="AU901" s="114"/>
      <c r="AV901" s="114"/>
      <c r="AW901" s="114"/>
      <c r="AX901" s="114"/>
      <c r="AY901" s="114"/>
      <c r="AZ901" s="114"/>
      <c r="BA901" s="114"/>
      <c r="BB901" s="114"/>
      <c r="BC901" s="114"/>
    </row>
    <row r="902" spans="1:55" ht="15.75" customHeight="1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43"/>
      <c r="M902" s="143"/>
      <c r="N902" s="143"/>
      <c r="O902" s="143"/>
      <c r="P902" s="114"/>
      <c r="Q902" s="114"/>
      <c r="R902" s="114"/>
      <c r="S902" s="143"/>
      <c r="T902" s="114"/>
      <c r="U902" s="114"/>
      <c r="V902" s="114"/>
      <c r="W902" s="114"/>
      <c r="X902" s="114"/>
      <c r="Y902" s="114"/>
      <c r="Z902" s="143"/>
      <c r="AA902" s="114"/>
      <c r="AB902" s="114"/>
      <c r="AC902" s="114"/>
      <c r="AD902" s="143"/>
      <c r="AE902" s="114"/>
      <c r="AF902" s="114"/>
      <c r="AG902" s="143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43"/>
      <c r="AU902" s="114"/>
      <c r="AV902" s="114"/>
      <c r="AW902" s="114"/>
      <c r="AX902" s="114"/>
      <c r="AY902" s="114"/>
      <c r="AZ902" s="114"/>
      <c r="BA902" s="114"/>
      <c r="BB902" s="114"/>
      <c r="BC902" s="114"/>
    </row>
    <row r="903" spans="1:55" ht="15.75" customHeight="1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43"/>
      <c r="M903" s="143"/>
      <c r="N903" s="143"/>
      <c r="O903" s="143"/>
      <c r="P903" s="114"/>
      <c r="Q903" s="114"/>
      <c r="R903" s="114"/>
      <c r="S903" s="143"/>
      <c r="T903" s="114"/>
      <c r="U903" s="114"/>
      <c r="V903" s="114"/>
      <c r="W903" s="114"/>
      <c r="X903" s="114"/>
      <c r="Y903" s="114"/>
      <c r="Z903" s="143"/>
      <c r="AA903" s="114"/>
      <c r="AB903" s="114"/>
      <c r="AC903" s="114"/>
      <c r="AD903" s="143"/>
      <c r="AE903" s="114"/>
      <c r="AF903" s="114"/>
      <c r="AG903" s="143"/>
      <c r="AH903" s="114"/>
      <c r="AI903" s="114"/>
      <c r="AJ903" s="114"/>
      <c r="AK903" s="114"/>
      <c r="AL903" s="114"/>
      <c r="AM903" s="114"/>
      <c r="AN903" s="114"/>
      <c r="AO903" s="114"/>
      <c r="AP903" s="114"/>
      <c r="AQ903" s="114"/>
      <c r="AR903" s="114"/>
      <c r="AS903" s="114"/>
      <c r="AT903" s="143"/>
      <c r="AU903" s="114"/>
      <c r="AV903" s="114"/>
      <c r="AW903" s="114"/>
      <c r="AX903" s="114"/>
      <c r="AY903" s="114"/>
      <c r="AZ903" s="114"/>
      <c r="BA903" s="114"/>
      <c r="BB903" s="114"/>
      <c r="BC903" s="114"/>
    </row>
    <row r="904" spans="1:55" ht="15.75" customHeight="1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43"/>
      <c r="M904" s="143"/>
      <c r="N904" s="143"/>
      <c r="O904" s="143"/>
      <c r="P904" s="114"/>
      <c r="Q904" s="114"/>
      <c r="R904" s="114"/>
      <c r="S904" s="143"/>
      <c r="T904" s="114"/>
      <c r="U904" s="114"/>
      <c r="V904" s="114"/>
      <c r="W904" s="114"/>
      <c r="X904" s="114"/>
      <c r="Y904" s="114"/>
      <c r="Z904" s="143"/>
      <c r="AA904" s="114"/>
      <c r="AB904" s="114"/>
      <c r="AC904" s="114"/>
      <c r="AD904" s="143"/>
      <c r="AE904" s="114"/>
      <c r="AF904" s="114"/>
      <c r="AG904" s="143"/>
      <c r="AH904" s="114"/>
      <c r="AI904" s="114"/>
      <c r="AJ904" s="114"/>
      <c r="AK904" s="114"/>
      <c r="AL904" s="114"/>
      <c r="AM904" s="114"/>
      <c r="AN904" s="114"/>
      <c r="AO904" s="114"/>
      <c r="AP904" s="114"/>
      <c r="AQ904" s="114"/>
      <c r="AR904" s="114"/>
      <c r="AS904" s="114"/>
      <c r="AT904" s="143"/>
      <c r="AU904" s="114"/>
      <c r="AV904" s="114"/>
      <c r="AW904" s="114"/>
      <c r="AX904" s="114"/>
      <c r="AY904" s="114"/>
      <c r="AZ904" s="114"/>
      <c r="BA904" s="114"/>
      <c r="BB904" s="114"/>
      <c r="BC904" s="114"/>
    </row>
    <row r="905" spans="1:55" ht="15.75" customHeight="1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43"/>
      <c r="M905" s="143"/>
      <c r="N905" s="143"/>
      <c r="O905" s="143"/>
      <c r="P905" s="114"/>
      <c r="Q905" s="114"/>
      <c r="R905" s="114"/>
      <c r="S905" s="143"/>
      <c r="T905" s="114"/>
      <c r="U905" s="114"/>
      <c r="V905" s="114"/>
      <c r="W905" s="114"/>
      <c r="X905" s="114"/>
      <c r="Y905" s="114"/>
      <c r="Z905" s="143"/>
      <c r="AA905" s="114"/>
      <c r="AB905" s="114"/>
      <c r="AC905" s="114"/>
      <c r="AD905" s="143"/>
      <c r="AE905" s="114"/>
      <c r="AF905" s="114"/>
      <c r="AG905" s="143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43"/>
      <c r="AU905" s="114"/>
      <c r="AV905" s="114"/>
      <c r="AW905" s="114"/>
      <c r="AX905" s="114"/>
      <c r="AY905" s="114"/>
      <c r="AZ905" s="114"/>
      <c r="BA905" s="114"/>
      <c r="BB905" s="114"/>
      <c r="BC905" s="114"/>
    </row>
    <row r="906" spans="1:55" ht="15.75" customHeight="1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43"/>
      <c r="M906" s="143"/>
      <c r="N906" s="143"/>
      <c r="O906" s="143"/>
      <c r="P906" s="114"/>
      <c r="Q906" s="114"/>
      <c r="R906" s="114"/>
      <c r="S906" s="143"/>
      <c r="T906" s="114"/>
      <c r="U906" s="114"/>
      <c r="V906" s="114"/>
      <c r="W906" s="114"/>
      <c r="X906" s="114"/>
      <c r="Y906" s="114"/>
      <c r="Z906" s="143"/>
      <c r="AA906" s="114"/>
      <c r="AB906" s="114"/>
      <c r="AC906" s="114"/>
      <c r="AD906" s="143"/>
      <c r="AE906" s="114"/>
      <c r="AF906" s="114"/>
      <c r="AG906" s="143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43"/>
      <c r="AU906" s="114"/>
      <c r="AV906" s="114"/>
      <c r="AW906" s="114"/>
      <c r="AX906" s="114"/>
      <c r="AY906" s="114"/>
      <c r="AZ906" s="114"/>
      <c r="BA906" s="114"/>
      <c r="BB906" s="114"/>
      <c r="BC906" s="114"/>
    </row>
    <row r="907" spans="1:55" ht="15.75" customHeight="1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43"/>
      <c r="M907" s="143"/>
      <c r="N907" s="143"/>
      <c r="O907" s="143"/>
      <c r="P907" s="114"/>
      <c r="Q907" s="114"/>
      <c r="R907" s="114"/>
      <c r="S907" s="143"/>
      <c r="T907" s="114"/>
      <c r="U907" s="114"/>
      <c r="V907" s="114"/>
      <c r="W907" s="114"/>
      <c r="X907" s="114"/>
      <c r="Y907" s="114"/>
      <c r="Z907" s="143"/>
      <c r="AA907" s="114"/>
      <c r="AB907" s="114"/>
      <c r="AC907" s="114"/>
      <c r="AD907" s="143"/>
      <c r="AE907" s="114"/>
      <c r="AF907" s="114"/>
      <c r="AG907" s="143"/>
      <c r="AH907" s="114"/>
      <c r="AI907" s="114"/>
      <c r="AJ907" s="114"/>
      <c r="AK907" s="114"/>
      <c r="AL907" s="114"/>
      <c r="AM907" s="114"/>
      <c r="AN907" s="114"/>
      <c r="AO907" s="114"/>
      <c r="AP907" s="114"/>
      <c r="AQ907" s="114"/>
      <c r="AR907" s="114"/>
      <c r="AS907" s="114"/>
      <c r="AT907" s="143"/>
      <c r="AU907" s="114"/>
      <c r="AV907" s="114"/>
      <c r="AW907" s="114"/>
      <c r="AX907" s="114"/>
      <c r="AY907" s="114"/>
      <c r="AZ907" s="114"/>
      <c r="BA907" s="114"/>
      <c r="BB907" s="114"/>
      <c r="BC907" s="114"/>
    </row>
    <row r="908" spans="1:55" ht="15.75" customHeight="1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43"/>
      <c r="M908" s="143"/>
      <c r="N908" s="143"/>
      <c r="O908" s="143"/>
      <c r="P908" s="114"/>
      <c r="Q908" s="114"/>
      <c r="R908" s="114"/>
      <c r="S908" s="143"/>
      <c r="T908" s="114"/>
      <c r="U908" s="114"/>
      <c r="V908" s="114"/>
      <c r="W908" s="114"/>
      <c r="X908" s="114"/>
      <c r="Y908" s="114"/>
      <c r="Z908" s="143"/>
      <c r="AA908" s="114"/>
      <c r="AB908" s="114"/>
      <c r="AC908" s="114"/>
      <c r="AD908" s="143"/>
      <c r="AE908" s="114"/>
      <c r="AF908" s="114"/>
      <c r="AG908" s="143"/>
      <c r="AH908" s="114"/>
      <c r="AI908" s="114"/>
      <c r="AJ908" s="114"/>
      <c r="AK908" s="114"/>
      <c r="AL908" s="114"/>
      <c r="AM908" s="114"/>
      <c r="AN908" s="114"/>
      <c r="AO908" s="114"/>
      <c r="AP908" s="114"/>
      <c r="AQ908" s="114"/>
      <c r="AR908" s="114"/>
      <c r="AS908" s="114"/>
      <c r="AT908" s="143"/>
      <c r="AU908" s="114"/>
      <c r="AV908" s="114"/>
      <c r="AW908" s="114"/>
      <c r="AX908" s="114"/>
      <c r="AY908" s="114"/>
      <c r="AZ908" s="114"/>
      <c r="BA908" s="114"/>
      <c r="BB908" s="114"/>
      <c r="BC908" s="114"/>
    </row>
    <row r="909" spans="1:55" ht="15.75" customHeight="1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43"/>
      <c r="M909" s="143"/>
      <c r="N909" s="143"/>
      <c r="O909" s="143"/>
      <c r="P909" s="114"/>
      <c r="Q909" s="114"/>
      <c r="R909" s="114"/>
      <c r="S909" s="143"/>
      <c r="T909" s="114"/>
      <c r="U909" s="114"/>
      <c r="V909" s="114"/>
      <c r="W909" s="114"/>
      <c r="X909" s="114"/>
      <c r="Y909" s="114"/>
      <c r="Z909" s="143"/>
      <c r="AA909" s="114"/>
      <c r="AB909" s="114"/>
      <c r="AC909" s="114"/>
      <c r="AD909" s="143"/>
      <c r="AE909" s="114"/>
      <c r="AF909" s="114"/>
      <c r="AG909" s="143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43"/>
      <c r="AU909" s="114"/>
      <c r="AV909" s="114"/>
      <c r="AW909" s="114"/>
      <c r="AX909" s="114"/>
      <c r="AY909" s="114"/>
      <c r="AZ909" s="114"/>
      <c r="BA909" s="114"/>
      <c r="BB909" s="114"/>
      <c r="BC909" s="114"/>
    </row>
    <row r="910" spans="1:55" ht="15.75" customHeight="1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43"/>
      <c r="M910" s="143"/>
      <c r="N910" s="143"/>
      <c r="O910" s="143"/>
      <c r="P910" s="114"/>
      <c r="Q910" s="114"/>
      <c r="R910" s="114"/>
      <c r="S910" s="143"/>
      <c r="T910" s="114"/>
      <c r="U910" s="114"/>
      <c r="V910" s="114"/>
      <c r="W910" s="114"/>
      <c r="X910" s="114"/>
      <c r="Y910" s="114"/>
      <c r="Z910" s="143"/>
      <c r="AA910" s="114"/>
      <c r="AB910" s="114"/>
      <c r="AC910" s="114"/>
      <c r="AD910" s="143"/>
      <c r="AE910" s="114"/>
      <c r="AF910" s="114"/>
      <c r="AG910" s="143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43"/>
      <c r="AU910" s="114"/>
      <c r="AV910" s="114"/>
      <c r="AW910" s="114"/>
      <c r="AX910" s="114"/>
      <c r="AY910" s="114"/>
      <c r="AZ910" s="114"/>
      <c r="BA910" s="114"/>
      <c r="BB910" s="114"/>
      <c r="BC910" s="114"/>
    </row>
    <row r="911" spans="1:55" ht="15.75" customHeight="1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43"/>
      <c r="M911" s="143"/>
      <c r="N911" s="143"/>
      <c r="O911" s="143"/>
      <c r="P911" s="114"/>
      <c r="Q911" s="114"/>
      <c r="R911" s="114"/>
      <c r="S911" s="143"/>
      <c r="T911" s="114"/>
      <c r="U911" s="114"/>
      <c r="V911" s="114"/>
      <c r="W911" s="114"/>
      <c r="X911" s="114"/>
      <c r="Y911" s="114"/>
      <c r="Z911" s="143"/>
      <c r="AA911" s="114"/>
      <c r="AB911" s="114"/>
      <c r="AC911" s="114"/>
      <c r="AD911" s="143"/>
      <c r="AE911" s="114"/>
      <c r="AF911" s="114"/>
      <c r="AG911" s="143"/>
      <c r="AH911" s="114"/>
      <c r="AI911" s="114"/>
      <c r="AJ911" s="114"/>
      <c r="AK911" s="114"/>
      <c r="AL911" s="114"/>
      <c r="AM911" s="114"/>
      <c r="AN911" s="114"/>
      <c r="AO911" s="114"/>
      <c r="AP911" s="114"/>
      <c r="AQ911" s="114"/>
      <c r="AR911" s="114"/>
      <c r="AS911" s="114"/>
      <c r="AT911" s="143"/>
      <c r="AU911" s="114"/>
      <c r="AV911" s="114"/>
      <c r="AW911" s="114"/>
      <c r="AX911" s="114"/>
      <c r="AY911" s="114"/>
      <c r="AZ911" s="114"/>
      <c r="BA911" s="114"/>
      <c r="BB911" s="114"/>
      <c r="BC911" s="114"/>
    </row>
    <row r="912" spans="1:55" ht="15.75" customHeight="1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43"/>
      <c r="M912" s="143"/>
      <c r="N912" s="143"/>
      <c r="O912" s="143"/>
      <c r="P912" s="114"/>
      <c r="Q912" s="114"/>
      <c r="R912" s="114"/>
      <c r="S912" s="143"/>
      <c r="T912" s="114"/>
      <c r="U912" s="114"/>
      <c r="V912" s="114"/>
      <c r="W912" s="114"/>
      <c r="X912" s="114"/>
      <c r="Y912" s="114"/>
      <c r="Z912" s="143"/>
      <c r="AA912" s="114"/>
      <c r="AB912" s="114"/>
      <c r="AC912" s="114"/>
      <c r="AD912" s="143"/>
      <c r="AE912" s="114"/>
      <c r="AF912" s="114"/>
      <c r="AG912" s="143"/>
      <c r="AH912" s="114"/>
      <c r="AI912" s="114"/>
      <c r="AJ912" s="114"/>
      <c r="AK912" s="114"/>
      <c r="AL912" s="114"/>
      <c r="AM912" s="114"/>
      <c r="AN912" s="114"/>
      <c r="AO912" s="114"/>
      <c r="AP912" s="114"/>
      <c r="AQ912" s="114"/>
      <c r="AR912" s="114"/>
      <c r="AS912" s="114"/>
      <c r="AT912" s="143"/>
      <c r="AU912" s="114"/>
      <c r="AV912" s="114"/>
      <c r="AW912" s="114"/>
      <c r="AX912" s="114"/>
      <c r="AY912" s="114"/>
      <c r="AZ912" s="114"/>
      <c r="BA912" s="114"/>
      <c r="BB912" s="114"/>
      <c r="BC912" s="114"/>
    </row>
    <row r="913" spans="1:55" ht="15.75" customHeight="1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43"/>
      <c r="M913" s="143"/>
      <c r="N913" s="143"/>
      <c r="O913" s="143"/>
      <c r="P913" s="114"/>
      <c r="Q913" s="114"/>
      <c r="R913" s="114"/>
      <c r="S913" s="143"/>
      <c r="T913" s="114"/>
      <c r="U913" s="114"/>
      <c r="V913" s="114"/>
      <c r="W913" s="114"/>
      <c r="X913" s="114"/>
      <c r="Y913" s="114"/>
      <c r="Z913" s="143"/>
      <c r="AA913" s="114"/>
      <c r="AB913" s="114"/>
      <c r="AC913" s="114"/>
      <c r="AD913" s="143"/>
      <c r="AE913" s="114"/>
      <c r="AF913" s="114"/>
      <c r="AG913" s="143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43"/>
      <c r="AU913" s="114"/>
      <c r="AV913" s="114"/>
      <c r="AW913" s="114"/>
      <c r="AX913" s="114"/>
      <c r="AY913" s="114"/>
      <c r="AZ913" s="114"/>
      <c r="BA913" s="114"/>
      <c r="BB913" s="114"/>
      <c r="BC913" s="114"/>
    </row>
    <row r="914" spans="1:55" ht="15.75" customHeight="1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43"/>
      <c r="M914" s="143"/>
      <c r="N914" s="143"/>
      <c r="O914" s="143"/>
      <c r="P914" s="114"/>
      <c r="Q914" s="114"/>
      <c r="R914" s="114"/>
      <c r="S914" s="143"/>
      <c r="T914" s="114"/>
      <c r="U914" s="114"/>
      <c r="V914" s="114"/>
      <c r="W914" s="114"/>
      <c r="X914" s="114"/>
      <c r="Y914" s="114"/>
      <c r="Z914" s="143"/>
      <c r="AA914" s="114"/>
      <c r="AB914" s="114"/>
      <c r="AC914" s="114"/>
      <c r="AD914" s="143"/>
      <c r="AE914" s="114"/>
      <c r="AF914" s="114"/>
      <c r="AG914" s="143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  <c r="AR914" s="114"/>
      <c r="AS914" s="114"/>
      <c r="AT914" s="143"/>
      <c r="AU914" s="114"/>
      <c r="AV914" s="114"/>
      <c r="AW914" s="114"/>
      <c r="AX914" s="114"/>
      <c r="AY914" s="114"/>
      <c r="AZ914" s="114"/>
      <c r="BA914" s="114"/>
      <c r="BB914" s="114"/>
      <c r="BC914" s="114"/>
    </row>
    <row r="915" spans="1:55" ht="15.75" customHeight="1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43"/>
      <c r="M915" s="143"/>
      <c r="N915" s="143"/>
      <c r="O915" s="143"/>
      <c r="P915" s="114"/>
      <c r="Q915" s="114"/>
      <c r="R915" s="114"/>
      <c r="S915" s="143"/>
      <c r="T915" s="114"/>
      <c r="U915" s="114"/>
      <c r="V915" s="114"/>
      <c r="W915" s="114"/>
      <c r="X915" s="114"/>
      <c r="Y915" s="114"/>
      <c r="Z915" s="143"/>
      <c r="AA915" s="114"/>
      <c r="AB915" s="114"/>
      <c r="AC915" s="114"/>
      <c r="AD915" s="143"/>
      <c r="AE915" s="114"/>
      <c r="AF915" s="114"/>
      <c r="AG915" s="143"/>
      <c r="AH915" s="114"/>
      <c r="AI915" s="114"/>
      <c r="AJ915" s="114"/>
      <c r="AK915" s="114"/>
      <c r="AL915" s="114"/>
      <c r="AM915" s="114"/>
      <c r="AN915" s="114"/>
      <c r="AO915" s="114"/>
      <c r="AP915" s="114"/>
      <c r="AQ915" s="114"/>
      <c r="AR915" s="114"/>
      <c r="AS915" s="114"/>
      <c r="AT915" s="143"/>
      <c r="AU915" s="114"/>
      <c r="AV915" s="114"/>
      <c r="AW915" s="114"/>
      <c r="AX915" s="114"/>
      <c r="AY915" s="114"/>
      <c r="AZ915" s="114"/>
      <c r="BA915" s="114"/>
      <c r="BB915" s="114"/>
      <c r="BC915" s="114"/>
    </row>
    <row r="916" spans="1:55" ht="15.75" customHeight="1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43"/>
      <c r="M916" s="143"/>
      <c r="N916" s="143"/>
      <c r="O916" s="143"/>
      <c r="P916" s="114"/>
      <c r="Q916" s="114"/>
      <c r="R916" s="114"/>
      <c r="S916" s="143"/>
      <c r="T916" s="114"/>
      <c r="U916" s="114"/>
      <c r="V916" s="114"/>
      <c r="W916" s="114"/>
      <c r="X916" s="114"/>
      <c r="Y916" s="114"/>
      <c r="Z916" s="143"/>
      <c r="AA916" s="114"/>
      <c r="AB916" s="114"/>
      <c r="AC916" s="114"/>
      <c r="AD916" s="143"/>
      <c r="AE916" s="114"/>
      <c r="AF916" s="114"/>
      <c r="AG916" s="143"/>
      <c r="AH916" s="114"/>
      <c r="AI916" s="114"/>
      <c r="AJ916" s="114"/>
      <c r="AK916" s="114"/>
      <c r="AL916" s="114"/>
      <c r="AM916" s="114"/>
      <c r="AN916" s="114"/>
      <c r="AO916" s="114"/>
      <c r="AP916" s="114"/>
      <c r="AQ916" s="114"/>
      <c r="AR916" s="114"/>
      <c r="AS916" s="114"/>
      <c r="AT916" s="143"/>
      <c r="AU916" s="114"/>
      <c r="AV916" s="114"/>
      <c r="AW916" s="114"/>
      <c r="AX916" s="114"/>
      <c r="AY916" s="114"/>
      <c r="AZ916" s="114"/>
      <c r="BA916" s="114"/>
      <c r="BB916" s="114"/>
      <c r="BC916" s="114"/>
    </row>
    <row r="917" spans="1:55" ht="15.75" customHeight="1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43"/>
      <c r="M917" s="143"/>
      <c r="N917" s="143"/>
      <c r="O917" s="143"/>
      <c r="P917" s="114"/>
      <c r="Q917" s="114"/>
      <c r="R917" s="114"/>
      <c r="S917" s="143"/>
      <c r="T917" s="114"/>
      <c r="U917" s="114"/>
      <c r="V917" s="114"/>
      <c r="W917" s="114"/>
      <c r="X917" s="114"/>
      <c r="Y917" s="114"/>
      <c r="Z917" s="143"/>
      <c r="AA917" s="114"/>
      <c r="AB917" s="114"/>
      <c r="AC917" s="114"/>
      <c r="AD917" s="143"/>
      <c r="AE917" s="114"/>
      <c r="AF917" s="114"/>
      <c r="AG917" s="143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43"/>
      <c r="AU917" s="114"/>
      <c r="AV917" s="114"/>
      <c r="AW917" s="114"/>
      <c r="AX917" s="114"/>
      <c r="AY917" s="114"/>
      <c r="AZ917" s="114"/>
      <c r="BA917" s="114"/>
      <c r="BB917" s="114"/>
      <c r="BC917" s="114"/>
    </row>
    <row r="918" spans="1:55" ht="15.75" customHeight="1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43"/>
      <c r="M918" s="143"/>
      <c r="N918" s="143"/>
      <c r="O918" s="143"/>
      <c r="P918" s="114"/>
      <c r="Q918" s="114"/>
      <c r="R918" s="114"/>
      <c r="S918" s="143"/>
      <c r="T918" s="114"/>
      <c r="U918" s="114"/>
      <c r="V918" s="114"/>
      <c r="W918" s="114"/>
      <c r="X918" s="114"/>
      <c r="Y918" s="114"/>
      <c r="Z918" s="143"/>
      <c r="AA918" s="114"/>
      <c r="AB918" s="114"/>
      <c r="AC918" s="114"/>
      <c r="AD918" s="143"/>
      <c r="AE918" s="114"/>
      <c r="AF918" s="114"/>
      <c r="AG918" s="143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43"/>
      <c r="AU918" s="114"/>
      <c r="AV918" s="114"/>
      <c r="AW918" s="114"/>
      <c r="AX918" s="114"/>
      <c r="AY918" s="114"/>
      <c r="AZ918" s="114"/>
      <c r="BA918" s="114"/>
      <c r="BB918" s="114"/>
      <c r="BC918" s="114"/>
    </row>
    <row r="919" spans="1:55" ht="15.75" customHeight="1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43"/>
      <c r="M919" s="143"/>
      <c r="N919" s="143"/>
      <c r="O919" s="143"/>
      <c r="P919" s="114"/>
      <c r="Q919" s="114"/>
      <c r="R919" s="114"/>
      <c r="S919" s="143"/>
      <c r="T919" s="114"/>
      <c r="U919" s="114"/>
      <c r="V919" s="114"/>
      <c r="W919" s="114"/>
      <c r="X919" s="114"/>
      <c r="Y919" s="114"/>
      <c r="Z919" s="143"/>
      <c r="AA919" s="114"/>
      <c r="AB919" s="114"/>
      <c r="AC919" s="114"/>
      <c r="AD919" s="143"/>
      <c r="AE919" s="114"/>
      <c r="AF919" s="114"/>
      <c r="AG919" s="143"/>
      <c r="AH919" s="114"/>
      <c r="AI919" s="114"/>
      <c r="AJ919" s="114"/>
      <c r="AK919" s="114"/>
      <c r="AL919" s="114"/>
      <c r="AM919" s="114"/>
      <c r="AN919" s="114"/>
      <c r="AO919" s="114"/>
      <c r="AP919" s="114"/>
      <c r="AQ919" s="114"/>
      <c r="AR919" s="114"/>
      <c r="AS919" s="114"/>
      <c r="AT919" s="143"/>
      <c r="AU919" s="114"/>
      <c r="AV919" s="114"/>
      <c r="AW919" s="114"/>
      <c r="AX919" s="114"/>
      <c r="AY919" s="114"/>
      <c r="AZ919" s="114"/>
      <c r="BA919" s="114"/>
      <c r="BB919" s="114"/>
      <c r="BC919" s="114"/>
    </row>
    <row r="920" spans="1:55" ht="15.75" customHeight="1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43"/>
      <c r="M920" s="143"/>
      <c r="N920" s="143"/>
      <c r="O920" s="143"/>
      <c r="P920" s="114"/>
      <c r="Q920" s="114"/>
      <c r="R920" s="114"/>
      <c r="S920" s="143"/>
      <c r="T920" s="114"/>
      <c r="U920" s="114"/>
      <c r="V920" s="114"/>
      <c r="W920" s="114"/>
      <c r="X920" s="114"/>
      <c r="Y920" s="114"/>
      <c r="Z920" s="143"/>
      <c r="AA920" s="114"/>
      <c r="AB920" s="114"/>
      <c r="AC920" s="114"/>
      <c r="AD920" s="143"/>
      <c r="AE920" s="114"/>
      <c r="AF920" s="114"/>
      <c r="AG920" s="143"/>
      <c r="AH920" s="114"/>
      <c r="AI920" s="114"/>
      <c r="AJ920" s="114"/>
      <c r="AK920" s="114"/>
      <c r="AL920" s="114"/>
      <c r="AM920" s="114"/>
      <c r="AN920" s="114"/>
      <c r="AO920" s="114"/>
      <c r="AP920" s="114"/>
      <c r="AQ920" s="114"/>
      <c r="AR920" s="114"/>
      <c r="AS920" s="114"/>
      <c r="AT920" s="143"/>
      <c r="AU920" s="114"/>
      <c r="AV920" s="114"/>
      <c r="AW920" s="114"/>
      <c r="AX920" s="114"/>
      <c r="AY920" s="114"/>
      <c r="AZ920" s="114"/>
      <c r="BA920" s="114"/>
      <c r="BB920" s="114"/>
      <c r="BC920" s="114"/>
    </row>
    <row r="921" spans="1:55" ht="15.75" customHeight="1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43"/>
      <c r="M921" s="143"/>
      <c r="N921" s="143"/>
      <c r="O921" s="143"/>
      <c r="P921" s="114"/>
      <c r="Q921" s="114"/>
      <c r="R921" s="114"/>
      <c r="S921" s="143"/>
      <c r="T921" s="114"/>
      <c r="U921" s="114"/>
      <c r="V921" s="114"/>
      <c r="W921" s="114"/>
      <c r="X921" s="114"/>
      <c r="Y921" s="114"/>
      <c r="Z921" s="143"/>
      <c r="AA921" s="114"/>
      <c r="AB921" s="114"/>
      <c r="AC921" s="114"/>
      <c r="AD921" s="143"/>
      <c r="AE921" s="114"/>
      <c r="AF921" s="114"/>
      <c r="AG921" s="143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43"/>
      <c r="AU921" s="114"/>
      <c r="AV921" s="114"/>
      <c r="AW921" s="114"/>
      <c r="AX921" s="114"/>
      <c r="AY921" s="114"/>
      <c r="AZ921" s="114"/>
      <c r="BA921" s="114"/>
      <c r="BB921" s="114"/>
      <c r="BC921" s="114"/>
    </row>
    <row r="922" spans="1:55" ht="15.75" customHeight="1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43"/>
      <c r="M922" s="143"/>
      <c r="N922" s="143"/>
      <c r="O922" s="143"/>
      <c r="P922" s="114"/>
      <c r="Q922" s="114"/>
      <c r="R922" s="114"/>
      <c r="S922" s="143"/>
      <c r="T922" s="114"/>
      <c r="U922" s="114"/>
      <c r="V922" s="114"/>
      <c r="W922" s="114"/>
      <c r="X922" s="114"/>
      <c r="Y922" s="114"/>
      <c r="Z922" s="143"/>
      <c r="AA922" s="114"/>
      <c r="AB922" s="114"/>
      <c r="AC922" s="114"/>
      <c r="AD922" s="143"/>
      <c r="AE922" s="114"/>
      <c r="AF922" s="114"/>
      <c r="AG922" s="143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43"/>
      <c r="AU922" s="114"/>
      <c r="AV922" s="114"/>
      <c r="AW922" s="114"/>
      <c r="AX922" s="114"/>
      <c r="AY922" s="114"/>
      <c r="AZ922" s="114"/>
      <c r="BA922" s="114"/>
      <c r="BB922" s="114"/>
      <c r="BC922" s="114"/>
    </row>
    <row r="923" spans="1:55" ht="15.75" customHeight="1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43"/>
      <c r="M923" s="143"/>
      <c r="N923" s="143"/>
      <c r="O923" s="143"/>
      <c r="P923" s="114"/>
      <c r="Q923" s="114"/>
      <c r="R923" s="114"/>
      <c r="S923" s="143"/>
      <c r="T923" s="114"/>
      <c r="U923" s="114"/>
      <c r="V923" s="114"/>
      <c r="W923" s="114"/>
      <c r="X923" s="114"/>
      <c r="Y923" s="114"/>
      <c r="Z923" s="143"/>
      <c r="AA923" s="114"/>
      <c r="AB923" s="114"/>
      <c r="AC923" s="114"/>
      <c r="AD923" s="143"/>
      <c r="AE923" s="114"/>
      <c r="AF923" s="114"/>
      <c r="AG923" s="143"/>
      <c r="AH923" s="114"/>
      <c r="AI923" s="114"/>
      <c r="AJ923" s="114"/>
      <c r="AK923" s="114"/>
      <c r="AL923" s="114"/>
      <c r="AM923" s="114"/>
      <c r="AN923" s="114"/>
      <c r="AO923" s="114"/>
      <c r="AP923" s="114"/>
      <c r="AQ923" s="114"/>
      <c r="AR923" s="114"/>
      <c r="AS923" s="114"/>
      <c r="AT923" s="143"/>
      <c r="AU923" s="114"/>
      <c r="AV923" s="114"/>
      <c r="AW923" s="114"/>
      <c r="AX923" s="114"/>
      <c r="AY923" s="114"/>
      <c r="AZ923" s="114"/>
      <c r="BA923" s="114"/>
      <c r="BB923" s="114"/>
      <c r="BC923" s="114"/>
    </row>
    <row r="924" spans="1:55" ht="15.75" customHeight="1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43"/>
      <c r="M924" s="143"/>
      <c r="N924" s="143"/>
      <c r="O924" s="143"/>
      <c r="P924" s="114"/>
      <c r="Q924" s="114"/>
      <c r="R924" s="114"/>
      <c r="S924" s="143"/>
      <c r="T924" s="114"/>
      <c r="U924" s="114"/>
      <c r="V924" s="114"/>
      <c r="W924" s="114"/>
      <c r="X924" s="114"/>
      <c r="Y924" s="114"/>
      <c r="Z924" s="143"/>
      <c r="AA924" s="114"/>
      <c r="AB924" s="114"/>
      <c r="AC924" s="114"/>
      <c r="AD924" s="143"/>
      <c r="AE924" s="114"/>
      <c r="AF924" s="114"/>
      <c r="AG924" s="143"/>
      <c r="AH924" s="114"/>
      <c r="AI924" s="114"/>
      <c r="AJ924" s="114"/>
      <c r="AK924" s="114"/>
      <c r="AL924" s="114"/>
      <c r="AM924" s="114"/>
      <c r="AN924" s="114"/>
      <c r="AO924" s="114"/>
      <c r="AP924" s="114"/>
      <c r="AQ924" s="114"/>
      <c r="AR924" s="114"/>
      <c r="AS924" s="114"/>
      <c r="AT924" s="143"/>
      <c r="AU924" s="114"/>
      <c r="AV924" s="114"/>
      <c r="AW924" s="114"/>
      <c r="AX924" s="114"/>
      <c r="AY924" s="114"/>
      <c r="AZ924" s="114"/>
      <c r="BA924" s="114"/>
      <c r="BB924" s="114"/>
      <c r="BC924" s="114"/>
    </row>
    <row r="925" spans="1:55" ht="15.75" customHeight="1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43"/>
      <c r="M925" s="143"/>
      <c r="N925" s="143"/>
      <c r="O925" s="143"/>
      <c r="P925" s="114"/>
      <c r="Q925" s="114"/>
      <c r="R925" s="114"/>
      <c r="S925" s="143"/>
      <c r="T925" s="114"/>
      <c r="U925" s="114"/>
      <c r="V925" s="114"/>
      <c r="W925" s="114"/>
      <c r="X925" s="114"/>
      <c r="Y925" s="114"/>
      <c r="Z925" s="143"/>
      <c r="AA925" s="114"/>
      <c r="AB925" s="114"/>
      <c r="AC925" s="114"/>
      <c r="AD925" s="143"/>
      <c r="AE925" s="114"/>
      <c r="AF925" s="114"/>
      <c r="AG925" s="143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43"/>
      <c r="AU925" s="114"/>
      <c r="AV925" s="114"/>
      <c r="AW925" s="114"/>
      <c r="AX925" s="114"/>
      <c r="AY925" s="114"/>
      <c r="AZ925" s="114"/>
      <c r="BA925" s="114"/>
      <c r="BB925" s="114"/>
      <c r="BC925" s="114"/>
    </row>
    <row r="926" spans="1:55" ht="15.75" customHeight="1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43"/>
      <c r="M926" s="143"/>
      <c r="N926" s="143"/>
      <c r="O926" s="143"/>
      <c r="P926" s="114"/>
      <c r="Q926" s="114"/>
      <c r="R926" s="114"/>
      <c r="S926" s="143"/>
      <c r="T926" s="114"/>
      <c r="U926" s="114"/>
      <c r="V926" s="114"/>
      <c r="W926" s="114"/>
      <c r="X926" s="114"/>
      <c r="Y926" s="114"/>
      <c r="Z926" s="143"/>
      <c r="AA926" s="114"/>
      <c r="AB926" s="114"/>
      <c r="AC926" s="114"/>
      <c r="AD926" s="143"/>
      <c r="AE926" s="114"/>
      <c r="AF926" s="114"/>
      <c r="AG926" s="143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43"/>
      <c r="AU926" s="114"/>
      <c r="AV926" s="114"/>
      <c r="AW926" s="114"/>
      <c r="AX926" s="114"/>
      <c r="AY926" s="114"/>
      <c r="AZ926" s="114"/>
      <c r="BA926" s="114"/>
      <c r="BB926" s="114"/>
      <c r="BC926" s="114"/>
    </row>
    <row r="927" spans="1:55" ht="15.75" customHeight="1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43"/>
      <c r="M927" s="143"/>
      <c r="N927" s="143"/>
      <c r="O927" s="143"/>
      <c r="P927" s="114"/>
      <c r="Q927" s="114"/>
      <c r="R927" s="114"/>
      <c r="S927" s="143"/>
      <c r="T927" s="114"/>
      <c r="U927" s="114"/>
      <c r="V927" s="114"/>
      <c r="W927" s="114"/>
      <c r="X927" s="114"/>
      <c r="Y927" s="114"/>
      <c r="Z927" s="143"/>
      <c r="AA927" s="114"/>
      <c r="AB927" s="114"/>
      <c r="AC927" s="114"/>
      <c r="AD927" s="143"/>
      <c r="AE927" s="114"/>
      <c r="AF927" s="114"/>
      <c r="AG927" s="143"/>
      <c r="AH927" s="114"/>
      <c r="AI927" s="114"/>
      <c r="AJ927" s="114"/>
      <c r="AK927" s="114"/>
      <c r="AL927" s="114"/>
      <c r="AM927" s="114"/>
      <c r="AN927" s="114"/>
      <c r="AO927" s="114"/>
      <c r="AP927" s="114"/>
      <c r="AQ927" s="114"/>
      <c r="AR927" s="114"/>
      <c r="AS927" s="114"/>
      <c r="AT927" s="143"/>
      <c r="AU927" s="114"/>
      <c r="AV927" s="114"/>
      <c r="AW927" s="114"/>
      <c r="AX927" s="114"/>
      <c r="AY927" s="114"/>
      <c r="AZ927" s="114"/>
      <c r="BA927" s="114"/>
      <c r="BB927" s="114"/>
      <c r="BC927" s="114"/>
    </row>
    <row r="928" spans="1:55" ht="15.75" customHeight="1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43"/>
      <c r="M928" s="143"/>
      <c r="N928" s="143"/>
      <c r="O928" s="143"/>
      <c r="P928" s="114"/>
      <c r="Q928" s="114"/>
      <c r="R928" s="114"/>
      <c r="S928" s="143"/>
      <c r="T928" s="114"/>
      <c r="U928" s="114"/>
      <c r="V928" s="114"/>
      <c r="W928" s="114"/>
      <c r="X928" s="114"/>
      <c r="Y928" s="114"/>
      <c r="Z928" s="143"/>
      <c r="AA928" s="114"/>
      <c r="AB928" s="114"/>
      <c r="AC928" s="114"/>
      <c r="AD928" s="143"/>
      <c r="AE928" s="114"/>
      <c r="AF928" s="114"/>
      <c r="AG928" s="143"/>
      <c r="AH928" s="114"/>
      <c r="AI928" s="114"/>
      <c r="AJ928" s="114"/>
      <c r="AK928" s="114"/>
      <c r="AL928" s="114"/>
      <c r="AM928" s="114"/>
      <c r="AN928" s="114"/>
      <c r="AO928" s="114"/>
      <c r="AP928" s="114"/>
      <c r="AQ928" s="114"/>
      <c r="AR928" s="114"/>
      <c r="AS928" s="114"/>
      <c r="AT928" s="143"/>
      <c r="AU928" s="114"/>
      <c r="AV928" s="114"/>
      <c r="AW928" s="114"/>
      <c r="AX928" s="114"/>
      <c r="AY928" s="114"/>
      <c r="AZ928" s="114"/>
      <c r="BA928" s="114"/>
      <c r="BB928" s="114"/>
      <c r="BC928" s="114"/>
    </row>
    <row r="929" spans="1:55" ht="15.75" customHeight="1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43"/>
      <c r="M929" s="143"/>
      <c r="N929" s="143"/>
      <c r="O929" s="143"/>
      <c r="P929" s="114"/>
      <c r="Q929" s="114"/>
      <c r="R929" s="114"/>
      <c r="S929" s="143"/>
      <c r="T929" s="114"/>
      <c r="U929" s="114"/>
      <c r="V929" s="114"/>
      <c r="W929" s="114"/>
      <c r="X929" s="114"/>
      <c r="Y929" s="114"/>
      <c r="Z929" s="143"/>
      <c r="AA929" s="114"/>
      <c r="AB929" s="114"/>
      <c r="AC929" s="114"/>
      <c r="AD929" s="143"/>
      <c r="AE929" s="114"/>
      <c r="AF929" s="114"/>
      <c r="AG929" s="143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43"/>
      <c r="AU929" s="114"/>
      <c r="AV929" s="114"/>
      <c r="AW929" s="114"/>
      <c r="AX929" s="114"/>
      <c r="AY929" s="114"/>
      <c r="AZ929" s="114"/>
      <c r="BA929" s="114"/>
      <c r="BB929" s="114"/>
      <c r="BC929" s="114"/>
    </row>
    <row r="930" spans="1:55" ht="15.75" customHeight="1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43"/>
      <c r="M930" s="143"/>
      <c r="N930" s="143"/>
      <c r="O930" s="143"/>
      <c r="P930" s="114"/>
      <c r="Q930" s="114"/>
      <c r="R930" s="114"/>
      <c r="S930" s="143"/>
      <c r="T930" s="114"/>
      <c r="U930" s="114"/>
      <c r="V930" s="114"/>
      <c r="W930" s="114"/>
      <c r="X930" s="114"/>
      <c r="Y930" s="114"/>
      <c r="Z930" s="143"/>
      <c r="AA930" s="114"/>
      <c r="AB930" s="114"/>
      <c r="AC930" s="114"/>
      <c r="AD930" s="143"/>
      <c r="AE930" s="114"/>
      <c r="AF930" s="114"/>
      <c r="AG930" s="143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43"/>
      <c r="AU930" s="114"/>
      <c r="AV930" s="114"/>
      <c r="AW930" s="114"/>
      <c r="AX930" s="114"/>
      <c r="AY930" s="114"/>
      <c r="AZ930" s="114"/>
      <c r="BA930" s="114"/>
      <c r="BB930" s="114"/>
      <c r="BC930" s="114"/>
    </row>
    <row r="931" spans="1:55" ht="15.75" customHeight="1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43"/>
      <c r="M931" s="143"/>
      <c r="N931" s="143"/>
      <c r="O931" s="143"/>
      <c r="P931" s="114"/>
      <c r="Q931" s="114"/>
      <c r="R931" s="114"/>
      <c r="S931" s="143"/>
      <c r="T931" s="114"/>
      <c r="U931" s="114"/>
      <c r="V931" s="114"/>
      <c r="W931" s="114"/>
      <c r="X931" s="114"/>
      <c r="Y931" s="114"/>
      <c r="Z931" s="143"/>
      <c r="AA931" s="114"/>
      <c r="AB931" s="114"/>
      <c r="AC931" s="114"/>
      <c r="AD931" s="143"/>
      <c r="AE931" s="114"/>
      <c r="AF931" s="114"/>
      <c r="AG931" s="143"/>
      <c r="AH931" s="114"/>
      <c r="AI931" s="114"/>
      <c r="AJ931" s="114"/>
      <c r="AK931" s="114"/>
      <c r="AL931" s="114"/>
      <c r="AM931" s="114"/>
      <c r="AN931" s="114"/>
      <c r="AO931" s="114"/>
      <c r="AP931" s="114"/>
      <c r="AQ931" s="114"/>
      <c r="AR931" s="114"/>
      <c r="AS931" s="114"/>
      <c r="AT931" s="143"/>
      <c r="AU931" s="114"/>
      <c r="AV931" s="114"/>
      <c r="AW931" s="114"/>
      <c r="AX931" s="114"/>
      <c r="AY931" s="114"/>
      <c r="AZ931" s="114"/>
      <c r="BA931" s="114"/>
      <c r="BB931" s="114"/>
      <c r="BC931" s="114"/>
    </row>
    <row r="932" spans="1:55" ht="15.75" customHeight="1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43"/>
      <c r="M932" s="143"/>
      <c r="N932" s="143"/>
      <c r="O932" s="143"/>
      <c r="P932" s="114"/>
      <c r="Q932" s="114"/>
      <c r="R932" s="114"/>
      <c r="S932" s="143"/>
      <c r="T932" s="114"/>
      <c r="U932" s="114"/>
      <c r="V932" s="114"/>
      <c r="W932" s="114"/>
      <c r="X932" s="114"/>
      <c r="Y932" s="114"/>
      <c r="Z932" s="143"/>
      <c r="AA932" s="114"/>
      <c r="AB932" s="114"/>
      <c r="AC932" s="114"/>
      <c r="AD932" s="143"/>
      <c r="AE932" s="114"/>
      <c r="AF932" s="114"/>
      <c r="AG932" s="143"/>
      <c r="AH932" s="114"/>
      <c r="AI932" s="114"/>
      <c r="AJ932" s="114"/>
      <c r="AK932" s="114"/>
      <c r="AL932" s="114"/>
      <c r="AM932" s="114"/>
      <c r="AN932" s="114"/>
      <c r="AO932" s="114"/>
      <c r="AP932" s="114"/>
      <c r="AQ932" s="114"/>
      <c r="AR932" s="114"/>
      <c r="AS932" s="114"/>
      <c r="AT932" s="143"/>
      <c r="AU932" s="114"/>
      <c r="AV932" s="114"/>
      <c r="AW932" s="114"/>
      <c r="AX932" s="114"/>
      <c r="AY932" s="114"/>
      <c r="AZ932" s="114"/>
      <c r="BA932" s="114"/>
      <c r="BB932" s="114"/>
      <c r="BC932" s="114"/>
    </row>
    <row r="933" spans="1:55" ht="15.75" customHeight="1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43"/>
      <c r="M933" s="143"/>
      <c r="N933" s="143"/>
      <c r="O933" s="143"/>
      <c r="P933" s="114"/>
      <c r="Q933" s="114"/>
      <c r="R933" s="114"/>
      <c r="S933" s="143"/>
      <c r="T933" s="114"/>
      <c r="U933" s="114"/>
      <c r="V933" s="114"/>
      <c r="W933" s="114"/>
      <c r="X933" s="114"/>
      <c r="Y933" s="114"/>
      <c r="Z933" s="143"/>
      <c r="AA933" s="114"/>
      <c r="AB933" s="114"/>
      <c r="AC933" s="114"/>
      <c r="AD933" s="143"/>
      <c r="AE933" s="114"/>
      <c r="AF933" s="114"/>
      <c r="AG933" s="143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43"/>
      <c r="AU933" s="114"/>
      <c r="AV933" s="114"/>
      <c r="AW933" s="114"/>
      <c r="AX933" s="114"/>
      <c r="AY933" s="114"/>
      <c r="AZ933" s="114"/>
      <c r="BA933" s="114"/>
      <c r="BB933" s="114"/>
      <c r="BC933" s="114"/>
    </row>
    <row r="934" spans="1:55" ht="15.75" customHeight="1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43"/>
      <c r="M934" s="143"/>
      <c r="N934" s="143"/>
      <c r="O934" s="143"/>
      <c r="P934" s="114"/>
      <c r="Q934" s="114"/>
      <c r="R934" s="114"/>
      <c r="S934" s="143"/>
      <c r="T934" s="114"/>
      <c r="U934" s="114"/>
      <c r="V934" s="114"/>
      <c r="W934" s="114"/>
      <c r="X934" s="114"/>
      <c r="Y934" s="114"/>
      <c r="Z934" s="143"/>
      <c r="AA934" s="114"/>
      <c r="AB934" s="114"/>
      <c r="AC934" s="114"/>
      <c r="AD934" s="143"/>
      <c r="AE934" s="114"/>
      <c r="AF934" s="114"/>
      <c r="AG934" s="143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43"/>
      <c r="AU934" s="114"/>
      <c r="AV934" s="114"/>
      <c r="AW934" s="114"/>
      <c r="AX934" s="114"/>
      <c r="AY934" s="114"/>
      <c r="AZ934" s="114"/>
      <c r="BA934" s="114"/>
      <c r="BB934" s="114"/>
      <c r="BC934" s="114"/>
    </row>
    <row r="935" spans="1:55" ht="15.75" customHeight="1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43"/>
      <c r="M935" s="143"/>
      <c r="N935" s="143"/>
      <c r="O935" s="143"/>
      <c r="P935" s="114"/>
      <c r="Q935" s="114"/>
      <c r="R935" s="114"/>
      <c r="S935" s="143"/>
      <c r="T935" s="114"/>
      <c r="U935" s="114"/>
      <c r="V935" s="114"/>
      <c r="W935" s="114"/>
      <c r="X935" s="114"/>
      <c r="Y935" s="114"/>
      <c r="Z935" s="143"/>
      <c r="AA935" s="114"/>
      <c r="AB935" s="114"/>
      <c r="AC935" s="114"/>
      <c r="AD935" s="143"/>
      <c r="AE935" s="114"/>
      <c r="AF935" s="114"/>
      <c r="AG935" s="143"/>
      <c r="AH935" s="114"/>
      <c r="AI935" s="114"/>
      <c r="AJ935" s="114"/>
      <c r="AK935" s="114"/>
      <c r="AL935" s="114"/>
      <c r="AM935" s="114"/>
      <c r="AN935" s="114"/>
      <c r="AO935" s="114"/>
      <c r="AP935" s="114"/>
      <c r="AQ935" s="114"/>
      <c r="AR935" s="114"/>
      <c r="AS935" s="114"/>
      <c r="AT935" s="143"/>
      <c r="AU935" s="114"/>
      <c r="AV935" s="114"/>
      <c r="AW935" s="114"/>
      <c r="AX935" s="114"/>
      <c r="AY935" s="114"/>
      <c r="AZ935" s="114"/>
      <c r="BA935" s="114"/>
      <c r="BB935" s="114"/>
      <c r="BC935" s="114"/>
    </row>
    <row r="936" spans="1:55" ht="15.75" customHeight="1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43"/>
      <c r="M936" s="143"/>
      <c r="N936" s="143"/>
      <c r="O936" s="143"/>
      <c r="P936" s="114"/>
      <c r="Q936" s="114"/>
      <c r="R936" s="114"/>
      <c r="S936" s="143"/>
      <c r="T936" s="114"/>
      <c r="U936" s="114"/>
      <c r="V936" s="114"/>
      <c r="W936" s="114"/>
      <c r="X936" s="114"/>
      <c r="Y936" s="114"/>
      <c r="Z936" s="143"/>
      <c r="AA936" s="114"/>
      <c r="AB936" s="114"/>
      <c r="AC936" s="114"/>
      <c r="AD936" s="143"/>
      <c r="AE936" s="114"/>
      <c r="AF936" s="114"/>
      <c r="AG936" s="143"/>
      <c r="AH936" s="114"/>
      <c r="AI936" s="114"/>
      <c r="AJ936" s="114"/>
      <c r="AK936" s="114"/>
      <c r="AL936" s="114"/>
      <c r="AM936" s="114"/>
      <c r="AN936" s="114"/>
      <c r="AO936" s="114"/>
      <c r="AP936" s="114"/>
      <c r="AQ936" s="114"/>
      <c r="AR936" s="114"/>
      <c r="AS936" s="114"/>
      <c r="AT936" s="143"/>
      <c r="AU936" s="114"/>
      <c r="AV936" s="114"/>
      <c r="AW936" s="114"/>
      <c r="AX936" s="114"/>
      <c r="AY936" s="114"/>
      <c r="AZ936" s="114"/>
      <c r="BA936" s="114"/>
      <c r="BB936" s="114"/>
      <c r="BC936" s="114"/>
    </row>
    <row r="937" spans="1:55" ht="15.75" customHeight="1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43"/>
      <c r="M937" s="143"/>
      <c r="N937" s="143"/>
      <c r="O937" s="143"/>
      <c r="P937" s="114"/>
      <c r="Q937" s="114"/>
      <c r="R937" s="114"/>
      <c r="S937" s="143"/>
      <c r="T937" s="114"/>
      <c r="U937" s="114"/>
      <c r="V937" s="114"/>
      <c r="W937" s="114"/>
      <c r="X937" s="114"/>
      <c r="Y937" s="114"/>
      <c r="Z937" s="143"/>
      <c r="AA937" s="114"/>
      <c r="AB937" s="114"/>
      <c r="AC937" s="114"/>
      <c r="AD937" s="143"/>
      <c r="AE937" s="114"/>
      <c r="AF937" s="114"/>
      <c r="AG937" s="143"/>
      <c r="AH937" s="114"/>
      <c r="AI937" s="114"/>
      <c r="AJ937" s="114"/>
      <c r="AK937" s="114"/>
      <c r="AL937" s="114"/>
      <c r="AM937" s="114"/>
      <c r="AN937" s="114"/>
      <c r="AO937" s="114"/>
      <c r="AP937" s="114"/>
      <c r="AQ937" s="114"/>
      <c r="AR937" s="114"/>
      <c r="AS937" s="114"/>
      <c r="AT937" s="143"/>
      <c r="AU937" s="114"/>
      <c r="AV937" s="114"/>
      <c r="AW937" s="114"/>
      <c r="AX937" s="114"/>
      <c r="AY937" s="114"/>
      <c r="AZ937" s="114"/>
      <c r="BA937" s="114"/>
      <c r="BB937" s="114"/>
      <c r="BC937" s="114"/>
    </row>
    <row r="938" spans="1:55" ht="15.75" customHeight="1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43"/>
      <c r="M938" s="143"/>
      <c r="N938" s="143"/>
      <c r="O938" s="143"/>
      <c r="P938" s="114"/>
      <c r="Q938" s="114"/>
      <c r="R938" s="114"/>
      <c r="S938" s="143"/>
      <c r="T938" s="114"/>
      <c r="U938" s="114"/>
      <c r="V938" s="114"/>
      <c r="W938" s="114"/>
      <c r="X938" s="114"/>
      <c r="Y938" s="114"/>
      <c r="Z938" s="143"/>
      <c r="AA938" s="114"/>
      <c r="AB938" s="114"/>
      <c r="AC938" s="114"/>
      <c r="AD938" s="143"/>
      <c r="AE938" s="114"/>
      <c r="AF938" s="114"/>
      <c r="AG938" s="143"/>
      <c r="AH938" s="114"/>
      <c r="AI938" s="114"/>
      <c r="AJ938" s="114"/>
      <c r="AK938" s="114"/>
      <c r="AL938" s="114"/>
      <c r="AM938" s="114"/>
      <c r="AN938" s="114"/>
      <c r="AO938" s="114"/>
      <c r="AP938" s="114"/>
      <c r="AQ938" s="114"/>
      <c r="AR938" s="114"/>
      <c r="AS938" s="114"/>
      <c r="AT938" s="143"/>
      <c r="AU938" s="114"/>
      <c r="AV938" s="114"/>
      <c r="AW938" s="114"/>
      <c r="AX938" s="114"/>
      <c r="AY938" s="114"/>
      <c r="AZ938" s="114"/>
      <c r="BA938" s="114"/>
      <c r="BB938" s="114"/>
      <c r="BC938" s="114"/>
    </row>
    <row r="939" spans="1:55" ht="15.75" customHeight="1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43"/>
      <c r="M939" s="143"/>
      <c r="N939" s="143"/>
      <c r="O939" s="143"/>
      <c r="P939" s="114"/>
      <c r="Q939" s="114"/>
      <c r="R939" s="114"/>
      <c r="S939" s="143"/>
      <c r="T939" s="114"/>
      <c r="U939" s="114"/>
      <c r="V939" s="114"/>
      <c r="W939" s="114"/>
      <c r="X939" s="114"/>
      <c r="Y939" s="114"/>
      <c r="Z939" s="143"/>
      <c r="AA939" s="114"/>
      <c r="AB939" s="114"/>
      <c r="AC939" s="114"/>
      <c r="AD939" s="143"/>
      <c r="AE939" s="114"/>
      <c r="AF939" s="114"/>
      <c r="AG939" s="143"/>
      <c r="AH939" s="114"/>
      <c r="AI939" s="114"/>
      <c r="AJ939" s="114"/>
      <c r="AK939" s="114"/>
      <c r="AL939" s="114"/>
      <c r="AM939" s="114"/>
      <c r="AN939" s="114"/>
      <c r="AO939" s="114"/>
      <c r="AP939" s="114"/>
      <c r="AQ939" s="114"/>
      <c r="AR939" s="114"/>
      <c r="AS939" s="114"/>
      <c r="AT939" s="143"/>
      <c r="AU939" s="114"/>
      <c r="AV939" s="114"/>
      <c r="AW939" s="114"/>
      <c r="AX939" s="114"/>
      <c r="AY939" s="114"/>
      <c r="AZ939" s="114"/>
      <c r="BA939" s="114"/>
      <c r="BB939" s="114"/>
      <c r="BC939" s="114"/>
    </row>
    <row r="940" spans="1:55" ht="15.75" customHeight="1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43"/>
      <c r="M940" s="143"/>
      <c r="N940" s="143"/>
      <c r="O940" s="143"/>
      <c r="P940" s="114"/>
      <c r="Q940" s="114"/>
      <c r="R940" s="114"/>
      <c r="S940" s="143"/>
      <c r="T940" s="114"/>
      <c r="U940" s="114"/>
      <c r="V940" s="114"/>
      <c r="W940" s="114"/>
      <c r="X940" s="114"/>
      <c r="Y940" s="114"/>
      <c r="Z940" s="143"/>
      <c r="AA940" s="114"/>
      <c r="AB940" s="114"/>
      <c r="AC940" s="114"/>
      <c r="AD940" s="143"/>
      <c r="AE940" s="114"/>
      <c r="AF940" s="114"/>
      <c r="AG940" s="143"/>
      <c r="AH940" s="114"/>
      <c r="AI940" s="114"/>
      <c r="AJ940" s="114"/>
      <c r="AK940" s="114"/>
      <c r="AL940" s="114"/>
      <c r="AM940" s="114"/>
      <c r="AN940" s="114"/>
      <c r="AO940" s="114"/>
      <c r="AP940" s="114"/>
      <c r="AQ940" s="114"/>
      <c r="AR940" s="114"/>
      <c r="AS940" s="114"/>
      <c r="AT940" s="143"/>
      <c r="AU940" s="114"/>
      <c r="AV940" s="114"/>
      <c r="AW940" s="114"/>
      <c r="AX940" s="114"/>
      <c r="AY940" s="114"/>
      <c r="AZ940" s="114"/>
      <c r="BA940" s="114"/>
      <c r="BB940" s="114"/>
      <c r="BC940" s="114"/>
    </row>
    <row r="941" spans="1:55" ht="15.75" customHeight="1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43"/>
      <c r="M941" s="143"/>
      <c r="N941" s="143"/>
      <c r="O941" s="143"/>
      <c r="P941" s="114"/>
      <c r="Q941" s="114"/>
      <c r="R941" s="114"/>
      <c r="S941" s="143"/>
      <c r="T941" s="114"/>
      <c r="U941" s="114"/>
      <c r="V941" s="114"/>
      <c r="W941" s="114"/>
      <c r="X941" s="114"/>
      <c r="Y941" s="114"/>
      <c r="Z941" s="143"/>
      <c r="AA941" s="114"/>
      <c r="AB941" s="114"/>
      <c r="AC941" s="114"/>
      <c r="AD941" s="143"/>
      <c r="AE941" s="114"/>
      <c r="AF941" s="114"/>
      <c r="AG941" s="143"/>
      <c r="AH941" s="114"/>
      <c r="AI941" s="114"/>
      <c r="AJ941" s="114"/>
      <c r="AK941" s="114"/>
      <c r="AL941" s="114"/>
      <c r="AM941" s="114"/>
      <c r="AN941" s="114"/>
      <c r="AO941" s="114"/>
      <c r="AP941" s="114"/>
      <c r="AQ941" s="114"/>
      <c r="AR941" s="114"/>
      <c r="AS941" s="114"/>
      <c r="AT941" s="143"/>
      <c r="AU941" s="114"/>
      <c r="AV941" s="114"/>
      <c r="AW941" s="114"/>
      <c r="AX941" s="114"/>
      <c r="AY941" s="114"/>
      <c r="AZ941" s="114"/>
      <c r="BA941" s="114"/>
      <c r="BB941" s="114"/>
      <c r="BC941" s="114"/>
    </row>
    <row r="942" spans="1:55" ht="15.75" customHeight="1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43"/>
      <c r="M942" s="143"/>
      <c r="N942" s="143"/>
      <c r="O942" s="143"/>
      <c r="P942" s="114"/>
      <c r="Q942" s="114"/>
      <c r="R942" s="114"/>
      <c r="S942" s="143"/>
      <c r="T942" s="114"/>
      <c r="U942" s="114"/>
      <c r="V942" s="114"/>
      <c r="W942" s="114"/>
      <c r="X942" s="114"/>
      <c r="Y942" s="114"/>
      <c r="Z942" s="143"/>
      <c r="AA942" s="114"/>
      <c r="AB942" s="114"/>
      <c r="AC942" s="114"/>
      <c r="AD942" s="143"/>
      <c r="AE942" s="114"/>
      <c r="AF942" s="114"/>
      <c r="AG942" s="143"/>
      <c r="AH942" s="114"/>
      <c r="AI942" s="114"/>
      <c r="AJ942" s="114"/>
      <c r="AK942" s="114"/>
      <c r="AL942" s="114"/>
      <c r="AM942" s="114"/>
      <c r="AN942" s="114"/>
      <c r="AO942" s="114"/>
      <c r="AP942" s="114"/>
      <c r="AQ942" s="114"/>
      <c r="AR942" s="114"/>
      <c r="AS942" s="114"/>
      <c r="AT942" s="143"/>
      <c r="AU942" s="114"/>
      <c r="AV942" s="114"/>
      <c r="AW942" s="114"/>
      <c r="AX942" s="114"/>
      <c r="AY942" s="114"/>
      <c r="AZ942" s="114"/>
      <c r="BA942" s="114"/>
      <c r="BB942" s="114"/>
      <c r="BC942" s="114"/>
    </row>
    <row r="943" spans="1:55" ht="15.75" customHeight="1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43"/>
      <c r="M943" s="143"/>
      <c r="N943" s="143"/>
      <c r="O943" s="143"/>
      <c r="P943" s="114"/>
      <c r="Q943" s="114"/>
      <c r="R943" s="114"/>
      <c r="S943" s="143"/>
      <c r="T943" s="114"/>
      <c r="U943" s="114"/>
      <c r="V943" s="114"/>
      <c r="W943" s="114"/>
      <c r="X943" s="114"/>
      <c r="Y943" s="114"/>
      <c r="Z943" s="143"/>
      <c r="AA943" s="114"/>
      <c r="AB943" s="114"/>
      <c r="AC943" s="114"/>
      <c r="AD943" s="143"/>
      <c r="AE943" s="114"/>
      <c r="AF943" s="114"/>
      <c r="AG943" s="143"/>
      <c r="AH943" s="114"/>
      <c r="AI943" s="114"/>
      <c r="AJ943" s="114"/>
      <c r="AK943" s="114"/>
      <c r="AL943" s="114"/>
      <c r="AM943" s="114"/>
      <c r="AN943" s="114"/>
      <c r="AO943" s="114"/>
      <c r="AP943" s="114"/>
      <c r="AQ943" s="114"/>
      <c r="AR943" s="114"/>
      <c r="AS943" s="114"/>
      <c r="AT943" s="143"/>
      <c r="AU943" s="114"/>
      <c r="AV943" s="114"/>
      <c r="AW943" s="114"/>
      <c r="AX943" s="114"/>
      <c r="AY943" s="114"/>
      <c r="AZ943" s="114"/>
      <c r="BA943" s="114"/>
      <c r="BB943" s="114"/>
      <c r="BC943" s="114"/>
    </row>
    <row r="944" spans="1:55" ht="15.75" customHeight="1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43"/>
      <c r="M944" s="143"/>
      <c r="N944" s="143"/>
      <c r="O944" s="143"/>
      <c r="P944" s="114"/>
      <c r="Q944" s="114"/>
      <c r="R944" s="114"/>
      <c r="S944" s="143"/>
      <c r="T944" s="114"/>
      <c r="U944" s="114"/>
      <c r="V944" s="114"/>
      <c r="W944" s="114"/>
      <c r="X944" s="114"/>
      <c r="Y944" s="114"/>
      <c r="Z944" s="143"/>
      <c r="AA944" s="114"/>
      <c r="AB944" s="114"/>
      <c r="AC944" s="114"/>
      <c r="AD944" s="143"/>
      <c r="AE944" s="114"/>
      <c r="AF944" s="114"/>
      <c r="AG944" s="143"/>
      <c r="AH944" s="114"/>
      <c r="AI944" s="114"/>
      <c r="AJ944" s="114"/>
      <c r="AK944" s="114"/>
      <c r="AL944" s="114"/>
      <c r="AM944" s="114"/>
      <c r="AN944" s="114"/>
      <c r="AO944" s="114"/>
      <c r="AP944" s="114"/>
      <c r="AQ944" s="114"/>
      <c r="AR944" s="114"/>
      <c r="AS944" s="114"/>
      <c r="AT944" s="143"/>
      <c r="AU944" s="114"/>
      <c r="AV944" s="114"/>
      <c r="AW944" s="114"/>
      <c r="AX944" s="114"/>
      <c r="AY944" s="114"/>
      <c r="AZ944" s="114"/>
      <c r="BA944" s="114"/>
      <c r="BB944" s="114"/>
      <c r="BC944" s="114"/>
    </row>
    <row r="945" spans="1:55" ht="15.75" customHeight="1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43"/>
      <c r="M945" s="143"/>
      <c r="N945" s="143"/>
      <c r="O945" s="143"/>
      <c r="P945" s="114"/>
      <c r="Q945" s="114"/>
      <c r="R945" s="114"/>
      <c r="S945" s="143"/>
      <c r="T945" s="114"/>
      <c r="U945" s="114"/>
      <c r="V945" s="114"/>
      <c r="W945" s="114"/>
      <c r="X945" s="114"/>
      <c r="Y945" s="114"/>
      <c r="Z945" s="143"/>
      <c r="AA945" s="114"/>
      <c r="AB945" s="114"/>
      <c r="AC945" s="114"/>
      <c r="AD945" s="143"/>
      <c r="AE945" s="114"/>
      <c r="AF945" s="114"/>
      <c r="AG945" s="143"/>
      <c r="AH945" s="114"/>
      <c r="AI945" s="114"/>
      <c r="AJ945" s="114"/>
      <c r="AK945" s="114"/>
      <c r="AL945" s="114"/>
      <c r="AM945" s="114"/>
      <c r="AN945" s="114"/>
      <c r="AO945" s="114"/>
      <c r="AP945" s="114"/>
      <c r="AQ945" s="114"/>
      <c r="AR945" s="114"/>
      <c r="AS945" s="114"/>
      <c r="AT945" s="143"/>
      <c r="AU945" s="114"/>
      <c r="AV945" s="114"/>
      <c r="AW945" s="114"/>
      <c r="AX945" s="114"/>
      <c r="AY945" s="114"/>
      <c r="AZ945" s="114"/>
      <c r="BA945" s="114"/>
      <c r="BB945" s="114"/>
      <c r="BC945" s="114"/>
    </row>
    <row r="946" spans="1:55" ht="15.75" customHeight="1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43"/>
      <c r="M946" s="143"/>
      <c r="N946" s="143"/>
      <c r="O946" s="143"/>
      <c r="P946" s="114"/>
      <c r="Q946" s="114"/>
      <c r="R946" s="114"/>
      <c r="S946" s="143"/>
      <c r="T946" s="114"/>
      <c r="U946" s="114"/>
      <c r="V946" s="114"/>
      <c r="W946" s="114"/>
      <c r="X946" s="114"/>
      <c r="Y946" s="114"/>
      <c r="Z946" s="143"/>
      <c r="AA946" s="114"/>
      <c r="AB946" s="114"/>
      <c r="AC946" s="114"/>
      <c r="AD946" s="143"/>
      <c r="AE946" s="114"/>
      <c r="AF946" s="114"/>
      <c r="AG946" s="143"/>
      <c r="AH946" s="114"/>
      <c r="AI946" s="114"/>
      <c r="AJ946" s="114"/>
      <c r="AK946" s="114"/>
      <c r="AL946" s="114"/>
      <c r="AM946" s="114"/>
      <c r="AN946" s="114"/>
      <c r="AO946" s="114"/>
      <c r="AP946" s="114"/>
      <c r="AQ946" s="114"/>
      <c r="AR946" s="114"/>
      <c r="AS946" s="114"/>
      <c r="AT946" s="143"/>
      <c r="AU946" s="114"/>
      <c r="AV946" s="114"/>
      <c r="AW946" s="114"/>
      <c r="AX946" s="114"/>
      <c r="AY946" s="114"/>
      <c r="AZ946" s="114"/>
      <c r="BA946" s="114"/>
      <c r="BB946" s="114"/>
      <c r="BC946" s="114"/>
    </row>
    <row r="947" spans="1:55" ht="15.75" customHeight="1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43"/>
      <c r="M947" s="143"/>
      <c r="N947" s="143"/>
      <c r="O947" s="143"/>
      <c r="P947" s="114"/>
      <c r="Q947" s="114"/>
      <c r="R947" s="114"/>
      <c r="S947" s="143"/>
      <c r="T947" s="114"/>
      <c r="U947" s="114"/>
      <c r="V947" s="114"/>
      <c r="W947" s="114"/>
      <c r="X947" s="114"/>
      <c r="Y947" s="114"/>
      <c r="Z947" s="143"/>
      <c r="AA947" s="114"/>
      <c r="AB947" s="114"/>
      <c r="AC947" s="114"/>
      <c r="AD947" s="143"/>
      <c r="AE947" s="114"/>
      <c r="AF947" s="114"/>
      <c r="AG947" s="143"/>
      <c r="AH947" s="114"/>
      <c r="AI947" s="114"/>
      <c r="AJ947" s="114"/>
      <c r="AK947" s="114"/>
      <c r="AL947" s="114"/>
      <c r="AM947" s="114"/>
      <c r="AN947" s="114"/>
      <c r="AO947" s="114"/>
      <c r="AP947" s="114"/>
      <c r="AQ947" s="114"/>
      <c r="AR947" s="114"/>
      <c r="AS947" s="114"/>
      <c r="AT947" s="143"/>
      <c r="AU947" s="114"/>
      <c r="AV947" s="114"/>
      <c r="AW947" s="114"/>
      <c r="AX947" s="114"/>
      <c r="AY947" s="114"/>
      <c r="AZ947" s="114"/>
      <c r="BA947" s="114"/>
      <c r="BB947" s="114"/>
      <c r="BC947" s="114"/>
    </row>
    <row r="948" spans="1:55" ht="15.75" customHeight="1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43"/>
      <c r="M948" s="143"/>
      <c r="N948" s="143"/>
      <c r="O948" s="143"/>
      <c r="P948" s="114"/>
      <c r="Q948" s="114"/>
      <c r="R948" s="114"/>
      <c r="S948" s="143"/>
      <c r="T948" s="114"/>
      <c r="U948" s="114"/>
      <c r="V948" s="114"/>
      <c r="W948" s="114"/>
      <c r="X948" s="114"/>
      <c r="Y948" s="114"/>
      <c r="Z948" s="143"/>
      <c r="AA948" s="114"/>
      <c r="AB948" s="114"/>
      <c r="AC948" s="114"/>
      <c r="AD948" s="143"/>
      <c r="AE948" s="114"/>
      <c r="AF948" s="114"/>
      <c r="AG948" s="143"/>
      <c r="AH948" s="114"/>
      <c r="AI948" s="114"/>
      <c r="AJ948" s="114"/>
      <c r="AK948" s="114"/>
      <c r="AL948" s="114"/>
      <c r="AM948" s="114"/>
      <c r="AN948" s="114"/>
      <c r="AO948" s="114"/>
      <c r="AP948" s="114"/>
      <c r="AQ948" s="114"/>
      <c r="AR948" s="114"/>
      <c r="AS948" s="114"/>
      <c r="AT948" s="143"/>
      <c r="AU948" s="114"/>
      <c r="AV948" s="114"/>
      <c r="AW948" s="114"/>
      <c r="AX948" s="114"/>
      <c r="AY948" s="114"/>
      <c r="AZ948" s="114"/>
      <c r="BA948" s="114"/>
      <c r="BB948" s="114"/>
      <c r="BC948" s="114"/>
    </row>
    <row r="949" spans="1:55" ht="15.75" customHeight="1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43"/>
      <c r="M949" s="143"/>
      <c r="N949" s="143"/>
      <c r="O949" s="143"/>
      <c r="P949" s="114"/>
      <c r="Q949" s="114"/>
      <c r="R949" s="114"/>
      <c r="S949" s="143"/>
      <c r="T949" s="114"/>
      <c r="U949" s="114"/>
      <c r="V949" s="114"/>
      <c r="W949" s="114"/>
      <c r="X949" s="114"/>
      <c r="Y949" s="114"/>
      <c r="Z949" s="143"/>
      <c r="AA949" s="114"/>
      <c r="AB949" s="114"/>
      <c r="AC949" s="114"/>
      <c r="AD949" s="143"/>
      <c r="AE949" s="114"/>
      <c r="AF949" s="114"/>
      <c r="AG949" s="143"/>
      <c r="AH949" s="114"/>
      <c r="AI949" s="114"/>
      <c r="AJ949" s="114"/>
      <c r="AK949" s="114"/>
      <c r="AL949" s="114"/>
      <c r="AM949" s="114"/>
      <c r="AN949" s="114"/>
      <c r="AO949" s="114"/>
      <c r="AP949" s="114"/>
      <c r="AQ949" s="114"/>
      <c r="AR949" s="114"/>
      <c r="AS949" s="114"/>
      <c r="AT949" s="143"/>
      <c r="AU949" s="114"/>
      <c r="AV949" s="114"/>
      <c r="AW949" s="114"/>
      <c r="AX949" s="114"/>
      <c r="AY949" s="114"/>
      <c r="AZ949" s="114"/>
      <c r="BA949" s="114"/>
      <c r="BB949" s="114"/>
      <c r="BC949" s="114"/>
    </row>
    <row r="950" spans="1:55" ht="15.75" customHeight="1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43"/>
      <c r="M950" s="143"/>
      <c r="N950" s="143"/>
      <c r="O950" s="143"/>
      <c r="P950" s="114"/>
      <c r="Q950" s="114"/>
      <c r="R950" s="114"/>
      <c r="S950" s="143"/>
      <c r="T950" s="114"/>
      <c r="U950" s="114"/>
      <c r="V950" s="114"/>
      <c r="W950" s="114"/>
      <c r="X950" s="114"/>
      <c r="Y950" s="114"/>
      <c r="Z950" s="143"/>
      <c r="AA950" s="114"/>
      <c r="AB950" s="114"/>
      <c r="AC950" s="114"/>
      <c r="AD950" s="143"/>
      <c r="AE950" s="114"/>
      <c r="AF950" s="114"/>
      <c r="AG950" s="143"/>
      <c r="AH950" s="114"/>
      <c r="AI950" s="114"/>
      <c r="AJ950" s="114"/>
      <c r="AK950" s="114"/>
      <c r="AL950" s="114"/>
      <c r="AM950" s="114"/>
      <c r="AN950" s="114"/>
      <c r="AO950" s="114"/>
      <c r="AP950" s="114"/>
      <c r="AQ950" s="114"/>
      <c r="AR950" s="114"/>
      <c r="AS950" s="114"/>
      <c r="AT950" s="143"/>
      <c r="AU950" s="114"/>
      <c r="AV950" s="114"/>
      <c r="AW950" s="114"/>
      <c r="AX950" s="114"/>
      <c r="AY950" s="114"/>
      <c r="AZ950" s="114"/>
      <c r="BA950" s="114"/>
      <c r="BB950" s="114"/>
      <c r="BC950" s="114"/>
    </row>
    <row r="951" spans="1:55" ht="15.75" customHeight="1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43"/>
      <c r="M951" s="143"/>
      <c r="N951" s="143"/>
      <c r="O951" s="143"/>
      <c r="P951" s="114"/>
      <c r="Q951" s="114"/>
      <c r="R951" s="114"/>
      <c r="S951" s="143"/>
      <c r="T951" s="114"/>
      <c r="U951" s="114"/>
      <c r="V951" s="114"/>
      <c r="W951" s="114"/>
      <c r="X951" s="114"/>
      <c r="Y951" s="114"/>
      <c r="Z951" s="143"/>
      <c r="AA951" s="114"/>
      <c r="AB951" s="114"/>
      <c r="AC951" s="114"/>
      <c r="AD951" s="143"/>
      <c r="AE951" s="114"/>
      <c r="AF951" s="114"/>
      <c r="AG951" s="143"/>
      <c r="AH951" s="114"/>
      <c r="AI951" s="114"/>
      <c r="AJ951" s="114"/>
      <c r="AK951" s="114"/>
      <c r="AL951" s="114"/>
      <c r="AM951" s="114"/>
      <c r="AN951" s="114"/>
      <c r="AO951" s="114"/>
      <c r="AP951" s="114"/>
      <c r="AQ951" s="114"/>
      <c r="AR951" s="114"/>
      <c r="AS951" s="114"/>
      <c r="AT951" s="143"/>
      <c r="AU951" s="114"/>
      <c r="AV951" s="114"/>
      <c r="AW951" s="114"/>
      <c r="AX951" s="114"/>
      <c r="AY951" s="114"/>
      <c r="AZ951" s="114"/>
      <c r="BA951" s="114"/>
      <c r="BB951" s="114"/>
      <c r="BC951" s="114"/>
    </row>
    <row r="952" spans="1:55" ht="15.75" customHeight="1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43"/>
      <c r="M952" s="143"/>
      <c r="N952" s="143"/>
      <c r="O952" s="143"/>
      <c r="P952" s="114"/>
      <c r="Q952" s="114"/>
      <c r="R952" s="114"/>
      <c r="S952" s="143"/>
      <c r="T952" s="114"/>
      <c r="U952" s="114"/>
      <c r="V952" s="114"/>
      <c r="W952" s="114"/>
      <c r="X952" s="114"/>
      <c r="Y952" s="114"/>
      <c r="Z952" s="143"/>
      <c r="AA952" s="114"/>
      <c r="AB952" s="114"/>
      <c r="AC952" s="114"/>
      <c r="AD952" s="143"/>
      <c r="AE952" s="114"/>
      <c r="AF952" s="114"/>
      <c r="AG952" s="143"/>
      <c r="AH952" s="114"/>
      <c r="AI952" s="114"/>
      <c r="AJ952" s="114"/>
      <c r="AK952" s="114"/>
      <c r="AL952" s="114"/>
      <c r="AM952" s="114"/>
      <c r="AN952" s="114"/>
      <c r="AO952" s="114"/>
      <c r="AP952" s="114"/>
      <c r="AQ952" s="114"/>
      <c r="AR952" s="114"/>
      <c r="AS952" s="114"/>
      <c r="AT952" s="143"/>
      <c r="AU952" s="114"/>
      <c r="AV952" s="114"/>
      <c r="AW952" s="114"/>
      <c r="AX952" s="114"/>
      <c r="AY952" s="114"/>
      <c r="AZ952" s="114"/>
      <c r="BA952" s="114"/>
      <c r="BB952" s="114"/>
      <c r="BC952" s="114"/>
    </row>
    <row r="953" spans="1:55" ht="15.75" customHeight="1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43"/>
      <c r="M953" s="143"/>
      <c r="N953" s="143"/>
      <c r="O953" s="143"/>
      <c r="P953" s="114"/>
      <c r="Q953" s="114"/>
      <c r="R953" s="114"/>
      <c r="S953" s="143"/>
      <c r="T953" s="114"/>
      <c r="U953" s="114"/>
      <c r="V953" s="114"/>
      <c r="W953" s="114"/>
      <c r="X953" s="114"/>
      <c r="Y953" s="114"/>
      <c r="Z953" s="143"/>
      <c r="AA953" s="114"/>
      <c r="AB953" s="114"/>
      <c r="AC953" s="114"/>
      <c r="AD953" s="143"/>
      <c r="AE953" s="114"/>
      <c r="AF953" s="114"/>
      <c r="AG953" s="143"/>
      <c r="AH953" s="114"/>
      <c r="AI953" s="114"/>
      <c r="AJ953" s="114"/>
      <c r="AK953" s="114"/>
      <c r="AL953" s="114"/>
      <c r="AM953" s="114"/>
      <c r="AN953" s="114"/>
      <c r="AO953" s="114"/>
      <c r="AP953" s="114"/>
      <c r="AQ953" s="114"/>
      <c r="AR953" s="114"/>
      <c r="AS953" s="114"/>
      <c r="AT953" s="143"/>
      <c r="AU953" s="114"/>
      <c r="AV953" s="114"/>
      <c r="AW953" s="114"/>
      <c r="AX953" s="114"/>
      <c r="AY953" s="114"/>
      <c r="AZ953" s="114"/>
      <c r="BA953" s="114"/>
      <c r="BB953" s="114"/>
      <c r="BC953" s="114"/>
    </row>
    <row r="954" spans="1:55" ht="15.75" customHeight="1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43"/>
      <c r="M954" s="143"/>
      <c r="N954" s="143"/>
      <c r="O954" s="143"/>
      <c r="P954" s="114"/>
      <c r="Q954" s="114"/>
      <c r="R954" s="114"/>
      <c r="S954" s="143"/>
      <c r="T954" s="114"/>
      <c r="U954" s="114"/>
      <c r="V954" s="114"/>
      <c r="W954" s="114"/>
      <c r="X954" s="114"/>
      <c r="Y954" s="114"/>
      <c r="Z954" s="143"/>
      <c r="AA954" s="114"/>
      <c r="AB954" s="114"/>
      <c r="AC954" s="114"/>
      <c r="AD954" s="143"/>
      <c r="AE954" s="114"/>
      <c r="AF954" s="114"/>
      <c r="AG954" s="143"/>
      <c r="AH954" s="114"/>
      <c r="AI954" s="114"/>
      <c r="AJ954" s="114"/>
      <c r="AK954" s="114"/>
      <c r="AL954" s="114"/>
      <c r="AM954" s="114"/>
      <c r="AN954" s="114"/>
      <c r="AO954" s="114"/>
      <c r="AP954" s="114"/>
      <c r="AQ954" s="114"/>
      <c r="AR954" s="114"/>
      <c r="AS954" s="114"/>
      <c r="AT954" s="143"/>
      <c r="AU954" s="114"/>
      <c r="AV954" s="114"/>
      <c r="AW954" s="114"/>
      <c r="AX954" s="114"/>
      <c r="AY954" s="114"/>
      <c r="AZ954" s="114"/>
      <c r="BA954" s="114"/>
      <c r="BB954" s="114"/>
      <c r="BC954" s="114"/>
    </row>
    <row r="955" spans="1:55" ht="15.75" customHeight="1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43"/>
      <c r="M955" s="143"/>
      <c r="N955" s="143"/>
      <c r="O955" s="143"/>
      <c r="P955" s="114"/>
      <c r="Q955" s="114"/>
      <c r="R955" s="114"/>
      <c r="S955" s="143"/>
      <c r="T955" s="114"/>
      <c r="U955" s="114"/>
      <c r="V955" s="114"/>
      <c r="W955" s="114"/>
      <c r="X955" s="114"/>
      <c r="Y955" s="114"/>
      <c r="Z955" s="143"/>
      <c r="AA955" s="114"/>
      <c r="AB955" s="114"/>
      <c r="AC955" s="114"/>
      <c r="AD955" s="143"/>
      <c r="AE955" s="114"/>
      <c r="AF955" s="114"/>
      <c r="AG955" s="143"/>
      <c r="AH955" s="114"/>
      <c r="AI955" s="114"/>
      <c r="AJ955" s="114"/>
      <c r="AK955" s="114"/>
      <c r="AL955" s="114"/>
      <c r="AM955" s="114"/>
      <c r="AN955" s="114"/>
      <c r="AO955" s="114"/>
      <c r="AP955" s="114"/>
      <c r="AQ955" s="114"/>
      <c r="AR955" s="114"/>
      <c r="AS955" s="114"/>
      <c r="AT955" s="143"/>
      <c r="AU955" s="114"/>
      <c r="AV955" s="114"/>
      <c r="AW955" s="114"/>
      <c r="AX955" s="114"/>
      <c r="AY955" s="114"/>
      <c r="AZ955" s="114"/>
      <c r="BA955" s="114"/>
      <c r="BB955" s="114"/>
      <c r="BC955" s="114"/>
    </row>
    <row r="956" spans="1:55" ht="15.75" customHeight="1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43"/>
      <c r="M956" s="143"/>
      <c r="N956" s="143"/>
      <c r="O956" s="143"/>
      <c r="P956" s="114"/>
      <c r="Q956" s="114"/>
      <c r="R956" s="114"/>
      <c r="S956" s="143"/>
      <c r="T956" s="114"/>
      <c r="U956" s="114"/>
      <c r="V956" s="114"/>
      <c r="W956" s="114"/>
      <c r="X956" s="114"/>
      <c r="Y956" s="114"/>
      <c r="Z956" s="143"/>
      <c r="AA956" s="114"/>
      <c r="AB956" s="114"/>
      <c r="AC956" s="114"/>
      <c r="AD956" s="143"/>
      <c r="AE956" s="114"/>
      <c r="AF956" s="114"/>
      <c r="AG956" s="143"/>
      <c r="AH956" s="114"/>
      <c r="AI956" s="114"/>
      <c r="AJ956" s="114"/>
      <c r="AK956" s="114"/>
      <c r="AL956" s="114"/>
      <c r="AM956" s="114"/>
      <c r="AN956" s="114"/>
      <c r="AO956" s="114"/>
      <c r="AP956" s="114"/>
      <c r="AQ956" s="114"/>
      <c r="AR956" s="114"/>
      <c r="AS956" s="114"/>
      <c r="AT956" s="143"/>
      <c r="AU956" s="114"/>
      <c r="AV956" s="114"/>
      <c r="AW956" s="114"/>
      <c r="AX956" s="114"/>
      <c r="AY956" s="114"/>
      <c r="AZ956" s="114"/>
      <c r="BA956" s="114"/>
      <c r="BB956" s="114"/>
      <c r="BC956" s="114"/>
    </row>
    <row r="957" spans="1:55" ht="15.75" customHeight="1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43"/>
      <c r="M957" s="143"/>
      <c r="N957" s="143"/>
      <c r="O957" s="143"/>
      <c r="P957" s="114"/>
      <c r="Q957" s="114"/>
      <c r="R957" s="114"/>
      <c r="S957" s="143"/>
      <c r="T957" s="114"/>
      <c r="U957" s="114"/>
      <c r="V957" s="114"/>
      <c r="W957" s="114"/>
      <c r="X957" s="114"/>
      <c r="Y957" s="114"/>
      <c r="Z957" s="143"/>
      <c r="AA957" s="114"/>
      <c r="AB957" s="114"/>
      <c r="AC957" s="114"/>
      <c r="AD957" s="143"/>
      <c r="AE957" s="114"/>
      <c r="AF957" s="114"/>
      <c r="AG957" s="143"/>
      <c r="AH957" s="114"/>
      <c r="AI957" s="114"/>
      <c r="AJ957" s="114"/>
      <c r="AK957" s="114"/>
      <c r="AL957" s="114"/>
      <c r="AM957" s="114"/>
      <c r="AN957" s="114"/>
      <c r="AO957" s="114"/>
      <c r="AP957" s="114"/>
      <c r="AQ957" s="114"/>
      <c r="AR957" s="114"/>
      <c r="AS957" s="114"/>
      <c r="AT957" s="143"/>
      <c r="AU957" s="114"/>
      <c r="AV957" s="114"/>
      <c r="AW957" s="114"/>
      <c r="AX957" s="114"/>
      <c r="AY957" s="114"/>
      <c r="AZ957" s="114"/>
      <c r="BA957" s="114"/>
      <c r="BB957" s="114"/>
      <c r="BC957" s="114"/>
    </row>
    <row r="958" spans="1:55" ht="15.75" customHeight="1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43"/>
      <c r="M958" s="143"/>
      <c r="N958" s="143"/>
      <c r="O958" s="143"/>
      <c r="P958" s="114"/>
      <c r="Q958" s="114"/>
      <c r="R958" s="114"/>
      <c r="S958" s="143"/>
      <c r="T958" s="114"/>
      <c r="U958" s="114"/>
      <c r="V958" s="114"/>
      <c r="W958" s="114"/>
      <c r="X958" s="114"/>
      <c r="Y958" s="114"/>
      <c r="Z958" s="143"/>
      <c r="AA958" s="114"/>
      <c r="AB958" s="114"/>
      <c r="AC958" s="114"/>
      <c r="AD958" s="143"/>
      <c r="AE958" s="114"/>
      <c r="AF958" s="114"/>
      <c r="AG958" s="143"/>
      <c r="AH958" s="114"/>
      <c r="AI958" s="114"/>
      <c r="AJ958" s="114"/>
      <c r="AK958" s="114"/>
      <c r="AL958" s="114"/>
      <c r="AM958" s="114"/>
      <c r="AN958" s="114"/>
      <c r="AO958" s="114"/>
      <c r="AP958" s="114"/>
      <c r="AQ958" s="114"/>
      <c r="AR958" s="114"/>
      <c r="AS958" s="114"/>
      <c r="AT958" s="143"/>
      <c r="AU958" s="114"/>
      <c r="AV958" s="114"/>
      <c r="AW958" s="114"/>
      <c r="AX958" s="114"/>
      <c r="AY958" s="114"/>
      <c r="AZ958" s="114"/>
      <c r="BA958" s="114"/>
      <c r="BB958" s="114"/>
      <c r="BC958" s="114"/>
    </row>
    <row r="959" spans="1:55" ht="15.75" customHeight="1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43"/>
      <c r="M959" s="143"/>
      <c r="N959" s="143"/>
      <c r="O959" s="143"/>
      <c r="P959" s="114"/>
      <c r="Q959" s="114"/>
      <c r="R959" s="114"/>
      <c r="S959" s="143"/>
      <c r="T959" s="114"/>
      <c r="U959" s="114"/>
      <c r="V959" s="114"/>
      <c r="W959" s="114"/>
      <c r="X959" s="114"/>
      <c r="Y959" s="114"/>
      <c r="Z959" s="143"/>
      <c r="AA959" s="114"/>
      <c r="AB959" s="114"/>
      <c r="AC959" s="114"/>
      <c r="AD959" s="143"/>
      <c r="AE959" s="114"/>
      <c r="AF959" s="114"/>
      <c r="AG959" s="143"/>
      <c r="AH959" s="114"/>
      <c r="AI959" s="114"/>
      <c r="AJ959" s="114"/>
      <c r="AK959" s="114"/>
      <c r="AL959" s="114"/>
      <c r="AM959" s="114"/>
      <c r="AN959" s="114"/>
      <c r="AO959" s="114"/>
      <c r="AP959" s="114"/>
      <c r="AQ959" s="114"/>
      <c r="AR959" s="114"/>
      <c r="AS959" s="114"/>
      <c r="AT959" s="143"/>
      <c r="AU959" s="114"/>
      <c r="AV959" s="114"/>
      <c r="AW959" s="114"/>
      <c r="AX959" s="114"/>
      <c r="AY959" s="114"/>
      <c r="AZ959" s="114"/>
      <c r="BA959" s="114"/>
      <c r="BB959" s="114"/>
      <c r="BC959" s="114"/>
    </row>
    <row r="960" spans="1:55" ht="15.75" customHeight="1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43"/>
      <c r="M960" s="143"/>
      <c r="N960" s="143"/>
      <c r="O960" s="143"/>
      <c r="P960" s="114"/>
      <c r="Q960" s="114"/>
      <c r="R960" s="114"/>
      <c r="S960" s="143"/>
      <c r="T960" s="114"/>
      <c r="U960" s="114"/>
      <c r="V960" s="114"/>
      <c r="W960" s="114"/>
      <c r="X960" s="114"/>
      <c r="Y960" s="114"/>
      <c r="Z960" s="143"/>
      <c r="AA960" s="114"/>
      <c r="AB960" s="114"/>
      <c r="AC960" s="114"/>
      <c r="AD960" s="143"/>
      <c r="AE960" s="114"/>
      <c r="AF960" s="114"/>
      <c r="AG960" s="143"/>
      <c r="AH960" s="114"/>
      <c r="AI960" s="114"/>
      <c r="AJ960" s="114"/>
      <c r="AK960" s="114"/>
      <c r="AL960" s="114"/>
      <c r="AM960" s="114"/>
      <c r="AN960" s="114"/>
      <c r="AO960" s="114"/>
      <c r="AP960" s="114"/>
      <c r="AQ960" s="114"/>
      <c r="AR960" s="114"/>
      <c r="AS960" s="114"/>
      <c r="AT960" s="143"/>
      <c r="AU960" s="114"/>
      <c r="AV960" s="114"/>
      <c r="AW960" s="114"/>
      <c r="AX960" s="114"/>
      <c r="AY960" s="114"/>
      <c r="AZ960" s="114"/>
      <c r="BA960" s="114"/>
      <c r="BB960" s="114"/>
      <c r="BC960" s="114"/>
    </row>
    <row r="961" spans="1:55" ht="15.75" customHeight="1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43"/>
      <c r="M961" s="143"/>
      <c r="N961" s="143"/>
      <c r="O961" s="143"/>
      <c r="P961" s="114"/>
      <c r="Q961" s="114"/>
      <c r="R961" s="114"/>
      <c r="S961" s="143"/>
      <c r="T961" s="114"/>
      <c r="U961" s="114"/>
      <c r="V961" s="114"/>
      <c r="W961" s="114"/>
      <c r="X961" s="114"/>
      <c r="Y961" s="114"/>
      <c r="Z961" s="143"/>
      <c r="AA961" s="114"/>
      <c r="AB961" s="114"/>
      <c r="AC961" s="114"/>
      <c r="AD961" s="143"/>
      <c r="AE961" s="114"/>
      <c r="AF961" s="114"/>
      <c r="AG961" s="143"/>
      <c r="AH961" s="114"/>
      <c r="AI961" s="114"/>
      <c r="AJ961" s="114"/>
      <c r="AK961" s="114"/>
      <c r="AL961" s="114"/>
      <c r="AM961" s="114"/>
      <c r="AN961" s="114"/>
      <c r="AO961" s="114"/>
      <c r="AP961" s="114"/>
      <c r="AQ961" s="114"/>
      <c r="AR961" s="114"/>
      <c r="AS961" s="114"/>
      <c r="AT961" s="143"/>
      <c r="AU961" s="114"/>
      <c r="AV961" s="114"/>
      <c r="AW961" s="114"/>
      <c r="AX961" s="114"/>
      <c r="AY961" s="114"/>
      <c r="AZ961" s="114"/>
      <c r="BA961" s="114"/>
      <c r="BB961" s="114"/>
      <c r="BC961" s="114"/>
    </row>
    <row r="962" spans="1:55" ht="15.75" customHeight="1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43"/>
      <c r="M962" s="143"/>
      <c r="N962" s="143"/>
      <c r="O962" s="143"/>
      <c r="P962" s="114"/>
      <c r="Q962" s="114"/>
      <c r="R962" s="114"/>
      <c r="S962" s="143"/>
      <c r="T962" s="114"/>
      <c r="U962" s="114"/>
      <c r="V962" s="114"/>
      <c r="W962" s="114"/>
      <c r="X962" s="114"/>
      <c r="Y962" s="114"/>
      <c r="Z962" s="143"/>
      <c r="AA962" s="114"/>
      <c r="AB962" s="114"/>
      <c r="AC962" s="114"/>
      <c r="AD962" s="143"/>
      <c r="AE962" s="114"/>
      <c r="AF962" s="114"/>
      <c r="AG962" s="143"/>
      <c r="AH962" s="114"/>
      <c r="AI962" s="114"/>
      <c r="AJ962" s="114"/>
      <c r="AK962" s="114"/>
      <c r="AL962" s="114"/>
      <c r="AM962" s="114"/>
      <c r="AN962" s="114"/>
      <c r="AO962" s="114"/>
      <c r="AP962" s="114"/>
      <c r="AQ962" s="114"/>
      <c r="AR962" s="114"/>
      <c r="AS962" s="114"/>
      <c r="AT962" s="143"/>
      <c r="AU962" s="114"/>
      <c r="AV962" s="114"/>
      <c r="AW962" s="114"/>
      <c r="AX962" s="114"/>
      <c r="AY962" s="114"/>
      <c r="AZ962" s="114"/>
      <c r="BA962" s="114"/>
      <c r="BB962" s="114"/>
      <c r="BC962" s="114"/>
    </row>
    <row r="963" spans="1:55" ht="15.75" customHeight="1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43"/>
      <c r="M963" s="143"/>
      <c r="N963" s="143"/>
      <c r="O963" s="143"/>
      <c r="P963" s="114"/>
      <c r="Q963" s="114"/>
      <c r="R963" s="114"/>
      <c r="S963" s="143"/>
      <c r="T963" s="114"/>
      <c r="U963" s="114"/>
      <c r="V963" s="114"/>
      <c r="W963" s="114"/>
      <c r="X963" s="114"/>
      <c r="Y963" s="114"/>
      <c r="Z963" s="143"/>
      <c r="AA963" s="114"/>
      <c r="AB963" s="114"/>
      <c r="AC963" s="114"/>
      <c r="AD963" s="143"/>
      <c r="AE963" s="114"/>
      <c r="AF963" s="114"/>
      <c r="AG963" s="143"/>
      <c r="AH963" s="114"/>
      <c r="AI963" s="114"/>
      <c r="AJ963" s="114"/>
      <c r="AK963" s="114"/>
      <c r="AL963" s="114"/>
      <c r="AM963" s="114"/>
      <c r="AN963" s="114"/>
      <c r="AO963" s="114"/>
      <c r="AP963" s="114"/>
      <c r="AQ963" s="114"/>
      <c r="AR963" s="114"/>
      <c r="AS963" s="114"/>
      <c r="AT963" s="143"/>
      <c r="AU963" s="114"/>
      <c r="AV963" s="114"/>
      <c r="AW963" s="114"/>
      <c r="AX963" s="114"/>
      <c r="AY963" s="114"/>
      <c r="AZ963" s="114"/>
      <c r="BA963" s="114"/>
      <c r="BB963" s="114"/>
      <c r="BC963" s="114"/>
    </row>
    <row r="964" spans="1:55" ht="15.75" customHeight="1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43"/>
      <c r="M964" s="143"/>
      <c r="N964" s="143"/>
      <c r="O964" s="143"/>
      <c r="P964" s="114"/>
      <c r="Q964" s="114"/>
      <c r="R964" s="114"/>
      <c r="S964" s="143"/>
      <c r="T964" s="114"/>
      <c r="U964" s="114"/>
      <c r="V964" s="114"/>
      <c r="W964" s="114"/>
      <c r="X964" s="114"/>
      <c r="Y964" s="114"/>
      <c r="Z964" s="143"/>
      <c r="AA964" s="114"/>
      <c r="AB964" s="114"/>
      <c r="AC964" s="114"/>
      <c r="AD964" s="143"/>
      <c r="AE964" s="114"/>
      <c r="AF964" s="114"/>
      <c r="AG964" s="143"/>
      <c r="AH964" s="114"/>
      <c r="AI964" s="114"/>
      <c r="AJ964" s="114"/>
      <c r="AK964" s="114"/>
      <c r="AL964" s="114"/>
      <c r="AM964" s="114"/>
      <c r="AN964" s="114"/>
      <c r="AO964" s="114"/>
      <c r="AP964" s="114"/>
      <c r="AQ964" s="114"/>
      <c r="AR964" s="114"/>
      <c r="AS964" s="114"/>
      <c r="AT964" s="143"/>
      <c r="AU964" s="114"/>
      <c r="AV964" s="114"/>
      <c r="AW964" s="114"/>
      <c r="AX964" s="114"/>
      <c r="AY964" s="114"/>
      <c r="AZ964" s="114"/>
      <c r="BA964" s="114"/>
      <c r="BB964" s="114"/>
      <c r="BC964" s="114"/>
    </row>
    <row r="965" spans="1:55" ht="15.75" customHeight="1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43"/>
      <c r="M965" s="143"/>
      <c r="N965" s="143"/>
      <c r="O965" s="143"/>
      <c r="P965" s="114"/>
      <c r="Q965" s="114"/>
      <c r="R965" s="114"/>
      <c r="S965" s="143"/>
      <c r="T965" s="114"/>
      <c r="U965" s="114"/>
      <c r="V965" s="114"/>
      <c r="W965" s="114"/>
      <c r="X965" s="114"/>
      <c r="Y965" s="114"/>
      <c r="Z965" s="143"/>
      <c r="AA965" s="114"/>
      <c r="AB965" s="114"/>
      <c r="AC965" s="114"/>
      <c r="AD965" s="143"/>
      <c r="AE965" s="114"/>
      <c r="AF965" s="114"/>
      <c r="AG965" s="143"/>
      <c r="AH965" s="114"/>
      <c r="AI965" s="114"/>
      <c r="AJ965" s="114"/>
      <c r="AK965" s="114"/>
      <c r="AL965" s="114"/>
      <c r="AM965" s="114"/>
      <c r="AN965" s="114"/>
      <c r="AO965" s="114"/>
      <c r="AP965" s="114"/>
      <c r="AQ965" s="114"/>
      <c r="AR965" s="114"/>
      <c r="AS965" s="114"/>
      <c r="AT965" s="143"/>
      <c r="AU965" s="114"/>
      <c r="AV965" s="114"/>
      <c r="AW965" s="114"/>
      <c r="AX965" s="114"/>
      <c r="AY965" s="114"/>
      <c r="AZ965" s="114"/>
      <c r="BA965" s="114"/>
      <c r="BB965" s="114"/>
      <c r="BC965" s="114"/>
    </row>
    <row r="966" spans="1:55" ht="15.75" customHeight="1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43"/>
      <c r="M966" s="143"/>
      <c r="N966" s="143"/>
      <c r="O966" s="143"/>
      <c r="P966" s="114"/>
      <c r="Q966" s="114"/>
      <c r="R966" s="114"/>
      <c r="S966" s="143"/>
      <c r="T966" s="114"/>
      <c r="U966" s="114"/>
      <c r="V966" s="114"/>
      <c r="W966" s="114"/>
      <c r="X966" s="114"/>
      <c r="Y966" s="114"/>
      <c r="Z966" s="143"/>
      <c r="AA966" s="114"/>
      <c r="AB966" s="114"/>
      <c r="AC966" s="114"/>
      <c r="AD966" s="143"/>
      <c r="AE966" s="114"/>
      <c r="AF966" s="114"/>
      <c r="AG966" s="143"/>
      <c r="AH966" s="114"/>
      <c r="AI966" s="114"/>
      <c r="AJ966" s="114"/>
      <c r="AK966" s="114"/>
      <c r="AL966" s="114"/>
      <c r="AM966" s="114"/>
      <c r="AN966" s="114"/>
      <c r="AO966" s="114"/>
      <c r="AP966" s="114"/>
      <c r="AQ966" s="114"/>
      <c r="AR966" s="114"/>
      <c r="AS966" s="114"/>
      <c r="AT966" s="143"/>
      <c r="AU966" s="114"/>
      <c r="AV966" s="114"/>
      <c r="AW966" s="114"/>
      <c r="AX966" s="114"/>
      <c r="AY966" s="114"/>
      <c r="AZ966" s="114"/>
      <c r="BA966" s="114"/>
      <c r="BB966" s="114"/>
      <c r="BC966" s="114"/>
    </row>
    <row r="967" spans="1:55" ht="15.75" customHeight="1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43"/>
      <c r="M967" s="143"/>
      <c r="N967" s="143"/>
      <c r="O967" s="143"/>
      <c r="P967" s="114"/>
      <c r="Q967" s="114"/>
      <c r="R967" s="114"/>
      <c r="S967" s="143"/>
      <c r="T967" s="114"/>
      <c r="U967" s="114"/>
      <c r="V967" s="114"/>
      <c r="W967" s="114"/>
      <c r="X967" s="114"/>
      <c r="Y967" s="114"/>
      <c r="Z967" s="143"/>
      <c r="AA967" s="114"/>
      <c r="AB967" s="114"/>
      <c r="AC967" s="114"/>
      <c r="AD967" s="143"/>
      <c r="AE967" s="114"/>
      <c r="AF967" s="114"/>
      <c r="AG967" s="143"/>
      <c r="AH967" s="114"/>
      <c r="AI967" s="114"/>
      <c r="AJ967" s="114"/>
      <c r="AK967" s="114"/>
      <c r="AL967" s="114"/>
      <c r="AM967" s="114"/>
      <c r="AN967" s="114"/>
      <c r="AO967" s="114"/>
      <c r="AP967" s="114"/>
      <c r="AQ967" s="114"/>
      <c r="AR967" s="114"/>
      <c r="AS967" s="114"/>
      <c r="AT967" s="143"/>
      <c r="AU967" s="114"/>
      <c r="AV967" s="114"/>
      <c r="AW967" s="114"/>
      <c r="AX967" s="114"/>
      <c r="AY967" s="114"/>
      <c r="AZ967" s="114"/>
      <c r="BA967" s="114"/>
      <c r="BB967" s="114"/>
      <c r="BC967" s="114"/>
    </row>
    <row r="968" spans="1:55" ht="15.75" customHeight="1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43"/>
      <c r="M968" s="143"/>
      <c r="N968" s="143"/>
      <c r="O968" s="143"/>
      <c r="P968" s="114"/>
      <c r="Q968" s="114"/>
      <c r="R968" s="114"/>
      <c r="S968" s="143"/>
      <c r="T968" s="114"/>
      <c r="U968" s="114"/>
      <c r="V968" s="114"/>
      <c r="W968" s="114"/>
      <c r="X968" s="114"/>
      <c r="Y968" s="114"/>
      <c r="Z968" s="143"/>
      <c r="AA968" s="114"/>
      <c r="AB968" s="114"/>
      <c r="AC968" s="114"/>
      <c r="AD968" s="143"/>
      <c r="AE968" s="114"/>
      <c r="AF968" s="114"/>
      <c r="AG968" s="143"/>
      <c r="AH968" s="114"/>
      <c r="AI968" s="114"/>
      <c r="AJ968" s="114"/>
      <c r="AK968" s="114"/>
      <c r="AL968" s="114"/>
      <c r="AM968" s="114"/>
      <c r="AN968" s="114"/>
      <c r="AO968" s="114"/>
      <c r="AP968" s="114"/>
      <c r="AQ968" s="114"/>
      <c r="AR968" s="114"/>
      <c r="AS968" s="114"/>
      <c r="AT968" s="143"/>
      <c r="AU968" s="114"/>
      <c r="AV968" s="114"/>
      <c r="AW968" s="114"/>
      <c r="AX968" s="114"/>
      <c r="AY968" s="114"/>
      <c r="AZ968" s="114"/>
      <c r="BA968" s="114"/>
      <c r="BB968" s="114"/>
      <c r="BC968" s="114"/>
    </row>
    <row r="969" spans="1:55" ht="15.75" customHeight="1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43"/>
      <c r="M969" s="143"/>
      <c r="N969" s="143"/>
      <c r="O969" s="143"/>
      <c r="P969" s="114"/>
      <c r="Q969" s="114"/>
      <c r="R969" s="114"/>
      <c r="S969" s="143"/>
      <c r="T969" s="114"/>
      <c r="U969" s="114"/>
      <c r="V969" s="114"/>
      <c r="W969" s="114"/>
      <c r="X969" s="114"/>
      <c r="Y969" s="114"/>
      <c r="Z969" s="143"/>
      <c r="AA969" s="114"/>
      <c r="AB969" s="114"/>
      <c r="AC969" s="114"/>
      <c r="AD969" s="143"/>
      <c r="AE969" s="114"/>
      <c r="AF969" s="114"/>
      <c r="AG969" s="143"/>
      <c r="AH969" s="114"/>
      <c r="AI969" s="114"/>
      <c r="AJ969" s="114"/>
      <c r="AK969" s="114"/>
      <c r="AL969" s="114"/>
      <c r="AM969" s="114"/>
      <c r="AN969" s="114"/>
      <c r="AO969" s="114"/>
      <c r="AP969" s="114"/>
      <c r="AQ969" s="114"/>
      <c r="AR969" s="114"/>
      <c r="AS969" s="114"/>
      <c r="AT969" s="143"/>
      <c r="AU969" s="114"/>
      <c r="AV969" s="114"/>
      <c r="AW969" s="114"/>
      <c r="AX969" s="114"/>
      <c r="AY969" s="114"/>
      <c r="AZ969" s="114"/>
      <c r="BA969" s="114"/>
      <c r="BB969" s="114"/>
      <c r="BC969" s="114"/>
    </row>
    <row r="970" spans="1:55" ht="15.75" customHeight="1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43"/>
      <c r="M970" s="143"/>
      <c r="N970" s="143"/>
      <c r="O970" s="143"/>
      <c r="P970" s="114"/>
      <c r="Q970" s="114"/>
      <c r="R970" s="114"/>
      <c r="S970" s="143"/>
      <c r="T970" s="114"/>
      <c r="U970" s="114"/>
      <c r="V970" s="114"/>
      <c r="W970" s="114"/>
      <c r="X970" s="114"/>
      <c r="Y970" s="114"/>
      <c r="Z970" s="143"/>
      <c r="AA970" s="114"/>
      <c r="AB970" s="114"/>
      <c r="AC970" s="114"/>
      <c r="AD970" s="143"/>
      <c r="AE970" s="114"/>
      <c r="AF970" s="114"/>
      <c r="AG970" s="143"/>
      <c r="AH970" s="114"/>
      <c r="AI970" s="114"/>
      <c r="AJ970" s="114"/>
      <c r="AK970" s="114"/>
      <c r="AL970" s="114"/>
      <c r="AM970" s="114"/>
      <c r="AN970" s="114"/>
      <c r="AO970" s="114"/>
      <c r="AP970" s="114"/>
      <c r="AQ970" s="114"/>
      <c r="AR970" s="114"/>
      <c r="AS970" s="114"/>
      <c r="AT970" s="143"/>
      <c r="AU970" s="114"/>
      <c r="AV970" s="114"/>
      <c r="AW970" s="114"/>
      <c r="AX970" s="114"/>
      <c r="AY970" s="114"/>
      <c r="AZ970" s="114"/>
      <c r="BA970" s="114"/>
      <c r="BB970" s="114"/>
      <c r="BC970" s="114"/>
    </row>
    <row r="971" spans="1:55" ht="15.75" customHeight="1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43"/>
      <c r="M971" s="143"/>
      <c r="N971" s="143"/>
      <c r="O971" s="143"/>
      <c r="P971" s="114"/>
      <c r="Q971" s="114"/>
      <c r="R971" s="114"/>
      <c r="S971" s="143"/>
      <c r="T971" s="114"/>
      <c r="U971" s="114"/>
      <c r="V971" s="114"/>
      <c r="W971" s="114"/>
      <c r="X971" s="114"/>
      <c r="Y971" s="114"/>
      <c r="Z971" s="143"/>
      <c r="AA971" s="114"/>
      <c r="AB971" s="114"/>
      <c r="AC971" s="114"/>
      <c r="AD971" s="143"/>
      <c r="AE971" s="114"/>
      <c r="AF971" s="114"/>
      <c r="AG971" s="143"/>
      <c r="AH971" s="114"/>
      <c r="AI971" s="114"/>
      <c r="AJ971" s="114"/>
      <c r="AK971" s="114"/>
      <c r="AL971" s="114"/>
      <c r="AM971" s="114"/>
      <c r="AN971" s="114"/>
      <c r="AO971" s="114"/>
      <c r="AP971" s="114"/>
      <c r="AQ971" s="114"/>
      <c r="AR971" s="114"/>
      <c r="AS971" s="114"/>
      <c r="AT971" s="143"/>
      <c r="AU971" s="114"/>
      <c r="AV971" s="114"/>
      <c r="AW971" s="114"/>
      <c r="AX971" s="114"/>
      <c r="AY971" s="114"/>
      <c r="AZ971" s="114"/>
      <c r="BA971" s="114"/>
      <c r="BB971" s="114"/>
      <c r="BC971" s="114"/>
    </row>
    <row r="972" spans="1:55" ht="15.75" customHeight="1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43"/>
      <c r="M972" s="143"/>
      <c r="N972" s="143"/>
      <c r="O972" s="143"/>
      <c r="P972" s="114"/>
      <c r="Q972" s="114"/>
      <c r="R972" s="114"/>
      <c r="S972" s="143"/>
      <c r="T972" s="114"/>
      <c r="U972" s="114"/>
      <c r="V972" s="114"/>
      <c r="W972" s="114"/>
      <c r="X972" s="114"/>
      <c r="Y972" s="114"/>
      <c r="Z972" s="143"/>
      <c r="AA972" s="114"/>
      <c r="AB972" s="114"/>
      <c r="AC972" s="114"/>
      <c r="AD972" s="143"/>
      <c r="AE972" s="114"/>
      <c r="AF972" s="114"/>
      <c r="AG972" s="143"/>
      <c r="AH972" s="114"/>
      <c r="AI972" s="114"/>
      <c r="AJ972" s="114"/>
      <c r="AK972" s="114"/>
      <c r="AL972" s="114"/>
      <c r="AM972" s="114"/>
      <c r="AN972" s="114"/>
      <c r="AO972" s="114"/>
      <c r="AP972" s="114"/>
      <c r="AQ972" s="114"/>
      <c r="AR972" s="114"/>
      <c r="AS972" s="114"/>
      <c r="AT972" s="143"/>
      <c r="AU972" s="114"/>
      <c r="AV972" s="114"/>
      <c r="AW972" s="114"/>
      <c r="AX972" s="114"/>
      <c r="AY972" s="114"/>
      <c r="AZ972" s="114"/>
      <c r="BA972" s="114"/>
      <c r="BB972" s="114"/>
      <c r="BC972" s="114"/>
    </row>
    <row r="973" spans="1:55" ht="15.75" customHeight="1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43"/>
      <c r="M973" s="143"/>
      <c r="N973" s="143"/>
      <c r="O973" s="143"/>
      <c r="P973" s="114"/>
      <c r="Q973" s="114"/>
      <c r="R973" s="114"/>
      <c r="S973" s="143"/>
      <c r="T973" s="114"/>
      <c r="U973" s="114"/>
      <c r="V973" s="114"/>
      <c r="W973" s="114"/>
      <c r="X973" s="114"/>
      <c r="Y973" s="114"/>
      <c r="Z973" s="143"/>
      <c r="AA973" s="114"/>
      <c r="AB973" s="114"/>
      <c r="AC973" s="114"/>
      <c r="AD973" s="143"/>
      <c r="AE973" s="114"/>
      <c r="AF973" s="114"/>
      <c r="AG973" s="143"/>
      <c r="AH973" s="114"/>
      <c r="AI973" s="114"/>
      <c r="AJ973" s="114"/>
      <c r="AK973" s="114"/>
      <c r="AL973" s="114"/>
      <c r="AM973" s="114"/>
      <c r="AN973" s="114"/>
      <c r="AO973" s="114"/>
      <c r="AP973" s="114"/>
      <c r="AQ973" s="114"/>
      <c r="AR973" s="114"/>
      <c r="AS973" s="114"/>
      <c r="AT973" s="143"/>
      <c r="AU973" s="114"/>
      <c r="AV973" s="114"/>
      <c r="AW973" s="114"/>
      <c r="AX973" s="114"/>
      <c r="AY973" s="114"/>
      <c r="AZ973" s="114"/>
      <c r="BA973" s="114"/>
      <c r="BB973" s="114"/>
      <c r="BC973" s="114"/>
    </row>
    <row r="974" spans="1:55" ht="15.75" customHeight="1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43"/>
      <c r="M974" s="143"/>
      <c r="N974" s="143"/>
      <c r="O974" s="143"/>
      <c r="P974" s="114"/>
      <c r="Q974" s="114"/>
      <c r="R974" s="114"/>
      <c r="S974" s="143"/>
      <c r="T974" s="114"/>
      <c r="U974" s="114"/>
      <c r="V974" s="114"/>
      <c r="W974" s="114"/>
      <c r="X974" s="114"/>
      <c r="Y974" s="114"/>
      <c r="Z974" s="143"/>
      <c r="AA974" s="114"/>
      <c r="AB974" s="114"/>
      <c r="AC974" s="114"/>
      <c r="AD974" s="143"/>
      <c r="AE974" s="114"/>
      <c r="AF974" s="114"/>
      <c r="AG974" s="143"/>
      <c r="AH974" s="114"/>
      <c r="AI974" s="114"/>
      <c r="AJ974" s="114"/>
      <c r="AK974" s="114"/>
      <c r="AL974" s="114"/>
      <c r="AM974" s="114"/>
      <c r="AN974" s="114"/>
      <c r="AO974" s="114"/>
      <c r="AP974" s="114"/>
      <c r="AQ974" s="114"/>
      <c r="AR974" s="114"/>
      <c r="AS974" s="114"/>
      <c r="AT974" s="143"/>
      <c r="AU974" s="114"/>
      <c r="AV974" s="114"/>
      <c r="AW974" s="114"/>
      <c r="AX974" s="114"/>
      <c r="AY974" s="114"/>
      <c r="AZ974" s="114"/>
      <c r="BA974" s="114"/>
      <c r="BB974" s="114"/>
      <c r="BC974" s="114"/>
    </row>
    <row r="975" spans="1:55" ht="15.75" customHeight="1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43"/>
      <c r="M975" s="143"/>
      <c r="N975" s="143"/>
      <c r="O975" s="143"/>
      <c r="P975" s="114"/>
      <c r="Q975" s="114"/>
      <c r="R975" s="114"/>
      <c r="S975" s="143"/>
      <c r="T975" s="114"/>
      <c r="U975" s="114"/>
      <c r="V975" s="114"/>
      <c r="W975" s="114"/>
      <c r="X975" s="114"/>
      <c r="Y975" s="114"/>
      <c r="Z975" s="143"/>
      <c r="AA975" s="114"/>
      <c r="AB975" s="114"/>
      <c r="AC975" s="114"/>
      <c r="AD975" s="143"/>
      <c r="AE975" s="114"/>
      <c r="AF975" s="114"/>
      <c r="AG975" s="143"/>
      <c r="AH975" s="114"/>
      <c r="AI975" s="114"/>
      <c r="AJ975" s="114"/>
      <c r="AK975" s="114"/>
      <c r="AL975" s="114"/>
      <c r="AM975" s="114"/>
      <c r="AN975" s="114"/>
      <c r="AO975" s="114"/>
      <c r="AP975" s="114"/>
      <c r="AQ975" s="114"/>
      <c r="AR975" s="114"/>
      <c r="AS975" s="114"/>
      <c r="AT975" s="143"/>
      <c r="AU975" s="114"/>
      <c r="AV975" s="114"/>
      <c r="AW975" s="114"/>
      <c r="AX975" s="114"/>
      <c r="AY975" s="114"/>
      <c r="AZ975" s="114"/>
      <c r="BA975" s="114"/>
      <c r="BB975" s="114"/>
      <c r="BC975" s="114"/>
    </row>
    <row r="976" spans="1:55" ht="15.75" customHeight="1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43"/>
      <c r="M976" s="143"/>
      <c r="N976" s="143"/>
      <c r="O976" s="143"/>
      <c r="P976" s="114"/>
      <c r="Q976" s="114"/>
      <c r="R976" s="114"/>
      <c r="S976" s="143"/>
      <c r="T976" s="114"/>
      <c r="U976" s="114"/>
      <c r="V976" s="114"/>
      <c r="W976" s="114"/>
      <c r="X976" s="114"/>
      <c r="Y976" s="114"/>
      <c r="Z976" s="143"/>
      <c r="AA976" s="114"/>
      <c r="AB976" s="114"/>
      <c r="AC976" s="114"/>
      <c r="AD976" s="143"/>
      <c r="AE976" s="114"/>
      <c r="AF976" s="114"/>
      <c r="AG976" s="143"/>
      <c r="AH976" s="114"/>
      <c r="AI976" s="114"/>
      <c r="AJ976" s="114"/>
      <c r="AK976" s="114"/>
      <c r="AL976" s="114"/>
      <c r="AM976" s="114"/>
      <c r="AN976" s="114"/>
      <c r="AO976" s="114"/>
      <c r="AP976" s="114"/>
      <c r="AQ976" s="114"/>
      <c r="AR976" s="114"/>
      <c r="AS976" s="114"/>
      <c r="AT976" s="143"/>
      <c r="AU976" s="114"/>
      <c r="AV976" s="114"/>
      <c r="AW976" s="114"/>
      <c r="AX976" s="114"/>
      <c r="AY976" s="114"/>
      <c r="AZ976" s="114"/>
      <c r="BA976" s="114"/>
      <c r="BB976" s="114"/>
      <c r="BC976" s="114"/>
    </row>
    <row r="977" spans="1:55" ht="15.75" customHeight="1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43"/>
      <c r="M977" s="143"/>
      <c r="N977" s="143"/>
      <c r="O977" s="143"/>
      <c r="P977" s="114"/>
      <c r="Q977" s="114"/>
      <c r="R977" s="114"/>
      <c r="S977" s="143"/>
      <c r="T977" s="114"/>
      <c r="U977" s="114"/>
      <c r="V977" s="114"/>
      <c r="W977" s="114"/>
      <c r="X977" s="114"/>
      <c r="Y977" s="114"/>
      <c r="Z977" s="143"/>
      <c r="AA977" s="114"/>
      <c r="AB977" s="114"/>
      <c r="AC977" s="114"/>
      <c r="AD977" s="143"/>
      <c r="AE977" s="114"/>
      <c r="AF977" s="114"/>
      <c r="AG977" s="143"/>
      <c r="AH977" s="114"/>
      <c r="AI977" s="114"/>
      <c r="AJ977" s="114"/>
      <c r="AK977" s="114"/>
      <c r="AL977" s="114"/>
      <c r="AM977" s="114"/>
      <c r="AN977" s="114"/>
      <c r="AO977" s="114"/>
      <c r="AP977" s="114"/>
      <c r="AQ977" s="114"/>
      <c r="AR977" s="114"/>
      <c r="AS977" s="114"/>
      <c r="AT977" s="143"/>
      <c r="AU977" s="114"/>
      <c r="AV977" s="114"/>
      <c r="AW977" s="114"/>
      <c r="AX977" s="114"/>
      <c r="AY977" s="114"/>
      <c r="AZ977" s="114"/>
      <c r="BA977" s="114"/>
      <c r="BB977" s="114"/>
      <c r="BC977" s="114"/>
    </row>
    <row r="978" spans="1:55" ht="15.75" customHeight="1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43"/>
      <c r="M978" s="143"/>
      <c r="N978" s="143"/>
      <c r="O978" s="143"/>
      <c r="P978" s="114"/>
      <c r="Q978" s="114"/>
      <c r="R978" s="114"/>
      <c r="S978" s="143"/>
      <c r="T978" s="114"/>
      <c r="U978" s="114"/>
      <c r="V978" s="114"/>
      <c r="W978" s="114"/>
      <c r="X978" s="114"/>
      <c r="Y978" s="114"/>
      <c r="Z978" s="143"/>
      <c r="AA978" s="114"/>
      <c r="AB978" s="114"/>
      <c r="AC978" s="114"/>
      <c r="AD978" s="143"/>
      <c r="AE978" s="114"/>
      <c r="AF978" s="114"/>
      <c r="AG978" s="143"/>
      <c r="AH978" s="114"/>
      <c r="AI978" s="114"/>
      <c r="AJ978" s="114"/>
      <c r="AK978" s="114"/>
      <c r="AL978" s="114"/>
      <c r="AM978" s="114"/>
      <c r="AN978" s="114"/>
      <c r="AO978" s="114"/>
      <c r="AP978" s="114"/>
      <c r="AQ978" s="114"/>
      <c r="AR978" s="114"/>
      <c r="AS978" s="114"/>
      <c r="AT978" s="143"/>
      <c r="AU978" s="114"/>
      <c r="AV978" s="114"/>
      <c r="AW978" s="114"/>
      <c r="AX978" s="114"/>
      <c r="AY978" s="114"/>
      <c r="AZ978" s="114"/>
      <c r="BA978" s="114"/>
      <c r="BB978" s="114"/>
      <c r="BC978" s="114"/>
    </row>
    <row r="979" spans="1:55" ht="15.75" customHeight="1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43"/>
      <c r="M979" s="143"/>
      <c r="N979" s="143"/>
      <c r="O979" s="143"/>
      <c r="P979" s="114"/>
      <c r="Q979" s="114"/>
      <c r="R979" s="114"/>
      <c r="S979" s="143"/>
      <c r="T979" s="114"/>
      <c r="U979" s="114"/>
      <c r="V979" s="114"/>
      <c r="W979" s="114"/>
      <c r="X979" s="114"/>
      <c r="Y979" s="114"/>
      <c r="Z979" s="143"/>
      <c r="AA979" s="114"/>
      <c r="AB979" s="114"/>
      <c r="AC979" s="114"/>
      <c r="AD979" s="143"/>
      <c r="AE979" s="114"/>
      <c r="AF979" s="114"/>
      <c r="AG979" s="143"/>
      <c r="AH979" s="114"/>
      <c r="AI979" s="114"/>
      <c r="AJ979" s="114"/>
      <c r="AK979" s="114"/>
      <c r="AL979" s="114"/>
      <c r="AM979" s="114"/>
      <c r="AN979" s="114"/>
      <c r="AO979" s="114"/>
      <c r="AP979" s="114"/>
      <c r="AQ979" s="114"/>
      <c r="AR979" s="114"/>
      <c r="AS979" s="114"/>
      <c r="AT979" s="143"/>
      <c r="AU979" s="114"/>
      <c r="AV979" s="114"/>
      <c r="AW979" s="114"/>
      <c r="AX979" s="114"/>
      <c r="AY979" s="114"/>
      <c r="AZ979" s="114"/>
      <c r="BA979" s="114"/>
      <c r="BB979" s="114"/>
      <c r="BC979" s="114"/>
    </row>
    <row r="980" spans="1:55" ht="15.75" customHeight="1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43"/>
      <c r="M980" s="143"/>
      <c r="N980" s="143"/>
      <c r="O980" s="143"/>
      <c r="P980" s="114"/>
      <c r="Q980" s="114"/>
      <c r="R980" s="114"/>
      <c r="S980" s="143"/>
      <c r="T980" s="114"/>
      <c r="U980" s="114"/>
      <c r="V980" s="114"/>
      <c r="W980" s="114"/>
      <c r="X980" s="114"/>
      <c r="Y980" s="114"/>
      <c r="Z980" s="143"/>
      <c r="AA980" s="114"/>
      <c r="AB980" s="114"/>
      <c r="AC980" s="114"/>
      <c r="AD980" s="143"/>
      <c r="AE980" s="114"/>
      <c r="AF980" s="114"/>
      <c r="AG980" s="143"/>
      <c r="AH980" s="114"/>
      <c r="AI980" s="114"/>
      <c r="AJ980" s="114"/>
      <c r="AK980" s="114"/>
      <c r="AL980" s="114"/>
      <c r="AM980" s="114"/>
      <c r="AN980" s="114"/>
      <c r="AO980" s="114"/>
      <c r="AP980" s="114"/>
      <c r="AQ980" s="114"/>
      <c r="AR980" s="114"/>
      <c r="AS980" s="114"/>
      <c r="AT980" s="143"/>
      <c r="AU980" s="114"/>
      <c r="AV980" s="114"/>
      <c r="AW980" s="114"/>
      <c r="AX980" s="114"/>
      <c r="AY980" s="114"/>
      <c r="AZ980" s="114"/>
      <c r="BA980" s="114"/>
      <c r="BB980" s="114"/>
      <c r="BC980" s="114"/>
    </row>
    <row r="981" spans="1:55" ht="15.75" customHeight="1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43"/>
      <c r="M981" s="143"/>
      <c r="N981" s="143"/>
      <c r="O981" s="143"/>
      <c r="P981" s="114"/>
      <c r="Q981" s="114"/>
      <c r="R981" s="114"/>
      <c r="S981" s="143"/>
      <c r="T981" s="114"/>
      <c r="U981" s="114"/>
      <c r="V981" s="114"/>
      <c r="W981" s="114"/>
      <c r="X981" s="114"/>
      <c r="Y981" s="114"/>
      <c r="Z981" s="143"/>
      <c r="AA981" s="114"/>
      <c r="AB981" s="114"/>
      <c r="AC981" s="114"/>
      <c r="AD981" s="143"/>
      <c r="AE981" s="114"/>
      <c r="AF981" s="114"/>
      <c r="AG981" s="143"/>
      <c r="AH981" s="114"/>
      <c r="AI981" s="114"/>
      <c r="AJ981" s="114"/>
      <c r="AK981" s="114"/>
      <c r="AL981" s="114"/>
      <c r="AM981" s="114"/>
      <c r="AN981" s="114"/>
      <c r="AO981" s="114"/>
      <c r="AP981" s="114"/>
      <c r="AQ981" s="114"/>
      <c r="AR981" s="114"/>
      <c r="AS981" s="114"/>
      <c r="AT981" s="143"/>
      <c r="AU981" s="114"/>
      <c r="AV981" s="114"/>
      <c r="AW981" s="114"/>
      <c r="AX981" s="114"/>
      <c r="AY981" s="114"/>
      <c r="AZ981" s="114"/>
      <c r="BA981" s="114"/>
      <c r="BB981" s="114"/>
      <c r="BC981" s="114"/>
    </row>
    <row r="982" spans="1:55" ht="15.75" customHeight="1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43"/>
      <c r="M982" s="143"/>
      <c r="N982" s="143"/>
      <c r="O982" s="143"/>
      <c r="P982" s="114"/>
      <c r="Q982" s="114"/>
      <c r="R982" s="114"/>
      <c r="S982" s="143"/>
      <c r="T982" s="114"/>
      <c r="U982" s="114"/>
      <c r="V982" s="114"/>
      <c r="W982" s="114"/>
      <c r="X982" s="114"/>
      <c r="Y982" s="114"/>
      <c r="Z982" s="143"/>
      <c r="AA982" s="114"/>
      <c r="AB982" s="114"/>
      <c r="AC982" s="114"/>
      <c r="AD982" s="143"/>
      <c r="AE982" s="114"/>
      <c r="AF982" s="114"/>
      <c r="AG982" s="143"/>
      <c r="AH982" s="114"/>
      <c r="AI982" s="114"/>
      <c r="AJ982" s="114"/>
      <c r="AK982" s="114"/>
      <c r="AL982" s="114"/>
      <c r="AM982" s="114"/>
      <c r="AN982" s="114"/>
      <c r="AO982" s="114"/>
      <c r="AP982" s="114"/>
      <c r="AQ982" s="114"/>
      <c r="AR982" s="114"/>
      <c r="AS982" s="114"/>
      <c r="AT982" s="143"/>
      <c r="AU982" s="114"/>
      <c r="AV982" s="114"/>
      <c r="AW982" s="114"/>
      <c r="AX982" s="114"/>
      <c r="AY982" s="114"/>
      <c r="AZ982" s="114"/>
      <c r="BA982" s="114"/>
      <c r="BB982" s="114"/>
      <c r="BC982" s="114"/>
    </row>
    <row r="983" spans="1:55" ht="15.75" customHeight="1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43"/>
      <c r="M983" s="143"/>
      <c r="N983" s="143"/>
      <c r="O983" s="143"/>
      <c r="P983" s="114"/>
      <c r="Q983" s="114"/>
      <c r="R983" s="114"/>
      <c r="S983" s="143"/>
      <c r="T983" s="114"/>
      <c r="U983" s="114"/>
      <c r="V983" s="114"/>
      <c r="W983" s="114"/>
      <c r="X983" s="114"/>
      <c r="Y983" s="114"/>
      <c r="Z983" s="143"/>
      <c r="AA983" s="114"/>
      <c r="AB983" s="114"/>
      <c r="AC983" s="114"/>
      <c r="AD983" s="143"/>
      <c r="AE983" s="114"/>
      <c r="AF983" s="114"/>
      <c r="AG983" s="143"/>
      <c r="AH983" s="114"/>
      <c r="AI983" s="114"/>
      <c r="AJ983" s="114"/>
      <c r="AK983" s="114"/>
      <c r="AL983" s="114"/>
      <c r="AM983" s="114"/>
      <c r="AN983" s="114"/>
      <c r="AO983" s="114"/>
      <c r="AP983" s="114"/>
      <c r="AQ983" s="114"/>
      <c r="AR983" s="114"/>
      <c r="AS983" s="114"/>
      <c r="AT983" s="143"/>
      <c r="AU983" s="114"/>
      <c r="AV983" s="114"/>
      <c r="AW983" s="114"/>
      <c r="AX983" s="114"/>
      <c r="AY983" s="114"/>
      <c r="AZ983" s="114"/>
      <c r="BA983" s="114"/>
      <c r="BB983" s="114"/>
      <c r="BC983" s="114"/>
    </row>
    <row r="984" spans="1:55" ht="15.75" customHeight="1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43"/>
      <c r="M984" s="143"/>
      <c r="N984" s="143"/>
      <c r="O984" s="143"/>
      <c r="P984" s="114"/>
      <c r="Q984" s="114"/>
      <c r="R984" s="114"/>
      <c r="S984" s="143"/>
      <c r="T984" s="114"/>
      <c r="U984" s="114"/>
      <c r="V984" s="114"/>
      <c r="W984" s="114"/>
      <c r="X984" s="114"/>
      <c r="Y984" s="114"/>
      <c r="Z984" s="143"/>
      <c r="AA984" s="114"/>
      <c r="AB984" s="114"/>
      <c r="AC984" s="114"/>
      <c r="AD984" s="143"/>
      <c r="AE984" s="114"/>
      <c r="AF984" s="114"/>
      <c r="AG984" s="143"/>
      <c r="AH984" s="114"/>
      <c r="AI984" s="114"/>
      <c r="AJ984" s="114"/>
      <c r="AK984" s="114"/>
      <c r="AL984" s="114"/>
      <c r="AM984" s="114"/>
      <c r="AN984" s="114"/>
      <c r="AO984" s="114"/>
      <c r="AP984" s="114"/>
      <c r="AQ984" s="114"/>
      <c r="AR984" s="114"/>
      <c r="AS984" s="114"/>
      <c r="AT984" s="143"/>
      <c r="AU984" s="114"/>
      <c r="AV984" s="114"/>
      <c r="AW984" s="114"/>
      <c r="AX984" s="114"/>
      <c r="AY984" s="114"/>
      <c r="AZ984" s="114"/>
      <c r="BA984" s="114"/>
      <c r="BB984" s="114"/>
      <c r="BC984" s="114"/>
    </row>
    <row r="985" spans="1:55" ht="15.75" customHeight="1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43"/>
      <c r="M985" s="143"/>
      <c r="N985" s="143"/>
      <c r="O985" s="143"/>
      <c r="P985" s="114"/>
      <c r="Q985" s="114"/>
      <c r="R985" s="114"/>
      <c r="S985" s="143"/>
      <c r="T985" s="114"/>
      <c r="U985" s="114"/>
      <c r="V985" s="114"/>
      <c r="W985" s="114"/>
      <c r="X985" s="114"/>
      <c r="Y985" s="114"/>
      <c r="Z985" s="143"/>
      <c r="AA985" s="114"/>
      <c r="AB985" s="114"/>
      <c r="AC985" s="114"/>
      <c r="AD985" s="143"/>
      <c r="AE985" s="114"/>
      <c r="AF985" s="114"/>
      <c r="AG985" s="143"/>
      <c r="AH985" s="114"/>
      <c r="AI985" s="114"/>
      <c r="AJ985" s="114"/>
      <c r="AK985" s="114"/>
      <c r="AL985" s="114"/>
      <c r="AM985" s="114"/>
      <c r="AN985" s="114"/>
      <c r="AO985" s="114"/>
      <c r="AP985" s="114"/>
      <c r="AQ985" s="114"/>
      <c r="AR985" s="114"/>
      <c r="AS985" s="114"/>
      <c r="AT985" s="143"/>
      <c r="AU985" s="114"/>
      <c r="AV985" s="114"/>
      <c r="AW985" s="114"/>
      <c r="AX985" s="114"/>
      <c r="AY985" s="114"/>
      <c r="AZ985" s="114"/>
      <c r="BA985" s="114"/>
      <c r="BB985" s="114"/>
      <c r="BC985" s="114"/>
    </row>
    <row r="986" spans="1:55" ht="15.75" customHeight="1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43"/>
      <c r="M986" s="143"/>
      <c r="N986" s="143"/>
      <c r="O986" s="143"/>
      <c r="P986" s="114"/>
      <c r="Q986" s="114"/>
      <c r="R986" s="114"/>
      <c r="S986" s="143"/>
      <c r="T986" s="114"/>
      <c r="U986" s="114"/>
      <c r="V986" s="114"/>
      <c r="W986" s="114"/>
      <c r="X986" s="114"/>
      <c r="Y986" s="114"/>
      <c r="Z986" s="143"/>
      <c r="AA986" s="114"/>
      <c r="AB986" s="114"/>
      <c r="AC986" s="114"/>
      <c r="AD986" s="143"/>
      <c r="AE986" s="114"/>
      <c r="AF986" s="114"/>
      <c r="AG986" s="143"/>
      <c r="AH986" s="114"/>
      <c r="AI986" s="114"/>
      <c r="AJ986" s="114"/>
      <c r="AK986" s="114"/>
      <c r="AL986" s="114"/>
      <c r="AM986" s="114"/>
      <c r="AN986" s="114"/>
      <c r="AO986" s="114"/>
      <c r="AP986" s="114"/>
      <c r="AQ986" s="114"/>
      <c r="AR986" s="114"/>
      <c r="AS986" s="114"/>
      <c r="AT986" s="143"/>
      <c r="AU986" s="114"/>
      <c r="AV986" s="114"/>
      <c r="AW986" s="114"/>
      <c r="AX986" s="114"/>
      <c r="AY986" s="114"/>
      <c r="AZ986" s="114"/>
      <c r="BA986" s="114"/>
      <c r="BB986" s="114"/>
      <c r="BC986" s="114"/>
    </row>
    <row r="987" spans="1:55" ht="15.75" customHeight="1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43"/>
      <c r="M987" s="143"/>
      <c r="N987" s="143"/>
      <c r="O987" s="143"/>
      <c r="P987" s="114"/>
      <c r="Q987" s="114"/>
      <c r="R987" s="114"/>
      <c r="S987" s="143"/>
      <c r="T987" s="114"/>
      <c r="U987" s="114"/>
      <c r="V987" s="114"/>
      <c r="W987" s="114"/>
      <c r="X987" s="114"/>
      <c r="Y987" s="114"/>
      <c r="Z987" s="143"/>
      <c r="AA987" s="114"/>
      <c r="AB987" s="114"/>
      <c r="AC987" s="114"/>
      <c r="AD987" s="143"/>
      <c r="AE987" s="114"/>
      <c r="AF987" s="114"/>
      <c r="AG987" s="143"/>
      <c r="AH987" s="114"/>
      <c r="AI987" s="114"/>
      <c r="AJ987" s="114"/>
      <c r="AK987" s="114"/>
      <c r="AL987" s="114"/>
      <c r="AM987" s="114"/>
      <c r="AN987" s="114"/>
      <c r="AO987" s="114"/>
      <c r="AP987" s="114"/>
      <c r="AQ987" s="114"/>
      <c r="AR987" s="114"/>
      <c r="AS987" s="114"/>
      <c r="AT987" s="143"/>
      <c r="AU987" s="114"/>
      <c r="AV987" s="114"/>
      <c r="AW987" s="114"/>
      <c r="AX987" s="114"/>
      <c r="AY987" s="114"/>
      <c r="AZ987" s="114"/>
      <c r="BA987" s="114"/>
      <c r="BB987" s="114"/>
      <c r="BC987" s="114"/>
    </row>
    <row r="988" spans="1:55" ht="15.75" customHeight="1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43"/>
      <c r="M988" s="143"/>
      <c r="N988" s="143"/>
      <c r="O988" s="143"/>
      <c r="P988" s="114"/>
      <c r="Q988" s="114"/>
      <c r="R988" s="114"/>
      <c r="S988" s="143"/>
      <c r="T988" s="114"/>
      <c r="U988" s="114"/>
      <c r="V988" s="114"/>
      <c r="W988" s="114"/>
      <c r="X988" s="114"/>
      <c r="Y988" s="114"/>
      <c r="Z988" s="143"/>
      <c r="AA988" s="114"/>
      <c r="AB988" s="114"/>
      <c r="AC988" s="114"/>
      <c r="AD988" s="143"/>
      <c r="AE988" s="114"/>
      <c r="AF988" s="114"/>
      <c r="AG988" s="143"/>
      <c r="AH988" s="114"/>
      <c r="AI988" s="114"/>
      <c r="AJ988" s="114"/>
      <c r="AK988" s="114"/>
      <c r="AL988" s="114"/>
      <c r="AM988" s="114"/>
      <c r="AN988" s="114"/>
      <c r="AO988" s="114"/>
      <c r="AP988" s="114"/>
      <c r="AQ988" s="114"/>
      <c r="AR988" s="114"/>
      <c r="AS988" s="114"/>
      <c r="AT988" s="143"/>
      <c r="AU988" s="114"/>
      <c r="AV988" s="114"/>
      <c r="AW988" s="114"/>
      <c r="AX988" s="114"/>
      <c r="AY988" s="114"/>
      <c r="AZ988" s="114"/>
      <c r="BA988" s="114"/>
      <c r="BB988" s="114"/>
      <c r="BC988" s="114"/>
    </row>
    <row r="989" spans="1:55" ht="15.75" customHeight="1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43"/>
      <c r="M989" s="143"/>
      <c r="N989" s="143"/>
      <c r="O989" s="143"/>
      <c r="P989" s="114"/>
      <c r="Q989" s="114"/>
      <c r="R989" s="114"/>
      <c r="S989" s="143"/>
      <c r="T989" s="114"/>
      <c r="U989" s="114"/>
      <c r="V989" s="114"/>
      <c r="W989" s="114"/>
      <c r="X989" s="114"/>
      <c r="Y989" s="114"/>
      <c r="Z989" s="143"/>
      <c r="AA989" s="114"/>
      <c r="AB989" s="114"/>
      <c r="AC989" s="114"/>
      <c r="AD989" s="143"/>
      <c r="AE989" s="114"/>
      <c r="AF989" s="114"/>
      <c r="AG989" s="143"/>
      <c r="AH989" s="114"/>
      <c r="AI989" s="114"/>
      <c r="AJ989" s="114"/>
      <c r="AK989" s="114"/>
      <c r="AL989" s="114"/>
      <c r="AM989" s="114"/>
      <c r="AN989" s="114"/>
      <c r="AO989" s="114"/>
      <c r="AP989" s="114"/>
      <c r="AQ989" s="114"/>
      <c r="AR989" s="114"/>
      <c r="AS989" s="114"/>
      <c r="AT989" s="143"/>
      <c r="AU989" s="114"/>
      <c r="AV989" s="114"/>
      <c r="AW989" s="114"/>
      <c r="AX989" s="114"/>
      <c r="AY989" s="114"/>
      <c r="AZ989" s="114"/>
      <c r="BA989" s="114"/>
      <c r="BB989" s="114"/>
      <c r="BC989" s="114"/>
    </row>
    <row r="990" spans="1:55" ht="15.75" customHeight="1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43"/>
      <c r="M990" s="143"/>
      <c r="N990" s="143"/>
      <c r="O990" s="143"/>
      <c r="P990" s="114"/>
      <c r="Q990" s="114"/>
      <c r="R990" s="114"/>
      <c r="S990" s="143"/>
      <c r="T990" s="114"/>
      <c r="U990" s="114"/>
      <c r="V990" s="114"/>
      <c r="W990" s="114"/>
      <c r="X990" s="114"/>
      <c r="Y990" s="114"/>
      <c r="Z990" s="143"/>
      <c r="AA990" s="114"/>
      <c r="AB990" s="114"/>
      <c r="AC990" s="114"/>
      <c r="AD990" s="143"/>
      <c r="AE990" s="114"/>
      <c r="AF990" s="114"/>
      <c r="AG990" s="143"/>
      <c r="AH990" s="114"/>
      <c r="AI990" s="114"/>
      <c r="AJ990" s="114"/>
      <c r="AK990" s="114"/>
      <c r="AL990" s="114"/>
      <c r="AM990" s="114"/>
      <c r="AN990" s="114"/>
      <c r="AO990" s="114"/>
      <c r="AP990" s="114"/>
      <c r="AQ990" s="114"/>
      <c r="AR990" s="114"/>
      <c r="AS990" s="114"/>
      <c r="AT990" s="143"/>
      <c r="AU990" s="114"/>
      <c r="AV990" s="114"/>
      <c r="AW990" s="114"/>
      <c r="AX990" s="114"/>
      <c r="AY990" s="114"/>
      <c r="AZ990" s="114"/>
      <c r="BA990" s="114"/>
      <c r="BB990" s="114"/>
      <c r="BC990" s="114"/>
    </row>
    <row r="991" spans="1:55" ht="15.75" customHeight="1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43"/>
      <c r="M991" s="143"/>
      <c r="N991" s="143"/>
      <c r="O991" s="143"/>
      <c r="P991" s="114"/>
      <c r="Q991" s="114"/>
      <c r="R991" s="114"/>
      <c r="S991" s="143"/>
      <c r="T991" s="114"/>
      <c r="U991" s="114"/>
      <c r="V991" s="114"/>
      <c r="W991" s="114"/>
      <c r="X991" s="114"/>
      <c r="Y991" s="114"/>
      <c r="Z991" s="143"/>
      <c r="AA991" s="114"/>
      <c r="AB991" s="114"/>
      <c r="AC991" s="114"/>
      <c r="AD991" s="143"/>
      <c r="AE991" s="114"/>
      <c r="AF991" s="114"/>
      <c r="AG991" s="143"/>
      <c r="AH991" s="114"/>
      <c r="AI991" s="114"/>
      <c r="AJ991" s="114"/>
      <c r="AK991" s="114"/>
      <c r="AL991" s="114"/>
      <c r="AM991" s="114"/>
      <c r="AN991" s="114"/>
      <c r="AO991" s="114"/>
      <c r="AP991" s="114"/>
      <c r="AQ991" s="114"/>
      <c r="AR991" s="114"/>
      <c r="AS991" s="114"/>
      <c r="AT991" s="143"/>
      <c r="AU991" s="114"/>
      <c r="AV991" s="114"/>
      <c r="AW991" s="114"/>
      <c r="AX991" s="114"/>
      <c r="AY991" s="114"/>
      <c r="AZ991" s="114"/>
      <c r="BA991" s="114"/>
      <c r="BB991" s="114"/>
      <c r="BC991" s="114"/>
    </row>
    <row r="992" spans="1:55" ht="15.75" customHeight="1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43"/>
      <c r="M992" s="143"/>
      <c r="N992" s="143"/>
      <c r="O992" s="143"/>
      <c r="P992" s="114"/>
      <c r="Q992" s="114"/>
      <c r="R992" s="114"/>
      <c r="S992" s="143"/>
      <c r="T992" s="114"/>
      <c r="U992" s="114"/>
      <c r="V992" s="114"/>
      <c r="W992" s="114"/>
      <c r="X992" s="114"/>
      <c r="Y992" s="114"/>
      <c r="Z992" s="143"/>
      <c r="AA992" s="114"/>
      <c r="AB992" s="114"/>
      <c r="AC992" s="114"/>
      <c r="AD992" s="143"/>
      <c r="AE992" s="114"/>
      <c r="AF992" s="114"/>
      <c r="AG992" s="143"/>
      <c r="AH992" s="114"/>
      <c r="AI992" s="114"/>
      <c r="AJ992" s="114"/>
      <c r="AK992" s="114"/>
      <c r="AL992" s="114"/>
      <c r="AM992" s="114"/>
      <c r="AN992" s="114"/>
      <c r="AO992" s="114"/>
      <c r="AP992" s="114"/>
      <c r="AQ992" s="114"/>
      <c r="AR992" s="114"/>
      <c r="AS992" s="114"/>
      <c r="AT992" s="143"/>
      <c r="AU992" s="114"/>
      <c r="AV992" s="114"/>
      <c r="AW992" s="114"/>
      <c r="AX992" s="114"/>
      <c r="AY992" s="114"/>
      <c r="AZ992" s="114"/>
      <c r="BA992" s="114"/>
      <c r="BB992" s="114"/>
      <c r="BC992" s="114"/>
    </row>
    <row r="993" spans="1:55" ht="15.75" customHeight="1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43"/>
      <c r="M993" s="143"/>
      <c r="N993" s="143"/>
      <c r="O993" s="143"/>
      <c r="P993" s="114"/>
      <c r="Q993" s="114"/>
      <c r="R993" s="114"/>
      <c r="S993" s="143"/>
      <c r="T993" s="114"/>
      <c r="U993" s="114"/>
      <c r="V993" s="114"/>
      <c r="W993" s="114"/>
      <c r="X993" s="114"/>
      <c r="Y993" s="114"/>
      <c r="Z993" s="143"/>
      <c r="AA993" s="114"/>
      <c r="AB993" s="114"/>
      <c r="AC993" s="114"/>
      <c r="AD993" s="143"/>
      <c r="AE993" s="114"/>
      <c r="AF993" s="114"/>
      <c r="AG993" s="143"/>
      <c r="AH993" s="114"/>
      <c r="AI993" s="114"/>
      <c r="AJ993" s="114"/>
      <c r="AK993" s="114"/>
      <c r="AL993" s="114"/>
      <c r="AM993" s="114"/>
      <c r="AN993" s="114"/>
      <c r="AO993" s="114"/>
      <c r="AP993" s="114"/>
      <c r="AQ993" s="114"/>
      <c r="AR993" s="114"/>
      <c r="AS993" s="114"/>
      <c r="AT993" s="143"/>
      <c r="AU993" s="114"/>
      <c r="AV993" s="114"/>
      <c r="AW993" s="114"/>
      <c r="AX993" s="114"/>
      <c r="AY993" s="114"/>
      <c r="AZ993" s="114"/>
      <c r="BA993" s="114"/>
      <c r="BB993" s="114"/>
      <c r="BC993" s="114"/>
    </row>
    <row r="994" spans="1:55" ht="15.75" customHeight="1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43"/>
      <c r="M994" s="143"/>
      <c r="N994" s="143"/>
      <c r="O994" s="143"/>
      <c r="P994" s="114"/>
      <c r="Q994" s="114"/>
      <c r="R994" s="114"/>
      <c r="S994" s="143"/>
      <c r="T994" s="114"/>
      <c r="U994" s="114"/>
      <c r="V994" s="114"/>
      <c r="W994" s="114"/>
      <c r="X994" s="114"/>
      <c r="Y994" s="114"/>
      <c r="Z994" s="143"/>
      <c r="AA994" s="114"/>
      <c r="AB994" s="114"/>
      <c r="AC994" s="114"/>
      <c r="AD994" s="143"/>
      <c r="AE994" s="114"/>
      <c r="AF994" s="114"/>
      <c r="AG994" s="143"/>
      <c r="AH994" s="114"/>
      <c r="AI994" s="114"/>
      <c r="AJ994" s="114"/>
      <c r="AK994" s="114"/>
      <c r="AL994" s="114"/>
      <c r="AM994" s="114"/>
      <c r="AN994" s="114"/>
      <c r="AO994" s="114"/>
      <c r="AP994" s="114"/>
      <c r="AQ994" s="114"/>
      <c r="AR994" s="114"/>
      <c r="AS994" s="114"/>
      <c r="AT994" s="143"/>
      <c r="AU994" s="114"/>
      <c r="AV994" s="114"/>
      <c r="AW994" s="114"/>
      <c r="AX994" s="114"/>
      <c r="AY994" s="114"/>
      <c r="AZ994" s="114"/>
      <c r="BA994" s="114"/>
      <c r="BB994" s="114"/>
      <c r="BC994" s="114"/>
    </row>
    <row r="995" spans="1:55" ht="15.75" customHeight="1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43"/>
      <c r="M995" s="143"/>
      <c r="N995" s="143"/>
      <c r="O995" s="143"/>
      <c r="P995" s="114"/>
      <c r="Q995" s="114"/>
      <c r="R995" s="114"/>
      <c r="S995" s="143"/>
      <c r="T995" s="114"/>
      <c r="U995" s="114"/>
      <c r="V995" s="114"/>
      <c r="W995" s="114"/>
      <c r="X995" s="114"/>
      <c r="Y995" s="114"/>
      <c r="Z995" s="143"/>
      <c r="AA995" s="114"/>
      <c r="AB995" s="114"/>
      <c r="AC995" s="114"/>
      <c r="AD995" s="143"/>
      <c r="AE995" s="114"/>
      <c r="AF995" s="114"/>
      <c r="AG995" s="143"/>
      <c r="AH995" s="114"/>
      <c r="AI995" s="114"/>
      <c r="AJ995" s="114"/>
      <c r="AK995" s="114"/>
      <c r="AL995" s="114"/>
      <c r="AM995" s="114"/>
      <c r="AN995" s="114"/>
      <c r="AO995" s="114"/>
      <c r="AP995" s="114"/>
      <c r="AQ995" s="114"/>
      <c r="AR995" s="114"/>
      <c r="AS995" s="114"/>
      <c r="AT995" s="143"/>
      <c r="AU995" s="114"/>
      <c r="AV995" s="114"/>
      <c r="AW995" s="114"/>
      <c r="AX995" s="114"/>
      <c r="AY995" s="114"/>
      <c r="AZ995" s="114"/>
      <c r="BA995" s="114"/>
      <c r="BB995" s="114"/>
      <c r="BC995" s="114"/>
    </row>
    <row r="996" spans="1:55" ht="15.75" customHeight="1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43"/>
      <c r="M996" s="143"/>
      <c r="N996" s="143"/>
      <c r="O996" s="143"/>
      <c r="P996" s="114"/>
      <c r="Q996" s="114"/>
      <c r="R996" s="114"/>
      <c r="S996" s="143"/>
      <c r="T996" s="114"/>
      <c r="U996" s="114"/>
      <c r="V996" s="114"/>
      <c r="W996" s="114"/>
      <c r="X996" s="114"/>
      <c r="Y996" s="114"/>
      <c r="Z996" s="143"/>
      <c r="AA996" s="114"/>
      <c r="AB996" s="114"/>
      <c r="AC996" s="114"/>
      <c r="AD996" s="143"/>
      <c r="AE996" s="114"/>
      <c r="AF996" s="114"/>
      <c r="AG996" s="143"/>
      <c r="AH996" s="114"/>
      <c r="AI996" s="114"/>
      <c r="AJ996" s="114"/>
      <c r="AK996" s="114"/>
      <c r="AL996" s="114"/>
      <c r="AM996" s="114"/>
      <c r="AN996" s="114"/>
      <c r="AO996" s="114"/>
      <c r="AP996" s="114"/>
      <c r="AQ996" s="114"/>
      <c r="AR996" s="114"/>
      <c r="AS996" s="114"/>
      <c r="AT996" s="143"/>
      <c r="AU996" s="114"/>
      <c r="AV996" s="114"/>
      <c r="AW996" s="114"/>
      <c r="AX996" s="114"/>
      <c r="AY996" s="114"/>
      <c r="AZ996" s="114"/>
      <c r="BA996" s="114"/>
      <c r="BB996" s="114"/>
      <c r="BC996" s="114"/>
    </row>
    <row r="997" spans="1:55" ht="15.75" customHeight="1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43"/>
      <c r="M997" s="143"/>
      <c r="N997" s="143"/>
      <c r="O997" s="143"/>
      <c r="P997" s="114"/>
      <c r="Q997" s="114"/>
      <c r="R997" s="114"/>
      <c r="S997" s="143"/>
      <c r="T997" s="114"/>
      <c r="U997" s="114"/>
      <c r="V997" s="114"/>
      <c r="W997" s="114"/>
      <c r="X997" s="114"/>
      <c r="Y997" s="114"/>
      <c r="Z997" s="143"/>
      <c r="AA997" s="114"/>
      <c r="AB997" s="114"/>
      <c r="AC997" s="114"/>
      <c r="AD997" s="143"/>
      <c r="AE997" s="114"/>
      <c r="AF997" s="114"/>
      <c r="AG997" s="143"/>
      <c r="AH997" s="114"/>
      <c r="AI997" s="114"/>
      <c r="AJ997" s="114"/>
      <c r="AK997" s="114"/>
      <c r="AL997" s="114"/>
      <c r="AM997" s="114"/>
      <c r="AN997" s="114"/>
      <c r="AO997" s="114"/>
      <c r="AP997" s="114"/>
      <c r="AQ997" s="114"/>
      <c r="AR997" s="114"/>
      <c r="AS997" s="114"/>
      <c r="AT997" s="143"/>
      <c r="AU997" s="114"/>
      <c r="AV997" s="114"/>
      <c r="AW997" s="114"/>
      <c r="AX997" s="114"/>
      <c r="AY997" s="114"/>
      <c r="AZ997" s="114"/>
      <c r="BA997" s="114"/>
      <c r="BB997" s="114"/>
      <c r="BC997" s="114"/>
    </row>
    <row r="998" spans="1:55" ht="15.75" customHeight="1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43"/>
      <c r="M998" s="143"/>
      <c r="N998" s="143"/>
      <c r="O998" s="143"/>
      <c r="P998" s="114"/>
      <c r="Q998" s="114"/>
      <c r="R998" s="114"/>
      <c r="S998" s="143"/>
      <c r="T998" s="114"/>
      <c r="U998" s="114"/>
      <c r="V998" s="114"/>
      <c r="W998" s="114"/>
      <c r="X998" s="114"/>
      <c r="Y998" s="114"/>
      <c r="Z998" s="143"/>
      <c r="AA998" s="114"/>
      <c r="AB998" s="114"/>
      <c r="AC998" s="114"/>
      <c r="AD998" s="143"/>
      <c r="AE998" s="114"/>
      <c r="AF998" s="114"/>
      <c r="AG998" s="143"/>
      <c r="AH998" s="114"/>
      <c r="AI998" s="114"/>
      <c r="AJ998" s="114"/>
      <c r="AK998" s="114"/>
      <c r="AL998" s="114"/>
      <c r="AM998" s="114"/>
      <c r="AN998" s="114"/>
      <c r="AO998" s="114"/>
      <c r="AP998" s="114"/>
      <c r="AQ998" s="114"/>
      <c r="AR998" s="114"/>
      <c r="AS998" s="114"/>
      <c r="AT998" s="143"/>
      <c r="AU998" s="114"/>
      <c r="AV998" s="114"/>
      <c r="AW998" s="114"/>
      <c r="AX998" s="114"/>
      <c r="AY998" s="114"/>
      <c r="AZ998" s="114"/>
      <c r="BA998" s="114"/>
      <c r="BB998" s="114"/>
      <c r="BC998" s="114"/>
    </row>
    <row r="999" spans="1:55" ht="15.75" customHeight="1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43"/>
      <c r="M999" s="143"/>
      <c r="N999" s="143"/>
      <c r="O999" s="143"/>
      <c r="P999" s="114"/>
      <c r="Q999" s="114"/>
      <c r="R999" s="114"/>
      <c r="S999" s="143"/>
      <c r="T999" s="114"/>
      <c r="U999" s="114"/>
      <c r="V999" s="114"/>
      <c r="W999" s="114"/>
      <c r="X999" s="114"/>
      <c r="Y999" s="114"/>
      <c r="Z999" s="143"/>
      <c r="AA999" s="114"/>
      <c r="AB999" s="114"/>
      <c r="AC999" s="114"/>
      <c r="AD999" s="143"/>
      <c r="AE999" s="114"/>
      <c r="AF999" s="114"/>
      <c r="AG999" s="143"/>
      <c r="AH999" s="114"/>
      <c r="AI999" s="114"/>
      <c r="AJ999" s="114"/>
      <c r="AK999" s="114"/>
      <c r="AL999" s="114"/>
      <c r="AM999" s="114"/>
      <c r="AN999" s="114"/>
      <c r="AO999" s="114"/>
      <c r="AP999" s="114"/>
      <c r="AQ999" s="114"/>
      <c r="AR999" s="114"/>
      <c r="AS999" s="114"/>
      <c r="AT999" s="143"/>
      <c r="AU999" s="114"/>
      <c r="AV999" s="114"/>
      <c r="AW999" s="114"/>
      <c r="AX999" s="114"/>
      <c r="AY999" s="114"/>
      <c r="AZ999" s="114"/>
      <c r="BA999" s="114"/>
      <c r="BB999" s="114"/>
      <c r="BC999" s="114"/>
    </row>
    <row r="1000" spans="1:55" ht="15.75" customHeight="1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43"/>
      <c r="M1000" s="143"/>
      <c r="N1000" s="143"/>
      <c r="O1000" s="143"/>
      <c r="P1000" s="114"/>
      <c r="Q1000" s="114"/>
      <c r="R1000" s="114"/>
      <c r="S1000" s="143"/>
      <c r="T1000" s="114"/>
      <c r="U1000" s="114"/>
      <c r="V1000" s="114"/>
      <c r="W1000" s="114"/>
      <c r="X1000" s="114"/>
      <c r="Y1000" s="114"/>
      <c r="Z1000" s="143"/>
      <c r="AA1000" s="114"/>
      <c r="AB1000" s="114"/>
      <c r="AC1000" s="114"/>
      <c r="AD1000" s="143"/>
      <c r="AE1000" s="114"/>
      <c r="AF1000" s="114"/>
      <c r="AG1000" s="143"/>
      <c r="AH1000" s="114"/>
      <c r="AI1000" s="114"/>
      <c r="AJ1000" s="114"/>
      <c r="AK1000" s="114"/>
      <c r="AL1000" s="114"/>
      <c r="AM1000" s="114"/>
      <c r="AN1000" s="114"/>
      <c r="AO1000" s="114"/>
      <c r="AP1000" s="114"/>
      <c r="AQ1000" s="114"/>
      <c r="AR1000" s="114"/>
      <c r="AS1000" s="114"/>
      <c r="AT1000" s="143"/>
      <c r="AU1000" s="114"/>
      <c r="AV1000" s="114"/>
      <c r="AW1000" s="114"/>
      <c r="AX1000" s="114"/>
      <c r="AY1000" s="114"/>
      <c r="AZ1000" s="114"/>
      <c r="BA1000" s="114"/>
      <c r="BB1000" s="114"/>
      <c r="BC1000" s="114"/>
    </row>
  </sheetData>
  <mergeCells count="59">
    <mergeCell ref="A33:B33"/>
    <mergeCell ref="A54:B54"/>
    <mergeCell ref="A76:B76"/>
    <mergeCell ref="A91:B91"/>
    <mergeCell ref="A106:B106"/>
    <mergeCell ref="AU7:AV7"/>
    <mergeCell ref="A6:B8"/>
    <mergeCell ref="A9:B9"/>
    <mergeCell ref="A15:B15"/>
    <mergeCell ref="C7:C8"/>
    <mergeCell ref="D7:D8"/>
    <mergeCell ref="E7:E8"/>
    <mergeCell ref="F7:F8"/>
    <mergeCell ref="G7:G8"/>
    <mergeCell ref="I7:J7"/>
    <mergeCell ref="K7:M7"/>
    <mergeCell ref="AQ6:AQ7"/>
    <mergeCell ref="AR6:AT6"/>
    <mergeCell ref="AE6:AG6"/>
    <mergeCell ref="T6:V6"/>
    <mergeCell ref="C5:O5"/>
    <mergeCell ref="C6:G6"/>
    <mergeCell ref="I6:O6"/>
    <mergeCell ref="N7:O7"/>
    <mergeCell ref="R7:S7"/>
    <mergeCell ref="P6:P7"/>
    <mergeCell ref="Q6:S6"/>
    <mergeCell ref="BB7:BC7"/>
    <mergeCell ref="P5:V5"/>
    <mergeCell ref="W5:Z5"/>
    <mergeCell ref="AA5:AG5"/>
    <mergeCell ref="AQ5:AZ5"/>
    <mergeCell ref="BA5:BC6"/>
    <mergeCell ref="AH6:AH7"/>
    <mergeCell ref="AU6:AZ6"/>
    <mergeCell ref="U7:U8"/>
    <mergeCell ref="V7:V8"/>
    <mergeCell ref="Y7:Z7"/>
    <mergeCell ref="AC7:AD7"/>
    <mergeCell ref="AF7:AG7"/>
    <mergeCell ref="AA6:AA7"/>
    <mergeCell ref="AB6:AD6"/>
    <mergeCell ref="AS7:AT7"/>
    <mergeCell ref="W6:W7"/>
    <mergeCell ref="X6:Z6"/>
    <mergeCell ref="A2:B4"/>
    <mergeCell ref="C2:AG2"/>
    <mergeCell ref="AH2:BC2"/>
    <mergeCell ref="C3:AG3"/>
    <mergeCell ref="AH3:BC3"/>
    <mergeCell ref="C4:AG4"/>
    <mergeCell ref="AH4:BC4"/>
    <mergeCell ref="AH5:AP5"/>
    <mergeCell ref="AI6:AM6"/>
    <mergeCell ref="AN6:AP6"/>
    <mergeCell ref="AJ7:AK7"/>
    <mergeCell ref="AL7:AM7"/>
    <mergeCell ref="AO7:AP7"/>
    <mergeCell ref="AW7:AZ7"/>
  </mergeCells>
  <printOptions horizontalCentered="1"/>
  <pageMargins left="0.31496062992125984" right="0.31496062992125984" top="0.74803149606299213" bottom="0.74803149606299213" header="0" footer="0"/>
  <pageSetup paperSize="9" scale="45" fitToWidth="0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  <colBreaks count="2" manualBreakCount="2">
    <brk id="22" max="1048575" man="1"/>
    <brk id="42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EAADB"/>
    <pageSetUpPr fitToPage="1"/>
  </sheetPr>
  <dimension ref="A1:X1000"/>
  <sheetViews>
    <sheetView view="pageBreakPreview" zoomScale="60" zoomScaleNormal="100" workbookViewId="0">
      <pane xSplit="2" ySplit="9" topLeftCell="G10" activePane="bottomRight" state="frozen"/>
      <selection activeCell="A15" sqref="A15:B15"/>
      <selection pane="topRight" activeCell="A15" sqref="A15:B15"/>
      <selection pane="bottomLeft" activeCell="A15" sqref="A15:B15"/>
      <selection pane="bottomRight" activeCell="A15" sqref="A15:B15"/>
    </sheetView>
  </sheetViews>
  <sheetFormatPr defaultColWidth="14.44140625" defaultRowHeight="15" customHeight="1"/>
  <cols>
    <col min="1" max="1" width="7.21875" customWidth="1"/>
    <col min="2" max="2" width="45" customWidth="1"/>
    <col min="3" max="4" width="15.109375" customWidth="1"/>
    <col min="5" max="5" width="15.77734375" customWidth="1"/>
    <col min="6" max="10" width="14.77734375" customWidth="1"/>
    <col min="11" max="12" width="15.21875" customWidth="1"/>
    <col min="13" max="13" width="16.77734375" customWidth="1"/>
    <col min="14" max="14" width="14.77734375" bestFit="1" customWidth="1"/>
    <col min="15" max="15" width="8.109375" customWidth="1"/>
    <col min="16" max="16" width="11.109375" customWidth="1"/>
    <col min="17" max="17" width="7.77734375" customWidth="1"/>
    <col min="18" max="18" width="8.77734375" customWidth="1"/>
    <col min="19" max="19" width="11.21875" customWidth="1"/>
    <col min="20" max="20" width="10.77734375" customWidth="1"/>
    <col min="21" max="21" width="8.77734375" customWidth="1"/>
    <col min="22" max="22" width="10.77734375" customWidth="1"/>
    <col min="23" max="23" width="9.77734375" customWidth="1"/>
    <col min="24" max="24" width="8.77734375" customWidth="1"/>
  </cols>
  <sheetData>
    <row r="1" spans="1:24" ht="24" customHeight="1">
      <c r="A1" s="1" t="s">
        <v>204</v>
      </c>
      <c r="B1" s="2"/>
      <c r="C1" s="161"/>
      <c r="D1" s="161"/>
      <c r="E1" s="117"/>
      <c r="F1" s="161"/>
      <c r="G1" s="161"/>
      <c r="H1" s="161"/>
      <c r="I1" s="161"/>
      <c r="J1" s="161"/>
      <c r="K1" s="3"/>
      <c r="L1" s="117"/>
      <c r="M1" s="117"/>
      <c r="N1" s="117"/>
      <c r="O1" s="117"/>
      <c r="P1" s="162"/>
      <c r="Q1" s="162"/>
      <c r="R1" s="162"/>
      <c r="S1" s="162"/>
      <c r="T1" s="162"/>
      <c r="U1" s="162"/>
      <c r="V1" s="162"/>
      <c r="W1" s="162"/>
      <c r="X1" s="162"/>
    </row>
    <row r="2" spans="1:24" ht="24" customHeight="1">
      <c r="A2" s="681" t="s">
        <v>1</v>
      </c>
      <c r="B2" s="682"/>
      <c r="C2" s="730" t="s">
        <v>205</v>
      </c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7"/>
    </row>
    <row r="3" spans="1:24" ht="24" customHeight="1">
      <c r="A3" s="660"/>
      <c r="B3" s="661"/>
      <c r="C3" s="747" t="s">
        <v>206</v>
      </c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4"/>
    </row>
    <row r="4" spans="1:24" ht="24" customHeight="1">
      <c r="A4" s="683"/>
      <c r="B4" s="684"/>
      <c r="C4" s="748" t="s">
        <v>207</v>
      </c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  <c r="S4" s="651"/>
      <c r="T4" s="651"/>
      <c r="U4" s="651"/>
      <c r="V4" s="651"/>
      <c r="W4" s="651"/>
      <c r="X4" s="654"/>
    </row>
    <row r="5" spans="1:24" ht="30" customHeight="1">
      <c r="A5" s="6"/>
      <c r="B5" s="7"/>
      <c r="C5" s="650" t="s">
        <v>5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4"/>
      <c r="P5" s="749" t="s">
        <v>208</v>
      </c>
      <c r="Q5" s="651"/>
      <c r="R5" s="651"/>
      <c r="S5" s="651"/>
      <c r="T5" s="651"/>
      <c r="U5" s="651"/>
      <c r="V5" s="651"/>
      <c r="W5" s="651"/>
      <c r="X5" s="654"/>
    </row>
    <row r="6" spans="1:24" ht="36" customHeight="1">
      <c r="A6" s="658" t="s">
        <v>8</v>
      </c>
      <c r="B6" s="659"/>
      <c r="C6" s="653" t="s">
        <v>9</v>
      </c>
      <c r="D6" s="651"/>
      <c r="E6" s="651"/>
      <c r="F6" s="651"/>
      <c r="G6" s="654"/>
      <c r="H6" s="8" t="s">
        <v>10</v>
      </c>
      <c r="I6" s="655" t="s">
        <v>11</v>
      </c>
      <c r="J6" s="651"/>
      <c r="K6" s="651"/>
      <c r="L6" s="651"/>
      <c r="M6" s="651"/>
      <c r="N6" s="651"/>
      <c r="O6" s="654"/>
      <c r="P6" s="745" t="s">
        <v>209</v>
      </c>
      <c r="Q6" s="651"/>
      <c r="R6" s="654"/>
      <c r="S6" s="746" t="s">
        <v>210</v>
      </c>
      <c r="T6" s="651"/>
      <c r="U6" s="654"/>
      <c r="V6" s="746" t="s">
        <v>211</v>
      </c>
      <c r="W6" s="651"/>
      <c r="X6" s="654"/>
    </row>
    <row r="7" spans="1:24" ht="24" customHeight="1">
      <c r="A7" s="660"/>
      <c r="B7" s="661"/>
      <c r="C7" s="702" t="s">
        <v>16</v>
      </c>
      <c r="D7" s="704" t="s">
        <v>17</v>
      </c>
      <c r="E7" s="705" t="s">
        <v>18</v>
      </c>
      <c r="F7" s="664" t="s">
        <v>19</v>
      </c>
      <c r="G7" s="666" t="s">
        <v>20</v>
      </c>
      <c r="H7" s="9" t="s">
        <v>21</v>
      </c>
      <c r="I7" s="667" t="s">
        <v>22</v>
      </c>
      <c r="J7" s="668"/>
      <c r="K7" s="669" t="s">
        <v>21</v>
      </c>
      <c r="L7" s="670"/>
      <c r="M7" s="671"/>
      <c r="N7" s="672" t="s">
        <v>23</v>
      </c>
      <c r="O7" s="671"/>
      <c r="P7" s="118" t="s">
        <v>24</v>
      </c>
      <c r="Q7" s="706" t="s">
        <v>25</v>
      </c>
      <c r="R7" s="654"/>
      <c r="S7" s="118" t="s">
        <v>24</v>
      </c>
      <c r="T7" s="706" t="s">
        <v>25</v>
      </c>
      <c r="U7" s="654"/>
      <c r="V7" s="118" t="s">
        <v>24</v>
      </c>
      <c r="W7" s="706" t="s">
        <v>25</v>
      </c>
      <c r="X7" s="654"/>
    </row>
    <row r="8" spans="1:24" ht="24" customHeight="1">
      <c r="A8" s="662"/>
      <c r="B8" s="663"/>
      <c r="C8" s="703"/>
      <c r="D8" s="665"/>
      <c r="E8" s="665"/>
      <c r="F8" s="665"/>
      <c r="G8" s="665"/>
      <c r="H8" s="9"/>
      <c r="I8" s="11" t="s">
        <v>26</v>
      </c>
      <c r="J8" s="12" t="s">
        <v>27</v>
      </c>
      <c r="K8" s="11" t="s">
        <v>26</v>
      </c>
      <c r="L8" s="13" t="s">
        <v>28</v>
      </c>
      <c r="M8" s="14" t="s">
        <v>29</v>
      </c>
      <c r="N8" s="15" t="s">
        <v>26</v>
      </c>
      <c r="O8" s="15" t="s">
        <v>27</v>
      </c>
      <c r="P8" s="16" t="s">
        <v>32</v>
      </c>
      <c r="Q8" s="119" t="s">
        <v>31</v>
      </c>
      <c r="R8" s="119" t="s">
        <v>27</v>
      </c>
      <c r="S8" s="16" t="s">
        <v>32</v>
      </c>
      <c r="T8" s="119" t="s">
        <v>31</v>
      </c>
      <c r="U8" s="119" t="s">
        <v>27</v>
      </c>
      <c r="V8" s="16" t="s">
        <v>32</v>
      </c>
      <c r="W8" s="119" t="s">
        <v>31</v>
      </c>
      <c r="X8" s="119" t="s">
        <v>27</v>
      </c>
    </row>
    <row r="9" spans="1:24" ht="27.75" customHeight="1">
      <c r="A9" s="674" t="s">
        <v>34</v>
      </c>
      <c r="B9" s="675"/>
      <c r="C9" s="20">
        <f t="shared" ref="C9:C119" ca="1" si="0">D9+G9</f>
        <v>60867500</v>
      </c>
      <c r="D9" s="163">
        <f t="shared" ref="D9:F9" ca="1" si="1">D10+D11</f>
        <v>29783800</v>
      </c>
      <c r="E9" s="22">
        <f t="shared" ca="1" si="1"/>
        <v>11000000</v>
      </c>
      <c r="F9" s="164">
        <f t="shared" ca="1" si="1"/>
        <v>18783800</v>
      </c>
      <c r="G9" s="24">
        <f t="shared" ref="G9:H9" ca="1" si="2">G10+G11+G14</f>
        <v>31083700</v>
      </c>
      <c r="H9" s="25">
        <f t="shared" ca="1" si="2"/>
        <v>21425000</v>
      </c>
      <c r="I9" s="26">
        <f t="shared" ref="I9:I105" ca="1" si="3">K9+N9</f>
        <v>36929625.509999998</v>
      </c>
      <c r="J9" s="122">
        <f t="shared" ref="J9:J105" ca="1" si="4">IF(C9&gt;0,I9*100/C9,0)</f>
        <v>60.672157571774754</v>
      </c>
      <c r="K9" s="26">
        <f ca="1">K10+K11+K14</f>
        <v>7133925.5099999998</v>
      </c>
      <c r="L9" s="122">
        <f t="shared" ref="L9:L105" ca="1" si="5">IF(D9&gt;0,K9*100/D9,0)</f>
        <v>23.952368435189598</v>
      </c>
      <c r="M9" s="122">
        <f t="shared" ref="M9:M105" ca="1" si="6">IF(H9&gt;0,K9*100/H9,0)</f>
        <v>33.297201913652273</v>
      </c>
      <c r="N9" s="122">
        <f ca="1">N10+N11+N14</f>
        <v>29795700</v>
      </c>
      <c r="O9" s="122">
        <f t="shared" ref="O9:O105" ca="1" si="7">IF(G9&gt;0,N9*100/G9,0)</f>
        <v>95.856349147624002</v>
      </c>
      <c r="P9" s="165">
        <f t="shared" ref="P9:Q9" ca="1" si="8">P10+P11</f>
        <v>1155</v>
      </c>
      <c r="Q9" s="31">
        <f t="shared" ca="1" si="8"/>
        <v>992</v>
      </c>
      <c r="R9" s="123">
        <f t="shared" ref="R9:R106" ca="1" si="9">IF(P9&gt;0,Q9*100/P9,0)</f>
        <v>85.887445887445892</v>
      </c>
      <c r="S9" s="165">
        <f t="shared" ref="S9:T9" ca="1" si="10">S10+S11</f>
        <v>955</v>
      </c>
      <c r="T9" s="31">
        <f t="shared" ca="1" si="10"/>
        <v>955</v>
      </c>
      <c r="U9" s="123">
        <f t="shared" ref="U9:U106" ca="1" si="11">IF(S9&gt;0,T9*100/S9,0)</f>
        <v>100</v>
      </c>
      <c r="V9" s="165">
        <f t="shared" ref="V9:W9" ca="1" si="12">V10+V11</f>
        <v>200</v>
      </c>
      <c r="W9" s="31">
        <f t="shared" ca="1" si="12"/>
        <v>37</v>
      </c>
      <c r="X9" s="123">
        <f t="shared" ref="X9:X106" ca="1" si="13">IF(V9&gt;0,W9*100/V9,0)</f>
        <v>18.5</v>
      </c>
    </row>
    <row r="10" spans="1:24" ht="28.5" customHeight="1">
      <c r="A10" s="33" t="s">
        <v>35</v>
      </c>
      <c r="B10" s="34"/>
      <c r="C10" s="124">
        <f t="shared" ca="1" si="0"/>
        <v>1369625</v>
      </c>
      <c r="D10" s="166">
        <f t="shared" ref="D10:H10" ca="1" si="14">+D15+D33+D54+D76</f>
        <v>1369625</v>
      </c>
      <c r="E10" s="36">
        <f t="shared" ca="1" si="14"/>
        <v>0</v>
      </c>
      <c r="F10" s="166">
        <f t="shared" ca="1" si="14"/>
        <v>1369625</v>
      </c>
      <c r="G10" s="36">
        <f t="shared" ca="1" si="14"/>
        <v>0</v>
      </c>
      <c r="H10" s="36">
        <f t="shared" ca="1" si="14"/>
        <v>1369625</v>
      </c>
      <c r="I10" s="36">
        <f t="shared" ca="1" si="3"/>
        <v>1316836.6000000001</v>
      </c>
      <c r="J10" s="125">
        <f t="shared" ca="1" si="4"/>
        <v>96.145777128776132</v>
      </c>
      <c r="K10" s="36">
        <f ca="1">+K15+K33+K54+K76</f>
        <v>1316836.6000000001</v>
      </c>
      <c r="L10" s="125">
        <f t="shared" ca="1" si="5"/>
        <v>96.145777128776132</v>
      </c>
      <c r="M10" s="125">
        <f t="shared" ca="1" si="6"/>
        <v>96.145777128776132</v>
      </c>
      <c r="N10" s="125">
        <f ca="1">+N15+N33+N54+N76</f>
        <v>0</v>
      </c>
      <c r="O10" s="125">
        <f t="shared" ca="1" si="7"/>
        <v>0</v>
      </c>
      <c r="P10" s="39">
        <f t="shared" ref="P10:Q10" ca="1" si="15">+P15+P33+P54+P76</f>
        <v>955</v>
      </c>
      <c r="Q10" s="36">
        <f t="shared" ca="1" si="15"/>
        <v>955</v>
      </c>
      <c r="R10" s="125">
        <f t="shared" ca="1" si="9"/>
        <v>100</v>
      </c>
      <c r="S10" s="39">
        <f t="shared" ref="S10:T10" ca="1" si="16">+S15+S33+S54+S76</f>
        <v>955</v>
      </c>
      <c r="T10" s="36">
        <f t="shared" ca="1" si="16"/>
        <v>955</v>
      </c>
      <c r="U10" s="125">
        <f t="shared" ca="1" si="11"/>
        <v>100</v>
      </c>
      <c r="V10" s="39">
        <f t="shared" ref="V10:W10" ca="1" si="17">+V15+V33+V54+V76</f>
        <v>0</v>
      </c>
      <c r="W10" s="36">
        <f t="shared" si="17"/>
        <v>0</v>
      </c>
      <c r="X10" s="125">
        <f t="shared" ca="1" si="13"/>
        <v>0</v>
      </c>
    </row>
    <row r="11" spans="1:24" ht="28.5" customHeight="1">
      <c r="A11" s="42" t="s">
        <v>373</v>
      </c>
      <c r="B11" s="43"/>
      <c r="C11" s="126">
        <f t="shared" ca="1" si="0"/>
        <v>59497875</v>
      </c>
      <c r="D11" s="167">
        <f t="shared" ref="D11:H11" ca="1" si="18">+D12+D13</f>
        <v>28414175</v>
      </c>
      <c r="E11" s="45">
        <f t="shared" ca="1" si="18"/>
        <v>11000000</v>
      </c>
      <c r="F11" s="167">
        <f t="shared" ca="1" si="18"/>
        <v>17414175</v>
      </c>
      <c r="G11" s="45">
        <f t="shared" ca="1" si="18"/>
        <v>31083700</v>
      </c>
      <c r="H11" s="45">
        <f t="shared" ca="1" si="18"/>
        <v>20055375</v>
      </c>
      <c r="I11" s="45">
        <f t="shared" ca="1" si="3"/>
        <v>35612788.909999996</v>
      </c>
      <c r="J11" s="127">
        <f t="shared" ca="1" si="4"/>
        <v>59.855564438225727</v>
      </c>
      <c r="K11" s="45">
        <f ca="1">+K12+K13</f>
        <v>5817088.9100000001</v>
      </c>
      <c r="L11" s="127">
        <f t="shared" ca="1" si="5"/>
        <v>20.472489206531598</v>
      </c>
      <c r="M11" s="127">
        <f t="shared" ca="1" si="6"/>
        <v>29.005136578099389</v>
      </c>
      <c r="N11" s="127">
        <f ca="1">+N12+N13</f>
        <v>29795700</v>
      </c>
      <c r="O11" s="127">
        <f t="shared" ca="1" si="7"/>
        <v>95.856349147624002</v>
      </c>
      <c r="P11" s="48">
        <f t="shared" ref="P11:Q11" ca="1" si="19">+P12+P13</f>
        <v>200</v>
      </c>
      <c r="Q11" s="45">
        <f t="shared" ca="1" si="19"/>
        <v>37</v>
      </c>
      <c r="R11" s="127">
        <f t="shared" ca="1" si="9"/>
        <v>18.5</v>
      </c>
      <c r="S11" s="48">
        <f t="shared" ref="S11:T11" ca="1" si="20">+S12+S13</f>
        <v>0</v>
      </c>
      <c r="T11" s="45">
        <f t="shared" si="20"/>
        <v>0</v>
      </c>
      <c r="U11" s="127">
        <f t="shared" ca="1" si="11"/>
        <v>0</v>
      </c>
      <c r="V11" s="48">
        <f t="shared" ref="V11:W11" ca="1" si="21">+V12+V13</f>
        <v>200</v>
      </c>
      <c r="W11" s="45">
        <f t="shared" ca="1" si="21"/>
        <v>37</v>
      </c>
      <c r="X11" s="127">
        <f t="shared" ca="1" si="13"/>
        <v>18.5</v>
      </c>
    </row>
    <row r="12" spans="1:24" ht="28.5" hidden="1" customHeight="1">
      <c r="A12" s="42" t="s">
        <v>36</v>
      </c>
      <c r="B12" s="43"/>
      <c r="C12" s="126">
        <f t="shared" ca="1" si="0"/>
        <v>48497875</v>
      </c>
      <c r="D12" s="167">
        <f t="shared" ref="D12:H12" ca="1" si="22">+D91</f>
        <v>17414175</v>
      </c>
      <c r="E12" s="45">
        <f t="shared" ca="1" si="22"/>
        <v>0</v>
      </c>
      <c r="F12" s="167">
        <f t="shared" ca="1" si="22"/>
        <v>17414175</v>
      </c>
      <c r="G12" s="45">
        <f t="shared" ca="1" si="22"/>
        <v>31083700</v>
      </c>
      <c r="H12" s="45">
        <f t="shared" ca="1" si="22"/>
        <v>15718175</v>
      </c>
      <c r="I12" s="45">
        <f t="shared" ca="1" si="3"/>
        <v>35612788.909999996</v>
      </c>
      <c r="J12" s="127">
        <f t="shared" ca="1" si="4"/>
        <v>73.431648108293402</v>
      </c>
      <c r="K12" s="45">
        <f ca="1">+K91</f>
        <v>5817088.9100000001</v>
      </c>
      <c r="L12" s="127">
        <f t="shared" ca="1" si="5"/>
        <v>33.404332447560677</v>
      </c>
      <c r="M12" s="127">
        <f t="shared" ca="1" si="6"/>
        <v>37.008678870161454</v>
      </c>
      <c r="N12" s="127">
        <f ca="1">+N91</f>
        <v>29795700</v>
      </c>
      <c r="O12" s="127">
        <f t="shared" ca="1" si="7"/>
        <v>95.856349147624002</v>
      </c>
      <c r="P12" s="48">
        <f ca="1">+P91</f>
        <v>200</v>
      </c>
      <c r="Q12" s="45">
        <f ca="1">W12</f>
        <v>37</v>
      </c>
      <c r="R12" s="127">
        <f t="shared" ca="1" si="9"/>
        <v>18.5</v>
      </c>
      <c r="S12" s="48">
        <f t="shared" ref="S12:T12" ca="1" si="23">+S91</f>
        <v>0</v>
      </c>
      <c r="T12" s="45">
        <f t="shared" si="23"/>
        <v>0</v>
      </c>
      <c r="U12" s="127">
        <f t="shared" ca="1" si="11"/>
        <v>0</v>
      </c>
      <c r="V12" s="48">
        <f t="shared" ref="V12:W12" ca="1" si="24">+V91</f>
        <v>200</v>
      </c>
      <c r="W12" s="45">
        <f t="shared" ca="1" si="24"/>
        <v>37</v>
      </c>
      <c r="X12" s="127">
        <f t="shared" ca="1" si="13"/>
        <v>18.5</v>
      </c>
    </row>
    <row r="13" spans="1:24" ht="28.5" hidden="1" customHeight="1">
      <c r="A13" s="42" t="s">
        <v>37</v>
      </c>
      <c r="B13" s="43"/>
      <c r="C13" s="126">
        <f t="shared" ca="1" si="0"/>
        <v>11000000</v>
      </c>
      <c r="D13" s="167">
        <f t="shared" ref="D13:H13" ca="1" si="25">+D106</f>
        <v>11000000</v>
      </c>
      <c r="E13" s="45">
        <f t="shared" ca="1" si="25"/>
        <v>11000000</v>
      </c>
      <c r="F13" s="167">
        <f t="shared" ca="1" si="25"/>
        <v>0</v>
      </c>
      <c r="G13" s="45">
        <f t="shared" ca="1" si="25"/>
        <v>0</v>
      </c>
      <c r="H13" s="45">
        <f t="shared" ca="1" si="25"/>
        <v>4337200</v>
      </c>
      <c r="I13" s="45">
        <f t="shared" ca="1" si="3"/>
        <v>0</v>
      </c>
      <c r="J13" s="127">
        <f t="shared" ca="1" si="4"/>
        <v>0</v>
      </c>
      <c r="K13" s="45">
        <f ca="1">+K106</f>
        <v>0</v>
      </c>
      <c r="L13" s="127">
        <f t="shared" ca="1" si="5"/>
        <v>0</v>
      </c>
      <c r="M13" s="127">
        <f t="shared" ca="1" si="6"/>
        <v>0</v>
      </c>
      <c r="N13" s="127">
        <f ca="1">+N106</f>
        <v>0</v>
      </c>
      <c r="O13" s="127">
        <f t="shared" ca="1" si="7"/>
        <v>0</v>
      </c>
      <c r="P13" s="48">
        <f t="shared" ref="P13:Q13" si="26">+P106</f>
        <v>0</v>
      </c>
      <c r="Q13" s="45">
        <f t="shared" si="26"/>
        <v>0</v>
      </c>
      <c r="R13" s="127">
        <f t="shared" si="9"/>
        <v>0</v>
      </c>
      <c r="S13" s="48">
        <f t="shared" ref="S13:T13" si="27">+S106</f>
        <v>0</v>
      </c>
      <c r="T13" s="45">
        <f t="shared" si="27"/>
        <v>0</v>
      </c>
      <c r="U13" s="127">
        <f t="shared" si="11"/>
        <v>0</v>
      </c>
      <c r="V13" s="48">
        <f t="shared" ref="V13:W13" si="28">+V106</f>
        <v>0</v>
      </c>
      <c r="W13" s="45">
        <f t="shared" si="28"/>
        <v>0</v>
      </c>
      <c r="X13" s="127">
        <f t="shared" si="13"/>
        <v>0</v>
      </c>
    </row>
    <row r="14" spans="1:24" ht="28.5" hidden="1" customHeight="1">
      <c r="A14" s="51" t="s">
        <v>38</v>
      </c>
      <c r="B14" s="52"/>
      <c r="C14" s="128">
        <f t="shared" si="0"/>
        <v>0</v>
      </c>
      <c r="D14" s="168">
        <v>0</v>
      </c>
      <c r="E14" s="129">
        <v>0</v>
      </c>
      <c r="F14" s="168">
        <v>0</v>
      </c>
      <c r="G14" s="130">
        <v>0</v>
      </c>
      <c r="H14" s="130">
        <v>0</v>
      </c>
      <c r="I14" s="130">
        <f t="shared" si="3"/>
        <v>0</v>
      </c>
      <c r="J14" s="131">
        <f t="shared" si="4"/>
        <v>0</v>
      </c>
      <c r="K14" s="54">
        <v>0</v>
      </c>
      <c r="L14" s="131">
        <f t="shared" si="5"/>
        <v>0</v>
      </c>
      <c r="M14" s="132">
        <f t="shared" si="6"/>
        <v>0</v>
      </c>
      <c r="N14" s="132">
        <v>0</v>
      </c>
      <c r="O14" s="132">
        <f t="shared" si="7"/>
        <v>0</v>
      </c>
      <c r="P14" s="169">
        <f>+S14+V14</f>
        <v>0</v>
      </c>
      <c r="Q14" s="129">
        <v>0</v>
      </c>
      <c r="R14" s="134">
        <f t="shared" si="9"/>
        <v>0</v>
      </c>
      <c r="S14" s="169">
        <v>0</v>
      </c>
      <c r="T14" s="129">
        <v>0</v>
      </c>
      <c r="U14" s="134">
        <f t="shared" si="11"/>
        <v>0</v>
      </c>
      <c r="V14" s="169">
        <v>0</v>
      </c>
      <c r="W14" s="129">
        <v>0</v>
      </c>
      <c r="X14" s="134">
        <f t="shared" si="13"/>
        <v>0</v>
      </c>
    </row>
    <row r="15" spans="1:24" ht="28.5" customHeight="1">
      <c r="A15" s="676" t="s">
        <v>39</v>
      </c>
      <c r="B15" s="654"/>
      <c r="C15" s="58">
        <f t="shared" ca="1" si="0"/>
        <v>332510</v>
      </c>
      <c r="D15" s="170">
        <f t="shared" ref="D15:H15" ca="1" si="29">SUM(D16:D32)</f>
        <v>332510</v>
      </c>
      <c r="E15" s="135">
        <f t="shared" ca="1" si="29"/>
        <v>0</v>
      </c>
      <c r="F15" s="170">
        <f t="shared" ca="1" si="29"/>
        <v>332510</v>
      </c>
      <c r="G15" s="59">
        <f t="shared" ca="1" si="29"/>
        <v>0</v>
      </c>
      <c r="H15" s="59">
        <f t="shared" ca="1" si="29"/>
        <v>332510</v>
      </c>
      <c r="I15" s="59">
        <f t="shared" ca="1" si="3"/>
        <v>306406</v>
      </c>
      <c r="J15" s="135">
        <f t="shared" ca="1" si="4"/>
        <v>92.149409040329616</v>
      </c>
      <c r="K15" s="59">
        <f ca="1">SUM(K16:K32)</f>
        <v>306406</v>
      </c>
      <c r="L15" s="135">
        <f t="shared" ca="1" si="5"/>
        <v>92.149409040329616</v>
      </c>
      <c r="M15" s="135">
        <f t="shared" ca="1" si="6"/>
        <v>92.149409040329616</v>
      </c>
      <c r="N15" s="135">
        <f ca="1">SUM(N16:N32)</f>
        <v>0</v>
      </c>
      <c r="O15" s="135">
        <f t="shared" ca="1" si="7"/>
        <v>0</v>
      </c>
      <c r="P15" s="62">
        <f t="shared" ref="P15:Q15" ca="1" si="30">SUM(P16:P32)</f>
        <v>234</v>
      </c>
      <c r="Q15" s="59">
        <f t="shared" ca="1" si="30"/>
        <v>234</v>
      </c>
      <c r="R15" s="135">
        <f t="shared" ca="1" si="9"/>
        <v>100</v>
      </c>
      <c r="S15" s="62">
        <f t="shared" ref="S15:T15" ca="1" si="31">SUM(S16:S32)</f>
        <v>234</v>
      </c>
      <c r="T15" s="59">
        <f t="shared" ca="1" si="31"/>
        <v>234</v>
      </c>
      <c r="U15" s="135">
        <f t="shared" ca="1" si="11"/>
        <v>100</v>
      </c>
      <c r="V15" s="62">
        <f t="shared" ref="V15:W15" ca="1" si="32">SUM(V16:V32)</f>
        <v>0</v>
      </c>
      <c r="W15" s="59">
        <f t="shared" si="32"/>
        <v>0</v>
      </c>
      <c r="X15" s="135">
        <f t="shared" ca="1" si="13"/>
        <v>0</v>
      </c>
    </row>
    <row r="16" spans="1:24" ht="24" customHeight="1">
      <c r="A16" s="63">
        <v>1</v>
      </c>
      <c r="B16" s="64" t="s">
        <v>40</v>
      </c>
      <c r="C16" s="65">
        <f t="shared" ca="1" si="0"/>
        <v>21125</v>
      </c>
      <c r="D16" s="171">
        <f t="shared" ref="D16:D32" ca="1" si="33">+E16+F16</f>
        <v>21125</v>
      </c>
      <c r="E16" s="136">
        <f ca="1">IFERROR(__xludf.DUMMYFUNCTION("IMPORTRANGE(""https://docs.google.com/spreadsheets/d/1C3CXT74ZlgGe6_JY_1olB1XN4rF0dxEuIIF-xsYjHgg/edit?usp=sharing"",""พรบ!AX20"")"),0)</f>
        <v>0</v>
      </c>
      <c r="F16" s="172">
        <f ca="1">IFERROR(__xludf.DUMMYFUNCTION("IMPORTRANGE(""https://docs.google.com/spreadsheets/d/1C3CXT74ZlgGe6_JY_1olB1XN4rF0dxEuIIF-xsYjHgg/edit?usp=sharing"",""พรบ!AY20"")"),21125)</f>
        <v>21125</v>
      </c>
      <c r="G16" s="67">
        <f ca="1">IFERROR(__xludf.DUMMYFUNCTION("IMPORTRANGE(""https://docs.google.com/spreadsheets/d/1Yj_ptqi66GCucihVvJfMjLAmec39IyEx_6qawtMGysU/edit?usp=sharing"",""สบก!BQ20"")"),0)</f>
        <v>0</v>
      </c>
      <c r="H16" s="67">
        <f ca="1">IFERROR(__xludf.DUMMYFUNCTION("IMPORTRANGE(""https://docs.google.com/spreadsheets/d/1Yj_ptqi66GCucihVvJfMjLAmec39IyEx_6qawtMGysU/edit?usp=shBSing"",""สบก!BS20"")"),21125)</f>
        <v>21125</v>
      </c>
      <c r="I16" s="67">
        <f t="shared" ca="1" si="3"/>
        <v>21125</v>
      </c>
      <c r="J16" s="136">
        <f t="shared" ca="1" si="4"/>
        <v>100</v>
      </c>
      <c r="K16" s="67">
        <f ca="1">IFERROR(__xludf.DUMMYFUNCTION("IMPORTRANGE(""https://docs.google.com/spreadsheets/d/1Yj_ptqi66GCucihVvJfMjLAmec39IyEx_6qawtMGysU/edit?usp=sharing"",""สบก!BT20"")"),21125)</f>
        <v>21125</v>
      </c>
      <c r="L16" s="136">
        <f t="shared" ca="1" si="5"/>
        <v>100</v>
      </c>
      <c r="M16" s="136">
        <f t="shared" ca="1" si="6"/>
        <v>100</v>
      </c>
      <c r="N16" s="136">
        <f ca="1">IFERROR(__xludf.DUMMYFUNCTION("IMPORTRANGE(""https://docs.google.com/spreadsheets/d/1Yj_ptqi66GCucihVvJfMjLAmec39IyEx_6qawtMGysU/edit?usp=sharing"",""สบก!BU20"")"),0)</f>
        <v>0</v>
      </c>
      <c r="O16" s="136">
        <f t="shared" ca="1" si="7"/>
        <v>0</v>
      </c>
      <c r="P16" s="71">
        <f t="shared" ref="P16:P32" ca="1" si="34">+S16+V16</f>
        <v>15</v>
      </c>
      <c r="Q16" s="67">
        <f t="shared" ref="Q16:Q32" ca="1" si="35">T16</f>
        <v>15</v>
      </c>
      <c r="R16" s="136">
        <f t="shared" ca="1" si="9"/>
        <v>100</v>
      </c>
      <c r="S16" s="173">
        <f ca="1">IFERROR(__xludf.DUMMYFUNCTION("IMPORTRANGE(""https://docs.google.com/spreadsheets/d/1C3CXT74ZlgGe6_JY_1olB1XN4rF0dxEuIIF-xsYjHgg/edit?usp=sharing"",""พรบ!BA20"")"),15)</f>
        <v>15</v>
      </c>
      <c r="T16" s="67">
        <f ca="1">IFERROR(__xludf.DUMMYFUNCTION("IMPORTRANGE(""https://docs.google.com/spreadsheets/d/11923uPwbBZFjjGgGUA6NLw09EwE0CqkOc4q9oUmW1yo/edit?usp=sharing"",""กำแพงเพชร!J155"")"),15)</f>
        <v>15</v>
      </c>
      <c r="U16" s="136">
        <f t="shared" ca="1" si="11"/>
        <v>100</v>
      </c>
      <c r="V16" s="71">
        <f ca="1">IFERROR(__xludf.DUMMYFUNCTION("IMPORTRANGE(""https://docs.google.com/spreadsheets/d/1C3CXT74ZlgGe6_JY_1olB1XN4rF0dxEuIIF-xsYjHgg/edit?usp=sharing"",""พรบ!BB20"")"),0)</f>
        <v>0</v>
      </c>
      <c r="W16" s="67">
        <v>0</v>
      </c>
      <c r="X16" s="136">
        <f t="shared" ca="1" si="13"/>
        <v>0</v>
      </c>
    </row>
    <row r="17" spans="1:24" ht="24" customHeight="1">
      <c r="A17" s="73">
        <v>2</v>
      </c>
      <c r="B17" s="74" t="s">
        <v>41</v>
      </c>
      <c r="C17" s="75">
        <f t="shared" ca="1" si="0"/>
        <v>20210</v>
      </c>
      <c r="D17" s="174">
        <f t="shared" ca="1" si="33"/>
        <v>20210</v>
      </c>
      <c r="E17" s="137">
        <f ca="1">IFERROR(__xludf.DUMMYFUNCTION("IMPORTRANGE(""https://docs.google.com/spreadsheets/d/1C3CXT74ZlgGe6_JY_1olB1XN4rF0dxEuIIF-xsYjHgg/edit?usp=sharing"",""พรบ!AX21"")"),0)</f>
        <v>0</v>
      </c>
      <c r="F17" s="175">
        <f ca="1">IFERROR(__xludf.DUMMYFUNCTION("IMPORTRANGE(""https://docs.google.com/spreadsheets/d/1C3CXT74ZlgGe6_JY_1olB1XN4rF0dxEuIIF-xsYjHgg/edit?usp=sharing"",""พรบ!AY21"")"),20210)</f>
        <v>20210</v>
      </c>
      <c r="G17" s="77">
        <f ca="1">IFERROR(__xludf.DUMMYFUNCTION("IMPORTRANGE(""https://docs.google.com/spreadsheets/d/1Yj_ptqi66GCucihVvJfMjLAmec39IyEx_6qawtMGysU/edit?usp=sharing"",""สบก!BQ21"")"),0)</f>
        <v>0</v>
      </c>
      <c r="H17" s="77">
        <f ca="1">IFERROR(__xludf.DUMMYFUNCTION("IMPORTRANGE(""https://docs.google.com/spreadsheets/d/1Yj_ptqi66GCucihVvJfMjLAmec39IyEx_6qawtMGysU/edit?usp=shBSing"",""สบก!BS21"")"),20210)</f>
        <v>20210</v>
      </c>
      <c r="I17" s="77">
        <f t="shared" ca="1" si="3"/>
        <v>19940</v>
      </c>
      <c r="J17" s="137">
        <f t="shared" ca="1" si="4"/>
        <v>98.66402770905492</v>
      </c>
      <c r="K17" s="77">
        <f ca="1">IFERROR(__xludf.DUMMYFUNCTION("IMPORTRANGE(""https://docs.google.com/spreadsheets/d/1Yj_ptqi66GCucihVvJfMjLAmec39IyEx_6qawtMGysU/edit?usp=sharing"",""สบก!BT21"")"),19940)</f>
        <v>19940</v>
      </c>
      <c r="L17" s="137">
        <f t="shared" ca="1" si="5"/>
        <v>98.66402770905492</v>
      </c>
      <c r="M17" s="137">
        <f t="shared" ca="1" si="6"/>
        <v>98.66402770905492</v>
      </c>
      <c r="N17" s="137">
        <f ca="1">IFERROR(__xludf.DUMMYFUNCTION("IMPORTRANGE(""https://docs.google.com/spreadsheets/d/1Yj_ptqi66GCucihVvJfMjLAmec39IyEx_6qawtMGysU/edit?usp=sharing"",""สบก!BU21"")"),0)</f>
        <v>0</v>
      </c>
      <c r="O17" s="137">
        <f t="shared" ca="1" si="7"/>
        <v>0</v>
      </c>
      <c r="P17" s="80">
        <f t="shared" ca="1" si="34"/>
        <v>14</v>
      </c>
      <c r="Q17" s="77">
        <f t="shared" ca="1" si="35"/>
        <v>14</v>
      </c>
      <c r="R17" s="137">
        <f t="shared" ca="1" si="9"/>
        <v>100</v>
      </c>
      <c r="S17" s="176">
        <f ca="1">IFERROR(__xludf.DUMMYFUNCTION("IMPORTRANGE(""https://docs.google.com/spreadsheets/d/1C3CXT74ZlgGe6_JY_1olB1XN4rF0dxEuIIF-xsYjHgg/edit?usp=sharing"",""พรบ!BA21"")"),14)</f>
        <v>14</v>
      </c>
      <c r="T17" s="77">
        <f ca="1">IFERROR(__xludf.DUMMYFUNCTION("IMPORTRANGE(""https://docs.google.com/spreadsheets/d/11923uPwbBZFjjGgGUA6NLw09EwE0CqkOc4q9oUmW1yo/edit?usp=sharing"",""เชียงราย!J155"")"),14)</f>
        <v>14</v>
      </c>
      <c r="U17" s="137">
        <f t="shared" ca="1" si="11"/>
        <v>100</v>
      </c>
      <c r="V17" s="80">
        <f ca="1">IFERROR(__xludf.DUMMYFUNCTION("IMPORTRANGE(""https://docs.google.com/spreadsheets/d/1C3CXT74ZlgGe6_JY_1olB1XN4rF0dxEuIIF-xsYjHgg/edit?usp=sharing"",""พรบ!BB21"")"),0)</f>
        <v>0</v>
      </c>
      <c r="W17" s="77">
        <v>0</v>
      </c>
      <c r="X17" s="137">
        <f t="shared" ca="1" si="13"/>
        <v>0</v>
      </c>
    </row>
    <row r="18" spans="1:24" ht="24" customHeight="1">
      <c r="A18" s="73">
        <v>3</v>
      </c>
      <c r="B18" s="74" t="s">
        <v>42</v>
      </c>
      <c r="C18" s="75">
        <f t="shared" ca="1" si="0"/>
        <v>21125</v>
      </c>
      <c r="D18" s="174">
        <f t="shared" ca="1" si="33"/>
        <v>21125</v>
      </c>
      <c r="E18" s="137">
        <f ca="1">IFERROR(__xludf.DUMMYFUNCTION("IMPORTRANGE(""https://docs.google.com/spreadsheets/d/1C3CXT74ZlgGe6_JY_1olB1XN4rF0dxEuIIF-xsYjHgg/edit?usp=sharing"",""พรบ!AX22"")"),0)</f>
        <v>0</v>
      </c>
      <c r="F18" s="175">
        <f ca="1">IFERROR(__xludf.DUMMYFUNCTION("IMPORTRANGE(""https://docs.google.com/spreadsheets/d/1C3CXT74ZlgGe6_JY_1olB1XN4rF0dxEuIIF-xsYjHgg/edit?usp=sharing"",""พรบ!AY22"")"),21125)</f>
        <v>21125</v>
      </c>
      <c r="G18" s="77">
        <f ca="1">IFERROR(__xludf.DUMMYFUNCTION("IMPORTRANGE(""https://docs.google.com/spreadsheets/d/1Yj_ptqi66GCucihVvJfMjLAmec39IyEx_6qawtMGysU/edit?usp=sharing"",""สบก!BQ22"")"),0)</f>
        <v>0</v>
      </c>
      <c r="H18" s="77">
        <f ca="1">IFERROR(__xludf.DUMMYFUNCTION("IMPORTRANGE(""https://docs.google.com/spreadsheets/d/1Yj_ptqi66GCucihVvJfMjLAmec39IyEx_6qawtMGysU/edit?usp=shBSing"",""สบก!BS22"")"),21125)</f>
        <v>21125</v>
      </c>
      <c r="I18" s="77">
        <f t="shared" ca="1" si="3"/>
        <v>20125</v>
      </c>
      <c r="J18" s="137">
        <f t="shared" ca="1" si="4"/>
        <v>95.26627218934911</v>
      </c>
      <c r="K18" s="77">
        <f ca="1">IFERROR(__xludf.DUMMYFUNCTION("IMPORTRANGE(""https://docs.google.com/spreadsheets/d/1Yj_ptqi66GCucihVvJfMjLAmec39IyEx_6qawtMGysU/edit?usp=sharing"",""สบก!BT22"")"),20125)</f>
        <v>20125</v>
      </c>
      <c r="L18" s="137">
        <f t="shared" ca="1" si="5"/>
        <v>95.26627218934911</v>
      </c>
      <c r="M18" s="137">
        <f t="shared" ca="1" si="6"/>
        <v>95.26627218934911</v>
      </c>
      <c r="N18" s="137">
        <f ca="1">IFERROR(__xludf.DUMMYFUNCTION("IMPORTRANGE(""https://docs.google.com/spreadsheets/d/1Yj_ptqi66GCucihVvJfMjLAmec39IyEx_6qawtMGysU/edit?usp=sharing"",""สบก!BU22"")"),0)</f>
        <v>0</v>
      </c>
      <c r="O18" s="137">
        <f t="shared" ca="1" si="7"/>
        <v>0</v>
      </c>
      <c r="P18" s="80">
        <f t="shared" ca="1" si="34"/>
        <v>15</v>
      </c>
      <c r="Q18" s="77">
        <f t="shared" ca="1" si="35"/>
        <v>15</v>
      </c>
      <c r="R18" s="137">
        <f t="shared" ca="1" si="9"/>
        <v>100</v>
      </c>
      <c r="S18" s="177">
        <f ca="1">IFERROR(__xludf.DUMMYFUNCTION("IMPORTRANGE(""https://docs.google.com/spreadsheets/d/1C3CXT74ZlgGe6_JY_1olB1XN4rF0dxEuIIF-xsYjHgg/edit?usp=sharing"",""พรบ!BA22"")"),15)</f>
        <v>15</v>
      </c>
      <c r="T18" s="77">
        <f ca="1">IFERROR(__xludf.DUMMYFUNCTION("IMPORTRANGE(""https://docs.google.com/spreadsheets/d/11923uPwbBZFjjGgGUA6NLw09EwE0CqkOc4q9oUmW1yo/edit?usp=sharing"",""เชียงใหม่!J155"")"),15)</f>
        <v>15</v>
      </c>
      <c r="U18" s="137">
        <f t="shared" ca="1" si="11"/>
        <v>100</v>
      </c>
      <c r="V18" s="80">
        <f ca="1">IFERROR(__xludf.DUMMYFUNCTION("IMPORTRANGE(""https://docs.google.com/spreadsheets/d/1C3CXT74ZlgGe6_JY_1olB1XN4rF0dxEuIIF-xsYjHgg/edit?usp=sharing"",""พรบ!BB22"")"),0)</f>
        <v>0</v>
      </c>
      <c r="W18" s="77">
        <v>0</v>
      </c>
      <c r="X18" s="137">
        <f t="shared" ca="1" si="13"/>
        <v>0</v>
      </c>
    </row>
    <row r="19" spans="1:24" ht="24" customHeight="1">
      <c r="A19" s="73">
        <v>4</v>
      </c>
      <c r="B19" s="74" t="s">
        <v>43</v>
      </c>
      <c r="C19" s="75">
        <f t="shared" ca="1" si="0"/>
        <v>20210</v>
      </c>
      <c r="D19" s="174">
        <f t="shared" ca="1" si="33"/>
        <v>20210</v>
      </c>
      <c r="E19" s="137">
        <f ca="1">IFERROR(__xludf.DUMMYFUNCTION("IMPORTRANGE(""https://docs.google.com/spreadsheets/d/1C3CXT74ZlgGe6_JY_1olB1XN4rF0dxEuIIF-xsYjHgg/edit?usp=sharing"",""พรบ!AX23"")"),0)</f>
        <v>0</v>
      </c>
      <c r="F19" s="175">
        <f ca="1">IFERROR(__xludf.DUMMYFUNCTION("IMPORTRANGE(""https://docs.google.com/spreadsheets/d/1C3CXT74ZlgGe6_JY_1olB1XN4rF0dxEuIIF-xsYjHgg/edit?usp=sharing"",""พรบ!AY23"")"),20210)</f>
        <v>20210</v>
      </c>
      <c r="G19" s="77">
        <f ca="1">IFERROR(__xludf.DUMMYFUNCTION("IMPORTRANGE(""https://docs.google.com/spreadsheets/d/1Yj_ptqi66GCucihVvJfMjLAmec39IyEx_6qawtMGysU/edit?usp=sharing"",""สบก!BQ23"")"),0)</f>
        <v>0</v>
      </c>
      <c r="H19" s="77">
        <f ca="1">IFERROR(__xludf.DUMMYFUNCTION("IMPORTRANGE(""https://docs.google.com/spreadsheets/d/1Yj_ptqi66GCucihVvJfMjLAmec39IyEx_6qawtMGysU/edit?usp=shBSing"",""สบก!BS23"")"),20210)</f>
        <v>20210</v>
      </c>
      <c r="I19" s="77">
        <f t="shared" ca="1" si="3"/>
        <v>20210</v>
      </c>
      <c r="J19" s="137">
        <f t="shared" ca="1" si="4"/>
        <v>100</v>
      </c>
      <c r="K19" s="77">
        <f ca="1">IFERROR(__xludf.DUMMYFUNCTION("IMPORTRANGE(""https://docs.google.com/spreadsheets/d/1Yj_ptqi66GCucihVvJfMjLAmec39IyEx_6qawtMGysU/edit?usp=sharing"",""สบก!BT23"")"),20210)</f>
        <v>20210</v>
      </c>
      <c r="L19" s="137">
        <f t="shared" ca="1" si="5"/>
        <v>100</v>
      </c>
      <c r="M19" s="137">
        <f t="shared" ca="1" si="6"/>
        <v>100</v>
      </c>
      <c r="N19" s="137">
        <f ca="1">IFERROR(__xludf.DUMMYFUNCTION("IMPORTRANGE(""https://docs.google.com/spreadsheets/d/1Yj_ptqi66GCucihVvJfMjLAmec39IyEx_6qawtMGysU/edit?usp=sharing"",""สบก!BU23"")"),0)</f>
        <v>0</v>
      </c>
      <c r="O19" s="137">
        <f t="shared" ca="1" si="7"/>
        <v>0</v>
      </c>
      <c r="P19" s="80">
        <f t="shared" ca="1" si="34"/>
        <v>14</v>
      </c>
      <c r="Q19" s="77">
        <f t="shared" ca="1" si="35"/>
        <v>14</v>
      </c>
      <c r="R19" s="137">
        <f t="shared" ca="1" si="9"/>
        <v>100</v>
      </c>
      <c r="S19" s="177">
        <f ca="1">IFERROR(__xludf.DUMMYFUNCTION("IMPORTRANGE(""https://docs.google.com/spreadsheets/d/1C3CXT74ZlgGe6_JY_1olB1XN4rF0dxEuIIF-xsYjHgg/edit?usp=sharing"",""พรบ!BA23"")"),14)</f>
        <v>14</v>
      </c>
      <c r="T19" s="77">
        <f ca="1">IFERROR(__xludf.DUMMYFUNCTION("IMPORTRANGE(""https://docs.google.com/spreadsheets/d/11923uPwbBZFjjGgGUA6NLw09EwE0CqkOc4q9oUmW1yo/edit?usp=sharing"",""ตาก!J155"")"),14)</f>
        <v>14</v>
      </c>
      <c r="U19" s="137">
        <f t="shared" ca="1" si="11"/>
        <v>100</v>
      </c>
      <c r="V19" s="80">
        <f ca="1">IFERROR(__xludf.DUMMYFUNCTION("IMPORTRANGE(""https://docs.google.com/spreadsheets/d/1C3CXT74ZlgGe6_JY_1olB1XN4rF0dxEuIIF-xsYjHgg/edit?usp=sharing"",""พรบ!BB23"")"),0)</f>
        <v>0</v>
      </c>
      <c r="W19" s="77">
        <v>0</v>
      </c>
      <c r="X19" s="137">
        <f t="shared" ca="1" si="13"/>
        <v>0</v>
      </c>
    </row>
    <row r="20" spans="1:24" ht="24" customHeight="1">
      <c r="A20" s="73">
        <v>5</v>
      </c>
      <c r="B20" s="74" t="s">
        <v>44</v>
      </c>
      <c r="C20" s="75">
        <f t="shared" ca="1" si="0"/>
        <v>21125</v>
      </c>
      <c r="D20" s="174">
        <f t="shared" ca="1" si="33"/>
        <v>21125</v>
      </c>
      <c r="E20" s="137">
        <f ca="1">IFERROR(__xludf.DUMMYFUNCTION("IMPORTRANGE(""https://docs.google.com/spreadsheets/d/1C3CXT74ZlgGe6_JY_1olB1XN4rF0dxEuIIF-xsYjHgg/edit?usp=sharing"",""พรบ!AX24"")"),0)</f>
        <v>0</v>
      </c>
      <c r="F20" s="175">
        <f ca="1">IFERROR(__xludf.DUMMYFUNCTION("IMPORTRANGE(""https://docs.google.com/spreadsheets/d/1C3CXT74ZlgGe6_JY_1olB1XN4rF0dxEuIIF-xsYjHgg/edit?usp=sharing"",""พรบ!AY24"")"),21125)</f>
        <v>21125</v>
      </c>
      <c r="G20" s="77">
        <f ca="1">IFERROR(__xludf.DUMMYFUNCTION("IMPORTRANGE(""https://docs.google.com/spreadsheets/d/1Yj_ptqi66GCucihVvJfMjLAmec39IyEx_6qawtMGysU/edit?usp=sharing"",""สบก!BQ24"")"),0)</f>
        <v>0</v>
      </c>
      <c r="H20" s="77">
        <f ca="1">IFERROR(__xludf.DUMMYFUNCTION("IMPORTRANGE(""https://docs.google.com/spreadsheets/d/1Yj_ptqi66GCucihVvJfMjLAmec39IyEx_6qawtMGysU/edit?usp=shBSing"",""สบก!BS24"")"),21125)</f>
        <v>21125</v>
      </c>
      <c r="I20" s="77">
        <f t="shared" ca="1" si="3"/>
        <v>21125</v>
      </c>
      <c r="J20" s="137">
        <f t="shared" ca="1" si="4"/>
        <v>100</v>
      </c>
      <c r="K20" s="77">
        <f ca="1">IFERROR(__xludf.DUMMYFUNCTION("IMPORTRANGE(""https://docs.google.com/spreadsheets/d/1Yj_ptqi66GCucihVvJfMjLAmec39IyEx_6qawtMGysU/edit?usp=sharing"",""สบก!BT24"")"),21125)</f>
        <v>21125</v>
      </c>
      <c r="L20" s="137">
        <f t="shared" ca="1" si="5"/>
        <v>100</v>
      </c>
      <c r="M20" s="137">
        <f t="shared" ca="1" si="6"/>
        <v>100</v>
      </c>
      <c r="N20" s="137">
        <f ca="1">IFERROR(__xludf.DUMMYFUNCTION("IMPORTRANGE(""https://docs.google.com/spreadsheets/d/1Yj_ptqi66GCucihVvJfMjLAmec39IyEx_6qawtMGysU/edit?usp=sharing"",""สบก!BU24"")"),0)</f>
        <v>0</v>
      </c>
      <c r="O20" s="137">
        <f t="shared" ca="1" si="7"/>
        <v>0</v>
      </c>
      <c r="P20" s="80">
        <f t="shared" ca="1" si="34"/>
        <v>15</v>
      </c>
      <c r="Q20" s="77">
        <f t="shared" ca="1" si="35"/>
        <v>15</v>
      </c>
      <c r="R20" s="137">
        <f t="shared" ca="1" si="9"/>
        <v>100</v>
      </c>
      <c r="S20" s="177">
        <f ca="1">IFERROR(__xludf.DUMMYFUNCTION("IMPORTRANGE(""https://docs.google.com/spreadsheets/d/1C3CXT74ZlgGe6_JY_1olB1XN4rF0dxEuIIF-xsYjHgg/edit?usp=sharing"",""พรบ!BA24"")"),15)</f>
        <v>15</v>
      </c>
      <c r="T20" s="77">
        <f ca="1">IFERROR(__xludf.DUMMYFUNCTION("IMPORTRANGE(""https://docs.google.com/spreadsheets/d/11923uPwbBZFjjGgGUA6NLw09EwE0CqkOc4q9oUmW1yo/edit?usp=sharing"",""นครสวรรค์!J155"")"),15)</f>
        <v>15</v>
      </c>
      <c r="U20" s="137">
        <f t="shared" ca="1" si="11"/>
        <v>100</v>
      </c>
      <c r="V20" s="80">
        <f ca="1">IFERROR(__xludf.DUMMYFUNCTION("IMPORTRANGE(""https://docs.google.com/spreadsheets/d/1C3CXT74ZlgGe6_JY_1olB1XN4rF0dxEuIIF-xsYjHgg/edit?usp=sharing"",""พรบ!BB24"")"),0)</f>
        <v>0</v>
      </c>
      <c r="W20" s="77">
        <v>0</v>
      </c>
      <c r="X20" s="137">
        <f t="shared" ca="1" si="13"/>
        <v>0</v>
      </c>
    </row>
    <row r="21" spans="1:24" ht="24" customHeight="1">
      <c r="A21" s="73">
        <v>6</v>
      </c>
      <c r="B21" s="74" t="s">
        <v>45</v>
      </c>
      <c r="C21" s="75">
        <f t="shared" ca="1" si="0"/>
        <v>21125</v>
      </c>
      <c r="D21" s="174">
        <f t="shared" ca="1" si="33"/>
        <v>21125</v>
      </c>
      <c r="E21" s="137">
        <f ca="1">IFERROR(__xludf.DUMMYFUNCTION("IMPORTRANGE(""https://docs.google.com/spreadsheets/d/1C3CXT74ZlgGe6_JY_1olB1XN4rF0dxEuIIF-xsYjHgg/edit?usp=sharing"",""พรบ!AX25"")"),0)</f>
        <v>0</v>
      </c>
      <c r="F21" s="175">
        <f ca="1">IFERROR(__xludf.DUMMYFUNCTION("IMPORTRANGE(""https://docs.google.com/spreadsheets/d/1C3CXT74ZlgGe6_JY_1olB1XN4rF0dxEuIIF-xsYjHgg/edit?usp=sharing"",""พรบ!AY25"")"),21125)</f>
        <v>21125</v>
      </c>
      <c r="G21" s="77">
        <f ca="1">IFERROR(__xludf.DUMMYFUNCTION("IMPORTRANGE(""https://docs.google.com/spreadsheets/d/1Yj_ptqi66GCucihVvJfMjLAmec39IyEx_6qawtMGysU/edit?usp=sharing"",""สบก!BQ25"")"),0)</f>
        <v>0</v>
      </c>
      <c r="H21" s="77">
        <f ca="1">IFERROR(__xludf.DUMMYFUNCTION("IMPORTRANGE(""https://docs.google.com/spreadsheets/d/1Yj_ptqi66GCucihVvJfMjLAmec39IyEx_6qawtMGysU/edit?usp=shBSing"",""สบก!BS25"")"),21125)</f>
        <v>21125</v>
      </c>
      <c r="I21" s="77">
        <f t="shared" ca="1" si="3"/>
        <v>19556</v>
      </c>
      <c r="J21" s="137">
        <f t="shared" ca="1" si="4"/>
        <v>92.572781065088762</v>
      </c>
      <c r="K21" s="77">
        <f ca="1">IFERROR(__xludf.DUMMYFUNCTION("IMPORTRANGE(""https://docs.google.com/spreadsheets/d/1Yj_ptqi66GCucihVvJfMjLAmec39IyEx_6qawtMGysU/edit?usp=sharing"",""สบก!BT25"")"),19556)</f>
        <v>19556</v>
      </c>
      <c r="L21" s="137">
        <f t="shared" ca="1" si="5"/>
        <v>92.572781065088762</v>
      </c>
      <c r="M21" s="137">
        <f t="shared" ca="1" si="6"/>
        <v>92.572781065088762</v>
      </c>
      <c r="N21" s="137">
        <f ca="1">IFERROR(__xludf.DUMMYFUNCTION("IMPORTRANGE(""https://docs.google.com/spreadsheets/d/1Yj_ptqi66GCucihVvJfMjLAmec39IyEx_6qawtMGysU/edit?usp=sharing"",""สบก!BU25"")"),0)</f>
        <v>0</v>
      </c>
      <c r="O21" s="137">
        <f t="shared" ca="1" si="7"/>
        <v>0</v>
      </c>
      <c r="P21" s="80">
        <f t="shared" ca="1" si="34"/>
        <v>15</v>
      </c>
      <c r="Q21" s="77">
        <f t="shared" ca="1" si="35"/>
        <v>15</v>
      </c>
      <c r="R21" s="137">
        <f t="shared" ca="1" si="9"/>
        <v>100</v>
      </c>
      <c r="S21" s="177">
        <f ca="1">IFERROR(__xludf.DUMMYFUNCTION("IMPORTRANGE(""https://docs.google.com/spreadsheets/d/1C3CXT74ZlgGe6_JY_1olB1XN4rF0dxEuIIF-xsYjHgg/edit?usp=sharing"",""พรบ!BA25"")"),15)</f>
        <v>15</v>
      </c>
      <c r="T21" s="77">
        <f ca="1">IFERROR(__xludf.DUMMYFUNCTION("IMPORTRANGE(""https://docs.google.com/spreadsheets/d/11923uPwbBZFjjGgGUA6NLw09EwE0CqkOc4q9oUmW1yo/edit?usp=sharing"",""น่าน!J155"")"),15)</f>
        <v>15</v>
      </c>
      <c r="U21" s="137">
        <f t="shared" ca="1" si="11"/>
        <v>100</v>
      </c>
      <c r="V21" s="80">
        <f ca="1">IFERROR(__xludf.DUMMYFUNCTION("IMPORTRANGE(""https://docs.google.com/spreadsheets/d/1C3CXT74ZlgGe6_JY_1olB1XN4rF0dxEuIIF-xsYjHgg/edit?usp=sharing"",""พรบ!BB25"")"),0)</f>
        <v>0</v>
      </c>
      <c r="W21" s="77">
        <v>0</v>
      </c>
      <c r="X21" s="137">
        <f t="shared" ca="1" si="13"/>
        <v>0</v>
      </c>
    </row>
    <row r="22" spans="1:24" ht="24" customHeight="1">
      <c r="A22" s="73">
        <v>7</v>
      </c>
      <c r="B22" s="74" t="s">
        <v>46</v>
      </c>
      <c r="C22" s="75">
        <f t="shared" ca="1" si="0"/>
        <v>21125</v>
      </c>
      <c r="D22" s="174">
        <f t="shared" ca="1" si="33"/>
        <v>21125</v>
      </c>
      <c r="E22" s="137">
        <f ca="1">IFERROR(__xludf.DUMMYFUNCTION("IMPORTRANGE(""https://docs.google.com/spreadsheets/d/1C3CXT74ZlgGe6_JY_1olB1XN4rF0dxEuIIF-xsYjHgg/edit?usp=sharing"",""พรบ!AX26"")"),0)</f>
        <v>0</v>
      </c>
      <c r="F22" s="175">
        <f ca="1">IFERROR(__xludf.DUMMYFUNCTION("IMPORTRANGE(""https://docs.google.com/spreadsheets/d/1C3CXT74ZlgGe6_JY_1olB1XN4rF0dxEuIIF-xsYjHgg/edit?usp=sharing"",""พรบ!AY26"")"),21125)</f>
        <v>21125</v>
      </c>
      <c r="G22" s="77">
        <f ca="1">IFERROR(__xludf.DUMMYFUNCTION("IMPORTRANGE(""https://docs.google.com/spreadsheets/d/1Yj_ptqi66GCucihVvJfMjLAmec39IyEx_6qawtMGysU/edit?usp=sharing"",""สบก!BQ26"")"),0)</f>
        <v>0</v>
      </c>
      <c r="H22" s="77">
        <f ca="1">IFERROR(__xludf.DUMMYFUNCTION("IMPORTRANGE(""https://docs.google.com/spreadsheets/d/1Yj_ptqi66GCucihVvJfMjLAmec39IyEx_6qawtMGysU/edit?usp=shBSing"",""สบก!BS26"")"),21125)</f>
        <v>21125</v>
      </c>
      <c r="I22" s="77">
        <f t="shared" ca="1" si="3"/>
        <v>21125</v>
      </c>
      <c r="J22" s="137">
        <f t="shared" ca="1" si="4"/>
        <v>100</v>
      </c>
      <c r="K22" s="77">
        <f ca="1">IFERROR(__xludf.DUMMYFUNCTION("IMPORTRANGE(""https://docs.google.com/spreadsheets/d/1Yj_ptqi66GCucihVvJfMjLAmec39IyEx_6qawtMGysU/edit?usp=sharing"",""สบก!BT26"")"),21125)</f>
        <v>21125</v>
      </c>
      <c r="L22" s="137">
        <f t="shared" ca="1" si="5"/>
        <v>100</v>
      </c>
      <c r="M22" s="137">
        <f t="shared" ca="1" si="6"/>
        <v>100</v>
      </c>
      <c r="N22" s="137">
        <f ca="1">IFERROR(__xludf.DUMMYFUNCTION("IMPORTRANGE(""https://docs.google.com/spreadsheets/d/1Yj_ptqi66GCucihVvJfMjLAmec39IyEx_6qawtMGysU/edit?usp=sharing"",""สบก!BU26"")"),0)</f>
        <v>0</v>
      </c>
      <c r="O22" s="137">
        <f t="shared" ca="1" si="7"/>
        <v>0</v>
      </c>
      <c r="P22" s="80">
        <f t="shared" ca="1" si="34"/>
        <v>15</v>
      </c>
      <c r="Q22" s="77">
        <f t="shared" ca="1" si="35"/>
        <v>15</v>
      </c>
      <c r="R22" s="137">
        <f t="shared" ca="1" si="9"/>
        <v>100</v>
      </c>
      <c r="S22" s="177">
        <f ca="1">IFERROR(__xludf.DUMMYFUNCTION("IMPORTRANGE(""https://docs.google.com/spreadsheets/d/1C3CXT74ZlgGe6_JY_1olB1XN4rF0dxEuIIF-xsYjHgg/edit?usp=sharing"",""พรบ!BA26"")"),15)</f>
        <v>15</v>
      </c>
      <c r="T22" s="77">
        <f ca="1">IFERROR(__xludf.DUMMYFUNCTION("IMPORTRANGE(""https://docs.google.com/spreadsheets/d/11923uPwbBZFjjGgGUA6NLw09EwE0CqkOc4q9oUmW1yo/edit?usp=sharing"",""พะเยา!J155"")"),15)</f>
        <v>15</v>
      </c>
      <c r="U22" s="137">
        <f t="shared" ca="1" si="11"/>
        <v>100</v>
      </c>
      <c r="V22" s="80">
        <f ca="1">IFERROR(__xludf.DUMMYFUNCTION("IMPORTRANGE(""https://docs.google.com/spreadsheets/d/1C3CXT74ZlgGe6_JY_1olB1XN4rF0dxEuIIF-xsYjHgg/edit?usp=sharing"",""พรบ!BB26"")"),0)</f>
        <v>0</v>
      </c>
      <c r="W22" s="77">
        <v>0</v>
      </c>
      <c r="X22" s="137">
        <f t="shared" ca="1" si="13"/>
        <v>0</v>
      </c>
    </row>
    <row r="23" spans="1:24" ht="24" customHeight="1">
      <c r="A23" s="73">
        <v>8</v>
      </c>
      <c r="B23" s="74" t="s">
        <v>47</v>
      </c>
      <c r="C23" s="75">
        <f t="shared" ca="1" si="0"/>
        <v>21125</v>
      </c>
      <c r="D23" s="174">
        <f t="shared" ca="1" si="33"/>
        <v>21125</v>
      </c>
      <c r="E23" s="137">
        <f ca="1">IFERROR(__xludf.DUMMYFUNCTION("IMPORTRANGE(""https://docs.google.com/spreadsheets/d/1C3CXT74ZlgGe6_JY_1olB1XN4rF0dxEuIIF-xsYjHgg/edit?usp=sharing"",""พรบ!AX27"")"),0)</f>
        <v>0</v>
      </c>
      <c r="F23" s="175">
        <f ca="1">IFERROR(__xludf.DUMMYFUNCTION("IMPORTRANGE(""https://docs.google.com/spreadsheets/d/1C3CXT74ZlgGe6_JY_1olB1XN4rF0dxEuIIF-xsYjHgg/edit?usp=sharing"",""พรบ!AY27"")"),21125)</f>
        <v>21125</v>
      </c>
      <c r="G23" s="77">
        <f ca="1">IFERROR(__xludf.DUMMYFUNCTION("IMPORTRANGE(""https://docs.google.com/spreadsheets/d/1Yj_ptqi66GCucihVvJfMjLAmec39IyEx_6qawtMGysU/edit?usp=sharing"",""สบก!BQ27"")"),0)</f>
        <v>0</v>
      </c>
      <c r="H23" s="77">
        <f ca="1">IFERROR(__xludf.DUMMYFUNCTION("IMPORTRANGE(""https://docs.google.com/spreadsheets/d/1Yj_ptqi66GCucihVvJfMjLAmec39IyEx_6qawtMGysU/edit?usp=shBSing"",""สบก!BS27"")"),21125)</f>
        <v>21125</v>
      </c>
      <c r="I23" s="77">
        <f t="shared" ca="1" si="3"/>
        <v>0</v>
      </c>
      <c r="J23" s="137">
        <f t="shared" ca="1" si="4"/>
        <v>0</v>
      </c>
      <c r="K23" s="77">
        <f ca="1">IFERROR(__xludf.DUMMYFUNCTION("IMPORTRANGE(""https://docs.google.com/spreadsheets/d/1Yj_ptqi66GCucihVvJfMjLAmec39IyEx_6qawtMGysU/edit?usp=sharing"",""สบก!BT27"")"),0)</f>
        <v>0</v>
      </c>
      <c r="L23" s="137">
        <f t="shared" ca="1" si="5"/>
        <v>0</v>
      </c>
      <c r="M23" s="137">
        <f t="shared" ca="1" si="6"/>
        <v>0</v>
      </c>
      <c r="N23" s="137">
        <f ca="1">IFERROR(__xludf.DUMMYFUNCTION("IMPORTRANGE(""https://docs.google.com/spreadsheets/d/1Yj_ptqi66GCucihVvJfMjLAmec39IyEx_6qawtMGysU/edit?usp=sharing"",""สบก!BU27"")"),0)</f>
        <v>0</v>
      </c>
      <c r="O23" s="137">
        <f t="shared" ca="1" si="7"/>
        <v>0</v>
      </c>
      <c r="P23" s="80">
        <f t="shared" ca="1" si="34"/>
        <v>15</v>
      </c>
      <c r="Q23" s="77">
        <f t="shared" ca="1" si="35"/>
        <v>15</v>
      </c>
      <c r="R23" s="137">
        <f t="shared" ca="1" si="9"/>
        <v>100</v>
      </c>
      <c r="S23" s="177">
        <f ca="1">IFERROR(__xludf.DUMMYFUNCTION("IMPORTRANGE(""https://docs.google.com/spreadsheets/d/1C3CXT74ZlgGe6_JY_1olB1XN4rF0dxEuIIF-xsYjHgg/edit?usp=sharing"",""พรบ!BA27"")"),15)</f>
        <v>15</v>
      </c>
      <c r="T23" s="77">
        <f ca="1">IFERROR(__xludf.DUMMYFUNCTION("IMPORTRANGE(""https://docs.google.com/spreadsheets/d/11923uPwbBZFjjGgGUA6NLw09EwE0CqkOc4q9oUmW1yo/edit?usp=sharing"",""พิจิตร!J155"")"),15)</f>
        <v>15</v>
      </c>
      <c r="U23" s="137">
        <f t="shared" ca="1" si="11"/>
        <v>100</v>
      </c>
      <c r="V23" s="80">
        <f ca="1">IFERROR(__xludf.DUMMYFUNCTION("IMPORTRANGE(""https://docs.google.com/spreadsheets/d/1C3CXT74ZlgGe6_JY_1olB1XN4rF0dxEuIIF-xsYjHgg/edit?usp=sharing"",""พรบ!BB27"")"),0)</f>
        <v>0</v>
      </c>
      <c r="W23" s="77">
        <v>0</v>
      </c>
      <c r="X23" s="137">
        <f t="shared" ca="1" si="13"/>
        <v>0</v>
      </c>
    </row>
    <row r="24" spans="1:24" ht="24" customHeight="1">
      <c r="A24" s="73">
        <v>9</v>
      </c>
      <c r="B24" s="74" t="s">
        <v>48</v>
      </c>
      <c r="C24" s="75">
        <f t="shared" ca="1" si="0"/>
        <v>0</v>
      </c>
      <c r="D24" s="174">
        <f t="shared" ca="1" si="33"/>
        <v>0</v>
      </c>
      <c r="E24" s="137">
        <f ca="1">IFERROR(__xludf.DUMMYFUNCTION("IMPORTRANGE(""https://docs.google.com/spreadsheets/d/1C3CXT74ZlgGe6_JY_1olB1XN4rF0dxEuIIF-xsYjHgg/edit?usp=sharing"",""พรบ!AX28"")"),0)</f>
        <v>0</v>
      </c>
      <c r="F24" s="175">
        <f ca="1">IFERROR(__xludf.DUMMYFUNCTION("IMPORTRANGE(""https://docs.google.com/spreadsheets/d/1C3CXT74ZlgGe6_JY_1olB1XN4rF0dxEuIIF-xsYjHgg/edit?usp=sharing"",""พรบ!AY28"")"),0)</f>
        <v>0</v>
      </c>
      <c r="G24" s="77">
        <f ca="1">IFERROR(__xludf.DUMMYFUNCTION("IMPORTRANGE(""https://docs.google.com/spreadsheets/d/1Yj_ptqi66GCucihVvJfMjLAmec39IyEx_6qawtMGysU/edit?usp=sharing"",""สบก!BQ28"")"),0)</f>
        <v>0</v>
      </c>
      <c r="H24" s="77">
        <f ca="1">IFERROR(__xludf.DUMMYFUNCTION("IMPORTRANGE(""https://docs.google.com/spreadsheets/d/1Yj_ptqi66GCucihVvJfMjLAmec39IyEx_6qawtMGysU/edit?usp=shBSing"",""สบก!BS28"")"),0)</f>
        <v>0</v>
      </c>
      <c r="I24" s="77">
        <f t="shared" ca="1" si="3"/>
        <v>0</v>
      </c>
      <c r="J24" s="137">
        <f t="shared" ca="1" si="4"/>
        <v>0</v>
      </c>
      <c r="K24" s="77">
        <f ca="1">IFERROR(__xludf.DUMMYFUNCTION("IMPORTRANGE(""https://docs.google.com/spreadsheets/d/1Yj_ptqi66GCucihVvJfMjLAmec39IyEx_6qawtMGysU/edit?usp=sharing"",""สบก!BT28"")"),0)</f>
        <v>0</v>
      </c>
      <c r="L24" s="137">
        <f t="shared" ca="1" si="5"/>
        <v>0</v>
      </c>
      <c r="M24" s="137">
        <f t="shared" ca="1" si="6"/>
        <v>0</v>
      </c>
      <c r="N24" s="137">
        <f ca="1">IFERROR(__xludf.DUMMYFUNCTION("IMPORTRANGE(""https://docs.google.com/spreadsheets/d/1Yj_ptqi66GCucihVvJfMjLAmec39IyEx_6qawtMGysU/edit?usp=sharing"",""สบก!BU28"")"),0)</f>
        <v>0</v>
      </c>
      <c r="O24" s="137">
        <f t="shared" ca="1" si="7"/>
        <v>0</v>
      </c>
      <c r="P24" s="80">
        <f t="shared" ca="1" si="34"/>
        <v>0</v>
      </c>
      <c r="Q24" s="77">
        <f t="shared" ca="1" si="35"/>
        <v>0</v>
      </c>
      <c r="R24" s="137">
        <f t="shared" ca="1" si="9"/>
        <v>0</v>
      </c>
      <c r="S24" s="80">
        <f ca="1">IFERROR(__xludf.DUMMYFUNCTION("IMPORTRANGE(""https://docs.google.com/spreadsheets/d/1C3CXT74ZlgGe6_JY_1olB1XN4rF0dxEuIIF-xsYjHgg/edit?usp=sharing"",""พรบ!BA28"")"),0)</f>
        <v>0</v>
      </c>
      <c r="T24" s="77">
        <f ca="1">IFERROR(__xludf.DUMMYFUNCTION("IMPORTRANGE(""https://docs.google.com/spreadsheets/d/11923uPwbBZFjjGgGUA6NLw09EwE0CqkOc4q9oUmW1yo/edit?usp=sharing"",""พิษณุโลก!J155"")"),0)</f>
        <v>0</v>
      </c>
      <c r="U24" s="137">
        <f t="shared" ca="1" si="11"/>
        <v>0</v>
      </c>
      <c r="V24" s="80">
        <f ca="1">IFERROR(__xludf.DUMMYFUNCTION("IMPORTRANGE(""https://docs.google.com/spreadsheets/d/1C3CXT74ZlgGe6_JY_1olB1XN4rF0dxEuIIF-xsYjHgg/edit?usp=sharing"",""พรบ!BB28"")"),0)</f>
        <v>0</v>
      </c>
      <c r="W24" s="77">
        <v>0</v>
      </c>
      <c r="X24" s="137">
        <f t="shared" ca="1" si="13"/>
        <v>0</v>
      </c>
    </row>
    <row r="25" spans="1:24" ht="24" customHeight="1">
      <c r="A25" s="73">
        <v>10</v>
      </c>
      <c r="B25" s="74" t="s">
        <v>49</v>
      </c>
      <c r="C25" s="75">
        <f t="shared" ca="1" si="0"/>
        <v>21125</v>
      </c>
      <c r="D25" s="174">
        <f t="shared" ca="1" si="33"/>
        <v>21125</v>
      </c>
      <c r="E25" s="137">
        <f ca="1">IFERROR(__xludf.DUMMYFUNCTION("IMPORTRANGE(""https://docs.google.com/spreadsheets/d/1C3CXT74ZlgGe6_JY_1olB1XN4rF0dxEuIIF-xsYjHgg/edit?usp=sharing"",""พรบ!AX29"")"),0)</f>
        <v>0</v>
      </c>
      <c r="F25" s="175">
        <f ca="1">IFERROR(__xludf.DUMMYFUNCTION("IMPORTRANGE(""https://docs.google.com/spreadsheets/d/1C3CXT74ZlgGe6_JY_1olB1XN4rF0dxEuIIF-xsYjHgg/edit?usp=sharing"",""พรบ!AY29"")"),21125)</f>
        <v>21125</v>
      </c>
      <c r="G25" s="77">
        <f ca="1">IFERROR(__xludf.DUMMYFUNCTION("IMPORTRANGE(""https://docs.google.com/spreadsheets/d/1Yj_ptqi66GCucihVvJfMjLAmec39IyEx_6qawtMGysU/edit?usp=sharing"",""สบก!BQ29"")"),0)</f>
        <v>0</v>
      </c>
      <c r="H25" s="77">
        <f ca="1">IFERROR(__xludf.DUMMYFUNCTION("IMPORTRANGE(""https://docs.google.com/spreadsheets/d/1Yj_ptqi66GCucihVvJfMjLAmec39IyEx_6qawtMGysU/edit?usp=shBSing"",""สบก!BS29"")"),21125)</f>
        <v>21125</v>
      </c>
      <c r="I25" s="77">
        <f t="shared" ca="1" si="3"/>
        <v>21125</v>
      </c>
      <c r="J25" s="137">
        <f t="shared" ca="1" si="4"/>
        <v>100</v>
      </c>
      <c r="K25" s="77">
        <f ca="1">IFERROR(__xludf.DUMMYFUNCTION("IMPORTRANGE(""https://docs.google.com/spreadsheets/d/1Yj_ptqi66GCucihVvJfMjLAmec39IyEx_6qawtMGysU/edit?usp=sharing"",""สบก!BT29"")"),21125)</f>
        <v>21125</v>
      </c>
      <c r="L25" s="137">
        <f t="shared" ca="1" si="5"/>
        <v>100</v>
      </c>
      <c r="M25" s="137">
        <f t="shared" ca="1" si="6"/>
        <v>100</v>
      </c>
      <c r="N25" s="137">
        <f ca="1">IFERROR(__xludf.DUMMYFUNCTION("IMPORTRANGE(""https://docs.google.com/spreadsheets/d/1Yj_ptqi66GCucihVvJfMjLAmec39IyEx_6qawtMGysU/edit?usp=sharing"",""สบก!BU29"")"),0)</f>
        <v>0</v>
      </c>
      <c r="O25" s="137">
        <f t="shared" ca="1" si="7"/>
        <v>0</v>
      </c>
      <c r="P25" s="80">
        <f t="shared" ca="1" si="34"/>
        <v>15</v>
      </c>
      <c r="Q25" s="77">
        <f t="shared" ca="1" si="35"/>
        <v>15</v>
      </c>
      <c r="R25" s="137">
        <f t="shared" ca="1" si="9"/>
        <v>100</v>
      </c>
      <c r="S25" s="177">
        <f ca="1">IFERROR(__xludf.DUMMYFUNCTION("IMPORTRANGE(""https://docs.google.com/spreadsheets/d/1C3CXT74ZlgGe6_JY_1olB1XN4rF0dxEuIIF-xsYjHgg/edit?usp=sharing"",""พรบ!BA29"")"),15)</f>
        <v>15</v>
      </c>
      <c r="T25" s="77">
        <f ca="1">IFERROR(__xludf.DUMMYFUNCTION("IMPORTRANGE(""https://docs.google.com/spreadsheets/d/11923uPwbBZFjjGgGUA6NLw09EwE0CqkOc4q9oUmW1yo/edit?usp=sharing"",""เพชรบูรณ์!J155"")"),15)</f>
        <v>15</v>
      </c>
      <c r="U25" s="137">
        <f t="shared" ca="1" si="11"/>
        <v>100</v>
      </c>
      <c r="V25" s="80">
        <f ca="1">IFERROR(__xludf.DUMMYFUNCTION("IMPORTRANGE(""https://docs.google.com/spreadsheets/d/1C3CXT74ZlgGe6_JY_1olB1XN4rF0dxEuIIF-xsYjHgg/edit?usp=sharing"",""พรบ!BB29"")"),0)</f>
        <v>0</v>
      </c>
      <c r="W25" s="77">
        <v>0</v>
      </c>
      <c r="X25" s="137">
        <f t="shared" ca="1" si="13"/>
        <v>0</v>
      </c>
    </row>
    <row r="26" spans="1:24" ht="24" customHeight="1">
      <c r="A26" s="73">
        <v>11</v>
      </c>
      <c r="B26" s="74" t="s">
        <v>50</v>
      </c>
      <c r="C26" s="75">
        <f t="shared" ca="1" si="0"/>
        <v>21125</v>
      </c>
      <c r="D26" s="174">
        <f t="shared" ca="1" si="33"/>
        <v>21125</v>
      </c>
      <c r="E26" s="137">
        <f ca="1">IFERROR(__xludf.DUMMYFUNCTION("IMPORTRANGE(""https://docs.google.com/spreadsheets/d/1C3CXT74ZlgGe6_JY_1olB1XN4rF0dxEuIIF-xsYjHgg/edit?usp=sharing"",""พรบ!AX30"")"),0)</f>
        <v>0</v>
      </c>
      <c r="F26" s="175">
        <f ca="1">IFERROR(__xludf.DUMMYFUNCTION("IMPORTRANGE(""https://docs.google.com/spreadsheets/d/1C3CXT74ZlgGe6_JY_1olB1XN4rF0dxEuIIF-xsYjHgg/edit?usp=sharing"",""พรบ!AY30"")"),21125)</f>
        <v>21125</v>
      </c>
      <c r="G26" s="77">
        <f ca="1">IFERROR(__xludf.DUMMYFUNCTION("IMPORTRANGE(""https://docs.google.com/spreadsheets/d/1Yj_ptqi66GCucihVvJfMjLAmec39IyEx_6qawtMGysU/edit?usp=sharing"",""สบก!BQ30"")"),0)</f>
        <v>0</v>
      </c>
      <c r="H26" s="77">
        <f ca="1">IFERROR(__xludf.DUMMYFUNCTION("IMPORTRANGE(""https://docs.google.com/spreadsheets/d/1Yj_ptqi66GCucihVvJfMjLAmec39IyEx_6qawtMGysU/edit?usp=shBSing"",""สบก!BS30"")"),21125)</f>
        <v>21125</v>
      </c>
      <c r="I26" s="77">
        <f t="shared" ca="1" si="3"/>
        <v>21125</v>
      </c>
      <c r="J26" s="137">
        <f t="shared" ca="1" si="4"/>
        <v>100</v>
      </c>
      <c r="K26" s="77">
        <f ca="1">IFERROR(__xludf.DUMMYFUNCTION("IMPORTRANGE(""https://docs.google.com/spreadsheets/d/1Yj_ptqi66GCucihVvJfMjLAmec39IyEx_6qawtMGysU/edit?usp=sharing"",""สบก!BT30"")"),21125)</f>
        <v>21125</v>
      </c>
      <c r="L26" s="137">
        <f t="shared" ca="1" si="5"/>
        <v>100</v>
      </c>
      <c r="M26" s="137">
        <f t="shared" ca="1" si="6"/>
        <v>100</v>
      </c>
      <c r="N26" s="137">
        <f ca="1">IFERROR(__xludf.DUMMYFUNCTION("IMPORTRANGE(""https://docs.google.com/spreadsheets/d/1Yj_ptqi66GCucihVvJfMjLAmec39IyEx_6qawtMGysU/edit?usp=sharing"",""สบก!BU30"")"),0)</f>
        <v>0</v>
      </c>
      <c r="O26" s="137">
        <f t="shared" ca="1" si="7"/>
        <v>0</v>
      </c>
      <c r="P26" s="80">
        <f t="shared" ca="1" si="34"/>
        <v>15</v>
      </c>
      <c r="Q26" s="77">
        <f t="shared" ca="1" si="35"/>
        <v>15</v>
      </c>
      <c r="R26" s="137">
        <f t="shared" ca="1" si="9"/>
        <v>100</v>
      </c>
      <c r="S26" s="177">
        <f ca="1">IFERROR(__xludf.DUMMYFUNCTION("IMPORTRANGE(""https://docs.google.com/spreadsheets/d/1C3CXT74ZlgGe6_JY_1olB1XN4rF0dxEuIIF-xsYjHgg/edit?usp=sharing"",""พรบ!BA30"")"),15)</f>
        <v>15</v>
      </c>
      <c r="T26" s="77">
        <f ca="1">IFERROR(__xludf.DUMMYFUNCTION("IMPORTRANGE(""https://docs.google.com/spreadsheets/d/11923uPwbBZFjjGgGUA6NLw09EwE0CqkOc4q9oUmW1yo/edit?usp=sharing"",""แพร่!J155"")"),15)</f>
        <v>15</v>
      </c>
      <c r="U26" s="137">
        <f t="shared" ca="1" si="11"/>
        <v>100</v>
      </c>
      <c r="V26" s="80">
        <f ca="1">IFERROR(__xludf.DUMMYFUNCTION("IMPORTRANGE(""https://docs.google.com/spreadsheets/d/1C3CXT74ZlgGe6_JY_1olB1XN4rF0dxEuIIF-xsYjHgg/edit?usp=sharing"",""พรบ!BB30"")"),0)</f>
        <v>0</v>
      </c>
      <c r="W26" s="77">
        <v>0</v>
      </c>
      <c r="X26" s="137">
        <f t="shared" ca="1" si="13"/>
        <v>0</v>
      </c>
    </row>
    <row r="27" spans="1:24" ht="24" customHeight="1">
      <c r="A27" s="73">
        <v>12</v>
      </c>
      <c r="B27" s="74" t="s">
        <v>51</v>
      </c>
      <c r="C27" s="75">
        <f t="shared" ca="1" si="0"/>
        <v>19295</v>
      </c>
      <c r="D27" s="174">
        <f t="shared" ca="1" si="33"/>
        <v>19295</v>
      </c>
      <c r="E27" s="137">
        <f ca="1">IFERROR(__xludf.DUMMYFUNCTION("IMPORTRANGE(""https://docs.google.com/spreadsheets/d/1C3CXT74ZlgGe6_JY_1olB1XN4rF0dxEuIIF-xsYjHgg/edit?usp=sharing"",""พรบ!AX31"")"),0)</f>
        <v>0</v>
      </c>
      <c r="F27" s="175">
        <f ca="1">IFERROR(__xludf.DUMMYFUNCTION("IMPORTRANGE(""https://docs.google.com/spreadsheets/d/1C3CXT74ZlgGe6_JY_1olB1XN4rF0dxEuIIF-xsYjHgg/edit?usp=sharing"",""พรบ!AY31"")"),19295)</f>
        <v>19295</v>
      </c>
      <c r="G27" s="77">
        <f ca="1">IFERROR(__xludf.DUMMYFUNCTION("IMPORTRANGE(""https://docs.google.com/spreadsheets/d/1Yj_ptqi66GCucihVvJfMjLAmec39IyEx_6qawtMGysU/edit?usp=sharing"",""สบก!BQ31"")"),0)</f>
        <v>0</v>
      </c>
      <c r="H27" s="77">
        <f ca="1">IFERROR(__xludf.DUMMYFUNCTION("IMPORTRANGE(""https://docs.google.com/spreadsheets/d/1Yj_ptqi66GCucihVvJfMjLAmec39IyEx_6qawtMGysU/edit?usp=shBSing"",""สบก!BS31"")"),19295)</f>
        <v>19295</v>
      </c>
      <c r="I27" s="77">
        <f t="shared" ca="1" si="3"/>
        <v>19295</v>
      </c>
      <c r="J27" s="137">
        <f t="shared" ca="1" si="4"/>
        <v>100</v>
      </c>
      <c r="K27" s="77">
        <f ca="1">IFERROR(__xludf.DUMMYFUNCTION("IMPORTRANGE(""https://docs.google.com/spreadsheets/d/1Yj_ptqi66GCucihVvJfMjLAmec39IyEx_6qawtMGysU/edit?usp=sharing"",""สบก!BT31"")"),19295)</f>
        <v>19295</v>
      </c>
      <c r="L27" s="137">
        <f t="shared" ca="1" si="5"/>
        <v>100</v>
      </c>
      <c r="M27" s="137">
        <f t="shared" ca="1" si="6"/>
        <v>100</v>
      </c>
      <c r="N27" s="137">
        <f ca="1">IFERROR(__xludf.DUMMYFUNCTION("IMPORTRANGE(""https://docs.google.com/spreadsheets/d/1Yj_ptqi66GCucihVvJfMjLAmec39IyEx_6qawtMGysU/edit?usp=sharing"",""สบก!BU31"")"),0)</f>
        <v>0</v>
      </c>
      <c r="O27" s="137">
        <f t="shared" ca="1" si="7"/>
        <v>0</v>
      </c>
      <c r="P27" s="80">
        <f t="shared" ca="1" si="34"/>
        <v>13</v>
      </c>
      <c r="Q27" s="77">
        <f t="shared" ca="1" si="35"/>
        <v>13</v>
      </c>
      <c r="R27" s="137">
        <f t="shared" ca="1" si="9"/>
        <v>100</v>
      </c>
      <c r="S27" s="177">
        <f ca="1">IFERROR(__xludf.DUMMYFUNCTION("IMPORTRANGE(""https://docs.google.com/spreadsheets/d/1C3CXT74ZlgGe6_JY_1olB1XN4rF0dxEuIIF-xsYjHgg/edit?usp=sharing"",""พรบ!BA31"")"),13)</f>
        <v>13</v>
      </c>
      <c r="T27" s="77">
        <f ca="1">IFERROR(__xludf.DUMMYFUNCTION("IMPORTRANGE(""https://docs.google.com/spreadsheets/d/11923uPwbBZFjjGgGUA6NLw09EwE0CqkOc4q9oUmW1yo/edit?usp=sharing"",""แม่ฮ่องสอน!J155"")"),13)</f>
        <v>13</v>
      </c>
      <c r="U27" s="137">
        <f t="shared" ca="1" si="11"/>
        <v>100</v>
      </c>
      <c r="V27" s="80">
        <f ca="1">IFERROR(__xludf.DUMMYFUNCTION("IMPORTRANGE(""https://docs.google.com/spreadsheets/d/1C3CXT74ZlgGe6_JY_1olB1XN4rF0dxEuIIF-xsYjHgg/edit?usp=sharing"",""พรบ!BB31"")"),0)</f>
        <v>0</v>
      </c>
      <c r="W27" s="77">
        <v>0</v>
      </c>
      <c r="X27" s="137">
        <f t="shared" ca="1" si="13"/>
        <v>0</v>
      </c>
    </row>
    <row r="28" spans="1:24" ht="24" customHeight="1">
      <c r="A28" s="73">
        <v>13</v>
      </c>
      <c r="B28" s="74" t="s">
        <v>52</v>
      </c>
      <c r="C28" s="75">
        <f t="shared" ca="1" si="0"/>
        <v>21125</v>
      </c>
      <c r="D28" s="174">
        <f t="shared" ca="1" si="33"/>
        <v>21125</v>
      </c>
      <c r="E28" s="137">
        <f ca="1">IFERROR(__xludf.DUMMYFUNCTION("IMPORTRANGE(""https://docs.google.com/spreadsheets/d/1C3CXT74ZlgGe6_JY_1olB1XN4rF0dxEuIIF-xsYjHgg/edit?usp=sharing"",""พรบ!AX32"")"),0)</f>
        <v>0</v>
      </c>
      <c r="F28" s="175">
        <f ca="1">IFERROR(__xludf.DUMMYFUNCTION("IMPORTRANGE(""https://docs.google.com/spreadsheets/d/1C3CXT74ZlgGe6_JY_1olB1XN4rF0dxEuIIF-xsYjHgg/edit?usp=sharing"",""พรบ!AY32"")"),21125)</f>
        <v>21125</v>
      </c>
      <c r="G28" s="77">
        <f ca="1">IFERROR(__xludf.DUMMYFUNCTION("IMPORTRANGE(""https://docs.google.com/spreadsheets/d/1Yj_ptqi66GCucihVvJfMjLAmec39IyEx_6qawtMGysU/edit?usp=sharing"",""สบก!BQ32"")"),0)</f>
        <v>0</v>
      </c>
      <c r="H28" s="77">
        <f ca="1">IFERROR(__xludf.DUMMYFUNCTION("IMPORTRANGE(""https://docs.google.com/spreadsheets/d/1Yj_ptqi66GCucihVvJfMjLAmec39IyEx_6qawtMGysU/edit?usp=shBSing"",""สบก!BS32"")"),21125)</f>
        <v>21125</v>
      </c>
      <c r="I28" s="77">
        <f t="shared" ca="1" si="3"/>
        <v>21125</v>
      </c>
      <c r="J28" s="137">
        <f t="shared" ca="1" si="4"/>
        <v>100</v>
      </c>
      <c r="K28" s="77">
        <f ca="1">IFERROR(__xludf.DUMMYFUNCTION("IMPORTRANGE(""https://docs.google.com/spreadsheets/d/1Yj_ptqi66GCucihVvJfMjLAmec39IyEx_6qawtMGysU/edit?usp=sharing"",""สบก!BT32"")"),21125)</f>
        <v>21125</v>
      </c>
      <c r="L28" s="137">
        <f t="shared" ca="1" si="5"/>
        <v>100</v>
      </c>
      <c r="M28" s="137">
        <f t="shared" ca="1" si="6"/>
        <v>100</v>
      </c>
      <c r="N28" s="137">
        <f ca="1">IFERROR(__xludf.DUMMYFUNCTION("IMPORTRANGE(""https://docs.google.com/spreadsheets/d/1Yj_ptqi66GCucihVvJfMjLAmec39IyEx_6qawtMGysU/edit?usp=sharing"",""สบก!BU32"")"),0)</f>
        <v>0</v>
      </c>
      <c r="O28" s="137">
        <f t="shared" ca="1" si="7"/>
        <v>0</v>
      </c>
      <c r="P28" s="80">
        <f t="shared" ca="1" si="34"/>
        <v>15</v>
      </c>
      <c r="Q28" s="77">
        <f t="shared" ca="1" si="35"/>
        <v>15</v>
      </c>
      <c r="R28" s="137">
        <f t="shared" ca="1" si="9"/>
        <v>100</v>
      </c>
      <c r="S28" s="177">
        <f ca="1">IFERROR(__xludf.DUMMYFUNCTION("IMPORTRANGE(""https://docs.google.com/spreadsheets/d/1C3CXT74ZlgGe6_JY_1olB1XN4rF0dxEuIIF-xsYjHgg/edit?usp=sharing"",""พรบ!BA32"")"),15)</f>
        <v>15</v>
      </c>
      <c r="T28" s="77">
        <f ca="1">IFERROR(__xludf.DUMMYFUNCTION("IMPORTRANGE(""https://docs.google.com/spreadsheets/d/11923uPwbBZFjjGgGUA6NLw09EwE0CqkOc4q9oUmW1yo/edit?usp=sharing"",""ลำปาง!J155"")"),15)</f>
        <v>15</v>
      </c>
      <c r="U28" s="137">
        <f t="shared" ca="1" si="11"/>
        <v>100</v>
      </c>
      <c r="V28" s="80">
        <f ca="1">IFERROR(__xludf.DUMMYFUNCTION("IMPORTRANGE(""https://docs.google.com/spreadsheets/d/1C3CXT74ZlgGe6_JY_1olB1XN4rF0dxEuIIF-xsYjHgg/edit?usp=sharing"",""พรบ!BB32"")"),0)</f>
        <v>0</v>
      </c>
      <c r="W28" s="77">
        <v>0</v>
      </c>
      <c r="X28" s="137">
        <f t="shared" ca="1" si="13"/>
        <v>0</v>
      </c>
    </row>
    <row r="29" spans="1:24" ht="24" customHeight="1">
      <c r="A29" s="73">
        <v>14</v>
      </c>
      <c r="B29" s="74" t="s">
        <v>53</v>
      </c>
      <c r="C29" s="75">
        <f t="shared" ca="1" si="0"/>
        <v>21125</v>
      </c>
      <c r="D29" s="174">
        <f t="shared" ca="1" si="33"/>
        <v>21125</v>
      </c>
      <c r="E29" s="137">
        <f ca="1">IFERROR(__xludf.DUMMYFUNCTION("IMPORTRANGE(""https://docs.google.com/spreadsheets/d/1C3CXT74ZlgGe6_JY_1olB1XN4rF0dxEuIIF-xsYjHgg/edit?usp=sharing"",""พรบ!AX33"")"),0)</f>
        <v>0</v>
      </c>
      <c r="F29" s="175">
        <f ca="1">IFERROR(__xludf.DUMMYFUNCTION("IMPORTRANGE(""https://docs.google.com/spreadsheets/d/1C3CXT74ZlgGe6_JY_1olB1XN4rF0dxEuIIF-xsYjHgg/edit?usp=sharing"",""พรบ!AY33"")"),21125)</f>
        <v>21125</v>
      </c>
      <c r="G29" s="77">
        <f ca="1">IFERROR(__xludf.DUMMYFUNCTION("IMPORTRANGE(""https://docs.google.com/spreadsheets/d/1Yj_ptqi66GCucihVvJfMjLAmec39IyEx_6qawtMGysU/edit?usp=sharing"",""สบก!BQ33"")"),0)</f>
        <v>0</v>
      </c>
      <c r="H29" s="77">
        <f ca="1">IFERROR(__xludf.DUMMYFUNCTION("IMPORTRANGE(""https://docs.google.com/spreadsheets/d/1Yj_ptqi66GCucihVvJfMjLAmec39IyEx_6qawtMGysU/edit?usp=shBSing"",""สบก!BS33"")"),21125)</f>
        <v>21125</v>
      </c>
      <c r="I29" s="77">
        <f t="shared" ca="1" si="3"/>
        <v>21125</v>
      </c>
      <c r="J29" s="137">
        <f t="shared" ca="1" si="4"/>
        <v>100</v>
      </c>
      <c r="K29" s="77">
        <f ca="1">IFERROR(__xludf.DUMMYFUNCTION("IMPORTRANGE(""https://docs.google.com/spreadsheets/d/1Yj_ptqi66GCucihVvJfMjLAmec39IyEx_6qawtMGysU/edit?usp=sharing"",""สบก!BT33"")"),21125)</f>
        <v>21125</v>
      </c>
      <c r="L29" s="137">
        <f t="shared" ca="1" si="5"/>
        <v>100</v>
      </c>
      <c r="M29" s="137">
        <f t="shared" ca="1" si="6"/>
        <v>100</v>
      </c>
      <c r="N29" s="137">
        <f ca="1">IFERROR(__xludf.DUMMYFUNCTION("IMPORTRANGE(""https://docs.google.com/spreadsheets/d/1Yj_ptqi66GCucihVvJfMjLAmec39IyEx_6qawtMGysU/edit?usp=sharing"",""สบก!BU33"")"),0)</f>
        <v>0</v>
      </c>
      <c r="O29" s="137">
        <f t="shared" ca="1" si="7"/>
        <v>0</v>
      </c>
      <c r="P29" s="80">
        <f t="shared" ca="1" si="34"/>
        <v>15</v>
      </c>
      <c r="Q29" s="77">
        <f t="shared" ca="1" si="35"/>
        <v>15</v>
      </c>
      <c r="R29" s="137">
        <f t="shared" ca="1" si="9"/>
        <v>100</v>
      </c>
      <c r="S29" s="177">
        <f ca="1">IFERROR(__xludf.DUMMYFUNCTION("IMPORTRANGE(""https://docs.google.com/spreadsheets/d/1C3CXT74ZlgGe6_JY_1olB1XN4rF0dxEuIIF-xsYjHgg/edit?usp=sharing"",""พรบ!BA33"")"),15)</f>
        <v>15</v>
      </c>
      <c r="T29" s="77">
        <f ca="1">IFERROR(__xludf.DUMMYFUNCTION("IMPORTRANGE(""https://docs.google.com/spreadsheets/d/11923uPwbBZFjjGgGUA6NLw09EwE0CqkOc4q9oUmW1yo/edit?usp=sharing"",""ลำพูน!J155"")"),15)</f>
        <v>15</v>
      </c>
      <c r="U29" s="137">
        <f t="shared" ca="1" si="11"/>
        <v>100</v>
      </c>
      <c r="V29" s="80">
        <f ca="1">IFERROR(__xludf.DUMMYFUNCTION("IMPORTRANGE(""https://docs.google.com/spreadsheets/d/1C3CXT74ZlgGe6_JY_1olB1XN4rF0dxEuIIF-xsYjHgg/edit?usp=sharing"",""พรบ!BB33"")"),0)</f>
        <v>0</v>
      </c>
      <c r="W29" s="77">
        <v>0</v>
      </c>
      <c r="X29" s="137">
        <f t="shared" ca="1" si="13"/>
        <v>0</v>
      </c>
    </row>
    <row r="30" spans="1:24" ht="24" customHeight="1">
      <c r="A30" s="73">
        <v>15</v>
      </c>
      <c r="B30" s="74" t="s">
        <v>54</v>
      </c>
      <c r="C30" s="75">
        <f t="shared" ca="1" si="0"/>
        <v>19295</v>
      </c>
      <c r="D30" s="174">
        <f t="shared" ca="1" si="33"/>
        <v>19295</v>
      </c>
      <c r="E30" s="137">
        <f ca="1">IFERROR(__xludf.DUMMYFUNCTION("IMPORTRANGE(""https://docs.google.com/spreadsheets/d/1C3CXT74ZlgGe6_JY_1olB1XN4rF0dxEuIIF-xsYjHgg/edit?usp=sharing"",""พรบ!AX34"")"),0)</f>
        <v>0</v>
      </c>
      <c r="F30" s="175">
        <f ca="1">IFERROR(__xludf.DUMMYFUNCTION("IMPORTRANGE(""https://docs.google.com/spreadsheets/d/1C3CXT74ZlgGe6_JY_1olB1XN4rF0dxEuIIF-xsYjHgg/edit?usp=sharing"",""พรบ!AY34"")"),19295)</f>
        <v>19295</v>
      </c>
      <c r="G30" s="77">
        <f ca="1">IFERROR(__xludf.DUMMYFUNCTION("IMPORTRANGE(""https://docs.google.com/spreadsheets/d/1Yj_ptqi66GCucihVvJfMjLAmec39IyEx_6qawtMGysU/edit?usp=sharing"",""สบก!BQ34"")"),0)</f>
        <v>0</v>
      </c>
      <c r="H30" s="77">
        <f ca="1">IFERROR(__xludf.DUMMYFUNCTION("IMPORTRANGE(""https://docs.google.com/spreadsheets/d/1Yj_ptqi66GCucihVvJfMjLAmec39IyEx_6qawtMGysU/edit?usp=shBSing"",""สบก!BS34"")"),19295)</f>
        <v>19295</v>
      </c>
      <c r="I30" s="77">
        <f t="shared" ca="1" si="3"/>
        <v>17775</v>
      </c>
      <c r="J30" s="137">
        <f t="shared" ca="1" si="4"/>
        <v>92.122311479657938</v>
      </c>
      <c r="K30" s="77">
        <f ca="1">IFERROR(__xludf.DUMMYFUNCTION("IMPORTRANGE(""https://docs.google.com/spreadsheets/d/1Yj_ptqi66GCucihVvJfMjLAmec39IyEx_6qawtMGysU/edit?usp=sharing"",""สบก!BT34"")"),17775)</f>
        <v>17775</v>
      </c>
      <c r="L30" s="137">
        <f t="shared" ca="1" si="5"/>
        <v>92.122311479657938</v>
      </c>
      <c r="M30" s="137">
        <f t="shared" ca="1" si="6"/>
        <v>92.122311479657938</v>
      </c>
      <c r="N30" s="137">
        <f ca="1">IFERROR(__xludf.DUMMYFUNCTION("IMPORTRANGE(""https://docs.google.com/spreadsheets/d/1Yj_ptqi66GCucihVvJfMjLAmec39IyEx_6qawtMGysU/edit?usp=sharing"",""สบก!BU34"")"),0)</f>
        <v>0</v>
      </c>
      <c r="O30" s="137">
        <f t="shared" ca="1" si="7"/>
        <v>0</v>
      </c>
      <c r="P30" s="80">
        <f t="shared" ca="1" si="34"/>
        <v>13</v>
      </c>
      <c r="Q30" s="77">
        <f t="shared" ca="1" si="35"/>
        <v>13</v>
      </c>
      <c r="R30" s="137">
        <f t="shared" ca="1" si="9"/>
        <v>100</v>
      </c>
      <c r="S30" s="177">
        <f ca="1">IFERROR(__xludf.DUMMYFUNCTION("IMPORTRANGE(""https://docs.google.com/spreadsheets/d/1C3CXT74ZlgGe6_JY_1olB1XN4rF0dxEuIIF-xsYjHgg/edit?usp=sharing"",""พรบ!BA34"")"),13)</f>
        <v>13</v>
      </c>
      <c r="T30" s="77">
        <f ca="1">IFERROR(__xludf.DUMMYFUNCTION("IMPORTRANGE(""https://docs.google.com/spreadsheets/d/11923uPwbBZFjjGgGUA6NLw09EwE0CqkOc4q9oUmW1yo/edit?usp=sharing"",""สุโขทัย!J155"")"),13)</f>
        <v>13</v>
      </c>
      <c r="U30" s="137">
        <f t="shared" ca="1" si="11"/>
        <v>100</v>
      </c>
      <c r="V30" s="80">
        <f ca="1">IFERROR(__xludf.DUMMYFUNCTION("IMPORTRANGE(""https://docs.google.com/spreadsheets/d/1C3CXT74ZlgGe6_JY_1olB1XN4rF0dxEuIIF-xsYjHgg/edit?usp=sharing"",""พรบ!BB34"")"),0)</f>
        <v>0</v>
      </c>
      <c r="W30" s="77">
        <v>0</v>
      </c>
      <c r="X30" s="137">
        <f t="shared" ca="1" si="13"/>
        <v>0</v>
      </c>
    </row>
    <row r="31" spans="1:24" ht="24" customHeight="1">
      <c r="A31" s="73">
        <v>16</v>
      </c>
      <c r="B31" s="74" t="s">
        <v>55</v>
      </c>
      <c r="C31" s="75">
        <f t="shared" ca="1" si="0"/>
        <v>21125</v>
      </c>
      <c r="D31" s="174">
        <f t="shared" ca="1" si="33"/>
        <v>21125</v>
      </c>
      <c r="E31" s="137">
        <f ca="1">IFERROR(__xludf.DUMMYFUNCTION("IMPORTRANGE(""https://docs.google.com/spreadsheets/d/1C3CXT74ZlgGe6_JY_1olB1XN4rF0dxEuIIF-xsYjHgg/edit?usp=sharing"",""พรบ!AX35"")"),0)</f>
        <v>0</v>
      </c>
      <c r="F31" s="175">
        <f ca="1">IFERROR(__xludf.DUMMYFUNCTION("IMPORTRANGE(""https://docs.google.com/spreadsheets/d/1C3CXT74ZlgGe6_JY_1olB1XN4rF0dxEuIIF-xsYjHgg/edit?usp=sharing"",""พรบ!AY35"")"),21125)</f>
        <v>21125</v>
      </c>
      <c r="G31" s="77">
        <f ca="1">IFERROR(__xludf.DUMMYFUNCTION("IMPORTRANGE(""https://docs.google.com/spreadsheets/d/1Yj_ptqi66GCucihVvJfMjLAmec39IyEx_6qawtMGysU/edit?usp=sharing"",""สบก!BQ35"")"),0)</f>
        <v>0</v>
      </c>
      <c r="H31" s="77">
        <f ca="1">IFERROR(__xludf.DUMMYFUNCTION("IMPORTRANGE(""https://docs.google.com/spreadsheets/d/1Yj_ptqi66GCucihVvJfMjLAmec39IyEx_6qawtMGysU/edit?usp=shBSing"",""สบก!BS35"")"),21125)</f>
        <v>21125</v>
      </c>
      <c r="I31" s="77">
        <f t="shared" ca="1" si="3"/>
        <v>21125</v>
      </c>
      <c r="J31" s="137">
        <f t="shared" ca="1" si="4"/>
        <v>100</v>
      </c>
      <c r="K31" s="77">
        <f ca="1">IFERROR(__xludf.DUMMYFUNCTION("IMPORTRANGE(""https://docs.google.com/spreadsheets/d/1Yj_ptqi66GCucihVvJfMjLAmec39IyEx_6qawtMGysU/edit?usp=sharing"",""สบก!BT35"")"),21125)</f>
        <v>21125</v>
      </c>
      <c r="L31" s="137">
        <f t="shared" ca="1" si="5"/>
        <v>100</v>
      </c>
      <c r="M31" s="137">
        <f t="shared" ca="1" si="6"/>
        <v>100</v>
      </c>
      <c r="N31" s="137">
        <f ca="1">IFERROR(__xludf.DUMMYFUNCTION("IMPORTRANGE(""https://docs.google.com/spreadsheets/d/1Yj_ptqi66GCucihVvJfMjLAmec39IyEx_6qawtMGysU/edit?usp=sharing"",""สบก!BU35"")"),0)</f>
        <v>0</v>
      </c>
      <c r="O31" s="137">
        <f t="shared" ca="1" si="7"/>
        <v>0</v>
      </c>
      <c r="P31" s="80">
        <f t="shared" ca="1" si="34"/>
        <v>15</v>
      </c>
      <c r="Q31" s="77">
        <f t="shared" ca="1" si="35"/>
        <v>15</v>
      </c>
      <c r="R31" s="137">
        <f t="shared" ca="1" si="9"/>
        <v>100</v>
      </c>
      <c r="S31" s="177">
        <f ca="1">IFERROR(__xludf.DUMMYFUNCTION("IMPORTRANGE(""https://docs.google.com/spreadsheets/d/1C3CXT74ZlgGe6_JY_1olB1XN4rF0dxEuIIF-xsYjHgg/edit?usp=sharing"",""พรบ!BA35"")"),15)</f>
        <v>15</v>
      </c>
      <c r="T31" s="77">
        <f ca="1">IFERROR(__xludf.DUMMYFUNCTION("IMPORTRANGE(""https://docs.google.com/spreadsheets/d/11923uPwbBZFjjGgGUA6NLw09EwE0CqkOc4q9oUmW1yo/edit?usp=sharing"",""อุตรดิตถ์!J155"")"),15)</f>
        <v>15</v>
      </c>
      <c r="U31" s="137">
        <f t="shared" ca="1" si="11"/>
        <v>100</v>
      </c>
      <c r="V31" s="80">
        <f ca="1">IFERROR(__xludf.DUMMYFUNCTION("IMPORTRANGE(""https://docs.google.com/spreadsheets/d/1C3CXT74ZlgGe6_JY_1olB1XN4rF0dxEuIIF-xsYjHgg/edit?usp=sharing"",""พรบ!BB35"")"),0)</f>
        <v>0</v>
      </c>
      <c r="W31" s="77">
        <v>0</v>
      </c>
      <c r="X31" s="137">
        <f t="shared" ca="1" si="13"/>
        <v>0</v>
      </c>
    </row>
    <row r="32" spans="1:24" ht="24" customHeight="1">
      <c r="A32" s="84">
        <v>17</v>
      </c>
      <c r="B32" s="85" t="s">
        <v>56</v>
      </c>
      <c r="C32" s="86">
        <f t="shared" ca="1" si="0"/>
        <v>21125</v>
      </c>
      <c r="D32" s="178">
        <f t="shared" ca="1" si="33"/>
        <v>21125</v>
      </c>
      <c r="E32" s="138">
        <f ca="1">IFERROR(__xludf.DUMMYFUNCTION("IMPORTRANGE(""https://docs.google.com/spreadsheets/d/1C3CXT74ZlgGe6_JY_1olB1XN4rF0dxEuIIF-xsYjHgg/edit?usp=sharing"",""พรบ!AX36"")"),0)</f>
        <v>0</v>
      </c>
      <c r="F32" s="179">
        <f ca="1">IFERROR(__xludf.DUMMYFUNCTION("IMPORTRANGE(""https://docs.google.com/spreadsheets/d/1C3CXT74ZlgGe6_JY_1olB1XN4rF0dxEuIIF-xsYjHgg/edit?usp=sharing"",""พรบ!AY36"")"),21125)</f>
        <v>21125</v>
      </c>
      <c r="G32" s="88">
        <f ca="1">IFERROR(__xludf.DUMMYFUNCTION("IMPORTRANGE(""https://docs.google.com/spreadsheets/d/1Yj_ptqi66GCucihVvJfMjLAmec39IyEx_6qawtMGysU/edit?usp=sharing"",""สบก!BQ36"")"),0)</f>
        <v>0</v>
      </c>
      <c r="H32" s="88">
        <f ca="1">IFERROR(__xludf.DUMMYFUNCTION("IMPORTRANGE(""https://docs.google.com/spreadsheets/d/1Yj_ptqi66GCucihVvJfMjLAmec39IyEx_6qawtMGysU/edit?usp=shBSing"",""สบก!BS36"")"),21125)</f>
        <v>21125</v>
      </c>
      <c r="I32" s="88">
        <f t="shared" ca="1" si="3"/>
        <v>20505</v>
      </c>
      <c r="J32" s="138">
        <f t="shared" ca="1" si="4"/>
        <v>97.065088757396452</v>
      </c>
      <c r="K32" s="88">
        <f ca="1">IFERROR(__xludf.DUMMYFUNCTION("IMPORTRANGE(""https://docs.google.com/spreadsheets/d/1Yj_ptqi66GCucihVvJfMjLAmec39IyEx_6qawtMGysU/edit?usp=sharing"",""สบก!BT36"")"),20505)</f>
        <v>20505</v>
      </c>
      <c r="L32" s="138">
        <f t="shared" ca="1" si="5"/>
        <v>97.065088757396452</v>
      </c>
      <c r="M32" s="138">
        <f t="shared" ca="1" si="6"/>
        <v>97.065088757396452</v>
      </c>
      <c r="N32" s="138">
        <f ca="1">IFERROR(__xludf.DUMMYFUNCTION("IMPORTRANGE(""https://docs.google.com/spreadsheets/d/1Yj_ptqi66GCucihVvJfMjLAmec39IyEx_6qawtMGysU/edit?usp=sharing"",""สบก!BU36"")"),0)</f>
        <v>0</v>
      </c>
      <c r="O32" s="138">
        <f t="shared" ca="1" si="7"/>
        <v>0</v>
      </c>
      <c r="P32" s="91">
        <f t="shared" ca="1" si="34"/>
        <v>15</v>
      </c>
      <c r="Q32" s="77">
        <f t="shared" ca="1" si="35"/>
        <v>15</v>
      </c>
      <c r="R32" s="138">
        <f t="shared" ca="1" si="9"/>
        <v>100</v>
      </c>
      <c r="S32" s="180">
        <f ca="1">IFERROR(__xludf.DUMMYFUNCTION("IMPORTRANGE(""https://docs.google.com/spreadsheets/d/1C3CXT74ZlgGe6_JY_1olB1XN4rF0dxEuIIF-xsYjHgg/edit?usp=sharing"",""พรบ!BA36"")"),15)</f>
        <v>15</v>
      </c>
      <c r="T32" s="88">
        <f ca="1">IFERROR(__xludf.DUMMYFUNCTION("IMPORTRANGE(""https://docs.google.com/spreadsheets/d/11923uPwbBZFjjGgGUA6NLw09EwE0CqkOc4q9oUmW1yo/edit?usp=sharing"",""อุทัยธานี!J155"")"),15)</f>
        <v>15</v>
      </c>
      <c r="U32" s="138">
        <f t="shared" ca="1" si="11"/>
        <v>100</v>
      </c>
      <c r="V32" s="91">
        <f ca="1">IFERROR(__xludf.DUMMYFUNCTION("IMPORTRANGE(""https://docs.google.com/spreadsheets/d/1C3CXT74ZlgGe6_JY_1olB1XN4rF0dxEuIIF-xsYjHgg/edit?usp=sharing"",""พรบ!BB36"")"),0)</f>
        <v>0</v>
      </c>
      <c r="W32" s="88">
        <v>0</v>
      </c>
      <c r="X32" s="138">
        <f t="shared" ca="1" si="13"/>
        <v>0</v>
      </c>
    </row>
    <row r="33" spans="1:24" ht="21" customHeight="1">
      <c r="A33" s="677" t="s">
        <v>57</v>
      </c>
      <c r="B33" s="678"/>
      <c r="C33" s="94">
        <f t="shared" ca="1" si="0"/>
        <v>400540</v>
      </c>
      <c r="D33" s="181">
        <f t="shared" ref="D33:H33" ca="1" si="36">SUM(D34:D53)</f>
        <v>400540</v>
      </c>
      <c r="E33" s="139">
        <f t="shared" ca="1" si="36"/>
        <v>0</v>
      </c>
      <c r="F33" s="181">
        <f t="shared" ca="1" si="36"/>
        <v>400540</v>
      </c>
      <c r="G33" s="95">
        <f t="shared" ca="1" si="36"/>
        <v>0</v>
      </c>
      <c r="H33" s="95">
        <f t="shared" ca="1" si="36"/>
        <v>400540</v>
      </c>
      <c r="I33" s="95">
        <f t="shared" ca="1" si="3"/>
        <v>377198</v>
      </c>
      <c r="J33" s="139">
        <f t="shared" ca="1" si="4"/>
        <v>94.172367304139414</v>
      </c>
      <c r="K33" s="95">
        <f ca="1">SUM(K34:K53)</f>
        <v>377198</v>
      </c>
      <c r="L33" s="139">
        <f t="shared" ca="1" si="5"/>
        <v>94.172367304139414</v>
      </c>
      <c r="M33" s="139">
        <f t="shared" ca="1" si="6"/>
        <v>94.172367304139414</v>
      </c>
      <c r="N33" s="139">
        <f ca="1">SUM(N34:N53)</f>
        <v>0</v>
      </c>
      <c r="O33" s="139">
        <f t="shared" ca="1" si="7"/>
        <v>0</v>
      </c>
      <c r="P33" s="98">
        <f t="shared" ref="P33:Q33" ca="1" si="37">SUM(P34:P53)</f>
        <v>276</v>
      </c>
      <c r="Q33" s="95">
        <f t="shared" ca="1" si="37"/>
        <v>276</v>
      </c>
      <c r="R33" s="139">
        <f t="shared" ca="1" si="9"/>
        <v>100</v>
      </c>
      <c r="S33" s="98">
        <f t="shared" ref="S33:T33" ca="1" si="38">SUM(S34:S53)</f>
        <v>276</v>
      </c>
      <c r="T33" s="95">
        <f t="shared" ca="1" si="38"/>
        <v>276</v>
      </c>
      <c r="U33" s="139">
        <f t="shared" ca="1" si="11"/>
        <v>100</v>
      </c>
      <c r="V33" s="98">
        <f t="shared" ref="V33:W33" ca="1" si="39">SUM(V34:V53)</f>
        <v>0</v>
      </c>
      <c r="W33" s="95">
        <f t="shared" si="39"/>
        <v>0</v>
      </c>
      <c r="X33" s="139">
        <f t="shared" ca="1" si="13"/>
        <v>0</v>
      </c>
    </row>
    <row r="34" spans="1:24" ht="21" customHeight="1">
      <c r="A34" s="63">
        <v>1</v>
      </c>
      <c r="B34" s="64" t="s">
        <v>58</v>
      </c>
      <c r="C34" s="65">
        <f t="shared" ca="1" si="0"/>
        <v>21125</v>
      </c>
      <c r="D34" s="171">
        <f t="shared" ref="D34:D53" ca="1" si="40">+E34+F34</f>
        <v>21125</v>
      </c>
      <c r="E34" s="136">
        <f ca="1">IFERROR(__xludf.DUMMYFUNCTION("IMPORTRANGE(""https://docs.google.com/spreadsheets/d/1C3CXT74ZlgGe6_JY_1olB1XN4rF0dxEuIIF-xsYjHgg/edit?usp=sharing"",""พรบ!AX38"")"),0)</f>
        <v>0</v>
      </c>
      <c r="F34" s="172">
        <f ca="1">IFERROR(__xludf.DUMMYFUNCTION("IMPORTRANGE(""https://docs.google.com/spreadsheets/d/1C3CXT74ZlgGe6_JY_1olB1XN4rF0dxEuIIF-xsYjHgg/edit?usp=sharing"",""พรบ!AY38"")"),21125)</f>
        <v>21125</v>
      </c>
      <c r="G34" s="67">
        <f ca="1">IFERROR(__xludf.DUMMYFUNCTION("IMPORTRANGE(""https://docs.google.com/spreadsheets/d/1Yj_ptqi66GCucihVvJfMjLAmec39IyEx_6qawtMGysU/edit?usp=sharing"",""สบก!BQ38"")"),0)</f>
        <v>0</v>
      </c>
      <c r="H34" s="67">
        <f ca="1">IFERROR(__xludf.DUMMYFUNCTION("IMPORTRANGE(""https://docs.google.com/spreadsheets/d/1Yj_ptqi66GCucihVvJfMjLAmec39IyEx_6qawtMGysU/edit?usp=shBSing"",""สบก!BS38"")"),21125)</f>
        <v>21125</v>
      </c>
      <c r="I34" s="67">
        <f t="shared" ca="1" si="3"/>
        <v>20675</v>
      </c>
      <c r="J34" s="136">
        <f t="shared" ca="1" si="4"/>
        <v>97.869822485207095</v>
      </c>
      <c r="K34" s="67">
        <f ca="1">IFERROR(__xludf.DUMMYFUNCTION("IMPORTRANGE(""https://docs.google.com/spreadsheets/d/1Yj_ptqi66GCucihVvJfMjLAmec39IyEx_6qawtMGysU/edit?usp=sharing"",""สบก!BT38"")"),20675)</f>
        <v>20675</v>
      </c>
      <c r="L34" s="136">
        <f t="shared" ca="1" si="5"/>
        <v>97.869822485207095</v>
      </c>
      <c r="M34" s="136">
        <f t="shared" ca="1" si="6"/>
        <v>97.869822485207095</v>
      </c>
      <c r="N34" s="136">
        <f ca="1">IFERROR(__xludf.DUMMYFUNCTION("IMPORTRANGE(""https://docs.google.com/spreadsheets/d/1Yj_ptqi66GCucihVvJfMjLAmec39IyEx_6qawtMGysU/edit?usp=sharing"",""สบก!BU38"")"),0)</f>
        <v>0</v>
      </c>
      <c r="O34" s="136">
        <f t="shared" ca="1" si="7"/>
        <v>0</v>
      </c>
      <c r="P34" s="71">
        <f t="shared" ref="P34:P53" ca="1" si="41">+S34+V34</f>
        <v>15</v>
      </c>
      <c r="Q34" s="67">
        <f t="shared" ref="Q34:Q53" ca="1" si="42">T34</f>
        <v>15</v>
      </c>
      <c r="R34" s="136">
        <f t="shared" ca="1" si="9"/>
        <v>100</v>
      </c>
      <c r="S34" s="182">
        <f ca="1">IFERROR(__xludf.DUMMYFUNCTION("IMPORTRANGE(""https://docs.google.com/spreadsheets/d/1C3CXT74ZlgGe6_JY_1olB1XN4rF0dxEuIIF-xsYjHgg/edit?usp=sharing"",""พรบ!BA38"")"),15)</f>
        <v>15</v>
      </c>
      <c r="T34" s="67">
        <f ca="1">IFERROR(__xludf.DUMMYFUNCTION("IMPORTRANGE(""https://docs.google.com/spreadsheets/d/1XL5vhW3sbDhbH9Cz0tuDiY8C3ctxq1tqvaCgkFb8cCA/edit?usp=sharing"",""กาฬสินธุ์!J155"")"),15)</f>
        <v>15</v>
      </c>
      <c r="U34" s="136">
        <f t="shared" ca="1" si="11"/>
        <v>100</v>
      </c>
      <c r="V34" s="71">
        <f ca="1">IFERROR(__xludf.DUMMYFUNCTION("IMPORTRANGE(""https://docs.google.com/spreadsheets/d/1C3CXT74ZlgGe6_JY_1olB1XN4rF0dxEuIIF-xsYjHgg/edit?usp=sharing"",""พรบ!BB38"")"),0)</f>
        <v>0</v>
      </c>
      <c r="W34" s="67">
        <v>0</v>
      </c>
      <c r="X34" s="136">
        <f t="shared" ca="1" si="13"/>
        <v>0</v>
      </c>
    </row>
    <row r="35" spans="1:24" ht="21" customHeight="1">
      <c r="A35" s="73">
        <v>2</v>
      </c>
      <c r="B35" s="74" t="s">
        <v>59</v>
      </c>
      <c r="C35" s="75">
        <f t="shared" ca="1" si="0"/>
        <v>16550</v>
      </c>
      <c r="D35" s="174">
        <f t="shared" ca="1" si="40"/>
        <v>16550</v>
      </c>
      <c r="E35" s="137">
        <f ca="1">IFERROR(__xludf.DUMMYFUNCTION("IMPORTRANGE(""https://docs.google.com/spreadsheets/d/1C3CXT74ZlgGe6_JY_1olB1XN4rF0dxEuIIF-xsYjHgg/edit?usp=sharing"",""พรบ!AX39"")"),0)</f>
        <v>0</v>
      </c>
      <c r="F35" s="175">
        <f ca="1">IFERROR(__xludf.DUMMYFUNCTION("IMPORTRANGE(""https://docs.google.com/spreadsheets/d/1C3CXT74ZlgGe6_JY_1olB1XN4rF0dxEuIIF-xsYjHgg/edit?usp=sharing"",""พรบ!AY39"")"),16550)</f>
        <v>16550</v>
      </c>
      <c r="G35" s="77">
        <f ca="1">IFERROR(__xludf.DUMMYFUNCTION("IMPORTRANGE(""https://docs.google.com/spreadsheets/d/1Yj_ptqi66GCucihVvJfMjLAmec39IyEx_6qawtMGysU/edit?usp=sharing"",""สบก!BQ39"")"),0)</f>
        <v>0</v>
      </c>
      <c r="H35" s="77">
        <f ca="1">IFERROR(__xludf.DUMMYFUNCTION("IMPORTRANGE(""https://docs.google.com/spreadsheets/d/1Yj_ptqi66GCucihVvJfMjLAmec39IyEx_6qawtMGysU/edit?usp=shBSing"",""สบก!BS39"")"),16550)</f>
        <v>16550</v>
      </c>
      <c r="I35" s="77">
        <f t="shared" ca="1" si="3"/>
        <v>16550</v>
      </c>
      <c r="J35" s="137">
        <f t="shared" ca="1" si="4"/>
        <v>100</v>
      </c>
      <c r="K35" s="77">
        <f ca="1">IFERROR(__xludf.DUMMYFUNCTION("IMPORTRANGE(""https://docs.google.com/spreadsheets/d/1Yj_ptqi66GCucihVvJfMjLAmec39IyEx_6qawtMGysU/edit?usp=sharing"",""สบก!BT39"")"),16550)</f>
        <v>16550</v>
      </c>
      <c r="L35" s="137">
        <f t="shared" ca="1" si="5"/>
        <v>100</v>
      </c>
      <c r="M35" s="137">
        <f t="shared" ca="1" si="6"/>
        <v>100</v>
      </c>
      <c r="N35" s="137">
        <f ca="1">IFERROR(__xludf.DUMMYFUNCTION("IMPORTRANGE(""https://docs.google.com/spreadsheets/d/1Yj_ptqi66GCucihVvJfMjLAmec39IyEx_6qawtMGysU/edit?usp=sharing"",""สบก!BU39"")"),0)</f>
        <v>0</v>
      </c>
      <c r="O35" s="137">
        <f t="shared" ca="1" si="7"/>
        <v>0</v>
      </c>
      <c r="P35" s="80">
        <f t="shared" ca="1" si="41"/>
        <v>10</v>
      </c>
      <c r="Q35" s="77">
        <f t="shared" ca="1" si="42"/>
        <v>10</v>
      </c>
      <c r="R35" s="137">
        <f t="shared" ca="1" si="9"/>
        <v>100</v>
      </c>
      <c r="S35" s="177">
        <f ca="1">IFERROR(__xludf.DUMMYFUNCTION("IMPORTRANGE(""https://docs.google.com/spreadsheets/d/1C3CXT74ZlgGe6_JY_1olB1XN4rF0dxEuIIF-xsYjHgg/edit?usp=sharing"",""พรบ!BA39"")"),10)</f>
        <v>10</v>
      </c>
      <c r="T35" s="77">
        <f ca="1">IFERROR(__xludf.DUMMYFUNCTION("IMPORTRANGE(""https://docs.google.com/spreadsheets/d/1XL5vhW3sbDhbH9Cz0tuDiY8C3ctxq1tqvaCgkFb8cCA/edit?usp=sharing"",""ขอนแก่น!J155"")"),10)</f>
        <v>10</v>
      </c>
      <c r="U35" s="137">
        <f t="shared" ca="1" si="11"/>
        <v>100</v>
      </c>
      <c r="V35" s="80">
        <f ca="1">IFERROR(__xludf.DUMMYFUNCTION("IMPORTRANGE(""https://docs.google.com/spreadsheets/d/1C3CXT74ZlgGe6_JY_1olB1XN4rF0dxEuIIF-xsYjHgg/edit?usp=sharing"",""พรบ!BB39"")"),0)</f>
        <v>0</v>
      </c>
      <c r="W35" s="77">
        <v>0</v>
      </c>
      <c r="X35" s="137">
        <f t="shared" ca="1" si="13"/>
        <v>0</v>
      </c>
    </row>
    <row r="36" spans="1:24" ht="21" customHeight="1">
      <c r="A36" s="73">
        <v>3</v>
      </c>
      <c r="B36" s="74" t="s">
        <v>60</v>
      </c>
      <c r="C36" s="75">
        <f t="shared" ca="1" si="0"/>
        <v>18380</v>
      </c>
      <c r="D36" s="174">
        <f t="shared" ca="1" si="40"/>
        <v>18380</v>
      </c>
      <c r="E36" s="137">
        <f ca="1">IFERROR(__xludf.DUMMYFUNCTION("IMPORTRANGE(""https://docs.google.com/spreadsheets/d/1C3CXT74ZlgGe6_JY_1olB1XN4rF0dxEuIIF-xsYjHgg/edit?usp=sharing"",""พรบ!AX40"")"),0)</f>
        <v>0</v>
      </c>
      <c r="F36" s="175">
        <f ca="1">IFERROR(__xludf.DUMMYFUNCTION("IMPORTRANGE(""https://docs.google.com/spreadsheets/d/1C3CXT74ZlgGe6_JY_1olB1XN4rF0dxEuIIF-xsYjHgg/edit?usp=sharing"",""พรบ!AY40"")"),18380)</f>
        <v>18380</v>
      </c>
      <c r="G36" s="77">
        <f ca="1">IFERROR(__xludf.DUMMYFUNCTION("IMPORTRANGE(""https://docs.google.com/spreadsheets/d/1Yj_ptqi66GCucihVvJfMjLAmec39IyEx_6qawtMGysU/edit?usp=sharing"",""สบก!BQ40"")"),0)</f>
        <v>0</v>
      </c>
      <c r="H36" s="77">
        <f ca="1">IFERROR(__xludf.DUMMYFUNCTION("IMPORTRANGE(""https://docs.google.com/spreadsheets/d/1Yj_ptqi66GCucihVvJfMjLAmec39IyEx_6qawtMGysU/edit?usp=shBSing"",""สบก!BS40"")"),18380)</f>
        <v>18380</v>
      </c>
      <c r="I36" s="77">
        <f t="shared" ca="1" si="3"/>
        <v>18380</v>
      </c>
      <c r="J36" s="137">
        <f t="shared" ca="1" si="4"/>
        <v>100</v>
      </c>
      <c r="K36" s="77">
        <f ca="1">IFERROR(__xludf.DUMMYFUNCTION("IMPORTRANGE(""https://docs.google.com/spreadsheets/d/1Yj_ptqi66GCucihVvJfMjLAmec39IyEx_6qawtMGysU/edit?usp=sharing"",""สบก!BT40"")"),18380)</f>
        <v>18380</v>
      </c>
      <c r="L36" s="137">
        <f t="shared" ca="1" si="5"/>
        <v>100</v>
      </c>
      <c r="M36" s="137">
        <f t="shared" ca="1" si="6"/>
        <v>100</v>
      </c>
      <c r="N36" s="137">
        <f ca="1">IFERROR(__xludf.DUMMYFUNCTION("IMPORTRANGE(""https://docs.google.com/spreadsheets/d/1Yj_ptqi66GCucihVvJfMjLAmec39IyEx_6qawtMGysU/edit?usp=sharing"",""สบก!BU40"")"),0)</f>
        <v>0</v>
      </c>
      <c r="O36" s="137">
        <f t="shared" ca="1" si="7"/>
        <v>0</v>
      </c>
      <c r="P36" s="80">
        <f t="shared" ca="1" si="41"/>
        <v>12</v>
      </c>
      <c r="Q36" s="77">
        <f t="shared" ca="1" si="42"/>
        <v>12</v>
      </c>
      <c r="R36" s="137">
        <f t="shared" ca="1" si="9"/>
        <v>100</v>
      </c>
      <c r="S36" s="177">
        <f ca="1">IFERROR(__xludf.DUMMYFUNCTION("IMPORTRANGE(""https://docs.google.com/spreadsheets/d/1C3CXT74ZlgGe6_JY_1olB1XN4rF0dxEuIIF-xsYjHgg/edit?usp=sharing"",""พรบ!BA40"")"),12)</f>
        <v>12</v>
      </c>
      <c r="T36" s="77">
        <f ca="1">IFERROR(__xludf.DUMMYFUNCTION("IMPORTRANGE(""https://docs.google.com/spreadsheets/d/1XL5vhW3sbDhbH9Cz0tuDiY8C3ctxq1tqvaCgkFb8cCA/edit?usp=sharing"",""ชัยภูมิ!J155"")"),12)</f>
        <v>12</v>
      </c>
      <c r="U36" s="137">
        <f t="shared" ca="1" si="11"/>
        <v>100</v>
      </c>
      <c r="V36" s="80">
        <f ca="1">IFERROR(__xludf.DUMMYFUNCTION("IMPORTRANGE(""https://docs.google.com/spreadsheets/d/1C3CXT74ZlgGe6_JY_1olB1XN4rF0dxEuIIF-xsYjHgg/edit?usp=sharing"",""พรบ!BB40"")"),0)</f>
        <v>0</v>
      </c>
      <c r="W36" s="77">
        <v>0</v>
      </c>
      <c r="X36" s="137">
        <f t="shared" ca="1" si="13"/>
        <v>0</v>
      </c>
    </row>
    <row r="37" spans="1:24" ht="21" customHeight="1">
      <c r="A37" s="73">
        <v>4</v>
      </c>
      <c r="B37" s="74" t="s">
        <v>61</v>
      </c>
      <c r="C37" s="75">
        <f t="shared" ca="1" si="0"/>
        <v>21125</v>
      </c>
      <c r="D37" s="174">
        <f t="shared" ca="1" si="40"/>
        <v>21125</v>
      </c>
      <c r="E37" s="137">
        <f ca="1">IFERROR(__xludf.DUMMYFUNCTION("IMPORTRANGE(""https://docs.google.com/spreadsheets/d/1C3CXT74ZlgGe6_JY_1olB1XN4rF0dxEuIIF-xsYjHgg/edit?usp=sharing"",""พรบ!AX41"")"),0)</f>
        <v>0</v>
      </c>
      <c r="F37" s="175">
        <f ca="1">IFERROR(__xludf.DUMMYFUNCTION("IMPORTRANGE(""https://docs.google.com/spreadsheets/d/1C3CXT74ZlgGe6_JY_1olB1XN4rF0dxEuIIF-xsYjHgg/edit?usp=sharing"",""พรบ!AY41"")"),21125)</f>
        <v>21125</v>
      </c>
      <c r="G37" s="77">
        <f ca="1">IFERROR(__xludf.DUMMYFUNCTION("IMPORTRANGE(""https://docs.google.com/spreadsheets/d/1Yj_ptqi66GCucihVvJfMjLAmec39IyEx_6qawtMGysU/edit?usp=sharing"",""สบก!BQ41"")"),0)</f>
        <v>0</v>
      </c>
      <c r="H37" s="77">
        <f ca="1">IFERROR(__xludf.DUMMYFUNCTION("IMPORTRANGE(""https://docs.google.com/spreadsheets/d/1Yj_ptqi66GCucihVvJfMjLAmec39IyEx_6qawtMGysU/edit?usp=shBSing"",""สบก!BS41"")"),21125)</f>
        <v>21125</v>
      </c>
      <c r="I37" s="77">
        <f t="shared" ca="1" si="3"/>
        <v>21125</v>
      </c>
      <c r="J37" s="137">
        <f t="shared" ca="1" si="4"/>
        <v>100</v>
      </c>
      <c r="K37" s="77">
        <f ca="1">IFERROR(__xludf.DUMMYFUNCTION("IMPORTRANGE(""https://docs.google.com/spreadsheets/d/1Yj_ptqi66GCucihVvJfMjLAmec39IyEx_6qawtMGysU/edit?usp=sharing"",""สบก!BT41"")"),21125)</f>
        <v>21125</v>
      </c>
      <c r="L37" s="137">
        <f t="shared" ca="1" si="5"/>
        <v>100</v>
      </c>
      <c r="M37" s="137">
        <f t="shared" ca="1" si="6"/>
        <v>100</v>
      </c>
      <c r="N37" s="137">
        <f ca="1">IFERROR(__xludf.DUMMYFUNCTION("IMPORTRANGE(""https://docs.google.com/spreadsheets/d/1Yj_ptqi66GCucihVvJfMjLAmec39IyEx_6qawtMGysU/edit?usp=sharing"",""สบก!BU41"")"),0)</f>
        <v>0</v>
      </c>
      <c r="O37" s="137">
        <f t="shared" ca="1" si="7"/>
        <v>0</v>
      </c>
      <c r="P37" s="80">
        <f t="shared" ca="1" si="41"/>
        <v>15</v>
      </c>
      <c r="Q37" s="77">
        <f t="shared" ca="1" si="42"/>
        <v>15</v>
      </c>
      <c r="R37" s="137">
        <f t="shared" ca="1" si="9"/>
        <v>100</v>
      </c>
      <c r="S37" s="80">
        <f ca="1">IFERROR(__xludf.DUMMYFUNCTION("IMPORTRANGE(""https://docs.google.com/spreadsheets/d/1C3CXT74ZlgGe6_JY_1olB1XN4rF0dxEuIIF-xsYjHgg/edit?usp=sharing"",""พรบ!BA41"")"),15)</f>
        <v>15</v>
      </c>
      <c r="T37" s="77">
        <f ca="1">IFERROR(__xludf.DUMMYFUNCTION("IMPORTRANGE(""https://docs.google.com/spreadsheets/d/1XL5vhW3sbDhbH9Cz0tuDiY8C3ctxq1tqvaCgkFb8cCA/edit?usp=sharing"",""นครพนม!J155"")"),15)</f>
        <v>15</v>
      </c>
      <c r="U37" s="137">
        <f t="shared" ca="1" si="11"/>
        <v>100</v>
      </c>
      <c r="V37" s="80">
        <f ca="1">IFERROR(__xludf.DUMMYFUNCTION("IMPORTRANGE(""https://docs.google.com/spreadsheets/d/1C3CXT74ZlgGe6_JY_1olB1XN4rF0dxEuIIF-xsYjHgg/edit?usp=sharing"",""พรบ!BB41"")"),0)</f>
        <v>0</v>
      </c>
      <c r="W37" s="77">
        <v>0</v>
      </c>
      <c r="X37" s="137">
        <f t="shared" ca="1" si="13"/>
        <v>0</v>
      </c>
    </row>
    <row r="38" spans="1:24" ht="21" customHeight="1">
      <c r="A38" s="73">
        <v>5</v>
      </c>
      <c r="B38" s="74" t="s">
        <v>62</v>
      </c>
      <c r="C38" s="75">
        <f t="shared" ca="1" si="0"/>
        <v>21125</v>
      </c>
      <c r="D38" s="174">
        <f t="shared" ca="1" si="40"/>
        <v>21125</v>
      </c>
      <c r="E38" s="137">
        <f ca="1">IFERROR(__xludf.DUMMYFUNCTION("IMPORTRANGE(""https://docs.google.com/spreadsheets/d/1C3CXT74ZlgGe6_JY_1olB1XN4rF0dxEuIIF-xsYjHgg/edit?usp=sharing"",""พรบ!AX42"")"),0)</f>
        <v>0</v>
      </c>
      <c r="F38" s="175">
        <f ca="1">IFERROR(__xludf.DUMMYFUNCTION("IMPORTRANGE(""https://docs.google.com/spreadsheets/d/1C3CXT74ZlgGe6_JY_1olB1XN4rF0dxEuIIF-xsYjHgg/edit?usp=sharing"",""พรบ!AY42"")"),21125)</f>
        <v>21125</v>
      </c>
      <c r="G38" s="77">
        <f ca="1">IFERROR(__xludf.DUMMYFUNCTION("IMPORTRANGE(""https://docs.google.com/spreadsheets/d/1Yj_ptqi66GCucihVvJfMjLAmec39IyEx_6qawtMGysU/edit?usp=sharing"",""สบก!BQ42"")"),0)</f>
        <v>0</v>
      </c>
      <c r="H38" s="77">
        <f ca="1">IFERROR(__xludf.DUMMYFUNCTION("IMPORTRANGE(""https://docs.google.com/spreadsheets/d/1Yj_ptqi66GCucihVvJfMjLAmec39IyEx_6qawtMGysU/edit?usp=shBSing"",""สบก!BS42"")"),21125)</f>
        <v>21125</v>
      </c>
      <c r="I38" s="77">
        <f t="shared" ca="1" si="3"/>
        <v>21125</v>
      </c>
      <c r="J38" s="137">
        <f t="shared" ca="1" si="4"/>
        <v>100</v>
      </c>
      <c r="K38" s="77">
        <f ca="1">IFERROR(__xludf.DUMMYFUNCTION("IMPORTRANGE(""https://docs.google.com/spreadsheets/d/1Yj_ptqi66GCucihVvJfMjLAmec39IyEx_6qawtMGysU/edit?usp=sharing"",""สบก!BT42"")"),21125)</f>
        <v>21125</v>
      </c>
      <c r="L38" s="137">
        <f t="shared" ca="1" si="5"/>
        <v>100</v>
      </c>
      <c r="M38" s="137">
        <f t="shared" ca="1" si="6"/>
        <v>100</v>
      </c>
      <c r="N38" s="137">
        <f ca="1">IFERROR(__xludf.DUMMYFUNCTION("IMPORTRANGE(""https://docs.google.com/spreadsheets/d/1Yj_ptqi66GCucihVvJfMjLAmec39IyEx_6qawtMGysU/edit?usp=sharing"",""สบก!BU42"")"),0)</f>
        <v>0</v>
      </c>
      <c r="O38" s="137">
        <f t="shared" ca="1" si="7"/>
        <v>0</v>
      </c>
      <c r="P38" s="80">
        <f t="shared" ca="1" si="41"/>
        <v>15</v>
      </c>
      <c r="Q38" s="77">
        <f t="shared" ca="1" si="42"/>
        <v>15</v>
      </c>
      <c r="R38" s="137">
        <f t="shared" ca="1" si="9"/>
        <v>100</v>
      </c>
      <c r="S38" s="177">
        <f ca="1">IFERROR(__xludf.DUMMYFUNCTION("IMPORTRANGE(""https://docs.google.com/spreadsheets/d/1C3CXT74ZlgGe6_JY_1olB1XN4rF0dxEuIIF-xsYjHgg/edit?usp=sharing"",""พรบ!BA42"")"),15)</f>
        <v>15</v>
      </c>
      <c r="T38" s="77">
        <f ca="1">IFERROR(__xludf.DUMMYFUNCTION("IMPORTRANGE(""https://docs.google.com/spreadsheets/d/1XL5vhW3sbDhbH9Cz0tuDiY8C3ctxq1tqvaCgkFb8cCA/edit?usp=sharing"",""นครราชสีมา!J155"")"),15)</f>
        <v>15</v>
      </c>
      <c r="U38" s="137">
        <f t="shared" ca="1" si="11"/>
        <v>100</v>
      </c>
      <c r="V38" s="80">
        <f ca="1">IFERROR(__xludf.DUMMYFUNCTION("IMPORTRANGE(""https://docs.google.com/spreadsheets/d/1C3CXT74ZlgGe6_JY_1olB1XN4rF0dxEuIIF-xsYjHgg/edit?usp=sharing"",""พรบ!BB42"")"),0)</f>
        <v>0</v>
      </c>
      <c r="W38" s="77">
        <v>0</v>
      </c>
      <c r="X38" s="137">
        <f t="shared" ca="1" si="13"/>
        <v>0</v>
      </c>
    </row>
    <row r="39" spans="1:24" ht="21" customHeight="1">
      <c r="A39" s="73">
        <v>6</v>
      </c>
      <c r="B39" s="74" t="s">
        <v>63</v>
      </c>
      <c r="C39" s="75">
        <f t="shared" ca="1" si="0"/>
        <v>20210</v>
      </c>
      <c r="D39" s="174">
        <f t="shared" ca="1" si="40"/>
        <v>20210</v>
      </c>
      <c r="E39" s="137">
        <f ca="1">IFERROR(__xludf.DUMMYFUNCTION("IMPORTRANGE(""https://docs.google.com/spreadsheets/d/1C3CXT74ZlgGe6_JY_1olB1XN4rF0dxEuIIF-xsYjHgg/edit?usp=sharing"",""พรบ!AX43"")"),0)</f>
        <v>0</v>
      </c>
      <c r="F39" s="175">
        <f ca="1">IFERROR(__xludf.DUMMYFUNCTION("IMPORTRANGE(""https://docs.google.com/spreadsheets/d/1C3CXT74ZlgGe6_JY_1olB1XN4rF0dxEuIIF-xsYjHgg/edit?usp=sharing"",""พรบ!AY43"")"),20210)</f>
        <v>20210</v>
      </c>
      <c r="G39" s="77">
        <f ca="1">IFERROR(__xludf.DUMMYFUNCTION("IMPORTRANGE(""https://docs.google.com/spreadsheets/d/1Yj_ptqi66GCucihVvJfMjLAmec39IyEx_6qawtMGysU/edit?usp=sharing"",""สบก!BQ43"")"),0)</f>
        <v>0</v>
      </c>
      <c r="H39" s="77">
        <f ca="1">IFERROR(__xludf.DUMMYFUNCTION("IMPORTRANGE(""https://docs.google.com/spreadsheets/d/1Yj_ptqi66GCucihVvJfMjLAmec39IyEx_6qawtMGysU/edit?usp=shBSing"",""สบก!BS43"")"),20210)</f>
        <v>20210</v>
      </c>
      <c r="I39" s="77">
        <f t="shared" ca="1" si="3"/>
        <v>20196</v>
      </c>
      <c r="J39" s="137">
        <f t="shared" ca="1" si="4"/>
        <v>99.930727362691741</v>
      </c>
      <c r="K39" s="77">
        <f ca="1">IFERROR(__xludf.DUMMYFUNCTION("IMPORTRANGE(""https://docs.google.com/spreadsheets/d/1Yj_ptqi66GCucihVvJfMjLAmec39IyEx_6qawtMGysU/edit?usp=sharing"",""สบก!BT43"")"),20196)</f>
        <v>20196</v>
      </c>
      <c r="L39" s="137">
        <f t="shared" ca="1" si="5"/>
        <v>99.930727362691741</v>
      </c>
      <c r="M39" s="137">
        <f t="shared" ca="1" si="6"/>
        <v>99.930727362691741</v>
      </c>
      <c r="N39" s="137">
        <f ca="1">IFERROR(__xludf.DUMMYFUNCTION("IMPORTRANGE(""https://docs.google.com/spreadsheets/d/1Yj_ptqi66GCucihVvJfMjLAmec39IyEx_6qawtMGysU/edit?usp=sharing"",""สบก!BU43"")"),0)</f>
        <v>0</v>
      </c>
      <c r="O39" s="137">
        <f t="shared" ca="1" si="7"/>
        <v>0</v>
      </c>
      <c r="P39" s="80">
        <f t="shared" ca="1" si="41"/>
        <v>14</v>
      </c>
      <c r="Q39" s="77">
        <f t="shared" ca="1" si="42"/>
        <v>14</v>
      </c>
      <c r="R39" s="137">
        <f t="shared" ca="1" si="9"/>
        <v>100</v>
      </c>
      <c r="S39" s="177">
        <f ca="1">IFERROR(__xludf.DUMMYFUNCTION("IMPORTRANGE(""https://docs.google.com/spreadsheets/d/1C3CXT74ZlgGe6_JY_1olB1XN4rF0dxEuIIF-xsYjHgg/edit?usp=sharing"",""พรบ!BA43"")"),14)</f>
        <v>14</v>
      </c>
      <c r="T39" s="77">
        <f ca="1">IFERROR(__xludf.DUMMYFUNCTION("IMPORTRANGE(""https://docs.google.com/spreadsheets/d/1XL5vhW3sbDhbH9Cz0tuDiY8C3ctxq1tqvaCgkFb8cCA/edit?usp=sharing"",""บึงกาฬ!J155"")"),14)</f>
        <v>14</v>
      </c>
      <c r="U39" s="137">
        <f t="shared" ca="1" si="11"/>
        <v>100</v>
      </c>
      <c r="V39" s="80">
        <f ca="1">IFERROR(__xludf.DUMMYFUNCTION("IMPORTRANGE(""https://docs.google.com/spreadsheets/d/1C3CXT74ZlgGe6_JY_1olB1XN4rF0dxEuIIF-xsYjHgg/edit?usp=sharing"",""พรบ!BB43"")"),0)</f>
        <v>0</v>
      </c>
      <c r="W39" s="77">
        <v>0</v>
      </c>
      <c r="X39" s="137">
        <f t="shared" ca="1" si="13"/>
        <v>0</v>
      </c>
    </row>
    <row r="40" spans="1:24" ht="21" customHeight="1">
      <c r="A40" s="73">
        <v>7</v>
      </c>
      <c r="B40" s="74" t="s">
        <v>64</v>
      </c>
      <c r="C40" s="75">
        <f t="shared" ca="1" si="0"/>
        <v>21125</v>
      </c>
      <c r="D40" s="174">
        <f t="shared" ca="1" si="40"/>
        <v>21125</v>
      </c>
      <c r="E40" s="137">
        <f ca="1">IFERROR(__xludf.DUMMYFUNCTION("IMPORTRANGE(""https://docs.google.com/spreadsheets/d/1C3CXT74ZlgGe6_JY_1olB1XN4rF0dxEuIIF-xsYjHgg/edit?usp=sharing"",""พรบ!AX44"")"),0)</f>
        <v>0</v>
      </c>
      <c r="F40" s="175">
        <f ca="1">IFERROR(__xludf.DUMMYFUNCTION("IMPORTRANGE(""https://docs.google.com/spreadsheets/d/1C3CXT74ZlgGe6_JY_1olB1XN4rF0dxEuIIF-xsYjHgg/edit?usp=sharing"",""พรบ!AY44"")"),21125)</f>
        <v>21125</v>
      </c>
      <c r="G40" s="77">
        <f ca="1">IFERROR(__xludf.DUMMYFUNCTION("IMPORTRANGE(""https://docs.google.com/spreadsheets/d/1Yj_ptqi66GCucihVvJfMjLAmec39IyEx_6qawtMGysU/edit?usp=sharing"",""สบก!BQ44"")"),0)</f>
        <v>0</v>
      </c>
      <c r="H40" s="77">
        <f ca="1">IFERROR(__xludf.DUMMYFUNCTION("IMPORTRANGE(""https://docs.google.com/spreadsheets/d/1Yj_ptqi66GCucihVvJfMjLAmec39IyEx_6qawtMGysU/edit?usp=shBSing"",""สบก!BS44"")"),21125)</f>
        <v>21125</v>
      </c>
      <c r="I40" s="77">
        <f t="shared" ca="1" si="3"/>
        <v>19732</v>
      </c>
      <c r="J40" s="137">
        <f t="shared" ca="1" si="4"/>
        <v>93.40591715976332</v>
      </c>
      <c r="K40" s="77">
        <f ca="1">IFERROR(__xludf.DUMMYFUNCTION("IMPORTRANGE(""https://docs.google.com/spreadsheets/d/1Yj_ptqi66GCucihVvJfMjLAmec39IyEx_6qawtMGysU/edit?usp=sharing"",""สบก!BT44"")"),19732)</f>
        <v>19732</v>
      </c>
      <c r="L40" s="137">
        <f t="shared" ca="1" si="5"/>
        <v>93.40591715976332</v>
      </c>
      <c r="M40" s="137">
        <f t="shared" ca="1" si="6"/>
        <v>93.40591715976332</v>
      </c>
      <c r="N40" s="137">
        <f ca="1">IFERROR(__xludf.DUMMYFUNCTION("IMPORTRANGE(""https://docs.google.com/spreadsheets/d/1Yj_ptqi66GCucihVvJfMjLAmec39IyEx_6qawtMGysU/edit?usp=sharing"",""สบก!BU44"")"),0)</f>
        <v>0</v>
      </c>
      <c r="O40" s="137">
        <f t="shared" ca="1" si="7"/>
        <v>0</v>
      </c>
      <c r="P40" s="80">
        <f t="shared" ca="1" si="41"/>
        <v>15</v>
      </c>
      <c r="Q40" s="77">
        <f t="shared" ca="1" si="42"/>
        <v>15</v>
      </c>
      <c r="R40" s="137">
        <f t="shared" ca="1" si="9"/>
        <v>100</v>
      </c>
      <c r="S40" s="177">
        <f ca="1">IFERROR(__xludf.DUMMYFUNCTION("IMPORTRANGE(""https://docs.google.com/spreadsheets/d/1C3CXT74ZlgGe6_JY_1olB1XN4rF0dxEuIIF-xsYjHgg/edit?usp=sharing"",""พรบ!BA44"")"),15)</f>
        <v>15</v>
      </c>
      <c r="T40" s="77">
        <f ca="1">IFERROR(__xludf.DUMMYFUNCTION("IMPORTRANGE(""https://docs.google.com/spreadsheets/d/1XL5vhW3sbDhbH9Cz0tuDiY8C3ctxq1tqvaCgkFb8cCA/edit?usp=sharing"",""บุรีรัมย์!J155"")"),15)</f>
        <v>15</v>
      </c>
      <c r="U40" s="137">
        <f t="shared" ca="1" si="11"/>
        <v>100</v>
      </c>
      <c r="V40" s="80">
        <f ca="1">IFERROR(__xludf.DUMMYFUNCTION("IMPORTRANGE(""https://docs.google.com/spreadsheets/d/1C3CXT74ZlgGe6_JY_1olB1XN4rF0dxEuIIF-xsYjHgg/edit?usp=sharing"",""พรบ!BB44"")"),0)</f>
        <v>0</v>
      </c>
      <c r="W40" s="77">
        <v>0</v>
      </c>
      <c r="X40" s="137">
        <f t="shared" ca="1" si="13"/>
        <v>0</v>
      </c>
    </row>
    <row r="41" spans="1:24" ht="21" customHeight="1">
      <c r="A41" s="73">
        <v>8</v>
      </c>
      <c r="B41" s="74" t="s">
        <v>65</v>
      </c>
      <c r="C41" s="75">
        <f t="shared" ca="1" si="0"/>
        <v>20210</v>
      </c>
      <c r="D41" s="174">
        <f t="shared" ca="1" si="40"/>
        <v>20210</v>
      </c>
      <c r="E41" s="137">
        <f ca="1">IFERROR(__xludf.DUMMYFUNCTION("IMPORTRANGE(""https://docs.google.com/spreadsheets/d/1C3CXT74ZlgGe6_JY_1olB1XN4rF0dxEuIIF-xsYjHgg/edit?usp=sharing"",""พรบ!AX45"")"),0)</f>
        <v>0</v>
      </c>
      <c r="F41" s="175">
        <f ca="1">IFERROR(__xludf.DUMMYFUNCTION("IMPORTRANGE(""https://docs.google.com/spreadsheets/d/1C3CXT74ZlgGe6_JY_1olB1XN4rF0dxEuIIF-xsYjHgg/edit?usp=sharing"",""พรบ!AY45"")"),20210)</f>
        <v>20210</v>
      </c>
      <c r="G41" s="77">
        <f ca="1">IFERROR(__xludf.DUMMYFUNCTION("IMPORTRANGE(""https://docs.google.com/spreadsheets/d/1Yj_ptqi66GCucihVvJfMjLAmec39IyEx_6qawtMGysU/edit?usp=sharing"",""สบก!BQ45"")"),0)</f>
        <v>0</v>
      </c>
      <c r="H41" s="77">
        <f ca="1">IFERROR(__xludf.DUMMYFUNCTION("IMPORTRANGE(""https://docs.google.com/spreadsheets/d/1Yj_ptqi66GCucihVvJfMjLAmec39IyEx_6qawtMGysU/edit?usp=shBSing"",""สบก!BS45"")"),20210)</f>
        <v>20210</v>
      </c>
      <c r="I41" s="77">
        <f t="shared" ca="1" si="3"/>
        <v>20210</v>
      </c>
      <c r="J41" s="137">
        <f t="shared" ca="1" si="4"/>
        <v>100</v>
      </c>
      <c r="K41" s="77">
        <f ca="1">IFERROR(__xludf.DUMMYFUNCTION("IMPORTRANGE(""https://docs.google.com/spreadsheets/d/1Yj_ptqi66GCucihVvJfMjLAmec39IyEx_6qawtMGysU/edit?usp=sharing"",""สบก!BT45"")"),20210)</f>
        <v>20210</v>
      </c>
      <c r="L41" s="137">
        <f t="shared" ca="1" si="5"/>
        <v>100</v>
      </c>
      <c r="M41" s="137">
        <f t="shared" ca="1" si="6"/>
        <v>100</v>
      </c>
      <c r="N41" s="137">
        <f ca="1">IFERROR(__xludf.DUMMYFUNCTION("IMPORTRANGE(""https://docs.google.com/spreadsheets/d/1Yj_ptqi66GCucihVvJfMjLAmec39IyEx_6qawtMGysU/edit?usp=sharing"",""สบก!BU45"")"),0)</f>
        <v>0</v>
      </c>
      <c r="O41" s="137">
        <f t="shared" ca="1" si="7"/>
        <v>0</v>
      </c>
      <c r="P41" s="80">
        <f t="shared" ca="1" si="41"/>
        <v>14</v>
      </c>
      <c r="Q41" s="77">
        <f t="shared" ca="1" si="42"/>
        <v>14</v>
      </c>
      <c r="R41" s="137">
        <f t="shared" ca="1" si="9"/>
        <v>100</v>
      </c>
      <c r="S41" s="177">
        <f ca="1">IFERROR(__xludf.DUMMYFUNCTION("IMPORTRANGE(""https://docs.google.com/spreadsheets/d/1C3CXT74ZlgGe6_JY_1olB1XN4rF0dxEuIIF-xsYjHgg/edit?usp=sharing"",""พรบ!BA45"")"),14)</f>
        <v>14</v>
      </c>
      <c r="T41" s="77">
        <f ca="1">IFERROR(__xludf.DUMMYFUNCTION("IMPORTRANGE(""https://docs.google.com/spreadsheets/d/1XL5vhW3sbDhbH9Cz0tuDiY8C3ctxq1tqvaCgkFb8cCA/edit?usp=sharing"",""มหาสารคาม!J155"")"),14)</f>
        <v>14</v>
      </c>
      <c r="U41" s="137">
        <f t="shared" ca="1" si="11"/>
        <v>100</v>
      </c>
      <c r="V41" s="80">
        <f ca="1">IFERROR(__xludf.DUMMYFUNCTION("IMPORTRANGE(""https://docs.google.com/spreadsheets/d/1C3CXT74ZlgGe6_JY_1olB1XN4rF0dxEuIIF-xsYjHgg/edit?usp=sharing"",""พรบ!BB45"")"),0)</f>
        <v>0</v>
      </c>
      <c r="W41" s="77">
        <v>0</v>
      </c>
      <c r="X41" s="137">
        <f t="shared" ca="1" si="13"/>
        <v>0</v>
      </c>
    </row>
    <row r="42" spans="1:24" ht="21" customHeight="1">
      <c r="A42" s="73">
        <v>9</v>
      </c>
      <c r="B42" s="74" t="s">
        <v>66</v>
      </c>
      <c r="C42" s="75">
        <f t="shared" ca="1" si="0"/>
        <v>19295</v>
      </c>
      <c r="D42" s="174">
        <f t="shared" ca="1" si="40"/>
        <v>19295</v>
      </c>
      <c r="E42" s="137">
        <f ca="1">IFERROR(__xludf.DUMMYFUNCTION("IMPORTRANGE(""https://docs.google.com/spreadsheets/d/1C3CXT74ZlgGe6_JY_1olB1XN4rF0dxEuIIF-xsYjHgg/edit?usp=sharing"",""พรบ!AX46"")"),0)</f>
        <v>0</v>
      </c>
      <c r="F42" s="175">
        <f ca="1">IFERROR(__xludf.DUMMYFUNCTION("IMPORTRANGE(""https://docs.google.com/spreadsheets/d/1C3CXT74ZlgGe6_JY_1olB1XN4rF0dxEuIIF-xsYjHgg/edit?usp=sharing"",""พรบ!AY46"")"),19295)</f>
        <v>19295</v>
      </c>
      <c r="G42" s="77">
        <f ca="1">IFERROR(__xludf.DUMMYFUNCTION("IMPORTRANGE(""https://docs.google.com/spreadsheets/d/1Yj_ptqi66GCucihVvJfMjLAmec39IyEx_6qawtMGysU/edit?usp=sharing"",""สบก!BQ46"")"),0)</f>
        <v>0</v>
      </c>
      <c r="H42" s="77">
        <f ca="1">IFERROR(__xludf.DUMMYFUNCTION("IMPORTRANGE(""https://docs.google.com/spreadsheets/d/1Yj_ptqi66GCucihVvJfMjLAmec39IyEx_6qawtMGysU/edit?usp=shBSing"",""สบก!BS46"")"),19295)</f>
        <v>19295</v>
      </c>
      <c r="I42" s="77">
        <f t="shared" ca="1" si="3"/>
        <v>19295</v>
      </c>
      <c r="J42" s="137">
        <f t="shared" ca="1" si="4"/>
        <v>100</v>
      </c>
      <c r="K42" s="77">
        <f ca="1">IFERROR(__xludf.DUMMYFUNCTION("IMPORTRANGE(""https://docs.google.com/spreadsheets/d/1Yj_ptqi66GCucihVvJfMjLAmec39IyEx_6qawtMGysU/edit?usp=sharing"",""สบก!BT46"")"),19295)</f>
        <v>19295</v>
      </c>
      <c r="L42" s="137">
        <f t="shared" ca="1" si="5"/>
        <v>100</v>
      </c>
      <c r="M42" s="137">
        <f t="shared" ca="1" si="6"/>
        <v>100</v>
      </c>
      <c r="N42" s="137">
        <f ca="1">IFERROR(__xludf.DUMMYFUNCTION("IMPORTRANGE(""https://docs.google.com/spreadsheets/d/1Yj_ptqi66GCucihVvJfMjLAmec39IyEx_6qawtMGysU/edit?usp=sharing"",""สบก!BU46"")"),0)</f>
        <v>0</v>
      </c>
      <c r="O42" s="137">
        <f t="shared" ca="1" si="7"/>
        <v>0</v>
      </c>
      <c r="P42" s="80">
        <f t="shared" ca="1" si="41"/>
        <v>13</v>
      </c>
      <c r="Q42" s="77">
        <f t="shared" ca="1" si="42"/>
        <v>13</v>
      </c>
      <c r="R42" s="137">
        <f t="shared" ca="1" si="9"/>
        <v>100</v>
      </c>
      <c r="S42" s="177">
        <f ca="1">IFERROR(__xludf.DUMMYFUNCTION("IMPORTRANGE(""https://docs.google.com/spreadsheets/d/1C3CXT74ZlgGe6_JY_1olB1XN4rF0dxEuIIF-xsYjHgg/edit?usp=sharing"",""พรบ!BA46"")"),13)</f>
        <v>13</v>
      </c>
      <c r="T42" s="77">
        <f ca="1">IFERROR(__xludf.DUMMYFUNCTION("IMPORTRANGE(""https://docs.google.com/spreadsheets/d/1XL5vhW3sbDhbH9Cz0tuDiY8C3ctxq1tqvaCgkFb8cCA/edit?usp=sharing"",""มุกดาหาร!J155"")"),13)</f>
        <v>13</v>
      </c>
      <c r="U42" s="137">
        <f t="shared" ca="1" si="11"/>
        <v>100</v>
      </c>
      <c r="V42" s="80">
        <f ca="1">IFERROR(__xludf.DUMMYFUNCTION("IMPORTRANGE(""https://docs.google.com/spreadsheets/d/1C3CXT74ZlgGe6_JY_1olB1XN4rF0dxEuIIF-xsYjHgg/edit?usp=sharing"",""พรบ!BB46"")"),0)</f>
        <v>0</v>
      </c>
      <c r="W42" s="77">
        <v>0</v>
      </c>
      <c r="X42" s="137">
        <f t="shared" ca="1" si="13"/>
        <v>0</v>
      </c>
    </row>
    <row r="43" spans="1:24" ht="21" customHeight="1">
      <c r="A43" s="73">
        <v>10</v>
      </c>
      <c r="B43" s="74" t="s">
        <v>67</v>
      </c>
      <c r="C43" s="75">
        <f t="shared" ca="1" si="0"/>
        <v>20210</v>
      </c>
      <c r="D43" s="174">
        <f t="shared" ca="1" si="40"/>
        <v>20210</v>
      </c>
      <c r="E43" s="137">
        <f ca="1">IFERROR(__xludf.DUMMYFUNCTION("IMPORTRANGE(""https://docs.google.com/spreadsheets/d/1C3CXT74ZlgGe6_JY_1olB1XN4rF0dxEuIIF-xsYjHgg/edit?usp=sharing"",""พรบ!AX47"")"),0)</f>
        <v>0</v>
      </c>
      <c r="F43" s="175">
        <f ca="1">IFERROR(__xludf.DUMMYFUNCTION("IMPORTRANGE(""https://docs.google.com/spreadsheets/d/1C3CXT74ZlgGe6_JY_1olB1XN4rF0dxEuIIF-xsYjHgg/edit?usp=sharing"",""พรบ!AY47"")"),20210)</f>
        <v>20210</v>
      </c>
      <c r="G43" s="77">
        <f ca="1">IFERROR(__xludf.DUMMYFUNCTION("IMPORTRANGE(""https://docs.google.com/spreadsheets/d/1Yj_ptqi66GCucihVvJfMjLAmec39IyEx_6qawtMGysU/edit?usp=sharing"",""สบก!BQ47"")"),0)</f>
        <v>0</v>
      </c>
      <c r="H43" s="77">
        <f ca="1">IFERROR(__xludf.DUMMYFUNCTION("IMPORTRANGE(""https://docs.google.com/spreadsheets/d/1Yj_ptqi66GCucihVvJfMjLAmec39IyEx_6qawtMGysU/edit?usp=shBSing"",""สบก!BS47"")"),20210)</f>
        <v>20210</v>
      </c>
      <c r="I43" s="77">
        <f t="shared" ca="1" si="3"/>
        <v>20210</v>
      </c>
      <c r="J43" s="137">
        <f t="shared" ca="1" si="4"/>
        <v>100</v>
      </c>
      <c r="K43" s="77">
        <f ca="1">IFERROR(__xludf.DUMMYFUNCTION("IMPORTRANGE(""https://docs.google.com/spreadsheets/d/1Yj_ptqi66GCucihVvJfMjLAmec39IyEx_6qawtMGysU/edit?usp=sharing"",""สบก!BT47"")"),20210)</f>
        <v>20210</v>
      </c>
      <c r="L43" s="137">
        <f t="shared" ca="1" si="5"/>
        <v>100</v>
      </c>
      <c r="M43" s="137">
        <f t="shared" ca="1" si="6"/>
        <v>100</v>
      </c>
      <c r="N43" s="137">
        <f ca="1">IFERROR(__xludf.DUMMYFUNCTION("IMPORTRANGE(""https://docs.google.com/spreadsheets/d/1Yj_ptqi66GCucihVvJfMjLAmec39IyEx_6qawtMGysU/edit?usp=sharing"",""สบก!BU47"")"),0)</f>
        <v>0</v>
      </c>
      <c r="O43" s="137">
        <f t="shared" ca="1" si="7"/>
        <v>0</v>
      </c>
      <c r="P43" s="80">
        <f t="shared" ca="1" si="41"/>
        <v>14</v>
      </c>
      <c r="Q43" s="77">
        <f t="shared" ca="1" si="42"/>
        <v>14</v>
      </c>
      <c r="R43" s="137">
        <f t="shared" ca="1" si="9"/>
        <v>100</v>
      </c>
      <c r="S43" s="177">
        <f ca="1">IFERROR(__xludf.DUMMYFUNCTION("IMPORTRANGE(""https://docs.google.com/spreadsheets/d/1C3CXT74ZlgGe6_JY_1olB1XN4rF0dxEuIIF-xsYjHgg/edit?usp=sharing"",""พรบ!BA47"")"),14)</f>
        <v>14</v>
      </c>
      <c r="T43" s="77">
        <f ca="1">IFERROR(__xludf.DUMMYFUNCTION("IMPORTRANGE(""https://docs.google.com/spreadsheets/d/1XL5vhW3sbDhbH9Cz0tuDiY8C3ctxq1tqvaCgkFb8cCA/edit?usp=sharing"",""ยโสธร!J155"")"),14)</f>
        <v>14</v>
      </c>
      <c r="U43" s="137">
        <f t="shared" ca="1" si="11"/>
        <v>100</v>
      </c>
      <c r="V43" s="80">
        <f ca="1">IFERROR(__xludf.DUMMYFUNCTION("IMPORTRANGE(""https://docs.google.com/spreadsheets/d/1C3CXT74ZlgGe6_JY_1olB1XN4rF0dxEuIIF-xsYjHgg/edit?usp=sharing"",""พรบ!BB47"")"),0)</f>
        <v>0</v>
      </c>
      <c r="W43" s="77">
        <v>0</v>
      </c>
      <c r="X43" s="137">
        <f t="shared" ca="1" si="13"/>
        <v>0</v>
      </c>
    </row>
    <row r="44" spans="1:24" ht="21" customHeight="1">
      <c r="A44" s="73">
        <v>11</v>
      </c>
      <c r="B44" s="74" t="s">
        <v>68</v>
      </c>
      <c r="C44" s="75">
        <f t="shared" ca="1" si="0"/>
        <v>16550</v>
      </c>
      <c r="D44" s="174">
        <f t="shared" ca="1" si="40"/>
        <v>16550</v>
      </c>
      <c r="E44" s="137">
        <f ca="1">IFERROR(__xludf.DUMMYFUNCTION("IMPORTRANGE(""https://docs.google.com/spreadsheets/d/1C3CXT74ZlgGe6_JY_1olB1XN4rF0dxEuIIF-xsYjHgg/edit?usp=sharing"",""พรบ!AX48"")"),0)</f>
        <v>0</v>
      </c>
      <c r="F44" s="175">
        <f ca="1">IFERROR(__xludf.DUMMYFUNCTION("IMPORTRANGE(""https://docs.google.com/spreadsheets/d/1C3CXT74ZlgGe6_JY_1olB1XN4rF0dxEuIIF-xsYjHgg/edit?usp=sharing"",""พรบ!AY48"")"),16550)</f>
        <v>16550</v>
      </c>
      <c r="G44" s="77">
        <f ca="1">IFERROR(__xludf.DUMMYFUNCTION("IMPORTRANGE(""https://docs.google.com/spreadsheets/d/1Yj_ptqi66GCucihVvJfMjLAmec39IyEx_6qawtMGysU/edit?usp=sharing"",""สบก!BQ48"")"),0)</f>
        <v>0</v>
      </c>
      <c r="H44" s="77">
        <f ca="1">IFERROR(__xludf.DUMMYFUNCTION("IMPORTRANGE(""https://docs.google.com/spreadsheets/d/1Yj_ptqi66GCucihVvJfMjLAmec39IyEx_6qawtMGysU/edit?usp=shBSing"",""สบก!BS48"")"),16550)</f>
        <v>16550</v>
      </c>
      <c r="I44" s="77">
        <f t="shared" ca="1" si="3"/>
        <v>16510</v>
      </c>
      <c r="J44" s="137">
        <f t="shared" ca="1" si="4"/>
        <v>99.758308157099691</v>
      </c>
      <c r="K44" s="77">
        <f ca="1">IFERROR(__xludf.DUMMYFUNCTION("IMPORTRANGE(""https://docs.google.com/spreadsheets/d/1Yj_ptqi66GCucihVvJfMjLAmec39IyEx_6qawtMGysU/edit?usp=sharing"",""สบก!BT48"")"),16510)</f>
        <v>16510</v>
      </c>
      <c r="L44" s="137">
        <f t="shared" ca="1" si="5"/>
        <v>99.758308157099691</v>
      </c>
      <c r="M44" s="137">
        <f t="shared" ca="1" si="6"/>
        <v>99.758308157099691</v>
      </c>
      <c r="N44" s="137">
        <f ca="1">IFERROR(__xludf.DUMMYFUNCTION("IMPORTRANGE(""https://docs.google.com/spreadsheets/d/1Yj_ptqi66GCucihVvJfMjLAmec39IyEx_6qawtMGysU/edit?usp=sharing"",""สบก!BU48"")"),0)</f>
        <v>0</v>
      </c>
      <c r="O44" s="137">
        <f t="shared" ca="1" si="7"/>
        <v>0</v>
      </c>
      <c r="P44" s="80">
        <f t="shared" ca="1" si="41"/>
        <v>10</v>
      </c>
      <c r="Q44" s="77">
        <f t="shared" ca="1" si="42"/>
        <v>10</v>
      </c>
      <c r="R44" s="137">
        <f t="shared" ca="1" si="9"/>
        <v>100</v>
      </c>
      <c r="S44" s="177">
        <f ca="1">IFERROR(__xludf.DUMMYFUNCTION("IMPORTRANGE(""https://docs.google.com/spreadsheets/d/1C3CXT74ZlgGe6_JY_1olB1XN4rF0dxEuIIF-xsYjHgg/edit?usp=sharing"",""พรบ!BA48"")"),10)</f>
        <v>10</v>
      </c>
      <c r="T44" s="77">
        <f ca="1">IFERROR(__xludf.DUMMYFUNCTION("IMPORTRANGE(""https://docs.google.com/spreadsheets/d/1XL5vhW3sbDhbH9Cz0tuDiY8C3ctxq1tqvaCgkFb8cCA/edit?usp=sharing"",""ร้อยเอ็ด!J155"")"),10)</f>
        <v>10</v>
      </c>
      <c r="U44" s="137">
        <f t="shared" ca="1" si="11"/>
        <v>100</v>
      </c>
      <c r="V44" s="80">
        <f ca="1">IFERROR(__xludf.DUMMYFUNCTION("IMPORTRANGE(""https://docs.google.com/spreadsheets/d/1C3CXT74ZlgGe6_JY_1olB1XN4rF0dxEuIIF-xsYjHgg/edit?usp=sharing"",""พรบ!BB48"")"),0)</f>
        <v>0</v>
      </c>
      <c r="W44" s="77">
        <v>0</v>
      </c>
      <c r="X44" s="137">
        <f t="shared" ca="1" si="13"/>
        <v>0</v>
      </c>
    </row>
    <row r="45" spans="1:24" ht="21" customHeight="1">
      <c r="A45" s="73">
        <v>12</v>
      </c>
      <c r="B45" s="74" t="s">
        <v>69</v>
      </c>
      <c r="C45" s="75">
        <f t="shared" ca="1" si="0"/>
        <v>21125</v>
      </c>
      <c r="D45" s="174">
        <f t="shared" ca="1" si="40"/>
        <v>21125</v>
      </c>
      <c r="E45" s="137">
        <f ca="1">IFERROR(__xludf.DUMMYFUNCTION("IMPORTRANGE(""https://docs.google.com/spreadsheets/d/1C3CXT74ZlgGe6_JY_1olB1XN4rF0dxEuIIF-xsYjHgg/edit?usp=sharing"",""พรบ!AX49"")"),0)</f>
        <v>0</v>
      </c>
      <c r="F45" s="175">
        <f ca="1">IFERROR(__xludf.DUMMYFUNCTION("IMPORTRANGE(""https://docs.google.com/spreadsheets/d/1C3CXT74ZlgGe6_JY_1olB1XN4rF0dxEuIIF-xsYjHgg/edit?usp=sharing"",""พรบ!AY49"")"),21125)</f>
        <v>21125</v>
      </c>
      <c r="G45" s="77">
        <f ca="1">IFERROR(__xludf.DUMMYFUNCTION("IMPORTRANGE(""https://docs.google.com/spreadsheets/d/1Yj_ptqi66GCucihVvJfMjLAmec39IyEx_6qawtMGysU/edit?usp=sharing"",""สบก!BQ49"")"),0)</f>
        <v>0</v>
      </c>
      <c r="H45" s="77">
        <f ca="1">IFERROR(__xludf.DUMMYFUNCTION("IMPORTRANGE(""https://docs.google.com/spreadsheets/d/1Yj_ptqi66GCucihVvJfMjLAmec39IyEx_6qawtMGysU/edit?usp=shBSing"",""สบก!BS49"")"),21125)</f>
        <v>21125</v>
      </c>
      <c r="I45" s="77">
        <f t="shared" ca="1" si="3"/>
        <v>20805</v>
      </c>
      <c r="J45" s="137">
        <f t="shared" ca="1" si="4"/>
        <v>98.485207100591722</v>
      </c>
      <c r="K45" s="77">
        <f ca="1">IFERROR(__xludf.DUMMYFUNCTION("IMPORTRANGE(""https://docs.google.com/spreadsheets/d/1Yj_ptqi66GCucihVvJfMjLAmec39IyEx_6qawtMGysU/edit?usp=sharing"",""สบก!BT49"")"),20805)</f>
        <v>20805</v>
      </c>
      <c r="L45" s="137">
        <f t="shared" ca="1" si="5"/>
        <v>98.485207100591722</v>
      </c>
      <c r="M45" s="137">
        <f t="shared" ca="1" si="6"/>
        <v>98.485207100591722</v>
      </c>
      <c r="N45" s="137">
        <f ca="1">IFERROR(__xludf.DUMMYFUNCTION("IMPORTRANGE(""https://docs.google.com/spreadsheets/d/1Yj_ptqi66GCucihVvJfMjLAmec39IyEx_6qawtMGysU/edit?usp=sharing"",""สบก!BU49"")"),0)</f>
        <v>0</v>
      </c>
      <c r="O45" s="137">
        <f t="shared" ca="1" si="7"/>
        <v>0</v>
      </c>
      <c r="P45" s="80">
        <f t="shared" ca="1" si="41"/>
        <v>15</v>
      </c>
      <c r="Q45" s="77">
        <f t="shared" ca="1" si="42"/>
        <v>15</v>
      </c>
      <c r="R45" s="137">
        <f t="shared" ca="1" si="9"/>
        <v>100</v>
      </c>
      <c r="S45" s="177">
        <f ca="1">IFERROR(__xludf.DUMMYFUNCTION("IMPORTRANGE(""https://docs.google.com/spreadsheets/d/1C3CXT74ZlgGe6_JY_1olB1XN4rF0dxEuIIF-xsYjHgg/edit?usp=sharing"",""พรบ!BA49"")"),15)</f>
        <v>15</v>
      </c>
      <c r="T45" s="77">
        <f ca="1">IFERROR(__xludf.DUMMYFUNCTION("IMPORTRANGE(""https://docs.google.com/spreadsheets/d/1XL5vhW3sbDhbH9Cz0tuDiY8C3ctxq1tqvaCgkFb8cCA/edit?usp=sharing"",""เลย!J155"")"),15)</f>
        <v>15</v>
      </c>
      <c r="U45" s="137">
        <f t="shared" ca="1" si="11"/>
        <v>100</v>
      </c>
      <c r="V45" s="80">
        <f ca="1">IFERROR(__xludf.DUMMYFUNCTION("IMPORTRANGE(""https://docs.google.com/spreadsheets/d/1C3CXT74ZlgGe6_JY_1olB1XN4rF0dxEuIIF-xsYjHgg/edit?usp=sharing"",""พรบ!BB49"")"),0)</f>
        <v>0</v>
      </c>
      <c r="W45" s="77">
        <v>0</v>
      </c>
      <c r="X45" s="137">
        <f t="shared" ca="1" si="13"/>
        <v>0</v>
      </c>
    </row>
    <row r="46" spans="1:24" ht="21" customHeight="1">
      <c r="A46" s="73">
        <v>13</v>
      </c>
      <c r="B46" s="74" t="s">
        <v>70</v>
      </c>
      <c r="C46" s="75">
        <f t="shared" ca="1" si="0"/>
        <v>21125</v>
      </c>
      <c r="D46" s="174">
        <f t="shared" ca="1" si="40"/>
        <v>21125</v>
      </c>
      <c r="E46" s="137">
        <f ca="1">IFERROR(__xludf.DUMMYFUNCTION("IMPORTRANGE(""https://docs.google.com/spreadsheets/d/1C3CXT74ZlgGe6_JY_1olB1XN4rF0dxEuIIF-xsYjHgg/edit?usp=sharing"",""พรบ!AX50"")"),0)</f>
        <v>0</v>
      </c>
      <c r="F46" s="175">
        <f ca="1">IFERROR(__xludf.DUMMYFUNCTION("IMPORTRANGE(""https://docs.google.com/spreadsheets/d/1C3CXT74ZlgGe6_JY_1olB1XN4rF0dxEuIIF-xsYjHgg/edit?usp=sharing"",""พรบ!AY50"")"),21125)</f>
        <v>21125</v>
      </c>
      <c r="G46" s="77">
        <f ca="1">IFERROR(__xludf.DUMMYFUNCTION("IMPORTRANGE(""https://docs.google.com/spreadsheets/d/1Yj_ptqi66GCucihVvJfMjLAmec39IyEx_6qawtMGysU/edit?usp=sharing"",""สบก!BQ50"")"),0)</f>
        <v>0</v>
      </c>
      <c r="H46" s="77">
        <f ca="1">IFERROR(__xludf.DUMMYFUNCTION("IMPORTRANGE(""https://docs.google.com/spreadsheets/d/1Yj_ptqi66GCucihVvJfMjLAmec39IyEx_6qawtMGysU/edit?usp=shBSing"",""สบก!BS50"")"),21125)</f>
        <v>21125</v>
      </c>
      <c r="I46" s="77">
        <f t="shared" ca="1" si="3"/>
        <v>21125</v>
      </c>
      <c r="J46" s="137">
        <f t="shared" ca="1" si="4"/>
        <v>100</v>
      </c>
      <c r="K46" s="77">
        <f ca="1">IFERROR(__xludf.DUMMYFUNCTION("IMPORTRANGE(""https://docs.google.com/spreadsheets/d/1Yj_ptqi66GCucihVvJfMjLAmec39IyEx_6qawtMGysU/edit?usp=sharing"",""สบก!BT50"")"),21125)</f>
        <v>21125</v>
      </c>
      <c r="L46" s="137">
        <f t="shared" ca="1" si="5"/>
        <v>100</v>
      </c>
      <c r="M46" s="137">
        <f t="shared" ca="1" si="6"/>
        <v>100</v>
      </c>
      <c r="N46" s="137">
        <f ca="1">IFERROR(__xludf.DUMMYFUNCTION("IMPORTRANGE(""https://docs.google.com/spreadsheets/d/1Yj_ptqi66GCucihVvJfMjLAmec39IyEx_6qawtMGysU/edit?usp=sharing"",""สบก!BU50"")"),0)</f>
        <v>0</v>
      </c>
      <c r="O46" s="137">
        <f t="shared" ca="1" si="7"/>
        <v>0</v>
      </c>
      <c r="P46" s="80">
        <f t="shared" ca="1" si="41"/>
        <v>15</v>
      </c>
      <c r="Q46" s="77">
        <f t="shared" ca="1" si="42"/>
        <v>15</v>
      </c>
      <c r="R46" s="137">
        <f t="shared" ca="1" si="9"/>
        <v>100</v>
      </c>
      <c r="S46" s="177">
        <f ca="1">IFERROR(__xludf.DUMMYFUNCTION("IMPORTRANGE(""https://docs.google.com/spreadsheets/d/1C3CXT74ZlgGe6_JY_1olB1XN4rF0dxEuIIF-xsYjHgg/edit?usp=sharing"",""พรบ!BA50"")"),15)</f>
        <v>15</v>
      </c>
      <c r="T46" s="77">
        <f ca="1">IFERROR(__xludf.DUMMYFUNCTION("IMPORTRANGE(""https://docs.google.com/spreadsheets/d/1XL5vhW3sbDhbH9Cz0tuDiY8C3ctxq1tqvaCgkFb8cCA/edit?usp=sharing"",""ศรีสะเกษ!J155"")"),15)</f>
        <v>15</v>
      </c>
      <c r="U46" s="137">
        <f t="shared" ca="1" si="11"/>
        <v>100</v>
      </c>
      <c r="V46" s="80">
        <f ca="1">IFERROR(__xludf.DUMMYFUNCTION("IMPORTRANGE(""https://docs.google.com/spreadsheets/d/1C3CXT74ZlgGe6_JY_1olB1XN4rF0dxEuIIF-xsYjHgg/edit?usp=sharing"",""พรบ!BB50"")"),0)</f>
        <v>0</v>
      </c>
      <c r="W46" s="77">
        <v>0</v>
      </c>
      <c r="X46" s="137">
        <f t="shared" ca="1" si="13"/>
        <v>0</v>
      </c>
    </row>
    <row r="47" spans="1:24" ht="21" customHeight="1">
      <c r="A47" s="73">
        <v>14</v>
      </c>
      <c r="B47" s="74" t="s">
        <v>71</v>
      </c>
      <c r="C47" s="75">
        <f t="shared" ca="1" si="0"/>
        <v>20210</v>
      </c>
      <c r="D47" s="174">
        <f t="shared" ca="1" si="40"/>
        <v>20210</v>
      </c>
      <c r="E47" s="137">
        <f ca="1">IFERROR(__xludf.DUMMYFUNCTION("IMPORTRANGE(""https://docs.google.com/spreadsheets/d/1C3CXT74ZlgGe6_JY_1olB1XN4rF0dxEuIIF-xsYjHgg/edit?usp=sharing"",""พรบ!AX51"")"),0)</f>
        <v>0</v>
      </c>
      <c r="F47" s="175">
        <f ca="1">IFERROR(__xludf.DUMMYFUNCTION("IMPORTRANGE(""https://docs.google.com/spreadsheets/d/1C3CXT74ZlgGe6_JY_1olB1XN4rF0dxEuIIF-xsYjHgg/edit?usp=sharing"",""พรบ!AY51"")"),20210)</f>
        <v>20210</v>
      </c>
      <c r="G47" s="77">
        <f ca="1">IFERROR(__xludf.DUMMYFUNCTION("IMPORTRANGE(""https://docs.google.com/spreadsheets/d/1Yj_ptqi66GCucihVvJfMjLAmec39IyEx_6qawtMGysU/edit?usp=sharing"",""สบก!BQ51"")"),0)</f>
        <v>0</v>
      </c>
      <c r="H47" s="77">
        <f ca="1">IFERROR(__xludf.DUMMYFUNCTION("IMPORTRANGE(""https://docs.google.com/spreadsheets/d/1Yj_ptqi66GCucihVvJfMjLAmec39IyEx_6qawtMGysU/edit?usp=shBSing"",""สบก!BS51"")"),20210)</f>
        <v>20210</v>
      </c>
      <c r="I47" s="77">
        <f t="shared" ca="1" si="3"/>
        <v>20210</v>
      </c>
      <c r="J47" s="137">
        <f t="shared" ca="1" si="4"/>
        <v>100</v>
      </c>
      <c r="K47" s="77">
        <f ca="1">IFERROR(__xludf.DUMMYFUNCTION("IMPORTRANGE(""https://docs.google.com/spreadsheets/d/1Yj_ptqi66GCucihVvJfMjLAmec39IyEx_6qawtMGysU/edit?usp=sharing"",""สบก!BT51"")"),20210)</f>
        <v>20210</v>
      </c>
      <c r="L47" s="137">
        <f t="shared" ca="1" si="5"/>
        <v>100</v>
      </c>
      <c r="M47" s="137">
        <f t="shared" ca="1" si="6"/>
        <v>100</v>
      </c>
      <c r="N47" s="137">
        <f ca="1">IFERROR(__xludf.DUMMYFUNCTION("IMPORTRANGE(""https://docs.google.com/spreadsheets/d/1Yj_ptqi66GCucihVvJfMjLAmec39IyEx_6qawtMGysU/edit?usp=sharing"",""สบก!BU51"")"),0)</f>
        <v>0</v>
      </c>
      <c r="O47" s="137">
        <f t="shared" ca="1" si="7"/>
        <v>0</v>
      </c>
      <c r="P47" s="80">
        <f t="shared" ca="1" si="41"/>
        <v>14</v>
      </c>
      <c r="Q47" s="77">
        <f t="shared" ca="1" si="42"/>
        <v>14</v>
      </c>
      <c r="R47" s="137">
        <f t="shared" ca="1" si="9"/>
        <v>100</v>
      </c>
      <c r="S47" s="177">
        <f ca="1">IFERROR(__xludf.DUMMYFUNCTION("IMPORTRANGE(""https://docs.google.com/spreadsheets/d/1C3CXT74ZlgGe6_JY_1olB1XN4rF0dxEuIIF-xsYjHgg/edit?usp=sharing"",""พรบ!BA51"")"),14)</f>
        <v>14</v>
      </c>
      <c r="T47" s="77">
        <f ca="1">IFERROR(__xludf.DUMMYFUNCTION("IMPORTRANGE(""https://docs.google.com/spreadsheets/d/1XL5vhW3sbDhbH9Cz0tuDiY8C3ctxq1tqvaCgkFb8cCA/edit?usp=sharing"",""สกลนคร!J155"")"),14)</f>
        <v>14</v>
      </c>
      <c r="U47" s="137">
        <f t="shared" ca="1" si="11"/>
        <v>100</v>
      </c>
      <c r="V47" s="80">
        <f ca="1">IFERROR(__xludf.DUMMYFUNCTION("IMPORTRANGE(""https://docs.google.com/spreadsheets/d/1C3CXT74ZlgGe6_JY_1olB1XN4rF0dxEuIIF-xsYjHgg/edit?usp=sharing"",""พรบ!BB51"")"),0)</f>
        <v>0</v>
      </c>
      <c r="W47" s="77">
        <v>0</v>
      </c>
      <c r="X47" s="137">
        <f t="shared" ca="1" si="13"/>
        <v>0</v>
      </c>
    </row>
    <row r="48" spans="1:24" ht="21" customHeight="1">
      <c r="A48" s="73">
        <v>15</v>
      </c>
      <c r="B48" s="74" t="s">
        <v>72</v>
      </c>
      <c r="C48" s="75">
        <f t="shared" ca="1" si="0"/>
        <v>20210</v>
      </c>
      <c r="D48" s="174">
        <f t="shared" ca="1" si="40"/>
        <v>20210</v>
      </c>
      <c r="E48" s="137">
        <f ca="1">IFERROR(__xludf.DUMMYFUNCTION("IMPORTRANGE(""https://docs.google.com/spreadsheets/d/1C3CXT74ZlgGe6_JY_1olB1XN4rF0dxEuIIF-xsYjHgg/edit?usp=sharing"",""พรบ!AX52"")"),0)</f>
        <v>0</v>
      </c>
      <c r="F48" s="175">
        <f ca="1">IFERROR(__xludf.DUMMYFUNCTION("IMPORTRANGE(""https://docs.google.com/spreadsheets/d/1C3CXT74ZlgGe6_JY_1olB1XN4rF0dxEuIIF-xsYjHgg/edit?usp=sharing"",""พรบ!AY52"")"),20210)</f>
        <v>20210</v>
      </c>
      <c r="G48" s="77">
        <f ca="1">IFERROR(__xludf.DUMMYFUNCTION("IMPORTRANGE(""https://docs.google.com/spreadsheets/d/1Yj_ptqi66GCucihVvJfMjLAmec39IyEx_6qawtMGysU/edit?usp=sharing"",""สบก!BQ52"")"),0)</f>
        <v>0</v>
      </c>
      <c r="H48" s="77">
        <f ca="1">IFERROR(__xludf.DUMMYFUNCTION("IMPORTRANGE(""https://docs.google.com/spreadsheets/d/1Yj_ptqi66GCucihVvJfMjLAmec39IyEx_6qawtMGysU/edit?usp=shBSing"",""สบก!BS52"")"),20210)</f>
        <v>20210</v>
      </c>
      <c r="I48" s="77">
        <f t="shared" ca="1" si="3"/>
        <v>20210</v>
      </c>
      <c r="J48" s="137">
        <f t="shared" ca="1" si="4"/>
        <v>100</v>
      </c>
      <c r="K48" s="77">
        <f ca="1">IFERROR(__xludf.DUMMYFUNCTION("IMPORTRANGE(""https://docs.google.com/spreadsheets/d/1Yj_ptqi66GCucihVvJfMjLAmec39IyEx_6qawtMGysU/edit?usp=sharing"",""สบก!BT52"")"),20210)</f>
        <v>20210</v>
      </c>
      <c r="L48" s="137">
        <f t="shared" ca="1" si="5"/>
        <v>100</v>
      </c>
      <c r="M48" s="137">
        <f t="shared" ca="1" si="6"/>
        <v>100</v>
      </c>
      <c r="N48" s="137">
        <f ca="1">IFERROR(__xludf.DUMMYFUNCTION("IMPORTRANGE(""https://docs.google.com/spreadsheets/d/1Yj_ptqi66GCucihVvJfMjLAmec39IyEx_6qawtMGysU/edit?usp=sharing"",""สบก!BU52"")"),0)</f>
        <v>0</v>
      </c>
      <c r="O48" s="137">
        <f t="shared" ca="1" si="7"/>
        <v>0</v>
      </c>
      <c r="P48" s="80">
        <f t="shared" ca="1" si="41"/>
        <v>14</v>
      </c>
      <c r="Q48" s="77">
        <f t="shared" ca="1" si="42"/>
        <v>14</v>
      </c>
      <c r="R48" s="137">
        <f t="shared" ca="1" si="9"/>
        <v>100</v>
      </c>
      <c r="S48" s="177">
        <f ca="1">IFERROR(__xludf.DUMMYFUNCTION("IMPORTRANGE(""https://docs.google.com/spreadsheets/d/1C3CXT74ZlgGe6_JY_1olB1XN4rF0dxEuIIF-xsYjHgg/edit?usp=sharing"",""พรบ!BA52"")"),14)</f>
        <v>14</v>
      </c>
      <c r="T48" s="77">
        <f ca="1">IFERROR(__xludf.DUMMYFUNCTION("IMPORTRANGE(""https://docs.google.com/spreadsheets/d/1XL5vhW3sbDhbH9Cz0tuDiY8C3ctxq1tqvaCgkFb8cCA/edit?usp=sharing"",""สุรินทร์!J155"")"),14)</f>
        <v>14</v>
      </c>
      <c r="U48" s="137">
        <f t="shared" ca="1" si="11"/>
        <v>100</v>
      </c>
      <c r="V48" s="80">
        <f ca="1">IFERROR(__xludf.DUMMYFUNCTION("IMPORTRANGE(""https://docs.google.com/spreadsheets/d/1C3CXT74ZlgGe6_JY_1olB1XN4rF0dxEuIIF-xsYjHgg/edit?usp=sharing"",""พรบ!BB52"")"),0)</f>
        <v>0</v>
      </c>
      <c r="W48" s="77">
        <v>0</v>
      </c>
      <c r="X48" s="137">
        <f t="shared" ca="1" si="13"/>
        <v>0</v>
      </c>
    </row>
    <row r="49" spans="1:24" ht="21" customHeight="1">
      <c r="A49" s="73">
        <v>16</v>
      </c>
      <c r="B49" s="74" t="s">
        <v>73</v>
      </c>
      <c r="C49" s="75">
        <f t="shared" ca="1" si="0"/>
        <v>21125</v>
      </c>
      <c r="D49" s="174">
        <f t="shared" ca="1" si="40"/>
        <v>21125</v>
      </c>
      <c r="E49" s="137">
        <f ca="1">IFERROR(__xludf.DUMMYFUNCTION("IMPORTRANGE(""https://docs.google.com/spreadsheets/d/1C3CXT74ZlgGe6_JY_1olB1XN4rF0dxEuIIF-xsYjHgg/edit?usp=sharing"",""พรบ!AX53"")"),0)</f>
        <v>0</v>
      </c>
      <c r="F49" s="175">
        <f ca="1">IFERROR(__xludf.DUMMYFUNCTION("IMPORTRANGE(""https://docs.google.com/spreadsheets/d/1C3CXT74ZlgGe6_JY_1olB1XN4rF0dxEuIIF-xsYjHgg/edit?usp=sharing"",""พรบ!AY53"")"),21125)</f>
        <v>21125</v>
      </c>
      <c r="G49" s="77">
        <f ca="1">IFERROR(__xludf.DUMMYFUNCTION("IMPORTRANGE(""https://docs.google.com/spreadsheets/d/1Yj_ptqi66GCucihVvJfMjLAmec39IyEx_6qawtMGysU/edit?usp=sharing"",""สบก!BQ53"")"),0)</f>
        <v>0</v>
      </c>
      <c r="H49" s="77">
        <f ca="1">IFERROR(__xludf.DUMMYFUNCTION("IMPORTRANGE(""https://docs.google.com/spreadsheets/d/1Yj_ptqi66GCucihVvJfMjLAmec39IyEx_6qawtMGysU/edit?usp=shBSing"",""สบก!BS53"")"),21125)</f>
        <v>21125</v>
      </c>
      <c r="I49" s="77">
        <f t="shared" ca="1" si="3"/>
        <v>21125</v>
      </c>
      <c r="J49" s="137">
        <f t="shared" ca="1" si="4"/>
        <v>100</v>
      </c>
      <c r="K49" s="77">
        <f ca="1">IFERROR(__xludf.DUMMYFUNCTION("IMPORTRANGE(""https://docs.google.com/spreadsheets/d/1Yj_ptqi66GCucihVvJfMjLAmec39IyEx_6qawtMGysU/edit?usp=sharing"",""สบก!BT53"")"),21125)</f>
        <v>21125</v>
      </c>
      <c r="L49" s="137">
        <f t="shared" ca="1" si="5"/>
        <v>100</v>
      </c>
      <c r="M49" s="137">
        <f t="shared" ca="1" si="6"/>
        <v>100</v>
      </c>
      <c r="N49" s="137">
        <f ca="1">IFERROR(__xludf.DUMMYFUNCTION("IMPORTRANGE(""https://docs.google.com/spreadsheets/d/1Yj_ptqi66GCucihVvJfMjLAmec39IyEx_6qawtMGysU/edit?usp=sharing"",""สบก!BU53"")"),0)</f>
        <v>0</v>
      </c>
      <c r="O49" s="137">
        <f t="shared" ca="1" si="7"/>
        <v>0</v>
      </c>
      <c r="P49" s="80">
        <f t="shared" ca="1" si="41"/>
        <v>15</v>
      </c>
      <c r="Q49" s="77">
        <f t="shared" ca="1" si="42"/>
        <v>15</v>
      </c>
      <c r="R49" s="137">
        <f t="shared" ca="1" si="9"/>
        <v>100</v>
      </c>
      <c r="S49" s="177">
        <f ca="1">IFERROR(__xludf.DUMMYFUNCTION("IMPORTRANGE(""https://docs.google.com/spreadsheets/d/1C3CXT74ZlgGe6_JY_1olB1XN4rF0dxEuIIF-xsYjHgg/edit?usp=sharing"",""พรบ!BA53"")"),15)</f>
        <v>15</v>
      </c>
      <c r="T49" s="77">
        <f ca="1">IFERROR(__xludf.DUMMYFUNCTION("IMPORTRANGE(""https://docs.google.com/spreadsheets/d/1XL5vhW3sbDhbH9Cz0tuDiY8C3ctxq1tqvaCgkFb8cCA/edit?usp=sharing"",""หนองคาย!J155"")"),15)</f>
        <v>15</v>
      </c>
      <c r="U49" s="137">
        <f t="shared" ca="1" si="11"/>
        <v>100</v>
      </c>
      <c r="V49" s="80">
        <f ca="1">IFERROR(__xludf.DUMMYFUNCTION("IMPORTRANGE(""https://docs.google.com/spreadsheets/d/1C3CXT74ZlgGe6_JY_1olB1XN4rF0dxEuIIF-xsYjHgg/edit?usp=sharing"",""พรบ!BB53"")"),0)</f>
        <v>0</v>
      </c>
      <c r="W49" s="77">
        <v>0</v>
      </c>
      <c r="X49" s="137">
        <f t="shared" ca="1" si="13"/>
        <v>0</v>
      </c>
    </row>
    <row r="50" spans="1:24" ht="21" customHeight="1">
      <c r="A50" s="73">
        <v>17</v>
      </c>
      <c r="B50" s="74" t="s">
        <v>74</v>
      </c>
      <c r="C50" s="75">
        <f t="shared" ca="1" si="0"/>
        <v>19295</v>
      </c>
      <c r="D50" s="174">
        <f t="shared" ca="1" si="40"/>
        <v>19295</v>
      </c>
      <c r="E50" s="137">
        <f ca="1">IFERROR(__xludf.DUMMYFUNCTION("IMPORTRANGE(""https://docs.google.com/spreadsheets/d/1C3CXT74ZlgGe6_JY_1olB1XN4rF0dxEuIIF-xsYjHgg/edit?usp=sharing"",""พรบ!AX54"")"),0)</f>
        <v>0</v>
      </c>
      <c r="F50" s="175">
        <f ca="1">IFERROR(__xludf.DUMMYFUNCTION("IMPORTRANGE(""https://docs.google.com/spreadsheets/d/1C3CXT74ZlgGe6_JY_1olB1XN4rF0dxEuIIF-xsYjHgg/edit?usp=sharing"",""พรบ!AY54"")"),19295)</f>
        <v>19295</v>
      </c>
      <c r="G50" s="77">
        <f ca="1">IFERROR(__xludf.DUMMYFUNCTION("IMPORTRANGE(""https://docs.google.com/spreadsheets/d/1Yj_ptqi66GCucihVvJfMjLAmec39IyEx_6qawtMGysU/edit?usp=sharing"",""สบก!BQ54"")"),0)</f>
        <v>0</v>
      </c>
      <c r="H50" s="77">
        <f ca="1">IFERROR(__xludf.DUMMYFUNCTION("IMPORTRANGE(""https://docs.google.com/spreadsheets/d/1Yj_ptqi66GCucihVvJfMjLAmec39IyEx_6qawtMGysU/edit?usp=shBSing"",""สบก!BS54"")"),19295)</f>
        <v>19295</v>
      </c>
      <c r="I50" s="77">
        <f t="shared" ca="1" si="3"/>
        <v>19295</v>
      </c>
      <c r="J50" s="137">
        <f t="shared" ca="1" si="4"/>
        <v>100</v>
      </c>
      <c r="K50" s="77">
        <f ca="1">IFERROR(__xludf.DUMMYFUNCTION("IMPORTRANGE(""https://docs.google.com/spreadsheets/d/1Yj_ptqi66GCucihVvJfMjLAmec39IyEx_6qawtMGysU/edit?usp=sharing"",""สบก!BT54"")"),19295)</f>
        <v>19295</v>
      </c>
      <c r="L50" s="137">
        <f t="shared" ca="1" si="5"/>
        <v>100</v>
      </c>
      <c r="M50" s="137">
        <f t="shared" ca="1" si="6"/>
        <v>100</v>
      </c>
      <c r="N50" s="137">
        <f ca="1">IFERROR(__xludf.DUMMYFUNCTION("IMPORTRANGE(""https://docs.google.com/spreadsheets/d/1Yj_ptqi66GCucihVvJfMjLAmec39IyEx_6qawtMGysU/edit?usp=sharing"",""สบก!BU54"")"),0)</f>
        <v>0</v>
      </c>
      <c r="O50" s="137">
        <f t="shared" ca="1" si="7"/>
        <v>0</v>
      </c>
      <c r="P50" s="80">
        <f t="shared" ca="1" si="41"/>
        <v>13</v>
      </c>
      <c r="Q50" s="77">
        <f t="shared" ca="1" si="42"/>
        <v>13</v>
      </c>
      <c r="R50" s="137">
        <f t="shared" ca="1" si="9"/>
        <v>100</v>
      </c>
      <c r="S50" s="177">
        <f ca="1">IFERROR(__xludf.DUMMYFUNCTION("IMPORTRANGE(""https://docs.google.com/spreadsheets/d/1C3CXT74ZlgGe6_JY_1olB1XN4rF0dxEuIIF-xsYjHgg/edit?usp=sharing"",""พรบ!BA54"")"),13)</f>
        <v>13</v>
      </c>
      <c r="T50" s="77">
        <f ca="1">IFERROR(__xludf.DUMMYFUNCTION("IMPORTRANGE(""https://docs.google.com/spreadsheets/d/1XL5vhW3sbDhbH9Cz0tuDiY8C3ctxq1tqvaCgkFb8cCA/edit?usp=sharing"",""หนองบัวลำภู!J155"")"),13)</f>
        <v>13</v>
      </c>
      <c r="U50" s="137">
        <f t="shared" ca="1" si="11"/>
        <v>100</v>
      </c>
      <c r="V50" s="80">
        <f ca="1">IFERROR(__xludf.DUMMYFUNCTION("IMPORTRANGE(""https://docs.google.com/spreadsheets/d/1C3CXT74ZlgGe6_JY_1olB1XN4rF0dxEuIIF-xsYjHgg/edit?usp=sharing"",""พรบ!BB54"")"),0)</f>
        <v>0</v>
      </c>
      <c r="W50" s="77">
        <v>0</v>
      </c>
      <c r="X50" s="137">
        <f t="shared" ca="1" si="13"/>
        <v>0</v>
      </c>
    </row>
    <row r="51" spans="1:24" ht="21" customHeight="1">
      <c r="A51" s="73">
        <v>18</v>
      </c>
      <c r="B51" s="74" t="s">
        <v>75</v>
      </c>
      <c r="C51" s="75">
        <f t="shared" ca="1" si="0"/>
        <v>20210</v>
      </c>
      <c r="D51" s="174">
        <f t="shared" ca="1" si="40"/>
        <v>20210</v>
      </c>
      <c r="E51" s="137">
        <f ca="1">IFERROR(__xludf.DUMMYFUNCTION("IMPORTRANGE(""https://docs.google.com/spreadsheets/d/1C3CXT74ZlgGe6_JY_1olB1XN4rF0dxEuIIF-xsYjHgg/edit?usp=sharing"",""พรบ!AX55"")"),0)</f>
        <v>0</v>
      </c>
      <c r="F51" s="175">
        <f ca="1">IFERROR(__xludf.DUMMYFUNCTION("IMPORTRANGE(""https://docs.google.com/spreadsheets/d/1C3CXT74ZlgGe6_JY_1olB1XN4rF0dxEuIIF-xsYjHgg/edit?usp=sharing"",""พรบ!AY55"")"),20210)</f>
        <v>20210</v>
      </c>
      <c r="G51" s="77">
        <f ca="1">IFERROR(__xludf.DUMMYFUNCTION("IMPORTRANGE(""https://docs.google.com/spreadsheets/d/1Yj_ptqi66GCucihVvJfMjLAmec39IyEx_6qawtMGysU/edit?usp=sharing"",""สบก!BQ55"")"),0)</f>
        <v>0</v>
      </c>
      <c r="H51" s="77">
        <f ca="1">IFERROR(__xludf.DUMMYFUNCTION("IMPORTRANGE(""https://docs.google.com/spreadsheets/d/1Yj_ptqi66GCucihVvJfMjLAmec39IyEx_6qawtMGysU/edit?usp=shBSing"",""สบก!BS55"")"),20210)</f>
        <v>20210</v>
      </c>
      <c r="I51" s="77">
        <f t="shared" ca="1" si="3"/>
        <v>20210</v>
      </c>
      <c r="J51" s="137">
        <f t="shared" ca="1" si="4"/>
        <v>100</v>
      </c>
      <c r="K51" s="77">
        <f ca="1">IFERROR(__xludf.DUMMYFUNCTION("IMPORTRANGE(""https://docs.google.com/spreadsheets/d/1Yj_ptqi66GCucihVvJfMjLAmec39IyEx_6qawtMGysU/edit?usp=sharing"",""สบก!BT55"")"),20210)</f>
        <v>20210</v>
      </c>
      <c r="L51" s="137">
        <f t="shared" ca="1" si="5"/>
        <v>100</v>
      </c>
      <c r="M51" s="137">
        <f t="shared" ca="1" si="6"/>
        <v>100</v>
      </c>
      <c r="N51" s="137">
        <f ca="1">IFERROR(__xludf.DUMMYFUNCTION("IMPORTRANGE(""https://docs.google.com/spreadsheets/d/1Yj_ptqi66GCucihVvJfMjLAmec39IyEx_6qawtMGysU/edit?usp=sharing"",""สบก!BU55"")"),0)</f>
        <v>0</v>
      </c>
      <c r="O51" s="137">
        <f t="shared" ca="1" si="7"/>
        <v>0</v>
      </c>
      <c r="P51" s="80">
        <f t="shared" ca="1" si="41"/>
        <v>14</v>
      </c>
      <c r="Q51" s="77">
        <f t="shared" ca="1" si="42"/>
        <v>14</v>
      </c>
      <c r="R51" s="137">
        <f t="shared" ca="1" si="9"/>
        <v>100</v>
      </c>
      <c r="S51" s="177">
        <f ca="1">IFERROR(__xludf.DUMMYFUNCTION("IMPORTRANGE(""https://docs.google.com/spreadsheets/d/1C3CXT74ZlgGe6_JY_1olB1XN4rF0dxEuIIF-xsYjHgg/edit?usp=sharing"",""พรบ!BA55"")"),14)</f>
        <v>14</v>
      </c>
      <c r="T51" s="77">
        <f ca="1">IFERROR(__xludf.DUMMYFUNCTION("IMPORTRANGE(""https://docs.google.com/spreadsheets/d/1XL5vhW3sbDhbH9Cz0tuDiY8C3ctxq1tqvaCgkFb8cCA/edit?usp=sharing"",""อำนาจเจริญ!J155"")"),14)</f>
        <v>14</v>
      </c>
      <c r="U51" s="137">
        <f t="shared" ca="1" si="11"/>
        <v>100</v>
      </c>
      <c r="V51" s="80">
        <f ca="1">IFERROR(__xludf.DUMMYFUNCTION("IMPORTRANGE(""https://docs.google.com/spreadsheets/d/1C3CXT74ZlgGe6_JY_1olB1XN4rF0dxEuIIF-xsYjHgg/edit?usp=sharing"",""พรบ!BB55"")"),0)</f>
        <v>0</v>
      </c>
      <c r="W51" s="77">
        <v>0</v>
      </c>
      <c r="X51" s="137">
        <f t="shared" ca="1" si="13"/>
        <v>0</v>
      </c>
    </row>
    <row r="52" spans="1:24" ht="21" customHeight="1">
      <c r="A52" s="73">
        <v>19</v>
      </c>
      <c r="B52" s="74" t="s">
        <v>76</v>
      </c>
      <c r="C52" s="75">
        <f t="shared" ca="1" si="0"/>
        <v>20210</v>
      </c>
      <c r="D52" s="174">
        <f t="shared" ca="1" si="40"/>
        <v>20210</v>
      </c>
      <c r="E52" s="137">
        <f ca="1">IFERROR(__xludf.DUMMYFUNCTION("IMPORTRANGE(""https://docs.google.com/spreadsheets/d/1C3CXT74ZlgGe6_JY_1olB1XN4rF0dxEuIIF-xsYjHgg/edit?usp=sharing"",""พรบ!AX56"")"),0)</f>
        <v>0</v>
      </c>
      <c r="F52" s="175">
        <f ca="1">IFERROR(__xludf.DUMMYFUNCTION("IMPORTRANGE(""https://docs.google.com/spreadsheets/d/1C3CXT74ZlgGe6_JY_1olB1XN4rF0dxEuIIF-xsYjHgg/edit?usp=sharing"",""พรบ!AY56"")"),20210)</f>
        <v>20210</v>
      </c>
      <c r="G52" s="77">
        <f ca="1">IFERROR(__xludf.DUMMYFUNCTION("IMPORTRANGE(""https://docs.google.com/spreadsheets/d/1Yj_ptqi66GCucihVvJfMjLAmec39IyEx_6qawtMGysU/edit?usp=sharing"",""สบก!BQ56"")"),0)</f>
        <v>0</v>
      </c>
      <c r="H52" s="77">
        <f ca="1">IFERROR(__xludf.DUMMYFUNCTION("IMPORTRANGE(""https://docs.google.com/spreadsheets/d/1Yj_ptqi66GCucihVvJfMjLAmec39IyEx_6qawtMGysU/edit?usp=shBSing"",""สบก!BS56"")"),20210)</f>
        <v>20210</v>
      </c>
      <c r="I52" s="77">
        <f t="shared" ca="1" si="3"/>
        <v>20210</v>
      </c>
      <c r="J52" s="137">
        <f t="shared" ca="1" si="4"/>
        <v>100</v>
      </c>
      <c r="K52" s="77">
        <f ca="1">IFERROR(__xludf.DUMMYFUNCTION("IMPORTRANGE(""https://docs.google.com/spreadsheets/d/1Yj_ptqi66GCucihVvJfMjLAmec39IyEx_6qawtMGysU/edit?usp=sharing"",""สบก!BT56"")"),20210)</f>
        <v>20210</v>
      </c>
      <c r="L52" s="137">
        <f t="shared" ca="1" si="5"/>
        <v>100</v>
      </c>
      <c r="M52" s="137">
        <f t="shared" ca="1" si="6"/>
        <v>100</v>
      </c>
      <c r="N52" s="137">
        <f ca="1">IFERROR(__xludf.DUMMYFUNCTION("IMPORTRANGE(""https://docs.google.com/spreadsheets/d/1Yj_ptqi66GCucihVvJfMjLAmec39IyEx_6qawtMGysU/edit?usp=sharing"",""สบก!BU56"")"),0)</f>
        <v>0</v>
      </c>
      <c r="O52" s="137">
        <f t="shared" ca="1" si="7"/>
        <v>0</v>
      </c>
      <c r="P52" s="80">
        <f t="shared" ca="1" si="41"/>
        <v>14</v>
      </c>
      <c r="Q52" s="77">
        <f t="shared" ca="1" si="42"/>
        <v>14</v>
      </c>
      <c r="R52" s="137">
        <f t="shared" ca="1" si="9"/>
        <v>100</v>
      </c>
      <c r="S52" s="177">
        <f ca="1">IFERROR(__xludf.DUMMYFUNCTION("IMPORTRANGE(""https://docs.google.com/spreadsheets/d/1C3CXT74ZlgGe6_JY_1olB1XN4rF0dxEuIIF-xsYjHgg/edit?usp=sharing"",""พรบ!BA56"")"),14)</f>
        <v>14</v>
      </c>
      <c r="T52" s="77">
        <f ca="1">IFERROR(__xludf.DUMMYFUNCTION("IMPORTRANGE(""https://docs.google.com/spreadsheets/d/1XL5vhW3sbDhbH9Cz0tuDiY8C3ctxq1tqvaCgkFb8cCA/edit?usp=sharing"",""อุดรธานี!J155"")"),14)</f>
        <v>14</v>
      </c>
      <c r="U52" s="137">
        <f t="shared" ca="1" si="11"/>
        <v>100</v>
      </c>
      <c r="V52" s="80">
        <f ca="1">IFERROR(__xludf.DUMMYFUNCTION("IMPORTRANGE(""https://docs.google.com/spreadsheets/d/1C3CXT74ZlgGe6_JY_1olB1XN4rF0dxEuIIF-xsYjHgg/edit?usp=sharing"",""พรบ!BB56"")"),0)</f>
        <v>0</v>
      </c>
      <c r="W52" s="77">
        <v>0</v>
      </c>
      <c r="X52" s="137">
        <f t="shared" ca="1" si="13"/>
        <v>0</v>
      </c>
    </row>
    <row r="53" spans="1:24" ht="21" customHeight="1">
      <c r="A53" s="84">
        <v>20</v>
      </c>
      <c r="B53" s="85" t="s">
        <v>77</v>
      </c>
      <c r="C53" s="86">
        <f t="shared" ca="1" si="0"/>
        <v>21125</v>
      </c>
      <c r="D53" s="178">
        <f t="shared" ca="1" si="40"/>
        <v>21125</v>
      </c>
      <c r="E53" s="138">
        <f ca="1">IFERROR(__xludf.DUMMYFUNCTION("IMPORTRANGE(""https://docs.google.com/spreadsheets/d/1C3CXT74ZlgGe6_JY_1olB1XN4rF0dxEuIIF-xsYjHgg/edit?usp=sharing"",""พรบ!AX57"")"),0)</f>
        <v>0</v>
      </c>
      <c r="F53" s="179">
        <f ca="1">IFERROR(__xludf.DUMMYFUNCTION("IMPORTRANGE(""https://docs.google.com/spreadsheets/d/1C3CXT74ZlgGe6_JY_1olB1XN4rF0dxEuIIF-xsYjHgg/edit?usp=sharing"",""พรบ!AY57"")"),21125)</f>
        <v>21125</v>
      </c>
      <c r="G53" s="88">
        <f ca="1">IFERROR(__xludf.DUMMYFUNCTION("IMPORTRANGE(""https://docs.google.com/spreadsheets/d/1Yj_ptqi66GCucihVvJfMjLAmec39IyEx_6qawtMGysU/edit?usp=sharing"",""สบก!BQ57"")"),0)</f>
        <v>0</v>
      </c>
      <c r="H53" s="88">
        <f ca="1">IFERROR(__xludf.DUMMYFUNCTION("IMPORTRANGE(""https://docs.google.com/spreadsheets/d/1Yj_ptqi66GCucihVvJfMjLAmec39IyEx_6qawtMGysU/edit?usp=shBSing"",""สบก!BS57"")"),21125)</f>
        <v>21125</v>
      </c>
      <c r="I53" s="88">
        <f t="shared" ca="1" si="3"/>
        <v>0</v>
      </c>
      <c r="J53" s="138">
        <f t="shared" ca="1" si="4"/>
        <v>0</v>
      </c>
      <c r="K53" s="88">
        <f ca="1">IFERROR(__xludf.DUMMYFUNCTION("IMPORTRANGE(""https://docs.google.com/spreadsheets/d/1Yj_ptqi66GCucihVvJfMjLAmec39IyEx_6qawtMGysU/edit?usp=sharing"",""สบก!BT57"")"),0)</f>
        <v>0</v>
      </c>
      <c r="L53" s="138">
        <f t="shared" ca="1" si="5"/>
        <v>0</v>
      </c>
      <c r="M53" s="138">
        <f t="shared" ca="1" si="6"/>
        <v>0</v>
      </c>
      <c r="N53" s="138">
        <f ca="1">IFERROR(__xludf.DUMMYFUNCTION("IMPORTRANGE(""https://docs.google.com/spreadsheets/d/1Yj_ptqi66GCucihVvJfMjLAmec39IyEx_6qawtMGysU/edit?usp=sharing"",""สบก!BU57"")"),0)</f>
        <v>0</v>
      </c>
      <c r="O53" s="138">
        <f t="shared" ca="1" si="7"/>
        <v>0</v>
      </c>
      <c r="P53" s="91">
        <f t="shared" ca="1" si="41"/>
        <v>15</v>
      </c>
      <c r="Q53" s="77">
        <f t="shared" ca="1" si="42"/>
        <v>15</v>
      </c>
      <c r="R53" s="138">
        <f t="shared" ca="1" si="9"/>
        <v>100</v>
      </c>
      <c r="S53" s="180">
        <f ca="1">IFERROR(__xludf.DUMMYFUNCTION("IMPORTRANGE(""https://docs.google.com/spreadsheets/d/1C3CXT74ZlgGe6_JY_1olB1XN4rF0dxEuIIF-xsYjHgg/edit?usp=sharing"",""พรบ!BA57"")"),15)</f>
        <v>15</v>
      </c>
      <c r="T53" s="88">
        <f ca="1">IFERROR(__xludf.DUMMYFUNCTION("IMPORTRANGE(""https://docs.google.com/spreadsheets/d/1XL5vhW3sbDhbH9Cz0tuDiY8C3ctxq1tqvaCgkFb8cCA/edit?usp=sharing"",""อุบลราชธานี!J155"")"),15)</f>
        <v>15</v>
      </c>
      <c r="U53" s="138">
        <f t="shared" ca="1" si="11"/>
        <v>100</v>
      </c>
      <c r="V53" s="91">
        <f ca="1">IFERROR(__xludf.DUMMYFUNCTION("IMPORTRANGE(""https://docs.google.com/spreadsheets/d/1C3CXT74ZlgGe6_JY_1olB1XN4rF0dxEuIIF-xsYjHgg/edit?usp=sharing"",""พรบ!BB57"")"),0)</f>
        <v>0</v>
      </c>
      <c r="W53" s="88">
        <v>0</v>
      </c>
      <c r="X53" s="138">
        <f t="shared" ca="1" si="13"/>
        <v>0</v>
      </c>
    </row>
    <row r="54" spans="1:24" ht="21" customHeight="1">
      <c r="A54" s="679" t="s">
        <v>78</v>
      </c>
      <c r="B54" s="678"/>
      <c r="C54" s="94">
        <f t="shared" ca="1" si="0"/>
        <v>367440</v>
      </c>
      <c r="D54" s="181">
        <f t="shared" ref="D54:H54" ca="1" si="43">SUM(D55:D75)</f>
        <v>367440</v>
      </c>
      <c r="E54" s="139">
        <f t="shared" ca="1" si="43"/>
        <v>0</v>
      </c>
      <c r="F54" s="181">
        <f t="shared" ca="1" si="43"/>
        <v>367440</v>
      </c>
      <c r="G54" s="95">
        <f t="shared" ca="1" si="43"/>
        <v>0</v>
      </c>
      <c r="H54" s="95">
        <f t="shared" ca="1" si="43"/>
        <v>367440</v>
      </c>
      <c r="I54" s="95">
        <f t="shared" ca="1" si="3"/>
        <v>364547.6</v>
      </c>
      <c r="J54" s="139">
        <f t="shared" ca="1" si="4"/>
        <v>99.212823862399304</v>
      </c>
      <c r="K54" s="95">
        <f ca="1">SUM(K55:K75)</f>
        <v>364547.6</v>
      </c>
      <c r="L54" s="139">
        <f t="shared" ca="1" si="5"/>
        <v>99.212823862399304</v>
      </c>
      <c r="M54" s="139">
        <f t="shared" ca="1" si="6"/>
        <v>99.212823862399304</v>
      </c>
      <c r="N54" s="139">
        <f ca="1">SUM(N55:N75)</f>
        <v>0</v>
      </c>
      <c r="O54" s="139">
        <f t="shared" ca="1" si="7"/>
        <v>0</v>
      </c>
      <c r="P54" s="98">
        <f t="shared" ref="P54:Q54" ca="1" si="44">SUM(P55:P75)</f>
        <v>256</v>
      </c>
      <c r="Q54" s="95">
        <f t="shared" ca="1" si="44"/>
        <v>256</v>
      </c>
      <c r="R54" s="139">
        <f t="shared" ca="1" si="9"/>
        <v>100</v>
      </c>
      <c r="S54" s="98">
        <f t="shared" ref="S54:T54" ca="1" si="45">SUM(S55:S75)</f>
        <v>256</v>
      </c>
      <c r="T54" s="95">
        <f t="shared" ca="1" si="45"/>
        <v>256</v>
      </c>
      <c r="U54" s="139">
        <f t="shared" ca="1" si="11"/>
        <v>100</v>
      </c>
      <c r="V54" s="98">
        <f t="shared" ref="V54:W54" ca="1" si="46">SUM(V55:V75)</f>
        <v>0</v>
      </c>
      <c r="W54" s="95">
        <f t="shared" si="46"/>
        <v>0</v>
      </c>
      <c r="X54" s="139">
        <f t="shared" ca="1" si="13"/>
        <v>0</v>
      </c>
    </row>
    <row r="55" spans="1:24" ht="21" customHeight="1">
      <c r="A55" s="63">
        <v>1</v>
      </c>
      <c r="B55" s="64" t="s">
        <v>79</v>
      </c>
      <c r="C55" s="65">
        <f t="shared" ca="1" si="0"/>
        <v>20210</v>
      </c>
      <c r="D55" s="171">
        <f t="shared" ref="D55:D75" ca="1" si="47">+E55+F55</f>
        <v>20210</v>
      </c>
      <c r="E55" s="136">
        <f ca="1">IFERROR(__xludf.DUMMYFUNCTION("IMPORTRANGE(""https://docs.google.com/spreadsheets/d/1C3CXT74ZlgGe6_JY_1olB1XN4rF0dxEuIIF-xsYjHgg/edit?usp=sharing"",""พรบ!AX59"")"),0)</f>
        <v>0</v>
      </c>
      <c r="F55" s="172">
        <f ca="1">IFERROR(__xludf.DUMMYFUNCTION("IMPORTRANGE(""https://docs.google.com/spreadsheets/d/1C3CXT74ZlgGe6_JY_1olB1XN4rF0dxEuIIF-xsYjHgg/edit?usp=sharing"",""พรบ!AY59"")"),20210)</f>
        <v>20210</v>
      </c>
      <c r="G55" s="67">
        <f ca="1">IFERROR(__xludf.DUMMYFUNCTION("IMPORTRANGE(""https://docs.google.com/spreadsheets/d/1Yj_ptqi66GCucihVvJfMjLAmec39IyEx_6qawtMGysU/edit?usp=sharing"",""สบก!BQ59"")"),0)</f>
        <v>0</v>
      </c>
      <c r="H55" s="67">
        <f ca="1">IFERROR(__xludf.DUMMYFUNCTION("IMPORTRANGE(""https://docs.google.com/spreadsheets/d/1Yj_ptqi66GCucihVvJfMjLAmec39IyEx_6qawtMGysU/edit?usp=shBSing"",""สบก!BS59"")"),20210)</f>
        <v>20210</v>
      </c>
      <c r="I55" s="67">
        <f t="shared" ca="1" si="3"/>
        <v>20210</v>
      </c>
      <c r="J55" s="136">
        <f t="shared" ca="1" si="4"/>
        <v>100</v>
      </c>
      <c r="K55" s="67">
        <f ca="1">IFERROR(__xludf.DUMMYFUNCTION("IMPORTRANGE(""https://docs.google.com/spreadsheets/d/1Yj_ptqi66GCucihVvJfMjLAmec39IyEx_6qawtMGysU/edit?usp=sharing"",""สบก!BT59"")"),20210)</f>
        <v>20210</v>
      </c>
      <c r="L55" s="136">
        <f t="shared" ca="1" si="5"/>
        <v>100</v>
      </c>
      <c r="M55" s="136">
        <f t="shared" ca="1" si="6"/>
        <v>100</v>
      </c>
      <c r="N55" s="136">
        <f ca="1">IFERROR(__xludf.DUMMYFUNCTION("IMPORTRANGE(""https://docs.google.com/spreadsheets/d/1Yj_ptqi66GCucihVvJfMjLAmec39IyEx_6qawtMGysU/edit?usp=sharing"",""สบก!BU59"")"),0)</f>
        <v>0</v>
      </c>
      <c r="O55" s="136">
        <f t="shared" ca="1" si="7"/>
        <v>0</v>
      </c>
      <c r="P55" s="71">
        <f t="shared" ref="P55:P75" ca="1" si="48">+S55+V55</f>
        <v>14</v>
      </c>
      <c r="Q55" s="67">
        <f t="shared" ref="Q55:Q75" ca="1" si="49">T55</f>
        <v>14</v>
      </c>
      <c r="R55" s="136">
        <f t="shared" ca="1" si="9"/>
        <v>100</v>
      </c>
      <c r="S55" s="182">
        <f ca="1">IFERROR(__xludf.DUMMYFUNCTION("IMPORTRANGE(""https://docs.google.com/spreadsheets/d/1C3CXT74ZlgGe6_JY_1olB1XN4rF0dxEuIIF-xsYjHgg/edit?usp=sharing"",""พรบ!BA59"")"),14)</f>
        <v>14</v>
      </c>
      <c r="T55" s="67">
        <f ca="1">IFERROR(__xludf.DUMMYFUNCTION("IMPORTRANGE(""https://docs.google.com/spreadsheets/d/1SX6NBoVAgQJ6U1MVXOaj8PK2l7WJ3RER9xtqwdhxkhw/edit?usp=sharing"",""กาญจนบุรี!J155"")"),14)</f>
        <v>14</v>
      </c>
      <c r="U55" s="136">
        <f t="shared" ca="1" si="11"/>
        <v>100</v>
      </c>
      <c r="V55" s="71">
        <f ca="1">IFERROR(__xludf.DUMMYFUNCTION("IMPORTRANGE(""https://docs.google.com/spreadsheets/d/1C3CXT74ZlgGe6_JY_1olB1XN4rF0dxEuIIF-xsYjHgg/edit?usp=sharing"",""พรบ!BB59"")"),0)</f>
        <v>0</v>
      </c>
      <c r="W55" s="67">
        <v>0</v>
      </c>
      <c r="X55" s="136">
        <f t="shared" ca="1" si="13"/>
        <v>0</v>
      </c>
    </row>
    <row r="56" spans="1:24" ht="21" customHeight="1">
      <c r="A56" s="73">
        <v>2</v>
      </c>
      <c r="B56" s="74" t="s">
        <v>80</v>
      </c>
      <c r="C56" s="75">
        <f t="shared" ca="1" si="0"/>
        <v>19295</v>
      </c>
      <c r="D56" s="174">
        <f t="shared" ca="1" si="47"/>
        <v>19295</v>
      </c>
      <c r="E56" s="137">
        <f ca="1">IFERROR(__xludf.DUMMYFUNCTION("IMPORTRANGE(""https://docs.google.com/spreadsheets/d/1C3CXT74ZlgGe6_JY_1olB1XN4rF0dxEuIIF-xsYjHgg/edit?usp=sharing"",""พรบ!AX60"")"),0)</f>
        <v>0</v>
      </c>
      <c r="F56" s="175">
        <f ca="1">IFERROR(__xludf.DUMMYFUNCTION("IMPORTRANGE(""https://docs.google.com/spreadsheets/d/1C3CXT74ZlgGe6_JY_1olB1XN4rF0dxEuIIF-xsYjHgg/edit?usp=sharing"",""พรบ!AY60"")"),19295)</f>
        <v>19295</v>
      </c>
      <c r="G56" s="77">
        <f ca="1">IFERROR(__xludf.DUMMYFUNCTION("IMPORTRANGE(""https://docs.google.com/spreadsheets/d/1Yj_ptqi66GCucihVvJfMjLAmec39IyEx_6qawtMGysU/edit?usp=sharing"",""สบก!BQ60"")"),0)</f>
        <v>0</v>
      </c>
      <c r="H56" s="77">
        <f ca="1">IFERROR(__xludf.DUMMYFUNCTION("IMPORTRANGE(""https://docs.google.com/spreadsheets/d/1Yj_ptqi66GCucihVvJfMjLAmec39IyEx_6qawtMGysU/edit?usp=shBSing"",""สบก!BS60"")"),19295)</f>
        <v>19295</v>
      </c>
      <c r="I56" s="77">
        <f t="shared" ca="1" si="3"/>
        <v>19295</v>
      </c>
      <c r="J56" s="137">
        <f t="shared" ca="1" si="4"/>
        <v>100</v>
      </c>
      <c r="K56" s="77">
        <f ca="1">IFERROR(__xludf.DUMMYFUNCTION("IMPORTRANGE(""https://docs.google.com/spreadsheets/d/1Yj_ptqi66GCucihVvJfMjLAmec39IyEx_6qawtMGysU/edit?usp=sharing"",""สบก!BT60"")"),19295)</f>
        <v>19295</v>
      </c>
      <c r="L56" s="137">
        <f t="shared" ca="1" si="5"/>
        <v>100</v>
      </c>
      <c r="M56" s="137">
        <f t="shared" ca="1" si="6"/>
        <v>100</v>
      </c>
      <c r="N56" s="137">
        <f ca="1">IFERROR(__xludf.DUMMYFUNCTION("IMPORTRANGE(""https://docs.google.com/spreadsheets/d/1Yj_ptqi66GCucihVvJfMjLAmec39IyEx_6qawtMGysU/edit?usp=sharing"",""สบก!BU60"")"),0)</f>
        <v>0</v>
      </c>
      <c r="O56" s="137">
        <f t="shared" ca="1" si="7"/>
        <v>0</v>
      </c>
      <c r="P56" s="80">
        <f t="shared" ca="1" si="48"/>
        <v>13</v>
      </c>
      <c r="Q56" s="77">
        <f t="shared" ca="1" si="49"/>
        <v>13</v>
      </c>
      <c r="R56" s="137">
        <f t="shared" ca="1" si="9"/>
        <v>100</v>
      </c>
      <c r="S56" s="177">
        <f ca="1">IFERROR(__xludf.DUMMYFUNCTION("IMPORTRANGE(""https://docs.google.com/spreadsheets/d/1C3CXT74ZlgGe6_JY_1olB1XN4rF0dxEuIIF-xsYjHgg/edit?usp=sharing"",""พรบ!BA60"")"),13)</f>
        <v>13</v>
      </c>
      <c r="T56" s="77">
        <f ca="1">IFERROR(__xludf.DUMMYFUNCTION("IMPORTRANGE(""https://docs.google.com/spreadsheets/d/1SX6NBoVAgQJ6U1MVXOaj8PK2l7WJ3RER9xtqwdhxkhw/edit?usp=sharing"",""จันทบุรี!J155"")"),13)</f>
        <v>13</v>
      </c>
      <c r="U56" s="137">
        <f t="shared" ca="1" si="11"/>
        <v>100</v>
      </c>
      <c r="V56" s="80">
        <f ca="1">IFERROR(__xludf.DUMMYFUNCTION("IMPORTRANGE(""https://docs.google.com/spreadsheets/d/1C3CXT74ZlgGe6_JY_1olB1XN4rF0dxEuIIF-xsYjHgg/edit?usp=sharing"",""พรบ!BB60"")"),0)</f>
        <v>0</v>
      </c>
      <c r="W56" s="77">
        <v>0</v>
      </c>
      <c r="X56" s="137">
        <f t="shared" ca="1" si="13"/>
        <v>0</v>
      </c>
    </row>
    <row r="57" spans="1:24" ht="21" customHeight="1">
      <c r="A57" s="73">
        <v>3</v>
      </c>
      <c r="B57" s="74" t="s">
        <v>81</v>
      </c>
      <c r="C57" s="75">
        <f t="shared" ca="1" si="0"/>
        <v>21125</v>
      </c>
      <c r="D57" s="174">
        <f t="shared" ca="1" si="47"/>
        <v>21125</v>
      </c>
      <c r="E57" s="137">
        <f ca="1">IFERROR(__xludf.DUMMYFUNCTION("IMPORTRANGE(""https://docs.google.com/spreadsheets/d/1C3CXT74ZlgGe6_JY_1olB1XN4rF0dxEuIIF-xsYjHgg/edit?usp=sharing"",""พรบ!AX61"")"),0)</f>
        <v>0</v>
      </c>
      <c r="F57" s="175">
        <f ca="1">IFERROR(__xludf.DUMMYFUNCTION("IMPORTRANGE(""https://docs.google.com/spreadsheets/d/1C3CXT74ZlgGe6_JY_1olB1XN4rF0dxEuIIF-xsYjHgg/edit?usp=sharing"",""พรบ!AY61"")"),21125)</f>
        <v>21125</v>
      </c>
      <c r="G57" s="77">
        <f ca="1">IFERROR(__xludf.DUMMYFUNCTION("IMPORTRANGE(""https://docs.google.com/spreadsheets/d/1Yj_ptqi66GCucihVvJfMjLAmec39IyEx_6qawtMGysU/edit?usp=sharing"",""สบก!BQ61"")"),0)</f>
        <v>0</v>
      </c>
      <c r="H57" s="77">
        <f ca="1">IFERROR(__xludf.DUMMYFUNCTION("IMPORTRANGE(""https://docs.google.com/spreadsheets/d/1Yj_ptqi66GCucihVvJfMjLAmec39IyEx_6qawtMGysU/edit?usp=shBSing"",""สบก!BS61"")"),21125)</f>
        <v>21125</v>
      </c>
      <c r="I57" s="77">
        <f t="shared" ca="1" si="3"/>
        <v>21125</v>
      </c>
      <c r="J57" s="137">
        <f t="shared" ca="1" si="4"/>
        <v>100</v>
      </c>
      <c r="K57" s="77">
        <f ca="1">IFERROR(__xludf.DUMMYFUNCTION("IMPORTRANGE(""https://docs.google.com/spreadsheets/d/1Yj_ptqi66GCucihVvJfMjLAmec39IyEx_6qawtMGysU/edit?usp=sharing"",""สบก!BT61"")"),21125)</f>
        <v>21125</v>
      </c>
      <c r="L57" s="137">
        <f t="shared" ca="1" si="5"/>
        <v>100</v>
      </c>
      <c r="M57" s="137">
        <f t="shared" ca="1" si="6"/>
        <v>100</v>
      </c>
      <c r="N57" s="137">
        <f ca="1">IFERROR(__xludf.DUMMYFUNCTION("IMPORTRANGE(""https://docs.google.com/spreadsheets/d/1Yj_ptqi66GCucihVvJfMjLAmec39IyEx_6qawtMGysU/edit?usp=sharing"",""สบก!BU61"")"),0)</f>
        <v>0</v>
      </c>
      <c r="O57" s="137">
        <f t="shared" ca="1" si="7"/>
        <v>0</v>
      </c>
      <c r="P57" s="80">
        <f t="shared" ca="1" si="48"/>
        <v>15</v>
      </c>
      <c r="Q57" s="77">
        <f t="shared" ca="1" si="49"/>
        <v>15</v>
      </c>
      <c r="R57" s="137">
        <f t="shared" ca="1" si="9"/>
        <v>100</v>
      </c>
      <c r="S57" s="177">
        <f ca="1">IFERROR(__xludf.DUMMYFUNCTION("IMPORTRANGE(""https://docs.google.com/spreadsheets/d/1C3CXT74ZlgGe6_JY_1olB1XN4rF0dxEuIIF-xsYjHgg/edit?usp=sharing"",""พรบ!BA61"")"),15)</f>
        <v>15</v>
      </c>
      <c r="T57" s="77">
        <f ca="1">IFERROR(__xludf.DUMMYFUNCTION("IMPORTRANGE(""https://docs.google.com/spreadsheets/d/1SX6NBoVAgQJ6U1MVXOaj8PK2l7WJ3RER9xtqwdhxkhw/edit?usp=sharing"",""ฉะเชิงเทรา!J155"")"),15)</f>
        <v>15</v>
      </c>
      <c r="U57" s="137">
        <f t="shared" ca="1" si="11"/>
        <v>100</v>
      </c>
      <c r="V57" s="80">
        <f ca="1">IFERROR(__xludf.DUMMYFUNCTION("IMPORTRANGE(""https://docs.google.com/spreadsheets/d/1C3CXT74ZlgGe6_JY_1olB1XN4rF0dxEuIIF-xsYjHgg/edit?usp=sharing"",""พรบ!BB61"")"),0)</f>
        <v>0</v>
      </c>
      <c r="W57" s="77">
        <v>0</v>
      </c>
      <c r="X57" s="137">
        <f t="shared" ca="1" si="13"/>
        <v>0</v>
      </c>
    </row>
    <row r="58" spans="1:24" ht="21" customHeight="1">
      <c r="A58" s="73">
        <v>4</v>
      </c>
      <c r="B58" s="74" t="s">
        <v>82</v>
      </c>
      <c r="C58" s="75">
        <f t="shared" ca="1" si="0"/>
        <v>0</v>
      </c>
      <c r="D58" s="174">
        <f t="shared" ca="1" si="47"/>
        <v>0</v>
      </c>
      <c r="E58" s="137">
        <f ca="1">IFERROR(__xludf.DUMMYFUNCTION("IMPORTRANGE(""https://docs.google.com/spreadsheets/d/1C3CXT74ZlgGe6_JY_1olB1XN4rF0dxEuIIF-xsYjHgg/edit?usp=sharing"",""พรบ!AX62"")"),0)</f>
        <v>0</v>
      </c>
      <c r="F58" s="175">
        <f ca="1">IFERROR(__xludf.DUMMYFUNCTION("IMPORTRANGE(""https://docs.google.com/spreadsheets/d/1C3CXT74ZlgGe6_JY_1olB1XN4rF0dxEuIIF-xsYjHgg/edit?usp=sharing"",""พรบ!AY62"")"),0)</f>
        <v>0</v>
      </c>
      <c r="G58" s="77">
        <f ca="1">IFERROR(__xludf.DUMMYFUNCTION("IMPORTRANGE(""https://docs.google.com/spreadsheets/d/1Yj_ptqi66GCucihVvJfMjLAmec39IyEx_6qawtMGysU/edit?usp=sharing"",""สบก!BQ62"")"),0)</f>
        <v>0</v>
      </c>
      <c r="H58" s="77">
        <f ca="1">IFERROR(__xludf.DUMMYFUNCTION("IMPORTRANGE(""https://docs.google.com/spreadsheets/d/1Yj_ptqi66GCucihVvJfMjLAmec39IyEx_6qawtMGysU/edit?usp=shBSing"",""สบก!BS62"")"),0)</f>
        <v>0</v>
      </c>
      <c r="I58" s="77">
        <f t="shared" ca="1" si="3"/>
        <v>0</v>
      </c>
      <c r="J58" s="137">
        <f t="shared" ca="1" si="4"/>
        <v>0</v>
      </c>
      <c r="K58" s="77">
        <f ca="1">IFERROR(__xludf.DUMMYFUNCTION("IMPORTRANGE(""https://docs.google.com/spreadsheets/d/1Yj_ptqi66GCucihVvJfMjLAmec39IyEx_6qawtMGysU/edit?usp=sharing"",""สบก!BT62"")"),0)</f>
        <v>0</v>
      </c>
      <c r="L58" s="137">
        <f t="shared" ca="1" si="5"/>
        <v>0</v>
      </c>
      <c r="M58" s="137">
        <f t="shared" ca="1" si="6"/>
        <v>0</v>
      </c>
      <c r="N58" s="137">
        <f ca="1">IFERROR(__xludf.DUMMYFUNCTION("IMPORTRANGE(""https://docs.google.com/spreadsheets/d/1Yj_ptqi66GCucihVvJfMjLAmec39IyEx_6qawtMGysU/edit?usp=sharing"",""สบก!BU62"")"),0)</f>
        <v>0</v>
      </c>
      <c r="O58" s="137">
        <f t="shared" ca="1" si="7"/>
        <v>0</v>
      </c>
      <c r="P58" s="80">
        <f t="shared" ca="1" si="48"/>
        <v>0</v>
      </c>
      <c r="Q58" s="77">
        <f t="shared" ca="1" si="49"/>
        <v>0</v>
      </c>
      <c r="R58" s="137">
        <f t="shared" ca="1" si="9"/>
        <v>0</v>
      </c>
      <c r="S58" s="80">
        <f ca="1">IFERROR(__xludf.DUMMYFUNCTION("IMPORTRANGE(""https://docs.google.com/spreadsheets/d/1C3CXT74ZlgGe6_JY_1olB1XN4rF0dxEuIIF-xsYjHgg/edit?usp=sharing"",""พรบ!BA62"")"),0)</f>
        <v>0</v>
      </c>
      <c r="T58" s="77">
        <f ca="1">IFERROR(__xludf.DUMMYFUNCTION("IMPORTRANGE(""https://docs.google.com/spreadsheets/d/1SX6NBoVAgQJ6U1MVXOaj8PK2l7WJ3RER9xtqwdhxkhw/edit?usp=sharing"",""ชลบุรี!J155"")"),0)</f>
        <v>0</v>
      </c>
      <c r="U58" s="137">
        <f t="shared" ca="1" si="11"/>
        <v>0</v>
      </c>
      <c r="V58" s="80">
        <f ca="1">IFERROR(__xludf.DUMMYFUNCTION("IMPORTRANGE(""https://docs.google.com/spreadsheets/d/1C3CXT74ZlgGe6_JY_1olB1XN4rF0dxEuIIF-xsYjHgg/edit?usp=sharing"",""พรบ!BB62"")"),0)</f>
        <v>0</v>
      </c>
      <c r="W58" s="77">
        <v>0</v>
      </c>
      <c r="X58" s="137">
        <f t="shared" ca="1" si="13"/>
        <v>0</v>
      </c>
    </row>
    <row r="59" spans="1:24" ht="21" customHeight="1">
      <c r="A59" s="73">
        <v>5</v>
      </c>
      <c r="B59" s="74" t="s">
        <v>83</v>
      </c>
      <c r="C59" s="75">
        <f t="shared" ca="1" si="0"/>
        <v>19295</v>
      </c>
      <c r="D59" s="174">
        <f t="shared" ca="1" si="47"/>
        <v>19295</v>
      </c>
      <c r="E59" s="137">
        <f ca="1">IFERROR(__xludf.DUMMYFUNCTION("IMPORTRANGE(""https://docs.google.com/spreadsheets/d/1C3CXT74ZlgGe6_JY_1olB1XN4rF0dxEuIIF-xsYjHgg/edit?usp=sharing"",""พรบ!AX63"")"),0)</f>
        <v>0</v>
      </c>
      <c r="F59" s="175">
        <f ca="1">IFERROR(__xludf.DUMMYFUNCTION("IMPORTRANGE(""https://docs.google.com/spreadsheets/d/1C3CXT74ZlgGe6_JY_1olB1XN4rF0dxEuIIF-xsYjHgg/edit?usp=sharing"",""พรบ!AY63"")"),19295)</f>
        <v>19295</v>
      </c>
      <c r="G59" s="77">
        <f ca="1">IFERROR(__xludf.DUMMYFUNCTION("IMPORTRANGE(""https://docs.google.com/spreadsheets/d/1Yj_ptqi66GCucihVvJfMjLAmec39IyEx_6qawtMGysU/edit?usp=sharing"",""สบก!BQ63"")"),0)</f>
        <v>0</v>
      </c>
      <c r="H59" s="77">
        <f ca="1">IFERROR(__xludf.DUMMYFUNCTION("IMPORTRANGE(""https://docs.google.com/spreadsheets/d/1Yj_ptqi66GCucihVvJfMjLAmec39IyEx_6qawtMGysU/edit?usp=shBSing"",""สบก!BS63"")"),19295)</f>
        <v>19295</v>
      </c>
      <c r="I59" s="77">
        <f t="shared" ca="1" si="3"/>
        <v>19295</v>
      </c>
      <c r="J59" s="137">
        <f t="shared" ca="1" si="4"/>
        <v>100</v>
      </c>
      <c r="K59" s="77">
        <f ca="1">IFERROR(__xludf.DUMMYFUNCTION("IMPORTRANGE(""https://docs.google.com/spreadsheets/d/1Yj_ptqi66GCucihVvJfMjLAmec39IyEx_6qawtMGysU/edit?usp=sharing"",""สบก!BT63"")"),19295)</f>
        <v>19295</v>
      </c>
      <c r="L59" s="137">
        <f t="shared" ca="1" si="5"/>
        <v>100</v>
      </c>
      <c r="M59" s="137">
        <f t="shared" ca="1" si="6"/>
        <v>100</v>
      </c>
      <c r="N59" s="137">
        <f ca="1">IFERROR(__xludf.DUMMYFUNCTION("IMPORTRANGE(""https://docs.google.com/spreadsheets/d/1Yj_ptqi66GCucihVvJfMjLAmec39IyEx_6qawtMGysU/edit?usp=sharing"",""สบก!BU63"")"),0)</f>
        <v>0</v>
      </c>
      <c r="O59" s="137">
        <f t="shared" ca="1" si="7"/>
        <v>0</v>
      </c>
      <c r="P59" s="80">
        <f t="shared" ca="1" si="48"/>
        <v>13</v>
      </c>
      <c r="Q59" s="77">
        <f t="shared" ca="1" si="49"/>
        <v>13</v>
      </c>
      <c r="R59" s="137">
        <f t="shared" ca="1" si="9"/>
        <v>100</v>
      </c>
      <c r="S59" s="177">
        <f ca="1">IFERROR(__xludf.DUMMYFUNCTION("IMPORTRANGE(""https://docs.google.com/spreadsheets/d/1C3CXT74ZlgGe6_JY_1olB1XN4rF0dxEuIIF-xsYjHgg/edit?usp=sharing"",""พรบ!BA63"")"),13)</f>
        <v>13</v>
      </c>
      <c r="T59" s="77">
        <f ca="1">IFERROR(__xludf.DUMMYFUNCTION("IMPORTRANGE(""https://docs.google.com/spreadsheets/d/1SX6NBoVAgQJ6U1MVXOaj8PK2l7WJ3RER9xtqwdhxkhw/edit?usp=sharing"",""ชัยนาท!J155"")"),13)</f>
        <v>13</v>
      </c>
      <c r="U59" s="137">
        <f t="shared" ca="1" si="11"/>
        <v>100</v>
      </c>
      <c r="V59" s="80">
        <f ca="1">IFERROR(__xludf.DUMMYFUNCTION("IMPORTRANGE(""https://docs.google.com/spreadsheets/d/1C3CXT74ZlgGe6_JY_1olB1XN4rF0dxEuIIF-xsYjHgg/edit?usp=sharing"",""พรบ!BB63"")"),0)</f>
        <v>0</v>
      </c>
      <c r="W59" s="77">
        <v>0</v>
      </c>
      <c r="X59" s="137">
        <f t="shared" ca="1" si="13"/>
        <v>0</v>
      </c>
    </row>
    <row r="60" spans="1:24" ht="21" customHeight="1">
      <c r="A60" s="73">
        <v>6</v>
      </c>
      <c r="B60" s="74" t="s">
        <v>84</v>
      </c>
      <c r="C60" s="75">
        <f t="shared" ca="1" si="0"/>
        <v>20210</v>
      </c>
      <c r="D60" s="174">
        <f t="shared" ca="1" si="47"/>
        <v>20210</v>
      </c>
      <c r="E60" s="137">
        <f ca="1">IFERROR(__xludf.DUMMYFUNCTION("IMPORTRANGE(""https://docs.google.com/spreadsheets/d/1C3CXT74ZlgGe6_JY_1olB1XN4rF0dxEuIIF-xsYjHgg/edit?usp=sharing"",""พรบ!AX64"")"),0)</f>
        <v>0</v>
      </c>
      <c r="F60" s="175">
        <f ca="1">IFERROR(__xludf.DUMMYFUNCTION("IMPORTRANGE(""https://docs.google.com/spreadsheets/d/1C3CXT74ZlgGe6_JY_1olB1XN4rF0dxEuIIF-xsYjHgg/edit?usp=sharing"",""พรบ!AY64"")"),20210)</f>
        <v>20210</v>
      </c>
      <c r="G60" s="77">
        <f ca="1">IFERROR(__xludf.DUMMYFUNCTION("IMPORTRANGE(""https://docs.google.com/spreadsheets/d/1Yj_ptqi66GCucihVvJfMjLAmec39IyEx_6qawtMGysU/edit?usp=sharing"",""สบก!BQ64"")"),0)</f>
        <v>0</v>
      </c>
      <c r="H60" s="77">
        <f ca="1">IFERROR(__xludf.DUMMYFUNCTION("IMPORTRANGE(""https://docs.google.com/spreadsheets/d/1Yj_ptqi66GCucihVvJfMjLAmec39IyEx_6qawtMGysU/edit?usp=shBSing"",""สบก!BS64"")"),20210)</f>
        <v>20210</v>
      </c>
      <c r="I60" s="77">
        <f t="shared" ca="1" si="3"/>
        <v>20210</v>
      </c>
      <c r="J60" s="137">
        <f t="shared" ca="1" si="4"/>
        <v>100</v>
      </c>
      <c r="K60" s="77">
        <f ca="1">IFERROR(__xludf.DUMMYFUNCTION("IMPORTRANGE(""https://docs.google.com/spreadsheets/d/1Yj_ptqi66GCucihVvJfMjLAmec39IyEx_6qawtMGysU/edit?usp=sharing"",""สบก!BT64"")"),20210)</f>
        <v>20210</v>
      </c>
      <c r="L60" s="137">
        <f t="shared" ca="1" si="5"/>
        <v>100</v>
      </c>
      <c r="M60" s="137">
        <f t="shared" ca="1" si="6"/>
        <v>100</v>
      </c>
      <c r="N60" s="137">
        <f ca="1">IFERROR(__xludf.DUMMYFUNCTION("IMPORTRANGE(""https://docs.google.com/spreadsheets/d/1Yj_ptqi66GCucihVvJfMjLAmec39IyEx_6qawtMGysU/edit?usp=sharing"",""สบก!BU64"")"),0)</f>
        <v>0</v>
      </c>
      <c r="O60" s="137">
        <f t="shared" ca="1" si="7"/>
        <v>0</v>
      </c>
      <c r="P60" s="80">
        <f t="shared" ca="1" si="48"/>
        <v>14</v>
      </c>
      <c r="Q60" s="77">
        <f t="shared" ca="1" si="49"/>
        <v>14</v>
      </c>
      <c r="R60" s="137">
        <f t="shared" ca="1" si="9"/>
        <v>100</v>
      </c>
      <c r="S60" s="177">
        <f ca="1">IFERROR(__xludf.DUMMYFUNCTION("IMPORTRANGE(""https://docs.google.com/spreadsheets/d/1C3CXT74ZlgGe6_JY_1olB1XN4rF0dxEuIIF-xsYjHgg/edit?usp=sharing"",""พรบ!BA64"")"),14)</f>
        <v>14</v>
      </c>
      <c r="T60" s="77">
        <f ca="1">IFERROR(__xludf.DUMMYFUNCTION("IMPORTRANGE(""https://docs.google.com/spreadsheets/d/1SX6NBoVAgQJ6U1MVXOaj8PK2l7WJ3RER9xtqwdhxkhw/edit?usp=sharing"",""ตราด!J155"")"),14)</f>
        <v>14</v>
      </c>
      <c r="U60" s="137">
        <f t="shared" ca="1" si="11"/>
        <v>100</v>
      </c>
      <c r="V60" s="80">
        <f ca="1">IFERROR(__xludf.DUMMYFUNCTION("IMPORTRANGE(""https://docs.google.com/spreadsheets/d/1C3CXT74ZlgGe6_JY_1olB1XN4rF0dxEuIIF-xsYjHgg/edit?usp=sharing"",""พรบ!BB64"")"),0)</f>
        <v>0</v>
      </c>
      <c r="W60" s="77">
        <v>0</v>
      </c>
      <c r="X60" s="137">
        <f t="shared" ca="1" si="13"/>
        <v>0</v>
      </c>
    </row>
    <row r="61" spans="1:24" ht="21" customHeight="1">
      <c r="A61" s="73">
        <v>7</v>
      </c>
      <c r="B61" s="74" t="s">
        <v>85</v>
      </c>
      <c r="C61" s="75">
        <f t="shared" ca="1" si="0"/>
        <v>0</v>
      </c>
      <c r="D61" s="174">
        <f t="shared" ca="1" si="47"/>
        <v>0</v>
      </c>
      <c r="E61" s="137">
        <f ca="1">IFERROR(__xludf.DUMMYFUNCTION("IMPORTRANGE(""https://docs.google.com/spreadsheets/d/1C3CXT74ZlgGe6_JY_1olB1XN4rF0dxEuIIF-xsYjHgg/edit?usp=sharing"",""พรบ!AX65"")"),0)</f>
        <v>0</v>
      </c>
      <c r="F61" s="175">
        <f ca="1">IFERROR(__xludf.DUMMYFUNCTION("IMPORTRANGE(""https://docs.google.com/spreadsheets/d/1C3CXT74ZlgGe6_JY_1olB1XN4rF0dxEuIIF-xsYjHgg/edit?usp=sharing"",""พรบ!AY65"")"),0)</f>
        <v>0</v>
      </c>
      <c r="G61" s="77">
        <f ca="1">IFERROR(__xludf.DUMMYFUNCTION("IMPORTRANGE(""https://docs.google.com/spreadsheets/d/1Yj_ptqi66GCucihVvJfMjLAmec39IyEx_6qawtMGysU/edit?usp=sharing"",""สบก!BQ65"")"),0)</f>
        <v>0</v>
      </c>
      <c r="H61" s="77">
        <f ca="1">IFERROR(__xludf.DUMMYFUNCTION("IMPORTRANGE(""https://docs.google.com/spreadsheets/d/1Yj_ptqi66GCucihVvJfMjLAmec39IyEx_6qawtMGysU/edit?usp=shBSing"",""สบก!BS65"")"),0)</f>
        <v>0</v>
      </c>
      <c r="I61" s="77">
        <f t="shared" ca="1" si="3"/>
        <v>0</v>
      </c>
      <c r="J61" s="137">
        <f t="shared" ca="1" si="4"/>
        <v>0</v>
      </c>
      <c r="K61" s="77">
        <f ca="1">IFERROR(__xludf.DUMMYFUNCTION("IMPORTRANGE(""https://docs.google.com/spreadsheets/d/1Yj_ptqi66GCucihVvJfMjLAmec39IyEx_6qawtMGysU/edit?usp=sharing"",""สบก!BT65"")"),0)</f>
        <v>0</v>
      </c>
      <c r="L61" s="137">
        <f t="shared" ca="1" si="5"/>
        <v>0</v>
      </c>
      <c r="M61" s="137">
        <f t="shared" ca="1" si="6"/>
        <v>0</v>
      </c>
      <c r="N61" s="137">
        <f ca="1">IFERROR(__xludf.DUMMYFUNCTION("IMPORTRANGE(""https://docs.google.com/spreadsheets/d/1Yj_ptqi66GCucihVvJfMjLAmec39IyEx_6qawtMGysU/edit?usp=sharing"",""สบก!BU65"")"),0)</f>
        <v>0</v>
      </c>
      <c r="O61" s="137">
        <f t="shared" ca="1" si="7"/>
        <v>0</v>
      </c>
      <c r="P61" s="80">
        <f t="shared" ca="1" si="48"/>
        <v>0</v>
      </c>
      <c r="Q61" s="77">
        <f t="shared" ca="1" si="49"/>
        <v>0</v>
      </c>
      <c r="R61" s="137">
        <f t="shared" ca="1" si="9"/>
        <v>0</v>
      </c>
      <c r="S61" s="80">
        <f ca="1">IFERROR(__xludf.DUMMYFUNCTION("IMPORTRANGE(""https://docs.google.com/spreadsheets/d/1C3CXT74ZlgGe6_JY_1olB1XN4rF0dxEuIIF-xsYjHgg/edit?usp=sharing"",""พรบ!BA65"")"),0)</f>
        <v>0</v>
      </c>
      <c r="T61" s="77">
        <f ca="1">IFERROR(__xludf.DUMMYFUNCTION("IMPORTRANGE(""https://docs.google.com/spreadsheets/d/1SX6NBoVAgQJ6U1MVXOaj8PK2l7WJ3RER9xtqwdhxkhw/edit?usp=sharing"",""นครนายก!J155"")"),0)</f>
        <v>0</v>
      </c>
      <c r="U61" s="137">
        <f t="shared" ca="1" si="11"/>
        <v>0</v>
      </c>
      <c r="V61" s="80">
        <f ca="1">IFERROR(__xludf.DUMMYFUNCTION("IMPORTRANGE(""https://docs.google.com/spreadsheets/d/1C3CXT74ZlgGe6_JY_1olB1XN4rF0dxEuIIF-xsYjHgg/edit?usp=sharing"",""พรบ!BB65"")"),0)</f>
        <v>0</v>
      </c>
      <c r="W61" s="77">
        <v>0</v>
      </c>
      <c r="X61" s="137">
        <f t="shared" ca="1" si="13"/>
        <v>0</v>
      </c>
    </row>
    <row r="62" spans="1:24" ht="21" customHeight="1">
      <c r="A62" s="73">
        <v>8</v>
      </c>
      <c r="B62" s="74" t="s">
        <v>86</v>
      </c>
      <c r="C62" s="75">
        <f t="shared" ca="1" si="0"/>
        <v>19295</v>
      </c>
      <c r="D62" s="174">
        <f t="shared" ca="1" si="47"/>
        <v>19295</v>
      </c>
      <c r="E62" s="137">
        <f ca="1">IFERROR(__xludf.DUMMYFUNCTION("IMPORTRANGE(""https://docs.google.com/spreadsheets/d/1C3CXT74ZlgGe6_JY_1olB1XN4rF0dxEuIIF-xsYjHgg/edit?usp=sharing"",""พรบ!AX66"")"),0)</f>
        <v>0</v>
      </c>
      <c r="F62" s="175">
        <f ca="1">IFERROR(__xludf.DUMMYFUNCTION("IMPORTRANGE(""https://docs.google.com/spreadsheets/d/1C3CXT74ZlgGe6_JY_1olB1XN4rF0dxEuIIF-xsYjHgg/edit?usp=sharing"",""พรบ!AY66"")"),19295)</f>
        <v>19295</v>
      </c>
      <c r="G62" s="77">
        <f ca="1">IFERROR(__xludf.DUMMYFUNCTION("IMPORTRANGE(""https://docs.google.com/spreadsheets/d/1Yj_ptqi66GCucihVvJfMjLAmec39IyEx_6qawtMGysU/edit?usp=sharing"",""สบก!BQ66"")"),0)</f>
        <v>0</v>
      </c>
      <c r="H62" s="77">
        <f ca="1">IFERROR(__xludf.DUMMYFUNCTION("IMPORTRANGE(""https://docs.google.com/spreadsheets/d/1Yj_ptqi66GCucihVvJfMjLAmec39IyEx_6qawtMGysU/edit?usp=shBSing"",""สบก!BS66"")"),19295)</f>
        <v>19295</v>
      </c>
      <c r="I62" s="77">
        <f t="shared" ca="1" si="3"/>
        <v>19295</v>
      </c>
      <c r="J62" s="137">
        <f t="shared" ca="1" si="4"/>
        <v>100</v>
      </c>
      <c r="K62" s="77">
        <f ca="1">IFERROR(__xludf.DUMMYFUNCTION("IMPORTRANGE(""https://docs.google.com/spreadsheets/d/1Yj_ptqi66GCucihVvJfMjLAmec39IyEx_6qawtMGysU/edit?usp=sharing"",""สบก!BT66"")"),19295)</f>
        <v>19295</v>
      </c>
      <c r="L62" s="137">
        <f t="shared" ca="1" si="5"/>
        <v>100</v>
      </c>
      <c r="M62" s="137">
        <f t="shared" ca="1" si="6"/>
        <v>100</v>
      </c>
      <c r="N62" s="137">
        <f ca="1">IFERROR(__xludf.DUMMYFUNCTION("IMPORTRANGE(""https://docs.google.com/spreadsheets/d/1Yj_ptqi66GCucihVvJfMjLAmec39IyEx_6qawtMGysU/edit?usp=sharing"",""สบก!BU66"")"),0)</f>
        <v>0</v>
      </c>
      <c r="O62" s="137">
        <f t="shared" ca="1" si="7"/>
        <v>0</v>
      </c>
      <c r="P62" s="80">
        <f t="shared" ca="1" si="48"/>
        <v>13</v>
      </c>
      <c r="Q62" s="77">
        <f t="shared" ca="1" si="49"/>
        <v>13</v>
      </c>
      <c r="R62" s="137">
        <f t="shared" ca="1" si="9"/>
        <v>100</v>
      </c>
      <c r="S62" s="177">
        <f ca="1">IFERROR(__xludf.DUMMYFUNCTION("IMPORTRANGE(""https://docs.google.com/spreadsheets/d/1C3CXT74ZlgGe6_JY_1olB1XN4rF0dxEuIIF-xsYjHgg/edit?usp=sharing"",""พรบ!BA66"")"),13)</f>
        <v>13</v>
      </c>
      <c r="T62" s="77">
        <f ca="1">IFERROR(__xludf.DUMMYFUNCTION("IMPORTRANGE(""https://docs.google.com/spreadsheets/d/1SX6NBoVAgQJ6U1MVXOaj8PK2l7WJ3RER9xtqwdhxkhw/edit?usp=sharing"",""นครปฐม!J155"")"),13)</f>
        <v>13</v>
      </c>
      <c r="U62" s="137">
        <f t="shared" ca="1" si="11"/>
        <v>100</v>
      </c>
      <c r="V62" s="80">
        <f ca="1">IFERROR(__xludf.DUMMYFUNCTION("IMPORTRANGE(""https://docs.google.com/spreadsheets/d/1C3CXT74ZlgGe6_JY_1olB1XN4rF0dxEuIIF-xsYjHgg/edit?usp=sharing"",""พรบ!BB66"")"),0)</f>
        <v>0</v>
      </c>
      <c r="W62" s="77">
        <v>0</v>
      </c>
      <c r="X62" s="137">
        <f t="shared" ca="1" si="13"/>
        <v>0</v>
      </c>
    </row>
    <row r="63" spans="1:24" ht="21" customHeight="1">
      <c r="A63" s="73">
        <v>9</v>
      </c>
      <c r="B63" s="74" t="s">
        <v>87</v>
      </c>
      <c r="C63" s="75">
        <f t="shared" ca="1" si="0"/>
        <v>21125</v>
      </c>
      <c r="D63" s="174">
        <f t="shared" ca="1" si="47"/>
        <v>21125</v>
      </c>
      <c r="E63" s="137">
        <f ca="1">IFERROR(__xludf.DUMMYFUNCTION("IMPORTRANGE(""https://docs.google.com/spreadsheets/d/1C3CXT74ZlgGe6_JY_1olB1XN4rF0dxEuIIF-xsYjHgg/edit?usp=sharing"",""พรบ!AX67"")"),0)</f>
        <v>0</v>
      </c>
      <c r="F63" s="175">
        <f ca="1">IFERROR(__xludf.DUMMYFUNCTION("IMPORTRANGE(""https://docs.google.com/spreadsheets/d/1C3CXT74ZlgGe6_JY_1olB1XN4rF0dxEuIIF-xsYjHgg/edit?usp=sharing"",""พรบ!AY67"")"),21125)</f>
        <v>21125</v>
      </c>
      <c r="G63" s="77">
        <f ca="1">IFERROR(__xludf.DUMMYFUNCTION("IMPORTRANGE(""https://docs.google.com/spreadsheets/d/1Yj_ptqi66GCucihVvJfMjLAmec39IyEx_6qawtMGysU/edit?usp=sharing"",""สบก!BQ67"")"),0)</f>
        <v>0</v>
      </c>
      <c r="H63" s="77">
        <f ca="1">IFERROR(__xludf.DUMMYFUNCTION("IMPORTRANGE(""https://docs.google.com/spreadsheets/d/1Yj_ptqi66GCucihVvJfMjLAmec39IyEx_6qawtMGysU/edit?usp=shBSing"",""สบก!BS67"")"),21125)</f>
        <v>21125</v>
      </c>
      <c r="I63" s="77">
        <f t="shared" ca="1" si="3"/>
        <v>21125</v>
      </c>
      <c r="J63" s="137">
        <f t="shared" ca="1" si="4"/>
        <v>100</v>
      </c>
      <c r="K63" s="77">
        <f ca="1">IFERROR(__xludf.DUMMYFUNCTION("IMPORTRANGE(""https://docs.google.com/spreadsheets/d/1Yj_ptqi66GCucihVvJfMjLAmec39IyEx_6qawtMGysU/edit?usp=sharing"",""สบก!BT67"")"),21125)</f>
        <v>21125</v>
      </c>
      <c r="L63" s="137">
        <f t="shared" ca="1" si="5"/>
        <v>100</v>
      </c>
      <c r="M63" s="137">
        <f t="shared" ca="1" si="6"/>
        <v>100</v>
      </c>
      <c r="N63" s="137">
        <f ca="1">IFERROR(__xludf.DUMMYFUNCTION("IMPORTRANGE(""https://docs.google.com/spreadsheets/d/1Yj_ptqi66GCucihVvJfMjLAmec39IyEx_6qawtMGysU/edit?usp=sharing"",""สบก!BU67"")"),0)</f>
        <v>0</v>
      </c>
      <c r="O63" s="137">
        <f t="shared" ca="1" si="7"/>
        <v>0</v>
      </c>
      <c r="P63" s="80">
        <f t="shared" ca="1" si="48"/>
        <v>15</v>
      </c>
      <c r="Q63" s="77">
        <f t="shared" ca="1" si="49"/>
        <v>15</v>
      </c>
      <c r="R63" s="137">
        <f t="shared" ca="1" si="9"/>
        <v>100</v>
      </c>
      <c r="S63" s="177">
        <f ca="1">IFERROR(__xludf.DUMMYFUNCTION("IMPORTRANGE(""https://docs.google.com/spreadsheets/d/1C3CXT74ZlgGe6_JY_1olB1XN4rF0dxEuIIF-xsYjHgg/edit?usp=sharing"",""พรบ!BA67"")"),15)</f>
        <v>15</v>
      </c>
      <c r="T63" s="77">
        <f ca="1">IFERROR(__xludf.DUMMYFUNCTION("IMPORTRANGE(""https://docs.google.com/spreadsheets/d/1SX6NBoVAgQJ6U1MVXOaj8PK2l7WJ3RER9xtqwdhxkhw/edit?usp=sharing"",""ปทุมธานี!J155"")"),15)</f>
        <v>15</v>
      </c>
      <c r="U63" s="137">
        <f t="shared" ca="1" si="11"/>
        <v>100</v>
      </c>
      <c r="V63" s="80">
        <f ca="1">IFERROR(__xludf.DUMMYFUNCTION("IMPORTRANGE(""https://docs.google.com/spreadsheets/d/1C3CXT74ZlgGe6_JY_1olB1XN4rF0dxEuIIF-xsYjHgg/edit?usp=sharing"",""พรบ!BB67"")"),0)</f>
        <v>0</v>
      </c>
      <c r="W63" s="77">
        <v>0</v>
      </c>
      <c r="X63" s="137">
        <f t="shared" ca="1" si="13"/>
        <v>0</v>
      </c>
    </row>
    <row r="64" spans="1:24" ht="21" customHeight="1">
      <c r="A64" s="73">
        <v>10</v>
      </c>
      <c r="B64" s="74" t="s">
        <v>88</v>
      </c>
      <c r="C64" s="75">
        <f t="shared" ca="1" si="0"/>
        <v>20210</v>
      </c>
      <c r="D64" s="174">
        <f t="shared" ca="1" si="47"/>
        <v>20210</v>
      </c>
      <c r="E64" s="137">
        <f ca="1">IFERROR(__xludf.DUMMYFUNCTION("IMPORTRANGE(""https://docs.google.com/spreadsheets/d/1C3CXT74ZlgGe6_JY_1olB1XN4rF0dxEuIIF-xsYjHgg/edit?usp=sharing"",""พรบ!AX68"")"),0)</f>
        <v>0</v>
      </c>
      <c r="F64" s="175">
        <f ca="1">IFERROR(__xludf.DUMMYFUNCTION("IMPORTRANGE(""https://docs.google.com/spreadsheets/d/1C3CXT74ZlgGe6_JY_1olB1XN4rF0dxEuIIF-xsYjHgg/edit?usp=sharing"",""พรบ!AY68"")"),20210)</f>
        <v>20210</v>
      </c>
      <c r="G64" s="77">
        <f ca="1">IFERROR(__xludf.DUMMYFUNCTION("IMPORTRANGE(""https://docs.google.com/spreadsheets/d/1Yj_ptqi66GCucihVvJfMjLAmec39IyEx_6qawtMGysU/edit?usp=sharing"",""สบก!BQ68"")"),0)</f>
        <v>0</v>
      </c>
      <c r="H64" s="77">
        <f ca="1">IFERROR(__xludf.DUMMYFUNCTION("IMPORTRANGE(""https://docs.google.com/spreadsheets/d/1Yj_ptqi66GCucihVvJfMjLAmec39IyEx_6qawtMGysU/edit?usp=shBSing"",""สบก!BS68"")"),20210)</f>
        <v>20210</v>
      </c>
      <c r="I64" s="77">
        <f t="shared" ca="1" si="3"/>
        <v>20210</v>
      </c>
      <c r="J64" s="137">
        <f t="shared" ca="1" si="4"/>
        <v>100</v>
      </c>
      <c r="K64" s="77">
        <f ca="1">IFERROR(__xludf.DUMMYFUNCTION("IMPORTRANGE(""https://docs.google.com/spreadsheets/d/1Yj_ptqi66GCucihVvJfMjLAmec39IyEx_6qawtMGysU/edit?usp=sharing"",""สบก!BT68"")"),20210)</f>
        <v>20210</v>
      </c>
      <c r="L64" s="137">
        <f t="shared" ca="1" si="5"/>
        <v>100</v>
      </c>
      <c r="M64" s="137">
        <f t="shared" ca="1" si="6"/>
        <v>100</v>
      </c>
      <c r="N64" s="137">
        <f ca="1">IFERROR(__xludf.DUMMYFUNCTION("IMPORTRANGE(""https://docs.google.com/spreadsheets/d/1Yj_ptqi66GCucihVvJfMjLAmec39IyEx_6qawtMGysU/edit?usp=sharing"",""สบก!BU68"")"),0)</f>
        <v>0</v>
      </c>
      <c r="O64" s="137">
        <f t="shared" ca="1" si="7"/>
        <v>0</v>
      </c>
      <c r="P64" s="80">
        <f t="shared" ca="1" si="48"/>
        <v>14</v>
      </c>
      <c r="Q64" s="77">
        <f t="shared" ca="1" si="49"/>
        <v>14</v>
      </c>
      <c r="R64" s="137">
        <f t="shared" ca="1" si="9"/>
        <v>100</v>
      </c>
      <c r="S64" s="177">
        <f ca="1">IFERROR(__xludf.DUMMYFUNCTION("IMPORTRANGE(""https://docs.google.com/spreadsheets/d/1C3CXT74ZlgGe6_JY_1olB1XN4rF0dxEuIIF-xsYjHgg/edit?usp=sharing"",""พรบ!BA68"")"),14)</f>
        <v>14</v>
      </c>
      <c r="T64" s="77">
        <f ca="1">IFERROR(__xludf.DUMMYFUNCTION("IMPORTRANGE(""https://docs.google.com/spreadsheets/d/1SX6NBoVAgQJ6U1MVXOaj8PK2l7WJ3RER9xtqwdhxkhw/edit?usp=sharing"",""ประจวบคีรีขันธ์!J155"")"),14)</f>
        <v>14</v>
      </c>
      <c r="U64" s="137">
        <f t="shared" ca="1" si="11"/>
        <v>100</v>
      </c>
      <c r="V64" s="80">
        <f ca="1">IFERROR(__xludf.DUMMYFUNCTION("IMPORTRANGE(""https://docs.google.com/spreadsheets/d/1C3CXT74ZlgGe6_JY_1olB1XN4rF0dxEuIIF-xsYjHgg/edit?usp=sharing"",""พรบ!BB68"")"),0)</f>
        <v>0</v>
      </c>
      <c r="W64" s="77">
        <v>0</v>
      </c>
      <c r="X64" s="137">
        <f t="shared" ca="1" si="13"/>
        <v>0</v>
      </c>
    </row>
    <row r="65" spans="1:24" ht="21" customHeight="1">
      <c r="A65" s="73">
        <v>11</v>
      </c>
      <c r="B65" s="74" t="s">
        <v>89</v>
      </c>
      <c r="C65" s="75">
        <f t="shared" ca="1" si="0"/>
        <v>21125</v>
      </c>
      <c r="D65" s="174">
        <f t="shared" ca="1" si="47"/>
        <v>21125</v>
      </c>
      <c r="E65" s="137">
        <f ca="1">IFERROR(__xludf.DUMMYFUNCTION("IMPORTRANGE(""https://docs.google.com/spreadsheets/d/1C3CXT74ZlgGe6_JY_1olB1XN4rF0dxEuIIF-xsYjHgg/edit?usp=sharing"",""พรบ!AX69"")"),0)</f>
        <v>0</v>
      </c>
      <c r="F65" s="175">
        <f ca="1">IFERROR(__xludf.DUMMYFUNCTION("IMPORTRANGE(""https://docs.google.com/spreadsheets/d/1C3CXT74ZlgGe6_JY_1olB1XN4rF0dxEuIIF-xsYjHgg/edit?usp=sharing"",""พรบ!AY69"")"),21125)</f>
        <v>21125</v>
      </c>
      <c r="G65" s="77">
        <f ca="1">IFERROR(__xludf.DUMMYFUNCTION("IMPORTRANGE(""https://docs.google.com/spreadsheets/d/1Yj_ptqi66GCucihVvJfMjLAmec39IyEx_6qawtMGysU/edit?usp=sharing"",""สบก!BQ69"")"),0)</f>
        <v>0</v>
      </c>
      <c r="H65" s="77">
        <f ca="1">IFERROR(__xludf.DUMMYFUNCTION("IMPORTRANGE(""https://docs.google.com/spreadsheets/d/1Yj_ptqi66GCucihVvJfMjLAmec39IyEx_6qawtMGysU/edit?usp=shBSing"",""สบก!BS69"")"),21125)</f>
        <v>21125</v>
      </c>
      <c r="I65" s="77">
        <f t="shared" ca="1" si="3"/>
        <v>21125</v>
      </c>
      <c r="J65" s="137">
        <f t="shared" ca="1" si="4"/>
        <v>100</v>
      </c>
      <c r="K65" s="77">
        <f ca="1">IFERROR(__xludf.DUMMYFUNCTION("IMPORTRANGE(""https://docs.google.com/spreadsheets/d/1Yj_ptqi66GCucihVvJfMjLAmec39IyEx_6qawtMGysU/edit?usp=sharing"",""สบก!BT69"")"),21125)</f>
        <v>21125</v>
      </c>
      <c r="L65" s="137">
        <f t="shared" ca="1" si="5"/>
        <v>100</v>
      </c>
      <c r="M65" s="137">
        <f t="shared" ca="1" si="6"/>
        <v>100</v>
      </c>
      <c r="N65" s="137">
        <f ca="1">IFERROR(__xludf.DUMMYFUNCTION("IMPORTRANGE(""https://docs.google.com/spreadsheets/d/1Yj_ptqi66GCucihVvJfMjLAmec39IyEx_6qawtMGysU/edit?usp=sharing"",""สบก!BU69"")"),0)</f>
        <v>0</v>
      </c>
      <c r="O65" s="137">
        <f t="shared" ca="1" si="7"/>
        <v>0</v>
      </c>
      <c r="P65" s="80">
        <f t="shared" ca="1" si="48"/>
        <v>15</v>
      </c>
      <c r="Q65" s="77">
        <f t="shared" ca="1" si="49"/>
        <v>15</v>
      </c>
      <c r="R65" s="137">
        <f t="shared" ca="1" si="9"/>
        <v>100</v>
      </c>
      <c r="S65" s="177">
        <f ca="1">IFERROR(__xludf.DUMMYFUNCTION("IMPORTRANGE(""https://docs.google.com/spreadsheets/d/1C3CXT74ZlgGe6_JY_1olB1XN4rF0dxEuIIF-xsYjHgg/edit?usp=sharing"",""พรบ!BA69"")"),15)</f>
        <v>15</v>
      </c>
      <c r="T65" s="77">
        <f ca="1">IFERROR(__xludf.DUMMYFUNCTION("IMPORTRANGE(""https://docs.google.com/spreadsheets/d/1SX6NBoVAgQJ6U1MVXOaj8PK2l7WJ3RER9xtqwdhxkhw/edit?usp=sharing"",""ปราจีนบุรี!J155"")"),15)</f>
        <v>15</v>
      </c>
      <c r="U65" s="137">
        <f t="shared" ca="1" si="11"/>
        <v>100</v>
      </c>
      <c r="V65" s="80">
        <f ca="1">IFERROR(__xludf.DUMMYFUNCTION("IMPORTRANGE(""https://docs.google.com/spreadsheets/d/1C3CXT74ZlgGe6_JY_1olB1XN4rF0dxEuIIF-xsYjHgg/edit?usp=sharing"",""พรบ!BB69"")"),0)</f>
        <v>0</v>
      </c>
      <c r="W65" s="77">
        <v>0</v>
      </c>
      <c r="X65" s="137">
        <f t="shared" ca="1" si="13"/>
        <v>0</v>
      </c>
    </row>
    <row r="66" spans="1:24" ht="21" customHeight="1">
      <c r="A66" s="73">
        <v>12</v>
      </c>
      <c r="B66" s="74" t="s">
        <v>90</v>
      </c>
      <c r="C66" s="75">
        <f t="shared" ca="1" si="0"/>
        <v>21125</v>
      </c>
      <c r="D66" s="174">
        <f t="shared" ca="1" si="47"/>
        <v>21125</v>
      </c>
      <c r="E66" s="137">
        <f ca="1">IFERROR(__xludf.DUMMYFUNCTION("IMPORTRANGE(""https://docs.google.com/spreadsheets/d/1C3CXT74ZlgGe6_JY_1olB1XN4rF0dxEuIIF-xsYjHgg/edit?usp=sharing"",""พรบ!AX70"")"),0)</f>
        <v>0</v>
      </c>
      <c r="F66" s="175">
        <f ca="1">IFERROR(__xludf.DUMMYFUNCTION("IMPORTRANGE(""https://docs.google.com/spreadsheets/d/1C3CXT74ZlgGe6_JY_1olB1XN4rF0dxEuIIF-xsYjHgg/edit?usp=sharing"",""พรบ!AY70"")"),21125)</f>
        <v>21125</v>
      </c>
      <c r="G66" s="77">
        <f ca="1">IFERROR(__xludf.DUMMYFUNCTION("IMPORTRANGE(""https://docs.google.com/spreadsheets/d/1Yj_ptqi66GCucihVvJfMjLAmec39IyEx_6qawtMGysU/edit?usp=sharing"",""สบก!BQ70"")"),0)</f>
        <v>0</v>
      </c>
      <c r="H66" s="77">
        <f ca="1">IFERROR(__xludf.DUMMYFUNCTION("IMPORTRANGE(""https://docs.google.com/spreadsheets/d/1Yj_ptqi66GCucihVvJfMjLAmec39IyEx_6qawtMGysU/edit?usp=shBSing"",""สบก!BS70"")"),21125)</f>
        <v>21125</v>
      </c>
      <c r="I66" s="77">
        <f t="shared" ca="1" si="3"/>
        <v>20697.599999999999</v>
      </c>
      <c r="J66" s="137">
        <f t="shared" ca="1" si="4"/>
        <v>97.976804733727803</v>
      </c>
      <c r="K66" s="77">
        <f ca="1">IFERROR(__xludf.DUMMYFUNCTION("IMPORTRANGE(""https://docs.google.com/spreadsheets/d/1Yj_ptqi66GCucihVvJfMjLAmec39IyEx_6qawtMGysU/edit?usp=sharing"",""สบก!BT70"")"),20697.6)</f>
        <v>20697.599999999999</v>
      </c>
      <c r="L66" s="137">
        <f t="shared" ca="1" si="5"/>
        <v>97.976804733727803</v>
      </c>
      <c r="M66" s="137">
        <f t="shared" ca="1" si="6"/>
        <v>97.976804733727803</v>
      </c>
      <c r="N66" s="137">
        <f ca="1">IFERROR(__xludf.DUMMYFUNCTION("IMPORTRANGE(""https://docs.google.com/spreadsheets/d/1Yj_ptqi66GCucihVvJfMjLAmec39IyEx_6qawtMGysU/edit?usp=sharing"",""สบก!BU70"")"),0)</f>
        <v>0</v>
      </c>
      <c r="O66" s="137">
        <f t="shared" ca="1" si="7"/>
        <v>0</v>
      </c>
      <c r="P66" s="80">
        <f t="shared" ca="1" si="48"/>
        <v>15</v>
      </c>
      <c r="Q66" s="77">
        <f t="shared" ca="1" si="49"/>
        <v>15</v>
      </c>
      <c r="R66" s="137">
        <f t="shared" ca="1" si="9"/>
        <v>100</v>
      </c>
      <c r="S66" s="177">
        <f ca="1">IFERROR(__xludf.DUMMYFUNCTION("IMPORTRANGE(""https://docs.google.com/spreadsheets/d/1C3CXT74ZlgGe6_JY_1olB1XN4rF0dxEuIIF-xsYjHgg/edit?usp=sharing"",""พรบ!BA70"")"),15)</f>
        <v>15</v>
      </c>
      <c r="T66" s="77">
        <f ca="1">IFERROR(__xludf.DUMMYFUNCTION("IMPORTRANGE(""https://docs.google.com/spreadsheets/d/1SX6NBoVAgQJ6U1MVXOaj8PK2l7WJ3RER9xtqwdhxkhw/edit?usp=sharing"",""พระนครศรีอยุธยา!J155"")"),15)</f>
        <v>15</v>
      </c>
      <c r="U66" s="137">
        <f t="shared" ca="1" si="11"/>
        <v>100</v>
      </c>
      <c r="V66" s="80">
        <f ca="1">IFERROR(__xludf.DUMMYFUNCTION("IMPORTRANGE(""https://docs.google.com/spreadsheets/d/1C3CXT74ZlgGe6_JY_1olB1XN4rF0dxEuIIF-xsYjHgg/edit?usp=sharing"",""พรบ!BB70"")"),0)</f>
        <v>0</v>
      </c>
      <c r="W66" s="77">
        <v>0</v>
      </c>
      <c r="X66" s="137">
        <f t="shared" ca="1" si="13"/>
        <v>0</v>
      </c>
    </row>
    <row r="67" spans="1:24" ht="21" customHeight="1">
      <c r="A67" s="73">
        <v>13</v>
      </c>
      <c r="B67" s="74" t="s">
        <v>91</v>
      </c>
      <c r="C67" s="75">
        <f t="shared" ca="1" si="0"/>
        <v>21125</v>
      </c>
      <c r="D67" s="174">
        <f t="shared" ca="1" si="47"/>
        <v>21125</v>
      </c>
      <c r="E67" s="137">
        <f ca="1">IFERROR(__xludf.DUMMYFUNCTION("IMPORTRANGE(""https://docs.google.com/spreadsheets/d/1C3CXT74ZlgGe6_JY_1olB1XN4rF0dxEuIIF-xsYjHgg/edit?usp=sharing"",""พรบ!AX71"")"),0)</f>
        <v>0</v>
      </c>
      <c r="F67" s="175">
        <f ca="1">IFERROR(__xludf.DUMMYFUNCTION("IMPORTRANGE(""https://docs.google.com/spreadsheets/d/1C3CXT74ZlgGe6_JY_1olB1XN4rF0dxEuIIF-xsYjHgg/edit?usp=sharing"",""พรบ!AY71"")"),21125)</f>
        <v>21125</v>
      </c>
      <c r="G67" s="77">
        <f ca="1">IFERROR(__xludf.DUMMYFUNCTION("IMPORTRANGE(""https://docs.google.com/spreadsheets/d/1Yj_ptqi66GCucihVvJfMjLAmec39IyEx_6qawtMGysU/edit?usp=sharing"",""สบก!BQ71"")"),0)</f>
        <v>0</v>
      </c>
      <c r="H67" s="77">
        <f ca="1">IFERROR(__xludf.DUMMYFUNCTION("IMPORTRANGE(""https://docs.google.com/spreadsheets/d/1Yj_ptqi66GCucihVvJfMjLAmec39IyEx_6qawtMGysU/edit?usp=shBSing"",""สบก!BS71"")"),21125)</f>
        <v>21125</v>
      </c>
      <c r="I67" s="77">
        <f t="shared" ca="1" si="3"/>
        <v>20145</v>
      </c>
      <c r="J67" s="137">
        <f t="shared" ca="1" si="4"/>
        <v>95.360946745562131</v>
      </c>
      <c r="K67" s="77">
        <f ca="1">IFERROR(__xludf.DUMMYFUNCTION("IMPORTRANGE(""https://docs.google.com/spreadsheets/d/1Yj_ptqi66GCucihVvJfMjLAmec39IyEx_6qawtMGysU/edit?usp=sharing"",""สบก!BT71"")"),20145)</f>
        <v>20145</v>
      </c>
      <c r="L67" s="137">
        <f t="shared" ca="1" si="5"/>
        <v>95.360946745562131</v>
      </c>
      <c r="M67" s="137">
        <f t="shared" ca="1" si="6"/>
        <v>95.360946745562131</v>
      </c>
      <c r="N67" s="137">
        <f ca="1">IFERROR(__xludf.DUMMYFUNCTION("IMPORTRANGE(""https://docs.google.com/spreadsheets/d/1Yj_ptqi66GCucihVvJfMjLAmec39IyEx_6qawtMGysU/edit?usp=sharing"",""สบก!BU71"")"),0)</f>
        <v>0</v>
      </c>
      <c r="O67" s="137">
        <f t="shared" ca="1" si="7"/>
        <v>0</v>
      </c>
      <c r="P67" s="80">
        <f t="shared" ca="1" si="48"/>
        <v>15</v>
      </c>
      <c r="Q67" s="77">
        <f t="shared" ca="1" si="49"/>
        <v>15</v>
      </c>
      <c r="R67" s="137">
        <f t="shared" ca="1" si="9"/>
        <v>100</v>
      </c>
      <c r="S67" s="177">
        <f ca="1">IFERROR(__xludf.DUMMYFUNCTION("IMPORTRANGE(""https://docs.google.com/spreadsheets/d/1C3CXT74ZlgGe6_JY_1olB1XN4rF0dxEuIIF-xsYjHgg/edit?usp=sharing"",""พรบ!BA71"")"),15)</f>
        <v>15</v>
      </c>
      <c r="T67" s="77">
        <f ca="1">IFERROR(__xludf.DUMMYFUNCTION("IMPORTRANGE(""https://docs.google.com/spreadsheets/d/1SX6NBoVAgQJ6U1MVXOaj8PK2l7WJ3RER9xtqwdhxkhw/edit?usp=sharing"",""เพชรบุรี!J155"")"),15)</f>
        <v>15</v>
      </c>
      <c r="U67" s="137">
        <f t="shared" ca="1" si="11"/>
        <v>100</v>
      </c>
      <c r="V67" s="80">
        <f ca="1">IFERROR(__xludf.DUMMYFUNCTION("IMPORTRANGE(""https://docs.google.com/spreadsheets/d/1C3CXT74ZlgGe6_JY_1olB1XN4rF0dxEuIIF-xsYjHgg/edit?usp=sharing"",""พรบ!BB71"")"),0)</f>
        <v>0</v>
      </c>
      <c r="W67" s="77">
        <v>0</v>
      </c>
      <c r="X67" s="137">
        <f t="shared" ca="1" si="13"/>
        <v>0</v>
      </c>
    </row>
    <row r="68" spans="1:24" ht="21" customHeight="1">
      <c r="A68" s="73">
        <v>14</v>
      </c>
      <c r="B68" s="74" t="s">
        <v>92</v>
      </c>
      <c r="C68" s="75">
        <f t="shared" ca="1" si="0"/>
        <v>21125</v>
      </c>
      <c r="D68" s="174">
        <f t="shared" ca="1" si="47"/>
        <v>21125</v>
      </c>
      <c r="E68" s="137">
        <f ca="1">IFERROR(__xludf.DUMMYFUNCTION("IMPORTRANGE(""https://docs.google.com/spreadsheets/d/1C3CXT74ZlgGe6_JY_1olB1XN4rF0dxEuIIF-xsYjHgg/edit?usp=sharing"",""พรบ!AX72"")"),0)</f>
        <v>0</v>
      </c>
      <c r="F68" s="175">
        <f ca="1">IFERROR(__xludf.DUMMYFUNCTION("IMPORTRANGE(""https://docs.google.com/spreadsheets/d/1C3CXT74ZlgGe6_JY_1olB1XN4rF0dxEuIIF-xsYjHgg/edit?usp=sharing"",""พรบ!AY72"")"),21125)</f>
        <v>21125</v>
      </c>
      <c r="G68" s="77">
        <f ca="1">IFERROR(__xludf.DUMMYFUNCTION("IMPORTRANGE(""https://docs.google.com/spreadsheets/d/1Yj_ptqi66GCucihVvJfMjLAmec39IyEx_6qawtMGysU/edit?usp=sharing"",""สบก!BQ72"")"),0)</f>
        <v>0</v>
      </c>
      <c r="H68" s="77">
        <f ca="1">IFERROR(__xludf.DUMMYFUNCTION("IMPORTRANGE(""https://docs.google.com/spreadsheets/d/1Yj_ptqi66GCucihVvJfMjLAmec39IyEx_6qawtMGysU/edit?usp=shBSing"",""สบก!BS72"")"),21125)</f>
        <v>21125</v>
      </c>
      <c r="I68" s="77">
        <f t="shared" ca="1" si="3"/>
        <v>21125</v>
      </c>
      <c r="J68" s="137">
        <f t="shared" ca="1" si="4"/>
        <v>100</v>
      </c>
      <c r="K68" s="77">
        <f ca="1">IFERROR(__xludf.DUMMYFUNCTION("IMPORTRANGE(""https://docs.google.com/spreadsheets/d/1Yj_ptqi66GCucihVvJfMjLAmec39IyEx_6qawtMGysU/edit?usp=sharing"",""สบก!BT72"")"),21125)</f>
        <v>21125</v>
      </c>
      <c r="L68" s="137">
        <f t="shared" ca="1" si="5"/>
        <v>100</v>
      </c>
      <c r="M68" s="137">
        <f t="shared" ca="1" si="6"/>
        <v>100</v>
      </c>
      <c r="N68" s="137">
        <f ca="1">IFERROR(__xludf.DUMMYFUNCTION("IMPORTRANGE(""https://docs.google.com/spreadsheets/d/1Yj_ptqi66GCucihVvJfMjLAmec39IyEx_6qawtMGysU/edit?usp=sharing"",""สบก!BU72"")"),0)</f>
        <v>0</v>
      </c>
      <c r="O68" s="137">
        <f t="shared" ca="1" si="7"/>
        <v>0</v>
      </c>
      <c r="P68" s="80">
        <f t="shared" ca="1" si="48"/>
        <v>15</v>
      </c>
      <c r="Q68" s="77">
        <f t="shared" ca="1" si="49"/>
        <v>15</v>
      </c>
      <c r="R68" s="137">
        <f t="shared" ca="1" si="9"/>
        <v>100</v>
      </c>
      <c r="S68" s="177">
        <f ca="1">IFERROR(__xludf.DUMMYFUNCTION("IMPORTRANGE(""https://docs.google.com/spreadsheets/d/1C3CXT74ZlgGe6_JY_1olB1XN4rF0dxEuIIF-xsYjHgg/edit?usp=sharing"",""พรบ!BA72"")"),15)</f>
        <v>15</v>
      </c>
      <c r="T68" s="77">
        <f ca="1">IFERROR(__xludf.DUMMYFUNCTION("IMPORTRANGE(""https://docs.google.com/spreadsheets/d/1SX6NBoVAgQJ6U1MVXOaj8PK2l7WJ3RER9xtqwdhxkhw/edit?usp=sharing"",""ระยอง!J155"")"),15)</f>
        <v>15</v>
      </c>
      <c r="U68" s="137">
        <f t="shared" ca="1" si="11"/>
        <v>100</v>
      </c>
      <c r="V68" s="80">
        <f ca="1">IFERROR(__xludf.DUMMYFUNCTION("IMPORTRANGE(""https://docs.google.com/spreadsheets/d/1C3CXT74ZlgGe6_JY_1olB1XN4rF0dxEuIIF-xsYjHgg/edit?usp=sharing"",""พรบ!BB72"")"),0)</f>
        <v>0</v>
      </c>
      <c r="W68" s="77">
        <v>0</v>
      </c>
      <c r="X68" s="137">
        <f t="shared" ca="1" si="13"/>
        <v>0</v>
      </c>
    </row>
    <row r="69" spans="1:24" ht="21" customHeight="1">
      <c r="A69" s="73">
        <v>15</v>
      </c>
      <c r="B69" s="74" t="s">
        <v>93</v>
      </c>
      <c r="C69" s="75">
        <f t="shared" ca="1" si="0"/>
        <v>21125</v>
      </c>
      <c r="D69" s="174">
        <f t="shared" ca="1" si="47"/>
        <v>21125</v>
      </c>
      <c r="E69" s="137">
        <f ca="1">IFERROR(__xludf.DUMMYFUNCTION("IMPORTRANGE(""https://docs.google.com/spreadsheets/d/1C3CXT74ZlgGe6_JY_1olB1XN4rF0dxEuIIF-xsYjHgg/edit?usp=sharing"",""พรบ!AX73"")"),0)</f>
        <v>0</v>
      </c>
      <c r="F69" s="175">
        <f ca="1">IFERROR(__xludf.DUMMYFUNCTION("IMPORTRANGE(""https://docs.google.com/spreadsheets/d/1C3CXT74ZlgGe6_JY_1olB1XN4rF0dxEuIIF-xsYjHgg/edit?usp=sharing"",""พรบ!AY73"")"),21125)</f>
        <v>21125</v>
      </c>
      <c r="G69" s="77">
        <f ca="1">IFERROR(__xludf.DUMMYFUNCTION("IMPORTRANGE(""https://docs.google.com/spreadsheets/d/1Yj_ptqi66GCucihVvJfMjLAmec39IyEx_6qawtMGysU/edit?usp=sharing"",""สบก!BQ73"")"),0)</f>
        <v>0</v>
      </c>
      <c r="H69" s="77">
        <f ca="1">IFERROR(__xludf.DUMMYFUNCTION("IMPORTRANGE(""https://docs.google.com/spreadsheets/d/1Yj_ptqi66GCucihVvJfMjLAmec39IyEx_6qawtMGysU/edit?usp=shBSing"",""สบก!BS73"")"),21125)</f>
        <v>21125</v>
      </c>
      <c r="I69" s="77">
        <f t="shared" ca="1" si="3"/>
        <v>21125</v>
      </c>
      <c r="J69" s="137">
        <f t="shared" ca="1" si="4"/>
        <v>100</v>
      </c>
      <c r="K69" s="77">
        <f ca="1">IFERROR(__xludf.DUMMYFUNCTION("IMPORTRANGE(""https://docs.google.com/spreadsheets/d/1Yj_ptqi66GCucihVvJfMjLAmec39IyEx_6qawtMGysU/edit?usp=sharing"",""สบก!BT73"")"),21125)</f>
        <v>21125</v>
      </c>
      <c r="L69" s="137">
        <f t="shared" ca="1" si="5"/>
        <v>100</v>
      </c>
      <c r="M69" s="137">
        <f t="shared" ca="1" si="6"/>
        <v>100</v>
      </c>
      <c r="N69" s="137">
        <f ca="1">IFERROR(__xludf.DUMMYFUNCTION("IMPORTRANGE(""https://docs.google.com/spreadsheets/d/1Yj_ptqi66GCucihVvJfMjLAmec39IyEx_6qawtMGysU/edit?usp=sharing"",""สบก!BU73"")"),0)</f>
        <v>0</v>
      </c>
      <c r="O69" s="137">
        <f t="shared" ca="1" si="7"/>
        <v>0</v>
      </c>
      <c r="P69" s="80">
        <f t="shared" ca="1" si="48"/>
        <v>15</v>
      </c>
      <c r="Q69" s="77">
        <f t="shared" ca="1" si="49"/>
        <v>15</v>
      </c>
      <c r="R69" s="137">
        <f t="shared" ca="1" si="9"/>
        <v>100</v>
      </c>
      <c r="S69" s="177">
        <f ca="1">IFERROR(__xludf.DUMMYFUNCTION("IMPORTRANGE(""https://docs.google.com/spreadsheets/d/1C3CXT74ZlgGe6_JY_1olB1XN4rF0dxEuIIF-xsYjHgg/edit?usp=sharing"",""พรบ!BA73"")"),15)</f>
        <v>15</v>
      </c>
      <c r="T69" s="77">
        <f ca="1">IFERROR(__xludf.DUMMYFUNCTION("IMPORTRANGE(""https://docs.google.com/spreadsheets/d/1SX6NBoVAgQJ6U1MVXOaj8PK2l7WJ3RER9xtqwdhxkhw/edit?usp=sharing"",""ราชบุรี!J155"")"),15)</f>
        <v>15</v>
      </c>
      <c r="U69" s="137">
        <f t="shared" ca="1" si="11"/>
        <v>100</v>
      </c>
      <c r="V69" s="80">
        <f ca="1">IFERROR(__xludf.DUMMYFUNCTION("IMPORTRANGE(""https://docs.google.com/spreadsheets/d/1C3CXT74ZlgGe6_JY_1olB1XN4rF0dxEuIIF-xsYjHgg/edit?usp=sharing"",""พรบ!BB73"")"),0)</f>
        <v>0</v>
      </c>
      <c r="W69" s="77">
        <v>0</v>
      </c>
      <c r="X69" s="137">
        <f t="shared" ca="1" si="13"/>
        <v>0</v>
      </c>
    </row>
    <row r="70" spans="1:24" ht="24" customHeight="1">
      <c r="A70" s="73">
        <v>16</v>
      </c>
      <c r="B70" s="74" t="s">
        <v>94</v>
      </c>
      <c r="C70" s="75">
        <f t="shared" ca="1" si="0"/>
        <v>21125</v>
      </c>
      <c r="D70" s="174">
        <f t="shared" ca="1" si="47"/>
        <v>21125</v>
      </c>
      <c r="E70" s="137">
        <f ca="1">IFERROR(__xludf.DUMMYFUNCTION("IMPORTRANGE(""https://docs.google.com/spreadsheets/d/1C3CXT74ZlgGe6_JY_1olB1XN4rF0dxEuIIF-xsYjHgg/edit?usp=sharing"",""พรบ!AX74"")"),0)</f>
        <v>0</v>
      </c>
      <c r="F70" s="175">
        <f ca="1">IFERROR(__xludf.DUMMYFUNCTION("IMPORTRANGE(""https://docs.google.com/spreadsheets/d/1C3CXT74ZlgGe6_JY_1olB1XN4rF0dxEuIIF-xsYjHgg/edit?usp=sharing"",""พรบ!AY74"")"),21125)</f>
        <v>21125</v>
      </c>
      <c r="G70" s="77">
        <f ca="1">IFERROR(__xludf.DUMMYFUNCTION("IMPORTRANGE(""https://docs.google.com/spreadsheets/d/1Yj_ptqi66GCucihVvJfMjLAmec39IyEx_6qawtMGysU/edit?usp=sharing"",""สบก!BQ74"")"),0)</f>
        <v>0</v>
      </c>
      <c r="H70" s="77">
        <f ca="1">IFERROR(__xludf.DUMMYFUNCTION("IMPORTRANGE(""https://docs.google.com/spreadsheets/d/1Yj_ptqi66GCucihVvJfMjLAmec39IyEx_6qawtMGysU/edit?usp=shBSing"",""สบก!BS74"")"),21125)</f>
        <v>21125</v>
      </c>
      <c r="I70" s="77">
        <f t="shared" ca="1" si="3"/>
        <v>21125</v>
      </c>
      <c r="J70" s="137">
        <f t="shared" ca="1" si="4"/>
        <v>100</v>
      </c>
      <c r="K70" s="77">
        <f ca="1">IFERROR(__xludf.DUMMYFUNCTION("IMPORTRANGE(""https://docs.google.com/spreadsheets/d/1Yj_ptqi66GCucihVvJfMjLAmec39IyEx_6qawtMGysU/edit?usp=sharing"",""สบก!BT74"")"),21125)</f>
        <v>21125</v>
      </c>
      <c r="L70" s="137">
        <f t="shared" ca="1" si="5"/>
        <v>100</v>
      </c>
      <c r="M70" s="137">
        <f t="shared" ca="1" si="6"/>
        <v>100</v>
      </c>
      <c r="N70" s="137">
        <f ca="1">IFERROR(__xludf.DUMMYFUNCTION("IMPORTRANGE(""https://docs.google.com/spreadsheets/d/1Yj_ptqi66GCucihVvJfMjLAmec39IyEx_6qawtMGysU/edit?usp=sharing"",""สบก!BU74"")"),0)</f>
        <v>0</v>
      </c>
      <c r="O70" s="137">
        <f t="shared" ca="1" si="7"/>
        <v>0</v>
      </c>
      <c r="P70" s="80">
        <f t="shared" ca="1" si="48"/>
        <v>15</v>
      </c>
      <c r="Q70" s="77">
        <f t="shared" ca="1" si="49"/>
        <v>15</v>
      </c>
      <c r="R70" s="137">
        <f t="shared" ca="1" si="9"/>
        <v>100</v>
      </c>
      <c r="S70" s="177">
        <f ca="1">IFERROR(__xludf.DUMMYFUNCTION("IMPORTRANGE(""https://docs.google.com/spreadsheets/d/1C3CXT74ZlgGe6_JY_1olB1XN4rF0dxEuIIF-xsYjHgg/edit?usp=sharing"",""พรบ!BA74"")"),15)</f>
        <v>15</v>
      </c>
      <c r="T70" s="77">
        <f ca="1">IFERROR(__xludf.DUMMYFUNCTION("IMPORTRANGE(""https://docs.google.com/spreadsheets/d/1SX6NBoVAgQJ6U1MVXOaj8PK2l7WJ3RER9xtqwdhxkhw/edit?usp=sharing"",""ลพบุรี!J155"")"),15)</f>
        <v>15</v>
      </c>
      <c r="U70" s="137">
        <f t="shared" ca="1" si="11"/>
        <v>100</v>
      </c>
      <c r="V70" s="80">
        <f ca="1">IFERROR(__xludf.DUMMYFUNCTION("IMPORTRANGE(""https://docs.google.com/spreadsheets/d/1C3CXT74ZlgGe6_JY_1olB1XN4rF0dxEuIIF-xsYjHgg/edit?usp=sharing"",""พรบ!BB74"")"),0)</f>
        <v>0</v>
      </c>
      <c r="W70" s="77">
        <v>0</v>
      </c>
      <c r="X70" s="137">
        <f t="shared" ca="1" si="13"/>
        <v>0</v>
      </c>
    </row>
    <row r="71" spans="1:24" ht="21" customHeight="1">
      <c r="A71" s="73">
        <v>17</v>
      </c>
      <c r="B71" s="74" t="s">
        <v>95</v>
      </c>
      <c r="C71" s="75">
        <f t="shared" ca="1" si="0"/>
        <v>19295</v>
      </c>
      <c r="D71" s="174">
        <f t="shared" ca="1" si="47"/>
        <v>19295</v>
      </c>
      <c r="E71" s="137">
        <f ca="1">IFERROR(__xludf.DUMMYFUNCTION("IMPORTRANGE(""https://docs.google.com/spreadsheets/d/1C3CXT74ZlgGe6_JY_1olB1XN4rF0dxEuIIF-xsYjHgg/edit?usp=sharing"",""พรบ!AX75"")"),0)</f>
        <v>0</v>
      </c>
      <c r="F71" s="175">
        <f ca="1">IFERROR(__xludf.DUMMYFUNCTION("IMPORTRANGE(""https://docs.google.com/spreadsheets/d/1C3CXT74ZlgGe6_JY_1olB1XN4rF0dxEuIIF-xsYjHgg/edit?usp=sharing"",""พรบ!AY75"")"),19295)</f>
        <v>19295</v>
      </c>
      <c r="G71" s="77">
        <f ca="1">IFERROR(__xludf.DUMMYFUNCTION("IMPORTRANGE(""https://docs.google.com/spreadsheets/d/1Yj_ptqi66GCucihVvJfMjLAmec39IyEx_6qawtMGysU/edit?usp=sharing"",""สบก!BQ75"")"),0)</f>
        <v>0</v>
      </c>
      <c r="H71" s="77">
        <f ca="1">IFERROR(__xludf.DUMMYFUNCTION("IMPORTRANGE(""https://docs.google.com/spreadsheets/d/1Yj_ptqi66GCucihVvJfMjLAmec39IyEx_6qawtMGysU/edit?usp=shBSing"",""สบก!BS75"")"),19295)</f>
        <v>19295</v>
      </c>
      <c r="I71" s="77">
        <f t="shared" ca="1" si="3"/>
        <v>18915</v>
      </c>
      <c r="J71" s="137">
        <f t="shared" ca="1" si="4"/>
        <v>98.030577869914481</v>
      </c>
      <c r="K71" s="77">
        <f ca="1">IFERROR(__xludf.DUMMYFUNCTION("IMPORTRANGE(""https://docs.google.com/spreadsheets/d/1Yj_ptqi66GCucihVvJfMjLAmec39IyEx_6qawtMGysU/edit?usp=sharing"",""สบก!BT75"")"),18915)</f>
        <v>18915</v>
      </c>
      <c r="L71" s="137">
        <f t="shared" ca="1" si="5"/>
        <v>98.030577869914481</v>
      </c>
      <c r="M71" s="137">
        <f t="shared" ca="1" si="6"/>
        <v>98.030577869914481</v>
      </c>
      <c r="N71" s="137">
        <f ca="1">IFERROR(__xludf.DUMMYFUNCTION("IMPORTRANGE(""https://docs.google.com/spreadsheets/d/1Yj_ptqi66GCucihVvJfMjLAmec39IyEx_6qawtMGysU/edit?usp=sharing"",""สบก!BU75"")"),0)</f>
        <v>0</v>
      </c>
      <c r="O71" s="137">
        <f t="shared" ca="1" si="7"/>
        <v>0</v>
      </c>
      <c r="P71" s="80">
        <f t="shared" ca="1" si="48"/>
        <v>13</v>
      </c>
      <c r="Q71" s="77">
        <f t="shared" ca="1" si="49"/>
        <v>13</v>
      </c>
      <c r="R71" s="137">
        <f t="shared" ca="1" si="9"/>
        <v>100</v>
      </c>
      <c r="S71" s="177">
        <f ca="1">IFERROR(__xludf.DUMMYFUNCTION("IMPORTRANGE(""https://docs.google.com/spreadsheets/d/1C3CXT74ZlgGe6_JY_1olB1XN4rF0dxEuIIF-xsYjHgg/edit?usp=sharing"",""พรบ!BA75"")"),13)</f>
        <v>13</v>
      </c>
      <c r="T71" s="77">
        <f ca="1">IFERROR(__xludf.DUMMYFUNCTION("IMPORTRANGE(""https://docs.google.com/spreadsheets/d/1SX6NBoVAgQJ6U1MVXOaj8PK2l7WJ3RER9xtqwdhxkhw/edit?usp=sharing"",""สระแก้ว!J155"")"),13)</f>
        <v>13</v>
      </c>
      <c r="U71" s="137">
        <f t="shared" ca="1" si="11"/>
        <v>100</v>
      </c>
      <c r="V71" s="80">
        <f ca="1">IFERROR(__xludf.DUMMYFUNCTION("IMPORTRANGE(""https://docs.google.com/spreadsheets/d/1C3CXT74ZlgGe6_JY_1olB1XN4rF0dxEuIIF-xsYjHgg/edit?usp=sharing"",""พรบ!BB75"")"),0)</f>
        <v>0</v>
      </c>
      <c r="W71" s="77">
        <v>0</v>
      </c>
      <c r="X71" s="137">
        <f t="shared" ca="1" si="13"/>
        <v>0</v>
      </c>
    </row>
    <row r="72" spans="1:24" ht="21" customHeight="1">
      <c r="A72" s="73">
        <v>18</v>
      </c>
      <c r="B72" s="74" t="s">
        <v>96</v>
      </c>
      <c r="C72" s="75">
        <f t="shared" ca="1" si="0"/>
        <v>20210</v>
      </c>
      <c r="D72" s="174">
        <f t="shared" ca="1" si="47"/>
        <v>20210</v>
      </c>
      <c r="E72" s="137">
        <f ca="1">IFERROR(__xludf.DUMMYFUNCTION("IMPORTRANGE(""https://docs.google.com/spreadsheets/d/1C3CXT74ZlgGe6_JY_1olB1XN4rF0dxEuIIF-xsYjHgg/edit?usp=sharing"",""พรบ!AX76"")"),0)</f>
        <v>0</v>
      </c>
      <c r="F72" s="175">
        <f ca="1">IFERROR(__xludf.DUMMYFUNCTION("IMPORTRANGE(""https://docs.google.com/spreadsheets/d/1C3CXT74ZlgGe6_JY_1olB1XN4rF0dxEuIIF-xsYjHgg/edit?usp=sharing"",""พรบ!AY76"")"),20210)</f>
        <v>20210</v>
      </c>
      <c r="G72" s="77">
        <f ca="1">IFERROR(__xludf.DUMMYFUNCTION("IMPORTRANGE(""https://docs.google.com/spreadsheets/d/1Yj_ptqi66GCucihVvJfMjLAmec39IyEx_6qawtMGysU/edit?usp=sharing"",""สบก!BQ76"")"),0)</f>
        <v>0</v>
      </c>
      <c r="H72" s="77">
        <f ca="1">IFERROR(__xludf.DUMMYFUNCTION("IMPORTRANGE(""https://docs.google.com/spreadsheets/d/1Yj_ptqi66GCucihVvJfMjLAmec39IyEx_6qawtMGysU/edit?usp=shBSing"",""สบก!BS76"")"),20210)</f>
        <v>20210</v>
      </c>
      <c r="I72" s="77">
        <f t="shared" ca="1" si="3"/>
        <v>19105</v>
      </c>
      <c r="J72" s="137">
        <f t="shared" ca="1" si="4"/>
        <v>94.532409698169218</v>
      </c>
      <c r="K72" s="77">
        <f ca="1">IFERROR(__xludf.DUMMYFUNCTION("IMPORTRANGE(""https://docs.google.com/spreadsheets/d/1Yj_ptqi66GCucihVvJfMjLAmec39IyEx_6qawtMGysU/edit?usp=sharing"",""สบก!BT76"")"),19105)</f>
        <v>19105</v>
      </c>
      <c r="L72" s="137">
        <f t="shared" ca="1" si="5"/>
        <v>94.532409698169218</v>
      </c>
      <c r="M72" s="137">
        <f t="shared" ca="1" si="6"/>
        <v>94.532409698169218</v>
      </c>
      <c r="N72" s="137">
        <f ca="1">IFERROR(__xludf.DUMMYFUNCTION("IMPORTRANGE(""https://docs.google.com/spreadsheets/d/1Yj_ptqi66GCucihVvJfMjLAmec39IyEx_6qawtMGysU/edit?usp=sharing"",""สบก!BU76"")"),0)</f>
        <v>0</v>
      </c>
      <c r="O72" s="137">
        <f t="shared" ca="1" si="7"/>
        <v>0</v>
      </c>
      <c r="P72" s="80">
        <f t="shared" ca="1" si="48"/>
        <v>14</v>
      </c>
      <c r="Q72" s="77">
        <f t="shared" ca="1" si="49"/>
        <v>14</v>
      </c>
      <c r="R72" s="137">
        <f t="shared" ca="1" si="9"/>
        <v>100</v>
      </c>
      <c r="S72" s="177">
        <f ca="1">IFERROR(__xludf.DUMMYFUNCTION("IMPORTRANGE(""https://docs.google.com/spreadsheets/d/1C3CXT74ZlgGe6_JY_1olB1XN4rF0dxEuIIF-xsYjHgg/edit?usp=sharing"",""พรบ!BA76"")"),14)</f>
        <v>14</v>
      </c>
      <c r="T72" s="77">
        <f ca="1">IFERROR(__xludf.DUMMYFUNCTION("IMPORTRANGE(""https://docs.google.com/spreadsheets/d/1SX6NBoVAgQJ6U1MVXOaj8PK2l7WJ3RER9xtqwdhxkhw/edit?usp=sharing"",""สระบุรี!J155"")"),14)</f>
        <v>14</v>
      </c>
      <c r="U72" s="137">
        <f t="shared" ca="1" si="11"/>
        <v>100</v>
      </c>
      <c r="V72" s="80">
        <f ca="1">IFERROR(__xludf.DUMMYFUNCTION("IMPORTRANGE(""https://docs.google.com/spreadsheets/d/1C3CXT74ZlgGe6_JY_1olB1XN4rF0dxEuIIF-xsYjHgg/edit?usp=sharing"",""พรบ!BB76"")"),0)</f>
        <v>0</v>
      </c>
      <c r="W72" s="77">
        <v>0</v>
      </c>
      <c r="X72" s="137">
        <f t="shared" ca="1" si="13"/>
        <v>0</v>
      </c>
    </row>
    <row r="73" spans="1:24" ht="21" customHeight="1">
      <c r="A73" s="73">
        <v>19</v>
      </c>
      <c r="B73" s="74" t="s">
        <v>97</v>
      </c>
      <c r="C73" s="75">
        <f t="shared" ca="1" si="0"/>
        <v>19295</v>
      </c>
      <c r="D73" s="174">
        <f t="shared" ca="1" si="47"/>
        <v>19295</v>
      </c>
      <c r="E73" s="137">
        <f ca="1">IFERROR(__xludf.DUMMYFUNCTION("IMPORTRANGE(""https://docs.google.com/spreadsheets/d/1C3CXT74ZlgGe6_JY_1olB1XN4rF0dxEuIIF-xsYjHgg/edit?usp=sharing"",""พรบ!AX77"")"),0)</f>
        <v>0</v>
      </c>
      <c r="F73" s="175">
        <f ca="1">IFERROR(__xludf.DUMMYFUNCTION("IMPORTRANGE(""https://docs.google.com/spreadsheets/d/1C3CXT74ZlgGe6_JY_1olB1XN4rF0dxEuIIF-xsYjHgg/edit?usp=sharing"",""พรบ!AY77"")"),19295)</f>
        <v>19295</v>
      </c>
      <c r="G73" s="77">
        <f ca="1">IFERROR(__xludf.DUMMYFUNCTION("IMPORTRANGE(""https://docs.google.com/spreadsheets/d/1Yj_ptqi66GCucihVvJfMjLAmec39IyEx_6qawtMGysU/edit?usp=sharing"",""สบก!BQ77"")"),0)</f>
        <v>0</v>
      </c>
      <c r="H73" s="77">
        <f ca="1">IFERROR(__xludf.DUMMYFUNCTION("IMPORTRANGE(""https://docs.google.com/spreadsheets/d/1Yj_ptqi66GCucihVvJfMjLAmec39IyEx_6qawtMGysU/edit?usp=shBSing"",""สบก!BS77"")"),19295)</f>
        <v>19295</v>
      </c>
      <c r="I73" s="77">
        <f t="shared" ca="1" si="3"/>
        <v>19295</v>
      </c>
      <c r="J73" s="137">
        <f t="shared" ca="1" si="4"/>
        <v>100</v>
      </c>
      <c r="K73" s="77">
        <f ca="1">IFERROR(__xludf.DUMMYFUNCTION("IMPORTRANGE(""https://docs.google.com/spreadsheets/d/1Yj_ptqi66GCucihVvJfMjLAmec39IyEx_6qawtMGysU/edit?usp=sharing"",""สบก!BT77"")"),19295)</f>
        <v>19295</v>
      </c>
      <c r="L73" s="137">
        <f t="shared" ca="1" si="5"/>
        <v>100</v>
      </c>
      <c r="M73" s="137">
        <f t="shared" ca="1" si="6"/>
        <v>100</v>
      </c>
      <c r="N73" s="137">
        <f ca="1">IFERROR(__xludf.DUMMYFUNCTION("IMPORTRANGE(""https://docs.google.com/spreadsheets/d/1Yj_ptqi66GCucihVvJfMjLAmec39IyEx_6qawtMGysU/edit?usp=sharing"",""สบก!BU77"")"),0)</f>
        <v>0</v>
      </c>
      <c r="O73" s="137">
        <f t="shared" ca="1" si="7"/>
        <v>0</v>
      </c>
      <c r="P73" s="80">
        <f t="shared" ca="1" si="48"/>
        <v>13</v>
      </c>
      <c r="Q73" s="77">
        <f t="shared" ca="1" si="49"/>
        <v>13</v>
      </c>
      <c r="R73" s="137">
        <f t="shared" ca="1" si="9"/>
        <v>100</v>
      </c>
      <c r="S73" s="177">
        <f ca="1">IFERROR(__xludf.DUMMYFUNCTION("IMPORTRANGE(""https://docs.google.com/spreadsheets/d/1C3CXT74ZlgGe6_JY_1olB1XN4rF0dxEuIIF-xsYjHgg/edit?usp=sharing"",""พรบ!BA77"")"),13)</f>
        <v>13</v>
      </c>
      <c r="T73" s="77">
        <f ca="1">IFERROR(__xludf.DUMMYFUNCTION("IMPORTRANGE(""https://docs.google.com/spreadsheets/d/1SX6NBoVAgQJ6U1MVXOaj8PK2l7WJ3RER9xtqwdhxkhw/edit?usp=sharing"",""สิงห์บุรี!J155"")"),13)</f>
        <v>13</v>
      </c>
      <c r="U73" s="137">
        <f t="shared" ca="1" si="11"/>
        <v>100</v>
      </c>
      <c r="V73" s="80">
        <f ca="1">IFERROR(__xludf.DUMMYFUNCTION("IMPORTRANGE(""https://docs.google.com/spreadsheets/d/1C3CXT74ZlgGe6_JY_1olB1XN4rF0dxEuIIF-xsYjHgg/edit?usp=sharing"",""พรบ!BB77"")"),0)</f>
        <v>0</v>
      </c>
      <c r="W73" s="77">
        <v>0</v>
      </c>
      <c r="X73" s="137">
        <f t="shared" ca="1" si="13"/>
        <v>0</v>
      </c>
    </row>
    <row r="74" spans="1:24" ht="21" customHeight="1">
      <c r="A74" s="73">
        <v>20</v>
      </c>
      <c r="B74" s="74" t="s">
        <v>98</v>
      </c>
      <c r="C74" s="75">
        <f t="shared" ca="1" si="0"/>
        <v>21125</v>
      </c>
      <c r="D74" s="174">
        <f t="shared" ca="1" si="47"/>
        <v>21125</v>
      </c>
      <c r="E74" s="137">
        <f ca="1">IFERROR(__xludf.DUMMYFUNCTION("IMPORTRANGE(""https://docs.google.com/spreadsheets/d/1C3CXT74ZlgGe6_JY_1olB1XN4rF0dxEuIIF-xsYjHgg/edit?usp=sharing"",""พรบ!AX78"")"),0)</f>
        <v>0</v>
      </c>
      <c r="F74" s="175">
        <f ca="1">IFERROR(__xludf.DUMMYFUNCTION("IMPORTRANGE(""https://docs.google.com/spreadsheets/d/1C3CXT74ZlgGe6_JY_1olB1XN4rF0dxEuIIF-xsYjHgg/edit?usp=sharing"",""พรบ!AY78"")"),21125)</f>
        <v>21125</v>
      </c>
      <c r="G74" s="77">
        <f ca="1">IFERROR(__xludf.DUMMYFUNCTION("IMPORTRANGE(""https://docs.google.com/spreadsheets/d/1Yj_ptqi66GCucihVvJfMjLAmec39IyEx_6qawtMGysU/edit?usp=sharing"",""สบก!BQ78"")"),0)</f>
        <v>0</v>
      </c>
      <c r="H74" s="77">
        <f ca="1">IFERROR(__xludf.DUMMYFUNCTION("IMPORTRANGE(""https://docs.google.com/spreadsheets/d/1Yj_ptqi66GCucihVvJfMjLAmec39IyEx_6qawtMGysU/edit?usp=shBSing"",""สบก!BS78"")"),21125)</f>
        <v>21125</v>
      </c>
      <c r="I74" s="77">
        <f t="shared" ca="1" si="3"/>
        <v>21125</v>
      </c>
      <c r="J74" s="137">
        <f t="shared" ca="1" si="4"/>
        <v>100</v>
      </c>
      <c r="K74" s="77">
        <f ca="1">IFERROR(__xludf.DUMMYFUNCTION("IMPORTRANGE(""https://docs.google.com/spreadsheets/d/1Yj_ptqi66GCucihVvJfMjLAmec39IyEx_6qawtMGysU/edit?usp=sharing"",""สบก!BT78"")"),21125)</f>
        <v>21125</v>
      </c>
      <c r="L74" s="137">
        <f t="shared" ca="1" si="5"/>
        <v>100</v>
      </c>
      <c r="M74" s="137">
        <f t="shared" ca="1" si="6"/>
        <v>100</v>
      </c>
      <c r="N74" s="137">
        <f ca="1">IFERROR(__xludf.DUMMYFUNCTION("IMPORTRANGE(""https://docs.google.com/spreadsheets/d/1Yj_ptqi66GCucihVvJfMjLAmec39IyEx_6qawtMGysU/edit?usp=sharing"",""สบก!BU78"")"),0)</f>
        <v>0</v>
      </c>
      <c r="O74" s="137">
        <f t="shared" ca="1" si="7"/>
        <v>0</v>
      </c>
      <c r="P74" s="80">
        <f t="shared" ca="1" si="48"/>
        <v>15</v>
      </c>
      <c r="Q74" s="77">
        <f t="shared" ca="1" si="49"/>
        <v>15</v>
      </c>
      <c r="R74" s="137">
        <f t="shared" ca="1" si="9"/>
        <v>100</v>
      </c>
      <c r="S74" s="177">
        <f ca="1">IFERROR(__xludf.DUMMYFUNCTION("IMPORTRANGE(""https://docs.google.com/spreadsheets/d/1C3CXT74ZlgGe6_JY_1olB1XN4rF0dxEuIIF-xsYjHgg/edit?usp=sharing"",""พรบ!BA78"")"),15)</f>
        <v>15</v>
      </c>
      <c r="T74" s="77">
        <f ca="1">IFERROR(__xludf.DUMMYFUNCTION("IMPORTRANGE(""https://docs.google.com/spreadsheets/d/1SX6NBoVAgQJ6U1MVXOaj8PK2l7WJ3RER9xtqwdhxkhw/edit?usp=sharing"",""สุพรรณบุรี!J155"")"),15)</f>
        <v>15</v>
      </c>
      <c r="U74" s="137">
        <f t="shared" ca="1" si="11"/>
        <v>100</v>
      </c>
      <c r="V74" s="80">
        <f ca="1">IFERROR(__xludf.DUMMYFUNCTION("IMPORTRANGE(""https://docs.google.com/spreadsheets/d/1C3CXT74ZlgGe6_JY_1olB1XN4rF0dxEuIIF-xsYjHgg/edit?usp=sharing"",""พรบ!BB78"")"),0)</f>
        <v>0</v>
      </c>
      <c r="W74" s="77">
        <v>0</v>
      </c>
      <c r="X74" s="137">
        <f t="shared" ca="1" si="13"/>
        <v>0</v>
      </c>
    </row>
    <row r="75" spans="1:24" ht="21" customHeight="1">
      <c r="A75" s="84">
        <v>21</v>
      </c>
      <c r="B75" s="85" t="s">
        <v>99</v>
      </c>
      <c r="C75" s="86">
        <f t="shared" ca="1" si="0"/>
        <v>0</v>
      </c>
      <c r="D75" s="178">
        <f t="shared" ca="1" si="47"/>
        <v>0</v>
      </c>
      <c r="E75" s="138">
        <f ca="1">IFERROR(__xludf.DUMMYFUNCTION("IMPORTRANGE(""https://docs.google.com/spreadsheets/d/1C3CXT74ZlgGe6_JY_1olB1XN4rF0dxEuIIF-xsYjHgg/edit?usp=sharing"",""พรบ!AX79"")"),0)</f>
        <v>0</v>
      </c>
      <c r="F75" s="179">
        <f ca="1">IFERROR(__xludf.DUMMYFUNCTION("IMPORTRANGE(""https://docs.google.com/spreadsheets/d/1C3CXT74ZlgGe6_JY_1olB1XN4rF0dxEuIIF-xsYjHgg/edit?usp=sharing"",""พรบ!AY79"")"),0)</f>
        <v>0</v>
      </c>
      <c r="G75" s="88">
        <f ca="1">IFERROR(__xludf.DUMMYFUNCTION("IMPORTRANGE(""https://docs.google.com/spreadsheets/d/1Yj_ptqi66GCucihVvJfMjLAmec39IyEx_6qawtMGysU/edit?usp=sharing"",""สบก!BQ79"")"),0)</f>
        <v>0</v>
      </c>
      <c r="H75" s="88">
        <f ca="1">IFERROR(__xludf.DUMMYFUNCTION("IMPORTRANGE(""https://docs.google.com/spreadsheets/d/1Yj_ptqi66GCucihVvJfMjLAmec39IyEx_6qawtMGysU/edit?usp=shBSing"",""สบก!BS79"")"),0)</f>
        <v>0</v>
      </c>
      <c r="I75" s="88">
        <f t="shared" ca="1" si="3"/>
        <v>0</v>
      </c>
      <c r="J75" s="138">
        <f t="shared" ca="1" si="4"/>
        <v>0</v>
      </c>
      <c r="K75" s="88">
        <f ca="1">IFERROR(__xludf.DUMMYFUNCTION("IMPORTRANGE(""https://docs.google.com/spreadsheets/d/1Yj_ptqi66GCucihVvJfMjLAmec39IyEx_6qawtMGysU/edit?usp=sharing"",""สบก!BT79"")"),0)</f>
        <v>0</v>
      </c>
      <c r="L75" s="138">
        <f t="shared" ca="1" si="5"/>
        <v>0</v>
      </c>
      <c r="M75" s="138">
        <f t="shared" ca="1" si="6"/>
        <v>0</v>
      </c>
      <c r="N75" s="138">
        <f ca="1">IFERROR(__xludf.DUMMYFUNCTION("IMPORTRANGE(""https://docs.google.com/spreadsheets/d/1Yj_ptqi66GCucihVvJfMjLAmec39IyEx_6qawtMGysU/edit?usp=sharing"",""สบก!BU79"")"),0)</f>
        <v>0</v>
      </c>
      <c r="O75" s="138">
        <f t="shared" ca="1" si="7"/>
        <v>0</v>
      </c>
      <c r="P75" s="91">
        <f t="shared" ca="1" si="48"/>
        <v>0</v>
      </c>
      <c r="Q75" s="77">
        <f t="shared" ca="1" si="49"/>
        <v>0</v>
      </c>
      <c r="R75" s="138">
        <f t="shared" ca="1" si="9"/>
        <v>0</v>
      </c>
      <c r="S75" s="91">
        <f ca="1">IFERROR(__xludf.DUMMYFUNCTION("IMPORTRANGE(""https://docs.google.com/spreadsheets/d/1C3CXT74ZlgGe6_JY_1olB1XN4rF0dxEuIIF-xsYjHgg/edit?usp=sharing"",""พรบ!BA79"")"),0)</f>
        <v>0</v>
      </c>
      <c r="T75" s="88">
        <f ca="1">IFERROR(__xludf.DUMMYFUNCTION("IMPORTRANGE(""https://docs.google.com/spreadsheets/d/1SX6NBoVAgQJ6U1MVXOaj8PK2l7WJ3RER9xtqwdhxkhw/edit?usp=sharing"",""อ่างทอง!J155"")"),0)</f>
        <v>0</v>
      </c>
      <c r="U75" s="138">
        <f t="shared" ca="1" si="11"/>
        <v>0</v>
      </c>
      <c r="V75" s="91">
        <f ca="1">IFERROR(__xludf.DUMMYFUNCTION("IMPORTRANGE(""https://docs.google.com/spreadsheets/d/1C3CXT74ZlgGe6_JY_1olB1XN4rF0dxEuIIF-xsYjHgg/edit?usp=sharing"",""พรบ!BB79"")"),0)</f>
        <v>0</v>
      </c>
      <c r="W75" s="88">
        <v>0</v>
      </c>
      <c r="X75" s="138">
        <f t="shared" ca="1" si="13"/>
        <v>0</v>
      </c>
    </row>
    <row r="76" spans="1:24" ht="21" customHeight="1">
      <c r="A76" s="676" t="s">
        <v>100</v>
      </c>
      <c r="B76" s="652"/>
      <c r="C76" s="99">
        <f t="shared" ca="1" si="0"/>
        <v>269135</v>
      </c>
      <c r="D76" s="181">
        <f t="shared" ref="D76:H76" ca="1" si="50">SUM(D77:D90)</f>
        <v>269135</v>
      </c>
      <c r="E76" s="139">
        <f t="shared" ca="1" si="50"/>
        <v>0</v>
      </c>
      <c r="F76" s="181">
        <f t="shared" ca="1" si="50"/>
        <v>269135</v>
      </c>
      <c r="G76" s="95">
        <f t="shared" ca="1" si="50"/>
        <v>0</v>
      </c>
      <c r="H76" s="95">
        <f t="shared" ca="1" si="50"/>
        <v>269135</v>
      </c>
      <c r="I76" s="95">
        <f t="shared" ca="1" si="3"/>
        <v>268685</v>
      </c>
      <c r="J76" s="139">
        <f t="shared" ca="1" si="4"/>
        <v>99.832797666598552</v>
      </c>
      <c r="K76" s="95">
        <f ca="1">SUM(K77:K90)</f>
        <v>268685</v>
      </c>
      <c r="L76" s="139">
        <f t="shared" ca="1" si="5"/>
        <v>99.832797666598552</v>
      </c>
      <c r="M76" s="139">
        <f t="shared" ca="1" si="6"/>
        <v>99.832797666598552</v>
      </c>
      <c r="N76" s="139">
        <f ca="1">SUM(N77:N90)</f>
        <v>0</v>
      </c>
      <c r="O76" s="139">
        <f t="shared" ca="1" si="7"/>
        <v>0</v>
      </c>
      <c r="P76" s="98">
        <f t="shared" ref="P76:Q76" ca="1" si="51">SUM(P77:P90)</f>
        <v>189</v>
      </c>
      <c r="Q76" s="95">
        <f t="shared" ca="1" si="51"/>
        <v>189</v>
      </c>
      <c r="R76" s="139">
        <f t="shared" ca="1" si="9"/>
        <v>100</v>
      </c>
      <c r="S76" s="98">
        <f t="shared" ref="S76:T76" ca="1" si="52">SUM(S77:S90)</f>
        <v>189</v>
      </c>
      <c r="T76" s="95">
        <f t="shared" ca="1" si="52"/>
        <v>189</v>
      </c>
      <c r="U76" s="139">
        <f t="shared" ca="1" si="11"/>
        <v>100</v>
      </c>
      <c r="V76" s="98">
        <f t="shared" ref="V76:W76" ca="1" si="53">SUM(V77:V90)</f>
        <v>0</v>
      </c>
      <c r="W76" s="95">
        <f t="shared" si="53"/>
        <v>0</v>
      </c>
      <c r="X76" s="139">
        <f t="shared" ca="1" si="13"/>
        <v>0</v>
      </c>
    </row>
    <row r="77" spans="1:24" ht="21" customHeight="1">
      <c r="A77" s="63">
        <v>1</v>
      </c>
      <c r="B77" s="64" t="s">
        <v>101</v>
      </c>
      <c r="C77" s="65">
        <f t="shared" ca="1" si="0"/>
        <v>19295</v>
      </c>
      <c r="D77" s="171">
        <f t="shared" ref="D77:D90" ca="1" si="54">+E77+F77</f>
        <v>19295</v>
      </c>
      <c r="E77" s="136">
        <f ca="1">IFERROR(__xludf.DUMMYFUNCTION("IMPORTRANGE(""https://docs.google.com/spreadsheets/d/1C3CXT74ZlgGe6_JY_1olB1XN4rF0dxEuIIF-xsYjHgg/edit?usp=sharing"",""พรบ!AX81"")"),0)</f>
        <v>0</v>
      </c>
      <c r="F77" s="172">
        <f ca="1">IFERROR(__xludf.DUMMYFUNCTION("IMPORTRANGE(""https://docs.google.com/spreadsheets/d/1C3CXT74ZlgGe6_JY_1olB1XN4rF0dxEuIIF-xsYjHgg/edit?usp=sharing"",""พรบ!AY81"")"),19295)</f>
        <v>19295</v>
      </c>
      <c r="G77" s="67">
        <f ca="1">IFERROR(__xludf.DUMMYFUNCTION("IMPORTRANGE(""https://docs.google.com/spreadsheets/d/1Yj_ptqi66GCucihVvJfMjLAmec39IyEx_6qawtMGysU/edit?usp=sharing"",""สบก!BQ81"")"),0)</f>
        <v>0</v>
      </c>
      <c r="H77" s="67">
        <f ca="1">IFERROR(__xludf.DUMMYFUNCTION("IMPORTRANGE(""https://docs.google.com/spreadsheets/d/1Yj_ptqi66GCucihVvJfMjLAmec39IyEx_6qawtMGysU/edit?usp=shBSing"",""สบก!BS81"")"),19295)</f>
        <v>19295</v>
      </c>
      <c r="I77" s="67">
        <f t="shared" ca="1" si="3"/>
        <v>19295</v>
      </c>
      <c r="J77" s="136">
        <f t="shared" ca="1" si="4"/>
        <v>100</v>
      </c>
      <c r="K77" s="67">
        <f ca="1">IFERROR(__xludf.DUMMYFUNCTION("IMPORTRANGE(""https://docs.google.com/spreadsheets/d/1Yj_ptqi66GCucihVvJfMjLAmec39IyEx_6qawtMGysU/edit?usp=sharing"",""สบก!BT81"")"),19295)</f>
        <v>19295</v>
      </c>
      <c r="L77" s="136">
        <f t="shared" ca="1" si="5"/>
        <v>100</v>
      </c>
      <c r="M77" s="136">
        <f t="shared" ca="1" si="6"/>
        <v>100</v>
      </c>
      <c r="N77" s="136">
        <f ca="1">IFERROR(__xludf.DUMMYFUNCTION("IMPORTRANGE(""https://docs.google.com/spreadsheets/d/1Yj_ptqi66GCucihVvJfMjLAmec39IyEx_6qawtMGysU/edit?usp=sharing"",""สบก!BU81"")"),0)</f>
        <v>0</v>
      </c>
      <c r="O77" s="136">
        <f t="shared" ca="1" si="7"/>
        <v>0</v>
      </c>
      <c r="P77" s="71">
        <f t="shared" ref="P77:P90" ca="1" si="55">+S77+V77</f>
        <v>13</v>
      </c>
      <c r="Q77" s="67">
        <f t="shared" ref="Q77:Q90" ca="1" si="56">T77</f>
        <v>13</v>
      </c>
      <c r="R77" s="136">
        <f t="shared" ca="1" si="9"/>
        <v>100</v>
      </c>
      <c r="S77" s="182">
        <f ca="1">IFERROR(__xludf.DUMMYFUNCTION("IMPORTRANGE(""https://docs.google.com/spreadsheets/d/1C3CXT74ZlgGe6_JY_1olB1XN4rF0dxEuIIF-xsYjHgg/edit?usp=sharing"",""พรบ!BA81"")"),13)</f>
        <v>13</v>
      </c>
      <c r="T77" s="67">
        <f ca="1">IFERROR(__xludf.DUMMYFUNCTION("IMPORTRANGE(""https://docs.google.com/spreadsheets/d/1IYY_tgx_IHuhSq3AJ5eI5OnqOPBNLWSHKh2a30DoXe8/edit?usp=sharing"",""กระบี่!J155"")"),13)</f>
        <v>13</v>
      </c>
      <c r="U77" s="136">
        <f t="shared" ca="1" si="11"/>
        <v>100</v>
      </c>
      <c r="V77" s="71">
        <f ca="1">IFERROR(__xludf.DUMMYFUNCTION("IMPORTRANGE(""https://docs.google.com/spreadsheets/d/1C3CXT74ZlgGe6_JY_1olB1XN4rF0dxEuIIF-xsYjHgg/edit?usp=sharing"",""พรบ!BB81"")"),0)</f>
        <v>0</v>
      </c>
      <c r="W77" s="67">
        <v>0</v>
      </c>
      <c r="X77" s="136">
        <f t="shared" ca="1" si="13"/>
        <v>0</v>
      </c>
    </row>
    <row r="78" spans="1:24" ht="21" customHeight="1">
      <c r="A78" s="73">
        <v>2</v>
      </c>
      <c r="B78" s="74" t="s">
        <v>102</v>
      </c>
      <c r="C78" s="75">
        <f t="shared" ca="1" si="0"/>
        <v>0</v>
      </c>
      <c r="D78" s="174">
        <f t="shared" ca="1" si="54"/>
        <v>0</v>
      </c>
      <c r="E78" s="137">
        <f ca="1">IFERROR(__xludf.DUMMYFUNCTION("IMPORTRANGE(""https://docs.google.com/spreadsheets/d/1C3CXT74ZlgGe6_JY_1olB1XN4rF0dxEuIIF-xsYjHgg/edit?usp=sharing"",""พรบ!AX82"")"),0)</f>
        <v>0</v>
      </c>
      <c r="F78" s="175">
        <f ca="1">IFERROR(__xludf.DUMMYFUNCTION("IMPORTRANGE(""https://docs.google.com/spreadsheets/d/1C3CXT74ZlgGe6_JY_1olB1XN4rF0dxEuIIF-xsYjHgg/edit?usp=sharing"",""พรบ!AY82"")"),0)</f>
        <v>0</v>
      </c>
      <c r="G78" s="77">
        <f ca="1">IFERROR(__xludf.DUMMYFUNCTION("IMPORTRANGE(""https://docs.google.com/spreadsheets/d/1Yj_ptqi66GCucihVvJfMjLAmec39IyEx_6qawtMGysU/edit?usp=sharing"",""สบก!BQ82"")"),0)</f>
        <v>0</v>
      </c>
      <c r="H78" s="77">
        <f ca="1">IFERROR(__xludf.DUMMYFUNCTION("IMPORTRANGE(""https://docs.google.com/spreadsheets/d/1Yj_ptqi66GCucihVvJfMjLAmec39IyEx_6qawtMGysU/edit?usp=shBSing"",""สบก!BS82"")"),0)</f>
        <v>0</v>
      </c>
      <c r="I78" s="77">
        <f t="shared" ca="1" si="3"/>
        <v>0</v>
      </c>
      <c r="J78" s="137">
        <f t="shared" ca="1" si="4"/>
        <v>0</v>
      </c>
      <c r="K78" s="77">
        <f ca="1">IFERROR(__xludf.DUMMYFUNCTION("IMPORTRANGE(""https://docs.google.com/spreadsheets/d/1Yj_ptqi66GCucihVvJfMjLAmec39IyEx_6qawtMGysU/edit?usp=sharing"",""สบก!BT82"")"),0)</f>
        <v>0</v>
      </c>
      <c r="L78" s="137">
        <f t="shared" ca="1" si="5"/>
        <v>0</v>
      </c>
      <c r="M78" s="137">
        <f t="shared" ca="1" si="6"/>
        <v>0</v>
      </c>
      <c r="N78" s="137">
        <f ca="1">IFERROR(__xludf.DUMMYFUNCTION("IMPORTRANGE(""https://docs.google.com/spreadsheets/d/1Yj_ptqi66GCucihVvJfMjLAmec39IyEx_6qawtMGysU/edit?usp=sharing"",""สบก!BU82"")"),0)</f>
        <v>0</v>
      </c>
      <c r="O78" s="137">
        <f t="shared" ca="1" si="7"/>
        <v>0</v>
      </c>
      <c r="P78" s="80">
        <f t="shared" ca="1" si="55"/>
        <v>0</v>
      </c>
      <c r="Q78" s="77">
        <f t="shared" ca="1" si="56"/>
        <v>0</v>
      </c>
      <c r="R78" s="137">
        <f t="shared" ca="1" si="9"/>
        <v>0</v>
      </c>
      <c r="S78" s="80">
        <f ca="1">IFERROR(__xludf.DUMMYFUNCTION("IMPORTRANGE(""https://docs.google.com/spreadsheets/d/1C3CXT74ZlgGe6_JY_1olB1XN4rF0dxEuIIF-xsYjHgg/edit?usp=sharing"",""พรบ!BA82"")"),0)</f>
        <v>0</v>
      </c>
      <c r="T78" s="77">
        <f ca="1">IFERROR(__xludf.DUMMYFUNCTION("IMPORTRANGE(""https://docs.google.com/spreadsheets/d/1IYY_tgx_IHuhSq3AJ5eI5OnqOPBNLWSHKh2a30DoXe8/edit?usp=sharing"",""ชุมพร!J155"")"),0)</f>
        <v>0</v>
      </c>
      <c r="U78" s="137">
        <f t="shared" ca="1" si="11"/>
        <v>0</v>
      </c>
      <c r="V78" s="80">
        <f ca="1">IFERROR(__xludf.DUMMYFUNCTION("IMPORTRANGE(""https://docs.google.com/spreadsheets/d/1C3CXT74ZlgGe6_JY_1olB1XN4rF0dxEuIIF-xsYjHgg/edit?usp=sharing"",""พรบ!BB82"")"),0)</f>
        <v>0</v>
      </c>
      <c r="W78" s="77">
        <v>0</v>
      </c>
      <c r="X78" s="137">
        <f t="shared" ca="1" si="13"/>
        <v>0</v>
      </c>
    </row>
    <row r="79" spans="1:24" ht="21" customHeight="1">
      <c r="A79" s="73">
        <v>3</v>
      </c>
      <c r="B79" s="74" t="s">
        <v>103</v>
      </c>
      <c r="C79" s="75">
        <f t="shared" ca="1" si="0"/>
        <v>21125</v>
      </c>
      <c r="D79" s="174">
        <f t="shared" ca="1" si="54"/>
        <v>21125</v>
      </c>
      <c r="E79" s="137">
        <f ca="1">IFERROR(__xludf.DUMMYFUNCTION("IMPORTRANGE(""https://docs.google.com/spreadsheets/d/1C3CXT74ZlgGe6_JY_1olB1XN4rF0dxEuIIF-xsYjHgg/edit?usp=sharing"",""พรบ!AX83"")"),0)</f>
        <v>0</v>
      </c>
      <c r="F79" s="175">
        <f ca="1">IFERROR(__xludf.DUMMYFUNCTION("IMPORTRANGE(""https://docs.google.com/spreadsheets/d/1C3CXT74ZlgGe6_JY_1olB1XN4rF0dxEuIIF-xsYjHgg/edit?usp=sharing"",""พรบ!AY83"")"),21125)</f>
        <v>21125</v>
      </c>
      <c r="G79" s="77">
        <f ca="1">IFERROR(__xludf.DUMMYFUNCTION("IMPORTRANGE(""https://docs.google.com/spreadsheets/d/1Yj_ptqi66GCucihVvJfMjLAmec39IyEx_6qawtMGysU/edit?usp=sharing"",""สบก!BQ83"")"),0)</f>
        <v>0</v>
      </c>
      <c r="H79" s="77">
        <f ca="1">IFERROR(__xludf.DUMMYFUNCTION("IMPORTRANGE(""https://docs.google.com/spreadsheets/d/1Yj_ptqi66GCucihVvJfMjLAmec39IyEx_6qawtMGysU/edit?usp=shBSing"",""สบก!BS83"")"),21125)</f>
        <v>21125</v>
      </c>
      <c r="I79" s="77">
        <f t="shared" ca="1" si="3"/>
        <v>21125</v>
      </c>
      <c r="J79" s="137">
        <f t="shared" ca="1" si="4"/>
        <v>100</v>
      </c>
      <c r="K79" s="77">
        <f ca="1">IFERROR(__xludf.DUMMYFUNCTION("IMPORTRANGE(""https://docs.google.com/spreadsheets/d/1Yj_ptqi66GCucihVvJfMjLAmec39IyEx_6qawtMGysU/edit?usp=sharing"",""สบก!BT83"")"),21125)</f>
        <v>21125</v>
      </c>
      <c r="L79" s="137">
        <f t="shared" ca="1" si="5"/>
        <v>100</v>
      </c>
      <c r="M79" s="137">
        <f t="shared" ca="1" si="6"/>
        <v>100</v>
      </c>
      <c r="N79" s="137">
        <f ca="1">IFERROR(__xludf.DUMMYFUNCTION("IMPORTRANGE(""https://docs.google.com/spreadsheets/d/1Yj_ptqi66GCucihVvJfMjLAmec39IyEx_6qawtMGysU/edit?usp=sharing"",""สบก!BU83"")"),0)</f>
        <v>0</v>
      </c>
      <c r="O79" s="137">
        <f t="shared" ca="1" si="7"/>
        <v>0</v>
      </c>
      <c r="P79" s="80">
        <f t="shared" ca="1" si="55"/>
        <v>15</v>
      </c>
      <c r="Q79" s="77">
        <f t="shared" ca="1" si="56"/>
        <v>15</v>
      </c>
      <c r="R79" s="137">
        <f t="shared" ca="1" si="9"/>
        <v>100</v>
      </c>
      <c r="S79" s="177">
        <f ca="1">IFERROR(__xludf.DUMMYFUNCTION("IMPORTRANGE(""https://docs.google.com/spreadsheets/d/1C3CXT74ZlgGe6_JY_1olB1XN4rF0dxEuIIF-xsYjHgg/edit?usp=sharing"",""พรบ!BA83"")"),15)</f>
        <v>15</v>
      </c>
      <c r="T79" s="77">
        <f ca="1">IFERROR(__xludf.DUMMYFUNCTION("IMPORTRANGE(""https://docs.google.com/spreadsheets/d/1IYY_tgx_IHuhSq3AJ5eI5OnqOPBNLWSHKh2a30DoXe8/edit?usp=sharing"",""ตรัง!J155"")"),15)</f>
        <v>15</v>
      </c>
      <c r="U79" s="137">
        <f t="shared" ca="1" si="11"/>
        <v>100</v>
      </c>
      <c r="V79" s="80">
        <f ca="1">IFERROR(__xludf.DUMMYFUNCTION("IMPORTRANGE(""https://docs.google.com/spreadsheets/d/1C3CXT74ZlgGe6_JY_1olB1XN4rF0dxEuIIF-xsYjHgg/edit?usp=sharing"",""พรบ!BB83"")"),0)</f>
        <v>0</v>
      </c>
      <c r="W79" s="77">
        <v>0</v>
      </c>
      <c r="X79" s="137">
        <f t="shared" ca="1" si="13"/>
        <v>0</v>
      </c>
    </row>
    <row r="80" spans="1:24" ht="21" customHeight="1">
      <c r="A80" s="73">
        <v>4</v>
      </c>
      <c r="B80" s="74" t="s">
        <v>104</v>
      </c>
      <c r="C80" s="75">
        <f t="shared" ca="1" si="0"/>
        <v>21125</v>
      </c>
      <c r="D80" s="174">
        <f t="shared" ca="1" si="54"/>
        <v>21125</v>
      </c>
      <c r="E80" s="137">
        <f ca="1">IFERROR(__xludf.DUMMYFUNCTION("IMPORTRANGE(""https://docs.google.com/spreadsheets/d/1C3CXT74ZlgGe6_JY_1olB1XN4rF0dxEuIIF-xsYjHgg/edit?usp=sharing"",""พรบ!AX84"")"),0)</f>
        <v>0</v>
      </c>
      <c r="F80" s="175">
        <f ca="1">IFERROR(__xludf.DUMMYFUNCTION("IMPORTRANGE(""https://docs.google.com/spreadsheets/d/1C3CXT74ZlgGe6_JY_1olB1XN4rF0dxEuIIF-xsYjHgg/edit?usp=sharing"",""พรบ!AY84"")"),21125)</f>
        <v>21125</v>
      </c>
      <c r="G80" s="77">
        <f ca="1">IFERROR(__xludf.DUMMYFUNCTION("IMPORTRANGE(""https://docs.google.com/spreadsheets/d/1Yj_ptqi66GCucihVvJfMjLAmec39IyEx_6qawtMGysU/edit?usp=sharing"",""สบก!BQ84"")"),0)</f>
        <v>0</v>
      </c>
      <c r="H80" s="77">
        <f ca="1">IFERROR(__xludf.DUMMYFUNCTION("IMPORTRANGE(""https://docs.google.com/spreadsheets/d/1Yj_ptqi66GCucihVvJfMjLAmec39IyEx_6qawtMGysU/edit?usp=shBSing"",""สบก!BS84"")"),21125)</f>
        <v>21125</v>
      </c>
      <c r="I80" s="77">
        <f t="shared" ca="1" si="3"/>
        <v>21125</v>
      </c>
      <c r="J80" s="137">
        <f t="shared" ca="1" si="4"/>
        <v>100</v>
      </c>
      <c r="K80" s="77">
        <f ca="1">IFERROR(__xludf.DUMMYFUNCTION("IMPORTRANGE(""https://docs.google.com/spreadsheets/d/1Yj_ptqi66GCucihVvJfMjLAmec39IyEx_6qawtMGysU/edit?usp=sharing"",""สบก!BT84"")"),21125)</f>
        <v>21125</v>
      </c>
      <c r="L80" s="137">
        <f t="shared" ca="1" si="5"/>
        <v>100</v>
      </c>
      <c r="M80" s="137">
        <f t="shared" ca="1" si="6"/>
        <v>100</v>
      </c>
      <c r="N80" s="137">
        <f ca="1">IFERROR(__xludf.DUMMYFUNCTION("IMPORTRANGE(""https://docs.google.com/spreadsheets/d/1Yj_ptqi66GCucihVvJfMjLAmec39IyEx_6qawtMGysU/edit?usp=sharing"",""สบก!BU84"")"),0)</f>
        <v>0</v>
      </c>
      <c r="O80" s="137">
        <f t="shared" ca="1" si="7"/>
        <v>0</v>
      </c>
      <c r="P80" s="80">
        <f t="shared" ca="1" si="55"/>
        <v>15</v>
      </c>
      <c r="Q80" s="77">
        <f t="shared" ca="1" si="56"/>
        <v>15</v>
      </c>
      <c r="R80" s="137">
        <f t="shared" ca="1" si="9"/>
        <v>100</v>
      </c>
      <c r="S80" s="177">
        <f ca="1">IFERROR(__xludf.DUMMYFUNCTION("IMPORTRANGE(""https://docs.google.com/spreadsheets/d/1C3CXT74ZlgGe6_JY_1olB1XN4rF0dxEuIIF-xsYjHgg/edit?usp=sharing"",""พรบ!BA84"")"),15)</f>
        <v>15</v>
      </c>
      <c r="T80" s="77">
        <f ca="1">IFERROR(__xludf.DUMMYFUNCTION("IMPORTRANGE(""https://docs.google.com/spreadsheets/d/1IYY_tgx_IHuhSq3AJ5eI5OnqOPBNLWSHKh2a30DoXe8/edit?usp=sharing"",""นครศรีธรรมราช!J155"")"),15)</f>
        <v>15</v>
      </c>
      <c r="U80" s="137">
        <f t="shared" ca="1" si="11"/>
        <v>100</v>
      </c>
      <c r="V80" s="80">
        <f ca="1">IFERROR(__xludf.DUMMYFUNCTION("IMPORTRANGE(""https://docs.google.com/spreadsheets/d/1C3CXT74ZlgGe6_JY_1olB1XN4rF0dxEuIIF-xsYjHgg/edit?usp=sharing"",""พรบ!BB84"")"),0)</f>
        <v>0</v>
      </c>
      <c r="W80" s="77">
        <v>0</v>
      </c>
      <c r="X80" s="137">
        <f t="shared" ca="1" si="13"/>
        <v>0</v>
      </c>
    </row>
    <row r="81" spans="1:24" ht="21" customHeight="1">
      <c r="A81" s="73">
        <v>5</v>
      </c>
      <c r="B81" s="74" t="s">
        <v>105</v>
      </c>
      <c r="C81" s="75">
        <f t="shared" ca="1" si="0"/>
        <v>21125</v>
      </c>
      <c r="D81" s="174">
        <f t="shared" ca="1" si="54"/>
        <v>21125</v>
      </c>
      <c r="E81" s="137">
        <f ca="1">IFERROR(__xludf.DUMMYFUNCTION("IMPORTRANGE(""https://docs.google.com/spreadsheets/d/1C3CXT74ZlgGe6_JY_1olB1XN4rF0dxEuIIF-xsYjHgg/edit?usp=sharing"",""พรบ!AX85"")"),0)</f>
        <v>0</v>
      </c>
      <c r="F81" s="175">
        <f ca="1">IFERROR(__xludf.DUMMYFUNCTION("IMPORTRANGE(""https://docs.google.com/spreadsheets/d/1C3CXT74ZlgGe6_JY_1olB1XN4rF0dxEuIIF-xsYjHgg/edit?usp=sharing"",""พรบ!AY85"")"),21125)</f>
        <v>21125</v>
      </c>
      <c r="G81" s="77">
        <f ca="1">IFERROR(__xludf.DUMMYFUNCTION("IMPORTRANGE(""https://docs.google.com/spreadsheets/d/1Yj_ptqi66GCucihVvJfMjLAmec39IyEx_6qawtMGysU/edit?usp=sharing"",""สบก!BQ85"")"),0)</f>
        <v>0</v>
      </c>
      <c r="H81" s="77">
        <f ca="1">IFERROR(__xludf.DUMMYFUNCTION("IMPORTRANGE(""https://docs.google.com/spreadsheets/d/1Yj_ptqi66GCucihVvJfMjLAmec39IyEx_6qawtMGysU/edit?usp=shBSing"",""สบก!BS85"")"),21125)</f>
        <v>21125</v>
      </c>
      <c r="I81" s="77">
        <f t="shared" ca="1" si="3"/>
        <v>21125</v>
      </c>
      <c r="J81" s="137">
        <f t="shared" ca="1" si="4"/>
        <v>100</v>
      </c>
      <c r="K81" s="77">
        <f ca="1">IFERROR(__xludf.DUMMYFUNCTION("IMPORTRANGE(""https://docs.google.com/spreadsheets/d/1Yj_ptqi66GCucihVvJfMjLAmec39IyEx_6qawtMGysU/edit?usp=sharing"",""สบก!BT85"")"),21125)</f>
        <v>21125</v>
      </c>
      <c r="L81" s="137">
        <f t="shared" ca="1" si="5"/>
        <v>100</v>
      </c>
      <c r="M81" s="137">
        <f t="shared" ca="1" si="6"/>
        <v>100</v>
      </c>
      <c r="N81" s="137">
        <f ca="1">IFERROR(__xludf.DUMMYFUNCTION("IMPORTRANGE(""https://docs.google.com/spreadsheets/d/1Yj_ptqi66GCucihVvJfMjLAmec39IyEx_6qawtMGysU/edit?usp=sharing"",""สบก!BU85"")"),0)</f>
        <v>0</v>
      </c>
      <c r="O81" s="137">
        <f t="shared" ca="1" si="7"/>
        <v>0</v>
      </c>
      <c r="P81" s="80">
        <f t="shared" ca="1" si="55"/>
        <v>15</v>
      </c>
      <c r="Q81" s="77">
        <f t="shared" ca="1" si="56"/>
        <v>15</v>
      </c>
      <c r="R81" s="137">
        <f t="shared" ca="1" si="9"/>
        <v>100</v>
      </c>
      <c r="S81" s="177">
        <f ca="1">IFERROR(__xludf.DUMMYFUNCTION("IMPORTRANGE(""https://docs.google.com/spreadsheets/d/1C3CXT74ZlgGe6_JY_1olB1XN4rF0dxEuIIF-xsYjHgg/edit?usp=sharing"",""พรบ!BA85"")"),15)</f>
        <v>15</v>
      </c>
      <c r="T81" s="77">
        <f ca="1">IFERROR(__xludf.DUMMYFUNCTION("IMPORTRANGE(""https://docs.google.com/spreadsheets/d/1IYY_tgx_IHuhSq3AJ5eI5OnqOPBNLWSHKh2a30DoXe8/edit?usp=sharing"",""นราธิวาส!J155"")"),15)</f>
        <v>15</v>
      </c>
      <c r="U81" s="137">
        <f t="shared" ca="1" si="11"/>
        <v>100</v>
      </c>
      <c r="V81" s="80">
        <f ca="1">IFERROR(__xludf.DUMMYFUNCTION("IMPORTRANGE(""https://docs.google.com/spreadsheets/d/1C3CXT74ZlgGe6_JY_1olB1XN4rF0dxEuIIF-xsYjHgg/edit?usp=sharing"",""พรบ!BB85"")"),0)</f>
        <v>0</v>
      </c>
      <c r="W81" s="77">
        <v>0</v>
      </c>
      <c r="X81" s="137">
        <f t="shared" ca="1" si="13"/>
        <v>0</v>
      </c>
    </row>
    <row r="82" spans="1:24" ht="21" customHeight="1">
      <c r="A82" s="73">
        <v>6</v>
      </c>
      <c r="B82" s="74" t="s">
        <v>106</v>
      </c>
      <c r="C82" s="75">
        <f t="shared" ca="1" si="0"/>
        <v>21125</v>
      </c>
      <c r="D82" s="174">
        <f t="shared" ca="1" si="54"/>
        <v>21125</v>
      </c>
      <c r="E82" s="137">
        <f ca="1">IFERROR(__xludf.DUMMYFUNCTION("IMPORTRANGE(""https://docs.google.com/spreadsheets/d/1C3CXT74ZlgGe6_JY_1olB1XN4rF0dxEuIIF-xsYjHgg/edit?usp=sharing"",""พรบ!AX86"")"),0)</f>
        <v>0</v>
      </c>
      <c r="F82" s="175">
        <f ca="1">IFERROR(__xludf.DUMMYFUNCTION("IMPORTRANGE(""https://docs.google.com/spreadsheets/d/1C3CXT74ZlgGe6_JY_1olB1XN4rF0dxEuIIF-xsYjHgg/edit?usp=sharing"",""พรบ!AY86"")"),21125)</f>
        <v>21125</v>
      </c>
      <c r="G82" s="77">
        <f ca="1">IFERROR(__xludf.DUMMYFUNCTION("IMPORTRANGE(""https://docs.google.com/spreadsheets/d/1Yj_ptqi66GCucihVvJfMjLAmec39IyEx_6qawtMGysU/edit?usp=sharing"",""สบก!BQ86"")"),0)</f>
        <v>0</v>
      </c>
      <c r="H82" s="77">
        <f ca="1">IFERROR(__xludf.DUMMYFUNCTION("IMPORTRANGE(""https://docs.google.com/spreadsheets/d/1Yj_ptqi66GCucihVvJfMjLAmec39IyEx_6qawtMGysU/edit?usp=shBSing"",""สบก!BS86"")"),21125)</f>
        <v>21125</v>
      </c>
      <c r="I82" s="77">
        <f t="shared" ca="1" si="3"/>
        <v>21125</v>
      </c>
      <c r="J82" s="137">
        <f t="shared" ca="1" si="4"/>
        <v>100</v>
      </c>
      <c r="K82" s="77">
        <f ca="1">IFERROR(__xludf.DUMMYFUNCTION("IMPORTRANGE(""https://docs.google.com/spreadsheets/d/1Yj_ptqi66GCucihVvJfMjLAmec39IyEx_6qawtMGysU/edit?usp=sharing"",""สบก!BT86"")"),21125)</f>
        <v>21125</v>
      </c>
      <c r="L82" s="137">
        <f t="shared" ca="1" si="5"/>
        <v>100</v>
      </c>
      <c r="M82" s="137">
        <f t="shared" ca="1" si="6"/>
        <v>100</v>
      </c>
      <c r="N82" s="137">
        <f ca="1">IFERROR(__xludf.DUMMYFUNCTION("IMPORTRANGE(""https://docs.google.com/spreadsheets/d/1Yj_ptqi66GCucihVvJfMjLAmec39IyEx_6qawtMGysU/edit?usp=sharing"",""สบก!BU86"")"),0)</f>
        <v>0</v>
      </c>
      <c r="O82" s="137">
        <f t="shared" ca="1" si="7"/>
        <v>0</v>
      </c>
      <c r="P82" s="80">
        <f t="shared" ca="1" si="55"/>
        <v>15</v>
      </c>
      <c r="Q82" s="77">
        <f t="shared" ca="1" si="56"/>
        <v>15</v>
      </c>
      <c r="R82" s="137">
        <f t="shared" ca="1" si="9"/>
        <v>100</v>
      </c>
      <c r="S82" s="177">
        <f ca="1">IFERROR(__xludf.DUMMYFUNCTION("IMPORTRANGE(""https://docs.google.com/spreadsheets/d/1C3CXT74ZlgGe6_JY_1olB1XN4rF0dxEuIIF-xsYjHgg/edit?usp=sharing"",""พรบ!BA86"")"),15)</f>
        <v>15</v>
      </c>
      <c r="T82" s="77">
        <f ca="1">IFERROR(__xludf.DUMMYFUNCTION("IMPORTRANGE(""https://docs.google.com/spreadsheets/d/1IYY_tgx_IHuhSq3AJ5eI5OnqOPBNLWSHKh2a30DoXe8/edit?usp=sharing"",""ปัตตานี!J155"")"),15)</f>
        <v>15</v>
      </c>
      <c r="U82" s="137">
        <f t="shared" ca="1" si="11"/>
        <v>100</v>
      </c>
      <c r="V82" s="80">
        <f ca="1">IFERROR(__xludf.DUMMYFUNCTION("IMPORTRANGE(""https://docs.google.com/spreadsheets/d/1C3CXT74ZlgGe6_JY_1olB1XN4rF0dxEuIIF-xsYjHgg/edit?usp=sharing"",""พรบ!BB86"")"),0)</f>
        <v>0</v>
      </c>
      <c r="W82" s="77">
        <v>0</v>
      </c>
      <c r="X82" s="137">
        <f t="shared" ca="1" si="13"/>
        <v>0</v>
      </c>
    </row>
    <row r="83" spans="1:24" ht="21" customHeight="1">
      <c r="A83" s="73">
        <v>7</v>
      </c>
      <c r="B83" s="74" t="s">
        <v>107</v>
      </c>
      <c r="C83" s="75">
        <f t="shared" ca="1" si="0"/>
        <v>21125</v>
      </c>
      <c r="D83" s="174">
        <f t="shared" ca="1" si="54"/>
        <v>21125</v>
      </c>
      <c r="E83" s="137">
        <f ca="1">IFERROR(__xludf.DUMMYFUNCTION("IMPORTRANGE(""https://docs.google.com/spreadsheets/d/1C3CXT74ZlgGe6_JY_1olB1XN4rF0dxEuIIF-xsYjHgg/edit?usp=sharing"",""พรบ!AX87"")"),0)</f>
        <v>0</v>
      </c>
      <c r="F83" s="175">
        <f ca="1">IFERROR(__xludf.DUMMYFUNCTION("IMPORTRANGE(""https://docs.google.com/spreadsheets/d/1C3CXT74ZlgGe6_JY_1olB1XN4rF0dxEuIIF-xsYjHgg/edit?usp=sharing"",""พรบ!AY87"")"),21125)</f>
        <v>21125</v>
      </c>
      <c r="G83" s="77">
        <f ca="1">IFERROR(__xludf.DUMMYFUNCTION("IMPORTRANGE(""https://docs.google.com/spreadsheets/d/1Yj_ptqi66GCucihVvJfMjLAmec39IyEx_6qawtMGysU/edit?usp=sharing"",""สบก!BQ87"")"),0)</f>
        <v>0</v>
      </c>
      <c r="H83" s="77">
        <f ca="1">IFERROR(__xludf.DUMMYFUNCTION("IMPORTRANGE(""https://docs.google.com/spreadsheets/d/1Yj_ptqi66GCucihVvJfMjLAmec39IyEx_6qawtMGysU/edit?usp=shBSing"",""สบก!BS87"")"),21125)</f>
        <v>21125</v>
      </c>
      <c r="I83" s="77">
        <f t="shared" ca="1" si="3"/>
        <v>21125</v>
      </c>
      <c r="J83" s="137">
        <f t="shared" ca="1" si="4"/>
        <v>100</v>
      </c>
      <c r="K83" s="77">
        <f ca="1">IFERROR(__xludf.DUMMYFUNCTION("IMPORTRANGE(""https://docs.google.com/spreadsheets/d/1Yj_ptqi66GCucihVvJfMjLAmec39IyEx_6qawtMGysU/edit?usp=sharing"",""สบก!BT87"")"),21125)</f>
        <v>21125</v>
      </c>
      <c r="L83" s="137">
        <f t="shared" ca="1" si="5"/>
        <v>100</v>
      </c>
      <c r="M83" s="137">
        <f t="shared" ca="1" si="6"/>
        <v>100</v>
      </c>
      <c r="N83" s="137">
        <f ca="1">IFERROR(__xludf.DUMMYFUNCTION("IMPORTRANGE(""https://docs.google.com/spreadsheets/d/1Yj_ptqi66GCucihVvJfMjLAmec39IyEx_6qawtMGysU/edit?usp=sharing"",""สบก!BU87"")"),0)</f>
        <v>0</v>
      </c>
      <c r="O83" s="137">
        <f t="shared" ca="1" si="7"/>
        <v>0</v>
      </c>
      <c r="P83" s="80">
        <f t="shared" ca="1" si="55"/>
        <v>15</v>
      </c>
      <c r="Q83" s="77">
        <f t="shared" ca="1" si="56"/>
        <v>15</v>
      </c>
      <c r="R83" s="137">
        <f t="shared" ca="1" si="9"/>
        <v>100</v>
      </c>
      <c r="S83" s="177">
        <f ca="1">IFERROR(__xludf.DUMMYFUNCTION("IMPORTRANGE(""https://docs.google.com/spreadsheets/d/1C3CXT74ZlgGe6_JY_1olB1XN4rF0dxEuIIF-xsYjHgg/edit?usp=sharing"",""พรบ!BA87"")"),15)</f>
        <v>15</v>
      </c>
      <c r="T83" s="77">
        <f ca="1">IFERROR(__xludf.DUMMYFUNCTION("IMPORTRANGE(""https://docs.google.com/spreadsheets/d/1IYY_tgx_IHuhSq3AJ5eI5OnqOPBNLWSHKh2a30DoXe8/edit?usp=sharing"",""พังงา!J155"")"),15)</f>
        <v>15</v>
      </c>
      <c r="U83" s="137">
        <f t="shared" ca="1" si="11"/>
        <v>100</v>
      </c>
      <c r="V83" s="80">
        <f ca="1">IFERROR(__xludf.DUMMYFUNCTION("IMPORTRANGE(""https://docs.google.com/spreadsheets/d/1C3CXT74ZlgGe6_JY_1olB1XN4rF0dxEuIIF-xsYjHgg/edit?usp=sharing"",""พรบ!BB87"")"),0)</f>
        <v>0</v>
      </c>
      <c r="W83" s="77">
        <v>0</v>
      </c>
      <c r="X83" s="137">
        <f t="shared" ca="1" si="13"/>
        <v>0</v>
      </c>
    </row>
    <row r="84" spans="1:24" ht="21" customHeight="1">
      <c r="A84" s="73">
        <v>8</v>
      </c>
      <c r="B84" s="74" t="s">
        <v>108</v>
      </c>
      <c r="C84" s="75">
        <f t="shared" ca="1" si="0"/>
        <v>19295</v>
      </c>
      <c r="D84" s="174">
        <f t="shared" ca="1" si="54"/>
        <v>19295</v>
      </c>
      <c r="E84" s="137">
        <f ca="1">IFERROR(__xludf.DUMMYFUNCTION("IMPORTRANGE(""https://docs.google.com/spreadsheets/d/1C3CXT74ZlgGe6_JY_1olB1XN4rF0dxEuIIF-xsYjHgg/edit?usp=sharing"",""พรบ!AX88"")"),0)</f>
        <v>0</v>
      </c>
      <c r="F84" s="175">
        <f ca="1">IFERROR(__xludf.DUMMYFUNCTION("IMPORTRANGE(""https://docs.google.com/spreadsheets/d/1C3CXT74ZlgGe6_JY_1olB1XN4rF0dxEuIIF-xsYjHgg/edit?usp=sharing"",""พรบ!AY88"")"),19295)</f>
        <v>19295</v>
      </c>
      <c r="G84" s="77">
        <f ca="1">IFERROR(__xludf.DUMMYFUNCTION("IMPORTRANGE(""https://docs.google.com/spreadsheets/d/1Yj_ptqi66GCucihVvJfMjLAmec39IyEx_6qawtMGysU/edit?usp=sharing"",""สบก!BQ88"")"),0)</f>
        <v>0</v>
      </c>
      <c r="H84" s="77">
        <f ca="1">IFERROR(__xludf.DUMMYFUNCTION("IMPORTRANGE(""https://docs.google.com/spreadsheets/d/1Yj_ptqi66GCucihVvJfMjLAmec39IyEx_6qawtMGysU/edit?usp=shBSing"",""สบก!BS88"")"),19295)</f>
        <v>19295</v>
      </c>
      <c r="I84" s="77">
        <f t="shared" ca="1" si="3"/>
        <v>18845</v>
      </c>
      <c r="J84" s="137">
        <f t="shared" ca="1" si="4"/>
        <v>97.667789582793475</v>
      </c>
      <c r="K84" s="77">
        <f ca="1">IFERROR(__xludf.DUMMYFUNCTION("IMPORTRANGE(""https://docs.google.com/spreadsheets/d/1Yj_ptqi66GCucihVvJfMjLAmec39IyEx_6qawtMGysU/edit?usp=sharing"",""สบก!BT88"")"),18845)</f>
        <v>18845</v>
      </c>
      <c r="L84" s="137">
        <f t="shared" ca="1" si="5"/>
        <v>97.667789582793475</v>
      </c>
      <c r="M84" s="137">
        <f t="shared" ca="1" si="6"/>
        <v>97.667789582793475</v>
      </c>
      <c r="N84" s="137">
        <f ca="1">IFERROR(__xludf.DUMMYFUNCTION("IMPORTRANGE(""https://docs.google.com/spreadsheets/d/1Yj_ptqi66GCucihVvJfMjLAmec39IyEx_6qawtMGysU/edit?usp=sharing"",""สบก!BU88"")"),0)</f>
        <v>0</v>
      </c>
      <c r="O84" s="137">
        <f t="shared" ca="1" si="7"/>
        <v>0</v>
      </c>
      <c r="P84" s="80">
        <f t="shared" ca="1" si="55"/>
        <v>13</v>
      </c>
      <c r="Q84" s="77">
        <f t="shared" ca="1" si="56"/>
        <v>13</v>
      </c>
      <c r="R84" s="137">
        <f t="shared" ca="1" si="9"/>
        <v>100</v>
      </c>
      <c r="S84" s="177">
        <f ca="1">IFERROR(__xludf.DUMMYFUNCTION("IMPORTRANGE(""https://docs.google.com/spreadsheets/d/1C3CXT74ZlgGe6_JY_1olB1XN4rF0dxEuIIF-xsYjHgg/edit?usp=sharing"",""พรบ!BA88"")"),13)</f>
        <v>13</v>
      </c>
      <c r="T84" s="77">
        <f ca="1">IFERROR(__xludf.DUMMYFUNCTION("IMPORTRANGE(""https://docs.google.com/spreadsheets/d/1IYY_tgx_IHuhSq3AJ5eI5OnqOPBNLWSHKh2a30DoXe8/edit?usp=sharing"",""พัทลุง!J155"")"),13)</f>
        <v>13</v>
      </c>
      <c r="U84" s="137">
        <f t="shared" ca="1" si="11"/>
        <v>100</v>
      </c>
      <c r="V84" s="80">
        <f ca="1">IFERROR(__xludf.DUMMYFUNCTION("IMPORTRANGE(""https://docs.google.com/spreadsheets/d/1C3CXT74ZlgGe6_JY_1olB1XN4rF0dxEuIIF-xsYjHgg/edit?usp=sharing"",""พรบ!BB88"")"),0)</f>
        <v>0</v>
      </c>
      <c r="W84" s="77">
        <v>0</v>
      </c>
      <c r="X84" s="137">
        <f t="shared" ca="1" si="13"/>
        <v>0</v>
      </c>
    </row>
    <row r="85" spans="1:24" ht="21" customHeight="1">
      <c r="A85" s="73">
        <v>9</v>
      </c>
      <c r="B85" s="74" t="s">
        <v>109</v>
      </c>
      <c r="C85" s="75">
        <f t="shared" ca="1" si="0"/>
        <v>19295</v>
      </c>
      <c r="D85" s="174">
        <f t="shared" ca="1" si="54"/>
        <v>19295</v>
      </c>
      <c r="E85" s="137">
        <f ca="1">IFERROR(__xludf.DUMMYFUNCTION("IMPORTRANGE(""https://docs.google.com/spreadsheets/d/1C3CXT74ZlgGe6_JY_1olB1XN4rF0dxEuIIF-xsYjHgg/edit?usp=sharing"",""พรบ!AX89"")"),0)</f>
        <v>0</v>
      </c>
      <c r="F85" s="175">
        <f ca="1">IFERROR(__xludf.DUMMYFUNCTION("IMPORTRANGE(""https://docs.google.com/spreadsheets/d/1C3CXT74ZlgGe6_JY_1olB1XN4rF0dxEuIIF-xsYjHgg/edit?usp=sharing"",""พรบ!AY89"")"),19295)</f>
        <v>19295</v>
      </c>
      <c r="G85" s="77">
        <f ca="1">IFERROR(__xludf.DUMMYFUNCTION("IMPORTRANGE(""https://docs.google.com/spreadsheets/d/1Yj_ptqi66GCucihVvJfMjLAmec39IyEx_6qawtMGysU/edit?usp=sharing"",""สบก!BQ89"")"),0)</f>
        <v>0</v>
      </c>
      <c r="H85" s="77">
        <f ca="1">IFERROR(__xludf.DUMMYFUNCTION("IMPORTRANGE(""https://docs.google.com/spreadsheets/d/1Yj_ptqi66GCucihVvJfMjLAmec39IyEx_6qawtMGysU/edit?usp=shBSing"",""สบก!BS89"")"),19295)</f>
        <v>19295</v>
      </c>
      <c r="I85" s="77">
        <f t="shared" ca="1" si="3"/>
        <v>19295</v>
      </c>
      <c r="J85" s="137">
        <f t="shared" ca="1" si="4"/>
        <v>100</v>
      </c>
      <c r="K85" s="77">
        <f ca="1">IFERROR(__xludf.DUMMYFUNCTION("IMPORTRANGE(""https://docs.google.com/spreadsheets/d/1Yj_ptqi66GCucihVvJfMjLAmec39IyEx_6qawtMGysU/edit?usp=sharing"",""สบก!BT89"")"),19295)</f>
        <v>19295</v>
      </c>
      <c r="L85" s="137">
        <f t="shared" ca="1" si="5"/>
        <v>100</v>
      </c>
      <c r="M85" s="137">
        <f t="shared" ca="1" si="6"/>
        <v>100</v>
      </c>
      <c r="N85" s="137">
        <f ca="1">IFERROR(__xludf.DUMMYFUNCTION("IMPORTRANGE(""https://docs.google.com/spreadsheets/d/1Yj_ptqi66GCucihVvJfMjLAmec39IyEx_6qawtMGysU/edit?usp=sharing"",""สบก!BU89"")"),0)</f>
        <v>0</v>
      </c>
      <c r="O85" s="137">
        <f t="shared" ca="1" si="7"/>
        <v>0</v>
      </c>
      <c r="P85" s="80">
        <f t="shared" ca="1" si="55"/>
        <v>13</v>
      </c>
      <c r="Q85" s="77">
        <f t="shared" ca="1" si="56"/>
        <v>13</v>
      </c>
      <c r="R85" s="137">
        <f t="shared" ca="1" si="9"/>
        <v>100</v>
      </c>
      <c r="S85" s="80">
        <f ca="1">IFERROR(__xludf.DUMMYFUNCTION("IMPORTRANGE(""https://docs.google.com/spreadsheets/d/1C3CXT74ZlgGe6_JY_1olB1XN4rF0dxEuIIF-xsYjHgg/edit?usp=sharing"",""พรบ!BA89"")"),13)</f>
        <v>13</v>
      </c>
      <c r="T85" s="77">
        <f ca="1">IFERROR(__xludf.DUMMYFUNCTION("IMPORTRANGE(""https://docs.google.com/spreadsheets/d/1IYY_tgx_IHuhSq3AJ5eI5OnqOPBNLWSHKh2a30DoXe8/edit?usp=sharing"",""ภูเก็ต!J155"")"),13)</f>
        <v>13</v>
      </c>
      <c r="U85" s="137">
        <f t="shared" ca="1" si="11"/>
        <v>100</v>
      </c>
      <c r="V85" s="80">
        <f ca="1">IFERROR(__xludf.DUMMYFUNCTION("IMPORTRANGE(""https://docs.google.com/spreadsheets/d/1C3CXT74ZlgGe6_JY_1olB1XN4rF0dxEuIIF-xsYjHgg/edit?usp=sharing"",""พรบ!BB89"")"),0)</f>
        <v>0</v>
      </c>
      <c r="W85" s="77"/>
      <c r="X85" s="137">
        <f t="shared" ca="1" si="13"/>
        <v>0</v>
      </c>
    </row>
    <row r="86" spans="1:24" ht="21" customHeight="1">
      <c r="A86" s="73">
        <v>10</v>
      </c>
      <c r="B86" s="74" t="s">
        <v>110</v>
      </c>
      <c r="C86" s="75">
        <f t="shared" ca="1" si="0"/>
        <v>21125</v>
      </c>
      <c r="D86" s="174">
        <f t="shared" ca="1" si="54"/>
        <v>21125</v>
      </c>
      <c r="E86" s="137">
        <f ca="1">IFERROR(__xludf.DUMMYFUNCTION("IMPORTRANGE(""https://docs.google.com/spreadsheets/d/1C3CXT74ZlgGe6_JY_1olB1XN4rF0dxEuIIF-xsYjHgg/edit?usp=sharing"",""พรบ!AX90"")"),0)</f>
        <v>0</v>
      </c>
      <c r="F86" s="175">
        <f ca="1">IFERROR(__xludf.DUMMYFUNCTION("IMPORTRANGE(""https://docs.google.com/spreadsheets/d/1C3CXT74ZlgGe6_JY_1olB1XN4rF0dxEuIIF-xsYjHgg/edit?usp=sharing"",""พรบ!AY90"")"),21125)</f>
        <v>21125</v>
      </c>
      <c r="G86" s="77">
        <f ca="1">IFERROR(__xludf.DUMMYFUNCTION("IMPORTRANGE(""https://docs.google.com/spreadsheets/d/1Yj_ptqi66GCucihVvJfMjLAmec39IyEx_6qawtMGysU/edit?usp=sharing"",""สบก!BQ90"")"),0)</f>
        <v>0</v>
      </c>
      <c r="H86" s="77">
        <f ca="1">IFERROR(__xludf.DUMMYFUNCTION("IMPORTRANGE(""https://docs.google.com/spreadsheets/d/1Yj_ptqi66GCucihVvJfMjLAmec39IyEx_6qawtMGysU/edit?usp=shBSing"",""สบก!BS90"")"),21125)</f>
        <v>21125</v>
      </c>
      <c r="I86" s="77">
        <f t="shared" ca="1" si="3"/>
        <v>21125</v>
      </c>
      <c r="J86" s="137">
        <f t="shared" ca="1" si="4"/>
        <v>100</v>
      </c>
      <c r="K86" s="77">
        <f ca="1">IFERROR(__xludf.DUMMYFUNCTION("IMPORTRANGE(""https://docs.google.com/spreadsheets/d/1Yj_ptqi66GCucihVvJfMjLAmec39IyEx_6qawtMGysU/edit?usp=sharing"",""สบก!BT90"")"),21125)</f>
        <v>21125</v>
      </c>
      <c r="L86" s="137">
        <f t="shared" ca="1" si="5"/>
        <v>100</v>
      </c>
      <c r="M86" s="137">
        <f t="shared" ca="1" si="6"/>
        <v>100</v>
      </c>
      <c r="N86" s="137">
        <f ca="1">IFERROR(__xludf.DUMMYFUNCTION("IMPORTRANGE(""https://docs.google.com/spreadsheets/d/1Yj_ptqi66GCucihVvJfMjLAmec39IyEx_6qawtMGysU/edit?usp=sharing"",""สบก!BU90"")"),0)</f>
        <v>0</v>
      </c>
      <c r="O86" s="137">
        <f t="shared" ca="1" si="7"/>
        <v>0</v>
      </c>
      <c r="P86" s="80">
        <f t="shared" ca="1" si="55"/>
        <v>15</v>
      </c>
      <c r="Q86" s="77">
        <f t="shared" ca="1" si="56"/>
        <v>15</v>
      </c>
      <c r="R86" s="137">
        <f t="shared" ca="1" si="9"/>
        <v>100</v>
      </c>
      <c r="S86" s="80">
        <f ca="1">IFERROR(__xludf.DUMMYFUNCTION("IMPORTRANGE(""https://docs.google.com/spreadsheets/d/1C3CXT74ZlgGe6_JY_1olB1XN4rF0dxEuIIF-xsYjHgg/edit?usp=sharing"",""พรบ!BA90"")"),15)</f>
        <v>15</v>
      </c>
      <c r="T86" s="77">
        <f ca="1">IFERROR(__xludf.DUMMYFUNCTION("IMPORTRANGE(""https://docs.google.com/spreadsheets/d/1IYY_tgx_IHuhSq3AJ5eI5OnqOPBNLWSHKh2a30DoXe8/edit?usp=sharing"",""ยะลา!J155"")"),15)</f>
        <v>15</v>
      </c>
      <c r="U86" s="137">
        <f t="shared" ca="1" si="11"/>
        <v>100</v>
      </c>
      <c r="V86" s="80">
        <f ca="1">IFERROR(__xludf.DUMMYFUNCTION("IMPORTRANGE(""https://docs.google.com/spreadsheets/d/1C3CXT74ZlgGe6_JY_1olB1XN4rF0dxEuIIF-xsYjHgg/edit?usp=sharing"",""พรบ!BB90"")"),0)</f>
        <v>0</v>
      </c>
      <c r="W86" s="77">
        <v>0</v>
      </c>
      <c r="X86" s="137">
        <f t="shared" ca="1" si="13"/>
        <v>0</v>
      </c>
    </row>
    <row r="87" spans="1:24" ht="21" customHeight="1">
      <c r="A87" s="73">
        <v>11</v>
      </c>
      <c r="B87" s="74" t="s">
        <v>111</v>
      </c>
      <c r="C87" s="75">
        <f t="shared" ca="1" si="0"/>
        <v>19295</v>
      </c>
      <c r="D87" s="174">
        <f t="shared" ca="1" si="54"/>
        <v>19295</v>
      </c>
      <c r="E87" s="137">
        <f ca="1">IFERROR(__xludf.DUMMYFUNCTION("IMPORTRANGE(""https://docs.google.com/spreadsheets/d/1C3CXT74ZlgGe6_JY_1olB1XN4rF0dxEuIIF-xsYjHgg/edit?usp=sharing"",""พรบ!AX91"")"),0)</f>
        <v>0</v>
      </c>
      <c r="F87" s="175">
        <f ca="1">IFERROR(__xludf.DUMMYFUNCTION("IMPORTRANGE(""https://docs.google.com/spreadsheets/d/1C3CXT74ZlgGe6_JY_1olB1XN4rF0dxEuIIF-xsYjHgg/edit?usp=sharing"",""พรบ!AY91"")"),19295)</f>
        <v>19295</v>
      </c>
      <c r="G87" s="77">
        <f ca="1">IFERROR(__xludf.DUMMYFUNCTION("IMPORTRANGE(""https://docs.google.com/spreadsheets/d/1Yj_ptqi66GCucihVvJfMjLAmec39IyEx_6qawtMGysU/edit?usp=sharing"",""สบก!BQ91"")"),0)</f>
        <v>0</v>
      </c>
      <c r="H87" s="77">
        <f ca="1">IFERROR(__xludf.DUMMYFUNCTION("IMPORTRANGE(""https://docs.google.com/spreadsheets/d/1Yj_ptqi66GCucihVvJfMjLAmec39IyEx_6qawtMGysU/edit?usp=shBSing"",""สบก!BS91"")"),19295)</f>
        <v>19295</v>
      </c>
      <c r="I87" s="77">
        <f t="shared" ca="1" si="3"/>
        <v>19295</v>
      </c>
      <c r="J87" s="137">
        <f t="shared" ca="1" si="4"/>
        <v>100</v>
      </c>
      <c r="K87" s="77">
        <f ca="1">IFERROR(__xludf.DUMMYFUNCTION("IMPORTRANGE(""https://docs.google.com/spreadsheets/d/1Yj_ptqi66GCucihVvJfMjLAmec39IyEx_6qawtMGysU/edit?usp=sharing"",""สบก!BT91"")"),19295)</f>
        <v>19295</v>
      </c>
      <c r="L87" s="137">
        <f t="shared" ca="1" si="5"/>
        <v>100</v>
      </c>
      <c r="M87" s="137">
        <f t="shared" ca="1" si="6"/>
        <v>100</v>
      </c>
      <c r="N87" s="137">
        <f ca="1">IFERROR(__xludf.DUMMYFUNCTION("IMPORTRANGE(""https://docs.google.com/spreadsheets/d/1Yj_ptqi66GCucihVvJfMjLAmec39IyEx_6qawtMGysU/edit?usp=sharing"",""สบก!BU91"")"),0)</f>
        <v>0</v>
      </c>
      <c r="O87" s="137">
        <f t="shared" ca="1" si="7"/>
        <v>0</v>
      </c>
      <c r="P87" s="80">
        <f t="shared" ca="1" si="55"/>
        <v>13</v>
      </c>
      <c r="Q87" s="77">
        <f t="shared" ca="1" si="56"/>
        <v>13</v>
      </c>
      <c r="R87" s="137">
        <f t="shared" ca="1" si="9"/>
        <v>100</v>
      </c>
      <c r="S87" s="177">
        <f ca="1">IFERROR(__xludf.DUMMYFUNCTION("IMPORTRANGE(""https://docs.google.com/spreadsheets/d/1C3CXT74ZlgGe6_JY_1olB1XN4rF0dxEuIIF-xsYjHgg/edit?usp=sharing"",""พรบ!BA91"")"),13)</f>
        <v>13</v>
      </c>
      <c r="T87" s="77">
        <f ca="1">IFERROR(__xludf.DUMMYFUNCTION("IMPORTRANGE(""https://docs.google.com/spreadsheets/d/1IYY_tgx_IHuhSq3AJ5eI5OnqOPBNLWSHKh2a30DoXe8/edit?usp=sharing"",""ระนอง!J155"")"),13)</f>
        <v>13</v>
      </c>
      <c r="U87" s="137">
        <f t="shared" ca="1" si="11"/>
        <v>100</v>
      </c>
      <c r="V87" s="80">
        <f ca="1">IFERROR(__xludf.DUMMYFUNCTION("IMPORTRANGE(""https://docs.google.com/spreadsheets/d/1C3CXT74ZlgGe6_JY_1olB1XN4rF0dxEuIIF-xsYjHgg/edit?usp=sharing"",""พรบ!BB91"")"),0)</f>
        <v>0</v>
      </c>
      <c r="W87" s="77">
        <v>0</v>
      </c>
      <c r="X87" s="137">
        <f t="shared" ca="1" si="13"/>
        <v>0</v>
      </c>
    </row>
    <row r="88" spans="1:24" ht="24" customHeight="1">
      <c r="A88" s="73">
        <v>12</v>
      </c>
      <c r="B88" s="74" t="s">
        <v>112</v>
      </c>
      <c r="C88" s="75">
        <f t="shared" ca="1" si="0"/>
        <v>21125</v>
      </c>
      <c r="D88" s="174">
        <f t="shared" ca="1" si="54"/>
        <v>21125</v>
      </c>
      <c r="E88" s="137">
        <f ca="1">IFERROR(__xludf.DUMMYFUNCTION("IMPORTRANGE(""https://docs.google.com/spreadsheets/d/1C3CXT74ZlgGe6_JY_1olB1XN4rF0dxEuIIF-xsYjHgg/edit?usp=sharing"",""พรบ!AX92"")"),0)</f>
        <v>0</v>
      </c>
      <c r="F88" s="175">
        <f ca="1">IFERROR(__xludf.DUMMYFUNCTION("IMPORTRANGE(""https://docs.google.com/spreadsheets/d/1C3CXT74ZlgGe6_JY_1olB1XN4rF0dxEuIIF-xsYjHgg/edit?usp=sharing"",""พรบ!AY92"")"),21125)</f>
        <v>21125</v>
      </c>
      <c r="G88" s="77">
        <f ca="1">IFERROR(__xludf.DUMMYFUNCTION("IMPORTRANGE(""https://docs.google.com/spreadsheets/d/1Yj_ptqi66GCucihVvJfMjLAmec39IyEx_6qawtMGysU/edit?usp=sharing"",""สบก!BQ92"")"),0)</f>
        <v>0</v>
      </c>
      <c r="H88" s="77">
        <f ca="1">IFERROR(__xludf.DUMMYFUNCTION("IMPORTRANGE(""https://docs.google.com/spreadsheets/d/1Yj_ptqi66GCucihVvJfMjLAmec39IyEx_6qawtMGysU/edit?usp=shBSing"",""สบก!BS92"")"),21125)</f>
        <v>21125</v>
      </c>
      <c r="I88" s="77">
        <f t="shared" ca="1" si="3"/>
        <v>21125</v>
      </c>
      <c r="J88" s="137">
        <f t="shared" ca="1" si="4"/>
        <v>100</v>
      </c>
      <c r="K88" s="77">
        <f ca="1">IFERROR(__xludf.DUMMYFUNCTION("IMPORTRANGE(""https://docs.google.com/spreadsheets/d/1Yj_ptqi66GCucihVvJfMjLAmec39IyEx_6qawtMGysU/edit?usp=sharing"",""สบก!BT92"")"),21125)</f>
        <v>21125</v>
      </c>
      <c r="L88" s="137">
        <f t="shared" ca="1" si="5"/>
        <v>100</v>
      </c>
      <c r="M88" s="137">
        <f t="shared" ca="1" si="6"/>
        <v>100</v>
      </c>
      <c r="N88" s="137">
        <f ca="1">IFERROR(__xludf.DUMMYFUNCTION("IMPORTRANGE(""https://docs.google.com/spreadsheets/d/1Yj_ptqi66GCucihVvJfMjLAmec39IyEx_6qawtMGysU/edit?usp=sharing"",""สบก!BU92"")"),0)</f>
        <v>0</v>
      </c>
      <c r="O88" s="137">
        <f t="shared" ca="1" si="7"/>
        <v>0</v>
      </c>
      <c r="P88" s="80">
        <f t="shared" ca="1" si="55"/>
        <v>15</v>
      </c>
      <c r="Q88" s="77">
        <f t="shared" ca="1" si="56"/>
        <v>15</v>
      </c>
      <c r="R88" s="137">
        <f t="shared" ca="1" si="9"/>
        <v>100</v>
      </c>
      <c r="S88" s="177">
        <f ca="1">IFERROR(__xludf.DUMMYFUNCTION("IMPORTRANGE(""https://docs.google.com/spreadsheets/d/1C3CXT74ZlgGe6_JY_1olB1XN4rF0dxEuIIF-xsYjHgg/edit?usp=sharing"",""พรบ!BA92"")"),15)</f>
        <v>15</v>
      </c>
      <c r="T88" s="77">
        <f ca="1">IFERROR(__xludf.DUMMYFUNCTION("IMPORTRANGE(""https://docs.google.com/spreadsheets/d/1IYY_tgx_IHuhSq3AJ5eI5OnqOPBNLWSHKh2a30DoXe8/edit?usp=sharing"",""สงขลา!J155"")"),15)</f>
        <v>15</v>
      </c>
      <c r="U88" s="137">
        <f t="shared" ca="1" si="11"/>
        <v>100</v>
      </c>
      <c r="V88" s="80">
        <f ca="1">IFERROR(__xludf.DUMMYFUNCTION("IMPORTRANGE(""https://docs.google.com/spreadsheets/d/1C3CXT74ZlgGe6_JY_1olB1XN4rF0dxEuIIF-xsYjHgg/edit?usp=sharing"",""พรบ!BB92"")"),0)</f>
        <v>0</v>
      </c>
      <c r="W88" s="77">
        <v>0</v>
      </c>
      <c r="X88" s="137">
        <f t="shared" ca="1" si="13"/>
        <v>0</v>
      </c>
    </row>
    <row r="89" spans="1:24" ht="24" customHeight="1">
      <c r="A89" s="73">
        <v>13</v>
      </c>
      <c r="B89" s="74" t="s">
        <v>113</v>
      </c>
      <c r="C89" s="75">
        <f t="shared" ca="1" si="0"/>
        <v>23870</v>
      </c>
      <c r="D89" s="174">
        <f t="shared" ca="1" si="54"/>
        <v>23870</v>
      </c>
      <c r="E89" s="137">
        <f ca="1">IFERROR(__xludf.DUMMYFUNCTION("IMPORTRANGE(""https://docs.google.com/spreadsheets/d/1C3CXT74ZlgGe6_JY_1olB1XN4rF0dxEuIIF-xsYjHgg/edit?usp=sharing"",""พรบ!AX93"")"),0)</f>
        <v>0</v>
      </c>
      <c r="F89" s="175">
        <f ca="1">IFERROR(__xludf.DUMMYFUNCTION("IMPORTRANGE(""https://docs.google.com/spreadsheets/d/1C3CXT74ZlgGe6_JY_1olB1XN4rF0dxEuIIF-xsYjHgg/edit?usp=sharing"",""พรบ!AY93"")"),23870)</f>
        <v>23870</v>
      </c>
      <c r="G89" s="77">
        <f ca="1">IFERROR(__xludf.DUMMYFUNCTION("IMPORTRANGE(""https://docs.google.com/spreadsheets/d/1Yj_ptqi66GCucihVvJfMjLAmec39IyEx_6qawtMGysU/edit?usp=sharing"",""สบก!BQ93"")"),0)</f>
        <v>0</v>
      </c>
      <c r="H89" s="77">
        <f ca="1">IFERROR(__xludf.DUMMYFUNCTION("IMPORTRANGE(""https://docs.google.com/spreadsheets/d/1Yj_ptqi66GCucihVvJfMjLAmec39IyEx_6qawtMGysU/edit?usp=shBSing"",""สบก!BS93"")"),23870)</f>
        <v>23870</v>
      </c>
      <c r="I89" s="77">
        <f t="shared" ca="1" si="3"/>
        <v>23870</v>
      </c>
      <c r="J89" s="137">
        <f t="shared" ca="1" si="4"/>
        <v>100</v>
      </c>
      <c r="K89" s="77">
        <f ca="1">IFERROR(__xludf.DUMMYFUNCTION("IMPORTRANGE(""https://docs.google.com/spreadsheets/d/1Yj_ptqi66GCucihVvJfMjLAmec39IyEx_6qawtMGysU/edit?usp=sharing"",""สบก!BT93"")"),23870)</f>
        <v>23870</v>
      </c>
      <c r="L89" s="137">
        <f t="shared" ca="1" si="5"/>
        <v>100</v>
      </c>
      <c r="M89" s="137">
        <f t="shared" ca="1" si="6"/>
        <v>100</v>
      </c>
      <c r="N89" s="137">
        <f ca="1">IFERROR(__xludf.DUMMYFUNCTION("IMPORTRANGE(""https://docs.google.com/spreadsheets/d/1Yj_ptqi66GCucihVvJfMjLAmec39IyEx_6qawtMGysU/edit?usp=sharing"",""สบก!BU93"")"),0)</f>
        <v>0</v>
      </c>
      <c r="O89" s="137">
        <f t="shared" ca="1" si="7"/>
        <v>0</v>
      </c>
      <c r="P89" s="80">
        <f t="shared" ca="1" si="55"/>
        <v>18</v>
      </c>
      <c r="Q89" s="77">
        <f t="shared" ca="1" si="56"/>
        <v>18</v>
      </c>
      <c r="R89" s="137">
        <f t="shared" ca="1" si="9"/>
        <v>100</v>
      </c>
      <c r="S89" s="177">
        <f ca="1">IFERROR(__xludf.DUMMYFUNCTION("IMPORTRANGE(""https://docs.google.com/spreadsheets/d/1C3CXT74ZlgGe6_JY_1olB1XN4rF0dxEuIIF-xsYjHgg/edit?usp=sharing"",""พรบ!BA93"")"),18)</f>
        <v>18</v>
      </c>
      <c r="T89" s="77">
        <f ca="1">IFERROR(__xludf.DUMMYFUNCTION("IMPORTRANGE(""https://docs.google.com/spreadsheets/d/1IYY_tgx_IHuhSq3AJ5eI5OnqOPBNLWSHKh2a30DoXe8/edit?usp=sharing"",""สตูล!J155"")"),18)</f>
        <v>18</v>
      </c>
      <c r="U89" s="137">
        <f t="shared" ca="1" si="11"/>
        <v>100</v>
      </c>
      <c r="V89" s="80">
        <f ca="1">IFERROR(__xludf.DUMMYFUNCTION("IMPORTRANGE(""https://docs.google.com/spreadsheets/d/1C3CXT74ZlgGe6_JY_1olB1XN4rF0dxEuIIF-xsYjHgg/edit?usp=sharing"",""พรบ!BB93"")"),0)</f>
        <v>0</v>
      </c>
      <c r="W89" s="77">
        <v>0</v>
      </c>
      <c r="X89" s="137">
        <f t="shared" ca="1" si="13"/>
        <v>0</v>
      </c>
    </row>
    <row r="90" spans="1:24" ht="24" customHeight="1">
      <c r="A90" s="84">
        <v>14</v>
      </c>
      <c r="B90" s="85" t="s">
        <v>114</v>
      </c>
      <c r="C90" s="86">
        <f t="shared" ca="1" si="0"/>
        <v>20210</v>
      </c>
      <c r="D90" s="178">
        <f t="shared" ca="1" si="54"/>
        <v>20210</v>
      </c>
      <c r="E90" s="138">
        <f ca="1">IFERROR(__xludf.DUMMYFUNCTION("IMPORTRANGE(""https://docs.google.com/spreadsheets/d/1C3CXT74ZlgGe6_JY_1olB1XN4rF0dxEuIIF-xsYjHgg/edit?usp=sharing"",""พรบ!AX94"")"),0)</f>
        <v>0</v>
      </c>
      <c r="F90" s="179">
        <f ca="1">IFERROR(__xludf.DUMMYFUNCTION("IMPORTRANGE(""https://docs.google.com/spreadsheets/d/1C3CXT74ZlgGe6_JY_1olB1XN4rF0dxEuIIF-xsYjHgg/edit?usp=sharing"",""พรบ!AY94"")"),20210)</f>
        <v>20210</v>
      </c>
      <c r="G90" s="88">
        <f ca="1">IFERROR(__xludf.DUMMYFUNCTION("IMPORTRANGE(""https://docs.google.com/spreadsheets/d/1Yj_ptqi66GCucihVvJfMjLAmec39IyEx_6qawtMGysU/edit?usp=sharing"",""สบก!BQ94"")"),0)</f>
        <v>0</v>
      </c>
      <c r="H90" s="88">
        <f ca="1">IFERROR(__xludf.DUMMYFUNCTION("IMPORTRANGE(""https://docs.google.com/spreadsheets/d/1Yj_ptqi66GCucihVvJfMjLAmec39IyEx_6qawtMGysU/edit?usp=shBSing"",""สบก!BS94"")"),20210)</f>
        <v>20210</v>
      </c>
      <c r="I90" s="88">
        <f t="shared" ca="1" si="3"/>
        <v>20210</v>
      </c>
      <c r="J90" s="138">
        <f t="shared" ca="1" si="4"/>
        <v>100</v>
      </c>
      <c r="K90" s="88">
        <f ca="1">IFERROR(__xludf.DUMMYFUNCTION("IMPORTRANGE(""https://docs.google.com/spreadsheets/d/1Yj_ptqi66GCucihVvJfMjLAmec39IyEx_6qawtMGysU/edit?usp=sharing"",""สบก!BT94"")"),20210)</f>
        <v>20210</v>
      </c>
      <c r="L90" s="138">
        <f t="shared" ca="1" si="5"/>
        <v>100</v>
      </c>
      <c r="M90" s="138">
        <f t="shared" ca="1" si="6"/>
        <v>100</v>
      </c>
      <c r="N90" s="138">
        <f ca="1">IFERROR(__xludf.DUMMYFUNCTION("IMPORTRANGE(""https://docs.google.com/spreadsheets/d/1Yj_ptqi66GCucihVvJfMjLAmec39IyEx_6qawtMGysU/edit?usp=sharing"",""สบก!BU94"")"),0)</f>
        <v>0</v>
      </c>
      <c r="O90" s="138">
        <f t="shared" ca="1" si="7"/>
        <v>0</v>
      </c>
      <c r="P90" s="91">
        <f t="shared" ca="1" si="55"/>
        <v>14</v>
      </c>
      <c r="Q90" s="77">
        <f t="shared" ca="1" si="56"/>
        <v>14</v>
      </c>
      <c r="R90" s="138">
        <f t="shared" ca="1" si="9"/>
        <v>100</v>
      </c>
      <c r="S90" s="180">
        <f ca="1">IFERROR(__xludf.DUMMYFUNCTION("IMPORTRANGE(""https://docs.google.com/spreadsheets/d/1C3CXT74ZlgGe6_JY_1olB1XN4rF0dxEuIIF-xsYjHgg/edit?usp=sharing"",""พรบ!BA94"")"),14)</f>
        <v>14</v>
      </c>
      <c r="T90" s="88">
        <f ca="1">IFERROR(__xludf.DUMMYFUNCTION("IMPORTRANGE(""https://docs.google.com/spreadsheets/d/1IYY_tgx_IHuhSq3AJ5eI5OnqOPBNLWSHKh2a30DoXe8/edit?usp=sharing"",""สุราษฎร์ธานี!J155"")"),14)</f>
        <v>14</v>
      </c>
      <c r="U90" s="138">
        <f t="shared" ca="1" si="11"/>
        <v>100</v>
      </c>
      <c r="V90" s="91">
        <f ca="1">IFERROR(__xludf.DUMMYFUNCTION("IMPORTRANGE(""https://docs.google.com/spreadsheets/d/1C3CXT74ZlgGe6_JY_1olB1XN4rF0dxEuIIF-xsYjHgg/edit?usp=sharing"",""พรบ!BB94"")"),0)</f>
        <v>0</v>
      </c>
      <c r="W90" s="88">
        <v>0</v>
      </c>
      <c r="X90" s="138">
        <f t="shared" ca="1" si="13"/>
        <v>0</v>
      </c>
    </row>
    <row r="91" spans="1:24" ht="21" hidden="1" customHeight="1">
      <c r="A91" s="680" t="s">
        <v>115</v>
      </c>
      <c r="B91" s="652"/>
      <c r="C91" s="44">
        <f t="shared" ca="1" si="0"/>
        <v>48497875</v>
      </c>
      <c r="D91" s="45">
        <f t="shared" ref="D91:H91" ca="1" si="57">+D92+D93+D94+D95+D96+D97+D98+D99+D100+D101+D102+D103+D104+D105</f>
        <v>17414175</v>
      </c>
      <c r="E91" s="45">
        <f t="shared" ca="1" si="57"/>
        <v>0</v>
      </c>
      <c r="F91" s="45">
        <f t="shared" ca="1" si="57"/>
        <v>17414175</v>
      </c>
      <c r="G91" s="45">
        <f t="shared" ca="1" si="57"/>
        <v>31083700</v>
      </c>
      <c r="H91" s="45">
        <f t="shared" ca="1" si="57"/>
        <v>15718175</v>
      </c>
      <c r="I91" s="45">
        <f t="shared" ca="1" si="3"/>
        <v>35612788.909999996</v>
      </c>
      <c r="J91" s="46">
        <f t="shared" ca="1" si="4"/>
        <v>73.431648108293402</v>
      </c>
      <c r="K91" s="45">
        <f ca="1">+K92+K93+K94+K95+K96+K97+K98+K99+K100+K101+K102+K103+K104+K105</f>
        <v>5817088.9100000001</v>
      </c>
      <c r="L91" s="47">
        <f t="shared" ca="1" si="5"/>
        <v>33.404332447560677</v>
      </c>
      <c r="M91" s="47">
        <f t="shared" ca="1" si="6"/>
        <v>37.008678870161454</v>
      </c>
      <c r="N91" s="48">
        <f ca="1">+N92+N93+N94+N95+N96+N97+N98+N99+N100+N101+N102+N103+N104+N105</f>
        <v>29795700</v>
      </c>
      <c r="O91" s="47">
        <f t="shared" ca="1" si="7"/>
        <v>95.856349147624002</v>
      </c>
      <c r="P91" s="48">
        <f t="shared" ref="P91:Q91" ca="1" si="58">+P92+P93+P94+P95+P96+P97+P98+P99+P100+P101+P102+P103+P104+P105</f>
        <v>200</v>
      </c>
      <c r="Q91" s="45">
        <f t="shared" si="58"/>
        <v>0</v>
      </c>
      <c r="R91" s="127">
        <f t="shared" ca="1" si="9"/>
        <v>0</v>
      </c>
      <c r="S91" s="48">
        <f t="shared" ref="S91:T91" ca="1" si="59">+S92+S93+S94+S95+S96+S97+S98+S99+S100+S101+S102+S103+S104+S105</f>
        <v>0</v>
      </c>
      <c r="T91" s="45">
        <f t="shared" si="59"/>
        <v>0</v>
      </c>
      <c r="U91" s="127">
        <f t="shared" ca="1" si="11"/>
        <v>0</v>
      </c>
      <c r="V91" s="48">
        <f ca="1">+V92+V93+V94+V95+V96+V97+V98+V99+V100+V101+V102+V103+V104+V105</f>
        <v>200</v>
      </c>
      <c r="W91" s="45">
        <f ca="1">IFERROR(__xludf.DUMMYFUNCTION("IMPORTRANGE(""https://docs.google.com/spreadsheets/d/1-fhVXPMm30suWK0-eslVgeT9cTVfCsDeUsq7Bk5UZE8/edit?usp=sharing"",""ทั้งประเทศ!J158"")"),37)</f>
        <v>37</v>
      </c>
      <c r="X91" s="127">
        <f t="shared" ca="1" si="13"/>
        <v>18.5</v>
      </c>
    </row>
    <row r="92" spans="1:24" ht="24" hidden="1" customHeight="1">
      <c r="A92" s="102">
        <v>1</v>
      </c>
      <c r="B92" s="103" t="s">
        <v>116</v>
      </c>
      <c r="C92" s="65">
        <f t="shared" ca="1" si="0"/>
        <v>0</v>
      </c>
      <c r="D92" s="171">
        <f t="shared" ref="D92:D105" ca="1" si="60">+E92+F92</f>
        <v>0</v>
      </c>
      <c r="E92" s="136">
        <f ca="1">IFERROR(__xludf.DUMMYFUNCTION("IMPORTRANGE(""https://docs.google.com/spreadsheets/d/1C3CXT74ZlgGe6_JY_1olB1XN4rF0dxEuIIF-xsYjHgg/edit?usp=sharing"",""พรบ!AX96"")"),0)</f>
        <v>0</v>
      </c>
      <c r="F92" s="172">
        <f ca="1">IFERROR(__xludf.DUMMYFUNCTION("IMPORTRANGE(""https://docs.google.com/spreadsheets/d/1C3CXT74ZlgGe6_JY_1olB1XN4rF0dxEuIIF-xsYjHgg/edit?usp=sharing"",""พรบ!AY96"")"),0)</f>
        <v>0</v>
      </c>
      <c r="G92" s="67">
        <f ca="1">IFERROR(__xludf.DUMMYFUNCTION("IMPORTRANGE(""https://docs.google.com/spreadsheets/d/1Yj_ptqi66GCucihVvJfMjLAmec39IyEx_6qawtMGysU/edit?usp=sharing"",""สบก!BQ96"")"),0)</f>
        <v>0</v>
      </c>
      <c r="H92" s="67">
        <f ca="1">IFERROR(__xludf.DUMMYFUNCTION("IMPORTRANGE(""https://docs.google.com/spreadsheets/d/1Yj_ptqi66GCucihVvJfMjLAmec39IyEx_6qawtMGysU/edit?usp=shBSing"",""สบก!BS96"")"),0)</f>
        <v>0</v>
      </c>
      <c r="I92" s="67">
        <f t="shared" ca="1" si="3"/>
        <v>0</v>
      </c>
      <c r="J92" s="136">
        <f t="shared" ca="1" si="4"/>
        <v>0</v>
      </c>
      <c r="K92" s="67">
        <f ca="1">IFERROR(__xludf.DUMMYFUNCTION("IMPORTRANGE(""https://docs.google.com/spreadsheets/d/1Yj_ptqi66GCucihVvJfMjLAmec39IyEx_6qawtMGysU/edit?usp=sharing"",""สบก!BT96"")"),0)</f>
        <v>0</v>
      </c>
      <c r="L92" s="136">
        <f t="shared" ca="1" si="5"/>
        <v>0</v>
      </c>
      <c r="M92" s="136">
        <f t="shared" ca="1" si="6"/>
        <v>0</v>
      </c>
      <c r="N92" s="136">
        <f ca="1">IFERROR(__xludf.DUMMYFUNCTION("IMPORTRANGE(""https://docs.google.com/spreadsheets/d/1Yj_ptqi66GCucihVvJfMjLAmec39IyEx_6qawtMGysU/edit?usp=sharing"",""สบก!BU96"")"),0)</f>
        <v>0</v>
      </c>
      <c r="O92" s="136">
        <f t="shared" ca="1" si="7"/>
        <v>0</v>
      </c>
      <c r="P92" s="71">
        <f t="shared" ref="P92:P105" ca="1" si="61">+S92+V92</f>
        <v>0</v>
      </c>
      <c r="Q92" s="67">
        <v>0</v>
      </c>
      <c r="R92" s="136">
        <f t="shared" ca="1" si="9"/>
        <v>0</v>
      </c>
      <c r="S92" s="71">
        <f ca="1">IFERROR(__xludf.DUMMYFUNCTION("IMPORTRANGE(""https://docs.google.com/spreadsheets/d/1C3CXT74ZlgGe6_JY_1olB1XN4rF0dxEuIIF-xsYjHgg/edit?usp=sharing"",""พรบ!BA96"")"),0)</f>
        <v>0</v>
      </c>
      <c r="T92" s="67">
        <v>0</v>
      </c>
      <c r="U92" s="136">
        <f t="shared" ca="1" si="11"/>
        <v>0</v>
      </c>
      <c r="V92" s="71">
        <f ca="1">IFERROR(__xludf.DUMMYFUNCTION("IMPORTRANGE(""https://docs.google.com/spreadsheets/d/1C3CXT74ZlgGe6_JY_1olB1XN4rF0dxEuIIF-xsYjHgg/edit?usp=sharing"",""พรบ!BB96"")"),0)</f>
        <v>0</v>
      </c>
      <c r="W92" s="67">
        <v>0</v>
      </c>
      <c r="X92" s="136">
        <f t="shared" ca="1" si="13"/>
        <v>0</v>
      </c>
    </row>
    <row r="93" spans="1:24" ht="24" hidden="1" customHeight="1">
      <c r="A93" s="105">
        <v>2</v>
      </c>
      <c r="B93" s="106" t="s">
        <v>117</v>
      </c>
      <c r="C93" s="75">
        <f t="shared" ca="1" si="0"/>
        <v>0</v>
      </c>
      <c r="D93" s="174">
        <f t="shared" ca="1" si="60"/>
        <v>0</v>
      </c>
      <c r="E93" s="137">
        <f ca="1">IFERROR(__xludf.DUMMYFUNCTION("IMPORTRANGE(""https://docs.google.com/spreadsheets/d/1C3CXT74ZlgGe6_JY_1olB1XN4rF0dxEuIIF-xsYjHgg/edit?usp=sharing"",""พรบ!AX97"")"),0)</f>
        <v>0</v>
      </c>
      <c r="F93" s="175">
        <f ca="1">IFERROR(__xludf.DUMMYFUNCTION("IMPORTRANGE(""https://docs.google.com/spreadsheets/d/1C3CXT74ZlgGe6_JY_1olB1XN4rF0dxEuIIF-xsYjHgg/edit?usp=sharing"",""พรบ!AY97"")"),0)</f>
        <v>0</v>
      </c>
      <c r="G93" s="77">
        <f ca="1">IFERROR(__xludf.DUMMYFUNCTION("IMPORTRANGE(""https://docs.google.com/spreadsheets/d/1Yj_ptqi66GCucihVvJfMjLAmec39IyEx_6qawtMGysU/edit?usp=sharing"",""สบก!BQ97"")"),0)</f>
        <v>0</v>
      </c>
      <c r="H93" s="77">
        <f ca="1">IFERROR(__xludf.DUMMYFUNCTION("IMPORTRANGE(""https://docs.google.com/spreadsheets/d/1Yj_ptqi66GCucihVvJfMjLAmec39IyEx_6qawtMGysU/edit?usp=shBSing"",""สบก!BS97"")"),0)</f>
        <v>0</v>
      </c>
      <c r="I93" s="77">
        <f t="shared" ca="1" si="3"/>
        <v>0</v>
      </c>
      <c r="J93" s="137">
        <f t="shared" ca="1" si="4"/>
        <v>0</v>
      </c>
      <c r="K93" s="77">
        <f ca="1">IFERROR(__xludf.DUMMYFUNCTION("IMPORTRANGE(""https://docs.google.com/spreadsheets/d/1Yj_ptqi66GCucihVvJfMjLAmec39IyEx_6qawtMGysU/edit?usp=sharing"",""สบก!BT97"")"),0)</f>
        <v>0</v>
      </c>
      <c r="L93" s="137">
        <f t="shared" ca="1" si="5"/>
        <v>0</v>
      </c>
      <c r="M93" s="137">
        <f t="shared" ca="1" si="6"/>
        <v>0</v>
      </c>
      <c r="N93" s="137">
        <f ca="1">IFERROR(__xludf.DUMMYFUNCTION("IMPORTRANGE(""https://docs.google.com/spreadsheets/d/1Yj_ptqi66GCucihVvJfMjLAmec39IyEx_6qawtMGysU/edit?usp=sharing"",""สบก!BU97"")"),0)</f>
        <v>0</v>
      </c>
      <c r="O93" s="137">
        <f t="shared" ca="1" si="7"/>
        <v>0</v>
      </c>
      <c r="P93" s="80">
        <f t="shared" ca="1" si="61"/>
        <v>0</v>
      </c>
      <c r="Q93" s="77">
        <v>0</v>
      </c>
      <c r="R93" s="137">
        <f t="shared" ca="1" si="9"/>
        <v>0</v>
      </c>
      <c r="S93" s="80">
        <f ca="1">IFERROR(__xludf.DUMMYFUNCTION("IMPORTRANGE(""https://docs.google.com/spreadsheets/d/1C3CXT74ZlgGe6_JY_1olB1XN4rF0dxEuIIF-xsYjHgg/edit?usp=sharing"",""พรบ!BA97"")"),0)</f>
        <v>0</v>
      </c>
      <c r="T93" s="77">
        <v>0</v>
      </c>
      <c r="U93" s="137">
        <f t="shared" ca="1" si="11"/>
        <v>0</v>
      </c>
      <c r="V93" s="80">
        <f ca="1">IFERROR(__xludf.DUMMYFUNCTION("IMPORTRANGE(""https://docs.google.com/spreadsheets/d/1C3CXT74ZlgGe6_JY_1olB1XN4rF0dxEuIIF-xsYjHgg/edit?usp=sharing"",""พรบ!BB97"")"),0)</f>
        <v>0</v>
      </c>
      <c r="W93" s="77">
        <v>0</v>
      </c>
      <c r="X93" s="137">
        <f t="shared" ca="1" si="13"/>
        <v>0</v>
      </c>
    </row>
    <row r="94" spans="1:24" ht="24" hidden="1" customHeight="1">
      <c r="A94" s="105">
        <v>3</v>
      </c>
      <c r="B94" s="106" t="s">
        <v>118</v>
      </c>
      <c r="C94" s="75">
        <f t="shared" ca="1" si="0"/>
        <v>0</v>
      </c>
      <c r="D94" s="174">
        <f t="shared" ca="1" si="60"/>
        <v>0</v>
      </c>
      <c r="E94" s="137">
        <f ca="1">IFERROR(__xludf.DUMMYFUNCTION("IMPORTRANGE(""https://docs.google.com/spreadsheets/d/1C3CXT74ZlgGe6_JY_1olB1XN4rF0dxEuIIF-xsYjHgg/edit?usp=sharing"",""พรบ!AX98"")"),0)</f>
        <v>0</v>
      </c>
      <c r="F94" s="175">
        <f ca="1">IFERROR(__xludf.DUMMYFUNCTION("IMPORTRANGE(""https://docs.google.com/spreadsheets/d/1C3CXT74ZlgGe6_JY_1olB1XN4rF0dxEuIIF-xsYjHgg/edit?usp=sharing"",""พรบ!AY98"")"),0)</f>
        <v>0</v>
      </c>
      <c r="G94" s="77">
        <f ca="1">IFERROR(__xludf.DUMMYFUNCTION("IMPORTRANGE(""https://docs.google.com/spreadsheets/d/1Yj_ptqi66GCucihVvJfMjLAmec39IyEx_6qawtMGysU/edit?usp=sharing"",""สบก!BQ98"")"),0)</f>
        <v>0</v>
      </c>
      <c r="H94" s="77">
        <f ca="1">IFERROR(__xludf.DUMMYFUNCTION("IMPORTRANGE(""https://docs.google.com/spreadsheets/d/1Yj_ptqi66GCucihVvJfMjLAmec39IyEx_6qawtMGysU/edit?usp=shBSing"",""สบก!BS98"")"),3000000)</f>
        <v>3000000</v>
      </c>
      <c r="I94" s="77">
        <f t="shared" ca="1" si="3"/>
        <v>186969</v>
      </c>
      <c r="J94" s="137">
        <f t="shared" ca="1" si="4"/>
        <v>0</v>
      </c>
      <c r="K94" s="77">
        <f ca="1">IFERROR(__xludf.DUMMYFUNCTION("IMPORTRANGE(""https://docs.google.com/spreadsheets/d/1Yj_ptqi66GCucihVvJfMjLAmec39IyEx_6qawtMGysU/edit?usp=sharing"",""สบก!BT98"")"),186969)</f>
        <v>186969</v>
      </c>
      <c r="L94" s="137">
        <f t="shared" ca="1" si="5"/>
        <v>0</v>
      </c>
      <c r="M94" s="137">
        <f t="shared" ca="1" si="6"/>
        <v>6.2323000000000004</v>
      </c>
      <c r="N94" s="137">
        <f ca="1">IFERROR(__xludf.DUMMYFUNCTION("IMPORTRANGE(""https://docs.google.com/spreadsheets/d/1Yj_ptqi66GCucihVvJfMjLAmec39IyEx_6qawtMGysU/edit?usp=sharing"",""สบก!BU98"")"),0)</f>
        <v>0</v>
      </c>
      <c r="O94" s="137">
        <f t="shared" ca="1" si="7"/>
        <v>0</v>
      </c>
      <c r="P94" s="80">
        <f t="shared" ca="1" si="61"/>
        <v>0</v>
      </c>
      <c r="Q94" s="77">
        <v>0</v>
      </c>
      <c r="R94" s="137">
        <f t="shared" ca="1" si="9"/>
        <v>0</v>
      </c>
      <c r="S94" s="80">
        <f ca="1">IFERROR(__xludf.DUMMYFUNCTION("IMPORTRANGE(""https://docs.google.com/spreadsheets/d/1C3CXT74ZlgGe6_JY_1olB1XN4rF0dxEuIIF-xsYjHgg/edit?usp=sharing"",""พรบ!BA98"")"),0)</f>
        <v>0</v>
      </c>
      <c r="T94" s="77">
        <v>0</v>
      </c>
      <c r="U94" s="137">
        <f t="shared" ca="1" si="11"/>
        <v>0</v>
      </c>
      <c r="V94" s="80">
        <f ca="1">IFERROR(__xludf.DUMMYFUNCTION("IMPORTRANGE(""https://docs.google.com/spreadsheets/d/1C3CXT74ZlgGe6_JY_1olB1XN4rF0dxEuIIF-xsYjHgg/edit?usp=sharing"",""พรบ!BB98"")"),0)</f>
        <v>0</v>
      </c>
      <c r="W94" s="77">
        <v>0</v>
      </c>
      <c r="X94" s="137">
        <f t="shared" ca="1" si="13"/>
        <v>0</v>
      </c>
    </row>
    <row r="95" spans="1:24" ht="24" hidden="1" customHeight="1">
      <c r="A95" s="105">
        <f t="shared" ref="A95:A105" si="62">+A94+1</f>
        <v>4</v>
      </c>
      <c r="B95" s="106" t="s">
        <v>119</v>
      </c>
      <c r="C95" s="75">
        <f t="shared" ca="1" si="0"/>
        <v>0</v>
      </c>
      <c r="D95" s="174">
        <f t="shared" ca="1" si="60"/>
        <v>0</v>
      </c>
      <c r="E95" s="137">
        <f ca="1">IFERROR(__xludf.DUMMYFUNCTION("IMPORTRANGE(""https://docs.google.com/spreadsheets/d/1C3CXT74ZlgGe6_JY_1olB1XN4rF0dxEuIIF-xsYjHgg/edit?usp=sharing"",""พรบ!AX99"")"),0)</f>
        <v>0</v>
      </c>
      <c r="F95" s="175">
        <f ca="1">IFERROR(__xludf.DUMMYFUNCTION("IMPORTRANGE(""https://docs.google.com/spreadsheets/d/1C3CXT74ZlgGe6_JY_1olB1XN4rF0dxEuIIF-xsYjHgg/edit?usp=sharing"",""พรบ!AY99"")"),0)</f>
        <v>0</v>
      </c>
      <c r="G95" s="77">
        <f ca="1">IFERROR(__xludf.DUMMYFUNCTION("IMPORTRANGE(""https://docs.google.com/spreadsheets/d/1Yj_ptqi66GCucihVvJfMjLAmec39IyEx_6qawtMGysU/edit?usp=sharing"",""สบก!BQ99"")"),0)</f>
        <v>0</v>
      </c>
      <c r="H95" s="77">
        <f ca="1">IFERROR(__xludf.DUMMYFUNCTION("IMPORTRANGE(""https://docs.google.com/spreadsheets/d/1Yj_ptqi66GCucihVvJfMjLAmec39IyEx_6qawtMGysU/edit?usp=shBSing"",""สบก!BS99"")"),0)</f>
        <v>0</v>
      </c>
      <c r="I95" s="77">
        <f t="shared" ca="1" si="3"/>
        <v>0</v>
      </c>
      <c r="J95" s="137">
        <f t="shared" ca="1" si="4"/>
        <v>0</v>
      </c>
      <c r="K95" s="77">
        <f ca="1">IFERROR(__xludf.DUMMYFUNCTION("IMPORTRANGE(""https://docs.google.com/spreadsheets/d/1Yj_ptqi66GCucihVvJfMjLAmec39IyEx_6qawtMGysU/edit?usp=sharing"",""สบก!BT99"")"),0)</f>
        <v>0</v>
      </c>
      <c r="L95" s="137">
        <f t="shared" ca="1" si="5"/>
        <v>0</v>
      </c>
      <c r="M95" s="137">
        <f t="shared" ca="1" si="6"/>
        <v>0</v>
      </c>
      <c r="N95" s="137">
        <f ca="1">IFERROR(__xludf.DUMMYFUNCTION("IMPORTRANGE(""https://docs.google.com/spreadsheets/d/1Yj_ptqi66GCucihVvJfMjLAmec39IyEx_6qawtMGysU/edit?usp=sharing"",""สบก!BU99"")"),0)</f>
        <v>0</v>
      </c>
      <c r="O95" s="137">
        <f t="shared" ca="1" si="7"/>
        <v>0</v>
      </c>
      <c r="P95" s="80">
        <f t="shared" ca="1" si="61"/>
        <v>0</v>
      </c>
      <c r="Q95" s="77">
        <v>0</v>
      </c>
      <c r="R95" s="137">
        <f t="shared" ca="1" si="9"/>
        <v>0</v>
      </c>
      <c r="S95" s="80">
        <f ca="1">IFERROR(__xludf.DUMMYFUNCTION("IMPORTRANGE(""https://docs.google.com/spreadsheets/d/1C3CXT74ZlgGe6_JY_1olB1XN4rF0dxEuIIF-xsYjHgg/edit?usp=sharing"",""พรบ!BA99"")"),0)</f>
        <v>0</v>
      </c>
      <c r="T95" s="77">
        <v>0</v>
      </c>
      <c r="U95" s="137">
        <f t="shared" ca="1" si="11"/>
        <v>0</v>
      </c>
      <c r="V95" s="80">
        <f ca="1">IFERROR(__xludf.DUMMYFUNCTION("IMPORTRANGE(""https://docs.google.com/spreadsheets/d/1C3CXT74ZlgGe6_JY_1olB1XN4rF0dxEuIIF-xsYjHgg/edit?usp=sharing"",""พรบ!BB99"")"),0)</f>
        <v>0</v>
      </c>
      <c r="W95" s="77">
        <v>0</v>
      </c>
      <c r="X95" s="137">
        <f t="shared" ca="1" si="13"/>
        <v>0</v>
      </c>
    </row>
    <row r="96" spans="1:24" ht="24" hidden="1" customHeight="1">
      <c r="A96" s="105">
        <f t="shared" si="62"/>
        <v>5</v>
      </c>
      <c r="B96" s="106" t="s">
        <v>120</v>
      </c>
      <c r="C96" s="75">
        <f t="shared" ca="1" si="0"/>
        <v>0</v>
      </c>
      <c r="D96" s="174">
        <f t="shared" ca="1" si="60"/>
        <v>0</v>
      </c>
      <c r="E96" s="137">
        <f ca="1">IFERROR(__xludf.DUMMYFUNCTION("IMPORTRANGE(""https://docs.google.com/spreadsheets/d/1C3CXT74ZlgGe6_JY_1olB1XN4rF0dxEuIIF-xsYjHgg/edit?usp=sharing"",""พรบ!AX100"")"),0)</f>
        <v>0</v>
      </c>
      <c r="F96" s="175">
        <f ca="1">IFERROR(__xludf.DUMMYFUNCTION("IMPORTRANGE(""https://docs.google.com/spreadsheets/d/1C3CXT74ZlgGe6_JY_1olB1XN4rF0dxEuIIF-xsYjHgg/edit?usp=sharing"",""พรบ!AY100"")"),0)</f>
        <v>0</v>
      </c>
      <c r="G96" s="77">
        <f ca="1">IFERROR(__xludf.DUMMYFUNCTION("IMPORTRANGE(""https://docs.google.com/spreadsheets/d/1Yj_ptqi66GCucihVvJfMjLAmec39IyEx_6qawtMGysU/edit?usp=sharing"",""สบก!BQ100"")"),0)</f>
        <v>0</v>
      </c>
      <c r="H96" s="77">
        <f ca="1">IFERROR(__xludf.DUMMYFUNCTION("IMPORTRANGE(""https://docs.google.com/spreadsheets/d/1Yj_ptqi66GCucihVvJfMjLAmec39IyEx_6qawtMGysU/edit?usp=shBSing"",""สบก!BS100"")"),0)</f>
        <v>0</v>
      </c>
      <c r="I96" s="77">
        <f t="shared" ca="1" si="3"/>
        <v>0</v>
      </c>
      <c r="J96" s="137">
        <f t="shared" ca="1" si="4"/>
        <v>0</v>
      </c>
      <c r="K96" s="77">
        <f ca="1">IFERROR(__xludf.DUMMYFUNCTION("IMPORTRANGE(""https://docs.google.com/spreadsheets/d/1Yj_ptqi66GCucihVvJfMjLAmec39IyEx_6qawtMGysU/edit?usp=sharing"",""สบก!BT100"")"),0)</f>
        <v>0</v>
      </c>
      <c r="L96" s="137">
        <f t="shared" ca="1" si="5"/>
        <v>0</v>
      </c>
      <c r="M96" s="137">
        <f t="shared" ca="1" si="6"/>
        <v>0</v>
      </c>
      <c r="N96" s="137">
        <f ca="1">IFERROR(__xludf.DUMMYFUNCTION("IMPORTRANGE(""https://docs.google.com/spreadsheets/d/1Yj_ptqi66GCucihVvJfMjLAmec39IyEx_6qawtMGysU/edit?usp=sharing"",""สบก!BU100"")"),0)</f>
        <v>0</v>
      </c>
      <c r="O96" s="137">
        <f t="shared" ca="1" si="7"/>
        <v>0</v>
      </c>
      <c r="P96" s="80">
        <f t="shared" ca="1" si="61"/>
        <v>0</v>
      </c>
      <c r="Q96" s="77">
        <v>0</v>
      </c>
      <c r="R96" s="137">
        <f t="shared" ca="1" si="9"/>
        <v>0</v>
      </c>
      <c r="S96" s="80">
        <f ca="1">IFERROR(__xludf.DUMMYFUNCTION("IMPORTRANGE(""https://docs.google.com/spreadsheets/d/1C3CXT74ZlgGe6_JY_1olB1XN4rF0dxEuIIF-xsYjHgg/edit?usp=sharing"",""พรบ!BA100"")"),0)</f>
        <v>0</v>
      </c>
      <c r="T96" s="77">
        <v>0</v>
      </c>
      <c r="U96" s="137">
        <f t="shared" ca="1" si="11"/>
        <v>0</v>
      </c>
      <c r="V96" s="80">
        <f ca="1">IFERROR(__xludf.DUMMYFUNCTION("IMPORTRANGE(""https://docs.google.com/spreadsheets/d/1C3CXT74ZlgGe6_JY_1olB1XN4rF0dxEuIIF-xsYjHgg/edit?usp=sharing"",""พรบ!BB100"")"),0)</f>
        <v>0</v>
      </c>
      <c r="W96" s="77">
        <v>0</v>
      </c>
      <c r="X96" s="137">
        <f t="shared" ca="1" si="13"/>
        <v>0</v>
      </c>
    </row>
    <row r="97" spans="1:24" ht="24" hidden="1" customHeight="1">
      <c r="A97" s="105">
        <f t="shared" si="62"/>
        <v>6</v>
      </c>
      <c r="B97" s="106" t="s">
        <v>121</v>
      </c>
      <c r="C97" s="75">
        <f t="shared" ca="1" si="0"/>
        <v>0</v>
      </c>
      <c r="D97" s="174">
        <f t="shared" ca="1" si="60"/>
        <v>0</v>
      </c>
      <c r="E97" s="137">
        <f ca="1">IFERROR(__xludf.DUMMYFUNCTION("IMPORTRANGE(""https://docs.google.com/spreadsheets/d/1C3CXT74ZlgGe6_JY_1olB1XN4rF0dxEuIIF-xsYjHgg/edit?usp=sharing"",""พรบ!AX101"")"),0)</f>
        <v>0</v>
      </c>
      <c r="F97" s="175">
        <f ca="1">IFERROR(__xludf.DUMMYFUNCTION("IMPORTRANGE(""https://docs.google.com/spreadsheets/d/1C3CXT74ZlgGe6_JY_1olB1XN4rF0dxEuIIF-xsYjHgg/edit?usp=sharing"",""พรบ!AY101"")"),0)</f>
        <v>0</v>
      </c>
      <c r="G97" s="77">
        <f ca="1">IFERROR(__xludf.DUMMYFUNCTION("IMPORTRANGE(""https://docs.google.com/spreadsheets/d/1Yj_ptqi66GCucihVvJfMjLAmec39IyEx_6qawtMGysU/edit?usp=sharing"",""สบก!BQ101"")"),0)</f>
        <v>0</v>
      </c>
      <c r="H97" s="77">
        <f ca="1">IFERROR(__xludf.DUMMYFUNCTION("IMPORTRANGE(""https://docs.google.com/spreadsheets/d/1Yj_ptqi66GCucihVvJfMjLAmec39IyEx_6qawtMGysU/edit?usp=shBSing"",""สบก!BS101"")"),0)</f>
        <v>0</v>
      </c>
      <c r="I97" s="77">
        <f t="shared" ca="1" si="3"/>
        <v>0</v>
      </c>
      <c r="J97" s="137">
        <f t="shared" ca="1" si="4"/>
        <v>0</v>
      </c>
      <c r="K97" s="77">
        <f ca="1">IFERROR(__xludf.DUMMYFUNCTION("IMPORTRANGE(""https://docs.google.com/spreadsheets/d/1Yj_ptqi66GCucihVvJfMjLAmec39IyEx_6qawtMGysU/edit?usp=sharing"",""สบก!BT101"")"),0)</f>
        <v>0</v>
      </c>
      <c r="L97" s="137">
        <f t="shared" ca="1" si="5"/>
        <v>0</v>
      </c>
      <c r="M97" s="137">
        <f t="shared" ca="1" si="6"/>
        <v>0</v>
      </c>
      <c r="N97" s="137">
        <f ca="1">IFERROR(__xludf.DUMMYFUNCTION("IMPORTRANGE(""https://docs.google.com/spreadsheets/d/1Yj_ptqi66GCucihVvJfMjLAmec39IyEx_6qawtMGysU/edit?usp=sharing"",""สบก!BU101"")"),0)</f>
        <v>0</v>
      </c>
      <c r="O97" s="137">
        <f t="shared" ca="1" si="7"/>
        <v>0</v>
      </c>
      <c r="P97" s="80">
        <f t="shared" ca="1" si="61"/>
        <v>0</v>
      </c>
      <c r="Q97" s="77">
        <v>0</v>
      </c>
      <c r="R97" s="137">
        <f t="shared" ca="1" si="9"/>
        <v>0</v>
      </c>
      <c r="S97" s="80">
        <f ca="1">IFERROR(__xludf.DUMMYFUNCTION("IMPORTRANGE(""https://docs.google.com/spreadsheets/d/1C3CXT74ZlgGe6_JY_1olB1XN4rF0dxEuIIF-xsYjHgg/edit?usp=sharing"",""พรบ!BA101"")"),0)</f>
        <v>0</v>
      </c>
      <c r="T97" s="77">
        <v>0</v>
      </c>
      <c r="U97" s="137">
        <f t="shared" ca="1" si="11"/>
        <v>0</v>
      </c>
      <c r="V97" s="80">
        <f ca="1">IFERROR(__xludf.DUMMYFUNCTION("IMPORTRANGE(""https://docs.google.com/spreadsheets/d/1C3CXT74ZlgGe6_JY_1olB1XN4rF0dxEuIIF-xsYjHgg/edit?usp=sharing"",""พรบ!BB101"")"),0)</f>
        <v>0</v>
      </c>
      <c r="W97" s="77">
        <v>0</v>
      </c>
      <c r="X97" s="137">
        <f t="shared" ca="1" si="13"/>
        <v>0</v>
      </c>
    </row>
    <row r="98" spans="1:24" ht="24" hidden="1" customHeight="1">
      <c r="A98" s="105">
        <f t="shared" si="62"/>
        <v>7</v>
      </c>
      <c r="B98" s="106" t="s">
        <v>122</v>
      </c>
      <c r="C98" s="75">
        <f t="shared" ca="1" si="0"/>
        <v>0</v>
      </c>
      <c r="D98" s="174">
        <f t="shared" ca="1" si="60"/>
        <v>0</v>
      </c>
      <c r="E98" s="137">
        <f ca="1">IFERROR(__xludf.DUMMYFUNCTION("IMPORTRANGE(""https://docs.google.com/spreadsheets/d/1C3CXT74ZlgGe6_JY_1olB1XN4rF0dxEuIIF-xsYjHgg/edit?usp=sharing"",""พรบ!AX102"")"),0)</f>
        <v>0</v>
      </c>
      <c r="F98" s="175">
        <f ca="1">IFERROR(__xludf.DUMMYFUNCTION("IMPORTRANGE(""https://docs.google.com/spreadsheets/d/1C3CXT74ZlgGe6_JY_1olB1XN4rF0dxEuIIF-xsYjHgg/edit?usp=sharing"",""พรบ!AY102"")"),0)</f>
        <v>0</v>
      </c>
      <c r="G98" s="77">
        <f ca="1">IFERROR(__xludf.DUMMYFUNCTION("IMPORTRANGE(""https://docs.google.com/spreadsheets/d/1Yj_ptqi66GCucihVvJfMjLAmec39IyEx_6qawtMGysU/edit?usp=sharing"",""สบก!BQ102"")"),0)</f>
        <v>0</v>
      </c>
      <c r="H98" s="77">
        <f ca="1">IFERROR(__xludf.DUMMYFUNCTION("IMPORTRANGE(""https://docs.google.com/spreadsheets/d/1Yj_ptqi66GCucihVvJfMjLAmec39IyEx_6qawtMGysU/edit?usp=shBSing"",""สบก!BS102"")"),0)</f>
        <v>0</v>
      </c>
      <c r="I98" s="77">
        <f t="shared" ca="1" si="3"/>
        <v>0</v>
      </c>
      <c r="J98" s="137">
        <f t="shared" ca="1" si="4"/>
        <v>0</v>
      </c>
      <c r="K98" s="77">
        <f ca="1">IFERROR(__xludf.DUMMYFUNCTION("IMPORTRANGE(""https://docs.google.com/spreadsheets/d/1Yj_ptqi66GCucihVvJfMjLAmec39IyEx_6qawtMGysU/edit?usp=sharing"",""สบก!BT102"")"),0)</f>
        <v>0</v>
      </c>
      <c r="L98" s="137">
        <f t="shared" ca="1" si="5"/>
        <v>0</v>
      </c>
      <c r="M98" s="137">
        <f t="shared" ca="1" si="6"/>
        <v>0</v>
      </c>
      <c r="N98" s="137">
        <f ca="1">IFERROR(__xludf.DUMMYFUNCTION("IMPORTRANGE(""https://docs.google.com/spreadsheets/d/1Yj_ptqi66GCucihVvJfMjLAmec39IyEx_6qawtMGysU/edit?usp=sharing"",""สบก!BU102"")"),0)</f>
        <v>0</v>
      </c>
      <c r="O98" s="137">
        <f t="shared" ca="1" si="7"/>
        <v>0</v>
      </c>
      <c r="P98" s="80">
        <f t="shared" ca="1" si="61"/>
        <v>0</v>
      </c>
      <c r="Q98" s="77">
        <v>0</v>
      </c>
      <c r="R98" s="137">
        <f t="shared" ca="1" si="9"/>
        <v>0</v>
      </c>
      <c r="S98" s="80">
        <f ca="1">IFERROR(__xludf.DUMMYFUNCTION("IMPORTRANGE(""https://docs.google.com/spreadsheets/d/1C3CXT74ZlgGe6_JY_1olB1XN4rF0dxEuIIF-xsYjHgg/edit?usp=sharing"",""พรบ!BA102"")"),0)</f>
        <v>0</v>
      </c>
      <c r="T98" s="77">
        <v>0</v>
      </c>
      <c r="U98" s="137">
        <f t="shared" ca="1" si="11"/>
        <v>0</v>
      </c>
      <c r="V98" s="80">
        <f ca="1">IFERROR(__xludf.DUMMYFUNCTION("IMPORTRANGE(""https://docs.google.com/spreadsheets/d/1C3CXT74ZlgGe6_JY_1olB1XN4rF0dxEuIIF-xsYjHgg/edit?usp=sharing"",""พรบ!BB102"")"),0)</f>
        <v>0</v>
      </c>
      <c r="W98" s="77">
        <v>0</v>
      </c>
      <c r="X98" s="137">
        <f t="shared" ca="1" si="13"/>
        <v>0</v>
      </c>
    </row>
    <row r="99" spans="1:24" ht="24" hidden="1" customHeight="1">
      <c r="A99" s="105">
        <f t="shared" si="62"/>
        <v>8</v>
      </c>
      <c r="B99" s="106" t="s">
        <v>123</v>
      </c>
      <c r="C99" s="75">
        <f t="shared" ca="1" si="0"/>
        <v>0</v>
      </c>
      <c r="D99" s="174">
        <f t="shared" ca="1" si="60"/>
        <v>0</v>
      </c>
      <c r="E99" s="137">
        <f ca="1">IFERROR(__xludf.DUMMYFUNCTION("IMPORTRANGE(""https://docs.google.com/spreadsheets/d/1C3CXT74ZlgGe6_JY_1olB1XN4rF0dxEuIIF-xsYjHgg/edit?usp=sharing"",""พรบ!AX103"")"),0)</f>
        <v>0</v>
      </c>
      <c r="F99" s="175">
        <f ca="1">IFERROR(__xludf.DUMMYFUNCTION("IMPORTRANGE(""https://docs.google.com/spreadsheets/d/1C3CXT74ZlgGe6_JY_1olB1XN4rF0dxEuIIF-xsYjHgg/edit?usp=sharing"",""พรบ!AY103"")"),0)</f>
        <v>0</v>
      </c>
      <c r="G99" s="77">
        <f ca="1">IFERROR(__xludf.DUMMYFUNCTION("IMPORTRANGE(""https://docs.google.com/spreadsheets/d/1Yj_ptqi66GCucihVvJfMjLAmec39IyEx_6qawtMGysU/edit?usp=sharing"",""สบก!BQ103"")"),0)</f>
        <v>0</v>
      </c>
      <c r="H99" s="77">
        <f ca="1">IFERROR(__xludf.DUMMYFUNCTION("IMPORTRANGE(""https://docs.google.com/spreadsheets/d/1Yj_ptqi66GCucihVvJfMjLAmec39IyEx_6qawtMGysU/edit?usp=shBSing"",""สบก!BS103"")"),0)</f>
        <v>0</v>
      </c>
      <c r="I99" s="77">
        <f t="shared" ca="1" si="3"/>
        <v>0</v>
      </c>
      <c r="J99" s="137">
        <f t="shared" ca="1" si="4"/>
        <v>0</v>
      </c>
      <c r="K99" s="77">
        <f ca="1">IFERROR(__xludf.DUMMYFUNCTION("IMPORTRANGE(""https://docs.google.com/spreadsheets/d/1Yj_ptqi66GCucihVvJfMjLAmec39IyEx_6qawtMGysU/edit?usp=sharing"",""สบก!BT103"")"),0)</f>
        <v>0</v>
      </c>
      <c r="L99" s="137">
        <f t="shared" ca="1" si="5"/>
        <v>0</v>
      </c>
      <c r="M99" s="137">
        <f t="shared" ca="1" si="6"/>
        <v>0</v>
      </c>
      <c r="N99" s="137">
        <f ca="1">IFERROR(__xludf.DUMMYFUNCTION("IMPORTRANGE(""https://docs.google.com/spreadsheets/d/1Yj_ptqi66GCucihVvJfMjLAmec39IyEx_6qawtMGysU/edit?usp=sharing"",""สบก!BU103"")"),0)</f>
        <v>0</v>
      </c>
      <c r="O99" s="137">
        <f t="shared" ca="1" si="7"/>
        <v>0</v>
      </c>
      <c r="P99" s="80">
        <f t="shared" ca="1" si="61"/>
        <v>0</v>
      </c>
      <c r="Q99" s="77">
        <v>0</v>
      </c>
      <c r="R99" s="137">
        <f t="shared" ca="1" si="9"/>
        <v>0</v>
      </c>
      <c r="S99" s="80">
        <f ca="1">IFERROR(__xludf.DUMMYFUNCTION("IMPORTRANGE(""https://docs.google.com/spreadsheets/d/1C3CXT74ZlgGe6_JY_1olB1XN4rF0dxEuIIF-xsYjHgg/edit?usp=sharing"",""พรบ!BA103"")"),0)</f>
        <v>0</v>
      </c>
      <c r="T99" s="77">
        <v>0</v>
      </c>
      <c r="U99" s="137">
        <f t="shared" ca="1" si="11"/>
        <v>0</v>
      </c>
      <c r="V99" s="80">
        <f ca="1">IFERROR(__xludf.DUMMYFUNCTION("IMPORTRANGE(""https://docs.google.com/spreadsheets/d/1C3CXT74ZlgGe6_JY_1olB1XN4rF0dxEuIIF-xsYjHgg/edit?usp=sharing"",""พรบ!BB103"")"),0)</f>
        <v>0</v>
      </c>
      <c r="W99" s="77">
        <v>0</v>
      </c>
      <c r="X99" s="137">
        <f t="shared" ca="1" si="13"/>
        <v>0</v>
      </c>
    </row>
    <row r="100" spans="1:24" ht="24" hidden="1" customHeight="1">
      <c r="A100" s="105">
        <f t="shared" si="62"/>
        <v>9</v>
      </c>
      <c r="B100" s="106" t="s">
        <v>124</v>
      </c>
      <c r="C100" s="75">
        <f t="shared" ca="1" si="0"/>
        <v>0</v>
      </c>
      <c r="D100" s="174">
        <f t="shared" ca="1" si="60"/>
        <v>0</v>
      </c>
      <c r="E100" s="137">
        <f ca="1">IFERROR(__xludf.DUMMYFUNCTION("IMPORTRANGE(""https://docs.google.com/spreadsheets/d/1C3CXT74ZlgGe6_JY_1olB1XN4rF0dxEuIIF-xsYjHgg/edit?usp=sharing"",""พรบ!AX104"")"),0)</f>
        <v>0</v>
      </c>
      <c r="F100" s="175">
        <f ca="1">IFERROR(__xludf.DUMMYFUNCTION("IMPORTRANGE(""https://docs.google.com/spreadsheets/d/1C3CXT74ZlgGe6_JY_1olB1XN4rF0dxEuIIF-xsYjHgg/edit?usp=sharing"",""พรบ!AY104"")"),0)</f>
        <v>0</v>
      </c>
      <c r="G100" s="77">
        <f ca="1">IFERROR(__xludf.DUMMYFUNCTION("IMPORTRANGE(""https://docs.google.com/spreadsheets/d/1Yj_ptqi66GCucihVvJfMjLAmec39IyEx_6qawtMGysU/edit?usp=sharing"",""สบก!BQ104"")"),0)</f>
        <v>0</v>
      </c>
      <c r="H100" s="77">
        <f ca="1">IFERROR(__xludf.DUMMYFUNCTION("IMPORTRANGE(""https://docs.google.com/spreadsheets/d/1Yj_ptqi66GCucihVvJfMjLAmec39IyEx_6qawtMGysU/edit?usp=shBSing"",""สบก!BS104"")"),0)</f>
        <v>0</v>
      </c>
      <c r="I100" s="77">
        <f t="shared" ca="1" si="3"/>
        <v>0</v>
      </c>
      <c r="J100" s="137">
        <f t="shared" ca="1" si="4"/>
        <v>0</v>
      </c>
      <c r="K100" s="77">
        <f ca="1">IFERROR(__xludf.DUMMYFUNCTION("IMPORTRANGE(""https://docs.google.com/spreadsheets/d/1Yj_ptqi66GCucihVvJfMjLAmec39IyEx_6qawtMGysU/edit?usp=sharing"",""สบก!BT104"")"),0)</f>
        <v>0</v>
      </c>
      <c r="L100" s="137">
        <f t="shared" ca="1" si="5"/>
        <v>0</v>
      </c>
      <c r="M100" s="137">
        <f t="shared" ca="1" si="6"/>
        <v>0</v>
      </c>
      <c r="N100" s="137">
        <f ca="1">IFERROR(__xludf.DUMMYFUNCTION("IMPORTRANGE(""https://docs.google.com/spreadsheets/d/1Yj_ptqi66GCucihVvJfMjLAmec39IyEx_6qawtMGysU/edit?usp=sharing"",""สบก!BU104"")"),0)</f>
        <v>0</v>
      </c>
      <c r="O100" s="137">
        <f t="shared" ca="1" si="7"/>
        <v>0</v>
      </c>
      <c r="P100" s="80">
        <f t="shared" ca="1" si="61"/>
        <v>0</v>
      </c>
      <c r="Q100" s="77">
        <v>0</v>
      </c>
      <c r="R100" s="137">
        <f t="shared" ca="1" si="9"/>
        <v>0</v>
      </c>
      <c r="S100" s="80">
        <f ca="1">IFERROR(__xludf.DUMMYFUNCTION("IMPORTRANGE(""https://docs.google.com/spreadsheets/d/1C3CXT74ZlgGe6_JY_1olB1XN4rF0dxEuIIF-xsYjHgg/edit?usp=sharing"",""พรบ!BA104"")"),0)</f>
        <v>0</v>
      </c>
      <c r="T100" s="77">
        <v>0</v>
      </c>
      <c r="U100" s="137">
        <f t="shared" ca="1" si="11"/>
        <v>0</v>
      </c>
      <c r="V100" s="80">
        <f ca="1">IFERROR(__xludf.DUMMYFUNCTION("IMPORTRANGE(""https://docs.google.com/spreadsheets/d/1C3CXT74ZlgGe6_JY_1olB1XN4rF0dxEuIIF-xsYjHgg/edit?usp=sharing"",""พรบ!BB104"")"),0)</f>
        <v>0</v>
      </c>
      <c r="W100" s="77">
        <v>0</v>
      </c>
      <c r="X100" s="137">
        <f t="shared" ca="1" si="13"/>
        <v>0</v>
      </c>
    </row>
    <row r="101" spans="1:24" ht="24" hidden="1" customHeight="1">
      <c r="A101" s="105">
        <f t="shared" si="62"/>
        <v>10</v>
      </c>
      <c r="B101" s="106" t="s">
        <v>125</v>
      </c>
      <c r="C101" s="75">
        <f t="shared" ca="1" si="0"/>
        <v>0</v>
      </c>
      <c r="D101" s="174">
        <f t="shared" ca="1" si="60"/>
        <v>0</v>
      </c>
      <c r="E101" s="137">
        <f ca="1">IFERROR(__xludf.DUMMYFUNCTION("IMPORTRANGE(""https://docs.google.com/spreadsheets/d/1C3CXT74ZlgGe6_JY_1olB1XN4rF0dxEuIIF-xsYjHgg/edit?usp=sharing"",""พรบ!AX105"")"),0)</f>
        <v>0</v>
      </c>
      <c r="F101" s="175">
        <f ca="1">IFERROR(__xludf.DUMMYFUNCTION("IMPORTRANGE(""https://docs.google.com/spreadsheets/d/1C3CXT74ZlgGe6_JY_1olB1XN4rF0dxEuIIF-xsYjHgg/edit?usp=sharing"",""พรบ!AY105"")"),0)</f>
        <v>0</v>
      </c>
      <c r="G101" s="77">
        <f ca="1">IFERROR(__xludf.DUMMYFUNCTION("IMPORTRANGE(""https://docs.google.com/spreadsheets/d/1Yj_ptqi66GCucihVvJfMjLAmec39IyEx_6qawtMGysU/edit?usp=sharing"",""สบก!BQ105"")"),0)</f>
        <v>0</v>
      </c>
      <c r="H101" s="77">
        <f ca="1">IFERROR(__xludf.DUMMYFUNCTION("IMPORTRANGE(""https://docs.google.com/spreadsheets/d/1Yj_ptqi66GCucihVvJfMjLAmec39IyEx_6qawtMGysU/edit?usp=shBSing"",""สบก!BS105"")"),0)</f>
        <v>0</v>
      </c>
      <c r="I101" s="77">
        <f t="shared" ca="1" si="3"/>
        <v>0</v>
      </c>
      <c r="J101" s="137">
        <f t="shared" ca="1" si="4"/>
        <v>0</v>
      </c>
      <c r="K101" s="77">
        <f ca="1">IFERROR(__xludf.DUMMYFUNCTION("IMPORTRANGE(""https://docs.google.com/spreadsheets/d/1Yj_ptqi66GCucihVvJfMjLAmec39IyEx_6qawtMGysU/edit?usp=sharing"",""สบก!BT105"")"),0)</f>
        <v>0</v>
      </c>
      <c r="L101" s="137">
        <f t="shared" ca="1" si="5"/>
        <v>0</v>
      </c>
      <c r="M101" s="137">
        <f t="shared" ca="1" si="6"/>
        <v>0</v>
      </c>
      <c r="N101" s="137">
        <f ca="1">IFERROR(__xludf.DUMMYFUNCTION("IMPORTRANGE(""https://docs.google.com/spreadsheets/d/1Yj_ptqi66GCucihVvJfMjLAmec39IyEx_6qawtMGysU/edit?usp=sharing"",""สบก!BU105"")"),0)</f>
        <v>0</v>
      </c>
      <c r="O101" s="137">
        <f t="shared" ca="1" si="7"/>
        <v>0</v>
      </c>
      <c r="P101" s="80">
        <f t="shared" ca="1" si="61"/>
        <v>0</v>
      </c>
      <c r="Q101" s="77">
        <v>0</v>
      </c>
      <c r="R101" s="137">
        <f t="shared" ca="1" si="9"/>
        <v>0</v>
      </c>
      <c r="S101" s="80">
        <f ca="1">IFERROR(__xludf.DUMMYFUNCTION("IMPORTRANGE(""https://docs.google.com/spreadsheets/d/1C3CXT74ZlgGe6_JY_1olB1XN4rF0dxEuIIF-xsYjHgg/edit?usp=sharing"",""พรบ!BA105"")"),0)</f>
        <v>0</v>
      </c>
      <c r="T101" s="77">
        <v>0</v>
      </c>
      <c r="U101" s="137">
        <f t="shared" ca="1" si="11"/>
        <v>0</v>
      </c>
      <c r="V101" s="80">
        <f ca="1">IFERROR(__xludf.DUMMYFUNCTION("IMPORTRANGE(""https://docs.google.com/spreadsheets/d/1C3CXT74ZlgGe6_JY_1olB1XN4rF0dxEuIIF-xsYjHgg/edit?usp=sharing"",""พรบ!BB105"")"),0)</f>
        <v>0</v>
      </c>
      <c r="W101" s="77">
        <v>0</v>
      </c>
      <c r="X101" s="137">
        <f t="shared" ca="1" si="13"/>
        <v>0</v>
      </c>
    </row>
    <row r="102" spans="1:24" ht="24" hidden="1" customHeight="1">
      <c r="A102" s="105">
        <f t="shared" si="62"/>
        <v>11</v>
      </c>
      <c r="B102" s="106" t="s">
        <v>126</v>
      </c>
      <c r="C102" s="75">
        <f t="shared" ca="1" si="0"/>
        <v>0</v>
      </c>
      <c r="D102" s="174">
        <f t="shared" ca="1" si="60"/>
        <v>0</v>
      </c>
      <c r="E102" s="137">
        <f ca="1">IFERROR(__xludf.DUMMYFUNCTION("IMPORTRANGE(""https://docs.google.com/spreadsheets/d/1C3CXT74ZlgGe6_JY_1olB1XN4rF0dxEuIIF-xsYjHgg/edit?usp=sharing"",""พรบ!AX106"")"),0)</f>
        <v>0</v>
      </c>
      <c r="F102" s="175">
        <f ca="1">IFERROR(__xludf.DUMMYFUNCTION("IMPORTRANGE(""https://docs.google.com/spreadsheets/d/1C3CXT74ZlgGe6_JY_1olB1XN4rF0dxEuIIF-xsYjHgg/edit?usp=sharing"",""พรบ!AY106"")"),0)</f>
        <v>0</v>
      </c>
      <c r="G102" s="77">
        <f ca="1">IFERROR(__xludf.DUMMYFUNCTION("IMPORTRANGE(""https://docs.google.com/spreadsheets/d/1Yj_ptqi66GCucihVvJfMjLAmec39IyEx_6qawtMGysU/edit?usp=sharing"",""สบก!BQ106"")"),0)</f>
        <v>0</v>
      </c>
      <c r="H102" s="77">
        <f ca="1">IFERROR(__xludf.DUMMYFUNCTION("IMPORTRANGE(""https://docs.google.com/spreadsheets/d/1Yj_ptqi66GCucihVvJfMjLAmec39IyEx_6qawtMGysU/edit?usp=shBSing"",""สบก!BS106"")"),0)</f>
        <v>0</v>
      </c>
      <c r="I102" s="77">
        <f t="shared" ca="1" si="3"/>
        <v>0</v>
      </c>
      <c r="J102" s="137">
        <f t="shared" ca="1" si="4"/>
        <v>0</v>
      </c>
      <c r="K102" s="77">
        <f ca="1">IFERROR(__xludf.DUMMYFUNCTION("IMPORTRANGE(""https://docs.google.com/spreadsheets/d/1Yj_ptqi66GCucihVvJfMjLAmec39IyEx_6qawtMGysU/edit?usp=sharing"",""สบก!BT106"")"),0)</f>
        <v>0</v>
      </c>
      <c r="L102" s="137">
        <f t="shared" ca="1" si="5"/>
        <v>0</v>
      </c>
      <c r="M102" s="137">
        <f t="shared" ca="1" si="6"/>
        <v>0</v>
      </c>
      <c r="N102" s="137">
        <f ca="1">IFERROR(__xludf.DUMMYFUNCTION("IMPORTRANGE(""https://docs.google.com/spreadsheets/d/1Yj_ptqi66GCucihVvJfMjLAmec39IyEx_6qawtMGysU/edit?usp=sharing"",""สบก!BU106"")"),0)</f>
        <v>0</v>
      </c>
      <c r="O102" s="137">
        <f t="shared" ca="1" si="7"/>
        <v>0</v>
      </c>
      <c r="P102" s="80">
        <f t="shared" ca="1" si="61"/>
        <v>0</v>
      </c>
      <c r="Q102" s="77">
        <v>0</v>
      </c>
      <c r="R102" s="137">
        <f t="shared" ca="1" si="9"/>
        <v>0</v>
      </c>
      <c r="S102" s="80">
        <f ca="1">IFERROR(__xludf.DUMMYFUNCTION("IMPORTRANGE(""https://docs.google.com/spreadsheets/d/1C3CXT74ZlgGe6_JY_1olB1XN4rF0dxEuIIF-xsYjHgg/edit?usp=sharing"",""พรบ!BA106"")"),0)</f>
        <v>0</v>
      </c>
      <c r="T102" s="77">
        <v>0</v>
      </c>
      <c r="U102" s="137">
        <f t="shared" ca="1" si="11"/>
        <v>0</v>
      </c>
      <c r="V102" s="80">
        <f ca="1">IFERROR(__xludf.DUMMYFUNCTION("IMPORTRANGE(""https://docs.google.com/spreadsheets/d/1C3CXT74ZlgGe6_JY_1olB1XN4rF0dxEuIIF-xsYjHgg/edit?usp=sharing"",""พรบ!BB106"")"),0)</f>
        <v>0</v>
      </c>
      <c r="W102" s="77">
        <v>0</v>
      </c>
      <c r="X102" s="137">
        <f t="shared" ca="1" si="13"/>
        <v>0</v>
      </c>
    </row>
    <row r="103" spans="1:24" ht="24" hidden="1" customHeight="1">
      <c r="A103" s="105">
        <f t="shared" si="62"/>
        <v>12</v>
      </c>
      <c r="B103" s="106" t="s">
        <v>127</v>
      </c>
      <c r="C103" s="75">
        <f t="shared" ca="1" si="0"/>
        <v>0</v>
      </c>
      <c r="D103" s="174">
        <f t="shared" ca="1" si="60"/>
        <v>0</v>
      </c>
      <c r="E103" s="137">
        <f ca="1">IFERROR(__xludf.DUMMYFUNCTION("IMPORTRANGE(""https://docs.google.com/spreadsheets/d/1C3CXT74ZlgGe6_JY_1olB1XN4rF0dxEuIIF-xsYjHgg/edit?usp=sharing"",""พรบ!AX107"")"),0)</f>
        <v>0</v>
      </c>
      <c r="F103" s="175">
        <f ca="1">IFERROR(__xludf.DUMMYFUNCTION("IMPORTRANGE(""https://docs.google.com/spreadsheets/d/1C3CXT74ZlgGe6_JY_1olB1XN4rF0dxEuIIF-xsYjHgg/edit?usp=sharing"",""พรบ!AY107"")"),0)</f>
        <v>0</v>
      </c>
      <c r="G103" s="77">
        <f ca="1">IFERROR(__xludf.DUMMYFUNCTION("IMPORTRANGE(""https://docs.google.com/spreadsheets/d/1Yj_ptqi66GCucihVvJfMjLAmec39IyEx_6qawtMGysU/edit?usp=sharing"",""สบก!BQ107"")"),0)</f>
        <v>0</v>
      </c>
      <c r="H103" s="77">
        <f ca="1">IFERROR(__xludf.DUMMYFUNCTION("IMPORTRANGE(""https://docs.google.com/spreadsheets/d/1Yj_ptqi66GCucihVvJfMjLAmec39IyEx_6qawtMGysU/edit?usp=shBSing"",""สบก!BS107"")"),0)</f>
        <v>0</v>
      </c>
      <c r="I103" s="77">
        <f t="shared" ca="1" si="3"/>
        <v>0</v>
      </c>
      <c r="J103" s="137">
        <f t="shared" ca="1" si="4"/>
        <v>0</v>
      </c>
      <c r="K103" s="77">
        <f ca="1">IFERROR(__xludf.DUMMYFUNCTION("IMPORTRANGE(""https://docs.google.com/spreadsheets/d/1Yj_ptqi66GCucihVvJfMjLAmec39IyEx_6qawtMGysU/edit?usp=sharing"",""สบก!BT107"")"),0)</f>
        <v>0</v>
      </c>
      <c r="L103" s="137">
        <f t="shared" ca="1" si="5"/>
        <v>0</v>
      </c>
      <c r="M103" s="137">
        <f t="shared" ca="1" si="6"/>
        <v>0</v>
      </c>
      <c r="N103" s="137">
        <f ca="1">IFERROR(__xludf.DUMMYFUNCTION("IMPORTRANGE(""https://docs.google.com/spreadsheets/d/1Yj_ptqi66GCucihVvJfMjLAmec39IyEx_6qawtMGysU/edit?usp=sharing"",""สบก!BU107"")"),0)</f>
        <v>0</v>
      </c>
      <c r="O103" s="137">
        <f t="shared" ca="1" si="7"/>
        <v>0</v>
      </c>
      <c r="P103" s="80">
        <f t="shared" ca="1" si="61"/>
        <v>0</v>
      </c>
      <c r="Q103" s="77">
        <v>0</v>
      </c>
      <c r="R103" s="137">
        <f t="shared" ca="1" si="9"/>
        <v>0</v>
      </c>
      <c r="S103" s="80">
        <f ca="1">IFERROR(__xludf.DUMMYFUNCTION("IMPORTRANGE(""https://docs.google.com/spreadsheets/d/1C3CXT74ZlgGe6_JY_1olB1XN4rF0dxEuIIF-xsYjHgg/edit?usp=sharing"",""พรบ!BA107"")"),0)</f>
        <v>0</v>
      </c>
      <c r="T103" s="77">
        <v>0</v>
      </c>
      <c r="U103" s="137">
        <f t="shared" ca="1" si="11"/>
        <v>0</v>
      </c>
      <c r="V103" s="80">
        <f ca="1">IFERROR(__xludf.DUMMYFUNCTION("IMPORTRANGE(""https://docs.google.com/spreadsheets/d/1C3CXT74ZlgGe6_JY_1olB1XN4rF0dxEuIIF-xsYjHgg/edit?usp=sharing"",""พรบ!BB107"")"),0)</f>
        <v>0</v>
      </c>
      <c r="W103" s="77">
        <v>0</v>
      </c>
      <c r="X103" s="137">
        <f t="shared" ca="1" si="13"/>
        <v>0</v>
      </c>
    </row>
    <row r="104" spans="1:24" ht="24" hidden="1" customHeight="1">
      <c r="A104" s="105">
        <f t="shared" si="62"/>
        <v>13</v>
      </c>
      <c r="B104" s="106" t="s">
        <v>128</v>
      </c>
      <c r="C104" s="75">
        <f t="shared" ca="1" si="0"/>
        <v>0</v>
      </c>
      <c r="D104" s="174">
        <f t="shared" ca="1" si="60"/>
        <v>0</v>
      </c>
      <c r="E104" s="137">
        <f ca="1">IFERROR(__xludf.DUMMYFUNCTION("IMPORTRANGE(""https://docs.google.com/spreadsheets/d/1C3CXT74ZlgGe6_JY_1olB1XN4rF0dxEuIIF-xsYjHgg/edit?usp=sharing"",""พรบ!AX108"")"),0)</f>
        <v>0</v>
      </c>
      <c r="F104" s="175">
        <f ca="1">IFERROR(__xludf.DUMMYFUNCTION("IMPORTRANGE(""https://docs.google.com/spreadsheets/d/1C3CXT74ZlgGe6_JY_1olB1XN4rF0dxEuIIF-xsYjHgg/edit?usp=sharing"",""พรบ!AY108"")"),0)</f>
        <v>0</v>
      </c>
      <c r="G104" s="77">
        <f ca="1">IFERROR(__xludf.DUMMYFUNCTION("IMPORTRANGE(""https://docs.google.com/spreadsheets/d/1Yj_ptqi66GCucihVvJfMjLAmec39IyEx_6qawtMGysU/edit?usp=sharing"",""สบก!BQ108"")"),0)</f>
        <v>0</v>
      </c>
      <c r="H104" s="77">
        <f ca="1">IFERROR(__xludf.DUMMYFUNCTION("IMPORTRANGE(""https://docs.google.com/spreadsheets/d/1Yj_ptqi66GCucihVvJfMjLAmec39IyEx_6qawtMGysU/edit?usp=shBSing"",""สบก!BS108"")"),0)</f>
        <v>0</v>
      </c>
      <c r="I104" s="77">
        <f t="shared" ca="1" si="3"/>
        <v>0</v>
      </c>
      <c r="J104" s="137">
        <f t="shared" ca="1" si="4"/>
        <v>0</v>
      </c>
      <c r="K104" s="77">
        <f ca="1">IFERROR(__xludf.DUMMYFUNCTION("IMPORTRANGE(""https://docs.google.com/spreadsheets/d/1Yj_ptqi66GCucihVvJfMjLAmec39IyEx_6qawtMGysU/edit?usp=sharing"",""สบก!BT108"")"),0)</f>
        <v>0</v>
      </c>
      <c r="L104" s="137">
        <f t="shared" ca="1" si="5"/>
        <v>0</v>
      </c>
      <c r="M104" s="137">
        <f t="shared" ca="1" si="6"/>
        <v>0</v>
      </c>
      <c r="N104" s="137">
        <f ca="1">IFERROR(__xludf.DUMMYFUNCTION("IMPORTRANGE(""https://docs.google.com/spreadsheets/d/1Yj_ptqi66GCucihVvJfMjLAmec39IyEx_6qawtMGysU/edit?usp=sharing"",""สบก!BU108"")"),0)</f>
        <v>0</v>
      </c>
      <c r="O104" s="137">
        <f t="shared" ca="1" si="7"/>
        <v>0</v>
      </c>
      <c r="P104" s="80">
        <f t="shared" ca="1" si="61"/>
        <v>0</v>
      </c>
      <c r="Q104" s="77">
        <v>0</v>
      </c>
      <c r="R104" s="137">
        <f t="shared" ca="1" si="9"/>
        <v>0</v>
      </c>
      <c r="S104" s="80">
        <f ca="1">IFERROR(__xludf.DUMMYFUNCTION("IMPORTRANGE(""https://docs.google.com/spreadsheets/d/1C3CXT74ZlgGe6_JY_1olB1XN4rF0dxEuIIF-xsYjHgg/edit?usp=sharing"",""พรบ!BA108"")"),0)</f>
        <v>0</v>
      </c>
      <c r="T104" s="77">
        <v>0</v>
      </c>
      <c r="U104" s="137">
        <f t="shared" ca="1" si="11"/>
        <v>0</v>
      </c>
      <c r="V104" s="80">
        <f ca="1">IFERROR(__xludf.DUMMYFUNCTION("IMPORTRANGE(""https://docs.google.com/spreadsheets/d/1C3CXT74ZlgGe6_JY_1olB1XN4rF0dxEuIIF-xsYjHgg/edit?usp=sharing"",""พรบ!BB108"")"),0)</f>
        <v>0</v>
      </c>
      <c r="W104" s="77">
        <v>0</v>
      </c>
      <c r="X104" s="137">
        <f t="shared" ca="1" si="13"/>
        <v>0</v>
      </c>
    </row>
    <row r="105" spans="1:24" ht="24" hidden="1" customHeight="1">
      <c r="A105" s="107">
        <f t="shared" si="62"/>
        <v>14</v>
      </c>
      <c r="B105" s="108" t="s">
        <v>129</v>
      </c>
      <c r="C105" s="86">
        <f t="shared" ca="1" si="0"/>
        <v>48497875</v>
      </c>
      <c r="D105" s="178">
        <f t="shared" ca="1" si="60"/>
        <v>17414175</v>
      </c>
      <c r="E105" s="138">
        <f ca="1">IFERROR(__xludf.DUMMYFUNCTION("IMPORTRANGE(""https://docs.google.com/spreadsheets/d/1C3CXT74ZlgGe6_JY_1olB1XN4rF0dxEuIIF-xsYjHgg/edit?usp=sharing"",""พรบ!AX109"")"),0)</f>
        <v>0</v>
      </c>
      <c r="F105" s="179">
        <f ca="1">IFERROR(__xludf.DUMMYFUNCTION("IMPORTRANGE(""https://docs.google.com/spreadsheets/d/1C3CXT74ZlgGe6_JY_1olB1XN4rF0dxEuIIF-xsYjHgg/edit?usp=sharing"",""พรบ!AY109"")"),17414175)</f>
        <v>17414175</v>
      </c>
      <c r="G105" s="88">
        <f ca="1">IFERROR(__xludf.DUMMYFUNCTION("IMPORTRANGE(""https://docs.google.com/spreadsheets/d/1Yj_ptqi66GCucihVvJfMjLAmec39IyEx_6qawtMGysU/edit?usp=sharing"",""สบก!BQ109"")"),31083700)</f>
        <v>31083700</v>
      </c>
      <c r="H105" s="88">
        <f ca="1">IFERROR(__xludf.DUMMYFUNCTION("IMPORTRANGE(""https://docs.google.com/spreadsheets/d/1Yj_ptqi66GCucihVvJfMjLAmec39IyEx_6qawtMGysU/edit?usp=shBSing"",""สบก!BS109"")"),12718175)</f>
        <v>12718175</v>
      </c>
      <c r="I105" s="88">
        <f t="shared" ca="1" si="3"/>
        <v>35425819.909999996</v>
      </c>
      <c r="J105" s="138">
        <f t="shared" ca="1" si="4"/>
        <v>73.04612812417038</v>
      </c>
      <c r="K105" s="88">
        <f ca="1">IFERROR(__xludf.DUMMYFUNCTION("IMPORTRANGE(""https://docs.google.com/spreadsheets/d/1Yj_ptqi66GCucihVvJfMjLAmec39IyEx_6qawtMGysU/edit?usp=sharing"",""สบก!BT109"")"),5630119.91)</f>
        <v>5630119.9100000001</v>
      </c>
      <c r="L105" s="138">
        <f t="shared" ca="1" si="5"/>
        <v>32.330672627328028</v>
      </c>
      <c r="M105" s="138">
        <f t="shared" ca="1" si="6"/>
        <v>44.268300365421929</v>
      </c>
      <c r="N105" s="138">
        <f ca="1">IFERROR(__xludf.DUMMYFUNCTION("IMPORTRANGE(""https://docs.google.com/spreadsheets/d/1Yj_ptqi66GCucihVvJfMjLAmec39IyEx_6qawtMGysU/edit?usp=sharing"",""สบก!BU109"")"),29795700)</f>
        <v>29795700</v>
      </c>
      <c r="O105" s="138">
        <f t="shared" ca="1" si="7"/>
        <v>95.856349147624002</v>
      </c>
      <c r="P105" s="91">
        <f t="shared" ca="1" si="61"/>
        <v>200</v>
      </c>
      <c r="Q105" s="88">
        <v>0</v>
      </c>
      <c r="R105" s="138">
        <f t="shared" ca="1" si="9"/>
        <v>0</v>
      </c>
      <c r="S105" s="91">
        <f ca="1">IFERROR(__xludf.DUMMYFUNCTION("IMPORTRANGE(""https://docs.google.com/spreadsheets/d/1C3CXT74ZlgGe6_JY_1olB1XN4rF0dxEuIIF-xsYjHgg/edit?usp=sharing"",""พรบ!BA109"")"),0)</f>
        <v>0</v>
      </c>
      <c r="T105" s="88">
        <v>0</v>
      </c>
      <c r="U105" s="138">
        <f t="shared" ca="1" si="11"/>
        <v>0</v>
      </c>
      <c r="V105" s="91">
        <f ca="1">IFERROR(__xludf.DUMMYFUNCTION("IMPORTRANGE(""https://docs.google.com/spreadsheets/d/1C3CXT74ZlgGe6_JY_1olB1XN4rF0dxEuIIF-xsYjHgg/edit?usp=sharing"",""พรบ!BB109"")"),200)</f>
        <v>200</v>
      </c>
      <c r="W105" s="88">
        <v>0</v>
      </c>
      <c r="X105" s="138">
        <f t="shared" ca="1" si="13"/>
        <v>0</v>
      </c>
    </row>
    <row r="106" spans="1:24" ht="21" hidden="1" customHeight="1">
      <c r="A106" s="680" t="s">
        <v>130</v>
      </c>
      <c r="B106" s="652"/>
      <c r="C106" s="44">
        <f t="shared" ca="1" si="0"/>
        <v>11000000</v>
      </c>
      <c r="D106" s="45">
        <f t="shared" ref="D106:O106" ca="1" si="63">+D107+D108+D109+D110+D111+D112+D113+D114+D115+D116+D117+D118+D119</f>
        <v>11000000</v>
      </c>
      <c r="E106" s="45">
        <f t="shared" ca="1" si="63"/>
        <v>11000000</v>
      </c>
      <c r="F106" s="45">
        <f t="shared" ca="1" si="63"/>
        <v>0</v>
      </c>
      <c r="G106" s="45">
        <f t="shared" ca="1" si="63"/>
        <v>0</v>
      </c>
      <c r="H106" s="45">
        <f t="shared" ca="1" si="63"/>
        <v>4337200</v>
      </c>
      <c r="I106" s="45">
        <f t="shared" ca="1" si="63"/>
        <v>0</v>
      </c>
      <c r="J106" s="45">
        <f t="shared" ca="1" si="63"/>
        <v>0</v>
      </c>
      <c r="K106" s="45">
        <f t="shared" ca="1" si="63"/>
        <v>0</v>
      </c>
      <c r="L106" s="45">
        <f t="shared" ca="1" si="63"/>
        <v>0</v>
      </c>
      <c r="M106" s="45">
        <f t="shared" ca="1" si="63"/>
        <v>0</v>
      </c>
      <c r="N106" s="45">
        <f t="shared" ca="1" si="63"/>
        <v>0</v>
      </c>
      <c r="O106" s="45">
        <f t="shared" ca="1" si="63"/>
        <v>0</v>
      </c>
      <c r="P106" s="48">
        <f t="shared" ref="P106:Q106" si="64">+P107+P108+P109+P110+P111+P112+P113+P114</f>
        <v>0</v>
      </c>
      <c r="Q106" s="45">
        <f t="shared" si="64"/>
        <v>0</v>
      </c>
      <c r="R106" s="127">
        <f t="shared" si="9"/>
        <v>0</v>
      </c>
      <c r="S106" s="48">
        <f t="shared" ref="S106:T106" si="65">+S107+S108+S109+S110+S111+S112+S113+S114</f>
        <v>0</v>
      </c>
      <c r="T106" s="45">
        <f t="shared" si="65"/>
        <v>0</v>
      </c>
      <c r="U106" s="127">
        <f t="shared" si="11"/>
        <v>0</v>
      </c>
      <c r="V106" s="48">
        <f t="shared" ref="V106:W106" si="66">+V107+V108+V109+V110+V111+V112+V113+V114</f>
        <v>0</v>
      </c>
      <c r="W106" s="45">
        <f t="shared" si="66"/>
        <v>0</v>
      </c>
      <c r="X106" s="127">
        <f t="shared" si="13"/>
        <v>0</v>
      </c>
    </row>
    <row r="107" spans="1:24" ht="24" hidden="1" customHeight="1">
      <c r="A107" s="102">
        <v>1</v>
      </c>
      <c r="B107" s="109" t="s">
        <v>131</v>
      </c>
      <c r="C107" s="110">
        <f t="shared" ca="1" si="0"/>
        <v>0</v>
      </c>
      <c r="D107" s="66">
        <f t="shared" ref="D107:D119" ca="1" si="67">+E107+F107</f>
        <v>0</v>
      </c>
      <c r="E107" s="67">
        <f ca="1">IFERROR(__xludf.DUMMYFUNCTION("IMPORTRANGE(""https://docs.google.com/spreadsheets/d/1C3CXT74ZlgGe6_JY_1olB1XN4rF0dxEuIIF-xsYjHgg/edit?usp=sharing"",""พรบ!AX111"")"),0)</f>
        <v>0</v>
      </c>
      <c r="F107" s="67">
        <f ca="1">IFERROR(__xludf.DUMMYFUNCTION("IMPORTRANGE(""https://docs.google.com/spreadsheets/d/1C3CXT74ZlgGe6_JY_1olB1XN4rF0dxEuIIF-xsYjHgg/edit?usp=sharing"",""พรบ!AY111"")"),0)</f>
        <v>0</v>
      </c>
      <c r="G107" s="67">
        <f ca="1">IFERROR(__xludf.DUMMYFUNCTION("IMPORTRANGE(""https://docs.google.com/spreadsheets/d/1Yj_ptqi66GCucihVvJfMjLAmec39IyEx_6qawtMGysU/edit?usp=sharing"",""สบก!BQ111"")"),0)</f>
        <v>0</v>
      </c>
      <c r="H107" s="67">
        <f ca="1">IFERROR(__xludf.DUMMYFUNCTION("IMPORTRANGE(""https://docs.google.com/spreadsheets/d/1Yj_ptqi66GCucihVvJfMjLAmec39IyEx_6qawtMGysU/edit?usp=shBSing"",""สบก!BS111"")"),0)</f>
        <v>0</v>
      </c>
      <c r="I107" s="67">
        <f t="shared" ref="I107:I119" ca="1" si="68">K107+N107</f>
        <v>0</v>
      </c>
      <c r="J107" s="70">
        <f t="shared" ref="J107:J119" ca="1" si="69">IF(C107&gt;0,I107*100/C107,0)</f>
        <v>0</v>
      </c>
      <c r="K107" s="67">
        <f ca="1">IFERROR(__xludf.DUMMYFUNCTION("IMPORTRANGE(""https://docs.google.com/spreadsheets/d/1Yj_ptqi66GCucihVvJfMjLAmec39IyEx_6qawtMGysU/edit?usp=sharing"",""สบก!BB111"")"),0)</f>
        <v>0</v>
      </c>
      <c r="L107" s="70">
        <f t="shared" ref="L107:L119" ca="1" si="70">IF(D107&gt;0,K107*100/D107,0)</f>
        <v>0</v>
      </c>
      <c r="M107" s="70">
        <f t="shared" ref="M107:M119" ca="1" si="71">IF(H107&gt;0,K107*100/H107,0)</f>
        <v>0</v>
      </c>
      <c r="N107" s="71">
        <f ca="1">IFERROR(__xludf.DUMMYFUNCTION("IMPORTRANGE(""https://docs.google.com/spreadsheets/d/1Yj_ptqi66GCucihVvJfMjLAmec39IyEx_6qawtMGysU/edit?usp=sharing"",""สบก!BU111"")"),0)</f>
        <v>0</v>
      </c>
      <c r="O107" s="70">
        <f t="shared" ref="O107:O119" ca="1" si="72">IF(G107&gt;0,N107*100/G107,0)</f>
        <v>0</v>
      </c>
      <c r="P107" s="67">
        <v>0</v>
      </c>
      <c r="Q107" s="67">
        <v>0</v>
      </c>
      <c r="R107" s="67">
        <v>0</v>
      </c>
      <c r="S107" s="67">
        <v>0</v>
      </c>
      <c r="T107" s="67">
        <v>0</v>
      </c>
      <c r="U107" s="67">
        <v>0</v>
      </c>
      <c r="V107" s="67">
        <v>0</v>
      </c>
      <c r="W107" s="67">
        <v>0</v>
      </c>
      <c r="X107" s="67">
        <v>0</v>
      </c>
    </row>
    <row r="108" spans="1:24" ht="24" hidden="1" customHeight="1">
      <c r="A108" s="105">
        <v>2</v>
      </c>
      <c r="B108" s="111" t="s">
        <v>132</v>
      </c>
      <c r="C108" s="112">
        <f t="shared" ca="1" si="0"/>
        <v>4000000</v>
      </c>
      <c r="D108" s="76">
        <f t="shared" ca="1" si="67"/>
        <v>4000000</v>
      </c>
      <c r="E108" s="77">
        <f ca="1">IFERROR(__xludf.DUMMYFUNCTION("IMPORTRANGE(""https://docs.google.com/spreadsheets/d/1C3CXT74ZlgGe6_JY_1olB1XN4rF0dxEuIIF-xsYjHgg/edit?usp=sharing"",""พรบ!AX112"")"),4000000)</f>
        <v>4000000</v>
      </c>
      <c r="F108" s="77">
        <f ca="1">IFERROR(__xludf.DUMMYFUNCTION("IMPORTRANGE(""https://docs.google.com/spreadsheets/d/1C3CXT74ZlgGe6_JY_1olB1XN4rF0dxEuIIF-xsYjHgg/edit?usp=sharing"",""พรบ!AY112"")"),0)</f>
        <v>0</v>
      </c>
      <c r="G108" s="77">
        <f ca="1">IFERROR(__xludf.DUMMYFUNCTION("IMPORTRANGE(""https://docs.google.com/spreadsheets/d/1Yj_ptqi66GCucihVvJfMjLAmec39IyEx_6qawtMGysU/edit?usp=sharing"",""สบก!BQ112"")"),0)</f>
        <v>0</v>
      </c>
      <c r="H108" s="77">
        <f ca="1">IFERROR(__xludf.DUMMYFUNCTION("IMPORTRANGE(""https://docs.google.com/spreadsheets/d/1Yj_ptqi66GCucihVvJfMjLAmec39IyEx_6qawtMGysU/edit?usp=shBSing"",""สบก!BS112"")"),0)</f>
        <v>0</v>
      </c>
      <c r="I108" s="77">
        <f t="shared" ca="1" si="68"/>
        <v>0</v>
      </c>
      <c r="J108" s="79">
        <f t="shared" ca="1" si="69"/>
        <v>0</v>
      </c>
      <c r="K108" s="77">
        <f ca="1">IFERROR(__xludf.DUMMYFUNCTION("IMPORTRANGE(""https://docs.google.com/spreadsheets/d/1Yj_ptqi66GCucihVvJfMjLAmec39IyEx_6qawtMGysU/edit?usp=sharing"",""สบก!BB112"")"),0)</f>
        <v>0</v>
      </c>
      <c r="L108" s="79">
        <f t="shared" ca="1" si="70"/>
        <v>0</v>
      </c>
      <c r="M108" s="79">
        <f t="shared" ca="1" si="71"/>
        <v>0</v>
      </c>
      <c r="N108" s="80">
        <f ca="1">IFERROR(__xludf.DUMMYFUNCTION("IMPORTRANGE(""https://docs.google.com/spreadsheets/d/1Yj_ptqi66GCucihVvJfMjLAmec39IyEx_6qawtMGysU/edit?usp=sharing"",""สบก!BU112"")"),0)</f>
        <v>0</v>
      </c>
      <c r="O108" s="79">
        <f t="shared" ca="1" si="72"/>
        <v>0</v>
      </c>
      <c r="P108" s="77">
        <v>0</v>
      </c>
      <c r="Q108" s="77">
        <v>0</v>
      </c>
      <c r="R108" s="77">
        <v>0</v>
      </c>
      <c r="S108" s="77">
        <v>0</v>
      </c>
      <c r="T108" s="77">
        <v>0</v>
      </c>
      <c r="U108" s="77">
        <v>0</v>
      </c>
      <c r="V108" s="77">
        <v>0</v>
      </c>
      <c r="W108" s="77">
        <v>0</v>
      </c>
      <c r="X108" s="77">
        <v>0</v>
      </c>
    </row>
    <row r="109" spans="1:24" ht="24" hidden="1" customHeight="1">
      <c r="A109" s="105">
        <v>3</v>
      </c>
      <c r="B109" s="111" t="s">
        <v>133</v>
      </c>
      <c r="C109" s="112">
        <f t="shared" ca="1" si="0"/>
        <v>0</v>
      </c>
      <c r="D109" s="76">
        <f t="shared" ca="1" si="67"/>
        <v>0</v>
      </c>
      <c r="E109" s="77">
        <f ca="1">IFERROR(__xludf.DUMMYFUNCTION("IMPORTRANGE(""https://docs.google.com/spreadsheets/d/1C3CXT74ZlgGe6_JY_1olB1XN4rF0dxEuIIF-xsYjHgg/edit?usp=sharing"",""พรบ!AX113"")"),0)</f>
        <v>0</v>
      </c>
      <c r="F109" s="77">
        <f ca="1">IFERROR(__xludf.DUMMYFUNCTION("IMPORTRANGE(""https://docs.google.com/spreadsheets/d/1C3CXT74ZlgGe6_JY_1olB1XN4rF0dxEuIIF-xsYjHgg/edit?usp=sharing"",""พรบ!AY113"")"),0)</f>
        <v>0</v>
      </c>
      <c r="G109" s="77">
        <f ca="1">IFERROR(__xludf.DUMMYFUNCTION("IMPORTRANGE(""https://docs.google.com/spreadsheets/d/1Yj_ptqi66GCucihVvJfMjLAmec39IyEx_6qawtMGysU/edit?usp=sharing"",""สบก!BQ113"")"),0)</f>
        <v>0</v>
      </c>
      <c r="H109" s="77">
        <f ca="1">IFERROR(__xludf.DUMMYFUNCTION("IMPORTRANGE(""https://docs.google.com/spreadsheets/d/1Yj_ptqi66GCucihVvJfMjLAmec39IyEx_6qawtMGysU/edit?usp=shBSing"",""สบก!BS113"")"),0)</f>
        <v>0</v>
      </c>
      <c r="I109" s="77">
        <f t="shared" ca="1" si="68"/>
        <v>0</v>
      </c>
      <c r="J109" s="79">
        <f t="shared" ca="1" si="69"/>
        <v>0</v>
      </c>
      <c r="K109" s="77">
        <f ca="1">IFERROR(__xludf.DUMMYFUNCTION("IMPORTRANGE(""https://docs.google.com/spreadsheets/d/1Yj_ptqi66GCucihVvJfMjLAmec39IyEx_6qawtMGysU/edit?usp=sharing"",""สบก!BB113"")"),0)</f>
        <v>0</v>
      </c>
      <c r="L109" s="79">
        <f t="shared" ca="1" si="70"/>
        <v>0</v>
      </c>
      <c r="M109" s="79">
        <f t="shared" ca="1" si="71"/>
        <v>0</v>
      </c>
      <c r="N109" s="80">
        <f ca="1">IFERROR(__xludf.DUMMYFUNCTION("IMPORTRANGE(""https://docs.google.com/spreadsheets/d/1Yj_ptqi66GCucihVvJfMjLAmec39IyEx_6qawtMGysU/edit?usp=sharing"",""สบก!BU113"")"),0)</f>
        <v>0</v>
      </c>
      <c r="O109" s="79">
        <f t="shared" ca="1" si="72"/>
        <v>0</v>
      </c>
      <c r="P109" s="77">
        <v>0</v>
      </c>
      <c r="Q109" s="77">
        <v>0</v>
      </c>
      <c r="R109" s="77">
        <v>0</v>
      </c>
      <c r="S109" s="77">
        <v>0</v>
      </c>
      <c r="T109" s="77">
        <v>0</v>
      </c>
      <c r="U109" s="77">
        <v>0</v>
      </c>
      <c r="V109" s="77">
        <v>0</v>
      </c>
      <c r="W109" s="77">
        <v>0</v>
      </c>
      <c r="X109" s="77">
        <v>0</v>
      </c>
    </row>
    <row r="110" spans="1:24" ht="24" hidden="1" customHeight="1">
      <c r="A110" s="113">
        <v>4</v>
      </c>
      <c r="B110" s="111" t="s">
        <v>134</v>
      </c>
      <c r="C110" s="112">
        <f t="shared" ca="1" si="0"/>
        <v>2000000</v>
      </c>
      <c r="D110" s="76">
        <f t="shared" ca="1" si="67"/>
        <v>2000000</v>
      </c>
      <c r="E110" s="77">
        <f ca="1">IFERROR(__xludf.DUMMYFUNCTION("IMPORTRANGE(""https://docs.google.com/spreadsheets/d/1C3CXT74ZlgGe6_JY_1olB1XN4rF0dxEuIIF-xsYjHgg/edit?usp=sharing"",""พรบ!AX114"")"),2000000)</f>
        <v>2000000</v>
      </c>
      <c r="F110" s="77">
        <f ca="1">IFERROR(__xludf.DUMMYFUNCTION("IMPORTRANGE(""https://docs.google.com/spreadsheets/d/1C3CXT74ZlgGe6_JY_1olB1XN4rF0dxEuIIF-xsYjHgg/edit?usp=sharing"",""พรบ!AY114"")"),0)</f>
        <v>0</v>
      </c>
      <c r="G110" s="77">
        <f ca="1">IFERROR(__xludf.DUMMYFUNCTION("IMPORTRANGE(""https://docs.google.com/spreadsheets/d/1Yj_ptqi66GCucihVvJfMjLAmec39IyEx_6qawtMGysU/edit?usp=sharing"",""สบก!BQ114"")"),0)</f>
        <v>0</v>
      </c>
      <c r="H110" s="77">
        <f ca="1">IFERROR(__xludf.DUMMYFUNCTION("IMPORTRANGE(""https://docs.google.com/spreadsheets/d/1Yj_ptqi66GCucihVvJfMjLAmec39IyEx_6qawtMGysU/edit?usp=shBSing"",""สบก!BS114"")"),1337200)</f>
        <v>1337200</v>
      </c>
      <c r="I110" s="77">
        <f t="shared" ca="1" si="68"/>
        <v>0</v>
      </c>
      <c r="J110" s="79">
        <f t="shared" ca="1" si="69"/>
        <v>0</v>
      </c>
      <c r="K110" s="77">
        <f ca="1">IFERROR(__xludf.DUMMYFUNCTION("IMPORTRANGE(""https://docs.google.com/spreadsheets/d/1Yj_ptqi66GCucihVvJfMjLAmec39IyEx_6qawtMGysU/edit?usp=sharing"",""สบก!BB114"")"),0)</f>
        <v>0</v>
      </c>
      <c r="L110" s="79">
        <f t="shared" ca="1" si="70"/>
        <v>0</v>
      </c>
      <c r="M110" s="79">
        <f t="shared" ca="1" si="71"/>
        <v>0</v>
      </c>
      <c r="N110" s="80">
        <f ca="1">IFERROR(__xludf.DUMMYFUNCTION("IMPORTRANGE(""https://docs.google.com/spreadsheets/d/1Yj_ptqi66GCucihVvJfMjLAmec39IyEx_6qawtMGysU/edit?usp=sharing"",""สบก!BU114"")"),0)</f>
        <v>0</v>
      </c>
      <c r="O110" s="79">
        <f t="shared" ca="1" si="72"/>
        <v>0</v>
      </c>
      <c r="P110" s="77">
        <v>0</v>
      </c>
      <c r="Q110" s="77">
        <v>0</v>
      </c>
      <c r="R110" s="77">
        <v>0</v>
      </c>
      <c r="S110" s="77">
        <v>0</v>
      </c>
      <c r="T110" s="77">
        <v>0</v>
      </c>
      <c r="U110" s="77">
        <v>0</v>
      </c>
      <c r="V110" s="77">
        <v>0</v>
      </c>
      <c r="W110" s="77">
        <v>0</v>
      </c>
      <c r="X110" s="77">
        <v>0</v>
      </c>
    </row>
    <row r="111" spans="1:24" ht="24" hidden="1" customHeight="1">
      <c r="A111" s="113">
        <v>5</v>
      </c>
      <c r="B111" s="111" t="s">
        <v>135</v>
      </c>
      <c r="C111" s="112">
        <f t="shared" ca="1" si="0"/>
        <v>2000000</v>
      </c>
      <c r="D111" s="76">
        <f t="shared" ca="1" si="67"/>
        <v>2000000</v>
      </c>
      <c r="E111" s="77">
        <f ca="1">IFERROR(__xludf.DUMMYFUNCTION("IMPORTRANGE(""https://docs.google.com/spreadsheets/d/1C3CXT74ZlgGe6_JY_1olB1XN4rF0dxEuIIF-xsYjHgg/edit?usp=sharing"",""พรบ!AX115"")"),2000000)</f>
        <v>2000000</v>
      </c>
      <c r="F111" s="77">
        <f ca="1">IFERROR(__xludf.DUMMYFUNCTION("IMPORTRANGE(""https://docs.google.com/spreadsheets/d/1C3CXT74ZlgGe6_JY_1olB1XN4rF0dxEuIIF-xsYjHgg/edit?usp=sharing"",""พรบ!AY115"")"),0)</f>
        <v>0</v>
      </c>
      <c r="G111" s="77">
        <f ca="1">IFERROR(__xludf.DUMMYFUNCTION("IMPORTRANGE(""https://docs.google.com/spreadsheets/d/1Yj_ptqi66GCucihVvJfMjLAmec39IyEx_6qawtMGysU/edit?usp=sharing"",""สบก!BQ115"")"),0)</f>
        <v>0</v>
      </c>
      <c r="H111" s="77">
        <f ca="1">IFERROR(__xludf.DUMMYFUNCTION("IMPORTRANGE(""https://docs.google.com/spreadsheets/d/1Yj_ptqi66GCucihVvJfMjLAmec39IyEx_6qawtMGysU/edit?usp=shBSing"",""สบก!BS115"")"),2000000)</f>
        <v>2000000</v>
      </c>
      <c r="I111" s="77">
        <f t="shared" ca="1" si="68"/>
        <v>0</v>
      </c>
      <c r="J111" s="79">
        <f t="shared" ca="1" si="69"/>
        <v>0</v>
      </c>
      <c r="K111" s="77">
        <f ca="1">IFERROR(__xludf.DUMMYFUNCTION("IMPORTRANGE(""https://docs.google.com/spreadsheets/d/1Yj_ptqi66GCucihVvJfMjLAmec39IyEx_6qawtMGysU/edit?usp=sharing"",""สบก!BB115"")"),0)</f>
        <v>0</v>
      </c>
      <c r="L111" s="79">
        <f t="shared" ca="1" si="70"/>
        <v>0</v>
      </c>
      <c r="M111" s="79">
        <f t="shared" ca="1" si="71"/>
        <v>0</v>
      </c>
      <c r="N111" s="80">
        <f ca="1">IFERROR(__xludf.DUMMYFUNCTION("IMPORTRANGE(""https://docs.google.com/spreadsheets/d/1Yj_ptqi66GCucihVvJfMjLAmec39IyEx_6qawtMGysU/edit?usp=sharing"",""สบก!BU115"")"),0)</f>
        <v>0</v>
      </c>
      <c r="O111" s="79">
        <f t="shared" ca="1" si="72"/>
        <v>0</v>
      </c>
      <c r="P111" s="77">
        <v>0</v>
      </c>
      <c r="Q111" s="77">
        <v>0</v>
      </c>
      <c r="R111" s="77">
        <v>0</v>
      </c>
      <c r="S111" s="77">
        <v>0</v>
      </c>
      <c r="T111" s="77">
        <v>0</v>
      </c>
      <c r="U111" s="77">
        <v>0</v>
      </c>
      <c r="V111" s="77">
        <v>0</v>
      </c>
      <c r="W111" s="77">
        <v>0</v>
      </c>
      <c r="X111" s="77">
        <v>0</v>
      </c>
    </row>
    <row r="112" spans="1:24" ht="24" hidden="1" customHeight="1">
      <c r="A112" s="113">
        <v>6</v>
      </c>
      <c r="B112" s="111" t="s">
        <v>136</v>
      </c>
      <c r="C112" s="112">
        <f t="shared" ca="1" si="0"/>
        <v>3000000</v>
      </c>
      <c r="D112" s="76">
        <f t="shared" ca="1" si="67"/>
        <v>3000000</v>
      </c>
      <c r="E112" s="77">
        <f ca="1">IFERROR(__xludf.DUMMYFUNCTION("IMPORTRANGE(""https://docs.google.com/spreadsheets/d/1C3CXT74ZlgGe6_JY_1olB1XN4rF0dxEuIIF-xsYjHgg/edit?usp=sharing"",""พรบ!AX116"")"),3000000)</f>
        <v>3000000</v>
      </c>
      <c r="F112" s="77">
        <f ca="1">IFERROR(__xludf.DUMMYFUNCTION("IMPORTRANGE(""https://docs.google.com/spreadsheets/d/1C3CXT74ZlgGe6_JY_1olB1XN4rF0dxEuIIF-xsYjHgg/edit?usp=sharing"",""พรบ!AY116"")"),0)</f>
        <v>0</v>
      </c>
      <c r="G112" s="77">
        <f ca="1">IFERROR(__xludf.DUMMYFUNCTION("IMPORTRANGE(""https://docs.google.com/spreadsheets/d/1Yj_ptqi66GCucihVvJfMjLAmec39IyEx_6qawtMGysU/edit?usp=sharing"",""สบก!BQ116"")"),0)</f>
        <v>0</v>
      </c>
      <c r="H112" s="77">
        <f ca="1">IFERROR(__xludf.DUMMYFUNCTION("IMPORTRANGE(""https://docs.google.com/spreadsheets/d/1Yj_ptqi66GCucihVvJfMjLAmec39IyEx_6qawtMGysU/edit?usp=shBSing"",""สบก!BS116"")"),0)</f>
        <v>0</v>
      </c>
      <c r="I112" s="77">
        <f t="shared" ca="1" si="68"/>
        <v>0</v>
      </c>
      <c r="J112" s="79">
        <f t="shared" ca="1" si="69"/>
        <v>0</v>
      </c>
      <c r="K112" s="77">
        <f ca="1">IFERROR(__xludf.DUMMYFUNCTION("IMPORTRANGE(""https://docs.google.com/spreadsheets/d/1Yj_ptqi66GCucihVvJfMjLAmec39IyEx_6qawtMGysU/edit?usp=sharing"",""สบก!BB116"")"),0)</f>
        <v>0</v>
      </c>
      <c r="L112" s="79">
        <f t="shared" ca="1" si="70"/>
        <v>0</v>
      </c>
      <c r="M112" s="79">
        <f t="shared" ca="1" si="71"/>
        <v>0</v>
      </c>
      <c r="N112" s="80">
        <f ca="1">IFERROR(__xludf.DUMMYFUNCTION("IMPORTRANGE(""https://docs.google.com/spreadsheets/d/1Yj_ptqi66GCucihVvJfMjLAmec39IyEx_6qawtMGysU/edit?usp=sharing"",""สบก!BU116"")"),0)</f>
        <v>0</v>
      </c>
      <c r="O112" s="79">
        <f t="shared" ca="1" si="72"/>
        <v>0</v>
      </c>
      <c r="P112" s="77">
        <v>0</v>
      </c>
      <c r="Q112" s="77">
        <v>0</v>
      </c>
      <c r="R112" s="77">
        <v>0</v>
      </c>
      <c r="S112" s="77">
        <v>0</v>
      </c>
      <c r="T112" s="77">
        <v>0</v>
      </c>
      <c r="U112" s="77">
        <v>0</v>
      </c>
      <c r="V112" s="77">
        <v>0</v>
      </c>
      <c r="W112" s="77">
        <v>0</v>
      </c>
      <c r="X112" s="77">
        <v>0</v>
      </c>
    </row>
    <row r="113" spans="1:24" ht="24" hidden="1" customHeight="1">
      <c r="A113" s="113">
        <v>7</v>
      </c>
      <c r="B113" s="111" t="s">
        <v>137</v>
      </c>
      <c r="C113" s="112">
        <f t="shared" ca="1" si="0"/>
        <v>0</v>
      </c>
      <c r="D113" s="76">
        <f t="shared" ca="1" si="67"/>
        <v>0</v>
      </c>
      <c r="E113" s="77">
        <f ca="1">IFERROR(__xludf.DUMMYFUNCTION("IMPORTRANGE(""https://docs.google.com/spreadsheets/d/1C3CXT74ZlgGe6_JY_1olB1XN4rF0dxEuIIF-xsYjHgg/edit?usp=sharing"",""พรบ!AX117"")"),0)</f>
        <v>0</v>
      </c>
      <c r="F113" s="77">
        <f ca="1">IFERROR(__xludf.DUMMYFUNCTION("IMPORTRANGE(""https://docs.google.com/spreadsheets/d/1C3CXT74ZlgGe6_JY_1olB1XN4rF0dxEuIIF-xsYjHgg/edit?usp=sharing"",""พรบ!AY117"")"),0)</f>
        <v>0</v>
      </c>
      <c r="G113" s="77">
        <f ca="1">IFERROR(__xludf.DUMMYFUNCTION("IMPORTRANGE(""https://docs.google.com/spreadsheets/d/1Yj_ptqi66GCucihVvJfMjLAmec39IyEx_6qawtMGysU/edit?usp=sharing"",""สบก!BQ117"")"),0)</f>
        <v>0</v>
      </c>
      <c r="H113" s="77">
        <f ca="1">IFERROR(__xludf.DUMMYFUNCTION("IMPORTRANGE(""https://docs.google.com/spreadsheets/d/1Yj_ptqi66GCucihVvJfMjLAmec39IyEx_6qawtMGysU/edit?usp=shBSing"",""สบก!BS117"")"),0)</f>
        <v>0</v>
      </c>
      <c r="I113" s="77">
        <f t="shared" ca="1" si="68"/>
        <v>0</v>
      </c>
      <c r="J113" s="79">
        <f t="shared" ca="1" si="69"/>
        <v>0</v>
      </c>
      <c r="K113" s="77">
        <f ca="1">IFERROR(__xludf.DUMMYFUNCTION("IMPORTRANGE(""https://docs.google.com/spreadsheets/d/1Yj_ptqi66GCucihVvJfMjLAmec39IyEx_6qawtMGysU/edit?usp=sharing"",""สบก!BB117"")"),0)</f>
        <v>0</v>
      </c>
      <c r="L113" s="79">
        <f t="shared" ca="1" si="70"/>
        <v>0</v>
      </c>
      <c r="M113" s="79">
        <f t="shared" ca="1" si="71"/>
        <v>0</v>
      </c>
      <c r="N113" s="80">
        <f ca="1">IFERROR(__xludf.DUMMYFUNCTION("IMPORTRANGE(""https://docs.google.com/spreadsheets/d/1Yj_ptqi66GCucihVvJfMjLAmec39IyEx_6qawtMGysU/edit?usp=sharing"",""สบก!BU117"")"),0)</f>
        <v>0</v>
      </c>
      <c r="O113" s="79">
        <f t="shared" ca="1" si="72"/>
        <v>0</v>
      </c>
      <c r="P113" s="77">
        <v>0</v>
      </c>
      <c r="Q113" s="77">
        <v>0</v>
      </c>
      <c r="R113" s="77">
        <v>0</v>
      </c>
      <c r="S113" s="77">
        <v>0</v>
      </c>
      <c r="T113" s="77">
        <v>0</v>
      </c>
      <c r="U113" s="77">
        <v>0</v>
      </c>
      <c r="V113" s="77">
        <v>0</v>
      </c>
      <c r="W113" s="77">
        <v>0</v>
      </c>
      <c r="X113" s="77">
        <v>0</v>
      </c>
    </row>
    <row r="114" spans="1:24" ht="24" hidden="1" customHeight="1">
      <c r="A114" s="113">
        <v>8</v>
      </c>
      <c r="B114" s="111" t="s">
        <v>138</v>
      </c>
      <c r="C114" s="112">
        <f t="shared" ca="1" si="0"/>
        <v>0</v>
      </c>
      <c r="D114" s="76">
        <f t="shared" ca="1" si="67"/>
        <v>0</v>
      </c>
      <c r="E114" s="77">
        <f ca="1">IFERROR(__xludf.DUMMYFUNCTION("IMPORTRANGE(""https://docs.google.com/spreadsheets/d/1C3CXT74ZlgGe6_JY_1olB1XN4rF0dxEuIIF-xsYjHgg/edit?usp=sharing"",""พรบ!AX118"")"),0)</f>
        <v>0</v>
      </c>
      <c r="F114" s="77">
        <f ca="1">IFERROR(__xludf.DUMMYFUNCTION("IMPORTRANGE(""https://docs.google.com/spreadsheets/d/1C3CXT74ZlgGe6_JY_1olB1XN4rF0dxEuIIF-xsYjHgg/edit?usp=sharing"",""พรบ!AY118"")"),0)</f>
        <v>0</v>
      </c>
      <c r="G114" s="77">
        <f ca="1">IFERROR(__xludf.DUMMYFUNCTION("IMPORTRANGE(""https://docs.google.com/spreadsheets/d/1Yj_ptqi66GCucihVvJfMjLAmec39IyEx_6qawtMGysU/edit?usp=sharing"",""สบก!BQ118"")"),0)</f>
        <v>0</v>
      </c>
      <c r="H114" s="77">
        <f ca="1">IFERROR(__xludf.DUMMYFUNCTION("IMPORTRANGE(""https://docs.google.com/spreadsheets/d/1Yj_ptqi66GCucihVvJfMjLAmec39IyEx_6qawtMGysU/edit?usp=shBSing"",""สบก!BS118"")"),0)</f>
        <v>0</v>
      </c>
      <c r="I114" s="77">
        <f t="shared" ca="1" si="68"/>
        <v>0</v>
      </c>
      <c r="J114" s="79">
        <f t="shared" ca="1" si="69"/>
        <v>0</v>
      </c>
      <c r="K114" s="77">
        <f ca="1">IFERROR(__xludf.DUMMYFUNCTION("IMPORTRANGE(""https://docs.google.com/spreadsheets/d/1Yj_ptqi66GCucihVvJfMjLAmec39IyEx_6qawtMGysU/edit?usp=sharing"",""สบก!BB118"")"),0)</f>
        <v>0</v>
      </c>
      <c r="L114" s="79">
        <f t="shared" ca="1" si="70"/>
        <v>0</v>
      </c>
      <c r="M114" s="79">
        <f t="shared" ca="1" si="71"/>
        <v>0</v>
      </c>
      <c r="N114" s="80">
        <f ca="1">IFERROR(__xludf.DUMMYFUNCTION("IMPORTRANGE(""https://docs.google.com/spreadsheets/d/1Yj_ptqi66GCucihVvJfMjLAmec39IyEx_6qawtMGysU/edit?usp=sharing"",""สบก!BU118"")"),0)</f>
        <v>0</v>
      </c>
      <c r="O114" s="79">
        <f t="shared" ca="1" si="72"/>
        <v>0</v>
      </c>
      <c r="P114" s="77">
        <v>0</v>
      </c>
      <c r="Q114" s="77">
        <v>0</v>
      </c>
      <c r="R114" s="77">
        <v>0</v>
      </c>
      <c r="S114" s="77">
        <v>0</v>
      </c>
      <c r="T114" s="77">
        <v>0</v>
      </c>
      <c r="U114" s="77">
        <v>0</v>
      </c>
      <c r="V114" s="77">
        <v>0</v>
      </c>
      <c r="W114" s="77">
        <v>0</v>
      </c>
      <c r="X114" s="77">
        <v>0</v>
      </c>
    </row>
    <row r="115" spans="1:24" ht="24" hidden="1" customHeight="1">
      <c r="A115" s="113">
        <v>9</v>
      </c>
      <c r="B115" s="111" t="s">
        <v>139</v>
      </c>
      <c r="C115" s="112">
        <f t="shared" ca="1" si="0"/>
        <v>0</v>
      </c>
      <c r="D115" s="76">
        <f t="shared" ca="1" si="67"/>
        <v>0</v>
      </c>
      <c r="E115" s="77">
        <f ca="1">IFERROR(__xludf.DUMMYFUNCTION("IMPORTRANGE(""https://docs.google.com/spreadsheets/d/1C3CXT74ZlgGe6_JY_1olB1XN4rF0dxEuIIF-xsYjHgg/edit?usp=sharing"",""พรบ!AX119"")"),0)</f>
        <v>0</v>
      </c>
      <c r="F115" s="77">
        <f ca="1">IFERROR(__xludf.DUMMYFUNCTION("IMPORTRANGE(""https://docs.google.com/spreadsheets/d/1C3CXT74ZlgGe6_JY_1olB1XN4rF0dxEuIIF-xsYjHgg/edit?usp=sharing"",""พรบ!AY119"")"),0)</f>
        <v>0</v>
      </c>
      <c r="G115" s="77">
        <f ca="1">IFERROR(__xludf.DUMMYFUNCTION("IMPORTRANGE(""https://docs.google.com/spreadsheets/d/1Yj_ptqi66GCucihVvJfMjLAmec39IyEx_6qawtMGysU/edit?usp=sharing"",""สบก!BQ119"")"),0)</f>
        <v>0</v>
      </c>
      <c r="H115" s="77">
        <f ca="1">IFERROR(__xludf.DUMMYFUNCTION("IMPORTRANGE(""https://docs.google.com/spreadsheets/d/1Yj_ptqi66GCucihVvJfMjLAmec39IyEx_6qawtMGysU/edit?usp=shBSing"",""สบก!BS119"")"),1000000)</f>
        <v>1000000</v>
      </c>
      <c r="I115" s="77">
        <f t="shared" ca="1" si="68"/>
        <v>0</v>
      </c>
      <c r="J115" s="79">
        <f t="shared" ca="1" si="69"/>
        <v>0</v>
      </c>
      <c r="K115" s="77">
        <f ca="1">IFERROR(__xludf.DUMMYFUNCTION("IMPORTRANGE(""https://docs.google.com/spreadsheets/d/1Yj_ptqi66GCucihVvJfMjLAmec39IyEx_6qawtMGysU/edit?usp=sharing"",""สบก!BB119"")"),0)</f>
        <v>0</v>
      </c>
      <c r="L115" s="79">
        <f t="shared" ca="1" si="70"/>
        <v>0</v>
      </c>
      <c r="M115" s="79">
        <f t="shared" ca="1" si="71"/>
        <v>0</v>
      </c>
      <c r="N115" s="80">
        <f ca="1">IFERROR(__xludf.DUMMYFUNCTION("IMPORTRANGE(""https://docs.google.com/spreadsheets/d/1Yj_ptqi66GCucihVvJfMjLAmec39IyEx_6qawtMGysU/edit?usp=sharing"",""สบก!BU119"")"),0)</f>
        <v>0</v>
      </c>
      <c r="O115" s="79">
        <f t="shared" ca="1" si="72"/>
        <v>0</v>
      </c>
      <c r="P115" s="77">
        <v>0</v>
      </c>
      <c r="Q115" s="77">
        <v>0</v>
      </c>
      <c r="R115" s="77">
        <v>0</v>
      </c>
      <c r="S115" s="77">
        <v>0</v>
      </c>
      <c r="T115" s="77">
        <v>0</v>
      </c>
      <c r="U115" s="77">
        <v>0</v>
      </c>
      <c r="V115" s="77">
        <v>0</v>
      </c>
      <c r="W115" s="77">
        <v>0</v>
      </c>
      <c r="X115" s="77">
        <v>0</v>
      </c>
    </row>
    <row r="116" spans="1:24" ht="24" hidden="1" customHeight="1">
      <c r="A116" s="113">
        <v>10</v>
      </c>
      <c r="B116" s="111" t="s">
        <v>140</v>
      </c>
      <c r="C116" s="112">
        <f t="shared" ca="1" si="0"/>
        <v>0</v>
      </c>
      <c r="D116" s="76">
        <f t="shared" ca="1" si="67"/>
        <v>0</v>
      </c>
      <c r="E116" s="77">
        <f ca="1">IFERROR(__xludf.DUMMYFUNCTION("IMPORTRANGE(""https://docs.google.com/spreadsheets/d/1C3CXT74ZlgGe6_JY_1olB1XN4rF0dxEuIIF-xsYjHgg/edit?usp=sharing"",""พรบ!AX120"")"),0)</f>
        <v>0</v>
      </c>
      <c r="F116" s="77">
        <f ca="1">IFERROR(__xludf.DUMMYFUNCTION("IMPORTRANGE(""https://docs.google.com/spreadsheets/d/1C3CXT74ZlgGe6_JY_1olB1XN4rF0dxEuIIF-xsYjHgg/edit?usp=sharing"",""พรบ!AY120"")"),0)</f>
        <v>0</v>
      </c>
      <c r="G116" s="77">
        <f ca="1">IFERROR(__xludf.DUMMYFUNCTION("IMPORTRANGE(""https://docs.google.com/spreadsheets/d/1Yj_ptqi66GCucihVvJfMjLAmec39IyEx_6qawtMGysU/edit?usp=sharing"",""สบก!BQ120"")"),0)</f>
        <v>0</v>
      </c>
      <c r="H116" s="77">
        <f ca="1">IFERROR(__xludf.DUMMYFUNCTION("IMPORTRANGE(""https://docs.google.com/spreadsheets/d/1Yj_ptqi66GCucihVvJfMjLAmec39IyEx_6qawtMGysU/edit?usp=shBSing"",""สบก!BS120"")"),0)</f>
        <v>0</v>
      </c>
      <c r="I116" s="77">
        <f t="shared" ca="1" si="68"/>
        <v>0</v>
      </c>
      <c r="J116" s="79">
        <f t="shared" ca="1" si="69"/>
        <v>0</v>
      </c>
      <c r="K116" s="77">
        <f ca="1">IFERROR(__xludf.DUMMYFUNCTION("IMPORTRANGE(""https://docs.google.com/spreadsheets/d/1Yj_ptqi66GCucihVvJfMjLAmec39IyEx_6qawtMGysU/edit?usp=sharing"",""สบก!BB120"")"),0)</f>
        <v>0</v>
      </c>
      <c r="L116" s="79">
        <f t="shared" ca="1" si="70"/>
        <v>0</v>
      </c>
      <c r="M116" s="79">
        <f t="shared" ca="1" si="71"/>
        <v>0</v>
      </c>
      <c r="N116" s="80">
        <f ca="1">IFERROR(__xludf.DUMMYFUNCTION("IMPORTRANGE(""https://docs.google.com/spreadsheets/d/1Yj_ptqi66GCucihVvJfMjLAmec39IyEx_6qawtMGysU/edit?usp=sharing"",""สบก!BU120"")"),0)</f>
        <v>0</v>
      </c>
      <c r="O116" s="79">
        <f t="shared" ca="1" si="72"/>
        <v>0</v>
      </c>
      <c r="P116" s="77">
        <v>0</v>
      </c>
      <c r="Q116" s="77">
        <v>0</v>
      </c>
      <c r="R116" s="77">
        <v>0</v>
      </c>
      <c r="S116" s="77">
        <v>0</v>
      </c>
      <c r="T116" s="77">
        <v>0</v>
      </c>
      <c r="U116" s="77">
        <v>0</v>
      </c>
      <c r="V116" s="77">
        <v>0</v>
      </c>
      <c r="W116" s="77">
        <v>0</v>
      </c>
      <c r="X116" s="77">
        <v>0</v>
      </c>
    </row>
    <row r="117" spans="1:24" ht="24" hidden="1" customHeight="1">
      <c r="A117" s="113">
        <v>11</v>
      </c>
      <c r="B117" s="111" t="s">
        <v>141</v>
      </c>
      <c r="C117" s="112">
        <f t="shared" ca="1" si="0"/>
        <v>0</v>
      </c>
      <c r="D117" s="76">
        <f t="shared" ca="1" si="67"/>
        <v>0</v>
      </c>
      <c r="E117" s="77">
        <f ca="1">IFERROR(__xludf.DUMMYFUNCTION("IMPORTRANGE(""https://docs.google.com/spreadsheets/d/1C3CXT74ZlgGe6_JY_1olB1XN4rF0dxEuIIF-xsYjHgg/edit?usp=sharing"",""พรบ!AX121"")"),0)</f>
        <v>0</v>
      </c>
      <c r="F117" s="77">
        <f ca="1">IFERROR(__xludf.DUMMYFUNCTION("IMPORTRANGE(""https://docs.google.com/spreadsheets/d/1C3CXT74ZlgGe6_JY_1olB1XN4rF0dxEuIIF-xsYjHgg/edit?usp=sharing"",""พรบ!AY121"")"),0)</f>
        <v>0</v>
      </c>
      <c r="G117" s="77">
        <f ca="1">IFERROR(__xludf.DUMMYFUNCTION("IMPORTRANGE(""https://docs.google.com/spreadsheets/d/1Yj_ptqi66GCucihVvJfMjLAmec39IyEx_6qawtMGysU/edit?usp=sharing"",""สบก!BQ121"")"),0)</f>
        <v>0</v>
      </c>
      <c r="H117" s="77">
        <f ca="1">IFERROR(__xludf.DUMMYFUNCTION("IMPORTRANGE(""https://docs.google.com/spreadsheets/d/1Yj_ptqi66GCucihVvJfMjLAmec39IyEx_6qawtMGysU/edit?usp=shBSing"",""สบก!BS121"")"),0)</f>
        <v>0</v>
      </c>
      <c r="I117" s="77">
        <f t="shared" ca="1" si="68"/>
        <v>0</v>
      </c>
      <c r="J117" s="79">
        <f t="shared" ca="1" si="69"/>
        <v>0</v>
      </c>
      <c r="K117" s="77">
        <f ca="1">IFERROR(__xludf.DUMMYFUNCTION("IMPORTRANGE(""https://docs.google.com/spreadsheets/d/1Yj_ptqi66GCucihVvJfMjLAmec39IyEx_6qawtMGysU/edit?usp=sharing"",""สบก!BB121"")"),0)</f>
        <v>0</v>
      </c>
      <c r="L117" s="79">
        <f t="shared" ca="1" si="70"/>
        <v>0</v>
      </c>
      <c r="M117" s="79">
        <f t="shared" ca="1" si="71"/>
        <v>0</v>
      </c>
      <c r="N117" s="80">
        <f ca="1">IFERROR(__xludf.DUMMYFUNCTION("IMPORTRANGE(""https://docs.google.com/spreadsheets/d/1Yj_ptqi66GCucihVvJfMjLAmec39IyEx_6qawtMGysU/edit?usp=sharing"",""สบก!BU121"")"),0)</f>
        <v>0</v>
      </c>
      <c r="O117" s="79">
        <f t="shared" ca="1" si="72"/>
        <v>0</v>
      </c>
      <c r="P117" s="77">
        <v>0</v>
      </c>
      <c r="Q117" s="77">
        <v>0</v>
      </c>
      <c r="R117" s="77">
        <v>0</v>
      </c>
      <c r="S117" s="77">
        <v>0</v>
      </c>
      <c r="T117" s="77">
        <v>0</v>
      </c>
      <c r="U117" s="77">
        <v>0</v>
      </c>
      <c r="V117" s="77">
        <v>0</v>
      </c>
      <c r="W117" s="77">
        <v>0</v>
      </c>
      <c r="X117" s="77">
        <v>0</v>
      </c>
    </row>
    <row r="118" spans="1:24" ht="24" hidden="1" customHeight="1">
      <c r="A118" s="113">
        <v>12</v>
      </c>
      <c r="B118" s="111" t="s">
        <v>142</v>
      </c>
      <c r="C118" s="112">
        <f t="shared" ca="1" si="0"/>
        <v>0</v>
      </c>
      <c r="D118" s="76">
        <f t="shared" ca="1" si="67"/>
        <v>0</v>
      </c>
      <c r="E118" s="77">
        <f ca="1">IFERROR(__xludf.DUMMYFUNCTION("IMPORTRANGE(""https://docs.google.com/spreadsheets/d/1C3CXT74ZlgGe6_JY_1olB1XN4rF0dxEuIIF-xsYjHgg/edit?usp=sharing"",""พรบ!AX122"")"),0)</f>
        <v>0</v>
      </c>
      <c r="F118" s="77">
        <f ca="1">IFERROR(__xludf.DUMMYFUNCTION("IMPORTRANGE(""https://docs.google.com/spreadsheets/d/1C3CXT74ZlgGe6_JY_1olB1XN4rF0dxEuIIF-xsYjHgg/edit?usp=sharing"",""พรบ!AY122"")"),0)</f>
        <v>0</v>
      </c>
      <c r="G118" s="77">
        <f ca="1">IFERROR(__xludf.DUMMYFUNCTION("IMPORTRANGE(""https://docs.google.com/spreadsheets/d/1Yj_ptqi66GCucihVvJfMjLAmec39IyEx_6qawtMGysU/edit?usp=sharing"",""สบก!BQ122"")"),0)</f>
        <v>0</v>
      </c>
      <c r="H118" s="77">
        <f ca="1">IFERROR(__xludf.DUMMYFUNCTION("IMPORTRANGE(""https://docs.google.com/spreadsheets/d/1Yj_ptqi66GCucihVvJfMjLAmec39IyEx_6qawtMGysU/edit?usp=shBSing"",""สบก!BS122"")"),0)</f>
        <v>0</v>
      </c>
      <c r="I118" s="77">
        <f t="shared" ca="1" si="68"/>
        <v>0</v>
      </c>
      <c r="J118" s="79">
        <f t="shared" ca="1" si="69"/>
        <v>0</v>
      </c>
      <c r="K118" s="77">
        <f ca="1">IFERROR(__xludf.DUMMYFUNCTION("IMPORTRANGE(""https://docs.google.com/spreadsheets/d/1Yj_ptqi66GCucihVvJfMjLAmec39IyEx_6qawtMGysU/edit?usp=sharing"",""สบก!BB122"")"),0)</f>
        <v>0</v>
      </c>
      <c r="L118" s="79">
        <f t="shared" ca="1" si="70"/>
        <v>0</v>
      </c>
      <c r="M118" s="79">
        <f t="shared" ca="1" si="71"/>
        <v>0</v>
      </c>
      <c r="N118" s="80">
        <f ca="1">IFERROR(__xludf.DUMMYFUNCTION("IMPORTRANGE(""https://docs.google.com/spreadsheets/d/1Yj_ptqi66GCucihVvJfMjLAmec39IyEx_6qawtMGysU/edit?usp=sharing"",""สบก!BU122"")"),0)</f>
        <v>0</v>
      </c>
      <c r="O118" s="79">
        <f t="shared" ca="1" si="72"/>
        <v>0</v>
      </c>
      <c r="P118" s="77">
        <v>0</v>
      </c>
      <c r="Q118" s="77">
        <v>0</v>
      </c>
      <c r="R118" s="77">
        <v>0</v>
      </c>
      <c r="S118" s="77">
        <v>0</v>
      </c>
      <c r="T118" s="77">
        <v>0</v>
      </c>
      <c r="U118" s="77">
        <v>0</v>
      </c>
      <c r="V118" s="77">
        <v>0</v>
      </c>
      <c r="W118" s="77">
        <v>0</v>
      </c>
      <c r="X118" s="77">
        <v>0</v>
      </c>
    </row>
    <row r="119" spans="1:24" ht="24" hidden="1" customHeight="1">
      <c r="A119" s="113">
        <v>13</v>
      </c>
      <c r="B119" s="111" t="s">
        <v>143</v>
      </c>
      <c r="C119" s="112">
        <f t="shared" ca="1" si="0"/>
        <v>0</v>
      </c>
      <c r="D119" s="76">
        <f t="shared" ca="1" si="67"/>
        <v>0</v>
      </c>
      <c r="E119" s="77">
        <f ca="1">IFERROR(__xludf.DUMMYFUNCTION("IMPORTRANGE(""https://docs.google.com/spreadsheets/d/1C3CXT74ZlgGe6_JY_1olB1XN4rF0dxEuIIF-xsYjHgg/edit?usp=sharing"",""พรบ!AX123"")"),0)</f>
        <v>0</v>
      </c>
      <c r="F119" s="77">
        <f ca="1">IFERROR(__xludf.DUMMYFUNCTION("IMPORTRANGE(""https://docs.google.com/spreadsheets/d/1C3CXT74ZlgGe6_JY_1olB1XN4rF0dxEuIIF-xsYjHgg/edit?usp=sharing"",""พรบ!AY123"")"),0)</f>
        <v>0</v>
      </c>
      <c r="G119" s="77">
        <f ca="1">IFERROR(__xludf.DUMMYFUNCTION("IMPORTRANGE(""https://docs.google.com/spreadsheets/d/1Yj_ptqi66GCucihVvJfMjLAmec39IyEx_6qawtMGysU/edit?usp=sharing"",""สบก!BQ123"")"),0)</f>
        <v>0</v>
      </c>
      <c r="H119" s="77">
        <f ca="1">IFERROR(__xludf.DUMMYFUNCTION("IMPORTRANGE(""https://docs.google.com/spreadsheets/d/1Yj_ptqi66GCucihVvJfMjLAmec39IyEx_6qawtMGysU/edit?usp=shBSing"",""สบก!BS123"")"),0)</f>
        <v>0</v>
      </c>
      <c r="I119" s="77">
        <f t="shared" ca="1" si="68"/>
        <v>0</v>
      </c>
      <c r="J119" s="79">
        <f t="shared" ca="1" si="69"/>
        <v>0</v>
      </c>
      <c r="K119" s="77">
        <f ca="1">IFERROR(__xludf.DUMMYFUNCTION("IMPORTRANGE(""https://docs.google.com/spreadsheets/d/1Yj_ptqi66GCucihVvJfMjLAmec39IyEx_6qawtMGysU/edit?usp=sharing"",""สบก!BB123"")"),0)</f>
        <v>0</v>
      </c>
      <c r="L119" s="79">
        <f t="shared" ca="1" si="70"/>
        <v>0</v>
      </c>
      <c r="M119" s="79">
        <f t="shared" ca="1" si="71"/>
        <v>0</v>
      </c>
      <c r="N119" s="80">
        <f ca="1">IFERROR(__xludf.DUMMYFUNCTION("IMPORTRANGE(""https://docs.google.com/spreadsheets/d/1Yj_ptqi66GCucihVvJfMjLAmec39IyEx_6qawtMGysU/edit?usp=sharing"",""สบก!BU123"")"),0)</f>
        <v>0</v>
      </c>
      <c r="O119" s="79">
        <f t="shared" ca="1" si="72"/>
        <v>0</v>
      </c>
      <c r="P119" s="77">
        <v>0</v>
      </c>
      <c r="Q119" s="77">
        <v>0</v>
      </c>
      <c r="R119" s="77">
        <v>0</v>
      </c>
      <c r="S119" s="77">
        <v>0</v>
      </c>
      <c r="T119" s="77">
        <v>0</v>
      </c>
      <c r="U119" s="77">
        <v>0</v>
      </c>
      <c r="V119" s="77">
        <v>0</v>
      </c>
      <c r="W119" s="77">
        <v>0</v>
      </c>
      <c r="X119" s="77">
        <v>0</v>
      </c>
    </row>
    <row r="120" spans="1:24" ht="24" customHeight="1">
      <c r="A120" s="2"/>
      <c r="B120" s="2"/>
      <c r="C120" s="161"/>
      <c r="D120" s="161"/>
      <c r="E120" s="2"/>
      <c r="F120" s="161"/>
      <c r="G120" s="161"/>
      <c r="H120" s="161"/>
      <c r="I120" s="161"/>
      <c r="J120" s="161"/>
      <c r="K120" s="2"/>
      <c r="L120" s="117"/>
      <c r="M120" s="117"/>
      <c r="N120" s="117"/>
      <c r="O120" s="117"/>
      <c r="P120" s="162"/>
      <c r="Q120" s="162"/>
      <c r="R120" s="162"/>
      <c r="S120" s="162"/>
      <c r="T120" s="162"/>
      <c r="U120" s="162"/>
      <c r="V120" s="162"/>
      <c r="W120" s="162"/>
      <c r="X120" s="162"/>
    </row>
    <row r="121" spans="1:24" ht="24" customHeight="1">
      <c r="A121" s="2"/>
      <c r="B121" s="2"/>
      <c r="C121" s="161"/>
      <c r="D121" s="161"/>
      <c r="E121" s="2"/>
      <c r="F121" s="161"/>
      <c r="G121" s="161"/>
      <c r="H121" s="161"/>
      <c r="I121" s="161"/>
      <c r="J121" s="161"/>
      <c r="K121" s="2"/>
      <c r="L121" s="117"/>
      <c r="M121" s="117"/>
      <c r="N121" s="117"/>
      <c r="O121" s="117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1:24" ht="24" customHeight="1">
      <c r="A122" s="2"/>
      <c r="B122" s="2"/>
      <c r="C122" s="161"/>
      <c r="D122" s="161"/>
      <c r="E122" s="2"/>
      <c r="F122" s="161"/>
      <c r="G122" s="161"/>
      <c r="H122" s="161"/>
      <c r="I122" s="161"/>
      <c r="J122" s="161"/>
      <c r="K122" s="2"/>
      <c r="L122" s="117"/>
      <c r="M122" s="117"/>
      <c r="N122" s="117"/>
      <c r="O122" s="117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1:24" ht="24" customHeight="1">
      <c r="A123" s="2"/>
      <c r="B123" s="2"/>
      <c r="C123" s="161"/>
      <c r="D123" s="161"/>
      <c r="E123" s="2"/>
      <c r="F123" s="161"/>
      <c r="G123" s="161"/>
      <c r="H123" s="161"/>
      <c r="I123" s="161"/>
      <c r="J123" s="161"/>
      <c r="K123" s="2"/>
      <c r="L123" s="117"/>
      <c r="M123" s="117"/>
      <c r="N123" s="117"/>
      <c r="O123" s="117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1:24" ht="24" customHeight="1">
      <c r="A124" s="2"/>
      <c r="B124" s="2"/>
      <c r="C124" s="161"/>
      <c r="D124" s="161"/>
      <c r="E124" s="2"/>
      <c r="F124" s="161"/>
      <c r="G124" s="161"/>
      <c r="H124" s="161"/>
      <c r="I124" s="161"/>
      <c r="J124" s="161"/>
      <c r="K124" s="2"/>
      <c r="L124" s="117"/>
      <c r="M124" s="117"/>
      <c r="N124" s="117"/>
      <c r="O124" s="117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1:24" ht="24" customHeight="1">
      <c r="A125" s="2"/>
      <c r="B125" s="2"/>
      <c r="C125" s="161"/>
      <c r="D125" s="161"/>
      <c r="E125" s="2"/>
      <c r="F125" s="161"/>
      <c r="G125" s="161"/>
      <c r="H125" s="161"/>
      <c r="I125" s="161"/>
      <c r="J125" s="161"/>
      <c r="K125" s="2"/>
      <c r="L125" s="117"/>
      <c r="M125" s="117"/>
      <c r="N125" s="117"/>
      <c r="O125" s="117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1:24" ht="24" customHeight="1">
      <c r="A126" s="2"/>
      <c r="B126" s="2"/>
      <c r="C126" s="161"/>
      <c r="D126" s="161"/>
      <c r="E126" s="2"/>
      <c r="F126" s="161"/>
      <c r="G126" s="161"/>
      <c r="H126" s="161"/>
      <c r="I126" s="161"/>
      <c r="J126" s="161"/>
      <c r="K126" s="2"/>
      <c r="L126" s="117"/>
      <c r="M126" s="117"/>
      <c r="N126" s="117"/>
      <c r="O126" s="117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1:24" ht="24" customHeight="1">
      <c r="A127" s="2"/>
      <c r="B127" s="2"/>
      <c r="C127" s="161"/>
      <c r="D127" s="161"/>
      <c r="E127" s="2"/>
      <c r="F127" s="161"/>
      <c r="G127" s="161"/>
      <c r="H127" s="161"/>
      <c r="I127" s="161"/>
      <c r="J127" s="161"/>
      <c r="K127" s="2"/>
      <c r="L127" s="117"/>
      <c r="M127" s="117"/>
      <c r="N127" s="117"/>
      <c r="O127" s="117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1:24" ht="24" customHeight="1">
      <c r="A128" s="2"/>
      <c r="B128" s="2"/>
      <c r="C128" s="161"/>
      <c r="D128" s="161"/>
      <c r="E128" s="2"/>
      <c r="F128" s="161"/>
      <c r="G128" s="161"/>
      <c r="H128" s="161"/>
      <c r="I128" s="161"/>
      <c r="J128" s="161"/>
      <c r="K128" s="2"/>
      <c r="L128" s="117"/>
      <c r="M128" s="117"/>
      <c r="N128" s="117"/>
      <c r="O128" s="117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1:24" ht="24" customHeight="1">
      <c r="A129" s="2"/>
      <c r="B129" s="2"/>
      <c r="C129" s="161"/>
      <c r="D129" s="161"/>
      <c r="E129" s="2"/>
      <c r="F129" s="161"/>
      <c r="G129" s="161"/>
      <c r="H129" s="161"/>
      <c r="I129" s="161"/>
      <c r="J129" s="161"/>
      <c r="K129" s="2"/>
      <c r="L129" s="117"/>
      <c r="M129" s="117"/>
      <c r="N129" s="117"/>
      <c r="O129" s="117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1:24" ht="24" customHeight="1">
      <c r="A130" s="2"/>
      <c r="B130" s="2"/>
      <c r="C130" s="161"/>
      <c r="D130" s="161"/>
      <c r="E130" s="2"/>
      <c r="F130" s="161"/>
      <c r="G130" s="161"/>
      <c r="H130" s="161"/>
      <c r="I130" s="161"/>
      <c r="J130" s="161"/>
      <c r="K130" s="2"/>
      <c r="L130" s="117"/>
      <c r="M130" s="117"/>
      <c r="N130" s="117"/>
      <c r="O130" s="117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1:24" ht="24" customHeight="1">
      <c r="A131" s="2"/>
      <c r="B131" s="2"/>
      <c r="C131" s="161"/>
      <c r="D131" s="161"/>
      <c r="E131" s="2"/>
      <c r="F131" s="161"/>
      <c r="G131" s="161"/>
      <c r="H131" s="161"/>
      <c r="I131" s="161"/>
      <c r="J131" s="161"/>
      <c r="K131" s="2"/>
      <c r="L131" s="117"/>
      <c r="M131" s="117"/>
      <c r="N131" s="117"/>
      <c r="O131" s="117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1:24" ht="24" customHeight="1">
      <c r="A132" s="2"/>
      <c r="B132" s="2"/>
      <c r="C132" s="161"/>
      <c r="D132" s="161"/>
      <c r="E132" s="2"/>
      <c r="F132" s="161"/>
      <c r="G132" s="161"/>
      <c r="H132" s="161"/>
      <c r="I132" s="161"/>
      <c r="J132" s="161"/>
      <c r="K132" s="2"/>
      <c r="L132" s="117"/>
      <c r="M132" s="117"/>
      <c r="N132" s="117"/>
      <c r="O132" s="117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1:24" ht="24" customHeight="1">
      <c r="A133" s="2"/>
      <c r="B133" s="2"/>
      <c r="C133" s="161"/>
      <c r="D133" s="161"/>
      <c r="E133" s="2"/>
      <c r="F133" s="161"/>
      <c r="G133" s="161"/>
      <c r="H133" s="161"/>
      <c r="I133" s="161"/>
      <c r="J133" s="161"/>
      <c r="K133" s="2"/>
      <c r="L133" s="117"/>
      <c r="M133" s="117"/>
      <c r="N133" s="117"/>
      <c r="O133" s="117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1:24" ht="24" customHeight="1">
      <c r="A134" s="2"/>
      <c r="B134" s="2"/>
      <c r="C134" s="161"/>
      <c r="D134" s="161"/>
      <c r="E134" s="2"/>
      <c r="F134" s="161"/>
      <c r="G134" s="161"/>
      <c r="H134" s="161"/>
      <c r="I134" s="161"/>
      <c r="J134" s="161"/>
      <c r="K134" s="2"/>
      <c r="L134" s="117"/>
      <c r="M134" s="117"/>
      <c r="N134" s="117"/>
      <c r="O134" s="117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1:24" ht="24" customHeight="1">
      <c r="A135" s="2"/>
      <c r="B135" s="2"/>
      <c r="C135" s="161"/>
      <c r="D135" s="161"/>
      <c r="E135" s="2"/>
      <c r="F135" s="161"/>
      <c r="G135" s="161"/>
      <c r="H135" s="161"/>
      <c r="I135" s="161"/>
      <c r="J135" s="161"/>
      <c r="K135" s="2"/>
      <c r="L135" s="117"/>
      <c r="M135" s="117"/>
      <c r="N135" s="117"/>
      <c r="O135" s="117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1:24" ht="24" customHeight="1">
      <c r="A136" s="2"/>
      <c r="B136" s="2"/>
      <c r="C136" s="161"/>
      <c r="D136" s="161"/>
      <c r="E136" s="2"/>
      <c r="F136" s="161"/>
      <c r="G136" s="161"/>
      <c r="H136" s="161"/>
      <c r="I136" s="161"/>
      <c r="J136" s="161"/>
      <c r="K136" s="2"/>
      <c r="L136" s="117"/>
      <c r="M136" s="117"/>
      <c r="N136" s="117"/>
      <c r="O136" s="117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1:24" ht="24" customHeight="1">
      <c r="A137" s="2"/>
      <c r="B137" s="2"/>
      <c r="C137" s="161"/>
      <c r="D137" s="161"/>
      <c r="E137" s="2"/>
      <c r="F137" s="161"/>
      <c r="G137" s="161"/>
      <c r="H137" s="161"/>
      <c r="I137" s="161"/>
      <c r="J137" s="161"/>
      <c r="K137" s="2"/>
      <c r="L137" s="117"/>
      <c r="M137" s="117"/>
      <c r="N137" s="117"/>
      <c r="O137" s="117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1:24" ht="24" customHeight="1">
      <c r="A138" s="2"/>
      <c r="B138" s="2"/>
      <c r="C138" s="161"/>
      <c r="D138" s="161"/>
      <c r="E138" s="2"/>
      <c r="F138" s="161"/>
      <c r="G138" s="161"/>
      <c r="H138" s="161"/>
      <c r="I138" s="161"/>
      <c r="J138" s="161"/>
      <c r="K138" s="2"/>
      <c r="L138" s="117"/>
      <c r="M138" s="117"/>
      <c r="N138" s="117"/>
      <c r="O138" s="117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1:24" ht="24" customHeight="1">
      <c r="A139" s="2"/>
      <c r="B139" s="2"/>
      <c r="C139" s="161"/>
      <c r="D139" s="161"/>
      <c r="E139" s="2"/>
      <c r="F139" s="161"/>
      <c r="G139" s="161"/>
      <c r="H139" s="161"/>
      <c r="I139" s="161"/>
      <c r="J139" s="161"/>
      <c r="K139" s="2"/>
      <c r="L139" s="117"/>
      <c r="M139" s="117"/>
      <c r="N139" s="117"/>
      <c r="O139" s="117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1:24" ht="24" customHeight="1">
      <c r="A140" s="2"/>
      <c r="B140" s="2"/>
      <c r="C140" s="161"/>
      <c r="D140" s="161"/>
      <c r="E140" s="2"/>
      <c r="F140" s="161"/>
      <c r="G140" s="161"/>
      <c r="H140" s="161"/>
      <c r="I140" s="161"/>
      <c r="J140" s="161"/>
      <c r="K140" s="2"/>
      <c r="L140" s="117"/>
      <c r="M140" s="117"/>
      <c r="N140" s="117"/>
      <c r="O140" s="117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1:24" ht="24" customHeight="1">
      <c r="A141" s="2"/>
      <c r="B141" s="2"/>
      <c r="C141" s="161"/>
      <c r="D141" s="161"/>
      <c r="E141" s="2"/>
      <c r="F141" s="161"/>
      <c r="G141" s="161"/>
      <c r="H141" s="161"/>
      <c r="I141" s="161"/>
      <c r="J141" s="161"/>
      <c r="K141" s="2"/>
      <c r="L141" s="117"/>
      <c r="M141" s="117"/>
      <c r="N141" s="117"/>
      <c r="O141" s="117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1:24" ht="24" customHeight="1">
      <c r="A142" s="2"/>
      <c r="B142" s="2"/>
      <c r="C142" s="161"/>
      <c r="D142" s="161"/>
      <c r="E142" s="2"/>
      <c r="F142" s="161"/>
      <c r="G142" s="161"/>
      <c r="H142" s="161"/>
      <c r="I142" s="161"/>
      <c r="J142" s="161"/>
      <c r="K142" s="2"/>
      <c r="L142" s="117"/>
      <c r="M142" s="117"/>
      <c r="N142" s="117"/>
      <c r="O142" s="117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1:24" ht="24" customHeight="1">
      <c r="A143" s="2"/>
      <c r="B143" s="2"/>
      <c r="C143" s="161"/>
      <c r="D143" s="161"/>
      <c r="E143" s="2"/>
      <c r="F143" s="161"/>
      <c r="G143" s="161"/>
      <c r="H143" s="161"/>
      <c r="I143" s="161"/>
      <c r="J143" s="161"/>
      <c r="K143" s="2"/>
      <c r="L143" s="117"/>
      <c r="M143" s="117"/>
      <c r="N143" s="117"/>
      <c r="O143" s="117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1:24" ht="24" customHeight="1">
      <c r="A144" s="2"/>
      <c r="B144" s="2"/>
      <c r="C144" s="161"/>
      <c r="D144" s="161"/>
      <c r="E144" s="2"/>
      <c r="F144" s="161"/>
      <c r="G144" s="161"/>
      <c r="H144" s="161"/>
      <c r="I144" s="161"/>
      <c r="J144" s="161"/>
      <c r="K144" s="2"/>
      <c r="L144" s="117"/>
      <c r="M144" s="117"/>
      <c r="N144" s="117"/>
      <c r="O144" s="117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1:24" ht="24" customHeight="1">
      <c r="A145" s="2"/>
      <c r="B145" s="2"/>
      <c r="C145" s="161"/>
      <c r="D145" s="161"/>
      <c r="E145" s="2"/>
      <c r="F145" s="161"/>
      <c r="G145" s="161"/>
      <c r="H145" s="161"/>
      <c r="I145" s="161"/>
      <c r="J145" s="161"/>
      <c r="K145" s="2"/>
      <c r="L145" s="117"/>
      <c r="M145" s="117"/>
      <c r="N145" s="117"/>
      <c r="O145" s="117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1:24" ht="24" customHeight="1">
      <c r="A146" s="2"/>
      <c r="B146" s="2"/>
      <c r="C146" s="161"/>
      <c r="D146" s="161"/>
      <c r="E146" s="2"/>
      <c r="F146" s="161"/>
      <c r="G146" s="161"/>
      <c r="H146" s="161"/>
      <c r="I146" s="161"/>
      <c r="J146" s="161"/>
      <c r="K146" s="2"/>
      <c r="L146" s="117"/>
      <c r="M146" s="117"/>
      <c r="N146" s="117"/>
      <c r="O146" s="117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1:24" ht="24" customHeight="1">
      <c r="A147" s="2"/>
      <c r="B147" s="2"/>
      <c r="C147" s="161"/>
      <c r="D147" s="161"/>
      <c r="E147" s="2"/>
      <c r="F147" s="161"/>
      <c r="G147" s="161"/>
      <c r="H147" s="161"/>
      <c r="I147" s="161"/>
      <c r="J147" s="161"/>
      <c r="K147" s="2"/>
      <c r="L147" s="117"/>
      <c r="M147" s="117"/>
      <c r="N147" s="117"/>
      <c r="O147" s="117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1:24" ht="24" customHeight="1">
      <c r="A148" s="2"/>
      <c r="B148" s="2"/>
      <c r="C148" s="161"/>
      <c r="D148" s="161"/>
      <c r="E148" s="2"/>
      <c r="F148" s="161"/>
      <c r="G148" s="161"/>
      <c r="H148" s="161"/>
      <c r="I148" s="161"/>
      <c r="J148" s="161"/>
      <c r="K148" s="2"/>
      <c r="L148" s="117"/>
      <c r="M148" s="117"/>
      <c r="N148" s="117"/>
      <c r="O148" s="117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1:24" ht="24" customHeight="1">
      <c r="A149" s="2"/>
      <c r="B149" s="2"/>
      <c r="C149" s="161"/>
      <c r="D149" s="161"/>
      <c r="E149" s="2"/>
      <c r="F149" s="161"/>
      <c r="G149" s="161"/>
      <c r="H149" s="161"/>
      <c r="I149" s="161"/>
      <c r="J149" s="161"/>
      <c r="K149" s="2"/>
      <c r="L149" s="117"/>
      <c r="M149" s="117"/>
      <c r="N149" s="117"/>
      <c r="O149" s="117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1:24" ht="24" customHeight="1">
      <c r="A150" s="2"/>
      <c r="B150" s="2"/>
      <c r="C150" s="161"/>
      <c r="D150" s="161"/>
      <c r="E150" s="2"/>
      <c r="F150" s="161"/>
      <c r="G150" s="161"/>
      <c r="H150" s="161"/>
      <c r="I150" s="161"/>
      <c r="J150" s="161"/>
      <c r="K150" s="2"/>
      <c r="L150" s="117"/>
      <c r="M150" s="117"/>
      <c r="N150" s="117"/>
      <c r="O150" s="117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1:24" ht="24" customHeight="1">
      <c r="A151" s="2"/>
      <c r="B151" s="2"/>
      <c r="C151" s="161"/>
      <c r="D151" s="161"/>
      <c r="E151" s="2"/>
      <c r="F151" s="161"/>
      <c r="G151" s="161"/>
      <c r="H151" s="161"/>
      <c r="I151" s="161"/>
      <c r="J151" s="161"/>
      <c r="K151" s="2"/>
      <c r="L151" s="117"/>
      <c r="M151" s="117"/>
      <c r="N151" s="117"/>
      <c r="O151" s="117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1:24" ht="24" customHeight="1">
      <c r="A152" s="2"/>
      <c r="B152" s="2"/>
      <c r="C152" s="161"/>
      <c r="D152" s="161"/>
      <c r="E152" s="2"/>
      <c r="F152" s="161"/>
      <c r="G152" s="161"/>
      <c r="H152" s="161"/>
      <c r="I152" s="161"/>
      <c r="J152" s="161"/>
      <c r="K152" s="2"/>
      <c r="L152" s="117"/>
      <c r="M152" s="117"/>
      <c r="N152" s="117"/>
      <c r="O152" s="117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1:24" ht="24" customHeight="1">
      <c r="A153" s="2"/>
      <c r="B153" s="2"/>
      <c r="C153" s="161"/>
      <c r="D153" s="161"/>
      <c r="E153" s="2"/>
      <c r="F153" s="161"/>
      <c r="G153" s="161"/>
      <c r="H153" s="161"/>
      <c r="I153" s="161"/>
      <c r="J153" s="161"/>
      <c r="K153" s="2"/>
      <c r="L153" s="117"/>
      <c r="M153" s="117"/>
      <c r="N153" s="117"/>
      <c r="O153" s="117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1:24" ht="24" customHeight="1">
      <c r="A154" s="2"/>
      <c r="B154" s="2"/>
      <c r="C154" s="161"/>
      <c r="D154" s="161"/>
      <c r="E154" s="2"/>
      <c r="F154" s="161"/>
      <c r="G154" s="161"/>
      <c r="H154" s="161"/>
      <c r="I154" s="161"/>
      <c r="J154" s="161"/>
      <c r="K154" s="2"/>
      <c r="L154" s="117"/>
      <c r="M154" s="117"/>
      <c r="N154" s="117"/>
      <c r="O154" s="117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1:24" ht="24" customHeight="1">
      <c r="A155" s="2"/>
      <c r="B155" s="2"/>
      <c r="C155" s="161"/>
      <c r="D155" s="161"/>
      <c r="E155" s="2"/>
      <c r="F155" s="161"/>
      <c r="G155" s="161"/>
      <c r="H155" s="161"/>
      <c r="I155" s="161"/>
      <c r="J155" s="161"/>
      <c r="K155" s="2"/>
      <c r="L155" s="117"/>
      <c r="M155" s="117"/>
      <c r="N155" s="117"/>
      <c r="O155" s="117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1:24" ht="24" customHeight="1">
      <c r="A156" s="2"/>
      <c r="B156" s="2"/>
      <c r="C156" s="161"/>
      <c r="D156" s="161"/>
      <c r="E156" s="2"/>
      <c r="F156" s="161"/>
      <c r="G156" s="161"/>
      <c r="H156" s="161"/>
      <c r="I156" s="161"/>
      <c r="J156" s="161"/>
      <c r="K156" s="2"/>
      <c r="L156" s="117"/>
      <c r="M156" s="117"/>
      <c r="N156" s="117"/>
      <c r="O156" s="117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1:24" ht="24" customHeight="1">
      <c r="A157" s="2"/>
      <c r="B157" s="2"/>
      <c r="C157" s="161"/>
      <c r="D157" s="161"/>
      <c r="E157" s="2"/>
      <c r="F157" s="161"/>
      <c r="G157" s="161"/>
      <c r="H157" s="161"/>
      <c r="I157" s="161"/>
      <c r="J157" s="161"/>
      <c r="K157" s="2"/>
      <c r="L157" s="117"/>
      <c r="M157" s="117"/>
      <c r="N157" s="117"/>
      <c r="O157" s="117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1:24" ht="24" customHeight="1">
      <c r="A158" s="2"/>
      <c r="B158" s="2"/>
      <c r="C158" s="161"/>
      <c r="D158" s="161"/>
      <c r="E158" s="2"/>
      <c r="F158" s="161"/>
      <c r="G158" s="161"/>
      <c r="H158" s="161"/>
      <c r="I158" s="161"/>
      <c r="J158" s="161"/>
      <c r="K158" s="2"/>
      <c r="L158" s="117"/>
      <c r="M158" s="117"/>
      <c r="N158" s="117"/>
      <c r="O158" s="117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1:24" ht="24" customHeight="1">
      <c r="A159" s="2"/>
      <c r="B159" s="2"/>
      <c r="C159" s="161"/>
      <c r="D159" s="161"/>
      <c r="E159" s="2"/>
      <c r="F159" s="161"/>
      <c r="G159" s="161"/>
      <c r="H159" s="161"/>
      <c r="I159" s="161"/>
      <c r="J159" s="161"/>
      <c r="K159" s="2"/>
      <c r="L159" s="117"/>
      <c r="M159" s="117"/>
      <c r="N159" s="117"/>
      <c r="O159" s="117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1:24" ht="24" customHeight="1">
      <c r="A160" s="2"/>
      <c r="B160" s="2"/>
      <c r="C160" s="161"/>
      <c r="D160" s="161"/>
      <c r="E160" s="2"/>
      <c r="F160" s="161"/>
      <c r="G160" s="161"/>
      <c r="H160" s="161"/>
      <c r="I160" s="161"/>
      <c r="J160" s="161"/>
      <c r="K160" s="2"/>
      <c r="L160" s="117"/>
      <c r="M160" s="117"/>
      <c r="N160" s="117"/>
      <c r="O160" s="117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1:24" ht="24" customHeight="1">
      <c r="A161" s="2"/>
      <c r="B161" s="2"/>
      <c r="C161" s="161"/>
      <c r="D161" s="161"/>
      <c r="E161" s="2"/>
      <c r="F161" s="161"/>
      <c r="G161" s="161"/>
      <c r="H161" s="161"/>
      <c r="I161" s="161"/>
      <c r="J161" s="161"/>
      <c r="K161" s="2"/>
      <c r="L161" s="117"/>
      <c r="M161" s="117"/>
      <c r="N161" s="117"/>
      <c r="O161" s="117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1:24" ht="24" customHeight="1">
      <c r="A162" s="2"/>
      <c r="B162" s="2"/>
      <c r="C162" s="161"/>
      <c r="D162" s="161"/>
      <c r="E162" s="2"/>
      <c r="F162" s="161"/>
      <c r="G162" s="161"/>
      <c r="H162" s="161"/>
      <c r="I162" s="161"/>
      <c r="J162" s="161"/>
      <c r="K162" s="2"/>
      <c r="L162" s="117"/>
      <c r="M162" s="117"/>
      <c r="N162" s="117"/>
      <c r="O162" s="117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1:24" ht="24" customHeight="1">
      <c r="A163" s="2"/>
      <c r="B163" s="2"/>
      <c r="C163" s="161"/>
      <c r="D163" s="161"/>
      <c r="E163" s="2"/>
      <c r="F163" s="161"/>
      <c r="G163" s="161"/>
      <c r="H163" s="161"/>
      <c r="I163" s="161"/>
      <c r="J163" s="161"/>
      <c r="K163" s="2"/>
      <c r="L163" s="117"/>
      <c r="M163" s="117"/>
      <c r="N163" s="117"/>
      <c r="O163" s="117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1:24" ht="24" customHeight="1">
      <c r="A164" s="2"/>
      <c r="B164" s="2"/>
      <c r="C164" s="161"/>
      <c r="D164" s="161"/>
      <c r="E164" s="2"/>
      <c r="F164" s="161"/>
      <c r="G164" s="161"/>
      <c r="H164" s="161"/>
      <c r="I164" s="161"/>
      <c r="J164" s="161"/>
      <c r="K164" s="2"/>
      <c r="L164" s="117"/>
      <c r="M164" s="117"/>
      <c r="N164" s="117"/>
      <c r="O164" s="117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1:24" ht="24" customHeight="1">
      <c r="A165" s="2"/>
      <c r="B165" s="2"/>
      <c r="C165" s="161"/>
      <c r="D165" s="161"/>
      <c r="E165" s="2"/>
      <c r="F165" s="161"/>
      <c r="G165" s="161"/>
      <c r="H165" s="161"/>
      <c r="I165" s="161"/>
      <c r="J165" s="161"/>
      <c r="K165" s="2"/>
      <c r="L165" s="117"/>
      <c r="M165" s="117"/>
      <c r="N165" s="117"/>
      <c r="O165" s="117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1:24" ht="24" customHeight="1">
      <c r="A166" s="2"/>
      <c r="B166" s="2"/>
      <c r="C166" s="161"/>
      <c r="D166" s="161"/>
      <c r="E166" s="2"/>
      <c r="F166" s="161"/>
      <c r="G166" s="161"/>
      <c r="H166" s="161"/>
      <c r="I166" s="161"/>
      <c r="J166" s="161"/>
      <c r="K166" s="2"/>
      <c r="L166" s="117"/>
      <c r="M166" s="117"/>
      <c r="N166" s="117"/>
      <c r="O166" s="117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1:24" ht="24" customHeight="1">
      <c r="A167" s="2"/>
      <c r="B167" s="2"/>
      <c r="C167" s="161"/>
      <c r="D167" s="161"/>
      <c r="E167" s="2"/>
      <c r="F167" s="161"/>
      <c r="G167" s="161"/>
      <c r="H167" s="161"/>
      <c r="I167" s="161"/>
      <c r="J167" s="161"/>
      <c r="K167" s="2"/>
      <c r="L167" s="117"/>
      <c r="M167" s="117"/>
      <c r="N167" s="117"/>
      <c r="O167" s="117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1:24" ht="24" customHeight="1">
      <c r="A168" s="2"/>
      <c r="B168" s="2"/>
      <c r="C168" s="161"/>
      <c r="D168" s="161"/>
      <c r="E168" s="2"/>
      <c r="F168" s="161"/>
      <c r="G168" s="161"/>
      <c r="H168" s="161"/>
      <c r="I168" s="161"/>
      <c r="J168" s="161"/>
      <c r="K168" s="2"/>
      <c r="L168" s="117"/>
      <c r="M168" s="117"/>
      <c r="N168" s="117"/>
      <c r="O168" s="117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1:24" ht="24" customHeight="1">
      <c r="A169" s="2"/>
      <c r="B169" s="2"/>
      <c r="C169" s="161"/>
      <c r="D169" s="161"/>
      <c r="E169" s="2"/>
      <c r="F169" s="161"/>
      <c r="G169" s="161"/>
      <c r="H169" s="161"/>
      <c r="I169" s="161"/>
      <c r="J169" s="161"/>
      <c r="K169" s="2"/>
      <c r="L169" s="117"/>
      <c r="M169" s="117"/>
      <c r="N169" s="117"/>
      <c r="O169" s="117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1:24" ht="24" customHeight="1">
      <c r="A170" s="2"/>
      <c r="B170" s="2"/>
      <c r="C170" s="161"/>
      <c r="D170" s="161"/>
      <c r="E170" s="2"/>
      <c r="F170" s="161"/>
      <c r="G170" s="161"/>
      <c r="H170" s="161"/>
      <c r="I170" s="161"/>
      <c r="J170" s="161"/>
      <c r="K170" s="2"/>
      <c r="L170" s="117"/>
      <c r="M170" s="117"/>
      <c r="N170" s="117"/>
      <c r="O170" s="117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1:24" ht="24" customHeight="1">
      <c r="A171" s="2"/>
      <c r="B171" s="2"/>
      <c r="C171" s="161"/>
      <c r="D171" s="161"/>
      <c r="E171" s="2"/>
      <c r="F171" s="161"/>
      <c r="G171" s="161"/>
      <c r="H171" s="161"/>
      <c r="I171" s="161"/>
      <c r="J171" s="161"/>
      <c r="K171" s="2"/>
      <c r="L171" s="117"/>
      <c r="M171" s="117"/>
      <c r="N171" s="117"/>
      <c r="O171" s="117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1:24" ht="24" customHeight="1">
      <c r="A172" s="2"/>
      <c r="B172" s="2"/>
      <c r="C172" s="161"/>
      <c r="D172" s="161"/>
      <c r="E172" s="2"/>
      <c r="F172" s="161"/>
      <c r="G172" s="161"/>
      <c r="H172" s="161"/>
      <c r="I172" s="161"/>
      <c r="J172" s="161"/>
      <c r="K172" s="2"/>
      <c r="L172" s="117"/>
      <c r="M172" s="117"/>
      <c r="N172" s="117"/>
      <c r="O172" s="117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1:24" ht="24" customHeight="1">
      <c r="A173" s="2"/>
      <c r="B173" s="2"/>
      <c r="C173" s="161"/>
      <c r="D173" s="161"/>
      <c r="E173" s="2"/>
      <c r="F173" s="161"/>
      <c r="G173" s="161"/>
      <c r="H173" s="161"/>
      <c r="I173" s="161"/>
      <c r="J173" s="161"/>
      <c r="K173" s="2"/>
      <c r="L173" s="117"/>
      <c r="M173" s="117"/>
      <c r="N173" s="117"/>
      <c r="O173" s="117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1:24" ht="24" customHeight="1">
      <c r="A174" s="2"/>
      <c r="B174" s="2"/>
      <c r="C174" s="161"/>
      <c r="D174" s="161"/>
      <c r="E174" s="2"/>
      <c r="F174" s="161"/>
      <c r="G174" s="161"/>
      <c r="H174" s="161"/>
      <c r="I174" s="161"/>
      <c r="J174" s="161"/>
      <c r="K174" s="2"/>
      <c r="L174" s="117"/>
      <c r="M174" s="117"/>
      <c r="N174" s="117"/>
      <c r="O174" s="117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1:24" ht="24" customHeight="1">
      <c r="A175" s="2"/>
      <c r="B175" s="2"/>
      <c r="C175" s="161"/>
      <c r="D175" s="161"/>
      <c r="E175" s="2"/>
      <c r="F175" s="161"/>
      <c r="G175" s="161"/>
      <c r="H175" s="161"/>
      <c r="I175" s="161"/>
      <c r="J175" s="161"/>
      <c r="K175" s="2"/>
      <c r="L175" s="117"/>
      <c r="M175" s="117"/>
      <c r="N175" s="117"/>
      <c r="O175" s="117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1:24" ht="24" customHeight="1">
      <c r="A176" s="2"/>
      <c r="B176" s="2"/>
      <c r="C176" s="161"/>
      <c r="D176" s="161"/>
      <c r="E176" s="2"/>
      <c r="F176" s="161"/>
      <c r="G176" s="161"/>
      <c r="H176" s="161"/>
      <c r="I176" s="161"/>
      <c r="J176" s="161"/>
      <c r="K176" s="2"/>
      <c r="L176" s="117"/>
      <c r="M176" s="117"/>
      <c r="N176" s="117"/>
      <c r="O176" s="117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1:24" ht="24" customHeight="1">
      <c r="A177" s="2"/>
      <c r="B177" s="2"/>
      <c r="C177" s="161"/>
      <c r="D177" s="161"/>
      <c r="E177" s="2"/>
      <c r="F177" s="161"/>
      <c r="G177" s="161"/>
      <c r="H177" s="161"/>
      <c r="I177" s="161"/>
      <c r="J177" s="161"/>
      <c r="K177" s="2"/>
      <c r="L177" s="117"/>
      <c r="M177" s="117"/>
      <c r="N177" s="117"/>
      <c r="O177" s="117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1:24" ht="24" customHeight="1">
      <c r="A178" s="2"/>
      <c r="B178" s="2"/>
      <c r="C178" s="161"/>
      <c r="D178" s="161"/>
      <c r="E178" s="2"/>
      <c r="F178" s="161"/>
      <c r="G178" s="161"/>
      <c r="H178" s="161"/>
      <c r="I178" s="161"/>
      <c r="J178" s="161"/>
      <c r="K178" s="2"/>
      <c r="L178" s="117"/>
      <c r="M178" s="117"/>
      <c r="N178" s="117"/>
      <c r="O178" s="117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1:24" ht="24" customHeight="1">
      <c r="A179" s="2"/>
      <c r="B179" s="2"/>
      <c r="C179" s="161"/>
      <c r="D179" s="161"/>
      <c r="E179" s="2"/>
      <c r="F179" s="161"/>
      <c r="G179" s="161"/>
      <c r="H179" s="161"/>
      <c r="I179" s="161"/>
      <c r="J179" s="161"/>
      <c r="K179" s="2"/>
      <c r="L179" s="117"/>
      <c r="M179" s="117"/>
      <c r="N179" s="117"/>
      <c r="O179" s="117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1:24" ht="24" customHeight="1">
      <c r="A180" s="2"/>
      <c r="B180" s="2"/>
      <c r="C180" s="161"/>
      <c r="D180" s="161"/>
      <c r="E180" s="2"/>
      <c r="F180" s="161"/>
      <c r="G180" s="161"/>
      <c r="H180" s="161"/>
      <c r="I180" s="161"/>
      <c r="J180" s="161"/>
      <c r="K180" s="2"/>
      <c r="L180" s="117"/>
      <c r="M180" s="117"/>
      <c r="N180" s="117"/>
      <c r="O180" s="117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1:24" ht="24" customHeight="1">
      <c r="A181" s="2"/>
      <c r="B181" s="2"/>
      <c r="C181" s="161"/>
      <c r="D181" s="161"/>
      <c r="E181" s="2"/>
      <c r="F181" s="161"/>
      <c r="G181" s="161"/>
      <c r="H181" s="161"/>
      <c r="I181" s="161"/>
      <c r="J181" s="161"/>
      <c r="K181" s="2"/>
      <c r="L181" s="117"/>
      <c r="M181" s="117"/>
      <c r="N181" s="117"/>
      <c r="O181" s="117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1:24" ht="24" customHeight="1">
      <c r="A182" s="2"/>
      <c r="B182" s="2"/>
      <c r="C182" s="161"/>
      <c r="D182" s="161"/>
      <c r="E182" s="2"/>
      <c r="F182" s="161"/>
      <c r="G182" s="161"/>
      <c r="H182" s="161"/>
      <c r="I182" s="161"/>
      <c r="J182" s="161"/>
      <c r="K182" s="2"/>
      <c r="L182" s="117"/>
      <c r="M182" s="117"/>
      <c r="N182" s="117"/>
      <c r="O182" s="117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1:24" ht="24" customHeight="1">
      <c r="A183" s="2"/>
      <c r="B183" s="2"/>
      <c r="C183" s="161"/>
      <c r="D183" s="161"/>
      <c r="E183" s="2"/>
      <c r="F183" s="161"/>
      <c r="G183" s="161"/>
      <c r="H183" s="161"/>
      <c r="I183" s="161"/>
      <c r="J183" s="161"/>
      <c r="K183" s="2"/>
      <c r="L183" s="117"/>
      <c r="M183" s="117"/>
      <c r="N183" s="117"/>
      <c r="O183" s="117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1:24" ht="24" customHeight="1">
      <c r="A184" s="2"/>
      <c r="B184" s="2"/>
      <c r="C184" s="161"/>
      <c r="D184" s="161"/>
      <c r="E184" s="2"/>
      <c r="F184" s="161"/>
      <c r="G184" s="161"/>
      <c r="H184" s="161"/>
      <c r="I184" s="161"/>
      <c r="J184" s="161"/>
      <c r="K184" s="2"/>
      <c r="L184" s="117"/>
      <c r="M184" s="117"/>
      <c r="N184" s="117"/>
      <c r="O184" s="117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1:24" ht="24" customHeight="1">
      <c r="A185" s="2"/>
      <c r="B185" s="2"/>
      <c r="C185" s="161"/>
      <c r="D185" s="161"/>
      <c r="E185" s="2"/>
      <c r="F185" s="161"/>
      <c r="G185" s="161"/>
      <c r="H185" s="161"/>
      <c r="I185" s="161"/>
      <c r="J185" s="161"/>
      <c r="K185" s="2"/>
      <c r="L185" s="117"/>
      <c r="M185" s="117"/>
      <c r="N185" s="117"/>
      <c r="O185" s="117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1:24" ht="24" customHeight="1">
      <c r="A186" s="2"/>
      <c r="B186" s="2"/>
      <c r="C186" s="161"/>
      <c r="D186" s="161"/>
      <c r="E186" s="2"/>
      <c r="F186" s="161"/>
      <c r="G186" s="161"/>
      <c r="H186" s="161"/>
      <c r="I186" s="161"/>
      <c r="J186" s="161"/>
      <c r="K186" s="2"/>
      <c r="L186" s="117"/>
      <c r="M186" s="117"/>
      <c r="N186" s="117"/>
      <c r="O186" s="117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1:24" ht="24" customHeight="1">
      <c r="A187" s="2"/>
      <c r="B187" s="2"/>
      <c r="C187" s="161"/>
      <c r="D187" s="161"/>
      <c r="E187" s="2"/>
      <c r="F187" s="161"/>
      <c r="G187" s="161"/>
      <c r="H187" s="161"/>
      <c r="I187" s="161"/>
      <c r="J187" s="161"/>
      <c r="K187" s="2"/>
      <c r="L187" s="117"/>
      <c r="M187" s="117"/>
      <c r="N187" s="117"/>
      <c r="O187" s="117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1:24" ht="24" customHeight="1">
      <c r="A188" s="2"/>
      <c r="B188" s="2"/>
      <c r="C188" s="161"/>
      <c r="D188" s="161"/>
      <c r="E188" s="2"/>
      <c r="F188" s="161"/>
      <c r="G188" s="161"/>
      <c r="H188" s="161"/>
      <c r="I188" s="161"/>
      <c r="J188" s="161"/>
      <c r="K188" s="2"/>
      <c r="L188" s="117"/>
      <c r="M188" s="117"/>
      <c r="N188" s="117"/>
      <c r="O188" s="117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1:24" ht="24" customHeight="1">
      <c r="A189" s="2"/>
      <c r="B189" s="2"/>
      <c r="C189" s="161"/>
      <c r="D189" s="161"/>
      <c r="E189" s="2"/>
      <c r="F189" s="161"/>
      <c r="G189" s="161"/>
      <c r="H189" s="161"/>
      <c r="I189" s="161"/>
      <c r="J189" s="161"/>
      <c r="K189" s="2"/>
      <c r="L189" s="117"/>
      <c r="M189" s="117"/>
      <c r="N189" s="117"/>
      <c r="O189" s="117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1:24" ht="24" customHeight="1">
      <c r="A190" s="2"/>
      <c r="B190" s="2"/>
      <c r="C190" s="161"/>
      <c r="D190" s="161"/>
      <c r="E190" s="2"/>
      <c r="F190" s="161"/>
      <c r="G190" s="161"/>
      <c r="H190" s="161"/>
      <c r="I190" s="161"/>
      <c r="J190" s="161"/>
      <c r="K190" s="2"/>
      <c r="L190" s="117"/>
      <c r="M190" s="117"/>
      <c r="N190" s="117"/>
      <c r="O190" s="117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1:24" ht="24" customHeight="1">
      <c r="A191" s="2"/>
      <c r="B191" s="2"/>
      <c r="C191" s="161"/>
      <c r="D191" s="161"/>
      <c r="E191" s="2"/>
      <c r="F191" s="161"/>
      <c r="G191" s="161"/>
      <c r="H191" s="161"/>
      <c r="I191" s="161"/>
      <c r="J191" s="161"/>
      <c r="K191" s="2"/>
      <c r="L191" s="117"/>
      <c r="M191" s="117"/>
      <c r="N191" s="117"/>
      <c r="O191" s="117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1:24" ht="24" customHeight="1">
      <c r="A192" s="2"/>
      <c r="B192" s="2"/>
      <c r="C192" s="161"/>
      <c r="D192" s="161"/>
      <c r="E192" s="2"/>
      <c r="F192" s="161"/>
      <c r="G192" s="161"/>
      <c r="H192" s="161"/>
      <c r="I192" s="161"/>
      <c r="J192" s="161"/>
      <c r="K192" s="2"/>
      <c r="L192" s="117"/>
      <c r="M192" s="117"/>
      <c r="N192" s="117"/>
      <c r="O192" s="117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1:24" ht="24" customHeight="1">
      <c r="A193" s="2"/>
      <c r="B193" s="2"/>
      <c r="C193" s="161"/>
      <c r="D193" s="161"/>
      <c r="E193" s="2"/>
      <c r="F193" s="161"/>
      <c r="G193" s="161"/>
      <c r="H193" s="161"/>
      <c r="I193" s="161"/>
      <c r="J193" s="161"/>
      <c r="K193" s="2"/>
      <c r="L193" s="117"/>
      <c r="M193" s="117"/>
      <c r="N193" s="117"/>
      <c r="O193" s="117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1:24" ht="24" customHeight="1">
      <c r="A194" s="2"/>
      <c r="B194" s="2"/>
      <c r="C194" s="161"/>
      <c r="D194" s="161"/>
      <c r="E194" s="2"/>
      <c r="F194" s="161"/>
      <c r="G194" s="161"/>
      <c r="H194" s="161"/>
      <c r="I194" s="161"/>
      <c r="J194" s="161"/>
      <c r="K194" s="2"/>
      <c r="L194" s="117"/>
      <c r="M194" s="117"/>
      <c r="N194" s="117"/>
      <c r="O194" s="117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1:24" ht="24" customHeight="1">
      <c r="A195" s="2"/>
      <c r="B195" s="2"/>
      <c r="C195" s="161"/>
      <c r="D195" s="161"/>
      <c r="E195" s="2"/>
      <c r="F195" s="161"/>
      <c r="G195" s="161"/>
      <c r="H195" s="161"/>
      <c r="I195" s="161"/>
      <c r="J195" s="161"/>
      <c r="K195" s="2"/>
      <c r="L195" s="117"/>
      <c r="M195" s="117"/>
      <c r="N195" s="117"/>
      <c r="O195" s="117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1:24" ht="24" customHeight="1">
      <c r="A196" s="2"/>
      <c r="B196" s="2"/>
      <c r="C196" s="161"/>
      <c r="D196" s="161"/>
      <c r="E196" s="2"/>
      <c r="F196" s="161"/>
      <c r="G196" s="161"/>
      <c r="H196" s="161"/>
      <c r="I196" s="161"/>
      <c r="J196" s="161"/>
      <c r="K196" s="2"/>
      <c r="L196" s="117"/>
      <c r="M196" s="117"/>
      <c r="N196" s="117"/>
      <c r="O196" s="117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1:24" ht="24" customHeight="1">
      <c r="A197" s="2"/>
      <c r="B197" s="2"/>
      <c r="C197" s="161"/>
      <c r="D197" s="161"/>
      <c r="E197" s="2"/>
      <c r="F197" s="161"/>
      <c r="G197" s="161"/>
      <c r="H197" s="161"/>
      <c r="I197" s="161"/>
      <c r="J197" s="161"/>
      <c r="K197" s="2"/>
      <c r="L197" s="117"/>
      <c r="M197" s="117"/>
      <c r="N197" s="117"/>
      <c r="O197" s="117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1:24" ht="24" customHeight="1">
      <c r="A198" s="2"/>
      <c r="B198" s="2"/>
      <c r="C198" s="161"/>
      <c r="D198" s="161"/>
      <c r="E198" s="2"/>
      <c r="F198" s="161"/>
      <c r="G198" s="161"/>
      <c r="H198" s="161"/>
      <c r="I198" s="161"/>
      <c r="J198" s="161"/>
      <c r="K198" s="2"/>
      <c r="L198" s="117"/>
      <c r="M198" s="117"/>
      <c r="N198" s="117"/>
      <c r="O198" s="117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1:24" ht="24" customHeight="1">
      <c r="A199" s="2"/>
      <c r="B199" s="2"/>
      <c r="C199" s="161"/>
      <c r="D199" s="161"/>
      <c r="E199" s="2"/>
      <c r="F199" s="161"/>
      <c r="G199" s="161"/>
      <c r="H199" s="161"/>
      <c r="I199" s="161"/>
      <c r="J199" s="161"/>
      <c r="K199" s="2"/>
      <c r="L199" s="117"/>
      <c r="M199" s="117"/>
      <c r="N199" s="117"/>
      <c r="O199" s="117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1:24" ht="24" customHeight="1">
      <c r="A200" s="2"/>
      <c r="B200" s="2"/>
      <c r="C200" s="161"/>
      <c r="D200" s="161"/>
      <c r="E200" s="2"/>
      <c r="F200" s="161"/>
      <c r="G200" s="161"/>
      <c r="H200" s="161"/>
      <c r="I200" s="161"/>
      <c r="J200" s="161"/>
      <c r="K200" s="2"/>
      <c r="L200" s="117"/>
      <c r="M200" s="117"/>
      <c r="N200" s="117"/>
      <c r="O200" s="117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1:24" ht="24" customHeight="1">
      <c r="A201" s="2"/>
      <c r="B201" s="2"/>
      <c r="C201" s="161"/>
      <c r="D201" s="161"/>
      <c r="E201" s="2"/>
      <c r="F201" s="161"/>
      <c r="G201" s="161"/>
      <c r="H201" s="161"/>
      <c r="I201" s="161"/>
      <c r="J201" s="161"/>
      <c r="K201" s="2"/>
      <c r="L201" s="117"/>
      <c r="M201" s="117"/>
      <c r="N201" s="117"/>
      <c r="O201" s="117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1:24" ht="24" customHeight="1">
      <c r="A202" s="2"/>
      <c r="B202" s="2"/>
      <c r="C202" s="161"/>
      <c r="D202" s="161"/>
      <c r="E202" s="2"/>
      <c r="F202" s="161"/>
      <c r="G202" s="161"/>
      <c r="H202" s="161"/>
      <c r="I202" s="161"/>
      <c r="J202" s="161"/>
      <c r="K202" s="2"/>
      <c r="L202" s="117"/>
      <c r="M202" s="117"/>
      <c r="N202" s="117"/>
      <c r="O202" s="117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1:24" ht="24" customHeight="1">
      <c r="A203" s="2"/>
      <c r="B203" s="2"/>
      <c r="C203" s="161"/>
      <c r="D203" s="161"/>
      <c r="E203" s="2"/>
      <c r="F203" s="161"/>
      <c r="G203" s="161"/>
      <c r="H203" s="161"/>
      <c r="I203" s="161"/>
      <c r="J203" s="161"/>
      <c r="K203" s="2"/>
      <c r="L203" s="117"/>
      <c r="M203" s="117"/>
      <c r="N203" s="117"/>
      <c r="O203" s="117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1:24" ht="24" customHeight="1">
      <c r="A204" s="2"/>
      <c r="B204" s="2"/>
      <c r="C204" s="161"/>
      <c r="D204" s="161"/>
      <c r="E204" s="2"/>
      <c r="F204" s="161"/>
      <c r="G204" s="161"/>
      <c r="H204" s="161"/>
      <c r="I204" s="161"/>
      <c r="J204" s="161"/>
      <c r="K204" s="2"/>
      <c r="L204" s="117"/>
      <c r="M204" s="117"/>
      <c r="N204" s="117"/>
      <c r="O204" s="117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1:24" ht="24" customHeight="1">
      <c r="A205" s="2"/>
      <c r="B205" s="2"/>
      <c r="C205" s="161"/>
      <c r="D205" s="161"/>
      <c r="E205" s="2"/>
      <c r="F205" s="161"/>
      <c r="G205" s="161"/>
      <c r="H205" s="161"/>
      <c r="I205" s="161"/>
      <c r="J205" s="161"/>
      <c r="K205" s="2"/>
      <c r="L205" s="117"/>
      <c r="M205" s="117"/>
      <c r="N205" s="117"/>
      <c r="O205" s="117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1:24" ht="24" customHeight="1">
      <c r="A206" s="2"/>
      <c r="B206" s="2"/>
      <c r="C206" s="161"/>
      <c r="D206" s="161"/>
      <c r="E206" s="2"/>
      <c r="F206" s="161"/>
      <c r="G206" s="161"/>
      <c r="H206" s="161"/>
      <c r="I206" s="161"/>
      <c r="J206" s="161"/>
      <c r="K206" s="2"/>
      <c r="L206" s="117"/>
      <c r="M206" s="117"/>
      <c r="N206" s="117"/>
      <c r="O206" s="117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1:24" ht="24" customHeight="1">
      <c r="A207" s="2"/>
      <c r="B207" s="2"/>
      <c r="C207" s="161"/>
      <c r="D207" s="161"/>
      <c r="E207" s="2"/>
      <c r="F207" s="161"/>
      <c r="G207" s="161"/>
      <c r="H207" s="161"/>
      <c r="I207" s="161"/>
      <c r="J207" s="161"/>
      <c r="K207" s="2"/>
      <c r="L207" s="117"/>
      <c r="M207" s="117"/>
      <c r="N207" s="117"/>
      <c r="O207" s="117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1:24" ht="24" customHeight="1">
      <c r="A208" s="2"/>
      <c r="B208" s="2"/>
      <c r="C208" s="161"/>
      <c r="D208" s="161"/>
      <c r="E208" s="2"/>
      <c r="F208" s="161"/>
      <c r="G208" s="161"/>
      <c r="H208" s="161"/>
      <c r="I208" s="161"/>
      <c r="J208" s="161"/>
      <c r="K208" s="2"/>
      <c r="L208" s="117"/>
      <c r="M208" s="117"/>
      <c r="N208" s="117"/>
      <c r="O208" s="117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1:24" ht="24" customHeight="1">
      <c r="A209" s="2"/>
      <c r="B209" s="2"/>
      <c r="C209" s="161"/>
      <c r="D209" s="161"/>
      <c r="E209" s="2"/>
      <c r="F209" s="161"/>
      <c r="G209" s="161"/>
      <c r="H209" s="161"/>
      <c r="I209" s="161"/>
      <c r="J209" s="161"/>
      <c r="K209" s="2"/>
      <c r="L209" s="117"/>
      <c r="M209" s="117"/>
      <c r="N209" s="117"/>
      <c r="O209" s="117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1:24" ht="24" customHeight="1">
      <c r="A210" s="2"/>
      <c r="B210" s="2"/>
      <c r="C210" s="161"/>
      <c r="D210" s="161"/>
      <c r="E210" s="2"/>
      <c r="F210" s="161"/>
      <c r="G210" s="161"/>
      <c r="H210" s="161"/>
      <c r="I210" s="161"/>
      <c r="J210" s="161"/>
      <c r="K210" s="2"/>
      <c r="L210" s="117"/>
      <c r="M210" s="117"/>
      <c r="N210" s="117"/>
      <c r="O210" s="117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1:24" ht="24" customHeight="1">
      <c r="A211" s="2"/>
      <c r="B211" s="2"/>
      <c r="C211" s="161"/>
      <c r="D211" s="161"/>
      <c r="E211" s="2"/>
      <c r="F211" s="161"/>
      <c r="G211" s="161"/>
      <c r="H211" s="161"/>
      <c r="I211" s="161"/>
      <c r="J211" s="161"/>
      <c r="K211" s="2"/>
      <c r="L211" s="117"/>
      <c r="M211" s="117"/>
      <c r="N211" s="117"/>
      <c r="O211" s="117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1:24" ht="24" customHeight="1">
      <c r="A212" s="2"/>
      <c r="B212" s="2"/>
      <c r="C212" s="161"/>
      <c r="D212" s="161"/>
      <c r="E212" s="2"/>
      <c r="F212" s="161"/>
      <c r="G212" s="161"/>
      <c r="H212" s="161"/>
      <c r="I212" s="161"/>
      <c r="J212" s="161"/>
      <c r="K212" s="2"/>
      <c r="L212" s="117"/>
      <c r="M212" s="117"/>
      <c r="N212" s="117"/>
      <c r="O212" s="117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1:24" ht="24" customHeight="1">
      <c r="A213" s="2"/>
      <c r="B213" s="2"/>
      <c r="C213" s="161"/>
      <c r="D213" s="161"/>
      <c r="E213" s="2"/>
      <c r="F213" s="161"/>
      <c r="G213" s="161"/>
      <c r="H213" s="161"/>
      <c r="I213" s="161"/>
      <c r="J213" s="161"/>
      <c r="K213" s="2"/>
      <c r="L213" s="117"/>
      <c r="M213" s="117"/>
      <c r="N213" s="117"/>
      <c r="O213" s="117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1:24" ht="24" customHeight="1">
      <c r="A214" s="2"/>
      <c r="B214" s="2"/>
      <c r="C214" s="161"/>
      <c r="D214" s="161"/>
      <c r="E214" s="2"/>
      <c r="F214" s="161"/>
      <c r="G214" s="161"/>
      <c r="H214" s="161"/>
      <c r="I214" s="161"/>
      <c r="J214" s="161"/>
      <c r="K214" s="2"/>
      <c r="L214" s="117"/>
      <c r="M214" s="117"/>
      <c r="N214" s="117"/>
      <c r="O214" s="117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1:24" ht="24" customHeight="1">
      <c r="A215" s="2"/>
      <c r="B215" s="2"/>
      <c r="C215" s="161"/>
      <c r="D215" s="161"/>
      <c r="E215" s="2"/>
      <c r="F215" s="161"/>
      <c r="G215" s="161"/>
      <c r="H215" s="161"/>
      <c r="I215" s="161"/>
      <c r="J215" s="161"/>
      <c r="K215" s="2"/>
      <c r="L215" s="117"/>
      <c r="M215" s="117"/>
      <c r="N215" s="117"/>
      <c r="O215" s="117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1:24" ht="24" customHeight="1">
      <c r="A216" s="2"/>
      <c r="B216" s="2"/>
      <c r="C216" s="161"/>
      <c r="D216" s="161"/>
      <c r="E216" s="2"/>
      <c r="F216" s="161"/>
      <c r="G216" s="161"/>
      <c r="H216" s="161"/>
      <c r="I216" s="161"/>
      <c r="J216" s="161"/>
      <c r="K216" s="2"/>
      <c r="L216" s="117"/>
      <c r="M216" s="117"/>
      <c r="N216" s="117"/>
      <c r="O216" s="117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1:24" ht="24" customHeight="1">
      <c r="A217" s="2"/>
      <c r="B217" s="2"/>
      <c r="C217" s="161"/>
      <c r="D217" s="161"/>
      <c r="E217" s="2"/>
      <c r="F217" s="161"/>
      <c r="G217" s="161"/>
      <c r="H217" s="161"/>
      <c r="I217" s="161"/>
      <c r="J217" s="161"/>
      <c r="K217" s="2"/>
      <c r="L217" s="117"/>
      <c r="M217" s="117"/>
      <c r="N217" s="117"/>
      <c r="O217" s="117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1:24" ht="24" customHeight="1">
      <c r="A218" s="2"/>
      <c r="B218" s="2"/>
      <c r="C218" s="161"/>
      <c r="D218" s="161"/>
      <c r="E218" s="2"/>
      <c r="F218" s="161"/>
      <c r="G218" s="161"/>
      <c r="H218" s="161"/>
      <c r="I218" s="161"/>
      <c r="J218" s="161"/>
      <c r="K218" s="2"/>
      <c r="L218" s="117"/>
      <c r="M218" s="117"/>
      <c r="N218" s="117"/>
      <c r="O218" s="117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1:24" ht="24" customHeight="1">
      <c r="A219" s="2"/>
      <c r="B219" s="2"/>
      <c r="C219" s="161"/>
      <c r="D219" s="161"/>
      <c r="E219" s="2"/>
      <c r="F219" s="161"/>
      <c r="G219" s="161"/>
      <c r="H219" s="161"/>
      <c r="I219" s="161"/>
      <c r="J219" s="161"/>
      <c r="K219" s="2"/>
      <c r="L219" s="117"/>
      <c r="M219" s="117"/>
      <c r="N219" s="117"/>
      <c r="O219" s="117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1:24" ht="24" customHeight="1">
      <c r="A220" s="2"/>
      <c r="B220" s="2"/>
      <c r="C220" s="161"/>
      <c r="D220" s="161"/>
      <c r="E220" s="2"/>
      <c r="F220" s="161"/>
      <c r="G220" s="161"/>
      <c r="H220" s="161"/>
      <c r="I220" s="161"/>
      <c r="J220" s="161"/>
      <c r="K220" s="2"/>
      <c r="L220" s="117"/>
      <c r="M220" s="117"/>
      <c r="N220" s="117"/>
      <c r="O220" s="117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1:24" ht="24" customHeight="1">
      <c r="A221" s="2"/>
      <c r="B221" s="2"/>
      <c r="C221" s="161"/>
      <c r="D221" s="161"/>
      <c r="E221" s="2"/>
      <c r="F221" s="161"/>
      <c r="G221" s="161"/>
      <c r="H221" s="161"/>
      <c r="I221" s="161"/>
      <c r="J221" s="161"/>
      <c r="K221" s="2"/>
      <c r="L221" s="117"/>
      <c r="M221" s="117"/>
      <c r="N221" s="117"/>
      <c r="O221" s="117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1:24" ht="24" customHeight="1">
      <c r="A222" s="2"/>
      <c r="B222" s="2"/>
      <c r="C222" s="161"/>
      <c r="D222" s="161"/>
      <c r="E222" s="2"/>
      <c r="F222" s="161"/>
      <c r="G222" s="161"/>
      <c r="H222" s="161"/>
      <c r="I222" s="161"/>
      <c r="J222" s="161"/>
      <c r="K222" s="2"/>
      <c r="L222" s="117"/>
      <c r="M222" s="117"/>
      <c r="N222" s="117"/>
      <c r="O222" s="117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1:24" ht="24" customHeight="1">
      <c r="A223" s="2"/>
      <c r="B223" s="2"/>
      <c r="C223" s="161"/>
      <c r="D223" s="161"/>
      <c r="E223" s="2"/>
      <c r="F223" s="161"/>
      <c r="G223" s="161"/>
      <c r="H223" s="161"/>
      <c r="I223" s="161"/>
      <c r="J223" s="161"/>
      <c r="K223" s="2"/>
      <c r="L223" s="117"/>
      <c r="M223" s="117"/>
      <c r="N223" s="117"/>
      <c r="O223" s="117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1:24" ht="24" customHeight="1">
      <c r="A224" s="2"/>
      <c r="B224" s="2"/>
      <c r="C224" s="161"/>
      <c r="D224" s="161"/>
      <c r="E224" s="2"/>
      <c r="F224" s="161"/>
      <c r="G224" s="161"/>
      <c r="H224" s="161"/>
      <c r="I224" s="161"/>
      <c r="J224" s="161"/>
      <c r="K224" s="2"/>
      <c r="L224" s="117"/>
      <c r="M224" s="117"/>
      <c r="N224" s="117"/>
      <c r="O224" s="117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1:24" ht="24" customHeight="1">
      <c r="A225" s="2"/>
      <c r="B225" s="2"/>
      <c r="C225" s="161"/>
      <c r="D225" s="161"/>
      <c r="E225" s="2"/>
      <c r="F225" s="161"/>
      <c r="G225" s="161"/>
      <c r="H225" s="161"/>
      <c r="I225" s="161"/>
      <c r="J225" s="161"/>
      <c r="K225" s="2"/>
      <c r="L225" s="117"/>
      <c r="M225" s="117"/>
      <c r="N225" s="117"/>
      <c r="O225" s="117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1:24" ht="24" customHeight="1">
      <c r="A226" s="2"/>
      <c r="B226" s="2"/>
      <c r="C226" s="161"/>
      <c r="D226" s="161"/>
      <c r="E226" s="2"/>
      <c r="F226" s="161"/>
      <c r="G226" s="161"/>
      <c r="H226" s="161"/>
      <c r="I226" s="161"/>
      <c r="J226" s="161"/>
      <c r="K226" s="2"/>
      <c r="L226" s="117"/>
      <c r="M226" s="117"/>
      <c r="N226" s="117"/>
      <c r="O226" s="117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1:24" ht="24" customHeight="1">
      <c r="A227" s="2"/>
      <c r="B227" s="2"/>
      <c r="C227" s="161"/>
      <c r="D227" s="161"/>
      <c r="E227" s="2"/>
      <c r="F227" s="161"/>
      <c r="G227" s="161"/>
      <c r="H227" s="161"/>
      <c r="I227" s="161"/>
      <c r="J227" s="161"/>
      <c r="K227" s="2"/>
      <c r="L227" s="117"/>
      <c r="M227" s="117"/>
      <c r="N227" s="117"/>
      <c r="O227" s="117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1:24" ht="24" customHeight="1">
      <c r="A228" s="2"/>
      <c r="B228" s="2"/>
      <c r="C228" s="161"/>
      <c r="D228" s="161"/>
      <c r="E228" s="2"/>
      <c r="F228" s="161"/>
      <c r="G228" s="161"/>
      <c r="H228" s="161"/>
      <c r="I228" s="161"/>
      <c r="J228" s="161"/>
      <c r="K228" s="2"/>
      <c r="L228" s="117"/>
      <c r="M228" s="117"/>
      <c r="N228" s="117"/>
      <c r="O228" s="117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1:24" ht="24" customHeight="1">
      <c r="A229" s="2"/>
      <c r="B229" s="2"/>
      <c r="C229" s="161"/>
      <c r="D229" s="161"/>
      <c r="E229" s="2"/>
      <c r="F229" s="161"/>
      <c r="G229" s="161"/>
      <c r="H229" s="161"/>
      <c r="I229" s="161"/>
      <c r="J229" s="161"/>
      <c r="K229" s="2"/>
      <c r="L229" s="117"/>
      <c r="M229" s="117"/>
      <c r="N229" s="117"/>
      <c r="O229" s="117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1:24" ht="24" customHeight="1">
      <c r="A230" s="2"/>
      <c r="B230" s="2"/>
      <c r="C230" s="161"/>
      <c r="D230" s="161"/>
      <c r="E230" s="2"/>
      <c r="F230" s="161"/>
      <c r="G230" s="161"/>
      <c r="H230" s="161"/>
      <c r="I230" s="161"/>
      <c r="J230" s="161"/>
      <c r="K230" s="2"/>
      <c r="L230" s="117"/>
      <c r="M230" s="117"/>
      <c r="N230" s="117"/>
      <c r="O230" s="117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1:24" ht="24" customHeight="1">
      <c r="A231" s="2"/>
      <c r="B231" s="2"/>
      <c r="C231" s="161"/>
      <c r="D231" s="161"/>
      <c r="E231" s="2"/>
      <c r="F231" s="161"/>
      <c r="G231" s="161"/>
      <c r="H231" s="161"/>
      <c r="I231" s="161"/>
      <c r="J231" s="161"/>
      <c r="K231" s="2"/>
      <c r="L231" s="117"/>
      <c r="M231" s="117"/>
      <c r="N231" s="117"/>
      <c r="O231" s="117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1:24" ht="24" customHeight="1">
      <c r="A232" s="2"/>
      <c r="B232" s="2"/>
      <c r="C232" s="161"/>
      <c r="D232" s="161"/>
      <c r="E232" s="2"/>
      <c r="F232" s="161"/>
      <c r="G232" s="161"/>
      <c r="H232" s="161"/>
      <c r="I232" s="161"/>
      <c r="J232" s="161"/>
      <c r="K232" s="2"/>
      <c r="L232" s="117"/>
      <c r="M232" s="117"/>
      <c r="N232" s="117"/>
      <c r="O232" s="117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1:24" ht="24" customHeight="1">
      <c r="A233" s="2"/>
      <c r="B233" s="2"/>
      <c r="C233" s="161"/>
      <c r="D233" s="161"/>
      <c r="E233" s="2"/>
      <c r="F233" s="161"/>
      <c r="G233" s="161"/>
      <c r="H233" s="161"/>
      <c r="I233" s="161"/>
      <c r="J233" s="161"/>
      <c r="K233" s="2"/>
      <c r="L233" s="117"/>
      <c r="M233" s="117"/>
      <c r="N233" s="117"/>
      <c r="O233" s="117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1:24" ht="24" customHeight="1">
      <c r="A234" s="2"/>
      <c r="B234" s="2"/>
      <c r="C234" s="161"/>
      <c r="D234" s="161"/>
      <c r="E234" s="2"/>
      <c r="F234" s="161"/>
      <c r="G234" s="161"/>
      <c r="H234" s="161"/>
      <c r="I234" s="161"/>
      <c r="J234" s="161"/>
      <c r="K234" s="2"/>
      <c r="L234" s="117"/>
      <c r="M234" s="117"/>
      <c r="N234" s="117"/>
      <c r="O234" s="117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1:24" ht="24" customHeight="1">
      <c r="A235" s="2"/>
      <c r="B235" s="2"/>
      <c r="C235" s="161"/>
      <c r="D235" s="161"/>
      <c r="E235" s="2"/>
      <c r="F235" s="161"/>
      <c r="G235" s="161"/>
      <c r="H235" s="161"/>
      <c r="I235" s="161"/>
      <c r="J235" s="161"/>
      <c r="K235" s="2"/>
      <c r="L235" s="117"/>
      <c r="M235" s="117"/>
      <c r="N235" s="117"/>
      <c r="O235" s="117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1:24" ht="24" customHeight="1">
      <c r="A236" s="2"/>
      <c r="B236" s="2"/>
      <c r="C236" s="161"/>
      <c r="D236" s="161"/>
      <c r="E236" s="2"/>
      <c r="F236" s="161"/>
      <c r="G236" s="161"/>
      <c r="H236" s="161"/>
      <c r="I236" s="161"/>
      <c r="J236" s="161"/>
      <c r="K236" s="2"/>
      <c r="L236" s="117"/>
      <c r="M236" s="117"/>
      <c r="N236" s="117"/>
      <c r="O236" s="117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1:24" ht="24" customHeight="1">
      <c r="A237" s="2"/>
      <c r="B237" s="2"/>
      <c r="C237" s="161"/>
      <c r="D237" s="161"/>
      <c r="E237" s="2"/>
      <c r="F237" s="161"/>
      <c r="G237" s="161"/>
      <c r="H237" s="161"/>
      <c r="I237" s="161"/>
      <c r="J237" s="161"/>
      <c r="K237" s="2"/>
      <c r="L237" s="117"/>
      <c r="M237" s="117"/>
      <c r="N237" s="117"/>
      <c r="O237" s="117"/>
      <c r="P237" s="162"/>
      <c r="Q237" s="162"/>
      <c r="R237" s="162"/>
      <c r="S237" s="162"/>
      <c r="T237" s="162"/>
      <c r="U237" s="162"/>
      <c r="V237" s="162"/>
      <c r="W237" s="162"/>
      <c r="X237" s="162"/>
    </row>
    <row r="238" spans="1:24" ht="24" customHeight="1">
      <c r="A238" s="2"/>
      <c r="B238" s="2"/>
      <c r="C238" s="161"/>
      <c r="D238" s="161"/>
      <c r="E238" s="2"/>
      <c r="F238" s="161"/>
      <c r="G238" s="161"/>
      <c r="H238" s="161"/>
      <c r="I238" s="161"/>
      <c r="J238" s="161"/>
      <c r="K238" s="2"/>
      <c r="L238" s="117"/>
      <c r="M238" s="117"/>
      <c r="N238" s="117"/>
      <c r="O238" s="117"/>
      <c r="P238" s="162"/>
      <c r="Q238" s="162"/>
      <c r="R238" s="162"/>
      <c r="S238" s="162"/>
      <c r="T238" s="162"/>
      <c r="U238" s="162"/>
      <c r="V238" s="162"/>
      <c r="W238" s="162"/>
      <c r="X238" s="162"/>
    </row>
    <row r="239" spans="1:24" ht="24" customHeight="1">
      <c r="A239" s="2"/>
      <c r="B239" s="2"/>
      <c r="C239" s="161"/>
      <c r="D239" s="161"/>
      <c r="E239" s="2"/>
      <c r="F239" s="161"/>
      <c r="G239" s="161"/>
      <c r="H239" s="161"/>
      <c r="I239" s="161"/>
      <c r="J239" s="161"/>
      <c r="K239" s="2"/>
      <c r="L239" s="117"/>
      <c r="M239" s="117"/>
      <c r="N239" s="117"/>
      <c r="O239" s="117"/>
      <c r="P239" s="162"/>
      <c r="Q239" s="162"/>
      <c r="R239" s="162"/>
      <c r="S239" s="162"/>
      <c r="T239" s="162"/>
      <c r="U239" s="162"/>
      <c r="V239" s="162"/>
      <c r="W239" s="162"/>
      <c r="X239" s="162"/>
    </row>
    <row r="240" spans="1:24" ht="24" customHeight="1">
      <c r="A240" s="2"/>
      <c r="B240" s="2"/>
      <c r="C240" s="161"/>
      <c r="D240" s="161"/>
      <c r="E240" s="2"/>
      <c r="F240" s="161"/>
      <c r="G240" s="161"/>
      <c r="H240" s="161"/>
      <c r="I240" s="161"/>
      <c r="J240" s="161"/>
      <c r="K240" s="2"/>
      <c r="L240" s="117"/>
      <c r="M240" s="117"/>
      <c r="N240" s="117"/>
      <c r="O240" s="117"/>
      <c r="P240" s="162"/>
      <c r="Q240" s="162"/>
      <c r="R240" s="162"/>
      <c r="S240" s="162"/>
      <c r="T240" s="162"/>
      <c r="U240" s="162"/>
      <c r="V240" s="162"/>
      <c r="W240" s="162"/>
      <c r="X240" s="162"/>
    </row>
    <row r="241" spans="1:24" ht="24" customHeight="1">
      <c r="A241" s="2"/>
      <c r="B241" s="2"/>
      <c r="C241" s="161"/>
      <c r="D241" s="161"/>
      <c r="E241" s="2"/>
      <c r="F241" s="161"/>
      <c r="G241" s="161"/>
      <c r="H241" s="161"/>
      <c r="I241" s="161"/>
      <c r="J241" s="161"/>
      <c r="K241" s="2"/>
      <c r="L241" s="117"/>
      <c r="M241" s="117"/>
      <c r="N241" s="117"/>
      <c r="O241" s="117"/>
      <c r="P241" s="162"/>
      <c r="Q241" s="162"/>
      <c r="R241" s="162"/>
      <c r="S241" s="162"/>
      <c r="T241" s="162"/>
      <c r="U241" s="162"/>
      <c r="V241" s="162"/>
      <c r="W241" s="162"/>
      <c r="X241" s="162"/>
    </row>
    <row r="242" spans="1:24" ht="24" customHeight="1">
      <c r="A242" s="2"/>
      <c r="B242" s="2"/>
      <c r="C242" s="161"/>
      <c r="D242" s="161"/>
      <c r="E242" s="2"/>
      <c r="F242" s="161"/>
      <c r="G242" s="161"/>
      <c r="H242" s="161"/>
      <c r="I242" s="161"/>
      <c r="J242" s="161"/>
      <c r="K242" s="2"/>
      <c r="L242" s="117"/>
      <c r="M242" s="117"/>
      <c r="N242" s="117"/>
      <c r="O242" s="117"/>
      <c r="P242" s="162"/>
      <c r="Q242" s="162"/>
      <c r="R242" s="162"/>
      <c r="S242" s="162"/>
      <c r="T242" s="162"/>
      <c r="U242" s="162"/>
      <c r="V242" s="162"/>
      <c r="W242" s="162"/>
      <c r="X242" s="162"/>
    </row>
    <row r="243" spans="1:24" ht="24" customHeight="1">
      <c r="A243" s="2"/>
      <c r="B243" s="2"/>
      <c r="C243" s="161"/>
      <c r="D243" s="161"/>
      <c r="E243" s="2"/>
      <c r="F243" s="161"/>
      <c r="G243" s="161"/>
      <c r="H243" s="161"/>
      <c r="I243" s="161"/>
      <c r="J243" s="161"/>
      <c r="K243" s="2"/>
      <c r="L243" s="117"/>
      <c r="M243" s="117"/>
      <c r="N243" s="117"/>
      <c r="O243" s="117"/>
      <c r="P243" s="162"/>
      <c r="Q243" s="162"/>
      <c r="R243" s="162"/>
      <c r="S243" s="162"/>
      <c r="T243" s="162"/>
      <c r="U243" s="162"/>
      <c r="V243" s="162"/>
      <c r="W243" s="162"/>
      <c r="X243" s="162"/>
    </row>
    <row r="244" spans="1:24" ht="24" customHeight="1">
      <c r="A244" s="2"/>
      <c r="B244" s="2"/>
      <c r="C244" s="161"/>
      <c r="D244" s="161"/>
      <c r="E244" s="2"/>
      <c r="F244" s="161"/>
      <c r="G244" s="161"/>
      <c r="H244" s="161"/>
      <c r="I244" s="161"/>
      <c r="J244" s="161"/>
      <c r="K244" s="2"/>
      <c r="L244" s="117"/>
      <c r="M244" s="117"/>
      <c r="N244" s="117"/>
      <c r="O244" s="117"/>
      <c r="P244" s="162"/>
      <c r="Q244" s="162"/>
      <c r="R244" s="162"/>
      <c r="S244" s="162"/>
      <c r="T244" s="162"/>
      <c r="U244" s="162"/>
      <c r="V244" s="162"/>
      <c r="W244" s="162"/>
      <c r="X244" s="162"/>
    </row>
    <row r="245" spans="1:24" ht="24" customHeight="1">
      <c r="A245" s="2"/>
      <c r="B245" s="2"/>
      <c r="C245" s="161"/>
      <c r="D245" s="161"/>
      <c r="E245" s="2"/>
      <c r="F245" s="161"/>
      <c r="G245" s="161"/>
      <c r="H245" s="161"/>
      <c r="I245" s="161"/>
      <c r="J245" s="161"/>
      <c r="K245" s="2"/>
      <c r="L245" s="117"/>
      <c r="M245" s="117"/>
      <c r="N245" s="117"/>
      <c r="O245" s="117"/>
      <c r="P245" s="162"/>
      <c r="Q245" s="162"/>
      <c r="R245" s="162"/>
      <c r="S245" s="162"/>
      <c r="T245" s="162"/>
      <c r="U245" s="162"/>
      <c r="V245" s="162"/>
      <c r="W245" s="162"/>
      <c r="X245" s="162"/>
    </row>
    <row r="246" spans="1:24" ht="24" customHeight="1">
      <c r="A246" s="2"/>
      <c r="B246" s="2"/>
      <c r="C246" s="161"/>
      <c r="D246" s="161"/>
      <c r="E246" s="2"/>
      <c r="F246" s="161"/>
      <c r="G246" s="161"/>
      <c r="H246" s="161"/>
      <c r="I246" s="161"/>
      <c r="J246" s="161"/>
      <c r="K246" s="2"/>
      <c r="L246" s="117"/>
      <c r="M246" s="117"/>
      <c r="N246" s="117"/>
      <c r="O246" s="117"/>
      <c r="P246" s="162"/>
      <c r="Q246" s="162"/>
      <c r="R246" s="162"/>
      <c r="S246" s="162"/>
      <c r="T246" s="162"/>
      <c r="U246" s="162"/>
      <c r="V246" s="162"/>
      <c r="W246" s="162"/>
      <c r="X246" s="162"/>
    </row>
    <row r="247" spans="1:24" ht="24" customHeight="1">
      <c r="A247" s="2"/>
      <c r="B247" s="2"/>
      <c r="C247" s="161"/>
      <c r="D247" s="161"/>
      <c r="E247" s="2"/>
      <c r="F247" s="161"/>
      <c r="G247" s="161"/>
      <c r="H247" s="161"/>
      <c r="I247" s="161"/>
      <c r="J247" s="161"/>
      <c r="K247" s="2"/>
      <c r="L247" s="117"/>
      <c r="M247" s="117"/>
      <c r="N247" s="117"/>
      <c r="O247" s="117"/>
      <c r="P247" s="162"/>
      <c r="Q247" s="162"/>
      <c r="R247" s="162"/>
      <c r="S247" s="162"/>
      <c r="T247" s="162"/>
      <c r="U247" s="162"/>
      <c r="V247" s="162"/>
      <c r="W247" s="162"/>
      <c r="X247" s="162"/>
    </row>
    <row r="248" spans="1:24" ht="24" customHeight="1">
      <c r="A248" s="2"/>
      <c r="B248" s="2"/>
      <c r="C248" s="161"/>
      <c r="D248" s="161"/>
      <c r="E248" s="2"/>
      <c r="F248" s="161"/>
      <c r="G248" s="161"/>
      <c r="H248" s="161"/>
      <c r="I248" s="161"/>
      <c r="J248" s="161"/>
      <c r="K248" s="2"/>
      <c r="L248" s="117"/>
      <c r="M248" s="117"/>
      <c r="N248" s="117"/>
      <c r="O248" s="117"/>
      <c r="P248" s="162"/>
      <c r="Q248" s="162"/>
      <c r="R248" s="162"/>
      <c r="S248" s="162"/>
      <c r="T248" s="162"/>
      <c r="U248" s="162"/>
      <c r="V248" s="162"/>
      <c r="W248" s="162"/>
      <c r="X248" s="162"/>
    </row>
    <row r="249" spans="1:24" ht="24" customHeight="1">
      <c r="A249" s="2"/>
      <c r="B249" s="2"/>
      <c r="C249" s="161"/>
      <c r="D249" s="161"/>
      <c r="E249" s="2"/>
      <c r="F249" s="161"/>
      <c r="G249" s="161"/>
      <c r="H249" s="161"/>
      <c r="I249" s="161"/>
      <c r="J249" s="161"/>
      <c r="K249" s="2"/>
      <c r="L249" s="117"/>
      <c r="M249" s="117"/>
      <c r="N249" s="117"/>
      <c r="O249" s="117"/>
      <c r="P249" s="162"/>
      <c r="Q249" s="162"/>
      <c r="R249" s="162"/>
      <c r="S249" s="162"/>
      <c r="T249" s="162"/>
      <c r="U249" s="162"/>
      <c r="V249" s="162"/>
      <c r="W249" s="162"/>
      <c r="X249" s="162"/>
    </row>
    <row r="250" spans="1:24" ht="24" customHeight="1">
      <c r="A250" s="2"/>
      <c r="B250" s="2"/>
      <c r="C250" s="161"/>
      <c r="D250" s="161"/>
      <c r="E250" s="2"/>
      <c r="F250" s="161"/>
      <c r="G250" s="161"/>
      <c r="H250" s="161"/>
      <c r="I250" s="161"/>
      <c r="J250" s="161"/>
      <c r="K250" s="2"/>
      <c r="L250" s="117"/>
      <c r="M250" s="117"/>
      <c r="N250" s="117"/>
      <c r="O250" s="117"/>
      <c r="P250" s="162"/>
      <c r="Q250" s="162"/>
      <c r="R250" s="162"/>
      <c r="S250" s="162"/>
      <c r="T250" s="162"/>
      <c r="U250" s="162"/>
      <c r="V250" s="162"/>
      <c r="W250" s="162"/>
      <c r="X250" s="162"/>
    </row>
    <row r="251" spans="1:24" ht="24" customHeight="1">
      <c r="A251" s="2"/>
      <c r="B251" s="2"/>
      <c r="C251" s="161"/>
      <c r="D251" s="161"/>
      <c r="E251" s="2"/>
      <c r="F251" s="161"/>
      <c r="G251" s="161"/>
      <c r="H251" s="161"/>
      <c r="I251" s="161"/>
      <c r="J251" s="161"/>
      <c r="K251" s="2"/>
      <c r="L251" s="117"/>
      <c r="M251" s="117"/>
      <c r="N251" s="117"/>
      <c r="O251" s="117"/>
      <c r="P251" s="162"/>
      <c r="Q251" s="162"/>
      <c r="R251" s="162"/>
      <c r="S251" s="162"/>
      <c r="T251" s="162"/>
      <c r="U251" s="162"/>
      <c r="V251" s="162"/>
      <c r="W251" s="162"/>
      <c r="X251" s="162"/>
    </row>
    <row r="252" spans="1:24" ht="24" customHeight="1">
      <c r="A252" s="2"/>
      <c r="B252" s="2"/>
      <c r="C252" s="161"/>
      <c r="D252" s="161"/>
      <c r="E252" s="2"/>
      <c r="F252" s="161"/>
      <c r="G252" s="161"/>
      <c r="H252" s="161"/>
      <c r="I252" s="161"/>
      <c r="J252" s="161"/>
      <c r="K252" s="2"/>
      <c r="L252" s="117"/>
      <c r="M252" s="117"/>
      <c r="N252" s="117"/>
      <c r="O252" s="117"/>
      <c r="P252" s="162"/>
      <c r="Q252" s="162"/>
      <c r="R252" s="162"/>
      <c r="S252" s="162"/>
      <c r="T252" s="162"/>
      <c r="U252" s="162"/>
      <c r="V252" s="162"/>
      <c r="W252" s="162"/>
      <c r="X252" s="162"/>
    </row>
    <row r="253" spans="1:24" ht="24" customHeight="1">
      <c r="A253" s="2"/>
      <c r="B253" s="2"/>
      <c r="C253" s="161"/>
      <c r="D253" s="161"/>
      <c r="E253" s="2"/>
      <c r="F253" s="161"/>
      <c r="G253" s="161"/>
      <c r="H253" s="161"/>
      <c r="I253" s="161"/>
      <c r="J253" s="161"/>
      <c r="K253" s="2"/>
      <c r="L253" s="117"/>
      <c r="M253" s="117"/>
      <c r="N253" s="117"/>
      <c r="O253" s="117"/>
      <c r="P253" s="162"/>
      <c r="Q253" s="162"/>
      <c r="R253" s="162"/>
      <c r="S253" s="162"/>
      <c r="T253" s="162"/>
      <c r="U253" s="162"/>
      <c r="V253" s="162"/>
      <c r="W253" s="162"/>
      <c r="X253" s="162"/>
    </row>
    <row r="254" spans="1:24" ht="24" customHeight="1">
      <c r="A254" s="2"/>
      <c r="B254" s="2"/>
      <c r="C254" s="161"/>
      <c r="D254" s="161"/>
      <c r="E254" s="2"/>
      <c r="F254" s="161"/>
      <c r="G254" s="161"/>
      <c r="H254" s="161"/>
      <c r="I254" s="161"/>
      <c r="J254" s="161"/>
      <c r="K254" s="2"/>
      <c r="L254" s="117"/>
      <c r="M254" s="117"/>
      <c r="N254" s="117"/>
      <c r="O254" s="117"/>
      <c r="P254" s="162"/>
      <c r="Q254" s="162"/>
      <c r="R254" s="162"/>
      <c r="S254" s="162"/>
      <c r="T254" s="162"/>
      <c r="U254" s="162"/>
      <c r="V254" s="162"/>
      <c r="W254" s="162"/>
      <c r="X254" s="162"/>
    </row>
    <row r="255" spans="1:24" ht="24" customHeight="1">
      <c r="A255" s="2"/>
      <c r="B255" s="2"/>
      <c r="C255" s="161"/>
      <c r="D255" s="161"/>
      <c r="E255" s="2"/>
      <c r="F255" s="161"/>
      <c r="G255" s="161"/>
      <c r="H255" s="161"/>
      <c r="I255" s="161"/>
      <c r="J255" s="161"/>
      <c r="K255" s="2"/>
      <c r="L255" s="117"/>
      <c r="M255" s="117"/>
      <c r="N255" s="117"/>
      <c r="O255" s="117"/>
      <c r="P255" s="162"/>
      <c r="Q255" s="162"/>
      <c r="R255" s="162"/>
      <c r="S255" s="162"/>
      <c r="T255" s="162"/>
      <c r="U255" s="162"/>
      <c r="V255" s="162"/>
      <c r="W255" s="162"/>
      <c r="X255" s="162"/>
    </row>
    <row r="256" spans="1:24" ht="24" customHeight="1">
      <c r="A256" s="2"/>
      <c r="B256" s="2"/>
      <c r="C256" s="161"/>
      <c r="D256" s="161"/>
      <c r="E256" s="2"/>
      <c r="F256" s="161"/>
      <c r="G256" s="161"/>
      <c r="H256" s="161"/>
      <c r="I256" s="161"/>
      <c r="J256" s="161"/>
      <c r="K256" s="2"/>
      <c r="L256" s="117"/>
      <c r="M256" s="117"/>
      <c r="N256" s="117"/>
      <c r="O256" s="117"/>
      <c r="P256" s="162"/>
      <c r="Q256" s="162"/>
      <c r="R256" s="162"/>
      <c r="S256" s="162"/>
      <c r="T256" s="162"/>
      <c r="U256" s="162"/>
      <c r="V256" s="162"/>
      <c r="W256" s="162"/>
      <c r="X256" s="162"/>
    </row>
    <row r="257" spans="1:24" ht="24" customHeight="1">
      <c r="A257" s="2"/>
      <c r="B257" s="2"/>
      <c r="C257" s="161"/>
      <c r="D257" s="161"/>
      <c r="E257" s="2"/>
      <c r="F257" s="161"/>
      <c r="G257" s="161"/>
      <c r="H257" s="161"/>
      <c r="I257" s="161"/>
      <c r="J257" s="161"/>
      <c r="K257" s="2"/>
      <c r="L257" s="117"/>
      <c r="M257" s="117"/>
      <c r="N257" s="117"/>
      <c r="O257" s="117"/>
      <c r="P257" s="162"/>
      <c r="Q257" s="162"/>
      <c r="R257" s="162"/>
      <c r="S257" s="162"/>
      <c r="T257" s="162"/>
      <c r="U257" s="162"/>
      <c r="V257" s="162"/>
      <c r="W257" s="162"/>
      <c r="X257" s="162"/>
    </row>
    <row r="258" spans="1:24" ht="24" customHeight="1">
      <c r="A258" s="2"/>
      <c r="B258" s="2"/>
      <c r="C258" s="161"/>
      <c r="D258" s="161"/>
      <c r="E258" s="2"/>
      <c r="F258" s="161"/>
      <c r="G258" s="161"/>
      <c r="H258" s="161"/>
      <c r="I258" s="161"/>
      <c r="J258" s="161"/>
      <c r="K258" s="2"/>
      <c r="L258" s="117"/>
      <c r="M258" s="117"/>
      <c r="N258" s="117"/>
      <c r="O258" s="117"/>
      <c r="P258" s="162"/>
      <c r="Q258" s="162"/>
      <c r="R258" s="162"/>
      <c r="S258" s="162"/>
      <c r="T258" s="162"/>
      <c r="U258" s="162"/>
      <c r="V258" s="162"/>
      <c r="W258" s="162"/>
      <c r="X258" s="162"/>
    </row>
    <row r="259" spans="1:24" ht="24" customHeight="1">
      <c r="A259" s="2"/>
      <c r="B259" s="2"/>
      <c r="C259" s="161"/>
      <c r="D259" s="161"/>
      <c r="E259" s="2"/>
      <c r="F259" s="161"/>
      <c r="G259" s="161"/>
      <c r="H259" s="161"/>
      <c r="I259" s="161"/>
      <c r="J259" s="161"/>
      <c r="K259" s="2"/>
      <c r="L259" s="117"/>
      <c r="M259" s="117"/>
      <c r="N259" s="117"/>
      <c r="O259" s="117"/>
      <c r="P259" s="162"/>
      <c r="Q259" s="162"/>
      <c r="R259" s="162"/>
      <c r="S259" s="162"/>
      <c r="T259" s="162"/>
      <c r="U259" s="162"/>
      <c r="V259" s="162"/>
      <c r="W259" s="162"/>
      <c r="X259" s="162"/>
    </row>
    <row r="260" spans="1:24" ht="24" customHeight="1">
      <c r="A260" s="2"/>
      <c r="B260" s="2"/>
      <c r="C260" s="161"/>
      <c r="D260" s="161"/>
      <c r="E260" s="2"/>
      <c r="F260" s="161"/>
      <c r="G260" s="161"/>
      <c r="H260" s="161"/>
      <c r="I260" s="161"/>
      <c r="J260" s="161"/>
      <c r="K260" s="2"/>
      <c r="L260" s="117"/>
      <c r="M260" s="117"/>
      <c r="N260" s="117"/>
      <c r="O260" s="117"/>
      <c r="P260" s="162"/>
      <c r="Q260" s="162"/>
      <c r="R260" s="162"/>
      <c r="S260" s="162"/>
      <c r="T260" s="162"/>
      <c r="U260" s="162"/>
      <c r="V260" s="162"/>
      <c r="W260" s="162"/>
      <c r="X260" s="162"/>
    </row>
    <row r="261" spans="1:24" ht="24" customHeight="1">
      <c r="A261" s="2"/>
      <c r="B261" s="2"/>
      <c r="C261" s="161"/>
      <c r="D261" s="161"/>
      <c r="E261" s="2"/>
      <c r="F261" s="161"/>
      <c r="G261" s="161"/>
      <c r="H261" s="161"/>
      <c r="I261" s="161"/>
      <c r="J261" s="161"/>
      <c r="K261" s="2"/>
      <c r="L261" s="117"/>
      <c r="M261" s="117"/>
      <c r="N261" s="117"/>
      <c r="O261" s="117"/>
      <c r="P261" s="162"/>
      <c r="Q261" s="162"/>
      <c r="R261" s="162"/>
      <c r="S261" s="162"/>
      <c r="T261" s="162"/>
      <c r="U261" s="162"/>
      <c r="V261" s="162"/>
      <c r="W261" s="162"/>
      <c r="X261" s="162"/>
    </row>
    <row r="262" spans="1:24" ht="24" customHeight="1">
      <c r="A262" s="2"/>
      <c r="B262" s="2"/>
      <c r="C262" s="161"/>
      <c r="D262" s="161"/>
      <c r="E262" s="2"/>
      <c r="F262" s="161"/>
      <c r="G262" s="161"/>
      <c r="H262" s="161"/>
      <c r="I262" s="161"/>
      <c r="J262" s="161"/>
      <c r="K262" s="2"/>
      <c r="L262" s="117"/>
      <c r="M262" s="117"/>
      <c r="N262" s="117"/>
      <c r="O262" s="117"/>
      <c r="P262" s="162"/>
      <c r="Q262" s="162"/>
      <c r="R262" s="162"/>
      <c r="S262" s="162"/>
      <c r="T262" s="162"/>
      <c r="U262" s="162"/>
      <c r="V262" s="162"/>
      <c r="W262" s="162"/>
      <c r="X262" s="162"/>
    </row>
    <row r="263" spans="1:24" ht="24" customHeight="1">
      <c r="A263" s="2"/>
      <c r="B263" s="2"/>
      <c r="C263" s="161"/>
      <c r="D263" s="161"/>
      <c r="E263" s="2"/>
      <c r="F263" s="161"/>
      <c r="G263" s="161"/>
      <c r="H263" s="161"/>
      <c r="I263" s="161"/>
      <c r="J263" s="161"/>
      <c r="K263" s="2"/>
      <c r="L263" s="117"/>
      <c r="M263" s="117"/>
      <c r="N263" s="117"/>
      <c r="O263" s="117"/>
      <c r="P263" s="162"/>
      <c r="Q263" s="162"/>
      <c r="R263" s="162"/>
      <c r="S263" s="162"/>
      <c r="T263" s="162"/>
      <c r="U263" s="162"/>
      <c r="V263" s="162"/>
      <c r="W263" s="162"/>
      <c r="X263" s="162"/>
    </row>
    <row r="264" spans="1:24" ht="24" customHeight="1">
      <c r="A264" s="2"/>
      <c r="B264" s="2"/>
      <c r="C264" s="161"/>
      <c r="D264" s="161"/>
      <c r="E264" s="2"/>
      <c r="F264" s="161"/>
      <c r="G264" s="161"/>
      <c r="H264" s="161"/>
      <c r="I264" s="161"/>
      <c r="J264" s="161"/>
      <c r="K264" s="2"/>
      <c r="L264" s="117"/>
      <c r="M264" s="117"/>
      <c r="N264" s="117"/>
      <c r="O264" s="117"/>
      <c r="P264" s="162"/>
      <c r="Q264" s="162"/>
      <c r="R264" s="162"/>
      <c r="S264" s="162"/>
      <c r="T264" s="162"/>
      <c r="U264" s="162"/>
      <c r="V264" s="162"/>
      <c r="W264" s="162"/>
      <c r="X264" s="162"/>
    </row>
    <row r="265" spans="1:24" ht="24" customHeight="1">
      <c r="A265" s="2"/>
      <c r="B265" s="2"/>
      <c r="C265" s="161"/>
      <c r="D265" s="161"/>
      <c r="E265" s="2"/>
      <c r="F265" s="161"/>
      <c r="G265" s="161"/>
      <c r="H265" s="161"/>
      <c r="I265" s="161"/>
      <c r="J265" s="161"/>
      <c r="K265" s="2"/>
      <c r="L265" s="117"/>
      <c r="M265" s="117"/>
      <c r="N265" s="117"/>
      <c r="O265" s="117"/>
      <c r="P265" s="162"/>
      <c r="Q265" s="162"/>
      <c r="R265" s="162"/>
      <c r="S265" s="162"/>
      <c r="T265" s="162"/>
      <c r="U265" s="162"/>
      <c r="V265" s="162"/>
      <c r="W265" s="162"/>
      <c r="X265" s="162"/>
    </row>
    <row r="266" spans="1:24" ht="24" customHeight="1">
      <c r="A266" s="2"/>
      <c r="B266" s="2"/>
      <c r="C266" s="161"/>
      <c r="D266" s="161"/>
      <c r="E266" s="2"/>
      <c r="F266" s="161"/>
      <c r="G266" s="161"/>
      <c r="H266" s="161"/>
      <c r="I266" s="161"/>
      <c r="J266" s="161"/>
      <c r="K266" s="2"/>
      <c r="L266" s="117"/>
      <c r="M266" s="117"/>
      <c r="N266" s="117"/>
      <c r="O266" s="117"/>
      <c r="P266" s="162"/>
      <c r="Q266" s="162"/>
      <c r="R266" s="162"/>
      <c r="S266" s="162"/>
      <c r="T266" s="162"/>
      <c r="U266" s="162"/>
      <c r="V266" s="162"/>
      <c r="W266" s="162"/>
      <c r="X266" s="162"/>
    </row>
    <row r="267" spans="1:24" ht="24" customHeight="1">
      <c r="A267" s="2"/>
      <c r="B267" s="2"/>
      <c r="C267" s="161"/>
      <c r="D267" s="161"/>
      <c r="E267" s="2"/>
      <c r="F267" s="161"/>
      <c r="G267" s="161"/>
      <c r="H267" s="161"/>
      <c r="I267" s="161"/>
      <c r="J267" s="161"/>
      <c r="K267" s="2"/>
      <c r="L267" s="117"/>
      <c r="M267" s="117"/>
      <c r="N267" s="117"/>
      <c r="O267" s="117"/>
      <c r="P267" s="162"/>
      <c r="Q267" s="162"/>
      <c r="R267" s="162"/>
      <c r="S267" s="162"/>
      <c r="T267" s="162"/>
      <c r="U267" s="162"/>
      <c r="V267" s="162"/>
      <c r="W267" s="162"/>
      <c r="X267" s="162"/>
    </row>
    <row r="268" spans="1:24" ht="24" customHeight="1">
      <c r="A268" s="2"/>
      <c r="B268" s="2"/>
      <c r="C268" s="161"/>
      <c r="D268" s="161"/>
      <c r="E268" s="2"/>
      <c r="F268" s="161"/>
      <c r="G268" s="161"/>
      <c r="H268" s="161"/>
      <c r="I268" s="161"/>
      <c r="J268" s="161"/>
      <c r="K268" s="2"/>
      <c r="L268" s="117"/>
      <c r="M268" s="117"/>
      <c r="N268" s="117"/>
      <c r="O268" s="117"/>
      <c r="P268" s="162"/>
      <c r="Q268" s="162"/>
      <c r="R268" s="162"/>
      <c r="S268" s="162"/>
      <c r="T268" s="162"/>
      <c r="U268" s="162"/>
      <c r="V268" s="162"/>
      <c r="W268" s="162"/>
      <c r="X268" s="162"/>
    </row>
    <row r="269" spans="1:24" ht="24" customHeight="1">
      <c r="A269" s="2"/>
      <c r="B269" s="2"/>
      <c r="C269" s="161"/>
      <c r="D269" s="161"/>
      <c r="E269" s="2"/>
      <c r="F269" s="161"/>
      <c r="G269" s="161"/>
      <c r="H269" s="161"/>
      <c r="I269" s="161"/>
      <c r="J269" s="161"/>
      <c r="K269" s="2"/>
      <c r="L269" s="117"/>
      <c r="M269" s="117"/>
      <c r="N269" s="117"/>
      <c r="O269" s="117"/>
      <c r="P269" s="162"/>
      <c r="Q269" s="162"/>
      <c r="R269" s="162"/>
      <c r="S269" s="162"/>
      <c r="T269" s="162"/>
      <c r="U269" s="162"/>
      <c r="V269" s="162"/>
      <c r="W269" s="162"/>
      <c r="X269" s="162"/>
    </row>
    <row r="270" spans="1:24" ht="24" customHeight="1">
      <c r="A270" s="2"/>
      <c r="B270" s="2"/>
      <c r="C270" s="161"/>
      <c r="D270" s="161"/>
      <c r="E270" s="2"/>
      <c r="F270" s="161"/>
      <c r="G270" s="161"/>
      <c r="H270" s="161"/>
      <c r="I270" s="161"/>
      <c r="J270" s="161"/>
      <c r="K270" s="2"/>
      <c r="L270" s="117"/>
      <c r="M270" s="117"/>
      <c r="N270" s="117"/>
      <c r="O270" s="117"/>
      <c r="P270" s="162"/>
      <c r="Q270" s="162"/>
      <c r="R270" s="162"/>
      <c r="S270" s="162"/>
      <c r="T270" s="162"/>
      <c r="U270" s="162"/>
      <c r="V270" s="162"/>
      <c r="W270" s="162"/>
      <c r="X270" s="162"/>
    </row>
    <row r="271" spans="1:24" ht="24" customHeight="1">
      <c r="A271" s="2"/>
      <c r="B271" s="2"/>
      <c r="C271" s="161"/>
      <c r="D271" s="161"/>
      <c r="E271" s="2"/>
      <c r="F271" s="161"/>
      <c r="G271" s="161"/>
      <c r="H271" s="161"/>
      <c r="I271" s="161"/>
      <c r="J271" s="161"/>
      <c r="K271" s="2"/>
      <c r="L271" s="117"/>
      <c r="M271" s="117"/>
      <c r="N271" s="117"/>
      <c r="O271" s="117"/>
      <c r="P271" s="162"/>
      <c r="Q271" s="162"/>
      <c r="R271" s="162"/>
      <c r="S271" s="162"/>
      <c r="T271" s="162"/>
      <c r="U271" s="162"/>
      <c r="V271" s="162"/>
      <c r="W271" s="162"/>
      <c r="X271" s="162"/>
    </row>
    <row r="272" spans="1:24" ht="24" customHeight="1">
      <c r="A272" s="2"/>
      <c r="B272" s="2"/>
      <c r="C272" s="161"/>
      <c r="D272" s="161"/>
      <c r="E272" s="2"/>
      <c r="F272" s="161"/>
      <c r="G272" s="161"/>
      <c r="H272" s="161"/>
      <c r="I272" s="161"/>
      <c r="J272" s="161"/>
      <c r="K272" s="2"/>
      <c r="L272" s="117"/>
      <c r="M272" s="117"/>
      <c r="N272" s="117"/>
      <c r="O272" s="117"/>
      <c r="P272" s="162"/>
      <c r="Q272" s="162"/>
      <c r="R272" s="162"/>
      <c r="S272" s="162"/>
      <c r="T272" s="162"/>
      <c r="U272" s="162"/>
      <c r="V272" s="162"/>
      <c r="W272" s="162"/>
      <c r="X272" s="162"/>
    </row>
    <row r="273" spans="1:24" ht="24" customHeight="1">
      <c r="A273" s="2"/>
      <c r="B273" s="2"/>
      <c r="C273" s="161"/>
      <c r="D273" s="161"/>
      <c r="E273" s="2"/>
      <c r="F273" s="161"/>
      <c r="G273" s="161"/>
      <c r="H273" s="161"/>
      <c r="I273" s="161"/>
      <c r="J273" s="161"/>
      <c r="K273" s="2"/>
      <c r="L273" s="117"/>
      <c r="M273" s="117"/>
      <c r="N273" s="117"/>
      <c r="O273" s="117"/>
      <c r="P273" s="162"/>
      <c r="Q273" s="162"/>
      <c r="R273" s="162"/>
      <c r="S273" s="162"/>
      <c r="T273" s="162"/>
      <c r="U273" s="162"/>
      <c r="V273" s="162"/>
      <c r="W273" s="162"/>
      <c r="X273" s="162"/>
    </row>
    <row r="274" spans="1:24" ht="24" customHeight="1">
      <c r="A274" s="2"/>
      <c r="B274" s="2"/>
      <c r="C274" s="161"/>
      <c r="D274" s="161"/>
      <c r="E274" s="2"/>
      <c r="F274" s="161"/>
      <c r="G274" s="161"/>
      <c r="H274" s="161"/>
      <c r="I274" s="161"/>
      <c r="J274" s="161"/>
      <c r="K274" s="2"/>
      <c r="L274" s="117"/>
      <c r="M274" s="117"/>
      <c r="N274" s="117"/>
      <c r="O274" s="117"/>
      <c r="P274" s="162"/>
      <c r="Q274" s="162"/>
      <c r="R274" s="162"/>
      <c r="S274" s="162"/>
      <c r="T274" s="162"/>
      <c r="U274" s="162"/>
      <c r="V274" s="162"/>
      <c r="W274" s="162"/>
      <c r="X274" s="162"/>
    </row>
    <row r="275" spans="1:24" ht="24" customHeight="1">
      <c r="A275" s="2"/>
      <c r="B275" s="2"/>
      <c r="C275" s="161"/>
      <c r="D275" s="161"/>
      <c r="E275" s="2"/>
      <c r="F275" s="161"/>
      <c r="G275" s="161"/>
      <c r="H275" s="161"/>
      <c r="I275" s="161"/>
      <c r="J275" s="161"/>
      <c r="K275" s="2"/>
      <c r="L275" s="117"/>
      <c r="M275" s="117"/>
      <c r="N275" s="117"/>
      <c r="O275" s="117"/>
      <c r="P275" s="162"/>
      <c r="Q275" s="162"/>
      <c r="R275" s="162"/>
      <c r="S275" s="162"/>
      <c r="T275" s="162"/>
      <c r="U275" s="162"/>
      <c r="V275" s="162"/>
      <c r="W275" s="162"/>
      <c r="X275" s="162"/>
    </row>
    <row r="276" spans="1:24" ht="24" customHeight="1">
      <c r="A276" s="2"/>
      <c r="B276" s="2"/>
      <c r="C276" s="161"/>
      <c r="D276" s="161"/>
      <c r="E276" s="2"/>
      <c r="F276" s="161"/>
      <c r="G276" s="161"/>
      <c r="H276" s="161"/>
      <c r="I276" s="161"/>
      <c r="J276" s="161"/>
      <c r="K276" s="2"/>
      <c r="L276" s="117"/>
      <c r="M276" s="117"/>
      <c r="N276" s="117"/>
      <c r="O276" s="117"/>
      <c r="P276" s="162"/>
      <c r="Q276" s="162"/>
      <c r="R276" s="162"/>
      <c r="S276" s="162"/>
      <c r="T276" s="162"/>
      <c r="U276" s="162"/>
      <c r="V276" s="162"/>
      <c r="W276" s="162"/>
      <c r="X276" s="162"/>
    </row>
    <row r="277" spans="1:24" ht="24" customHeight="1">
      <c r="A277" s="2"/>
      <c r="B277" s="2"/>
      <c r="C277" s="161"/>
      <c r="D277" s="161"/>
      <c r="E277" s="2"/>
      <c r="F277" s="161"/>
      <c r="G277" s="161"/>
      <c r="H277" s="161"/>
      <c r="I277" s="161"/>
      <c r="J277" s="161"/>
      <c r="K277" s="2"/>
      <c r="L277" s="117"/>
      <c r="M277" s="117"/>
      <c r="N277" s="117"/>
      <c r="O277" s="117"/>
      <c r="P277" s="162"/>
      <c r="Q277" s="162"/>
      <c r="R277" s="162"/>
      <c r="S277" s="162"/>
      <c r="T277" s="162"/>
      <c r="U277" s="162"/>
      <c r="V277" s="162"/>
      <c r="W277" s="162"/>
      <c r="X277" s="162"/>
    </row>
    <row r="278" spans="1:24" ht="24" customHeight="1">
      <c r="A278" s="2"/>
      <c r="B278" s="2"/>
      <c r="C278" s="161"/>
      <c r="D278" s="161"/>
      <c r="E278" s="2"/>
      <c r="F278" s="161"/>
      <c r="G278" s="161"/>
      <c r="H278" s="161"/>
      <c r="I278" s="161"/>
      <c r="J278" s="161"/>
      <c r="K278" s="2"/>
      <c r="L278" s="117"/>
      <c r="M278" s="117"/>
      <c r="N278" s="117"/>
      <c r="O278" s="117"/>
      <c r="P278" s="162"/>
      <c r="Q278" s="162"/>
      <c r="R278" s="162"/>
      <c r="S278" s="162"/>
      <c r="T278" s="162"/>
      <c r="U278" s="162"/>
      <c r="V278" s="162"/>
      <c r="W278" s="162"/>
      <c r="X278" s="162"/>
    </row>
    <row r="279" spans="1:24" ht="24" customHeight="1">
      <c r="A279" s="2"/>
      <c r="B279" s="2"/>
      <c r="C279" s="161"/>
      <c r="D279" s="161"/>
      <c r="E279" s="2"/>
      <c r="F279" s="161"/>
      <c r="G279" s="161"/>
      <c r="H279" s="161"/>
      <c r="I279" s="161"/>
      <c r="J279" s="161"/>
      <c r="K279" s="2"/>
      <c r="L279" s="117"/>
      <c r="M279" s="117"/>
      <c r="N279" s="117"/>
      <c r="O279" s="117"/>
      <c r="P279" s="162"/>
      <c r="Q279" s="162"/>
      <c r="R279" s="162"/>
      <c r="S279" s="162"/>
      <c r="T279" s="162"/>
      <c r="U279" s="162"/>
      <c r="V279" s="162"/>
      <c r="W279" s="162"/>
      <c r="X279" s="162"/>
    </row>
    <row r="280" spans="1:24" ht="24" customHeight="1">
      <c r="A280" s="2"/>
      <c r="B280" s="2"/>
      <c r="C280" s="161"/>
      <c r="D280" s="161"/>
      <c r="E280" s="2"/>
      <c r="F280" s="161"/>
      <c r="G280" s="161"/>
      <c r="H280" s="161"/>
      <c r="I280" s="161"/>
      <c r="J280" s="161"/>
      <c r="K280" s="2"/>
      <c r="L280" s="117"/>
      <c r="M280" s="117"/>
      <c r="N280" s="117"/>
      <c r="O280" s="117"/>
      <c r="P280" s="162"/>
      <c r="Q280" s="162"/>
      <c r="R280" s="162"/>
      <c r="S280" s="162"/>
      <c r="T280" s="162"/>
      <c r="U280" s="162"/>
      <c r="V280" s="162"/>
      <c r="W280" s="162"/>
      <c r="X280" s="162"/>
    </row>
    <row r="281" spans="1:24" ht="24" customHeight="1">
      <c r="A281" s="2"/>
      <c r="B281" s="2"/>
      <c r="C281" s="161"/>
      <c r="D281" s="161"/>
      <c r="E281" s="2"/>
      <c r="F281" s="161"/>
      <c r="G281" s="161"/>
      <c r="H281" s="161"/>
      <c r="I281" s="161"/>
      <c r="J281" s="161"/>
      <c r="K281" s="2"/>
      <c r="L281" s="117"/>
      <c r="M281" s="117"/>
      <c r="N281" s="117"/>
      <c r="O281" s="117"/>
      <c r="P281" s="162"/>
      <c r="Q281" s="162"/>
      <c r="R281" s="162"/>
      <c r="S281" s="162"/>
      <c r="T281" s="162"/>
      <c r="U281" s="162"/>
      <c r="V281" s="162"/>
      <c r="W281" s="162"/>
      <c r="X281" s="162"/>
    </row>
    <row r="282" spans="1:24" ht="24" customHeight="1">
      <c r="A282" s="2"/>
      <c r="B282" s="2"/>
      <c r="C282" s="161"/>
      <c r="D282" s="161"/>
      <c r="E282" s="2"/>
      <c r="F282" s="161"/>
      <c r="G282" s="161"/>
      <c r="H282" s="161"/>
      <c r="I282" s="161"/>
      <c r="J282" s="161"/>
      <c r="K282" s="2"/>
      <c r="L282" s="117"/>
      <c r="M282" s="117"/>
      <c r="N282" s="117"/>
      <c r="O282" s="117"/>
      <c r="P282" s="162"/>
      <c r="Q282" s="162"/>
      <c r="R282" s="162"/>
      <c r="S282" s="162"/>
      <c r="T282" s="162"/>
      <c r="U282" s="162"/>
      <c r="V282" s="162"/>
      <c r="W282" s="162"/>
      <c r="X282" s="162"/>
    </row>
    <row r="283" spans="1:24" ht="24" customHeight="1">
      <c r="A283" s="2"/>
      <c r="B283" s="2"/>
      <c r="C283" s="161"/>
      <c r="D283" s="161"/>
      <c r="E283" s="2"/>
      <c r="F283" s="161"/>
      <c r="G283" s="161"/>
      <c r="H283" s="161"/>
      <c r="I283" s="161"/>
      <c r="J283" s="161"/>
      <c r="K283" s="2"/>
      <c r="L283" s="117"/>
      <c r="M283" s="117"/>
      <c r="N283" s="117"/>
      <c r="O283" s="117"/>
      <c r="P283" s="162"/>
      <c r="Q283" s="162"/>
      <c r="R283" s="162"/>
      <c r="S283" s="162"/>
      <c r="T283" s="162"/>
      <c r="U283" s="162"/>
      <c r="V283" s="162"/>
      <c r="W283" s="162"/>
      <c r="X283" s="162"/>
    </row>
    <row r="284" spans="1:24" ht="24" customHeight="1">
      <c r="A284" s="2"/>
      <c r="B284" s="2"/>
      <c r="C284" s="161"/>
      <c r="D284" s="161"/>
      <c r="E284" s="2"/>
      <c r="F284" s="161"/>
      <c r="G284" s="161"/>
      <c r="H284" s="161"/>
      <c r="I284" s="161"/>
      <c r="J284" s="161"/>
      <c r="K284" s="2"/>
      <c r="L284" s="117"/>
      <c r="M284" s="117"/>
      <c r="N284" s="117"/>
      <c r="O284" s="117"/>
      <c r="P284" s="162"/>
      <c r="Q284" s="162"/>
      <c r="R284" s="162"/>
      <c r="S284" s="162"/>
      <c r="T284" s="162"/>
      <c r="U284" s="162"/>
      <c r="V284" s="162"/>
      <c r="W284" s="162"/>
      <c r="X284" s="162"/>
    </row>
    <row r="285" spans="1:24" ht="24" customHeight="1">
      <c r="A285" s="2"/>
      <c r="B285" s="2"/>
      <c r="C285" s="161"/>
      <c r="D285" s="161"/>
      <c r="E285" s="2"/>
      <c r="F285" s="161"/>
      <c r="G285" s="161"/>
      <c r="H285" s="161"/>
      <c r="I285" s="161"/>
      <c r="J285" s="161"/>
      <c r="K285" s="2"/>
      <c r="L285" s="117"/>
      <c r="M285" s="117"/>
      <c r="N285" s="117"/>
      <c r="O285" s="117"/>
      <c r="P285" s="162"/>
      <c r="Q285" s="162"/>
      <c r="R285" s="162"/>
      <c r="S285" s="162"/>
      <c r="T285" s="162"/>
      <c r="U285" s="162"/>
      <c r="V285" s="162"/>
      <c r="W285" s="162"/>
      <c r="X285" s="162"/>
    </row>
    <row r="286" spans="1:24" ht="24" customHeight="1">
      <c r="A286" s="2"/>
      <c r="B286" s="2"/>
      <c r="C286" s="161"/>
      <c r="D286" s="161"/>
      <c r="E286" s="2"/>
      <c r="F286" s="161"/>
      <c r="G286" s="161"/>
      <c r="H286" s="161"/>
      <c r="I286" s="161"/>
      <c r="J286" s="161"/>
      <c r="K286" s="2"/>
      <c r="L286" s="117"/>
      <c r="M286" s="117"/>
      <c r="N286" s="117"/>
      <c r="O286" s="117"/>
      <c r="P286" s="162"/>
      <c r="Q286" s="162"/>
      <c r="R286" s="162"/>
      <c r="S286" s="162"/>
      <c r="T286" s="162"/>
      <c r="U286" s="162"/>
      <c r="V286" s="162"/>
      <c r="W286" s="162"/>
      <c r="X286" s="162"/>
    </row>
    <row r="287" spans="1:24" ht="24" customHeight="1">
      <c r="A287" s="2"/>
      <c r="B287" s="2"/>
      <c r="C287" s="161"/>
      <c r="D287" s="161"/>
      <c r="E287" s="2"/>
      <c r="F287" s="161"/>
      <c r="G287" s="161"/>
      <c r="H287" s="161"/>
      <c r="I287" s="161"/>
      <c r="J287" s="161"/>
      <c r="K287" s="2"/>
      <c r="L287" s="117"/>
      <c r="M287" s="117"/>
      <c r="N287" s="117"/>
      <c r="O287" s="117"/>
      <c r="P287" s="162"/>
      <c r="Q287" s="162"/>
      <c r="R287" s="162"/>
      <c r="S287" s="162"/>
      <c r="T287" s="162"/>
      <c r="U287" s="162"/>
      <c r="V287" s="162"/>
      <c r="W287" s="162"/>
      <c r="X287" s="162"/>
    </row>
    <row r="288" spans="1:24" ht="24" customHeight="1">
      <c r="A288" s="2"/>
      <c r="B288" s="2"/>
      <c r="C288" s="161"/>
      <c r="D288" s="161"/>
      <c r="E288" s="2"/>
      <c r="F288" s="161"/>
      <c r="G288" s="161"/>
      <c r="H288" s="161"/>
      <c r="I288" s="161"/>
      <c r="J288" s="161"/>
      <c r="K288" s="2"/>
      <c r="L288" s="117"/>
      <c r="M288" s="117"/>
      <c r="N288" s="117"/>
      <c r="O288" s="117"/>
      <c r="P288" s="162"/>
      <c r="Q288" s="162"/>
      <c r="R288" s="162"/>
      <c r="S288" s="162"/>
      <c r="T288" s="162"/>
      <c r="U288" s="162"/>
      <c r="V288" s="162"/>
      <c r="W288" s="162"/>
      <c r="X288" s="162"/>
    </row>
    <row r="289" spans="1:24" ht="24" customHeight="1">
      <c r="A289" s="2"/>
      <c r="B289" s="2"/>
      <c r="C289" s="161"/>
      <c r="D289" s="161"/>
      <c r="E289" s="2"/>
      <c r="F289" s="161"/>
      <c r="G289" s="161"/>
      <c r="H289" s="161"/>
      <c r="I289" s="161"/>
      <c r="J289" s="161"/>
      <c r="K289" s="2"/>
      <c r="L289" s="117"/>
      <c r="M289" s="117"/>
      <c r="N289" s="117"/>
      <c r="O289" s="117"/>
      <c r="P289" s="162"/>
      <c r="Q289" s="162"/>
      <c r="R289" s="162"/>
      <c r="S289" s="162"/>
      <c r="T289" s="162"/>
      <c r="U289" s="162"/>
      <c r="V289" s="162"/>
      <c r="W289" s="162"/>
      <c r="X289" s="162"/>
    </row>
    <row r="290" spans="1:24" ht="24" customHeight="1">
      <c r="A290" s="2"/>
      <c r="B290" s="2"/>
      <c r="C290" s="161"/>
      <c r="D290" s="161"/>
      <c r="E290" s="2"/>
      <c r="F290" s="161"/>
      <c r="G290" s="161"/>
      <c r="H290" s="161"/>
      <c r="I290" s="161"/>
      <c r="J290" s="161"/>
      <c r="K290" s="2"/>
      <c r="L290" s="117"/>
      <c r="M290" s="117"/>
      <c r="N290" s="117"/>
      <c r="O290" s="117"/>
      <c r="P290" s="162"/>
      <c r="Q290" s="162"/>
      <c r="R290" s="162"/>
      <c r="S290" s="162"/>
      <c r="T290" s="162"/>
      <c r="U290" s="162"/>
      <c r="V290" s="162"/>
      <c r="W290" s="162"/>
      <c r="X290" s="162"/>
    </row>
    <row r="291" spans="1:24" ht="24" customHeight="1">
      <c r="A291" s="2"/>
      <c r="B291" s="2"/>
      <c r="C291" s="161"/>
      <c r="D291" s="161"/>
      <c r="E291" s="2"/>
      <c r="F291" s="161"/>
      <c r="G291" s="161"/>
      <c r="H291" s="161"/>
      <c r="I291" s="161"/>
      <c r="J291" s="161"/>
      <c r="K291" s="2"/>
      <c r="L291" s="117"/>
      <c r="M291" s="117"/>
      <c r="N291" s="117"/>
      <c r="O291" s="117"/>
      <c r="P291" s="162"/>
      <c r="Q291" s="162"/>
      <c r="R291" s="162"/>
      <c r="S291" s="162"/>
      <c r="T291" s="162"/>
      <c r="U291" s="162"/>
      <c r="V291" s="162"/>
      <c r="W291" s="162"/>
      <c r="X291" s="162"/>
    </row>
    <row r="292" spans="1:24" ht="24" customHeight="1">
      <c r="A292" s="2"/>
      <c r="B292" s="2"/>
      <c r="C292" s="161"/>
      <c r="D292" s="161"/>
      <c r="E292" s="2"/>
      <c r="F292" s="161"/>
      <c r="G292" s="161"/>
      <c r="H292" s="161"/>
      <c r="I292" s="161"/>
      <c r="J292" s="161"/>
      <c r="K292" s="2"/>
      <c r="L292" s="117"/>
      <c r="M292" s="117"/>
      <c r="N292" s="117"/>
      <c r="O292" s="117"/>
      <c r="P292" s="162"/>
      <c r="Q292" s="162"/>
      <c r="R292" s="162"/>
      <c r="S292" s="162"/>
      <c r="T292" s="162"/>
      <c r="U292" s="162"/>
      <c r="V292" s="162"/>
      <c r="W292" s="162"/>
      <c r="X292" s="162"/>
    </row>
    <row r="293" spans="1:24" ht="24" customHeight="1">
      <c r="A293" s="2"/>
      <c r="B293" s="2"/>
      <c r="C293" s="161"/>
      <c r="D293" s="161"/>
      <c r="E293" s="2"/>
      <c r="F293" s="161"/>
      <c r="G293" s="161"/>
      <c r="H293" s="161"/>
      <c r="I293" s="161"/>
      <c r="J293" s="161"/>
      <c r="K293" s="2"/>
      <c r="L293" s="117"/>
      <c r="M293" s="117"/>
      <c r="N293" s="117"/>
      <c r="O293" s="117"/>
      <c r="P293" s="162"/>
      <c r="Q293" s="162"/>
      <c r="R293" s="162"/>
      <c r="S293" s="162"/>
      <c r="T293" s="162"/>
      <c r="U293" s="162"/>
      <c r="V293" s="162"/>
      <c r="W293" s="162"/>
      <c r="X293" s="162"/>
    </row>
    <row r="294" spans="1:24" ht="24" customHeight="1">
      <c r="A294" s="2"/>
      <c r="B294" s="2"/>
      <c r="C294" s="161"/>
      <c r="D294" s="161"/>
      <c r="E294" s="2"/>
      <c r="F294" s="161"/>
      <c r="G294" s="161"/>
      <c r="H294" s="161"/>
      <c r="I294" s="161"/>
      <c r="J294" s="161"/>
      <c r="K294" s="2"/>
      <c r="L294" s="117"/>
      <c r="M294" s="117"/>
      <c r="N294" s="117"/>
      <c r="O294" s="117"/>
      <c r="P294" s="162"/>
      <c r="Q294" s="162"/>
      <c r="R294" s="162"/>
      <c r="S294" s="162"/>
      <c r="T294" s="162"/>
      <c r="U294" s="162"/>
      <c r="V294" s="162"/>
      <c r="W294" s="162"/>
      <c r="X294" s="162"/>
    </row>
    <row r="295" spans="1:24" ht="24" customHeight="1">
      <c r="A295" s="2"/>
      <c r="B295" s="2"/>
      <c r="C295" s="161"/>
      <c r="D295" s="161"/>
      <c r="E295" s="2"/>
      <c r="F295" s="161"/>
      <c r="G295" s="161"/>
      <c r="H295" s="161"/>
      <c r="I295" s="161"/>
      <c r="J295" s="161"/>
      <c r="K295" s="2"/>
      <c r="L295" s="117"/>
      <c r="M295" s="117"/>
      <c r="N295" s="117"/>
      <c r="O295" s="117"/>
      <c r="P295" s="162"/>
      <c r="Q295" s="162"/>
      <c r="R295" s="162"/>
      <c r="S295" s="162"/>
      <c r="T295" s="162"/>
      <c r="U295" s="162"/>
      <c r="V295" s="162"/>
      <c r="W295" s="162"/>
      <c r="X295" s="162"/>
    </row>
    <row r="296" spans="1:24" ht="24" customHeight="1">
      <c r="A296" s="2"/>
      <c r="B296" s="2"/>
      <c r="C296" s="161"/>
      <c r="D296" s="161"/>
      <c r="E296" s="2"/>
      <c r="F296" s="161"/>
      <c r="G296" s="161"/>
      <c r="H296" s="161"/>
      <c r="I296" s="161"/>
      <c r="J296" s="161"/>
      <c r="K296" s="2"/>
      <c r="L296" s="117"/>
      <c r="M296" s="117"/>
      <c r="N296" s="117"/>
      <c r="O296" s="117"/>
      <c r="P296" s="162"/>
      <c r="Q296" s="162"/>
      <c r="R296" s="162"/>
      <c r="S296" s="162"/>
      <c r="T296" s="162"/>
      <c r="U296" s="162"/>
      <c r="V296" s="162"/>
      <c r="W296" s="162"/>
      <c r="X296" s="162"/>
    </row>
    <row r="297" spans="1:24" ht="24" customHeight="1">
      <c r="A297" s="2"/>
      <c r="B297" s="2"/>
      <c r="C297" s="161"/>
      <c r="D297" s="161"/>
      <c r="E297" s="2"/>
      <c r="F297" s="161"/>
      <c r="G297" s="161"/>
      <c r="H297" s="161"/>
      <c r="I297" s="161"/>
      <c r="J297" s="161"/>
      <c r="K297" s="2"/>
      <c r="L297" s="117"/>
      <c r="M297" s="117"/>
      <c r="N297" s="117"/>
      <c r="O297" s="117"/>
      <c r="P297" s="162"/>
      <c r="Q297" s="162"/>
      <c r="R297" s="162"/>
      <c r="S297" s="162"/>
      <c r="T297" s="162"/>
      <c r="U297" s="162"/>
      <c r="V297" s="162"/>
      <c r="W297" s="162"/>
      <c r="X297" s="162"/>
    </row>
    <row r="298" spans="1:24" ht="24" customHeight="1">
      <c r="A298" s="2"/>
      <c r="B298" s="2"/>
      <c r="C298" s="161"/>
      <c r="D298" s="161"/>
      <c r="E298" s="2"/>
      <c r="F298" s="161"/>
      <c r="G298" s="161"/>
      <c r="H298" s="161"/>
      <c r="I298" s="161"/>
      <c r="J298" s="161"/>
      <c r="K298" s="2"/>
      <c r="L298" s="117"/>
      <c r="M298" s="117"/>
      <c r="N298" s="117"/>
      <c r="O298" s="117"/>
      <c r="P298" s="162"/>
      <c r="Q298" s="162"/>
      <c r="R298" s="162"/>
      <c r="S298" s="162"/>
      <c r="T298" s="162"/>
      <c r="U298" s="162"/>
      <c r="V298" s="162"/>
      <c r="W298" s="162"/>
      <c r="X298" s="162"/>
    </row>
    <row r="299" spans="1:24" ht="24" customHeight="1">
      <c r="A299" s="2"/>
      <c r="B299" s="2"/>
      <c r="C299" s="161"/>
      <c r="D299" s="161"/>
      <c r="E299" s="2"/>
      <c r="F299" s="161"/>
      <c r="G299" s="161"/>
      <c r="H299" s="161"/>
      <c r="I299" s="161"/>
      <c r="J299" s="161"/>
      <c r="K299" s="2"/>
      <c r="L299" s="117"/>
      <c r="M299" s="117"/>
      <c r="N299" s="117"/>
      <c r="O299" s="117"/>
      <c r="P299" s="162"/>
      <c r="Q299" s="162"/>
      <c r="R299" s="162"/>
      <c r="S299" s="162"/>
      <c r="T299" s="162"/>
      <c r="U299" s="162"/>
      <c r="V299" s="162"/>
      <c r="W299" s="162"/>
      <c r="X299" s="162"/>
    </row>
    <row r="300" spans="1:24" ht="24" customHeight="1">
      <c r="A300" s="2"/>
      <c r="B300" s="2"/>
      <c r="C300" s="161"/>
      <c r="D300" s="161"/>
      <c r="E300" s="2"/>
      <c r="F300" s="161"/>
      <c r="G300" s="161"/>
      <c r="H300" s="161"/>
      <c r="I300" s="161"/>
      <c r="J300" s="161"/>
      <c r="K300" s="2"/>
      <c r="L300" s="117"/>
      <c r="M300" s="117"/>
      <c r="N300" s="117"/>
      <c r="O300" s="117"/>
      <c r="P300" s="162"/>
      <c r="Q300" s="162"/>
      <c r="R300" s="162"/>
      <c r="S300" s="162"/>
      <c r="T300" s="162"/>
      <c r="U300" s="162"/>
      <c r="V300" s="162"/>
      <c r="W300" s="162"/>
      <c r="X300" s="162"/>
    </row>
    <row r="301" spans="1:24" ht="24" customHeight="1">
      <c r="A301" s="2"/>
      <c r="B301" s="2"/>
      <c r="C301" s="161"/>
      <c r="D301" s="161"/>
      <c r="E301" s="2"/>
      <c r="F301" s="161"/>
      <c r="G301" s="161"/>
      <c r="H301" s="161"/>
      <c r="I301" s="161"/>
      <c r="J301" s="161"/>
      <c r="K301" s="2"/>
      <c r="L301" s="117"/>
      <c r="M301" s="117"/>
      <c r="N301" s="117"/>
      <c r="O301" s="117"/>
      <c r="P301" s="162"/>
      <c r="Q301" s="162"/>
      <c r="R301" s="162"/>
      <c r="S301" s="162"/>
      <c r="T301" s="162"/>
      <c r="U301" s="162"/>
      <c r="V301" s="162"/>
      <c r="W301" s="162"/>
      <c r="X301" s="162"/>
    </row>
    <row r="302" spans="1:24" ht="24" customHeight="1">
      <c r="A302" s="2"/>
      <c r="B302" s="2"/>
      <c r="C302" s="161"/>
      <c r="D302" s="161"/>
      <c r="E302" s="2"/>
      <c r="F302" s="161"/>
      <c r="G302" s="161"/>
      <c r="H302" s="161"/>
      <c r="I302" s="161"/>
      <c r="J302" s="161"/>
      <c r="K302" s="2"/>
      <c r="L302" s="117"/>
      <c r="M302" s="117"/>
      <c r="N302" s="117"/>
      <c r="O302" s="117"/>
      <c r="P302" s="162"/>
      <c r="Q302" s="162"/>
      <c r="R302" s="162"/>
      <c r="S302" s="162"/>
      <c r="T302" s="162"/>
      <c r="U302" s="162"/>
      <c r="V302" s="162"/>
      <c r="W302" s="162"/>
      <c r="X302" s="162"/>
    </row>
    <row r="303" spans="1:24" ht="24" customHeight="1">
      <c r="A303" s="2"/>
      <c r="B303" s="2"/>
      <c r="C303" s="161"/>
      <c r="D303" s="161"/>
      <c r="E303" s="2"/>
      <c r="F303" s="161"/>
      <c r="G303" s="161"/>
      <c r="H303" s="161"/>
      <c r="I303" s="161"/>
      <c r="J303" s="161"/>
      <c r="K303" s="2"/>
      <c r="L303" s="117"/>
      <c r="M303" s="117"/>
      <c r="N303" s="117"/>
      <c r="O303" s="117"/>
      <c r="P303" s="162"/>
      <c r="Q303" s="162"/>
      <c r="R303" s="162"/>
      <c r="S303" s="162"/>
      <c r="T303" s="162"/>
      <c r="U303" s="162"/>
      <c r="V303" s="162"/>
      <c r="W303" s="162"/>
      <c r="X303" s="162"/>
    </row>
    <row r="304" spans="1:24" ht="24" customHeight="1">
      <c r="A304" s="2"/>
      <c r="B304" s="2"/>
      <c r="C304" s="161"/>
      <c r="D304" s="161"/>
      <c r="E304" s="2"/>
      <c r="F304" s="161"/>
      <c r="G304" s="161"/>
      <c r="H304" s="161"/>
      <c r="I304" s="161"/>
      <c r="J304" s="161"/>
      <c r="K304" s="2"/>
      <c r="L304" s="117"/>
      <c r="M304" s="117"/>
      <c r="N304" s="117"/>
      <c r="O304" s="117"/>
      <c r="P304" s="162"/>
      <c r="Q304" s="162"/>
      <c r="R304" s="162"/>
      <c r="S304" s="162"/>
      <c r="T304" s="162"/>
      <c r="U304" s="162"/>
      <c r="V304" s="162"/>
      <c r="W304" s="162"/>
      <c r="X304" s="162"/>
    </row>
    <row r="305" spans="1:24" ht="24" customHeight="1">
      <c r="A305" s="2"/>
      <c r="B305" s="2"/>
      <c r="C305" s="161"/>
      <c r="D305" s="161"/>
      <c r="E305" s="2"/>
      <c r="F305" s="161"/>
      <c r="G305" s="161"/>
      <c r="H305" s="161"/>
      <c r="I305" s="161"/>
      <c r="J305" s="161"/>
      <c r="K305" s="2"/>
      <c r="L305" s="117"/>
      <c r="M305" s="117"/>
      <c r="N305" s="117"/>
      <c r="O305" s="117"/>
      <c r="P305" s="162"/>
      <c r="Q305" s="162"/>
      <c r="R305" s="162"/>
      <c r="S305" s="162"/>
      <c r="T305" s="162"/>
      <c r="U305" s="162"/>
      <c r="V305" s="162"/>
      <c r="W305" s="162"/>
      <c r="X305" s="162"/>
    </row>
    <row r="306" spans="1:24" ht="24" customHeight="1">
      <c r="A306" s="2"/>
      <c r="B306" s="2"/>
      <c r="C306" s="161"/>
      <c r="D306" s="161"/>
      <c r="E306" s="2"/>
      <c r="F306" s="161"/>
      <c r="G306" s="161"/>
      <c r="H306" s="161"/>
      <c r="I306" s="161"/>
      <c r="J306" s="161"/>
      <c r="K306" s="2"/>
      <c r="L306" s="117"/>
      <c r="M306" s="117"/>
      <c r="N306" s="117"/>
      <c r="O306" s="117"/>
      <c r="P306" s="162"/>
      <c r="Q306" s="162"/>
      <c r="R306" s="162"/>
      <c r="S306" s="162"/>
      <c r="T306" s="162"/>
      <c r="U306" s="162"/>
      <c r="V306" s="162"/>
      <c r="W306" s="162"/>
      <c r="X306" s="162"/>
    </row>
    <row r="307" spans="1:24" ht="24" customHeight="1">
      <c r="A307" s="2"/>
      <c r="B307" s="2"/>
      <c r="C307" s="161"/>
      <c r="D307" s="161"/>
      <c r="E307" s="2"/>
      <c r="F307" s="161"/>
      <c r="G307" s="161"/>
      <c r="H307" s="161"/>
      <c r="I307" s="161"/>
      <c r="J307" s="161"/>
      <c r="K307" s="2"/>
      <c r="L307" s="117"/>
      <c r="M307" s="117"/>
      <c r="N307" s="117"/>
      <c r="O307" s="117"/>
      <c r="P307" s="162"/>
      <c r="Q307" s="162"/>
      <c r="R307" s="162"/>
      <c r="S307" s="162"/>
      <c r="T307" s="162"/>
      <c r="U307" s="162"/>
      <c r="V307" s="162"/>
      <c r="W307" s="162"/>
      <c r="X307" s="162"/>
    </row>
    <row r="308" spans="1:24" ht="24" customHeight="1">
      <c r="A308" s="2"/>
      <c r="B308" s="2"/>
      <c r="C308" s="161"/>
      <c r="D308" s="161"/>
      <c r="E308" s="2"/>
      <c r="F308" s="161"/>
      <c r="G308" s="161"/>
      <c r="H308" s="161"/>
      <c r="I308" s="161"/>
      <c r="J308" s="161"/>
      <c r="K308" s="2"/>
      <c r="L308" s="117"/>
      <c r="M308" s="117"/>
      <c r="N308" s="117"/>
      <c r="O308" s="117"/>
      <c r="P308" s="162"/>
      <c r="Q308" s="162"/>
      <c r="R308" s="162"/>
      <c r="S308" s="162"/>
      <c r="T308" s="162"/>
      <c r="U308" s="162"/>
      <c r="V308" s="162"/>
      <c r="W308" s="162"/>
      <c r="X308" s="162"/>
    </row>
    <row r="309" spans="1:24" ht="24" customHeight="1">
      <c r="A309" s="2"/>
      <c r="B309" s="2"/>
      <c r="C309" s="161"/>
      <c r="D309" s="161"/>
      <c r="E309" s="2"/>
      <c r="F309" s="161"/>
      <c r="G309" s="161"/>
      <c r="H309" s="161"/>
      <c r="I309" s="161"/>
      <c r="J309" s="161"/>
      <c r="K309" s="2"/>
      <c r="L309" s="117"/>
      <c r="M309" s="117"/>
      <c r="N309" s="117"/>
      <c r="O309" s="117"/>
      <c r="P309" s="162"/>
      <c r="Q309" s="162"/>
      <c r="R309" s="162"/>
      <c r="S309" s="162"/>
      <c r="T309" s="162"/>
      <c r="U309" s="162"/>
      <c r="V309" s="162"/>
      <c r="W309" s="162"/>
      <c r="X309" s="162"/>
    </row>
    <row r="310" spans="1:24" ht="24" customHeight="1">
      <c r="A310" s="2"/>
      <c r="B310" s="2"/>
      <c r="C310" s="161"/>
      <c r="D310" s="161"/>
      <c r="E310" s="2"/>
      <c r="F310" s="161"/>
      <c r="G310" s="161"/>
      <c r="H310" s="161"/>
      <c r="I310" s="161"/>
      <c r="J310" s="161"/>
      <c r="K310" s="2"/>
      <c r="L310" s="117"/>
      <c r="M310" s="117"/>
      <c r="N310" s="117"/>
      <c r="O310" s="117"/>
      <c r="P310" s="162"/>
      <c r="Q310" s="162"/>
      <c r="R310" s="162"/>
      <c r="S310" s="162"/>
      <c r="T310" s="162"/>
      <c r="U310" s="162"/>
      <c r="V310" s="162"/>
      <c r="W310" s="162"/>
      <c r="X310" s="162"/>
    </row>
    <row r="311" spans="1:24" ht="24" customHeight="1">
      <c r="A311" s="2"/>
      <c r="B311" s="2"/>
      <c r="C311" s="161"/>
      <c r="D311" s="161"/>
      <c r="E311" s="2"/>
      <c r="F311" s="161"/>
      <c r="G311" s="161"/>
      <c r="H311" s="161"/>
      <c r="I311" s="161"/>
      <c r="J311" s="161"/>
      <c r="K311" s="2"/>
      <c r="L311" s="117"/>
      <c r="M311" s="117"/>
      <c r="N311" s="117"/>
      <c r="O311" s="117"/>
      <c r="P311" s="162"/>
      <c r="Q311" s="162"/>
      <c r="R311" s="162"/>
      <c r="S311" s="162"/>
      <c r="T311" s="162"/>
      <c r="U311" s="162"/>
      <c r="V311" s="162"/>
      <c r="W311" s="162"/>
      <c r="X311" s="162"/>
    </row>
    <row r="312" spans="1:24" ht="24" customHeight="1">
      <c r="A312" s="2"/>
      <c r="B312" s="2"/>
      <c r="C312" s="161"/>
      <c r="D312" s="161"/>
      <c r="E312" s="2"/>
      <c r="F312" s="161"/>
      <c r="G312" s="161"/>
      <c r="H312" s="161"/>
      <c r="I312" s="161"/>
      <c r="J312" s="161"/>
      <c r="K312" s="2"/>
      <c r="L312" s="117"/>
      <c r="M312" s="117"/>
      <c r="N312" s="117"/>
      <c r="O312" s="117"/>
      <c r="P312" s="162"/>
      <c r="Q312" s="162"/>
      <c r="R312" s="162"/>
      <c r="S312" s="162"/>
      <c r="T312" s="162"/>
      <c r="U312" s="162"/>
      <c r="V312" s="162"/>
      <c r="W312" s="162"/>
      <c r="X312" s="162"/>
    </row>
    <row r="313" spans="1:24" ht="24" customHeight="1">
      <c r="A313" s="2"/>
      <c r="B313" s="2"/>
      <c r="C313" s="161"/>
      <c r="D313" s="161"/>
      <c r="E313" s="2"/>
      <c r="F313" s="161"/>
      <c r="G313" s="161"/>
      <c r="H313" s="161"/>
      <c r="I313" s="161"/>
      <c r="J313" s="161"/>
      <c r="K313" s="2"/>
      <c r="L313" s="117"/>
      <c r="M313" s="117"/>
      <c r="N313" s="117"/>
      <c r="O313" s="117"/>
      <c r="P313" s="162"/>
      <c r="Q313" s="162"/>
      <c r="R313" s="162"/>
      <c r="S313" s="162"/>
      <c r="T313" s="162"/>
      <c r="U313" s="162"/>
      <c r="V313" s="162"/>
      <c r="W313" s="162"/>
      <c r="X313" s="162"/>
    </row>
    <row r="314" spans="1:24" ht="24" customHeight="1">
      <c r="A314" s="2"/>
      <c r="B314" s="2"/>
      <c r="C314" s="161"/>
      <c r="D314" s="161"/>
      <c r="E314" s="2"/>
      <c r="F314" s="161"/>
      <c r="G314" s="161"/>
      <c r="H314" s="161"/>
      <c r="I314" s="161"/>
      <c r="J314" s="161"/>
      <c r="K314" s="2"/>
      <c r="L314" s="117"/>
      <c r="M314" s="117"/>
      <c r="N314" s="117"/>
      <c r="O314" s="117"/>
      <c r="P314" s="162"/>
      <c r="Q314" s="162"/>
      <c r="R314" s="162"/>
      <c r="S314" s="162"/>
      <c r="T314" s="162"/>
      <c r="U314" s="162"/>
      <c r="V314" s="162"/>
      <c r="W314" s="162"/>
      <c r="X314" s="162"/>
    </row>
    <row r="315" spans="1:24" ht="15.75" customHeight="1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43"/>
      <c r="M315" s="143"/>
      <c r="N315" s="143"/>
      <c r="O315" s="143"/>
      <c r="P315" s="114"/>
      <c r="Q315" s="114"/>
      <c r="R315" s="114"/>
      <c r="S315" s="114"/>
      <c r="T315" s="114"/>
      <c r="U315" s="114"/>
      <c r="V315" s="114"/>
      <c r="W315" s="114"/>
      <c r="X315" s="114"/>
    </row>
    <row r="316" spans="1:24" ht="15.75" customHeight="1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43"/>
      <c r="M316" s="143"/>
      <c r="N316" s="143"/>
      <c r="O316" s="143"/>
      <c r="P316" s="114"/>
      <c r="Q316" s="114"/>
      <c r="R316" s="114"/>
      <c r="S316" s="114"/>
      <c r="T316" s="114"/>
      <c r="U316" s="114"/>
      <c r="V316" s="114"/>
      <c r="W316" s="114"/>
      <c r="X316" s="114"/>
    </row>
    <row r="317" spans="1:24" ht="15.75" customHeight="1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43"/>
      <c r="M317" s="143"/>
      <c r="N317" s="143"/>
      <c r="O317" s="143"/>
      <c r="P317" s="114"/>
      <c r="Q317" s="114"/>
      <c r="R317" s="114"/>
      <c r="S317" s="114"/>
      <c r="T317" s="114"/>
      <c r="U317" s="114"/>
      <c r="V317" s="114"/>
      <c r="W317" s="114"/>
      <c r="X317" s="114"/>
    </row>
    <row r="318" spans="1:24" ht="15.75" customHeight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43"/>
      <c r="M318" s="143"/>
      <c r="N318" s="143"/>
      <c r="O318" s="143"/>
      <c r="P318" s="114"/>
      <c r="Q318" s="114"/>
      <c r="R318" s="114"/>
      <c r="S318" s="114"/>
      <c r="T318" s="114"/>
      <c r="U318" s="114"/>
      <c r="V318" s="114"/>
      <c r="W318" s="114"/>
      <c r="X318" s="114"/>
    </row>
    <row r="319" spans="1:24" ht="15.75" customHeight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43"/>
      <c r="M319" s="143"/>
      <c r="N319" s="143"/>
      <c r="O319" s="143"/>
      <c r="P319" s="114"/>
      <c r="Q319" s="114"/>
      <c r="R319" s="114"/>
      <c r="S319" s="114"/>
      <c r="T319" s="114"/>
      <c r="U319" s="114"/>
      <c r="V319" s="114"/>
      <c r="W319" s="114"/>
      <c r="X319" s="114"/>
    </row>
    <row r="320" spans="1:24" ht="15.75" customHeight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43"/>
      <c r="M320" s="143"/>
      <c r="N320" s="143"/>
      <c r="O320" s="143"/>
      <c r="P320" s="114"/>
      <c r="Q320" s="114"/>
      <c r="R320" s="114"/>
      <c r="S320" s="114"/>
      <c r="T320" s="114"/>
      <c r="U320" s="114"/>
      <c r="V320" s="114"/>
      <c r="W320" s="114"/>
      <c r="X320" s="114"/>
    </row>
    <row r="321" spans="1:24" ht="15.75" customHeight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43"/>
      <c r="M321" s="143"/>
      <c r="N321" s="143"/>
      <c r="O321" s="143"/>
      <c r="P321" s="114"/>
      <c r="Q321" s="114"/>
      <c r="R321" s="114"/>
      <c r="S321" s="114"/>
      <c r="T321" s="114"/>
      <c r="U321" s="114"/>
      <c r="V321" s="114"/>
      <c r="W321" s="114"/>
      <c r="X321" s="114"/>
    </row>
    <row r="322" spans="1:24" ht="15.75" customHeight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43"/>
      <c r="M322" s="143"/>
      <c r="N322" s="143"/>
      <c r="O322" s="143"/>
      <c r="P322" s="114"/>
      <c r="Q322" s="114"/>
      <c r="R322" s="114"/>
      <c r="S322" s="114"/>
      <c r="T322" s="114"/>
      <c r="U322" s="114"/>
      <c r="V322" s="114"/>
      <c r="W322" s="114"/>
      <c r="X322" s="114"/>
    </row>
    <row r="323" spans="1:24" ht="15.75" customHeight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43"/>
      <c r="M323" s="143"/>
      <c r="N323" s="143"/>
      <c r="O323" s="143"/>
      <c r="P323" s="114"/>
      <c r="Q323" s="114"/>
      <c r="R323" s="114"/>
      <c r="S323" s="114"/>
      <c r="T323" s="114"/>
      <c r="U323" s="114"/>
      <c r="V323" s="114"/>
      <c r="W323" s="114"/>
      <c r="X323" s="114"/>
    </row>
    <row r="324" spans="1:24" ht="15.75" customHeight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43"/>
      <c r="M324" s="143"/>
      <c r="N324" s="143"/>
      <c r="O324" s="143"/>
      <c r="P324" s="114"/>
      <c r="Q324" s="114"/>
      <c r="R324" s="114"/>
      <c r="S324" s="114"/>
      <c r="T324" s="114"/>
      <c r="U324" s="114"/>
      <c r="V324" s="114"/>
      <c r="W324" s="114"/>
      <c r="X324" s="114"/>
    </row>
    <row r="325" spans="1:24" ht="15.75" customHeight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43"/>
      <c r="M325" s="143"/>
      <c r="N325" s="143"/>
      <c r="O325" s="143"/>
      <c r="P325" s="114"/>
      <c r="Q325" s="114"/>
      <c r="R325" s="114"/>
      <c r="S325" s="114"/>
      <c r="T325" s="114"/>
      <c r="U325" s="114"/>
      <c r="V325" s="114"/>
      <c r="W325" s="114"/>
      <c r="X325" s="114"/>
    </row>
    <row r="326" spans="1:24" ht="15.75" customHeight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43"/>
      <c r="M326" s="143"/>
      <c r="N326" s="143"/>
      <c r="O326" s="143"/>
      <c r="P326" s="114"/>
      <c r="Q326" s="114"/>
      <c r="R326" s="114"/>
      <c r="S326" s="114"/>
      <c r="T326" s="114"/>
      <c r="U326" s="114"/>
      <c r="V326" s="114"/>
      <c r="W326" s="114"/>
      <c r="X326" s="114"/>
    </row>
    <row r="327" spans="1:24" ht="15.75" customHeight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43"/>
      <c r="M327" s="143"/>
      <c r="N327" s="143"/>
      <c r="O327" s="143"/>
      <c r="P327" s="114"/>
      <c r="Q327" s="114"/>
      <c r="R327" s="114"/>
      <c r="S327" s="114"/>
      <c r="T327" s="114"/>
      <c r="U327" s="114"/>
      <c r="V327" s="114"/>
      <c r="W327" s="114"/>
      <c r="X327" s="114"/>
    </row>
    <row r="328" spans="1:24" ht="15.75" customHeight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43"/>
      <c r="M328" s="143"/>
      <c r="N328" s="143"/>
      <c r="O328" s="143"/>
      <c r="P328" s="114"/>
      <c r="Q328" s="114"/>
      <c r="R328" s="114"/>
      <c r="S328" s="114"/>
      <c r="T328" s="114"/>
      <c r="U328" s="114"/>
      <c r="V328" s="114"/>
      <c r="W328" s="114"/>
      <c r="X328" s="114"/>
    </row>
    <row r="329" spans="1:24" ht="15.75" customHeight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43"/>
      <c r="M329" s="143"/>
      <c r="N329" s="143"/>
      <c r="O329" s="143"/>
      <c r="P329" s="114"/>
      <c r="Q329" s="114"/>
      <c r="R329" s="114"/>
      <c r="S329" s="114"/>
      <c r="T329" s="114"/>
      <c r="U329" s="114"/>
      <c r="V329" s="114"/>
      <c r="W329" s="114"/>
      <c r="X329" s="114"/>
    </row>
    <row r="330" spans="1:24" ht="15.75" customHeight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43"/>
      <c r="M330" s="143"/>
      <c r="N330" s="143"/>
      <c r="O330" s="143"/>
      <c r="P330" s="114"/>
      <c r="Q330" s="114"/>
      <c r="R330" s="114"/>
      <c r="S330" s="114"/>
      <c r="T330" s="114"/>
      <c r="U330" s="114"/>
      <c r="V330" s="114"/>
      <c r="W330" s="114"/>
      <c r="X330" s="114"/>
    </row>
    <row r="331" spans="1:24" ht="15.75" customHeight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43"/>
      <c r="M331" s="143"/>
      <c r="N331" s="143"/>
      <c r="O331" s="143"/>
      <c r="P331" s="114"/>
      <c r="Q331" s="114"/>
      <c r="R331" s="114"/>
      <c r="S331" s="114"/>
      <c r="T331" s="114"/>
      <c r="U331" s="114"/>
      <c r="V331" s="114"/>
      <c r="W331" s="114"/>
      <c r="X331" s="114"/>
    </row>
    <row r="332" spans="1:24" ht="15.75" customHeight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43"/>
      <c r="M332" s="143"/>
      <c r="N332" s="143"/>
      <c r="O332" s="143"/>
      <c r="P332" s="114"/>
      <c r="Q332" s="114"/>
      <c r="R332" s="114"/>
      <c r="S332" s="114"/>
      <c r="T332" s="114"/>
      <c r="U332" s="114"/>
      <c r="V332" s="114"/>
      <c r="W332" s="114"/>
      <c r="X332" s="114"/>
    </row>
    <row r="333" spans="1:24" ht="15.75" customHeight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43"/>
      <c r="M333" s="143"/>
      <c r="N333" s="143"/>
      <c r="O333" s="143"/>
      <c r="P333" s="114"/>
      <c r="Q333" s="114"/>
      <c r="R333" s="114"/>
      <c r="S333" s="114"/>
      <c r="T333" s="114"/>
      <c r="U333" s="114"/>
      <c r="V333" s="114"/>
      <c r="W333" s="114"/>
      <c r="X333" s="114"/>
    </row>
    <row r="334" spans="1:24" ht="15.75" customHeight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43"/>
      <c r="M334" s="143"/>
      <c r="N334" s="143"/>
      <c r="O334" s="143"/>
      <c r="P334" s="114"/>
      <c r="Q334" s="114"/>
      <c r="R334" s="114"/>
      <c r="S334" s="114"/>
      <c r="T334" s="114"/>
      <c r="U334" s="114"/>
      <c r="V334" s="114"/>
      <c r="W334" s="114"/>
      <c r="X334" s="114"/>
    </row>
    <row r="335" spans="1:24" ht="15.75" customHeight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43"/>
      <c r="M335" s="143"/>
      <c r="N335" s="143"/>
      <c r="O335" s="143"/>
      <c r="P335" s="114"/>
      <c r="Q335" s="114"/>
      <c r="R335" s="114"/>
      <c r="S335" s="114"/>
      <c r="T335" s="114"/>
      <c r="U335" s="114"/>
      <c r="V335" s="114"/>
      <c r="W335" s="114"/>
      <c r="X335" s="114"/>
    </row>
    <row r="336" spans="1:24" ht="15.75" customHeight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43"/>
      <c r="M336" s="143"/>
      <c r="N336" s="143"/>
      <c r="O336" s="143"/>
      <c r="P336" s="114"/>
      <c r="Q336" s="114"/>
      <c r="R336" s="114"/>
      <c r="S336" s="114"/>
      <c r="T336" s="114"/>
      <c r="U336" s="114"/>
      <c r="V336" s="114"/>
      <c r="W336" s="114"/>
      <c r="X336" s="114"/>
    </row>
    <row r="337" spans="1:24" ht="15.75" customHeight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43"/>
      <c r="M337" s="143"/>
      <c r="N337" s="143"/>
      <c r="O337" s="143"/>
      <c r="P337" s="114"/>
      <c r="Q337" s="114"/>
      <c r="R337" s="114"/>
      <c r="S337" s="114"/>
      <c r="T337" s="114"/>
      <c r="U337" s="114"/>
      <c r="V337" s="114"/>
      <c r="W337" s="114"/>
      <c r="X337" s="114"/>
    </row>
    <row r="338" spans="1:24" ht="15.75" customHeight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43"/>
      <c r="M338" s="143"/>
      <c r="N338" s="143"/>
      <c r="O338" s="143"/>
      <c r="P338" s="114"/>
      <c r="Q338" s="114"/>
      <c r="R338" s="114"/>
      <c r="S338" s="114"/>
      <c r="T338" s="114"/>
      <c r="U338" s="114"/>
      <c r="V338" s="114"/>
      <c r="W338" s="114"/>
      <c r="X338" s="114"/>
    </row>
    <row r="339" spans="1:24" ht="15.75" customHeight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43"/>
      <c r="M339" s="143"/>
      <c r="N339" s="143"/>
      <c r="O339" s="143"/>
      <c r="P339" s="114"/>
      <c r="Q339" s="114"/>
      <c r="R339" s="114"/>
      <c r="S339" s="114"/>
      <c r="T339" s="114"/>
      <c r="U339" s="114"/>
      <c r="V339" s="114"/>
      <c r="W339" s="114"/>
      <c r="X339" s="114"/>
    </row>
    <row r="340" spans="1:24" ht="15.75" customHeight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43"/>
      <c r="M340" s="143"/>
      <c r="N340" s="143"/>
      <c r="O340" s="143"/>
      <c r="P340" s="114"/>
      <c r="Q340" s="114"/>
      <c r="R340" s="114"/>
      <c r="S340" s="114"/>
      <c r="T340" s="114"/>
      <c r="U340" s="114"/>
      <c r="V340" s="114"/>
      <c r="W340" s="114"/>
      <c r="X340" s="114"/>
    </row>
    <row r="341" spans="1:24" ht="15.75" customHeight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43"/>
      <c r="M341" s="143"/>
      <c r="N341" s="143"/>
      <c r="O341" s="143"/>
      <c r="P341" s="114"/>
      <c r="Q341" s="114"/>
      <c r="R341" s="114"/>
      <c r="S341" s="114"/>
      <c r="T341" s="114"/>
      <c r="U341" s="114"/>
      <c r="V341" s="114"/>
      <c r="W341" s="114"/>
      <c r="X341" s="114"/>
    </row>
    <row r="342" spans="1:24" ht="15.75" customHeight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43"/>
      <c r="M342" s="143"/>
      <c r="N342" s="143"/>
      <c r="O342" s="143"/>
      <c r="P342" s="114"/>
      <c r="Q342" s="114"/>
      <c r="R342" s="114"/>
      <c r="S342" s="114"/>
      <c r="T342" s="114"/>
      <c r="U342" s="114"/>
      <c r="V342" s="114"/>
      <c r="W342" s="114"/>
      <c r="X342" s="114"/>
    </row>
    <row r="343" spans="1:24" ht="15.75" customHeight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43"/>
      <c r="M343" s="143"/>
      <c r="N343" s="143"/>
      <c r="O343" s="143"/>
      <c r="P343" s="114"/>
      <c r="Q343" s="114"/>
      <c r="R343" s="114"/>
      <c r="S343" s="114"/>
      <c r="T343" s="114"/>
      <c r="U343" s="114"/>
      <c r="V343" s="114"/>
      <c r="W343" s="114"/>
      <c r="X343" s="114"/>
    </row>
    <row r="344" spans="1:24" ht="15.75" customHeight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43"/>
      <c r="M344" s="143"/>
      <c r="N344" s="143"/>
      <c r="O344" s="143"/>
      <c r="P344" s="114"/>
      <c r="Q344" s="114"/>
      <c r="R344" s="114"/>
      <c r="S344" s="114"/>
      <c r="T344" s="114"/>
      <c r="U344" s="114"/>
      <c r="V344" s="114"/>
      <c r="W344" s="114"/>
      <c r="X344" s="114"/>
    </row>
    <row r="345" spans="1:24" ht="15.75" customHeight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43"/>
      <c r="M345" s="143"/>
      <c r="N345" s="143"/>
      <c r="O345" s="143"/>
      <c r="P345" s="114"/>
      <c r="Q345" s="114"/>
      <c r="R345" s="114"/>
      <c r="S345" s="114"/>
      <c r="T345" s="114"/>
      <c r="U345" s="114"/>
      <c r="V345" s="114"/>
      <c r="W345" s="114"/>
      <c r="X345" s="114"/>
    </row>
    <row r="346" spans="1:24" ht="15.75" customHeight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43"/>
      <c r="M346" s="143"/>
      <c r="N346" s="143"/>
      <c r="O346" s="143"/>
      <c r="P346" s="114"/>
      <c r="Q346" s="114"/>
      <c r="R346" s="114"/>
      <c r="S346" s="114"/>
      <c r="T346" s="114"/>
      <c r="U346" s="114"/>
      <c r="V346" s="114"/>
      <c r="W346" s="114"/>
      <c r="X346" s="114"/>
    </row>
    <row r="347" spans="1:24" ht="15.75" customHeight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43"/>
      <c r="M347" s="143"/>
      <c r="N347" s="143"/>
      <c r="O347" s="143"/>
      <c r="P347" s="114"/>
      <c r="Q347" s="114"/>
      <c r="R347" s="114"/>
      <c r="S347" s="114"/>
      <c r="T347" s="114"/>
      <c r="U347" s="114"/>
      <c r="V347" s="114"/>
      <c r="W347" s="114"/>
      <c r="X347" s="114"/>
    </row>
    <row r="348" spans="1:24" ht="15.75" customHeight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43"/>
      <c r="M348" s="143"/>
      <c r="N348" s="143"/>
      <c r="O348" s="143"/>
      <c r="P348" s="114"/>
      <c r="Q348" s="114"/>
      <c r="R348" s="114"/>
      <c r="S348" s="114"/>
      <c r="T348" s="114"/>
      <c r="U348" s="114"/>
      <c r="V348" s="114"/>
      <c r="W348" s="114"/>
      <c r="X348" s="114"/>
    </row>
    <row r="349" spans="1:24" ht="15.75" customHeight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43"/>
      <c r="M349" s="143"/>
      <c r="N349" s="143"/>
      <c r="O349" s="143"/>
      <c r="P349" s="114"/>
      <c r="Q349" s="114"/>
      <c r="R349" s="114"/>
      <c r="S349" s="114"/>
      <c r="T349" s="114"/>
      <c r="U349" s="114"/>
      <c r="V349" s="114"/>
      <c r="W349" s="114"/>
      <c r="X349" s="114"/>
    </row>
    <row r="350" spans="1:24" ht="15.75" customHeight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43"/>
      <c r="M350" s="143"/>
      <c r="N350" s="143"/>
      <c r="O350" s="143"/>
      <c r="P350" s="114"/>
      <c r="Q350" s="114"/>
      <c r="R350" s="114"/>
      <c r="S350" s="114"/>
      <c r="T350" s="114"/>
      <c r="U350" s="114"/>
      <c r="V350" s="114"/>
      <c r="W350" s="114"/>
      <c r="X350" s="114"/>
    </row>
    <row r="351" spans="1:24" ht="15.75" customHeight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43"/>
      <c r="M351" s="143"/>
      <c r="N351" s="143"/>
      <c r="O351" s="143"/>
      <c r="P351" s="114"/>
      <c r="Q351" s="114"/>
      <c r="R351" s="114"/>
      <c r="S351" s="114"/>
      <c r="T351" s="114"/>
      <c r="U351" s="114"/>
      <c r="V351" s="114"/>
      <c r="W351" s="114"/>
      <c r="X351" s="114"/>
    </row>
    <row r="352" spans="1:24" ht="15.75" customHeight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43"/>
      <c r="M352" s="143"/>
      <c r="N352" s="143"/>
      <c r="O352" s="143"/>
      <c r="P352" s="114"/>
      <c r="Q352" s="114"/>
      <c r="R352" s="114"/>
      <c r="S352" s="114"/>
      <c r="T352" s="114"/>
      <c r="U352" s="114"/>
      <c r="V352" s="114"/>
      <c r="W352" s="114"/>
      <c r="X352" s="114"/>
    </row>
    <row r="353" spans="1:24" ht="15.75" customHeight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43"/>
      <c r="M353" s="143"/>
      <c r="N353" s="143"/>
      <c r="O353" s="143"/>
      <c r="P353" s="114"/>
      <c r="Q353" s="114"/>
      <c r="R353" s="114"/>
      <c r="S353" s="114"/>
      <c r="T353" s="114"/>
      <c r="U353" s="114"/>
      <c r="V353" s="114"/>
      <c r="W353" s="114"/>
      <c r="X353" s="114"/>
    </row>
    <row r="354" spans="1:24" ht="15.75" customHeight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43"/>
      <c r="M354" s="143"/>
      <c r="N354" s="143"/>
      <c r="O354" s="143"/>
      <c r="P354" s="114"/>
      <c r="Q354" s="114"/>
      <c r="R354" s="114"/>
      <c r="S354" s="114"/>
      <c r="T354" s="114"/>
      <c r="U354" s="114"/>
      <c r="V354" s="114"/>
      <c r="W354" s="114"/>
      <c r="X354" s="114"/>
    </row>
    <row r="355" spans="1:24" ht="15.75" customHeight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43"/>
      <c r="M355" s="143"/>
      <c r="N355" s="143"/>
      <c r="O355" s="143"/>
      <c r="P355" s="114"/>
      <c r="Q355" s="114"/>
      <c r="R355" s="114"/>
      <c r="S355" s="114"/>
      <c r="T355" s="114"/>
      <c r="U355" s="114"/>
      <c r="V355" s="114"/>
      <c r="W355" s="114"/>
      <c r="X355" s="114"/>
    </row>
    <row r="356" spans="1:24" ht="15.75" customHeight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43"/>
      <c r="M356" s="143"/>
      <c r="N356" s="143"/>
      <c r="O356" s="143"/>
      <c r="P356" s="114"/>
      <c r="Q356" s="114"/>
      <c r="R356" s="114"/>
      <c r="S356" s="114"/>
      <c r="T356" s="114"/>
      <c r="U356" s="114"/>
      <c r="V356" s="114"/>
      <c r="W356" s="114"/>
      <c r="X356" s="114"/>
    </row>
    <row r="357" spans="1:24" ht="15.75" customHeight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43"/>
      <c r="M357" s="143"/>
      <c r="N357" s="143"/>
      <c r="O357" s="143"/>
      <c r="P357" s="114"/>
      <c r="Q357" s="114"/>
      <c r="R357" s="114"/>
      <c r="S357" s="114"/>
      <c r="T357" s="114"/>
      <c r="U357" s="114"/>
      <c r="V357" s="114"/>
      <c r="W357" s="114"/>
      <c r="X357" s="114"/>
    </row>
    <row r="358" spans="1:24" ht="15.75" customHeight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43"/>
      <c r="M358" s="143"/>
      <c r="N358" s="143"/>
      <c r="O358" s="143"/>
      <c r="P358" s="114"/>
      <c r="Q358" s="114"/>
      <c r="R358" s="114"/>
      <c r="S358" s="114"/>
      <c r="T358" s="114"/>
      <c r="U358" s="114"/>
      <c r="V358" s="114"/>
      <c r="W358" s="114"/>
      <c r="X358" s="114"/>
    </row>
    <row r="359" spans="1:24" ht="15.75" customHeight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43"/>
      <c r="M359" s="143"/>
      <c r="N359" s="143"/>
      <c r="O359" s="143"/>
      <c r="P359" s="114"/>
      <c r="Q359" s="114"/>
      <c r="R359" s="114"/>
      <c r="S359" s="114"/>
      <c r="T359" s="114"/>
      <c r="U359" s="114"/>
      <c r="V359" s="114"/>
      <c r="W359" s="114"/>
      <c r="X359" s="114"/>
    </row>
    <row r="360" spans="1:24" ht="15.75" customHeight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43"/>
      <c r="M360" s="143"/>
      <c r="N360" s="143"/>
      <c r="O360" s="143"/>
      <c r="P360" s="114"/>
      <c r="Q360" s="114"/>
      <c r="R360" s="114"/>
      <c r="S360" s="114"/>
      <c r="T360" s="114"/>
      <c r="U360" s="114"/>
      <c r="V360" s="114"/>
      <c r="W360" s="114"/>
      <c r="X360" s="114"/>
    </row>
    <row r="361" spans="1:24" ht="15.75" customHeight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43"/>
      <c r="M361" s="143"/>
      <c r="N361" s="143"/>
      <c r="O361" s="143"/>
      <c r="P361" s="114"/>
      <c r="Q361" s="114"/>
      <c r="R361" s="114"/>
      <c r="S361" s="114"/>
      <c r="T361" s="114"/>
      <c r="U361" s="114"/>
      <c r="V361" s="114"/>
      <c r="W361" s="114"/>
      <c r="X361" s="114"/>
    </row>
    <row r="362" spans="1:24" ht="15.75" customHeight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43"/>
      <c r="M362" s="143"/>
      <c r="N362" s="143"/>
      <c r="O362" s="143"/>
      <c r="P362" s="114"/>
      <c r="Q362" s="114"/>
      <c r="R362" s="114"/>
      <c r="S362" s="114"/>
      <c r="T362" s="114"/>
      <c r="U362" s="114"/>
      <c r="V362" s="114"/>
      <c r="W362" s="114"/>
      <c r="X362" s="114"/>
    </row>
    <row r="363" spans="1:24" ht="15.75" customHeight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43"/>
      <c r="M363" s="143"/>
      <c r="N363" s="143"/>
      <c r="O363" s="143"/>
      <c r="P363" s="114"/>
      <c r="Q363" s="114"/>
      <c r="R363" s="114"/>
      <c r="S363" s="114"/>
      <c r="T363" s="114"/>
      <c r="U363" s="114"/>
      <c r="V363" s="114"/>
      <c r="W363" s="114"/>
      <c r="X363" s="114"/>
    </row>
    <row r="364" spans="1:24" ht="15.75" customHeight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43"/>
      <c r="M364" s="143"/>
      <c r="N364" s="143"/>
      <c r="O364" s="143"/>
      <c r="P364" s="114"/>
      <c r="Q364" s="114"/>
      <c r="R364" s="114"/>
      <c r="S364" s="114"/>
      <c r="T364" s="114"/>
      <c r="U364" s="114"/>
      <c r="V364" s="114"/>
      <c r="W364" s="114"/>
      <c r="X364" s="114"/>
    </row>
    <row r="365" spans="1:24" ht="15.75" customHeight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43"/>
      <c r="M365" s="143"/>
      <c r="N365" s="143"/>
      <c r="O365" s="143"/>
      <c r="P365" s="114"/>
      <c r="Q365" s="114"/>
      <c r="R365" s="114"/>
      <c r="S365" s="114"/>
      <c r="T365" s="114"/>
      <c r="U365" s="114"/>
      <c r="V365" s="114"/>
      <c r="W365" s="114"/>
      <c r="X365" s="114"/>
    </row>
    <row r="366" spans="1:24" ht="15.75" customHeight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43"/>
      <c r="M366" s="143"/>
      <c r="N366" s="143"/>
      <c r="O366" s="143"/>
      <c r="P366" s="114"/>
      <c r="Q366" s="114"/>
      <c r="R366" s="114"/>
      <c r="S366" s="114"/>
      <c r="T366" s="114"/>
      <c r="U366" s="114"/>
      <c r="V366" s="114"/>
      <c r="W366" s="114"/>
      <c r="X366" s="114"/>
    </row>
    <row r="367" spans="1:24" ht="15.75" customHeight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43"/>
      <c r="M367" s="143"/>
      <c r="N367" s="143"/>
      <c r="O367" s="143"/>
      <c r="P367" s="114"/>
      <c r="Q367" s="114"/>
      <c r="R367" s="114"/>
      <c r="S367" s="114"/>
      <c r="T367" s="114"/>
      <c r="U367" s="114"/>
      <c r="V367" s="114"/>
      <c r="W367" s="114"/>
      <c r="X367" s="114"/>
    </row>
    <row r="368" spans="1:24" ht="15.75" customHeight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43"/>
      <c r="M368" s="143"/>
      <c r="N368" s="143"/>
      <c r="O368" s="143"/>
      <c r="P368" s="114"/>
      <c r="Q368" s="114"/>
      <c r="R368" s="114"/>
      <c r="S368" s="114"/>
      <c r="T368" s="114"/>
      <c r="U368" s="114"/>
      <c r="V368" s="114"/>
      <c r="W368" s="114"/>
      <c r="X368" s="114"/>
    </row>
    <row r="369" spans="1:24" ht="15.75" customHeight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43"/>
      <c r="M369" s="143"/>
      <c r="N369" s="143"/>
      <c r="O369" s="143"/>
      <c r="P369" s="114"/>
      <c r="Q369" s="114"/>
      <c r="R369" s="114"/>
      <c r="S369" s="114"/>
      <c r="T369" s="114"/>
      <c r="U369" s="114"/>
      <c r="V369" s="114"/>
      <c r="W369" s="114"/>
      <c r="X369" s="114"/>
    </row>
    <row r="370" spans="1:24" ht="15.75" customHeight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43"/>
      <c r="M370" s="143"/>
      <c r="N370" s="143"/>
      <c r="O370" s="143"/>
      <c r="P370" s="114"/>
      <c r="Q370" s="114"/>
      <c r="R370" s="114"/>
      <c r="S370" s="114"/>
      <c r="T370" s="114"/>
      <c r="U370" s="114"/>
      <c r="V370" s="114"/>
      <c r="W370" s="114"/>
      <c r="X370" s="114"/>
    </row>
    <row r="371" spans="1:24" ht="15.75" customHeight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43"/>
      <c r="M371" s="143"/>
      <c r="N371" s="143"/>
      <c r="O371" s="143"/>
      <c r="P371" s="114"/>
      <c r="Q371" s="114"/>
      <c r="R371" s="114"/>
      <c r="S371" s="114"/>
      <c r="T371" s="114"/>
      <c r="U371" s="114"/>
      <c r="V371" s="114"/>
      <c r="W371" s="114"/>
      <c r="X371" s="114"/>
    </row>
    <row r="372" spans="1:24" ht="15.75" customHeight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43"/>
      <c r="M372" s="143"/>
      <c r="N372" s="143"/>
      <c r="O372" s="143"/>
      <c r="P372" s="114"/>
      <c r="Q372" s="114"/>
      <c r="R372" s="114"/>
      <c r="S372" s="114"/>
      <c r="T372" s="114"/>
      <c r="U372" s="114"/>
      <c r="V372" s="114"/>
      <c r="W372" s="114"/>
      <c r="X372" s="114"/>
    </row>
    <row r="373" spans="1:24" ht="15.75" customHeight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43"/>
      <c r="M373" s="143"/>
      <c r="N373" s="143"/>
      <c r="O373" s="143"/>
      <c r="P373" s="114"/>
      <c r="Q373" s="114"/>
      <c r="R373" s="114"/>
      <c r="S373" s="114"/>
      <c r="T373" s="114"/>
      <c r="U373" s="114"/>
      <c r="V373" s="114"/>
      <c r="W373" s="114"/>
      <c r="X373" s="114"/>
    </row>
    <row r="374" spans="1:24" ht="15.75" customHeight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43"/>
      <c r="M374" s="143"/>
      <c r="N374" s="143"/>
      <c r="O374" s="143"/>
      <c r="P374" s="114"/>
      <c r="Q374" s="114"/>
      <c r="R374" s="114"/>
      <c r="S374" s="114"/>
      <c r="T374" s="114"/>
      <c r="U374" s="114"/>
      <c r="V374" s="114"/>
      <c r="W374" s="114"/>
      <c r="X374" s="114"/>
    </row>
    <row r="375" spans="1:24" ht="15.75" customHeight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43"/>
      <c r="M375" s="143"/>
      <c r="N375" s="143"/>
      <c r="O375" s="143"/>
      <c r="P375" s="114"/>
      <c r="Q375" s="114"/>
      <c r="R375" s="114"/>
      <c r="S375" s="114"/>
      <c r="T375" s="114"/>
      <c r="U375" s="114"/>
      <c r="V375" s="114"/>
      <c r="W375" s="114"/>
      <c r="X375" s="114"/>
    </row>
    <row r="376" spans="1:24" ht="15.75" customHeight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43"/>
      <c r="M376" s="143"/>
      <c r="N376" s="143"/>
      <c r="O376" s="143"/>
      <c r="P376" s="114"/>
      <c r="Q376" s="114"/>
      <c r="R376" s="114"/>
      <c r="S376" s="114"/>
      <c r="T376" s="114"/>
      <c r="U376" s="114"/>
      <c r="V376" s="114"/>
      <c r="W376" s="114"/>
      <c r="X376" s="114"/>
    </row>
    <row r="377" spans="1:24" ht="15.75" customHeight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43"/>
      <c r="M377" s="143"/>
      <c r="N377" s="143"/>
      <c r="O377" s="143"/>
      <c r="P377" s="114"/>
      <c r="Q377" s="114"/>
      <c r="R377" s="114"/>
      <c r="S377" s="114"/>
      <c r="T377" s="114"/>
      <c r="U377" s="114"/>
      <c r="V377" s="114"/>
      <c r="W377" s="114"/>
      <c r="X377" s="114"/>
    </row>
    <row r="378" spans="1:24" ht="15.75" customHeight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43"/>
      <c r="M378" s="143"/>
      <c r="N378" s="143"/>
      <c r="O378" s="143"/>
      <c r="P378" s="114"/>
      <c r="Q378" s="114"/>
      <c r="R378" s="114"/>
      <c r="S378" s="114"/>
      <c r="T378" s="114"/>
      <c r="U378" s="114"/>
      <c r="V378" s="114"/>
      <c r="W378" s="114"/>
      <c r="X378" s="114"/>
    </row>
    <row r="379" spans="1:24" ht="15.75" customHeight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43"/>
      <c r="M379" s="143"/>
      <c r="N379" s="143"/>
      <c r="O379" s="143"/>
      <c r="P379" s="114"/>
      <c r="Q379" s="114"/>
      <c r="R379" s="114"/>
      <c r="S379" s="114"/>
      <c r="T379" s="114"/>
      <c r="U379" s="114"/>
      <c r="V379" s="114"/>
      <c r="W379" s="114"/>
      <c r="X379" s="114"/>
    </row>
    <row r="380" spans="1:24" ht="15.75" customHeight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43"/>
      <c r="M380" s="143"/>
      <c r="N380" s="143"/>
      <c r="O380" s="143"/>
      <c r="P380" s="114"/>
      <c r="Q380" s="114"/>
      <c r="R380" s="114"/>
      <c r="S380" s="114"/>
      <c r="T380" s="114"/>
      <c r="U380" s="114"/>
      <c r="V380" s="114"/>
      <c r="W380" s="114"/>
      <c r="X380" s="114"/>
    </row>
    <row r="381" spans="1:24" ht="15.75" customHeight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43"/>
      <c r="M381" s="143"/>
      <c r="N381" s="143"/>
      <c r="O381" s="143"/>
      <c r="P381" s="114"/>
      <c r="Q381" s="114"/>
      <c r="R381" s="114"/>
      <c r="S381" s="114"/>
      <c r="T381" s="114"/>
      <c r="U381" s="114"/>
      <c r="V381" s="114"/>
      <c r="W381" s="114"/>
      <c r="X381" s="114"/>
    </row>
    <row r="382" spans="1:24" ht="15.75" customHeight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43"/>
      <c r="M382" s="143"/>
      <c r="N382" s="143"/>
      <c r="O382" s="143"/>
      <c r="P382" s="114"/>
      <c r="Q382" s="114"/>
      <c r="R382" s="114"/>
      <c r="S382" s="114"/>
      <c r="T382" s="114"/>
      <c r="U382" s="114"/>
      <c r="V382" s="114"/>
      <c r="W382" s="114"/>
      <c r="X382" s="114"/>
    </row>
    <row r="383" spans="1:24" ht="15.75" customHeight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43"/>
      <c r="M383" s="143"/>
      <c r="N383" s="143"/>
      <c r="O383" s="143"/>
      <c r="P383" s="114"/>
      <c r="Q383" s="114"/>
      <c r="R383" s="114"/>
      <c r="S383" s="114"/>
      <c r="T383" s="114"/>
      <c r="U383" s="114"/>
      <c r="V383" s="114"/>
      <c r="W383" s="114"/>
      <c r="X383" s="114"/>
    </row>
    <row r="384" spans="1:24" ht="15.75" customHeight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43"/>
      <c r="M384" s="143"/>
      <c r="N384" s="143"/>
      <c r="O384" s="143"/>
      <c r="P384" s="114"/>
      <c r="Q384" s="114"/>
      <c r="R384" s="114"/>
      <c r="S384" s="114"/>
      <c r="T384" s="114"/>
      <c r="U384" s="114"/>
      <c r="V384" s="114"/>
      <c r="W384" s="114"/>
      <c r="X384" s="114"/>
    </row>
    <row r="385" spans="1:24" ht="15.75" customHeight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43"/>
      <c r="M385" s="143"/>
      <c r="N385" s="143"/>
      <c r="O385" s="143"/>
      <c r="P385" s="114"/>
      <c r="Q385" s="114"/>
      <c r="R385" s="114"/>
      <c r="S385" s="114"/>
      <c r="T385" s="114"/>
      <c r="U385" s="114"/>
      <c r="V385" s="114"/>
      <c r="W385" s="114"/>
      <c r="X385" s="114"/>
    </row>
    <row r="386" spans="1:24" ht="15.75" customHeight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43"/>
      <c r="M386" s="143"/>
      <c r="N386" s="143"/>
      <c r="O386" s="143"/>
      <c r="P386" s="114"/>
      <c r="Q386" s="114"/>
      <c r="R386" s="114"/>
      <c r="S386" s="114"/>
      <c r="T386" s="114"/>
      <c r="U386" s="114"/>
      <c r="V386" s="114"/>
      <c r="W386" s="114"/>
      <c r="X386" s="114"/>
    </row>
    <row r="387" spans="1:24" ht="15.75" customHeight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43"/>
      <c r="M387" s="143"/>
      <c r="N387" s="143"/>
      <c r="O387" s="143"/>
      <c r="P387" s="114"/>
      <c r="Q387" s="114"/>
      <c r="R387" s="114"/>
      <c r="S387" s="114"/>
      <c r="T387" s="114"/>
      <c r="U387" s="114"/>
      <c r="V387" s="114"/>
      <c r="W387" s="114"/>
      <c r="X387" s="114"/>
    </row>
    <row r="388" spans="1:24" ht="15.75" customHeight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43"/>
      <c r="M388" s="143"/>
      <c r="N388" s="143"/>
      <c r="O388" s="143"/>
      <c r="P388" s="114"/>
      <c r="Q388" s="114"/>
      <c r="R388" s="114"/>
      <c r="S388" s="114"/>
      <c r="T388" s="114"/>
      <c r="U388" s="114"/>
      <c r="V388" s="114"/>
      <c r="W388" s="114"/>
      <c r="X388" s="114"/>
    </row>
    <row r="389" spans="1:24" ht="15.75" customHeight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43"/>
      <c r="M389" s="143"/>
      <c r="N389" s="143"/>
      <c r="O389" s="143"/>
      <c r="P389" s="114"/>
      <c r="Q389" s="114"/>
      <c r="R389" s="114"/>
      <c r="S389" s="114"/>
      <c r="T389" s="114"/>
      <c r="U389" s="114"/>
      <c r="V389" s="114"/>
      <c r="W389" s="114"/>
      <c r="X389" s="114"/>
    </row>
    <row r="390" spans="1:24" ht="15.75" customHeight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43"/>
      <c r="M390" s="143"/>
      <c r="N390" s="143"/>
      <c r="O390" s="143"/>
      <c r="P390" s="114"/>
      <c r="Q390" s="114"/>
      <c r="R390" s="114"/>
      <c r="S390" s="114"/>
      <c r="T390" s="114"/>
      <c r="U390" s="114"/>
      <c r="V390" s="114"/>
      <c r="W390" s="114"/>
      <c r="X390" s="114"/>
    </row>
    <row r="391" spans="1:24" ht="15.75" customHeight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43"/>
      <c r="M391" s="143"/>
      <c r="N391" s="143"/>
      <c r="O391" s="143"/>
      <c r="P391" s="114"/>
      <c r="Q391" s="114"/>
      <c r="R391" s="114"/>
      <c r="S391" s="114"/>
      <c r="T391" s="114"/>
      <c r="U391" s="114"/>
      <c r="V391" s="114"/>
      <c r="W391" s="114"/>
      <c r="X391" s="114"/>
    </row>
    <row r="392" spans="1:24" ht="15.75" customHeight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43"/>
      <c r="M392" s="143"/>
      <c r="N392" s="143"/>
      <c r="O392" s="143"/>
      <c r="P392" s="114"/>
      <c r="Q392" s="114"/>
      <c r="R392" s="114"/>
      <c r="S392" s="114"/>
      <c r="T392" s="114"/>
      <c r="U392" s="114"/>
      <c r="V392" s="114"/>
      <c r="W392" s="114"/>
      <c r="X392" s="114"/>
    </row>
    <row r="393" spans="1:24" ht="15.75" customHeight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43"/>
      <c r="M393" s="143"/>
      <c r="N393" s="143"/>
      <c r="O393" s="143"/>
      <c r="P393" s="114"/>
      <c r="Q393" s="114"/>
      <c r="R393" s="114"/>
      <c r="S393" s="114"/>
      <c r="T393" s="114"/>
      <c r="U393" s="114"/>
      <c r="V393" s="114"/>
      <c r="W393" s="114"/>
      <c r="X393" s="114"/>
    </row>
    <row r="394" spans="1:24" ht="15.75" customHeight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43"/>
      <c r="M394" s="143"/>
      <c r="N394" s="143"/>
      <c r="O394" s="143"/>
      <c r="P394" s="114"/>
      <c r="Q394" s="114"/>
      <c r="R394" s="114"/>
      <c r="S394" s="114"/>
      <c r="T394" s="114"/>
      <c r="U394" s="114"/>
      <c r="V394" s="114"/>
      <c r="W394" s="114"/>
      <c r="X394" s="114"/>
    </row>
    <row r="395" spans="1:24" ht="15.75" customHeight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43"/>
      <c r="M395" s="143"/>
      <c r="N395" s="143"/>
      <c r="O395" s="143"/>
      <c r="P395" s="114"/>
      <c r="Q395" s="114"/>
      <c r="R395" s="114"/>
      <c r="S395" s="114"/>
      <c r="T395" s="114"/>
      <c r="U395" s="114"/>
      <c r="V395" s="114"/>
      <c r="W395" s="114"/>
      <c r="X395" s="114"/>
    </row>
    <row r="396" spans="1:24" ht="15.75" customHeight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43"/>
      <c r="M396" s="143"/>
      <c r="N396" s="143"/>
      <c r="O396" s="143"/>
      <c r="P396" s="114"/>
      <c r="Q396" s="114"/>
      <c r="R396" s="114"/>
      <c r="S396" s="114"/>
      <c r="T396" s="114"/>
      <c r="U396" s="114"/>
      <c r="V396" s="114"/>
      <c r="W396" s="114"/>
      <c r="X396" s="114"/>
    </row>
    <row r="397" spans="1:24" ht="15.75" customHeight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43"/>
      <c r="M397" s="143"/>
      <c r="N397" s="143"/>
      <c r="O397" s="143"/>
      <c r="P397" s="114"/>
      <c r="Q397" s="114"/>
      <c r="R397" s="114"/>
      <c r="S397" s="114"/>
      <c r="T397" s="114"/>
      <c r="U397" s="114"/>
      <c r="V397" s="114"/>
      <c r="W397" s="114"/>
      <c r="X397" s="114"/>
    </row>
    <row r="398" spans="1:24" ht="15.75" customHeight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43"/>
      <c r="M398" s="143"/>
      <c r="N398" s="143"/>
      <c r="O398" s="143"/>
      <c r="P398" s="114"/>
      <c r="Q398" s="114"/>
      <c r="R398" s="114"/>
      <c r="S398" s="114"/>
      <c r="T398" s="114"/>
      <c r="U398" s="114"/>
      <c r="V398" s="114"/>
      <c r="W398" s="114"/>
      <c r="X398" s="114"/>
    </row>
    <row r="399" spans="1:24" ht="15.75" customHeight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43"/>
      <c r="M399" s="143"/>
      <c r="N399" s="143"/>
      <c r="O399" s="143"/>
      <c r="P399" s="114"/>
      <c r="Q399" s="114"/>
      <c r="R399" s="114"/>
      <c r="S399" s="114"/>
      <c r="T399" s="114"/>
      <c r="U399" s="114"/>
      <c r="V399" s="114"/>
      <c r="W399" s="114"/>
      <c r="X399" s="114"/>
    </row>
    <row r="400" spans="1:24" ht="15.75" customHeight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43"/>
      <c r="M400" s="143"/>
      <c r="N400" s="143"/>
      <c r="O400" s="143"/>
      <c r="P400" s="114"/>
      <c r="Q400" s="114"/>
      <c r="R400" s="114"/>
      <c r="S400" s="114"/>
      <c r="T400" s="114"/>
      <c r="U400" s="114"/>
      <c r="V400" s="114"/>
      <c r="W400" s="114"/>
      <c r="X400" s="114"/>
    </row>
    <row r="401" spans="1:24" ht="15.75" customHeight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43"/>
      <c r="M401" s="143"/>
      <c r="N401" s="143"/>
      <c r="O401" s="143"/>
      <c r="P401" s="114"/>
      <c r="Q401" s="114"/>
      <c r="R401" s="114"/>
      <c r="S401" s="114"/>
      <c r="T401" s="114"/>
      <c r="U401" s="114"/>
      <c r="V401" s="114"/>
      <c r="W401" s="114"/>
      <c r="X401" s="114"/>
    </row>
    <row r="402" spans="1:24" ht="15.75" customHeight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43"/>
      <c r="M402" s="143"/>
      <c r="N402" s="143"/>
      <c r="O402" s="143"/>
      <c r="P402" s="114"/>
      <c r="Q402" s="114"/>
      <c r="R402" s="114"/>
      <c r="S402" s="114"/>
      <c r="T402" s="114"/>
      <c r="U402" s="114"/>
      <c r="V402" s="114"/>
      <c r="W402" s="114"/>
      <c r="X402" s="114"/>
    </row>
    <row r="403" spans="1:24" ht="15.75" customHeight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43"/>
      <c r="M403" s="143"/>
      <c r="N403" s="143"/>
      <c r="O403" s="143"/>
      <c r="P403" s="114"/>
      <c r="Q403" s="114"/>
      <c r="R403" s="114"/>
      <c r="S403" s="114"/>
      <c r="T403" s="114"/>
      <c r="U403" s="114"/>
      <c r="V403" s="114"/>
      <c r="W403" s="114"/>
      <c r="X403" s="114"/>
    </row>
    <row r="404" spans="1:24" ht="15.75" customHeight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43"/>
      <c r="M404" s="143"/>
      <c r="N404" s="143"/>
      <c r="O404" s="143"/>
      <c r="P404" s="114"/>
      <c r="Q404" s="114"/>
      <c r="R404" s="114"/>
      <c r="S404" s="114"/>
      <c r="T404" s="114"/>
      <c r="U404" s="114"/>
      <c r="V404" s="114"/>
      <c r="W404" s="114"/>
      <c r="X404" s="114"/>
    </row>
    <row r="405" spans="1:24" ht="15.75" customHeight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43"/>
      <c r="M405" s="143"/>
      <c r="N405" s="143"/>
      <c r="O405" s="143"/>
      <c r="P405" s="114"/>
      <c r="Q405" s="114"/>
      <c r="R405" s="114"/>
      <c r="S405" s="114"/>
      <c r="T405" s="114"/>
      <c r="U405" s="114"/>
      <c r="V405" s="114"/>
      <c r="W405" s="114"/>
      <c r="X405" s="114"/>
    </row>
    <row r="406" spans="1:24" ht="15.75" customHeight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43"/>
      <c r="M406" s="143"/>
      <c r="N406" s="143"/>
      <c r="O406" s="143"/>
      <c r="P406" s="114"/>
      <c r="Q406" s="114"/>
      <c r="R406" s="114"/>
      <c r="S406" s="114"/>
      <c r="T406" s="114"/>
      <c r="U406" s="114"/>
      <c r="V406" s="114"/>
      <c r="W406" s="114"/>
      <c r="X406" s="114"/>
    </row>
    <row r="407" spans="1:24" ht="15.75" customHeight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43"/>
      <c r="M407" s="143"/>
      <c r="N407" s="143"/>
      <c r="O407" s="143"/>
      <c r="P407" s="114"/>
      <c r="Q407" s="114"/>
      <c r="R407" s="114"/>
      <c r="S407" s="114"/>
      <c r="T407" s="114"/>
      <c r="U407" s="114"/>
      <c r="V407" s="114"/>
      <c r="W407" s="114"/>
      <c r="X407" s="114"/>
    </row>
    <row r="408" spans="1:24" ht="15.75" customHeight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43"/>
      <c r="M408" s="143"/>
      <c r="N408" s="143"/>
      <c r="O408" s="143"/>
      <c r="P408" s="114"/>
      <c r="Q408" s="114"/>
      <c r="R408" s="114"/>
      <c r="S408" s="114"/>
      <c r="T408" s="114"/>
      <c r="U408" s="114"/>
      <c r="V408" s="114"/>
      <c r="W408" s="114"/>
      <c r="X408" s="114"/>
    </row>
    <row r="409" spans="1:24" ht="15.75" customHeight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43"/>
      <c r="M409" s="143"/>
      <c r="N409" s="143"/>
      <c r="O409" s="143"/>
      <c r="P409" s="114"/>
      <c r="Q409" s="114"/>
      <c r="R409" s="114"/>
      <c r="S409" s="114"/>
      <c r="T409" s="114"/>
      <c r="U409" s="114"/>
      <c r="V409" s="114"/>
      <c r="W409" s="114"/>
      <c r="X409" s="114"/>
    </row>
    <row r="410" spans="1:24" ht="15.75" customHeight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43"/>
      <c r="M410" s="143"/>
      <c r="N410" s="143"/>
      <c r="O410" s="143"/>
      <c r="P410" s="114"/>
      <c r="Q410" s="114"/>
      <c r="R410" s="114"/>
      <c r="S410" s="114"/>
      <c r="T410" s="114"/>
      <c r="U410" s="114"/>
      <c r="V410" s="114"/>
      <c r="W410" s="114"/>
      <c r="X410" s="114"/>
    </row>
    <row r="411" spans="1:24" ht="15.75" customHeight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43"/>
      <c r="M411" s="143"/>
      <c r="N411" s="143"/>
      <c r="O411" s="143"/>
      <c r="P411" s="114"/>
      <c r="Q411" s="114"/>
      <c r="R411" s="114"/>
      <c r="S411" s="114"/>
      <c r="T411" s="114"/>
      <c r="U411" s="114"/>
      <c r="V411" s="114"/>
      <c r="W411" s="114"/>
      <c r="X411" s="114"/>
    </row>
    <row r="412" spans="1:24" ht="15.75" customHeight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43"/>
      <c r="M412" s="143"/>
      <c r="N412" s="143"/>
      <c r="O412" s="143"/>
      <c r="P412" s="114"/>
      <c r="Q412" s="114"/>
      <c r="R412" s="114"/>
      <c r="S412" s="114"/>
      <c r="T412" s="114"/>
      <c r="U412" s="114"/>
      <c r="V412" s="114"/>
      <c r="W412" s="114"/>
      <c r="X412" s="114"/>
    </row>
    <row r="413" spans="1:24" ht="15.75" customHeight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43"/>
      <c r="M413" s="143"/>
      <c r="N413" s="143"/>
      <c r="O413" s="143"/>
      <c r="P413" s="114"/>
      <c r="Q413" s="114"/>
      <c r="R413" s="114"/>
      <c r="S413" s="114"/>
      <c r="T413" s="114"/>
      <c r="U413" s="114"/>
      <c r="V413" s="114"/>
      <c r="W413" s="114"/>
      <c r="X413" s="114"/>
    </row>
    <row r="414" spans="1:24" ht="15.75" customHeight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43"/>
      <c r="M414" s="143"/>
      <c r="N414" s="143"/>
      <c r="O414" s="143"/>
      <c r="P414" s="114"/>
      <c r="Q414" s="114"/>
      <c r="R414" s="114"/>
      <c r="S414" s="114"/>
      <c r="T414" s="114"/>
      <c r="U414" s="114"/>
      <c r="V414" s="114"/>
      <c r="W414" s="114"/>
      <c r="X414" s="114"/>
    </row>
    <row r="415" spans="1:24" ht="15.75" customHeight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43"/>
      <c r="M415" s="143"/>
      <c r="N415" s="143"/>
      <c r="O415" s="143"/>
      <c r="P415" s="114"/>
      <c r="Q415" s="114"/>
      <c r="R415" s="114"/>
      <c r="S415" s="114"/>
      <c r="T415" s="114"/>
      <c r="U415" s="114"/>
      <c r="V415" s="114"/>
      <c r="W415" s="114"/>
      <c r="X415" s="114"/>
    </row>
    <row r="416" spans="1:24" ht="15.75" customHeight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43"/>
      <c r="M416" s="143"/>
      <c r="N416" s="143"/>
      <c r="O416" s="143"/>
      <c r="P416" s="114"/>
      <c r="Q416" s="114"/>
      <c r="R416" s="114"/>
      <c r="S416" s="114"/>
      <c r="T416" s="114"/>
      <c r="U416" s="114"/>
      <c r="V416" s="114"/>
      <c r="W416" s="114"/>
      <c r="X416" s="114"/>
    </row>
    <row r="417" spans="1:24" ht="15.75" customHeight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43"/>
      <c r="M417" s="143"/>
      <c r="N417" s="143"/>
      <c r="O417" s="143"/>
      <c r="P417" s="114"/>
      <c r="Q417" s="114"/>
      <c r="R417" s="114"/>
      <c r="S417" s="114"/>
      <c r="T417" s="114"/>
      <c r="U417" s="114"/>
      <c r="V417" s="114"/>
      <c r="W417" s="114"/>
      <c r="X417" s="114"/>
    </row>
    <row r="418" spans="1:24" ht="15.75" customHeight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43"/>
      <c r="M418" s="143"/>
      <c r="N418" s="143"/>
      <c r="O418" s="143"/>
      <c r="P418" s="114"/>
      <c r="Q418" s="114"/>
      <c r="R418" s="114"/>
      <c r="S418" s="114"/>
      <c r="T418" s="114"/>
      <c r="U418" s="114"/>
      <c r="V418" s="114"/>
      <c r="W418" s="114"/>
      <c r="X418" s="114"/>
    </row>
    <row r="419" spans="1:24" ht="15.75" customHeight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43"/>
      <c r="M419" s="143"/>
      <c r="N419" s="143"/>
      <c r="O419" s="143"/>
      <c r="P419" s="114"/>
      <c r="Q419" s="114"/>
      <c r="R419" s="114"/>
      <c r="S419" s="114"/>
      <c r="T419" s="114"/>
      <c r="U419" s="114"/>
      <c r="V419" s="114"/>
      <c r="W419" s="114"/>
      <c r="X419" s="114"/>
    </row>
    <row r="420" spans="1:24" ht="15.75" customHeight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43"/>
      <c r="M420" s="143"/>
      <c r="N420" s="143"/>
      <c r="O420" s="143"/>
      <c r="P420" s="114"/>
      <c r="Q420" s="114"/>
      <c r="R420" s="114"/>
      <c r="S420" s="114"/>
      <c r="T420" s="114"/>
      <c r="U420" s="114"/>
      <c r="V420" s="114"/>
      <c r="W420" s="114"/>
      <c r="X420" s="114"/>
    </row>
    <row r="421" spans="1:24" ht="15.75" customHeight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43"/>
      <c r="M421" s="143"/>
      <c r="N421" s="143"/>
      <c r="O421" s="143"/>
      <c r="P421" s="114"/>
      <c r="Q421" s="114"/>
      <c r="R421" s="114"/>
      <c r="S421" s="114"/>
      <c r="T421" s="114"/>
      <c r="U421" s="114"/>
      <c r="V421" s="114"/>
      <c r="W421" s="114"/>
      <c r="X421" s="114"/>
    </row>
    <row r="422" spans="1:24" ht="15.75" customHeight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43"/>
      <c r="M422" s="143"/>
      <c r="N422" s="143"/>
      <c r="O422" s="143"/>
      <c r="P422" s="114"/>
      <c r="Q422" s="114"/>
      <c r="R422" s="114"/>
      <c r="S422" s="114"/>
      <c r="T422" s="114"/>
      <c r="U422" s="114"/>
      <c r="V422" s="114"/>
      <c r="W422" s="114"/>
      <c r="X422" s="114"/>
    </row>
    <row r="423" spans="1:24" ht="15.75" customHeight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43"/>
      <c r="M423" s="143"/>
      <c r="N423" s="143"/>
      <c r="O423" s="143"/>
      <c r="P423" s="114"/>
      <c r="Q423" s="114"/>
      <c r="R423" s="114"/>
      <c r="S423" s="114"/>
      <c r="T423" s="114"/>
      <c r="U423" s="114"/>
      <c r="V423" s="114"/>
      <c r="W423" s="114"/>
      <c r="X423" s="114"/>
    </row>
    <row r="424" spans="1:24" ht="15.75" customHeight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43"/>
      <c r="M424" s="143"/>
      <c r="N424" s="143"/>
      <c r="O424" s="143"/>
      <c r="P424" s="114"/>
      <c r="Q424" s="114"/>
      <c r="R424" s="114"/>
      <c r="S424" s="114"/>
      <c r="T424" s="114"/>
      <c r="U424" s="114"/>
      <c r="V424" s="114"/>
      <c r="W424" s="114"/>
      <c r="X424" s="114"/>
    </row>
    <row r="425" spans="1:24" ht="15.75" customHeight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43"/>
      <c r="M425" s="143"/>
      <c r="N425" s="143"/>
      <c r="O425" s="143"/>
      <c r="P425" s="114"/>
      <c r="Q425" s="114"/>
      <c r="R425" s="114"/>
      <c r="S425" s="114"/>
      <c r="T425" s="114"/>
      <c r="U425" s="114"/>
      <c r="V425" s="114"/>
      <c r="W425" s="114"/>
      <c r="X425" s="114"/>
    </row>
    <row r="426" spans="1:24" ht="15.75" customHeight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43"/>
      <c r="M426" s="143"/>
      <c r="N426" s="143"/>
      <c r="O426" s="143"/>
      <c r="P426" s="114"/>
      <c r="Q426" s="114"/>
      <c r="R426" s="114"/>
      <c r="S426" s="114"/>
      <c r="T426" s="114"/>
      <c r="U426" s="114"/>
      <c r="V426" s="114"/>
      <c r="W426" s="114"/>
      <c r="X426" s="114"/>
    </row>
    <row r="427" spans="1:24" ht="15.75" customHeight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43"/>
      <c r="M427" s="143"/>
      <c r="N427" s="143"/>
      <c r="O427" s="143"/>
      <c r="P427" s="114"/>
      <c r="Q427" s="114"/>
      <c r="R427" s="114"/>
      <c r="S427" s="114"/>
      <c r="T427" s="114"/>
      <c r="U427" s="114"/>
      <c r="V427" s="114"/>
      <c r="W427" s="114"/>
      <c r="X427" s="114"/>
    </row>
    <row r="428" spans="1:24" ht="15.75" customHeight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43"/>
      <c r="M428" s="143"/>
      <c r="N428" s="143"/>
      <c r="O428" s="143"/>
      <c r="P428" s="114"/>
      <c r="Q428" s="114"/>
      <c r="R428" s="114"/>
      <c r="S428" s="114"/>
      <c r="T428" s="114"/>
      <c r="U428" s="114"/>
      <c r="V428" s="114"/>
      <c r="W428" s="114"/>
      <c r="X428" s="114"/>
    </row>
    <row r="429" spans="1:24" ht="15.75" customHeight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43"/>
      <c r="M429" s="143"/>
      <c r="N429" s="143"/>
      <c r="O429" s="143"/>
      <c r="P429" s="114"/>
      <c r="Q429" s="114"/>
      <c r="R429" s="114"/>
      <c r="S429" s="114"/>
      <c r="T429" s="114"/>
      <c r="U429" s="114"/>
      <c r="V429" s="114"/>
      <c r="W429" s="114"/>
      <c r="X429" s="114"/>
    </row>
    <row r="430" spans="1:24" ht="15.75" customHeight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43"/>
      <c r="M430" s="143"/>
      <c r="N430" s="143"/>
      <c r="O430" s="143"/>
      <c r="P430" s="114"/>
      <c r="Q430" s="114"/>
      <c r="R430" s="114"/>
      <c r="S430" s="114"/>
      <c r="T430" s="114"/>
      <c r="U430" s="114"/>
      <c r="V430" s="114"/>
      <c r="W430" s="114"/>
      <c r="X430" s="114"/>
    </row>
    <row r="431" spans="1:24" ht="15.75" customHeight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43"/>
      <c r="M431" s="143"/>
      <c r="N431" s="143"/>
      <c r="O431" s="143"/>
      <c r="P431" s="114"/>
      <c r="Q431" s="114"/>
      <c r="R431" s="114"/>
      <c r="S431" s="114"/>
      <c r="T431" s="114"/>
      <c r="U431" s="114"/>
      <c r="V431" s="114"/>
      <c r="W431" s="114"/>
      <c r="X431" s="114"/>
    </row>
    <row r="432" spans="1:24" ht="15.75" customHeight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43"/>
      <c r="M432" s="143"/>
      <c r="N432" s="143"/>
      <c r="O432" s="143"/>
      <c r="P432" s="114"/>
      <c r="Q432" s="114"/>
      <c r="R432" s="114"/>
      <c r="S432" s="114"/>
      <c r="T432" s="114"/>
      <c r="U432" s="114"/>
      <c r="V432" s="114"/>
      <c r="W432" s="114"/>
      <c r="X432" s="114"/>
    </row>
    <row r="433" spans="1:24" ht="15.75" customHeight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43"/>
      <c r="M433" s="143"/>
      <c r="N433" s="143"/>
      <c r="O433" s="143"/>
      <c r="P433" s="114"/>
      <c r="Q433" s="114"/>
      <c r="R433" s="114"/>
      <c r="S433" s="114"/>
      <c r="T433" s="114"/>
      <c r="U433" s="114"/>
      <c r="V433" s="114"/>
      <c r="W433" s="114"/>
      <c r="X433" s="114"/>
    </row>
    <row r="434" spans="1:24" ht="15.75" customHeight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43"/>
      <c r="M434" s="143"/>
      <c r="N434" s="143"/>
      <c r="O434" s="143"/>
      <c r="P434" s="114"/>
      <c r="Q434" s="114"/>
      <c r="R434" s="114"/>
      <c r="S434" s="114"/>
      <c r="T434" s="114"/>
      <c r="U434" s="114"/>
      <c r="V434" s="114"/>
      <c r="W434" s="114"/>
      <c r="X434" s="114"/>
    </row>
    <row r="435" spans="1:24" ht="15.75" customHeight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43"/>
      <c r="M435" s="143"/>
      <c r="N435" s="143"/>
      <c r="O435" s="143"/>
      <c r="P435" s="114"/>
      <c r="Q435" s="114"/>
      <c r="R435" s="114"/>
      <c r="S435" s="114"/>
      <c r="T435" s="114"/>
      <c r="U435" s="114"/>
      <c r="V435" s="114"/>
      <c r="W435" s="114"/>
      <c r="X435" s="114"/>
    </row>
    <row r="436" spans="1:24" ht="15.75" customHeight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43"/>
      <c r="M436" s="143"/>
      <c r="N436" s="143"/>
      <c r="O436" s="143"/>
      <c r="P436" s="114"/>
      <c r="Q436" s="114"/>
      <c r="R436" s="114"/>
      <c r="S436" s="114"/>
      <c r="T436" s="114"/>
      <c r="U436" s="114"/>
      <c r="V436" s="114"/>
      <c r="W436" s="114"/>
      <c r="X436" s="114"/>
    </row>
    <row r="437" spans="1:24" ht="15.75" customHeight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43"/>
      <c r="M437" s="143"/>
      <c r="N437" s="143"/>
      <c r="O437" s="143"/>
      <c r="P437" s="114"/>
      <c r="Q437" s="114"/>
      <c r="R437" s="114"/>
      <c r="S437" s="114"/>
      <c r="T437" s="114"/>
      <c r="U437" s="114"/>
      <c r="V437" s="114"/>
      <c r="W437" s="114"/>
      <c r="X437" s="114"/>
    </row>
    <row r="438" spans="1:24" ht="15.75" customHeight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43"/>
      <c r="M438" s="143"/>
      <c r="N438" s="143"/>
      <c r="O438" s="143"/>
      <c r="P438" s="114"/>
      <c r="Q438" s="114"/>
      <c r="R438" s="114"/>
      <c r="S438" s="114"/>
      <c r="T438" s="114"/>
      <c r="U438" s="114"/>
      <c r="V438" s="114"/>
      <c r="W438" s="114"/>
      <c r="X438" s="114"/>
    </row>
    <row r="439" spans="1:24" ht="15.75" customHeight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43"/>
      <c r="M439" s="143"/>
      <c r="N439" s="143"/>
      <c r="O439" s="143"/>
      <c r="P439" s="114"/>
      <c r="Q439" s="114"/>
      <c r="R439" s="114"/>
      <c r="S439" s="114"/>
      <c r="T439" s="114"/>
      <c r="U439" s="114"/>
      <c r="V439" s="114"/>
      <c r="W439" s="114"/>
      <c r="X439" s="114"/>
    </row>
    <row r="440" spans="1:24" ht="15.75" customHeight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43"/>
      <c r="M440" s="143"/>
      <c r="N440" s="143"/>
      <c r="O440" s="143"/>
      <c r="P440" s="114"/>
      <c r="Q440" s="114"/>
      <c r="R440" s="114"/>
      <c r="S440" s="114"/>
      <c r="T440" s="114"/>
      <c r="U440" s="114"/>
      <c r="V440" s="114"/>
      <c r="W440" s="114"/>
      <c r="X440" s="114"/>
    </row>
    <row r="441" spans="1:24" ht="15.75" customHeight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43"/>
      <c r="M441" s="143"/>
      <c r="N441" s="143"/>
      <c r="O441" s="143"/>
      <c r="P441" s="114"/>
      <c r="Q441" s="114"/>
      <c r="R441" s="114"/>
      <c r="S441" s="114"/>
      <c r="T441" s="114"/>
      <c r="U441" s="114"/>
      <c r="V441" s="114"/>
      <c r="W441" s="114"/>
      <c r="X441" s="114"/>
    </row>
    <row r="442" spans="1:24" ht="15.75" customHeight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43"/>
      <c r="M442" s="143"/>
      <c r="N442" s="143"/>
      <c r="O442" s="143"/>
      <c r="P442" s="114"/>
      <c r="Q442" s="114"/>
      <c r="R442" s="114"/>
      <c r="S442" s="114"/>
      <c r="T442" s="114"/>
      <c r="U442" s="114"/>
      <c r="V442" s="114"/>
      <c r="W442" s="114"/>
      <c r="X442" s="114"/>
    </row>
    <row r="443" spans="1:24" ht="15.75" customHeight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43"/>
      <c r="M443" s="143"/>
      <c r="N443" s="143"/>
      <c r="O443" s="143"/>
      <c r="P443" s="114"/>
      <c r="Q443" s="114"/>
      <c r="R443" s="114"/>
      <c r="S443" s="114"/>
      <c r="T443" s="114"/>
      <c r="U443" s="114"/>
      <c r="V443" s="114"/>
      <c r="W443" s="114"/>
      <c r="X443" s="114"/>
    </row>
    <row r="444" spans="1:24" ht="15.75" customHeight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43"/>
      <c r="M444" s="143"/>
      <c r="N444" s="143"/>
      <c r="O444" s="143"/>
      <c r="P444" s="114"/>
      <c r="Q444" s="114"/>
      <c r="R444" s="114"/>
      <c r="S444" s="114"/>
      <c r="T444" s="114"/>
      <c r="U444" s="114"/>
      <c r="V444" s="114"/>
      <c r="W444" s="114"/>
      <c r="X444" s="114"/>
    </row>
    <row r="445" spans="1:24" ht="15.75" customHeight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43"/>
      <c r="M445" s="143"/>
      <c r="N445" s="143"/>
      <c r="O445" s="143"/>
      <c r="P445" s="114"/>
      <c r="Q445" s="114"/>
      <c r="R445" s="114"/>
      <c r="S445" s="114"/>
      <c r="T445" s="114"/>
      <c r="U445" s="114"/>
      <c r="V445" s="114"/>
      <c r="W445" s="114"/>
      <c r="X445" s="114"/>
    </row>
    <row r="446" spans="1:24" ht="15.75" customHeight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43"/>
      <c r="M446" s="143"/>
      <c r="N446" s="143"/>
      <c r="O446" s="143"/>
      <c r="P446" s="114"/>
      <c r="Q446" s="114"/>
      <c r="R446" s="114"/>
      <c r="S446" s="114"/>
      <c r="T446" s="114"/>
      <c r="U446" s="114"/>
      <c r="V446" s="114"/>
      <c r="W446" s="114"/>
      <c r="X446" s="114"/>
    </row>
    <row r="447" spans="1:24" ht="15.75" customHeight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43"/>
      <c r="M447" s="143"/>
      <c r="N447" s="143"/>
      <c r="O447" s="143"/>
      <c r="P447" s="114"/>
      <c r="Q447" s="114"/>
      <c r="R447" s="114"/>
      <c r="S447" s="114"/>
      <c r="T447" s="114"/>
      <c r="U447" s="114"/>
      <c r="V447" s="114"/>
      <c r="W447" s="114"/>
      <c r="X447" s="114"/>
    </row>
    <row r="448" spans="1:24" ht="15.75" customHeight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43"/>
      <c r="M448" s="143"/>
      <c r="N448" s="143"/>
      <c r="O448" s="143"/>
      <c r="P448" s="114"/>
      <c r="Q448" s="114"/>
      <c r="R448" s="114"/>
      <c r="S448" s="114"/>
      <c r="T448" s="114"/>
      <c r="U448" s="114"/>
      <c r="V448" s="114"/>
      <c r="W448" s="114"/>
      <c r="X448" s="114"/>
    </row>
    <row r="449" spans="1:24" ht="15.75" customHeight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43"/>
      <c r="M449" s="143"/>
      <c r="N449" s="143"/>
      <c r="O449" s="143"/>
      <c r="P449" s="114"/>
      <c r="Q449" s="114"/>
      <c r="R449" s="114"/>
      <c r="S449" s="114"/>
      <c r="T449" s="114"/>
      <c r="U449" s="114"/>
      <c r="V449" s="114"/>
      <c r="W449" s="114"/>
      <c r="X449" s="114"/>
    </row>
    <row r="450" spans="1:24" ht="15.75" customHeight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43"/>
      <c r="M450" s="143"/>
      <c r="N450" s="143"/>
      <c r="O450" s="143"/>
      <c r="P450" s="114"/>
      <c r="Q450" s="114"/>
      <c r="R450" s="114"/>
      <c r="S450" s="114"/>
      <c r="T450" s="114"/>
      <c r="U450" s="114"/>
      <c r="V450" s="114"/>
      <c r="W450" s="114"/>
      <c r="X450" s="114"/>
    </row>
    <row r="451" spans="1:24" ht="15.75" customHeight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43"/>
      <c r="M451" s="143"/>
      <c r="N451" s="143"/>
      <c r="O451" s="143"/>
      <c r="P451" s="114"/>
      <c r="Q451" s="114"/>
      <c r="R451" s="114"/>
      <c r="S451" s="114"/>
      <c r="T451" s="114"/>
      <c r="U451" s="114"/>
      <c r="V451" s="114"/>
      <c r="W451" s="114"/>
      <c r="X451" s="114"/>
    </row>
    <row r="452" spans="1:24" ht="15.75" customHeight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43"/>
      <c r="M452" s="143"/>
      <c r="N452" s="143"/>
      <c r="O452" s="143"/>
      <c r="P452" s="114"/>
      <c r="Q452" s="114"/>
      <c r="R452" s="114"/>
      <c r="S452" s="114"/>
      <c r="T452" s="114"/>
      <c r="U452" s="114"/>
      <c r="V452" s="114"/>
      <c r="W452" s="114"/>
      <c r="X452" s="114"/>
    </row>
    <row r="453" spans="1:24" ht="15.75" customHeight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43"/>
      <c r="M453" s="143"/>
      <c r="N453" s="143"/>
      <c r="O453" s="143"/>
      <c r="P453" s="114"/>
      <c r="Q453" s="114"/>
      <c r="R453" s="114"/>
      <c r="S453" s="114"/>
      <c r="T453" s="114"/>
      <c r="U453" s="114"/>
      <c r="V453" s="114"/>
      <c r="W453" s="114"/>
      <c r="X453" s="114"/>
    </row>
    <row r="454" spans="1:24" ht="15.75" customHeight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43"/>
      <c r="M454" s="143"/>
      <c r="N454" s="143"/>
      <c r="O454" s="143"/>
      <c r="P454" s="114"/>
      <c r="Q454" s="114"/>
      <c r="R454" s="114"/>
      <c r="S454" s="114"/>
      <c r="T454" s="114"/>
      <c r="U454" s="114"/>
      <c r="V454" s="114"/>
      <c r="W454" s="114"/>
      <c r="X454" s="114"/>
    </row>
    <row r="455" spans="1:24" ht="15.75" customHeight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43"/>
      <c r="M455" s="143"/>
      <c r="N455" s="143"/>
      <c r="O455" s="143"/>
      <c r="P455" s="114"/>
      <c r="Q455" s="114"/>
      <c r="R455" s="114"/>
      <c r="S455" s="114"/>
      <c r="T455" s="114"/>
      <c r="U455" s="114"/>
      <c r="V455" s="114"/>
      <c r="W455" s="114"/>
      <c r="X455" s="114"/>
    </row>
    <row r="456" spans="1:24" ht="15.75" customHeight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43"/>
      <c r="M456" s="143"/>
      <c r="N456" s="143"/>
      <c r="O456" s="143"/>
      <c r="P456" s="114"/>
      <c r="Q456" s="114"/>
      <c r="R456" s="114"/>
      <c r="S456" s="114"/>
      <c r="T456" s="114"/>
      <c r="U456" s="114"/>
      <c r="V456" s="114"/>
      <c r="W456" s="114"/>
      <c r="X456" s="114"/>
    </row>
    <row r="457" spans="1:24" ht="15.75" customHeight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43"/>
      <c r="M457" s="143"/>
      <c r="N457" s="143"/>
      <c r="O457" s="143"/>
      <c r="P457" s="114"/>
      <c r="Q457" s="114"/>
      <c r="R457" s="114"/>
      <c r="S457" s="114"/>
      <c r="T457" s="114"/>
      <c r="U457" s="114"/>
      <c r="V457" s="114"/>
      <c r="W457" s="114"/>
      <c r="X457" s="114"/>
    </row>
    <row r="458" spans="1:24" ht="15.75" customHeight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43"/>
      <c r="M458" s="143"/>
      <c r="N458" s="143"/>
      <c r="O458" s="143"/>
      <c r="P458" s="114"/>
      <c r="Q458" s="114"/>
      <c r="R458" s="114"/>
      <c r="S458" s="114"/>
      <c r="T458" s="114"/>
      <c r="U458" s="114"/>
      <c r="V458" s="114"/>
      <c r="W458" s="114"/>
      <c r="X458" s="114"/>
    </row>
    <row r="459" spans="1:24" ht="15.75" customHeight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43"/>
      <c r="M459" s="143"/>
      <c r="N459" s="143"/>
      <c r="O459" s="143"/>
      <c r="P459" s="114"/>
      <c r="Q459" s="114"/>
      <c r="R459" s="114"/>
      <c r="S459" s="114"/>
      <c r="T459" s="114"/>
      <c r="U459" s="114"/>
      <c r="V459" s="114"/>
      <c r="W459" s="114"/>
      <c r="X459" s="114"/>
    </row>
    <row r="460" spans="1:24" ht="15.75" customHeight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43"/>
      <c r="M460" s="143"/>
      <c r="N460" s="143"/>
      <c r="O460" s="143"/>
      <c r="P460" s="114"/>
      <c r="Q460" s="114"/>
      <c r="R460" s="114"/>
      <c r="S460" s="114"/>
      <c r="T460" s="114"/>
      <c r="U460" s="114"/>
      <c r="V460" s="114"/>
      <c r="W460" s="114"/>
      <c r="X460" s="114"/>
    </row>
    <row r="461" spans="1:24" ht="15.75" customHeight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43"/>
      <c r="M461" s="143"/>
      <c r="N461" s="143"/>
      <c r="O461" s="143"/>
      <c r="P461" s="114"/>
      <c r="Q461" s="114"/>
      <c r="R461" s="114"/>
      <c r="S461" s="114"/>
      <c r="T461" s="114"/>
      <c r="U461" s="114"/>
      <c r="V461" s="114"/>
      <c r="W461" s="114"/>
      <c r="X461" s="114"/>
    </row>
    <row r="462" spans="1:24" ht="15.75" customHeight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43"/>
      <c r="M462" s="143"/>
      <c r="N462" s="143"/>
      <c r="O462" s="143"/>
      <c r="P462" s="114"/>
      <c r="Q462" s="114"/>
      <c r="R462" s="114"/>
      <c r="S462" s="114"/>
      <c r="T462" s="114"/>
      <c r="U462" s="114"/>
      <c r="V462" s="114"/>
      <c r="W462" s="114"/>
      <c r="X462" s="114"/>
    </row>
    <row r="463" spans="1:24" ht="15.75" customHeight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43"/>
      <c r="M463" s="143"/>
      <c r="N463" s="143"/>
      <c r="O463" s="143"/>
      <c r="P463" s="114"/>
      <c r="Q463" s="114"/>
      <c r="R463" s="114"/>
      <c r="S463" s="114"/>
      <c r="T463" s="114"/>
      <c r="U463" s="114"/>
      <c r="V463" s="114"/>
      <c r="W463" s="114"/>
      <c r="X463" s="114"/>
    </row>
    <row r="464" spans="1:24" ht="15.75" customHeight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43"/>
      <c r="M464" s="143"/>
      <c r="N464" s="143"/>
      <c r="O464" s="143"/>
      <c r="P464" s="114"/>
      <c r="Q464" s="114"/>
      <c r="R464" s="114"/>
      <c r="S464" s="114"/>
      <c r="T464" s="114"/>
      <c r="U464" s="114"/>
      <c r="V464" s="114"/>
      <c r="W464" s="114"/>
      <c r="X464" s="114"/>
    </row>
    <row r="465" spans="1:24" ht="15.75" customHeight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43"/>
      <c r="M465" s="143"/>
      <c r="N465" s="143"/>
      <c r="O465" s="143"/>
      <c r="P465" s="114"/>
      <c r="Q465" s="114"/>
      <c r="R465" s="114"/>
      <c r="S465" s="114"/>
      <c r="T465" s="114"/>
      <c r="U465" s="114"/>
      <c r="V465" s="114"/>
      <c r="W465" s="114"/>
      <c r="X465" s="114"/>
    </row>
    <row r="466" spans="1:24" ht="15.75" customHeight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43"/>
      <c r="M466" s="143"/>
      <c r="N466" s="143"/>
      <c r="O466" s="143"/>
      <c r="P466" s="114"/>
      <c r="Q466" s="114"/>
      <c r="R466" s="114"/>
      <c r="S466" s="114"/>
      <c r="T466" s="114"/>
      <c r="U466" s="114"/>
      <c r="V466" s="114"/>
      <c r="W466" s="114"/>
      <c r="X466" s="114"/>
    </row>
    <row r="467" spans="1:24" ht="15.75" customHeight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43"/>
      <c r="M467" s="143"/>
      <c r="N467" s="143"/>
      <c r="O467" s="143"/>
      <c r="P467" s="114"/>
      <c r="Q467" s="114"/>
      <c r="R467" s="114"/>
      <c r="S467" s="114"/>
      <c r="T467" s="114"/>
      <c r="U467" s="114"/>
      <c r="V467" s="114"/>
      <c r="W467" s="114"/>
      <c r="X467" s="114"/>
    </row>
    <row r="468" spans="1:24" ht="15.75" customHeight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43"/>
      <c r="M468" s="143"/>
      <c r="N468" s="143"/>
      <c r="O468" s="143"/>
      <c r="P468" s="114"/>
      <c r="Q468" s="114"/>
      <c r="R468" s="114"/>
      <c r="S468" s="114"/>
      <c r="T468" s="114"/>
      <c r="U468" s="114"/>
      <c r="V468" s="114"/>
      <c r="W468" s="114"/>
      <c r="X468" s="114"/>
    </row>
    <row r="469" spans="1:24" ht="15.75" customHeight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43"/>
      <c r="M469" s="143"/>
      <c r="N469" s="143"/>
      <c r="O469" s="143"/>
      <c r="P469" s="114"/>
      <c r="Q469" s="114"/>
      <c r="R469" s="114"/>
      <c r="S469" s="114"/>
      <c r="T469" s="114"/>
      <c r="U469" s="114"/>
      <c r="V469" s="114"/>
      <c r="W469" s="114"/>
      <c r="X469" s="114"/>
    </row>
    <row r="470" spans="1:24" ht="15.75" customHeight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43"/>
      <c r="M470" s="143"/>
      <c r="N470" s="143"/>
      <c r="O470" s="143"/>
      <c r="P470" s="114"/>
      <c r="Q470" s="114"/>
      <c r="R470" s="114"/>
      <c r="S470" s="114"/>
      <c r="T470" s="114"/>
      <c r="U470" s="114"/>
      <c r="V470" s="114"/>
      <c r="W470" s="114"/>
      <c r="X470" s="114"/>
    </row>
    <row r="471" spans="1:24" ht="15.75" customHeight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43"/>
      <c r="M471" s="143"/>
      <c r="N471" s="143"/>
      <c r="O471" s="143"/>
      <c r="P471" s="114"/>
      <c r="Q471" s="114"/>
      <c r="R471" s="114"/>
      <c r="S471" s="114"/>
      <c r="T471" s="114"/>
      <c r="U471" s="114"/>
      <c r="V471" s="114"/>
      <c r="W471" s="114"/>
      <c r="X471" s="114"/>
    </row>
    <row r="472" spans="1:24" ht="15.75" customHeight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43"/>
      <c r="M472" s="143"/>
      <c r="N472" s="143"/>
      <c r="O472" s="143"/>
      <c r="P472" s="114"/>
      <c r="Q472" s="114"/>
      <c r="R472" s="114"/>
      <c r="S472" s="114"/>
      <c r="T472" s="114"/>
      <c r="U472" s="114"/>
      <c r="V472" s="114"/>
      <c r="W472" s="114"/>
      <c r="X472" s="114"/>
    </row>
    <row r="473" spans="1:24" ht="15.75" customHeight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43"/>
      <c r="M473" s="143"/>
      <c r="N473" s="143"/>
      <c r="O473" s="143"/>
      <c r="P473" s="114"/>
      <c r="Q473" s="114"/>
      <c r="R473" s="114"/>
      <c r="S473" s="114"/>
      <c r="T473" s="114"/>
      <c r="U473" s="114"/>
      <c r="V473" s="114"/>
      <c r="W473" s="114"/>
      <c r="X473" s="114"/>
    </row>
    <row r="474" spans="1:24" ht="15.75" customHeight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43"/>
      <c r="M474" s="143"/>
      <c r="N474" s="143"/>
      <c r="O474" s="143"/>
      <c r="P474" s="114"/>
      <c r="Q474" s="114"/>
      <c r="R474" s="114"/>
      <c r="S474" s="114"/>
      <c r="T474" s="114"/>
      <c r="U474" s="114"/>
      <c r="V474" s="114"/>
      <c r="W474" s="114"/>
      <c r="X474" s="114"/>
    </row>
    <row r="475" spans="1:24" ht="15.75" customHeight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43"/>
      <c r="M475" s="143"/>
      <c r="N475" s="143"/>
      <c r="O475" s="143"/>
      <c r="P475" s="114"/>
      <c r="Q475" s="114"/>
      <c r="R475" s="114"/>
      <c r="S475" s="114"/>
      <c r="T475" s="114"/>
      <c r="U475" s="114"/>
      <c r="V475" s="114"/>
      <c r="W475" s="114"/>
      <c r="X475" s="114"/>
    </row>
    <row r="476" spans="1:24" ht="15.75" customHeight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43"/>
      <c r="M476" s="143"/>
      <c r="N476" s="143"/>
      <c r="O476" s="143"/>
      <c r="P476" s="114"/>
      <c r="Q476" s="114"/>
      <c r="R476" s="114"/>
      <c r="S476" s="114"/>
      <c r="T476" s="114"/>
      <c r="U476" s="114"/>
      <c r="V476" s="114"/>
      <c r="W476" s="114"/>
      <c r="X476" s="114"/>
    </row>
    <row r="477" spans="1:24" ht="15.75" customHeight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43"/>
      <c r="M477" s="143"/>
      <c r="N477" s="143"/>
      <c r="O477" s="143"/>
      <c r="P477" s="114"/>
      <c r="Q477" s="114"/>
      <c r="R477" s="114"/>
      <c r="S477" s="114"/>
      <c r="T477" s="114"/>
      <c r="U477" s="114"/>
      <c r="V477" s="114"/>
      <c r="W477" s="114"/>
      <c r="X477" s="114"/>
    </row>
    <row r="478" spans="1:24" ht="15.75" customHeight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43"/>
      <c r="M478" s="143"/>
      <c r="N478" s="143"/>
      <c r="O478" s="143"/>
      <c r="P478" s="114"/>
      <c r="Q478" s="114"/>
      <c r="R478" s="114"/>
      <c r="S478" s="114"/>
      <c r="T478" s="114"/>
      <c r="U478" s="114"/>
      <c r="V478" s="114"/>
      <c r="W478" s="114"/>
      <c r="X478" s="114"/>
    </row>
    <row r="479" spans="1:24" ht="15.75" customHeight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43"/>
      <c r="M479" s="143"/>
      <c r="N479" s="143"/>
      <c r="O479" s="143"/>
      <c r="P479" s="114"/>
      <c r="Q479" s="114"/>
      <c r="R479" s="114"/>
      <c r="S479" s="114"/>
      <c r="T479" s="114"/>
      <c r="U479" s="114"/>
      <c r="V479" s="114"/>
      <c r="W479" s="114"/>
      <c r="X479" s="114"/>
    </row>
    <row r="480" spans="1:24" ht="15.75" customHeight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43"/>
      <c r="M480" s="143"/>
      <c r="N480" s="143"/>
      <c r="O480" s="143"/>
      <c r="P480" s="114"/>
      <c r="Q480" s="114"/>
      <c r="R480" s="114"/>
      <c r="S480" s="114"/>
      <c r="T480" s="114"/>
      <c r="U480" s="114"/>
      <c r="V480" s="114"/>
      <c r="W480" s="114"/>
      <c r="X480" s="114"/>
    </row>
    <row r="481" spans="1:24" ht="15.75" customHeight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43"/>
      <c r="M481" s="143"/>
      <c r="N481" s="143"/>
      <c r="O481" s="143"/>
      <c r="P481" s="114"/>
      <c r="Q481" s="114"/>
      <c r="R481" s="114"/>
      <c r="S481" s="114"/>
      <c r="T481" s="114"/>
      <c r="U481" s="114"/>
      <c r="V481" s="114"/>
      <c r="W481" s="114"/>
      <c r="X481" s="114"/>
    </row>
    <row r="482" spans="1:24" ht="15.75" customHeight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43"/>
      <c r="M482" s="143"/>
      <c r="N482" s="143"/>
      <c r="O482" s="143"/>
      <c r="P482" s="114"/>
      <c r="Q482" s="114"/>
      <c r="R482" s="114"/>
      <c r="S482" s="114"/>
      <c r="T482" s="114"/>
      <c r="U482" s="114"/>
      <c r="V482" s="114"/>
      <c r="W482" s="114"/>
      <c r="X482" s="114"/>
    </row>
    <row r="483" spans="1:24" ht="15.75" customHeight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43"/>
      <c r="M483" s="143"/>
      <c r="N483" s="143"/>
      <c r="O483" s="143"/>
      <c r="P483" s="114"/>
      <c r="Q483" s="114"/>
      <c r="R483" s="114"/>
      <c r="S483" s="114"/>
      <c r="T483" s="114"/>
      <c r="U483" s="114"/>
      <c r="V483" s="114"/>
      <c r="W483" s="114"/>
      <c r="X483" s="114"/>
    </row>
    <row r="484" spans="1:24" ht="15.75" customHeight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43"/>
      <c r="M484" s="143"/>
      <c r="N484" s="143"/>
      <c r="O484" s="143"/>
      <c r="P484" s="114"/>
      <c r="Q484" s="114"/>
      <c r="R484" s="114"/>
      <c r="S484" s="114"/>
      <c r="T484" s="114"/>
      <c r="U484" s="114"/>
      <c r="V484" s="114"/>
      <c r="W484" s="114"/>
      <c r="X484" s="114"/>
    </row>
    <row r="485" spans="1:24" ht="15.75" customHeight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43"/>
      <c r="M485" s="143"/>
      <c r="N485" s="143"/>
      <c r="O485" s="143"/>
      <c r="P485" s="114"/>
      <c r="Q485" s="114"/>
      <c r="R485" s="114"/>
      <c r="S485" s="114"/>
      <c r="T485" s="114"/>
      <c r="U485" s="114"/>
      <c r="V485" s="114"/>
      <c r="W485" s="114"/>
      <c r="X485" s="114"/>
    </row>
    <row r="486" spans="1:24" ht="15.75" customHeight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43"/>
      <c r="M486" s="143"/>
      <c r="N486" s="143"/>
      <c r="O486" s="143"/>
      <c r="P486" s="114"/>
      <c r="Q486" s="114"/>
      <c r="R486" s="114"/>
      <c r="S486" s="114"/>
      <c r="T486" s="114"/>
      <c r="U486" s="114"/>
      <c r="V486" s="114"/>
      <c r="W486" s="114"/>
      <c r="X486" s="114"/>
    </row>
    <row r="487" spans="1:24" ht="15.75" customHeight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43"/>
      <c r="M487" s="143"/>
      <c r="N487" s="143"/>
      <c r="O487" s="143"/>
      <c r="P487" s="114"/>
      <c r="Q487" s="114"/>
      <c r="R487" s="114"/>
      <c r="S487" s="114"/>
      <c r="T487" s="114"/>
      <c r="U487" s="114"/>
      <c r="V487" s="114"/>
      <c r="W487" s="114"/>
      <c r="X487" s="114"/>
    </row>
    <row r="488" spans="1:24" ht="15.75" customHeight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43"/>
      <c r="M488" s="143"/>
      <c r="N488" s="143"/>
      <c r="O488" s="143"/>
      <c r="P488" s="114"/>
      <c r="Q488" s="114"/>
      <c r="R488" s="114"/>
      <c r="S488" s="114"/>
      <c r="T488" s="114"/>
      <c r="U488" s="114"/>
      <c r="V488" s="114"/>
      <c r="W488" s="114"/>
      <c r="X488" s="114"/>
    </row>
    <row r="489" spans="1:24" ht="15.75" customHeight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43"/>
      <c r="M489" s="143"/>
      <c r="N489" s="143"/>
      <c r="O489" s="143"/>
      <c r="P489" s="114"/>
      <c r="Q489" s="114"/>
      <c r="R489" s="114"/>
      <c r="S489" s="114"/>
      <c r="T489" s="114"/>
      <c r="U489" s="114"/>
      <c r="V489" s="114"/>
      <c r="W489" s="114"/>
      <c r="X489" s="114"/>
    </row>
    <row r="490" spans="1:24" ht="15.75" customHeight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43"/>
      <c r="M490" s="143"/>
      <c r="N490" s="143"/>
      <c r="O490" s="143"/>
      <c r="P490" s="114"/>
      <c r="Q490" s="114"/>
      <c r="R490" s="114"/>
      <c r="S490" s="114"/>
      <c r="T490" s="114"/>
      <c r="U490" s="114"/>
      <c r="V490" s="114"/>
      <c r="W490" s="114"/>
      <c r="X490" s="114"/>
    </row>
    <row r="491" spans="1:24" ht="15.75" customHeight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43"/>
      <c r="M491" s="143"/>
      <c r="N491" s="143"/>
      <c r="O491" s="143"/>
      <c r="P491" s="114"/>
      <c r="Q491" s="114"/>
      <c r="R491" s="114"/>
      <c r="S491" s="114"/>
      <c r="T491" s="114"/>
      <c r="U491" s="114"/>
      <c r="V491" s="114"/>
      <c r="W491" s="114"/>
      <c r="X491" s="114"/>
    </row>
    <row r="492" spans="1:24" ht="15.75" customHeight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43"/>
      <c r="M492" s="143"/>
      <c r="N492" s="143"/>
      <c r="O492" s="143"/>
      <c r="P492" s="114"/>
      <c r="Q492" s="114"/>
      <c r="R492" s="114"/>
      <c r="S492" s="114"/>
      <c r="T492" s="114"/>
      <c r="U492" s="114"/>
      <c r="V492" s="114"/>
      <c r="W492" s="114"/>
      <c r="X492" s="114"/>
    </row>
    <row r="493" spans="1:24" ht="15.75" customHeight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43"/>
      <c r="M493" s="143"/>
      <c r="N493" s="143"/>
      <c r="O493" s="143"/>
      <c r="P493" s="114"/>
      <c r="Q493" s="114"/>
      <c r="R493" s="114"/>
      <c r="S493" s="114"/>
      <c r="T493" s="114"/>
      <c r="U493" s="114"/>
      <c r="V493" s="114"/>
      <c r="W493" s="114"/>
      <c r="X493" s="114"/>
    </row>
    <row r="494" spans="1:24" ht="15.75" customHeight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43"/>
      <c r="M494" s="143"/>
      <c r="N494" s="143"/>
      <c r="O494" s="143"/>
      <c r="P494" s="114"/>
      <c r="Q494" s="114"/>
      <c r="R494" s="114"/>
      <c r="S494" s="114"/>
      <c r="T494" s="114"/>
      <c r="U494" s="114"/>
      <c r="V494" s="114"/>
      <c r="W494" s="114"/>
      <c r="X494" s="114"/>
    </row>
    <row r="495" spans="1:24" ht="15.75" customHeight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43"/>
      <c r="M495" s="143"/>
      <c r="N495" s="143"/>
      <c r="O495" s="143"/>
      <c r="P495" s="114"/>
      <c r="Q495" s="114"/>
      <c r="R495" s="114"/>
      <c r="S495" s="114"/>
      <c r="T495" s="114"/>
      <c r="U495" s="114"/>
      <c r="V495" s="114"/>
      <c r="W495" s="114"/>
      <c r="X495" s="114"/>
    </row>
    <row r="496" spans="1:24" ht="15.75" customHeight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43"/>
      <c r="M496" s="143"/>
      <c r="N496" s="143"/>
      <c r="O496" s="143"/>
      <c r="P496" s="114"/>
      <c r="Q496" s="114"/>
      <c r="R496" s="114"/>
      <c r="S496" s="114"/>
      <c r="T496" s="114"/>
      <c r="U496" s="114"/>
      <c r="V496" s="114"/>
      <c r="W496" s="114"/>
      <c r="X496" s="114"/>
    </row>
    <row r="497" spans="1:24" ht="15.75" customHeight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43"/>
      <c r="M497" s="143"/>
      <c r="N497" s="143"/>
      <c r="O497" s="143"/>
      <c r="P497" s="114"/>
      <c r="Q497" s="114"/>
      <c r="R497" s="114"/>
      <c r="S497" s="114"/>
      <c r="T497" s="114"/>
      <c r="U497" s="114"/>
      <c r="V497" s="114"/>
      <c r="W497" s="114"/>
      <c r="X497" s="114"/>
    </row>
    <row r="498" spans="1:24" ht="15.75" customHeight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43"/>
      <c r="M498" s="143"/>
      <c r="N498" s="143"/>
      <c r="O498" s="143"/>
      <c r="P498" s="114"/>
      <c r="Q498" s="114"/>
      <c r="R498" s="114"/>
      <c r="S498" s="114"/>
      <c r="T498" s="114"/>
      <c r="U498" s="114"/>
      <c r="V498" s="114"/>
      <c r="W498" s="114"/>
      <c r="X498" s="114"/>
    </row>
    <row r="499" spans="1:24" ht="15.75" customHeight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43"/>
      <c r="M499" s="143"/>
      <c r="N499" s="143"/>
      <c r="O499" s="143"/>
      <c r="P499" s="114"/>
      <c r="Q499" s="114"/>
      <c r="R499" s="114"/>
      <c r="S499" s="114"/>
      <c r="T499" s="114"/>
      <c r="U499" s="114"/>
      <c r="V499" s="114"/>
      <c r="W499" s="114"/>
      <c r="X499" s="114"/>
    </row>
    <row r="500" spans="1:24" ht="15.75" customHeight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43"/>
      <c r="M500" s="143"/>
      <c r="N500" s="143"/>
      <c r="O500" s="143"/>
      <c r="P500" s="114"/>
      <c r="Q500" s="114"/>
      <c r="R500" s="114"/>
      <c r="S500" s="114"/>
      <c r="T500" s="114"/>
      <c r="U500" s="114"/>
      <c r="V500" s="114"/>
      <c r="W500" s="114"/>
      <c r="X500" s="114"/>
    </row>
    <row r="501" spans="1:24" ht="15.75" customHeight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43"/>
      <c r="M501" s="143"/>
      <c r="N501" s="143"/>
      <c r="O501" s="143"/>
      <c r="P501" s="114"/>
      <c r="Q501" s="114"/>
      <c r="R501" s="114"/>
      <c r="S501" s="114"/>
      <c r="T501" s="114"/>
      <c r="U501" s="114"/>
      <c r="V501" s="114"/>
      <c r="W501" s="114"/>
      <c r="X501" s="114"/>
    </row>
    <row r="502" spans="1:24" ht="15.75" customHeight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43"/>
      <c r="M502" s="143"/>
      <c r="N502" s="143"/>
      <c r="O502" s="143"/>
      <c r="P502" s="114"/>
      <c r="Q502" s="114"/>
      <c r="R502" s="114"/>
      <c r="S502" s="114"/>
      <c r="T502" s="114"/>
      <c r="U502" s="114"/>
      <c r="V502" s="114"/>
      <c r="W502" s="114"/>
      <c r="X502" s="114"/>
    </row>
    <row r="503" spans="1:24" ht="15.75" customHeight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43"/>
      <c r="M503" s="143"/>
      <c r="N503" s="143"/>
      <c r="O503" s="143"/>
      <c r="P503" s="114"/>
      <c r="Q503" s="114"/>
      <c r="R503" s="114"/>
      <c r="S503" s="114"/>
      <c r="T503" s="114"/>
      <c r="U503" s="114"/>
      <c r="V503" s="114"/>
      <c r="W503" s="114"/>
      <c r="X503" s="114"/>
    </row>
    <row r="504" spans="1:24" ht="15.75" customHeight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43"/>
      <c r="M504" s="143"/>
      <c r="N504" s="143"/>
      <c r="O504" s="143"/>
      <c r="P504" s="114"/>
      <c r="Q504" s="114"/>
      <c r="R504" s="114"/>
      <c r="S504" s="114"/>
      <c r="T504" s="114"/>
      <c r="U504" s="114"/>
      <c r="V504" s="114"/>
      <c r="W504" s="114"/>
      <c r="X504" s="114"/>
    </row>
    <row r="505" spans="1:24" ht="15.75" customHeight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43"/>
      <c r="M505" s="143"/>
      <c r="N505" s="143"/>
      <c r="O505" s="143"/>
      <c r="P505" s="114"/>
      <c r="Q505" s="114"/>
      <c r="R505" s="114"/>
      <c r="S505" s="114"/>
      <c r="T505" s="114"/>
      <c r="U505" s="114"/>
      <c r="V505" s="114"/>
      <c r="W505" s="114"/>
      <c r="X505" s="114"/>
    </row>
    <row r="506" spans="1:24" ht="15.75" customHeight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43"/>
      <c r="M506" s="143"/>
      <c r="N506" s="143"/>
      <c r="O506" s="143"/>
      <c r="P506" s="114"/>
      <c r="Q506" s="114"/>
      <c r="R506" s="114"/>
      <c r="S506" s="114"/>
      <c r="T506" s="114"/>
      <c r="U506" s="114"/>
      <c r="V506" s="114"/>
      <c r="W506" s="114"/>
      <c r="X506" s="114"/>
    </row>
    <row r="507" spans="1:24" ht="15.75" customHeight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43"/>
      <c r="M507" s="143"/>
      <c r="N507" s="143"/>
      <c r="O507" s="143"/>
      <c r="P507" s="114"/>
      <c r="Q507" s="114"/>
      <c r="R507" s="114"/>
      <c r="S507" s="114"/>
      <c r="T507" s="114"/>
      <c r="U507" s="114"/>
      <c r="V507" s="114"/>
      <c r="W507" s="114"/>
      <c r="X507" s="114"/>
    </row>
    <row r="508" spans="1:24" ht="15.75" customHeight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43"/>
      <c r="M508" s="143"/>
      <c r="N508" s="143"/>
      <c r="O508" s="143"/>
      <c r="P508" s="114"/>
      <c r="Q508" s="114"/>
      <c r="R508" s="114"/>
      <c r="S508" s="114"/>
      <c r="T508" s="114"/>
      <c r="U508" s="114"/>
      <c r="V508" s="114"/>
      <c r="W508" s="114"/>
      <c r="X508" s="114"/>
    </row>
    <row r="509" spans="1:24" ht="15.75" customHeight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43"/>
      <c r="M509" s="143"/>
      <c r="N509" s="143"/>
      <c r="O509" s="143"/>
      <c r="P509" s="114"/>
      <c r="Q509" s="114"/>
      <c r="R509" s="114"/>
      <c r="S509" s="114"/>
      <c r="T509" s="114"/>
      <c r="U509" s="114"/>
      <c r="V509" s="114"/>
      <c r="W509" s="114"/>
      <c r="X509" s="114"/>
    </row>
    <row r="510" spans="1:24" ht="15.75" customHeight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43"/>
      <c r="M510" s="143"/>
      <c r="N510" s="143"/>
      <c r="O510" s="143"/>
      <c r="P510" s="114"/>
      <c r="Q510" s="114"/>
      <c r="R510" s="114"/>
      <c r="S510" s="114"/>
      <c r="T510" s="114"/>
      <c r="U510" s="114"/>
      <c r="V510" s="114"/>
      <c r="W510" s="114"/>
      <c r="X510" s="114"/>
    </row>
    <row r="511" spans="1:24" ht="15.75" customHeight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43"/>
      <c r="M511" s="143"/>
      <c r="N511" s="143"/>
      <c r="O511" s="143"/>
      <c r="P511" s="114"/>
      <c r="Q511" s="114"/>
      <c r="R511" s="114"/>
      <c r="S511" s="114"/>
      <c r="T511" s="114"/>
      <c r="U511" s="114"/>
      <c r="V511" s="114"/>
      <c r="W511" s="114"/>
      <c r="X511" s="114"/>
    </row>
    <row r="512" spans="1:24" ht="15.75" customHeight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43"/>
      <c r="M512" s="143"/>
      <c r="N512" s="143"/>
      <c r="O512" s="143"/>
      <c r="P512" s="114"/>
      <c r="Q512" s="114"/>
      <c r="R512" s="114"/>
      <c r="S512" s="114"/>
      <c r="T512" s="114"/>
      <c r="U512" s="114"/>
      <c r="V512" s="114"/>
      <c r="W512" s="114"/>
      <c r="X512" s="114"/>
    </row>
    <row r="513" spans="1:24" ht="15.75" customHeight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43"/>
      <c r="M513" s="143"/>
      <c r="N513" s="143"/>
      <c r="O513" s="143"/>
      <c r="P513" s="114"/>
      <c r="Q513" s="114"/>
      <c r="R513" s="114"/>
      <c r="S513" s="114"/>
      <c r="T513" s="114"/>
      <c r="U513" s="114"/>
      <c r="V513" s="114"/>
      <c r="W513" s="114"/>
      <c r="X513" s="114"/>
    </row>
    <row r="514" spans="1:24" ht="15.75" customHeight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43"/>
      <c r="M514" s="143"/>
      <c r="N514" s="143"/>
      <c r="O514" s="143"/>
      <c r="P514" s="114"/>
      <c r="Q514" s="114"/>
      <c r="R514" s="114"/>
      <c r="S514" s="114"/>
      <c r="T514" s="114"/>
      <c r="U514" s="114"/>
      <c r="V514" s="114"/>
      <c r="W514" s="114"/>
      <c r="X514" s="114"/>
    </row>
    <row r="515" spans="1:24" ht="15.75" customHeight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43"/>
      <c r="M515" s="143"/>
      <c r="N515" s="143"/>
      <c r="O515" s="143"/>
      <c r="P515" s="114"/>
      <c r="Q515" s="114"/>
      <c r="R515" s="114"/>
      <c r="S515" s="114"/>
      <c r="T515" s="114"/>
      <c r="U515" s="114"/>
      <c r="V515" s="114"/>
      <c r="W515" s="114"/>
      <c r="X515" s="114"/>
    </row>
    <row r="516" spans="1:24" ht="15.75" customHeight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43"/>
      <c r="M516" s="143"/>
      <c r="N516" s="143"/>
      <c r="O516" s="143"/>
      <c r="P516" s="114"/>
      <c r="Q516" s="114"/>
      <c r="R516" s="114"/>
      <c r="S516" s="114"/>
      <c r="T516" s="114"/>
      <c r="U516" s="114"/>
      <c r="V516" s="114"/>
      <c r="W516" s="114"/>
      <c r="X516" s="114"/>
    </row>
    <row r="517" spans="1:24" ht="15.75" customHeight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43"/>
      <c r="M517" s="143"/>
      <c r="N517" s="143"/>
      <c r="O517" s="143"/>
      <c r="P517" s="114"/>
      <c r="Q517" s="114"/>
      <c r="R517" s="114"/>
      <c r="S517" s="114"/>
      <c r="T517" s="114"/>
      <c r="U517" s="114"/>
      <c r="V517" s="114"/>
      <c r="W517" s="114"/>
      <c r="X517" s="114"/>
    </row>
    <row r="518" spans="1:24" ht="15.75" customHeight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43"/>
      <c r="M518" s="143"/>
      <c r="N518" s="143"/>
      <c r="O518" s="143"/>
      <c r="P518" s="114"/>
      <c r="Q518" s="114"/>
      <c r="R518" s="114"/>
      <c r="S518" s="114"/>
      <c r="T518" s="114"/>
      <c r="U518" s="114"/>
      <c r="V518" s="114"/>
      <c r="W518" s="114"/>
      <c r="X518" s="114"/>
    </row>
    <row r="519" spans="1:24" ht="15.75" customHeight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43"/>
      <c r="M519" s="143"/>
      <c r="N519" s="143"/>
      <c r="O519" s="143"/>
      <c r="P519" s="114"/>
      <c r="Q519" s="114"/>
      <c r="R519" s="114"/>
      <c r="S519" s="114"/>
      <c r="T519" s="114"/>
      <c r="U519" s="114"/>
      <c r="V519" s="114"/>
      <c r="W519" s="114"/>
      <c r="X519" s="114"/>
    </row>
    <row r="520" spans="1:24" ht="15.75" customHeight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43"/>
      <c r="M520" s="143"/>
      <c r="N520" s="143"/>
      <c r="O520" s="143"/>
      <c r="P520" s="114"/>
      <c r="Q520" s="114"/>
      <c r="R520" s="114"/>
      <c r="S520" s="114"/>
      <c r="T520" s="114"/>
      <c r="U520" s="114"/>
      <c r="V520" s="114"/>
      <c r="W520" s="114"/>
      <c r="X520" s="114"/>
    </row>
    <row r="521" spans="1:24" ht="15.75" customHeight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43"/>
      <c r="M521" s="143"/>
      <c r="N521" s="143"/>
      <c r="O521" s="143"/>
      <c r="P521" s="114"/>
      <c r="Q521" s="114"/>
      <c r="R521" s="114"/>
      <c r="S521" s="114"/>
      <c r="T521" s="114"/>
      <c r="U521" s="114"/>
      <c r="V521" s="114"/>
      <c r="W521" s="114"/>
      <c r="X521" s="114"/>
    </row>
    <row r="522" spans="1:24" ht="15.75" customHeight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43"/>
      <c r="M522" s="143"/>
      <c r="N522" s="143"/>
      <c r="O522" s="143"/>
      <c r="P522" s="114"/>
      <c r="Q522" s="114"/>
      <c r="R522" s="114"/>
      <c r="S522" s="114"/>
      <c r="T522" s="114"/>
      <c r="U522" s="114"/>
      <c r="V522" s="114"/>
      <c r="W522" s="114"/>
      <c r="X522" s="114"/>
    </row>
    <row r="523" spans="1:24" ht="15.75" customHeight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43"/>
      <c r="M523" s="143"/>
      <c r="N523" s="143"/>
      <c r="O523" s="143"/>
      <c r="P523" s="114"/>
      <c r="Q523" s="114"/>
      <c r="R523" s="114"/>
      <c r="S523" s="114"/>
      <c r="T523" s="114"/>
      <c r="U523" s="114"/>
      <c r="V523" s="114"/>
      <c r="W523" s="114"/>
      <c r="X523" s="114"/>
    </row>
    <row r="524" spans="1:24" ht="15.75" customHeight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43"/>
      <c r="M524" s="143"/>
      <c r="N524" s="143"/>
      <c r="O524" s="143"/>
      <c r="P524" s="114"/>
      <c r="Q524" s="114"/>
      <c r="R524" s="114"/>
      <c r="S524" s="114"/>
      <c r="T524" s="114"/>
      <c r="U524" s="114"/>
      <c r="V524" s="114"/>
      <c r="W524" s="114"/>
      <c r="X524" s="114"/>
    </row>
    <row r="525" spans="1:24" ht="15.75" customHeight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43"/>
      <c r="M525" s="143"/>
      <c r="N525" s="143"/>
      <c r="O525" s="143"/>
      <c r="P525" s="114"/>
      <c r="Q525" s="114"/>
      <c r="R525" s="114"/>
      <c r="S525" s="114"/>
      <c r="T525" s="114"/>
      <c r="U525" s="114"/>
      <c r="V525" s="114"/>
      <c r="W525" s="114"/>
      <c r="X525" s="114"/>
    </row>
    <row r="526" spans="1:24" ht="15.75" customHeight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43"/>
      <c r="M526" s="143"/>
      <c r="N526" s="143"/>
      <c r="O526" s="143"/>
      <c r="P526" s="114"/>
      <c r="Q526" s="114"/>
      <c r="R526" s="114"/>
      <c r="S526" s="114"/>
      <c r="T526" s="114"/>
      <c r="U526" s="114"/>
      <c r="V526" s="114"/>
      <c r="W526" s="114"/>
      <c r="X526" s="114"/>
    </row>
    <row r="527" spans="1:24" ht="15.75" customHeight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43"/>
      <c r="M527" s="143"/>
      <c r="N527" s="143"/>
      <c r="O527" s="143"/>
      <c r="P527" s="114"/>
      <c r="Q527" s="114"/>
      <c r="R527" s="114"/>
      <c r="S527" s="114"/>
      <c r="T527" s="114"/>
      <c r="U527" s="114"/>
      <c r="V527" s="114"/>
      <c r="W527" s="114"/>
      <c r="X527" s="114"/>
    </row>
    <row r="528" spans="1:24" ht="15.75" customHeight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43"/>
      <c r="M528" s="143"/>
      <c r="N528" s="143"/>
      <c r="O528" s="143"/>
      <c r="P528" s="114"/>
      <c r="Q528" s="114"/>
      <c r="R528" s="114"/>
      <c r="S528" s="114"/>
      <c r="T528" s="114"/>
      <c r="U528" s="114"/>
      <c r="V528" s="114"/>
      <c r="W528" s="114"/>
      <c r="X528" s="114"/>
    </row>
    <row r="529" spans="1:24" ht="15.75" customHeight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43"/>
      <c r="M529" s="143"/>
      <c r="N529" s="143"/>
      <c r="O529" s="143"/>
      <c r="P529" s="114"/>
      <c r="Q529" s="114"/>
      <c r="R529" s="114"/>
      <c r="S529" s="114"/>
      <c r="T529" s="114"/>
      <c r="U529" s="114"/>
      <c r="V529" s="114"/>
      <c r="W529" s="114"/>
      <c r="X529" s="114"/>
    </row>
    <row r="530" spans="1:24" ht="15.75" customHeight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43"/>
      <c r="M530" s="143"/>
      <c r="N530" s="143"/>
      <c r="O530" s="143"/>
      <c r="P530" s="114"/>
      <c r="Q530" s="114"/>
      <c r="R530" s="114"/>
      <c r="S530" s="114"/>
      <c r="T530" s="114"/>
      <c r="U530" s="114"/>
      <c r="V530" s="114"/>
      <c r="W530" s="114"/>
      <c r="X530" s="114"/>
    </row>
    <row r="531" spans="1:24" ht="15.75" customHeight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43"/>
      <c r="M531" s="143"/>
      <c r="N531" s="143"/>
      <c r="O531" s="143"/>
      <c r="P531" s="114"/>
      <c r="Q531" s="114"/>
      <c r="R531" s="114"/>
      <c r="S531" s="114"/>
      <c r="T531" s="114"/>
      <c r="U531" s="114"/>
      <c r="V531" s="114"/>
      <c r="W531" s="114"/>
      <c r="X531" s="114"/>
    </row>
    <row r="532" spans="1:24" ht="15.75" customHeight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43"/>
      <c r="M532" s="143"/>
      <c r="N532" s="143"/>
      <c r="O532" s="143"/>
      <c r="P532" s="114"/>
      <c r="Q532" s="114"/>
      <c r="R532" s="114"/>
      <c r="S532" s="114"/>
      <c r="T532" s="114"/>
      <c r="U532" s="114"/>
      <c r="V532" s="114"/>
      <c r="W532" s="114"/>
      <c r="X532" s="114"/>
    </row>
    <row r="533" spans="1:24" ht="15.75" customHeight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43"/>
      <c r="M533" s="143"/>
      <c r="N533" s="143"/>
      <c r="O533" s="143"/>
      <c r="P533" s="114"/>
      <c r="Q533" s="114"/>
      <c r="R533" s="114"/>
      <c r="S533" s="114"/>
      <c r="T533" s="114"/>
      <c r="U533" s="114"/>
      <c r="V533" s="114"/>
      <c r="W533" s="114"/>
      <c r="X533" s="114"/>
    </row>
    <row r="534" spans="1:24" ht="15.75" customHeight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43"/>
      <c r="M534" s="143"/>
      <c r="N534" s="143"/>
      <c r="O534" s="143"/>
      <c r="P534" s="114"/>
      <c r="Q534" s="114"/>
      <c r="R534" s="114"/>
      <c r="S534" s="114"/>
      <c r="T534" s="114"/>
      <c r="U534" s="114"/>
      <c r="V534" s="114"/>
      <c r="W534" s="114"/>
      <c r="X534" s="114"/>
    </row>
    <row r="535" spans="1:24" ht="15.75" customHeight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43"/>
      <c r="M535" s="143"/>
      <c r="N535" s="143"/>
      <c r="O535" s="143"/>
      <c r="P535" s="114"/>
      <c r="Q535" s="114"/>
      <c r="R535" s="114"/>
      <c r="S535" s="114"/>
      <c r="T535" s="114"/>
      <c r="U535" s="114"/>
      <c r="V535" s="114"/>
      <c r="W535" s="114"/>
      <c r="X535" s="114"/>
    </row>
    <row r="536" spans="1:24" ht="15.75" customHeight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43"/>
      <c r="M536" s="143"/>
      <c r="N536" s="143"/>
      <c r="O536" s="143"/>
      <c r="P536" s="114"/>
      <c r="Q536" s="114"/>
      <c r="R536" s="114"/>
      <c r="S536" s="114"/>
      <c r="T536" s="114"/>
      <c r="U536" s="114"/>
      <c r="V536" s="114"/>
      <c r="W536" s="114"/>
      <c r="X536" s="114"/>
    </row>
    <row r="537" spans="1:24" ht="15.75" customHeight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43"/>
      <c r="M537" s="143"/>
      <c r="N537" s="143"/>
      <c r="O537" s="143"/>
      <c r="P537" s="114"/>
      <c r="Q537" s="114"/>
      <c r="R537" s="114"/>
      <c r="S537" s="114"/>
      <c r="T537" s="114"/>
      <c r="U537" s="114"/>
      <c r="V537" s="114"/>
      <c r="W537" s="114"/>
      <c r="X537" s="114"/>
    </row>
    <row r="538" spans="1:24" ht="15.75" customHeight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43"/>
      <c r="M538" s="143"/>
      <c r="N538" s="143"/>
      <c r="O538" s="143"/>
      <c r="P538" s="114"/>
      <c r="Q538" s="114"/>
      <c r="R538" s="114"/>
      <c r="S538" s="114"/>
      <c r="T538" s="114"/>
      <c r="U538" s="114"/>
      <c r="V538" s="114"/>
      <c r="W538" s="114"/>
      <c r="X538" s="114"/>
    </row>
    <row r="539" spans="1:24" ht="15.75" customHeight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43"/>
      <c r="M539" s="143"/>
      <c r="N539" s="143"/>
      <c r="O539" s="143"/>
      <c r="P539" s="114"/>
      <c r="Q539" s="114"/>
      <c r="R539" s="114"/>
      <c r="S539" s="114"/>
      <c r="T539" s="114"/>
      <c r="U539" s="114"/>
      <c r="V539" s="114"/>
      <c r="W539" s="114"/>
      <c r="X539" s="114"/>
    </row>
    <row r="540" spans="1:24" ht="15.75" customHeight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43"/>
      <c r="M540" s="143"/>
      <c r="N540" s="143"/>
      <c r="O540" s="143"/>
      <c r="P540" s="114"/>
      <c r="Q540" s="114"/>
      <c r="R540" s="114"/>
      <c r="S540" s="114"/>
      <c r="T540" s="114"/>
      <c r="U540" s="114"/>
      <c r="V540" s="114"/>
      <c r="W540" s="114"/>
      <c r="X540" s="114"/>
    </row>
    <row r="541" spans="1:24" ht="15.75" customHeight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43"/>
      <c r="M541" s="143"/>
      <c r="N541" s="143"/>
      <c r="O541" s="143"/>
      <c r="P541" s="114"/>
      <c r="Q541" s="114"/>
      <c r="R541" s="114"/>
      <c r="S541" s="114"/>
      <c r="T541" s="114"/>
      <c r="U541" s="114"/>
      <c r="V541" s="114"/>
      <c r="W541" s="114"/>
      <c r="X541" s="114"/>
    </row>
    <row r="542" spans="1:24" ht="15.75" customHeight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43"/>
      <c r="M542" s="143"/>
      <c r="N542" s="143"/>
      <c r="O542" s="143"/>
      <c r="P542" s="114"/>
      <c r="Q542" s="114"/>
      <c r="R542" s="114"/>
      <c r="S542" s="114"/>
      <c r="T542" s="114"/>
      <c r="U542" s="114"/>
      <c r="V542" s="114"/>
      <c r="W542" s="114"/>
      <c r="X542" s="114"/>
    </row>
    <row r="543" spans="1:24" ht="15.75" customHeight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43"/>
      <c r="M543" s="143"/>
      <c r="N543" s="143"/>
      <c r="O543" s="143"/>
      <c r="P543" s="114"/>
      <c r="Q543" s="114"/>
      <c r="R543" s="114"/>
      <c r="S543" s="114"/>
      <c r="T543" s="114"/>
      <c r="U543" s="114"/>
      <c r="V543" s="114"/>
      <c r="W543" s="114"/>
      <c r="X543" s="114"/>
    </row>
    <row r="544" spans="1:24" ht="15.75" customHeight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43"/>
      <c r="M544" s="143"/>
      <c r="N544" s="143"/>
      <c r="O544" s="143"/>
      <c r="P544" s="114"/>
      <c r="Q544" s="114"/>
      <c r="R544" s="114"/>
      <c r="S544" s="114"/>
      <c r="T544" s="114"/>
      <c r="U544" s="114"/>
      <c r="V544" s="114"/>
      <c r="W544" s="114"/>
      <c r="X544" s="114"/>
    </row>
    <row r="545" spans="1:24" ht="15.75" customHeight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43"/>
      <c r="M545" s="143"/>
      <c r="N545" s="143"/>
      <c r="O545" s="143"/>
      <c r="P545" s="114"/>
      <c r="Q545" s="114"/>
      <c r="R545" s="114"/>
      <c r="S545" s="114"/>
      <c r="T545" s="114"/>
      <c r="U545" s="114"/>
      <c r="V545" s="114"/>
      <c r="W545" s="114"/>
      <c r="X545" s="114"/>
    </row>
    <row r="546" spans="1:24" ht="15.75" customHeight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43"/>
      <c r="M546" s="143"/>
      <c r="N546" s="143"/>
      <c r="O546" s="143"/>
      <c r="P546" s="114"/>
      <c r="Q546" s="114"/>
      <c r="R546" s="114"/>
      <c r="S546" s="114"/>
      <c r="T546" s="114"/>
      <c r="U546" s="114"/>
      <c r="V546" s="114"/>
      <c r="W546" s="114"/>
      <c r="X546" s="114"/>
    </row>
    <row r="547" spans="1:24" ht="15.75" customHeight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43"/>
      <c r="M547" s="143"/>
      <c r="N547" s="143"/>
      <c r="O547" s="143"/>
      <c r="P547" s="114"/>
      <c r="Q547" s="114"/>
      <c r="R547" s="114"/>
      <c r="S547" s="114"/>
      <c r="T547" s="114"/>
      <c r="U547" s="114"/>
      <c r="V547" s="114"/>
      <c r="W547" s="114"/>
      <c r="X547" s="114"/>
    </row>
    <row r="548" spans="1:24" ht="15.75" customHeight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43"/>
      <c r="M548" s="143"/>
      <c r="N548" s="143"/>
      <c r="O548" s="143"/>
      <c r="P548" s="114"/>
      <c r="Q548" s="114"/>
      <c r="R548" s="114"/>
      <c r="S548" s="114"/>
      <c r="T548" s="114"/>
      <c r="U548" s="114"/>
      <c r="V548" s="114"/>
      <c r="W548" s="114"/>
      <c r="X548" s="114"/>
    </row>
    <row r="549" spans="1:24" ht="15.75" customHeight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43"/>
      <c r="M549" s="143"/>
      <c r="N549" s="143"/>
      <c r="O549" s="143"/>
      <c r="P549" s="114"/>
      <c r="Q549" s="114"/>
      <c r="R549" s="114"/>
      <c r="S549" s="114"/>
      <c r="T549" s="114"/>
      <c r="U549" s="114"/>
      <c r="V549" s="114"/>
      <c r="W549" s="114"/>
      <c r="X549" s="114"/>
    </row>
    <row r="550" spans="1:24" ht="15.75" customHeight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43"/>
      <c r="M550" s="143"/>
      <c r="N550" s="143"/>
      <c r="O550" s="143"/>
      <c r="P550" s="114"/>
      <c r="Q550" s="114"/>
      <c r="R550" s="114"/>
      <c r="S550" s="114"/>
      <c r="T550" s="114"/>
      <c r="U550" s="114"/>
      <c r="V550" s="114"/>
      <c r="W550" s="114"/>
      <c r="X550" s="114"/>
    </row>
    <row r="551" spans="1:24" ht="15.75" customHeight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43"/>
      <c r="M551" s="143"/>
      <c r="N551" s="143"/>
      <c r="O551" s="143"/>
      <c r="P551" s="114"/>
      <c r="Q551" s="114"/>
      <c r="R551" s="114"/>
      <c r="S551" s="114"/>
      <c r="T551" s="114"/>
      <c r="U551" s="114"/>
      <c r="V551" s="114"/>
      <c r="W551" s="114"/>
      <c r="X551" s="114"/>
    </row>
    <row r="552" spans="1:24" ht="15.75" customHeight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43"/>
      <c r="M552" s="143"/>
      <c r="N552" s="143"/>
      <c r="O552" s="143"/>
      <c r="P552" s="114"/>
      <c r="Q552" s="114"/>
      <c r="R552" s="114"/>
      <c r="S552" s="114"/>
      <c r="T552" s="114"/>
      <c r="U552" s="114"/>
      <c r="V552" s="114"/>
      <c r="W552" s="114"/>
      <c r="X552" s="114"/>
    </row>
    <row r="553" spans="1:24" ht="15.75" customHeight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43"/>
      <c r="M553" s="143"/>
      <c r="N553" s="143"/>
      <c r="O553" s="143"/>
      <c r="P553" s="114"/>
      <c r="Q553" s="114"/>
      <c r="R553" s="114"/>
      <c r="S553" s="114"/>
      <c r="T553" s="114"/>
      <c r="U553" s="114"/>
      <c r="V553" s="114"/>
      <c r="W553" s="114"/>
      <c r="X553" s="114"/>
    </row>
    <row r="554" spans="1:24" ht="15.75" customHeight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43"/>
      <c r="M554" s="143"/>
      <c r="N554" s="143"/>
      <c r="O554" s="143"/>
      <c r="P554" s="114"/>
      <c r="Q554" s="114"/>
      <c r="R554" s="114"/>
      <c r="S554" s="114"/>
      <c r="T554" s="114"/>
      <c r="U554" s="114"/>
      <c r="V554" s="114"/>
      <c r="W554" s="114"/>
      <c r="X554" s="114"/>
    </row>
    <row r="555" spans="1:24" ht="15.75" customHeight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43"/>
      <c r="M555" s="143"/>
      <c r="N555" s="143"/>
      <c r="O555" s="143"/>
      <c r="P555" s="114"/>
      <c r="Q555" s="114"/>
      <c r="R555" s="114"/>
      <c r="S555" s="114"/>
      <c r="T555" s="114"/>
      <c r="U555" s="114"/>
      <c r="V555" s="114"/>
      <c r="W555" s="114"/>
      <c r="X555" s="114"/>
    </row>
    <row r="556" spans="1:24" ht="15.75" customHeight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43"/>
      <c r="M556" s="143"/>
      <c r="N556" s="143"/>
      <c r="O556" s="143"/>
      <c r="P556" s="114"/>
      <c r="Q556" s="114"/>
      <c r="R556" s="114"/>
      <c r="S556" s="114"/>
      <c r="T556" s="114"/>
      <c r="U556" s="114"/>
      <c r="V556" s="114"/>
      <c r="W556" s="114"/>
      <c r="X556" s="114"/>
    </row>
    <row r="557" spans="1:24" ht="15.75" customHeight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43"/>
      <c r="M557" s="143"/>
      <c r="N557" s="143"/>
      <c r="O557" s="143"/>
      <c r="P557" s="114"/>
      <c r="Q557" s="114"/>
      <c r="R557" s="114"/>
      <c r="S557" s="114"/>
      <c r="T557" s="114"/>
      <c r="U557" s="114"/>
      <c r="V557" s="114"/>
      <c r="W557" s="114"/>
      <c r="X557" s="114"/>
    </row>
    <row r="558" spans="1:24" ht="15.75" customHeight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43"/>
      <c r="M558" s="143"/>
      <c r="N558" s="143"/>
      <c r="O558" s="143"/>
      <c r="P558" s="114"/>
      <c r="Q558" s="114"/>
      <c r="R558" s="114"/>
      <c r="S558" s="114"/>
      <c r="T558" s="114"/>
      <c r="U558" s="114"/>
      <c r="V558" s="114"/>
      <c r="W558" s="114"/>
      <c r="X558" s="114"/>
    </row>
    <row r="559" spans="1:24" ht="15.75" customHeight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43"/>
      <c r="M559" s="143"/>
      <c r="N559" s="143"/>
      <c r="O559" s="143"/>
      <c r="P559" s="114"/>
      <c r="Q559" s="114"/>
      <c r="R559" s="114"/>
      <c r="S559" s="114"/>
      <c r="T559" s="114"/>
      <c r="U559" s="114"/>
      <c r="V559" s="114"/>
      <c r="W559" s="114"/>
      <c r="X559" s="114"/>
    </row>
    <row r="560" spans="1:24" ht="15.75" customHeight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43"/>
      <c r="M560" s="143"/>
      <c r="N560" s="143"/>
      <c r="O560" s="143"/>
      <c r="P560" s="114"/>
      <c r="Q560" s="114"/>
      <c r="R560" s="114"/>
      <c r="S560" s="114"/>
      <c r="T560" s="114"/>
      <c r="U560" s="114"/>
      <c r="V560" s="114"/>
      <c r="W560" s="114"/>
      <c r="X560" s="114"/>
    </row>
    <row r="561" spans="1:24" ht="15.75" customHeight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43"/>
      <c r="M561" s="143"/>
      <c r="N561" s="143"/>
      <c r="O561" s="143"/>
      <c r="P561" s="114"/>
      <c r="Q561" s="114"/>
      <c r="R561" s="114"/>
      <c r="S561" s="114"/>
      <c r="T561" s="114"/>
      <c r="U561" s="114"/>
      <c r="V561" s="114"/>
      <c r="W561" s="114"/>
      <c r="X561" s="114"/>
    </row>
    <row r="562" spans="1:24" ht="15.75" customHeight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43"/>
      <c r="M562" s="143"/>
      <c r="N562" s="143"/>
      <c r="O562" s="143"/>
      <c r="P562" s="114"/>
      <c r="Q562" s="114"/>
      <c r="R562" s="114"/>
      <c r="S562" s="114"/>
      <c r="T562" s="114"/>
      <c r="U562" s="114"/>
      <c r="V562" s="114"/>
      <c r="W562" s="114"/>
      <c r="X562" s="114"/>
    </row>
    <row r="563" spans="1:24" ht="15.75" customHeight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43"/>
      <c r="M563" s="143"/>
      <c r="N563" s="143"/>
      <c r="O563" s="143"/>
      <c r="P563" s="114"/>
      <c r="Q563" s="114"/>
      <c r="R563" s="114"/>
      <c r="S563" s="114"/>
      <c r="T563" s="114"/>
      <c r="U563" s="114"/>
      <c r="V563" s="114"/>
      <c r="W563" s="114"/>
      <c r="X563" s="114"/>
    </row>
    <row r="564" spans="1:24" ht="15.75" customHeight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43"/>
      <c r="M564" s="143"/>
      <c r="N564" s="143"/>
      <c r="O564" s="143"/>
      <c r="P564" s="114"/>
      <c r="Q564" s="114"/>
      <c r="R564" s="114"/>
      <c r="S564" s="114"/>
      <c r="T564" s="114"/>
      <c r="U564" s="114"/>
      <c r="V564" s="114"/>
      <c r="W564" s="114"/>
      <c r="X564" s="114"/>
    </row>
    <row r="565" spans="1:24" ht="15.75" customHeight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43"/>
      <c r="M565" s="143"/>
      <c r="N565" s="143"/>
      <c r="O565" s="143"/>
      <c r="P565" s="114"/>
      <c r="Q565" s="114"/>
      <c r="R565" s="114"/>
      <c r="S565" s="114"/>
      <c r="T565" s="114"/>
      <c r="U565" s="114"/>
      <c r="V565" s="114"/>
      <c r="W565" s="114"/>
      <c r="X565" s="114"/>
    </row>
    <row r="566" spans="1:24" ht="15.75" customHeight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43"/>
      <c r="M566" s="143"/>
      <c r="N566" s="143"/>
      <c r="O566" s="143"/>
      <c r="P566" s="114"/>
      <c r="Q566" s="114"/>
      <c r="R566" s="114"/>
      <c r="S566" s="114"/>
      <c r="T566" s="114"/>
      <c r="U566" s="114"/>
      <c r="V566" s="114"/>
      <c r="W566" s="114"/>
      <c r="X566" s="114"/>
    </row>
    <row r="567" spans="1:24" ht="15.75" customHeight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43"/>
      <c r="M567" s="143"/>
      <c r="N567" s="143"/>
      <c r="O567" s="143"/>
      <c r="P567" s="114"/>
      <c r="Q567" s="114"/>
      <c r="R567" s="114"/>
      <c r="S567" s="114"/>
      <c r="T567" s="114"/>
      <c r="U567" s="114"/>
      <c r="V567" s="114"/>
      <c r="W567" s="114"/>
      <c r="X567" s="114"/>
    </row>
    <row r="568" spans="1:24" ht="15.75" customHeight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43"/>
      <c r="M568" s="143"/>
      <c r="N568" s="143"/>
      <c r="O568" s="143"/>
      <c r="P568" s="114"/>
      <c r="Q568" s="114"/>
      <c r="R568" s="114"/>
      <c r="S568" s="114"/>
      <c r="T568" s="114"/>
      <c r="U568" s="114"/>
      <c r="V568" s="114"/>
      <c r="W568" s="114"/>
      <c r="X568" s="114"/>
    </row>
    <row r="569" spans="1:24" ht="15.75" customHeight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43"/>
      <c r="M569" s="143"/>
      <c r="N569" s="143"/>
      <c r="O569" s="143"/>
      <c r="P569" s="114"/>
      <c r="Q569" s="114"/>
      <c r="R569" s="114"/>
      <c r="S569" s="114"/>
      <c r="T569" s="114"/>
      <c r="U569" s="114"/>
      <c r="V569" s="114"/>
      <c r="W569" s="114"/>
      <c r="X569" s="114"/>
    </row>
    <row r="570" spans="1:24" ht="15.75" customHeight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43"/>
      <c r="M570" s="143"/>
      <c r="N570" s="143"/>
      <c r="O570" s="143"/>
      <c r="P570" s="114"/>
      <c r="Q570" s="114"/>
      <c r="R570" s="114"/>
      <c r="S570" s="114"/>
      <c r="T570" s="114"/>
      <c r="U570" s="114"/>
      <c r="V570" s="114"/>
      <c r="W570" s="114"/>
      <c r="X570" s="114"/>
    </row>
    <row r="571" spans="1:24" ht="15.75" customHeight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43"/>
      <c r="M571" s="143"/>
      <c r="N571" s="143"/>
      <c r="O571" s="143"/>
      <c r="P571" s="114"/>
      <c r="Q571" s="114"/>
      <c r="R571" s="114"/>
      <c r="S571" s="114"/>
      <c r="T571" s="114"/>
      <c r="U571" s="114"/>
      <c r="V571" s="114"/>
      <c r="W571" s="114"/>
      <c r="X571" s="114"/>
    </row>
    <row r="572" spans="1:24" ht="15.75" customHeight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43"/>
      <c r="M572" s="143"/>
      <c r="N572" s="143"/>
      <c r="O572" s="143"/>
      <c r="P572" s="114"/>
      <c r="Q572" s="114"/>
      <c r="R572" s="114"/>
      <c r="S572" s="114"/>
      <c r="T572" s="114"/>
      <c r="U572" s="114"/>
      <c r="V572" s="114"/>
      <c r="W572" s="114"/>
      <c r="X572" s="114"/>
    </row>
    <row r="573" spans="1:24" ht="15.75" customHeight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43"/>
      <c r="M573" s="143"/>
      <c r="N573" s="143"/>
      <c r="O573" s="143"/>
      <c r="P573" s="114"/>
      <c r="Q573" s="114"/>
      <c r="R573" s="114"/>
      <c r="S573" s="114"/>
      <c r="T573" s="114"/>
      <c r="U573" s="114"/>
      <c r="V573" s="114"/>
      <c r="W573" s="114"/>
      <c r="X573" s="114"/>
    </row>
    <row r="574" spans="1:24" ht="15.75" customHeight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43"/>
      <c r="M574" s="143"/>
      <c r="N574" s="143"/>
      <c r="O574" s="143"/>
      <c r="P574" s="114"/>
      <c r="Q574" s="114"/>
      <c r="R574" s="114"/>
      <c r="S574" s="114"/>
      <c r="T574" s="114"/>
      <c r="U574" s="114"/>
      <c r="V574" s="114"/>
      <c r="W574" s="114"/>
      <c r="X574" s="114"/>
    </row>
    <row r="575" spans="1:24" ht="15.75" customHeight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43"/>
      <c r="M575" s="143"/>
      <c r="N575" s="143"/>
      <c r="O575" s="143"/>
      <c r="P575" s="114"/>
      <c r="Q575" s="114"/>
      <c r="R575" s="114"/>
      <c r="S575" s="114"/>
      <c r="T575" s="114"/>
      <c r="U575" s="114"/>
      <c r="V575" s="114"/>
      <c r="W575" s="114"/>
      <c r="X575" s="114"/>
    </row>
    <row r="576" spans="1:24" ht="15.75" customHeight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43"/>
      <c r="M576" s="143"/>
      <c r="N576" s="143"/>
      <c r="O576" s="143"/>
      <c r="P576" s="114"/>
      <c r="Q576" s="114"/>
      <c r="R576" s="114"/>
      <c r="S576" s="114"/>
      <c r="T576" s="114"/>
      <c r="U576" s="114"/>
      <c r="V576" s="114"/>
      <c r="W576" s="114"/>
      <c r="X576" s="114"/>
    </row>
    <row r="577" spans="1:24" ht="15.75" customHeight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43"/>
      <c r="M577" s="143"/>
      <c r="N577" s="143"/>
      <c r="O577" s="143"/>
      <c r="P577" s="114"/>
      <c r="Q577" s="114"/>
      <c r="R577" s="114"/>
      <c r="S577" s="114"/>
      <c r="T577" s="114"/>
      <c r="U577" s="114"/>
      <c r="V577" s="114"/>
      <c r="W577" s="114"/>
      <c r="X577" s="114"/>
    </row>
    <row r="578" spans="1:24" ht="15.75" customHeight="1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43"/>
      <c r="M578" s="143"/>
      <c r="N578" s="143"/>
      <c r="O578" s="143"/>
      <c r="P578" s="114"/>
      <c r="Q578" s="114"/>
      <c r="R578" s="114"/>
      <c r="S578" s="114"/>
      <c r="T578" s="114"/>
      <c r="U578" s="114"/>
      <c r="V578" s="114"/>
      <c r="W578" s="114"/>
      <c r="X578" s="114"/>
    </row>
    <row r="579" spans="1:24" ht="15.75" customHeight="1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43"/>
      <c r="M579" s="143"/>
      <c r="N579" s="143"/>
      <c r="O579" s="143"/>
      <c r="P579" s="114"/>
      <c r="Q579" s="114"/>
      <c r="R579" s="114"/>
      <c r="S579" s="114"/>
      <c r="T579" s="114"/>
      <c r="U579" s="114"/>
      <c r="V579" s="114"/>
      <c r="W579" s="114"/>
      <c r="X579" s="114"/>
    </row>
    <row r="580" spans="1:24" ht="15.75" customHeight="1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43"/>
      <c r="M580" s="143"/>
      <c r="N580" s="143"/>
      <c r="O580" s="143"/>
      <c r="P580" s="114"/>
      <c r="Q580" s="114"/>
      <c r="R580" s="114"/>
      <c r="S580" s="114"/>
      <c r="T580" s="114"/>
      <c r="U580" s="114"/>
      <c r="V580" s="114"/>
      <c r="W580" s="114"/>
      <c r="X580" s="114"/>
    </row>
    <row r="581" spans="1:24" ht="15.75" customHeight="1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43"/>
      <c r="M581" s="143"/>
      <c r="N581" s="143"/>
      <c r="O581" s="143"/>
      <c r="P581" s="114"/>
      <c r="Q581" s="114"/>
      <c r="R581" s="114"/>
      <c r="S581" s="114"/>
      <c r="T581" s="114"/>
      <c r="U581" s="114"/>
      <c r="V581" s="114"/>
      <c r="W581" s="114"/>
      <c r="X581" s="114"/>
    </row>
    <row r="582" spans="1:24" ht="15.75" customHeight="1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43"/>
      <c r="M582" s="143"/>
      <c r="N582" s="143"/>
      <c r="O582" s="143"/>
      <c r="P582" s="114"/>
      <c r="Q582" s="114"/>
      <c r="R582" s="114"/>
      <c r="S582" s="114"/>
      <c r="T582" s="114"/>
      <c r="U582" s="114"/>
      <c r="V582" s="114"/>
      <c r="W582" s="114"/>
      <c r="X582" s="114"/>
    </row>
    <row r="583" spans="1:24" ht="15.75" customHeight="1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43"/>
      <c r="M583" s="143"/>
      <c r="N583" s="143"/>
      <c r="O583" s="143"/>
      <c r="P583" s="114"/>
      <c r="Q583" s="114"/>
      <c r="R583" s="114"/>
      <c r="S583" s="114"/>
      <c r="T583" s="114"/>
      <c r="U583" s="114"/>
      <c r="V583" s="114"/>
      <c r="W583" s="114"/>
      <c r="X583" s="114"/>
    </row>
    <row r="584" spans="1:24" ht="15.75" customHeight="1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43"/>
      <c r="M584" s="143"/>
      <c r="N584" s="143"/>
      <c r="O584" s="143"/>
      <c r="P584" s="114"/>
      <c r="Q584" s="114"/>
      <c r="R584" s="114"/>
      <c r="S584" s="114"/>
      <c r="T584" s="114"/>
      <c r="U584" s="114"/>
      <c r="V584" s="114"/>
      <c r="W584" s="114"/>
      <c r="X584" s="114"/>
    </row>
    <row r="585" spans="1:24" ht="15.75" customHeight="1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43"/>
      <c r="M585" s="143"/>
      <c r="N585" s="143"/>
      <c r="O585" s="143"/>
      <c r="P585" s="114"/>
      <c r="Q585" s="114"/>
      <c r="R585" s="114"/>
      <c r="S585" s="114"/>
      <c r="T585" s="114"/>
      <c r="U585" s="114"/>
      <c r="V585" s="114"/>
      <c r="W585" s="114"/>
      <c r="X585" s="114"/>
    </row>
    <row r="586" spans="1:24" ht="15.75" customHeight="1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43"/>
      <c r="M586" s="143"/>
      <c r="N586" s="143"/>
      <c r="O586" s="143"/>
      <c r="P586" s="114"/>
      <c r="Q586" s="114"/>
      <c r="R586" s="114"/>
      <c r="S586" s="114"/>
      <c r="T586" s="114"/>
      <c r="U586" s="114"/>
      <c r="V586" s="114"/>
      <c r="W586" s="114"/>
      <c r="X586" s="114"/>
    </row>
    <row r="587" spans="1:24" ht="15.75" customHeight="1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43"/>
      <c r="M587" s="143"/>
      <c r="N587" s="143"/>
      <c r="O587" s="143"/>
      <c r="P587" s="114"/>
      <c r="Q587" s="114"/>
      <c r="R587" s="114"/>
      <c r="S587" s="114"/>
      <c r="T587" s="114"/>
      <c r="U587" s="114"/>
      <c r="V587" s="114"/>
      <c r="W587" s="114"/>
      <c r="X587" s="114"/>
    </row>
    <row r="588" spans="1:24" ht="15.75" customHeight="1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43"/>
      <c r="M588" s="143"/>
      <c r="N588" s="143"/>
      <c r="O588" s="143"/>
      <c r="P588" s="114"/>
      <c r="Q588" s="114"/>
      <c r="R588" s="114"/>
      <c r="S588" s="114"/>
      <c r="T588" s="114"/>
      <c r="U588" s="114"/>
      <c r="V588" s="114"/>
      <c r="W588" s="114"/>
      <c r="X588" s="114"/>
    </row>
    <row r="589" spans="1:24" ht="15.75" customHeight="1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43"/>
      <c r="M589" s="143"/>
      <c r="N589" s="143"/>
      <c r="O589" s="143"/>
      <c r="P589" s="114"/>
      <c r="Q589" s="114"/>
      <c r="R589" s="114"/>
      <c r="S589" s="114"/>
      <c r="T589" s="114"/>
      <c r="U589" s="114"/>
      <c r="V589" s="114"/>
      <c r="W589" s="114"/>
      <c r="X589" s="114"/>
    </row>
    <row r="590" spans="1:24" ht="15.75" customHeight="1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43"/>
      <c r="M590" s="143"/>
      <c r="N590" s="143"/>
      <c r="O590" s="143"/>
      <c r="P590" s="114"/>
      <c r="Q590" s="114"/>
      <c r="R590" s="114"/>
      <c r="S590" s="114"/>
      <c r="T590" s="114"/>
      <c r="U590" s="114"/>
      <c r="V590" s="114"/>
      <c r="W590" s="114"/>
      <c r="X590" s="114"/>
    </row>
    <row r="591" spans="1:24" ht="15.75" customHeight="1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43"/>
      <c r="M591" s="143"/>
      <c r="N591" s="143"/>
      <c r="O591" s="143"/>
      <c r="P591" s="114"/>
      <c r="Q591" s="114"/>
      <c r="R591" s="114"/>
      <c r="S591" s="114"/>
      <c r="T591" s="114"/>
      <c r="U591" s="114"/>
      <c r="V591" s="114"/>
      <c r="W591" s="114"/>
      <c r="X591" s="114"/>
    </row>
    <row r="592" spans="1:24" ht="15.75" customHeight="1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43"/>
      <c r="M592" s="143"/>
      <c r="N592" s="143"/>
      <c r="O592" s="143"/>
      <c r="P592" s="114"/>
      <c r="Q592" s="114"/>
      <c r="R592" s="114"/>
      <c r="S592" s="114"/>
      <c r="T592" s="114"/>
      <c r="U592" s="114"/>
      <c r="V592" s="114"/>
      <c r="W592" s="114"/>
      <c r="X592" s="114"/>
    </row>
    <row r="593" spans="1:24" ht="15.75" customHeight="1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43"/>
      <c r="M593" s="143"/>
      <c r="N593" s="143"/>
      <c r="O593" s="143"/>
      <c r="P593" s="114"/>
      <c r="Q593" s="114"/>
      <c r="R593" s="114"/>
      <c r="S593" s="114"/>
      <c r="T593" s="114"/>
      <c r="U593" s="114"/>
      <c r="V593" s="114"/>
      <c r="W593" s="114"/>
      <c r="X593" s="114"/>
    </row>
    <row r="594" spans="1:24" ht="15.75" customHeight="1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43"/>
      <c r="M594" s="143"/>
      <c r="N594" s="143"/>
      <c r="O594" s="143"/>
      <c r="P594" s="114"/>
      <c r="Q594" s="114"/>
      <c r="R594" s="114"/>
      <c r="S594" s="114"/>
      <c r="T594" s="114"/>
      <c r="U594" s="114"/>
      <c r="V594" s="114"/>
      <c r="W594" s="114"/>
      <c r="X594" s="114"/>
    </row>
    <row r="595" spans="1:24" ht="15.75" customHeight="1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43"/>
      <c r="M595" s="143"/>
      <c r="N595" s="143"/>
      <c r="O595" s="143"/>
      <c r="P595" s="114"/>
      <c r="Q595" s="114"/>
      <c r="R595" s="114"/>
      <c r="S595" s="114"/>
      <c r="T595" s="114"/>
      <c r="U595" s="114"/>
      <c r="V595" s="114"/>
      <c r="W595" s="114"/>
      <c r="X595" s="114"/>
    </row>
    <row r="596" spans="1:24" ht="15.75" customHeight="1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43"/>
      <c r="M596" s="143"/>
      <c r="N596" s="143"/>
      <c r="O596" s="143"/>
      <c r="P596" s="114"/>
      <c r="Q596" s="114"/>
      <c r="R596" s="114"/>
      <c r="S596" s="114"/>
      <c r="T596" s="114"/>
      <c r="U596" s="114"/>
      <c r="V596" s="114"/>
      <c r="W596" s="114"/>
      <c r="X596" s="114"/>
    </row>
    <row r="597" spans="1:24" ht="15.75" customHeight="1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43"/>
      <c r="M597" s="143"/>
      <c r="N597" s="143"/>
      <c r="O597" s="143"/>
      <c r="P597" s="114"/>
      <c r="Q597" s="114"/>
      <c r="R597" s="114"/>
      <c r="S597" s="114"/>
      <c r="T597" s="114"/>
      <c r="U597" s="114"/>
      <c r="V597" s="114"/>
      <c r="W597" s="114"/>
      <c r="X597" s="114"/>
    </row>
    <row r="598" spans="1:24" ht="15.75" customHeight="1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43"/>
      <c r="M598" s="143"/>
      <c r="N598" s="143"/>
      <c r="O598" s="143"/>
      <c r="P598" s="114"/>
      <c r="Q598" s="114"/>
      <c r="R598" s="114"/>
      <c r="S598" s="114"/>
      <c r="T598" s="114"/>
      <c r="U598" s="114"/>
      <c r="V598" s="114"/>
      <c r="W598" s="114"/>
      <c r="X598" s="114"/>
    </row>
    <row r="599" spans="1:24" ht="15.75" customHeight="1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43"/>
      <c r="M599" s="143"/>
      <c r="N599" s="143"/>
      <c r="O599" s="143"/>
      <c r="P599" s="114"/>
      <c r="Q599" s="114"/>
      <c r="R599" s="114"/>
      <c r="S599" s="114"/>
      <c r="T599" s="114"/>
      <c r="U599" s="114"/>
      <c r="V599" s="114"/>
      <c r="W599" s="114"/>
      <c r="X599" s="114"/>
    </row>
    <row r="600" spans="1:24" ht="15.75" customHeight="1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43"/>
      <c r="M600" s="143"/>
      <c r="N600" s="143"/>
      <c r="O600" s="143"/>
      <c r="P600" s="114"/>
      <c r="Q600" s="114"/>
      <c r="R600" s="114"/>
      <c r="S600" s="114"/>
      <c r="T600" s="114"/>
      <c r="U600" s="114"/>
      <c r="V600" s="114"/>
      <c r="W600" s="114"/>
      <c r="X600" s="114"/>
    </row>
    <row r="601" spans="1:24" ht="15.75" customHeight="1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43"/>
      <c r="M601" s="143"/>
      <c r="N601" s="143"/>
      <c r="O601" s="143"/>
      <c r="P601" s="114"/>
      <c r="Q601" s="114"/>
      <c r="R601" s="114"/>
      <c r="S601" s="114"/>
      <c r="T601" s="114"/>
      <c r="U601" s="114"/>
      <c r="V601" s="114"/>
      <c r="W601" s="114"/>
      <c r="X601" s="114"/>
    </row>
    <row r="602" spans="1:24" ht="15.75" customHeight="1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43"/>
      <c r="M602" s="143"/>
      <c r="N602" s="143"/>
      <c r="O602" s="143"/>
      <c r="P602" s="114"/>
      <c r="Q602" s="114"/>
      <c r="R602" s="114"/>
      <c r="S602" s="114"/>
      <c r="T602" s="114"/>
      <c r="U602" s="114"/>
      <c r="V602" s="114"/>
      <c r="W602" s="114"/>
      <c r="X602" s="114"/>
    </row>
    <row r="603" spans="1:24" ht="15.75" customHeight="1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43"/>
      <c r="M603" s="143"/>
      <c r="N603" s="143"/>
      <c r="O603" s="143"/>
      <c r="P603" s="114"/>
      <c r="Q603" s="114"/>
      <c r="R603" s="114"/>
      <c r="S603" s="114"/>
      <c r="T603" s="114"/>
      <c r="U603" s="114"/>
      <c r="V603" s="114"/>
      <c r="W603" s="114"/>
      <c r="X603" s="114"/>
    </row>
    <row r="604" spans="1:24" ht="15.75" customHeight="1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43"/>
      <c r="M604" s="143"/>
      <c r="N604" s="143"/>
      <c r="O604" s="143"/>
      <c r="P604" s="114"/>
      <c r="Q604" s="114"/>
      <c r="R604" s="114"/>
      <c r="S604" s="114"/>
      <c r="T604" s="114"/>
      <c r="U604" s="114"/>
      <c r="V604" s="114"/>
      <c r="W604" s="114"/>
      <c r="X604" s="114"/>
    </row>
    <row r="605" spans="1:24" ht="15.75" customHeight="1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43"/>
      <c r="M605" s="143"/>
      <c r="N605" s="143"/>
      <c r="O605" s="143"/>
      <c r="P605" s="114"/>
      <c r="Q605" s="114"/>
      <c r="R605" s="114"/>
      <c r="S605" s="114"/>
      <c r="T605" s="114"/>
      <c r="U605" s="114"/>
      <c r="V605" s="114"/>
      <c r="W605" s="114"/>
      <c r="X605" s="114"/>
    </row>
    <row r="606" spans="1:24" ht="15.75" customHeight="1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43"/>
      <c r="M606" s="143"/>
      <c r="N606" s="143"/>
      <c r="O606" s="143"/>
      <c r="P606" s="114"/>
      <c r="Q606" s="114"/>
      <c r="R606" s="114"/>
      <c r="S606" s="114"/>
      <c r="T606" s="114"/>
      <c r="U606" s="114"/>
      <c r="V606" s="114"/>
      <c r="W606" s="114"/>
      <c r="X606" s="114"/>
    </row>
    <row r="607" spans="1:24" ht="15.75" customHeight="1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43"/>
      <c r="M607" s="143"/>
      <c r="N607" s="143"/>
      <c r="O607" s="143"/>
      <c r="P607" s="114"/>
      <c r="Q607" s="114"/>
      <c r="R607" s="114"/>
      <c r="S607" s="114"/>
      <c r="T607" s="114"/>
      <c r="U607" s="114"/>
      <c r="V607" s="114"/>
      <c r="W607" s="114"/>
      <c r="X607" s="114"/>
    </row>
    <row r="608" spans="1:24" ht="15.75" customHeight="1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43"/>
      <c r="M608" s="143"/>
      <c r="N608" s="143"/>
      <c r="O608" s="143"/>
      <c r="P608" s="114"/>
      <c r="Q608" s="114"/>
      <c r="R608" s="114"/>
      <c r="S608" s="114"/>
      <c r="T608" s="114"/>
      <c r="U608" s="114"/>
      <c r="V608" s="114"/>
      <c r="W608" s="114"/>
      <c r="X608" s="114"/>
    </row>
    <row r="609" spans="1:24" ht="15.75" customHeight="1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43"/>
      <c r="M609" s="143"/>
      <c r="N609" s="143"/>
      <c r="O609" s="143"/>
      <c r="P609" s="114"/>
      <c r="Q609" s="114"/>
      <c r="R609" s="114"/>
      <c r="S609" s="114"/>
      <c r="T609" s="114"/>
      <c r="U609" s="114"/>
      <c r="V609" s="114"/>
      <c r="W609" s="114"/>
      <c r="X609" s="114"/>
    </row>
    <row r="610" spans="1:24" ht="15.75" customHeight="1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43"/>
      <c r="M610" s="143"/>
      <c r="N610" s="143"/>
      <c r="O610" s="143"/>
      <c r="P610" s="114"/>
      <c r="Q610" s="114"/>
      <c r="R610" s="114"/>
      <c r="S610" s="114"/>
      <c r="T610" s="114"/>
      <c r="U610" s="114"/>
      <c r="V610" s="114"/>
      <c r="W610" s="114"/>
      <c r="X610" s="114"/>
    </row>
    <row r="611" spans="1:24" ht="15.75" customHeight="1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43"/>
      <c r="M611" s="143"/>
      <c r="N611" s="143"/>
      <c r="O611" s="143"/>
      <c r="P611" s="114"/>
      <c r="Q611" s="114"/>
      <c r="R611" s="114"/>
      <c r="S611" s="114"/>
      <c r="T611" s="114"/>
      <c r="U611" s="114"/>
      <c r="V611" s="114"/>
      <c r="W611" s="114"/>
      <c r="X611" s="114"/>
    </row>
    <row r="612" spans="1:24" ht="15.75" customHeight="1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43"/>
      <c r="M612" s="143"/>
      <c r="N612" s="143"/>
      <c r="O612" s="143"/>
      <c r="P612" s="114"/>
      <c r="Q612" s="114"/>
      <c r="R612" s="114"/>
      <c r="S612" s="114"/>
      <c r="T612" s="114"/>
      <c r="U612" s="114"/>
      <c r="V612" s="114"/>
      <c r="W612" s="114"/>
      <c r="X612" s="114"/>
    </row>
    <row r="613" spans="1:24" ht="15.75" customHeight="1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43"/>
      <c r="M613" s="143"/>
      <c r="N613" s="143"/>
      <c r="O613" s="143"/>
      <c r="P613" s="114"/>
      <c r="Q613" s="114"/>
      <c r="R613" s="114"/>
      <c r="S613" s="114"/>
      <c r="T613" s="114"/>
      <c r="U613" s="114"/>
      <c r="V613" s="114"/>
      <c r="W613" s="114"/>
      <c r="X613" s="114"/>
    </row>
    <row r="614" spans="1:24" ht="15.75" customHeight="1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43"/>
      <c r="M614" s="143"/>
      <c r="N614" s="143"/>
      <c r="O614" s="143"/>
      <c r="P614" s="114"/>
      <c r="Q614" s="114"/>
      <c r="R614" s="114"/>
      <c r="S614" s="114"/>
      <c r="T614" s="114"/>
      <c r="U614" s="114"/>
      <c r="V614" s="114"/>
      <c r="W614" s="114"/>
      <c r="X614" s="114"/>
    </row>
    <row r="615" spans="1:24" ht="15.75" customHeight="1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43"/>
      <c r="M615" s="143"/>
      <c r="N615" s="143"/>
      <c r="O615" s="143"/>
      <c r="P615" s="114"/>
      <c r="Q615" s="114"/>
      <c r="R615" s="114"/>
      <c r="S615" s="114"/>
      <c r="T615" s="114"/>
      <c r="U615" s="114"/>
      <c r="V615" s="114"/>
      <c r="W615" s="114"/>
      <c r="X615" s="114"/>
    </row>
    <row r="616" spans="1:24" ht="15.75" customHeight="1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43"/>
      <c r="M616" s="143"/>
      <c r="N616" s="143"/>
      <c r="O616" s="143"/>
      <c r="P616" s="114"/>
      <c r="Q616" s="114"/>
      <c r="R616" s="114"/>
      <c r="S616" s="114"/>
      <c r="T616" s="114"/>
      <c r="U616" s="114"/>
      <c r="V616" s="114"/>
      <c r="W616" s="114"/>
      <c r="X616" s="114"/>
    </row>
    <row r="617" spans="1:24" ht="15.75" customHeight="1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43"/>
      <c r="M617" s="143"/>
      <c r="N617" s="143"/>
      <c r="O617" s="143"/>
      <c r="P617" s="114"/>
      <c r="Q617" s="114"/>
      <c r="R617" s="114"/>
      <c r="S617" s="114"/>
      <c r="T617" s="114"/>
      <c r="U617" s="114"/>
      <c r="V617" s="114"/>
      <c r="W617" s="114"/>
      <c r="X617" s="114"/>
    </row>
    <row r="618" spans="1:24" ht="15.75" customHeight="1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43"/>
      <c r="M618" s="143"/>
      <c r="N618" s="143"/>
      <c r="O618" s="143"/>
      <c r="P618" s="114"/>
      <c r="Q618" s="114"/>
      <c r="R618" s="114"/>
      <c r="S618" s="114"/>
      <c r="T618" s="114"/>
      <c r="U618" s="114"/>
      <c r="V618" s="114"/>
      <c r="W618" s="114"/>
      <c r="X618" s="114"/>
    </row>
    <row r="619" spans="1:24" ht="15.75" customHeight="1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43"/>
      <c r="M619" s="143"/>
      <c r="N619" s="143"/>
      <c r="O619" s="143"/>
      <c r="P619" s="114"/>
      <c r="Q619" s="114"/>
      <c r="R619" s="114"/>
      <c r="S619" s="114"/>
      <c r="T619" s="114"/>
      <c r="U619" s="114"/>
      <c r="V619" s="114"/>
      <c r="W619" s="114"/>
      <c r="X619" s="114"/>
    </row>
    <row r="620" spans="1:24" ht="15.75" customHeight="1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43"/>
      <c r="M620" s="143"/>
      <c r="N620" s="143"/>
      <c r="O620" s="143"/>
      <c r="P620" s="114"/>
      <c r="Q620" s="114"/>
      <c r="R620" s="114"/>
      <c r="S620" s="114"/>
      <c r="T620" s="114"/>
      <c r="U620" s="114"/>
      <c r="V620" s="114"/>
      <c r="W620" s="114"/>
      <c r="X620" s="114"/>
    </row>
    <row r="621" spans="1:24" ht="15.75" customHeight="1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43"/>
      <c r="M621" s="143"/>
      <c r="N621" s="143"/>
      <c r="O621" s="143"/>
      <c r="P621" s="114"/>
      <c r="Q621" s="114"/>
      <c r="R621" s="114"/>
      <c r="S621" s="114"/>
      <c r="T621" s="114"/>
      <c r="U621" s="114"/>
      <c r="V621" s="114"/>
      <c r="W621" s="114"/>
      <c r="X621" s="114"/>
    </row>
    <row r="622" spans="1:24" ht="15.75" customHeight="1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43"/>
      <c r="M622" s="143"/>
      <c r="N622" s="143"/>
      <c r="O622" s="143"/>
      <c r="P622" s="114"/>
      <c r="Q622" s="114"/>
      <c r="R622" s="114"/>
      <c r="S622" s="114"/>
      <c r="T622" s="114"/>
      <c r="U622" s="114"/>
      <c r="V622" s="114"/>
      <c r="W622" s="114"/>
      <c r="X622" s="114"/>
    </row>
    <row r="623" spans="1:24" ht="15.75" customHeight="1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43"/>
      <c r="M623" s="143"/>
      <c r="N623" s="143"/>
      <c r="O623" s="143"/>
      <c r="P623" s="114"/>
      <c r="Q623" s="114"/>
      <c r="R623" s="114"/>
      <c r="S623" s="114"/>
      <c r="T623" s="114"/>
      <c r="U623" s="114"/>
      <c r="V623" s="114"/>
      <c r="W623" s="114"/>
      <c r="X623" s="114"/>
    </row>
    <row r="624" spans="1:24" ht="15.75" customHeight="1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43"/>
      <c r="M624" s="143"/>
      <c r="N624" s="143"/>
      <c r="O624" s="143"/>
      <c r="P624" s="114"/>
      <c r="Q624" s="114"/>
      <c r="R624" s="114"/>
      <c r="S624" s="114"/>
      <c r="T624" s="114"/>
      <c r="U624" s="114"/>
      <c r="V624" s="114"/>
      <c r="W624" s="114"/>
      <c r="X624" s="114"/>
    </row>
    <row r="625" spans="1:24" ht="15.75" customHeight="1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43"/>
      <c r="M625" s="143"/>
      <c r="N625" s="143"/>
      <c r="O625" s="143"/>
      <c r="P625" s="114"/>
      <c r="Q625" s="114"/>
      <c r="R625" s="114"/>
      <c r="S625" s="114"/>
      <c r="T625" s="114"/>
      <c r="U625" s="114"/>
      <c r="V625" s="114"/>
      <c r="W625" s="114"/>
      <c r="X625" s="114"/>
    </row>
    <row r="626" spans="1:24" ht="15.75" customHeight="1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43"/>
      <c r="M626" s="143"/>
      <c r="N626" s="143"/>
      <c r="O626" s="143"/>
      <c r="P626" s="114"/>
      <c r="Q626" s="114"/>
      <c r="R626" s="114"/>
      <c r="S626" s="114"/>
      <c r="T626" s="114"/>
      <c r="U626" s="114"/>
      <c r="V626" s="114"/>
      <c r="W626" s="114"/>
      <c r="X626" s="114"/>
    </row>
    <row r="627" spans="1:24" ht="15.75" customHeight="1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43"/>
      <c r="M627" s="143"/>
      <c r="N627" s="143"/>
      <c r="O627" s="143"/>
      <c r="P627" s="114"/>
      <c r="Q627" s="114"/>
      <c r="R627" s="114"/>
      <c r="S627" s="114"/>
      <c r="T627" s="114"/>
      <c r="U627" s="114"/>
      <c r="V627" s="114"/>
      <c r="W627" s="114"/>
      <c r="X627" s="114"/>
    </row>
    <row r="628" spans="1:24" ht="15.75" customHeight="1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43"/>
      <c r="M628" s="143"/>
      <c r="N628" s="143"/>
      <c r="O628" s="143"/>
      <c r="P628" s="114"/>
      <c r="Q628" s="114"/>
      <c r="R628" s="114"/>
      <c r="S628" s="114"/>
      <c r="T628" s="114"/>
      <c r="U628" s="114"/>
      <c r="V628" s="114"/>
      <c r="W628" s="114"/>
      <c r="X628" s="114"/>
    </row>
    <row r="629" spans="1:24" ht="15.75" customHeight="1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43"/>
      <c r="M629" s="143"/>
      <c r="N629" s="143"/>
      <c r="O629" s="143"/>
      <c r="P629" s="114"/>
      <c r="Q629" s="114"/>
      <c r="R629" s="114"/>
      <c r="S629" s="114"/>
      <c r="T629" s="114"/>
      <c r="U629" s="114"/>
      <c r="V629" s="114"/>
      <c r="W629" s="114"/>
      <c r="X629" s="114"/>
    </row>
    <row r="630" spans="1:24" ht="15.75" customHeight="1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43"/>
      <c r="M630" s="143"/>
      <c r="N630" s="143"/>
      <c r="O630" s="143"/>
      <c r="P630" s="114"/>
      <c r="Q630" s="114"/>
      <c r="R630" s="114"/>
      <c r="S630" s="114"/>
      <c r="T630" s="114"/>
      <c r="U630" s="114"/>
      <c r="V630" s="114"/>
      <c r="W630" s="114"/>
      <c r="X630" s="114"/>
    </row>
    <row r="631" spans="1:24" ht="15.75" customHeight="1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43"/>
      <c r="M631" s="143"/>
      <c r="N631" s="143"/>
      <c r="O631" s="143"/>
      <c r="P631" s="114"/>
      <c r="Q631" s="114"/>
      <c r="R631" s="114"/>
      <c r="S631" s="114"/>
      <c r="T631" s="114"/>
      <c r="U631" s="114"/>
      <c r="V631" s="114"/>
      <c r="W631" s="114"/>
      <c r="X631" s="114"/>
    </row>
    <row r="632" spans="1:24" ht="15.75" customHeight="1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43"/>
      <c r="M632" s="143"/>
      <c r="N632" s="143"/>
      <c r="O632" s="143"/>
      <c r="P632" s="114"/>
      <c r="Q632" s="114"/>
      <c r="R632" s="114"/>
      <c r="S632" s="114"/>
      <c r="T632" s="114"/>
      <c r="U632" s="114"/>
      <c r="V632" s="114"/>
      <c r="W632" s="114"/>
      <c r="X632" s="114"/>
    </row>
    <row r="633" spans="1:24" ht="15.75" customHeight="1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43"/>
      <c r="M633" s="143"/>
      <c r="N633" s="143"/>
      <c r="O633" s="143"/>
      <c r="P633" s="114"/>
      <c r="Q633" s="114"/>
      <c r="R633" s="114"/>
      <c r="S633" s="114"/>
      <c r="T633" s="114"/>
      <c r="U633" s="114"/>
      <c r="V633" s="114"/>
      <c r="W633" s="114"/>
      <c r="X633" s="114"/>
    </row>
    <row r="634" spans="1:24" ht="15.75" customHeight="1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43"/>
      <c r="M634" s="143"/>
      <c r="N634" s="143"/>
      <c r="O634" s="143"/>
      <c r="P634" s="114"/>
      <c r="Q634" s="114"/>
      <c r="R634" s="114"/>
      <c r="S634" s="114"/>
      <c r="T634" s="114"/>
      <c r="U634" s="114"/>
      <c r="V634" s="114"/>
      <c r="W634" s="114"/>
      <c r="X634" s="114"/>
    </row>
    <row r="635" spans="1:24" ht="15.75" customHeight="1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43"/>
      <c r="M635" s="143"/>
      <c r="N635" s="143"/>
      <c r="O635" s="143"/>
      <c r="P635" s="114"/>
      <c r="Q635" s="114"/>
      <c r="R635" s="114"/>
      <c r="S635" s="114"/>
      <c r="T635" s="114"/>
      <c r="U635" s="114"/>
      <c r="V635" s="114"/>
      <c r="W635" s="114"/>
      <c r="X635" s="114"/>
    </row>
    <row r="636" spans="1:24" ht="15.75" customHeight="1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43"/>
      <c r="M636" s="143"/>
      <c r="N636" s="143"/>
      <c r="O636" s="143"/>
      <c r="P636" s="114"/>
      <c r="Q636" s="114"/>
      <c r="R636" s="114"/>
      <c r="S636" s="114"/>
      <c r="T636" s="114"/>
      <c r="U636" s="114"/>
      <c r="V636" s="114"/>
      <c r="W636" s="114"/>
      <c r="X636" s="114"/>
    </row>
    <row r="637" spans="1:24" ht="15.75" customHeight="1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43"/>
      <c r="M637" s="143"/>
      <c r="N637" s="143"/>
      <c r="O637" s="143"/>
      <c r="P637" s="114"/>
      <c r="Q637" s="114"/>
      <c r="R637" s="114"/>
      <c r="S637" s="114"/>
      <c r="T637" s="114"/>
      <c r="U637" s="114"/>
      <c r="V637" s="114"/>
      <c r="W637" s="114"/>
      <c r="X637" s="114"/>
    </row>
    <row r="638" spans="1:24" ht="15.75" customHeight="1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43"/>
      <c r="M638" s="143"/>
      <c r="N638" s="143"/>
      <c r="O638" s="143"/>
      <c r="P638" s="114"/>
      <c r="Q638" s="114"/>
      <c r="R638" s="114"/>
      <c r="S638" s="114"/>
      <c r="T638" s="114"/>
      <c r="U638" s="114"/>
      <c r="V638" s="114"/>
      <c r="W638" s="114"/>
      <c r="X638" s="114"/>
    </row>
    <row r="639" spans="1:24" ht="15.75" customHeight="1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43"/>
      <c r="M639" s="143"/>
      <c r="N639" s="143"/>
      <c r="O639" s="143"/>
      <c r="P639" s="114"/>
      <c r="Q639" s="114"/>
      <c r="R639" s="114"/>
      <c r="S639" s="114"/>
      <c r="T639" s="114"/>
      <c r="U639" s="114"/>
      <c r="V639" s="114"/>
      <c r="W639" s="114"/>
      <c r="X639" s="114"/>
    </row>
    <row r="640" spans="1:24" ht="15.75" customHeight="1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43"/>
      <c r="M640" s="143"/>
      <c r="N640" s="143"/>
      <c r="O640" s="143"/>
      <c r="P640" s="114"/>
      <c r="Q640" s="114"/>
      <c r="R640" s="114"/>
      <c r="S640" s="114"/>
      <c r="T640" s="114"/>
      <c r="U640" s="114"/>
      <c r="V640" s="114"/>
      <c r="W640" s="114"/>
      <c r="X640" s="114"/>
    </row>
    <row r="641" spans="1:24" ht="15.75" customHeight="1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43"/>
      <c r="M641" s="143"/>
      <c r="N641" s="143"/>
      <c r="O641" s="143"/>
      <c r="P641" s="114"/>
      <c r="Q641" s="114"/>
      <c r="R641" s="114"/>
      <c r="S641" s="114"/>
      <c r="T641" s="114"/>
      <c r="U641" s="114"/>
      <c r="V641" s="114"/>
      <c r="W641" s="114"/>
      <c r="X641" s="114"/>
    </row>
    <row r="642" spans="1:24" ht="15.75" customHeight="1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43"/>
      <c r="M642" s="143"/>
      <c r="N642" s="143"/>
      <c r="O642" s="143"/>
      <c r="P642" s="114"/>
      <c r="Q642" s="114"/>
      <c r="R642" s="114"/>
      <c r="S642" s="114"/>
      <c r="T642" s="114"/>
      <c r="U642" s="114"/>
      <c r="V642" s="114"/>
      <c r="W642" s="114"/>
      <c r="X642" s="114"/>
    </row>
    <row r="643" spans="1:24" ht="15.75" customHeight="1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43"/>
      <c r="M643" s="143"/>
      <c r="N643" s="143"/>
      <c r="O643" s="143"/>
      <c r="P643" s="114"/>
      <c r="Q643" s="114"/>
      <c r="R643" s="114"/>
      <c r="S643" s="114"/>
      <c r="T643" s="114"/>
      <c r="U643" s="114"/>
      <c r="V643" s="114"/>
      <c r="W643" s="114"/>
      <c r="X643" s="114"/>
    </row>
    <row r="644" spans="1:24" ht="15.75" customHeight="1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43"/>
      <c r="M644" s="143"/>
      <c r="N644" s="143"/>
      <c r="O644" s="143"/>
      <c r="P644" s="114"/>
      <c r="Q644" s="114"/>
      <c r="R644" s="114"/>
      <c r="S644" s="114"/>
      <c r="T644" s="114"/>
      <c r="U644" s="114"/>
      <c r="V644" s="114"/>
      <c r="W644" s="114"/>
      <c r="X644" s="114"/>
    </row>
    <row r="645" spans="1:24" ht="15.75" customHeight="1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43"/>
      <c r="M645" s="143"/>
      <c r="N645" s="143"/>
      <c r="O645" s="143"/>
      <c r="P645" s="114"/>
      <c r="Q645" s="114"/>
      <c r="R645" s="114"/>
      <c r="S645" s="114"/>
      <c r="T645" s="114"/>
      <c r="U645" s="114"/>
      <c r="V645" s="114"/>
      <c r="W645" s="114"/>
      <c r="X645" s="114"/>
    </row>
    <row r="646" spans="1:24" ht="15.75" customHeight="1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43"/>
      <c r="M646" s="143"/>
      <c r="N646" s="143"/>
      <c r="O646" s="143"/>
      <c r="P646" s="114"/>
      <c r="Q646" s="114"/>
      <c r="R646" s="114"/>
      <c r="S646" s="114"/>
      <c r="T646" s="114"/>
      <c r="U646" s="114"/>
      <c r="V646" s="114"/>
      <c r="W646" s="114"/>
      <c r="X646" s="114"/>
    </row>
    <row r="647" spans="1:24" ht="15.75" customHeight="1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43"/>
      <c r="M647" s="143"/>
      <c r="N647" s="143"/>
      <c r="O647" s="143"/>
      <c r="P647" s="114"/>
      <c r="Q647" s="114"/>
      <c r="R647" s="114"/>
      <c r="S647" s="114"/>
      <c r="T647" s="114"/>
      <c r="U647" s="114"/>
      <c r="V647" s="114"/>
      <c r="W647" s="114"/>
      <c r="X647" s="114"/>
    </row>
    <row r="648" spans="1:24" ht="15.75" customHeight="1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43"/>
      <c r="M648" s="143"/>
      <c r="N648" s="143"/>
      <c r="O648" s="143"/>
      <c r="P648" s="114"/>
      <c r="Q648" s="114"/>
      <c r="R648" s="114"/>
      <c r="S648" s="114"/>
      <c r="T648" s="114"/>
      <c r="U648" s="114"/>
      <c r="V648" s="114"/>
      <c r="W648" s="114"/>
      <c r="X648" s="114"/>
    </row>
    <row r="649" spans="1:24" ht="15.75" customHeight="1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43"/>
      <c r="M649" s="143"/>
      <c r="N649" s="143"/>
      <c r="O649" s="143"/>
      <c r="P649" s="114"/>
      <c r="Q649" s="114"/>
      <c r="R649" s="114"/>
      <c r="S649" s="114"/>
      <c r="T649" s="114"/>
      <c r="U649" s="114"/>
      <c r="V649" s="114"/>
      <c r="W649" s="114"/>
      <c r="X649" s="114"/>
    </row>
    <row r="650" spans="1:24" ht="15.75" customHeight="1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43"/>
      <c r="M650" s="143"/>
      <c r="N650" s="143"/>
      <c r="O650" s="143"/>
      <c r="P650" s="114"/>
      <c r="Q650" s="114"/>
      <c r="R650" s="114"/>
      <c r="S650" s="114"/>
      <c r="T650" s="114"/>
      <c r="U650" s="114"/>
      <c r="V650" s="114"/>
      <c r="W650" s="114"/>
      <c r="X650" s="114"/>
    </row>
    <row r="651" spans="1:24" ht="15.75" customHeight="1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43"/>
      <c r="M651" s="143"/>
      <c r="N651" s="143"/>
      <c r="O651" s="143"/>
      <c r="P651" s="114"/>
      <c r="Q651" s="114"/>
      <c r="R651" s="114"/>
      <c r="S651" s="114"/>
      <c r="T651" s="114"/>
      <c r="U651" s="114"/>
      <c r="V651" s="114"/>
      <c r="W651" s="114"/>
      <c r="X651" s="114"/>
    </row>
    <row r="652" spans="1:24" ht="15.75" customHeight="1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43"/>
      <c r="M652" s="143"/>
      <c r="N652" s="143"/>
      <c r="O652" s="143"/>
      <c r="P652" s="114"/>
      <c r="Q652" s="114"/>
      <c r="R652" s="114"/>
      <c r="S652" s="114"/>
      <c r="T652" s="114"/>
      <c r="U652" s="114"/>
      <c r="V652" s="114"/>
      <c r="W652" s="114"/>
      <c r="X652" s="114"/>
    </row>
    <row r="653" spans="1:24" ht="15.75" customHeight="1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43"/>
      <c r="M653" s="143"/>
      <c r="N653" s="143"/>
      <c r="O653" s="143"/>
      <c r="P653" s="114"/>
      <c r="Q653" s="114"/>
      <c r="R653" s="114"/>
      <c r="S653" s="114"/>
      <c r="T653" s="114"/>
      <c r="U653" s="114"/>
      <c r="V653" s="114"/>
      <c r="W653" s="114"/>
      <c r="X653" s="114"/>
    </row>
    <row r="654" spans="1:24" ht="15.75" customHeight="1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43"/>
      <c r="M654" s="143"/>
      <c r="N654" s="143"/>
      <c r="O654" s="143"/>
      <c r="P654" s="114"/>
      <c r="Q654" s="114"/>
      <c r="R654" s="114"/>
      <c r="S654" s="114"/>
      <c r="T654" s="114"/>
      <c r="U654" s="114"/>
      <c r="V654" s="114"/>
      <c r="W654" s="114"/>
      <c r="X654" s="114"/>
    </row>
    <row r="655" spans="1:24" ht="15.75" customHeight="1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43"/>
      <c r="M655" s="143"/>
      <c r="N655" s="143"/>
      <c r="O655" s="143"/>
      <c r="P655" s="114"/>
      <c r="Q655" s="114"/>
      <c r="R655" s="114"/>
      <c r="S655" s="114"/>
      <c r="T655" s="114"/>
      <c r="U655" s="114"/>
      <c r="V655" s="114"/>
      <c r="W655" s="114"/>
      <c r="X655" s="114"/>
    </row>
    <row r="656" spans="1:24" ht="15.75" customHeight="1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43"/>
      <c r="M656" s="143"/>
      <c r="N656" s="143"/>
      <c r="O656" s="143"/>
      <c r="P656" s="114"/>
      <c r="Q656" s="114"/>
      <c r="R656" s="114"/>
      <c r="S656" s="114"/>
      <c r="T656" s="114"/>
      <c r="U656" s="114"/>
      <c r="V656" s="114"/>
      <c r="W656" s="114"/>
      <c r="X656" s="114"/>
    </row>
    <row r="657" spans="1:24" ht="15.75" customHeight="1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43"/>
      <c r="M657" s="143"/>
      <c r="N657" s="143"/>
      <c r="O657" s="143"/>
      <c r="P657" s="114"/>
      <c r="Q657" s="114"/>
      <c r="R657" s="114"/>
      <c r="S657" s="114"/>
      <c r="T657" s="114"/>
      <c r="U657" s="114"/>
      <c r="V657" s="114"/>
      <c r="W657" s="114"/>
      <c r="X657" s="114"/>
    </row>
    <row r="658" spans="1:24" ht="15.75" customHeight="1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43"/>
      <c r="M658" s="143"/>
      <c r="N658" s="143"/>
      <c r="O658" s="143"/>
      <c r="P658" s="114"/>
      <c r="Q658" s="114"/>
      <c r="R658" s="114"/>
      <c r="S658" s="114"/>
      <c r="T658" s="114"/>
      <c r="U658" s="114"/>
      <c r="V658" s="114"/>
      <c r="W658" s="114"/>
      <c r="X658" s="114"/>
    </row>
    <row r="659" spans="1:24" ht="15.75" customHeight="1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43"/>
      <c r="M659" s="143"/>
      <c r="N659" s="143"/>
      <c r="O659" s="143"/>
      <c r="P659" s="114"/>
      <c r="Q659" s="114"/>
      <c r="R659" s="114"/>
      <c r="S659" s="114"/>
      <c r="T659" s="114"/>
      <c r="U659" s="114"/>
      <c r="V659" s="114"/>
      <c r="W659" s="114"/>
      <c r="X659" s="114"/>
    </row>
    <row r="660" spans="1:24" ht="15.75" customHeight="1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43"/>
      <c r="M660" s="143"/>
      <c r="N660" s="143"/>
      <c r="O660" s="143"/>
      <c r="P660" s="114"/>
      <c r="Q660" s="114"/>
      <c r="R660" s="114"/>
      <c r="S660" s="114"/>
      <c r="T660" s="114"/>
      <c r="U660" s="114"/>
      <c r="V660" s="114"/>
      <c r="W660" s="114"/>
      <c r="X660" s="114"/>
    </row>
    <row r="661" spans="1:24" ht="15.75" customHeight="1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43"/>
      <c r="M661" s="143"/>
      <c r="N661" s="143"/>
      <c r="O661" s="143"/>
      <c r="P661" s="114"/>
      <c r="Q661" s="114"/>
      <c r="R661" s="114"/>
      <c r="S661" s="114"/>
      <c r="T661" s="114"/>
      <c r="U661" s="114"/>
      <c r="V661" s="114"/>
      <c r="W661" s="114"/>
      <c r="X661" s="114"/>
    </row>
    <row r="662" spans="1:24" ht="15.75" customHeight="1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43"/>
      <c r="M662" s="143"/>
      <c r="N662" s="143"/>
      <c r="O662" s="143"/>
      <c r="P662" s="114"/>
      <c r="Q662" s="114"/>
      <c r="R662" s="114"/>
      <c r="S662" s="114"/>
      <c r="T662" s="114"/>
      <c r="U662" s="114"/>
      <c r="V662" s="114"/>
      <c r="W662" s="114"/>
      <c r="X662" s="114"/>
    </row>
    <row r="663" spans="1:24" ht="15.75" customHeight="1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43"/>
      <c r="M663" s="143"/>
      <c r="N663" s="143"/>
      <c r="O663" s="143"/>
      <c r="P663" s="114"/>
      <c r="Q663" s="114"/>
      <c r="R663" s="114"/>
      <c r="S663" s="114"/>
      <c r="T663" s="114"/>
      <c r="U663" s="114"/>
      <c r="V663" s="114"/>
      <c r="W663" s="114"/>
      <c r="X663" s="114"/>
    </row>
    <row r="664" spans="1:24" ht="15.75" customHeight="1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43"/>
      <c r="M664" s="143"/>
      <c r="N664" s="143"/>
      <c r="O664" s="143"/>
      <c r="P664" s="114"/>
      <c r="Q664" s="114"/>
      <c r="R664" s="114"/>
      <c r="S664" s="114"/>
      <c r="T664" s="114"/>
      <c r="U664" s="114"/>
      <c r="V664" s="114"/>
      <c r="W664" s="114"/>
      <c r="X664" s="114"/>
    </row>
    <row r="665" spans="1:24" ht="15.75" customHeight="1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43"/>
      <c r="M665" s="143"/>
      <c r="N665" s="143"/>
      <c r="O665" s="143"/>
      <c r="P665" s="114"/>
      <c r="Q665" s="114"/>
      <c r="R665" s="114"/>
      <c r="S665" s="114"/>
      <c r="T665" s="114"/>
      <c r="U665" s="114"/>
      <c r="V665" s="114"/>
      <c r="W665" s="114"/>
      <c r="X665" s="114"/>
    </row>
    <row r="666" spans="1:24" ht="15.75" customHeight="1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43"/>
      <c r="M666" s="143"/>
      <c r="N666" s="143"/>
      <c r="O666" s="143"/>
      <c r="P666" s="114"/>
      <c r="Q666" s="114"/>
      <c r="R666" s="114"/>
      <c r="S666" s="114"/>
      <c r="T666" s="114"/>
      <c r="U666" s="114"/>
      <c r="V666" s="114"/>
      <c r="W666" s="114"/>
      <c r="X666" s="114"/>
    </row>
    <row r="667" spans="1:24" ht="15.75" customHeight="1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43"/>
      <c r="M667" s="143"/>
      <c r="N667" s="143"/>
      <c r="O667" s="143"/>
      <c r="P667" s="114"/>
      <c r="Q667" s="114"/>
      <c r="R667" s="114"/>
      <c r="S667" s="114"/>
      <c r="T667" s="114"/>
      <c r="U667" s="114"/>
      <c r="V667" s="114"/>
      <c r="W667" s="114"/>
      <c r="X667" s="114"/>
    </row>
    <row r="668" spans="1:24" ht="15.75" customHeight="1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43"/>
      <c r="M668" s="143"/>
      <c r="N668" s="143"/>
      <c r="O668" s="143"/>
      <c r="P668" s="114"/>
      <c r="Q668" s="114"/>
      <c r="R668" s="114"/>
      <c r="S668" s="114"/>
      <c r="T668" s="114"/>
      <c r="U668" s="114"/>
      <c r="V668" s="114"/>
      <c r="W668" s="114"/>
      <c r="X668" s="114"/>
    </row>
    <row r="669" spans="1:24" ht="15.75" customHeight="1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43"/>
      <c r="M669" s="143"/>
      <c r="N669" s="143"/>
      <c r="O669" s="143"/>
      <c r="P669" s="114"/>
      <c r="Q669" s="114"/>
      <c r="R669" s="114"/>
      <c r="S669" s="114"/>
      <c r="T669" s="114"/>
      <c r="U669" s="114"/>
      <c r="V669" s="114"/>
      <c r="W669" s="114"/>
      <c r="X669" s="114"/>
    </row>
    <row r="670" spans="1:24" ht="15.75" customHeight="1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43"/>
      <c r="M670" s="143"/>
      <c r="N670" s="143"/>
      <c r="O670" s="143"/>
      <c r="P670" s="114"/>
      <c r="Q670" s="114"/>
      <c r="R670" s="114"/>
      <c r="S670" s="114"/>
      <c r="T670" s="114"/>
      <c r="U670" s="114"/>
      <c r="V670" s="114"/>
      <c r="W670" s="114"/>
      <c r="X670" s="114"/>
    </row>
    <row r="671" spans="1:24" ht="15.75" customHeight="1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43"/>
      <c r="M671" s="143"/>
      <c r="N671" s="143"/>
      <c r="O671" s="143"/>
      <c r="P671" s="114"/>
      <c r="Q671" s="114"/>
      <c r="R671" s="114"/>
      <c r="S671" s="114"/>
      <c r="T671" s="114"/>
      <c r="U671" s="114"/>
      <c r="V671" s="114"/>
      <c r="W671" s="114"/>
      <c r="X671" s="114"/>
    </row>
    <row r="672" spans="1:24" ht="15.75" customHeight="1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43"/>
      <c r="M672" s="143"/>
      <c r="N672" s="143"/>
      <c r="O672" s="143"/>
      <c r="P672" s="114"/>
      <c r="Q672" s="114"/>
      <c r="R672" s="114"/>
      <c r="S672" s="114"/>
      <c r="T672" s="114"/>
      <c r="U672" s="114"/>
      <c r="V672" s="114"/>
      <c r="W672" s="114"/>
      <c r="X672" s="114"/>
    </row>
    <row r="673" spans="1:24" ht="15.75" customHeight="1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43"/>
      <c r="M673" s="143"/>
      <c r="N673" s="143"/>
      <c r="O673" s="143"/>
      <c r="P673" s="114"/>
      <c r="Q673" s="114"/>
      <c r="R673" s="114"/>
      <c r="S673" s="114"/>
      <c r="T673" s="114"/>
      <c r="U673" s="114"/>
      <c r="V673" s="114"/>
      <c r="W673" s="114"/>
      <c r="X673" s="114"/>
    </row>
    <row r="674" spans="1:24" ht="15.75" customHeight="1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43"/>
      <c r="M674" s="143"/>
      <c r="N674" s="143"/>
      <c r="O674" s="143"/>
      <c r="P674" s="114"/>
      <c r="Q674" s="114"/>
      <c r="R674" s="114"/>
      <c r="S674" s="114"/>
      <c r="T674" s="114"/>
      <c r="U674" s="114"/>
      <c r="V674" s="114"/>
      <c r="W674" s="114"/>
      <c r="X674" s="114"/>
    </row>
    <row r="675" spans="1:24" ht="15.75" customHeight="1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43"/>
      <c r="M675" s="143"/>
      <c r="N675" s="143"/>
      <c r="O675" s="143"/>
      <c r="P675" s="114"/>
      <c r="Q675" s="114"/>
      <c r="R675" s="114"/>
      <c r="S675" s="114"/>
      <c r="T675" s="114"/>
      <c r="U675" s="114"/>
      <c r="V675" s="114"/>
      <c r="W675" s="114"/>
      <c r="X675" s="114"/>
    </row>
    <row r="676" spans="1:24" ht="15.75" customHeight="1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43"/>
      <c r="M676" s="143"/>
      <c r="N676" s="143"/>
      <c r="O676" s="143"/>
      <c r="P676" s="114"/>
      <c r="Q676" s="114"/>
      <c r="R676" s="114"/>
      <c r="S676" s="114"/>
      <c r="T676" s="114"/>
      <c r="U676" s="114"/>
      <c r="V676" s="114"/>
      <c r="W676" s="114"/>
      <c r="X676" s="114"/>
    </row>
    <row r="677" spans="1:24" ht="15.75" customHeight="1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43"/>
      <c r="M677" s="143"/>
      <c r="N677" s="143"/>
      <c r="O677" s="143"/>
      <c r="P677" s="114"/>
      <c r="Q677" s="114"/>
      <c r="R677" s="114"/>
      <c r="S677" s="114"/>
      <c r="T677" s="114"/>
      <c r="U677" s="114"/>
      <c r="V677" s="114"/>
      <c r="W677" s="114"/>
      <c r="X677" s="114"/>
    </row>
    <row r="678" spans="1:24" ht="15.75" customHeight="1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43"/>
      <c r="M678" s="143"/>
      <c r="N678" s="143"/>
      <c r="O678" s="143"/>
      <c r="P678" s="114"/>
      <c r="Q678" s="114"/>
      <c r="R678" s="114"/>
      <c r="S678" s="114"/>
      <c r="T678" s="114"/>
      <c r="U678" s="114"/>
      <c r="V678" s="114"/>
      <c r="W678" s="114"/>
      <c r="X678" s="114"/>
    </row>
    <row r="679" spans="1:24" ht="15.75" customHeight="1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43"/>
      <c r="M679" s="143"/>
      <c r="N679" s="143"/>
      <c r="O679" s="143"/>
      <c r="P679" s="114"/>
      <c r="Q679" s="114"/>
      <c r="R679" s="114"/>
      <c r="S679" s="114"/>
      <c r="T679" s="114"/>
      <c r="U679" s="114"/>
      <c r="V679" s="114"/>
      <c r="W679" s="114"/>
      <c r="X679" s="114"/>
    </row>
    <row r="680" spans="1:24" ht="15.75" customHeight="1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43"/>
      <c r="M680" s="143"/>
      <c r="N680" s="143"/>
      <c r="O680" s="143"/>
      <c r="P680" s="114"/>
      <c r="Q680" s="114"/>
      <c r="R680" s="114"/>
      <c r="S680" s="114"/>
      <c r="T680" s="114"/>
      <c r="U680" s="114"/>
      <c r="V680" s="114"/>
      <c r="W680" s="114"/>
      <c r="X680" s="114"/>
    </row>
    <row r="681" spans="1:24" ht="15.75" customHeight="1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43"/>
      <c r="M681" s="143"/>
      <c r="N681" s="143"/>
      <c r="O681" s="143"/>
      <c r="P681" s="114"/>
      <c r="Q681" s="114"/>
      <c r="R681" s="114"/>
      <c r="S681" s="114"/>
      <c r="T681" s="114"/>
      <c r="U681" s="114"/>
      <c r="V681" s="114"/>
      <c r="W681" s="114"/>
      <c r="X681" s="114"/>
    </row>
    <row r="682" spans="1:24" ht="15.75" customHeight="1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43"/>
      <c r="M682" s="143"/>
      <c r="N682" s="143"/>
      <c r="O682" s="143"/>
      <c r="P682" s="114"/>
      <c r="Q682" s="114"/>
      <c r="R682" s="114"/>
      <c r="S682" s="114"/>
      <c r="T682" s="114"/>
      <c r="U682" s="114"/>
      <c r="V682" s="114"/>
      <c r="W682" s="114"/>
      <c r="X682" s="114"/>
    </row>
    <row r="683" spans="1:24" ht="15.75" customHeight="1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43"/>
      <c r="M683" s="143"/>
      <c r="N683" s="143"/>
      <c r="O683" s="143"/>
      <c r="P683" s="114"/>
      <c r="Q683" s="114"/>
      <c r="R683" s="114"/>
      <c r="S683" s="114"/>
      <c r="T683" s="114"/>
      <c r="U683" s="114"/>
      <c r="V683" s="114"/>
      <c r="W683" s="114"/>
      <c r="X683" s="114"/>
    </row>
    <row r="684" spans="1:24" ht="15.75" customHeight="1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43"/>
      <c r="M684" s="143"/>
      <c r="N684" s="143"/>
      <c r="O684" s="143"/>
      <c r="P684" s="114"/>
      <c r="Q684" s="114"/>
      <c r="R684" s="114"/>
      <c r="S684" s="114"/>
      <c r="T684" s="114"/>
      <c r="U684" s="114"/>
      <c r="V684" s="114"/>
      <c r="W684" s="114"/>
      <c r="X684" s="114"/>
    </row>
    <row r="685" spans="1:24" ht="15.75" customHeight="1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43"/>
      <c r="M685" s="143"/>
      <c r="N685" s="143"/>
      <c r="O685" s="143"/>
      <c r="P685" s="114"/>
      <c r="Q685" s="114"/>
      <c r="R685" s="114"/>
      <c r="S685" s="114"/>
      <c r="T685" s="114"/>
      <c r="U685" s="114"/>
      <c r="V685" s="114"/>
      <c r="W685" s="114"/>
      <c r="X685" s="114"/>
    </row>
    <row r="686" spans="1:24" ht="15.75" customHeight="1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43"/>
      <c r="M686" s="143"/>
      <c r="N686" s="143"/>
      <c r="O686" s="143"/>
      <c r="P686" s="114"/>
      <c r="Q686" s="114"/>
      <c r="R686" s="114"/>
      <c r="S686" s="114"/>
      <c r="T686" s="114"/>
      <c r="U686" s="114"/>
      <c r="V686" s="114"/>
      <c r="W686" s="114"/>
      <c r="X686" s="114"/>
    </row>
    <row r="687" spans="1:24" ht="15.75" customHeight="1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43"/>
      <c r="M687" s="143"/>
      <c r="N687" s="143"/>
      <c r="O687" s="143"/>
      <c r="P687" s="114"/>
      <c r="Q687" s="114"/>
      <c r="R687" s="114"/>
      <c r="S687" s="114"/>
      <c r="T687" s="114"/>
      <c r="U687" s="114"/>
      <c r="V687" s="114"/>
      <c r="W687" s="114"/>
      <c r="X687" s="114"/>
    </row>
    <row r="688" spans="1:24" ht="15.75" customHeight="1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43"/>
      <c r="M688" s="143"/>
      <c r="N688" s="143"/>
      <c r="O688" s="143"/>
      <c r="P688" s="114"/>
      <c r="Q688" s="114"/>
      <c r="R688" s="114"/>
      <c r="S688" s="114"/>
      <c r="T688" s="114"/>
      <c r="U688" s="114"/>
      <c r="V688" s="114"/>
      <c r="W688" s="114"/>
      <c r="X688" s="114"/>
    </row>
    <row r="689" spans="1:24" ht="15.75" customHeight="1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43"/>
      <c r="M689" s="143"/>
      <c r="N689" s="143"/>
      <c r="O689" s="143"/>
      <c r="P689" s="114"/>
      <c r="Q689" s="114"/>
      <c r="R689" s="114"/>
      <c r="S689" s="114"/>
      <c r="T689" s="114"/>
      <c r="U689" s="114"/>
      <c r="V689" s="114"/>
      <c r="W689" s="114"/>
      <c r="X689" s="114"/>
    </row>
    <row r="690" spans="1:24" ht="15.75" customHeight="1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43"/>
      <c r="M690" s="143"/>
      <c r="N690" s="143"/>
      <c r="O690" s="143"/>
      <c r="P690" s="114"/>
      <c r="Q690" s="114"/>
      <c r="R690" s="114"/>
      <c r="S690" s="114"/>
      <c r="T690" s="114"/>
      <c r="U690" s="114"/>
      <c r="V690" s="114"/>
      <c r="W690" s="114"/>
      <c r="X690" s="114"/>
    </row>
    <row r="691" spans="1:24" ht="15.75" customHeight="1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43"/>
      <c r="M691" s="143"/>
      <c r="N691" s="143"/>
      <c r="O691" s="143"/>
      <c r="P691" s="114"/>
      <c r="Q691" s="114"/>
      <c r="R691" s="114"/>
      <c r="S691" s="114"/>
      <c r="T691" s="114"/>
      <c r="U691" s="114"/>
      <c r="V691" s="114"/>
      <c r="W691" s="114"/>
      <c r="X691" s="114"/>
    </row>
    <row r="692" spans="1:24" ht="15.75" customHeight="1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43"/>
      <c r="M692" s="143"/>
      <c r="N692" s="143"/>
      <c r="O692" s="143"/>
      <c r="P692" s="114"/>
      <c r="Q692" s="114"/>
      <c r="R692" s="114"/>
      <c r="S692" s="114"/>
      <c r="T692" s="114"/>
      <c r="U692" s="114"/>
      <c r="V692" s="114"/>
      <c r="W692" s="114"/>
      <c r="X692" s="114"/>
    </row>
    <row r="693" spans="1:24" ht="15.75" customHeight="1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43"/>
      <c r="M693" s="143"/>
      <c r="N693" s="143"/>
      <c r="O693" s="143"/>
      <c r="P693" s="114"/>
      <c r="Q693" s="114"/>
      <c r="R693" s="114"/>
      <c r="S693" s="114"/>
      <c r="T693" s="114"/>
      <c r="U693" s="114"/>
      <c r="V693" s="114"/>
      <c r="W693" s="114"/>
      <c r="X693" s="114"/>
    </row>
    <row r="694" spans="1:24" ht="15.75" customHeight="1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43"/>
      <c r="M694" s="143"/>
      <c r="N694" s="143"/>
      <c r="O694" s="143"/>
      <c r="P694" s="114"/>
      <c r="Q694" s="114"/>
      <c r="R694" s="114"/>
      <c r="S694" s="114"/>
      <c r="T694" s="114"/>
      <c r="U694" s="114"/>
      <c r="V694" s="114"/>
      <c r="W694" s="114"/>
      <c r="X694" s="114"/>
    </row>
    <row r="695" spans="1:24" ht="15.75" customHeight="1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43"/>
      <c r="M695" s="143"/>
      <c r="N695" s="143"/>
      <c r="O695" s="143"/>
      <c r="P695" s="114"/>
      <c r="Q695" s="114"/>
      <c r="R695" s="114"/>
      <c r="S695" s="114"/>
      <c r="T695" s="114"/>
      <c r="U695" s="114"/>
      <c r="V695" s="114"/>
      <c r="W695" s="114"/>
      <c r="X695" s="114"/>
    </row>
    <row r="696" spans="1:24" ht="15.75" customHeight="1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43"/>
      <c r="M696" s="143"/>
      <c r="N696" s="143"/>
      <c r="O696" s="143"/>
      <c r="P696" s="114"/>
      <c r="Q696" s="114"/>
      <c r="R696" s="114"/>
      <c r="S696" s="114"/>
      <c r="T696" s="114"/>
      <c r="U696" s="114"/>
      <c r="V696" s="114"/>
      <c r="W696" s="114"/>
      <c r="X696" s="114"/>
    </row>
    <row r="697" spans="1:24" ht="15.75" customHeight="1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43"/>
      <c r="M697" s="143"/>
      <c r="N697" s="143"/>
      <c r="O697" s="143"/>
      <c r="P697" s="114"/>
      <c r="Q697" s="114"/>
      <c r="R697" s="114"/>
      <c r="S697" s="114"/>
      <c r="T697" s="114"/>
      <c r="U697" s="114"/>
      <c r="V697" s="114"/>
      <c r="W697" s="114"/>
      <c r="X697" s="114"/>
    </row>
    <row r="698" spans="1:24" ht="15.75" customHeight="1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43"/>
      <c r="M698" s="143"/>
      <c r="N698" s="143"/>
      <c r="O698" s="143"/>
      <c r="P698" s="114"/>
      <c r="Q698" s="114"/>
      <c r="R698" s="114"/>
      <c r="S698" s="114"/>
      <c r="T698" s="114"/>
      <c r="U698" s="114"/>
      <c r="V698" s="114"/>
      <c r="W698" s="114"/>
      <c r="X698" s="114"/>
    </row>
    <row r="699" spans="1:24" ht="15.75" customHeight="1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43"/>
      <c r="M699" s="143"/>
      <c r="N699" s="143"/>
      <c r="O699" s="143"/>
      <c r="P699" s="114"/>
      <c r="Q699" s="114"/>
      <c r="R699" s="114"/>
      <c r="S699" s="114"/>
      <c r="T699" s="114"/>
      <c r="U699" s="114"/>
      <c r="V699" s="114"/>
      <c r="W699" s="114"/>
      <c r="X699" s="114"/>
    </row>
    <row r="700" spans="1:24" ht="15.75" customHeight="1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43"/>
      <c r="M700" s="143"/>
      <c r="N700" s="143"/>
      <c r="O700" s="143"/>
      <c r="P700" s="114"/>
      <c r="Q700" s="114"/>
      <c r="R700" s="114"/>
      <c r="S700" s="114"/>
      <c r="T700" s="114"/>
      <c r="U700" s="114"/>
      <c r="V700" s="114"/>
      <c r="W700" s="114"/>
      <c r="X700" s="114"/>
    </row>
    <row r="701" spans="1:24" ht="15.75" customHeight="1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43"/>
      <c r="M701" s="143"/>
      <c r="N701" s="143"/>
      <c r="O701" s="143"/>
      <c r="P701" s="114"/>
      <c r="Q701" s="114"/>
      <c r="R701" s="114"/>
      <c r="S701" s="114"/>
      <c r="T701" s="114"/>
      <c r="U701" s="114"/>
      <c r="V701" s="114"/>
      <c r="W701" s="114"/>
      <c r="X701" s="114"/>
    </row>
    <row r="702" spans="1:24" ht="15.75" customHeight="1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43"/>
      <c r="M702" s="143"/>
      <c r="N702" s="143"/>
      <c r="O702" s="143"/>
      <c r="P702" s="114"/>
      <c r="Q702" s="114"/>
      <c r="R702" s="114"/>
      <c r="S702" s="114"/>
      <c r="T702" s="114"/>
      <c r="U702" s="114"/>
      <c r="V702" s="114"/>
      <c r="W702" s="114"/>
      <c r="X702" s="114"/>
    </row>
    <row r="703" spans="1:24" ht="15.75" customHeight="1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43"/>
      <c r="M703" s="143"/>
      <c r="N703" s="143"/>
      <c r="O703" s="143"/>
      <c r="P703" s="114"/>
      <c r="Q703" s="114"/>
      <c r="R703" s="114"/>
      <c r="S703" s="114"/>
      <c r="T703" s="114"/>
      <c r="U703" s="114"/>
      <c r="V703" s="114"/>
      <c r="W703" s="114"/>
      <c r="X703" s="114"/>
    </row>
    <row r="704" spans="1:24" ht="15.75" customHeight="1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43"/>
      <c r="M704" s="143"/>
      <c r="N704" s="143"/>
      <c r="O704" s="143"/>
      <c r="P704" s="114"/>
      <c r="Q704" s="114"/>
      <c r="R704" s="114"/>
      <c r="S704" s="114"/>
      <c r="T704" s="114"/>
      <c r="U704" s="114"/>
      <c r="V704" s="114"/>
      <c r="W704" s="114"/>
      <c r="X704" s="114"/>
    </row>
    <row r="705" spans="1:24" ht="15.75" customHeight="1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43"/>
      <c r="M705" s="143"/>
      <c r="N705" s="143"/>
      <c r="O705" s="143"/>
      <c r="P705" s="114"/>
      <c r="Q705" s="114"/>
      <c r="R705" s="114"/>
      <c r="S705" s="114"/>
      <c r="T705" s="114"/>
      <c r="U705" s="114"/>
      <c r="V705" s="114"/>
      <c r="W705" s="114"/>
      <c r="X705" s="114"/>
    </row>
    <row r="706" spans="1:24" ht="15.75" customHeight="1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43"/>
      <c r="M706" s="143"/>
      <c r="N706" s="143"/>
      <c r="O706" s="143"/>
      <c r="P706" s="114"/>
      <c r="Q706" s="114"/>
      <c r="R706" s="114"/>
      <c r="S706" s="114"/>
      <c r="T706" s="114"/>
      <c r="U706" s="114"/>
      <c r="V706" s="114"/>
      <c r="W706" s="114"/>
      <c r="X706" s="114"/>
    </row>
    <row r="707" spans="1:24" ht="15.75" customHeight="1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43"/>
      <c r="M707" s="143"/>
      <c r="N707" s="143"/>
      <c r="O707" s="143"/>
      <c r="P707" s="114"/>
      <c r="Q707" s="114"/>
      <c r="R707" s="114"/>
      <c r="S707" s="114"/>
      <c r="T707" s="114"/>
      <c r="U707" s="114"/>
      <c r="V707" s="114"/>
      <c r="W707" s="114"/>
      <c r="X707" s="114"/>
    </row>
    <row r="708" spans="1:24" ht="15.75" customHeight="1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43"/>
      <c r="M708" s="143"/>
      <c r="N708" s="143"/>
      <c r="O708" s="143"/>
      <c r="P708" s="114"/>
      <c r="Q708" s="114"/>
      <c r="R708" s="114"/>
      <c r="S708" s="114"/>
      <c r="T708" s="114"/>
      <c r="U708" s="114"/>
      <c r="V708" s="114"/>
      <c r="W708" s="114"/>
      <c r="X708" s="114"/>
    </row>
    <row r="709" spans="1:24" ht="15.75" customHeight="1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43"/>
      <c r="M709" s="143"/>
      <c r="N709" s="143"/>
      <c r="O709" s="143"/>
      <c r="P709" s="114"/>
      <c r="Q709" s="114"/>
      <c r="R709" s="114"/>
      <c r="S709" s="114"/>
      <c r="T709" s="114"/>
      <c r="U709" s="114"/>
      <c r="V709" s="114"/>
      <c r="W709" s="114"/>
      <c r="X709" s="114"/>
    </row>
    <row r="710" spans="1:24" ht="15.75" customHeight="1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43"/>
      <c r="M710" s="143"/>
      <c r="N710" s="143"/>
      <c r="O710" s="143"/>
      <c r="P710" s="114"/>
      <c r="Q710" s="114"/>
      <c r="R710" s="114"/>
      <c r="S710" s="114"/>
      <c r="T710" s="114"/>
      <c r="U710" s="114"/>
      <c r="V710" s="114"/>
      <c r="W710" s="114"/>
      <c r="X710" s="114"/>
    </row>
    <row r="711" spans="1:24" ht="15.75" customHeight="1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43"/>
      <c r="M711" s="143"/>
      <c r="N711" s="143"/>
      <c r="O711" s="143"/>
      <c r="P711" s="114"/>
      <c r="Q711" s="114"/>
      <c r="R711" s="114"/>
      <c r="S711" s="114"/>
      <c r="T711" s="114"/>
      <c r="U711" s="114"/>
      <c r="V711" s="114"/>
      <c r="W711" s="114"/>
      <c r="X711" s="114"/>
    </row>
    <row r="712" spans="1:24" ht="15.75" customHeight="1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43"/>
      <c r="M712" s="143"/>
      <c r="N712" s="143"/>
      <c r="O712" s="143"/>
      <c r="P712" s="114"/>
      <c r="Q712" s="114"/>
      <c r="R712" s="114"/>
      <c r="S712" s="114"/>
      <c r="T712" s="114"/>
      <c r="U712" s="114"/>
      <c r="V712" s="114"/>
      <c r="W712" s="114"/>
      <c r="X712" s="114"/>
    </row>
    <row r="713" spans="1:24" ht="15.75" customHeight="1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43"/>
      <c r="M713" s="143"/>
      <c r="N713" s="143"/>
      <c r="O713" s="143"/>
      <c r="P713" s="114"/>
      <c r="Q713" s="114"/>
      <c r="R713" s="114"/>
      <c r="S713" s="114"/>
      <c r="T713" s="114"/>
      <c r="U713" s="114"/>
      <c r="V713" s="114"/>
      <c r="W713" s="114"/>
      <c r="X713" s="114"/>
    </row>
    <row r="714" spans="1:24" ht="15.75" customHeight="1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43"/>
      <c r="M714" s="143"/>
      <c r="N714" s="143"/>
      <c r="O714" s="143"/>
      <c r="P714" s="114"/>
      <c r="Q714" s="114"/>
      <c r="R714" s="114"/>
      <c r="S714" s="114"/>
      <c r="T714" s="114"/>
      <c r="U714" s="114"/>
      <c r="V714" s="114"/>
      <c r="W714" s="114"/>
      <c r="X714" s="114"/>
    </row>
    <row r="715" spans="1:24" ht="15.75" customHeight="1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43"/>
      <c r="M715" s="143"/>
      <c r="N715" s="143"/>
      <c r="O715" s="143"/>
      <c r="P715" s="114"/>
      <c r="Q715" s="114"/>
      <c r="R715" s="114"/>
      <c r="S715" s="114"/>
      <c r="T715" s="114"/>
      <c r="U715" s="114"/>
      <c r="V715" s="114"/>
      <c r="W715" s="114"/>
      <c r="X715" s="114"/>
    </row>
    <row r="716" spans="1:24" ht="15.75" customHeight="1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43"/>
      <c r="M716" s="143"/>
      <c r="N716" s="143"/>
      <c r="O716" s="143"/>
      <c r="P716" s="114"/>
      <c r="Q716" s="114"/>
      <c r="R716" s="114"/>
      <c r="S716" s="114"/>
      <c r="T716" s="114"/>
      <c r="U716" s="114"/>
      <c r="V716" s="114"/>
      <c r="W716" s="114"/>
      <c r="X716" s="114"/>
    </row>
    <row r="717" spans="1:24" ht="15.75" customHeight="1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43"/>
      <c r="M717" s="143"/>
      <c r="N717" s="143"/>
      <c r="O717" s="143"/>
      <c r="P717" s="114"/>
      <c r="Q717" s="114"/>
      <c r="R717" s="114"/>
      <c r="S717" s="114"/>
      <c r="T717" s="114"/>
      <c r="U717" s="114"/>
      <c r="V717" s="114"/>
      <c r="W717" s="114"/>
      <c r="X717" s="114"/>
    </row>
    <row r="718" spans="1:24" ht="15.75" customHeight="1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43"/>
      <c r="M718" s="143"/>
      <c r="N718" s="143"/>
      <c r="O718" s="143"/>
      <c r="P718" s="114"/>
      <c r="Q718" s="114"/>
      <c r="R718" s="114"/>
      <c r="S718" s="114"/>
      <c r="T718" s="114"/>
      <c r="U718" s="114"/>
      <c r="V718" s="114"/>
      <c r="W718" s="114"/>
      <c r="X718" s="114"/>
    </row>
    <row r="719" spans="1:24" ht="15.75" customHeight="1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43"/>
      <c r="M719" s="143"/>
      <c r="N719" s="143"/>
      <c r="O719" s="143"/>
      <c r="P719" s="114"/>
      <c r="Q719" s="114"/>
      <c r="R719" s="114"/>
      <c r="S719" s="114"/>
      <c r="T719" s="114"/>
      <c r="U719" s="114"/>
      <c r="V719" s="114"/>
      <c r="W719" s="114"/>
      <c r="X719" s="114"/>
    </row>
    <row r="720" spans="1:24" ht="15.75" customHeight="1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43"/>
      <c r="M720" s="143"/>
      <c r="N720" s="143"/>
      <c r="O720" s="143"/>
      <c r="P720" s="114"/>
      <c r="Q720" s="114"/>
      <c r="R720" s="114"/>
      <c r="S720" s="114"/>
      <c r="T720" s="114"/>
      <c r="U720" s="114"/>
      <c r="V720" s="114"/>
      <c r="W720" s="114"/>
      <c r="X720" s="114"/>
    </row>
    <row r="721" spans="1:24" ht="15.75" customHeight="1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43"/>
      <c r="M721" s="143"/>
      <c r="N721" s="143"/>
      <c r="O721" s="143"/>
      <c r="P721" s="114"/>
      <c r="Q721" s="114"/>
      <c r="R721" s="114"/>
      <c r="S721" s="114"/>
      <c r="T721" s="114"/>
      <c r="U721" s="114"/>
      <c r="V721" s="114"/>
      <c r="W721" s="114"/>
      <c r="X721" s="114"/>
    </row>
    <row r="722" spans="1:24" ht="15.75" customHeight="1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43"/>
      <c r="M722" s="143"/>
      <c r="N722" s="143"/>
      <c r="O722" s="143"/>
      <c r="P722" s="114"/>
      <c r="Q722" s="114"/>
      <c r="R722" s="114"/>
      <c r="S722" s="114"/>
      <c r="T722" s="114"/>
      <c r="U722" s="114"/>
      <c r="V722" s="114"/>
      <c r="W722" s="114"/>
      <c r="X722" s="114"/>
    </row>
    <row r="723" spans="1:24" ht="15.75" customHeight="1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43"/>
      <c r="M723" s="143"/>
      <c r="N723" s="143"/>
      <c r="O723" s="143"/>
      <c r="P723" s="114"/>
      <c r="Q723" s="114"/>
      <c r="R723" s="114"/>
      <c r="S723" s="114"/>
      <c r="T723" s="114"/>
      <c r="U723" s="114"/>
      <c r="V723" s="114"/>
      <c r="W723" s="114"/>
      <c r="X723" s="114"/>
    </row>
    <row r="724" spans="1:24" ht="15.75" customHeight="1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43"/>
      <c r="M724" s="143"/>
      <c r="N724" s="143"/>
      <c r="O724" s="143"/>
      <c r="P724" s="114"/>
      <c r="Q724" s="114"/>
      <c r="R724" s="114"/>
      <c r="S724" s="114"/>
      <c r="T724" s="114"/>
      <c r="U724" s="114"/>
      <c r="V724" s="114"/>
      <c r="W724" s="114"/>
      <c r="X724" s="114"/>
    </row>
    <row r="725" spans="1:24" ht="15.75" customHeight="1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43"/>
      <c r="M725" s="143"/>
      <c r="N725" s="143"/>
      <c r="O725" s="143"/>
      <c r="P725" s="114"/>
      <c r="Q725" s="114"/>
      <c r="R725" s="114"/>
      <c r="S725" s="114"/>
      <c r="T725" s="114"/>
      <c r="U725" s="114"/>
      <c r="V725" s="114"/>
      <c r="W725" s="114"/>
      <c r="X725" s="114"/>
    </row>
    <row r="726" spans="1:24" ht="15.75" customHeight="1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43"/>
      <c r="M726" s="143"/>
      <c r="N726" s="143"/>
      <c r="O726" s="143"/>
      <c r="P726" s="114"/>
      <c r="Q726" s="114"/>
      <c r="R726" s="114"/>
      <c r="S726" s="114"/>
      <c r="T726" s="114"/>
      <c r="U726" s="114"/>
      <c r="V726" s="114"/>
      <c r="W726" s="114"/>
      <c r="X726" s="114"/>
    </row>
    <row r="727" spans="1:24" ht="15.75" customHeight="1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43"/>
      <c r="M727" s="143"/>
      <c r="N727" s="143"/>
      <c r="O727" s="143"/>
      <c r="P727" s="114"/>
      <c r="Q727" s="114"/>
      <c r="R727" s="114"/>
      <c r="S727" s="114"/>
      <c r="T727" s="114"/>
      <c r="U727" s="114"/>
      <c r="V727" s="114"/>
      <c r="W727" s="114"/>
      <c r="X727" s="114"/>
    </row>
    <row r="728" spans="1:24" ht="15.75" customHeight="1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43"/>
      <c r="M728" s="143"/>
      <c r="N728" s="143"/>
      <c r="O728" s="143"/>
      <c r="P728" s="114"/>
      <c r="Q728" s="114"/>
      <c r="R728" s="114"/>
      <c r="S728" s="114"/>
      <c r="T728" s="114"/>
      <c r="U728" s="114"/>
      <c r="V728" s="114"/>
      <c r="W728" s="114"/>
      <c r="X728" s="114"/>
    </row>
    <row r="729" spans="1:24" ht="15.75" customHeight="1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43"/>
      <c r="M729" s="143"/>
      <c r="N729" s="143"/>
      <c r="O729" s="143"/>
      <c r="P729" s="114"/>
      <c r="Q729" s="114"/>
      <c r="R729" s="114"/>
      <c r="S729" s="114"/>
      <c r="T729" s="114"/>
      <c r="U729" s="114"/>
      <c r="V729" s="114"/>
      <c r="W729" s="114"/>
      <c r="X729" s="114"/>
    </row>
    <row r="730" spans="1:24" ht="15.75" customHeight="1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43"/>
      <c r="M730" s="143"/>
      <c r="N730" s="143"/>
      <c r="O730" s="143"/>
      <c r="P730" s="114"/>
      <c r="Q730" s="114"/>
      <c r="R730" s="114"/>
      <c r="S730" s="114"/>
      <c r="T730" s="114"/>
      <c r="U730" s="114"/>
      <c r="V730" s="114"/>
      <c r="W730" s="114"/>
      <c r="X730" s="114"/>
    </row>
    <row r="731" spans="1:24" ht="15.75" customHeight="1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43"/>
      <c r="M731" s="143"/>
      <c r="N731" s="143"/>
      <c r="O731" s="143"/>
      <c r="P731" s="114"/>
      <c r="Q731" s="114"/>
      <c r="R731" s="114"/>
      <c r="S731" s="114"/>
      <c r="T731" s="114"/>
      <c r="U731" s="114"/>
      <c r="V731" s="114"/>
      <c r="W731" s="114"/>
      <c r="X731" s="114"/>
    </row>
    <row r="732" spans="1:24" ht="15.75" customHeight="1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43"/>
      <c r="M732" s="143"/>
      <c r="N732" s="143"/>
      <c r="O732" s="143"/>
      <c r="P732" s="114"/>
      <c r="Q732" s="114"/>
      <c r="R732" s="114"/>
      <c r="S732" s="114"/>
      <c r="T732" s="114"/>
      <c r="U732" s="114"/>
      <c r="V732" s="114"/>
      <c r="W732" s="114"/>
      <c r="X732" s="114"/>
    </row>
    <row r="733" spans="1:24" ht="15.75" customHeight="1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43"/>
      <c r="M733" s="143"/>
      <c r="N733" s="143"/>
      <c r="O733" s="143"/>
      <c r="P733" s="114"/>
      <c r="Q733" s="114"/>
      <c r="R733" s="114"/>
      <c r="S733" s="114"/>
      <c r="T733" s="114"/>
      <c r="U733" s="114"/>
      <c r="V733" s="114"/>
      <c r="W733" s="114"/>
      <c r="X733" s="114"/>
    </row>
    <row r="734" spans="1:24" ht="15.75" customHeight="1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43"/>
      <c r="M734" s="143"/>
      <c r="N734" s="143"/>
      <c r="O734" s="143"/>
      <c r="P734" s="114"/>
      <c r="Q734" s="114"/>
      <c r="R734" s="114"/>
      <c r="S734" s="114"/>
      <c r="T734" s="114"/>
      <c r="U734" s="114"/>
      <c r="V734" s="114"/>
      <c r="W734" s="114"/>
      <c r="X734" s="114"/>
    </row>
    <row r="735" spans="1:24" ht="15.75" customHeight="1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43"/>
      <c r="M735" s="143"/>
      <c r="N735" s="143"/>
      <c r="O735" s="143"/>
      <c r="P735" s="114"/>
      <c r="Q735" s="114"/>
      <c r="R735" s="114"/>
      <c r="S735" s="114"/>
      <c r="T735" s="114"/>
      <c r="U735" s="114"/>
      <c r="V735" s="114"/>
      <c r="W735" s="114"/>
      <c r="X735" s="114"/>
    </row>
    <row r="736" spans="1:24" ht="15.75" customHeight="1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43"/>
      <c r="M736" s="143"/>
      <c r="N736" s="143"/>
      <c r="O736" s="143"/>
      <c r="P736" s="114"/>
      <c r="Q736" s="114"/>
      <c r="R736" s="114"/>
      <c r="S736" s="114"/>
      <c r="T736" s="114"/>
      <c r="U736" s="114"/>
      <c r="V736" s="114"/>
      <c r="W736" s="114"/>
      <c r="X736" s="114"/>
    </row>
    <row r="737" spans="1:24" ht="15.75" customHeight="1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43"/>
      <c r="M737" s="143"/>
      <c r="N737" s="143"/>
      <c r="O737" s="143"/>
      <c r="P737" s="114"/>
      <c r="Q737" s="114"/>
      <c r="R737" s="114"/>
      <c r="S737" s="114"/>
      <c r="T737" s="114"/>
      <c r="U737" s="114"/>
      <c r="V737" s="114"/>
      <c r="W737" s="114"/>
      <c r="X737" s="114"/>
    </row>
    <row r="738" spans="1:24" ht="15.75" customHeight="1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43"/>
      <c r="M738" s="143"/>
      <c r="N738" s="143"/>
      <c r="O738" s="143"/>
      <c r="P738" s="114"/>
      <c r="Q738" s="114"/>
      <c r="R738" s="114"/>
      <c r="S738" s="114"/>
      <c r="T738" s="114"/>
      <c r="U738" s="114"/>
      <c r="V738" s="114"/>
      <c r="W738" s="114"/>
      <c r="X738" s="114"/>
    </row>
    <row r="739" spans="1:24" ht="15.75" customHeight="1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43"/>
      <c r="M739" s="143"/>
      <c r="N739" s="143"/>
      <c r="O739" s="143"/>
      <c r="P739" s="114"/>
      <c r="Q739" s="114"/>
      <c r="R739" s="114"/>
      <c r="S739" s="114"/>
      <c r="T739" s="114"/>
      <c r="U739" s="114"/>
      <c r="V739" s="114"/>
      <c r="W739" s="114"/>
      <c r="X739" s="114"/>
    </row>
    <row r="740" spans="1:24" ht="15.75" customHeight="1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43"/>
      <c r="M740" s="143"/>
      <c r="N740" s="143"/>
      <c r="O740" s="143"/>
      <c r="P740" s="114"/>
      <c r="Q740" s="114"/>
      <c r="R740" s="114"/>
      <c r="S740" s="114"/>
      <c r="T740" s="114"/>
      <c r="U740" s="114"/>
      <c r="V740" s="114"/>
      <c r="W740" s="114"/>
      <c r="X740" s="114"/>
    </row>
    <row r="741" spans="1:24" ht="15.75" customHeight="1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43"/>
      <c r="M741" s="143"/>
      <c r="N741" s="143"/>
      <c r="O741" s="143"/>
      <c r="P741" s="114"/>
      <c r="Q741" s="114"/>
      <c r="R741" s="114"/>
      <c r="S741" s="114"/>
      <c r="T741" s="114"/>
      <c r="U741" s="114"/>
      <c r="V741" s="114"/>
      <c r="W741" s="114"/>
      <c r="X741" s="114"/>
    </row>
    <row r="742" spans="1:24" ht="15.75" customHeight="1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43"/>
      <c r="M742" s="143"/>
      <c r="N742" s="143"/>
      <c r="O742" s="143"/>
      <c r="P742" s="114"/>
      <c r="Q742" s="114"/>
      <c r="R742" s="114"/>
      <c r="S742" s="114"/>
      <c r="T742" s="114"/>
      <c r="U742" s="114"/>
      <c r="V742" s="114"/>
      <c r="W742" s="114"/>
      <c r="X742" s="114"/>
    </row>
    <row r="743" spans="1:24" ht="15.75" customHeight="1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43"/>
      <c r="M743" s="143"/>
      <c r="N743" s="143"/>
      <c r="O743" s="143"/>
      <c r="P743" s="114"/>
      <c r="Q743" s="114"/>
      <c r="R743" s="114"/>
      <c r="S743" s="114"/>
      <c r="T743" s="114"/>
      <c r="U743" s="114"/>
      <c r="V743" s="114"/>
      <c r="W743" s="114"/>
      <c r="X743" s="114"/>
    </row>
    <row r="744" spans="1:24" ht="15.75" customHeight="1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43"/>
      <c r="M744" s="143"/>
      <c r="N744" s="143"/>
      <c r="O744" s="143"/>
      <c r="P744" s="114"/>
      <c r="Q744" s="114"/>
      <c r="R744" s="114"/>
      <c r="S744" s="114"/>
      <c r="T744" s="114"/>
      <c r="U744" s="114"/>
      <c r="V744" s="114"/>
      <c r="W744" s="114"/>
      <c r="X744" s="114"/>
    </row>
    <row r="745" spans="1:24" ht="15.75" customHeight="1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43"/>
      <c r="M745" s="143"/>
      <c r="N745" s="143"/>
      <c r="O745" s="143"/>
      <c r="P745" s="114"/>
      <c r="Q745" s="114"/>
      <c r="R745" s="114"/>
      <c r="S745" s="114"/>
      <c r="T745" s="114"/>
      <c r="U745" s="114"/>
      <c r="V745" s="114"/>
      <c r="W745" s="114"/>
      <c r="X745" s="114"/>
    </row>
    <row r="746" spans="1:24" ht="15.75" customHeight="1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43"/>
      <c r="M746" s="143"/>
      <c r="N746" s="143"/>
      <c r="O746" s="143"/>
      <c r="P746" s="114"/>
      <c r="Q746" s="114"/>
      <c r="R746" s="114"/>
      <c r="S746" s="114"/>
      <c r="T746" s="114"/>
      <c r="U746" s="114"/>
      <c r="V746" s="114"/>
      <c r="W746" s="114"/>
      <c r="X746" s="114"/>
    </row>
    <row r="747" spans="1:24" ht="15.75" customHeight="1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43"/>
      <c r="M747" s="143"/>
      <c r="N747" s="143"/>
      <c r="O747" s="143"/>
      <c r="P747" s="114"/>
      <c r="Q747" s="114"/>
      <c r="R747" s="114"/>
      <c r="S747" s="114"/>
      <c r="T747" s="114"/>
      <c r="U747" s="114"/>
      <c r="V747" s="114"/>
      <c r="W747" s="114"/>
      <c r="X747" s="114"/>
    </row>
    <row r="748" spans="1:24" ht="15.75" customHeight="1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43"/>
      <c r="M748" s="143"/>
      <c r="N748" s="143"/>
      <c r="O748" s="143"/>
      <c r="P748" s="114"/>
      <c r="Q748" s="114"/>
      <c r="R748" s="114"/>
      <c r="S748" s="114"/>
      <c r="T748" s="114"/>
      <c r="U748" s="114"/>
      <c r="V748" s="114"/>
      <c r="W748" s="114"/>
      <c r="X748" s="114"/>
    </row>
    <row r="749" spans="1:24" ht="15.75" customHeight="1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43"/>
      <c r="M749" s="143"/>
      <c r="N749" s="143"/>
      <c r="O749" s="143"/>
      <c r="P749" s="114"/>
      <c r="Q749" s="114"/>
      <c r="R749" s="114"/>
      <c r="S749" s="114"/>
      <c r="T749" s="114"/>
      <c r="U749" s="114"/>
      <c r="V749" s="114"/>
      <c r="W749" s="114"/>
      <c r="X749" s="114"/>
    </row>
    <row r="750" spans="1:24" ht="15.75" customHeight="1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43"/>
      <c r="M750" s="143"/>
      <c r="N750" s="143"/>
      <c r="O750" s="143"/>
      <c r="P750" s="114"/>
      <c r="Q750" s="114"/>
      <c r="R750" s="114"/>
      <c r="S750" s="114"/>
      <c r="T750" s="114"/>
      <c r="U750" s="114"/>
      <c r="V750" s="114"/>
      <c r="W750" s="114"/>
      <c r="X750" s="114"/>
    </row>
    <row r="751" spans="1:24" ht="15.75" customHeight="1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43"/>
      <c r="M751" s="143"/>
      <c r="N751" s="143"/>
      <c r="O751" s="143"/>
      <c r="P751" s="114"/>
      <c r="Q751" s="114"/>
      <c r="R751" s="114"/>
      <c r="S751" s="114"/>
      <c r="T751" s="114"/>
      <c r="U751" s="114"/>
      <c r="V751" s="114"/>
      <c r="W751" s="114"/>
      <c r="X751" s="114"/>
    </row>
    <row r="752" spans="1:24" ht="15.75" customHeight="1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43"/>
      <c r="M752" s="143"/>
      <c r="N752" s="143"/>
      <c r="O752" s="143"/>
      <c r="P752" s="114"/>
      <c r="Q752" s="114"/>
      <c r="R752" s="114"/>
      <c r="S752" s="114"/>
      <c r="T752" s="114"/>
      <c r="U752" s="114"/>
      <c r="V752" s="114"/>
      <c r="W752" s="114"/>
      <c r="X752" s="114"/>
    </row>
    <row r="753" spans="1:24" ht="15.75" customHeight="1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43"/>
      <c r="M753" s="143"/>
      <c r="N753" s="143"/>
      <c r="O753" s="143"/>
      <c r="P753" s="114"/>
      <c r="Q753" s="114"/>
      <c r="R753" s="114"/>
      <c r="S753" s="114"/>
      <c r="T753" s="114"/>
      <c r="U753" s="114"/>
      <c r="V753" s="114"/>
      <c r="W753" s="114"/>
      <c r="X753" s="114"/>
    </row>
    <row r="754" spans="1:24" ht="15.75" customHeight="1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43"/>
      <c r="M754" s="143"/>
      <c r="N754" s="143"/>
      <c r="O754" s="143"/>
      <c r="P754" s="114"/>
      <c r="Q754" s="114"/>
      <c r="R754" s="114"/>
      <c r="S754" s="114"/>
      <c r="T754" s="114"/>
      <c r="U754" s="114"/>
      <c r="V754" s="114"/>
      <c r="W754" s="114"/>
      <c r="X754" s="114"/>
    </row>
    <row r="755" spans="1:24" ht="15.75" customHeight="1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43"/>
      <c r="M755" s="143"/>
      <c r="N755" s="143"/>
      <c r="O755" s="143"/>
      <c r="P755" s="114"/>
      <c r="Q755" s="114"/>
      <c r="R755" s="114"/>
      <c r="S755" s="114"/>
      <c r="T755" s="114"/>
      <c r="U755" s="114"/>
      <c r="V755" s="114"/>
      <c r="W755" s="114"/>
      <c r="X755" s="114"/>
    </row>
    <row r="756" spans="1:24" ht="15.75" customHeight="1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43"/>
      <c r="M756" s="143"/>
      <c r="N756" s="143"/>
      <c r="O756" s="143"/>
      <c r="P756" s="114"/>
      <c r="Q756" s="114"/>
      <c r="R756" s="114"/>
      <c r="S756" s="114"/>
      <c r="T756" s="114"/>
      <c r="U756" s="114"/>
      <c r="V756" s="114"/>
      <c r="W756" s="114"/>
      <c r="X756" s="114"/>
    </row>
    <row r="757" spans="1:24" ht="15.75" customHeight="1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43"/>
      <c r="M757" s="143"/>
      <c r="N757" s="143"/>
      <c r="O757" s="143"/>
      <c r="P757" s="114"/>
      <c r="Q757" s="114"/>
      <c r="R757" s="114"/>
      <c r="S757" s="114"/>
      <c r="T757" s="114"/>
      <c r="U757" s="114"/>
      <c r="V757" s="114"/>
      <c r="W757" s="114"/>
      <c r="X757" s="114"/>
    </row>
    <row r="758" spans="1:24" ht="15.75" customHeight="1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43"/>
      <c r="M758" s="143"/>
      <c r="N758" s="143"/>
      <c r="O758" s="143"/>
      <c r="P758" s="114"/>
      <c r="Q758" s="114"/>
      <c r="R758" s="114"/>
      <c r="S758" s="114"/>
      <c r="T758" s="114"/>
      <c r="U758" s="114"/>
      <c r="V758" s="114"/>
      <c r="W758" s="114"/>
      <c r="X758" s="114"/>
    </row>
    <row r="759" spans="1:24" ht="15.75" customHeight="1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43"/>
      <c r="M759" s="143"/>
      <c r="N759" s="143"/>
      <c r="O759" s="143"/>
      <c r="P759" s="114"/>
      <c r="Q759" s="114"/>
      <c r="R759" s="114"/>
      <c r="S759" s="114"/>
      <c r="T759" s="114"/>
      <c r="U759" s="114"/>
      <c r="V759" s="114"/>
      <c r="W759" s="114"/>
      <c r="X759" s="114"/>
    </row>
    <row r="760" spans="1:24" ht="15.75" customHeight="1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43"/>
      <c r="M760" s="143"/>
      <c r="N760" s="143"/>
      <c r="O760" s="143"/>
      <c r="P760" s="114"/>
      <c r="Q760" s="114"/>
      <c r="R760" s="114"/>
      <c r="S760" s="114"/>
      <c r="T760" s="114"/>
      <c r="U760" s="114"/>
      <c r="V760" s="114"/>
      <c r="W760" s="114"/>
      <c r="X760" s="114"/>
    </row>
    <row r="761" spans="1:24" ht="15.75" customHeight="1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43"/>
      <c r="M761" s="143"/>
      <c r="N761" s="143"/>
      <c r="O761" s="143"/>
      <c r="P761" s="114"/>
      <c r="Q761" s="114"/>
      <c r="R761" s="114"/>
      <c r="S761" s="114"/>
      <c r="T761" s="114"/>
      <c r="U761" s="114"/>
      <c r="V761" s="114"/>
      <c r="W761" s="114"/>
      <c r="X761" s="114"/>
    </row>
    <row r="762" spans="1:24" ht="15.75" customHeight="1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43"/>
      <c r="M762" s="143"/>
      <c r="N762" s="143"/>
      <c r="O762" s="143"/>
      <c r="P762" s="114"/>
      <c r="Q762" s="114"/>
      <c r="R762" s="114"/>
      <c r="S762" s="114"/>
      <c r="T762" s="114"/>
      <c r="U762" s="114"/>
      <c r="V762" s="114"/>
      <c r="W762" s="114"/>
      <c r="X762" s="114"/>
    </row>
    <row r="763" spans="1:24" ht="15.75" customHeight="1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43"/>
      <c r="M763" s="143"/>
      <c r="N763" s="143"/>
      <c r="O763" s="143"/>
      <c r="P763" s="114"/>
      <c r="Q763" s="114"/>
      <c r="R763" s="114"/>
      <c r="S763" s="114"/>
      <c r="T763" s="114"/>
      <c r="U763" s="114"/>
      <c r="V763" s="114"/>
      <c r="W763" s="114"/>
      <c r="X763" s="114"/>
    </row>
    <row r="764" spans="1:24" ht="15.75" customHeight="1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43"/>
      <c r="M764" s="143"/>
      <c r="N764" s="143"/>
      <c r="O764" s="143"/>
      <c r="P764" s="114"/>
      <c r="Q764" s="114"/>
      <c r="R764" s="114"/>
      <c r="S764" s="114"/>
      <c r="T764" s="114"/>
      <c r="U764" s="114"/>
      <c r="V764" s="114"/>
      <c r="W764" s="114"/>
      <c r="X764" s="114"/>
    </row>
    <row r="765" spans="1:24" ht="15.75" customHeight="1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43"/>
      <c r="M765" s="143"/>
      <c r="N765" s="143"/>
      <c r="O765" s="143"/>
      <c r="P765" s="114"/>
      <c r="Q765" s="114"/>
      <c r="R765" s="114"/>
      <c r="S765" s="114"/>
      <c r="T765" s="114"/>
      <c r="U765" s="114"/>
      <c r="V765" s="114"/>
      <c r="W765" s="114"/>
      <c r="X765" s="114"/>
    </row>
    <row r="766" spans="1:24" ht="15.75" customHeight="1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43"/>
      <c r="M766" s="143"/>
      <c r="N766" s="143"/>
      <c r="O766" s="143"/>
      <c r="P766" s="114"/>
      <c r="Q766" s="114"/>
      <c r="R766" s="114"/>
      <c r="S766" s="114"/>
      <c r="T766" s="114"/>
      <c r="U766" s="114"/>
      <c r="V766" s="114"/>
      <c r="W766" s="114"/>
      <c r="X766" s="114"/>
    </row>
    <row r="767" spans="1:24" ht="15.75" customHeight="1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43"/>
      <c r="M767" s="143"/>
      <c r="N767" s="143"/>
      <c r="O767" s="143"/>
      <c r="P767" s="114"/>
      <c r="Q767" s="114"/>
      <c r="R767" s="114"/>
      <c r="S767" s="114"/>
      <c r="T767" s="114"/>
      <c r="U767" s="114"/>
      <c r="V767" s="114"/>
      <c r="W767" s="114"/>
      <c r="X767" s="114"/>
    </row>
    <row r="768" spans="1:24" ht="15.75" customHeight="1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43"/>
      <c r="M768" s="143"/>
      <c r="N768" s="143"/>
      <c r="O768" s="143"/>
      <c r="P768" s="114"/>
      <c r="Q768" s="114"/>
      <c r="R768" s="114"/>
      <c r="S768" s="114"/>
      <c r="T768" s="114"/>
      <c r="U768" s="114"/>
      <c r="V768" s="114"/>
      <c r="W768" s="114"/>
      <c r="X768" s="114"/>
    </row>
    <row r="769" spans="1:24" ht="15.75" customHeight="1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43"/>
      <c r="M769" s="143"/>
      <c r="N769" s="143"/>
      <c r="O769" s="143"/>
      <c r="P769" s="114"/>
      <c r="Q769" s="114"/>
      <c r="R769" s="114"/>
      <c r="S769" s="114"/>
      <c r="T769" s="114"/>
      <c r="U769" s="114"/>
      <c r="V769" s="114"/>
      <c r="W769" s="114"/>
      <c r="X769" s="114"/>
    </row>
    <row r="770" spans="1:24" ht="15.75" customHeight="1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43"/>
      <c r="M770" s="143"/>
      <c r="N770" s="143"/>
      <c r="O770" s="143"/>
      <c r="P770" s="114"/>
      <c r="Q770" s="114"/>
      <c r="R770" s="114"/>
      <c r="S770" s="114"/>
      <c r="T770" s="114"/>
      <c r="U770" s="114"/>
      <c r="V770" s="114"/>
      <c r="W770" s="114"/>
      <c r="X770" s="114"/>
    </row>
    <row r="771" spans="1:24" ht="15.75" customHeight="1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43"/>
      <c r="M771" s="143"/>
      <c r="N771" s="143"/>
      <c r="O771" s="143"/>
      <c r="P771" s="114"/>
      <c r="Q771" s="114"/>
      <c r="R771" s="114"/>
      <c r="S771" s="114"/>
      <c r="T771" s="114"/>
      <c r="U771" s="114"/>
      <c r="V771" s="114"/>
      <c r="W771" s="114"/>
      <c r="X771" s="114"/>
    </row>
    <row r="772" spans="1:24" ht="15.75" customHeight="1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43"/>
      <c r="M772" s="143"/>
      <c r="N772" s="143"/>
      <c r="O772" s="143"/>
      <c r="P772" s="114"/>
      <c r="Q772" s="114"/>
      <c r="R772" s="114"/>
      <c r="S772" s="114"/>
      <c r="T772" s="114"/>
      <c r="U772" s="114"/>
      <c r="V772" s="114"/>
      <c r="W772" s="114"/>
      <c r="X772" s="114"/>
    </row>
    <row r="773" spans="1:24" ht="15.75" customHeight="1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43"/>
      <c r="M773" s="143"/>
      <c r="N773" s="143"/>
      <c r="O773" s="143"/>
      <c r="P773" s="114"/>
      <c r="Q773" s="114"/>
      <c r="R773" s="114"/>
      <c r="S773" s="114"/>
      <c r="T773" s="114"/>
      <c r="U773" s="114"/>
      <c r="V773" s="114"/>
      <c r="W773" s="114"/>
      <c r="X773" s="114"/>
    </row>
    <row r="774" spans="1:24" ht="15.75" customHeight="1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43"/>
      <c r="M774" s="143"/>
      <c r="N774" s="143"/>
      <c r="O774" s="143"/>
      <c r="P774" s="114"/>
      <c r="Q774" s="114"/>
      <c r="R774" s="114"/>
      <c r="S774" s="114"/>
      <c r="T774" s="114"/>
      <c r="U774" s="114"/>
      <c r="V774" s="114"/>
      <c r="W774" s="114"/>
      <c r="X774" s="114"/>
    </row>
    <row r="775" spans="1:24" ht="15.75" customHeight="1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43"/>
      <c r="M775" s="143"/>
      <c r="N775" s="143"/>
      <c r="O775" s="143"/>
      <c r="P775" s="114"/>
      <c r="Q775" s="114"/>
      <c r="R775" s="114"/>
      <c r="S775" s="114"/>
      <c r="T775" s="114"/>
      <c r="U775" s="114"/>
      <c r="V775" s="114"/>
      <c r="W775" s="114"/>
      <c r="X775" s="114"/>
    </row>
    <row r="776" spans="1:24" ht="15.75" customHeight="1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43"/>
      <c r="M776" s="143"/>
      <c r="N776" s="143"/>
      <c r="O776" s="143"/>
      <c r="P776" s="114"/>
      <c r="Q776" s="114"/>
      <c r="R776" s="114"/>
      <c r="S776" s="114"/>
      <c r="T776" s="114"/>
      <c r="U776" s="114"/>
      <c r="V776" s="114"/>
      <c r="W776" s="114"/>
      <c r="X776" s="114"/>
    </row>
    <row r="777" spans="1:24" ht="15.75" customHeight="1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43"/>
      <c r="M777" s="143"/>
      <c r="N777" s="143"/>
      <c r="O777" s="143"/>
      <c r="P777" s="114"/>
      <c r="Q777" s="114"/>
      <c r="R777" s="114"/>
      <c r="S777" s="114"/>
      <c r="T777" s="114"/>
      <c r="U777" s="114"/>
      <c r="V777" s="114"/>
      <c r="W777" s="114"/>
      <c r="X777" s="114"/>
    </row>
    <row r="778" spans="1:24" ht="15.75" customHeight="1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43"/>
      <c r="M778" s="143"/>
      <c r="N778" s="143"/>
      <c r="O778" s="143"/>
      <c r="P778" s="114"/>
      <c r="Q778" s="114"/>
      <c r="R778" s="114"/>
      <c r="S778" s="114"/>
      <c r="T778" s="114"/>
      <c r="U778" s="114"/>
      <c r="V778" s="114"/>
      <c r="W778" s="114"/>
      <c r="X778" s="114"/>
    </row>
    <row r="779" spans="1:24" ht="15.75" customHeight="1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43"/>
      <c r="M779" s="143"/>
      <c r="N779" s="143"/>
      <c r="O779" s="143"/>
      <c r="P779" s="114"/>
      <c r="Q779" s="114"/>
      <c r="R779" s="114"/>
      <c r="S779" s="114"/>
      <c r="T779" s="114"/>
      <c r="U779" s="114"/>
      <c r="V779" s="114"/>
      <c r="W779" s="114"/>
      <c r="X779" s="114"/>
    </row>
    <row r="780" spans="1:24" ht="15.75" customHeight="1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43"/>
      <c r="M780" s="143"/>
      <c r="N780" s="143"/>
      <c r="O780" s="143"/>
      <c r="P780" s="114"/>
      <c r="Q780" s="114"/>
      <c r="R780" s="114"/>
      <c r="S780" s="114"/>
      <c r="T780" s="114"/>
      <c r="U780" s="114"/>
      <c r="V780" s="114"/>
      <c r="W780" s="114"/>
      <c r="X780" s="114"/>
    </row>
    <row r="781" spans="1:24" ht="15.75" customHeight="1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43"/>
      <c r="M781" s="143"/>
      <c r="N781" s="143"/>
      <c r="O781" s="143"/>
      <c r="P781" s="114"/>
      <c r="Q781" s="114"/>
      <c r="R781" s="114"/>
      <c r="S781" s="114"/>
      <c r="T781" s="114"/>
      <c r="U781" s="114"/>
      <c r="V781" s="114"/>
      <c r="W781" s="114"/>
      <c r="X781" s="114"/>
    </row>
    <row r="782" spans="1:24" ht="15.75" customHeight="1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43"/>
      <c r="M782" s="143"/>
      <c r="N782" s="143"/>
      <c r="O782" s="143"/>
      <c r="P782" s="114"/>
      <c r="Q782" s="114"/>
      <c r="R782" s="114"/>
      <c r="S782" s="114"/>
      <c r="T782" s="114"/>
      <c r="U782" s="114"/>
      <c r="V782" s="114"/>
      <c r="W782" s="114"/>
      <c r="X782" s="114"/>
    </row>
    <row r="783" spans="1:24" ht="15.75" customHeight="1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43"/>
      <c r="M783" s="143"/>
      <c r="N783" s="143"/>
      <c r="O783" s="143"/>
      <c r="P783" s="114"/>
      <c r="Q783" s="114"/>
      <c r="R783" s="114"/>
      <c r="S783" s="114"/>
      <c r="T783" s="114"/>
      <c r="U783" s="114"/>
      <c r="V783" s="114"/>
      <c r="W783" s="114"/>
      <c r="X783" s="114"/>
    </row>
    <row r="784" spans="1:24" ht="15.75" customHeight="1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43"/>
      <c r="M784" s="143"/>
      <c r="N784" s="143"/>
      <c r="O784" s="143"/>
      <c r="P784" s="114"/>
      <c r="Q784" s="114"/>
      <c r="R784" s="114"/>
      <c r="S784" s="114"/>
      <c r="T784" s="114"/>
      <c r="U784" s="114"/>
      <c r="V784" s="114"/>
      <c r="W784" s="114"/>
      <c r="X784" s="114"/>
    </row>
    <row r="785" spans="1:24" ht="15.75" customHeight="1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43"/>
      <c r="M785" s="143"/>
      <c r="N785" s="143"/>
      <c r="O785" s="143"/>
      <c r="P785" s="114"/>
      <c r="Q785" s="114"/>
      <c r="R785" s="114"/>
      <c r="S785" s="114"/>
      <c r="T785" s="114"/>
      <c r="U785" s="114"/>
      <c r="V785" s="114"/>
      <c r="W785" s="114"/>
      <c r="X785" s="114"/>
    </row>
    <row r="786" spans="1:24" ht="15.75" customHeight="1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43"/>
      <c r="M786" s="143"/>
      <c r="N786" s="143"/>
      <c r="O786" s="143"/>
      <c r="P786" s="114"/>
      <c r="Q786" s="114"/>
      <c r="R786" s="114"/>
      <c r="S786" s="114"/>
      <c r="T786" s="114"/>
      <c r="U786" s="114"/>
      <c r="V786" s="114"/>
      <c r="W786" s="114"/>
      <c r="X786" s="114"/>
    </row>
    <row r="787" spans="1:24" ht="15.75" customHeight="1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43"/>
      <c r="M787" s="143"/>
      <c r="N787" s="143"/>
      <c r="O787" s="143"/>
      <c r="P787" s="114"/>
      <c r="Q787" s="114"/>
      <c r="R787" s="114"/>
      <c r="S787" s="114"/>
      <c r="T787" s="114"/>
      <c r="U787" s="114"/>
      <c r="V787" s="114"/>
      <c r="W787" s="114"/>
      <c r="X787" s="114"/>
    </row>
    <row r="788" spans="1:24" ht="15.75" customHeight="1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43"/>
      <c r="M788" s="143"/>
      <c r="N788" s="143"/>
      <c r="O788" s="143"/>
      <c r="P788" s="114"/>
      <c r="Q788" s="114"/>
      <c r="R788" s="114"/>
      <c r="S788" s="114"/>
      <c r="T788" s="114"/>
      <c r="U788" s="114"/>
      <c r="V788" s="114"/>
      <c r="W788" s="114"/>
      <c r="X788" s="114"/>
    </row>
    <row r="789" spans="1:24" ht="15.75" customHeight="1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43"/>
      <c r="M789" s="143"/>
      <c r="N789" s="143"/>
      <c r="O789" s="143"/>
      <c r="P789" s="114"/>
      <c r="Q789" s="114"/>
      <c r="R789" s="114"/>
      <c r="S789" s="114"/>
      <c r="T789" s="114"/>
      <c r="U789" s="114"/>
      <c r="V789" s="114"/>
      <c r="W789" s="114"/>
      <c r="X789" s="114"/>
    </row>
    <row r="790" spans="1:24" ht="15.75" customHeight="1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43"/>
      <c r="M790" s="143"/>
      <c r="N790" s="143"/>
      <c r="O790" s="143"/>
      <c r="P790" s="114"/>
      <c r="Q790" s="114"/>
      <c r="R790" s="114"/>
      <c r="S790" s="114"/>
      <c r="T790" s="114"/>
      <c r="U790" s="114"/>
      <c r="V790" s="114"/>
      <c r="W790" s="114"/>
      <c r="X790" s="114"/>
    </row>
    <row r="791" spans="1:24" ht="15.75" customHeight="1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43"/>
      <c r="M791" s="143"/>
      <c r="N791" s="143"/>
      <c r="O791" s="143"/>
      <c r="P791" s="114"/>
      <c r="Q791" s="114"/>
      <c r="R791" s="114"/>
      <c r="S791" s="114"/>
      <c r="T791" s="114"/>
      <c r="U791" s="114"/>
      <c r="V791" s="114"/>
      <c r="W791" s="114"/>
      <c r="X791" s="114"/>
    </row>
    <row r="792" spans="1:24" ht="15.75" customHeight="1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43"/>
      <c r="M792" s="143"/>
      <c r="N792" s="143"/>
      <c r="O792" s="143"/>
      <c r="P792" s="114"/>
      <c r="Q792" s="114"/>
      <c r="R792" s="114"/>
      <c r="S792" s="114"/>
      <c r="T792" s="114"/>
      <c r="U792" s="114"/>
      <c r="V792" s="114"/>
      <c r="W792" s="114"/>
      <c r="X792" s="114"/>
    </row>
    <row r="793" spans="1:24" ht="15.75" customHeight="1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43"/>
      <c r="M793" s="143"/>
      <c r="N793" s="143"/>
      <c r="O793" s="143"/>
      <c r="P793" s="114"/>
      <c r="Q793" s="114"/>
      <c r="R793" s="114"/>
      <c r="S793" s="114"/>
      <c r="T793" s="114"/>
      <c r="U793" s="114"/>
      <c r="V793" s="114"/>
      <c r="W793" s="114"/>
      <c r="X793" s="114"/>
    </row>
    <row r="794" spans="1:24" ht="15.75" customHeight="1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43"/>
      <c r="M794" s="143"/>
      <c r="N794" s="143"/>
      <c r="O794" s="143"/>
      <c r="P794" s="114"/>
      <c r="Q794" s="114"/>
      <c r="R794" s="114"/>
      <c r="S794" s="114"/>
      <c r="T794" s="114"/>
      <c r="U794" s="114"/>
      <c r="V794" s="114"/>
      <c r="W794" s="114"/>
      <c r="X794" s="114"/>
    </row>
    <row r="795" spans="1:24" ht="15.75" customHeight="1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43"/>
      <c r="M795" s="143"/>
      <c r="N795" s="143"/>
      <c r="O795" s="143"/>
      <c r="P795" s="114"/>
      <c r="Q795" s="114"/>
      <c r="R795" s="114"/>
      <c r="S795" s="114"/>
      <c r="T795" s="114"/>
      <c r="U795" s="114"/>
      <c r="V795" s="114"/>
      <c r="W795" s="114"/>
      <c r="X795" s="114"/>
    </row>
    <row r="796" spans="1:24" ht="15.75" customHeight="1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43"/>
      <c r="M796" s="143"/>
      <c r="N796" s="143"/>
      <c r="O796" s="143"/>
      <c r="P796" s="114"/>
      <c r="Q796" s="114"/>
      <c r="R796" s="114"/>
      <c r="S796" s="114"/>
      <c r="T796" s="114"/>
      <c r="U796" s="114"/>
      <c r="V796" s="114"/>
      <c r="W796" s="114"/>
      <c r="X796" s="114"/>
    </row>
    <row r="797" spans="1:24" ht="15.75" customHeight="1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43"/>
      <c r="M797" s="143"/>
      <c r="N797" s="143"/>
      <c r="O797" s="143"/>
      <c r="P797" s="114"/>
      <c r="Q797" s="114"/>
      <c r="R797" s="114"/>
      <c r="S797" s="114"/>
      <c r="T797" s="114"/>
      <c r="U797" s="114"/>
      <c r="V797" s="114"/>
      <c r="W797" s="114"/>
      <c r="X797" s="114"/>
    </row>
    <row r="798" spans="1:24" ht="15.75" customHeight="1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43"/>
      <c r="M798" s="143"/>
      <c r="N798" s="143"/>
      <c r="O798" s="143"/>
      <c r="P798" s="114"/>
      <c r="Q798" s="114"/>
      <c r="R798" s="114"/>
      <c r="S798" s="114"/>
      <c r="T798" s="114"/>
      <c r="U798" s="114"/>
      <c r="V798" s="114"/>
      <c r="W798" s="114"/>
      <c r="X798" s="114"/>
    </row>
    <row r="799" spans="1:24" ht="15.75" customHeight="1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43"/>
      <c r="M799" s="143"/>
      <c r="N799" s="143"/>
      <c r="O799" s="143"/>
      <c r="P799" s="114"/>
      <c r="Q799" s="114"/>
      <c r="R799" s="114"/>
      <c r="S799" s="114"/>
      <c r="T799" s="114"/>
      <c r="U799" s="114"/>
      <c r="V799" s="114"/>
      <c r="W799" s="114"/>
      <c r="X799" s="114"/>
    </row>
    <row r="800" spans="1:24" ht="15.75" customHeight="1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43"/>
      <c r="M800" s="143"/>
      <c r="N800" s="143"/>
      <c r="O800" s="143"/>
      <c r="P800" s="114"/>
      <c r="Q800" s="114"/>
      <c r="R800" s="114"/>
      <c r="S800" s="114"/>
      <c r="T800" s="114"/>
      <c r="U800" s="114"/>
      <c r="V800" s="114"/>
      <c r="W800" s="114"/>
      <c r="X800" s="114"/>
    </row>
    <row r="801" spans="1:24" ht="15.75" customHeight="1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43"/>
      <c r="M801" s="143"/>
      <c r="N801" s="143"/>
      <c r="O801" s="143"/>
      <c r="P801" s="114"/>
      <c r="Q801" s="114"/>
      <c r="R801" s="114"/>
      <c r="S801" s="114"/>
      <c r="T801" s="114"/>
      <c r="U801" s="114"/>
      <c r="V801" s="114"/>
      <c r="W801" s="114"/>
      <c r="X801" s="114"/>
    </row>
    <row r="802" spans="1:24" ht="15.75" customHeight="1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43"/>
      <c r="M802" s="143"/>
      <c r="N802" s="143"/>
      <c r="O802" s="143"/>
      <c r="P802" s="114"/>
      <c r="Q802" s="114"/>
      <c r="R802" s="114"/>
      <c r="S802" s="114"/>
      <c r="T802" s="114"/>
      <c r="U802" s="114"/>
      <c r="V802" s="114"/>
      <c r="W802" s="114"/>
      <c r="X802" s="114"/>
    </row>
    <row r="803" spans="1:24" ht="15.75" customHeight="1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43"/>
      <c r="M803" s="143"/>
      <c r="N803" s="143"/>
      <c r="O803" s="143"/>
      <c r="P803" s="114"/>
      <c r="Q803" s="114"/>
      <c r="R803" s="114"/>
      <c r="S803" s="114"/>
      <c r="T803" s="114"/>
      <c r="U803" s="114"/>
      <c r="V803" s="114"/>
      <c r="W803" s="114"/>
      <c r="X803" s="114"/>
    </row>
    <row r="804" spans="1:24" ht="15.75" customHeight="1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43"/>
      <c r="M804" s="143"/>
      <c r="N804" s="143"/>
      <c r="O804" s="143"/>
      <c r="P804" s="114"/>
      <c r="Q804" s="114"/>
      <c r="R804" s="114"/>
      <c r="S804" s="114"/>
      <c r="T804" s="114"/>
      <c r="U804" s="114"/>
      <c r="V804" s="114"/>
      <c r="W804" s="114"/>
      <c r="X804" s="114"/>
    </row>
    <row r="805" spans="1:24" ht="15.75" customHeight="1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43"/>
      <c r="M805" s="143"/>
      <c r="N805" s="143"/>
      <c r="O805" s="143"/>
      <c r="P805" s="114"/>
      <c r="Q805" s="114"/>
      <c r="R805" s="114"/>
      <c r="S805" s="114"/>
      <c r="T805" s="114"/>
      <c r="U805" s="114"/>
      <c r="V805" s="114"/>
      <c r="W805" s="114"/>
      <c r="X805" s="114"/>
    </row>
    <row r="806" spans="1:24" ht="15.75" customHeight="1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43"/>
      <c r="M806" s="143"/>
      <c r="N806" s="143"/>
      <c r="O806" s="143"/>
      <c r="P806" s="114"/>
      <c r="Q806" s="114"/>
      <c r="R806" s="114"/>
      <c r="S806" s="114"/>
      <c r="T806" s="114"/>
      <c r="U806" s="114"/>
      <c r="V806" s="114"/>
      <c r="W806" s="114"/>
      <c r="X806" s="114"/>
    </row>
    <row r="807" spans="1:24" ht="15.75" customHeight="1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43"/>
      <c r="M807" s="143"/>
      <c r="N807" s="143"/>
      <c r="O807" s="143"/>
      <c r="P807" s="114"/>
      <c r="Q807" s="114"/>
      <c r="R807" s="114"/>
      <c r="S807" s="114"/>
      <c r="T807" s="114"/>
      <c r="U807" s="114"/>
      <c r="V807" s="114"/>
      <c r="W807" s="114"/>
      <c r="X807" s="114"/>
    </row>
    <row r="808" spans="1:24" ht="15.75" customHeight="1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43"/>
      <c r="M808" s="143"/>
      <c r="N808" s="143"/>
      <c r="O808" s="143"/>
      <c r="P808" s="114"/>
      <c r="Q808" s="114"/>
      <c r="R808" s="114"/>
      <c r="S808" s="114"/>
      <c r="T808" s="114"/>
      <c r="U808" s="114"/>
      <c r="V808" s="114"/>
      <c r="W808" s="114"/>
      <c r="X808" s="114"/>
    </row>
    <row r="809" spans="1:24" ht="15.75" customHeight="1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43"/>
      <c r="M809" s="143"/>
      <c r="N809" s="143"/>
      <c r="O809" s="143"/>
      <c r="P809" s="114"/>
      <c r="Q809" s="114"/>
      <c r="R809" s="114"/>
      <c r="S809" s="114"/>
      <c r="T809" s="114"/>
      <c r="U809" s="114"/>
      <c r="V809" s="114"/>
      <c r="W809" s="114"/>
      <c r="X809" s="114"/>
    </row>
    <row r="810" spans="1:24" ht="15.75" customHeight="1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43"/>
      <c r="M810" s="143"/>
      <c r="N810" s="143"/>
      <c r="O810" s="143"/>
      <c r="P810" s="114"/>
      <c r="Q810" s="114"/>
      <c r="R810" s="114"/>
      <c r="S810" s="114"/>
      <c r="T810" s="114"/>
      <c r="U810" s="114"/>
      <c r="V810" s="114"/>
      <c r="W810" s="114"/>
      <c r="X810" s="114"/>
    </row>
    <row r="811" spans="1:24" ht="15.75" customHeight="1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43"/>
      <c r="M811" s="143"/>
      <c r="N811" s="143"/>
      <c r="O811" s="143"/>
      <c r="P811" s="114"/>
      <c r="Q811" s="114"/>
      <c r="R811" s="114"/>
      <c r="S811" s="114"/>
      <c r="T811" s="114"/>
      <c r="U811" s="114"/>
      <c r="V811" s="114"/>
      <c r="W811" s="114"/>
      <c r="X811" s="114"/>
    </row>
    <row r="812" spans="1:24" ht="15.75" customHeight="1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43"/>
      <c r="M812" s="143"/>
      <c r="N812" s="143"/>
      <c r="O812" s="143"/>
      <c r="P812" s="114"/>
      <c r="Q812" s="114"/>
      <c r="R812" s="114"/>
      <c r="S812" s="114"/>
      <c r="T812" s="114"/>
      <c r="U812" s="114"/>
      <c r="V812" s="114"/>
      <c r="W812" s="114"/>
      <c r="X812" s="114"/>
    </row>
    <row r="813" spans="1:24" ht="15.75" customHeight="1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43"/>
      <c r="M813" s="143"/>
      <c r="N813" s="143"/>
      <c r="O813" s="143"/>
      <c r="P813" s="114"/>
      <c r="Q813" s="114"/>
      <c r="R813" s="114"/>
      <c r="S813" s="114"/>
      <c r="T813" s="114"/>
      <c r="U813" s="114"/>
      <c r="V813" s="114"/>
      <c r="W813" s="114"/>
      <c r="X813" s="114"/>
    </row>
    <row r="814" spans="1:24" ht="15.75" customHeight="1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43"/>
      <c r="M814" s="143"/>
      <c r="N814" s="143"/>
      <c r="O814" s="143"/>
      <c r="P814" s="114"/>
      <c r="Q814" s="114"/>
      <c r="R814" s="114"/>
      <c r="S814" s="114"/>
      <c r="T814" s="114"/>
      <c r="U814" s="114"/>
      <c r="V814" s="114"/>
      <c r="W814" s="114"/>
      <c r="X814" s="114"/>
    </row>
    <row r="815" spans="1:24" ht="15.75" customHeight="1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43"/>
      <c r="M815" s="143"/>
      <c r="N815" s="143"/>
      <c r="O815" s="143"/>
      <c r="P815" s="114"/>
      <c r="Q815" s="114"/>
      <c r="R815" s="114"/>
      <c r="S815" s="114"/>
      <c r="T815" s="114"/>
      <c r="U815" s="114"/>
      <c r="V815" s="114"/>
      <c r="W815" s="114"/>
      <c r="X815" s="114"/>
    </row>
    <row r="816" spans="1:24" ht="15.75" customHeight="1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43"/>
      <c r="M816" s="143"/>
      <c r="N816" s="143"/>
      <c r="O816" s="143"/>
      <c r="P816" s="114"/>
      <c r="Q816" s="114"/>
      <c r="R816" s="114"/>
      <c r="S816" s="114"/>
      <c r="T816" s="114"/>
      <c r="U816" s="114"/>
      <c r="V816" s="114"/>
      <c r="W816" s="114"/>
      <c r="X816" s="114"/>
    </row>
    <row r="817" spans="1:24" ht="15.75" customHeight="1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43"/>
      <c r="M817" s="143"/>
      <c r="N817" s="143"/>
      <c r="O817" s="143"/>
      <c r="P817" s="114"/>
      <c r="Q817" s="114"/>
      <c r="R817" s="114"/>
      <c r="S817" s="114"/>
      <c r="T817" s="114"/>
      <c r="U817" s="114"/>
      <c r="V817" s="114"/>
      <c r="W817" s="114"/>
      <c r="X817" s="114"/>
    </row>
    <row r="818" spans="1:24" ht="15.75" customHeight="1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43"/>
      <c r="M818" s="143"/>
      <c r="N818" s="143"/>
      <c r="O818" s="143"/>
      <c r="P818" s="114"/>
      <c r="Q818" s="114"/>
      <c r="R818" s="114"/>
      <c r="S818" s="114"/>
      <c r="T818" s="114"/>
      <c r="U818" s="114"/>
      <c r="V818" s="114"/>
      <c r="W818" s="114"/>
      <c r="X818" s="114"/>
    </row>
    <row r="819" spans="1:24" ht="15.75" customHeight="1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43"/>
      <c r="M819" s="143"/>
      <c r="N819" s="143"/>
      <c r="O819" s="143"/>
      <c r="P819" s="114"/>
      <c r="Q819" s="114"/>
      <c r="R819" s="114"/>
      <c r="S819" s="114"/>
      <c r="T819" s="114"/>
      <c r="U819" s="114"/>
      <c r="V819" s="114"/>
      <c r="W819" s="114"/>
      <c r="X819" s="114"/>
    </row>
    <row r="820" spans="1:24" ht="15.75" customHeight="1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43"/>
      <c r="M820" s="143"/>
      <c r="N820" s="143"/>
      <c r="O820" s="143"/>
      <c r="P820" s="114"/>
      <c r="Q820" s="114"/>
      <c r="R820" s="114"/>
      <c r="S820" s="114"/>
      <c r="T820" s="114"/>
      <c r="U820" s="114"/>
      <c r="V820" s="114"/>
      <c r="W820" s="114"/>
      <c r="X820" s="114"/>
    </row>
    <row r="821" spans="1:24" ht="15.75" customHeight="1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43"/>
      <c r="M821" s="143"/>
      <c r="N821" s="143"/>
      <c r="O821" s="143"/>
      <c r="P821" s="114"/>
      <c r="Q821" s="114"/>
      <c r="R821" s="114"/>
      <c r="S821" s="114"/>
      <c r="T821" s="114"/>
      <c r="U821" s="114"/>
      <c r="V821" s="114"/>
      <c r="W821" s="114"/>
      <c r="X821" s="114"/>
    </row>
    <row r="822" spans="1:24" ht="15.75" customHeight="1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43"/>
      <c r="M822" s="143"/>
      <c r="N822" s="143"/>
      <c r="O822" s="143"/>
      <c r="P822" s="114"/>
      <c r="Q822" s="114"/>
      <c r="R822" s="114"/>
      <c r="S822" s="114"/>
      <c r="T822" s="114"/>
      <c r="U822" s="114"/>
      <c r="V822" s="114"/>
      <c r="W822" s="114"/>
      <c r="X822" s="114"/>
    </row>
    <row r="823" spans="1:24" ht="15.75" customHeight="1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43"/>
      <c r="M823" s="143"/>
      <c r="N823" s="143"/>
      <c r="O823" s="143"/>
      <c r="P823" s="114"/>
      <c r="Q823" s="114"/>
      <c r="R823" s="114"/>
      <c r="S823" s="114"/>
      <c r="T823" s="114"/>
      <c r="U823" s="114"/>
      <c r="V823" s="114"/>
      <c r="W823" s="114"/>
      <c r="X823" s="114"/>
    </row>
    <row r="824" spans="1:24" ht="15.75" customHeight="1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43"/>
      <c r="M824" s="143"/>
      <c r="N824" s="143"/>
      <c r="O824" s="143"/>
      <c r="P824" s="114"/>
      <c r="Q824" s="114"/>
      <c r="R824" s="114"/>
      <c r="S824" s="114"/>
      <c r="T824" s="114"/>
      <c r="U824" s="114"/>
      <c r="V824" s="114"/>
      <c r="W824" s="114"/>
      <c r="X824" s="114"/>
    </row>
    <row r="825" spans="1:24" ht="15.75" customHeight="1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43"/>
      <c r="M825" s="143"/>
      <c r="N825" s="143"/>
      <c r="O825" s="143"/>
      <c r="P825" s="114"/>
      <c r="Q825" s="114"/>
      <c r="R825" s="114"/>
      <c r="S825" s="114"/>
      <c r="T825" s="114"/>
      <c r="U825" s="114"/>
      <c r="V825" s="114"/>
      <c r="W825" s="114"/>
      <c r="X825" s="114"/>
    </row>
    <row r="826" spans="1:24" ht="15.75" customHeight="1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43"/>
      <c r="M826" s="143"/>
      <c r="N826" s="143"/>
      <c r="O826" s="143"/>
      <c r="P826" s="114"/>
      <c r="Q826" s="114"/>
      <c r="R826" s="114"/>
      <c r="S826" s="114"/>
      <c r="T826" s="114"/>
      <c r="U826" s="114"/>
      <c r="V826" s="114"/>
      <c r="W826" s="114"/>
      <c r="X826" s="114"/>
    </row>
    <row r="827" spans="1:24" ht="15.75" customHeight="1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43"/>
      <c r="M827" s="143"/>
      <c r="N827" s="143"/>
      <c r="O827" s="143"/>
      <c r="P827" s="114"/>
      <c r="Q827" s="114"/>
      <c r="R827" s="114"/>
      <c r="S827" s="114"/>
      <c r="T827" s="114"/>
      <c r="U827" s="114"/>
      <c r="V827" s="114"/>
      <c r="W827" s="114"/>
      <c r="X827" s="114"/>
    </row>
    <row r="828" spans="1:24" ht="15.75" customHeight="1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43"/>
      <c r="M828" s="143"/>
      <c r="N828" s="143"/>
      <c r="O828" s="143"/>
      <c r="P828" s="114"/>
      <c r="Q828" s="114"/>
      <c r="R828" s="114"/>
      <c r="S828" s="114"/>
      <c r="T828" s="114"/>
      <c r="U828" s="114"/>
      <c r="V828" s="114"/>
      <c r="W828" s="114"/>
      <c r="X828" s="114"/>
    </row>
    <row r="829" spans="1:24" ht="15.75" customHeight="1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43"/>
      <c r="M829" s="143"/>
      <c r="N829" s="143"/>
      <c r="O829" s="143"/>
      <c r="P829" s="114"/>
      <c r="Q829" s="114"/>
      <c r="R829" s="114"/>
      <c r="S829" s="114"/>
      <c r="T829" s="114"/>
      <c r="U829" s="114"/>
      <c r="V829" s="114"/>
      <c r="W829" s="114"/>
      <c r="X829" s="114"/>
    </row>
    <row r="830" spans="1:24" ht="15.75" customHeight="1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43"/>
      <c r="M830" s="143"/>
      <c r="N830" s="143"/>
      <c r="O830" s="143"/>
      <c r="P830" s="114"/>
      <c r="Q830" s="114"/>
      <c r="R830" s="114"/>
      <c r="S830" s="114"/>
      <c r="T830" s="114"/>
      <c r="U830" s="114"/>
      <c r="V830" s="114"/>
      <c r="W830" s="114"/>
      <c r="X830" s="114"/>
    </row>
    <row r="831" spans="1:24" ht="15.75" customHeight="1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43"/>
      <c r="M831" s="143"/>
      <c r="N831" s="143"/>
      <c r="O831" s="143"/>
      <c r="P831" s="114"/>
      <c r="Q831" s="114"/>
      <c r="R831" s="114"/>
      <c r="S831" s="114"/>
      <c r="T831" s="114"/>
      <c r="U831" s="114"/>
      <c r="V831" s="114"/>
      <c r="W831" s="114"/>
      <c r="X831" s="114"/>
    </row>
    <row r="832" spans="1:24" ht="15.75" customHeight="1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43"/>
      <c r="M832" s="143"/>
      <c r="N832" s="143"/>
      <c r="O832" s="143"/>
      <c r="P832" s="114"/>
      <c r="Q832" s="114"/>
      <c r="R832" s="114"/>
      <c r="S832" s="114"/>
      <c r="T832" s="114"/>
      <c r="U832" s="114"/>
      <c r="V832" s="114"/>
      <c r="W832" s="114"/>
      <c r="X832" s="114"/>
    </row>
    <row r="833" spans="1:24" ht="15.75" customHeight="1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43"/>
      <c r="M833" s="143"/>
      <c r="N833" s="143"/>
      <c r="O833" s="143"/>
      <c r="P833" s="114"/>
      <c r="Q833" s="114"/>
      <c r="R833" s="114"/>
      <c r="S833" s="114"/>
      <c r="T833" s="114"/>
      <c r="U833" s="114"/>
      <c r="V833" s="114"/>
      <c r="W833" s="114"/>
      <c r="X833" s="114"/>
    </row>
    <row r="834" spans="1:24" ht="15.75" customHeight="1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43"/>
      <c r="M834" s="143"/>
      <c r="N834" s="143"/>
      <c r="O834" s="143"/>
      <c r="P834" s="114"/>
      <c r="Q834" s="114"/>
      <c r="R834" s="114"/>
      <c r="S834" s="114"/>
      <c r="T834" s="114"/>
      <c r="U834" s="114"/>
      <c r="V834" s="114"/>
      <c r="W834" s="114"/>
      <c r="X834" s="114"/>
    </row>
    <row r="835" spans="1:24" ht="15.75" customHeight="1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43"/>
      <c r="M835" s="143"/>
      <c r="N835" s="143"/>
      <c r="O835" s="143"/>
      <c r="P835" s="114"/>
      <c r="Q835" s="114"/>
      <c r="R835" s="114"/>
      <c r="S835" s="114"/>
      <c r="T835" s="114"/>
      <c r="U835" s="114"/>
      <c r="V835" s="114"/>
      <c r="W835" s="114"/>
      <c r="X835" s="114"/>
    </row>
    <row r="836" spans="1:24" ht="15.75" customHeight="1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43"/>
      <c r="M836" s="143"/>
      <c r="N836" s="143"/>
      <c r="O836" s="143"/>
      <c r="P836" s="114"/>
      <c r="Q836" s="114"/>
      <c r="R836" s="114"/>
      <c r="S836" s="114"/>
      <c r="T836" s="114"/>
      <c r="U836" s="114"/>
      <c r="V836" s="114"/>
      <c r="W836" s="114"/>
      <c r="X836" s="114"/>
    </row>
    <row r="837" spans="1:24" ht="15.75" customHeight="1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43"/>
      <c r="M837" s="143"/>
      <c r="N837" s="143"/>
      <c r="O837" s="143"/>
      <c r="P837" s="114"/>
      <c r="Q837" s="114"/>
      <c r="R837" s="114"/>
      <c r="S837" s="114"/>
      <c r="T837" s="114"/>
      <c r="U837" s="114"/>
      <c r="V837" s="114"/>
      <c r="W837" s="114"/>
      <c r="X837" s="114"/>
    </row>
    <row r="838" spans="1:24" ht="15.75" customHeight="1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43"/>
      <c r="M838" s="143"/>
      <c r="N838" s="143"/>
      <c r="O838" s="143"/>
      <c r="P838" s="114"/>
      <c r="Q838" s="114"/>
      <c r="R838" s="114"/>
      <c r="S838" s="114"/>
      <c r="T838" s="114"/>
      <c r="U838" s="114"/>
      <c r="V838" s="114"/>
      <c r="W838" s="114"/>
      <c r="X838" s="114"/>
    </row>
    <row r="839" spans="1:24" ht="15.75" customHeight="1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43"/>
      <c r="M839" s="143"/>
      <c r="N839" s="143"/>
      <c r="O839" s="143"/>
      <c r="P839" s="114"/>
      <c r="Q839" s="114"/>
      <c r="R839" s="114"/>
      <c r="S839" s="114"/>
      <c r="T839" s="114"/>
      <c r="U839" s="114"/>
      <c r="V839" s="114"/>
      <c r="W839" s="114"/>
      <c r="X839" s="114"/>
    </row>
    <row r="840" spans="1:24" ht="15.75" customHeight="1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43"/>
      <c r="M840" s="143"/>
      <c r="N840" s="143"/>
      <c r="O840" s="143"/>
      <c r="P840" s="114"/>
      <c r="Q840" s="114"/>
      <c r="R840" s="114"/>
      <c r="S840" s="114"/>
      <c r="T840" s="114"/>
      <c r="U840" s="114"/>
      <c r="V840" s="114"/>
      <c r="W840" s="114"/>
      <c r="X840" s="114"/>
    </row>
    <row r="841" spans="1:24" ht="15.75" customHeight="1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43"/>
      <c r="M841" s="143"/>
      <c r="N841" s="143"/>
      <c r="O841" s="143"/>
      <c r="P841" s="114"/>
      <c r="Q841" s="114"/>
      <c r="R841" s="114"/>
      <c r="S841" s="114"/>
      <c r="T841" s="114"/>
      <c r="U841" s="114"/>
      <c r="V841" s="114"/>
      <c r="W841" s="114"/>
      <c r="X841" s="114"/>
    </row>
    <row r="842" spans="1:24" ht="15.75" customHeight="1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43"/>
      <c r="M842" s="143"/>
      <c r="N842" s="143"/>
      <c r="O842" s="143"/>
      <c r="P842" s="114"/>
      <c r="Q842" s="114"/>
      <c r="R842" s="114"/>
      <c r="S842" s="114"/>
      <c r="T842" s="114"/>
      <c r="U842" s="114"/>
      <c r="V842" s="114"/>
      <c r="W842" s="114"/>
      <c r="X842" s="114"/>
    </row>
    <row r="843" spans="1:24" ht="15.75" customHeight="1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43"/>
      <c r="M843" s="143"/>
      <c r="N843" s="143"/>
      <c r="O843" s="143"/>
      <c r="P843" s="114"/>
      <c r="Q843" s="114"/>
      <c r="R843" s="114"/>
      <c r="S843" s="114"/>
      <c r="T843" s="114"/>
      <c r="U843" s="114"/>
      <c r="V843" s="114"/>
      <c r="W843" s="114"/>
      <c r="X843" s="114"/>
    </row>
    <row r="844" spans="1:24" ht="15.75" customHeight="1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43"/>
      <c r="M844" s="143"/>
      <c r="N844" s="143"/>
      <c r="O844" s="143"/>
      <c r="P844" s="114"/>
      <c r="Q844" s="114"/>
      <c r="R844" s="114"/>
      <c r="S844" s="114"/>
      <c r="T844" s="114"/>
      <c r="U844" s="114"/>
      <c r="V844" s="114"/>
      <c r="W844" s="114"/>
      <c r="X844" s="114"/>
    </row>
    <row r="845" spans="1:24" ht="15.75" customHeight="1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43"/>
      <c r="M845" s="143"/>
      <c r="N845" s="143"/>
      <c r="O845" s="143"/>
      <c r="P845" s="114"/>
      <c r="Q845" s="114"/>
      <c r="R845" s="114"/>
      <c r="S845" s="114"/>
      <c r="T845" s="114"/>
      <c r="U845" s="114"/>
      <c r="V845" s="114"/>
      <c r="W845" s="114"/>
      <c r="X845" s="114"/>
    </row>
    <row r="846" spans="1:24" ht="15.75" customHeight="1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43"/>
      <c r="M846" s="143"/>
      <c r="N846" s="143"/>
      <c r="O846" s="143"/>
      <c r="P846" s="114"/>
      <c r="Q846" s="114"/>
      <c r="R846" s="114"/>
      <c r="S846" s="114"/>
      <c r="T846" s="114"/>
      <c r="U846" s="114"/>
      <c r="V846" s="114"/>
      <c r="W846" s="114"/>
      <c r="X846" s="114"/>
    </row>
    <row r="847" spans="1:24" ht="15.75" customHeight="1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43"/>
      <c r="M847" s="143"/>
      <c r="N847" s="143"/>
      <c r="O847" s="143"/>
      <c r="P847" s="114"/>
      <c r="Q847" s="114"/>
      <c r="R847" s="114"/>
      <c r="S847" s="114"/>
      <c r="T847" s="114"/>
      <c r="U847" s="114"/>
      <c r="V847" s="114"/>
      <c r="W847" s="114"/>
      <c r="X847" s="114"/>
    </row>
    <row r="848" spans="1:24" ht="15.75" customHeight="1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43"/>
      <c r="M848" s="143"/>
      <c r="N848" s="143"/>
      <c r="O848" s="143"/>
      <c r="P848" s="114"/>
      <c r="Q848" s="114"/>
      <c r="R848" s="114"/>
      <c r="S848" s="114"/>
      <c r="T848" s="114"/>
      <c r="U848" s="114"/>
      <c r="V848" s="114"/>
      <c r="W848" s="114"/>
      <c r="X848" s="114"/>
    </row>
    <row r="849" spans="1:24" ht="15.75" customHeight="1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43"/>
      <c r="M849" s="143"/>
      <c r="N849" s="143"/>
      <c r="O849" s="143"/>
      <c r="P849" s="114"/>
      <c r="Q849" s="114"/>
      <c r="R849" s="114"/>
      <c r="S849" s="114"/>
      <c r="T849" s="114"/>
      <c r="U849" s="114"/>
      <c r="V849" s="114"/>
      <c r="W849" s="114"/>
      <c r="X849" s="114"/>
    </row>
    <row r="850" spans="1:24" ht="15.75" customHeight="1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43"/>
      <c r="M850" s="143"/>
      <c r="N850" s="143"/>
      <c r="O850" s="143"/>
      <c r="P850" s="114"/>
      <c r="Q850" s="114"/>
      <c r="R850" s="114"/>
      <c r="S850" s="114"/>
      <c r="T850" s="114"/>
      <c r="U850" s="114"/>
      <c r="V850" s="114"/>
      <c r="W850" s="114"/>
      <c r="X850" s="114"/>
    </row>
    <row r="851" spans="1:24" ht="15.75" customHeight="1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43"/>
      <c r="M851" s="143"/>
      <c r="N851" s="143"/>
      <c r="O851" s="143"/>
      <c r="P851" s="114"/>
      <c r="Q851" s="114"/>
      <c r="R851" s="114"/>
      <c r="S851" s="114"/>
      <c r="T851" s="114"/>
      <c r="U851" s="114"/>
      <c r="V851" s="114"/>
      <c r="W851" s="114"/>
      <c r="X851" s="114"/>
    </row>
    <row r="852" spans="1:24" ht="15.75" customHeight="1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43"/>
      <c r="M852" s="143"/>
      <c r="N852" s="143"/>
      <c r="O852" s="143"/>
      <c r="P852" s="114"/>
      <c r="Q852" s="114"/>
      <c r="R852" s="114"/>
      <c r="S852" s="114"/>
      <c r="T852" s="114"/>
      <c r="U852" s="114"/>
      <c r="V852" s="114"/>
      <c r="W852" s="114"/>
      <c r="X852" s="114"/>
    </row>
    <row r="853" spans="1:24" ht="15.75" customHeight="1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43"/>
      <c r="M853" s="143"/>
      <c r="N853" s="143"/>
      <c r="O853" s="143"/>
      <c r="P853" s="114"/>
      <c r="Q853" s="114"/>
      <c r="R853" s="114"/>
      <c r="S853" s="114"/>
      <c r="T853" s="114"/>
      <c r="U853" s="114"/>
      <c r="V853" s="114"/>
      <c r="W853" s="114"/>
      <c r="X853" s="114"/>
    </row>
    <row r="854" spans="1:24" ht="15.75" customHeight="1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43"/>
      <c r="M854" s="143"/>
      <c r="N854" s="143"/>
      <c r="O854" s="143"/>
      <c r="P854" s="114"/>
      <c r="Q854" s="114"/>
      <c r="R854" s="114"/>
      <c r="S854" s="114"/>
      <c r="T854" s="114"/>
      <c r="U854" s="114"/>
      <c r="V854" s="114"/>
      <c r="W854" s="114"/>
      <c r="X854" s="114"/>
    </row>
    <row r="855" spans="1:24" ht="15.75" customHeight="1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43"/>
      <c r="M855" s="143"/>
      <c r="N855" s="143"/>
      <c r="O855" s="143"/>
      <c r="P855" s="114"/>
      <c r="Q855" s="114"/>
      <c r="R855" s="114"/>
      <c r="S855" s="114"/>
      <c r="T855" s="114"/>
      <c r="U855" s="114"/>
      <c r="V855" s="114"/>
      <c r="W855" s="114"/>
      <c r="X855" s="114"/>
    </row>
    <row r="856" spans="1:24" ht="15.75" customHeight="1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43"/>
      <c r="M856" s="143"/>
      <c r="N856" s="143"/>
      <c r="O856" s="143"/>
      <c r="P856" s="114"/>
      <c r="Q856" s="114"/>
      <c r="R856" s="114"/>
      <c r="S856" s="114"/>
      <c r="T856" s="114"/>
      <c r="U856" s="114"/>
      <c r="V856" s="114"/>
      <c r="W856" s="114"/>
      <c r="X856" s="114"/>
    </row>
    <row r="857" spans="1:24" ht="15.75" customHeight="1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43"/>
      <c r="M857" s="143"/>
      <c r="N857" s="143"/>
      <c r="O857" s="143"/>
      <c r="P857" s="114"/>
      <c r="Q857" s="114"/>
      <c r="R857" s="114"/>
      <c r="S857" s="114"/>
      <c r="T857" s="114"/>
      <c r="U857" s="114"/>
      <c r="V857" s="114"/>
      <c r="W857" s="114"/>
      <c r="X857" s="114"/>
    </row>
    <row r="858" spans="1:24" ht="15.75" customHeight="1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43"/>
      <c r="M858" s="143"/>
      <c r="N858" s="143"/>
      <c r="O858" s="143"/>
      <c r="P858" s="114"/>
      <c r="Q858" s="114"/>
      <c r="R858" s="114"/>
      <c r="S858" s="114"/>
      <c r="T858" s="114"/>
      <c r="U858" s="114"/>
      <c r="V858" s="114"/>
      <c r="W858" s="114"/>
      <c r="X858" s="114"/>
    </row>
    <row r="859" spans="1:24" ht="15.75" customHeight="1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43"/>
      <c r="M859" s="143"/>
      <c r="N859" s="143"/>
      <c r="O859" s="143"/>
      <c r="P859" s="114"/>
      <c r="Q859" s="114"/>
      <c r="R859" s="114"/>
      <c r="S859" s="114"/>
      <c r="T859" s="114"/>
      <c r="U859" s="114"/>
      <c r="V859" s="114"/>
      <c r="W859" s="114"/>
      <c r="X859" s="114"/>
    </row>
    <row r="860" spans="1:24" ht="15.75" customHeight="1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43"/>
      <c r="M860" s="143"/>
      <c r="N860" s="143"/>
      <c r="O860" s="143"/>
      <c r="P860" s="114"/>
      <c r="Q860" s="114"/>
      <c r="R860" s="114"/>
      <c r="S860" s="114"/>
      <c r="T860" s="114"/>
      <c r="U860" s="114"/>
      <c r="V860" s="114"/>
      <c r="W860" s="114"/>
      <c r="X860" s="114"/>
    </row>
    <row r="861" spans="1:24" ht="15.75" customHeight="1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43"/>
      <c r="M861" s="143"/>
      <c r="N861" s="143"/>
      <c r="O861" s="143"/>
      <c r="P861" s="114"/>
      <c r="Q861" s="114"/>
      <c r="R861" s="114"/>
      <c r="S861" s="114"/>
      <c r="T861" s="114"/>
      <c r="U861" s="114"/>
      <c r="V861" s="114"/>
      <c r="W861" s="114"/>
      <c r="X861" s="114"/>
    </row>
    <row r="862" spans="1:24" ht="15.75" customHeight="1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43"/>
      <c r="M862" s="143"/>
      <c r="N862" s="143"/>
      <c r="O862" s="143"/>
      <c r="P862" s="114"/>
      <c r="Q862" s="114"/>
      <c r="R862" s="114"/>
      <c r="S862" s="114"/>
      <c r="T862" s="114"/>
      <c r="U862" s="114"/>
      <c r="V862" s="114"/>
      <c r="W862" s="114"/>
      <c r="X862" s="114"/>
    </row>
    <row r="863" spans="1:24" ht="15.75" customHeight="1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43"/>
      <c r="M863" s="143"/>
      <c r="N863" s="143"/>
      <c r="O863" s="143"/>
      <c r="P863" s="114"/>
      <c r="Q863" s="114"/>
      <c r="R863" s="114"/>
      <c r="S863" s="114"/>
      <c r="T863" s="114"/>
      <c r="U863" s="114"/>
      <c r="V863" s="114"/>
      <c r="W863" s="114"/>
      <c r="X863" s="114"/>
    </row>
    <row r="864" spans="1:24" ht="15.75" customHeight="1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43"/>
      <c r="M864" s="143"/>
      <c r="N864" s="143"/>
      <c r="O864" s="143"/>
      <c r="P864" s="114"/>
      <c r="Q864" s="114"/>
      <c r="R864" s="114"/>
      <c r="S864" s="114"/>
      <c r="T864" s="114"/>
      <c r="U864" s="114"/>
      <c r="V864" s="114"/>
      <c r="W864" s="114"/>
      <c r="X864" s="114"/>
    </row>
    <row r="865" spans="1:24" ht="15.75" customHeight="1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43"/>
      <c r="M865" s="143"/>
      <c r="N865" s="143"/>
      <c r="O865" s="143"/>
      <c r="P865" s="114"/>
      <c r="Q865" s="114"/>
      <c r="R865" s="114"/>
      <c r="S865" s="114"/>
      <c r="T865" s="114"/>
      <c r="U865" s="114"/>
      <c r="V865" s="114"/>
      <c r="W865" s="114"/>
      <c r="X865" s="114"/>
    </row>
    <row r="866" spans="1:24" ht="15.75" customHeight="1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43"/>
      <c r="M866" s="143"/>
      <c r="N866" s="143"/>
      <c r="O866" s="143"/>
      <c r="P866" s="114"/>
      <c r="Q866" s="114"/>
      <c r="R866" s="114"/>
      <c r="S866" s="114"/>
      <c r="T866" s="114"/>
      <c r="U866" s="114"/>
      <c r="V866" s="114"/>
      <c r="W866" s="114"/>
      <c r="X866" s="114"/>
    </row>
    <row r="867" spans="1:24" ht="15.75" customHeight="1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43"/>
      <c r="M867" s="143"/>
      <c r="N867" s="143"/>
      <c r="O867" s="143"/>
      <c r="P867" s="114"/>
      <c r="Q867" s="114"/>
      <c r="R867" s="114"/>
      <c r="S867" s="114"/>
      <c r="T867" s="114"/>
      <c r="U867" s="114"/>
      <c r="V867" s="114"/>
      <c r="W867" s="114"/>
      <c r="X867" s="114"/>
    </row>
    <row r="868" spans="1:24" ht="15.75" customHeight="1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43"/>
      <c r="M868" s="143"/>
      <c r="N868" s="143"/>
      <c r="O868" s="143"/>
      <c r="P868" s="114"/>
      <c r="Q868" s="114"/>
      <c r="R868" s="114"/>
      <c r="S868" s="114"/>
      <c r="T868" s="114"/>
      <c r="U868" s="114"/>
      <c r="V868" s="114"/>
      <c r="W868" s="114"/>
      <c r="X868" s="114"/>
    </row>
    <row r="869" spans="1:24" ht="15.75" customHeight="1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43"/>
      <c r="M869" s="143"/>
      <c r="N869" s="143"/>
      <c r="O869" s="143"/>
      <c r="P869" s="114"/>
      <c r="Q869" s="114"/>
      <c r="R869" s="114"/>
      <c r="S869" s="114"/>
      <c r="T869" s="114"/>
      <c r="U869" s="114"/>
      <c r="V869" s="114"/>
      <c r="W869" s="114"/>
      <c r="X869" s="114"/>
    </row>
    <row r="870" spans="1:24" ht="15.75" customHeight="1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43"/>
      <c r="M870" s="143"/>
      <c r="N870" s="143"/>
      <c r="O870" s="143"/>
      <c r="P870" s="114"/>
      <c r="Q870" s="114"/>
      <c r="R870" s="114"/>
      <c r="S870" s="114"/>
      <c r="T870" s="114"/>
      <c r="U870" s="114"/>
      <c r="V870" s="114"/>
      <c r="W870" s="114"/>
      <c r="X870" s="114"/>
    </row>
    <row r="871" spans="1:24" ht="15.75" customHeight="1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43"/>
      <c r="M871" s="143"/>
      <c r="N871" s="143"/>
      <c r="O871" s="143"/>
      <c r="P871" s="114"/>
      <c r="Q871" s="114"/>
      <c r="R871" s="114"/>
      <c r="S871" s="114"/>
      <c r="T871" s="114"/>
      <c r="U871" s="114"/>
      <c r="V871" s="114"/>
      <c r="W871" s="114"/>
      <c r="X871" s="114"/>
    </row>
    <row r="872" spans="1:24" ht="15.75" customHeight="1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43"/>
      <c r="M872" s="143"/>
      <c r="N872" s="143"/>
      <c r="O872" s="143"/>
      <c r="P872" s="114"/>
      <c r="Q872" s="114"/>
      <c r="R872" s="114"/>
      <c r="S872" s="114"/>
      <c r="T872" s="114"/>
      <c r="U872" s="114"/>
      <c r="V872" s="114"/>
      <c r="W872" s="114"/>
      <c r="X872" s="114"/>
    </row>
    <row r="873" spans="1:24" ht="15.75" customHeight="1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43"/>
      <c r="M873" s="143"/>
      <c r="N873" s="143"/>
      <c r="O873" s="143"/>
      <c r="P873" s="114"/>
      <c r="Q873" s="114"/>
      <c r="R873" s="114"/>
      <c r="S873" s="114"/>
      <c r="T873" s="114"/>
      <c r="U873" s="114"/>
      <c r="V873" s="114"/>
      <c r="W873" s="114"/>
      <c r="X873" s="114"/>
    </row>
    <row r="874" spans="1:24" ht="15.75" customHeight="1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43"/>
      <c r="M874" s="143"/>
      <c r="N874" s="143"/>
      <c r="O874" s="143"/>
      <c r="P874" s="114"/>
      <c r="Q874" s="114"/>
      <c r="R874" s="114"/>
      <c r="S874" s="114"/>
      <c r="T874" s="114"/>
      <c r="U874" s="114"/>
      <c r="V874" s="114"/>
      <c r="W874" s="114"/>
      <c r="X874" s="114"/>
    </row>
    <row r="875" spans="1:24" ht="15.75" customHeight="1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43"/>
      <c r="M875" s="143"/>
      <c r="N875" s="143"/>
      <c r="O875" s="143"/>
      <c r="P875" s="114"/>
      <c r="Q875" s="114"/>
      <c r="R875" s="114"/>
      <c r="S875" s="114"/>
      <c r="T875" s="114"/>
      <c r="U875" s="114"/>
      <c r="V875" s="114"/>
      <c r="W875" s="114"/>
      <c r="X875" s="114"/>
    </row>
    <row r="876" spans="1:24" ht="15.75" customHeight="1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43"/>
      <c r="M876" s="143"/>
      <c r="N876" s="143"/>
      <c r="O876" s="143"/>
      <c r="P876" s="114"/>
      <c r="Q876" s="114"/>
      <c r="R876" s="114"/>
      <c r="S876" s="114"/>
      <c r="T876" s="114"/>
      <c r="U876" s="114"/>
      <c r="V876" s="114"/>
      <c r="W876" s="114"/>
      <c r="X876" s="114"/>
    </row>
    <row r="877" spans="1:24" ht="15.75" customHeight="1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43"/>
      <c r="M877" s="143"/>
      <c r="N877" s="143"/>
      <c r="O877" s="143"/>
      <c r="P877" s="114"/>
      <c r="Q877" s="114"/>
      <c r="R877" s="114"/>
      <c r="S877" s="114"/>
      <c r="T877" s="114"/>
      <c r="U877" s="114"/>
      <c r="V877" s="114"/>
      <c r="W877" s="114"/>
      <c r="X877" s="114"/>
    </row>
    <row r="878" spans="1:24" ht="15.75" customHeight="1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43"/>
      <c r="M878" s="143"/>
      <c r="N878" s="143"/>
      <c r="O878" s="143"/>
      <c r="P878" s="114"/>
      <c r="Q878" s="114"/>
      <c r="R878" s="114"/>
      <c r="S878" s="114"/>
      <c r="T878" s="114"/>
      <c r="U878" s="114"/>
      <c r="V878" s="114"/>
      <c r="W878" s="114"/>
      <c r="X878" s="114"/>
    </row>
    <row r="879" spans="1:24" ht="15.75" customHeight="1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43"/>
      <c r="M879" s="143"/>
      <c r="N879" s="143"/>
      <c r="O879" s="143"/>
      <c r="P879" s="114"/>
      <c r="Q879" s="114"/>
      <c r="R879" s="114"/>
      <c r="S879" s="114"/>
      <c r="T879" s="114"/>
      <c r="U879" s="114"/>
      <c r="V879" s="114"/>
      <c r="W879" s="114"/>
      <c r="X879" s="114"/>
    </row>
    <row r="880" spans="1:24" ht="15.75" customHeight="1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43"/>
      <c r="M880" s="143"/>
      <c r="N880" s="143"/>
      <c r="O880" s="143"/>
      <c r="P880" s="114"/>
      <c r="Q880" s="114"/>
      <c r="R880" s="114"/>
      <c r="S880" s="114"/>
      <c r="T880" s="114"/>
      <c r="U880" s="114"/>
      <c r="V880" s="114"/>
      <c r="W880" s="114"/>
      <c r="X880" s="114"/>
    </row>
    <row r="881" spans="1:24" ht="15.75" customHeight="1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43"/>
      <c r="M881" s="143"/>
      <c r="N881" s="143"/>
      <c r="O881" s="143"/>
      <c r="P881" s="114"/>
      <c r="Q881" s="114"/>
      <c r="R881" s="114"/>
      <c r="S881" s="114"/>
      <c r="T881" s="114"/>
      <c r="U881" s="114"/>
      <c r="V881" s="114"/>
      <c r="W881" s="114"/>
      <c r="X881" s="114"/>
    </row>
    <row r="882" spans="1:24" ht="15.75" customHeight="1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43"/>
      <c r="M882" s="143"/>
      <c r="N882" s="143"/>
      <c r="O882" s="143"/>
      <c r="P882" s="114"/>
      <c r="Q882" s="114"/>
      <c r="R882" s="114"/>
      <c r="S882" s="114"/>
      <c r="T882" s="114"/>
      <c r="U882" s="114"/>
      <c r="V882" s="114"/>
      <c r="W882" s="114"/>
      <c r="X882" s="114"/>
    </row>
    <row r="883" spans="1:24" ht="15.75" customHeight="1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43"/>
      <c r="M883" s="143"/>
      <c r="N883" s="143"/>
      <c r="O883" s="143"/>
      <c r="P883" s="114"/>
      <c r="Q883" s="114"/>
      <c r="R883" s="114"/>
      <c r="S883" s="114"/>
      <c r="T883" s="114"/>
      <c r="U883" s="114"/>
      <c r="V883" s="114"/>
      <c r="W883" s="114"/>
      <c r="X883" s="114"/>
    </row>
    <row r="884" spans="1:24" ht="15.75" customHeight="1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43"/>
      <c r="M884" s="143"/>
      <c r="N884" s="143"/>
      <c r="O884" s="143"/>
      <c r="P884" s="114"/>
      <c r="Q884" s="114"/>
      <c r="R884" s="114"/>
      <c r="S884" s="114"/>
      <c r="T884" s="114"/>
      <c r="U884" s="114"/>
      <c r="V884" s="114"/>
      <c r="W884" s="114"/>
      <c r="X884" s="114"/>
    </row>
    <row r="885" spans="1:24" ht="15.75" customHeight="1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43"/>
      <c r="M885" s="143"/>
      <c r="N885" s="143"/>
      <c r="O885" s="143"/>
      <c r="P885" s="114"/>
      <c r="Q885" s="114"/>
      <c r="R885" s="114"/>
      <c r="S885" s="114"/>
      <c r="T885" s="114"/>
      <c r="U885" s="114"/>
      <c r="V885" s="114"/>
      <c r="W885" s="114"/>
      <c r="X885" s="114"/>
    </row>
    <row r="886" spans="1:24" ht="15.75" customHeight="1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43"/>
      <c r="M886" s="143"/>
      <c r="N886" s="143"/>
      <c r="O886" s="143"/>
      <c r="P886" s="114"/>
      <c r="Q886" s="114"/>
      <c r="R886" s="114"/>
      <c r="S886" s="114"/>
      <c r="T886" s="114"/>
      <c r="U886" s="114"/>
      <c r="V886" s="114"/>
      <c r="W886" s="114"/>
      <c r="X886" s="114"/>
    </row>
    <row r="887" spans="1:24" ht="15.75" customHeight="1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43"/>
      <c r="M887" s="143"/>
      <c r="N887" s="143"/>
      <c r="O887" s="143"/>
      <c r="P887" s="114"/>
      <c r="Q887" s="114"/>
      <c r="R887" s="114"/>
      <c r="S887" s="114"/>
      <c r="T887" s="114"/>
      <c r="U887" s="114"/>
      <c r="V887" s="114"/>
      <c r="W887" s="114"/>
      <c r="X887" s="114"/>
    </row>
    <row r="888" spans="1:24" ht="15.75" customHeight="1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43"/>
      <c r="M888" s="143"/>
      <c r="N888" s="143"/>
      <c r="O888" s="143"/>
      <c r="P888" s="114"/>
      <c r="Q888" s="114"/>
      <c r="R888" s="114"/>
      <c r="S888" s="114"/>
      <c r="T888" s="114"/>
      <c r="U888" s="114"/>
      <c r="V888" s="114"/>
      <c r="W888" s="114"/>
      <c r="X888" s="114"/>
    </row>
    <row r="889" spans="1:24" ht="15.75" customHeight="1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43"/>
      <c r="M889" s="143"/>
      <c r="N889" s="143"/>
      <c r="O889" s="143"/>
      <c r="P889" s="114"/>
      <c r="Q889" s="114"/>
      <c r="R889" s="114"/>
      <c r="S889" s="114"/>
      <c r="T889" s="114"/>
      <c r="U889" s="114"/>
      <c r="V889" s="114"/>
      <c r="W889" s="114"/>
      <c r="X889" s="114"/>
    </row>
    <row r="890" spans="1:24" ht="15.75" customHeight="1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43"/>
      <c r="M890" s="143"/>
      <c r="N890" s="143"/>
      <c r="O890" s="143"/>
      <c r="P890" s="114"/>
      <c r="Q890" s="114"/>
      <c r="R890" s="114"/>
      <c r="S890" s="114"/>
      <c r="T890" s="114"/>
      <c r="U890" s="114"/>
      <c r="V890" s="114"/>
      <c r="W890" s="114"/>
      <c r="X890" s="114"/>
    </row>
    <row r="891" spans="1:24" ht="15.75" customHeight="1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43"/>
      <c r="M891" s="143"/>
      <c r="N891" s="143"/>
      <c r="O891" s="143"/>
      <c r="P891" s="114"/>
      <c r="Q891" s="114"/>
      <c r="R891" s="114"/>
      <c r="S891" s="114"/>
      <c r="T891" s="114"/>
      <c r="U891" s="114"/>
      <c r="V891" s="114"/>
      <c r="W891" s="114"/>
      <c r="X891" s="114"/>
    </row>
    <row r="892" spans="1:24" ht="15.75" customHeight="1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43"/>
      <c r="M892" s="143"/>
      <c r="N892" s="143"/>
      <c r="O892" s="143"/>
      <c r="P892" s="114"/>
      <c r="Q892" s="114"/>
      <c r="R892" s="114"/>
      <c r="S892" s="114"/>
      <c r="T892" s="114"/>
      <c r="U892" s="114"/>
      <c r="V892" s="114"/>
      <c r="W892" s="114"/>
      <c r="X892" s="114"/>
    </row>
    <row r="893" spans="1:24" ht="15.75" customHeight="1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43"/>
      <c r="M893" s="143"/>
      <c r="N893" s="143"/>
      <c r="O893" s="143"/>
      <c r="P893" s="114"/>
      <c r="Q893" s="114"/>
      <c r="R893" s="114"/>
      <c r="S893" s="114"/>
      <c r="T893" s="114"/>
      <c r="U893" s="114"/>
      <c r="V893" s="114"/>
      <c r="W893" s="114"/>
      <c r="X893" s="114"/>
    </row>
    <row r="894" spans="1:24" ht="15.75" customHeight="1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43"/>
      <c r="M894" s="143"/>
      <c r="N894" s="143"/>
      <c r="O894" s="143"/>
      <c r="P894" s="114"/>
      <c r="Q894" s="114"/>
      <c r="R894" s="114"/>
      <c r="S894" s="114"/>
      <c r="T894" s="114"/>
      <c r="U894" s="114"/>
      <c r="V894" s="114"/>
      <c r="W894" s="114"/>
      <c r="X894" s="114"/>
    </row>
    <row r="895" spans="1:24" ht="15.75" customHeight="1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43"/>
      <c r="M895" s="143"/>
      <c r="N895" s="143"/>
      <c r="O895" s="143"/>
      <c r="P895" s="114"/>
      <c r="Q895" s="114"/>
      <c r="R895" s="114"/>
      <c r="S895" s="114"/>
      <c r="T895" s="114"/>
      <c r="U895" s="114"/>
      <c r="V895" s="114"/>
      <c r="W895" s="114"/>
      <c r="X895" s="114"/>
    </row>
    <row r="896" spans="1:24" ht="15.75" customHeight="1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43"/>
      <c r="M896" s="143"/>
      <c r="N896" s="143"/>
      <c r="O896" s="143"/>
      <c r="P896" s="114"/>
      <c r="Q896" s="114"/>
      <c r="R896" s="114"/>
      <c r="S896" s="114"/>
      <c r="T896" s="114"/>
      <c r="U896" s="114"/>
      <c r="V896" s="114"/>
      <c r="W896" s="114"/>
      <c r="X896" s="114"/>
    </row>
    <row r="897" spans="1:24" ht="15.75" customHeight="1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43"/>
      <c r="M897" s="143"/>
      <c r="N897" s="143"/>
      <c r="O897" s="143"/>
      <c r="P897" s="114"/>
      <c r="Q897" s="114"/>
      <c r="R897" s="114"/>
      <c r="S897" s="114"/>
      <c r="T897" s="114"/>
      <c r="U897" s="114"/>
      <c r="V897" s="114"/>
      <c r="W897" s="114"/>
      <c r="X897" s="114"/>
    </row>
    <row r="898" spans="1:24" ht="15.75" customHeight="1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43"/>
      <c r="M898" s="143"/>
      <c r="N898" s="143"/>
      <c r="O898" s="143"/>
      <c r="P898" s="114"/>
      <c r="Q898" s="114"/>
      <c r="R898" s="114"/>
      <c r="S898" s="114"/>
      <c r="T898" s="114"/>
      <c r="U898" s="114"/>
      <c r="V898" s="114"/>
      <c r="W898" s="114"/>
      <c r="X898" s="114"/>
    </row>
    <row r="899" spans="1:24" ht="15.75" customHeight="1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43"/>
      <c r="M899" s="143"/>
      <c r="N899" s="143"/>
      <c r="O899" s="143"/>
      <c r="P899" s="114"/>
      <c r="Q899" s="114"/>
      <c r="R899" s="114"/>
      <c r="S899" s="114"/>
      <c r="T899" s="114"/>
      <c r="U899" s="114"/>
      <c r="V899" s="114"/>
      <c r="W899" s="114"/>
      <c r="X899" s="114"/>
    </row>
    <row r="900" spans="1:24" ht="15.75" customHeight="1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43"/>
      <c r="M900" s="143"/>
      <c r="N900" s="143"/>
      <c r="O900" s="143"/>
      <c r="P900" s="114"/>
      <c r="Q900" s="114"/>
      <c r="R900" s="114"/>
      <c r="S900" s="114"/>
      <c r="T900" s="114"/>
      <c r="U900" s="114"/>
      <c r="V900" s="114"/>
      <c r="W900" s="114"/>
      <c r="X900" s="114"/>
    </row>
    <row r="901" spans="1:24" ht="15.75" customHeight="1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43"/>
      <c r="M901" s="143"/>
      <c r="N901" s="143"/>
      <c r="O901" s="143"/>
      <c r="P901" s="114"/>
      <c r="Q901" s="114"/>
      <c r="R901" s="114"/>
      <c r="S901" s="114"/>
      <c r="T901" s="114"/>
      <c r="U901" s="114"/>
      <c r="V901" s="114"/>
      <c r="W901" s="114"/>
      <c r="X901" s="114"/>
    </row>
    <row r="902" spans="1:24" ht="15.75" customHeight="1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43"/>
      <c r="M902" s="143"/>
      <c r="N902" s="143"/>
      <c r="O902" s="143"/>
      <c r="P902" s="114"/>
      <c r="Q902" s="114"/>
      <c r="R902" s="114"/>
      <c r="S902" s="114"/>
      <c r="T902" s="114"/>
      <c r="U902" s="114"/>
      <c r="V902" s="114"/>
      <c r="W902" s="114"/>
      <c r="X902" s="114"/>
    </row>
    <row r="903" spans="1:24" ht="15.75" customHeight="1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43"/>
      <c r="M903" s="143"/>
      <c r="N903" s="143"/>
      <c r="O903" s="143"/>
      <c r="P903" s="114"/>
      <c r="Q903" s="114"/>
      <c r="R903" s="114"/>
      <c r="S903" s="114"/>
      <c r="T903" s="114"/>
      <c r="U903" s="114"/>
      <c r="V903" s="114"/>
      <c r="W903" s="114"/>
      <c r="X903" s="114"/>
    </row>
    <row r="904" spans="1:24" ht="15.75" customHeight="1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43"/>
      <c r="M904" s="143"/>
      <c r="N904" s="143"/>
      <c r="O904" s="143"/>
      <c r="P904" s="114"/>
      <c r="Q904" s="114"/>
      <c r="R904" s="114"/>
      <c r="S904" s="114"/>
      <c r="T904" s="114"/>
      <c r="U904" s="114"/>
      <c r="V904" s="114"/>
      <c r="W904" s="114"/>
      <c r="X904" s="114"/>
    </row>
    <row r="905" spans="1:24" ht="15.75" customHeight="1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43"/>
      <c r="M905" s="143"/>
      <c r="N905" s="143"/>
      <c r="O905" s="143"/>
      <c r="P905" s="114"/>
      <c r="Q905" s="114"/>
      <c r="R905" s="114"/>
      <c r="S905" s="114"/>
      <c r="T905" s="114"/>
      <c r="U905" s="114"/>
      <c r="V905" s="114"/>
      <c r="W905" s="114"/>
      <c r="X905" s="114"/>
    </row>
    <row r="906" spans="1:24" ht="15.75" customHeight="1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43"/>
      <c r="M906" s="143"/>
      <c r="N906" s="143"/>
      <c r="O906" s="143"/>
      <c r="P906" s="114"/>
      <c r="Q906" s="114"/>
      <c r="R906" s="114"/>
      <c r="S906" s="114"/>
      <c r="T906" s="114"/>
      <c r="U906" s="114"/>
      <c r="V906" s="114"/>
      <c r="W906" s="114"/>
      <c r="X906" s="114"/>
    </row>
    <row r="907" spans="1:24" ht="15.75" customHeight="1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43"/>
      <c r="M907" s="143"/>
      <c r="N907" s="143"/>
      <c r="O907" s="143"/>
      <c r="P907" s="114"/>
      <c r="Q907" s="114"/>
      <c r="R907" s="114"/>
      <c r="S907" s="114"/>
      <c r="T907" s="114"/>
      <c r="U907" s="114"/>
      <c r="V907" s="114"/>
      <c r="W907" s="114"/>
      <c r="X907" s="114"/>
    </row>
    <row r="908" spans="1:24" ht="15.75" customHeight="1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43"/>
      <c r="M908" s="143"/>
      <c r="N908" s="143"/>
      <c r="O908" s="143"/>
      <c r="P908" s="114"/>
      <c r="Q908" s="114"/>
      <c r="R908" s="114"/>
      <c r="S908" s="114"/>
      <c r="T908" s="114"/>
      <c r="U908" s="114"/>
      <c r="V908" s="114"/>
      <c r="W908" s="114"/>
      <c r="X908" s="114"/>
    </row>
    <row r="909" spans="1:24" ht="15.75" customHeight="1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43"/>
      <c r="M909" s="143"/>
      <c r="N909" s="143"/>
      <c r="O909" s="143"/>
      <c r="P909" s="114"/>
      <c r="Q909" s="114"/>
      <c r="R909" s="114"/>
      <c r="S909" s="114"/>
      <c r="T909" s="114"/>
      <c r="U909" s="114"/>
      <c r="V909" s="114"/>
      <c r="W909" s="114"/>
      <c r="X909" s="114"/>
    </row>
    <row r="910" spans="1:24" ht="15.75" customHeight="1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43"/>
      <c r="M910" s="143"/>
      <c r="N910" s="143"/>
      <c r="O910" s="143"/>
      <c r="P910" s="114"/>
      <c r="Q910" s="114"/>
      <c r="R910" s="114"/>
      <c r="S910" s="114"/>
      <c r="T910" s="114"/>
      <c r="U910" s="114"/>
      <c r="V910" s="114"/>
      <c r="W910" s="114"/>
      <c r="X910" s="114"/>
    </row>
    <row r="911" spans="1:24" ht="15.75" customHeight="1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43"/>
      <c r="M911" s="143"/>
      <c r="N911" s="143"/>
      <c r="O911" s="143"/>
      <c r="P911" s="114"/>
      <c r="Q911" s="114"/>
      <c r="R911" s="114"/>
      <c r="S911" s="114"/>
      <c r="T911" s="114"/>
      <c r="U911" s="114"/>
      <c r="V911" s="114"/>
      <c r="W911" s="114"/>
      <c r="X911" s="114"/>
    </row>
    <row r="912" spans="1:24" ht="15.75" customHeight="1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43"/>
      <c r="M912" s="143"/>
      <c r="N912" s="143"/>
      <c r="O912" s="143"/>
      <c r="P912" s="114"/>
      <c r="Q912" s="114"/>
      <c r="R912" s="114"/>
      <c r="S912" s="114"/>
      <c r="T912" s="114"/>
      <c r="U912" s="114"/>
      <c r="V912" s="114"/>
      <c r="W912" s="114"/>
      <c r="X912" s="114"/>
    </row>
    <row r="913" spans="1:24" ht="15.75" customHeight="1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43"/>
      <c r="M913" s="143"/>
      <c r="N913" s="143"/>
      <c r="O913" s="143"/>
      <c r="P913" s="114"/>
      <c r="Q913" s="114"/>
      <c r="R913" s="114"/>
      <c r="S913" s="114"/>
      <c r="T913" s="114"/>
      <c r="U913" s="114"/>
      <c r="V913" s="114"/>
      <c r="W913" s="114"/>
      <c r="X913" s="114"/>
    </row>
    <row r="914" spans="1:24" ht="15.75" customHeight="1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43"/>
      <c r="M914" s="143"/>
      <c r="N914" s="143"/>
      <c r="O914" s="143"/>
      <c r="P914" s="114"/>
      <c r="Q914" s="114"/>
      <c r="R914" s="114"/>
      <c r="S914" s="114"/>
      <c r="T914" s="114"/>
      <c r="U914" s="114"/>
      <c r="V914" s="114"/>
      <c r="W914" s="114"/>
      <c r="X914" s="114"/>
    </row>
    <row r="915" spans="1:24" ht="15.75" customHeight="1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43"/>
      <c r="M915" s="143"/>
      <c r="N915" s="143"/>
      <c r="O915" s="143"/>
      <c r="P915" s="114"/>
      <c r="Q915" s="114"/>
      <c r="R915" s="114"/>
      <c r="S915" s="114"/>
      <c r="T915" s="114"/>
      <c r="U915" s="114"/>
      <c r="V915" s="114"/>
      <c r="W915" s="114"/>
      <c r="X915" s="114"/>
    </row>
    <row r="916" spans="1:24" ht="15.75" customHeight="1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43"/>
      <c r="M916" s="143"/>
      <c r="N916" s="143"/>
      <c r="O916" s="143"/>
      <c r="P916" s="114"/>
      <c r="Q916" s="114"/>
      <c r="R916" s="114"/>
      <c r="S916" s="114"/>
      <c r="T916" s="114"/>
      <c r="U916" s="114"/>
      <c r="V916" s="114"/>
      <c r="W916" s="114"/>
      <c r="X916" s="114"/>
    </row>
    <row r="917" spans="1:24" ht="15.75" customHeight="1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43"/>
      <c r="M917" s="143"/>
      <c r="N917" s="143"/>
      <c r="O917" s="143"/>
      <c r="P917" s="114"/>
      <c r="Q917" s="114"/>
      <c r="R917" s="114"/>
      <c r="S917" s="114"/>
      <c r="T917" s="114"/>
      <c r="U917" s="114"/>
      <c r="V917" s="114"/>
      <c r="W917" s="114"/>
      <c r="X917" s="114"/>
    </row>
    <row r="918" spans="1:24" ht="15.75" customHeight="1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43"/>
      <c r="M918" s="143"/>
      <c r="N918" s="143"/>
      <c r="O918" s="143"/>
      <c r="P918" s="114"/>
      <c r="Q918" s="114"/>
      <c r="R918" s="114"/>
      <c r="S918" s="114"/>
      <c r="T918" s="114"/>
      <c r="U918" s="114"/>
      <c r="V918" s="114"/>
      <c r="W918" s="114"/>
      <c r="X918" s="114"/>
    </row>
    <row r="919" spans="1:24" ht="15.75" customHeight="1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43"/>
      <c r="M919" s="143"/>
      <c r="N919" s="143"/>
      <c r="O919" s="143"/>
      <c r="P919" s="114"/>
      <c r="Q919" s="114"/>
      <c r="R919" s="114"/>
      <c r="S919" s="114"/>
      <c r="T919" s="114"/>
      <c r="U919" s="114"/>
      <c r="V919" s="114"/>
      <c r="W919" s="114"/>
      <c r="X919" s="114"/>
    </row>
    <row r="920" spans="1:24" ht="15.75" customHeight="1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43"/>
      <c r="M920" s="143"/>
      <c r="N920" s="143"/>
      <c r="O920" s="143"/>
      <c r="P920" s="114"/>
      <c r="Q920" s="114"/>
      <c r="R920" s="114"/>
      <c r="S920" s="114"/>
      <c r="T920" s="114"/>
      <c r="U920" s="114"/>
      <c r="V920" s="114"/>
      <c r="W920" s="114"/>
      <c r="X920" s="114"/>
    </row>
    <row r="921" spans="1:24" ht="15.75" customHeight="1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43"/>
      <c r="M921" s="143"/>
      <c r="N921" s="143"/>
      <c r="O921" s="143"/>
      <c r="P921" s="114"/>
      <c r="Q921" s="114"/>
      <c r="R921" s="114"/>
      <c r="S921" s="114"/>
      <c r="T921" s="114"/>
      <c r="U921" s="114"/>
      <c r="V921" s="114"/>
      <c r="W921" s="114"/>
      <c r="X921" s="114"/>
    </row>
    <row r="922" spans="1:24" ht="15.75" customHeight="1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43"/>
      <c r="M922" s="143"/>
      <c r="N922" s="143"/>
      <c r="O922" s="143"/>
      <c r="P922" s="114"/>
      <c r="Q922" s="114"/>
      <c r="R922" s="114"/>
      <c r="S922" s="114"/>
      <c r="T922" s="114"/>
      <c r="U922" s="114"/>
      <c r="V922" s="114"/>
      <c r="W922" s="114"/>
      <c r="X922" s="114"/>
    </row>
    <row r="923" spans="1:24" ht="15.75" customHeight="1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43"/>
      <c r="M923" s="143"/>
      <c r="N923" s="143"/>
      <c r="O923" s="143"/>
      <c r="P923" s="114"/>
      <c r="Q923" s="114"/>
      <c r="R923" s="114"/>
      <c r="S923" s="114"/>
      <c r="T923" s="114"/>
      <c r="U923" s="114"/>
      <c r="V923" s="114"/>
      <c r="W923" s="114"/>
      <c r="X923" s="114"/>
    </row>
    <row r="924" spans="1:24" ht="15.75" customHeight="1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43"/>
      <c r="M924" s="143"/>
      <c r="N924" s="143"/>
      <c r="O924" s="143"/>
      <c r="P924" s="114"/>
      <c r="Q924" s="114"/>
      <c r="R924" s="114"/>
      <c r="S924" s="114"/>
      <c r="T924" s="114"/>
      <c r="U924" s="114"/>
      <c r="V924" s="114"/>
      <c r="W924" s="114"/>
      <c r="X924" s="114"/>
    </row>
    <row r="925" spans="1:24" ht="15.75" customHeight="1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43"/>
      <c r="M925" s="143"/>
      <c r="N925" s="143"/>
      <c r="O925" s="143"/>
      <c r="P925" s="114"/>
      <c r="Q925" s="114"/>
      <c r="R925" s="114"/>
      <c r="S925" s="114"/>
      <c r="T925" s="114"/>
      <c r="U925" s="114"/>
      <c r="V925" s="114"/>
      <c r="W925" s="114"/>
      <c r="X925" s="114"/>
    </row>
    <row r="926" spans="1:24" ht="15.75" customHeight="1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43"/>
      <c r="M926" s="143"/>
      <c r="N926" s="143"/>
      <c r="O926" s="143"/>
      <c r="P926" s="114"/>
      <c r="Q926" s="114"/>
      <c r="R926" s="114"/>
      <c r="S926" s="114"/>
      <c r="T926" s="114"/>
      <c r="U926" s="114"/>
      <c r="V926" s="114"/>
      <c r="W926" s="114"/>
      <c r="X926" s="114"/>
    </row>
    <row r="927" spans="1:24" ht="15.75" customHeight="1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43"/>
      <c r="M927" s="143"/>
      <c r="N927" s="143"/>
      <c r="O927" s="143"/>
      <c r="P927" s="114"/>
      <c r="Q927" s="114"/>
      <c r="R927" s="114"/>
      <c r="S927" s="114"/>
      <c r="T927" s="114"/>
      <c r="U927" s="114"/>
      <c r="V927" s="114"/>
      <c r="W927" s="114"/>
      <c r="X927" s="114"/>
    </row>
    <row r="928" spans="1:24" ht="15.75" customHeight="1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43"/>
      <c r="M928" s="143"/>
      <c r="N928" s="143"/>
      <c r="O928" s="143"/>
      <c r="P928" s="114"/>
      <c r="Q928" s="114"/>
      <c r="R928" s="114"/>
      <c r="S928" s="114"/>
      <c r="T928" s="114"/>
      <c r="U928" s="114"/>
      <c r="V928" s="114"/>
      <c r="W928" s="114"/>
      <c r="X928" s="114"/>
    </row>
    <row r="929" spans="1:24" ht="15.75" customHeight="1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43"/>
      <c r="M929" s="143"/>
      <c r="N929" s="143"/>
      <c r="O929" s="143"/>
      <c r="P929" s="114"/>
      <c r="Q929" s="114"/>
      <c r="R929" s="114"/>
      <c r="S929" s="114"/>
      <c r="T929" s="114"/>
      <c r="U929" s="114"/>
      <c r="V929" s="114"/>
      <c r="W929" s="114"/>
      <c r="X929" s="114"/>
    </row>
    <row r="930" spans="1:24" ht="15.75" customHeight="1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43"/>
      <c r="M930" s="143"/>
      <c r="N930" s="143"/>
      <c r="O930" s="143"/>
      <c r="P930" s="114"/>
      <c r="Q930" s="114"/>
      <c r="R930" s="114"/>
      <c r="S930" s="114"/>
      <c r="T930" s="114"/>
      <c r="U930" s="114"/>
      <c r="V930" s="114"/>
      <c r="W930" s="114"/>
      <c r="X930" s="114"/>
    </row>
    <row r="931" spans="1:24" ht="15.75" customHeight="1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43"/>
      <c r="M931" s="143"/>
      <c r="N931" s="143"/>
      <c r="O931" s="143"/>
      <c r="P931" s="114"/>
      <c r="Q931" s="114"/>
      <c r="R931" s="114"/>
      <c r="S931" s="114"/>
      <c r="T931" s="114"/>
      <c r="U931" s="114"/>
      <c r="V931" s="114"/>
      <c r="W931" s="114"/>
      <c r="X931" s="114"/>
    </row>
    <row r="932" spans="1:24" ht="15.75" customHeight="1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43"/>
      <c r="M932" s="143"/>
      <c r="N932" s="143"/>
      <c r="O932" s="143"/>
      <c r="P932" s="114"/>
      <c r="Q932" s="114"/>
      <c r="R932" s="114"/>
      <c r="S932" s="114"/>
      <c r="T932" s="114"/>
      <c r="U932" s="114"/>
      <c r="V932" s="114"/>
      <c r="W932" s="114"/>
      <c r="X932" s="114"/>
    </row>
    <row r="933" spans="1:24" ht="15.75" customHeight="1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43"/>
      <c r="M933" s="143"/>
      <c r="N933" s="143"/>
      <c r="O933" s="143"/>
      <c r="P933" s="114"/>
      <c r="Q933" s="114"/>
      <c r="R933" s="114"/>
      <c r="S933" s="114"/>
      <c r="T933" s="114"/>
      <c r="U933" s="114"/>
      <c r="V933" s="114"/>
      <c r="W933" s="114"/>
      <c r="X933" s="114"/>
    </row>
    <row r="934" spans="1:24" ht="15.75" customHeight="1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43"/>
      <c r="M934" s="143"/>
      <c r="N934" s="143"/>
      <c r="O934" s="143"/>
      <c r="P934" s="114"/>
      <c r="Q934" s="114"/>
      <c r="R934" s="114"/>
      <c r="S934" s="114"/>
      <c r="T934" s="114"/>
      <c r="U934" s="114"/>
      <c r="V934" s="114"/>
      <c r="W934" s="114"/>
      <c r="X934" s="114"/>
    </row>
    <row r="935" spans="1:24" ht="15.75" customHeight="1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43"/>
      <c r="M935" s="143"/>
      <c r="N935" s="143"/>
      <c r="O935" s="143"/>
      <c r="P935" s="114"/>
      <c r="Q935" s="114"/>
      <c r="R935" s="114"/>
      <c r="S935" s="114"/>
      <c r="T935" s="114"/>
      <c r="U935" s="114"/>
      <c r="V935" s="114"/>
      <c r="W935" s="114"/>
      <c r="X935" s="114"/>
    </row>
    <row r="936" spans="1:24" ht="15.75" customHeight="1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43"/>
      <c r="M936" s="143"/>
      <c r="N936" s="143"/>
      <c r="O936" s="143"/>
      <c r="P936" s="114"/>
      <c r="Q936" s="114"/>
      <c r="R936" s="114"/>
      <c r="S936" s="114"/>
      <c r="T936" s="114"/>
      <c r="U936" s="114"/>
      <c r="V936" s="114"/>
      <c r="W936" s="114"/>
      <c r="X936" s="114"/>
    </row>
    <row r="937" spans="1:24" ht="15.75" customHeight="1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43"/>
      <c r="M937" s="143"/>
      <c r="N937" s="143"/>
      <c r="O937" s="143"/>
      <c r="P937" s="114"/>
      <c r="Q937" s="114"/>
      <c r="R937" s="114"/>
      <c r="S937" s="114"/>
      <c r="T937" s="114"/>
      <c r="U937" s="114"/>
      <c r="V937" s="114"/>
      <c r="W937" s="114"/>
      <c r="X937" s="114"/>
    </row>
    <row r="938" spans="1:24" ht="15.75" customHeight="1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43"/>
      <c r="M938" s="143"/>
      <c r="N938" s="143"/>
      <c r="O938" s="143"/>
      <c r="P938" s="114"/>
      <c r="Q938" s="114"/>
      <c r="R938" s="114"/>
      <c r="S938" s="114"/>
      <c r="T938" s="114"/>
      <c r="U938" s="114"/>
      <c r="V938" s="114"/>
      <c r="W938" s="114"/>
      <c r="X938" s="114"/>
    </row>
    <row r="939" spans="1:24" ht="15.75" customHeight="1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43"/>
      <c r="M939" s="143"/>
      <c r="N939" s="143"/>
      <c r="O939" s="143"/>
      <c r="P939" s="114"/>
      <c r="Q939" s="114"/>
      <c r="R939" s="114"/>
      <c r="S939" s="114"/>
      <c r="T939" s="114"/>
      <c r="U939" s="114"/>
      <c r="V939" s="114"/>
      <c r="W939" s="114"/>
      <c r="X939" s="114"/>
    </row>
    <row r="940" spans="1:24" ht="15.75" customHeight="1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43"/>
      <c r="M940" s="143"/>
      <c r="N940" s="143"/>
      <c r="O940" s="143"/>
      <c r="P940" s="114"/>
      <c r="Q940" s="114"/>
      <c r="R940" s="114"/>
      <c r="S940" s="114"/>
      <c r="T940" s="114"/>
      <c r="U940" s="114"/>
      <c r="V940" s="114"/>
      <c r="W940" s="114"/>
      <c r="X940" s="114"/>
    </row>
    <row r="941" spans="1:24" ht="15.75" customHeight="1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43"/>
      <c r="M941" s="143"/>
      <c r="N941" s="143"/>
      <c r="O941" s="143"/>
      <c r="P941" s="114"/>
      <c r="Q941" s="114"/>
      <c r="R941" s="114"/>
      <c r="S941" s="114"/>
      <c r="T941" s="114"/>
      <c r="U941" s="114"/>
      <c r="V941" s="114"/>
      <c r="W941" s="114"/>
      <c r="X941" s="114"/>
    </row>
    <row r="942" spans="1:24" ht="15.75" customHeight="1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43"/>
      <c r="M942" s="143"/>
      <c r="N942" s="143"/>
      <c r="O942" s="143"/>
      <c r="P942" s="114"/>
      <c r="Q942" s="114"/>
      <c r="R942" s="114"/>
      <c r="S942" s="114"/>
      <c r="T942" s="114"/>
      <c r="U942" s="114"/>
      <c r="V942" s="114"/>
      <c r="W942" s="114"/>
      <c r="X942" s="114"/>
    </row>
    <row r="943" spans="1:24" ht="15.75" customHeight="1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43"/>
      <c r="M943" s="143"/>
      <c r="N943" s="143"/>
      <c r="O943" s="143"/>
      <c r="P943" s="114"/>
      <c r="Q943" s="114"/>
      <c r="R943" s="114"/>
      <c r="S943" s="114"/>
      <c r="T943" s="114"/>
      <c r="U943" s="114"/>
      <c r="V943" s="114"/>
      <c r="W943" s="114"/>
      <c r="X943" s="114"/>
    </row>
    <row r="944" spans="1:24" ht="15.75" customHeight="1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43"/>
      <c r="M944" s="143"/>
      <c r="N944" s="143"/>
      <c r="O944" s="143"/>
      <c r="P944" s="114"/>
      <c r="Q944" s="114"/>
      <c r="R944" s="114"/>
      <c r="S944" s="114"/>
      <c r="T944" s="114"/>
      <c r="U944" s="114"/>
      <c r="V944" s="114"/>
      <c r="W944" s="114"/>
      <c r="X944" s="114"/>
    </row>
    <row r="945" spans="1:24" ht="15.75" customHeight="1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43"/>
      <c r="M945" s="143"/>
      <c r="N945" s="143"/>
      <c r="O945" s="143"/>
      <c r="P945" s="114"/>
      <c r="Q945" s="114"/>
      <c r="R945" s="114"/>
      <c r="S945" s="114"/>
      <c r="T945" s="114"/>
      <c r="U945" s="114"/>
      <c r="V945" s="114"/>
      <c r="W945" s="114"/>
      <c r="X945" s="114"/>
    </row>
    <row r="946" spans="1:24" ht="15.75" customHeight="1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43"/>
      <c r="M946" s="143"/>
      <c r="N946" s="143"/>
      <c r="O946" s="143"/>
      <c r="P946" s="114"/>
      <c r="Q946" s="114"/>
      <c r="R946" s="114"/>
      <c r="S946" s="114"/>
      <c r="T946" s="114"/>
      <c r="U946" s="114"/>
      <c r="V946" s="114"/>
      <c r="W946" s="114"/>
      <c r="X946" s="114"/>
    </row>
    <row r="947" spans="1:24" ht="15.75" customHeight="1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43"/>
      <c r="M947" s="143"/>
      <c r="N947" s="143"/>
      <c r="O947" s="143"/>
      <c r="P947" s="114"/>
      <c r="Q947" s="114"/>
      <c r="R947" s="114"/>
      <c r="S947" s="114"/>
      <c r="T947" s="114"/>
      <c r="U947" s="114"/>
      <c r="V947" s="114"/>
      <c r="W947" s="114"/>
      <c r="X947" s="114"/>
    </row>
    <row r="948" spans="1:24" ht="15.75" customHeight="1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43"/>
      <c r="M948" s="143"/>
      <c r="N948" s="143"/>
      <c r="O948" s="143"/>
      <c r="P948" s="114"/>
      <c r="Q948" s="114"/>
      <c r="R948" s="114"/>
      <c r="S948" s="114"/>
      <c r="T948" s="114"/>
      <c r="U948" s="114"/>
      <c r="V948" s="114"/>
      <c r="W948" s="114"/>
      <c r="X948" s="114"/>
    </row>
    <row r="949" spans="1:24" ht="15.75" customHeight="1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43"/>
      <c r="M949" s="143"/>
      <c r="N949" s="143"/>
      <c r="O949" s="143"/>
      <c r="P949" s="114"/>
      <c r="Q949" s="114"/>
      <c r="R949" s="114"/>
      <c r="S949" s="114"/>
      <c r="T949" s="114"/>
      <c r="U949" s="114"/>
      <c r="V949" s="114"/>
      <c r="W949" s="114"/>
      <c r="X949" s="114"/>
    </row>
    <row r="950" spans="1:24" ht="15.75" customHeight="1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43"/>
      <c r="M950" s="143"/>
      <c r="N950" s="143"/>
      <c r="O950" s="143"/>
      <c r="P950" s="114"/>
      <c r="Q950" s="114"/>
      <c r="R950" s="114"/>
      <c r="S950" s="114"/>
      <c r="T950" s="114"/>
      <c r="U950" s="114"/>
      <c r="V950" s="114"/>
      <c r="W950" s="114"/>
      <c r="X950" s="114"/>
    </row>
    <row r="951" spans="1:24" ht="15.75" customHeight="1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43"/>
      <c r="M951" s="143"/>
      <c r="N951" s="143"/>
      <c r="O951" s="143"/>
      <c r="P951" s="114"/>
      <c r="Q951" s="114"/>
      <c r="R951" s="114"/>
      <c r="S951" s="114"/>
      <c r="T951" s="114"/>
      <c r="U951" s="114"/>
      <c r="V951" s="114"/>
      <c r="W951" s="114"/>
      <c r="X951" s="114"/>
    </row>
    <row r="952" spans="1:24" ht="15.75" customHeight="1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43"/>
      <c r="M952" s="143"/>
      <c r="N952" s="143"/>
      <c r="O952" s="143"/>
      <c r="P952" s="114"/>
      <c r="Q952" s="114"/>
      <c r="R952" s="114"/>
      <c r="S952" s="114"/>
      <c r="T952" s="114"/>
      <c r="U952" s="114"/>
      <c r="V952" s="114"/>
      <c r="W952" s="114"/>
      <c r="X952" s="114"/>
    </row>
    <row r="953" spans="1:24" ht="15.75" customHeight="1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43"/>
      <c r="M953" s="143"/>
      <c r="N953" s="143"/>
      <c r="O953" s="143"/>
      <c r="P953" s="114"/>
      <c r="Q953" s="114"/>
      <c r="R953" s="114"/>
      <c r="S953" s="114"/>
      <c r="T953" s="114"/>
      <c r="U953" s="114"/>
      <c r="V953" s="114"/>
      <c r="W953" s="114"/>
      <c r="X953" s="114"/>
    </row>
    <row r="954" spans="1:24" ht="15.75" customHeight="1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43"/>
      <c r="M954" s="143"/>
      <c r="N954" s="143"/>
      <c r="O954" s="143"/>
      <c r="P954" s="114"/>
      <c r="Q954" s="114"/>
      <c r="R954" s="114"/>
      <c r="S954" s="114"/>
      <c r="T954" s="114"/>
      <c r="U954" s="114"/>
      <c r="V954" s="114"/>
      <c r="W954" s="114"/>
      <c r="X954" s="114"/>
    </row>
    <row r="955" spans="1:24" ht="15.75" customHeight="1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43"/>
      <c r="M955" s="143"/>
      <c r="N955" s="143"/>
      <c r="O955" s="143"/>
      <c r="P955" s="114"/>
      <c r="Q955" s="114"/>
      <c r="R955" s="114"/>
      <c r="S955" s="114"/>
      <c r="T955" s="114"/>
      <c r="U955" s="114"/>
      <c r="V955" s="114"/>
      <c r="W955" s="114"/>
      <c r="X955" s="114"/>
    </row>
    <row r="956" spans="1:24" ht="15.75" customHeight="1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43"/>
      <c r="M956" s="143"/>
      <c r="N956" s="143"/>
      <c r="O956" s="143"/>
      <c r="P956" s="114"/>
      <c r="Q956" s="114"/>
      <c r="R956" s="114"/>
      <c r="S956" s="114"/>
      <c r="T956" s="114"/>
      <c r="U956" s="114"/>
      <c r="V956" s="114"/>
      <c r="W956" s="114"/>
      <c r="X956" s="114"/>
    </row>
    <row r="957" spans="1:24" ht="15.75" customHeight="1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43"/>
      <c r="M957" s="143"/>
      <c r="N957" s="143"/>
      <c r="O957" s="143"/>
      <c r="P957" s="114"/>
      <c r="Q957" s="114"/>
      <c r="R957" s="114"/>
      <c r="S957" s="114"/>
      <c r="T957" s="114"/>
      <c r="U957" s="114"/>
      <c r="V957" s="114"/>
      <c r="W957" s="114"/>
      <c r="X957" s="114"/>
    </row>
    <row r="958" spans="1:24" ht="15.75" customHeight="1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43"/>
      <c r="M958" s="143"/>
      <c r="N958" s="143"/>
      <c r="O958" s="143"/>
      <c r="P958" s="114"/>
      <c r="Q958" s="114"/>
      <c r="R958" s="114"/>
      <c r="S958" s="114"/>
      <c r="T958" s="114"/>
      <c r="U958" s="114"/>
      <c r="V958" s="114"/>
      <c r="W958" s="114"/>
      <c r="X958" s="114"/>
    </row>
    <row r="959" spans="1:24" ht="15.75" customHeight="1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43"/>
      <c r="M959" s="143"/>
      <c r="N959" s="143"/>
      <c r="O959" s="143"/>
      <c r="P959" s="114"/>
      <c r="Q959" s="114"/>
      <c r="R959" s="114"/>
      <c r="S959" s="114"/>
      <c r="T959" s="114"/>
      <c r="U959" s="114"/>
      <c r="V959" s="114"/>
      <c r="W959" s="114"/>
      <c r="X959" s="114"/>
    </row>
    <row r="960" spans="1:24" ht="15.75" customHeight="1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43"/>
      <c r="M960" s="143"/>
      <c r="N960" s="143"/>
      <c r="O960" s="143"/>
      <c r="P960" s="114"/>
      <c r="Q960" s="114"/>
      <c r="R960" s="114"/>
      <c r="S960" s="114"/>
      <c r="T960" s="114"/>
      <c r="U960" s="114"/>
      <c r="V960" s="114"/>
      <c r="W960" s="114"/>
      <c r="X960" s="114"/>
    </row>
    <row r="961" spans="1:24" ht="15.75" customHeight="1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43"/>
      <c r="M961" s="143"/>
      <c r="N961" s="143"/>
      <c r="O961" s="143"/>
      <c r="P961" s="114"/>
      <c r="Q961" s="114"/>
      <c r="R961" s="114"/>
      <c r="S961" s="114"/>
      <c r="T961" s="114"/>
      <c r="U961" s="114"/>
      <c r="V961" s="114"/>
      <c r="W961" s="114"/>
      <c r="X961" s="114"/>
    </row>
    <row r="962" spans="1:24" ht="15.75" customHeight="1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43"/>
      <c r="M962" s="143"/>
      <c r="N962" s="143"/>
      <c r="O962" s="143"/>
      <c r="P962" s="114"/>
      <c r="Q962" s="114"/>
      <c r="R962" s="114"/>
      <c r="S962" s="114"/>
      <c r="T962" s="114"/>
      <c r="U962" s="114"/>
      <c r="V962" s="114"/>
      <c r="W962" s="114"/>
      <c r="X962" s="114"/>
    </row>
    <row r="963" spans="1:24" ht="15.75" customHeight="1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43"/>
      <c r="M963" s="143"/>
      <c r="N963" s="143"/>
      <c r="O963" s="143"/>
      <c r="P963" s="114"/>
      <c r="Q963" s="114"/>
      <c r="R963" s="114"/>
      <c r="S963" s="114"/>
      <c r="T963" s="114"/>
      <c r="U963" s="114"/>
      <c r="V963" s="114"/>
      <c r="W963" s="114"/>
      <c r="X963" s="114"/>
    </row>
    <row r="964" spans="1:24" ht="15.75" customHeight="1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43"/>
      <c r="M964" s="143"/>
      <c r="N964" s="143"/>
      <c r="O964" s="143"/>
      <c r="P964" s="114"/>
      <c r="Q964" s="114"/>
      <c r="R964" s="114"/>
      <c r="S964" s="114"/>
      <c r="T964" s="114"/>
      <c r="U964" s="114"/>
      <c r="V964" s="114"/>
      <c r="W964" s="114"/>
      <c r="X964" s="114"/>
    </row>
    <row r="965" spans="1:24" ht="15.75" customHeight="1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43"/>
      <c r="M965" s="143"/>
      <c r="N965" s="143"/>
      <c r="O965" s="143"/>
      <c r="P965" s="114"/>
      <c r="Q965" s="114"/>
      <c r="R965" s="114"/>
      <c r="S965" s="114"/>
      <c r="T965" s="114"/>
      <c r="U965" s="114"/>
      <c r="V965" s="114"/>
      <c r="W965" s="114"/>
      <c r="X965" s="114"/>
    </row>
    <row r="966" spans="1:24" ht="15.75" customHeight="1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43"/>
      <c r="M966" s="143"/>
      <c r="N966" s="143"/>
      <c r="O966" s="143"/>
      <c r="P966" s="114"/>
      <c r="Q966" s="114"/>
      <c r="R966" s="114"/>
      <c r="S966" s="114"/>
      <c r="T966" s="114"/>
      <c r="U966" s="114"/>
      <c r="V966" s="114"/>
      <c r="W966" s="114"/>
      <c r="X966" s="114"/>
    </row>
    <row r="967" spans="1:24" ht="15.75" customHeight="1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43"/>
      <c r="M967" s="143"/>
      <c r="N967" s="143"/>
      <c r="O967" s="143"/>
      <c r="P967" s="114"/>
      <c r="Q967" s="114"/>
      <c r="R967" s="114"/>
      <c r="S967" s="114"/>
      <c r="T967" s="114"/>
      <c r="U967" s="114"/>
      <c r="V967" s="114"/>
      <c r="W967" s="114"/>
      <c r="X967" s="114"/>
    </row>
    <row r="968" spans="1:24" ht="15.75" customHeight="1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43"/>
      <c r="M968" s="143"/>
      <c r="N968" s="143"/>
      <c r="O968" s="143"/>
      <c r="P968" s="114"/>
      <c r="Q968" s="114"/>
      <c r="R968" s="114"/>
      <c r="S968" s="114"/>
      <c r="T968" s="114"/>
      <c r="U968" s="114"/>
      <c r="V968" s="114"/>
      <c r="W968" s="114"/>
      <c r="X968" s="114"/>
    </row>
    <row r="969" spans="1:24" ht="15.75" customHeight="1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43"/>
      <c r="M969" s="143"/>
      <c r="N969" s="143"/>
      <c r="O969" s="143"/>
      <c r="P969" s="114"/>
      <c r="Q969" s="114"/>
      <c r="R969" s="114"/>
      <c r="S969" s="114"/>
      <c r="T969" s="114"/>
      <c r="U969" s="114"/>
      <c r="V969" s="114"/>
      <c r="W969" s="114"/>
      <c r="X969" s="114"/>
    </row>
    <row r="970" spans="1:24" ht="15.75" customHeight="1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43"/>
      <c r="M970" s="143"/>
      <c r="N970" s="143"/>
      <c r="O970" s="143"/>
      <c r="P970" s="114"/>
      <c r="Q970" s="114"/>
      <c r="R970" s="114"/>
      <c r="S970" s="114"/>
      <c r="T970" s="114"/>
      <c r="U970" s="114"/>
      <c r="V970" s="114"/>
      <c r="W970" s="114"/>
      <c r="X970" s="114"/>
    </row>
    <row r="971" spans="1:24" ht="15.75" customHeight="1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43"/>
      <c r="M971" s="143"/>
      <c r="N971" s="143"/>
      <c r="O971" s="143"/>
      <c r="P971" s="114"/>
      <c r="Q971" s="114"/>
      <c r="R971" s="114"/>
      <c r="S971" s="114"/>
      <c r="T971" s="114"/>
      <c r="U971" s="114"/>
      <c r="V971" s="114"/>
      <c r="W971" s="114"/>
      <c r="X971" s="114"/>
    </row>
    <row r="972" spans="1:24" ht="15.75" customHeight="1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43"/>
      <c r="M972" s="143"/>
      <c r="N972" s="143"/>
      <c r="O972" s="143"/>
      <c r="P972" s="114"/>
      <c r="Q972" s="114"/>
      <c r="R972" s="114"/>
      <c r="S972" s="114"/>
      <c r="T972" s="114"/>
      <c r="U972" s="114"/>
      <c r="V972" s="114"/>
      <c r="W972" s="114"/>
      <c r="X972" s="114"/>
    </row>
    <row r="973" spans="1:24" ht="15.75" customHeight="1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43"/>
      <c r="M973" s="143"/>
      <c r="N973" s="143"/>
      <c r="O973" s="143"/>
      <c r="P973" s="114"/>
      <c r="Q973" s="114"/>
      <c r="R973" s="114"/>
      <c r="S973" s="114"/>
      <c r="T973" s="114"/>
      <c r="U973" s="114"/>
      <c r="V973" s="114"/>
      <c r="W973" s="114"/>
      <c r="X973" s="114"/>
    </row>
    <row r="974" spans="1:24" ht="15.75" customHeight="1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43"/>
      <c r="M974" s="143"/>
      <c r="N974" s="143"/>
      <c r="O974" s="143"/>
      <c r="P974" s="114"/>
      <c r="Q974" s="114"/>
      <c r="R974" s="114"/>
      <c r="S974" s="114"/>
      <c r="T974" s="114"/>
      <c r="U974" s="114"/>
      <c r="V974" s="114"/>
      <c r="W974" s="114"/>
      <c r="X974" s="114"/>
    </row>
    <row r="975" spans="1:24" ht="15.75" customHeight="1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43"/>
      <c r="M975" s="143"/>
      <c r="N975" s="143"/>
      <c r="O975" s="143"/>
      <c r="P975" s="114"/>
      <c r="Q975" s="114"/>
      <c r="R975" s="114"/>
      <c r="S975" s="114"/>
      <c r="T975" s="114"/>
      <c r="U975" s="114"/>
      <c r="V975" s="114"/>
      <c r="W975" s="114"/>
      <c r="X975" s="114"/>
    </row>
    <row r="976" spans="1:24" ht="15.75" customHeight="1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43"/>
      <c r="M976" s="143"/>
      <c r="N976" s="143"/>
      <c r="O976" s="143"/>
      <c r="P976" s="114"/>
      <c r="Q976" s="114"/>
      <c r="R976" s="114"/>
      <c r="S976" s="114"/>
      <c r="T976" s="114"/>
      <c r="U976" s="114"/>
      <c r="V976" s="114"/>
      <c r="W976" s="114"/>
      <c r="X976" s="114"/>
    </row>
    <row r="977" spans="1:24" ht="15.75" customHeight="1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43"/>
      <c r="M977" s="143"/>
      <c r="N977" s="143"/>
      <c r="O977" s="143"/>
      <c r="P977" s="114"/>
      <c r="Q977" s="114"/>
      <c r="R977" s="114"/>
      <c r="S977" s="114"/>
      <c r="T977" s="114"/>
      <c r="U977" s="114"/>
      <c r="V977" s="114"/>
      <c r="W977" s="114"/>
      <c r="X977" s="114"/>
    </row>
    <row r="978" spans="1:24" ht="15.75" customHeight="1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43"/>
      <c r="M978" s="143"/>
      <c r="N978" s="143"/>
      <c r="O978" s="143"/>
      <c r="P978" s="114"/>
      <c r="Q978" s="114"/>
      <c r="R978" s="114"/>
      <c r="S978" s="114"/>
      <c r="T978" s="114"/>
      <c r="U978" s="114"/>
      <c r="V978" s="114"/>
      <c r="W978" s="114"/>
      <c r="X978" s="114"/>
    </row>
    <row r="979" spans="1:24" ht="15.75" customHeight="1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43"/>
      <c r="M979" s="143"/>
      <c r="N979" s="143"/>
      <c r="O979" s="143"/>
      <c r="P979" s="114"/>
      <c r="Q979" s="114"/>
      <c r="R979" s="114"/>
      <c r="S979" s="114"/>
      <c r="T979" s="114"/>
      <c r="U979" s="114"/>
      <c r="V979" s="114"/>
      <c r="W979" s="114"/>
      <c r="X979" s="114"/>
    </row>
    <row r="980" spans="1:24" ht="15.75" customHeight="1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43"/>
      <c r="M980" s="143"/>
      <c r="N980" s="143"/>
      <c r="O980" s="143"/>
      <c r="P980" s="114"/>
      <c r="Q980" s="114"/>
      <c r="R980" s="114"/>
      <c r="S980" s="114"/>
      <c r="T980" s="114"/>
      <c r="U980" s="114"/>
      <c r="V980" s="114"/>
      <c r="W980" s="114"/>
      <c r="X980" s="114"/>
    </row>
    <row r="981" spans="1:24" ht="15.75" customHeight="1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43"/>
      <c r="M981" s="143"/>
      <c r="N981" s="143"/>
      <c r="O981" s="143"/>
      <c r="P981" s="114"/>
      <c r="Q981" s="114"/>
      <c r="R981" s="114"/>
      <c r="S981" s="114"/>
      <c r="T981" s="114"/>
      <c r="U981" s="114"/>
      <c r="V981" s="114"/>
      <c r="W981" s="114"/>
      <c r="X981" s="114"/>
    </row>
    <row r="982" spans="1:24" ht="15.75" customHeight="1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43"/>
      <c r="M982" s="143"/>
      <c r="N982" s="143"/>
      <c r="O982" s="143"/>
      <c r="P982" s="114"/>
      <c r="Q982" s="114"/>
      <c r="R982" s="114"/>
      <c r="S982" s="114"/>
      <c r="T982" s="114"/>
      <c r="U982" s="114"/>
      <c r="V982" s="114"/>
      <c r="W982" s="114"/>
      <c r="X982" s="114"/>
    </row>
    <row r="983" spans="1:24" ht="15.75" customHeight="1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43"/>
      <c r="M983" s="143"/>
      <c r="N983" s="143"/>
      <c r="O983" s="143"/>
      <c r="P983" s="114"/>
      <c r="Q983" s="114"/>
      <c r="R983" s="114"/>
      <c r="S983" s="114"/>
      <c r="T983" s="114"/>
      <c r="U983" s="114"/>
      <c r="V983" s="114"/>
      <c r="W983" s="114"/>
      <c r="X983" s="114"/>
    </row>
    <row r="984" spans="1:24" ht="15.75" customHeight="1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43"/>
      <c r="M984" s="143"/>
      <c r="N984" s="143"/>
      <c r="O984" s="143"/>
      <c r="P984" s="114"/>
      <c r="Q984" s="114"/>
      <c r="R984" s="114"/>
      <c r="S984" s="114"/>
      <c r="T984" s="114"/>
      <c r="U984" s="114"/>
      <c r="V984" s="114"/>
      <c r="W984" s="114"/>
      <c r="X984" s="114"/>
    </row>
    <row r="985" spans="1:24" ht="15.75" customHeight="1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43"/>
      <c r="M985" s="143"/>
      <c r="N985" s="143"/>
      <c r="O985" s="143"/>
      <c r="P985" s="114"/>
      <c r="Q985" s="114"/>
      <c r="R985" s="114"/>
      <c r="S985" s="114"/>
      <c r="T985" s="114"/>
      <c r="U985" s="114"/>
      <c r="V985" s="114"/>
      <c r="W985" s="114"/>
      <c r="X985" s="114"/>
    </row>
    <row r="986" spans="1:24" ht="15.75" customHeight="1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43"/>
      <c r="M986" s="143"/>
      <c r="N986" s="143"/>
      <c r="O986" s="143"/>
      <c r="P986" s="114"/>
      <c r="Q986" s="114"/>
      <c r="R986" s="114"/>
      <c r="S986" s="114"/>
      <c r="T986" s="114"/>
      <c r="U986" s="114"/>
      <c r="V986" s="114"/>
      <c r="W986" s="114"/>
      <c r="X986" s="114"/>
    </row>
    <row r="987" spans="1:24" ht="15.75" customHeight="1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43"/>
      <c r="M987" s="143"/>
      <c r="N987" s="143"/>
      <c r="O987" s="143"/>
      <c r="P987" s="114"/>
      <c r="Q987" s="114"/>
      <c r="R987" s="114"/>
      <c r="S987" s="114"/>
      <c r="T987" s="114"/>
      <c r="U987" s="114"/>
      <c r="V987" s="114"/>
      <c r="W987" s="114"/>
      <c r="X987" s="114"/>
    </row>
    <row r="988" spans="1:24" ht="15.75" customHeight="1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43"/>
      <c r="M988" s="143"/>
      <c r="N988" s="143"/>
      <c r="O988" s="143"/>
      <c r="P988" s="114"/>
      <c r="Q988" s="114"/>
      <c r="R988" s="114"/>
      <c r="S988" s="114"/>
      <c r="T988" s="114"/>
      <c r="U988" s="114"/>
      <c r="V988" s="114"/>
      <c r="W988" s="114"/>
      <c r="X988" s="114"/>
    </row>
    <row r="989" spans="1:24" ht="15.75" customHeight="1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43"/>
      <c r="M989" s="143"/>
      <c r="N989" s="143"/>
      <c r="O989" s="143"/>
      <c r="P989" s="114"/>
      <c r="Q989" s="114"/>
      <c r="R989" s="114"/>
      <c r="S989" s="114"/>
      <c r="T989" s="114"/>
      <c r="U989" s="114"/>
      <c r="V989" s="114"/>
      <c r="W989" s="114"/>
      <c r="X989" s="114"/>
    </row>
    <row r="990" spans="1:24" ht="15.75" customHeight="1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43"/>
      <c r="M990" s="143"/>
      <c r="N990" s="143"/>
      <c r="O990" s="143"/>
      <c r="P990" s="114"/>
      <c r="Q990" s="114"/>
      <c r="R990" s="114"/>
      <c r="S990" s="114"/>
      <c r="T990" s="114"/>
      <c r="U990" s="114"/>
      <c r="V990" s="114"/>
      <c r="W990" s="114"/>
      <c r="X990" s="114"/>
    </row>
    <row r="991" spans="1:24" ht="15.75" customHeight="1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43"/>
      <c r="M991" s="143"/>
      <c r="N991" s="143"/>
      <c r="O991" s="143"/>
      <c r="P991" s="114"/>
      <c r="Q991" s="114"/>
      <c r="R991" s="114"/>
      <c r="S991" s="114"/>
      <c r="T991" s="114"/>
      <c r="U991" s="114"/>
      <c r="V991" s="114"/>
      <c r="W991" s="114"/>
      <c r="X991" s="114"/>
    </row>
    <row r="992" spans="1:24" ht="15.75" customHeight="1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43"/>
      <c r="M992" s="143"/>
      <c r="N992" s="143"/>
      <c r="O992" s="143"/>
      <c r="P992" s="114"/>
      <c r="Q992" s="114"/>
      <c r="R992" s="114"/>
      <c r="S992" s="114"/>
      <c r="T992" s="114"/>
      <c r="U992" s="114"/>
      <c r="V992" s="114"/>
      <c r="W992" s="114"/>
      <c r="X992" s="114"/>
    </row>
    <row r="993" spans="1:24" ht="15.75" customHeight="1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43"/>
      <c r="M993" s="143"/>
      <c r="N993" s="143"/>
      <c r="O993" s="143"/>
      <c r="P993" s="114"/>
      <c r="Q993" s="114"/>
      <c r="R993" s="114"/>
      <c r="S993" s="114"/>
      <c r="T993" s="114"/>
      <c r="U993" s="114"/>
      <c r="V993" s="114"/>
      <c r="W993" s="114"/>
      <c r="X993" s="114"/>
    </row>
    <row r="994" spans="1:24" ht="15.75" customHeight="1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43"/>
      <c r="M994" s="143"/>
      <c r="N994" s="143"/>
      <c r="O994" s="143"/>
      <c r="P994" s="114"/>
      <c r="Q994" s="114"/>
      <c r="R994" s="114"/>
      <c r="S994" s="114"/>
      <c r="T994" s="114"/>
      <c r="U994" s="114"/>
      <c r="V994" s="114"/>
      <c r="W994" s="114"/>
      <c r="X994" s="114"/>
    </row>
    <row r="995" spans="1:24" ht="15.75" customHeight="1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43"/>
      <c r="M995" s="143"/>
      <c r="N995" s="143"/>
      <c r="O995" s="143"/>
      <c r="P995" s="114"/>
      <c r="Q995" s="114"/>
      <c r="R995" s="114"/>
      <c r="S995" s="114"/>
      <c r="T995" s="114"/>
      <c r="U995" s="114"/>
      <c r="V995" s="114"/>
      <c r="W995" s="114"/>
      <c r="X995" s="114"/>
    </row>
    <row r="996" spans="1:24" ht="15.75" customHeight="1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43"/>
      <c r="M996" s="143"/>
      <c r="N996" s="143"/>
      <c r="O996" s="143"/>
      <c r="P996" s="114"/>
      <c r="Q996" s="114"/>
      <c r="R996" s="114"/>
      <c r="S996" s="114"/>
      <c r="T996" s="114"/>
      <c r="U996" s="114"/>
      <c r="V996" s="114"/>
      <c r="W996" s="114"/>
      <c r="X996" s="114"/>
    </row>
    <row r="997" spans="1:24" ht="15.75" customHeight="1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43"/>
      <c r="M997" s="143"/>
      <c r="N997" s="143"/>
      <c r="O997" s="143"/>
      <c r="P997" s="114"/>
      <c r="Q997" s="114"/>
      <c r="R997" s="114"/>
      <c r="S997" s="114"/>
      <c r="T997" s="114"/>
      <c r="U997" s="114"/>
      <c r="V997" s="114"/>
      <c r="W997" s="114"/>
      <c r="X997" s="114"/>
    </row>
    <row r="998" spans="1:24" ht="15.75" customHeight="1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43"/>
      <c r="M998" s="143"/>
      <c r="N998" s="143"/>
      <c r="O998" s="143"/>
      <c r="P998" s="114"/>
      <c r="Q998" s="114"/>
      <c r="R998" s="114"/>
      <c r="S998" s="114"/>
      <c r="T998" s="114"/>
      <c r="U998" s="114"/>
      <c r="V998" s="114"/>
      <c r="W998" s="114"/>
      <c r="X998" s="114"/>
    </row>
    <row r="999" spans="1:24" ht="15.75" customHeight="1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43"/>
      <c r="M999" s="143"/>
      <c r="N999" s="143"/>
      <c r="O999" s="143"/>
      <c r="P999" s="114"/>
      <c r="Q999" s="114"/>
      <c r="R999" s="114"/>
      <c r="S999" s="114"/>
      <c r="T999" s="114"/>
      <c r="U999" s="114"/>
      <c r="V999" s="114"/>
      <c r="W999" s="114"/>
      <c r="X999" s="114"/>
    </row>
    <row r="1000" spans="1:24" ht="15.75" customHeight="1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43"/>
      <c r="M1000" s="143"/>
      <c r="N1000" s="143"/>
      <c r="O1000" s="143"/>
      <c r="P1000" s="114"/>
      <c r="Q1000" s="114"/>
      <c r="R1000" s="114"/>
      <c r="S1000" s="114"/>
      <c r="T1000" s="114"/>
      <c r="U1000" s="114"/>
      <c r="V1000" s="114"/>
      <c r="W1000" s="114"/>
      <c r="X1000" s="114"/>
    </row>
  </sheetData>
  <mergeCells count="30">
    <mergeCell ref="I7:J7"/>
    <mergeCell ref="A91:B91"/>
    <mergeCell ref="A106:B106"/>
    <mergeCell ref="A6:B8"/>
    <mergeCell ref="C7:C8"/>
    <mergeCell ref="D7:D8"/>
    <mergeCell ref="A9:B9"/>
    <mergeCell ref="A15:B15"/>
    <mergeCell ref="A33:B33"/>
    <mergeCell ref="A54:B54"/>
    <mergeCell ref="A76:B76"/>
    <mergeCell ref="C6:G6"/>
    <mergeCell ref="E7:E8"/>
    <mergeCell ref="F7:F8"/>
    <mergeCell ref="G7:G8"/>
    <mergeCell ref="K7:M7"/>
    <mergeCell ref="N7:O7"/>
    <mergeCell ref="Q7:R7"/>
    <mergeCell ref="T7:U7"/>
    <mergeCell ref="W7:X7"/>
    <mergeCell ref="I6:O6"/>
    <mergeCell ref="P6:R6"/>
    <mergeCell ref="S6:U6"/>
    <mergeCell ref="A2:B4"/>
    <mergeCell ref="C2:X2"/>
    <mergeCell ref="C3:X3"/>
    <mergeCell ref="C4:X4"/>
    <mergeCell ref="C5:O5"/>
    <mergeCell ref="P5:X5"/>
    <mergeCell ref="V6:X6"/>
  </mergeCells>
  <printOptions horizontalCentered="1"/>
  <pageMargins left="0.31496062992125984" right="0.31496062992125984" top="0.74803149606299213" bottom="0.74803149606299213" header="0" footer="0"/>
  <pageSetup paperSize="9" scale="44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  <colBreaks count="1" manualBreakCount="1">
    <brk id="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EAADB"/>
  </sheetPr>
  <dimension ref="A1:AQ1000"/>
  <sheetViews>
    <sheetView view="pageBreakPreview" zoomScale="60" zoomScaleNormal="100" workbookViewId="0">
      <pane xSplit="2" ySplit="9" topLeftCell="C10" activePane="bottomRight" state="frozen"/>
      <selection activeCell="A15" sqref="A15:B15"/>
      <selection pane="topRight" activeCell="A15" sqref="A15:B15"/>
      <selection pane="bottomLeft" activeCell="A15" sqref="A15:B15"/>
      <selection pane="bottomRight" activeCell="A15" sqref="A15:B15"/>
    </sheetView>
  </sheetViews>
  <sheetFormatPr defaultColWidth="14.44140625" defaultRowHeight="15" customHeight="1"/>
  <cols>
    <col min="1" max="1" width="7.21875" customWidth="1"/>
    <col min="2" max="2" width="29.77734375" customWidth="1"/>
    <col min="3" max="9" width="15.77734375" customWidth="1"/>
    <col min="10" max="10" width="8.44140625" customWidth="1"/>
    <col min="11" max="11" width="15.77734375" customWidth="1"/>
    <col min="12" max="12" width="15.21875" customWidth="1"/>
    <col min="13" max="13" width="16.77734375" customWidth="1"/>
    <col min="14" max="15" width="8.77734375" customWidth="1"/>
    <col min="16" max="16" width="11.5546875" customWidth="1"/>
    <col min="17" max="17" width="10" customWidth="1"/>
    <col min="18" max="18" width="8.77734375" customWidth="1"/>
    <col min="19" max="19" width="11.5546875" customWidth="1"/>
    <col min="20" max="20" width="7" customWidth="1"/>
    <col min="21" max="21" width="8.77734375" customWidth="1"/>
    <col min="22" max="22" width="11.5546875" customWidth="1"/>
    <col min="23" max="24" width="8.77734375" customWidth="1"/>
    <col min="25" max="25" width="11.5546875" customWidth="1"/>
    <col min="26" max="26" width="7.44140625" customWidth="1"/>
    <col min="27" max="27" width="8.77734375" customWidth="1"/>
    <col min="28" max="35" width="15.77734375" customWidth="1"/>
    <col min="36" max="36" width="14.77734375" customWidth="1"/>
    <col min="37" max="37" width="15.21875" customWidth="1"/>
    <col min="38" max="38" width="16.77734375" customWidth="1"/>
    <col min="39" max="40" width="8.77734375" customWidth="1"/>
    <col min="41" max="41" width="14.77734375" customWidth="1"/>
    <col min="42" max="43" width="11.5546875" customWidth="1"/>
  </cols>
  <sheetData>
    <row r="1" spans="1:43" ht="24" customHeight="1">
      <c r="A1" s="1" t="s">
        <v>212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2"/>
      <c r="AP1" s="2"/>
      <c r="AQ1" s="2"/>
    </row>
    <row r="2" spans="1:43" ht="24" customHeight="1">
      <c r="A2" s="681" t="s">
        <v>1</v>
      </c>
      <c r="B2" s="682"/>
      <c r="C2" s="723" t="s">
        <v>213</v>
      </c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7"/>
      <c r="AB2" s="723" t="s">
        <v>213</v>
      </c>
      <c r="AC2" s="686"/>
      <c r="AD2" s="686"/>
      <c r="AE2" s="686"/>
      <c r="AF2" s="686"/>
      <c r="AG2" s="686"/>
      <c r="AH2" s="686"/>
      <c r="AI2" s="686"/>
      <c r="AJ2" s="686"/>
      <c r="AK2" s="686"/>
      <c r="AL2" s="686"/>
      <c r="AM2" s="686"/>
      <c r="AN2" s="686"/>
      <c r="AO2" s="686"/>
      <c r="AP2" s="686"/>
      <c r="AQ2" s="687"/>
    </row>
    <row r="3" spans="1:43" ht="24" customHeight="1">
      <c r="A3" s="660"/>
      <c r="B3" s="661"/>
      <c r="C3" s="724" t="s">
        <v>214</v>
      </c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  <c r="Y3" s="651"/>
      <c r="Z3" s="651"/>
      <c r="AA3" s="654"/>
      <c r="AB3" s="751" t="s">
        <v>215</v>
      </c>
      <c r="AC3" s="651"/>
      <c r="AD3" s="651"/>
      <c r="AE3" s="651"/>
      <c r="AF3" s="651"/>
      <c r="AG3" s="651"/>
      <c r="AH3" s="651"/>
      <c r="AI3" s="651"/>
      <c r="AJ3" s="651"/>
      <c r="AK3" s="651"/>
      <c r="AL3" s="651"/>
      <c r="AM3" s="651"/>
      <c r="AN3" s="651"/>
      <c r="AO3" s="651"/>
      <c r="AP3" s="651"/>
      <c r="AQ3" s="654"/>
    </row>
    <row r="4" spans="1:43" ht="24" customHeight="1">
      <c r="A4" s="683"/>
      <c r="B4" s="684"/>
      <c r="C4" s="752" t="s">
        <v>216</v>
      </c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  <c r="S4" s="651"/>
      <c r="T4" s="651"/>
      <c r="U4" s="651"/>
      <c r="V4" s="651"/>
      <c r="W4" s="651"/>
      <c r="X4" s="651"/>
      <c r="Y4" s="651"/>
      <c r="Z4" s="651"/>
      <c r="AA4" s="654"/>
      <c r="AB4" s="753" t="s">
        <v>217</v>
      </c>
      <c r="AC4" s="651"/>
      <c r="AD4" s="651"/>
      <c r="AE4" s="651"/>
      <c r="AF4" s="651"/>
      <c r="AG4" s="651"/>
      <c r="AH4" s="651"/>
      <c r="AI4" s="651"/>
      <c r="AJ4" s="651"/>
      <c r="AK4" s="651"/>
      <c r="AL4" s="651"/>
      <c r="AM4" s="651"/>
      <c r="AN4" s="651"/>
      <c r="AO4" s="651"/>
      <c r="AP4" s="651"/>
      <c r="AQ4" s="654"/>
    </row>
    <row r="5" spans="1:43" ht="24" customHeight="1">
      <c r="A5" s="6"/>
      <c r="B5" s="7"/>
      <c r="C5" s="650" t="s">
        <v>5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4"/>
      <c r="P5" s="750" t="s">
        <v>218</v>
      </c>
      <c r="Q5" s="694"/>
      <c r="R5" s="695"/>
      <c r="S5" s="750" t="s">
        <v>219</v>
      </c>
      <c r="T5" s="694"/>
      <c r="U5" s="695"/>
      <c r="V5" s="750" t="s">
        <v>220</v>
      </c>
      <c r="W5" s="694"/>
      <c r="X5" s="695"/>
      <c r="Y5" s="750" t="s">
        <v>221</v>
      </c>
      <c r="Z5" s="694"/>
      <c r="AA5" s="695"/>
      <c r="AB5" s="650" t="s">
        <v>5</v>
      </c>
      <c r="AC5" s="651"/>
      <c r="AD5" s="651"/>
      <c r="AE5" s="651"/>
      <c r="AF5" s="651"/>
      <c r="AG5" s="651"/>
      <c r="AH5" s="651"/>
      <c r="AI5" s="651"/>
      <c r="AJ5" s="651"/>
      <c r="AK5" s="651"/>
      <c r="AL5" s="651"/>
      <c r="AM5" s="651"/>
      <c r="AN5" s="654"/>
      <c r="AO5" s="718" t="s">
        <v>222</v>
      </c>
      <c r="AP5" s="694"/>
      <c r="AQ5" s="695"/>
    </row>
    <row r="6" spans="1:43" ht="24" customHeight="1">
      <c r="A6" s="658" t="s">
        <v>8</v>
      </c>
      <c r="B6" s="659"/>
      <c r="C6" s="653" t="s">
        <v>9</v>
      </c>
      <c r="D6" s="651"/>
      <c r="E6" s="651"/>
      <c r="F6" s="651"/>
      <c r="G6" s="654"/>
      <c r="H6" s="8" t="s">
        <v>10</v>
      </c>
      <c r="I6" s="655" t="s">
        <v>11</v>
      </c>
      <c r="J6" s="651"/>
      <c r="K6" s="651"/>
      <c r="L6" s="651"/>
      <c r="M6" s="651"/>
      <c r="N6" s="651"/>
      <c r="O6" s="654"/>
      <c r="P6" s="719"/>
      <c r="Q6" s="670"/>
      <c r="R6" s="671"/>
      <c r="S6" s="719"/>
      <c r="T6" s="670"/>
      <c r="U6" s="671"/>
      <c r="V6" s="713"/>
      <c r="W6" s="714"/>
      <c r="X6" s="715"/>
      <c r="Y6" s="719"/>
      <c r="Z6" s="670"/>
      <c r="AA6" s="671"/>
      <c r="AB6" s="653" t="s">
        <v>9</v>
      </c>
      <c r="AC6" s="651"/>
      <c r="AD6" s="651"/>
      <c r="AE6" s="651"/>
      <c r="AF6" s="654"/>
      <c r="AG6" s="8" t="s">
        <v>10</v>
      </c>
      <c r="AH6" s="655" t="s">
        <v>11</v>
      </c>
      <c r="AI6" s="651"/>
      <c r="AJ6" s="651"/>
      <c r="AK6" s="651"/>
      <c r="AL6" s="651"/>
      <c r="AM6" s="651"/>
      <c r="AN6" s="654"/>
      <c r="AO6" s="719"/>
      <c r="AP6" s="670"/>
      <c r="AQ6" s="671"/>
    </row>
    <row r="7" spans="1:43" ht="24" customHeight="1">
      <c r="A7" s="660"/>
      <c r="B7" s="661"/>
      <c r="C7" s="702" t="s">
        <v>16</v>
      </c>
      <c r="D7" s="704" t="s">
        <v>17</v>
      </c>
      <c r="E7" s="705" t="s">
        <v>18</v>
      </c>
      <c r="F7" s="664" t="s">
        <v>19</v>
      </c>
      <c r="G7" s="666" t="s">
        <v>20</v>
      </c>
      <c r="H7" s="9" t="s">
        <v>21</v>
      </c>
      <c r="I7" s="667" t="s">
        <v>22</v>
      </c>
      <c r="J7" s="668"/>
      <c r="K7" s="669" t="s">
        <v>21</v>
      </c>
      <c r="L7" s="670"/>
      <c r="M7" s="671"/>
      <c r="N7" s="672" t="s">
        <v>23</v>
      </c>
      <c r="O7" s="671"/>
      <c r="P7" s="118" t="s">
        <v>24</v>
      </c>
      <c r="Q7" s="706" t="s">
        <v>25</v>
      </c>
      <c r="R7" s="654"/>
      <c r="S7" s="118" t="s">
        <v>24</v>
      </c>
      <c r="T7" s="706" t="s">
        <v>25</v>
      </c>
      <c r="U7" s="654"/>
      <c r="V7" s="118" t="s">
        <v>24</v>
      </c>
      <c r="W7" s="706" t="s">
        <v>25</v>
      </c>
      <c r="X7" s="654"/>
      <c r="Y7" s="118" t="s">
        <v>24</v>
      </c>
      <c r="Z7" s="706" t="s">
        <v>25</v>
      </c>
      <c r="AA7" s="654"/>
      <c r="AB7" s="702" t="s">
        <v>16</v>
      </c>
      <c r="AC7" s="704" t="s">
        <v>17</v>
      </c>
      <c r="AD7" s="705" t="s">
        <v>18</v>
      </c>
      <c r="AE7" s="664" t="s">
        <v>19</v>
      </c>
      <c r="AF7" s="666" t="s">
        <v>20</v>
      </c>
      <c r="AG7" s="9" t="s">
        <v>21</v>
      </c>
      <c r="AH7" s="667" t="s">
        <v>22</v>
      </c>
      <c r="AI7" s="668"/>
      <c r="AJ7" s="669" t="s">
        <v>21</v>
      </c>
      <c r="AK7" s="670"/>
      <c r="AL7" s="671"/>
      <c r="AM7" s="672" t="s">
        <v>23</v>
      </c>
      <c r="AN7" s="671"/>
      <c r="AO7" s="118" t="s">
        <v>24</v>
      </c>
      <c r="AP7" s="706" t="s">
        <v>25</v>
      </c>
      <c r="AQ7" s="654"/>
    </row>
    <row r="8" spans="1:43" ht="24" customHeight="1">
      <c r="A8" s="662"/>
      <c r="B8" s="663"/>
      <c r="C8" s="703"/>
      <c r="D8" s="665"/>
      <c r="E8" s="665"/>
      <c r="F8" s="665"/>
      <c r="G8" s="665"/>
      <c r="H8" s="9"/>
      <c r="I8" s="11" t="s">
        <v>26</v>
      </c>
      <c r="J8" s="12" t="s">
        <v>27</v>
      </c>
      <c r="K8" s="11" t="s">
        <v>26</v>
      </c>
      <c r="L8" s="13" t="s">
        <v>28</v>
      </c>
      <c r="M8" s="14" t="s">
        <v>29</v>
      </c>
      <c r="N8" s="15" t="s">
        <v>26</v>
      </c>
      <c r="O8" s="15" t="s">
        <v>27</v>
      </c>
      <c r="P8" s="16" t="s">
        <v>156</v>
      </c>
      <c r="Q8" s="119" t="s">
        <v>157</v>
      </c>
      <c r="R8" s="119" t="s">
        <v>27</v>
      </c>
      <c r="S8" s="16" t="s">
        <v>32</v>
      </c>
      <c r="T8" s="119" t="s">
        <v>31</v>
      </c>
      <c r="U8" s="119" t="s">
        <v>27</v>
      </c>
      <c r="V8" s="16" t="s">
        <v>32</v>
      </c>
      <c r="W8" s="119" t="s">
        <v>31</v>
      </c>
      <c r="X8" s="119" t="s">
        <v>27</v>
      </c>
      <c r="Y8" s="16" t="s">
        <v>32</v>
      </c>
      <c r="Z8" s="119" t="s">
        <v>31</v>
      </c>
      <c r="AA8" s="119" t="s">
        <v>27</v>
      </c>
      <c r="AB8" s="703"/>
      <c r="AC8" s="665"/>
      <c r="AD8" s="665"/>
      <c r="AE8" s="665"/>
      <c r="AF8" s="665"/>
      <c r="AG8" s="9"/>
      <c r="AH8" s="11" t="s">
        <v>26</v>
      </c>
      <c r="AI8" s="12" t="s">
        <v>27</v>
      </c>
      <c r="AJ8" s="11" t="s">
        <v>26</v>
      </c>
      <c r="AK8" s="13" t="s">
        <v>28</v>
      </c>
      <c r="AL8" s="14" t="s">
        <v>29</v>
      </c>
      <c r="AM8" s="15" t="s">
        <v>26</v>
      </c>
      <c r="AN8" s="15" t="s">
        <v>27</v>
      </c>
      <c r="AO8" s="16" t="s">
        <v>32</v>
      </c>
      <c r="AP8" s="119" t="s">
        <v>31</v>
      </c>
      <c r="AQ8" s="119" t="s">
        <v>27</v>
      </c>
    </row>
    <row r="9" spans="1:43" ht="27.75" customHeight="1">
      <c r="A9" s="674" t="s">
        <v>34</v>
      </c>
      <c r="B9" s="675"/>
      <c r="C9" s="20">
        <f t="shared" ref="C9:C119" ca="1" si="0">D9+G9</f>
        <v>5102100</v>
      </c>
      <c r="D9" s="163">
        <f t="shared" ref="D9:F9" ca="1" si="1">D10+D11</f>
        <v>5102100</v>
      </c>
      <c r="E9" s="22">
        <f t="shared" ca="1" si="1"/>
        <v>1419300</v>
      </c>
      <c r="F9" s="164">
        <f t="shared" ca="1" si="1"/>
        <v>3682800</v>
      </c>
      <c r="G9" s="24">
        <f t="shared" ref="G9:H9" ca="1" si="2">G10+G11+G14</f>
        <v>0</v>
      </c>
      <c r="H9" s="25">
        <f t="shared" ca="1" si="2"/>
        <v>3826600</v>
      </c>
      <c r="I9" s="26">
        <f t="shared" ref="I9:I105" ca="1" si="3">K9+N9</f>
        <v>2075320.2799999998</v>
      </c>
      <c r="J9" s="122">
        <f t="shared" ref="J9:J105" ca="1" si="4">IF(C9&gt;0,I9*100/C9,0)</f>
        <v>40.675805648654467</v>
      </c>
      <c r="K9" s="26">
        <f ca="1">K10+K11+K14</f>
        <v>2075320.2799999998</v>
      </c>
      <c r="L9" s="122">
        <f t="shared" ref="L9:L105" ca="1" si="5">IF(D9&gt;0,K9*100/D9,0)</f>
        <v>40.675805648654467</v>
      </c>
      <c r="M9" s="122">
        <f t="shared" ref="M9:M105" ca="1" si="6">IF(H9&gt;0,K9*100/H9,0)</f>
        <v>54.234053206501848</v>
      </c>
      <c r="N9" s="122">
        <f ca="1">N10+N11+N14</f>
        <v>0</v>
      </c>
      <c r="O9" s="122">
        <f t="shared" ref="O9:O105" ca="1" si="7">IF(G9&gt;0,N9*100/G9,0)</f>
        <v>0</v>
      </c>
      <c r="P9" s="30">
        <f t="shared" ref="P9:Q9" ca="1" si="8">P10+P11</f>
        <v>30</v>
      </c>
      <c r="Q9" s="31">
        <f t="shared" ca="1" si="8"/>
        <v>24</v>
      </c>
      <c r="R9" s="123">
        <f t="shared" ref="R9:R106" ca="1" si="9">IF(P9&gt;0,Q9*100/P9,0)</f>
        <v>80</v>
      </c>
      <c r="S9" s="30">
        <f t="shared" ref="S9:T9" ca="1" si="10">S10+S11</f>
        <v>700</v>
      </c>
      <c r="T9" s="31">
        <f t="shared" ca="1" si="10"/>
        <v>688</v>
      </c>
      <c r="U9" s="123">
        <f t="shared" ref="U9:U106" ca="1" si="11">IF(S9&gt;0,T9*100/S9,0)</f>
        <v>98.285714285714292</v>
      </c>
      <c r="V9" s="30">
        <f t="shared" ref="V9:W9" ca="1" si="12">V10+V11</f>
        <v>700</v>
      </c>
      <c r="W9" s="31">
        <f t="shared" ca="1" si="12"/>
        <v>25</v>
      </c>
      <c r="X9" s="123">
        <f t="shared" ref="X9:X106" ca="1" si="13">IF(V9&gt;0,W9*100/V9,0)</f>
        <v>3.5714285714285716</v>
      </c>
      <c r="Y9" s="30">
        <f t="shared" ref="Y9:Z9" ca="1" si="14">Y10+Y11</f>
        <v>30</v>
      </c>
      <c r="Z9" s="31">
        <f t="shared" ca="1" si="14"/>
        <v>22</v>
      </c>
      <c r="AA9" s="123">
        <f t="shared" ref="AA9:AA106" ca="1" si="15">IF(Y9&gt;0,Z9*100/Y9,0)</f>
        <v>73.333333333333329</v>
      </c>
      <c r="AB9" s="20">
        <f t="shared" ref="AB9:AB119" ca="1" si="16">AC9+AF9</f>
        <v>8336100</v>
      </c>
      <c r="AC9" s="163">
        <f t="shared" ref="AC9:AE9" ca="1" si="17">AC10+AC11</f>
        <v>8336100</v>
      </c>
      <c r="AD9" s="22">
        <f t="shared" ca="1" si="17"/>
        <v>2816000</v>
      </c>
      <c r="AE9" s="164">
        <f t="shared" ca="1" si="17"/>
        <v>5520100</v>
      </c>
      <c r="AF9" s="24">
        <f t="shared" ref="AF9:AG9" ca="1" si="18">AF10+AF11+AF14</f>
        <v>0</v>
      </c>
      <c r="AG9" s="25">
        <f t="shared" ca="1" si="18"/>
        <v>6252000</v>
      </c>
      <c r="AH9" s="26">
        <f t="shared" ref="AH9:AH105" ca="1" si="19">AJ9+AM9</f>
        <v>3649546.81</v>
      </c>
      <c r="AI9" s="122">
        <f t="shared" ref="AI9:AI105" ca="1" si="20">IF(AB9&gt;0,AH9*100/AB9,0)</f>
        <v>43.780026751118626</v>
      </c>
      <c r="AJ9" s="26">
        <f ca="1">AJ10+AJ11+AJ14</f>
        <v>3649546.81</v>
      </c>
      <c r="AK9" s="122">
        <f t="shared" ref="AK9:AK105" ca="1" si="21">IF(AC9&gt;0,AJ9*100/AC9,0)</f>
        <v>43.780026751118626</v>
      </c>
      <c r="AL9" s="122">
        <f t="shared" ref="AL9:AL105" ca="1" si="22">IF(AG9&gt;0,AJ9*100/AG9,0)</f>
        <v>58.37406925783749</v>
      </c>
      <c r="AM9" s="122">
        <f ca="1">AM10+AM11+AM14</f>
        <v>0</v>
      </c>
      <c r="AN9" s="122">
        <f t="shared" ref="AN9:AN105" ca="1" si="23">IF(AF9&gt;0,AM9*100/AF9,0)</f>
        <v>0</v>
      </c>
      <c r="AO9" s="30">
        <f t="shared" ref="AO9:AP9" ca="1" si="24">AO10+AO11</f>
        <v>800</v>
      </c>
      <c r="AP9" s="31">
        <f t="shared" ca="1" si="24"/>
        <v>800</v>
      </c>
      <c r="AQ9" s="123">
        <f t="shared" ref="AQ9:AQ106" ca="1" si="25">IF(AO9&gt;0,AP9*100/AO9,0)</f>
        <v>100</v>
      </c>
    </row>
    <row r="10" spans="1:43" ht="28.5" customHeight="1">
      <c r="A10" s="33" t="s">
        <v>35</v>
      </c>
      <c r="B10" s="34"/>
      <c r="C10" s="124">
        <f t="shared" ca="1" si="0"/>
        <v>4062000</v>
      </c>
      <c r="D10" s="166">
        <f t="shared" ref="D10:H10" ca="1" si="26">+D15+D33+D54+D76</f>
        <v>4062000</v>
      </c>
      <c r="E10" s="36">
        <f t="shared" ca="1" si="26"/>
        <v>792000</v>
      </c>
      <c r="F10" s="166">
        <f t="shared" ca="1" si="26"/>
        <v>3270000</v>
      </c>
      <c r="G10" s="166">
        <f t="shared" ca="1" si="26"/>
        <v>0</v>
      </c>
      <c r="H10" s="166">
        <f t="shared" ca="1" si="26"/>
        <v>2978500</v>
      </c>
      <c r="I10" s="166">
        <f t="shared" ca="1" si="3"/>
        <v>1725718.43</v>
      </c>
      <c r="J10" s="166">
        <f t="shared" ca="1" si="4"/>
        <v>42.484451747907436</v>
      </c>
      <c r="K10" s="36">
        <f ca="1">+K15+K33+K54+K76</f>
        <v>1725718.43</v>
      </c>
      <c r="L10" s="125">
        <f t="shared" ca="1" si="5"/>
        <v>42.484451747907436</v>
      </c>
      <c r="M10" s="125">
        <f t="shared" ca="1" si="6"/>
        <v>57.939178445526274</v>
      </c>
      <c r="N10" s="125">
        <f ca="1">+N15+N33+N54+N76</f>
        <v>0</v>
      </c>
      <c r="O10" s="125">
        <f t="shared" ca="1" si="7"/>
        <v>0</v>
      </c>
      <c r="P10" s="36">
        <f t="shared" ref="P10:Q10" ca="1" si="27">+P15+P33+P54+P76</f>
        <v>30</v>
      </c>
      <c r="Q10" s="36">
        <f t="shared" ca="1" si="27"/>
        <v>24</v>
      </c>
      <c r="R10" s="125">
        <f t="shared" ca="1" si="9"/>
        <v>80</v>
      </c>
      <c r="S10" s="36">
        <f t="shared" ref="S10:T10" ca="1" si="28">+S15+S33+S54+S76</f>
        <v>700</v>
      </c>
      <c r="T10" s="36">
        <f t="shared" ca="1" si="28"/>
        <v>688</v>
      </c>
      <c r="U10" s="125">
        <f t="shared" ca="1" si="11"/>
        <v>98.285714285714292</v>
      </c>
      <c r="V10" s="36">
        <f t="shared" ref="V10:W10" ca="1" si="29">+V15+V33+V54+V76</f>
        <v>700</v>
      </c>
      <c r="W10" s="36">
        <f t="shared" ca="1" si="29"/>
        <v>25</v>
      </c>
      <c r="X10" s="125">
        <f t="shared" ca="1" si="13"/>
        <v>3.5714285714285716</v>
      </c>
      <c r="Y10" s="36">
        <f t="shared" ref="Y10:Z10" ca="1" si="30">+Y15+Y33+Y54+Y76</f>
        <v>30</v>
      </c>
      <c r="Z10" s="36">
        <f t="shared" ca="1" si="30"/>
        <v>22</v>
      </c>
      <c r="AA10" s="125">
        <f t="shared" ca="1" si="15"/>
        <v>73.333333333333329</v>
      </c>
      <c r="AB10" s="124">
        <f t="shared" ca="1" si="16"/>
        <v>6952200</v>
      </c>
      <c r="AC10" s="36">
        <f t="shared" ref="AC10:AG10" ca="1" si="31">+AC15+AC33+AC54+AC76</f>
        <v>6952200</v>
      </c>
      <c r="AD10" s="36">
        <f t="shared" ca="1" si="31"/>
        <v>2376000</v>
      </c>
      <c r="AE10" s="36">
        <f t="shared" ca="1" si="31"/>
        <v>4576200</v>
      </c>
      <c r="AF10" s="36">
        <f t="shared" ca="1" si="31"/>
        <v>0</v>
      </c>
      <c r="AG10" s="36">
        <f t="shared" ca="1" si="31"/>
        <v>5215100</v>
      </c>
      <c r="AH10" s="36">
        <f t="shared" ca="1" si="19"/>
        <v>3143460.0100000002</v>
      </c>
      <c r="AI10" s="36">
        <f t="shared" ca="1" si="20"/>
        <v>45.215327666062542</v>
      </c>
      <c r="AJ10" s="36">
        <f ca="1">+AJ15+AJ33+AJ54+AJ76</f>
        <v>3143460.0100000002</v>
      </c>
      <c r="AK10" s="125">
        <f t="shared" ca="1" si="21"/>
        <v>45.215327666062542</v>
      </c>
      <c r="AL10" s="125">
        <f t="shared" ca="1" si="22"/>
        <v>60.276121455005658</v>
      </c>
      <c r="AM10" s="125">
        <f ca="1">+AM15+AM33+AM54+AM76</f>
        <v>0</v>
      </c>
      <c r="AN10" s="125">
        <f t="shared" ca="1" si="23"/>
        <v>0</v>
      </c>
      <c r="AO10" s="36">
        <f t="shared" ref="AO10:AP10" ca="1" si="32">+AO15+AO33+AO54+AO76</f>
        <v>800</v>
      </c>
      <c r="AP10" s="36">
        <f t="shared" ca="1" si="32"/>
        <v>800</v>
      </c>
      <c r="AQ10" s="125">
        <f t="shared" ca="1" si="25"/>
        <v>100</v>
      </c>
    </row>
    <row r="11" spans="1:43" ht="28.5" customHeight="1">
      <c r="A11" s="42" t="s">
        <v>373</v>
      </c>
      <c r="B11" s="43"/>
      <c r="C11" s="126">
        <f t="shared" ca="1" si="0"/>
        <v>1040100</v>
      </c>
      <c r="D11" s="167">
        <f t="shared" ref="D11:H11" ca="1" si="33">+D12+D13</f>
        <v>1040100</v>
      </c>
      <c r="E11" s="45">
        <f t="shared" ca="1" si="33"/>
        <v>627300</v>
      </c>
      <c r="F11" s="167">
        <f t="shared" ca="1" si="33"/>
        <v>412800</v>
      </c>
      <c r="G11" s="167">
        <f t="shared" ca="1" si="33"/>
        <v>0</v>
      </c>
      <c r="H11" s="167">
        <f t="shared" ca="1" si="33"/>
        <v>848100</v>
      </c>
      <c r="I11" s="167">
        <f t="shared" ca="1" si="3"/>
        <v>349601.85</v>
      </c>
      <c r="J11" s="167">
        <f t="shared" ca="1" si="4"/>
        <v>33.612330545139891</v>
      </c>
      <c r="K11" s="45">
        <f ca="1">+K12+K13</f>
        <v>349601.85</v>
      </c>
      <c r="L11" s="127">
        <f t="shared" ca="1" si="5"/>
        <v>33.612330545139891</v>
      </c>
      <c r="M11" s="127">
        <f t="shared" ca="1" si="6"/>
        <v>41.22177219667492</v>
      </c>
      <c r="N11" s="127">
        <f ca="1">+N12+N13</f>
        <v>0</v>
      </c>
      <c r="O11" s="127">
        <f t="shared" ca="1" si="7"/>
        <v>0</v>
      </c>
      <c r="P11" s="45">
        <v>0</v>
      </c>
      <c r="Q11" s="45">
        <f>+Q12+Q13</f>
        <v>0</v>
      </c>
      <c r="R11" s="127">
        <f t="shared" si="9"/>
        <v>0</v>
      </c>
      <c r="S11" s="45">
        <v>0</v>
      </c>
      <c r="T11" s="45">
        <f>+T12+T13</f>
        <v>0</v>
      </c>
      <c r="U11" s="127">
        <f t="shared" si="11"/>
        <v>0</v>
      </c>
      <c r="V11" s="45">
        <v>0</v>
      </c>
      <c r="W11" s="45">
        <f>+W12+W13</f>
        <v>0</v>
      </c>
      <c r="X11" s="127">
        <f t="shared" si="13"/>
        <v>0</v>
      </c>
      <c r="Y11" s="45">
        <v>0</v>
      </c>
      <c r="Z11" s="45">
        <f>+Z12+Z13</f>
        <v>0</v>
      </c>
      <c r="AA11" s="127">
        <f t="shared" si="15"/>
        <v>0</v>
      </c>
      <c r="AB11" s="126">
        <f t="shared" ca="1" si="16"/>
        <v>1383900</v>
      </c>
      <c r="AC11" s="45">
        <f t="shared" ref="AC11:AG11" ca="1" si="34">+AC12+AC13</f>
        <v>1383900</v>
      </c>
      <c r="AD11" s="45">
        <f t="shared" ca="1" si="34"/>
        <v>440000</v>
      </c>
      <c r="AE11" s="45">
        <f t="shared" ca="1" si="34"/>
        <v>943900</v>
      </c>
      <c r="AF11" s="45">
        <f t="shared" ca="1" si="34"/>
        <v>0</v>
      </c>
      <c r="AG11" s="45">
        <f t="shared" ca="1" si="34"/>
        <v>1036900</v>
      </c>
      <c r="AH11" s="45">
        <f t="shared" ca="1" si="19"/>
        <v>506086.8</v>
      </c>
      <c r="AI11" s="45">
        <f t="shared" ca="1" si="20"/>
        <v>36.569607630609148</v>
      </c>
      <c r="AJ11" s="45">
        <f ca="1">+AJ12+AJ13</f>
        <v>506086.8</v>
      </c>
      <c r="AK11" s="127">
        <f t="shared" ca="1" si="21"/>
        <v>36.569607630609148</v>
      </c>
      <c r="AL11" s="127">
        <f t="shared" ca="1" si="22"/>
        <v>48.807676728710582</v>
      </c>
      <c r="AM11" s="127">
        <f ca="1">+AM12+AM13</f>
        <v>0</v>
      </c>
      <c r="AN11" s="127">
        <f t="shared" ca="1" si="23"/>
        <v>0</v>
      </c>
      <c r="AO11" s="45">
        <v>0</v>
      </c>
      <c r="AP11" s="45">
        <f>+AP12+AP13</f>
        <v>0</v>
      </c>
      <c r="AQ11" s="127">
        <f t="shared" si="25"/>
        <v>0</v>
      </c>
    </row>
    <row r="12" spans="1:43" ht="28.5" hidden="1" customHeight="1">
      <c r="A12" s="42" t="s">
        <v>36</v>
      </c>
      <c r="B12" s="43"/>
      <c r="C12" s="126">
        <f t="shared" ca="1" si="0"/>
        <v>922100</v>
      </c>
      <c r="D12" s="167">
        <f t="shared" ref="D12:H12" ca="1" si="35">+D91</f>
        <v>922100</v>
      </c>
      <c r="E12" s="45">
        <f t="shared" ca="1" si="35"/>
        <v>509300</v>
      </c>
      <c r="F12" s="167">
        <f t="shared" ca="1" si="35"/>
        <v>412800</v>
      </c>
      <c r="G12" s="167">
        <f t="shared" ca="1" si="35"/>
        <v>0</v>
      </c>
      <c r="H12" s="167">
        <f t="shared" ca="1" si="35"/>
        <v>759700</v>
      </c>
      <c r="I12" s="167">
        <f t="shared" ca="1" si="3"/>
        <v>349601.85</v>
      </c>
      <c r="J12" s="167">
        <f t="shared" ca="1" si="4"/>
        <v>37.913659039149763</v>
      </c>
      <c r="K12" s="45">
        <f ca="1">+K91</f>
        <v>349601.85</v>
      </c>
      <c r="L12" s="127">
        <f t="shared" ca="1" si="5"/>
        <v>37.913659039149763</v>
      </c>
      <c r="M12" s="127">
        <f t="shared" ca="1" si="6"/>
        <v>46.018408582335134</v>
      </c>
      <c r="N12" s="127">
        <f ca="1">+N91</f>
        <v>0</v>
      </c>
      <c r="O12" s="127">
        <f t="shared" ca="1" si="7"/>
        <v>0</v>
      </c>
      <c r="P12" s="45">
        <v>0</v>
      </c>
      <c r="Q12" s="45">
        <f>+Q91</f>
        <v>0</v>
      </c>
      <c r="R12" s="127">
        <f t="shared" si="9"/>
        <v>0</v>
      </c>
      <c r="S12" s="45">
        <v>0</v>
      </c>
      <c r="T12" s="45">
        <f>+T91</f>
        <v>0</v>
      </c>
      <c r="U12" s="127">
        <f t="shared" si="11"/>
        <v>0</v>
      </c>
      <c r="V12" s="45">
        <v>0</v>
      </c>
      <c r="W12" s="45">
        <f>+W91</f>
        <v>0</v>
      </c>
      <c r="X12" s="127">
        <f t="shared" si="13"/>
        <v>0</v>
      </c>
      <c r="Y12" s="45">
        <v>0</v>
      </c>
      <c r="Z12" s="45">
        <f>+Z91</f>
        <v>0</v>
      </c>
      <c r="AA12" s="127">
        <f t="shared" si="15"/>
        <v>0</v>
      </c>
      <c r="AB12" s="126">
        <f t="shared" ca="1" si="16"/>
        <v>1207900</v>
      </c>
      <c r="AC12" s="45">
        <f t="shared" ref="AC12:AG12" ca="1" si="36">+AC91</f>
        <v>1207900</v>
      </c>
      <c r="AD12" s="45">
        <f t="shared" ca="1" si="36"/>
        <v>264000</v>
      </c>
      <c r="AE12" s="45">
        <f t="shared" ca="1" si="36"/>
        <v>943900</v>
      </c>
      <c r="AF12" s="45">
        <f t="shared" ca="1" si="36"/>
        <v>0</v>
      </c>
      <c r="AG12" s="45">
        <f t="shared" ca="1" si="36"/>
        <v>904900</v>
      </c>
      <c r="AH12" s="45">
        <f t="shared" ca="1" si="19"/>
        <v>506086.8</v>
      </c>
      <c r="AI12" s="45">
        <f t="shared" ca="1" si="20"/>
        <v>41.898071032370233</v>
      </c>
      <c r="AJ12" s="45">
        <f ca="1">+AJ91</f>
        <v>506086.8</v>
      </c>
      <c r="AK12" s="127">
        <f t="shared" ca="1" si="21"/>
        <v>41.898071032370233</v>
      </c>
      <c r="AL12" s="127">
        <f t="shared" ca="1" si="22"/>
        <v>55.927373190407778</v>
      </c>
      <c r="AM12" s="127">
        <f ca="1">+AM91</f>
        <v>0</v>
      </c>
      <c r="AN12" s="127">
        <f t="shared" ca="1" si="23"/>
        <v>0</v>
      </c>
      <c r="AO12" s="45">
        <v>0</v>
      </c>
      <c r="AP12" s="45">
        <f>+AP91</f>
        <v>0</v>
      </c>
      <c r="AQ12" s="127">
        <f t="shared" si="25"/>
        <v>0</v>
      </c>
    </row>
    <row r="13" spans="1:43" ht="28.5" hidden="1" customHeight="1">
      <c r="A13" s="42" t="s">
        <v>37</v>
      </c>
      <c r="B13" s="43"/>
      <c r="C13" s="126">
        <f t="shared" ca="1" si="0"/>
        <v>118000</v>
      </c>
      <c r="D13" s="167">
        <f t="shared" ref="D13:H13" ca="1" si="37">+D106</f>
        <v>118000</v>
      </c>
      <c r="E13" s="45">
        <f t="shared" ca="1" si="37"/>
        <v>118000</v>
      </c>
      <c r="F13" s="167">
        <f t="shared" ca="1" si="37"/>
        <v>0</v>
      </c>
      <c r="G13" s="167">
        <f t="shared" ca="1" si="37"/>
        <v>0</v>
      </c>
      <c r="H13" s="167">
        <f t="shared" ca="1" si="37"/>
        <v>88400</v>
      </c>
      <c r="I13" s="167">
        <f t="shared" ca="1" si="3"/>
        <v>0</v>
      </c>
      <c r="J13" s="167">
        <f t="shared" ca="1" si="4"/>
        <v>0</v>
      </c>
      <c r="K13" s="45">
        <f ca="1">+K106</f>
        <v>0</v>
      </c>
      <c r="L13" s="127">
        <f t="shared" ca="1" si="5"/>
        <v>0</v>
      </c>
      <c r="M13" s="127">
        <f t="shared" ca="1" si="6"/>
        <v>0</v>
      </c>
      <c r="N13" s="127">
        <f ca="1">+N106</f>
        <v>0</v>
      </c>
      <c r="O13" s="127">
        <f t="shared" ca="1" si="7"/>
        <v>0</v>
      </c>
      <c r="P13" s="45">
        <v>0</v>
      </c>
      <c r="Q13" s="45">
        <f>+Q106</f>
        <v>0</v>
      </c>
      <c r="R13" s="127">
        <f t="shared" si="9"/>
        <v>0</v>
      </c>
      <c r="S13" s="45">
        <v>0</v>
      </c>
      <c r="T13" s="45">
        <f>+T106</f>
        <v>0</v>
      </c>
      <c r="U13" s="127">
        <f t="shared" si="11"/>
        <v>0</v>
      </c>
      <c r="V13" s="45">
        <v>0</v>
      </c>
      <c r="W13" s="45">
        <f>+W106</f>
        <v>0</v>
      </c>
      <c r="X13" s="127">
        <f t="shared" si="13"/>
        <v>0</v>
      </c>
      <c r="Y13" s="45">
        <v>0</v>
      </c>
      <c r="Z13" s="45">
        <f>+Z106</f>
        <v>0</v>
      </c>
      <c r="AA13" s="127">
        <f t="shared" si="15"/>
        <v>0</v>
      </c>
      <c r="AB13" s="126">
        <f t="shared" ca="1" si="16"/>
        <v>176000</v>
      </c>
      <c r="AC13" s="45">
        <f t="shared" ref="AC13:AG13" ca="1" si="38">+AC106</f>
        <v>176000</v>
      </c>
      <c r="AD13" s="45">
        <f t="shared" ca="1" si="38"/>
        <v>176000</v>
      </c>
      <c r="AE13" s="45">
        <f t="shared" ca="1" si="38"/>
        <v>0</v>
      </c>
      <c r="AF13" s="45">
        <f t="shared" ca="1" si="38"/>
        <v>0</v>
      </c>
      <c r="AG13" s="45">
        <f t="shared" ca="1" si="38"/>
        <v>132000</v>
      </c>
      <c r="AH13" s="45">
        <f t="shared" ca="1" si="19"/>
        <v>0</v>
      </c>
      <c r="AI13" s="45">
        <f t="shared" ca="1" si="20"/>
        <v>0</v>
      </c>
      <c r="AJ13" s="45">
        <f ca="1">+AJ106</f>
        <v>0</v>
      </c>
      <c r="AK13" s="127">
        <f t="shared" ca="1" si="21"/>
        <v>0</v>
      </c>
      <c r="AL13" s="127">
        <f t="shared" ca="1" si="22"/>
        <v>0</v>
      </c>
      <c r="AM13" s="127">
        <f ca="1">+AM106</f>
        <v>0</v>
      </c>
      <c r="AN13" s="127">
        <f t="shared" ca="1" si="23"/>
        <v>0</v>
      </c>
      <c r="AO13" s="45">
        <v>0</v>
      </c>
      <c r="AP13" s="45">
        <f>+AP106</f>
        <v>0</v>
      </c>
      <c r="AQ13" s="127">
        <f t="shared" si="25"/>
        <v>0</v>
      </c>
    </row>
    <row r="14" spans="1:43" ht="28.5" hidden="1" customHeight="1">
      <c r="A14" s="51" t="s">
        <v>38</v>
      </c>
      <c r="B14" s="52"/>
      <c r="C14" s="128">
        <f t="shared" si="0"/>
        <v>0</v>
      </c>
      <c r="D14" s="168">
        <v>0</v>
      </c>
      <c r="E14" s="129">
        <v>0</v>
      </c>
      <c r="F14" s="168">
        <v>0</v>
      </c>
      <c r="G14" s="183">
        <v>0</v>
      </c>
      <c r="H14" s="183">
        <v>0</v>
      </c>
      <c r="I14" s="183">
        <f t="shared" si="3"/>
        <v>0</v>
      </c>
      <c r="J14" s="183">
        <f t="shared" si="4"/>
        <v>0</v>
      </c>
      <c r="K14" s="54">
        <v>0</v>
      </c>
      <c r="L14" s="131">
        <f t="shared" si="5"/>
        <v>0</v>
      </c>
      <c r="M14" s="132">
        <f t="shared" si="6"/>
        <v>0</v>
      </c>
      <c r="N14" s="132">
        <v>0</v>
      </c>
      <c r="O14" s="132">
        <f t="shared" si="7"/>
        <v>0</v>
      </c>
      <c r="P14" s="129">
        <v>0</v>
      </c>
      <c r="Q14" s="129">
        <v>0</v>
      </c>
      <c r="R14" s="134">
        <f t="shared" si="9"/>
        <v>0</v>
      </c>
      <c r="S14" s="129">
        <v>0</v>
      </c>
      <c r="T14" s="129">
        <v>0</v>
      </c>
      <c r="U14" s="134">
        <f t="shared" si="11"/>
        <v>0</v>
      </c>
      <c r="V14" s="129">
        <v>0</v>
      </c>
      <c r="W14" s="129">
        <v>0</v>
      </c>
      <c r="X14" s="134">
        <f t="shared" si="13"/>
        <v>0</v>
      </c>
      <c r="Y14" s="129">
        <v>0</v>
      </c>
      <c r="Z14" s="129">
        <v>0</v>
      </c>
      <c r="AA14" s="134">
        <f t="shared" si="15"/>
        <v>0</v>
      </c>
      <c r="AB14" s="128">
        <f t="shared" si="16"/>
        <v>0</v>
      </c>
      <c r="AC14" s="129">
        <v>0</v>
      </c>
      <c r="AD14" s="129">
        <v>0</v>
      </c>
      <c r="AE14" s="129">
        <v>0</v>
      </c>
      <c r="AF14" s="130">
        <v>0</v>
      </c>
      <c r="AG14" s="130">
        <v>0</v>
      </c>
      <c r="AH14" s="130">
        <f t="shared" si="19"/>
        <v>0</v>
      </c>
      <c r="AI14" s="130">
        <f t="shared" si="20"/>
        <v>0</v>
      </c>
      <c r="AJ14" s="54">
        <v>0</v>
      </c>
      <c r="AK14" s="131">
        <f t="shared" si="21"/>
        <v>0</v>
      </c>
      <c r="AL14" s="132">
        <f t="shared" si="22"/>
        <v>0</v>
      </c>
      <c r="AM14" s="132">
        <v>0</v>
      </c>
      <c r="AN14" s="132">
        <f t="shared" si="23"/>
        <v>0</v>
      </c>
      <c r="AO14" s="129">
        <v>0</v>
      </c>
      <c r="AP14" s="129">
        <v>0</v>
      </c>
      <c r="AQ14" s="134">
        <f t="shared" si="25"/>
        <v>0</v>
      </c>
    </row>
    <row r="15" spans="1:43" ht="28.5" customHeight="1">
      <c r="A15" s="676" t="s">
        <v>39</v>
      </c>
      <c r="B15" s="654"/>
      <c r="C15" s="58">
        <f t="shared" ca="1" si="0"/>
        <v>1126000</v>
      </c>
      <c r="D15" s="59">
        <f t="shared" ref="D15:H15" ca="1" si="39">SUM(D16:D32)</f>
        <v>1126000</v>
      </c>
      <c r="E15" s="59">
        <f t="shared" ca="1" si="39"/>
        <v>264000</v>
      </c>
      <c r="F15" s="59">
        <f t="shared" ca="1" si="39"/>
        <v>862000</v>
      </c>
      <c r="G15" s="59">
        <f t="shared" ca="1" si="39"/>
        <v>0</v>
      </c>
      <c r="H15" s="59">
        <f t="shared" ca="1" si="39"/>
        <v>827500</v>
      </c>
      <c r="I15" s="59">
        <f t="shared" ca="1" si="3"/>
        <v>513650.76</v>
      </c>
      <c r="J15" s="59">
        <f t="shared" ca="1" si="4"/>
        <v>45.617296625222025</v>
      </c>
      <c r="K15" s="59">
        <f ca="1">SUM(K16:K32)</f>
        <v>513650.76</v>
      </c>
      <c r="L15" s="135">
        <f t="shared" ca="1" si="5"/>
        <v>45.617296625222025</v>
      </c>
      <c r="M15" s="135">
        <f t="shared" ca="1" si="6"/>
        <v>62.072599395770389</v>
      </c>
      <c r="N15" s="135">
        <f ca="1">SUM(N16:N32)</f>
        <v>0</v>
      </c>
      <c r="O15" s="135">
        <f t="shared" ca="1" si="7"/>
        <v>0</v>
      </c>
      <c r="P15" s="59">
        <f t="shared" ref="P15:Q15" ca="1" si="40">SUM(P16:P32)</f>
        <v>8</v>
      </c>
      <c r="Q15" s="59">
        <f t="shared" ca="1" si="40"/>
        <v>8</v>
      </c>
      <c r="R15" s="135">
        <f t="shared" ca="1" si="9"/>
        <v>100</v>
      </c>
      <c r="S15" s="59">
        <f t="shared" ref="S15:T15" ca="1" si="41">SUM(S16:S32)</f>
        <v>180</v>
      </c>
      <c r="T15" s="59">
        <f t="shared" ca="1" si="41"/>
        <v>180</v>
      </c>
      <c r="U15" s="135">
        <f t="shared" ca="1" si="11"/>
        <v>100</v>
      </c>
      <c r="V15" s="59">
        <f t="shared" ref="V15:W15" ca="1" si="42">SUM(V16:V32)</f>
        <v>180</v>
      </c>
      <c r="W15" s="59">
        <f t="shared" ca="1" si="42"/>
        <v>25</v>
      </c>
      <c r="X15" s="135">
        <f t="shared" ca="1" si="13"/>
        <v>13.888888888888889</v>
      </c>
      <c r="Y15" s="59">
        <f t="shared" ref="Y15:Z15" ca="1" si="43">SUM(Y16:Y32)</f>
        <v>8</v>
      </c>
      <c r="Z15" s="59">
        <f t="shared" ca="1" si="43"/>
        <v>6</v>
      </c>
      <c r="AA15" s="135">
        <f t="shared" ca="1" si="15"/>
        <v>75</v>
      </c>
      <c r="AB15" s="58">
        <f t="shared" ca="1" si="16"/>
        <v>2476100</v>
      </c>
      <c r="AC15" s="59">
        <f t="shared" ref="AC15:AG15" ca="1" si="44">SUM(AC16:AC32)</f>
        <v>2476100</v>
      </c>
      <c r="AD15" s="59">
        <f t="shared" ca="1" si="44"/>
        <v>1056000</v>
      </c>
      <c r="AE15" s="59">
        <f t="shared" ca="1" si="44"/>
        <v>1420100</v>
      </c>
      <c r="AF15" s="59">
        <f t="shared" ca="1" si="44"/>
        <v>0</v>
      </c>
      <c r="AG15" s="59">
        <f t="shared" ca="1" si="44"/>
        <v>1837250</v>
      </c>
      <c r="AH15" s="59">
        <f t="shared" ca="1" si="19"/>
        <v>1158119.48</v>
      </c>
      <c r="AI15" s="59">
        <f t="shared" ca="1" si="20"/>
        <v>46.771918743184848</v>
      </c>
      <c r="AJ15" s="59">
        <f ca="1">SUM(AJ16:AJ32)</f>
        <v>1158119.48</v>
      </c>
      <c r="AK15" s="135">
        <f t="shared" ca="1" si="21"/>
        <v>46.771918743184848</v>
      </c>
      <c r="AL15" s="135">
        <f t="shared" ca="1" si="22"/>
        <v>63.035486732888828</v>
      </c>
      <c r="AM15" s="135">
        <f ca="1">SUM(AM16:AM32)</f>
        <v>0</v>
      </c>
      <c r="AN15" s="135">
        <f t="shared" ca="1" si="23"/>
        <v>0</v>
      </c>
      <c r="AO15" s="59">
        <f t="shared" ref="AO15:AP15" ca="1" si="45">SUM(AO16:AO32)</f>
        <v>255</v>
      </c>
      <c r="AP15" s="59">
        <f t="shared" ca="1" si="45"/>
        <v>255</v>
      </c>
      <c r="AQ15" s="135">
        <f t="shared" ca="1" si="25"/>
        <v>100</v>
      </c>
    </row>
    <row r="16" spans="1:43" ht="24" customHeight="1">
      <c r="A16" s="63">
        <v>1</v>
      </c>
      <c r="B16" s="64" t="s">
        <v>40</v>
      </c>
      <c r="C16" s="65">
        <f t="shared" ca="1" si="0"/>
        <v>0</v>
      </c>
      <c r="D16" s="66">
        <f t="shared" ref="D16:D32" ca="1" si="46">+E16+F16</f>
        <v>0</v>
      </c>
      <c r="E16" s="67">
        <f ca="1">IFERROR(__xludf.DUMMYFUNCTION("IMPORTRANGE(""https://docs.google.com/spreadsheets/d/1C3CXT74ZlgGe6_JY_1olB1XN4rF0dxEuIIF-xsYjHgg/edit?usp=sharing"",""พรบ!BD20"")"),0)</f>
        <v>0</v>
      </c>
      <c r="F16" s="67">
        <f ca="1">IFERROR(__xludf.DUMMYFUNCTION("IMPORTRANGE(""https://docs.google.com/spreadsheets/d/1C3CXT74ZlgGe6_JY_1olB1XN4rF0dxEuIIF-xsYjHgg/edit?usp=sharing"",""พรบ!BE20"")"),0)</f>
        <v>0</v>
      </c>
      <c r="G16" s="67">
        <f ca="1">IFERROR(__xludf.DUMMYFUNCTION("IMPORTRANGE(""https://docs.google.com/spreadsheets/d/1Yj_ptqi66GCucihVvJfMjLAmec39IyEx_6qawtMGysU/edit?usp=sharing"",""สบก!BZ20"")"),0)</f>
        <v>0</v>
      </c>
      <c r="H16" s="67">
        <f ca="1">IFERROR(__xludf.DUMMYFUNCTION("IMPORTRANGE(""https://docs.google.com/spreadsheets/d/1Yj_ptqi66GCucihVvJfMjLAmec39IyEx_6qawtMGysU/edit?usp=shCBing"",""สบก!CB20"")"),0)</f>
        <v>0</v>
      </c>
      <c r="I16" s="67">
        <f t="shared" ca="1" si="3"/>
        <v>0</v>
      </c>
      <c r="J16" s="67">
        <f t="shared" ca="1" si="4"/>
        <v>0</v>
      </c>
      <c r="K16" s="67">
        <f ca="1">IFERROR(__xludf.DUMMYFUNCTION("IMPORTRANGE(""https://docs.google.com/spreadsheets/d/1Yj_ptqi66GCucihVvJfMjLAmec39IyEx_6qawtMGysU/edit?usp=sharing"",""สบก!CC20"")"),0)</f>
        <v>0</v>
      </c>
      <c r="L16" s="136">
        <f t="shared" ca="1" si="5"/>
        <v>0</v>
      </c>
      <c r="M16" s="136">
        <f t="shared" ca="1" si="6"/>
        <v>0</v>
      </c>
      <c r="N16" s="136">
        <f ca="1">IFERROR(__xludf.DUMMYFUNCTION("IMPORTRANGE(""https://docs.google.com/spreadsheets/d/1Yj_ptqi66GCucihVvJfMjLAmec39IyEx_6qawtMGysU/edit?usp=sharing"",""สบก!CD20"")"),0)</f>
        <v>0</v>
      </c>
      <c r="O16" s="136">
        <f t="shared" ca="1" si="7"/>
        <v>0</v>
      </c>
      <c r="P16" s="67">
        <f ca="1">IFERROR(__xludf.DUMMYFUNCTION("IMPORTRANGE(""https://docs.google.com/spreadsheets/d/1C3CXT74ZlgGe6_JY_1olB1XN4rF0dxEuIIF-xsYjHgg/edit?usp=sharing"",""พรบ!BF20"")"),0)</f>
        <v>0</v>
      </c>
      <c r="Q16" s="67">
        <f ca="1">IFERROR(__xludf.DUMMYFUNCTION("IMPORTRANGE(""https://docs.google.com/spreadsheets/d/11923uPwbBZFjjGgGUA6NLw09EwE0CqkOc4q9oUmW1yo/edit?usp=sharing"",""กำแพงเพชร!j179"")"),0)</f>
        <v>0</v>
      </c>
      <c r="R16" s="136">
        <f t="shared" ca="1" si="9"/>
        <v>0</v>
      </c>
      <c r="S16" s="67">
        <f ca="1">IFERROR(__xludf.DUMMYFUNCTION("IMPORTRANGE(""https://docs.google.com/spreadsheets/d/1C3CXT74ZlgGe6_JY_1olB1XN4rF0dxEuIIF-xsYjHgg/edit?usp=sharing"",""พรบ!BG20"")"),0)</f>
        <v>0</v>
      </c>
      <c r="T16" s="67">
        <f ca="1">IFERROR(__xludf.DUMMYFUNCTION("IMPORTRANGE(""https://docs.google.com/spreadsheets/d/11923uPwbBZFjjGgGUA6NLw09EwE0CqkOc4q9oUmW1yo/edit?usp=sharing"",""กำแพงเพชร!j180"")"),0)</f>
        <v>0</v>
      </c>
      <c r="U16" s="136">
        <f t="shared" ca="1" si="11"/>
        <v>0</v>
      </c>
      <c r="V16" s="67">
        <f ca="1">IFERROR(__xludf.DUMMYFUNCTION("IMPORTRANGE(""https://docs.google.com/spreadsheets/d/1C3CXT74ZlgGe6_JY_1olB1XN4rF0dxEuIIF-xsYjHgg/edit?usp=sharing"",""พรบ!BH20"")"),0)</f>
        <v>0</v>
      </c>
      <c r="W16" s="67">
        <f ca="1">IFERROR(__xludf.DUMMYFUNCTION("IMPORTRANGE(""https://docs.google.com/spreadsheets/d/11923uPwbBZFjjGgGUA6NLw09EwE0CqkOc4q9oUmW1yo/edit?usp=sharing"",""กำแพงเพชร!j181"")"),0)</f>
        <v>0</v>
      </c>
      <c r="X16" s="136">
        <f t="shared" ca="1" si="13"/>
        <v>0</v>
      </c>
      <c r="Y16" s="67">
        <f ca="1">IFERROR(__xludf.DUMMYFUNCTION("IMPORTRANGE(""https://docs.google.com/spreadsheets/d/1C3CXT74ZlgGe6_JY_1olB1XN4rF0dxEuIIF-xsYjHgg/edit?usp=sharing"",""พรบ!BI20"")"),0)</f>
        <v>0</v>
      </c>
      <c r="Z16" s="67">
        <f ca="1">IFERROR(__xludf.DUMMYFUNCTION("IMPORTRANGE(""https://docs.google.com/spreadsheets/d/11923uPwbBZFjjGgGUA6NLw09EwE0CqkOc4q9oUmW1yo/edit?usp=sharing"",""กำแพงเพชร!j182"")"),0)</f>
        <v>0</v>
      </c>
      <c r="AA16" s="136">
        <f t="shared" ca="1" si="15"/>
        <v>0</v>
      </c>
      <c r="AB16" s="65">
        <f t="shared" ca="1" si="16"/>
        <v>319200</v>
      </c>
      <c r="AC16" s="66">
        <f t="shared" ref="AC16:AC32" ca="1" si="47">+AD16+AE16</f>
        <v>319200</v>
      </c>
      <c r="AD16" s="67">
        <f ca="1">IFERROR(__xludf.DUMMYFUNCTION("IMPORTRANGE(""https://docs.google.com/spreadsheets/d/1C3CXT74ZlgGe6_JY_1olB1XN4rF0dxEuIIF-xsYjHgg/edit?usp=sharing"",""พรบ!BK20"")"),264000)</f>
        <v>264000</v>
      </c>
      <c r="AE16" s="67">
        <f ca="1">IFERROR(__xludf.DUMMYFUNCTION("IMPORTRANGE(""https://docs.google.com/spreadsheets/d/1C3CXT74ZlgGe6_JY_1olB1XN4rF0dxEuIIF-xsYjHgg/edit?usp=sharing"",""พรบ!BL20"")"),55200)</f>
        <v>55200</v>
      </c>
      <c r="AF16" s="67">
        <f ca="1">IFERROR(__xludf.DUMMYFUNCTION("IMPORTRANGE(""https://docs.google.com/spreadsheets/d/1Yj_ptqi66GCucihVvJfMjLAmec39IyEx_6qawtMGysU/edit?usp=sharing"",""สบก!CI20"")"),0)</f>
        <v>0</v>
      </c>
      <c r="AG16" s="67">
        <f ca="1">IFERROR(__xludf.DUMMYFUNCTION("IMPORTRANGE(""https://docs.google.com/spreadsheets/d/1Yj_ptqi66GCucihVvJfMjLAmec39IyEx_6qawtMGysU/edit?usp=shCKing"",""สบก!CK20"")"),230250)</f>
        <v>230250</v>
      </c>
      <c r="AH16" s="67">
        <f t="shared" ca="1" si="19"/>
        <v>109100</v>
      </c>
      <c r="AI16" s="67">
        <f t="shared" ca="1" si="20"/>
        <v>34.179197994987469</v>
      </c>
      <c r="AJ16" s="67">
        <f ca="1">IFERROR(__xludf.DUMMYFUNCTION("IMPORTRANGE(""https://docs.google.com/spreadsheets/d/1Yj_ptqi66GCucihVvJfMjLAmec39IyEx_6qawtMGysU/edit?usp=sharing"",""สบก!CL20"")"),109100)</f>
        <v>109100</v>
      </c>
      <c r="AK16" s="136">
        <f t="shared" ca="1" si="21"/>
        <v>34.179197994987469</v>
      </c>
      <c r="AL16" s="136">
        <f t="shared" ca="1" si="22"/>
        <v>47.383279044516833</v>
      </c>
      <c r="AM16" s="136">
        <f ca="1">IFERROR(__xludf.DUMMYFUNCTION("IMPORTRANGE(""https://docs.google.com/spreadsheets/d/1Yj_ptqi66GCucihVvJfMjLAmec39IyEx_6qawtMGysU/edit?usp=sharing"",""สบก!CM20"")"),0)</f>
        <v>0</v>
      </c>
      <c r="AN16" s="136">
        <f t="shared" ca="1" si="23"/>
        <v>0</v>
      </c>
      <c r="AO16" s="67">
        <f ca="1">IFERROR(__xludf.DUMMYFUNCTION("IMPORTRANGE(""https://docs.google.com/spreadsheets/d/1C3CXT74ZlgGe6_JY_1olB1XN4rF0dxEuIIF-xsYjHgg/edit?usp=sharing"",""พรบ!BM20"")"),15)</f>
        <v>15</v>
      </c>
      <c r="AP16" s="67">
        <f ca="1">IFERROR(__xludf.DUMMYFUNCTION("IMPORTRANGE(""https://docs.google.com/spreadsheets/d/11923uPwbBZFjjGgGUA6NLw09EwE0CqkOc4q9oUmW1yo/edit?usp=sharing"",""กำแพงเพชร!j195"")"),15)</f>
        <v>15</v>
      </c>
      <c r="AQ16" s="136">
        <f t="shared" ca="1" si="25"/>
        <v>100</v>
      </c>
    </row>
    <row r="17" spans="1:43" ht="24" customHeight="1">
      <c r="A17" s="73">
        <v>2</v>
      </c>
      <c r="B17" s="184" t="s">
        <v>41</v>
      </c>
      <c r="C17" s="75">
        <f t="shared" ca="1" si="0"/>
        <v>71400</v>
      </c>
      <c r="D17" s="76">
        <f t="shared" ca="1" si="46"/>
        <v>71400</v>
      </c>
      <c r="E17" s="77">
        <f ca="1">IFERROR(__xludf.DUMMYFUNCTION("IMPORTRANGE(""https://docs.google.com/spreadsheets/d/1C3CXT74ZlgGe6_JY_1olB1XN4rF0dxEuIIF-xsYjHgg/edit?usp=sharing"",""พรบ!BD21"")"),0)</f>
        <v>0</v>
      </c>
      <c r="F17" s="77">
        <f ca="1">IFERROR(__xludf.DUMMYFUNCTION("IMPORTRANGE(""https://docs.google.com/spreadsheets/d/1C3CXT74ZlgGe6_JY_1olB1XN4rF0dxEuIIF-xsYjHgg/edit?usp=sharing"",""พรบ!BE21"")"),71400)</f>
        <v>71400</v>
      </c>
      <c r="G17" s="77">
        <f ca="1">IFERROR(__xludf.DUMMYFUNCTION("IMPORTRANGE(""https://docs.google.com/spreadsheets/d/1Yj_ptqi66GCucihVvJfMjLAmec39IyEx_6qawtMGysU/edit?usp=sharing"",""สบก!BZ21"")"),0)</f>
        <v>0</v>
      </c>
      <c r="H17" s="77">
        <f ca="1">IFERROR(__xludf.DUMMYFUNCTION("IMPORTRANGE(""https://docs.google.com/spreadsheets/d/1Yj_ptqi66GCucihVvJfMjLAmec39IyEx_6qawtMGysU/edit?usp=shCBing"",""สบก!CB21"")"),42000)</f>
        <v>42000</v>
      </c>
      <c r="I17" s="77">
        <f t="shared" ca="1" si="3"/>
        <v>32990</v>
      </c>
      <c r="J17" s="77">
        <f t="shared" ca="1" si="4"/>
        <v>46.20448179271709</v>
      </c>
      <c r="K17" s="77">
        <f ca="1">IFERROR(__xludf.DUMMYFUNCTION("IMPORTRANGE(""https://docs.google.com/spreadsheets/d/1Yj_ptqi66GCucihVvJfMjLAmec39IyEx_6qawtMGysU/edit?usp=sharing"",""สบก!CC21"")"),32990)</f>
        <v>32990</v>
      </c>
      <c r="L17" s="137">
        <f t="shared" ca="1" si="5"/>
        <v>46.20448179271709</v>
      </c>
      <c r="M17" s="137">
        <f t="shared" ca="1" si="6"/>
        <v>78.547619047619051</v>
      </c>
      <c r="N17" s="137">
        <f ca="1">IFERROR(__xludf.DUMMYFUNCTION("IMPORTRANGE(""https://docs.google.com/spreadsheets/d/1Yj_ptqi66GCucihVvJfMjLAmec39IyEx_6qawtMGysU/edit?usp=sharing"",""สบก!CD21"")"),0)</f>
        <v>0</v>
      </c>
      <c r="O17" s="137">
        <f t="shared" ca="1" si="7"/>
        <v>0</v>
      </c>
      <c r="P17" s="77">
        <f ca="1">IFERROR(__xludf.DUMMYFUNCTION("IMPORTRANGE(""https://docs.google.com/spreadsheets/d/1C3CXT74ZlgGe6_JY_1olB1XN4rF0dxEuIIF-xsYjHgg/edit?usp=sharing"",""พรบ!BF21"")"),1)</f>
        <v>1</v>
      </c>
      <c r="Q17" s="77">
        <f ca="1">IFERROR(__xludf.DUMMYFUNCTION("IMPORTRANGE(""https://docs.google.com/spreadsheets/d/11923uPwbBZFjjGgGUA6NLw09EwE0CqkOc4q9oUmW1yo/edit?usp=sharing"",""เชียงราย!j179"")"),1)</f>
        <v>1</v>
      </c>
      <c r="R17" s="137">
        <f t="shared" ca="1" si="9"/>
        <v>100</v>
      </c>
      <c r="S17" s="77">
        <f ca="1">IFERROR(__xludf.DUMMYFUNCTION("IMPORTRANGE(""https://docs.google.com/spreadsheets/d/1C3CXT74ZlgGe6_JY_1olB1XN4rF0dxEuIIF-xsYjHgg/edit?usp=sharing"",""พรบ!BG21"")"),20)</f>
        <v>20</v>
      </c>
      <c r="T17" s="77">
        <f ca="1">IFERROR(__xludf.DUMMYFUNCTION("IMPORTRANGE(""https://docs.google.com/spreadsheets/d/11923uPwbBZFjjGgGUA6NLw09EwE0CqkOc4q9oUmW1yo/edit?usp=sharing"",""เชียงราย!j180"")"),20)</f>
        <v>20</v>
      </c>
      <c r="U17" s="137">
        <f t="shared" ca="1" si="11"/>
        <v>100</v>
      </c>
      <c r="V17" s="77">
        <f ca="1">IFERROR(__xludf.DUMMYFUNCTION("IMPORTRANGE(""https://docs.google.com/spreadsheets/d/1C3CXT74ZlgGe6_JY_1olB1XN4rF0dxEuIIF-xsYjHgg/edit?usp=sharing"",""พรบ!BH21"")"),20)</f>
        <v>20</v>
      </c>
      <c r="W17" s="77">
        <f ca="1">IFERROR(__xludf.DUMMYFUNCTION("IMPORTRANGE(""https://docs.google.com/spreadsheets/d/11923uPwbBZFjjGgGUA6NLw09EwE0CqkOc4q9oUmW1yo/edit?usp=sharing"",""เชียงราย!j181"")"),0)</f>
        <v>0</v>
      </c>
      <c r="X17" s="137">
        <f t="shared" ca="1" si="13"/>
        <v>0</v>
      </c>
      <c r="Y17" s="77">
        <f ca="1">IFERROR(__xludf.DUMMYFUNCTION("IMPORTRANGE(""https://docs.google.com/spreadsheets/d/1C3CXT74ZlgGe6_JY_1olB1XN4rF0dxEuIIF-xsYjHgg/edit?usp=sharing"",""พรบ!BI21"")"),1)</f>
        <v>1</v>
      </c>
      <c r="Z17" s="77">
        <f ca="1">IFERROR(__xludf.DUMMYFUNCTION("IMPORTRANGE(""https://docs.google.com/spreadsheets/d/11923uPwbBZFjjGgGUA6NLw09EwE0CqkOc4q9oUmW1yo/edit?usp=sharing"",""เชียงราย!j182"")"),0)</f>
        <v>0</v>
      </c>
      <c r="AA17" s="137">
        <f t="shared" ca="1" si="15"/>
        <v>0</v>
      </c>
      <c r="AB17" s="75">
        <f t="shared" ca="1" si="16"/>
        <v>105700</v>
      </c>
      <c r="AC17" s="76">
        <f t="shared" ca="1" si="47"/>
        <v>105700</v>
      </c>
      <c r="AD17" s="77">
        <f ca="1">IFERROR(__xludf.DUMMYFUNCTION("IMPORTRANGE(""https://docs.google.com/spreadsheets/d/1C3CXT74ZlgGe6_JY_1olB1XN4rF0dxEuIIF-xsYjHgg/edit?usp=sharing"",""พรบ!BK21"")"),0)</f>
        <v>0</v>
      </c>
      <c r="AE17" s="77">
        <f ca="1">IFERROR(__xludf.DUMMYFUNCTION("IMPORTRANGE(""https://docs.google.com/spreadsheets/d/1C3CXT74ZlgGe6_JY_1olB1XN4rF0dxEuIIF-xsYjHgg/edit?usp=sharing"",""พรบ!BL21"")"),105700)</f>
        <v>105700</v>
      </c>
      <c r="AF17" s="77">
        <f ca="1">IFERROR(__xludf.DUMMYFUNCTION("IMPORTRANGE(""https://docs.google.com/spreadsheets/d/1Yj_ptqi66GCucihVvJfMjLAmec39IyEx_6qawtMGysU/edit?usp=sharing"",""สบก!CI21"")"),0)</f>
        <v>0</v>
      </c>
      <c r="AG17" s="77">
        <f ca="1">IFERROR(__xludf.DUMMYFUNCTION("IMPORTRANGE(""https://docs.google.com/spreadsheets/d/1Yj_ptqi66GCucihVvJfMjLAmec39IyEx_6qawtMGysU/edit?usp=shCKing"",""สบก!CK21"")"),80000)</f>
        <v>80000</v>
      </c>
      <c r="AH17" s="77">
        <f t="shared" ca="1" si="19"/>
        <v>57720</v>
      </c>
      <c r="AI17" s="77">
        <f t="shared" ca="1" si="20"/>
        <v>54.607379375591293</v>
      </c>
      <c r="AJ17" s="77">
        <f ca="1">IFERROR(__xludf.DUMMYFUNCTION("IMPORTRANGE(""https://docs.google.com/spreadsheets/d/1Yj_ptqi66GCucihVvJfMjLAmec39IyEx_6qawtMGysU/edit?usp=sharing"",""สบก!CL21"")"),57720)</f>
        <v>57720</v>
      </c>
      <c r="AK17" s="137">
        <f t="shared" ca="1" si="21"/>
        <v>54.607379375591293</v>
      </c>
      <c r="AL17" s="137">
        <f t="shared" ca="1" si="22"/>
        <v>72.150000000000006</v>
      </c>
      <c r="AM17" s="137">
        <f ca="1">IFERROR(__xludf.DUMMYFUNCTION("IMPORTRANGE(""https://docs.google.com/spreadsheets/d/1Yj_ptqi66GCucihVvJfMjLAmec39IyEx_6qawtMGysU/edit?usp=sharing"",""สบก!CM21"")"),0)</f>
        <v>0</v>
      </c>
      <c r="AN17" s="137">
        <f t="shared" ca="1" si="23"/>
        <v>0</v>
      </c>
      <c r="AO17" s="77">
        <f ca="1">IFERROR(__xludf.DUMMYFUNCTION("IMPORTRANGE(""https://docs.google.com/spreadsheets/d/1C3CXT74ZlgGe6_JY_1olB1XN4rF0dxEuIIF-xsYjHgg/edit?usp=sharing"",""พรบ!BM21"")"),15)</f>
        <v>15</v>
      </c>
      <c r="AP17" s="77">
        <f ca="1">IFERROR(__xludf.DUMMYFUNCTION("IMPORTRANGE(""https://docs.google.com/spreadsheets/d/11923uPwbBZFjjGgGUA6NLw09EwE0CqkOc4q9oUmW1yo/edit?usp=sharing"",""เชียงราย!j195"")"),15)</f>
        <v>15</v>
      </c>
      <c r="AQ17" s="137">
        <f t="shared" ca="1" si="25"/>
        <v>100</v>
      </c>
    </row>
    <row r="18" spans="1:43" ht="24" customHeight="1">
      <c r="A18" s="73">
        <v>3</v>
      </c>
      <c r="B18" s="74" t="s">
        <v>42</v>
      </c>
      <c r="C18" s="75">
        <f t="shared" ca="1" si="0"/>
        <v>71400</v>
      </c>
      <c r="D18" s="76">
        <f t="shared" ca="1" si="46"/>
        <v>71400</v>
      </c>
      <c r="E18" s="77">
        <f ca="1">IFERROR(__xludf.DUMMYFUNCTION("IMPORTRANGE(""https://docs.google.com/spreadsheets/d/1C3CXT74ZlgGe6_JY_1olB1XN4rF0dxEuIIF-xsYjHgg/edit?usp=sharing"",""พรบ!BD22"")"),0)</f>
        <v>0</v>
      </c>
      <c r="F18" s="77">
        <f ca="1">IFERROR(__xludf.DUMMYFUNCTION("IMPORTRANGE(""https://docs.google.com/spreadsheets/d/1C3CXT74ZlgGe6_JY_1olB1XN4rF0dxEuIIF-xsYjHgg/edit?usp=sharing"",""พรบ!BE22"")"),71400)</f>
        <v>71400</v>
      </c>
      <c r="G18" s="77">
        <f ca="1">IFERROR(__xludf.DUMMYFUNCTION("IMPORTRANGE(""https://docs.google.com/spreadsheets/d/1Yj_ptqi66GCucihVvJfMjLAmec39IyEx_6qawtMGysU/edit?usp=sharing"",""สบก!BZ22"")"),0)</f>
        <v>0</v>
      </c>
      <c r="H18" s="77">
        <f ca="1">IFERROR(__xludf.DUMMYFUNCTION("IMPORTRANGE(""https://docs.google.com/spreadsheets/d/1Yj_ptqi66GCucihVvJfMjLAmec39IyEx_6qawtMGysU/edit?usp=shCBing"",""สบก!CB22"")"),42000)</f>
        <v>42000</v>
      </c>
      <c r="I18" s="77">
        <f t="shared" ca="1" si="3"/>
        <v>33442</v>
      </c>
      <c r="J18" s="77">
        <f t="shared" ca="1" si="4"/>
        <v>46.837535014005603</v>
      </c>
      <c r="K18" s="77">
        <f ca="1">IFERROR(__xludf.DUMMYFUNCTION("IMPORTRANGE(""https://docs.google.com/spreadsheets/d/1Yj_ptqi66GCucihVvJfMjLAmec39IyEx_6qawtMGysU/edit?usp=sharing"",""สบก!CC22"")"),33442)</f>
        <v>33442</v>
      </c>
      <c r="L18" s="137">
        <f t="shared" ca="1" si="5"/>
        <v>46.837535014005603</v>
      </c>
      <c r="M18" s="137">
        <f t="shared" ca="1" si="6"/>
        <v>79.623809523809527</v>
      </c>
      <c r="N18" s="137">
        <f ca="1">IFERROR(__xludf.DUMMYFUNCTION("IMPORTRANGE(""https://docs.google.com/spreadsheets/d/1Yj_ptqi66GCucihVvJfMjLAmec39IyEx_6qawtMGysU/edit?usp=sharing"",""สบก!CD22"")"),0)</f>
        <v>0</v>
      </c>
      <c r="O18" s="137">
        <f t="shared" ca="1" si="7"/>
        <v>0</v>
      </c>
      <c r="P18" s="77">
        <f ca="1">IFERROR(__xludf.DUMMYFUNCTION("IMPORTRANGE(""https://docs.google.com/spreadsheets/d/1C3CXT74ZlgGe6_JY_1olB1XN4rF0dxEuIIF-xsYjHgg/edit?usp=sharing"",""พรบ!BF22"")"),1)</f>
        <v>1</v>
      </c>
      <c r="Q18" s="77">
        <f ca="1">IFERROR(__xludf.DUMMYFUNCTION("IMPORTRANGE(""https://docs.google.com/spreadsheets/d/11923uPwbBZFjjGgGUA6NLw09EwE0CqkOc4q9oUmW1yo/edit?usp=sharing"",""เชียงใหม่!j179"")"),1)</f>
        <v>1</v>
      </c>
      <c r="R18" s="137">
        <f t="shared" ca="1" si="9"/>
        <v>100</v>
      </c>
      <c r="S18" s="77">
        <f ca="1">IFERROR(__xludf.DUMMYFUNCTION("IMPORTRANGE(""https://docs.google.com/spreadsheets/d/1C3CXT74ZlgGe6_JY_1olB1XN4rF0dxEuIIF-xsYjHgg/edit?usp=sharing"",""พรบ!BG22"")"),20)</f>
        <v>20</v>
      </c>
      <c r="T18" s="77">
        <f ca="1">IFERROR(__xludf.DUMMYFUNCTION("IMPORTRANGE(""https://docs.google.com/spreadsheets/d/11923uPwbBZFjjGgGUA6NLw09EwE0CqkOc4q9oUmW1yo/edit?usp=sharing"",""เชียงใหม่!j180"")"),20)</f>
        <v>20</v>
      </c>
      <c r="U18" s="137">
        <f t="shared" ca="1" si="11"/>
        <v>100</v>
      </c>
      <c r="V18" s="77">
        <f ca="1">IFERROR(__xludf.DUMMYFUNCTION("IMPORTRANGE(""https://docs.google.com/spreadsheets/d/1C3CXT74ZlgGe6_JY_1olB1XN4rF0dxEuIIF-xsYjHgg/edit?usp=sharing"",""พรบ!BH22"")"),20)</f>
        <v>20</v>
      </c>
      <c r="W18" s="77">
        <f ca="1">IFERROR(__xludf.DUMMYFUNCTION("IMPORTRANGE(""https://docs.google.com/spreadsheets/d/11923uPwbBZFjjGgGUA6NLw09EwE0CqkOc4q9oUmW1yo/edit?usp=sharing"",""เชียงใหม่!j181"")"),0)</f>
        <v>0</v>
      </c>
      <c r="X18" s="137">
        <f t="shared" ca="1" si="13"/>
        <v>0</v>
      </c>
      <c r="Y18" s="77">
        <f ca="1">IFERROR(__xludf.DUMMYFUNCTION("IMPORTRANGE(""https://docs.google.com/spreadsheets/d/1C3CXT74ZlgGe6_JY_1olB1XN4rF0dxEuIIF-xsYjHgg/edit?usp=sharing"",""พรบ!BI22"")"),1)</f>
        <v>1</v>
      </c>
      <c r="Z18" s="77">
        <f ca="1">IFERROR(__xludf.DUMMYFUNCTION("IMPORTRANGE(""https://docs.google.com/spreadsheets/d/11923uPwbBZFjjGgGUA6NLw09EwE0CqkOc4q9oUmW1yo/edit?usp=sharing"",""เชียงใหม่!j182"")"),0)</f>
        <v>0</v>
      </c>
      <c r="AA18" s="137">
        <f t="shared" ca="1" si="15"/>
        <v>0</v>
      </c>
      <c r="AB18" s="75">
        <f t="shared" ca="1" si="16"/>
        <v>105700</v>
      </c>
      <c r="AC18" s="76">
        <f t="shared" ca="1" si="47"/>
        <v>105700</v>
      </c>
      <c r="AD18" s="77">
        <f ca="1">IFERROR(__xludf.DUMMYFUNCTION("IMPORTRANGE(""https://docs.google.com/spreadsheets/d/1C3CXT74ZlgGe6_JY_1olB1XN4rF0dxEuIIF-xsYjHgg/edit?usp=sharing"",""พรบ!BK22"")"),0)</f>
        <v>0</v>
      </c>
      <c r="AE18" s="77">
        <f ca="1">IFERROR(__xludf.DUMMYFUNCTION("IMPORTRANGE(""https://docs.google.com/spreadsheets/d/1C3CXT74ZlgGe6_JY_1olB1XN4rF0dxEuIIF-xsYjHgg/edit?usp=sharing"",""พรบ!BL22"")"),105700)</f>
        <v>105700</v>
      </c>
      <c r="AF18" s="77">
        <f ca="1">IFERROR(__xludf.DUMMYFUNCTION("IMPORTRANGE(""https://docs.google.com/spreadsheets/d/1Yj_ptqi66GCucihVvJfMjLAmec39IyEx_6qawtMGysU/edit?usp=sharing"",""สบก!CI22"")"),0)</f>
        <v>0</v>
      </c>
      <c r="AG18" s="77">
        <f ca="1">IFERROR(__xludf.DUMMYFUNCTION("IMPORTRANGE(""https://docs.google.com/spreadsheets/d/1Yj_ptqi66GCucihVvJfMjLAmec39IyEx_6qawtMGysU/edit?usp=shCKing"",""สบก!CK22"")"),80000)</f>
        <v>80000</v>
      </c>
      <c r="AH18" s="77">
        <f t="shared" ca="1" si="19"/>
        <v>59051</v>
      </c>
      <c r="AI18" s="77">
        <f t="shared" ca="1" si="20"/>
        <v>55.866603595080413</v>
      </c>
      <c r="AJ18" s="77">
        <f ca="1">IFERROR(__xludf.DUMMYFUNCTION("IMPORTRANGE(""https://docs.google.com/spreadsheets/d/1Yj_ptqi66GCucihVvJfMjLAmec39IyEx_6qawtMGysU/edit?usp=sharing"",""สบก!CL22"")"),59051)</f>
        <v>59051</v>
      </c>
      <c r="AK18" s="137">
        <f t="shared" ca="1" si="21"/>
        <v>55.866603595080413</v>
      </c>
      <c r="AL18" s="137">
        <f t="shared" ca="1" si="22"/>
        <v>73.813749999999999</v>
      </c>
      <c r="AM18" s="137">
        <f ca="1">IFERROR(__xludf.DUMMYFUNCTION("IMPORTRANGE(""https://docs.google.com/spreadsheets/d/1Yj_ptqi66GCucihVvJfMjLAmec39IyEx_6qawtMGysU/edit?usp=sharing"",""สบก!CM22"")"),0)</f>
        <v>0</v>
      </c>
      <c r="AN18" s="137">
        <f t="shared" ca="1" si="23"/>
        <v>0</v>
      </c>
      <c r="AO18" s="77">
        <f ca="1">IFERROR(__xludf.DUMMYFUNCTION("IMPORTRANGE(""https://docs.google.com/spreadsheets/d/1C3CXT74ZlgGe6_JY_1olB1XN4rF0dxEuIIF-xsYjHgg/edit?usp=sharing"",""พรบ!BM22"")"),15)</f>
        <v>15</v>
      </c>
      <c r="AP18" s="77">
        <f ca="1">IFERROR(__xludf.DUMMYFUNCTION("IMPORTRANGE(""https://docs.google.com/spreadsheets/d/11923uPwbBZFjjGgGUA6NLw09EwE0CqkOc4q9oUmW1yo/edit?usp=sharing"",""เชียงใหม่!j195"")"),15)</f>
        <v>15</v>
      </c>
      <c r="AQ18" s="137">
        <f t="shared" ca="1" si="25"/>
        <v>100</v>
      </c>
    </row>
    <row r="19" spans="1:43" ht="24" customHeight="1">
      <c r="A19" s="73">
        <v>4</v>
      </c>
      <c r="B19" s="74" t="s">
        <v>43</v>
      </c>
      <c r="C19" s="75">
        <f t="shared" ca="1" si="0"/>
        <v>0</v>
      </c>
      <c r="D19" s="76">
        <f t="shared" ca="1" si="46"/>
        <v>0</v>
      </c>
      <c r="E19" s="77">
        <f ca="1">IFERROR(__xludf.DUMMYFUNCTION("IMPORTRANGE(""https://docs.google.com/spreadsheets/d/1C3CXT74ZlgGe6_JY_1olB1XN4rF0dxEuIIF-xsYjHgg/edit?usp=sharing"",""พรบ!BD23"")"),0)</f>
        <v>0</v>
      </c>
      <c r="F19" s="77">
        <f ca="1">IFERROR(__xludf.DUMMYFUNCTION("IMPORTRANGE(""https://docs.google.com/spreadsheets/d/1C3CXT74ZlgGe6_JY_1olB1XN4rF0dxEuIIF-xsYjHgg/edit?usp=sharing"",""พรบ!BE23"")"),0)</f>
        <v>0</v>
      </c>
      <c r="G19" s="77">
        <f ca="1">IFERROR(__xludf.DUMMYFUNCTION("IMPORTRANGE(""https://docs.google.com/spreadsheets/d/1Yj_ptqi66GCucihVvJfMjLAmec39IyEx_6qawtMGysU/edit?usp=sharing"",""สบก!BZ23"")"),0)</f>
        <v>0</v>
      </c>
      <c r="H19" s="77">
        <f ca="1">IFERROR(__xludf.DUMMYFUNCTION("IMPORTRANGE(""https://docs.google.com/spreadsheets/d/1Yj_ptqi66GCucihVvJfMjLAmec39IyEx_6qawtMGysU/edit?usp=shCBing"",""สบก!CB23"")"),0)</f>
        <v>0</v>
      </c>
      <c r="I19" s="77">
        <f t="shared" ca="1" si="3"/>
        <v>0</v>
      </c>
      <c r="J19" s="77">
        <f t="shared" ca="1" si="4"/>
        <v>0</v>
      </c>
      <c r="K19" s="77">
        <f ca="1">IFERROR(__xludf.DUMMYFUNCTION("IMPORTRANGE(""https://docs.google.com/spreadsheets/d/1Yj_ptqi66GCucihVvJfMjLAmec39IyEx_6qawtMGysU/edit?usp=sharing"",""สบก!CC23"")"),0)</f>
        <v>0</v>
      </c>
      <c r="L19" s="137">
        <f t="shared" ca="1" si="5"/>
        <v>0</v>
      </c>
      <c r="M19" s="137">
        <f t="shared" ca="1" si="6"/>
        <v>0</v>
      </c>
      <c r="N19" s="137">
        <f ca="1">IFERROR(__xludf.DUMMYFUNCTION("IMPORTRANGE(""https://docs.google.com/spreadsheets/d/1Yj_ptqi66GCucihVvJfMjLAmec39IyEx_6qawtMGysU/edit?usp=sharing"",""สบก!CD23"")"),0)</f>
        <v>0</v>
      </c>
      <c r="O19" s="137">
        <f t="shared" ca="1" si="7"/>
        <v>0</v>
      </c>
      <c r="P19" s="77">
        <f ca="1">IFERROR(__xludf.DUMMYFUNCTION("IMPORTRANGE(""https://docs.google.com/spreadsheets/d/1C3CXT74ZlgGe6_JY_1olB1XN4rF0dxEuIIF-xsYjHgg/edit?usp=sharing"",""พรบ!BF23"")"),0)</f>
        <v>0</v>
      </c>
      <c r="Q19" s="77">
        <f ca="1">IFERROR(__xludf.DUMMYFUNCTION("IMPORTRANGE(""https://docs.google.com/spreadsheets/d/11923uPwbBZFjjGgGUA6NLw09EwE0CqkOc4q9oUmW1yo/edit?usp=sharing"",""ตาก!j179"")"),0)</f>
        <v>0</v>
      </c>
      <c r="R19" s="137">
        <f t="shared" ca="1" si="9"/>
        <v>0</v>
      </c>
      <c r="S19" s="77">
        <f ca="1">IFERROR(__xludf.DUMMYFUNCTION("IMPORTRANGE(""https://docs.google.com/spreadsheets/d/1C3CXT74ZlgGe6_JY_1olB1XN4rF0dxEuIIF-xsYjHgg/edit?usp=sharing"",""พรบ!BG23"")"),0)</f>
        <v>0</v>
      </c>
      <c r="T19" s="77">
        <f ca="1">IFERROR(__xludf.DUMMYFUNCTION("IMPORTRANGE(""https://docs.google.com/spreadsheets/d/11923uPwbBZFjjGgGUA6NLw09EwE0CqkOc4q9oUmW1yo/edit?usp=sharing"",""ตาก!j180"")"),0)</f>
        <v>0</v>
      </c>
      <c r="U19" s="137">
        <f t="shared" ca="1" si="11"/>
        <v>0</v>
      </c>
      <c r="V19" s="77">
        <f ca="1">IFERROR(__xludf.DUMMYFUNCTION("IMPORTRANGE(""https://docs.google.com/spreadsheets/d/1C3CXT74ZlgGe6_JY_1olB1XN4rF0dxEuIIF-xsYjHgg/edit?usp=sharing"",""พรบ!BH23"")"),0)</f>
        <v>0</v>
      </c>
      <c r="W19" s="77">
        <f ca="1">IFERROR(__xludf.DUMMYFUNCTION("IMPORTRANGE(""https://docs.google.com/spreadsheets/d/11923uPwbBZFjjGgGUA6NLw09EwE0CqkOc4q9oUmW1yo/edit?usp=sharing"",""ตาก!j181"")"),0)</f>
        <v>0</v>
      </c>
      <c r="X19" s="137">
        <f t="shared" ca="1" si="13"/>
        <v>0</v>
      </c>
      <c r="Y19" s="77">
        <f ca="1">IFERROR(__xludf.DUMMYFUNCTION("IMPORTRANGE(""https://docs.google.com/spreadsheets/d/1C3CXT74ZlgGe6_JY_1olB1XN4rF0dxEuIIF-xsYjHgg/edit?usp=sharing"",""พรบ!BI23"")"),0)</f>
        <v>0</v>
      </c>
      <c r="Z19" s="77">
        <f ca="1">IFERROR(__xludf.DUMMYFUNCTION("IMPORTRANGE(""https://docs.google.com/spreadsheets/d/11923uPwbBZFjjGgGUA6NLw09EwE0CqkOc4q9oUmW1yo/edit?usp=sharing"",""ตาก!j182"")"),0)</f>
        <v>0</v>
      </c>
      <c r="AA19" s="137">
        <f t="shared" ca="1" si="15"/>
        <v>0</v>
      </c>
      <c r="AB19" s="75">
        <f t="shared" ca="1" si="16"/>
        <v>337600</v>
      </c>
      <c r="AC19" s="76">
        <f t="shared" ca="1" si="47"/>
        <v>337600</v>
      </c>
      <c r="AD19" s="77">
        <f ca="1">IFERROR(__xludf.DUMMYFUNCTION("IMPORTRANGE(""https://docs.google.com/spreadsheets/d/1C3CXT74ZlgGe6_JY_1olB1XN4rF0dxEuIIF-xsYjHgg/edit?usp=sharing"",""พรบ!BK23"")"),264000)</f>
        <v>264000</v>
      </c>
      <c r="AE19" s="77">
        <f ca="1">IFERROR(__xludf.DUMMYFUNCTION("IMPORTRANGE(""https://docs.google.com/spreadsheets/d/1C3CXT74ZlgGe6_JY_1olB1XN4rF0dxEuIIF-xsYjHgg/edit?usp=sharing"",""พรบ!BL23"")"),73600)</f>
        <v>73600</v>
      </c>
      <c r="AF19" s="77">
        <f ca="1">IFERROR(__xludf.DUMMYFUNCTION("IMPORTRANGE(""https://docs.google.com/spreadsheets/d/1Yj_ptqi66GCucihVvJfMjLAmec39IyEx_6qawtMGysU/edit?usp=sharing"",""สบก!CI23"")"),0)</f>
        <v>0</v>
      </c>
      <c r="AG19" s="77">
        <f ca="1">IFERROR(__xludf.DUMMYFUNCTION("IMPORTRANGE(""https://docs.google.com/spreadsheets/d/1Yj_ptqi66GCucihVvJfMjLAmec39IyEx_6qawtMGysU/edit?usp=shCKing"",""สบก!CK23"")"),236000)</f>
        <v>236000</v>
      </c>
      <c r="AH19" s="77">
        <f t="shared" ca="1" si="19"/>
        <v>148345</v>
      </c>
      <c r="AI19" s="77">
        <f t="shared" ca="1" si="20"/>
        <v>43.941054502369667</v>
      </c>
      <c r="AJ19" s="77">
        <f ca="1">IFERROR(__xludf.DUMMYFUNCTION("IMPORTRANGE(""https://docs.google.com/spreadsheets/d/1Yj_ptqi66GCucihVvJfMjLAmec39IyEx_6qawtMGysU/edit?usp=sharing"",""สบก!CL23"")"),148345)</f>
        <v>148345</v>
      </c>
      <c r="AK19" s="137">
        <f t="shared" ca="1" si="21"/>
        <v>43.941054502369667</v>
      </c>
      <c r="AL19" s="137">
        <f t="shared" ca="1" si="22"/>
        <v>62.858050847457626</v>
      </c>
      <c r="AM19" s="137">
        <f ca="1">IFERROR(__xludf.DUMMYFUNCTION("IMPORTRANGE(""https://docs.google.com/spreadsheets/d/1Yj_ptqi66GCucihVvJfMjLAmec39IyEx_6qawtMGysU/edit?usp=sharing"",""สบก!CM23"")"),0)</f>
        <v>0</v>
      </c>
      <c r="AN19" s="137">
        <f t="shared" ca="1" si="23"/>
        <v>0</v>
      </c>
      <c r="AO19" s="77">
        <f ca="1">IFERROR(__xludf.DUMMYFUNCTION("IMPORTRANGE(""https://docs.google.com/spreadsheets/d/1C3CXT74ZlgGe6_JY_1olB1XN4rF0dxEuIIF-xsYjHgg/edit?usp=sharing"",""พรบ!BM23"")"),20)</f>
        <v>20</v>
      </c>
      <c r="AP19" s="77">
        <f ca="1">IFERROR(__xludf.DUMMYFUNCTION("IMPORTRANGE(""https://docs.google.com/spreadsheets/d/11923uPwbBZFjjGgGUA6NLw09EwE0CqkOc4q9oUmW1yo/edit?usp=sharing"",""ตาก!j195"")"),20)</f>
        <v>20</v>
      </c>
      <c r="AQ19" s="137">
        <f t="shared" ca="1" si="25"/>
        <v>100</v>
      </c>
    </row>
    <row r="20" spans="1:43" ht="24" customHeight="1">
      <c r="A20" s="73">
        <v>5</v>
      </c>
      <c r="B20" s="184" t="s">
        <v>44</v>
      </c>
      <c r="C20" s="75">
        <f t="shared" ca="1" si="0"/>
        <v>89000</v>
      </c>
      <c r="D20" s="76">
        <f t="shared" ca="1" si="46"/>
        <v>89000</v>
      </c>
      <c r="E20" s="77">
        <f ca="1">IFERROR(__xludf.DUMMYFUNCTION("IMPORTRANGE(""https://docs.google.com/spreadsheets/d/1C3CXT74ZlgGe6_JY_1olB1XN4rF0dxEuIIF-xsYjHgg/edit?usp=sharing"",""พรบ!BD24"")"),0)</f>
        <v>0</v>
      </c>
      <c r="F20" s="77">
        <f ca="1">IFERROR(__xludf.DUMMYFUNCTION("IMPORTRANGE(""https://docs.google.com/spreadsheets/d/1C3CXT74ZlgGe6_JY_1olB1XN4rF0dxEuIIF-xsYjHgg/edit?usp=sharing"",""พรบ!BE24"")"),89000)</f>
        <v>89000</v>
      </c>
      <c r="G20" s="77">
        <f ca="1">IFERROR(__xludf.DUMMYFUNCTION("IMPORTRANGE(""https://docs.google.com/spreadsheets/d/1Yj_ptqi66GCucihVvJfMjLAmec39IyEx_6qawtMGysU/edit?usp=sharing"",""สบก!BZ24"")"),0)</f>
        <v>0</v>
      </c>
      <c r="H20" s="77">
        <f ca="1">IFERROR(__xludf.DUMMYFUNCTION("IMPORTRANGE(""https://docs.google.com/spreadsheets/d/1Yj_ptqi66GCucihVvJfMjLAmec39IyEx_6qawtMGysU/edit?usp=shCBing"",""สบก!CB24"")"),47500)</f>
        <v>47500</v>
      </c>
      <c r="I20" s="77">
        <f t="shared" ca="1" si="3"/>
        <v>42144</v>
      </c>
      <c r="J20" s="77">
        <f t="shared" ca="1" si="4"/>
        <v>47.352808988764046</v>
      </c>
      <c r="K20" s="77">
        <f ca="1">IFERROR(__xludf.DUMMYFUNCTION("IMPORTRANGE(""https://docs.google.com/spreadsheets/d/1Yj_ptqi66GCucihVvJfMjLAmec39IyEx_6qawtMGysU/edit?usp=sharing"",""สบก!CC24"")"),42144)</f>
        <v>42144</v>
      </c>
      <c r="L20" s="137">
        <f t="shared" ca="1" si="5"/>
        <v>47.352808988764046</v>
      </c>
      <c r="M20" s="137">
        <f t="shared" ca="1" si="6"/>
        <v>88.724210526315787</v>
      </c>
      <c r="N20" s="137">
        <f ca="1">IFERROR(__xludf.DUMMYFUNCTION("IMPORTRANGE(""https://docs.google.com/spreadsheets/d/1Yj_ptqi66GCucihVvJfMjLAmec39IyEx_6qawtMGysU/edit?usp=sharing"",""สบก!CD24"")"),0)</f>
        <v>0</v>
      </c>
      <c r="O20" s="137">
        <f t="shared" ca="1" si="7"/>
        <v>0</v>
      </c>
      <c r="P20" s="77">
        <f ca="1">IFERROR(__xludf.DUMMYFUNCTION("IMPORTRANGE(""https://docs.google.com/spreadsheets/d/1C3CXT74ZlgGe6_JY_1olB1XN4rF0dxEuIIF-xsYjHgg/edit?usp=sharing"",""พรบ!BF24"")"),1)</f>
        <v>1</v>
      </c>
      <c r="Q20" s="77">
        <f ca="1">IFERROR(__xludf.DUMMYFUNCTION("IMPORTRANGE(""https://docs.google.com/spreadsheets/d/11923uPwbBZFjjGgGUA6NLw09EwE0CqkOc4q9oUmW1yo/edit?usp=sharing"",""นครสวรรค์!j179"")"),2)</f>
        <v>2</v>
      </c>
      <c r="R20" s="137">
        <f t="shared" ca="1" si="9"/>
        <v>200</v>
      </c>
      <c r="S20" s="77">
        <f ca="1">IFERROR(__xludf.DUMMYFUNCTION("IMPORTRANGE(""https://docs.google.com/spreadsheets/d/1C3CXT74ZlgGe6_JY_1olB1XN4rF0dxEuIIF-xsYjHgg/edit?usp=sharing"",""พรบ!BG24"")"),25)</f>
        <v>25</v>
      </c>
      <c r="T20" s="77">
        <f ca="1">IFERROR(__xludf.DUMMYFUNCTION("IMPORTRANGE(""https://docs.google.com/spreadsheets/d/11923uPwbBZFjjGgGUA6NLw09EwE0CqkOc4q9oUmW1yo/edit?usp=sharing"",""นครสวรรค์!j180"")"),25)</f>
        <v>25</v>
      </c>
      <c r="U20" s="137">
        <f t="shared" ca="1" si="11"/>
        <v>100</v>
      </c>
      <c r="V20" s="77">
        <f ca="1">IFERROR(__xludf.DUMMYFUNCTION("IMPORTRANGE(""https://docs.google.com/spreadsheets/d/1C3CXT74ZlgGe6_JY_1olB1XN4rF0dxEuIIF-xsYjHgg/edit?usp=sharing"",""พรบ!BH24"")"),25)</f>
        <v>25</v>
      </c>
      <c r="W20" s="77">
        <f ca="1">IFERROR(__xludf.DUMMYFUNCTION("IMPORTRANGE(""https://docs.google.com/spreadsheets/d/11923uPwbBZFjjGgGUA6NLw09EwE0CqkOc4q9oUmW1yo/edit?usp=sharing"",""นครสวรรค์!j181"")"),0)</f>
        <v>0</v>
      </c>
      <c r="X20" s="137">
        <f t="shared" ca="1" si="13"/>
        <v>0</v>
      </c>
      <c r="Y20" s="77">
        <f ca="1">IFERROR(__xludf.DUMMYFUNCTION("IMPORTRANGE(""https://docs.google.com/spreadsheets/d/1C3CXT74ZlgGe6_JY_1olB1XN4rF0dxEuIIF-xsYjHgg/edit?usp=sharing"",""พรบ!BI24"")"),1)</f>
        <v>1</v>
      </c>
      <c r="Z20" s="77">
        <f ca="1">IFERROR(__xludf.DUMMYFUNCTION("IMPORTRANGE(""https://docs.google.com/spreadsheets/d/11923uPwbBZFjjGgGUA6NLw09EwE0CqkOc4q9oUmW1yo/edit?usp=sharing"",""นครสวรรค์!j182"")"),2)</f>
        <v>2</v>
      </c>
      <c r="AA20" s="137">
        <f t="shared" ca="1" si="15"/>
        <v>200</v>
      </c>
      <c r="AB20" s="75">
        <f t="shared" ca="1" si="16"/>
        <v>183600</v>
      </c>
      <c r="AC20" s="76">
        <f t="shared" ca="1" si="47"/>
        <v>183600</v>
      </c>
      <c r="AD20" s="77">
        <f ca="1">IFERROR(__xludf.DUMMYFUNCTION("IMPORTRANGE(""https://docs.google.com/spreadsheets/d/1C3CXT74ZlgGe6_JY_1olB1XN4rF0dxEuIIF-xsYjHgg/edit?usp=sharing"",""พรบ!BK24"")"),0)</f>
        <v>0</v>
      </c>
      <c r="AE20" s="77">
        <f ca="1">IFERROR(__xludf.DUMMYFUNCTION("IMPORTRANGE(""https://docs.google.com/spreadsheets/d/1C3CXT74ZlgGe6_JY_1olB1XN4rF0dxEuIIF-xsYjHgg/edit?usp=sharing"",""พรบ!BL24"")"),183600)</f>
        <v>183600</v>
      </c>
      <c r="AF20" s="77">
        <f ca="1">IFERROR(__xludf.DUMMYFUNCTION("IMPORTRANGE(""https://docs.google.com/spreadsheets/d/1Yj_ptqi66GCucihVvJfMjLAmec39IyEx_6qawtMGysU/edit?usp=sharing"",""สบก!CI24"")"),0)</f>
        <v>0</v>
      </c>
      <c r="AG20" s="77">
        <f ca="1">IFERROR(__xludf.DUMMYFUNCTION("IMPORTRANGE(""https://docs.google.com/spreadsheets/d/1Yj_ptqi66GCucihVvJfMjLAmec39IyEx_6qawtMGysU/edit?usp=shCKing"",""สบก!CK24"")"),161600)</f>
        <v>161600</v>
      </c>
      <c r="AH20" s="77">
        <f t="shared" ca="1" si="19"/>
        <v>83928</v>
      </c>
      <c r="AI20" s="77">
        <f t="shared" ca="1" si="20"/>
        <v>45.712418300653596</v>
      </c>
      <c r="AJ20" s="77">
        <f ca="1">IFERROR(__xludf.DUMMYFUNCTION("IMPORTRANGE(""https://docs.google.com/spreadsheets/d/1Yj_ptqi66GCucihVvJfMjLAmec39IyEx_6qawtMGysU/edit?usp=sharing"",""สบก!CL24"")"),83928)</f>
        <v>83928</v>
      </c>
      <c r="AK20" s="137">
        <f t="shared" ca="1" si="21"/>
        <v>45.712418300653596</v>
      </c>
      <c r="AL20" s="137">
        <f t="shared" ca="1" si="22"/>
        <v>51.935643564356432</v>
      </c>
      <c r="AM20" s="137">
        <f ca="1">IFERROR(__xludf.DUMMYFUNCTION("IMPORTRANGE(""https://docs.google.com/spreadsheets/d/1Yj_ptqi66GCucihVvJfMjLAmec39IyEx_6qawtMGysU/edit?usp=sharing"",""สบก!CM24"")"),0)</f>
        <v>0</v>
      </c>
      <c r="AN20" s="137">
        <f t="shared" ca="1" si="23"/>
        <v>0</v>
      </c>
      <c r="AO20" s="77">
        <f ca="1">IFERROR(__xludf.DUMMYFUNCTION("IMPORTRANGE(""https://docs.google.com/spreadsheets/d/1C3CXT74ZlgGe6_JY_1olB1XN4rF0dxEuIIF-xsYjHgg/edit?usp=sharing"",""พรบ!BM24"")"),20)</f>
        <v>20</v>
      </c>
      <c r="AP20" s="77">
        <f ca="1">IFERROR(__xludf.DUMMYFUNCTION("IMPORTRANGE(""https://docs.google.com/spreadsheets/d/11923uPwbBZFjjGgGUA6NLw09EwE0CqkOc4q9oUmW1yo/edit?usp=sharing"",""นครสวรรค์!j195"")"),20)</f>
        <v>20</v>
      </c>
      <c r="AQ20" s="137">
        <f t="shared" ca="1" si="25"/>
        <v>100</v>
      </c>
    </row>
    <row r="21" spans="1:43" ht="24" customHeight="1">
      <c r="A21" s="73">
        <v>6</v>
      </c>
      <c r="B21" s="184" t="s">
        <v>45</v>
      </c>
      <c r="C21" s="75">
        <f t="shared" ca="1" si="0"/>
        <v>0</v>
      </c>
      <c r="D21" s="76">
        <f t="shared" ca="1" si="46"/>
        <v>0</v>
      </c>
      <c r="E21" s="77">
        <f ca="1">IFERROR(__xludf.DUMMYFUNCTION("IMPORTRANGE(""https://docs.google.com/spreadsheets/d/1C3CXT74ZlgGe6_JY_1olB1XN4rF0dxEuIIF-xsYjHgg/edit?usp=sharing"",""พรบ!BD25"")"),0)</f>
        <v>0</v>
      </c>
      <c r="F21" s="77">
        <f ca="1">IFERROR(__xludf.DUMMYFUNCTION("IMPORTRANGE(""https://docs.google.com/spreadsheets/d/1C3CXT74ZlgGe6_JY_1olB1XN4rF0dxEuIIF-xsYjHgg/edit?usp=sharing"",""พรบ!BE25"")"),0)</f>
        <v>0</v>
      </c>
      <c r="G21" s="77">
        <f ca="1">IFERROR(__xludf.DUMMYFUNCTION("IMPORTRANGE(""https://docs.google.com/spreadsheets/d/1Yj_ptqi66GCucihVvJfMjLAmec39IyEx_6qawtMGysU/edit?usp=sharing"",""สบก!BZ25"")"),0)</f>
        <v>0</v>
      </c>
      <c r="H21" s="77">
        <f ca="1">IFERROR(__xludf.DUMMYFUNCTION("IMPORTRANGE(""https://docs.google.com/spreadsheets/d/1Yj_ptqi66GCucihVvJfMjLAmec39IyEx_6qawtMGysU/edit?usp=shCBing"",""สบก!CB25"")"),0)</f>
        <v>0</v>
      </c>
      <c r="I21" s="77">
        <f t="shared" ca="1" si="3"/>
        <v>0</v>
      </c>
      <c r="J21" s="77">
        <f t="shared" ca="1" si="4"/>
        <v>0</v>
      </c>
      <c r="K21" s="77">
        <f ca="1">IFERROR(__xludf.DUMMYFUNCTION("IMPORTRANGE(""https://docs.google.com/spreadsheets/d/1Yj_ptqi66GCucihVvJfMjLAmec39IyEx_6qawtMGysU/edit?usp=sharing"",""สบก!CC25"")"),0)</f>
        <v>0</v>
      </c>
      <c r="L21" s="137">
        <f t="shared" ca="1" si="5"/>
        <v>0</v>
      </c>
      <c r="M21" s="137">
        <f t="shared" ca="1" si="6"/>
        <v>0</v>
      </c>
      <c r="N21" s="137">
        <f ca="1">IFERROR(__xludf.DUMMYFUNCTION("IMPORTRANGE(""https://docs.google.com/spreadsheets/d/1Yj_ptqi66GCucihVvJfMjLAmec39IyEx_6qawtMGysU/edit?usp=sharing"",""สบก!CD25"")"),0)</f>
        <v>0</v>
      </c>
      <c r="O21" s="137">
        <f t="shared" ca="1" si="7"/>
        <v>0</v>
      </c>
      <c r="P21" s="77">
        <f ca="1">IFERROR(__xludf.DUMMYFUNCTION("IMPORTRANGE(""https://docs.google.com/spreadsheets/d/1C3CXT74ZlgGe6_JY_1olB1XN4rF0dxEuIIF-xsYjHgg/edit?usp=sharing"",""พรบ!BF25"")"),0)</f>
        <v>0</v>
      </c>
      <c r="Q21" s="77">
        <f ca="1">IFERROR(__xludf.DUMMYFUNCTION("IMPORTRANGE(""https://docs.google.com/spreadsheets/d/11923uPwbBZFjjGgGUA6NLw09EwE0CqkOc4q9oUmW1yo/edit?usp=sharing"",""น่าน!j179"")"),0)</f>
        <v>0</v>
      </c>
      <c r="R21" s="137">
        <f t="shared" ca="1" si="9"/>
        <v>0</v>
      </c>
      <c r="S21" s="77">
        <f ca="1">IFERROR(__xludf.DUMMYFUNCTION("IMPORTRANGE(""https://docs.google.com/spreadsheets/d/1C3CXT74ZlgGe6_JY_1olB1XN4rF0dxEuIIF-xsYjHgg/edit?usp=sharing"",""พรบ!BG25"")"),0)</f>
        <v>0</v>
      </c>
      <c r="T21" s="77">
        <f ca="1">IFERROR(__xludf.DUMMYFUNCTION("IMPORTRANGE(""https://docs.google.com/spreadsheets/d/11923uPwbBZFjjGgGUA6NLw09EwE0CqkOc4q9oUmW1yo/edit?usp=sharing"",""น่าน!j180"")"),0)</f>
        <v>0</v>
      </c>
      <c r="U21" s="137">
        <f t="shared" ca="1" si="11"/>
        <v>0</v>
      </c>
      <c r="V21" s="77">
        <f ca="1">IFERROR(__xludf.DUMMYFUNCTION("IMPORTRANGE(""https://docs.google.com/spreadsheets/d/1C3CXT74ZlgGe6_JY_1olB1XN4rF0dxEuIIF-xsYjHgg/edit?usp=sharing"",""พรบ!BH25"")"),0)</f>
        <v>0</v>
      </c>
      <c r="W21" s="77">
        <f ca="1">IFERROR(__xludf.DUMMYFUNCTION("IMPORTRANGE(""https://docs.google.com/spreadsheets/d/11923uPwbBZFjjGgGUA6NLw09EwE0CqkOc4q9oUmW1yo/edit?usp=sharing"",""น่าน!j181"")"),0)</f>
        <v>0</v>
      </c>
      <c r="X21" s="137">
        <f t="shared" ca="1" si="13"/>
        <v>0</v>
      </c>
      <c r="Y21" s="77">
        <f ca="1">IFERROR(__xludf.DUMMYFUNCTION("IMPORTRANGE(""https://docs.google.com/spreadsheets/d/1C3CXT74ZlgGe6_JY_1olB1XN4rF0dxEuIIF-xsYjHgg/edit?usp=sharing"",""พรบ!BI25"")"),0)</f>
        <v>0</v>
      </c>
      <c r="Z21" s="77">
        <f ca="1">IFERROR(__xludf.DUMMYFUNCTION("IMPORTRANGE(""https://docs.google.com/spreadsheets/d/11923uPwbBZFjjGgGUA6NLw09EwE0CqkOc4q9oUmW1yo/edit?usp=sharing"",""น่าน!j182"")"),0)</f>
        <v>0</v>
      </c>
      <c r="AA21" s="137">
        <f t="shared" ca="1" si="15"/>
        <v>0</v>
      </c>
      <c r="AB21" s="75">
        <f t="shared" ca="1" si="16"/>
        <v>55200</v>
      </c>
      <c r="AC21" s="76">
        <f t="shared" ca="1" si="47"/>
        <v>55200</v>
      </c>
      <c r="AD21" s="77">
        <f ca="1">IFERROR(__xludf.DUMMYFUNCTION("IMPORTRANGE(""https://docs.google.com/spreadsheets/d/1C3CXT74ZlgGe6_JY_1olB1XN4rF0dxEuIIF-xsYjHgg/edit?usp=sharing"",""พรบ!BK25"")"),0)</f>
        <v>0</v>
      </c>
      <c r="AE21" s="77">
        <f ca="1">IFERROR(__xludf.DUMMYFUNCTION("IMPORTRANGE(""https://docs.google.com/spreadsheets/d/1C3CXT74ZlgGe6_JY_1olB1XN4rF0dxEuIIF-xsYjHgg/edit?usp=sharing"",""พรบ!BL25"")"),55200)</f>
        <v>55200</v>
      </c>
      <c r="AF21" s="77">
        <f ca="1">IFERROR(__xludf.DUMMYFUNCTION("IMPORTRANGE(""https://docs.google.com/spreadsheets/d/1Yj_ptqi66GCucihVvJfMjLAmec39IyEx_6qawtMGysU/edit?usp=sharing"",""สบก!CI25"")"),0)</f>
        <v>0</v>
      </c>
      <c r="AG21" s="77">
        <f ca="1">IFERROR(__xludf.DUMMYFUNCTION("IMPORTRANGE(""https://docs.google.com/spreadsheets/d/1Yj_ptqi66GCucihVvJfMjLAmec39IyEx_6qawtMGysU/edit?usp=shCKing"",""สบก!CK25"")"),32250)</f>
        <v>32250</v>
      </c>
      <c r="AH21" s="77">
        <f t="shared" ca="1" si="19"/>
        <v>32250</v>
      </c>
      <c r="AI21" s="77">
        <f t="shared" ca="1" si="20"/>
        <v>58.423913043478258</v>
      </c>
      <c r="AJ21" s="77">
        <f ca="1">IFERROR(__xludf.DUMMYFUNCTION("IMPORTRANGE(""https://docs.google.com/spreadsheets/d/1Yj_ptqi66GCucihVvJfMjLAmec39IyEx_6qawtMGysU/edit?usp=sharing"",""สบก!CL25"")"),32250)</f>
        <v>32250</v>
      </c>
      <c r="AK21" s="137">
        <f t="shared" ca="1" si="21"/>
        <v>58.423913043478258</v>
      </c>
      <c r="AL21" s="137">
        <f t="shared" ca="1" si="22"/>
        <v>100</v>
      </c>
      <c r="AM21" s="137">
        <f ca="1">IFERROR(__xludf.DUMMYFUNCTION("IMPORTRANGE(""https://docs.google.com/spreadsheets/d/1Yj_ptqi66GCucihVvJfMjLAmec39IyEx_6qawtMGysU/edit?usp=sharing"",""สบก!CM25"")"),0)</f>
        <v>0</v>
      </c>
      <c r="AN21" s="137">
        <f t="shared" ca="1" si="23"/>
        <v>0</v>
      </c>
      <c r="AO21" s="77">
        <f ca="1">IFERROR(__xludf.DUMMYFUNCTION("IMPORTRANGE(""https://docs.google.com/spreadsheets/d/1C3CXT74ZlgGe6_JY_1olB1XN4rF0dxEuIIF-xsYjHgg/edit?usp=sharing"",""พรบ!BM25"")"),15)</f>
        <v>15</v>
      </c>
      <c r="AP21" s="77">
        <f ca="1">IFERROR(__xludf.DUMMYFUNCTION("IMPORTRANGE(""https://docs.google.com/spreadsheets/d/11923uPwbBZFjjGgGUA6NLw09EwE0CqkOc4q9oUmW1yo/edit?usp=sharing"",""น่าน!j195"")"),15)</f>
        <v>15</v>
      </c>
      <c r="AQ21" s="137">
        <f t="shared" ca="1" si="25"/>
        <v>100</v>
      </c>
    </row>
    <row r="22" spans="1:43" ht="24" customHeight="1">
      <c r="A22" s="73">
        <v>7</v>
      </c>
      <c r="B22" s="184" t="s">
        <v>46</v>
      </c>
      <c r="C22" s="75">
        <f t="shared" ca="1" si="0"/>
        <v>71400</v>
      </c>
      <c r="D22" s="76">
        <f t="shared" ca="1" si="46"/>
        <v>71400</v>
      </c>
      <c r="E22" s="77">
        <f ca="1">IFERROR(__xludf.DUMMYFUNCTION("IMPORTRANGE(""https://docs.google.com/spreadsheets/d/1C3CXT74ZlgGe6_JY_1olB1XN4rF0dxEuIIF-xsYjHgg/edit?usp=sharing"",""พรบ!BD26"")"),0)</f>
        <v>0</v>
      </c>
      <c r="F22" s="77">
        <f ca="1">IFERROR(__xludf.DUMMYFUNCTION("IMPORTRANGE(""https://docs.google.com/spreadsheets/d/1C3CXT74ZlgGe6_JY_1olB1XN4rF0dxEuIIF-xsYjHgg/edit?usp=sharing"",""พรบ!BE26"")"),71400)</f>
        <v>71400</v>
      </c>
      <c r="G22" s="77">
        <f ca="1">IFERROR(__xludf.DUMMYFUNCTION("IMPORTRANGE(""https://docs.google.com/spreadsheets/d/1Yj_ptqi66GCucihVvJfMjLAmec39IyEx_6qawtMGysU/edit?usp=sharing"",""สบก!BZ26"")"),0)</f>
        <v>0</v>
      </c>
      <c r="H22" s="77">
        <f ca="1">IFERROR(__xludf.DUMMYFUNCTION("IMPORTRANGE(""https://docs.google.com/spreadsheets/d/1Yj_ptqi66GCucihVvJfMjLAmec39IyEx_6qawtMGysU/edit?usp=shCBing"",""สบก!CB26"")"),42000)</f>
        <v>42000</v>
      </c>
      <c r="I22" s="77">
        <f t="shared" ca="1" si="3"/>
        <v>24274</v>
      </c>
      <c r="J22" s="77">
        <f t="shared" ca="1" si="4"/>
        <v>33.997198879551817</v>
      </c>
      <c r="K22" s="77">
        <f ca="1">IFERROR(__xludf.DUMMYFUNCTION("IMPORTRANGE(""https://docs.google.com/spreadsheets/d/1Yj_ptqi66GCucihVvJfMjLAmec39IyEx_6qawtMGysU/edit?usp=sharing"",""สบก!CC26"")"),24274)</f>
        <v>24274</v>
      </c>
      <c r="L22" s="137">
        <f t="shared" ca="1" si="5"/>
        <v>33.997198879551817</v>
      </c>
      <c r="M22" s="137">
        <f t="shared" ca="1" si="6"/>
        <v>57.795238095238098</v>
      </c>
      <c r="N22" s="137">
        <f ca="1">IFERROR(__xludf.DUMMYFUNCTION("IMPORTRANGE(""https://docs.google.com/spreadsheets/d/1Yj_ptqi66GCucihVvJfMjLAmec39IyEx_6qawtMGysU/edit?usp=sharing"",""สบก!CD26"")"),0)</f>
        <v>0</v>
      </c>
      <c r="O22" s="137">
        <f t="shared" ca="1" si="7"/>
        <v>0</v>
      </c>
      <c r="P22" s="77">
        <f ca="1">IFERROR(__xludf.DUMMYFUNCTION("IMPORTRANGE(""https://docs.google.com/spreadsheets/d/1C3CXT74ZlgGe6_JY_1olB1XN4rF0dxEuIIF-xsYjHgg/edit?usp=sharing"",""พรบ!BF26"")"),1)</f>
        <v>1</v>
      </c>
      <c r="Q22" s="77">
        <f ca="1">IFERROR(__xludf.DUMMYFUNCTION("IMPORTRANGE(""https://docs.google.com/spreadsheets/d/11923uPwbBZFjjGgGUA6NLw09EwE0CqkOc4q9oUmW1yo/edit?usp=sharing"",""พะเยา!j179"")"),1)</f>
        <v>1</v>
      </c>
      <c r="R22" s="137">
        <f t="shared" ca="1" si="9"/>
        <v>100</v>
      </c>
      <c r="S22" s="77">
        <f ca="1">IFERROR(__xludf.DUMMYFUNCTION("IMPORTRANGE(""https://docs.google.com/spreadsheets/d/1C3CXT74ZlgGe6_JY_1olB1XN4rF0dxEuIIF-xsYjHgg/edit?usp=sharing"",""พรบ!BG26"")"),20)</f>
        <v>20</v>
      </c>
      <c r="T22" s="77">
        <f ca="1">IFERROR(__xludf.DUMMYFUNCTION("IMPORTRANGE(""https://docs.google.com/spreadsheets/d/11923uPwbBZFjjGgGUA6NLw09EwE0CqkOc4q9oUmW1yo/edit?usp=sharing"",""พะเยา!j180"")"),20)</f>
        <v>20</v>
      </c>
      <c r="U22" s="137">
        <f t="shared" ca="1" si="11"/>
        <v>100</v>
      </c>
      <c r="V22" s="77">
        <f ca="1">IFERROR(__xludf.DUMMYFUNCTION("IMPORTRANGE(""https://docs.google.com/spreadsheets/d/1C3CXT74ZlgGe6_JY_1olB1XN4rF0dxEuIIF-xsYjHgg/edit?usp=sharing"",""พรบ!BH26"")"),20)</f>
        <v>20</v>
      </c>
      <c r="W22" s="77">
        <f ca="1">IFERROR(__xludf.DUMMYFUNCTION("IMPORTRANGE(""https://docs.google.com/spreadsheets/d/11923uPwbBZFjjGgGUA6NLw09EwE0CqkOc4q9oUmW1yo/edit?usp=sharing"",""พะเยา!j181"")"),0)</f>
        <v>0</v>
      </c>
      <c r="X22" s="137">
        <f t="shared" ca="1" si="13"/>
        <v>0</v>
      </c>
      <c r="Y22" s="77">
        <f ca="1">IFERROR(__xludf.DUMMYFUNCTION("IMPORTRANGE(""https://docs.google.com/spreadsheets/d/1C3CXT74ZlgGe6_JY_1olB1XN4rF0dxEuIIF-xsYjHgg/edit?usp=sharing"",""พรบ!BI26"")"),1)</f>
        <v>1</v>
      </c>
      <c r="Z22" s="77">
        <f ca="1">IFERROR(__xludf.DUMMYFUNCTION("IMPORTRANGE(""https://docs.google.com/spreadsheets/d/11923uPwbBZFjjGgGUA6NLw09EwE0CqkOc4q9oUmW1yo/edit?usp=sharing"",""พะเยา!j182"")"),1)</f>
        <v>1</v>
      </c>
      <c r="AA22" s="137">
        <f t="shared" ca="1" si="15"/>
        <v>100</v>
      </c>
      <c r="AB22" s="75">
        <f t="shared" ca="1" si="16"/>
        <v>183600</v>
      </c>
      <c r="AC22" s="76">
        <f t="shared" ca="1" si="47"/>
        <v>183600</v>
      </c>
      <c r="AD22" s="77">
        <f ca="1">IFERROR(__xludf.DUMMYFUNCTION("IMPORTRANGE(""https://docs.google.com/spreadsheets/d/1C3CXT74ZlgGe6_JY_1olB1XN4rF0dxEuIIF-xsYjHgg/edit?usp=sharing"",""พรบ!BK26"")"),0)</f>
        <v>0</v>
      </c>
      <c r="AE22" s="77">
        <f ca="1">IFERROR(__xludf.DUMMYFUNCTION("IMPORTRANGE(""https://docs.google.com/spreadsheets/d/1C3CXT74ZlgGe6_JY_1olB1XN4rF0dxEuIIF-xsYjHgg/edit?usp=sharing"",""พรบ!BL26"")"),183600)</f>
        <v>183600</v>
      </c>
      <c r="AF22" s="77">
        <f ca="1">IFERROR(__xludf.DUMMYFUNCTION("IMPORTRANGE(""https://docs.google.com/spreadsheets/d/1Yj_ptqi66GCucihVvJfMjLAmec39IyEx_6qawtMGysU/edit?usp=sharing"",""สบก!CI26"")"),0)</f>
        <v>0</v>
      </c>
      <c r="AG22" s="77">
        <f ca="1">IFERROR(__xludf.DUMMYFUNCTION("IMPORTRANGE(""https://docs.google.com/spreadsheets/d/1Yj_ptqi66GCucihVvJfMjLAmec39IyEx_6qawtMGysU/edit?usp=shCKing"",""สบก!CK26"")"),161600)</f>
        <v>161600</v>
      </c>
      <c r="AH22" s="77">
        <f t="shared" ca="1" si="19"/>
        <v>80729</v>
      </c>
      <c r="AI22" s="77">
        <f t="shared" ca="1" si="20"/>
        <v>43.97004357298475</v>
      </c>
      <c r="AJ22" s="77">
        <f ca="1">IFERROR(__xludf.DUMMYFUNCTION("IMPORTRANGE(""https://docs.google.com/spreadsheets/d/1Yj_ptqi66GCucihVvJfMjLAmec39IyEx_6qawtMGysU/edit?usp=sharing"",""สบก!CL26"")"),80729)</f>
        <v>80729</v>
      </c>
      <c r="AK22" s="137">
        <f t="shared" ca="1" si="21"/>
        <v>43.97004357298475</v>
      </c>
      <c r="AL22" s="137">
        <f t="shared" ca="1" si="22"/>
        <v>49.956064356435647</v>
      </c>
      <c r="AM22" s="137">
        <f ca="1">IFERROR(__xludf.DUMMYFUNCTION("IMPORTRANGE(""https://docs.google.com/spreadsheets/d/1Yj_ptqi66GCucihVvJfMjLAmec39IyEx_6qawtMGysU/edit?usp=sharing"",""สบก!CM26"")"),0)</f>
        <v>0</v>
      </c>
      <c r="AN22" s="137">
        <f t="shared" ca="1" si="23"/>
        <v>0</v>
      </c>
      <c r="AO22" s="77">
        <f ca="1">IFERROR(__xludf.DUMMYFUNCTION("IMPORTRANGE(""https://docs.google.com/spreadsheets/d/1C3CXT74ZlgGe6_JY_1olB1XN4rF0dxEuIIF-xsYjHgg/edit?usp=sharing"",""พรบ!BM26"")"),20)</f>
        <v>20</v>
      </c>
      <c r="AP22" s="77">
        <f ca="1">IFERROR(__xludf.DUMMYFUNCTION("IMPORTRANGE(""https://docs.google.com/spreadsheets/d/11923uPwbBZFjjGgGUA6NLw09EwE0CqkOc4q9oUmW1yo/edit?usp=sharing"",""พะเยา!j195"")"),20)</f>
        <v>20</v>
      </c>
      <c r="AQ22" s="137">
        <f t="shared" ca="1" si="25"/>
        <v>100</v>
      </c>
    </row>
    <row r="23" spans="1:43" ht="24" customHeight="1">
      <c r="A23" s="73">
        <v>8</v>
      </c>
      <c r="B23" s="184" t="s">
        <v>47</v>
      </c>
      <c r="C23" s="75">
        <f t="shared" ca="1" si="0"/>
        <v>0</v>
      </c>
      <c r="D23" s="76">
        <f t="shared" ca="1" si="46"/>
        <v>0</v>
      </c>
      <c r="E23" s="77">
        <f ca="1">IFERROR(__xludf.DUMMYFUNCTION("IMPORTRANGE(""https://docs.google.com/spreadsheets/d/1C3CXT74ZlgGe6_JY_1olB1XN4rF0dxEuIIF-xsYjHgg/edit?usp=sharing"",""พรบ!BD27"")"),0)</f>
        <v>0</v>
      </c>
      <c r="F23" s="77">
        <f ca="1">IFERROR(__xludf.DUMMYFUNCTION("IMPORTRANGE(""https://docs.google.com/spreadsheets/d/1C3CXT74ZlgGe6_JY_1olB1XN4rF0dxEuIIF-xsYjHgg/edit?usp=sharing"",""พรบ!BE27"")"),0)</f>
        <v>0</v>
      </c>
      <c r="G23" s="77">
        <f ca="1">IFERROR(__xludf.DUMMYFUNCTION("IMPORTRANGE(""https://docs.google.com/spreadsheets/d/1Yj_ptqi66GCucihVvJfMjLAmec39IyEx_6qawtMGysU/edit?usp=sharing"",""สบก!BZ27"")"),0)</f>
        <v>0</v>
      </c>
      <c r="H23" s="77">
        <f ca="1">IFERROR(__xludf.DUMMYFUNCTION("IMPORTRANGE(""https://docs.google.com/spreadsheets/d/1Yj_ptqi66GCucihVvJfMjLAmec39IyEx_6qawtMGysU/edit?usp=shCBing"",""สบก!CB27"")"),0)</f>
        <v>0</v>
      </c>
      <c r="I23" s="77">
        <f t="shared" ca="1" si="3"/>
        <v>0</v>
      </c>
      <c r="J23" s="77">
        <f t="shared" ca="1" si="4"/>
        <v>0</v>
      </c>
      <c r="K23" s="77">
        <f ca="1">IFERROR(__xludf.DUMMYFUNCTION("IMPORTRANGE(""https://docs.google.com/spreadsheets/d/1Yj_ptqi66GCucihVvJfMjLAmec39IyEx_6qawtMGysU/edit?usp=sharing"",""สบก!CC27"")"),0)</f>
        <v>0</v>
      </c>
      <c r="L23" s="137">
        <f t="shared" ca="1" si="5"/>
        <v>0</v>
      </c>
      <c r="M23" s="137">
        <f t="shared" ca="1" si="6"/>
        <v>0</v>
      </c>
      <c r="N23" s="137">
        <f ca="1">IFERROR(__xludf.DUMMYFUNCTION("IMPORTRANGE(""https://docs.google.com/spreadsheets/d/1Yj_ptqi66GCucihVvJfMjLAmec39IyEx_6qawtMGysU/edit?usp=sharing"",""สบก!CD27"")"),0)</f>
        <v>0</v>
      </c>
      <c r="O23" s="137">
        <f t="shared" ca="1" si="7"/>
        <v>0</v>
      </c>
      <c r="P23" s="77">
        <f ca="1">IFERROR(__xludf.DUMMYFUNCTION("IMPORTRANGE(""https://docs.google.com/spreadsheets/d/1C3CXT74ZlgGe6_JY_1olB1XN4rF0dxEuIIF-xsYjHgg/edit?usp=sharing"",""พรบ!BF27"")"),0)</f>
        <v>0</v>
      </c>
      <c r="Q23" s="77">
        <f ca="1">IFERROR(__xludf.DUMMYFUNCTION("IMPORTRANGE(""https://docs.google.com/spreadsheets/d/11923uPwbBZFjjGgGUA6NLw09EwE0CqkOc4q9oUmW1yo/edit?usp=sharing"",""พิจิตร!j179"")"),0)</f>
        <v>0</v>
      </c>
      <c r="R23" s="137">
        <f t="shared" ca="1" si="9"/>
        <v>0</v>
      </c>
      <c r="S23" s="77">
        <f ca="1">IFERROR(__xludf.DUMMYFUNCTION("IMPORTRANGE(""https://docs.google.com/spreadsheets/d/1C3CXT74ZlgGe6_JY_1olB1XN4rF0dxEuIIF-xsYjHgg/edit?usp=sharing"",""พรบ!BG27"")"),0)</f>
        <v>0</v>
      </c>
      <c r="T23" s="77">
        <f ca="1">IFERROR(__xludf.DUMMYFUNCTION("IMPORTRANGE(""https://docs.google.com/spreadsheets/d/11923uPwbBZFjjGgGUA6NLw09EwE0CqkOc4q9oUmW1yo/edit?usp=sharing"",""พิจิตร!j180"")"),0)</f>
        <v>0</v>
      </c>
      <c r="U23" s="137">
        <f t="shared" ca="1" si="11"/>
        <v>0</v>
      </c>
      <c r="V23" s="77">
        <f ca="1">IFERROR(__xludf.DUMMYFUNCTION("IMPORTRANGE(""https://docs.google.com/spreadsheets/d/1C3CXT74ZlgGe6_JY_1olB1XN4rF0dxEuIIF-xsYjHgg/edit?usp=sharing"",""พรบ!BH27"")"),0)</f>
        <v>0</v>
      </c>
      <c r="W23" s="77">
        <f ca="1">IFERROR(__xludf.DUMMYFUNCTION("IMPORTRANGE(""https://docs.google.com/spreadsheets/d/11923uPwbBZFjjGgGUA6NLw09EwE0CqkOc4q9oUmW1yo/edit?usp=sharing"",""พิจิตร!j181"")"),0)</f>
        <v>0</v>
      </c>
      <c r="X23" s="137">
        <f t="shared" ca="1" si="13"/>
        <v>0</v>
      </c>
      <c r="Y23" s="77">
        <f ca="1">IFERROR(__xludf.DUMMYFUNCTION("IMPORTRANGE(""https://docs.google.com/spreadsheets/d/1C3CXT74ZlgGe6_JY_1olB1XN4rF0dxEuIIF-xsYjHgg/edit?usp=sharing"",""พรบ!BI27"")"),0)</f>
        <v>0</v>
      </c>
      <c r="Z23" s="77">
        <f ca="1">IFERROR(__xludf.DUMMYFUNCTION("IMPORTRANGE(""https://docs.google.com/spreadsheets/d/11923uPwbBZFjjGgGUA6NLw09EwE0CqkOc4q9oUmW1yo/edit?usp=sharing"",""พิจิตร!j182"")"),0)</f>
        <v>0</v>
      </c>
      <c r="AA23" s="137">
        <f t="shared" ca="1" si="15"/>
        <v>0</v>
      </c>
      <c r="AB23" s="75">
        <f t="shared" ca="1" si="16"/>
        <v>0</v>
      </c>
      <c r="AC23" s="76">
        <f t="shared" ca="1" si="47"/>
        <v>0</v>
      </c>
      <c r="AD23" s="77">
        <f ca="1">IFERROR(__xludf.DUMMYFUNCTION("IMPORTRANGE(""https://docs.google.com/spreadsheets/d/1C3CXT74ZlgGe6_JY_1olB1XN4rF0dxEuIIF-xsYjHgg/edit?usp=sharing"",""พรบ!BK27"")"),0)</f>
        <v>0</v>
      </c>
      <c r="AE23" s="77">
        <f ca="1">IFERROR(__xludf.DUMMYFUNCTION("IMPORTRANGE(""https://docs.google.com/spreadsheets/d/1C3CXT74ZlgGe6_JY_1olB1XN4rF0dxEuIIF-xsYjHgg/edit?usp=sharing"",""พรบ!BL27"")"),0)</f>
        <v>0</v>
      </c>
      <c r="AF23" s="77">
        <f ca="1">IFERROR(__xludf.DUMMYFUNCTION("IMPORTRANGE(""https://docs.google.com/spreadsheets/d/1Yj_ptqi66GCucihVvJfMjLAmec39IyEx_6qawtMGysU/edit?usp=sharing"",""สบก!CI27"")"),0)</f>
        <v>0</v>
      </c>
      <c r="AG23" s="77">
        <f ca="1">IFERROR(__xludf.DUMMYFUNCTION("IMPORTRANGE(""https://docs.google.com/spreadsheets/d/1Yj_ptqi66GCucihVvJfMjLAmec39IyEx_6qawtMGysU/edit?usp=shCKing"",""สบก!CK27"")"),0)</f>
        <v>0</v>
      </c>
      <c r="AH23" s="77">
        <f t="shared" ca="1" si="19"/>
        <v>0</v>
      </c>
      <c r="AI23" s="77">
        <f t="shared" ca="1" si="20"/>
        <v>0</v>
      </c>
      <c r="AJ23" s="77">
        <f ca="1">IFERROR(__xludf.DUMMYFUNCTION("IMPORTRANGE(""https://docs.google.com/spreadsheets/d/1Yj_ptqi66GCucihVvJfMjLAmec39IyEx_6qawtMGysU/edit?usp=sharing"",""สบก!CL27"")"),0)</f>
        <v>0</v>
      </c>
      <c r="AK23" s="137">
        <f t="shared" ca="1" si="21"/>
        <v>0</v>
      </c>
      <c r="AL23" s="137">
        <f t="shared" ca="1" si="22"/>
        <v>0</v>
      </c>
      <c r="AM23" s="137">
        <f ca="1">IFERROR(__xludf.DUMMYFUNCTION("IMPORTRANGE(""https://docs.google.com/spreadsheets/d/1Yj_ptqi66GCucihVvJfMjLAmec39IyEx_6qawtMGysU/edit?usp=sharing"",""สบก!CM27"")"),0)</f>
        <v>0</v>
      </c>
      <c r="AN23" s="137">
        <f t="shared" ca="1" si="23"/>
        <v>0</v>
      </c>
      <c r="AO23" s="77">
        <f ca="1">IFERROR(__xludf.DUMMYFUNCTION("IMPORTRANGE(""https://docs.google.com/spreadsheets/d/1C3CXT74ZlgGe6_JY_1olB1XN4rF0dxEuIIF-xsYjHgg/edit?usp=sharing"",""พรบ!BM27"")"),0)</f>
        <v>0</v>
      </c>
      <c r="AP23" s="77">
        <f ca="1">IFERROR(__xludf.DUMMYFUNCTION("IMPORTRANGE(""https://docs.google.com/spreadsheets/d/11923uPwbBZFjjGgGUA6NLw09EwE0CqkOc4q9oUmW1yo/edit?usp=sharing"",""พิจิตร!j195"")"),0)</f>
        <v>0</v>
      </c>
      <c r="AQ23" s="137">
        <f t="shared" ca="1" si="25"/>
        <v>0</v>
      </c>
    </row>
    <row r="24" spans="1:43" ht="24" customHeight="1">
      <c r="A24" s="73">
        <v>9</v>
      </c>
      <c r="B24" s="184" t="s">
        <v>48</v>
      </c>
      <c r="C24" s="75">
        <f t="shared" ca="1" si="0"/>
        <v>0</v>
      </c>
      <c r="D24" s="76">
        <f t="shared" ca="1" si="46"/>
        <v>0</v>
      </c>
      <c r="E24" s="77">
        <f ca="1">IFERROR(__xludf.DUMMYFUNCTION("IMPORTRANGE(""https://docs.google.com/spreadsheets/d/1C3CXT74ZlgGe6_JY_1olB1XN4rF0dxEuIIF-xsYjHgg/edit?usp=sharing"",""พรบ!BD28"")"),0)</f>
        <v>0</v>
      </c>
      <c r="F24" s="77">
        <f ca="1">IFERROR(__xludf.DUMMYFUNCTION("IMPORTRANGE(""https://docs.google.com/spreadsheets/d/1C3CXT74ZlgGe6_JY_1olB1XN4rF0dxEuIIF-xsYjHgg/edit?usp=sharing"",""พรบ!BE28"")"),0)</f>
        <v>0</v>
      </c>
      <c r="G24" s="77">
        <f ca="1">IFERROR(__xludf.DUMMYFUNCTION("IMPORTRANGE(""https://docs.google.com/spreadsheets/d/1Yj_ptqi66GCucihVvJfMjLAmec39IyEx_6qawtMGysU/edit?usp=sharing"",""สบก!BZ28"")"),0)</f>
        <v>0</v>
      </c>
      <c r="H24" s="77">
        <f ca="1">IFERROR(__xludf.DUMMYFUNCTION("IMPORTRANGE(""https://docs.google.com/spreadsheets/d/1Yj_ptqi66GCucihVvJfMjLAmec39IyEx_6qawtMGysU/edit?usp=shCBing"",""สบก!CB28"")"),0)</f>
        <v>0</v>
      </c>
      <c r="I24" s="77">
        <f t="shared" ca="1" si="3"/>
        <v>0</v>
      </c>
      <c r="J24" s="77">
        <f t="shared" ca="1" si="4"/>
        <v>0</v>
      </c>
      <c r="K24" s="77">
        <f ca="1">IFERROR(__xludf.DUMMYFUNCTION("IMPORTRANGE(""https://docs.google.com/spreadsheets/d/1Yj_ptqi66GCucihVvJfMjLAmec39IyEx_6qawtMGysU/edit?usp=sharing"",""สบก!CC28"")"),0)</f>
        <v>0</v>
      </c>
      <c r="L24" s="137">
        <f t="shared" ca="1" si="5"/>
        <v>0</v>
      </c>
      <c r="M24" s="137">
        <f t="shared" ca="1" si="6"/>
        <v>0</v>
      </c>
      <c r="N24" s="137">
        <f ca="1">IFERROR(__xludf.DUMMYFUNCTION("IMPORTRANGE(""https://docs.google.com/spreadsheets/d/1Yj_ptqi66GCucihVvJfMjLAmec39IyEx_6qawtMGysU/edit?usp=sharing"",""สบก!CD28"")"),0)</f>
        <v>0</v>
      </c>
      <c r="O24" s="137">
        <f t="shared" ca="1" si="7"/>
        <v>0</v>
      </c>
      <c r="P24" s="77">
        <f ca="1">IFERROR(__xludf.DUMMYFUNCTION("IMPORTRANGE(""https://docs.google.com/spreadsheets/d/1C3CXT74ZlgGe6_JY_1olB1XN4rF0dxEuIIF-xsYjHgg/edit?usp=sharing"",""พรบ!BF28"")"),0)</f>
        <v>0</v>
      </c>
      <c r="Q24" s="77">
        <f ca="1">IFERROR(__xludf.DUMMYFUNCTION("IMPORTRANGE(""https://docs.google.com/spreadsheets/d/11923uPwbBZFjjGgGUA6NLw09EwE0CqkOc4q9oUmW1yo/edit?usp=sharing"",""พิษณุโลก!j179"")"),0)</f>
        <v>0</v>
      </c>
      <c r="R24" s="137">
        <f t="shared" ca="1" si="9"/>
        <v>0</v>
      </c>
      <c r="S24" s="77">
        <f ca="1">IFERROR(__xludf.DUMMYFUNCTION("IMPORTRANGE(""https://docs.google.com/spreadsheets/d/1C3CXT74ZlgGe6_JY_1olB1XN4rF0dxEuIIF-xsYjHgg/edit?usp=sharing"",""พรบ!BG28"")"),0)</f>
        <v>0</v>
      </c>
      <c r="T24" s="77">
        <f ca="1">IFERROR(__xludf.DUMMYFUNCTION("IMPORTRANGE(""https://docs.google.com/spreadsheets/d/11923uPwbBZFjjGgGUA6NLw09EwE0CqkOc4q9oUmW1yo/edit?usp=sharing"",""พิษณุโลก!j180"")"),0)</f>
        <v>0</v>
      </c>
      <c r="U24" s="137">
        <f t="shared" ca="1" si="11"/>
        <v>0</v>
      </c>
      <c r="V24" s="77">
        <f ca="1">IFERROR(__xludf.DUMMYFUNCTION("IMPORTRANGE(""https://docs.google.com/spreadsheets/d/1C3CXT74ZlgGe6_JY_1olB1XN4rF0dxEuIIF-xsYjHgg/edit?usp=sharing"",""พรบ!BH28"")"),0)</f>
        <v>0</v>
      </c>
      <c r="W24" s="77">
        <f ca="1">IFERROR(__xludf.DUMMYFUNCTION("IMPORTRANGE(""https://docs.google.com/spreadsheets/d/11923uPwbBZFjjGgGUA6NLw09EwE0CqkOc4q9oUmW1yo/edit?usp=sharing"",""พิษณุโลก!j181"")"),0)</f>
        <v>0</v>
      </c>
      <c r="X24" s="137">
        <f t="shared" ca="1" si="13"/>
        <v>0</v>
      </c>
      <c r="Y24" s="77">
        <f ca="1">IFERROR(__xludf.DUMMYFUNCTION("IMPORTRANGE(""https://docs.google.com/spreadsheets/d/1C3CXT74ZlgGe6_JY_1olB1XN4rF0dxEuIIF-xsYjHgg/edit?usp=sharing"",""พรบ!BI28"")"),0)</f>
        <v>0</v>
      </c>
      <c r="Z24" s="77">
        <f ca="1">IFERROR(__xludf.DUMMYFUNCTION("IMPORTRANGE(""https://docs.google.com/spreadsheets/d/11923uPwbBZFjjGgGUA6NLw09EwE0CqkOc4q9oUmW1yo/edit?usp=sharing"",""พิษณุโลก!j182"")"),0)</f>
        <v>0</v>
      </c>
      <c r="AA24" s="137">
        <f t="shared" ca="1" si="15"/>
        <v>0</v>
      </c>
      <c r="AB24" s="75">
        <f t="shared" ca="1" si="16"/>
        <v>55200</v>
      </c>
      <c r="AC24" s="76">
        <f t="shared" ca="1" si="47"/>
        <v>55200</v>
      </c>
      <c r="AD24" s="77">
        <f ca="1">IFERROR(__xludf.DUMMYFUNCTION("IMPORTRANGE(""https://docs.google.com/spreadsheets/d/1C3CXT74ZlgGe6_JY_1olB1XN4rF0dxEuIIF-xsYjHgg/edit?usp=sharing"",""พรบ!BK28"")"),0)</f>
        <v>0</v>
      </c>
      <c r="AE24" s="77">
        <f ca="1">IFERROR(__xludf.DUMMYFUNCTION("IMPORTRANGE(""https://docs.google.com/spreadsheets/d/1C3CXT74ZlgGe6_JY_1olB1XN4rF0dxEuIIF-xsYjHgg/edit?usp=sharing"",""พรบ!BL28"")"),55200)</f>
        <v>55200</v>
      </c>
      <c r="AF24" s="77">
        <f ca="1">IFERROR(__xludf.DUMMYFUNCTION("IMPORTRANGE(""https://docs.google.com/spreadsheets/d/1Yj_ptqi66GCucihVvJfMjLAmec39IyEx_6qawtMGysU/edit?usp=sharing"",""สบก!CI28"")"),0)</f>
        <v>0</v>
      </c>
      <c r="AG24" s="77">
        <f ca="1">IFERROR(__xludf.DUMMYFUNCTION("IMPORTRANGE(""https://docs.google.com/spreadsheets/d/1Yj_ptqi66GCucihVvJfMjLAmec39IyEx_6qawtMGysU/edit?usp=shCKing"",""สบก!CK28"")"),32250)</f>
        <v>32250</v>
      </c>
      <c r="AH24" s="77">
        <f t="shared" ca="1" si="19"/>
        <v>26320</v>
      </c>
      <c r="AI24" s="77">
        <f t="shared" ca="1" si="20"/>
        <v>47.681159420289852</v>
      </c>
      <c r="AJ24" s="77">
        <f ca="1">IFERROR(__xludf.DUMMYFUNCTION("IMPORTRANGE(""https://docs.google.com/spreadsheets/d/1Yj_ptqi66GCucihVvJfMjLAmec39IyEx_6qawtMGysU/edit?usp=sharing"",""สบก!CL28"")"),26320)</f>
        <v>26320</v>
      </c>
      <c r="AK24" s="137">
        <f t="shared" ca="1" si="21"/>
        <v>47.681159420289852</v>
      </c>
      <c r="AL24" s="137">
        <f t="shared" ca="1" si="22"/>
        <v>81.612403100775197</v>
      </c>
      <c r="AM24" s="137">
        <f ca="1">IFERROR(__xludf.DUMMYFUNCTION("IMPORTRANGE(""https://docs.google.com/spreadsheets/d/1Yj_ptqi66GCucihVvJfMjLAmec39IyEx_6qawtMGysU/edit?usp=sharing"",""สบก!CM28"")"),0)</f>
        <v>0</v>
      </c>
      <c r="AN24" s="137">
        <f t="shared" ca="1" si="23"/>
        <v>0</v>
      </c>
      <c r="AO24" s="77">
        <f ca="1">IFERROR(__xludf.DUMMYFUNCTION("IMPORTRANGE(""https://docs.google.com/spreadsheets/d/1C3CXT74ZlgGe6_JY_1olB1XN4rF0dxEuIIF-xsYjHgg/edit?usp=sharing"",""พรบ!BM28"")"),15)</f>
        <v>15</v>
      </c>
      <c r="AP24" s="77">
        <f ca="1">IFERROR(__xludf.DUMMYFUNCTION("IMPORTRANGE(""https://docs.google.com/spreadsheets/d/11923uPwbBZFjjGgGUA6NLw09EwE0CqkOc4q9oUmW1yo/edit?usp=sharing"",""พิษณุโลก!j195"")"),15)</f>
        <v>15</v>
      </c>
      <c r="AQ24" s="137">
        <f t="shared" ca="1" si="25"/>
        <v>100</v>
      </c>
    </row>
    <row r="25" spans="1:43" ht="24" customHeight="1">
      <c r="A25" s="73">
        <v>10</v>
      </c>
      <c r="B25" s="184" t="s">
        <v>49</v>
      </c>
      <c r="C25" s="75">
        <f t="shared" ca="1" si="0"/>
        <v>199000</v>
      </c>
      <c r="D25" s="76">
        <f t="shared" ca="1" si="46"/>
        <v>199000</v>
      </c>
      <c r="E25" s="77">
        <f ca="1">IFERROR(__xludf.DUMMYFUNCTION("IMPORTRANGE(""https://docs.google.com/spreadsheets/d/1C3CXT74ZlgGe6_JY_1olB1XN4rF0dxEuIIF-xsYjHgg/edit?usp=sharing"",""พรบ!BD29"")"),0)</f>
        <v>0</v>
      </c>
      <c r="F25" s="77">
        <f ca="1">IFERROR(__xludf.DUMMYFUNCTION("IMPORTRANGE(""https://docs.google.com/spreadsheets/d/1C3CXT74ZlgGe6_JY_1olB1XN4rF0dxEuIIF-xsYjHgg/edit?usp=sharing"",""พรบ!BE29"")"),199000)</f>
        <v>199000</v>
      </c>
      <c r="G25" s="77">
        <f ca="1">IFERROR(__xludf.DUMMYFUNCTION("IMPORTRANGE(""https://docs.google.com/spreadsheets/d/1Yj_ptqi66GCucihVvJfMjLAmec39IyEx_6qawtMGysU/edit?usp=sharing"",""สบก!BZ29"")"),0)</f>
        <v>0</v>
      </c>
      <c r="H25" s="77">
        <f ca="1">IFERROR(__xludf.DUMMYFUNCTION("IMPORTRANGE(""https://docs.google.com/spreadsheets/d/1Yj_ptqi66GCucihVvJfMjLAmec39IyEx_6qawtMGysU/edit?usp=shCBing"",""สบก!CB29"")"),177000)</f>
        <v>177000</v>
      </c>
      <c r="I25" s="77">
        <f t="shared" ca="1" si="3"/>
        <v>91624</v>
      </c>
      <c r="J25" s="77">
        <f t="shared" ca="1" si="4"/>
        <v>46.042211055276383</v>
      </c>
      <c r="K25" s="77">
        <f ca="1">IFERROR(__xludf.DUMMYFUNCTION("IMPORTRANGE(""https://docs.google.com/spreadsheets/d/1Yj_ptqi66GCucihVvJfMjLAmec39IyEx_6qawtMGysU/edit?usp=sharing"",""สบก!CC29"")"),91624)</f>
        <v>91624</v>
      </c>
      <c r="L25" s="137">
        <f t="shared" ca="1" si="5"/>
        <v>46.042211055276383</v>
      </c>
      <c r="M25" s="137">
        <f t="shared" ca="1" si="6"/>
        <v>51.764971751412432</v>
      </c>
      <c r="N25" s="137">
        <f ca="1">IFERROR(__xludf.DUMMYFUNCTION("IMPORTRANGE(""https://docs.google.com/spreadsheets/d/1Yj_ptqi66GCucihVvJfMjLAmec39IyEx_6qawtMGysU/edit?usp=sharing"",""สบก!CD29"")"),0)</f>
        <v>0</v>
      </c>
      <c r="O25" s="137">
        <f t="shared" ca="1" si="7"/>
        <v>0</v>
      </c>
      <c r="P25" s="77">
        <f ca="1">IFERROR(__xludf.DUMMYFUNCTION("IMPORTRANGE(""https://docs.google.com/spreadsheets/d/1C3CXT74ZlgGe6_JY_1olB1XN4rF0dxEuIIF-xsYjHgg/edit?usp=sharing"",""พรบ!BF29"")"),1)</f>
        <v>1</v>
      </c>
      <c r="Q25" s="77">
        <f ca="1">IFERROR(__xludf.DUMMYFUNCTION("IMPORTRANGE(""https://docs.google.com/spreadsheets/d/11923uPwbBZFjjGgGUA6NLw09EwE0CqkOc4q9oUmW1yo/edit?usp=sharing"",""เพชรบูรณ์!j179"")"),1)</f>
        <v>1</v>
      </c>
      <c r="R25" s="137">
        <f t="shared" ca="1" si="9"/>
        <v>100</v>
      </c>
      <c r="S25" s="77">
        <f ca="1">IFERROR(__xludf.DUMMYFUNCTION("IMPORTRANGE(""https://docs.google.com/spreadsheets/d/1C3CXT74ZlgGe6_JY_1olB1XN4rF0dxEuIIF-xsYjHgg/edit?usp=sharing"",""พรบ!BG29"")"),25)</f>
        <v>25</v>
      </c>
      <c r="T25" s="77">
        <f ca="1">IFERROR(__xludf.DUMMYFUNCTION("IMPORTRANGE(""https://docs.google.com/spreadsheets/d/11923uPwbBZFjjGgGUA6NLw09EwE0CqkOc4q9oUmW1yo/edit?usp=sharing"",""เพชรบูรณ์!j180"")"),25)</f>
        <v>25</v>
      </c>
      <c r="U25" s="137">
        <f t="shared" ca="1" si="11"/>
        <v>100</v>
      </c>
      <c r="V25" s="77">
        <f ca="1">IFERROR(__xludf.DUMMYFUNCTION("IMPORTRANGE(""https://docs.google.com/spreadsheets/d/1C3CXT74ZlgGe6_JY_1olB1XN4rF0dxEuIIF-xsYjHgg/edit?usp=sharing"",""พรบ!BH29"")"),25)</f>
        <v>25</v>
      </c>
      <c r="W25" s="77">
        <f ca="1">IFERROR(__xludf.DUMMYFUNCTION("IMPORTRANGE(""https://docs.google.com/spreadsheets/d/11923uPwbBZFjjGgGUA6NLw09EwE0CqkOc4q9oUmW1yo/edit?usp=sharing"",""เพชรบูรณ์!j181"")"),25)</f>
        <v>25</v>
      </c>
      <c r="X25" s="137">
        <f t="shared" ca="1" si="13"/>
        <v>100</v>
      </c>
      <c r="Y25" s="77">
        <f ca="1">IFERROR(__xludf.DUMMYFUNCTION("IMPORTRANGE(""https://docs.google.com/spreadsheets/d/1C3CXT74ZlgGe6_JY_1olB1XN4rF0dxEuIIF-xsYjHgg/edit?usp=sharing"",""พรบ!BI29"")"),1)</f>
        <v>1</v>
      </c>
      <c r="Z25" s="77">
        <f ca="1">IFERROR(__xludf.DUMMYFUNCTION("IMPORTRANGE(""https://docs.google.com/spreadsheets/d/11923uPwbBZFjjGgGUA6NLw09EwE0CqkOc4q9oUmW1yo/edit?usp=sharing"",""เพชรบูรณ์!j182"")"),1)</f>
        <v>1</v>
      </c>
      <c r="AA25" s="137">
        <f t="shared" ca="1" si="15"/>
        <v>100</v>
      </c>
      <c r="AB25" s="75">
        <f t="shared" ca="1" si="16"/>
        <v>73700</v>
      </c>
      <c r="AC25" s="76">
        <f t="shared" ca="1" si="47"/>
        <v>73700</v>
      </c>
      <c r="AD25" s="77">
        <f ca="1">IFERROR(__xludf.DUMMYFUNCTION("IMPORTRANGE(""https://docs.google.com/spreadsheets/d/1C3CXT74ZlgGe6_JY_1olB1XN4rF0dxEuIIF-xsYjHgg/edit?usp=sharing"",""พรบ!BK29"")"),0)</f>
        <v>0</v>
      </c>
      <c r="AE25" s="77">
        <f ca="1">IFERROR(__xludf.DUMMYFUNCTION("IMPORTRANGE(""https://docs.google.com/spreadsheets/d/1C3CXT74ZlgGe6_JY_1olB1XN4rF0dxEuIIF-xsYjHgg/edit?usp=sharing"",""พรบ!BL29"")"),73700)</f>
        <v>73700</v>
      </c>
      <c r="AF25" s="77">
        <f ca="1">IFERROR(__xludf.DUMMYFUNCTION("IMPORTRANGE(""https://docs.google.com/spreadsheets/d/1Yj_ptqi66GCucihVvJfMjLAmec39IyEx_6qawtMGysU/edit?usp=sharing"",""สบก!CI29"")"),0)</f>
        <v>0</v>
      </c>
      <c r="AG25" s="77">
        <f ca="1">IFERROR(__xludf.DUMMYFUNCTION("IMPORTRANGE(""https://docs.google.com/spreadsheets/d/1Yj_ptqi66GCucihVvJfMjLAmec39IyEx_6qawtMGysU/edit?usp=shCKing"",""สบก!CK29"")"),33000)</f>
        <v>33000</v>
      </c>
      <c r="AH25" s="77">
        <f t="shared" ca="1" si="19"/>
        <v>33000</v>
      </c>
      <c r="AI25" s="77">
        <f t="shared" ca="1" si="20"/>
        <v>44.776119402985074</v>
      </c>
      <c r="AJ25" s="77">
        <f ca="1">IFERROR(__xludf.DUMMYFUNCTION("IMPORTRANGE(""https://docs.google.com/spreadsheets/d/1Yj_ptqi66GCucihVvJfMjLAmec39IyEx_6qawtMGysU/edit?usp=sharing"",""สบก!CL29"")"),33000)</f>
        <v>33000</v>
      </c>
      <c r="AK25" s="137">
        <f t="shared" ca="1" si="21"/>
        <v>44.776119402985074</v>
      </c>
      <c r="AL25" s="137">
        <f t="shared" ca="1" si="22"/>
        <v>100</v>
      </c>
      <c r="AM25" s="137">
        <f ca="1">IFERROR(__xludf.DUMMYFUNCTION("IMPORTRANGE(""https://docs.google.com/spreadsheets/d/1Yj_ptqi66GCucihVvJfMjLAmec39IyEx_6qawtMGysU/edit?usp=sharing"",""สบก!CM29"")"),0)</f>
        <v>0</v>
      </c>
      <c r="AN25" s="137">
        <f t="shared" ca="1" si="23"/>
        <v>0</v>
      </c>
      <c r="AO25" s="77">
        <f ca="1">IFERROR(__xludf.DUMMYFUNCTION("IMPORTRANGE(""https://docs.google.com/spreadsheets/d/1C3CXT74ZlgGe6_JY_1olB1XN4rF0dxEuIIF-xsYjHgg/edit?usp=sharing"",""พรบ!BM29"")"),20)</f>
        <v>20</v>
      </c>
      <c r="AP25" s="77">
        <f ca="1">IFERROR(__xludf.DUMMYFUNCTION("IMPORTRANGE(""https://docs.google.com/spreadsheets/d/11923uPwbBZFjjGgGUA6NLw09EwE0CqkOc4q9oUmW1yo/edit?usp=sharing"",""เพชรบูรณ์!j195"")"),20)</f>
        <v>20</v>
      </c>
      <c r="AQ25" s="137">
        <f t="shared" ca="1" si="25"/>
        <v>100</v>
      </c>
    </row>
    <row r="26" spans="1:43" ht="24" customHeight="1">
      <c r="A26" s="73">
        <v>11</v>
      </c>
      <c r="B26" s="184" t="s">
        <v>50</v>
      </c>
      <c r="C26" s="75">
        <f t="shared" ca="1" si="0"/>
        <v>217000</v>
      </c>
      <c r="D26" s="76">
        <f t="shared" ca="1" si="46"/>
        <v>217000</v>
      </c>
      <c r="E26" s="77">
        <f ca="1">IFERROR(__xludf.DUMMYFUNCTION("IMPORTRANGE(""https://docs.google.com/spreadsheets/d/1C3CXT74ZlgGe6_JY_1olB1XN4rF0dxEuIIF-xsYjHgg/edit?usp=sharing"",""พรบ!BD30"")"),0)</f>
        <v>0</v>
      </c>
      <c r="F26" s="77">
        <f ca="1">IFERROR(__xludf.DUMMYFUNCTION("IMPORTRANGE(""https://docs.google.com/spreadsheets/d/1C3CXT74ZlgGe6_JY_1olB1XN4rF0dxEuIIF-xsYjHgg/edit?usp=sharing"",""พรบ!BE30"")"),217000)</f>
        <v>217000</v>
      </c>
      <c r="G26" s="77">
        <f ca="1">IFERROR(__xludf.DUMMYFUNCTION("IMPORTRANGE(""https://docs.google.com/spreadsheets/d/1Yj_ptqi66GCucihVvJfMjLAmec39IyEx_6qawtMGysU/edit?usp=sharing"",""สบก!BZ30"")"),0)</f>
        <v>0</v>
      </c>
      <c r="H26" s="77">
        <f ca="1">IFERROR(__xludf.DUMMYFUNCTION("IMPORTRANGE(""https://docs.google.com/spreadsheets/d/1Yj_ptqi66GCucihVvJfMjLAmec39IyEx_6qawtMGysU/edit?usp=shCBing"",""สบก!CB30"")"),195000)</f>
        <v>195000</v>
      </c>
      <c r="I26" s="77">
        <f t="shared" ca="1" si="3"/>
        <v>105140</v>
      </c>
      <c r="J26" s="77">
        <f t="shared" ca="1" si="4"/>
        <v>48.451612903225808</v>
      </c>
      <c r="K26" s="77">
        <f ca="1">IFERROR(__xludf.DUMMYFUNCTION("IMPORTRANGE(""https://docs.google.com/spreadsheets/d/1Yj_ptqi66GCucihVvJfMjLAmec39IyEx_6qawtMGysU/edit?usp=sharing"",""สบก!CC30"")"),105140)</f>
        <v>105140</v>
      </c>
      <c r="L26" s="137">
        <f t="shared" ca="1" si="5"/>
        <v>48.451612903225808</v>
      </c>
      <c r="M26" s="137">
        <f t="shared" ca="1" si="6"/>
        <v>53.917948717948718</v>
      </c>
      <c r="N26" s="137">
        <f ca="1">IFERROR(__xludf.DUMMYFUNCTION("IMPORTRANGE(""https://docs.google.com/spreadsheets/d/1Yj_ptqi66GCucihVvJfMjLAmec39IyEx_6qawtMGysU/edit?usp=sharing"",""สบก!CD30"")"),0)</f>
        <v>0</v>
      </c>
      <c r="O26" s="137">
        <f t="shared" ca="1" si="7"/>
        <v>0</v>
      </c>
      <c r="P26" s="77">
        <f ca="1">IFERROR(__xludf.DUMMYFUNCTION("IMPORTRANGE(""https://docs.google.com/spreadsheets/d/1C3CXT74ZlgGe6_JY_1olB1XN4rF0dxEuIIF-xsYjHgg/edit?usp=sharing"",""พรบ!BF30"")"),1)</f>
        <v>1</v>
      </c>
      <c r="Q26" s="77">
        <f ca="1">IFERROR(__xludf.DUMMYFUNCTION("IMPORTRANGE(""https://docs.google.com/spreadsheets/d/11923uPwbBZFjjGgGUA6NLw09EwE0CqkOc4q9oUmW1yo/edit?usp=sharing"",""แพร่!j179"")"),1)</f>
        <v>1</v>
      </c>
      <c r="R26" s="137">
        <f t="shared" ca="1" si="9"/>
        <v>100</v>
      </c>
      <c r="S26" s="77">
        <f ca="1">IFERROR(__xludf.DUMMYFUNCTION("IMPORTRANGE(""https://docs.google.com/spreadsheets/d/1C3CXT74ZlgGe6_JY_1olB1XN4rF0dxEuIIF-xsYjHgg/edit?usp=sharing"",""พรบ!BG30"")"),30)</f>
        <v>30</v>
      </c>
      <c r="T26" s="77">
        <f ca="1">IFERROR(__xludf.DUMMYFUNCTION("IMPORTRANGE(""https://docs.google.com/spreadsheets/d/11923uPwbBZFjjGgGUA6NLw09EwE0CqkOc4q9oUmW1yo/edit?usp=sharing"",""แพร่!j180"")"),30)</f>
        <v>30</v>
      </c>
      <c r="U26" s="137">
        <f t="shared" ca="1" si="11"/>
        <v>100</v>
      </c>
      <c r="V26" s="77">
        <f ca="1">IFERROR(__xludf.DUMMYFUNCTION("IMPORTRANGE(""https://docs.google.com/spreadsheets/d/1C3CXT74ZlgGe6_JY_1olB1XN4rF0dxEuIIF-xsYjHgg/edit?usp=sharing"",""พรบ!BH30"")"),30)</f>
        <v>30</v>
      </c>
      <c r="W26" s="77">
        <f ca="1">IFERROR(__xludf.DUMMYFUNCTION("IMPORTRANGE(""https://docs.google.com/spreadsheets/d/11923uPwbBZFjjGgGUA6NLw09EwE0CqkOc4q9oUmW1yo/edit?usp=sharing"",""แพร่!j181"")"),0)</f>
        <v>0</v>
      </c>
      <c r="X26" s="137">
        <f t="shared" ca="1" si="13"/>
        <v>0</v>
      </c>
      <c r="Y26" s="77">
        <f ca="1">IFERROR(__xludf.DUMMYFUNCTION("IMPORTRANGE(""https://docs.google.com/spreadsheets/d/1C3CXT74ZlgGe6_JY_1olB1XN4rF0dxEuIIF-xsYjHgg/edit?usp=sharing"",""พรบ!BI30"")"),1)</f>
        <v>1</v>
      </c>
      <c r="Z26" s="77">
        <f ca="1">IFERROR(__xludf.DUMMYFUNCTION("IMPORTRANGE(""https://docs.google.com/spreadsheets/d/11923uPwbBZFjjGgGUA6NLw09EwE0CqkOc4q9oUmW1yo/edit?usp=sharing"",""แพร่!j182"")"),1)</f>
        <v>1</v>
      </c>
      <c r="AA26" s="137">
        <f t="shared" ca="1" si="15"/>
        <v>100</v>
      </c>
      <c r="AB26" s="75">
        <f t="shared" ca="1" si="16"/>
        <v>205700</v>
      </c>
      <c r="AC26" s="76">
        <f t="shared" ca="1" si="47"/>
        <v>205700</v>
      </c>
      <c r="AD26" s="77">
        <f ca="1">IFERROR(__xludf.DUMMYFUNCTION("IMPORTRANGE(""https://docs.google.com/spreadsheets/d/1C3CXT74ZlgGe6_JY_1olB1XN4rF0dxEuIIF-xsYjHgg/edit?usp=sharing"",""พรบ!BK30"")"),132000)</f>
        <v>132000</v>
      </c>
      <c r="AE26" s="77">
        <f ca="1">IFERROR(__xludf.DUMMYFUNCTION("IMPORTRANGE(""https://docs.google.com/spreadsheets/d/1C3CXT74ZlgGe6_JY_1olB1XN4rF0dxEuIIF-xsYjHgg/edit?usp=sharing"",""พรบ!BL30"")"),73700)</f>
        <v>73700</v>
      </c>
      <c r="AF26" s="77">
        <f ca="1">IFERROR(__xludf.DUMMYFUNCTION("IMPORTRANGE(""https://docs.google.com/spreadsheets/d/1Yj_ptqi66GCucihVvJfMjLAmec39IyEx_6qawtMGysU/edit?usp=sharing"",""สบก!CI30"")"),0)</f>
        <v>0</v>
      </c>
      <c r="AG26" s="77">
        <f ca="1">IFERROR(__xludf.DUMMYFUNCTION("IMPORTRANGE(""https://docs.google.com/spreadsheets/d/1Yj_ptqi66GCucihVvJfMjLAmec39IyEx_6qawtMGysU/edit?usp=shCKing"",""สบก!CK30"")"),132000)</f>
        <v>132000</v>
      </c>
      <c r="AH26" s="77">
        <f t="shared" ca="1" si="19"/>
        <v>118150</v>
      </c>
      <c r="AI26" s="77">
        <f t="shared" ca="1" si="20"/>
        <v>57.438016528925623</v>
      </c>
      <c r="AJ26" s="77">
        <f ca="1">IFERROR(__xludf.DUMMYFUNCTION("IMPORTRANGE(""https://docs.google.com/spreadsheets/d/1Yj_ptqi66GCucihVvJfMjLAmec39IyEx_6qawtMGysU/edit?usp=sharing"",""สบก!CL30"")"),118150)</f>
        <v>118150</v>
      </c>
      <c r="AK26" s="137">
        <f t="shared" ca="1" si="21"/>
        <v>57.438016528925623</v>
      </c>
      <c r="AL26" s="137">
        <f t="shared" ca="1" si="22"/>
        <v>89.507575757575751</v>
      </c>
      <c r="AM26" s="137">
        <f ca="1">IFERROR(__xludf.DUMMYFUNCTION("IMPORTRANGE(""https://docs.google.com/spreadsheets/d/1Yj_ptqi66GCucihVvJfMjLAmec39IyEx_6qawtMGysU/edit?usp=sharing"",""สบก!CM30"")"),0)</f>
        <v>0</v>
      </c>
      <c r="AN26" s="137">
        <f t="shared" ca="1" si="23"/>
        <v>0</v>
      </c>
      <c r="AO26" s="77">
        <f ca="1">IFERROR(__xludf.DUMMYFUNCTION("IMPORTRANGE(""https://docs.google.com/spreadsheets/d/1C3CXT74ZlgGe6_JY_1olB1XN4rF0dxEuIIF-xsYjHgg/edit?usp=sharing"",""พรบ!BM30"")"),20)</f>
        <v>20</v>
      </c>
      <c r="AP26" s="77">
        <f ca="1">IFERROR(__xludf.DUMMYFUNCTION("IMPORTRANGE(""https://docs.google.com/spreadsheets/d/11923uPwbBZFjjGgGUA6NLw09EwE0CqkOc4q9oUmW1yo/edit?usp=sharing"",""แพร่!j195"")"),20)</f>
        <v>20</v>
      </c>
      <c r="AQ26" s="137">
        <f t="shared" ca="1" si="25"/>
        <v>100</v>
      </c>
    </row>
    <row r="27" spans="1:43" ht="24" customHeight="1">
      <c r="A27" s="73">
        <v>12</v>
      </c>
      <c r="B27" s="184" t="s">
        <v>51</v>
      </c>
      <c r="C27" s="75">
        <f t="shared" ca="1" si="0"/>
        <v>0</v>
      </c>
      <c r="D27" s="76">
        <f t="shared" ca="1" si="46"/>
        <v>0</v>
      </c>
      <c r="E27" s="77">
        <f ca="1">IFERROR(__xludf.DUMMYFUNCTION("IMPORTRANGE(""https://docs.google.com/spreadsheets/d/1C3CXT74ZlgGe6_JY_1olB1XN4rF0dxEuIIF-xsYjHgg/edit?usp=sharing"",""พรบ!BD31"")"),0)</f>
        <v>0</v>
      </c>
      <c r="F27" s="77">
        <f ca="1">IFERROR(__xludf.DUMMYFUNCTION("IMPORTRANGE(""https://docs.google.com/spreadsheets/d/1C3CXT74ZlgGe6_JY_1olB1XN4rF0dxEuIIF-xsYjHgg/edit?usp=sharing"",""พรบ!BE31"")"),0)</f>
        <v>0</v>
      </c>
      <c r="G27" s="77">
        <f ca="1">IFERROR(__xludf.DUMMYFUNCTION("IMPORTRANGE(""https://docs.google.com/spreadsheets/d/1Yj_ptqi66GCucihVvJfMjLAmec39IyEx_6qawtMGysU/edit?usp=sharing"",""สบก!BZ31"")"),0)</f>
        <v>0</v>
      </c>
      <c r="H27" s="77">
        <f ca="1">IFERROR(__xludf.DUMMYFUNCTION("IMPORTRANGE(""https://docs.google.com/spreadsheets/d/1Yj_ptqi66GCucihVvJfMjLAmec39IyEx_6qawtMGysU/edit?usp=shCBing"",""สบก!CB31"")"),0)</f>
        <v>0</v>
      </c>
      <c r="I27" s="77">
        <f t="shared" ca="1" si="3"/>
        <v>0</v>
      </c>
      <c r="J27" s="77">
        <f t="shared" ca="1" si="4"/>
        <v>0</v>
      </c>
      <c r="K27" s="77">
        <f ca="1">IFERROR(__xludf.DUMMYFUNCTION("IMPORTRANGE(""https://docs.google.com/spreadsheets/d/1Yj_ptqi66GCucihVvJfMjLAmec39IyEx_6qawtMGysU/edit?usp=sharing"",""สบก!CC31"")"),0)</f>
        <v>0</v>
      </c>
      <c r="L27" s="137">
        <f t="shared" ca="1" si="5"/>
        <v>0</v>
      </c>
      <c r="M27" s="137">
        <f t="shared" ca="1" si="6"/>
        <v>0</v>
      </c>
      <c r="N27" s="137">
        <f ca="1">IFERROR(__xludf.DUMMYFUNCTION("IMPORTRANGE(""https://docs.google.com/spreadsheets/d/1Yj_ptqi66GCucihVvJfMjLAmec39IyEx_6qawtMGysU/edit?usp=sharing"",""สบก!CD31"")"),0)</f>
        <v>0</v>
      </c>
      <c r="O27" s="137">
        <f t="shared" ca="1" si="7"/>
        <v>0</v>
      </c>
      <c r="P27" s="77">
        <f ca="1">IFERROR(__xludf.DUMMYFUNCTION("IMPORTRANGE(""https://docs.google.com/spreadsheets/d/1C3CXT74ZlgGe6_JY_1olB1XN4rF0dxEuIIF-xsYjHgg/edit?usp=sharing"",""พรบ!BF31"")"),0)</f>
        <v>0</v>
      </c>
      <c r="Q27" s="77">
        <f ca="1">IFERROR(__xludf.DUMMYFUNCTION("IMPORTRANGE(""https://docs.google.com/spreadsheets/d/11923uPwbBZFjjGgGUA6NLw09EwE0CqkOc4q9oUmW1yo/edit?usp=sharing"",""แม่ฮ่องสอน!j179"")"),0)</f>
        <v>0</v>
      </c>
      <c r="R27" s="137">
        <f t="shared" ca="1" si="9"/>
        <v>0</v>
      </c>
      <c r="S27" s="77">
        <f ca="1">IFERROR(__xludf.DUMMYFUNCTION("IMPORTRANGE(""https://docs.google.com/spreadsheets/d/1C3CXT74ZlgGe6_JY_1olB1XN4rF0dxEuIIF-xsYjHgg/edit?usp=sharing"",""พรบ!BG31"")"),0)</f>
        <v>0</v>
      </c>
      <c r="T27" s="77">
        <f ca="1">IFERROR(__xludf.DUMMYFUNCTION("IMPORTRANGE(""https://docs.google.com/spreadsheets/d/11923uPwbBZFjjGgGUA6NLw09EwE0CqkOc4q9oUmW1yo/edit?usp=sharing"",""แม่ฮ่องสอน!j180"")"),0)</f>
        <v>0</v>
      </c>
      <c r="U27" s="137">
        <f t="shared" ca="1" si="11"/>
        <v>0</v>
      </c>
      <c r="V27" s="77">
        <f ca="1">IFERROR(__xludf.DUMMYFUNCTION("IMPORTRANGE(""https://docs.google.com/spreadsheets/d/1C3CXT74ZlgGe6_JY_1olB1XN4rF0dxEuIIF-xsYjHgg/edit?usp=sharing"",""พรบ!BH31"")"),0)</f>
        <v>0</v>
      </c>
      <c r="W27" s="77">
        <f ca="1">IFERROR(__xludf.DUMMYFUNCTION("IMPORTRANGE(""https://docs.google.com/spreadsheets/d/11923uPwbBZFjjGgGUA6NLw09EwE0CqkOc4q9oUmW1yo/edit?usp=sharing"",""แม่ฮ่องสอน!j181"")"),0)</f>
        <v>0</v>
      </c>
      <c r="X27" s="137">
        <f t="shared" ca="1" si="13"/>
        <v>0</v>
      </c>
      <c r="Y27" s="77">
        <f ca="1">IFERROR(__xludf.DUMMYFUNCTION("IMPORTRANGE(""https://docs.google.com/spreadsheets/d/1C3CXT74ZlgGe6_JY_1olB1XN4rF0dxEuIIF-xsYjHgg/edit?usp=sharing"",""พรบ!BI31"")"),0)</f>
        <v>0</v>
      </c>
      <c r="Z27" s="77">
        <f ca="1">IFERROR(__xludf.DUMMYFUNCTION("IMPORTRANGE(""https://docs.google.com/spreadsheets/d/11923uPwbBZFjjGgGUA6NLw09EwE0CqkOc4q9oUmW1yo/edit?usp=sharing"",""แม่ฮ่องสอน!j182"")"),0)</f>
        <v>0</v>
      </c>
      <c r="AA27" s="137">
        <f t="shared" ca="1" si="15"/>
        <v>0</v>
      </c>
      <c r="AB27" s="75">
        <f t="shared" ca="1" si="16"/>
        <v>187200</v>
      </c>
      <c r="AC27" s="76">
        <f t="shared" ca="1" si="47"/>
        <v>187200</v>
      </c>
      <c r="AD27" s="77">
        <f ca="1">IFERROR(__xludf.DUMMYFUNCTION("IMPORTRANGE(""https://docs.google.com/spreadsheets/d/1C3CXT74ZlgGe6_JY_1olB1XN4rF0dxEuIIF-xsYjHgg/edit?usp=sharing"",""พรบ!BK31"")"),132000)</f>
        <v>132000</v>
      </c>
      <c r="AE27" s="77">
        <f ca="1">IFERROR(__xludf.DUMMYFUNCTION("IMPORTRANGE(""https://docs.google.com/spreadsheets/d/1C3CXT74ZlgGe6_JY_1olB1XN4rF0dxEuIIF-xsYjHgg/edit?usp=sharing"",""พรบ!BL31"")"),55200)</f>
        <v>55200</v>
      </c>
      <c r="AF27" s="77">
        <f ca="1">IFERROR(__xludf.DUMMYFUNCTION("IMPORTRANGE(""https://docs.google.com/spreadsheets/d/1Yj_ptqi66GCucihVvJfMjLAmec39IyEx_6qawtMGysU/edit?usp=sharing"",""สบก!CI31"")"),0)</f>
        <v>0</v>
      </c>
      <c r="AG27" s="77">
        <f ca="1">IFERROR(__xludf.DUMMYFUNCTION("IMPORTRANGE(""https://docs.google.com/spreadsheets/d/1Yj_ptqi66GCucihVvJfMjLAmec39IyEx_6qawtMGysU/edit?usp=shCKing"",""สบก!CK31"")"),131250)</f>
        <v>131250</v>
      </c>
      <c r="AH27" s="77">
        <f t="shared" ca="1" si="19"/>
        <v>80985</v>
      </c>
      <c r="AI27" s="77">
        <f t="shared" ca="1" si="20"/>
        <v>43.261217948717949</v>
      </c>
      <c r="AJ27" s="77">
        <f ca="1">IFERROR(__xludf.DUMMYFUNCTION("IMPORTRANGE(""https://docs.google.com/spreadsheets/d/1Yj_ptqi66GCucihVvJfMjLAmec39IyEx_6qawtMGysU/edit?usp=sharing"",""สบก!CL31"")"),80985)</f>
        <v>80985</v>
      </c>
      <c r="AK27" s="137">
        <f t="shared" ca="1" si="21"/>
        <v>43.261217948717949</v>
      </c>
      <c r="AL27" s="137">
        <f t="shared" ca="1" si="22"/>
        <v>61.702857142857141</v>
      </c>
      <c r="AM27" s="137">
        <f ca="1">IFERROR(__xludf.DUMMYFUNCTION("IMPORTRANGE(""https://docs.google.com/spreadsheets/d/1Yj_ptqi66GCucihVvJfMjLAmec39IyEx_6qawtMGysU/edit?usp=sharing"",""สบก!CM31"")"),0)</f>
        <v>0</v>
      </c>
      <c r="AN27" s="137">
        <f t="shared" ca="1" si="23"/>
        <v>0</v>
      </c>
      <c r="AO27" s="77">
        <f ca="1">IFERROR(__xludf.DUMMYFUNCTION("IMPORTRANGE(""https://docs.google.com/spreadsheets/d/1C3CXT74ZlgGe6_JY_1olB1XN4rF0dxEuIIF-xsYjHgg/edit?usp=sharing"",""พรบ!BM31"")"),15)</f>
        <v>15</v>
      </c>
      <c r="AP27" s="77">
        <f ca="1">IFERROR(__xludf.DUMMYFUNCTION("IMPORTRANGE(""https://docs.google.com/spreadsheets/d/11923uPwbBZFjjGgGUA6NLw09EwE0CqkOc4q9oUmW1yo/edit?usp=sharing"",""แม่ฮ่องสอน!j195"")"),15)</f>
        <v>15</v>
      </c>
      <c r="AQ27" s="137">
        <f t="shared" ca="1" si="25"/>
        <v>100</v>
      </c>
    </row>
    <row r="28" spans="1:43" ht="24" customHeight="1">
      <c r="A28" s="73">
        <v>13</v>
      </c>
      <c r="B28" s="184" t="s">
        <v>52</v>
      </c>
      <c r="C28" s="75">
        <f t="shared" ca="1" si="0"/>
        <v>0</v>
      </c>
      <c r="D28" s="76">
        <f t="shared" ca="1" si="46"/>
        <v>0</v>
      </c>
      <c r="E28" s="77">
        <f ca="1">IFERROR(__xludf.DUMMYFUNCTION("IMPORTRANGE(""https://docs.google.com/spreadsheets/d/1C3CXT74ZlgGe6_JY_1olB1XN4rF0dxEuIIF-xsYjHgg/edit?usp=sharing"",""พรบ!BD32"")"),0)</f>
        <v>0</v>
      </c>
      <c r="F28" s="77">
        <f ca="1">IFERROR(__xludf.DUMMYFUNCTION("IMPORTRANGE(""https://docs.google.com/spreadsheets/d/1C3CXT74ZlgGe6_JY_1olB1XN4rF0dxEuIIF-xsYjHgg/edit?usp=sharing"",""พรบ!BE32"")"),0)</f>
        <v>0</v>
      </c>
      <c r="G28" s="77">
        <f ca="1">IFERROR(__xludf.DUMMYFUNCTION("IMPORTRANGE(""https://docs.google.com/spreadsheets/d/1Yj_ptqi66GCucihVvJfMjLAmec39IyEx_6qawtMGysU/edit?usp=sharing"",""สบก!BZ32"")"),0)</f>
        <v>0</v>
      </c>
      <c r="H28" s="77">
        <f ca="1">IFERROR(__xludf.DUMMYFUNCTION("IMPORTRANGE(""https://docs.google.com/spreadsheets/d/1Yj_ptqi66GCucihVvJfMjLAmec39IyEx_6qawtMGysU/edit?usp=shCBing"",""สบก!CB32"")"),0)</f>
        <v>0</v>
      </c>
      <c r="I28" s="77">
        <f t="shared" ca="1" si="3"/>
        <v>0</v>
      </c>
      <c r="J28" s="77">
        <f t="shared" ca="1" si="4"/>
        <v>0</v>
      </c>
      <c r="K28" s="77">
        <f ca="1">IFERROR(__xludf.DUMMYFUNCTION("IMPORTRANGE(""https://docs.google.com/spreadsheets/d/1Yj_ptqi66GCucihVvJfMjLAmec39IyEx_6qawtMGysU/edit?usp=sharing"",""สบก!CC32"")"),0)</f>
        <v>0</v>
      </c>
      <c r="L28" s="137">
        <f t="shared" ca="1" si="5"/>
        <v>0</v>
      </c>
      <c r="M28" s="137">
        <f t="shared" ca="1" si="6"/>
        <v>0</v>
      </c>
      <c r="N28" s="137">
        <f ca="1">IFERROR(__xludf.DUMMYFUNCTION("IMPORTRANGE(""https://docs.google.com/spreadsheets/d/1Yj_ptqi66GCucihVvJfMjLAmec39IyEx_6qawtMGysU/edit?usp=sharing"",""สบก!CD32"")"),0)</f>
        <v>0</v>
      </c>
      <c r="O28" s="137">
        <f t="shared" ca="1" si="7"/>
        <v>0</v>
      </c>
      <c r="P28" s="77">
        <f ca="1">IFERROR(__xludf.DUMMYFUNCTION("IMPORTRANGE(""https://docs.google.com/spreadsheets/d/1C3CXT74ZlgGe6_JY_1olB1XN4rF0dxEuIIF-xsYjHgg/edit?usp=sharing"",""พรบ!BF32"")"),0)</f>
        <v>0</v>
      </c>
      <c r="Q28" s="77">
        <f ca="1">IFERROR(__xludf.DUMMYFUNCTION("IMPORTRANGE(""https://docs.google.com/spreadsheets/d/11923uPwbBZFjjGgGUA6NLw09EwE0CqkOc4q9oUmW1yo/edit?usp=sharing"",""ลำปาง!j179"")"),0)</f>
        <v>0</v>
      </c>
      <c r="R28" s="137">
        <f t="shared" ca="1" si="9"/>
        <v>0</v>
      </c>
      <c r="S28" s="77">
        <f ca="1">IFERROR(__xludf.DUMMYFUNCTION("IMPORTRANGE(""https://docs.google.com/spreadsheets/d/1C3CXT74ZlgGe6_JY_1olB1XN4rF0dxEuIIF-xsYjHgg/edit?usp=sharing"",""พรบ!BG32"")"),0)</f>
        <v>0</v>
      </c>
      <c r="T28" s="77">
        <f ca="1">IFERROR(__xludf.DUMMYFUNCTION("IMPORTRANGE(""https://docs.google.com/spreadsheets/d/11923uPwbBZFjjGgGUA6NLw09EwE0CqkOc4q9oUmW1yo/edit?usp=sharing"",""ลำปาง!j180"")"),0)</f>
        <v>0</v>
      </c>
      <c r="U28" s="137">
        <f t="shared" ca="1" si="11"/>
        <v>0</v>
      </c>
      <c r="V28" s="77">
        <f ca="1">IFERROR(__xludf.DUMMYFUNCTION("IMPORTRANGE(""https://docs.google.com/spreadsheets/d/1C3CXT74ZlgGe6_JY_1olB1XN4rF0dxEuIIF-xsYjHgg/edit?usp=sharing"",""พรบ!BH32"")"),0)</f>
        <v>0</v>
      </c>
      <c r="W28" s="77">
        <f ca="1">IFERROR(__xludf.DUMMYFUNCTION("IMPORTRANGE(""https://docs.google.com/spreadsheets/d/11923uPwbBZFjjGgGUA6NLw09EwE0CqkOc4q9oUmW1yo/edit?usp=sharing"",""ลำปาง!j181"")"),0)</f>
        <v>0</v>
      </c>
      <c r="X28" s="137">
        <f t="shared" ca="1" si="13"/>
        <v>0</v>
      </c>
      <c r="Y28" s="77">
        <f ca="1">IFERROR(__xludf.DUMMYFUNCTION("IMPORTRANGE(""https://docs.google.com/spreadsheets/d/1C3CXT74ZlgGe6_JY_1olB1XN4rF0dxEuIIF-xsYjHgg/edit?usp=sharing"",""พรบ!BI32"")"),0)</f>
        <v>0</v>
      </c>
      <c r="Z28" s="77">
        <f ca="1">IFERROR(__xludf.DUMMYFUNCTION("IMPORTRANGE(""https://docs.google.com/spreadsheets/d/11923uPwbBZFjjGgGUA6NLw09EwE0CqkOc4q9oUmW1yo/edit?usp=sharing"",""ลำปาง!j182"")"),0)</f>
        <v>0</v>
      </c>
      <c r="AA28" s="137">
        <f t="shared" ca="1" si="15"/>
        <v>0</v>
      </c>
      <c r="AB28" s="75">
        <f t="shared" ca="1" si="16"/>
        <v>187200</v>
      </c>
      <c r="AC28" s="76">
        <f t="shared" ca="1" si="47"/>
        <v>187200</v>
      </c>
      <c r="AD28" s="77">
        <f ca="1">IFERROR(__xludf.DUMMYFUNCTION("IMPORTRANGE(""https://docs.google.com/spreadsheets/d/1C3CXT74ZlgGe6_JY_1olB1XN4rF0dxEuIIF-xsYjHgg/edit?usp=sharing"",""พรบ!BK32"")"),132000)</f>
        <v>132000</v>
      </c>
      <c r="AE28" s="77">
        <f ca="1">IFERROR(__xludf.DUMMYFUNCTION("IMPORTRANGE(""https://docs.google.com/spreadsheets/d/1C3CXT74ZlgGe6_JY_1olB1XN4rF0dxEuIIF-xsYjHgg/edit?usp=sharing"",""พรบ!BL32"")"),55200)</f>
        <v>55200</v>
      </c>
      <c r="AF28" s="77">
        <f ca="1">IFERROR(__xludf.DUMMYFUNCTION("IMPORTRANGE(""https://docs.google.com/spreadsheets/d/1Yj_ptqi66GCucihVvJfMjLAmec39IyEx_6qawtMGysU/edit?usp=sharing"",""สบก!CI32"")"),0)</f>
        <v>0</v>
      </c>
      <c r="AG28" s="77">
        <f ca="1">IFERROR(__xludf.DUMMYFUNCTION("IMPORTRANGE(""https://docs.google.com/spreadsheets/d/1Yj_ptqi66GCucihVvJfMjLAmec39IyEx_6qawtMGysU/edit?usp=shCKing"",""สบก!CK32"")"),154200)</f>
        <v>154200</v>
      </c>
      <c r="AH28" s="77">
        <f t="shared" ca="1" si="19"/>
        <v>81172</v>
      </c>
      <c r="AI28" s="77">
        <f t="shared" ca="1" si="20"/>
        <v>43.361111111111114</v>
      </c>
      <c r="AJ28" s="77">
        <f ca="1">IFERROR(__xludf.DUMMYFUNCTION("IMPORTRANGE(""https://docs.google.com/spreadsheets/d/1Yj_ptqi66GCucihVvJfMjLAmec39IyEx_6qawtMGysU/edit?usp=sharing"",""สบก!CL32"")"),81172)</f>
        <v>81172</v>
      </c>
      <c r="AK28" s="137">
        <f t="shared" ca="1" si="21"/>
        <v>43.361111111111114</v>
      </c>
      <c r="AL28" s="137">
        <f t="shared" ca="1" si="22"/>
        <v>52.64072632944228</v>
      </c>
      <c r="AM28" s="137">
        <f ca="1">IFERROR(__xludf.DUMMYFUNCTION("IMPORTRANGE(""https://docs.google.com/spreadsheets/d/1Yj_ptqi66GCucihVvJfMjLAmec39IyEx_6qawtMGysU/edit?usp=sharing"",""สบก!CM32"")"),0)</f>
        <v>0</v>
      </c>
      <c r="AN28" s="137">
        <f t="shared" ca="1" si="23"/>
        <v>0</v>
      </c>
      <c r="AO28" s="77">
        <f ca="1">IFERROR(__xludf.DUMMYFUNCTION("IMPORTRANGE(""https://docs.google.com/spreadsheets/d/1C3CXT74ZlgGe6_JY_1olB1XN4rF0dxEuIIF-xsYjHgg/edit?usp=sharing"",""พรบ!BM32"")"),15)</f>
        <v>15</v>
      </c>
      <c r="AP28" s="77">
        <f ca="1">IFERROR(__xludf.DUMMYFUNCTION("IMPORTRANGE(""https://docs.google.com/spreadsheets/d/11923uPwbBZFjjGgGUA6NLw09EwE0CqkOc4q9oUmW1yo/edit?usp=sharing"",""ลำปาง!j195"")"),15)</f>
        <v>15</v>
      </c>
      <c r="AQ28" s="137">
        <f t="shared" ca="1" si="25"/>
        <v>100</v>
      </c>
    </row>
    <row r="29" spans="1:43" ht="24" customHeight="1">
      <c r="A29" s="73">
        <v>14</v>
      </c>
      <c r="B29" s="184" t="s">
        <v>53</v>
      </c>
      <c r="C29" s="75">
        <f t="shared" ca="1" si="0"/>
        <v>0</v>
      </c>
      <c r="D29" s="76">
        <f t="shared" ca="1" si="46"/>
        <v>0</v>
      </c>
      <c r="E29" s="77">
        <f ca="1">IFERROR(__xludf.DUMMYFUNCTION("IMPORTRANGE(""https://docs.google.com/spreadsheets/d/1C3CXT74ZlgGe6_JY_1olB1XN4rF0dxEuIIF-xsYjHgg/edit?usp=sharing"",""พรบ!BD33"")"),0)</f>
        <v>0</v>
      </c>
      <c r="F29" s="77">
        <f ca="1">IFERROR(__xludf.DUMMYFUNCTION("IMPORTRANGE(""https://docs.google.com/spreadsheets/d/1C3CXT74ZlgGe6_JY_1olB1XN4rF0dxEuIIF-xsYjHgg/edit?usp=sharing"",""พรบ!BE33"")"),0)</f>
        <v>0</v>
      </c>
      <c r="G29" s="77">
        <f ca="1">IFERROR(__xludf.DUMMYFUNCTION("IMPORTRANGE(""https://docs.google.com/spreadsheets/d/1Yj_ptqi66GCucihVvJfMjLAmec39IyEx_6qawtMGysU/edit?usp=sharing"",""สบก!BZ33"")"),0)</f>
        <v>0</v>
      </c>
      <c r="H29" s="77">
        <f ca="1">IFERROR(__xludf.DUMMYFUNCTION("IMPORTRANGE(""https://docs.google.com/spreadsheets/d/1Yj_ptqi66GCucihVvJfMjLAmec39IyEx_6qawtMGysU/edit?usp=shCBing"",""สบก!CB33"")"),0)</f>
        <v>0</v>
      </c>
      <c r="I29" s="77">
        <f t="shared" ca="1" si="3"/>
        <v>0</v>
      </c>
      <c r="J29" s="77">
        <f t="shared" ca="1" si="4"/>
        <v>0</v>
      </c>
      <c r="K29" s="77">
        <f ca="1">IFERROR(__xludf.DUMMYFUNCTION("IMPORTRANGE(""https://docs.google.com/spreadsheets/d/1Yj_ptqi66GCucihVvJfMjLAmec39IyEx_6qawtMGysU/edit?usp=sharing"",""สบก!CC33"")"),0)</f>
        <v>0</v>
      </c>
      <c r="L29" s="137">
        <f t="shared" ca="1" si="5"/>
        <v>0</v>
      </c>
      <c r="M29" s="137">
        <f t="shared" ca="1" si="6"/>
        <v>0</v>
      </c>
      <c r="N29" s="137">
        <f ca="1">IFERROR(__xludf.DUMMYFUNCTION("IMPORTRANGE(""https://docs.google.com/spreadsheets/d/1Yj_ptqi66GCucihVvJfMjLAmec39IyEx_6qawtMGysU/edit?usp=sharing"",""สบก!CD33"")"),0)</f>
        <v>0</v>
      </c>
      <c r="O29" s="137">
        <f t="shared" ca="1" si="7"/>
        <v>0</v>
      </c>
      <c r="P29" s="77">
        <f ca="1">IFERROR(__xludf.DUMMYFUNCTION("IMPORTRANGE(""https://docs.google.com/spreadsheets/d/1C3CXT74ZlgGe6_JY_1olB1XN4rF0dxEuIIF-xsYjHgg/edit?usp=sharing"",""พรบ!BF33"")"),0)</f>
        <v>0</v>
      </c>
      <c r="Q29" s="77">
        <f ca="1">IFERROR(__xludf.DUMMYFUNCTION("IMPORTRANGE(""https://docs.google.com/spreadsheets/d/11923uPwbBZFjjGgGUA6NLw09EwE0CqkOc4q9oUmW1yo/edit?usp=sharing"",""ลำพูน!j179"")"),0)</f>
        <v>0</v>
      </c>
      <c r="R29" s="137">
        <f t="shared" ca="1" si="9"/>
        <v>0</v>
      </c>
      <c r="S29" s="77">
        <f ca="1">IFERROR(__xludf.DUMMYFUNCTION("IMPORTRANGE(""https://docs.google.com/spreadsheets/d/1C3CXT74ZlgGe6_JY_1olB1XN4rF0dxEuIIF-xsYjHgg/edit?usp=sharing"",""พรบ!BG33"")"),0)</f>
        <v>0</v>
      </c>
      <c r="T29" s="77">
        <f ca="1">IFERROR(__xludf.DUMMYFUNCTION("IMPORTRANGE(""https://docs.google.com/spreadsheets/d/11923uPwbBZFjjGgGUA6NLw09EwE0CqkOc4q9oUmW1yo/edit?usp=sharing"",""ลำพูน!j180"")"),0)</f>
        <v>0</v>
      </c>
      <c r="U29" s="137">
        <f t="shared" ca="1" si="11"/>
        <v>0</v>
      </c>
      <c r="V29" s="77">
        <f ca="1">IFERROR(__xludf.DUMMYFUNCTION("IMPORTRANGE(""https://docs.google.com/spreadsheets/d/1C3CXT74ZlgGe6_JY_1olB1XN4rF0dxEuIIF-xsYjHgg/edit?usp=sharing"",""พรบ!BH33"")"),0)</f>
        <v>0</v>
      </c>
      <c r="W29" s="77">
        <f ca="1">IFERROR(__xludf.DUMMYFUNCTION("IMPORTRANGE(""https://docs.google.com/spreadsheets/d/11923uPwbBZFjjGgGUA6NLw09EwE0CqkOc4q9oUmW1yo/edit?usp=sharing"",""ลำพูน!j181"")"),0)</f>
        <v>0</v>
      </c>
      <c r="X29" s="137">
        <f t="shared" ca="1" si="13"/>
        <v>0</v>
      </c>
      <c r="Y29" s="77">
        <f ca="1">IFERROR(__xludf.DUMMYFUNCTION("IMPORTRANGE(""https://docs.google.com/spreadsheets/d/1C3CXT74ZlgGe6_JY_1olB1XN4rF0dxEuIIF-xsYjHgg/edit?usp=sharing"",""พรบ!BI33"")"),0)</f>
        <v>0</v>
      </c>
      <c r="Z29" s="77">
        <f ca="1">IFERROR(__xludf.DUMMYFUNCTION("IMPORTRANGE(""https://docs.google.com/spreadsheets/d/11923uPwbBZFjjGgGUA6NLw09EwE0CqkOc4q9oUmW1yo/edit?usp=sharing"",""ลำพูน!j182"")"),0)</f>
        <v>0</v>
      </c>
      <c r="AA29" s="137">
        <f t="shared" ca="1" si="15"/>
        <v>0</v>
      </c>
      <c r="AB29" s="75">
        <f t="shared" ca="1" si="16"/>
        <v>55200</v>
      </c>
      <c r="AC29" s="76">
        <f t="shared" ca="1" si="47"/>
        <v>55200</v>
      </c>
      <c r="AD29" s="77">
        <f ca="1">IFERROR(__xludf.DUMMYFUNCTION("IMPORTRANGE(""https://docs.google.com/spreadsheets/d/1C3CXT74ZlgGe6_JY_1olB1XN4rF0dxEuIIF-xsYjHgg/edit?usp=sharing"",""พรบ!BK33"")"),0)</f>
        <v>0</v>
      </c>
      <c r="AE29" s="77">
        <f ca="1">IFERROR(__xludf.DUMMYFUNCTION("IMPORTRANGE(""https://docs.google.com/spreadsheets/d/1C3CXT74ZlgGe6_JY_1olB1XN4rF0dxEuIIF-xsYjHgg/edit?usp=sharing"",""พรบ!BL33"")"),55200)</f>
        <v>55200</v>
      </c>
      <c r="AF29" s="77">
        <f ca="1">IFERROR(__xludf.DUMMYFUNCTION("IMPORTRANGE(""https://docs.google.com/spreadsheets/d/1Yj_ptqi66GCucihVvJfMjLAmec39IyEx_6qawtMGysU/edit?usp=sharing"",""สบก!CI33"")"),0)</f>
        <v>0</v>
      </c>
      <c r="AG29" s="77">
        <f ca="1">IFERROR(__xludf.DUMMYFUNCTION("IMPORTRANGE(""https://docs.google.com/spreadsheets/d/1Yj_ptqi66GCucihVvJfMjLAmec39IyEx_6qawtMGysU/edit?usp=shCKing"",""สบก!CK33"")"),32250)</f>
        <v>32250</v>
      </c>
      <c r="AH29" s="77">
        <f t="shared" ca="1" si="19"/>
        <v>25675</v>
      </c>
      <c r="AI29" s="77">
        <f t="shared" ca="1" si="20"/>
        <v>46.512681159420289</v>
      </c>
      <c r="AJ29" s="77">
        <f ca="1">IFERROR(__xludf.DUMMYFUNCTION("IMPORTRANGE(""https://docs.google.com/spreadsheets/d/1Yj_ptqi66GCucihVvJfMjLAmec39IyEx_6qawtMGysU/edit?usp=sharing"",""สบก!CL33"")"),25675)</f>
        <v>25675</v>
      </c>
      <c r="AK29" s="137">
        <f t="shared" ca="1" si="21"/>
        <v>46.512681159420289</v>
      </c>
      <c r="AL29" s="137">
        <f t="shared" ca="1" si="22"/>
        <v>79.612403100775197</v>
      </c>
      <c r="AM29" s="137">
        <f ca="1">IFERROR(__xludf.DUMMYFUNCTION("IMPORTRANGE(""https://docs.google.com/spreadsheets/d/1Yj_ptqi66GCucihVvJfMjLAmec39IyEx_6qawtMGysU/edit?usp=sharing"",""สบก!CM33"")"),0)</f>
        <v>0</v>
      </c>
      <c r="AN29" s="137">
        <f t="shared" ca="1" si="23"/>
        <v>0</v>
      </c>
      <c r="AO29" s="77">
        <f ca="1">IFERROR(__xludf.DUMMYFUNCTION("IMPORTRANGE(""https://docs.google.com/spreadsheets/d/1C3CXT74ZlgGe6_JY_1olB1XN4rF0dxEuIIF-xsYjHgg/edit?usp=sharing"",""พรบ!BM33"")"),15)</f>
        <v>15</v>
      </c>
      <c r="AP29" s="77">
        <f ca="1">IFERROR(__xludf.DUMMYFUNCTION("IMPORTRANGE(""https://docs.google.com/spreadsheets/d/11923uPwbBZFjjGgGUA6NLw09EwE0CqkOc4q9oUmW1yo/edit?usp=sharing"",""ลำพูน!j195"")"),15)</f>
        <v>15</v>
      </c>
      <c r="AQ29" s="137">
        <f t="shared" ca="1" si="25"/>
        <v>100</v>
      </c>
    </row>
    <row r="30" spans="1:43" ht="24" customHeight="1">
      <c r="A30" s="73">
        <v>15</v>
      </c>
      <c r="B30" s="184" t="s">
        <v>54</v>
      </c>
      <c r="C30" s="75">
        <f t="shared" ca="1" si="0"/>
        <v>0</v>
      </c>
      <c r="D30" s="76">
        <f t="shared" ca="1" si="46"/>
        <v>0</v>
      </c>
      <c r="E30" s="77">
        <f ca="1">IFERROR(__xludf.DUMMYFUNCTION("IMPORTRANGE(""https://docs.google.com/spreadsheets/d/1C3CXT74ZlgGe6_JY_1olB1XN4rF0dxEuIIF-xsYjHgg/edit?usp=sharing"",""พรบ!BD34"")"),0)</f>
        <v>0</v>
      </c>
      <c r="F30" s="77">
        <f ca="1">IFERROR(__xludf.DUMMYFUNCTION("IMPORTRANGE(""https://docs.google.com/spreadsheets/d/1C3CXT74ZlgGe6_JY_1olB1XN4rF0dxEuIIF-xsYjHgg/edit?usp=sharing"",""พรบ!BE34"")"),0)</f>
        <v>0</v>
      </c>
      <c r="G30" s="77">
        <f ca="1">IFERROR(__xludf.DUMMYFUNCTION("IMPORTRANGE(""https://docs.google.com/spreadsheets/d/1Yj_ptqi66GCucihVvJfMjLAmec39IyEx_6qawtMGysU/edit?usp=sharing"",""สบก!BZ34"")"),0)</f>
        <v>0</v>
      </c>
      <c r="H30" s="77">
        <f ca="1">IFERROR(__xludf.DUMMYFUNCTION("IMPORTRANGE(""https://docs.google.com/spreadsheets/d/1Yj_ptqi66GCucihVvJfMjLAmec39IyEx_6qawtMGysU/edit?usp=shCBing"",""สบก!CB34"")"),0)</f>
        <v>0</v>
      </c>
      <c r="I30" s="77">
        <f t="shared" ca="1" si="3"/>
        <v>0</v>
      </c>
      <c r="J30" s="77">
        <f t="shared" ca="1" si="4"/>
        <v>0</v>
      </c>
      <c r="K30" s="77">
        <f ca="1">IFERROR(__xludf.DUMMYFUNCTION("IMPORTRANGE(""https://docs.google.com/spreadsheets/d/1Yj_ptqi66GCucihVvJfMjLAmec39IyEx_6qawtMGysU/edit?usp=sharing"",""สบก!CC34"")"),0)</f>
        <v>0</v>
      </c>
      <c r="L30" s="137">
        <f t="shared" ca="1" si="5"/>
        <v>0</v>
      </c>
      <c r="M30" s="137">
        <f t="shared" ca="1" si="6"/>
        <v>0</v>
      </c>
      <c r="N30" s="137">
        <f ca="1">IFERROR(__xludf.DUMMYFUNCTION("IMPORTRANGE(""https://docs.google.com/spreadsheets/d/1Yj_ptqi66GCucihVvJfMjLAmec39IyEx_6qawtMGysU/edit?usp=sharing"",""สบก!CD34"")"),0)</f>
        <v>0</v>
      </c>
      <c r="O30" s="137">
        <f t="shared" ca="1" si="7"/>
        <v>0</v>
      </c>
      <c r="P30" s="77">
        <f ca="1">IFERROR(__xludf.DUMMYFUNCTION("IMPORTRANGE(""https://docs.google.com/spreadsheets/d/1C3CXT74ZlgGe6_JY_1olB1XN4rF0dxEuIIF-xsYjHgg/edit?usp=sharing"",""พรบ!BF34"")"),0)</f>
        <v>0</v>
      </c>
      <c r="Q30" s="77">
        <f ca="1">IFERROR(__xludf.DUMMYFUNCTION("IMPORTRANGE(""https://docs.google.com/spreadsheets/d/11923uPwbBZFjjGgGUA6NLw09EwE0CqkOc4q9oUmW1yo/edit?usp=sharing"",""สุโขทัย!j179"")"),0)</f>
        <v>0</v>
      </c>
      <c r="R30" s="137">
        <f t="shared" ca="1" si="9"/>
        <v>0</v>
      </c>
      <c r="S30" s="77">
        <f ca="1">IFERROR(__xludf.DUMMYFUNCTION("IMPORTRANGE(""https://docs.google.com/spreadsheets/d/1C3CXT74ZlgGe6_JY_1olB1XN4rF0dxEuIIF-xsYjHgg/edit?usp=sharing"",""พรบ!BG34"")"),0)</f>
        <v>0</v>
      </c>
      <c r="T30" s="77">
        <f ca="1">IFERROR(__xludf.DUMMYFUNCTION("IMPORTRANGE(""https://docs.google.com/spreadsheets/d/11923uPwbBZFjjGgGUA6NLw09EwE0CqkOc4q9oUmW1yo/edit?usp=sharing"",""สุโขทัย!j180"")"),0)</f>
        <v>0</v>
      </c>
      <c r="U30" s="137">
        <f t="shared" ca="1" si="11"/>
        <v>0</v>
      </c>
      <c r="V30" s="77">
        <f ca="1">IFERROR(__xludf.DUMMYFUNCTION("IMPORTRANGE(""https://docs.google.com/spreadsheets/d/1C3CXT74ZlgGe6_JY_1olB1XN4rF0dxEuIIF-xsYjHgg/edit?usp=sharing"",""พรบ!BH34"")"),0)</f>
        <v>0</v>
      </c>
      <c r="W30" s="77">
        <f ca="1">IFERROR(__xludf.DUMMYFUNCTION("IMPORTRANGE(""https://docs.google.com/spreadsheets/d/11923uPwbBZFjjGgGUA6NLw09EwE0CqkOc4q9oUmW1yo/edit?usp=sharing"",""สุโขทัย!j181"")"),0)</f>
        <v>0</v>
      </c>
      <c r="X30" s="137">
        <f t="shared" ca="1" si="13"/>
        <v>0</v>
      </c>
      <c r="Y30" s="77">
        <f ca="1">IFERROR(__xludf.DUMMYFUNCTION("IMPORTRANGE(""https://docs.google.com/spreadsheets/d/1C3CXT74ZlgGe6_JY_1olB1XN4rF0dxEuIIF-xsYjHgg/edit?usp=sharing"",""พรบ!BI34"")"),0)</f>
        <v>0</v>
      </c>
      <c r="Z30" s="77">
        <f ca="1">IFERROR(__xludf.DUMMYFUNCTION("IMPORTRANGE(""https://docs.google.com/spreadsheets/d/11923uPwbBZFjjGgGUA6NLw09EwE0CqkOc4q9oUmW1yo/edit?usp=sharing"",""สุโขทัย!j182"")"),0)</f>
        <v>0</v>
      </c>
      <c r="AA30" s="137">
        <f t="shared" ca="1" si="15"/>
        <v>0</v>
      </c>
      <c r="AB30" s="75">
        <f t="shared" ca="1" si="16"/>
        <v>237700</v>
      </c>
      <c r="AC30" s="76">
        <f t="shared" ca="1" si="47"/>
        <v>237700</v>
      </c>
      <c r="AD30" s="77">
        <f ca="1">IFERROR(__xludf.DUMMYFUNCTION("IMPORTRANGE(""https://docs.google.com/spreadsheets/d/1C3CXT74ZlgGe6_JY_1olB1XN4rF0dxEuIIF-xsYjHgg/edit?usp=sharing"",""พรบ!BK34"")"),132000)</f>
        <v>132000</v>
      </c>
      <c r="AE30" s="77">
        <f ca="1">IFERROR(__xludf.DUMMYFUNCTION("IMPORTRANGE(""https://docs.google.com/spreadsheets/d/1C3CXT74ZlgGe6_JY_1olB1XN4rF0dxEuIIF-xsYjHgg/edit?usp=sharing"",""พรบ!BL34"")"),105700)</f>
        <v>105700</v>
      </c>
      <c r="AF30" s="77">
        <f ca="1">IFERROR(__xludf.DUMMYFUNCTION("IMPORTRANGE(""https://docs.google.com/spreadsheets/d/1Yj_ptqi66GCucihVvJfMjLAmec39IyEx_6qawtMGysU/edit?usp=sharing"",""สบก!CI34"")"),0)</f>
        <v>0</v>
      </c>
      <c r="AG30" s="77">
        <f ca="1">IFERROR(__xludf.DUMMYFUNCTION("IMPORTRANGE(""https://docs.google.com/spreadsheets/d/1Yj_ptqi66GCucihVvJfMjLAmec39IyEx_6qawtMGysU/edit?usp=shCKing"",""สบก!CK34"")"),179000)</f>
        <v>179000</v>
      </c>
      <c r="AH30" s="77">
        <f t="shared" ca="1" si="19"/>
        <v>111115.48</v>
      </c>
      <c r="AI30" s="77">
        <f t="shared" ca="1" si="20"/>
        <v>46.746100126209505</v>
      </c>
      <c r="AJ30" s="77">
        <f ca="1">IFERROR(__xludf.DUMMYFUNCTION("IMPORTRANGE(""https://docs.google.com/spreadsheets/d/1Yj_ptqi66GCucihVvJfMjLAmec39IyEx_6qawtMGysU/edit?usp=sharing"",""สบก!CL34"")"),111115.48)</f>
        <v>111115.48</v>
      </c>
      <c r="AK30" s="137">
        <f t="shared" ca="1" si="21"/>
        <v>46.746100126209505</v>
      </c>
      <c r="AL30" s="137">
        <f t="shared" ca="1" si="22"/>
        <v>62.075687150837986</v>
      </c>
      <c r="AM30" s="137">
        <f ca="1">IFERROR(__xludf.DUMMYFUNCTION("IMPORTRANGE(""https://docs.google.com/spreadsheets/d/1Yj_ptqi66GCucihVvJfMjLAmec39IyEx_6qawtMGysU/edit?usp=sharing"",""สบก!CM34"")"),0)</f>
        <v>0</v>
      </c>
      <c r="AN30" s="137">
        <f t="shared" ca="1" si="23"/>
        <v>0</v>
      </c>
      <c r="AO30" s="77">
        <f ca="1">IFERROR(__xludf.DUMMYFUNCTION("IMPORTRANGE(""https://docs.google.com/spreadsheets/d/1C3CXT74ZlgGe6_JY_1olB1XN4rF0dxEuIIF-xsYjHgg/edit?usp=sharing"",""พรบ!BM34"")"),15)</f>
        <v>15</v>
      </c>
      <c r="AP30" s="77">
        <f ca="1">IFERROR(__xludf.DUMMYFUNCTION("IMPORTRANGE(""https://docs.google.com/spreadsheets/d/11923uPwbBZFjjGgGUA6NLw09EwE0CqkOc4q9oUmW1yo/edit?usp=sharing"",""สุโขทัย!j195"")"),15)</f>
        <v>15</v>
      </c>
      <c r="AQ30" s="137">
        <f t="shared" ca="1" si="25"/>
        <v>100</v>
      </c>
    </row>
    <row r="31" spans="1:43" ht="24" customHeight="1">
      <c r="A31" s="73">
        <v>16</v>
      </c>
      <c r="B31" s="184" t="s">
        <v>55</v>
      </c>
      <c r="C31" s="75">
        <f t="shared" ca="1" si="0"/>
        <v>203400</v>
      </c>
      <c r="D31" s="76">
        <f t="shared" ca="1" si="46"/>
        <v>203400</v>
      </c>
      <c r="E31" s="77">
        <f ca="1">IFERROR(__xludf.DUMMYFUNCTION("IMPORTRANGE(""https://docs.google.com/spreadsheets/d/1C3CXT74ZlgGe6_JY_1olB1XN4rF0dxEuIIF-xsYjHgg/edit?usp=sharing"",""พรบ!BD35"")"),132000)</f>
        <v>132000</v>
      </c>
      <c r="F31" s="77">
        <f ca="1">IFERROR(__xludf.DUMMYFUNCTION("IMPORTRANGE(""https://docs.google.com/spreadsheets/d/1C3CXT74ZlgGe6_JY_1olB1XN4rF0dxEuIIF-xsYjHgg/edit?usp=sharing"",""พรบ!BE35"")"),71400)</f>
        <v>71400</v>
      </c>
      <c r="G31" s="77">
        <f ca="1">IFERROR(__xludf.DUMMYFUNCTION("IMPORTRANGE(""https://docs.google.com/spreadsheets/d/1Yj_ptqi66GCucihVvJfMjLAmec39IyEx_6qawtMGysU/edit?usp=sharing"",""สบก!BZ35"")"),0)</f>
        <v>0</v>
      </c>
      <c r="H31" s="77">
        <f ca="1">IFERROR(__xludf.DUMMYFUNCTION("IMPORTRANGE(""https://docs.google.com/spreadsheets/d/1Yj_ptqi66GCucihVvJfMjLAmec39IyEx_6qawtMGysU/edit?usp=shCBing"",""สบก!CB35"")"),141000)</f>
        <v>141000</v>
      </c>
      <c r="I31" s="77">
        <f t="shared" ca="1" si="3"/>
        <v>102673.76</v>
      </c>
      <c r="J31" s="77">
        <f t="shared" ca="1" si="4"/>
        <v>50.478741396263523</v>
      </c>
      <c r="K31" s="77">
        <f ca="1">IFERROR(__xludf.DUMMYFUNCTION("IMPORTRANGE(""https://docs.google.com/spreadsheets/d/1Yj_ptqi66GCucihVvJfMjLAmec39IyEx_6qawtMGysU/edit?usp=sharing"",""สบก!CC35"")"),102673.76)</f>
        <v>102673.76</v>
      </c>
      <c r="L31" s="137">
        <f t="shared" ca="1" si="5"/>
        <v>50.478741396263523</v>
      </c>
      <c r="M31" s="137">
        <f t="shared" ca="1" si="6"/>
        <v>72.818269503546105</v>
      </c>
      <c r="N31" s="137">
        <f ca="1">IFERROR(__xludf.DUMMYFUNCTION("IMPORTRANGE(""https://docs.google.com/spreadsheets/d/1Yj_ptqi66GCucihVvJfMjLAmec39IyEx_6qawtMGysU/edit?usp=sharing"",""สบก!CD35"")"),0)</f>
        <v>0</v>
      </c>
      <c r="O31" s="137">
        <f t="shared" ca="1" si="7"/>
        <v>0</v>
      </c>
      <c r="P31" s="77">
        <f ca="1">IFERROR(__xludf.DUMMYFUNCTION("IMPORTRANGE(""https://docs.google.com/spreadsheets/d/1C3CXT74ZlgGe6_JY_1olB1XN4rF0dxEuIIF-xsYjHgg/edit?usp=sharing"",""พรบ!BF35"")"),1)</f>
        <v>1</v>
      </c>
      <c r="Q31" s="77">
        <f ca="1">IFERROR(__xludf.DUMMYFUNCTION("IMPORTRANGE(""https://docs.google.com/spreadsheets/d/11923uPwbBZFjjGgGUA6NLw09EwE0CqkOc4q9oUmW1yo/edit?usp=sharing"",""อุตรดิตถ์!j179"")"),1)</f>
        <v>1</v>
      </c>
      <c r="R31" s="137">
        <f t="shared" ca="1" si="9"/>
        <v>100</v>
      </c>
      <c r="S31" s="77">
        <f ca="1">IFERROR(__xludf.DUMMYFUNCTION("IMPORTRANGE(""https://docs.google.com/spreadsheets/d/1C3CXT74ZlgGe6_JY_1olB1XN4rF0dxEuIIF-xsYjHgg/edit?usp=sharing"",""พรบ!BG35"")"),20)</f>
        <v>20</v>
      </c>
      <c r="T31" s="77">
        <f ca="1">IFERROR(__xludf.DUMMYFUNCTION("IMPORTRANGE(""https://docs.google.com/spreadsheets/d/11923uPwbBZFjjGgGUA6NLw09EwE0CqkOc4q9oUmW1yo/edit?usp=sharing"",""อุตรดิตถ์!j180"")"),20)</f>
        <v>20</v>
      </c>
      <c r="U31" s="137">
        <f t="shared" ca="1" si="11"/>
        <v>100</v>
      </c>
      <c r="V31" s="77">
        <f ca="1">IFERROR(__xludf.DUMMYFUNCTION("IMPORTRANGE(""https://docs.google.com/spreadsheets/d/1C3CXT74ZlgGe6_JY_1olB1XN4rF0dxEuIIF-xsYjHgg/edit?usp=sharing"",""พรบ!BH35"")"),20)</f>
        <v>20</v>
      </c>
      <c r="W31" s="77">
        <f ca="1">IFERROR(__xludf.DUMMYFUNCTION("IMPORTRANGE(""https://docs.google.com/spreadsheets/d/11923uPwbBZFjjGgGUA6NLw09EwE0CqkOc4q9oUmW1yo/edit?usp=sharing"",""อุตรดิตถ์!j181"")"),0)</f>
        <v>0</v>
      </c>
      <c r="X31" s="137">
        <f t="shared" ca="1" si="13"/>
        <v>0</v>
      </c>
      <c r="Y31" s="77">
        <f ca="1">IFERROR(__xludf.DUMMYFUNCTION("IMPORTRANGE(""https://docs.google.com/spreadsheets/d/1C3CXT74ZlgGe6_JY_1olB1XN4rF0dxEuIIF-xsYjHgg/edit?usp=sharing"",""พรบ!BI35"")"),1)</f>
        <v>1</v>
      </c>
      <c r="Z31" s="77">
        <f ca="1">IFERROR(__xludf.DUMMYFUNCTION("IMPORTRANGE(""https://docs.google.com/spreadsheets/d/11923uPwbBZFjjGgGUA6NLw09EwE0CqkOc4q9oUmW1yo/edit?usp=sharing"",""อุตรดิตถ์!j182"")"),1)</f>
        <v>1</v>
      </c>
      <c r="AA31" s="137">
        <f t="shared" ca="1" si="15"/>
        <v>100</v>
      </c>
      <c r="AB31" s="75">
        <f t="shared" ca="1" si="16"/>
        <v>0</v>
      </c>
      <c r="AC31" s="76">
        <f t="shared" ca="1" si="47"/>
        <v>0</v>
      </c>
      <c r="AD31" s="77">
        <f ca="1">IFERROR(__xludf.DUMMYFUNCTION("IMPORTRANGE(""https://docs.google.com/spreadsheets/d/1C3CXT74ZlgGe6_JY_1olB1XN4rF0dxEuIIF-xsYjHgg/edit?usp=sharing"",""พรบ!BK35"")"),0)</f>
        <v>0</v>
      </c>
      <c r="AE31" s="77">
        <f ca="1">IFERROR(__xludf.DUMMYFUNCTION("IMPORTRANGE(""https://docs.google.com/spreadsheets/d/1C3CXT74ZlgGe6_JY_1olB1XN4rF0dxEuIIF-xsYjHgg/edit?usp=sharing"",""พรบ!BL35"")"),0)</f>
        <v>0</v>
      </c>
      <c r="AF31" s="77">
        <f ca="1">IFERROR(__xludf.DUMMYFUNCTION("IMPORTRANGE(""https://docs.google.com/spreadsheets/d/1Yj_ptqi66GCucihVvJfMjLAmec39IyEx_6qawtMGysU/edit?usp=sharing"",""สบก!CI35"")"),0)</f>
        <v>0</v>
      </c>
      <c r="AG31" s="77">
        <f ca="1">IFERROR(__xludf.DUMMYFUNCTION("IMPORTRANGE(""https://docs.google.com/spreadsheets/d/1Yj_ptqi66GCucihVvJfMjLAmec39IyEx_6qawtMGysU/edit?usp=shCKing"",""สบก!CK35"")"),0)</f>
        <v>0</v>
      </c>
      <c r="AH31" s="77">
        <f t="shared" ca="1" si="19"/>
        <v>0</v>
      </c>
      <c r="AI31" s="77">
        <f t="shared" ca="1" si="20"/>
        <v>0</v>
      </c>
      <c r="AJ31" s="77">
        <f ca="1">IFERROR(__xludf.DUMMYFUNCTION("IMPORTRANGE(""https://docs.google.com/spreadsheets/d/1Yj_ptqi66GCucihVvJfMjLAmec39IyEx_6qawtMGysU/edit?usp=sharing"",""สบก!CL35"")"),0)</f>
        <v>0</v>
      </c>
      <c r="AK31" s="137">
        <f t="shared" ca="1" si="21"/>
        <v>0</v>
      </c>
      <c r="AL31" s="137">
        <f t="shared" ca="1" si="22"/>
        <v>0</v>
      </c>
      <c r="AM31" s="137">
        <f ca="1">IFERROR(__xludf.DUMMYFUNCTION("IMPORTRANGE(""https://docs.google.com/spreadsheets/d/1Yj_ptqi66GCucihVvJfMjLAmec39IyEx_6qawtMGysU/edit?usp=sharing"",""สบก!CM35"")"),0)</f>
        <v>0</v>
      </c>
      <c r="AN31" s="137">
        <f t="shared" ca="1" si="23"/>
        <v>0</v>
      </c>
      <c r="AO31" s="77">
        <f ca="1">IFERROR(__xludf.DUMMYFUNCTION("IMPORTRANGE(""https://docs.google.com/spreadsheets/d/1C3CXT74ZlgGe6_JY_1olB1XN4rF0dxEuIIF-xsYjHgg/edit?usp=sharing"",""พรบ!BM35"")"),0)</f>
        <v>0</v>
      </c>
      <c r="AP31" s="77">
        <f ca="1">IFERROR(__xludf.DUMMYFUNCTION("IMPORTRANGE(""https://docs.google.com/spreadsheets/d/11923uPwbBZFjjGgGUA6NLw09EwE0CqkOc4q9oUmW1yo/edit?usp=sharing"",""อุตรดิตถ์!j195"")"),0)</f>
        <v>0</v>
      </c>
      <c r="AQ31" s="137">
        <f t="shared" ca="1" si="25"/>
        <v>0</v>
      </c>
    </row>
    <row r="32" spans="1:43" ht="24" customHeight="1">
      <c r="A32" s="84">
        <v>17</v>
      </c>
      <c r="B32" s="185" t="s">
        <v>56</v>
      </c>
      <c r="C32" s="86">
        <f t="shared" ca="1" si="0"/>
        <v>203400</v>
      </c>
      <c r="D32" s="87">
        <f t="shared" ca="1" si="46"/>
        <v>203400</v>
      </c>
      <c r="E32" s="88">
        <f ca="1">IFERROR(__xludf.DUMMYFUNCTION("IMPORTRANGE(""https://docs.google.com/spreadsheets/d/1C3CXT74ZlgGe6_JY_1olB1XN4rF0dxEuIIF-xsYjHgg/edit?usp=sharing"",""พรบ!BD36"")"),132000)</f>
        <v>132000</v>
      </c>
      <c r="F32" s="88">
        <f ca="1">IFERROR(__xludf.DUMMYFUNCTION("IMPORTRANGE(""https://docs.google.com/spreadsheets/d/1C3CXT74ZlgGe6_JY_1olB1XN4rF0dxEuIIF-xsYjHgg/edit?usp=sharing"",""พรบ!BE36"")"),71400)</f>
        <v>71400</v>
      </c>
      <c r="G32" s="88">
        <f ca="1">IFERROR(__xludf.DUMMYFUNCTION("IMPORTRANGE(""https://docs.google.com/spreadsheets/d/1Yj_ptqi66GCucihVvJfMjLAmec39IyEx_6qawtMGysU/edit?usp=sharing"",""สบก!BZ36"")"),0)</f>
        <v>0</v>
      </c>
      <c r="H32" s="88">
        <f ca="1">IFERROR(__xludf.DUMMYFUNCTION("IMPORTRANGE(""https://docs.google.com/spreadsheets/d/1Yj_ptqi66GCucihVvJfMjLAmec39IyEx_6qawtMGysU/edit?usp=shCBing"",""สบก!CB36"")"),141000)</f>
        <v>141000</v>
      </c>
      <c r="I32" s="88">
        <f t="shared" ca="1" si="3"/>
        <v>81363</v>
      </c>
      <c r="J32" s="88">
        <f t="shared" ca="1" si="4"/>
        <v>40.001474926253685</v>
      </c>
      <c r="K32" s="88">
        <f ca="1">IFERROR(__xludf.DUMMYFUNCTION("IMPORTRANGE(""https://docs.google.com/spreadsheets/d/1Yj_ptqi66GCucihVvJfMjLAmec39IyEx_6qawtMGysU/edit?usp=sharing"",""สบก!CC36"")"),81363)</f>
        <v>81363</v>
      </c>
      <c r="L32" s="138">
        <f t="shared" ca="1" si="5"/>
        <v>40.001474926253685</v>
      </c>
      <c r="M32" s="138">
        <f t="shared" ca="1" si="6"/>
        <v>57.704255319148935</v>
      </c>
      <c r="N32" s="138">
        <f ca="1">IFERROR(__xludf.DUMMYFUNCTION("IMPORTRANGE(""https://docs.google.com/spreadsheets/d/1Yj_ptqi66GCucihVvJfMjLAmec39IyEx_6qawtMGysU/edit?usp=sharing"",""สบก!CD36"")"),0)</f>
        <v>0</v>
      </c>
      <c r="O32" s="138">
        <f t="shared" ca="1" si="7"/>
        <v>0</v>
      </c>
      <c r="P32" s="88">
        <f ca="1">IFERROR(__xludf.DUMMYFUNCTION("IMPORTRANGE(""https://docs.google.com/spreadsheets/d/1C3CXT74ZlgGe6_JY_1olB1XN4rF0dxEuIIF-xsYjHgg/edit?usp=sharing"",""พรบ!BF36"")"),1)</f>
        <v>1</v>
      </c>
      <c r="Q32" s="88">
        <f ca="1">IFERROR(__xludf.DUMMYFUNCTION("IMPORTRANGE(""https://docs.google.com/spreadsheets/d/11923uPwbBZFjjGgGUA6NLw09EwE0CqkOc4q9oUmW1yo/edit?usp=sharing"",""อุทัยธานี!j179"")"),0)</f>
        <v>0</v>
      </c>
      <c r="R32" s="138">
        <f t="shared" ca="1" si="9"/>
        <v>0</v>
      </c>
      <c r="S32" s="88">
        <f ca="1">IFERROR(__xludf.DUMMYFUNCTION("IMPORTRANGE(""https://docs.google.com/spreadsheets/d/1C3CXT74ZlgGe6_JY_1olB1XN4rF0dxEuIIF-xsYjHgg/edit?usp=sharing"",""พรบ!BG36"")"),20)</f>
        <v>20</v>
      </c>
      <c r="T32" s="88">
        <f ca="1">IFERROR(__xludf.DUMMYFUNCTION("IMPORTRANGE(""https://docs.google.com/spreadsheets/d/11923uPwbBZFjjGgGUA6NLw09EwE0CqkOc4q9oUmW1yo/edit?usp=sharing"",""อุทัยธานี!j180"")"),20)</f>
        <v>20</v>
      </c>
      <c r="U32" s="138">
        <f t="shared" ca="1" si="11"/>
        <v>100</v>
      </c>
      <c r="V32" s="88">
        <f ca="1">IFERROR(__xludf.DUMMYFUNCTION("IMPORTRANGE(""https://docs.google.com/spreadsheets/d/1C3CXT74ZlgGe6_JY_1olB1XN4rF0dxEuIIF-xsYjHgg/edit?usp=sharing"",""พรบ!BH36"")"),20)</f>
        <v>20</v>
      </c>
      <c r="W32" s="88">
        <f ca="1">IFERROR(__xludf.DUMMYFUNCTION("IMPORTRANGE(""https://docs.google.com/spreadsheets/d/11923uPwbBZFjjGgGUA6NLw09EwE0CqkOc4q9oUmW1yo/edit?usp=sharing"",""อุทัยธานี!j181"")"),0)</f>
        <v>0</v>
      </c>
      <c r="X32" s="138">
        <f t="shared" ca="1" si="13"/>
        <v>0</v>
      </c>
      <c r="Y32" s="88">
        <f ca="1">IFERROR(__xludf.DUMMYFUNCTION("IMPORTRANGE(""https://docs.google.com/spreadsheets/d/1C3CXT74ZlgGe6_JY_1olB1XN4rF0dxEuIIF-xsYjHgg/edit?usp=sharing"",""พรบ!BI36"")"),1)</f>
        <v>1</v>
      </c>
      <c r="Z32" s="88">
        <f ca="1">IFERROR(__xludf.DUMMYFUNCTION("IMPORTRANGE(""https://docs.google.com/spreadsheets/d/11923uPwbBZFjjGgGUA6NLw09EwE0CqkOc4q9oUmW1yo/edit?usp=sharing"",""อุทัยธานี!j182"")"),0)</f>
        <v>0</v>
      </c>
      <c r="AA32" s="138">
        <f t="shared" ca="1" si="15"/>
        <v>0</v>
      </c>
      <c r="AB32" s="86">
        <f t="shared" ca="1" si="16"/>
        <v>183600</v>
      </c>
      <c r="AC32" s="87">
        <f t="shared" ca="1" si="47"/>
        <v>183600</v>
      </c>
      <c r="AD32" s="88">
        <f ca="1">IFERROR(__xludf.DUMMYFUNCTION("IMPORTRANGE(""https://docs.google.com/spreadsheets/d/1C3CXT74ZlgGe6_JY_1olB1XN4rF0dxEuIIF-xsYjHgg/edit?usp=sharing"",""พรบ!BK36"")"),0)</f>
        <v>0</v>
      </c>
      <c r="AE32" s="88">
        <f ca="1">IFERROR(__xludf.DUMMYFUNCTION("IMPORTRANGE(""https://docs.google.com/spreadsheets/d/1C3CXT74ZlgGe6_JY_1olB1XN4rF0dxEuIIF-xsYjHgg/edit?usp=sharing"",""พรบ!BL36"")"),183600)</f>
        <v>183600</v>
      </c>
      <c r="AF32" s="88">
        <f ca="1">IFERROR(__xludf.DUMMYFUNCTION("IMPORTRANGE(""https://docs.google.com/spreadsheets/d/1Yj_ptqi66GCucihVvJfMjLAmec39IyEx_6qawtMGysU/edit?usp=sharing"",""สบก!CI36"")"),0)</f>
        <v>0</v>
      </c>
      <c r="AG32" s="88">
        <f ca="1">IFERROR(__xludf.DUMMYFUNCTION("IMPORTRANGE(""https://docs.google.com/spreadsheets/d/1Yj_ptqi66GCucihVvJfMjLAmec39IyEx_6qawtMGysU/edit?usp=shCKing"",""สบก!CK36"")"),161600)</f>
        <v>161600</v>
      </c>
      <c r="AH32" s="88">
        <f t="shared" ca="1" si="19"/>
        <v>110579</v>
      </c>
      <c r="AI32" s="88">
        <f t="shared" ca="1" si="20"/>
        <v>60.22821350762527</v>
      </c>
      <c r="AJ32" s="88">
        <f ca="1">IFERROR(__xludf.DUMMYFUNCTION("IMPORTRANGE(""https://docs.google.com/spreadsheets/d/1Yj_ptqi66GCucihVvJfMjLAmec39IyEx_6qawtMGysU/edit?usp=sharing"",""สบก!CL36"")"),110579)</f>
        <v>110579</v>
      </c>
      <c r="AK32" s="138">
        <f t="shared" ca="1" si="21"/>
        <v>60.22821350762527</v>
      </c>
      <c r="AL32" s="138">
        <f t="shared" ca="1" si="22"/>
        <v>68.427599009900987</v>
      </c>
      <c r="AM32" s="138">
        <f ca="1">IFERROR(__xludf.DUMMYFUNCTION("IMPORTRANGE(""https://docs.google.com/spreadsheets/d/1Yj_ptqi66GCucihVvJfMjLAmec39IyEx_6qawtMGysU/edit?usp=sharing"",""สบก!CM36"")"),0)</f>
        <v>0</v>
      </c>
      <c r="AN32" s="138">
        <f t="shared" ca="1" si="23"/>
        <v>0</v>
      </c>
      <c r="AO32" s="88">
        <f ca="1">IFERROR(__xludf.DUMMYFUNCTION("IMPORTRANGE(""https://docs.google.com/spreadsheets/d/1C3CXT74ZlgGe6_JY_1olB1XN4rF0dxEuIIF-xsYjHgg/edit?usp=sharing"",""พรบ!BM36"")"),20)</f>
        <v>20</v>
      </c>
      <c r="AP32" s="88">
        <f ca="1">IFERROR(__xludf.DUMMYFUNCTION("IMPORTRANGE(""https://docs.google.com/spreadsheets/d/11923uPwbBZFjjGgGUA6NLw09EwE0CqkOc4q9oUmW1yo/edit?usp=sharing"",""อุทัยธานี!j195"")"),20)</f>
        <v>20</v>
      </c>
      <c r="AQ32" s="138">
        <f t="shared" ca="1" si="25"/>
        <v>100</v>
      </c>
    </row>
    <row r="33" spans="1:43" ht="21" customHeight="1">
      <c r="A33" s="677" t="s">
        <v>57</v>
      </c>
      <c r="B33" s="678"/>
      <c r="C33" s="94">
        <f t="shared" ca="1" si="0"/>
        <v>1364900</v>
      </c>
      <c r="D33" s="95">
        <f t="shared" ref="D33:H33" ca="1" si="48">SUM(D34:D53)</f>
        <v>1364900</v>
      </c>
      <c r="E33" s="95">
        <f t="shared" ca="1" si="48"/>
        <v>396000</v>
      </c>
      <c r="F33" s="95">
        <f t="shared" ca="1" si="48"/>
        <v>968900</v>
      </c>
      <c r="G33" s="95">
        <f t="shared" ca="1" si="48"/>
        <v>0</v>
      </c>
      <c r="H33" s="95">
        <f t="shared" ca="1" si="48"/>
        <v>977600</v>
      </c>
      <c r="I33" s="95">
        <f t="shared" ca="1" si="3"/>
        <v>552128.27</v>
      </c>
      <c r="J33" s="95">
        <f t="shared" ca="1" si="4"/>
        <v>40.451921019854936</v>
      </c>
      <c r="K33" s="95">
        <f ca="1">SUM(K34:K53)</f>
        <v>552128.27</v>
      </c>
      <c r="L33" s="139">
        <f t="shared" ca="1" si="5"/>
        <v>40.451921019854936</v>
      </c>
      <c r="M33" s="139">
        <f t="shared" ca="1" si="6"/>
        <v>56.477932692307689</v>
      </c>
      <c r="N33" s="139">
        <f ca="1">SUM(N34:N53)</f>
        <v>0</v>
      </c>
      <c r="O33" s="139">
        <f t="shared" ca="1" si="7"/>
        <v>0</v>
      </c>
      <c r="P33" s="95">
        <f t="shared" ref="P33:Q33" ca="1" si="49">SUM(P34:P53)</f>
        <v>9</v>
      </c>
      <c r="Q33" s="95">
        <f t="shared" ca="1" si="49"/>
        <v>4</v>
      </c>
      <c r="R33" s="139">
        <f t="shared" ca="1" si="9"/>
        <v>44.444444444444443</v>
      </c>
      <c r="S33" s="95">
        <f t="shared" ref="S33:T33" ca="1" si="50">SUM(S34:S53)</f>
        <v>240</v>
      </c>
      <c r="T33" s="95">
        <f t="shared" ca="1" si="50"/>
        <v>228</v>
      </c>
      <c r="U33" s="139">
        <f t="shared" ca="1" si="11"/>
        <v>95</v>
      </c>
      <c r="V33" s="95">
        <f t="shared" ref="V33:W33" ca="1" si="51">SUM(V34:V53)</f>
        <v>240</v>
      </c>
      <c r="W33" s="95">
        <f t="shared" ca="1" si="51"/>
        <v>0</v>
      </c>
      <c r="X33" s="139">
        <f t="shared" ca="1" si="13"/>
        <v>0</v>
      </c>
      <c r="Y33" s="95">
        <f t="shared" ref="Y33:Z33" ca="1" si="52">SUM(Y34:Y53)</f>
        <v>9</v>
      </c>
      <c r="Z33" s="95">
        <f t="shared" ca="1" si="52"/>
        <v>7</v>
      </c>
      <c r="AA33" s="139">
        <f t="shared" ca="1" si="15"/>
        <v>77.777777777777771</v>
      </c>
      <c r="AB33" s="94">
        <f t="shared" ca="1" si="16"/>
        <v>2016400</v>
      </c>
      <c r="AC33" s="95">
        <f t="shared" ref="AC33:AG33" ca="1" si="53">SUM(AC34:AC53)</f>
        <v>2016400</v>
      </c>
      <c r="AD33" s="95">
        <f t="shared" ca="1" si="53"/>
        <v>528000</v>
      </c>
      <c r="AE33" s="95">
        <f t="shared" ca="1" si="53"/>
        <v>1488400</v>
      </c>
      <c r="AF33" s="95">
        <f t="shared" ca="1" si="53"/>
        <v>0</v>
      </c>
      <c r="AG33" s="95">
        <f t="shared" ca="1" si="53"/>
        <v>1527250</v>
      </c>
      <c r="AH33" s="95">
        <f t="shared" ca="1" si="19"/>
        <v>945792.16</v>
      </c>
      <c r="AI33" s="95">
        <f t="shared" ca="1" si="20"/>
        <v>46.904987105732992</v>
      </c>
      <c r="AJ33" s="95">
        <f ca="1">SUM(AJ34:AJ53)</f>
        <v>945792.16</v>
      </c>
      <c r="AK33" s="139">
        <f t="shared" ca="1" si="21"/>
        <v>46.904987105732992</v>
      </c>
      <c r="AL33" s="139">
        <f t="shared" ca="1" si="22"/>
        <v>61.927789163529219</v>
      </c>
      <c r="AM33" s="139">
        <f ca="1">SUM(AM34:AM53)</f>
        <v>0</v>
      </c>
      <c r="AN33" s="139">
        <f t="shared" ca="1" si="23"/>
        <v>0</v>
      </c>
      <c r="AO33" s="95">
        <f t="shared" ref="AO33:AP33" ca="1" si="54">SUM(AO34:AO53)</f>
        <v>255</v>
      </c>
      <c r="AP33" s="95">
        <f t="shared" ca="1" si="54"/>
        <v>255</v>
      </c>
      <c r="AQ33" s="139">
        <f t="shared" ca="1" si="25"/>
        <v>100</v>
      </c>
    </row>
    <row r="34" spans="1:43" ht="21" customHeight="1">
      <c r="A34" s="63">
        <v>1</v>
      </c>
      <c r="B34" s="186" t="s">
        <v>58</v>
      </c>
      <c r="C34" s="65">
        <f t="shared" ca="1" si="0"/>
        <v>335400</v>
      </c>
      <c r="D34" s="66">
        <f t="shared" ref="D34:D53" ca="1" si="55">+E34+F34</f>
        <v>335400</v>
      </c>
      <c r="E34" s="67">
        <f ca="1">IFERROR(__xludf.DUMMYFUNCTION("IMPORTRANGE(""https://docs.google.com/spreadsheets/d/1C3CXT74ZlgGe6_JY_1olB1XN4rF0dxEuIIF-xsYjHgg/edit?usp=sharing"",""พรบ!BD38"")"),264000)</f>
        <v>264000</v>
      </c>
      <c r="F34" s="67">
        <f ca="1">IFERROR(__xludf.DUMMYFUNCTION("IMPORTRANGE(""https://docs.google.com/spreadsheets/d/1C3CXT74ZlgGe6_JY_1olB1XN4rF0dxEuIIF-xsYjHgg/edit?usp=sharing"",""พรบ!BE38"")"),71400)</f>
        <v>71400</v>
      </c>
      <c r="G34" s="67">
        <f ca="1">IFERROR(__xludf.DUMMYFUNCTION("IMPORTRANGE(""https://docs.google.com/spreadsheets/d/1Yj_ptqi66GCucihVvJfMjLAmec39IyEx_6qawtMGysU/edit?usp=sharing"",""สบก!BZ38"")"),0)</f>
        <v>0</v>
      </c>
      <c r="H34" s="67">
        <f ca="1">IFERROR(__xludf.DUMMYFUNCTION("IMPORTRANGE(""https://docs.google.com/spreadsheets/d/1Yj_ptqi66GCucihVvJfMjLAmec39IyEx_6qawtMGysU/edit?usp=shCBing"",""สบก!CB38"")"),240000)</f>
        <v>240000</v>
      </c>
      <c r="I34" s="67">
        <f t="shared" ca="1" si="3"/>
        <v>129500.1</v>
      </c>
      <c r="J34" s="67">
        <f t="shared" ca="1" si="4"/>
        <v>38.610644007155635</v>
      </c>
      <c r="K34" s="67">
        <f ca="1">IFERROR(__xludf.DUMMYFUNCTION("IMPORTRANGE(""https://docs.google.com/spreadsheets/d/1Yj_ptqi66GCucihVvJfMjLAmec39IyEx_6qawtMGysU/edit?usp=sharing"",""สบก!CC38"")"),129500.1)</f>
        <v>129500.1</v>
      </c>
      <c r="L34" s="136">
        <f t="shared" ca="1" si="5"/>
        <v>38.610644007155635</v>
      </c>
      <c r="M34" s="136">
        <f t="shared" ca="1" si="6"/>
        <v>53.958374999999997</v>
      </c>
      <c r="N34" s="136">
        <f ca="1">IFERROR(__xludf.DUMMYFUNCTION("IMPORTRANGE(""https://docs.google.com/spreadsheets/d/1Yj_ptqi66GCucihVvJfMjLAmec39IyEx_6qawtMGysU/edit?usp=sharing"",""สบก!CD38"")"),0)</f>
        <v>0</v>
      </c>
      <c r="O34" s="136">
        <f t="shared" ca="1" si="7"/>
        <v>0</v>
      </c>
      <c r="P34" s="67">
        <f ca="1">IFERROR(__xludf.DUMMYFUNCTION("IMPORTRANGE(""https://docs.google.com/spreadsheets/d/1C3CXT74ZlgGe6_JY_1olB1XN4rF0dxEuIIF-xsYjHgg/edit?usp=sharing"",""พรบ!BF38"")"),1)</f>
        <v>1</v>
      </c>
      <c r="Q34" s="67">
        <f ca="1">IFERROR(__xludf.DUMMYFUNCTION("IMPORTRANGE(""https://docs.google.com/spreadsheets/d/1XL5vhW3sbDhbH9Cz0tuDiY8C3ctxq1tqvaCgkFb8cCA/edit?usp=sharing"",""กาฬสินธุ์!j179"")"),0)</f>
        <v>0</v>
      </c>
      <c r="R34" s="136">
        <f t="shared" ca="1" si="9"/>
        <v>0</v>
      </c>
      <c r="S34" s="67">
        <f ca="1">IFERROR(__xludf.DUMMYFUNCTION("IMPORTRANGE(""https://docs.google.com/spreadsheets/d/1C3CXT74ZlgGe6_JY_1olB1XN4rF0dxEuIIF-xsYjHgg/edit?usp=sharing"",""พรบ!BG38"")"),20)</f>
        <v>20</v>
      </c>
      <c r="T34" s="67">
        <f ca="1">IFERROR(__xludf.DUMMYFUNCTION("IMPORTRANGE(""https://docs.google.com/spreadsheets/d/1XL5vhW3sbDhbH9Cz0tuDiY8C3ctxq1tqvaCgkFb8cCA/edit?usp=sharing"",""กาฬสินธุ์!j180"")"),20)</f>
        <v>20</v>
      </c>
      <c r="U34" s="136">
        <f t="shared" ca="1" si="11"/>
        <v>100</v>
      </c>
      <c r="V34" s="67">
        <f ca="1">IFERROR(__xludf.DUMMYFUNCTION("IMPORTRANGE(""https://docs.google.com/spreadsheets/d/1C3CXT74ZlgGe6_JY_1olB1XN4rF0dxEuIIF-xsYjHgg/edit?usp=sharing"",""พรบ!BH38"")"),20)</f>
        <v>20</v>
      </c>
      <c r="W34" s="67">
        <f ca="1">IFERROR(__xludf.DUMMYFUNCTION("IMPORTRANGE(""https://docs.google.com/spreadsheets/d/1XL5vhW3sbDhbH9Cz0tuDiY8C3ctxq1tqvaCgkFb8cCA/edit?usp=sharing"",""กาฬสินธุ์!j181"")"),0)</f>
        <v>0</v>
      </c>
      <c r="X34" s="136">
        <f t="shared" ca="1" si="13"/>
        <v>0</v>
      </c>
      <c r="Y34" s="67">
        <f ca="1">IFERROR(__xludf.DUMMYFUNCTION("IMPORTRANGE(""https://docs.google.com/spreadsheets/d/1C3CXT74ZlgGe6_JY_1olB1XN4rF0dxEuIIF-xsYjHgg/edit?usp=sharing"",""พรบ!BI38"")"),1)</f>
        <v>1</v>
      </c>
      <c r="Z34" s="67">
        <f ca="1">IFERROR(__xludf.DUMMYFUNCTION("IMPORTRANGE(""https://docs.google.com/spreadsheets/d/1XL5vhW3sbDhbH9Cz0tuDiY8C3ctxq1tqvaCgkFb8cCA/edit?usp=sharing"",""กาฬสินธุ์!j182"")"),1)</f>
        <v>1</v>
      </c>
      <c r="AA34" s="136">
        <f t="shared" ca="1" si="15"/>
        <v>100</v>
      </c>
      <c r="AB34" s="65">
        <f t="shared" ca="1" si="16"/>
        <v>183600</v>
      </c>
      <c r="AC34" s="66">
        <f t="shared" ref="AC34:AC53" ca="1" si="56">+AD34+AE34</f>
        <v>183600</v>
      </c>
      <c r="AD34" s="67">
        <f ca="1">IFERROR(__xludf.DUMMYFUNCTION("IMPORTRANGE(""https://docs.google.com/spreadsheets/d/1C3CXT74ZlgGe6_JY_1olB1XN4rF0dxEuIIF-xsYjHgg/edit?usp=sharing"",""พรบ!BK38"")"),0)</f>
        <v>0</v>
      </c>
      <c r="AE34" s="67">
        <f ca="1">IFERROR(__xludf.DUMMYFUNCTION("IMPORTRANGE(""https://docs.google.com/spreadsheets/d/1C3CXT74ZlgGe6_JY_1olB1XN4rF0dxEuIIF-xsYjHgg/edit?usp=sharing"",""พรบ!BL38"")"),183600)</f>
        <v>183600</v>
      </c>
      <c r="AF34" s="67">
        <f ca="1">IFERROR(__xludf.DUMMYFUNCTION("IMPORTRANGE(""https://docs.google.com/spreadsheets/d/1Yj_ptqi66GCucihVvJfMjLAmec39IyEx_6qawtMGysU/edit?usp=sharing"",""สบก!CI38"")"),0)</f>
        <v>0</v>
      </c>
      <c r="AG34" s="67">
        <f ca="1">IFERROR(__xludf.DUMMYFUNCTION("IMPORTRANGE(""https://docs.google.com/spreadsheets/d/1Yj_ptqi66GCucihVvJfMjLAmec39IyEx_6qawtMGysU/edit?usp=shCKing"",""สบก!CK38"")"),161600)</f>
        <v>161600</v>
      </c>
      <c r="AH34" s="67">
        <f t="shared" ca="1" si="19"/>
        <v>64992</v>
      </c>
      <c r="AI34" s="67">
        <f t="shared" ca="1" si="20"/>
        <v>35.398692810457518</v>
      </c>
      <c r="AJ34" s="67">
        <f ca="1">IFERROR(__xludf.DUMMYFUNCTION("IMPORTRANGE(""https://docs.google.com/spreadsheets/d/1Yj_ptqi66GCucihVvJfMjLAmec39IyEx_6qawtMGysU/edit?usp=sharing"",""สบก!CL38"")"),64992)</f>
        <v>64992</v>
      </c>
      <c r="AK34" s="136">
        <f t="shared" ca="1" si="21"/>
        <v>35.398692810457518</v>
      </c>
      <c r="AL34" s="136">
        <f t="shared" ca="1" si="22"/>
        <v>40.21782178217822</v>
      </c>
      <c r="AM34" s="136">
        <f ca="1">IFERROR(__xludf.DUMMYFUNCTION("IMPORTRANGE(""https://docs.google.com/spreadsheets/d/1Yj_ptqi66GCucihVvJfMjLAmec39IyEx_6qawtMGysU/edit?usp=sharing"",""สบก!CM38"")"),0)</f>
        <v>0</v>
      </c>
      <c r="AN34" s="136">
        <f t="shared" ca="1" si="23"/>
        <v>0</v>
      </c>
      <c r="AO34" s="67">
        <f ca="1">IFERROR(__xludf.DUMMYFUNCTION("IMPORTRANGE(""https://docs.google.com/spreadsheets/d/1C3CXT74ZlgGe6_JY_1olB1XN4rF0dxEuIIF-xsYjHgg/edit?usp=sharing"",""พรบ!BM38"")"),20)</f>
        <v>20</v>
      </c>
      <c r="AP34" s="67">
        <f ca="1">IFERROR(__xludf.DUMMYFUNCTION("IMPORTRANGE(""https://docs.google.com/spreadsheets/d/1XL5vhW3sbDhbH9Cz0tuDiY8C3ctxq1tqvaCgkFb8cCA/edit?usp=sharing"",""กาฬสินธุ์!j195"")"),20)</f>
        <v>20</v>
      </c>
      <c r="AQ34" s="136">
        <f t="shared" ca="1" si="25"/>
        <v>100</v>
      </c>
    </row>
    <row r="35" spans="1:43" ht="21" customHeight="1">
      <c r="A35" s="73">
        <v>2</v>
      </c>
      <c r="B35" s="184" t="s">
        <v>59</v>
      </c>
      <c r="C35" s="75">
        <f t="shared" ca="1" si="0"/>
        <v>0</v>
      </c>
      <c r="D35" s="76">
        <f t="shared" ca="1" si="55"/>
        <v>0</v>
      </c>
      <c r="E35" s="77">
        <f ca="1">IFERROR(__xludf.DUMMYFUNCTION("IMPORTRANGE(""https://docs.google.com/spreadsheets/d/1C3CXT74ZlgGe6_JY_1olB1XN4rF0dxEuIIF-xsYjHgg/edit?usp=sharing"",""พรบ!BD39"")"),0)</f>
        <v>0</v>
      </c>
      <c r="F35" s="77">
        <f ca="1">IFERROR(__xludf.DUMMYFUNCTION("IMPORTRANGE(""https://docs.google.com/spreadsheets/d/1C3CXT74ZlgGe6_JY_1olB1XN4rF0dxEuIIF-xsYjHgg/edit?usp=sharing"",""พรบ!BE39"")"),0)</f>
        <v>0</v>
      </c>
      <c r="G35" s="77">
        <f ca="1">IFERROR(__xludf.DUMMYFUNCTION("IMPORTRANGE(""https://docs.google.com/spreadsheets/d/1Yj_ptqi66GCucihVvJfMjLAmec39IyEx_6qawtMGysU/edit?usp=sharing"",""สบก!BZ39"")"),0)</f>
        <v>0</v>
      </c>
      <c r="H35" s="77">
        <f ca="1">IFERROR(__xludf.DUMMYFUNCTION("IMPORTRANGE(""https://docs.google.com/spreadsheets/d/1Yj_ptqi66GCucihVvJfMjLAmec39IyEx_6qawtMGysU/edit?usp=shCBing"",""สบก!CB39"")"),0)</f>
        <v>0</v>
      </c>
      <c r="I35" s="77">
        <f t="shared" ca="1" si="3"/>
        <v>0</v>
      </c>
      <c r="J35" s="77">
        <f t="shared" ca="1" si="4"/>
        <v>0</v>
      </c>
      <c r="K35" s="77">
        <f ca="1">IFERROR(__xludf.DUMMYFUNCTION("IMPORTRANGE(""https://docs.google.com/spreadsheets/d/1Yj_ptqi66GCucihVvJfMjLAmec39IyEx_6qawtMGysU/edit?usp=sharing"",""สบก!CC39"")"),0)</f>
        <v>0</v>
      </c>
      <c r="L35" s="137">
        <f t="shared" ca="1" si="5"/>
        <v>0</v>
      </c>
      <c r="M35" s="137">
        <f t="shared" ca="1" si="6"/>
        <v>0</v>
      </c>
      <c r="N35" s="137">
        <f ca="1">IFERROR(__xludf.DUMMYFUNCTION("IMPORTRANGE(""https://docs.google.com/spreadsheets/d/1Yj_ptqi66GCucihVvJfMjLAmec39IyEx_6qawtMGysU/edit?usp=sharing"",""สบก!CD39"")"),0)</f>
        <v>0</v>
      </c>
      <c r="O35" s="137">
        <f t="shared" ca="1" si="7"/>
        <v>0</v>
      </c>
      <c r="P35" s="149">
        <f ca="1">IFERROR(__xludf.DUMMYFUNCTION("IMPORTRANGE(""https://docs.google.com/spreadsheets/d/1C3CXT74ZlgGe6_JY_1olB1XN4rF0dxEuIIF-xsYjHgg/edit?usp=sharing"",""พรบ!BF39"")"),0)</f>
        <v>0</v>
      </c>
      <c r="Q35" s="77">
        <f ca="1">IFERROR(__xludf.DUMMYFUNCTION("IMPORTRANGE(""https://docs.google.com/spreadsheets/d/1XL5vhW3sbDhbH9Cz0tuDiY8C3ctxq1tqvaCgkFb8cCA/edit?usp=sharing"",""ขอนแก่น!j179"")"),0)</f>
        <v>0</v>
      </c>
      <c r="R35" s="137">
        <f t="shared" ca="1" si="9"/>
        <v>0</v>
      </c>
      <c r="S35" s="149">
        <f ca="1">IFERROR(__xludf.DUMMYFUNCTION("IMPORTRANGE(""https://docs.google.com/spreadsheets/d/1C3CXT74ZlgGe6_JY_1olB1XN4rF0dxEuIIF-xsYjHgg/edit?usp=sharing"",""พรบ!BG39"")"),0)</f>
        <v>0</v>
      </c>
      <c r="T35" s="77">
        <f ca="1">IFERROR(__xludf.DUMMYFUNCTION("IMPORTRANGE(""https://docs.google.com/spreadsheets/d/1XL5vhW3sbDhbH9Cz0tuDiY8C3ctxq1tqvaCgkFb8cCA/edit?usp=sharing"",""ขอนแก่น!j180"")"),0)</f>
        <v>0</v>
      </c>
      <c r="U35" s="137">
        <f t="shared" ca="1" si="11"/>
        <v>0</v>
      </c>
      <c r="V35" s="149">
        <f ca="1">IFERROR(__xludf.DUMMYFUNCTION("IMPORTRANGE(""https://docs.google.com/spreadsheets/d/1C3CXT74ZlgGe6_JY_1olB1XN4rF0dxEuIIF-xsYjHgg/edit?usp=sharing"",""พรบ!BH39"")"),0)</f>
        <v>0</v>
      </c>
      <c r="W35" s="77">
        <f ca="1">IFERROR(__xludf.DUMMYFUNCTION("IMPORTRANGE(""https://docs.google.com/spreadsheets/d/1XL5vhW3sbDhbH9Cz0tuDiY8C3ctxq1tqvaCgkFb8cCA/edit?usp=sharing"",""ขอนแก่น!j181"")"),0)</f>
        <v>0</v>
      </c>
      <c r="X35" s="137">
        <f t="shared" ca="1" si="13"/>
        <v>0</v>
      </c>
      <c r="Y35" s="149">
        <f ca="1">IFERROR(__xludf.DUMMYFUNCTION("IMPORTRANGE(""https://docs.google.com/spreadsheets/d/1C3CXT74ZlgGe6_JY_1olB1XN4rF0dxEuIIF-xsYjHgg/edit?usp=sharing"",""พรบ!BI39"")"),0)</f>
        <v>0</v>
      </c>
      <c r="Z35" s="77">
        <f ca="1">IFERROR(__xludf.DUMMYFUNCTION("IMPORTRANGE(""https://docs.google.com/spreadsheets/d/1XL5vhW3sbDhbH9Cz0tuDiY8C3ctxq1tqvaCgkFb8cCA/edit?usp=sharing"",""ขอนแก่น!j182"")"),0)</f>
        <v>0</v>
      </c>
      <c r="AA35" s="137">
        <f t="shared" ca="1" si="15"/>
        <v>0</v>
      </c>
      <c r="AB35" s="75">
        <f t="shared" ca="1" si="16"/>
        <v>55200</v>
      </c>
      <c r="AC35" s="76">
        <f t="shared" ca="1" si="56"/>
        <v>55200</v>
      </c>
      <c r="AD35" s="77">
        <f ca="1">IFERROR(__xludf.DUMMYFUNCTION("IMPORTRANGE(""https://docs.google.com/spreadsheets/d/1C3CXT74ZlgGe6_JY_1olB1XN4rF0dxEuIIF-xsYjHgg/edit?usp=sharing"",""พรบ!BK39"")"),0)</f>
        <v>0</v>
      </c>
      <c r="AE35" s="77">
        <f ca="1">IFERROR(__xludf.DUMMYFUNCTION("IMPORTRANGE(""https://docs.google.com/spreadsheets/d/1C3CXT74ZlgGe6_JY_1olB1XN4rF0dxEuIIF-xsYjHgg/edit?usp=sharing"",""พรบ!BL39"")"),55200)</f>
        <v>55200</v>
      </c>
      <c r="AF35" s="77">
        <f ca="1">IFERROR(__xludf.DUMMYFUNCTION("IMPORTRANGE(""https://docs.google.com/spreadsheets/d/1Yj_ptqi66GCucihVvJfMjLAmec39IyEx_6qawtMGysU/edit?usp=sharing"",""สบก!CI39"")"),0)</f>
        <v>0</v>
      </c>
      <c r="AG35" s="77">
        <f ca="1">IFERROR(__xludf.DUMMYFUNCTION("IMPORTRANGE(""https://docs.google.com/spreadsheets/d/1Yj_ptqi66GCucihVvJfMjLAmec39IyEx_6qawtMGysU/edit?usp=shCKing"",""สบก!CK39"")"),32250)</f>
        <v>32250</v>
      </c>
      <c r="AH35" s="77">
        <f t="shared" ca="1" si="19"/>
        <v>29120</v>
      </c>
      <c r="AI35" s="77">
        <f t="shared" ca="1" si="20"/>
        <v>52.753623188405797</v>
      </c>
      <c r="AJ35" s="77">
        <f ca="1">IFERROR(__xludf.DUMMYFUNCTION("IMPORTRANGE(""https://docs.google.com/spreadsheets/d/1Yj_ptqi66GCucihVvJfMjLAmec39IyEx_6qawtMGysU/edit?usp=sharing"",""สบก!CL39"")"),29120)</f>
        <v>29120</v>
      </c>
      <c r="AK35" s="137">
        <f t="shared" ca="1" si="21"/>
        <v>52.753623188405797</v>
      </c>
      <c r="AL35" s="137">
        <f t="shared" ca="1" si="22"/>
        <v>90.294573643410857</v>
      </c>
      <c r="AM35" s="137">
        <f ca="1">IFERROR(__xludf.DUMMYFUNCTION("IMPORTRANGE(""https://docs.google.com/spreadsheets/d/1Yj_ptqi66GCucihVvJfMjLAmec39IyEx_6qawtMGysU/edit?usp=sharing"",""สบก!CM39"")"),0)</f>
        <v>0</v>
      </c>
      <c r="AN35" s="137">
        <f t="shared" ca="1" si="23"/>
        <v>0</v>
      </c>
      <c r="AO35" s="77">
        <f ca="1">IFERROR(__xludf.DUMMYFUNCTION("IMPORTRANGE(""https://docs.google.com/spreadsheets/d/1C3CXT74ZlgGe6_JY_1olB1XN4rF0dxEuIIF-xsYjHgg/edit?usp=sharing"",""พรบ!BM39"")"),15)</f>
        <v>15</v>
      </c>
      <c r="AP35" s="77">
        <f ca="1">IFERROR(__xludf.DUMMYFUNCTION("IMPORTRANGE(""https://docs.google.com/spreadsheets/d/1XL5vhW3sbDhbH9Cz0tuDiY8C3ctxq1tqvaCgkFb8cCA/edit?usp=sharing"",""ขอนแก่น!j195"")"),15)</f>
        <v>15</v>
      </c>
      <c r="AQ35" s="137">
        <f t="shared" ca="1" si="25"/>
        <v>100</v>
      </c>
    </row>
    <row r="36" spans="1:43" ht="21" customHeight="1">
      <c r="A36" s="73">
        <v>3</v>
      </c>
      <c r="B36" s="184" t="s">
        <v>60</v>
      </c>
      <c r="C36" s="75">
        <f t="shared" ca="1" si="0"/>
        <v>0</v>
      </c>
      <c r="D36" s="76">
        <f t="shared" ca="1" si="55"/>
        <v>0</v>
      </c>
      <c r="E36" s="77">
        <f ca="1">IFERROR(__xludf.DUMMYFUNCTION("IMPORTRANGE(""https://docs.google.com/spreadsheets/d/1C3CXT74ZlgGe6_JY_1olB1XN4rF0dxEuIIF-xsYjHgg/edit?usp=sharing"",""พรบ!BD40"")"),0)</f>
        <v>0</v>
      </c>
      <c r="F36" s="77">
        <f ca="1">IFERROR(__xludf.DUMMYFUNCTION("IMPORTRANGE(""https://docs.google.com/spreadsheets/d/1C3CXT74ZlgGe6_JY_1olB1XN4rF0dxEuIIF-xsYjHgg/edit?usp=sharing"",""พรบ!BE40"")"),0)</f>
        <v>0</v>
      </c>
      <c r="G36" s="77">
        <f ca="1">IFERROR(__xludf.DUMMYFUNCTION("IMPORTRANGE(""https://docs.google.com/spreadsheets/d/1Yj_ptqi66GCucihVvJfMjLAmec39IyEx_6qawtMGysU/edit?usp=sharing"",""สบก!BZ40"")"),0)</f>
        <v>0</v>
      </c>
      <c r="H36" s="77">
        <f ca="1">IFERROR(__xludf.DUMMYFUNCTION("IMPORTRANGE(""https://docs.google.com/spreadsheets/d/1Yj_ptqi66GCucihVvJfMjLAmec39IyEx_6qawtMGysU/edit?usp=shCBing"",""สบก!CB40"")"),0)</f>
        <v>0</v>
      </c>
      <c r="I36" s="77">
        <f t="shared" ca="1" si="3"/>
        <v>0</v>
      </c>
      <c r="J36" s="77">
        <f t="shared" ca="1" si="4"/>
        <v>0</v>
      </c>
      <c r="K36" s="77">
        <f ca="1">IFERROR(__xludf.DUMMYFUNCTION("IMPORTRANGE(""https://docs.google.com/spreadsheets/d/1Yj_ptqi66GCucihVvJfMjLAmec39IyEx_6qawtMGysU/edit?usp=sharing"",""สบก!CC40"")"),0)</f>
        <v>0</v>
      </c>
      <c r="L36" s="137">
        <f t="shared" ca="1" si="5"/>
        <v>0</v>
      </c>
      <c r="M36" s="137">
        <f t="shared" ca="1" si="6"/>
        <v>0</v>
      </c>
      <c r="N36" s="137">
        <f ca="1">IFERROR(__xludf.DUMMYFUNCTION("IMPORTRANGE(""https://docs.google.com/spreadsheets/d/1Yj_ptqi66GCucihVvJfMjLAmec39IyEx_6qawtMGysU/edit?usp=sharing"",""สบก!CD40"")"),0)</f>
        <v>0</v>
      </c>
      <c r="O36" s="137">
        <f t="shared" ca="1" si="7"/>
        <v>0</v>
      </c>
      <c r="P36" s="77">
        <f ca="1">IFERROR(__xludf.DUMMYFUNCTION("IMPORTRANGE(""https://docs.google.com/spreadsheets/d/1C3CXT74ZlgGe6_JY_1olB1XN4rF0dxEuIIF-xsYjHgg/edit?usp=sharing"",""พรบ!BF40"")"),0)</f>
        <v>0</v>
      </c>
      <c r="Q36" s="77">
        <f ca="1">IFERROR(__xludf.DUMMYFUNCTION("IMPORTRANGE(""https://docs.google.com/spreadsheets/d/1XL5vhW3sbDhbH9Cz0tuDiY8C3ctxq1tqvaCgkFb8cCA/edit?usp=sharing"",""ชัยภูมิ!j179"")"),0)</f>
        <v>0</v>
      </c>
      <c r="R36" s="137">
        <f t="shared" ca="1" si="9"/>
        <v>0</v>
      </c>
      <c r="S36" s="77">
        <f ca="1">IFERROR(__xludf.DUMMYFUNCTION("IMPORTRANGE(""https://docs.google.com/spreadsheets/d/1C3CXT74ZlgGe6_JY_1olB1XN4rF0dxEuIIF-xsYjHgg/edit?usp=sharing"",""พรบ!BG40"")"),0)</f>
        <v>0</v>
      </c>
      <c r="T36" s="77">
        <f ca="1">IFERROR(__xludf.DUMMYFUNCTION("IMPORTRANGE(""https://docs.google.com/spreadsheets/d/1XL5vhW3sbDhbH9Cz0tuDiY8C3ctxq1tqvaCgkFb8cCA/edit?usp=sharing"",""ชัยภูมิ!j180"")"),0)</f>
        <v>0</v>
      </c>
      <c r="U36" s="137">
        <f t="shared" ca="1" si="11"/>
        <v>0</v>
      </c>
      <c r="V36" s="77">
        <f ca="1">IFERROR(__xludf.DUMMYFUNCTION("IMPORTRANGE(""https://docs.google.com/spreadsheets/d/1C3CXT74ZlgGe6_JY_1olB1XN4rF0dxEuIIF-xsYjHgg/edit?usp=sharing"",""พรบ!BH40"")"),0)</f>
        <v>0</v>
      </c>
      <c r="W36" s="77">
        <f ca="1">IFERROR(__xludf.DUMMYFUNCTION("IMPORTRANGE(""https://docs.google.com/spreadsheets/d/1XL5vhW3sbDhbH9Cz0tuDiY8C3ctxq1tqvaCgkFb8cCA/edit?usp=sharing"",""ชัยภูมิ!j181"")"),0)</f>
        <v>0</v>
      </c>
      <c r="X36" s="137">
        <f t="shared" ca="1" si="13"/>
        <v>0</v>
      </c>
      <c r="Y36" s="77">
        <f ca="1">IFERROR(__xludf.DUMMYFUNCTION("IMPORTRANGE(""https://docs.google.com/spreadsheets/d/1C3CXT74ZlgGe6_JY_1olB1XN4rF0dxEuIIF-xsYjHgg/edit?usp=sharing"",""พรบ!BI40"")"),0)</f>
        <v>0</v>
      </c>
      <c r="Z36" s="77">
        <f ca="1">IFERROR(__xludf.DUMMYFUNCTION("IMPORTRANGE(""https://docs.google.com/spreadsheets/d/1XL5vhW3sbDhbH9Cz0tuDiY8C3ctxq1tqvaCgkFb8cCA/edit?usp=sharing"",""ชัยภูมิ!j182"")"),0)</f>
        <v>0</v>
      </c>
      <c r="AA36" s="137">
        <f t="shared" ca="1" si="15"/>
        <v>0</v>
      </c>
      <c r="AB36" s="75">
        <f t="shared" ca="1" si="16"/>
        <v>319200</v>
      </c>
      <c r="AC36" s="76">
        <f t="shared" ca="1" si="56"/>
        <v>319200</v>
      </c>
      <c r="AD36" s="77">
        <f ca="1">IFERROR(__xludf.DUMMYFUNCTION("IMPORTRANGE(""https://docs.google.com/spreadsheets/d/1C3CXT74ZlgGe6_JY_1olB1XN4rF0dxEuIIF-xsYjHgg/edit?usp=sharing"",""พรบ!BK40"")"),264000)</f>
        <v>264000</v>
      </c>
      <c r="AE36" s="77">
        <f ca="1">IFERROR(__xludf.DUMMYFUNCTION("IMPORTRANGE(""https://docs.google.com/spreadsheets/d/1C3CXT74ZlgGe6_JY_1olB1XN4rF0dxEuIIF-xsYjHgg/edit?usp=sharing"",""พรบ!BL40"")"),55200)</f>
        <v>55200</v>
      </c>
      <c r="AF36" s="77">
        <f ca="1">IFERROR(__xludf.DUMMYFUNCTION("IMPORTRANGE(""https://docs.google.com/spreadsheets/d/1Yj_ptqi66GCucihVvJfMjLAmec39IyEx_6qawtMGysU/edit?usp=sharing"",""สบก!CI40"")"),0)</f>
        <v>0</v>
      </c>
      <c r="AG36" s="77">
        <f ca="1">IFERROR(__xludf.DUMMYFUNCTION("IMPORTRANGE(""https://docs.google.com/spreadsheets/d/1Yj_ptqi66GCucihVvJfMjLAmec39IyEx_6qawtMGysU/edit?usp=shCKing"",""สบก!CK40"")"),230250)</f>
        <v>230250</v>
      </c>
      <c r="AH36" s="77">
        <f t="shared" ca="1" si="19"/>
        <v>139650</v>
      </c>
      <c r="AI36" s="77">
        <f t="shared" ca="1" si="20"/>
        <v>43.75</v>
      </c>
      <c r="AJ36" s="77">
        <f ca="1">IFERROR(__xludf.DUMMYFUNCTION("IMPORTRANGE(""https://docs.google.com/spreadsheets/d/1Yj_ptqi66GCucihVvJfMjLAmec39IyEx_6qawtMGysU/edit?usp=sharing"",""สบก!CL40"")"),139650)</f>
        <v>139650</v>
      </c>
      <c r="AK36" s="137">
        <f t="shared" ca="1" si="21"/>
        <v>43.75</v>
      </c>
      <c r="AL36" s="137">
        <f t="shared" ca="1" si="22"/>
        <v>60.651465798045599</v>
      </c>
      <c r="AM36" s="137">
        <f ca="1">IFERROR(__xludf.DUMMYFUNCTION("IMPORTRANGE(""https://docs.google.com/spreadsheets/d/1Yj_ptqi66GCucihVvJfMjLAmec39IyEx_6qawtMGysU/edit?usp=sharing"",""สบก!CM40"")"),0)</f>
        <v>0</v>
      </c>
      <c r="AN36" s="137">
        <f t="shared" ca="1" si="23"/>
        <v>0</v>
      </c>
      <c r="AO36" s="77">
        <f ca="1">IFERROR(__xludf.DUMMYFUNCTION("IMPORTRANGE(""https://docs.google.com/spreadsheets/d/1C3CXT74ZlgGe6_JY_1olB1XN4rF0dxEuIIF-xsYjHgg/edit?usp=sharing"",""พรบ!BM40"")"),15)</f>
        <v>15</v>
      </c>
      <c r="AP36" s="77">
        <f ca="1">IFERROR(__xludf.DUMMYFUNCTION("IMPORTRANGE(""https://docs.google.com/spreadsheets/d/1XL5vhW3sbDhbH9Cz0tuDiY8C3ctxq1tqvaCgkFb8cCA/edit?usp=sharing"",""ชัยภูมิ!j195"")"),15)</f>
        <v>15</v>
      </c>
      <c r="AQ36" s="137">
        <f t="shared" ca="1" si="25"/>
        <v>100</v>
      </c>
    </row>
    <row r="37" spans="1:43" ht="21" customHeight="1">
      <c r="A37" s="73">
        <v>4</v>
      </c>
      <c r="B37" s="74" t="s">
        <v>61</v>
      </c>
      <c r="C37" s="75">
        <f t="shared" ca="1" si="0"/>
        <v>221000</v>
      </c>
      <c r="D37" s="76">
        <f t="shared" ca="1" si="55"/>
        <v>221000</v>
      </c>
      <c r="E37" s="77">
        <f ca="1">IFERROR(__xludf.DUMMYFUNCTION("IMPORTRANGE(""https://docs.google.com/spreadsheets/d/1C3CXT74ZlgGe6_JY_1olB1XN4rF0dxEuIIF-xsYjHgg/edit?usp=sharing"",""พรบ!BD41"")"),132000)</f>
        <v>132000</v>
      </c>
      <c r="F37" s="77">
        <f ca="1">IFERROR(__xludf.DUMMYFUNCTION("IMPORTRANGE(""https://docs.google.com/spreadsheets/d/1C3CXT74ZlgGe6_JY_1olB1XN4rF0dxEuIIF-xsYjHgg/edit?usp=sharing"",""พรบ!BE41"")"),89000)</f>
        <v>89000</v>
      </c>
      <c r="G37" s="77">
        <f ca="1">IFERROR(__xludf.DUMMYFUNCTION("IMPORTRANGE(""https://docs.google.com/spreadsheets/d/1Yj_ptqi66GCucihVvJfMjLAmec39IyEx_6qawtMGysU/edit?usp=sharing"",""สบก!BZ41"")"),0)</f>
        <v>0</v>
      </c>
      <c r="H37" s="77">
        <f ca="1">IFERROR(__xludf.DUMMYFUNCTION("IMPORTRANGE(""https://docs.google.com/spreadsheets/d/1Yj_ptqi66GCucihVvJfMjLAmec39IyEx_6qawtMGysU/edit?usp=shCBing"",""สบก!CB41"")"),146500)</f>
        <v>146500</v>
      </c>
      <c r="I37" s="77">
        <f t="shared" ca="1" si="3"/>
        <v>77830</v>
      </c>
      <c r="J37" s="77">
        <f t="shared" ca="1" si="4"/>
        <v>35.217194570135746</v>
      </c>
      <c r="K37" s="77">
        <f ca="1">IFERROR(__xludf.DUMMYFUNCTION("IMPORTRANGE(""https://docs.google.com/spreadsheets/d/1Yj_ptqi66GCucihVvJfMjLAmec39IyEx_6qawtMGysU/edit?usp=sharing"",""สบก!CC41"")"),77830)</f>
        <v>77830</v>
      </c>
      <c r="L37" s="137">
        <f t="shared" ca="1" si="5"/>
        <v>35.217194570135746</v>
      </c>
      <c r="M37" s="137">
        <f t="shared" ca="1" si="6"/>
        <v>53.12627986348123</v>
      </c>
      <c r="N37" s="137">
        <f ca="1">IFERROR(__xludf.DUMMYFUNCTION("IMPORTRANGE(""https://docs.google.com/spreadsheets/d/1Yj_ptqi66GCucihVvJfMjLAmec39IyEx_6qawtMGysU/edit?usp=sharing"",""สบก!CD41"")"),0)</f>
        <v>0</v>
      </c>
      <c r="O37" s="137">
        <f t="shared" ca="1" si="7"/>
        <v>0</v>
      </c>
      <c r="P37" s="77">
        <f ca="1">IFERROR(__xludf.DUMMYFUNCTION("IMPORTRANGE(""https://docs.google.com/spreadsheets/d/1C3CXT74ZlgGe6_JY_1olB1XN4rF0dxEuIIF-xsYjHgg/edit?usp=sharing"",""พรบ!BF41"")"),1)</f>
        <v>1</v>
      </c>
      <c r="Q37" s="77">
        <f ca="1">IFERROR(__xludf.DUMMYFUNCTION("IMPORTRANGE(""https://docs.google.com/spreadsheets/d/1XL5vhW3sbDhbH9Cz0tuDiY8C3ctxq1tqvaCgkFb8cCA/edit?usp=sharing"",""นครพนม!j179"")"),1)</f>
        <v>1</v>
      </c>
      <c r="R37" s="137">
        <f t="shared" ca="1" si="9"/>
        <v>100</v>
      </c>
      <c r="S37" s="77">
        <f ca="1">IFERROR(__xludf.DUMMYFUNCTION("IMPORTRANGE(""https://docs.google.com/spreadsheets/d/1C3CXT74ZlgGe6_JY_1olB1XN4rF0dxEuIIF-xsYjHgg/edit?usp=sharing"",""พรบ!BG41"")"),25)</f>
        <v>25</v>
      </c>
      <c r="T37" s="77">
        <f ca="1">IFERROR(__xludf.DUMMYFUNCTION("IMPORTRANGE(""https://docs.google.com/spreadsheets/d/1XL5vhW3sbDhbH9Cz0tuDiY8C3ctxq1tqvaCgkFb8cCA/edit?usp=sharing"",""นครพนม!j180"")"),25)</f>
        <v>25</v>
      </c>
      <c r="U37" s="137">
        <f t="shared" ca="1" si="11"/>
        <v>100</v>
      </c>
      <c r="V37" s="77">
        <f ca="1">IFERROR(__xludf.DUMMYFUNCTION("IMPORTRANGE(""https://docs.google.com/spreadsheets/d/1C3CXT74ZlgGe6_JY_1olB1XN4rF0dxEuIIF-xsYjHgg/edit?usp=sharing"",""พรบ!BH41"")"),25)</f>
        <v>25</v>
      </c>
      <c r="W37" s="77">
        <f ca="1">IFERROR(__xludf.DUMMYFUNCTION("IMPORTRANGE(""https://docs.google.com/spreadsheets/d/1XL5vhW3sbDhbH9Cz0tuDiY8C3ctxq1tqvaCgkFb8cCA/edit?usp=sharing"",""นครพนม!j181"")"),0)</f>
        <v>0</v>
      </c>
      <c r="X37" s="137">
        <f t="shared" ca="1" si="13"/>
        <v>0</v>
      </c>
      <c r="Y37" s="77">
        <f ca="1">IFERROR(__xludf.DUMMYFUNCTION("IMPORTRANGE(""https://docs.google.com/spreadsheets/d/1C3CXT74ZlgGe6_JY_1olB1XN4rF0dxEuIIF-xsYjHgg/edit?usp=sharing"",""พรบ!BI41"")"),1)</f>
        <v>1</v>
      </c>
      <c r="Z37" s="77">
        <f ca="1">IFERROR(__xludf.DUMMYFUNCTION("IMPORTRANGE(""https://docs.google.com/spreadsheets/d/1XL5vhW3sbDhbH9Cz0tuDiY8C3ctxq1tqvaCgkFb8cCA/edit?usp=sharing"",""นครพนม!j182"")"),1)</f>
        <v>1</v>
      </c>
      <c r="AA37" s="137">
        <f t="shared" ca="1" si="15"/>
        <v>100</v>
      </c>
      <c r="AB37" s="75">
        <f t="shared" ca="1" si="16"/>
        <v>0</v>
      </c>
      <c r="AC37" s="76">
        <f t="shared" ca="1" si="56"/>
        <v>0</v>
      </c>
      <c r="AD37" s="77">
        <f ca="1">IFERROR(__xludf.DUMMYFUNCTION("IMPORTRANGE(""https://docs.google.com/spreadsheets/d/1C3CXT74ZlgGe6_JY_1olB1XN4rF0dxEuIIF-xsYjHgg/edit?usp=sharing"",""พรบ!BK41"")"),0)</f>
        <v>0</v>
      </c>
      <c r="AE37" s="77">
        <f ca="1">IFERROR(__xludf.DUMMYFUNCTION("IMPORTRANGE(""https://docs.google.com/spreadsheets/d/1C3CXT74ZlgGe6_JY_1olB1XN4rF0dxEuIIF-xsYjHgg/edit?usp=sharing"",""พรบ!BL41"")"),0)</f>
        <v>0</v>
      </c>
      <c r="AF37" s="77">
        <f ca="1">IFERROR(__xludf.DUMMYFUNCTION("IMPORTRANGE(""https://docs.google.com/spreadsheets/d/1Yj_ptqi66GCucihVvJfMjLAmec39IyEx_6qawtMGysU/edit?usp=sharing"",""สบก!CI41"")"),0)</f>
        <v>0</v>
      </c>
      <c r="AG37" s="77">
        <f ca="1">IFERROR(__xludf.DUMMYFUNCTION("IMPORTRANGE(""https://docs.google.com/spreadsheets/d/1Yj_ptqi66GCucihVvJfMjLAmec39IyEx_6qawtMGysU/edit?usp=shCKing"",""สบก!CK41"")"),0)</f>
        <v>0</v>
      </c>
      <c r="AH37" s="77">
        <f t="shared" ca="1" si="19"/>
        <v>0</v>
      </c>
      <c r="AI37" s="77">
        <f t="shared" ca="1" si="20"/>
        <v>0</v>
      </c>
      <c r="AJ37" s="77">
        <f ca="1">IFERROR(__xludf.DUMMYFUNCTION("IMPORTRANGE(""https://docs.google.com/spreadsheets/d/1Yj_ptqi66GCucihVvJfMjLAmec39IyEx_6qawtMGysU/edit?usp=sharing"",""สบก!CL41"")"),0)</f>
        <v>0</v>
      </c>
      <c r="AK37" s="137">
        <f t="shared" ca="1" si="21"/>
        <v>0</v>
      </c>
      <c r="AL37" s="137">
        <f t="shared" ca="1" si="22"/>
        <v>0</v>
      </c>
      <c r="AM37" s="137">
        <f ca="1">IFERROR(__xludf.DUMMYFUNCTION("IMPORTRANGE(""https://docs.google.com/spreadsheets/d/1Yj_ptqi66GCucihVvJfMjLAmec39IyEx_6qawtMGysU/edit?usp=sharing"",""สบก!CM41"")"),0)</f>
        <v>0</v>
      </c>
      <c r="AN37" s="137">
        <f t="shared" ca="1" si="23"/>
        <v>0</v>
      </c>
      <c r="AO37" s="77">
        <f ca="1">IFERROR(__xludf.DUMMYFUNCTION("IMPORTRANGE(""https://docs.google.com/spreadsheets/d/1C3CXT74ZlgGe6_JY_1olB1XN4rF0dxEuIIF-xsYjHgg/edit?usp=sharing"",""พรบ!BM41"")"),0)</f>
        <v>0</v>
      </c>
      <c r="AP37" s="77">
        <f ca="1">IFERROR(__xludf.DUMMYFUNCTION("IMPORTRANGE(""https://docs.google.com/spreadsheets/d/1XL5vhW3sbDhbH9Cz0tuDiY8C3ctxq1tqvaCgkFb8cCA/edit?usp=sharing"",""นครพนม!j195"")"),0)</f>
        <v>0</v>
      </c>
      <c r="AQ37" s="137">
        <f t="shared" ca="1" si="25"/>
        <v>0</v>
      </c>
    </row>
    <row r="38" spans="1:43" ht="21" customHeight="1">
      <c r="A38" s="73">
        <v>5</v>
      </c>
      <c r="B38" s="184" t="s">
        <v>62</v>
      </c>
      <c r="C38" s="75">
        <f t="shared" ca="1" si="0"/>
        <v>292100</v>
      </c>
      <c r="D38" s="76">
        <f t="shared" ca="1" si="55"/>
        <v>292100</v>
      </c>
      <c r="E38" s="77">
        <f ca="1">IFERROR(__xludf.DUMMYFUNCTION("IMPORTRANGE(""https://docs.google.com/spreadsheets/d/1C3CXT74ZlgGe6_JY_1olB1XN4rF0dxEuIIF-xsYjHgg/edit?usp=sharing"",""พรบ!BD42"")"),0)</f>
        <v>0</v>
      </c>
      <c r="F38" s="77">
        <f ca="1">IFERROR(__xludf.DUMMYFUNCTION("IMPORTRANGE(""https://docs.google.com/spreadsheets/d/1C3CXT74ZlgGe6_JY_1olB1XN4rF0dxEuIIF-xsYjHgg/edit?usp=sharing"",""พรบ!BE42"")"),292100)</f>
        <v>292100</v>
      </c>
      <c r="G38" s="77">
        <f ca="1">IFERROR(__xludf.DUMMYFUNCTION("IMPORTRANGE(""https://docs.google.com/spreadsheets/d/1Yj_ptqi66GCucihVvJfMjLAmec39IyEx_6qawtMGysU/edit?usp=sharing"",""สบก!BZ42"")"),0)</f>
        <v>0</v>
      </c>
      <c r="H38" s="77">
        <f ca="1">IFERROR(__xludf.DUMMYFUNCTION("IMPORTRANGE(""https://docs.google.com/spreadsheets/d/1Yj_ptqi66GCucihVvJfMjLAmec39IyEx_6qawtMGysU/edit?usp=shCBing"",""สบก!CB42"")"),270100)</f>
        <v>270100</v>
      </c>
      <c r="I38" s="77">
        <f t="shared" ca="1" si="3"/>
        <v>97156.42</v>
      </c>
      <c r="J38" s="77">
        <f t="shared" ca="1" si="4"/>
        <v>33.261355700102705</v>
      </c>
      <c r="K38" s="77">
        <f ca="1">IFERROR(__xludf.DUMMYFUNCTION("IMPORTRANGE(""https://docs.google.com/spreadsheets/d/1Yj_ptqi66GCucihVvJfMjLAmec39IyEx_6qawtMGysU/edit?usp=sharing"",""สบก!CC42"")"),97156.42)</f>
        <v>97156.42</v>
      </c>
      <c r="L38" s="137">
        <f t="shared" ca="1" si="5"/>
        <v>33.261355700102705</v>
      </c>
      <c r="M38" s="137">
        <f t="shared" ca="1" si="6"/>
        <v>35.970536838208069</v>
      </c>
      <c r="N38" s="137">
        <f ca="1">IFERROR(__xludf.DUMMYFUNCTION("IMPORTRANGE(""https://docs.google.com/spreadsheets/d/1Yj_ptqi66GCucihVvJfMjLAmec39IyEx_6qawtMGysU/edit?usp=sharing"",""สบก!CD42"")"),0)</f>
        <v>0</v>
      </c>
      <c r="O38" s="137">
        <f t="shared" ca="1" si="7"/>
        <v>0</v>
      </c>
      <c r="P38" s="77">
        <f ca="1">IFERROR(__xludf.DUMMYFUNCTION("IMPORTRANGE(""https://docs.google.com/spreadsheets/d/1C3CXT74ZlgGe6_JY_1olB1XN4rF0dxEuIIF-xsYjHgg/edit?usp=sharing"",""พรบ!BF42"")"),1)</f>
        <v>1</v>
      </c>
      <c r="Q38" s="77">
        <f ca="1">IFERROR(__xludf.DUMMYFUNCTION("IMPORTRANGE(""https://docs.google.com/spreadsheets/d/1XL5vhW3sbDhbH9Cz0tuDiY8C3ctxq1tqvaCgkFb8cCA/edit?usp=sharing"",""นครราชสีมา!j179"")"),0)</f>
        <v>0</v>
      </c>
      <c r="R38" s="137">
        <f t="shared" ca="1" si="9"/>
        <v>0</v>
      </c>
      <c r="S38" s="77">
        <f ca="1">IFERROR(__xludf.DUMMYFUNCTION("IMPORTRANGE(""https://docs.google.com/spreadsheets/d/1C3CXT74ZlgGe6_JY_1olB1XN4rF0dxEuIIF-xsYjHgg/edit?usp=sharing"",""พรบ!BG42"")"),50)</f>
        <v>50</v>
      </c>
      <c r="T38" s="77">
        <f ca="1">IFERROR(__xludf.DUMMYFUNCTION("IMPORTRANGE(""https://docs.google.com/spreadsheets/d/1XL5vhW3sbDhbH9Cz0tuDiY8C3ctxq1tqvaCgkFb8cCA/edit?usp=sharing"",""นครราชสีมา!j180"")"),50)</f>
        <v>50</v>
      </c>
      <c r="U38" s="137">
        <f t="shared" ca="1" si="11"/>
        <v>100</v>
      </c>
      <c r="V38" s="77">
        <f ca="1">IFERROR(__xludf.DUMMYFUNCTION("IMPORTRANGE(""https://docs.google.com/spreadsheets/d/1C3CXT74ZlgGe6_JY_1olB1XN4rF0dxEuIIF-xsYjHgg/edit?usp=sharing"",""พรบ!BH42"")"),50)</f>
        <v>50</v>
      </c>
      <c r="W38" s="77">
        <f ca="1">IFERROR(__xludf.DUMMYFUNCTION("IMPORTRANGE(""https://docs.google.com/spreadsheets/d/1XL5vhW3sbDhbH9Cz0tuDiY8C3ctxq1tqvaCgkFb8cCA/edit?usp=sharing"",""นครราชสีมา!j181"")"),0)</f>
        <v>0</v>
      </c>
      <c r="X38" s="137">
        <f t="shared" ca="1" si="13"/>
        <v>0</v>
      </c>
      <c r="Y38" s="77">
        <f ca="1">IFERROR(__xludf.DUMMYFUNCTION("IMPORTRANGE(""https://docs.google.com/spreadsheets/d/1C3CXT74ZlgGe6_JY_1olB1XN4rF0dxEuIIF-xsYjHgg/edit?usp=sharing"",""พรบ!BI42"")"),1)</f>
        <v>1</v>
      </c>
      <c r="Z38" s="77">
        <f ca="1">IFERROR(__xludf.DUMMYFUNCTION("IMPORTRANGE(""https://docs.google.com/spreadsheets/d/1XL5vhW3sbDhbH9Cz0tuDiY8C3ctxq1tqvaCgkFb8cCA/edit?usp=sharing"",""นครราชสีมา!j182"")"),1)</f>
        <v>1</v>
      </c>
      <c r="AA38" s="137">
        <f t="shared" ca="1" si="15"/>
        <v>100</v>
      </c>
      <c r="AB38" s="75">
        <f t="shared" ca="1" si="16"/>
        <v>73600</v>
      </c>
      <c r="AC38" s="76">
        <f t="shared" ca="1" si="56"/>
        <v>73600</v>
      </c>
      <c r="AD38" s="77">
        <f ca="1">IFERROR(__xludf.DUMMYFUNCTION("IMPORTRANGE(""https://docs.google.com/spreadsheets/d/1C3CXT74ZlgGe6_JY_1olB1XN4rF0dxEuIIF-xsYjHgg/edit?usp=sharing"",""พรบ!BK42"")"),0)</f>
        <v>0</v>
      </c>
      <c r="AE38" s="77">
        <f ca="1">IFERROR(__xludf.DUMMYFUNCTION("IMPORTRANGE(""https://docs.google.com/spreadsheets/d/1C3CXT74ZlgGe6_JY_1olB1XN4rF0dxEuIIF-xsYjHgg/edit?usp=sharing"",""พรบ!BL42"")"),73600)</f>
        <v>73600</v>
      </c>
      <c r="AF38" s="77">
        <f ca="1">IFERROR(__xludf.DUMMYFUNCTION("IMPORTRANGE(""https://docs.google.com/spreadsheets/d/1Yj_ptqi66GCucihVvJfMjLAmec39IyEx_6qawtMGysU/edit?usp=sharing"",""สบก!CI42"")"),0)</f>
        <v>0</v>
      </c>
      <c r="AG38" s="77">
        <f ca="1">IFERROR(__xludf.DUMMYFUNCTION("IMPORTRANGE(""https://docs.google.com/spreadsheets/d/1Yj_ptqi66GCucihVvJfMjLAmec39IyEx_6qawtMGysU/edit?usp=shCKing"",""สบก!CK42"")"),33000)</f>
        <v>33000</v>
      </c>
      <c r="AH38" s="77">
        <f t="shared" ca="1" si="19"/>
        <v>23810</v>
      </c>
      <c r="AI38" s="77">
        <f t="shared" ca="1" si="20"/>
        <v>32.350543478260867</v>
      </c>
      <c r="AJ38" s="77">
        <f ca="1">IFERROR(__xludf.DUMMYFUNCTION("IMPORTRANGE(""https://docs.google.com/spreadsheets/d/1Yj_ptqi66GCucihVvJfMjLAmec39IyEx_6qawtMGysU/edit?usp=sharing"",""สบก!CL42"")"),23810)</f>
        <v>23810</v>
      </c>
      <c r="AK38" s="137">
        <f t="shared" ca="1" si="21"/>
        <v>32.350543478260867</v>
      </c>
      <c r="AL38" s="137">
        <f t="shared" ca="1" si="22"/>
        <v>72.151515151515156</v>
      </c>
      <c r="AM38" s="137">
        <f ca="1">IFERROR(__xludf.DUMMYFUNCTION("IMPORTRANGE(""https://docs.google.com/spreadsheets/d/1Yj_ptqi66GCucihVvJfMjLAmec39IyEx_6qawtMGysU/edit?usp=sharing"",""สบก!CM42"")"),0)</f>
        <v>0</v>
      </c>
      <c r="AN38" s="137">
        <f t="shared" ca="1" si="23"/>
        <v>0</v>
      </c>
      <c r="AO38" s="77">
        <f ca="1">IFERROR(__xludf.DUMMYFUNCTION("IMPORTRANGE(""https://docs.google.com/spreadsheets/d/1C3CXT74ZlgGe6_JY_1olB1XN4rF0dxEuIIF-xsYjHgg/edit?usp=sharing"",""พรบ!BM42"")"),20)</f>
        <v>20</v>
      </c>
      <c r="AP38" s="77">
        <f ca="1">IFERROR(__xludf.DUMMYFUNCTION("IMPORTRANGE(""https://docs.google.com/spreadsheets/d/1XL5vhW3sbDhbH9Cz0tuDiY8C3ctxq1tqvaCgkFb8cCA/edit?usp=sharing"",""นครราชสีมา!j195"")"),20)</f>
        <v>20</v>
      </c>
      <c r="AQ38" s="137">
        <f t="shared" ca="1" si="25"/>
        <v>100</v>
      </c>
    </row>
    <row r="39" spans="1:43" ht="21" customHeight="1">
      <c r="A39" s="73">
        <v>6</v>
      </c>
      <c r="B39" s="74" t="s">
        <v>63</v>
      </c>
      <c r="C39" s="75">
        <f t="shared" ca="1" si="0"/>
        <v>0</v>
      </c>
      <c r="D39" s="76">
        <f t="shared" ca="1" si="55"/>
        <v>0</v>
      </c>
      <c r="E39" s="77">
        <f ca="1">IFERROR(__xludf.DUMMYFUNCTION("IMPORTRANGE(""https://docs.google.com/spreadsheets/d/1C3CXT74ZlgGe6_JY_1olB1XN4rF0dxEuIIF-xsYjHgg/edit?usp=sharing"",""พรบ!BD43"")"),0)</f>
        <v>0</v>
      </c>
      <c r="F39" s="149">
        <f ca="1">IFERROR(__xludf.DUMMYFUNCTION("IMPORTRANGE(""https://docs.google.com/spreadsheets/d/1C3CXT74ZlgGe6_JY_1olB1XN4rF0dxEuIIF-xsYjHgg/edit?usp=sharing"",""พรบ!BE43"")"),0)</f>
        <v>0</v>
      </c>
      <c r="G39" s="149">
        <f ca="1">IFERROR(__xludf.DUMMYFUNCTION("IMPORTRANGE(""https://docs.google.com/spreadsheets/d/1Yj_ptqi66GCucihVvJfMjLAmec39IyEx_6qawtMGysU/edit?usp=sharing"",""สบก!BZ43"")"),0)</f>
        <v>0</v>
      </c>
      <c r="H39" s="149">
        <f ca="1">IFERROR(__xludf.DUMMYFUNCTION("IMPORTRANGE(""https://docs.google.com/spreadsheets/d/1Yj_ptqi66GCucihVvJfMjLAmec39IyEx_6qawtMGysU/edit?usp=shCBing"",""สบก!CB43"")"),0)</f>
        <v>0</v>
      </c>
      <c r="I39" s="149">
        <f t="shared" ca="1" si="3"/>
        <v>0</v>
      </c>
      <c r="J39" s="149">
        <f t="shared" ca="1" si="4"/>
        <v>0</v>
      </c>
      <c r="K39" s="77">
        <f ca="1">IFERROR(__xludf.DUMMYFUNCTION("IMPORTRANGE(""https://docs.google.com/spreadsheets/d/1Yj_ptqi66GCucihVvJfMjLAmec39IyEx_6qawtMGysU/edit?usp=sharing"",""สบก!CC43"")"),0)</f>
        <v>0</v>
      </c>
      <c r="L39" s="137">
        <f t="shared" ca="1" si="5"/>
        <v>0</v>
      </c>
      <c r="M39" s="137">
        <f t="shared" ca="1" si="6"/>
        <v>0</v>
      </c>
      <c r="N39" s="137">
        <f ca="1">IFERROR(__xludf.DUMMYFUNCTION("IMPORTRANGE(""https://docs.google.com/spreadsheets/d/1Yj_ptqi66GCucihVvJfMjLAmec39IyEx_6qawtMGysU/edit?usp=sharing"",""สบก!CD43"")"),0)</f>
        <v>0</v>
      </c>
      <c r="O39" s="137">
        <f t="shared" ca="1" si="7"/>
        <v>0</v>
      </c>
      <c r="P39" s="149">
        <f ca="1">IFERROR(__xludf.DUMMYFUNCTION("IMPORTRANGE(""https://docs.google.com/spreadsheets/d/1C3CXT74ZlgGe6_JY_1olB1XN4rF0dxEuIIF-xsYjHgg/edit?usp=sharing"",""พรบ!BF43"")"),0)</f>
        <v>0</v>
      </c>
      <c r="Q39" s="77">
        <f ca="1">IFERROR(__xludf.DUMMYFUNCTION("IMPORTRANGE(""https://docs.google.com/spreadsheets/d/1XL5vhW3sbDhbH9Cz0tuDiY8C3ctxq1tqvaCgkFb8cCA/edit?usp=sharing"",""บึงกาฬ!j179"")"),0)</f>
        <v>0</v>
      </c>
      <c r="R39" s="137">
        <f t="shared" ca="1" si="9"/>
        <v>0</v>
      </c>
      <c r="S39" s="149">
        <f ca="1">IFERROR(__xludf.DUMMYFUNCTION("IMPORTRANGE(""https://docs.google.com/spreadsheets/d/1C3CXT74ZlgGe6_JY_1olB1XN4rF0dxEuIIF-xsYjHgg/edit?usp=sharing"",""พรบ!BG43"")"),0)</f>
        <v>0</v>
      </c>
      <c r="T39" s="77">
        <f ca="1">IFERROR(__xludf.DUMMYFUNCTION("IMPORTRANGE(""https://docs.google.com/spreadsheets/d/1XL5vhW3sbDhbH9Cz0tuDiY8C3ctxq1tqvaCgkFb8cCA/edit?usp=sharing"",""บึงกาฬ!j180"")"),0)</f>
        <v>0</v>
      </c>
      <c r="U39" s="137">
        <f t="shared" ca="1" si="11"/>
        <v>0</v>
      </c>
      <c r="V39" s="149">
        <f ca="1">IFERROR(__xludf.DUMMYFUNCTION("IMPORTRANGE(""https://docs.google.com/spreadsheets/d/1C3CXT74ZlgGe6_JY_1olB1XN4rF0dxEuIIF-xsYjHgg/edit?usp=sharing"",""พรบ!BH43"")"),0)</f>
        <v>0</v>
      </c>
      <c r="W39" s="77">
        <f ca="1">IFERROR(__xludf.DUMMYFUNCTION("IMPORTRANGE(""https://docs.google.com/spreadsheets/d/1XL5vhW3sbDhbH9Cz0tuDiY8C3ctxq1tqvaCgkFb8cCA/edit?usp=sharing"",""บึงกาฬ!j181"")"),0)</f>
        <v>0</v>
      </c>
      <c r="X39" s="137">
        <f t="shared" ca="1" si="13"/>
        <v>0</v>
      </c>
      <c r="Y39" s="149">
        <f ca="1">IFERROR(__xludf.DUMMYFUNCTION("IMPORTRANGE(""https://docs.google.com/spreadsheets/d/1C3CXT74ZlgGe6_JY_1olB1XN4rF0dxEuIIF-xsYjHgg/edit?usp=sharing"",""พรบ!BI43"")"),0)</f>
        <v>0</v>
      </c>
      <c r="Z39" s="77">
        <f ca="1">IFERROR(__xludf.DUMMYFUNCTION("IMPORTRANGE(""https://docs.google.com/spreadsheets/d/1XL5vhW3sbDhbH9Cz0tuDiY8C3ctxq1tqvaCgkFb8cCA/edit?usp=sharing"",""บึงกาฬ!j182"")"),0)</f>
        <v>0</v>
      </c>
      <c r="AA39" s="137">
        <f t="shared" ca="1" si="15"/>
        <v>0</v>
      </c>
      <c r="AB39" s="75">
        <f t="shared" ca="1" si="16"/>
        <v>0</v>
      </c>
      <c r="AC39" s="76">
        <f t="shared" ca="1" si="56"/>
        <v>0</v>
      </c>
      <c r="AD39" s="77">
        <f ca="1">IFERROR(__xludf.DUMMYFUNCTION("IMPORTRANGE(""https://docs.google.com/spreadsheets/d/1C3CXT74ZlgGe6_JY_1olB1XN4rF0dxEuIIF-xsYjHgg/edit?usp=sharing"",""พรบ!BK43"")"),0)</f>
        <v>0</v>
      </c>
      <c r="AE39" s="77">
        <f ca="1">IFERROR(__xludf.DUMMYFUNCTION("IMPORTRANGE(""https://docs.google.com/spreadsheets/d/1C3CXT74ZlgGe6_JY_1olB1XN4rF0dxEuIIF-xsYjHgg/edit?usp=sharing"",""พรบ!BL43"")"),0)</f>
        <v>0</v>
      </c>
      <c r="AF39" s="77">
        <f ca="1">IFERROR(__xludf.DUMMYFUNCTION("IMPORTRANGE(""https://docs.google.com/spreadsheets/d/1Yj_ptqi66GCucihVvJfMjLAmec39IyEx_6qawtMGysU/edit?usp=sharing"",""สบก!CI43"")"),0)</f>
        <v>0</v>
      </c>
      <c r="AG39" s="77">
        <f ca="1">IFERROR(__xludf.DUMMYFUNCTION("IMPORTRANGE(""https://docs.google.com/spreadsheets/d/1Yj_ptqi66GCucihVvJfMjLAmec39IyEx_6qawtMGysU/edit?usp=shCKing"",""สบก!CK43"")"),0)</f>
        <v>0</v>
      </c>
      <c r="AH39" s="77">
        <f t="shared" ca="1" si="19"/>
        <v>0</v>
      </c>
      <c r="AI39" s="77">
        <f t="shared" ca="1" si="20"/>
        <v>0</v>
      </c>
      <c r="AJ39" s="77">
        <f ca="1">IFERROR(__xludf.DUMMYFUNCTION("IMPORTRANGE(""https://docs.google.com/spreadsheets/d/1Yj_ptqi66GCucihVvJfMjLAmec39IyEx_6qawtMGysU/edit?usp=sharing"",""สบก!CL43"")"),0)</f>
        <v>0</v>
      </c>
      <c r="AK39" s="137">
        <f t="shared" ca="1" si="21"/>
        <v>0</v>
      </c>
      <c r="AL39" s="137">
        <f t="shared" ca="1" si="22"/>
        <v>0</v>
      </c>
      <c r="AM39" s="137">
        <f ca="1">IFERROR(__xludf.DUMMYFUNCTION("IMPORTRANGE(""https://docs.google.com/spreadsheets/d/1Yj_ptqi66GCucihVvJfMjLAmec39IyEx_6qawtMGysU/edit?usp=sharing"",""สบก!CM43"")"),0)</f>
        <v>0</v>
      </c>
      <c r="AN39" s="137">
        <f t="shared" ca="1" si="23"/>
        <v>0</v>
      </c>
      <c r="AO39" s="77">
        <f ca="1">IFERROR(__xludf.DUMMYFUNCTION("IMPORTRANGE(""https://docs.google.com/spreadsheets/d/1C3CXT74ZlgGe6_JY_1olB1XN4rF0dxEuIIF-xsYjHgg/edit?usp=sharing"",""พรบ!BM43"")"),0)</f>
        <v>0</v>
      </c>
      <c r="AP39" s="77">
        <f ca="1">IFERROR(__xludf.DUMMYFUNCTION("IMPORTRANGE(""https://docs.google.com/spreadsheets/d/1XL5vhW3sbDhbH9Cz0tuDiY8C3ctxq1tqvaCgkFb8cCA/edit?usp=sharing"",""บึงกาฬ!j195"")"),0)</f>
        <v>0</v>
      </c>
      <c r="AQ39" s="137">
        <f t="shared" ca="1" si="25"/>
        <v>0</v>
      </c>
    </row>
    <row r="40" spans="1:43" ht="21" customHeight="1">
      <c r="A40" s="73">
        <v>7</v>
      </c>
      <c r="B40" s="74" t="s">
        <v>64</v>
      </c>
      <c r="C40" s="75">
        <f t="shared" ca="1" si="0"/>
        <v>89000</v>
      </c>
      <c r="D40" s="76">
        <f t="shared" ca="1" si="55"/>
        <v>89000</v>
      </c>
      <c r="E40" s="77">
        <f ca="1">IFERROR(__xludf.DUMMYFUNCTION("IMPORTRANGE(""https://docs.google.com/spreadsheets/d/1C3CXT74ZlgGe6_JY_1olB1XN4rF0dxEuIIF-xsYjHgg/edit?usp=sharing"",""พรบ!BD44"")"),0)</f>
        <v>0</v>
      </c>
      <c r="F40" s="149">
        <f ca="1">IFERROR(__xludf.DUMMYFUNCTION("IMPORTRANGE(""https://docs.google.com/spreadsheets/d/1C3CXT74ZlgGe6_JY_1olB1XN4rF0dxEuIIF-xsYjHgg/edit?usp=sharing"",""พรบ!BE44"")"),89000)</f>
        <v>89000</v>
      </c>
      <c r="G40" s="149">
        <f ca="1">IFERROR(__xludf.DUMMYFUNCTION("IMPORTRANGE(""https://docs.google.com/spreadsheets/d/1Yj_ptqi66GCucihVvJfMjLAmec39IyEx_6qawtMGysU/edit?usp=sharing"",""สบก!BZ44"")"),0)</f>
        <v>0</v>
      </c>
      <c r="H40" s="149">
        <f ca="1">IFERROR(__xludf.DUMMYFUNCTION("IMPORTRANGE(""https://docs.google.com/spreadsheets/d/1Yj_ptqi66GCucihVvJfMjLAmec39IyEx_6qawtMGysU/edit?usp=shCBing"",""สบก!CB44"")"),47500)</f>
        <v>47500</v>
      </c>
      <c r="I40" s="149">
        <f t="shared" ca="1" si="3"/>
        <v>47220</v>
      </c>
      <c r="J40" s="149">
        <f t="shared" ca="1" si="4"/>
        <v>53.056179775280896</v>
      </c>
      <c r="K40" s="77">
        <f ca="1">IFERROR(__xludf.DUMMYFUNCTION("IMPORTRANGE(""https://docs.google.com/spreadsheets/d/1Yj_ptqi66GCucihVvJfMjLAmec39IyEx_6qawtMGysU/edit?usp=sharing"",""สบก!CC44"")"),47220)</f>
        <v>47220</v>
      </c>
      <c r="L40" s="137">
        <f t="shared" ca="1" si="5"/>
        <v>53.056179775280896</v>
      </c>
      <c r="M40" s="137">
        <f t="shared" ca="1" si="6"/>
        <v>99.410526315789468</v>
      </c>
      <c r="N40" s="137">
        <f ca="1">IFERROR(__xludf.DUMMYFUNCTION("IMPORTRANGE(""https://docs.google.com/spreadsheets/d/1Yj_ptqi66GCucihVvJfMjLAmec39IyEx_6qawtMGysU/edit?usp=sharing"",""สบก!CD44"")"),0)</f>
        <v>0</v>
      </c>
      <c r="O40" s="137">
        <f t="shared" ca="1" si="7"/>
        <v>0</v>
      </c>
      <c r="P40" s="149">
        <f ca="1">IFERROR(__xludf.DUMMYFUNCTION("IMPORTRANGE(""https://docs.google.com/spreadsheets/d/1C3CXT74ZlgGe6_JY_1olB1XN4rF0dxEuIIF-xsYjHgg/edit?usp=sharing"",""พรบ!BF44"")"),1)</f>
        <v>1</v>
      </c>
      <c r="Q40" s="77">
        <f ca="1">IFERROR(__xludf.DUMMYFUNCTION("IMPORTRANGE(""https://docs.google.com/spreadsheets/d/1XL5vhW3sbDhbH9Cz0tuDiY8C3ctxq1tqvaCgkFb8cCA/edit?usp=sharing"",""บุรีรัมย์!j179"")"),1)</f>
        <v>1</v>
      </c>
      <c r="R40" s="137">
        <f t="shared" ca="1" si="9"/>
        <v>100</v>
      </c>
      <c r="S40" s="149">
        <f ca="1">IFERROR(__xludf.DUMMYFUNCTION("IMPORTRANGE(""https://docs.google.com/spreadsheets/d/1C3CXT74ZlgGe6_JY_1olB1XN4rF0dxEuIIF-xsYjHgg/edit?usp=sharing"",""พรบ!BG44"")"),25)</f>
        <v>25</v>
      </c>
      <c r="T40" s="77">
        <f ca="1">IFERROR(__xludf.DUMMYFUNCTION("IMPORTRANGE(""https://docs.google.com/spreadsheets/d/1XL5vhW3sbDhbH9Cz0tuDiY8C3ctxq1tqvaCgkFb8cCA/edit?usp=sharing"",""บุรีรัมย์!j180"")"),25)</f>
        <v>25</v>
      </c>
      <c r="U40" s="137">
        <f t="shared" ca="1" si="11"/>
        <v>100</v>
      </c>
      <c r="V40" s="149">
        <f ca="1">IFERROR(__xludf.DUMMYFUNCTION("IMPORTRANGE(""https://docs.google.com/spreadsheets/d/1C3CXT74ZlgGe6_JY_1olB1XN4rF0dxEuIIF-xsYjHgg/edit?usp=sharing"",""พรบ!BH44"")"),25)</f>
        <v>25</v>
      </c>
      <c r="W40" s="77">
        <f ca="1">IFERROR(__xludf.DUMMYFUNCTION("IMPORTRANGE(""https://docs.google.com/spreadsheets/d/1XL5vhW3sbDhbH9Cz0tuDiY8C3ctxq1tqvaCgkFb8cCA/edit?usp=sharing"",""บุรีรัมย์!j181"")"),0)</f>
        <v>0</v>
      </c>
      <c r="X40" s="137">
        <f t="shared" ca="1" si="13"/>
        <v>0</v>
      </c>
      <c r="Y40" s="149">
        <f ca="1">IFERROR(__xludf.DUMMYFUNCTION("IMPORTRANGE(""https://docs.google.com/spreadsheets/d/1C3CXT74ZlgGe6_JY_1olB1XN4rF0dxEuIIF-xsYjHgg/edit?usp=sharing"",""พรบ!BI44"")"),1)</f>
        <v>1</v>
      </c>
      <c r="Z40" s="77">
        <f ca="1">IFERROR(__xludf.DUMMYFUNCTION("IMPORTRANGE(""https://docs.google.com/spreadsheets/d/1XL5vhW3sbDhbH9Cz0tuDiY8C3ctxq1tqvaCgkFb8cCA/edit?usp=sharing"",""บุรีรัมย์!j182"")"),1)</f>
        <v>1</v>
      </c>
      <c r="AA40" s="137">
        <f t="shared" ca="1" si="15"/>
        <v>100</v>
      </c>
      <c r="AB40" s="75">
        <f t="shared" ca="1" si="16"/>
        <v>447600</v>
      </c>
      <c r="AC40" s="76">
        <f t="shared" ca="1" si="56"/>
        <v>447600</v>
      </c>
      <c r="AD40" s="77">
        <f ca="1">IFERROR(__xludf.DUMMYFUNCTION("IMPORTRANGE(""https://docs.google.com/spreadsheets/d/1C3CXT74ZlgGe6_JY_1olB1XN4rF0dxEuIIF-xsYjHgg/edit?usp=sharing"",""พรบ!BK44"")"),264000)</f>
        <v>264000</v>
      </c>
      <c r="AE40" s="77">
        <f ca="1">IFERROR(__xludf.DUMMYFUNCTION("IMPORTRANGE(""https://docs.google.com/spreadsheets/d/1C3CXT74ZlgGe6_JY_1olB1XN4rF0dxEuIIF-xsYjHgg/edit?usp=sharing"",""พรบ!BL44"")"),183600)</f>
        <v>183600</v>
      </c>
      <c r="AF40" s="77">
        <f ca="1">IFERROR(__xludf.DUMMYFUNCTION("IMPORTRANGE(""https://docs.google.com/spreadsheets/d/1Yj_ptqi66GCucihVvJfMjLAmec39IyEx_6qawtMGysU/edit?usp=sharing"",""สบก!CI44"")"),0)</f>
        <v>0</v>
      </c>
      <c r="AG40" s="77">
        <f ca="1">IFERROR(__xludf.DUMMYFUNCTION("IMPORTRANGE(""https://docs.google.com/spreadsheets/d/1Yj_ptqi66GCucihVvJfMjLAmec39IyEx_6qawtMGysU/edit?usp=shCKing"",""สบก!CK44"")"),359600)</f>
        <v>359600</v>
      </c>
      <c r="AH40" s="77">
        <f t="shared" ca="1" si="19"/>
        <v>229480</v>
      </c>
      <c r="AI40" s="77">
        <f t="shared" ca="1" si="20"/>
        <v>51.268990169794456</v>
      </c>
      <c r="AJ40" s="77">
        <f ca="1">IFERROR(__xludf.DUMMYFUNCTION("IMPORTRANGE(""https://docs.google.com/spreadsheets/d/1Yj_ptqi66GCucihVvJfMjLAmec39IyEx_6qawtMGysU/edit?usp=sharing"",""สบก!CL44"")"),229480)</f>
        <v>229480</v>
      </c>
      <c r="AK40" s="137">
        <f t="shared" ca="1" si="21"/>
        <v>51.268990169794456</v>
      </c>
      <c r="AL40" s="137">
        <f t="shared" ca="1" si="22"/>
        <v>63.815350389321466</v>
      </c>
      <c r="AM40" s="137">
        <f ca="1">IFERROR(__xludf.DUMMYFUNCTION("IMPORTRANGE(""https://docs.google.com/spreadsheets/d/1Yj_ptqi66GCucihVvJfMjLAmec39IyEx_6qawtMGysU/edit?usp=sharing"",""สบก!CM44"")"),0)</f>
        <v>0</v>
      </c>
      <c r="AN40" s="137">
        <f t="shared" ca="1" si="23"/>
        <v>0</v>
      </c>
      <c r="AO40" s="77">
        <f ca="1">IFERROR(__xludf.DUMMYFUNCTION("IMPORTRANGE(""https://docs.google.com/spreadsheets/d/1C3CXT74ZlgGe6_JY_1olB1XN4rF0dxEuIIF-xsYjHgg/edit?usp=sharing"",""พรบ!BM44"")"),20)</f>
        <v>20</v>
      </c>
      <c r="AP40" s="77">
        <f ca="1">IFERROR(__xludf.DUMMYFUNCTION("IMPORTRANGE(""https://docs.google.com/spreadsheets/d/1XL5vhW3sbDhbH9Cz0tuDiY8C3ctxq1tqvaCgkFb8cCA/edit?usp=sharing"",""บุรีรัมย์!j195"")"),20)</f>
        <v>20</v>
      </c>
      <c r="AQ40" s="137">
        <f t="shared" ca="1" si="25"/>
        <v>100</v>
      </c>
    </row>
    <row r="41" spans="1:43" ht="21" customHeight="1">
      <c r="A41" s="73">
        <v>8</v>
      </c>
      <c r="B41" s="74" t="s">
        <v>65</v>
      </c>
      <c r="C41" s="75">
        <f t="shared" ca="1" si="0"/>
        <v>0</v>
      </c>
      <c r="D41" s="76">
        <f t="shared" ca="1" si="55"/>
        <v>0</v>
      </c>
      <c r="E41" s="77">
        <f ca="1">IFERROR(__xludf.DUMMYFUNCTION("IMPORTRANGE(""https://docs.google.com/spreadsheets/d/1C3CXT74ZlgGe6_JY_1olB1XN4rF0dxEuIIF-xsYjHgg/edit?usp=sharing"",""พรบ!BD45"")"),0)</f>
        <v>0</v>
      </c>
      <c r="F41" s="77">
        <f ca="1">IFERROR(__xludf.DUMMYFUNCTION("IMPORTRANGE(""https://docs.google.com/spreadsheets/d/1C3CXT74ZlgGe6_JY_1olB1XN4rF0dxEuIIF-xsYjHgg/edit?usp=sharing"",""พรบ!BE45"")"),0)</f>
        <v>0</v>
      </c>
      <c r="G41" s="77">
        <f ca="1">IFERROR(__xludf.DUMMYFUNCTION("IMPORTRANGE(""https://docs.google.com/spreadsheets/d/1Yj_ptqi66GCucihVvJfMjLAmec39IyEx_6qawtMGysU/edit?usp=sharing"",""สบก!BZ45"")"),0)</f>
        <v>0</v>
      </c>
      <c r="H41" s="77">
        <f ca="1">IFERROR(__xludf.DUMMYFUNCTION("IMPORTRANGE(""https://docs.google.com/spreadsheets/d/1Yj_ptqi66GCucihVvJfMjLAmec39IyEx_6qawtMGysU/edit?usp=shCBing"",""สบก!CB45"")"),0)</f>
        <v>0</v>
      </c>
      <c r="I41" s="77">
        <f t="shared" ca="1" si="3"/>
        <v>0</v>
      </c>
      <c r="J41" s="77">
        <f t="shared" ca="1" si="4"/>
        <v>0</v>
      </c>
      <c r="K41" s="77">
        <f ca="1">IFERROR(__xludf.DUMMYFUNCTION("IMPORTRANGE(""https://docs.google.com/spreadsheets/d/1Yj_ptqi66GCucihVvJfMjLAmec39IyEx_6qawtMGysU/edit?usp=sharing"",""สบก!CC45"")"),0)</f>
        <v>0</v>
      </c>
      <c r="L41" s="137">
        <f t="shared" ca="1" si="5"/>
        <v>0</v>
      </c>
      <c r="M41" s="137">
        <f t="shared" ca="1" si="6"/>
        <v>0</v>
      </c>
      <c r="N41" s="137">
        <f ca="1">IFERROR(__xludf.DUMMYFUNCTION("IMPORTRANGE(""https://docs.google.com/spreadsheets/d/1Yj_ptqi66GCucihVvJfMjLAmec39IyEx_6qawtMGysU/edit?usp=sharing"",""สบก!CD45"")"),0)</f>
        <v>0</v>
      </c>
      <c r="O41" s="137">
        <f t="shared" ca="1" si="7"/>
        <v>0</v>
      </c>
      <c r="P41" s="77">
        <f ca="1">IFERROR(__xludf.DUMMYFUNCTION("IMPORTRANGE(""https://docs.google.com/spreadsheets/d/1C3CXT74ZlgGe6_JY_1olB1XN4rF0dxEuIIF-xsYjHgg/edit?usp=sharing"",""พรบ!BF45"")"),0)</f>
        <v>0</v>
      </c>
      <c r="Q41" s="77">
        <f ca="1">IFERROR(__xludf.DUMMYFUNCTION("IMPORTRANGE(""https://docs.google.com/spreadsheets/d/1XL5vhW3sbDhbH9Cz0tuDiY8C3ctxq1tqvaCgkFb8cCA/edit?usp=sharing"",""มหาสารคาม!j179"")"),0)</f>
        <v>0</v>
      </c>
      <c r="R41" s="137">
        <f t="shared" ca="1" si="9"/>
        <v>0</v>
      </c>
      <c r="S41" s="77">
        <f ca="1">IFERROR(__xludf.DUMMYFUNCTION("IMPORTRANGE(""https://docs.google.com/spreadsheets/d/1C3CXT74ZlgGe6_JY_1olB1XN4rF0dxEuIIF-xsYjHgg/edit?usp=sharing"",""พรบ!BG45"")"),0)</f>
        <v>0</v>
      </c>
      <c r="T41" s="77">
        <f ca="1">IFERROR(__xludf.DUMMYFUNCTION("IMPORTRANGE(""https://docs.google.com/spreadsheets/d/1XL5vhW3sbDhbH9Cz0tuDiY8C3ctxq1tqvaCgkFb8cCA/edit?usp=sharing"",""มหาสารคาม!j180"")"),0)</f>
        <v>0</v>
      </c>
      <c r="U41" s="137">
        <f t="shared" ca="1" si="11"/>
        <v>0</v>
      </c>
      <c r="V41" s="77">
        <f ca="1">IFERROR(__xludf.DUMMYFUNCTION("IMPORTRANGE(""https://docs.google.com/spreadsheets/d/1C3CXT74ZlgGe6_JY_1olB1XN4rF0dxEuIIF-xsYjHgg/edit?usp=sharing"",""พรบ!BH45"")"),0)</f>
        <v>0</v>
      </c>
      <c r="W41" s="77">
        <f ca="1">IFERROR(__xludf.DUMMYFUNCTION("IMPORTRANGE(""https://docs.google.com/spreadsheets/d/1XL5vhW3sbDhbH9Cz0tuDiY8C3ctxq1tqvaCgkFb8cCA/edit?usp=sharing"",""มหาสารคาม!j181"")"),0)</f>
        <v>0</v>
      </c>
      <c r="X41" s="137">
        <f t="shared" ca="1" si="13"/>
        <v>0</v>
      </c>
      <c r="Y41" s="77">
        <f ca="1">IFERROR(__xludf.DUMMYFUNCTION("IMPORTRANGE(""https://docs.google.com/spreadsheets/d/1C3CXT74ZlgGe6_JY_1olB1XN4rF0dxEuIIF-xsYjHgg/edit?usp=sharing"",""พรบ!BI45"")"),0)</f>
        <v>0</v>
      </c>
      <c r="Z41" s="77">
        <f ca="1">IFERROR(__xludf.DUMMYFUNCTION("IMPORTRANGE(""https://docs.google.com/spreadsheets/d/1XL5vhW3sbDhbH9Cz0tuDiY8C3ctxq1tqvaCgkFb8cCA/edit?usp=sharing"",""มหาสารคาม!j182"")"),0)</f>
        <v>0</v>
      </c>
      <c r="AA41" s="137">
        <f t="shared" ca="1" si="15"/>
        <v>0</v>
      </c>
      <c r="AB41" s="75">
        <f t="shared" ca="1" si="16"/>
        <v>55200</v>
      </c>
      <c r="AC41" s="76">
        <f t="shared" ca="1" si="56"/>
        <v>55200</v>
      </c>
      <c r="AD41" s="77">
        <f ca="1">IFERROR(__xludf.DUMMYFUNCTION("IMPORTRANGE(""https://docs.google.com/spreadsheets/d/1C3CXT74ZlgGe6_JY_1olB1XN4rF0dxEuIIF-xsYjHgg/edit?usp=sharing"",""พรบ!BK45"")"),0)</f>
        <v>0</v>
      </c>
      <c r="AE41" s="77">
        <f ca="1">IFERROR(__xludf.DUMMYFUNCTION("IMPORTRANGE(""https://docs.google.com/spreadsheets/d/1C3CXT74ZlgGe6_JY_1olB1XN4rF0dxEuIIF-xsYjHgg/edit?usp=sharing"",""พรบ!BL45"")"),55200)</f>
        <v>55200</v>
      </c>
      <c r="AF41" s="77">
        <f ca="1">IFERROR(__xludf.DUMMYFUNCTION("IMPORTRANGE(""https://docs.google.com/spreadsheets/d/1Yj_ptqi66GCucihVvJfMjLAmec39IyEx_6qawtMGysU/edit?usp=sharing"",""สบก!CI45"")"),0)</f>
        <v>0</v>
      </c>
      <c r="AG41" s="77">
        <f ca="1">IFERROR(__xludf.DUMMYFUNCTION("IMPORTRANGE(""https://docs.google.com/spreadsheets/d/1Yj_ptqi66GCucihVvJfMjLAmec39IyEx_6qawtMGysU/edit?usp=shCKing"",""สบก!CK45"")"),32250)</f>
        <v>32250</v>
      </c>
      <c r="AH41" s="77">
        <f t="shared" ca="1" si="19"/>
        <v>32250</v>
      </c>
      <c r="AI41" s="77">
        <f t="shared" ca="1" si="20"/>
        <v>58.423913043478258</v>
      </c>
      <c r="AJ41" s="77">
        <f ca="1">IFERROR(__xludf.DUMMYFUNCTION("IMPORTRANGE(""https://docs.google.com/spreadsheets/d/1Yj_ptqi66GCucihVvJfMjLAmec39IyEx_6qawtMGysU/edit?usp=sharing"",""สบก!CL45"")"),32250)</f>
        <v>32250</v>
      </c>
      <c r="AK41" s="137">
        <f t="shared" ca="1" si="21"/>
        <v>58.423913043478258</v>
      </c>
      <c r="AL41" s="137">
        <f t="shared" ca="1" si="22"/>
        <v>100</v>
      </c>
      <c r="AM41" s="137">
        <f ca="1">IFERROR(__xludf.DUMMYFUNCTION("IMPORTRANGE(""https://docs.google.com/spreadsheets/d/1Yj_ptqi66GCucihVvJfMjLAmec39IyEx_6qawtMGysU/edit?usp=sharing"",""สบก!CM45"")"),0)</f>
        <v>0</v>
      </c>
      <c r="AN41" s="137">
        <f t="shared" ca="1" si="23"/>
        <v>0</v>
      </c>
      <c r="AO41" s="77">
        <f ca="1">IFERROR(__xludf.DUMMYFUNCTION("IMPORTRANGE(""https://docs.google.com/spreadsheets/d/1C3CXT74ZlgGe6_JY_1olB1XN4rF0dxEuIIF-xsYjHgg/edit?usp=sharing"",""พรบ!BM45"")"),15)</f>
        <v>15</v>
      </c>
      <c r="AP41" s="77">
        <f ca="1">IFERROR(__xludf.DUMMYFUNCTION("IMPORTRANGE(""https://docs.google.com/spreadsheets/d/1XL5vhW3sbDhbH9Cz0tuDiY8C3ctxq1tqvaCgkFb8cCA/edit?usp=sharing"",""มหาสารคาม!j195"")"),15)</f>
        <v>15</v>
      </c>
      <c r="AQ41" s="137">
        <f t="shared" ca="1" si="25"/>
        <v>100</v>
      </c>
    </row>
    <row r="42" spans="1:43" ht="21" customHeight="1">
      <c r="A42" s="73">
        <v>9</v>
      </c>
      <c r="B42" s="74" t="s">
        <v>66</v>
      </c>
      <c r="C42" s="75">
        <f t="shared" ca="1" si="0"/>
        <v>0</v>
      </c>
      <c r="D42" s="76">
        <f t="shared" ca="1" si="55"/>
        <v>0</v>
      </c>
      <c r="E42" s="77">
        <f ca="1">IFERROR(__xludf.DUMMYFUNCTION("IMPORTRANGE(""https://docs.google.com/spreadsheets/d/1C3CXT74ZlgGe6_JY_1olB1XN4rF0dxEuIIF-xsYjHgg/edit?usp=sharing"",""พรบ!BD46"")"),0)</f>
        <v>0</v>
      </c>
      <c r="F42" s="77">
        <f ca="1">IFERROR(__xludf.DUMMYFUNCTION("IMPORTRANGE(""https://docs.google.com/spreadsheets/d/1C3CXT74ZlgGe6_JY_1olB1XN4rF0dxEuIIF-xsYjHgg/edit?usp=sharing"",""พรบ!BE46"")"),0)</f>
        <v>0</v>
      </c>
      <c r="G42" s="77">
        <f ca="1">IFERROR(__xludf.DUMMYFUNCTION("IMPORTRANGE(""https://docs.google.com/spreadsheets/d/1Yj_ptqi66GCucihVvJfMjLAmec39IyEx_6qawtMGysU/edit?usp=sharing"",""สบก!BZ46"")"),0)</f>
        <v>0</v>
      </c>
      <c r="H42" s="77">
        <f ca="1">IFERROR(__xludf.DUMMYFUNCTION("IMPORTRANGE(""https://docs.google.com/spreadsheets/d/1Yj_ptqi66GCucihVvJfMjLAmec39IyEx_6qawtMGysU/edit?usp=shCBing"",""สบก!CB46"")"),0)</f>
        <v>0</v>
      </c>
      <c r="I42" s="77">
        <f t="shared" ca="1" si="3"/>
        <v>0</v>
      </c>
      <c r="J42" s="77">
        <f t="shared" ca="1" si="4"/>
        <v>0</v>
      </c>
      <c r="K42" s="77">
        <f ca="1">IFERROR(__xludf.DUMMYFUNCTION("IMPORTRANGE(""https://docs.google.com/spreadsheets/d/1Yj_ptqi66GCucihVvJfMjLAmec39IyEx_6qawtMGysU/edit?usp=sharing"",""สบก!CC46"")"),0)</f>
        <v>0</v>
      </c>
      <c r="L42" s="137">
        <f t="shared" ca="1" si="5"/>
        <v>0</v>
      </c>
      <c r="M42" s="137">
        <f t="shared" ca="1" si="6"/>
        <v>0</v>
      </c>
      <c r="N42" s="137">
        <f ca="1">IFERROR(__xludf.DUMMYFUNCTION("IMPORTRANGE(""https://docs.google.com/spreadsheets/d/1Yj_ptqi66GCucihVvJfMjLAmec39IyEx_6qawtMGysU/edit?usp=sharing"",""สบก!CD46"")"),0)</f>
        <v>0</v>
      </c>
      <c r="O42" s="137">
        <f t="shared" ca="1" si="7"/>
        <v>0</v>
      </c>
      <c r="P42" s="77">
        <f ca="1">IFERROR(__xludf.DUMMYFUNCTION("IMPORTRANGE(""https://docs.google.com/spreadsheets/d/1C3CXT74ZlgGe6_JY_1olB1XN4rF0dxEuIIF-xsYjHgg/edit?usp=sharing"",""พรบ!BF46"")"),0)</f>
        <v>0</v>
      </c>
      <c r="Q42" s="77">
        <f ca="1">IFERROR(__xludf.DUMMYFUNCTION("IMPORTRANGE(""https://docs.google.com/spreadsheets/d/1XL5vhW3sbDhbH9Cz0tuDiY8C3ctxq1tqvaCgkFb8cCA/edit?usp=sharing"",""มุกดาหาร!j179"")"),0)</f>
        <v>0</v>
      </c>
      <c r="R42" s="137">
        <f t="shared" ca="1" si="9"/>
        <v>0</v>
      </c>
      <c r="S42" s="77">
        <f ca="1">IFERROR(__xludf.DUMMYFUNCTION("IMPORTRANGE(""https://docs.google.com/spreadsheets/d/1C3CXT74ZlgGe6_JY_1olB1XN4rF0dxEuIIF-xsYjHgg/edit?usp=sharing"",""พรบ!BG46"")"),0)</f>
        <v>0</v>
      </c>
      <c r="T42" s="77">
        <f ca="1">IFERROR(__xludf.DUMMYFUNCTION("IMPORTRANGE(""https://docs.google.com/spreadsheets/d/1XL5vhW3sbDhbH9Cz0tuDiY8C3ctxq1tqvaCgkFb8cCA/edit?usp=sharing"",""มุกดาหาร!j180"")"),0)</f>
        <v>0</v>
      </c>
      <c r="U42" s="137">
        <f t="shared" ca="1" si="11"/>
        <v>0</v>
      </c>
      <c r="V42" s="77">
        <f ca="1">IFERROR(__xludf.DUMMYFUNCTION("IMPORTRANGE(""https://docs.google.com/spreadsheets/d/1C3CXT74ZlgGe6_JY_1olB1XN4rF0dxEuIIF-xsYjHgg/edit?usp=sharing"",""พรบ!BH46"")"),0)</f>
        <v>0</v>
      </c>
      <c r="W42" s="77">
        <f ca="1">IFERROR(__xludf.DUMMYFUNCTION("IMPORTRANGE(""https://docs.google.com/spreadsheets/d/1XL5vhW3sbDhbH9Cz0tuDiY8C3ctxq1tqvaCgkFb8cCA/edit?usp=sharing"",""มุกดาหาร!j181"")"),0)</f>
        <v>0</v>
      </c>
      <c r="X42" s="137">
        <f t="shared" ca="1" si="13"/>
        <v>0</v>
      </c>
      <c r="Y42" s="77">
        <f ca="1">IFERROR(__xludf.DUMMYFUNCTION("IMPORTRANGE(""https://docs.google.com/spreadsheets/d/1C3CXT74ZlgGe6_JY_1olB1XN4rF0dxEuIIF-xsYjHgg/edit?usp=sharing"",""พรบ!BI46"")"),0)</f>
        <v>0</v>
      </c>
      <c r="Z42" s="77">
        <f ca="1">IFERROR(__xludf.DUMMYFUNCTION("IMPORTRANGE(""https://docs.google.com/spreadsheets/d/1XL5vhW3sbDhbH9Cz0tuDiY8C3ctxq1tqvaCgkFb8cCA/edit?usp=sharing"",""มุกดาหาร!j182"")"),0)</f>
        <v>0</v>
      </c>
      <c r="AA42" s="137">
        <f t="shared" ca="1" si="15"/>
        <v>0</v>
      </c>
      <c r="AB42" s="75">
        <f t="shared" ca="1" si="16"/>
        <v>55200</v>
      </c>
      <c r="AC42" s="76">
        <f t="shared" ca="1" si="56"/>
        <v>55200</v>
      </c>
      <c r="AD42" s="77">
        <f ca="1">IFERROR(__xludf.DUMMYFUNCTION("IMPORTRANGE(""https://docs.google.com/spreadsheets/d/1C3CXT74ZlgGe6_JY_1olB1XN4rF0dxEuIIF-xsYjHgg/edit?usp=sharing"",""พรบ!BK46"")"),0)</f>
        <v>0</v>
      </c>
      <c r="AE42" s="77">
        <f ca="1">IFERROR(__xludf.DUMMYFUNCTION("IMPORTRANGE(""https://docs.google.com/spreadsheets/d/1C3CXT74ZlgGe6_JY_1olB1XN4rF0dxEuIIF-xsYjHgg/edit?usp=sharing"",""พรบ!BL46"")"),55200)</f>
        <v>55200</v>
      </c>
      <c r="AF42" s="77">
        <f ca="1">IFERROR(__xludf.DUMMYFUNCTION("IMPORTRANGE(""https://docs.google.com/spreadsheets/d/1Yj_ptqi66GCucihVvJfMjLAmec39IyEx_6qawtMGysU/edit?usp=sharing"",""สบก!CI46"")"),0)</f>
        <v>0</v>
      </c>
      <c r="AG42" s="77">
        <f ca="1">IFERROR(__xludf.DUMMYFUNCTION("IMPORTRANGE(""https://docs.google.com/spreadsheets/d/1Yj_ptqi66GCucihVvJfMjLAmec39IyEx_6qawtMGysU/edit?usp=shCKing"",""สบก!CK46"")"),32250)</f>
        <v>32250</v>
      </c>
      <c r="AH42" s="77">
        <f t="shared" ca="1" si="19"/>
        <v>25210</v>
      </c>
      <c r="AI42" s="77">
        <f t="shared" ca="1" si="20"/>
        <v>45.670289855072461</v>
      </c>
      <c r="AJ42" s="77">
        <f ca="1">IFERROR(__xludf.DUMMYFUNCTION("IMPORTRANGE(""https://docs.google.com/spreadsheets/d/1Yj_ptqi66GCucihVvJfMjLAmec39IyEx_6qawtMGysU/edit?usp=sharing"",""สบก!CL46"")"),25210)</f>
        <v>25210</v>
      </c>
      <c r="AK42" s="137">
        <f t="shared" ca="1" si="21"/>
        <v>45.670289855072461</v>
      </c>
      <c r="AL42" s="137">
        <f t="shared" ca="1" si="22"/>
        <v>78.170542635658919</v>
      </c>
      <c r="AM42" s="137">
        <f ca="1">IFERROR(__xludf.DUMMYFUNCTION("IMPORTRANGE(""https://docs.google.com/spreadsheets/d/1Yj_ptqi66GCucihVvJfMjLAmec39IyEx_6qawtMGysU/edit?usp=sharing"",""สบก!CM46"")"),0)</f>
        <v>0</v>
      </c>
      <c r="AN42" s="137">
        <f t="shared" ca="1" si="23"/>
        <v>0</v>
      </c>
      <c r="AO42" s="77">
        <f ca="1">IFERROR(__xludf.DUMMYFUNCTION("IMPORTRANGE(""https://docs.google.com/spreadsheets/d/1C3CXT74ZlgGe6_JY_1olB1XN4rF0dxEuIIF-xsYjHgg/edit?usp=sharing"",""พรบ!BM46"")"),15)</f>
        <v>15</v>
      </c>
      <c r="AP42" s="77">
        <f ca="1">IFERROR(__xludf.DUMMYFUNCTION("IMPORTRANGE(""https://docs.google.com/spreadsheets/d/1XL5vhW3sbDhbH9Cz0tuDiY8C3ctxq1tqvaCgkFb8cCA/edit?usp=sharing"",""มุกดาหาร!j195"")"),15)</f>
        <v>15</v>
      </c>
      <c r="AQ42" s="137">
        <f t="shared" ca="1" si="25"/>
        <v>100</v>
      </c>
    </row>
    <row r="43" spans="1:43" ht="21" customHeight="1">
      <c r="A43" s="73">
        <v>10</v>
      </c>
      <c r="B43" s="74" t="s">
        <v>67</v>
      </c>
      <c r="C43" s="75">
        <f t="shared" ca="1" si="0"/>
        <v>0</v>
      </c>
      <c r="D43" s="76">
        <f t="shared" ca="1" si="55"/>
        <v>0</v>
      </c>
      <c r="E43" s="77">
        <f ca="1">IFERROR(__xludf.DUMMYFUNCTION("IMPORTRANGE(""https://docs.google.com/spreadsheets/d/1C3CXT74ZlgGe6_JY_1olB1XN4rF0dxEuIIF-xsYjHgg/edit?usp=sharing"",""พรบ!BD47"")"),0)</f>
        <v>0</v>
      </c>
      <c r="F43" s="77">
        <f ca="1">IFERROR(__xludf.DUMMYFUNCTION("IMPORTRANGE(""https://docs.google.com/spreadsheets/d/1C3CXT74ZlgGe6_JY_1olB1XN4rF0dxEuIIF-xsYjHgg/edit?usp=sharing"",""พรบ!BE47"")"),0)</f>
        <v>0</v>
      </c>
      <c r="G43" s="77">
        <f ca="1">IFERROR(__xludf.DUMMYFUNCTION("IMPORTRANGE(""https://docs.google.com/spreadsheets/d/1Yj_ptqi66GCucihVvJfMjLAmec39IyEx_6qawtMGysU/edit?usp=sharing"",""สบก!BZ47"")"),0)</f>
        <v>0</v>
      </c>
      <c r="H43" s="77">
        <f ca="1">IFERROR(__xludf.DUMMYFUNCTION("IMPORTRANGE(""https://docs.google.com/spreadsheets/d/1Yj_ptqi66GCucihVvJfMjLAmec39IyEx_6qawtMGysU/edit?usp=shCBing"",""สบก!CB47"")"),0)</f>
        <v>0</v>
      </c>
      <c r="I43" s="77">
        <f t="shared" ca="1" si="3"/>
        <v>0</v>
      </c>
      <c r="J43" s="77">
        <f t="shared" ca="1" si="4"/>
        <v>0</v>
      </c>
      <c r="K43" s="77">
        <f ca="1">IFERROR(__xludf.DUMMYFUNCTION("IMPORTRANGE(""https://docs.google.com/spreadsheets/d/1Yj_ptqi66GCucihVvJfMjLAmec39IyEx_6qawtMGysU/edit?usp=sharing"",""สบก!CC47"")"),0)</f>
        <v>0</v>
      </c>
      <c r="L43" s="137">
        <f t="shared" ca="1" si="5"/>
        <v>0</v>
      </c>
      <c r="M43" s="137">
        <f t="shared" ca="1" si="6"/>
        <v>0</v>
      </c>
      <c r="N43" s="137">
        <f ca="1">IFERROR(__xludf.DUMMYFUNCTION("IMPORTRANGE(""https://docs.google.com/spreadsheets/d/1Yj_ptqi66GCucihVvJfMjLAmec39IyEx_6qawtMGysU/edit?usp=sharing"",""สบก!CD47"")"),0)</f>
        <v>0</v>
      </c>
      <c r="O43" s="137">
        <f t="shared" ca="1" si="7"/>
        <v>0</v>
      </c>
      <c r="P43" s="77">
        <f ca="1">IFERROR(__xludf.DUMMYFUNCTION("IMPORTRANGE(""https://docs.google.com/spreadsheets/d/1C3CXT74ZlgGe6_JY_1olB1XN4rF0dxEuIIF-xsYjHgg/edit?usp=sharing"",""พรบ!BF47"")"),0)</f>
        <v>0</v>
      </c>
      <c r="Q43" s="77">
        <f ca="1">IFERROR(__xludf.DUMMYFUNCTION("IMPORTRANGE(""https://docs.google.com/spreadsheets/d/1XL5vhW3sbDhbH9Cz0tuDiY8C3ctxq1tqvaCgkFb8cCA/edit?usp=sharing"",""ยโสธร!j179"")"),0)</f>
        <v>0</v>
      </c>
      <c r="R43" s="137">
        <f t="shared" ca="1" si="9"/>
        <v>0</v>
      </c>
      <c r="S43" s="77">
        <f ca="1">IFERROR(__xludf.DUMMYFUNCTION("IMPORTRANGE(""https://docs.google.com/spreadsheets/d/1C3CXT74ZlgGe6_JY_1olB1XN4rF0dxEuIIF-xsYjHgg/edit?usp=sharing"",""พรบ!BG47"")"),0)</f>
        <v>0</v>
      </c>
      <c r="T43" s="77">
        <f ca="1">IFERROR(__xludf.DUMMYFUNCTION("IMPORTRANGE(""https://docs.google.com/spreadsheets/d/1XL5vhW3sbDhbH9Cz0tuDiY8C3ctxq1tqvaCgkFb8cCA/edit?usp=sharing"",""ยโสธร!j180"")"),0)</f>
        <v>0</v>
      </c>
      <c r="U43" s="137">
        <f t="shared" ca="1" si="11"/>
        <v>0</v>
      </c>
      <c r="V43" s="77">
        <f ca="1">IFERROR(__xludf.DUMMYFUNCTION("IMPORTRANGE(""https://docs.google.com/spreadsheets/d/1C3CXT74ZlgGe6_JY_1olB1XN4rF0dxEuIIF-xsYjHgg/edit?usp=sharing"",""พรบ!BH47"")"),0)</f>
        <v>0</v>
      </c>
      <c r="W43" s="77">
        <f ca="1">IFERROR(__xludf.DUMMYFUNCTION("IMPORTRANGE(""https://docs.google.com/spreadsheets/d/1XL5vhW3sbDhbH9Cz0tuDiY8C3ctxq1tqvaCgkFb8cCA/edit?usp=sharing"",""ยโสธร!j181"")"),0)</f>
        <v>0</v>
      </c>
      <c r="X43" s="137">
        <f t="shared" ca="1" si="13"/>
        <v>0</v>
      </c>
      <c r="Y43" s="77">
        <f ca="1">IFERROR(__xludf.DUMMYFUNCTION("IMPORTRANGE(""https://docs.google.com/spreadsheets/d/1C3CXT74ZlgGe6_JY_1olB1XN4rF0dxEuIIF-xsYjHgg/edit?usp=sharing"",""พรบ!BI47"")"),0)</f>
        <v>0</v>
      </c>
      <c r="Z43" s="77">
        <f ca="1">IFERROR(__xludf.DUMMYFUNCTION("IMPORTRANGE(""https://docs.google.com/spreadsheets/d/1XL5vhW3sbDhbH9Cz0tuDiY8C3ctxq1tqvaCgkFb8cCA/edit?usp=sharing"",""ยโสธร!j182"")"),0)</f>
        <v>0</v>
      </c>
      <c r="AA43" s="137">
        <f t="shared" ca="1" si="15"/>
        <v>0</v>
      </c>
      <c r="AB43" s="75">
        <f t="shared" ca="1" si="16"/>
        <v>55200</v>
      </c>
      <c r="AC43" s="76">
        <f t="shared" ca="1" si="56"/>
        <v>55200</v>
      </c>
      <c r="AD43" s="77">
        <f ca="1">IFERROR(__xludf.DUMMYFUNCTION("IMPORTRANGE(""https://docs.google.com/spreadsheets/d/1C3CXT74ZlgGe6_JY_1olB1XN4rF0dxEuIIF-xsYjHgg/edit?usp=sharing"",""พรบ!BK47"")"),0)</f>
        <v>0</v>
      </c>
      <c r="AE43" s="77">
        <f ca="1">IFERROR(__xludf.DUMMYFUNCTION("IMPORTRANGE(""https://docs.google.com/spreadsheets/d/1C3CXT74ZlgGe6_JY_1olB1XN4rF0dxEuIIF-xsYjHgg/edit?usp=sharing"",""พรบ!BL47"")"),55200)</f>
        <v>55200</v>
      </c>
      <c r="AF43" s="77">
        <f ca="1">IFERROR(__xludf.DUMMYFUNCTION("IMPORTRANGE(""https://docs.google.com/spreadsheets/d/1Yj_ptqi66GCucihVvJfMjLAmec39IyEx_6qawtMGysU/edit?usp=sharing"",""สบก!CI47"")"),0)</f>
        <v>0</v>
      </c>
      <c r="AG43" s="77">
        <f ca="1">IFERROR(__xludf.DUMMYFUNCTION("IMPORTRANGE(""https://docs.google.com/spreadsheets/d/1Yj_ptqi66GCucihVvJfMjLAmec39IyEx_6qawtMGysU/edit?usp=shCKing"",""สบก!CK47"")"),32250)</f>
        <v>32250</v>
      </c>
      <c r="AH43" s="77">
        <f t="shared" ca="1" si="19"/>
        <v>31060</v>
      </c>
      <c r="AI43" s="77">
        <f t="shared" ca="1" si="20"/>
        <v>56.268115942028984</v>
      </c>
      <c r="AJ43" s="77">
        <f ca="1">IFERROR(__xludf.DUMMYFUNCTION("IMPORTRANGE(""https://docs.google.com/spreadsheets/d/1Yj_ptqi66GCucihVvJfMjLAmec39IyEx_6qawtMGysU/edit?usp=sharing"",""สบก!CL47"")"),31060)</f>
        <v>31060</v>
      </c>
      <c r="AK43" s="137">
        <f t="shared" ca="1" si="21"/>
        <v>56.268115942028984</v>
      </c>
      <c r="AL43" s="137">
        <f t="shared" ca="1" si="22"/>
        <v>96.310077519379846</v>
      </c>
      <c r="AM43" s="137">
        <f ca="1">IFERROR(__xludf.DUMMYFUNCTION("IMPORTRANGE(""https://docs.google.com/spreadsheets/d/1Yj_ptqi66GCucihVvJfMjLAmec39IyEx_6qawtMGysU/edit?usp=sharing"",""สบก!CM47"")"),0)</f>
        <v>0</v>
      </c>
      <c r="AN43" s="137">
        <f t="shared" ca="1" si="23"/>
        <v>0</v>
      </c>
      <c r="AO43" s="77">
        <f ca="1">IFERROR(__xludf.DUMMYFUNCTION("IMPORTRANGE(""https://docs.google.com/spreadsheets/d/1C3CXT74ZlgGe6_JY_1olB1XN4rF0dxEuIIF-xsYjHgg/edit?usp=sharing"",""พรบ!BM47"")"),15)</f>
        <v>15</v>
      </c>
      <c r="AP43" s="77">
        <f ca="1">IFERROR(__xludf.DUMMYFUNCTION("IMPORTRANGE(""https://docs.google.com/spreadsheets/d/1XL5vhW3sbDhbH9Cz0tuDiY8C3ctxq1tqvaCgkFb8cCA/edit?usp=sharing"",""ยโสธร!j195"")"),15)</f>
        <v>15</v>
      </c>
      <c r="AQ43" s="137">
        <f t="shared" ca="1" si="25"/>
        <v>100</v>
      </c>
    </row>
    <row r="44" spans="1:43" ht="21" customHeight="1">
      <c r="A44" s="73">
        <v>11</v>
      </c>
      <c r="B44" s="74" t="s">
        <v>68</v>
      </c>
      <c r="C44" s="75">
        <f t="shared" ca="1" si="0"/>
        <v>0</v>
      </c>
      <c r="D44" s="76">
        <f t="shared" ca="1" si="55"/>
        <v>0</v>
      </c>
      <c r="E44" s="77">
        <f ca="1">IFERROR(__xludf.DUMMYFUNCTION("IMPORTRANGE(""https://docs.google.com/spreadsheets/d/1C3CXT74ZlgGe6_JY_1olB1XN4rF0dxEuIIF-xsYjHgg/edit?usp=sharing"",""พรบ!BD48"")"),0)</f>
        <v>0</v>
      </c>
      <c r="F44" s="77">
        <f ca="1">IFERROR(__xludf.DUMMYFUNCTION("IMPORTRANGE(""https://docs.google.com/spreadsheets/d/1C3CXT74ZlgGe6_JY_1olB1XN4rF0dxEuIIF-xsYjHgg/edit?usp=sharing"",""พรบ!BE48"")"),0)</f>
        <v>0</v>
      </c>
      <c r="G44" s="77">
        <f ca="1">IFERROR(__xludf.DUMMYFUNCTION("IMPORTRANGE(""https://docs.google.com/spreadsheets/d/1Yj_ptqi66GCucihVvJfMjLAmec39IyEx_6qawtMGysU/edit?usp=sharing"",""สบก!BZ48"")"),0)</f>
        <v>0</v>
      </c>
      <c r="H44" s="77">
        <f ca="1">IFERROR(__xludf.DUMMYFUNCTION("IMPORTRANGE(""https://docs.google.com/spreadsheets/d/1Yj_ptqi66GCucihVvJfMjLAmec39IyEx_6qawtMGysU/edit?usp=shCBing"",""สบก!CB48"")"),0)</f>
        <v>0</v>
      </c>
      <c r="I44" s="77">
        <f t="shared" ca="1" si="3"/>
        <v>0</v>
      </c>
      <c r="J44" s="77">
        <f t="shared" ca="1" si="4"/>
        <v>0</v>
      </c>
      <c r="K44" s="77">
        <f ca="1">IFERROR(__xludf.DUMMYFUNCTION("IMPORTRANGE(""https://docs.google.com/spreadsheets/d/1Yj_ptqi66GCucihVvJfMjLAmec39IyEx_6qawtMGysU/edit?usp=sharing"",""สบก!CC48"")"),0)</f>
        <v>0</v>
      </c>
      <c r="L44" s="137">
        <f t="shared" ca="1" si="5"/>
        <v>0</v>
      </c>
      <c r="M44" s="137">
        <f t="shared" ca="1" si="6"/>
        <v>0</v>
      </c>
      <c r="N44" s="137">
        <f ca="1">IFERROR(__xludf.DUMMYFUNCTION("IMPORTRANGE(""https://docs.google.com/spreadsheets/d/1Yj_ptqi66GCucihVvJfMjLAmec39IyEx_6qawtMGysU/edit?usp=sharing"",""สบก!CD48"")"),0)</f>
        <v>0</v>
      </c>
      <c r="O44" s="137">
        <f t="shared" ca="1" si="7"/>
        <v>0</v>
      </c>
      <c r="P44" s="77">
        <f ca="1">IFERROR(__xludf.DUMMYFUNCTION("IMPORTRANGE(""https://docs.google.com/spreadsheets/d/1C3CXT74ZlgGe6_JY_1olB1XN4rF0dxEuIIF-xsYjHgg/edit?usp=sharing"",""พรบ!BF48"")"),0)</f>
        <v>0</v>
      </c>
      <c r="Q44" s="77">
        <f ca="1">IFERROR(__xludf.DUMMYFUNCTION("IMPORTRANGE(""https://docs.google.com/spreadsheets/d/1XL5vhW3sbDhbH9Cz0tuDiY8C3ctxq1tqvaCgkFb8cCA/edit?usp=sharing"",""ร้อยเอ็ด!j179"")"),0)</f>
        <v>0</v>
      </c>
      <c r="R44" s="137">
        <f t="shared" ca="1" si="9"/>
        <v>0</v>
      </c>
      <c r="S44" s="77">
        <f ca="1">IFERROR(__xludf.DUMMYFUNCTION("IMPORTRANGE(""https://docs.google.com/spreadsheets/d/1C3CXT74ZlgGe6_JY_1olB1XN4rF0dxEuIIF-xsYjHgg/edit?usp=sharing"",""พรบ!BG48"")"),0)</f>
        <v>0</v>
      </c>
      <c r="T44" s="77">
        <f ca="1">IFERROR(__xludf.DUMMYFUNCTION("IMPORTRANGE(""https://docs.google.com/spreadsheets/d/1XL5vhW3sbDhbH9Cz0tuDiY8C3ctxq1tqvaCgkFb8cCA/edit?usp=sharing"",""ร้อยเอ็ด!j180"")"),0)</f>
        <v>0</v>
      </c>
      <c r="U44" s="137">
        <f t="shared" ca="1" si="11"/>
        <v>0</v>
      </c>
      <c r="V44" s="77">
        <f ca="1">IFERROR(__xludf.DUMMYFUNCTION("IMPORTRANGE(""https://docs.google.com/spreadsheets/d/1C3CXT74ZlgGe6_JY_1olB1XN4rF0dxEuIIF-xsYjHgg/edit?usp=sharing"",""พรบ!BH48"")"),0)</f>
        <v>0</v>
      </c>
      <c r="W44" s="77">
        <f ca="1">IFERROR(__xludf.DUMMYFUNCTION("IMPORTRANGE(""https://docs.google.com/spreadsheets/d/1XL5vhW3sbDhbH9Cz0tuDiY8C3ctxq1tqvaCgkFb8cCA/edit?usp=sharing"",""ร้อยเอ็ด!j181"")"),0)</f>
        <v>0</v>
      </c>
      <c r="X44" s="137">
        <f t="shared" ca="1" si="13"/>
        <v>0</v>
      </c>
      <c r="Y44" s="77">
        <f ca="1">IFERROR(__xludf.DUMMYFUNCTION("IMPORTRANGE(""https://docs.google.com/spreadsheets/d/1C3CXT74ZlgGe6_JY_1olB1XN4rF0dxEuIIF-xsYjHgg/edit?usp=sharing"",""พรบ!BI48"")"),0)</f>
        <v>0</v>
      </c>
      <c r="Z44" s="77">
        <f ca="1">IFERROR(__xludf.DUMMYFUNCTION("IMPORTRANGE(""https://docs.google.com/spreadsheets/d/1XL5vhW3sbDhbH9Cz0tuDiY8C3ctxq1tqvaCgkFb8cCA/edit?usp=sharing"",""ร้อยเอ็ด!j182"")"),0)</f>
        <v>0</v>
      </c>
      <c r="AA44" s="137">
        <f t="shared" ca="1" si="15"/>
        <v>0</v>
      </c>
      <c r="AB44" s="75">
        <f t="shared" ca="1" si="16"/>
        <v>55200</v>
      </c>
      <c r="AC44" s="76">
        <f t="shared" ca="1" si="56"/>
        <v>55200</v>
      </c>
      <c r="AD44" s="77">
        <f ca="1">IFERROR(__xludf.DUMMYFUNCTION("IMPORTRANGE(""https://docs.google.com/spreadsheets/d/1C3CXT74ZlgGe6_JY_1olB1XN4rF0dxEuIIF-xsYjHgg/edit?usp=sharing"",""พรบ!BK48"")"),0)</f>
        <v>0</v>
      </c>
      <c r="AE44" s="77">
        <f ca="1">IFERROR(__xludf.DUMMYFUNCTION("IMPORTRANGE(""https://docs.google.com/spreadsheets/d/1C3CXT74ZlgGe6_JY_1olB1XN4rF0dxEuIIF-xsYjHgg/edit?usp=sharing"",""พรบ!BL48"")"),55200)</f>
        <v>55200</v>
      </c>
      <c r="AF44" s="77">
        <f ca="1">IFERROR(__xludf.DUMMYFUNCTION("IMPORTRANGE(""https://docs.google.com/spreadsheets/d/1Yj_ptqi66GCucihVvJfMjLAmec39IyEx_6qawtMGysU/edit?usp=sharing"",""สบก!CI48"")"),0)</f>
        <v>0</v>
      </c>
      <c r="AG44" s="77">
        <f ca="1">IFERROR(__xludf.DUMMYFUNCTION("IMPORTRANGE(""https://docs.google.com/spreadsheets/d/1Yj_ptqi66GCucihVvJfMjLAmec39IyEx_6qawtMGysU/edit?usp=shCKing"",""สบก!CK48"")"),32250)</f>
        <v>32250</v>
      </c>
      <c r="AH44" s="77">
        <f t="shared" ca="1" si="19"/>
        <v>30820</v>
      </c>
      <c r="AI44" s="77">
        <f t="shared" ca="1" si="20"/>
        <v>55.833333333333336</v>
      </c>
      <c r="AJ44" s="77">
        <f ca="1">IFERROR(__xludf.DUMMYFUNCTION("IMPORTRANGE(""https://docs.google.com/spreadsheets/d/1Yj_ptqi66GCucihVvJfMjLAmec39IyEx_6qawtMGysU/edit?usp=sharing"",""สบก!CL48"")"),30820)</f>
        <v>30820</v>
      </c>
      <c r="AK44" s="137">
        <f t="shared" ca="1" si="21"/>
        <v>55.833333333333336</v>
      </c>
      <c r="AL44" s="137">
        <f t="shared" ca="1" si="22"/>
        <v>95.565891472868216</v>
      </c>
      <c r="AM44" s="137">
        <f ca="1">IFERROR(__xludf.DUMMYFUNCTION("IMPORTRANGE(""https://docs.google.com/spreadsheets/d/1Yj_ptqi66GCucihVvJfMjLAmec39IyEx_6qawtMGysU/edit?usp=sharing"",""สบก!CM48"")"),0)</f>
        <v>0</v>
      </c>
      <c r="AN44" s="137">
        <f t="shared" ca="1" si="23"/>
        <v>0</v>
      </c>
      <c r="AO44" s="77">
        <f ca="1">IFERROR(__xludf.DUMMYFUNCTION("IMPORTRANGE(""https://docs.google.com/spreadsheets/d/1C3CXT74ZlgGe6_JY_1olB1XN4rF0dxEuIIF-xsYjHgg/edit?usp=sharing"",""พรบ!BM48"")"),15)</f>
        <v>15</v>
      </c>
      <c r="AP44" s="77">
        <f ca="1">IFERROR(__xludf.DUMMYFUNCTION("IMPORTRANGE(""https://docs.google.com/spreadsheets/d/1XL5vhW3sbDhbH9Cz0tuDiY8C3ctxq1tqvaCgkFb8cCA/edit?usp=sharing"",""ร้อยเอ็ด!j195"")"),15)</f>
        <v>15</v>
      </c>
      <c r="AQ44" s="137">
        <f t="shared" ca="1" si="25"/>
        <v>100</v>
      </c>
    </row>
    <row r="45" spans="1:43" ht="21" customHeight="1">
      <c r="A45" s="73">
        <v>12</v>
      </c>
      <c r="B45" s="74" t="s">
        <v>69</v>
      </c>
      <c r="C45" s="75">
        <f t="shared" ca="1" si="0"/>
        <v>0</v>
      </c>
      <c r="D45" s="76">
        <f t="shared" ca="1" si="55"/>
        <v>0</v>
      </c>
      <c r="E45" s="77">
        <f ca="1">IFERROR(__xludf.DUMMYFUNCTION("IMPORTRANGE(""https://docs.google.com/spreadsheets/d/1C3CXT74ZlgGe6_JY_1olB1XN4rF0dxEuIIF-xsYjHgg/edit?usp=sharing"",""พรบ!BD49"")"),0)</f>
        <v>0</v>
      </c>
      <c r="F45" s="77">
        <f ca="1">IFERROR(__xludf.DUMMYFUNCTION("IMPORTRANGE(""https://docs.google.com/spreadsheets/d/1C3CXT74ZlgGe6_JY_1olB1XN4rF0dxEuIIF-xsYjHgg/edit?usp=sharing"",""พรบ!BE49"")"),0)</f>
        <v>0</v>
      </c>
      <c r="G45" s="77">
        <f ca="1">IFERROR(__xludf.DUMMYFUNCTION("IMPORTRANGE(""https://docs.google.com/spreadsheets/d/1Yj_ptqi66GCucihVvJfMjLAmec39IyEx_6qawtMGysU/edit?usp=sharing"",""สบก!BZ49"")"),0)</f>
        <v>0</v>
      </c>
      <c r="H45" s="77">
        <f ca="1">IFERROR(__xludf.DUMMYFUNCTION("IMPORTRANGE(""https://docs.google.com/spreadsheets/d/1Yj_ptqi66GCucihVvJfMjLAmec39IyEx_6qawtMGysU/edit?usp=shCBing"",""สบก!CB49"")"),0)</f>
        <v>0</v>
      </c>
      <c r="I45" s="77">
        <f t="shared" ca="1" si="3"/>
        <v>0</v>
      </c>
      <c r="J45" s="77">
        <f t="shared" ca="1" si="4"/>
        <v>0</v>
      </c>
      <c r="K45" s="77">
        <f ca="1">IFERROR(__xludf.DUMMYFUNCTION("IMPORTRANGE(""https://docs.google.com/spreadsheets/d/1Yj_ptqi66GCucihVvJfMjLAmec39IyEx_6qawtMGysU/edit?usp=sharing"",""สบก!CC49"")"),0)</f>
        <v>0</v>
      </c>
      <c r="L45" s="137">
        <f t="shared" ca="1" si="5"/>
        <v>0</v>
      </c>
      <c r="M45" s="137">
        <f t="shared" ca="1" si="6"/>
        <v>0</v>
      </c>
      <c r="N45" s="137">
        <f ca="1">IFERROR(__xludf.DUMMYFUNCTION("IMPORTRANGE(""https://docs.google.com/spreadsheets/d/1Yj_ptqi66GCucihVvJfMjLAmec39IyEx_6qawtMGysU/edit?usp=sharing"",""สบก!CD49"")"),0)</f>
        <v>0</v>
      </c>
      <c r="O45" s="137">
        <f t="shared" ca="1" si="7"/>
        <v>0</v>
      </c>
      <c r="P45" s="77">
        <f ca="1">IFERROR(__xludf.DUMMYFUNCTION("IMPORTRANGE(""https://docs.google.com/spreadsheets/d/1C3CXT74ZlgGe6_JY_1olB1XN4rF0dxEuIIF-xsYjHgg/edit?usp=sharing"",""พรบ!BF49"")"),0)</f>
        <v>0</v>
      </c>
      <c r="Q45" s="77">
        <f ca="1">IFERROR(__xludf.DUMMYFUNCTION("IMPORTRANGE(""https://docs.google.com/spreadsheets/d/1XL5vhW3sbDhbH9Cz0tuDiY8C3ctxq1tqvaCgkFb8cCA/edit?usp=sharing"",""เลย!j179"")"),0)</f>
        <v>0</v>
      </c>
      <c r="R45" s="137">
        <f t="shared" ca="1" si="9"/>
        <v>0</v>
      </c>
      <c r="S45" s="77">
        <f ca="1">IFERROR(__xludf.DUMMYFUNCTION("IMPORTRANGE(""https://docs.google.com/spreadsheets/d/1C3CXT74ZlgGe6_JY_1olB1XN4rF0dxEuIIF-xsYjHgg/edit?usp=sharing"",""พรบ!BG49"")"),0)</f>
        <v>0</v>
      </c>
      <c r="T45" s="77">
        <f ca="1">IFERROR(__xludf.DUMMYFUNCTION("IMPORTRANGE(""https://docs.google.com/spreadsheets/d/1XL5vhW3sbDhbH9Cz0tuDiY8C3ctxq1tqvaCgkFb8cCA/edit?usp=sharing"",""เลย!j180"")"),0)</f>
        <v>0</v>
      </c>
      <c r="U45" s="137">
        <f t="shared" ca="1" si="11"/>
        <v>0</v>
      </c>
      <c r="V45" s="77">
        <f ca="1">IFERROR(__xludf.DUMMYFUNCTION("IMPORTRANGE(""https://docs.google.com/spreadsheets/d/1C3CXT74ZlgGe6_JY_1olB1XN4rF0dxEuIIF-xsYjHgg/edit?usp=sharing"",""พรบ!BH49"")"),0)</f>
        <v>0</v>
      </c>
      <c r="W45" s="77">
        <f ca="1">IFERROR(__xludf.DUMMYFUNCTION("IMPORTRANGE(""https://docs.google.com/spreadsheets/d/1XL5vhW3sbDhbH9Cz0tuDiY8C3ctxq1tqvaCgkFb8cCA/edit?usp=sharing"",""เลย!j181"")"),0)</f>
        <v>0</v>
      </c>
      <c r="X45" s="137">
        <f t="shared" ca="1" si="13"/>
        <v>0</v>
      </c>
      <c r="Y45" s="77">
        <f ca="1">IFERROR(__xludf.DUMMYFUNCTION("IMPORTRANGE(""https://docs.google.com/spreadsheets/d/1C3CXT74ZlgGe6_JY_1olB1XN4rF0dxEuIIF-xsYjHgg/edit?usp=sharing"",""พรบ!BI49"")"),0)</f>
        <v>0</v>
      </c>
      <c r="Z45" s="77">
        <f ca="1">IFERROR(__xludf.DUMMYFUNCTION("IMPORTRANGE(""https://docs.google.com/spreadsheets/d/1XL5vhW3sbDhbH9Cz0tuDiY8C3ctxq1tqvaCgkFb8cCA/edit?usp=sharing"",""เลย!j182"")"),0)</f>
        <v>0</v>
      </c>
      <c r="AA45" s="137">
        <f t="shared" ca="1" si="15"/>
        <v>0</v>
      </c>
      <c r="AB45" s="75">
        <f t="shared" ca="1" si="16"/>
        <v>55200</v>
      </c>
      <c r="AC45" s="76">
        <f t="shared" ca="1" si="56"/>
        <v>55200</v>
      </c>
      <c r="AD45" s="77">
        <f ca="1">IFERROR(__xludf.DUMMYFUNCTION("IMPORTRANGE(""https://docs.google.com/spreadsheets/d/1C3CXT74ZlgGe6_JY_1olB1XN4rF0dxEuIIF-xsYjHgg/edit?usp=sharing"",""พรบ!BK49"")"),0)</f>
        <v>0</v>
      </c>
      <c r="AE45" s="77">
        <f ca="1">IFERROR(__xludf.DUMMYFUNCTION("IMPORTRANGE(""https://docs.google.com/spreadsheets/d/1C3CXT74ZlgGe6_JY_1olB1XN4rF0dxEuIIF-xsYjHgg/edit?usp=sharing"",""พรบ!BL49"")"),55200)</f>
        <v>55200</v>
      </c>
      <c r="AF45" s="77">
        <f ca="1">IFERROR(__xludf.DUMMYFUNCTION("IMPORTRANGE(""https://docs.google.com/spreadsheets/d/1Yj_ptqi66GCucihVvJfMjLAmec39IyEx_6qawtMGysU/edit?usp=sharing"",""สบก!CI49"")"),0)</f>
        <v>0</v>
      </c>
      <c r="AG45" s="77">
        <f ca="1">IFERROR(__xludf.DUMMYFUNCTION("IMPORTRANGE(""https://docs.google.com/spreadsheets/d/1Yj_ptqi66GCucihVvJfMjLAmec39IyEx_6qawtMGysU/edit?usp=shCKing"",""สบก!CK49"")"),32250)</f>
        <v>32250</v>
      </c>
      <c r="AH45" s="77">
        <f t="shared" ca="1" si="19"/>
        <v>26865</v>
      </c>
      <c r="AI45" s="77">
        <f t="shared" ca="1" si="20"/>
        <v>48.668478260869563</v>
      </c>
      <c r="AJ45" s="77">
        <f ca="1">IFERROR(__xludf.DUMMYFUNCTION("IMPORTRANGE(""https://docs.google.com/spreadsheets/d/1Yj_ptqi66GCucihVvJfMjLAmec39IyEx_6qawtMGysU/edit?usp=sharing"",""สบก!CL49"")"),26865)</f>
        <v>26865</v>
      </c>
      <c r="AK45" s="137">
        <f t="shared" ca="1" si="21"/>
        <v>48.668478260869563</v>
      </c>
      <c r="AL45" s="137">
        <f t="shared" ca="1" si="22"/>
        <v>83.302325581395351</v>
      </c>
      <c r="AM45" s="137">
        <f ca="1">IFERROR(__xludf.DUMMYFUNCTION("IMPORTRANGE(""https://docs.google.com/spreadsheets/d/1Yj_ptqi66GCucihVvJfMjLAmec39IyEx_6qawtMGysU/edit?usp=sharing"",""สบก!CM49"")"),0)</f>
        <v>0</v>
      </c>
      <c r="AN45" s="137">
        <f t="shared" ca="1" si="23"/>
        <v>0</v>
      </c>
      <c r="AO45" s="77">
        <f ca="1">IFERROR(__xludf.DUMMYFUNCTION("IMPORTRANGE(""https://docs.google.com/spreadsheets/d/1C3CXT74ZlgGe6_JY_1olB1XN4rF0dxEuIIF-xsYjHgg/edit?usp=sharing"",""พรบ!BM49"")"),15)</f>
        <v>15</v>
      </c>
      <c r="AP45" s="77">
        <f ca="1">IFERROR(__xludf.DUMMYFUNCTION("IMPORTRANGE(""https://docs.google.com/spreadsheets/d/1XL5vhW3sbDhbH9Cz0tuDiY8C3ctxq1tqvaCgkFb8cCA/edit?usp=sharing"",""เลย!j195"")"),15)</f>
        <v>15</v>
      </c>
      <c r="AQ45" s="137">
        <f t="shared" ca="1" si="25"/>
        <v>100</v>
      </c>
    </row>
    <row r="46" spans="1:43" ht="21" customHeight="1">
      <c r="A46" s="73">
        <v>13</v>
      </c>
      <c r="B46" s="74" t="s">
        <v>70</v>
      </c>
      <c r="C46" s="75">
        <f t="shared" ca="1" si="0"/>
        <v>89000</v>
      </c>
      <c r="D46" s="76">
        <f t="shared" ca="1" si="55"/>
        <v>89000</v>
      </c>
      <c r="E46" s="77">
        <f ca="1">IFERROR(__xludf.DUMMYFUNCTION("IMPORTRANGE(""https://docs.google.com/spreadsheets/d/1C3CXT74ZlgGe6_JY_1olB1XN4rF0dxEuIIF-xsYjHgg/edit?usp=sharing"",""พรบ!BD50"")"),0)</f>
        <v>0</v>
      </c>
      <c r="F46" s="77">
        <f ca="1">IFERROR(__xludf.DUMMYFUNCTION("IMPORTRANGE(""https://docs.google.com/spreadsheets/d/1C3CXT74ZlgGe6_JY_1olB1XN4rF0dxEuIIF-xsYjHgg/edit?usp=sharing"",""พรบ!BE50"")"),89000)</f>
        <v>89000</v>
      </c>
      <c r="G46" s="77">
        <f ca="1">IFERROR(__xludf.DUMMYFUNCTION("IMPORTRANGE(""https://docs.google.com/spreadsheets/d/1Yj_ptqi66GCucihVvJfMjLAmec39IyEx_6qawtMGysU/edit?usp=sharing"",""สบก!BZ50"")"),0)</f>
        <v>0</v>
      </c>
      <c r="H46" s="77">
        <f ca="1">IFERROR(__xludf.DUMMYFUNCTION("IMPORTRANGE(""https://docs.google.com/spreadsheets/d/1Yj_ptqi66GCucihVvJfMjLAmec39IyEx_6qawtMGysU/edit?usp=shCBing"",""สบก!CB50"")"),47500)</f>
        <v>47500</v>
      </c>
      <c r="I46" s="77">
        <f t="shared" ca="1" si="3"/>
        <v>42465</v>
      </c>
      <c r="J46" s="77">
        <f t="shared" ca="1" si="4"/>
        <v>47.713483146067418</v>
      </c>
      <c r="K46" s="77">
        <f ca="1">IFERROR(__xludf.DUMMYFUNCTION("IMPORTRANGE(""https://docs.google.com/spreadsheets/d/1Yj_ptqi66GCucihVvJfMjLAmec39IyEx_6qawtMGysU/edit?usp=sharing"",""สบก!CC50"")"),42465)</f>
        <v>42465</v>
      </c>
      <c r="L46" s="137">
        <f t="shared" ca="1" si="5"/>
        <v>47.713483146067418</v>
      </c>
      <c r="M46" s="137">
        <f t="shared" ca="1" si="6"/>
        <v>89.4</v>
      </c>
      <c r="N46" s="137">
        <f ca="1">IFERROR(__xludf.DUMMYFUNCTION("IMPORTRANGE(""https://docs.google.com/spreadsheets/d/1Yj_ptqi66GCucihVvJfMjLAmec39IyEx_6qawtMGysU/edit?usp=sharing"",""สบก!CD50"")"),0)</f>
        <v>0</v>
      </c>
      <c r="O46" s="137">
        <f t="shared" ca="1" si="7"/>
        <v>0</v>
      </c>
      <c r="P46" s="77">
        <f ca="1">IFERROR(__xludf.DUMMYFUNCTION("IMPORTRANGE(""https://docs.google.com/spreadsheets/d/1C3CXT74ZlgGe6_JY_1olB1XN4rF0dxEuIIF-xsYjHgg/edit?usp=sharing"",""พรบ!BF50"")"),1)</f>
        <v>1</v>
      </c>
      <c r="Q46" s="77">
        <f ca="1">IFERROR(__xludf.DUMMYFUNCTION("IMPORTRANGE(""https://docs.google.com/spreadsheets/d/1XL5vhW3sbDhbH9Cz0tuDiY8C3ctxq1tqvaCgkFb8cCA/edit?usp=sharing"",""ศรีสะเกษ!j179"")"),0)</f>
        <v>0</v>
      </c>
      <c r="R46" s="137">
        <f t="shared" ca="1" si="9"/>
        <v>0</v>
      </c>
      <c r="S46" s="77">
        <f ca="1">IFERROR(__xludf.DUMMYFUNCTION("IMPORTRANGE(""https://docs.google.com/spreadsheets/d/1C3CXT74ZlgGe6_JY_1olB1XN4rF0dxEuIIF-xsYjHgg/edit?usp=sharing"",""พรบ!BG50"")"),25)</f>
        <v>25</v>
      </c>
      <c r="T46" s="77">
        <f ca="1">IFERROR(__xludf.DUMMYFUNCTION("IMPORTRANGE(""https://docs.google.com/spreadsheets/d/1XL5vhW3sbDhbH9Cz0tuDiY8C3ctxq1tqvaCgkFb8cCA/edit?usp=sharing"",""ศรีสะเกษ!j180"")"),25)</f>
        <v>25</v>
      </c>
      <c r="U46" s="137">
        <f t="shared" ca="1" si="11"/>
        <v>100</v>
      </c>
      <c r="V46" s="77">
        <f ca="1">IFERROR(__xludf.DUMMYFUNCTION("IMPORTRANGE(""https://docs.google.com/spreadsheets/d/1C3CXT74ZlgGe6_JY_1olB1XN4rF0dxEuIIF-xsYjHgg/edit?usp=sharing"",""พรบ!BH50"")"),25)</f>
        <v>25</v>
      </c>
      <c r="W46" s="77">
        <f ca="1">IFERROR(__xludf.DUMMYFUNCTION("IMPORTRANGE(""https://docs.google.com/spreadsheets/d/1XL5vhW3sbDhbH9Cz0tuDiY8C3ctxq1tqvaCgkFb8cCA/edit?usp=sharing"",""ศรีสะเกษ!j181"")"),0)</f>
        <v>0</v>
      </c>
      <c r="X46" s="137">
        <f t="shared" ca="1" si="13"/>
        <v>0</v>
      </c>
      <c r="Y46" s="77">
        <f ca="1">IFERROR(__xludf.DUMMYFUNCTION("IMPORTRANGE(""https://docs.google.com/spreadsheets/d/1C3CXT74ZlgGe6_JY_1olB1XN4rF0dxEuIIF-xsYjHgg/edit?usp=sharing"",""พรบ!BI50"")"),1)</f>
        <v>1</v>
      </c>
      <c r="Z46" s="77">
        <f ca="1">IFERROR(__xludf.DUMMYFUNCTION("IMPORTRANGE(""https://docs.google.com/spreadsheets/d/1XL5vhW3sbDhbH9Cz0tuDiY8C3ctxq1tqvaCgkFb8cCA/edit?usp=sharing"",""ศรีสะเกษ!j182"")"),0)</f>
        <v>0</v>
      </c>
      <c r="AA46" s="137">
        <f t="shared" ca="1" si="15"/>
        <v>0</v>
      </c>
      <c r="AB46" s="75">
        <f t="shared" ca="1" si="16"/>
        <v>183600</v>
      </c>
      <c r="AC46" s="76">
        <f t="shared" ca="1" si="56"/>
        <v>183600</v>
      </c>
      <c r="AD46" s="77">
        <f ca="1">IFERROR(__xludf.DUMMYFUNCTION("IMPORTRANGE(""https://docs.google.com/spreadsheets/d/1C3CXT74ZlgGe6_JY_1olB1XN4rF0dxEuIIF-xsYjHgg/edit?usp=sharing"",""พรบ!BK50"")"),0)</f>
        <v>0</v>
      </c>
      <c r="AE46" s="77">
        <f ca="1">IFERROR(__xludf.DUMMYFUNCTION("IMPORTRANGE(""https://docs.google.com/spreadsheets/d/1C3CXT74ZlgGe6_JY_1olB1XN4rF0dxEuIIF-xsYjHgg/edit?usp=sharing"",""พรบ!BL50"")"),183600)</f>
        <v>183600</v>
      </c>
      <c r="AF46" s="77">
        <f ca="1">IFERROR(__xludf.DUMMYFUNCTION("IMPORTRANGE(""https://docs.google.com/spreadsheets/d/1Yj_ptqi66GCucihVvJfMjLAmec39IyEx_6qawtMGysU/edit?usp=sharing"",""สบก!CI50"")"),0)</f>
        <v>0</v>
      </c>
      <c r="AG46" s="77">
        <f ca="1">IFERROR(__xludf.DUMMYFUNCTION("IMPORTRANGE(""https://docs.google.com/spreadsheets/d/1Yj_ptqi66GCucihVvJfMjLAmec39IyEx_6qawtMGysU/edit?usp=shCKing"",""สบก!CK50"")"),161600)</f>
        <v>161600</v>
      </c>
      <c r="AH46" s="77">
        <f t="shared" ca="1" si="19"/>
        <v>75527.06</v>
      </c>
      <c r="AI46" s="77">
        <f t="shared" ca="1" si="20"/>
        <v>41.136742919389981</v>
      </c>
      <c r="AJ46" s="77">
        <f ca="1">IFERROR(__xludf.DUMMYFUNCTION("IMPORTRANGE(""https://docs.google.com/spreadsheets/d/1Yj_ptqi66GCucihVvJfMjLAmec39IyEx_6qawtMGysU/edit?usp=sharing"",""สบก!CL50"")"),75527.06)</f>
        <v>75527.06</v>
      </c>
      <c r="AK46" s="137">
        <f t="shared" ca="1" si="21"/>
        <v>41.136742919389981</v>
      </c>
      <c r="AL46" s="137">
        <f t="shared" ca="1" si="22"/>
        <v>46.737042079207917</v>
      </c>
      <c r="AM46" s="137">
        <f ca="1">IFERROR(__xludf.DUMMYFUNCTION("IMPORTRANGE(""https://docs.google.com/spreadsheets/d/1Yj_ptqi66GCucihVvJfMjLAmec39IyEx_6qawtMGysU/edit?usp=sharing"",""สบก!CM50"")"),0)</f>
        <v>0</v>
      </c>
      <c r="AN46" s="137">
        <f t="shared" ca="1" si="23"/>
        <v>0</v>
      </c>
      <c r="AO46" s="77">
        <f ca="1">IFERROR(__xludf.DUMMYFUNCTION("IMPORTRANGE(""https://docs.google.com/spreadsheets/d/1C3CXT74ZlgGe6_JY_1olB1XN4rF0dxEuIIF-xsYjHgg/edit?usp=sharing"",""พรบ!BM50"")"),20)</f>
        <v>20</v>
      </c>
      <c r="AP46" s="77">
        <f ca="1">IFERROR(__xludf.DUMMYFUNCTION("IMPORTRANGE(""https://docs.google.com/spreadsheets/d/1XL5vhW3sbDhbH9Cz0tuDiY8C3ctxq1tqvaCgkFb8cCA/edit?usp=sharing"",""ศรีสะเกษ!j195"")"),20)</f>
        <v>20</v>
      </c>
      <c r="AQ46" s="137">
        <f t="shared" ca="1" si="25"/>
        <v>100</v>
      </c>
    </row>
    <row r="47" spans="1:43" ht="21" customHeight="1">
      <c r="A47" s="73">
        <v>14</v>
      </c>
      <c r="B47" s="74" t="s">
        <v>71</v>
      </c>
      <c r="C47" s="75">
        <f t="shared" ca="1" si="0"/>
        <v>89000</v>
      </c>
      <c r="D47" s="76">
        <f t="shared" ca="1" si="55"/>
        <v>89000</v>
      </c>
      <c r="E47" s="77">
        <f ca="1">IFERROR(__xludf.DUMMYFUNCTION("IMPORTRANGE(""https://docs.google.com/spreadsheets/d/1C3CXT74ZlgGe6_JY_1olB1XN4rF0dxEuIIF-xsYjHgg/edit?usp=sharing"",""พรบ!BD51"")"),0)</f>
        <v>0</v>
      </c>
      <c r="F47" s="77">
        <f ca="1">IFERROR(__xludf.DUMMYFUNCTION("IMPORTRANGE(""https://docs.google.com/spreadsheets/d/1C3CXT74ZlgGe6_JY_1olB1XN4rF0dxEuIIF-xsYjHgg/edit?usp=sharing"",""พรบ!BE51"")"),89000)</f>
        <v>89000</v>
      </c>
      <c r="G47" s="77">
        <f ca="1">IFERROR(__xludf.DUMMYFUNCTION("IMPORTRANGE(""https://docs.google.com/spreadsheets/d/1Yj_ptqi66GCucihVvJfMjLAmec39IyEx_6qawtMGysU/edit?usp=sharing"",""สบก!BZ51"")"),0)</f>
        <v>0</v>
      </c>
      <c r="H47" s="77">
        <f ca="1">IFERROR(__xludf.DUMMYFUNCTION("IMPORTRANGE(""https://docs.google.com/spreadsheets/d/1Yj_ptqi66GCucihVvJfMjLAmec39IyEx_6qawtMGysU/edit?usp=shCBing"",""สบก!CB51"")"),89000)</f>
        <v>89000</v>
      </c>
      <c r="I47" s="77">
        <f t="shared" ca="1" si="3"/>
        <v>42225</v>
      </c>
      <c r="J47" s="77">
        <f t="shared" ca="1" si="4"/>
        <v>47.443820224719104</v>
      </c>
      <c r="K47" s="77">
        <f ca="1">IFERROR(__xludf.DUMMYFUNCTION("IMPORTRANGE(""https://docs.google.com/spreadsheets/d/1Yj_ptqi66GCucihVvJfMjLAmec39IyEx_6qawtMGysU/edit?usp=sharing"",""สบก!CC51"")"),42225)</f>
        <v>42225</v>
      </c>
      <c r="L47" s="137">
        <f t="shared" ca="1" si="5"/>
        <v>47.443820224719104</v>
      </c>
      <c r="M47" s="137">
        <f t="shared" ca="1" si="6"/>
        <v>47.443820224719104</v>
      </c>
      <c r="N47" s="137">
        <f ca="1">IFERROR(__xludf.DUMMYFUNCTION("IMPORTRANGE(""https://docs.google.com/spreadsheets/d/1Yj_ptqi66GCucihVvJfMjLAmec39IyEx_6qawtMGysU/edit?usp=sharing"",""สบก!CD51"")"),0)</f>
        <v>0</v>
      </c>
      <c r="O47" s="137">
        <f t="shared" ca="1" si="7"/>
        <v>0</v>
      </c>
      <c r="P47" s="77">
        <f ca="1">IFERROR(__xludf.DUMMYFUNCTION("IMPORTRANGE(""https://docs.google.com/spreadsheets/d/1C3CXT74ZlgGe6_JY_1olB1XN4rF0dxEuIIF-xsYjHgg/edit?usp=sharing"",""พรบ!BF51"")"),1)</f>
        <v>1</v>
      </c>
      <c r="Q47" s="77">
        <f ca="1">IFERROR(__xludf.DUMMYFUNCTION("IMPORTRANGE(""https://docs.google.com/spreadsheets/d/1XL5vhW3sbDhbH9Cz0tuDiY8C3ctxq1tqvaCgkFb8cCA/edit?usp=sharing"",""สกลนคร!j179"")"),0)</f>
        <v>0</v>
      </c>
      <c r="R47" s="137">
        <f t="shared" ca="1" si="9"/>
        <v>0</v>
      </c>
      <c r="S47" s="77">
        <f ca="1">IFERROR(__xludf.DUMMYFUNCTION("IMPORTRANGE(""https://docs.google.com/spreadsheets/d/1C3CXT74ZlgGe6_JY_1olB1XN4rF0dxEuIIF-xsYjHgg/edit?usp=sharing"",""พรบ!BG51"")"),25)</f>
        <v>25</v>
      </c>
      <c r="T47" s="77">
        <f ca="1">IFERROR(__xludf.DUMMYFUNCTION("IMPORTRANGE(""https://docs.google.com/spreadsheets/d/1XL5vhW3sbDhbH9Cz0tuDiY8C3ctxq1tqvaCgkFb8cCA/edit?usp=sharing"",""สกลนคร!j180"")"),13)</f>
        <v>13</v>
      </c>
      <c r="U47" s="137">
        <f t="shared" ca="1" si="11"/>
        <v>52</v>
      </c>
      <c r="V47" s="77">
        <f ca="1">IFERROR(__xludf.DUMMYFUNCTION("IMPORTRANGE(""https://docs.google.com/spreadsheets/d/1C3CXT74ZlgGe6_JY_1olB1XN4rF0dxEuIIF-xsYjHgg/edit?usp=sharing"",""พรบ!BH51"")"),25)</f>
        <v>25</v>
      </c>
      <c r="W47" s="77">
        <f ca="1">IFERROR(__xludf.DUMMYFUNCTION("IMPORTRANGE(""https://docs.google.com/spreadsheets/d/1XL5vhW3sbDhbH9Cz0tuDiY8C3ctxq1tqvaCgkFb8cCA/edit?usp=sharing"",""สกลนคร!j181"")"),0)</f>
        <v>0</v>
      </c>
      <c r="X47" s="137">
        <f t="shared" ca="1" si="13"/>
        <v>0</v>
      </c>
      <c r="Y47" s="77">
        <f ca="1">IFERROR(__xludf.DUMMYFUNCTION("IMPORTRANGE(""https://docs.google.com/spreadsheets/d/1C3CXT74ZlgGe6_JY_1olB1XN4rF0dxEuIIF-xsYjHgg/edit?usp=sharing"",""พรบ!BI51"")"),1)</f>
        <v>1</v>
      </c>
      <c r="Z47" s="77">
        <f ca="1">IFERROR(__xludf.DUMMYFUNCTION("IMPORTRANGE(""https://docs.google.com/spreadsheets/d/1XL5vhW3sbDhbH9Cz0tuDiY8C3ctxq1tqvaCgkFb8cCA/edit?usp=sharing"",""สกลนคร!j182"")"),1)</f>
        <v>1</v>
      </c>
      <c r="AA47" s="137">
        <f t="shared" ca="1" si="15"/>
        <v>100</v>
      </c>
      <c r="AB47" s="75">
        <f t="shared" ca="1" si="16"/>
        <v>0</v>
      </c>
      <c r="AC47" s="76">
        <f t="shared" ca="1" si="56"/>
        <v>0</v>
      </c>
      <c r="AD47" s="77">
        <f ca="1">IFERROR(__xludf.DUMMYFUNCTION("IMPORTRANGE(""https://docs.google.com/spreadsheets/d/1C3CXT74ZlgGe6_JY_1olB1XN4rF0dxEuIIF-xsYjHgg/edit?usp=sharing"",""พรบ!BK51"")"),0)</f>
        <v>0</v>
      </c>
      <c r="AE47" s="77">
        <f ca="1">IFERROR(__xludf.DUMMYFUNCTION("IMPORTRANGE(""https://docs.google.com/spreadsheets/d/1C3CXT74ZlgGe6_JY_1olB1XN4rF0dxEuIIF-xsYjHgg/edit?usp=sharing"",""พรบ!BL51"")"),0)</f>
        <v>0</v>
      </c>
      <c r="AF47" s="77">
        <f ca="1">IFERROR(__xludf.DUMMYFUNCTION("IMPORTRANGE(""https://docs.google.com/spreadsheets/d/1Yj_ptqi66GCucihVvJfMjLAmec39IyEx_6qawtMGysU/edit?usp=sharing"",""สบก!CI51"")"),0)</f>
        <v>0</v>
      </c>
      <c r="AG47" s="77">
        <f ca="1">IFERROR(__xludf.DUMMYFUNCTION("IMPORTRANGE(""https://docs.google.com/spreadsheets/d/1Yj_ptqi66GCucihVvJfMjLAmec39IyEx_6qawtMGysU/edit?usp=shCKing"",""สบก!CK51"")"),0)</f>
        <v>0</v>
      </c>
      <c r="AH47" s="77">
        <f t="shared" ca="1" si="19"/>
        <v>0</v>
      </c>
      <c r="AI47" s="77">
        <f t="shared" ca="1" si="20"/>
        <v>0</v>
      </c>
      <c r="AJ47" s="77">
        <f ca="1">IFERROR(__xludf.DUMMYFUNCTION("IMPORTRANGE(""https://docs.google.com/spreadsheets/d/1Yj_ptqi66GCucihVvJfMjLAmec39IyEx_6qawtMGysU/edit?usp=sharing"",""สบก!CL51"")"),0)</f>
        <v>0</v>
      </c>
      <c r="AK47" s="137">
        <f t="shared" ca="1" si="21"/>
        <v>0</v>
      </c>
      <c r="AL47" s="137">
        <f t="shared" ca="1" si="22"/>
        <v>0</v>
      </c>
      <c r="AM47" s="137">
        <f ca="1">IFERROR(__xludf.DUMMYFUNCTION("IMPORTRANGE(""https://docs.google.com/spreadsheets/d/1Yj_ptqi66GCucihVvJfMjLAmec39IyEx_6qawtMGysU/edit?usp=sharing"",""สบก!CM51"")"),0)</f>
        <v>0</v>
      </c>
      <c r="AN47" s="137">
        <f t="shared" ca="1" si="23"/>
        <v>0</v>
      </c>
      <c r="AO47" s="77">
        <f ca="1">IFERROR(__xludf.DUMMYFUNCTION("IMPORTRANGE(""https://docs.google.com/spreadsheets/d/1C3CXT74ZlgGe6_JY_1olB1XN4rF0dxEuIIF-xsYjHgg/edit?usp=sharing"",""พรบ!BM51"")"),0)</f>
        <v>0</v>
      </c>
      <c r="AP47" s="77">
        <f ca="1">IFERROR(__xludf.DUMMYFUNCTION("IMPORTRANGE(""https://docs.google.com/spreadsheets/d/1XL5vhW3sbDhbH9Cz0tuDiY8C3ctxq1tqvaCgkFb8cCA/edit?usp=sharing"",""สกลนคร!j195"")"),0)</f>
        <v>0</v>
      </c>
      <c r="AQ47" s="137">
        <f t="shared" ca="1" si="25"/>
        <v>0</v>
      </c>
    </row>
    <row r="48" spans="1:43" ht="21" customHeight="1">
      <c r="A48" s="73">
        <v>15</v>
      </c>
      <c r="B48" s="74" t="s">
        <v>72</v>
      </c>
      <c r="C48" s="75">
        <f t="shared" ca="1" si="0"/>
        <v>0</v>
      </c>
      <c r="D48" s="76">
        <f t="shared" ca="1" si="55"/>
        <v>0</v>
      </c>
      <c r="E48" s="77">
        <f ca="1">IFERROR(__xludf.DUMMYFUNCTION("IMPORTRANGE(""https://docs.google.com/spreadsheets/d/1C3CXT74ZlgGe6_JY_1olB1XN4rF0dxEuIIF-xsYjHgg/edit?usp=sharing"",""พรบ!BD52"")"),0)</f>
        <v>0</v>
      </c>
      <c r="F48" s="77">
        <f ca="1">IFERROR(__xludf.DUMMYFUNCTION("IMPORTRANGE(""https://docs.google.com/spreadsheets/d/1C3CXT74ZlgGe6_JY_1olB1XN4rF0dxEuIIF-xsYjHgg/edit?usp=sharing"",""พรบ!BE52"")"),0)</f>
        <v>0</v>
      </c>
      <c r="G48" s="77">
        <f ca="1">IFERROR(__xludf.DUMMYFUNCTION("IMPORTRANGE(""https://docs.google.com/spreadsheets/d/1Yj_ptqi66GCucihVvJfMjLAmec39IyEx_6qawtMGysU/edit?usp=sharing"",""สบก!BZ52"")"),0)</f>
        <v>0</v>
      </c>
      <c r="H48" s="77">
        <f ca="1">IFERROR(__xludf.DUMMYFUNCTION("IMPORTRANGE(""https://docs.google.com/spreadsheets/d/1Yj_ptqi66GCucihVvJfMjLAmec39IyEx_6qawtMGysU/edit?usp=shCBing"",""สบก!CB52"")"),0)</f>
        <v>0</v>
      </c>
      <c r="I48" s="77">
        <f t="shared" ca="1" si="3"/>
        <v>0</v>
      </c>
      <c r="J48" s="77">
        <f t="shared" ca="1" si="4"/>
        <v>0</v>
      </c>
      <c r="K48" s="77">
        <f ca="1">IFERROR(__xludf.DUMMYFUNCTION("IMPORTRANGE(""https://docs.google.com/spreadsheets/d/1Yj_ptqi66GCucihVvJfMjLAmec39IyEx_6qawtMGysU/edit?usp=sharing"",""สบก!CC52"")"),0)</f>
        <v>0</v>
      </c>
      <c r="L48" s="137">
        <f t="shared" ca="1" si="5"/>
        <v>0</v>
      </c>
      <c r="M48" s="137">
        <f t="shared" ca="1" si="6"/>
        <v>0</v>
      </c>
      <c r="N48" s="137">
        <f ca="1">IFERROR(__xludf.DUMMYFUNCTION("IMPORTRANGE(""https://docs.google.com/spreadsheets/d/1Yj_ptqi66GCucihVvJfMjLAmec39IyEx_6qawtMGysU/edit?usp=sharing"",""สบก!CD52"")"),0)</f>
        <v>0</v>
      </c>
      <c r="O48" s="137">
        <f t="shared" ca="1" si="7"/>
        <v>0</v>
      </c>
      <c r="P48" s="77">
        <f ca="1">IFERROR(__xludf.DUMMYFUNCTION("IMPORTRANGE(""https://docs.google.com/spreadsheets/d/1C3CXT74ZlgGe6_JY_1olB1XN4rF0dxEuIIF-xsYjHgg/edit?usp=sharing"",""พรบ!BF52"")"),0)</f>
        <v>0</v>
      </c>
      <c r="Q48" s="77">
        <f ca="1">IFERROR(__xludf.DUMMYFUNCTION("IMPORTRANGE(""https://docs.google.com/spreadsheets/d/1XL5vhW3sbDhbH9Cz0tuDiY8C3ctxq1tqvaCgkFb8cCA/edit?usp=sharing"",""สุรินทร์!j179"")"),0)</f>
        <v>0</v>
      </c>
      <c r="R48" s="137">
        <f t="shared" ca="1" si="9"/>
        <v>0</v>
      </c>
      <c r="S48" s="77">
        <f ca="1">IFERROR(__xludf.DUMMYFUNCTION("IMPORTRANGE(""https://docs.google.com/spreadsheets/d/1C3CXT74ZlgGe6_JY_1olB1XN4rF0dxEuIIF-xsYjHgg/edit?usp=sharing"",""พรบ!BG52"")"),0)</f>
        <v>0</v>
      </c>
      <c r="T48" s="77">
        <f ca="1">IFERROR(__xludf.DUMMYFUNCTION("IMPORTRANGE(""https://docs.google.com/spreadsheets/d/1XL5vhW3sbDhbH9Cz0tuDiY8C3ctxq1tqvaCgkFb8cCA/edit?usp=sharing"",""สุรินทร์!j180"")"),0)</f>
        <v>0</v>
      </c>
      <c r="U48" s="137">
        <f t="shared" ca="1" si="11"/>
        <v>0</v>
      </c>
      <c r="V48" s="77">
        <f ca="1">IFERROR(__xludf.DUMMYFUNCTION("IMPORTRANGE(""https://docs.google.com/spreadsheets/d/1C3CXT74ZlgGe6_JY_1olB1XN4rF0dxEuIIF-xsYjHgg/edit?usp=sharing"",""พรบ!BH52"")"),0)</f>
        <v>0</v>
      </c>
      <c r="W48" s="77">
        <f ca="1">IFERROR(__xludf.DUMMYFUNCTION("IMPORTRANGE(""https://docs.google.com/spreadsheets/d/1XL5vhW3sbDhbH9Cz0tuDiY8C3ctxq1tqvaCgkFb8cCA/edit?usp=sharing"",""สุรินทร์!j181"")"),0)</f>
        <v>0</v>
      </c>
      <c r="X48" s="137">
        <f t="shared" ca="1" si="13"/>
        <v>0</v>
      </c>
      <c r="Y48" s="77">
        <f ca="1">IFERROR(__xludf.DUMMYFUNCTION("IMPORTRANGE(""https://docs.google.com/spreadsheets/d/1C3CXT74ZlgGe6_JY_1olB1XN4rF0dxEuIIF-xsYjHgg/edit?usp=sharing"",""พรบ!BI52"")"),0)</f>
        <v>0</v>
      </c>
      <c r="Z48" s="77">
        <f ca="1">IFERROR(__xludf.DUMMYFUNCTION("IMPORTRANGE(""https://docs.google.com/spreadsheets/d/1XL5vhW3sbDhbH9Cz0tuDiY8C3ctxq1tqvaCgkFb8cCA/edit?usp=sharing"",""สุรินทร์!j182"")"),0)</f>
        <v>0</v>
      </c>
      <c r="AA48" s="137">
        <f t="shared" ca="1" si="15"/>
        <v>0</v>
      </c>
      <c r="AB48" s="75">
        <f t="shared" ca="1" si="16"/>
        <v>55200</v>
      </c>
      <c r="AC48" s="76">
        <f t="shared" ca="1" si="56"/>
        <v>55200</v>
      </c>
      <c r="AD48" s="77">
        <f ca="1">IFERROR(__xludf.DUMMYFUNCTION("IMPORTRANGE(""https://docs.google.com/spreadsheets/d/1C3CXT74ZlgGe6_JY_1olB1XN4rF0dxEuIIF-xsYjHgg/edit?usp=sharing"",""พรบ!BK52"")"),0)</f>
        <v>0</v>
      </c>
      <c r="AE48" s="77">
        <f ca="1">IFERROR(__xludf.DUMMYFUNCTION("IMPORTRANGE(""https://docs.google.com/spreadsheets/d/1C3CXT74ZlgGe6_JY_1olB1XN4rF0dxEuIIF-xsYjHgg/edit?usp=sharing"",""พรบ!BL52"")"),55200)</f>
        <v>55200</v>
      </c>
      <c r="AF48" s="77">
        <f ca="1">IFERROR(__xludf.DUMMYFUNCTION("IMPORTRANGE(""https://docs.google.com/spreadsheets/d/1Yj_ptqi66GCucihVvJfMjLAmec39IyEx_6qawtMGysU/edit?usp=sharing"",""สบก!CI52"")"),0)</f>
        <v>0</v>
      </c>
      <c r="AG48" s="77">
        <f ca="1">IFERROR(__xludf.DUMMYFUNCTION("IMPORTRANGE(""https://docs.google.com/spreadsheets/d/1Yj_ptqi66GCucihVvJfMjLAmec39IyEx_6qawtMGysU/edit?usp=shCKing"",""สบก!CK52"")"),32250)</f>
        <v>32250</v>
      </c>
      <c r="AH48" s="77">
        <f t="shared" ca="1" si="19"/>
        <v>32170</v>
      </c>
      <c r="AI48" s="77">
        <f t="shared" ca="1" si="20"/>
        <v>58.278985507246375</v>
      </c>
      <c r="AJ48" s="77">
        <f ca="1">IFERROR(__xludf.DUMMYFUNCTION("IMPORTRANGE(""https://docs.google.com/spreadsheets/d/1Yj_ptqi66GCucihVvJfMjLAmec39IyEx_6qawtMGysU/edit?usp=sharing"",""สบก!CL52"")"),32170)</f>
        <v>32170</v>
      </c>
      <c r="AK48" s="137">
        <f t="shared" ca="1" si="21"/>
        <v>58.278985507246375</v>
      </c>
      <c r="AL48" s="137">
        <f t="shared" ca="1" si="22"/>
        <v>99.751937984496124</v>
      </c>
      <c r="AM48" s="137">
        <f ca="1">IFERROR(__xludf.DUMMYFUNCTION("IMPORTRANGE(""https://docs.google.com/spreadsheets/d/1Yj_ptqi66GCucihVvJfMjLAmec39IyEx_6qawtMGysU/edit?usp=sharing"",""สบก!CM52"")"),0)</f>
        <v>0</v>
      </c>
      <c r="AN48" s="137">
        <f t="shared" ca="1" si="23"/>
        <v>0</v>
      </c>
      <c r="AO48" s="77">
        <f ca="1">IFERROR(__xludf.DUMMYFUNCTION("IMPORTRANGE(""https://docs.google.com/spreadsheets/d/1C3CXT74ZlgGe6_JY_1olB1XN4rF0dxEuIIF-xsYjHgg/edit?usp=sharing"",""พรบ!BM52"")"),15)</f>
        <v>15</v>
      </c>
      <c r="AP48" s="77">
        <f ca="1">IFERROR(__xludf.DUMMYFUNCTION("IMPORTRANGE(""https://docs.google.com/spreadsheets/d/1XL5vhW3sbDhbH9Cz0tuDiY8C3ctxq1tqvaCgkFb8cCA/edit?usp=sharing"",""สุรินทร์!j195"")"),15)</f>
        <v>15</v>
      </c>
      <c r="AQ48" s="137">
        <f t="shared" ca="1" si="25"/>
        <v>100</v>
      </c>
    </row>
    <row r="49" spans="1:43" ht="21" customHeight="1">
      <c r="A49" s="73">
        <v>16</v>
      </c>
      <c r="B49" s="74" t="s">
        <v>73</v>
      </c>
      <c r="C49" s="75">
        <f t="shared" ca="1" si="0"/>
        <v>89000</v>
      </c>
      <c r="D49" s="76">
        <f t="shared" ca="1" si="55"/>
        <v>89000</v>
      </c>
      <c r="E49" s="77">
        <f ca="1">IFERROR(__xludf.DUMMYFUNCTION("IMPORTRANGE(""https://docs.google.com/spreadsheets/d/1C3CXT74ZlgGe6_JY_1olB1XN4rF0dxEuIIF-xsYjHgg/edit?usp=sharing"",""พรบ!BD53"")"),0)</f>
        <v>0</v>
      </c>
      <c r="F49" s="77">
        <f ca="1">IFERROR(__xludf.DUMMYFUNCTION("IMPORTRANGE(""https://docs.google.com/spreadsheets/d/1C3CXT74ZlgGe6_JY_1olB1XN4rF0dxEuIIF-xsYjHgg/edit?usp=sharing"",""พรบ!BE53"")"),89000)</f>
        <v>89000</v>
      </c>
      <c r="G49" s="77">
        <f ca="1">IFERROR(__xludf.DUMMYFUNCTION("IMPORTRANGE(""https://docs.google.com/spreadsheets/d/1Yj_ptqi66GCucihVvJfMjLAmec39IyEx_6qawtMGysU/edit?usp=sharing"",""สบก!BZ53"")"),0)</f>
        <v>0</v>
      </c>
      <c r="H49" s="77">
        <f ca="1">IFERROR(__xludf.DUMMYFUNCTION("IMPORTRANGE(""https://docs.google.com/spreadsheets/d/1Yj_ptqi66GCucihVvJfMjLAmec39IyEx_6qawtMGysU/edit?usp=shCBing"",""สบก!CB53"")"),47500)</f>
        <v>47500</v>
      </c>
      <c r="I49" s="77">
        <f t="shared" ca="1" si="3"/>
        <v>40724</v>
      </c>
      <c r="J49" s="77">
        <f t="shared" ca="1" si="4"/>
        <v>45.757303370786516</v>
      </c>
      <c r="K49" s="77">
        <f ca="1">IFERROR(__xludf.DUMMYFUNCTION("IMPORTRANGE(""https://docs.google.com/spreadsheets/d/1Yj_ptqi66GCucihVvJfMjLAmec39IyEx_6qawtMGysU/edit?usp=sharing"",""สบก!CC53"")"),40724)</f>
        <v>40724</v>
      </c>
      <c r="L49" s="137">
        <f t="shared" ca="1" si="5"/>
        <v>45.757303370786516</v>
      </c>
      <c r="M49" s="137">
        <f t="shared" ca="1" si="6"/>
        <v>85.734736842105264</v>
      </c>
      <c r="N49" s="137">
        <f ca="1">IFERROR(__xludf.DUMMYFUNCTION("IMPORTRANGE(""https://docs.google.com/spreadsheets/d/1Yj_ptqi66GCucihVvJfMjLAmec39IyEx_6qawtMGysU/edit?usp=sharing"",""สบก!CD53"")"),0)</f>
        <v>0</v>
      </c>
      <c r="O49" s="137">
        <f t="shared" ca="1" si="7"/>
        <v>0</v>
      </c>
      <c r="P49" s="77">
        <f ca="1">IFERROR(__xludf.DUMMYFUNCTION("IMPORTRANGE(""https://docs.google.com/spreadsheets/d/1C3CXT74ZlgGe6_JY_1olB1XN4rF0dxEuIIF-xsYjHgg/edit?usp=sharing"",""พรบ!BF53"")"),1)</f>
        <v>1</v>
      </c>
      <c r="Q49" s="77">
        <f ca="1">IFERROR(__xludf.DUMMYFUNCTION("IMPORTRANGE(""https://docs.google.com/spreadsheets/d/1XL5vhW3sbDhbH9Cz0tuDiY8C3ctxq1tqvaCgkFb8cCA/edit?usp=sharing"",""หนองคาย!j179"")"),0)</f>
        <v>0</v>
      </c>
      <c r="R49" s="137">
        <f t="shared" ca="1" si="9"/>
        <v>0</v>
      </c>
      <c r="S49" s="77">
        <f ca="1">IFERROR(__xludf.DUMMYFUNCTION("IMPORTRANGE(""https://docs.google.com/spreadsheets/d/1C3CXT74ZlgGe6_JY_1olB1XN4rF0dxEuIIF-xsYjHgg/edit?usp=sharing"",""พรบ!BG53"")"),25)</f>
        <v>25</v>
      </c>
      <c r="T49" s="77">
        <f ca="1">IFERROR(__xludf.DUMMYFUNCTION("IMPORTRANGE(""https://docs.google.com/spreadsheets/d/1XL5vhW3sbDhbH9Cz0tuDiY8C3ctxq1tqvaCgkFb8cCA/edit?usp=sharing"",""หนองคาย!j180"")"),25)</f>
        <v>25</v>
      </c>
      <c r="U49" s="137">
        <f t="shared" ca="1" si="11"/>
        <v>100</v>
      </c>
      <c r="V49" s="77">
        <f ca="1">IFERROR(__xludf.DUMMYFUNCTION("IMPORTRANGE(""https://docs.google.com/spreadsheets/d/1C3CXT74ZlgGe6_JY_1olB1XN4rF0dxEuIIF-xsYjHgg/edit?usp=sharing"",""พรบ!BH53"")"),25)</f>
        <v>25</v>
      </c>
      <c r="W49" s="77">
        <f ca="1">IFERROR(__xludf.DUMMYFUNCTION("IMPORTRANGE(""https://docs.google.com/spreadsheets/d/1XL5vhW3sbDhbH9Cz0tuDiY8C3ctxq1tqvaCgkFb8cCA/edit?usp=sharing"",""หนองคาย!j181"")"),0)</f>
        <v>0</v>
      </c>
      <c r="X49" s="137">
        <f t="shared" ca="1" si="13"/>
        <v>0</v>
      </c>
      <c r="Y49" s="77">
        <f ca="1">IFERROR(__xludf.DUMMYFUNCTION("IMPORTRANGE(""https://docs.google.com/spreadsheets/d/1C3CXT74ZlgGe6_JY_1olB1XN4rF0dxEuIIF-xsYjHgg/edit?usp=sharing"",""พรบ!BI53"")"),1)</f>
        <v>1</v>
      </c>
      <c r="Z49" s="77">
        <f ca="1">IFERROR(__xludf.DUMMYFUNCTION("IMPORTRANGE(""https://docs.google.com/spreadsheets/d/1XL5vhW3sbDhbH9Cz0tuDiY8C3ctxq1tqvaCgkFb8cCA/edit?usp=sharing"",""หนองคาย!j182"")"),1)</f>
        <v>1</v>
      </c>
      <c r="AA49" s="137">
        <f t="shared" ca="1" si="15"/>
        <v>100</v>
      </c>
      <c r="AB49" s="75">
        <f t="shared" ca="1" si="16"/>
        <v>0</v>
      </c>
      <c r="AC49" s="76">
        <f t="shared" ca="1" si="56"/>
        <v>0</v>
      </c>
      <c r="AD49" s="77">
        <f ca="1">IFERROR(__xludf.DUMMYFUNCTION("IMPORTRANGE(""https://docs.google.com/spreadsheets/d/1C3CXT74ZlgGe6_JY_1olB1XN4rF0dxEuIIF-xsYjHgg/edit?usp=sharing"",""พรบ!BK53"")"),0)</f>
        <v>0</v>
      </c>
      <c r="AE49" s="77">
        <f ca="1">IFERROR(__xludf.DUMMYFUNCTION("IMPORTRANGE(""https://docs.google.com/spreadsheets/d/1C3CXT74ZlgGe6_JY_1olB1XN4rF0dxEuIIF-xsYjHgg/edit?usp=sharing"",""พรบ!BL53"")"),0)</f>
        <v>0</v>
      </c>
      <c r="AF49" s="77">
        <f ca="1">IFERROR(__xludf.DUMMYFUNCTION("IMPORTRANGE(""https://docs.google.com/spreadsheets/d/1Yj_ptqi66GCucihVvJfMjLAmec39IyEx_6qawtMGysU/edit?usp=sharing"",""สบก!CI53"")"),0)</f>
        <v>0</v>
      </c>
      <c r="AG49" s="77">
        <f ca="1">IFERROR(__xludf.DUMMYFUNCTION("IMPORTRANGE(""https://docs.google.com/spreadsheets/d/1Yj_ptqi66GCucihVvJfMjLAmec39IyEx_6qawtMGysU/edit?usp=shCKing"",""สบก!CK53"")"),0)</f>
        <v>0</v>
      </c>
      <c r="AH49" s="77">
        <f t="shared" ca="1" si="19"/>
        <v>0</v>
      </c>
      <c r="AI49" s="77">
        <f t="shared" ca="1" si="20"/>
        <v>0</v>
      </c>
      <c r="AJ49" s="77">
        <f ca="1">IFERROR(__xludf.DUMMYFUNCTION("IMPORTRANGE(""https://docs.google.com/spreadsheets/d/1Yj_ptqi66GCucihVvJfMjLAmec39IyEx_6qawtMGysU/edit?usp=sharing"",""สบก!CL53"")"),0)</f>
        <v>0</v>
      </c>
      <c r="AK49" s="137">
        <f t="shared" ca="1" si="21"/>
        <v>0</v>
      </c>
      <c r="AL49" s="137">
        <f t="shared" ca="1" si="22"/>
        <v>0</v>
      </c>
      <c r="AM49" s="137">
        <f ca="1">IFERROR(__xludf.DUMMYFUNCTION("IMPORTRANGE(""https://docs.google.com/spreadsheets/d/1Yj_ptqi66GCucihVvJfMjLAmec39IyEx_6qawtMGysU/edit?usp=sharing"",""สบก!CM53"")"),0)</f>
        <v>0</v>
      </c>
      <c r="AN49" s="137">
        <f t="shared" ca="1" si="23"/>
        <v>0</v>
      </c>
      <c r="AO49" s="77">
        <f ca="1">IFERROR(__xludf.DUMMYFUNCTION("IMPORTRANGE(""https://docs.google.com/spreadsheets/d/1C3CXT74ZlgGe6_JY_1olB1XN4rF0dxEuIIF-xsYjHgg/edit?usp=sharing"",""พรบ!BM53"")"),0)</f>
        <v>0</v>
      </c>
      <c r="AP49" s="77">
        <f ca="1">IFERROR(__xludf.DUMMYFUNCTION("IMPORTRANGE(""https://docs.google.com/spreadsheets/d/1XL5vhW3sbDhbH9Cz0tuDiY8C3ctxq1tqvaCgkFb8cCA/edit?usp=sharing"",""หนองคาย!j195"")"),0)</f>
        <v>0</v>
      </c>
      <c r="AQ49" s="137">
        <f t="shared" ca="1" si="25"/>
        <v>0</v>
      </c>
    </row>
    <row r="50" spans="1:43" ht="21" customHeight="1">
      <c r="A50" s="73">
        <v>17</v>
      </c>
      <c r="B50" s="74" t="s">
        <v>74</v>
      </c>
      <c r="C50" s="75">
        <f t="shared" ca="1" si="0"/>
        <v>0</v>
      </c>
      <c r="D50" s="76">
        <f t="shared" ca="1" si="55"/>
        <v>0</v>
      </c>
      <c r="E50" s="77">
        <f ca="1">IFERROR(__xludf.DUMMYFUNCTION("IMPORTRANGE(""https://docs.google.com/spreadsheets/d/1C3CXT74ZlgGe6_JY_1olB1XN4rF0dxEuIIF-xsYjHgg/edit?usp=sharing"",""พรบ!BD54"")"),0)</f>
        <v>0</v>
      </c>
      <c r="F50" s="77">
        <f ca="1">IFERROR(__xludf.DUMMYFUNCTION("IMPORTRANGE(""https://docs.google.com/spreadsheets/d/1C3CXT74ZlgGe6_JY_1olB1XN4rF0dxEuIIF-xsYjHgg/edit?usp=sharing"",""พรบ!BE54"")"),0)</f>
        <v>0</v>
      </c>
      <c r="G50" s="77">
        <f ca="1">IFERROR(__xludf.DUMMYFUNCTION("IMPORTRANGE(""https://docs.google.com/spreadsheets/d/1Yj_ptqi66GCucihVvJfMjLAmec39IyEx_6qawtMGysU/edit?usp=sharing"",""สบก!BZ54"")"),0)</f>
        <v>0</v>
      </c>
      <c r="H50" s="77">
        <f ca="1">IFERROR(__xludf.DUMMYFUNCTION("IMPORTRANGE(""https://docs.google.com/spreadsheets/d/1Yj_ptqi66GCucihVvJfMjLAmec39IyEx_6qawtMGysU/edit?usp=shCBing"",""สบก!CB54"")"),0)</f>
        <v>0</v>
      </c>
      <c r="I50" s="77">
        <f t="shared" ca="1" si="3"/>
        <v>0</v>
      </c>
      <c r="J50" s="77">
        <f t="shared" ca="1" si="4"/>
        <v>0</v>
      </c>
      <c r="K50" s="77">
        <f ca="1">IFERROR(__xludf.DUMMYFUNCTION("IMPORTRANGE(""https://docs.google.com/spreadsheets/d/1Yj_ptqi66GCucihVvJfMjLAmec39IyEx_6qawtMGysU/edit?usp=sharing"",""สบก!CC54"")"),0)</f>
        <v>0</v>
      </c>
      <c r="L50" s="137">
        <f t="shared" ca="1" si="5"/>
        <v>0</v>
      </c>
      <c r="M50" s="137">
        <f t="shared" ca="1" si="6"/>
        <v>0</v>
      </c>
      <c r="N50" s="137">
        <f ca="1">IFERROR(__xludf.DUMMYFUNCTION("IMPORTRANGE(""https://docs.google.com/spreadsheets/d/1Yj_ptqi66GCucihVvJfMjLAmec39IyEx_6qawtMGysU/edit?usp=sharing"",""สบก!CD54"")"),0)</f>
        <v>0</v>
      </c>
      <c r="O50" s="137">
        <f t="shared" ca="1" si="7"/>
        <v>0</v>
      </c>
      <c r="P50" s="77">
        <f ca="1">IFERROR(__xludf.DUMMYFUNCTION("IMPORTRANGE(""https://docs.google.com/spreadsheets/d/1C3CXT74ZlgGe6_JY_1olB1XN4rF0dxEuIIF-xsYjHgg/edit?usp=sharing"",""พรบ!BF54"")"),0)</f>
        <v>0</v>
      </c>
      <c r="Q50" s="77">
        <f ca="1">IFERROR(__xludf.DUMMYFUNCTION("IMPORTRANGE(""https://docs.google.com/spreadsheets/d/1XL5vhW3sbDhbH9Cz0tuDiY8C3ctxq1tqvaCgkFb8cCA/edit?usp=sharing"",""หนองบัวลำภู!j179"")"),0)</f>
        <v>0</v>
      </c>
      <c r="R50" s="137">
        <f t="shared" ca="1" si="9"/>
        <v>0</v>
      </c>
      <c r="S50" s="77">
        <f ca="1">IFERROR(__xludf.DUMMYFUNCTION("IMPORTRANGE(""https://docs.google.com/spreadsheets/d/1C3CXT74ZlgGe6_JY_1olB1XN4rF0dxEuIIF-xsYjHgg/edit?usp=sharing"",""พรบ!BG54"")"),0)</f>
        <v>0</v>
      </c>
      <c r="T50" s="77">
        <f ca="1">IFERROR(__xludf.DUMMYFUNCTION("IMPORTRANGE(""https://docs.google.com/spreadsheets/d/1XL5vhW3sbDhbH9Cz0tuDiY8C3ctxq1tqvaCgkFb8cCA/edit?usp=sharing"",""หนองบัวลำภู!j180"")"),0)</f>
        <v>0</v>
      </c>
      <c r="U50" s="137">
        <f t="shared" ca="1" si="11"/>
        <v>0</v>
      </c>
      <c r="V50" s="77">
        <f ca="1">IFERROR(__xludf.DUMMYFUNCTION("IMPORTRANGE(""https://docs.google.com/spreadsheets/d/1C3CXT74ZlgGe6_JY_1olB1XN4rF0dxEuIIF-xsYjHgg/edit?usp=sharing"",""พรบ!BH54"")"),0)</f>
        <v>0</v>
      </c>
      <c r="W50" s="77">
        <f ca="1">IFERROR(__xludf.DUMMYFUNCTION("IMPORTRANGE(""https://docs.google.com/spreadsheets/d/1XL5vhW3sbDhbH9Cz0tuDiY8C3ctxq1tqvaCgkFb8cCA/edit?usp=sharing"",""หนองบัวลำภู!j181"")"),0)</f>
        <v>0</v>
      </c>
      <c r="X50" s="137">
        <f t="shared" ca="1" si="13"/>
        <v>0</v>
      </c>
      <c r="Y50" s="77">
        <f ca="1">IFERROR(__xludf.DUMMYFUNCTION("IMPORTRANGE(""https://docs.google.com/spreadsheets/d/1C3CXT74ZlgGe6_JY_1olB1XN4rF0dxEuIIF-xsYjHgg/edit?usp=sharing"",""พรบ!BI54"")"),0)</f>
        <v>0</v>
      </c>
      <c r="Z50" s="77">
        <f ca="1">IFERROR(__xludf.DUMMYFUNCTION("IMPORTRANGE(""https://docs.google.com/spreadsheets/d/1XL5vhW3sbDhbH9Cz0tuDiY8C3ctxq1tqvaCgkFb8cCA/edit?usp=sharing"",""หนองบัวลำภู!j182"")"),0)</f>
        <v>0</v>
      </c>
      <c r="AA50" s="137">
        <f t="shared" ca="1" si="15"/>
        <v>0</v>
      </c>
      <c r="AB50" s="75">
        <f t="shared" ca="1" si="16"/>
        <v>0</v>
      </c>
      <c r="AC50" s="76">
        <f t="shared" ca="1" si="56"/>
        <v>0</v>
      </c>
      <c r="AD50" s="77">
        <f ca="1">IFERROR(__xludf.DUMMYFUNCTION("IMPORTRANGE(""https://docs.google.com/spreadsheets/d/1C3CXT74ZlgGe6_JY_1olB1XN4rF0dxEuIIF-xsYjHgg/edit?usp=sharing"",""พรบ!BK54"")"),0)</f>
        <v>0</v>
      </c>
      <c r="AE50" s="77">
        <f ca="1">IFERROR(__xludf.DUMMYFUNCTION("IMPORTRANGE(""https://docs.google.com/spreadsheets/d/1C3CXT74ZlgGe6_JY_1olB1XN4rF0dxEuIIF-xsYjHgg/edit?usp=sharing"",""พรบ!BL54"")"),0)</f>
        <v>0</v>
      </c>
      <c r="AF50" s="77">
        <f ca="1">IFERROR(__xludf.DUMMYFUNCTION("IMPORTRANGE(""https://docs.google.com/spreadsheets/d/1Yj_ptqi66GCucihVvJfMjLAmec39IyEx_6qawtMGysU/edit?usp=sharing"",""สบก!CI54"")"),0)</f>
        <v>0</v>
      </c>
      <c r="AG50" s="77">
        <f ca="1">IFERROR(__xludf.DUMMYFUNCTION("IMPORTRANGE(""https://docs.google.com/spreadsheets/d/1Yj_ptqi66GCucihVvJfMjLAmec39IyEx_6qawtMGysU/edit?usp=shCKing"",""สบก!CK54"")"),0)</f>
        <v>0</v>
      </c>
      <c r="AH50" s="77">
        <f t="shared" ca="1" si="19"/>
        <v>0</v>
      </c>
      <c r="AI50" s="77">
        <f t="shared" ca="1" si="20"/>
        <v>0</v>
      </c>
      <c r="AJ50" s="77">
        <f ca="1">IFERROR(__xludf.DUMMYFUNCTION("IMPORTRANGE(""https://docs.google.com/spreadsheets/d/1Yj_ptqi66GCucihVvJfMjLAmec39IyEx_6qawtMGysU/edit?usp=sharing"",""สบก!CL54"")"),0)</f>
        <v>0</v>
      </c>
      <c r="AK50" s="137">
        <f t="shared" ca="1" si="21"/>
        <v>0</v>
      </c>
      <c r="AL50" s="137">
        <f t="shared" ca="1" si="22"/>
        <v>0</v>
      </c>
      <c r="AM50" s="137">
        <f ca="1">IFERROR(__xludf.DUMMYFUNCTION("IMPORTRANGE(""https://docs.google.com/spreadsheets/d/1Yj_ptqi66GCucihVvJfMjLAmec39IyEx_6qawtMGysU/edit?usp=sharing"",""สบก!CM54"")"),0)</f>
        <v>0</v>
      </c>
      <c r="AN50" s="137">
        <f t="shared" ca="1" si="23"/>
        <v>0</v>
      </c>
      <c r="AO50" s="77">
        <f ca="1">IFERROR(__xludf.DUMMYFUNCTION("IMPORTRANGE(""https://docs.google.com/spreadsheets/d/1C3CXT74ZlgGe6_JY_1olB1XN4rF0dxEuIIF-xsYjHgg/edit?usp=sharing"",""พรบ!BM54"")"),0)</f>
        <v>0</v>
      </c>
      <c r="AP50" s="77">
        <f ca="1">IFERROR(__xludf.DUMMYFUNCTION("IMPORTRANGE(""https://docs.google.com/spreadsheets/d/1XL5vhW3sbDhbH9Cz0tuDiY8C3ctxq1tqvaCgkFb8cCA/edit?usp=sharing"",""หนองบัวลำภู!j195"")"),0)</f>
        <v>0</v>
      </c>
      <c r="AQ50" s="137">
        <f t="shared" ca="1" si="25"/>
        <v>0</v>
      </c>
    </row>
    <row r="51" spans="1:43" ht="21" customHeight="1">
      <c r="A51" s="73">
        <v>18</v>
      </c>
      <c r="B51" s="74" t="s">
        <v>75</v>
      </c>
      <c r="C51" s="75">
        <f t="shared" ca="1" si="0"/>
        <v>0</v>
      </c>
      <c r="D51" s="76">
        <f t="shared" ca="1" si="55"/>
        <v>0</v>
      </c>
      <c r="E51" s="77">
        <f ca="1">IFERROR(__xludf.DUMMYFUNCTION("IMPORTRANGE(""https://docs.google.com/spreadsheets/d/1C3CXT74ZlgGe6_JY_1olB1XN4rF0dxEuIIF-xsYjHgg/edit?usp=sharing"",""พรบ!BD55"")"),0)</f>
        <v>0</v>
      </c>
      <c r="F51" s="77">
        <f ca="1">IFERROR(__xludf.DUMMYFUNCTION("IMPORTRANGE(""https://docs.google.com/spreadsheets/d/1C3CXT74ZlgGe6_JY_1olB1XN4rF0dxEuIIF-xsYjHgg/edit?usp=sharing"",""พรบ!BE55"")"),0)</f>
        <v>0</v>
      </c>
      <c r="G51" s="77">
        <f ca="1">IFERROR(__xludf.DUMMYFUNCTION("IMPORTRANGE(""https://docs.google.com/spreadsheets/d/1Yj_ptqi66GCucihVvJfMjLAmec39IyEx_6qawtMGysU/edit?usp=sharing"",""สบก!BZ55"")"),0)</f>
        <v>0</v>
      </c>
      <c r="H51" s="77">
        <f ca="1">IFERROR(__xludf.DUMMYFUNCTION("IMPORTRANGE(""https://docs.google.com/spreadsheets/d/1Yj_ptqi66GCucihVvJfMjLAmec39IyEx_6qawtMGysU/edit?usp=shCBing"",""สบก!CB55"")"),0)</f>
        <v>0</v>
      </c>
      <c r="I51" s="77">
        <f t="shared" ca="1" si="3"/>
        <v>0</v>
      </c>
      <c r="J51" s="77">
        <f t="shared" ca="1" si="4"/>
        <v>0</v>
      </c>
      <c r="K51" s="77">
        <f ca="1">IFERROR(__xludf.DUMMYFUNCTION("IMPORTRANGE(""https://docs.google.com/spreadsheets/d/1Yj_ptqi66GCucihVvJfMjLAmec39IyEx_6qawtMGysU/edit?usp=sharing"",""สบก!CC55"")"),0)</f>
        <v>0</v>
      </c>
      <c r="L51" s="137">
        <f t="shared" ca="1" si="5"/>
        <v>0</v>
      </c>
      <c r="M51" s="137">
        <f t="shared" ca="1" si="6"/>
        <v>0</v>
      </c>
      <c r="N51" s="137">
        <f ca="1">IFERROR(__xludf.DUMMYFUNCTION("IMPORTRANGE(""https://docs.google.com/spreadsheets/d/1Yj_ptqi66GCucihVvJfMjLAmec39IyEx_6qawtMGysU/edit?usp=sharing"",""สบก!CD55"")"),0)</f>
        <v>0</v>
      </c>
      <c r="O51" s="137">
        <f t="shared" ca="1" si="7"/>
        <v>0</v>
      </c>
      <c r="P51" s="77">
        <f ca="1">IFERROR(__xludf.DUMMYFUNCTION("IMPORTRANGE(""https://docs.google.com/spreadsheets/d/1C3CXT74ZlgGe6_JY_1olB1XN4rF0dxEuIIF-xsYjHgg/edit?usp=sharing"",""พรบ!BF55"")"),0)</f>
        <v>0</v>
      </c>
      <c r="Q51" s="77">
        <f ca="1">IFERROR(__xludf.DUMMYFUNCTION("IMPORTRANGE(""https://docs.google.com/spreadsheets/d/1XL5vhW3sbDhbH9Cz0tuDiY8C3ctxq1tqvaCgkFb8cCA/edit?usp=sharing"",""อำนาจเจริญ!j179"")"),0)</f>
        <v>0</v>
      </c>
      <c r="R51" s="137">
        <f t="shared" ca="1" si="9"/>
        <v>0</v>
      </c>
      <c r="S51" s="77">
        <f ca="1">IFERROR(__xludf.DUMMYFUNCTION("IMPORTRANGE(""https://docs.google.com/spreadsheets/d/1C3CXT74ZlgGe6_JY_1olB1XN4rF0dxEuIIF-xsYjHgg/edit?usp=sharing"",""พรบ!BG55"")"),0)</f>
        <v>0</v>
      </c>
      <c r="T51" s="77">
        <f ca="1">IFERROR(__xludf.DUMMYFUNCTION("IMPORTRANGE(""https://docs.google.com/spreadsheets/d/1XL5vhW3sbDhbH9Cz0tuDiY8C3ctxq1tqvaCgkFb8cCA/edit?usp=sharing"",""อำนาจเจริญ!j180"")"),0)</f>
        <v>0</v>
      </c>
      <c r="U51" s="137">
        <f t="shared" ca="1" si="11"/>
        <v>0</v>
      </c>
      <c r="V51" s="77">
        <f ca="1">IFERROR(__xludf.DUMMYFUNCTION("IMPORTRANGE(""https://docs.google.com/spreadsheets/d/1C3CXT74ZlgGe6_JY_1olB1XN4rF0dxEuIIF-xsYjHgg/edit?usp=sharing"",""พรบ!BH55"")"),0)</f>
        <v>0</v>
      </c>
      <c r="W51" s="77">
        <f ca="1">IFERROR(__xludf.DUMMYFUNCTION("IMPORTRANGE(""https://docs.google.com/spreadsheets/d/1XL5vhW3sbDhbH9Cz0tuDiY8C3ctxq1tqvaCgkFb8cCA/edit?usp=sharing"",""อำนาจเจริญ!j181"")"),0)</f>
        <v>0</v>
      </c>
      <c r="X51" s="137">
        <f t="shared" ca="1" si="13"/>
        <v>0</v>
      </c>
      <c r="Y51" s="77">
        <f ca="1">IFERROR(__xludf.DUMMYFUNCTION("IMPORTRANGE(""https://docs.google.com/spreadsheets/d/1C3CXT74ZlgGe6_JY_1olB1XN4rF0dxEuIIF-xsYjHgg/edit?usp=sharing"",""พรบ!BI55"")"),0)</f>
        <v>0</v>
      </c>
      <c r="Z51" s="77">
        <f ca="1">IFERROR(__xludf.DUMMYFUNCTION("IMPORTRANGE(""https://docs.google.com/spreadsheets/d/1XL5vhW3sbDhbH9Cz0tuDiY8C3ctxq1tqvaCgkFb8cCA/edit?usp=sharing"",""อำนาจเจริญ!j182"")"),0)</f>
        <v>0</v>
      </c>
      <c r="AA51" s="137">
        <f t="shared" ca="1" si="15"/>
        <v>0</v>
      </c>
      <c r="AB51" s="75">
        <f t="shared" ca="1" si="16"/>
        <v>55200</v>
      </c>
      <c r="AC51" s="76">
        <f t="shared" ca="1" si="56"/>
        <v>55200</v>
      </c>
      <c r="AD51" s="77">
        <f ca="1">IFERROR(__xludf.DUMMYFUNCTION("IMPORTRANGE(""https://docs.google.com/spreadsheets/d/1C3CXT74ZlgGe6_JY_1olB1XN4rF0dxEuIIF-xsYjHgg/edit?usp=sharing"",""พรบ!BK55"")"),0)</f>
        <v>0</v>
      </c>
      <c r="AE51" s="77">
        <f ca="1">IFERROR(__xludf.DUMMYFUNCTION("IMPORTRANGE(""https://docs.google.com/spreadsheets/d/1C3CXT74ZlgGe6_JY_1olB1XN4rF0dxEuIIF-xsYjHgg/edit?usp=sharing"",""พรบ!BL55"")"),55200)</f>
        <v>55200</v>
      </c>
      <c r="AF51" s="77">
        <f ca="1">IFERROR(__xludf.DUMMYFUNCTION("IMPORTRANGE(""https://docs.google.com/spreadsheets/d/1Yj_ptqi66GCucihVvJfMjLAmec39IyEx_6qawtMGysU/edit?usp=sharing"",""สบก!CI55"")"),0)</f>
        <v>0</v>
      </c>
      <c r="AG51" s="77">
        <f ca="1">IFERROR(__xludf.DUMMYFUNCTION("IMPORTRANGE(""https://docs.google.com/spreadsheets/d/1Yj_ptqi66GCucihVvJfMjLAmec39IyEx_6qawtMGysU/edit?usp=shCKing"",""สบก!CK55"")"),32250)</f>
        <v>32250</v>
      </c>
      <c r="AH51" s="77">
        <f t="shared" ca="1" si="19"/>
        <v>25510</v>
      </c>
      <c r="AI51" s="77">
        <f t="shared" ca="1" si="20"/>
        <v>46.213768115942031</v>
      </c>
      <c r="AJ51" s="77">
        <f ca="1">IFERROR(__xludf.DUMMYFUNCTION("IMPORTRANGE(""https://docs.google.com/spreadsheets/d/1Yj_ptqi66GCucihVvJfMjLAmec39IyEx_6qawtMGysU/edit?usp=sharing"",""สบก!CL55"")"),25510)</f>
        <v>25510</v>
      </c>
      <c r="AK51" s="137">
        <f t="shared" ca="1" si="21"/>
        <v>46.213768115942031</v>
      </c>
      <c r="AL51" s="137">
        <f t="shared" ca="1" si="22"/>
        <v>79.100775193798455</v>
      </c>
      <c r="AM51" s="137">
        <f ca="1">IFERROR(__xludf.DUMMYFUNCTION("IMPORTRANGE(""https://docs.google.com/spreadsheets/d/1Yj_ptqi66GCucihVvJfMjLAmec39IyEx_6qawtMGysU/edit?usp=sharing"",""สบก!CM55"")"),0)</f>
        <v>0</v>
      </c>
      <c r="AN51" s="137">
        <f t="shared" ca="1" si="23"/>
        <v>0</v>
      </c>
      <c r="AO51" s="77">
        <f ca="1">IFERROR(__xludf.DUMMYFUNCTION("IMPORTRANGE(""https://docs.google.com/spreadsheets/d/1C3CXT74ZlgGe6_JY_1olB1XN4rF0dxEuIIF-xsYjHgg/edit?usp=sharing"",""พรบ!BM55"")"),15)</f>
        <v>15</v>
      </c>
      <c r="AP51" s="77">
        <f ca="1">IFERROR(__xludf.DUMMYFUNCTION("IMPORTRANGE(""https://docs.google.com/spreadsheets/d/1XL5vhW3sbDhbH9Cz0tuDiY8C3ctxq1tqvaCgkFb8cCA/edit?usp=sharing"",""อำนาจเจริญ!j195"")"),15)</f>
        <v>15</v>
      </c>
      <c r="AQ51" s="137">
        <f t="shared" ca="1" si="25"/>
        <v>100</v>
      </c>
    </row>
    <row r="52" spans="1:43" ht="21" customHeight="1">
      <c r="A52" s="73">
        <v>19</v>
      </c>
      <c r="B52" s="74" t="s">
        <v>76</v>
      </c>
      <c r="C52" s="75">
        <f t="shared" ca="1" si="0"/>
        <v>71400</v>
      </c>
      <c r="D52" s="76">
        <f t="shared" ca="1" si="55"/>
        <v>71400</v>
      </c>
      <c r="E52" s="77">
        <f ca="1">IFERROR(__xludf.DUMMYFUNCTION("IMPORTRANGE(""https://docs.google.com/spreadsheets/d/1C3CXT74ZlgGe6_JY_1olB1XN4rF0dxEuIIF-xsYjHgg/edit?usp=sharing"",""พรบ!BD56"")"),0)</f>
        <v>0</v>
      </c>
      <c r="F52" s="77">
        <f ca="1">IFERROR(__xludf.DUMMYFUNCTION("IMPORTRANGE(""https://docs.google.com/spreadsheets/d/1C3CXT74ZlgGe6_JY_1olB1XN4rF0dxEuIIF-xsYjHgg/edit?usp=sharing"",""พรบ!BE56"")"),71400)</f>
        <v>71400</v>
      </c>
      <c r="G52" s="77">
        <f ca="1">IFERROR(__xludf.DUMMYFUNCTION("IMPORTRANGE(""https://docs.google.com/spreadsheets/d/1Yj_ptqi66GCucihVvJfMjLAmec39IyEx_6qawtMGysU/edit?usp=sharing"",""สบก!BZ56"")"),0)</f>
        <v>0</v>
      </c>
      <c r="H52" s="77">
        <f ca="1">IFERROR(__xludf.DUMMYFUNCTION("IMPORTRANGE(""https://docs.google.com/spreadsheets/d/1Yj_ptqi66GCucihVvJfMjLAmec39IyEx_6qawtMGysU/edit?usp=shCBing"",""สบก!CB56"")"),42000)</f>
        <v>42000</v>
      </c>
      <c r="I52" s="77">
        <f t="shared" ca="1" si="3"/>
        <v>36990</v>
      </c>
      <c r="J52" s="77">
        <f t="shared" ca="1" si="4"/>
        <v>51.806722689075627</v>
      </c>
      <c r="K52" s="77">
        <f ca="1">IFERROR(__xludf.DUMMYFUNCTION("IMPORTRANGE(""https://docs.google.com/spreadsheets/d/1Yj_ptqi66GCucihVvJfMjLAmec39IyEx_6qawtMGysU/edit?usp=sharing"",""สบก!CC56"")"),36990)</f>
        <v>36990</v>
      </c>
      <c r="L52" s="137">
        <f t="shared" ca="1" si="5"/>
        <v>51.806722689075627</v>
      </c>
      <c r="M52" s="137">
        <f t="shared" ca="1" si="6"/>
        <v>88.071428571428569</v>
      </c>
      <c r="N52" s="137">
        <f ca="1">IFERROR(__xludf.DUMMYFUNCTION("IMPORTRANGE(""https://docs.google.com/spreadsheets/d/1Yj_ptqi66GCucihVvJfMjLAmec39IyEx_6qawtMGysU/edit?usp=sharing"",""สบก!CD56"")"),0)</f>
        <v>0</v>
      </c>
      <c r="O52" s="137">
        <f t="shared" ca="1" si="7"/>
        <v>0</v>
      </c>
      <c r="P52" s="77">
        <f ca="1">IFERROR(__xludf.DUMMYFUNCTION("IMPORTRANGE(""https://docs.google.com/spreadsheets/d/1C3CXT74ZlgGe6_JY_1olB1XN4rF0dxEuIIF-xsYjHgg/edit?usp=sharing"",""พรบ!BF56"")"),1)</f>
        <v>1</v>
      </c>
      <c r="Q52" s="77">
        <f ca="1">IFERROR(__xludf.DUMMYFUNCTION("IMPORTRANGE(""https://docs.google.com/spreadsheets/d/1XL5vhW3sbDhbH9Cz0tuDiY8C3ctxq1tqvaCgkFb8cCA/edit?usp=sharing"",""อุดรธานี!j179"")"),1)</f>
        <v>1</v>
      </c>
      <c r="R52" s="137">
        <f t="shared" ca="1" si="9"/>
        <v>100</v>
      </c>
      <c r="S52" s="77">
        <f ca="1">IFERROR(__xludf.DUMMYFUNCTION("IMPORTRANGE(""https://docs.google.com/spreadsheets/d/1C3CXT74ZlgGe6_JY_1olB1XN4rF0dxEuIIF-xsYjHgg/edit?usp=sharing"",""พรบ!BG56"")"),20)</f>
        <v>20</v>
      </c>
      <c r="T52" s="77">
        <f ca="1">IFERROR(__xludf.DUMMYFUNCTION("IMPORTRANGE(""https://docs.google.com/spreadsheets/d/1XL5vhW3sbDhbH9Cz0tuDiY8C3ctxq1tqvaCgkFb8cCA/edit?usp=sharing"",""อุดรธานี!j180"")"),20)</f>
        <v>20</v>
      </c>
      <c r="U52" s="137">
        <f t="shared" ca="1" si="11"/>
        <v>100</v>
      </c>
      <c r="V52" s="77">
        <f ca="1">IFERROR(__xludf.DUMMYFUNCTION("IMPORTRANGE(""https://docs.google.com/spreadsheets/d/1C3CXT74ZlgGe6_JY_1olB1XN4rF0dxEuIIF-xsYjHgg/edit?usp=sharing"",""พรบ!BH56"")"),20)</f>
        <v>20</v>
      </c>
      <c r="W52" s="77">
        <f ca="1">IFERROR(__xludf.DUMMYFUNCTION("IMPORTRANGE(""https://docs.google.com/spreadsheets/d/1XL5vhW3sbDhbH9Cz0tuDiY8C3ctxq1tqvaCgkFb8cCA/edit?usp=sharing"",""อุดรธานี!j181"")"),0)</f>
        <v>0</v>
      </c>
      <c r="X52" s="137">
        <f t="shared" ca="1" si="13"/>
        <v>0</v>
      </c>
      <c r="Y52" s="77">
        <f ca="1">IFERROR(__xludf.DUMMYFUNCTION("IMPORTRANGE(""https://docs.google.com/spreadsheets/d/1C3CXT74ZlgGe6_JY_1olB1XN4rF0dxEuIIF-xsYjHgg/edit?usp=sharing"",""พรบ!BI56"")"),1)</f>
        <v>1</v>
      </c>
      <c r="Z52" s="77">
        <f ca="1">IFERROR(__xludf.DUMMYFUNCTION("IMPORTRANGE(""https://docs.google.com/spreadsheets/d/1XL5vhW3sbDhbH9Cz0tuDiY8C3ctxq1tqvaCgkFb8cCA/edit?usp=sharing"",""อุดรธานี!j182"")"),0)</f>
        <v>0</v>
      </c>
      <c r="AA52" s="137">
        <f t="shared" ca="1" si="15"/>
        <v>0</v>
      </c>
      <c r="AB52" s="75">
        <f t="shared" ca="1" si="16"/>
        <v>183600</v>
      </c>
      <c r="AC52" s="76">
        <f t="shared" ca="1" si="56"/>
        <v>183600</v>
      </c>
      <c r="AD52" s="77">
        <f ca="1">IFERROR(__xludf.DUMMYFUNCTION("IMPORTRANGE(""https://docs.google.com/spreadsheets/d/1C3CXT74ZlgGe6_JY_1olB1XN4rF0dxEuIIF-xsYjHgg/edit?usp=sharing"",""พรบ!BK56"")"),0)</f>
        <v>0</v>
      </c>
      <c r="AE52" s="77">
        <f ca="1">IFERROR(__xludf.DUMMYFUNCTION("IMPORTRANGE(""https://docs.google.com/spreadsheets/d/1C3CXT74ZlgGe6_JY_1olB1XN4rF0dxEuIIF-xsYjHgg/edit?usp=sharing"",""พรบ!BL56"")"),183600)</f>
        <v>183600</v>
      </c>
      <c r="AF52" s="77">
        <f ca="1">IFERROR(__xludf.DUMMYFUNCTION("IMPORTRANGE(""https://docs.google.com/spreadsheets/d/1Yj_ptqi66GCucihVvJfMjLAmec39IyEx_6qawtMGysU/edit?usp=sharing"",""สบก!CI56"")"),0)</f>
        <v>0</v>
      </c>
      <c r="AG52" s="77">
        <f ca="1">IFERROR(__xludf.DUMMYFUNCTION("IMPORTRANGE(""https://docs.google.com/spreadsheets/d/1Yj_ptqi66GCucihVvJfMjLAmec39IyEx_6qawtMGysU/edit?usp=shCKing"",""สบก!CK56"")"),161600)</f>
        <v>161600</v>
      </c>
      <c r="AH52" s="77">
        <f t="shared" ca="1" si="19"/>
        <v>99273</v>
      </c>
      <c r="AI52" s="77">
        <f t="shared" ca="1" si="20"/>
        <v>54.070261437908499</v>
      </c>
      <c r="AJ52" s="77">
        <f ca="1">IFERROR(__xludf.DUMMYFUNCTION("IMPORTRANGE(""https://docs.google.com/spreadsheets/d/1Yj_ptqi66GCucihVvJfMjLAmec39IyEx_6qawtMGysU/edit?usp=sharing"",""สบก!CL56"")"),99273)</f>
        <v>99273</v>
      </c>
      <c r="AK52" s="137">
        <f t="shared" ca="1" si="21"/>
        <v>54.070261437908499</v>
      </c>
      <c r="AL52" s="137">
        <f t="shared" ca="1" si="22"/>
        <v>61.431311881188115</v>
      </c>
      <c r="AM52" s="137">
        <f ca="1">IFERROR(__xludf.DUMMYFUNCTION("IMPORTRANGE(""https://docs.google.com/spreadsheets/d/1Yj_ptqi66GCucihVvJfMjLAmec39IyEx_6qawtMGysU/edit?usp=sharing"",""สบก!CM56"")"),0)</f>
        <v>0</v>
      </c>
      <c r="AN52" s="137">
        <f t="shared" ca="1" si="23"/>
        <v>0</v>
      </c>
      <c r="AO52" s="77">
        <f ca="1">IFERROR(__xludf.DUMMYFUNCTION("IMPORTRANGE(""https://docs.google.com/spreadsheets/d/1C3CXT74ZlgGe6_JY_1olB1XN4rF0dxEuIIF-xsYjHgg/edit?usp=sharing"",""พรบ!BM56"")"),20)</f>
        <v>20</v>
      </c>
      <c r="AP52" s="77">
        <f ca="1">IFERROR(__xludf.DUMMYFUNCTION("IMPORTRANGE(""https://docs.google.com/spreadsheets/d/1XL5vhW3sbDhbH9Cz0tuDiY8C3ctxq1tqvaCgkFb8cCA/edit?usp=sharing"",""อุดรธานี!j195"")"),20)</f>
        <v>20</v>
      </c>
      <c r="AQ52" s="137">
        <f t="shared" ca="1" si="25"/>
        <v>100</v>
      </c>
    </row>
    <row r="53" spans="1:43" ht="21" customHeight="1">
      <c r="A53" s="84">
        <v>20</v>
      </c>
      <c r="B53" s="85" t="s">
        <v>77</v>
      </c>
      <c r="C53" s="86">
        <f t="shared" ca="1" si="0"/>
        <v>89000</v>
      </c>
      <c r="D53" s="87">
        <f t="shared" ca="1" si="55"/>
        <v>89000</v>
      </c>
      <c r="E53" s="88">
        <f ca="1">IFERROR(__xludf.DUMMYFUNCTION("IMPORTRANGE(""https://docs.google.com/spreadsheets/d/1C3CXT74ZlgGe6_JY_1olB1XN4rF0dxEuIIF-xsYjHgg/edit?usp=sharing"",""พรบ!BD57"")"),0)</f>
        <v>0</v>
      </c>
      <c r="F53" s="88">
        <f ca="1">IFERROR(__xludf.DUMMYFUNCTION("IMPORTRANGE(""https://docs.google.com/spreadsheets/d/1C3CXT74ZlgGe6_JY_1olB1XN4rF0dxEuIIF-xsYjHgg/edit?usp=sharing"",""พรบ!BE57"")"),89000)</f>
        <v>89000</v>
      </c>
      <c r="G53" s="88">
        <f ca="1">IFERROR(__xludf.DUMMYFUNCTION("IMPORTRANGE(""https://docs.google.com/spreadsheets/d/1Yj_ptqi66GCucihVvJfMjLAmec39IyEx_6qawtMGysU/edit?usp=sharing"",""สบก!BZ57"")"),0)</f>
        <v>0</v>
      </c>
      <c r="H53" s="88">
        <f ca="1">IFERROR(__xludf.DUMMYFUNCTION("IMPORTRANGE(""https://docs.google.com/spreadsheets/d/1Yj_ptqi66GCucihVvJfMjLAmec39IyEx_6qawtMGysU/edit?usp=shCBing"",""สบก!CB57"")"),47500)</f>
        <v>47500</v>
      </c>
      <c r="I53" s="88">
        <f t="shared" ca="1" si="3"/>
        <v>38017.75</v>
      </c>
      <c r="J53" s="88">
        <f t="shared" ca="1" si="4"/>
        <v>42.716573033707867</v>
      </c>
      <c r="K53" s="88">
        <f ca="1">IFERROR(__xludf.DUMMYFUNCTION("IMPORTRANGE(""https://docs.google.com/spreadsheets/d/1Yj_ptqi66GCucihVvJfMjLAmec39IyEx_6qawtMGysU/edit?usp=sharing"",""สบก!CC57"")"),38017.75)</f>
        <v>38017.75</v>
      </c>
      <c r="L53" s="138">
        <f t="shared" ca="1" si="5"/>
        <v>42.716573033707867</v>
      </c>
      <c r="M53" s="138">
        <f t="shared" ca="1" si="6"/>
        <v>80.037368421052633</v>
      </c>
      <c r="N53" s="138">
        <f ca="1">IFERROR(__xludf.DUMMYFUNCTION("IMPORTRANGE(""https://docs.google.com/spreadsheets/d/1Yj_ptqi66GCucihVvJfMjLAmec39IyEx_6qawtMGysU/edit?usp=sharing"",""สบก!CD57"")"),0)</f>
        <v>0</v>
      </c>
      <c r="O53" s="138">
        <f t="shared" ca="1" si="7"/>
        <v>0</v>
      </c>
      <c r="P53" s="88">
        <f ca="1">IFERROR(__xludf.DUMMYFUNCTION("IMPORTRANGE(""https://docs.google.com/spreadsheets/d/1C3CXT74ZlgGe6_JY_1olB1XN4rF0dxEuIIF-xsYjHgg/edit?usp=sharing"",""พรบ!BF57"")"),1)</f>
        <v>1</v>
      </c>
      <c r="Q53" s="88">
        <f ca="1">IFERROR(__xludf.DUMMYFUNCTION("IMPORTRANGE(""https://docs.google.com/spreadsheets/d/1XL5vhW3sbDhbH9Cz0tuDiY8C3ctxq1tqvaCgkFb8cCA/edit?usp=sharing"",""อุบลราชธานี!j179"")"),1)</f>
        <v>1</v>
      </c>
      <c r="R53" s="138">
        <f t="shared" ca="1" si="9"/>
        <v>100</v>
      </c>
      <c r="S53" s="88">
        <f ca="1">IFERROR(__xludf.DUMMYFUNCTION("IMPORTRANGE(""https://docs.google.com/spreadsheets/d/1C3CXT74ZlgGe6_JY_1olB1XN4rF0dxEuIIF-xsYjHgg/edit?usp=sharing"",""พรบ!BG57"")"),25)</f>
        <v>25</v>
      </c>
      <c r="T53" s="88">
        <f ca="1">IFERROR(__xludf.DUMMYFUNCTION("IMPORTRANGE(""https://docs.google.com/spreadsheets/d/1XL5vhW3sbDhbH9Cz0tuDiY8C3ctxq1tqvaCgkFb8cCA/edit?usp=sharing"",""อุบลราชธานี!j180"")"),25)</f>
        <v>25</v>
      </c>
      <c r="U53" s="138">
        <f t="shared" ca="1" si="11"/>
        <v>100</v>
      </c>
      <c r="V53" s="88">
        <f ca="1">IFERROR(__xludf.DUMMYFUNCTION("IMPORTRANGE(""https://docs.google.com/spreadsheets/d/1C3CXT74ZlgGe6_JY_1olB1XN4rF0dxEuIIF-xsYjHgg/edit?usp=sharing"",""พรบ!BH57"")"),25)</f>
        <v>25</v>
      </c>
      <c r="W53" s="88">
        <f ca="1">IFERROR(__xludf.DUMMYFUNCTION("IMPORTRANGE(""https://docs.google.com/spreadsheets/d/1XL5vhW3sbDhbH9Cz0tuDiY8C3ctxq1tqvaCgkFb8cCA/edit?usp=sharing"",""อุบลราชธานี!j181"")"),0)</f>
        <v>0</v>
      </c>
      <c r="X53" s="138">
        <f t="shared" ca="1" si="13"/>
        <v>0</v>
      </c>
      <c r="Y53" s="88">
        <f ca="1">IFERROR(__xludf.DUMMYFUNCTION("IMPORTRANGE(""https://docs.google.com/spreadsheets/d/1C3CXT74ZlgGe6_JY_1olB1XN4rF0dxEuIIF-xsYjHgg/edit?usp=sharing"",""พรบ!BI57"")"),1)</f>
        <v>1</v>
      </c>
      <c r="Z53" s="88">
        <f ca="1">IFERROR(__xludf.DUMMYFUNCTION("IMPORTRANGE(""https://docs.google.com/spreadsheets/d/1XL5vhW3sbDhbH9Cz0tuDiY8C3ctxq1tqvaCgkFb8cCA/edit?usp=sharing"",""อุบลราชธานี!j182"")"),1)</f>
        <v>1</v>
      </c>
      <c r="AA53" s="138">
        <f t="shared" ca="1" si="15"/>
        <v>100</v>
      </c>
      <c r="AB53" s="86">
        <f t="shared" ca="1" si="16"/>
        <v>183600</v>
      </c>
      <c r="AC53" s="87">
        <f t="shared" ca="1" si="56"/>
        <v>183600</v>
      </c>
      <c r="AD53" s="88">
        <f ca="1">IFERROR(__xludf.DUMMYFUNCTION("IMPORTRANGE(""https://docs.google.com/spreadsheets/d/1C3CXT74ZlgGe6_JY_1olB1XN4rF0dxEuIIF-xsYjHgg/edit?usp=sharing"",""พรบ!BK57"")"),0)</f>
        <v>0</v>
      </c>
      <c r="AE53" s="88">
        <f ca="1">IFERROR(__xludf.DUMMYFUNCTION("IMPORTRANGE(""https://docs.google.com/spreadsheets/d/1C3CXT74ZlgGe6_JY_1olB1XN4rF0dxEuIIF-xsYjHgg/edit?usp=sharing"",""พรบ!BL57"")"),183600)</f>
        <v>183600</v>
      </c>
      <c r="AF53" s="88">
        <f ca="1">IFERROR(__xludf.DUMMYFUNCTION("IMPORTRANGE(""https://docs.google.com/spreadsheets/d/1Yj_ptqi66GCucihVvJfMjLAmec39IyEx_6qawtMGysU/edit?usp=sharing"",""สบก!CI57"")"),0)</f>
        <v>0</v>
      </c>
      <c r="AG53" s="88">
        <f ca="1">IFERROR(__xludf.DUMMYFUNCTION("IMPORTRANGE(""https://docs.google.com/spreadsheets/d/1Yj_ptqi66GCucihVvJfMjLAmec39IyEx_6qawtMGysU/edit?usp=shCKing"",""สบก!CK57"")"),161600)</f>
        <v>161600</v>
      </c>
      <c r="AH53" s="88">
        <f t="shared" ca="1" si="19"/>
        <v>80055.100000000006</v>
      </c>
      <c r="AI53" s="88">
        <f t="shared" ca="1" si="20"/>
        <v>43.602995642701529</v>
      </c>
      <c r="AJ53" s="88">
        <f ca="1">IFERROR(__xludf.DUMMYFUNCTION("IMPORTRANGE(""https://docs.google.com/spreadsheets/d/1Yj_ptqi66GCucihVvJfMjLAmec39IyEx_6qawtMGysU/edit?usp=sharing"",""สบก!CL57"")"),80055.1)</f>
        <v>80055.100000000006</v>
      </c>
      <c r="AK53" s="138">
        <f t="shared" ca="1" si="21"/>
        <v>43.602995642701529</v>
      </c>
      <c r="AL53" s="138">
        <f t="shared" ca="1" si="22"/>
        <v>49.539047029702978</v>
      </c>
      <c r="AM53" s="138">
        <f ca="1">IFERROR(__xludf.DUMMYFUNCTION("IMPORTRANGE(""https://docs.google.com/spreadsheets/d/1Yj_ptqi66GCucihVvJfMjLAmec39IyEx_6qawtMGysU/edit?usp=sharing"",""สบก!CM57"")"),0)</f>
        <v>0</v>
      </c>
      <c r="AN53" s="138">
        <f t="shared" ca="1" si="23"/>
        <v>0</v>
      </c>
      <c r="AO53" s="88">
        <f ca="1">IFERROR(__xludf.DUMMYFUNCTION("IMPORTRANGE(""https://docs.google.com/spreadsheets/d/1C3CXT74ZlgGe6_JY_1olB1XN4rF0dxEuIIF-xsYjHgg/edit?usp=sharing"",""พรบ!BM57"")"),20)</f>
        <v>20</v>
      </c>
      <c r="AP53" s="88">
        <f ca="1">IFERROR(__xludf.DUMMYFUNCTION("IMPORTRANGE(""https://docs.google.com/spreadsheets/d/1XL5vhW3sbDhbH9Cz0tuDiY8C3ctxq1tqvaCgkFb8cCA/edit?usp=sharing"",""อุบลราชธานี!j195"")"),20)</f>
        <v>20</v>
      </c>
      <c r="AQ53" s="138">
        <f t="shared" ca="1" si="25"/>
        <v>100</v>
      </c>
    </row>
    <row r="54" spans="1:43" ht="21" customHeight="1">
      <c r="A54" s="679" t="s">
        <v>78</v>
      </c>
      <c r="B54" s="678"/>
      <c r="C54" s="94">
        <f t="shared" ca="1" si="0"/>
        <v>1135900</v>
      </c>
      <c r="D54" s="95">
        <f t="shared" ref="D54:H54" ca="1" si="57">SUM(D55:D75)</f>
        <v>1135900</v>
      </c>
      <c r="E54" s="95">
        <f t="shared" ca="1" si="57"/>
        <v>0</v>
      </c>
      <c r="F54" s="95">
        <f t="shared" ca="1" si="57"/>
        <v>1135900</v>
      </c>
      <c r="G54" s="95">
        <f t="shared" ca="1" si="57"/>
        <v>0</v>
      </c>
      <c r="H54" s="95">
        <f t="shared" ca="1" si="57"/>
        <v>900900</v>
      </c>
      <c r="I54" s="95">
        <f t="shared" ca="1" si="3"/>
        <v>491271</v>
      </c>
      <c r="J54" s="95">
        <f t="shared" ca="1" si="4"/>
        <v>43.249493793467735</v>
      </c>
      <c r="K54" s="95">
        <f ca="1">SUM(K55:K75)</f>
        <v>491271</v>
      </c>
      <c r="L54" s="139">
        <f t="shared" ca="1" si="5"/>
        <v>43.249493793467735</v>
      </c>
      <c r="M54" s="139">
        <f t="shared" ca="1" si="6"/>
        <v>54.531135531135533</v>
      </c>
      <c r="N54" s="139">
        <f ca="1">SUM(N55:N75)</f>
        <v>0</v>
      </c>
      <c r="O54" s="139">
        <f t="shared" ca="1" si="7"/>
        <v>0</v>
      </c>
      <c r="P54" s="95">
        <f t="shared" ref="P54:Q54" ca="1" si="58">SUM(P55:P75)</f>
        <v>9</v>
      </c>
      <c r="Q54" s="95">
        <f t="shared" ca="1" si="58"/>
        <v>9</v>
      </c>
      <c r="R54" s="139">
        <f t="shared" ca="1" si="9"/>
        <v>100</v>
      </c>
      <c r="S54" s="95">
        <f t="shared" ref="S54:T54" ca="1" si="59">SUM(S55:S75)</f>
        <v>195</v>
      </c>
      <c r="T54" s="95">
        <f t="shared" ca="1" si="59"/>
        <v>195</v>
      </c>
      <c r="U54" s="139">
        <f t="shared" ca="1" si="11"/>
        <v>100</v>
      </c>
      <c r="V54" s="95">
        <f t="shared" ref="V54:W54" ca="1" si="60">SUM(V55:V75)</f>
        <v>195</v>
      </c>
      <c r="W54" s="95">
        <f t="shared" ca="1" si="60"/>
        <v>0</v>
      </c>
      <c r="X54" s="139">
        <f t="shared" ca="1" si="13"/>
        <v>0</v>
      </c>
      <c r="Y54" s="95">
        <f t="shared" ref="Y54:Z54" ca="1" si="61">SUM(Y55:Y75)</f>
        <v>9</v>
      </c>
      <c r="Z54" s="95">
        <f t="shared" ca="1" si="61"/>
        <v>7</v>
      </c>
      <c r="AA54" s="139">
        <f t="shared" ca="1" si="15"/>
        <v>77.777777777777771</v>
      </c>
      <c r="AB54" s="94">
        <f t="shared" ca="1" si="16"/>
        <v>1266900</v>
      </c>
      <c r="AC54" s="95">
        <f t="shared" ref="AC54:AG54" ca="1" si="62">SUM(AC55:AC75)</f>
        <v>1266900</v>
      </c>
      <c r="AD54" s="95">
        <f t="shared" ca="1" si="62"/>
        <v>132000</v>
      </c>
      <c r="AE54" s="95">
        <f t="shared" ca="1" si="62"/>
        <v>1134900</v>
      </c>
      <c r="AF54" s="95">
        <f t="shared" ca="1" si="62"/>
        <v>0</v>
      </c>
      <c r="AG54" s="95">
        <f t="shared" ca="1" si="62"/>
        <v>935650</v>
      </c>
      <c r="AH54" s="95">
        <f t="shared" ca="1" si="19"/>
        <v>577097.37</v>
      </c>
      <c r="AI54" s="95">
        <f t="shared" ca="1" si="20"/>
        <v>45.551927539663744</v>
      </c>
      <c r="AJ54" s="95">
        <f ca="1">SUM(AJ55:AJ75)</f>
        <v>577097.37</v>
      </c>
      <c r="AK54" s="139">
        <f t="shared" ca="1" si="21"/>
        <v>45.551927539663744</v>
      </c>
      <c r="AL54" s="139">
        <f t="shared" ca="1" si="22"/>
        <v>61.678765564046387</v>
      </c>
      <c r="AM54" s="139">
        <f ca="1">SUM(AM55:AM75)</f>
        <v>0</v>
      </c>
      <c r="AN54" s="139">
        <f t="shared" ca="1" si="23"/>
        <v>0</v>
      </c>
      <c r="AO54" s="95">
        <f t="shared" ref="AO54:AP54" ca="1" si="63">SUM(AO55:AO75)</f>
        <v>205</v>
      </c>
      <c r="AP54" s="95">
        <f t="shared" ca="1" si="63"/>
        <v>205</v>
      </c>
      <c r="AQ54" s="139">
        <f t="shared" ca="1" si="25"/>
        <v>100</v>
      </c>
    </row>
    <row r="55" spans="1:43" ht="21" customHeight="1">
      <c r="A55" s="63">
        <v>1</v>
      </c>
      <c r="B55" s="186" t="s">
        <v>79</v>
      </c>
      <c r="C55" s="65">
        <f t="shared" ca="1" si="0"/>
        <v>71400</v>
      </c>
      <c r="D55" s="66">
        <f t="shared" ref="D55:D75" ca="1" si="64">+E55+F55</f>
        <v>71400</v>
      </c>
      <c r="E55" s="67">
        <f ca="1">IFERROR(__xludf.DUMMYFUNCTION("IMPORTRANGE(""https://docs.google.com/spreadsheets/d/1C3CXT74ZlgGe6_JY_1olB1XN4rF0dxEuIIF-xsYjHgg/edit?usp=sharing"",""พรบ!BD59"")"),0)</f>
        <v>0</v>
      </c>
      <c r="F55" s="67">
        <f ca="1">IFERROR(__xludf.DUMMYFUNCTION("IMPORTRANGE(""https://docs.google.com/spreadsheets/d/1C3CXT74ZlgGe6_JY_1olB1XN4rF0dxEuIIF-xsYjHgg/edit?usp=sharing"",""พรบ!BE59"")"),71400)</f>
        <v>71400</v>
      </c>
      <c r="G55" s="67">
        <f ca="1">IFERROR(__xludf.DUMMYFUNCTION("IMPORTRANGE(""https://docs.google.com/spreadsheets/d/1Yj_ptqi66GCucihVvJfMjLAmec39IyEx_6qawtMGysU/edit?usp=sharing"",""สบก!BZ59"")"),0)</f>
        <v>0</v>
      </c>
      <c r="H55" s="67">
        <f ca="1">IFERROR(__xludf.DUMMYFUNCTION("IMPORTRANGE(""https://docs.google.com/spreadsheets/d/1Yj_ptqi66GCucihVvJfMjLAmec39IyEx_6qawtMGysU/edit?usp=shCBing"",""สบก!CB59"")"),42000)</f>
        <v>42000</v>
      </c>
      <c r="I55" s="67">
        <f t="shared" ca="1" si="3"/>
        <v>33500</v>
      </c>
      <c r="J55" s="67">
        <f t="shared" ca="1" si="4"/>
        <v>46.918767507002798</v>
      </c>
      <c r="K55" s="67">
        <f ca="1">IFERROR(__xludf.DUMMYFUNCTION("IMPORTRANGE(""https://docs.google.com/spreadsheets/d/1Yj_ptqi66GCucihVvJfMjLAmec39IyEx_6qawtMGysU/edit?usp=sharing"",""สบก!CC59"")"),33500)</f>
        <v>33500</v>
      </c>
      <c r="L55" s="136">
        <f t="shared" ca="1" si="5"/>
        <v>46.918767507002798</v>
      </c>
      <c r="M55" s="136">
        <f t="shared" ca="1" si="6"/>
        <v>79.761904761904759</v>
      </c>
      <c r="N55" s="136">
        <f ca="1">IFERROR(__xludf.DUMMYFUNCTION("IMPORTRANGE(""https://docs.google.com/spreadsheets/d/1Yj_ptqi66GCucihVvJfMjLAmec39IyEx_6qawtMGysU/edit?usp=sharing"",""สบก!CD59"")"),0)</f>
        <v>0</v>
      </c>
      <c r="O55" s="136">
        <f t="shared" ca="1" si="7"/>
        <v>0</v>
      </c>
      <c r="P55" s="67">
        <f ca="1">IFERROR(__xludf.DUMMYFUNCTION("IMPORTRANGE(""https://docs.google.com/spreadsheets/d/1C3CXT74ZlgGe6_JY_1olB1XN4rF0dxEuIIF-xsYjHgg/edit?usp=sharing"",""พรบ!BF59"")"),1)</f>
        <v>1</v>
      </c>
      <c r="Q55" s="67">
        <f ca="1">IFERROR(__xludf.DUMMYFUNCTION("IMPORTRANGE(""https://docs.google.com/spreadsheets/d/1SX6NBoVAgQJ6U1MVXOaj8PK2l7WJ3RER9xtqwdhxkhw/edit?usp=sharing"",""กาญจนบุรี!J179"")"),1)</f>
        <v>1</v>
      </c>
      <c r="R55" s="136">
        <f t="shared" ca="1" si="9"/>
        <v>100</v>
      </c>
      <c r="S55" s="67">
        <f ca="1">IFERROR(__xludf.DUMMYFUNCTION("IMPORTRANGE(""https://docs.google.com/spreadsheets/d/1C3CXT74ZlgGe6_JY_1olB1XN4rF0dxEuIIF-xsYjHgg/edit?usp=sharing"",""พรบ!BG59"")"),20)</f>
        <v>20</v>
      </c>
      <c r="T55" s="67">
        <f ca="1">IFERROR(__xludf.DUMMYFUNCTION("IMPORTRANGE(""https://docs.google.com/spreadsheets/d/1SX6NBoVAgQJ6U1MVXOaj8PK2l7WJ3RER9xtqwdhxkhw/edit?usp=sharing"",""กาญจนบุรี!J180"")"),20)</f>
        <v>20</v>
      </c>
      <c r="U55" s="136">
        <f t="shared" ca="1" si="11"/>
        <v>100</v>
      </c>
      <c r="V55" s="67">
        <f ca="1">IFERROR(__xludf.DUMMYFUNCTION("IMPORTRANGE(""https://docs.google.com/spreadsheets/d/1C3CXT74ZlgGe6_JY_1olB1XN4rF0dxEuIIF-xsYjHgg/edit?usp=sharing"",""พรบ!BH59"")"),20)</f>
        <v>20</v>
      </c>
      <c r="W55" s="67">
        <f ca="1">IFERROR(__xludf.DUMMYFUNCTION("IMPORTRANGE(""https://docs.google.com/spreadsheets/d/1SX6NBoVAgQJ6U1MVXOaj8PK2l7WJ3RER9xtqwdhxkhw/edit?usp=sharing"",""กาญจนบุรี!J181"")"),0)</f>
        <v>0</v>
      </c>
      <c r="X55" s="136">
        <f t="shared" ca="1" si="13"/>
        <v>0</v>
      </c>
      <c r="Y55" s="67">
        <f ca="1">IFERROR(__xludf.DUMMYFUNCTION("IMPORTRANGE(""https://docs.google.com/spreadsheets/d/1C3CXT74ZlgGe6_JY_1olB1XN4rF0dxEuIIF-xsYjHgg/edit?usp=sharing"",""พรบ!BI59"")"),1)</f>
        <v>1</v>
      </c>
      <c r="Z55" s="67">
        <f ca="1">IFERROR(__xludf.DUMMYFUNCTION("IMPORTRANGE(""https://docs.google.com/spreadsheets/d/1SX6NBoVAgQJ6U1MVXOaj8PK2l7WJ3RER9xtqwdhxkhw/edit?usp=sharing"",""กาญจนบุรี!J182"")"),1)</f>
        <v>1</v>
      </c>
      <c r="AA55" s="136">
        <f t="shared" ca="1" si="15"/>
        <v>100</v>
      </c>
      <c r="AB55" s="65">
        <f t="shared" ca="1" si="16"/>
        <v>183600</v>
      </c>
      <c r="AC55" s="66">
        <f t="shared" ref="AC55:AC75" ca="1" si="65">+AD55+AE55</f>
        <v>183600</v>
      </c>
      <c r="AD55" s="67">
        <f ca="1">IFERROR(__xludf.DUMMYFUNCTION("IMPORTRANGE(""https://docs.google.com/spreadsheets/d/1C3CXT74ZlgGe6_JY_1olB1XN4rF0dxEuIIF-xsYjHgg/edit?usp=sharing"",""พรบ!BK59"")"),0)</f>
        <v>0</v>
      </c>
      <c r="AE55" s="67">
        <f ca="1">IFERROR(__xludf.DUMMYFUNCTION("IMPORTRANGE(""https://docs.google.com/spreadsheets/d/1C3CXT74ZlgGe6_JY_1olB1XN4rF0dxEuIIF-xsYjHgg/edit?usp=sharing"",""พรบ!BL59"")"),183600)</f>
        <v>183600</v>
      </c>
      <c r="AF55" s="67">
        <f ca="1">IFERROR(__xludf.DUMMYFUNCTION("IMPORTRANGE(""https://docs.google.com/spreadsheets/d/1Yj_ptqi66GCucihVvJfMjLAmec39IyEx_6qawtMGysU/edit?usp=sharing"",""สบก!CI59"")"),0)</f>
        <v>0</v>
      </c>
      <c r="AG55" s="67">
        <f ca="1">IFERROR(__xludf.DUMMYFUNCTION("IMPORTRANGE(""https://docs.google.com/spreadsheets/d/1Yj_ptqi66GCucihVvJfMjLAmec39IyEx_6qawtMGysU/edit?usp=shCKing"",""สบก!CK59"")"),161600)</f>
        <v>161600</v>
      </c>
      <c r="AH55" s="67">
        <f t="shared" ca="1" si="19"/>
        <v>80730</v>
      </c>
      <c r="AI55" s="67">
        <f t="shared" ca="1" si="20"/>
        <v>43.970588235294116</v>
      </c>
      <c r="AJ55" s="67">
        <f ca="1">IFERROR(__xludf.DUMMYFUNCTION("IMPORTRANGE(""https://docs.google.com/spreadsheets/d/1Yj_ptqi66GCucihVvJfMjLAmec39IyEx_6qawtMGysU/edit?usp=sharing"",""สบก!CL59"")"),80730)</f>
        <v>80730</v>
      </c>
      <c r="AK55" s="136">
        <f t="shared" ca="1" si="21"/>
        <v>43.970588235294116</v>
      </c>
      <c r="AL55" s="136">
        <f t="shared" ca="1" si="22"/>
        <v>49.956683168316829</v>
      </c>
      <c r="AM55" s="136">
        <f ca="1">IFERROR(__xludf.DUMMYFUNCTION("IMPORTRANGE(""https://docs.google.com/spreadsheets/d/1Yj_ptqi66GCucihVvJfMjLAmec39IyEx_6qawtMGysU/edit?usp=sharing"",""สบก!CM59"")"),0)</f>
        <v>0</v>
      </c>
      <c r="AN55" s="136">
        <f t="shared" ca="1" si="23"/>
        <v>0</v>
      </c>
      <c r="AO55" s="67">
        <f ca="1">IFERROR(__xludf.DUMMYFUNCTION("IMPORTRANGE(""https://docs.google.com/spreadsheets/d/1C3CXT74ZlgGe6_JY_1olB1XN4rF0dxEuIIF-xsYjHgg/edit?usp=sharing"",""พรบ!BM59"")"),20)</f>
        <v>20</v>
      </c>
      <c r="AP55" s="67">
        <f ca="1">IFERROR(__xludf.DUMMYFUNCTION("IMPORTRANGE(""https://docs.google.com/spreadsheets/d/1SX6NBoVAgQJ6U1MVXOaj8PK2l7WJ3RER9xtqwdhxkhw/edit?usp=sharing"",""กาญจนบุรี!J195"")"),20)</f>
        <v>20</v>
      </c>
      <c r="AQ55" s="136">
        <f t="shared" ca="1" si="25"/>
        <v>100</v>
      </c>
    </row>
    <row r="56" spans="1:43" ht="21" customHeight="1">
      <c r="A56" s="73">
        <v>2</v>
      </c>
      <c r="B56" s="184" t="s">
        <v>80</v>
      </c>
      <c r="C56" s="75">
        <f t="shared" ca="1" si="0"/>
        <v>199000</v>
      </c>
      <c r="D56" s="76">
        <f t="shared" ca="1" si="64"/>
        <v>199000</v>
      </c>
      <c r="E56" s="77">
        <f ca="1">IFERROR(__xludf.DUMMYFUNCTION("IMPORTRANGE(""https://docs.google.com/spreadsheets/d/1C3CXT74ZlgGe6_JY_1olB1XN4rF0dxEuIIF-xsYjHgg/edit?usp=sharing"",""พรบ!BD60"")"),0)</f>
        <v>0</v>
      </c>
      <c r="F56" s="77">
        <f ca="1">IFERROR(__xludf.DUMMYFUNCTION("IMPORTRANGE(""https://docs.google.com/spreadsheets/d/1C3CXT74ZlgGe6_JY_1olB1XN4rF0dxEuIIF-xsYjHgg/edit?usp=sharing"",""พรบ!BE60"")"),199000)</f>
        <v>199000</v>
      </c>
      <c r="G56" s="77">
        <f ca="1">IFERROR(__xludf.DUMMYFUNCTION("IMPORTRANGE(""https://docs.google.com/spreadsheets/d/1Yj_ptqi66GCucihVvJfMjLAmec39IyEx_6qawtMGysU/edit?usp=sharing"",""สบก!BZ60"")"),0)</f>
        <v>0</v>
      </c>
      <c r="H56" s="77">
        <f ca="1">IFERROR(__xludf.DUMMYFUNCTION("IMPORTRANGE(""https://docs.google.com/spreadsheets/d/1Yj_ptqi66GCucihVvJfMjLAmec39IyEx_6qawtMGysU/edit?usp=shCBing"",""สบก!CB60"")"),177000)</f>
        <v>177000</v>
      </c>
      <c r="I56" s="77">
        <f t="shared" ca="1" si="3"/>
        <v>61393</v>
      </c>
      <c r="J56" s="77">
        <f t="shared" ca="1" si="4"/>
        <v>30.850753768844221</v>
      </c>
      <c r="K56" s="77">
        <f ca="1">IFERROR(__xludf.DUMMYFUNCTION("IMPORTRANGE(""https://docs.google.com/spreadsheets/d/1Yj_ptqi66GCucihVvJfMjLAmec39IyEx_6qawtMGysU/edit?usp=sharing"",""สบก!CC60"")"),61393)</f>
        <v>61393</v>
      </c>
      <c r="L56" s="137">
        <f t="shared" ca="1" si="5"/>
        <v>30.850753768844221</v>
      </c>
      <c r="M56" s="137">
        <f t="shared" ca="1" si="6"/>
        <v>34.685310734463279</v>
      </c>
      <c r="N56" s="137">
        <f ca="1">IFERROR(__xludf.DUMMYFUNCTION("IMPORTRANGE(""https://docs.google.com/spreadsheets/d/1Yj_ptqi66GCucihVvJfMjLAmec39IyEx_6qawtMGysU/edit?usp=sharing"",""สบก!CD60"")"),0)</f>
        <v>0</v>
      </c>
      <c r="O56" s="137">
        <f t="shared" ca="1" si="7"/>
        <v>0</v>
      </c>
      <c r="P56" s="77">
        <f ca="1">IFERROR(__xludf.DUMMYFUNCTION("IMPORTRANGE(""https://docs.google.com/spreadsheets/d/1C3CXT74ZlgGe6_JY_1olB1XN4rF0dxEuIIF-xsYjHgg/edit?usp=sharing"",""พรบ!BF60"")"),1)</f>
        <v>1</v>
      </c>
      <c r="Q56" s="77">
        <f ca="1">IFERROR(__xludf.DUMMYFUNCTION("IMPORTRANGE(""https://docs.google.com/spreadsheets/d/1SX6NBoVAgQJ6U1MVXOaj8PK2l7WJ3RER9xtqwdhxkhw/edit?usp=sharing"",""จันทบุรี!J179"")"),1)</f>
        <v>1</v>
      </c>
      <c r="R56" s="137">
        <f t="shared" ca="1" si="9"/>
        <v>100</v>
      </c>
      <c r="S56" s="77">
        <f ca="1">IFERROR(__xludf.DUMMYFUNCTION("IMPORTRANGE(""https://docs.google.com/spreadsheets/d/1C3CXT74ZlgGe6_JY_1olB1XN4rF0dxEuIIF-xsYjHgg/edit?usp=sharing"",""พรบ!BG60"")"),25)</f>
        <v>25</v>
      </c>
      <c r="T56" s="77">
        <f ca="1">IFERROR(__xludf.DUMMYFUNCTION("IMPORTRANGE(""https://docs.google.com/spreadsheets/d/1SX6NBoVAgQJ6U1MVXOaj8PK2l7WJ3RER9xtqwdhxkhw/edit?usp=sharing"",""จันทบุรี!J180"")"),25)</f>
        <v>25</v>
      </c>
      <c r="U56" s="137">
        <f t="shared" ca="1" si="11"/>
        <v>100</v>
      </c>
      <c r="V56" s="77">
        <f ca="1">IFERROR(__xludf.DUMMYFUNCTION("IMPORTRANGE(""https://docs.google.com/spreadsheets/d/1C3CXT74ZlgGe6_JY_1olB1XN4rF0dxEuIIF-xsYjHgg/edit?usp=sharing"",""พรบ!BH60"")"),25)</f>
        <v>25</v>
      </c>
      <c r="W56" s="77">
        <f ca="1">IFERROR(__xludf.DUMMYFUNCTION("IMPORTRANGE(""https://docs.google.com/spreadsheets/d/1SX6NBoVAgQJ6U1MVXOaj8PK2l7WJ3RER9xtqwdhxkhw/edit?usp=sharing"",""จันทบุรี!J181"")"),0)</f>
        <v>0</v>
      </c>
      <c r="X56" s="137">
        <f t="shared" ca="1" si="13"/>
        <v>0</v>
      </c>
      <c r="Y56" s="77">
        <f ca="1">IFERROR(__xludf.DUMMYFUNCTION("IMPORTRANGE(""https://docs.google.com/spreadsheets/d/1C3CXT74ZlgGe6_JY_1olB1XN4rF0dxEuIIF-xsYjHgg/edit?usp=sharing"",""พรบ!BI60"")"),1)</f>
        <v>1</v>
      </c>
      <c r="Z56" s="77">
        <f ca="1">IFERROR(__xludf.DUMMYFUNCTION("IMPORTRANGE(""https://docs.google.com/spreadsheets/d/1SX6NBoVAgQJ6U1MVXOaj8PK2l7WJ3RER9xtqwdhxkhw/edit?usp=sharing"",""จันทบุรี!J182"")"),1)</f>
        <v>1</v>
      </c>
      <c r="AA56" s="137">
        <f t="shared" ca="1" si="15"/>
        <v>100</v>
      </c>
      <c r="AB56" s="75">
        <f t="shared" ca="1" si="16"/>
        <v>55200</v>
      </c>
      <c r="AC56" s="76">
        <f t="shared" ca="1" si="65"/>
        <v>55200</v>
      </c>
      <c r="AD56" s="77">
        <f ca="1">IFERROR(__xludf.DUMMYFUNCTION("IMPORTRANGE(""https://docs.google.com/spreadsheets/d/1C3CXT74ZlgGe6_JY_1olB1XN4rF0dxEuIIF-xsYjHgg/edit?usp=sharing"",""พรบ!BK60"")"),0)</f>
        <v>0</v>
      </c>
      <c r="AE56" s="77">
        <f ca="1">IFERROR(__xludf.DUMMYFUNCTION("IMPORTRANGE(""https://docs.google.com/spreadsheets/d/1C3CXT74ZlgGe6_JY_1olB1XN4rF0dxEuIIF-xsYjHgg/edit?usp=sharing"",""พรบ!BL60"")"),55200)</f>
        <v>55200</v>
      </c>
      <c r="AF56" s="77">
        <f ca="1">IFERROR(__xludf.DUMMYFUNCTION("IMPORTRANGE(""https://docs.google.com/spreadsheets/d/1Yj_ptqi66GCucihVvJfMjLAmec39IyEx_6qawtMGysU/edit?usp=sharing"",""สบก!CI60"")"),0)</f>
        <v>0</v>
      </c>
      <c r="AG56" s="77">
        <f ca="1">IFERROR(__xludf.DUMMYFUNCTION("IMPORTRANGE(""https://docs.google.com/spreadsheets/d/1Yj_ptqi66GCucihVvJfMjLAmec39IyEx_6qawtMGysU/edit?usp=shCKing"",""สบก!CK60"")"),32250)</f>
        <v>32250</v>
      </c>
      <c r="AH56" s="77">
        <f t="shared" ca="1" si="19"/>
        <v>28790</v>
      </c>
      <c r="AI56" s="77">
        <f t="shared" ca="1" si="20"/>
        <v>52.155797101449274</v>
      </c>
      <c r="AJ56" s="77">
        <f ca="1">IFERROR(__xludf.DUMMYFUNCTION("IMPORTRANGE(""https://docs.google.com/spreadsheets/d/1Yj_ptqi66GCucihVvJfMjLAmec39IyEx_6qawtMGysU/edit?usp=sharing"",""สบก!CL60"")"),28790)</f>
        <v>28790</v>
      </c>
      <c r="AK56" s="137">
        <f t="shared" ca="1" si="21"/>
        <v>52.155797101449274</v>
      </c>
      <c r="AL56" s="137">
        <f t="shared" ca="1" si="22"/>
        <v>89.271317829457359</v>
      </c>
      <c r="AM56" s="137">
        <f ca="1">IFERROR(__xludf.DUMMYFUNCTION("IMPORTRANGE(""https://docs.google.com/spreadsheets/d/1Yj_ptqi66GCucihVvJfMjLAmec39IyEx_6qawtMGysU/edit?usp=sharing"",""สบก!CM60"")"),0)</f>
        <v>0</v>
      </c>
      <c r="AN56" s="137">
        <f t="shared" ca="1" si="23"/>
        <v>0</v>
      </c>
      <c r="AO56" s="77">
        <f ca="1">IFERROR(__xludf.DUMMYFUNCTION("IMPORTRANGE(""https://docs.google.com/spreadsheets/d/1C3CXT74ZlgGe6_JY_1olB1XN4rF0dxEuIIF-xsYjHgg/edit?usp=sharing"",""พรบ!BM60"")"),15)</f>
        <v>15</v>
      </c>
      <c r="AP56" s="77">
        <f ca="1">IFERROR(__xludf.DUMMYFUNCTION("IMPORTRANGE(""https://docs.google.com/spreadsheets/d/1SX6NBoVAgQJ6U1MVXOaj8PK2l7WJ3RER9xtqwdhxkhw/edit?usp=sharing"",""จันทบุรี!J195"")"),15)</f>
        <v>15</v>
      </c>
      <c r="AQ56" s="137">
        <f t="shared" ca="1" si="25"/>
        <v>100</v>
      </c>
    </row>
    <row r="57" spans="1:43" ht="21" customHeight="1">
      <c r="A57" s="73">
        <v>3</v>
      </c>
      <c r="B57" s="184" t="s">
        <v>81</v>
      </c>
      <c r="C57" s="75">
        <f t="shared" ca="1" si="0"/>
        <v>71400</v>
      </c>
      <c r="D57" s="76">
        <f t="shared" ca="1" si="64"/>
        <v>71400</v>
      </c>
      <c r="E57" s="77">
        <f ca="1">IFERROR(__xludf.DUMMYFUNCTION("IMPORTRANGE(""https://docs.google.com/spreadsheets/d/1C3CXT74ZlgGe6_JY_1olB1XN4rF0dxEuIIF-xsYjHgg/edit?usp=sharing"",""พรบ!BD61"")"),0)</f>
        <v>0</v>
      </c>
      <c r="F57" s="77">
        <f ca="1">IFERROR(__xludf.DUMMYFUNCTION("IMPORTRANGE(""https://docs.google.com/spreadsheets/d/1C3CXT74ZlgGe6_JY_1olB1XN4rF0dxEuIIF-xsYjHgg/edit?usp=sharing"",""พรบ!BE61"")"),71400)</f>
        <v>71400</v>
      </c>
      <c r="G57" s="77">
        <f ca="1">IFERROR(__xludf.DUMMYFUNCTION("IMPORTRANGE(""https://docs.google.com/spreadsheets/d/1Yj_ptqi66GCucihVvJfMjLAmec39IyEx_6qawtMGysU/edit?usp=sharing"",""สบก!BZ61"")"),0)</f>
        <v>0</v>
      </c>
      <c r="H57" s="77">
        <f ca="1">IFERROR(__xludf.DUMMYFUNCTION("IMPORTRANGE(""https://docs.google.com/spreadsheets/d/1Yj_ptqi66GCucihVvJfMjLAmec39IyEx_6qawtMGysU/edit?usp=shCBing"",""สบก!CB61"")"),42000)</f>
        <v>42000</v>
      </c>
      <c r="I57" s="77">
        <f t="shared" ca="1" si="3"/>
        <v>36470</v>
      </c>
      <c r="J57" s="77">
        <f t="shared" ca="1" si="4"/>
        <v>51.078431372549019</v>
      </c>
      <c r="K57" s="77">
        <f ca="1">IFERROR(__xludf.DUMMYFUNCTION("IMPORTRANGE(""https://docs.google.com/spreadsheets/d/1Yj_ptqi66GCucihVvJfMjLAmec39IyEx_6qawtMGysU/edit?usp=sharing"",""สบก!CC61"")"),36470)</f>
        <v>36470</v>
      </c>
      <c r="L57" s="137">
        <f t="shared" ca="1" si="5"/>
        <v>51.078431372549019</v>
      </c>
      <c r="M57" s="137">
        <f t="shared" ca="1" si="6"/>
        <v>86.833333333333329</v>
      </c>
      <c r="N57" s="137">
        <f ca="1">IFERROR(__xludf.DUMMYFUNCTION("IMPORTRANGE(""https://docs.google.com/spreadsheets/d/1Yj_ptqi66GCucihVvJfMjLAmec39IyEx_6qawtMGysU/edit?usp=sharing"",""สบก!CD61"")"),0)</f>
        <v>0</v>
      </c>
      <c r="O57" s="137">
        <f t="shared" ca="1" si="7"/>
        <v>0</v>
      </c>
      <c r="P57" s="77">
        <f ca="1">IFERROR(__xludf.DUMMYFUNCTION("IMPORTRANGE(""https://docs.google.com/spreadsheets/d/1C3CXT74ZlgGe6_JY_1olB1XN4rF0dxEuIIF-xsYjHgg/edit?usp=sharing"",""พรบ!BF61"")"),1)</f>
        <v>1</v>
      </c>
      <c r="Q57" s="77">
        <f ca="1">IFERROR(__xludf.DUMMYFUNCTION("IMPORTRANGE(""https://docs.google.com/spreadsheets/d/1SX6NBoVAgQJ6U1MVXOaj8PK2l7WJ3RER9xtqwdhxkhw/edit?usp=sharing"",""ฉะเชิงเทรา!J179"")"),1)</f>
        <v>1</v>
      </c>
      <c r="R57" s="137">
        <f t="shared" ca="1" si="9"/>
        <v>100</v>
      </c>
      <c r="S57" s="77">
        <f ca="1">IFERROR(__xludf.DUMMYFUNCTION("IMPORTRANGE(""https://docs.google.com/spreadsheets/d/1C3CXT74ZlgGe6_JY_1olB1XN4rF0dxEuIIF-xsYjHgg/edit?usp=sharing"",""พรบ!BG61"")"),20)</f>
        <v>20</v>
      </c>
      <c r="T57" s="77">
        <f ca="1">IFERROR(__xludf.DUMMYFUNCTION("IMPORTRANGE(""https://docs.google.com/spreadsheets/d/1SX6NBoVAgQJ6U1MVXOaj8PK2l7WJ3RER9xtqwdhxkhw/edit?usp=sharing"",""ฉะเชิงเทรา!J180"")"),20)</f>
        <v>20</v>
      </c>
      <c r="U57" s="137">
        <f t="shared" ca="1" si="11"/>
        <v>100</v>
      </c>
      <c r="V57" s="77">
        <f ca="1">IFERROR(__xludf.DUMMYFUNCTION("IMPORTRANGE(""https://docs.google.com/spreadsheets/d/1C3CXT74ZlgGe6_JY_1olB1XN4rF0dxEuIIF-xsYjHgg/edit?usp=sharing"",""พรบ!BH61"")"),20)</f>
        <v>20</v>
      </c>
      <c r="W57" s="77">
        <f ca="1">IFERROR(__xludf.DUMMYFUNCTION("IMPORTRANGE(""https://docs.google.com/spreadsheets/d/1SX6NBoVAgQJ6U1MVXOaj8PK2l7WJ3RER9xtqwdhxkhw/edit?usp=sharing"",""ฉะเชิงเทรา!J181"")"),0)</f>
        <v>0</v>
      </c>
      <c r="X57" s="137">
        <f t="shared" ca="1" si="13"/>
        <v>0</v>
      </c>
      <c r="Y57" s="77">
        <f ca="1">IFERROR(__xludf.DUMMYFUNCTION("IMPORTRANGE(""https://docs.google.com/spreadsheets/d/1C3CXT74ZlgGe6_JY_1olB1XN4rF0dxEuIIF-xsYjHgg/edit?usp=sharing"",""พรบ!BI61"")"),1)</f>
        <v>1</v>
      </c>
      <c r="Z57" s="77">
        <f ca="1">IFERROR(__xludf.DUMMYFUNCTION("IMPORTRANGE(""https://docs.google.com/spreadsheets/d/1SX6NBoVAgQJ6U1MVXOaj8PK2l7WJ3RER9xtqwdhxkhw/edit?usp=sharing"",""ฉะเชิงเทรา!J182"")"),0)</f>
        <v>0</v>
      </c>
      <c r="AA57" s="137">
        <f t="shared" ca="1" si="15"/>
        <v>0</v>
      </c>
      <c r="AB57" s="75">
        <f t="shared" ca="1" si="16"/>
        <v>183600</v>
      </c>
      <c r="AC57" s="76">
        <f t="shared" ca="1" si="65"/>
        <v>183600</v>
      </c>
      <c r="AD57" s="77">
        <f ca="1">IFERROR(__xludf.DUMMYFUNCTION("IMPORTRANGE(""https://docs.google.com/spreadsheets/d/1C3CXT74ZlgGe6_JY_1olB1XN4rF0dxEuIIF-xsYjHgg/edit?usp=sharing"",""พรบ!BK61"")"),0)</f>
        <v>0</v>
      </c>
      <c r="AE57" s="77">
        <f ca="1">IFERROR(__xludf.DUMMYFUNCTION("IMPORTRANGE(""https://docs.google.com/spreadsheets/d/1C3CXT74ZlgGe6_JY_1olB1XN4rF0dxEuIIF-xsYjHgg/edit?usp=sharing"",""พรบ!BL61"")"),183600)</f>
        <v>183600</v>
      </c>
      <c r="AF57" s="77">
        <f ca="1">IFERROR(__xludf.DUMMYFUNCTION("IMPORTRANGE(""https://docs.google.com/spreadsheets/d/1Yj_ptqi66GCucihVvJfMjLAmec39IyEx_6qawtMGysU/edit?usp=sharing"",""สบก!CI61"")"),0)</f>
        <v>0</v>
      </c>
      <c r="AG57" s="77">
        <f ca="1">IFERROR(__xludf.DUMMYFUNCTION("IMPORTRANGE(""https://docs.google.com/spreadsheets/d/1Yj_ptqi66GCucihVvJfMjLAmec39IyEx_6qawtMGysU/edit?usp=shCKing"",""สบก!CK61"")"),161600)</f>
        <v>161600</v>
      </c>
      <c r="AH57" s="77">
        <f t="shared" ca="1" si="19"/>
        <v>83053.039999999994</v>
      </c>
      <c r="AI57" s="77">
        <f t="shared" ca="1" si="20"/>
        <v>45.2358605664488</v>
      </c>
      <c r="AJ57" s="77">
        <f ca="1">IFERROR(__xludf.DUMMYFUNCTION("IMPORTRANGE(""https://docs.google.com/spreadsheets/d/1Yj_ptqi66GCucihVvJfMjLAmec39IyEx_6qawtMGysU/edit?usp=sharing"",""สบก!CL61"")"),83053.04)</f>
        <v>83053.039999999994</v>
      </c>
      <c r="AK57" s="137">
        <f t="shared" ca="1" si="21"/>
        <v>45.2358605664488</v>
      </c>
      <c r="AL57" s="137">
        <f t="shared" ca="1" si="22"/>
        <v>51.39420792079207</v>
      </c>
      <c r="AM57" s="137">
        <f ca="1">IFERROR(__xludf.DUMMYFUNCTION("IMPORTRANGE(""https://docs.google.com/spreadsheets/d/1Yj_ptqi66GCucihVvJfMjLAmec39IyEx_6qawtMGysU/edit?usp=sharing"",""สบก!CM61"")"),0)</f>
        <v>0</v>
      </c>
      <c r="AN57" s="137">
        <f t="shared" ca="1" si="23"/>
        <v>0</v>
      </c>
      <c r="AO57" s="77">
        <f ca="1">IFERROR(__xludf.DUMMYFUNCTION("IMPORTRANGE(""https://docs.google.com/spreadsheets/d/1C3CXT74ZlgGe6_JY_1olB1XN4rF0dxEuIIF-xsYjHgg/edit?usp=sharing"",""พรบ!BM61"")"),20)</f>
        <v>20</v>
      </c>
      <c r="AP57" s="77">
        <f ca="1">IFERROR(__xludf.DUMMYFUNCTION("IMPORTRANGE(""https://docs.google.com/spreadsheets/d/1SX6NBoVAgQJ6U1MVXOaj8PK2l7WJ3RER9xtqwdhxkhw/edit?usp=sharing"",""ฉะเชิงเทรา!J195"")"),20)</f>
        <v>20</v>
      </c>
      <c r="AQ57" s="137">
        <f t="shared" ca="1" si="25"/>
        <v>100</v>
      </c>
    </row>
    <row r="58" spans="1:43" ht="21" customHeight="1">
      <c r="A58" s="73">
        <v>4</v>
      </c>
      <c r="B58" s="74" t="s">
        <v>82</v>
      </c>
      <c r="C58" s="75">
        <f t="shared" ca="1" si="0"/>
        <v>0</v>
      </c>
      <c r="D58" s="76">
        <f t="shared" ca="1" si="64"/>
        <v>0</v>
      </c>
      <c r="E58" s="77">
        <f ca="1">IFERROR(__xludf.DUMMYFUNCTION("IMPORTRANGE(""https://docs.google.com/spreadsheets/d/1C3CXT74ZlgGe6_JY_1olB1XN4rF0dxEuIIF-xsYjHgg/edit?usp=sharing"",""พรบ!BD62"")"),0)</f>
        <v>0</v>
      </c>
      <c r="F58" s="77">
        <f ca="1">IFERROR(__xludf.DUMMYFUNCTION("IMPORTRANGE(""https://docs.google.com/spreadsheets/d/1C3CXT74ZlgGe6_JY_1olB1XN4rF0dxEuIIF-xsYjHgg/edit?usp=sharing"",""พรบ!BE62"")"),0)</f>
        <v>0</v>
      </c>
      <c r="G58" s="77">
        <f ca="1">IFERROR(__xludf.DUMMYFUNCTION("IMPORTRANGE(""https://docs.google.com/spreadsheets/d/1Yj_ptqi66GCucihVvJfMjLAmec39IyEx_6qawtMGysU/edit?usp=sharing"",""สบก!BZ62"")"),0)</f>
        <v>0</v>
      </c>
      <c r="H58" s="77">
        <f ca="1">IFERROR(__xludf.DUMMYFUNCTION("IMPORTRANGE(""https://docs.google.com/spreadsheets/d/1Yj_ptqi66GCucihVvJfMjLAmec39IyEx_6qawtMGysU/edit?usp=shCBing"",""สบก!CB62"")"),0)</f>
        <v>0</v>
      </c>
      <c r="I58" s="77">
        <f t="shared" ca="1" si="3"/>
        <v>0</v>
      </c>
      <c r="J58" s="77">
        <f t="shared" ca="1" si="4"/>
        <v>0</v>
      </c>
      <c r="K58" s="77">
        <f ca="1">IFERROR(__xludf.DUMMYFUNCTION("IMPORTRANGE(""https://docs.google.com/spreadsheets/d/1Yj_ptqi66GCucihVvJfMjLAmec39IyEx_6qawtMGysU/edit?usp=sharing"",""สบก!CC62"")"),0)</f>
        <v>0</v>
      </c>
      <c r="L58" s="137">
        <f t="shared" ca="1" si="5"/>
        <v>0</v>
      </c>
      <c r="M58" s="137">
        <f t="shared" ca="1" si="6"/>
        <v>0</v>
      </c>
      <c r="N58" s="137">
        <f ca="1">IFERROR(__xludf.DUMMYFUNCTION("IMPORTRANGE(""https://docs.google.com/spreadsheets/d/1Yj_ptqi66GCucihVvJfMjLAmec39IyEx_6qawtMGysU/edit?usp=sharing"",""สบก!CD62"")"),0)</f>
        <v>0</v>
      </c>
      <c r="O58" s="137">
        <f t="shared" ca="1" si="7"/>
        <v>0</v>
      </c>
      <c r="P58" s="77">
        <f ca="1">IFERROR(__xludf.DUMMYFUNCTION("IMPORTRANGE(""https://docs.google.com/spreadsheets/d/1C3CXT74ZlgGe6_JY_1olB1XN4rF0dxEuIIF-xsYjHgg/edit?usp=sharing"",""พรบ!BF62"")"),0)</f>
        <v>0</v>
      </c>
      <c r="Q58" s="77">
        <f ca="1">IFERROR(__xludf.DUMMYFUNCTION("IMPORTRANGE(""https://docs.google.com/spreadsheets/d/1SX6NBoVAgQJ6U1MVXOaj8PK2l7WJ3RER9xtqwdhxkhw/edit?usp=sharing"",""ชลบุรี!J179"")"),0)</f>
        <v>0</v>
      </c>
      <c r="R58" s="137">
        <f t="shared" ca="1" si="9"/>
        <v>0</v>
      </c>
      <c r="S58" s="77">
        <f ca="1">IFERROR(__xludf.DUMMYFUNCTION("IMPORTRANGE(""https://docs.google.com/spreadsheets/d/1C3CXT74ZlgGe6_JY_1olB1XN4rF0dxEuIIF-xsYjHgg/edit?usp=sharing"",""พรบ!BG62"")"),0)</f>
        <v>0</v>
      </c>
      <c r="T58" s="77">
        <f ca="1">IFERROR(__xludf.DUMMYFUNCTION("IMPORTRANGE(""https://docs.google.com/spreadsheets/d/1SX6NBoVAgQJ6U1MVXOaj8PK2l7WJ3RER9xtqwdhxkhw/edit?usp=sharing"",""ชลบุรี!J180"")"),0)</f>
        <v>0</v>
      </c>
      <c r="U58" s="137">
        <f t="shared" ca="1" si="11"/>
        <v>0</v>
      </c>
      <c r="V58" s="77">
        <f ca="1">IFERROR(__xludf.DUMMYFUNCTION("IMPORTRANGE(""https://docs.google.com/spreadsheets/d/1C3CXT74ZlgGe6_JY_1olB1XN4rF0dxEuIIF-xsYjHgg/edit?usp=sharing"",""พรบ!BH62"")"),0)</f>
        <v>0</v>
      </c>
      <c r="W58" s="77">
        <f ca="1">IFERROR(__xludf.DUMMYFUNCTION("IMPORTRANGE(""https://docs.google.com/spreadsheets/d/1SX6NBoVAgQJ6U1MVXOaj8PK2l7WJ3RER9xtqwdhxkhw/edit?usp=sharing"",""ชลบุรี!J181"")"),0)</f>
        <v>0</v>
      </c>
      <c r="X58" s="137">
        <f t="shared" ca="1" si="13"/>
        <v>0</v>
      </c>
      <c r="Y58" s="77">
        <f ca="1">IFERROR(__xludf.DUMMYFUNCTION("IMPORTRANGE(""https://docs.google.com/spreadsheets/d/1C3CXT74ZlgGe6_JY_1olB1XN4rF0dxEuIIF-xsYjHgg/edit?usp=sharing"",""พรบ!BI62"")"),0)</f>
        <v>0</v>
      </c>
      <c r="Z58" s="77">
        <f ca="1">IFERROR(__xludf.DUMMYFUNCTION("IMPORTRANGE(""https://docs.google.com/spreadsheets/d/1SX6NBoVAgQJ6U1MVXOaj8PK2l7WJ3RER9xtqwdhxkhw/edit?usp=sharing"",""ชลบุรี!J182"")"),0)</f>
        <v>0</v>
      </c>
      <c r="AA58" s="137">
        <f t="shared" ca="1" si="15"/>
        <v>0</v>
      </c>
      <c r="AB58" s="75">
        <f t="shared" ca="1" si="16"/>
        <v>55200</v>
      </c>
      <c r="AC58" s="76">
        <f t="shared" ca="1" si="65"/>
        <v>55200</v>
      </c>
      <c r="AD58" s="77">
        <f ca="1">IFERROR(__xludf.DUMMYFUNCTION("IMPORTRANGE(""https://docs.google.com/spreadsheets/d/1C3CXT74ZlgGe6_JY_1olB1XN4rF0dxEuIIF-xsYjHgg/edit?usp=sharing"",""พรบ!BK62"")"),0)</f>
        <v>0</v>
      </c>
      <c r="AE58" s="77">
        <f ca="1">IFERROR(__xludf.DUMMYFUNCTION("IMPORTRANGE(""https://docs.google.com/spreadsheets/d/1C3CXT74ZlgGe6_JY_1olB1XN4rF0dxEuIIF-xsYjHgg/edit?usp=sharing"",""พรบ!BL62"")"),55200)</f>
        <v>55200</v>
      </c>
      <c r="AF58" s="77">
        <f ca="1">IFERROR(__xludf.DUMMYFUNCTION("IMPORTRANGE(""https://docs.google.com/spreadsheets/d/1Yj_ptqi66GCucihVvJfMjLAmec39IyEx_6qawtMGysU/edit?usp=sharing"",""สบก!CI62"")"),0)</f>
        <v>0</v>
      </c>
      <c r="AG58" s="77">
        <f ca="1">IFERROR(__xludf.DUMMYFUNCTION("IMPORTRANGE(""https://docs.google.com/spreadsheets/d/1Yj_ptqi66GCucihVvJfMjLAmec39IyEx_6qawtMGysU/edit?usp=shCKing"",""สบก!CK62"")"),32250)</f>
        <v>32250</v>
      </c>
      <c r="AH58" s="77">
        <f t="shared" ca="1" si="19"/>
        <v>26110</v>
      </c>
      <c r="AI58" s="77">
        <f t="shared" ca="1" si="20"/>
        <v>47.300724637681157</v>
      </c>
      <c r="AJ58" s="77">
        <f ca="1">IFERROR(__xludf.DUMMYFUNCTION("IMPORTRANGE(""https://docs.google.com/spreadsheets/d/1Yj_ptqi66GCucihVvJfMjLAmec39IyEx_6qawtMGysU/edit?usp=sharing"",""สบก!CL62"")"),26110)</f>
        <v>26110</v>
      </c>
      <c r="AK58" s="137">
        <f t="shared" ca="1" si="21"/>
        <v>47.300724637681157</v>
      </c>
      <c r="AL58" s="137">
        <f t="shared" ca="1" si="22"/>
        <v>80.961240310077514</v>
      </c>
      <c r="AM58" s="137">
        <f ca="1">IFERROR(__xludf.DUMMYFUNCTION("IMPORTRANGE(""https://docs.google.com/spreadsheets/d/1Yj_ptqi66GCucihVvJfMjLAmec39IyEx_6qawtMGysU/edit?usp=sharing"",""สบก!CM62"")"),0)</f>
        <v>0</v>
      </c>
      <c r="AN58" s="137">
        <f t="shared" ca="1" si="23"/>
        <v>0</v>
      </c>
      <c r="AO58" s="77">
        <f ca="1">IFERROR(__xludf.DUMMYFUNCTION("IMPORTRANGE(""https://docs.google.com/spreadsheets/d/1C3CXT74ZlgGe6_JY_1olB1XN4rF0dxEuIIF-xsYjHgg/edit?usp=sharing"",""พรบ!BM62"")"),15)</f>
        <v>15</v>
      </c>
      <c r="AP58" s="77">
        <f ca="1">IFERROR(__xludf.DUMMYFUNCTION("IMPORTRANGE(""https://docs.google.com/spreadsheets/d/1SX6NBoVAgQJ6U1MVXOaj8PK2l7WJ3RER9xtqwdhxkhw/edit?usp=sharing"",""ชลบุรี!J195"")"),15)</f>
        <v>15</v>
      </c>
      <c r="AQ58" s="137">
        <f t="shared" ca="1" si="25"/>
        <v>100</v>
      </c>
    </row>
    <row r="59" spans="1:43" ht="21" customHeight="1">
      <c r="A59" s="73">
        <v>5</v>
      </c>
      <c r="B59" s="184" t="s">
        <v>83</v>
      </c>
      <c r="C59" s="75">
        <f t="shared" ca="1" si="0"/>
        <v>71400</v>
      </c>
      <c r="D59" s="76">
        <f t="shared" ca="1" si="64"/>
        <v>71400</v>
      </c>
      <c r="E59" s="77">
        <f ca="1">IFERROR(__xludf.DUMMYFUNCTION("IMPORTRANGE(""https://docs.google.com/spreadsheets/d/1C3CXT74ZlgGe6_JY_1olB1XN4rF0dxEuIIF-xsYjHgg/edit?usp=sharing"",""พรบ!BD63"")"),0)</f>
        <v>0</v>
      </c>
      <c r="F59" s="77">
        <f ca="1">IFERROR(__xludf.DUMMYFUNCTION("IMPORTRANGE(""https://docs.google.com/spreadsheets/d/1C3CXT74ZlgGe6_JY_1olB1XN4rF0dxEuIIF-xsYjHgg/edit?usp=sharing"",""พรบ!BE63"")"),71400)</f>
        <v>71400</v>
      </c>
      <c r="G59" s="77">
        <f ca="1">IFERROR(__xludf.DUMMYFUNCTION("IMPORTRANGE(""https://docs.google.com/spreadsheets/d/1Yj_ptqi66GCucihVvJfMjLAmec39IyEx_6qawtMGysU/edit?usp=sharing"",""สบก!BZ63"")"),0)</f>
        <v>0</v>
      </c>
      <c r="H59" s="77">
        <f ca="1">IFERROR(__xludf.DUMMYFUNCTION("IMPORTRANGE(""https://docs.google.com/spreadsheets/d/1Yj_ptqi66GCucihVvJfMjLAmec39IyEx_6qawtMGysU/edit?usp=shCBing"",""สบก!CB63"")"),42000)</f>
        <v>42000</v>
      </c>
      <c r="I59" s="77">
        <f t="shared" ca="1" si="3"/>
        <v>32280</v>
      </c>
      <c r="J59" s="77">
        <f t="shared" ca="1" si="4"/>
        <v>45.210084033613448</v>
      </c>
      <c r="K59" s="77">
        <f ca="1">IFERROR(__xludf.DUMMYFUNCTION("IMPORTRANGE(""https://docs.google.com/spreadsheets/d/1Yj_ptqi66GCucihVvJfMjLAmec39IyEx_6qawtMGysU/edit?usp=sharing"",""สบก!CC63"")"),32280)</f>
        <v>32280</v>
      </c>
      <c r="L59" s="137">
        <f t="shared" ca="1" si="5"/>
        <v>45.210084033613448</v>
      </c>
      <c r="M59" s="137">
        <f t="shared" ca="1" si="6"/>
        <v>76.857142857142861</v>
      </c>
      <c r="N59" s="137">
        <f ca="1">IFERROR(__xludf.DUMMYFUNCTION("IMPORTRANGE(""https://docs.google.com/spreadsheets/d/1Yj_ptqi66GCucihVvJfMjLAmec39IyEx_6qawtMGysU/edit?usp=sharing"",""สบก!CD63"")"),0)</f>
        <v>0</v>
      </c>
      <c r="O59" s="137">
        <f t="shared" ca="1" si="7"/>
        <v>0</v>
      </c>
      <c r="P59" s="77">
        <f ca="1">IFERROR(__xludf.DUMMYFUNCTION("IMPORTRANGE(""https://docs.google.com/spreadsheets/d/1C3CXT74ZlgGe6_JY_1olB1XN4rF0dxEuIIF-xsYjHgg/edit?usp=sharing"",""พรบ!BF63"")"),1)</f>
        <v>1</v>
      </c>
      <c r="Q59" s="77">
        <f ca="1">IFERROR(__xludf.DUMMYFUNCTION("IMPORTRANGE(""https://docs.google.com/spreadsheets/d/1SX6NBoVAgQJ6U1MVXOaj8PK2l7WJ3RER9xtqwdhxkhw/edit?usp=sharing"",""ชัยนาท!J179"")"),1)</f>
        <v>1</v>
      </c>
      <c r="R59" s="137">
        <f t="shared" ca="1" si="9"/>
        <v>100</v>
      </c>
      <c r="S59" s="77">
        <f ca="1">IFERROR(__xludf.DUMMYFUNCTION("IMPORTRANGE(""https://docs.google.com/spreadsheets/d/1C3CXT74ZlgGe6_JY_1olB1XN4rF0dxEuIIF-xsYjHgg/edit?usp=sharing"",""พรบ!BG63"")"),20)</f>
        <v>20</v>
      </c>
      <c r="T59" s="77">
        <f ca="1">IFERROR(__xludf.DUMMYFUNCTION("IMPORTRANGE(""https://docs.google.com/spreadsheets/d/1SX6NBoVAgQJ6U1MVXOaj8PK2l7WJ3RER9xtqwdhxkhw/edit?usp=sharing"",""ชัยนาท!J180"")"),20)</f>
        <v>20</v>
      </c>
      <c r="U59" s="137">
        <f t="shared" ca="1" si="11"/>
        <v>100</v>
      </c>
      <c r="V59" s="77">
        <f ca="1">IFERROR(__xludf.DUMMYFUNCTION("IMPORTRANGE(""https://docs.google.com/spreadsheets/d/1C3CXT74ZlgGe6_JY_1olB1XN4rF0dxEuIIF-xsYjHgg/edit?usp=sharing"",""พรบ!BH63"")"),20)</f>
        <v>20</v>
      </c>
      <c r="W59" s="77">
        <f ca="1">IFERROR(__xludf.DUMMYFUNCTION("IMPORTRANGE(""https://docs.google.com/spreadsheets/d/1SX6NBoVAgQJ6U1MVXOaj8PK2l7WJ3RER9xtqwdhxkhw/edit?usp=sharing"",""ชัยนาท!J181"")"),0)</f>
        <v>0</v>
      </c>
      <c r="X59" s="137">
        <f t="shared" ca="1" si="13"/>
        <v>0</v>
      </c>
      <c r="Y59" s="77">
        <f ca="1">IFERROR(__xludf.DUMMYFUNCTION("IMPORTRANGE(""https://docs.google.com/spreadsheets/d/1C3CXT74ZlgGe6_JY_1olB1XN4rF0dxEuIIF-xsYjHgg/edit?usp=sharing"",""พรบ!BI63"")"),1)</f>
        <v>1</v>
      </c>
      <c r="Z59" s="77">
        <f ca="1">IFERROR(__xludf.DUMMYFUNCTION("IMPORTRANGE(""https://docs.google.com/spreadsheets/d/1SX6NBoVAgQJ6U1MVXOaj8PK2l7WJ3RER9xtqwdhxkhw/edit?usp=sharing"",""ชัยนาท!J182"")"),1)</f>
        <v>1</v>
      </c>
      <c r="AA59" s="137">
        <f t="shared" ca="1" si="15"/>
        <v>100</v>
      </c>
      <c r="AB59" s="75">
        <f t="shared" ca="1" si="16"/>
        <v>165200</v>
      </c>
      <c r="AC59" s="76">
        <f t="shared" ca="1" si="65"/>
        <v>165200</v>
      </c>
      <c r="AD59" s="77">
        <f ca="1">IFERROR(__xludf.DUMMYFUNCTION("IMPORTRANGE(""https://docs.google.com/spreadsheets/d/1C3CXT74ZlgGe6_JY_1olB1XN4rF0dxEuIIF-xsYjHgg/edit?usp=sharing"",""พรบ!BK63"")"),0)</f>
        <v>0</v>
      </c>
      <c r="AE59" s="77">
        <f ca="1">IFERROR(__xludf.DUMMYFUNCTION("IMPORTRANGE(""https://docs.google.com/spreadsheets/d/1C3CXT74ZlgGe6_JY_1olB1XN4rF0dxEuIIF-xsYjHgg/edit?usp=sharing"",""พรบ!BL63"")"),165200)</f>
        <v>165200</v>
      </c>
      <c r="AF59" s="77">
        <f ca="1">IFERROR(__xludf.DUMMYFUNCTION("IMPORTRANGE(""https://docs.google.com/spreadsheets/d/1Yj_ptqi66GCucihVvJfMjLAmec39IyEx_6qawtMGysU/edit?usp=sharing"",""สบก!CI63"")"),0)</f>
        <v>0</v>
      </c>
      <c r="AG59" s="77">
        <f ca="1">IFERROR(__xludf.DUMMYFUNCTION("IMPORTRANGE(""https://docs.google.com/spreadsheets/d/1Yj_ptqi66GCucihVvJfMjLAmec39IyEx_6qawtMGysU/edit?usp=shCKing"",""สบก!CK63"")"),143200)</f>
        <v>143200</v>
      </c>
      <c r="AH59" s="77">
        <f t="shared" ca="1" si="19"/>
        <v>70780</v>
      </c>
      <c r="AI59" s="77">
        <f t="shared" ca="1" si="20"/>
        <v>42.845036319612589</v>
      </c>
      <c r="AJ59" s="77">
        <f ca="1">IFERROR(__xludf.DUMMYFUNCTION("IMPORTRANGE(""https://docs.google.com/spreadsheets/d/1Yj_ptqi66GCucihVvJfMjLAmec39IyEx_6qawtMGysU/edit?usp=sharing"",""สบก!CL63"")"),70780)</f>
        <v>70780</v>
      </c>
      <c r="AK59" s="137">
        <f t="shared" ca="1" si="21"/>
        <v>42.845036319612589</v>
      </c>
      <c r="AL59" s="137">
        <f t="shared" ca="1" si="22"/>
        <v>49.427374301675975</v>
      </c>
      <c r="AM59" s="137">
        <f ca="1">IFERROR(__xludf.DUMMYFUNCTION("IMPORTRANGE(""https://docs.google.com/spreadsheets/d/1Yj_ptqi66GCucihVvJfMjLAmec39IyEx_6qawtMGysU/edit?usp=sharing"",""สบก!CM63"")"),0)</f>
        <v>0</v>
      </c>
      <c r="AN59" s="137">
        <f t="shared" ca="1" si="23"/>
        <v>0</v>
      </c>
      <c r="AO59" s="77">
        <f ca="1">IFERROR(__xludf.DUMMYFUNCTION("IMPORTRANGE(""https://docs.google.com/spreadsheets/d/1C3CXT74ZlgGe6_JY_1olB1XN4rF0dxEuIIF-xsYjHgg/edit?usp=sharing"",""พรบ!BM63"")"),15)</f>
        <v>15</v>
      </c>
      <c r="AP59" s="77">
        <f ca="1">IFERROR(__xludf.DUMMYFUNCTION("IMPORTRANGE(""https://docs.google.com/spreadsheets/d/1SX6NBoVAgQJ6U1MVXOaj8PK2l7WJ3RER9xtqwdhxkhw/edit?usp=sharing"",""ชัยนาท!J195"")"),15)</f>
        <v>15</v>
      </c>
      <c r="AQ59" s="137">
        <f t="shared" ca="1" si="25"/>
        <v>100</v>
      </c>
    </row>
    <row r="60" spans="1:43" ht="21" customHeight="1">
      <c r="A60" s="73">
        <v>6</v>
      </c>
      <c r="B60" s="74" t="s">
        <v>84</v>
      </c>
      <c r="C60" s="75">
        <f t="shared" ca="1" si="0"/>
        <v>0</v>
      </c>
      <c r="D60" s="76">
        <f t="shared" ca="1" si="64"/>
        <v>0</v>
      </c>
      <c r="E60" s="77">
        <f ca="1">IFERROR(__xludf.DUMMYFUNCTION("IMPORTRANGE(""https://docs.google.com/spreadsheets/d/1C3CXT74ZlgGe6_JY_1olB1XN4rF0dxEuIIF-xsYjHgg/edit?usp=sharing"",""พรบ!BD64"")"),0)</f>
        <v>0</v>
      </c>
      <c r="F60" s="77">
        <f ca="1">IFERROR(__xludf.DUMMYFUNCTION("IMPORTRANGE(""https://docs.google.com/spreadsheets/d/1C3CXT74ZlgGe6_JY_1olB1XN4rF0dxEuIIF-xsYjHgg/edit?usp=sharing"",""พรบ!BE64"")"),0)</f>
        <v>0</v>
      </c>
      <c r="G60" s="77">
        <f ca="1">IFERROR(__xludf.DUMMYFUNCTION("IMPORTRANGE(""https://docs.google.com/spreadsheets/d/1Yj_ptqi66GCucihVvJfMjLAmec39IyEx_6qawtMGysU/edit?usp=sharing"",""สบก!BZ64"")"),0)</f>
        <v>0</v>
      </c>
      <c r="H60" s="77">
        <f ca="1">IFERROR(__xludf.DUMMYFUNCTION("IMPORTRANGE(""https://docs.google.com/spreadsheets/d/1Yj_ptqi66GCucihVvJfMjLAmec39IyEx_6qawtMGysU/edit?usp=shCBing"",""สบก!CB64"")"),0)</f>
        <v>0</v>
      </c>
      <c r="I60" s="77">
        <f t="shared" ca="1" si="3"/>
        <v>0</v>
      </c>
      <c r="J60" s="77">
        <f t="shared" ca="1" si="4"/>
        <v>0</v>
      </c>
      <c r="K60" s="77">
        <f ca="1">IFERROR(__xludf.DUMMYFUNCTION("IMPORTRANGE(""https://docs.google.com/spreadsheets/d/1Yj_ptqi66GCucihVvJfMjLAmec39IyEx_6qawtMGysU/edit?usp=sharing"",""สบก!CC64"")"),0)</f>
        <v>0</v>
      </c>
      <c r="L60" s="137">
        <f t="shared" ca="1" si="5"/>
        <v>0</v>
      </c>
      <c r="M60" s="137">
        <f t="shared" ca="1" si="6"/>
        <v>0</v>
      </c>
      <c r="N60" s="137">
        <f ca="1">IFERROR(__xludf.DUMMYFUNCTION("IMPORTRANGE(""https://docs.google.com/spreadsheets/d/1Yj_ptqi66GCucihVvJfMjLAmec39IyEx_6qawtMGysU/edit?usp=sharing"",""สบก!CD64"")"),0)</f>
        <v>0</v>
      </c>
      <c r="O60" s="137">
        <f t="shared" ca="1" si="7"/>
        <v>0</v>
      </c>
      <c r="P60" s="77">
        <f ca="1">IFERROR(__xludf.DUMMYFUNCTION("IMPORTRANGE(""https://docs.google.com/spreadsheets/d/1C3CXT74ZlgGe6_JY_1olB1XN4rF0dxEuIIF-xsYjHgg/edit?usp=sharing"",""พรบ!BF64"")"),0)</f>
        <v>0</v>
      </c>
      <c r="Q60" s="77">
        <f ca="1">IFERROR(__xludf.DUMMYFUNCTION("IMPORTRANGE(""https://docs.google.com/spreadsheets/d/1SX6NBoVAgQJ6U1MVXOaj8PK2l7WJ3RER9xtqwdhxkhw/edit?usp=sharing"",""ตราด!J179"")"),0)</f>
        <v>0</v>
      </c>
      <c r="R60" s="137">
        <f t="shared" ca="1" si="9"/>
        <v>0</v>
      </c>
      <c r="S60" s="77">
        <f ca="1">IFERROR(__xludf.DUMMYFUNCTION("IMPORTRANGE(""https://docs.google.com/spreadsheets/d/1C3CXT74ZlgGe6_JY_1olB1XN4rF0dxEuIIF-xsYjHgg/edit?usp=sharing"",""พรบ!BG64"")"),0)</f>
        <v>0</v>
      </c>
      <c r="T60" s="77">
        <f ca="1">IFERROR(__xludf.DUMMYFUNCTION("IMPORTRANGE(""https://docs.google.com/spreadsheets/d/1SX6NBoVAgQJ6U1MVXOaj8PK2l7WJ3RER9xtqwdhxkhw/edit?usp=sharing"",""ตราด!J180"")"),0)</f>
        <v>0</v>
      </c>
      <c r="U60" s="137">
        <f t="shared" ca="1" si="11"/>
        <v>0</v>
      </c>
      <c r="V60" s="77">
        <f ca="1">IFERROR(__xludf.DUMMYFUNCTION("IMPORTRANGE(""https://docs.google.com/spreadsheets/d/1C3CXT74ZlgGe6_JY_1olB1XN4rF0dxEuIIF-xsYjHgg/edit?usp=sharing"",""พรบ!BH64"")"),0)</f>
        <v>0</v>
      </c>
      <c r="W60" s="77">
        <f ca="1">IFERROR(__xludf.DUMMYFUNCTION("IMPORTRANGE(""https://docs.google.com/spreadsheets/d/1SX6NBoVAgQJ6U1MVXOaj8PK2l7WJ3RER9xtqwdhxkhw/edit?usp=sharing"",""ตราด!J181"")"),0)</f>
        <v>0</v>
      </c>
      <c r="X60" s="137">
        <f t="shared" ca="1" si="13"/>
        <v>0</v>
      </c>
      <c r="Y60" s="77">
        <f ca="1">IFERROR(__xludf.DUMMYFUNCTION("IMPORTRANGE(""https://docs.google.com/spreadsheets/d/1C3CXT74ZlgGe6_JY_1olB1XN4rF0dxEuIIF-xsYjHgg/edit?usp=sharing"",""พรบ!BI64"")"),0)</f>
        <v>0</v>
      </c>
      <c r="Z60" s="77">
        <f ca="1">IFERROR(__xludf.DUMMYFUNCTION("IMPORTRANGE(""https://docs.google.com/spreadsheets/d/1SX6NBoVAgQJ6U1MVXOaj8PK2l7WJ3RER9xtqwdhxkhw/edit?usp=sharing"",""ตราด!J182"")"),0)</f>
        <v>0</v>
      </c>
      <c r="AA60" s="137">
        <f t="shared" ca="1" si="15"/>
        <v>0</v>
      </c>
      <c r="AB60" s="75">
        <f t="shared" ca="1" si="16"/>
        <v>0</v>
      </c>
      <c r="AC60" s="76">
        <f t="shared" ca="1" si="65"/>
        <v>0</v>
      </c>
      <c r="AD60" s="77">
        <f ca="1">IFERROR(__xludf.DUMMYFUNCTION("IMPORTRANGE(""https://docs.google.com/spreadsheets/d/1C3CXT74ZlgGe6_JY_1olB1XN4rF0dxEuIIF-xsYjHgg/edit?usp=sharing"",""พรบ!BK64"")"),0)</f>
        <v>0</v>
      </c>
      <c r="AE60" s="77">
        <f ca="1">IFERROR(__xludf.DUMMYFUNCTION("IMPORTRANGE(""https://docs.google.com/spreadsheets/d/1C3CXT74ZlgGe6_JY_1olB1XN4rF0dxEuIIF-xsYjHgg/edit?usp=sharing"",""พรบ!BL64"")"),0)</f>
        <v>0</v>
      </c>
      <c r="AF60" s="77">
        <f ca="1">IFERROR(__xludf.DUMMYFUNCTION("IMPORTRANGE(""https://docs.google.com/spreadsheets/d/1Yj_ptqi66GCucihVvJfMjLAmec39IyEx_6qawtMGysU/edit?usp=sharing"",""สบก!CI64"")"),0)</f>
        <v>0</v>
      </c>
      <c r="AG60" s="77">
        <f ca="1">IFERROR(__xludf.DUMMYFUNCTION("IMPORTRANGE(""https://docs.google.com/spreadsheets/d/1Yj_ptqi66GCucihVvJfMjLAmec39IyEx_6qawtMGysU/edit?usp=shCKing"",""สบก!CK64"")"),0)</f>
        <v>0</v>
      </c>
      <c r="AH60" s="77">
        <f t="shared" ca="1" si="19"/>
        <v>0</v>
      </c>
      <c r="AI60" s="77">
        <f t="shared" ca="1" si="20"/>
        <v>0</v>
      </c>
      <c r="AJ60" s="77">
        <f ca="1">IFERROR(__xludf.DUMMYFUNCTION("IMPORTRANGE(""https://docs.google.com/spreadsheets/d/1Yj_ptqi66GCucihVvJfMjLAmec39IyEx_6qawtMGysU/edit?usp=sharing"",""สบก!CL64"")"),0)</f>
        <v>0</v>
      </c>
      <c r="AK60" s="137">
        <f t="shared" ca="1" si="21"/>
        <v>0</v>
      </c>
      <c r="AL60" s="137">
        <f t="shared" ca="1" si="22"/>
        <v>0</v>
      </c>
      <c r="AM60" s="137">
        <f ca="1">IFERROR(__xludf.DUMMYFUNCTION("IMPORTRANGE(""https://docs.google.com/spreadsheets/d/1Yj_ptqi66GCucihVvJfMjLAmec39IyEx_6qawtMGysU/edit?usp=sharing"",""สบก!CM64"")"),0)</f>
        <v>0</v>
      </c>
      <c r="AN60" s="137">
        <f t="shared" ca="1" si="23"/>
        <v>0</v>
      </c>
      <c r="AO60" s="77">
        <f ca="1">IFERROR(__xludf.DUMMYFUNCTION("IMPORTRANGE(""https://docs.google.com/spreadsheets/d/1C3CXT74ZlgGe6_JY_1olB1XN4rF0dxEuIIF-xsYjHgg/edit?usp=sharing"",""พรบ!BM64"")"),0)</f>
        <v>0</v>
      </c>
      <c r="AP60" s="77">
        <f ca="1">IFERROR(__xludf.DUMMYFUNCTION("IMPORTRANGE(""https://docs.google.com/spreadsheets/d/1SX6NBoVAgQJ6U1MVXOaj8PK2l7WJ3RER9xtqwdhxkhw/edit?usp=sharing"",""ตราด!J195"")"),0)</f>
        <v>0</v>
      </c>
      <c r="AQ60" s="137">
        <f t="shared" ca="1" si="25"/>
        <v>0</v>
      </c>
    </row>
    <row r="61" spans="1:43" ht="21" customHeight="1">
      <c r="A61" s="73">
        <v>7</v>
      </c>
      <c r="B61" s="74" t="s">
        <v>85</v>
      </c>
      <c r="C61" s="75">
        <f t="shared" ca="1" si="0"/>
        <v>0</v>
      </c>
      <c r="D61" s="76">
        <f t="shared" ca="1" si="64"/>
        <v>0</v>
      </c>
      <c r="E61" s="77">
        <f ca="1">IFERROR(__xludf.DUMMYFUNCTION("IMPORTRANGE(""https://docs.google.com/spreadsheets/d/1C3CXT74ZlgGe6_JY_1olB1XN4rF0dxEuIIF-xsYjHgg/edit?usp=sharing"",""พรบ!BD65"")"),0)</f>
        <v>0</v>
      </c>
      <c r="F61" s="77">
        <f ca="1">IFERROR(__xludf.DUMMYFUNCTION("IMPORTRANGE(""https://docs.google.com/spreadsheets/d/1C3CXT74ZlgGe6_JY_1olB1XN4rF0dxEuIIF-xsYjHgg/edit?usp=sharing"",""พรบ!BE65"")"),0)</f>
        <v>0</v>
      </c>
      <c r="G61" s="77">
        <f ca="1">IFERROR(__xludf.DUMMYFUNCTION("IMPORTRANGE(""https://docs.google.com/spreadsheets/d/1Yj_ptqi66GCucihVvJfMjLAmec39IyEx_6qawtMGysU/edit?usp=sharing"",""สบก!BZ65"")"),0)</f>
        <v>0</v>
      </c>
      <c r="H61" s="77">
        <f ca="1">IFERROR(__xludf.DUMMYFUNCTION("IMPORTRANGE(""https://docs.google.com/spreadsheets/d/1Yj_ptqi66GCucihVvJfMjLAmec39IyEx_6qawtMGysU/edit?usp=shCBing"",""สบก!CB65"")"),0)</f>
        <v>0</v>
      </c>
      <c r="I61" s="77">
        <f t="shared" ca="1" si="3"/>
        <v>0</v>
      </c>
      <c r="J61" s="77">
        <f t="shared" ca="1" si="4"/>
        <v>0</v>
      </c>
      <c r="K61" s="77">
        <f ca="1">IFERROR(__xludf.DUMMYFUNCTION("IMPORTRANGE(""https://docs.google.com/spreadsheets/d/1Yj_ptqi66GCucihVvJfMjLAmec39IyEx_6qawtMGysU/edit?usp=sharing"",""สบก!CC65"")"),0)</f>
        <v>0</v>
      </c>
      <c r="L61" s="137">
        <f t="shared" ca="1" si="5"/>
        <v>0</v>
      </c>
      <c r="M61" s="137">
        <f t="shared" ca="1" si="6"/>
        <v>0</v>
      </c>
      <c r="N61" s="137">
        <f ca="1">IFERROR(__xludf.DUMMYFUNCTION("IMPORTRANGE(""https://docs.google.com/spreadsheets/d/1Yj_ptqi66GCucihVvJfMjLAmec39IyEx_6qawtMGysU/edit?usp=sharing"",""สบก!CD65"")"),0)</f>
        <v>0</v>
      </c>
      <c r="O61" s="137">
        <f t="shared" ca="1" si="7"/>
        <v>0</v>
      </c>
      <c r="P61" s="77">
        <f ca="1">IFERROR(__xludf.DUMMYFUNCTION("IMPORTRANGE(""https://docs.google.com/spreadsheets/d/1C3CXT74ZlgGe6_JY_1olB1XN4rF0dxEuIIF-xsYjHgg/edit?usp=sharing"",""พรบ!BF65"")"),0)</f>
        <v>0</v>
      </c>
      <c r="Q61" s="77">
        <f ca="1">IFERROR(__xludf.DUMMYFUNCTION("IMPORTRANGE(""https://docs.google.com/spreadsheets/d/1SX6NBoVAgQJ6U1MVXOaj8PK2l7WJ3RER9xtqwdhxkhw/edit?usp=sharing"",""นครนายก!J179"")"),0)</f>
        <v>0</v>
      </c>
      <c r="R61" s="137">
        <f t="shared" ca="1" si="9"/>
        <v>0</v>
      </c>
      <c r="S61" s="77">
        <f ca="1">IFERROR(__xludf.DUMMYFUNCTION("IMPORTRANGE(""https://docs.google.com/spreadsheets/d/1C3CXT74ZlgGe6_JY_1olB1XN4rF0dxEuIIF-xsYjHgg/edit?usp=sharing"",""พรบ!BG65"")"),0)</f>
        <v>0</v>
      </c>
      <c r="T61" s="77">
        <f ca="1">IFERROR(__xludf.DUMMYFUNCTION("IMPORTRANGE(""https://docs.google.com/spreadsheets/d/1SX6NBoVAgQJ6U1MVXOaj8PK2l7WJ3RER9xtqwdhxkhw/edit?usp=sharing"",""นครนายก!J180"")"),0)</f>
        <v>0</v>
      </c>
      <c r="U61" s="137">
        <f t="shared" ca="1" si="11"/>
        <v>0</v>
      </c>
      <c r="V61" s="77">
        <f ca="1">IFERROR(__xludf.DUMMYFUNCTION("IMPORTRANGE(""https://docs.google.com/spreadsheets/d/1C3CXT74ZlgGe6_JY_1olB1XN4rF0dxEuIIF-xsYjHgg/edit?usp=sharing"",""พรบ!BH65"")"),0)</f>
        <v>0</v>
      </c>
      <c r="W61" s="77">
        <f ca="1">IFERROR(__xludf.DUMMYFUNCTION("IMPORTRANGE(""https://docs.google.com/spreadsheets/d/1SX6NBoVAgQJ6U1MVXOaj8PK2l7WJ3RER9xtqwdhxkhw/edit?usp=sharing"",""นครนายก!J181"")"),0)</f>
        <v>0</v>
      </c>
      <c r="X61" s="137">
        <f t="shared" ca="1" si="13"/>
        <v>0</v>
      </c>
      <c r="Y61" s="77">
        <f ca="1">IFERROR(__xludf.DUMMYFUNCTION("IMPORTRANGE(""https://docs.google.com/spreadsheets/d/1C3CXT74ZlgGe6_JY_1olB1XN4rF0dxEuIIF-xsYjHgg/edit?usp=sharing"",""พรบ!BI65"")"),0)</f>
        <v>0</v>
      </c>
      <c r="Z61" s="77">
        <f ca="1">IFERROR(__xludf.DUMMYFUNCTION("IMPORTRANGE(""https://docs.google.com/spreadsheets/d/1SX6NBoVAgQJ6U1MVXOaj8PK2l7WJ3RER9xtqwdhxkhw/edit?usp=sharing"",""นครนายก!J182"")"),0)</f>
        <v>0</v>
      </c>
      <c r="AA61" s="137">
        <f t="shared" ca="1" si="15"/>
        <v>0</v>
      </c>
      <c r="AB61" s="75">
        <f t="shared" ca="1" si="16"/>
        <v>55200</v>
      </c>
      <c r="AC61" s="76">
        <f t="shared" ca="1" si="65"/>
        <v>55200</v>
      </c>
      <c r="AD61" s="77">
        <f ca="1">IFERROR(__xludf.DUMMYFUNCTION("IMPORTRANGE(""https://docs.google.com/spreadsheets/d/1C3CXT74ZlgGe6_JY_1olB1XN4rF0dxEuIIF-xsYjHgg/edit?usp=sharing"",""พรบ!BK65"")"),0)</f>
        <v>0</v>
      </c>
      <c r="AE61" s="77">
        <f ca="1">IFERROR(__xludf.DUMMYFUNCTION("IMPORTRANGE(""https://docs.google.com/spreadsheets/d/1C3CXT74ZlgGe6_JY_1olB1XN4rF0dxEuIIF-xsYjHgg/edit?usp=sharing"",""พรบ!BL65"")"),55200)</f>
        <v>55200</v>
      </c>
      <c r="AF61" s="77">
        <f ca="1">IFERROR(__xludf.DUMMYFUNCTION("IMPORTRANGE(""https://docs.google.com/spreadsheets/d/1Yj_ptqi66GCucihVvJfMjLAmec39IyEx_6qawtMGysU/edit?usp=sharing"",""สบก!CI65"")"),0)</f>
        <v>0</v>
      </c>
      <c r="AG61" s="77">
        <f ca="1">IFERROR(__xludf.DUMMYFUNCTION("IMPORTRANGE(""https://docs.google.com/spreadsheets/d/1Yj_ptqi66GCucihVvJfMjLAmec39IyEx_6qawtMGysU/edit?usp=shCKing"",""สบก!CK65"")"),32250)</f>
        <v>32250</v>
      </c>
      <c r="AH61" s="77">
        <f t="shared" ca="1" si="19"/>
        <v>21510</v>
      </c>
      <c r="AI61" s="77">
        <f t="shared" ca="1" si="20"/>
        <v>38.967391304347828</v>
      </c>
      <c r="AJ61" s="77">
        <f ca="1">IFERROR(__xludf.DUMMYFUNCTION("IMPORTRANGE(""https://docs.google.com/spreadsheets/d/1Yj_ptqi66GCucihVvJfMjLAmec39IyEx_6qawtMGysU/edit?usp=sharing"",""สบก!CL65"")"),21510)</f>
        <v>21510</v>
      </c>
      <c r="AK61" s="137">
        <f t="shared" ca="1" si="21"/>
        <v>38.967391304347828</v>
      </c>
      <c r="AL61" s="137">
        <f t="shared" ca="1" si="22"/>
        <v>66.697674418604649</v>
      </c>
      <c r="AM61" s="137">
        <f ca="1">IFERROR(__xludf.DUMMYFUNCTION("IMPORTRANGE(""https://docs.google.com/spreadsheets/d/1Yj_ptqi66GCucihVvJfMjLAmec39IyEx_6qawtMGysU/edit?usp=sharing"",""สบก!CM65"")"),0)</f>
        <v>0</v>
      </c>
      <c r="AN61" s="137">
        <f t="shared" ca="1" si="23"/>
        <v>0</v>
      </c>
      <c r="AO61" s="77">
        <f ca="1">IFERROR(__xludf.DUMMYFUNCTION("IMPORTRANGE(""https://docs.google.com/spreadsheets/d/1C3CXT74ZlgGe6_JY_1olB1XN4rF0dxEuIIF-xsYjHgg/edit?usp=sharing"",""พรบ!BM65"")"),15)</f>
        <v>15</v>
      </c>
      <c r="AP61" s="77">
        <f ca="1">IFERROR(__xludf.DUMMYFUNCTION("IMPORTRANGE(""https://docs.google.com/spreadsheets/d/1SX6NBoVAgQJ6U1MVXOaj8PK2l7WJ3RER9xtqwdhxkhw/edit?usp=sharing"",""นครนายก!J195"")"),15)</f>
        <v>15</v>
      </c>
      <c r="AQ61" s="137">
        <f t="shared" ca="1" si="25"/>
        <v>100</v>
      </c>
    </row>
    <row r="62" spans="1:43" ht="21" customHeight="1">
      <c r="A62" s="73">
        <v>8</v>
      </c>
      <c r="B62" s="184" t="s">
        <v>86</v>
      </c>
      <c r="C62" s="75">
        <f t="shared" ca="1" si="0"/>
        <v>0</v>
      </c>
      <c r="D62" s="76">
        <f t="shared" ca="1" si="64"/>
        <v>0</v>
      </c>
      <c r="E62" s="77">
        <f ca="1">IFERROR(__xludf.DUMMYFUNCTION("IMPORTRANGE(""https://docs.google.com/spreadsheets/d/1C3CXT74ZlgGe6_JY_1olB1XN4rF0dxEuIIF-xsYjHgg/edit?usp=sharing"",""พรบ!BD66"")"),0)</f>
        <v>0</v>
      </c>
      <c r="F62" s="77">
        <f ca="1">IFERROR(__xludf.DUMMYFUNCTION("IMPORTRANGE(""https://docs.google.com/spreadsheets/d/1C3CXT74ZlgGe6_JY_1olB1XN4rF0dxEuIIF-xsYjHgg/edit?usp=sharing"",""พรบ!BE66"")"),0)</f>
        <v>0</v>
      </c>
      <c r="G62" s="77">
        <f ca="1">IFERROR(__xludf.DUMMYFUNCTION("IMPORTRANGE(""https://docs.google.com/spreadsheets/d/1Yj_ptqi66GCucihVvJfMjLAmec39IyEx_6qawtMGysU/edit?usp=sharing"",""สบก!BZ66"")"),0)</f>
        <v>0</v>
      </c>
      <c r="H62" s="77">
        <f ca="1">IFERROR(__xludf.DUMMYFUNCTION("IMPORTRANGE(""https://docs.google.com/spreadsheets/d/1Yj_ptqi66GCucihVvJfMjLAmec39IyEx_6qawtMGysU/edit?usp=shCBing"",""สบก!CB66"")"),0)</f>
        <v>0</v>
      </c>
      <c r="I62" s="77">
        <f t="shared" ca="1" si="3"/>
        <v>0</v>
      </c>
      <c r="J62" s="77">
        <f t="shared" ca="1" si="4"/>
        <v>0</v>
      </c>
      <c r="K62" s="77">
        <f ca="1">IFERROR(__xludf.DUMMYFUNCTION("IMPORTRANGE(""https://docs.google.com/spreadsheets/d/1Yj_ptqi66GCucihVvJfMjLAmec39IyEx_6qawtMGysU/edit?usp=sharing"",""สบก!CC66"")"),0)</f>
        <v>0</v>
      </c>
      <c r="L62" s="137">
        <f t="shared" ca="1" si="5"/>
        <v>0</v>
      </c>
      <c r="M62" s="137">
        <f t="shared" ca="1" si="6"/>
        <v>0</v>
      </c>
      <c r="N62" s="137">
        <f ca="1">IFERROR(__xludf.DUMMYFUNCTION("IMPORTRANGE(""https://docs.google.com/spreadsheets/d/1Yj_ptqi66GCucihVvJfMjLAmec39IyEx_6qawtMGysU/edit?usp=sharing"",""สบก!CD66"")"),0)</f>
        <v>0</v>
      </c>
      <c r="O62" s="137">
        <f t="shared" ca="1" si="7"/>
        <v>0</v>
      </c>
      <c r="P62" s="77">
        <f ca="1">IFERROR(__xludf.DUMMYFUNCTION("IMPORTRANGE(""https://docs.google.com/spreadsheets/d/1C3CXT74ZlgGe6_JY_1olB1XN4rF0dxEuIIF-xsYjHgg/edit?usp=sharing"",""พรบ!BF66"")"),0)</f>
        <v>0</v>
      </c>
      <c r="Q62" s="77">
        <f ca="1">IFERROR(__xludf.DUMMYFUNCTION("IMPORTRANGE(""https://docs.google.com/spreadsheets/d/1SX6NBoVAgQJ6U1MVXOaj8PK2l7WJ3RER9xtqwdhxkhw/edit?usp=sharing"",""นครปฐม!J179"")"),0)</f>
        <v>0</v>
      </c>
      <c r="R62" s="137">
        <f t="shared" ca="1" si="9"/>
        <v>0</v>
      </c>
      <c r="S62" s="77">
        <f ca="1">IFERROR(__xludf.DUMMYFUNCTION("IMPORTRANGE(""https://docs.google.com/spreadsheets/d/1C3CXT74ZlgGe6_JY_1olB1XN4rF0dxEuIIF-xsYjHgg/edit?usp=sharing"",""พรบ!BG66"")"),0)</f>
        <v>0</v>
      </c>
      <c r="T62" s="77">
        <f ca="1">IFERROR(__xludf.DUMMYFUNCTION("IMPORTRANGE(""https://docs.google.com/spreadsheets/d/1SX6NBoVAgQJ6U1MVXOaj8PK2l7WJ3RER9xtqwdhxkhw/edit?usp=sharing"",""นครปฐม!J180"")"),0)</f>
        <v>0</v>
      </c>
      <c r="U62" s="137">
        <f t="shared" ca="1" si="11"/>
        <v>0</v>
      </c>
      <c r="V62" s="77">
        <f ca="1">IFERROR(__xludf.DUMMYFUNCTION("IMPORTRANGE(""https://docs.google.com/spreadsheets/d/1C3CXT74ZlgGe6_JY_1olB1XN4rF0dxEuIIF-xsYjHgg/edit?usp=sharing"",""พรบ!BH66"")"),0)</f>
        <v>0</v>
      </c>
      <c r="W62" s="77">
        <f ca="1">IFERROR(__xludf.DUMMYFUNCTION("IMPORTRANGE(""https://docs.google.com/spreadsheets/d/1SX6NBoVAgQJ6U1MVXOaj8PK2l7WJ3RER9xtqwdhxkhw/edit?usp=sharing"",""นครปฐม!J181"")"),0)</f>
        <v>0</v>
      </c>
      <c r="X62" s="137">
        <f t="shared" ca="1" si="13"/>
        <v>0</v>
      </c>
      <c r="Y62" s="77">
        <f ca="1">IFERROR(__xludf.DUMMYFUNCTION("IMPORTRANGE(""https://docs.google.com/spreadsheets/d/1C3CXT74ZlgGe6_JY_1olB1XN4rF0dxEuIIF-xsYjHgg/edit?usp=sharing"",""พรบ!BI66"")"),0)</f>
        <v>0</v>
      </c>
      <c r="Z62" s="77">
        <f ca="1">IFERROR(__xludf.DUMMYFUNCTION("IMPORTRANGE(""https://docs.google.com/spreadsheets/d/1SX6NBoVAgQJ6U1MVXOaj8PK2l7WJ3RER9xtqwdhxkhw/edit?usp=sharing"",""นครปฐม!J182"")"),0)</f>
        <v>0</v>
      </c>
      <c r="AA62" s="137">
        <f t="shared" ca="1" si="15"/>
        <v>0</v>
      </c>
      <c r="AB62" s="75">
        <f t="shared" ca="1" si="16"/>
        <v>0</v>
      </c>
      <c r="AC62" s="76">
        <f t="shared" ca="1" si="65"/>
        <v>0</v>
      </c>
      <c r="AD62" s="77">
        <f ca="1">IFERROR(__xludf.DUMMYFUNCTION("IMPORTRANGE(""https://docs.google.com/spreadsheets/d/1C3CXT74ZlgGe6_JY_1olB1XN4rF0dxEuIIF-xsYjHgg/edit?usp=sharing"",""พรบ!BK66"")"),0)</f>
        <v>0</v>
      </c>
      <c r="AE62" s="77">
        <f ca="1">IFERROR(__xludf.DUMMYFUNCTION("IMPORTRANGE(""https://docs.google.com/spreadsheets/d/1C3CXT74ZlgGe6_JY_1olB1XN4rF0dxEuIIF-xsYjHgg/edit?usp=sharing"",""พรบ!BL66"")"),0)</f>
        <v>0</v>
      </c>
      <c r="AF62" s="77">
        <f ca="1">IFERROR(__xludf.DUMMYFUNCTION("IMPORTRANGE(""https://docs.google.com/spreadsheets/d/1Yj_ptqi66GCucihVvJfMjLAmec39IyEx_6qawtMGysU/edit?usp=sharing"",""สบก!CI66"")"),0)</f>
        <v>0</v>
      </c>
      <c r="AG62" s="77">
        <f ca="1">IFERROR(__xludf.DUMMYFUNCTION("IMPORTRANGE(""https://docs.google.com/spreadsheets/d/1Yj_ptqi66GCucihVvJfMjLAmec39IyEx_6qawtMGysU/edit?usp=shCKing"",""สบก!CK66"")"),0)</f>
        <v>0</v>
      </c>
      <c r="AH62" s="77">
        <f t="shared" ca="1" si="19"/>
        <v>0</v>
      </c>
      <c r="AI62" s="77">
        <f t="shared" ca="1" si="20"/>
        <v>0</v>
      </c>
      <c r="AJ62" s="77">
        <f ca="1">IFERROR(__xludf.DUMMYFUNCTION("IMPORTRANGE(""https://docs.google.com/spreadsheets/d/1Yj_ptqi66GCucihVvJfMjLAmec39IyEx_6qawtMGysU/edit?usp=sharing"",""สบก!CL66"")"),0)</f>
        <v>0</v>
      </c>
      <c r="AK62" s="137">
        <f t="shared" ca="1" si="21"/>
        <v>0</v>
      </c>
      <c r="AL62" s="137">
        <f t="shared" ca="1" si="22"/>
        <v>0</v>
      </c>
      <c r="AM62" s="137">
        <f ca="1">IFERROR(__xludf.DUMMYFUNCTION("IMPORTRANGE(""https://docs.google.com/spreadsheets/d/1Yj_ptqi66GCucihVvJfMjLAmec39IyEx_6qawtMGysU/edit?usp=sharing"",""สบก!CM66"")"),0)</f>
        <v>0</v>
      </c>
      <c r="AN62" s="137">
        <f t="shared" ca="1" si="23"/>
        <v>0</v>
      </c>
      <c r="AO62" s="77">
        <f ca="1">IFERROR(__xludf.DUMMYFUNCTION("IMPORTRANGE(""https://docs.google.com/spreadsheets/d/1C3CXT74ZlgGe6_JY_1olB1XN4rF0dxEuIIF-xsYjHgg/edit?usp=sharing"",""พรบ!BM66"")"),0)</f>
        <v>0</v>
      </c>
      <c r="AP62" s="77">
        <f ca="1">IFERROR(__xludf.DUMMYFUNCTION("IMPORTRANGE(""https://docs.google.com/spreadsheets/d/1SX6NBoVAgQJ6U1MVXOaj8PK2l7WJ3RER9xtqwdhxkhw/edit?usp=sharing"",""นครปฐม!J195"")"),0)</f>
        <v>0</v>
      </c>
      <c r="AQ62" s="137">
        <f t="shared" ca="1" si="25"/>
        <v>0</v>
      </c>
    </row>
    <row r="63" spans="1:43" ht="21" customHeight="1">
      <c r="A63" s="73">
        <v>9</v>
      </c>
      <c r="B63" s="184" t="s">
        <v>87</v>
      </c>
      <c r="C63" s="75">
        <f t="shared" ca="1" si="0"/>
        <v>0</v>
      </c>
      <c r="D63" s="76">
        <f t="shared" ca="1" si="64"/>
        <v>0</v>
      </c>
      <c r="E63" s="77">
        <f ca="1">IFERROR(__xludf.DUMMYFUNCTION("IMPORTRANGE(""https://docs.google.com/spreadsheets/d/1C3CXT74ZlgGe6_JY_1olB1XN4rF0dxEuIIF-xsYjHgg/edit?usp=sharing"",""พรบ!BD67"")"),0)</f>
        <v>0</v>
      </c>
      <c r="F63" s="77">
        <f ca="1">IFERROR(__xludf.DUMMYFUNCTION("IMPORTRANGE(""https://docs.google.com/spreadsheets/d/1C3CXT74ZlgGe6_JY_1olB1XN4rF0dxEuIIF-xsYjHgg/edit?usp=sharing"",""พรบ!BE67"")"),0)</f>
        <v>0</v>
      </c>
      <c r="G63" s="77">
        <f ca="1">IFERROR(__xludf.DUMMYFUNCTION("IMPORTRANGE(""https://docs.google.com/spreadsheets/d/1Yj_ptqi66GCucihVvJfMjLAmec39IyEx_6qawtMGysU/edit?usp=sharing"",""สบก!BZ67"")"),0)</f>
        <v>0</v>
      </c>
      <c r="H63" s="77">
        <f ca="1">IFERROR(__xludf.DUMMYFUNCTION("IMPORTRANGE(""https://docs.google.com/spreadsheets/d/1Yj_ptqi66GCucihVvJfMjLAmec39IyEx_6qawtMGysU/edit?usp=shCBing"",""สบก!CB67"")"),0)</f>
        <v>0</v>
      </c>
      <c r="I63" s="77">
        <f t="shared" ca="1" si="3"/>
        <v>0</v>
      </c>
      <c r="J63" s="77">
        <f t="shared" ca="1" si="4"/>
        <v>0</v>
      </c>
      <c r="K63" s="77">
        <f ca="1">IFERROR(__xludf.DUMMYFUNCTION("IMPORTRANGE(""https://docs.google.com/spreadsheets/d/1Yj_ptqi66GCucihVvJfMjLAmec39IyEx_6qawtMGysU/edit?usp=sharing"",""สบก!CC67"")"),0)</f>
        <v>0</v>
      </c>
      <c r="L63" s="137">
        <f t="shared" ca="1" si="5"/>
        <v>0</v>
      </c>
      <c r="M63" s="137">
        <f t="shared" ca="1" si="6"/>
        <v>0</v>
      </c>
      <c r="N63" s="137">
        <f ca="1">IFERROR(__xludf.DUMMYFUNCTION("IMPORTRANGE(""https://docs.google.com/spreadsheets/d/1Yj_ptqi66GCucihVvJfMjLAmec39IyEx_6qawtMGysU/edit?usp=sharing"",""สบก!CD67"")"),0)</f>
        <v>0</v>
      </c>
      <c r="O63" s="137">
        <f t="shared" ca="1" si="7"/>
        <v>0</v>
      </c>
      <c r="P63" s="77">
        <f ca="1">IFERROR(__xludf.DUMMYFUNCTION("IMPORTRANGE(""https://docs.google.com/spreadsheets/d/1C3CXT74ZlgGe6_JY_1olB1XN4rF0dxEuIIF-xsYjHgg/edit?usp=sharing"",""พรบ!BF67"")"),0)</f>
        <v>0</v>
      </c>
      <c r="Q63" s="77">
        <f ca="1">IFERROR(__xludf.DUMMYFUNCTION("IMPORTRANGE(""https://docs.google.com/spreadsheets/d/1SX6NBoVAgQJ6U1MVXOaj8PK2l7WJ3RER9xtqwdhxkhw/edit?usp=sharing"",""ปทุมธานี!J179"")"),0)</f>
        <v>0</v>
      </c>
      <c r="R63" s="137">
        <f t="shared" ca="1" si="9"/>
        <v>0</v>
      </c>
      <c r="S63" s="77">
        <f ca="1">IFERROR(__xludf.DUMMYFUNCTION("IMPORTRANGE(""https://docs.google.com/spreadsheets/d/1C3CXT74ZlgGe6_JY_1olB1XN4rF0dxEuIIF-xsYjHgg/edit?usp=sharing"",""พรบ!BG67"")"),0)</f>
        <v>0</v>
      </c>
      <c r="T63" s="77">
        <f ca="1">IFERROR(__xludf.DUMMYFUNCTION("IMPORTRANGE(""https://docs.google.com/spreadsheets/d/1SX6NBoVAgQJ6U1MVXOaj8PK2l7WJ3RER9xtqwdhxkhw/edit?usp=sharing"",""ปทุมธานี!J180"")"),0)</f>
        <v>0</v>
      </c>
      <c r="U63" s="137">
        <f t="shared" ca="1" si="11"/>
        <v>0</v>
      </c>
      <c r="V63" s="77">
        <f ca="1">IFERROR(__xludf.DUMMYFUNCTION("IMPORTRANGE(""https://docs.google.com/spreadsheets/d/1C3CXT74ZlgGe6_JY_1olB1XN4rF0dxEuIIF-xsYjHgg/edit?usp=sharing"",""พรบ!BH67"")"),0)</f>
        <v>0</v>
      </c>
      <c r="W63" s="77">
        <f ca="1">IFERROR(__xludf.DUMMYFUNCTION("IMPORTRANGE(""https://docs.google.com/spreadsheets/d/1SX6NBoVAgQJ6U1MVXOaj8PK2l7WJ3RER9xtqwdhxkhw/edit?usp=sharing"",""ปทุมธานี!J181"")"),0)</f>
        <v>0</v>
      </c>
      <c r="X63" s="137">
        <f t="shared" ca="1" si="13"/>
        <v>0</v>
      </c>
      <c r="Y63" s="77">
        <f ca="1">IFERROR(__xludf.DUMMYFUNCTION("IMPORTRANGE(""https://docs.google.com/spreadsheets/d/1C3CXT74ZlgGe6_JY_1olB1XN4rF0dxEuIIF-xsYjHgg/edit?usp=sharing"",""พรบ!BI67"")"),0)</f>
        <v>0</v>
      </c>
      <c r="Z63" s="77">
        <f ca="1">IFERROR(__xludf.DUMMYFUNCTION("IMPORTRANGE(""https://docs.google.com/spreadsheets/d/1SX6NBoVAgQJ6U1MVXOaj8PK2l7WJ3RER9xtqwdhxkhw/edit?usp=sharing"",""ปทุมธานี!J182"")"),0)</f>
        <v>0</v>
      </c>
      <c r="AA63" s="137">
        <f t="shared" ca="1" si="15"/>
        <v>0</v>
      </c>
      <c r="AB63" s="75">
        <f t="shared" ca="1" si="16"/>
        <v>55200</v>
      </c>
      <c r="AC63" s="76">
        <f t="shared" ca="1" si="65"/>
        <v>55200</v>
      </c>
      <c r="AD63" s="77">
        <f ca="1">IFERROR(__xludf.DUMMYFUNCTION("IMPORTRANGE(""https://docs.google.com/spreadsheets/d/1C3CXT74ZlgGe6_JY_1olB1XN4rF0dxEuIIF-xsYjHgg/edit?usp=sharing"",""พรบ!BK67"")"),0)</f>
        <v>0</v>
      </c>
      <c r="AE63" s="77">
        <f ca="1">IFERROR(__xludf.DUMMYFUNCTION("IMPORTRANGE(""https://docs.google.com/spreadsheets/d/1C3CXT74ZlgGe6_JY_1olB1XN4rF0dxEuIIF-xsYjHgg/edit?usp=sharing"",""พรบ!BL67"")"),55200)</f>
        <v>55200</v>
      </c>
      <c r="AF63" s="77">
        <f ca="1">IFERROR(__xludf.DUMMYFUNCTION("IMPORTRANGE(""https://docs.google.com/spreadsheets/d/1Yj_ptqi66GCucihVvJfMjLAmec39IyEx_6qawtMGysU/edit?usp=sharing"",""สบก!CI67"")"),0)</f>
        <v>0</v>
      </c>
      <c r="AG63" s="77">
        <f ca="1">IFERROR(__xludf.DUMMYFUNCTION("IMPORTRANGE(""https://docs.google.com/spreadsheets/d/1Yj_ptqi66GCucihVvJfMjLAmec39IyEx_6qawtMGysU/edit?usp=shCKing"",""สบก!CK67"")"),32250)</f>
        <v>32250</v>
      </c>
      <c r="AH63" s="77">
        <f t="shared" ca="1" si="19"/>
        <v>15700</v>
      </c>
      <c r="AI63" s="77">
        <f t="shared" ca="1" si="20"/>
        <v>28.442028985507246</v>
      </c>
      <c r="AJ63" s="77">
        <f ca="1">IFERROR(__xludf.DUMMYFUNCTION("IMPORTRANGE(""https://docs.google.com/spreadsheets/d/1Yj_ptqi66GCucihVvJfMjLAmec39IyEx_6qawtMGysU/edit?usp=sharing"",""สบก!CL67"")"),15700)</f>
        <v>15700</v>
      </c>
      <c r="AK63" s="137">
        <f t="shared" ca="1" si="21"/>
        <v>28.442028985507246</v>
      </c>
      <c r="AL63" s="137">
        <f t="shared" ca="1" si="22"/>
        <v>48.68217054263566</v>
      </c>
      <c r="AM63" s="137">
        <f ca="1">IFERROR(__xludf.DUMMYFUNCTION("IMPORTRANGE(""https://docs.google.com/spreadsheets/d/1Yj_ptqi66GCucihVvJfMjLAmec39IyEx_6qawtMGysU/edit?usp=sharing"",""สบก!CM67"")"),0)</f>
        <v>0</v>
      </c>
      <c r="AN63" s="137">
        <f t="shared" ca="1" si="23"/>
        <v>0</v>
      </c>
      <c r="AO63" s="77">
        <f ca="1">IFERROR(__xludf.DUMMYFUNCTION("IMPORTRANGE(""https://docs.google.com/spreadsheets/d/1C3CXT74ZlgGe6_JY_1olB1XN4rF0dxEuIIF-xsYjHgg/edit?usp=sharing"",""พรบ!BM67"")"),15)</f>
        <v>15</v>
      </c>
      <c r="AP63" s="77">
        <f ca="1">IFERROR(__xludf.DUMMYFUNCTION("IMPORTRANGE(""https://docs.google.com/spreadsheets/d/1SX6NBoVAgQJ6U1MVXOaj8PK2l7WJ3RER9xtqwdhxkhw/edit?usp=sharing"",""ปทุมธานี!J195"")"),15)</f>
        <v>15</v>
      </c>
      <c r="AQ63" s="137">
        <f t="shared" ca="1" si="25"/>
        <v>100</v>
      </c>
    </row>
    <row r="64" spans="1:43" ht="21" customHeight="1">
      <c r="A64" s="73">
        <v>10</v>
      </c>
      <c r="B64" s="184" t="s">
        <v>88</v>
      </c>
      <c r="C64" s="75">
        <f t="shared" ca="1" si="0"/>
        <v>0</v>
      </c>
      <c r="D64" s="76">
        <f t="shared" ca="1" si="64"/>
        <v>0</v>
      </c>
      <c r="E64" s="77">
        <f ca="1">IFERROR(__xludf.DUMMYFUNCTION("IMPORTRANGE(""https://docs.google.com/spreadsheets/d/1C3CXT74ZlgGe6_JY_1olB1XN4rF0dxEuIIF-xsYjHgg/edit?usp=sharing"",""พรบ!BD68"")"),0)</f>
        <v>0</v>
      </c>
      <c r="F64" s="77">
        <f ca="1">IFERROR(__xludf.DUMMYFUNCTION("IMPORTRANGE(""https://docs.google.com/spreadsheets/d/1C3CXT74ZlgGe6_JY_1olB1XN4rF0dxEuIIF-xsYjHgg/edit?usp=sharing"",""พรบ!BE68"")"),0)</f>
        <v>0</v>
      </c>
      <c r="G64" s="77">
        <f ca="1">IFERROR(__xludf.DUMMYFUNCTION("IMPORTRANGE(""https://docs.google.com/spreadsheets/d/1Yj_ptqi66GCucihVvJfMjLAmec39IyEx_6qawtMGysU/edit?usp=sharing"",""สบก!BZ68"")"),0)</f>
        <v>0</v>
      </c>
      <c r="H64" s="77">
        <f ca="1">IFERROR(__xludf.DUMMYFUNCTION("IMPORTRANGE(""https://docs.google.com/spreadsheets/d/1Yj_ptqi66GCucihVvJfMjLAmec39IyEx_6qawtMGysU/edit?usp=shCBing"",""สบก!CB68"")"),0)</f>
        <v>0</v>
      </c>
      <c r="I64" s="77">
        <f t="shared" ca="1" si="3"/>
        <v>0</v>
      </c>
      <c r="J64" s="77">
        <f t="shared" ca="1" si="4"/>
        <v>0</v>
      </c>
      <c r="K64" s="77">
        <f ca="1">IFERROR(__xludf.DUMMYFUNCTION("IMPORTRANGE(""https://docs.google.com/spreadsheets/d/1Yj_ptqi66GCucihVvJfMjLAmec39IyEx_6qawtMGysU/edit?usp=sharing"",""สบก!CC68"")"),0)</f>
        <v>0</v>
      </c>
      <c r="L64" s="137">
        <f t="shared" ca="1" si="5"/>
        <v>0</v>
      </c>
      <c r="M64" s="137">
        <f t="shared" ca="1" si="6"/>
        <v>0</v>
      </c>
      <c r="N64" s="137">
        <f ca="1">IFERROR(__xludf.DUMMYFUNCTION("IMPORTRANGE(""https://docs.google.com/spreadsheets/d/1Yj_ptqi66GCucihVvJfMjLAmec39IyEx_6qawtMGysU/edit?usp=sharing"",""สบก!CD68"")"),0)</f>
        <v>0</v>
      </c>
      <c r="O64" s="137">
        <f t="shared" ca="1" si="7"/>
        <v>0</v>
      </c>
      <c r="P64" s="77">
        <f ca="1">IFERROR(__xludf.DUMMYFUNCTION("IMPORTRANGE(""https://docs.google.com/spreadsheets/d/1C3CXT74ZlgGe6_JY_1olB1XN4rF0dxEuIIF-xsYjHgg/edit?usp=sharing"",""พรบ!BF68"")"),0)</f>
        <v>0</v>
      </c>
      <c r="Q64" s="77">
        <f ca="1">IFERROR(__xludf.DUMMYFUNCTION("IMPORTRANGE(""https://docs.google.com/spreadsheets/d/1SX6NBoVAgQJ6U1MVXOaj8PK2l7WJ3RER9xtqwdhxkhw/edit?usp=sharing"",""ประจวบคีรีขันธ์!J179"")"),0)</f>
        <v>0</v>
      </c>
      <c r="R64" s="137">
        <f t="shared" ca="1" si="9"/>
        <v>0</v>
      </c>
      <c r="S64" s="77">
        <f ca="1">IFERROR(__xludf.DUMMYFUNCTION("IMPORTRANGE(""https://docs.google.com/spreadsheets/d/1C3CXT74ZlgGe6_JY_1olB1XN4rF0dxEuIIF-xsYjHgg/edit?usp=sharing"",""พรบ!BG68"")"),0)</f>
        <v>0</v>
      </c>
      <c r="T64" s="77">
        <f ca="1">IFERROR(__xludf.DUMMYFUNCTION("IMPORTRANGE(""https://docs.google.com/spreadsheets/d/1SX6NBoVAgQJ6U1MVXOaj8PK2l7WJ3RER9xtqwdhxkhw/edit?usp=sharing"",""ประจวบคีรีขันธ์!J180"")"),0)</f>
        <v>0</v>
      </c>
      <c r="U64" s="137">
        <f t="shared" ca="1" si="11"/>
        <v>0</v>
      </c>
      <c r="V64" s="77">
        <f ca="1">IFERROR(__xludf.DUMMYFUNCTION("IMPORTRANGE(""https://docs.google.com/spreadsheets/d/1C3CXT74ZlgGe6_JY_1olB1XN4rF0dxEuIIF-xsYjHgg/edit?usp=sharing"",""พรบ!BH68"")"),0)</f>
        <v>0</v>
      </c>
      <c r="W64" s="77">
        <f ca="1">IFERROR(__xludf.DUMMYFUNCTION("IMPORTRANGE(""https://docs.google.com/spreadsheets/d/1SX6NBoVAgQJ6U1MVXOaj8PK2l7WJ3RER9xtqwdhxkhw/edit?usp=sharing"",""ประจวบคีรีขันธ์!J181"")"),0)</f>
        <v>0</v>
      </c>
      <c r="X64" s="137">
        <f t="shared" ca="1" si="13"/>
        <v>0</v>
      </c>
      <c r="Y64" s="77">
        <f ca="1">IFERROR(__xludf.DUMMYFUNCTION("IMPORTRANGE(""https://docs.google.com/spreadsheets/d/1C3CXT74ZlgGe6_JY_1olB1XN4rF0dxEuIIF-xsYjHgg/edit?usp=sharing"",""พรบ!BI68"")"),0)</f>
        <v>0</v>
      </c>
      <c r="Z64" s="77">
        <f ca="1">IFERROR(__xludf.DUMMYFUNCTION("IMPORTRANGE(""https://docs.google.com/spreadsheets/d/1SX6NBoVAgQJ6U1MVXOaj8PK2l7WJ3RER9xtqwdhxkhw/edit?usp=sharing"",""ประจวบคีรีขันธ์!J182"")"),0)</f>
        <v>0</v>
      </c>
      <c r="AA64" s="137">
        <f t="shared" ca="1" si="15"/>
        <v>0</v>
      </c>
      <c r="AB64" s="75">
        <f t="shared" ca="1" si="16"/>
        <v>0</v>
      </c>
      <c r="AC64" s="76">
        <f t="shared" ca="1" si="65"/>
        <v>0</v>
      </c>
      <c r="AD64" s="77">
        <f ca="1">IFERROR(__xludf.DUMMYFUNCTION("IMPORTRANGE(""https://docs.google.com/spreadsheets/d/1C3CXT74ZlgGe6_JY_1olB1XN4rF0dxEuIIF-xsYjHgg/edit?usp=sharing"",""พรบ!BK68"")"),0)</f>
        <v>0</v>
      </c>
      <c r="AE64" s="77">
        <f ca="1">IFERROR(__xludf.DUMMYFUNCTION("IMPORTRANGE(""https://docs.google.com/spreadsheets/d/1C3CXT74ZlgGe6_JY_1olB1XN4rF0dxEuIIF-xsYjHgg/edit?usp=sharing"",""พรบ!BL68"")"),0)</f>
        <v>0</v>
      </c>
      <c r="AF64" s="77">
        <f ca="1">IFERROR(__xludf.DUMMYFUNCTION("IMPORTRANGE(""https://docs.google.com/spreadsheets/d/1Yj_ptqi66GCucihVvJfMjLAmec39IyEx_6qawtMGysU/edit?usp=sharing"",""สบก!CI68"")"),0)</f>
        <v>0</v>
      </c>
      <c r="AG64" s="77">
        <f ca="1">IFERROR(__xludf.DUMMYFUNCTION("IMPORTRANGE(""https://docs.google.com/spreadsheets/d/1Yj_ptqi66GCucihVvJfMjLAmec39IyEx_6qawtMGysU/edit?usp=shCKing"",""สบก!CK68"")"),0)</f>
        <v>0</v>
      </c>
      <c r="AH64" s="77">
        <f t="shared" ca="1" si="19"/>
        <v>0</v>
      </c>
      <c r="AI64" s="77">
        <f t="shared" ca="1" si="20"/>
        <v>0</v>
      </c>
      <c r="AJ64" s="77">
        <f ca="1">IFERROR(__xludf.DUMMYFUNCTION("IMPORTRANGE(""https://docs.google.com/spreadsheets/d/1Yj_ptqi66GCucihVvJfMjLAmec39IyEx_6qawtMGysU/edit?usp=sharing"",""สบก!CL68"")"),0)</f>
        <v>0</v>
      </c>
      <c r="AK64" s="137">
        <f t="shared" ca="1" si="21"/>
        <v>0</v>
      </c>
      <c r="AL64" s="137">
        <f t="shared" ca="1" si="22"/>
        <v>0</v>
      </c>
      <c r="AM64" s="137">
        <f ca="1">IFERROR(__xludf.DUMMYFUNCTION("IMPORTRANGE(""https://docs.google.com/spreadsheets/d/1Yj_ptqi66GCucihVvJfMjLAmec39IyEx_6qawtMGysU/edit?usp=sharing"",""สบก!CM68"")"),0)</f>
        <v>0</v>
      </c>
      <c r="AN64" s="137">
        <f t="shared" ca="1" si="23"/>
        <v>0</v>
      </c>
      <c r="AO64" s="77">
        <f ca="1">IFERROR(__xludf.DUMMYFUNCTION("IMPORTRANGE(""https://docs.google.com/spreadsheets/d/1C3CXT74ZlgGe6_JY_1olB1XN4rF0dxEuIIF-xsYjHgg/edit?usp=sharing"",""พรบ!BM68"")"),0)</f>
        <v>0</v>
      </c>
      <c r="AP64" s="77">
        <f ca="1">IFERROR(__xludf.DUMMYFUNCTION("IMPORTRANGE(""https://docs.google.com/spreadsheets/d/1SX6NBoVAgQJ6U1MVXOaj8PK2l7WJ3RER9xtqwdhxkhw/edit?usp=sharing"",""ประจวบคีรีขันธ์!J195"")"),0)</f>
        <v>0</v>
      </c>
      <c r="AQ64" s="137">
        <f t="shared" ca="1" si="25"/>
        <v>0</v>
      </c>
    </row>
    <row r="65" spans="1:43" ht="21" customHeight="1">
      <c r="A65" s="73">
        <v>11</v>
      </c>
      <c r="B65" s="184" t="s">
        <v>89</v>
      </c>
      <c r="C65" s="75">
        <f t="shared" ca="1" si="0"/>
        <v>71400</v>
      </c>
      <c r="D65" s="76">
        <f t="shared" ca="1" si="64"/>
        <v>71400</v>
      </c>
      <c r="E65" s="77">
        <f ca="1">IFERROR(__xludf.DUMMYFUNCTION("IMPORTRANGE(""https://docs.google.com/spreadsheets/d/1C3CXT74ZlgGe6_JY_1olB1XN4rF0dxEuIIF-xsYjHgg/edit?usp=sharing"",""พรบ!BD69"")"),0)</f>
        <v>0</v>
      </c>
      <c r="F65" s="77">
        <f ca="1">IFERROR(__xludf.DUMMYFUNCTION("IMPORTRANGE(""https://docs.google.com/spreadsheets/d/1C3CXT74ZlgGe6_JY_1olB1XN4rF0dxEuIIF-xsYjHgg/edit?usp=sharing"",""พรบ!BE69"")"),71400)</f>
        <v>71400</v>
      </c>
      <c r="G65" s="77">
        <f ca="1">IFERROR(__xludf.DUMMYFUNCTION("IMPORTRANGE(""https://docs.google.com/spreadsheets/d/1Yj_ptqi66GCucihVvJfMjLAmec39IyEx_6qawtMGysU/edit?usp=sharing"",""สบก!BZ69"")"),0)</f>
        <v>0</v>
      </c>
      <c r="H65" s="77">
        <f ca="1">IFERROR(__xludf.DUMMYFUNCTION("IMPORTRANGE(""https://docs.google.com/spreadsheets/d/1Yj_ptqi66GCucihVvJfMjLAmec39IyEx_6qawtMGysU/edit?usp=shCBing"",""สบก!CB69"")"),42000)</f>
        <v>42000</v>
      </c>
      <c r="I65" s="77">
        <f t="shared" ca="1" si="3"/>
        <v>28900</v>
      </c>
      <c r="J65" s="77">
        <f t="shared" ca="1" si="4"/>
        <v>40.476190476190474</v>
      </c>
      <c r="K65" s="77">
        <f ca="1">IFERROR(__xludf.DUMMYFUNCTION("IMPORTRANGE(""https://docs.google.com/spreadsheets/d/1Yj_ptqi66GCucihVvJfMjLAmec39IyEx_6qawtMGysU/edit?usp=sharing"",""สบก!CC69"")"),28900)</f>
        <v>28900</v>
      </c>
      <c r="L65" s="137">
        <f t="shared" ca="1" si="5"/>
        <v>40.476190476190474</v>
      </c>
      <c r="M65" s="137">
        <f t="shared" ca="1" si="6"/>
        <v>68.80952380952381</v>
      </c>
      <c r="N65" s="137">
        <f ca="1">IFERROR(__xludf.DUMMYFUNCTION("IMPORTRANGE(""https://docs.google.com/spreadsheets/d/1Yj_ptqi66GCucihVvJfMjLAmec39IyEx_6qawtMGysU/edit?usp=sharing"",""สบก!CD69"")"),0)</f>
        <v>0</v>
      </c>
      <c r="O65" s="137">
        <f t="shared" ca="1" si="7"/>
        <v>0</v>
      </c>
      <c r="P65" s="77">
        <f ca="1">IFERROR(__xludf.DUMMYFUNCTION("IMPORTRANGE(""https://docs.google.com/spreadsheets/d/1C3CXT74ZlgGe6_JY_1olB1XN4rF0dxEuIIF-xsYjHgg/edit?usp=sharing"",""พรบ!BF69"")"),1)</f>
        <v>1</v>
      </c>
      <c r="Q65" s="77">
        <f ca="1">IFERROR(__xludf.DUMMYFUNCTION("IMPORTRANGE(""https://docs.google.com/spreadsheets/d/1SX6NBoVAgQJ6U1MVXOaj8PK2l7WJ3RER9xtqwdhxkhw/edit?usp=sharing"",""ปราจีนบุรี!J179"")"),1)</f>
        <v>1</v>
      </c>
      <c r="R65" s="137">
        <f t="shared" ca="1" si="9"/>
        <v>100</v>
      </c>
      <c r="S65" s="77">
        <f ca="1">IFERROR(__xludf.DUMMYFUNCTION("IMPORTRANGE(""https://docs.google.com/spreadsheets/d/1C3CXT74ZlgGe6_JY_1olB1XN4rF0dxEuIIF-xsYjHgg/edit?usp=sharing"",""พรบ!BG69"")"),20)</f>
        <v>20</v>
      </c>
      <c r="T65" s="77">
        <f ca="1">IFERROR(__xludf.DUMMYFUNCTION("IMPORTRANGE(""https://docs.google.com/spreadsheets/d/1SX6NBoVAgQJ6U1MVXOaj8PK2l7WJ3RER9xtqwdhxkhw/edit?usp=sharing"",""ปราจีนบุรี!J180"")"),20)</f>
        <v>20</v>
      </c>
      <c r="U65" s="137">
        <f t="shared" ca="1" si="11"/>
        <v>100</v>
      </c>
      <c r="V65" s="77">
        <f ca="1">IFERROR(__xludf.DUMMYFUNCTION("IMPORTRANGE(""https://docs.google.com/spreadsheets/d/1C3CXT74ZlgGe6_JY_1olB1XN4rF0dxEuIIF-xsYjHgg/edit?usp=sharing"",""พรบ!BH69"")"),20)</f>
        <v>20</v>
      </c>
      <c r="W65" s="77">
        <f ca="1">IFERROR(__xludf.DUMMYFUNCTION("IMPORTRANGE(""https://docs.google.com/spreadsheets/d/1SX6NBoVAgQJ6U1MVXOaj8PK2l7WJ3RER9xtqwdhxkhw/edit?usp=sharing"",""ปราจีนบุรี!J181"")"),0)</f>
        <v>0</v>
      </c>
      <c r="X65" s="137">
        <f t="shared" ca="1" si="13"/>
        <v>0</v>
      </c>
      <c r="Y65" s="77">
        <f ca="1">IFERROR(__xludf.DUMMYFUNCTION("IMPORTRANGE(""https://docs.google.com/spreadsheets/d/1C3CXT74ZlgGe6_JY_1olB1XN4rF0dxEuIIF-xsYjHgg/edit?usp=sharing"",""พรบ!BI69"")"),1)</f>
        <v>1</v>
      </c>
      <c r="Z65" s="77">
        <f ca="1">IFERROR(__xludf.DUMMYFUNCTION("IMPORTRANGE(""https://docs.google.com/spreadsheets/d/1SX6NBoVAgQJ6U1MVXOaj8PK2l7WJ3RER9xtqwdhxkhw/edit?usp=sharing"",""ปราจีนบุรี!J182"")"),0)</f>
        <v>0</v>
      </c>
      <c r="AA65" s="137">
        <f t="shared" ca="1" si="15"/>
        <v>0</v>
      </c>
      <c r="AB65" s="75">
        <f t="shared" ca="1" si="16"/>
        <v>0</v>
      </c>
      <c r="AC65" s="76">
        <f t="shared" ca="1" si="65"/>
        <v>0</v>
      </c>
      <c r="AD65" s="77">
        <f ca="1">IFERROR(__xludf.DUMMYFUNCTION("IMPORTRANGE(""https://docs.google.com/spreadsheets/d/1C3CXT74ZlgGe6_JY_1olB1XN4rF0dxEuIIF-xsYjHgg/edit?usp=sharing"",""พรบ!BK69"")"),0)</f>
        <v>0</v>
      </c>
      <c r="AE65" s="77">
        <f ca="1">IFERROR(__xludf.DUMMYFUNCTION("IMPORTRANGE(""https://docs.google.com/spreadsheets/d/1C3CXT74ZlgGe6_JY_1olB1XN4rF0dxEuIIF-xsYjHgg/edit?usp=sharing"",""พรบ!BL69"")"),0)</f>
        <v>0</v>
      </c>
      <c r="AF65" s="77">
        <f ca="1">IFERROR(__xludf.DUMMYFUNCTION("IMPORTRANGE(""https://docs.google.com/spreadsheets/d/1Yj_ptqi66GCucihVvJfMjLAmec39IyEx_6qawtMGysU/edit?usp=sharing"",""สบก!CI69"")"),0)</f>
        <v>0</v>
      </c>
      <c r="AG65" s="77">
        <f ca="1">IFERROR(__xludf.DUMMYFUNCTION("IMPORTRANGE(""https://docs.google.com/spreadsheets/d/1Yj_ptqi66GCucihVvJfMjLAmec39IyEx_6qawtMGysU/edit?usp=shCKing"",""สบก!CK69"")"),0)</f>
        <v>0</v>
      </c>
      <c r="AH65" s="77">
        <f t="shared" ca="1" si="19"/>
        <v>0</v>
      </c>
      <c r="AI65" s="77">
        <f t="shared" ca="1" si="20"/>
        <v>0</v>
      </c>
      <c r="AJ65" s="77">
        <f ca="1">IFERROR(__xludf.DUMMYFUNCTION("IMPORTRANGE(""https://docs.google.com/spreadsheets/d/1Yj_ptqi66GCucihVvJfMjLAmec39IyEx_6qawtMGysU/edit?usp=sharing"",""สบก!CL69"")"),0)</f>
        <v>0</v>
      </c>
      <c r="AK65" s="137">
        <f t="shared" ca="1" si="21"/>
        <v>0</v>
      </c>
      <c r="AL65" s="137">
        <f t="shared" ca="1" si="22"/>
        <v>0</v>
      </c>
      <c r="AM65" s="137">
        <f ca="1">IFERROR(__xludf.DUMMYFUNCTION("IMPORTRANGE(""https://docs.google.com/spreadsheets/d/1Yj_ptqi66GCucihVvJfMjLAmec39IyEx_6qawtMGysU/edit?usp=sharing"",""สบก!CM69"")"),0)</f>
        <v>0</v>
      </c>
      <c r="AN65" s="137">
        <f t="shared" ca="1" si="23"/>
        <v>0</v>
      </c>
      <c r="AO65" s="77">
        <f ca="1">IFERROR(__xludf.DUMMYFUNCTION("IMPORTRANGE(""https://docs.google.com/spreadsheets/d/1C3CXT74ZlgGe6_JY_1olB1XN4rF0dxEuIIF-xsYjHgg/edit?usp=sharing"",""พรบ!BM69"")"),0)</f>
        <v>0</v>
      </c>
      <c r="AP65" s="77">
        <f ca="1">IFERROR(__xludf.DUMMYFUNCTION("IMPORTRANGE(""https://docs.google.com/spreadsheets/d/1SX6NBoVAgQJ6U1MVXOaj8PK2l7WJ3RER9xtqwdhxkhw/edit?usp=sharing"",""ปราจีนบุรี!J195"")"),0)</f>
        <v>0</v>
      </c>
      <c r="AQ65" s="137">
        <f t="shared" ca="1" si="25"/>
        <v>0</v>
      </c>
    </row>
    <row r="66" spans="1:43" ht="21" customHeight="1">
      <c r="A66" s="73">
        <v>12</v>
      </c>
      <c r="B66" s="184" t="s">
        <v>90</v>
      </c>
      <c r="C66" s="75">
        <f t="shared" ca="1" si="0"/>
        <v>0</v>
      </c>
      <c r="D66" s="76">
        <f t="shared" ca="1" si="64"/>
        <v>0</v>
      </c>
      <c r="E66" s="77">
        <f ca="1">IFERROR(__xludf.DUMMYFUNCTION("IMPORTRANGE(""https://docs.google.com/spreadsheets/d/1C3CXT74ZlgGe6_JY_1olB1XN4rF0dxEuIIF-xsYjHgg/edit?usp=sharing"",""พรบ!BD70"")"),0)</f>
        <v>0</v>
      </c>
      <c r="F66" s="77">
        <f ca="1">IFERROR(__xludf.DUMMYFUNCTION("IMPORTRANGE(""https://docs.google.com/spreadsheets/d/1C3CXT74ZlgGe6_JY_1olB1XN4rF0dxEuIIF-xsYjHgg/edit?usp=sharing"",""พรบ!BE70"")"),0)</f>
        <v>0</v>
      </c>
      <c r="G66" s="77">
        <f ca="1">IFERROR(__xludf.DUMMYFUNCTION("IMPORTRANGE(""https://docs.google.com/spreadsheets/d/1Yj_ptqi66GCucihVvJfMjLAmec39IyEx_6qawtMGysU/edit?usp=sharing"",""สบก!BZ70"")"),0)</f>
        <v>0</v>
      </c>
      <c r="H66" s="77">
        <f ca="1">IFERROR(__xludf.DUMMYFUNCTION("IMPORTRANGE(""https://docs.google.com/spreadsheets/d/1Yj_ptqi66GCucihVvJfMjLAmec39IyEx_6qawtMGysU/edit?usp=shCBing"",""สบก!CB70"")"),0)</f>
        <v>0</v>
      </c>
      <c r="I66" s="77">
        <f t="shared" ca="1" si="3"/>
        <v>0</v>
      </c>
      <c r="J66" s="77">
        <f t="shared" ca="1" si="4"/>
        <v>0</v>
      </c>
      <c r="K66" s="77">
        <f ca="1">IFERROR(__xludf.DUMMYFUNCTION("IMPORTRANGE(""https://docs.google.com/spreadsheets/d/1Yj_ptqi66GCucihVvJfMjLAmec39IyEx_6qawtMGysU/edit?usp=sharing"",""สบก!CC70"")"),0)</f>
        <v>0</v>
      </c>
      <c r="L66" s="137">
        <f t="shared" ca="1" si="5"/>
        <v>0</v>
      </c>
      <c r="M66" s="137">
        <f t="shared" ca="1" si="6"/>
        <v>0</v>
      </c>
      <c r="N66" s="137">
        <f ca="1">IFERROR(__xludf.DUMMYFUNCTION("IMPORTRANGE(""https://docs.google.com/spreadsheets/d/1Yj_ptqi66GCucihVvJfMjLAmec39IyEx_6qawtMGysU/edit?usp=sharing"",""สบก!CD70"")"),0)</f>
        <v>0</v>
      </c>
      <c r="O66" s="137">
        <f t="shared" ca="1" si="7"/>
        <v>0</v>
      </c>
      <c r="P66" s="77">
        <f ca="1">IFERROR(__xludf.DUMMYFUNCTION("IMPORTRANGE(""https://docs.google.com/spreadsheets/d/1C3CXT74ZlgGe6_JY_1olB1XN4rF0dxEuIIF-xsYjHgg/edit?usp=sharing"",""พรบ!BF70"")"),0)</f>
        <v>0</v>
      </c>
      <c r="Q66" s="77">
        <f ca="1">IFERROR(__xludf.DUMMYFUNCTION("IMPORTRANGE(""https://docs.google.com/spreadsheets/d/1SX6NBoVAgQJ6U1MVXOaj8PK2l7WJ3RER9xtqwdhxkhw/edit?usp=sharing"",""พระนครศรีอยุธยา!J179"")"),0)</f>
        <v>0</v>
      </c>
      <c r="R66" s="137">
        <f t="shared" ca="1" si="9"/>
        <v>0</v>
      </c>
      <c r="S66" s="77">
        <f ca="1">IFERROR(__xludf.DUMMYFUNCTION("IMPORTRANGE(""https://docs.google.com/spreadsheets/d/1C3CXT74ZlgGe6_JY_1olB1XN4rF0dxEuIIF-xsYjHgg/edit?usp=sharing"",""พรบ!BG70"")"),0)</f>
        <v>0</v>
      </c>
      <c r="T66" s="77">
        <f ca="1">IFERROR(__xludf.DUMMYFUNCTION("IMPORTRANGE(""https://docs.google.com/spreadsheets/d/1SX6NBoVAgQJ6U1MVXOaj8PK2l7WJ3RER9xtqwdhxkhw/edit?usp=sharing"",""พระนครศรีอยุธยา!J180"")"),0)</f>
        <v>0</v>
      </c>
      <c r="U66" s="137">
        <f t="shared" ca="1" si="11"/>
        <v>0</v>
      </c>
      <c r="V66" s="77">
        <f ca="1">IFERROR(__xludf.DUMMYFUNCTION("IMPORTRANGE(""https://docs.google.com/spreadsheets/d/1C3CXT74ZlgGe6_JY_1olB1XN4rF0dxEuIIF-xsYjHgg/edit?usp=sharing"",""พรบ!BH70"")"),0)</f>
        <v>0</v>
      </c>
      <c r="W66" s="77">
        <f ca="1">IFERROR(__xludf.DUMMYFUNCTION("IMPORTRANGE(""https://docs.google.com/spreadsheets/d/1SX6NBoVAgQJ6U1MVXOaj8PK2l7WJ3RER9xtqwdhxkhw/edit?usp=sharing"",""พระนครศรีอยุธยา!J181"")"),0)</f>
        <v>0</v>
      </c>
      <c r="X66" s="137">
        <f t="shared" ca="1" si="13"/>
        <v>0</v>
      </c>
      <c r="Y66" s="77">
        <f ca="1">IFERROR(__xludf.DUMMYFUNCTION("IMPORTRANGE(""https://docs.google.com/spreadsheets/d/1C3CXT74ZlgGe6_JY_1olB1XN4rF0dxEuIIF-xsYjHgg/edit?usp=sharing"",""พรบ!BI70"")"),0)</f>
        <v>0</v>
      </c>
      <c r="Z66" s="77">
        <f ca="1">IFERROR(__xludf.DUMMYFUNCTION("IMPORTRANGE(""https://docs.google.com/spreadsheets/d/1SX6NBoVAgQJ6U1MVXOaj8PK2l7WJ3RER9xtqwdhxkhw/edit?usp=sharing"",""พระนครศรีอยุธยา!J182"")"),0)</f>
        <v>0</v>
      </c>
      <c r="AA66" s="137">
        <f t="shared" ca="1" si="15"/>
        <v>0</v>
      </c>
      <c r="AB66" s="75">
        <f t="shared" ca="1" si="16"/>
        <v>0</v>
      </c>
      <c r="AC66" s="76">
        <f t="shared" ca="1" si="65"/>
        <v>0</v>
      </c>
      <c r="AD66" s="77">
        <f ca="1">IFERROR(__xludf.DUMMYFUNCTION("IMPORTRANGE(""https://docs.google.com/spreadsheets/d/1C3CXT74ZlgGe6_JY_1olB1XN4rF0dxEuIIF-xsYjHgg/edit?usp=sharing"",""พรบ!BK70"")"),0)</f>
        <v>0</v>
      </c>
      <c r="AE66" s="77">
        <f ca="1">IFERROR(__xludf.DUMMYFUNCTION("IMPORTRANGE(""https://docs.google.com/spreadsheets/d/1C3CXT74ZlgGe6_JY_1olB1XN4rF0dxEuIIF-xsYjHgg/edit?usp=sharing"",""พรบ!BL70"")"),0)</f>
        <v>0</v>
      </c>
      <c r="AF66" s="77">
        <f ca="1">IFERROR(__xludf.DUMMYFUNCTION("IMPORTRANGE(""https://docs.google.com/spreadsheets/d/1Yj_ptqi66GCucihVvJfMjLAmec39IyEx_6qawtMGysU/edit?usp=sharing"",""สบก!CI70"")"),0)</f>
        <v>0</v>
      </c>
      <c r="AG66" s="77">
        <f ca="1">IFERROR(__xludf.DUMMYFUNCTION("IMPORTRANGE(""https://docs.google.com/spreadsheets/d/1Yj_ptqi66GCucihVvJfMjLAmec39IyEx_6qawtMGysU/edit?usp=shCKing"",""สบก!CK70"")"),0)</f>
        <v>0</v>
      </c>
      <c r="AH66" s="77">
        <f t="shared" ca="1" si="19"/>
        <v>0</v>
      </c>
      <c r="AI66" s="77">
        <f t="shared" ca="1" si="20"/>
        <v>0</v>
      </c>
      <c r="AJ66" s="77">
        <f ca="1">IFERROR(__xludf.DUMMYFUNCTION("IMPORTRANGE(""https://docs.google.com/spreadsheets/d/1Yj_ptqi66GCucihVvJfMjLAmec39IyEx_6qawtMGysU/edit?usp=sharing"",""สบก!CL70"")"),0)</f>
        <v>0</v>
      </c>
      <c r="AK66" s="137">
        <f t="shared" ca="1" si="21"/>
        <v>0</v>
      </c>
      <c r="AL66" s="137">
        <f t="shared" ca="1" si="22"/>
        <v>0</v>
      </c>
      <c r="AM66" s="137">
        <f ca="1">IFERROR(__xludf.DUMMYFUNCTION("IMPORTRANGE(""https://docs.google.com/spreadsheets/d/1Yj_ptqi66GCucihVvJfMjLAmec39IyEx_6qawtMGysU/edit?usp=sharing"",""สบก!CM70"")"),0)</f>
        <v>0</v>
      </c>
      <c r="AN66" s="137">
        <f t="shared" ca="1" si="23"/>
        <v>0</v>
      </c>
      <c r="AO66" s="77">
        <f ca="1">IFERROR(__xludf.DUMMYFUNCTION("IMPORTRANGE(""https://docs.google.com/spreadsheets/d/1C3CXT74ZlgGe6_JY_1olB1XN4rF0dxEuIIF-xsYjHgg/edit?usp=sharing"",""พรบ!BM70"")"),0)</f>
        <v>0</v>
      </c>
      <c r="AP66" s="77">
        <f ca="1">IFERROR(__xludf.DUMMYFUNCTION("IMPORTRANGE(""https://docs.google.com/spreadsheets/d/1SX6NBoVAgQJ6U1MVXOaj8PK2l7WJ3RER9xtqwdhxkhw/edit?usp=sharing"",""พระนครศรีอยุธยา!J195"")"),0)</f>
        <v>0</v>
      </c>
      <c r="AQ66" s="137">
        <f t="shared" ca="1" si="25"/>
        <v>0</v>
      </c>
    </row>
    <row r="67" spans="1:43" ht="21" customHeight="1">
      <c r="A67" s="73">
        <v>13</v>
      </c>
      <c r="B67" s="184" t="s">
        <v>91</v>
      </c>
      <c r="C67" s="75">
        <f t="shared" ca="1" si="0"/>
        <v>0</v>
      </c>
      <c r="D67" s="76">
        <f t="shared" ca="1" si="64"/>
        <v>0</v>
      </c>
      <c r="E67" s="77">
        <f ca="1">IFERROR(__xludf.DUMMYFUNCTION("IMPORTRANGE(""https://docs.google.com/spreadsheets/d/1C3CXT74ZlgGe6_JY_1olB1XN4rF0dxEuIIF-xsYjHgg/edit?usp=sharing"",""พรบ!BD71"")"),0)</f>
        <v>0</v>
      </c>
      <c r="F67" s="77">
        <f ca="1">IFERROR(__xludf.DUMMYFUNCTION("IMPORTRANGE(""https://docs.google.com/spreadsheets/d/1C3CXT74ZlgGe6_JY_1olB1XN4rF0dxEuIIF-xsYjHgg/edit?usp=sharing"",""พรบ!BE71"")"),0)</f>
        <v>0</v>
      </c>
      <c r="G67" s="77">
        <f ca="1">IFERROR(__xludf.DUMMYFUNCTION("IMPORTRANGE(""https://docs.google.com/spreadsheets/d/1Yj_ptqi66GCucihVvJfMjLAmec39IyEx_6qawtMGysU/edit?usp=sharing"",""สบก!BZ71"")"),0)</f>
        <v>0</v>
      </c>
      <c r="H67" s="77">
        <f ca="1">IFERROR(__xludf.DUMMYFUNCTION("IMPORTRANGE(""https://docs.google.com/spreadsheets/d/1Yj_ptqi66GCucihVvJfMjLAmec39IyEx_6qawtMGysU/edit?usp=shCBing"",""สบก!CB71"")"),0)</f>
        <v>0</v>
      </c>
      <c r="I67" s="77">
        <f t="shared" ca="1" si="3"/>
        <v>0</v>
      </c>
      <c r="J67" s="77">
        <f t="shared" ca="1" si="4"/>
        <v>0</v>
      </c>
      <c r="K67" s="77">
        <f ca="1">IFERROR(__xludf.DUMMYFUNCTION("IMPORTRANGE(""https://docs.google.com/spreadsheets/d/1Yj_ptqi66GCucihVvJfMjLAmec39IyEx_6qawtMGysU/edit?usp=sharing"",""สบก!CC71"")"),0)</f>
        <v>0</v>
      </c>
      <c r="L67" s="137">
        <f t="shared" ca="1" si="5"/>
        <v>0</v>
      </c>
      <c r="M67" s="137">
        <f t="shared" ca="1" si="6"/>
        <v>0</v>
      </c>
      <c r="N67" s="137">
        <f ca="1">IFERROR(__xludf.DUMMYFUNCTION("IMPORTRANGE(""https://docs.google.com/spreadsheets/d/1Yj_ptqi66GCucihVvJfMjLAmec39IyEx_6qawtMGysU/edit?usp=sharing"",""สบก!CD71"")"),0)</f>
        <v>0</v>
      </c>
      <c r="O67" s="137">
        <f t="shared" ca="1" si="7"/>
        <v>0</v>
      </c>
      <c r="P67" s="77">
        <f ca="1">IFERROR(__xludf.DUMMYFUNCTION("IMPORTRANGE(""https://docs.google.com/spreadsheets/d/1C3CXT74ZlgGe6_JY_1olB1XN4rF0dxEuIIF-xsYjHgg/edit?usp=sharing"",""พรบ!BF71"")"),0)</f>
        <v>0</v>
      </c>
      <c r="Q67" s="77">
        <f ca="1">IFERROR(__xludf.DUMMYFUNCTION("IMPORTRANGE(""https://docs.google.com/spreadsheets/d/1SX6NBoVAgQJ6U1MVXOaj8PK2l7WJ3RER9xtqwdhxkhw/edit?usp=sharing"",""เพชรบุรี!J179"")"),0)</f>
        <v>0</v>
      </c>
      <c r="R67" s="137">
        <f t="shared" ca="1" si="9"/>
        <v>0</v>
      </c>
      <c r="S67" s="77">
        <f ca="1">IFERROR(__xludf.DUMMYFUNCTION("IMPORTRANGE(""https://docs.google.com/spreadsheets/d/1C3CXT74ZlgGe6_JY_1olB1XN4rF0dxEuIIF-xsYjHgg/edit?usp=sharing"",""พรบ!BG71"")"),0)</f>
        <v>0</v>
      </c>
      <c r="T67" s="77">
        <f ca="1">IFERROR(__xludf.DUMMYFUNCTION("IMPORTRANGE(""https://docs.google.com/spreadsheets/d/1SX6NBoVAgQJ6U1MVXOaj8PK2l7WJ3RER9xtqwdhxkhw/edit?usp=sharing"",""เพชรบุรี!J180"")"),0)</f>
        <v>0</v>
      </c>
      <c r="U67" s="137">
        <f t="shared" ca="1" si="11"/>
        <v>0</v>
      </c>
      <c r="V67" s="77">
        <f ca="1">IFERROR(__xludf.DUMMYFUNCTION("IMPORTRANGE(""https://docs.google.com/spreadsheets/d/1C3CXT74ZlgGe6_JY_1olB1XN4rF0dxEuIIF-xsYjHgg/edit?usp=sharing"",""พรบ!BH71"")"),0)</f>
        <v>0</v>
      </c>
      <c r="W67" s="77">
        <f ca="1">IFERROR(__xludf.DUMMYFUNCTION("IMPORTRANGE(""https://docs.google.com/spreadsheets/d/1SX6NBoVAgQJ6U1MVXOaj8PK2l7WJ3RER9xtqwdhxkhw/edit?usp=sharing"",""เพชรบุรี!J181"")"),0)</f>
        <v>0</v>
      </c>
      <c r="X67" s="137">
        <f t="shared" ca="1" si="13"/>
        <v>0</v>
      </c>
      <c r="Y67" s="77">
        <f ca="1">IFERROR(__xludf.DUMMYFUNCTION("IMPORTRANGE(""https://docs.google.com/spreadsheets/d/1C3CXT74ZlgGe6_JY_1olB1XN4rF0dxEuIIF-xsYjHgg/edit?usp=sharing"",""พรบ!BI71"")"),0)</f>
        <v>0</v>
      </c>
      <c r="Z67" s="77">
        <f ca="1">IFERROR(__xludf.DUMMYFUNCTION("IMPORTRANGE(""https://docs.google.com/spreadsheets/d/1SX6NBoVAgQJ6U1MVXOaj8PK2l7WJ3RER9xtqwdhxkhw/edit?usp=sharing"",""เพชรบุรี!J182"")"),0)</f>
        <v>0</v>
      </c>
      <c r="AA67" s="137">
        <f t="shared" ca="1" si="15"/>
        <v>0</v>
      </c>
      <c r="AB67" s="75">
        <f t="shared" ca="1" si="16"/>
        <v>0</v>
      </c>
      <c r="AC67" s="76">
        <f t="shared" ca="1" si="65"/>
        <v>0</v>
      </c>
      <c r="AD67" s="77">
        <f ca="1">IFERROR(__xludf.DUMMYFUNCTION("IMPORTRANGE(""https://docs.google.com/spreadsheets/d/1C3CXT74ZlgGe6_JY_1olB1XN4rF0dxEuIIF-xsYjHgg/edit?usp=sharing"",""พรบ!BK71"")"),0)</f>
        <v>0</v>
      </c>
      <c r="AE67" s="77">
        <f ca="1">IFERROR(__xludf.DUMMYFUNCTION("IMPORTRANGE(""https://docs.google.com/spreadsheets/d/1C3CXT74ZlgGe6_JY_1olB1XN4rF0dxEuIIF-xsYjHgg/edit?usp=sharing"",""พรบ!BL71"")"),0)</f>
        <v>0</v>
      </c>
      <c r="AF67" s="77">
        <f ca="1">IFERROR(__xludf.DUMMYFUNCTION("IMPORTRANGE(""https://docs.google.com/spreadsheets/d/1Yj_ptqi66GCucihVvJfMjLAmec39IyEx_6qawtMGysU/edit?usp=sharing"",""สบก!CI71"")"),0)</f>
        <v>0</v>
      </c>
      <c r="AG67" s="77">
        <f ca="1">IFERROR(__xludf.DUMMYFUNCTION("IMPORTRANGE(""https://docs.google.com/spreadsheets/d/1Yj_ptqi66GCucihVvJfMjLAmec39IyEx_6qawtMGysU/edit?usp=shCKing"",""สบก!CK71"")"),0)</f>
        <v>0</v>
      </c>
      <c r="AH67" s="77">
        <f t="shared" ca="1" si="19"/>
        <v>0</v>
      </c>
      <c r="AI67" s="77">
        <f t="shared" ca="1" si="20"/>
        <v>0</v>
      </c>
      <c r="AJ67" s="77">
        <f ca="1">IFERROR(__xludf.DUMMYFUNCTION("IMPORTRANGE(""https://docs.google.com/spreadsheets/d/1Yj_ptqi66GCucihVvJfMjLAmec39IyEx_6qawtMGysU/edit?usp=sharing"",""สบก!CL71"")"),0)</f>
        <v>0</v>
      </c>
      <c r="AK67" s="137">
        <f t="shared" ca="1" si="21"/>
        <v>0</v>
      </c>
      <c r="AL67" s="137">
        <f t="shared" ca="1" si="22"/>
        <v>0</v>
      </c>
      <c r="AM67" s="137">
        <f ca="1">IFERROR(__xludf.DUMMYFUNCTION("IMPORTRANGE(""https://docs.google.com/spreadsheets/d/1Yj_ptqi66GCucihVvJfMjLAmec39IyEx_6qawtMGysU/edit?usp=sharing"",""สบก!CM71"")"),0)</f>
        <v>0</v>
      </c>
      <c r="AN67" s="137">
        <f t="shared" ca="1" si="23"/>
        <v>0</v>
      </c>
      <c r="AO67" s="77">
        <f ca="1">IFERROR(__xludf.DUMMYFUNCTION("IMPORTRANGE(""https://docs.google.com/spreadsheets/d/1C3CXT74ZlgGe6_JY_1olB1XN4rF0dxEuIIF-xsYjHgg/edit?usp=sharing"",""พรบ!BM71"")"),0)</f>
        <v>0</v>
      </c>
      <c r="AP67" s="77">
        <f ca="1">IFERROR(__xludf.DUMMYFUNCTION("IMPORTRANGE(""https://docs.google.com/spreadsheets/d/1SX6NBoVAgQJ6U1MVXOaj8PK2l7WJ3RER9xtqwdhxkhw/edit?usp=sharing"",""เพชรบุรี!J195"")"),0)</f>
        <v>0</v>
      </c>
      <c r="AQ67" s="137">
        <f t="shared" ca="1" si="25"/>
        <v>0</v>
      </c>
    </row>
    <row r="68" spans="1:43" ht="21" customHeight="1">
      <c r="A68" s="73">
        <v>14</v>
      </c>
      <c r="B68" s="184" t="s">
        <v>92</v>
      </c>
      <c r="C68" s="75">
        <f t="shared" ca="1" si="0"/>
        <v>199000</v>
      </c>
      <c r="D68" s="76">
        <f t="shared" ca="1" si="64"/>
        <v>199000</v>
      </c>
      <c r="E68" s="77">
        <f ca="1">IFERROR(__xludf.DUMMYFUNCTION("IMPORTRANGE(""https://docs.google.com/spreadsheets/d/1C3CXT74ZlgGe6_JY_1olB1XN4rF0dxEuIIF-xsYjHgg/edit?usp=sharing"",""พรบ!BD72"")"),0)</f>
        <v>0</v>
      </c>
      <c r="F68" s="77">
        <f ca="1">IFERROR(__xludf.DUMMYFUNCTION("IMPORTRANGE(""https://docs.google.com/spreadsheets/d/1C3CXT74ZlgGe6_JY_1olB1XN4rF0dxEuIIF-xsYjHgg/edit?usp=sharing"",""พรบ!BE72"")"),199000)</f>
        <v>199000</v>
      </c>
      <c r="G68" s="77">
        <f ca="1">IFERROR(__xludf.DUMMYFUNCTION("IMPORTRANGE(""https://docs.google.com/spreadsheets/d/1Yj_ptqi66GCucihVvJfMjLAmec39IyEx_6qawtMGysU/edit?usp=sharing"",""สบก!BZ72"")"),0)</f>
        <v>0</v>
      </c>
      <c r="H68" s="77">
        <f ca="1">IFERROR(__xludf.DUMMYFUNCTION("IMPORTRANGE(""https://docs.google.com/spreadsheets/d/1Yj_ptqi66GCucihVvJfMjLAmec39IyEx_6qawtMGysU/edit?usp=shCBing"",""สบก!CB72"")"),177000)</f>
        <v>177000</v>
      </c>
      <c r="I68" s="77">
        <f t="shared" ca="1" si="3"/>
        <v>83633</v>
      </c>
      <c r="J68" s="77">
        <f t="shared" ca="1" si="4"/>
        <v>42.026633165829146</v>
      </c>
      <c r="K68" s="77">
        <f ca="1">IFERROR(__xludf.DUMMYFUNCTION("IMPORTRANGE(""https://docs.google.com/spreadsheets/d/1Yj_ptqi66GCucihVvJfMjLAmec39IyEx_6qawtMGysU/edit?usp=sharing"",""สบก!CC72"")"),83633)</f>
        <v>83633</v>
      </c>
      <c r="L68" s="137">
        <f t="shared" ca="1" si="5"/>
        <v>42.026633165829146</v>
      </c>
      <c r="M68" s="137">
        <f t="shared" ca="1" si="6"/>
        <v>47.250282485875708</v>
      </c>
      <c r="N68" s="137">
        <f ca="1">IFERROR(__xludf.DUMMYFUNCTION("IMPORTRANGE(""https://docs.google.com/spreadsheets/d/1Yj_ptqi66GCucihVvJfMjLAmec39IyEx_6qawtMGysU/edit?usp=sharing"",""สบก!CD72"")"),0)</f>
        <v>0</v>
      </c>
      <c r="O68" s="137">
        <f t="shared" ca="1" si="7"/>
        <v>0</v>
      </c>
      <c r="P68" s="77">
        <f ca="1">IFERROR(__xludf.DUMMYFUNCTION("IMPORTRANGE(""https://docs.google.com/spreadsheets/d/1C3CXT74ZlgGe6_JY_1olB1XN4rF0dxEuIIF-xsYjHgg/edit?usp=sharing"",""พรบ!BF72"")"),1)</f>
        <v>1</v>
      </c>
      <c r="Q68" s="77">
        <f ca="1">IFERROR(__xludf.DUMMYFUNCTION("IMPORTRANGE(""https://docs.google.com/spreadsheets/d/1SX6NBoVAgQJ6U1MVXOaj8PK2l7WJ3RER9xtqwdhxkhw/edit?usp=sharing"",""ระยอง!J179"")"),1)</f>
        <v>1</v>
      </c>
      <c r="R68" s="137">
        <f t="shared" ca="1" si="9"/>
        <v>100</v>
      </c>
      <c r="S68" s="77">
        <f ca="1">IFERROR(__xludf.DUMMYFUNCTION("IMPORTRANGE(""https://docs.google.com/spreadsheets/d/1C3CXT74ZlgGe6_JY_1olB1XN4rF0dxEuIIF-xsYjHgg/edit?usp=sharing"",""พรบ!BG72"")"),25)</f>
        <v>25</v>
      </c>
      <c r="T68" s="77">
        <f ca="1">IFERROR(__xludf.DUMMYFUNCTION("IMPORTRANGE(""https://docs.google.com/spreadsheets/d/1SX6NBoVAgQJ6U1MVXOaj8PK2l7WJ3RER9xtqwdhxkhw/edit?usp=sharing"",""ระยอง!J180"")"),25)</f>
        <v>25</v>
      </c>
      <c r="U68" s="137">
        <f t="shared" ca="1" si="11"/>
        <v>100</v>
      </c>
      <c r="V68" s="77">
        <f ca="1">IFERROR(__xludf.DUMMYFUNCTION("IMPORTRANGE(""https://docs.google.com/spreadsheets/d/1C3CXT74ZlgGe6_JY_1olB1XN4rF0dxEuIIF-xsYjHgg/edit?usp=sharing"",""พรบ!BH72"")"),25)</f>
        <v>25</v>
      </c>
      <c r="W68" s="77">
        <f ca="1">IFERROR(__xludf.DUMMYFUNCTION("IMPORTRANGE(""https://docs.google.com/spreadsheets/d/1SX6NBoVAgQJ6U1MVXOaj8PK2l7WJ3RER9xtqwdhxkhw/edit?usp=sharing"",""ระยอง!J181"")"),0)</f>
        <v>0</v>
      </c>
      <c r="X68" s="137">
        <f t="shared" ca="1" si="13"/>
        <v>0</v>
      </c>
      <c r="Y68" s="77">
        <f ca="1">IFERROR(__xludf.DUMMYFUNCTION("IMPORTRANGE(""https://docs.google.com/spreadsheets/d/1C3CXT74ZlgGe6_JY_1olB1XN4rF0dxEuIIF-xsYjHgg/edit?usp=sharing"",""พรบ!BI72"")"),1)</f>
        <v>1</v>
      </c>
      <c r="Z68" s="77">
        <f ca="1">IFERROR(__xludf.DUMMYFUNCTION("IMPORTRANGE(""https://docs.google.com/spreadsheets/d/1SX6NBoVAgQJ6U1MVXOaj8PK2l7WJ3RER9xtqwdhxkhw/edit?usp=sharing"",""ระยอง!J182"")"),1)</f>
        <v>1</v>
      </c>
      <c r="AA68" s="137">
        <f t="shared" ca="1" si="15"/>
        <v>100</v>
      </c>
      <c r="AB68" s="75">
        <f t="shared" ca="1" si="16"/>
        <v>55200</v>
      </c>
      <c r="AC68" s="76">
        <f t="shared" ca="1" si="65"/>
        <v>55200</v>
      </c>
      <c r="AD68" s="77">
        <f ca="1">IFERROR(__xludf.DUMMYFUNCTION("IMPORTRANGE(""https://docs.google.com/spreadsheets/d/1C3CXT74ZlgGe6_JY_1olB1XN4rF0dxEuIIF-xsYjHgg/edit?usp=sharing"",""พรบ!BK72"")"),0)</f>
        <v>0</v>
      </c>
      <c r="AE68" s="77">
        <f ca="1">IFERROR(__xludf.DUMMYFUNCTION("IMPORTRANGE(""https://docs.google.com/spreadsheets/d/1C3CXT74ZlgGe6_JY_1olB1XN4rF0dxEuIIF-xsYjHgg/edit?usp=sharing"",""พรบ!BL72"")"),55200)</f>
        <v>55200</v>
      </c>
      <c r="AF68" s="77">
        <f ca="1">IFERROR(__xludf.DUMMYFUNCTION("IMPORTRANGE(""https://docs.google.com/spreadsheets/d/1Yj_ptqi66GCucihVvJfMjLAmec39IyEx_6qawtMGysU/edit?usp=sharing"",""สบก!CI72"")"),0)</f>
        <v>0</v>
      </c>
      <c r="AG68" s="77">
        <f ca="1">IFERROR(__xludf.DUMMYFUNCTION("IMPORTRANGE(""https://docs.google.com/spreadsheets/d/1Yj_ptqi66GCucihVvJfMjLAmec39IyEx_6qawtMGysU/edit?usp=shCKing"",""สบก!CK72"")"),32250)</f>
        <v>32250</v>
      </c>
      <c r="AH68" s="77">
        <f t="shared" ca="1" si="19"/>
        <v>29710</v>
      </c>
      <c r="AI68" s="77">
        <f t="shared" ca="1" si="20"/>
        <v>53.822463768115945</v>
      </c>
      <c r="AJ68" s="77">
        <f ca="1">IFERROR(__xludf.DUMMYFUNCTION("IMPORTRANGE(""https://docs.google.com/spreadsheets/d/1Yj_ptqi66GCucihVvJfMjLAmec39IyEx_6qawtMGysU/edit?usp=sharing"",""สบก!CL72"")"),29710)</f>
        <v>29710</v>
      </c>
      <c r="AK68" s="137">
        <f t="shared" ca="1" si="21"/>
        <v>53.822463768115945</v>
      </c>
      <c r="AL68" s="137">
        <f t="shared" ca="1" si="22"/>
        <v>92.124031007751938</v>
      </c>
      <c r="AM68" s="137">
        <f ca="1">IFERROR(__xludf.DUMMYFUNCTION("IMPORTRANGE(""https://docs.google.com/spreadsheets/d/1Yj_ptqi66GCucihVvJfMjLAmec39IyEx_6qawtMGysU/edit?usp=sharing"",""สบก!CM72"")"),0)</f>
        <v>0</v>
      </c>
      <c r="AN68" s="137">
        <f t="shared" ca="1" si="23"/>
        <v>0</v>
      </c>
      <c r="AO68" s="77">
        <f ca="1">IFERROR(__xludf.DUMMYFUNCTION("IMPORTRANGE(""https://docs.google.com/spreadsheets/d/1C3CXT74ZlgGe6_JY_1olB1XN4rF0dxEuIIF-xsYjHgg/edit?usp=sharing"",""พรบ!BM72"")"),15)</f>
        <v>15</v>
      </c>
      <c r="AP68" s="77">
        <f ca="1">IFERROR(__xludf.DUMMYFUNCTION("IMPORTRANGE(""https://docs.google.com/spreadsheets/d/1SX6NBoVAgQJ6U1MVXOaj8PK2l7WJ3RER9xtqwdhxkhw/edit?usp=sharing"",""ระยอง!J195"")"),15)</f>
        <v>15</v>
      </c>
      <c r="AQ68" s="137">
        <f t="shared" ca="1" si="25"/>
        <v>100</v>
      </c>
    </row>
    <row r="69" spans="1:43" ht="21" customHeight="1">
      <c r="A69" s="73">
        <v>15</v>
      </c>
      <c r="B69" s="184" t="s">
        <v>93</v>
      </c>
      <c r="C69" s="75">
        <f t="shared" ca="1" si="0"/>
        <v>0</v>
      </c>
      <c r="D69" s="76">
        <f t="shared" ca="1" si="64"/>
        <v>0</v>
      </c>
      <c r="E69" s="77">
        <f ca="1">IFERROR(__xludf.DUMMYFUNCTION("IMPORTRANGE(""https://docs.google.com/spreadsheets/d/1C3CXT74ZlgGe6_JY_1olB1XN4rF0dxEuIIF-xsYjHgg/edit?usp=sharing"",""พรบ!BD73"")"),0)</f>
        <v>0</v>
      </c>
      <c r="F69" s="77">
        <f ca="1">IFERROR(__xludf.DUMMYFUNCTION("IMPORTRANGE(""https://docs.google.com/spreadsheets/d/1C3CXT74ZlgGe6_JY_1olB1XN4rF0dxEuIIF-xsYjHgg/edit?usp=sharing"",""พรบ!BE73"")"),0)</f>
        <v>0</v>
      </c>
      <c r="G69" s="77">
        <f ca="1">IFERROR(__xludf.DUMMYFUNCTION("IMPORTRANGE(""https://docs.google.com/spreadsheets/d/1Yj_ptqi66GCucihVvJfMjLAmec39IyEx_6qawtMGysU/edit?usp=sharing"",""สบก!BZ73"")"),0)</f>
        <v>0</v>
      </c>
      <c r="H69" s="77">
        <f ca="1">IFERROR(__xludf.DUMMYFUNCTION("IMPORTRANGE(""https://docs.google.com/spreadsheets/d/1Yj_ptqi66GCucihVvJfMjLAmec39IyEx_6qawtMGysU/edit?usp=shCBing"",""สบก!CB73"")"),0)</f>
        <v>0</v>
      </c>
      <c r="I69" s="77">
        <f t="shared" ca="1" si="3"/>
        <v>0</v>
      </c>
      <c r="J69" s="77">
        <f t="shared" ca="1" si="4"/>
        <v>0</v>
      </c>
      <c r="K69" s="77">
        <f ca="1">IFERROR(__xludf.DUMMYFUNCTION("IMPORTRANGE(""https://docs.google.com/spreadsheets/d/1Yj_ptqi66GCucihVvJfMjLAmec39IyEx_6qawtMGysU/edit?usp=sharing"",""สบก!CC73"")"),0)</f>
        <v>0</v>
      </c>
      <c r="L69" s="137">
        <f t="shared" ca="1" si="5"/>
        <v>0</v>
      </c>
      <c r="M69" s="137">
        <f t="shared" ca="1" si="6"/>
        <v>0</v>
      </c>
      <c r="N69" s="137">
        <f ca="1">IFERROR(__xludf.DUMMYFUNCTION("IMPORTRANGE(""https://docs.google.com/spreadsheets/d/1Yj_ptqi66GCucihVvJfMjLAmec39IyEx_6qawtMGysU/edit?usp=sharing"",""สบก!CD73"")"),0)</f>
        <v>0</v>
      </c>
      <c r="O69" s="137">
        <f t="shared" ca="1" si="7"/>
        <v>0</v>
      </c>
      <c r="P69" s="77">
        <f ca="1">IFERROR(__xludf.DUMMYFUNCTION("IMPORTRANGE(""https://docs.google.com/spreadsheets/d/1C3CXT74ZlgGe6_JY_1olB1XN4rF0dxEuIIF-xsYjHgg/edit?usp=sharing"",""พรบ!BF73"")"),0)</f>
        <v>0</v>
      </c>
      <c r="Q69" s="77">
        <f ca="1">IFERROR(__xludf.DUMMYFUNCTION("IMPORTRANGE(""https://docs.google.com/spreadsheets/d/1SX6NBoVAgQJ6U1MVXOaj8PK2l7WJ3RER9xtqwdhxkhw/edit?usp=sharing"",""ราชบุรี!J179"")"),0)</f>
        <v>0</v>
      </c>
      <c r="R69" s="137">
        <f t="shared" ca="1" si="9"/>
        <v>0</v>
      </c>
      <c r="S69" s="77">
        <f ca="1">IFERROR(__xludf.DUMMYFUNCTION("IMPORTRANGE(""https://docs.google.com/spreadsheets/d/1C3CXT74ZlgGe6_JY_1olB1XN4rF0dxEuIIF-xsYjHgg/edit?usp=sharing"",""พรบ!BG73"")"),0)</f>
        <v>0</v>
      </c>
      <c r="T69" s="77">
        <f ca="1">IFERROR(__xludf.DUMMYFUNCTION("IMPORTRANGE(""https://docs.google.com/spreadsheets/d/1SX6NBoVAgQJ6U1MVXOaj8PK2l7WJ3RER9xtqwdhxkhw/edit?usp=sharing"",""ราชบุรี!J180"")"),0)</f>
        <v>0</v>
      </c>
      <c r="U69" s="137">
        <f t="shared" ca="1" si="11"/>
        <v>0</v>
      </c>
      <c r="V69" s="77">
        <f ca="1">IFERROR(__xludf.DUMMYFUNCTION("IMPORTRANGE(""https://docs.google.com/spreadsheets/d/1C3CXT74ZlgGe6_JY_1olB1XN4rF0dxEuIIF-xsYjHgg/edit?usp=sharing"",""พรบ!BH73"")"),0)</f>
        <v>0</v>
      </c>
      <c r="W69" s="77">
        <f ca="1">IFERROR(__xludf.DUMMYFUNCTION("IMPORTRANGE(""https://docs.google.com/spreadsheets/d/1SX6NBoVAgQJ6U1MVXOaj8PK2l7WJ3RER9xtqwdhxkhw/edit?usp=sharing"",""ราชบุรี!J181"")"),0)</f>
        <v>0</v>
      </c>
      <c r="X69" s="137">
        <f t="shared" ca="1" si="13"/>
        <v>0</v>
      </c>
      <c r="Y69" s="77">
        <f ca="1">IFERROR(__xludf.DUMMYFUNCTION("IMPORTRANGE(""https://docs.google.com/spreadsheets/d/1C3CXT74ZlgGe6_JY_1olB1XN4rF0dxEuIIF-xsYjHgg/edit?usp=sharing"",""พรบ!BI73"")"),0)</f>
        <v>0</v>
      </c>
      <c r="Z69" s="77">
        <f ca="1">IFERROR(__xludf.DUMMYFUNCTION("IMPORTRANGE(""https://docs.google.com/spreadsheets/d/1SX6NBoVAgQJ6U1MVXOaj8PK2l7WJ3RER9xtqwdhxkhw/edit?usp=sharing"",""ราชบุรี!J182"")"),0)</f>
        <v>0</v>
      </c>
      <c r="AA69" s="137">
        <f t="shared" ca="1" si="15"/>
        <v>0</v>
      </c>
      <c r="AB69" s="75">
        <f t="shared" ca="1" si="16"/>
        <v>187200</v>
      </c>
      <c r="AC69" s="76">
        <f t="shared" ca="1" si="65"/>
        <v>187200</v>
      </c>
      <c r="AD69" s="77">
        <f ca="1">IFERROR(__xludf.DUMMYFUNCTION("IMPORTRANGE(""https://docs.google.com/spreadsheets/d/1C3CXT74ZlgGe6_JY_1olB1XN4rF0dxEuIIF-xsYjHgg/edit?usp=sharing"",""พรบ!BK73"")"),132000)</f>
        <v>132000</v>
      </c>
      <c r="AE69" s="77">
        <f ca="1">IFERROR(__xludf.DUMMYFUNCTION("IMPORTRANGE(""https://docs.google.com/spreadsheets/d/1C3CXT74ZlgGe6_JY_1olB1XN4rF0dxEuIIF-xsYjHgg/edit?usp=sharing"",""พรบ!BL73"")"),55200)</f>
        <v>55200</v>
      </c>
      <c r="AF69" s="77">
        <f ca="1">IFERROR(__xludf.DUMMYFUNCTION("IMPORTRANGE(""https://docs.google.com/spreadsheets/d/1Yj_ptqi66GCucihVvJfMjLAmec39IyEx_6qawtMGysU/edit?usp=sharing"",""สบก!CI73"")"),0)</f>
        <v>0</v>
      </c>
      <c r="AG69" s="77">
        <f ca="1">IFERROR(__xludf.DUMMYFUNCTION("IMPORTRANGE(""https://docs.google.com/spreadsheets/d/1Yj_ptqi66GCucihVvJfMjLAmec39IyEx_6qawtMGysU/edit?usp=shCKing"",""สบก!CK73"")"),131250)</f>
        <v>131250</v>
      </c>
      <c r="AH69" s="77">
        <f t="shared" ca="1" si="19"/>
        <v>80745.33</v>
      </c>
      <c r="AI69" s="77">
        <f t="shared" ca="1" si="20"/>
        <v>43.133189102564103</v>
      </c>
      <c r="AJ69" s="77">
        <f ca="1">IFERROR(__xludf.DUMMYFUNCTION("IMPORTRANGE(""https://docs.google.com/spreadsheets/d/1Yj_ptqi66GCucihVvJfMjLAmec39IyEx_6qawtMGysU/edit?usp=sharing"",""สบก!CL73"")"),80745.33)</f>
        <v>80745.33</v>
      </c>
      <c r="AK69" s="137">
        <f t="shared" ca="1" si="21"/>
        <v>43.133189102564103</v>
      </c>
      <c r="AL69" s="137">
        <f t="shared" ca="1" si="22"/>
        <v>61.520251428571427</v>
      </c>
      <c r="AM69" s="137">
        <f ca="1">IFERROR(__xludf.DUMMYFUNCTION("IMPORTRANGE(""https://docs.google.com/spreadsheets/d/1Yj_ptqi66GCucihVvJfMjLAmec39IyEx_6qawtMGysU/edit?usp=sharing"",""สบก!CM73"")"),0)</f>
        <v>0</v>
      </c>
      <c r="AN69" s="137">
        <f t="shared" ca="1" si="23"/>
        <v>0</v>
      </c>
      <c r="AO69" s="77">
        <f ca="1">IFERROR(__xludf.DUMMYFUNCTION("IMPORTRANGE(""https://docs.google.com/spreadsheets/d/1C3CXT74ZlgGe6_JY_1olB1XN4rF0dxEuIIF-xsYjHgg/edit?usp=sharing"",""พรบ!BM73"")"),15)</f>
        <v>15</v>
      </c>
      <c r="AP69" s="77">
        <f ca="1">IFERROR(__xludf.DUMMYFUNCTION("IMPORTRANGE(""https://docs.google.com/spreadsheets/d/1SX6NBoVAgQJ6U1MVXOaj8PK2l7WJ3RER9xtqwdhxkhw/edit?usp=sharing"",""ราชบุรี!J195"")"),15)</f>
        <v>15</v>
      </c>
      <c r="AQ69" s="137">
        <f t="shared" ca="1" si="25"/>
        <v>100</v>
      </c>
    </row>
    <row r="70" spans="1:43" ht="24" customHeight="1">
      <c r="A70" s="73">
        <v>16</v>
      </c>
      <c r="B70" s="184" t="s">
        <v>94</v>
      </c>
      <c r="C70" s="75">
        <f t="shared" ca="1" si="0"/>
        <v>199500</v>
      </c>
      <c r="D70" s="76">
        <f t="shared" ca="1" si="64"/>
        <v>199500</v>
      </c>
      <c r="E70" s="77">
        <f ca="1">IFERROR(__xludf.DUMMYFUNCTION("IMPORTRANGE(""https://docs.google.com/spreadsheets/d/1C3CXT74ZlgGe6_JY_1olB1XN4rF0dxEuIIF-xsYjHgg/edit?usp=sharing"",""พรบ!BD74"")"),0)</f>
        <v>0</v>
      </c>
      <c r="F70" s="77">
        <f ca="1">IFERROR(__xludf.DUMMYFUNCTION("IMPORTRANGE(""https://docs.google.com/spreadsheets/d/1C3CXT74ZlgGe6_JY_1olB1XN4rF0dxEuIIF-xsYjHgg/edit?usp=sharing"",""พรบ!BE74"")"),199500)</f>
        <v>199500</v>
      </c>
      <c r="G70" s="77">
        <f ca="1">IFERROR(__xludf.DUMMYFUNCTION("IMPORTRANGE(""https://docs.google.com/spreadsheets/d/1Yj_ptqi66GCucihVvJfMjLAmec39IyEx_6qawtMGysU/edit?usp=sharing"",""สบก!BZ74"")"),0)</f>
        <v>0</v>
      </c>
      <c r="H70" s="77">
        <f ca="1">IFERROR(__xludf.DUMMYFUNCTION("IMPORTRANGE(""https://docs.google.com/spreadsheets/d/1Yj_ptqi66GCucihVvJfMjLAmec39IyEx_6qawtMGysU/edit?usp=shCBing"",""สบก!CB74"")"),177500)</f>
        <v>177500</v>
      </c>
      <c r="I70" s="77">
        <f t="shared" ca="1" si="3"/>
        <v>84039</v>
      </c>
      <c r="J70" s="77">
        <f t="shared" ca="1" si="4"/>
        <v>42.124812030075191</v>
      </c>
      <c r="K70" s="77">
        <f ca="1">IFERROR(__xludf.DUMMYFUNCTION("IMPORTRANGE(""https://docs.google.com/spreadsheets/d/1Yj_ptqi66GCucihVvJfMjLAmec39IyEx_6qawtMGysU/edit?usp=sharing"",""สบก!CC74"")"),84039)</f>
        <v>84039</v>
      </c>
      <c r="L70" s="137">
        <f t="shared" ca="1" si="5"/>
        <v>42.124812030075191</v>
      </c>
      <c r="M70" s="137">
        <f t="shared" ca="1" si="6"/>
        <v>47.345915492957744</v>
      </c>
      <c r="N70" s="137">
        <f ca="1">IFERROR(__xludf.DUMMYFUNCTION("IMPORTRANGE(""https://docs.google.com/spreadsheets/d/1Yj_ptqi66GCucihVvJfMjLAmec39IyEx_6qawtMGysU/edit?usp=sharing"",""สบก!CD74"")"),0)</f>
        <v>0</v>
      </c>
      <c r="O70" s="137">
        <f t="shared" ca="1" si="7"/>
        <v>0</v>
      </c>
      <c r="P70" s="77">
        <f ca="1">IFERROR(__xludf.DUMMYFUNCTION("IMPORTRANGE(""https://docs.google.com/spreadsheets/d/1C3CXT74ZlgGe6_JY_1olB1XN4rF0dxEuIIF-xsYjHgg/edit?usp=sharing"",""พรบ!BF74"")"),1)</f>
        <v>1</v>
      </c>
      <c r="Q70" s="77">
        <f ca="1">IFERROR(__xludf.DUMMYFUNCTION("IMPORTRANGE(""https://docs.google.com/spreadsheets/d/1SX6NBoVAgQJ6U1MVXOaj8PK2l7WJ3RER9xtqwdhxkhw/edit?usp=sharing"",""ลพบุรี!J179"")"),1)</f>
        <v>1</v>
      </c>
      <c r="R70" s="137">
        <f t="shared" ca="1" si="9"/>
        <v>100</v>
      </c>
      <c r="S70" s="77">
        <f ca="1">IFERROR(__xludf.DUMMYFUNCTION("IMPORTRANGE(""https://docs.google.com/spreadsheets/d/1C3CXT74ZlgGe6_JY_1olB1XN4rF0dxEuIIF-xsYjHgg/edit?usp=sharing"",""พรบ!BG74"")"),25)</f>
        <v>25</v>
      </c>
      <c r="T70" s="77">
        <f ca="1">IFERROR(__xludf.DUMMYFUNCTION("IMPORTRANGE(""https://docs.google.com/spreadsheets/d/1SX6NBoVAgQJ6U1MVXOaj8PK2l7WJ3RER9xtqwdhxkhw/edit?usp=sharing"",""ลพบุรี!J180"")"),25)</f>
        <v>25</v>
      </c>
      <c r="U70" s="137">
        <f t="shared" ca="1" si="11"/>
        <v>100</v>
      </c>
      <c r="V70" s="77">
        <f ca="1">IFERROR(__xludf.DUMMYFUNCTION("IMPORTRANGE(""https://docs.google.com/spreadsheets/d/1C3CXT74ZlgGe6_JY_1olB1XN4rF0dxEuIIF-xsYjHgg/edit?usp=sharing"",""พรบ!BH74"")"),25)</f>
        <v>25</v>
      </c>
      <c r="W70" s="77">
        <f ca="1">IFERROR(__xludf.DUMMYFUNCTION("IMPORTRANGE(""https://docs.google.com/spreadsheets/d/1SX6NBoVAgQJ6U1MVXOaj8PK2l7WJ3RER9xtqwdhxkhw/edit?usp=sharing"",""ลพบุรี!J181"")"),0)</f>
        <v>0</v>
      </c>
      <c r="X70" s="137">
        <f t="shared" ca="1" si="13"/>
        <v>0</v>
      </c>
      <c r="Y70" s="77">
        <f ca="1">IFERROR(__xludf.DUMMYFUNCTION("IMPORTRANGE(""https://docs.google.com/spreadsheets/d/1C3CXT74ZlgGe6_JY_1olB1XN4rF0dxEuIIF-xsYjHgg/edit?usp=sharing"",""พรบ!BI74"")"),1)</f>
        <v>1</v>
      </c>
      <c r="Z70" s="77">
        <f ca="1">IFERROR(__xludf.DUMMYFUNCTION("IMPORTRANGE(""https://docs.google.com/spreadsheets/d/1SX6NBoVAgQJ6U1MVXOaj8PK2l7WJ3RER9xtqwdhxkhw/edit?usp=sharing"",""ลพบุรี!J182"")"),1)</f>
        <v>1</v>
      </c>
      <c r="AA70" s="137">
        <f t="shared" ca="1" si="15"/>
        <v>100</v>
      </c>
      <c r="AB70" s="75">
        <f t="shared" ca="1" si="16"/>
        <v>55200</v>
      </c>
      <c r="AC70" s="76">
        <f t="shared" ca="1" si="65"/>
        <v>55200</v>
      </c>
      <c r="AD70" s="77">
        <f ca="1">IFERROR(__xludf.DUMMYFUNCTION("IMPORTRANGE(""https://docs.google.com/spreadsheets/d/1C3CXT74ZlgGe6_JY_1olB1XN4rF0dxEuIIF-xsYjHgg/edit?usp=sharing"",""พรบ!BK74"")"),0)</f>
        <v>0</v>
      </c>
      <c r="AE70" s="77">
        <f ca="1">IFERROR(__xludf.DUMMYFUNCTION("IMPORTRANGE(""https://docs.google.com/spreadsheets/d/1C3CXT74ZlgGe6_JY_1olB1XN4rF0dxEuIIF-xsYjHgg/edit?usp=sharing"",""พรบ!BL74"")"),55200)</f>
        <v>55200</v>
      </c>
      <c r="AF70" s="77">
        <f ca="1">IFERROR(__xludf.DUMMYFUNCTION("IMPORTRANGE(""https://docs.google.com/spreadsheets/d/1Yj_ptqi66GCucihVvJfMjLAmec39IyEx_6qawtMGysU/edit?usp=sharing"",""สบก!CI74"")"),0)</f>
        <v>0</v>
      </c>
      <c r="AG70" s="77">
        <f ca="1">IFERROR(__xludf.DUMMYFUNCTION("IMPORTRANGE(""https://docs.google.com/spreadsheets/d/1Yj_ptqi66GCucihVvJfMjLAmec39IyEx_6qawtMGysU/edit?usp=shCKing"",""สบก!CK74"")"),32250)</f>
        <v>32250</v>
      </c>
      <c r="AH70" s="77">
        <f t="shared" ca="1" si="19"/>
        <v>19340</v>
      </c>
      <c r="AI70" s="77">
        <f t="shared" ca="1" si="20"/>
        <v>35.036231884057969</v>
      </c>
      <c r="AJ70" s="77">
        <f ca="1">IFERROR(__xludf.DUMMYFUNCTION("IMPORTRANGE(""https://docs.google.com/spreadsheets/d/1Yj_ptqi66GCucihVvJfMjLAmec39IyEx_6qawtMGysU/edit?usp=sharing"",""สบก!CL74"")"),19340)</f>
        <v>19340</v>
      </c>
      <c r="AK70" s="137">
        <f t="shared" ca="1" si="21"/>
        <v>35.036231884057969</v>
      </c>
      <c r="AL70" s="137">
        <f t="shared" ca="1" si="22"/>
        <v>59.968992248062015</v>
      </c>
      <c r="AM70" s="137">
        <f ca="1">IFERROR(__xludf.DUMMYFUNCTION("IMPORTRANGE(""https://docs.google.com/spreadsheets/d/1Yj_ptqi66GCucihVvJfMjLAmec39IyEx_6qawtMGysU/edit?usp=sharing"",""สบก!CM74"")"),0)</f>
        <v>0</v>
      </c>
      <c r="AN70" s="137">
        <f t="shared" ca="1" si="23"/>
        <v>0</v>
      </c>
      <c r="AO70" s="77">
        <f ca="1">IFERROR(__xludf.DUMMYFUNCTION("IMPORTRANGE(""https://docs.google.com/spreadsheets/d/1C3CXT74ZlgGe6_JY_1olB1XN4rF0dxEuIIF-xsYjHgg/edit?usp=sharing"",""พรบ!BM74"")"),15)</f>
        <v>15</v>
      </c>
      <c r="AP70" s="77">
        <f ca="1">IFERROR(__xludf.DUMMYFUNCTION("IMPORTRANGE(""https://docs.google.com/spreadsheets/d/1SX6NBoVAgQJ6U1MVXOaj8PK2l7WJ3RER9xtqwdhxkhw/edit?usp=sharing"",""ลพบุรี!J195"")"),15)</f>
        <v>15</v>
      </c>
      <c r="AQ70" s="137">
        <f t="shared" ca="1" si="25"/>
        <v>100</v>
      </c>
    </row>
    <row r="71" spans="1:43" ht="21" customHeight="1">
      <c r="A71" s="73">
        <v>17</v>
      </c>
      <c r="B71" s="184" t="s">
        <v>95</v>
      </c>
      <c r="C71" s="75">
        <f t="shared" ca="1" si="0"/>
        <v>0</v>
      </c>
      <c r="D71" s="76">
        <f t="shared" ca="1" si="64"/>
        <v>0</v>
      </c>
      <c r="E71" s="77">
        <f ca="1">IFERROR(__xludf.DUMMYFUNCTION("IMPORTRANGE(""https://docs.google.com/spreadsheets/d/1C3CXT74ZlgGe6_JY_1olB1XN4rF0dxEuIIF-xsYjHgg/edit?usp=sharing"",""พรบ!BD75"")"),0)</f>
        <v>0</v>
      </c>
      <c r="F71" s="77">
        <f ca="1">IFERROR(__xludf.DUMMYFUNCTION("IMPORTRANGE(""https://docs.google.com/spreadsheets/d/1C3CXT74ZlgGe6_JY_1olB1XN4rF0dxEuIIF-xsYjHgg/edit?usp=sharing"",""พรบ!BE75"")"),0)</f>
        <v>0</v>
      </c>
      <c r="G71" s="77">
        <f ca="1">IFERROR(__xludf.DUMMYFUNCTION("IMPORTRANGE(""https://docs.google.com/spreadsheets/d/1Yj_ptqi66GCucihVvJfMjLAmec39IyEx_6qawtMGysU/edit?usp=sharing"",""สบก!BZ75"")"),0)</f>
        <v>0</v>
      </c>
      <c r="H71" s="77">
        <f ca="1">IFERROR(__xludf.DUMMYFUNCTION("IMPORTRANGE(""https://docs.google.com/spreadsheets/d/1Yj_ptqi66GCucihVvJfMjLAmec39IyEx_6qawtMGysU/edit?usp=shCBing"",""สบก!CB75"")"),0)</f>
        <v>0</v>
      </c>
      <c r="I71" s="77">
        <f t="shared" ca="1" si="3"/>
        <v>0</v>
      </c>
      <c r="J71" s="77">
        <f t="shared" ca="1" si="4"/>
        <v>0</v>
      </c>
      <c r="K71" s="77">
        <f ca="1">IFERROR(__xludf.DUMMYFUNCTION("IMPORTRANGE(""https://docs.google.com/spreadsheets/d/1Yj_ptqi66GCucihVvJfMjLAmec39IyEx_6qawtMGysU/edit?usp=sharing"",""สบก!CC75"")"),0)</f>
        <v>0</v>
      </c>
      <c r="L71" s="137">
        <f t="shared" ca="1" si="5"/>
        <v>0</v>
      </c>
      <c r="M71" s="137">
        <f t="shared" ca="1" si="6"/>
        <v>0</v>
      </c>
      <c r="N71" s="137">
        <f ca="1">IFERROR(__xludf.DUMMYFUNCTION("IMPORTRANGE(""https://docs.google.com/spreadsheets/d/1Yj_ptqi66GCucihVvJfMjLAmec39IyEx_6qawtMGysU/edit?usp=sharing"",""สบก!CD75"")"),0)</f>
        <v>0</v>
      </c>
      <c r="O71" s="137">
        <f t="shared" ca="1" si="7"/>
        <v>0</v>
      </c>
      <c r="P71" s="77">
        <f ca="1">IFERROR(__xludf.DUMMYFUNCTION("IMPORTRANGE(""https://docs.google.com/spreadsheets/d/1C3CXT74ZlgGe6_JY_1olB1XN4rF0dxEuIIF-xsYjHgg/edit?usp=sharing"",""พรบ!BF75"")"),0)</f>
        <v>0</v>
      </c>
      <c r="Q71" s="77">
        <f ca="1">IFERROR(__xludf.DUMMYFUNCTION("IMPORTRANGE(""https://docs.google.com/spreadsheets/d/1SX6NBoVAgQJ6U1MVXOaj8PK2l7WJ3RER9xtqwdhxkhw/edit?usp=sharing"",""สระแก้ว!J179"")"),0)</f>
        <v>0</v>
      </c>
      <c r="R71" s="137">
        <f t="shared" ca="1" si="9"/>
        <v>0</v>
      </c>
      <c r="S71" s="77">
        <f ca="1">IFERROR(__xludf.DUMMYFUNCTION("IMPORTRANGE(""https://docs.google.com/spreadsheets/d/1C3CXT74ZlgGe6_JY_1olB1XN4rF0dxEuIIF-xsYjHgg/edit?usp=sharing"",""พรบ!BG75"")"),0)</f>
        <v>0</v>
      </c>
      <c r="T71" s="77">
        <f ca="1">IFERROR(__xludf.DUMMYFUNCTION("IMPORTRANGE(""https://docs.google.com/spreadsheets/d/1SX6NBoVAgQJ6U1MVXOaj8PK2l7WJ3RER9xtqwdhxkhw/edit?usp=sharing"",""สระแก้ว!J180"")"),0)</f>
        <v>0</v>
      </c>
      <c r="U71" s="137">
        <f t="shared" ca="1" si="11"/>
        <v>0</v>
      </c>
      <c r="V71" s="77">
        <f ca="1">IFERROR(__xludf.DUMMYFUNCTION("IMPORTRANGE(""https://docs.google.com/spreadsheets/d/1C3CXT74ZlgGe6_JY_1olB1XN4rF0dxEuIIF-xsYjHgg/edit?usp=sharing"",""พรบ!BH75"")"),0)</f>
        <v>0</v>
      </c>
      <c r="W71" s="77">
        <f ca="1">IFERROR(__xludf.DUMMYFUNCTION("IMPORTRANGE(""https://docs.google.com/spreadsheets/d/1SX6NBoVAgQJ6U1MVXOaj8PK2l7WJ3RER9xtqwdhxkhw/edit?usp=sharing"",""สระแก้ว!J181"")"),0)</f>
        <v>0</v>
      </c>
      <c r="X71" s="137">
        <f t="shared" ca="1" si="13"/>
        <v>0</v>
      </c>
      <c r="Y71" s="77">
        <f ca="1">IFERROR(__xludf.DUMMYFUNCTION("IMPORTRANGE(""https://docs.google.com/spreadsheets/d/1C3CXT74ZlgGe6_JY_1olB1XN4rF0dxEuIIF-xsYjHgg/edit?usp=sharing"",""พรบ!BI75"")"),0)</f>
        <v>0</v>
      </c>
      <c r="Z71" s="77">
        <f ca="1">IFERROR(__xludf.DUMMYFUNCTION("IMPORTRANGE(""https://docs.google.com/spreadsheets/d/1SX6NBoVAgQJ6U1MVXOaj8PK2l7WJ3RER9xtqwdhxkhw/edit?usp=sharing"",""สระแก้ว!J182"")"),0)</f>
        <v>0</v>
      </c>
      <c r="AA71" s="137">
        <f t="shared" ca="1" si="15"/>
        <v>0</v>
      </c>
      <c r="AB71" s="75">
        <f t="shared" ca="1" si="16"/>
        <v>55200</v>
      </c>
      <c r="AC71" s="76">
        <f t="shared" ca="1" si="65"/>
        <v>55200</v>
      </c>
      <c r="AD71" s="77">
        <f ca="1">IFERROR(__xludf.DUMMYFUNCTION("IMPORTRANGE(""https://docs.google.com/spreadsheets/d/1C3CXT74ZlgGe6_JY_1olB1XN4rF0dxEuIIF-xsYjHgg/edit?usp=sharing"",""พรบ!BK75"")"),0)</f>
        <v>0</v>
      </c>
      <c r="AE71" s="77">
        <f ca="1">IFERROR(__xludf.DUMMYFUNCTION("IMPORTRANGE(""https://docs.google.com/spreadsheets/d/1C3CXT74ZlgGe6_JY_1olB1XN4rF0dxEuIIF-xsYjHgg/edit?usp=sharing"",""พรบ!BL75"")"),55200)</f>
        <v>55200</v>
      </c>
      <c r="AF71" s="77">
        <f ca="1">IFERROR(__xludf.DUMMYFUNCTION("IMPORTRANGE(""https://docs.google.com/spreadsheets/d/1Yj_ptqi66GCucihVvJfMjLAmec39IyEx_6qawtMGysU/edit?usp=sharing"",""สบก!CI75"")"),0)</f>
        <v>0</v>
      </c>
      <c r="AG71" s="77">
        <f ca="1">IFERROR(__xludf.DUMMYFUNCTION("IMPORTRANGE(""https://docs.google.com/spreadsheets/d/1Yj_ptqi66GCucihVvJfMjLAmec39IyEx_6qawtMGysU/edit?usp=shCKing"",""สบก!CK75"")"),32250)</f>
        <v>32250</v>
      </c>
      <c r="AH71" s="77">
        <f t="shared" ca="1" si="19"/>
        <v>17180</v>
      </c>
      <c r="AI71" s="77">
        <f t="shared" ca="1" si="20"/>
        <v>31.123188405797102</v>
      </c>
      <c r="AJ71" s="77">
        <f ca="1">IFERROR(__xludf.DUMMYFUNCTION("IMPORTRANGE(""https://docs.google.com/spreadsheets/d/1Yj_ptqi66GCucihVvJfMjLAmec39IyEx_6qawtMGysU/edit?usp=sharing"",""สบก!CL75"")"),17180)</f>
        <v>17180</v>
      </c>
      <c r="AK71" s="137">
        <f t="shared" ca="1" si="21"/>
        <v>31.123188405797102</v>
      </c>
      <c r="AL71" s="137">
        <f t="shared" ca="1" si="22"/>
        <v>53.271317829457367</v>
      </c>
      <c r="AM71" s="137">
        <f ca="1">IFERROR(__xludf.DUMMYFUNCTION("IMPORTRANGE(""https://docs.google.com/spreadsheets/d/1Yj_ptqi66GCucihVvJfMjLAmec39IyEx_6qawtMGysU/edit?usp=sharing"",""สบก!CM75"")"),0)</f>
        <v>0</v>
      </c>
      <c r="AN71" s="137">
        <f t="shared" ca="1" si="23"/>
        <v>0</v>
      </c>
      <c r="AO71" s="77">
        <f ca="1">IFERROR(__xludf.DUMMYFUNCTION("IMPORTRANGE(""https://docs.google.com/spreadsheets/d/1C3CXT74ZlgGe6_JY_1olB1XN4rF0dxEuIIF-xsYjHgg/edit?usp=sharing"",""พรบ!BM75"")"),15)</f>
        <v>15</v>
      </c>
      <c r="AP71" s="77">
        <f ca="1">IFERROR(__xludf.DUMMYFUNCTION("IMPORTRANGE(""https://docs.google.com/spreadsheets/d/1SX6NBoVAgQJ6U1MVXOaj8PK2l7WJ3RER9xtqwdhxkhw/edit?usp=sharing"",""สระแก้ว!J195"")"),15)</f>
        <v>15</v>
      </c>
      <c r="AQ71" s="137">
        <f t="shared" ca="1" si="25"/>
        <v>100</v>
      </c>
    </row>
    <row r="72" spans="1:43" ht="21" customHeight="1">
      <c r="A72" s="73">
        <v>18</v>
      </c>
      <c r="B72" s="184" t="s">
        <v>96</v>
      </c>
      <c r="C72" s="75">
        <f t="shared" ca="1" si="0"/>
        <v>181400</v>
      </c>
      <c r="D72" s="76">
        <f t="shared" ca="1" si="64"/>
        <v>181400</v>
      </c>
      <c r="E72" s="77">
        <f ca="1">IFERROR(__xludf.DUMMYFUNCTION("IMPORTRANGE(""https://docs.google.com/spreadsheets/d/1C3CXT74ZlgGe6_JY_1olB1XN4rF0dxEuIIF-xsYjHgg/edit?usp=sharing"",""พรบ!BD76"")"),0)</f>
        <v>0</v>
      </c>
      <c r="F72" s="77">
        <f ca="1">IFERROR(__xludf.DUMMYFUNCTION("IMPORTRANGE(""https://docs.google.com/spreadsheets/d/1C3CXT74ZlgGe6_JY_1olB1XN4rF0dxEuIIF-xsYjHgg/edit?usp=sharing"",""พรบ!BE76"")"),181400)</f>
        <v>181400</v>
      </c>
      <c r="G72" s="77">
        <f ca="1">IFERROR(__xludf.DUMMYFUNCTION("IMPORTRANGE(""https://docs.google.com/spreadsheets/d/1Yj_ptqi66GCucihVvJfMjLAmec39IyEx_6qawtMGysU/edit?usp=sharing"",""สบก!BZ76"")"),0)</f>
        <v>0</v>
      </c>
      <c r="H72" s="77">
        <f ca="1">IFERROR(__xludf.DUMMYFUNCTION("IMPORTRANGE(""https://docs.google.com/spreadsheets/d/1Yj_ptqi66GCucihVvJfMjLAmec39IyEx_6qawtMGysU/edit?usp=shCBing"",""สบก!CB76"")"),159400)</f>
        <v>159400</v>
      </c>
      <c r="I72" s="77">
        <f t="shared" ca="1" si="3"/>
        <v>90916</v>
      </c>
      <c r="J72" s="77">
        <f t="shared" ca="1" si="4"/>
        <v>50.119073869900774</v>
      </c>
      <c r="K72" s="77">
        <f ca="1">IFERROR(__xludf.DUMMYFUNCTION("IMPORTRANGE(""https://docs.google.com/spreadsheets/d/1Yj_ptqi66GCucihVvJfMjLAmec39IyEx_6qawtMGysU/edit?usp=sharing"",""สบก!CC76"")"),90916)</f>
        <v>90916</v>
      </c>
      <c r="L72" s="137">
        <f t="shared" ca="1" si="5"/>
        <v>50.119073869900774</v>
      </c>
      <c r="M72" s="137">
        <f t="shared" ca="1" si="6"/>
        <v>57.036386449184441</v>
      </c>
      <c r="N72" s="137">
        <f ca="1">IFERROR(__xludf.DUMMYFUNCTION("IMPORTRANGE(""https://docs.google.com/spreadsheets/d/1Yj_ptqi66GCucihVvJfMjLAmec39IyEx_6qawtMGysU/edit?usp=sharing"",""สบก!CD76"")"),0)</f>
        <v>0</v>
      </c>
      <c r="O72" s="137">
        <f t="shared" ca="1" si="7"/>
        <v>0</v>
      </c>
      <c r="P72" s="77">
        <f ca="1">IFERROR(__xludf.DUMMYFUNCTION("IMPORTRANGE(""https://docs.google.com/spreadsheets/d/1C3CXT74ZlgGe6_JY_1olB1XN4rF0dxEuIIF-xsYjHgg/edit?usp=sharing"",""พรบ!BF76"")"),1)</f>
        <v>1</v>
      </c>
      <c r="Q72" s="77">
        <f ca="1">IFERROR(__xludf.DUMMYFUNCTION("IMPORTRANGE(""https://docs.google.com/spreadsheets/d/1SX6NBoVAgQJ6U1MVXOaj8PK2l7WJ3RER9xtqwdhxkhw/edit?usp=sharing"",""สระบุรี!J179"")"),1)</f>
        <v>1</v>
      </c>
      <c r="R72" s="137">
        <f t="shared" ca="1" si="9"/>
        <v>100</v>
      </c>
      <c r="S72" s="77">
        <f ca="1">IFERROR(__xludf.DUMMYFUNCTION("IMPORTRANGE(""https://docs.google.com/spreadsheets/d/1C3CXT74ZlgGe6_JY_1olB1XN4rF0dxEuIIF-xsYjHgg/edit?usp=sharing"",""พรบ!BG76"")"),20)</f>
        <v>20</v>
      </c>
      <c r="T72" s="77">
        <f ca="1">IFERROR(__xludf.DUMMYFUNCTION("IMPORTRANGE(""https://docs.google.com/spreadsheets/d/1SX6NBoVAgQJ6U1MVXOaj8PK2l7WJ3RER9xtqwdhxkhw/edit?usp=sharing"",""สระบุรี!J180"")"),20)</f>
        <v>20</v>
      </c>
      <c r="U72" s="137">
        <f t="shared" ca="1" si="11"/>
        <v>100</v>
      </c>
      <c r="V72" s="77">
        <f ca="1">IFERROR(__xludf.DUMMYFUNCTION("IMPORTRANGE(""https://docs.google.com/spreadsheets/d/1C3CXT74ZlgGe6_JY_1olB1XN4rF0dxEuIIF-xsYjHgg/edit?usp=sharing"",""พรบ!BH76"")"),20)</f>
        <v>20</v>
      </c>
      <c r="W72" s="77">
        <f ca="1">IFERROR(__xludf.DUMMYFUNCTION("IMPORTRANGE(""https://docs.google.com/spreadsheets/d/1SX6NBoVAgQJ6U1MVXOaj8PK2l7WJ3RER9xtqwdhxkhw/edit?usp=sharing"",""สระบุรี!J181"")"),0)</f>
        <v>0</v>
      </c>
      <c r="X72" s="137">
        <f t="shared" ca="1" si="13"/>
        <v>0</v>
      </c>
      <c r="Y72" s="77">
        <f ca="1">IFERROR(__xludf.DUMMYFUNCTION("IMPORTRANGE(""https://docs.google.com/spreadsheets/d/1C3CXT74ZlgGe6_JY_1olB1XN4rF0dxEuIIF-xsYjHgg/edit?usp=sharing"",""พรบ!BI76"")"),1)</f>
        <v>1</v>
      </c>
      <c r="Z72" s="77">
        <f ca="1">IFERROR(__xludf.DUMMYFUNCTION("IMPORTRANGE(""https://docs.google.com/spreadsheets/d/1SX6NBoVAgQJ6U1MVXOaj8PK2l7WJ3RER9xtqwdhxkhw/edit?usp=sharing"",""สระบุรี!J182"")"),1)</f>
        <v>1</v>
      </c>
      <c r="AA72" s="137">
        <f t="shared" ca="1" si="15"/>
        <v>100</v>
      </c>
      <c r="AB72" s="75">
        <f t="shared" ca="1" si="16"/>
        <v>55200</v>
      </c>
      <c r="AC72" s="76">
        <f t="shared" ca="1" si="65"/>
        <v>55200</v>
      </c>
      <c r="AD72" s="77">
        <f ca="1">IFERROR(__xludf.DUMMYFUNCTION("IMPORTRANGE(""https://docs.google.com/spreadsheets/d/1C3CXT74ZlgGe6_JY_1olB1XN4rF0dxEuIIF-xsYjHgg/edit?usp=sharing"",""พรบ!BK76"")"),0)</f>
        <v>0</v>
      </c>
      <c r="AE72" s="77">
        <f ca="1">IFERROR(__xludf.DUMMYFUNCTION("IMPORTRANGE(""https://docs.google.com/spreadsheets/d/1C3CXT74ZlgGe6_JY_1olB1XN4rF0dxEuIIF-xsYjHgg/edit?usp=sharing"",""พรบ!BL76"")"),55200)</f>
        <v>55200</v>
      </c>
      <c r="AF72" s="77">
        <f ca="1">IFERROR(__xludf.DUMMYFUNCTION("IMPORTRANGE(""https://docs.google.com/spreadsheets/d/1Yj_ptqi66GCucihVvJfMjLAmec39IyEx_6qawtMGysU/edit?usp=sharing"",""สบก!CI76"")"),0)</f>
        <v>0</v>
      </c>
      <c r="AG72" s="77">
        <f ca="1">IFERROR(__xludf.DUMMYFUNCTION("IMPORTRANGE(""https://docs.google.com/spreadsheets/d/1Yj_ptqi66GCucihVvJfMjLAmec39IyEx_6qawtMGysU/edit?usp=shCKing"",""สบก!CK76"")"),32250)</f>
        <v>32250</v>
      </c>
      <c r="AH72" s="77">
        <f t="shared" ca="1" si="19"/>
        <v>29290</v>
      </c>
      <c r="AI72" s="77">
        <f t="shared" ca="1" si="20"/>
        <v>53.061594202898547</v>
      </c>
      <c r="AJ72" s="77">
        <f ca="1">IFERROR(__xludf.DUMMYFUNCTION("IMPORTRANGE(""https://docs.google.com/spreadsheets/d/1Yj_ptqi66GCucihVvJfMjLAmec39IyEx_6qawtMGysU/edit?usp=sharing"",""สบก!CL76"")"),29290)</f>
        <v>29290</v>
      </c>
      <c r="AK72" s="137">
        <f t="shared" ca="1" si="21"/>
        <v>53.061594202898547</v>
      </c>
      <c r="AL72" s="137">
        <f t="shared" ca="1" si="22"/>
        <v>90.821705426356587</v>
      </c>
      <c r="AM72" s="137">
        <f ca="1">IFERROR(__xludf.DUMMYFUNCTION("IMPORTRANGE(""https://docs.google.com/spreadsheets/d/1Yj_ptqi66GCucihVvJfMjLAmec39IyEx_6qawtMGysU/edit?usp=sharing"",""สบก!CM76"")"),0)</f>
        <v>0</v>
      </c>
      <c r="AN72" s="137">
        <f t="shared" ca="1" si="23"/>
        <v>0</v>
      </c>
      <c r="AO72" s="77">
        <f ca="1">IFERROR(__xludf.DUMMYFUNCTION("IMPORTRANGE(""https://docs.google.com/spreadsheets/d/1C3CXT74ZlgGe6_JY_1olB1XN4rF0dxEuIIF-xsYjHgg/edit?usp=sharing"",""พรบ!BM76"")"),15)</f>
        <v>15</v>
      </c>
      <c r="AP72" s="77">
        <f ca="1">IFERROR(__xludf.DUMMYFUNCTION("IMPORTRANGE(""https://docs.google.com/spreadsheets/d/1SX6NBoVAgQJ6U1MVXOaj8PK2l7WJ3RER9xtqwdhxkhw/edit?usp=sharing"",""สระบุรี!J195"")"),15)</f>
        <v>15</v>
      </c>
      <c r="AQ72" s="137">
        <f t="shared" ca="1" si="25"/>
        <v>100</v>
      </c>
    </row>
    <row r="73" spans="1:43" ht="21" customHeight="1">
      <c r="A73" s="73">
        <v>19</v>
      </c>
      <c r="B73" s="184" t="s">
        <v>97</v>
      </c>
      <c r="C73" s="75">
        <f t="shared" ca="1" si="0"/>
        <v>0</v>
      </c>
      <c r="D73" s="76">
        <f t="shared" ca="1" si="64"/>
        <v>0</v>
      </c>
      <c r="E73" s="77">
        <f ca="1">IFERROR(__xludf.DUMMYFUNCTION("IMPORTRANGE(""https://docs.google.com/spreadsheets/d/1C3CXT74ZlgGe6_JY_1olB1XN4rF0dxEuIIF-xsYjHgg/edit?usp=sharing"",""พรบ!BD77"")"),0)</f>
        <v>0</v>
      </c>
      <c r="F73" s="77">
        <f ca="1">IFERROR(__xludf.DUMMYFUNCTION("IMPORTRANGE(""https://docs.google.com/spreadsheets/d/1C3CXT74ZlgGe6_JY_1olB1XN4rF0dxEuIIF-xsYjHgg/edit?usp=sharing"",""พรบ!BE77"")"),0)</f>
        <v>0</v>
      </c>
      <c r="G73" s="77">
        <f ca="1">IFERROR(__xludf.DUMMYFUNCTION("IMPORTRANGE(""https://docs.google.com/spreadsheets/d/1Yj_ptqi66GCucihVvJfMjLAmec39IyEx_6qawtMGysU/edit?usp=sharing"",""สบก!BZ77"")"),0)</f>
        <v>0</v>
      </c>
      <c r="H73" s="77">
        <f ca="1">IFERROR(__xludf.DUMMYFUNCTION("IMPORTRANGE(""https://docs.google.com/spreadsheets/d/1Yj_ptqi66GCucihVvJfMjLAmec39IyEx_6qawtMGysU/edit?usp=shCBing"",""สบก!CB77"")"),0)</f>
        <v>0</v>
      </c>
      <c r="I73" s="77">
        <f t="shared" ca="1" si="3"/>
        <v>0</v>
      </c>
      <c r="J73" s="77">
        <f t="shared" ca="1" si="4"/>
        <v>0</v>
      </c>
      <c r="K73" s="77">
        <f ca="1">IFERROR(__xludf.DUMMYFUNCTION("IMPORTRANGE(""https://docs.google.com/spreadsheets/d/1Yj_ptqi66GCucihVvJfMjLAmec39IyEx_6qawtMGysU/edit?usp=sharing"",""สบก!CC77"")"),0)</f>
        <v>0</v>
      </c>
      <c r="L73" s="137">
        <f t="shared" ca="1" si="5"/>
        <v>0</v>
      </c>
      <c r="M73" s="137">
        <f t="shared" ca="1" si="6"/>
        <v>0</v>
      </c>
      <c r="N73" s="137">
        <f ca="1">IFERROR(__xludf.DUMMYFUNCTION("IMPORTRANGE(""https://docs.google.com/spreadsheets/d/1Yj_ptqi66GCucihVvJfMjLAmec39IyEx_6qawtMGysU/edit?usp=sharing"",""สบก!CD77"")"),0)</f>
        <v>0</v>
      </c>
      <c r="O73" s="137">
        <f t="shared" ca="1" si="7"/>
        <v>0</v>
      </c>
      <c r="P73" s="77">
        <f ca="1">IFERROR(__xludf.DUMMYFUNCTION("IMPORTRANGE(""https://docs.google.com/spreadsheets/d/1C3CXT74ZlgGe6_JY_1olB1XN4rF0dxEuIIF-xsYjHgg/edit?usp=sharing"",""พรบ!BF77"")"),0)</f>
        <v>0</v>
      </c>
      <c r="Q73" s="77">
        <f ca="1">IFERROR(__xludf.DUMMYFUNCTION("IMPORTRANGE(""https://docs.google.com/spreadsheets/d/1SX6NBoVAgQJ6U1MVXOaj8PK2l7WJ3RER9xtqwdhxkhw/edit?usp=sharing"",""สิงห์บุรี!J179"")"),0)</f>
        <v>0</v>
      </c>
      <c r="R73" s="137">
        <f t="shared" ca="1" si="9"/>
        <v>0</v>
      </c>
      <c r="S73" s="77">
        <f ca="1">IFERROR(__xludf.DUMMYFUNCTION("IMPORTRANGE(""https://docs.google.com/spreadsheets/d/1C3CXT74ZlgGe6_JY_1olB1XN4rF0dxEuIIF-xsYjHgg/edit?usp=sharing"",""พรบ!BG77"")"),0)</f>
        <v>0</v>
      </c>
      <c r="T73" s="77">
        <f ca="1">IFERROR(__xludf.DUMMYFUNCTION("IMPORTRANGE(""https://docs.google.com/spreadsheets/d/1SX6NBoVAgQJ6U1MVXOaj8PK2l7WJ3RER9xtqwdhxkhw/edit?usp=sharing"",""สิงห์บุรี!J180"")"),0)</f>
        <v>0</v>
      </c>
      <c r="U73" s="137">
        <f t="shared" ca="1" si="11"/>
        <v>0</v>
      </c>
      <c r="V73" s="77">
        <f ca="1">IFERROR(__xludf.DUMMYFUNCTION("IMPORTRANGE(""https://docs.google.com/spreadsheets/d/1C3CXT74ZlgGe6_JY_1olB1XN4rF0dxEuIIF-xsYjHgg/edit?usp=sharing"",""พรบ!BH77"")"),0)</f>
        <v>0</v>
      </c>
      <c r="W73" s="77">
        <f ca="1">IFERROR(__xludf.DUMMYFUNCTION("IMPORTRANGE(""https://docs.google.com/spreadsheets/d/1SX6NBoVAgQJ6U1MVXOaj8PK2l7WJ3RER9xtqwdhxkhw/edit?usp=sharing"",""สิงห์บุรี!J181"")"),0)</f>
        <v>0</v>
      </c>
      <c r="X73" s="137">
        <f t="shared" ca="1" si="13"/>
        <v>0</v>
      </c>
      <c r="Y73" s="77">
        <f ca="1">IFERROR(__xludf.DUMMYFUNCTION("IMPORTRANGE(""https://docs.google.com/spreadsheets/d/1C3CXT74ZlgGe6_JY_1olB1XN4rF0dxEuIIF-xsYjHgg/edit?usp=sharing"",""พรบ!BI77"")"),0)</f>
        <v>0</v>
      </c>
      <c r="Z73" s="77">
        <f ca="1">IFERROR(__xludf.DUMMYFUNCTION("IMPORTRANGE(""https://docs.google.com/spreadsheets/d/1SX6NBoVAgQJ6U1MVXOaj8PK2l7WJ3RER9xtqwdhxkhw/edit?usp=sharing"",""สิงห์บุรี!J182"")"),0)</f>
        <v>0</v>
      </c>
      <c r="AA73" s="137">
        <f t="shared" ca="1" si="15"/>
        <v>0</v>
      </c>
      <c r="AB73" s="75">
        <f t="shared" ca="1" si="16"/>
        <v>0</v>
      </c>
      <c r="AC73" s="76">
        <f t="shared" ca="1" si="65"/>
        <v>0</v>
      </c>
      <c r="AD73" s="77">
        <f ca="1">IFERROR(__xludf.DUMMYFUNCTION("IMPORTRANGE(""https://docs.google.com/spreadsheets/d/1C3CXT74ZlgGe6_JY_1olB1XN4rF0dxEuIIF-xsYjHgg/edit?usp=sharing"",""พรบ!BK77"")"),0)</f>
        <v>0</v>
      </c>
      <c r="AE73" s="77">
        <f ca="1">IFERROR(__xludf.DUMMYFUNCTION("IMPORTRANGE(""https://docs.google.com/spreadsheets/d/1C3CXT74ZlgGe6_JY_1olB1XN4rF0dxEuIIF-xsYjHgg/edit?usp=sharing"",""พรบ!BL77"")"),0)</f>
        <v>0</v>
      </c>
      <c r="AF73" s="77">
        <f ca="1">IFERROR(__xludf.DUMMYFUNCTION("IMPORTRANGE(""https://docs.google.com/spreadsheets/d/1Yj_ptqi66GCucihVvJfMjLAmec39IyEx_6qawtMGysU/edit?usp=sharing"",""สบก!CI77"")"),0)</f>
        <v>0</v>
      </c>
      <c r="AG73" s="77">
        <f ca="1">IFERROR(__xludf.DUMMYFUNCTION("IMPORTRANGE(""https://docs.google.com/spreadsheets/d/1Yj_ptqi66GCucihVvJfMjLAmec39IyEx_6qawtMGysU/edit?usp=shCKing"",""สบก!CK77"")"),0)</f>
        <v>0</v>
      </c>
      <c r="AH73" s="77">
        <f t="shared" ca="1" si="19"/>
        <v>0</v>
      </c>
      <c r="AI73" s="77">
        <f t="shared" ca="1" si="20"/>
        <v>0</v>
      </c>
      <c r="AJ73" s="77">
        <f ca="1">IFERROR(__xludf.DUMMYFUNCTION("IMPORTRANGE(""https://docs.google.com/spreadsheets/d/1Yj_ptqi66GCucihVvJfMjLAmec39IyEx_6qawtMGysU/edit?usp=sharing"",""สบก!CL77"")"),0)</f>
        <v>0</v>
      </c>
      <c r="AK73" s="137">
        <f t="shared" ca="1" si="21"/>
        <v>0</v>
      </c>
      <c r="AL73" s="137">
        <f t="shared" ca="1" si="22"/>
        <v>0</v>
      </c>
      <c r="AM73" s="137">
        <f ca="1">IFERROR(__xludf.DUMMYFUNCTION("IMPORTRANGE(""https://docs.google.com/spreadsheets/d/1Yj_ptqi66GCucihVvJfMjLAmec39IyEx_6qawtMGysU/edit?usp=sharing"",""สบก!CM77"")"),0)</f>
        <v>0</v>
      </c>
      <c r="AN73" s="137">
        <f t="shared" ca="1" si="23"/>
        <v>0</v>
      </c>
      <c r="AO73" s="77">
        <f ca="1">IFERROR(__xludf.DUMMYFUNCTION("IMPORTRANGE(""https://docs.google.com/spreadsheets/d/1C3CXT74ZlgGe6_JY_1olB1XN4rF0dxEuIIF-xsYjHgg/edit?usp=sharing"",""พรบ!BM77"")"),0)</f>
        <v>0</v>
      </c>
      <c r="AP73" s="77">
        <f ca="1">IFERROR(__xludf.DUMMYFUNCTION("IMPORTRANGE(""https://docs.google.com/spreadsheets/d/1SX6NBoVAgQJ6U1MVXOaj8PK2l7WJ3RER9xtqwdhxkhw/edit?usp=sharing"",""สิงห์บุรี!J195"")"),0)</f>
        <v>0</v>
      </c>
      <c r="AQ73" s="137">
        <f t="shared" ca="1" si="25"/>
        <v>0</v>
      </c>
    </row>
    <row r="74" spans="1:43" ht="21" customHeight="1">
      <c r="A74" s="73">
        <v>20</v>
      </c>
      <c r="B74" s="184" t="s">
        <v>98</v>
      </c>
      <c r="C74" s="75">
        <f t="shared" ca="1" si="0"/>
        <v>71400</v>
      </c>
      <c r="D74" s="76">
        <f t="shared" ca="1" si="64"/>
        <v>71400</v>
      </c>
      <c r="E74" s="77">
        <f ca="1">IFERROR(__xludf.DUMMYFUNCTION("IMPORTRANGE(""https://docs.google.com/spreadsheets/d/1C3CXT74ZlgGe6_JY_1olB1XN4rF0dxEuIIF-xsYjHgg/edit?usp=sharing"",""พรบ!BD78"")"),0)</f>
        <v>0</v>
      </c>
      <c r="F74" s="77">
        <f ca="1">IFERROR(__xludf.DUMMYFUNCTION("IMPORTRANGE(""https://docs.google.com/spreadsheets/d/1C3CXT74ZlgGe6_JY_1olB1XN4rF0dxEuIIF-xsYjHgg/edit?usp=sharing"",""พรบ!BE78"")"),71400)</f>
        <v>71400</v>
      </c>
      <c r="G74" s="77">
        <f ca="1">IFERROR(__xludf.DUMMYFUNCTION("IMPORTRANGE(""https://docs.google.com/spreadsheets/d/1Yj_ptqi66GCucihVvJfMjLAmec39IyEx_6qawtMGysU/edit?usp=sharing"",""สบก!BZ78"")"),0)</f>
        <v>0</v>
      </c>
      <c r="H74" s="77">
        <f ca="1">IFERROR(__xludf.DUMMYFUNCTION("IMPORTRANGE(""https://docs.google.com/spreadsheets/d/1Yj_ptqi66GCucihVvJfMjLAmec39IyEx_6qawtMGysU/edit?usp=shCBing"",""สบก!CB78"")"),42000)</f>
        <v>42000</v>
      </c>
      <c r="I74" s="77">
        <f t="shared" ca="1" si="3"/>
        <v>40140</v>
      </c>
      <c r="J74" s="77">
        <f t="shared" ca="1" si="4"/>
        <v>56.218487394957982</v>
      </c>
      <c r="K74" s="77">
        <f ca="1">IFERROR(__xludf.DUMMYFUNCTION("IMPORTRANGE(""https://docs.google.com/spreadsheets/d/1Yj_ptqi66GCucihVvJfMjLAmec39IyEx_6qawtMGysU/edit?usp=sharing"",""สบก!CC78"")"),40140)</f>
        <v>40140</v>
      </c>
      <c r="L74" s="137">
        <f t="shared" ca="1" si="5"/>
        <v>56.218487394957982</v>
      </c>
      <c r="M74" s="137">
        <f t="shared" ca="1" si="6"/>
        <v>95.571428571428569</v>
      </c>
      <c r="N74" s="137">
        <f ca="1">IFERROR(__xludf.DUMMYFUNCTION("IMPORTRANGE(""https://docs.google.com/spreadsheets/d/1Yj_ptqi66GCucihVvJfMjLAmec39IyEx_6qawtMGysU/edit?usp=sharing"",""สบก!CD78"")"),0)</f>
        <v>0</v>
      </c>
      <c r="O74" s="137">
        <f t="shared" ca="1" si="7"/>
        <v>0</v>
      </c>
      <c r="P74" s="77">
        <f ca="1">IFERROR(__xludf.DUMMYFUNCTION("IMPORTRANGE(""https://docs.google.com/spreadsheets/d/1C3CXT74ZlgGe6_JY_1olB1XN4rF0dxEuIIF-xsYjHgg/edit?usp=sharing"",""พรบ!BF78"")"),1)</f>
        <v>1</v>
      </c>
      <c r="Q74" s="77">
        <f ca="1">IFERROR(__xludf.DUMMYFUNCTION("IMPORTRANGE(""https://docs.google.com/spreadsheets/d/1SX6NBoVAgQJ6U1MVXOaj8PK2l7WJ3RER9xtqwdhxkhw/edit?usp=sharing"",""สุพรรณบุรี!J179"")"),1)</f>
        <v>1</v>
      </c>
      <c r="R74" s="137">
        <f t="shared" ca="1" si="9"/>
        <v>100</v>
      </c>
      <c r="S74" s="77">
        <f ca="1">IFERROR(__xludf.DUMMYFUNCTION("IMPORTRANGE(""https://docs.google.com/spreadsheets/d/1C3CXT74ZlgGe6_JY_1olB1XN4rF0dxEuIIF-xsYjHgg/edit?usp=sharing"",""พรบ!BG78"")"),20)</f>
        <v>20</v>
      </c>
      <c r="T74" s="77">
        <f ca="1">IFERROR(__xludf.DUMMYFUNCTION("IMPORTRANGE(""https://docs.google.com/spreadsheets/d/1SX6NBoVAgQJ6U1MVXOaj8PK2l7WJ3RER9xtqwdhxkhw/edit?usp=sharing"",""สุพรรณบุรี!J180"")"),20)</f>
        <v>20</v>
      </c>
      <c r="U74" s="137">
        <f t="shared" ca="1" si="11"/>
        <v>100</v>
      </c>
      <c r="V74" s="77">
        <f ca="1">IFERROR(__xludf.DUMMYFUNCTION("IMPORTRANGE(""https://docs.google.com/spreadsheets/d/1C3CXT74ZlgGe6_JY_1olB1XN4rF0dxEuIIF-xsYjHgg/edit?usp=sharing"",""พรบ!BH78"")"),20)</f>
        <v>20</v>
      </c>
      <c r="W74" s="77">
        <f ca="1">IFERROR(__xludf.DUMMYFUNCTION("IMPORTRANGE(""https://docs.google.com/spreadsheets/d/1SX6NBoVAgQJ6U1MVXOaj8PK2l7WJ3RER9xtqwdhxkhw/edit?usp=sharing"",""สุพรรณบุรี!J181"")"),0)</f>
        <v>0</v>
      </c>
      <c r="X74" s="137">
        <f t="shared" ca="1" si="13"/>
        <v>0</v>
      </c>
      <c r="Y74" s="77">
        <f ca="1">IFERROR(__xludf.DUMMYFUNCTION("IMPORTRANGE(""https://docs.google.com/spreadsheets/d/1C3CXT74ZlgGe6_JY_1olB1XN4rF0dxEuIIF-xsYjHgg/edit?usp=sharing"",""พรบ!BI78"")"),1)</f>
        <v>1</v>
      </c>
      <c r="Z74" s="77">
        <f ca="1">IFERROR(__xludf.DUMMYFUNCTION("IMPORTRANGE(""https://docs.google.com/spreadsheets/d/1SX6NBoVAgQJ6U1MVXOaj8PK2l7WJ3RER9xtqwdhxkhw/edit?usp=sharing"",""สุพรรณบุรี!J182"")"),1)</f>
        <v>1</v>
      </c>
      <c r="AA74" s="137">
        <f t="shared" ca="1" si="15"/>
        <v>100</v>
      </c>
      <c r="AB74" s="75">
        <f t="shared" ca="1" si="16"/>
        <v>105700</v>
      </c>
      <c r="AC74" s="76">
        <f t="shared" ca="1" si="65"/>
        <v>105700</v>
      </c>
      <c r="AD74" s="77">
        <f ca="1">IFERROR(__xludf.DUMMYFUNCTION("IMPORTRANGE(""https://docs.google.com/spreadsheets/d/1C3CXT74ZlgGe6_JY_1olB1XN4rF0dxEuIIF-xsYjHgg/edit?usp=sharing"",""พรบ!BK78"")"),0)</f>
        <v>0</v>
      </c>
      <c r="AE74" s="77">
        <f ca="1">IFERROR(__xludf.DUMMYFUNCTION("IMPORTRANGE(""https://docs.google.com/spreadsheets/d/1C3CXT74ZlgGe6_JY_1olB1XN4rF0dxEuIIF-xsYjHgg/edit?usp=sharing"",""พรบ!BL78"")"),105700)</f>
        <v>105700</v>
      </c>
      <c r="AF74" s="77">
        <f ca="1">IFERROR(__xludf.DUMMYFUNCTION("IMPORTRANGE(""https://docs.google.com/spreadsheets/d/1Yj_ptqi66GCucihVvJfMjLAmec39IyEx_6qawtMGysU/edit?usp=sharing"",""สบก!CI78"")"),0)</f>
        <v>0</v>
      </c>
      <c r="AG74" s="77">
        <f ca="1">IFERROR(__xludf.DUMMYFUNCTION("IMPORTRANGE(""https://docs.google.com/spreadsheets/d/1Yj_ptqi66GCucihVvJfMjLAmec39IyEx_6qawtMGysU/edit?usp=shCKing"",""สบก!CK78"")"),80000)</f>
        <v>80000</v>
      </c>
      <c r="AH74" s="77">
        <f t="shared" ca="1" si="19"/>
        <v>74159</v>
      </c>
      <c r="AI74" s="77">
        <f t="shared" ca="1" si="20"/>
        <v>70.159886471144745</v>
      </c>
      <c r="AJ74" s="77">
        <f ca="1">IFERROR(__xludf.DUMMYFUNCTION("IMPORTRANGE(""https://docs.google.com/spreadsheets/d/1Yj_ptqi66GCucihVvJfMjLAmec39IyEx_6qawtMGysU/edit?usp=sharing"",""สบก!CL78"")"),74159)</f>
        <v>74159</v>
      </c>
      <c r="AK74" s="137">
        <f t="shared" ca="1" si="21"/>
        <v>70.159886471144745</v>
      </c>
      <c r="AL74" s="137">
        <f t="shared" ca="1" si="22"/>
        <v>92.698750000000004</v>
      </c>
      <c r="AM74" s="137">
        <f ca="1">IFERROR(__xludf.DUMMYFUNCTION("IMPORTRANGE(""https://docs.google.com/spreadsheets/d/1Yj_ptqi66GCucihVvJfMjLAmec39IyEx_6qawtMGysU/edit?usp=sharing"",""สบก!CM78"")"),0)</f>
        <v>0</v>
      </c>
      <c r="AN74" s="137">
        <f t="shared" ca="1" si="23"/>
        <v>0</v>
      </c>
      <c r="AO74" s="77">
        <f ca="1">IFERROR(__xludf.DUMMYFUNCTION("IMPORTRANGE(""https://docs.google.com/spreadsheets/d/1C3CXT74ZlgGe6_JY_1olB1XN4rF0dxEuIIF-xsYjHgg/edit?usp=sharing"",""พรบ!BM78"")"),15)</f>
        <v>15</v>
      </c>
      <c r="AP74" s="77">
        <f ca="1">IFERROR(__xludf.DUMMYFUNCTION("IMPORTRANGE(""https://docs.google.com/spreadsheets/d/1SX6NBoVAgQJ6U1MVXOaj8PK2l7WJ3RER9xtqwdhxkhw/edit?usp=sharing"",""สุพรรณบุรี!J195"")"),15)</f>
        <v>15</v>
      </c>
      <c r="AQ74" s="137">
        <f t="shared" ca="1" si="25"/>
        <v>100</v>
      </c>
    </row>
    <row r="75" spans="1:43" ht="21" customHeight="1">
      <c r="A75" s="84">
        <v>21</v>
      </c>
      <c r="B75" s="185" t="s">
        <v>99</v>
      </c>
      <c r="C75" s="86">
        <f t="shared" ca="1" si="0"/>
        <v>0</v>
      </c>
      <c r="D75" s="87">
        <f t="shared" ca="1" si="64"/>
        <v>0</v>
      </c>
      <c r="E75" s="88">
        <f ca="1">IFERROR(__xludf.DUMMYFUNCTION("IMPORTRANGE(""https://docs.google.com/spreadsheets/d/1C3CXT74ZlgGe6_JY_1olB1XN4rF0dxEuIIF-xsYjHgg/edit?usp=sharing"",""พรบ!BD79"")"),0)</f>
        <v>0</v>
      </c>
      <c r="F75" s="88">
        <f ca="1">IFERROR(__xludf.DUMMYFUNCTION("IMPORTRANGE(""https://docs.google.com/spreadsheets/d/1C3CXT74ZlgGe6_JY_1olB1XN4rF0dxEuIIF-xsYjHgg/edit?usp=sharing"",""พรบ!BE79"")"),0)</f>
        <v>0</v>
      </c>
      <c r="G75" s="88">
        <f ca="1">IFERROR(__xludf.DUMMYFUNCTION("IMPORTRANGE(""https://docs.google.com/spreadsheets/d/1Yj_ptqi66GCucihVvJfMjLAmec39IyEx_6qawtMGysU/edit?usp=sharing"",""สบก!BZ79"")"),0)</f>
        <v>0</v>
      </c>
      <c r="H75" s="88">
        <f ca="1">IFERROR(__xludf.DUMMYFUNCTION("IMPORTRANGE(""https://docs.google.com/spreadsheets/d/1Yj_ptqi66GCucihVvJfMjLAmec39IyEx_6qawtMGysU/edit?usp=shCBing"",""สบก!CB79"")"),0)</f>
        <v>0</v>
      </c>
      <c r="I75" s="88">
        <f t="shared" ca="1" si="3"/>
        <v>0</v>
      </c>
      <c r="J75" s="88">
        <f t="shared" ca="1" si="4"/>
        <v>0</v>
      </c>
      <c r="K75" s="88">
        <f ca="1">IFERROR(__xludf.DUMMYFUNCTION("IMPORTRANGE(""https://docs.google.com/spreadsheets/d/1Yj_ptqi66GCucihVvJfMjLAmec39IyEx_6qawtMGysU/edit?usp=sharing"",""สบก!CC79"")"),0)</f>
        <v>0</v>
      </c>
      <c r="L75" s="138">
        <f t="shared" ca="1" si="5"/>
        <v>0</v>
      </c>
      <c r="M75" s="138">
        <f t="shared" ca="1" si="6"/>
        <v>0</v>
      </c>
      <c r="N75" s="138">
        <f ca="1">IFERROR(__xludf.DUMMYFUNCTION("IMPORTRANGE(""https://docs.google.com/spreadsheets/d/1Yj_ptqi66GCucihVvJfMjLAmec39IyEx_6qawtMGysU/edit?usp=sharing"",""สบก!CD79"")"),0)</f>
        <v>0</v>
      </c>
      <c r="O75" s="138">
        <f t="shared" ca="1" si="7"/>
        <v>0</v>
      </c>
      <c r="P75" s="88">
        <f ca="1">IFERROR(__xludf.DUMMYFUNCTION("IMPORTRANGE(""https://docs.google.com/spreadsheets/d/1C3CXT74ZlgGe6_JY_1olB1XN4rF0dxEuIIF-xsYjHgg/edit?usp=sharing"",""พรบ!BF79"")"),0)</f>
        <v>0</v>
      </c>
      <c r="Q75" s="88">
        <f ca="1">IFERROR(__xludf.DUMMYFUNCTION("IMPORTRANGE(""https://docs.google.com/spreadsheets/d/1SX6NBoVAgQJ6U1MVXOaj8PK2l7WJ3RER9xtqwdhxkhw/edit?usp=sharing"",""อ่างทอง!J179"")"),0)</f>
        <v>0</v>
      </c>
      <c r="R75" s="138">
        <f t="shared" ca="1" si="9"/>
        <v>0</v>
      </c>
      <c r="S75" s="88">
        <f ca="1">IFERROR(__xludf.DUMMYFUNCTION("IMPORTRANGE(""https://docs.google.com/spreadsheets/d/1C3CXT74ZlgGe6_JY_1olB1XN4rF0dxEuIIF-xsYjHgg/edit?usp=sharing"",""พรบ!BG79"")"),0)</f>
        <v>0</v>
      </c>
      <c r="T75" s="88">
        <f ca="1">IFERROR(__xludf.DUMMYFUNCTION("IMPORTRANGE(""https://docs.google.com/spreadsheets/d/1SX6NBoVAgQJ6U1MVXOaj8PK2l7WJ3RER9xtqwdhxkhw/edit?usp=sharing"",""อ่างทอง!J180"")"),0)</f>
        <v>0</v>
      </c>
      <c r="U75" s="138">
        <f t="shared" ca="1" si="11"/>
        <v>0</v>
      </c>
      <c r="V75" s="88">
        <f ca="1">IFERROR(__xludf.DUMMYFUNCTION("IMPORTRANGE(""https://docs.google.com/spreadsheets/d/1C3CXT74ZlgGe6_JY_1olB1XN4rF0dxEuIIF-xsYjHgg/edit?usp=sharing"",""พรบ!BH79"")"),0)</f>
        <v>0</v>
      </c>
      <c r="W75" s="88">
        <f ca="1">IFERROR(__xludf.DUMMYFUNCTION("IMPORTRANGE(""https://docs.google.com/spreadsheets/d/1SX6NBoVAgQJ6U1MVXOaj8PK2l7WJ3RER9xtqwdhxkhw/edit?usp=sharing"",""อ่างทอง!J181"")"),0)</f>
        <v>0</v>
      </c>
      <c r="X75" s="138">
        <f t="shared" ca="1" si="13"/>
        <v>0</v>
      </c>
      <c r="Y75" s="88">
        <f ca="1">IFERROR(__xludf.DUMMYFUNCTION("IMPORTRANGE(""https://docs.google.com/spreadsheets/d/1C3CXT74ZlgGe6_JY_1olB1XN4rF0dxEuIIF-xsYjHgg/edit?usp=sharing"",""พรบ!BI79"")"),0)</f>
        <v>0</v>
      </c>
      <c r="Z75" s="88">
        <f ca="1">IFERROR(__xludf.DUMMYFUNCTION("IMPORTRANGE(""https://docs.google.com/spreadsheets/d/1SX6NBoVAgQJ6U1MVXOaj8PK2l7WJ3RER9xtqwdhxkhw/edit?usp=sharing"",""อ่างทอง!J182"")"),0)</f>
        <v>0</v>
      </c>
      <c r="AA75" s="138">
        <f t="shared" ca="1" si="15"/>
        <v>0</v>
      </c>
      <c r="AB75" s="86">
        <f t="shared" ca="1" si="16"/>
        <v>0</v>
      </c>
      <c r="AC75" s="87">
        <f t="shared" ca="1" si="65"/>
        <v>0</v>
      </c>
      <c r="AD75" s="88">
        <f ca="1">IFERROR(__xludf.DUMMYFUNCTION("IMPORTRANGE(""https://docs.google.com/spreadsheets/d/1C3CXT74ZlgGe6_JY_1olB1XN4rF0dxEuIIF-xsYjHgg/edit?usp=sharing"",""พรบ!BK79"")"),0)</f>
        <v>0</v>
      </c>
      <c r="AE75" s="88">
        <f ca="1">IFERROR(__xludf.DUMMYFUNCTION("IMPORTRANGE(""https://docs.google.com/spreadsheets/d/1C3CXT74ZlgGe6_JY_1olB1XN4rF0dxEuIIF-xsYjHgg/edit?usp=sharing"",""พรบ!BL79"")"),0)</f>
        <v>0</v>
      </c>
      <c r="AF75" s="88">
        <f ca="1">IFERROR(__xludf.DUMMYFUNCTION("IMPORTRANGE(""https://docs.google.com/spreadsheets/d/1Yj_ptqi66GCucihVvJfMjLAmec39IyEx_6qawtMGysU/edit?usp=sharing"",""สบก!CI79"")"),0)</f>
        <v>0</v>
      </c>
      <c r="AG75" s="88">
        <f ca="1">IFERROR(__xludf.DUMMYFUNCTION("IMPORTRANGE(""https://docs.google.com/spreadsheets/d/1Yj_ptqi66GCucihVvJfMjLAmec39IyEx_6qawtMGysU/edit?usp=shCKing"",""สบก!CK79"")"),0)</f>
        <v>0</v>
      </c>
      <c r="AH75" s="88">
        <f t="shared" ca="1" si="19"/>
        <v>0</v>
      </c>
      <c r="AI75" s="88">
        <f t="shared" ca="1" si="20"/>
        <v>0</v>
      </c>
      <c r="AJ75" s="88">
        <f ca="1">IFERROR(__xludf.DUMMYFUNCTION("IMPORTRANGE(""https://docs.google.com/spreadsheets/d/1Yj_ptqi66GCucihVvJfMjLAmec39IyEx_6qawtMGysU/edit?usp=sharing"",""สบก!CL79"")"),0)</f>
        <v>0</v>
      </c>
      <c r="AK75" s="138">
        <f t="shared" ca="1" si="21"/>
        <v>0</v>
      </c>
      <c r="AL75" s="138">
        <f t="shared" ca="1" si="22"/>
        <v>0</v>
      </c>
      <c r="AM75" s="138">
        <f ca="1">IFERROR(__xludf.DUMMYFUNCTION("IMPORTRANGE(""https://docs.google.com/spreadsheets/d/1Yj_ptqi66GCucihVvJfMjLAmec39IyEx_6qawtMGysU/edit?usp=sharing"",""สบก!CM79"")"),0)</f>
        <v>0</v>
      </c>
      <c r="AN75" s="138">
        <f t="shared" ca="1" si="23"/>
        <v>0</v>
      </c>
      <c r="AO75" s="88">
        <f ca="1">IFERROR(__xludf.DUMMYFUNCTION("IMPORTRANGE(""https://docs.google.com/spreadsheets/d/1C3CXT74ZlgGe6_JY_1olB1XN4rF0dxEuIIF-xsYjHgg/edit?usp=sharing"",""พรบ!BM79"")"),0)</f>
        <v>0</v>
      </c>
      <c r="AP75" s="88">
        <f ca="1">IFERROR(__xludf.DUMMYFUNCTION("IMPORTRANGE(""https://docs.google.com/spreadsheets/d/1SX6NBoVAgQJ6U1MVXOaj8PK2l7WJ3RER9xtqwdhxkhw/edit?usp=sharing"",""อ่างทอง!J195"")"),0)</f>
        <v>0</v>
      </c>
      <c r="AQ75" s="138">
        <f t="shared" ca="1" si="25"/>
        <v>0</v>
      </c>
    </row>
    <row r="76" spans="1:43" ht="21" customHeight="1">
      <c r="A76" s="676" t="s">
        <v>100</v>
      </c>
      <c r="B76" s="652"/>
      <c r="C76" s="99">
        <f t="shared" ca="1" si="0"/>
        <v>435200</v>
      </c>
      <c r="D76" s="95">
        <f t="shared" ref="D76:H76" ca="1" si="66">SUM(D77:D90)</f>
        <v>435200</v>
      </c>
      <c r="E76" s="95">
        <f t="shared" ca="1" si="66"/>
        <v>132000</v>
      </c>
      <c r="F76" s="95">
        <f t="shared" ca="1" si="66"/>
        <v>303200</v>
      </c>
      <c r="G76" s="95">
        <f t="shared" ca="1" si="66"/>
        <v>0</v>
      </c>
      <c r="H76" s="95">
        <f t="shared" ca="1" si="66"/>
        <v>272500</v>
      </c>
      <c r="I76" s="95">
        <f t="shared" ca="1" si="3"/>
        <v>168668.4</v>
      </c>
      <c r="J76" s="95">
        <f t="shared" ca="1" si="4"/>
        <v>38.756525735294119</v>
      </c>
      <c r="K76" s="95">
        <f ca="1">SUM(K77:K90)</f>
        <v>168668.4</v>
      </c>
      <c r="L76" s="139">
        <f t="shared" ca="1" si="5"/>
        <v>38.756525735294119</v>
      </c>
      <c r="M76" s="139">
        <f t="shared" ca="1" si="6"/>
        <v>61.896660550458712</v>
      </c>
      <c r="N76" s="139">
        <f ca="1">SUM(N77:N90)</f>
        <v>0</v>
      </c>
      <c r="O76" s="139">
        <f t="shared" ca="1" si="7"/>
        <v>0</v>
      </c>
      <c r="P76" s="95">
        <f t="shared" ref="P76:Q76" ca="1" si="67">SUM(P77:P90)</f>
        <v>4</v>
      </c>
      <c r="Q76" s="95">
        <f t="shared" ca="1" si="67"/>
        <v>3</v>
      </c>
      <c r="R76" s="139">
        <f t="shared" ca="1" si="9"/>
        <v>75</v>
      </c>
      <c r="S76" s="95">
        <f t="shared" ref="S76:T76" ca="1" si="68">SUM(S77:S90)</f>
        <v>85</v>
      </c>
      <c r="T76" s="95">
        <f t="shared" ca="1" si="68"/>
        <v>85</v>
      </c>
      <c r="U76" s="139">
        <f t="shared" ca="1" si="11"/>
        <v>100</v>
      </c>
      <c r="V76" s="95">
        <f t="shared" ref="V76:W76" ca="1" si="69">SUM(V77:V90)</f>
        <v>85</v>
      </c>
      <c r="W76" s="95">
        <f t="shared" ca="1" si="69"/>
        <v>0</v>
      </c>
      <c r="X76" s="139">
        <f t="shared" ca="1" si="13"/>
        <v>0</v>
      </c>
      <c r="Y76" s="95">
        <f t="shared" ref="Y76:Z76" ca="1" si="70">SUM(Y77:Y90)</f>
        <v>4</v>
      </c>
      <c r="Z76" s="95">
        <f t="shared" ca="1" si="70"/>
        <v>2</v>
      </c>
      <c r="AA76" s="139">
        <f t="shared" ca="1" si="15"/>
        <v>50</v>
      </c>
      <c r="AB76" s="99">
        <f t="shared" ca="1" si="16"/>
        <v>1192800</v>
      </c>
      <c r="AC76" s="95">
        <f t="shared" ref="AC76:AG76" ca="1" si="71">SUM(AC77:AC90)</f>
        <v>1192800</v>
      </c>
      <c r="AD76" s="95">
        <f t="shared" ca="1" si="71"/>
        <v>660000</v>
      </c>
      <c r="AE76" s="95">
        <f t="shared" ca="1" si="71"/>
        <v>532800</v>
      </c>
      <c r="AF76" s="95">
        <f t="shared" ca="1" si="71"/>
        <v>0</v>
      </c>
      <c r="AG76" s="95">
        <f t="shared" ca="1" si="71"/>
        <v>914950</v>
      </c>
      <c r="AH76" s="95">
        <f t="shared" ca="1" si="19"/>
        <v>462451</v>
      </c>
      <c r="AI76" s="95">
        <f t="shared" ca="1" si="20"/>
        <v>38.770204560697522</v>
      </c>
      <c r="AJ76" s="95">
        <f ca="1">SUM(AJ77:AJ90)</f>
        <v>462451</v>
      </c>
      <c r="AK76" s="139">
        <f t="shared" ca="1" si="21"/>
        <v>38.770204560697522</v>
      </c>
      <c r="AL76" s="139">
        <f t="shared" ca="1" si="22"/>
        <v>50.54385485545658</v>
      </c>
      <c r="AM76" s="139">
        <f ca="1">SUM(AM77:AM90)</f>
        <v>0</v>
      </c>
      <c r="AN76" s="139">
        <f t="shared" ca="1" si="23"/>
        <v>0</v>
      </c>
      <c r="AO76" s="95">
        <f t="shared" ref="AO76:AP76" ca="1" si="72">SUM(AO77:AO90)</f>
        <v>85</v>
      </c>
      <c r="AP76" s="95">
        <f t="shared" ca="1" si="72"/>
        <v>85</v>
      </c>
      <c r="AQ76" s="139">
        <f t="shared" ca="1" si="25"/>
        <v>100</v>
      </c>
    </row>
    <row r="77" spans="1:43" ht="21" customHeight="1">
      <c r="A77" s="63">
        <v>1</v>
      </c>
      <c r="B77" s="186" t="s">
        <v>101</v>
      </c>
      <c r="C77" s="65">
        <f t="shared" ca="1" si="0"/>
        <v>0</v>
      </c>
      <c r="D77" s="66">
        <f t="shared" ref="D77:D90" ca="1" si="73">+E77+F77</f>
        <v>0</v>
      </c>
      <c r="E77" s="67">
        <f ca="1">IFERROR(__xludf.DUMMYFUNCTION("IMPORTRANGE(""https://docs.google.com/spreadsheets/d/1C3CXT74ZlgGe6_JY_1olB1XN4rF0dxEuIIF-xsYjHgg/edit?usp=sharing"",""พรบ!BD81"")"),0)</f>
        <v>0</v>
      </c>
      <c r="F77" s="67">
        <f ca="1">IFERROR(__xludf.DUMMYFUNCTION("IMPORTRANGE(""https://docs.google.com/spreadsheets/d/1C3CXT74ZlgGe6_JY_1olB1XN4rF0dxEuIIF-xsYjHgg/edit?usp=sharing"",""พรบ!BE81"")"),0)</f>
        <v>0</v>
      </c>
      <c r="G77" s="67">
        <f ca="1">IFERROR(__xludf.DUMMYFUNCTION("IMPORTRANGE(""https://docs.google.com/spreadsheets/d/1Yj_ptqi66GCucihVvJfMjLAmec39IyEx_6qawtMGysU/edit?usp=sharing"",""สบก!BZ81"")"),0)</f>
        <v>0</v>
      </c>
      <c r="H77" s="67">
        <f ca="1">IFERROR(__xludf.DUMMYFUNCTION("IMPORTRANGE(""https://docs.google.com/spreadsheets/d/1Yj_ptqi66GCucihVvJfMjLAmec39IyEx_6qawtMGysU/edit?usp=shCBing"",""สบก!CB81"")"),0)</f>
        <v>0</v>
      </c>
      <c r="I77" s="67">
        <f t="shared" ca="1" si="3"/>
        <v>0</v>
      </c>
      <c r="J77" s="67">
        <f t="shared" ca="1" si="4"/>
        <v>0</v>
      </c>
      <c r="K77" s="67">
        <f ca="1">IFERROR(__xludf.DUMMYFUNCTION("IMPORTRANGE(""https://docs.google.com/spreadsheets/d/1Yj_ptqi66GCucihVvJfMjLAmec39IyEx_6qawtMGysU/edit?usp=sharing"",""สบก!CC81"")"),0)</f>
        <v>0</v>
      </c>
      <c r="L77" s="136">
        <f t="shared" ca="1" si="5"/>
        <v>0</v>
      </c>
      <c r="M77" s="136">
        <f t="shared" ca="1" si="6"/>
        <v>0</v>
      </c>
      <c r="N77" s="136">
        <f ca="1">IFERROR(__xludf.DUMMYFUNCTION("IMPORTRANGE(""https://docs.google.com/spreadsheets/d/1Yj_ptqi66GCucihVvJfMjLAmec39IyEx_6qawtMGysU/edit?usp=sharing"",""สบก!CD81"")"),0)</f>
        <v>0</v>
      </c>
      <c r="O77" s="136">
        <f t="shared" ca="1" si="7"/>
        <v>0</v>
      </c>
      <c r="P77" s="67">
        <f ca="1">IFERROR(__xludf.DUMMYFUNCTION("IMPORTRANGE(""https://docs.google.com/spreadsheets/d/1C3CXT74ZlgGe6_JY_1olB1XN4rF0dxEuIIF-xsYjHgg/edit?usp=sharing"",""พรบ!BF81"")"),0)</f>
        <v>0</v>
      </c>
      <c r="Q77" s="67">
        <f ca="1">IFERROR(__xludf.DUMMYFUNCTION("IMPORTRANGE(""https://docs.google.com/spreadsheets/d/1IYY_tgx_IHuhSq3AJ5eI5OnqOPBNLWSHKh2a30DoXe8/edit?usp=sharing"",""กระบี่!J179"")"),0)</f>
        <v>0</v>
      </c>
      <c r="R77" s="136">
        <f t="shared" ca="1" si="9"/>
        <v>0</v>
      </c>
      <c r="S77" s="67">
        <f ca="1">IFERROR(__xludf.DUMMYFUNCTION("IMPORTRANGE(""https://docs.google.com/spreadsheets/d/1C3CXT74ZlgGe6_JY_1olB1XN4rF0dxEuIIF-xsYjHgg/edit?usp=sharing"",""พรบ!BG81"")"),0)</f>
        <v>0</v>
      </c>
      <c r="T77" s="67">
        <f ca="1">IFERROR(__xludf.DUMMYFUNCTION("IMPORTRANGE(""https://docs.google.com/spreadsheets/d/1IYY_tgx_IHuhSq3AJ5eI5OnqOPBNLWSHKh2a30DoXe8/edit?usp=sharing"",""กระบี่!J180"")"),0)</f>
        <v>0</v>
      </c>
      <c r="U77" s="136">
        <f t="shared" ca="1" si="11"/>
        <v>0</v>
      </c>
      <c r="V77" s="67">
        <f ca="1">IFERROR(__xludf.DUMMYFUNCTION("IMPORTRANGE(""https://docs.google.com/spreadsheets/d/1C3CXT74ZlgGe6_JY_1olB1XN4rF0dxEuIIF-xsYjHgg/edit?usp=sharing"",""พรบ!BH81"")"),0)</f>
        <v>0</v>
      </c>
      <c r="W77" s="67">
        <f ca="1">IFERROR(__xludf.DUMMYFUNCTION("IMPORTRANGE(""https://docs.google.com/spreadsheets/d/1IYY_tgx_IHuhSq3AJ5eI5OnqOPBNLWSHKh2a30DoXe8/edit?usp=sharing"",""กระบี่!J181"")"),0)</f>
        <v>0</v>
      </c>
      <c r="X77" s="136">
        <f t="shared" ca="1" si="13"/>
        <v>0</v>
      </c>
      <c r="Y77" s="67">
        <f ca="1">IFERROR(__xludf.DUMMYFUNCTION("IMPORTRANGE(""https://docs.google.com/spreadsheets/d/1C3CXT74ZlgGe6_JY_1olB1XN4rF0dxEuIIF-xsYjHgg/edit?usp=sharing"",""พรบ!BI81"")"),0)</f>
        <v>0</v>
      </c>
      <c r="Z77" s="67">
        <f ca="1">IFERROR(__xludf.DUMMYFUNCTION("IMPORTRANGE(""https://docs.google.com/spreadsheets/d/1IYY_tgx_IHuhSq3AJ5eI5OnqOPBNLWSHKh2a30DoXe8/edit?usp=sharing"",""กระบี่!J182"")"),0)</f>
        <v>0</v>
      </c>
      <c r="AA77" s="136">
        <f t="shared" ca="1" si="15"/>
        <v>0</v>
      </c>
      <c r="AB77" s="65">
        <f t="shared" ca="1" si="16"/>
        <v>0</v>
      </c>
      <c r="AC77" s="66">
        <f t="shared" ref="AC77:AC90" ca="1" si="74">+AD77+AE77</f>
        <v>0</v>
      </c>
      <c r="AD77" s="67">
        <f ca="1">IFERROR(__xludf.DUMMYFUNCTION("IMPORTRANGE(""https://docs.google.com/spreadsheets/d/1C3CXT74ZlgGe6_JY_1olB1XN4rF0dxEuIIF-xsYjHgg/edit?usp=sharing"",""พรบ!BK81"")"),0)</f>
        <v>0</v>
      </c>
      <c r="AE77" s="67">
        <f ca="1">IFERROR(__xludf.DUMMYFUNCTION("IMPORTRANGE(""https://docs.google.com/spreadsheets/d/1C3CXT74ZlgGe6_JY_1olB1XN4rF0dxEuIIF-xsYjHgg/edit?usp=sharing"",""พรบ!BL81"")"),0)</f>
        <v>0</v>
      </c>
      <c r="AF77" s="67">
        <f ca="1">IFERROR(__xludf.DUMMYFUNCTION("IMPORTRANGE(""https://docs.google.com/spreadsheets/d/1Yj_ptqi66GCucihVvJfMjLAmec39IyEx_6qawtMGysU/edit?usp=sharing"",""สบก!CI81"")"),0)</f>
        <v>0</v>
      </c>
      <c r="AG77" s="67">
        <f ca="1">IFERROR(__xludf.DUMMYFUNCTION("IMPORTRANGE(""https://docs.google.com/spreadsheets/d/1Yj_ptqi66GCucihVvJfMjLAmec39IyEx_6qawtMGysU/edit?usp=shCKing"",""สบก!CK81"")"),0)</f>
        <v>0</v>
      </c>
      <c r="AH77" s="67">
        <f t="shared" ca="1" si="19"/>
        <v>0</v>
      </c>
      <c r="AI77" s="67">
        <f t="shared" ca="1" si="20"/>
        <v>0</v>
      </c>
      <c r="AJ77" s="67">
        <f ca="1">IFERROR(__xludf.DUMMYFUNCTION("IMPORTRANGE(""https://docs.google.com/spreadsheets/d/1Yj_ptqi66GCucihVvJfMjLAmec39IyEx_6qawtMGysU/edit?usp=sharing"",""สบก!CL81"")"),0)</f>
        <v>0</v>
      </c>
      <c r="AK77" s="136">
        <f t="shared" ca="1" si="21"/>
        <v>0</v>
      </c>
      <c r="AL77" s="136">
        <f t="shared" ca="1" si="22"/>
        <v>0</v>
      </c>
      <c r="AM77" s="136">
        <f ca="1">IFERROR(__xludf.DUMMYFUNCTION("IMPORTRANGE(""https://docs.google.com/spreadsheets/d/1Yj_ptqi66GCucihVvJfMjLAmec39IyEx_6qawtMGysU/edit?usp=sharing"",""สบก!CM81"")"),0)</f>
        <v>0</v>
      </c>
      <c r="AN77" s="136">
        <f t="shared" ca="1" si="23"/>
        <v>0</v>
      </c>
      <c r="AO77" s="67">
        <f ca="1">IFERROR(__xludf.DUMMYFUNCTION("IMPORTRANGE(""https://docs.google.com/spreadsheets/d/1C3CXT74ZlgGe6_JY_1olB1XN4rF0dxEuIIF-xsYjHgg/edit?usp=sharing"",""พรบ!BM81"")"),0)</f>
        <v>0</v>
      </c>
      <c r="AP77" s="67">
        <f ca="1">IFERROR(__xludf.DUMMYFUNCTION("IMPORTRANGE(""https://docs.google.com/spreadsheets/d/1IYY_tgx_IHuhSq3AJ5eI5OnqOPBNLWSHKh2a30DoXe8/edit?usp=sharing"",""กระบี่!J195"")"),0)</f>
        <v>0</v>
      </c>
      <c r="AQ77" s="136">
        <f t="shared" ca="1" si="25"/>
        <v>0</v>
      </c>
    </row>
    <row r="78" spans="1:43" ht="21" customHeight="1">
      <c r="A78" s="73">
        <v>2</v>
      </c>
      <c r="B78" s="74" t="s">
        <v>102</v>
      </c>
      <c r="C78" s="75">
        <f t="shared" ca="1" si="0"/>
        <v>71400</v>
      </c>
      <c r="D78" s="76">
        <f t="shared" ca="1" si="73"/>
        <v>71400</v>
      </c>
      <c r="E78" s="77">
        <f ca="1">IFERROR(__xludf.DUMMYFUNCTION("IMPORTRANGE(""https://docs.google.com/spreadsheets/d/1C3CXT74ZlgGe6_JY_1olB1XN4rF0dxEuIIF-xsYjHgg/edit?usp=sharing"",""พรบ!BD82"")"),0)</f>
        <v>0</v>
      </c>
      <c r="F78" s="77">
        <f ca="1">IFERROR(__xludf.DUMMYFUNCTION("IMPORTRANGE(""https://docs.google.com/spreadsheets/d/1C3CXT74ZlgGe6_JY_1olB1XN4rF0dxEuIIF-xsYjHgg/edit?usp=sharing"",""พรบ!BE82"")"),71400)</f>
        <v>71400</v>
      </c>
      <c r="G78" s="77">
        <f ca="1">IFERROR(__xludf.DUMMYFUNCTION("IMPORTRANGE(""https://docs.google.com/spreadsheets/d/1Yj_ptqi66GCucihVvJfMjLAmec39IyEx_6qawtMGysU/edit?usp=sharing"",""สบก!BZ82"")"),0)</f>
        <v>0</v>
      </c>
      <c r="H78" s="77">
        <f ca="1">IFERROR(__xludf.DUMMYFUNCTION("IMPORTRANGE(""https://docs.google.com/spreadsheets/d/1Yj_ptqi66GCucihVvJfMjLAmec39IyEx_6qawtMGysU/edit?usp=shCBing"",""สบก!CB82"")"),42000)</f>
        <v>42000</v>
      </c>
      <c r="I78" s="77">
        <f t="shared" ca="1" si="3"/>
        <v>10520</v>
      </c>
      <c r="J78" s="77">
        <f t="shared" ca="1" si="4"/>
        <v>14.733893557422968</v>
      </c>
      <c r="K78" s="77">
        <f ca="1">IFERROR(__xludf.DUMMYFUNCTION("IMPORTRANGE(""https://docs.google.com/spreadsheets/d/1Yj_ptqi66GCucihVvJfMjLAmec39IyEx_6qawtMGysU/edit?usp=sharing"",""สบก!CC82"")"),10520)</f>
        <v>10520</v>
      </c>
      <c r="L78" s="137">
        <f t="shared" ca="1" si="5"/>
        <v>14.733893557422968</v>
      </c>
      <c r="M78" s="137">
        <f t="shared" ca="1" si="6"/>
        <v>25.047619047619047</v>
      </c>
      <c r="N78" s="137">
        <f ca="1">IFERROR(__xludf.DUMMYFUNCTION("IMPORTRANGE(""https://docs.google.com/spreadsheets/d/1Yj_ptqi66GCucihVvJfMjLAmec39IyEx_6qawtMGysU/edit?usp=sharing"",""สบก!CD82"")"),0)</f>
        <v>0</v>
      </c>
      <c r="O78" s="137">
        <f t="shared" ca="1" si="7"/>
        <v>0</v>
      </c>
      <c r="P78" s="77">
        <f ca="1">IFERROR(__xludf.DUMMYFUNCTION("IMPORTRANGE(""https://docs.google.com/spreadsheets/d/1C3CXT74ZlgGe6_JY_1olB1XN4rF0dxEuIIF-xsYjHgg/edit?usp=sharing"",""พรบ!BF82"")"),1)</f>
        <v>1</v>
      </c>
      <c r="Q78" s="77">
        <f ca="1">IFERROR(__xludf.DUMMYFUNCTION("IMPORTRANGE(""https://docs.google.com/spreadsheets/d/1IYY_tgx_IHuhSq3AJ5eI5OnqOPBNLWSHKh2a30DoXe8/edit?usp=sharing"",""ชุมพร!J179"")"),0)</f>
        <v>0</v>
      </c>
      <c r="R78" s="137">
        <f t="shared" ca="1" si="9"/>
        <v>0</v>
      </c>
      <c r="S78" s="77">
        <f ca="1">IFERROR(__xludf.DUMMYFUNCTION("IMPORTRANGE(""https://docs.google.com/spreadsheets/d/1C3CXT74ZlgGe6_JY_1olB1XN4rF0dxEuIIF-xsYjHgg/edit?usp=sharing"",""พรบ!BG82"")"),20)</f>
        <v>20</v>
      </c>
      <c r="T78" s="77">
        <f ca="1">IFERROR(__xludf.DUMMYFUNCTION("IMPORTRANGE(""https://docs.google.com/spreadsheets/d/1IYY_tgx_IHuhSq3AJ5eI5OnqOPBNLWSHKh2a30DoXe8/edit?usp=sharing"",""ชุมพร!J180"")"),20)</f>
        <v>20</v>
      </c>
      <c r="U78" s="137">
        <f t="shared" ca="1" si="11"/>
        <v>100</v>
      </c>
      <c r="V78" s="77">
        <f ca="1">IFERROR(__xludf.DUMMYFUNCTION("IMPORTRANGE(""https://docs.google.com/spreadsheets/d/1C3CXT74ZlgGe6_JY_1olB1XN4rF0dxEuIIF-xsYjHgg/edit?usp=sharing"",""พรบ!BH82"")"),20)</f>
        <v>20</v>
      </c>
      <c r="W78" s="77">
        <f ca="1">IFERROR(__xludf.DUMMYFUNCTION("IMPORTRANGE(""https://docs.google.com/spreadsheets/d/1IYY_tgx_IHuhSq3AJ5eI5OnqOPBNLWSHKh2a30DoXe8/edit?usp=sharing"",""ชุมพร!J181"")"),0)</f>
        <v>0</v>
      </c>
      <c r="X78" s="137">
        <f t="shared" ca="1" si="13"/>
        <v>0</v>
      </c>
      <c r="Y78" s="77">
        <f ca="1">IFERROR(__xludf.DUMMYFUNCTION("IMPORTRANGE(""https://docs.google.com/spreadsheets/d/1C3CXT74ZlgGe6_JY_1olB1XN4rF0dxEuIIF-xsYjHgg/edit?usp=sharing"",""พรบ!BI82"")"),1)</f>
        <v>1</v>
      </c>
      <c r="Z78" s="77">
        <f ca="1">IFERROR(__xludf.DUMMYFUNCTION("IMPORTRANGE(""https://docs.google.com/spreadsheets/d/1IYY_tgx_IHuhSq3AJ5eI5OnqOPBNLWSHKh2a30DoXe8/edit?usp=sharing"",""ชุมพร!J182"")"),0)</f>
        <v>0</v>
      </c>
      <c r="AA78" s="137">
        <f t="shared" ca="1" si="15"/>
        <v>0</v>
      </c>
      <c r="AB78" s="75">
        <f t="shared" ca="1" si="16"/>
        <v>183600</v>
      </c>
      <c r="AC78" s="76">
        <f t="shared" ca="1" si="74"/>
        <v>183600</v>
      </c>
      <c r="AD78" s="77">
        <f ca="1">IFERROR(__xludf.DUMMYFUNCTION("IMPORTRANGE(""https://docs.google.com/spreadsheets/d/1C3CXT74ZlgGe6_JY_1olB1XN4rF0dxEuIIF-xsYjHgg/edit?usp=sharing"",""พรบ!BK82"")"),0)</f>
        <v>0</v>
      </c>
      <c r="AE78" s="77">
        <f ca="1">IFERROR(__xludf.DUMMYFUNCTION("IMPORTRANGE(""https://docs.google.com/spreadsheets/d/1C3CXT74ZlgGe6_JY_1olB1XN4rF0dxEuIIF-xsYjHgg/edit?usp=sharing"",""พรบ!BL82"")"),183600)</f>
        <v>183600</v>
      </c>
      <c r="AF78" s="77">
        <f ca="1">IFERROR(__xludf.DUMMYFUNCTION("IMPORTRANGE(""https://docs.google.com/spreadsheets/d/1Yj_ptqi66GCucihVvJfMjLAmec39IyEx_6qawtMGysU/edit?usp=sharing"",""สบก!CI82"")"),0)</f>
        <v>0</v>
      </c>
      <c r="AG78" s="77">
        <f ca="1">IFERROR(__xludf.DUMMYFUNCTION("IMPORTRANGE(""https://docs.google.com/spreadsheets/d/1Yj_ptqi66GCucihVvJfMjLAmec39IyEx_6qawtMGysU/edit?usp=shCKing"",""สบก!CK82"")"),161600)</f>
        <v>161600</v>
      </c>
      <c r="AH78" s="77">
        <f t="shared" ca="1" si="19"/>
        <v>77095</v>
      </c>
      <c r="AI78" s="77">
        <f t="shared" ca="1" si="20"/>
        <v>41.99074074074074</v>
      </c>
      <c r="AJ78" s="77">
        <f ca="1">IFERROR(__xludf.DUMMYFUNCTION("IMPORTRANGE(""https://docs.google.com/spreadsheets/d/1Yj_ptqi66GCucihVvJfMjLAmec39IyEx_6qawtMGysU/edit?usp=sharing"",""สบก!CL82"")"),77095)</f>
        <v>77095</v>
      </c>
      <c r="AK78" s="137">
        <f t="shared" ca="1" si="21"/>
        <v>41.99074074074074</v>
      </c>
      <c r="AL78" s="137">
        <f t="shared" ca="1" si="22"/>
        <v>47.707301980198018</v>
      </c>
      <c r="AM78" s="137">
        <f ca="1">IFERROR(__xludf.DUMMYFUNCTION("IMPORTRANGE(""https://docs.google.com/spreadsheets/d/1Yj_ptqi66GCucihVvJfMjLAmec39IyEx_6qawtMGysU/edit?usp=sharing"",""สบก!CM82"")"),0)</f>
        <v>0</v>
      </c>
      <c r="AN78" s="137">
        <f t="shared" ca="1" si="23"/>
        <v>0</v>
      </c>
      <c r="AO78" s="77">
        <f ca="1">IFERROR(__xludf.DUMMYFUNCTION("IMPORTRANGE(""https://docs.google.com/spreadsheets/d/1C3CXT74ZlgGe6_JY_1olB1XN4rF0dxEuIIF-xsYjHgg/edit?usp=sharing"",""พรบ!BM82"")"),20)</f>
        <v>20</v>
      </c>
      <c r="AP78" s="77">
        <f ca="1">IFERROR(__xludf.DUMMYFUNCTION("IMPORTRANGE(""https://docs.google.com/spreadsheets/d/1IYY_tgx_IHuhSq3AJ5eI5OnqOPBNLWSHKh2a30DoXe8/edit?usp=sharing"",""ชุมพร!J195"")"),20)</f>
        <v>20</v>
      </c>
      <c r="AQ78" s="137">
        <f t="shared" ca="1" si="25"/>
        <v>100</v>
      </c>
    </row>
    <row r="79" spans="1:43" ht="21" customHeight="1">
      <c r="A79" s="73">
        <v>3</v>
      </c>
      <c r="B79" s="74" t="s">
        <v>103</v>
      </c>
      <c r="C79" s="75">
        <f t="shared" ca="1" si="0"/>
        <v>71400</v>
      </c>
      <c r="D79" s="76">
        <f t="shared" ca="1" si="73"/>
        <v>71400</v>
      </c>
      <c r="E79" s="77">
        <f ca="1">IFERROR(__xludf.DUMMYFUNCTION("IMPORTRANGE(""https://docs.google.com/spreadsheets/d/1C3CXT74ZlgGe6_JY_1olB1XN4rF0dxEuIIF-xsYjHgg/edit?usp=sharing"",""พรบ!BD83"")"),0)</f>
        <v>0</v>
      </c>
      <c r="F79" s="77">
        <f ca="1">IFERROR(__xludf.DUMMYFUNCTION("IMPORTRANGE(""https://docs.google.com/spreadsheets/d/1C3CXT74ZlgGe6_JY_1olB1XN4rF0dxEuIIF-xsYjHgg/edit?usp=sharing"",""พรบ!BE83"")"),71400)</f>
        <v>71400</v>
      </c>
      <c r="G79" s="77">
        <f ca="1">IFERROR(__xludf.DUMMYFUNCTION("IMPORTRANGE(""https://docs.google.com/spreadsheets/d/1Yj_ptqi66GCucihVvJfMjLAmec39IyEx_6qawtMGysU/edit?usp=sharing"",""สบก!BZ83"")"),0)</f>
        <v>0</v>
      </c>
      <c r="H79" s="77">
        <f ca="1">IFERROR(__xludf.DUMMYFUNCTION("IMPORTRANGE(""https://docs.google.com/spreadsheets/d/1Yj_ptqi66GCucihVvJfMjLAmec39IyEx_6qawtMGysU/edit?usp=shCBing"",""สบก!CB83"")"),42000)</f>
        <v>42000</v>
      </c>
      <c r="I79" s="77">
        <f t="shared" ca="1" si="3"/>
        <v>32983.199999999997</v>
      </c>
      <c r="J79" s="77">
        <f t="shared" ca="1" si="4"/>
        <v>46.19495798319327</v>
      </c>
      <c r="K79" s="77">
        <f ca="1">IFERROR(__xludf.DUMMYFUNCTION("IMPORTRANGE(""https://docs.google.com/spreadsheets/d/1Yj_ptqi66GCucihVvJfMjLAmec39IyEx_6qawtMGysU/edit?usp=sharing"",""สบก!CC83"")"),32983.2)</f>
        <v>32983.199999999997</v>
      </c>
      <c r="L79" s="137">
        <f t="shared" ca="1" si="5"/>
        <v>46.19495798319327</v>
      </c>
      <c r="M79" s="137">
        <f t="shared" ca="1" si="6"/>
        <v>78.531428571428563</v>
      </c>
      <c r="N79" s="137">
        <f ca="1">IFERROR(__xludf.DUMMYFUNCTION("IMPORTRANGE(""https://docs.google.com/spreadsheets/d/1Yj_ptqi66GCucihVvJfMjLAmec39IyEx_6qawtMGysU/edit?usp=sharing"",""สบก!CD83"")"),0)</f>
        <v>0</v>
      </c>
      <c r="O79" s="137">
        <f t="shared" ca="1" si="7"/>
        <v>0</v>
      </c>
      <c r="P79" s="77">
        <f ca="1">IFERROR(__xludf.DUMMYFUNCTION("IMPORTRANGE(""https://docs.google.com/spreadsheets/d/1C3CXT74ZlgGe6_JY_1olB1XN4rF0dxEuIIF-xsYjHgg/edit?usp=sharing"",""พรบ!BF83"")"),1)</f>
        <v>1</v>
      </c>
      <c r="Q79" s="77">
        <f ca="1">IFERROR(__xludf.DUMMYFUNCTION("IMPORTRANGE(""https://docs.google.com/spreadsheets/d/1IYY_tgx_IHuhSq3AJ5eI5OnqOPBNLWSHKh2a30DoXe8/edit?usp=sharing"",""ตรัง!J179"")"),1)</f>
        <v>1</v>
      </c>
      <c r="R79" s="137">
        <f t="shared" ca="1" si="9"/>
        <v>100</v>
      </c>
      <c r="S79" s="77">
        <f ca="1">IFERROR(__xludf.DUMMYFUNCTION("IMPORTRANGE(""https://docs.google.com/spreadsheets/d/1C3CXT74ZlgGe6_JY_1olB1XN4rF0dxEuIIF-xsYjHgg/edit?usp=sharing"",""พรบ!BG83"")"),20)</f>
        <v>20</v>
      </c>
      <c r="T79" s="77">
        <f ca="1">IFERROR(__xludf.DUMMYFUNCTION("IMPORTRANGE(""https://docs.google.com/spreadsheets/d/1IYY_tgx_IHuhSq3AJ5eI5OnqOPBNLWSHKh2a30DoXe8/edit?usp=sharing"",""ตรัง!J180"")"),20)</f>
        <v>20</v>
      </c>
      <c r="U79" s="137">
        <f t="shared" ca="1" si="11"/>
        <v>100</v>
      </c>
      <c r="V79" s="77">
        <f ca="1">IFERROR(__xludf.DUMMYFUNCTION("IMPORTRANGE(""https://docs.google.com/spreadsheets/d/1C3CXT74ZlgGe6_JY_1olB1XN4rF0dxEuIIF-xsYjHgg/edit?usp=sharing"",""พรบ!BH83"")"),20)</f>
        <v>20</v>
      </c>
      <c r="W79" s="77">
        <f ca="1">IFERROR(__xludf.DUMMYFUNCTION("IMPORTRANGE(""https://docs.google.com/spreadsheets/d/1IYY_tgx_IHuhSq3AJ5eI5OnqOPBNLWSHKh2a30DoXe8/edit?usp=sharing"",""ตรัง!J181"")"),0)</f>
        <v>0</v>
      </c>
      <c r="X79" s="137">
        <f t="shared" ca="1" si="13"/>
        <v>0</v>
      </c>
      <c r="Y79" s="77">
        <f ca="1">IFERROR(__xludf.DUMMYFUNCTION("IMPORTRANGE(""https://docs.google.com/spreadsheets/d/1C3CXT74ZlgGe6_JY_1olB1XN4rF0dxEuIIF-xsYjHgg/edit?usp=sharing"",""พรบ!BI83"")"),1)</f>
        <v>1</v>
      </c>
      <c r="Z79" s="77">
        <f ca="1">IFERROR(__xludf.DUMMYFUNCTION("IMPORTRANGE(""https://docs.google.com/spreadsheets/d/1IYY_tgx_IHuhSq3AJ5eI5OnqOPBNLWSHKh2a30DoXe8/edit?usp=sharing"",""ตรัง!J182"")"),1)</f>
        <v>1</v>
      </c>
      <c r="AA79" s="137">
        <f t="shared" ca="1" si="15"/>
        <v>100</v>
      </c>
      <c r="AB79" s="75">
        <f t="shared" ca="1" si="16"/>
        <v>0</v>
      </c>
      <c r="AC79" s="76">
        <f t="shared" ca="1" si="74"/>
        <v>0</v>
      </c>
      <c r="AD79" s="77">
        <f ca="1">IFERROR(__xludf.DUMMYFUNCTION("IMPORTRANGE(""https://docs.google.com/spreadsheets/d/1C3CXT74ZlgGe6_JY_1olB1XN4rF0dxEuIIF-xsYjHgg/edit?usp=sharing"",""พรบ!BK83"")"),0)</f>
        <v>0</v>
      </c>
      <c r="AE79" s="77">
        <f ca="1">IFERROR(__xludf.DUMMYFUNCTION("IMPORTRANGE(""https://docs.google.com/spreadsheets/d/1C3CXT74ZlgGe6_JY_1olB1XN4rF0dxEuIIF-xsYjHgg/edit?usp=sharing"",""พรบ!BL83"")"),0)</f>
        <v>0</v>
      </c>
      <c r="AF79" s="77">
        <f ca="1">IFERROR(__xludf.DUMMYFUNCTION("IMPORTRANGE(""https://docs.google.com/spreadsheets/d/1Yj_ptqi66GCucihVvJfMjLAmec39IyEx_6qawtMGysU/edit?usp=sharing"",""สบก!CI83"")"),0)</f>
        <v>0</v>
      </c>
      <c r="AG79" s="77">
        <f ca="1">IFERROR(__xludf.DUMMYFUNCTION("IMPORTRANGE(""https://docs.google.com/spreadsheets/d/1Yj_ptqi66GCucihVvJfMjLAmec39IyEx_6qawtMGysU/edit?usp=shCKing"",""สบก!CK83"")"),0)</f>
        <v>0</v>
      </c>
      <c r="AH79" s="77">
        <f t="shared" ca="1" si="19"/>
        <v>0</v>
      </c>
      <c r="AI79" s="77">
        <f t="shared" ca="1" si="20"/>
        <v>0</v>
      </c>
      <c r="AJ79" s="77">
        <f ca="1">IFERROR(__xludf.DUMMYFUNCTION("IMPORTRANGE(""https://docs.google.com/spreadsheets/d/1Yj_ptqi66GCucihVvJfMjLAmec39IyEx_6qawtMGysU/edit?usp=sharing"",""สบก!CL83"")"),0)</f>
        <v>0</v>
      </c>
      <c r="AK79" s="137">
        <f t="shared" ca="1" si="21"/>
        <v>0</v>
      </c>
      <c r="AL79" s="137">
        <f t="shared" ca="1" si="22"/>
        <v>0</v>
      </c>
      <c r="AM79" s="137">
        <f ca="1">IFERROR(__xludf.DUMMYFUNCTION("IMPORTRANGE(""https://docs.google.com/spreadsheets/d/1Yj_ptqi66GCucihVvJfMjLAmec39IyEx_6qawtMGysU/edit?usp=sharing"",""สบก!CM83"")"),0)</f>
        <v>0</v>
      </c>
      <c r="AN79" s="137">
        <f t="shared" ca="1" si="23"/>
        <v>0</v>
      </c>
      <c r="AO79" s="77">
        <f ca="1">IFERROR(__xludf.DUMMYFUNCTION("IMPORTRANGE(""https://docs.google.com/spreadsheets/d/1C3CXT74ZlgGe6_JY_1olB1XN4rF0dxEuIIF-xsYjHgg/edit?usp=sharing"",""พรบ!BM83"")"),0)</f>
        <v>0</v>
      </c>
      <c r="AP79" s="77">
        <f ca="1">IFERROR(__xludf.DUMMYFUNCTION("IMPORTRANGE(""https://docs.google.com/spreadsheets/d/1IYY_tgx_IHuhSq3AJ5eI5OnqOPBNLWSHKh2a30DoXe8/edit?usp=sharing"",""ตรัง!J195"")"),0)</f>
        <v>0</v>
      </c>
      <c r="AQ79" s="137">
        <f t="shared" ca="1" si="25"/>
        <v>0</v>
      </c>
    </row>
    <row r="80" spans="1:43" ht="21" customHeight="1">
      <c r="A80" s="73">
        <v>4</v>
      </c>
      <c r="B80" s="74" t="s">
        <v>104</v>
      </c>
      <c r="C80" s="75">
        <f t="shared" ca="1" si="0"/>
        <v>0</v>
      </c>
      <c r="D80" s="76">
        <f t="shared" ca="1" si="73"/>
        <v>0</v>
      </c>
      <c r="E80" s="77">
        <f ca="1">IFERROR(__xludf.DUMMYFUNCTION("IMPORTRANGE(""https://docs.google.com/spreadsheets/d/1C3CXT74ZlgGe6_JY_1olB1XN4rF0dxEuIIF-xsYjHgg/edit?usp=sharing"",""พรบ!BD84"")"),0)</f>
        <v>0</v>
      </c>
      <c r="F80" s="77">
        <f ca="1">IFERROR(__xludf.DUMMYFUNCTION("IMPORTRANGE(""https://docs.google.com/spreadsheets/d/1C3CXT74ZlgGe6_JY_1olB1XN4rF0dxEuIIF-xsYjHgg/edit?usp=sharing"",""พรบ!BE84"")"),0)</f>
        <v>0</v>
      </c>
      <c r="G80" s="77">
        <f ca="1">IFERROR(__xludf.DUMMYFUNCTION("IMPORTRANGE(""https://docs.google.com/spreadsheets/d/1Yj_ptqi66GCucihVvJfMjLAmec39IyEx_6qawtMGysU/edit?usp=sharing"",""สบก!BZ84"")"),0)</f>
        <v>0</v>
      </c>
      <c r="H80" s="77">
        <f ca="1">IFERROR(__xludf.DUMMYFUNCTION("IMPORTRANGE(""https://docs.google.com/spreadsheets/d/1Yj_ptqi66GCucihVvJfMjLAmec39IyEx_6qawtMGysU/edit?usp=shCBing"",""สบก!CB84"")"),0)</f>
        <v>0</v>
      </c>
      <c r="I80" s="77">
        <f t="shared" ca="1" si="3"/>
        <v>0</v>
      </c>
      <c r="J80" s="77">
        <f t="shared" ca="1" si="4"/>
        <v>0</v>
      </c>
      <c r="K80" s="77">
        <f ca="1">IFERROR(__xludf.DUMMYFUNCTION("IMPORTRANGE(""https://docs.google.com/spreadsheets/d/1Yj_ptqi66GCucihVvJfMjLAmec39IyEx_6qawtMGysU/edit?usp=sharing"",""สบก!CC84"")"),0)</f>
        <v>0</v>
      </c>
      <c r="L80" s="137">
        <f t="shared" ca="1" si="5"/>
        <v>0</v>
      </c>
      <c r="M80" s="137">
        <f t="shared" ca="1" si="6"/>
        <v>0</v>
      </c>
      <c r="N80" s="137">
        <f ca="1">IFERROR(__xludf.DUMMYFUNCTION("IMPORTRANGE(""https://docs.google.com/spreadsheets/d/1Yj_ptqi66GCucihVvJfMjLAmec39IyEx_6qawtMGysU/edit?usp=sharing"",""สบก!CD84"")"),0)</f>
        <v>0</v>
      </c>
      <c r="O80" s="137">
        <f t="shared" ca="1" si="7"/>
        <v>0</v>
      </c>
      <c r="P80" s="77">
        <f ca="1">IFERROR(__xludf.DUMMYFUNCTION("IMPORTRANGE(""https://docs.google.com/spreadsheets/d/1C3CXT74ZlgGe6_JY_1olB1XN4rF0dxEuIIF-xsYjHgg/edit?usp=sharing"",""พรบ!BF84"")"),0)</f>
        <v>0</v>
      </c>
      <c r="Q80" s="77">
        <f ca="1">IFERROR(__xludf.DUMMYFUNCTION("IMPORTRANGE(""https://docs.google.com/spreadsheets/d/1IYY_tgx_IHuhSq3AJ5eI5OnqOPBNLWSHKh2a30DoXe8/edit?usp=sharing"",""นครศรีธรรมราช!J179"")"),0)</f>
        <v>0</v>
      </c>
      <c r="R80" s="137">
        <f t="shared" ca="1" si="9"/>
        <v>0</v>
      </c>
      <c r="S80" s="77">
        <f ca="1">IFERROR(__xludf.DUMMYFUNCTION("IMPORTRANGE(""https://docs.google.com/spreadsheets/d/1C3CXT74ZlgGe6_JY_1olB1XN4rF0dxEuIIF-xsYjHgg/edit?usp=sharing"",""พรบ!BG84"")"),0)</f>
        <v>0</v>
      </c>
      <c r="T80" s="77">
        <f ca="1">IFERROR(__xludf.DUMMYFUNCTION("IMPORTRANGE(""https://docs.google.com/spreadsheets/d/1IYY_tgx_IHuhSq3AJ5eI5OnqOPBNLWSHKh2a30DoXe8/edit?usp=sharing"",""นครศรีธรรมราช!J180"")"),0)</f>
        <v>0</v>
      </c>
      <c r="U80" s="137">
        <f t="shared" ca="1" si="11"/>
        <v>0</v>
      </c>
      <c r="V80" s="77">
        <f ca="1">IFERROR(__xludf.DUMMYFUNCTION("IMPORTRANGE(""https://docs.google.com/spreadsheets/d/1C3CXT74ZlgGe6_JY_1olB1XN4rF0dxEuIIF-xsYjHgg/edit?usp=sharing"",""พรบ!BH84"")"),0)</f>
        <v>0</v>
      </c>
      <c r="W80" s="77">
        <f ca="1">IFERROR(__xludf.DUMMYFUNCTION("IMPORTRANGE(""https://docs.google.com/spreadsheets/d/1IYY_tgx_IHuhSq3AJ5eI5OnqOPBNLWSHKh2a30DoXe8/edit?usp=sharing"",""นครศรีธรรมราช!J181"")"),0)</f>
        <v>0</v>
      </c>
      <c r="X80" s="137">
        <f t="shared" ca="1" si="13"/>
        <v>0</v>
      </c>
      <c r="Y80" s="77">
        <f ca="1">IFERROR(__xludf.DUMMYFUNCTION("IMPORTRANGE(""https://docs.google.com/spreadsheets/d/1C3CXT74ZlgGe6_JY_1olB1XN4rF0dxEuIIF-xsYjHgg/edit?usp=sharing"",""พรบ!BI84"")"),0)</f>
        <v>0</v>
      </c>
      <c r="Z80" s="77">
        <f ca="1">IFERROR(__xludf.DUMMYFUNCTION("IMPORTRANGE(""https://docs.google.com/spreadsheets/d/1IYY_tgx_IHuhSq3AJ5eI5OnqOPBNLWSHKh2a30DoXe8/edit?usp=sharing"",""นครศรีธรรมราช!J182"")"),0)</f>
        <v>0</v>
      </c>
      <c r="AA80" s="137">
        <f t="shared" ca="1" si="15"/>
        <v>0</v>
      </c>
      <c r="AB80" s="75">
        <f t="shared" ca="1" si="16"/>
        <v>0</v>
      </c>
      <c r="AC80" s="76">
        <f t="shared" ca="1" si="74"/>
        <v>0</v>
      </c>
      <c r="AD80" s="77">
        <f ca="1">IFERROR(__xludf.DUMMYFUNCTION("IMPORTRANGE(""https://docs.google.com/spreadsheets/d/1C3CXT74ZlgGe6_JY_1olB1XN4rF0dxEuIIF-xsYjHgg/edit?usp=sharing"",""พรบ!BK84"")"),0)</f>
        <v>0</v>
      </c>
      <c r="AE80" s="77">
        <f ca="1">IFERROR(__xludf.DUMMYFUNCTION("IMPORTRANGE(""https://docs.google.com/spreadsheets/d/1C3CXT74ZlgGe6_JY_1olB1XN4rF0dxEuIIF-xsYjHgg/edit?usp=sharing"",""พรบ!BL84"")"),0)</f>
        <v>0</v>
      </c>
      <c r="AF80" s="77">
        <f ca="1">IFERROR(__xludf.DUMMYFUNCTION("IMPORTRANGE(""https://docs.google.com/spreadsheets/d/1Yj_ptqi66GCucihVvJfMjLAmec39IyEx_6qawtMGysU/edit?usp=sharing"",""สบก!CI84"")"),0)</f>
        <v>0</v>
      </c>
      <c r="AG80" s="77">
        <f ca="1">IFERROR(__xludf.DUMMYFUNCTION("IMPORTRANGE(""https://docs.google.com/spreadsheets/d/1Yj_ptqi66GCucihVvJfMjLAmec39IyEx_6qawtMGysU/edit?usp=shCKing"",""สบก!CK84"")"),0)</f>
        <v>0</v>
      </c>
      <c r="AH80" s="77">
        <f t="shared" ca="1" si="19"/>
        <v>0</v>
      </c>
      <c r="AI80" s="77">
        <f t="shared" ca="1" si="20"/>
        <v>0</v>
      </c>
      <c r="AJ80" s="77">
        <f ca="1">IFERROR(__xludf.DUMMYFUNCTION("IMPORTRANGE(""https://docs.google.com/spreadsheets/d/1Yj_ptqi66GCucihVvJfMjLAmec39IyEx_6qawtMGysU/edit?usp=sharing"",""สบก!CL84"")"),0)</f>
        <v>0</v>
      </c>
      <c r="AK80" s="137">
        <f t="shared" ca="1" si="21"/>
        <v>0</v>
      </c>
      <c r="AL80" s="137">
        <f t="shared" ca="1" si="22"/>
        <v>0</v>
      </c>
      <c r="AM80" s="137">
        <f ca="1">IFERROR(__xludf.DUMMYFUNCTION("IMPORTRANGE(""https://docs.google.com/spreadsheets/d/1Yj_ptqi66GCucihVvJfMjLAmec39IyEx_6qawtMGysU/edit?usp=sharing"",""สบก!CM84"")"),0)</f>
        <v>0</v>
      </c>
      <c r="AN80" s="137">
        <f t="shared" ca="1" si="23"/>
        <v>0</v>
      </c>
      <c r="AO80" s="77">
        <f ca="1">IFERROR(__xludf.DUMMYFUNCTION("IMPORTRANGE(""https://docs.google.com/spreadsheets/d/1C3CXT74ZlgGe6_JY_1olB1XN4rF0dxEuIIF-xsYjHgg/edit?usp=sharing"",""พรบ!BM84"")"),0)</f>
        <v>0</v>
      </c>
      <c r="AP80" s="77">
        <f ca="1">IFERROR(__xludf.DUMMYFUNCTION("IMPORTRANGE(""https://docs.google.com/spreadsheets/d/1IYY_tgx_IHuhSq3AJ5eI5OnqOPBNLWSHKh2a30DoXe8/edit?usp=sharing"",""นครศรีธรรมราช!J195"")"),0)</f>
        <v>0</v>
      </c>
      <c r="AQ80" s="137">
        <f t="shared" ca="1" si="25"/>
        <v>0</v>
      </c>
    </row>
    <row r="81" spans="1:43" ht="21" customHeight="1">
      <c r="A81" s="73">
        <v>5</v>
      </c>
      <c r="B81" s="74" t="s">
        <v>105</v>
      </c>
      <c r="C81" s="75">
        <f t="shared" ca="1" si="0"/>
        <v>0</v>
      </c>
      <c r="D81" s="76">
        <f t="shared" ca="1" si="73"/>
        <v>0</v>
      </c>
      <c r="E81" s="77">
        <f ca="1">IFERROR(__xludf.DUMMYFUNCTION("IMPORTRANGE(""https://docs.google.com/spreadsheets/d/1C3CXT74ZlgGe6_JY_1olB1XN4rF0dxEuIIF-xsYjHgg/edit?usp=sharing"",""พรบ!BD85"")"),0)</f>
        <v>0</v>
      </c>
      <c r="F81" s="77">
        <f ca="1">IFERROR(__xludf.DUMMYFUNCTION("IMPORTRANGE(""https://docs.google.com/spreadsheets/d/1C3CXT74ZlgGe6_JY_1olB1XN4rF0dxEuIIF-xsYjHgg/edit?usp=sharing"",""พรบ!BE85"")"),0)</f>
        <v>0</v>
      </c>
      <c r="G81" s="77">
        <f ca="1">IFERROR(__xludf.DUMMYFUNCTION("IMPORTRANGE(""https://docs.google.com/spreadsheets/d/1Yj_ptqi66GCucihVvJfMjLAmec39IyEx_6qawtMGysU/edit?usp=sharing"",""สบก!BZ85"")"),0)</f>
        <v>0</v>
      </c>
      <c r="H81" s="77">
        <f ca="1">IFERROR(__xludf.DUMMYFUNCTION("IMPORTRANGE(""https://docs.google.com/spreadsheets/d/1Yj_ptqi66GCucihVvJfMjLAmec39IyEx_6qawtMGysU/edit?usp=shCBing"",""สบก!CB85"")"),0)</f>
        <v>0</v>
      </c>
      <c r="I81" s="77">
        <f t="shared" ca="1" si="3"/>
        <v>0</v>
      </c>
      <c r="J81" s="77">
        <f t="shared" ca="1" si="4"/>
        <v>0</v>
      </c>
      <c r="K81" s="77">
        <f ca="1">IFERROR(__xludf.DUMMYFUNCTION("IMPORTRANGE(""https://docs.google.com/spreadsheets/d/1Yj_ptqi66GCucihVvJfMjLAmec39IyEx_6qawtMGysU/edit?usp=sharing"",""สบก!CC85"")"),0)</f>
        <v>0</v>
      </c>
      <c r="L81" s="137">
        <f t="shared" ca="1" si="5"/>
        <v>0</v>
      </c>
      <c r="M81" s="137">
        <f t="shared" ca="1" si="6"/>
        <v>0</v>
      </c>
      <c r="N81" s="137">
        <f ca="1">IFERROR(__xludf.DUMMYFUNCTION("IMPORTRANGE(""https://docs.google.com/spreadsheets/d/1Yj_ptqi66GCucihVvJfMjLAmec39IyEx_6qawtMGysU/edit?usp=sharing"",""สบก!CD85"")"),0)</f>
        <v>0</v>
      </c>
      <c r="O81" s="137">
        <f t="shared" ca="1" si="7"/>
        <v>0</v>
      </c>
      <c r="P81" s="77">
        <f ca="1">IFERROR(__xludf.DUMMYFUNCTION("IMPORTRANGE(""https://docs.google.com/spreadsheets/d/1C3CXT74ZlgGe6_JY_1olB1XN4rF0dxEuIIF-xsYjHgg/edit?usp=sharing"",""พรบ!BF85"")"),0)</f>
        <v>0</v>
      </c>
      <c r="Q81" s="77">
        <f ca="1">IFERROR(__xludf.DUMMYFUNCTION("IMPORTRANGE(""https://docs.google.com/spreadsheets/d/1IYY_tgx_IHuhSq3AJ5eI5OnqOPBNLWSHKh2a30DoXe8/edit?usp=sharing"",""นราธิวาส!J179"")"),0)</f>
        <v>0</v>
      </c>
      <c r="R81" s="137">
        <f t="shared" ca="1" si="9"/>
        <v>0</v>
      </c>
      <c r="S81" s="77">
        <f ca="1">IFERROR(__xludf.DUMMYFUNCTION("IMPORTRANGE(""https://docs.google.com/spreadsheets/d/1C3CXT74ZlgGe6_JY_1olB1XN4rF0dxEuIIF-xsYjHgg/edit?usp=sharing"",""พรบ!BG85"")"),0)</f>
        <v>0</v>
      </c>
      <c r="T81" s="77">
        <f ca="1">IFERROR(__xludf.DUMMYFUNCTION("IMPORTRANGE(""https://docs.google.com/spreadsheets/d/1IYY_tgx_IHuhSq3AJ5eI5OnqOPBNLWSHKh2a30DoXe8/edit?usp=sharing"",""นราธิวาส!J180"")"),0)</f>
        <v>0</v>
      </c>
      <c r="U81" s="137">
        <f t="shared" ca="1" si="11"/>
        <v>0</v>
      </c>
      <c r="V81" s="77">
        <f ca="1">IFERROR(__xludf.DUMMYFUNCTION("IMPORTRANGE(""https://docs.google.com/spreadsheets/d/1C3CXT74ZlgGe6_JY_1olB1XN4rF0dxEuIIF-xsYjHgg/edit?usp=sharing"",""พรบ!BH85"")"),0)</f>
        <v>0</v>
      </c>
      <c r="W81" s="77">
        <f ca="1">IFERROR(__xludf.DUMMYFUNCTION("IMPORTRANGE(""https://docs.google.com/spreadsheets/d/1IYY_tgx_IHuhSq3AJ5eI5OnqOPBNLWSHKh2a30DoXe8/edit?usp=sharing"",""นราธิวาส!J181"")"),0)</f>
        <v>0</v>
      </c>
      <c r="X81" s="137">
        <f t="shared" ca="1" si="13"/>
        <v>0</v>
      </c>
      <c r="Y81" s="77">
        <f ca="1">IFERROR(__xludf.DUMMYFUNCTION("IMPORTRANGE(""https://docs.google.com/spreadsheets/d/1C3CXT74ZlgGe6_JY_1olB1XN4rF0dxEuIIF-xsYjHgg/edit?usp=sharing"",""พรบ!BI85"")"),0)</f>
        <v>0</v>
      </c>
      <c r="Z81" s="77">
        <f ca="1">IFERROR(__xludf.DUMMYFUNCTION("IMPORTRANGE(""https://docs.google.com/spreadsheets/d/1IYY_tgx_IHuhSq3AJ5eI5OnqOPBNLWSHKh2a30DoXe8/edit?usp=sharing"",""นราธิวาส!J182"")"),0)</f>
        <v>0</v>
      </c>
      <c r="AA81" s="137">
        <f t="shared" ca="1" si="15"/>
        <v>0</v>
      </c>
      <c r="AB81" s="75">
        <f t="shared" ca="1" si="16"/>
        <v>0</v>
      </c>
      <c r="AC81" s="76">
        <f t="shared" ca="1" si="74"/>
        <v>0</v>
      </c>
      <c r="AD81" s="77">
        <f ca="1">IFERROR(__xludf.DUMMYFUNCTION("IMPORTRANGE(""https://docs.google.com/spreadsheets/d/1C3CXT74ZlgGe6_JY_1olB1XN4rF0dxEuIIF-xsYjHgg/edit?usp=sharing"",""พรบ!BK85"")"),0)</f>
        <v>0</v>
      </c>
      <c r="AE81" s="77">
        <f ca="1">IFERROR(__xludf.DUMMYFUNCTION("IMPORTRANGE(""https://docs.google.com/spreadsheets/d/1C3CXT74ZlgGe6_JY_1olB1XN4rF0dxEuIIF-xsYjHgg/edit?usp=sharing"",""พรบ!BL85"")"),0)</f>
        <v>0</v>
      </c>
      <c r="AF81" s="77">
        <f ca="1">IFERROR(__xludf.DUMMYFUNCTION("IMPORTRANGE(""https://docs.google.com/spreadsheets/d/1Yj_ptqi66GCucihVvJfMjLAmec39IyEx_6qawtMGysU/edit?usp=sharing"",""สบก!CI85"")"),0)</f>
        <v>0</v>
      </c>
      <c r="AG81" s="77">
        <f ca="1">IFERROR(__xludf.DUMMYFUNCTION("IMPORTRANGE(""https://docs.google.com/spreadsheets/d/1Yj_ptqi66GCucihVvJfMjLAmec39IyEx_6qawtMGysU/edit?usp=shCKing"",""สบก!CK85"")"),0)</f>
        <v>0</v>
      </c>
      <c r="AH81" s="77">
        <f t="shared" ca="1" si="19"/>
        <v>0</v>
      </c>
      <c r="AI81" s="77">
        <f t="shared" ca="1" si="20"/>
        <v>0</v>
      </c>
      <c r="AJ81" s="77">
        <f ca="1">IFERROR(__xludf.DUMMYFUNCTION("IMPORTRANGE(""https://docs.google.com/spreadsheets/d/1Yj_ptqi66GCucihVvJfMjLAmec39IyEx_6qawtMGysU/edit?usp=sharing"",""สบก!CL85"")"),0)</f>
        <v>0</v>
      </c>
      <c r="AK81" s="137">
        <f t="shared" ca="1" si="21"/>
        <v>0</v>
      </c>
      <c r="AL81" s="137">
        <f t="shared" ca="1" si="22"/>
        <v>0</v>
      </c>
      <c r="AM81" s="137">
        <f ca="1">IFERROR(__xludf.DUMMYFUNCTION("IMPORTRANGE(""https://docs.google.com/spreadsheets/d/1Yj_ptqi66GCucihVvJfMjLAmec39IyEx_6qawtMGysU/edit?usp=sharing"",""สบก!CM85"")"),0)</f>
        <v>0</v>
      </c>
      <c r="AN81" s="137">
        <f t="shared" ca="1" si="23"/>
        <v>0</v>
      </c>
      <c r="AO81" s="77">
        <f ca="1">IFERROR(__xludf.DUMMYFUNCTION("IMPORTRANGE(""https://docs.google.com/spreadsheets/d/1C3CXT74ZlgGe6_JY_1olB1XN4rF0dxEuIIF-xsYjHgg/edit?usp=sharing"",""พรบ!BM85"")"),0)</f>
        <v>0</v>
      </c>
      <c r="AP81" s="77">
        <f ca="1">IFERROR(__xludf.DUMMYFUNCTION("IMPORTRANGE(""https://docs.google.com/spreadsheets/d/1IYY_tgx_IHuhSq3AJ5eI5OnqOPBNLWSHKh2a30DoXe8/edit?usp=sharing"",""นราธิวาส!J195"")"),0)</f>
        <v>0</v>
      </c>
      <c r="AQ81" s="137">
        <f t="shared" ca="1" si="25"/>
        <v>0</v>
      </c>
    </row>
    <row r="82" spans="1:43" ht="21" customHeight="1">
      <c r="A82" s="73">
        <v>6</v>
      </c>
      <c r="B82" s="74" t="s">
        <v>106</v>
      </c>
      <c r="C82" s="75">
        <f t="shared" ca="1" si="0"/>
        <v>0</v>
      </c>
      <c r="D82" s="76">
        <f t="shared" ca="1" si="73"/>
        <v>0</v>
      </c>
      <c r="E82" s="77">
        <f ca="1">IFERROR(__xludf.DUMMYFUNCTION("IMPORTRANGE(""https://docs.google.com/spreadsheets/d/1C3CXT74ZlgGe6_JY_1olB1XN4rF0dxEuIIF-xsYjHgg/edit?usp=sharing"",""พรบ!BD86"")"),0)</f>
        <v>0</v>
      </c>
      <c r="F82" s="77">
        <f ca="1">IFERROR(__xludf.DUMMYFUNCTION("IMPORTRANGE(""https://docs.google.com/spreadsheets/d/1C3CXT74ZlgGe6_JY_1olB1XN4rF0dxEuIIF-xsYjHgg/edit?usp=sharing"",""พรบ!BE86"")"),0)</f>
        <v>0</v>
      </c>
      <c r="G82" s="77">
        <f ca="1">IFERROR(__xludf.DUMMYFUNCTION("IMPORTRANGE(""https://docs.google.com/spreadsheets/d/1Yj_ptqi66GCucihVvJfMjLAmec39IyEx_6qawtMGysU/edit?usp=sharing"",""สบก!BZ86"")"),0)</f>
        <v>0</v>
      </c>
      <c r="H82" s="77">
        <f ca="1">IFERROR(__xludf.DUMMYFUNCTION("IMPORTRANGE(""https://docs.google.com/spreadsheets/d/1Yj_ptqi66GCucihVvJfMjLAmec39IyEx_6qawtMGysU/edit?usp=shCBing"",""สบก!CB86"")"),0)</f>
        <v>0</v>
      </c>
      <c r="I82" s="77">
        <f t="shared" ca="1" si="3"/>
        <v>0</v>
      </c>
      <c r="J82" s="77">
        <f t="shared" ca="1" si="4"/>
        <v>0</v>
      </c>
      <c r="K82" s="77">
        <f ca="1">IFERROR(__xludf.DUMMYFUNCTION("IMPORTRANGE(""https://docs.google.com/spreadsheets/d/1Yj_ptqi66GCucihVvJfMjLAmec39IyEx_6qawtMGysU/edit?usp=sharing"",""สบก!CC86"")"),0)</f>
        <v>0</v>
      </c>
      <c r="L82" s="137">
        <f t="shared" ca="1" si="5"/>
        <v>0</v>
      </c>
      <c r="M82" s="137">
        <f t="shared" ca="1" si="6"/>
        <v>0</v>
      </c>
      <c r="N82" s="137">
        <f ca="1">IFERROR(__xludf.DUMMYFUNCTION("IMPORTRANGE(""https://docs.google.com/spreadsheets/d/1Yj_ptqi66GCucihVvJfMjLAmec39IyEx_6qawtMGysU/edit?usp=sharing"",""สบก!CD86"")"),0)</f>
        <v>0</v>
      </c>
      <c r="O82" s="137">
        <f t="shared" ca="1" si="7"/>
        <v>0</v>
      </c>
      <c r="P82" s="77">
        <f ca="1">IFERROR(__xludf.DUMMYFUNCTION("IMPORTRANGE(""https://docs.google.com/spreadsheets/d/1C3CXT74ZlgGe6_JY_1olB1XN4rF0dxEuIIF-xsYjHgg/edit?usp=sharing"",""พรบ!BF86"")"),0)</f>
        <v>0</v>
      </c>
      <c r="Q82" s="77">
        <f ca="1">IFERROR(__xludf.DUMMYFUNCTION("IMPORTRANGE(""https://docs.google.com/spreadsheets/d/1IYY_tgx_IHuhSq3AJ5eI5OnqOPBNLWSHKh2a30DoXe8/edit?usp=sharing"",""ปัตตานี!J179"")"),0)</f>
        <v>0</v>
      </c>
      <c r="R82" s="137">
        <f t="shared" ca="1" si="9"/>
        <v>0</v>
      </c>
      <c r="S82" s="77">
        <f ca="1">IFERROR(__xludf.DUMMYFUNCTION("IMPORTRANGE(""https://docs.google.com/spreadsheets/d/1C3CXT74ZlgGe6_JY_1olB1XN4rF0dxEuIIF-xsYjHgg/edit?usp=sharing"",""พรบ!BG86"")"),0)</f>
        <v>0</v>
      </c>
      <c r="T82" s="77">
        <f ca="1">IFERROR(__xludf.DUMMYFUNCTION("IMPORTRANGE(""https://docs.google.com/spreadsheets/d/1IYY_tgx_IHuhSq3AJ5eI5OnqOPBNLWSHKh2a30DoXe8/edit?usp=sharing"",""ปัตตานี!J180"")"),0)</f>
        <v>0</v>
      </c>
      <c r="U82" s="137">
        <f t="shared" ca="1" si="11"/>
        <v>0</v>
      </c>
      <c r="V82" s="77">
        <f ca="1">IFERROR(__xludf.DUMMYFUNCTION("IMPORTRANGE(""https://docs.google.com/spreadsheets/d/1C3CXT74ZlgGe6_JY_1olB1XN4rF0dxEuIIF-xsYjHgg/edit?usp=sharing"",""พรบ!BH86"")"),0)</f>
        <v>0</v>
      </c>
      <c r="W82" s="77">
        <f ca="1">IFERROR(__xludf.DUMMYFUNCTION("IMPORTRANGE(""https://docs.google.com/spreadsheets/d/1IYY_tgx_IHuhSq3AJ5eI5OnqOPBNLWSHKh2a30DoXe8/edit?usp=sharing"",""ปัตตานี!J181"")"),0)</f>
        <v>0</v>
      </c>
      <c r="X82" s="137">
        <f t="shared" ca="1" si="13"/>
        <v>0</v>
      </c>
      <c r="Y82" s="77">
        <f ca="1">IFERROR(__xludf.DUMMYFUNCTION("IMPORTRANGE(""https://docs.google.com/spreadsheets/d/1C3CXT74ZlgGe6_JY_1olB1XN4rF0dxEuIIF-xsYjHgg/edit?usp=sharing"",""พรบ!BI86"")"),0)</f>
        <v>0</v>
      </c>
      <c r="Z82" s="77">
        <f ca="1">IFERROR(__xludf.DUMMYFUNCTION("IMPORTRANGE(""https://docs.google.com/spreadsheets/d/1IYY_tgx_IHuhSq3AJ5eI5OnqOPBNLWSHKh2a30DoXe8/edit?usp=sharing"",""ปัตตานี!J182"")"),0)</f>
        <v>0</v>
      </c>
      <c r="AA82" s="137">
        <f t="shared" ca="1" si="15"/>
        <v>0</v>
      </c>
      <c r="AB82" s="75">
        <f t="shared" ca="1" si="16"/>
        <v>0</v>
      </c>
      <c r="AC82" s="76">
        <f t="shared" ca="1" si="74"/>
        <v>0</v>
      </c>
      <c r="AD82" s="77">
        <f ca="1">IFERROR(__xludf.DUMMYFUNCTION("IMPORTRANGE(""https://docs.google.com/spreadsheets/d/1C3CXT74ZlgGe6_JY_1olB1XN4rF0dxEuIIF-xsYjHgg/edit?usp=sharing"",""พรบ!BK86"")"),0)</f>
        <v>0</v>
      </c>
      <c r="AE82" s="77">
        <f ca="1">IFERROR(__xludf.DUMMYFUNCTION("IMPORTRANGE(""https://docs.google.com/spreadsheets/d/1C3CXT74ZlgGe6_JY_1olB1XN4rF0dxEuIIF-xsYjHgg/edit?usp=sharing"",""พรบ!BL86"")"),0)</f>
        <v>0</v>
      </c>
      <c r="AF82" s="77">
        <f ca="1">IFERROR(__xludf.DUMMYFUNCTION("IMPORTRANGE(""https://docs.google.com/spreadsheets/d/1Yj_ptqi66GCucihVvJfMjLAmec39IyEx_6qawtMGysU/edit?usp=sharing"",""สบก!CI86"")"),0)</f>
        <v>0</v>
      </c>
      <c r="AG82" s="77">
        <f ca="1">IFERROR(__xludf.DUMMYFUNCTION("IMPORTRANGE(""https://docs.google.com/spreadsheets/d/1Yj_ptqi66GCucihVvJfMjLAmec39IyEx_6qawtMGysU/edit?usp=shCKing"",""สบก!CK86"")"),0)</f>
        <v>0</v>
      </c>
      <c r="AH82" s="77">
        <f t="shared" ca="1" si="19"/>
        <v>0</v>
      </c>
      <c r="AI82" s="77">
        <f t="shared" ca="1" si="20"/>
        <v>0</v>
      </c>
      <c r="AJ82" s="77">
        <f ca="1">IFERROR(__xludf.DUMMYFUNCTION("IMPORTRANGE(""https://docs.google.com/spreadsheets/d/1Yj_ptqi66GCucihVvJfMjLAmec39IyEx_6qawtMGysU/edit?usp=sharing"",""สบก!CL86"")"),0)</f>
        <v>0</v>
      </c>
      <c r="AK82" s="137">
        <f t="shared" ca="1" si="21"/>
        <v>0</v>
      </c>
      <c r="AL82" s="137">
        <f t="shared" ca="1" si="22"/>
        <v>0</v>
      </c>
      <c r="AM82" s="137">
        <f ca="1">IFERROR(__xludf.DUMMYFUNCTION("IMPORTRANGE(""https://docs.google.com/spreadsheets/d/1Yj_ptqi66GCucihVvJfMjLAmec39IyEx_6qawtMGysU/edit?usp=sharing"",""สบก!CM86"")"),0)</f>
        <v>0</v>
      </c>
      <c r="AN82" s="137">
        <f t="shared" ca="1" si="23"/>
        <v>0</v>
      </c>
      <c r="AO82" s="77">
        <f ca="1">IFERROR(__xludf.DUMMYFUNCTION("IMPORTRANGE(""https://docs.google.com/spreadsheets/d/1C3CXT74ZlgGe6_JY_1olB1XN4rF0dxEuIIF-xsYjHgg/edit?usp=sharing"",""พรบ!BM86"")"),0)</f>
        <v>0</v>
      </c>
      <c r="AP82" s="77">
        <f ca="1">IFERROR(__xludf.DUMMYFUNCTION("IMPORTRANGE(""https://docs.google.com/spreadsheets/d/1IYY_tgx_IHuhSq3AJ5eI5OnqOPBNLWSHKh2a30DoXe8/edit?usp=sharing"",""ปัตตานี!J195"")"),0)</f>
        <v>0</v>
      </c>
      <c r="AQ82" s="137">
        <f t="shared" ca="1" si="25"/>
        <v>0</v>
      </c>
    </row>
    <row r="83" spans="1:43" ht="21" customHeight="1">
      <c r="A83" s="73">
        <v>7</v>
      </c>
      <c r="B83" s="74" t="s">
        <v>107</v>
      </c>
      <c r="C83" s="75">
        <f t="shared" ca="1" si="0"/>
        <v>0</v>
      </c>
      <c r="D83" s="76">
        <f t="shared" ca="1" si="73"/>
        <v>0</v>
      </c>
      <c r="E83" s="77">
        <f ca="1">IFERROR(__xludf.DUMMYFUNCTION("IMPORTRANGE(""https://docs.google.com/spreadsheets/d/1C3CXT74ZlgGe6_JY_1olB1XN4rF0dxEuIIF-xsYjHgg/edit?usp=sharing"",""พรบ!BD87"")"),0)</f>
        <v>0</v>
      </c>
      <c r="F83" s="77">
        <f ca="1">IFERROR(__xludf.DUMMYFUNCTION("IMPORTRANGE(""https://docs.google.com/spreadsheets/d/1C3CXT74ZlgGe6_JY_1olB1XN4rF0dxEuIIF-xsYjHgg/edit?usp=sharing"",""พรบ!BE87"")"),0)</f>
        <v>0</v>
      </c>
      <c r="G83" s="77">
        <f ca="1">IFERROR(__xludf.DUMMYFUNCTION("IMPORTRANGE(""https://docs.google.com/spreadsheets/d/1Yj_ptqi66GCucihVvJfMjLAmec39IyEx_6qawtMGysU/edit?usp=sharing"",""สบก!BZ87"")"),0)</f>
        <v>0</v>
      </c>
      <c r="H83" s="77">
        <f ca="1">IFERROR(__xludf.DUMMYFUNCTION("IMPORTRANGE(""https://docs.google.com/spreadsheets/d/1Yj_ptqi66GCucihVvJfMjLAmec39IyEx_6qawtMGysU/edit?usp=shCBing"",""สบก!CB87"")"),0)</f>
        <v>0</v>
      </c>
      <c r="I83" s="77">
        <f t="shared" ca="1" si="3"/>
        <v>0</v>
      </c>
      <c r="J83" s="77">
        <f t="shared" ca="1" si="4"/>
        <v>0</v>
      </c>
      <c r="K83" s="77">
        <f ca="1">IFERROR(__xludf.DUMMYFUNCTION("IMPORTRANGE(""https://docs.google.com/spreadsheets/d/1Yj_ptqi66GCucihVvJfMjLAmec39IyEx_6qawtMGysU/edit?usp=sharing"",""สบก!CC87"")"),0)</f>
        <v>0</v>
      </c>
      <c r="L83" s="137">
        <f t="shared" ca="1" si="5"/>
        <v>0</v>
      </c>
      <c r="M83" s="137">
        <f t="shared" ca="1" si="6"/>
        <v>0</v>
      </c>
      <c r="N83" s="137">
        <f ca="1">IFERROR(__xludf.DUMMYFUNCTION("IMPORTRANGE(""https://docs.google.com/spreadsheets/d/1Yj_ptqi66GCucihVvJfMjLAmec39IyEx_6qawtMGysU/edit?usp=sharing"",""สบก!CD87"")"),0)</f>
        <v>0</v>
      </c>
      <c r="O83" s="137">
        <f t="shared" ca="1" si="7"/>
        <v>0</v>
      </c>
      <c r="P83" s="77">
        <f ca="1">IFERROR(__xludf.DUMMYFUNCTION("IMPORTRANGE(""https://docs.google.com/spreadsheets/d/1C3CXT74ZlgGe6_JY_1olB1XN4rF0dxEuIIF-xsYjHgg/edit?usp=sharing"",""พรบ!BF87"")"),0)</f>
        <v>0</v>
      </c>
      <c r="Q83" s="77">
        <f ca="1">IFERROR(__xludf.DUMMYFUNCTION("IMPORTRANGE(""https://docs.google.com/spreadsheets/d/1IYY_tgx_IHuhSq3AJ5eI5OnqOPBNLWSHKh2a30DoXe8/edit?usp=sharing"",""พังงา!J179"")"),0)</f>
        <v>0</v>
      </c>
      <c r="R83" s="137">
        <f t="shared" ca="1" si="9"/>
        <v>0</v>
      </c>
      <c r="S83" s="77">
        <f ca="1">IFERROR(__xludf.DUMMYFUNCTION("IMPORTRANGE(""https://docs.google.com/spreadsheets/d/1C3CXT74ZlgGe6_JY_1olB1XN4rF0dxEuIIF-xsYjHgg/edit?usp=sharing"",""พรบ!BG87"")"),0)</f>
        <v>0</v>
      </c>
      <c r="T83" s="77">
        <f ca="1">IFERROR(__xludf.DUMMYFUNCTION("IMPORTRANGE(""https://docs.google.com/spreadsheets/d/1IYY_tgx_IHuhSq3AJ5eI5OnqOPBNLWSHKh2a30DoXe8/edit?usp=sharing"",""พังงา!J180"")"),0)</f>
        <v>0</v>
      </c>
      <c r="U83" s="137">
        <f t="shared" ca="1" si="11"/>
        <v>0</v>
      </c>
      <c r="V83" s="77">
        <f ca="1">IFERROR(__xludf.DUMMYFUNCTION("IMPORTRANGE(""https://docs.google.com/spreadsheets/d/1C3CXT74ZlgGe6_JY_1olB1XN4rF0dxEuIIF-xsYjHgg/edit?usp=sharing"",""พรบ!BH87"")"),0)</f>
        <v>0</v>
      </c>
      <c r="W83" s="77">
        <f ca="1">IFERROR(__xludf.DUMMYFUNCTION("IMPORTRANGE(""https://docs.google.com/spreadsheets/d/1IYY_tgx_IHuhSq3AJ5eI5OnqOPBNLWSHKh2a30DoXe8/edit?usp=sharing"",""พังงา!J181"")"),0)</f>
        <v>0</v>
      </c>
      <c r="X83" s="137">
        <f t="shared" ca="1" si="13"/>
        <v>0</v>
      </c>
      <c r="Y83" s="77">
        <f ca="1">IFERROR(__xludf.DUMMYFUNCTION("IMPORTRANGE(""https://docs.google.com/spreadsheets/d/1C3CXT74ZlgGe6_JY_1olB1XN4rF0dxEuIIF-xsYjHgg/edit?usp=sharing"",""พรบ!BI87"")"),0)</f>
        <v>0</v>
      </c>
      <c r="Z83" s="77">
        <f ca="1">IFERROR(__xludf.DUMMYFUNCTION("IMPORTRANGE(""https://docs.google.com/spreadsheets/d/1IYY_tgx_IHuhSq3AJ5eI5OnqOPBNLWSHKh2a30DoXe8/edit?usp=sharing"",""พังงา!J182"")"),0)</f>
        <v>0</v>
      </c>
      <c r="AA83" s="137">
        <f t="shared" ca="1" si="15"/>
        <v>0</v>
      </c>
      <c r="AB83" s="75">
        <f t="shared" ca="1" si="16"/>
        <v>187200</v>
      </c>
      <c r="AC83" s="76">
        <f t="shared" ca="1" si="74"/>
        <v>187200</v>
      </c>
      <c r="AD83" s="77">
        <f ca="1">IFERROR(__xludf.DUMMYFUNCTION("IMPORTRANGE(""https://docs.google.com/spreadsheets/d/1C3CXT74ZlgGe6_JY_1olB1XN4rF0dxEuIIF-xsYjHgg/edit?usp=sharing"",""พรบ!BK87"")"),132000)</f>
        <v>132000</v>
      </c>
      <c r="AE83" s="77">
        <f ca="1">IFERROR(__xludf.DUMMYFUNCTION("IMPORTRANGE(""https://docs.google.com/spreadsheets/d/1C3CXT74ZlgGe6_JY_1olB1XN4rF0dxEuIIF-xsYjHgg/edit?usp=sharing"",""พรบ!BL87"")"),55200)</f>
        <v>55200</v>
      </c>
      <c r="AF83" s="77">
        <f ca="1">IFERROR(__xludf.DUMMYFUNCTION("IMPORTRANGE(""https://docs.google.com/spreadsheets/d/1Yj_ptqi66GCucihVvJfMjLAmec39IyEx_6qawtMGysU/edit?usp=sharing"",""สบก!CI87"")"),0)</f>
        <v>0</v>
      </c>
      <c r="AG83" s="77">
        <f ca="1">IFERROR(__xludf.DUMMYFUNCTION("IMPORTRANGE(""https://docs.google.com/spreadsheets/d/1Yj_ptqi66GCucihVvJfMjLAmec39IyEx_6qawtMGysU/edit?usp=shCKing"",""สบก!CK87"")"),131250)</f>
        <v>131250</v>
      </c>
      <c r="AH83" s="77">
        <f t="shared" ca="1" si="19"/>
        <v>19018</v>
      </c>
      <c r="AI83" s="77">
        <f t="shared" ca="1" si="20"/>
        <v>10.159188034188034</v>
      </c>
      <c r="AJ83" s="77">
        <f ca="1">IFERROR(__xludf.DUMMYFUNCTION("IMPORTRANGE(""https://docs.google.com/spreadsheets/d/1Yj_ptqi66GCucihVvJfMjLAmec39IyEx_6qawtMGysU/edit?usp=sharing"",""สบก!CL87"")"),19018)</f>
        <v>19018</v>
      </c>
      <c r="AK83" s="137">
        <f t="shared" ca="1" si="21"/>
        <v>10.159188034188034</v>
      </c>
      <c r="AL83" s="137">
        <f t="shared" ca="1" si="22"/>
        <v>14.489904761904763</v>
      </c>
      <c r="AM83" s="137">
        <f ca="1">IFERROR(__xludf.DUMMYFUNCTION("IMPORTRANGE(""https://docs.google.com/spreadsheets/d/1Yj_ptqi66GCucihVvJfMjLAmec39IyEx_6qawtMGysU/edit?usp=sharing"",""สบก!CM87"")"),0)</f>
        <v>0</v>
      </c>
      <c r="AN83" s="137">
        <f t="shared" ca="1" si="23"/>
        <v>0</v>
      </c>
      <c r="AO83" s="77">
        <f ca="1">IFERROR(__xludf.DUMMYFUNCTION("IMPORTRANGE(""https://docs.google.com/spreadsheets/d/1C3CXT74ZlgGe6_JY_1olB1XN4rF0dxEuIIF-xsYjHgg/edit?usp=sharing"",""พรบ!BM87"")"),15)</f>
        <v>15</v>
      </c>
      <c r="AP83" s="77">
        <f ca="1">IFERROR(__xludf.DUMMYFUNCTION("IMPORTRANGE(""https://docs.google.com/spreadsheets/d/1IYY_tgx_IHuhSq3AJ5eI5OnqOPBNLWSHKh2a30DoXe8/edit?usp=sharing"",""พังงา!J195"")"),15)</f>
        <v>15</v>
      </c>
      <c r="AQ83" s="137">
        <f t="shared" ca="1" si="25"/>
        <v>100</v>
      </c>
    </row>
    <row r="84" spans="1:43" ht="21" customHeight="1">
      <c r="A84" s="73">
        <v>8</v>
      </c>
      <c r="B84" s="74" t="s">
        <v>108</v>
      </c>
      <c r="C84" s="75">
        <f t="shared" ca="1" si="0"/>
        <v>203400</v>
      </c>
      <c r="D84" s="76">
        <f t="shared" ca="1" si="73"/>
        <v>203400</v>
      </c>
      <c r="E84" s="77">
        <f ca="1">IFERROR(__xludf.DUMMYFUNCTION("IMPORTRANGE(""https://docs.google.com/spreadsheets/d/1C3CXT74ZlgGe6_JY_1olB1XN4rF0dxEuIIF-xsYjHgg/edit?usp=sharing"",""พรบ!BD88"")"),132000)</f>
        <v>132000</v>
      </c>
      <c r="F84" s="77">
        <f ca="1">IFERROR(__xludf.DUMMYFUNCTION("IMPORTRANGE(""https://docs.google.com/spreadsheets/d/1C3CXT74ZlgGe6_JY_1olB1XN4rF0dxEuIIF-xsYjHgg/edit?usp=sharing"",""พรบ!BE88"")"),71400)</f>
        <v>71400</v>
      </c>
      <c r="G84" s="77">
        <f ca="1">IFERROR(__xludf.DUMMYFUNCTION("IMPORTRANGE(""https://docs.google.com/spreadsheets/d/1Yj_ptqi66GCucihVvJfMjLAmec39IyEx_6qawtMGysU/edit?usp=sharing"",""สบก!BZ88"")"),0)</f>
        <v>0</v>
      </c>
      <c r="H84" s="77">
        <f ca="1">IFERROR(__xludf.DUMMYFUNCTION("IMPORTRANGE(""https://docs.google.com/spreadsheets/d/1Yj_ptqi66GCucihVvJfMjLAmec39IyEx_6qawtMGysU/edit?usp=shCBing"",""สบก!CB88"")"),141000)</f>
        <v>141000</v>
      </c>
      <c r="I84" s="77">
        <f t="shared" ca="1" si="3"/>
        <v>83095.199999999997</v>
      </c>
      <c r="J84" s="77">
        <f t="shared" ca="1" si="4"/>
        <v>40.853097345132745</v>
      </c>
      <c r="K84" s="77">
        <f ca="1">IFERROR(__xludf.DUMMYFUNCTION("IMPORTRANGE(""https://docs.google.com/spreadsheets/d/1Yj_ptqi66GCucihVvJfMjLAmec39IyEx_6qawtMGysU/edit?usp=sharing"",""สบก!CC88"")"),83095.2)</f>
        <v>83095.199999999997</v>
      </c>
      <c r="L84" s="137">
        <f t="shared" ca="1" si="5"/>
        <v>40.853097345132745</v>
      </c>
      <c r="M84" s="137">
        <f t="shared" ca="1" si="6"/>
        <v>58.932765957446811</v>
      </c>
      <c r="N84" s="137">
        <f ca="1">IFERROR(__xludf.DUMMYFUNCTION("IMPORTRANGE(""https://docs.google.com/spreadsheets/d/1Yj_ptqi66GCucihVvJfMjLAmec39IyEx_6qawtMGysU/edit?usp=sharing"",""สบก!CD88"")"),0)</f>
        <v>0</v>
      </c>
      <c r="O84" s="137">
        <f t="shared" ca="1" si="7"/>
        <v>0</v>
      </c>
      <c r="P84" s="77">
        <f ca="1">IFERROR(__xludf.DUMMYFUNCTION("IMPORTRANGE(""https://docs.google.com/spreadsheets/d/1C3CXT74ZlgGe6_JY_1olB1XN4rF0dxEuIIF-xsYjHgg/edit?usp=sharing"",""พรบ!BF88"")"),1)</f>
        <v>1</v>
      </c>
      <c r="Q84" s="77">
        <f ca="1">IFERROR(__xludf.DUMMYFUNCTION("IMPORTRANGE(""https://docs.google.com/spreadsheets/d/1IYY_tgx_IHuhSq3AJ5eI5OnqOPBNLWSHKh2a30DoXe8/edit?usp=sharing"",""พัทลุง!J179"")"),1)</f>
        <v>1</v>
      </c>
      <c r="R84" s="137">
        <f t="shared" ca="1" si="9"/>
        <v>100</v>
      </c>
      <c r="S84" s="77">
        <f ca="1">IFERROR(__xludf.DUMMYFUNCTION("IMPORTRANGE(""https://docs.google.com/spreadsheets/d/1C3CXT74ZlgGe6_JY_1olB1XN4rF0dxEuIIF-xsYjHgg/edit?usp=sharing"",""พรบ!BG88"")"),20)</f>
        <v>20</v>
      </c>
      <c r="T84" s="77">
        <f ca="1">IFERROR(__xludf.DUMMYFUNCTION("IMPORTRANGE(""https://docs.google.com/spreadsheets/d/1IYY_tgx_IHuhSq3AJ5eI5OnqOPBNLWSHKh2a30DoXe8/edit?usp=sharing"",""พัทลุง!J180"")"),20)</f>
        <v>20</v>
      </c>
      <c r="U84" s="137">
        <f t="shared" ca="1" si="11"/>
        <v>100</v>
      </c>
      <c r="V84" s="77">
        <f ca="1">IFERROR(__xludf.DUMMYFUNCTION("IMPORTRANGE(""https://docs.google.com/spreadsheets/d/1C3CXT74ZlgGe6_JY_1olB1XN4rF0dxEuIIF-xsYjHgg/edit?usp=sharing"",""พรบ!BH88"")"),20)</f>
        <v>20</v>
      </c>
      <c r="W84" s="77">
        <f ca="1">IFERROR(__xludf.DUMMYFUNCTION("IMPORTRANGE(""https://docs.google.com/spreadsheets/d/1IYY_tgx_IHuhSq3AJ5eI5OnqOPBNLWSHKh2a30DoXe8/edit?usp=sharing"",""พัทลุง!J181"")"),0)</f>
        <v>0</v>
      </c>
      <c r="X84" s="137">
        <f t="shared" ca="1" si="13"/>
        <v>0</v>
      </c>
      <c r="Y84" s="77">
        <f ca="1">IFERROR(__xludf.DUMMYFUNCTION("IMPORTRANGE(""https://docs.google.com/spreadsheets/d/1C3CXT74ZlgGe6_JY_1olB1XN4rF0dxEuIIF-xsYjHgg/edit?usp=sharing"",""พรบ!BI88"")"),1)</f>
        <v>1</v>
      </c>
      <c r="Z84" s="77">
        <f ca="1">IFERROR(__xludf.DUMMYFUNCTION("IMPORTRANGE(""https://docs.google.com/spreadsheets/d/1IYY_tgx_IHuhSq3AJ5eI5OnqOPBNLWSHKh2a30DoXe8/edit?usp=sharing"",""พัทลุง!J182"")"),1)</f>
        <v>1</v>
      </c>
      <c r="AA84" s="137">
        <f t="shared" ca="1" si="15"/>
        <v>100</v>
      </c>
      <c r="AB84" s="75">
        <f t="shared" ca="1" si="16"/>
        <v>0</v>
      </c>
      <c r="AC84" s="76">
        <f t="shared" ca="1" si="74"/>
        <v>0</v>
      </c>
      <c r="AD84" s="77">
        <f ca="1">IFERROR(__xludf.DUMMYFUNCTION("IMPORTRANGE(""https://docs.google.com/spreadsheets/d/1C3CXT74ZlgGe6_JY_1olB1XN4rF0dxEuIIF-xsYjHgg/edit?usp=sharing"",""พรบ!BK88"")"),0)</f>
        <v>0</v>
      </c>
      <c r="AE84" s="77">
        <f ca="1">IFERROR(__xludf.DUMMYFUNCTION("IMPORTRANGE(""https://docs.google.com/spreadsheets/d/1C3CXT74ZlgGe6_JY_1olB1XN4rF0dxEuIIF-xsYjHgg/edit?usp=sharing"",""พรบ!BL88"")"),0)</f>
        <v>0</v>
      </c>
      <c r="AF84" s="77">
        <f ca="1">IFERROR(__xludf.DUMMYFUNCTION("IMPORTRANGE(""https://docs.google.com/spreadsheets/d/1Yj_ptqi66GCucihVvJfMjLAmec39IyEx_6qawtMGysU/edit?usp=sharing"",""สบก!CI88"")"),0)</f>
        <v>0</v>
      </c>
      <c r="AG84" s="77">
        <f ca="1">IFERROR(__xludf.DUMMYFUNCTION("IMPORTRANGE(""https://docs.google.com/spreadsheets/d/1Yj_ptqi66GCucihVvJfMjLAmec39IyEx_6qawtMGysU/edit?usp=shCKing"",""สบก!CK88"")"),0)</f>
        <v>0</v>
      </c>
      <c r="AH84" s="77">
        <f t="shared" ca="1" si="19"/>
        <v>0</v>
      </c>
      <c r="AI84" s="77">
        <f t="shared" ca="1" si="20"/>
        <v>0</v>
      </c>
      <c r="AJ84" s="77">
        <f ca="1">IFERROR(__xludf.DUMMYFUNCTION("IMPORTRANGE(""https://docs.google.com/spreadsheets/d/1Yj_ptqi66GCucihVvJfMjLAmec39IyEx_6qawtMGysU/edit?usp=sharing"",""สบก!CL88"")"),0)</f>
        <v>0</v>
      </c>
      <c r="AK84" s="137">
        <f t="shared" ca="1" si="21"/>
        <v>0</v>
      </c>
      <c r="AL84" s="137">
        <f t="shared" ca="1" si="22"/>
        <v>0</v>
      </c>
      <c r="AM84" s="137">
        <f ca="1">IFERROR(__xludf.DUMMYFUNCTION("IMPORTRANGE(""https://docs.google.com/spreadsheets/d/1Yj_ptqi66GCucihVvJfMjLAmec39IyEx_6qawtMGysU/edit?usp=sharing"",""สบก!CM88"")"),0)</f>
        <v>0</v>
      </c>
      <c r="AN84" s="137">
        <f t="shared" ca="1" si="23"/>
        <v>0</v>
      </c>
      <c r="AO84" s="77">
        <f ca="1">IFERROR(__xludf.DUMMYFUNCTION("IMPORTRANGE(""https://docs.google.com/spreadsheets/d/1C3CXT74ZlgGe6_JY_1olB1XN4rF0dxEuIIF-xsYjHgg/edit?usp=sharing"",""พรบ!BM88"")"),0)</f>
        <v>0</v>
      </c>
      <c r="AP84" s="77">
        <f ca="1">IFERROR(__xludf.DUMMYFUNCTION("IMPORTRANGE(""https://docs.google.com/spreadsheets/d/1IYY_tgx_IHuhSq3AJ5eI5OnqOPBNLWSHKh2a30DoXe8/edit?usp=sharing"",""พัทลุง!J195"")"),0)</f>
        <v>0</v>
      </c>
      <c r="AQ84" s="137">
        <f t="shared" ca="1" si="25"/>
        <v>0</v>
      </c>
    </row>
    <row r="85" spans="1:43" ht="21" customHeight="1">
      <c r="A85" s="73">
        <v>9</v>
      </c>
      <c r="B85" s="74" t="s">
        <v>109</v>
      </c>
      <c r="C85" s="75">
        <f t="shared" ca="1" si="0"/>
        <v>0</v>
      </c>
      <c r="D85" s="76">
        <f t="shared" ca="1" si="73"/>
        <v>0</v>
      </c>
      <c r="E85" s="77">
        <f ca="1">IFERROR(__xludf.DUMMYFUNCTION("IMPORTRANGE(""https://docs.google.com/spreadsheets/d/1C3CXT74ZlgGe6_JY_1olB1XN4rF0dxEuIIF-xsYjHgg/edit?usp=sharing"",""พรบ!BD89"")"),0)</f>
        <v>0</v>
      </c>
      <c r="F85" s="77">
        <f ca="1">IFERROR(__xludf.DUMMYFUNCTION("IMPORTRANGE(""https://docs.google.com/spreadsheets/d/1C3CXT74ZlgGe6_JY_1olB1XN4rF0dxEuIIF-xsYjHgg/edit?usp=sharing"",""พรบ!BE89"")"),0)</f>
        <v>0</v>
      </c>
      <c r="G85" s="77">
        <f ca="1">IFERROR(__xludf.DUMMYFUNCTION("IMPORTRANGE(""https://docs.google.com/spreadsheets/d/1Yj_ptqi66GCucihVvJfMjLAmec39IyEx_6qawtMGysU/edit?usp=sharing"",""สบก!BZ89"")"),0)</f>
        <v>0</v>
      </c>
      <c r="H85" s="77">
        <f ca="1">IFERROR(__xludf.DUMMYFUNCTION("IMPORTRANGE(""https://docs.google.com/spreadsheets/d/1Yj_ptqi66GCucihVvJfMjLAmec39IyEx_6qawtMGysU/edit?usp=shCBing"",""สบก!CB89"")"),0)</f>
        <v>0</v>
      </c>
      <c r="I85" s="77">
        <f t="shared" ca="1" si="3"/>
        <v>0</v>
      </c>
      <c r="J85" s="77">
        <f t="shared" ca="1" si="4"/>
        <v>0</v>
      </c>
      <c r="K85" s="77">
        <f ca="1">IFERROR(__xludf.DUMMYFUNCTION("IMPORTRANGE(""https://docs.google.com/spreadsheets/d/1Yj_ptqi66GCucihVvJfMjLAmec39IyEx_6qawtMGysU/edit?usp=sharing"",""สบก!CC89"")"),0)</f>
        <v>0</v>
      </c>
      <c r="L85" s="137">
        <f t="shared" ca="1" si="5"/>
        <v>0</v>
      </c>
      <c r="M85" s="137">
        <f t="shared" ca="1" si="6"/>
        <v>0</v>
      </c>
      <c r="N85" s="137">
        <f ca="1">IFERROR(__xludf.DUMMYFUNCTION("IMPORTRANGE(""https://docs.google.com/spreadsheets/d/1Yj_ptqi66GCucihVvJfMjLAmec39IyEx_6qawtMGysU/edit?usp=sharing"",""สบก!CD89"")"),0)</f>
        <v>0</v>
      </c>
      <c r="O85" s="137">
        <f t="shared" ca="1" si="7"/>
        <v>0</v>
      </c>
      <c r="P85" s="77">
        <f ca="1">IFERROR(__xludf.DUMMYFUNCTION("IMPORTRANGE(""https://docs.google.com/spreadsheets/d/1C3CXT74ZlgGe6_JY_1olB1XN4rF0dxEuIIF-xsYjHgg/edit?usp=sharing"",""พรบ!BF89"")"),0)</f>
        <v>0</v>
      </c>
      <c r="Q85" s="77">
        <f ca="1">IFERROR(__xludf.DUMMYFUNCTION("IMPORTRANGE(""https://docs.google.com/spreadsheets/d/1IYY_tgx_IHuhSq3AJ5eI5OnqOPBNLWSHKh2a30DoXe8/edit?usp=sharing"",""ภูเก็ต!J179"")"),0)</f>
        <v>0</v>
      </c>
      <c r="R85" s="137">
        <f t="shared" ca="1" si="9"/>
        <v>0</v>
      </c>
      <c r="S85" s="77">
        <f ca="1">IFERROR(__xludf.DUMMYFUNCTION("IMPORTRANGE(""https://docs.google.com/spreadsheets/d/1C3CXT74ZlgGe6_JY_1olB1XN4rF0dxEuIIF-xsYjHgg/edit?usp=sharing"",""พรบ!BG89"")"),0)</f>
        <v>0</v>
      </c>
      <c r="T85" s="77">
        <f ca="1">IFERROR(__xludf.DUMMYFUNCTION("IMPORTRANGE(""https://docs.google.com/spreadsheets/d/1IYY_tgx_IHuhSq3AJ5eI5OnqOPBNLWSHKh2a30DoXe8/edit?usp=sharing"",""ภูเก็ต!J180"")"),0)</f>
        <v>0</v>
      </c>
      <c r="U85" s="137">
        <f t="shared" ca="1" si="11"/>
        <v>0</v>
      </c>
      <c r="V85" s="77">
        <f ca="1">IFERROR(__xludf.DUMMYFUNCTION("IMPORTRANGE(""https://docs.google.com/spreadsheets/d/1C3CXT74ZlgGe6_JY_1olB1XN4rF0dxEuIIF-xsYjHgg/edit?usp=sharing"",""พรบ!BH89"")"),0)</f>
        <v>0</v>
      </c>
      <c r="W85" s="77">
        <f ca="1">IFERROR(__xludf.DUMMYFUNCTION("IMPORTRANGE(""https://docs.google.com/spreadsheets/d/1IYY_tgx_IHuhSq3AJ5eI5OnqOPBNLWSHKh2a30DoXe8/edit?usp=sharing"",""ภูเก็ต!J181"")"),0)</f>
        <v>0</v>
      </c>
      <c r="X85" s="137">
        <f t="shared" ca="1" si="13"/>
        <v>0</v>
      </c>
      <c r="Y85" s="77">
        <f ca="1">IFERROR(__xludf.DUMMYFUNCTION("IMPORTRANGE(""https://docs.google.com/spreadsheets/d/1C3CXT74ZlgGe6_JY_1olB1XN4rF0dxEuIIF-xsYjHgg/edit?usp=sharing"",""พรบ!BI89"")"),0)</f>
        <v>0</v>
      </c>
      <c r="Z85" s="77">
        <f ca="1">IFERROR(__xludf.DUMMYFUNCTION("IMPORTRANGE(""https://docs.google.com/spreadsheets/d/1IYY_tgx_IHuhSq3AJ5eI5OnqOPBNLWSHKh2a30DoXe8/edit?usp=sharing"",""ภูเก็ต!J182"")"),0)</f>
        <v>0</v>
      </c>
      <c r="AA85" s="137">
        <f t="shared" ca="1" si="15"/>
        <v>0</v>
      </c>
      <c r="AB85" s="75">
        <f t="shared" ca="1" si="16"/>
        <v>0</v>
      </c>
      <c r="AC85" s="76">
        <f t="shared" ca="1" si="74"/>
        <v>0</v>
      </c>
      <c r="AD85" s="77">
        <f ca="1">IFERROR(__xludf.DUMMYFUNCTION("IMPORTRANGE(""https://docs.google.com/spreadsheets/d/1C3CXT74ZlgGe6_JY_1olB1XN4rF0dxEuIIF-xsYjHgg/edit?usp=sharing"",""พรบ!BK89"")"),0)</f>
        <v>0</v>
      </c>
      <c r="AE85" s="77">
        <f ca="1">IFERROR(__xludf.DUMMYFUNCTION("IMPORTRANGE(""https://docs.google.com/spreadsheets/d/1C3CXT74ZlgGe6_JY_1olB1XN4rF0dxEuIIF-xsYjHgg/edit?usp=sharing"",""พรบ!BL89"")"),0)</f>
        <v>0</v>
      </c>
      <c r="AF85" s="77">
        <f ca="1">IFERROR(__xludf.DUMMYFUNCTION("IMPORTRANGE(""https://docs.google.com/spreadsheets/d/1Yj_ptqi66GCucihVvJfMjLAmec39IyEx_6qawtMGysU/edit?usp=sharing"",""สบก!CI89"")"),0)</f>
        <v>0</v>
      </c>
      <c r="AG85" s="77">
        <f ca="1">IFERROR(__xludf.DUMMYFUNCTION("IMPORTRANGE(""https://docs.google.com/spreadsheets/d/1Yj_ptqi66GCucihVvJfMjLAmec39IyEx_6qawtMGysU/edit?usp=shCKing"",""สบก!CK89"")"),0)</f>
        <v>0</v>
      </c>
      <c r="AH85" s="77">
        <f t="shared" ca="1" si="19"/>
        <v>0</v>
      </c>
      <c r="AI85" s="77">
        <f t="shared" ca="1" si="20"/>
        <v>0</v>
      </c>
      <c r="AJ85" s="77">
        <f ca="1">IFERROR(__xludf.DUMMYFUNCTION("IMPORTRANGE(""https://docs.google.com/spreadsheets/d/1Yj_ptqi66GCucihVvJfMjLAmec39IyEx_6qawtMGysU/edit?usp=sharing"",""สบก!CL89"")"),0)</f>
        <v>0</v>
      </c>
      <c r="AK85" s="137">
        <f t="shared" ca="1" si="21"/>
        <v>0</v>
      </c>
      <c r="AL85" s="137">
        <f t="shared" ca="1" si="22"/>
        <v>0</v>
      </c>
      <c r="AM85" s="137">
        <f ca="1">IFERROR(__xludf.DUMMYFUNCTION("IMPORTRANGE(""https://docs.google.com/spreadsheets/d/1Yj_ptqi66GCucihVvJfMjLAmec39IyEx_6qawtMGysU/edit?usp=sharing"",""สบก!CM89"")"),0)</f>
        <v>0</v>
      </c>
      <c r="AN85" s="137">
        <f t="shared" ca="1" si="23"/>
        <v>0</v>
      </c>
      <c r="AO85" s="77">
        <f ca="1">IFERROR(__xludf.DUMMYFUNCTION("IMPORTRANGE(""https://docs.google.com/spreadsheets/d/1C3CXT74ZlgGe6_JY_1olB1XN4rF0dxEuIIF-xsYjHgg/edit?usp=sharing"",""พรบ!BM89"")"),0)</f>
        <v>0</v>
      </c>
      <c r="AP85" s="77">
        <f ca="1">IFERROR(__xludf.DUMMYFUNCTION("IMPORTRANGE(""https://docs.google.com/spreadsheets/d/1IYY_tgx_IHuhSq3AJ5eI5OnqOPBNLWSHKh2a30DoXe8/edit?usp=sharing"",""ภูเก็ต!J195"")"),0)</f>
        <v>0</v>
      </c>
      <c r="AQ85" s="137">
        <f t="shared" ca="1" si="25"/>
        <v>0</v>
      </c>
    </row>
    <row r="86" spans="1:43" ht="21" customHeight="1">
      <c r="A86" s="73">
        <v>10</v>
      </c>
      <c r="B86" s="74" t="s">
        <v>110</v>
      </c>
      <c r="C86" s="75">
        <f t="shared" ca="1" si="0"/>
        <v>0</v>
      </c>
      <c r="D86" s="76">
        <f t="shared" ca="1" si="73"/>
        <v>0</v>
      </c>
      <c r="E86" s="77">
        <f ca="1">IFERROR(__xludf.DUMMYFUNCTION("IMPORTRANGE(""https://docs.google.com/spreadsheets/d/1C3CXT74ZlgGe6_JY_1olB1XN4rF0dxEuIIF-xsYjHgg/edit?usp=sharing"",""พรบ!BD90"")"),0)</f>
        <v>0</v>
      </c>
      <c r="F86" s="77">
        <f ca="1">IFERROR(__xludf.DUMMYFUNCTION("IMPORTRANGE(""https://docs.google.com/spreadsheets/d/1C3CXT74ZlgGe6_JY_1olB1XN4rF0dxEuIIF-xsYjHgg/edit?usp=sharing"",""พรบ!BE90"")"),0)</f>
        <v>0</v>
      </c>
      <c r="G86" s="77">
        <f ca="1">IFERROR(__xludf.DUMMYFUNCTION("IMPORTRANGE(""https://docs.google.com/spreadsheets/d/1Yj_ptqi66GCucihVvJfMjLAmec39IyEx_6qawtMGysU/edit?usp=sharing"",""สบก!BZ90"")"),0)</f>
        <v>0</v>
      </c>
      <c r="H86" s="77">
        <f ca="1">IFERROR(__xludf.DUMMYFUNCTION("IMPORTRANGE(""https://docs.google.com/spreadsheets/d/1Yj_ptqi66GCucihVvJfMjLAmec39IyEx_6qawtMGysU/edit?usp=shCBing"",""สบก!CB90"")"),0)</f>
        <v>0</v>
      </c>
      <c r="I86" s="77">
        <f t="shared" ca="1" si="3"/>
        <v>0</v>
      </c>
      <c r="J86" s="77">
        <f t="shared" ca="1" si="4"/>
        <v>0</v>
      </c>
      <c r="K86" s="77">
        <f ca="1">IFERROR(__xludf.DUMMYFUNCTION("IMPORTRANGE(""https://docs.google.com/spreadsheets/d/1Yj_ptqi66GCucihVvJfMjLAmec39IyEx_6qawtMGysU/edit?usp=sharing"",""สบก!CC90"")"),0)</f>
        <v>0</v>
      </c>
      <c r="L86" s="137">
        <f t="shared" ca="1" si="5"/>
        <v>0</v>
      </c>
      <c r="M86" s="137">
        <f t="shared" ca="1" si="6"/>
        <v>0</v>
      </c>
      <c r="N86" s="137">
        <f ca="1">IFERROR(__xludf.DUMMYFUNCTION("IMPORTRANGE(""https://docs.google.com/spreadsheets/d/1Yj_ptqi66GCucihVvJfMjLAmec39IyEx_6qawtMGysU/edit?usp=sharing"",""สบก!CD90"")"),0)</f>
        <v>0</v>
      </c>
      <c r="O86" s="137">
        <f t="shared" ca="1" si="7"/>
        <v>0</v>
      </c>
      <c r="P86" s="77">
        <f ca="1">IFERROR(__xludf.DUMMYFUNCTION("IMPORTRANGE(""https://docs.google.com/spreadsheets/d/1C3CXT74ZlgGe6_JY_1olB1XN4rF0dxEuIIF-xsYjHgg/edit?usp=sharing"",""พรบ!BF90"")"),0)</f>
        <v>0</v>
      </c>
      <c r="Q86" s="77">
        <f ca="1">IFERROR(__xludf.DUMMYFUNCTION("IMPORTRANGE(""https://docs.google.com/spreadsheets/d/1IYY_tgx_IHuhSq3AJ5eI5OnqOPBNLWSHKh2a30DoXe8/edit?usp=sharing"",""ยะลา!J179"")"),0)</f>
        <v>0</v>
      </c>
      <c r="R86" s="137">
        <f t="shared" ca="1" si="9"/>
        <v>0</v>
      </c>
      <c r="S86" s="77">
        <f ca="1">IFERROR(__xludf.DUMMYFUNCTION("IMPORTRANGE(""https://docs.google.com/spreadsheets/d/1C3CXT74ZlgGe6_JY_1olB1XN4rF0dxEuIIF-xsYjHgg/edit?usp=sharing"",""พรบ!BG90"")"),0)</f>
        <v>0</v>
      </c>
      <c r="T86" s="77">
        <f ca="1">IFERROR(__xludf.DUMMYFUNCTION("IMPORTRANGE(""https://docs.google.com/spreadsheets/d/1IYY_tgx_IHuhSq3AJ5eI5OnqOPBNLWSHKh2a30DoXe8/edit?usp=sharing"",""ยะลา!J180"")"),0)</f>
        <v>0</v>
      </c>
      <c r="U86" s="137">
        <f t="shared" ca="1" si="11"/>
        <v>0</v>
      </c>
      <c r="V86" s="77">
        <f ca="1">IFERROR(__xludf.DUMMYFUNCTION("IMPORTRANGE(""https://docs.google.com/spreadsheets/d/1C3CXT74ZlgGe6_JY_1olB1XN4rF0dxEuIIF-xsYjHgg/edit?usp=sharing"",""พรบ!BH90"")"),0)</f>
        <v>0</v>
      </c>
      <c r="W86" s="77">
        <f ca="1">IFERROR(__xludf.DUMMYFUNCTION("IMPORTRANGE(""https://docs.google.com/spreadsheets/d/1IYY_tgx_IHuhSq3AJ5eI5OnqOPBNLWSHKh2a30DoXe8/edit?usp=sharing"",""ยะลา!J181"")"),0)</f>
        <v>0</v>
      </c>
      <c r="X86" s="137">
        <f t="shared" ca="1" si="13"/>
        <v>0</v>
      </c>
      <c r="Y86" s="77">
        <f ca="1">IFERROR(__xludf.DUMMYFUNCTION("IMPORTRANGE(""https://docs.google.com/spreadsheets/d/1C3CXT74ZlgGe6_JY_1olB1XN4rF0dxEuIIF-xsYjHgg/edit?usp=sharing"",""พรบ!BI90"")"),0)</f>
        <v>0</v>
      </c>
      <c r="Z86" s="77">
        <f ca="1">IFERROR(__xludf.DUMMYFUNCTION("IMPORTRANGE(""https://docs.google.com/spreadsheets/d/1IYY_tgx_IHuhSq3AJ5eI5OnqOPBNLWSHKh2a30DoXe8/edit?usp=sharing"",""ยะลา!J182"")"),0)</f>
        <v>0</v>
      </c>
      <c r="AA86" s="137">
        <f t="shared" ca="1" si="15"/>
        <v>0</v>
      </c>
      <c r="AB86" s="75">
        <f t="shared" ca="1" si="16"/>
        <v>0</v>
      </c>
      <c r="AC86" s="76">
        <f t="shared" ca="1" si="74"/>
        <v>0</v>
      </c>
      <c r="AD86" s="77">
        <f ca="1">IFERROR(__xludf.DUMMYFUNCTION("IMPORTRANGE(""https://docs.google.com/spreadsheets/d/1C3CXT74ZlgGe6_JY_1olB1XN4rF0dxEuIIF-xsYjHgg/edit?usp=sharing"",""พรบ!BK90"")"),0)</f>
        <v>0</v>
      </c>
      <c r="AE86" s="77">
        <f ca="1">IFERROR(__xludf.DUMMYFUNCTION("IMPORTRANGE(""https://docs.google.com/spreadsheets/d/1C3CXT74ZlgGe6_JY_1olB1XN4rF0dxEuIIF-xsYjHgg/edit?usp=sharing"",""พรบ!BL90"")"),0)</f>
        <v>0</v>
      </c>
      <c r="AF86" s="77">
        <f ca="1">IFERROR(__xludf.DUMMYFUNCTION("IMPORTRANGE(""https://docs.google.com/spreadsheets/d/1Yj_ptqi66GCucihVvJfMjLAmec39IyEx_6qawtMGysU/edit?usp=sharing"",""สบก!CI90"")"),0)</f>
        <v>0</v>
      </c>
      <c r="AG86" s="77">
        <f ca="1">IFERROR(__xludf.DUMMYFUNCTION("IMPORTRANGE(""https://docs.google.com/spreadsheets/d/1Yj_ptqi66GCucihVvJfMjLAmec39IyEx_6qawtMGysU/edit?usp=shCKing"",""สบก!CK90"")"),0)</f>
        <v>0</v>
      </c>
      <c r="AH86" s="77">
        <f t="shared" ca="1" si="19"/>
        <v>0</v>
      </c>
      <c r="AI86" s="77">
        <f t="shared" ca="1" si="20"/>
        <v>0</v>
      </c>
      <c r="AJ86" s="77">
        <f ca="1">IFERROR(__xludf.DUMMYFUNCTION("IMPORTRANGE(""https://docs.google.com/spreadsheets/d/1Yj_ptqi66GCucihVvJfMjLAmec39IyEx_6qawtMGysU/edit?usp=sharing"",""สบก!CL90"")"),0)</f>
        <v>0</v>
      </c>
      <c r="AK86" s="137">
        <f t="shared" ca="1" si="21"/>
        <v>0</v>
      </c>
      <c r="AL86" s="137">
        <f t="shared" ca="1" si="22"/>
        <v>0</v>
      </c>
      <c r="AM86" s="137">
        <f ca="1">IFERROR(__xludf.DUMMYFUNCTION("IMPORTRANGE(""https://docs.google.com/spreadsheets/d/1Yj_ptqi66GCucihVvJfMjLAmec39IyEx_6qawtMGysU/edit?usp=sharing"",""สบก!CM90"")"),0)</f>
        <v>0</v>
      </c>
      <c r="AN86" s="137">
        <f t="shared" ca="1" si="23"/>
        <v>0</v>
      </c>
      <c r="AO86" s="77">
        <f ca="1">IFERROR(__xludf.DUMMYFUNCTION("IMPORTRANGE(""https://docs.google.com/spreadsheets/d/1C3CXT74ZlgGe6_JY_1olB1XN4rF0dxEuIIF-xsYjHgg/edit?usp=sharing"",""พรบ!BM90"")"),0)</f>
        <v>0</v>
      </c>
      <c r="AP86" s="77">
        <f ca="1">IFERROR(__xludf.DUMMYFUNCTION("IMPORTRANGE(""https://docs.google.com/spreadsheets/d/1IYY_tgx_IHuhSq3AJ5eI5OnqOPBNLWSHKh2a30DoXe8/edit?usp=sharing"",""ยะลา!J195"")"),0)</f>
        <v>0</v>
      </c>
      <c r="AQ86" s="137">
        <f t="shared" ca="1" si="25"/>
        <v>0</v>
      </c>
    </row>
    <row r="87" spans="1:43" ht="21" customHeight="1">
      <c r="A87" s="73">
        <v>11</v>
      </c>
      <c r="B87" s="74" t="s">
        <v>111</v>
      </c>
      <c r="C87" s="75">
        <f t="shared" ca="1" si="0"/>
        <v>0</v>
      </c>
      <c r="D87" s="76">
        <f t="shared" ca="1" si="73"/>
        <v>0</v>
      </c>
      <c r="E87" s="77">
        <f ca="1">IFERROR(__xludf.DUMMYFUNCTION("IMPORTRANGE(""https://docs.google.com/spreadsheets/d/1C3CXT74ZlgGe6_JY_1olB1XN4rF0dxEuIIF-xsYjHgg/edit?usp=sharing"",""พรบ!BD91"")"),0)</f>
        <v>0</v>
      </c>
      <c r="F87" s="77">
        <f ca="1">IFERROR(__xludf.DUMMYFUNCTION("IMPORTRANGE(""https://docs.google.com/spreadsheets/d/1C3CXT74ZlgGe6_JY_1olB1XN4rF0dxEuIIF-xsYjHgg/edit?usp=sharing"",""พรบ!BE91"")"),0)</f>
        <v>0</v>
      </c>
      <c r="G87" s="77">
        <f ca="1">IFERROR(__xludf.DUMMYFUNCTION("IMPORTRANGE(""https://docs.google.com/spreadsheets/d/1Yj_ptqi66GCucihVvJfMjLAmec39IyEx_6qawtMGysU/edit?usp=sharing"",""สบก!BZ91"")"),0)</f>
        <v>0</v>
      </c>
      <c r="H87" s="77">
        <f ca="1">IFERROR(__xludf.DUMMYFUNCTION("IMPORTRANGE(""https://docs.google.com/spreadsheets/d/1Yj_ptqi66GCucihVvJfMjLAmec39IyEx_6qawtMGysU/edit?usp=shCBing"",""สบก!CB91"")"),0)</f>
        <v>0</v>
      </c>
      <c r="I87" s="77">
        <f t="shared" ca="1" si="3"/>
        <v>0</v>
      </c>
      <c r="J87" s="77">
        <f t="shared" ca="1" si="4"/>
        <v>0</v>
      </c>
      <c r="K87" s="77">
        <f ca="1">IFERROR(__xludf.DUMMYFUNCTION("IMPORTRANGE(""https://docs.google.com/spreadsheets/d/1Yj_ptqi66GCucihVvJfMjLAmec39IyEx_6qawtMGysU/edit?usp=sharing"",""สบก!CC91"")"),0)</f>
        <v>0</v>
      </c>
      <c r="L87" s="137">
        <f t="shared" ca="1" si="5"/>
        <v>0</v>
      </c>
      <c r="M87" s="137">
        <f t="shared" ca="1" si="6"/>
        <v>0</v>
      </c>
      <c r="N87" s="137">
        <f ca="1">IFERROR(__xludf.DUMMYFUNCTION("IMPORTRANGE(""https://docs.google.com/spreadsheets/d/1Yj_ptqi66GCucihVvJfMjLAmec39IyEx_6qawtMGysU/edit?usp=sharing"",""สบก!CD91"")"),0)</f>
        <v>0</v>
      </c>
      <c r="O87" s="137">
        <f t="shared" ca="1" si="7"/>
        <v>0</v>
      </c>
      <c r="P87" s="77">
        <f ca="1">IFERROR(__xludf.DUMMYFUNCTION("IMPORTRANGE(""https://docs.google.com/spreadsheets/d/1C3CXT74ZlgGe6_JY_1olB1XN4rF0dxEuIIF-xsYjHgg/edit?usp=sharing"",""พรบ!BF91"")"),0)</f>
        <v>0</v>
      </c>
      <c r="Q87" s="77">
        <f ca="1">IFERROR(__xludf.DUMMYFUNCTION("IMPORTRANGE(""https://docs.google.com/spreadsheets/d/1IYY_tgx_IHuhSq3AJ5eI5OnqOPBNLWSHKh2a30DoXe8/edit?usp=sharing"",""ระนอง!J179"")"),0)</f>
        <v>0</v>
      </c>
      <c r="R87" s="137">
        <f t="shared" ca="1" si="9"/>
        <v>0</v>
      </c>
      <c r="S87" s="77">
        <f ca="1">IFERROR(__xludf.DUMMYFUNCTION("IMPORTRANGE(""https://docs.google.com/spreadsheets/d/1C3CXT74ZlgGe6_JY_1olB1XN4rF0dxEuIIF-xsYjHgg/edit?usp=sharing"",""พรบ!BG91"")"),0)</f>
        <v>0</v>
      </c>
      <c r="T87" s="77">
        <f ca="1">IFERROR(__xludf.DUMMYFUNCTION("IMPORTRANGE(""https://docs.google.com/spreadsheets/d/1IYY_tgx_IHuhSq3AJ5eI5OnqOPBNLWSHKh2a30DoXe8/edit?usp=sharing"",""ระนอง!J180"")"),0)</f>
        <v>0</v>
      </c>
      <c r="U87" s="137">
        <f t="shared" ca="1" si="11"/>
        <v>0</v>
      </c>
      <c r="V87" s="77">
        <f ca="1">IFERROR(__xludf.DUMMYFUNCTION("IMPORTRANGE(""https://docs.google.com/spreadsheets/d/1C3CXT74ZlgGe6_JY_1olB1XN4rF0dxEuIIF-xsYjHgg/edit?usp=sharing"",""พรบ!BH91"")"),0)</f>
        <v>0</v>
      </c>
      <c r="W87" s="77">
        <f ca="1">IFERROR(__xludf.DUMMYFUNCTION("IMPORTRANGE(""https://docs.google.com/spreadsheets/d/1IYY_tgx_IHuhSq3AJ5eI5OnqOPBNLWSHKh2a30DoXe8/edit?usp=sharing"",""ระนอง!J181"")"),0)</f>
        <v>0</v>
      </c>
      <c r="X87" s="137">
        <f t="shared" ca="1" si="13"/>
        <v>0</v>
      </c>
      <c r="Y87" s="77">
        <f ca="1">IFERROR(__xludf.DUMMYFUNCTION("IMPORTRANGE(""https://docs.google.com/spreadsheets/d/1C3CXT74ZlgGe6_JY_1olB1XN4rF0dxEuIIF-xsYjHgg/edit?usp=sharing"",""พรบ!BI91"")"),0)</f>
        <v>0</v>
      </c>
      <c r="Z87" s="77">
        <f ca="1">IFERROR(__xludf.DUMMYFUNCTION("IMPORTRANGE(""https://docs.google.com/spreadsheets/d/1IYY_tgx_IHuhSq3AJ5eI5OnqOPBNLWSHKh2a30DoXe8/edit?usp=sharing"",""ระนอง!J182"")"),0)</f>
        <v>0</v>
      </c>
      <c r="AA87" s="137">
        <f t="shared" ca="1" si="15"/>
        <v>0</v>
      </c>
      <c r="AB87" s="75">
        <f t="shared" ca="1" si="16"/>
        <v>0</v>
      </c>
      <c r="AC87" s="76">
        <f t="shared" ca="1" si="74"/>
        <v>0</v>
      </c>
      <c r="AD87" s="77">
        <f ca="1">IFERROR(__xludf.DUMMYFUNCTION("IMPORTRANGE(""https://docs.google.com/spreadsheets/d/1C3CXT74ZlgGe6_JY_1olB1XN4rF0dxEuIIF-xsYjHgg/edit?usp=sharing"",""พรบ!BK91"")"),0)</f>
        <v>0</v>
      </c>
      <c r="AE87" s="77">
        <f ca="1">IFERROR(__xludf.DUMMYFUNCTION("IMPORTRANGE(""https://docs.google.com/spreadsheets/d/1C3CXT74ZlgGe6_JY_1olB1XN4rF0dxEuIIF-xsYjHgg/edit?usp=sharing"",""พรบ!BL91"")"),0)</f>
        <v>0</v>
      </c>
      <c r="AF87" s="77">
        <f ca="1">IFERROR(__xludf.DUMMYFUNCTION("IMPORTRANGE(""https://docs.google.com/spreadsheets/d/1Yj_ptqi66GCucihVvJfMjLAmec39IyEx_6qawtMGysU/edit?usp=sharing"",""สบก!CI91"")"),0)</f>
        <v>0</v>
      </c>
      <c r="AG87" s="77">
        <f ca="1">IFERROR(__xludf.DUMMYFUNCTION("IMPORTRANGE(""https://docs.google.com/spreadsheets/d/1Yj_ptqi66GCucihVvJfMjLAmec39IyEx_6qawtMGysU/edit?usp=shCKing"",""สบก!CK91"")"),0)</f>
        <v>0</v>
      </c>
      <c r="AH87" s="77">
        <f t="shared" ca="1" si="19"/>
        <v>0</v>
      </c>
      <c r="AI87" s="77">
        <f t="shared" ca="1" si="20"/>
        <v>0</v>
      </c>
      <c r="AJ87" s="77">
        <f ca="1">IFERROR(__xludf.DUMMYFUNCTION("IMPORTRANGE(""https://docs.google.com/spreadsheets/d/1Yj_ptqi66GCucihVvJfMjLAmec39IyEx_6qawtMGysU/edit?usp=sharing"",""สบก!CL91"")"),0)</f>
        <v>0</v>
      </c>
      <c r="AK87" s="137">
        <f t="shared" ca="1" si="21"/>
        <v>0</v>
      </c>
      <c r="AL87" s="137">
        <f t="shared" ca="1" si="22"/>
        <v>0</v>
      </c>
      <c r="AM87" s="137">
        <f ca="1">IFERROR(__xludf.DUMMYFUNCTION("IMPORTRANGE(""https://docs.google.com/spreadsheets/d/1Yj_ptqi66GCucihVvJfMjLAmec39IyEx_6qawtMGysU/edit?usp=sharing"",""สบก!CM91"")"),0)</f>
        <v>0</v>
      </c>
      <c r="AN87" s="137">
        <f t="shared" ca="1" si="23"/>
        <v>0</v>
      </c>
      <c r="AO87" s="77">
        <f ca="1">IFERROR(__xludf.DUMMYFUNCTION("IMPORTRANGE(""https://docs.google.com/spreadsheets/d/1C3CXT74ZlgGe6_JY_1olB1XN4rF0dxEuIIF-xsYjHgg/edit?usp=sharing"",""พรบ!BM91"")"),0)</f>
        <v>0</v>
      </c>
      <c r="AP87" s="77">
        <f ca="1">IFERROR(__xludf.DUMMYFUNCTION("IMPORTRANGE(""https://docs.google.com/spreadsheets/d/1IYY_tgx_IHuhSq3AJ5eI5OnqOPBNLWSHKh2a30DoXe8/edit?usp=sharing"",""ระนอง!J195"")"),0)</f>
        <v>0</v>
      </c>
      <c r="AQ87" s="137">
        <f t="shared" ca="1" si="25"/>
        <v>0</v>
      </c>
    </row>
    <row r="88" spans="1:43" ht="24" customHeight="1">
      <c r="A88" s="73">
        <v>12</v>
      </c>
      <c r="B88" s="74" t="s">
        <v>112</v>
      </c>
      <c r="C88" s="75">
        <f t="shared" ca="1" si="0"/>
        <v>0</v>
      </c>
      <c r="D88" s="76">
        <f t="shared" ca="1" si="73"/>
        <v>0</v>
      </c>
      <c r="E88" s="77">
        <f ca="1">IFERROR(__xludf.DUMMYFUNCTION("IMPORTRANGE(""https://docs.google.com/spreadsheets/d/1C3CXT74ZlgGe6_JY_1olB1XN4rF0dxEuIIF-xsYjHgg/edit?usp=sharing"",""พรบ!BD92"")"),0)</f>
        <v>0</v>
      </c>
      <c r="F88" s="77">
        <f ca="1">IFERROR(__xludf.DUMMYFUNCTION("IMPORTRANGE(""https://docs.google.com/spreadsheets/d/1C3CXT74ZlgGe6_JY_1olB1XN4rF0dxEuIIF-xsYjHgg/edit?usp=sharing"",""พรบ!BE92"")"),0)</f>
        <v>0</v>
      </c>
      <c r="G88" s="77">
        <f ca="1">IFERROR(__xludf.DUMMYFUNCTION("IMPORTRANGE(""https://docs.google.com/spreadsheets/d/1Yj_ptqi66GCucihVvJfMjLAmec39IyEx_6qawtMGysU/edit?usp=sharing"",""สบก!BZ92"")"),0)</f>
        <v>0</v>
      </c>
      <c r="H88" s="77">
        <f ca="1">IFERROR(__xludf.DUMMYFUNCTION("IMPORTRANGE(""https://docs.google.com/spreadsheets/d/1Yj_ptqi66GCucihVvJfMjLAmec39IyEx_6qawtMGysU/edit?usp=shCBing"",""สบก!CB92"")"),0)</f>
        <v>0</v>
      </c>
      <c r="I88" s="77">
        <f t="shared" ca="1" si="3"/>
        <v>0</v>
      </c>
      <c r="J88" s="77">
        <f t="shared" ca="1" si="4"/>
        <v>0</v>
      </c>
      <c r="K88" s="77">
        <f ca="1">IFERROR(__xludf.DUMMYFUNCTION("IMPORTRANGE(""https://docs.google.com/spreadsheets/d/1Yj_ptqi66GCucihVvJfMjLAmec39IyEx_6qawtMGysU/edit?usp=sharing"",""สบก!CC92"")"),0)</f>
        <v>0</v>
      </c>
      <c r="L88" s="137">
        <f t="shared" ca="1" si="5"/>
        <v>0</v>
      </c>
      <c r="M88" s="137">
        <f t="shared" ca="1" si="6"/>
        <v>0</v>
      </c>
      <c r="N88" s="137">
        <f ca="1">IFERROR(__xludf.DUMMYFUNCTION("IMPORTRANGE(""https://docs.google.com/spreadsheets/d/1Yj_ptqi66GCucihVvJfMjLAmec39IyEx_6qawtMGysU/edit?usp=sharing"",""สบก!CD92"")"),0)</f>
        <v>0</v>
      </c>
      <c r="O88" s="137">
        <f t="shared" ca="1" si="7"/>
        <v>0</v>
      </c>
      <c r="P88" s="77">
        <f ca="1">IFERROR(__xludf.DUMMYFUNCTION("IMPORTRANGE(""https://docs.google.com/spreadsheets/d/1C3CXT74ZlgGe6_JY_1olB1XN4rF0dxEuIIF-xsYjHgg/edit?usp=sharing"",""พรบ!BF92"")"),0)</f>
        <v>0</v>
      </c>
      <c r="Q88" s="77">
        <f ca="1">IFERROR(__xludf.DUMMYFUNCTION("IMPORTRANGE(""https://docs.google.com/spreadsheets/d/1IYY_tgx_IHuhSq3AJ5eI5OnqOPBNLWSHKh2a30DoXe8/edit?usp=sharing"",""สงขลา!J179"")"),0)</f>
        <v>0</v>
      </c>
      <c r="R88" s="137">
        <f t="shared" ca="1" si="9"/>
        <v>0</v>
      </c>
      <c r="S88" s="77">
        <f ca="1">IFERROR(__xludf.DUMMYFUNCTION("IMPORTRANGE(""https://docs.google.com/spreadsheets/d/1C3CXT74ZlgGe6_JY_1olB1XN4rF0dxEuIIF-xsYjHgg/edit?usp=sharing"",""พรบ!BG92"")"),0)</f>
        <v>0</v>
      </c>
      <c r="T88" s="77">
        <f ca="1">IFERROR(__xludf.DUMMYFUNCTION("IMPORTRANGE(""https://docs.google.com/spreadsheets/d/1IYY_tgx_IHuhSq3AJ5eI5OnqOPBNLWSHKh2a30DoXe8/edit?usp=sharing"",""สงขลา!J180"")"),0)</f>
        <v>0</v>
      </c>
      <c r="U88" s="137">
        <f t="shared" ca="1" si="11"/>
        <v>0</v>
      </c>
      <c r="V88" s="77">
        <f ca="1">IFERROR(__xludf.DUMMYFUNCTION("IMPORTRANGE(""https://docs.google.com/spreadsheets/d/1C3CXT74ZlgGe6_JY_1olB1XN4rF0dxEuIIF-xsYjHgg/edit?usp=sharing"",""พรบ!BH92"")"),0)</f>
        <v>0</v>
      </c>
      <c r="W88" s="77">
        <f ca="1">IFERROR(__xludf.DUMMYFUNCTION("IMPORTRANGE(""https://docs.google.com/spreadsheets/d/1IYY_tgx_IHuhSq3AJ5eI5OnqOPBNLWSHKh2a30DoXe8/edit?usp=sharing"",""สงขลา!J181"")"),0)</f>
        <v>0</v>
      </c>
      <c r="X88" s="137">
        <f t="shared" ca="1" si="13"/>
        <v>0</v>
      </c>
      <c r="Y88" s="77">
        <f ca="1">IFERROR(__xludf.DUMMYFUNCTION("IMPORTRANGE(""https://docs.google.com/spreadsheets/d/1C3CXT74ZlgGe6_JY_1olB1XN4rF0dxEuIIF-xsYjHgg/edit?usp=sharing"",""พรบ!BI92"")"),0)</f>
        <v>0</v>
      </c>
      <c r="Z88" s="77">
        <f ca="1">IFERROR(__xludf.DUMMYFUNCTION("IMPORTRANGE(""https://docs.google.com/spreadsheets/d/1IYY_tgx_IHuhSq3AJ5eI5OnqOPBNLWSHKh2a30DoXe8/edit?usp=sharing"",""สงขลา!J182"")"),0)</f>
        <v>0</v>
      </c>
      <c r="AA88" s="137">
        <f t="shared" ca="1" si="15"/>
        <v>0</v>
      </c>
      <c r="AB88" s="75">
        <f t="shared" ca="1" si="16"/>
        <v>187200</v>
      </c>
      <c r="AC88" s="76">
        <f t="shared" ca="1" si="74"/>
        <v>187200</v>
      </c>
      <c r="AD88" s="77">
        <f ca="1">IFERROR(__xludf.DUMMYFUNCTION("IMPORTRANGE(""https://docs.google.com/spreadsheets/d/1C3CXT74ZlgGe6_JY_1olB1XN4rF0dxEuIIF-xsYjHgg/edit?usp=sharing"",""พรบ!BK92"")"),132000)</f>
        <v>132000</v>
      </c>
      <c r="AE88" s="77">
        <f ca="1">IFERROR(__xludf.DUMMYFUNCTION("IMPORTRANGE(""https://docs.google.com/spreadsheets/d/1C3CXT74ZlgGe6_JY_1olB1XN4rF0dxEuIIF-xsYjHgg/edit?usp=sharing"",""พรบ!BL92"")"),55200)</f>
        <v>55200</v>
      </c>
      <c r="AF88" s="77">
        <f ca="1">IFERROR(__xludf.DUMMYFUNCTION("IMPORTRANGE(""https://docs.google.com/spreadsheets/d/1Yj_ptqi66GCucihVvJfMjLAmec39IyEx_6qawtMGysU/edit?usp=sharing"",""สบก!CI92"")"),0)</f>
        <v>0</v>
      </c>
      <c r="AG88" s="77">
        <f ca="1">IFERROR(__xludf.DUMMYFUNCTION("IMPORTRANGE(""https://docs.google.com/spreadsheets/d/1Yj_ptqi66GCucihVvJfMjLAmec39IyEx_6qawtMGysU/edit?usp=shCKing"",""สบก!CK92"")"),131250)</f>
        <v>131250</v>
      </c>
      <c r="AH88" s="77">
        <f t="shared" ca="1" si="19"/>
        <v>99530</v>
      </c>
      <c r="AI88" s="77">
        <f t="shared" ca="1" si="20"/>
        <v>53.167735042735046</v>
      </c>
      <c r="AJ88" s="77">
        <f ca="1">IFERROR(__xludf.DUMMYFUNCTION("IMPORTRANGE(""https://docs.google.com/spreadsheets/d/1Yj_ptqi66GCucihVvJfMjLAmec39IyEx_6qawtMGysU/edit?usp=sharing"",""สบก!CL92"")"),99530)</f>
        <v>99530</v>
      </c>
      <c r="AK88" s="137">
        <f t="shared" ca="1" si="21"/>
        <v>53.167735042735046</v>
      </c>
      <c r="AL88" s="137">
        <f t="shared" ca="1" si="22"/>
        <v>75.832380952380959</v>
      </c>
      <c r="AM88" s="137">
        <f ca="1">IFERROR(__xludf.DUMMYFUNCTION("IMPORTRANGE(""https://docs.google.com/spreadsheets/d/1Yj_ptqi66GCucihVvJfMjLAmec39IyEx_6qawtMGysU/edit?usp=sharing"",""สบก!CM92"")"),0)</f>
        <v>0</v>
      </c>
      <c r="AN88" s="137">
        <f t="shared" ca="1" si="23"/>
        <v>0</v>
      </c>
      <c r="AO88" s="77">
        <f ca="1">IFERROR(__xludf.DUMMYFUNCTION("IMPORTRANGE(""https://docs.google.com/spreadsheets/d/1C3CXT74ZlgGe6_JY_1olB1XN4rF0dxEuIIF-xsYjHgg/edit?usp=sharing"",""พรบ!BM92"")"),15)</f>
        <v>15</v>
      </c>
      <c r="AP88" s="77">
        <f ca="1">IFERROR(__xludf.DUMMYFUNCTION("IMPORTRANGE(""https://docs.google.com/spreadsheets/d/1IYY_tgx_IHuhSq3AJ5eI5OnqOPBNLWSHKh2a30DoXe8/edit?usp=sharing"",""สงขลา!J195"")"),15)</f>
        <v>15</v>
      </c>
      <c r="AQ88" s="137">
        <f t="shared" ca="1" si="25"/>
        <v>100</v>
      </c>
    </row>
    <row r="89" spans="1:43" ht="24" customHeight="1">
      <c r="A89" s="73">
        <v>13</v>
      </c>
      <c r="B89" s="74" t="s">
        <v>113</v>
      </c>
      <c r="C89" s="75">
        <f t="shared" ca="1" si="0"/>
        <v>0</v>
      </c>
      <c r="D89" s="76">
        <f t="shared" ca="1" si="73"/>
        <v>0</v>
      </c>
      <c r="E89" s="77">
        <f ca="1">IFERROR(__xludf.DUMMYFUNCTION("IMPORTRANGE(""https://docs.google.com/spreadsheets/d/1C3CXT74ZlgGe6_JY_1olB1XN4rF0dxEuIIF-xsYjHgg/edit?usp=sharing"",""พรบ!BD93"")"),0)</f>
        <v>0</v>
      </c>
      <c r="F89" s="77">
        <f ca="1">IFERROR(__xludf.DUMMYFUNCTION("IMPORTRANGE(""https://docs.google.com/spreadsheets/d/1C3CXT74ZlgGe6_JY_1olB1XN4rF0dxEuIIF-xsYjHgg/edit?usp=sharing"",""พรบ!BE93"")"),0)</f>
        <v>0</v>
      </c>
      <c r="G89" s="77">
        <f ca="1">IFERROR(__xludf.DUMMYFUNCTION("IMPORTRANGE(""https://docs.google.com/spreadsheets/d/1Yj_ptqi66GCucihVvJfMjLAmec39IyEx_6qawtMGysU/edit?usp=sharing"",""สบก!BZ93"")"),0)</f>
        <v>0</v>
      </c>
      <c r="H89" s="77">
        <f ca="1">IFERROR(__xludf.DUMMYFUNCTION("IMPORTRANGE(""https://docs.google.com/spreadsheets/d/1Yj_ptqi66GCucihVvJfMjLAmec39IyEx_6qawtMGysU/edit?usp=shCBing"",""สบก!CB93"")"),0)</f>
        <v>0</v>
      </c>
      <c r="I89" s="77">
        <f t="shared" ca="1" si="3"/>
        <v>0</v>
      </c>
      <c r="J89" s="77">
        <f t="shared" ca="1" si="4"/>
        <v>0</v>
      </c>
      <c r="K89" s="77">
        <f ca="1">IFERROR(__xludf.DUMMYFUNCTION("IMPORTRANGE(""https://docs.google.com/spreadsheets/d/1Yj_ptqi66GCucihVvJfMjLAmec39IyEx_6qawtMGysU/edit?usp=sharing"",""สบก!CC93"")"),0)</f>
        <v>0</v>
      </c>
      <c r="L89" s="137">
        <f t="shared" ca="1" si="5"/>
        <v>0</v>
      </c>
      <c r="M89" s="137">
        <f t="shared" ca="1" si="6"/>
        <v>0</v>
      </c>
      <c r="N89" s="137">
        <f ca="1">IFERROR(__xludf.DUMMYFUNCTION("IMPORTRANGE(""https://docs.google.com/spreadsheets/d/1Yj_ptqi66GCucihVvJfMjLAmec39IyEx_6qawtMGysU/edit?usp=sharing"",""สบก!CD93"")"),0)</f>
        <v>0</v>
      </c>
      <c r="O89" s="137">
        <f t="shared" ca="1" si="7"/>
        <v>0</v>
      </c>
      <c r="P89" s="77">
        <f ca="1">IFERROR(__xludf.DUMMYFUNCTION("IMPORTRANGE(""https://docs.google.com/spreadsheets/d/1C3CXT74ZlgGe6_JY_1olB1XN4rF0dxEuIIF-xsYjHgg/edit?usp=sharing"",""พรบ!BF93"")"),0)</f>
        <v>0</v>
      </c>
      <c r="Q89" s="77">
        <f ca="1">IFERROR(__xludf.DUMMYFUNCTION("IMPORTRANGE(""https://docs.google.com/spreadsheets/d/1IYY_tgx_IHuhSq3AJ5eI5OnqOPBNLWSHKh2a30DoXe8/edit?usp=sharing"",""สตูล!J179"")"),0)</f>
        <v>0</v>
      </c>
      <c r="R89" s="137">
        <f t="shared" ca="1" si="9"/>
        <v>0</v>
      </c>
      <c r="S89" s="77">
        <f ca="1">IFERROR(__xludf.DUMMYFUNCTION("IMPORTRANGE(""https://docs.google.com/spreadsheets/d/1C3CXT74ZlgGe6_JY_1olB1XN4rF0dxEuIIF-xsYjHgg/edit?usp=sharing"",""พรบ!BG93"")"),0)</f>
        <v>0</v>
      </c>
      <c r="T89" s="77">
        <f ca="1">IFERROR(__xludf.DUMMYFUNCTION("IMPORTRANGE(""https://docs.google.com/spreadsheets/d/1IYY_tgx_IHuhSq3AJ5eI5OnqOPBNLWSHKh2a30DoXe8/edit?usp=sharing"",""สตูล!J180"")"),0)</f>
        <v>0</v>
      </c>
      <c r="U89" s="137">
        <f t="shared" ca="1" si="11"/>
        <v>0</v>
      </c>
      <c r="V89" s="77">
        <f ca="1">IFERROR(__xludf.DUMMYFUNCTION("IMPORTRANGE(""https://docs.google.com/spreadsheets/d/1C3CXT74ZlgGe6_JY_1olB1XN4rF0dxEuIIF-xsYjHgg/edit?usp=sharing"",""พรบ!BH93"")"),0)</f>
        <v>0</v>
      </c>
      <c r="W89" s="77">
        <f ca="1">IFERROR(__xludf.DUMMYFUNCTION("IMPORTRANGE(""https://docs.google.com/spreadsheets/d/1IYY_tgx_IHuhSq3AJ5eI5OnqOPBNLWSHKh2a30DoXe8/edit?usp=sharing"",""สตูล!J181"")"),0)</f>
        <v>0</v>
      </c>
      <c r="X89" s="137">
        <f t="shared" ca="1" si="13"/>
        <v>0</v>
      </c>
      <c r="Y89" s="77">
        <f ca="1">IFERROR(__xludf.DUMMYFUNCTION("IMPORTRANGE(""https://docs.google.com/spreadsheets/d/1C3CXT74ZlgGe6_JY_1olB1XN4rF0dxEuIIF-xsYjHgg/edit?usp=sharing"",""พรบ!BI93"")"),0)</f>
        <v>0</v>
      </c>
      <c r="Z89" s="77">
        <f ca="1">IFERROR(__xludf.DUMMYFUNCTION("IMPORTRANGE(""https://docs.google.com/spreadsheets/d/1IYY_tgx_IHuhSq3AJ5eI5OnqOPBNLWSHKh2a30DoXe8/edit?usp=sharing"",""สตูล!J182"")"),0)</f>
        <v>0</v>
      </c>
      <c r="AA89" s="137">
        <f t="shared" ca="1" si="15"/>
        <v>0</v>
      </c>
      <c r="AB89" s="75">
        <f t="shared" ca="1" si="16"/>
        <v>187200</v>
      </c>
      <c r="AC89" s="76">
        <f t="shared" ca="1" si="74"/>
        <v>187200</v>
      </c>
      <c r="AD89" s="77">
        <f ca="1">IFERROR(__xludf.DUMMYFUNCTION("IMPORTRANGE(""https://docs.google.com/spreadsheets/d/1C3CXT74ZlgGe6_JY_1olB1XN4rF0dxEuIIF-xsYjHgg/edit?usp=sharing"",""พรบ!BK93"")"),132000)</f>
        <v>132000</v>
      </c>
      <c r="AE89" s="77">
        <f ca="1">IFERROR(__xludf.DUMMYFUNCTION("IMPORTRANGE(""https://docs.google.com/spreadsheets/d/1C3CXT74ZlgGe6_JY_1olB1XN4rF0dxEuIIF-xsYjHgg/edit?usp=sharing"",""พรบ!BL93"")"),55200)</f>
        <v>55200</v>
      </c>
      <c r="AF89" s="77">
        <f ca="1">IFERROR(__xludf.DUMMYFUNCTION("IMPORTRANGE(""https://docs.google.com/spreadsheets/d/1Yj_ptqi66GCucihVvJfMjLAmec39IyEx_6qawtMGysU/edit?usp=sharing"",""สบก!CI93"")"),0)</f>
        <v>0</v>
      </c>
      <c r="AG89" s="77">
        <f ca="1">IFERROR(__xludf.DUMMYFUNCTION("IMPORTRANGE(""https://docs.google.com/spreadsheets/d/1Yj_ptqi66GCucihVvJfMjLAmec39IyEx_6qawtMGysU/edit?usp=shCKing"",""สบก!CK93"")"),131250)</f>
        <v>131250</v>
      </c>
      <c r="AH89" s="77">
        <f t="shared" ca="1" si="19"/>
        <v>80418</v>
      </c>
      <c r="AI89" s="77">
        <f t="shared" ca="1" si="20"/>
        <v>42.958333333333336</v>
      </c>
      <c r="AJ89" s="77">
        <f ca="1">IFERROR(__xludf.DUMMYFUNCTION("IMPORTRANGE(""https://docs.google.com/spreadsheets/d/1Yj_ptqi66GCucihVvJfMjLAmec39IyEx_6qawtMGysU/edit?usp=sharing"",""สบก!CL93"")"),80418)</f>
        <v>80418</v>
      </c>
      <c r="AK89" s="137">
        <f t="shared" ca="1" si="21"/>
        <v>42.958333333333336</v>
      </c>
      <c r="AL89" s="137">
        <f t="shared" ca="1" si="22"/>
        <v>61.270857142857146</v>
      </c>
      <c r="AM89" s="137">
        <f ca="1">IFERROR(__xludf.DUMMYFUNCTION("IMPORTRANGE(""https://docs.google.com/spreadsheets/d/1Yj_ptqi66GCucihVvJfMjLAmec39IyEx_6qawtMGysU/edit?usp=sharing"",""สบก!CM93"")"),0)</f>
        <v>0</v>
      </c>
      <c r="AN89" s="137">
        <f t="shared" ca="1" si="23"/>
        <v>0</v>
      </c>
      <c r="AO89" s="77">
        <f ca="1">IFERROR(__xludf.DUMMYFUNCTION("IMPORTRANGE(""https://docs.google.com/spreadsheets/d/1C3CXT74ZlgGe6_JY_1olB1XN4rF0dxEuIIF-xsYjHgg/edit?usp=sharing"",""พรบ!BM93"")"),15)</f>
        <v>15</v>
      </c>
      <c r="AP89" s="77">
        <f ca="1">IFERROR(__xludf.DUMMYFUNCTION("IMPORTRANGE(""https://docs.google.com/spreadsheets/d/1IYY_tgx_IHuhSq3AJ5eI5OnqOPBNLWSHKh2a30DoXe8/edit?usp=sharing"",""สตูล!J195"")"),15)</f>
        <v>15</v>
      </c>
      <c r="AQ89" s="137">
        <f t="shared" ca="1" si="25"/>
        <v>100</v>
      </c>
    </row>
    <row r="90" spans="1:43" ht="24" customHeight="1">
      <c r="A90" s="84">
        <v>14</v>
      </c>
      <c r="B90" s="85" t="s">
        <v>114</v>
      </c>
      <c r="C90" s="86">
        <f t="shared" ca="1" si="0"/>
        <v>89000</v>
      </c>
      <c r="D90" s="87">
        <f t="shared" ca="1" si="73"/>
        <v>89000</v>
      </c>
      <c r="E90" s="88">
        <f ca="1">IFERROR(__xludf.DUMMYFUNCTION("IMPORTRANGE(""https://docs.google.com/spreadsheets/d/1C3CXT74ZlgGe6_JY_1olB1XN4rF0dxEuIIF-xsYjHgg/edit?usp=sharing"",""พรบ!BD94"")"),0)</f>
        <v>0</v>
      </c>
      <c r="F90" s="88">
        <f ca="1">IFERROR(__xludf.DUMMYFUNCTION("IMPORTRANGE(""https://docs.google.com/spreadsheets/d/1C3CXT74ZlgGe6_JY_1olB1XN4rF0dxEuIIF-xsYjHgg/edit?usp=sharing"",""พรบ!BE94"")"),89000)</f>
        <v>89000</v>
      </c>
      <c r="G90" s="88">
        <f ca="1">IFERROR(__xludf.DUMMYFUNCTION("IMPORTRANGE(""https://docs.google.com/spreadsheets/d/1Yj_ptqi66GCucihVvJfMjLAmec39IyEx_6qawtMGysU/edit?usp=sharing"",""สบก!BZ94"")"),0)</f>
        <v>0</v>
      </c>
      <c r="H90" s="88">
        <f ca="1">IFERROR(__xludf.DUMMYFUNCTION("IMPORTRANGE(""https://docs.google.com/spreadsheets/d/1Yj_ptqi66GCucihVvJfMjLAmec39IyEx_6qawtMGysU/edit?usp=shCBing"",""สบก!CB94"")"),47500)</f>
        <v>47500</v>
      </c>
      <c r="I90" s="88">
        <f t="shared" ca="1" si="3"/>
        <v>42070</v>
      </c>
      <c r="J90" s="88">
        <f t="shared" ca="1" si="4"/>
        <v>47.269662921348313</v>
      </c>
      <c r="K90" s="88">
        <f ca="1">IFERROR(__xludf.DUMMYFUNCTION("IMPORTRANGE(""https://docs.google.com/spreadsheets/d/1Yj_ptqi66GCucihVvJfMjLAmec39IyEx_6qawtMGysU/edit?usp=sharing"",""สบก!CC94"")"),42070)</f>
        <v>42070</v>
      </c>
      <c r="L90" s="138">
        <f t="shared" ca="1" si="5"/>
        <v>47.269662921348313</v>
      </c>
      <c r="M90" s="138">
        <f t="shared" ca="1" si="6"/>
        <v>88.568421052631578</v>
      </c>
      <c r="N90" s="138">
        <f ca="1">IFERROR(__xludf.DUMMYFUNCTION("IMPORTRANGE(""https://docs.google.com/spreadsheets/d/1Yj_ptqi66GCucihVvJfMjLAmec39IyEx_6qawtMGysU/edit?usp=sharing"",""สบก!CD94"")"),0)</f>
        <v>0</v>
      </c>
      <c r="O90" s="138">
        <f t="shared" ca="1" si="7"/>
        <v>0</v>
      </c>
      <c r="P90" s="88">
        <f ca="1">IFERROR(__xludf.DUMMYFUNCTION("IMPORTRANGE(""https://docs.google.com/spreadsheets/d/1C3CXT74ZlgGe6_JY_1olB1XN4rF0dxEuIIF-xsYjHgg/edit?usp=sharing"",""พรบ!BF94"")"),1)</f>
        <v>1</v>
      </c>
      <c r="Q90" s="88">
        <f ca="1">IFERROR(__xludf.DUMMYFUNCTION("IMPORTRANGE(""https://docs.google.com/spreadsheets/d/1IYY_tgx_IHuhSq3AJ5eI5OnqOPBNLWSHKh2a30DoXe8/edit?usp=sharing"",""สุราษฎร์ธานี!J179"")"),1)</f>
        <v>1</v>
      </c>
      <c r="R90" s="138">
        <f t="shared" ca="1" si="9"/>
        <v>100</v>
      </c>
      <c r="S90" s="88">
        <f ca="1">IFERROR(__xludf.DUMMYFUNCTION("IMPORTRANGE(""https://docs.google.com/spreadsheets/d/1C3CXT74ZlgGe6_JY_1olB1XN4rF0dxEuIIF-xsYjHgg/edit?usp=sharing"",""พรบ!BG94"")"),25)</f>
        <v>25</v>
      </c>
      <c r="T90" s="88">
        <f ca="1">IFERROR(__xludf.DUMMYFUNCTION("IMPORTRANGE(""https://docs.google.com/spreadsheets/d/1IYY_tgx_IHuhSq3AJ5eI5OnqOPBNLWSHKh2a30DoXe8/edit?usp=sharing"",""สุราษฎร์ธานี!J180"")"),25)</f>
        <v>25</v>
      </c>
      <c r="U90" s="138">
        <f t="shared" ca="1" si="11"/>
        <v>100</v>
      </c>
      <c r="V90" s="88">
        <f ca="1">IFERROR(__xludf.DUMMYFUNCTION("IMPORTRANGE(""https://docs.google.com/spreadsheets/d/1C3CXT74ZlgGe6_JY_1olB1XN4rF0dxEuIIF-xsYjHgg/edit?usp=sharing"",""พรบ!BH94"")"),25)</f>
        <v>25</v>
      </c>
      <c r="W90" s="88">
        <f ca="1">IFERROR(__xludf.DUMMYFUNCTION("IMPORTRANGE(""https://docs.google.com/spreadsheets/d/1IYY_tgx_IHuhSq3AJ5eI5OnqOPBNLWSHKh2a30DoXe8/edit?usp=sharing"",""สุราษฎร์ธานี!J181"")"),0)</f>
        <v>0</v>
      </c>
      <c r="X90" s="138">
        <f t="shared" ca="1" si="13"/>
        <v>0</v>
      </c>
      <c r="Y90" s="88">
        <f ca="1">IFERROR(__xludf.DUMMYFUNCTION("IMPORTRANGE(""https://docs.google.com/spreadsheets/d/1C3CXT74ZlgGe6_JY_1olB1XN4rF0dxEuIIF-xsYjHgg/edit?usp=sharing"",""พรบ!BI94"")"),1)</f>
        <v>1</v>
      </c>
      <c r="Z90" s="88">
        <f ca="1">IFERROR(__xludf.DUMMYFUNCTION("IMPORTRANGE(""https://docs.google.com/spreadsheets/d/1IYY_tgx_IHuhSq3AJ5eI5OnqOPBNLWSHKh2a30DoXe8/edit?usp=sharing"",""สุราษฎร์ธานี!J182"")"),0)</f>
        <v>0</v>
      </c>
      <c r="AA90" s="138">
        <f t="shared" ca="1" si="15"/>
        <v>0</v>
      </c>
      <c r="AB90" s="86">
        <f t="shared" ca="1" si="16"/>
        <v>447600</v>
      </c>
      <c r="AC90" s="87">
        <f t="shared" ca="1" si="74"/>
        <v>447600</v>
      </c>
      <c r="AD90" s="88">
        <f ca="1">IFERROR(__xludf.DUMMYFUNCTION("IMPORTRANGE(""https://docs.google.com/spreadsheets/d/1C3CXT74ZlgGe6_JY_1olB1XN4rF0dxEuIIF-xsYjHgg/edit?usp=sharing"",""พรบ!BK94"")"),264000)</f>
        <v>264000</v>
      </c>
      <c r="AE90" s="88">
        <f ca="1">IFERROR(__xludf.DUMMYFUNCTION("IMPORTRANGE(""https://docs.google.com/spreadsheets/d/1C3CXT74ZlgGe6_JY_1olB1XN4rF0dxEuIIF-xsYjHgg/edit?usp=sharing"",""พรบ!BL94"")"),183600)</f>
        <v>183600</v>
      </c>
      <c r="AF90" s="88">
        <f ca="1">IFERROR(__xludf.DUMMYFUNCTION("IMPORTRANGE(""https://docs.google.com/spreadsheets/d/1Yj_ptqi66GCucihVvJfMjLAmec39IyEx_6qawtMGysU/edit?usp=sharing"",""สบก!CI94"")"),0)</f>
        <v>0</v>
      </c>
      <c r="AG90" s="88">
        <f ca="1">IFERROR(__xludf.DUMMYFUNCTION("IMPORTRANGE(""https://docs.google.com/spreadsheets/d/1Yj_ptqi66GCucihVvJfMjLAmec39IyEx_6qawtMGysU/edit?usp=shCKing"",""สบก!CK94"")"),359600)</f>
        <v>359600</v>
      </c>
      <c r="AH90" s="88">
        <f t="shared" ca="1" si="19"/>
        <v>186390</v>
      </c>
      <c r="AI90" s="88">
        <f t="shared" ca="1" si="20"/>
        <v>41.642091152815013</v>
      </c>
      <c r="AJ90" s="88">
        <f ca="1">IFERROR(__xludf.DUMMYFUNCTION("IMPORTRANGE(""https://docs.google.com/spreadsheets/d/1Yj_ptqi66GCucihVvJfMjLAmec39IyEx_6qawtMGysU/edit?usp=sharing"",""สบก!CL94"")"),186390)</f>
        <v>186390</v>
      </c>
      <c r="AK90" s="138">
        <f t="shared" ca="1" si="21"/>
        <v>41.642091152815013</v>
      </c>
      <c r="AL90" s="138">
        <f t="shared" ca="1" si="22"/>
        <v>51.832591768631815</v>
      </c>
      <c r="AM90" s="138">
        <f ca="1">IFERROR(__xludf.DUMMYFUNCTION("IMPORTRANGE(""https://docs.google.com/spreadsheets/d/1Yj_ptqi66GCucihVvJfMjLAmec39IyEx_6qawtMGysU/edit?usp=sharing"",""สบก!CM94"")"),0)</f>
        <v>0</v>
      </c>
      <c r="AN90" s="138">
        <f t="shared" ca="1" si="23"/>
        <v>0</v>
      </c>
      <c r="AO90" s="88">
        <f ca="1">IFERROR(__xludf.DUMMYFUNCTION("IMPORTRANGE(""https://docs.google.com/spreadsheets/d/1C3CXT74ZlgGe6_JY_1olB1XN4rF0dxEuIIF-xsYjHgg/edit?usp=sharing"",""พรบ!BM94"")"),20)</f>
        <v>20</v>
      </c>
      <c r="AP90" s="88">
        <f ca="1">IFERROR(__xludf.DUMMYFUNCTION("IMPORTRANGE(""https://docs.google.com/spreadsheets/d/1IYY_tgx_IHuhSq3AJ5eI5OnqOPBNLWSHKh2a30DoXe8/edit?usp=sharing"",""สุราษฎร์ธานี!J195"")"),20)</f>
        <v>20</v>
      </c>
      <c r="AQ90" s="138">
        <f t="shared" ca="1" si="25"/>
        <v>100</v>
      </c>
    </row>
    <row r="91" spans="1:43" ht="21" hidden="1" customHeight="1">
      <c r="A91" s="680" t="s">
        <v>115</v>
      </c>
      <c r="B91" s="652"/>
      <c r="C91" s="44">
        <f t="shared" ca="1" si="0"/>
        <v>922100</v>
      </c>
      <c r="D91" s="45">
        <f t="shared" ref="D91:H91" ca="1" si="75">+D92+D93+D94+D95+D96+D97+D98+D99+D100+D101+D102+D103+D104+D105</f>
        <v>922100</v>
      </c>
      <c r="E91" s="45">
        <f t="shared" ca="1" si="75"/>
        <v>509300</v>
      </c>
      <c r="F91" s="45">
        <f t="shared" ca="1" si="75"/>
        <v>412800</v>
      </c>
      <c r="G91" s="45">
        <f t="shared" ca="1" si="75"/>
        <v>0</v>
      </c>
      <c r="H91" s="45">
        <f t="shared" ca="1" si="75"/>
        <v>759700</v>
      </c>
      <c r="I91" s="45">
        <f t="shared" ca="1" si="3"/>
        <v>349601.85</v>
      </c>
      <c r="J91" s="46">
        <f t="shared" ca="1" si="4"/>
        <v>37.913659039149763</v>
      </c>
      <c r="K91" s="45">
        <f ca="1">+K92+K93+K94+K95+K96+K97+K98+K99+K100+K101+K102+K103+K104+K105</f>
        <v>349601.85</v>
      </c>
      <c r="L91" s="47">
        <f t="shared" ca="1" si="5"/>
        <v>37.913659039149763</v>
      </c>
      <c r="M91" s="47">
        <f t="shared" ca="1" si="6"/>
        <v>46.018408582335134</v>
      </c>
      <c r="N91" s="48">
        <f ca="1">+N92+N93+N94+N95+N96+N97+N98+N99+N100+N101+N102+N103+N104+N105</f>
        <v>0</v>
      </c>
      <c r="O91" s="47">
        <f t="shared" ca="1" si="7"/>
        <v>0</v>
      </c>
      <c r="P91" s="45">
        <f t="shared" ref="P91:Q91" ca="1" si="76">+P92+P93+P94+P95+P96+P97+P98+P99+P100+P101+P102+P103+P104+P105</f>
        <v>0</v>
      </c>
      <c r="Q91" s="45">
        <f t="shared" si="76"/>
        <v>0</v>
      </c>
      <c r="R91" s="127">
        <f t="shared" ca="1" si="9"/>
        <v>0</v>
      </c>
      <c r="S91" s="45">
        <f t="shared" ref="S91:T91" ca="1" si="77">+S92+S93+S94+S95+S96+S97+S98+S99+S100+S101+S102+S103+S104+S105</f>
        <v>0</v>
      </c>
      <c r="T91" s="45">
        <f t="shared" si="77"/>
        <v>0</v>
      </c>
      <c r="U91" s="127">
        <f t="shared" ca="1" si="11"/>
        <v>0</v>
      </c>
      <c r="V91" s="45">
        <f t="shared" ref="V91:W91" ca="1" si="78">+V92+V93+V94+V95+V96+V97+V98+V99+V100+V101+V102+V103+V104+V105</f>
        <v>0</v>
      </c>
      <c r="W91" s="45">
        <f t="shared" si="78"/>
        <v>0</v>
      </c>
      <c r="X91" s="127">
        <f t="shared" ca="1" si="13"/>
        <v>0</v>
      </c>
      <c r="Y91" s="45">
        <f t="shared" ref="Y91:Z91" ca="1" si="79">+Y92+Y93+Y94+Y95+Y96+Y97+Y98+Y99+Y100+Y101+Y102+Y103+Y104+Y105</f>
        <v>0</v>
      </c>
      <c r="Z91" s="45">
        <f t="shared" si="79"/>
        <v>0</v>
      </c>
      <c r="AA91" s="127">
        <f t="shared" ca="1" si="15"/>
        <v>0</v>
      </c>
      <c r="AB91" s="44">
        <f t="shared" ca="1" si="16"/>
        <v>1207900</v>
      </c>
      <c r="AC91" s="45">
        <f t="shared" ref="AC91:AG91" ca="1" si="80">+AC92+AC93+AC94+AC95+AC96+AC97+AC98+AC99+AC100+AC101+AC102+AC103+AC104+AC105</f>
        <v>1207900</v>
      </c>
      <c r="AD91" s="45">
        <f t="shared" ca="1" si="80"/>
        <v>264000</v>
      </c>
      <c r="AE91" s="45">
        <f t="shared" ca="1" si="80"/>
        <v>943900</v>
      </c>
      <c r="AF91" s="45">
        <f t="shared" ca="1" si="80"/>
        <v>0</v>
      </c>
      <c r="AG91" s="45">
        <f t="shared" ca="1" si="80"/>
        <v>904900</v>
      </c>
      <c r="AH91" s="45">
        <f t="shared" ca="1" si="19"/>
        <v>506086.8</v>
      </c>
      <c r="AI91" s="45">
        <f t="shared" ca="1" si="20"/>
        <v>41.898071032370233</v>
      </c>
      <c r="AJ91" s="45">
        <f ca="1">+AJ92+AJ93+AJ94+AJ95+AJ96+AJ97+AJ98+AJ99+AJ100+AJ101+AJ102+AJ103+AJ104+AJ105</f>
        <v>506086.8</v>
      </c>
      <c r="AK91" s="127">
        <f t="shared" ca="1" si="21"/>
        <v>41.898071032370233</v>
      </c>
      <c r="AL91" s="127">
        <f t="shared" ca="1" si="22"/>
        <v>55.927373190407778</v>
      </c>
      <c r="AM91" s="127">
        <f ca="1">+AM92+AM93+AM94+AM95+AM96+AM97+AM98+AM99+AM100+AM101+AM102+AM103+AM104+AM105</f>
        <v>0</v>
      </c>
      <c r="AN91" s="127">
        <f t="shared" ca="1" si="23"/>
        <v>0</v>
      </c>
      <c r="AO91" s="45">
        <f t="shared" ref="AO91:AP91" ca="1" si="81">+AO92+AO93+AO94+AO95+AO96+AO97+AO98+AO99+AO100+AO101+AO102+AO103+AO104+AO105</f>
        <v>0</v>
      </c>
      <c r="AP91" s="45">
        <f t="shared" si="81"/>
        <v>0</v>
      </c>
      <c r="AQ91" s="127">
        <f t="shared" ca="1" si="25"/>
        <v>0</v>
      </c>
    </row>
    <row r="92" spans="1:43" ht="24" hidden="1" customHeight="1">
      <c r="A92" s="102">
        <v>1</v>
      </c>
      <c r="B92" s="103" t="s">
        <v>116</v>
      </c>
      <c r="C92" s="65">
        <f t="shared" ca="1" si="0"/>
        <v>0</v>
      </c>
      <c r="D92" s="66">
        <f t="shared" ref="D92:D105" ca="1" si="82">+E92+F92</f>
        <v>0</v>
      </c>
      <c r="E92" s="67">
        <f ca="1">IFERROR(__xludf.DUMMYFUNCTION("IMPORTRANGE(""https://docs.google.com/spreadsheets/d/1C3CXT74ZlgGe6_JY_1olB1XN4rF0dxEuIIF-xsYjHgg/edit?usp=sharing"",""พรบ!BD96"")"),0)</f>
        <v>0</v>
      </c>
      <c r="F92" s="67">
        <f ca="1">IFERROR(__xludf.DUMMYFUNCTION("IMPORTRANGE(""https://docs.google.com/spreadsheets/d/1C3CXT74ZlgGe6_JY_1olB1XN4rF0dxEuIIF-xsYjHgg/edit?usp=sharing"",""พรบ!BE96"")"),0)</f>
        <v>0</v>
      </c>
      <c r="G92" s="67">
        <f ca="1">IFERROR(__xludf.DUMMYFUNCTION("IMPORTRANGE(""https://docs.google.com/spreadsheets/d/1Yj_ptqi66GCucihVvJfMjLAmec39IyEx_6qawtMGysU/edit?usp=sharing"",""สบก!BZ96"")"),0)</f>
        <v>0</v>
      </c>
      <c r="H92" s="67">
        <f ca="1">IFERROR(__xludf.DUMMYFUNCTION("IMPORTRANGE(""https://docs.google.com/spreadsheets/d/1Yj_ptqi66GCucihVvJfMjLAmec39IyEx_6qawtMGysU/edit?usp=shCBing"",""สบก!CB96"")"),0)</f>
        <v>0</v>
      </c>
      <c r="I92" s="67">
        <f t="shared" ca="1" si="3"/>
        <v>0</v>
      </c>
      <c r="J92" s="67">
        <f t="shared" ca="1" si="4"/>
        <v>0</v>
      </c>
      <c r="K92" s="67">
        <f ca="1">IFERROR(__xludf.DUMMYFUNCTION("IMPORTRANGE(""https://docs.google.com/spreadsheets/d/1Yj_ptqi66GCucihVvJfMjLAmec39IyEx_6qawtMGysU/edit?usp=sharing"",""สบก!CC96"")"),0)</f>
        <v>0</v>
      </c>
      <c r="L92" s="136">
        <f t="shared" ca="1" si="5"/>
        <v>0</v>
      </c>
      <c r="M92" s="136">
        <f t="shared" ca="1" si="6"/>
        <v>0</v>
      </c>
      <c r="N92" s="136">
        <f ca="1">IFERROR(__xludf.DUMMYFUNCTION("IMPORTRANGE(""https://docs.google.com/spreadsheets/d/1Yj_ptqi66GCucihVvJfMjLAmec39IyEx_6qawtMGysU/edit?usp=sharing"",""สบก!CD96"")"),0)</f>
        <v>0</v>
      </c>
      <c r="O92" s="136">
        <f t="shared" ca="1" si="7"/>
        <v>0</v>
      </c>
      <c r="P92" s="67">
        <f ca="1">IFERROR(__xludf.DUMMYFUNCTION("IMPORTRANGE(""https://docs.google.com/spreadsheets/d/1C3CXT74ZlgGe6_JY_1olB1XN4rF0dxEuIIF-xsYjHgg/edit?usp=sharing"",""พรบ!BF96"")"),0)</f>
        <v>0</v>
      </c>
      <c r="Q92" s="67">
        <v>0</v>
      </c>
      <c r="R92" s="136">
        <f t="shared" ca="1" si="9"/>
        <v>0</v>
      </c>
      <c r="S92" s="67">
        <f ca="1">IFERROR(__xludf.DUMMYFUNCTION("IMPORTRANGE(""https://docs.google.com/spreadsheets/d/1C3CXT74ZlgGe6_JY_1olB1XN4rF0dxEuIIF-xsYjHgg/edit?usp=sharing"",""พรบ!BG96"")"),0)</f>
        <v>0</v>
      </c>
      <c r="T92" s="67">
        <v>0</v>
      </c>
      <c r="U92" s="136">
        <f t="shared" ca="1" si="11"/>
        <v>0</v>
      </c>
      <c r="V92" s="67">
        <f ca="1">IFERROR(__xludf.DUMMYFUNCTION("IMPORTRANGE(""https://docs.google.com/spreadsheets/d/1C3CXT74ZlgGe6_JY_1olB1XN4rF0dxEuIIF-xsYjHgg/edit?usp=sharing"",""พรบ!BH96"")"),0)</f>
        <v>0</v>
      </c>
      <c r="W92" s="67">
        <v>0</v>
      </c>
      <c r="X92" s="136">
        <f t="shared" ca="1" si="13"/>
        <v>0</v>
      </c>
      <c r="Y92" s="67">
        <f ca="1">IFERROR(__xludf.DUMMYFUNCTION("IMPORTRANGE(""https://docs.google.com/spreadsheets/d/1C3CXT74ZlgGe6_JY_1olB1XN4rF0dxEuIIF-xsYjHgg/edit?usp=sharing"",""พรบ!BI96"")"),0)</f>
        <v>0</v>
      </c>
      <c r="Z92" s="67">
        <v>0</v>
      </c>
      <c r="AA92" s="136">
        <f t="shared" ca="1" si="15"/>
        <v>0</v>
      </c>
      <c r="AB92" s="65">
        <f t="shared" ca="1" si="16"/>
        <v>0</v>
      </c>
      <c r="AC92" s="66">
        <f t="shared" ref="AC92:AC105" ca="1" si="83">+AD92+AE92</f>
        <v>0</v>
      </c>
      <c r="AD92" s="67">
        <f ca="1">IFERROR(__xludf.DUMMYFUNCTION("IMPORTRANGE(""https://docs.google.com/spreadsheets/d/1C3CXT74ZlgGe6_JY_1olB1XN4rF0dxEuIIF-xsYjHgg/edit?usp=sharing"",""พรบ!BK96"")"),0)</f>
        <v>0</v>
      </c>
      <c r="AE92" s="67">
        <f ca="1">IFERROR(__xludf.DUMMYFUNCTION("IMPORTRANGE(""https://docs.google.com/spreadsheets/d/1C3CXT74ZlgGe6_JY_1olB1XN4rF0dxEuIIF-xsYjHgg/edit?usp=sharing"",""พรบ!BL96"")"),0)</f>
        <v>0</v>
      </c>
      <c r="AF92" s="67">
        <f ca="1">IFERROR(__xludf.DUMMYFUNCTION("IMPORTRANGE(""https://docs.google.com/spreadsheets/d/1Yj_ptqi66GCucihVvJfMjLAmec39IyEx_6qawtMGysU/edit?usp=sharing"",""สบก!CI96"")"),0)</f>
        <v>0</v>
      </c>
      <c r="AG92" s="67">
        <f ca="1">IFERROR(__xludf.DUMMYFUNCTION("IMPORTRANGE(""https://docs.google.com/spreadsheets/d/1Yj_ptqi66GCucihVvJfMjLAmec39IyEx_6qawtMGysU/edit?usp=shCKing"",""สบก!CK96"")"),0)</f>
        <v>0</v>
      </c>
      <c r="AH92" s="67">
        <f t="shared" ca="1" si="19"/>
        <v>0</v>
      </c>
      <c r="AI92" s="67">
        <f t="shared" ca="1" si="20"/>
        <v>0</v>
      </c>
      <c r="AJ92" s="67">
        <f ca="1">IFERROR(__xludf.DUMMYFUNCTION("IMPORTRANGE(""https://docs.google.com/spreadsheets/d/1Yj_ptqi66GCucihVvJfMjLAmec39IyEx_6qawtMGysU/edit?usp=sharing"",""สบก!CL96"")"),0)</f>
        <v>0</v>
      </c>
      <c r="AK92" s="136">
        <f t="shared" ca="1" si="21"/>
        <v>0</v>
      </c>
      <c r="AL92" s="136">
        <f t="shared" ca="1" si="22"/>
        <v>0</v>
      </c>
      <c r="AM92" s="136">
        <f ca="1">IFERROR(__xludf.DUMMYFUNCTION("IMPORTRANGE(""https://docs.google.com/spreadsheets/d/1Yj_ptqi66GCucihVvJfMjLAmec39IyEx_6qawtMGysU/edit?usp=sharing"",""สบก!CM96"")"),0)</f>
        <v>0</v>
      </c>
      <c r="AN92" s="136">
        <f t="shared" ca="1" si="23"/>
        <v>0</v>
      </c>
      <c r="AO92" s="67">
        <f ca="1">IFERROR(__xludf.DUMMYFUNCTION("IMPORTRANGE(""https://docs.google.com/spreadsheets/d/1C3CXT74ZlgGe6_JY_1olB1XN4rF0dxEuIIF-xsYjHgg/edit?usp=sharing"",""พรบ!BM96"")"),0)</f>
        <v>0</v>
      </c>
      <c r="AP92" s="67">
        <v>0</v>
      </c>
      <c r="AQ92" s="136">
        <f t="shared" ca="1" si="25"/>
        <v>0</v>
      </c>
    </row>
    <row r="93" spans="1:43" ht="24" hidden="1" customHeight="1">
      <c r="A93" s="105">
        <v>2</v>
      </c>
      <c r="B93" s="106" t="s">
        <v>117</v>
      </c>
      <c r="C93" s="75">
        <f t="shared" ca="1" si="0"/>
        <v>0</v>
      </c>
      <c r="D93" s="76">
        <f t="shared" ca="1" si="82"/>
        <v>0</v>
      </c>
      <c r="E93" s="77">
        <f ca="1">IFERROR(__xludf.DUMMYFUNCTION("IMPORTRANGE(""https://docs.google.com/spreadsheets/d/1C3CXT74ZlgGe6_JY_1olB1XN4rF0dxEuIIF-xsYjHgg/edit?usp=sharing"",""พรบ!BD97"")"),0)</f>
        <v>0</v>
      </c>
      <c r="F93" s="77">
        <f ca="1">IFERROR(__xludf.DUMMYFUNCTION("IMPORTRANGE(""https://docs.google.com/spreadsheets/d/1C3CXT74ZlgGe6_JY_1olB1XN4rF0dxEuIIF-xsYjHgg/edit?usp=sharing"",""พรบ!BE97"")"),0)</f>
        <v>0</v>
      </c>
      <c r="G93" s="77">
        <f ca="1">IFERROR(__xludf.DUMMYFUNCTION("IMPORTRANGE(""https://docs.google.com/spreadsheets/d/1Yj_ptqi66GCucihVvJfMjLAmec39IyEx_6qawtMGysU/edit?usp=sharing"",""สบก!BZ97"")"),0)</f>
        <v>0</v>
      </c>
      <c r="H93" s="77">
        <f ca="1">IFERROR(__xludf.DUMMYFUNCTION("IMPORTRANGE(""https://docs.google.com/spreadsheets/d/1Yj_ptqi66GCucihVvJfMjLAmec39IyEx_6qawtMGysU/edit?usp=shCBing"",""สบก!CB97"")"),0)</f>
        <v>0</v>
      </c>
      <c r="I93" s="77">
        <f t="shared" ca="1" si="3"/>
        <v>0</v>
      </c>
      <c r="J93" s="77">
        <f t="shared" ca="1" si="4"/>
        <v>0</v>
      </c>
      <c r="K93" s="77">
        <f ca="1">IFERROR(__xludf.DUMMYFUNCTION("IMPORTRANGE(""https://docs.google.com/spreadsheets/d/1Yj_ptqi66GCucihVvJfMjLAmec39IyEx_6qawtMGysU/edit?usp=sharing"",""สบก!CC97"")"),0)</f>
        <v>0</v>
      </c>
      <c r="L93" s="137">
        <f t="shared" ca="1" si="5"/>
        <v>0</v>
      </c>
      <c r="M93" s="137">
        <f t="shared" ca="1" si="6"/>
        <v>0</v>
      </c>
      <c r="N93" s="137">
        <f ca="1">IFERROR(__xludf.DUMMYFUNCTION("IMPORTRANGE(""https://docs.google.com/spreadsheets/d/1Yj_ptqi66GCucihVvJfMjLAmec39IyEx_6qawtMGysU/edit?usp=sharing"",""สบก!CD97"")"),0)</f>
        <v>0</v>
      </c>
      <c r="O93" s="137">
        <f t="shared" ca="1" si="7"/>
        <v>0</v>
      </c>
      <c r="P93" s="77">
        <f ca="1">IFERROR(__xludf.DUMMYFUNCTION("IMPORTRANGE(""https://docs.google.com/spreadsheets/d/1C3CXT74ZlgGe6_JY_1olB1XN4rF0dxEuIIF-xsYjHgg/edit?usp=sharing"",""พรบ!BF97"")"),0)</f>
        <v>0</v>
      </c>
      <c r="Q93" s="77">
        <v>0</v>
      </c>
      <c r="R93" s="137">
        <f t="shared" ca="1" si="9"/>
        <v>0</v>
      </c>
      <c r="S93" s="77">
        <f ca="1">IFERROR(__xludf.DUMMYFUNCTION("IMPORTRANGE(""https://docs.google.com/spreadsheets/d/1C3CXT74ZlgGe6_JY_1olB1XN4rF0dxEuIIF-xsYjHgg/edit?usp=sharing"",""พรบ!BG97"")"),0)</f>
        <v>0</v>
      </c>
      <c r="T93" s="77">
        <v>0</v>
      </c>
      <c r="U93" s="137">
        <f t="shared" ca="1" si="11"/>
        <v>0</v>
      </c>
      <c r="V93" s="77">
        <f ca="1">IFERROR(__xludf.DUMMYFUNCTION("IMPORTRANGE(""https://docs.google.com/spreadsheets/d/1C3CXT74ZlgGe6_JY_1olB1XN4rF0dxEuIIF-xsYjHgg/edit?usp=sharing"",""พรบ!BH97"")"),0)</f>
        <v>0</v>
      </c>
      <c r="W93" s="77">
        <v>0</v>
      </c>
      <c r="X93" s="137">
        <f t="shared" ca="1" si="13"/>
        <v>0</v>
      </c>
      <c r="Y93" s="77">
        <f ca="1">IFERROR(__xludf.DUMMYFUNCTION("IMPORTRANGE(""https://docs.google.com/spreadsheets/d/1C3CXT74ZlgGe6_JY_1olB1XN4rF0dxEuIIF-xsYjHgg/edit?usp=sharing"",""พรบ!BI97"")"),0)</f>
        <v>0</v>
      </c>
      <c r="Z93" s="77">
        <v>0</v>
      </c>
      <c r="AA93" s="137">
        <f t="shared" ca="1" si="15"/>
        <v>0</v>
      </c>
      <c r="AB93" s="75">
        <f t="shared" ca="1" si="16"/>
        <v>0</v>
      </c>
      <c r="AC93" s="76">
        <f t="shared" ca="1" si="83"/>
        <v>0</v>
      </c>
      <c r="AD93" s="77">
        <f ca="1">IFERROR(__xludf.DUMMYFUNCTION("IMPORTRANGE(""https://docs.google.com/spreadsheets/d/1C3CXT74ZlgGe6_JY_1olB1XN4rF0dxEuIIF-xsYjHgg/edit?usp=sharing"",""พรบ!BK97"")"),0)</f>
        <v>0</v>
      </c>
      <c r="AE93" s="77">
        <f ca="1">IFERROR(__xludf.DUMMYFUNCTION("IMPORTRANGE(""https://docs.google.com/spreadsheets/d/1C3CXT74ZlgGe6_JY_1olB1XN4rF0dxEuIIF-xsYjHgg/edit?usp=sharing"",""พรบ!BL97"")"),0)</f>
        <v>0</v>
      </c>
      <c r="AF93" s="77">
        <f ca="1">IFERROR(__xludf.DUMMYFUNCTION("IMPORTRANGE(""https://docs.google.com/spreadsheets/d/1Yj_ptqi66GCucihVvJfMjLAmec39IyEx_6qawtMGysU/edit?usp=sharing"",""สบก!CI97"")"),0)</f>
        <v>0</v>
      </c>
      <c r="AG93" s="77">
        <f ca="1">IFERROR(__xludf.DUMMYFUNCTION("IMPORTRANGE(""https://docs.google.com/spreadsheets/d/1Yj_ptqi66GCucihVvJfMjLAmec39IyEx_6qawtMGysU/edit?usp=shCKing"",""สบก!CK97"")"),0)</f>
        <v>0</v>
      </c>
      <c r="AH93" s="77">
        <f t="shared" ca="1" si="19"/>
        <v>0</v>
      </c>
      <c r="AI93" s="77">
        <f t="shared" ca="1" si="20"/>
        <v>0</v>
      </c>
      <c r="AJ93" s="77">
        <f ca="1">IFERROR(__xludf.DUMMYFUNCTION("IMPORTRANGE(""https://docs.google.com/spreadsheets/d/1Yj_ptqi66GCucihVvJfMjLAmec39IyEx_6qawtMGysU/edit?usp=sharing"",""สบก!CL97"")"),0)</f>
        <v>0</v>
      </c>
      <c r="AK93" s="137">
        <f t="shared" ca="1" si="21"/>
        <v>0</v>
      </c>
      <c r="AL93" s="137">
        <f t="shared" ca="1" si="22"/>
        <v>0</v>
      </c>
      <c r="AM93" s="137">
        <f ca="1">IFERROR(__xludf.DUMMYFUNCTION("IMPORTRANGE(""https://docs.google.com/spreadsheets/d/1Yj_ptqi66GCucihVvJfMjLAmec39IyEx_6qawtMGysU/edit?usp=sharing"",""สบก!CM97"")"),0)</f>
        <v>0</v>
      </c>
      <c r="AN93" s="137">
        <f t="shared" ca="1" si="23"/>
        <v>0</v>
      </c>
      <c r="AO93" s="77">
        <f ca="1">IFERROR(__xludf.DUMMYFUNCTION("IMPORTRANGE(""https://docs.google.com/spreadsheets/d/1C3CXT74ZlgGe6_JY_1olB1XN4rF0dxEuIIF-xsYjHgg/edit?usp=sharing"",""พรบ!BM97"")"),0)</f>
        <v>0</v>
      </c>
      <c r="AP93" s="77">
        <v>0</v>
      </c>
      <c r="AQ93" s="137">
        <f t="shared" ca="1" si="25"/>
        <v>0</v>
      </c>
    </row>
    <row r="94" spans="1:43" ht="24" hidden="1" customHeight="1">
      <c r="A94" s="105">
        <v>3</v>
      </c>
      <c r="B94" s="106" t="s">
        <v>118</v>
      </c>
      <c r="C94" s="75">
        <f t="shared" ca="1" si="0"/>
        <v>0</v>
      </c>
      <c r="D94" s="76">
        <f t="shared" ca="1" si="82"/>
        <v>0</v>
      </c>
      <c r="E94" s="77">
        <f ca="1">IFERROR(__xludf.DUMMYFUNCTION("IMPORTRANGE(""https://docs.google.com/spreadsheets/d/1C3CXT74ZlgGe6_JY_1olB1XN4rF0dxEuIIF-xsYjHgg/edit?usp=sharing"",""พรบ!BD98"")"),0)</f>
        <v>0</v>
      </c>
      <c r="F94" s="77">
        <f ca="1">IFERROR(__xludf.DUMMYFUNCTION("IMPORTRANGE(""https://docs.google.com/spreadsheets/d/1C3CXT74ZlgGe6_JY_1olB1XN4rF0dxEuIIF-xsYjHgg/edit?usp=sharing"",""พรบ!BE98"")"),0)</f>
        <v>0</v>
      </c>
      <c r="G94" s="77">
        <f ca="1">IFERROR(__xludf.DUMMYFUNCTION("IMPORTRANGE(""https://docs.google.com/spreadsheets/d/1Yj_ptqi66GCucihVvJfMjLAmec39IyEx_6qawtMGysU/edit?usp=sharing"",""สบก!BZ98"")"),0)</f>
        <v>0</v>
      </c>
      <c r="H94" s="77">
        <f ca="1">IFERROR(__xludf.DUMMYFUNCTION("IMPORTRANGE(""https://docs.google.com/spreadsheets/d/1Yj_ptqi66GCucihVvJfMjLAmec39IyEx_6qawtMGysU/edit?usp=shCBing"",""สบก!CB98"")"),0)</f>
        <v>0</v>
      </c>
      <c r="I94" s="77">
        <f t="shared" ca="1" si="3"/>
        <v>0</v>
      </c>
      <c r="J94" s="77">
        <f t="shared" ca="1" si="4"/>
        <v>0</v>
      </c>
      <c r="K94" s="77">
        <f ca="1">IFERROR(__xludf.DUMMYFUNCTION("IMPORTRANGE(""https://docs.google.com/spreadsheets/d/1Yj_ptqi66GCucihVvJfMjLAmec39IyEx_6qawtMGysU/edit?usp=sharing"",""สบก!CC98"")"),0)</f>
        <v>0</v>
      </c>
      <c r="L94" s="137">
        <f t="shared" ca="1" si="5"/>
        <v>0</v>
      </c>
      <c r="M94" s="137">
        <f t="shared" ca="1" si="6"/>
        <v>0</v>
      </c>
      <c r="N94" s="137">
        <f ca="1">IFERROR(__xludf.DUMMYFUNCTION("IMPORTRANGE(""https://docs.google.com/spreadsheets/d/1Yj_ptqi66GCucihVvJfMjLAmec39IyEx_6qawtMGysU/edit?usp=sharing"",""สบก!CD98"")"),0)</f>
        <v>0</v>
      </c>
      <c r="O94" s="137">
        <f t="shared" ca="1" si="7"/>
        <v>0</v>
      </c>
      <c r="P94" s="77">
        <f ca="1">IFERROR(__xludf.DUMMYFUNCTION("IMPORTRANGE(""https://docs.google.com/spreadsheets/d/1C3CXT74ZlgGe6_JY_1olB1XN4rF0dxEuIIF-xsYjHgg/edit?usp=sharing"",""พรบ!BF98"")"),0)</f>
        <v>0</v>
      </c>
      <c r="Q94" s="77">
        <v>0</v>
      </c>
      <c r="R94" s="137">
        <f t="shared" ca="1" si="9"/>
        <v>0</v>
      </c>
      <c r="S94" s="77">
        <f ca="1">IFERROR(__xludf.DUMMYFUNCTION("IMPORTRANGE(""https://docs.google.com/spreadsheets/d/1C3CXT74ZlgGe6_JY_1olB1XN4rF0dxEuIIF-xsYjHgg/edit?usp=sharing"",""พรบ!BG98"")"),0)</f>
        <v>0</v>
      </c>
      <c r="T94" s="77">
        <v>0</v>
      </c>
      <c r="U94" s="137">
        <f t="shared" ca="1" si="11"/>
        <v>0</v>
      </c>
      <c r="V94" s="77">
        <f ca="1">IFERROR(__xludf.DUMMYFUNCTION("IMPORTRANGE(""https://docs.google.com/spreadsheets/d/1C3CXT74ZlgGe6_JY_1olB1XN4rF0dxEuIIF-xsYjHgg/edit?usp=sharing"",""พรบ!BH98"")"),0)</f>
        <v>0</v>
      </c>
      <c r="W94" s="77">
        <v>0</v>
      </c>
      <c r="X94" s="137">
        <f t="shared" ca="1" si="13"/>
        <v>0</v>
      </c>
      <c r="Y94" s="77">
        <f ca="1">IFERROR(__xludf.DUMMYFUNCTION("IMPORTRANGE(""https://docs.google.com/spreadsheets/d/1C3CXT74ZlgGe6_JY_1olB1XN4rF0dxEuIIF-xsYjHgg/edit?usp=sharing"",""พรบ!BI98"")"),0)</f>
        <v>0</v>
      </c>
      <c r="Z94" s="77">
        <v>0</v>
      </c>
      <c r="AA94" s="137">
        <f t="shared" ca="1" si="15"/>
        <v>0</v>
      </c>
      <c r="AB94" s="75">
        <f t="shared" ca="1" si="16"/>
        <v>0</v>
      </c>
      <c r="AC94" s="76">
        <f t="shared" ca="1" si="83"/>
        <v>0</v>
      </c>
      <c r="AD94" s="77">
        <f ca="1">IFERROR(__xludf.DUMMYFUNCTION("IMPORTRANGE(""https://docs.google.com/spreadsheets/d/1C3CXT74ZlgGe6_JY_1olB1XN4rF0dxEuIIF-xsYjHgg/edit?usp=sharing"",""พรบ!BK98"")"),0)</f>
        <v>0</v>
      </c>
      <c r="AE94" s="77">
        <f ca="1">IFERROR(__xludf.DUMMYFUNCTION("IMPORTRANGE(""https://docs.google.com/spreadsheets/d/1C3CXT74ZlgGe6_JY_1olB1XN4rF0dxEuIIF-xsYjHgg/edit?usp=sharing"",""พรบ!BL98"")"),0)</f>
        <v>0</v>
      </c>
      <c r="AF94" s="77">
        <f ca="1">IFERROR(__xludf.DUMMYFUNCTION("IMPORTRANGE(""https://docs.google.com/spreadsheets/d/1Yj_ptqi66GCucihVvJfMjLAmec39IyEx_6qawtMGysU/edit?usp=sharing"",""สบก!CI98"")"),0)</f>
        <v>0</v>
      </c>
      <c r="AG94" s="77">
        <f ca="1">IFERROR(__xludf.DUMMYFUNCTION("IMPORTRANGE(""https://docs.google.com/spreadsheets/d/1Yj_ptqi66GCucihVvJfMjLAmec39IyEx_6qawtMGysU/edit?usp=shCKing"",""สบก!CK98"")"),0)</f>
        <v>0</v>
      </c>
      <c r="AH94" s="77">
        <f t="shared" ca="1" si="19"/>
        <v>0</v>
      </c>
      <c r="AI94" s="77">
        <f t="shared" ca="1" si="20"/>
        <v>0</v>
      </c>
      <c r="AJ94" s="77">
        <f ca="1">IFERROR(__xludf.DUMMYFUNCTION("IMPORTRANGE(""https://docs.google.com/spreadsheets/d/1Yj_ptqi66GCucihVvJfMjLAmec39IyEx_6qawtMGysU/edit?usp=sharing"",""สบก!CL98"")"),0)</f>
        <v>0</v>
      </c>
      <c r="AK94" s="137">
        <f t="shared" ca="1" si="21"/>
        <v>0</v>
      </c>
      <c r="AL94" s="137">
        <f t="shared" ca="1" si="22"/>
        <v>0</v>
      </c>
      <c r="AM94" s="137">
        <f ca="1">IFERROR(__xludf.DUMMYFUNCTION("IMPORTRANGE(""https://docs.google.com/spreadsheets/d/1Yj_ptqi66GCucihVvJfMjLAmec39IyEx_6qawtMGysU/edit?usp=sharing"",""สบก!CM98"")"),0)</f>
        <v>0</v>
      </c>
      <c r="AN94" s="137">
        <f t="shared" ca="1" si="23"/>
        <v>0</v>
      </c>
      <c r="AO94" s="77">
        <f ca="1">IFERROR(__xludf.DUMMYFUNCTION("IMPORTRANGE(""https://docs.google.com/spreadsheets/d/1C3CXT74ZlgGe6_JY_1olB1XN4rF0dxEuIIF-xsYjHgg/edit?usp=sharing"",""พรบ!BM98"")"),0)</f>
        <v>0</v>
      </c>
      <c r="AP94" s="77">
        <v>0</v>
      </c>
      <c r="AQ94" s="137">
        <f t="shared" ca="1" si="25"/>
        <v>0</v>
      </c>
    </row>
    <row r="95" spans="1:43" ht="24" hidden="1" customHeight="1">
      <c r="A95" s="105">
        <f t="shared" ref="A95:A105" si="84">+A94+1</f>
        <v>4</v>
      </c>
      <c r="B95" s="106" t="s">
        <v>119</v>
      </c>
      <c r="C95" s="75">
        <f t="shared" ca="1" si="0"/>
        <v>91500</v>
      </c>
      <c r="D95" s="76">
        <f t="shared" ca="1" si="82"/>
        <v>91500</v>
      </c>
      <c r="E95" s="77">
        <f ca="1">IFERROR(__xludf.DUMMYFUNCTION("IMPORTRANGE(""https://docs.google.com/spreadsheets/d/1C3CXT74ZlgGe6_JY_1olB1XN4rF0dxEuIIF-xsYjHgg/edit?usp=sharing"",""พรบ!BD99"")"),91500)</f>
        <v>91500</v>
      </c>
      <c r="F95" s="77">
        <f ca="1">IFERROR(__xludf.DUMMYFUNCTION("IMPORTRANGE(""https://docs.google.com/spreadsheets/d/1C3CXT74ZlgGe6_JY_1olB1XN4rF0dxEuIIF-xsYjHgg/edit?usp=sharing"",""พรบ!BE99"")"),0)</f>
        <v>0</v>
      </c>
      <c r="G95" s="77">
        <f ca="1">IFERROR(__xludf.DUMMYFUNCTION("IMPORTRANGE(""https://docs.google.com/spreadsheets/d/1Yj_ptqi66GCucihVvJfMjLAmec39IyEx_6qawtMGysU/edit?usp=sharing"",""สบก!BZ99"")"),0)</f>
        <v>0</v>
      </c>
      <c r="H95" s="77">
        <f ca="1">IFERROR(__xludf.DUMMYFUNCTION("IMPORTRANGE(""https://docs.google.com/spreadsheets/d/1Yj_ptqi66GCucihVvJfMjLAmec39IyEx_6qawtMGysU/edit?usp=shCBing"",""สบก!CB99"")"),68700)</f>
        <v>68700</v>
      </c>
      <c r="I95" s="77">
        <f t="shared" ca="1" si="3"/>
        <v>31344</v>
      </c>
      <c r="J95" s="77">
        <f t="shared" ca="1" si="4"/>
        <v>34.255737704918033</v>
      </c>
      <c r="K95" s="77">
        <f ca="1">IFERROR(__xludf.DUMMYFUNCTION("IMPORTRANGE(""https://docs.google.com/spreadsheets/d/1Yj_ptqi66GCucihVvJfMjLAmec39IyEx_6qawtMGysU/edit?usp=sharing"",""สบก!CC99"")"),31344)</f>
        <v>31344</v>
      </c>
      <c r="L95" s="137">
        <f t="shared" ca="1" si="5"/>
        <v>34.255737704918033</v>
      </c>
      <c r="M95" s="137">
        <f t="shared" ca="1" si="6"/>
        <v>45.624454148471614</v>
      </c>
      <c r="N95" s="137">
        <f ca="1">IFERROR(__xludf.DUMMYFUNCTION("IMPORTRANGE(""https://docs.google.com/spreadsheets/d/1Yj_ptqi66GCucihVvJfMjLAmec39IyEx_6qawtMGysU/edit?usp=sharing"",""สบก!CD99"")"),0)</f>
        <v>0</v>
      </c>
      <c r="O95" s="137">
        <f t="shared" ca="1" si="7"/>
        <v>0</v>
      </c>
      <c r="P95" s="77">
        <f ca="1">IFERROR(__xludf.DUMMYFUNCTION("IMPORTRANGE(""https://docs.google.com/spreadsheets/d/1C3CXT74ZlgGe6_JY_1olB1XN4rF0dxEuIIF-xsYjHgg/edit?usp=sharing"",""พรบ!BF99"")"),0)</f>
        <v>0</v>
      </c>
      <c r="Q95" s="77">
        <v>0</v>
      </c>
      <c r="R95" s="137">
        <f t="shared" ca="1" si="9"/>
        <v>0</v>
      </c>
      <c r="S95" s="77">
        <f ca="1">IFERROR(__xludf.DUMMYFUNCTION("IMPORTRANGE(""https://docs.google.com/spreadsheets/d/1C3CXT74ZlgGe6_JY_1olB1XN4rF0dxEuIIF-xsYjHgg/edit?usp=sharing"",""พรบ!BG99"")"),0)</f>
        <v>0</v>
      </c>
      <c r="T95" s="77">
        <v>0</v>
      </c>
      <c r="U95" s="137">
        <f t="shared" ca="1" si="11"/>
        <v>0</v>
      </c>
      <c r="V95" s="77">
        <f ca="1">IFERROR(__xludf.DUMMYFUNCTION("IMPORTRANGE(""https://docs.google.com/spreadsheets/d/1C3CXT74ZlgGe6_JY_1olB1XN4rF0dxEuIIF-xsYjHgg/edit?usp=sharing"",""พรบ!BH99"")"),0)</f>
        <v>0</v>
      </c>
      <c r="W95" s="77">
        <v>0</v>
      </c>
      <c r="X95" s="137">
        <f t="shared" ca="1" si="13"/>
        <v>0</v>
      </c>
      <c r="Y95" s="77">
        <f ca="1">IFERROR(__xludf.DUMMYFUNCTION("IMPORTRANGE(""https://docs.google.com/spreadsheets/d/1C3CXT74ZlgGe6_JY_1olB1XN4rF0dxEuIIF-xsYjHgg/edit?usp=sharing"",""พรบ!BI99"")"),0)</f>
        <v>0</v>
      </c>
      <c r="Z95" s="77">
        <v>0</v>
      </c>
      <c r="AA95" s="137">
        <f t="shared" ca="1" si="15"/>
        <v>0</v>
      </c>
      <c r="AB95" s="75">
        <f t="shared" ca="1" si="16"/>
        <v>0</v>
      </c>
      <c r="AC95" s="76">
        <f t="shared" ca="1" si="83"/>
        <v>0</v>
      </c>
      <c r="AD95" s="77">
        <f ca="1">IFERROR(__xludf.DUMMYFUNCTION("IMPORTRANGE(""https://docs.google.com/spreadsheets/d/1C3CXT74ZlgGe6_JY_1olB1XN4rF0dxEuIIF-xsYjHgg/edit?usp=sharing"",""พรบ!BK99"")"),0)</f>
        <v>0</v>
      </c>
      <c r="AE95" s="77">
        <f ca="1">IFERROR(__xludf.DUMMYFUNCTION("IMPORTRANGE(""https://docs.google.com/spreadsheets/d/1C3CXT74ZlgGe6_JY_1olB1XN4rF0dxEuIIF-xsYjHgg/edit?usp=sharing"",""พรบ!BL99"")"),0)</f>
        <v>0</v>
      </c>
      <c r="AF95" s="77">
        <f ca="1">IFERROR(__xludf.DUMMYFUNCTION("IMPORTRANGE(""https://docs.google.com/spreadsheets/d/1Yj_ptqi66GCucihVvJfMjLAmec39IyEx_6qawtMGysU/edit?usp=sharing"",""สบก!CI99"")"),0)</f>
        <v>0</v>
      </c>
      <c r="AG95" s="77">
        <f ca="1">IFERROR(__xludf.DUMMYFUNCTION("IMPORTRANGE(""https://docs.google.com/spreadsheets/d/1Yj_ptqi66GCucihVvJfMjLAmec39IyEx_6qawtMGysU/edit?usp=shCKing"",""สบก!CK99"")"),0)</f>
        <v>0</v>
      </c>
      <c r="AH95" s="77">
        <f t="shared" ca="1" si="19"/>
        <v>0</v>
      </c>
      <c r="AI95" s="77">
        <f t="shared" ca="1" si="20"/>
        <v>0</v>
      </c>
      <c r="AJ95" s="77">
        <f ca="1">IFERROR(__xludf.DUMMYFUNCTION("IMPORTRANGE(""https://docs.google.com/spreadsheets/d/1Yj_ptqi66GCucihVvJfMjLAmec39IyEx_6qawtMGysU/edit?usp=sharing"",""สบก!CL99"")"),0)</f>
        <v>0</v>
      </c>
      <c r="AK95" s="137">
        <f t="shared" ca="1" si="21"/>
        <v>0</v>
      </c>
      <c r="AL95" s="137">
        <f t="shared" ca="1" si="22"/>
        <v>0</v>
      </c>
      <c r="AM95" s="137">
        <f ca="1">IFERROR(__xludf.DUMMYFUNCTION("IMPORTRANGE(""https://docs.google.com/spreadsheets/d/1Yj_ptqi66GCucihVvJfMjLAmec39IyEx_6qawtMGysU/edit?usp=sharing"",""สบก!CM99"")"),0)</f>
        <v>0</v>
      </c>
      <c r="AN95" s="137">
        <f t="shared" ca="1" si="23"/>
        <v>0</v>
      </c>
      <c r="AO95" s="77">
        <f ca="1">IFERROR(__xludf.DUMMYFUNCTION("IMPORTRANGE(""https://docs.google.com/spreadsheets/d/1C3CXT74ZlgGe6_JY_1olB1XN4rF0dxEuIIF-xsYjHgg/edit?usp=sharing"",""พรบ!BM99"")"),0)</f>
        <v>0</v>
      </c>
      <c r="AP95" s="77">
        <v>0</v>
      </c>
      <c r="AQ95" s="137">
        <f t="shared" ca="1" si="25"/>
        <v>0</v>
      </c>
    </row>
    <row r="96" spans="1:43" ht="24" hidden="1" customHeight="1">
      <c r="A96" s="105">
        <f t="shared" si="84"/>
        <v>5</v>
      </c>
      <c r="B96" s="106" t="s">
        <v>120</v>
      </c>
      <c r="C96" s="75">
        <f t="shared" ca="1" si="0"/>
        <v>0</v>
      </c>
      <c r="D96" s="76">
        <f t="shared" ca="1" si="82"/>
        <v>0</v>
      </c>
      <c r="E96" s="77">
        <f ca="1">IFERROR(__xludf.DUMMYFUNCTION("IMPORTRANGE(""https://docs.google.com/spreadsheets/d/1C3CXT74ZlgGe6_JY_1olB1XN4rF0dxEuIIF-xsYjHgg/edit?usp=sharing"",""พรบ!BD100"")"),0)</f>
        <v>0</v>
      </c>
      <c r="F96" s="77">
        <f ca="1">IFERROR(__xludf.DUMMYFUNCTION("IMPORTRANGE(""https://docs.google.com/spreadsheets/d/1C3CXT74ZlgGe6_JY_1olB1XN4rF0dxEuIIF-xsYjHgg/edit?usp=sharing"",""พรบ!BE100"")"),0)</f>
        <v>0</v>
      </c>
      <c r="G96" s="77">
        <f ca="1">IFERROR(__xludf.DUMMYFUNCTION("IMPORTRANGE(""https://docs.google.com/spreadsheets/d/1Yj_ptqi66GCucihVvJfMjLAmec39IyEx_6qawtMGysU/edit?usp=sharing"",""สบก!BZ100"")"),0)</f>
        <v>0</v>
      </c>
      <c r="H96" s="77">
        <f ca="1">IFERROR(__xludf.DUMMYFUNCTION("IMPORTRANGE(""https://docs.google.com/spreadsheets/d/1Yj_ptqi66GCucihVvJfMjLAmec39IyEx_6qawtMGysU/edit?usp=shCBing"",""สบก!CB100"")"),0)</f>
        <v>0</v>
      </c>
      <c r="I96" s="77">
        <f t="shared" ca="1" si="3"/>
        <v>0</v>
      </c>
      <c r="J96" s="77">
        <f t="shared" ca="1" si="4"/>
        <v>0</v>
      </c>
      <c r="K96" s="77">
        <f ca="1">IFERROR(__xludf.DUMMYFUNCTION("IMPORTRANGE(""https://docs.google.com/spreadsheets/d/1Yj_ptqi66GCucihVvJfMjLAmec39IyEx_6qawtMGysU/edit?usp=sharing"",""สบก!CC100"")"),0)</f>
        <v>0</v>
      </c>
      <c r="L96" s="137">
        <f t="shared" ca="1" si="5"/>
        <v>0</v>
      </c>
      <c r="M96" s="137">
        <f t="shared" ca="1" si="6"/>
        <v>0</v>
      </c>
      <c r="N96" s="137">
        <f ca="1">IFERROR(__xludf.DUMMYFUNCTION("IMPORTRANGE(""https://docs.google.com/spreadsheets/d/1Yj_ptqi66GCucihVvJfMjLAmec39IyEx_6qawtMGysU/edit?usp=sharing"",""สบก!CD100"")"),0)</f>
        <v>0</v>
      </c>
      <c r="O96" s="137">
        <f t="shared" ca="1" si="7"/>
        <v>0</v>
      </c>
      <c r="P96" s="77">
        <f ca="1">IFERROR(__xludf.DUMMYFUNCTION("IMPORTRANGE(""https://docs.google.com/spreadsheets/d/1C3CXT74ZlgGe6_JY_1olB1XN4rF0dxEuIIF-xsYjHgg/edit?usp=sharing"",""พรบ!BF100"")"),0)</f>
        <v>0</v>
      </c>
      <c r="Q96" s="77">
        <v>0</v>
      </c>
      <c r="R96" s="137">
        <f t="shared" ca="1" si="9"/>
        <v>0</v>
      </c>
      <c r="S96" s="77">
        <f ca="1">IFERROR(__xludf.DUMMYFUNCTION("IMPORTRANGE(""https://docs.google.com/spreadsheets/d/1C3CXT74ZlgGe6_JY_1olB1XN4rF0dxEuIIF-xsYjHgg/edit?usp=sharing"",""พรบ!BG100"")"),0)</f>
        <v>0</v>
      </c>
      <c r="T96" s="77">
        <v>0</v>
      </c>
      <c r="U96" s="137">
        <f t="shared" ca="1" si="11"/>
        <v>0</v>
      </c>
      <c r="V96" s="77">
        <f ca="1">IFERROR(__xludf.DUMMYFUNCTION("IMPORTRANGE(""https://docs.google.com/spreadsheets/d/1C3CXT74ZlgGe6_JY_1olB1XN4rF0dxEuIIF-xsYjHgg/edit?usp=sharing"",""พรบ!BH100"")"),0)</f>
        <v>0</v>
      </c>
      <c r="W96" s="77">
        <v>0</v>
      </c>
      <c r="X96" s="137">
        <f t="shared" ca="1" si="13"/>
        <v>0</v>
      </c>
      <c r="Y96" s="77">
        <f ca="1">IFERROR(__xludf.DUMMYFUNCTION("IMPORTRANGE(""https://docs.google.com/spreadsheets/d/1C3CXT74ZlgGe6_JY_1olB1XN4rF0dxEuIIF-xsYjHgg/edit?usp=sharing"",""พรบ!BI100"")"),0)</f>
        <v>0</v>
      </c>
      <c r="Z96" s="77">
        <v>0</v>
      </c>
      <c r="AA96" s="137">
        <f t="shared" ca="1" si="15"/>
        <v>0</v>
      </c>
      <c r="AB96" s="75">
        <f t="shared" ca="1" si="16"/>
        <v>0</v>
      </c>
      <c r="AC96" s="76">
        <f t="shared" ca="1" si="83"/>
        <v>0</v>
      </c>
      <c r="AD96" s="77">
        <f ca="1">IFERROR(__xludf.DUMMYFUNCTION("IMPORTRANGE(""https://docs.google.com/spreadsheets/d/1C3CXT74ZlgGe6_JY_1olB1XN4rF0dxEuIIF-xsYjHgg/edit?usp=sharing"",""พรบ!BK100"")"),0)</f>
        <v>0</v>
      </c>
      <c r="AE96" s="77">
        <f ca="1">IFERROR(__xludf.DUMMYFUNCTION("IMPORTRANGE(""https://docs.google.com/spreadsheets/d/1C3CXT74ZlgGe6_JY_1olB1XN4rF0dxEuIIF-xsYjHgg/edit?usp=sharing"",""พรบ!BL100"")"),0)</f>
        <v>0</v>
      </c>
      <c r="AF96" s="77">
        <f ca="1">IFERROR(__xludf.DUMMYFUNCTION("IMPORTRANGE(""https://docs.google.com/spreadsheets/d/1Yj_ptqi66GCucihVvJfMjLAmec39IyEx_6qawtMGysU/edit?usp=sharing"",""สบก!CI100"")"),0)</f>
        <v>0</v>
      </c>
      <c r="AG96" s="77">
        <f ca="1">IFERROR(__xludf.DUMMYFUNCTION("IMPORTRANGE(""https://docs.google.com/spreadsheets/d/1Yj_ptqi66GCucihVvJfMjLAmec39IyEx_6qawtMGysU/edit?usp=shCKing"",""สบก!CK100"")"),0)</f>
        <v>0</v>
      </c>
      <c r="AH96" s="77">
        <f t="shared" ca="1" si="19"/>
        <v>0</v>
      </c>
      <c r="AI96" s="77">
        <f t="shared" ca="1" si="20"/>
        <v>0</v>
      </c>
      <c r="AJ96" s="77">
        <f ca="1">IFERROR(__xludf.DUMMYFUNCTION("IMPORTRANGE(""https://docs.google.com/spreadsheets/d/1Yj_ptqi66GCucihVvJfMjLAmec39IyEx_6qawtMGysU/edit?usp=sharing"",""สบก!CL100"")"),0)</f>
        <v>0</v>
      </c>
      <c r="AK96" s="137">
        <f t="shared" ca="1" si="21"/>
        <v>0</v>
      </c>
      <c r="AL96" s="137">
        <f t="shared" ca="1" si="22"/>
        <v>0</v>
      </c>
      <c r="AM96" s="137">
        <f ca="1">IFERROR(__xludf.DUMMYFUNCTION("IMPORTRANGE(""https://docs.google.com/spreadsheets/d/1Yj_ptqi66GCucihVvJfMjLAmec39IyEx_6qawtMGysU/edit?usp=sharing"",""สบก!CM100"")"),0)</f>
        <v>0</v>
      </c>
      <c r="AN96" s="137">
        <f t="shared" ca="1" si="23"/>
        <v>0</v>
      </c>
      <c r="AO96" s="77">
        <f ca="1">IFERROR(__xludf.DUMMYFUNCTION("IMPORTRANGE(""https://docs.google.com/spreadsheets/d/1C3CXT74ZlgGe6_JY_1olB1XN4rF0dxEuIIF-xsYjHgg/edit?usp=sharing"",""พรบ!BM100"")"),0)</f>
        <v>0</v>
      </c>
      <c r="AP96" s="77">
        <v>0</v>
      </c>
      <c r="AQ96" s="137">
        <f t="shared" ca="1" si="25"/>
        <v>0</v>
      </c>
    </row>
    <row r="97" spans="1:43" ht="24" hidden="1" customHeight="1">
      <c r="A97" s="105">
        <f t="shared" si="84"/>
        <v>6</v>
      </c>
      <c r="B97" s="106" t="s">
        <v>121</v>
      </c>
      <c r="C97" s="75">
        <f t="shared" ca="1" si="0"/>
        <v>0</v>
      </c>
      <c r="D97" s="76">
        <f t="shared" ca="1" si="82"/>
        <v>0</v>
      </c>
      <c r="E97" s="77">
        <f ca="1">IFERROR(__xludf.DUMMYFUNCTION("IMPORTRANGE(""https://docs.google.com/spreadsheets/d/1C3CXT74ZlgGe6_JY_1olB1XN4rF0dxEuIIF-xsYjHgg/edit?usp=sharing"",""พรบ!BD101"")"),0)</f>
        <v>0</v>
      </c>
      <c r="F97" s="77">
        <f ca="1">IFERROR(__xludf.DUMMYFUNCTION("IMPORTRANGE(""https://docs.google.com/spreadsheets/d/1C3CXT74ZlgGe6_JY_1olB1XN4rF0dxEuIIF-xsYjHgg/edit?usp=sharing"",""พรบ!BE101"")"),0)</f>
        <v>0</v>
      </c>
      <c r="G97" s="77">
        <f ca="1">IFERROR(__xludf.DUMMYFUNCTION("IMPORTRANGE(""https://docs.google.com/spreadsheets/d/1Yj_ptqi66GCucihVvJfMjLAmec39IyEx_6qawtMGysU/edit?usp=sharing"",""สบก!BZ101"")"),0)</f>
        <v>0</v>
      </c>
      <c r="H97" s="77">
        <f ca="1">IFERROR(__xludf.DUMMYFUNCTION("IMPORTRANGE(""https://docs.google.com/spreadsheets/d/1Yj_ptqi66GCucihVvJfMjLAmec39IyEx_6qawtMGysU/edit?usp=shCBing"",""สบก!CB101"")"),0)</f>
        <v>0</v>
      </c>
      <c r="I97" s="77">
        <f t="shared" ca="1" si="3"/>
        <v>0</v>
      </c>
      <c r="J97" s="77">
        <f t="shared" ca="1" si="4"/>
        <v>0</v>
      </c>
      <c r="K97" s="77">
        <f ca="1">IFERROR(__xludf.DUMMYFUNCTION("IMPORTRANGE(""https://docs.google.com/spreadsheets/d/1Yj_ptqi66GCucihVvJfMjLAmec39IyEx_6qawtMGysU/edit?usp=sharing"",""สบก!CC101"")"),0)</f>
        <v>0</v>
      </c>
      <c r="L97" s="137">
        <f t="shared" ca="1" si="5"/>
        <v>0</v>
      </c>
      <c r="M97" s="137">
        <f t="shared" ca="1" si="6"/>
        <v>0</v>
      </c>
      <c r="N97" s="137">
        <f ca="1">IFERROR(__xludf.DUMMYFUNCTION("IMPORTRANGE(""https://docs.google.com/spreadsheets/d/1Yj_ptqi66GCucihVvJfMjLAmec39IyEx_6qawtMGysU/edit?usp=sharing"",""สบก!CD101"")"),0)</f>
        <v>0</v>
      </c>
      <c r="O97" s="137">
        <f t="shared" ca="1" si="7"/>
        <v>0</v>
      </c>
      <c r="P97" s="77">
        <f ca="1">IFERROR(__xludf.DUMMYFUNCTION("IMPORTRANGE(""https://docs.google.com/spreadsheets/d/1C3CXT74ZlgGe6_JY_1olB1XN4rF0dxEuIIF-xsYjHgg/edit?usp=sharing"",""พรบ!BF101"")"),0)</f>
        <v>0</v>
      </c>
      <c r="Q97" s="77">
        <v>0</v>
      </c>
      <c r="R97" s="137">
        <f t="shared" ca="1" si="9"/>
        <v>0</v>
      </c>
      <c r="S97" s="77">
        <f ca="1">IFERROR(__xludf.DUMMYFUNCTION("IMPORTRANGE(""https://docs.google.com/spreadsheets/d/1C3CXT74ZlgGe6_JY_1olB1XN4rF0dxEuIIF-xsYjHgg/edit?usp=sharing"",""พรบ!BG101"")"),0)</f>
        <v>0</v>
      </c>
      <c r="T97" s="77">
        <v>0</v>
      </c>
      <c r="U97" s="137">
        <f t="shared" ca="1" si="11"/>
        <v>0</v>
      </c>
      <c r="V97" s="77">
        <f ca="1">IFERROR(__xludf.DUMMYFUNCTION("IMPORTRANGE(""https://docs.google.com/spreadsheets/d/1C3CXT74ZlgGe6_JY_1olB1XN4rF0dxEuIIF-xsYjHgg/edit?usp=sharing"",""พรบ!BH101"")"),0)</f>
        <v>0</v>
      </c>
      <c r="W97" s="77">
        <v>0</v>
      </c>
      <c r="X97" s="137">
        <f t="shared" ca="1" si="13"/>
        <v>0</v>
      </c>
      <c r="Y97" s="77">
        <f ca="1">IFERROR(__xludf.DUMMYFUNCTION("IMPORTRANGE(""https://docs.google.com/spreadsheets/d/1C3CXT74ZlgGe6_JY_1olB1XN4rF0dxEuIIF-xsYjHgg/edit?usp=sharing"",""พรบ!BI101"")"),0)</f>
        <v>0</v>
      </c>
      <c r="Z97" s="77">
        <v>0</v>
      </c>
      <c r="AA97" s="137">
        <f t="shared" ca="1" si="15"/>
        <v>0</v>
      </c>
      <c r="AB97" s="75">
        <f t="shared" ca="1" si="16"/>
        <v>0</v>
      </c>
      <c r="AC97" s="76">
        <f t="shared" ca="1" si="83"/>
        <v>0</v>
      </c>
      <c r="AD97" s="77">
        <f ca="1">IFERROR(__xludf.DUMMYFUNCTION("IMPORTRANGE(""https://docs.google.com/spreadsheets/d/1C3CXT74ZlgGe6_JY_1olB1XN4rF0dxEuIIF-xsYjHgg/edit?usp=sharing"",""พรบ!BK101"")"),0)</f>
        <v>0</v>
      </c>
      <c r="AE97" s="77">
        <f ca="1">IFERROR(__xludf.DUMMYFUNCTION("IMPORTRANGE(""https://docs.google.com/spreadsheets/d/1C3CXT74ZlgGe6_JY_1olB1XN4rF0dxEuIIF-xsYjHgg/edit?usp=sharing"",""พรบ!BL101"")"),0)</f>
        <v>0</v>
      </c>
      <c r="AF97" s="77">
        <f ca="1">IFERROR(__xludf.DUMMYFUNCTION("IMPORTRANGE(""https://docs.google.com/spreadsheets/d/1Yj_ptqi66GCucihVvJfMjLAmec39IyEx_6qawtMGysU/edit?usp=sharing"",""สบก!CI101"")"),0)</f>
        <v>0</v>
      </c>
      <c r="AG97" s="77">
        <f ca="1">IFERROR(__xludf.DUMMYFUNCTION("IMPORTRANGE(""https://docs.google.com/spreadsheets/d/1Yj_ptqi66GCucihVvJfMjLAmec39IyEx_6qawtMGysU/edit?usp=shCKing"",""สบก!CK101"")"),0)</f>
        <v>0</v>
      </c>
      <c r="AH97" s="77">
        <f t="shared" ca="1" si="19"/>
        <v>0</v>
      </c>
      <c r="AI97" s="77">
        <f t="shared" ca="1" si="20"/>
        <v>0</v>
      </c>
      <c r="AJ97" s="77">
        <f ca="1">IFERROR(__xludf.DUMMYFUNCTION("IMPORTRANGE(""https://docs.google.com/spreadsheets/d/1Yj_ptqi66GCucihVvJfMjLAmec39IyEx_6qawtMGysU/edit?usp=sharing"",""สบก!CL101"")"),0)</f>
        <v>0</v>
      </c>
      <c r="AK97" s="137">
        <f t="shared" ca="1" si="21"/>
        <v>0</v>
      </c>
      <c r="AL97" s="137">
        <f t="shared" ca="1" si="22"/>
        <v>0</v>
      </c>
      <c r="AM97" s="137">
        <f ca="1">IFERROR(__xludf.DUMMYFUNCTION("IMPORTRANGE(""https://docs.google.com/spreadsheets/d/1Yj_ptqi66GCucihVvJfMjLAmec39IyEx_6qawtMGysU/edit?usp=sharing"",""สบก!CM101"")"),0)</f>
        <v>0</v>
      </c>
      <c r="AN97" s="137">
        <f t="shared" ca="1" si="23"/>
        <v>0</v>
      </c>
      <c r="AO97" s="77">
        <f ca="1">IFERROR(__xludf.DUMMYFUNCTION("IMPORTRANGE(""https://docs.google.com/spreadsheets/d/1C3CXT74ZlgGe6_JY_1olB1XN4rF0dxEuIIF-xsYjHgg/edit?usp=sharing"",""พรบ!BM101"")"),0)</f>
        <v>0</v>
      </c>
      <c r="AP97" s="77">
        <v>0</v>
      </c>
      <c r="AQ97" s="137">
        <f t="shared" ca="1" si="25"/>
        <v>0</v>
      </c>
    </row>
    <row r="98" spans="1:43" ht="24" hidden="1" customHeight="1">
      <c r="A98" s="105">
        <f t="shared" si="84"/>
        <v>7</v>
      </c>
      <c r="B98" s="106" t="s">
        <v>122</v>
      </c>
      <c r="C98" s="75">
        <f t="shared" ca="1" si="0"/>
        <v>830600</v>
      </c>
      <c r="D98" s="76">
        <f t="shared" ca="1" si="82"/>
        <v>830600</v>
      </c>
      <c r="E98" s="77">
        <f ca="1">IFERROR(__xludf.DUMMYFUNCTION("IMPORTRANGE(""https://docs.google.com/spreadsheets/d/1C3CXT74ZlgGe6_JY_1olB1XN4rF0dxEuIIF-xsYjHgg/edit?usp=sharing"",""พรบ!BD102"")"),417800)</f>
        <v>417800</v>
      </c>
      <c r="F98" s="77">
        <f ca="1">IFERROR(__xludf.DUMMYFUNCTION("IMPORTRANGE(""https://docs.google.com/spreadsheets/d/1C3CXT74ZlgGe6_JY_1olB1XN4rF0dxEuIIF-xsYjHgg/edit?usp=sharing"",""พรบ!BE102"")"),412800)</f>
        <v>412800</v>
      </c>
      <c r="G98" s="77">
        <f ca="1">IFERROR(__xludf.DUMMYFUNCTION("IMPORTRANGE(""https://docs.google.com/spreadsheets/d/1Yj_ptqi66GCucihVvJfMjLAmec39IyEx_6qawtMGysU/edit?usp=sharing"",""สบก!BZ102"")"),0)</f>
        <v>0</v>
      </c>
      <c r="H98" s="77">
        <f ca="1">IFERROR(__xludf.DUMMYFUNCTION("IMPORTRANGE(""https://docs.google.com/spreadsheets/d/1Yj_ptqi66GCucihVvJfMjLAmec39IyEx_6qawtMGysU/edit?usp=shCBing"",""สบก!CB102"")"),691000)</f>
        <v>691000</v>
      </c>
      <c r="I98" s="77">
        <f t="shared" ca="1" si="3"/>
        <v>318257.84999999998</v>
      </c>
      <c r="J98" s="77">
        <f t="shared" ca="1" si="4"/>
        <v>38.316620515290147</v>
      </c>
      <c r="K98" s="77">
        <f ca="1">IFERROR(__xludf.DUMMYFUNCTION("IMPORTRANGE(""https://docs.google.com/spreadsheets/d/1Yj_ptqi66GCucihVvJfMjLAmec39IyEx_6qawtMGysU/edit?usp=sharing"",""สบก!CC102"")"),318257.85)</f>
        <v>318257.84999999998</v>
      </c>
      <c r="L98" s="137">
        <f t="shared" ca="1" si="5"/>
        <v>38.316620515290147</v>
      </c>
      <c r="M98" s="137">
        <f t="shared" ca="1" si="6"/>
        <v>46.057575976845143</v>
      </c>
      <c r="N98" s="137">
        <f ca="1">IFERROR(__xludf.DUMMYFUNCTION("IMPORTRANGE(""https://docs.google.com/spreadsheets/d/1Yj_ptqi66GCucihVvJfMjLAmec39IyEx_6qawtMGysU/edit?usp=sharing"",""สบก!CD102"")"),0)</f>
        <v>0</v>
      </c>
      <c r="O98" s="137">
        <f t="shared" ca="1" si="7"/>
        <v>0</v>
      </c>
      <c r="P98" s="77">
        <f ca="1">IFERROR(__xludf.DUMMYFUNCTION("IMPORTRANGE(""https://docs.google.com/spreadsheets/d/1C3CXT74ZlgGe6_JY_1olB1XN4rF0dxEuIIF-xsYjHgg/edit?usp=sharing"",""พรบ!BF102"")"),0)</f>
        <v>0</v>
      </c>
      <c r="Q98" s="77">
        <v>0</v>
      </c>
      <c r="R98" s="137">
        <f t="shared" ca="1" si="9"/>
        <v>0</v>
      </c>
      <c r="S98" s="77">
        <f ca="1">IFERROR(__xludf.DUMMYFUNCTION("IMPORTRANGE(""https://docs.google.com/spreadsheets/d/1C3CXT74ZlgGe6_JY_1olB1XN4rF0dxEuIIF-xsYjHgg/edit?usp=sharing"",""พรบ!BG102"")"),0)</f>
        <v>0</v>
      </c>
      <c r="T98" s="77">
        <v>0</v>
      </c>
      <c r="U98" s="137">
        <f t="shared" ca="1" si="11"/>
        <v>0</v>
      </c>
      <c r="V98" s="77">
        <f ca="1">IFERROR(__xludf.DUMMYFUNCTION("IMPORTRANGE(""https://docs.google.com/spreadsheets/d/1C3CXT74ZlgGe6_JY_1olB1XN4rF0dxEuIIF-xsYjHgg/edit?usp=sharing"",""พรบ!BH102"")"),0)</f>
        <v>0</v>
      </c>
      <c r="W98" s="77">
        <v>0</v>
      </c>
      <c r="X98" s="137">
        <f t="shared" ca="1" si="13"/>
        <v>0</v>
      </c>
      <c r="Y98" s="77">
        <f ca="1">IFERROR(__xludf.DUMMYFUNCTION("IMPORTRANGE(""https://docs.google.com/spreadsheets/d/1C3CXT74ZlgGe6_JY_1olB1XN4rF0dxEuIIF-xsYjHgg/edit?usp=sharing"",""พรบ!BI102"")"),0)</f>
        <v>0</v>
      </c>
      <c r="Z98" s="77">
        <v>0</v>
      </c>
      <c r="AA98" s="137">
        <f t="shared" ca="1" si="15"/>
        <v>0</v>
      </c>
      <c r="AB98" s="75">
        <f t="shared" ca="1" si="16"/>
        <v>1207900</v>
      </c>
      <c r="AC98" s="76">
        <f t="shared" ca="1" si="83"/>
        <v>1207900</v>
      </c>
      <c r="AD98" s="77">
        <f ca="1">IFERROR(__xludf.DUMMYFUNCTION("IMPORTRANGE(""https://docs.google.com/spreadsheets/d/1C3CXT74ZlgGe6_JY_1olB1XN4rF0dxEuIIF-xsYjHgg/edit?usp=sharing"",""พรบ!BK102"")"),264000)</f>
        <v>264000</v>
      </c>
      <c r="AE98" s="77">
        <f ca="1">IFERROR(__xludf.DUMMYFUNCTION("IMPORTRANGE(""https://docs.google.com/spreadsheets/d/1C3CXT74ZlgGe6_JY_1olB1XN4rF0dxEuIIF-xsYjHgg/edit?usp=sharing"",""พรบ!BL102"")"),943900)</f>
        <v>943900</v>
      </c>
      <c r="AF98" s="77">
        <f ca="1">IFERROR(__xludf.DUMMYFUNCTION("IMPORTRANGE(""https://docs.google.com/spreadsheets/d/1Yj_ptqi66GCucihVvJfMjLAmec39IyEx_6qawtMGysU/edit?usp=sharing"",""สบก!CI102"")"),0)</f>
        <v>0</v>
      </c>
      <c r="AG98" s="77">
        <f ca="1">IFERROR(__xludf.DUMMYFUNCTION("IMPORTRANGE(""https://docs.google.com/spreadsheets/d/1Yj_ptqi66GCucihVvJfMjLAmec39IyEx_6qawtMGysU/edit?usp=shCKing"",""สบก!CK102"")"),904900)</f>
        <v>904900</v>
      </c>
      <c r="AH98" s="77">
        <f t="shared" ca="1" si="19"/>
        <v>506086.8</v>
      </c>
      <c r="AI98" s="77">
        <f t="shared" ca="1" si="20"/>
        <v>41.898071032370233</v>
      </c>
      <c r="AJ98" s="77">
        <f ca="1">IFERROR(__xludf.DUMMYFUNCTION("IMPORTRANGE(""https://docs.google.com/spreadsheets/d/1Yj_ptqi66GCucihVvJfMjLAmec39IyEx_6qawtMGysU/edit?usp=sharing"",""สบก!CL102"")"),506086.8)</f>
        <v>506086.8</v>
      </c>
      <c r="AK98" s="137">
        <f t="shared" ca="1" si="21"/>
        <v>41.898071032370233</v>
      </c>
      <c r="AL98" s="137">
        <f t="shared" ca="1" si="22"/>
        <v>55.927373190407778</v>
      </c>
      <c r="AM98" s="137">
        <f ca="1">IFERROR(__xludf.DUMMYFUNCTION("IMPORTRANGE(""https://docs.google.com/spreadsheets/d/1Yj_ptqi66GCucihVvJfMjLAmec39IyEx_6qawtMGysU/edit?usp=sharing"",""สบก!CM102"")"),0)</f>
        <v>0</v>
      </c>
      <c r="AN98" s="137">
        <f t="shared" ca="1" si="23"/>
        <v>0</v>
      </c>
      <c r="AO98" s="77">
        <f ca="1">IFERROR(__xludf.DUMMYFUNCTION("IMPORTRANGE(""https://docs.google.com/spreadsheets/d/1C3CXT74ZlgGe6_JY_1olB1XN4rF0dxEuIIF-xsYjHgg/edit?usp=sharing"",""พรบ!BM102"")"),0)</f>
        <v>0</v>
      </c>
      <c r="AP98" s="77">
        <v>0</v>
      </c>
      <c r="AQ98" s="137">
        <f t="shared" ca="1" si="25"/>
        <v>0</v>
      </c>
    </row>
    <row r="99" spans="1:43" ht="24" hidden="1" customHeight="1">
      <c r="A99" s="105">
        <f t="shared" si="84"/>
        <v>8</v>
      </c>
      <c r="B99" s="106" t="s">
        <v>123</v>
      </c>
      <c r="C99" s="75">
        <f t="shared" ca="1" si="0"/>
        <v>0</v>
      </c>
      <c r="D99" s="76">
        <f t="shared" ca="1" si="82"/>
        <v>0</v>
      </c>
      <c r="E99" s="77">
        <f ca="1">IFERROR(__xludf.DUMMYFUNCTION("IMPORTRANGE(""https://docs.google.com/spreadsheets/d/1C3CXT74ZlgGe6_JY_1olB1XN4rF0dxEuIIF-xsYjHgg/edit?usp=sharing"",""พรบ!BD103"")"),0)</f>
        <v>0</v>
      </c>
      <c r="F99" s="77">
        <f ca="1">IFERROR(__xludf.DUMMYFUNCTION("IMPORTRANGE(""https://docs.google.com/spreadsheets/d/1C3CXT74ZlgGe6_JY_1olB1XN4rF0dxEuIIF-xsYjHgg/edit?usp=sharing"",""พรบ!BE103"")"),0)</f>
        <v>0</v>
      </c>
      <c r="G99" s="77">
        <f ca="1">IFERROR(__xludf.DUMMYFUNCTION("IMPORTRANGE(""https://docs.google.com/spreadsheets/d/1Yj_ptqi66GCucihVvJfMjLAmec39IyEx_6qawtMGysU/edit?usp=sharing"",""สบก!BZ103"")"),0)</f>
        <v>0</v>
      </c>
      <c r="H99" s="77">
        <f ca="1">IFERROR(__xludf.DUMMYFUNCTION("IMPORTRANGE(""https://docs.google.com/spreadsheets/d/1Yj_ptqi66GCucihVvJfMjLAmec39IyEx_6qawtMGysU/edit?usp=shCBing"",""สบก!CB103"")"),0)</f>
        <v>0</v>
      </c>
      <c r="I99" s="77">
        <f t="shared" ca="1" si="3"/>
        <v>0</v>
      </c>
      <c r="J99" s="77">
        <f t="shared" ca="1" si="4"/>
        <v>0</v>
      </c>
      <c r="K99" s="77">
        <f ca="1">IFERROR(__xludf.DUMMYFUNCTION("IMPORTRANGE(""https://docs.google.com/spreadsheets/d/1Yj_ptqi66GCucihVvJfMjLAmec39IyEx_6qawtMGysU/edit?usp=sharing"",""สบก!CC103"")"),0)</f>
        <v>0</v>
      </c>
      <c r="L99" s="137">
        <f t="shared" ca="1" si="5"/>
        <v>0</v>
      </c>
      <c r="M99" s="137">
        <f t="shared" ca="1" si="6"/>
        <v>0</v>
      </c>
      <c r="N99" s="137">
        <f ca="1">IFERROR(__xludf.DUMMYFUNCTION("IMPORTRANGE(""https://docs.google.com/spreadsheets/d/1Yj_ptqi66GCucihVvJfMjLAmec39IyEx_6qawtMGysU/edit?usp=sharing"",""สบก!CD103"")"),0)</f>
        <v>0</v>
      </c>
      <c r="O99" s="137">
        <f t="shared" ca="1" si="7"/>
        <v>0</v>
      </c>
      <c r="P99" s="77">
        <f ca="1">IFERROR(__xludf.DUMMYFUNCTION("IMPORTRANGE(""https://docs.google.com/spreadsheets/d/1C3CXT74ZlgGe6_JY_1olB1XN4rF0dxEuIIF-xsYjHgg/edit?usp=sharing"",""พรบ!BF103"")"),0)</f>
        <v>0</v>
      </c>
      <c r="Q99" s="77">
        <v>0</v>
      </c>
      <c r="R99" s="137">
        <f t="shared" ca="1" si="9"/>
        <v>0</v>
      </c>
      <c r="S99" s="77">
        <f ca="1">IFERROR(__xludf.DUMMYFUNCTION("IMPORTRANGE(""https://docs.google.com/spreadsheets/d/1C3CXT74ZlgGe6_JY_1olB1XN4rF0dxEuIIF-xsYjHgg/edit?usp=sharing"",""พรบ!BG103"")"),0)</f>
        <v>0</v>
      </c>
      <c r="T99" s="77">
        <v>0</v>
      </c>
      <c r="U99" s="137">
        <f t="shared" ca="1" si="11"/>
        <v>0</v>
      </c>
      <c r="V99" s="77">
        <f ca="1">IFERROR(__xludf.DUMMYFUNCTION("IMPORTRANGE(""https://docs.google.com/spreadsheets/d/1C3CXT74ZlgGe6_JY_1olB1XN4rF0dxEuIIF-xsYjHgg/edit?usp=sharing"",""พรบ!BH103"")"),0)</f>
        <v>0</v>
      </c>
      <c r="W99" s="77">
        <v>0</v>
      </c>
      <c r="X99" s="137">
        <f t="shared" ca="1" si="13"/>
        <v>0</v>
      </c>
      <c r="Y99" s="77">
        <f ca="1">IFERROR(__xludf.DUMMYFUNCTION("IMPORTRANGE(""https://docs.google.com/spreadsheets/d/1C3CXT74ZlgGe6_JY_1olB1XN4rF0dxEuIIF-xsYjHgg/edit?usp=sharing"",""พรบ!BI103"")"),0)</f>
        <v>0</v>
      </c>
      <c r="Z99" s="77">
        <v>0</v>
      </c>
      <c r="AA99" s="137">
        <f t="shared" ca="1" si="15"/>
        <v>0</v>
      </c>
      <c r="AB99" s="75">
        <f t="shared" ca="1" si="16"/>
        <v>0</v>
      </c>
      <c r="AC99" s="76">
        <f t="shared" ca="1" si="83"/>
        <v>0</v>
      </c>
      <c r="AD99" s="77">
        <f ca="1">IFERROR(__xludf.DUMMYFUNCTION("IMPORTRANGE(""https://docs.google.com/spreadsheets/d/1C3CXT74ZlgGe6_JY_1olB1XN4rF0dxEuIIF-xsYjHgg/edit?usp=sharing"",""พรบ!BK103"")"),0)</f>
        <v>0</v>
      </c>
      <c r="AE99" s="77">
        <f ca="1">IFERROR(__xludf.DUMMYFUNCTION("IMPORTRANGE(""https://docs.google.com/spreadsheets/d/1C3CXT74ZlgGe6_JY_1olB1XN4rF0dxEuIIF-xsYjHgg/edit?usp=sharing"",""พรบ!BL103"")"),0)</f>
        <v>0</v>
      </c>
      <c r="AF99" s="77">
        <f ca="1">IFERROR(__xludf.DUMMYFUNCTION("IMPORTRANGE(""https://docs.google.com/spreadsheets/d/1Yj_ptqi66GCucihVvJfMjLAmec39IyEx_6qawtMGysU/edit?usp=sharing"",""สบก!CI103"")"),0)</f>
        <v>0</v>
      </c>
      <c r="AG99" s="77">
        <f ca="1">IFERROR(__xludf.DUMMYFUNCTION("IMPORTRANGE(""https://docs.google.com/spreadsheets/d/1Yj_ptqi66GCucihVvJfMjLAmec39IyEx_6qawtMGysU/edit?usp=shCKing"",""สบก!CK103"")"),0)</f>
        <v>0</v>
      </c>
      <c r="AH99" s="77">
        <f t="shared" ca="1" si="19"/>
        <v>0</v>
      </c>
      <c r="AI99" s="77">
        <f t="shared" ca="1" si="20"/>
        <v>0</v>
      </c>
      <c r="AJ99" s="77">
        <f ca="1">IFERROR(__xludf.DUMMYFUNCTION("IMPORTRANGE(""https://docs.google.com/spreadsheets/d/1Yj_ptqi66GCucihVvJfMjLAmec39IyEx_6qawtMGysU/edit?usp=sharing"",""สบก!CL103"")"),0)</f>
        <v>0</v>
      </c>
      <c r="AK99" s="137">
        <f t="shared" ca="1" si="21"/>
        <v>0</v>
      </c>
      <c r="AL99" s="137">
        <f t="shared" ca="1" si="22"/>
        <v>0</v>
      </c>
      <c r="AM99" s="137">
        <f ca="1">IFERROR(__xludf.DUMMYFUNCTION("IMPORTRANGE(""https://docs.google.com/spreadsheets/d/1Yj_ptqi66GCucihVvJfMjLAmec39IyEx_6qawtMGysU/edit?usp=sharing"",""สบก!CM103"")"),0)</f>
        <v>0</v>
      </c>
      <c r="AN99" s="137">
        <f t="shared" ca="1" si="23"/>
        <v>0</v>
      </c>
      <c r="AO99" s="77">
        <f ca="1">IFERROR(__xludf.DUMMYFUNCTION("IMPORTRANGE(""https://docs.google.com/spreadsheets/d/1C3CXT74ZlgGe6_JY_1olB1XN4rF0dxEuIIF-xsYjHgg/edit?usp=sharing"",""พรบ!BM103"")"),0)</f>
        <v>0</v>
      </c>
      <c r="AP99" s="77">
        <v>0</v>
      </c>
      <c r="AQ99" s="137">
        <f t="shared" ca="1" si="25"/>
        <v>0</v>
      </c>
    </row>
    <row r="100" spans="1:43" ht="24" hidden="1" customHeight="1">
      <c r="A100" s="105">
        <f t="shared" si="84"/>
        <v>9</v>
      </c>
      <c r="B100" s="106" t="s">
        <v>124</v>
      </c>
      <c r="C100" s="75">
        <f t="shared" ca="1" si="0"/>
        <v>0</v>
      </c>
      <c r="D100" s="76">
        <f t="shared" ca="1" si="82"/>
        <v>0</v>
      </c>
      <c r="E100" s="77">
        <f ca="1">IFERROR(__xludf.DUMMYFUNCTION("IMPORTRANGE(""https://docs.google.com/spreadsheets/d/1C3CXT74ZlgGe6_JY_1olB1XN4rF0dxEuIIF-xsYjHgg/edit?usp=sharing"",""พรบ!BD104"")"),0)</f>
        <v>0</v>
      </c>
      <c r="F100" s="77">
        <f ca="1">IFERROR(__xludf.DUMMYFUNCTION("IMPORTRANGE(""https://docs.google.com/spreadsheets/d/1C3CXT74ZlgGe6_JY_1olB1XN4rF0dxEuIIF-xsYjHgg/edit?usp=sharing"",""พรบ!BE104"")"),0)</f>
        <v>0</v>
      </c>
      <c r="G100" s="77">
        <f ca="1">IFERROR(__xludf.DUMMYFUNCTION("IMPORTRANGE(""https://docs.google.com/spreadsheets/d/1Yj_ptqi66GCucihVvJfMjLAmec39IyEx_6qawtMGysU/edit?usp=sharing"",""สบก!BZ104"")"),0)</f>
        <v>0</v>
      </c>
      <c r="H100" s="77">
        <f ca="1">IFERROR(__xludf.DUMMYFUNCTION("IMPORTRANGE(""https://docs.google.com/spreadsheets/d/1Yj_ptqi66GCucihVvJfMjLAmec39IyEx_6qawtMGysU/edit?usp=shCBing"",""สบก!CB104"")"),0)</f>
        <v>0</v>
      </c>
      <c r="I100" s="77">
        <f t="shared" ca="1" si="3"/>
        <v>0</v>
      </c>
      <c r="J100" s="77">
        <f t="shared" ca="1" si="4"/>
        <v>0</v>
      </c>
      <c r="K100" s="77">
        <f ca="1">IFERROR(__xludf.DUMMYFUNCTION("IMPORTRANGE(""https://docs.google.com/spreadsheets/d/1Yj_ptqi66GCucihVvJfMjLAmec39IyEx_6qawtMGysU/edit?usp=sharing"",""สบก!CC104"")"),0)</f>
        <v>0</v>
      </c>
      <c r="L100" s="137">
        <f t="shared" ca="1" si="5"/>
        <v>0</v>
      </c>
      <c r="M100" s="137">
        <f t="shared" ca="1" si="6"/>
        <v>0</v>
      </c>
      <c r="N100" s="137">
        <f ca="1">IFERROR(__xludf.DUMMYFUNCTION("IMPORTRANGE(""https://docs.google.com/spreadsheets/d/1Yj_ptqi66GCucihVvJfMjLAmec39IyEx_6qawtMGysU/edit?usp=sharing"",""สบก!CD104"")"),0)</f>
        <v>0</v>
      </c>
      <c r="O100" s="137">
        <f t="shared" ca="1" si="7"/>
        <v>0</v>
      </c>
      <c r="P100" s="77">
        <f ca="1">IFERROR(__xludf.DUMMYFUNCTION("IMPORTRANGE(""https://docs.google.com/spreadsheets/d/1C3CXT74ZlgGe6_JY_1olB1XN4rF0dxEuIIF-xsYjHgg/edit?usp=sharing"",""พรบ!BF104"")"),0)</f>
        <v>0</v>
      </c>
      <c r="Q100" s="77">
        <v>0</v>
      </c>
      <c r="R100" s="137">
        <f t="shared" ca="1" si="9"/>
        <v>0</v>
      </c>
      <c r="S100" s="77">
        <f ca="1">IFERROR(__xludf.DUMMYFUNCTION("IMPORTRANGE(""https://docs.google.com/spreadsheets/d/1C3CXT74ZlgGe6_JY_1olB1XN4rF0dxEuIIF-xsYjHgg/edit?usp=sharing"",""พรบ!BG104"")"),0)</f>
        <v>0</v>
      </c>
      <c r="T100" s="77">
        <v>0</v>
      </c>
      <c r="U100" s="137">
        <f t="shared" ca="1" si="11"/>
        <v>0</v>
      </c>
      <c r="V100" s="77">
        <f ca="1">IFERROR(__xludf.DUMMYFUNCTION("IMPORTRANGE(""https://docs.google.com/spreadsheets/d/1C3CXT74ZlgGe6_JY_1olB1XN4rF0dxEuIIF-xsYjHgg/edit?usp=sharing"",""พรบ!BH104"")"),0)</f>
        <v>0</v>
      </c>
      <c r="W100" s="77">
        <v>0</v>
      </c>
      <c r="X100" s="137">
        <f t="shared" ca="1" si="13"/>
        <v>0</v>
      </c>
      <c r="Y100" s="77">
        <f ca="1">IFERROR(__xludf.DUMMYFUNCTION("IMPORTRANGE(""https://docs.google.com/spreadsheets/d/1C3CXT74ZlgGe6_JY_1olB1XN4rF0dxEuIIF-xsYjHgg/edit?usp=sharing"",""พรบ!BI104"")"),0)</f>
        <v>0</v>
      </c>
      <c r="Z100" s="77">
        <v>0</v>
      </c>
      <c r="AA100" s="137">
        <f t="shared" ca="1" si="15"/>
        <v>0</v>
      </c>
      <c r="AB100" s="75">
        <f t="shared" ca="1" si="16"/>
        <v>0</v>
      </c>
      <c r="AC100" s="76">
        <f t="shared" ca="1" si="83"/>
        <v>0</v>
      </c>
      <c r="AD100" s="77">
        <f ca="1">IFERROR(__xludf.DUMMYFUNCTION("IMPORTRANGE(""https://docs.google.com/spreadsheets/d/1C3CXT74ZlgGe6_JY_1olB1XN4rF0dxEuIIF-xsYjHgg/edit?usp=sharing"",""พรบ!BK104"")"),0)</f>
        <v>0</v>
      </c>
      <c r="AE100" s="77">
        <f ca="1">IFERROR(__xludf.DUMMYFUNCTION("IMPORTRANGE(""https://docs.google.com/spreadsheets/d/1C3CXT74ZlgGe6_JY_1olB1XN4rF0dxEuIIF-xsYjHgg/edit?usp=sharing"",""พรบ!BL104"")"),0)</f>
        <v>0</v>
      </c>
      <c r="AF100" s="77">
        <f ca="1">IFERROR(__xludf.DUMMYFUNCTION("IMPORTRANGE(""https://docs.google.com/spreadsheets/d/1Yj_ptqi66GCucihVvJfMjLAmec39IyEx_6qawtMGysU/edit?usp=sharing"",""สบก!CI104"")"),0)</f>
        <v>0</v>
      </c>
      <c r="AG100" s="77">
        <f ca="1">IFERROR(__xludf.DUMMYFUNCTION("IMPORTRANGE(""https://docs.google.com/spreadsheets/d/1Yj_ptqi66GCucihVvJfMjLAmec39IyEx_6qawtMGysU/edit?usp=shCKing"",""สบก!CK104"")"),0)</f>
        <v>0</v>
      </c>
      <c r="AH100" s="77">
        <f t="shared" ca="1" si="19"/>
        <v>0</v>
      </c>
      <c r="AI100" s="77">
        <f t="shared" ca="1" si="20"/>
        <v>0</v>
      </c>
      <c r="AJ100" s="77">
        <f ca="1">IFERROR(__xludf.DUMMYFUNCTION("IMPORTRANGE(""https://docs.google.com/spreadsheets/d/1Yj_ptqi66GCucihVvJfMjLAmec39IyEx_6qawtMGysU/edit?usp=sharing"",""สบก!CL104"")"),0)</f>
        <v>0</v>
      </c>
      <c r="AK100" s="137">
        <f t="shared" ca="1" si="21"/>
        <v>0</v>
      </c>
      <c r="AL100" s="137">
        <f t="shared" ca="1" si="22"/>
        <v>0</v>
      </c>
      <c r="AM100" s="137">
        <f ca="1">IFERROR(__xludf.DUMMYFUNCTION("IMPORTRANGE(""https://docs.google.com/spreadsheets/d/1Yj_ptqi66GCucihVvJfMjLAmec39IyEx_6qawtMGysU/edit?usp=sharing"",""สบก!CM104"")"),0)</f>
        <v>0</v>
      </c>
      <c r="AN100" s="137">
        <f t="shared" ca="1" si="23"/>
        <v>0</v>
      </c>
      <c r="AO100" s="77">
        <f ca="1">IFERROR(__xludf.DUMMYFUNCTION("IMPORTRANGE(""https://docs.google.com/spreadsheets/d/1C3CXT74ZlgGe6_JY_1olB1XN4rF0dxEuIIF-xsYjHgg/edit?usp=sharing"",""พรบ!BM104"")"),0)</f>
        <v>0</v>
      </c>
      <c r="AP100" s="77">
        <v>0</v>
      </c>
      <c r="AQ100" s="137">
        <f t="shared" ca="1" si="25"/>
        <v>0</v>
      </c>
    </row>
    <row r="101" spans="1:43" ht="24" hidden="1" customHeight="1">
      <c r="A101" s="105">
        <f t="shared" si="84"/>
        <v>10</v>
      </c>
      <c r="B101" s="106" t="s">
        <v>125</v>
      </c>
      <c r="C101" s="75">
        <f t="shared" ca="1" si="0"/>
        <v>0</v>
      </c>
      <c r="D101" s="76">
        <f t="shared" ca="1" si="82"/>
        <v>0</v>
      </c>
      <c r="E101" s="77">
        <f ca="1">IFERROR(__xludf.DUMMYFUNCTION("IMPORTRANGE(""https://docs.google.com/spreadsheets/d/1C3CXT74ZlgGe6_JY_1olB1XN4rF0dxEuIIF-xsYjHgg/edit?usp=sharing"",""พรบ!BD105"")"),0)</f>
        <v>0</v>
      </c>
      <c r="F101" s="77">
        <f ca="1">IFERROR(__xludf.DUMMYFUNCTION("IMPORTRANGE(""https://docs.google.com/spreadsheets/d/1C3CXT74ZlgGe6_JY_1olB1XN4rF0dxEuIIF-xsYjHgg/edit?usp=sharing"",""พรบ!BE105"")"),0)</f>
        <v>0</v>
      </c>
      <c r="G101" s="77">
        <f ca="1">IFERROR(__xludf.DUMMYFUNCTION("IMPORTRANGE(""https://docs.google.com/spreadsheets/d/1Yj_ptqi66GCucihVvJfMjLAmec39IyEx_6qawtMGysU/edit?usp=sharing"",""สบก!BZ105"")"),0)</f>
        <v>0</v>
      </c>
      <c r="H101" s="77">
        <f ca="1">IFERROR(__xludf.DUMMYFUNCTION("IMPORTRANGE(""https://docs.google.com/spreadsheets/d/1Yj_ptqi66GCucihVvJfMjLAmec39IyEx_6qawtMGysU/edit?usp=shCBing"",""สบก!CB105"")"),0)</f>
        <v>0</v>
      </c>
      <c r="I101" s="77">
        <f t="shared" ca="1" si="3"/>
        <v>0</v>
      </c>
      <c r="J101" s="77">
        <f t="shared" ca="1" si="4"/>
        <v>0</v>
      </c>
      <c r="K101" s="77">
        <f ca="1">IFERROR(__xludf.DUMMYFUNCTION("IMPORTRANGE(""https://docs.google.com/spreadsheets/d/1Yj_ptqi66GCucihVvJfMjLAmec39IyEx_6qawtMGysU/edit?usp=sharing"",""สบก!CC105"")"),0)</f>
        <v>0</v>
      </c>
      <c r="L101" s="137">
        <f t="shared" ca="1" si="5"/>
        <v>0</v>
      </c>
      <c r="M101" s="137">
        <f t="shared" ca="1" si="6"/>
        <v>0</v>
      </c>
      <c r="N101" s="137">
        <f ca="1">IFERROR(__xludf.DUMMYFUNCTION("IMPORTRANGE(""https://docs.google.com/spreadsheets/d/1Yj_ptqi66GCucihVvJfMjLAmec39IyEx_6qawtMGysU/edit?usp=sharing"",""สบก!CD105"")"),0)</f>
        <v>0</v>
      </c>
      <c r="O101" s="137">
        <f t="shared" ca="1" si="7"/>
        <v>0</v>
      </c>
      <c r="P101" s="77">
        <f ca="1">IFERROR(__xludf.DUMMYFUNCTION("IMPORTRANGE(""https://docs.google.com/spreadsheets/d/1C3CXT74ZlgGe6_JY_1olB1XN4rF0dxEuIIF-xsYjHgg/edit?usp=sharing"",""พรบ!BF105"")"),0)</f>
        <v>0</v>
      </c>
      <c r="Q101" s="77">
        <v>0</v>
      </c>
      <c r="R101" s="137">
        <f t="shared" ca="1" si="9"/>
        <v>0</v>
      </c>
      <c r="S101" s="77">
        <f ca="1">IFERROR(__xludf.DUMMYFUNCTION("IMPORTRANGE(""https://docs.google.com/spreadsheets/d/1C3CXT74ZlgGe6_JY_1olB1XN4rF0dxEuIIF-xsYjHgg/edit?usp=sharing"",""พรบ!BG105"")"),0)</f>
        <v>0</v>
      </c>
      <c r="T101" s="77">
        <v>0</v>
      </c>
      <c r="U101" s="137">
        <f t="shared" ca="1" si="11"/>
        <v>0</v>
      </c>
      <c r="V101" s="77">
        <f ca="1">IFERROR(__xludf.DUMMYFUNCTION("IMPORTRANGE(""https://docs.google.com/spreadsheets/d/1C3CXT74ZlgGe6_JY_1olB1XN4rF0dxEuIIF-xsYjHgg/edit?usp=sharing"",""พรบ!BH105"")"),0)</f>
        <v>0</v>
      </c>
      <c r="W101" s="77">
        <v>0</v>
      </c>
      <c r="X101" s="137">
        <f t="shared" ca="1" si="13"/>
        <v>0</v>
      </c>
      <c r="Y101" s="77">
        <f ca="1">IFERROR(__xludf.DUMMYFUNCTION("IMPORTRANGE(""https://docs.google.com/spreadsheets/d/1C3CXT74ZlgGe6_JY_1olB1XN4rF0dxEuIIF-xsYjHgg/edit?usp=sharing"",""พรบ!BI105"")"),0)</f>
        <v>0</v>
      </c>
      <c r="Z101" s="77">
        <v>0</v>
      </c>
      <c r="AA101" s="137">
        <f t="shared" ca="1" si="15"/>
        <v>0</v>
      </c>
      <c r="AB101" s="75">
        <f t="shared" ca="1" si="16"/>
        <v>0</v>
      </c>
      <c r="AC101" s="76">
        <f t="shared" ca="1" si="83"/>
        <v>0</v>
      </c>
      <c r="AD101" s="77">
        <f ca="1">IFERROR(__xludf.DUMMYFUNCTION("IMPORTRANGE(""https://docs.google.com/spreadsheets/d/1C3CXT74ZlgGe6_JY_1olB1XN4rF0dxEuIIF-xsYjHgg/edit?usp=sharing"",""พรบ!BK105"")"),0)</f>
        <v>0</v>
      </c>
      <c r="AE101" s="77">
        <f ca="1">IFERROR(__xludf.DUMMYFUNCTION("IMPORTRANGE(""https://docs.google.com/spreadsheets/d/1C3CXT74ZlgGe6_JY_1olB1XN4rF0dxEuIIF-xsYjHgg/edit?usp=sharing"",""พรบ!BL105"")"),0)</f>
        <v>0</v>
      </c>
      <c r="AF101" s="77">
        <f ca="1">IFERROR(__xludf.DUMMYFUNCTION("IMPORTRANGE(""https://docs.google.com/spreadsheets/d/1Yj_ptqi66GCucihVvJfMjLAmec39IyEx_6qawtMGysU/edit?usp=sharing"",""สบก!CI105"")"),0)</f>
        <v>0</v>
      </c>
      <c r="AG101" s="77">
        <f ca="1">IFERROR(__xludf.DUMMYFUNCTION("IMPORTRANGE(""https://docs.google.com/spreadsheets/d/1Yj_ptqi66GCucihVvJfMjLAmec39IyEx_6qawtMGysU/edit?usp=shCKing"",""สบก!CK105"")"),0)</f>
        <v>0</v>
      </c>
      <c r="AH101" s="77">
        <f t="shared" ca="1" si="19"/>
        <v>0</v>
      </c>
      <c r="AI101" s="77">
        <f t="shared" ca="1" si="20"/>
        <v>0</v>
      </c>
      <c r="AJ101" s="77">
        <f ca="1">IFERROR(__xludf.DUMMYFUNCTION("IMPORTRANGE(""https://docs.google.com/spreadsheets/d/1Yj_ptqi66GCucihVvJfMjLAmec39IyEx_6qawtMGysU/edit?usp=sharing"",""สบก!CL105"")"),0)</f>
        <v>0</v>
      </c>
      <c r="AK101" s="137">
        <f t="shared" ca="1" si="21"/>
        <v>0</v>
      </c>
      <c r="AL101" s="137">
        <f t="shared" ca="1" si="22"/>
        <v>0</v>
      </c>
      <c r="AM101" s="137">
        <f ca="1">IFERROR(__xludf.DUMMYFUNCTION("IMPORTRANGE(""https://docs.google.com/spreadsheets/d/1Yj_ptqi66GCucihVvJfMjLAmec39IyEx_6qawtMGysU/edit?usp=sharing"",""สบก!CM105"")"),0)</f>
        <v>0</v>
      </c>
      <c r="AN101" s="137">
        <f t="shared" ca="1" si="23"/>
        <v>0</v>
      </c>
      <c r="AO101" s="77">
        <f ca="1">IFERROR(__xludf.DUMMYFUNCTION("IMPORTRANGE(""https://docs.google.com/spreadsheets/d/1C3CXT74ZlgGe6_JY_1olB1XN4rF0dxEuIIF-xsYjHgg/edit?usp=sharing"",""พรบ!BM105"")"),0)</f>
        <v>0</v>
      </c>
      <c r="AP101" s="77">
        <v>0</v>
      </c>
      <c r="AQ101" s="137">
        <f t="shared" ca="1" si="25"/>
        <v>0</v>
      </c>
    </row>
    <row r="102" spans="1:43" ht="24" hidden="1" customHeight="1">
      <c r="A102" s="105">
        <f t="shared" si="84"/>
        <v>11</v>
      </c>
      <c r="B102" s="106" t="s">
        <v>126</v>
      </c>
      <c r="C102" s="75">
        <f t="shared" ca="1" si="0"/>
        <v>0</v>
      </c>
      <c r="D102" s="76">
        <f t="shared" ca="1" si="82"/>
        <v>0</v>
      </c>
      <c r="E102" s="77">
        <f ca="1">IFERROR(__xludf.DUMMYFUNCTION("IMPORTRANGE(""https://docs.google.com/spreadsheets/d/1C3CXT74ZlgGe6_JY_1olB1XN4rF0dxEuIIF-xsYjHgg/edit?usp=sharing"",""พรบ!BD106"")"),0)</f>
        <v>0</v>
      </c>
      <c r="F102" s="77">
        <f ca="1">IFERROR(__xludf.DUMMYFUNCTION("IMPORTRANGE(""https://docs.google.com/spreadsheets/d/1C3CXT74ZlgGe6_JY_1olB1XN4rF0dxEuIIF-xsYjHgg/edit?usp=sharing"",""พรบ!BE106"")"),0)</f>
        <v>0</v>
      </c>
      <c r="G102" s="77">
        <f ca="1">IFERROR(__xludf.DUMMYFUNCTION("IMPORTRANGE(""https://docs.google.com/spreadsheets/d/1Yj_ptqi66GCucihVvJfMjLAmec39IyEx_6qawtMGysU/edit?usp=sharing"",""สบก!BZ106"")"),0)</f>
        <v>0</v>
      </c>
      <c r="H102" s="77">
        <f ca="1">IFERROR(__xludf.DUMMYFUNCTION("IMPORTRANGE(""https://docs.google.com/spreadsheets/d/1Yj_ptqi66GCucihVvJfMjLAmec39IyEx_6qawtMGysU/edit?usp=shCBing"",""สบก!CB106"")"),0)</f>
        <v>0</v>
      </c>
      <c r="I102" s="77">
        <f t="shared" ca="1" si="3"/>
        <v>0</v>
      </c>
      <c r="J102" s="77">
        <f t="shared" ca="1" si="4"/>
        <v>0</v>
      </c>
      <c r="K102" s="77">
        <f ca="1">IFERROR(__xludf.DUMMYFUNCTION("IMPORTRANGE(""https://docs.google.com/spreadsheets/d/1Yj_ptqi66GCucihVvJfMjLAmec39IyEx_6qawtMGysU/edit?usp=sharing"",""สบก!CC106"")"),0)</f>
        <v>0</v>
      </c>
      <c r="L102" s="137">
        <f t="shared" ca="1" si="5"/>
        <v>0</v>
      </c>
      <c r="M102" s="137">
        <f t="shared" ca="1" si="6"/>
        <v>0</v>
      </c>
      <c r="N102" s="137">
        <f ca="1">IFERROR(__xludf.DUMMYFUNCTION("IMPORTRANGE(""https://docs.google.com/spreadsheets/d/1Yj_ptqi66GCucihVvJfMjLAmec39IyEx_6qawtMGysU/edit?usp=sharing"",""สบก!CD106"")"),0)</f>
        <v>0</v>
      </c>
      <c r="O102" s="137">
        <f t="shared" ca="1" si="7"/>
        <v>0</v>
      </c>
      <c r="P102" s="77">
        <f ca="1">IFERROR(__xludf.DUMMYFUNCTION("IMPORTRANGE(""https://docs.google.com/spreadsheets/d/1C3CXT74ZlgGe6_JY_1olB1XN4rF0dxEuIIF-xsYjHgg/edit?usp=sharing"",""พรบ!BF106"")"),0)</f>
        <v>0</v>
      </c>
      <c r="Q102" s="77">
        <v>0</v>
      </c>
      <c r="R102" s="137">
        <f t="shared" ca="1" si="9"/>
        <v>0</v>
      </c>
      <c r="S102" s="77">
        <f ca="1">IFERROR(__xludf.DUMMYFUNCTION("IMPORTRANGE(""https://docs.google.com/spreadsheets/d/1C3CXT74ZlgGe6_JY_1olB1XN4rF0dxEuIIF-xsYjHgg/edit?usp=sharing"",""พรบ!BG106"")"),0)</f>
        <v>0</v>
      </c>
      <c r="T102" s="77">
        <v>0</v>
      </c>
      <c r="U102" s="137">
        <f t="shared" ca="1" si="11"/>
        <v>0</v>
      </c>
      <c r="V102" s="77">
        <f ca="1">IFERROR(__xludf.DUMMYFUNCTION("IMPORTRANGE(""https://docs.google.com/spreadsheets/d/1C3CXT74ZlgGe6_JY_1olB1XN4rF0dxEuIIF-xsYjHgg/edit?usp=sharing"",""พรบ!BH106"")"),0)</f>
        <v>0</v>
      </c>
      <c r="W102" s="77">
        <v>0</v>
      </c>
      <c r="X102" s="137">
        <f t="shared" ca="1" si="13"/>
        <v>0</v>
      </c>
      <c r="Y102" s="77">
        <f ca="1">IFERROR(__xludf.DUMMYFUNCTION("IMPORTRANGE(""https://docs.google.com/spreadsheets/d/1C3CXT74ZlgGe6_JY_1olB1XN4rF0dxEuIIF-xsYjHgg/edit?usp=sharing"",""พรบ!BI106"")"),0)</f>
        <v>0</v>
      </c>
      <c r="Z102" s="77">
        <v>0</v>
      </c>
      <c r="AA102" s="137">
        <f t="shared" ca="1" si="15"/>
        <v>0</v>
      </c>
      <c r="AB102" s="75">
        <f t="shared" ca="1" si="16"/>
        <v>0</v>
      </c>
      <c r="AC102" s="76">
        <f t="shared" ca="1" si="83"/>
        <v>0</v>
      </c>
      <c r="AD102" s="77">
        <f ca="1">IFERROR(__xludf.DUMMYFUNCTION("IMPORTRANGE(""https://docs.google.com/spreadsheets/d/1C3CXT74ZlgGe6_JY_1olB1XN4rF0dxEuIIF-xsYjHgg/edit?usp=sharing"",""พรบ!BK106"")"),0)</f>
        <v>0</v>
      </c>
      <c r="AE102" s="77">
        <f ca="1">IFERROR(__xludf.DUMMYFUNCTION("IMPORTRANGE(""https://docs.google.com/spreadsheets/d/1C3CXT74ZlgGe6_JY_1olB1XN4rF0dxEuIIF-xsYjHgg/edit?usp=sharing"",""พรบ!BL106"")"),0)</f>
        <v>0</v>
      </c>
      <c r="AF102" s="77">
        <f ca="1">IFERROR(__xludf.DUMMYFUNCTION("IMPORTRANGE(""https://docs.google.com/spreadsheets/d/1Yj_ptqi66GCucihVvJfMjLAmec39IyEx_6qawtMGysU/edit?usp=sharing"",""สบก!CI106"")"),0)</f>
        <v>0</v>
      </c>
      <c r="AG102" s="77">
        <f ca="1">IFERROR(__xludf.DUMMYFUNCTION("IMPORTRANGE(""https://docs.google.com/spreadsheets/d/1Yj_ptqi66GCucihVvJfMjLAmec39IyEx_6qawtMGysU/edit?usp=shCKing"",""สบก!CK106"")"),0)</f>
        <v>0</v>
      </c>
      <c r="AH102" s="77">
        <f t="shared" ca="1" si="19"/>
        <v>0</v>
      </c>
      <c r="AI102" s="77">
        <f t="shared" ca="1" si="20"/>
        <v>0</v>
      </c>
      <c r="AJ102" s="77">
        <f ca="1">IFERROR(__xludf.DUMMYFUNCTION("IMPORTRANGE(""https://docs.google.com/spreadsheets/d/1Yj_ptqi66GCucihVvJfMjLAmec39IyEx_6qawtMGysU/edit?usp=sharing"",""สบก!CL106"")"),0)</f>
        <v>0</v>
      </c>
      <c r="AK102" s="137">
        <f t="shared" ca="1" si="21"/>
        <v>0</v>
      </c>
      <c r="AL102" s="137">
        <f t="shared" ca="1" si="22"/>
        <v>0</v>
      </c>
      <c r="AM102" s="137">
        <f ca="1">IFERROR(__xludf.DUMMYFUNCTION("IMPORTRANGE(""https://docs.google.com/spreadsheets/d/1Yj_ptqi66GCucihVvJfMjLAmec39IyEx_6qawtMGysU/edit?usp=sharing"",""สบก!CM106"")"),0)</f>
        <v>0</v>
      </c>
      <c r="AN102" s="137">
        <f t="shared" ca="1" si="23"/>
        <v>0</v>
      </c>
      <c r="AO102" s="77">
        <f ca="1">IFERROR(__xludf.DUMMYFUNCTION("IMPORTRANGE(""https://docs.google.com/spreadsheets/d/1C3CXT74ZlgGe6_JY_1olB1XN4rF0dxEuIIF-xsYjHgg/edit?usp=sharing"",""พรบ!BM106"")"),0)</f>
        <v>0</v>
      </c>
      <c r="AP102" s="77">
        <v>0</v>
      </c>
      <c r="AQ102" s="137">
        <f t="shared" ca="1" si="25"/>
        <v>0</v>
      </c>
    </row>
    <row r="103" spans="1:43" ht="24" hidden="1" customHeight="1">
      <c r="A103" s="105">
        <f t="shared" si="84"/>
        <v>12</v>
      </c>
      <c r="B103" s="106" t="s">
        <v>127</v>
      </c>
      <c r="C103" s="75">
        <f t="shared" ca="1" si="0"/>
        <v>0</v>
      </c>
      <c r="D103" s="76">
        <f t="shared" ca="1" si="82"/>
        <v>0</v>
      </c>
      <c r="E103" s="77">
        <f ca="1">IFERROR(__xludf.DUMMYFUNCTION("IMPORTRANGE(""https://docs.google.com/spreadsheets/d/1C3CXT74ZlgGe6_JY_1olB1XN4rF0dxEuIIF-xsYjHgg/edit?usp=sharing"",""พรบ!BD107"")"),0)</f>
        <v>0</v>
      </c>
      <c r="F103" s="77">
        <f ca="1">IFERROR(__xludf.DUMMYFUNCTION("IMPORTRANGE(""https://docs.google.com/spreadsheets/d/1C3CXT74ZlgGe6_JY_1olB1XN4rF0dxEuIIF-xsYjHgg/edit?usp=sharing"",""พรบ!BE107"")"),0)</f>
        <v>0</v>
      </c>
      <c r="G103" s="77">
        <f ca="1">IFERROR(__xludf.DUMMYFUNCTION("IMPORTRANGE(""https://docs.google.com/spreadsheets/d/1Yj_ptqi66GCucihVvJfMjLAmec39IyEx_6qawtMGysU/edit?usp=sharing"",""สบก!BZ107"")"),0)</f>
        <v>0</v>
      </c>
      <c r="H103" s="77">
        <f ca="1">IFERROR(__xludf.DUMMYFUNCTION("IMPORTRANGE(""https://docs.google.com/spreadsheets/d/1Yj_ptqi66GCucihVvJfMjLAmec39IyEx_6qawtMGysU/edit?usp=shCBing"",""สบก!CB107"")"),0)</f>
        <v>0</v>
      </c>
      <c r="I103" s="77">
        <f t="shared" ca="1" si="3"/>
        <v>0</v>
      </c>
      <c r="J103" s="77">
        <f t="shared" ca="1" si="4"/>
        <v>0</v>
      </c>
      <c r="K103" s="77">
        <f ca="1">IFERROR(__xludf.DUMMYFUNCTION("IMPORTRANGE(""https://docs.google.com/spreadsheets/d/1Yj_ptqi66GCucihVvJfMjLAmec39IyEx_6qawtMGysU/edit?usp=sharing"",""สบก!CC107"")"),0)</f>
        <v>0</v>
      </c>
      <c r="L103" s="137">
        <f t="shared" ca="1" si="5"/>
        <v>0</v>
      </c>
      <c r="M103" s="137">
        <f t="shared" ca="1" si="6"/>
        <v>0</v>
      </c>
      <c r="N103" s="137">
        <f ca="1">IFERROR(__xludf.DUMMYFUNCTION("IMPORTRANGE(""https://docs.google.com/spreadsheets/d/1Yj_ptqi66GCucihVvJfMjLAmec39IyEx_6qawtMGysU/edit?usp=sharing"",""สบก!CD107"")"),0)</f>
        <v>0</v>
      </c>
      <c r="O103" s="137">
        <f t="shared" ca="1" si="7"/>
        <v>0</v>
      </c>
      <c r="P103" s="77">
        <f ca="1">IFERROR(__xludf.DUMMYFUNCTION("IMPORTRANGE(""https://docs.google.com/spreadsheets/d/1C3CXT74ZlgGe6_JY_1olB1XN4rF0dxEuIIF-xsYjHgg/edit?usp=sharing"",""พรบ!BF107"")"),0)</f>
        <v>0</v>
      </c>
      <c r="Q103" s="77">
        <v>0</v>
      </c>
      <c r="R103" s="137">
        <f t="shared" ca="1" si="9"/>
        <v>0</v>
      </c>
      <c r="S103" s="77">
        <f ca="1">IFERROR(__xludf.DUMMYFUNCTION("IMPORTRANGE(""https://docs.google.com/spreadsheets/d/1C3CXT74ZlgGe6_JY_1olB1XN4rF0dxEuIIF-xsYjHgg/edit?usp=sharing"",""พรบ!BG107"")"),0)</f>
        <v>0</v>
      </c>
      <c r="T103" s="77">
        <v>0</v>
      </c>
      <c r="U103" s="137">
        <f t="shared" ca="1" si="11"/>
        <v>0</v>
      </c>
      <c r="V103" s="77">
        <f ca="1">IFERROR(__xludf.DUMMYFUNCTION("IMPORTRANGE(""https://docs.google.com/spreadsheets/d/1C3CXT74ZlgGe6_JY_1olB1XN4rF0dxEuIIF-xsYjHgg/edit?usp=sharing"",""พรบ!BH107"")"),0)</f>
        <v>0</v>
      </c>
      <c r="W103" s="77">
        <v>0</v>
      </c>
      <c r="X103" s="137">
        <f t="shared" ca="1" si="13"/>
        <v>0</v>
      </c>
      <c r="Y103" s="77">
        <f ca="1">IFERROR(__xludf.DUMMYFUNCTION("IMPORTRANGE(""https://docs.google.com/spreadsheets/d/1C3CXT74ZlgGe6_JY_1olB1XN4rF0dxEuIIF-xsYjHgg/edit?usp=sharing"",""พรบ!BI107"")"),0)</f>
        <v>0</v>
      </c>
      <c r="Z103" s="77">
        <v>0</v>
      </c>
      <c r="AA103" s="137">
        <f t="shared" ca="1" si="15"/>
        <v>0</v>
      </c>
      <c r="AB103" s="75">
        <f t="shared" ca="1" si="16"/>
        <v>0</v>
      </c>
      <c r="AC103" s="76">
        <f t="shared" ca="1" si="83"/>
        <v>0</v>
      </c>
      <c r="AD103" s="77">
        <f ca="1">IFERROR(__xludf.DUMMYFUNCTION("IMPORTRANGE(""https://docs.google.com/spreadsheets/d/1C3CXT74ZlgGe6_JY_1olB1XN4rF0dxEuIIF-xsYjHgg/edit?usp=sharing"",""พรบ!BK107"")"),0)</f>
        <v>0</v>
      </c>
      <c r="AE103" s="77">
        <f ca="1">IFERROR(__xludf.DUMMYFUNCTION("IMPORTRANGE(""https://docs.google.com/spreadsheets/d/1C3CXT74ZlgGe6_JY_1olB1XN4rF0dxEuIIF-xsYjHgg/edit?usp=sharing"",""พรบ!BL107"")"),0)</f>
        <v>0</v>
      </c>
      <c r="AF103" s="77">
        <f ca="1">IFERROR(__xludf.DUMMYFUNCTION("IMPORTRANGE(""https://docs.google.com/spreadsheets/d/1Yj_ptqi66GCucihVvJfMjLAmec39IyEx_6qawtMGysU/edit?usp=sharing"",""สบก!CI107"")"),0)</f>
        <v>0</v>
      </c>
      <c r="AG103" s="77">
        <f ca="1">IFERROR(__xludf.DUMMYFUNCTION("IMPORTRANGE(""https://docs.google.com/spreadsheets/d/1Yj_ptqi66GCucihVvJfMjLAmec39IyEx_6qawtMGysU/edit?usp=shCKing"",""สบก!CK107"")"),0)</f>
        <v>0</v>
      </c>
      <c r="AH103" s="77">
        <f t="shared" ca="1" si="19"/>
        <v>0</v>
      </c>
      <c r="AI103" s="77">
        <f t="shared" ca="1" si="20"/>
        <v>0</v>
      </c>
      <c r="AJ103" s="77">
        <f ca="1">IFERROR(__xludf.DUMMYFUNCTION("IMPORTRANGE(""https://docs.google.com/spreadsheets/d/1Yj_ptqi66GCucihVvJfMjLAmec39IyEx_6qawtMGysU/edit?usp=sharing"",""สบก!CL107"")"),0)</f>
        <v>0</v>
      </c>
      <c r="AK103" s="137">
        <f t="shared" ca="1" si="21"/>
        <v>0</v>
      </c>
      <c r="AL103" s="137">
        <f t="shared" ca="1" si="22"/>
        <v>0</v>
      </c>
      <c r="AM103" s="137">
        <f ca="1">IFERROR(__xludf.DUMMYFUNCTION("IMPORTRANGE(""https://docs.google.com/spreadsheets/d/1Yj_ptqi66GCucihVvJfMjLAmec39IyEx_6qawtMGysU/edit?usp=sharing"",""สบก!CM107"")"),0)</f>
        <v>0</v>
      </c>
      <c r="AN103" s="137">
        <f t="shared" ca="1" si="23"/>
        <v>0</v>
      </c>
      <c r="AO103" s="77">
        <f ca="1">IFERROR(__xludf.DUMMYFUNCTION("IMPORTRANGE(""https://docs.google.com/spreadsheets/d/1C3CXT74ZlgGe6_JY_1olB1XN4rF0dxEuIIF-xsYjHgg/edit?usp=sharing"",""พรบ!BM107"")"),0)</f>
        <v>0</v>
      </c>
      <c r="AP103" s="77">
        <v>0</v>
      </c>
      <c r="AQ103" s="137">
        <f t="shared" ca="1" si="25"/>
        <v>0</v>
      </c>
    </row>
    <row r="104" spans="1:43" ht="24" hidden="1" customHeight="1">
      <c r="A104" s="105">
        <f t="shared" si="84"/>
        <v>13</v>
      </c>
      <c r="B104" s="106" t="s">
        <v>128</v>
      </c>
      <c r="C104" s="75">
        <f t="shared" ca="1" si="0"/>
        <v>0</v>
      </c>
      <c r="D104" s="76">
        <f t="shared" ca="1" si="82"/>
        <v>0</v>
      </c>
      <c r="E104" s="77">
        <f ca="1">IFERROR(__xludf.DUMMYFUNCTION("IMPORTRANGE(""https://docs.google.com/spreadsheets/d/1C3CXT74ZlgGe6_JY_1olB1XN4rF0dxEuIIF-xsYjHgg/edit?usp=sharing"",""พรบ!BD108"")"),0)</f>
        <v>0</v>
      </c>
      <c r="F104" s="77">
        <f ca="1">IFERROR(__xludf.DUMMYFUNCTION("IMPORTRANGE(""https://docs.google.com/spreadsheets/d/1C3CXT74ZlgGe6_JY_1olB1XN4rF0dxEuIIF-xsYjHgg/edit?usp=sharing"",""พรบ!BE108"")"),0)</f>
        <v>0</v>
      </c>
      <c r="G104" s="77">
        <f ca="1">IFERROR(__xludf.DUMMYFUNCTION("IMPORTRANGE(""https://docs.google.com/spreadsheets/d/1Yj_ptqi66GCucihVvJfMjLAmec39IyEx_6qawtMGysU/edit?usp=sharing"",""สบก!BZ108"")"),0)</f>
        <v>0</v>
      </c>
      <c r="H104" s="77">
        <f ca="1">IFERROR(__xludf.DUMMYFUNCTION("IMPORTRANGE(""https://docs.google.com/spreadsheets/d/1Yj_ptqi66GCucihVvJfMjLAmec39IyEx_6qawtMGysU/edit?usp=shCBing"",""สบก!CB108"")"),0)</f>
        <v>0</v>
      </c>
      <c r="I104" s="77">
        <f t="shared" ca="1" si="3"/>
        <v>0</v>
      </c>
      <c r="J104" s="77">
        <f t="shared" ca="1" si="4"/>
        <v>0</v>
      </c>
      <c r="K104" s="77">
        <f ca="1">IFERROR(__xludf.DUMMYFUNCTION("IMPORTRANGE(""https://docs.google.com/spreadsheets/d/1Yj_ptqi66GCucihVvJfMjLAmec39IyEx_6qawtMGysU/edit?usp=sharing"",""สบก!CC108"")"),0)</f>
        <v>0</v>
      </c>
      <c r="L104" s="137">
        <f t="shared" ca="1" si="5"/>
        <v>0</v>
      </c>
      <c r="M104" s="137">
        <f t="shared" ca="1" si="6"/>
        <v>0</v>
      </c>
      <c r="N104" s="137">
        <f ca="1">IFERROR(__xludf.DUMMYFUNCTION("IMPORTRANGE(""https://docs.google.com/spreadsheets/d/1Yj_ptqi66GCucihVvJfMjLAmec39IyEx_6qawtMGysU/edit?usp=sharing"",""สบก!CD108"")"),0)</f>
        <v>0</v>
      </c>
      <c r="O104" s="137">
        <f t="shared" ca="1" si="7"/>
        <v>0</v>
      </c>
      <c r="P104" s="77">
        <f ca="1">IFERROR(__xludf.DUMMYFUNCTION("IMPORTRANGE(""https://docs.google.com/spreadsheets/d/1C3CXT74ZlgGe6_JY_1olB1XN4rF0dxEuIIF-xsYjHgg/edit?usp=sharing"",""พรบ!BF108"")"),0)</f>
        <v>0</v>
      </c>
      <c r="Q104" s="77">
        <v>0</v>
      </c>
      <c r="R104" s="137">
        <f t="shared" ca="1" si="9"/>
        <v>0</v>
      </c>
      <c r="S104" s="77">
        <f ca="1">IFERROR(__xludf.DUMMYFUNCTION("IMPORTRANGE(""https://docs.google.com/spreadsheets/d/1C3CXT74ZlgGe6_JY_1olB1XN4rF0dxEuIIF-xsYjHgg/edit?usp=sharing"",""พรบ!BG108"")"),0)</f>
        <v>0</v>
      </c>
      <c r="T104" s="77">
        <v>0</v>
      </c>
      <c r="U104" s="137">
        <f t="shared" ca="1" si="11"/>
        <v>0</v>
      </c>
      <c r="V104" s="77">
        <f ca="1">IFERROR(__xludf.DUMMYFUNCTION("IMPORTRANGE(""https://docs.google.com/spreadsheets/d/1C3CXT74ZlgGe6_JY_1olB1XN4rF0dxEuIIF-xsYjHgg/edit?usp=sharing"",""พรบ!BH108"")"),0)</f>
        <v>0</v>
      </c>
      <c r="W104" s="77">
        <v>0</v>
      </c>
      <c r="X104" s="137">
        <f t="shared" ca="1" si="13"/>
        <v>0</v>
      </c>
      <c r="Y104" s="77">
        <f ca="1">IFERROR(__xludf.DUMMYFUNCTION("IMPORTRANGE(""https://docs.google.com/spreadsheets/d/1C3CXT74ZlgGe6_JY_1olB1XN4rF0dxEuIIF-xsYjHgg/edit?usp=sharing"",""พรบ!BI108"")"),0)</f>
        <v>0</v>
      </c>
      <c r="Z104" s="77">
        <v>0</v>
      </c>
      <c r="AA104" s="137">
        <f t="shared" ca="1" si="15"/>
        <v>0</v>
      </c>
      <c r="AB104" s="75">
        <f t="shared" ca="1" si="16"/>
        <v>0</v>
      </c>
      <c r="AC104" s="76">
        <f t="shared" ca="1" si="83"/>
        <v>0</v>
      </c>
      <c r="AD104" s="77">
        <f ca="1">IFERROR(__xludf.DUMMYFUNCTION("IMPORTRANGE(""https://docs.google.com/spreadsheets/d/1C3CXT74ZlgGe6_JY_1olB1XN4rF0dxEuIIF-xsYjHgg/edit?usp=sharing"",""พรบ!BK108"")"),0)</f>
        <v>0</v>
      </c>
      <c r="AE104" s="77">
        <f ca="1">IFERROR(__xludf.DUMMYFUNCTION("IMPORTRANGE(""https://docs.google.com/spreadsheets/d/1C3CXT74ZlgGe6_JY_1olB1XN4rF0dxEuIIF-xsYjHgg/edit?usp=sharing"",""พรบ!BL108"")"),0)</f>
        <v>0</v>
      </c>
      <c r="AF104" s="77">
        <f ca="1">IFERROR(__xludf.DUMMYFUNCTION("IMPORTRANGE(""https://docs.google.com/spreadsheets/d/1Yj_ptqi66GCucihVvJfMjLAmec39IyEx_6qawtMGysU/edit?usp=sharing"",""สบก!CI108"")"),0)</f>
        <v>0</v>
      </c>
      <c r="AG104" s="77">
        <f ca="1">IFERROR(__xludf.DUMMYFUNCTION("IMPORTRANGE(""https://docs.google.com/spreadsheets/d/1Yj_ptqi66GCucihVvJfMjLAmec39IyEx_6qawtMGysU/edit?usp=shCKing"",""สบก!CK108"")"),0)</f>
        <v>0</v>
      </c>
      <c r="AH104" s="77">
        <f t="shared" ca="1" si="19"/>
        <v>0</v>
      </c>
      <c r="AI104" s="77">
        <f t="shared" ca="1" si="20"/>
        <v>0</v>
      </c>
      <c r="AJ104" s="77">
        <f ca="1">IFERROR(__xludf.DUMMYFUNCTION("IMPORTRANGE(""https://docs.google.com/spreadsheets/d/1Yj_ptqi66GCucihVvJfMjLAmec39IyEx_6qawtMGysU/edit?usp=sharing"",""สบก!CL108"")"),0)</f>
        <v>0</v>
      </c>
      <c r="AK104" s="137">
        <f t="shared" ca="1" si="21"/>
        <v>0</v>
      </c>
      <c r="AL104" s="137">
        <f t="shared" ca="1" si="22"/>
        <v>0</v>
      </c>
      <c r="AM104" s="137">
        <f ca="1">IFERROR(__xludf.DUMMYFUNCTION("IMPORTRANGE(""https://docs.google.com/spreadsheets/d/1Yj_ptqi66GCucihVvJfMjLAmec39IyEx_6qawtMGysU/edit?usp=sharing"",""สบก!CM108"")"),0)</f>
        <v>0</v>
      </c>
      <c r="AN104" s="137">
        <f t="shared" ca="1" si="23"/>
        <v>0</v>
      </c>
      <c r="AO104" s="77">
        <f ca="1">IFERROR(__xludf.DUMMYFUNCTION("IMPORTRANGE(""https://docs.google.com/spreadsheets/d/1C3CXT74ZlgGe6_JY_1olB1XN4rF0dxEuIIF-xsYjHgg/edit?usp=sharing"",""พรบ!BM108"")"),0)</f>
        <v>0</v>
      </c>
      <c r="AP104" s="77">
        <v>0</v>
      </c>
      <c r="AQ104" s="137">
        <f t="shared" ca="1" si="25"/>
        <v>0</v>
      </c>
    </row>
    <row r="105" spans="1:43" ht="24" hidden="1" customHeight="1">
      <c r="A105" s="107">
        <f t="shared" si="84"/>
        <v>14</v>
      </c>
      <c r="B105" s="108" t="s">
        <v>129</v>
      </c>
      <c r="C105" s="86">
        <f t="shared" ca="1" si="0"/>
        <v>0</v>
      </c>
      <c r="D105" s="87">
        <f t="shared" ca="1" si="82"/>
        <v>0</v>
      </c>
      <c r="E105" s="88">
        <f ca="1">IFERROR(__xludf.DUMMYFUNCTION("IMPORTRANGE(""https://docs.google.com/spreadsheets/d/1C3CXT74ZlgGe6_JY_1olB1XN4rF0dxEuIIF-xsYjHgg/edit?usp=sharing"",""พรบ!BD109"")"),0)</f>
        <v>0</v>
      </c>
      <c r="F105" s="88">
        <f ca="1">IFERROR(__xludf.DUMMYFUNCTION("IMPORTRANGE(""https://docs.google.com/spreadsheets/d/1C3CXT74ZlgGe6_JY_1olB1XN4rF0dxEuIIF-xsYjHgg/edit?usp=sharing"",""พรบ!BE109"")"),0)</f>
        <v>0</v>
      </c>
      <c r="G105" s="88">
        <f ca="1">IFERROR(__xludf.DUMMYFUNCTION("IMPORTRANGE(""https://docs.google.com/spreadsheets/d/1Yj_ptqi66GCucihVvJfMjLAmec39IyEx_6qawtMGysU/edit?usp=sharing"",""สบก!BZ109"")"),0)</f>
        <v>0</v>
      </c>
      <c r="H105" s="88">
        <f ca="1">IFERROR(__xludf.DUMMYFUNCTION("IMPORTRANGE(""https://docs.google.com/spreadsheets/d/1Yj_ptqi66GCucihVvJfMjLAmec39IyEx_6qawtMGysU/edit?usp=shCBing"",""สบก!CB109"")"),0)</f>
        <v>0</v>
      </c>
      <c r="I105" s="88">
        <f t="shared" ca="1" si="3"/>
        <v>0</v>
      </c>
      <c r="J105" s="88">
        <f t="shared" ca="1" si="4"/>
        <v>0</v>
      </c>
      <c r="K105" s="88">
        <f ca="1">IFERROR(__xludf.DUMMYFUNCTION("IMPORTRANGE(""https://docs.google.com/spreadsheets/d/1Yj_ptqi66GCucihVvJfMjLAmec39IyEx_6qawtMGysU/edit?usp=sharing"",""สบก!CC109"")"),0)</f>
        <v>0</v>
      </c>
      <c r="L105" s="138">
        <f t="shared" ca="1" si="5"/>
        <v>0</v>
      </c>
      <c r="M105" s="138">
        <f t="shared" ca="1" si="6"/>
        <v>0</v>
      </c>
      <c r="N105" s="138">
        <f ca="1">IFERROR(__xludf.DUMMYFUNCTION("IMPORTRANGE(""https://docs.google.com/spreadsheets/d/1Yj_ptqi66GCucihVvJfMjLAmec39IyEx_6qawtMGysU/edit?usp=sharing"",""สบก!CD109"")"),0)</f>
        <v>0</v>
      </c>
      <c r="O105" s="138">
        <f t="shared" ca="1" si="7"/>
        <v>0</v>
      </c>
      <c r="P105" s="88">
        <f ca="1">IFERROR(__xludf.DUMMYFUNCTION("IMPORTRANGE(""https://docs.google.com/spreadsheets/d/1C3CXT74ZlgGe6_JY_1olB1XN4rF0dxEuIIF-xsYjHgg/edit?usp=sharing"",""พรบ!BF109"")"),0)</f>
        <v>0</v>
      </c>
      <c r="Q105" s="88">
        <v>0</v>
      </c>
      <c r="R105" s="138">
        <f t="shared" ca="1" si="9"/>
        <v>0</v>
      </c>
      <c r="S105" s="88">
        <f ca="1">IFERROR(__xludf.DUMMYFUNCTION("IMPORTRANGE(""https://docs.google.com/spreadsheets/d/1C3CXT74ZlgGe6_JY_1olB1XN4rF0dxEuIIF-xsYjHgg/edit?usp=sharing"",""พรบ!BG109"")"),0)</f>
        <v>0</v>
      </c>
      <c r="T105" s="88">
        <v>0</v>
      </c>
      <c r="U105" s="138">
        <f t="shared" ca="1" si="11"/>
        <v>0</v>
      </c>
      <c r="V105" s="88">
        <f ca="1">IFERROR(__xludf.DUMMYFUNCTION("IMPORTRANGE(""https://docs.google.com/spreadsheets/d/1C3CXT74ZlgGe6_JY_1olB1XN4rF0dxEuIIF-xsYjHgg/edit?usp=sharing"",""พรบ!BH109"")"),0)</f>
        <v>0</v>
      </c>
      <c r="W105" s="88">
        <v>0</v>
      </c>
      <c r="X105" s="138">
        <f t="shared" ca="1" si="13"/>
        <v>0</v>
      </c>
      <c r="Y105" s="88">
        <f ca="1">IFERROR(__xludf.DUMMYFUNCTION("IMPORTRANGE(""https://docs.google.com/spreadsheets/d/1C3CXT74ZlgGe6_JY_1olB1XN4rF0dxEuIIF-xsYjHgg/edit?usp=sharing"",""พรบ!BI109"")"),0)</f>
        <v>0</v>
      </c>
      <c r="Z105" s="88">
        <v>0</v>
      </c>
      <c r="AA105" s="138">
        <f t="shared" ca="1" si="15"/>
        <v>0</v>
      </c>
      <c r="AB105" s="86">
        <f t="shared" ca="1" si="16"/>
        <v>0</v>
      </c>
      <c r="AC105" s="87">
        <f t="shared" ca="1" si="83"/>
        <v>0</v>
      </c>
      <c r="AD105" s="88">
        <f ca="1">IFERROR(__xludf.DUMMYFUNCTION("IMPORTRANGE(""https://docs.google.com/spreadsheets/d/1C3CXT74ZlgGe6_JY_1olB1XN4rF0dxEuIIF-xsYjHgg/edit?usp=sharing"",""พรบ!BK109"")"),0)</f>
        <v>0</v>
      </c>
      <c r="AE105" s="88">
        <f ca="1">IFERROR(__xludf.DUMMYFUNCTION("IMPORTRANGE(""https://docs.google.com/spreadsheets/d/1C3CXT74ZlgGe6_JY_1olB1XN4rF0dxEuIIF-xsYjHgg/edit?usp=sharing"",""พรบ!BL109"")"),0)</f>
        <v>0</v>
      </c>
      <c r="AF105" s="88">
        <f ca="1">IFERROR(__xludf.DUMMYFUNCTION("IMPORTRANGE(""https://docs.google.com/spreadsheets/d/1Yj_ptqi66GCucihVvJfMjLAmec39IyEx_6qawtMGysU/edit?usp=sharing"",""สบก!CI109"")"),0)</f>
        <v>0</v>
      </c>
      <c r="AG105" s="88">
        <f ca="1">IFERROR(__xludf.DUMMYFUNCTION("IMPORTRANGE(""https://docs.google.com/spreadsheets/d/1Yj_ptqi66GCucihVvJfMjLAmec39IyEx_6qawtMGysU/edit?usp=shCKing"",""สบก!CK109"")"),0)</f>
        <v>0</v>
      </c>
      <c r="AH105" s="88">
        <f t="shared" ca="1" si="19"/>
        <v>0</v>
      </c>
      <c r="AI105" s="88">
        <f t="shared" ca="1" si="20"/>
        <v>0</v>
      </c>
      <c r="AJ105" s="88">
        <f ca="1">IFERROR(__xludf.DUMMYFUNCTION("IMPORTRANGE(""https://docs.google.com/spreadsheets/d/1Yj_ptqi66GCucihVvJfMjLAmec39IyEx_6qawtMGysU/edit?usp=sharing"",""สบก!CL109"")"),0)</f>
        <v>0</v>
      </c>
      <c r="AK105" s="138">
        <f t="shared" ca="1" si="21"/>
        <v>0</v>
      </c>
      <c r="AL105" s="138">
        <f t="shared" ca="1" si="22"/>
        <v>0</v>
      </c>
      <c r="AM105" s="138">
        <f ca="1">IFERROR(__xludf.DUMMYFUNCTION("IMPORTRANGE(""https://docs.google.com/spreadsheets/d/1Yj_ptqi66GCucihVvJfMjLAmec39IyEx_6qawtMGysU/edit?usp=sharing"",""สบก!CM109"")"),0)</f>
        <v>0</v>
      </c>
      <c r="AN105" s="138">
        <f t="shared" ca="1" si="23"/>
        <v>0</v>
      </c>
      <c r="AO105" s="88">
        <f ca="1">IFERROR(__xludf.DUMMYFUNCTION("IMPORTRANGE(""https://docs.google.com/spreadsheets/d/1C3CXT74ZlgGe6_JY_1olB1XN4rF0dxEuIIF-xsYjHgg/edit?usp=sharing"",""พรบ!BM109"")"),0)</f>
        <v>0</v>
      </c>
      <c r="AP105" s="88">
        <v>0</v>
      </c>
      <c r="AQ105" s="138">
        <f t="shared" ca="1" si="25"/>
        <v>0</v>
      </c>
    </row>
    <row r="106" spans="1:43" ht="21" hidden="1" customHeight="1">
      <c r="A106" s="680" t="s">
        <v>130</v>
      </c>
      <c r="B106" s="652"/>
      <c r="C106" s="44">
        <f t="shared" ca="1" si="0"/>
        <v>118000</v>
      </c>
      <c r="D106" s="45">
        <f t="shared" ref="D106:O106" ca="1" si="85">+D107+D108+D109+D110+D111+D112+D113+D114+D115+D116+D117+D118+D119</f>
        <v>118000</v>
      </c>
      <c r="E106" s="45">
        <f t="shared" ca="1" si="85"/>
        <v>118000</v>
      </c>
      <c r="F106" s="45">
        <f t="shared" ca="1" si="85"/>
        <v>0</v>
      </c>
      <c r="G106" s="45">
        <f t="shared" ca="1" si="85"/>
        <v>0</v>
      </c>
      <c r="H106" s="45">
        <f t="shared" ca="1" si="85"/>
        <v>88400</v>
      </c>
      <c r="I106" s="45">
        <f t="shared" ca="1" si="85"/>
        <v>0</v>
      </c>
      <c r="J106" s="45">
        <f t="shared" ca="1" si="85"/>
        <v>0</v>
      </c>
      <c r="K106" s="45">
        <f t="shared" ca="1" si="85"/>
        <v>0</v>
      </c>
      <c r="L106" s="45">
        <f t="shared" ca="1" si="85"/>
        <v>0</v>
      </c>
      <c r="M106" s="45">
        <f t="shared" ca="1" si="85"/>
        <v>0</v>
      </c>
      <c r="N106" s="45">
        <f t="shared" ca="1" si="85"/>
        <v>0</v>
      </c>
      <c r="O106" s="45">
        <f t="shared" ca="1" si="85"/>
        <v>0</v>
      </c>
      <c r="P106" s="45">
        <f t="shared" ref="P106:Q106" si="86">+P107+P108+P109+P110+P111+P112+P113+P114</f>
        <v>0</v>
      </c>
      <c r="Q106" s="45">
        <f t="shared" si="86"/>
        <v>0</v>
      </c>
      <c r="R106" s="127">
        <f t="shared" si="9"/>
        <v>0</v>
      </c>
      <c r="S106" s="45">
        <f t="shared" ref="S106:T106" si="87">+S107+S108+S109+S110+S111+S112+S113+S114</f>
        <v>0</v>
      </c>
      <c r="T106" s="45">
        <f t="shared" si="87"/>
        <v>0</v>
      </c>
      <c r="U106" s="127">
        <f t="shared" si="11"/>
        <v>0</v>
      </c>
      <c r="V106" s="45">
        <f t="shared" ref="V106:W106" si="88">+V107+V108+V109+V110+V111+V112+V113+V114</f>
        <v>0</v>
      </c>
      <c r="W106" s="45">
        <f t="shared" si="88"/>
        <v>0</v>
      </c>
      <c r="X106" s="127">
        <f t="shared" si="13"/>
        <v>0</v>
      </c>
      <c r="Y106" s="45">
        <f t="shared" ref="Y106:Z106" si="89">+Y107+Y108+Y109+Y110+Y111+Y112+Y113+Y114</f>
        <v>0</v>
      </c>
      <c r="Z106" s="45">
        <f t="shared" si="89"/>
        <v>0</v>
      </c>
      <c r="AA106" s="127">
        <f t="shared" si="15"/>
        <v>0</v>
      </c>
      <c r="AB106" s="44">
        <f t="shared" ca="1" si="16"/>
        <v>176000</v>
      </c>
      <c r="AC106" s="45">
        <f t="shared" ref="AC106:AN106" ca="1" si="90">+AC107+AC108+AC109+AC110+AC111+AC112+AC113+AC114+AC115+AC116+AC117+AC118+AC119</f>
        <v>176000</v>
      </c>
      <c r="AD106" s="45">
        <f t="shared" ca="1" si="90"/>
        <v>176000</v>
      </c>
      <c r="AE106" s="45">
        <f t="shared" ca="1" si="90"/>
        <v>0</v>
      </c>
      <c r="AF106" s="45">
        <f t="shared" ca="1" si="90"/>
        <v>0</v>
      </c>
      <c r="AG106" s="45">
        <f t="shared" ca="1" si="90"/>
        <v>132000</v>
      </c>
      <c r="AH106" s="45">
        <f t="shared" ca="1" si="90"/>
        <v>0</v>
      </c>
      <c r="AI106" s="45">
        <f t="shared" ca="1" si="90"/>
        <v>0</v>
      </c>
      <c r="AJ106" s="45">
        <f t="shared" ca="1" si="90"/>
        <v>0</v>
      </c>
      <c r="AK106" s="45">
        <f t="shared" ca="1" si="90"/>
        <v>0</v>
      </c>
      <c r="AL106" s="45">
        <f t="shared" ca="1" si="90"/>
        <v>0</v>
      </c>
      <c r="AM106" s="45">
        <f t="shared" ca="1" si="90"/>
        <v>0</v>
      </c>
      <c r="AN106" s="45">
        <f t="shared" ca="1" si="90"/>
        <v>0</v>
      </c>
      <c r="AO106" s="45">
        <f t="shared" ref="AO106:AP106" si="91">+AO107+AO108+AO109+AO110+AO111+AO112+AO113+AO114</f>
        <v>0</v>
      </c>
      <c r="AP106" s="45">
        <f t="shared" si="91"/>
        <v>0</v>
      </c>
      <c r="AQ106" s="127">
        <f t="shared" si="25"/>
        <v>0</v>
      </c>
    </row>
    <row r="107" spans="1:43" ht="24" hidden="1" customHeight="1">
      <c r="A107" s="102">
        <v>1</v>
      </c>
      <c r="B107" s="109" t="s">
        <v>131</v>
      </c>
      <c r="C107" s="110">
        <f t="shared" ca="1" si="0"/>
        <v>118000</v>
      </c>
      <c r="D107" s="66">
        <f t="shared" ref="D107:D119" ca="1" si="92">+E107+F107</f>
        <v>118000</v>
      </c>
      <c r="E107" s="67">
        <f ca="1">IFERROR(__xludf.DUMMYFUNCTION("IMPORTRANGE(""https://docs.google.com/spreadsheets/d/1C3CXT74ZlgGe6_JY_1olB1XN4rF0dxEuIIF-xsYjHgg/edit?usp=sharing"",""พรบ!BD111"")"),118000)</f>
        <v>118000</v>
      </c>
      <c r="F107" s="67">
        <f ca="1">IFERROR(__xludf.DUMMYFUNCTION("IMPORTRANGE(""https://docs.google.com/spreadsheets/d/1C3CXT74ZlgGe6_JY_1olB1XN4rF0dxEuIIF-xsYjHgg/edit?usp=sharing"",""พรบ!BE111"")"),0)</f>
        <v>0</v>
      </c>
      <c r="G107" s="67">
        <f ca="1">IFERROR(__xludf.DUMMYFUNCTION("IMPORTRANGE(""https://docs.google.com/spreadsheets/d/1Yj_ptqi66GCucihVvJfMjLAmec39IyEx_6qawtMGysU/edit?usp=sharing"",""สบก!BZ111"")"),0)</f>
        <v>0</v>
      </c>
      <c r="H107" s="67">
        <f ca="1">IFERROR(__xludf.DUMMYFUNCTION("IMPORTRANGE(""https://docs.google.com/spreadsheets/d/1Yj_ptqi66GCucihVvJfMjLAmec39IyEx_6qawtMGysU/edit?usp=shCBing"",""สบก!CB111"")"),88400)</f>
        <v>88400</v>
      </c>
      <c r="I107" s="67">
        <f t="shared" ref="I107:I119" ca="1" si="93">K107+N107</f>
        <v>0</v>
      </c>
      <c r="J107" s="70">
        <f t="shared" ref="J107:J119" ca="1" si="94">IF(C107&gt;0,I107*100/C107,0)</f>
        <v>0</v>
      </c>
      <c r="K107" s="67">
        <f ca="1">IFERROR(__xludf.DUMMYFUNCTION("IMPORTRANGE(""https://docs.google.com/spreadsheets/d/1Yj_ptqi66GCucihVvJfMjLAmec39IyEx_6qawtMGysU/edit?usp=sharing"",""สบก!BB111"")"),0)</f>
        <v>0</v>
      </c>
      <c r="L107" s="70">
        <f t="shared" ref="L107:L119" ca="1" si="95">IF(D107&gt;0,K107*100/D107,0)</f>
        <v>0</v>
      </c>
      <c r="M107" s="70">
        <f t="shared" ref="M107:M119" ca="1" si="96">IF(H107&gt;0,K107*100/H107,0)</f>
        <v>0</v>
      </c>
      <c r="N107" s="71">
        <f ca="1">IFERROR(__xludf.DUMMYFUNCTION("IMPORTRANGE(""https://docs.google.com/spreadsheets/d/1Yj_ptqi66GCucihVvJfMjLAmec39IyEx_6qawtMGysU/edit?usp=sharing"",""สบก!CD111"")"),0)</f>
        <v>0</v>
      </c>
      <c r="O107" s="70">
        <f t="shared" ref="O107:O119" ca="1" si="97">IF(G107&gt;0,N107*100/G107,0)</f>
        <v>0</v>
      </c>
      <c r="P107" s="148">
        <v>0</v>
      </c>
      <c r="Q107" s="148">
        <v>0</v>
      </c>
      <c r="R107" s="187">
        <v>0</v>
      </c>
      <c r="S107" s="148">
        <v>0</v>
      </c>
      <c r="T107" s="148">
        <v>0</v>
      </c>
      <c r="U107" s="187">
        <v>0</v>
      </c>
      <c r="V107" s="148">
        <v>0</v>
      </c>
      <c r="W107" s="148">
        <v>0</v>
      </c>
      <c r="X107" s="187">
        <v>0</v>
      </c>
      <c r="Y107" s="148">
        <v>0</v>
      </c>
      <c r="Z107" s="148">
        <v>0</v>
      </c>
      <c r="AA107" s="187">
        <v>0</v>
      </c>
      <c r="AB107" s="110">
        <f t="shared" ca="1" si="16"/>
        <v>176000</v>
      </c>
      <c r="AC107" s="66">
        <f t="shared" ref="AC107:AC119" ca="1" si="98">+AD107+AE107</f>
        <v>176000</v>
      </c>
      <c r="AD107" s="67">
        <f ca="1">IFERROR(__xludf.DUMMYFUNCTION("IMPORTRANGE(""https://docs.google.com/spreadsheets/d/1C3CXT74ZlgGe6_JY_1olB1XN4rF0dxEuIIF-xsYjHgg/edit?usp=sharing"",""พรบ!BK111"")"),176000)</f>
        <v>176000</v>
      </c>
      <c r="AE107" s="67">
        <f ca="1">IFERROR(__xludf.DUMMYFUNCTION("IMPORTRANGE(""https://docs.google.com/spreadsheets/d/1C3CXT74ZlgGe6_JY_1olB1XN4rF0dxEuIIF-xsYjHgg/edit?usp=sharing"",""พรบ!BL111"")"),0)</f>
        <v>0</v>
      </c>
      <c r="AF107" s="67">
        <f ca="1">IFERROR(__xludf.DUMMYFUNCTION("IMPORTRANGE(""https://docs.google.com/spreadsheets/d/1Yj_ptqi66GCucihVvJfMjLAmec39IyEx_6qawtMGysU/edit?usp=sharing"",""สบก!CI111"")"),0)</f>
        <v>0</v>
      </c>
      <c r="AG107" s="67">
        <f ca="1">IFERROR(__xludf.DUMMYFUNCTION("IMPORTRANGE(""https://docs.google.com/spreadsheets/d/1Yj_ptqi66GCucihVvJfMjLAmec39IyEx_6qawtMGysU/edit?usp=shCKing"",""สบก!CK111"")"),132000)</f>
        <v>132000</v>
      </c>
      <c r="AH107" s="67">
        <f t="shared" ref="AH107:AH119" ca="1" si="99">AJ107+AM107</f>
        <v>0</v>
      </c>
      <c r="AI107" s="70">
        <f t="shared" ref="AI107:AI119" ca="1" si="100">IF(AB107&gt;0,AH107*100/AB107,0)</f>
        <v>0</v>
      </c>
      <c r="AJ107" s="67">
        <f ca="1">IFERROR(__xludf.DUMMYFUNCTION("IMPORTRANGE(""https://docs.google.com/spreadsheets/d/1Yj_ptqi66GCucihVvJfMjLAmec39IyEx_6qawtMGysU/edit?usp=sharing"",""สบก!BB111"")"),0)</f>
        <v>0</v>
      </c>
      <c r="AK107" s="70">
        <f t="shared" ref="AK107:AK119" ca="1" si="101">IF(AC107&gt;0,AJ107*100/AC107,0)</f>
        <v>0</v>
      </c>
      <c r="AL107" s="70">
        <f t="shared" ref="AL107:AL119" ca="1" si="102">IF(AG107&gt;0,AJ107*100/AG107,0)</f>
        <v>0</v>
      </c>
      <c r="AM107" s="71">
        <f ca="1">IFERROR(__xludf.DUMMYFUNCTION("IMPORTRANGE(""https://docs.google.com/spreadsheets/d/1Yj_ptqi66GCucihVvJfMjLAmec39IyEx_6qawtMGysU/edit?usp=sharing"",""สบก!CM111"")"),0)</f>
        <v>0</v>
      </c>
      <c r="AN107" s="70">
        <f t="shared" ref="AN107:AN119" ca="1" si="103">IF(AF107&gt;0,AM107*100/AF107,0)</f>
        <v>0</v>
      </c>
      <c r="AO107" s="148">
        <v>0</v>
      </c>
      <c r="AP107" s="67">
        <v>0</v>
      </c>
      <c r="AQ107" s="187">
        <v>0</v>
      </c>
    </row>
    <row r="108" spans="1:43" ht="24" hidden="1" customHeight="1">
      <c r="A108" s="105">
        <v>2</v>
      </c>
      <c r="B108" s="111" t="s">
        <v>132</v>
      </c>
      <c r="C108" s="112">
        <f t="shared" ca="1" si="0"/>
        <v>0</v>
      </c>
      <c r="D108" s="76">
        <f t="shared" ca="1" si="92"/>
        <v>0</v>
      </c>
      <c r="E108" s="77">
        <f ca="1">IFERROR(__xludf.DUMMYFUNCTION("IMPORTRANGE(""https://docs.google.com/spreadsheets/d/1C3CXT74ZlgGe6_JY_1olB1XN4rF0dxEuIIF-xsYjHgg/edit?usp=sharing"",""พรบ!BD112"")"),0)</f>
        <v>0</v>
      </c>
      <c r="F108" s="77">
        <f ca="1">IFERROR(__xludf.DUMMYFUNCTION("IMPORTRANGE(""https://docs.google.com/spreadsheets/d/1C3CXT74ZlgGe6_JY_1olB1XN4rF0dxEuIIF-xsYjHgg/edit?usp=sharing"",""พรบ!BE112"")"),0)</f>
        <v>0</v>
      </c>
      <c r="G108" s="77">
        <f ca="1">IFERROR(__xludf.DUMMYFUNCTION("IMPORTRANGE(""https://docs.google.com/spreadsheets/d/1Yj_ptqi66GCucihVvJfMjLAmec39IyEx_6qawtMGysU/edit?usp=sharing"",""สบก!BZ112"")"),0)</f>
        <v>0</v>
      </c>
      <c r="H108" s="77">
        <f ca="1">IFERROR(__xludf.DUMMYFUNCTION("IMPORTRANGE(""https://docs.google.com/spreadsheets/d/1Yj_ptqi66GCucihVvJfMjLAmec39IyEx_6qawtMGysU/edit?usp=shCBing"",""สบก!CB112"")"),0)</f>
        <v>0</v>
      </c>
      <c r="I108" s="77">
        <f t="shared" ca="1" si="93"/>
        <v>0</v>
      </c>
      <c r="J108" s="79">
        <f t="shared" ca="1" si="94"/>
        <v>0</v>
      </c>
      <c r="K108" s="77">
        <f ca="1">IFERROR(__xludf.DUMMYFUNCTION("IMPORTRANGE(""https://docs.google.com/spreadsheets/d/1Yj_ptqi66GCucihVvJfMjLAmec39IyEx_6qawtMGysU/edit?usp=sharing"",""สบก!BB112"")"),0)</f>
        <v>0</v>
      </c>
      <c r="L108" s="79">
        <f t="shared" ca="1" si="95"/>
        <v>0</v>
      </c>
      <c r="M108" s="79">
        <f t="shared" ca="1" si="96"/>
        <v>0</v>
      </c>
      <c r="N108" s="80">
        <f ca="1">IFERROR(__xludf.DUMMYFUNCTION("IMPORTRANGE(""https://docs.google.com/spreadsheets/d/1Yj_ptqi66GCucihVvJfMjLAmec39IyEx_6qawtMGysU/edit?usp=sharing"",""สบก!CD112"")"),0)</f>
        <v>0</v>
      </c>
      <c r="O108" s="79">
        <f t="shared" ca="1" si="97"/>
        <v>0</v>
      </c>
      <c r="P108" s="149">
        <v>0</v>
      </c>
      <c r="Q108" s="149">
        <v>0</v>
      </c>
      <c r="R108" s="188">
        <v>0</v>
      </c>
      <c r="S108" s="149">
        <v>0</v>
      </c>
      <c r="T108" s="149">
        <v>0</v>
      </c>
      <c r="U108" s="188">
        <v>0</v>
      </c>
      <c r="V108" s="149">
        <v>0</v>
      </c>
      <c r="W108" s="149">
        <v>0</v>
      </c>
      <c r="X108" s="188">
        <v>0</v>
      </c>
      <c r="Y108" s="149">
        <v>0</v>
      </c>
      <c r="Z108" s="149">
        <v>0</v>
      </c>
      <c r="AA108" s="188">
        <v>0</v>
      </c>
      <c r="AB108" s="112">
        <f t="shared" ca="1" si="16"/>
        <v>0</v>
      </c>
      <c r="AC108" s="76">
        <f t="shared" ca="1" si="98"/>
        <v>0</v>
      </c>
      <c r="AD108" s="77">
        <f ca="1">IFERROR(__xludf.DUMMYFUNCTION("IMPORTRANGE(""https://docs.google.com/spreadsheets/d/1C3CXT74ZlgGe6_JY_1olB1XN4rF0dxEuIIF-xsYjHgg/edit?usp=sharing"",""พรบ!BK112"")"),0)</f>
        <v>0</v>
      </c>
      <c r="AE108" s="77">
        <f ca="1">IFERROR(__xludf.DUMMYFUNCTION("IMPORTRANGE(""https://docs.google.com/spreadsheets/d/1C3CXT74ZlgGe6_JY_1olB1XN4rF0dxEuIIF-xsYjHgg/edit?usp=sharing"",""พรบ!BL112"")"),0)</f>
        <v>0</v>
      </c>
      <c r="AF108" s="77">
        <f ca="1">IFERROR(__xludf.DUMMYFUNCTION("IMPORTRANGE(""https://docs.google.com/spreadsheets/d/1Yj_ptqi66GCucihVvJfMjLAmec39IyEx_6qawtMGysU/edit?usp=sharing"",""สบก!CI112"")"),0)</f>
        <v>0</v>
      </c>
      <c r="AG108" s="77">
        <f ca="1">IFERROR(__xludf.DUMMYFUNCTION("IMPORTRANGE(""https://docs.google.com/spreadsheets/d/1Yj_ptqi66GCucihVvJfMjLAmec39IyEx_6qawtMGysU/edit?usp=shCKing"",""สบก!CK112"")"),0)</f>
        <v>0</v>
      </c>
      <c r="AH108" s="77">
        <f t="shared" ca="1" si="99"/>
        <v>0</v>
      </c>
      <c r="AI108" s="79">
        <f t="shared" ca="1" si="100"/>
        <v>0</v>
      </c>
      <c r="AJ108" s="77">
        <f ca="1">IFERROR(__xludf.DUMMYFUNCTION("IMPORTRANGE(""https://docs.google.com/spreadsheets/d/1Yj_ptqi66GCucihVvJfMjLAmec39IyEx_6qawtMGysU/edit?usp=sharing"",""สบก!BB112"")"),0)</f>
        <v>0</v>
      </c>
      <c r="AK108" s="79">
        <f t="shared" ca="1" si="101"/>
        <v>0</v>
      </c>
      <c r="AL108" s="79">
        <f t="shared" ca="1" si="102"/>
        <v>0</v>
      </c>
      <c r="AM108" s="80">
        <f ca="1">IFERROR(__xludf.DUMMYFUNCTION("IMPORTRANGE(""https://docs.google.com/spreadsheets/d/1Yj_ptqi66GCucihVvJfMjLAmec39IyEx_6qawtMGysU/edit?usp=sharing"",""สบก!CM112"")"),0)</f>
        <v>0</v>
      </c>
      <c r="AN108" s="79">
        <f t="shared" ca="1" si="103"/>
        <v>0</v>
      </c>
      <c r="AO108" s="149">
        <v>0</v>
      </c>
      <c r="AP108" s="77">
        <v>0</v>
      </c>
      <c r="AQ108" s="188">
        <v>0</v>
      </c>
    </row>
    <row r="109" spans="1:43" ht="24" hidden="1" customHeight="1">
      <c r="A109" s="105">
        <v>3</v>
      </c>
      <c r="B109" s="111" t="s">
        <v>133</v>
      </c>
      <c r="C109" s="112">
        <f t="shared" ca="1" si="0"/>
        <v>0</v>
      </c>
      <c r="D109" s="76">
        <f t="shared" ca="1" si="92"/>
        <v>0</v>
      </c>
      <c r="E109" s="77">
        <f ca="1">IFERROR(__xludf.DUMMYFUNCTION("IMPORTRANGE(""https://docs.google.com/spreadsheets/d/1C3CXT74ZlgGe6_JY_1olB1XN4rF0dxEuIIF-xsYjHgg/edit?usp=sharing"",""พรบ!BD113"")"),0)</f>
        <v>0</v>
      </c>
      <c r="F109" s="77">
        <f ca="1">IFERROR(__xludf.DUMMYFUNCTION("IMPORTRANGE(""https://docs.google.com/spreadsheets/d/1C3CXT74ZlgGe6_JY_1olB1XN4rF0dxEuIIF-xsYjHgg/edit?usp=sharing"",""พรบ!BE113"")"),0)</f>
        <v>0</v>
      </c>
      <c r="G109" s="77">
        <f ca="1">IFERROR(__xludf.DUMMYFUNCTION("IMPORTRANGE(""https://docs.google.com/spreadsheets/d/1Yj_ptqi66GCucihVvJfMjLAmec39IyEx_6qawtMGysU/edit?usp=sharing"",""สบก!BZ113"")"),0)</f>
        <v>0</v>
      </c>
      <c r="H109" s="77">
        <f ca="1">IFERROR(__xludf.DUMMYFUNCTION("IMPORTRANGE(""https://docs.google.com/spreadsheets/d/1Yj_ptqi66GCucihVvJfMjLAmec39IyEx_6qawtMGysU/edit?usp=shCBing"",""สบก!CB113"")"),0)</f>
        <v>0</v>
      </c>
      <c r="I109" s="77">
        <f t="shared" ca="1" si="93"/>
        <v>0</v>
      </c>
      <c r="J109" s="79">
        <f t="shared" ca="1" si="94"/>
        <v>0</v>
      </c>
      <c r="K109" s="77">
        <f ca="1">IFERROR(__xludf.DUMMYFUNCTION("IMPORTRANGE(""https://docs.google.com/spreadsheets/d/1Yj_ptqi66GCucihVvJfMjLAmec39IyEx_6qawtMGysU/edit?usp=sharing"",""สบก!BB113"")"),0)</f>
        <v>0</v>
      </c>
      <c r="L109" s="79">
        <f t="shared" ca="1" si="95"/>
        <v>0</v>
      </c>
      <c r="M109" s="79">
        <f t="shared" ca="1" si="96"/>
        <v>0</v>
      </c>
      <c r="N109" s="80">
        <f ca="1">IFERROR(__xludf.DUMMYFUNCTION("IMPORTRANGE(""https://docs.google.com/spreadsheets/d/1Yj_ptqi66GCucihVvJfMjLAmec39IyEx_6qawtMGysU/edit?usp=sharing"",""สบก!CD113"")"),0)</f>
        <v>0</v>
      </c>
      <c r="O109" s="79">
        <f t="shared" ca="1" si="97"/>
        <v>0</v>
      </c>
      <c r="P109" s="149">
        <v>0</v>
      </c>
      <c r="Q109" s="149">
        <v>0</v>
      </c>
      <c r="R109" s="188">
        <v>0</v>
      </c>
      <c r="S109" s="149">
        <v>0</v>
      </c>
      <c r="T109" s="149">
        <v>0</v>
      </c>
      <c r="U109" s="188">
        <v>0</v>
      </c>
      <c r="V109" s="149">
        <v>0</v>
      </c>
      <c r="W109" s="149">
        <v>0</v>
      </c>
      <c r="X109" s="188">
        <v>0</v>
      </c>
      <c r="Y109" s="149">
        <v>0</v>
      </c>
      <c r="Z109" s="149">
        <v>0</v>
      </c>
      <c r="AA109" s="188">
        <v>0</v>
      </c>
      <c r="AB109" s="112">
        <f t="shared" ca="1" si="16"/>
        <v>0</v>
      </c>
      <c r="AC109" s="76">
        <f t="shared" ca="1" si="98"/>
        <v>0</v>
      </c>
      <c r="AD109" s="77">
        <f ca="1">IFERROR(__xludf.DUMMYFUNCTION("IMPORTRANGE(""https://docs.google.com/spreadsheets/d/1C3CXT74ZlgGe6_JY_1olB1XN4rF0dxEuIIF-xsYjHgg/edit?usp=sharing"",""พรบ!BK113"")"),0)</f>
        <v>0</v>
      </c>
      <c r="AE109" s="77">
        <f ca="1">IFERROR(__xludf.DUMMYFUNCTION("IMPORTRANGE(""https://docs.google.com/spreadsheets/d/1C3CXT74ZlgGe6_JY_1olB1XN4rF0dxEuIIF-xsYjHgg/edit?usp=sharing"",""พรบ!BL113"")"),0)</f>
        <v>0</v>
      </c>
      <c r="AF109" s="77">
        <f ca="1">IFERROR(__xludf.DUMMYFUNCTION("IMPORTRANGE(""https://docs.google.com/spreadsheets/d/1Yj_ptqi66GCucihVvJfMjLAmec39IyEx_6qawtMGysU/edit?usp=sharing"",""สบก!CI113"")"),0)</f>
        <v>0</v>
      </c>
      <c r="AG109" s="77">
        <f ca="1">IFERROR(__xludf.DUMMYFUNCTION("IMPORTRANGE(""https://docs.google.com/spreadsheets/d/1Yj_ptqi66GCucihVvJfMjLAmec39IyEx_6qawtMGysU/edit?usp=shCKing"",""สบก!CK113"")"),0)</f>
        <v>0</v>
      </c>
      <c r="AH109" s="77">
        <f t="shared" ca="1" si="99"/>
        <v>0</v>
      </c>
      <c r="AI109" s="79">
        <f t="shared" ca="1" si="100"/>
        <v>0</v>
      </c>
      <c r="AJ109" s="77">
        <f ca="1">IFERROR(__xludf.DUMMYFUNCTION("IMPORTRANGE(""https://docs.google.com/spreadsheets/d/1Yj_ptqi66GCucihVvJfMjLAmec39IyEx_6qawtMGysU/edit?usp=sharing"",""สบก!BB113"")"),0)</f>
        <v>0</v>
      </c>
      <c r="AK109" s="79">
        <f t="shared" ca="1" si="101"/>
        <v>0</v>
      </c>
      <c r="AL109" s="79">
        <f t="shared" ca="1" si="102"/>
        <v>0</v>
      </c>
      <c r="AM109" s="80">
        <f ca="1">IFERROR(__xludf.DUMMYFUNCTION("IMPORTRANGE(""https://docs.google.com/spreadsheets/d/1Yj_ptqi66GCucihVvJfMjLAmec39IyEx_6qawtMGysU/edit?usp=sharing"",""สบก!CM113"")"),0)</f>
        <v>0</v>
      </c>
      <c r="AN109" s="79">
        <f t="shared" ca="1" si="103"/>
        <v>0</v>
      </c>
      <c r="AO109" s="149">
        <v>0</v>
      </c>
      <c r="AP109" s="77">
        <v>0</v>
      </c>
      <c r="AQ109" s="188">
        <v>0</v>
      </c>
    </row>
    <row r="110" spans="1:43" ht="24" hidden="1" customHeight="1">
      <c r="A110" s="113">
        <v>4</v>
      </c>
      <c r="B110" s="111" t="s">
        <v>134</v>
      </c>
      <c r="C110" s="112">
        <f t="shared" ca="1" si="0"/>
        <v>0</v>
      </c>
      <c r="D110" s="76">
        <f t="shared" ca="1" si="92"/>
        <v>0</v>
      </c>
      <c r="E110" s="77">
        <f ca="1">IFERROR(__xludf.DUMMYFUNCTION("IMPORTRANGE(""https://docs.google.com/spreadsheets/d/1C3CXT74ZlgGe6_JY_1olB1XN4rF0dxEuIIF-xsYjHgg/edit?usp=sharing"",""พรบ!BD114"")"),0)</f>
        <v>0</v>
      </c>
      <c r="F110" s="77">
        <f ca="1">IFERROR(__xludf.DUMMYFUNCTION("IMPORTRANGE(""https://docs.google.com/spreadsheets/d/1C3CXT74ZlgGe6_JY_1olB1XN4rF0dxEuIIF-xsYjHgg/edit?usp=sharing"",""พรบ!BE114"")"),0)</f>
        <v>0</v>
      </c>
      <c r="G110" s="77">
        <f ca="1">IFERROR(__xludf.DUMMYFUNCTION("IMPORTRANGE(""https://docs.google.com/spreadsheets/d/1Yj_ptqi66GCucihVvJfMjLAmec39IyEx_6qawtMGysU/edit?usp=sharing"",""สบก!BZ114"")"),0)</f>
        <v>0</v>
      </c>
      <c r="H110" s="77">
        <f ca="1">IFERROR(__xludf.DUMMYFUNCTION("IMPORTRANGE(""https://docs.google.com/spreadsheets/d/1Yj_ptqi66GCucihVvJfMjLAmec39IyEx_6qawtMGysU/edit?usp=shCBing"",""สบก!CB114"")"),0)</f>
        <v>0</v>
      </c>
      <c r="I110" s="77">
        <f t="shared" ca="1" si="93"/>
        <v>0</v>
      </c>
      <c r="J110" s="79">
        <f t="shared" ca="1" si="94"/>
        <v>0</v>
      </c>
      <c r="K110" s="77">
        <f ca="1">IFERROR(__xludf.DUMMYFUNCTION("IMPORTRANGE(""https://docs.google.com/spreadsheets/d/1Yj_ptqi66GCucihVvJfMjLAmec39IyEx_6qawtMGysU/edit?usp=sharing"",""สบก!BB114"")"),0)</f>
        <v>0</v>
      </c>
      <c r="L110" s="79">
        <f t="shared" ca="1" si="95"/>
        <v>0</v>
      </c>
      <c r="M110" s="79">
        <f t="shared" ca="1" si="96"/>
        <v>0</v>
      </c>
      <c r="N110" s="80">
        <f ca="1">IFERROR(__xludf.DUMMYFUNCTION("IMPORTRANGE(""https://docs.google.com/spreadsheets/d/1Yj_ptqi66GCucihVvJfMjLAmec39IyEx_6qawtMGysU/edit?usp=sharing"",""สบก!CD114"")"),0)</f>
        <v>0</v>
      </c>
      <c r="O110" s="79">
        <f t="shared" ca="1" si="97"/>
        <v>0</v>
      </c>
      <c r="P110" s="149">
        <v>0</v>
      </c>
      <c r="Q110" s="149">
        <v>0</v>
      </c>
      <c r="R110" s="188">
        <v>0</v>
      </c>
      <c r="S110" s="149">
        <v>0</v>
      </c>
      <c r="T110" s="149">
        <v>0</v>
      </c>
      <c r="U110" s="188">
        <v>0</v>
      </c>
      <c r="V110" s="149">
        <v>0</v>
      </c>
      <c r="W110" s="149">
        <v>0</v>
      </c>
      <c r="X110" s="188">
        <v>0</v>
      </c>
      <c r="Y110" s="149">
        <v>0</v>
      </c>
      <c r="Z110" s="149">
        <v>0</v>
      </c>
      <c r="AA110" s="188">
        <v>0</v>
      </c>
      <c r="AB110" s="112">
        <f t="shared" ca="1" si="16"/>
        <v>0</v>
      </c>
      <c r="AC110" s="76">
        <f t="shared" ca="1" si="98"/>
        <v>0</v>
      </c>
      <c r="AD110" s="77">
        <f ca="1">IFERROR(__xludf.DUMMYFUNCTION("IMPORTRANGE(""https://docs.google.com/spreadsheets/d/1C3CXT74ZlgGe6_JY_1olB1XN4rF0dxEuIIF-xsYjHgg/edit?usp=sharing"",""พรบ!BK114"")"),0)</f>
        <v>0</v>
      </c>
      <c r="AE110" s="77">
        <f ca="1">IFERROR(__xludf.DUMMYFUNCTION("IMPORTRANGE(""https://docs.google.com/spreadsheets/d/1C3CXT74ZlgGe6_JY_1olB1XN4rF0dxEuIIF-xsYjHgg/edit?usp=sharing"",""พรบ!BL114"")"),0)</f>
        <v>0</v>
      </c>
      <c r="AF110" s="77">
        <f ca="1">IFERROR(__xludf.DUMMYFUNCTION("IMPORTRANGE(""https://docs.google.com/spreadsheets/d/1Yj_ptqi66GCucihVvJfMjLAmec39IyEx_6qawtMGysU/edit?usp=sharing"",""สบก!CI114"")"),0)</f>
        <v>0</v>
      </c>
      <c r="AG110" s="77">
        <f ca="1">IFERROR(__xludf.DUMMYFUNCTION("IMPORTRANGE(""https://docs.google.com/spreadsheets/d/1Yj_ptqi66GCucihVvJfMjLAmec39IyEx_6qawtMGysU/edit?usp=shCKing"",""สบก!CK114"")"),0)</f>
        <v>0</v>
      </c>
      <c r="AH110" s="77">
        <f t="shared" ca="1" si="99"/>
        <v>0</v>
      </c>
      <c r="AI110" s="79">
        <f t="shared" ca="1" si="100"/>
        <v>0</v>
      </c>
      <c r="AJ110" s="77">
        <f ca="1">IFERROR(__xludf.DUMMYFUNCTION("IMPORTRANGE(""https://docs.google.com/spreadsheets/d/1Yj_ptqi66GCucihVvJfMjLAmec39IyEx_6qawtMGysU/edit?usp=sharing"",""สบก!BB114"")"),0)</f>
        <v>0</v>
      </c>
      <c r="AK110" s="79">
        <f t="shared" ca="1" si="101"/>
        <v>0</v>
      </c>
      <c r="AL110" s="79">
        <f t="shared" ca="1" si="102"/>
        <v>0</v>
      </c>
      <c r="AM110" s="80">
        <f ca="1">IFERROR(__xludf.DUMMYFUNCTION("IMPORTRANGE(""https://docs.google.com/spreadsheets/d/1Yj_ptqi66GCucihVvJfMjLAmec39IyEx_6qawtMGysU/edit?usp=sharing"",""สบก!CM114"")"),0)</f>
        <v>0</v>
      </c>
      <c r="AN110" s="79">
        <f t="shared" ca="1" si="103"/>
        <v>0</v>
      </c>
      <c r="AO110" s="149">
        <v>0</v>
      </c>
      <c r="AP110" s="77">
        <v>0</v>
      </c>
      <c r="AQ110" s="188">
        <v>0</v>
      </c>
    </row>
    <row r="111" spans="1:43" ht="24" hidden="1" customHeight="1">
      <c r="A111" s="113">
        <v>5</v>
      </c>
      <c r="B111" s="111" t="s">
        <v>135</v>
      </c>
      <c r="C111" s="112">
        <f t="shared" ca="1" si="0"/>
        <v>0</v>
      </c>
      <c r="D111" s="76">
        <f t="shared" ca="1" si="92"/>
        <v>0</v>
      </c>
      <c r="E111" s="77">
        <f ca="1">IFERROR(__xludf.DUMMYFUNCTION("IMPORTRANGE(""https://docs.google.com/spreadsheets/d/1C3CXT74ZlgGe6_JY_1olB1XN4rF0dxEuIIF-xsYjHgg/edit?usp=sharing"",""พรบ!BD115"")"),0)</f>
        <v>0</v>
      </c>
      <c r="F111" s="77">
        <f ca="1">IFERROR(__xludf.DUMMYFUNCTION("IMPORTRANGE(""https://docs.google.com/spreadsheets/d/1C3CXT74ZlgGe6_JY_1olB1XN4rF0dxEuIIF-xsYjHgg/edit?usp=sharing"",""พรบ!BE115"")"),0)</f>
        <v>0</v>
      </c>
      <c r="G111" s="77">
        <f ca="1">IFERROR(__xludf.DUMMYFUNCTION("IMPORTRANGE(""https://docs.google.com/spreadsheets/d/1Yj_ptqi66GCucihVvJfMjLAmec39IyEx_6qawtMGysU/edit?usp=sharing"",""สบก!BZ115"")"),0)</f>
        <v>0</v>
      </c>
      <c r="H111" s="77">
        <f ca="1">IFERROR(__xludf.DUMMYFUNCTION("IMPORTRANGE(""https://docs.google.com/spreadsheets/d/1Yj_ptqi66GCucihVvJfMjLAmec39IyEx_6qawtMGysU/edit?usp=shCBing"",""สบก!CB115"")"),0)</f>
        <v>0</v>
      </c>
      <c r="I111" s="77">
        <f t="shared" ca="1" si="93"/>
        <v>0</v>
      </c>
      <c r="J111" s="79">
        <f t="shared" ca="1" si="94"/>
        <v>0</v>
      </c>
      <c r="K111" s="77">
        <f ca="1">IFERROR(__xludf.DUMMYFUNCTION("IMPORTRANGE(""https://docs.google.com/spreadsheets/d/1Yj_ptqi66GCucihVvJfMjLAmec39IyEx_6qawtMGysU/edit?usp=sharing"",""สบก!BB115"")"),0)</f>
        <v>0</v>
      </c>
      <c r="L111" s="79">
        <f t="shared" ca="1" si="95"/>
        <v>0</v>
      </c>
      <c r="M111" s="79">
        <f t="shared" ca="1" si="96"/>
        <v>0</v>
      </c>
      <c r="N111" s="80">
        <f ca="1">IFERROR(__xludf.DUMMYFUNCTION("IMPORTRANGE(""https://docs.google.com/spreadsheets/d/1Yj_ptqi66GCucihVvJfMjLAmec39IyEx_6qawtMGysU/edit?usp=sharing"",""สบก!CD115"")"),0)</f>
        <v>0</v>
      </c>
      <c r="O111" s="79">
        <f t="shared" ca="1" si="97"/>
        <v>0</v>
      </c>
      <c r="P111" s="149">
        <v>0</v>
      </c>
      <c r="Q111" s="149">
        <v>0</v>
      </c>
      <c r="R111" s="188">
        <v>0</v>
      </c>
      <c r="S111" s="149">
        <v>0</v>
      </c>
      <c r="T111" s="149">
        <v>0</v>
      </c>
      <c r="U111" s="188">
        <v>0</v>
      </c>
      <c r="V111" s="149">
        <v>0</v>
      </c>
      <c r="W111" s="149">
        <v>0</v>
      </c>
      <c r="X111" s="188">
        <v>0</v>
      </c>
      <c r="Y111" s="149">
        <v>0</v>
      </c>
      <c r="Z111" s="149">
        <v>0</v>
      </c>
      <c r="AA111" s="188">
        <v>0</v>
      </c>
      <c r="AB111" s="112">
        <f t="shared" ca="1" si="16"/>
        <v>0</v>
      </c>
      <c r="AC111" s="76">
        <f t="shared" ca="1" si="98"/>
        <v>0</v>
      </c>
      <c r="AD111" s="77">
        <f ca="1">IFERROR(__xludf.DUMMYFUNCTION("IMPORTRANGE(""https://docs.google.com/spreadsheets/d/1C3CXT74ZlgGe6_JY_1olB1XN4rF0dxEuIIF-xsYjHgg/edit?usp=sharing"",""พรบ!BK115"")"),0)</f>
        <v>0</v>
      </c>
      <c r="AE111" s="77">
        <f ca="1">IFERROR(__xludf.DUMMYFUNCTION("IMPORTRANGE(""https://docs.google.com/spreadsheets/d/1C3CXT74ZlgGe6_JY_1olB1XN4rF0dxEuIIF-xsYjHgg/edit?usp=sharing"",""พรบ!BL115"")"),0)</f>
        <v>0</v>
      </c>
      <c r="AF111" s="77">
        <f ca="1">IFERROR(__xludf.DUMMYFUNCTION("IMPORTRANGE(""https://docs.google.com/spreadsheets/d/1Yj_ptqi66GCucihVvJfMjLAmec39IyEx_6qawtMGysU/edit?usp=sharing"",""สบก!CI115"")"),0)</f>
        <v>0</v>
      </c>
      <c r="AG111" s="77">
        <f ca="1">IFERROR(__xludf.DUMMYFUNCTION("IMPORTRANGE(""https://docs.google.com/spreadsheets/d/1Yj_ptqi66GCucihVvJfMjLAmec39IyEx_6qawtMGysU/edit?usp=shCKing"",""สบก!CK115"")"),0)</f>
        <v>0</v>
      </c>
      <c r="AH111" s="77">
        <f t="shared" ca="1" si="99"/>
        <v>0</v>
      </c>
      <c r="AI111" s="79">
        <f t="shared" ca="1" si="100"/>
        <v>0</v>
      </c>
      <c r="AJ111" s="77">
        <f ca="1">IFERROR(__xludf.DUMMYFUNCTION("IMPORTRANGE(""https://docs.google.com/spreadsheets/d/1Yj_ptqi66GCucihVvJfMjLAmec39IyEx_6qawtMGysU/edit?usp=sharing"",""สบก!BB115"")"),0)</f>
        <v>0</v>
      </c>
      <c r="AK111" s="79">
        <f t="shared" ca="1" si="101"/>
        <v>0</v>
      </c>
      <c r="AL111" s="79">
        <f t="shared" ca="1" si="102"/>
        <v>0</v>
      </c>
      <c r="AM111" s="80">
        <f ca="1">IFERROR(__xludf.DUMMYFUNCTION("IMPORTRANGE(""https://docs.google.com/spreadsheets/d/1Yj_ptqi66GCucihVvJfMjLAmec39IyEx_6qawtMGysU/edit?usp=sharing"",""สบก!CM115"")"),0)</f>
        <v>0</v>
      </c>
      <c r="AN111" s="79">
        <f t="shared" ca="1" si="103"/>
        <v>0</v>
      </c>
      <c r="AO111" s="149">
        <v>0</v>
      </c>
      <c r="AP111" s="77">
        <v>0</v>
      </c>
      <c r="AQ111" s="188">
        <v>0</v>
      </c>
    </row>
    <row r="112" spans="1:43" ht="24" hidden="1" customHeight="1">
      <c r="A112" s="113">
        <v>6</v>
      </c>
      <c r="B112" s="111" t="s">
        <v>136</v>
      </c>
      <c r="C112" s="112">
        <f t="shared" ca="1" si="0"/>
        <v>0</v>
      </c>
      <c r="D112" s="76">
        <f t="shared" ca="1" si="92"/>
        <v>0</v>
      </c>
      <c r="E112" s="77">
        <f ca="1">IFERROR(__xludf.DUMMYFUNCTION("IMPORTRANGE(""https://docs.google.com/spreadsheets/d/1C3CXT74ZlgGe6_JY_1olB1XN4rF0dxEuIIF-xsYjHgg/edit?usp=sharing"",""พรบ!BD116"")"),0)</f>
        <v>0</v>
      </c>
      <c r="F112" s="77">
        <f ca="1">IFERROR(__xludf.DUMMYFUNCTION("IMPORTRANGE(""https://docs.google.com/spreadsheets/d/1C3CXT74ZlgGe6_JY_1olB1XN4rF0dxEuIIF-xsYjHgg/edit?usp=sharing"",""พรบ!BE116"")"),0)</f>
        <v>0</v>
      </c>
      <c r="G112" s="77">
        <f ca="1">IFERROR(__xludf.DUMMYFUNCTION("IMPORTRANGE(""https://docs.google.com/spreadsheets/d/1Yj_ptqi66GCucihVvJfMjLAmec39IyEx_6qawtMGysU/edit?usp=sharing"",""สบก!BZ116"")"),0)</f>
        <v>0</v>
      </c>
      <c r="H112" s="77">
        <f ca="1">IFERROR(__xludf.DUMMYFUNCTION("IMPORTRANGE(""https://docs.google.com/spreadsheets/d/1Yj_ptqi66GCucihVvJfMjLAmec39IyEx_6qawtMGysU/edit?usp=shCBing"",""สบก!CB116"")"),0)</f>
        <v>0</v>
      </c>
      <c r="I112" s="77">
        <f t="shared" ca="1" si="93"/>
        <v>0</v>
      </c>
      <c r="J112" s="79">
        <f t="shared" ca="1" si="94"/>
        <v>0</v>
      </c>
      <c r="K112" s="77">
        <f ca="1">IFERROR(__xludf.DUMMYFUNCTION("IMPORTRANGE(""https://docs.google.com/spreadsheets/d/1Yj_ptqi66GCucihVvJfMjLAmec39IyEx_6qawtMGysU/edit?usp=sharing"",""สบก!BB116"")"),0)</f>
        <v>0</v>
      </c>
      <c r="L112" s="79">
        <f t="shared" ca="1" si="95"/>
        <v>0</v>
      </c>
      <c r="M112" s="79">
        <f t="shared" ca="1" si="96"/>
        <v>0</v>
      </c>
      <c r="N112" s="80">
        <f ca="1">IFERROR(__xludf.DUMMYFUNCTION("IMPORTRANGE(""https://docs.google.com/spreadsheets/d/1Yj_ptqi66GCucihVvJfMjLAmec39IyEx_6qawtMGysU/edit?usp=sharing"",""สบก!CD116"")"),0)</f>
        <v>0</v>
      </c>
      <c r="O112" s="79">
        <f t="shared" ca="1" si="97"/>
        <v>0</v>
      </c>
      <c r="P112" s="149">
        <v>0</v>
      </c>
      <c r="Q112" s="149">
        <v>0</v>
      </c>
      <c r="R112" s="188">
        <v>0</v>
      </c>
      <c r="S112" s="149">
        <v>0</v>
      </c>
      <c r="T112" s="149">
        <v>0</v>
      </c>
      <c r="U112" s="188">
        <v>0</v>
      </c>
      <c r="V112" s="149">
        <v>0</v>
      </c>
      <c r="W112" s="149">
        <v>0</v>
      </c>
      <c r="X112" s="188">
        <v>0</v>
      </c>
      <c r="Y112" s="149">
        <v>0</v>
      </c>
      <c r="Z112" s="149">
        <v>0</v>
      </c>
      <c r="AA112" s="188">
        <v>0</v>
      </c>
      <c r="AB112" s="112">
        <f t="shared" ca="1" si="16"/>
        <v>0</v>
      </c>
      <c r="AC112" s="76">
        <f t="shared" ca="1" si="98"/>
        <v>0</v>
      </c>
      <c r="AD112" s="77">
        <f ca="1">IFERROR(__xludf.DUMMYFUNCTION("IMPORTRANGE(""https://docs.google.com/spreadsheets/d/1C3CXT74ZlgGe6_JY_1olB1XN4rF0dxEuIIF-xsYjHgg/edit?usp=sharing"",""พรบ!BK116"")"),0)</f>
        <v>0</v>
      </c>
      <c r="AE112" s="77">
        <f ca="1">IFERROR(__xludf.DUMMYFUNCTION("IMPORTRANGE(""https://docs.google.com/spreadsheets/d/1C3CXT74ZlgGe6_JY_1olB1XN4rF0dxEuIIF-xsYjHgg/edit?usp=sharing"",""พรบ!BL116"")"),0)</f>
        <v>0</v>
      </c>
      <c r="AF112" s="77">
        <f ca="1">IFERROR(__xludf.DUMMYFUNCTION("IMPORTRANGE(""https://docs.google.com/spreadsheets/d/1Yj_ptqi66GCucihVvJfMjLAmec39IyEx_6qawtMGysU/edit?usp=sharing"",""สบก!CI116"")"),0)</f>
        <v>0</v>
      </c>
      <c r="AG112" s="77">
        <f ca="1">IFERROR(__xludf.DUMMYFUNCTION("IMPORTRANGE(""https://docs.google.com/spreadsheets/d/1Yj_ptqi66GCucihVvJfMjLAmec39IyEx_6qawtMGysU/edit?usp=shCKing"",""สบก!CK116"")"),0)</f>
        <v>0</v>
      </c>
      <c r="AH112" s="77">
        <f t="shared" ca="1" si="99"/>
        <v>0</v>
      </c>
      <c r="AI112" s="79">
        <f t="shared" ca="1" si="100"/>
        <v>0</v>
      </c>
      <c r="AJ112" s="77">
        <f ca="1">IFERROR(__xludf.DUMMYFUNCTION("IMPORTRANGE(""https://docs.google.com/spreadsheets/d/1Yj_ptqi66GCucihVvJfMjLAmec39IyEx_6qawtMGysU/edit?usp=sharing"",""สบก!BB116"")"),0)</f>
        <v>0</v>
      </c>
      <c r="AK112" s="79">
        <f t="shared" ca="1" si="101"/>
        <v>0</v>
      </c>
      <c r="AL112" s="79">
        <f t="shared" ca="1" si="102"/>
        <v>0</v>
      </c>
      <c r="AM112" s="80">
        <f ca="1">IFERROR(__xludf.DUMMYFUNCTION("IMPORTRANGE(""https://docs.google.com/spreadsheets/d/1Yj_ptqi66GCucihVvJfMjLAmec39IyEx_6qawtMGysU/edit?usp=sharing"",""สบก!CM116"")"),0)</f>
        <v>0</v>
      </c>
      <c r="AN112" s="79">
        <f t="shared" ca="1" si="103"/>
        <v>0</v>
      </c>
      <c r="AO112" s="149">
        <v>0</v>
      </c>
      <c r="AP112" s="77">
        <v>0</v>
      </c>
      <c r="AQ112" s="188">
        <v>0</v>
      </c>
    </row>
    <row r="113" spans="1:43" ht="24" hidden="1" customHeight="1">
      <c r="A113" s="113">
        <v>7</v>
      </c>
      <c r="B113" s="111" t="s">
        <v>137</v>
      </c>
      <c r="C113" s="112">
        <f t="shared" ca="1" si="0"/>
        <v>0</v>
      </c>
      <c r="D113" s="76">
        <f t="shared" ca="1" si="92"/>
        <v>0</v>
      </c>
      <c r="E113" s="77">
        <f ca="1">IFERROR(__xludf.DUMMYFUNCTION("IMPORTRANGE(""https://docs.google.com/spreadsheets/d/1C3CXT74ZlgGe6_JY_1olB1XN4rF0dxEuIIF-xsYjHgg/edit?usp=sharing"",""พรบ!BD117"")"),0)</f>
        <v>0</v>
      </c>
      <c r="F113" s="77">
        <f ca="1">IFERROR(__xludf.DUMMYFUNCTION("IMPORTRANGE(""https://docs.google.com/spreadsheets/d/1C3CXT74ZlgGe6_JY_1olB1XN4rF0dxEuIIF-xsYjHgg/edit?usp=sharing"",""พรบ!BE117"")"),0)</f>
        <v>0</v>
      </c>
      <c r="G113" s="77">
        <f ca="1">IFERROR(__xludf.DUMMYFUNCTION("IMPORTRANGE(""https://docs.google.com/spreadsheets/d/1Yj_ptqi66GCucihVvJfMjLAmec39IyEx_6qawtMGysU/edit?usp=sharing"",""สบก!BZ117"")"),0)</f>
        <v>0</v>
      </c>
      <c r="H113" s="77">
        <f ca="1">IFERROR(__xludf.DUMMYFUNCTION("IMPORTRANGE(""https://docs.google.com/spreadsheets/d/1Yj_ptqi66GCucihVvJfMjLAmec39IyEx_6qawtMGysU/edit?usp=shCBing"",""สบก!CB117"")"),0)</f>
        <v>0</v>
      </c>
      <c r="I113" s="77">
        <f t="shared" ca="1" si="93"/>
        <v>0</v>
      </c>
      <c r="J113" s="79">
        <f t="shared" ca="1" si="94"/>
        <v>0</v>
      </c>
      <c r="K113" s="77">
        <f ca="1">IFERROR(__xludf.DUMMYFUNCTION("IMPORTRANGE(""https://docs.google.com/spreadsheets/d/1Yj_ptqi66GCucihVvJfMjLAmec39IyEx_6qawtMGysU/edit?usp=sharing"",""สบก!BB117"")"),0)</f>
        <v>0</v>
      </c>
      <c r="L113" s="79">
        <f t="shared" ca="1" si="95"/>
        <v>0</v>
      </c>
      <c r="M113" s="79">
        <f t="shared" ca="1" si="96"/>
        <v>0</v>
      </c>
      <c r="N113" s="80">
        <f ca="1">IFERROR(__xludf.DUMMYFUNCTION("IMPORTRANGE(""https://docs.google.com/spreadsheets/d/1Yj_ptqi66GCucihVvJfMjLAmec39IyEx_6qawtMGysU/edit?usp=sharing"",""สบก!CD117"")"),0)</f>
        <v>0</v>
      </c>
      <c r="O113" s="79">
        <f t="shared" ca="1" si="97"/>
        <v>0</v>
      </c>
      <c r="P113" s="149">
        <v>0</v>
      </c>
      <c r="Q113" s="149">
        <v>0</v>
      </c>
      <c r="R113" s="188">
        <v>0</v>
      </c>
      <c r="S113" s="149">
        <v>0</v>
      </c>
      <c r="T113" s="149">
        <v>0</v>
      </c>
      <c r="U113" s="188">
        <v>0</v>
      </c>
      <c r="V113" s="149">
        <v>0</v>
      </c>
      <c r="W113" s="149">
        <v>0</v>
      </c>
      <c r="X113" s="188">
        <v>0</v>
      </c>
      <c r="Y113" s="149">
        <v>0</v>
      </c>
      <c r="Z113" s="149">
        <v>0</v>
      </c>
      <c r="AA113" s="188">
        <v>0</v>
      </c>
      <c r="AB113" s="112">
        <f t="shared" ca="1" si="16"/>
        <v>0</v>
      </c>
      <c r="AC113" s="76">
        <f t="shared" ca="1" si="98"/>
        <v>0</v>
      </c>
      <c r="AD113" s="77">
        <f ca="1">IFERROR(__xludf.DUMMYFUNCTION("IMPORTRANGE(""https://docs.google.com/spreadsheets/d/1C3CXT74ZlgGe6_JY_1olB1XN4rF0dxEuIIF-xsYjHgg/edit?usp=sharing"",""พรบ!BK117"")"),0)</f>
        <v>0</v>
      </c>
      <c r="AE113" s="77">
        <f ca="1">IFERROR(__xludf.DUMMYFUNCTION("IMPORTRANGE(""https://docs.google.com/spreadsheets/d/1C3CXT74ZlgGe6_JY_1olB1XN4rF0dxEuIIF-xsYjHgg/edit?usp=sharing"",""พรบ!BL117"")"),0)</f>
        <v>0</v>
      </c>
      <c r="AF113" s="77">
        <f ca="1">IFERROR(__xludf.DUMMYFUNCTION("IMPORTRANGE(""https://docs.google.com/spreadsheets/d/1Yj_ptqi66GCucihVvJfMjLAmec39IyEx_6qawtMGysU/edit?usp=sharing"",""สบก!CI117"")"),0)</f>
        <v>0</v>
      </c>
      <c r="AG113" s="77">
        <f ca="1">IFERROR(__xludf.DUMMYFUNCTION("IMPORTRANGE(""https://docs.google.com/spreadsheets/d/1Yj_ptqi66GCucihVvJfMjLAmec39IyEx_6qawtMGysU/edit?usp=shCKing"",""สบก!CK117"")"),0)</f>
        <v>0</v>
      </c>
      <c r="AH113" s="77">
        <f t="shared" ca="1" si="99"/>
        <v>0</v>
      </c>
      <c r="AI113" s="79">
        <f t="shared" ca="1" si="100"/>
        <v>0</v>
      </c>
      <c r="AJ113" s="77">
        <f ca="1">IFERROR(__xludf.DUMMYFUNCTION("IMPORTRANGE(""https://docs.google.com/spreadsheets/d/1Yj_ptqi66GCucihVvJfMjLAmec39IyEx_6qawtMGysU/edit?usp=sharing"",""สบก!BB117"")"),0)</f>
        <v>0</v>
      </c>
      <c r="AK113" s="79">
        <f t="shared" ca="1" si="101"/>
        <v>0</v>
      </c>
      <c r="AL113" s="79">
        <f t="shared" ca="1" si="102"/>
        <v>0</v>
      </c>
      <c r="AM113" s="80">
        <f ca="1">IFERROR(__xludf.DUMMYFUNCTION("IMPORTRANGE(""https://docs.google.com/spreadsheets/d/1Yj_ptqi66GCucihVvJfMjLAmec39IyEx_6qawtMGysU/edit?usp=sharing"",""สบก!CM117"")"),0)</f>
        <v>0</v>
      </c>
      <c r="AN113" s="79">
        <f t="shared" ca="1" si="103"/>
        <v>0</v>
      </c>
      <c r="AO113" s="149">
        <v>0</v>
      </c>
      <c r="AP113" s="77">
        <v>0</v>
      </c>
      <c r="AQ113" s="188">
        <v>0</v>
      </c>
    </row>
    <row r="114" spans="1:43" ht="24" hidden="1" customHeight="1">
      <c r="A114" s="113">
        <v>8</v>
      </c>
      <c r="B114" s="111" t="s">
        <v>138</v>
      </c>
      <c r="C114" s="112">
        <f t="shared" ca="1" si="0"/>
        <v>0</v>
      </c>
      <c r="D114" s="76">
        <f t="shared" ca="1" si="92"/>
        <v>0</v>
      </c>
      <c r="E114" s="77">
        <f ca="1">IFERROR(__xludf.DUMMYFUNCTION("IMPORTRANGE(""https://docs.google.com/spreadsheets/d/1C3CXT74ZlgGe6_JY_1olB1XN4rF0dxEuIIF-xsYjHgg/edit?usp=sharing"",""พรบ!BD118"")"),0)</f>
        <v>0</v>
      </c>
      <c r="F114" s="77">
        <f ca="1">IFERROR(__xludf.DUMMYFUNCTION("IMPORTRANGE(""https://docs.google.com/spreadsheets/d/1C3CXT74ZlgGe6_JY_1olB1XN4rF0dxEuIIF-xsYjHgg/edit?usp=sharing"",""พรบ!BE118"")"),0)</f>
        <v>0</v>
      </c>
      <c r="G114" s="77">
        <f ca="1">IFERROR(__xludf.DUMMYFUNCTION("IMPORTRANGE(""https://docs.google.com/spreadsheets/d/1Yj_ptqi66GCucihVvJfMjLAmec39IyEx_6qawtMGysU/edit?usp=sharing"",""สบก!BZ118"")"),0)</f>
        <v>0</v>
      </c>
      <c r="H114" s="77">
        <f ca="1">IFERROR(__xludf.DUMMYFUNCTION("IMPORTRANGE(""https://docs.google.com/spreadsheets/d/1Yj_ptqi66GCucihVvJfMjLAmec39IyEx_6qawtMGysU/edit?usp=shCBing"",""สบก!CB118"")"),0)</f>
        <v>0</v>
      </c>
      <c r="I114" s="77">
        <f t="shared" ca="1" si="93"/>
        <v>0</v>
      </c>
      <c r="J114" s="79">
        <f t="shared" ca="1" si="94"/>
        <v>0</v>
      </c>
      <c r="K114" s="77">
        <f ca="1">IFERROR(__xludf.DUMMYFUNCTION("IMPORTRANGE(""https://docs.google.com/spreadsheets/d/1Yj_ptqi66GCucihVvJfMjLAmec39IyEx_6qawtMGysU/edit?usp=sharing"",""สบก!BB118"")"),0)</f>
        <v>0</v>
      </c>
      <c r="L114" s="79">
        <f t="shared" ca="1" si="95"/>
        <v>0</v>
      </c>
      <c r="M114" s="79">
        <f t="shared" ca="1" si="96"/>
        <v>0</v>
      </c>
      <c r="N114" s="80">
        <f ca="1">IFERROR(__xludf.DUMMYFUNCTION("IMPORTRANGE(""https://docs.google.com/spreadsheets/d/1Yj_ptqi66GCucihVvJfMjLAmec39IyEx_6qawtMGysU/edit?usp=sharing"",""สบก!CD118"")"),0)</f>
        <v>0</v>
      </c>
      <c r="O114" s="79">
        <f t="shared" ca="1" si="97"/>
        <v>0</v>
      </c>
      <c r="P114" s="149">
        <v>0</v>
      </c>
      <c r="Q114" s="149">
        <v>0</v>
      </c>
      <c r="R114" s="188">
        <v>0</v>
      </c>
      <c r="S114" s="149">
        <v>0</v>
      </c>
      <c r="T114" s="149">
        <v>0</v>
      </c>
      <c r="U114" s="188">
        <v>0</v>
      </c>
      <c r="V114" s="149">
        <v>0</v>
      </c>
      <c r="W114" s="149">
        <v>0</v>
      </c>
      <c r="X114" s="188">
        <v>0</v>
      </c>
      <c r="Y114" s="149">
        <v>0</v>
      </c>
      <c r="Z114" s="149">
        <v>0</v>
      </c>
      <c r="AA114" s="188">
        <v>0</v>
      </c>
      <c r="AB114" s="112">
        <f t="shared" ca="1" si="16"/>
        <v>0</v>
      </c>
      <c r="AC114" s="76">
        <f t="shared" ca="1" si="98"/>
        <v>0</v>
      </c>
      <c r="AD114" s="77">
        <f ca="1">IFERROR(__xludf.DUMMYFUNCTION("IMPORTRANGE(""https://docs.google.com/spreadsheets/d/1C3CXT74ZlgGe6_JY_1olB1XN4rF0dxEuIIF-xsYjHgg/edit?usp=sharing"",""พรบ!BK118"")"),0)</f>
        <v>0</v>
      </c>
      <c r="AE114" s="77">
        <f ca="1">IFERROR(__xludf.DUMMYFUNCTION("IMPORTRANGE(""https://docs.google.com/spreadsheets/d/1C3CXT74ZlgGe6_JY_1olB1XN4rF0dxEuIIF-xsYjHgg/edit?usp=sharing"",""พรบ!BL118"")"),0)</f>
        <v>0</v>
      </c>
      <c r="AF114" s="77">
        <f ca="1">IFERROR(__xludf.DUMMYFUNCTION("IMPORTRANGE(""https://docs.google.com/spreadsheets/d/1Yj_ptqi66GCucihVvJfMjLAmec39IyEx_6qawtMGysU/edit?usp=sharing"",""สบก!CI118"")"),0)</f>
        <v>0</v>
      </c>
      <c r="AG114" s="77">
        <f ca="1">IFERROR(__xludf.DUMMYFUNCTION("IMPORTRANGE(""https://docs.google.com/spreadsheets/d/1Yj_ptqi66GCucihVvJfMjLAmec39IyEx_6qawtMGysU/edit?usp=shCKing"",""สบก!CK118"")"),0)</f>
        <v>0</v>
      </c>
      <c r="AH114" s="77">
        <f t="shared" ca="1" si="99"/>
        <v>0</v>
      </c>
      <c r="AI114" s="79">
        <f t="shared" ca="1" si="100"/>
        <v>0</v>
      </c>
      <c r="AJ114" s="77">
        <f ca="1">IFERROR(__xludf.DUMMYFUNCTION("IMPORTRANGE(""https://docs.google.com/spreadsheets/d/1Yj_ptqi66GCucihVvJfMjLAmec39IyEx_6qawtMGysU/edit?usp=sharing"",""สบก!BB118"")"),0)</f>
        <v>0</v>
      </c>
      <c r="AK114" s="79">
        <f t="shared" ca="1" si="101"/>
        <v>0</v>
      </c>
      <c r="AL114" s="79">
        <f t="shared" ca="1" si="102"/>
        <v>0</v>
      </c>
      <c r="AM114" s="80">
        <f ca="1">IFERROR(__xludf.DUMMYFUNCTION("IMPORTRANGE(""https://docs.google.com/spreadsheets/d/1Yj_ptqi66GCucihVvJfMjLAmec39IyEx_6qawtMGysU/edit?usp=sharing"",""สบก!CM118"")"),0)</f>
        <v>0</v>
      </c>
      <c r="AN114" s="79">
        <f t="shared" ca="1" si="103"/>
        <v>0</v>
      </c>
      <c r="AO114" s="149">
        <v>0</v>
      </c>
      <c r="AP114" s="77">
        <v>0</v>
      </c>
      <c r="AQ114" s="188">
        <v>0</v>
      </c>
    </row>
    <row r="115" spans="1:43" ht="24" hidden="1" customHeight="1">
      <c r="A115" s="113">
        <v>9</v>
      </c>
      <c r="B115" s="111" t="s">
        <v>139</v>
      </c>
      <c r="C115" s="112">
        <f t="shared" ca="1" si="0"/>
        <v>0</v>
      </c>
      <c r="D115" s="76">
        <f t="shared" ca="1" si="92"/>
        <v>0</v>
      </c>
      <c r="E115" s="77">
        <f ca="1">IFERROR(__xludf.DUMMYFUNCTION("IMPORTRANGE(""https://docs.google.com/spreadsheets/d/1C3CXT74ZlgGe6_JY_1olB1XN4rF0dxEuIIF-xsYjHgg/edit?usp=sharing"",""พรบ!BD119"")"),0)</f>
        <v>0</v>
      </c>
      <c r="F115" s="77">
        <f ca="1">IFERROR(__xludf.DUMMYFUNCTION("IMPORTRANGE(""https://docs.google.com/spreadsheets/d/1C3CXT74ZlgGe6_JY_1olB1XN4rF0dxEuIIF-xsYjHgg/edit?usp=sharing"",""พรบ!BE119"")"),0)</f>
        <v>0</v>
      </c>
      <c r="G115" s="77">
        <f ca="1">IFERROR(__xludf.DUMMYFUNCTION("IMPORTRANGE(""https://docs.google.com/spreadsheets/d/1Yj_ptqi66GCucihVvJfMjLAmec39IyEx_6qawtMGysU/edit?usp=sharing"",""สบก!BZ119"")"),0)</f>
        <v>0</v>
      </c>
      <c r="H115" s="77">
        <f ca="1">IFERROR(__xludf.DUMMYFUNCTION("IMPORTRANGE(""https://docs.google.com/spreadsheets/d/1Yj_ptqi66GCucihVvJfMjLAmec39IyEx_6qawtMGysU/edit?usp=shCBing"",""สบก!CB119"")"),0)</f>
        <v>0</v>
      </c>
      <c r="I115" s="77">
        <f t="shared" ca="1" si="93"/>
        <v>0</v>
      </c>
      <c r="J115" s="79">
        <f t="shared" ca="1" si="94"/>
        <v>0</v>
      </c>
      <c r="K115" s="77">
        <f ca="1">IFERROR(__xludf.DUMMYFUNCTION("IMPORTRANGE(""https://docs.google.com/spreadsheets/d/1Yj_ptqi66GCucihVvJfMjLAmec39IyEx_6qawtMGysU/edit?usp=sharing"",""สบก!BB119"")"),0)</f>
        <v>0</v>
      </c>
      <c r="L115" s="79">
        <f t="shared" ca="1" si="95"/>
        <v>0</v>
      </c>
      <c r="M115" s="79">
        <f t="shared" ca="1" si="96"/>
        <v>0</v>
      </c>
      <c r="N115" s="80">
        <f ca="1">IFERROR(__xludf.DUMMYFUNCTION("IMPORTRANGE(""https://docs.google.com/spreadsheets/d/1Yj_ptqi66GCucihVvJfMjLAmec39IyEx_6qawtMGysU/edit?usp=sharing"",""สบก!CD119"")"),0)</f>
        <v>0</v>
      </c>
      <c r="O115" s="79">
        <f t="shared" ca="1" si="97"/>
        <v>0</v>
      </c>
      <c r="P115" s="149">
        <v>0</v>
      </c>
      <c r="Q115" s="149">
        <v>0</v>
      </c>
      <c r="R115" s="188">
        <v>0</v>
      </c>
      <c r="S115" s="149">
        <v>0</v>
      </c>
      <c r="T115" s="149">
        <v>0</v>
      </c>
      <c r="U115" s="188">
        <v>0</v>
      </c>
      <c r="V115" s="149">
        <v>0</v>
      </c>
      <c r="W115" s="149">
        <v>0</v>
      </c>
      <c r="X115" s="188">
        <v>0</v>
      </c>
      <c r="Y115" s="149">
        <v>0</v>
      </c>
      <c r="Z115" s="149">
        <v>0</v>
      </c>
      <c r="AA115" s="188">
        <v>0</v>
      </c>
      <c r="AB115" s="112">
        <f t="shared" ca="1" si="16"/>
        <v>0</v>
      </c>
      <c r="AC115" s="76">
        <f t="shared" ca="1" si="98"/>
        <v>0</v>
      </c>
      <c r="AD115" s="77">
        <f ca="1">IFERROR(__xludf.DUMMYFUNCTION("IMPORTRANGE(""https://docs.google.com/spreadsheets/d/1C3CXT74ZlgGe6_JY_1olB1XN4rF0dxEuIIF-xsYjHgg/edit?usp=sharing"",""พรบ!BK119"")"),0)</f>
        <v>0</v>
      </c>
      <c r="AE115" s="77">
        <f ca="1">IFERROR(__xludf.DUMMYFUNCTION("IMPORTRANGE(""https://docs.google.com/spreadsheets/d/1C3CXT74ZlgGe6_JY_1olB1XN4rF0dxEuIIF-xsYjHgg/edit?usp=sharing"",""พรบ!BL119"")"),0)</f>
        <v>0</v>
      </c>
      <c r="AF115" s="77">
        <f ca="1">IFERROR(__xludf.DUMMYFUNCTION("IMPORTRANGE(""https://docs.google.com/spreadsheets/d/1Yj_ptqi66GCucihVvJfMjLAmec39IyEx_6qawtMGysU/edit?usp=sharing"",""สบก!CI119"")"),0)</f>
        <v>0</v>
      </c>
      <c r="AG115" s="77">
        <f ca="1">IFERROR(__xludf.DUMMYFUNCTION("IMPORTRANGE(""https://docs.google.com/spreadsheets/d/1Yj_ptqi66GCucihVvJfMjLAmec39IyEx_6qawtMGysU/edit?usp=shCKing"",""สบก!CK119"")"),0)</f>
        <v>0</v>
      </c>
      <c r="AH115" s="77">
        <f t="shared" ca="1" si="99"/>
        <v>0</v>
      </c>
      <c r="AI115" s="79">
        <f t="shared" ca="1" si="100"/>
        <v>0</v>
      </c>
      <c r="AJ115" s="77">
        <f ca="1">IFERROR(__xludf.DUMMYFUNCTION("IMPORTRANGE(""https://docs.google.com/spreadsheets/d/1Yj_ptqi66GCucihVvJfMjLAmec39IyEx_6qawtMGysU/edit?usp=sharing"",""สบก!BB119"")"),0)</f>
        <v>0</v>
      </c>
      <c r="AK115" s="79">
        <f t="shared" ca="1" si="101"/>
        <v>0</v>
      </c>
      <c r="AL115" s="79">
        <f t="shared" ca="1" si="102"/>
        <v>0</v>
      </c>
      <c r="AM115" s="80">
        <f ca="1">IFERROR(__xludf.DUMMYFUNCTION("IMPORTRANGE(""https://docs.google.com/spreadsheets/d/1Yj_ptqi66GCucihVvJfMjLAmec39IyEx_6qawtMGysU/edit?usp=sharing"",""สบก!CM119"")"),0)</f>
        <v>0</v>
      </c>
      <c r="AN115" s="79">
        <f t="shared" ca="1" si="103"/>
        <v>0</v>
      </c>
      <c r="AO115" s="149">
        <v>0</v>
      </c>
      <c r="AP115" s="77">
        <v>0</v>
      </c>
      <c r="AQ115" s="188">
        <v>0</v>
      </c>
    </row>
    <row r="116" spans="1:43" ht="24" hidden="1" customHeight="1">
      <c r="A116" s="113">
        <v>10</v>
      </c>
      <c r="B116" s="111" t="s">
        <v>140</v>
      </c>
      <c r="C116" s="112">
        <f t="shared" ca="1" si="0"/>
        <v>0</v>
      </c>
      <c r="D116" s="76">
        <f t="shared" ca="1" si="92"/>
        <v>0</v>
      </c>
      <c r="E116" s="77">
        <f ca="1">IFERROR(__xludf.DUMMYFUNCTION("IMPORTRANGE(""https://docs.google.com/spreadsheets/d/1C3CXT74ZlgGe6_JY_1olB1XN4rF0dxEuIIF-xsYjHgg/edit?usp=sharing"",""พรบ!BD120"")"),0)</f>
        <v>0</v>
      </c>
      <c r="F116" s="77">
        <f ca="1">IFERROR(__xludf.DUMMYFUNCTION("IMPORTRANGE(""https://docs.google.com/spreadsheets/d/1C3CXT74ZlgGe6_JY_1olB1XN4rF0dxEuIIF-xsYjHgg/edit?usp=sharing"",""พรบ!BE120"")"),0)</f>
        <v>0</v>
      </c>
      <c r="G116" s="77">
        <f ca="1">IFERROR(__xludf.DUMMYFUNCTION("IMPORTRANGE(""https://docs.google.com/spreadsheets/d/1Yj_ptqi66GCucihVvJfMjLAmec39IyEx_6qawtMGysU/edit?usp=sharing"",""สบก!BZ120"")"),0)</f>
        <v>0</v>
      </c>
      <c r="H116" s="77">
        <f ca="1">IFERROR(__xludf.DUMMYFUNCTION("IMPORTRANGE(""https://docs.google.com/spreadsheets/d/1Yj_ptqi66GCucihVvJfMjLAmec39IyEx_6qawtMGysU/edit?usp=shCBing"",""สบก!CB120"")"),0)</f>
        <v>0</v>
      </c>
      <c r="I116" s="77">
        <f t="shared" ca="1" si="93"/>
        <v>0</v>
      </c>
      <c r="J116" s="79">
        <f t="shared" ca="1" si="94"/>
        <v>0</v>
      </c>
      <c r="K116" s="77">
        <f ca="1">IFERROR(__xludf.DUMMYFUNCTION("IMPORTRANGE(""https://docs.google.com/spreadsheets/d/1Yj_ptqi66GCucihVvJfMjLAmec39IyEx_6qawtMGysU/edit?usp=sharing"",""สบก!BB120"")"),0)</f>
        <v>0</v>
      </c>
      <c r="L116" s="79">
        <f t="shared" ca="1" si="95"/>
        <v>0</v>
      </c>
      <c r="M116" s="79">
        <f t="shared" ca="1" si="96"/>
        <v>0</v>
      </c>
      <c r="N116" s="80">
        <f ca="1">IFERROR(__xludf.DUMMYFUNCTION("IMPORTRANGE(""https://docs.google.com/spreadsheets/d/1Yj_ptqi66GCucihVvJfMjLAmec39IyEx_6qawtMGysU/edit?usp=sharing"",""สบก!CD120"")"),0)</f>
        <v>0</v>
      </c>
      <c r="O116" s="79">
        <f t="shared" ca="1" si="97"/>
        <v>0</v>
      </c>
      <c r="P116" s="149">
        <v>0</v>
      </c>
      <c r="Q116" s="149">
        <v>0</v>
      </c>
      <c r="R116" s="188">
        <v>0</v>
      </c>
      <c r="S116" s="149">
        <v>0</v>
      </c>
      <c r="T116" s="149">
        <v>0</v>
      </c>
      <c r="U116" s="188">
        <v>0</v>
      </c>
      <c r="V116" s="149">
        <v>0</v>
      </c>
      <c r="W116" s="149">
        <v>0</v>
      </c>
      <c r="X116" s="188">
        <v>0</v>
      </c>
      <c r="Y116" s="149">
        <v>0</v>
      </c>
      <c r="Z116" s="149">
        <v>0</v>
      </c>
      <c r="AA116" s="188">
        <v>0</v>
      </c>
      <c r="AB116" s="112">
        <f t="shared" ca="1" si="16"/>
        <v>0</v>
      </c>
      <c r="AC116" s="76">
        <f t="shared" ca="1" si="98"/>
        <v>0</v>
      </c>
      <c r="AD116" s="77">
        <f ca="1">IFERROR(__xludf.DUMMYFUNCTION("IMPORTRANGE(""https://docs.google.com/spreadsheets/d/1C3CXT74ZlgGe6_JY_1olB1XN4rF0dxEuIIF-xsYjHgg/edit?usp=sharing"",""พรบ!BK120"")"),0)</f>
        <v>0</v>
      </c>
      <c r="AE116" s="77">
        <f ca="1">IFERROR(__xludf.DUMMYFUNCTION("IMPORTRANGE(""https://docs.google.com/spreadsheets/d/1C3CXT74ZlgGe6_JY_1olB1XN4rF0dxEuIIF-xsYjHgg/edit?usp=sharing"",""พรบ!BL120"")"),0)</f>
        <v>0</v>
      </c>
      <c r="AF116" s="77">
        <f ca="1">IFERROR(__xludf.DUMMYFUNCTION("IMPORTRANGE(""https://docs.google.com/spreadsheets/d/1Yj_ptqi66GCucihVvJfMjLAmec39IyEx_6qawtMGysU/edit?usp=sharing"",""สบก!CI120"")"),0)</f>
        <v>0</v>
      </c>
      <c r="AG116" s="77">
        <f ca="1">IFERROR(__xludf.DUMMYFUNCTION("IMPORTRANGE(""https://docs.google.com/spreadsheets/d/1Yj_ptqi66GCucihVvJfMjLAmec39IyEx_6qawtMGysU/edit?usp=shCKing"",""สบก!CK120"")"),0)</f>
        <v>0</v>
      </c>
      <c r="AH116" s="77">
        <f t="shared" ca="1" si="99"/>
        <v>0</v>
      </c>
      <c r="AI116" s="79">
        <f t="shared" ca="1" si="100"/>
        <v>0</v>
      </c>
      <c r="AJ116" s="77">
        <f ca="1">IFERROR(__xludf.DUMMYFUNCTION("IMPORTRANGE(""https://docs.google.com/spreadsheets/d/1Yj_ptqi66GCucihVvJfMjLAmec39IyEx_6qawtMGysU/edit?usp=sharing"",""สบก!BB120"")"),0)</f>
        <v>0</v>
      </c>
      <c r="AK116" s="79">
        <f t="shared" ca="1" si="101"/>
        <v>0</v>
      </c>
      <c r="AL116" s="79">
        <f t="shared" ca="1" si="102"/>
        <v>0</v>
      </c>
      <c r="AM116" s="80">
        <f ca="1">IFERROR(__xludf.DUMMYFUNCTION("IMPORTRANGE(""https://docs.google.com/spreadsheets/d/1Yj_ptqi66GCucihVvJfMjLAmec39IyEx_6qawtMGysU/edit?usp=sharing"",""สบก!CM120"")"),0)</f>
        <v>0</v>
      </c>
      <c r="AN116" s="79">
        <f t="shared" ca="1" si="103"/>
        <v>0</v>
      </c>
      <c r="AO116" s="149">
        <v>0</v>
      </c>
      <c r="AP116" s="77">
        <v>0</v>
      </c>
      <c r="AQ116" s="188">
        <v>0</v>
      </c>
    </row>
    <row r="117" spans="1:43" ht="24" hidden="1" customHeight="1">
      <c r="A117" s="113">
        <v>11</v>
      </c>
      <c r="B117" s="111" t="s">
        <v>141</v>
      </c>
      <c r="C117" s="112">
        <f t="shared" ca="1" si="0"/>
        <v>0</v>
      </c>
      <c r="D117" s="76">
        <f t="shared" ca="1" si="92"/>
        <v>0</v>
      </c>
      <c r="E117" s="77">
        <f ca="1">IFERROR(__xludf.DUMMYFUNCTION("IMPORTRANGE(""https://docs.google.com/spreadsheets/d/1C3CXT74ZlgGe6_JY_1olB1XN4rF0dxEuIIF-xsYjHgg/edit?usp=sharing"",""พรบ!BD121"")"),0)</f>
        <v>0</v>
      </c>
      <c r="F117" s="77">
        <f ca="1">IFERROR(__xludf.DUMMYFUNCTION("IMPORTRANGE(""https://docs.google.com/spreadsheets/d/1C3CXT74ZlgGe6_JY_1olB1XN4rF0dxEuIIF-xsYjHgg/edit?usp=sharing"",""พรบ!BE121"")"),0)</f>
        <v>0</v>
      </c>
      <c r="G117" s="77">
        <f ca="1">IFERROR(__xludf.DUMMYFUNCTION("IMPORTRANGE(""https://docs.google.com/spreadsheets/d/1Yj_ptqi66GCucihVvJfMjLAmec39IyEx_6qawtMGysU/edit?usp=sharing"",""สบก!BZ121"")"),0)</f>
        <v>0</v>
      </c>
      <c r="H117" s="77">
        <f ca="1">IFERROR(__xludf.DUMMYFUNCTION("IMPORTRANGE(""https://docs.google.com/spreadsheets/d/1Yj_ptqi66GCucihVvJfMjLAmec39IyEx_6qawtMGysU/edit?usp=shCBing"",""สบก!CB121"")"),0)</f>
        <v>0</v>
      </c>
      <c r="I117" s="77">
        <f t="shared" ca="1" si="93"/>
        <v>0</v>
      </c>
      <c r="J117" s="79">
        <f t="shared" ca="1" si="94"/>
        <v>0</v>
      </c>
      <c r="K117" s="77">
        <f ca="1">IFERROR(__xludf.DUMMYFUNCTION("IMPORTRANGE(""https://docs.google.com/spreadsheets/d/1Yj_ptqi66GCucihVvJfMjLAmec39IyEx_6qawtMGysU/edit?usp=sharing"",""สบก!BB121"")"),0)</f>
        <v>0</v>
      </c>
      <c r="L117" s="79">
        <f t="shared" ca="1" si="95"/>
        <v>0</v>
      </c>
      <c r="M117" s="79">
        <f t="shared" ca="1" si="96"/>
        <v>0</v>
      </c>
      <c r="N117" s="80">
        <f ca="1">IFERROR(__xludf.DUMMYFUNCTION("IMPORTRANGE(""https://docs.google.com/spreadsheets/d/1Yj_ptqi66GCucihVvJfMjLAmec39IyEx_6qawtMGysU/edit?usp=sharing"",""สบก!CD121"")"),0)</f>
        <v>0</v>
      </c>
      <c r="O117" s="79">
        <f t="shared" ca="1" si="97"/>
        <v>0</v>
      </c>
      <c r="P117" s="149">
        <v>0</v>
      </c>
      <c r="Q117" s="149">
        <v>0</v>
      </c>
      <c r="R117" s="188">
        <v>0</v>
      </c>
      <c r="S117" s="149">
        <v>0</v>
      </c>
      <c r="T117" s="149">
        <v>0</v>
      </c>
      <c r="U117" s="188">
        <v>0</v>
      </c>
      <c r="V117" s="149">
        <v>0</v>
      </c>
      <c r="W117" s="149">
        <v>0</v>
      </c>
      <c r="X117" s="188">
        <v>0</v>
      </c>
      <c r="Y117" s="149">
        <v>0</v>
      </c>
      <c r="Z117" s="149">
        <v>0</v>
      </c>
      <c r="AA117" s="188">
        <v>0</v>
      </c>
      <c r="AB117" s="112">
        <f t="shared" ca="1" si="16"/>
        <v>0</v>
      </c>
      <c r="AC117" s="76">
        <f t="shared" ca="1" si="98"/>
        <v>0</v>
      </c>
      <c r="AD117" s="77">
        <f ca="1">IFERROR(__xludf.DUMMYFUNCTION("IMPORTRANGE(""https://docs.google.com/spreadsheets/d/1C3CXT74ZlgGe6_JY_1olB1XN4rF0dxEuIIF-xsYjHgg/edit?usp=sharing"",""พรบ!BK121"")"),0)</f>
        <v>0</v>
      </c>
      <c r="AE117" s="77">
        <f ca="1">IFERROR(__xludf.DUMMYFUNCTION("IMPORTRANGE(""https://docs.google.com/spreadsheets/d/1C3CXT74ZlgGe6_JY_1olB1XN4rF0dxEuIIF-xsYjHgg/edit?usp=sharing"",""พรบ!BL121"")"),0)</f>
        <v>0</v>
      </c>
      <c r="AF117" s="77">
        <f ca="1">IFERROR(__xludf.DUMMYFUNCTION("IMPORTRANGE(""https://docs.google.com/spreadsheets/d/1Yj_ptqi66GCucihVvJfMjLAmec39IyEx_6qawtMGysU/edit?usp=sharing"",""สบก!CI121"")"),0)</f>
        <v>0</v>
      </c>
      <c r="AG117" s="77">
        <f ca="1">IFERROR(__xludf.DUMMYFUNCTION("IMPORTRANGE(""https://docs.google.com/spreadsheets/d/1Yj_ptqi66GCucihVvJfMjLAmec39IyEx_6qawtMGysU/edit?usp=shCKing"",""สบก!CK121"")"),0)</f>
        <v>0</v>
      </c>
      <c r="AH117" s="77">
        <f t="shared" ca="1" si="99"/>
        <v>0</v>
      </c>
      <c r="AI117" s="79">
        <f t="shared" ca="1" si="100"/>
        <v>0</v>
      </c>
      <c r="AJ117" s="77">
        <f ca="1">IFERROR(__xludf.DUMMYFUNCTION("IMPORTRANGE(""https://docs.google.com/spreadsheets/d/1Yj_ptqi66GCucihVvJfMjLAmec39IyEx_6qawtMGysU/edit?usp=sharing"",""สบก!BB121"")"),0)</f>
        <v>0</v>
      </c>
      <c r="AK117" s="79">
        <f t="shared" ca="1" si="101"/>
        <v>0</v>
      </c>
      <c r="AL117" s="79">
        <f t="shared" ca="1" si="102"/>
        <v>0</v>
      </c>
      <c r="AM117" s="80">
        <f ca="1">IFERROR(__xludf.DUMMYFUNCTION("IMPORTRANGE(""https://docs.google.com/spreadsheets/d/1Yj_ptqi66GCucihVvJfMjLAmec39IyEx_6qawtMGysU/edit?usp=sharing"",""สบก!CM121"")"),0)</f>
        <v>0</v>
      </c>
      <c r="AN117" s="79">
        <f t="shared" ca="1" si="103"/>
        <v>0</v>
      </c>
      <c r="AO117" s="149">
        <v>0</v>
      </c>
      <c r="AP117" s="77">
        <v>0</v>
      </c>
      <c r="AQ117" s="188">
        <v>0</v>
      </c>
    </row>
    <row r="118" spans="1:43" ht="24" hidden="1" customHeight="1">
      <c r="A118" s="113">
        <v>12</v>
      </c>
      <c r="B118" s="111" t="s">
        <v>142</v>
      </c>
      <c r="C118" s="112">
        <f t="shared" ca="1" si="0"/>
        <v>0</v>
      </c>
      <c r="D118" s="76">
        <f t="shared" ca="1" si="92"/>
        <v>0</v>
      </c>
      <c r="E118" s="77">
        <f ca="1">IFERROR(__xludf.DUMMYFUNCTION("IMPORTRANGE(""https://docs.google.com/spreadsheets/d/1C3CXT74ZlgGe6_JY_1olB1XN4rF0dxEuIIF-xsYjHgg/edit?usp=sharing"",""พรบ!BD122"")"),0)</f>
        <v>0</v>
      </c>
      <c r="F118" s="77">
        <f ca="1">IFERROR(__xludf.DUMMYFUNCTION("IMPORTRANGE(""https://docs.google.com/spreadsheets/d/1C3CXT74ZlgGe6_JY_1olB1XN4rF0dxEuIIF-xsYjHgg/edit?usp=sharing"",""พรบ!BE122"")"),0)</f>
        <v>0</v>
      </c>
      <c r="G118" s="77">
        <f ca="1">IFERROR(__xludf.DUMMYFUNCTION("IMPORTRANGE(""https://docs.google.com/spreadsheets/d/1Yj_ptqi66GCucihVvJfMjLAmec39IyEx_6qawtMGysU/edit?usp=sharing"",""สบก!BZ122"")"),0)</f>
        <v>0</v>
      </c>
      <c r="H118" s="77">
        <f ca="1">IFERROR(__xludf.DUMMYFUNCTION("IMPORTRANGE(""https://docs.google.com/spreadsheets/d/1Yj_ptqi66GCucihVvJfMjLAmec39IyEx_6qawtMGysU/edit?usp=shCBing"",""สบก!CB122"")"),0)</f>
        <v>0</v>
      </c>
      <c r="I118" s="77">
        <f t="shared" ca="1" si="93"/>
        <v>0</v>
      </c>
      <c r="J118" s="79">
        <f t="shared" ca="1" si="94"/>
        <v>0</v>
      </c>
      <c r="K118" s="77">
        <f ca="1">IFERROR(__xludf.DUMMYFUNCTION("IMPORTRANGE(""https://docs.google.com/spreadsheets/d/1Yj_ptqi66GCucihVvJfMjLAmec39IyEx_6qawtMGysU/edit?usp=sharing"",""สบก!BB122"")"),0)</f>
        <v>0</v>
      </c>
      <c r="L118" s="79">
        <f t="shared" ca="1" si="95"/>
        <v>0</v>
      </c>
      <c r="M118" s="79">
        <f t="shared" ca="1" si="96"/>
        <v>0</v>
      </c>
      <c r="N118" s="80">
        <f ca="1">IFERROR(__xludf.DUMMYFUNCTION("IMPORTRANGE(""https://docs.google.com/spreadsheets/d/1Yj_ptqi66GCucihVvJfMjLAmec39IyEx_6qawtMGysU/edit?usp=sharing"",""สบก!CD122"")"),0)</f>
        <v>0</v>
      </c>
      <c r="O118" s="79">
        <f t="shared" ca="1" si="97"/>
        <v>0</v>
      </c>
      <c r="P118" s="149">
        <v>0</v>
      </c>
      <c r="Q118" s="149">
        <v>0</v>
      </c>
      <c r="R118" s="188">
        <v>0</v>
      </c>
      <c r="S118" s="149">
        <v>0</v>
      </c>
      <c r="T118" s="149">
        <v>0</v>
      </c>
      <c r="U118" s="188">
        <v>0</v>
      </c>
      <c r="V118" s="149">
        <v>0</v>
      </c>
      <c r="W118" s="149">
        <v>0</v>
      </c>
      <c r="X118" s="188">
        <v>0</v>
      </c>
      <c r="Y118" s="149">
        <v>0</v>
      </c>
      <c r="Z118" s="149">
        <v>0</v>
      </c>
      <c r="AA118" s="188">
        <v>0</v>
      </c>
      <c r="AB118" s="112">
        <f t="shared" ca="1" si="16"/>
        <v>0</v>
      </c>
      <c r="AC118" s="76">
        <f t="shared" ca="1" si="98"/>
        <v>0</v>
      </c>
      <c r="AD118" s="77">
        <f ca="1">IFERROR(__xludf.DUMMYFUNCTION("IMPORTRANGE(""https://docs.google.com/spreadsheets/d/1C3CXT74ZlgGe6_JY_1olB1XN4rF0dxEuIIF-xsYjHgg/edit?usp=sharing"",""พรบ!BK122"")"),0)</f>
        <v>0</v>
      </c>
      <c r="AE118" s="77">
        <f ca="1">IFERROR(__xludf.DUMMYFUNCTION("IMPORTRANGE(""https://docs.google.com/spreadsheets/d/1C3CXT74ZlgGe6_JY_1olB1XN4rF0dxEuIIF-xsYjHgg/edit?usp=sharing"",""พรบ!BL122"")"),0)</f>
        <v>0</v>
      </c>
      <c r="AF118" s="77">
        <f ca="1">IFERROR(__xludf.DUMMYFUNCTION("IMPORTRANGE(""https://docs.google.com/spreadsheets/d/1Yj_ptqi66GCucihVvJfMjLAmec39IyEx_6qawtMGysU/edit?usp=sharing"",""สบก!CI122"")"),0)</f>
        <v>0</v>
      </c>
      <c r="AG118" s="77">
        <f ca="1">IFERROR(__xludf.DUMMYFUNCTION("IMPORTRANGE(""https://docs.google.com/spreadsheets/d/1Yj_ptqi66GCucihVvJfMjLAmec39IyEx_6qawtMGysU/edit?usp=shCKing"",""สบก!CK122"")"),0)</f>
        <v>0</v>
      </c>
      <c r="AH118" s="77">
        <f t="shared" ca="1" si="99"/>
        <v>0</v>
      </c>
      <c r="AI118" s="79">
        <f t="shared" ca="1" si="100"/>
        <v>0</v>
      </c>
      <c r="AJ118" s="77">
        <f ca="1">IFERROR(__xludf.DUMMYFUNCTION("IMPORTRANGE(""https://docs.google.com/spreadsheets/d/1Yj_ptqi66GCucihVvJfMjLAmec39IyEx_6qawtMGysU/edit?usp=sharing"",""สบก!BB122"")"),0)</f>
        <v>0</v>
      </c>
      <c r="AK118" s="79">
        <f t="shared" ca="1" si="101"/>
        <v>0</v>
      </c>
      <c r="AL118" s="79">
        <f t="shared" ca="1" si="102"/>
        <v>0</v>
      </c>
      <c r="AM118" s="80">
        <f ca="1">IFERROR(__xludf.DUMMYFUNCTION("IMPORTRANGE(""https://docs.google.com/spreadsheets/d/1Yj_ptqi66GCucihVvJfMjLAmec39IyEx_6qawtMGysU/edit?usp=sharing"",""สบก!CM122"")"),0)</f>
        <v>0</v>
      </c>
      <c r="AN118" s="79">
        <f t="shared" ca="1" si="103"/>
        <v>0</v>
      </c>
      <c r="AO118" s="149">
        <v>0</v>
      </c>
      <c r="AP118" s="77">
        <v>0</v>
      </c>
      <c r="AQ118" s="188">
        <v>0</v>
      </c>
    </row>
    <row r="119" spans="1:43" ht="24" hidden="1" customHeight="1">
      <c r="A119" s="113">
        <v>13</v>
      </c>
      <c r="B119" s="111" t="s">
        <v>143</v>
      </c>
      <c r="C119" s="112">
        <f t="shared" ca="1" si="0"/>
        <v>0</v>
      </c>
      <c r="D119" s="76">
        <f t="shared" ca="1" si="92"/>
        <v>0</v>
      </c>
      <c r="E119" s="77">
        <f ca="1">IFERROR(__xludf.DUMMYFUNCTION("IMPORTRANGE(""https://docs.google.com/spreadsheets/d/1C3CXT74ZlgGe6_JY_1olB1XN4rF0dxEuIIF-xsYjHgg/edit?usp=sharing"",""พรบ!BD123"")"),0)</f>
        <v>0</v>
      </c>
      <c r="F119" s="77">
        <f ca="1">IFERROR(__xludf.DUMMYFUNCTION("IMPORTRANGE(""https://docs.google.com/spreadsheets/d/1C3CXT74ZlgGe6_JY_1olB1XN4rF0dxEuIIF-xsYjHgg/edit?usp=sharing"",""พรบ!BE123"")"),0)</f>
        <v>0</v>
      </c>
      <c r="G119" s="77">
        <f ca="1">IFERROR(__xludf.DUMMYFUNCTION("IMPORTRANGE(""https://docs.google.com/spreadsheets/d/1Yj_ptqi66GCucihVvJfMjLAmec39IyEx_6qawtMGysU/edit?usp=sharing"",""สบก!BZ123"")"),0)</f>
        <v>0</v>
      </c>
      <c r="H119" s="77">
        <f ca="1">IFERROR(__xludf.DUMMYFUNCTION("IMPORTRANGE(""https://docs.google.com/spreadsheets/d/1Yj_ptqi66GCucihVvJfMjLAmec39IyEx_6qawtMGysU/edit?usp=shCBing"",""สบก!CB123"")"),0)</f>
        <v>0</v>
      </c>
      <c r="I119" s="77">
        <f t="shared" ca="1" si="93"/>
        <v>0</v>
      </c>
      <c r="J119" s="79">
        <f t="shared" ca="1" si="94"/>
        <v>0</v>
      </c>
      <c r="K119" s="77">
        <f ca="1">IFERROR(__xludf.DUMMYFUNCTION("IMPORTRANGE(""https://docs.google.com/spreadsheets/d/1Yj_ptqi66GCucihVvJfMjLAmec39IyEx_6qawtMGysU/edit?usp=sharing"",""สบก!BB123"")"),0)</f>
        <v>0</v>
      </c>
      <c r="L119" s="79">
        <f t="shared" ca="1" si="95"/>
        <v>0</v>
      </c>
      <c r="M119" s="79">
        <f t="shared" ca="1" si="96"/>
        <v>0</v>
      </c>
      <c r="N119" s="80">
        <f ca="1">IFERROR(__xludf.DUMMYFUNCTION("IMPORTRANGE(""https://docs.google.com/spreadsheets/d/1Yj_ptqi66GCucihVvJfMjLAmec39IyEx_6qawtMGysU/edit?usp=sharing"",""สบก!CD123"")"),0)</f>
        <v>0</v>
      </c>
      <c r="O119" s="79">
        <f t="shared" ca="1" si="97"/>
        <v>0</v>
      </c>
      <c r="P119" s="149">
        <v>0</v>
      </c>
      <c r="Q119" s="149">
        <v>0</v>
      </c>
      <c r="R119" s="188">
        <v>0</v>
      </c>
      <c r="S119" s="149">
        <v>0</v>
      </c>
      <c r="T119" s="149">
        <v>0</v>
      </c>
      <c r="U119" s="188">
        <v>0</v>
      </c>
      <c r="V119" s="149">
        <v>0</v>
      </c>
      <c r="W119" s="149">
        <v>0</v>
      </c>
      <c r="X119" s="188">
        <v>0</v>
      </c>
      <c r="Y119" s="149">
        <v>0</v>
      </c>
      <c r="Z119" s="149">
        <v>0</v>
      </c>
      <c r="AA119" s="188">
        <v>0</v>
      </c>
      <c r="AB119" s="112">
        <f t="shared" ca="1" si="16"/>
        <v>0</v>
      </c>
      <c r="AC119" s="76">
        <f t="shared" ca="1" si="98"/>
        <v>0</v>
      </c>
      <c r="AD119" s="77">
        <f ca="1">IFERROR(__xludf.DUMMYFUNCTION("IMPORTRANGE(""https://docs.google.com/spreadsheets/d/1C3CXT74ZlgGe6_JY_1olB1XN4rF0dxEuIIF-xsYjHgg/edit?usp=sharing"",""พรบ!BK123"")"),0)</f>
        <v>0</v>
      </c>
      <c r="AE119" s="77">
        <f ca="1">IFERROR(__xludf.DUMMYFUNCTION("IMPORTRANGE(""https://docs.google.com/spreadsheets/d/1C3CXT74ZlgGe6_JY_1olB1XN4rF0dxEuIIF-xsYjHgg/edit?usp=sharing"",""พรบ!BL123"")"),0)</f>
        <v>0</v>
      </c>
      <c r="AF119" s="77">
        <f ca="1">IFERROR(__xludf.DUMMYFUNCTION("IMPORTRANGE(""https://docs.google.com/spreadsheets/d/1Yj_ptqi66GCucihVvJfMjLAmec39IyEx_6qawtMGysU/edit?usp=sharing"",""สบก!CI123"")"),0)</f>
        <v>0</v>
      </c>
      <c r="AG119" s="77">
        <f ca="1">IFERROR(__xludf.DUMMYFUNCTION("IMPORTRANGE(""https://docs.google.com/spreadsheets/d/1Yj_ptqi66GCucihVvJfMjLAmec39IyEx_6qawtMGysU/edit?usp=shCKing"",""สบก!CK123"")"),0)</f>
        <v>0</v>
      </c>
      <c r="AH119" s="77">
        <f t="shared" ca="1" si="99"/>
        <v>0</v>
      </c>
      <c r="AI119" s="79">
        <f t="shared" ca="1" si="100"/>
        <v>0</v>
      </c>
      <c r="AJ119" s="77">
        <f ca="1">IFERROR(__xludf.DUMMYFUNCTION("IMPORTRANGE(""https://docs.google.com/spreadsheets/d/1Yj_ptqi66GCucihVvJfMjLAmec39IyEx_6qawtMGysU/edit?usp=sharing"",""สบก!BB123"")"),0)</f>
        <v>0</v>
      </c>
      <c r="AK119" s="79">
        <f t="shared" ca="1" si="101"/>
        <v>0</v>
      </c>
      <c r="AL119" s="79">
        <f t="shared" ca="1" si="102"/>
        <v>0</v>
      </c>
      <c r="AM119" s="80">
        <f ca="1">IFERROR(__xludf.DUMMYFUNCTION("IMPORTRANGE(""https://docs.google.com/spreadsheets/d/1Yj_ptqi66GCucihVvJfMjLAmec39IyEx_6qawtMGysU/edit?usp=sharing"",""สบก!CM123"")"),0)</f>
        <v>0</v>
      </c>
      <c r="AN119" s="79">
        <f t="shared" ca="1" si="103"/>
        <v>0</v>
      </c>
      <c r="AO119" s="149">
        <v>0</v>
      </c>
      <c r="AP119" s="77">
        <v>0</v>
      </c>
      <c r="AQ119" s="188">
        <v>0</v>
      </c>
    </row>
    <row r="120" spans="1:43" ht="24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</row>
    <row r="121" spans="1:43" ht="24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</row>
    <row r="122" spans="1:43" ht="24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</row>
    <row r="123" spans="1:43" ht="24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</row>
    <row r="124" spans="1:43" ht="24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</row>
    <row r="125" spans="1:43" ht="24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</row>
    <row r="126" spans="1:43" ht="24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</row>
    <row r="127" spans="1:43" ht="24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</row>
    <row r="128" spans="1:43" ht="24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</row>
    <row r="129" spans="1:43" ht="24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</row>
    <row r="130" spans="1:43" ht="24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</row>
    <row r="131" spans="1:43" ht="24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</row>
    <row r="132" spans="1:43" ht="24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</row>
    <row r="133" spans="1:43" ht="24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</row>
    <row r="134" spans="1:43" ht="24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</row>
    <row r="135" spans="1:43" ht="24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</row>
    <row r="136" spans="1:43" ht="24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</row>
    <row r="137" spans="1:43" ht="24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</row>
    <row r="138" spans="1:43" ht="24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</row>
    <row r="139" spans="1:43" ht="24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</row>
    <row r="140" spans="1:43" ht="24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</row>
    <row r="141" spans="1:43" ht="24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</row>
    <row r="142" spans="1:43" ht="24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</row>
    <row r="143" spans="1:43" ht="24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</row>
    <row r="144" spans="1:43" ht="24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</row>
    <row r="145" spans="1:43" ht="24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</row>
    <row r="146" spans="1:43" ht="24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</row>
    <row r="147" spans="1:43" ht="24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</row>
    <row r="148" spans="1:43" ht="24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</row>
    <row r="149" spans="1:43" ht="24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</row>
    <row r="150" spans="1:43" ht="24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</row>
    <row r="151" spans="1:43" ht="24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</row>
    <row r="152" spans="1:43" ht="24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</row>
    <row r="153" spans="1:43" ht="24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</row>
    <row r="154" spans="1:43" ht="24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</row>
    <row r="155" spans="1:43" ht="24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</row>
    <row r="156" spans="1:43" ht="24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</row>
    <row r="157" spans="1:43" ht="24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</row>
    <row r="158" spans="1:43" ht="24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</row>
    <row r="159" spans="1:43" ht="24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</row>
    <row r="160" spans="1:43" ht="24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</row>
    <row r="161" spans="1:43" ht="24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</row>
    <row r="162" spans="1:43" ht="24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</row>
    <row r="163" spans="1:43" ht="24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</row>
    <row r="164" spans="1:43" ht="24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</row>
    <row r="165" spans="1:43" ht="24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</row>
    <row r="166" spans="1:43" ht="24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</row>
    <row r="167" spans="1:43" ht="24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</row>
    <row r="168" spans="1:43" ht="24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</row>
    <row r="169" spans="1:43" ht="24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</row>
    <row r="170" spans="1:43" ht="24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</row>
    <row r="171" spans="1:43" ht="24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</row>
    <row r="172" spans="1:43" ht="24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</row>
    <row r="173" spans="1:43" ht="24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</row>
    <row r="174" spans="1:43" ht="24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</row>
    <row r="175" spans="1:43" ht="24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</row>
    <row r="176" spans="1:43" ht="24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</row>
    <row r="177" spans="1:43" ht="24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</row>
    <row r="178" spans="1:43" ht="24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</row>
    <row r="179" spans="1:43" ht="24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</row>
    <row r="180" spans="1:43" ht="24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</row>
    <row r="181" spans="1:43" ht="24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</row>
    <row r="182" spans="1:43" ht="24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</row>
    <row r="183" spans="1:43" ht="24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</row>
    <row r="184" spans="1:43" ht="24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</row>
    <row r="185" spans="1:43" ht="24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</row>
    <row r="186" spans="1:43" ht="24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</row>
    <row r="187" spans="1:43" ht="24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</row>
    <row r="188" spans="1:43" ht="24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</row>
    <row r="189" spans="1:43" ht="24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</row>
    <row r="190" spans="1:43" ht="24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</row>
    <row r="191" spans="1:43" ht="24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</row>
    <row r="192" spans="1:43" ht="24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</row>
    <row r="193" spans="1:43" ht="24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</row>
    <row r="194" spans="1:43" ht="24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</row>
    <row r="195" spans="1:43" ht="24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</row>
    <row r="196" spans="1:43" ht="24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</row>
    <row r="197" spans="1:43" ht="24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</row>
    <row r="198" spans="1:43" ht="24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</row>
    <row r="199" spans="1:43" ht="24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</row>
    <row r="200" spans="1:43" ht="24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</row>
    <row r="201" spans="1:43" ht="24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</row>
    <row r="202" spans="1:43" ht="24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</row>
    <row r="203" spans="1:43" ht="24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</row>
    <row r="204" spans="1:43" ht="24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</row>
    <row r="205" spans="1:43" ht="24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</row>
    <row r="206" spans="1:43" ht="24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</row>
    <row r="207" spans="1:43" ht="24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</row>
    <row r="208" spans="1:43" ht="24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</row>
    <row r="209" spans="1:43" ht="24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</row>
    <row r="210" spans="1:43" ht="24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</row>
    <row r="211" spans="1:43" ht="24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</row>
    <row r="212" spans="1:43" ht="24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</row>
    <row r="213" spans="1:43" ht="24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</row>
    <row r="214" spans="1:43" ht="24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</row>
    <row r="215" spans="1:43" ht="24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</row>
    <row r="216" spans="1:43" ht="24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</row>
    <row r="217" spans="1:43" ht="24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</row>
    <row r="218" spans="1:43" ht="24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</row>
    <row r="219" spans="1:43" ht="24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</row>
    <row r="220" spans="1:43" ht="24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</row>
    <row r="221" spans="1:43" ht="24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</row>
    <row r="222" spans="1:43" ht="24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</row>
    <row r="223" spans="1:43" ht="24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</row>
    <row r="224" spans="1:43" ht="24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</row>
    <row r="225" spans="1:43" ht="24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</row>
    <row r="226" spans="1:43" ht="24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</row>
    <row r="227" spans="1:43" ht="24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</row>
    <row r="228" spans="1:43" ht="24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</row>
    <row r="229" spans="1:43" ht="24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</row>
    <row r="230" spans="1:43" ht="24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</row>
    <row r="231" spans="1:43" ht="24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</row>
    <row r="232" spans="1:43" ht="24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</row>
    <row r="233" spans="1:43" ht="24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</row>
    <row r="234" spans="1:43" ht="24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</row>
    <row r="235" spans="1:43" ht="24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</row>
    <row r="236" spans="1:43" ht="24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</row>
    <row r="237" spans="1:43" ht="24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</row>
    <row r="238" spans="1:43" ht="24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</row>
    <row r="239" spans="1:43" ht="24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</row>
    <row r="240" spans="1:43" ht="24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</row>
    <row r="241" spans="1:43" ht="24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</row>
    <row r="242" spans="1:43" ht="24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</row>
    <row r="243" spans="1:43" ht="24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</row>
    <row r="244" spans="1:43" ht="24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</row>
    <row r="245" spans="1:43" ht="24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</row>
    <row r="246" spans="1:43" ht="24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</row>
    <row r="247" spans="1:43" ht="24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</row>
    <row r="248" spans="1:43" ht="24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</row>
    <row r="249" spans="1:43" ht="24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</row>
    <row r="250" spans="1:43" ht="24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</row>
    <row r="251" spans="1:43" ht="24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</row>
    <row r="252" spans="1:43" ht="24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</row>
    <row r="253" spans="1:43" ht="24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</row>
    <row r="254" spans="1:43" ht="24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</row>
    <row r="255" spans="1:43" ht="24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</row>
    <row r="256" spans="1:43" ht="24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</row>
    <row r="257" spans="1:43" ht="24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</row>
    <row r="258" spans="1:43" ht="24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</row>
    <row r="259" spans="1:43" ht="24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</row>
    <row r="260" spans="1:43" ht="24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</row>
    <row r="261" spans="1:43" ht="24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</row>
    <row r="262" spans="1:43" ht="24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</row>
    <row r="263" spans="1:43" ht="24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</row>
    <row r="264" spans="1:43" ht="24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</row>
    <row r="265" spans="1:43" ht="24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</row>
    <row r="266" spans="1:43" ht="24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</row>
    <row r="267" spans="1:43" ht="24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</row>
    <row r="268" spans="1:43" ht="24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</row>
    <row r="269" spans="1:43" ht="24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</row>
    <row r="270" spans="1:43" ht="24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</row>
    <row r="271" spans="1:43" ht="24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</row>
    <row r="272" spans="1:43" ht="24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</row>
    <row r="273" spans="1:43" ht="24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</row>
    <row r="274" spans="1:43" ht="24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</row>
    <row r="275" spans="1:43" ht="24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</row>
    <row r="276" spans="1:43" ht="24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</row>
    <row r="277" spans="1:43" ht="24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</row>
    <row r="278" spans="1:43" ht="24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</row>
    <row r="279" spans="1:43" ht="24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</row>
    <row r="280" spans="1:43" ht="24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</row>
    <row r="281" spans="1:43" ht="24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</row>
    <row r="282" spans="1:43" ht="24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</row>
    <row r="283" spans="1:43" ht="24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</row>
    <row r="284" spans="1:43" ht="24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</row>
    <row r="285" spans="1:43" ht="24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</row>
    <row r="286" spans="1:43" ht="24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</row>
    <row r="287" spans="1:43" ht="24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</row>
    <row r="288" spans="1:43" ht="24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</row>
    <row r="289" spans="1:43" ht="24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</row>
    <row r="290" spans="1:43" ht="24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</row>
    <row r="291" spans="1:43" ht="24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</row>
    <row r="292" spans="1:43" ht="24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</row>
    <row r="293" spans="1:43" ht="24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</row>
    <row r="294" spans="1:43" ht="24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</row>
    <row r="295" spans="1:43" ht="24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</row>
    <row r="296" spans="1:43" ht="24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</row>
    <row r="297" spans="1:43" ht="24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</row>
    <row r="298" spans="1:43" ht="24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</row>
    <row r="299" spans="1:43" ht="24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</row>
    <row r="300" spans="1:43" ht="24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</row>
    <row r="301" spans="1:43" ht="24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</row>
    <row r="302" spans="1:43" ht="24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</row>
    <row r="303" spans="1:43" ht="24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</row>
    <row r="304" spans="1:43" ht="24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</row>
    <row r="305" spans="1:43" ht="24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</row>
    <row r="306" spans="1:43" ht="24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</row>
    <row r="307" spans="1:43" ht="24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</row>
    <row r="308" spans="1:43" ht="24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</row>
    <row r="309" spans="1:43" ht="24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</row>
    <row r="310" spans="1:43" ht="24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</row>
    <row r="311" spans="1:43" ht="24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</row>
    <row r="312" spans="1:43" ht="24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</row>
    <row r="313" spans="1:43" ht="24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</row>
    <row r="314" spans="1:43" ht="24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</row>
    <row r="315" spans="1:43" ht="15.75" customHeight="1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</row>
    <row r="316" spans="1:43" ht="15.75" customHeight="1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</row>
    <row r="317" spans="1:43" ht="15.75" customHeight="1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</row>
    <row r="318" spans="1:43" ht="15.75" customHeight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</row>
    <row r="319" spans="1:43" ht="15.75" customHeight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</row>
    <row r="320" spans="1:43" ht="15.75" customHeight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</row>
    <row r="321" spans="1:43" ht="15.75" customHeight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</row>
    <row r="322" spans="1:43" ht="15.75" customHeight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</row>
    <row r="323" spans="1:43" ht="15.75" customHeight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</row>
    <row r="324" spans="1:43" ht="15.75" customHeight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</row>
    <row r="325" spans="1:43" ht="15.75" customHeight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</row>
    <row r="326" spans="1:43" ht="15.75" customHeight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</row>
    <row r="327" spans="1:43" ht="15.75" customHeight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</row>
    <row r="328" spans="1:43" ht="15.75" customHeight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</row>
    <row r="329" spans="1:43" ht="15.75" customHeight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</row>
    <row r="330" spans="1:43" ht="15.75" customHeight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</row>
    <row r="331" spans="1:43" ht="15.75" customHeight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</row>
    <row r="332" spans="1:43" ht="15.75" customHeight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</row>
    <row r="333" spans="1:43" ht="15.75" customHeight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</row>
    <row r="334" spans="1:43" ht="15.75" customHeight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</row>
    <row r="335" spans="1:43" ht="15.75" customHeight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</row>
    <row r="336" spans="1:43" ht="15.75" customHeight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</row>
    <row r="337" spans="1:43" ht="15.75" customHeight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</row>
    <row r="338" spans="1:43" ht="15.75" customHeight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</row>
    <row r="339" spans="1:43" ht="15.75" customHeight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</row>
    <row r="340" spans="1:43" ht="15.75" customHeight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</row>
    <row r="341" spans="1:43" ht="15.75" customHeight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</row>
    <row r="342" spans="1:43" ht="15.75" customHeight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</row>
    <row r="343" spans="1:43" ht="15.75" customHeight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</row>
    <row r="344" spans="1:43" ht="15.75" customHeight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</row>
    <row r="345" spans="1:43" ht="15.75" customHeight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</row>
    <row r="346" spans="1:43" ht="15.75" customHeight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</row>
    <row r="347" spans="1:43" ht="15.75" customHeight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</row>
    <row r="348" spans="1:43" ht="15.75" customHeight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</row>
    <row r="349" spans="1:43" ht="15.75" customHeight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</row>
    <row r="350" spans="1:43" ht="15.75" customHeight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</row>
    <row r="351" spans="1:43" ht="15.75" customHeight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114"/>
      <c r="AJ351" s="114"/>
      <c r="AK351" s="114"/>
      <c r="AL351" s="114"/>
      <c r="AM351" s="114"/>
      <c r="AN351" s="114"/>
      <c r="AO351" s="114"/>
      <c r="AP351" s="114"/>
      <c r="AQ351" s="114"/>
    </row>
    <row r="352" spans="1:43" ht="15.75" customHeight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  <c r="AD352" s="114"/>
      <c r="AE352" s="114"/>
      <c r="AF352" s="114"/>
      <c r="AG352" s="114"/>
      <c r="AH352" s="114"/>
      <c r="AI352" s="114"/>
      <c r="AJ352" s="114"/>
      <c r="AK352" s="114"/>
      <c r="AL352" s="114"/>
      <c r="AM352" s="114"/>
      <c r="AN352" s="114"/>
      <c r="AO352" s="114"/>
      <c r="AP352" s="114"/>
      <c r="AQ352" s="114"/>
    </row>
    <row r="353" spans="1:43" ht="15.75" customHeight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</row>
    <row r="354" spans="1:43" ht="15.75" customHeight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</row>
    <row r="355" spans="1:43" ht="15.75" customHeight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</row>
    <row r="356" spans="1:43" ht="15.75" customHeight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114"/>
      <c r="AJ356" s="114"/>
      <c r="AK356" s="114"/>
      <c r="AL356" s="114"/>
      <c r="AM356" s="114"/>
      <c r="AN356" s="114"/>
      <c r="AO356" s="114"/>
      <c r="AP356" s="114"/>
      <c r="AQ356" s="114"/>
    </row>
    <row r="357" spans="1:43" ht="15.75" customHeight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</row>
    <row r="358" spans="1:43" ht="15.75" customHeight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</row>
    <row r="359" spans="1:43" ht="15.75" customHeight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  <c r="AN359" s="114"/>
      <c r="AO359" s="114"/>
      <c r="AP359" s="114"/>
      <c r="AQ359" s="114"/>
    </row>
    <row r="360" spans="1:43" ht="15.75" customHeight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4"/>
      <c r="AK360" s="114"/>
      <c r="AL360" s="114"/>
      <c r="AM360" s="114"/>
      <c r="AN360" s="114"/>
      <c r="AO360" s="114"/>
      <c r="AP360" s="114"/>
      <c r="AQ360" s="114"/>
    </row>
    <row r="361" spans="1:43" ht="15.75" customHeight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</row>
    <row r="362" spans="1:43" ht="15.75" customHeight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</row>
    <row r="363" spans="1:43" ht="15.75" customHeight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4"/>
      <c r="AK363" s="114"/>
      <c r="AL363" s="114"/>
      <c r="AM363" s="114"/>
      <c r="AN363" s="114"/>
      <c r="AO363" s="114"/>
      <c r="AP363" s="114"/>
      <c r="AQ363" s="114"/>
    </row>
    <row r="364" spans="1:43" ht="15.75" customHeight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114"/>
      <c r="AJ364" s="114"/>
      <c r="AK364" s="114"/>
      <c r="AL364" s="114"/>
      <c r="AM364" s="114"/>
      <c r="AN364" s="114"/>
      <c r="AO364" s="114"/>
      <c r="AP364" s="114"/>
      <c r="AQ364" s="114"/>
    </row>
    <row r="365" spans="1:43" ht="15.75" customHeight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</row>
    <row r="366" spans="1:43" ht="15.75" customHeight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</row>
    <row r="367" spans="1:43" ht="15.75" customHeight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</row>
    <row r="368" spans="1:43" ht="15.75" customHeight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  <c r="AM368" s="114"/>
      <c r="AN368" s="114"/>
      <c r="AO368" s="114"/>
      <c r="AP368" s="114"/>
      <c r="AQ368" s="114"/>
    </row>
    <row r="369" spans="1:43" ht="15.75" customHeight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</row>
    <row r="370" spans="1:43" ht="15.75" customHeight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</row>
    <row r="371" spans="1:43" ht="15.75" customHeight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  <c r="AC371" s="114"/>
      <c r="AD371" s="114"/>
      <c r="AE371" s="114"/>
      <c r="AF371" s="114"/>
      <c r="AG371" s="114"/>
      <c r="AH371" s="114"/>
      <c r="AI371" s="114"/>
      <c r="AJ371" s="114"/>
      <c r="AK371" s="114"/>
      <c r="AL371" s="114"/>
      <c r="AM371" s="114"/>
      <c r="AN371" s="114"/>
      <c r="AO371" s="114"/>
      <c r="AP371" s="114"/>
      <c r="AQ371" s="114"/>
    </row>
    <row r="372" spans="1:43" ht="15.75" customHeight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4"/>
    </row>
    <row r="373" spans="1:43" ht="15.75" customHeight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</row>
    <row r="374" spans="1:43" ht="15.75" customHeight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4"/>
      <c r="AK374" s="114"/>
      <c r="AL374" s="114"/>
      <c r="AM374" s="114"/>
      <c r="AN374" s="114"/>
      <c r="AO374" s="114"/>
      <c r="AP374" s="114"/>
      <c r="AQ374" s="114"/>
    </row>
    <row r="375" spans="1:43" ht="15.75" customHeight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4"/>
      <c r="AK375" s="114"/>
      <c r="AL375" s="114"/>
      <c r="AM375" s="114"/>
      <c r="AN375" s="114"/>
      <c r="AO375" s="114"/>
      <c r="AP375" s="114"/>
      <c r="AQ375" s="114"/>
    </row>
    <row r="376" spans="1:43" ht="15.75" customHeight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/>
      <c r="AI376" s="114"/>
      <c r="AJ376" s="114"/>
      <c r="AK376" s="114"/>
      <c r="AL376" s="114"/>
      <c r="AM376" s="114"/>
      <c r="AN376" s="114"/>
      <c r="AO376" s="114"/>
      <c r="AP376" s="114"/>
      <c r="AQ376" s="114"/>
    </row>
    <row r="377" spans="1:43" ht="15.75" customHeight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4"/>
      <c r="AK377" s="114"/>
      <c r="AL377" s="114"/>
      <c r="AM377" s="114"/>
      <c r="AN377" s="114"/>
      <c r="AO377" s="114"/>
      <c r="AP377" s="114"/>
      <c r="AQ377" s="114"/>
    </row>
    <row r="378" spans="1:43" ht="15.75" customHeight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4"/>
    </row>
    <row r="379" spans="1:43" ht="15.75" customHeight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4"/>
    </row>
    <row r="380" spans="1:43" ht="15.75" customHeight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</row>
    <row r="381" spans="1:43" ht="15.75" customHeight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4"/>
      <c r="AK381" s="114"/>
      <c r="AL381" s="114"/>
      <c r="AM381" s="114"/>
      <c r="AN381" s="114"/>
      <c r="AO381" s="114"/>
      <c r="AP381" s="114"/>
      <c r="AQ381" s="114"/>
    </row>
    <row r="382" spans="1:43" ht="15.75" customHeight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4"/>
      <c r="AK382" s="114"/>
      <c r="AL382" s="114"/>
      <c r="AM382" s="114"/>
      <c r="AN382" s="114"/>
      <c r="AO382" s="114"/>
      <c r="AP382" s="114"/>
      <c r="AQ382" s="114"/>
    </row>
    <row r="383" spans="1:43" ht="15.75" customHeight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4"/>
    </row>
    <row r="384" spans="1:43" ht="15.75" customHeight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114"/>
      <c r="AJ384" s="114"/>
      <c r="AK384" s="114"/>
      <c r="AL384" s="114"/>
      <c r="AM384" s="114"/>
      <c r="AN384" s="114"/>
      <c r="AO384" s="114"/>
      <c r="AP384" s="114"/>
      <c r="AQ384" s="114"/>
    </row>
    <row r="385" spans="1:43" ht="15.75" customHeight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4"/>
      <c r="AK385" s="114"/>
      <c r="AL385" s="114"/>
      <c r="AM385" s="114"/>
      <c r="AN385" s="114"/>
      <c r="AO385" s="114"/>
      <c r="AP385" s="114"/>
      <c r="AQ385" s="114"/>
    </row>
    <row r="386" spans="1:43" ht="15.75" customHeight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4"/>
      <c r="AK386" s="114"/>
      <c r="AL386" s="114"/>
      <c r="AM386" s="114"/>
      <c r="AN386" s="114"/>
      <c r="AO386" s="114"/>
      <c r="AP386" s="114"/>
      <c r="AQ386" s="114"/>
    </row>
    <row r="387" spans="1:43" ht="15.75" customHeight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</row>
    <row r="388" spans="1:43" ht="15.75" customHeight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</row>
    <row r="389" spans="1:43" ht="15.75" customHeight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4"/>
      <c r="AK389" s="114"/>
      <c r="AL389" s="114"/>
      <c r="AM389" s="114"/>
      <c r="AN389" s="114"/>
      <c r="AO389" s="114"/>
      <c r="AP389" s="114"/>
      <c r="AQ389" s="114"/>
    </row>
    <row r="390" spans="1:43" ht="15.75" customHeight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4"/>
      <c r="AK390" s="114"/>
      <c r="AL390" s="114"/>
      <c r="AM390" s="114"/>
      <c r="AN390" s="114"/>
      <c r="AO390" s="114"/>
      <c r="AP390" s="114"/>
      <c r="AQ390" s="114"/>
    </row>
    <row r="391" spans="1:43" ht="15.75" customHeight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</row>
    <row r="392" spans="1:43" ht="15.75" customHeight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</row>
    <row r="393" spans="1:43" ht="15.75" customHeight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4"/>
    </row>
    <row r="394" spans="1:43" ht="15.75" customHeight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/>
      <c r="AJ394" s="114"/>
      <c r="AK394" s="114"/>
      <c r="AL394" s="114"/>
      <c r="AM394" s="114"/>
      <c r="AN394" s="114"/>
      <c r="AO394" s="114"/>
      <c r="AP394" s="114"/>
      <c r="AQ394" s="114"/>
    </row>
    <row r="395" spans="1:43" ht="15.75" customHeight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</row>
    <row r="396" spans="1:43" ht="15.75" customHeight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</row>
    <row r="397" spans="1:43" ht="15.75" customHeight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4"/>
      <c r="AK397" s="114"/>
      <c r="AL397" s="114"/>
      <c r="AM397" s="114"/>
      <c r="AN397" s="114"/>
      <c r="AO397" s="114"/>
      <c r="AP397" s="114"/>
      <c r="AQ397" s="114"/>
    </row>
    <row r="398" spans="1:43" ht="15.75" customHeight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4"/>
      <c r="AK398" s="114"/>
      <c r="AL398" s="114"/>
      <c r="AM398" s="114"/>
      <c r="AN398" s="114"/>
      <c r="AO398" s="114"/>
      <c r="AP398" s="114"/>
      <c r="AQ398" s="114"/>
    </row>
    <row r="399" spans="1:43" ht="15.75" customHeight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</row>
    <row r="400" spans="1:43" ht="15.75" customHeight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</row>
    <row r="401" spans="1:43" ht="15.75" customHeight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114"/>
      <c r="AJ401" s="114"/>
      <c r="AK401" s="114"/>
      <c r="AL401" s="114"/>
      <c r="AM401" s="114"/>
      <c r="AN401" s="114"/>
      <c r="AO401" s="114"/>
      <c r="AP401" s="114"/>
      <c r="AQ401" s="114"/>
    </row>
    <row r="402" spans="1:43" ht="15.75" customHeight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114"/>
      <c r="AJ402" s="114"/>
      <c r="AK402" s="114"/>
      <c r="AL402" s="114"/>
      <c r="AM402" s="114"/>
      <c r="AN402" s="114"/>
      <c r="AO402" s="114"/>
      <c r="AP402" s="114"/>
      <c r="AQ402" s="114"/>
    </row>
    <row r="403" spans="1:43" ht="15.75" customHeight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</row>
    <row r="404" spans="1:43" ht="15.75" customHeight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</row>
    <row r="405" spans="1:43" ht="15.75" customHeight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  <c r="AN405" s="114"/>
      <c r="AO405" s="114"/>
      <c r="AP405" s="114"/>
      <c r="AQ405" s="114"/>
    </row>
    <row r="406" spans="1:43" ht="15.75" customHeight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4"/>
      <c r="AK406" s="114"/>
      <c r="AL406" s="114"/>
      <c r="AM406" s="114"/>
      <c r="AN406" s="114"/>
      <c r="AO406" s="114"/>
      <c r="AP406" s="114"/>
      <c r="AQ406" s="114"/>
    </row>
    <row r="407" spans="1:43" ht="15.75" customHeight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</row>
    <row r="408" spans="1:43" ht="15.75" customHeight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</row>
    <row r="409" spans="1:43" ht="15.75" customHeight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4"/>
      <c r="AK409" s="114"/>
      <c r="AL409" s="114"/>
      <c r="AM409" s="114"/>
      <c r="AN409" s="114"/>
      <c r="AO409" s="114"/>
      <c r="AP409" s="114"/>
      <c r="AQ409" s="114"/>
    </row>
    <row r="410" spans="1:43" ht="15.75" customHeight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4"/>
      <c r="AK410" s="114"/>
      <c r="AL410" s="114"/>
      <c r="AM410" s="114"/>
      <c r="AN410" s="114"/>
      <c r="AO410" s="114"/>
      <c r="AP410" s="114"/>
      <c r="AQ410" s="114"/>
    </row>
    <row r="411" spans="1:43" ht="15.75" customHeight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</row>
    <row r="412" spans="1:43" ht="15.75" customHeight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</row>
    <row r="413" spans="1:43" ht="15.75" customHeight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4"/>
    </row>
    <row r="414" spans="1:43" ht="15.75" customHeight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  <c r="AM414" s="114"/>
      <c r="AN414" s="114"/>
      <c r="AO414" s="114"/>
      <c r="AP414" s="114"/>
      <c r="AQ414" s="114"/>
    </row>
    <row r="415" spans="1:43" ht="15.75" customHeight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</row>
    <row r="416" spans="1:43" ht="15.75" customHeight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</row>
    <row r="417" spans="1:43" ht="15.75" customHeight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4"/>
      <c r="AK417" s="114"/>
      <c r="AL417" s="114"/>
      <c r="AM417" s="114"/>
      <c r="AN417" s="114"/>
      <c r="AO417" s="114"/>
      <c r="AP417" s="114"/>
      <c r="AQ417" s="114"/>
    </row>
    <row r="418" spans="1:43" ht="15.75" customHeight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4"/>
    </row>
    <row r="419" spans="1:43" ht="15.75" customHeight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</row>
    <row r="420" spans="1:43" ht="15.75" customHeight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</row>
    <row r="421" spans="1:43" ht="15.75" customHeight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4"/>
      <c r="AK421" s="114"/>
      <c r="AL421" s="114"/>
      <c r="AM421" s="114"/>
      <c r="AN421" s="114"/>
      <c r="AO421" s="114"/>
      <c r="AP421" s="114"/>
      <c r="AQ421" s="114"/>
    </row>
    <row r="422" spans="1:43" ht="15.75" customHeight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4"/>
    </row>
    <row r="423" spans="1:43" ht="15.75" customHeight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</row>
    <row r="424" spans="1:43" ht="15.75" customHeight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</row>
    <row r="425" spans="1:43" ht="15.75" customHeight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4"/>
    </row>
    <row r="426" spans="1:43" ht="15.75" customHeight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  <c r="AM426" s="114"/>
      <c r="AN426" s="114"/>
      <c r="AO426" s="114"/>
      <c r="AP426" s="114"/>
      <c r="AQ426" s="114"/>
    </row>
    <row r="427" spans="1:43" ht="15.75" customHeight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</row>
    <row r="428" spans="1:43" ht="15.75" customHeight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</row>
    <row r="429" spans="1:43" ht="15.75" customHeight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  <c r="AN429" s="114"/>
      <c r="AO429" s="114"/>
      <c r="AP429" s="114"/>
      <c r="AQ429" s="114"/>
    </row>
    <row r="430" spans="1:43" ht="15.75" customHeight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4"/>
      <c r="AK430" s="114"/>
      <c r="AL430" s="114"/>
      <c r="AM430" s="114"/>
      <c r="AN430" s="114"/>
      <c r="AO430" s="114"/>
      <c r="AP430" s="114"/>
      <c r="AQ430" s="114"/>
    </row>
    <row r="431" spans="1:43" ht="15.75" customHeight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</row>
    <row r="432" spans="1:43" ht="15.75" customHeight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</row>
    <row r="433" spans="1:43" ht="15.75" customHeight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4"/>
      <c r="AN433" s="114"/>
      <c r="AO433" s="114"/>
      <c r="AP433" s="114"/>
      <c r="AQ433" s="114"/>
    </row>
    <row r="434" spans="1:43" ht="15.75" customHeight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114"/>
      <c r="AJ434" s="114"/>
      <c r="AK434" s="114"/>
      <c r="AL434" s="114"/>
      <c r="AM434" s="114"/>
      <c r="AN434" s="114"/>
      <c r="AO434" s="114"/>
      <c r="AP434" s="114"/>
      <c r="AQ434" s="114"/>
    </row>
    <row r="435" spans="1:43" ht="15.75" customHeight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</row>
    <row r="436" spans="1:43" ht="15.75" customHeight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</row>
    <row r="437" spans="1:43" ht="15.75" customHeight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  <c r="AA437" s="114"/>
      <c r="AB437" s="114"/>
      <c r="AC437" s="114"/>
      <c r="AD437" s="114"/>
      <c r="AE437" s="114"/>
      <c r="AF437" s="114"/>
      <c r="AG437" s="114"/>
      <c r="AH437" s="114"/>
      <c r="AI437" s="114"/>
      <c r="AJ437" s="114"/>
      <c r="AK437" s="114"/>
      <c r="AL437" s="114"/>
      <c r="AM437" s="114"/>
      <c r="AN437" s="114"/>
      <c r="AO437" s="114"/>
      <c r="AP437" s="114"/>
      <c r="AQ437" s="114"/>
    </row>
    <row r="438" spans="1:43" ht="15.75" customHeight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/>
      <c r="AQ438" s="114"/>
    </row>
    <row r="439" spans="1:43" ht="15.75" customHeight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</row>
    <row r="440" spans="1:43" ht="15.75" customHeight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</row>
    <row r="441" spans="1:43" ht="15.75" customHeight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  <c r="AD441" s="114"/>
      <c r="AE441" s="114"/>
      <c r="AF441" s="114"/>
      <c r="AG441" s="114"/>
      <c r="AH441" s="114"/>
      <c r="AI441" s="114"/>
      <c r="AJ441" s="114"/>
      <c r="AK441" s="114"/>
      <c r="AL441" s="114"/>
      <c r="AM441" s="114"/>
      <c r="AN441" s="114"/>
      <c r="AO441" s="114"/>
      <c r="AP441" s="114"/>
      <c r="AQ441" s="114"/>
    </row>
    <row r="442" spans="1:43" ht="15.75" customHeight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  <c r="AC442" s="114"/>
      <c r="AD442" s="114"/>
      <c r="AE442" s="114"/>
      <c r="AF442" s="114"/>
      <c r="AG442" s="114"/>
      <c r="AH442" s="114"/>
      <c r="AI442" s="114"/>
      <c r="AJ442" s="114"/>
      <c r="AK442" s="114"/>
      <c r="AL442" s="114"/>
      <c r="AM442" s="114"/>
      <c r="AN442" s="114"/>
      <c r="AO442" s="114"/>
      <c r="AP442" s="114"/>
      <c r="AQ442" s="114"/>
    </row>
    <row r="443" spans="1:43" ht="15.75" customHeight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</row>
    <row r="444" spans="1:43" ht="15.75" customHeight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</row>
    <row r="445" spans="1:43" ht="15.75" customHeight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  <c r="AA445" s="114"/>
      <c r="AB445" s="114"/>
      <c r="AC445" s="114"/>
      <c r="AD445" s="114"/>
      <c r="AE445" s="114"/>
      <c r="AF445" s="114"/>
      <c r="AG445" s="114"/>
      <c r="AH445" s="114"/>
      <c r="AI445" s="114"/>
      <c r="AJ445" s="114"/>
      <c r="AK445" s="114"/>
      <c r="AL445" s="114"/>
      <c r="AM445" s="114"/>
      <c r="AN445" s="114"/>
      <c r="AO445" s="114"/>
      <c r="AP445" s="114"/>
      <c r="AQ445" s="114"/>
    </row>
    <row r="446" spans="1:43" ht="15.75" customHeight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  <c r="AA446" s="114"/>
      <c r="AB446" s="114"/>
      <c r="AC446" s="114"/>
      <c r="AD446" s="114"/>
      <c r="AE446" s="114"/>
      <c r="AF446" s="114"/>
      <c r="AG446" s="114"/>
      <c r="AH446" s="114"/>
      <c r="AI446" s="114"/>
      <c r="AJ446" s="114"/>
      <c r="AK446" s="114"/>
      <c r="AL446" s="114"/>
      <c r="AM446" s="114"/>
      <c r="AN446" s="114"/>
      <c r="AO446" s="114"/>
      <c r="AP446" s="114"/>
      <c r="AQ446" s="114"/>
    </row>
    <row r="447" spans="1:43" ht="15.75" customHeight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</row>
    <row r="448" spans="1:43" ht="15.75" customHeight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</row>
    <row r="449" spans="1:43" ht="15.75" customHeight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  <c r="AA449" s="114"/>
      <c r="AB449" s="114"/>
      <c r="AC449" s="114"/>
      <c r="AD449" s="114"/>
      <c r="AE449" s="114"/>
      <c r="AF449" s="114"/>
      <c r="AG449" s="114"/>
      <c r="AH449" s="114"/>
      <c r="AI449" s="114"/>
      <c r="AJ449" s="114"/>
      <c r="AK449" s="114"/>
      <c r="AL449" s="114"/>
      <c r="AM449" s="114"/>
      <c r="AN449" s="114"/>
      <c r="AO449" s="114"/>
      <c r="AP449" s="114"/>
      <c r="AQ449" s="114"/>
    </row>
    <row r="450" spans="1:43" ht="15.75" customHeight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  <c r="AA450" s="114"/>
      <c r="AB450" s="114"/>
      <c r="AC450" s="114"/>
      <c r="AD450" s="114"/>
      <c r="AE450" s="114"/>
      <c r="AF450" s="114"/>
      <c r="AG450" s="114"/>
      <c r="AH450" s="114"/>
      <c r="AI450" s="114"/>
      <c r="AJ450" s="114"/>
      <c r="AK450" s="114"/>
      <c r="AL450" s="114"/>
      <c r="AM450" s="114"/>
      <c r="AN450" s="114"/>
      <c r="AO450" s="114"/>
      <c r="AP450" s="114"/>
      <c r="AQ450" s="114"/>
    </row>
    <row r="451" spans="1:43" ht="15.75" customHeight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</row>
    <row r="452" spans="1:43" ht="15.75" customHeight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</row>
    <row r="453" spans="1:43" ht="15.75" customHeight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  <c r="AA453" s="114"/>
      <c r="AB453" s="114"/>
      <c r="AC453" s="114"/>
      <c r="AD453" s="114"/>
      <c r="AE453" s="114"/>
      <c r="AF453" s="114"/>
      <c r="AG453" s="114"/>
      <c r="AH453" s="114"/>
      <c r="AI453" s="114"/>
      <c r="AJ453" s="114"/>
      <c r="AK453" s="114"/>
      <c r="AL453" s="114"/>
      <c r="AM453" s="114"/>
      <c r="AN453" s="114"/>
      <c r="AO453" s="114"/>
      <c r="AP453" s="114"/>
      <c r="AQ453" s="114"/>
    </row>
    <row r="454" spans="1:43" ht="15.75" customHeight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  <c r="AA454" s="114"/>
      <c r="AB454" s="114"/>
      <c r="AC454" s="114"/>
      <c r="AD454" s="114"/>
      <c r="AE454" s="114"/>
      <c r="AF454" s="114"/>
      <c r="AG454" s="114"/>
      <c r="AH454" s="114"/>
      <c r="AI454" s="114"/>
      <c r="AJ454" s="114"/>
      <c r="AK454" s="114"/>
      <c r="AL454" s="114"/>
      <c r="AM454" s="114"/>
      <c r="AN454" s="114"/>
      <c r="AO454" s="114"/>
      <c r="AP454" s="114"/>
      <c r="AQ454" s="114"/>
    </row>
    <row r="455" spans="1:43" ht="15.75" customHeight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</row>
    <row r="456" spans="1:43" ht="15.75" customHeight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</row>
    <row r="457" spans="1:43" ht="15.75" customHeight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114"/>
      <c r="AJ457" s="114"/>
      <c r="AK457" s="114"/>
      <c r="AL457" s="114"/>
      <c r="AM457" s="114"/>
      <c r="AN457" s="114"/>
      <c r="AO457" s="114"/>
      <c r="AP457" s="114"/>
      <c r="AQ457" s="114"/>
    </row>
    <row r="458" spans="1:43" ht="15.75" customHeight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/>
      <c r="AQ458" s="114"/>
    </row>
    <row r="459" spans="1:43" ht="15.75" customHeight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</row>
    <row r="460" spans="1:43" ht="15.75" customHeight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</row>
    <row r="461" spans="1:43" ht="15.75" customHeight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  <c r="AA461" s="114"/>
      <c r="AB461" s="114"/>
      <c r="AC461" s="114"/>
      <c r="AD461" s="114"/>
      <c r="AE461" s="114"/>
      <c r="AF461" s="114"/>
      <c r="AG461" s="114"/>
      <c r="AH461" s="114"/>
      <c r="AI461" s="114"/>
      <c r="AJ461" s="114"/>
      <c r="AK461" s="114"/>
      <c r="AL461" s="114"/>
      <c r="AM461" s="114"/>
      <c r="AN461" s="114"/>
      <c r="AO461" s="114"/>
      <c r="AP461" s="114"/>
      <c r="AQ461" s="114"/>
    </row>
    <row r="462" spans="1:43" ht="15.75" customHeight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  <c r="AA462" s="114"/>
      <c r="AB462" s="114"/>
      <c r="AC462" s="114"/>
      <c r="AD462" s="114"/>
      <c r="AE462" s="114"/>
      <c r="AF462" s="114"/>
      <c r="AG462" s="114"/>
      <c r="AH462" s="114"/>
      <c r="AI462" s="114"/>
      <c r="AJ462" s="114"/>
      <c r="AK462" s="114"/>
      <c r="AL462" s="114"/>
      <c r="AM462" s="114"/>
      <c r="AN462" s="114"/>
      <c r="AO462" s="114"/>
      <c r="AP462" s="114"/>
      <c r="AQ462" s="114"/>
    </row>
    <row r="463" spans="1:43" ht="15.75" customHeight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</row>
    <row r="464" spans="1:43" ht="15.75" customHeight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</row>
    <row r="465" spans="1:43" ht="15.75" customHeight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  <c r="AA465" s="114"/>
      <c r="AB465" s="114"/>
      <c r="AC465" s="114"/>
      <c r="AD465" s="114"/>
      <c r="AE465" s="114"/>
      <c r="AF465" s="114"/>
      <c r="AG465" s="114"/>
      <c r="AH465" s="114"/>
      <c r="AI465" s="114"/>
      <c r="AJ465" s="114"/>
      <c r="AK465" s="114"/>
      <c r="AL465" s="114"/>
      <c r="AM465" s="114"/>
      <c r="AN465" s="114"/>
      <c r="AO465" s="114"/>
      <c r="AP465" s="114"/>
      <c r="AQ465" s="114"/>
    </row>
    <row r="466" spans="1:43" ht="15.75" customHeight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  <c r="AA466" s="114"/>
      <c r="AB466" s="114"/>
      <c r="AC466" s="114"/>
      <c r="AD466" s="114"/>
      <c r="AE466" s="114"/>
      <c r="AF466" s="114"/>
      <c r="AG466" s="114"/>
      <c r="AH466" s="114"/>
      <c r="AI466" s="114"/>
      <c r="AJ466" s="114"/>
      <c r="AK466" s="114"/>
      <c r="AL466" s="114"/>
      <c r="AM466" s="114"/>
      <c r="AN466" s="114"/>
      <c r="AO466" s="114"/>
      <c r="AP466" s="114"/>
      <c r="AQ466" s="114"/>
    </row>
    <row r="467" spans="1:43" ht="15.75" customHeight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  <c r="AA467" s="114"/>
      <c r="AB467" s="114"/>
      <c r="AC467" s="114"/>
      <c r="AD467" s="114"/>
      <c r="AE467" s="114"/>
      <c r="AF467" s="114"/>
      <c r="AG467" s="114"/>
      <c r="AH467" s="114"/>
      <c r="AI467" s="114"/>
      <c r="AJ467" s="114"/>
      <c r="AK467" s="114"/>
      <c r="AL467" s="114"/>
      <c r="AM467" s="114"/>
      <c r="AN467" s="114"/>
      <c r="AO467" s="114"/>
      <c r="AP467" s="114"/>
      <c r="AQ467" s="114"/>
    </row>
    <row r="468" spans="1:43" ht="15.75" customHeight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  <c r="AA468" s="114"/>
      <c r="AB468" s="114"/>
      <c r="AC468" s="114"/>
      <c r="AD468" s="114"/>
      <c r="AE468" s="114"/>
      <c r="AF468" s="114"/>
      <c r="AG468" s="114"/>
      <c r="AH468" s="114"/>
      <c r="AI468" s="114"/>
      <c r="AJ468" s="114"/>
      <c r="AK468" s="114"/>
      <c r="AL468" s="114"/>
      <c r="AM468" s="114"/>
      <c r="AN468" s="114"/>
      <c r="AO468" s="114"/>
      <c r="AP468" s="114"/>
      <c r="AQ468" s="114"/>
    </row>
    <row r="469" spans="1:43" ht="15.75" customHeight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  <c r="AA469" s="114"/>
      <c r="AB469" s="114"/>
      <c r="AC469" s="114"/>
      <c r="AD469" s="114"/>
      <c r="AE469" s="114"/>
      <c r="AF469" s="114"/>
      <c r="AG469" s="114"/>
      <c r="AH469" s="114"/>
      <c r="AI469" s="114"/>
      <c r="AJ469" s="114"/>
      <c r="AK469" s="114"/>
      <c r="AL469" s="114"/>
      <c r="AM469" s="114"/>
      <c r="AN469" s="114"/>
      <c r="AO469" s="114"/>
      <c r="AP469" s="114"/>
      <c r="AQ469" s="114"/>
    </row>
    <row r="470" spans="1:43" ht="15.75" customHeight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114"/>
      <c r="AJ470" s="114"/>
      <c r="AK470" s="114"/>
      <c r="AL470" s="114"/>
      <c r="AM470" s="114"/>
      <c r="AN470" s="114"/>
      <c r="AO470" s="114"/>
      <c r="AP470" s="114"/>
      <c r="AQ470" s="114"/>
    </row>
    <row r="471" spans="1:43" ht="15.75" customHeight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  <c r="AA471" s="114"/>
      <c r="AB471" s="114"/>
      <c r="AC471" s="114"/>
      <c r="AD471" s="114"/>
      <c r="AE471" s="114"/>
      <c r="AF471" s="114"/>
      <c r="AG471" s="114"/>
      <c r="AH471" s="114"/>
      <c r="AI471" s="114"/>
      <c r="AJ471" s="114"/>
      <c r="AK471" s="114"/>
      <c r="AL471" s="114"/>
      <c r="AM471" s="114"/>
      <c r="AN471" s="114"/>
      <c r="AO471" s="114"/>
      <c r="AP471" s="114"/>
      <c r="AQ471" s="114"/>
    </row>
    <row r="472" spans="1:43" ht="15.75" customHeight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  <c r="AA472" s="114"/>
      <c r="AB472" s="114"/>
      <c r="AC472" s="114"/>
      <c r="AD472" s="114"/>
      <c r="AE472" s="114"/>
      <c r="AF472" s="114"/>
      <c r="AG472" s="114"/>
      <c r="AH472" s="114"/>
      <c r="AI472" s="114"/>
      <c r="AJ472" s="114"/>
      <c r="AK472" s="114"/>
      <c r="AL472" s="114"/>
      <c r="AM472" s="114"/>
      <c r="AN472" s="114"/>
      <c r="AO472" s="114"/>
      <c r="AP472" s="114"/>
      <c r="AQ472" s="114"/>
    </row>
    <row r="473" spans="1:43" ht="15.75" customHeight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4"/>
      <c r="AK473" s="114"/>
      <c r="AL473" s="114"/>
      <c r="AM473" s="114"/>
      <c r="AN473" s="114"/>
      <c r="AO473" s="114"/>
      <c r="AP473" s="114"/>
      <c r="AQ473" s="114"/>
    </row>
    <row r="474" spans="1:43" ht="15.75" customHeight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  <c r="AA474" s="114"/>
      <c r="AB474" s="114"/>
      <c r="AC474" s="114"/>
      <c r="AD474" s="114"/>
      <c r="AE474" s="114"/>
      <c r="AF474" s="114"/>
      <c r="AG474" s="114"/>
      <c r="AH474" s="114"/>
      <c r="AI474" s="114"/>
      <c r="AJ474" s="114"/>
      <c r="AK474" s="114"/>
      <c r="AL474" s="114"/>
      <c r="AM474" s="114"/>
      <c r="AN474" s="114"/>
      <c r="AO474" s="114"/>
      <c r="AP474" s="114"/>
      <c r="AQ474" s="114"/>
    </row>
    <row r="475" spans="1:43" ht="15.75" customHeight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  <c r="AA475" s="114"/>
      <c r="AB475" s="114"/>
      <c r="AC475" s="114"/>
      <c r="AD475" s="114"/>
      <c r="AE475" s="114"/>
      <c r="AF475" s="114"/>
      <c r="AG475" s="114"/>
      <c r="AH475" s="114"/>
      <c r="AI475" s="114"/>
      <c r="AJ475" s="114"/>
      <c r="AK475" s="114"/>
      <c r="AL475" s="114"/>
      <c r="AM475" s="114"/>
      <c r="AN475" s="114"/>
      <c r="AO475" s="114"/>
      <c r="AP475" s="114"/>
      <c r="AQ475" s="114"/>
    </row>
    <row r="476" spans="1:43" ht="15.75" customHeight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  <c r="AA476" s="114"/>
      <c r="AB476" s="114"/>
      <c r="AC476" s="114"/>
      <c r="AD476" s="114"/>
      <c r="AE476" s="114"/>
      <c r="AF476" s="114"/>
      <c r="AG476" s="114"/>
      <c r="AH476" s="114"/>
      <c r="AI476" s="114"/>
      <c r="AJ476" s="114"/>
      <c r="AK476" s="114"/>
      <c r="AL476" s="114"/>
      <c r="AM476" s="114"/>
      <c r="AN476" s="114"/>
      <c r="AO476" s="114"/>
      <c r="AP476" s="114"/>
      <c r="AQ476" s="114"/>
    </row>
    <row r="477" spans="1:43" ht="15.75" customHeight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  <c r="AA477" s="114"/>
      <c r="AB477" s="114"/>
      <c r="AC477" s="114"/>
      <c r="AD477" s="114"/>
      <c r="AE477" s="114"/>
      <c r="AF477" s="114"/>
      <c r="AG477" s="114"/>
      <c r="AH477" s="114"/>
      <c r="AI477" s="114"/>
      <c r="AJ477" s="114"/>
      <c r="AK477" s="114"/>
      <c r="AL477" s="114"/>
      <c r="AM477" s="114"/>
      <c r="AN477" s="114"/>
      <c r="AO477" s="114"/>
      <c r="AP477" s="114"/>
      <c r="AQ477" s="114"/>
    </row>
    <row r="478" spans="1:43" ht="15.75" customHeight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114"/>
      <c r="AJ478" s="114"/>
      <c r="AK478" s="114"/>
      <c r="AL478" s="114"/>
      <c r="AM478" s="114"/>
      <c r="AN478" s="114"/>
      <c r="AO478" s="114"/>
      <c r="AP478" s="114"/>
      <c r="AQ478" s="114"/>
    </row>
    <row r="479" spans="1:43" ht="15.75" customHeight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  <c r="AA479" s="114"/>
      <c r="AB479" s="114"/>
      <c r="AC479" s="114"/>
      <c r="AD479" s="114"/>
      <c r="AE479" s="114"/>
      <c r="AF479" s="114"/>
      <c r="AG479" s="114"/>
      <c r="AH479" s="114"/>
      <c r="AI479" s="114"/>
      <c r="AJ479" s="114"/>
      <c r="AK479" s="114"/>
      <c r="AL479" s="114"/>
      <c r="AM479" s="114"/>
      <c r="AN479" s="114"/>
      <c r="AO479" s="114"/>
      <c r="AP479" s="114"/>
      <c r="AQ479" s="114"/>
    </row>
    <row r="480" spans="1:43" ht="15.75" customHeight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  <c r="AA480" s="114"/>
      <c r="AB480" s="114"/>
      <c r="AC480" s="114"/>
      <c r="AD480" s="114"/>
      <c r="AE480" s="114"/>
      <c r="AF480" s="114"/>
      <c r="AG480" s="114"/>
      <c r="AH480" s="114"/>
      <c r="AI480" s="114"/>
      <c r="AJ480" s="114"/>
      <c r="AK480" s="114"/>
      <c r="AL480" s="114"/>
      <c r="AM480" s="114"/>
      <c r="AN480" s="114"/>
      <c r="AO480" s="114"/>
      <c r="AP480" s="114"/>
      <c r="AQ480" s="114"/>
    </row>
    <row r="481" spans="1:43" ht="15.75" customHeight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</row>
    <row r="482" spans="1:43" ht="15.75" customHeight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</row>
    <row r="483" spans="1:43" ht="15.75" customHeight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4"/>
    </row>
    <row r="484" spans="1:43" ht="15.75" customHeight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114"/>
      <c r="AJ484" s="114"/>
      <c r="AK484" s="114"/>
      <c r="AL484" s="114"/>
      <c r="AM484" s="114"/>
      <c r="AN484" s="114"/>
      <c r="AO484" s="114"/>
      <c r="AP484" s="114"/>
      <c r="AQ484" s="114"/>
    </row>
    <row r="485" spans="1:43" ht="15.75" customHeight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</row>
    <row r="486" spans="1:43" ht="15.75" customHeight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</row>
    <row r="487" spans="1:43" ht="15.75" customHeight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  <c r="AC487" s="114"/>
      <c r="AD487" s="114"/>
      <c r="AE487" s="114"/>
      <c r="AF487" s="114"/>
      <c r="AG487" s="114"/>
      <c r="AH487" s="114"/>
      <c r="AI487" s="114"/>
      <c r="AJ487" s="114"/>
      <c r="AK487" s="114"/>
      <c r="AL487" s="114"/>
      <c r="AM487" s="114"/>
      <c r="AN487" s="114"/>
      <c r="AO487" s="114"/>
      <c r="AP487" s="114"/>
      <c r="AQ487" s="114"/>
    </row>
    <row r="488" spans="1:43" ht="15.75" customHeight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  <c r="AA488" s="114"/>
      <c r="AB488" s="114"/>
      <c r="AC488" s="114"/>
      <c r="AD488" s="114"/>
      <c r="AE488" s="114"/>
      <c r="AF488" s="114"/>
      <c r="AG488" s="114"/>
      <c r="AH488" s="114"/>
      <c r="AI488" s="114"/>
      <c r="AJ488" s="114"/>
      <c r="AK488" s="114"/>
      <c r="AL488" s="114"/>
      <c r="AM488" s="114"/>
      <c r="AN488" s="114"/>
      <c r="AO488" s="114"/>
      <c r="AP488" s="114"/>
      <c r="AQ488" s="114"/>
    </row>
    <row r="489" spans="1:43" ht="15.75" customHeight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</row>
    <row r="490" spans="1:43" ht="15.75" customHeight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</row>
    <row r="491" spans="1:43" ht="15.75" customHeight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  <c r="AA491" s="114"/>
      <c r="AB491" s="114"/>
      <c r="AC491" s="114"/>
      <c r="AD491" s="114"/>
      <c r="AE491" s="114"/>
      <c r="AF491" s="114"/>
      <c r="AG491" s="114"/>
      <c r="AH491" s="114"/>
      <c r="AI491" s="114"/>
      <c r="AJ491" s="114"/>
      <c r="AK491" s="114"/>
      <c r="AL491" s="114"/>
      <c r="AM491" s="114"/>
      <c r="AN491" s="114"/>
      <c r="AO491" s="114"/>
      <c r="AP491" s="114"/>
      <c r="AQ491" s="114"/>
    </row>
    <row r="492" spans="1:43" ht="15.75" customHeight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  <c r="AC492" s="114"/>
      <c r="AD492" s="114"/>
      <c r="AE492" s="114"/>
      <c r="AF492" s="114"/>
      <c r="AG492" s="114"/>
      <c r="AH492" s="114"/>
      <c r="AI492" s="114"/>
      <c r="AJ492" s="114"/>
      <c r="AK492" s="114"/>
      <c r="AL492" s="114"/>
      <c r="AM492" s="114"/>
      <c r="AN492" s="114"/>
      <c r="AO492" s="114"/>
      <c r="AP492" s="114"/>
      <c r="AQ492" s="114"/>
    </row>
    <row r="493" spans="1:43" ht="15.75" customHeight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</row>
    <row r="494" spans="1:43" ht="15.75" customHeight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</row>
    <row r="495" spans="1:43" ht="15.75" customHeight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114"/>
      <c r="AJ495" s="114"/>
      <c r="AK495" s="114"/>
      <c r="AL495" s="114"/>
      <c r="AM495" s="114"/>
      <c r="AN495" s="114"/>
      <c r="AO495" s="114"/>
      <c r="AP495" s="114"/>
      <c r="AQ495" s="114"/>
    </row>
    <row r="496" spans="1:43" ht="15.75" customHeight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114"/>
      <c r="AJ496" s="114"/>
      <c r="AK496" s="114"/>
      <c r="AL496" s="114"/>
      <c r="AM496" s="114"/>
      <c r="AN496" s="114"/>
      <c r="AO496" s="114"/>
      <c r="AP496" s="114"/>
      <c r="AQ496" s="114"/>
    </row>
    <row r="497" spans="1:43" ht="15.75" customHeight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</row>
    <row r="498" spans="1:43" ht="15.75" customHeight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</row>
    <row r="499" spans="1:43" ht="15.75" customHeight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  <c r="AA499" s="114"/>
      <c r="AB499" s="114"/>
      <c r="AC499" s="114"/>
      <c r="AD499" s="114"/>
      <c r="AE499" s="114"/>
      <c r="AF499" s="114"/>
      <c r="AG499" s="114"/>
      <c r="AH499" s="114"/>
      <c r="AI499" s="114"/>
      <c r="AJ499" s="114"/>
      <c r="AK499" s="114"/>
      <c r="AL499" s="114"/>
      <c r="AM499" s="114"/>
      <c r="AN499" s="114"/>
      <c r="AO499" s="114"/>
      <c r="AP499" s="114"/>
      <c r="AQ499" s="114"/>
    </row>
    <row r="500" spans="1:43" ht="15.75" customHeight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  <c r="AA500" s="114"/>
      <c r="AB500" s="114"/>
      <c r="AC500" s="114"/>
      <c r="AD500" s="114"/>
      <c r="AE500" s="114"/>
      <c r="AF500" s="114"/>
      <c r="AG500" s="114"/>
      <c r="AH500" s="114"/>
      <c r="AI500" s="114"/>
      <c r="AJ500" s="114"/>
      <c r="AK500" s="114"/>
      <c r="AL500" s="114"/>
      <c r="AM500" s="114"/>
      <c r="AN500" s="114"/>
      <c r="AO500" s="114"/>
      <c r="AP500" s="114"/>
      <c r="AQ500" s="114"/>
    </row>
    <row r="501" spans="1:43" ht="15.75" customHeight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</row>
    <row r="502" spans="1:43" ht="15.75" customHeight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</row>
    <row r="503" spans="1:43" ht="15.75" customHeight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  <c r="AA503" s="114"/>
      <c r="AB503" s="114"/>
      <c r="AC503" s="114"/>
      <c r="AD503" s="114"/>
      <c r="AE503" s="114"/>
      <c r="AF503" s="114"/>
      <c r="AG503" s="114"/>
      <c r="AH503" s="114"/>
      <c r="AI503" s="114"/>
      <c r="AJ503" s="114"/>
      <c r="AK503" s="114"/>
      <c r="AL503" s="114"/>
      <c r="AM503" s="114"/>
      <c r="AN503" s="114"/>
      <c r="AO503" s="114"/>
      <c r="AP503" s="114"/>
      <c r="AQ503" s="114"/>
    </row>
    <row r="504" spans="1:43" ht="15.75" customHeight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  <c r="AC504" s="114"/>
      <c r="AD504" s="114"/>
      <c r="AE504" s="114"/>
      <c r="AF504" s="114"/>
      <c r="AG504" s="114"/>
      <c r="AH504" s="114"/>
      <c r="AI504" s="114"/>
      <c r="AJ504" s="114"/>
      <c r="AK504" s="114"/>
      <c r="AL504" s="114"/>
      <c r="AM504" s="114"/>
      <c r="AN504" s="114"/>
      <c r="AO504" s="114"/>
      <c r="AP504" s="114"/>
      <c r="AQ504" s="114"/>
    </row>
    <row r="505" spans="1:43" ht="15.75" customHeight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</row>
    <row r="506" spans="1:43" ht="15.75" customHeight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</row>
    <row r="507" spans="1:43" ht="15.75" customHeight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  <c r="AA507" s="114"/>
      <c r="AB507" s="114"/>
      <c r="AC507" s="114"/>
      <c r="AD507" s="114"/>
      <c r="AE507" s="114"/>
      <c r="AF507" s="114"/>
      <c r="AG507" s="114"/>
      <c r="AH507" s="114"/>
      <c r="AI507" s="114"/>
      <c r="AJ507" s="114"/>
      <c r="AK507" s="114"/>
      <c r="AL507" s="114"/>
      <c r="AM507" s="114"/>
      <c r="AN507" s="114"/>
      <c r="AO507" s="114"/>
      <c r="AP507" s="114"/>
      <c r="AQ507" s="114"/>
    </row>
    <row r="508" spans="1:43" ht="15.75" customHeight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  <c r="AD508" s="114"/>
      <c r="AE508" s="114"/>
      <c r="AF508" s="114"/>
      <c r="AG508" s="114"/>
      <c r="AH508" s="114"/>
      <c r="AI508" s="114"/>
      <c r="AJ508" s="114"/>
      <c r="AK508" s="114"/>
      <c r="AL508" s="114"/>
      <c r="AM508" s="114"/>
      <c r="AN508" s="114"/>
      <c r="AO508" s="114"/>
      <c r="AP508" s="114"/>
      <c r="AQ508" s="114"/>
    </row>
    <row r="509" spans="1:43" ht="15.75" customHeight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</row>
    <row r="510" spans="1:43" ht="15.75" customHeight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</row>
    <row r="511" spans="1:43" ht="15.75" customHeight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  <c r="AA511" s="114"/>
      <c r="AB511" s="114"/>
      <c r="AC511" s="114"/>
      <c r="AD511" s="114"/>
      <c r="AE511" s="114"/>
      <c r="AF511" s="114"/>
      <c r="AG511" s="114"/>
      <c r="AH511" s="114"/>
      <c r="AI511" s="114"/>
      <c r="AJ511" s="114"/>
      <c r="AK511" s="114"/>
      <c r="AL511" s="114"/>
      <c r="AM511" s="114"/>
      <c r="AN511" s="114"/>
      <c r="AO511" s="114"/>
      <c r="AP511" s="114"/>
      <c r="AQ511" s="114"/>
    </row>
    <row r="512" spans="1:43" ht="15.75" customHeight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  <c r="AA512" s="114"/>
      <c r="AB512" s="114"/>
      <c r="AC512" s="114"/>
      <c r="AD512" s="114"/>
      <c r="AE512" s="114"/>
      <c r="AF512" s="114"/>
      <c r="AG512" s="114"/>
      <c r="AH512" s="114"/>
      <c r="AI512" s="114"/>
      <c r="AJ512" s="114"/>
      <c r="AK512" s="114"/>
      <c r="AL512" s="114"/>
      <c r="AM512" s="114"/>
      <c r="AN512" s="114"/>
      <c r="AO512" s="114"/>
      <c r="AP512" s="114"/>
      <c r="AQ512" s="114"/>
    </row>
    <row r="513" spans="1:43" ht="15.75" customHeight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</row>
    <row r="514" spans="1:43" ht="15.75" customHeight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</row>
    <row r="515" spans="1:43" ht="15.75" customHeight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114"/>
      <c r="AF515" s="114"/>
      <c r="AG515" s="114"/>
      <c r="AH515" s="114"/>
      <c r="AI515" s="114"/>
      <c r="AJ515" s="114"/>
      <c r="AK515" s="114"/>
      <c r="AL515" s="114"/>
      <c r="AM515" s="114"/>
      <c r="AN515" s="114"/>
      <c r="AO515" s="114"/>
      <c r="AP515" s="114"/>
      <c r="AQ515" s="114"/>
    </row>
    <row r="516" spans="1:43" ht="15.75" customHeight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  <c r="AA516" s="114"/>
      <c r="AB516" s="114"/>
      <c r="AC516" s="114"/>
      <c r="AD516" s="114"/>
      <c r="AE516" s="114"/>
      <c r="AF516" s="114"/>
      <c r="AG516" s="114"/>
      <c r="AH516" s="114"/>
      <c r="AI516" s="114"/>
      <c r="AJ516" s="114"/>
      <c r="AK516" s="114"/>
      <c r="AL516" s="114"/>
      <c r="AM516" s="114"/>
      <c r="AN516" s="114"/>
      <c r="AO516" s="114"/>
      <c r="AP516" s="114"/>
      <c r="AQ516" s="114"/>
    </row>
    <row r="517" spans="1:43" ht="15.75" customHeight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</row>
    <row r="518" spans="1:43" ht="15.75" customHeight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</row>
    <row r="519" spans="1:43" ht="15.75" customHeight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4"/>
      <c r="AK519" s="114"/>
      <c r="AL519" s="114"/>
      <c r="AM519" s="114"/>
      <c r="AN519" s="114"/>
      <c r="AO519" s="114"/>
      <c r="AP519" s="114"/>
      <c r="AQ519" s="114"/>
    </row>
    <row r="520" spans="1:43" ht="15.75" customHeight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114"/>
      <c r="AJ520" s="114"/>
      <c r="AK520" s="114"/>
      <c r="AL520" s="114"/>
      <c r="AM520" s="114"/>
      <c r="AN520" s="114"/>
      <c r="AO520" s="114"/>
      <c r="AP520" s="114"/>
      <c r="AQ520" s="114"/>
    </row>
    <row r="521" spans="1:43" ht="15.75" customHeight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</row>
    <row r="522" spans="1:43" ht="15.75" customHeight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</row>
    <row r="523" spans="1:43" ht="15.75" customHeight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  <c r="AA523" s="114"/>
      <c r="AB523" s="114"/>
      <c r="AC523" s="114"/>
      <c r="AD523" s="114"/>
      <c r="AE523" s="114"/>
      <c r="AF523" s="114"/>
      <c r="AG523" s="114"/>
      <c r="AH523" s="114"/>
      <c r="AI523" s="114"/>
      <c r="AJ523" s="114"/>
      <c r="AK523" s="114"/>
      <c r="AL523" s="114"/>
      <c r="AM523" s="114"/>
      <c r="AN523" s="114"/>
      <c r="AO523" s="114"/>
      <c r="AP523" s="114"/>
      <c r="AQ523" s="114"/>
    </row>
    <row r="524" spans="1:43" ht="15.75" customHeight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  <c r="AA524" s="114"/>
      <c r="AB524" s="114"/>
      <c r="AC524" s="114"/>
      <c r="AD524" s="114"/>
      <c r="AE524" s="114"/>
      <c r="AF524" s="114"/>
      <c r="AG524" s="114"/>
      <c r="AH524" s="114"/>
      <c r="AI524" s="114"/>
      <c r="AJ524" s="114"/>
      <c r="AK524" s="114"/>
      <c r="AL524" s="114"/>
      <c r="AM524" s="114"/>
      <c r="AN524" s="114"/>
      <c r="AO524" s="114"/>
      <c r="AP524" s="114"/>
      <c r="AQ524" s="114"/>
    </row>
    <row r="525" spans="1:43" ht="15.75" customHeight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</row>
    <row r="526" spans="1:43" ht="15.75" customHeight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</row>
    <row r="527" spans="1:43" ht="15.75" customHeight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/>
      <c r="AI527" s="114"/>
      <c r="AJ527" s="114"/>
      <c r="AK527" s="114"/>
      <c r="AL527" s="114"/>
      <c r="AM527" s="114"/>
      <c r="AN527" s="114"/>
      <c r="AO527" s="114"/>
      <c r="AP527" s="114"/>
      <c r="AQ527" s="114"/>
    </row>
    <row r="528" spans="1:43" ht="15.75" customHeight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/>
      <c r="AI528" s="114"/>
      <c r="AJ528" s="114"/>
      <c r="AK528" s="114"/>
      <c r="AL528" s="114"/>
      <c r="AM528" s="114"/>
      <c r="AN528" s="114"/>
      <c r="AO528" s="114"/>
      <c r="AP528" s="114"/>
      <c r="AQ528" s="114"/>
    </row>
    <row r="529" spans="1:43" ht="15.75" customHeight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</row>
    <row r="530" spans="1:43" ht="15.75" customHeight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</row>
    <row r="531" spans="1:43" ht="15.75" customHeight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  <c r="AA531" s="114"/>
      <c r="AB531" s="114"/>
      <c r="AC531" s="114"/>
      <c r="AD531" s="114"/>
      <c r="AE531" s="114"/>
      <c r="AF531" s="114"/>
      <c r="AG531" s="114"/>
      <c r="AH531" s="114"/>
      <c r="AI531" s="114"/>
      <c r="AJ531" s="114"/>
      <c r="AK531" s="114"/>
      <c r="AL531" s="114"/>
      <c r="AM531" s="114"/>
      <c r="AN531" s="114"/>
      <c r="AO531" s="114"/>
      <c r="AP531" s="114"/>
      <c r="AQ531" s="114"/>
    </row>
    <row r="532" spans="1:43" ht="15.75" customHeight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114"/>
      <c r="AJ532" s="114"/>
      <c r="AK532" s="114"/>
      <c r="AL532" s="114"/>
      <c r="AM532" s="114"/>
      <c r="AN532" s="114"/>
      <c r="AO532" s="114"/>
      <c r="AP532" s="114"/>
      <c r="AQ532" s="114"/>
    </row>
    <row r="533" spans="1:43" ht="15.75" customHeight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</row>
    <row r="534" spans="1:43" ht="15.75" customHeight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</row>
    <row r="535" spans="1:43" ht="15.75" customHeight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4"/>
    </row>
    <row r="536" spans="1:43" ht="15.75" customHeight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  <c r="AA536" s="114"/>
      <c r="AB536" s="114"/>
      <c r="AC536" s="114"/>
      <c r="AD536" s="114"/>
      <c r="AE536" s="114"/>
      <c r="AF536" s="114"/>
      <c r="AG536" s="114"/>
      <c r="AH536" s="114"/>
      <c r="AI536" s="114"/>
      <c r="AJ536" s="114"/>
      <c r="AK536" s="114"/>
      <c r="AL536" s="114"/>
      <c r="AM536" s="114"/>
      <c r="AN536" s="114"/>
      <c r="AO536" s="114"/>
      <c r="AP536" s="114"/>
      <c r="AQ536" s="114"/>
    </row>
    <row r="537" spans="1:43" ht="15.75" customHeight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</row>
    <row r="538" spans="1:43" ht="15.75" customHeight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</row>
    <row r="539" spans="1:43" ht="15.75" customHeight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  <c r="AA539" s="114"/>
      <c r="AB539" s="114"/>
      <c r="AC539" s="114"/>
      <c r="AD539" s="114"/>
      <c r="AE539" s="114"/>
      <c r="AF539" s="114"/>
      <c r="AG539" s="114"/>
      <c r="AH539" s="114"/>
      <c r="AI539" s="114"/>
      <c r="AJ539" s="114"/>
      <c r="AK539" s="114"/>
      <c r="AL539" s="114"/>
      <c r="AM539" s="114"/>
      <c r="AN539" s="114"/>
      <c r="AO539" s="114"/>
      <c r="AP539" s="114"/>
      <c r="AQ539" s="114"/>
    </row>
    <row r="540" spans="1:43" ht="15.75" customHeight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  <c r="AA540" s="114"/>
      <c r="AB540" s="114"/>
      <c r="AC540" s="114"/>
      <c r="AD540" s="114"/>
      <c r="AE540" s="114"/>
      <c r="AF540" s="114"/>
      <c r="AG540" s="114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</row>
    <row r="541" spans="1:43" ht="15.75" customHeight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</row>
    <row r="542" spans="1:43" ht="15.75" customHeight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</row>
    <row r="543" spans="1:43" ht="15.75" customHeight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114"/>
      <c r="AF543" s="114"/>
      <c r="AG543" s="114"/>
      <c r="AH543" s="114"/>
      <c r="AI543" s="114"/>
      <c r="AJ543" s="114"/>
      <c r="AK543" s="114"/>
      <c r="AL543" s="114"/>
      <c r="AM543" s="114"/>
      <c r="AN543" s="114"/>
      <c r="AO543" s="114"/>
      <c r="AP543" s="114"/>
      <c r="AQ543" s="114"/>
    </row>
    <row r="544" spans="1:43" ht="15.75" customHeight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  <c r="AA544" s="114"/>
      <c r="AB544" s="114"/>
      <c r="AC544" s="114"/>
      <c r="AD544" s="114"/>
      <c r="AE544" s="114"/>
      <c r="AF544" s="114"/>
      <c r="AG544" s="114"/>
      <c r="AH544" s="114"/>
      <c r="AI544" s="114"/>
      <c r="AJ544" s="114"/>
      <c r="AK544" s="114"/>
      <c r="AL544" s="114"/>
      <c r="AM544" s="114"/>
      <c r="AN544" s="114"/>
      <c r="AO544" s="114"/>
      <c r="AP544" s="114"/>
      <c r="AQ544" s="114"/>
    </row>
    <row r="545" spans="1:43" ht="15.75" customHeight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</row>
    <row r="546" spans="1:43" ht="15.75" customHeight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</row>
    <row r="547" spans="1:43" ht="15.75" customHeight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114"/>
      <c r="AF547" s="114"/>
      <c r="AG547" s="114"/>
      <c r="AH547" s="114"/>
      <c r="AI547" s="114"/>
      <c r="AJ547" s="114"/>
      <c r="AK547" s="114"/>
      <c r="AL547" s="114"/>
      <c r="AM547" s="114"/>
      <c r="AN547" s="114"/>
      <c r="AO547" s="114"/>
      <c r="AP547" s="114"/>
      <c r="AQ547" s="114"/>
    </row>
    <row r="548" spans="1:43" ht="15.75" customHeight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114"/>
      <c r="AF548" s="114"/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</row>
    <row r="549" spans="1:43" ht="15.75" customHeight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</row>
    <row r="550" spans="1:43" ht="15.75" customHeight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</row>
    <row r="551" spans="1:43" ht="15.75" customHeight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  <c r="AA551" s="114"/>
      <c r="AB551" s="114"/>
      <c r="AC551" s="114"/>
      <c r="AD551" s="114"/>
      <c r="AE551" s="114"/>
      <c r="AF551" s="114"/>
      <c r="AG551" s="114"/>
      <c r="AH551" s="114"/>
      <c r="AI551" s="114"/>
      <c r="AJ551" s="114"/>
      <c r="AK551" s="114"/>
      <c r="AL551" s="114"/>
      <c r="AM551" s="114"/>
      <c r="AN551" s="114"/>
      <c r="AO551" s="114"/>
      <c r="AP551" s="114"/>
      <c r="AQ551" s="114"/>
    </row>
    <row r="552" spans="1:43" ht="15.75" customHeight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  <c r="AA552" s="114"/>
      <c r="AB552" s="114"/>
      <c r="AC552" s="114"/>
      <c r="AD552" s="114"/>
      <c r="AE552" s="114"/>
      <c r="AF552" s="114"/>
      <c r="AG552" s="114"/>
      <c r="AH552" s="114"/>
      <c r="AI552" s="114"/>
      <c r="AJ552" s="114"/>
      <c r="AK552" s="114"/>
      <c r="AL552" s="114"/>
      <c r="AM552" s="114"/>
      <c r="AN552" s="114"/>
      <c r="AO552" s="114"/>
      <c r="AP552" s="114"/>
      <c r="AQ552" s="114"/>
    </row>
    <row r="553" spans="1:43" ht="15.75" customHeight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</row>
    <row r="554" spans="1:43" ht="15.75" customHeight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</row>
    <row r="555" spans="1:43" ht="15.75" customHeight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  <c r="AA555" s="114"/>
      <c r="AB555" s="114"/>
      <c r="AC555" s="114"/>
      <c r="AD555" s="114"/>
      <c r="AE555" s="114"/>
      <c r="AF555" s="114"/>
      <c r="AG555" s="114"/>
      <c r="AH555" s="114"/>
      <c r="AI555" s="114"/>
      <c r="AJ555" s="114"/>
      <c r="AK555" s="114"/>
      <c r="AL555" s="114"/>
      <c r="AM555" s="114"/>
      <c r="AN555" s="114"/>
      <c r="AO555" s="114"/>
      <c r="AP555" s="114"/>
      <c r="AQ555" s="114"/>
    </row>
    <row r="556" spans="1:43" ht="15.75" customHeight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  <c r="AA556" s="114"/>
      <c r="AB556" s="114"/>
      <c r="AC556" s="114"/>
      <c r="AD556" s="114"/>
      <c r="AE556" s="114"/>
      <c r="AF556" s="114"/>
      <c r="AG556" s="114"/>
      <c r="AH556" s="114"/>
      <c r="AI556" s="114"/>
      <c r="AJ556" s="114"/>
      <c r="AK556" s="114"/>
      <c r="AL556" s="114"/>
      <c r="AM556" s="114"/>
      <c r="AN556" s="114"/>
      <c r="AO556" s="114"/>
      <c r="AP556" s="114"/>
      <c r="AQ556" s="114"/>
    </row>
    <row r="557" spans="1:43" ht="15.75" customHeight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</row>
    <row r="558" spans="1:43" ht="15.75" customHeight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</row>
    <row r="559" spans="1:43" ht="15.75" customHeight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  <c r="AA559" s="114"/>
      <c r="AB559" s="114"/>
      <c r="AC559" s="114"/>
      <c r="AD559" s="114"/>
      <c r="AE559" s="114"/>
      <c r="AF559" s="114"/>
      <c r="AG559" s="114"/>
      <c r="AH559" s="114"/>
      <c r="AI559" s="114"/>
      <c r="AJ559" s="114"/>
      <c r="AK559" s="114"/>
      <c r="AL559" s="114"/>
      <c r="AM559" s="114"/>
      <c r="AN559" s="114"/>
      <c r="AO559" s="114"/>
      <c r="AP559" s="114"/>
      <c r="AQ559" s="114"/>
    </row>
    <row r="560" spans="1:43" ht="15.75" customHeight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4"/>
      <c r="AK560" s="114"/>
      <c r="AL560" s="114"/>
      <c r="AM560" s="114"/>
      <c r="AN560" s="114"/>
      <c r="AO560" s="114"/>
      <c r="AP560" s="114"/>
      <c r="AQ560" s="114"/>
    </row>
    <row r="561" spans="1:43" ht="15.75" customHeight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114"/>
      <c r="AF561" s="114"/>
      <c r="AG561" s="114"/>
      <c r="AH561" s="114"/>
      <c r="AI561" s="114"/>
      <c r="AJ561" s="114"/>
      <c r="AK561" s="114"/>
      <c r="AL561" s="114"/>
      <c r="AM561" s="114"/>
      <c r="AN561" s="114"/>
      <c r="AO561" s="114"/>
      <c r="AP561" s="114"/>
      <c r="AQ561" s="114"/>
    </row>
    <row r="562" spans="1:43" ht="15.75" customHeight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4"/>
      <c r="AJ562" s="114"/>
      <c r="AK562" s="114"/>
      <c r="AL562" s="114"/>
      <c r="AM562" s="114"/>
      <c r="AN562" s="114"/>
      <c r="AO562" s="114"/>
      <c r="AP562" s="114"/>
      <c r="AQ562" s="114"/>
    </row>
    <row r="563" spans="1:43" ht="15.75" customHeight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  <c r="AA563" s="114"/>
      <c r="AB563" s="114"/>
      <c r="AC563" s="114"/>
      <c r="AD563" s="114"/>
      <c r="AE563" s="114"/>
      <c r="AF563" s="114"/>
      <c r="AG563" s="114"/>
      <c r="AH563" s="114"/>
      <c r="AI563" s="114"/>
      <c r="AJ563" s="114"/>
      <c r="AK563" s="114"/>
      <c r="AL563" s="114"/>
      <c r="AM563" s="114"/>
      <c r="AN563" s="114"/>
      <c r="AO563" s="114"/>
      <c r="AP563" s="114"/>
      <c r="AQ563" s="114"/>
    </row>
    <row r="564" spans="1:43" ht="15.75" customHeight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  <c r="AA564" s="114"/>
      <c r="AB564" s="114"/>
      <c r="AC564" s="114"/>
      <c r="AD564" s="114"/>
      <c r="AE564" s="114"/>
      <c r="AF564" s="114"/>
      <c r="AG564" s="114"/>
      <c r="AH564" s="114"/>
      <c r="AI564" s="114"/>
      <c r="AJ564" s="114"/>
      <c r="AK564" s="114"/>
      <c r="AL564" s="114"/>
      <c r="AM564" s="114"/>
      <c r="AN564" s="114"/>
      <c r="AO564" s="114"/>
      <c r="AP564" s="114"/>
      <c r="AQ564" s="114"/>
    </row>
    <row r="565" spans="1:43" ht="15.75" customHeight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114"/>
      <c r="AJ565" s="114"/>
      <c r="AK565" s="114"/>
      <c r="AL565" s="114"/>
      <c r="AM565" s="114"/>
      <c r="AN565" s="114"/>
      <c r="AO565" s="114"/>
      <c r="AP565" s="114"/>
      <c r="AQ565" s="114"/>
    </row>
    <row r="566" spans="1:43" ht="15.75" customHeight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  <c r="AA566" s="114"/>
      <c r="AB566" s="114"/>
      <c r="AC566" s="114"/>
      <c r="AD566" s="114"/>
      <c r="AE566" s="114"/>
      <c r="AF566" s="114"/>
      <c r="AG566" s="114"/>
      <c r="AH566" s="114"/>
      <c r="AI566" s="114"/>
      <c r="AJ566" s="114"/>
      <c r="AK566" s="114"/>
      <c r="AL566" s="114"/>
      <c r="AM566" s="114"/>
      <c r="AN566" s="114"/>
      <c r="AO566" s="114"/>
      <c r="AP566" s="114"/>
      <c r="AQ566" s="114"/>
    </row>
    <row r="567" spans="1:43" ht="15.75" customHeight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  <c r="AA567" s="114"/>
      <c r="AB567" s="114"/>
      <c r="AC567" s="114"/>
      <c r="AD567" s="114"/>
      <c r="AE567" s="114"/>
      <c r="AF567" s="114"/>
      <c r="AG567" s="114"/>
      <c r="AH567" s="114"/>
      <c r="AI567" s="114"/>
      <c r="AJ567" s="114"/>
      <c r="AK567" s="114"/>
      <c r="AL567" s="114"/>
      <c r="AM567" s="114"/>
      <c r="AN567" s="114"/>
      <c r="AO567" s="114"/>
      <c r="AP567" s="114"/>
      <c r="AQ567" s="114"/>
    </row>
    <row r="568" spans="1:43" ht="15.75" customHeight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  <c r="AA568" s="114"/>
      <c r="AB568" s="114"/>
      <c r="AC568" s="114"/>
      <c r="AD568" s="114"/>
      <c r="AE568" s="114"/>
      <c r="AF568" s="114"/>
      <c r="AG568" s="114"/>
      <c r="AH568" s="114"/>
      <c r="AI568" s="114"/>
      <c r="AJ568" s="114"/>
      <c r="AK568" s="114"/>
      <c r="AL568" s="114"/>
      <c r="AM568" s="114"/>
      <c r="AN568" s="114"/>
      <c r="AO568" s="114"/>
      <c r="AP568" s="114"/>
      <c r="AQ568" s="114"/>
    </row>
    <row r="569" spans="1:43" ht="15.75" customHeight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  <c r="AA569" s="114"/>
      <c r="AB569" s="114"/>
      <c r="AC569" s="114"/>
      <c r="AD569" s="114"/>
      <c r="AE569" s="114"/>
      <c r="AF569" s="114"/>
      <c r="AG569" s="114"/>
      <c r="AH569" s="114"/>
      <c r="AI569" s="114"/>
      <c r="AJ569" s="114"/>
      <c r="AK569" s="114"/>
      <c r="AL569" s="114"/>
      <c r="AM569" s="114"/>
      <c r="AN569" s="114"/>
      <c r="AO569" s="114"/>
      <c r="AP569" s="114"/>
      <c r="AQ569" s="114"/>
    </row>
    <row r="570" spans="1:43" ht="15.75" customHeight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  <c r="AA570" s="114"/>
      <c r="AB570" s="114"/>
      <c r="AC570" s="114"/>
      <c r="AD570" s="114"/>
      <c r="AE570" s="114"/>
      <c r="AF570" s="114"/>
      <c r="AG570" s="114"/>
      <c r="AH570" s="114"/>
      <c r="AI570" s="114"/>
      <c r="AJ570" s="114"/>
      <c r="AK570" s="114"/>
      <c r="AL570" s="114"/>
      <c r="AM570" s="114"/>
      <c r="AN570" s="114"/>
      <c r="AO570" s="114"/>
      <c r="AP570" s="114"/>
      <c r="AQ570" s="114"/>
    </row>
    <row r="571" spans="1:43" ht="15.75" customHeight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  <c r="AA571" s="114"/>
      <c r="AB571" s="114"/>
      <c r="AC571" s="114"/>
      <c r="AD571" s="114"/>
      <c r="AE571" s="114"/>
      <c r="AF571" s="114"/>
      <c r="AG571" s="114"/>
      <c r="AH571" s="114"/>
      <c r="AI571" s="114"/>
      <c r="AJ571" s="114"/>
      <c r="AK571" s="114"/>
      <c r="AL571" s="114"/>
      <c r="AM571" s="114"/>
      <c r="AN571" s="114"/>
      <c r="AO571" s="114"/>
      <c r="AP571" s="114"/>
      <c r="AQ571" s="114"/>
    </row>
    <row r="572" spans="1:43" ht="15.75" customHeight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  <c r="AA572" s="114"/>
      <c r="AB572" s="114"/>
      <c r="AC572" s="114"/>
      <c r="AD572" s="114"/>
      <c r="AE572" s="114"/>
      <c r="AF572" s="114"/>
      <c r="AG572" s="114"/>
      <c r="AH572" s="114"/>
      <c r="AI572" s="114"/>
      <c r="AJ572" s="114"/>
      <c r="AK572" s="114"/>
      <c r="AL572" s="114"/>
      <c r="AM572" s="114"/>
      <c r="AN572" s="114"/>
      <c r="AO572" s="114"/>
      <c r="AP572" s="114"/>
      <c r="AQ572" s="114"/>
    </row>
    <row r="573" spans="1:43" ht="15.75" customHeight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/>
      <c r="AJ573" s="114"/>
      <c r="AK573" s="114"/>
      <c r="AL573" s="114"/>
      <c r="AM573" s="114"/>
      <c r="AN573" s="114"/>
      <c r="AO573" s="114"/>
      <c r="AP573" s="114"/>
      <c r="AQ573" s="114"/>
    </row>
    <row r="574" spans="1:43" ht="15.75" customHeight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  <c r="AA574" s="114"/>
      <c r="AB574" s="114"/>
      <c r="AC574" s="114"/>
      <c r="AD574" s="114"/>
      <c r="AE574" s="114"/>
      <c r="AF574" s="114"/>
      <c r="AG574" s="114"/>
      <c r="AH574" s="114"/>
      <c r="AI574" s="114"/>
      <c r="AJ574" s="114"/>
      <c r="AK574" s="114"/>
      <c r="AL574" s="114"/>
      <c r="AM574" s="114"/>
      <c r="AN574" s="114"/>
      <c r="AO574" s="114"/>
      <c r="AP574" s="114"/>
      <c r="AQ574" s="114"/>
    </row>
    <row r="575" spans="1:43" ht="15.75" customHeight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</row>
    <row r="576" spans="1:43" ht="15.75" customHeight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</row>
    <row r="577" spans="1:43" ht="15.75" customHeight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  <c r="AA577" s="114"/>
      <c r="AB577" s="114"/>
      <c r="AC577" s="114"/>
      <c r="AD577" s="114"/>
      <c r="AE577" s="114"/>
      <c r="AF577" s="114"/>
      <c r="AG577" s="114"/>
      <c r="AH577" s="114"/>
      <c r="AI577" s="114"/>
      <c r="AJ577" s="114"/>
      <c r="AK577" s="114"/>
      <c r="AL577" s="114"/>
      <c r="AM577" s="114"/>
      <c r="AN577" s="114"/>
      <c r="AO577" s="114"/>
      <c r="AP577" s="114"/>
      <c r="AQ577" s="114"/>
    </row>
    <row r="578" spans="1:43" ht="15.75" customHeight="1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  <c r="AA578" s="114"/>
      <c r="AB578" s="114"/>
      <c r="AC578" s="114"/>
      <c r="AD578" s="114"/>
      <c r="AE578" s="114"/>
      <c r="AF578" s="114"/>
      <c r="AG578" s="114"/>
      <c r="AH578" s="114"/>
      <c r="AI578" s="114"/>
      <c r="AJ578" s="114"/>
      <c r="AK578" s="114"/>
      <c r="AL578" s="114"/>
      <c r="AM578" s="114"/>
      <c r="AN578" s="114"/>
      <c r="AO578" s="114"/>
      <c r="AP578" s="114"/>
      <c r="AQ578" s="114"/>
    </row>
    <row r="579" spans="1:43" ht="15.75" customHeight="1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</row>
    <row r="580" spans="1:43" ht="15.75" customHeight="1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</row>
    <row r="581" spans="1:43" ht="15.75" customHeight="1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  <c r="AA581" s="114"/>
      <c r="AB581" s="114"/>
      <c r="AC581" s="114"/>
      <c r="AD581" s="114"/>
      <c r="AE581" s="114"/>
      <c r="AF581" s="114"/>
      <c r="AG581" s="114"/>
      <c r="AH581" s="114"/>
      <c r="AI581" s="114"/>
      <c r="AJ581" s="114"/>
      <c r="AK581" s="114"/>
      <c r="AL581" s="114"/>
      <c r="AM581" s="114"/>
      <c r="AN581" s="114"/>
      <c r="AO581" s="114"/>
      <c r="AP581" s="114"/>
      <c r="AQ581" s="114"/>
    </row>
    <row r="582" spans="1:43" ht="15.75" customHeight="1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  <c r="AA582" s="114"/>
      <c r="AB582" s="114"/>
      <c r="AC582" s="114"/>
      <c r="AD582" s="114"/>
      <c r="AE582" s="114"/>
      <c r="AF582" s="114"/>
      <c r="AG582" s="114"/>
      <c r="AH582" s="114"/>
      <c r="AI582" s="114"/>
      <c r="AJ582" s="114"/>
      <c r="AK582" s="114"/>
      <c r="AL582" s="114"/>
      <c r="AM582" s="114"/>
      <c r="AN582" s="114"/>
      <c r="AO582" s="114"/>
      <c r="AP582" s="114"/>
      <c r="AQ582" s="114"/>
    </row>
    <row r="583" spans="1:43" ht="15.75" customHeight="1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</row>
    <row r="584" spans="1:43" ht="15.75" customHeight="1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</row>
    <row r="585" spans="1:43" ht="15.75" customHeight="1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114"/>
      <c r="AF585" s="114"/>
      <c r="AG585" s="114"/>
      <c r="AH585" s="114"/>
      <c r="AI585" s="114"/>
      <c r="AJ585" s="114"/>
      <c r="AK585" s="114"/>
      <c r="AL585" s="114"/>
      <c r="AM585" s="114"/>
      <c r="AN585" s="114"/>
      <c r="AO585" s="114"/>
      <c r="AP585" s="114"/>
      <c r="AQ585" s="114"/>
    </row>
    <row r="586" spans="1:43" ht="15.75" customHeight="1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  <c r="AA586" s="114"/>
      <c r="AB586" s="114"/>
      <c r="AC586" s="114"/>
      <c r="AD586" s="114"/>
      <c r="AE586" s="114"/>
      <c r="AF586" s="114"/>
      <c r="AG586" s="114"/>
      <c r="AH586" s="114"/>
      <c r="AI586" s="114"/>
      <c r="AJ586" s="114"/>
      <c r="AK586" s="114"/>
      <c r="AL586" s="114"/>
      <c r="AM586" s="114"/>
      <c r="AN586" s="114"/>
      <c r="AO586" s="114"/>
      <c r="AP586" s="114"/>
      <c r="AQ586" s="114"/>
    </row>
    <row r="587" spans="1:43" ht="15.75" customHeight="1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</row>
    <row r="588" spans="1:43" ht="15.75" customHeight="1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</row>
    <row r="589" spans="1:43" ht="15.75" customHeight="1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  <c r="AA589" s="114"/>
      <c r="AB589" s="114"/>
      <c r="AC589" s="114"/>
      <c r="AD589" s="114"/>
      <c r="AE589" s="114"/>
      <c r="AF589" s="114"/>
      <c r="AG589" s="114"/>
      <c r="AH589" s="114"/>
      <c r="AI589" s="114"/>
      <c r="AJ589" s="114"/>
      <c r="AK589" s="114"/>
      <c r="AL589" s="114"/>
      <c r="AM589" s="114"/>
      <c r="AN589" s="114"/>
      <c r="AO589" s="114"/>
      <c r="AP589" s="114"/>
      <c r="AQ589" s="114"/>
    </row>
    <row r="590" spans="1:43" ht="15.75" customHeight="1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  <c r="AA590" s="114"/>
      <c r="AB590" s="114"/>
      <c r="AC590" s="114"/>
      <c r="AD590" s="114"/>
      <c r="AE590" s="114"/>
      <c r="AF590" s="114"/>
      <c r="AG590" s="114"/>
      <c r="AH590" s="114"/>
      <c r="AI590" s="114"/>
      <c r="AJ590" s="114"/>
      <c r="AK590" s="114"/>
      <c r="AL590" s="114"/>
      <c r="AM590" s="114"/>
      <c r="AN590" s="114"/>
      <c r="AO590" s="114"/>
      <c r="AP590" s="114"/>
      <c r="AQ590" s="114"/>
    </row>
    <row r="591" spans="1:43" ht="15.75" customHeight="1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</row>
    <row r="592" spans="1:43" ht="15.75" customHeight="1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</row>
    <row r="593" spans="1:43" ht="15.75" customHeight="1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114"/>
      <c r="AF593" s="114"/>
      <c r="AG593" s="114"/>
      <c r="AH593" s="114"/>
      <c r="AI593" s="114"/>
      <c r="AJ593" s="114"/>
      <c r="AK593" s="114"/>
      <c r="AL593" s="114"/>
      <c r="AM593" s="114"/>
      <c r="AN593" s="114"/>
      <c r="AO593" s="114"/>
      <c r="AP593" s="114"/>
      <c r="AQ593" s="114"/>
    </row>
    <row r="594" spans="1:43" ht="15.75" customHeight="1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  <c r="AA594" s="114"/>
      <c r="AB594" s="114"/>
      <c r="AC594" s="114"/>
      <c r="AD594" s="114"/>
      <c r="AE594" s="114"/>
      <c r="AF594" s="114"/>
      <c r="AG594" s="114"/>
      <c r="AH594" s="114"/>
      <c r="AI594" s="114"/>
      <c r="AJ594" s="114"/>
      <c r="AK594" s="114"/>
      <c r="AL594" s="114"/>
      <c r="AM594" s="114"/>
      <c r="AN594" s="114"/>
      <c r="AO594" s="114"/>
      <c r="AP594" s="114"/>
      <c r="AQ594" s="114"/>
    </row>
    <row r="595" spans="1:43" ht="15.75" customHeight="1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</row>
    <row r="596" spans="1:43" ht="15.75" customHeight="1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</row>
    <row r="597" spans="1:43" ht="15.75" customHeight="1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  <c r="AA597" s="114"/>
      <c r="AB597" s="114"/>
      <c r="AC597" s="114"/>
      <c r="AD597" s="114"/>
      <c r="AE597" s="114"/>
      <c r="AF597" s="114"/>
      <c r="AG597" s="114"/>
      <c r="AH597" s="114"/>
      <c r="AI597" s="114"/>
      <c r="AJ597" s="114"/>
      <c r="AK597" s="114"/>
      <c r="AL597" s="114"/>
      <c r="AM597" s="114"/>
      <c r="AN597" s="114"/>
      <c r="AO597" s="114"/>
      <c r="AP597" s="114"/>
      <c r="AQ597" s="114"/>
    </row>
    <row r="598" spans="1:43" ht="15.75" customHeight="1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  <c r="AA598" s="114"/>
      <c r="AB598" s="114"/>
      <c r="AC598" s="114"/>
      <c r="AD598" s="114"/>
      <c r="AE598" s="114"/>
      <c r="AF598" s="114"/>
      <c r="AG598" s="114"/>
      <c r="AH598" s="114"/>
      <c r="AI598" s="114"/>
      <c r="AJ598" s="114"/>
      <c r="AK598" s="114"/>
      <c r="AL598" s="114"/>
      <c r="AM598" s="114"/>
      <c r="AN598" s="114"/>
      <c r="AO598" s="114"/>
      <c r="AP598" s="114"/>
      <c r="AQ598" s="114"/>
    </row>
    <row r="599" spans="1:43" ht="15.75" customHeight="1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</row>
    <row r="600" spans="1:43" ht="15.75" customHeight="1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</row>
    <row r="601" spans="1:43" ht="15.75" customHeight="1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  <c r="AA601" s="114"/>
      <c r="AB601" s="114"/>
      <c r="AC601" s="114"/>
      <c r="AD601" s="114"/>
      <c r="AE601" s="114"/>
      <c r="AF601" s="114"/>
      <c r="AG601" s="114"/>
      <c r="AH601" s="114"/>
      <c r="AI601" s="114"/>
      <c r="AJ601" s="114"/>
      <c r="AK601" s="114"/>
      <c r="AL601" s="114"/>
      <c r="AM601" s="114"/>
      <c r="AN601" s="114"/>
      <c r="AO601" s="114"/>
      <c r="AP601" s="114"/>
      <c r="AQ601" s="114"/>
    </row>
    <row r="602" spans="1:43" ht="15.75" customHeight="1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  <c r="AA602" s="114"/>
      <c r="AB602" s="114"/>
      <c r="AC602" s="114"/>
      <c r="AD602" s="114"/>
      <c r="AE602" s="114"/>
      <c r="AF602" s="114"/>
      <c r="AG602" s="114"/>
      <c r="AH602" s="114"/>
      <c r="AI602" s="114"/>
      <c r="AJ602" s="114"/>
      <c r="AK602" s="114"/>
      <c r="AL602" s="114"/>
      <c r="AM602" s="114"/>
      <c r="AN602" s="114"/>
      <c r="AO602" s="114"/>
      <c r="AP602" s="114"/>
      <c r="AQ602" s="114"/>
    </row>
    <row r="603" spans="1:43" ht="15.75" customHeight="1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</row>
    <row r="604" spans="1:43" ht="15.75" customHeight="1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</row>
    <row r="605" spans="1:43" ht="15.75" customHeight="1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  <c r="AA605" s="114"/>
      <c r="AB605" s="114"/>
      <c r="AC605" s="114"/>
      <c r="AD605" s="114"/>
      <c r="AE605" s="114"/>
      <c r="AF605" s="114"/>
      <c r="AG605" s="114"/>
      <c r="AH605" s="114"/>
      <c r="AI605" s="114"/>
      <c r="AJ605" s="114"/>
      <c r="AK605" s="114"/>
      <c r="AL605" s="114"/>
      <c r="AM605" s="114"/>
      <c r="AN605" s="114"/>
      <c r="AO605" s="114"/>
      <c r="AP605" s="114"/>
      <c r="AQ605" s="114"/>
    </row>
    <row r="606" spans="1:43" ht="15.75" customHeight="1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  <c r="AA606" s="114"/>
      <c r="AB606" s="114"/>
      <c r="AC606" s="114"/>
      <c r="AD606" s="114"/>
      <c r="AE606" s="114"/>
      <c r="AF606" s="114"/>
      <c r="AG606" s="114"/>
      <c r="AH606" s="114"/>
      <c r="AI606" s="114"/>
      <c r="AJ606" s="114"/>
      <c r="AK606" s="114"/>
      <c r="AL606" s="114"/>
      <c r="AM606" s="114"/>
      <c r="AN606" s="114"/>
      <c r="AO606" s="114"/>
      <c r="AP606" s="114"/>
      <c r="AQ606" s="114"/>
    </row>
    <row r="607" spans="1:43" ht="15.75" customHeight="1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</row>
    <row r="608" spans="1:43" ht="15.75" customHeight="1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</row>
    <row r="609" spans="1:43" ht="15.75" customHeight="1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  <c r="AA609" s="114"/>
      <c r="AB609" s="114"/>
      <c r="AC609" s="114"/>
      <c r="AD609" s="114"/>
      <c r="AE609" s="114"/>
      <c r="AF609" s="114"/>
      <c r="AG609" s="114"/>
      <c r="AH609" s="114"/>
      <c r="AI609" s="114"/>
      <c r="AJ609" s="114"/>
      <c r="AK609" s="114"/>
      <c r="AL609" s="114"/>
      <c r="AM609" s="114"/>
      <c r="AN609" s="114"/>
      <c r="AO609" s="114"/>
      <c r="AP609" s="114"/>
      <c r="AQ609" s="114"/>
    </row>
    <row r="610" spans="1:43" ht="15.75" customHeight="1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  <c r="AA610" s="114"/>
      <c r="AB610" s="114"/>
      <c r="AC610" s="114"/>
      <c r="AD610" s="114"/>
      <c r="AE610" s="114"/>
      <c r="AF610" s="114"/>
      <c r="AG610" s="114"/>
      <c r="AH610" s="114"/>
      <c r="AI610" s="114"/>
      <c r="AJ610" s="114"/>
      <c r="AK610" s="114"/>
      <c r="AL610" s="114"/>
      <c r="AM610" s="114"/>
      <c r="AN610" s="114"/>
      <c r="AO610" s="114"/>
      <c r="AP610" s="114"/>
      <c r="AQ610" s="114"/>
    </row>
    <row r="611" spans="1:43" ht="15.75" customHeight="1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</row>
    <row r="612" spans="1:43" ht="15.75" customHeight="1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</row>
    <row r="613" spans="1:43" ht="15.75" customHeight="1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  <c r="AA613" s="114"/>
      <c r="AB613" s="114"/>
      <c r="AC613" s="114"/>
      <c r="AD613" s="114"/>
      <c r="AE613" s="114"/>
      <c r="AF613" s="114"/>
      <c r="AG613" s="114"/>
      <c r="AH613" s="114"/>
      <c r="AI613" s="114"/>
      <c r="AJ613" s="114"/>
      <c r="AK613" s="114"/>
      <c r="AL613" s="114"/>
      <c r="AM613" s="114"/>
      <c r="AN613" s="114"/>
      <c r="AO613" s="114"/>
      <c r="AP613" s="114"/>
      <c r="AQ613" s="114"/>
    </row>
    <row r="614" spans="1:43" ht="15.75" customHeight="1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  <c r="AA614" s="114"/>
      <c r="AB614" s="114"/>
      <c r="AC614" s="114"/>
      <c r="AD614" s="114"/>
      <c r="AE614" s="114"/>
      <c r="AF614" s="114"/>
      <c r="AG614" s="114"/>
      <c r="AH614" s="114"/>
      <c r="AI614" s="114"/>
      <c r="AJ614" s="114"/>
      <c r="AK614" s="114"/>
      <c r="AL614" s="114"/>
      <c r="AM614" s="114"/>
      <c r="AN614" s="114"/>
      <c r="AO614" s="114"/>
      <c r="AP614" s="114"/>
      <c r="AQ614" s="114"/>
    </row>
    <row r="615" spans="1:43" ht="15.75" customHeight="1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</row>
    <row r="616" spans="1:43" ht="15.75" customHeight="1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</row>
    <row r="617" spans="1:43" ht="15.75" customHeight="1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  <c r="AA617" s="114"/>
      <c r="AB617" s="114"/>
      <c r="AC617" s="114"/>
      <c r="AD617" s="114"/>
      <c r="AE617" s="114"/>
      <c r="AF617" s="114"/>
      <c r="AG617" s="114"/>
      <c r="AH617" s="114"/>
      <c r="AI617" s="114"/>
      <c r="AJ617" s="114"/>
      <c r="AK617" s="114"/>
      <c r="AL617" s="114"/>
      <c r="AM617" s="114"/>
      <c r="AN617" s="114"/>
      <c r="AO617" s="114"/>
      <c r="AP617" s="114"/>
      <c r="AQ617" s="114"/>
    </row>
    <row r="618" spans="1:43" ht="15.75" customHeight="1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4"/>
      <c r="AK618" s="114"/>
      <c r="AL618" s="114"/>
      <c r="AM618" s="114"/>
      <c r="AN618" s="114"/>
      <c r="AO618" s="114"/>
      <c r="AP618" s="114"/>
      <c r="AQ618" s="114"/>
    </row>
    <row r="619" spans="1:43" ht="15.75" customHeight="1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</row>
    <row r="620" spans="1:43" ht="15.75" customHeight="1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</row>
    <row r="621" spans="1:43" ht="15.75" customHeight="1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114"/>
      <c r="AF621" s="114"/>
      <c r="AG621" s="114"/>
      <c r="AH621" s="114"/>
      <c r="AI621" s="114"/>
      <c r="AJ621" s="114"/>
      <c r="AK621" s="114"/>
      <c r="AL621" s="114"/>
      <c r="AM621" s="114"/>
      <c r="AN621" s="114"/>
      <c r="AO621" s="114"/>
      <c r="AP621" s="114"/>
      <c r="AQ621" s="114"/>
    </row>
    <row r="622" spans="1:43" ht="15.75" customHeight="1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  <c r="AA622" s="114"/>
      <c r="AB622" s="114"/>
      <c r="AC622" s="114"/>
      <c r="AD622" s="114"/>
      <c r="AE622" s="114"/>
      <c r="AF622" s="114"/>
      <c r="AG622" s="114"/>
      <c r="AH622" s="114"/>
      <c r="AI622" s="114"/>
      <c r="AJ622" s="114"/>
      <c r="AK622" s="114"/>
      <c r="AL622" s="114"/>
      <c r="AM622" s="114"/>
      <c r="AN622" s="114"/>
      <c r="AO622" s="114"/>
      <c r="AP622" s="114"/>
      <c r="AQ622" s="114"/>
    </row>
    <row r="623" spans="1:43" ht="15.75" customHeight="1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</row>
    <row r="624" spans="1:43" ht="15.75" customHeight="1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</row>
    <row r="625" spans="1:43" ht="15.75" customHeight="1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  <c r="AA625" s="114"/>
      <c r="AB625" s="114"/>
      <c r="AC625" s="114"/>
      <c r="AD625" s="114"/>
      <c r="AE625" s="114"/>
      <c r="AF625" s="114"/>
      <c r="AG625" s="114"/>
      <c r="AH625" s="114"/>
      <c r="AI625" s="114"/>
      <c r="AJ625" s="114"/>
      <c r="AK625" s="114"/>
      <c r="AL625" s="114"/>
      <c r="AM625" s="114"/>
      <c r="AN625" s="114"/>
      <c r="AO625" s="114"/>
      <c r="AP625" s="114"/>
      <c r="AQ625" s="114"/>
    </row>
    <row r="626" spans="1:43" ht="15.75" customHeight="1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  <c r="AB626" s="114"/>
      <c r="AC626" s="114"/>
      <c r="AD626" s="114"/>
      <c r="AE626" s="114"/>
      <c r="AF626" s="114"/>
      <c r="AG626" s="114"/>
      <c r="AH626" s="114"/>
      <c r="AI626" s="114"/>
      <c r="AJ626" s="114"/>
      <c r="AK626" s="114"/>
      <c r="AL626" s="114"/>
      <c r="AM626" s="114"/>
      <c r="AN626" s="114"/>
      <c r="AO626" s="114"/>
      <c r="AP626" s="114"/>
      <c r="AQ626" s="114"/>
    </row>
    <row r="627" spans="1:43" ht="15.75" customHeight="1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</row>
    <row r="628" spans="1:43" ht="15.75" customHeight="1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</row>
    <row r="629" spans="1:43" ht="15.75" customHeight="1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114"/>
      <c r="AF629" s="114"/>
      <c r="AG629" s="114"/>
      <c r="AH629" s="114"/>
      <c r="AI629" s="114"/>
      <c r="AJ629" s="114"/>
      <c r="AK629" s="114"/>
      <c r="AL629" s="114"/>
      <c r="AM629" s="114"/>
      <c r="AN629" s="114"/>
      <c r="AO629" s="114"/>
      <c r="AP629" s="114"/>
      <c r="AQ629" s="114"/>
    </row>
    <row r="630" spans="1:43" ht="15.75" customHeight="1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  <c r="AA630" s="114"/>
      <c r="AB630" s="114"/>
      <c r="AC630" s="114"/>
      <c r="AD630" s="114"/>
      <c r="AE630" s="114"/>
      <c r="AF630" s="114"/>
      <c r="AG630" s="114"/>
      <c r="AH630" s="114"/>
      <c r="AI630" s="114"/>
      <c r="AJ630" s="114"/>
      <c r="AK630" s="114"/>
      <c r="AL630" s="114"/>
      <c r="AM630" s="114"/>
      <c r="AN630" s="114"/>
      <c r="AO630" s="114"/>
      <c r="AP630" s="114"/>
      <c r="AQ630" s="114"/>
    </row>
    <row r="631" spans="1:43" ht="15.75" customHeight="1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</row>
    <row r="632" spans="1:43" ht="15.75" customHeight="1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</row>
    <row r="633" spans="1:43" ht="15.75" customHeight="1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  <c r="AA633" s="114"/>
      <c r="AB633" s="114"/>
      <c r="AC633" s="114"/>
      <c r="AD633" s="114"/>
      <c r="AE633" s="114"/>
      <c r="AF633" s="114"/>
      <c r="AG633" s="114"/>
      <c r="AH633" s="114"/>
      <c r="AI633" s="114"/>
      <c r="AJ633" s="114"/>
      <c r="AK633" s="114"/>
      <c r="AL633" s="114"/>
      <c r="AM633" s="114"/>
      <c r="AN633" s="114"/>
      <c r="AO633" s="114"/>
      <c r="AP633" s="114"/>
      <c r="AQ633" s="114"/>
    </row>
    <row r="634" spans="1:43" ht="15.75" customHeight="1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  <c r="AA634" s="114"/>
      <c r="AB634" s="114"/>
      <c r="AC634" s="114"/>
      <c r="AD634" s="114"/>
      <c r="AE634" s="114"/>
      <c r="AF634" s="114"/>
      <c r="AG634" s="114"/>
      <c r="AH634" s="114"/>
      <c r="AI634" s="114"/>
      <c r="AJ634" s="114"/>
      <c r="AK634" s="114"/>
      <c r="AL634" s="114"/>
      <c r="AM634" s="114"/>
      <c r="AN634" s="114"/>
      <c r="AO634" s="114"/>
      <c r="AP634" s="114"/>
      <c r="AQ634" s="114"/>
    </row>
    <row r="635" spans="1:43" ht="15.75" customHeight="1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</row>
    <row r="636" spans="1:43" ht="15.75" customHeight="1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</row>
    <row r="637" spans="1:43" ht="15.75" customHeight="1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114"/>
      <c r="AJ637" s="114"/>
      <c r="AK637" s="114"/>
      <c r="AL637" s="114"/>
      <c r="AM637" s="114"/>
      <c r="AN637" s="114"/>
      <c r="AO637" s="114"/>
      <c r="AP637" s="114"/>
      <c r="AQ637" s="114"/>
    </row>
    <row r="638" spans="1:43" ht="15.75" customHeight="1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  <c r="AA638" s="114"/>
      <c r="AB638" s="114"/>
      <c r="AC638" s="114"/>
      <c r="AD638" s="114"/>
      <c r="AE638" s="114"/>
      <c r="AF638" s="114"/>
      <c r="AG638" s="114"/>
      <c r="AH638" s="114"/>
      <c r="AI638" s="114"/>
      <c r="AJ638" s="114"/>
      <c r="AK638" s="114"/>
      <c r="AL638" s="114"/>
      <c r="AM638" s="114"/>
      <c r="AN638" s="114"/>
      <c r="AO638" s="114"/>
      <c r="AP638" s="114"/>
      <c r="AQ638" s="114"/>
    </row>
    <row r="639" spans="1:43" ht="15.75" customHeight="1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</row>
    <row r="640" spans="1:43" ht="15.75" customHeight="1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</row>
    <row r="641" spans="1:43" ht="15.75" customHeight="1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  <c r="AA641" s="114"/>
      <c r="AB641" s="114"/>
      <c r="AC641" s="114"/>
      <c r="AD641" s="114"/>
      <c r="AE641" s="114"/>
      <c r="AF641" s="114"/>
      <c r="AG641" s="114"/>
      <c r="AH641" s="114"/>
      <c r="AI641" s="114"/>
      <c r="AJ641" s="114"/>
      <c r="AK641" s="114"/>
      <c r="AL641" s="114"/>
      <c r="AM641" s="114"/>
      <c r="AN641" s="114"/>
      <c r="AO641" s="114"/>
      <c r="AP641" s="114"/>
      <c r="AQ641" s="114"/>
    </row>
    <row r="642" spans="1:43" ht="15.75" customHeight="1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  <c r="AA642" s="114"/>
      <c r="AB642" s="114"/>
      <c r="AC642" s="114"/>
      <c r="AD642" s="114"/>
      <c r="AE642" s="114"/>
      <c r="AF642" s="114"/>
      <c r="AG642" s="114"/>
      <c r="AH642" s="114"/>
      <c r="AI642" s="114"/>
      <c r="AJ642" s="114"/>
      <c r="AK642" s="114"/>
      <c r="AL642" s="114"/>
      <c r="AM642" s="114"/>
      <c r="AN642" s="114"/>
      <c r="AO642" s="114"/>
      <c r="AP642" s="114"/>
      <c r="AQ642" s="114"/>
    </row>
    <row r="643" spans="1:43" ht="15.75" customHeight="1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</row>
    <row r="644" spans="1:43" ht="15.75" customHeight="1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</row>
    <row r="645" spans="1:43" ht="15.75" customHeight="1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  <c r="AA645" s="114"/>
      <c r="AB645" s="114"/>
      <c r="AC645" s="114"/>
      <c r="AD645" s="114"/>
      <c r="AE645" s="114"/>
      <c r="AF645" s="114"/>
      <c r="AG645" s="114"/>
      <c r="AH645" s="114"/>
      <c r="AI645" s="114"/>
      <c r="AJ645" s="114"/>
      <c r="AK645" s="114"/>
      <c r="AL645" s="114"/>
      <c r="AM645" s="114"/>
      <c r="AN645" s="114"/>
      <c r="AO645" s="114"/>
      <c r="AP645" s="114"/>
      <c r="AQ645" s="114"/>
    </row>
    <row r="646" spans="1:43" ht="15.75" customHeight="1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  <c r="AA646" s="114"/>
      <c r="AB646" s="114"/>
      <c r="AC646" s="114"/>
      <c r="AD646" s="114"/>
      <c r="AE646" s="114"/>
      <c r="AF646" s="114"/>
      <c r="AG646" s="114"/>
      <c r="AH646" s="114"/>
      <c r="AI646" s="114"/>
      <c r="AJ646" s="114"/>
      <c r="AK646" s="114"/>
      <c r="AL646" s="114"/>
      <c r="AM646" s="114"/>
      <c r="AN646" s="114"/>
      <c r="AO646" s="114"/>
      <c r="AP646" s="114"/>
      <c r="AQ646" s="114"/>
    </row>
    <row r="647" spans="1:43" ht="15.75" customHeight="1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</row>
    <row r="648" spans="1:43" ht="15.75" customHeight="1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</row>
    <row r="649" spans="1:43" ht="15.75" customHeight="1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  <c r="AA649" s="114"/>
      <c r="AB649" s="114"/>
      <c r="AC649" s="114"/>
      <c r="AD649" s="114"/>
      <c r="AE649" s="114"/>
      <c r="AF649" s="114"/>
      <c r="AG649" s="114"/>
      <c r="AH649" s="114"/>
      <c r="AI649" s="114"/>
      <c r="AJ649" s="114"/>
      <c r="AK649" s="114"/>
      <c r="AL649" s="114"/>
      <c r="AM649" s="114"/>
      <c r="AN649" s="114"/>
      <c r="AO649" s="114"/>
      <c r="AP649" s="114"/>
      <c r="AQ649" s="114"/>
    </row>
    <row r="650" spans="1:43" ht="15.75" customHeight="1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  <c r="AA650" s="114"/>
      <c r="AB650" s="114"/>
      <c r="AC650" s="114"/>
      <c r="AD650" s="114"/>
      <c r="AE650" s="114"/>
      <c r="AF650" s="114"/>
      <c r="AG650" s="114"/>
      <c r="AH650" s="114"/>
      <c r="AI650" s="114"/>
      <c r="AJ650" s="114"/>
      <c r="AK650" s="114"/>
      <c r="AL650" s="114"/>
      <c r="AM650" s="114"/>
      <c r="AN650" s="114"/>
      <c r="AO650" s="114"/>
      <c r="AP650" s="114"/>
      <c r="AQ650" s="114"/>
    </row>
    <row r="651" spans="1:43" ht="15.75" customHeight="1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</row>
    <row r="652" spans="1:43" ht="15.75" customHeight="1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</row>
    <row r="653" spans="1:43" ht="15.75" customHeight="1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114"/>
      <c r="AJ653" s="114"/>
      <c r="AK653" s="114"/>
      <c r="AL653" s="114"/>
      <c r="AM653" s="114"/>
      <c r="AN653" s="114"/>
      <c r="AO653" s="114"/>
      <c r="AP653" s="114"/>
      <c r="AQ653" s="114"/>
    </row>
    <row r="654" spans="1:43" ht="15.75" customHeight="1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  <c r="AA654" s="114"/>
      <c r="AB654" s="114"/>
      <c r="AC654" s="114"/>
      <c r="AD654" s="114"/>
      <c r="AE654" s="114"/>
      <c r="AF654" s="114"/>
      <c r="AG654" s="114"/>
      <c r="AH654" s="114"/>
      <c r="AI654" s="114"/>
      <c r="AJ654" s="114"/>
      <c r="AK654" s="114"/>
      <c r="AL654" s="114"/>
      <c r="AM654" s="114"/>
      <c r="AN654" s="114"/>
      <c r="AO654" s="114"/>
      <c r="AP654" s="114"/>
      <c r="AQ654" s="114"/>
    </row>
    <row r="655" spans="1:43" ht="15.75" customHeight="1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  <c r="AA655" s="114"/>
      <c r="AB655" s="114"/>
      <c r="AC655" s="114"/>
      <c r="AD655" s="114"/>
      <c r="AE655" s="114"/>
      <c r="AF655" s="114"/>
      <c r="AG655" s="114"/>
      <c r="AH655" s="114"/>
      <c r="AI655" s="114"/>
      <c r="AJ655" s="114"/>
      <c r="AK655" s="114"/>
      <c r="AL655" s="114"/>
      <c r="AM655" s="114"/>
      <c r="AN655" s="114"/>
      <c r="AO655" s="114"/>
      <c r="AP655" s="114"/>
      <c r="AQ655" s="114"/>
    </row>
    <row r="656" spans="1:43" ht="15.75" customHeight="1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  <c r="AA656" s="114"/>
      <c r="AB656" s="114"/>
      <c r="AC656" s="114"/>
      <c r="AD656" s="114"/>
      <c r="AE656" s="114"/>
      <c r="AF656" s="114"/>
      <c r="AG656" s="114"/>
      <c r="AH656" s="114"/>
      <c r="AI656" s="114"/>
      <c r="AJ656" s="114"/>
      <c r="AK656" s="114"/>
      <c r="AL656" s="114"/>
      <c r="AM656" s="114"/>
      <c r="AN656" s="114"/>
      <c r="AO656" s="114"/>
      <c r="AP656" s="114"/>
      <c r="AQ656" s="114"/>
    </row>
    <row r="657" spans="1:43" ht="15.75" customHeight="1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  <c r="AA657" s="114"/>
      <c r="AB657" s="114"/>
      <c r="AC657" s="114"/>
      <c r="AD657" s="114"/>
      <c r="AE657" s="114"/>
      <c r="AF657" s="114"/>
      <c r="AG657" s="114"/>
      <c r="AH657" s="114"/>
      <c r="AI657" s="114"/>
      <c r="AJ657" s="114"/>
      <c r="AK657" s="114"/>
      <c r="AL657" s="114"/>
      <c r="AM657" s="114"/>
      <c r="AN657" s="114"/>
      <c r="AO657" s="114"/>
      <c r="AP657" s="114"/>
      <c r="AQ657" s="114"/>
    </row>
    <row r="658" spans="1:43" ht="15.75" customHeight="1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  <c r="AA658" s="114"/>
      <c r="AB658" s="114"/>
      <c r="AC658" s="114"/>
      <c r="AD658" s="114"/>
      <c r="AE658" s="114"/>
      <c r="AF658" s="114"/>
      <c r="AG658" s="114"/>
      <c r="AH658" s="114"/>
      <c r="AI658" s="114"/>
      <c r="AJ658" s="114"/>
      <c r="AK658" s="114"/>
      <c r="AL658" s="114"/>
      <c r="AM658" s="114"/>
      <c r="AN658" s="114"/>
      <c r="AO658" s="114"/>
      <c r="AP658" s="114"/>
      <c r="AQ658" s="114"/>
    </row>
    <row r="659" spans="1:43" ht="15.75" customHeight="1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  <c r="AA659" s="114"/>
      <c r="AB659" s="114"/>
      <c r="AC659" s="114"/>
      <c r="AD659" s="114"/>
      <c r="AE659" s="114"/>
      <c r="AF659" s="114"/>
      <c r="AG659" s="114"/>
      <c r="AH659" s="114"/>
      <c r="AI659" s="114"/>
      <c r="AJ659" s="114"/>
      <c r="AK659" s="114"/>
      <c r="AL659" s="114"/>
      <c r="AM659" s="114"/>
      <c r="AN659" s="114"/>
      <c r="AO659" s="114"/>
      <c r="AP659" s="114"/>
      <c r="AQ659" s="114"/>
    </row>
    <row r="660" spans="1:43" ht="15.75" customHeight="1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  <c r="AA660" s="114"/>
      <c r="AB660" s="114"/>
      <c r="AC660" s="114"/>
      <c r="AD660" s="114"/>
      <c r="AE660" s="114"/>
      <c r="AF660" s="114"/>
      <c r="AG660" s="114"/>
      <c r="AH660" s="114"/>
      <c r="AI660" s="114"/>
      <c r="AJ660" s="114"/>
      <c r="AK660" s="114"/>
      <c r="AL660" s="114"/>
      <c r="AM660" s="114"/>
      <c r="AN660" s="114"/>
      <c r="AO660" s="114"/>
      <c r="AP660" s="114"/>
      <c r="AQ660" s="114"/>
    </row>
    <row r="661" spans="1:43" ht="15.75" customHeight="1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  <c r="AA661" s="114"/>
      <c r="AB661" s="114"/>
      <c r="AC661" s="114"/>
      <c r="AD661" s="114"/>
      <c r="AE661" s="114"/>
      <c r="AF661" s="114"/>
      <c r="AG661" s="114"/>
      <c r="AH661" s="114"/>
      <c r="AI661" s="114"/>
      <c r="AJ661" s="114"/>
      <c r="AK661" s="114"/>
      <c r="AL661" s="114"/>
      <c r="AM661" s="114"/>
      <c r="AN661" s="114"/>
      <c r="AO661" s="114"/>
      <c r="AP661" s="114"/>
      <c r="AQ661" s="114"/>
    </row>
    <row r="662" spans="1:43" ht="15.75" customHeight="1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114"/>
      <c r="AJ662" s="114"/>
      <c r="AK662" s="114"/>
      <c r="AL662" s="114"/>
      <c r="AM662" s="114"/>
      <c r="AN662" s="114"/>
      <c r="AO662" s="114"/>
      <c r="AP662" s="114"/>
      <c r="AQ662" s="114"/>
    </row>
    <row r="663" spans="1:43" ht="15.75" customHeight="1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4"/>
      <c r="AK663" s="114"/>
      <c r="AL663" s="114"/>
      <c r="AM663" s="114"/>
      <c r="AN663" s="114"/>
      <c r="AO663" s="114"/>
      <c r="AP663" s="114"/>
      <c r="AQ663" s="114"/>
    </row>
    <row r="664" spans="1:43" ht="15.75" customHeight="1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  <c r="AA664" s="114"/>
      <c r="AB664" s="114"/>
      <c r="AC664" s="114"/>
      <c r="AD664" s="114"/>
      <c r="AE664" s="114"/>
      <c r="AF664" s="114"/>
      <c r="AG664" s="114"/>
      <c r="AH664" s="114"/>
      <c r="AI664" s="114"/>
      <c r="AJ664" s="114"/>
      <c r="AK664" s="114"/>
      <c r="AL664" s="114"/>
      <c r="AM664" s="114"/>
      <c r="AN664" s="114"/>
      <c r="AO664" s="114"/>
      <c r="AP664" s="114"/>
      <c r="AQ664" s="114"/>
    </row>
    <row r="665" spans="1:43" ht="15.75" customHeight="1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  <c r="AA665" s="114"/>
      <c r="AB665" s="114"/>
      <c r="AC665" s="114"/>
      <c r="AD665" s="114"/>
      <c r="AE665" s="114"/>
      <c r="AF665" s="114"/>
      <c r="AG665" s="114"/>
      <c r="AH665" s="114"/>
      <c r="AI665" s="114"/>
      <c r="AJ665" s="114"/>
      <c r="AK665" s="114"/>
      <c r="AL665" s="114"/>
      <c r="AM665" s="114"/>
      <c r="AN665" s="114"/>
      <c r="AO665" s="114"/>
      <c r="AP665" s="114"/>
      <c r="AQ665" s="114"/>
    </row>
    <row r="666" spans="1:43" ht="15.75" customHeight="1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  <c r="AA666" s="114"/>
      <c r="AB666" s="114"/>
      <c r="AC666" s="114"/>
      <c r="AD666" s="114"/>
      <c r="AE666" s="114"/>
      <c r="AF666" s="114"/>
      <c r="AG666" s="114"/>
      <c r="AH666" s="114"/>
      <c r="AI666" s="114"/>
      <c r="AJ666" s="114"/>
      <c r="AK666" s="114"/>
      <c r="AL666" s="114"/>
      <c r="AM666" s="114"/>
      <c r="AN666" s="114"/>
      <c r="AO666" s="114"/>
      <c r="AP666" s="114"/>
      <c r="AQ666" s="114"/>
    </row>
    <row r="667" spans="1:43" ht="15.75" customHeight="1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  <c r="AA667" s="114"/>
      <c r="AB667" s="114"/>
      <c r="AC667" s="114"/>
      <c r="AD667" s="114"/>
      <c r="AE667" s="114"/>
      <c r="AF667" s="114"/>
      <c r="AG667" s="114"/>
      <c r="AH667" s="114"/>
      <c r="AI667" s="114"/>
      <c r="AJ667" s="114"/>
      <c r="AK667" s="114"/>
      <c r="AL667" s="114"/>
      <c r="AM667" s="114"/>
      <c r="AN667" s="114"/>
      <c r="AO667" s="114"/>
      <c r="AP667" s="114"/>
      <c r="AQ667" s="114"/>
    </row>
    <row r="668" spans="1:43" ht="15.75" customHeight="1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  <c r="AA668" s="114"/>
      <c r="AB668" s="114"/>
      <c r="AC668" s="114"/>
      <c r="AD668" s="114"/>
      <c r="AE668" s="114"/>
      <c r="AF668" s="114"/>
      <c r="AG668" s="114"/>
      <c r="AH668" s="114"/>
      <c r="AI668" s="114"/>
      <c r="AJ668" s="114"/>
      <c r="AK668" s="114"/>
      <c r="AL668" s="114"/>
      <c r="AM668" s="114"/>
      <c r="AN668" s="114"/>
      <c r="AO668" s="114"/>
      <c r="AP668" s="114"/>
      <c r="AQ668" s="114"/>
    </row>
    <row r="669" spans="1:43" ht="15.75" customHeight="1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</row>
    <row r="670" spans="1:43" ht="15.75" customHeight="1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</row>
    <row r="671" spans="1:43" ht="15.75" customHeight="1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  <c r="AA671" s="114"/>
      <c r="AB671" s="114"/>
      <c r="AC671" s="114"/>
      <c r="AD671" s="114"/>
      <c r="AE671" s="114"/>
      <c r="AF671" s="114"/>
      <c r="AG671" s="114"/>
      <c r="AH671" s="114"/>
      <c r="AI671" s="114"/>
      <c r="AJ671" s="114"/>
      <c r="AK671" s="114"/>
      <c r="AL671" s="114"/>
      <c r="AM671" s="114"/>
      <c r="AN671" s="114"/>
      <c r="AO671" s="114"/>
      <c r="AP671" s="114"/>
      <c r="AQ671" s="114"/>
    </row>
    <row r="672" spans="1:43" ht="15.75" customHeight="1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  <c r="AI672" s="114"/>
      <c r="AJ672" s="114"/>
      <c r="AK672" s="114"/>
      <c r="AL672" s="114"/>
      <c r="AM672" s="114"/>
      <c r="AN672" s="114"/>
      <c r="AO672" s="114"/>
      <c r="AP672" s="114"/>
      <c r="AQ672" s="114"/>
    </row>
    <row r="673" spans="1:43" ht="15.75" customHeight="1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</row>
    <row r="674" spans="1:43" ht="15.75" customHeight="1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</row>
    <row r="675" spans="1:43" ht="15.75" customHeight="1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4"/>
      <c r="AJ675" s="114"/>
      <c r="AK675" s="114"/>
      <c r="AL675" s="114"/>
      <c r="AM675" s="114"/>
      <c r="AN675" s="114"/>
      <c r="AO675" s="114"/>
      <c r="AP675" s="114"/>
      <c r="AQ675" s="114"/>
    </row>
    <row r="676" spans="1:43" ht="15.75" customHeight="1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  <c r="AA676" s="114"/>
      <c r="AB676" s="114"/>
      <c r="AC676" s="114"/>
      <c r="AD676" s="114"/>
      <c r="AE676" s="114"/>
      <c r="AF676" s="114"/>
      <c r="AG676" s="114"/>
      <c r="AH676" s="114"/>
      <c r="AI676" s="114"/>
      <c r="AJ676" s="114"/>
      <c r="AK676" s="114"/>
      <c r="AL676" s="114"/>
      <c r="AM676" s="114"/>
      <c r="AN676" s="114"/>
      <c r="AO676" s="114"/>
      <c r="AP676" s="114"/>
      <c r="AQ676" s="114"/>
    </row>
    <row r="677" spans="1:43" ht="15.75" customHeight="1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</row>
    <row r="678" spans="1:43" ht="15.75" customHeight="1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</row>
    <row r="679" spans="1:43" ht="15.75" customHeight="1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  <c r="AA679" s="114"/>
      <c r="AB679" s="114"/>
      <c r="AC679" s="114"/>
      <c r="AD679" s="114"/>
      <c r="AE679" s="114"/>
      <c r="AF679" s="114"/>
      <c r="AG679" s="114"/>
      <c r="AH679" s="114"/>
      <c r="AI679" s="114"/>
      <c r="AJ679" s="114"/>
      <c r="AK679" s="114"/>
      <c r="AL679" s="114"/>
      <c r="AM679" s="114"/>
      <c r="AN679" s="114"/>
      <c r="AO679" s="114"/>
      <c r="AP679" s="114"/>
      <c r="AQ679" s="114"/>
    </row>
    <row r="680" spans="1:43" ht="15.75" customHeight="1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  <c r="AA680" s="114"/>
      <c r="AB680" s="114"/>
      <c r="AC680" s="114"/>
      <c r="AD680" s="114"/>
      <c r="AE680" s="114"/>
      <c r="AF680" s="114"/>
      <c r="AG680" s="114"/>
      <c r="AH680" s="114"/>
      <c r="AI680" s="114"/>
      <c r="AJ680" s="114"/>
      <c r="AK680" s="114"/>
      <c r="AL680" s="114"/>
      <c r="AM680" s="114"/>
      <c r="AN680" s="114"/>
      <c r="AO680" s="114"/>
      <c r="AP680" s="114"/>
      <c r="AQ680" s="114"/>
    </row>
    <row r="681" spans="1:43" ht="15.75" customHeight="1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</row>
    <row r="682" spans="1:43" ht="15.75" customHeight="1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</row>
    <row r="683" spans="1:43" ht="15.75" customHeight="1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114"/>
      <c r="AJ683" s="114"/>
      <c r="AK683" s="114"/>
      <c r="AL683" s="114"/>
      <c r="AM683" s="114"/>
      <c r="AN683" s="114"/>
      <c r="AO683" s="114"/>
      <c r="AP683" s="114"/>
      <c r="AQ683" s="114"/>
    </row>
    <row r="684" spans="1:43" ht="15.75" customHeight="1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4"/>
      <c r="AK684" s="114"/>
      <c r="AL684" s="114"/>
      <c r="AM684" s="114"/>
      <c r="AN684" s="114"/>
      <c r="AO684" s="114"/>
      <c r="AP684" s="114"/>
      <c r="AQ684" s="114"/>
    </row>
    <row r="685" spans="1:43" ht="15.75" customHeight="1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</row>
    <row r="686" spans="1:43" ht="15.75" customHeight="1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</row>
    <row r="687" spans="1:43" ht="15.75" customHeight="1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  <c r="AA687" s="114"/>
      <c r="AB687" s="114"/>
      <c r="AC687" s="114"/>
      <c r="AD687" s="114"/>
      <c r="AE687" s="114"/>
      <c r="AF687" s="114"/>
      <c r="AG687" s="114"/>
      <c r="AH687" s="114"/>
      <c r="AI687" s="114"/>
      <c r="AJ687" s="114"/>
      <c r="AK687" s="114"/>
      <c r="AL687" s="114"/>
      <c r="AM687" s="114"/>
      <c r="AN687" s="114"/>
      <c r="AO687" s="114"/>
      <c r="AP687" s="114"/>
      <c r="AQ687" s="114"/>
    </row>
    <row r="688" spans="1:43" ht="15.75" customHeight="1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  <c r="AA688" s="114"/>
      <c r="AB688" s="114"/>
      <c r="AC688" s="114"/>
      <c r="AD688" s="114"/>
      <c r="AE688" s="114"/>
      <c r="AF688" s="114"/>
      <c r="AG688" s="114"/>
      <c r="AH688" s="114"/>
      <c r="AI688" s="114"/>
      <c r="AJ688" s="114"/>
      <c r="AK688" s="114"/>
      <c r="AL688" s="114"/>
      <c r="AM688" s="114"/>
      <c r="AN688" s="114"/>
      <c r="AO688" s="114"/>
      <c r="AP688" s="114"/>
      <c r="AQ688" s="114"/>
    </row>
    <row r="689" spans="1:43" ht="15.75" customHeight="1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</row>
    <row r="690" spans="1:43" ht="15.75" customHeight="1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</row>
    <row r="691" spans="1:43" ht="15.75" customHeight="1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  <c r="AA691" s="114"/>
      <c r="AB691" s="114"/>
      <c r="AC691" s="114"/>
      <c r="AD691" s="114"/>
      <c r="AE691" s="114"/>
      <c r="AF691" s="114"/>
      <c r="AG691" s="114"/>
      <c r="AH691" s="114"/>
      <c r="AI691" s="114"/>
      <c r="AJ691" s="114"/>
      <c r="AK691" s="114"/>
      <c r="AL691" s="114"/>
      <c r="AM691" s="114"/>
      <c r="AN691" s="114"/>
      <c r="AO691" s="114"/>
      <c r="AP691" s="114"/>
      <c r="AQ691" s="114"/>
    </row>
    <row r="692" spans="1:43" ht="15.75" customHeight="1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  <c r="AA692" s="114"/>
      <c r="AB692" s="114"/>
      <c r="AC692" s="114"/>
      <c r="AD692" s="114"/>
      <c r="AE692" s="114"/>
      <c r="AF692" s="114"/>
      <c r="AG692" s="114"/>
      <c r="AH692" s="114"/>
      <c r="AI692" s="114"/>
      <c r="AJ692" s="114"/>
      <c r="AK692" s="114"/>
      <c r="AL692" s="114"/>
      <c r="AM692" s="114"/>
      <c r="AN692" s="114"/>
      <c r="AO692" s="114"/>
      <c r="AP692" s="114"/>
      <c r="AQ692" s="114"/>
    </row>
    <row r="693" spans="1:43" ht="15.75" customHeight="1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</row>
    <row r="694" spans="1:43" ht="15.75" customHeight="1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</row>
    <row r="695" spans="1:43" ht="15.75" customHeight="1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  <c r="AA695" s="114"/>
      <c r="AB695" s="114"/>
      <c r="AC695" s="114"/>
      <c r="AD695" s="114"/>
      <c r="AE695" s="114"/>
      <c r="AF695" s="114"/>
      <c r="AG695" s="114"/>
      <c r="AH695" s="114"/>
      <c r="AI695" s="114"/>
      <c r="AJ695" s="114"/>
      <c r="AK695" s="114"/>
      <c r="AL695" s="114"/>
      <c r="AM695" s="114"/>
      <c r="AN695" s="114"/>
      <c r="AO695" s="114"/>
      <c r="AP695" s="114"/>
      <c r="AQ695" s="114"/>
    </row>
    <row r="696" spans="1:43" ht="15.75" customHeight="1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  <c r="AA696" s="114"/>
      <c r="AB696" s="114"/>
      <c r="AC696" s="114"/>
      <c r="AD696" s="114"/>
      <c r="AE696" s="114"/>
      <c r="AF696" s="114"/>
      <c r="AG696" s="114"/>
      <c r="AH696" s="114"/>
      <c r="AI696" s="114"/>
      <c r="AJ696" s="114"/>
      <c r="AK696" s="114"/>
      <c r="AL696" s="114"/>
      <c r="AM696" s="114"/>
      <c r="AN696" s="114"/>
      <c r="AO696" s="114"/>
      <c r="AP696" s="114"/>
      <c r="AQ696" s="114"/>
    </row>
    <row r="697" spans="1:43" ht="15.75" customHeight="1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</row>
    <row r="698" spans="1:43" ht="15.75" customHeight="1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</row>
    <row r="699" spans="1:43" ht="15.75" customHeight="1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  <c r="AA699" s="114"/>
      <c r="AB699" s="114"/>
      <c r="AC699" s="114"/>
      <c r="AD699" s="114"/>
      <c r="AE699" s="114"/>
      <c r="AF699" s="114"/>
      <c r="AG699" s="114"/>
      <c r="AH699" s="114"/>
      <c r="AI699" s="114"/>
      <c r="AJ699" s="114"/>
      <c r="AK699" s="114"/>
      <c r="AL699" s="114"/>
      <c r="AM699" s="114"/>
      <c r="AN699" s="114"/>
      <c r="AO699" s="114"/>
      <c r="AP699" s="114"/>
      <c r="AQ699" s="114"/>
    </row>
    <row r="700" spans="1:43" ht="15.75" customHeight="1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  <c r="AA700" s="114"/>
      <c r="AB700" s="114"/>
      <c r="AC700" s="114"/>
      <c r="AD700" s="114"/>
      <c r="AE700" s="114"/>
      <c r="AF700" s="114"/>
      <c r="AG700" s="114"/>
      <c r="AH700" s="114"/>
      <c r="AI700" s="114"/>
      <c r="AJ700" s="114"/>
      <c r="AK700" s="114"/>
      <c r="AL700" s="114"/>
      <c r="AM700" s="114"/>
      <c r="AN700" s="114"/>
      <c r="AO700" s="114"/>
      <c r="AP700" s="114"/>
      <c r="AQ700" s="114"/>
    </row>
    <row r="701" spans="1:43" ht="15.75" customHeight="1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</row>
    <row r="702" spans="1:43" ht="15.75" customHeight="1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</row>
    <row r="703" spans="1:43" ht="15.75" customHeight="1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  <c r="AA703" s="114"/>
      <c r="AB703" s="114"/>
      <c r="AC703" s="114"/>
      <c r="AD703" s="114"/>
      <c r="AE703" s="114"/>
      <c r="AF703" s="114"/>
      <c r="AG703" s="114"/>
      <c r="AH703" s="114"/>
      <c r="AI703" s="114"/>
      <c r="AJ703" s="114"/>
      <c r="AK703" s="114"/>
      <c r="AL703" s="114"/>
      <c r="AM703" s="114"/>
      <c r="AN703" s="114"/>
      <c r="AO703" s="114"/>
      <c r="AP703" s="114"/>
      <c r="AQ703" s="114"/>
    </row>
    <row r="704" spans="1:43" ht="15.75" customHeight="1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  <c r="AA704" s="114"/>
      <c r="AB704" s="114"/>
      <c r="AC704" s="114"/>
      <c r="AD704" s="114"/>
      <c r="AE704" s="114"/>
      <c r="AF704" s="114"/>
      <c r="AG704" s="114"/>
      <c r="AH704" s="114"/>
      <c r="AI704" s="114"/>
      <c r="AJ704" s="114"/>
      <c r="AK704" s="114"/>
      <c r="AL704" s="114"/>
      <c r="AM704" s="114"/>
      <c r="AN704" s="114"/>
      <c r="AO704" s="114"/>
      <c r="AP704" s="114"/>
      <c r="AQ704" s="114"/>
    </row>
    <row r="705" spans="1:43" ht="15.75" customHeight="1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</row>
    <row r="706" spans="1:43" ht="15.75" customHeight="1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</row>
    <row r="707" spans="1:43" ht="15.75" customHeight="1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  <c r="AA707" s="114"/>
      <c r="AB707" s="114"/>
      <c r="AC707" s="114"/>
      <c r="AD707" s="114"/>
      <c r="AE707" s="114"/>
      <c r="AF707" s="114"/>
      <c r="AG707" s="114"/>
      <c r="AH707" s="114"/>
      <c r="AI707" s="114"/>
      <c r="AJ707" s="114"/>
      <c r="AK707" s="114"/>
      <c r="AL707" s="114"/>
      <c r="AM707" s="114"/>
      <c r="AN707" s="114"/>
      <c r="AO707" s="114"/>
      <c r="AP707" s="114"/>
      <c r="AQ707" s="114"/>
    </row>
    <row r="708" spans="1:43" ht="15.75" customHeight="1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114"/>
      <c r="AJ708" s="114"/>
      <c r="AK708" s="114"/>
      <c r="AL708" s="114"/>
      <c r="AM708" s="114"/>
      <c r="AN708" s="114"/>
      <c r="AO708" s="114"/>
      <c r="AP708" s="114"/>
      <c r="AQ708" s="114"/>
    </row>
    <row r="709" spans="1:43" ht="15.75" customHeight="1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</row>
    <row r="710" spans="1:43" ht="15.75" customHeight="1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</row>
    <row r="711" spans="1:43" ht="15.75" customHeight="1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  <c r="AA711" s="114"/>
      <c r="AB711" s="114"/>
      <c r="AC711" s="114"/>
      <c r="AD711" s="114"/>
      <c r="AE711" s="114"/>
      <c r="AF711" s="114"/>
      <c r="AG711" s="114"/>
      <c r="AH711" s="114"/>
      <c r="AI711" s="114"/>
      <c r="AJ711" s="114"/>
      <c r="AK711" s="114"/>
      <c r="AL711" s="114"/>
      <c r="AM711" s="114"/>
      <c r="AN711" s="114"/>
      <c r="AO711" s="114"/>
      <c r="AP711" s="114"/>
      <c r="AQ711" s="114"/>
    </row>
    <row r="712" spans="1:43" ht="15.75" customHeight="1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  <c r="AA712" s="114"/>
      <c r="AB712" s="114"/>
      <c r="AC712" s="114"/>
      <c r="AD712" s="114"/>
      <c r="AE712" s="114"/>
      <c r="AF712" s="114"/>
      <c r="AG712" s="114"/>
      <c r="AH712" s="114"/>
      <c r="AI712" s="114"/>
      <c r="AJ712" s="114"/>
      <c r="AK712" s="114"/>
      <c r="AL712" s="114"/>
      <c r="AM712" s="114"/>
      <c r="AN712" s="114"/>
      <c r="AO712" s="114"/>
      <c r="AP712" s="114"/>
      <c r="AQ712" s="114"/>
    </row>
    <row r="713" spans="1:43" ht="15.75" customHeight="1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</row>
    <row r="714" spans="1:43" ht="15.75" customHeight="1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</row>
    <row r="715" spans="1:43" ht="15.75" customHeight="1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  <c r="AA715" s="114"/>
      <c r="AB715" s="114"/>
      <c r="AC715" s="114"/>
      <c r="AD715" s="114"/>
      <c r="AE715" s="114"/>
      <c r="AF715" s="114"/>
      <c r="AG715" s="114"/>
      <c r="AH715" s="114"/>
      <c r="AI715" s="114"/>
      <c r="AJ715" s="114"/>
      <c r="AK715" s="114"/>
      <c r="AL715" s="114"/>
      <c r="AM715" s="114"/>
      <c r="AN715" s="114"/>
      <c r="AO715" s="114"/>
      <c r="AP715" s="114"/>
      <c r="AQ715" s="114"/>
    </row>
    <row r="716" spans="1:43" ht="15.75" customHeight="1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  <c r="AA716" s="114"/>
      <c r="AB716" s="114"/>
      <c r="AC716" s="114"/>
      <c r="AD716" s="114"/>
      <c r="AE716" s="114"/>
      <c r="AF716" s="114"/>
      <c r="AG716" s="114"/>
      <c r="AH716" s="114"/>
      <c r="AI716" s="114"/>
      <c r="AJ716" s="114"/>
      <c r="AK716" s="114"/>
      <c r="AL716" s="114"/>
      <c r="AM716" s="114"/>
      <c r="AN716" s="114"/>
      <c r="AO716" s="114"/>
      <c r="AP716" s="114"/>
      <c r="AQ716" s="114"/>
    </row>
    <row r="717" spans="1:43" ht="15.75" customHeight="1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</row>
    <row r="718" spans="1:43" ht="15.75" customHeight="1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</row>
    <row r="719" spans="1:43" ht="15.75" customHeight="1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  <c r="AA719" s="114"/>
      <c r="AB719" s="114"/>
      <c r="AC719" s="114"/>
      <c r="AD719" s="114"/>
      <c r="AE719" s="114"/>
      <c r="AF719" s="114"/>
      <c r="AG719" s="114"/>
      <c r="AH719" s="114"/>
      <c r="AI719" s="114"/>
      <c r="AJ719" s="114"/>
      <c r="AK719" s="114"/>
      <c r="AL719" s="114"/>
      <c r="AM719" s="114"/>
      <c r="AN719" s="114"/>
      <c r="AO719" s="114"/>
      <c r="AP719" s="114"/>
      <c r="AQ719" s="114"/>
    </row>
    <row r="720" spans="1:43" ht="15.75" customHeight="1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  <c r="AA720" s="114"/>
      <c r="AB720" s="114"/>
      <c r="AC720" s="114"/>
      <c r="AD720" s="114"/>
      <c r="AE720" s="114"/>
      <c r="AF720" s="114"/>
      <c r="AG720" s="114"/>
      <c r="AH720" s="114"/>
      <c r="AI720" s="114"/>
      <c r="AJ720" s="114"/>
      <c r="AK720" s="114"/>
      <c r="AL720" s="114"/>
      <c r="AM720" s="114"/>
      <c r="AN720" s="114"/>
      <c r="AO720" s="114"/>
      <c r="AP720" s="114"/>
      <c r="AQ720" s="114"/>
    </row>
    <row r="721" spans="1:43" ht="15.75" customHeight="1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</row>
    <row r="722" spans="1:43" ht="15.75" customHeight="1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</row>
    <row r="723" spans="1:43" ht="15.75" customHeight="1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  <c r="AA723" s="114"/>
      <c r="AB723" s="114"/>
      <c r="AC723" s="114"/>
      <c r="AD723" s="114"/>
      <c r="AE723" s="114"/>
      <c r="AF723" s="114"/>
      <c r="AG723" s="114"/>
      <c r="AH723" s="114"/>
      <c r="AI723" s="114"/>
      <c r="AJ723" s="114"/>
      <c r="AK723" s="114"/>
      <c r="AL723" s="114"/>
      <c r="AM723" s="114"/>
      <c r="AN723" s="114"/>
      <c r="AO723" s="114"/>
      <c r="AP723" s="114"/>
      <c r="AQ723" s="114"/>
    </row>
    <row r="724" spans="1:43" ht="15.75" customHeight="1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  <c r="AA724" s="114"/>
      <c r="AB724" s="114"/>
      <c r="AC724" s="114"/>
      <c r="AD724" s="114"/>
      <c r="AE724" s="114"/>
      <c r="AF724" s="114"/>
      <c r="AG724" s="114"/>
      <c r="AH724" s="114"/>
      <c r="AI724" s="114"/>
      <c r="AJ724" s="114"/>
      <c r="AK724" s="114"/>
      <c r="AL724" s="114"/>
      <c r="AM724" s="114"/>
      <c r="AN724" s="114"/>
      <c r="AO724" s="114"/>
      <c r="AP724" s="114"/>
      <c r="AQ724" s="114"/>
    </row>
    <row r="725" spans="1:43" ht="15.75" customHeight="1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</row>
    <row r="726" spans="1:43" ht="15.75" customHeight="1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</row>
    <row r="727" spans="1:43" ht="15.75" customHeight="1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114"/>
      <c r="AJ727" s="114"/>
      <c r="AK727" s="114"/>
      <c r="AL727" s="114"/>
      <c r="AM727" s="114"/>
      <c r="AN727" s="114"/>
      <c r="AO727" s="114"/>
      <c r="AP727" s="114"/>
      <c r="AQ727" s="114"/>
    </row>
    <row r="728" spans="1:43" ht="15.75" customHeight="1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  <c r="AA728" s="114"/>
      <c r="AB728" s="114"/>
      <c r="AC728" s="114"/>
      <c r="AD728" s="114"/>
      <c r="AE728" s="114"/>
      <c r="AF728" s="114"/>
      <c r="AG728" s="114"/>
      <c r="AH728" s="114"/>
      <c r="AI728" s="114"/>
      <c r="AJ728" s="114"/>
      <c r="AK728" s="114"/>
      <c r="AL728" s="114"/>
      <c r="AM728" s="114"/>
      <c r="AN728" s="114"/>
      <c r="AO728" s="114"/>
      <c r="AP728" s="114"/>
      <c r="AQ728" s="114"/>
    </row>
    <row r="729" spans="1:43" ht="15.75" customHeight="1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</row>
    <row r="730" spans="1:43" ht="15.75" customHeight="1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</row>
    <row r="731" spans="1:43" ht="15.75" customHeight="1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  <c r="AA731" s="114"/>
      <c r="AB731" s="114"/>
      <c r="AC731" s="114"/>
      <c r="AD731" s="114"/>
      <c r="AE731" s="114"/>
      <c r="AF731" s="114"/>
      <c r="AG731" s="114"/>
      <c r="AH731" s="114"/>
      <c r="AI731" s="114"/>
      <c r="AJ731" s="114"/>
      <c r="AK731" s="114"/>
      <c r="AL731" s="114"/>
      <c r="AM731" s="114"/>
      <c r="AN731" s="114"/>
      <c r="AO731" s="114"/>
      <c r="AP731" s="114"/>
      <c r="AQ731" s="114"/>
    </row>
    <row r="732" spans="1:43" ht="15.75" customHeight="1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  <c r="AA732" s="114"/>
      <c r="AB732" s="114"/>
      <c r="AC732" s="114"/>
      <c r="AD732" s="114"/>
      <c r="AE732" s="114"/>
      <c r="AF732" s="114"/>
      <c r="AG732" s="114"/>
      <c r="AH732" s="114"/>
      <c r="AI732" s="114"/>
      <c r="AJ732" s="114"/>
      <c r="AK732" s="114"/>
      <c r="AL732" s="114"/>
      <c r="AM732" s="114"/>
      <c r="AN732" s="114"/>
      <c r="AO732" s="114"/>
      <c r="AP732" s="114"/>
      <c r="AQ732" s="114"/>
    </row>
    <row r="733" spans="1:43" ht="15.75" customHeight="1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</row>
    <row r="734" spans="1:43" ht="15.75" customHeight="1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</row>
    <row r="735" spans="1:43" ht="15.75" customHeight="1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114"/>
      <c r="AF735" s="114"/>
      <c r="AG735" s="114"/>
      <c r="AH735" s="114"/>
      <c r="AI735" s="114"/>
      <c r="AJ735" s="114"/>
      <c r="AK735" s="114"/>
      <c r="AL735" s="114"/>
      <c r="AM735" s="114"/>
      <c r="AN735" s="114"/>
      <c r="AO735" s="114"/>
      <c r="AP735" s="114"/>
      <c r="AQ735" s="114"/>
    </row>
    <row r="736" spans="1:43" ht="15.75" customHeight="1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  <c r="AA736" s="114"/>
      <c r="AB736" s="114"/>
      <c r="AC736" s="114"/>
      <c r="AD736" s="114"/>
      <c r="AE736" s="114"/>
      <c r="AF736" s="114"/>
      <c r="AG736" s="114"/>
      <c r="AH736" s="114"/>
      <c r="AI736" s="114"/>
      <c r="AJ736" s="114"/>
      <c r="AK736" s="114"/>
      <c r="AL736" s="114"/>
      <c r="AM736" s="114"/>
      <c r="AN736" s="114"/>
      <c r="AO736" s="114"/>
      <c r="AP736" s="114"/>
      <c r="AQ736" s="114"/>
    </row>
    <row r="737" spans="1:43" ht="15.75" customHeight="1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</row>
    <row r="738" spans="1:43" ht="15.75" customHeight="1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</row>
    <row r="739" spans="1:43" ht="15.75" customHeight="1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  <c r="AA739" s="114"/>
      <c r="AB739" s="114"/>
      <c r="AC739" s="114"/>
      <c r="AD739" s="114"/>
      <c r="AE739" s="114"/>
      <c r="AF739" s="114"/>
      <c r="AG739" s="114"/>
      <c r="AH739" s="114"/>
      <c r="AI739" s="114"/>
      <c r="AJ739" s="114"/>
      <c r="AK739" s="114"/>
      <c r="AL739" s="114"/>
      <c r="AM739" s="114"/>
      <c r="AN739" s="114"/>
      <c r="AO739" s="114"/>
      <c r="AP739" s="114"/>
      <c r="AQ739" s="114"/>
    </row>
    <row r="740" spans="1:43" ht="15.75" customHeight="1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  <c r="AI740" s="114"/>
      <c r="AJ740" s="114"/>
      <c r="AK740" s="114"/>
      <c r="AL740" s="114"/>
      <c r="AM740" s="114"/>
      <c r="AN740" s="114"/>
      <c r="AO740" s="114"/>
      <c r="AP740" s="114"/>
      <c r="AQ740" s="114"/>
    </row>
    <row r="741" spans="1:43" ht="15.75" customHeight="1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</row>
    <row r="742" spans="1:43" ht="15.75" customHeight="1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</row>
    <row r="743" spans="1:43" ht="15.75" customHeight="1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  <c r="AA743" s="114"/>
      <c r="AB743" s="114"/>
      <c r="AC743" s="114"/>
      <c r="AD743" s="114"/>
      <c r="AE743" s="114"/>
      <c r="AF743" s="114"/>
      <c r="AG743" s="114"/>
      <c r="AH743" s="114"/>
      <c r="AI743" s="114"/>
      <c r="AJ743" s="114"/>
      <c r="AK743" s="114"/>
      <c r="AL743" s="114"/>
      <c r="AM743" s="114"/>
      <c r="AN743" s="114"/>
      <c r="AO743" s="114"/>
      <c r="AP743" s="114"/>
      <c r="AQ743" s="114"/>
    </row>
    <row r="744" spans="1:43" ht="15.75" customHeight="1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  <c r="AA744" s="114"/>
      <c r="AB744" s="114"/>
      <c r="AC744" s="114"/>
      <c r="AD744" s="114"/>
      <c r="AE744" s="114"/>
      <c r="AF744" s="114"/>
      <c r="AG744" s="114"/>
      <c r="AH744" s="114"/>
      <c r="AI744" s="114"/>
      <c r="AJ744" s="114"/>
      <c r="AK744" s="114"/>
      <c r="AL744" s="114"/>
      <c r="AM744" s="114"/>
      <c r="AN744" s="114"/>
      <c r="AO744" s="114"/>
      <c r="AP744" s="114"/>
      <c r="AQ744" s="114"/>
    </row>
    <row r="745" spans="1:43" ht="15.75" customHeight="1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</row>
    <row r="746" spans="1:43" ht="15.75" customHeight="1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</row>
    <row r="747" spans="1:43" ht="15.75" customHeight="1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  <c r="AA747" s="114"/>
      <c r="AB747" s="114"/>
      <c r="AC747" s="114"/>
      <c r="AD747" s="114"/>
      <c r="AE747" s="114"/>
      <c r="AF747" s="114"/>
      <c r="AG747" s="114"/>
      <c r="AH747" s="114"/>
      <c r="AI747" s="114"/>
      <c r="AJ747" s="114"/>
      <c r="AK747" s="114"/>
      <c r="AL747" s="114"/>
      <c r="AM747" s="114"/>
      <c r="AN747" s="114"/>
      <c r="AO747" s="114"/>
      <c r="AP747" s="114"/>
      <c r="AQ747" s="114"/>
    </row>
    <row r="748" spans="1:43" ht="15.75" customHeight="1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  <c r="AA748" s="114"/>
      <c r="AB748" s="114"/>
      <c r="AC748" s="114"/>
      <c r="AD748" s="114"/>
      <c r="AE748" s="114"/>
      <c r="AF748" s="114"/>
      <c r="AG748" s="114"/>
      <c r="AH748" s="114"/>
      <c r="AI748" s="114"/>
      <c r="AJ748" s="114"/>
      <c r="AK748" s="114"/>
      <c r="AL748" s="114"/>
      <c r="AM748" s="114"/>
      <c r="AN748" s="114"/>
      <c r="AO748" s="114"/>
      <c r="AP748" s="114"/>
      <c r="AQ748" s="114"/>
    </row>
    <row r="749" spans="1:43" ht="15.75" customHeight="1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  <c r="AA749" s="114"/>
      <c r="AB749" s="114"/>
      <c r="AC749" s="114"/>
      <c r="AD749" s="114"/>
      <c r="AE749" s="114"/>
      <c r="AF749" s="114"/>
      <c r="AG749" s="114"/>
      <c r="AH749" s="114"/>
      <c r="AI749" s="114"/>
      <c r="AJ749" s="114"/>
      <c r="AK749" s="114"/>
      <c r="AL749" s="114"/>
      <c r="AM749" s="114"/>
      <c r="AN749" s="114"/>
      <c r="AO749" s="114"/>
      <c r="AP749" s="114"/>
      <c r="AQ749" s="114"/>
    </row>
    <row r="750" spans="1:43" ht="15.75" customHeight="1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  <c r="AA750" s="114"/>
      <c r="AB750" s="114"/>
      <c r="AC750" s="114"/>
      <c r="AD750" s="114"/>
      <c r="AE750" s="114"/>
      <c r="AF750" s="114"/>
      <c r="AG750" s="114"/>
      <c r="AH750" s="114"/>
      <c r="AI750" s="114"/>
      <c r="AJ750" s="114"/>
      <c r="AK750" s="114"/>
      <c r="AL750" s="114"/>
      <c r="AM750" s="114"/>
      <c r="AN750" s="114"/>
      <c r="AO750" s="114"/>
      <c r="AP750" s="114"/>
      <c r="AQ750" s="114"/>
    </row>
    <row r="751" spans="1:43" ht="15.75" customHeight="1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  <c r="AA751" s="114"/>
      <c r="AB751" s="114"/>
      <c r="AC751" s="114"/>
      <c r="AD751" s="114"/>
      <c r="AE751" s="114"/>
      <c r="AF751" s="114"/>
      <c r="AG751" s="114"/>
      <c r="AH751" s="114"/>
      <c r="AI751" s="114"/>
      <c r="AJ751" s="114"/>
      <c r="AK751" s="114"/>
      <c r="AL751" s="114"/>
      <c r="AM751" s="114"/>
      <c r="AN751" s="114"/>
      <c r="AO751" s="114"/>
      <c r="AP751" s="114"/>
      <c r="AQ751" s="114"/>
    </row>
    <row r="752" spans="1:43" ht="15.75" customHeight="1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  <c r="AA752" s="114"/>
      <c r="AB752" s="114"/>
      <c r="AC752" s="114"/>
      <c r="AD752" s="114"/>
      <c r="AE752" s="114"/>
      <c r="AF752" s="114"/>
      <c r="AG752" s="114"/>
      <c r="AH752" s="114"/>
      <c r="AI752" s="114"/>
      <c r="AJ752" s="114"/>
      <c r="AK752" s="114"/>
      <c r="AL752" s="114"/>
      <c r="AM752" s="114"/>
      <c r="AN752" s="114"/>
      <c r="AO752" s="114"/>
      <c r="AP752" s="114"/>
      <c r="AQ752" s="114"/>
    </row>
    <row r="753" spans="1:43" ht="15.75" customHeight="1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  <c r="AA753" s="114"/>
      <c r="AB753" s="114"/>
      <c r="AC753" s="114"/>
      <c r="AD753" s="114"/>
      <c r="AE753" s="114"/>
      <c r="AF753" s="114"/>
      <c r="AG753" s="114"/>
      <c r="AH753" s="114"/>
      <c r="AI753" s="114"/>
      <c r="AJ753" s="114"/>
      <c r="AK753" s="114"/>
      <c r="AL753" s="114"/>
      <c r="AM753" s="114"/>
      <c r="AN753" s="114"/>
      <c r="AO753" s="114"/>
      <c r="AP753" s="114"/>
      <c r="AQ753" s="114"/>
    </row>
    <row r="754" spans="1:43" ht="15.75" customHeight="1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  <c r="AA754" s="114"/>
      <c r="AB754" s="114"/>
      <c r="AC754" s="114"/>
      <c r="AD754" s="114"/>
      <c r="AE754" s="114"/>
      <c r="AF754" s="114"/>
      <c r="AG754" s="114"/>
      <c r="AH754" s="114"/>
      <c r="AI754" s="114"/>
      <c r="AJ754" s="114"/>
      <c r="AK754" s="114"/>
      <c r="AL754" s="114"/>
      <c r="AM754" s="114"/>
      <c r="AN754" s="114"/>
      <c r="AO754" s="114"/>
      <c r="AP754" s="114"/>
      <c r="AQ754" s="114"/>
    </row>
    <row r="755" spans="1:43" ht="15.75" customHeight="1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  <c r="AA755" s="114"/>
      <c r="AB755" s="114"/>
      <c r="AC755" s="114"/>
      <c r="AD755" s="114"/>
      <c r="AE755" s="114"/>
      <c r="AF755" s="114"/>
      <c r="AG755" s="114"/>
      <c r="AH755" s="114"/>
      <c r="AI755" s="114"/>
      <c r="AJ755" s="114"/>
      <c r="AK755" s="114"/>
      <c r="AL755" s="114"/>
      <c r="AM755" s="114"/>
      <c r="AN755" s="114"/>
      <c r="AO755" s="114"/>
      <c r="AP755" s="114"/>
      <c r="AQ755" s="114"/>
    </row>
    <row r="756" spans="1:43" ht="15.75" customHeight="1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  <c r="AA756" s="114"/>
      <c r="AB756" s="114"/>
      <c r="AC756" s="114"/>
      <c r="AD756" s="114"/>
      <c r="AE756" s="114"/>
      <c r="AF756" s="114"/>
      <c r="AG756" s="114"/>
      <c r="AH756" s="114"/>
      <c r="AI756" s="114"/>
      <c r="AJ756" s="114"/>
      <c r="AK756" s="114"/>
      <c r="AL756" s="114"/>
      <c r="AM756" s="114"/>
      <c r="AN756" s="114"/>
      <c r="AO756" s="114"/>
      <c r="AP756" s="114"/>
      <c r="AQ756" s="114"/>
    </row>
    <row r="757" spans="1:43" ht="15.75" customHeight="1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  <c r="AA757" s="114"/>
      <c r="AB757" s="114"/>
      <c r="AC757" s="114"/>
      <c r="AD757" s="114"/>
      <c r="AE757" s="114"/>
      <c r="AF757" s="114"/>
      <c r="AG757" s="114"/>
      <c r="AH757" s="114"/>
      <c r="AI757" s="114"/>
      <c r="AJ757" s="114"/>
      <c r="AK757" s="114"/>
      <c r="AL757" s="114"/>
      <c r="AM757" s="114"/>
      <c r="AN757" s="114"/>
      <c r="AO757" s="114"/>
      <c r="AP757" s="114"/>
      <c r="AQ757" s="114"/>
    </row>
    <row r="758" spans="1:43" ht="15.75" customHeight="1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  <c r="AA758" s="114"/>
      <c r="AB758" s="114"/>
      <c r="AC758" s="114"/>
      <c r="AD758" s="114"/>
      <c r="AE758" s="114"/>
      <c r="AF758" s="114"/>
      <c r="AG758" s="114"/>
      <c r="AH758" s="114"/>
      <c r="AI758" s="114"/>
      <c r="AJ758" s="114"/>
      <c r="AK758" s="114"/>
      <c r="AL758" s="114"/>
      <c r="AM758" s="114"/>
      <c r="AN758" s="114"/>
      <c r="AO758" s="114"/>
      <c r="AP758" s="114"/>
      <c r="AQ758" s="114"/>
    </row>
    <row r="759" spans="1:43" ht="15.75" customHeight="1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  <c r="AA759" s="114"/>
      <c r="AB759" s="114"/>
      <c r="AC759" s="114"/>
      <c r="AD759" s="114"/>
      <c r="AE759" s="114"/>
      <c r="AF759" s="114"/>
      <c r="AG759" s="114"/>
      <c r="AH759" s="114"/>
      <c r="AI759" s="114"/>
      <c r="AJ759" s="114"/>
      <c r="AK759" s="114"/>
      <c r="AL759" s="114"/>
      <c r="AM759" s="114"/>
      <c r="AN759" s="114"/>
      <c r="AO759" s="114"/>
      <c r="AP759" s="114"/>
      <c r="AQ759" s="114"/>
    </row>
    <row r="760" spans="1:43" ht="15.75" customHeight="1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  <c r="AA760" s="114"/>
      <c r="AB760" s="114"/>
      <c r="AC760" s="114"/>
      <c r="AD760" s="114"/>
      <c r="AE760" s="114"/>
      <c r="AF760" s="114"/>
      <c r="AG760" s="114"/>
      <c r="AH760" s="114"/>
      <c r="AI760" s="114"/>
      <c r="AJ760" s="114"/>
      <c r="AK760" s="114"/>
      <c r="AL760" s="114"/>
      <c r="AM760" s="114"/>
      <c r="AN760" s="114"/>
      <c r="AO760" s="114"/>
      <c r="AP760" s="114"/>
      <c r="AQ760" s="114"/>
    </row>
    <row r="761" spans="1:43" ht="15.75" customHeight="1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  <c r="AA761" s="114"/>
      <c r="AB761" s="114"/>
      <c r="AC761" s="114"/>
      <c r="AD761" s="114"/>
      <c r="AE761" s="114"/>
      <c r="AF761" s="114"/>
      <c r="AG761" s="114"/>
      <c r="AH761" s="114"/>
      <c r="AI761" s="114"/>
      <c r="AJ761" s="114"/>
      <c r="AK761" s="114"/>
      <c r="AL761" s="114"/>
      <c r="AM761" s="114"/>
      <c r="AN761" s="114"/>
      <c r="AO761" s="114"/>
      <c r="AP761" s="114"/>
      <c r="AQ761" s="114"/>
    </row>
    <row r="762" spans="1:43" ht="15.75" customHeight="1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  <c r="AA762" s="114"/>
      <c r="AB762" s="114"/>
      <c r="AC762" s="114"/>
      <c r="AD762" s="114"/>
      <c r="AE762" s="114"/>
      <c r="AF762" s="114"/>
      <c r="AG762" s="114"/>
      <c r="AH762" s="114"/>
      <c r="AI762" s="114"/>
      <c r="AJ762" s="114"/>
      <c r="AK762" s="114"/>
      <c r="AL762" s="114"/>
      <c r="AM762" s="114"/>
      <c r="AN762" s="114"/>
      <c r="AO762" s="114"/>
      <c r="AP762" s="114"/>
      <c r="AQ762" s="114"/>
    </row>
    <row r="763" spans="1:43" ht="15.75" customHeight="1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</row>
    <row r="764" spans="1:43" ht="15.75" customHeight="1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</row>
    <row r="765" spans="1:43" ht="15.75" customHeight="1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  <c r="AA765" s="114"/>
      <c r="AB765" s="114"/>
      <c r="AC765" s="114"/>
      <c r="AD765" s="114"/>
      <c r="AE765" s="114"/>
      <c r="AF765" s="114"/>
      <c r="AG765" s="114"/>
      <c r="AH765" s="114"/>
      <c r="AI765" s="114"/>
      <c r="AJ765" s="114"/>
      <c r="AK765" s="114"/>
      <c r="AL765" s="114"/>
      <c r="AM765" s="114"/>
      <c r="AN765" s="114"/>
      <c r="AO765" s="114"/>
      <c r="AP765" s="114"/>
      <c r="AQ765" s="114"/>
    </row>
    <row r="766" spans="1:43" ht="15.75" customHeight="1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  <c r="AA766" s="114"/>
      <c r="AB766" s="114"/>
      <c r="AC766" s="114"/>
      <c r="AD766" s="114"/>
      <c r="AE766" s="114"/>
      <c r="AF766" s="114"/>
      <c r="AG766" s="114"/>
      <c r="AH766" s="114"/>
      <c r="AI766" s="114"/>
      <c r="AJ766" s="114"/>
      <c r="AK766" s="114"/>
      <c r="AL766" s="114"/>
      <c r="AM766" s="114"/>
      <c r="AN766" s="114"/>
      <c r="AO766" s="114"/>
      <c r="AP766" s="114"/>
      <c r="AQ766" s="114"/>
    </row>
    <row r="767" spans="1:43" ht="15.75" customHeight="1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</row>
    <row r="768" spans="1:43" ht="15.75" customHeight="1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</row>
    <row r="769" spans="1:43" ht="15.75" customHeight="1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  <c r="AA769" s="114"/>
      <c r="AB769" s="114"/>
      <c r="AC769" s="114"/>
      <c r="AD769" s="114"/>
      <c r="AE769" s="114"/>
      <c r="AF769" s="114"/>
      <c r="AG769" s="114"/>
      <c r="AH769" s="114"/>
      <c r="AI769" s="114"/>
      <c r="AJ769" s="114"/>
      <c r="AK769" s="114"/>
      <c r="AL769" s="114"/>
      <c r="AM769" s="114"/>
      <c r="AN769" s="114"/>
      <c r="AO769" s="114"/>
      <c r="AP769" s="114"/>
      <c r="AQ769" s="114"/>
    </row>
    <row r="770" spans="1:43" ht="15.75" customHeight="1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  <c r="AA770" s="114"/>
      <c r="AB770" s="114"/>
      <c r="AC770" s="114"/>
      <c r="AD770" s="114"/>
      <c r="AE770" s="114"/>
      <c r="AF770" s="114"/>
      <c r="AG770" s="114"/>
      <c r="AH770" s="114"/>
      <c r="AI770" s="114"/>
      <c r="AJ770" s="114"/>
      <c r="AK770" s="114"/>
      <c r="AL770" s="114"/>
      <c r="AM770" s="114"/>
      <c r="AN770" s="114"/>
      <c r="AO770" s="114"/>
      <c r="AP770" s="114"/>
      <c r="AQ770" s="114"/>
    </row>
    <row r="771" spans="1:43" ht="15.75" customHeight="1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</row>
    <row r="772" spans="1:43" ht="15.75" customHeight="1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</row>
    <row r="773" spans="1:43" ht="15.75" customHeight="1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  <c r="AA773" s="114"/>
      <c r="AB773" s="114"/>
      <c r="AC773" s="114"/>
      <c r="AD773" s="114"/>
      <c r="AE773" s="114"/>
      <c r="AF773" s="114"/>
      <c r="AG773" s="114"/>
      <c r="AH773" s="114"/>
      <c r="AI773" s="114"/>
      <c r="AJ773" s="114"/>
      <c r="AK773" s="114"/>
      <c r="AL773" s="114"/>
      <c r="AM773" s="114"/>
      <c r="AN773" s="114"/>
      <c r="AO773" s="114"/>
      <c r="AP773" s="114"/>
      <c r="AQ773" s="114"/>
    </row>
    <row r="774" spans="1:43" ht="15.75" customHeight="1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  <c r="AA774" s="114"/>
      <c r="AB774" s="114"/>
      <c r="AC774" s="114"/>
      <c r="AD774" s="114"/>
      <c r="AE774" s="114"/>
      <c r="AF774" s="114"/>
      <c r="AG774" s="114"/>
      <c r="AH774" s="114"/>
      <c r="AI774" s="114"/>
      <c r="AJ774" s="114"/>
      <c r="AK774" s="114"/>
      <c r="AL774" s="114"/>
      <c r="AM774" s="114"/>
      <c r="AN774" s="114"/>
      <c r="AO774" s="114"/>
      <c r="AP774" s="114"/>
      <c r="AQ774" s="114"/>
    </row>
    <row r="775" spans="1:43" ht="15.75" customHeight="1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</row>
    <row r="776" spans="1:43" ht="15.75" customHeight="1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</row>
    <row r="777" spans="1:43" ht="15.75" customHeight="1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  <c r="AA777" s="114"/>
      <c r="AB777" s="114"/>
      <c r="AC777" s="114"/>
      <c r="AD777" s="114"/>
      <c r="AE777" s="114"/>
      <c r="AF777" s="114"/>
      <c r="AG777" s="114"/>
      <c r="AH777" s="114"/>
      <c r="AI777" s="114"/>
      <c r="AJ777" s="114"/>
      <c r="AK777" s="114"/>
      <c r="AL777" s="114"/>
      <c r="AM777" s="114"/>
      <c r="AN777" s="114"/>
      <c r="AO777" s="114"/>
      <c r="AP777" s="114"/>
      <c r="AQ777" s="114"/>
    </row>
    <row r="778" spans="1:43" ht="15.75" customHeight="1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  <c r="AA778" s="114"/>
      <c r="AB778" s="114"/>
      <c r="AC778" s="114"/>
      <c r="AD778" s="114"/>
      <c r="AE778" s="114"/>
      <c r="AF778" s="114"/>
      <c r="AG778" s="114"/>
      <c r="AH778" s="114"/>
      <c r="AI778" s="114"/>
      <c r="AJ778" s="114"/>
      <c r="AK778" s="114"/>
      <c r="AL778" s="114"/>
      <c r="AM778" s="114"/>
      <c r="AN778" s="114"/>
      <c r="AO778" s="114"/>
      <c r="AP778" s="114"/>
      <c r="AQ778" s="114"/>
    </row>
    <row r="779" spans="1:43" ht="15.75" customHeight="1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</row>
    <row r="780" spans="1:43" ht="15.75" customHeight="1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</row>
    <row r="781" spans="1:43" ht="15.75" customHeight="1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  <c r="AA781" s="114"/>
      <c r="AB781" s="114"/>
      <c r="AC781" s="114"/>
      <c r="AD781" s="114"/>
      <c r="AE781" s="114"/>
      <c r="AF781" s="114"/>
      <c r="AG781" s="114"/>
      <c r="AH781" s="114"/>
      <c r="AI781" s="114"/>
      <c r="AJ781" s="114"/>
      <c r="AK781" s="114"/>
      <c r="AL781" s="114"/>
      <c r="AM781" s="114"/>
      <c r="AN781" s="114"/>
      <c r="AO781" s="114"/>
      <c r="AP781" s="114"/>
      <c r="AQ781" s="114"/>
    </row>
    <row r="782" spans="1:43" ht="15.75" customHeight="1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  <c r="AA782" s="114"/>
      <c r="AB782" s="114"/>
      <c r="AC782" s="114"/>
      <c r="AD782" s="114"/>
      <c r="AE782" s="114"/>
      <c r="AF782" s="114"/>
      <c r="AG782" s="114"/>
      <c r="AH782" s="114"/>
      <c r="AI782" s="114"/>
      <c r="AJ782" s="114"/>
      <c r="AK782" s="114"/>
      <c r="AL782" s="114"/>
      <c r="AM782" s="114"/>
      <c r="AN782" s="114"/>
      <c r="AO782" s="114"/>
      <c r="AP782" s="114"/>
      <c r="AQ782" s="114"/>
    </row>
    <row r="783" spans="1:43" ht="15.75" customHeight="1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</row>
    <row r="784" spans="1:43" ht="15.75" customHeight="1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</row>
    <row r="785" spans="1:43" ht="15.75" customHeight="1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  <c r="AA785" s="114"/>
      <c r="AB785" s="114"/>
      <c r="AC785" s="114"/>
      <c r="AD785" s="114"/>
      <c r="AE785" s="114"/>
      <c r="AF785" s="114"/>
      <c r="AG785" s="114"/>
      <c r="AH785" s="114"/>
      <c r="AI785" s="114"/>
      <c r="AJ785" s="114"/>
      <c r="AK785" s="114"/>
      <c r="AL785" s="114"/>
      <c r="AM785" s="114"/>
      <c r="AN785" s="114"/>
      <c r="AO785" s="114"/>
      <c r="AP785" s="114"/>
      <c r="AQ785" s="114"/>
    </row>
    <row r="786" spans="1:43" ht="15.75" customHeight="1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  <c r="AA786" s="114"/>
      <c r="AB786" s="114"/>
      <c r="AC786" s="114"/>
      <c r="AD786" s="114"/>
      <c r="AE786" s="114"/>
      <c r="AF786" s="114"/>
      <c r="AG786" s="114"/>
      <c r="AH786" s="114"/>
      <c r="AI786" s="114"/>
      <c r="AJ786" s="114"/>
      <c r="AK786" s="114"/>
      <c r="AL786" s="114"/>
      <c r="AM786" s="114"/>
      <c r="AN786" s="114"/>
      <c r="AO786" s="114"/>
      <c r="AP786" s="114"/>
      <c r="AQ786" s="114"/>
    </row>
    <row r="787" spans="1:43" ht="15.75" customHeight="1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</row>
    <row r="788" spans="1:43" ht="15.75" customHeight="1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</row>
    <row r="789" spans="1:43" ht="15.75" customHeight="1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  <c r="AA789" s="114"/>
      <c r="AB789" s="114"/>
      <c r="AC789" s="114"/>
      <c r="AD789" s="114"/>
      <c r="AE789" s="114"/>
      <c r="AF789" s="114"/>
      <c r="AG789" s="114"/>
      <c r="AH789" s="114"/>
      <c r="AI789" s="114"/>
      <c r="AJ789" s="114"/>
      <c r="AK789" s="114"/>
      <c r="AL789" s="114"/>
      <c r="AM789" s="114"/>
      <c r="AN789" s="114"/>
      <c r="AO789" s="114"/>
      <c r="AP789" s="114"/>
      <c r="AQ789" s="114"/>
    </row>
    <row r="790" spans="1:43" ht="15.75" customHeight="1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  <c r="AA790" s="114"/>
      <c r="AB790" s="114"/>
      <c r="AC790" s="114"/>
      <c r="AD790" s="114"/>
      <c r="AE790" s="114"/>
      <c r="AF790" s="114"/>
      <c r="AG790" s="114"/>
      <c r="AH790" s="114"/>
      <c r="AI790" s="114"/>
      <c r="AJ790" s="114"/>
      <c r="AK790" s="114"/>
      <c r="AL790" s="114"/>
      <c r="AM790" s="114"/>
      <c r="AN790" s="114"/>
      <c r="AO790" s="114"/>
      <c r="AP790" s="114"/>
      <c r="AQ790" s="114"/>
    </row>
    <row r="791" spans="1:43" ht="15.75" customHeight="1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</row>
    <row r="792" spans="1:43" ht="15.75" customHeight="1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</row>
    <row r="793" spans="1:43" ht="15.75" customHeight="1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  <c r="AA793" s="114"/>
      <c r="AB793" s="114"/>
      <c r="AC793" s="114"/>
      <c r="AD793" s="114"/>
      <c r="AE793" s="114"/>
      <c r="AF793" s="114"/>
      <c r="AG793" s="114"/>
      <c r="AH793" s="114"/>
      <c r="AI793" s="114"/>
      <c r="AJ793" s="114"/>
      <c r="AK793" s="114"/>
      <c r="AL793" s="114"/>
      <c r="AM793" s="114"/>
      <c r="AN793" s="114"/>
      <c r="AO793" s="114"/>
      <c r="AP793" s="114"/>
      <c r="AQ793" s="114"/>
    </row>
    <row r="794" spans="1:43" ht="15.75" customHeight="1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  <c r="AA794" s="114"/>
      <c r="AB794" s="114"/>
      <c r="AC794" s="114"/>
      <c r="AD794" s="114"/>
      <c r="AE794" s="114"/>
      <c r="AF794" s="114"/>
      <c r="AG794" s="114"/>
      <c r="AH794" s="114"/>
      <c r="AI794" s="114"/>
      <c r="AJ794" s="114"/>
      <c r="AK794" s="114"/>
      <c r="AL794" s="114"/>
      <c r="AM794" s="114"/>
      <c r="AN794" s="114"/>
      <c r="AO794" s="114"/>
      <c r="AP794" s="114"/>
      <c r="AQ794" s="114"/>
    </row>
    <row r="795" spans="1:43" ht="15.75" customHeight="1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</row>
    <row r="796" spans="1:43" ht="15.75" customHeight="1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</row>
    <row r="797" spans="1:43" ht="15.75" customHeight="1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  <c r="AA797" s="114"/>
      <c r="AB797" s="114"/>
      <c r="AC797" s="114"/>
      <c r="AD797" s="114"/>
      <c r="AE797" s="114"/>
      <c r="AF797" s="114"/>
      <c r="AG797" s="114"/>
      <c r="AH797" s="114"/>
      <c r="AI797" s="114"/>
      <c r="AJ797" s="114"/>
      <c r="AK797" s="114"/>
      <c r="AL797" s="114"/>
      <c r="AM797" s="114"/>
      <c r="AN797" s="114"/>
      <c r="AO797" s="114"/>
      <c r="AP797" s="114"/>
      <c r="AQ797" s="114"/>
    </row>
    <row r="798" spans="1:43" ht="15.75" customHeight="1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  <c r="AA798" s="114"/>
      <c r="AB798" s="114"/>
      <c r="AC798" s="114"/>
      <c r="AD798" s="114"/>
      <c r="AE798" s="114"/>
      <c r="AF798" s="114"/>
      <c r="AG798" s="114"/>
      <c r="AH798" s="114"/>
      <c r="AI798" s="114"/>
      <c r="AJ798" s="114"/>
      <c r="AK798" s="114"/>
      <c r="AL798" s="114"/>
      <c r="AM798" s="114"/>
      <c r="AN798" s="114"/>
      <c r="AO798" s="114"/>
      <c r="AP798" s="114"/>
      <c r="AQ798" s="114"/>
    </row>
    <row r="799" spans="1:43" ht="15.75" customHeight="1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</row>
    <row r="800" spans="1:43" ht="15.75" customHeight="1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</row>
    <row r="801" spans="1:43" ht="15.75" customHeight="1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  <c r="AA801" s="114"/>
      <c r="AB801" s="114"/>
      <c r="AC801" s="114"/>
      <c r="AD801" s="114"/>
      <c r="AE801" s="114"/>
      <c r="AF801" s="114"/>
      <c r="AG801" s="114"/>
      <c r="AH801" s="114"/>
      <c r="AI801" s="114"/>
      <c r="AJ801" s="114"/>
      <c r="AK801" s="114"/>
      <c r="AL801" s="114"/>
      <c r="AM801" s="114"/>
      <c r="AN801" s="114"/>
      <c r="AO801" s="114"/>
      <c r="AP801" s="114"/>
      <c r="AQ801" s="114"/>
    </row>
    <row r="802" spans="1:43" ht="15.75" customHeight="1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  <c r="AA802" s="114"/>
      <c r="AB802" s="114"/>
      <c r="AC802" s="114"/>
      <c r="AD802" s="114"/>
      <c r="AE802" s="114"/>
      <c r="AF802" s="114"/>
      <c r="AG802" s="114"/>
      <c r="AH802" s="114"/>
      <c r="AI802" s="114"/>
      <c r="AJ802" s="114"/>
      <c r="AK802" s="114"/>
      <c r="AL802" s="114"/>
      <c r="AM802" s="114"/>
      <c r="AN802" s="114"/>
      <c r="AO802" s="114"/>
      <c r="AP802" s="114"/>
      <c r="AQ802" s="114"/>
    </row>
    <row r="803" spans="1:43" ht="15.75" customHeight="1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</row>
    <row r="804" spans="1:43" ht="15.75" customHeight="1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</row>
    <row r="805" spans="1:43" ht="15.75" customHeight="1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  <c r="AA805" s="114"/>
      <c r="AB805" s="114"/>
      <c r="AC805" s="114"/>
      <c r="AD805" s="114"/>
      <c r="AE805" s="114"/>
      <c r="AF805" s="114"/>
      <c r="AG805" s="114"/>
      <c r="AH805" s="114"/>
      <c r="AI805" s="114"/>
      <c r="AJ805" s="114"/>
      <c r="AK805" s="114"/>
      <c r="AL805" s="114"/>
      <c r="AM805" s="114"/>
      <c r="AN805" s="114"/>
      <c r="AO805" s="114"/>
      <c r="AP805" s="114"/>
      <c r="AQ805" s="114"/>
    </row>
    <row r="806" spans="1:43" ht="15.75" customHeight="1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  <c r="AA806" s="114"/>
      <c r="AB806" s="114"/>
      <c r="AC806" s="114"/>
      <c r="AD806" s="114"/>
      <c r="AE806" s="114"/>
      <c r="AF806" s="114"/>
      <c r="AG806" s="114"/>
      <c r="AH806" s="114"/>
      <c r="AI806" s="114"/>
      <c r="AJ806" s="114"/>
      <c r="AK806" s="114"/>
      <c r="AL806" s="114"/>
      <c r="AM806" s="114"/>
      <c r="AN806" s="114"/>
      <c r="AO806" s="114"/>
      <c r="AP806" s="114"/>
      <c r="AQ806" s="114"/>
    </row>
    <row r="807" spans="1:43" ht="15.75" customHeight="1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</row>
    <row r="808" spans="1:43" ht="15.75" customHeight="1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</row>
    <row r="809" spans="1:43" ht="15.75" customHeight="1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  <c r="AA809" s="114"/>
      <c r="AB809" s="114"/>
      <c r="AC809" s="114"/>
      <c r="AD809" s="114"/>
      <c r="AE809" s="114"/>
      <c r="AF809" s="114"/>
      <c r="AG809" s="114"/>
      <c r="AH809" s="114"/>
      <c r="AI809" s="114"/>
      <c r="AJ809" s="114"/>
      <c r="AK809" s="114"/>
      <c r="AL809" s="114"/>
      <c r="AM809" s="114"/>
      <c r="AN809" s="114"/>
      <c r="AO809" s="114"/>
      <c r="AP809" s="114"/>
      <c r="AQ809" s="114"/>
    </row>
    <row r="810" spans="1:43" ht="15.75" customHeight="1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  <c r="AA810" s="114"/>
      <c r="AB810" s="114"/>
      <c r="AC810" s="114"/>
      <c r="AD810" s="114"/>
      <c r="AE810" s="114"/>
      <c r="AF810" s="114"/>
      <c r="AG810" s="114"/>
      <c r="AH810" s="114"/>
      <c r="AI810" s="114"/>
      <c r="AJ810" s="114"/>
      <c r="AK810" s="114"/>
      <c r="AL810" s="114"/>
      <c r="AM810" s="114"/>
      <c r="AN810" s="114"/>
      <c r="AO810" s="114"/>
      <c r="AP810" s="114"/>
      <c r="AQ810" s="114"/>
    </row>
    <row r="811" spans="1:43" ht="15.75" customHeight="1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</row>
    <row r="812" spans="1:43" ht="15.75" customHeight="1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</row>
    <row r="813" spans="1:43" ht="15.75" customHeight="1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  <c r="AA813" s="114"/>
      <c r="AB813" s="114"/>
      <c r="AC813" s="114"/>
      <c r="AD813" s="114"/>
      <c r="AE813" s="114"/>
      <c r="AF813" s="114"/>
      <c r="AG813" s="114"/>
      <c r="AH813" s="114"/>
      <c r="AI813" s="114"/>
      <c r="AJ813" s="114"/>
      <c r="AK813" s="114"/>
      <c r="AL813" s="114"/>
      <c r="AM813" s="114"/>
      <c r="AN813" s="114"/>
      <c r="AO813" s="114"/>
      <c r="AP813" s="114"/>
      <c r="AQ813" s="114"/>
    </row>
    <row r="814" spans="1:43" ht="15.75" customHeight="1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  <c r="AA814" s="114"/>
      <c r="AB814" s="114"/>
      <c r="AC814" s="114"/>
      <c r="AD814" s="114"/>
      <c r="AE814" s="114"/>
      <c r="AF814" s="114"/>
      <c r="AG814" s="114"/>
      <c r="AH814" s="114"/>
      <c r="AI814" s="114"/>
      <c r="AJ814" s="114"/>
      <c r="AK814" s="114"/>
      <c r="AL814" s="114"/>
      <c r="AM814" s="114"/>
      <c r="AN814" s="114"/>
      <c r="AO814" s="114"/>
      <c r="AP814" s="114"/>
      <c r="AQ814" s="114"/>
    </row>
    <row r="815" spans="1:43" ht="15.75" customHeight="1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</row>
    <row r="816" spans="1:43" ht="15.75" customHeight="1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</row>
    <row r="817" spans="1:43" ht="15.75" customHeight="1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  <c r="AA817" s="114"/>
      <c r="AB817" s="114"/>
      <c r="AC817" s="114"/>
      <c r="AD817" s="114"/>
      <c r="AE817" s="114"/>
      <c r="AF817" s="114"/>
      <c r="AG817" s="114"/>
      <c r="AH817" s="114"/>
      <c r="AI817" s="114"/>
      <c r="AJ817" s="114"/>
      <c r="AK817" s="114"/>
      <c r="AL817" s="114"/>
      <c r="AM817" s="114"/>
      <c r="AN817" s="114"/>
      <c r="AO817" s="114"/>
      <c r="AP817" s="114"/>
      <c r="AQ817" s="114"/>
    </row>
    <row r="818" spans="1:43" ht="15.75" customHeight="1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  <c r="AA818" s="114"/>
      <c r="AB818" s="114"/>
      <c r="AC818" s="114"/>
      <c r="AD818" s="114"/>
      <c r="AE818" s="114"/>
      <c r="AF818" s="114"/>
      <c r="AG818" s="114"/>
      <c r="AH818" s="114"/>
      <c r="AI818" s="114"/>
      <c r="AJ818" s="114"/>
      <c r="AK818" s="114"/>
      <c r="AL818" s="114"/>
      <c r="AM818" s="114"/>
      <c r="AN818" s="114"/>
      <c r="AO818" s="114"/>
      <c r="AP818" s="114"/>
      <c r="AQ818" s="114"/>
    </row>
    <row r="819" spans="1:43" ht="15.75" customHeight="1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</row>
    <row r="820" spans="1:43" ht="15.75" customHeight="1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</row>
    <row r="821" spans="1:43" ht="15.75" customHeight="1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  <c r="AA821" s="114"/>
      <c r="AB821" s="114"/>
      <c r="AC821" s="114"/>
      <c r="AD821" s="114"/>
      <c r="AE821" s="114"/>
      <c r="AF821" s="114"/>
      <c r="AG821" s="114"/>
      <c r="AH821" s="114"/>
      <c r="AI821" s="114"/>
      <c r="AJ821" s="114"/>
      <c r="AK821" s="114"/>
      <c r="AL821" s="114"/>
      <c r="AM821" s="114"/>
      <c r="AN821" s="114"/>
      <c r="AO821" s="114"/>
      <c r="AP821" s="114"/>
      <c r="AQ821" s="114"/>
    </row>
    <row r="822" spans="1:43" ht="15.75" customHeight="1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  <c r="AA822" s="114"/>
      <c r="AB822" s="114"/>
      <c r="AC822" s="114"/>
      <c r="AD822" s="114"/>
      <c r="AE822" s="114"/>
      <c r="AF822" s="114"/>
      <c r="AG822" s="114"/>
      <c r="AH822" s="114"/>
      <c r="AI822" s="114"/>
      <c r="AJ822" s="114"/>
      <c r="AK822" s="114"/>
      <c r="AL822" s="114"/>
      <c r="AM822" s="114"/>
      <c r="AN822" s="114"/>
      <c r="AO822" s="114"/>
      <c r="AP822" s="114"/>
      <c r="AQ822" s="114"/>
    </row>
    <row r="823" spans="1:43" ht="15.75" customHeight="1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</row>
    <row r="824" spans="1:43" ht="15.75" customHeight="1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</row>
    <row r="825" spans="1:43" ht="15.75" customHeight="1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  <c r="AA825" s="114"/>
      <c r="AB825" s="114"/>
      <c r="AC825" s="114"/>
      <c r="AD825" s="114"/>
      <c r="AE825" s="114"/>
      <c r="AF825" s="114"/>
      <c r="AG825" s="114"/>
      <c r="AH825" s="114"/>
      <c r="AI825" s="114"/>
      <c r="AJ825" s="114"/>
      <c r="AK825" s="114"/>
      <c r="AL825" s="114"/>
      <c r="AM825" s="114"/>
      <c r="AN825" s="114"/>
      <c r="AO825" s="114"/>
      <c r="AP825" s="114"/>
      <c r="AQ825" s="114"/>
    </row>
    <row r="826" spans="1:43" ht="15.75" customHeight="1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  <c r="AA826" s="114"/>
      <c r="AB826" s="114"/>
      <c r="AC826" s="114"/>
      <c r="AD826" s="114"/>
      <c r="AE826" s="114"/>
      <c r="AF826" s="114"/>
      <c r="AG826" s="114"/>
      <c r="AH826" s="114"/>
      <c r="AI826" s="114"/>
      <c r="AJ826" s="114"/>
      <c r="AK826" s="114"/>
      <c r="AL826" s="114"/>
      <c r="AM826" s="114"/>
      <c r="AN826" s="114"/>
      <c r="AO826" s="114"/>
      <c r="AP826" s="114"/>
      <c r="AQ826" s="114"/>
    </row>
    <row r="827" spans="1:43" ht="15.75" customHeight="1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</row>
    <row r="828" spans="1:43" ht="15.75" customHeight="1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</row>
    <row r="829" spans="1:43" ht="15.75" customHeight="1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  <c r="AA829" s="114"/>
      <c r="AB829" s="114"/>
      <c r="AC829" s="114"/>
      <c r="AD829" s="114"/>
      <c r="AE829" s="114"/>
      <c r="AF829" s="114"/>
      <c r="AG829" s="114"/>
      <c r="AH829" s="114"/>
      <c r="AI829" s="114"/>
      <c r="AJ829" s="114"/>
      <c r="AK829" s="114"/>
      <c r="AL829" s="114"/>
      <c r="AM829" s="114"/>
      <c r="AN829" s="114"/>
      <c r="AO829" s="114"/>
      <c r="AP829" s="114"/>
      <c r="AQ829" s="114"/>
    </row>
    <row r="830" spans="1:43" ht="15.75" customHeight="1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  <c r="AA830" s="114"/>
      <c r="AB830" s="114"/>
      <c r="AC830" s="114"/>
      <c r="AD830" s="114"/>
      <c r="AE830" s="114"/>
      <c r="AF830" s="114"/>
      <c r="AG830" s="114"/>
      <c r="AH830" s="114"/>
      <c r="AI830" s="114"/>
      <c r="AJ830" s="114"/>
      <c r="AK830" s="114"/>
      <c r="AL830" s="114"/>
      <c r="AM830" s="114"/>
      <c r="AN830" s="114"/>
      <c r="AO830" s="114"/>
      <c r="AP830" s="114"/>
      <c r="AQ830" s="114"/>
    </row>
    <row r="831" spans="1:43" ht="15.75" customHeight="1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</row>
    <row r="832" spans="1:43" ht="15.75" customHeight="1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</row>
    <row r="833" spans="1:43" ht="15.75" customHeight="1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  <c r="AA833" s="114"/>
      <c r="AB833" s="114"/>
      <c r="AC833" s="114"/>
      <c r="AD833" s="114"/>
      <c r="AE833" s="114"/>
      <c r="AF833" s="114"/>
      <c r="AG833" s="114"/>
      <c r="AH833" s="114"/>
      <c r="AI833" s="114"/>
      <c r="AJ833" s="114"/>
      <c r="AK833" s="114"/>
      <c r="AL833" s="114"/>
      <c r="AM833" s="114"/>
      <c r="AN833" s="114"/>
      <c r="AO833" s="114"/>
      <c r="AP833" s="114"/>
      <c r="AQ833" s="114"/>
    </row>
    <row r="834" spans="1:43" ht="15.75" customHeight="1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  <c r="AA834" s="114"/>
      <c r="AB834" s="114"/>
      <c r="AC834" s="114"/>
      <c r="AD834" s="114"/>
      <c r="AE834" s="114"/>
      <c r="AF834" s="114"/>
      <c r="AG834" s="114"/>
      <c r="AH834" s="114"/>
      <c r="AI834" s="114"/>
      <c r="AJ834" s="114"/>
      <c r="AK834" s="114"/>
      <c r="AL834" s="114"/>
      <c r="AM834" s="114"/>
      <c r="AN834" s="114"/>
      <c r="AO834" s="114"/>
      <c r="AP834" s="114"/>
      <c r="AQ834" s="114"/>
    </row>
    <row r="835" spans="1:43" ht="15.75" customHeight="1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</row>
    <row r="836" spans="1:43" ht="15.75" customHeight="1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</row>
    <row r="837" spans="1:43" ht="15.75" customHeight="1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  <c r="AA837" s="114"/>
      <c r="AB837" s="114"/>
      <c r="AC837" s="114"/>
      <c r="AD837" s="114"/>
      <c r="AE837" s="114"/>
      <c r="AF837" s="114"/>
      <c r="AG837" s="114"/>
      <c r="AH837" s="114"/>
      <c r="AI837" s="114"/>
      <c r="AJ837" s="114"/>
      <c r="AK837" s="114"/>
      <c r="AL837" s="114"/>
      <c r="AM837" s="114"/>
      <c r="AN837" s="114"/>
      <c r="AO837" s="114"/>
      <c r="AP837" s="114"/>
      <c r="AQ837" s="114"/>
    </row>
    <row r="838" spans="1:43" ht="15.75" customHeight="1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  <c r="AA838" s="114"/>
      <c r="AB838" s="114"/>
      <c r="AC838" s="114"/>
      <c r="AD838" s="114"/>
      <c r="AE838" s="114"/>
      <c r="AF838" s="114"/>
      <c r="AG838" s="114"/>
      <c r="AH838" s="114"/>
      <c r="AI838" s="114"/>
      <c r="AJ838" s="114"/>
      <c r="AK838" s="114"/>
      <c r="AL838" s="114"/>
      <c r="AM838" s="114"/>
      <c r="AN838" s="114"/>
      <c r="AO838" s="114"/>
      <c r="AP838" s="114"/>
      <c r="AQ838" s="114"/>
    </row>
    <row r="839" spans="1:43" ht="15.75" customHeight="1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</row>
    <row r="840" spans="1:43" ht="15.75" customHeight="1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</row>
    <row r="841" spans="1:43" ht="15.75" customHeight="1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  <c r="AA841" s="114"/>
      <c r="AB841" s="114"/>
      <c r="AC841" s="114"/>
      <c r="AD841" s="114"/>
      <c r="AE841" s="114"/>
      <c r="AF841" s="114"/>
      <c r="AG841" s="114"/>
      <c r="AH841" s="114"/>
      <c r="AI841" s="114"/>
      <c r="AJ841" s="114"/>
      <c r="AK841" s="114"/>
      <c r="AL841" s="114"/>
      <c r="AM841" s="114"/>
      <c r="AN841" s="114"/>
      <c r="AO841" s="114"/>
      <c r="AP841" s="114"/>
      <c r="AQ841" s="114"/>
    </row>
    <row r="842" spans="1:43" ht="15.75" customHeight="1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  <c r="AA842" s="114"/>
      <c r="AB842" s="114"/>
      <c r="AC842" s="114"/>
      <c r="AD842" s="114"/>
      <c r="AE842" s="114"/>
      <c r="AF842" s="114"/>
      <c r="AG842" s="114"/>
      <c r="AH842" s="114"/>
      <c r="AI842" s="114"/>
      <c r="AJ842" s="114"/>
      <c r="AK842" s="114"/>
      <c r="AL842" s="114"/>
      <c r="AM842" s="114"/>
      <c r="AN842" s="114"/>
      <c r="AO842" s="114"/>
      <c r="AP842" s="114"/>
      <c r="AQ842" s="114"/>
    </row>
    <row r="843" spans="1:43" ht="15.75" customHeight="1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  <c r="AA843" s="114"/>
      <c r="AB843" s="114"/>
      <c r="AC843" s="114"/>
      <c r="AD843" s="114"/>
      <c r="AE843" s="114"/>
      <c r="AF843" s="114"/>
      <c r="AG843" s="114"/>
      <c r="AH843" s="114"/>
      <c r="AI843" s="114"/>
      <c r="AJ843" s="114"/>
      <c r="AK843" s="114"/>
      <c r="AL843" s="114"/>
      <c r="AM843" s="114"/>
      <c r="AN843" s="114"/>
      <c r="AO843" s="114"/>
      <c r="AP843" s="114"/>
      <c r="AQ843" s="114"/>
    </row>
    <row r="844" spans="1:43" ht="15.75" customHeight="1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  <c r="AA844" s="114"/>
      <c r="AB844" s="114"/>
      <c r="AC844" s="114"/>
      <c r="AD844" s="114"/>
      <c r="AE844" s="114"/>
      <c r="AF844" s="114"/>
      <c r="AG844" s="114"/>
      <c r="AH844" s="114"/>
      <c r="AI844" s="114"/>
      <c r="AJ844" s="114"/>
      <c r="AK844" s="114"/>
      <c r="AL844" s="114"/>
      <c r="AM844" s="114"/>
      <c r="AN844" s="114"/>
      <c r="AO844" s="114"/>
      <c r="AP844" s="114"/>
      <c r="AQ844" s="114"/>
    </row>
    <row r="845" spans="1:43" ht="15.75" customHeight="1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  <c r="AA845" s="114"/>
      <c r="AB845" s="114"/>
      <c r="AC845" s="114"/>
      <c r="AD845" s="114"/>
      <c r="AE845" s="114"/>
      <c r="AF845" s="114"/>
      <c r="AG845" s="114"/>
      <c r="AH845" s="114"/>
      <c r="AI845" s="114"/>
      <c r="AJ845" s="114"/>
      <c r="AK845" s="114"/>
      <c r="AL845" s="114"/>
      <c r="AM845" s="114"/>
      <c r="AN845" s="114"/>
      <c r="AO845" s="114"/>
      <c r="AP845" s="114"/>
      <c r="AQ845" s="114"/>
    </row>
    <row r="846" spans="1:43" ht="15.75" customHeight="1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  <c r="AA846" s="114"/>
      <c r="AB846" s="114"/>
      <c r="AC846" s="114"/>
      <c r="AD846" s="114"/>
      <c r="AE846" s="114"/>
      <c r="AF846" s="114"/>
      <c r="AG846" s="114"/>
      <c r="AH846" s="114"/>
      <c r="AI846" s="114"/>
      <c r="AJ846" s="114"/>
      <c r="AK846" s="114"/>
      <c r="AL846" s="114"/>
      <c r="AM846" s="114"/>
      <c r="AN846" s="114"/>
      <c r="AO846" s="114"/>
      <c r="AP846" s="114"/>
      <c r="AQ846" s="114"/>
    </row>
    <row r="847" spans="1:43" ht="15.75" customHeight="1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  <c r="AA847" s="114"/>
      <c r="AB847" s="114"/>
      <c r="AC847" s="114"/>
      <c r="AD847" s="114"/>
      <c r="AE847" s="114"/>
      <c r="AF847" s="114"/>
      <c r="AG847" s="114"/>
      <c r="AH847" s="114"/>
      <c r="AI847" s="114"/>
      <c r="AJ847" s="114"/>
      <c r="AK847" s="114"/>
      <c r="AL847" s="114"/>
      <c r="AM847" s="114"/>
      <c r="AN847" s="114"/>
      <c r="AO847" s="114"/>
      <c r="AP847" s="114"/>
      <c r="AQ847" s="114"/>
    </row>
    <row r="848" spans="1:43" ht="15.75" customHeight="1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  <c r="AA848" s="114"/>
      <c r="AB848" s="114"/>
      <c r="AC848" s="114"/>
      <c r="AD848" s="114"/>
      <c r="AE848" s="114"/>
      <c r="AF848" s="114"/>
      <c r="AG848" s="114"/>
      <c r="AH848" s="114"/>
      <c r="AI848" s="114"/>
      <c r="AJ848" s="114"/>
      <c r="AK848" s="114"/>
      <c r="AL848" s="114"/>
      <c r="AM848" s="114"/>
      <c r="AN848" s="114"/>
      <c r="AO848" s="114"/>
      <c r="AP848" s="114"/>
      <c r="AQ848" s="114"/>
    </row>
    <row r="849" spans="1:43" ht="15.75" customHeight="1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114"/>
      <c r="AF849" s="114"/>
      <c r="AG849" s="114"/>
      <c r="AH849" s="114"/>
      <c r="AI849" s="114"/>
      <c r="AJ849" s="114"/>
      <c r="AK849" s="114"/>
      <c r="AL849" s="114"/>
      <c r="AM849" s="114"/>
      <c r="AN849" s="114"/>
      <c r="AO849" s="114"/>
      <c r="AP849" s="114"/>
      <c r="AQ849" s="114"/>
    </row>
    <row r="850" spans="1:43" ht="15.75" customHeight="1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  <c r="AA850" s="114"/>
      <c r="AB850" s="114"/>
      <c r="AC850" s="114"/>
      <c r="AD850" s="114"/>
      <c r="AE850" s="114"/>
      <c r="AF850" s="114"/>
      <c r="AG850" s="114"/>
      <c r="AH850" s="114"/>
      <c r="AI850" s="114"/>
      <c r="AJ850" s="114"/>
      <c r="AK850" s="114"/>
      <c r="AL850" s="114"/>
      <c r="AM850" s="114"/>
      <c r="AN850" s="114"/>
      <c r="AO850" s="114"/>
      <c r="AP850" s="114"/>
      <c r="AQ850" s="114"/>
    </row>
    <row r="851" spans="1:43" ht="15.75" customHeight="1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  <c r="AA851" s="114"/>
      <c r="AB851" s="114"/>
      <c r="AC851" s="114"/>
      <c r="AD851" s="114"/>
      <c r="AE851" s="114"/>
      <c r="AF851" s="114"/>
      <c r="AG851" s="114"/>
      <c r="AH851" s="114"/>
      <c r="AI851" s="114"/>
      <c r="AJ851" s="114"/>
      <c r="AK851" s="114"/>
      <c r="AL851" s="114"/>
      <c r="AM851" s="114"/>
      <c r="AN851" s="114"/>
      <c r="AO851" s="114"/>
      <c r="AP851" s="114"/>
      <c r="AQ851" s="114"/>
    </row>
    <row r="852" spans="1:43" ht="15.75" customHeight="1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  <c r="AA852" s="114"/>
      <c r="AB852" s="114"/>
      <c r="AC852" s="114"/>
      <c r="AD852" s="114"/>
      <c r="AE852" s="114"/>
      <c r="AF852" s="114"/>
      <c r="AG852" s="114"/>
      <c r="AH852" s="114"/>
      <c r="AI852" s="114"/>
      <c r="AJ852" s="114"/>
      <c r="AK852" s="114"/>
      <c r="AL852" s="114"/>
      <c r="AM852" s="114"/>
      <c r="AN852" s="114"/>
      <c r="AO852" s="114"/>
      <c r="AP852" s="114"/>
      <c r="AQ852" s="114"/>
    </row>
    <row r="853" spans="1:43" ht="15.75" customHeight="1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  <c r="AA853" s="114"/>
      <c r="AB853" s="114"/>
      <c r="AC853" s="114"/>
      <c r="AD853" s="114"/>
      <c r="AE853" s="114"/>
      <c r="AF853" s="114"/>
      <c r="AG853" s="114"/>
      <c r="AH853" s="114"/>
      <c r="AI853" s="114"/>
      <c r="AJ853" s="114"/>
      <c r="AK853" s="114"/>
      <c r="AL853" s="114"/>
      <c r="AM853" s="114"/>
      <c r="AN853" s="114"/>
      <c r="AO853" s="114"/>
      <c r="AP853" s="114"/>
      <c r="AQ853" s="114"/>
    </row>
    <row r="854" spans="1:43" ht="15.75" customHeight="1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  <c r="AA854" s="114"/>
      <c r="AB854" s="114"/>
      <c r="AC854" s="114"/>
      <c r="AD854" s="114"/>
      <c r="AE854" s="114"/>
      <c r="AF854" s="114"/>
      <c r="AG854" s="114"/>
      <c r="AH854" s="114"/>
      <c r="AI854" s="114"/>
      <c r="AJ854" s="114"/>
      <c r="AK854" s="114"/>
      <c r="AL854" s="114"/>
      <c r="AM854" s="114"/>
      <c r="AN854" s="114"/>
      <c r="AO854" s="114"/>
      <c r="AP854" s="114"/>
      <c r="AQ854" s="114"/>
    </row>
    <row r="855" spans="1:43" ht="15.75" customHeight="1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  <c r="AA855" s="114"/>
      <c r="AB855" s="114"/>
      <c r="AC855" s="114"/>
      <c r="AD855" s="114"/>
      <c r="AE855" s="114"/>
      <c r="AF855" s="114"/>
      <c r="AG855" s="114"/>
      <c r="AH855" s="114"/>
      <c r="AI855" s="114"/>
      <c r="AJ855" s="114"/>
      <c r="AK855" s="114"/>
      <c r="AL855" s="114"/>
      <c r="AM855" s="114"/>
      <c r="AN855" s="114"/>
      <c r="AO855" s="114"/>
      <c r="AP855" s="114"/>
      <c r="AQ855" s="114"/>
    </row>
    <row r="856" spans="1:43" ht="15.75" customHeight="1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  <c r="AA856" s="114"/>
      <c r="AB856" s="114"/>
      <c r="AC856" s="114"/>
      <c r="AD856" s="114"/>
      <c r="AE856" s="114"/>
      <c r="AF856" s="114"/>
      <c r="AG856" s="114"/>
      <c r="AH856" s="114"/>
      <c r="AI856" s="114"/>
      <c r="AJ856" s="114"/>
      <c r="AK856" s="114"/>
      <c r="AL856" s="114"/>
      <c r="AM856" s="114"/>
      <c r="AN856" s="114"/>
      <c r="AO856" s="114"/>
      <c r="AP856" s="114"/>
      <c r="AQ856" s="114"/>
    </row>
    <row r="857" spans="1:43" ht="15.75" customHeight="1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</row>
    <row r="858" spans="1:43" ht="15.75" customHeight="1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</row>
    <row r="859" spans="1:43" ht="15.75" customHeight="1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  <c r="AA859" s="114"/>
      <c r="AB859" s="114"/>
      <c r="AC859" s="114"/>
      <c r="AD859" s="114"/>
      <c r="AE859" s="114"/>
      <c r="AF859" s="114"/>
      <c r="AG859" s="114"/>
      <c r="AH859" s="114"/>
      <c r="AI859" s="114"/>
      <c r="AJ859" s="114"/>
      <c r="AK859" s="114"/>
      <c r="AL859" s="114"/>
      <c r="AM859" s="114"/>
      <c r="AN859" s="114"/>
      <c r="AO859" s="114"/>
      <c r="AP859" s="114"/>
      <c r="AQ859" s="114"/>
    </row>
    <row r="860" spans="1:43" ht="15.75" customHeight="1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  <c r="AA860" s="114"/>
      <c r="AB860" s="114"/>
      <c r="AC860" s="114"/>
      <c r="AD860" s="114"/>
      <c r="AE860" s="114"/>
      <c r="AF860" s="114"/>
      <c r="AG860" s="114"/>
      <c r="AH860" s="114"/>
      <c r="AI860" s="114"/>
      <c r="AJ860" s="114"/>
      <c r="AK860" s="114"/>
      <c r="AL860" s="114"/>
      <c r="AM860" s="114"/>
      <c r="AN860" s="114"/>
      <c r="AO860" s="114"/>
      <c r="AP860" s="114"/>
      <c r="AQ860" s="114"/>
    </row>
    <row r="861" spans="1:43" ht="15.75" customHeight="1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</row>
    <row r="862" spans="1:43" ht="15.75" customHeight="1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</row>
    <row r="863" spans="1:43" ht="15.75" customHeight="1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  <c r="AA863" s="114"/>
      <c r="AB863" s="114"/>
      <c r="AC863" s="114"/>
      <c r="AD863" s="114"/>
      <c r="AE863" s="114"/>
      <c r="AF863" s="114"/>
      <c r="AG863" s="114"/>
      <c r="AH863" s="114"/>
      <c r="AI863" s="114"/>
      <c r="AJ863" s="114"/>
      <c r="AK863" s="114"/>
      <c r="AL863" s="114"/>
      <c r="AM863" s="114"/>
      <c r="AN863" s="114"/>
      <c r="AO863" s="114"/>
      <c r="AP863" s="114"/>
      <c r="AQ863" s="114"/>
    </row>
    <row r="864" spans="1:43" ht="15.75" customHeight="1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  <c r="AA864" s="114"/>
      <c r="AB864" s="114"/>
      <c r="AC864" s="114"/>
      <c r="AD864" s="114"/>
      <c r="AE864" s="114"/>
      <c r="AF864" s="114"/>
      <c r="AG864" s="114"/>
      <c r="AH864" s="114"/>
      <c r="AI864" s="114"/>
      <c r="AJ864" s="114"/>
      <c r="AK864" s="114"/>
      <c r="AL864" s="114"/>
      <c r="AM864" s="114"/>
      <c r="AN864" s="114"/>
      <c r="AO864" s="114"/>
      <c r="AP864" s="114"/>
      <c r="AQ864" s="114"/>
    </row>
    <row r="865" spans="1:43" ht="15.75" customHeight="1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</row>
    <row r="866" spans="1:43" ht="15.75" customHeight="1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</row>
    <row r="867" spans="1:43" ht="15.75" customHeight="1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  <c r="AA867" s="114"/>
      <c r="AB867" s="114"/>
      <c r="AC867" s="114"/>
      <c r="AD867" s="114"/>
      <c r="AE867" s="114"/>
      <c r="AF867" s="114"/>
      <c r="AG867" s="114"/>
      <c r="AH867" s="114"/>
      <c r="AI867" s="114"/>
      <c r="AJ867" s="114"/>
      <c r="AK867" s="114"/>
      <c r="AL867" s="114"/>
      <c r="AM867" s="114"/>
      <c r="AN867" s="114"/>
      <c r="AO867" s="114"/>
      <c r="AP867" s="114"/>
      <c r="AQ867" s="114"/>
    </row>
    <row r="868" spans="1:43" ht="15.75" customHeight="1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  <c r="AA868" s="114"/>
      <c r="AB868" s="114"/>
      <c r="AC868" s="114"/>
      <c r="AD868" s="114"/>
      <c r="AE868" s="114"/>
      <c r="AF868" s="114"/>
      <c r="AG868" s="114"/>
      <c r="AH868" s="114"/>
      <c r="AI868" s="114"/>
      <c r="AJ868" s="114"/>
      <c r="AK868" s="114"/>
      <c r="AL868" s="114"/>
      <c r="AM868" s="114"/>
      <c r="AN868" s="114"/>
      <c r="AO868" s="114"/>
      <c r="AP868" s="114"/>
      <c r="AQ868" s="114"/>
    </row>
    <row r="869" spans="1:43" ht="15.75" customHeight="1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</row>
    <row r="870" spans="1:43" ht="15.75" customHeight="1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</row>
    <row r="871" spans="1:43" ht="15.75" customHeight="1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  <c r="AA871" s="114"/>
      <c r="AB871" s="114"/>
      <c r="AC871" s="114"/>
      <c r="AD871" s="114"/>
      <c r="AE871" s="114"/>
      <c r="AF871" s="114"/>
      <c r="AG871" s="114"/>
      <c r="AH871" s="114"/>
      <c r="AI871" s="114"/>
      <c r="AJ871" s="114"/>
      <c r="AK871" s="114"/>
      <c r="AL871" s="114"/>
      <c r="AM871" s="114"/>
      <c r="AN871" s="114"/>
      <c r="AO871" s="114"/>
      <c r="AP871" s="114"/>
      <c r="AQ871" s="114"/>
    </row>
    <row r="872" spans="1:43" ht="15.75" customHeight="1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  <c r="AA872" s="114"/>
      <c r="AB872" s="114"/>
      <c r="AC872" s="114"/>
      <c r="AD872" s="114"/>
      <c r="AE872" s="114"/>
      <c r="AF872" s="114"/>
      <c r="AG872" s="114"/>
      <c r="AH872" s="114"/>
      <c r="AI872" s="114"/>
      <c r="AJ872" s="114"/>
      <c r="AK872" s="114"/>
      <c r="AL872" s="114"/>
      <c r="AM872" s="114"/>
      <c r="AN872" s="114"/>
      <c r="AO872" s="114"/>
      <c r="AP872" s="114"/>
      <c r="AQ872" s="114"/>
    </row>
    <row r="873" spans="1:43" ht="15.75" customHeight="1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</row>
    <row r="874" spans="1:43" ht="15.75" customHeight="1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</row>
    <row r="875" spans="1:43" ht="15.75" customHeight="1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114"/>
      <c r="AF875" s="114"/>
      <c r="AG875" s="114"/>
      <c r="AH875" s="114"/>
      <c r="AI875" s="114"/>
      <c r="AJ875" s="114"/>
      <c r="AK875" s="114"/>
      <c r="AL875" s="114"/>
      <c r="AM875" s="114"/>
      <c r="AN875" s="114"/>
      <c r="AO875" s="114"/>
      <c r="AP875" s="114"/>
      <c r="AQ875" s="114"/>
    </row>
    <row r="876" spans="1:43" ht="15.75" customHeight="1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  <c r="AA876" s="114"/>
      <c r="AB876" s="114"/>
      <c r="AC876" s="114"/>
      <c r="AD876" s="114"/>
      <c r="AE876" s="114"/>
      <c r="AF876" s="114"/>
      <c r="AG876" s="114"/>
      <c r="AH876" s="114"/>
      <c r="AI876" s="114"/>
      <c r="AJ876" s="114"/>
      <c r="AK876" s="114"/>
      <c r="AL876" s="114"/>
      <c r="AM876" s="114"/>
      <c r="AN876" s="114"/>
      <c r="AO876" s="114"/>
      <c r="AP876" s="114"/>
      <c r="AQ876" s="114"/>
    </row>
    <row r="877" spans="1:43" ht="15.75" customHeight="1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</row>
    <row r="878" spans="1:43" ht="15.75" customHeight="1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</row>
    <row r="879" spans="1:43" ht="15.75" customHeight="1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  <c r="AA879" s="114"/>
      <c r="AB879" s="114"/>
      <c r="AC879" s="114"/>
      <c r="AD879" s="114"/>
      <c r="AE879" s="114"/>
      <c r="AF879" s="114"/>
      <c r="AG879" s="114"/>
      <c r="AH879" s="114"/>
      <c r="AI879" s="114"/>
      <c r="AJ879" s="114"/>
      <c r="AK879" s="114"/>
      <c r="AL879" s="114"/>
      <c r="AM879" s="114"/>
      <c r="AN879" s="114"/>
      <c r="AO879" s="114"/>
      <c r="AP879" s="114"/>
      <c r="AQ879" s="114"/>
    </row>
    <row r="880" spans="1:43" ht="15.75" customHeight="1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  <c r="AA880" s="114"/>
      <c r="AB880" s="114"/>
      <c r="AC880" s="114"/>
      <c r="AD880" s="114"/>
      <c r="AE880" s="114"/>
      <c r="AF880" s="114"/>
      <c r="AG880" s="114"/>
      <c r="AH880" s="114"/>
      <c r="AI880" s="114"/>
      <c r="AJ880" s="114"/>
      <c r="AK880" s="114"/>
      <c r="AL880" s="114"/>
      <c r="AM880" s="114"/>
      <c r="AN880" s="114"/>
      <c r="AO880" s="114"/>
      <c r="AP880" s="114"/>
      <c r="AQ880" s="114"/>
    </row>
    <row r="881" spans="1:43" ht="15.75" customHeight="1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</row>
    <row r="882" spans="1:43" ht="15.75" customHeight="1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</row>
    <row r="883" spans="1:43" ht="15.75" customHeight="1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  <c r="AA883" s="114"/>
      <c r="AB883" s="114"/>
      <c r="AC883" s="114"/>
      <c r="AD883" s="114"/>
      <c r="AE883" s="114"/>
      <c r="AF883" s="114"/>
      <c r="AG883" s="114"/>
      <c r="AH883" s="114"/>
      <c r="AI883" s="114"/>
      <c r="AJ883" s="114"/>
      <c r="AK883" s="114"/>
      <c r="AL883" s="114"/>
      <c r="AM883" s="114"/>
      <c r="AN883" s="114"/>
      <c r="AO883" s="114"/>
      <c r="AP883" s="114"/>
      <c r="AQ883" s="114"/>
    </row>
    <row r="884" spans="1:43" ht="15.75" customHeight="1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  <c r="AA884" s="114"/>
      <c r="AB884" s="114"/>
      <c r="AC884" s="114"/>
      <c r="AD884" s="114"/>
      <c r="AE884" s="114"/>
      <c r="AF884" s="114"/>
      <c r="AG884" s="114"/>
      <c r="AH884" s="114"/>
      <c r="AI884" s="114"/>
      <c r="AJ884" s="114"/>
      <c r="AK884" s="114"/>
      <c r="AL884" s="114"/>
      <c r="AM884" s="114"/>
      <c r="AN884" s="114"/>
      <c r="AO884" s="114"/>
      <c r="AP884" s="114"/>
      <c r="AQ884" s="114"/>
    </row>
    <row r="885" spans="1:43" ht="15.75" customHeight="1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</row>
    <row r="886" spans="1:43" ht="15.75" customHeight="1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</row>
    <row r="887" spans="1:43" ht="15.75" customHeight="1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  <c r="AA887" s="114"/>
      <c r="AB887" s="114"/>
      <c r="AC887" s="114"/>
      <c r="AD887" s="114"/>
      <c r="AE887" s="114"/>
      <c r="AF887" s="114"/>
      <c r="AG887" s="114"/>
      <c r="AH887" s="114"/>
      <c r="AI887" s="114"/>
      <c r="AJ887" s="114"/>
      <c r="AK887" s="114"/>
      <c r="AL887" s="114"/>
      <c r="AM887" s="114"/>
      <c r="AN887" s="114"/>
      <c r="AO887" s="114"/>
      <c r="AP887" s="114"/>
      <c r="AQ887" s="114"/>
    </row>
    <row r="888" spans="1:43" ht="15.75" customHeight="1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  <c r="AA888" s="114"/>
      <c r="AB888" s="114"/>
      <c r="AC888" s="114"/>
      <c r="AD888" s="114"/>
      <c r="AE888" s="114"/>
      <c r="AF888" s="114"/>
      <c r="AG888" s="114"/>
      <c r="AH888" s="114"/>
      <c r="AI888" s="114"/>
      <c r="AJ888" s="114"/>
      <c r="AK888" s="114"/>
      <c r="AL888" s="114"/>
      <c r="AM888" s="114"/>
      <c r="AN888" s="114"/>
      <c r="AO888" s="114"/>
      <c r="AP888" s="114"/>
      <c r="AQ888" s="114"/>
    </row>
    <row r="889" spans="1:43" ht="15.75" customHeight="1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</row>
    <row r="890" spans="1:43" ht="15.75" customHeight="1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</row>
    <row r="891" spans="1:43" ht="15.75" customHeight="1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  <c r="AA891" s="114"/>
      <c r="AB891" s="114"/>
      <c r="AC891" s="114"/>
      <c r="AD891" s="114"/>
      <c r="AE891" s="114"/>
      <c r="AF891" s="114"/>
      <c r="AG891" s="114"/>
      <c r="AH891" s="114"/>
      <c r="AI891" s="114"/>
      <c r="AJ891" s="114"/>
      <c r="AK891" s="114"/>
      <c r="AL891" s="114"/>
      <c r="AM891" s="114"/>
      <c r="AN891" s="114"/>
      <c r="AO891" s="114"/>
      <c r="AP891" s="114"/>
      <c r="AQ891" s="114"/>
    </row>
    <row r="892" spans="1:43" ht="15.75" customHeight="1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  <c r="AA892" s="114"/>
      <c r="AB892" s="114"/>
      <c r="AC892" s="114"/>
      <c r="AD892" s="114"/>
      <c r="AE892" s="114"/>
      <c r="AF892" s="114"/>
      <c r="AG892" s="114"/>
      <c r="AH892" s="114"/>
      <c r="AI892" s="114"/>
      <c r="AJ892" s="114"/>
      <c r="AK892" s="114"/>
      <c r="AL892" s="114"/>
      <c r="AM892" s="114"/>
      <c r="AN892" s="114"/>
      <c r="AO892" s="114"/>
      <c r="AP892" s="114"/>
      <c r="AQ892" s="114"/>
    </row>
    <row r="893" spans="1:43" ht="15.75" customHeight="1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</row>
    <row r="894" spans="1:43" ht="15.75" customHeight="1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</row>
    <row r="895" spans="1:43" ht="15.75" customHeight="1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  <c r="AA895" s="114"/>
      <c r="AB895" s="114"/>
      <c r="AC895" s="114"/>
      <c r="AD895" s="114"/>
      <c r="AE895" s="114"/>
      <c r="AF895" s="114"/>
      <c r="AG895" s="114"/>
      <c r="AH895" s="114"/>
      <c r="AI895" s="114"/>
      <c r="AJ895" s="114"/>
      <c r="AK895" s="114"/>
      <c r="AL895" s="114"/>
      <c r="AM895" s="114"/>
      <c r="AN895" s="114"/>
      <c r="AO895" s="114"/>
      <c r="AP895" s="114"/>
      <c r="AQ895" s="114"/>
    </row>
    <row r="896" spans="1:43" ht="15.75" customHeight="1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  <c r="AA896" s="114"/>
      <c r="AB896" s="114"/>
      <c r="AC896" s="114"/>
      <c r="AD896" s="114"/>
      <c r="AE896" s="114"/>
      <c r="AF896" s="114"/>
      <c r="AG896" s="114"/>
      <c r="AH896" s="114"/>
      <c r="AI896" s="114"/>
      <c r="AJ896" s="114"/>
      <c r="AK896" s="114"/>
      <c r="AL896" s="114"/>
      <c r="AM896" s="114"/>
      <c r="AN896" s="114"/>
      <c r="AO896" s="114"/>
      <c r="AP896" s="114"/>
      <c r="AQ896" s="114"/>
    </row>
    <row r="897" spans="1:43" ht="15.75" customHeight="1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</row>
    <row r="898" spans="1:43" ht="15.75" customHeight="1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</row>
    <row r="899" spans="1:43" ht="15.75" customHeight="1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  <c r="AA899" s="114"/>
      <c r="AB899" s="114"/>
      <c r="AC899" s="114"/>
      <c r="AD899" s="114"/>
      <c r="AE899" s="114"/>
      <c r="AF899" s="114"/>
      <c r="AG899" s="114"/>
      <c r="AH899" s="114"/>
      <c r="AI899" s="114"/>
      <c r="AJ899" s="114"/>
      <c r="AK899" s="114"/>
      <c r="AL899" s="114"/>
      <c r="AM899" s="114"/>
      <c r="AN899" s="114"/>
      <c r="AO899" s="114"/>
      <c r="AP899" s="114"/>
      <c r="AQ899" s="114"/>
    </row>
    <row r="900" spans="1:43" ht="15.75" customHeight="1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  <c r="AA900" s="114"/>
      <c r="AB900" s="114"/>
      <c r="AC900" s="114"/>
      <c r="AD900" s="114"/>
      <c r="AE900" s="114"/>
      <c r="AF900" s="114"/>
      <c r="AG900" s="114"/>
      <c r="AH900" s="114"/>
      <c r="AI900" s="114"/>
      <c r="AJ900" s="114"/>
      <c r="AK900" s="114"/>
      <c r="AL900" s="114"/>
      <c r="AM900" s="114"/>
      <c r="AN900" s="114"/>
      <c r="AO900" s="114"/>
      <c r="AP900" s="114"/>
      <c r="AQ900" s="114"/>
    </row>
    <row r="901" spans="1:43" ht="15.75" customHeight="1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</row>
    <row r="902" spans="1:43" ht="15.75" customHeight="1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</row>
    <row r="903" spans="1:43" ht="15.75" customHeight="1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  <c r="AA903" s="114"/>
      <c r="AB903" s="114"/>
      <c r="AC903" s="114"/>
      <c r="AD903" s="114"/>
      <c r="AE903" s="114"/>
      <c r="AF903" s="114"/>
      <c r="AG903" s="114"/>
      <c r="AH903" s="114"/>
      <c r="AI903" s="114"/>
      <c r="AJ903" s="114"/>
      <c r="AK903" s="114"/>
      <c r="AL903" s="114"/>
      <c r="AM903" s="114"/>
      <c r="AN903" s="114"/>
      <c r="AO903" s="114"/>
      <c r="AP903" s="114"/>
      <c r="AQ903" s="114"/>
    </row>
    <row r="904" spans="1:43" ht="15.75" customHeight="1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  <c r="AA904" s="114"/>
      <c r="AB904" s="114"/>
      <c r="AC904" s="114"/>
      <c r="AD904" s="114"/>
      <c r="AE904" s="114"/>
      <c r="AF904" s="114"/>
      <c r="AG904" s="114"/>
      <c r="AH904" s="114"/>
      <c r="AI904" s="114"/>
      <c r="AJ904" s="114"/>
      <c r="AK904" s="114"/>
      <c r="AL904" s="114"/>
      <c r="AM904" s="114"/>
      <c r="AN904" s="114"/>
      <c r="AO904" s="114"/>
      <c r="AP904" s="114"/>
      <c r="AQ904" s="114"/>
    </row>
    <row r="905" spans="1:43" ht="15.75" customHeight="1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</row>
    <row r="906" spans="1:43" ht="15.75" customHeight="1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</row>
    <row r="907" spans="1:43" ht="15.75" customHeight="1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  <c r="AA907" s="114"/>
      <c r="AB907" s="114"/>
      <c r="AC907" s="114"/>
      <c r="AD907" s="114"/>
      <c r="AE907" s="114"/>
      <c r="AF907" s="114"/>
      <c r="AG907" s="114"/>
      <c r="AH907" s="114"/>
      <c r="AI907" s="114"/>
      <c r="AJ907" s="114"/>
      <c r="AK907" s="114"/>
      <c r="AL907" s="114"/>
      <c r="AM907" s="114"/>
      <c r="AN907" s="114"/>
      <c r="AO907" s="114"/>
      <c r="AP907" s="114"/>
      <c r="AQ907" s="114"/>
    </row>
    <row r="908" spans="1:43" ht="15.75" customHeight="1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  <c r="AA908" s="114"/>
      <c r="AB908" s="114"/>
      <c r="AC908" s="114"/>
      <c r="AD908" s="114"/>
      <c r="AE908" s="114"/>
      <c r="AF908" s="114"/>
      <c r="AG908" s="114"/>
      <c r="AH908" s="114"/>
      <c r="AI908" s="114"/>
      <c r="AJ908" s="114"/>
      <c r="AK908" s="114"/>
      <c r="AL908" s="114"/>
      <c r="AM908" s="114"/>
      <c r="AN908" s="114"/>
      <c r="AO908" s="114"/>
      <c r="AP908" s="114"/>
      <c r="AQ908" s="114"/>
    </row>
    <row r="909" spans="1:43" ht="15.75" customHeight="1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</row>
    <row r="910" spans="1:43" ht="15.75" customHeight="1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</row>
    <row r="911" spans="1:43" ht="15.75" customHeight="1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  <c r="AA911" s="114"/>
      <c r="AB911" s="114"/>
      <c r="AC911" s="114"/>
      <c r="AD911" s="114"/>
      <c r="AE911" s="114"/>
      <c r="AF911" s="114"/>
      <c r="AG911" s="114"/>
      <c r="AH911" s="114"/>
      <c r="AI911" s="114"/>
      <c r="AJ911" s="114"/>
      <c r="AK911" s="114"/>
      <c r="AL911" s="114"/>
      <c r="AM911" s="114"/>
      <c r="AN911" s="114"/>
      <c r="AO911" s="114"/>
      <c r="AP911" s="114"/>
      <c r="AQ911" s="114"/>
    </row>
    <row r="912" spans="1:43" ht="15.75" customHeight="1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  <c r="AA912" s="114"/>
      <c r="AB912" s="114"/>
      <c r="AC912" s="114"/>
      <c r="AD912" s="114"/>
      <c r="AE912" s="114"/>
      <c r="AF912" s="114"/>
      <c r="AG912" s="114"/>
      <c r="AH912" s="114"/>
      <c r="AI912" s="114"/>
      <c r="AJ912" s="114"/>
      <c r="AK912" s="114"/>
      <c r="AL912" s="114"/>
      <c r="AM912" s="114"/>
      <c r="AN912" s="114"/>
      <c r="AO912" s="114"/>
      <c r="AP912" s="114"/>
      <c r="AQ912" s="114"/>
    </row>
    <row r="913" spans="1:43" ht="15.75" customHeight="1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</row>
    <row r="914" spans="1:43" ht="15.75" customHeight="1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</row>
    <row r="915" spans="1:43" ht="15.75" customHeight="1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  <c r="AA915" s="114"/>
      <c r="AB915" s="114"/>
      <c r="AC915" s="114"/>
      <c r="AD915" s="114"/>
      <c r="AE915" s="114"/>
      <c r="AF915" s="114"/>
      <c r="AG915" s="114"/>
      <c r="AH915" s="114"/>
      <c r="AI915" s="114"/>
      <c r="AJ915" s="114"/>
      <c r="AK915" s="114"/>
      <c r="AL915" s="114"/>
      <c r="AM915" s="114"/>
      <c r="AN915" s="114"/>
      <c r="AO915" s="114"/>
      <c r="AP915" s="114"/>
      <c r="AQ915" s="114"/>
    </row>
    <row r="916" spans="1:43" ht="15.75" customHeight="1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  <c r="AA916" s="114"/>
      <c r="AB916" s="114"/>
      <c r="AC916" s="114"/>
      <c r="AD916" s="114"/>
      <c r="AE916" s="114"/>
      <c r="AF916" s="114"/>
      <c r="AG916" s="114"/>
      <c r="AH916" s="114"/>
      <c r="AI916" s="114"/>
      <c r="AJ916" s="114"/>
      <c r="AK916" s="114"/>
      <c r="AL916" s="114"/>
      <c r="AM916" s="114"/>
      <c r="AN916" s="114"/>
      <c r="AO916" s="114"/>
      <c r="AP916" s="114"/>
      <c r="AQ916" s="114"/>
    </row>
    <row r="917" spans="1:43" ht="15.75" customHeight="1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</row>
    <row r="918" spans="1:43" ht="15.75" customHeight="1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</row>
    <row r="919" spans="1:43" ht="15.75" customHeight="1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  <c r="AA919" s="114"/>
      <c r="AB919" s="114"/>
      <c r="AC919" s="114"/>
      <c r="AD919" s="114"/>
      <c r="AE919" s="114"/>
      <c r="AF919" s="114"/>
      <c r="AG919" s="114"/>
      <c r="AH919" s="114"/>
      <c r="AI919" s="114"/>
      <c r="AJ919" s="114"/>
      <c r="AK919" s="114"/>
      <c r="AL919" s="114"/>
      <c r="AM919" s="114"/>
      <c r="AN919" s="114"/>
      <c r="AO919" s="114"/>
      <c r="AP919" s="114"/>
      <c r="AQ919" s="114"/>
    </row>
    <row r="920" spans="1:43" ht="15.75" customHeight="1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  <c r="AA920" s="114"/>
      <c r="AB920" s="114"/>
      <c r="AC920" s="114"/>
      <c r="AD920" s="114"/>
      <c r="AE920" s="114"/>
      <c r="AF920" s="114"/>
      <c r="AG920" s="114"/>
      <c r="AH920" s="114"/>
      <c r="AI920" s="114"/>
      <c r="AJ920" s="114"/>
      <c r="AK920" s="114"/>
      <c r="AL920" s="114"/>
      <c r="AM920" s="114"/>
      <c r="AN920" s="114"/>
      <c r="AO920" s="114"/>
      <c r="AP920" s="114"/>
      <c r="AQ920" s="114"/>
    </row>
    <row r="921" spans="1:43" ht="15.75" customHeight="1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</row>
    <row r="922" spans="1:43" ht="15.75" customHeight="1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</row>
    <row r="923" spans="1:43" ht="15.75" customHeight="1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  <c r="AA923" s="114"/>
      <c r="AB923" s="114"/>
      <c r="AC923" s="114"/>
      <c r="AD923" s="114"/>
      <c r="AE923" s="114"/>
      <c r="AF923" s="114"/>
      <c r="AG923" s="114"/>
      <c r="AH923" s="114"/>
      <c r="AI923" s="114"/>
      <c r="AJ923" s="114"/>
      <c r="AK923" s="114"/>
      <c r="AL923" s="114"/>
      <c r="AM923" s="114"/>
      <c r="AN923" s="114"/>
      <c r="AO923" s="114"/>
      <c r="AP923" s="114"/>
      <c r="AQ923" s="114"/>
    </row>
    <row r="924" spans="1:43" ht="15.75" customHeight="1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  <c r="AA924" s="114"/>
      <c r="AB924" s="114"/>
      <c r="AC924" s="114"/>
      <c r="AD924" s="114"/>
      <c r="AE924" s="114"/>
      <c r="AF924" s="114"/>
      <c r="AG924" s="114"/>
      <c r="AH924" s="114"/>
      <c r="AI924" s="114"/>
      <c r="AJ924" s="114"/>
      <c r="AK924" s="114"/>
      <c r="AL924" s="114"/>
      <c r="AM924" s="114"/>
      <c r="AN924" s="114"/>
      <c r="AO924" s="114"/>
      <c r="AP924" s="114"/>
      <c r="AQ924" s="114"/>
    </row>
    <row r="925" spans="1:43" ht="15.75" customHeight="1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</row>
    <row r="926" spans="1:43" ht="15.75" customHeight="1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</row>
    <row r="927" spans="1:43" ht="15.75" customHeight="1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  <c r="AA927" s="114"/>
      <c r="AB927" s="114"/>
      <c r="AC927" s="114"/>
      <c r="AD927" s="114"/>
      <c r="AE927" s="114"/>
      <c r="AF927" s="114"/>
      <c r="AG927" s="114"/>
      <c r="AH927" s="114"/>
      <c r="AI927" s="114"/>
      <c r="AJ927" s="114"/>
      <c r="AK927" s="114"/>
      <c r="AL927" s="114"/>
      <c r="AM927" s="114"/>
      <c r="AN927" s="114"/>
      <c r="AO927" s="114"/>
      <c r="AP927" s="114"/>
      <c r="AQ927" s="114"/>
    </row>
    <row r="928" spans="1:43" ht="15.75" customHeight="1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  <c r="AA928" s="114"/>
      <c r="AB928" s="114"/>
      <c r="AC928" s="114"/>
      <c r="AD928" s="114"/>
      <c r="AE928" s="114"/>
      <c r="AF928" s="114"/>
      <c r="AG928" s="114"/>
      <c r="AH928" s="114"/>
      <c r="AI928" s="114"/>
      <c r="AJ928" s="114"/>
      <c r="AK928" s="114"/>
      <c r="AL928" s="114"/>
      <c r="AM928" s="114"/>
      <c r="AN928" s="114"/>
      <c r="AO928" s="114"/>
      <c r="AP928" s="114"/>
      <c r="AQ928" s="114"/>
    </row>
    <row r="929" spans="1:43" ht="15.75" customHeight="1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</row>
    <row r="930" spans="1:43" ht="15.75" customHeight="1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</row>
    <row r="931" spans="1:43" ht="15.75" customHeight="1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  <c r="AA931" s="114"/>
      <c r="AB931" s="114"/>
      <c r="AC931" s="114"/>
      <c r="AD931" s="114"/>
      <c r="AE931" s="114"/>
      <c r="AF931" s="114"/>
      <c r="AG931" s="114"/>
      <c r="AH931" s="114"/>
      <c r="AI931" s="114"/>
      <c r="AJ931" s="114"/>
      <c r="AK931" s="114"/>
      <c r="AL931" s="114"/>
      <c r="AM931" s="114"/>
      <c r="AN931" s="114"/>
      <c r="AO931" s="114"/>
      <c r="AP931" s="114"/>
      <c r="AQ931" s="114"/>
    </row>
    <row r="932" spans="1:43" ht="15.75" customHeight="1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  <c r="AA932" s="114"/>
      <c r="AB932" s="114"/>
      <c r="AC932" s="114"/>
      <c r="AD932" s="114"/>
      <c r="AE932" s="114"/>
      <c r="AF932" s="114"/>
      <c r="AG932" s="114"/>
      <c r="AH932" s="114"/>
      <c r="AI932" s="114"/>
      <c r="AJ932" s="114"/>
      <c r="AK932" s="114"/>
      <c r="AL932" s="114"/>
      <c r="AM932" s="114"/>
      <c r="AN932" s="114"/>
      <c r="AO932" s="114"/>
      <c r="AP932" s="114"/>
      <c r="AQ932" s="114"/>
    </row>
    <row r="933" spans="1:43" ht="15.75" customHeight="1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</row>
    <row r="934" spans="1:43" ht="15.75" customHeight="1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</row>
    <row r="935" spans="1:43" ht="15.75" customHeight="1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  <c r="AA935" s="114"/>
      <c r="AB935" s="114"/>
      <c r="AC935" s="114"/>
      <c r="AD935" s="114"/>
      <c r="AE935" s="114"/>
      <c r="AF935" s="114"/>
      <c r="AG935" s="114"/>
      <c r="AH935" s="114"/>
      <c r="AI935" s="114"/>
      <c r="AJ935" s="114"/>
      <c r="AK935" s="114"/>
      <c r="AL935" s="114"/>
      <c r="AM935" s="114"/>
      <c r="AN935" s="114"/>
      <c r="AO935" s="114"/>
      <c r="AP935" s="114"/>
      <c r="AQ935" s="114"/>
    </row>
    <row r="936" spans="1:43" ht="15.75" customHeight="1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  <c r="AA936" s="114"/>
      <c r="AB936" s="114"/>
      <c r="AC936" s="114"/>
      <c r="AD936" s="114"/>
      <c r="AE936" s="114"/>
      <c r="AF936" s="114"/>
      <c r="AG936" s="114"/>
      <c r="AH936" s="114"/>
      <c r="AI936" s="114"/>
      <c r="AJ936" s="114"/>
      <c r="AK936" s="114"/>
      <c r="AL936" s="114"/>
      <c r="AM936" s="114"/>
      <c r="AN936" s="114"/>
      <c r="AO936" s="114"/>
      <c r="AP936" s="114"/>
      <c r="AQ936" s="114"/>
    </row>
    <row r="937" spans="1:43" ht="15.75" customHeight="1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  <c r="AA937" s="114"/>
      <c r="AB937" s="114"/>
      <c r="AC937" s="114"/>
      <c r="AD937" s="114"/>
      <c r="AE937" s="114"/>
      <c r="AF937" s="114"/>
      <c r="AG937" s="114"/>
      <c r="AH937" s="114"/>
      <c r="AI937" s="114"/>
      <c r="AJ937" s="114"/>
      <c r="AK937" s="114"/>
      <c r="AL937" s="114"/>
      <c r="AM937" s="114"/>
      <c r="AN937" s="114"/>
      <c r="AO937" s="114"/>
      <c r="AP937" s="114"/>
      <c r="AQ937" s="114"/>
    </row>
    <row r="938" spans="1:43" ht="15.75" customHeight="1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  <c r="AA938" s="114"/>
      <c r="AB938" s="114"/>
      <c r="AC938" s="114"/>
      <c r="AD938" s="114"/>
      <c r="AE938" s="114"/>
      <c r="AF938" s="114"/>
      <c r="AG938" s="114"/>
      <c r="AH938" s="114"/>
      <c r="AI938" s="114"/>
      <c r="AJ938" s="114"/>
      <c r="AK938" s="114"/>
      <c r="AL938" s="114"/>
      <c r="AM938" s="114"/>
      <c r="AN938" s="114"/>
      <c r="AO938" s="114"/>
      <c r="AP938" s="114"/>
      <c r="AQ938" s="114"/>
    </row>
    <row r="939" spans="1:43" ht="15.75" customHeight="1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  <c r="AA939" s="114"/>
      <c r="AB939" s="114"/>
      <c r="AC939" s="114"/>
      <c r="AD939" s="114"/>
      <c r="AE939" s="114"/>
      <c r="AF939" s="114"/>
      <c r="AG939" s="114"/>
      <c r="AH939" s="114"/>
      <c r="AI939" s="114"/>
      <c r="AJ939" s="114"/>
      <c r="AK939" s="114"/>
      <c r="AL939" s="114"/>
      <c r="AM939" s="114"/>
      <c r="AN939" s="114"/>
      <c r="AO939" s="114"/>
      <c r="AP939" s="114"/>
      <c r="AQ939" s="114"/>
    </row>
    <row r="940" spans="1:43" ht="15.75" customHeight="1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  <c r="AA940" s="114"/>
      <c r="AB940" s="114"/>
      <c r="AC940" s="114"/>
      <c r="AD940" s="114"/>
      <c r="AE940" s="114"/>
      <c r="AF940" s="114"/>
      <c r="AG940" s="114"/>
      <c r="AH940" s="114"/>
      <c r="AI940" s="114"/>
      <c r="AJ940" s="114"/>
      <c r="AK940" s="114"/>
      <c r="AL940" s="114"/>
      <c r="AM940" s="114"/>
      <c r="AN940" s="114"/>
      <c r="AO940" s="114"/>
      <c r="AP940" s="114"/>
      <c r="AQ940" s="114"/>
    </row>
    <row r="941" spans="1:43" ht="15.75" customHeight="1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  <c r="AA941" s="114"/>
      <c r="AB941" s="114"/>
      <c r="AC941" s="114"/>
      <c r="AD941" s="114"/>
      <c r="AE941" s="114"/>
      <c r="AF941" s="114"/>
      <c r="AG941" s="114"/>
      <c r="AH941" s="114"/>
      <c r="AI941" s="114"/>
      <c r="AJ941" s="114"/>
      <c r="AK941" s="114"/>
      <c r="AL941" s="114"/>
      <c r="AM941" s="114"/>
      <c r="AN941" s="114"/>
      <c r="AO941" s="114"/>
      <c r="AP941" s="114"/>
      <c r="AQ941" s="114"/>
    </row>
    <row r="942" spans="1:43" ht="15.75" customHeight="1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  <c r="AA942" s="114"/>
      <c r="AB942" s="114"/>
      <c r="AC942" s="114"/>
      <c r="AD942" s="114"/>
      <c r="AE942" s="114"/>
      <c r="AF942" s="114"/>
      <c r="AG942" s="114"/>
      <c r="AH942" s="114"/>
      <c r="AI942" s="114"/>
      <c r="AJ942" s="114"/>
      <c r="AK942" s="114"/>
      <c r="AL942" s="114"/>
      <c r="AM942" s="114"/>
      <c r="AN942" s="114"/>
      <c r="AO942" s="114"/>
      <c r="AP942" s="114"/>
      <c r="AQ942" s="114"/>
    </row>
    <row r="943" spans="1:43" ht="15.75" customHeight="1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  <c r="AA943" s="114"/>
      <c r="AB943" s="114"/>
      <c r="AC943" s="114"/>
      <c r="AD943" s="114"/>
      <c r="AE943" s="114"/>
      <c r="AF943" s="114"/>
      <c r="AG943" s="114"/>
      <c r="AH943" s="114"/>
      <c r="AI943" s="114"/>
      <c r="AJ943" s="114"/>
      <c r="AK943" s="114"/>
      <c r="AL943" s="114"/>
      <c r="AM943" s="114"/>
      <c r="AN943" s="114"/>
      <c r="AO943" s="114"/>
      <c r="AP943" s="114"/>
      <c r="AQ943" s="114"/>
    </row>
    <row r="944" spans="1:43" ht="15.75" customHeight="1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  <c r="AA944" s="114"/>
      <c r="AB944" s="114"/>
      <c r="AC944" s="114"/>
      <c r="AD944" s="114"/>
      <c r="AE944" s="114"/>
      <c r="AF944" s="114"/>
      <c r="AG944" s="114"/>
      <c r="AH944" s="114"/>
      <c r="AI944" s="114"/>
      <c r="AJ944" s="114"/>
      <c r="AK944" s="114"/>
      <c r="AL944" s="114"/>
      <c r="AM944" s="114"/>
      <c r="AN944" s="114"/>
      <c r="AO944" s="114"/>
      <c r="AP944" s="114"/>
      <c r="AQ944" s="114"/>
    </row>
    <row r="945" spans="1:43" ht="15.75" customHeight="1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  <c r="AA945" s="114"/>
      <c r="AB945" s="114"/>
      <c r="AC945" s="114"/>
      <c r="AD945" s="114"/>
      <c r="AE945" s="114"/>
      <c r="AF945" s="114"/>
      <c r="AG945" s="114"/>
      <c r="AH945" s="114"/>
      <c r="AI945" s="114"/>
      <c r="AJ945" s="114"/>
      <c r="AK945" s="114"/>
      <c r="AL945" s="114"/>
      <c r="AM945" s="114"/>
      <c r="AN945" s="114"/>
      <c r="AO945" s="114"/>
      <c r="AP945" s="114"/>
      <c r="AQ945" s="114"/>
    </row>
    <row r="946" spans="1:43" ht="15.75" customHeight="1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  <c r="AA946" s="114"/>
      <c r="AB946" s="114"/>
      <c r="AC946" s="114"/>
      <c r="AD946" s="114"/>
      <c r="AE946" s="114"/>
      <c r="AF946" s="114"/>
      <c r="AG946" s="114"/>
      <c r="AH946" s="114"/>
      <c r="AI946" s="114"/>
      <c r="AJ946" s="114"/>
      <c r="AK946" s="114"/>
      <c r="AL946" s="114"/>
      <c r="AM946" s="114"/>
      <c r="AN946" s="114"/>
      <c r="AO946" s="114"/>
      <c r="AP946" s="114"/>
      <c r="AQ946" s="114"/>
    </row>
    <row r="947" spans="1:43" ht="15.75" customHeight="1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  <c r="AA947" s="114"/>
      <c r="AB947" s="114"/>
      <c r="AC947" s="114"/>
      <c r="AD947" s="114"/>
      <c r="AE947" s="114"/>
      <c r="AF947" s="114"/>
      <c r="AG947" s="114"/>
      <c r="AH947" s="114"/>
      <c r="AI947" s="114"/>
      <c r="AJ947" s="114"/>
      <c r="AK947" s="114"/>
      <c r="AL947" s="114"/>
      <c r="AM947" s="114"/>
      <c r="AN947" s="114"/>
      <c r="AO947" s="114"/>
      <c r="AP947" s="114"/>
      <c r="AQ947" s="114"/>
    </row>
    <row r="948" spans="1:43" ht="15.75" customHeight="1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  <c r="AA948" s="114"/>
      <c r="AB948" s="114"/>
      <c r="AC948" s="114"/>
      <c r="AD948" s="114"/>
      <c r="AE948" s="114"/>
      <c r="AF948" s="114"/>
      <c r="AG948" s="114"/>
      <c r="AH948" s="114"/>
      <c r="AI948" s="114"/>
      <c r="AJ948" s="114"/>
      <c r="AK948" s="114"/>
      <c r="AL948" s="114"/>
      <c r="AM948" s="114"/>
      <c r="AN948" s="114"/>
      <c r="AO948" s="114"/>
      <c r="AP948" s="114"/>
      <c r="AQ948" s="114"/>
    </row>
    <row r="949" spans="1:43" ht="15.75" customHeight="1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  <c r="AA949" s="114"/>
      <c r="AB949" s="114"/>
      <c r="AC949" s="114"/>
      <c r="AD949" s="114"/>
      <c r="AE949" s="114"/>
      <c r="AF949" s="114"/>
      <c r="AG949" s="114"/>
      <c r="AH949" s="114"/>
      <c r="AI949" s="114"/>
      <c r="AJ949" s="114"/>
      <c r="AK949" s="114"/>
      <c r="AL949" s="114"/>
      <c r="AM949" s="114"/>
      <c r="AN949" s="114"/>
      <c r="AO949" s="114"/>
      <c r="AP949" s="114"/>
      <c r="AQ949" s="114"/>
    </row>
    <row r="950" spans="1:43" ht="15.75" customHeight="1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  <c r="AA950" s="114"/>
      <c r="AB950" s="114"/>
      <c r="AC950" s="114"/>
      <c r="AD950" s="114"/>
      <c r="AE950" s="114"/>
      <c r="AF950" s="114"/>
      <c r="AG950" s="114"/>
      <c r="AH950" s="114"/>
      <c r="AI950" s="114"/>
      <c r="AJ950" s="114"/>
      <c r="AK950" s="114"/>
      <c r="AL950" s="114"/>
      <c r="AM950" s="114"/>
      <c r="AN950" s="114"/>
      <c r="AO950" s="114"/>
      <c r="AP950" s="114"/>
      <c r="AQ950" s="114"/>
    </row>
    <row r="951" spans="1:43" ht="15.75" customHeight="1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  <c r="AA951" s="114"/>
      <c r="AB951" s="114"/>
      <c r="AC951" s="114"/>
      <c r="AD951" s="114"/>
      <c r="AE951" s="114"/>
      <c r="AF951" s="114"/>
      <c r="AG951" s="114"/>
      <c r="AH951" s="114"/>
      <c r="AI951" s="114"/>
      <c r="AJ951" s="114"/>
      <c r="AK951" s="114"/>
      <c r="AL951" s="114"/>
      <c r="AM951" s="114"/>
      <c r="AN951" s="114"/>
      <c r="AO951" s="114"/>
      <c r="AP951" s="114"/>
      <c r="AQ951" s="114"/>
    </row>
    <row r="952" spans="1:43" ht="15.75" customHeight="1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  <c r="AA952" s="114"/>
      <c r="AB952" s="114"/>
      <c r="AC952" s="114"/>
      <c r="AD952" s="114"/>
      <c r="AE952" s="114"/>
      <c r="AF952" s="114"/>
      <c r="AG952" s="114"/>
      <c r="AH952" s="114"/>
      <c r="AI952" s="114"/>
      <c r="AJ952" s="114"/>
      <c r="AK952" s="114"/>
      <c r="AL952" s="114"/>
      <c r="AM952" s="114"/>
      <c r="AN952" s="114"/>
      <c r="AO952" s="114"/>
      <c r="AP952" s="114"/>
      <c r="AQ952" s="114"/>
    </row>
    <row r="953" spans="1:43" ht="15.75" customHeight="1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  <c r="AA953" s="114"/>
      <c r="AB953" s="114"/>
      <c r="AC953" s="114"/>
      <c r="AD953" s="114"/>
      <c r="AE953" s="114"/>
      <c r="AF953" s="114"/>
      <c r="AG953" s="114"/>
      <c r="AH953" s="114"/>
      <c r="AI953" s="114"/>
      <c r="AJ953" s="114"/>
      <c r="AK953" s="114"/>
      <c r="AL953" s="114"/>
      <c r="AM953" s="114"/>
      <c r="AN953" s="114"/>
      <c r="AO953" s="114"/>
      <c r="AP953" s="114"/>
      <c r="AQ953" s="114"/>
    </row>
    <row r="954" spans="1:43" ht="15.75" customHeight="1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  <c r="AA954" s="114"/>
      <c r="AB954" s="114"/>
      <c r="AC954" s="114"/>
      <c r="AD954" s="114"/>
      <c r="AE954" s="114"/>
      <c r="AF954" s="114"/>
      <c r="AG954" s="114"/>
      <c r="AH954" s="114"/>
      <c r="AI954" s="114"/>
      <c r="AJ954" s="114"/>
      <c r="AK954" s="114"/>
      <c r="AL954" s="114"/>
      <c r="AM954" s="114"/>
      <c r="AN954" s="114"/>
      <c r="AO954" s="114"/>
      <c r="AP954" s="114"/>
      <c r="AQ954" s="114"/>
    </row>
    <row r="955" spans="1:43" ht="15.75" customHeight="1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  <c r="AA955" s="114"/>
      <c r="AB955" s="114"/>
      <c r="AC955" s="114"/>
      <c r="AD955" s="114"/>
      <c r="AE955" s="114"/>
      <c r="AF955" s="114"/>
      <c r="AG955" s="114"/>
      <c r="AH955" s="114"/>
      <c r="AI955" s="114"/>
      <c r="AJ955" s="114"/>
      <c r="AK955" s="114"/>
      <c r="AL955" s="114"/>
      <c r="AM955" s="114"/>
      <c r="AN955" s="114"/>
      <c r="AO955" s="114"/>
      <c r="AP955" s="114"/>
      <c r="AQ955" s="114"/>
    </row>
    <row r="956" spans="1:43" ht="15.75" customHeight="1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  <c r="AA956" s="114"/>
      <c r="AB956" s="114"/>
      <c r="AC956" s="114"/>
      <c r="AD956" s="114"/>
      <c r="AE956" s="114"/>
      <c r="AF956" s="114"/>
      <c r="AG956" s="114"/>
      <c r="AH956" s="114"/>
      <c r="AI956" s="114"/>
      <c r="AJ956" s="114"/>
      <c r="AK956" s="114"/>
      <c r="AL956" s="114"/>
      <c r="AM956" s="114"/>
      <c r="AN956" s="114"/>
      <c r="AO956" s="114"/>
      <c r="AP956" s="114"/>
      <c r="AQ956" s="114"/>
    </row>
    <row r="957" spans="1:43" ht="15.75" customHeight="1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  <c r="AA957" s="114"/>
      <c r="AB957" s="114"/>
      <c r="AC957" s="114"/>
      <c r="AD957" s="114"/>
      <c r="AE957" s="114"/>
      <c r="AF957" s="114"/>
      <c r="AG957" s="114"/>
      <c r="AH957" s="114"/>
      <c r="AI957" s="114"/>
      <c r="AJ957" s="114"/>
      <c r="AK957" s="114"/>
      <c r="AL957" s="114"/>
      <c r="AM957" s="114"/>
      <c r="AN957" s="114"/>
      <c r="AO957" s="114"/>
      <c r="AP957" s="114"/>
      <c r="AQ957" s="114"/>
    </row>
    <row r="958" spans="1:43" ht="15.75" customHeight="1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  <c r="AA958" s="114"/>
      <c r="AB958" s="114"/>
      <c r="AC958" s="114"/>
      <c r="AD958" s="114"/>
      <c r="AE958" s="114"/>
      <c r="AF958" s="114"/>
      <c r="AG958" s="114"/>
      <c r="AH958" s="114"/>
      <c r="AI958" s="114"/>
      <c r="AJ958" s="114"/>
      <c r="AK958" s="114"/>
      <c r="AL958" s="114"/>
      <c r="AM958" s="114"/>
      <c r="AN958" s="114"/>
      <c r="AO958" s="114"/>
      <c r="AP958" s="114"/>
      <c r="AQ958" s="114"/>
    </row>
    <row r="959" spans="1:43" ht="15.75" customHeight="1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  <c r="AA959" s="114"/>
      <c r="AB959" s="114"/>
      <c r="AC959" s="114"/>
      <c r="AD959" s="114"/>
      <c r="AE959" s="114"/>
      <c r="AF959" s="114"/>
      <c r="AG959" s="114"/>
      <c r="AH959" s="114"/>
      <c r="AI959" s="114"/>
      <c r="AJ959" s="114"/>
      <c r="AK959" s="114"/>
      <c r="AL959" s="114"/>
      <c r="AM959" s="114"/>
      <c r="AN959" s="114"/>
      <c r="AO959" s="114"/>
      <c r="AP959" s="114"/>
      <c r="AQ959" s="114"/>
    </row>
    <row r="960" spans="1:43" ht="15.75" customHeight="1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  <c r="AA960" s="114"/>
      <c r="AB960" s="114"/>
      <c r="AC960" s="114"/>
      <c r="AD960" s="114"/>
      <c r="AE960" s="114"/>
      <c r="AF960" s="114"/>
      <c r="AG960" s="114"/>
      <c r="AH960" s="114"/>
      <c r="AI960" s="114"/>
      <c r="AJ960" s="114"/>
      <c r="AK960" s="114"/>
      <c r="AL960" s="114"/>
      <c r="AM960" s="114"/>
      <c r="AN960" s="114"/>
      <c r="AO960" s="114"/>
      <c r="AP960" s="114"/>
      <c r="AQ960" s="114"/>
    </row>
    <row r="961" spans="1:43" ht="15.75" customHeight="1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  <c r="AA961" s="114"/>
      <c r="AB961" s="114"/>
      <c r="AC961" s="114"/>
      <c r="AD961" s="114"/>
      <c r="AE961" s="114"/>
      <c r="AF961" s="114"/>
      <c r="AG961" s="114"/>
      <c r="AH961" s="114"/>
      <c r="AI961" s="114"/>
      <c r="AJ961" s="114"/>
      <c r="AK961" s="114"/>
      <c r="AL961" s="114"/>
      <c r="AM961" s="114"/>
      <c r="AN961" s="114"/>
      <c r="AO961" s="114"/>
      <c r="AP961" s="114"/>
      <c r="AQ961" s="114"/>
    </row>
    <row r="962" spans="1:43" ht="15.75" customHeight="1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  <c r="AA962" s="114"/>
      <c r="AB962" s="114"/>
      <c r="AC962" s="114"/>
      <c r="AD962" s="114"/>
      <c r="AE962" s="114"/>
      <c r="AF962" s="114"/>
      <c r="AG962" s="114"/>
      <c r="AH962" s="114"/>
      <c r="AI962" s="114"/>
      <c r="AJ962" s="114"/>
      <c r="AK962" s="114"/>
      <c r="AL962" s="114"/>
      <c r="AM962" s="114"/>
      <c r="AN962" s="114"/>
      <c r="AO962" s="114"/>
      <c r="AP962" s="114"/>
      <c r="AQ962" s="114"/>
    </row>
    <row r="963" spans="1:43" ht="15.75" customHeight="1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  <c r="AA963" s="114"/>
      <c r="AB963" s="114"/>
      <c r="AC963" s="114"/>
      <c r="AD963" s="114"/>
      <c r="AE963" s="114"/>
      <c r="AF963" s="114"/>
      <c r="AG963" s="114"/>
      <c r="AH963" s="114"/>
      <c r="AI963" s="114"/>
      <c r="AJ963" s="114"/>
      <c r="AK963" s="114"/>
      <c r="AL963" s="114"/>
      <c r="AM963" s="114"/>
      <c r="AN963" s="114"/>
      <c r="AO963" s="114"/>
      <c r="AP963" s="114"/>
      <c r="AQ963" s="114"/>
    </row>
    <row r="964" spans="1:43" ht="15.75" customHeight="1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  <c r="AA964" s="114"/>
      <c r="AB964" s="114"/>
      <c r="AC964" s="114"/>
      <c r="AD964" s="114"/>
      <c r="AE964" s="114"/>
      <c r="AF964" s="114"/>
      <c r="AG964" s="114"/>
      <c r="AH964" s="114"/>
      <c r="AI964" s="114"/>
      <c r="AJ964" s="114"/>
      <c r="AK964" s="114"/>
      <c r="AL964" s="114"/>
      <c r="AM964" s="114"/>
      <c r="AN964" s="114"/>
      <c r="AO964" s="114"/>
      <c r="AP964" s="114"/>
      <c r="AQ964" s="114"/>
    </row>
    <row r="965" spans="1:43" ht="15.75" customHeight="1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  <c r="AA965" s="114"/>
      <c r="AB965" s="114"/>
      <c r="AC965" s="114"/>
      <c r="AD965" s="114"/>
      <c r="AE965" s="114"/>
      <c r="AF965" s="114"/>
      <c r="AG965" s="114"/>
      <c r="AH965" s="114"/>
      <c r="AI965" s="114"/>
      <c r="AJ965" s="114"/>
      <c r="AK965" s="114"/>
      <c r="AL965" s="114"/>
      <c r="AM965" s="114"/>
      <c r="AN965" s="114"/>
      <c r="AO965" s="114"/>
      <c r="AP965" s="114"/>
      <c r="AQ965" s="114"/>
    </row>
    <row r="966" spans="1:43" ht="15.75" customHeight="1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  <c r="AA966" s="114"/>
      <c r="AB966" s="114"/>
      <c r="AC966" s="114"/>
      <c r="AD966" s="114"/>
      <c r="AE966" s="114"/>
      <c r="AF966" s="114"/>
      <c r="AG966" s="114"/>
      <c r="AH966" s="114"/>
      <c r="AI966" s="114"/>
      <c r="AJ966" s="114"/>
      <c r="AK966" s="114"/>
      <c r="AL966" s="114"/>
      <c r="AM966" s="114"/>
      <c r="AN966" s="114"/>
      <c r="AO966" s="114"/>
      <c r="AP966" s="114"/>
      <c r="AQ966" s="114"/>
    </row>
    <row r="967" spans="1:43" ht="15.75" customHeight="1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  <c r="AA967" s="114"/>
      <c r="AB967" s="114"/>
      <c r="AC967" s="114"/>
      <c r="AD967" s="114"/>
      <c r="AE967" s="114"/>
      <c r="AF967" s="114"/>
      <c r="AG967" s="114"/>
      <c r="AH967" s="114"/>
      <c r="AI967" s="114"/>
      <c r="AJ967" s="114"/>
      <c r="AK967" s="114"/>
      <c r="AL967" s="114"/>
      <c r="AM967" s="114"/>
      <c r="AN967" s="114"/>
      <c r="AO967" s="114"/>
      <c r="AP967" s="114"/>
      <c r="AQ967" s="114"/>
    </row>
    <row r="968" spans="1:43" ht="15.75" customHeight="1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  <c r="AA968" s="114"/>
      <c r="AB968" s="114"/>
      <c r="AC968" s="114"/>
      <c r="AD968" s="114"/>
      <c r="AE968" s="114"/>
      <c r="AF968" s="114"/>
      <c r="AG968" s="114"/>
      <c r="AH968" s="114"/>
      <c r="AI968" s="114"/>
      <c r="AJ968" s="114"/>
      <c r="AK968" s="114"/>
      <c r="AL968" s="114"/>
      <c r="AM968" s="114"/>
      <c r="AN968" s="114"/>
      <c r="AO968" s="114"/>
      <c r="AP968" s="114"/>
      <c r="AQ968" s="114"/>
    </row>
    <row r="969" spans="1:43" ht="15.75" customHeight="1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  <c r="AA969" s="114"/>
      <c r="AB969" s="114"/>
      <c r="AC969" s="114"/>
      <c r="AD969" s="114"/>
      <c r="AE969" s="114"/>
      <c r="AF969" s="114"/>
      <c r="AG969" s="114"/>
      <c r="AH969" s="114"/>
      <c r="AI969" s="114"/>
      <c r="AJ969" s="114"/>
      <c r="AK969" s="114"/>
      <c r="AL969" s="114"/>
      <c r="AM969" s="114"/>
      <c r="AN969" s="114"/>
      <c r="AO969" s="114"/>
      <c r="AP969" s="114"/>
      <c r="AQ969" s="114"/>
    </row>
    <row r="970" spans="1:43" ht="15.75" customHeight="1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  <c r="AA970" s="114"/>
      <c r="AB970" s="114"/>
      <c r="AC970" s="114"/>
      <c r="AD970" s="114"/>
      <c r="AE970" s="114"/>
      <c r="AF970" s="114"/>
      <c r="AG970" s="114"/>
      <c r="AH970" s="114"/>
      <c r="AI970" s="114"/>
      <c r="AJ970" s="114"/>
      <c r="AK970" s="114"/>
      <c r="AL970" s="114"/>
      <c r="AM970" s="114"/>
      <c r="AN970" s="114"/>
      <c r="AO970" s="114"/>
      <c r="AP970" s="114"/>
      <c r="AQ970" s="114"/>
    </row>
    <row r="971" spans="1:43" ht="15.75" customHeight="1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  <c r="AA971" s="114"/>
      <c r="AB971" s="114"/>
      <c r="AC971" s="114"/>
      <c r="AD971" s="114"/>
      <c r="AE971" s="114"/>
      <c r="AF971" s="114"/>
      <c r="AG971" s="114"/>
      <c r="AH971" s="114"/>
      <c r="AI971" s="114"/>
      <c r="AJ971" s="114"/>
      <c r="AK971" s="114"/>
      <c r="AL971" s="114"/>
      <c r="AM971" s="114"/>
      <c r="AN971" s="114"/>
      <c r="AO971" s="114"/>
      <c r="AP971" s="114"/>
      <c r="AQ971" s="114"/>
    </row>
    <row r="972" spans="1:43" ht="15.75" customHeight="1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  <c r="AA972" s="114"/>
      <c r="AB972" s="114"/>
      <c r="AC972" s="114"/>
      <c r="AD972" s="114"/>
      <c r="AE972" s="114"/>
      <c r="AF972" s="114"/>
      <c r="AG972" s="114"/>
      <c r="AH972" s="114"/>
      <c r="AI972" s="114"/>
      <c r="AJ972" s="114"/>
      <c r="AK972" s="114"/>
      <c r="AL972" s="114"/>
      <c r="AM972" s="114"/>
      <c r="AN972" s="114"/>
      <c r="AO972" s="114"/>
      <c r="AP972" s="114"/>
      <c r="AQ972" s="114"/>
    </row>
    <row r="973" spans="1:43" ht="15.75" customHeight="1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  <c r="AA973" s="114"/>
      <c r="AB973" s="114"/>
      <c r="AC973" s="114"/>
      <c r="AD973" s="114"/>
      <c r="AE973" s="114"/>
      <c r="AF973" s="114"/>
      <c r="AG973" s="114"/>
      <c r="AH973" s="114"/>
      <c r="AI973" s="114"/>
      <c r="AJ973" s="114"/>
      <c r="AK973" s="114"/>
      <c r="AL973" s="114"/>
      <c r="AM973" s="114"/>
      <c r="AN973" s="114"/>
      <c r="AO973" s="114"/>
      <c r="AP973" s="114"/>
      <c r="AQ973" s="114"/>
    </row>
    <row r="974" spans="1:43" ht="15.75" customHeight="1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  <c r="AA974" s="114"/>
      <c r="AB974" s="114"/>
      <c r="AC974" s="114"/>
      <c r="AD974" s="114"/>
      <c r="AE974" s="114"/>
      <c r="AF974" s="114"/>
      <c r="AG974" s="114"/>
      <c r="AH974" s="114"/>
      <c r="AI974" s="114"/>
      <c r="AJ974" s="114"/>
      <c r="AK974" s="114"/>
      <c r="AL974" s="114"/>
      <c r="AM974" s="114"/>
      <c r="AN974" s="114"/>
      <c r="AO974" s="114"/>
      <c r="AP974" s="114"/>
      <c r="AQ974" s="114"/>
    </row>
    <row r="975" spans="1:43" ht="15.75" customHeight="1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  <c r="AA975" s="114"/>
      <c r="AB975" s="114"/>
      <c r="AC975" s="114"/>
      <c r="AD975" s="114"/>
      <c r="AE975" s="114"/>
      <c r="AF975" s="114"/>
      <c r="AG975" s="114"/>
      <c r="AH975" s="114"/>
      <c r="AI975" s="114"/>
      <c r="AJ975" s="114"/>
      <c r="AK975" s="114"/>
      <c r="AL975" s="114"/>
      <c r="AM975" s="114"/>
      <c r="AN975" s="114"/>
      <c r="AO975" s="114"/>
      <c r="AP975" s="114"/>
      <c r="AQ975" s="114"/>
    </row>
    <row r="976" spans="1:43" ht="15.75" customHeight="1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  <c r="AA976" s="114"/>
      <c r="AB976" s="114"/>
      <c r="AC976" s="114"/>
      <c r="AD976" s="114"/>
      <c r="AE976" s="114"/>
      <c r="AF976" s="114"/>
      <c r="AG976" s="114"/>
      <c r="AH976" s="114"/>
      <c r="AI976" s="114"/>
      <c r="AJ976" s="114"/>
      <c r="AK976" s="114"/>
      <c r="AL976" s="114"/>
      <c r="AM976" s="114"/>
      <c r="AN976" s="114"/>
      <c r="AO976" s="114"/>
      <c r="AP976" s="114"/>
      <c r="AQ976" s="114"/>
    </row>
    <row r="977" spans="1:43" ht="15.75" customHeight="1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  <c r="AA977" s="114"/>
      <c r="AB977" s="114"/>
      <c r="AC977" s="114"/>
      <c r="AD977" s="114"/>
      <c r="AE977" s="114"/>
      <c r="AF977" s="114"/>
      <c r="AG977" s="114"/>
      <c r="AH977" s="114"/>
      <c r="AI977" s="114"/>
      <c r="AJ977" s="114"/>
      <c r="AK977" s="114"/>
      <c r="AL977" s="114"/>
      <c r="AM977" s="114"/>
      <c r="AN977" s="114"/>
      <c r="AO977" s="114"/>
      <c r="AP977" s="114"/>
      <c r="AQ977" s="114"/>
    </row>
    <row r="978" spans="1:43" ht="15.75" customHeight="1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  <c r="AA978" s="114"/>
      <c r="AB978" s="114"/>
      <c r="AC978" s="114"/>
      <c r="AD978" s="114"/>
      <c r="AE978" s="114"/>
      <c r="AF978" s="114"/>
      <c r="AG978" s="114"/>
      <c r="AH978" s="114"/>
      <c r="AI978" s="114"/>
      <c r="AJ978" s="114"/>
      <c r="AK978" s="114"/>
      <c r="AL978" s="114"/>
      <c r="AM978" s="114"/>
      <c r="AN978" s="114"/>
      <c r="AO978" s="114"/>
      <c r="AP978" s="114"/>
      <c r="AQ978" s="114"/>
    </row>
    <row r="979" spans="1:43" ht="15.75" customHeight="1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  <c r="AA979" s="114"/>
      <c r="AB979" s="114"/>
      <c r="AC979" s="114"/>
      <c r="AD979" s="114"/>
      <c r="AE979" s="114"/>
      <c r="AF979" s="114"/>
      <c r="AG979" s="114"/>
      <c r="AH979" s="114"/>
      <c r="AI979" s="114"/>
      <c r="AJ979" s="114"/>
      <c r="AK979" s="114"/>
      <c r="AL979" s="114"/>
      <c r="AM979" s="114"/>
      <c r="AN979" s="114"/>
      <c r="AO979" s="114"/>
      <c r="AP979" s="114"/>
      <c r="AQ979" s="114"/>
    </row>
    <row r="980" spans="1:43" ht="15.75" customHeight="1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  <c r="AA980" s="114"/>
      <c r="AB980" s="114"/>
      <c r="AC980" s="114"/>
      <c r="AD980" s="114"/>
      <c r="AE980" s="114"/>
      <c r="AF980" s="114"/>
      <c r="AG980" s="114"/>
      <c r="AH980" s="114"/>
      <c r="AI980" s="114"/>
      <c r="AJ980" s="114"/>
      <c r="AK980" s="114"/>
      <c r="AL980" s="114"/>
      <c r="AM980" s="114"/>
      <c r="AN980" s="114"/>
      <c r="AO980" s="114"/>
      <c r="AP980" s="114"/>
      <c r="AQ980" s="114"/>
    </row>
    <row r="981" spans="1:43" ht="15.75" customHeight="1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  <c r="AA981" s="114"/>
      <c r="AB981" s="114"/>
      <c r="AC981" s="114"/>
      <c r="AD981" s="114"/>
      <c r="AE981" s="114"/>
      <c r="AF981" s="114"/>
      <c r="AG981" s="114"/>
      <c r="AH981" s="114"/>
      <c r="AI981" s="114"/>
      <c r="AJ981" s="114"/>
      <c r="AK981" s="114"/>
      <c r="AL981" s="114"/>
      <c r="AM981" s="114"/>
      <c r="AN981" s="114"/>
      <c r="AO981" s="114"/>
      <c r="AP981" s="114"/>
      <c r="AQ981" s="114"/>
    </row>
    <row r="982" spans="1:43" ht="15.75" customHeight="1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  <c r="AA982" s="114"/>
      <c r="AB982" s="114"/>
      <c r="AC982" s="114"/>
      <c r="AD982" s="114"/>
      <c r="AE982" s="114"/>
      <c r="AF982" s="114"/>
      <c r="AG982" s="114"/>
      <c r="AH982" s="114"/>
      <c r="AI982" s="114"/>
      <c r="AJ982" s="114"/>
      <c r="AK982" s="114"/>
      <c r="AL982" s="114"/>
      <c r="AM982" s="114"/>
      <c r="AN982" s="114"/>
      <c r="AO982" s="114"/>
      <c r="AP982" s="114"/>
      <c r="AQ982" s="114"/>
    </row>
    <row r="983" spans="1:43" ht="15.75" customHeight="1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  <c r="AA983" s="114"/>
      <c r="AB983" s="114"/>
      <c r="AC983" s="114"/>
      <c r="AD983" s="114"/>
      <c r="AE983" s="114"/>
      <c r="AF983" s="114"/>
      <c r="AG983" s="114"/>
      <c r="AH983" s="114"/>
      <c r="AI983" s="114"/>
      <c r="AJ983" s="114"/>
      <c r="AK983" s="114"/>
      <c r="AL983" s="114"/>
      <c r="AM983" s="114"/>
      <c r="AN983" s="114"/>
      <c r="AO983" s="114"/>
      <c r="AP983" s="114"/>
      <c r="AQ983" s="114"/>
    </row>
    <row r="984" spans="1:43" ht="15.75" customHeight="1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  <c r="AA984" s="114"/>
      <c r="AB984" s="114"/>
      <c r="AC984" s="114"/>
      <c r="AD984" s="114"/>
      <c r="AE984" s="114"/>
      <c r="AF984" s="114"/>
      <c r="AG984" s="114"/>
      <c r="AH984" s="114"/>
      <c r="AI984" s="114"/>
      <c r="AJ984" s="114"/>
      <c r="AK984" s="114"/>
      <c r="AL984" s="114"/>
      <c r="AM984" s="114"/>
      <c r="AN984" s="114"/>
      <c r="AO984" s="114"/>
      <c r="AP984" s="114"/>
      <c r="AQ984" s="114"/>
    </row>
    <row r="985" spans="1:43" ht="15.75" customHeight="1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  <c r="AA985" s="114"/>
      <c r="AB985" s="114"/>
      <c r="AC985" s="114"/>
      <c r="AD985" s="114"/>
      <c r="AE985" s="114"/>
      <c r="AF985" s="114"/>
      <c r="AG985" s="114"/>
      <c r="AH985" s="114"/>
      <c r="AI985" s="114"/>
      <c r="AJ985" s="114"/>
      <c r="AK985" s="114"/>
      <c r="AL985" s="114"/>
      <c r="AM985" s="114"/>
      <c r="AN985" s="114"/>
      <c r="AO985" s="114"/>
      <c r="AP985" s="114"/>
      <c r="AQ985" s="114"/>
    </row>
    <row r="986" spans="1:43" ht="15.75" customHeight="1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  <c r="AA986" s="114"/>
      <c r="AB986" s="114"/>
      <c r="AC986" s="114"/>
      <c r="AD986" s="114"/>
      <c r="AE986" s="114"/>
      <c r="AF986" s="114"/>
      <c r="AG986" s="114"/>
      <c r="AH986" s="114"/>
      <c r="AI986" s="114"/>
      <c r="AJ986" s="114"/>
      <c r="AK986" s="114"/>
      <c r="AL986" s="114"/>
      <c r="AM986" s="114"/>
      <c r="AN986" s="114"/>
      <c r="AO986" s="114"/>
      <c r="AP986" s="114"/>
      <c r="AQ986" s="114"/>
    </row>
    <row r="987" spans="1:43" ht="15.75" customHeight="1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  <c r="AA987" s="114"/>
      <c r="AB987" s="114"/>
      <c r="AC987" s="114"/>
      <c r="AD987" s="114"/>
      <c r="AE987" s="114"/>
      <c r="AF987" s="114"/>
      <c r="AG987" s="114"/>
      <c r="AH987" s="114"/>
      <c r="AI987" s="114"/>
      <c r="AJ987" s="114"/>
      <c r="AK987" s="114"/>
      <c r="AL987" s="114"/>
      <c r="AM987" s="114"/>
      <c r="AN987" s="114"/>
      <c r="AO987" s="114"/>
      <c r="AP987" s="114"/>
      <c r="AQ987" s="114"/>
    </row>
    <row r="988" spans="1:43" ht="15.75" customHeight="1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  <c r="AA988" s="114"/>
      <c r="AB988" s="114"/>
      <c r="AC988" s="114"/>
      <c r="AD988" s="114"/>
      <c r="AE988" s="114"/>
      <c r="AF988" s="114"/>
      <c r="AG988" s="114"/>
      <c r="AH988" s="114"/>
      <c r="AI988" s="114"/>
      <c r="AJ988" s="114"/>
      <c r="AK988" s="114"/>
      <c r="AL988" s="114"/>
      <c r="AM988" s="114"/>
      <c r="AN988" s="114"/>
      <c r="AO988" s="114"/>
      <c r="AP988" s="114"/>
      <c r="AQ988" s="114"/>
    </row>
    <row r="989" spans="1:43" ht="15.75" customHeight="1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  <c r="AA989" s="114"/>
      <c r="AB989" s="114"/>
      <c r="AC989" s="114"/>
      <c r="AD989" s="114"/>
      <c r="AE989" s="114"/>
      <c r="AF989" s="114"/>
      <c r="AG989" s="114"/>
      <c r="AH989" s="114"/>
      <c r="AI989" s="114"/>
      <c r="AJ989" s="114"/>
      <c r="AK989" s="114"/>
      <c r="AL989" s="114"/>
      <c r="AM989" s="114"/>
      <c r="AN989" s="114"/>
      <c r="AO989" s="114"/>
      <c r="AP989" s="114"/>
      <c r="AQ989" s="114"/>
    </row>
    <row r="990" spans="1:43" ht="15.75" customHeight="1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  <c r="AA990" s="114"/>
      <c r="AB990" s="114"/>
      <c r="AC990" s="114"/>
      <c r="AD990" s="114"/>
      <c r="AE990" s="114"/>
      <c r="AF990" s="114"/>
      <c r="AG990" s="114"/>
      <c r="AH990" s="114"/>
      <c r="AI990" s="114"/>
      <c r="AJ990" s="114"/>
      <c r="AK990" s="114"/>
      <c r="AL990" s="114"/>
      <c r="AM990" s="114"/>
      <c r="AN990" s="114"/>
      <c r="AO990" s="114"/>
      <c r="AP990" s="114"/>
      <c r="AQ990" s="114"/>
    </row>
    <row r="991" spans="1:43" ht="15.75" customHeight="1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  <c r="AA991" s="114"/>
      <c r="AB991" s="114"/>
      <c r="AC991" s="114"/>
      <c r="AD991" s="114"/>
      <c r="AE991" s="114"/>
      <c r="AF991" s="114"/>
      <c r="AG991" s="114"/>
      <c r="AH991" s="114"/>
      <c r="AI991" s="114"/>
      <c r="AJ991" s="114"/>
      <c r="AK991" s="114"/>
      <c r="AL991" s="114"/>
      <c r="AM991" s="114"/>
      <c r="AN991" s="114"/>
      <c r="AO991" s="114"/>
      <c r="AP991" s="114"/>
      <c r="AQ991" s="114"/>
    </row>
    <row r="992" spans="1:43" ht="15.75" customHeight="1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  <c r="AA992" s="114"/>
      <c r="AB992" s="114"/>
      <c r="AC992" s="114"/>
      <c r="AD992" s="114"/>
      <c r="AE992" s="114"/>
      <c r="AF992" s="114"/>
      <c r="AG992" s="114"/>
      <c r="AH992" s="114"/>
      <c r="AI992" s="114"/>
      <c r="AJ992" s="114"/>
      <c r="AK992" s="114"/>
      <c r="AL992" s="114"/>
      <c r="AM992" s="114"/>
      <c r="AN992" s="114"/>
      <c r="AO992" s="114"/>
      <c r="AP992" s="114"/>
      <c r="AQ992" s="114"/>
    </row>
    <row r="993" spans="1:43" ht="15.75" customHeight="1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  <c r="AA993" s="114"/>
      <c r="AB993" s="114"/>
      <c r="AC993" s="114"/>
      <c r="AD993" s="114"/>
      <c r="AE993" s="114"/>
      <c r="AF993" s="114"/>
      <c r="AG993" s="114"/>
      <c r="AH993" s="114"/>
      <c r="AI993" s="114"/>
      <c r="AJ993" s="114"/>
      <c r="AK993" s="114"/>
      <c r="AL993" s="114"/>
      <c r="AM993" s="114"/>
      <c r="AN993" s="114"/>
      <c r="AO993" s="114"/>
      <c r="AP993" s="114"/>
      <c r="AQ993" s="114"/>
    </row>
    <row r="994" spans="1:43" ht="15.75" customHeight="1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  <c r="AA994" s="114"/>
      <c r="AB994" s="114"/>
      <c r="AC994" s="114"/>
      <c r="AD994" s="114"/>
      <c r="AE994" s="114"/>
      <c r="AF994" s="114"/>
      <c r="AG994" s="114"/>
      <c r="AH994" s="114"/>
      <c r="AI994" s="114"/>
      <c r="AJ994" s="114"/>
      <c r="AK994" s="114"/>
      <c r="AL994" s="114"/>
      <c r="AM994" s="114"/>
      <c r="AN994" s="114"/>
      <c r="AO994" s="114"/>
      <c r="AP994" s="114"/>
      <c r="AQ994" s="114"/>
    </row>
    <row r="995" spans="1:43" ht="15.75" customHeight="1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  <c r="AA995" s="114"/>
      <c r="AB995" s="114"/>
      <c r="AC995" s="114"/>
      <c r="AD995" s="114"/>
      <c r="AE995" s="114"/>
      <c r="AF995" s="114"/>
      <c r="AG995" s="114"/>
      <c r="AH995" s="114"/>
      <c r="AI995" s="114"/>
      <c r="AJ995" s="114"/>
      <c r="AK995" s="114"/>
      <c r="AL995" s="114"/>
      <c r="AM995" s="114"/>
      <c r="AN995" s="114"/>
      <c r="AO995" s="114"/>
      <c r="AP995" s="114"/>
      <c r="AQ995" s="114"/>
    </row>
    <row r="996" spans="1:43" ht="15.75" customHeight="1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  <c r="AA996" s="114"/>
      <c r="AB996" s="114"/>
      <c r="AC996" s="114"/>
      <c r="AD996" s="114"/>
      <c r="AE996" s="114"/>
      <c r="AF996" s="114"/>
      <c r="AG996" s="114"/>
      <c r="AH996" s="114"/>
      <c r="AI996" s="114"/>
      <c r="AJ996" s="114"/>
      <c r="AK996" s="114"/>
      <c r="AL996" s="114"/>
      <c r="AM996" s="114"/>
      <c r="AN996" s="114"/>
      <c r="AO996" s="114"/>
      <c r="AP996" s="114"/>
      <c r="AQ996" s="114"/>
    </row>
    <row r="997" spans="1:43" ht="15.75" customHeight="1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  <c r="AA997" s="114"/>
      <c r="AB997" s="114"/>
      <c r="AC997" s="114"/>
      <c r="AD997" s="114"/>
      <c r="AE997" s="114"/>
      <c r="AF997" s="114"/>
      <c r="AG997" s="114"/>
      <c r="AH997" s="114"/>
      <c r="AI997" s="114"/>
      <c r="AJ997" s="114"/>
      <c r="AK997" s="114"/>
      <c r="AL997" s="114"/>
      <c r="AM997" s="114"/>
      <c r="AN997" s="114"/>
      <c r="AO997" s="114"/>
      <c r="AP997" s="114"/>
      <c r="AQ997" s="114"/>
    </row>
    <row r="998" spans="1:43" ht="15.75" customHeight="1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14"/>
      <c r="Y998" s="114"/>
      <c r="Z998" s="114"/>
      <c r="AA998" s="114"/>
      <c r="AB998" s="114"/>
      <c r="AC998" s="114"/>
      <c r="AD998" s="114"/>
      <c r="AE998" s="114"/>
      <c r="AF998" s="114"/>
      <c r="AG998" s="114"/>
      <c r="AH998" s="114"/>
      <c r="AI998" s="114"/>
      <c r="AJ998" s="114"/>
      <c r="AK998" s="114"/>
      <c r="AL998" s="114"/>
      <c r="AM998" s="114"/>
      <c r="AN998" s="114"/>
      <c r="AO998" s="114"/>
      <c r="AP998" s="114"/>
      <c r="AQ998" s="114"/>
    </row>
    <row r="999" spans="1:43" ht="15.75" customHeight="1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114"/>
      <c r="R999" s="114"/>
      <c r="S999" s="114"/>
      <c r="T999" s="114"/>
      <c r="U999" s="114"/>
      <c r="V999" s="114"/>
      <c r="W999" s="114"/>
      <c r="X999" s="114"/>
      <c r="Y999" s="114"/>
      <c r="Z999" s="114"/>
      <c r="AA999" s="114"/>
      <c r="AB999" s="114"/>
      <c r="AC999" s="114"/>
      <c r="AD999" s="114"/>
      <c r="AE999" s="114"/>
      <c r="AF999" s="114"/>
      <c r="AG999" s="114"/>
      <c r="AH999" s="114"/>
      <c r="AI999" s="114"/>
      <c r="AJ999" s="114"/>
      <c r="AK999" s="114"/>
      <c r="AL999" s="114"/>
      <c r="AM999" s="114"/>
      <c r="AN999" s="114"/>
      <c r="AO999" s="114"/>
      <c r="AP999" s="114"/>
      <c r="AQ999" s="114"/>
    </row>
    <row r="1000" spans="1:43" ht="15.75" customHeight="1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  <c r="S1000" s="114"/>
      <c r="T1000" s="114"/>
      <c r="U1000" s="114"/>
      <c r="V1000" s="114"/>
      <c r="W1000" s="114"/>
      <c r="X1000" s="114"/>
      <c r="Y1000" s="114"/>
      <c r="Z1000" s="114"/>
      <c r="AA1000" s="114"/>
      <c r="AB1000" s="114"/>
      <c r="AC1000" s="114"/>
      <c r="AD1000" s="114"/>
      <c r="AE1000" s="114"/>
      <c r="AF1000" s="114"/>
      <c r="AG1000" s="114"/>
      <c r="AH1000" s="114"/>
      <c r="AI1000" s="114"/>
      <c r="AJ1000" s="114"/>
      <c r="AK1000" s="114"/>
      <c r="AL1000" s="114"/>
      <c r="AM1000" s="114"/>
      <c r="AN1000" s="114"/>
      <c r="AO1000" s="114"/>
      <c r="AP1000" s="114"/>
      <c r="AQ1000" s="114"/>
    </row>
  </sheetData>
  <mergeCells count="47">
    <mergeCell ref="A91:B91"/>
    <mergeCell ref="A106:B106"/>
    <mergeCell ref="C7:C8"/>
    <mergeCell ref="D7:D8"/>
    <mergeCell ref="A9:B9"/>
    <mergeCell ref="A15:B15"/>
    <mergeCell ref="A33:B33"/>
    <mergeCell ref="A54:B54"/>
    <mergeCell ref="A76:B76"/>
    <mergeCell ref="AO5:AQ6"/>
    <mergeCell ref="A6:B8"/>
    <mergeCell ref="AP7:AQ7"/>
    <mergeCell ref="A2:B4"/>
    <mergeCell ref="C2:AA2"/>
    <mergeCell ref="AB2:AQ2"/>
    <mergeCell ref="C3:AA3"/>
    <mergeCell ref="AB3:AQ3"/>
    <mergeCell ref="C4:AA4"/>
    <mergeCell ref="AB4:AQ4"/>
    <mergeCell ref="AB6:AF6"/>
    <mergeCell ref="AH6:AN6"/>
    <mergeCell ref="E7:E8"/>
    <mergeCell ref="F7:F8"/>
    <mergeCell ref="G7:G8"/>
    <mergeCell ref="I7:J7"/>
    <mergeCell ref="AH7:AI7"/>
    <mergeCell ref="AJ7:AL7"/>
    <mergeCell ref="AM7:AN7"/>
    <mergeCell ref="P5:R6"/>
    <mergeCell ref="S5:U6"/>
    <mergeCell ref="V5:X6"/>
    <mergeCell ref="Y5:AA6"/>
    <mergeCell ref="AB5:AN5"/>
    <mergeCell ref="Q7:R7"/>
    <mergeCell ref="T7:U7"/>
    <mergeCell ref="AB7:AB8"/>
    <mergeCell ref="AC7:AC8"/>
    <mergeCell ref="AD7:AD8"/>
    <mergeCell ref="AE7:AE8"/>
    <mergeCell ref="AF7:AF8"/>
    <mergeCell ref="C5:O5"/>
    <mergeCell ref="C6:G6"/>
    <mergeCell ref="I6:O6"/>
    <mergeCell ref="W7:X7"/>
    <mergeCell ref="Z7:AA7"/>
    <mergeCell ref="K7:M7"/>
    <mergeCell ref="N7:O7"/>
  </mergeCells>
  <printOptions horizontalCentered="1"/>
  <pageMargins left="0.31496062992125984" right="0.31496062992125984" top="0.74803149606299213" bottom="0.74803149606299213" header="0" footer="0"/>
  <pageSetup paperSize="9" scale="42" fitToWidth="0" fitToHeight="0" orientation="landscape" r:id="rId1"/>
  <headerFooter>
    <oddFooter>&amp;Cหน้า &amp;P/&amp;N</oddFooter>
  </headerFooter>
  <rowBreaks count="5" manualBreakCount="5">
    <brk id="32" man="1"/>
    <brk id="53" man="1"/>
    <brk id="75" max="16383" man="1"/>
    <brk id="90" man="1"/>
    <brk id="75" man="1"/>
  </rowBreaks>
  <colBreaks count="1" manualBreakCount="1">
    <brk id="2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EAADB"/>
  </sheetPr>
  <dimension ref="A1:BF1000"/>
  <sheetViews>
    <sheetView view="pageBreakPreview" zoomScale="70" zoomScaleNormal="100" zoomScaleSheetLayoutView="70" workbookViewId="0">
      <pane xSplit="2" ySplit="9" topLeftCell="C10" activePane="bottomRight" state="frozen"/>
      <selection activeCell="F95" sqref="F95"/>
      <selection pane="topRight" activeCell="F95" sqref="F95"/>
      <selection pane="bottomLeft" activeCell="F95" sqref="F95"/>
      <selection pane="bottomRight" activeCell="A15" sqref="A15:B15"/>
    </sheetView>
  </sheetViews>
  <sheetFormatPr defaultColWidth="14.44140625" defaultRowHeight="15" customHeight="1"/>
  <cols>
    <col min="1" max="1" width="7.21875" customWidth="1"/>
    <col min="2" max="2" width="29.77734375" customWidth="1"/>
    <col min="3" max="11" width="17.21875" customWidth="1"/>
    <col min="12" max="12" width="15.21875" customWidth="1"/>
    <col min="13" max="13" width="16.77734375" customWidth="1"/>
    <col min="14" max="14" width="14.77734375" customWidth="1"/>
    <col min="15" max="15" width="8.77734375" customWidth="1"/>
    <col min="16" max="17" width="14.44140625" customWidth="1"/>
    <col min="18" max="18" width="12.21875" customWidth="1"/>
    <col min="19" max="20" width="14.44140625" customWidth="1"/>
    <col min="21" max="21" width="8.77734375" customWidth="1"/>
    <col min="22" max="23" width="14.44140625" customWidth="1"/>
    <col min="24" max="24" width="8.77734375" customWidth="1"/>
    <col min="25" max="26" width="14.44140625" customWidth="1"/>
    <col min="27" max="27" width="8.77734375" customWidth="1"/>
    <col min="28" max="29" width="14.44140625" customWidth="1"/>
    <col min="30" max="30" width="9.44140625" customWidth="1"/>
    <col min="31" max="31" width="10.77734375" customWidth="1"/>
    <col min="32" max="34" width="9.44140625" customWidth="1"/>
    <col min="35" max="35" width="11" customWidth="1"/>
    <col min="36" max="44" width="9.44140625" customWidth="1"/>
    <col min="45" max="45" width="10.5546875" customWidth="1"/>
    <col min="46" max="48" width="9.44140625" customWidth="1"/>
    <col min="49" max="49" width="11" customWidth="1"/>
    <col min="50" max="58" width="9.44140625" customWidth="1"/>
  </cols>
  <sheetData>
    <row r="1" spans="1:58" ht="24" customHeight="1">
      <c r="A1" s="1" t="s">
        <v>223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</row>
    <row r="2" spans="1:58" ht="24" customHeight="1">
      <c r="A2" s="681" t="s">
        <v>1</v>
      </c>
      <c r="B2" s="682"/>
      <c r="C2" s="723" t="s">
        <v>164</v>
      </c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C2" s="686"/>
      <c r="AD2" s="754"/>
      <c r="AE2" s="755" t="s">
        <v>164</v>
      </c>
      <c r="AF2" s="651"/>
      <c r="AG2" s="651"/>
      <c r="AH2" s="651"/>
      <c r="AI2" s="651"/>
      <c r="AJ2" s="651"/>
      <c r="AK2" s="651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X2" s="651"/>
      <c r="AY2" s="651"/>
      <c r="AZ2" s="651"/>
      <c r="BA2" s="651"/>
      <c r="BB2" s="651"/>
      <c r="BC2" s="651"/>
      <c r="BD2" s="651"/>
      <c r="BE2" s="651"/>
      <c r="BF2" s="654"/>
    </row>
    <row r="3" spans="1:58" ht="24" customHeight="1">
      <c r="A3" s="660"/>
      <c r="B3" s="661"/>
      <c r="C3" s="724" t="s">
        <v>224</v>
      </c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  <c r="Y3" s="651"/>
      <c r="Z3" s="651"/>
      <c r="AA3" s="651"/>
      <c r="AB3" s="651"/>
      <c r="AC3" s="651"/>
      <c r="AD3" s="756"/>
      <c r="AE3" s="724" t="s">
        <v>224</v>
      </c>
      <c r="AF3" s="651"/>
      <c r="AG3" s="651"/>
      <c r="AH3" s="651"/>
      <c r="AI3" s="651"/>
      <c r="AJ3" s="651"/>
      <c r="AK3" s="651"/>
      <c r="AL3" s="651"/>
      <c r="AM3" s="651"/>
      <c r="AN3" s="651"/>
      <c r="AO3" s="651"/>
      <c r="AP3" s="651"/>
      <c r="AQ3" s="651"/>
      <c r="AR3" s="651"/>
      <c r="AS3" s="651"/>
      <c r="AT3" s="651"/>
      <c r="AU3" s="651"/>
      <c r="AV3" s="651"/>
      <c r="AW3" s="651"/>
      <c r="AX3" s="651"/>
      <c r="AY3" s="651"/>
      <c r="AZ3" s="651"/>
      <c r="BA3" s="651"/>
      <c r="BB3" s="651"/>
      <c r="BC3" s="651"/>
      <c r="BD3" s="651"/>
      <c r="BE3" s="651"/>
      <c r="BF3" s="654"/>
    </row>
    <row r="4" spans="1:58" ht="24" customHeight="1">
      <c r="A4" s="683"/>
      <c r="B4" s="684"/>
      <c r="C4" s="752" t="s">
        <v>225</v>
      </c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  <c r="S4" s="651"/>
      <c r="T4" s="651"/>
      <c r="U4" s="651"/>
      <c r="V4" s="651"/>
      <c r="W4" s="651"/>
      <c r="X4" s="651"/>
      <c r="Y4" s="651"/>
      <c r="Z4" s="651"/>
      <c r="AA4" s="651"/>
      <c r="AB4" s="651"/>
      <c r="AC4" s="651"/>
      <c r="AD4" s="756"/>
      <c r="AE4" s="752" t="s">
        <v>226</v>
      </c>
      <c r="AF4" s="651"/>
      <c r="AG4" s="651"/>
      <c r="AH4" s="651"/>
      <c r="AI4" s="651"/>
      <c r="AJ4" s="651"/>
      <c r="AK4" s="651"/>
      <c r="AL4" s="651"/>
      <c r="AM4" s="651"/>
      <c r="AN4" s="651"/>
      <c r="AO4" s="651"/>
      <c r="AP4" s="651"/>
      <c r="AQ4" s="651"/>
      <c r="AR4" s="651"/>
      <c r="AS4" s="651"/>
      <c r="AT4" s="651"/>
      <c r="AU4" s="651"/>
      <c r="AV4" s="651"/>
      <c r="AW4" s="651"/>
      <c r="AX4" s="651"/>
      <c r="AY4" s="651"/>
      <c r="AZ4" s="651"/>
      <c r="BA4" s="651"/>
      <c r="BB4" s="651"/>
      <c r="BC4" s="651"/>
      <c r="BD4" s="651"/>
      <c r="BE4" s="651"/>
      <c r="BF4" s="654"/>
    </row>
    <row r="5" spans="1:58" ht="24" customHeight="1">
      <c r="A5" s="6"/>
      <c r="B5" s="7"/>
      <c r="C5" s="650" t="s">
        <v>5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4"/>
      <c r="P5" s="692" t="s">
        <v>227</v>
      </c>
      <c r="Q5" s="651"/>
      <c r="R5" s="651"/>
      <c r="S5" s="651"/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756"/>
      <c r="AE5" s="762" t="s">
        <v>228</v>
      </c>
      <c r="AF5" s="694"/>
      <c r="AG5" s="694"/>
      <c r="AH5" s="694"/>
      <c r="AI5" s="694"/>
      <c r="AJ5" s="694"/>
      <c r="AK5" s="694"/>
      <c r="AL5" s="694"/>
      <c r="AM5" s="694"/>
      <c r="AN5" s="694"/>
      <c r="AO5" s="694"/>
      <c r="AP5" s="694"/>
      <c r="AQ5" s="694"/>
      <c r="AR5" s="695"/>
      <c r="AS5" s="765" t="s">
        <v>229</v>
      </c>
      <c r="AT5" s="694"/>
      <c r="AU5" s="694"/>
      <c r="AV5" s="694"/>
      <c r="AW5" s="694"/>
      <c r="AX5" s="694"/>
      <c r="AY5" s="694"/>
      <c r="AZ5" s="694"/>
      <c r="BA5" s="694"/>
      <c r="BB5" s="694"/>
      <c r="BC5" s="694"/>
      <c r="BD5" s="694"/>
      <c r="BE5" s="694"/>
      <c r="BF5" s="695"/>
    </row>
    <row r="6" spans="1:58" ht="24" customHeight="1">
      <c r="A6" s="658" t="s">
        <v>8</v>
      </c>
      <c r="B6" s="659"/>
      <c r="C6" s="653" t="s">
        <v>9</v>
      </c>
      <c r="D6" s="651"/>
      <c r="E6" s="651"/>
      <c r="F6" s="651"/>
      <c r="G6" s="654"/>
      <c r="H6" s="8" t="s">
        <v>10</v>
      </c>
      <c r="I6" s="655" t="s">
        <v>11</v>
      </c>
      <c r="J6" s="651"/>
      <c r="K6" s="651"/>
      <c r="L6" s="651"/>
      <c r="M6" s="651"/>
      <c r="N6" s="651"/>
      <c r="O6" s="654"/>
      <c r="P6" s="757" t="s">
        <v>24</v>
      </c>
      <c r="Q6" s="654"/>
      <c r="R6" s="758" t="s">
        <v>230</v>
      </c>
      <c r="S6" s="760" t="s">
        <v>231</v>
      </c>
      <c r="T6" s="651"/>
      <c r="U6" s="651"/>
      <c r="V6" s="651"/>
      <c r="W6" s="651"/>
      <c r="X6" s="651"/>
      <c r="Y6" s="651"/>
      <c r="Z6" s="651"/>
      <c r="AA6" s="651"/>
      <c r="AB6" s="651"/>
      <c r="AC6" s="651"/>
      <c r="AD6" s="756"/>
      <c r="AE6" s="761" t="s">
        <v>232</v>
      </c>
      <c r="AF6" s="670"/>
      <c r="AG6" s="670"/>
      <c r="AH6" s="670"/>
      <c r="AI6" s="670"/>
      <c r="AJ6" s="670"/>
      <c r="AK6" s="670"/>
      <c r="AL6" s="670"/>
      <c r="AM6" s="670"/>
      <c r="AN6" s="670"/>
      <c r="AO6" s="670"/>
      <c r="AP6" s="670"/>
      <c r="AQ6" s="670"/>
      <c r="AR6" s="671"/>
      <c r="AS6" s="766" t="s">
        <v>233</v>
      </c>
      <c r="AT6" s="670"/>
      <c r="AU6" s="670"/>
      <c r="AV6" s="670"/>
      <c r="AW6" s="670"/>
      <c r="AX6" s="670"/>
      <c r="AY6" s="670"/>
      <c r="AZ6" s="670"/>
      <c r="BA6" s="670"/>
      <c r="BB6" s="670"/>
      <c r="BC6" s="670"/>
      <c r="BD6" s="670"/>
      <c r="BE6" s="670"/>
      <c r="BF6" s="671"/>
    </row>
    <row r="7" spans="1:58" ht="24" customHeight="1">
      <c r="A7" s="660"/>
      <c r="B7" s="661"/>
      <c r="C7" s="702" t="s">
        <v>16</v>
      </c>
      <c r="D7" s="704" t="s">
        <v>17</v>
      </c>
      <c r="E7" s="705" t="s">
        <v>18</v>
      </c>
      <c r="F7" s="664" t="s">
        <v>19</v>
      </c>
      <c r="G7" s="666" t="s">
        <v>20</v>
      </c>
      <c r="H7" s="9" t="s">
        <v>21</v>
      </c>
      <c r="I7" s="667" t="s">
        <v>22</v>
      </c>
      <c r="J7" s="668"/>
      <c r="K7" s="669" t="s">
        <v>21</v>
      </c>
      <c r="L7" s="670"/>
      <c r="M7" s="671"/>
      <c r="N7" s="672" t="s">
        <v>23</v>
      </c>
      <c r="O7" s="671"/>
      <c r="P7" s="190" t="s">
        <v>234</v>
      </c>
      <c r="Q7" s="191" t="s">
        <v>235</v>
      </c>
      <c r="R7" s="759"/>
      <c r="S7" s="706" t="s">
        <v>235</v>
      </c>
      <c r="T7" s="651"/>
      <c r="U7" s="652"/>
      <c r="V7" s="706" t="s">
        <v>236</v>
      </c>
      <c r="W7" s="651"/>
      <c r="X7" s="654"/>
      <c r="Y7" s="706" t="s">
        <v>237</v>
      </c>
      <c r="Z7" s="651"/>
      <c r="AA7" s="654"/>
      <c r="AB7" s="706" t="s">
        <v>238</v>
      </c>
      <c r="AC7" s="651"/>
      <c r="AD7" s="756"/>
      <c r="AE7" s="763" t="s">
        <v>235</v>
      </c>
      <c r="AF7" s="764"/>
      <c r="AG7" s="764"/>
      <c r="AH7" s="661"/>
      <c r="AI7" s="763" t="s">
        <v>236</v>
      </c>
      <c r="AJ7" s="764"/>
      <c r="AK7" s="764"/>
      <c r="AL7" s="668"/>
      <c r="AM7" s="767" t="s">
        <v>237</v>
      </c>
      <c r="AN7" s="670"/>
      <c r="AO7" s="671"/>
      <c r="AP7" s="767" t="s">
        <v>238</v>
      </c>
      <c r="AQ7" s="670"/>
      <c r="AR7" s="768"/>
      <c r="AS7" s="769" t="s">
        <v>235</v>
      </c>
      <c r="AT7" s="764"/>
      <c r="AU7" s="764"/>
      <c r="AV7" s="661"/>
      <c r="AW7" s="770" t="s">
        <v>236</v>
      </c>
      <c r="AX7" s="670"/>
      <c r="AY7" s="670"/>
      <c r="AZ7" s="671"/>
      <c r="BA7" s="770" t="s">
        <v>237</v>
      </c>
      <c r="BB7" s="670"/>
      <c r="BC7" s="671"/>
      <c r="BD7" s="770" t="s">
        <v>238</v>
      </c>
      <c r="BE7" s="670"/>
      <c r="BF7" s="768"/>
    </row>
    <row r="8" spans="1:58" ht="30" customHeight="1">
      <c r="A8" s="662"/>
      <c r="B8" s="663"/>
      <c r="C8" s="703"/>
      <c r="D8" s="665"/>
      <c r="E8" s="665"/>
      <c r="F8" s="665"/>
      <c r="G8" s="665"/>
      <c r="H8" s="9"/>
      <c r="I8" s="11" t="s">
        <v>26</v>
      </c>
      <c r="J8" s="12" t="s">
        <v>27</v>
      </c>
      <c r="K8" s="11" t="s">
        <v>26</v>
      </c>
      <c r="L8" s="13" t="s">
        <v>28</v>
      </c>
      <c r="M8" s="14" t="s">
        <v>29</v>
      </c>
      <c r="N8" s="15" t="s">
        <v>26</v>
      </c>
      <c r="O8" s="15" t="s">
        <v>27</v>
      </c>
      <c r="P8" s="192" t="s">
        <v>32</v>
      </c>
      <c r="Q8" s="16" t="s">
        <v>239</v>
      </c>
      <c r="R8" s="665"/>
      <c r="S8" s="119" t="s">
        <v>31</v>
      </c>
      <c r="T8" s="119" t="s">
        <v>240</v>
      </c>
      <c r="U8" s="156" t="s">
        <v>241</v>
      </c>
      <c r="V8" s="119" t="s">
        <v>31</v>
      </c>
      <c r="W8" s="119" t="s">
        <v>240</v>
      </c>
      <c r="X8" s="156" t="s">
        <v>33</v>
      </c>
      <c r="Y8" s="119" t="s">
        <v>31</v>
      </c>
      <c r="Z8" s="119" t="s">
        <v>240</v>
      </c>
      <c r="AA8" s="156" t="s">
        <v>33</v>
      </c>
      <c r="AB8" s="119" t="s">
        <v>31</v>
      </c>
      <c r="AC8" s="119" t="s">
        <v>240</v>
      </c>
      <c r="AD8" s="193" t="s">
        <v>33</v>
      </c>
      <c r="AE8" s="194" t="s">
        <v>242</v>
      </c>
      <c r="AF8" s="195" t="s">
        <v>31</v>
      </c>
      <c r="AG8" s="195" t="s">
        <v>240</v>
      </c>
      <c r="AH8" s="196" t="s">
        <v>241</v>
      </c>
      <c r="AI8" s="194" t="s">
        <v>243</v>
      </c>
      <c r="AJ8" s="195" t="s">
        <v>31</v>
      </c>
      <c r="AK8" s="195" t="s">
        <v>240</v>
      </c>
      <c r="AL8" s="196" t="s">
        <v>33</v>
      </c>
      <c r="AM8" s="195" t="s">
        <v>31</v>
      </c>
      <c r="AN8" s="195" t="s">
        <v>240</v>
      </c>
      <c r="AO8" s="196" t="s">
        <v>33</v>
      </c>
      <c r="AP8" s="195" t="s">
        <v>31</v>
      </c>
      <c r="AQ8" s="195" t="s">
        <v>240</v>
      </c>
      <c r="AR8" s="196" t="s">
        <v>33</v>
      </c>
      <c r="AS8" s="197" t="s">
        <v>242</v>
      </c>
      <c r="AT8" s="198" t="s">
        <v>31</v>
      </c>
      <c r="AU8" s="198" t="s">
        <v>240</v>
      </c>
      <c r="AV8" s="199" t="s">
        <v>241</v>
      </c>
      <c r="AW8" s="197" t="s">
        <v>243</v>
      </c>
      <c r="AX8" s="198" t="s">
        <v>31</v>
      </c>
      <c r="AY8" s="198" t="s">
        <v>240</v>
      </c>
      <c r="AZ8" s="199" t="s">
        <v>33</v>
      </c>
      <c r="BA8" s="198" t="s">
        <v>31</v>
      </c>
      <c r="BB8" s="198" t="s">
        <v>240</v>
      </c>
      <c r="BC8" s="199" t="s">
        <v>33</v>
      </c>
      <c r="BD8" s="198" t="s">
        <v>31</v>
      </c>
      <c r="BE8" s="198" t="s">
        <v>240</v>
      </c>
      <c r="BF8" s="199" t="s">
        <v>33</v>
      </c>
    </row>
    <row r="9" spans="1:58" ht="27.75" customHeight="1">
      <c r="A9" s="674" t="s">
        <v>34</v>
      </c>
      <c r="B9" s="675"/>
      <c r="C9" s="20">
        <f t="shared" ref="C9:C119" ca="1" si="0">D9+G9</f>
        <v>155508000</v>
      </c>
      <c r="D9" s="163">
        <f t="shared" ref="D9:F9" ca="1" si="1">D10+D11</f>
        <v>115267100</v>
      </c>
      <c r="E9" s="22">
        <f t="shared" ca="1" si="1"/>
        <v>64066600</v>
      </c>
      <c r="F9" s="164">
        <f t="shared" ca="1" si="1"/>
        <v>51200500</v>
      </c>
      <c r="G9" s="24">
        <f t="shared" ref="G9:H9" ca="1" si="2">G10+G11+G14</f>
        <v>40240900</v>
      </c>
      <c r="H9" s="25">
        <f t="shared" ca="1" si="2"/>
        <v>86450300</v>
      </c>
      <c r="I9" s="26">
        <f t="shared" ref="I9:I105" ca="1" si="3">K9+N9</f>
        <v>72271971.800000012</v>
      </c>
      <c r="J9" s="122">
        <f t="shared" ref="J9:J105" ca="1" si="4">IF(C9&gt;0,I9*100/C9,0)</f>
        <v>46.474761298454105</v>
      </c>
      <c r="K9" s="26">
        <f ca="1">K10+K11+K14</f>
        <v>49549035.800000004</v>
      </c>
      <c r="L9" s="122">
        <f t="shared" ref="L9:L105" ca="1" si="5">IF(D9&gt;0,K9*100/D9,0)</f>
        <v>42.986277784380796</v>
      </c>
      <c r="M9" s="122">
        <f t="shared" ref="M9:M105" ca="1" si="6">IF(H9&gt;0,K9*100/H9,0)</f>
        <v>57.315053620403859</v>
      </c>
      <c r="N9" s="122">
        <f ca="1">N10+N11+N14</f>
        <v>22722936</v>
      </c>
      <c r="O9" s="122">
        <f t="shared" ref="O9:O105" ca="1" si="7">IF(G9&gt;0,N9*100/G9,0)</f>
        <v>56.467265891170427</v>
      </c>
      <c r="P9" s="30">
        <f t="shared" ref="P9:Q9" ca="1" si="8">P10+P11</f>
        <v>23500</v>
      </c>
      <c r="Q9" s="200">
        <f t="shared" ca="1" si="8"/>
        <v>204519</v>
      </c>
      <c r="R9" s="201">
        <f ca="1">P9*60/100</f>
        <v>14100</v>
      </c>
      <c r="S9" s="31">
        <f t="shared" ref="S9:T9" ca="1" si="9">S10+S11</f>
        <v>13406</v>
      </c>
      <c r="T9" s="31">
        <f t="shared" ca="1" si="9"/>
        <v>115130.14999999994</v>
      </c>
      <c r="U9" s="123">
        <f t="shared" ref="U9:U106" ca="1" si="10">IF(Q9&gt;0,T9*100/Q9,0)</f>
        <v>56.293131689476255</v>
      </c>
      <c r="V9" s="31">
        <f t="shared" ref="V9:W9" ca="1" si="11">V10+V11</f>
        <v>17334</v>
      </c>
      <c r="W9" s="31">
        <f t="shared" ca="1" si="11"/>
        <v>184289.7099999999</v>
      </c>
      <c r="X9" s="123">
        <f t="shared" ref="X9:X106" ca="1" si="12">IF(P9&gt;0,V9*100/P9,0)</f>
        <v>73.761702127659575</v>
      </c>
      <c r="Y9" s="31">
        <f t="shared" ref="Y9:Z9" ca="1" si="13">Y10+Y11</f>
        <v>1171</v>
      </c>
      <c r="Z9" s="31">
        <f t="shared" ca="1" si="13"/>
        <v>11769.699999999999</v>
      </c>
      <c r="AA9" s="123">
        <f t="shared" ref="AA9:AA106" ca="1" si="14">IF(P9&gt;0,Y9*100/P9,0)</f>
        <v>4.9829787234042557</v>
      </c>
      <c r="AB9" s="31">
        <f t="shared" ref="AB9:AC9" ca="1" si="15">AB10+AB11</f>
        <v>11712</v>
      </c>
      <c r="AC9" s="31">
        <f t="shared" ca="1" si="15"/>
        <v>125333.10999999994</v>
      </c>
      <c r="AD9" s="123">
        <f t="shared" ref="AD9:AD106" ca="1" si="16">IF(P9&gt;0,AB9*100/P9,0)</f>
        <v>49.838297872340426</v>
      </c>
      <c r="AE9" s="202">
        <f t="shared" ref="AE9:AG9" ca="1" si="17">AE10+AE11</f>
        <v>99429</v>
      </c>
      <c r="AF9" s="203">
        <f t="shared" ca="1" si="17"/>
        <v>5768</v>
      </c>
      <c r="AG9" s="203">
        <f t="shared" ca="1" si="17"/>
        <v>52070.340000000004</v>
      </c>
      <c r="AH9" s="204">
        <f t="shared" ref="AH9:AH10" ca="1" si="18">IF(AE9&gt;0,AG9*100/AE9,0)</f>
        <v>52.369369097546993</v>
      </c>
      <c r="AI9" s="202">
        <f t="shared" ref="AI9:AK9" ca="1" si="19">AI10+AI11</f>
        <v>8600</v>
      </c>
      <c r="AJ9" s="203">
        <f t="shared" ca="1" si="19"/>
        <v>3268</v>
      </c>
      <c r="AK9" s="203">
        <f t="shared" ca="1" si="19"/>
        <v>29674.68</v>
      </c>
      <c r="AL9" s="204">
        <f t="shared" ref="AL9:AL10" ca="1" si="20">IF(AI9&gt;0,AJ9*100/AI9,0)</f>
        <v>38</v>
      </c>
      <c r="AM9" s="203">
        <f t="shared" ref="AM9:AN9" ca="1" si="21">AM10+AM11</f>
        <v>46</v>
      </c>
      <c r="AN9" s="203">
        <f t="shared" ca="1" si="21"/>
        <v>265.59000000000003</v>
      </c>
      <c r="AO9" s="204">
        <f t="shared" ref="AO9:AO90" ca="1" si="22">IF(AI9&gt;0,AM9*100/AI9,0)</f>
        <v>0.53488372093023251</v>
      </c>
      <c r="AP9" s="203">
        <f t="shared" ref="AP9:AQ9" ca="1" si="23">AP10+AP11</f>
        <v>1475</v>
      </c>
      <c r="AQ9" s="203">
        <f t="shared" ca="1" si="23"/>
        <v>12574.59</v>
      </c>
      <c r="AR9" s="204">
        <f t="shared" ref="AR9:AR90" ca="1" si="24">IF(AI9&gt;0,AP9*100/AI9,0)</f>
        <v>17.151162790697676</v>
      </c>
      <c r="AS9" s="205">
        <f t="shared" ref="AS9:AU9" ca="1" si="25">AS10+AS11</f>
        <v>105090</v>
      </c>
      <c r="AT9" s="206">
        <f t="shared" ca="1" si="25"/>
        <v>7638</v>
      </c>
      <c r="AU9" s="206">
        <f t="shared" ca="1" si="25"/>
        <v>63059.809999999983</v>
      </c>
      <c r="AV9" s="207">
        <f t="shared" ref="AV9:AV10" ca="1" si="26">IF(AS9&gt;0,AU9*100/AS9,0)</f>
        <v>60.005528594537999</v>
      </c>
      <c r="AW9" s="205">
        <f t="shared" ref="AW9:AY9" ca="1" si="27">AW10+AW11</f>
        <v>14900</v>
      </c>
      <c r="AX9" s="206">
        <f t="shared" ca="1" si="27"/>
        <v>14066</v>
      </c>
      <c r="AY9" s="206">
        <f t="shared" ca="1" si="27"/>
        <v>154615.03</v>
      </c>
      <c r="AZ9" s="207">
        <f t="shared" ref="AZ9:AZ10" ca="1" si="28">IF(AW9&gt;0,AX9*100/AW9,0)</f>
        <v>94.402684563758385</v>
      </c>
      <c r="BA9" s="206">
        <f t="shared" ref="BA9:BB9" ca="1" si="29">BA10+BA11</f>
        <v>1125</v>
      </c>
      <c r="BB9" s="206">
        <f t="shared" ca="1" si="29"/>
        <v>11504.109999999999</v>
      </c>
      <c r="BC9" s="207">
        <f t="shared" ref="BC9:BC90" ca="1" si="30">IF(AW9&gt;0,BA9*100/AW9,0)</f>
        <v>7.550335570469799</v>
      </c>
      <c r="BD9" s="206">
        <f t="shared" ref="BD9:BE9" ca="1" si="31">BD10+BD11</f>
        <v>10237</v>
      </c>
      <c r="BE9" s="206">
        <f t="shared" ca="1" si="31"/>
        <v>112758.52000000002</v>
      </c>
      <c r="BF9" s="207">
        <f t="shared" ref="BF9:BF90" ca="1" si="32">IF(AW9&gt;0,BD9*100/AW9,0)</f>
        <v>68.704697986577187</v>
      </c>
    </row>
    <row r="10" spans="1:58" ht="28.5" customHeight="1">
      <c r="A10" s="33" t="s">
        <v>35</v>
      </c>
      <c r="B10" s="34"/>
      <c r="C10" s="124">
        <f t="shared" ca="1" si="0"/>
        <v>74529990</v>
      </c>
      <c r="D10" s="36">
        <f t="shared" ref="D10:H10" ca="1" si="33">+D15+D33+D54+D76</f>
        <v>70300260</v>
      </c>
      <c r="E10" s="36">
        <f t="shared" ca="1" si="33"/>
        <v>33944800</v>
      </c>
      <c r="F10" s="36">
        <f t="shared" ca="1" si="33"/>
        <v>36355460</v>
      </c>
      <c r="G10" s="36">
        <f t="shared" ca="1" si="33"/>
        <v>4229730</v>
      </c>
      <c r="H10" s="166">
        <f t="shared" ca="1" si="33"/>
        <v>50560660</v>
      </c>
      <c r="I10" s="36">
        <f t="shared" ca="1" si="3"/>
        <v>37948996.550000004</v>
      </c>
      <c r="J10" s="36">
        <f t="shared" ca="1" si="4"/>
        <v>50.917753443949216</v>
      </c>
      <c r="K10" s="36">
        <f ca="1">+K15+K33+K54+K76</f>
        <v>33719266.550000004</v>
      </c>
      <c r="L10" s="125">
        <f t="shared" ca="1" si="5"/>
        <v>47.96463988895632</v>
      </c>
      <c r="M10" s="125">
        <f t="shared" ca="1" si="6"/>
        <v>66.690716754884136</v>
      </c>
      <c r="N10" s="125">
        <f ca="1">+N15+N33+N54+N76</f>
        <v>4229730</v>
      </c>
      <c r="O10" s="125">
        <f t="shared" ca="1" si="7"/>
        <v>100</v>
      </c>
      <c r="P10" s="36">
        <f t="shared" ref="P10:Q10" ca="1" si="34">+P15+P33+P54+P76</f>
        <v>23500</v>
      </c>
      <c r="Q10" s="36">
        <f t="shared" ca="1" si="34"/>
        <v>204519</v>
      </c>
      <c r="R10" s="36"/>
      <c r="S10" s="36">
        <f t="shared" ref="S10:T10" ca="1" si="35">+S15+S33+S54+S76</f>
        <v>13406</v>
      </c>
      <c r="T10" s="36">
        <f t="shared" ca="1" si="35"/>
        <v>115130.14999999994</v>
      </c>
      <c r="U10" s="125">
        <f t="shared" ca="1" si="10"/>
        <v>56.293131689476255</v>
      </c>
      <c r="V10" s="36">
        <f t="shared" ref="V10:W10" ca="1" si="36">+V15+V33+V54+V76</f>
        <v>17334</v>
      </c>
      <c r="W10" s="36">
        <f t="shared" ca="1" si="36"/>
        <v>184289.7099999999</v>
      </c>
      <c r="X10" s="125">
        <f t="shared" ca="1" si="12"/>
        <v>73.761702127659575</v>
      </c>
      <c r="Y10" s="36">
        <f t="shared" ref="Y10:Z10" ca="1" si="37">+Y15+Y33+Y54+Y76</f>
        <v>1171</v>
      </c>
      <c r="Z10" s="36">
        <f t="shared" ca="1" si="37"/>
        <v>11769.699999999999</v>
      </c>
      <c r="AA10" s="125">
        <f t="shared" ca="1" si="14"/>
        <v>4.9829787234042557</v>
      </c>
      <c r="AB10" s="36">
        <f t="shared" ref="AB10:AC10" ca="1" si="38">+AB15+AB33+AB54+AB76</f>
        <v>11712</v>
      </c>
      <c r="AC10" s="36">
        <f t="shared" ca="1" si="38"/>
        <v>125333.10999999994</v>
      </c>
      <c r="AD10" s="125">
        <f t="shared" ca="1" si="16"/>
        <v>49.838297872340426</v>
      </c>
      <c r="AE10" s="208">
        <f t="shared" ref="AE10:AG10" ca="1" si="39">+AE15+AE33+AE54+AE76</f>
        <v>99429</v>
      </c>
      <c r="AF10" s="36">
        <f t="shared" ca="1" si="39"/>
        <v>5768</v>
      </c>
      <c r="AG10" s="36">
        <f t="shared" ca="1" si="39"/>
        <v>52070.340000000004</v>
      </c>
      <c r="AH10" s="125">
        <f t="shared" ca="1" si="18"/>
        <v>52.369369097546993</v>
      </c>
      <c r="AI10" s="208">
        <f t="shared" ref="AI10:AK10" ca="1" si="40">+AI15+AI33+AI54+AI76</f>
        <v>8600</v>
      </c>
      <c r="AJ10" s="36">
        <f t="shared" ca="1" si="40"/>
        <v>3268</v>
      </c>
      <c r="AK10" s="36">
        <f t="shared" ca="1" si="40"/>
        <v>29674.68</v>
      </c>
      <c r="AL10" s="125">
        <f t="shared" ca="1" si="20"/>
        <v>38</v>
      </c>
      <c r="AM10" s="36">
        <f t="shared" ref="AM10:AN10" ca="1" si="41">+AM15+AM33+AM54+AM76</f>
        <v>46</v>
      </c>
      <c r="AN10" s="36">
        <f t="shared" ca="1" si="41"/>
        <v>265.59000000000003</v>
      </c>
      <c r="AO10" s="125">
        <f t="shared" ca="1" si="22"/>
        <v>0.53488372093023251</v>
      </c>
      <c r="AP10" s="36">
        <f t="shared" ref="AP10:AQ10" ca="1" si="42">+AP15+AP33+AP54+AP76</f>
        <v>1475</v>
      </c>
      <c r="AQ10" s="36">
        <f t="shared" ca="1" si="42"/>
        <v>12574.59</v>
      </c>
      <c r="AR10" s="125">
        <f t="shared" ca="1" si="24"/>
        <v>17.151162790697676</v>
      </c>
      <c r="AS10" s="36">
        <f t="shared" ref="AS10:AU10" ca="1" si="43">+AS15+AS33+AS54+AS76</f>
        <v>105090</v>
      </c>
      <c r="AT10" s="36">
        <f t="shared" ca="1" si="43"/>
        <v>7638</v>
      </c>
      <c r="AU10" s="36">
        <f t="shared" ca="1" si="43"/>
        <v>63059.809999999983</v>
      </c>
      <c r="AV10" s="125">
        <f t="shared" ca="1" si="26"/>
        <v>60.005528594537999</v>
      </c>
      <c r="AW10" s="36">
        <f t="shared" ref="AW10:AY10" ca="1" si="44">+AW15+AW33+AW54+AW76</f>
        <v>14900</v>
      </c>
      <c r="AX10" s="36">
        <f t="shared" ca="1" si="44"/>
        <v>14066</v>
      </c>
      <c r="AY10" s="36">
        <f t="shared" ca="1" si="44"/>
        <v>154615.03</v>
      </c>
      <c r="AZ10" s="125">
        <f t="shared" ca="1" si="28"/>
        <v>94.402684563758385</v>
      </c>
      <c r="BA10" s="36">
        <f t="shared" ref="BA10:BB10" ca="1" si="45">+BA15+BA33+BA54+BA76</f>
        <v>1125</v>
      </c>
      <c r="BB10" s="36">
        <f t="shared" ca="1" si="45"/>
        <v>11504.109999999999</v>
      </c>
      <c r="BC10" s="125">
        <f t="shared" ca="1" si="30"/>
        <v>7.550335570469799</v>
      </c>
      <c r="BD10" s="36">
        <f t="shared" ref="BD10:BE10" ca="1" si="46">+BD15+BD33+BD54+BD76</f>
        <v>10237</v>
      </c>
      <c r="BE10" s="36">
        <f t="shared" ca="1" si="46"/>
        <v>112758.52000000002</v>
      </c>
      <c r="BF10" s="125">
        <f t="shared" ca="1" si="32"/>
        <v>68.704697986577187</v>
      </c>
    </row>
    <row r="11" spans="1:58" ht="28.5" customHeight="1">
      <c r="A11" s="42" t="s">
        <v>373</v>
      </c>
      <c r="B11" s="43"/>
      <c r="C11" s="126">
        <f t="shared" ca="1" si="0"/>
        <v>80978010</v>
      </c>
      <c r="D11" s="45">
        <f t="shared" ref="D11:H11" ca="1" si="47">+D12+D13</f>
        <v>44966840</v>
      </c>
      <c r="E11" s="45">
        <f t="shared" ca="1" si="47"/>
        <v>30121800</v>
      </c>
      <c r="F11" s="45">
        <f t="shared" ca="1" si="47"/>
        <v>14845040</v>
      </c>
      <c r="G11" s="45">
        <f t="shared" ca="1" si="47"/>
        <v>36011170</v>
      </c>
      <c r="H11" s="167">
        <f t="shared" ca="1" si="47"/>
        <v>35889640</v>
      </c>
      <c r="I11" s="45">
        <f t="shared" ca="1" si="3"/>
        <v>34322975.25</v>
      </c>
      <c r="J11" s="45">
        <f t="shared" ca="1" si="4"/>
        <v>42.385550410537377</v>
      </c>
      <c r="K11" s="45">
        <f ca="1">+K12+K13</f>
        <v>15829769.25</v>
      </c>
      <c r="L11" s="127">
        <f t="shared" ca="1" si="5"/>
        <v>35.203205851245052</v>
      </c>
      <c r="M11" s="127">
        <f t="shared" ca="1" si="6"/>
        <v>44.106793074547419</v>
      </c>
      <c r="N11" s="127">
        <f ca="1">+N12+N13</f>
        <v>18493206</v>
      </c>
      <c r="O11" s="127">
        <f t="shared" ca="1" si="7"/>
        <v>51.354082636026547</v>
      </c>
      <c r="P11" s="45">
        <f t="shared" ref="P11:Q11" ca="1" si="48">+P12+P13</f>
        <v>0</v>
      </c>
      <c r="Q11" s="45">
        <f t="shared" ca="1" si="48"/>
        <v>0</v>
      </c>
      <c r="R11" s="45"/>
      <c r="S11" s="45">
        <f t="shared" ref="S11:T11" si="49">+S12+S13</f>
        <v>0</v>
      </c>
      <c r="T11" s="45">
        <f t="shared" si="49"/>
        <v>0</v>
      </c>
      <c r="U11" s="127">
        <f t="shared" ca="1" si="10"/>
        <v>0</v>
      </c>
      <c r="V11" s="45">
        <f t="shared" ref="V11:W11" si="50">+V12+V13</f>
        <v>0</v>
      </c>
      <c r="W11" s="45">
        <f t="shared" si="50"/>
        <v>0</v>
      </c>
      <c r="X11" s="127">
        <f t="shared" ca="1" si="12"/>
        <v>0</v>
      </c>
      <c r="Y11" s="45">
        <f t="shared" ref="Y11:Z11" si="51">+Y12+Y13</f>
        <v>0</v>
      </c>
      <c r="Z11" s="45">
        <f t="shared" si="51"/>
        <v>0</v>
      </c>
      <c r="AA11" s="127">
        <f t="shared" ca="1" si="14"/>
        <v>0</v>
      </c>
      <c r="AB11" s="45">
        <f t="shared" ref="AB11:AC11" si="52">+AB12+AB13</f>
        <v>0</v>
      </c>
      <c r="AC11" s="45">
        <f t="shared" si="52"/>
        <v>0</v>
      </c>
      <c r="AD11" s="127">
        <f t="shared" ca="1" si="16"/>
        <v>0</v>
      </c>
      <c r="AE11" s="209"/>
      <c r="AF11" s="209">
        <f t="shared" ref="AF11:AG11" si="53">+AF12+AF13</f>
        <v>0</v>
      </c>
      <c r="AG11" s="209">
        <f t="shared" si="53"/>
        <v>0</v>
      </c>
      <c r="AH11" s="127">
        <f t="shared" ref="AH11:AH14" ca="1" si="54">IF(AD11&gt;0,AG11*100/AD11,0)</f>
        <v>0</v>
      </c>
      <c r="AI11" s="209"/>
      <c r="AJ11" s="209">
        <f t="shared" ref="AJ11:AK11" si="55">+AJ12+AJ13</f>
        <v>0</v>
      </c>
      <c r="AK11" s="209">
        <f t="shared" si="55"/>
        <v>0</v>
      </c>
      <c r="AL11" s="127">
        <f t="shared" ref="AL11:AL14" si="56">IF(AC11&gt;0,AJ11*100/AC11,0)</f>
        <v>0</v>
      </c>
      <c r="AM11" s="209">
        <f t="shared" ref="AM11:AN11" si="57">+AM12+AM13</f>
        <v>0</v>
      </c>
      <c r="AN11" s="209">
        <f t="shared" si="57"/>
        <v>0</v>
      </c>
      <c r="AO11" s="127">
        <f t="shared" si="22"/>
        <v>0</v>
      </c>
      <c r="AP11" s="209">
        <f t="shared" ref="AP11:AQ11" si="58">+AP12+AP13</f>
        <v>0</v>
      </c>
      <c r="AQ11" s="209">
        <f t="shared" si="58"/>
        <v>0</v>
      </c>
      <c r="AR11" s="127">
        <f t="shared" si="24"/>
        <v>0</v>
      </c>
      <c r="AS11" s="209"/>
      <c r="AT11" s="209">
        <f t="shared" ref="AT11:AU11" si="59">+AT12+AT13</f>
        <v>0</v>
      </c>
      <c r="AU11" s="209">
        <f t="shared" si="59"/>
        <v>0</v>
      </c>
      <c r="AV11" s="127">
        <f t="shared" ref="AV11:AV14" si="60">IF(AR11&gt;0,AU11*100/AR11,0)</f>
        <v>0</v>
      </c>
      <c r="AW11" s="209"/>
      <c r="AX11" s="209">
        <f t="shared" ref="AX11:AY11" si="61">+AX12+AX13</f>
        <v>0</v>
      </c>
      <c r="AY11" s="209">
        <f t="shared" si="61"/>
        <v>0</v>
      </c>
      <c r="AZ11" s="127">
        <f t="shared" ref="AZ11:AZ14" si="62">IF(AQ11&gt;0,AX11*100/AQ11,0)</f>
        <v>0</v>
      </c>
      <c r="BA11" s="209">
        <f t="shared" ref="BA11:BB11" si="63">+BA12+BA13</f>
        <v>0</v>
      </c>
      <c r="BB11" s="209">
        <f t="shared" si="63"/>
        <v>0</v>
      </c>
      <c r="BC11" s="127">
        <f t="shared" si="30"/>
        <v>0</v>
      </c>
      <c r="BD11" s="209">
        <f t="shared" ref="BD11:BE11" si="64">+BD12+BD13</f>
        <v>0</v>
      </c>
      <c r="BE11" s="209">
        <f t="shared" si="64"/>
        <v>0</v>
      </c>
      <c r="BF11" s="127">
        <f t="shared" si="32"/>
        <v>0</v>
      </c>
    </row>
    <row r="12" spans="1:58" ht="28.5" hidden="1" customHeight="1">
      <c r="A12" s="42" t="s">
        <v>36</v>
      </c>
      <c r="B12" s="43"/>
      <c r="C12" s="126">
        <f t="shared" ca="1" si="0"/>
        <v>79688040</v>
      </c>
      <c r="D12" s="45">
        <f t="shared" ref="D12:H12" ca="1" si="65">+D91</f>
        <v>43871240</v>
      </c>
      <c r="E12" s="45">
        <f t="shared" ca="1" si="65"/>
        <v>29026200</v>
      </c>
      <c r="F12" s="45">
        <f t="shared" ca="1" si="65"/>
        <v>14845040</v>
      </c>
      <c r="G12" s="45">
        <f t="shared" ca="1" si="65"/>
        <v>35816800</v>
      </c>
      <c r="H12" s="167">
        <f t="shared" ca="1" si="65"/>
        <v>32959540</v>
      </c>
      <c r="I12" s="45">
        <f t="shared" ca="1" si="3"/>
        <v>32636778.25</v>
      </c>
      <c r="J12" s="45">
        <f t="shared" ca="1" si="4"/>
        <v>40.955679484650396</v>
      </c>
      <c r="K12" s="45">
        <f ca="1">+K91</f>
        <v>14143572.25</v>
      </c>
      <c r="L12" s="127">
        <f t="shared" ca="1" si="5"/>
        <v>32.238824911263052</v>
      </c>
      <c r="M12" s="127">
        <f t="shared" ca="1" si="6"/>
        <v>42.911922466150926</v>
      </c>
      <c r="N12" s="127">
        <f ca="1">+N91</f>
        <v>18493206</v>
      </c>
      <c r="O12" s="127">
        <f t="shared" ca="1" si="7"/>
        <v>51.632770096714388</v>
      </c>
      <c r="P12" s="45">
        <f t="shared" ref="P12:Q12" ca="1" si="66">+P91</f>
        <v>0</v>
      </c>
      <c r="Q12" s="45">
        <f t="shared" ca="1" si="66"/>
        <v>0</v>
      </c>
      <c r="R12" s="45"/>
      <c r="S12" s="45">
        <f t="shared" ref="S12:T12" si="67">+S91</f>
        <v>0</v>
      </c>
      <c r="T12" s="45">
        <f t="shared" si="67"/>
        <v>0</v>
      </c>
      <c r="U12" s="127">
        <f t="shared" ca="1" si="10"/>
        <v>0</v>
      </c>
      <c r="V12" s="45">
        <f t="shared" ref="V12:W12" si="68">+V91</f>
        <v>0</v>
      </c>
      <c r="W12" s="45">
        <f t="shared" si="68"/>
        <v>0</v>
      </c>
      <c r="X12" s="127">
        <f t="shared" ca="1" si="12"/>
        <v>0</v>
      </c>
      <c r="Y12" s="45">
        <f t="shared" ref="Y12:Z12" si="69">+Y91</f>
        <v>0</v>
      </c>
      <c r="Z12" s="45">
        <f t="shared" si="69"/>
        <v>0</v>
      </c>
      <c r="AA12" s="127">
        <f t="shared" ca="1" si="14"/>
        <v>0</v>
      </c>
      <c r="AB12" s="45">
        <f t="shared" ref="AB12:AC12" si="70">+AB91</f>
        <v>0</v>
      </c>
      <c r="AC12" s="45">
        <f t="shared" si="70"/>
        <v>0</v>
      </c>
      <c r="AD12" s="127">
        <f t="shared" ca="1" si="16"/>
        <v>0</v>
      </c>
      <c r="AE12" s="209"/>
      <c r="AF12" s="209">
        <f t="shared" ref="AF12:AG12" si="71">+AF91</f>
        <v>0</v>
      </c>
      <c r="AG12" s="209">
        <f t="shared" si="71"/>
        <v>0</v>
      </c>
      <c r="AH12" s="127">
        <f t="shared" ca="1" si="54"/>
        <v>0</v>
      </c>
      <c r="AI12" s="209"/>
      <c r="AJ12" s="209">
        <f t="shared" ref="AJ12:AK12" si="72">+AJ91</f>
        <v>0</v>
      </c>
      <c r="AK12" s="209">
        <f t="shared" si="72"/>
        <v>0</v>
      </c>
      <c r="AL12" s="127">
        <f t="shared" si="56"/>
        <v>0</v>
      </c>
      <c r="AM12" s="209">
        <f t="shared" ref="AM12:AN12" si="73">+AM91</f>
        <v>0</v>
      </c>
      <c r="AN12" s="209">
        <f t="shared" si="73"/>
        <v>0</v>
      </c>
      <c r="AO12" s="127">
        <f t="shared" si="22"/>
        <v>0</v>
      </c>
      <c r="AP12" s="209">
        <f t="shared" ref="AP12:AQ12" si="74">+AP91</f>
        <v>0</v>
      </c>
      <c r="AQ12" s="209">
        <f t="shared" si="74"/>
        <v>0</v>
      </c>
      <c r="AR12" s="127">
        <f t="shared" si="24"/>
        <v>0</v>
      </c>
      <c r="AS12" s="209"/>
      <c r="AT12" s="209">
        <f t="shared" ref="AT12:AU12" si="75">+AT91</f>
        <v>0</v>
      </c>
      <c r="AU12" s="209">
        <f t="shared" si="75"/>
        <v>0</v>
      </c>
      <c r="AV12" s="127">
        <f t="shared" si="60"/>
        <v>0</v>
      </c>
      <c r="AW12" s="209"/>
      <c r="AX12" s="209">
        <f t="shared" ref="AX12:AY12" si="76">+AX91</f>
        <v>0</v>
      </c>
      <c r="AY12" s="209">
        <f t="shared" si="76"/>
        <v>0</v>
      </c>
      <c r="AZ12" s="127">
        <f t="shared" si="62"/>
        <v>0</v>
      </c>
      <c r="BA12" s="209">
        <f t="shared" ref="BA12:BB12" si="77">+BA91</f>
        <v>0</v>
      </c>
      <c r="BB12" s="209">
        <f t="shared" si="77"/>
        <v>0</v>
      </c>
      <c r="BC12" s="127">
        <f t="shared" si="30"/>
        <v>0</v>
      </c>
      <c r="BD12" s="209">
        <f t="shared" ref="BD12:BE12" si="78">+BD91</f>
        <v>0</v>
      </c>
      <c r="BE12" s="209">
        <f t="shared" si="78"/>
        <v>0</v>
      </c>
      <c r="BF12" s="127">
        <f t="shared" si="32"/>
        <v>0</v>
      </c>
    </row>
    <row r="13" spans="1:58" ht="28.5" hidden="1" customHeight="1">
      <c r="A13" s="42" t="s">
        <v>37</v>
      </c>
      <c r="B13" s="43"/>
      <c r="C13" s="126">
        <f t="shared" ca="1" si="0"/>
        <v>1289970</v>
      </c>
      <c r="D13" s="45">
        <f t="shared" ref="D13:H13" ca="1" si="79">+D106</f>
        <v>1095600</v>
      </c>
      <c r="E13" s="45">
        <f t="shared" ca="1" si="79"/>
        <v>1095600</v>
      </c>
      <c r="F13" s="45">
        <f t="shared" ca="1" si="79"/>
        <v>0</v>
      </c>
      <c r="G13" s="45">
        <f t="shared" si="79"/>
        <v>194370</v>
      </c>
      <c r="H13" s="167">
        <f t="shared" ca="1" si="79"/>
        <v>2930100</v>
      </c>
      <c r="I13" s="45">
        <f t="shared" ca="1" si="3"/>
        <v>1686197</v>
      </c>
      <c r="J13" s="45">
        <f t="shared" ca="1" si="4"/>
        <v>130.71598564307698</v>
      </c>
      <c r="K13" s="45">
        <f>+K106</f>
        <v>1686197</v>
      </c>
      <c r="L13" s="127">
        <f t="shared" ca="1" si="5"/>
        <v>153.90626140927347</v>
      </c>
      <c r="M13" s="127">
        <f t="shared" ca="1" si="6"/>
        <v>57.547421589706836</v>
      </c>
      <c r="N13" s="127">
        <f ca="1">+N106</f>
        <v>0</v>
      </c>
      <c r="O13" s="127">
        <f t="shared" ca="1" si="7"/>
        <v>0</v>
      </c>
      <c r="P13" s="45">
        <f t="shared" ref="P13:Q13" si="80">+P106</f>
        <v>0</v>
      </c>
      <c r="Q13" s="45">
        <f t="shared" si="80"/>
        <v>0</v>
      </c>
      <c r="R13" s="45"/>
      <c r="S13" s="45">
        <f t="shared" ref="S13:T13" si="81">+S106</f>
        <v>0</v>
      </c>
      <c r="T13" s="45">
        <f t="shared" si="81"/>
        <v>0</v>
      </c>
      <c r="U13" s="127">
        <f t="shared" si="10"/>
        <v>0</v>
      </c>
      <c r="V13" s="45">
        <f t="shared" ref="V13:W13" si="82">+V106</f>
        <v>0</v>
      </c>
      <c r="W13" s="45">
        <f t="shared" si="82"/>
        <v>0</v>
      </c>
      <c r="X13" s="127">
        <f t="shared" si="12"/>
        <v>0</v>
      </c>
      <c r="Y13" s="45">
        <f t="shared" ref="Y13:Z13" si="83">+Y106</f>
        <v>0</v>
      </c>
      <c r="Z13" s="45">
        <f t="shared" si="83"/>
        <v>0</v>
      </c>
      <c r="AA13" s="127">
        <f t="shared" si="14"/>
        <v>0</v>
      </c>
      <c r="AB13" s="45">
        <f t="shared" ref="AB13:AC13" si="84">+AB106</f>
        <v>0</v>
      </c>
      <c r="AC13" s="45">
        <f t="shared" si="84"/>
        <v>0</v>
      </c>
      <c r="AD13" s="127">
        <f t="shared" si="16"/>
        <v>0</v>
      </c>
      <c r="AE13" s="209"/>
      <c r="AF13" s="209">
        <f t="shared" ref="AF13:AG13" si="85">+AF106</f>
        <v>0</v>
      </c>
      <c r="AG13" s="209">
        <f t="shared" si="85"/>
        <v>0</v>
      </c>
      <c r="AH13" s="127">
        <f t="shared" si="54"/>
        <v>0</v>
      </c>
      <c r="AI13" s="209"/>
      <c r="AJ13" s="209">
        <f t="shared" ref="AJ13:AK13" si="86">+AJ106</f>
        <v>0</v>
      </c>
      <c r="AK13" s="209">
        <f t="shared" si="86"/>
        <v>0</v>
      </c>
      <c r="AL13" s="127">
        <f t="shared" si="56"/>
        <v>0</v>
      </c>
      <c r="AM13" s="209">
        <f t="shared" ref="AM13:AN13" si="87">+AM106</f>
        <v>0</v>
      </c>
      <c r="AN13" s="209">
        <f t="shared" si="87"/>
        <v>0</v>
      </c>
      <c r="AO13" s="127">
        <f t="shared" si="22"/>
        <v>0</v>
      </c>
      <c r="AP13" s="209">
        <f t="shared" ref="AP13:AQ13" si="88">+AP106</f>
        <v>0</v>
      </c>
      <c r="AQ13" s="209">
        <f t="shared" si="88"/>
        <v>0</v>
      </c>
      <c r="AR13" s="127">
        <f t="shared" si="24"/>
        <v>0</v>
      </c>
      <c r="AS13" s="209"/>
      <c r="AT13" s="209">
        <f t="shared" ref="AT13:AU13" si="89">+AT106</f>
        <v>0</v>
      </c>
      <c r="AU13" s="209">
        <f t="shared" si="89"/>
        <v>0</v>
      </c>
      <c r="AV13" s="127">
        <f t="shared" si="60"/>
        <v>0</v>
      </c>
      <c r="AW13" s="209"/>
      <c r="AX13" s="209">
        <f t="shared" ref="AX13:AY13" si="90">+AX106</f>
        <v>0</v>
      </c>
      <c r="AY13" s="209">
        <f t="shared" si="90"/>
        <v>0</v>
      </c>
      <c r="AZ13" s="127">
        <f t="shared" si="62"/>
        <v>0</v>
      </c>
      <c r="BA13" s="209">
        <f t="shared" ref="BA13:BB13" si="91">+BA106</f>
        <v>0</v>
      </c>
      <c r="BB13" s="209">
        <f t="shared" si="91"/>
        <v>0</v>
      </c>
      <c r="BC13" s="127">
        <f t="shared" si="30"/>
        <v>0</v>
      </c>
      <c r="BD13" s="209">
        <f t="shared" ref="BD13:BE13" si="92">+BD106</f>
        <v>0</v>
      </c>
      <c r="BE13" s="209">
        <f t="shared" si="92"/>
        <v>0</v>
      </c>
      <c r="BF13" s="127">
        <f t="shared" si="32"/>
        <v>0</v>
      </c>
    </row>
    <row r="14" spans="1:58" ht="28.5" hidden="1" customHeight="1">
      <c r="A14" s="51" t="s">
        <v>38</v>
      </c>
      <c r="B14" s="52"/>
      <c r="C14" s="128">
        <f t="shared" si="0"/>
        <v>0</v>
      </c>
      <c r="D14" s="129">
        <v>0</v>
      </c>
      <c r="E14" s="129">
        <v>0</v>
      </c>
      <c r="F14" s="129">
        <v>0</v>
      </c>
      <c r="G14" s="130">
        <v>0</v>
      </c>
      <c r="H14" s="183">
        <v>0</v>
      </c>
      <c r="I14" s="130">
        <f t="shared" si="3"/>
        <v>0</v>
      </c>
      <c r="J14" s="130">
        <f t="shared" si="4"/>
        <v>0</v>
      </c>
      <c r="K14" s="54">
        <v>0</v>
      </c>
      <c r="L14" s="131">
        <f t="shared" si="5"/>
        <v>0</v>
      </c>
      <c r="M14" s="132">
        <f t="shared" si="6"/>
        <v>0</v>
      </c>
      <c r="N14" s="132">
        <v>0</v>
      </c>
      <c r="O14" s="132">
        <f t="shared" si="7"/>
        <v>0</v>
      </c>
      <c r="P14" s="129">
        <v>0</v>
      </c>
      <c r="Q14" s="129">
        <v>0</v>
      </c>
      <c r="R14" s="129"/>
      <c r="S14" s="129">
        <v>0</v>
      </c>
      <c r="T14" s="129">
        <v>0</v>
      </c>
      <c r="U14" s="134">
        <f t="shared" si="10"/>
        <v>0</v>
      </c>
      <c r="V14" s="129">
        <v>0</v>
      </c>
      <c r="W14" s="129">
        <v>0</v>
      </c>
      <c r="X14" s="134">
        <f t="shared" si="12"/>
        <v>0</v>
      </c>
      <c r="Y14" s="129">
        <v>0</v>
      </c>
      <c r="Z14" s="129">
        <v>0</v>
      </c>
      <c r="AA14" s="134">
        <f t="shared" si="14"/>
        <v>0</v>
      </c>
      <c r="AB14" s="129">
        <v>0</v>
      </c>
      <c r="AC14" s="129">
        <v>0</v>
      </c>
      <c r="AD14" s="134">
        <f t="shared" si="16"/>
        <v>0</v>
      </c>
      <c r="AE14" s="210"/>
      <c r="AF14" s="210">
        <v>0</v>
      </c>
      <c r="AG14" s="210">
        <v>0</v>
      </c>
      <c r="AH14" s="134">
        <f t="shared" si="54"/>
        <v>0</v>
      </c>
      <c r="AI14" s="210"/>
      <c r="AJ14" s="210">
        <v>0</v>
      </c>
      <c r="AK14" s="210">
        <v>0</v>
      </c>
      <c r="AL14" s="211">
        <f t="shared" si="56"/>
        <v>0</v>
      </c>
      <c r="AM14" s="210">
        <v>0</v>
      </c>
      <c r="AN14" s="210">
        <v>0</v>
      </c>
      <c r="AO14" s="211">
        <f t="shared" si="22"/>
        <v>0</v>
      </c>
      <c r="AP14" s="210">
        <v>0</v>
      </c>
      <c r="AQ14" s="210">
        <v>0</v>
      </c>
      <c r="AR14" s="211">
        <f t="shared" si="24"/>
        <v>0</v>
      </c>
      <c r="AS14" s="210"/>
      <c r="AT14" s="210">
        <v>0</v>
      </c>
      <c r="AU14" s="210">
        <v>0</v>
      </c>
      <c r="AV14" s="211">
        <f t="shared" si="60"/>
        <v>0</v>
      </c>
      <c r="AW14" s="210"/>
      <c r="AX14" s="210">
        <v>0</v>
      </c>
      <c r="AY14" s="210">
        <v>0</v>
      </c>
      <c r="AZ14" s="211">
        <f t="shared" si="62"/>
        <v>0</v>
      </c>
      <c r="BA14" s="210">
        <v>0</v>
      </c>
      <c r="BB14" s="210">
        <v>0</v>
      </c>
      <c r="BC14" s="211">
        <f t="shared" si="30"/>
        <v>0</v>
      </c>
      <c r="BD14" s="210">
        <v>0</v>
      </c>
      <c r="BE14" s="210">
        <v>0</v>
      </c>
      <c r="BF14" s="211">
        <f t="shared" si="32"/>
        <v>0</v>
      </c>
    </row>
    <row r="15" spans="1:58" ht="28.5" customHeight="1">
      <c r="A15" s="676" t="s">
        <v>39</v>
      </c>
      <c r="B15" s="654"/>
      <c r="C15" s="58">
        <f t="shared" ca="1" si="0"/>
        <v>17641110</v>
      </c>
      <c r="D15" s="59">
        <f t="shared" ref="D15:H15" ca="1" si="93">SUM(D16:D32)</f>
        <v>16835290</v>
      </c>
      <c r="E15" s="59">
        <f t="shared" ca="1" si="93"/>
        <v>8633300</v>
      </c>
      <c r="F15" s="59">
        <f t="shared" ca="1" si="93"/>
        <v>8201990</v>
      </c>
      <c r="G15" s="59">
        <f t="shared" ca="1" si="93"/>
        <v>805820</v>
      </c>
      <c r="H15" s="59">
        <f t="shared" ca="1" si="93"/>
        <v>12022790</v>
      </c>
      <c r="I15" s="59">
        <f t="shared" ca="1" si="3"/>
        <v>8618627.7100000009</v>
      </c>
      <c r="J15" s="59">
        <f t="shared" ca="1" si="4"/>
        <v>48.855359498353572</v>
      </c>
      <c r="K15" s="59">
        <f ca="1">SUM(K16:K32)</f>
        <v>7812807.7100000009</v>
      </c>
      <c r="L15" s="135">
        <f t="shared" ca="1" si="5"/>
        <v>46.407324792147932</v>
      </c>
      <c r="M15" s="135">
        <f t="shared" ca="1" si="6"/>
        <v>64.983316767572262</v>
      </c>
      <c r="N15" s="135">
        <f ca="1">SUM(N16:N32)</f>
        <v>805820</v>
      </c>
      <c r="O15" s="135">
        <f t="shared" ca="1" si="7"/>
        <v>100</v>
      </c>
      <c r="P15" s="59">
        <f t="shared" ref="P15:Q15" ca="1" si="94">SUM(P16:P32)</f>
        <v>6310</v>
      </c>
      <c r="Q15" s="59">
        <f t="shared" ca="1" si="94"/>
        <v>41170</v>
      </c>
      <c r="R15" s="59">
        <f t="shared" ref="R15:R90" ca="1" si="95">P15*60/100</f>
        <v>3786</v>
      </c>
      <c r="S15" s="59">
        <f t="shared" ref="S15:T15" ca="1" si="96">SUM(S16:S32)</f>
        <v>2477</v>
      </c>
      <c r="T15" s="59">
        <f t="shared" ca="1" si="96"/>
        <v>18180.399999999987</v>
      </c>
      <c r="U15" s="135">
        <f t="shared" ca="1" si="10"/>
        <v>44.159339324750995</v>
      </c>
      <c r="V15" s="59">
        <f t="shared" ref="V15:W15" ca="1" si="97">SUM(V16:V32)</f>
        <v>3562</v>
      </c>
      <c r="W15" s="59">
        <f t="shared" ca="1" si="97"/>
        <v>32426.209999999974</v>
      </c>
      <c r="X15" s="135">
        <f t="shared" ca="1" si="12"/>
        <v>56.450079239302696</v>
      </c>
      <c r="Y15" s="59">
        <f t="shared" ref="Y15:Z15" ca="1" si="98">SUM(Y16:Y32)</f>
        <v>83</v>
      </c>
      <c r="Z15" s="59">
        <f t="shared" ca="1" si="98"/>
        <v>798.79</v>
      </c>
      <c r="AA15" s="135">
        <f t="shared" ca="1" si="14"/>
        <v>1.3153724247226624</v>
      </c>
      <c r="AB15" s="59">
        <f t="shared" ref="AB15:AC15" ca="1" si="99">SUM(AB16:AB32)</f>
        <v>2501</v>
      </c>
      <c r="AC15" s="59">
        <f t="shared" ca="1" si="99"/>
        <v>21975.289999999983</v>
      </c>
      <c r="AD15" s="135">
        <f t="shared" ca="1" si="16"/>
        <v>39.635499207606976</v>
      </c>
      <c r="AE15" s="212">
        <f t="shared" ref="AE15:AG15" ca="1" si="100">SUM(AE16:AE32)</f>
        <v>20470</v>
      </c>
      <c r="AF15" s="212">
        <f t="shared" ca="1" si="100"/>
        <v>1317</v>
      </c>
      <c r="AG15" s="212">
        <f t="shared" ca="1" si="100"/>
        <v>9522.0500000000011</v>
      </c>
      <c r="AH15" s="135">
        <f t="shared" ref="AH15:AH90" ca="1" si="101">IF(AE15&gt;0,AG15*100/AE15,0)</f>
        <v>46.517098192476801</v>
      </c>
      <c r="AI15" s="212">
        <f t="shared" ref="AI15:AK15" ca="1" si="102">SUM(AI16:AI32)</f>
        <v>2245</v>
      </c>
      <c r="AJ15" s="212">
        <f t="shared" ca="1" si="102"/>
        <v>763</v>
      </c>
      <c r="AK15" s="212">
        <f t="shared" ca="1" si="102"/>
        <v>5546.9800000000005</v>
      </c>
      <c r="AL15" s="139">
        <f t="shared" ref="AL15:AL90" ca="1" si="103">IF(AI15&gt;0,AJ15*100/AI15,0)</f>
        <v>33.986636971046771</v>
      </c>
      <c r="AM15" s="212">
        <f t="shared" ref="AM15:AN15" ca="1" si="104">SUM(AM16:AM32)</f>
        <v>1</v>
      </c>
      <c r="AN15" s="212">
        <f t="shared" ca="1" si="104"/>
        <v>28.14</v>
      </c>
      <c r="AO15" s="139">
        <f t="shared" ca="1" si="22"/>
        <v>4.4543429844097995E-2</v>
      </c>
      <c r="AP15" s="212">
        <f t="shared" ref="AP15:AQ15" ca="1" si="105">SUM(AP16:AP32)</f>
        <v>252</v>
      </c>
      <c r="AQ15" s="212">
        <f t="shared" ca="1" si="105"/>
        <v>1617.91</v>
      </c>
      <c r="AR15" s="139">
        <f t="shared" ca="1" si="24"/>
        <v>11.224944320712694</v>
      </c>
      <c r="AS15" s="212">
        <f t="shared" ref="AS15:AU15" ca="1" si="106">SUM(AS16:AS32)</f>
        <v>20700</v>
      </c>
      <c r="AT15" s="212">
        <f t="shared" ca="1" si="106"/>
        <v>1160</v>
      </c>
      <c r="AU15" s="212">
        <f t="shared" ca="1" si="106"/>
        <v>8658.3499999999985</v>
      </c>
      <c r="AV15" s="139">
        <f t="shared" ref="AV15:AV90" ca="1" si="107">IF(AS15&gt;0,AU15*100/AS15,0)</f>
        <v>41.827777777777769</v>
      </c>
      <c r="AW15" s="212">
        <f t="shared" ref="AW15:AY15" ca="1" si="108">SUM(AW16:AW32)</f>
        <v>4065</v>
      </c>
      <c r="AX15" s="212">
        <f t="shared" ca="1" si="108"/>
        <v>2799</v>
      </c>
      <c r="AY15" s="212">
        <f t="shared" ca="1" si="108"/>
        <v>26879.23</v>
      </c>
      <c r="AZ15" s="139">
        <f t="shared" ref="AZ15:AZ90" ca="1" si="109">IF(AW15&gt;0,AX15*100/AW15,0)</f>
        <v>68.85608856088561</v>
      </c>
      <c r="BA15" s="212">
        <f t="shared" ref="BA15:BB15" ca="1" si="110">SUM(BA16:BA32)</f>
        <v>82</v>
      </c>
      <c r="BB15" s="212">
        <f t="shared" ca="1" si="110"/>
        <v>770.65000000000009</v>
      </c>
      <c r="BC15" s="139">
        <f t="shared" ca="1" si="30"/>
        <v>2.0172201722017222</v>
      </c>
      <c r="BD15" s="212">
        <f t="shared" ref="BD15:BE15" ca="1" si="111">SUM(BD16:BD32)</f>
        <v>2249</v>
      </c>
      <c r="BE15" s="212">
        <f t="shared" ca="1" si="111"/>
        <v>20357.379999999997</v>
      </c>
      <c r="BF15" s="139">
        <f t="shared" ca="1" si="32"/>
        <v>55.325953259532596</v>
      </c>
    </row>
    <row r="16" spans="1:58" ht="24" customHeight="1">
      <c r="A16" s="63">
        <v>1</v>
      </c>
      <c r="B16" s="64" t="s">
        <v>40</v>
      </c>
      <c r="C16" s="65">
        <f t="shared" ca="1" si="0"/>
        <v>1961030</v>
      </c>
      <c r="D16" s="66">
        <f t="shared" ref="D16:D32" ca="1" si="112">+E16+F16</f>
        <v>1961030</v>
      </c>
      <c r="E16" s="67">
        <f ca="1">IFERROR(__xludf.DUMMYFUNCTION("IMPORTRANGE(""https://docs.google.com/spreadsheets/d/1C3CXT74ZlgGe6_JY_1olB1XN4rF0dxEuIIF-xsYjHgg/edit?usp=sharing"",""พรบ!BX20"")"),607100)</f>
        <v>607100</v>
      </c>
      <c r="F16" s="67">
        <f ca="1">IFERROR(__xludf.DUMMYFUNCTION("IMPORTRANGE(""https://docs.google.com/spreadsheets/d/1C3CXT74ZlgGe6_JY_1olB1XN4rF0dxEuIIF-xsYjHgg/edit?usp=sharing"",""พรบ!BY20"")"),1353930)</f>
        <v>1353930</v>
      </c>
      <c r="G16" s="67">
        <f ca="1">IFERROR(__xludf.DUMMYFUNCTION("IMPORTRANGE(""https://docs.google.com/spreadsheets/d/1Yj_ptqi66GCucihVvJfMjLAmec39IyEx_6qawtMGysU/edit?usp=sharing"",""สบก!DJ20"")"),0)</f>
        <v>0</v>
      </c>
      <c r="H16" s="67">
        <f ca="1">IFERROR(__xludf.DUMMYFUNCTION("IMPORTRANGE(""https://docs.google.com/spreadsheets/d/1Yj_ptqi66GCucihVvJfMjLAmec39IyEx_6qawtMGysU/edit?usp=shDLing"",""สบก!DL20"")"),1338830)</f>
        <v>1338830</v>
      </c>
      <c r="I16" s="67">
        <f t="shared" ca="1" si="3"/>
        <v>777551.11</v>
      </c>
      <c r="J16" s="67">
        <f t="shared" ca="1" si="4"/>
        <v>39.650138447652509</v>
      </c>
      <c r="K16" s="67">
        <f ca="1">IFERROR(__xludf.DUMMYFUNCTION("IMPORTRANGE(""https://docs.google.com/spreadsheets/d/1Yj_ptqi66GCucihVvJfMjLAmec39IyEx_6qawtMGysU/edit?usp=sharing"",""สบก!DM20"")"),777551.11)</f>
        <v>777551.11</v>
      </c>
      <c r="L16" s="136">
        <f t="shared" ca="1" si="5"/>
        <v>39.650138447652509</v>
      </c>
      <c r="M16" s="136">
        <f t="shared" ca="1" si="6"/>
        <v>58.076911183645421</v>
      </c>
      <c r="N16" s="136">
        <f ca="1">IFERROR(__xludf.DUMMYFUNCTION("IMPORTRANGE(""https://docs.google.com/spreadsheets/d/1Yj_ptqi66GCucihVvJfMjLAmec39IyEx_6qawtMGysU/edit?usp=sharing"",""สบก!DN20"")"),0)</f>
        <v>0</v>
      </c>
      <c r="O16" s="136">
        <f t="shared" ca="1" si="7"/>
        <v>0</v>
      </c>
      <c r="P16" s="67">
        <f ca="1">IFERROR(__xludf.DUMMYFUNCTION("IMPORTRANGE(""https://docs.google.com/spreadsheets/d/1C3CXT74ZlgGe6_JY_1olB1XN4rF0dxEuIIF-xsYjHgg/edit?usp=sharing"",""พรบ!CA20"")"),943)</f>
        <v>943</v>
      </c>
      <c r="Q16" s="67">
        <f ca="1">IFERROR(__xludf.DUMMYFUNCTION("IMPORTRANGE(""https://docs.google.com/spreadsheets/d/1C3CXT74ZlgGe6_JY_1olB1XN4rF0dxEuIIF-xsYjHgg/edit?usp=sharing"",""พรบ!BZ20"")"),8400)</f>
        <v>8400</v>
      </c>
      <c r="R16" s="213">
        <f t="shared" ca="1" si="95"/>
        <v>565.79999999999995</v>
      </c>
      <c r="S16" s="67">
        <f ca="1">IFERROR(__xludf.DUMMYFUNCTION("IMPORTRANGE(""https://docs.google.com/spreadsheets/d/11923uPwbBZFjjGgGUA6NLw09EwE0CqkOc4q9oUmW1yo/edit?usp=sharing"",""กำแพงเพชร!j234"")"),164)</f>
        <v>164</v>
      </c>
      <c r="T16" s="67">
        <f ca="1">IFERROR(__xludf.DUMMYFUNCTION("IMPORTRANGE(""https://docs.google.com/spreadsheets/d/11923uPwbBZFjjGgGUA6NLw09EwE0CqkOc4q9oUmW1yo/edit?usp=sharing"",""กำแพงเพชร!j235"")"),1571.86)</f>
        <v>1571.86</v>
      </c>
      <c r="U16" s="136">
        <f t="shared" ca="1" si="10"/>
        <v>18.712619047619047</v>
      </c>
      <c r="V16" s="67">
        <f ca="1">IFERROR(__xludf.DUMMYFUNCTION("IMPORTRANGE(""https://docs.google.com/spreadsheets/d/11923uPwbBZFjjGgGUA6NLw09EwE0CqkOc4q9oUmW1yo/edit?usp=sharing"",""กำแพงเพชร!j236"")"),114)</f>
        <v>114</v>
      </c>
      <c r="W16" s="67">
        <f ca="1">IFERROR(__xludf.DUMMYFUNCTION("IMPORTRANGE(""https://docs.google.com/spreadsheets/d/11923uPwbBZFjjGgGUA6NLw09EwE0CqkOc4q9oUmW1yo/edit?usp=sharing"",""กำแพงเพชร!j237"")"),1766.09)</f>
        <v>1766.09</v>
      </c>
      <c r="X16" s="136">
        <f t="shared" ca="1" si="12"/>
        <v>12.089077412513255</v>
      </c>
      <c r="Y16" s="67">
        <f ca="1">IFERROR(__xludf.DUMMYFUNCTION("IMPORTRANGE(""https://docs.google.com/spreadsheets/d/11923uPwbBZFjjGgGUA6NLw09EwE0CqkOc4q9oUmW1yo/edit?usp=sharing"",""กำแพงเพชร!j238"")"),0)</f>
        <v>0</v>
      </c>
      <c r="Z16" s="67">
        <f ca="1">IFERROR(__xludf.DUMMYFUNCTION("IMPORTRANGE(""https://docs.google.com/spreadsheets/d/11923uPwbBZFjjGgGUA6NLw09EwE0CqkOc4q9oUmW1yo/edit?usp=sharing"",""กำแพงเพชร!j239"")"),0)</f>
        <v>0</v>
      </c>
      <c r="AA16" s="136">
        <f t="shared" ca="1" si="14"/>
        <v>0</v>
      </c>
      <c r="AB16" s="67">
        <f ca="1">IFERROR(__xludf.DUMMYFUNCTION("IMPORTRANGE(""https://docs.google.com/spreadsheets/d/11923uPwbBZFjjGgGUA6NLw09EwE0CqkOc4q9oUmW1yo/edit?usp=sharing"",""กำแพงเพชร!j240"")"),31)</f>
        <v>31</v>
      </c>
      <c r="AC16" s="67">
        <f ca="1">IFERROR(__xludf.DUMMYFUNCTION("IMPORTRANGE(""https://docs.google.com/spreadsheets/d/11923uPwbBZFjjGgGUA6NLw09EwE0CqkOc4q9oUmW1yo/edit?usp=sharing"",""กำแพงเพชร!j241"")"),552.84)</f>
        <v>552.84</v>
      </c>
      <c r="AD16" s="214">
        <f t="shared" ca="1" si="16"/>
        <v>3.2873806998939554</v>
      </c>
      <c r="AE16" s="215">
        <f ca="1">IFERROR(__xludf.DUMMYFUNCTION("IMPORTRANGE(""https://docs.google.com/spreadsheets/d/1AGHcLOeeYFL3K4b9R1dSzyJy00PE_ra89DNTVfnxSWM/edit?usp=sharing"",""รวมที่ทำกิน!AA9"")"),4000)</f>
        <v>4000</v>
      </c>
      <c r="AF16" s="215">
        <f ca="1">IFERROR(__xludf.DUMMYFUNCTION("IMPORTRANGE(""https://docs.google.com/spreadsheets/d/1AGHcLOeeYFL3K4b9R1dSzyJy00PE_ra89DNTVfnxSWM/edit?usp=sharing"",""รวมที่ทำกิน!AB9"")"),46)</f>
        <v>46</v>
      </c>
      <c r="AG16" s="215">
        <f ca="1">IFERROR(__xludf.DUMMYFUNCTION("IMPORTRANGE(""https://docs.google.com/spreadsheets/d/1AGHcLOeeYFL3K4b9R1dSzyJy00PE_ra89DNTVfnxSWM/edit?usp=sharing"",""รวมที่ทำกิน!AD9"")"),413.53)</f>
        <v>413.53</v>
      </c>
      <c r="AH16" s="214">
        <f t="shared" ca="1" si="101"/>
        <v>10.33825</v>
      </c>
      <c r="AI16" s="215">
        <f ca="1">IFERROR(__xludf.DUMMYFUNCTION("IMPORTRANGE(""https://docs.google.com/spreadsheets/d/1AGHcLOeeYFL3K4b9R1dSzyJy00PE_ra89DNTVfnxSWM/edit?usp=sharing"",""รวมที่ทำกิน!AE9"")"),333)</f>
        <v>333</v>
      </c>
      <c r="AJ16" s="215">
        <f ca="1">IFERROR(__xludf.DUMMYFUNCTION("IMPORTRANGE(""https://docs.google.com/spreadsheets/d/1AGHcLOeeYFL3K4b9R1dSzyJy00PE_ra89DNTVfnxSWM/edit?usp=sharing"",""รวมที่ทำกิน!AF9"")"),0)</f>
        <v>0</v>
      </c>
      <c r="AK16" s="215">
        <f ca="1">IFERROR(__xludf.DUMMYFUNCTION("IMPORTRANGE(""https://docs.google.com/spreadsheets/d/1AGHcLOeeYFL3K4b9R1dSzyJy00PE_ra89DNTVfnxSWM/edit?usp=sharing"",""รวมที่ทำกิน!AH9"")"),0)</f>
        <v>0</v>
      </c>
      <c r="AL16" s="216">
        <f t="shared" ca="1" si="103"/>
        <v>0</v>
      </c>
      <c r="AM16" s="215">
        <f ca="1">IFERROR(__xludf.DUMMYFUNCTION("IMPORTRANGE(""https://docs.google.com/spreadsheets/d/1AGHcLOeeYFL3K4b9R1dSzyJy00PE_ra89DNTVfnxSWM/edit?usp=sharing"",""รวมที่ทำกิน!AI9"")"),0)</f>
        <v>0</v>
      </c>
      <c r="AN16" s="215">
        <f ca="1">IFERROR(__xludf.DUMMYFUNCTION("IMPORTRANGE(""https://docs.google.com/spreadsheets/d/1AGHcLOeeYFL3K4b9R1dSzyJy00PE_ra89DNTVfnxSWM/edit?usp=sharing"",""รวมที่ทำกิน!AK9"")"),0)</f>
        <v>0</v>
      </c>
      <c r="AO16" s="216">
        <f t="shared" ca="1" si="22"/>
        <v>0</v>
      </c>
      <c r="AP16" s="215">
        <f ca="1">IFERROR(__xludf.DUMMYFUNCTION("IMPORTRANGE(""https://docs.google.com/spreadsheets/d/1AGHcLOeeYFL3K4b9R1dSzyJy00PE_ra89DNTVfnxSWM/edit?usp=sharing"",""รวมที่ทำกิน!AL9"")"),0)</f>
        <v>0</v>
      </c>
      <c r="AQ16" s="215">
        <f ca="1">IFERROR(__xludf.DUMMYFUNCTION("IMPORTRANGE(""https://docs.google.com/spreadsheets/d/1AGHcLOeeYFL3K4b9R1dSzyJy00PE_ra89DNTVfnxSWM/edit?usp=sharing"",""รวมที่ทำกิน!AN9"")"),0)</f>
        <v>0</v>
      </c>
      <c r="AR16" s="216">
        <f t="shared" ca="1" si="24"/>
        <v>0</v>
      </c>
      <c r="AS16" s="215">
        <f ca="1">IFERROR(__xludf.DUMMYFUNCTION("IMPORTRANGE(""https://docs.google.com/spreadsheets/d/1AGHcLOeeYFL3K4b9R1dSzyJy00PE_ra89DNTVfnxSWM/edit?usp=sharing"",""รวมที่ทำกิน!AO9"")"),4400)</f>
        <v>4400</v>
      </c>
      <c r="AT16" s="215">
        <f ca="1">IFERROR(__xludf.DUMMYFUNCTION("IMPORTRANGE(""https://docs.google.com/spreadsheets/d/1AGHcLOeeYFL3K4b9R1dSzyJy00PE_ra89DNTVfnxSWM/edit?usp=sharing"",""รวมที่ทำกิน!AP9"")"),118)</f>
        <v>118</v>
      </c>
      <c r="AU16" s="215">
        <f ca="1">IFERROR(__xludf.DUMMYFUNCTION("IMPORTRANGE(""https://docs.google.com/spreadsheets/d/1AGHcLOeeYFL3K4b9R1dSzyJy00PE_ra89DNTVfnxSWM/edit?usp=sharing"",""รวมที่ทำกิน!AR9"")"),1158.33)</f>
        <v>1158.33</v>
      </c>
      <c r="AV16" s="216">
        <f t="shared" ca="1" si="107"/>
        <v>26.325681818181817</v>
      </c>
      <c r="AW16" s="215">
        <f ca="1">IFERROR(__xludf.DUMMYFUNCTION("IMPORTRANGE(""https://docs.google.com/spreadsheets/d/1AGHcLOeeYFL3K4b9R1dSzyJy00PE_ra89DNTVfnxSWM/edit?usp=sharing"",""รวมที่ทำกิน!AS9"")"),610)</f>
        <v>610</v>
      </c>
      <c r="AX16" s="215">
        <f ca="1">IFERROR(__xludf.DUMMYFUNCTION("IMPORTRANGE(""https://docs.google.com/spreadsheets/d/1AGHcLOeeYFL3K4b9R1dSzyJy00PE_ra89DNTVfnxSWM/edit?usp=sharing"",""รวมที่ทำกิน!AT9"")"),114)</f>
        <v>114</v>
      </c>
      <c r="AY16" s="215">
        <f ca="1">IFERROR(__xludf.DUMMYFUNCTION("IMPORTRANGE(""https://docs.google.com/spreadsheets/d/1AGHcLOeeYFL3K4b9R1dSzyJy00PE_ra89DNTVfnxSWM/edit?usp=sharing"",""รวมที่ทำกิน!AV9"")"),1766.09)</f>
        <v>1766.09</v>
      </c>
      <c r="AZ16" s="216">
        <f t="shared" ca="1" si="109"/>
        <v>18.688524590163933</v>
      </c>
      <c r="BA16" s="215">
        <f ca="1">IFERROR(__xludf.DUMMYFUNCTION("IMPORTRANGE(""https://docs.google.com/spreadsheets/d/1AGHcLOeeYFL3K4b9R1dSzyJy00PE_ra89DNTVfnxSWM/edit?usp=sharing"",""รวมที่ทำกิน!AW9"")"),0)</f>
        <v>0</v>
      </c>
      <c r="BB16" s="215">
        <f ca="1">IFERROR(__xludf.DUMMYFUNCTION("IMPORTRANGE(""https://docs.google.com/spreadsheets/d/1AGHcLOeeYFL3K4b9R1dSzyJy00PE_ra89DNTVfnxSWM/edit?usp=sharing"",""รวมที่ทำกิน!AY9"")"),0)</f>
        <v>0</v>
      </c>
      <c r="BC16" s="216">
        <f t="shared" ca="1" si="30"/>
        <v>0</v>
      </c>
      <c r="BD16" s="215">
        <f ca="1">IFERROR(__xludf.DUMMYFUNCTION("IMPORTRANGE(""https://docs.google.com/spreadsheets/d/1AGHcLOeeYFL3K4b9R1dSzyJy00PE_ra89DNTVfnxSWM/edit?usp=sharing"",""รวมที่ทำกิน!AZ9"")"),31)</f>
        <v>31</v>
      </c>
      <c r="BE16" s="215">
        <f ca="1">IFERROR(__xludf.DUMMYFUNCTION("IMPORTRANGE(""https://docs.google.com/spreadsheets/d/1AGHcLOeeYFL3K4b9R1dSzyJy00PE_ra89DNTVfnxSWM/edit?usp=sharing"",""รวมที่ทำกิน!BB9"")"),552.84)</f>
        <v>552.84</v>
      </c>
      <c r="BF16" s="217">
        <f t="shared" ca="1" si="32"/>
        <v>5.081967213114754</v>
      </c>
    </row>
    <row r="17" spans="1:58" ht="24" customHeight="1">
      <c r="A17" s="73">
        <v>2</v>
      </c>
      <c r="B17" s="74" t="s">
        <v>41</v>
      </c>
      <c r="C17" s="75">
        <f t="shared" ca="1" si="0"/>
        <v>1538870</v>
      </c>
      <c r="D17" s="76">
        <f t="shared" ca="1" si="112"/>
        <v>1538870</v>
      </c>
      <c r="E17" s="77">
        <f ca="1">IFERROR(__xludf.DUMMYFUNCTION("IMPORTRANGE(""https://docs.google.com/spreadsheets/d/1C3CXT74ZlgGe6_JY_1olB1XN4rF0dxEuIIF-xsYjHgg/edit?usp=sharing"",""พรบ!BX21"")"),831600)</f>
        <v>831600</v>
      </c>
      <c r="F17" s="77">
        <f ca="1">IFERROR(__xludf.DUMMYFUNCTION("IMPORTRANGE(""https://docs.google.com/spreadsheets/d/1C3CXT74ZlgGe6_JY_1olB1XN4rF0dxEuIIF-xsYjHgg/edit?usp=sharing"",""พรบ!BY21"")"),707270)</f>
        <v>707270</v>
      </c>
      <c r="G17" s="77">
        <f ca="1">IFERROR(__xludf.DUMMYFUNCTION("IMPORTRANGE(""https://docs.google.com/spreadsheets/d/1Yj_ptqi66GCucihVvJfMjLAmec39IyEx_6qawtMGysU/edit?usp=sharing"",""สบก!DJ21"")"),0)</f>
        <v>0</v>
      </c>
      <c r="H17" s="77">
        <f ca="1">IFERROR(__xludf.DUMMYFUNCTION("IMPORTRANGE(""https://docs.google.com/spreadsheets/d/1Yj_ptqi66GCucihVvJfMjLAmec39IyEx_6qawtMGysU/edit?usp=shDLing"",""สบก!DL21"")"),1110540)</f>
        <v>1110540</v>
      </c>
      <c r="I17" s="77">
        <f t="shared" ca="1" si="3"/>
        <v>800699.33</v>
      </c>
      <c r="J17" s="77">
        <f t="shared" ca="1" si="4"/>
        <v>52.03164204903598</v>
      </c>
      <c r="K17" s="77">
        <f ca="1">IFERROR(__xludf.DUMMYFUNCTION("IMPORTRANGE(""https://docs.google.com/spreadsheets/d/1Yj_ptqi66GCucihVvJfMjLAmec39IyEx_6qawtMGysU/edit?usp=sharing"",""สบก!DM21"")"),800699.33)</f>
        <v>800699.33</v>
      </c>
      <c r="L17" s="137">
        <f t="shared" ca="1" si="5"/>
        <v>52.03164204903598</v>
      </c>
      <c r="M17" s="137">
        <f t="shared" ca="1" si="6"/>
        <v>72.099999099537158</v>
      </c>
      <c r="N17" s="137">
        <f ca="1">IFERROR(__xludf.DUMMYFUNCTION("IMPORTRANGE(""https://docs.google.com/spreadsheets/d/1Yj_ptqi66GCucihVvJfMjLAmec39IyEx_6qawtMGysU/edit?usp=sharing"",""สบก!DN21"")"),0)</f>
        <v>0</v>
      </c>
      <c r="O17" s="137">
        <f t="shared" ca="1" si="7"/>
        <v>0</v>
      </c>
      <c r="P17" s="77">
        <f ca="1">IFERROR(__xludf.DUMMYFUNCTION("IMPORTRANGE(""https://docs.google.com/spreadsheets/d/1C3CXT74ZlgGe6_JY_1olB1XN4rF0dxEuIIF-xsYjHgg/edit?usp=sharing"",""พรบ!CA21"")"),680)</f>
        <v>680</v>
      </c>
      <c r="Q17" s="77">
        <f ca="1">IFERROR(__xludf.DUMMYFUNCTION("IMPORTRANGE(""https://docs.google.com/spreadsheets/d/1C3CXT74ZlgGe6_JY_1olB1XN4rF0dxEuIIF-xsYjHgg/edit?usp=sharing"",""พรบ!BZ21"")"),3400)</f>
        <v>3400</v>
      </c>
      <c r="R17" s="218">
        <f t="shared" ca="1" si="95"/>
        <v>408</v>
      </c>
      <c r="S17" s="77">
        <f ca="1">IFERROR(__xludf.DUMMYFUNCTION("IMPORTRANGE(""https://docs.google.com/spreadsheets/d/11923uPwbBZFjjGgGUA6NLw09EwE0CqkOc4q9oUmW1yo/edit?usp=sharing"",""เชียงราย!j234"")"),347)</f>
        <v>347</v>
      </c>
      <c r="T17" s="77">
        <f ca="1">IFERROR(__xludf.DUMMYFUNCTION("IMPORTRANGE(""https://docs.google.com/spreadsheets/d/11923uPwbBZFjjGgGUA6NLw09EwE0CqkOc4q9oUmW1yo/edit?usp=sharing"",""เชียงราย!j235"")"),2019.79)</f>
        <v>2019.79</v>
      </c>
      <c r="U17" s="137">
        <f t="shared" ca="1" si="10"/>
        <v>59.405588235294118</v>
      </c>
      <c r="V17" s="77">
        <f ca="1">IFERROR(__xludf.DUMMYFUNCTION("IMPORTRANGE(""https://docs.google.com/spreadsheets/d/11923uPwbBZFjjGgGUA6NLw09EwE0CqkOc4q9oUmW1yo/edit?usp=sharing"",""เชียงราย!j236"")"),459)</f>
        <v>459</v>
      </c>
      <c r="W17" s="77">
        <f ca="1">IFERROR(__xludf.DUMMYFUNCTION("IMPORTRANGE(""https://docs.google.com/spreadsheets/d/11923uPwbBZFjjGgGUA6NLw09EwE0CqkOc4q9oUmW1yo/edit?usp=sharing"",""เชียงราย!j237"")"),3037.64)</f>
        <v>3037.64</v>
      </c>
      <c r="X17" s="137">
        <f t="shared" ca="1" si="12"/>
        <v>67.5</v>
      </c>
      <c r="Y17" s="77">
        <f ca="1">IFERROR(__xludf.DUMMYFUNCTION("IMPORTRANGE(""https://docs.google.com/spreadsheets/d/11923uPwbBZFjjGgGUA6NLw09EwE0CqkOc4q9oUmW1yo/edit?usp=sharing"",""เชียงราย!j238"")"),2)</f>
        <v>2</v>
      </c>
      <c r="Z17" s="77">
        <f ca="1">IFERROR(__xludf.DUMMYFUNCTION("IMPORTRANGE(""https://docs.google.com/spreadsheets/d/11923uPwbBZFjjGgGUA6NLw09EwE0CqkOc4q9oUmW1yo/edit?usp=sharing"",""เชียงราย!j239"")"),9.23)</f>
        <v>9.23</v>
      </c>
      <c r="AA17" s="137">
        <f t="shared" ca="1" si="14"/>
        <v>0.29411764705882354</v>
      </c>
      <c r="AB17" s="77">
        <f ca="1">IFERROR(__xludf.DUMMYFUNCTION("IMPORTRANGE(""https://docs.google.com/spreadsheets/d/11923uPwbBZFjjGgGUA6NLw09EwE0CqkOc4q9oUmW1yo/edit?usp=sharing"",""เชียงราย!j240"")"),447)</f>
        <v>447</v>
      </c>
      <c r="AC17" s="77">
        <f ca="1">IFERROR(__xludf.DUMMYFUNCTION("IMPORTRANGE(""https://docs.google.com/spreadsheets/d/11923uPwbBZFjjGgGUA6NLw09EwE0CqkOc4q9oUmW1yo/edit?usp=sharing"",""เชียงราย!j241"")"),2850.71)</f>
        <v>2850.71</v>
      </c>
      <c r="AD17" s="219">
        <f t="shared" ca="1" si="16"/>
        <v>65.735294117647058</v>
      </c>
      <c r="AE17" s="215">
        <f ca="1">IFERROR(__xludf.DUMMYFUNCTION("IMPORTRANGE(""https://docs.google.com/spreadsheets/d/1AGHcLOeeYFL3K4b9R1dSzyJy00PE_ra89DNTVfnxSWM/edit?usp=sharing"",""รวมที่ทำกิน!AA10"")"),1000)</f>
        <v>1000</v>
      </c>
      <c r="AF17" s="215">
        <f ca="1">IFERROR(__xludf.DUMMYFUNCTION("IMPORTRANGE(""https://docs.google.com/spreadsheets/d/1AGHcLOeeYFL3K4b9R1dSzyJy00PE_ra89DNTVfnxSWM/edit?usp=sharing"",""รวมที่ทำกิน!AB10"")"),92)</f>
        <v>92</v>
      </c>
      <c r="AG17" s="215">
        <f ca="1">IFERROR(__xludf.DUMMYFUNCTION("IMPORTRANGE(""https://docs.google.com/spreadsheets/d/1AGHcLOeeYFL3K4b9R1dSzyJy00PE_ra89DNTVfnxSWM/edit?usp=sharing"",""รวมที่ทำกิน!AD10"")"),693.18)</f>
        <v>693.18</v>
      </c>
      <c r="AH17" s="219">
        <f t="shared" ca="1" si="101"/>
        <v>69.317999999999998</v>
      </c>
      <c r="AI17" s="215">
        <f ca="1">IFERROR(__xludf.DUMMYFUNCTION("IMPORTRANGE(""https://docs.google.com/spreadsheets/d/1AGHcLOeeYFL3K4b9R1dSzyJy00PE_ra89DNTVfnxSWM/edit?usp=sharing"",""รวมที่ทำกิน!AE10"")"),80)</f>
        <v>80</v>
      </c>
      <c r="AJ17" s="215">
        <f ca="1">IFERROR(__xludf.DUMMYFUNCTION("IMPORTRANGE(""https://docs.google.com/spreadsheets/d/1AGHcLOeeYFL3K4b9R1dSzyJy00PE_ra89DNTVfnxSWM/edit?usp=sharing"",""รวมที่ทำกิน!AF10"")"),29)</f>
        <v>29</v>
      </c>
      <c r="AK17" s="215">
        <f ca="1">IFERROR(__xludf.DUMMYFUNCTION("IMPORTRANGE(""https://docs.google.com/spreadsheets/d/1AGHcLOeeYFL3K4b9R1dSzyJy00PE_ra89DNTVfnxSWM/edit?usp=sharing"",""รวมที่ทำกิน!AH10"")"),192.19)</f>
        <v>192.19</v>
      </c>
      <c r="AL17" s="220">
        <f t="shared" ca="1" si="103"/>
        <v>36.25</v>
      </c>
      <c r="AM17" s="215">
        <f ca="1">IFERROR(__xludf.DUMMYFUNCTION("IMPORTRANGE(""https://docs.google.com/spreadsheets/d/1AGHcLOeeYFL3K4b9R1dSzyJy00PE_ra89DNTVfnxSWM/edit?usp=sharing"",""รวมที่ทำกิน!AI10"")"),0)</f>
        <v>0</v>
      </c>
      <c r="AN17" s="215">
        <f ca="1">IFERROR(__xludf.DUMMYFUNCTION("IMPORTRANGE(""https://docs.google.com/spreadsheets/d/1AGHcLOeeYFL3K4b9R1dSzyJy00PE_ra89DNTVfnxSWM/edit?usp=sharing"",""รวมที่ทำกิน!AK10"")"),0)</f>
        <v>0</v>
      </c>
      <c r="AO17" s="220">
        <f t="shared" ca="1" si="22"/>
        <v>0</v>
      </c>
      <c r="AP17" s="215">
        <f ca="1">IFERROR(__xludf.DUMMYFUNCTION("IMPORTRANGE(""https://docs.google.com/spreadsheets/d/1AGHcLOeeYFL3K4b9R1dSzyJy00PE_ra89DNTVfnxSWM/edit?usp=sharing"",""รวมที่ทำกิน!AL10"")"),27)</f>
        <v>27</v>
      </c>
      <c r="AQ17" s="215">
        <f ca="1">IFERROR(__xludf.DUMMYFUNCTION("IMPORTRANGE(""https://docs.google.com/spreadsheets/d/1AGHcLOeeYFL3K4b9R1dSzyJy00PE_ra89DNTVfnxSWM/edit?usp=sharing"",""รวมที่ทำกิน!AN10"")"),181.93)</f>
        <v>181.93</v>
      </c>
      <c r="AR17" s="220">
        <f t="shared" ca="1" si="24"/>
        <v>33.75</v>
      </c>
      <c r="AS17" s="215">
        <f ca="1">IFERROR(__xludf.DUMMYFUNCTION("IMPORTRANGE(""https://docs.google.com/spreadsheets/d/1AGHcLOeeYFL3K4b9R1dSzyJy00PE_ra89DNTVfnxSWM/edit?usp=sharing"",""รวมที่ทำกิน!AO10"")"),2400)</f>
        <v>2400</v>
      </c>
      <c r="AT17" s="215">
        <f ca="1">IFERROR(__xludf.DUMMYFUNCTION("IMPORTRANGE(""https://docs.google.com/spreadsheets/d/1AGHcLOeeYFL3K4b9R1dSzyJy00PE_ra89DNTVfnxSWM/edit?usp=sharing"",""รวมที่ทำกิน!AP10"")"),255)</f>
        <v>255</v>
      </c>
      <c r="AU17" s="215">
        <f ca="1">IFERROR(__xludf.DUMMYFUNCTION("IMPORTRANGE(""https://docs.google.com/spreadsheets/d/1AGHcLOeeYFL3K4b9R1dSzyJy00PE_ra89DNTVfnxSWM/edit?usp=sharing"",""รวมที่ทำกิน!AR10"")"),1326.61)</f>
        <v>1326.61</v>
      </c>
      <c r="AV17" s="220">
        <f t="shared" ca="1" si="107"/>
        <v>55.275416666666665</v>
      </c>
      <c r="AW17" s="215">
        <f ca="1">IFERROR(__xludf.DUMMYFUNCTION("IMPORTRANGE(""https://docs.google.com/spreadsheets/d/1AGHcLOeeYFL3K4b9R1dSzyJy00PE_ra89DNTVfnxSWM/edit?usp=sharing"",""รวมที่ทำกิน!AS10"")"),600)</f>
        <v>600</v>
      </c>
      <c r="AX17" s="215">
        <f ca="1">IFERROR(__xludf.DUMMYFUNCTION("IMPORTRANGE(""https://docs.google.com/spreadsheets/d/1AGHcLOeeYFL3K4b9R1dSzyJy00PE_ra89DNTVfnxSWM/edit?usp=sharing"",""รวมที่ทำกิน!AT10"")"),430)</f>
        <v>430</v>
      </c>
      <c r="AY17" s="215">
        <f ca="1">IFERROR(__xludf.DUMMYFUNCTION("IMPORTRANGE(""https://docs.google.com/spreadsheets/d/1AGHcLOeeYFL3K4b9R1dSzyJy00PE_ra89DNTVfnxSWM/edit?usp=sharing"",""รวมที่ทำกิน!AV10"")"),2845.45)</f>
        <v>2845.45</v>
      </c>
      <c r="AZ17" s="220">
        <f t="shared" ca="1" si="109"/>
        <v>71.666666666666671</v>
      </c>
      <c r="BA17" s="215">
        <f ca="1">IFERROR(__xludf.DUMMYFUNCTION("IMPORTRANGE(""https://docs.google.com/spreadsheets/d/1AGHcLOeeYFL3K4b9R1dSzyJy00PE_ra89DNTVfnxSWM/edit?usp=sharing"",""รวมที่ทำกิน!AW10"")"),2)</f>
        <v>2</v>
      </c>
      <c r="BB17" s="215">
        <f ca="1">IFERROR(__xludf.DUMMYFUNCTION("IMPORTRANGE(""https://docs.google.com/spreadsheets/d/1AGHcLOeeYFL3K4b9R1dSzyJy00PE_ra89DNTVfnxSWM/edit?usp=sharing"",""รวมที่ทำกิน!AY10"")"),9.23)</f>
        <v>9.23</v>
      </c>
      <c r="BC17" s="220">
        <f t="shared" ca="1" si="30"/>
        <v>0.33333333333333331</v>
      </c>
      <c r="BD17" s="215">
        <f ca="1">IFERROR(__xludf.DUMMYFUNCTION("IMPORTRANGE(""https://docs.google.com/spreadsheets/d/1AGHcLOeeYFL3K4b9R1dSzyJy00PE_ra89DNTVfnxSWM/edit?usp=sharing"",""รวมที่ทำกิน!AZ10"")"),420)</f>
        <v>420</v>
      </c>
      <c r="BE17" s="215">
        <f ca="1">IFERROR(__xludf.DUMMYFUNCTION("IMPORTRANGE(""https://docs.google.com/spreadsheets/d/1AGHcLOeeYFL3K4b9R1dSzyJy00PE_ra89DNTVfnxSWM/edit?usp=sharing"",""รวมที่ทำกิน!BB10"")"),2668.78)</f>
        <v>2668.78</v>
      </c>
      <c r="BF17" s="221">
        <f t="shared" ca="1" si="32"/>
        <v>70</v>
      </c>
    </row>
    <row r="18" spans="1:58" ht="24" customHeight="1">
      <c r="A18" s="73">
        <v>3</v>
      </c>
      <c r="B18" s="74" t="s">
        <v>42</v>
      </c>
      <c r="C18" s="75">
        <f t="shared" ca="1" si="0"/>
        <v>845280</v>
      </c>
      <c r="D18" s="76">
        <f t="shared" ca="1" si="112"/>
        <v>802280</v>
      </c>
      <c r="E18" s="77">
        <f ca="1">IFERROR(__xludf.DUMMYFUNCTION("IMPORTRANGE(""https://docs.google.com/spreadsheets/d/1C3CXT74ZlgGe6_JY_1olB1XN4rF0dxEuIIF-xsYjHgg/edit?usp=sharing"",""พรบ!BX22"")"),471600)</f>
        <v>471600</v>
      </c>
      <c r="F18" s="77">
        <f ca="1">IFERROR(__xludf.DUMMYFUNCTION("IMPORTRANGE(""https://docs.google.com/spreadsheets/d/1C3CXT74ZlgGe6_JY_1olB1XN4rF0dxEuIIF-xsYjHgg/edit?usp=sharing"",""พรบ!BY22"")"),330680)</f>
        <v>330680</v>
      </c>
      <c r="G18" s="77">
        <f ca="1">IFERROR(__xludf.DUMMYFUNCTION("IMPORTRANGE(""https://docs.google.com/spreadsheets/d/1Yj_ptqi66GCucihVvJfMjLAmec39IyEx_6qawtMGysU/edit?usp=sharing"",""สบก!DJ22"")"),43000)</f>
        <v>43000</v>
      </c>
      <c r="H18" s="77">
        <f ca="1">IFERROR(__xludf.DUMMYFUNCTION("IMPORTRANGE(""https://docs.google.com/spreadsheets/d/1Yj_ptqi66GCucihVvJfMjLAmec39IyEx_6qawtMGysU/edit?usp=shDLing"",""สบก!DL22"")"),579190)</f>
        <v>579190</v>
      </c>
      <c r="I18" s="77">
        <f t="shared" ca="1" si="3"/>
        <v>372778.49</v>
      </c>
      <c r="J18" s="77">
        <f t="shared" ca="1" si="4"/>
        <v>44.10118422297937</v>
      </c>
      <c r="K18" s="77">
        <f ca="1">IFERROR(__xludf.DUMMYFUNCTION("IMPORTRANGE(""https://docs.google.com/spreadsheets/d/1Yj_ptqi66GCucihVvJfMjLAmec39IyEx_6qawtMGysU/edit?usp=sharing"",""สบก!DM22"")"),329778.49)</f>
        <v>329778.49</v>
      </c>
      <c r="L18" s="137">
        <f t="shared" ca="1" si="5"/>
        <v>41.105161539612105</v>
      </c>
      <c r="M18" s="137">
        <f t="shared" ca="1" si="6"/>
        <v>56.937877035169805</v>
      </c>
      <c r="N18" s="137">
        <f ca="1">IFERROR(__xludf.DUMMYFUNCTION("IMPORTRANGE(""https://docs.google.com/spreadsheets/d/1Yj_ptqi66GCucihVvJfMjLAmec39IyEx_6qawtMGysU/edit?usp=sharing"",""สบก!DN22"")"),43000)</f>
        <v>43000</v>
      </c>
      <c r="O18" s="137">
        <f t="shared" ca="1" si="7"/>
        <v>100</v>
      </c>
      <c r="P18" s="77">
        <f ca="1">IFERROR(__xludf.DUMMYFUNCTION("IMPORTRANGE(""https://docs.google.com/spreadsheets/d/1C3CXT74ZlgGe6_JY_1olB1XN4rF0dxEuIIF-xsYjHgg/edit?usp=sharing"",""พรบ!CA22"")"),315)</f>
        <v>315</v>
      </c>
      <c r="Q18" s="77">
        <f ca="1">IFERROR(__xludf.DUMMYFUNCTION("IMPORTRANGE(""https://docs.google.com/spreadsheets/d/1C3CXT74ZlgGe6_JY_1olB1XN4rF0dxEuIIF-xsYjHgg/edit?usp=sharing"",""พรบ!BZ22"")"),1060)</f>
        <v>1060</v>
      </c>
      <c r="R18" s="218">
        <f t="shared" ca="1" si="95"/>
        <v>189</v>
      </c>
      <c r="S18" s="77">
        <f ca="1">IFERROR(__xludf.DUMMYFUNCTION("IMPORTRANGE(""https://docs.google.com/spreadsheets/d/11923uPwbBZFjjGgGUA6NLw09EwE0CqkOc4q9oUmW1yo/edit?usp=sharing"",""เชียงใหม่!j234"")"),105)</f>
        <v>105</v>
      </c>
      <c r="T18" s="77">
        <f ca="1">IFERROR(__xludf.DUMMYFUNCTION("IMPORTRANGE(""https://docs.google.com/spreadsheets/d/11923uPwbBZFjjGgGUA6NLw09EwE0CqkOc4q9oUmW1yo/edit?usp=sharing"",""เชียงใหม่!j235"")"),525.6)</f>
        <v>525.6</v>
      </c>
      <c r="U18" s="137">
        <f t="shared" ca="1" si="10"/>
        <v>49.584905660377359</v>
      </c>
      <c r="V18" s="77">
        <f ca="1">IFERROR(__xludf.DUMMYFUNCTION("IMPORTRANGE(""https://docs.google.com/spreadsheets/d/11923uPwbBZFjjGgGUA6NLw09EwE0CqkOc4q9oUmW1yo/edit?usp=sharing"",""เชียงใหม่!j236"")"),157)</f>
        <v>157</v>
      </c>
      <c r="W18" s="77">
        <f ca="1">IFERROR(__xludf.DUMMYFUNCTION("IMPORTRANGE(""https://docs.google.com/spreadsheets/d/11923uPwbBZFjjGgGUA6NLw09EwE0CqkOc4q9oUmW1yo/edit?usp=sharing"",""เชียงใหม่!j237"")"),927.65)</f>
        <v>927.65</v>
      </c>
      <c r="X18" s="137">
        <f t="shared" ca="1" si="12"/>
        <v>49.841269841269842</v>
      </c>
      <c r="Y18" s="77">
        <f ca="1">IFERROR(__xludf.DUMMYFUNCTION("IMPORTRANGE(""https://docs.google.com/spreadsheets/d/11923uPwbBZFjjGgGUA6NLw09EwE0CqkOc4q9oUmW1yo/edit?usp=sharing"",""เชียงใหม่!j238"")"),0)</f>
        <v>0</v>
      </c>
      <c r="Z18" s="77">
        <f ca="1">IFERROR(__xludf.DUMMYFUNCTION("IMPORTRANGE(""https://docs.google.com/spreadsheets/d/11923uPwbBZFjjGgGUA6NLw09EwE0CqkOc4q9oUmW1yo/edit?usp=sharing"",""เชียงใหม่!j239"")"),0)</f>
        <v>0</v>
      </c>
      <c r="AA18" s="137">
        <f t="shared" ca="1" si="14"/>
        <v>0</v>
      </c>
      <c r="AB18" s="77">
        <f ca="1">IFERROR(__xludf.DUMMYFUNCTION("IMPORTRANGE(""https://docs.google.com/spreadsheets/d/11923uPwbBZFjjGgGUA6NLw09EwE0CqkOc4q9oUmW1yo/edit?usp=sharing"",""เชียงใหม่!j240"")"),64)</f>
        <v>64</v>
      </c>
      <c r="AC18" s="77">
        <f ca="1">IFERROR(__xludf.DUMMYFUNCTION("IMPORTRANGE(""https://docs.google.com/spreadsheets/d/11923uPwbBZFjjGgGUA6NLw09EwE0CqkOc4q9oUmW1yo/edit?usp=sharing"",""เชียงใหม่!j241"")"),331.58)</f>
        <v>331.58</v>
      </c>
      <c r="AD18" s="219">
        <f t="shared" ca="1" si="16"/>
        <v>20.317460317460316</v>
      </c>
      <c r="AE18" s="215">
        <f ca="1">IFERROR(__xludf.DUMMYFUNCTION("IMPORTRANGE(""https://docs.google.com/spreadsheets/d/1AGHcLOeeYFL3K4b9R1dSzyJy00PE_ra89DNTVfnxSWM/edit?usp=sharing"",""รวมที่ทำกิน!AA11"")"),960)</f>
        <v>960</v>
      </c>
      <c r="AF18" s="215">
        <f ca="1">IFERROR(__xludf.DUMMYFUNCTION("IMPORTRANGE(""https://docs.google.com/spreadsheets/d/1AGHcLOeeYFL3K4b9R1dSzyJy00PE_ra89DNTVfnxSWM/edit?usp=sharing"",""รวมที่ทำกิน!AB11"")"),105)</f>
        <v>105</v>
      </c>
      <c r="AG18" s="215">
        <f ca="1">IFERROR(__xludf.DUMMYFUNCTION("IMPORTRANGE(""https://docs.google.com/spreadsheets/d/1AGHcLOeeYFL3K4b9R1dSzyJy00PE_ra89DNTVfnxSWM/edit?usp=sharing"",""รวมที่ทำกิน!AD11"")"),525.6)</f>
        <v>525.6</v>
      </c>
      <c r="AH18" s="219">
        <f t="shared" ca="1" si="101"/>
        <v>54.75</v>
      </c>
      <c r="AI18" s="215">
        <f ca="1">IFERROR(__xludf.DUMMYFUNCTION("IMPORTRANGE(""https://docs.google.com/spreadsheets/d/1AGHcLOeeYFL3K4b9R1dSzyJy00PE_ra89DNTVfnxSWM/edit?usp=sharing"",""รวมที่ทำกิน!AE11"")"),150)</f>
        <v>150</v>
      </c>
      <c r="AJ18" s="215">
        <f ca="1">IFERROR(__xludf.DUMMYFUNCTION("IMPORTRANGE(""https://docs.google.com/spreadsheets/d/1AGHcLOeeYFL3K4b9R1dSzyJy00PE_ra89DNTVfnxSWM/edit?usp=sharing"",""รวมที่ทำกิน!AF11"")"),59)</f>
        <v>59</v>
      </c>
      <c r="AK18" s="215">
        <f ca="1">IFERROR(__xludf.DUMMYFUNCTION("IMPORTRANGE(""https://docs.google.com/spreadsheets/d/1AGHcLOeeYFL3K4b9R1dSzyJy00PE_ra89DNTVfnxSWM/edit?usp=sharing"",""รวมที่ทำกิน!AH11"")"),348.28)</f>
        <v>348.28</v>
      </c>
      <c r="AL18" s="220">
        <f t="shared" ca="1" si="103"/>
        <v>39.333333333333336</v>
      </c>
      <c r="AM18" s="215">
        <f ca="1">IFERROR(__xludf.DUMMYFUNCTION("IMPORTRANGE(""https://docs.google.com/spreadsheets/d/1AGHcLOeeYFL3K4b9R1dSzyJy00PE_ra89DNTVfnxSWM/edit?usp=sharing"",""รวมที่ทำกิน!AI11"")"),0)</f>
        <v>0</v>
      </c>
      <c r="AN18" s="215">
        <f ca="1">IFERROR(__xludf.DUMMYFUNCTION("IMPORTRANGE(""https://docs.google.com/spreadsheets/d/1AGHcLOeeYFL3K4b9R1dSzyJy00PE_ra89DNTVfnxSWM/edit?usp=sharing"",""รวมที่ทำกิน!AK11"")"),0)</f>
        <v>0</v>
      </c>
      <c r="AO18" s="220">
        <f t="shared" ca="1" si="22"/>
        <v>0</v>
      </c>
      <c r="AP18" s="215">
        <f ca="1">IFERROR(__xludf.DUMMYFUNCTION("IMPORTRANGE(""https://docs.google.com/spreadsheets/d/1AGHcLOeeYFL3K4b9R1dSzyJy00PE_ra89DNTVfnxSWM/edit?usp=sharing"",""รวมที่ทำกิน!AL11"")"),0)</f>
        <v>0</v>
      </c>
      <c r="AQ18" s="215">
        <f ca="1">IFERROR(__xludf.DUMMYFUNCTION("IMPORTRANGE(""https://docs.google.com/spreadsheets/d/1AGHcLOeeYFL3K4b9R1dSzyJy00PE_ra89DNTVfnxSWM/edit?usp=sharing"",""รวมที่ทำกิน!AN11"")"),0)</f>
        <v>0</v>
      </c>
      <c r="AR18" s="220">
        <f t="shared" ca="1" si="24"/>
        <v>0</v>
      </c>
      <c r="AS18" s="215">
        <f ca="1">IFERROR(__xludf.DUMMYFUNCTION("IMPORTRANGE(""https://docs.google.com/spreadsheets/d/1AGHcLOeeYFL3K4b9R1dSzyJy00PE_ra89DNTVfnxSWM/edit?usp=sharing"",""รวมที่ทำกิน!AO11"")"),100)</f>
        <v>100</v>
      </c>
      <c r="AT18" s="215">
        <f ca="1">IFERROR(__xludf.DUMMYFUNCTION("IMPORTRANGE(""https://docs.google.com/spreadsheets/d/1AGHcLOeeYFL3K4b9R1dSzyJy00PE_ra89DNTVfnxSWM/edit?usp=sharing"",""รวมที่ทำกิน!AP11"")"),0)</f>
        <v>0</v>
      </c>
      <c r="AU18" s="215">
        <f ca="1">IFERROR(__xludf.DUMMYFUNCTION("IMPORTRANGE(""https://docs.google.com/spreadsheets/d/1AGHcLOeeYFL3K4b9R1dSzyJy00PE_ra89DNTVfnxSWM/edit?usp=sharing"",""รวมที่ทำกิน!AR11"")"),0)</f>
        <v>0</v>
      </c>
      <c r="AV18" s="220">
        <f t="shared" ca="1" si="107"/>
        <v>0</v>
      </c>
      <c r="AW18" s="215">
        <f ca="1">IFERROR(__xludf.DUMMYFUNCTION("IMPORTRANGE(""https://docs.google.com/spreadsheets/d/1AGHcLOeeYFL3K4b9R1dSzyJy00PE_ra89DNTVfnxSWM/edit?usp=sharing"",""รวมที่ทำกิน!AS11"")"),165)</f>
        <v>165</v>
      </c>
      <c r="AX18" s="215">
        <f ca="1">IFERROR(__xludf.DUMMYFUNCTION("IMPORTRANGE(""https://docs.google.com/spreadsheets/d/1AGHcLOeeYFL3K4b9R1dSzyJy00PE_ra89DNTVfnxSWM/edit?usp=sharing"",""รวมที่ทำกิน!AT11"")"),98)</f>
        <v>98</v>
      </c>
      <c r="AY18" s="215">
        <f ca="1">IFERROR(__xludf.DUMMYFUNCTION("IMPORTRANGE(""https://docs.google.com/spreadsheets/d/1AGHcLOeeYFL3K4b9R1dSzyJy00PE_ra89DNTVfnxSWM/edit?usp=sharing"",""รวมที่ทำกิน!AV11"")"),579.37)</f>
        <v>579.37</v>
      </c>
      <c r="AZ18" s="220">
        <f t="shared" ca="1" si="109"/>
        <v>59.393939393939391</v>
      </c>
      <c r="BA18" s="215">
        <f ca="1">IFERROR(__xludf.DUMMYFUNCTION("IMPORTRANGE(""https://docs.google.com/spreadsheets/d/1AGHcLOeeYFL3K4b9R1dSzyJy00PE_ra89DNTVfnxSWM/edit?usp=sharing"",""รวมที่ทำกิน!AW11"")"),0)</f>
        <v>0</v>
      </c>
      <c r="BB18" s="215">
        <f ca="1">IFERROR(__xludf.DUMMYFUNCTION("IMPORTRANGE(""https://docs.google.com/spreadsheets/d/1AGHcLOeeYFL3K4b9R1dSzyJy00PE_ra89DNTVfnxSWM/edit?usp=sharing"",""รวมที่ทำกิน!AY11"")"),0)</f>
        <v>0</v>
      </c>
      <c r="BC18" s="220">
        <f t="shared" ca="1" si="30"/>
        <v>0</v>
      </c>
      <c r="BD18" s="215">
        <f ca="1">IFERROR(__xludf.DUMMYFUNCTION("IMPORTRANGE(""https://docs.google.com/spreadsheets/d/1AGHcLOeeYFL3K4b9R1dSzyJy00PE_ra89DNTVfnxSWM/edit?usp=sharing"",""รวมที่ทำกิน!AZ11"")"),64)</f>
        <v>64</v>
      </c>
      <c r="BE18" s="215">
        <f ca="1">IFERROR(__xludf.DUMMYFUNCTION("IMPORTRANGE(""https://docs.google.com/spreadsheets/d/1AGHcLOeeYFL3K4b9R1dSzyJy00PE_ra89DNTVfnxSWM/edit?usp=sharing"",""รวมที่ทำกิน!BB11"")"),331.58)</f>
        <v>331.58</v>
      </c>
      <c r="BF18" s="221">
        <f t="shared" ca="1" si="32"/>
        <v>38.787878787878789</v>
      </c>
    </row>
    <row r="19" spans="1:58" ht="24" customHeight="1">
      <c r="A19" s="73">
        <v>4</v>
      </c>
      <c r="B19" s="74" t="s">
        <v>43</v>
      </c>
      <c r="C19" s="75">
        <f t="shared" ca="1" si="0"/>
        <v>1077870</v>
      </c>
      <c r="D19" s="76">
        <f t="shared" ca="1" si="112"/>
        <v>939650</v>
      </c>
      <c r="E19" s="77">
        <f ca="1">IFERROR(__xludf.DUMMYFUNCTION("IMPORTRANGE(""https://docs.google.com/spreadsheets/d/1C3CXT74ZlgGe6_JY_1olB1XN4rF0dxEuIIF-xsYjHgg/edit?usp=sharing"",""พรบ!BX23"")"),496800)</f>
        <v>496800</v>
      </c>
      <c r="F19" s="77">
        <f ca="1">IFERROR(__xludf.DUMMYFUNCTION("IMPORTRANGE(""https://docs.google.com/spreadsheets/d/1C3CXT74ZlgGe6_JY_1olB1XN4rF0dxEuIIF-xsYjHgg/edit?usp=sharing"",""พรบ!BY23"")"),442850)</f>
        <v>442850</v>
      </c>
      <c r="G19" s="77">
        <f ca="1">IFERROR(__xludf.DUMMYFUNCTION("IMPORTRANGE(""https://docs.google.com/spreadsheets/d/1Yj_ptqi66GCucihVvJfMjLAmec39IyEx_6qawtMGysU/edit?usp=sharing"",""สบก!DJ23"")"),138220)</f>
        <v>138220</v>
      </c>
      <c r="H19" s="77">
        <f ca="1">IFERROR(__xludf.DUMMYFUNCTION("IMPORTRANGE(""https://docs.google.com/spreadsheets/d/1Yj_ptqi66GCucihVvJfMjLAmec39IyEx_6qawtMGysU/edit?usp=shDLing"",""สบก!DL23"")"),677330)</f>
        <v>677330</v>
      </c>
      <c r="I19" s="77">
        <f t="shared" ca="1" si="3"/>
        <v>631979.86</v>
      </c>
      <c r="J19" s="77">
        <f t="shared" ca="1" si="4"/>
        <v>58.632289608208779</v>
      </c>
      <c r="K19" s="77">
        <f ca="1">IFERROR(__xludf.DUMMYFUNCTION("IMPORTRANGE(""https://docs.google.com/spreadsheets/d/1Yj_ptqi66GCucihVvJfMjLAmec39IyEx_6qawtMGysU/edit?usp=sharing"",""สบก!DM23"")"),493759.86)</f>
        <v>493759.86</v>
      </c>
      <c r="L19" s="137">
        <f t="shared" ca="1" si="5"/>
        <v>52.547210131431918</v>
      </c>
      <c r="M19" s="137">
        <f t="shared" ca="1" si="6"/>
        <v>72.897975875865527</v>
      </c>
      <c r="N19" s="137">
        <f ca="1">IFERROR(__xludf.DUMMYFUNCTION("IMPORTRANGE(""https://docs.google.com/spreadsheets/d/1Yj_ptqi66GCucihVvJfMjLAmec39IyEx_6qawtMGysU/edit?usp=sharing"",""สบก!DN23"")"),138220)</f>
        <v>138220</v>
      </c>
      <c r="O19" s="137">
        <f t="shared" ca="1" si="7"/>
        <v>100</v>
      </c>
      <c r="P19" s="77">
        <f ca="1">IFERROR(__xludf.DUMMYFUNCTION("IMPORTRANGE(""https://docs.google.com/spreadsheets/d/1C3CXT74ZlgGe6_JY_1olB1XN4rF0dxEuIIF-xsYjHgg/edit?usp=sharing"",""พรบ!CA23"")"),215)</f>
        <v>215</v>
      </c>
      <c r="Q19" s="77">
        <f ca="1">IFERROR(__xludf.DUMMYFUNCTION("IMPORTRANGE(""https://docs.google.com/spreadsheets/d/1C3CXT74ZlgGe6_JY_1olB1XN4rF0dxEuIIF-xsYjHgg/edit?usp=sharing"",""พรบ!BZ23"")"),3000)</f>
        <v>3000</v>
      </c>
      <c r="R19" s="218">
        <f t="shared" ca="1" si="95"/>
        <v>129</v>
      </c>
      <c r="S19" s="77">
        <f ca="1">IFERROR(__xludf.DUMMYFUNCTION("IMPORTRANGE(""https://docs.google.com/spreadsheets/d/11923uPwbBZFjjGgGUA6NLw09EwE0CqkOc4q9oUmW1yo/edit?usp=sharing"",""ตาก!j234"")"),130)</f>
        <v>130</v>
      </c>
      <c r="T19" s="77">
        <f ca="1">IFERROR(__xludf.DUMMYFUNCTION("IMPORTRANGE(""https://docs.google.com/spreadsheets/d/11923uPwbBZFjjGgGUA6NLw09EwE0CqkOc4q9oUmW1yo/edit?usp=sharing"",""ตาก!j235"")"),932.48)</f>
        <v>932.48</v>
      </c>
      <c r="U19" s="137">
        <f t="shared" ca="1" si="10"/>
        <v>31.082666666666668</v>
      </c>
      <c r="V19" s="77">
        <f ca="1">IFERROR(__xludf.DUMMYFUNCTION("IMPORTRANGE(""https://docs.google.com/spreadsheets/d/11923uPwbBZFjjGgGUA6NLw09EwE0CqkOc4q9oUmW1yo/edit?usp=sharing"",""ตาก!j236"")"),172)</f>
        <v>172</v>
      </c>
      <c r="W19" s="77">
        <f ca="1">IFERROR(__xludf.DUMMYFUNCTION("IMPORTRANGE(""https://docs.google.com/spreadsheets/d/11923uPwbBZFjjGgGUA6NLw09EwE0CqkOc4q9oUmW1yo/edit?usp=sharing"",""ตาก!j237"")"),1848.28)</f>
        <v>1848.28</v>
      </c>
      <c r="X19" s="137">
        <f t="shared" ca="1" si="12"/>
        <v>80</v>
      </c>
      <c r="Y19" s="77">
        <f ca="1">IFERROR(__xludf.DUMMYFUNCTION("IMPORTRANGE(""https://docs.google.com/spreadsheets/d/11923uPwbBZFjjGgGUA6NLw09EwE0CqkOc4q9oUmW1yo/edit?usp=sharing"",""ตาก!j238"")"),0)</f>
        <v>0</v>
      </c>
      <c r="Z19" s="77">
        <f ca="1">IFERROR(__xludf.DUMMYFUNCTION("IMPORTRANGE(""https://docs.google.com/spreadsheets/d/11923uPwbBZFjjGgGUA6NLw09EwE0CqkOc4q9oUmW1yo/edit?usp=sharing"",""ตาก!j239"")"),0)</f>
        <v>0</v>
      </c>
      <c r="AA19" s="137">
        <f t="shared" ca="1" si="14"/>
        <v>0</v>
      </c>
      <c r="AB19" s="77">
        <f ca="1">IFERROR(__xludf.DUMMYFUNCTION("IMPORTRANGE(""https://docs.google.com/spreadsheets/d/11923uPwbBZFjjGgGUA6NLw09EwE0CqkOc4q9oUmW1yo/edit?usp=sharing"",""ตาก!j240"")"),169)</f>
        <v>169</v>
      </c>
      <c r="AC19" s="77">
        <f ca="1">IFERROR(__xludf.DUMMYFUNCTION("IMPORTRANGE(""https://docs.google.com/spreadsheets/d/11923uPwbBZFjjGgGUA6NLw09EwE0CqkOc4q9oUmW1yo/edit?usp=sharing"",""ตาก!j241"")"),1852.47)</f>
        <v>1852.47</v>
      </c>
      <c r="AD19" s="219">
        <f t="shared" ca="1" si="16"/>
        <v>78.604651162790702</v>
      </c>
      <c r="AE19" s="215">
        <f ca="1">IFERROR(__xludf.DUMMYFUNCTION("IMPORTRANGE(""https://docs.google.com/spreadsheets/d/1AGHcLOeeYFL3K4b9R1dSzyJy00PE_ra89DNTVfnxSWM/edit?usp=sharing"",""รวมที่ทำกิน!AA12"")"),1000)</f>
        <v>1000</v>
      </c>
      <c r="AF19" s="215">
        <f ca="1">IFERROR(__xludf.DUMMYFUNCTION("IMPORTRANGE(""https://docs.google.com/spreadsheets/d/1AGHcLOeeYFL3K4b9R1dSzyJy00PE_ra89DNTVfnxSWM/edit?usp=sharing"",""รวมที่ทำกิน!AB12"")"),130)</f>
        <v>130</v>
      </c>
      <c r="AG19" s="215">
        <f ca="1">IFERROR(__xludf.DUMMYFUNCTION("IMPORTRANGE(""https://docs.google.com/spreadsheets/d/1AGHcLOeeYFL3K4b9R1dSzyJy00PE_ra89DNTVfnxSWM/edit?usp=sharing"",""รวมที่ทำกิน!AD12"")"),932.48)</f>
        <v>932.48</v>
      </c>
      <c r="AH19" s="219">
        <f t="shared" ca="1" si="101"/>
        <v>93.248000000000005</v>
      </c>
      <c r="AI19" s="215">
        <f ca="1">IFERROR(__xludf.DUMMYFUNCTION("IMPORTRANGE(""https://docs.google.com/spreadsheets/d/1AGHcLOeeYFL3K4b9R1dSzyJy00PE_ra89DNTVfnxSWM/edit?usp=sharing"",""รวมที่ทำกิน!AE12"")"),80)</f>
        <v>80</v>
      </c>
      <c r="AJ19" s="215">
        <f ca="1">IFERROR(__xludf.DUMMYFUNCTION("IMPORTRANGE(""https://docs.google.com/spreadsheets/d/1AGHcLOeeYFL3K4b9R1dSzyJy00PE_ra89DNTVfnxSWM/edit?usp=sharing"",""รวมที่ทำกิน!AF12"")"),81)</f>
        <v>81</v>
      </c>
      <c r="AK19" s="215">
        <f ca="1">IFERROR(__xludf.DUMMYFUNCTION("IMPORTRANGE(""https://docs.google.com/spreadsheets/d/1AGHcLOeeYFL3K4b9R1dSzyJy00PE_ra89DNTVfnxSWM/edit?usp=sharing"",""รวมที่ทำกิน!AH12"")"),710.4)</f>
        <v>710.4</v>
      </c>
      <c r="AL19" s="220">
        <f t="shared" ca="1" si="103"/>
        <v>101.25</v>
      </c>
      <c r="AM19" s="215">
        <f ca="1">IFERROR(__xludf.DUMMYFUNCTION("IMPORTRANGE(""https://docs.google.com/spreadsheets/d/1AGHcLOeeYFL3K4b9R1dSzyJy00PE_ra89DNTVfnxSWM/edit?usp=sharing"",""รวมที่ทำกิน!AI12"")"),0)</f>
        <v>0</v>
      </c>
      <c r="AN19" s="215">
        <f ca="1">IFERROR(__xludf.DUMMYFUNCTION("IMPORTRANGE(""https://docs.google.com/spreadsheets/d/1AGHcLOeeYFL3K4b9R1dSzyJy00PE_ra89DNTVfnxSWM/edit?usp=sharing"",""รวมที่ทำกิน!AK12"")"),0)</f>
        <v>0</v>
      </c>
      <c r="AO19" s="220">
        <f t="shared" ca="1" si="22"/>
        <v>0</v>
      </c>
      <c r="AP19" s="215">
        <f ca="1">IFERROR(__xludf.DUMMYFUNCTION("IMPORTRANGE(""https://docs.google.com/spreadsheets/d/1AGHcLOeeYFL3K4b9R1dSzyJy00PE_ra89DNTVfnxSWM/edit?usp=sharing"",""รวมที่ทำกิน!AL12"")"),78)</f>
        <v>78</v>
      </c>
      <c r="AQ19" s="215">
        <f ca="1">IFERROR(__xludf.DUMMYFUNCTION("IMPORTRANGE(""https://docs.google.com/spreadsheets/d/1AGHcLOeeYFL3K4b9R1dSzyJy00PE_ra89DNTVfnxSWM/edit?usp=sharing"",""รวมที่ทำกิน!AN12"")"),714.59)</f>
        <v>714.59</v>
      </c>
      <c r="AR19" s="220">
        <f t="shared" ca="1" si="24"/>
        <v>97.5</v>
      </c>
      <c r="AS19" s="215">
        <f ca="1">IFERROR(__xludf.DUMMYFUNCTION("IMPORTRANGE(""https://docs.google.com/spreadsheets/d/1AGHcLOeeYFL3K4b9R1dSzyJy00PE_ra89DNTVfnxSWM/edit?usp=sharing"",""รวมที่ทำกิน!AO12"")"),2000)</f>
        <v>2000</v>
      </c>
      <c r="AT19" s="215">
        <f ca="1">IFERROR(__xludf.DUMMYFUNCTION("IMPORTRANGE(""https://docs.google.com/spreadsheets/d/1AGHcLOeeYFL3K4b9R1dSzyJy00PE_ra89DNTVfnxSWM/edit?usp=sharing"",""รวมที่ทำกิน!AP12"")"),0)</f>
        <v>0</v>
      </c>
      <c r="AU19" s="215">
        <f ca="1">IFERROR(__xludf.DUMMYFUNCTION("IMPORTRANGE(""https://docs.google.com/spreadsheets/d/1AGHcLOeeYFL3K4b9R1dSzyJy00PE_ra89DNTVfnxSWM/edit?usp=sharing"",""รวมที่ทำกิน!AR12"")"),0)</f>
        <v>0</v>
      </c>
      <c r="AV19" s="220">
        <f t="shared" ca="1" si="107"/>
        <v>0</v>
      </c>
      <c r="AW19" s="215">
        <f ca="1">IFERROR(__xludf.DUMMYFUNCTION("IMPORTRANGE(""https://docs.google.com/spreadsheets/d/1AGHcLOeeYFL3K4b9R1dSzyJy00PE_ra89DNTVfnxSWM/edit?usp=sharing"",""รวมที่ทำกิน!AS12"")"),135)</f>
        <v>135</v>
      </c>
      <c r="AX19" s="215">
        <f ca="1">IFERROR(__xludf.DUMMYFUNCTION("IMPORTRANGE(""https://docs.google.com/spreadsheets/d/1AGHcLOeeYFL3K4b9R1dSzyJy00PE_ra89DNTVfnxSWM/edit?usp=sharing"",""รวมที่ทำกิน!AT12"")"),91)</f>
        <v>91</v>
      </c>
      <c r="AY19" s="215">
        <f ca="1">IFERROR(__xludf.DUMMYFUNCTION("IMPORTRANGE(""https://docs.google.com/spreadsheets/d/1AGHcLOeeYFL3K4b9R1dSzyJy00PE_ra89DNTVfnxSWM/edit?usp=sharing"",""รวมที่ทำกิน!AV12"")"),1137.88)</f>
        <v>1137.8800000000001</v>
      </c>
      <c r="AZ19" s="220">
        <f t="shared" ca="1" si="109"/>
        <v>67.407407407407405</v>
      </c>
      <c r="BA19" s="215">
        <f ca="1">IFERROR(__xludf.DUMMYFUNCTION("IMPORTRANGE(""https://docs.google.com/spreadsheets/d/1AGHcLOeeYFL3K4b9R1dSzyJy00PE_ra89DNTVfnxSWM/edit?usp=sharing"",""รวมที่ทำกิน!AW12"")"),0)</f>
        <v>0</v>
      </c>
      <c r="BB19" s="215">
        <f ca="1">IFERROR(__xludf.DUMMYFUNCTION("IMPORTRANGE(""https://docs.google.com/spreadsheets/d/1AGHcLOeeYFL3K4b9R1dSzyJy00PE_ra89DNTVfnxSWM/edit?usp=sharing"",""รวมที่ทำกิน!AY12"")"),0)</f>
        <v>0</v>
      </c>
      <c r="BC19" s="220">
        <f t="shared" ca="1" si="30"/>
        <v>0</v>
      </c>
      <c r="BD19" s="215">
        <f ca="1">IFERROR(__xludf.DUMMYFUNCTION("IMPORTRANGE(""https://docs.google.com/spreadsheets/d/1AGHcLOeeYFL3K4b9R1dSzyJy00PE_ra89DNTVfnxSWM/edit?usp=sharing"",""รวมที่ทำกิน!AZ12"")"),91)</f>
        <v>91</v>
      </c>
      <c r="BE19" s="215">
        <f ca="1">IFERROR(__xludf.DUMMYFUNCTION("IMPORTRANGE(""https://docs.google.com/spreadsheets/d/1AGHcLOeeYFL3K4b9R1dSzyJy00PE_ra89DNTVfnxSWM/edit?usp=sharing"",""รวมที่ทำกิน!BB12"")"),1137.88)</f>
        <v>1137.8800000000001</v>
      </c>
      <c r="BF19" s="221">
        <f t="shared" ca="1" si="32"/>
        <v>67.407407407407405</v>
      </c>
    </row>
    <row r="20" spans="1:58" ht="24" customHeight="1">
      <c r="A20" s="73">
        <v>5</v>
      </c>
      <c r="B20" s="74" t="s">
        <v>44</v>
      </c>
      <c r="C20" s="75">
        <f t="shared" ca="1" si="0"/>
        <v>1224950</v>
      </c>
      <c r="D20" s="76">
        <f t="shared" ca="1" si="112"/>
        <v>1119950</v>
      </c>
      <c r="E20" s="77">
        <f ca="1">IFERROR(__xludf.DUMMYFUNCTION("IMPORTRANGE(""https://docs.google.com/spreadsheets/d/1C3CXT74ZlgGe6_JY_1olB1XN4rF0dxEuIIF-xsYjHgg/edit?usp=sharing"",""พรบ!BX24"")"),529200)</f>
        <v>529200</v>
      </c>
      <c r="F20" s="77">
        <f ca="1">IFERROR(__xludf.DUMMYFUNCTION("IMPORTRANGE(""https://docs.google.com/spreadsheets/d/1C3CXT74ZlgGe6_JY_1olB1XN4rF0dxEuIIF-xsYjHgg/edit?usp=sharing"",""พรบ!BY24"")"),590750)</f>
        <v>590750</v>
      </c>
      <c r="G20" s="77">
        <f ca="1">IFERROR(__xludf.DUMMYFUNCTION("IMPORTRANGE(""https://docs.google.com/spreadsheets/d/1Yj_ptqi66GCucihVvJfMjLAmec39IyEx_6qawtMGysU/edit?usp=sharing"",""สบก!DJ24"")"),105000)</f>
        <v>105000</v>
      </c>
      <c r="H20" s="77">
        <f ca="1">IFERROR(__xludf.DUMMYFUNCTION("IMPORTRANGE(""https://docs.google.com/spreadsheets/d/1Yj_ptqi66GCucihVvJfMjLAmec39IyEx_6qawtMGysU/edit?usp=shDLing"",""สบก!DL24"")"),796680)</f>
        <v>796680</v>
      </c>
      <c r="I20" s="77">
        <f t="shared" ca="1" si="3"/>
        <v>546448.69999999995</v>
      </c>
      <c r="J20" s="77">
        <f t="shared" ca="1" si="4"/>
        <v>44.609877954202204</v>
      </c>
      <c r="K20" s="77">
        <f ca="1">IFERROR(__xludf.DUMMYFUNCTION("IMPORTRANGE(""https://docs.google.com/spreadsheets/d/1Yj_ptqi66GCucihVvJfMjLAmec39IyEx_6qawtMGysU/edit?usp=sharing"",""สบก!DM24"")"),441448.7)</f>
        <v>441448.7</v>
      </c>
      <c r="L20" s="137">
        <f t="shared" ca="1" si="5"/>
        <v>39.416822179561585</v>
      </c>
      <c r="M20" s="137">
        <f t="shared" ca="1" si="6"/>
        <v>55.411043329818746</v>
      </c>
      <c r="N20" s="137">
        <f ca="1">IFERROR(__xludf.DUMMYFUNCTION("IMPORTRANGE(""https://docs.google.com/spreadsheets/d/1Yj_ptqi66GCucihVvJfMjLAmec39IyEx_6qawtMGysU/edit?usp=sharing"",""สบก!DN24"")"),105000)</f>
        <v>105000</v>
      </c>
      <c r="O20" s="137">
        <f t="shared" ca="1" si="7"/>
        <v>100</v>
      </c>
      <c r="P20" s="77">
        <f ca="1">IFERROR(__xludf.DUMMYFUNCTION("IMPORTRANGE(""https://docs.google.com/spreadsheets/d/1C3CXT74ZlgGe6_JY_1olB1XN4rF0dxEuIIF-xsYjHgg/edit?usp=sharing"",""พรบ!CA24"")"),430)</f>
        <v>430</v>
      </c>
      <c r="Q20" s="77">
        <f ca="1">IFERROR(__xludf.DUMMYFUNCTION("IMPORTRANGE(""https://docs.google.com/spreadsheets/d/1C3CXT74ZlgGe6_JY_1olB1XN4rF0dxEuIIF-xsYjHgg/edit?usp=sharing"",""พรบ!BZ24"")"),4200)</f>
        <v>4200</v>
      </c>
      <c r="R20" s="218">
        <f t="shared" ca="1" si="95"/>
        <v>258</v>
      </c>
      <c r="S20" s="77">
        <f ca="1">IFERROR(__xludf.DUMMYFUNCTION("IMPORTRANGE(""https://docs.google.com/spreadsheets/d/11923uPwbBZFjjGgGUA6NLw09EwE0CqkOc4q9oUmW1yo/edit?usp=sharing"",""นครสวรรค์!j234"")"),257)</f>
        <v>257</v>
      </c>
      <c r="T20" s="77">
        <f ca="1">IFERROR(__xludf.DUMMYFUNCTION("IMPORTRANGE(""https://docs.google.com/spreadsheets/d/11923uPwbBZFjjGgGUA6NLw09EwE0CqkOc4q9oUmW1yo/edit?usp=sharing"",""นครสวรรค์!j235"")"),2443.77999999999)</f>
        <v>2443.7799999999902</v>
      </c>
      <c r="U20" s="137">
        <f t="shared" ca="1" si="10"/>
        <v>58.185238095237857</v>
      </c>
      <c r="V20" s="77">
        <f ca="1">IFERROR(__xludf.DUMMYFUNCTION("IMPORTRANGE(""https://docs.google.com/spreadsheets/d/11923uPwbBZFjjGgGUA6NLw09EwE0CqkOc4q9oUmW1yo/edit?usp=sharing"",""นครสวรรค์!j236"")"),77)</f>
        <v>77</v>
      </c>
      <c r="W20" s="77">
        <f ca="1">IFERROR(__xludf.DUMMYFUNCTION("IMPORTRANGE(""https://docs.google.com/spreadsheets/d/11923uPwbBZFjjGgGUA6NLw09EwE0CqkOc4q9oUmW1yo/edit?usp=sharing"",""นครสวรรค์!j237"")"),929.49)</f>
        <v>929.49</v>
      </c>
      <c r="X20" s="137">
        <f t="shared" ca="1" si="12"/>
        <v>17.906976744186046</v>
      </c>
      <c r="Y20" s="77">
        <f ca="1">IFERROR(__xludf.DUMMYFUNCTION("IMPORTRANGE(""https://docs.google.com/spreadsheets/d/11923uPwbBZFjjGgGUA6NLw09EwE0CqkOc4q9oUmW1yo/edit?usp=sharing"",""นครสวรรค์!j238"")"),0)</f>
        <v>0</v>
      </c>
      <c r="Z20" s="77">
        <f ca="1">IFERROR(__xludf.DUMMYFUNCTION("IMPORTRANGE(""https://docs.google.com/spreadsheets/d/11923uPwbBZFjjGgGUA6NLw09EwE0CqkOc4q9oUmW1yo/edit?usp=sharing"",""นครสวรรค์!j239"")"),0)</f>
        <v>0</v>
      </c>
      <c r="AA20" s="137">
        <f t="shared" ca="1" si="14"/>
        <v>0</v>
      </c>
      <c r="AB20" s="77">
        <f ca="1">IFERROR(__xludf.DUMMYFUNCTION("IMPORTRANGE(""https://docs.google.com/spreadsheets/d/11923uPwbBZFjjGgGUA6NLw09EwE0CqkOc4q9oUmW1yo/edit?usp=sharing"",""นครสวรรค์!j240"")"),25)</f>
        <v>25</v>
      </c>
      <c r="AC20" s="77">
        <f ca="1">IFERROR(__xludf.DUMMYFUNCTION("IMPORTRANGE(""https://docs.google.com/spreadsheets/d/11923uPwbBZFjjGgGUA6NLw09EwE0CqkOc4q9oUmW1yo/edit?usp=sharing"",""นครสวรรค์!j241"")"),485.88)</f>
        <v>485.88</v>
      </c>
      <c r="AD20" s="219">
        <f t="shared" ca="1" si="16"/>
        <v>5.8139534883720927</v>
      </c>
      <c r="AE20" s="215">
        <f ca="1">IFERROR(__xludf.DUMMYFUNCTION("IMPORTRANGE(""https://docs.google.com/spreadsheets/d/1AGHcLOeeYFL3K4b9R1dSzyJy00PE_ra89DNTVfnxSWM/edit?usp=sharing"",""รวมที่ทำกิน!AA13"")"),3000)</f>
        <v>3000</v>
      </c>
      <c r="AF20" s="215">
        <f ca="1">IFERROR(__xludf.DUMMYFUNCTION("IMPORTRANGE(""https://docs.google.com/spreadsheets/d/1AGHcLOeeYFL3K4b9R1dSzyJy00PE_ra89DNTVfnxSWM/edit?usp=sharing"",""รวมที่ทำกิน!AB13"")"),158)</f>
        <v>158</v>
      </c>
      <c r="AG20" s="215">
        <f ca="1">IFERROR(__xludf.DUMMYFUNCTION("IMPORTRANGE(""https://docs.google.com/spreadsheets/d/1AGHcLOeeYFL3K4b9R1dSzyJy00PE_ra89DNTVfnxSWM/edit?usp=sharing"",""รวมที่ทำกิน!AD13"")"),1347.1)</f>
        <v>1347.1</v>
      </c>
      <c r="AH20" s="219">
        <f t="shared" ca="1" si="101"/>
        <v>44.903333333333336</v>
      </c>
      <c r="AI20" s="215">
        <f ca="1">IFERROR(__xludf.DUMMYFUNCTION("IMPORTRANGE(""https://docs.google.com/spreadsheets/d/1AGHcLOeeYFL3K4b9R1dSzyJy00PE_ra89DNTVfnxSWM/edit?usp=sharing"",""รวมที่ทำกิน!AE13"")"),250)</f>
        <v>250</v>
      </c>
      <c r="AJ20" s="215">
        <f ca="1">IFERROR(__xludf.DUMMYFUNCTION("IMPORTRANGE(""https://docs.google.com/spreadsheets/d/1AGHcLOeeYFL3K4b9R1dSzyJy00PE_ra89DNTVfnxSWM/edit?usp=sharing"",""รวมที่ทำกิน!AF13"")"),39)</f>
        <v>39</v>
      </c>
      <c r="AK20" s="215">
        <f ca="1">IFERROR(__xludf.DUMMYFUNCTION("IMPORTRANGE(""https://docs.google.com/spreadsheets/d/1AGHcLOeeYFL3K4b9R1dSzyJy00PE_ra89DNTVfnxSWM/edit?usp=sharing"",""รวมที่ทำกิน!AH13"")"),252.46)</f>
        <v>252.46</v>
      </c>
      <c r="AL20" s="220">
        <f t="shared" ca="1" si="103"/>
        <v>15.6</v>
      </c>
      <c r="AM20" s="215">
        <f ca="1">IFERROR(__xludf.DUMMYFUNCTION("IMPORTRANGE(""https://docs.google.com/spreadsheets/d/1AGHcLOeeYFL3K4b9R1dSzyJy00PE_ra89DNTVfnxSWM/edit?usp=sharing"",""รวมที่ทำกิน!AI13"")"),0)</f>
        <v>0</v>
      </c>
      <c r="AN20" s="215">
        <f ca="1">IFERROR(__xludf.DUMMYFUNCTION("IMPORTRANGE(""https://docs.google.com/spreadsheets/d/1AGHcLOeeYFL3K4b9R1dSzyJy00PE_ra89DNTVfnxSWM/edit?usp=sharing"",""รวมที่ทำกิน!AK13"")"),0)</f>
        <v>0</v>
      </c>
      <c r="AO20" s="220">
        <f t="shared" ca="1" si="22"/>
        <v>0</v>
      </c>
      <c r="AP20" s="215">
        <f ca="1">IFERROR(__xludf.DUMMYFUNCTION("IMPORTRANGE(""https://docs.google.com/spreadsheets/d/1AGHcLOeeYFL3K4b9R1dSzyJy00PE_ra89DNTVfnxSWM/edit?usp=sharing"",""รวมที่ทำกิน!AL13"")"),0)</f>
        <v>0</v>
      </c>
      <c r="AQ20" s="215">
        <f ca="1">IFERROR(__xludf.DUMMYFUNCTION("IMPORTRANGE(""https://docs.google.com/spreadsheets/d/1AGHcLOeeYFL3K4b9R1dSzyJy00PE_ra89DNTVfnxSWM/edit?usp=sharing"",""รวมที่ทำกิน!AN13"")"),0)</f>
        <v>0</v>
      </c>
      <c r="AR20" s="220">
        <f t="shared" ca="1" si="24"/>
        <v>0</v>
      </c>
      <c r="AS20" s="215">
        <f ca="1">IFERROR(__xludf.DUMMYFUNCTION("IMPORTRANGE(""https://docs.google.com/spreadsheets/d/1AGHcLOeeYFL3K4b9R1dSzyJy00PE_ra89DNTVfnxSWM/edit?usp=sharing"",""รวมที่ทำกิน!AO13"")"),1200)</f>
        <v>1200</v>
      </c>
      <c r="AT20" s="215">
        <f ca="1">IFERROR(__xludf.DUMMYFUNCTION("IMPORTRANGE(""https://docs.google.com/spreadsheets/d/1AGHcLOeeYFL3K4b9R1dSzyJy00PE_ra89DNTVfnxSWM/edit?usp=sharing"",""รวมที่ทำกิน!AP13"")"),99)</f>
        <v>99</v>
      </c>
      <c r="AU20" s="215">
        <f ca="1">IFERROR(__xludf.DUMMYFUNCTION("IMPORTRANGE(""https://docs.google.com/spreadsheets/d/1AGHcLOeeYFL3K4b9R1dSzyJy00PE_ra89DNTVfnxSWM/edit?usp=sharing"",""รวมที่ทำกิน!AR13"")"),1096.68)</f>
        <v>1096.68</v>
      </c>
      <c r="AV20" s="220">
        <f t="shared" ca="1" si="107"/>
        <v>91.39</v>
      </c>
      <c r="AW20" s="215">
        <f ca="1">IFERROR(__xludf.DUMMYFUNCTION("IMPORTRANGE(""https://docs.google.com/spreadsheets/d/1AGHcLOeeYFL3K4b9R1dSzyJy00PE_ra89DNTVfnxSWM/edit?usp=sharing"",""รวมที่ทำกิน!AS13"")"),180)</f>
        <v>180</v>
      </c>
      <c r="AX20" s="215">
        <f ca="1">IFERROR(__xludf.DUMMYFUNCTION("IMPORTRANGE(""https://docs.google.com/spreadsheets/d/1AGHcLOeeYFL3K4b9R1dSzyJy00PE_ra89DNTVfnxSWM/edit?usp=sharing"",""รวมที่ทำกิน!AT13"")"),38)</f>
        <v>38</v>
      </c>
      <c r="AY20" s="215">
        <f ca="1">IFERROR(__xludf.DUMMYFUNCTION("IMPORTRANGE(""https://docs.google.com/spreadsheets/d/1AGHcLOeeYFL3K4b9R1dSzyJy00PE_ra89DNTVfnxSWM/edit?usp=sharing"",""รวมที่ทำกิน!AV13"")"),677.03)</f>
        <v>677.03</v>
      </c>
      <c r="AZ20" s="220">
        <f t="shared" ca="1" si="109"/>
        <v>21.111111111111111</v>
      </c>
      <c r="BA20" s="215">
        <f ca="1">IFERROR(__xludf.DUMMYFUNCTION("IMPORTRANGE(""https://docs.google.com/spreadsheets/d/1AGHcLOeeYFL3K4b9R1dSzyJy00PE_ra89DNTVfnxSWM/edit?usp=sharing"",""รวมที่ทำกิน!AW13"")"),0)</f>
        <v>0</v>
      </c>
      <c r="BB20" s="215">
        <f ca="1">IFERROR(__xludf.DUMMYFUNCTION("IMPORTRANGE(""https://docs.google.com/spreadsheets/d/1AGHcLOeeYFL3K4b9R1dSzyJy00PE_ra89DNTVfnxSWM/edit?usp=sharing"",""รวมที่ทำกิน!AY13"")"),0)</f>
        <v>0</v>
      </c>
      <c r="BC20" s="220">
        <f t="shared" ca="1" si="30"/>
        <v>0</v>
      </c>
      <c r="BD20" s="215">
        <f ca="1">IFERROR(__xludf.DUMMYFUNCTION("IMPORTRANGE(""https://docs.google.com/spreadsheets/d/1AGHcLOeeYFL3K4b9R1dSzyJy00PE_ra89DNTVfnxSWM/edit?usp=sharing"",""รวมที่ทำกิน!AZ13"")"),25)</f>
        <v>25</v>
      </c>
      <c r="BE20" s="215">
        <f ca="1">IFERROR(__xludf.DUMMYFUNCTION("IMPORTRANGE(""https://docs.google.com/spreadsheets/d/1AGHcLOeeYFL3K4b9R1dSzyJy00PE_ra89DNTVfnxSWM/edit?usp=sharing"",""รวมที่ทำกิน!BB13"")"),485.88)</f>
        <v>485.88</v>
      </c>
      <c r="BF20" s="221">
        <f t="shared" ca="1" si="32"/>
        <v>13.888888888888889</v>
      </c>
    </row>
    <row r="21" spans="1:58" ht="24" customHeight="1">
      <c r="A21" s="73">
        <v>6</v>
      </c>
      <c r="B21" s="74" t="s">
        <v>45</v>
      </c>
      <c r="C21" s="75">
        <f t="shared" ca="1" si="0"/>
        <v>935350</v>
      </c>
      <c r="D21" s="76">
        <f t="shared" ca="1" si="112"/>
        <v>920350</v>
      </c>
      <c r="E21" s="77">
        <f ca="1">IFERROR(__xludf.DUMMYFUNCTION("IMPORTRANGE(""https://docs.google.com/spreadsheets/d/1C3CXT74ZlgGe6_JY_1olB1XN4rF0dxEuIIF-xsYjHgg/edit?usp=sharing"",""พรบ!BX25"")"),417600)</f>
        <v>417600</v>
      </c>
      <c r="F21" s="77">
        <f ca="1">IFERROR(__xludf.DUMMYFUNCTION("IMPORTRANGE(""https://docs.google.com/spreadsheets/d/1C3CXT74ZlgGe6_JY_1olB1XN4rF0dxEuIIF-xsYjHgg/edit?usp=sharing"",""พรบ!BY25"")"),502750)</f>
        <v>502750</v>
      </c>
      <c r="G21" s="77">
        <f ca="1">IFERROR(__xludf.DUMMYFUNCTION("IMPORTRANGE(""https://docs.google.com/spreadsheets/d/1Yj_ptqi66GCucihVvJfMjLAmec39IyEx_6qawtMGysU/edit?usp=sharing"",""สบก!DJ25"")"),15000)</f>
        <v>15000</v>
      </c>
      <c r="H21" s="77">
        <f ca="1">IFERROR(__xludf.DUMMYFUNCTION("IMPORTRANGE(""https://docs.google.com/spreadsheets/d/1Yj_ptqi66GCucihVvJfMjLAmec39IyEx_6qawtMGysU/edit?usp=shDLing"",""สบก!DL25"")"),641180)</f>
        <v>641180</v>
      </c>
      <c r="I21" s="77">
        <f t="shared" ca="1" si="3"/>
        <v>439520</v>
      </c>
      <c r="J21" s="77">
        <f t="shared" ca="1" si="4"/>
        <v>46.989896830063614</v>
      </c>
      <c r="K21" s="77">
        <f ca="1">IFERROR(__xludf.DUMMYFUNCTION("IMPORTRANGE(""https://docs.google.com/spreadsheets/d/1Yj_ptqi66GCucihVvJfMjLAmec39IyEx_6qawtMGysU/edit?usp=sharing"",""สบก!DM25"")"),424520)</f>
        <v>424520</v>
      </c>
      <c r="L21" s="137">
        <f t="shared" ca="1" si="5"/>
        <v>46.125930352583254</v>
      </c>
      <c r="M21" s="137">
        <f t="shared" ca="1" si="6"/>
        <v>66.209176830219278</v>
      </c>
      <c r="N21" s="137">
        <f ca="1">IFERROR(__xludf.DUMMYFUNCTION("IMPORTRANGE(""https://docs.google.com/spreadsheets/d/1Yj_ptqi66GCucihVvJfMjLAmec39IyEx_6qawtMGysU/edit?usp=sharing"",""สบก!DN25"")"),15000)</f>
        <v>15000</v>
      </c>
      <c r="O21" s="137">
        <f t="shared" ca="1" si="7"/>
        <v>100</v>
      </c>
      <c r="P21" s="77">
        <f ca="1">IFERROR(__xludf.DUMMYFUNCTION("IMPORTRANGE(""https://docs.google.com/spreadsheets/d/1C3CXT74ZlgGe6_JY_1olB1XN4rF0dxEuIIF-xsYjHgg/edit?usp=sharing"",""พรบ!CA25"")"),480)</f>
        <v>480</v>
      </c>
      <c r="Q21" s="77">
        <f ca="1">IFERROR(__xludf.DUMMYFUNCTION("IMPORTRANGE(""https://docs.google.com/spreadsheets/d/1C3CXT74ZlgGe6_JY_1olB1XN4rF0dxEuIIF-xsYjHgg/edit?usp=sharing"",""พรบ!BZ25"")"),2000)</f>
        <v>2000</v>
      </c>
      <c r="R21" s="218">
        <f t="shared" ca="1" si="95"/>
        <v>288</v>
      </c>
      <c r="S21" s="77">
        <f ca="1">IFERROR(__xludf.DUMMYFUNCTION("IMPORTRANGE(""https://docs.google.com/spreadsheets/d/11923uPwbBZFjjGgGUA6NLw09EwE0CqkOc4q9oUmW1yo/edit?usp=sharing"",""น่าน!j234"")"),267)</f>
        <v>267</v>
      </c>
      <c r="T21" s="77">
        <f ca="1">IFERROR(__xludf.DUMMYFUNCTION("IMPORTRANGE(""https://docs.google.com/spreadsheets/d/11923uPwbBZFjjGgGUA6NLw09EwE0CqkOc4q9oUmW1yo/edit?usp=sharing"",""น่าน!j235"")"),886.08)</f>
        <v>886.08</v>
      </c>
      <c r="U21" s="137">
        <f t="shared" ca="1" si="10"/>
        <v>44.304000000000002</v>
      </c>
      <c r="V21" s="77">
        <f ca="1">IFERROR(__xludf.DUMMYFUNCTION("IMPORTRANGE(""https://docs.google.com/spreadsheets/d/11923uPwbBZFjjGgGUA6NLw09EwE0CqkOc4q9oUmW1yo/edit?usp=sharing"",""น่าน!j236"")"),314)</f>
        <v>314</v>
      </c>
      <c r="W21" s="77">
        <f ca="1">IFERROR(__xludf.DUMMYFUNCTION("IMPORTRANGE(""https://docs.google.com/spreadsheets/d/11923uPwbBZFjjGgGUA6NLw09EwE0CqkOc4q9oUmW1yo/edit?usp=sharing"",""น่าน!j237"")"),1321.69)</f>
        <v>1321.69</v>
      </c>
      <c r="X21" s="137">
        <f t="shared" ca="1" si="12"/>
        <v>65.416666666666671</v>
      </c>
      <c r="Y21" s="77">
        <f ca="1">IFERROR(__xludf.DUMMYFUNCTION("IMPORTRANGE(""https://docs.google.com/spreadsheets/d/11923uPwbBZFjjGgGUA6NLw09EwE0CqkOc4q9oUmW1yo/edit?usp=sharing"",""น่าน!j238"")"),2)</f>
        <v>2</v>
      </c>
      <c r="Z21" s="77">
        <f ca="1">IFERROR(__xludf.DUMMYFUNCTION("IMPORTRANGE(""https://docs.google.com/spreadsheets/d/11923uPwbBZFjjGgGUA6NLw09EwE0CqkOc4q9oUmW1yo/edit?usp=sharing"",""น่าน!j239"")"),17.52)</f>
        <v>17.52</v>
      </c>
      <c r="AA21" s="137">
        <f t="shared" ca="1" si="14"/>
        <v>0.41666666666666669</v>
      </c>
      <c r="AB21" s="77">
        <f ca="1">IFERROR(__xludf.DUMMYFUNCTION("IMPORTRANGE(""https://docs.google.com/spreadsheets/d/11923uPwbBZFjjGgGUA6NLw09EwE0CqkOc4q9oUmW1yo/edit?usp=sharing"",""น่าน!j240"")"),205)</f>
        <v>205</v>
      </c>
      <c r="AC21" s="77">
        <f ca="1">IFERROR(__xludf.DUMMYFUNCTION("IMPORTRANGE(""https://docs.google.com/spreadsheets/d/11923uPwbBZFjjGgGUA6NLw09EwE0CqkOc4q9oUmW1yo/edit?usp=sharing"",""น่าน!j241"")"),932.119999999999)</f>
        <v>932.11999999999898</v>
      </c>
      <c r="AD21" s="219">
        <f t="shared" ca="1" si="16"/>
        <v>42.708333333333336</v>
      </c>
      <c r="AE21" s="215">
        <f ca="1">IFERROR(__xludf.DUMMYFUNCTION("IMPORTRANGE(""https://docs.google.com/spreadsheets/d/1AGHcLOeeYFL3K4b9R1dSzyJy00PE_ra89DNTVfnxSWM/edit?usp=sharing"",""รวมที่ทำกิน!AA14"")"),1000)</f>
        <v>1000</v>
      </c>
      <c r="AF21" s="215">
        <f ca="1">IFERROR(__xludf.DUMMYFUNCTION("IMPORTRANGE(""https://docs.google.com/spreadsheets/d/1AGHcLOeeYFL3K4b9R1dSzyJy00PE_ra89DNTVfnxSWM/edit?usp=sharing"",""รวมที่ทำกิน!AB14"")"),155)</f>
        <v>155</v>
      </c>
      <c r="AG21" s="215">
        <f ca="1">IFERROR(__xludf.DUMMYFUNCTION("IMPORTRANGE(""https://docs.google.com/spreadsheets/d/1AGHcLOeeYFL3K4b9R1dSzyJy00PE_ra89DNTVfnxSWM/edit?usp=sharing"",""รวมที่ทำกิน!AD14"")"),585.96)</f>
        <v>585.96</v>
      </c>
      <c r="AH21" s="219">
        <f t="shared" ca="1" si="101"/>
        <v>58.595999999999997</v>
      </c>
      <c r="AI21" s="215">
        <f ca="1">IFERROR(__xludf.DUMMYFUNCTION("IMPORTRANGE(""https://docs.google.com/spreadsheets/d/1AGHcLOeeYFL3K4b9R1dSzyJy00PE_ra89DNTVfnxSWM/edit?usp=sharing"",""รวมที่ทำกิน!AE14"")"),200)</f>
        <v>200</v>
      </c>
      <c r="AJ21" s="215">
        <f ca="1">IFERROR(__xludf.DUMMYFUNCTION("IMPORTRANGE(""https://docs.google.com/spreadsheets/d/1AGHcLOeeYFL3K4b9R1dSzyJy00PE_ra89DNTVfnxSWM/edit?usp=sharing"",""รวมที่ทำกิน!AF14"")"),106)</f>
        <v>106</v>
      </c>
      <c r="AK21" s="215">
        <f ca="1">IFERROR(__xludf.DUMMYFUNCTION("IMPORTRANGE(""https://docs.google.com/spreadsheets/d/1AGHcLOeeYFL3K4b9R1dSzyJy00PE_ra89DNTVfnxSWM/edit?usp=sharing"",""รวมที่ทำกิน!AH14"")"),329.09)</f>
        <v>329.09</v>
      </c>
      <c r="AL21" s="220">
        <f t="shared" ca="1" si="103"/>
        <v>53</v>
      </c>
      <c r="AM21" s="215">
        <f ca="1">IFERROR(__xludf.DUMMYFUNCTION("IMPORTRANGE(""https://docs.google.com/spreadsheets/d/1AGHcLOeeYFL3K4b9R1dSzyJy00PE_ra89DNTVfnxSWM/edit?usp=sharing"",""รวมที่ทำกิน!AI14"")"),0)</f>
        <v>0</v>
      </c>
      <c r="AN21" s="215">
        <f ca="1">IFERROR(__xludf.DUMMYFUNCTION("IMPORTRANGE(""https://docs.google.com/spreadsheets/d/1AGHcLOeeYFL3K4b9R1dSzyJy00PE_ra89DNTVfnxSWM/edit?usp=sharing"",""รวมที่ทำกิน!AK14"")"),0)</f>
        <v>0</v>
      </c>
      <c r="AO21" s="220">
        <f t="shared" ca="1" si="22"/>
        <v>0</v>
      </c>
      <c r="AP21" s="215">
        <f ca="1">IFERROR(__xludf.DUMMYFUNCTION("IMPORTRANGE(""https://docs.google.com/spreadsheets/d/1AGHcLOeeYFL3K4b9R1dSzyJy00PE_ra89DNTVfnxSWM/edit?usp=sharing"",""รวมที่ทำกิน!AL14"")"),37)</f>
        <v>37</v>
      </c>
      <c r="AQ21" s="215">
        <f ca="1">IFERROR(__xludf.DUMMYFUNCTION("IMPORTRANGE(""https://docs.google.com/spreadsheets/d/1AGHcLOeeYFL3K4b9R1dSzyJy00PE_ra89DNTVfnxSWM/edit?usp=sharing"",""รวมที่ทำกิน!AN14"")"),107.19)</f>
        <v>107.19</v>
      </c>
      <c r="AR21" s="220">
        <f t="shared" ca="1" si="24"/>
        <v>18.5</v>
      </c>
      <c r="AS21" s="215">
        <f ca="1">IFERROR(__xludf.DUMMYFUNCTION("IMPORTRANGE(""https://docs.google.com/spreadsheets/d/1AGHcLOeeYFL3K4b9R1dSzyJy00PE_ra89DNTVfnxSWM/edit?usp=sharing"",""รวมที่ทำกิน!AO14"")"),1000)</f>
        <v>1000</v>
      </c>
      <c r="AT21" s="215">
        <f ca="1">IFERROR(__xludf.DUMMYFUNCTION("IMPORTRANGE(""https://docs.google.com/spreadsheets/d/1AGHcLOeeYFL3K4b9R1dSzyJy00PE_ra89DNTVfnxSWM/edit?usp=sharing"",""รวมที่ทำกิน!AP14"")"),112)</f>
        <v>112</v>
      </c>
      <c r="AU21" s="215">
        <f ca="1">IFERROR(__xludf.DUMMYFUNCTION("IMPORTRANGE(""https://docs.google.com/spreadsheets/d/1AGHcLOeeYFL3K4b9R1dSzyJy00PE_ra89DNTVfnxSWM/edit?usp=sharing"",""รวมที่ทำกิน!AR14"")"),300.12)</f>
        <v>300.12</v>
      </c>
      <c r="AV21" s="220">
        <f t="shared" ca="1" si="107"/>
        <v>30.012</v>
      </c>
      <c r="AW21" s="215">
        <f ca="1">IFERROR(__xludf.DUMMYFUNCTION("IMPORTRANGE(""https://docs.google.com/spreadsheets/d/1AGHcLOeeYFL3K4b9R1dSzyJy00PE_ra89DNTVfnxSWM/edit?usp=sharing"",""รวมที่ทำกิน!AS14"")"),280)</f>
        <v>280</v>
      </c>
      <c r="AX21" s="215">
        <f ca="1">IFERROR(__xludf.DUMMYFUNCTION("IMPORTRANGE(""https://docs.google.com/spreadsheets/d/1AGHcLOeeYFL3K4b9R1dSzyJy00PE_ra89DNTVfnxSWM/edit?usp=sharing"",""รวมที่ทำกิน!AT14"")"),208)</f>
        <v>208</v>
      </c>
      <c r="AY21" s="215">
        <f ca="1">IFERROR(__xludf.DUMMYFUNCTION("IMPORTRANGE(""https://docs.google.com/spreadsheets/d/1AGHcLOeeYFL3K4b9R1dSzyJy00PE_ra89DNTVfnxSWM/edit?usp=sharing"",""รวมที่ทำกิน!AV14"")"),992.6)</f>
        <v>992.6</v>
      </c>
      <c r="AZ21" s="220">
        <f t="shared" ca="1" si="109"/>
        <v>74.285714285714292</v>
      </c>
      <c r="BA21" s="215">
        <f ca="1">IFERROR(__xludf.DUMMYFUNCTION("IMPORTRANGE(""https://docs.google.com/spreadsheets/d/1AGHcLOeeYFL3K4b9R1dSzyJy00PE_ra89DNTVfnxSWM/edit?usp=sharing"",""รวมที่ทำกิน!AW14"")"),2)</f>
        <v>2</v>
      </c>
      <c r="BB21" s="215">
        <f ca="1">IFERROR(__xludf.DUMMYFUNCTION("IMPORTRANGE(""https://docs.google.com/spreadsheets/d/1AGHcLOeeYFL3K4b9R1dSzyJy00PE_ra89DNTVfnxSWM/edit?usp=sharing"",""รวมที่ทำกิน!AY14"")"),17.52)</f>
        <v>17.52</v>
      </c>
      <c r="BC21" s="220">
        <f t="shared" ca="1" si="30"/>
        <v>0.7142857142857143</v>
      </c>
      <c r="BD21" s="215">
        <f ca="1">IFERROR(__xludf.DUMMYFUNCTION("IMPORTRANGE(""https://docs.google.com/spreadsheets/d/1AGHcLOeeYFL3K4b9R1dSzyJy00PE_ra89DNTVfnxSWM/edit?usp=sharing"",""รวมที่ทำกิน!AZ14"")"),168)</f>
        <v>168</v>
      </c>
      <c r="BE21" s="215">
        <f ca="1">IFERROR(__xludf.DUMMYFUNCTION("IMPORTRANGE(""https://docs.google.com/spreadsheets/d/1AGHcLOeeYFL3K4b9R1dSzyJy00PE_ra89DNTVfnxSWM/edit?usp=sharing"",""รวมที่ทำกิน!BB14"")"),824.93)</f>
        <v>824.93</v>
      </c>
      <c r="BF21" s="221">
        <f t="shared" ca="1" si="32"/>
        <v>60</v>
      </c>
    </row>
    <row r="22" spans="1:58" ht="24" customHeight="1">
      <c r="A22" s="73">
        <v>7</v>
      </c>
      <c r="B22" s="74" t="s">
        <v>46</v>
      </c>
      <c r="C22" s="75">
        <f t="shared" ca="1" si="0"/>
        <v>613050</v>
      </c>
      <c r="D22" s="76">
        <f t="shared" ca="1" si="112"/>
        <v>598050</v>
      </c>
      <c r="E22" s="77">
        <f ca="1">IFERROR(__xludf.DUMMYFUNCTION("IMPORTRANGE(""https://docs.google.com/spreadsheets/d/1C3CXT74ZlgGe6_JY_1olB1XN4rF0dxEuIIF-xsYjHgg/edit?usp=sharing"",""พรบ!BX26"")"),194400)</f>
        <v>194400</v>
      </c>
      <c r="F22" s="77">
        <f ca="1">IFERROR(__xludf.DUMMYFUNCTION("IMPORTRANGE(""https://docs.google.com/spreadsheets/d/1C3CXT74ZlgGe6_JY_1olB1XN4rF0dxEuIIF-xsYjHgg/edit?usp=sharing"",""พรบ!BY26"")"),403650)</f>
        <v>403650</v>
      </c>
      <c r="G22" s="77">
        <f ca="1">IFERROR(__xludf.DUMMYFUNCTION("IMPORTRANGE(""https://docs.google.com/spreadsheets/d/1Yj_ptqi66GCucihVvJfMjLAmec39IyEx_6qawtMGysU/edit?usp=sharing"",""สบก!DJ26"")"),15000)</f>
        <v>15000</v>
      </c>
      <c r="H22" s="77">
        <f ca="1">IFERROR(__xludf.DUMMYFUNCTION("IMPORTRANGE(""https://docs.google.com/spreadsheets/d/1Yj_ptqi66GCucihVvJfMjLAmec39IyEx_6qawtMGysU/edit?usp=shDLing"",""สบก!DL26"")"),426230)</f>
        <v>426230</v>
      </c>
      <c r="I22" s="77">
        <f t="shared" ca="1" si="3"/>
        <v>280721.7</v>
      </c>
      <c r="J22" s="77">
        <f t="shared" ca="1" si="4"/>
        <v>45.790995840469783</v>
      </c>
      <c r="K22" s="77">
        <f ca="1">IFERROR(__xludf.DUMMYFUNCTION("IMPORTRANGE(""https://docs.google.com/spreadsheets/d/1Yj_ptqi66GCucihVvJfMjLAmec39IyEx_6qawtMGysU/edit?usp=sharing"",""สบก!DM26"")"),265721.7)</f>
        <v>265721.7</v>
      </c>
      <c r="L22" s="137">
        <f t="shared" ca="1" si="5"/>
        <v>44.43135189365438</v>
      </c>
      <c r="M22" s="137">
        <f t="shared" ca="1" si="6"/>
        <v>62.342326912699718</v>
      </c>
      <c r="N22" s="137">
        <f ca="1">IFERROR(__xludf.DUMMYFUNCTION("IMPORTRANGE(""https://docs.google.com/spreadsheets/d/1Yj_ptqi66GCucihVvJfMjLAmec39IyEx_6qawtMGysU/edit?usp=sharing"",""สบก!DN26"")"),15000)</f>
        <v>15000</v>
      </c>
      <c r="O22" s="137">
        <f t="shared" ca="1" si="7"/>
        <v>100</v>
      </c>
      <c r="P22" s="77">
        <f ca="1">IFERROR(__xludf.DUMMYFUNCTION("IMPORTRANGE(""https://docs.google.com/spreadsheets/d/1C3CXT74ZlgGe6_JY_1olB1XN4rF0dxEuIIF-xsYjHgg/edit?usp=sharing"",""พรบ!CA26"")"),580)</f>
        <v>580</v>
      </c>
      <c r="Q22" s="77">
        <f ca="1">IFERROR(__xludf.DUMMYFUNCTION("IMPORTRANGE(""https://docs.google.com/spreadsheets/d/1C3CXT74ZlgGe6_JY_1olB1XN4rF0dxEuIIF-xsYjHgg/edit?usp=sharing"",""พรบ!BZ26"")"),2000)</f>
        <v>2000</v>
      </c>
      <c r="R22" s="218">
        <f t="shared" ca="1" si="95"/>
        <v>348</v>
      </c>
      <c r="S22" s="77">
        <f ca="1">IFERROR(__xludf.DUMMYFUNCTION("IMPORTRANGE(""https://docs.google.com/spreadsheets/d/11923uPwbBZFjjGgGUA6NLw09EwE0CqkOc4q9oUmW1yo/edit?usp=sharing"",""พะเยา!j234"")"),121)</f>
        <v>121</v>
      </c>
      <c r="T22" s="77">
        <f ca="1">IFERROR(__xludf.DUMMYFUNCTION("IMPORTRANGE(""https://docs.google.com/spreadsheets/d/11923uPwbBZFjjGgGUA6NLw09EwE0CqkOc4q9oUmW1yo/edit?usp=sharing"",""พะเยา!j235"")"),872.27)</f>
        <v>872.27</v>
      </c>
      <c r="U22" s="137">
        <f t="shared" ca="1" si="10"/>
        <v>43.613500000000002</v>
      </c>
      <c r="V22" s="77">
        <f ca="1">IFERROR(__xludf.DUMMYFUNCTION("IMPORTRANGE(""https://docs.google.com/spreadsheets/d/11923uPwbBZFjjGgGUA6NLw09EwE0CqkOc4q9oUmW1yo/edit?usp=sharing"",""พะเยา!j236"")"),315)</f>
        <v>315</v>
      </c>
      <c r="W22" s="77">
        <f ca="1">IFERROR(__xludf.DUMMYFUNCTION("IMPORTRANGE(""https://docs.google.com/spreadsheets/d/11923uPwbBZFjjGgGUA6NLw09EwE0CqkOc4q9oUmW1yo/edit?usp=sharing"",""พะเยา!j237"")"),2396.71)</f>
        <v>2396.71</v>
      </c>
      <c r="X22" s="137">
        <f t="shared" ca="1" si="12"/>
        <v>54.310344827586206</v>
      </c>
      <c r="Y22" s="77">
        <f ca="1">IFERROR(__xludf.DUMMYFUNCTION("IMPORTRANGE(""https://docs.google.com/spreadsheets/d/11923uPwbBZFjjGgGUA6NLw09EwE0CqkOc4q9oUmW1yo/edit?usp=sharing"",""พะเยา!j238"")"),0)</f>
        <v>0</v>
      </c>
      <c r="Z22" s="77">
        <f ca="1">IFERROR(__xludf.DUMMYFUNCTION("IMPORTRANGE(""https://docs.google.com/spreadsheets/d/11923uPwbBZFjjGgGUA6NLw09EwE0CqkOc4q9oUmW1yo/edit?usp=sharing"",""พะเยา!j239"")"),0)</f>
        <v>0</v>
      </c>
      <c r="AA22" s="137">
        <f t="shared" ca="1" si="14"/>
        <v>0</v>
      </c>
      <c r="AB22" s="77">
        <f ca="1">IFERROR(__xludf.DUMMYFUNCTION("IMPORTRANGE(""https://docs.google.com/spreadsheets/d/11923uPwbBZFjjGgGUA6NLw09EwE0CqkOc4q9oUmW1yo/edit?usp=sharing"",""พะเยา!j240"")"),298)</f>
        <v>298</v>
      </c>
      <c r="AC22" s="77">
        <f ca="1">IFERROR(__xludf.DUMMYFUNCTION("IMPORTRANGE(""https://docs.google.com/spreadsheets/d/11923uPwbBZFjjGgGUA6NLw09EwE0CqkOc4q9oUmW1yo/edit?usp=sharing"",""พะเยา!j241"")"),2161.88)</f>
        <v>2161.88</v>
      </c>
      <c r="AD22" s="219">
        <f t="shared" ca="1" si="16"/>
        <v>51.379310344827587</v>
      </c>
      <c r="AE22" s="215">
        <f ca="1">IFERROR(__xludf.DUMMYFUNCTION("IMPORTRANGE(""https://docs.google.com/spreadsheets/d/1AGHcLOeeYFL3K4b9R1dSzyJy00PE_ra89DNTVfnxSWM/edit?usp=sharing"",""รวมที่ทำกิน!AA15"")"),1000)</f>
        <v>1000</v>
      </c>
      <c r="AF22" s="215">
        <f ca="1">IFERROR(__xludf.DUMMYFUNCTION("IMPORTRANGE(""https://docs.google.com/spreadsheets/d/1AGHcLOeeYFL3K4b9R1dSzyJy00PE_ra89DNTVfnxSWM/edit?usp=sharing"",""รวมที่ทำกิน!AB15"")"),77)</f>
        <v>77</v>
      </c>
      <c r="AG22" s="215">
        <f ca="1">IFERROR(__xludf.DUMMYFUNCTION("IMPORTRANGE(""https://docs.google.com/spreadsheets/d/1AGHcLOeeYFL3K4b9R1dSzyJy00PE_ra89DNTVfnxSWM/edit?usp=sharing"",""รวมที่ทำกิน!AD15"")"),636.94)</f>
        <v>636.94000000000005</v>
      </c>
      <c r="AH22" s="219">
        <f t="shared" ca="1" si="101"/>
        <v>63.69400000000001</v>
      </c>
      <c r="AI22" s="215">
        <f ca="1">IFERROR(__xludf.DUMMYFUNCTION("IMPORTRANGE(""https://docs.google.com/spreadsheets/d/1AGHcLOeeYFL3K4b9R1dSzyJy00PE_ra89DNTVfnxSWM/edit?usp=sharing"",""รวมที่ทำกิน!AE15"")"),200)</f>
        <v>200</v>
      </c>
      <c r="AJ22" s="215">
        <f ca="1">IFERROR(__xludf.DUMMYFUNCTION("IMPORTRANGE(""https://docs.google.com/spreadsheets/d/1AGHcLOeeYFL3K4b9R1dSzyJy00PE_ra89DNTVfnxSWM/edit?usp=sharing"",""รวมที่ทำกิน!AF15"")"),27)</f>
        <v>27</v>
      </c>
      <c r="AK22" s="215">
        <f ca="1">IFERROR(__xludf.DUMMYFUNCTION("IMPORTRANGE(""https://docs.google.com/spreadsheets/d/1AGHcLOeeYFL3K4b9R1dSzyJy00PE_ra89DNTVfnxSWM/edit?usp=sharing"",""รวมที่ทำกิน!AH15"")"),265.74)</f>
        <v>265.74</v>
      </c>
      <c r="AL22" s="220">
        <f t="shared" ca="1" si="103"/>
        <v>13.5</v>
      </c>
      <c r="AM22" s="215">
        <f ca="1">IFERROR(__xludf.DUMMYFUNCTION("IMPORTRANGE(""https://docs.google.com/spreadsheets/d/1AGHcLOeeYFL3K4b9R1dSzyJy00PE_ra89DNTVfnxSWM/edit?usp=sharing"",""รวมที่ทำกิน!AI15"")"),0)</f>
        <v>0</v>
      </c>
      <c r="AN22" s="215">
        <f ca="1">IFERROR(__xludf.DUMMYFUNCTION("IMPORTRANGE(""https://docs.google.com/spreadsheets/d/1AGHcLOeeYFL3K4b9R1dSzyJy00PE_ra89DNTVfnxSWM/edit?usp=sharing"",""รวมที่ทำกิน!AK15"")"),0)</f>
        <v>0</v>
      </c>
      <c r="AO22" s="220">
        <f t="shared" ca="1" si="22"/>
        <v>0</v>
      </c>
      <c r="AP22" s="215">
        <f ca="1">IFERROR(__xludf.DUMMYFUNCTION("IMPORTRANGE(""https://docs.google.com/spreadsheets/d/1AGHcLOeeYFL3K4b9R1dSzyJy00PE_ra89DNTVfnxSWM/edit?usp=sharing"",""รวมที่ทำกิน!AL15"")"),1)</f>
        <v>1</v>
      </c>
      <c r="AQ22" s="215">
        <f ca="1">IFERROR(__xludf.DUMMYFUNCTION("IMPORTRANGE(""https://docs.google.com/spreadsheets/d/1AGHcLOeeYFL3K4b9R1dSzyJy00PE_ra89DNTVfnxSWM/edit?usp=sharing"",""รวมที่ทำกิน!AN15"")"),4.85)</f>
        <v>4.8499999999999996</v>
      </c>
      <c r="AR22" s="220">
        <f t="shared" ca="1" si="24"/>
        <v>0.5</v>
      </c>
      <c r="AS22" s="215">
        <f ca="1">IFERROR(__xludf.DUMMYFUNCTION("IMPORTRANGE(""https://docs.google.com/spreadsheets/d/1AGHcLOeeYFL3K4b9R1dSzyJy00PE_ra89DNTVfnxSWM/edit?usp=sharing"",""รวมที่ทำกิน!AO15"")"),1000)</f>
        <v>1000</v>
      </c>
      <c r="AT22" s="215">
        <f ca="1">IFERROR(__xludf.DUMMYFUNCTION("IMPORTRANGE(""https://docs.google.com/spreadsheets/d/1AGHcLOeeYFL3K4b9R1dSzyJy00PE_ra89DNTVfnxSWM/edit?usp=sharing"",""รวมที่ทำกิน!AP15"")"),44)</f>
        <v>44</v>
      </c>
      <c r="AU22" s="215">
        <f ca="1">IFERROR(__xludf.DUMMYFUNCTION("IMPORTRANGE(""https://docs.google.com/spreadsheets/d/1AGHcLOeeYFL3K4b9R1dSzyJy00PE_ra89DNTVfnxSWM/edit?usp=sharing"",""รวมที่ทำกิน!AR15"")"),235.33)</f>
        <v>235.33</v>
      </c>
      <c r="AV22" s="220">
        <f t="shared" ca="1" si="107"/>
        <v>23.533000000000001</v>
      </c>
      <c r="AW22" s="215">
        <f ca="1">IFERROR(__xludf.DUMMYFUNCTION("IMPORTRANGE(""https://docs.google.com/spreadsheets/d/1AGHcLOeeYFL3K4b9R1dSzyJy00PE_ra89DNTVfnxSWM/edit?usp=sharing"",""รวมที่ทำกิน!AS15"")"),380)</f>
        <v>380</v>
      </c>
      <c r="AX22" s="215">
        <f ca="1">IFERROR(__xludf.DUMMYFUNCTION("IMPORTRANGE(""https://docs.google.com/spreadsheets/d/1AGHcLOeeYFL3K4b9R1dSzyJy00PE_ra89DNTVfnxSWM/edit?usp=sharing"",""รวมที่ทำกิน!AT15"")"),288)</f>
        <v>288</v>
      </c>
      <c r="AY22" s="215">
        <f ca="1">IFERROR(__xludf.DUMMYFUNCTION("IMPORTRANGE(""https://docs.google.com/spreadsheets/d/1AGHcLOeeYFL3K4b9R1dSzyJy00PE_ra89DNTVfnxSWM/edit?usp=sharing"",""รวมที่ทำกิน!AV15"")"),2130.97)</f>
        <v>2130.9699999999998</v>
      </c>
      <c r="AZ22" s="220">
        <f t="shared" ca="1" si="109"/>
        <v>75.78947368421052</v>
      </c>
      <c r="BA22" s="215">
        <f ca="1">IFERROR(__xludf.DUMMYFUNCTION("IMPORTRANGE(""https://docs.google.com/spreadsheets/d/1AGHcLOeeYFL3K4b9R1dSzyJy00PE_ra89DNTVfnxSWM/edit?usp=sharing"",""รวมที่ทำกิน!AW15"")"),0)</f>
        <v>0</v>
      </c>
      <c r="BB22" s="215">
        <f ca="1">IFERROR(__xludf.DUMMYFUNCTION("IMPORTRANGE(""https://docs.google.com/spreadsheets/d/1AGHcLOeeYFL3K4b9R1dSzyJy00PE_ra89DNTVfnxSWM/edit?usp=sharing"",""รวมที่ทำกิน!AY15"")"),0)</f>
        <v>0</v>
      </c>
      <c r="BC22" s="220">
        <f t="shared" ca="1" si="30"/>
        <v>0</v>
      </c>
      <c r="BD22" s="215">
        <f ca="1">IFERROR(__xludf.DUMMYFUNCTION("IMPORTRANGE(""https://docs.google.com/spreadsheets/d/1AGHcLOeeYFL3K4b9R1dSzyJy00PE_ra89DNTVfnxSWM/edit?usp=sharing"",""รวมที่ทำกิน!AZ15"")"),297)</f>
        <v>297</v>
      </c>
      <c r="BE22" s="215">
        <f ca="1">IFERROR(__xludf.DUMMYFUNCTION("IMPORTRANGE(""https://docs.google.com/spreadsheets/d/1AGHcLOeeYFL3K4b9R1dSzyJy00PE_ra89DNTVfnxSWM/edit?usp=sharing"",""รวมที่ทำกิน!BB15"")"),2157.03)</f>
        <v>2157.0300000000002</v>
      </c>
      <c r="BF22" s="221">
        <f t="shared" ca="1" si="32"/>
        <v>78.15789473684211</v>
      </c>
    </row>
    <row r="23" spans="1:58" ht="24" customHeight="1">
      <c r="A23" s="73">
        <v>8</v>
      </c>
      <c r="B23" s="74" t="s">
        <v>47</v>
      </c>
      <c r="C23" s="75">
        <f t="shared" ca="1" si="0"/>
        <v>1253340</v>
      </c>
      <c r="D23" s="76">
        <f t="shared" ca="1" si="112"/>
        <v>1177740</v>
      </c>
      <c r="E23" s="77">
        <f ca="1">IFERROR(__xludf.DUMMYFUNCTION("IMPORTRANGE(""https://docs.google.com/spreadsheets/d/1C3CXT74ZlgGe6_JY_1olB1XN4rF0dxEuIIF-xsYjHgg/edit?usp=sharing"",""พรบ!BX27"")"),854600)</f>
        <v>854600</v>
      </c>
      <c r="F23" s="77">
        <f ca="1">IFERROR(__xludf.DUMMYFUNCTION("IMPORTRANGE(""https://docs.google.com/spreadsheets/d/1C3CXT74ZlgGe6_JY_1olB1XN4rF0dxEuIIF-xsYjHgg/edit?usp=sharing"",""พรบ!BY27"")"),323140)</f>
        <v>323140</v>
      </c>
      <c r="G23" s="77">
        <f ca="1">IFERROR(__xludf.DUMMYFUNCTION("IMPORTRANGE(""https://docs.google.com/spreadsheets/d/1Yj_ptqi66GCucihVvJfMjLAmec39IyEx_6qawtMGysU/edit?usp=sharing"",""สบก!DJ27"")"),75600)</f>
        <v>75600</v>
      </c>
      <c r="H23" s="77">
        <f ca="1">IFERROR(__xludf.DUMMYFUNCTION("IMPORTRANGE(""https://docs.google.com/spreadsheets/d/1Yj_ptqi66GCucihVvJfMjLAmec39IyEx_6qawtMGysU/edit?usp=shDLing"",""สบก!DL27"")"),856180)</f>
        <v>856180</v>
      </c>
      <c r="I23" s="77">
        <f t="shared" ca="1" si="3"/>
        <v>614110.99</v>
      </c>
      <c r="J23" s="77">
        <f t="shared" ca="1" si="4"/>
        <v>48.997956659804998</v>
      </c>
      <c r="K23" s="77">
        <f ca="1">IFERROR(__xludf.DUMMYFUNCTION("IMPORTRANGE(""https://docs.google.com/spreadsheets/d/1Yj_ptqi66GCucihVvJfMjLAmec39IyEx_6qawtMGysU/edit?usp=sharing"",""สบก!DM27"")"),538510.99)</f>
        <v>538510.99</v>
      </c>
      <c r="L23" s="137">
        <f t="shared" ca="1" si="5"/>
        <v>45.72409784842155</v>
      </c>
      <c r="M23" s="137">
        <f t="shared" ca="1" si="6"/>
        <v>62.89693639188021</v>
      </c>
      <c r="N23" s="137">
        <f ca="1">IFERROR(__xludf.DUMMYFUNCTION("IMPORTRANGE(""https://docs.google.com/spreadsheets/d/1Yj_ptqi66GCucihVvJfMjLAmec39IyEx_6qawtMGysU/edit?usp=sharing"",""สบก!DN27"")"),75600)</f>
        <v>75600</v>
      </c>
      <c r="O23" s="137">
        <f t="shared" ca="1" si="7"/>
        <v>100</v>
      </c>
      <c r="P23" s="77">
        <f ca="1">IFERROR(__xludf.DUMMYFUNCTION("IMPORTRANGE(""https://docs.google.com/spreadsheets/d/1C3CXT74ZlgGe6_JY_1olB1XN4rF0dxEuIIF-xsYjHgg/edit?usp=sharing"",""พรบ!CA27"")"),130)</f>
        <v>130</v>
      </c>
      <c r="Q23" s="77">
        <f ca="1">IFERROR(__xludf.DUMMYFUNCTION("IMPORTRANGE(""https://docs.google.com/spreadsheets/d/1C3CXT74ZlgGe6_JY_1olB1XN4rF0dxEuIIF-xsYjHgg/edit?usp=sharing"",""พรบ!BZ27"")"),1000)</f>
        <v>1000</v>
      </c>
      <c r="R23" s="218">
        <f t="shared" ca="1" si="95"/>
        <v>78</v>
      </c>
      <c r="S23" s="77">
        <f ca="1">IFERROR(__xludf.DUMMYFUNCTION("IMPORTRANGE(""https://docs.google.com/spreadsheets/d/11923uPwbBZFjjGgGUA6NLw09EwE0CqkOc4q9oUmW1yo/edit?usp=sharing"",""พิจิตร!j234"")"),43)</f>
        <v>43</v>
      </c>
      <c r="T23" s="77">
        <f ca="1">IFERROR(__xludf.DUMMYFUNCTION("IMPORTRANGE(""https://docs.google.com/spreadsheets/d/11923uPwbBZFjjGgGUA6NLw09EwE0CqkOc4q9oUmW1yo/edit?usp=sharing"",""พิจิตร!j235"")"),394.49)</f>
        <v>394.49</v>
      </c>
      <c r="U23" s="137">
        <f t="shared" ca="1" si="10"/>
        <v>39.448999999999998</v>
      </c>
      <c r="V23" s="77">
        <f ca="1">IFERROR(__xludf.DUMMYFUNCTION("IMPORTRANGE(""https://docs.google.com/spreadsheets/d/11923uPwbBZFjjGgGUA6NLw09EwE0CqkOc4q9oUmW1yo/edit?usp=sharing"",""พิจิตร!j236"")"),93)</f>
        <v>93</v>
      </c>
      <c r="W23" s="77">
        <f ca="1">IFERROR(__xludf.DUMMYFUNCTION("IMPORTRANGE(""https://docs.google.com/spreadsheets/d/11923uPwbBZFjjGgGUA6NLw09EwE0CqkOc4q9oUmW1yo/edit?usp=sharing"",""พิจิตร!j237"")"),1199.45)</f>
        <v>1199.45</v>
      </c>
      <c r="X23" s="137">
        <f t="shared" ca="1" si="12"/>
        <v>71.538461538461533</v>
      </c>
      <c r="Y23" s="77">
        <f ca="1">IFERROR(__xludf.DUMMYFUNCTION("IMPORTRANGE(""https://docs.google.com/spreadsheets/d/11923uPwbBZFjjGgGUA6NLw09EwE0CqkOc4q9oUmW1yo/edit?usp=sharing"",""พิจิตร!j238"")"),0)</f>
        <v>0</v>
      </c>
      <c r="Z23" s="77">
        <f ca="1">IFERROR(__xludf.DUMMYFUNCTION("IMPORTRANGE(""https://docs.google.com/spreadsheets/d/11923uPwbBZFjjGgGUA6NLw09EwE0CqkOc4q9oUmW1yo/edit?usp=sharing"",""พิจิตร!j239"")"),0)</f>
        <v>0</v>
      </c>
      <c r="AA23" s="137">
        <f t="shared" ca="1" si="14"/>
        <v>0</v>
      </c>
      <c r="AB23" s="77">
        <f ca="1">IFERROR(__xludf.DUMMYFUNCTION("IMPORTRANGE(""https://docs.google.com/spreadsheets/d/11923uPwbBZFjjGgGUA6NLw09EwE0CqkOc4q9oUmW1yo/edit?usp=sharing"",""พิจิตร!j240"")"),56)</f>
        <v>56</v>
      </c>
      <c r="AC23" s="77">
        <f ca="1">IFERROR(__xludf.DUMMYFUNCTION("IMPORTRANGE(""https://docs.google.com/spreadsheets/d/11923uPwbBZFjjGgGUA6NLw09EwE0CqkOc4q9oUmW1yo/edit?usp=sharing"",""พิจิตร!j241"")"),801.81)</f>
        <v>801.81</v>
      </c>
      <c r="AD23" s="219">
        <f t="shared" ca="1" si="16"/>
        <v>43.07692307692308</v>
      </c>
      <c r="AE23" s="215">
        <f ca="1">IFERROR(__xludf.DUMMYFUNCTION("IMPORTRANGE(""https://docs.google.com/spreadsheets/d/1AGHcLOeeYFL3K4b9R1dSzyJy00PE_ra89DNTVfnxSWM/edit?usp=sharing"",""รวมที่ทำกิน!AA16"")"),360)</f>
        <v>360</v>
      </c>
      <c r="AF23" s="215">
        <f ca="1">IFERROR(__xludf.DUMMYFUNCTION("IMPORTRANGE(""https://docs.google.com/spreadsheets/d/1AGHcLOeeYFL3K4b9R1dSzyJy00PE_ra89DNTVfnxSWM/edit?usp=sharing"",""รวมที่ทำกิน!AB16"")"),5)</f>
        <v>5</v>
      </c>
      <c r="AG23" s="215">
        <f ca="1">IFERROR(__xludf.DUMMYFUNCTION("IMPORTRANGE(""https://docs.google.com/spreadsheets/d/1AGHcLOeeYFL3K4b9R1dSzyJy00PE_ra89DNTVfnxSWM/edit?usp=sharing"",""รวมที่ทำกิน!AD16"")"),18.2)</f>
        <v>18.2</v>
      </c>
      <c r="AH23" s="219">
        <f t="shared" ca="1" si="101"/>
        <v>5.0555555555555554</v>
      </c>
      <c r="AI23" s="215">
        <f ca="1">IFERROR(__xludf.DUMMYFUNCTION("IMPORTRANGE(""https://docs.google.com/spreadsheets/d/1AGHcLOeeYFL3K4b9R1dSzyJy00PE_ra89DNTVfnxSWM/edit?usp=sharing"",""รวมที่ทำกิน!AE16"")"),30)</f>
        <v>30</v>
      </c>
      <c r="AJ23" s="215">
        <f ca="1">IFERROR(__xludf.DUMMYFUNCTION("IMPORTRANGE(""https://docs.google.com/spreadsheets/d/1AGHcLOeeYFL3K4b9R1dSzyJy00PE_ra89DNTVfnxSWM/edit?usp=sharing"",""รวมที่ทำกิน!AF16"")"),2)</f>
        <v>2</v>
      </c>
      <c r="AK23" s="215">
        <f ca="1">IFERROR(__xludf.DUMMYFUNCTION("IMPORTRANGE(""https://docs.google.com/spreadsheets/d/1AGHcLOeeYFL3K4b9R1dSzyJy00PE_ra89DNTVfnxSWM/edit?usp=sharing"",""รวมที่ทำกิน!AH16"")"),34.52)</f>
        <v>34.520000000000003</v>
      </c>
      <c r="AL23" s="220">
        <f t="shared" ca="1" si="103"/>
        <v>6.666666666666667</v>
      </c>
      <c r="AM23" s="215">
        <f ca="1">IFERROR(__xludf.DUMMYFUNCTION("IMPORTRANGE(""https://docs.google.com/spreadsheets/d/1AGHcLOeeYFL3K4b9R1dSzyJy00PE_ra89DNTVfnxSWM/edit?usp=sharing"",""รวมที่ทำกิน!AI16"")"),0)</f>
        <v>0</v>
      </c>
      <c r="AN23" s="215">
        <f ca="1">IFERROR(__xludf.DUMMYFUNCTION("IMPORTRANGE(""https://docs.google.com/spreadsheets/d/1AGHcLOeeYFL3K4b9R1dSzyJy00PE_ra89DNTVfnxSWM/edit?usp=sharing"",""รวมที่ทำกิน!AK16"")"),0)</f>
        <v>0</v>
      </c>
      <c r="AO23" s="220">
        <f t="shared" ca="1" si="22"/>
        <v>0</v>
      </c>
      <c r="AP23" s="215">
        <f ca="1">IFERROR(__xludf.DUMMYFUNCTION("IMPORTRANGE(""https://docs.google.com/spreadsheets/d/1AGHcLOeeYFL3K4b9R1dSzyJy00PE_ra89DNTVfnxSWM/edit?usp=sharing"",""รวมที่ทำกิน!AL16"")"),2)</f>
        <v>2</v>
      </c>
      <c r="AQ23" s="215">
        <f ca="1">IFERROR(__xludf.DUMMYFUNCTION("IMPORTRANGE(""https://docs.google.com/spreadsheets/d/1AGHcLOeeYFL3K4b9R1dSzyJy00PE_ra89DNTVfnxSWM/edit?usp=sharing"",""รวมที่ทำกิน!AN16"")"),34.52)</f>
        <v>34.520000000000003</v>
      </c>
      <c r="AR23" s="220">
        <f t="shared" ca="1" si="24"/>
        <v>6.666666666666667</v>
      </c>
      <c r="AS23" s="215">
        <f ca="1">IFERROR(__xludf.DUMMYFUNCTION("IMPORTRANGE(""https://docs.google.com/spreadsheets/d/1AGHcLOeeYFL3K4b9R1dSzyJy00PE_ra89DNTVfnxSWM/edit?usp=sharing"",""รวมที่ทำกิน!AO16"")"),640)</f>
        <v>640</v>
      </c>
      <c r="AT23" s="215">
        <f ca="1">IFERROR(__xludf.DUMMYFUNCTION("IMPORTRANGE(""https://docs.google.com/spreadsheets/d/1AGHcLOeeYFL3K4b9R1dSzyJy00PE_ra89DNTVfnxSWM/edit?usp=sharing"",""รวมที่ทำกิน!AP16"")"),38)</f>
        <v>38</v>
      </c>
      <c r="AU23" s="215">
        <f ca="1">IFERROR(__xludf.DUMMYFUNCTION("IMPORTRANGE(""https://docs.google.com/spreadsheets/d/1AGHcLOeeYFL3K4b9R1dSzyJy00PE_ra89DNTVfnxSWM/edit?usp=sharing"",""รวมที่ทำกิน!AR16"")"),376.29)</f>
        <v>376.29</v>
      </c>
      <c r="AV23" s="220">
        <f t="shared" ca="1" si="107"/>
        <v>58.795312500000001</v>
      </c>
      <c r="AW23" s="215">
        <f ca="1">IFERROR(__xludf.DUMMYFUNCTION("IMPORTRANGE(""https://docs.google.com/spreadsheets/d/1AGHcLOeeYFL3K4b9R1dSzyJy00PE_ra89DNTVfnxSWM/edit?usp=sharing"",""รวมที่ทำกิน!AS16"")"),100)</f>
        <v>100</v>
      </c>
      <c r="AX23" s="215">
        <f ca="1">IFERROR(__xludf.DUMMYFUNCTION("IMPORTRANGE(""https://docs.google.com/spreadsheets/d/1AGHcLOeeYFL3K4b9R1dSzyJy00PE_ra89DNTVfnxSWM/edit?usp=sharing"",""รวมที่ทำกิน!AT16"")"),91)</f>
        <v>91</v>
      </c>
      <c r="AY23" s="215">
        <f ca="1">IFERROR(__xludf.DUMMYFUNCTION("IMPORTRANGE(""https://docs.google.com/spreadsheets/d/1AGHcLOeeYFL3K4b9R1dSzyJy00PE_ra89DNTVfnxSWM/edit?usp=sharing"",""รวมที่ทำกิน!AV16"")"),1164.93)</f>
        <v>1164.93</v>
      </c>
      <c r="AZ23" s="220">
        <f t="shared" ca="1" si="109"/>
        <v>91</v>
      </c>
      <c r="BA23" s="215">
        <f ca="1">IFERROR(__xludf.DUMMYFUNCTION("IMPORTRANGE(""https://docs.google.com/spreadsheets/d/1AGHcLOeeYFL3K4b9R1dSzyJy00PE_ra89DNTVfnxSWM/edit?usp=sharing"",""รวมที่ทำกิน!AW16"")"),0)</f>
        <v>0</v>
      </c>
      <c r="BB23" s="215">
        <f ca="1">IFERROR(__xludf.DUMMYFUNCTION("IMPORTRANGE(""https://docs.google.com/spreadsheets/d/1AGHcLOeeYFL3K4b9R1dSzyJy00PE_ra89DNTVfnxSWM/edit?usp=sharing"",""รวมที่ทำกิน!AY16"")"),0)</f>
        <v>0</v>
      </c>
      <c r="BC23" s="220">
        <f t="shared" ca="1" si="30"/>
        <v>0</v>
      </c>
      <c r="BD23" s="215">
        <f ca="1">IFERROR(__xludf.DUMMYFUNCTION("IMPORTRANGE(""https://docs.google.com/spreadsheets/d/1AGHcLOeeYFL3K4b9R1dSzyJy00PE_ra89DNTVfnxSWM/edit?usp=sharing"",""รวมที่ทำกิน!AZ16"")"),54)</f>
        <v>54</v>
      </c>
      <c r="BE23" s="215">
        <f ca="1">IFERROR(__xludf.DUMMYFUNCTION("IMPORTRANGE(""https://docs.google.com/spreadsheets/d/1AGHcLOeeYFL3K4b9R1dSzyJy00PE_ra89DNTVfnxSWM/edit?usp=sharing"",""รวมที่ทำกิน!BB16"")"),767.29)</f>
        <v>767.29</v>
      </c>
      <c r="BF23" s="221">
        <f t="shared" ca="1" si="32"/>
        <v>54</v>
      </c>
    </row>
    <row r="24" spans="1:58" ht="24" customHeight="1">
      <c r="A24" s="73">
        <v>9</v>
      </c>
      <c r="B24" s="74" t="s">
        <v>48</v>
      </c>
      <c r="C24" s="75">
        <f t="shared" ca="1" si="0"/>
        <v>693330</v>
      </c>
      <c r="D24" s="76">
        <f t="shared" ca="1" si="112"/>
        <v>678330</v>
      </c>
      <c r="E24" s="77">
        <f ca="1">IFERROR(__xludf.DUMMYFUNCTION("IMPORTRANGE(""https://docs.google.com/spreadsheets/d/1C3CXT74ZlgGe6_JY_1olB1XN4rF0dxEuIIF-xsYjHgg/edit?usp=sharing"",""พรบ!BX28"")"),306000)</f>
        <v>306000</v>
      </c>
      <c r="F24" s="77">
        <f ca="1">IFERROR(__xludf.DUMMYFUNCTION("IMPORTRANGE(""https://docs.google.com/spreadsheets/d/1C3CXT74ZlgGe6_JY_1olB1XN4rF0dxEuIIF-xsYjHgg/edit?usp=sharing"",""พรบ!BY28"")"),372330)</f>
        <v>372330</v>
      </c>
      <c r="G24" s="77">
        <f ca="1">IFERROR(__xludf.DUMMYFUNCTION("IMPORTRANGE(""https://docs.google.com/spreadsheets/d/1Yj_ptqi66GCucihVvJfMjLAmec39IyEx_6qawtMGysU/edit?usp=sharing"",""สบก!DJ28"")"),15000)</f>
        <v>15000</v>
      </c>
      <c r="H24" s="77">
        <f ca="1">IFERROR(__xludf.DUMMYFUNCTION("IMPORTRANGE(""https://docs.google.com/spreadsheets/d/1Yj_ptqi66GCucihVvJfMjLAmec39IyEx_6qawtMGysU/edit?usp=shDLing"",""สบก!DL28"")"),485630)</f>
        <v>485630</v>
      </c>
      <c r="I24" s="77">
        <f t="shared" ca="1" si="3"/>
        <v>398780.45</v>
      </c>
      <c r="J24" s="77">
        <f t="shared" ca="1" si="4"/>
        <v>57.516687580228748</v>
      </c>
      <c r="K24" s="77">
        <f ca="1">IFERROR(__xludf.DUMMYFUNCTION("IMPORTRANGE(""https://docs.google.com/spreadsheets/d/1Yj_ptqi66GCucihVvJfMjLAmec39IyEx_6qawtMGysU/edit?usp=sharing"",""สบก!DM28"")"),383780.45)</f>
        <v>383780.45</v>
      </c>
      <c r="L24" s="137">
        <f t="shared" ca="1" si="5"/>
        <v>56.577248536847847</v>
      </c>
      <c r="M24" s="137">
        <f t="shared" ca="1" si="6"/>
        <v>79.027335625888028</v>
      </c>
      <c r="N24" s="137">
        <f ca="1">IFERROR(__xludf.DUMMYFUNCTION("IMPORTRANGE(""https://docs.google.com/spreadsheets/d/1Yj_ptqi66GCucihVvJfMjLAmec39IyEx_6qawtMGysU/edit?usp=sharing"",""สบก!DN28"")"),15000)</f>
        <v>15000</v>
      </c>
      <c r="O24" s="137">
        <f t="shared" ca="1" si="7"/>
        <v>100</v>
      </c>
      <c r="P24" s="77">
        <f ca="1">IFERROR(__xludf.DUMMYFUNCTION("IMPORTRANGE(""https://docs.google.com/spreadsheets/d/1C3CXT74ZlgGe6_JY_1olB1XN4rF0dxEuIIF-xsYjHgg/edit?usp=sharing"",""พรบ!CA28"")"),220)</f>
        <v>220</v>
      </c>
      <c r="Q24" s="77">
        <f ca="1">IFERROR(__xludf.DUMMYFUNCTION("IMPORTRANGE(""https://docs.google.com/spreadsheets/d/1C3CXT74ZlgGe6_JY_1olB1XN4rF0dxEuIIF-xsYjHgg/edit?usp=sharing"",""พรบ!BZ28"")"),2040)</f>
        <v>2040</v>
      </c>
      <c r="R24" s="218">
        <f t="shared" ca="1" si="95"/>
        <v>132</v>
      </c>
      <c r="S24" s="77">
        <f ca="1">IFERROR(__xludf.DUMMYFUNCTION("IMPORTRANGE(""https://docs.google.com/spreadsheets/d/11923uPwbBZFjjGgGUA6NLw09EwE0CqkOc4q9oUmW1yo/edit?usp=sharing"",""พิษณุโลก!j234"")"),175)</f>
        <v>175</v>
      </c>
      <c r="T24" s="77">
        <f ca="1">IFERROR(__xludf.DUMMYFUNCTION("IMPORTRANGE(""https://docs.google.com/spreadsheets/d/11923uPwbBZFjjGgGUA6NLw09EwE0CqkOc4q9oUmW1yo/edit?usp=sharing"",""พิษณุโลก!j235"")"),1912.37)</f>
        <v>1912.37</v>
      </c>
      <c r="U24" s="137">
        <f t="shared" ca="1" si="10"/>
        <v>93.743627450980398</v>
      </c>
      <c r="V24" s="77">
        <f ca="1">IFERROR(__xludf.DUMMYFUNCTION("IMPORTRANGE(""https://docs.google.com/spreadsheets/d/11923uPwbBZFjjGgGUA6NLw09EwE0CqkOc4q9oUmW1yo/edit?usp=sharing"",""พิษณุโลก!j236"")"),232)</f>
        <v>232</v>
      </c>
      <c r="W24" s="77">
        <f ca="1">IFERROR(__xludf.DUMMYFUNCTION("IMPORTRANGE(""https://docs.google.com/spreadsheets/d/11923uPwbBZFjjGgGUA6NLw09EwE0CqkOc4q9oUmW1yo/edit?usp=sharing"",""พิษณุโลก!j237"")"),2781.52999999999)</f>
        <v>2781.5299999999902</v>
      </c>
      <c r="X24" s="137">
        <f t="shared" ca="1" si="12"/>
        <v>105.45454545454545</v>
      </c>
      <c r="Y24" s="77">
        <f ca="1">IFERROR(__xludf.DUMMYFUNCTION("IMPORTRANGE(""https://docs.google.com/spreadsheets/d/11923uPwbBZFjjGgGUA6NLw09EwE0CqkOc4q9oUmW1yo/edit?usp=sharing"",""พิษณุโลก!j238"")"),10)</f>
        <v>10</v>
      </c>
      <c r="Z24" s="77">
        <f ca="1">IFERROR(__xludf.DUMMYFUNCTION("IMPORTRANGE(""https://docs.google.com/spreadsheets/d/11923uPwbBZFjjGgGUA6NLw09EwE0CqkOc4q9oUmW1yo/edit?usp=sharing"",""พิษณุโลก!j239"")"),75.66)</f>
        <v>75.66</v>
      </c>
      <c r="AA24" s="137">
        <f t="shared" ca="1" si="14"/>
        <v>4.5454545454545459</v>
      </c>
      <c r="AB24" s="77">
        <f ca="1">IFERROR(__xludf.DUMMYFUNCTION("IMPORTRANGE(""https://docs.google.com/spreadsheets/d/11923uPwbBZFjjGgGUA6NLw09EwE0CqkOc4q9oUmW1yo/edit?usp=sharing"",""พิษณุโลก!j240"")"),135)</f>
        <v>135</v>
      </c>
      <c r="AC24" s="77">
        <f ca="1">IFERROR(__xludf.DUMMYFUNCTION("IMPORTRANGE(""https://docs.google.com/spreadsheets/d/11923uPwbBZFjjGgGUA6NLw09EwE0CqkOc4q9oUmW1yo/edit?usp=sharing"",""พิษณุโลก!j241"")"),1452.5)</f>
        <v>1452.5</v>
      </c>
      <c r="AD24" s="219">
        <f t="shared" ca="1" si="16"/>
        <v>61.363636363636367</v>
      </c>
      <c r="AE24" s="215">
        <f ca="1">IFERROR(__xludf.DUMMYFUNCTION("IMPORTRANGE(""https://docs.google.com/spreadsheets/d/1AGHcLOeeYFL3K4b9R1dSzyJy00PE_ra89DNTVfnxSWM/edit?usp=sharing"",""รวมที่ทำกิน!AA17"")"),1080)</f>
        <v>1080</v>
      </c>
      <c r="AF24" s="215">
        <f ca="1">IFERROR(__xludf.DUMMYFUNCTION("IMPORTRANGE(""https://docs.google.com/spreadsheets/d/1AGHcLOeeYFL3K4b9R1dSzyJy00PE_ra89DNTVfnxSWM/edit?usp=sharing"",""รวมที่ทำกิน!AB17"")"),114)</f>
        <v>114</v>
      </c>
      <c r="AG24" s="215">
        <f ca="1">IFERROR(__xludf.DUMMYFUNCTION("IMPORTRANGE(""https://docs.google.com/spreadsheets/d/1AGHcLOeeYFL3K4b9R1dSzyJy00PE_ra89DNTVfnxSWM/edit?usp=sharing"",""รวมที่ทำกิน!AD17"")"),1383.88)</f>
        <v>1383.88</v>
      </c>
      <c r="AH24" s="219">
        <f t="shared" ca="1" si="101"/>
        <v>128.13703703703703</v>
      </c>
      <c r="AI24" s="215">
        <f ca="1">IFERROR(__xludf.DUMMYFUNCTION("IMPORTRANGE(""https://docs.google.com/spreadsheets/d/1AGHcLOeeYFL3K4b9R1dSzyJy00PE_ra89DNTVfnxSWM/edit?usp=sharing"",""รวมที่ทำกิน!AE17"")"),90)</f>
        <v>90</v>
      </c>
      <c r="AJ24" s="215">
        <f ca="1">IFERROR(__xludf.DUMMYFUNCTION("IMPORTRANGE(""https://docs.google.com/spreadsheets/d/1AGHcLOeeYFL3K4b9R1dSzyJy00PE_ra89DNTVfnxSWM/edit?usp=sharing"",""รวมที่ทำกิน!AF17"")"),107)</f>
        <v>107</v>
      </c>
      <c r="AK24" s="215">
        <f ca="1">IFERROR(__xludf.DUMMYFUNCTION("IMPORTRANGE(""https://docs.google.com/spreadsheets/d/1AGHcLOeeYFL3K4b9R1dSzyJy00PE_ra89DNTVfnxSWM/edit?usp=sharing"",""รวมที่ทำกิน!AH17"")"),1296.24)</f>
        <v>1296.24</v>
      </c>
      <c r="AL24" s="220">
        <f t="shared" ca="1" si="103"/>
        <v>118.88888888888889</v>
      </c>
      <c r="AM24" s="215">
        <f ca="1">IFERROR(__xludf.DUMMYFUNCTION("IMPORTRANGE(""https://docs.google.com/spreadsheets/d/1AGHcLOeeYFL3K4b9R1dSzyJy00PE_ra89DNTVfnxSWM/edit?usp=sharing"",""รวมที่ทำกิน!AI17"")"),0)</f>
        <v>0</v>
      </c>
      <c r="AN24" s="215">
        <f ca="1">IFERROR(__xludf.DUMMYFUNCTION("IMPORTRANGE(""https://docs.google.com/spreadsheets/d/1AGHcLOeeYFL3K4b9R1dSzyJy00PE_ra89DNTVfnxSWM/edit?usp=sharing"",""รวมที่ทำกิน!AK17"")"),0)</f>
        <v>0</v>
      </c>
      <c r="AO24" s="220">
        <f t="shared" ca="1" si="22"/>
        <v>0</v>
      </c>
      <c r="AP24" s="215">
        <f ca="1">IFERROR(__xludf.DUMMYFUNCTION("IMPORTRANGE(""https://docs.google.com/spreadsheets/d/1AGHcLOeeYFL3K4b9R1dSzyJy00PE_ra89DNTVfnxSWM/edit?usp=sharing"",""รวมที่ทำกิน!AL17"")"),33)</f>
        <v>33</v>
      </c>
      <c r="AQ24" s="215">
        <f ca="1">IFERROR(__xludf.DUMMYFUNCTION("IMPORTRANGE(""https://docs.google.com/spreadsheets/d/1AGHcLOeeYFL3K4b9R1dSzyJy00PE_ra89DNTVfnxSWM/edit?usp=sharing"",""รวมที่ทำกิน!AN17"")"),168.37)</f>
        <v>168.37</v>
      </c>
      <c r="AR24" s="220">
        <f t="shared" ca="1" si="24"/>
        <v>36.666666666666664</v>
      </c>
      <c r="AS24" s="215">
        <f ca="1">IFERROR(__xludf.DUMMYFUNCTION("IMPORTRANGE(""https://docs.google.com/spreadsheets/d/1AGHcLOeeYFL3K4b9R1dSzyJy00PE_ra89DNTVfnxSWM/edit?usp=sharing"",""รวมที่ทำกิน!AO17"")"),960)</f>
        <v>960</v>
      </c>
      <c r="AT24" s="215">
        <f ca="1">IFERROR(__xludf.DUMMYFUNCTION("IMPORTRANGE(""https://docs.google.com/spreadsheets/d/1AGHcLOeeYFL3K4b9R1dSzyJy00PE_ra89DNTVfnxSWM/edit?usp=sharing"",""รวมที่ทำกิน!AP17"")"),61)</f>
        <v>61</v>
      </c>
      <c r="AU24" s="215">
        <f ca="1">IFERROR(__xludf.DUMMYFUNCTION("IMPORTRANGE(""https://docs.google.com/spreadsheets/d/1AGHcLOeeYFL3K4b9R1dSzyJy00PE_ra89DNTVfnxSWM/edit?usp=sharing"",""รวมที่ทำกิน!AR17"")"),528.49)</f>
        <v>528.49</v>
      </c>
      <c r="AV24" s="220">
        <f t="shared" ca="1" si="107"/>
        <v>55.05104166666667</v>
      </c>
      <c r="AW24" s="215">
        <f ca="1">IFERROR(__xludf.DUMMYFUNCTION("IMPORTRANGE(""https://docs.google.com/spreadsheets/d/1AGHcLOeeYFL3K4b9R1dSzyJy00PE_ra89DNTVfnxSWM/edit?usp=sharing"",""รวมที่ทำกิน!AS17"")"),130)</f>
        <v>130</v>
      </c>
      <c r="AX24" s="215">
        <f ca="1">IFERROR(__xludf.DUMMYFUNCTION("IMPORTRANGE(""https://docs.google.com/spreadsheets/d/1AGHcLOeeYFL3K4b9R1dSzyJy00PE_ra89DNTVfnxSWM/edit?usp=sharing"",""รวมที่ทำกิน!AT17"")"),125)</f>
        <v>125</v>
      </c>
      <c r="AY24" s="215">
        <f ca="1">IFERROR(__xludf.DUMMYFUNCTION("IMPORTRANGE(""https://docs.google.com/spreadsheets/d/1AGHcLOeeYFL3K4b9R1dSzyJy00PE_ra89DNTVfnxSWM/edit?usp=sharing"",""รวมที่ทำกิน!AV17"")"),1485.29)</f>
        <v>1485.29</v>
      </c>
      <c r="AZ24" s="220">
        <f t="shared" ca="1" si="109"/>
        <v>96.15384615384616</v>
      </c>
      <c r="BA24" s="215">
        <f ca="1">IFERROR(__xludf.DUMMYFUNCTION("IMPORTRANGE(""https://docs.google.com/spreadsheets/d/1AGHcLOeeYFL3K4b9R1dSzyJy00PE_ra89DNTVfnxSWM/edit?usp=sharing"",""รวมที่ทำกิน!AW17"")"),10)</f>
        <v>10</v>
      </c>
      <c r="BB24" s="215">
        <f ca="1">IFERROR(__xludf.DUMMYFUNCTION("IMPORTRANGE(""https://docs.google.com/spreadsheets/d/1AGHcLOeeYFL3K4b9R1dSzyJy00PE_ra89DNTVfnxSWM/edit?usp=sharing"",""รวมที่ทำกิน!AY17"")"),75.66)</f>
        <v>75.66</v>
      </c>
      <c r="BC24" s="220">
        <f t="shared" ca="1" si="30"/>
        <v>7.6923076923076925</v>
      </c>
      <c r="BD24" s="215">
        <f ca="1">IFERROR(__xludf.DUMMYFUNCTION("IMPORTRANGE(""https://docs.google.com/spreadsheets/d/1AGHcLOeeYFL3K4b9R1dSzyJy00PE_ra89DNTVfnxSWM/edit?usp=sharing"",""รวมที่ทำกิน!AZ17"")"),102)</f>
        <v>102</v>
      </c>
      <c r="BE24" s="215">
        <f ca="1">IFERROR(__xludf.DUMMYFUNCTION("IMPORTRANGE(""https://docs.google.com/spreadsheets/d/1AGHcLOeeYFL3K4b9R1dSzyJy00PE_ra89DNTVfnxSWM/edit?usp=sharing"",""รวมที่ทำกิน!BB17"")"),1284.13)</f>
        <v>1284.1300000000001</v>
      </c>
      <c r="BF24" s="221">
        <f t="shared" ca="1" si="32"/>
        <v>78.461538461538467</v>
      </c>
    </row>
    <row r="25" spans="1:58" ht="24" customHeight="1">
      <c r="A25" s="73">
        <v>10</v>
      </c>
      <c r="B25" s="74" t="s">
        <v>49</v>
      </c>
      <c r="C25" s="75">
        <f t="shared" ca="1" si="0"/>
        <v>1209740</v>
      </c>
      <c r="D25" s="76">
        <f t="shared" ca="1" si="112"/>
        <v>1144940</v>
      </c>
      <c r="E25" s="77">
        <f ca="1">IFERROR(__xludf.DUMMYFUNCTION("IMPORTRANGE(""https://docs.google.com/spreadsheets/d/1C3CXT74ZlgGe6_JY_1olB1XN4rF0dxEuIIF-xsYjHgg/edit?usp=sharing"",""พรบ!BX29"")"),306000)</f>
        <v>306000</v>
      </c>
      <c r="F25" s="77">
        <f ca="1">IFERROR(__xludf.DUMMYFUNCTION("IMPORTRANGE(""https://docs.google.com/spreadsheets/d/1C3CXT74ZlgGe6_JY_1olB1XN4rF0dxEuIIF-xsYjHgg/edit?usp=sharing"",""พรบ!BY29"")"),838940)</f>
        <v>838940</v>
      </c>
      <c r="G25" s="77">
        <f ca="1">IFERROR(__xludf.DUMMYFUNCTION("IMPORTRANGE(""https://docs.google.com/spreadsheets/d/1Yj_ptqi66GCucihVvJfMjLAmec39IyEx_6qawtMGysU/edit?usp=sharing"",""สบก!DJ29"")"),64800)</f>
        <v>64800</v>
      </c>
      <c r="H25" s="77">
        <f ca="1">IFERROR(__xludf.DUMMYFUNCTION("IMPORTRANGE(""https://docs.google.com/spreadsheets/d/1Yj_ptqi66GCucihVvJfMjLAmec39IyEx_6qawtMGysU/edit?usp=shDLing"",""สบก!DL29"")"),814060)</f>
        <v>814060</v>
      </c>
      <c r="I25" s="77">
        <f t="shared" ca="1" si="3"/>
        <v>669513</v>
      </c>
      <c r="J25" s="77">
        <f t="shared" ca="1" si="4"/>
        <v>55.343544893944156</v>
      </c>
      <c r="K25" s="77">
        <f ca="1">IFERROR(__xludf.DUMMYFUNCTION("IMPORTRANGE(""https://docs.google.com/spreadsheets/d/1Yj_ptqi66GCucihVvJfMjLAmec39IyEx_6qawtMGysU/edit?usp=sharing"",""สบก!DM29"")"),604713)</f>
        <v>604713</v>
      </c>
      <c r="L25" s="137">
        <f t="shared" ca="1" si="5"/>
        <v>52.816130102887485</v>
      </c>
      <c r="M25" s="137">
        <f t="shared" ca="1" si="6"/>
        <v>74.283590890106382</v>
      </c>
      <c r="N25" s="137">
        <f ca="1">IFERROR(__xludf.DUMMYFUNCTION("IMPORTRANGE(""https://docs.google.com/spreadsheets/d/1Yj_ptqi66GCucihVvJfMjLAmec39IyEx_6qawtMGysU/edit?usp=sharing"",""สบก!DN29"")"),64800)</f>
        <v>64800</v>
      </c>
      <c r="O25" s="137">
        <f t="shared" ca="1" si="7"/>
        <v>100</v>
      </c>
      <c r="P25" s="77">
        <f ca="1">IFERROR(__xludf.DUMMYFUNCTION("IMPORTRANGE(""https://docs.google.com/spreadsheets/d/1C3CXT74ZlgGe6_JY_1olB1XN4rF0dxEuIIF-xsYjHgg/edit?usp=sharing"",""พรบ!CA29"")"),610)</f>
        <v>610</v>
      </c>
      <c r="Q25" s="77">
        <f ca="1">IFERROR(__xludf.DUMMYFUNCTION("IMPORTRANGE(""https://docs.google.com/spreadsheets/d/1C3CXT74ZlgGe6_JY_1olB1XN4rF0dxEuIIF-xsYjHgg/edit?usp=sharing"",""พรบ!BZ29"")"),5920)</f>
        <v>5920</v>
      </c>
      <c r="R25" s="218">
        <f t="shared" ca="1" si="95"/>
        <v>366</v>
      </c>
      <c r="S25" s="77">
        <f ca="1">IFERROR(__xludf.DUMMYFUNCTION("IMPORTRANGE(""https://docs.google.com/spreadsheets/d/11923uPwbBZFjjGgGUA6NLw09EwE0CqkOc4q9oUmW1yo/edit?usp=sharing"",""เพชรบูรณ์!j234"")"),241)</f>
        <v>241</v>
      </c>
      <c r="T25" s="77">
        <f ca="1">IFERROR(__xludf.DUMMYFUNCTION("IMPORTRANGE(""https://docs.google.com/spreadsheets/d/11923uPwbBZFjjGgGUA6NLw09EwE0CqkOc4q9oUmW1yo/edit?usp=sharing"",""เพชรบูรณ์!j235"")"),2636.54)</f>
        <v>2636.54</v>
      </c>
      <c r="U25" s="137">
        <f t="shared" ca="1" si="10"/>
        <v>44.536148648648648</v>
      </c>
      <c r="V25" s="77">
        <f ca="1">IFERROR(__xludf.DUMMYFUNCTION("IMPORTRANGE(""https://docs.google.com/spreadsheets/d/11923uPwbBZFjjGgGUA6NLw09EwE0CqkOc4q9oUmW1yo/edit?usp=sharing"",""เพชรบูรณ์!j236"")"),362)</f>
        <v>362</v>
      </c>
      <c r="W25" s="77">
        <f ca="1">IFERROR(__xludf.DUMMYFUNCTION("IMPORTRANGE(""https://docs.google.com/spreadsheets/d/11923uPwbBZFjjGgGUA6NLw09EwE0CqkOc4q9oUmW1yo/edit?usp=sharing"",""เพชรบูรณ์!j237"")"),5089.63999999999)</f>
        <v>5089.6399999999903</v>
      </c>
      <c r="X25" s="137">
        <f t="shared" ca="1" si="12"/>
        <v>59.344262295081968</v>
      </c>
      <c r="Y25" s="77">
        <f ca="1">IFERROR(__xludf.DUMMYFUNCTION("IMPORTRANGE(""https://docs.google.com/spreadsheets/d/11923uPwbBZFjjGgGUA6NLw09EwE0CqkOc4q9oUmW1yo/edit?usp=sharing"",""เพชรบูรณ์!j238"")"),38)</f>
        <v>38</v>
      </c>
      <c r="Z25" s="77">
        <f ca="1">IFERROR(__xludf.DUMMYFUNCTION("IMPORTRANGE(""https://docs.google.com/spreadsheets/d/11923uPwbBZFjjGgGUA6NLw09EwE0CqkOc4q9oUmW1yo/edit?usp=sharing"",""เพชรบูรณ์!j239"")"),402.8)</f>
        <v>402.8</v>
      </c>
      <c r="AA25" s="137">
        <f t="shared" ca="1" si="14"/>
        <v>6.2295081967213113</v>
      </c>
      <c r="AB25" s="77">
        <f ca="1">IFERROR(__xludf.DUMMYFUNCTION("IMPORTRANGE(""https://docs.google.com/spreadsheets/d/11923uPwbBZFjjGgGUA6NLw09EwE0CqkOc4q9oUmW1yo/edit?usp=sharing"",""เพชรบูรณ์!j240"")"),105)</f>
        <v>105</v>
      </c>
      <c r="AC25" s="77">
        <f ca="1">IFERROR(__xludf.DUMMYFUNCTION("IMPORTRANGE(""https://docs.google.com/spreadsheets/d/11923uPwbBZFjjGgGUA6NLw09EwE0CqkOc4q9oUmW1yo/edit?usp=sharing"",""เพชรบูรณ์!j241"")"),1593.84)</f>
        <v>1593.84</v>
      </c>
      <c r="AD25" s="219">
        <f t="shared" ca="1" si="16"/>
        <v>17.21311475409836</v>
      </c>
      <c r="AE25" s="215">
        <f ca="1">IFERROR(__xludf.DUMMYFUNCTION("IMPORTRANGE(""https://docs.google.com/spreadsheets/d/1AGHcLOeeYFL3K4b9R1dSzyJy00PE_ra89DNTVfnxSWM/edit?usp=sharing"",""รวมที่ทำกิน!AA18"")"),2500)</f>
        <v>2500</v>
      </c>
      <c r="AF25" s="215">
        <f ca="1">IFERROR(__xludf.DUMMYFUNCTION("IMPORTRANGE(""https://docs.google.com/spreadsheets/d/1AGHcLOeeYFL3K4b9R1dSzyJy00PE_ra89DNTVfnxSWM/edit?usp=sharing"",""รวมที่ทำกิน!AB18"")"),29)</f>
        <v>29</v>
      </c>
      <c r="AG25" s="215">
        <f ca="1">IFERROR(__xludf.DUMMYFUNCTION("IMPORTRANGE(""https://docs.google.com/spreadsheets/d/1AGHcLOeeYFL3K4b9R1dSzyJy00PE_ra89DNTVfnxSWM/edit?usp=sharing"",""รวมที่ทำกิน!AD18"")"),436.33)</f>
        <v>436.33</v>
      </c>
      <c r="AH25" s="219">
        <f t="shared" ca="1" si="101"/>
        <v>17.453199999999999</v>
      </c>
      <c r="AI25" s="215">
        <f ca="1">IFERROR(__xludf.DUMMYFUNCTION("IMPORTRANGE(""https://docs.google.com/spreadsheets/d/1AGHcLOeeYFL3K4b9R1dSzyJy00PE_ra89DNTVfnxSWM/edit?usp=sharing"",""รวมที่ทำกิน!AE18"")"),200)</f>
        <v>200</v>
      </c>
      <c r="AJ25" s="215">
        <f ca="1">IFERROR(__xludf.DUMMYFUNCTION("IMPORTRANGE(""https://docs.google.com/spreadsheets/d/1AGHcLOeeYFL3K4b9R1dSzyJy00PE_ra89DNTVfnxSWM/edit?usp=sharing"",""รวมที่ทำกิน!AF18"")"),25)</f>
        <v>25</v>
      </c>
      <c r="AK25" s="215">
        <f ca="1">IFERROR(__xludf.DUMMYFUNCTION("IMPORTRANGE(""https://docs.google.com/spreadsheets/d/1AGHcLOeeYFL3K4b9R1dSzyJy00PE_ra89DNTVfnxSWM/edit?usp=sharing"",""รวมที่ทำกิน!AH18"")"),349.65)</f>
        <v>349.65</v>
      </c>
      <c r="AL25" s="220">
        <f t="shared" ca="1" si="103"/>
        <v>12.5</v>
      </c>
      <c r="AM25" s="215">
        <f ca="1">IFERROR(__xludf.DUMMYFUNCTION("IMPORTRANGE(""https://docs.google.com/spreadsheets/d/1AGHcLOeeYFL3K4b9R1dSzyJy00PE_ra89DNTVfnxSWM/edit?usp=sharing"",""รวมที่ทำกิน!AI18"")"),0)</f>
        <v>0</v>
      </c>
      <c r="AN25" s="215">
        <f ca="1">IFERROR(__xludf.DUMMYFUNCTION("IMPORTRANGE(""https://docs.google.com/spreadsheets/d/1AGHcLOeeYFL3K4b9R1dSzyJy00PE_ra89DNTVfnxSWM/edit?usp=sharing"",""รวมที่ทำกิน!AK18"")"),0)</f>
        <v>0</v>
      </c>
      <c r="AO25" s="220">
        <f t="shared" ca="1" si="22"/>
        <v>0</v>
      </c>
      <c r="AP25" s="215">
        <f ca="1">IFERROR(__xludf.DUMMYFUNCTION("IMPORTRANGE(""https://docs.google.com/spreadsheets/d/1AGHcLOeeYFL3K4b9R1dSzyJy00PE_ra89DNTVfnxSWM/edit?usp=sharing"",""รวมที่ทำกิน!AL18"")"),7)</f>
        <v>7</v>
      </c>
      <c r="AQ25" s="215">
        <f ca="1">IFERROR(__xludf.DUMMYFUNCTION("IMPORTRANGE(""https://docs.google.com/spreadsheets/d/1AGHcLOeeYFL3K4b9R1dSzyJy00PE_ra89DNTVfnxSWM/edit?usp=sharing"",""รวมที่ทำกิน!AN18"")"),88.93)</f>
        <v>88.93</v>
      </c>
      <c r="AR25" s="220">
        <f t="shared" ca="1" si="24"/>
        <v>3.5</v>
      </c>
      <c r="AS25" s="215">
        <f ca="1">IFERROR(__xludf.DUMMYFUNCTION("IMPORTRANGE(""https://docs.google.com/spreadsheets/d/1AGHcLOeeYFL3K4b9R1dSzyJy00PE_ra89DNTVfnxSWM/edit?usp=sharing"",""รวมที่ทำกิน!AO18"")"),3420)</f>
        <v>3420</v>
      </c>
      <c r="AT25" s="215">
        <f ca="1">IFERROR(__xludf.DUMMYFUNCTION("IMPORTRANGE(""https://docs.google.com/spreadsheets/d/1AGHcLOeeYFL3K4b9R1dSzyJy00PE_ra89DNTVfnxSWM/edit?usp=sharing"",""รวมที่ทำกิน!AP18"")"),212)</f>
        <v>212</v>
      </c>
      <c r="AU25" s="215">
        <f ca="1">IFERROR(__xludf.DUMMYFUNCTION("IMPORTRANGE(""https://docs.google.com/spreadsheets/d/1AGHcLOeeYFL3K4b9R1dSzyJy00PE_ra89DNTVfnxSWM/edit?usp=sharing"",""รวมที่ทำกิน!AR18"")"),2200.21)</f>
        <v>2200.21</v>
      </c>
      <c r="AV25" s="220">
        <f t="shared" ca="1" si="107"/>
        <v>64.333625730994157</v>
      </c>
      <c r="AW25" s="215">
        <f ca="1">IFERROR(__xludf.DUMMYFUNCTION("IMPORTRANGE(""https://docs.google.com/spreadsheets/d/1AGHcLOeeYFL3K4b9R1dSzyJy00PE_ra89DNTVfnxSWM/edit?usp=sharing"",""รวมที่ทำกิน!AS18"")"),410)</f>
        <v>410</v>
      </c>
      <c r="AX25" s="215">
        <f ca="1">IFERROR(__xludf.DUMMYFUNCTION("IMPORTRANGE(""https://docs.google.com/spreadsheets/d/1AGHcLOeeYFL3K4b9R1dSzyJy00PE_ra89DNTVfnxSWM/edit?usp=sharing"",""รวมที่ทำกิน!AT18"")"),337)</f>
        <v>337</v>
      </c>
      <c r="AY25" s="215">
        <f ca="1">IFERROR(__xludf.DUMMYFUNCTION("IMPORTRANGE(""https://docs.google.com/spreadsheets/d/1AGHcLOeeYFL3K4b9R1dSzyJy00PE_ra89DNTVfnxSWM/edit?usp=sharing"",""รวมที่ทำกิน!AV18"")"),4739.99)</f>
        <v>4739.99</v>
      </c>
      <c r="AZ25" s="220">
        <f t="shared" ca="1" si="109"/>
        <v>82.195121951219505</v>
      </c>
      <c r="BA25" s="215">
        <f ca="1">IFERROR(__xludf.DUMMYFUNCTION("IMPORTRANGE(""https://docs.google.com/spreadsheets/d/1AGHcLOeeYFL3K4b9R1dSzyJy00PE_ra89DNTVfnxSWM/edit?usp=sharing"",""รวมที่ทำกิน!AW18"")"),38)</f>
        <v>38</v>
      </c>
      <c r="BB25" s="215">
        <f ca="1">IFERROR(__xludf.DUMMYFUNCTION("IMPORTRANGE(""https://docs.google.com/spreadsheets/d/1AGHcLOeeYFL3K4b9R1dSzyJy00PE_ra89DNTVfnxSWM/edit?usp=sharing"",""รวมที่ทำกิน!AY18"")"),402.8)</f>
        <v>402.8</v>
      </c>
      <c r="BC25" s="220">
        <f t="shared" ca="1" si="30"/>
        <v>9.2682926829268286</v>
      </c>
      <c r="BD25" s="215">
        <f ca="1">IFERROR(__xludf.DUMMYFUNCTION("IMPORTRANGE(""https://docs.google.com/spreadsheets/d/1AGHcLOeeYFL3K4b9R1dSzyJy00PE_ra89DNTVfnxSWM/edit?usp=sharing"",""รวมที่ทำกิน!AZ18"")"),98)</f>
        <v>98</v>
      </c>
      <c r="BE25" s="215">
        <f ca="1">IFERROR(__xludf.DUMMYFUNCTION("IMPORTRANGE(""https://docs.google.com/spreadsheets/d/1AGHcLOeeYFL3K4b9R1dSzyJy00PE_ra89DNTVfnxSWM/edit?usp=sharing"",""รวมที่ทำกิน!BB18"")"),1504.91)</f>
        <v>1504.91</v>
      </c>
      <c r="BF25" s="221">
        <f t="shared" ca="1" si="32"/>
        <v>23.902439024390244</v>
      </c>
    </row>
    <row r="26" spans="1:58" ht="24" customHeight="1">
      <c r="A26" s="73">
        <v>11</v>
      </c>
      <c r="B26" s="74" t="s">
        <v>50</v>
      </c>
      <c r="C26" s="75">
        <f t="shared" ca="1" si="0"/>
        <v>833180</v>
      </c>
      <c r="D26" s="76">
        <f t="shared" ca="1" si="112"/>
        <v>823180</v>
      </c>
      <c r="E26" s="77">
        <f ca="1">IFERROR(__xludf.DUMMYFUNCTION("IMPORTRANGE(""https://docs.google.com/spreadsheets/d/1C3CXT74ZlgGe6_JY_1olB1XN4rF0dxEuIIF-xsYjHgg/edit?usp=sharing"",""พรบ!BX30"")"),491200)</f>
        <v>491200</v>
      </c>
      <c r="F26" s="77">
        <f ca="1">IFERROR(__xludf.DUMMYFUNCTION("IMPORTRANGE(""https://docs.google.com/spreadsheets/d/1C3CXT74ZlgGe6_JY_1olB1XN4rF0dxEuIIF-xsYjHgg/edit?usp=sharing"",""พรบ!BY30"")"),331980)</f>
        <v>331980</v>
      </c>
      <c r="G26" s="77">
        <f ca="1">IFERROR(__xludf.DUMMYFUNCTION("IMPORTRANGE(""https://docs.google.com/spreadsheets/d/1Yj_ptqi66GCucihVvJfMjLAmec39IyEx_6qawtMGysU/edit?usp=sharing"",""สบก!DJ30"")"),10000)</f>
        <v>10000</v>
      </c>
      <c r="H26" s="77">
        <f ca="1">IFERROR(__xludf.DUMMYFUNCTION("IMPORTRANGE(""https://docs.google.com/spreadsheets/d/1Yj_ptqi66GCucihVvJfMjLAmec39IyEx_6qawtMGysU/edit?usp=shDLing"",""สบก!DL30"")"),598800)</f>
        <v>598800</v>
      </c>
      <c r="I26" s="77">
        <f t="shared" ca="1" si="3"/>
        <v>445257.59</v>
      </c>
      <c r="J26" s="77">
        <f t="shared" ca="1" si="4"/>
        <v>53.440743896877024</v>
      </c>
      <c r="K26" s="77">
        <f ca="1">IFERROR(__xludf.DUMMYFUNCTION("IMPORTRANGE(""https://docs.google.com/spreadsheets/d/1Yj_ptqi66GCucihVvJfMjLAmec39IyEx_6qawtMGysU/edit?usp=sharing"",""สบก!DM30"")"),435257.59)</f>
        <v>435257.59</v>
      </c>
      <c r="L26" s="137">
        <f t="shared" ca="1" si="5"/>
        <v>52.87514152433247</v>
      </c>
      <c r="M26" s="137">
        <f t="shared" ca="1" si="6"/>
        <v>72.688308283233127</v>
      </c>
      <c r="N26" s="137">
        <f ca="1">IFERROR(__xludf.DUMMYFUNCTION("IMPORTRANGE(""https://docs.google.com/spreadsheets/d/1Yj_ptqi66GCucihVvJfMjLAmec39IyEx_6qawtMGysU/edit?usp=sharing"",""สบก!DN30"")"),10000)</f>
        <v>10000</v>
      </c>
      <c r="O26" s="137">
        <f t="shared" ca="1" si="7"/>
        <v>100</v>
      </c>
      <c r="P26" s="77">
        <f ca="1">IFERROR(__xludf.DUMMYFUNCTION("IMPORTRANGE(""https://docs.google.com/spreadsheets/d/1C3CXT74ZlgGe6_JY_1olB1XN4rF0dxEuIIF-xsYjHgg/edit?usp=sharing"",""พรบ!CA30"")"),360)</f>
        <v>360</v>
      </c>
      <c r="Q26" s="77">
        <f ca="1">IFERROR(__xludf.DUMMYFUNCTION("IMPORTRANGE(""https://docs.google.com/spreadsheets/d/1C3CXT74ZlgGe6_JY_1olB1XN4rF0dxEuIIF-xsYjHgg/edit?usp=sharing"",""พรบ!BZ30"")"),1300)</f>
        <v>1300</v>
      </c>
      <c r="R26" s="218">
        <f t="shared" ca="1" si="95"/>
        <v>216</v>
      </c>
      <c r="S26" s="77">
        <f ca="1">IFERROR(__xludf.DUMMYFUNCTION("IMPORTRANGE(""https://docs.google.com/spreadsheets/d/11923uPwbBZFjjGgGUA6NLw09EwE0CqkOc4q9oUmW1yo/edit?usp=sharing"",""แพร่!j234"")"),118)</f>
        <v>118</v>
      </c>
      <c r="T26" s="77">
        <f ca="1">IFERROR(__xludf.DUMMYFUNCTION("IMPORTRANGE(""https://docs.google.com/spreadsheets/d/11923uPwbBZFjjGgGUA6NLw09EwE0CqkOc4q9oUmW1yo/edit?usp=sharing"",""แพร่!j235"")"),845.22)</f>
        <v>845.22</v>
      </c>
      <c r="U26" s="137">
        <f t="shared" ca="1" si="10"/>
        <v>65.016923076923078</v>
      </c>
      <c r="V26" s="77">
        <f ca="1">IFERROR(__xludf.DUMMYFUNCTION("IMPORTRANGE(""https://docs.google.com/spreadsheets/d/11923uPwbBZFjjGgGUA6NLw09EwE0CqkOc4q9oUmW1yo/edit?usp=sharing"",""แพร่!j236"")"),325)</f>
        <v>325</v>
      </c>
      <c r="W26" s="77">
        <f ca="1">IFERROR(__xludf.DUMMYFUNCTION("IMPORTRANGE(""https://docs.google.com/spreadsheets/d/11923uPwbBZFjjGgGUA6NLw09EwE0CqkOc4q9oUmW1yo/edit?usp=sharing"",""แพร่!j237"")"),2787.48)</f>
        <v>2787.48</v>
      </c>
      <c r="X26" s="137">
        <f t="shared" ca="1" si="12"/>
        <v>90.277777777777771</v>
      </c>
      <c r="Y26" s="77">
        <f ca="1">IFERROR(__xludf.DUMMYFUNCTION("IMPORTRANGE(""https://docs.google.com/spreadsheets/d/11923uPwbBZFjjGgGUA6NLw09EwE0CqkOc4q9oUmW1yo/edit?usp=sharing"",""แพร่!j238"")"),0)</f>
        <v>0</v>
      </c>
      <c r="Z26" s="77">
        <f ca="1">IFERROR(__xludf.DUMMYFUNCTION("IMPORTRANGE(""https://docs.google.com/spreadsheets/d/11923uPwbBZFjjGgGUA6NLw09EwE0CqkOc4q9oUmW1yo/edit?usp=sharing"",""แพร่!j239"")"),0)</f>
        <v>0</v>
      </c>
      <c r="AA26" s="137">
        <f t="shared" ca="1" si="14"/>
        <v>0</v>
      </c>
      <c r="AB26" s="77">
        <f ca="1">IFERROR(__xludf.DUMMYFUNCTION("IMPORTRANGE(""https://docs.google.com/spreadsheets/d/11923uPwbBZFjjGgGUA6NLw09EwE0CqkOc4q9oUmW1yo/edit?usp=sharing"",""แพร่!j240"")"),274)</f>
        <v>274</v>
      </c>
      <c r="AC26" s="77">
        <f ca="1">IFERROR(__xludf.DUMMYFUNCTION("IMPORTRANGE(""https://docs.google.com/spreadsheets/d/11923uPwbBZFjjGgGUA6NLw09EwE0CqkOc4q9oUmW1yo/edit?usp=sharing"",""แพร่!j241"")"),2421.98)</f>
        <v>2421.98</v>
      </c>
      <c r="AD26" s="219">
        <f t="shared" ca="1" si="16"/>
        <v>76.111111111111114</v>
      </c>
      <c r="AE26" s="215">
        <f ca="1">IFERROR(__xludf.DUMMYFUNCTION("IMPORTRANGE(""https://docs.google.com/spreadsheets/d/1AGHcLOeeYFL3K4b9R1dSzyJy00PE_ra89DNTVfnxSWM/edit?usp=sharing"",""รวมที่ทำกิน!AA19"")"),1000)</f>
        <v>1000</v>
      </c>
      <c r="AF26" s="215">
        <f ca="1">IFERROR(__xludf.DUMMYFUNCTION("IMPORTRANGE(""https://docs.google.com/spreadsheets/d/1AGHcLOeeYFL3K4b9R1dSzyJy00PE_ra89DNTVfnxSWM/edit?usp=sharing"",""รวมที่ทำกิน!AB19"")"),104)</f>
        <v>104</v>
      </c>
      <c r="AG26" s="215">
        <f ca="1">IFERROR(__xludf.DUMMYFUNCTION("IMPORTRANGE(""https://docs.google.com/spreadsheets/d/1AGHcLOeeYFL3K4b9R1dSzyJy00PE_ra89DNTVfnxSWM/edit?usp=sharing"",""รวมที่ทำกิน!AD19"")"),767.28)</f>
        <v>767.28</v>
      </c>
      <c r="AH26" s="219">
        <f t="shared" ca="1" si="101"/>
        <v>76.727999999999994</v>
      </c>
      <c r="AI26" s="215">
        <f ca="1">IFERROR(__xludf.DUMMYFUNCTION("IMPORTRANGE(""https://docs.google.com/spreadsheets/d/1AGHcLOeeYFL3K4b9R1dSzyJy00PE_ra89DNTVfnxSWM/edit?usp=sharing"",""รวมที่ทำกิน!AE19"")"),160)</f>
        <v>160</v>
      </c>
      <c r="AJ26" s="215">
        <f ca="1">IFERROR(__xludf.DUMMYFUNCTION("IMPORTRANGE(""https://docs.google.com/spreadsheets/d/1AGHcLOeeYFL3K4b9R1dSzyJy00PE_ra89DNTVfnxSWM/edit?usp=sharing"",""รวมที่ทำกิน!AF19"")"),61)</f>
        <v>61</v>
      </c>
      <c r="AK26" s="215">
        <f ca="1">IFERROR(__xludf.DUMMYFUNCTION("IMPORTRANGE(""https://docs.google.com/spreadsheets/d/1AGHcLOeeYFL3K4b9R1dSzyJy00PE_ra89DNTVfnxSWM/edit?usp=sharing"",""รวมที่ทำกิน!AH19"")"),410.32)</f>
        <v>410.32</v>
      </c>
      <c r="AL26" s="220">
        <f t="shared" ca="1" si="103"/>
        <v>38.125</v>
      </c>
      <c r="AM26" s="215">
        <f ca="1">IFERROR(__xludf.DUMMYFUNCTION("IMPORTRANGE(""https://docs.google.com/spreadsheets/d/1AGHcLOeeYFL3K4b9R1dSzyJy00PE_ra89DNTVfnxSWM/edit?usp=sharing"",""รวมที่ทำกิน!AI19"")"),0)</f>
        <v>0</v>
      </c>
      <c r="AN26" s="215">
        <f ca="1">IFERROR(__xludf.DUMMYFUNCTION("IMPORTRANGE(""https://docs.google.com/spreadsheets/d/1AGHcLOeeYFL3K4b9R1dSzyJy00PE_ra89DNTVfnxSWM/edit?usp=sharing"",""รวมที่ทำกิน!AK19"")"),0)</f>
        <v>0</v>
      </c>
      <c r="AO26" s="220">
        <f t="shared" ca="1" si="22"/>
        <v>0</v>
      </c>
      <c r="AP26" s="215">
        <f ca="1">IFERROR(__xludf.DUMMYFUNCTION("IMPORTRANGE(""https://docs.google.com/spreadsheets/d/1AGHcLOeeYFL3K4b9R1dSzyJy00PE_ra89DNTVfnxSWM/edit?usp=sharing"",""รวมที่ทำกิน!AL19"")"),20)</f>
        <v>20</v>
      </c>
      <c r="AQ26" s="215">
        <f ca="1">IFERROR(__xludf.DUMMYFUNCTION("IMPORTRANGE(""https://docs.google.com/spreadsheets/d/1AGHcLOeeYFL3K4b9R1dSzyJy00PE_ra89DNTVfnxSWM/edit?usp=sharing"",""รวมที่ทำกิน!AN19"")"),128.95)</f>
        <v>128.94999999999999</v>
      </c>
      <c r="AR26" s="220">
        <f t="shared" ca="1" si="24"/>
        <v>12.5</v>
      </c>
      <c r="AS26" s="215">
        <f ca="1">IFERROR(__xludf.DUMMYFUNCTION("IMPORTRANGE(""https://docs.google.com/spreadsheets/d/1AGHcLOeeYFL3K4b9R1dSzyJy00PE_ra89DNTVfnxSWM/edit?usp=sharing"",""รวมที่ทำกิน!AO19"")"),300)</f>
        <v>300</v>
      </c>
      <c r="AT26" s="215">
        <f ca="1">IFERROR(__xludf.DUMMYFUNCTION("IMPORTRANGE(""https://docs.google.com/spreadsheets/d/1AGHcLOeeYFL3K4b9R1dSzyJy00PE_ra89DNTVfnxSWM/edit?usp=sharing"",""รวมที่ทำกิน!AP19"")"),14)</f>
        <v>14</v>
      </c>
      <c r="AU26" s="215">
        <f ca="1">IFERROR(__xludf.DUMMYFUNCTION("IMPORTRANGE(""https://docs.google.com/spreadsheets/d/1AGHcLOeeYFL3K4b9R1dSzyJy00PE_ra89DNTVfnxSWM/edit?usp=sharing"",""รวมที่ทำกิน!AR19"")"),77.94)</f>
        <v>77.94</v>
      </c>
      <c r="AV26" s="220">
        <f t="shared" ca="1" si="107"/>
        <v>25.98</v>
      </c>
      <c r="AW26" s="215">
        <f ca="1">IFERROR(__xludf.DUMMYFUNCTION("IMPORTRANGE(""https://docs.google.com/spreadsheets/d/1AGHcLOeeYFL3K4b9R1dSzyJy00PE_ra89DNTVfnxSWM/edit?usp=sharing"",""รวมที่ทำกิน!AS19"")"),200)</f>
        <v>200</v>
      </c>
      <c r="AX26" s="215">
        <f ca="1">IFERROR(__xludf.DUMMYFUNCTION("IMPORTRANGE(""https://docs.google.com/spreadsheets/d/1AGHcLOeeYFL3K4b9R1dSzyJy00PE_ra89DNTVfnxSWM/edit?usp=sharing"",""รวมที่ทำกิน!AT19"")"),264)</f>
        <v>264</v>
      </c>
      <c r="AY26" s="215">
        <f ca="1">IFERROR(__xludf.DUMMYFUNCTION("IMPORTRANGE(""https://docs.google.com/spreadsheets/d/1AGHcLOeeYFL3K4b9R1dSzyJy00PE_ra89DNTVfnxSWM/edit?usp=sharing"",""รวมที่ทำกิน!AV19"")"),2377.16)</f>
        <v>2377.16</v>
      </c>
      <c r="AZ26" s="220">
        <f t="shared" ca="1" si="109"/>
        <v>132</v>
      </c>
      <c r="BA26" s="215">
        <f ca="1">IFERROR(__xludf.DUMMYFUNCTION("IMPORTRANGE(""https://docs.google.com/spreadsheets/d/1AGHcLOeeYFL3K4b9R1dSzyJy00PE_ra89DNTVfnxSWM/edit?usp=sharing"",""รวมที่ทำกิน!AW19"")"),0)</f>
        <v>0</v>
      </c>
      <c r="BB26" s="215">
        <f ca="1">IFERROR(__xludf.DUMMYFUNCTION("IMPORTRANGE(""https://docs.google.com/spreadsheets/d/1AGHcLOeeYFL3K4b9R1dSzyJy00PE_ra89DNTVfnxSWM/edit?usp=sharing"",""รวมที่ทำกิน!AY19"")"),0)</f>
        <v>0</v>
      </c>
      <c r="BC26" s="220">
        <f t="shared" ca="1" si="30"/>
        <v>0</v>
      </c>
      <c r="BD26" s="215">
        <f ca="1">IFERROR(__xludf.DUMMYFUNCTION("IMPORTRANGE(""https://docs.google.com/spreadsheets/d/1AGHcLOeeYFL3K4b9R1dSzyJy00PE_ra89DNTVfnxSWM/edit?usp=sharing"",""รวมที่ทำกิน!AZ19"")"),254)</f>
        <v>254</v>
      </c>
      <c r="BE26" s="215">
        <f ca="1">IFERROR(__xludf.DUMMYFUNCTION("IMPORTRANGE(""https://docs.google.com/spreadsheets/d/1AGHcLOeeYFL3K4b9R1dSzyJy00PE_ra89DNTVfnxSWM/edit?usp=sharing"",""รวมที่ทำกิน!BB19"")"),2293.03)</f>
        <v>2293.0300000000002</v>
      </c>
      <c r="BF26" s="221">
        <f t="shared" ca="1" si="32"/>
        <v>127</v>
      </c>
    </row>
    <row r="27" spans="1:58" ht="24" customHeight="1">
      <c r="A27" s="73">
        <v>12</v>
      </c>
      <c r="B27" s="74" t="s">
        <v>51</v>
      </c>
      <c r="C27" s="75">
        <f t="shared" ca="1" si="0"/>
        <v>873740</v>
      </c>
      <c r="D27" s="76">
        <f t="shared" ca="1" si="112"/>
        <v>825940</v>
      </c>
      <c r="E27" s="77">
        <f ca="1">IFERROR(__xludf.DUMMYFUNCTION("IMPORTRANGE(""https://docs.google.com/spreadsheets/d/1C3CXT74ZlgGe6_JY_1olB1XN4rF0dxEuIIF-xsYjHgg/edit?usp=sharing"",""พรบ!BX31"")"),574800)</f>
        <v>574800</v>
      </c>
      <c r="F27" s="77">
        <f ca="1">IFERROR(__xludf.DUMMYFUNCTION("IMPORTRANGE(""https://docs.google.com/spreadsheets/d/1C3CXT74ZlgGe6_JY_1olB1XN4rF0dxEuIIF-xsYjHgg/edit?usp=sharing"",""พรบ!BY31"")"),251140)</f>
        <v>251140</v>
      </c>
      <c r="G27" s="77">
        <f ca="1">IFERROR(__xludf.DUMMYFUNCTION("IMPORTRANGE(""https://docs.google.com/spreadsheets/d/1Yj_ptqi66GCucihVvJfMjLAmec39IyEx_6qawtMGysU/edit?usp=sharing"",""สบก!DJ31"")"),47800)</f>
        <v>47800</v>
      </c>
      <c r="H27" s="77">
        <f ca="1">IFERROR(__xludf.DUMMYFUNCTION("IMPORTRANGE(""https://docs.google.com/spreadsheets/d/1Yj_ptqi66GCucihVvJfMjLAmec39IyEx_6qawtMGysU/edit?usp=shDLing"",""สบก!DL31"")"),600020)</f>
        <v>600020</v>
      </c>
      <c r="I27" s="77">
        <f t="shared" ca="1" si="3"/>
        <v>441571.4</v>
      </c>
      <c r="J27" s="77">
        <f t="shared" ca="1" si="4"/>
        <v>50.53807768901504</v>
      </c>
      <c r="K27" s="77">
        <f ca="1">IFERROR(__xludf.DUMMYFUNCTION("IMPORTRANGE(""https://docs.google.com/spreadsheets/d/1Yj_ptqi66GCucihVvJfMjLAmec39IyEx_6qawtMGysU/edit?usp=sharing"",""สบก!DM31"")"),393771.4)</f>
        <v>393771.4</v>
      </c>
      <c r="L27" s="137">
        <f t="shared" ca="1" si="5"/>
        <v>47.675545439136016</v>
      </c>
      <c r="M27" s="137">
        <f t="shared" ca="1" si="6"/>
        <v>65.626379120695972</v>
      </c>
      <c r="N27" s="137">
        <f ca="1">IFERROR(__xludf.DUMMYFUNCTION("IMPORTRANGE(""https://docs.google.com/spreadsheets/d/1Yj_ptqi66GCucihVvJfMjLAmec39IyEx_6qawtMGysU/edit?usp=sharing"",""สบก!DN31"")"),47800)</f>
        <v>47800</v>
      </c>
      <c r="O27" s="137">
        <f t="shared" ca="1" si="7"/>
        <v>100</v>
      </c>
      <c r="P27" s="77">
        <f ca="1">IFERROR(__xludf.DUMMYFUNCTION("IMPORTRANGE(""https://docs.google.com/spreadsheets/d/1C3CXT74ZlgGe6_JY_1olB1XN4rF0dxEuIIF-xsYjHgg/edit?usp=sharing"",""พรบ!CA31"")"),70)</f>
        <v>70</v>
      </c>
      <c r="Q27" s="77">
        <f ca="1">IFERROR(__xludf.DUMMYFUNCTION("IMPORTRANGE(""https://docs.google.com/spreadsheets/d/1C3CXT74ZlgGe6_JY_1olB1XN4rF0dxEuIIF-xsYjHgg/edit?usp=sharing"",""พรบ!BZ31"")"),210)</f>
        <v>210</v>
      </c>
      <c r="R27" s="218">
        <f t="shared" ca="1" si="95"/>
        <v>42</v>
      </c>
      <c r="S27" s="77">
        <f ca="1">IFERROR(__xludf.DUMMYFUNCTION("IMPORTRANGE(""https://docs.google.com/spreadsheets/d/11923uPwbBZFjjGgGUA6NLw09EwE0CqkOc4q9oUmW1yo/edit?usp=sharing"",""แม่ฮ่องสอน!j234"")"),31)</f>
        <v>31</v>
      </c>
      <c r="T27" s="77">
        <f ca="1">IFERROR(__xludf.DUMMYFUNCTION("IMPORTRANGE(""https://docs.google.com/spreadsheets/d/11923uPwbBZFjjGgGUA6NLw09EwE0CqkOc4q9oUmW1yo/edit?usp=sharing"",""แม่ฮ่องสอน!j235"")"),59.3799999999999)</f>
        <v>59.379999999999903</v>
      </c>
      <c r="U27" s="137">
        <f t="shared" ca="1" si="10"/>
        <v>28.276190476190429</v>
      </c>
      <c r="V27" s="77">
        <f ca="1">IFERROR(__xludf.DUMMYFUNCTION("IMPORTRANGE(""https://docs.google.com/spreadsheets/d/11923uPwbBZFjjGgGUA6NLw09EwE0CqkOc4q9oUmW1yo/edit?usp=sharing"",""แม่ฮ่องสอน!j236"")"),69)</f>
        <v>69</v>
      </c>
      <c r="W27" s="77">
        <f ca="1">IFERROR(__xludf.DUMMYFUNCTION("IMPORTRANGE(""https://docs.google.com/spreadsheets/d/11923uPwbBZFjjGgGUA6NLw09EwE0CqkOc4q9oUmW1yo/edit?usp=sharing"",""แม่ฮ่องสอน!j237"")"),220.99)</f>
        <v>220.99</v>
      </c>
      <c r="X27" s="137">
        <f t="shared" ca="1" si="12"/>
        <v>98.571428571428569</v>
      </c>
      <c r="Y27" s="77">
        <f ca="1">IFERROR(__xludf.DUMMYFUNCTION("IMPORTRANGE(""https://docs.google.com/spreadsheets/d/11923uPwbBZFjjGgGUA6NLw09EwE0CqkOc4q9oUmW1yo/edit?usp=sharing"",""แม่ฮ่องสอน!j238"")"),1)</f>
        <v>1</v>
      </c>
      <c r="Z27" s="77">
        <f ca="1">IFERROR(__xludf.DUMMYFUNCTION("IMPORTRANGE(""https://docs.google.com/spreadsheets/d/11923uPwbBZFjjGgGUA6NLw09EwE0CqkOc4q9oUmW1yo/edit?usp=sharing"",""แม่ฮ่องสอน!j239"")"),28.14)</f>
        <v>28.14</v>
      </c>
      <c r="AA27" s="137">
        <f t="shared" ca="1" si="14"/>
        <v>1.4285714285714286</v>
      </c>
      <c r="AB27" s="77">
        <f ca="1">IFERROR(__xludf.DUMMYFUNCTION("IMPORTRANGE(""https://docs.google.com/spreadsheets/d/11923uPwbBZFjjGgGUA6NLw09EwE0CqkOc4q9oUmW1yo/edit?usp=sharing"",""แม่ฮ่องสอน!j240"")"),65)</f>
        <v>65</v>
      </c>
      <c r="AC27" s="77">
        <f ca="1">IFERROR(__xludf.DUMMYFUNCTION("IMPORTRANGE(""https://docs.google.com/spreadsheets/d/11923uPwbBZFjjGgGUA6NLw09EwE0CqkOc4q9oUmW1yo/edit?usp=sharing"",""แม่ฮ่องสอน!j241"")"),218.9)</f>
        <v>218.9</v>
      </c>
      <c r="AD27" s="219">
        <f t="shared" ca="1" si="16"/>
        <v>92.857142857142861</v>
      </c>
      <c r="AE27" s="215">
        <f ca="1">IFERROR(__xludf.DUMMYFUNCTION("IMPORTRANGE(""https://docs.google.com/spreadsheets/d/1AGHcLOeeYFL3K4b9R1dSzyJy00PE_ra89DNTVfnxSWM/edit?usp=sharing"",""รวมที่ทำกิน!AA20"")"),130)</f>
        <v>130</v>
      </c>
      <c r="AF27" s="215">
        <f ca="1">IFERROR(__xludf.DUMMYFUNCTION("IMPORTRANGE(""https://docs.google.com/spreadsheets/d/1AGHcLOeeYFL3K4b9R1dSzyJy00PE_ra89DNTVfnxSWM/edit?usp=sharing"",""รวมที่ทำกิน!AB20"")"),29)</f>
        <v>29</v>
      </c>
      <c r="AG27" s="215">
        <f ca="1">IFERROR(__xludf.DUMMYFUNCTION("IMPORTRANGE(""https://docs.google.com/spreadsheets/d/1AGHcLOeeYFL3K4b9R1dSzyJy00PE_ra89DNTVfnxSWM/edit?usp=sharing"",""รวมที่ทำกิน!AD20"")"),58.3)</f>
        <v>58.3</v>
      </c>
      <c r="AH27" s="219">
        <f t="shared" ca="1" si="101"/>
        <v>44.846153846153847</v>
      </c>
      <c r="AI27" s="215">
        <f ca="1">IFERROR(__xludf.DUMMYFUNCTION("IMPORTRANGE(""https://docs.google.com/spreadsheets/d/1AGHcLOeeYFL3K4b9R1dSzyJy00PE_ra89DNTVfnxSWM/edit?usp=sharing"",""รวมที่ทำกิน!AE20"")"),30)</f>
        <v>30</v>
      </c>
      <c r="AJ27" s="215">
        <f ca="1">IFERROR(__xludf.DUMMYFUNCTION("IMPORTRANGE(""https://docs.google.com/spreadsheets/d/1AGHcLOeeYFL3K4b9R1dSzyJy00PE_ra89DNTVfnxSWM/edit?usp=sharing"",""รวมที่ทำกิน!AF20"")"),25)</f>
        <v>25</v>
      </c>
      <c r="AK27" s="215">
        <f ca="1">IFERROR(__xludf.DUMMYFUNCTION("IMPORTRANGE(""https://docs.google.com/spreadsheets/d/1AGHcLOeeYFL3K4b9R1dSzyJy00PE_ra89DNTVfnxSWM/edit?usp=sharing"",""รวมที่ทำกิน!AH20"")"),57.11)</f>
        <v>57.11</v>
      </c>
      <c r="AL27" s="220">
        <f t="shared" ca="1" si="103"/>
        <v>83.333333333333329</v>
      </c>
      <c r="AM27" s="215">
        <f ca="1">IFERROR(__xludf.DUMMYFUNCTION("IMPORTRANGE(""https://docs.google.com/spreadsheets/d/1AGHcLOeeYFL3K4b9R1dSzyJy00PE_ra89DNTVfnxSWM/edit?usp=sharing"",""รวมที่ทำกิน!AI20"")"),1)</f>
        <v>1</v>
      </c>
      <c r="AN27" s="215">
        <f ca="1">IFERROR(__xludf.DUMMYFUNCTION("IMPORTRANGE(""https://docs.google.com/spreadsheets/d/1AGHcLOeeYFL3K4b9R1dSzyJy00PE_ra89DNTVfnxSWM/edit?usp=sharing"",""รวมที่ทำกิน!AK20"")"),28.14)</f>
        <v>28.14</v>
      </c>
      <c r="AO27" s="220">
        <f t="shared" ca="1" si="22"/>
        <v>3.3333333333333335</v>
      </c>
      <c r="AP27" s="215">
        <f ca="1">IFERROR(__xludf.DUMMYFUNCTION("IMPORTRANGE(""https://docs.google.com/spreadsheets/d/1AGHcLOeeYFL3K4b9R1dSzyJy00PE_ra89DNTVfnxSWM/edit?usp=sharing"",""รวมที่ทำกิน!AL20"")"),22)</f>
        <v>22</v>
      </c>
      <c r="AQ27" s="215">
        <f ca="1">IFERROR(__xludf.DUMMYFUNCTION("IMPORTRANGE(""https://docs.google.com/spreadsheets/d/1AGHcLOeeYFL3K4b9R1dSzyJy00PE_ra89DNTVfnxSWM/edit?usp=sharing"",""รวมที่ทำกิน!AN20"")"),55.52)</f>
        <v>55.52</v>
      </c>
      <c r="AR27" s="220">
        <f t="shared" ca="1" si="24"/>
        <v>73.333333333333329</v>
      </c>
      <c r="AS27" s="215">
        <f ca="1">IFERROR(__xludf.DUMMYFUNCTION("IMPORTRANGE(""https://docs.google.com/spreadsheets/d/1AGHcLOeeYFL3K4b9R1dSzyJy00PE_ra89DNTVfnxSWM/edit?usp=sharing"",""รวมที่ทำกิน!AO20"")"),80)</f>
        <v>80</v>
      </c>
      <c r="AT27" s="215">
        <f ca="1">IFERROR(__xludf.DUMMYFUNCTION("IMPORTRANGE(""https://docs.google.com/spreadsheets/d/1AGHcLOeeYFL3K4b9R1dSzyJy00PE_ra89DNTVfnxSWM/edit?usp=sharing"",""รวมที่ทำกิน!AP20"")"),2)</f>
        <v>2</v>
      </c>
      <c r="AU27" s="215">
        <f ca="1">IFERROR(__xludf.DUMMYFUNCTION("IMPORTRANGE(""https://docs.google.com/spreadsheets/d/1AGHcLOeeYFL3K4b9R1dSzyJy00PE_ra89DNTVfnxSWM/edit?usp=sharing"",""รวมที่ทำกิน!AR20"")"),1.08)</f>
        <v>1.08</v>
      </c>
      <c r="AV27" s="220">
        <f t="shared" ca="1" si="107"/>
        <v>1.35</v>
      </c>
      <c r="AW27" s="215">
        <f ca="1">IFERROR(__xludf.DUMMYFUNCTION("IMPORTRANGE(""https://docs.google.com/spreadsheets/d/1AGHcLOeeYFL3K4b9R1dSzyJy00PE_ra89DNTVfnxSWM/edit?usp=sharing"",""รวมที่ทำกิน!AS20"")"),40)</f>
        <v>40</v>
      </c>
      <c r="AX27" s="215">
        <f ca="1">IFERROR(__xludf.DUMMYFUNCTION("IMPORTRANGE(""https://docs.google.com/spreadsheets/d/1AGHcLOeeYFL3K4b9R1dSzyJy00PE_ra89DNTVfnxSWM/edit?usp=sharing"",""รวมที่ทำกิน!AT20"")"),44)</f>
        <v>44</v>
      </c>
      <c r="AY27" s="215">
        <f ca="1">IFERROR(__xludf.DUMMYFUNCTION("IMPORTRANGE(""https://docs.google.com/spreadsheets/d/1AGHcLOeeYFL3K4b9R1dSzyJy00PE_ra89DNTVfnxSWM/edit?usp=sharing"",""รวมที่ทำกิน!AV20"")"),163.88)</f>
        <v>163.88</v>
      </c>
      <c r="AZ27" s="220">
        <f t="shared" ca="1" si="109"/>
        <v>110</v>
      </c>
      <c r="BA27" s="215">
        <f ca="1">IFERROR(__xludf.DUMMYFUNCTION("IMPORTRANGE(""https://docs.google.com/spreadsheets/d/1AGHcLOeeYFL3K4b9R1dSzyJy00PE_ra89DNTVfnxSWM/edit?usp=sharing"",""รวมที่ทำกิน!AW20"")"),0)</f>
        <v>0</v>
      </c>
      <c r="BB27" s="215">
        <f ca="1">IFERROR(__xludf.DUMMYFUNCTION("IMPORTRANGE(""https://docs.google.com/spreadsheets/d/1AGHcLOeeYFL3K4b9R1dSzyJy00PE_ra89DNTVfnxSWM/edit?usp=sharing"",""รวมที่ทำกิน!AY20"")"),0)</f>
        <v>0</v>
      </c>
      <c r="BC27" s="220">
        <f t="shared" ca="1" si="30"/>
        <v>0</v>
      </c>
      <c r="BD27" s="215">
        <f ca="1">IFERROR(__xludf.DUMMYFUNCTION("IMPORTRANGE(""https://docs.google.com/spreadsheets/d/1AGHcLOeeYFL3K4b9R1dSzyJy00PE_ra89DNTVfnxSWM/edit?usp=sharing"",""รวมที่ทำกิน!AZ20"")"),43)</f>
        <v>43</v>
      </c>
      <c r="BE27" s="215">
        <f ca="1">IFERROR(__xludf.DUMMYFUNCTION("IMPORTRANGE(""https://docs.google.com/spreadsheets/d/1AGHcLOeeYFL3K4b9R1dSzyJy00PE_ra89DNTVfnxSWM/edit?usp=sharing"",""รวมที่ทำกิน!BB20"")"),163.38)</f>
        <v>163.38</v>
      </c>
      <c r="BF27" s="221">
        <f t="shared" ca="1" si="32"/>
        <v>107.5</v>
      </c>
    </row>
    <row r="28" spans="1:58" ht="24" customHeight="1">
      <c r="A28" s="73">
        <v>13</v>
      </c>
      <c r="B28" s="74" t="s">
        <v>52</v>
      </c>
      <c r="C28" s="75">
        <f t="shared" ca="1" si="0"/>
        <v>1017600</v>
      </c>
      <c r="D28" s="76">
        <f t="shared" ca="1" si="112"/>
        <v>897600</v>
      </c>
      <c r="E28" s="77">
        <f ca="1">IFERROR(__xludf.DUMMYFUNCTION("IMPORTRANGE(""https://docs.google.com/spreadsheets/d/1C3CXT74ZlgGe6_JY_1olB1XN4rF0dxEuIIF-xsYjHgg/edit?usp=sharing"",""พรบ!BX32"")"),491200)</f>
        <v>491200</v>
      </c>
      <c r="F28" s="77">
        <f ca="1">IFERROR(__xludf.DUMMYFUNCTION("IMPORTRANGE(""https://docs.google.com/spreadsheets/d/1C3CXT74ZlgGe6_JY_1olB1XN4rF0dxEuIIF-xsYjHgg/edit?usp=sharing"",""พรบ!BY32"")"),406400)</f>
        <v>406400</v>
      </c>
      <c r="G28" s="77">
        <f ca="1">IFERROR(__xludf.DUMMYFUNCTION("IMPORTRANGE(""https://docs.google.com/spreadsheets/d/1Yj_ptqi66GCucihVvJfMjLAmec39IyEx_6qawtMGysU/edit?usp=sharing"",""สบก!DJ32"")"),120000)</f>
        <v>120000</v>
      </c>
      <c r="H28" s="77">
        <f ca="1">IFERROR(__xludf.DUMMYFUNCTION("IMPORTRANGE(""https://docs.google.com/spreadsheets/d/1Yj_ptqi66GCucihVvJfMjLAmec39IyEx_6qawtMGysU/edit?usp=shDLing"",""สบก!DL32"")"),642410)</f>
        <v>642410</v>
      </c>
      <c r="I28" s="77">
        <f t="shared" ca="1" si="3"/>
        <v>577735.77</v>
      </c>
      <c r="J28" s="77">
        <f t="shared" ca="1" si="4"/>
        <v>56.774348466981131</v>
      </c>
      <c r="K28" s="77">
        <f ca="1">IFERROR(__xludf.DUMMYFUNCTION("IMPORTRANGE(""https://docs.google.com/spreadsheets/d/1Yj_ptqi66GCucihVvJfMjLAmec39IyEx_6qawtMGysU/edit?usp=sharing"",""สบก!DM32"")"),457735.77)</f>
        <v>457735.77</v>
      </c>
      <c r="L28" s="137">
        <f t="shared" ca="1" si="5"/>
        <v>50.995518048128339</v>
      </c>
      <c r="M28" s="137">
        <f t="shared" ca="1" si="6"/>
        <v>71.25290235208044</v>
      </c>
      <c r="N28" s="137">
        <f ca="1">IFERROR(__xludf.DUMMYFUNCTION("IMPORTRANGE(""https://docs.google.com/spreadsheets/d/1Yj_ptqi66GCucihVvJfMjLAmec39IyEx_6qawtMGysU/edit?usp=sharing"",""สบก!DN32"")"),120000)</f>
        <v>120000</v>
      </c>
      <c r="O28" s="137">
        <f t="shared" ca="1" si="7"/>
        <v>100</v>
      </c>
      <c r="P28" s="77">
        <f ca="1">IFERROR(__xludf.DUMMYFUNCTION("IMPORTRANGE(""https://docs.google.com/spreadsheets/d/1C3CXT74ZlgGe6_JY_1olB1XN4rF0dxEuIIF-xsYjHgg/edit?usp=sharing"",""พรบ!CA32"")"),400)</f>
        <v>400</v>
      </c>
      <c r="Q28" s="77">
        <f ca="1">IFERROR(__xludf.DUMMYFUNCTION("IMPORTRANGE(""https://docs.google.com/spreadsheets/d/1C3CXT74ZlgGe6_JY_1olB1XN4rF0dxEuIIF-xsYjHgg/edit?usp=sharing"",""พรบ!BZ32"")"),1700)</f>
        <v>1700</v>
      </c>
      <c r="R28" s="218">
        <f t="shared" ca="1" si="95"/>
        <v>240</v>
      </c>
      <c r="S28" s="77">
        <f ca="1">IFERROR(__xludf.DUMMYFUNCTION("IMPORTRANGE(""https://docs.google.com/spreadsheets/d/11923uPwbBZFjjGgGUA6NLw09EwE0CqkOc4q9oUmW1yo/edit?usp=sharing"",""ลำปาง!j234"")"),219)</f>
        <v>219</v>
      </c>
      <c r="T28" s="77">
        <f ca="1">IFERROR(__xludf.DUMMYFUNCTION("IMPORTRANGE(""https://docs.google.com/spreadsheets/d/11923uPwbBZFjjGgGUA6NLw09EwE0CqkOc4q9oUmW1yo/edit?usp=sharing"",""ลำปาง!j235"")"),1212.41)</f>
        <v>1212.4100000000001</v>
      </c>
      <c r="U28" s="137">
        <f t="shared" ca="1" si="10"/>
        <v>71.318235294117656</v>
      </c>
      <c r="V28" s="77">
        <f ca="1">IFERROR(__xludf.DUMMYFUNCTION("IMPORTRANGE(""https://docs.google.com/spreadsheets/d/11923uPwbBZFjjGgGUA6NLw09EwE0CqkOc4q9oUmW1yo/edit?usp=sharing"",""ลำปาง!j236"")"),313)</f>
        <v>313</v>
      </c>
      <c r="W28" s="77">
        <f ca="1">IFERROR(__xludf.DUMMYFUNCTION("IMPORTRANGE(""https://docs.google.com/spreadsheets/d/11923uPwbBZFjjGgGUA6NLw09EwE0CqkOc4q9oUmW1yo/edit?usp=sharing"",""ลำปาง!j237"")"),1903.97)</f>
        <v>1903.97</v>
      </c>
      <c r="X28" s="137">
        <f t="shared" ca="1" si="12"/>
        <v>78.25</v>
      </c>
      <c r="Y28" s="77">
        <f ca="1">IFERROR(__xludf.DUMMYFUNCTION("IMPORTRANGE(""https://docs.google.com/spreadsheets/d/11923uPwbBZFjjGgGUA6NLw09EwE0CqkOc4q9oUmW1yo/edit?usp=sharing"",""ลำปาง!j238"")"),1)</f>
        <v>1</v>
      </c>
      <c r="Z28" s="77">
        <f ca="1">IFERROR(__xludf.DUMMYFUNCTION("IMPORTRANGE(""https://docs.google.com/spreadsheets/d/11923uPwbBZFjjGgGUA6NLw09EwE0CqkOc4q9oUmW1yo/edit?usp=sharing"",""ลำปาง!j239"")"),1.13)</f>
        <v>1.1299999999999999</v>
      </c>
      <c r="AA28" s="137">
        <f t="shared" ca="1" si="14"/>
        <v>0.25</v>
      </c>
      <c r="AB28" s="77">
        <f ca="1">IFERROR(__xludf.DUMMYFUNCTION("IMPORTRANGE(""https://docs.google.com/spreadsheets/d/11923uPwbBZFjjGgGUA6NLw09EwE0CqkOc4q9oUmW1yo/edit?usp=sharing"",""ลำปาง!j240"")"),188)</f>
        <v>188</v>
      </c>
      <c r="AC28" s="77">
        <f ca="1">IFERROR(__xludf.DUMMYFUNCTION("IMPORTRANGE(""https://docs.google.com/spreadsheets/d/11923uPwbBZFjjGgGUA6NLw09EwE0CqkOc4q9oUmW1yo/edit?usp=sharing"",""ลำปาง!j241"")"),1067.68999999999)</f>
        <v>1067.6899999999901</v>
      </c>
      <c r="AD28" s="219">
        <f t="shared" ca="1" si="16"/>
        <v>47</v>
      </c>
      <c r="AE28" s="215">
        <f ca="1">IFERROR(__xludf.DUMMYFUNCTION("IMPORTRANGE(""https://docs.google.com/spreadsheets/d/1AGHcLOeeYFL3K4b9R1dSzyJy00PE_ra89DNTVfnxSWM/edit?usp=sharing"",""รวมที่ทำกิน!AA21"")"),1000)</f>
        <v>1000</v>
      </c>
      <c r="AF28" s="215">
        <f ca="1">IFERROR(__xludf.DUMMYFUNCTION("IMPORTRANGE(""https://docs.google.com/spreadsheets/d/1AGHcLOeeYFL3K4b9R1dSzyJy00PE_ra89DNTVfnxSWM/edit?usp=sharing"",""รวมที่ทำกิน!AB21"")"),131)</f>
        <v>131</v>
      </c>
      <c r="AG28" s="215">
        <f ca="1">IFERROR(__xludf.DUMMYFUNCTION("IMPORTRANGE(""https://docs.google.com/spreadsheets/d/1AGHcLOeeYFL3K4b9R1dSzyJy00PE_ra89DNTVfnxSWM/edit?usp=sharing"",""รวมที่ทำกิน!AD21"")"),858.73)</f>
        <v>858.73</v>
      </c>
      <c r="AH28" s="219">
        <f t="shared" ca="1" si="101"/>
        <v>85.873000000000005</v>
      </c>
      <c r="AI28" s="215">
        <f ca="1">IFERROR(__xludf.DUMMYFUNCTION("IMPORTRANGE(""https://docs.google.com/spreadsheets/d/1AGHcLOeeYFL3K4b9R1dSzyJy00PE_ra89DNTVfnxSWM/edit?usp=sharing"",""รวมที่ทำกิน!AE21"")"),120)</f>
        <v>120</v>
      </c>
      <c r="AJ28" s="215">
        <f ca="1">IFERROR(__xludf.DUMMYFUNCTION("IMPORTRANGE(""https://docs.google.com/spreadsheets/d/1AGHcLOeeYFL3K4b9R1dSzyJy00PE_ra89DNTVfnxSWM/edit?usp=sharing"",""รวมที่ทำกิน!AF21"")"),127)</f>
        <v>127</v>
      </c>
      <c r="AK28" s="215">
        <f ca="1">IFERROR(__xludf.DUMMYFUNCTION("IMPORTRANGE(""https://docs.google.com/spreadsheets/d/1AGHcLOeeYFL3K4b9R1dSzyJy00PE_ra89DNTVfnxSWM/edit?usp=sharing"",""รวมที่ทำกิน!AH21"")"),873.8)</f>
        <v>873.8</v>
      </c>
      <c r="AL28" s="220">
        <f t="shared" ca="1" si="103"/>
        <v>105.83333333333333</v>
      </c>
      <c r="AM28" s="215">
        <f ca="1">IFERROR(__xludf.DUMMYFUNCTION("IMPORTRANGE(""https://docs.google.com/spreadsheets/d/1AGHcLOeeYFL3K4b9R1dSzyJy00PE_ra89DNTVfnxSWM/edit?usp=sharing"",""รวมที่ทำกิน!AI21"")"),0)</f>
        <v>0</v>
      </c>
      <c r="AN28" s="215">
        <f ca="1">IFERROR(__xludf.DUMMYFUNCTION("IMPORTRANGE(""https://docs.google.com/spreadsheets/d/1AGHcLOeeYFL3K4b9R1dSzyJy00PE_ra89DNTVfnxSWM/edit?usp=sharing"",""รวมที่ทำกิน!AK21"")"),0)</f>
        <v>0</v>
      </c>
      <c r="AO28" s="220">
        <f t="shared" ca="1" si="22"/>
        <v>0</v>
      </c>
      <c r="AP28" s="215">
        <f ca="1">IFERROR(__xludf.DUMMYFUNCTION("IMPORTRANGE(""https://docs.google.com/spreadsheets/d/1AGHcLOeeYFL3K4b9R1dSzyJy00PE_ra89DNTVfnxSWM/edit?usp=sharing"",""รวมที่ทำกิน!AL21"")"),1)</f>
        <v>1</v>
      </c>
      <c r="AQ28" s="215">
        <f ca="1">IFERROR(__xludf.DUMMYFUNCTION("IMPORTRANGE(""https://docs.google.com/spreadsheets/d/1AGHcLOeeYFL3K4b9R1dSzyJy00PE_ra89DNTVfnxSWM/edit?usp=sharing"",""รวมที่ทำกิน!AN21"")"),28.11)</f>
        <v>28.11</v>
      </c>
      <c r="AR28" s="220">
        <f t="shared" ca="1" si="24"/>
        <v>0.83333333333333337</v>
      </c>
      <c r="AS28" s="215">
        <f ca="1">IFERROR(__xludf.DUMMYFUNCTION("IMPORTRANGE(""https://docs.google.com/spreadsheets/d/1AGHcLOeeYFL3K4b9R1dSzyJy00PE_ra89DNTVfnxSWM/edit?usp=sharing"",""รวมที่ทำกิน!AO21"")"),700)</f>
        <v>700</v>
      </c>
      <c r="AT28" s="215">
        <f ca="1">IFERROR(__xludf.DUMMYFUNCTION("IMPORTRANGE(""https://docs.google.com/spreadsheets/d/1AGHcLOeeYFL3K4b9R1dSzyJy00PE_ra89DNTVfnxSWM/edit?usp=sharing"",""รวมที่ทำกิน!AP21"")"),88)</f>
        <v>88</v>
      </c>
      <c r="AU28" s="215">
        <f ca="1">IFERROR(__xludf.DUMMYFUNCTION("IMPORTRANGE(""https://docs.google.com/spreadsheets/d/1AGHcLOeeYFL3K4b9R1dSzyJy00PE_ra89DNTVfnxSWM/edit?usp=sharing"",""รวมที่ทำกิน!AR21"")"),353.68)</f>
        <v>353.68</v>
      </c>
      <c r="AV28" s="220">
        <f t="shared" ca="1" si="107"/>
        <v>50.525714285714287</v>
      </c>
      <c r="AW28" s="215">
        <f ca="1">IFERROR(__xludf.DUMMYFUNCTION("IMPORTRANGE(""https://docs.google.com/spreadsheets/d/1AGHcLOeeYFL3K4b9R1dSzyJy00PE_ra89DNTVfnxSWM/edit?usp=sharing"",""รวมที่ทำกิน!AS21"")"),280)</f>
        <v>280</v>
      </c>
      <c r="AX28" s="215">
        <f ca="1">IFERROR(__xludf.DUMMYFUNCTION("IMPORTRANGE(""https://docs.google.com/spreadsheets/d/1AGHcLOeeYFL3K4b9R1dSzyJy00PE_ra89DNTVfnxSWM/edit?usp=sharing"",""รวมที่ทำกิน!AT21"")"),186)</f>
        <v>186</v>
      </c>
      <c r="AY28" s="215">
        <f ca="1">IFERROR(__xludf.DUMMYFUNCTION("IMPORTRANGE(""https://docs.google.com/spreadsheets/d/1AGHcLOeeYFL3K4b9R1dSzyJy00PE_ra89DNTVfnxSWM/edit?usp=sharing"",""รวมที่ทำกิน!AV21"")"),1030.17)</f>
        <v>1030.17</v>
      </c>
      <c r="AZ28" s="220">
        <f t="shared" ca="1" si="109"/>
        <v>66.428571428571431</v>
      </c>
      <c r="BA28" s="215">
        <f ca="1">IFERROR(__xludf.DUMMYFUNCTION("IMPORTRANGE(""https://docs.google.com/spreadsheets/d/1AGHcLOeeYFL3K4b9R1dSzyJy00PE_ra89DNTVfnxSWM/edit?usp=sharing"",""รวมที่ทำกิน!AW21"")"),1)</f>
        <v>1</v>
      </c>
      <c r="BB28" s="215">
        <f ca="1">IFERROR(__xludf.DUMMYFUNCTION("IMPORTRANGE(""https://docs.google.com/spreadsheets/d/1AGHcLOeeYFL3K4b9R1dSzyJy00PE_ra89DNTVfnxSWM/edit?usp=sharing"",""รวมที่ทำกิน!AY21"")"),1.13)</f>
        <v>1.1299999999999999</v>
      </c>
      <c r="BC28" s="220">
        <f t="shared" ca="1" si="30"/>
        <v>0.35714285714285715</v>
      </c>
      <c r="BD28" s="215">
        <f ca="1">IFERROR(__xludf.DUMMYFUNCTION("IMPORTRANGE(""https://docs.google.com/spreadsheets/d/1AGHcLOeeYFL3K4b9R1dSzyJy00PE_ra89DNTVfnxSWM/edit?usp=sharing"",""รวมที่ทำกิน!AZ21"")"),187)</f>
        <v>187</v>
      </c>
      <c r="BE28" s="215">
        <f ca="1">IFERROR(__xludf.DUMMYFUNCTION("IMPORTRANGE(""https://docs.google.com/spreadsheets/d/1AGHcLOeeYFL3K4b9R1dSzyJy00PE_ra89DNTVfnxSWM/edit?usp=sharing"",""รวมที่ทำกิน!BB21"")"),1039.58)</f>
        <v>1039.58</v>
      </c>
      <c r="BF28" s="221">
        <f t="shared" ca="1" si="32"/>
        <v>66.785714285714292</v>
      </c>
    </row>
    <row r="29" spans="1:58" ht="24" customHeight="1">
      <c r="A29" s="73">
        <v>14</v>
      </c>
      <c r="B29" s="74" t="s">
        <v>53</v>
      </c>
      <c r="C29" s="75">
        <f t="shared" ca="1" si="0"/>
        <v>733780</v>
      </c>
      <c r="D29" s="76">
        <f t="shared" ca="1" si="112"/>
        <v>722380</v>
      </c>
      <c r="E29" s="77">
        <f ca="1">IFERROR(__xludf.DUMMYFUNCTION("IMPORTRANGE(""https://docs.google.com/spreadsheets/d/1C3CXT74ZlgGe6_JY_1olB1XN4rF0dxEuIIF-xsYjHgg/edit?usp=sharing"",""พรบ!BX33"")"),417600)</f>
        <v>417600</v>
      </c>
      <c r="F29" s="77">
        <f ca="1">IFERROR(__xludf.DUMMYFUNCTION("IMPORTRANGE(""https://docs.google.com/spreadsheets/d/1C3CXT74ZlgGe6_JY_1olB1XN4rF0dxEuIIF-xsYjHgg/edit?usp=sharing"",""พรบ!BY33"")"),304780)</f>
        <v>304780</v>
      </c>
      <c r="G29" s="77">
        <f ca="1">IFERROR(__xludf.DUMMYFUNCTION("IMPORTRANGE(""https://docs.google.com/spreadsheets/d/1Yj_ptqi66GCucihVvJfMjLAmec39IyEx_6qawtMGysU/edit?usp=sharing"",""สบก!DJ33"")"),11400)</f>
        <v>11400</v>
      </c>
      <c r="H29" s="77">
        <f ca="1">IFERROR(__xludf.DUMMYFUNCTION("IMPORTRANGE(""https://docs.google.com/spreadsheets/d/1Yj_ptqi66GCucihVvJfMjLAmec39IyEx_6qawtMGysU/edit?usp=shDLing"",""สบก!DL33"")"),518840)</f>
        <v>518840</v>
      </c>
      <c r="I29" s="77">
        <f t="shared" ca="1" si="3"/>
        <v>310514</v>
      </c>
      <c r="J29" s="77">
        <f t="shared" ca="1" si="4"/>
        <v>42.317043255471667</v>
      </c>
      <c r="K29" s="77">
        <f ca="1">IFERROR(__xludf.DUMMYFUNCTION("IMPORTRANGE(""https://docs.google.com/spreadsheets/d/1Yj_ptqi66GCucihVvJfMjLAmec39IyEx_6qawtMGysU/edit?usp=sharing"",""สบก!DM33"")"),299114)</f>
        <v>299114</v>
      </c>
      <c r="L29" s="137">
        <f t="shared" ca="1" si="5"/>
        <v>41.406738835515931</v>
      </c>
      <c r="M29" s="137">
        <f t="shared" ca="1" si="6"/>
        <v>57.650528101148716</v>
      </c>
      <c r="N29" s="137">
        <f ca="1">IFERROR(__xludf.DUMMYFUNCTION("IMPORTRANGE(""https://docs.google.com/spreadsheets/d/1Yj_ptqi66GCucihVvJfMjLAmec39IyEx_6qawtMGysU/edit?usp=sharing"",""สบก!DN33"")"),11400)</f>
        <v>11400</v>
      </c>
      <c r="O29" s="137">
        <f t="shared" ca="1" si="7"/>
        <v>100</v>
      </c>
      <c r="P29" s="77">
        <f ca="1">IFERROR(__xludf.DUMMYFUNCTION("IMPORTRANGE(""https://docs.google.com/spreadsheets/d/1C3CXT74ZlgGe6_JY_1olB1XN4rF0dxEuIIF-xsYjHgg/edit?usp=sharing"",""พรบ!CA33"")"),222)</f>
        <v>222</v>
      </c>
      <c r="Q29" s="77">
        <f ca="1">IFERROR(__xludf.DUMMYFUNCTION("IMPORTRANGE(""https://docs.google.com/spreadsheets/d/1C3CXT74ZlgGe6_JY_1olB1XN4rF0dxEuIIF-xsYjHgg/edit?usp=sharing"",""พรบ!BZ33"")"),700)</f>
        <v>700</v>
      </c>
      <c r="R29" s="218">
        <f t="shared" ca="1" si="95"/>
        <v>133.19999999999999</v>
      </c>
      <c r="S29" s="77">
        <f ca="1">IFERROR(__xludf.DUMMYFUNCTION("IMPORTRANGE(""https://docs.google.com/spreadsheets/d/11923uPwbBZFjjGgGUA6NLw09EwE0CqkOc4q9oUmW1yo/edit?usp=sharing"",""ลำพูน!j234"")"),62)</f>
        <v>62</v>
      </c>
      <c r="T29" s="77">
        <f ca="1">IFERROR(__xludf.DUMMYFUNCTION("IMPORTRANGE(""https://docs.google.com/spreadsheets/d/11923uPwbBZFjjGgGUA6NLw09EwE0CqkOc4q9oUmW1yo/edit?usp=sharing"",""ลำพูน!j235"")"),227.29)</f>
        <v>227.29</v>
      </c>
      <c r="U29" s="137">
        <f t="shared" ca="1" si="10"/>
        <v>32.47</v>
      </c>
      <c r="V29" s="77">
        <f ca="1">IFERROR(__xludf.DUMMYFUNCTION("IMPORTRANGE(""https://docs.google.com/spreadsheets/d/11923uPwbBZFjjGgGUA6NLw09EwE0CqkOc4q9oUmW1yo/edit?usp=sharing"",""ลำพูน!j236"")"),109)</f>
        <v>109</v>
      </c>
      <c r="W29" s="77">
        <f ca="1">IFERROR(__xludf.DUMMYFUNCTION("IMPORTRANGE(""https://docs.google.com/spreadsheets/d/11923uPwbBZFjjGgGUA6NLw09EwE0CqkOc4q9oUmW1yo/edit?usp=sharing"",""ลำพูน!j237"")"),691.33)</f>
        <v>691.33</v>
      </c>
      <c r="X29" s="137">
        <f t="shared" ca="1" si="12"/>
        <v>49.099099099099099</v>
      </c>
      <c r="Y29" s="77">
        <f ca="1">IFERROR(__xludf.DUMMYFUNCTION("IMPORTRANGE(""https://docs.google.com/spreadsheets/d/11923uPwbBZFjjGgGUA6NLw09EwE0CqkOc4q9oUmW1yo/edit?usp=sharing"",""ลำพูน!j238"")"),0)</f>
        <v>0</v>
      </c>
      <c r="Z29" s="77">
        <f ca="1">IFERROR(__xludf.DUMMYFUNCTION("IMPORTRANGE(""https://docs.google.com/spreadsheets/d/11923uPwbBZFjjGgGUA6NLw09EwE0CqkOc4q9oUmW1yo/edit?usp=sharing"",""ลำพูน!j239"")"),0)</f>
        <v>0</v>
      </c>
      <c r="AA29" s="137">
        <f t="shared" ca="1" si="14"/>
        <v>0</v>
      </c>
      <c r="AB29" s="77">
        <f ca="1">IFERROR(__xludf.DUMMYFUNCTION("IMPORTRANGE(""https://docs.google.com/spreadsheets/d/11923uPwbBZFjjGgGUA6NLw09EwE0CqkOc4q9oUmW1yo/edit?usp=sharing"",""ลำพูน!j240"")"),100)</f>
        <v>100</v>
      </c>
      <c r="AC29" s="77">
        <f ca="1">IFERROR(__xludf.DUMMYFUNCTION("IMPORTRANGE(""https://docs.google.com/spreadsheets/d/11923uPwbBZFjjGgGUA6NLw09EwE0CqkOc4q9oUmW1yo/edit?usp=sharing"",""ลำพูน!j241"")"),663.87)</f>
        <v>663.87</v>
      </c>
      <c r="AD29" s="219">
        <f t="shared" ca="1" si="16"/>
        <v>45.045045045045043</v>
      </c>
      <c r="AE29" s="215">
        <f ca="1">IFERROR(__xludf.DUMMYFUNCTION("IMPORTRANGE(""https://docs.google.com/spreadsheets/d/1AGHcLOeeYFL3K4b9R1dSzyJy00PE_ra89DNTVfnxSWM/edit?usp=sharing"",""รวมที่ทำกิน!AA22"")"),500)</f>
        <v>500</v>
      </c>
      <c r="AF29" s="215">
        <f ca="1">IFERROR(__xludf.DUMMYFUNCTION("IMPORTRANGE(""https://docs.google.com/spreadsheets/d/1AGHcLOeeYFL3K4b9R1dSzyJy00PE_ra89DNTVfnxSWM/edit?usp=sharing"",""รวมที่ทำกิน!AB22"")"),62)</f>
        <v>62</v>
      </c>
      <c r="AG29" s="215">
        <f ca="1">IFERROR(__xludf.DUMMYFUNCTION("IMPORTRANGE(""https://docs.google.com/spreadsheets/d/1AGHcLOeeYFL3K4b9R1dSzyJy00PE_ra89DNTVfnxSWM/edit?usp=sharing"",""รวมที่ทำกิน!AD22"")"),227.29)</f>
        <v>227.29</v>
      </c>
      <c r="AH29" s="219">
        <f t="shared" ca="1" si="101"/>
        <v>45.457999999999998</v>
      </c>
      <c r="AI29" s="215">
        <f ca="1">IFERROR(__xludf.DUMMYFUNCTION("IMPORTRANGE(""https://docs.google.com/spreadsheets/d/1AGHcLOeeYFL3K4b9R1dSzyJy00PE_ra89DNTVfnxSWM/edit?usp=sharing"",""รวมที่ทำกิน!AE22"")"),142)</f>
        <v>142</v>
      </c>
      <c r="AJ29" s="215">
        <f ca="1">IFERROR(__xludf.DUMMYFUNCTION("IMPORTRANGE(""https://docs.google.com/spreadsheets/d/1AGHcLOeeYFL3K4b9R1dSzyJy00PE_ra89DNTVfnxSWM/edit?usp=sharing"",""รวมที่ทำกิน!AF22"")"),25)</f>
        <v>25</v>
      </c>
      <c r="AK29" s="215">
        <f ca="1">IFERROR(__xludf.DUMMYFUNCTION("IMPORTRANGE(""https://docs.google.com/spreadsheets/d/1AGHcLOeeYFL3K4b9R1dSzyJy00PE_ra89DNTVfnxSWM/edit?usp=sharing"",""รวมที่ทำกิน!AH22"")"),61.26)</f>
        <v>61.26</v>
      </c>
      <c r="AL29" s="220">
        <f t="shared" ca="1" si="103"/>
        <v>17.6056338028169</v>
      </c>
      <c r="AM29" s="215">
        <f ca="1">IFERROR(__xludf.DUMMYFUNCTION("IMPORTRANGE(""https://docs.google.com/spreadsheets/d/1AGHcLOeeYFL3K4b9R1dSzyJy00PE_ra89DNTVfnxSWM/edit?usp=sharing"",""รวมที่ทำกิน!AI22"")"),0)</f>
        <v>0</v>
      </c>
      <c r="AN29" s="215">
        <f ca="1">IFERROR(__xludf.DUMMYFUNCTION("IMPORTRANGE(""https://docs.google.com/spreadsheets/d/1AGHcLOeeYFL3K4b9R1dSzyJy00PE_ra89DNTVfnxSWM/edit?usp=sharing"",""รวมที่ทำกิน!AK22"")"),0)</f>
        <v>0</v>
      </c>
      <c r="AO29" s="220">
        <f t="shared" ca="1" si="22"/>
        <v>0</v>
      </c>
      <c r="AP29" s="215">
        <f ca="1">IFERROR(__xludf.DUMMYFUNCTION("IMPORTRANGE(""https://docs.google.com/spreadsheets/d/1AGHcLOeeYFL3K4b9R1dSzyJy00PE_ra89DNTVfnxSWM/edit?usp=sharing"",""รวมที่ทำกิน!AL22"")"),18)</f>
        <v>18</v>
      </c>
      <c r="AQ29" s="215">
        <f ca="1">IFERROR(__xludf.DUMMYFUNCTION("IMPORTRANGE(""https://docs.google.com/spreadsheets/d/1AGHcLOeeYFL3K4b9R1dSzyJy00PE_ra89DNTVfnxSWM/edit?usp=sharing"",""รวมที่ทำกิน!AN22"")"),46.33)</f>
        <v>46.33</v>
      </c>
      <c r="AR29" s="220">
        <f t="shared" ca="1" si="24"/>
        <v>12.67605633802817</v>
      </c>
      <c r="AS29" s="215">
        <f ca="1">IFERROR(__xludf.DUMMYFUNCTION("IMPORTRANGE(""https://docs.google.com/spreadsheets/d/1AGHcLOeeYFL3K4b9R1dSzyJy00PE_ra89DNTVfnxSWM/edit?usp=sharing"",""รวมที่ทำกิน!AO22"")"),200)</f>
        <v>200</v>
      </c>
      <c r="AT29" s="215">
        <f ca="1">IFERROR(__xludf.DUMMYFUNCTION("IMPORTRANGE(""https://docs.google.com/spreadsheets/d/1AGHcLOeeYFL3K4b9R1dSzyJy00PE_ra89DNTVfnxSWM/edit?usp=sharing"",""รวมที่ทำกิน!AP22"")"),0)</f>
        <v>0</v>
      </c>
      <c r="AU29" s="215">
        <f ca="1">IFERROR(__xludf.DUMMYFUNCTION("IMPORTRANGE(""https://docs.google.com/spreadsheets/d/1AGHcLOeeYFL3K4b9R1dSzyJy00PE_ra89DNTVfnxSWM/edit?usp=sharing"",""รวมที่ทำกิน!AR22"")"),0)</f>
        <v>0</v>
      </c>
      <c r="AV29" s="220">
        <f t="shared" ca="1" si="107"/>
        <v>0</v>
      </c>
      <c r="AW29" s="215">
        <f ca="1">IFERROR(__xludf.DUMMYFUNCTION("IMPORTRANGE(""https://docs.google.com/spreadsheets/d/1AGHcLOeeYFL3K4b9R1dSzyJy00PE_ra89DNTVfnxSWM/edit?usp=sharing"",""รวมที่ทำกิน!AS22"")"),80)</f>
        <v>80</v>
      </c>
      <c r="AX29" s="215">
        <f ca="1">IFERROR(__xludf.DUMMYFUNCTION("IMPORTRANGE(""https://docs.google.com/spreadsheets/d/1AGHcLOeeYFL3K4b9R1dSzyJy00PE_ra89DNTVfnxSWM/edit?usp=sharing"",""รวมที่ทำกิน!AT22"")"),84)</f>
        <v>84</v>
      </c>
      <c r="AY29" s="215">
        <f ca="1">IFERROR(__xludf.DUMMYFUNCTION("IMPORTRANGE(""https://docs.google.com/spreadsheets/d/1AGHcLOeeYFL3K4b9R1dSzyJy00PE_ra89DNTVfnxSWM/edit?usp=sharing"",""รวมที่ทำกิน!AV22"")"),630.07)</f>
        <v>630.07000000000005</v>
      </c>
      <c r="AZ29" s="220">
        <f t="shared" ca="1" si="109"/>
        <v>105</v>
      </c>
      <c r="BA29" s="215">
        <f ca="1">IFERROR(__xludf.DUMMYFUNCTION("IMPORTRANGE(""https://docs.google.com/spreadsheets/d/1AGHcLOeeYFL3K4b9R1dSzyJy00PE_ra89DNTVfnxSWM/edit?usp=sharing"",""รวมที่ทำกิน!AW22"")"),0)</f>
        <v>0</v>
      </c>
      <c r="BB29" s="215">
        <f ca="1">IFERROR(__xludf.DUMMYFUNCTION("IMPORTRANGE(""https://docs.google.com/spreadsheets/d/1AGHcLOeeYFL3K4b9R1dSzyJy00PE_ra89DNTVfnxSWM/edit?usp=sharing"",""รวมที่ทำกิน!AY22"")"),0)</f>
        <v>0</v>
      </c>
      <c r="BC29" s="220">
        <f t="shared" ca="1" si="30"/>
        <v>0</v>
      </c>
      <c r="BD29" s="215">
        <f ca="1">IFERROR(__xludf.DUMMYFUNCTION("IMPORTRANGE(""https://docs.google.com/spreadsheets/d/1AGHcLOeeYFL3K4b9R1dSzyJy00PE_ra89DNTVfnxSWM/edit?usp=sharing"",""รวมที่ทำกิน!AZ22"")"),82)</f>
        <v>82</v>
      </c>
      <c r="BE29" s="215">
        <f ca="1">IFERROR(__xludf.DUMMYFUNCTION("IMPORTRANGE(""https://docs.google.com/spreadsheets/d/1AGHcLOeeYFL3K4b9R1dSzyJy00PE_ra89DNTVfnxSWM/edit?usp=sharing"",""รวมที่ทำกิน!BB22"")"),617.54)</f>
        <v>617.54</v>
      </c>
      <c r="BF29" s="221">
        <f t="shared" ca="1" si="32"/>
        <v>102.5</v>
      </c>
    </row>
    <row r="30" spans="1:58" ht="24" customHeight="1">
      <c r="A30" s="73">
        <v>15</v>
      </c>
      <c r="B30" s="74" t="s">
        <v>54</v>
      </c>
      <c r="C30" s="75">
        <f t="shared" ca="1" si="0"/>
        <v>868030</v>
      </c>
      <c r="D30" s="76">
        <f t="shared" ca="1" si="112"/>
        <v>868030</v>
      </c>
      <c r="E30" s="77">
        <f ca="1">IFERROR(__xludf.DUMMYFUNCTION("IMPORTRANGE(""https://docs.google.com/spreadsheets/d/1C3CXT74ZlgGe6_JY_1olB1XN4rF0dxEuIIF-xsYjHgg/edit?usp=sharing"",""พรบ!BX34"")"),529200)</f>
        <v>529200</v>
      </c>
      <c r="F30" s="77">
        <f ca="1">IFERROR(__xludf.DUMMYFUNCTION("IMPORTRANGE(""https://docs.google.com/spreadsheets/d/1C3CXT74ZlgGe6_JY_1olB1XN4rF0dxEuIIF-xsYjHgg/edit?usp=sharing"",""พรบ!BY34"")"),338830)</f>
        <v>338830</v>
      </c>
      <c r="G30" s="77">
        <f ca="1">IFERROR(__xludf.DUMMYFUNCTION("IMPORTRANGE(""https://docs.google.com/spreadsheets/d/1Yj_ptqi66GCucihVvJfMjLAmec39IyEx_6qawtMGysU/edit?usp=sharing"",""สบก!DJ34"")"),0)</f>
        <v>0</v>
      </c>
      <c r="H30" s="77">
        <f ca="1">IFERROR(__xludf.DUMMYFUNCTION("IMPORTRANGE(""https://docs.google.com/spreadsheets/d/1Yj_ptqi66GCucihVvJfMjLAmec39IyEx_6qawtMGysU/edit?usp=shDLing"",""สบก!DL34"")"),628880)</f>
        <v>628880</v>
      </c>
      <c r="I30" s="77">
        <f t="shared" ca="1" si="3"/>
        <v>388958.32</v>
      </c>
      <c r="J30" s="77">
        <f t="shared" ca="1" si="4"/>
        <v>44.809317650311627</v>
      </c>
      <c r="K30" s="77">
        <f ca="1">IFERROR(__xludf.DUMMYFUNCTION("IMPORTRANGE(""https://docs.google.com/spreadsheets/d/1Yj_ptqi66GCucihVvJfMjLAmec39IyEx_6qawtMGysU/edit?usp=sharing"",""สบก!DM34"")"),388958.32)</f>
        <v>388958.32</v>
      </c>
      <c r="L30" s="137">
        <f t="shared" ca="1" si="5"/>
        <v>44.809317650311627</v>
      </c>
      <c r="M30" s="137">
        <f t="shared" ca="1" si="6"/>
        <v>61.849370309120978</v>
      </c>
      <c r="N30" s="137">
        <f ca="1">IFERROR(__xludf.DUMMYFUNCTION("IMPORTRANGE(""https://docs.google.com/spreadsheets/d/1Yj_ptqi66GCucihVvJfMjLAmec39IyEx_6qawtMGysU/edit?usp=sharing"",""สบก!DN34"")"),0)</f>
        <v>0</v>
      </c>
      <c r="O30" s="137">
        <f t="shared" ca="1" si="7"/>
        <v>0</v>
      </c>
      <c r="P30" s="77">
        <f ca="1">IFERROR(__xludf.DUMMYFUNCTION("IMPORTRANGE(""https://docs.google.com/spreadsheets/d/1C3CXT74ZlgGe6_JY_1olB1XN4rF0dxEuIIF-xsYjHgg/edit?usp=sharing"",""พรบ!CA34"")"),270)</f>
        <v>270</v>
      </c>
      <c r="Q30" s="77">
        <f ca="1">IFERROR(__xludf.DUMMYFUNCTION("IMPORTRANGE(""https://docs.google.com/spreadsheets/d/1C3CXT74ZlgGe6_JY_1olB1XN4rF0dxEuIIF-xsYjHgg/edit?usp=sharing"",""พรบ!BZ34"")"),1440)</f>
        <v>1440</v>
      </c>
      <c r="R30" s="218">
        <f t="shared" ca="1" si="95"/>
        <v>162</v>
      </c>
      <c r="S30" s="77">
        <f ca="1">IFERROR(__xludf.DUMMYFUNCTION("IMPORTRANGE(""https://docs.google.com/spreadsheets/d/11923uPwbBZFjjGgGUA6NLw09EwE0CqkOc4q9oUmW1yo/edit?usp=sharing"",""สุโขทัย!j234"")"),99)</f>
        <v>99</v>
      </c>
      <c r="T30" s="77">
        <f ca="1">IFERROR(__xludf.DUMMYFUNCTION("IMPORTRANGE(""https://docs.google.com/spreadsheets/d/11923uPwbBZFjjGgGUA6NLw09EwE0CqkOc4q9oUmW1yo/edit?usp=sharing"",""สุโขทัย!j235"")"),884.629999999999)</f>
        <v>884.62999999999897</v>
      </c>
      <c r="U30" s="137">
        <f t="shared" ca="1" si="10"/>
        <v>61.432638888888818</v>
      </c>
      <c r="V30" s="77">
        <f ca="1">IFERROR(__xludf.DUMMYFUNCTION("IMPORTRANGE(""https://docs.google.com/spreadsheets/d/11923uPwbBZFjjGgGUA6NLw09EwE0CqkOc4q9oUmW1yo/edit?usp=sharing"",""สุโขทัย!j236"")"),217)</f>
        <v>217</v>
      </c>
      <c r="W30" s="77">
        <f ca="1">IFERROR(__xludf.DUMMYFUNCTION("IMPORTRANGE(""https://docs.google.com/spreadsheets/d/11923uPwbBZFjjGgGUA6NLw09EwE0CqkOc4q9oUmW1yo/edit?usp=sharing"",""สุโขทัย!j237"")"),2542.55)</f>
        <v>2542.5500000000002</v>
      </c>
      <c r="X30" s="137">
        <f t="shared" ca="1" si="12"/>
        <v>80.370370370370367</v>
      </c>
      <c r="Y30" s="77">
        <f ca="1">IFERROR(__xludf.DUMMYFUNCTION("IMPORTRANGE(""https://docs.google.com/spreadsheets/d/11923uPwbBZFjjGgGUA6NLw09EwE0CqkOc4q9oUmW1yo/edit?usp=sharing"",""สุโขทัย!j238"")"),0)</f>
        <v>0</v>
      </c>
      <c r="Z30" s="77">
        <f ca="1">IFERROR(__xludf.DUMMYFUNCTION("IMPORTRANGE(""https://docs.google.com/spreadsheets/d/11923uPwbBZFjjGgGUA6NLw09EwE0CqkOc4q9oUmW1yo/edit?usp=sharing"",""สุโขทัย!j239"")"),0)</f>
        <v>0</v>
      </c>
      <c r="AA30" s="137">
        <f t="shared" ca="1" si="14"/>
        <v>0</v>
      </c>
      <c r="AB30" s="77">
        <f ca="1">IFERROR(__xludf.DUMMYFUNCTION("IMPORTRANGE(""https://docs.google.com/spreadsheets/d/11923uPwbBZFjjGgGUA6NLw09EwE0CqkOc4q9oUmW1yo/edit?usp=sharing"",""สุโขทัย!j240"")"),129)</f>
        <v>129</v>
      </c>
      <c r="AC30" s="77">
        <f ca="1">IFERROR(__xludf.DUMMYFUNCTION("IMPORTRANGE(""https://docs.google.com/spreadsheets/d/11923uPwbBZFjjGgGUA6NLw09EwE0CqkOc4q9oUmW1yo/edit?usp=sharing"",""สุโขทัย!j241"")"),1784.99)</f>
        <v>1784.99</v>
      </c>
      <c r="AD30" s="219">
        <f t="shared" ca="1" si="16"/>
        <v>47.777777777777779</v>
      </c>
      <c r="AE30" s="215">
        <f ca="1">IFERROR(__xludf.DUMMYFUNCTION("IMPORTRANGE(""https://docs.google.com/spreadsheets/d/1AGHcLOeeYFL3K4b9R1dSzyJy00PE_ra89DNTVfnxSWM/edit?usp=sharing"",""รวมที่ทำกิน!AA23"")"),840)</f>
        <v>840</v>
      </c>
      <c r="AF30" s="215">
        <f ca="1">IFERROR(__xludf.DUMMYFUNCTION("IMPORTRANGE(""https://docs.google.com/spreadsheets/d/1AGHcLOeeYFL3K4b9R1dSzyJy00PE_ra89DNTVfnxSWM/edit?usp=sharing"",""รวมที่ทำกิน!AB23"")"),37)</f>
        <v>37</v>
      </c>
      <c r="AG30" s="215">
        <f ca="1">IFERROR(__xludf.DUMMYFUNCTION("IMPORTRANGE(""https://docs.google.com/spreadsheets/d/1AGHcLOeeYFL3K4b9R1dSzyJy00PE_ra89DNTVfnxSWM/edit?usp=sharing"",""รวมที่ทำกิน!AD23"")"),282.09)</f>
        <v>282.08999999999997</v>
      </c>
      <c r="AH30" s="219">
        <f t="shared" ca="1" si="101"/>
        <v>33.582142857142856</v>
      </c>
      <c r="AI30" s="215">
        <f ca="1">IFERROR(__xludf.DUMMYFUNCTION("IMPORTRANGE(""https://docs.google.com/spreadsheets/d/1AGHcLOeeYFL3K4b9R1dSzyJy00PE_ra89DNTVfnxSWM/edit?usp=sharing"",""รวมที่ทำกิน!AE23"")"),70)</f>
        <v>70</v>
      </c>
      <c r="AJ30" s="215">
        <f ca="1">IFERROR(__xludf.DUMMYFUNCTION("IMPORTRANGE(""https://docs.google.com/spreadsheets/d/1AGHcLOeeYFL3K4b9R1dSzyJy00PE_ra89DNTVfnxSWM/edit?usp=sharing"",""รวมที่ทำกิน!AF23"")"),39)</f>
        <v>39</v>
      </c>
      <c r="AK30" s="215">
        <f ca="1">IFERROR(__xludf.DUMMYFUNCTION("IMPORTRANGE(""https://docs.google.com/spreadsheets/d/1AGHcLOeeYFL3K4b9R1dSzyJy00PE_ra89DNTVfnxSWM/edit?usp=sharing"",""รวมที่ทำกิน!AH23"")"),342.53)</f>
        <v>342.53</v>
      </c>
      <c r="AL30" s="220">
        <f t="shared" ca="1" si="103"/>
        <v>55.714285714285715</v>
      </c>
      <c r="AM30" s="215">
        <f ca="1">IFERROR(__xludf.DUMMYFUNCTION("IMPORTRANGE(""https://docs.google.com/spreadsheets/d/1AGHcLOeeYFL3K4b9R1dSzyJy00PE_ra89DNTVfnxSWM/edit?usp=sharing"",""รวมที่ทำกิน!AI23"")"),0)</f>
        <v>0</v>
      </c>
      <c r="AN30" s="215">
        <f ca="1">IFERROR(__xludf.DUMMYFUNCTION("IMPORTRANGE(""https://docs.google.com/spreadsheets/d/1AGHcLOeeYFL3K4b9R1dSzyJy00PE_ra89DNTVfnxSWM/edit?usp=sharing"",""รวมที่ทำกิน!AK23"")"),0)</f>
        <v>0</v>
      </c>
      <c r="AO30" s="220">
        <f t="shared" ca="1" si="22"/>
        <v>0</v>
      </c>
      <c r="AP30" s="215">
        <f ca="1">IFERROR(__xludf.DUMMYFUNCTION("IMPORTRANGE(""https://docs.google.com/spreadsheets/d/1AGHcLOeeYFL3K4b9R1dSzyJy00PE_ra89DNTVfnxSWM/edit?usp=sharing"",""รวมที่ทำกิน!AL23"")"),3)</f>
        <v>3</v>
      </c>
      <c r="AQ30" s="215">
        <f ca="1">IFERROR(__xludf.DUMMYFUNCTION("IMPORTRANGE(""https://docs.google.com/spreadsheets/d/1AGHcLOeeYFL3K4b9R1dSzyJy00PE_ra89DNTVfnxSWM/edit?usp=sharing"",""รวมที่ทำกิน!AN23"")"),53.96)</f>
        <v>53.96</v>
      </c>
      <c r="AR30" s="220">
        <f t="shared" ca="1" si="24"/>
        <v>4.2857142857142856</v>
      </c>
      <c r="AS30" s="215">
        <f ca="1">IFERROR(__xludf.DUMMYFUNCTION("IMPORTRANGE(""https://docs.google.com/spreadsheets/d/1AGHcLOeeYFL3K4b9R1dSzyJy00PE_ra89DNTVfnxSWM/edit?usp=sharing"",""รวมที่ทำกิน!AO23"")"),600)</f>
        <v>600</v>
      </c>
      <c r="AT30" s="215">
        <f ca="1">IFERROR(__xludf.DUMMYFUNCTION("IMPORTRANGE(""https://docs.google.com/spreadsheets/d/1AGHcLOeeYFL3K4b9R1dSzyJy00PE_ra89DNTVfnxSWM/edit?usp=sharing"",""รวมที่ทำกิน!AP23"")"),62)</f>
        <v>62</v>
      </c>
      <c r="AU30" s="215">
        <f ca="1">IFERROR(__xludf.DUMMYFUNCTION("IMPORTRANGE(""https://docs.google.com/spreadsheets/d/1AGHcLOeeYFL3K4b9R1dSzyJy00PE_ra89DNTVfnxSWM/edit?usp=sharing"",""รวมที่ทำกิน!AR23"")"),602.54)</f>
        <v>602.54</v>
      </c>
      <c r="AV30" s="220">
        <f t="shared" ca="1" si="107"/>
        <v>100.42333333333333</v>
      </c>
      <c r="AW30" s="215">
        <f ca="1">IFERROR(__xludf.DUMMYFUNCTION("IMPORTRANGE(""https://docs.google.com/spreadsheets/d/1AGHcLOeeYFL3K4b9R1dSzyJy00PE_ra89DNTVfnxSWM/edit?usp=sharing"",""รวมที่ทำกิน!AS23"")"),200)</f>
        <v>200</v>
      </c>
      <c r="AX30" s="215">
        <f ca="1">IFERROR(__xludf.DUMMYFUNCTION("IMPORTRANGE(""https://docs.google.com/spreadsheets/d/1AGHcLOeeYFL3K4b9R1dSzyJy00PE_ra89DNTVfnxSWM/edit?usp=sharing"",""รวมที่ทำกิน!AT23"")"),178)</f>
        <v>178</v>
      </c>
      <c r="AY30" s="215">
        <f ca="1">IFERROR(__xludf.DUMMYFUNCTION("IMPORTRANGE(""https://docs.google.com/spreadsheets/d/1AGHcLOeeYFL3K4b9R1dSzyJy00PE_ra89DNTVfnxSWM/edit?usp=sharing"",""รวมที่ทำกิน!AV23"")"),2200.02)</f>
        <v>2200.02</v>
      </c>
      <c r="AZ30" s="220">
        <f t="shared" ca="1" si="109"/>
        <v>89</v>
      </c>
      <c r="BA30" s="215">
        <f ca="1">IFERROR(__xludf.DUMMYFUNCTION("IMPORTRANGE(""https://docs.google.com/spreadsheets/d/1AGHcLOeeYFL3K4b9R1dSzyJy00PE_ra89DNTVfnxSWM/edit?usp=sharing"",""รวมที่ทำกิน!AW23"")"),0)</f>
        <v>0</v>
      </c>
      <c r="BB30" s="215">
        <f ca="1">IFERROR(__xludf.DUMMYFUNCTION("IMPORTRANGE(""https://docs.google.com/spreadsheets/d/1AGHcLOeeYFL3K4b9R1dSzyJy00PE_ra89DNTVfnxSWM/edit?usp=sharing"",""รวมที่ทำกิน!AY23"")"),0)</f>
        <v>0</v>
      </c>
      <c r="BC30" s="220">
        <f t="shared" ca="1" si="30"/>
        <v>0</v>
      </c>
      <c r="BD30" s="215">
        <f ca="1">IFERROR(__xludf.DUMMYFUNCTION("IMPORTRANGE(""https://docs.google.com/spreadsheets/d/1AGHcLOeeYFL3K4b9R1dSzyJy00PE_ra89DNTVfnxSWM/edit?usp=sharing"",""รวมที่ทำกิน!AZ23"")"),126)</f>
        <v>126</v>
      </c>
      <c r="BE30" s="215">
        <f ca="1">IFERROR(__xludf.DUMMYFUNCTION("IMPORTRANGE(""https://docs.google.com/spreadsheets/d/1AGHcLOeeYFL3K4b9R1dSzyJy00PE_ra89DNTVfnxSWM/edit?usp=sharing"",""รวมที่ทำกิน!BB23"")"),1731.03)</f>
        <v>1731.03</v>
      </c>
      <c r="BF30" s="221">
        <f t="shared" ca="1" si="32"/>
        <v>63</v>
      </c>
    </row>
    <row r="31" spans="1:58" ht="24" customHeight="1">
      <c r="A31" s="73">
        <v>16</v>
      </c>
      <c r="B31" s="74" t="s">
        <v>55</v>
      </c>
      <c r="C31" s="75">
        <f t="shared" ca="1" si="0"/>
        <v>906300</v>
      </c>
      <c r="D31" s="76">
        <f t="shared" ca="1" si="112"/>
        <v>906300</v>
      </c>
      <c r="E31" s="77">
        <f ca="1">IFERROR(__xludf.DUMMYFUNCTION("IMPORTRANGE(""https://docs.google.com/spreadsheets/d/1C3CXT74ZlgGe6_JY_1olB1XN4rF0dxEuIIF-xsYjHgg/edit?usp=sharing"",""พรบ!BX35"")"),614000)</f>
        <v>614000</v>
      </c>
      <c r="F31" s="77">
        <f ca="1">IFERROR(__xludf.DUMMYFUNCTION("IMPORTRANGE(""https://docs.google.com/spreadsheets/d/1C3CXT74ZlgGe6_JY_1olB1XN4rF0dxEuIIF-xsYjHgg/edit?usp=sharing"",""พรบ!BY35"")"),292300)</f>
        <v>292300</v>
      </c>
      <c r="G31" s="77">
        <f ca="1">IFERROR(__xludf.DUMMYFUNCTION("IMPORTRANGE(""https://docs.google.com/spreadsheets/d/1Yj_ptqi66GCucihVvJfMjLAmec39IyEx_6qawtMGysU/edit?usp=sharing"",""สบก!DJ35"")"),0)</f>
        <v>0</v>
      </c>
      <c r="H31" s="77">
        <f ca="1">IFERROR(__xludf.DUMMYFUNCTION("IMPORTRANGE(""https://docs.google.com/spreadsheets/d/1Yj_ptqi66GCucihVvJfMjLAmec39IyEx_6qawtMGysU/edit?usp=shDLing"",""สบก!DL35"")"),658250)</f>
        <v>658250</v>
      </c>
      <c r="I31" s="77">
        <f t="shared" ca="1" si="3"/>
        <v>401576</v>
      </c>
      <c r="J31" s="77">
        <f t="shared" ca="1" si="4"/>
        <v>44.309389826768175</v>
      </c>
      <c r="K31" s="77">
        <f ca="1">IFERROR(__xludf.DUMMYFUNCTION("IMPORTRANGE(""https://docs.google.com/spreadsheets/d/1Yj_ptqi66GCucihVvJfMjLAmec39IyEx_6qawtMGysU/edit?usp=sharing"",""สบก!DM35"")"),401576)</f>
        <v>401576</v>
      </c>
      <c r="L31" s="137">
        <f t="shared" ca="1" si="5"/>
        <v>44.309389826768175</v>
      </c>
      <c r="M31" s="137">
        <f t="shared" ca="1" si="6"/>
        <v>61.00660843144702</v>
      </c>
      <c r="N31" s="137">
        <f ca="1">IFERROR(__xludf.DUMMYFUNCTION("IMPORTRANGE(""https://docs.google.com/spreadsheets/d/1Yj_ptqi66GCucihVvJfMjLAmec39IyEx_6qawtMGysU/edit?usp=sharing"",""สบก!DN35"")"),0)</f>
        <v>0</v>
      </c>
      <c r="O31" s="137">
        <f t="shared" ca="1" si="7"/>
        <v>0</v>
      </c>
      <c r="P31" s="77">
        <f ca="1">IFERROR(__xludf.DUMMYFUNCTION("IMPORTRANGE(""https://docs.google.com/spreadsheets/d/1C3CXT74ZlgGe6_JY_1olB1XN4rF0dxEuIIF-xsYjHgg/edit?usp=sharing"",""พรบ!CA35"")"),170)</f>
        <v>170</v>
      </c>
      <c r="Q31" s="77">
        <f ca="1">IFERROR(__xludf.DUMMYFUNCTION("IMPORTRANGE(""https://docs.google.com/spreadsheets/d/1C3CXT74ZlgGe6_JY_1olB1XN4rF0dxEuIIF-xsYjHgg/edit?usp=sharing"",""พรบ!BZ35"")"),800)</f>
        <v>800</v>
      </c>
      <c r="R31" s="218">
        <f t="shared" ca="1" si="95"/>
        <v>102</v>
      </c>
      <c r="S31" s="77">
        <f ca="1">IFERROR(__xludf.DUMMYFUNCTION("IMPORTRANGE(""https://docs.google.com/spreadsheets/d/11923uPwbBZFjjGgGUA6NLw09EwE0CqkOc4q9oUmW1yo/edit?usp=sharing"",""อุตรดิตถ์!j234"")"),41)</f>
        <v>41</v>
      </c>
      <c r="T31" s="77">
        <f ca="1">IFERROR(__xludf.DUMMYFUNCTION("IMPORTRANGE(""https://docs.google.com/spreadsheets/d/11923uPwbBZFjjGgGUA6NLw09EwE0CqkOc4q9oUmW1yo/edit?usp=sharing"",""อุตรดิตถ์!j235"")"),198.6)</f>
        <v>198.6</v>
      </c>
      <c r="U31" s="137">
        <f t="shared" ca="1" si="10"/>
        <v>24.824999999999999</v>
      </c>
      <c r="V31" s="77">
        <f ca="1">IFERROR(__xludf.DUMMYFUNCTION("IMPORTRANGE(""https://docs.google.com/spreadsheets/d/11923uPwbBZFjjGgGUA6NLw09EwE0CqkOc4q9oUmW1yo/edit?usp=sharing"",""อุตรดิตถ์!j236"")"),135)</f>
        <v>135</v>
      </c>
      <c r="W31" s="77">
        <f ca="1">IFERROR(__xludf.DUMMYFUNCTION("IMPORTRANGE(""https://docs.google.com/spreadsheets/d/11923uPwbBZFjjGgGUA6NLw09EwE0CqkOc4q9oUmW1yo/edit?usp=sharing"",""อุตรดิตถ์!j237"")"),1355.05)</f>
        <v>1355.05</v>
      </c>
      <c r="X31" s="137">
        <f t="shared" ca="1" si="12"/>
        <v>79.411764705882348</v>
      </c>
      <c r="Y31" s="77">
        <f ca="1">IFERROR(__xludf.DUMMYFUNCTION("IMPORTRANGE(""https://docs.google.com/spreadsheets/d/11923uPwbBZFjjGgGUA6NLw09EwE0CqkOc4q9oUmW1yo/edit?usp=sharing"",""อุตรดิตถ์!j238"")"),0)</f>
        <v>0</v>
      </c>
      <c r="Z31" s="77">
        <f ca="1">IFERROR(__xludf.DUMMYFUNCTION("IMPORTRANGE(""https://docs.google.com/spreadsheets/d/11923uPwbBZFjjGgGUA6NLw09EwE0CqkOc4q9oUmW1yo/edit?usp=sharing"",""อุตรดิตถ์!j239"")"),0)</f>
        <v>0</v>
      </c>
      <c r="AA31" s="137">
        <f t="shared" ca="1" si="14"/>
        <v>0</v>
      </c>
      <c r="AB31" s="77">
        <f ca="1">IFERROR(__xludf.DUMMYFUNCTION("IMPORTRANGE(""https://docs.google.com/spreadsheets/d/11923uPwbBZFjjGgGUA6NLw09EwE0CqkOc4q9oUmW1yo/edit?usp=sharing"",""อุตรดิตถ์!j240"")"),111)</f>
        <v>111</v>
      </c>
      <c r="AC31" s="77">
        <f ca="1">IFERROR(__xludf.DUMMYFUNCTION("IMPORTRANGE(""https://docs.google.com/spreadsheets/d/11923uPwbBZFjjGgGUA6NLw09EwE0CqkOc4q9oUmW1yo/edit?usp=sharing"",""อุตรดิตถ์!j241"")"),1175.56)</f>
        <v>1175.56</v>
      </c>
      <c r="AD31" s="219">
        <f t="shared" ca="1" si="16"/>
        <v>65.294117647058826</v>
      </c>
      <c r="AE31" s="215">
        <f ca="1">IFERROR(__xludf.DUMMYFUNCTION("IMPORTRANGE(""https://docs.google.com/spreadsheets/d/1AGHcLOeeYFL3K4b9R1dSzyJy00PE_ra89DNTVfnxSWM/edit?usp=sharing"",""รวมที่ทำกิน!AA24"")"),500)</f>
        <v>500</v>
      </c>
      <c r="AF31" s="215">
        <f ca="1">IFERROR(__xludf.DUMMYFUNCTION("IMPORTRANGE(""https://docs.google.com/spreadsheets/d/1AGHcLOeeYFL3K4b9R1dSzyJy00PE_ra89DNTVfnxSWM/edit?usp=sharing"",""รวมที่ทำกิน!AB24"")"),14)</f>
        <v>14</v>
      </c>
      <c r="AG31" s="215">
        <f ca="1">IFERROR(__xludf.DUMMYFUNCTION("IMPORTRANGE(""https://docs.google.com/spreadsheets/d/1AGHcLOeeYFL3K4b9R1dSzyJy00PE_ra89DNTVfnxSWM/edit?usp=sharing"",""รวมที่ทำกิน!AD24"")"),46.38)</f>
        <v>46.38</v>
      </c>
      <c r="AH31" s="219">
        <f t="shared" ca="1" si="101"/>
        <v>9.2759999999999998</v>
      </c>
      <c r="AI31" s="215">
        <f ca="1">IFERROR(__xludf.DUMMYFUNCTION("IMPORTRANGE(""https://docs.google.com/spreadsheets/d/1AGHcLOeeYFL3K4b9R1dSzyJy00PE_ra89DNTVfnxSWM/edit?usp=sharing"",""รวมที่ทำกิน!AE24"")"),50)</f>
        <v>50</v>
      </c>
      <c r="AJ31" s="215">
        <f ca="1">IFERROR(__xludf.DUMMYFUNCTION("IMPORTRANGE(""https://docs.google.com/spreadsheets/d/1AGHcLOeeYFL3K4b9R1dSzyJy00PE_ra89DNTVfnxSWM/edit?usp=sharing"",""รวมที่ทำกิน!AF24"")"),9)</f>
        <v>9</v>
      </c>
      <c r="AK31" s="215">
        <f ca="1">IFERROR(__xludf.DUMMYFUNCTION("IMPORTRANGE(""https://docs.google.com/spreadsheets/d/1AGHcLOeeYFL3K4b9R1dSzyJy00PE_ra89DNTVfnxSWM/edit?usp=sharing"",""รวมที่ทำกิน!AH24"")"),20.56)</f>
        <v>20.56</v>
      </c>
      <c r="AL31" s="220">
        <f t="shared" ca="1" si="103"/>
        <v>18</v>
      </c>
      <c r="AM31" s="215">
        <f ca="1">IFERROR(__xludf.DUMMYFUNCTION("IMPORTRANGE(""https://docs.google.com/spreadsheets/d/1AGHcLOeeYFL3K4b9R1dSzyJy00PE_ra89DNTVfnxSWM/edit?usp=sharing"",""รวมที่ทำกิน!AI24"")"),0)</f>
        <v>0</v>
      </c>
      <c r="AN31" s="215">
        <f ca="1">IFERROR(__xludf.DUMMYFUNCTION("IMPORTRANGE(""https://docs.google.com/spreadsheets/d/1AGHcLOeeYFL3K4b9R1dSzyJy00PE_ra89DNTVfnxSWM/edit?usp=sharing"",""รวมที่ทำกิน!AK24"")"),0)</f>
        <v>0</v>
      </c>
      <c r="AO31" s="220">
        <f t="shared" ca="1" si="22"/>
        <v>0</v>
      </c>
      <c r="AP31" s="215">
        <f ca="1">IFERROR(__xludf.DUMMYFUNCTION("IMPORTRANGE(""https://docs.google.com/spreadsheets/d/1AGHcLOeeYFL3K4b9R1dSzyJy00PE_ra89DNTVfnxSWM/edit?usp=sharing"",""รวมที่ทำกิน!AL24"")"),1)</f>
        <v>1</v>
      </c>
      <c r="AQ31" s="215">
        <f ca="1">IFERROR(__xludf.DUMMYFUNCTION("IMPORTRANGE(""https://docs.google.com/spreadsheets/d/1AGHcLOeeYFL3K4b9R1dSzyJy00PE_ra89DNTVfnxSWM/edit?usp=sharing"",""รวมที่ทำกิน!AN24"")"),1.83)</f>
        <v>1.83</v>
      </c>
      <c r="AR31" s="220">
        <f t="shared" ca="1" si="24"/>
        <v>2</v>
      </c>
      <c r="AS31" s="215">
        <f ca="1">IFERROR(__xludf.DUMMYFUNCTION("IMPORTRANGE(""https://docs.google.com/spreadsheets/d/1AGHcLOeeYFL3K4b9R1dSzyJy00PE_ra89DNTVfnxSWM/edit?usp=sharing"",""รวมที่ทำกิน!AO24"")"),300)</f>
        <v>300</v>
      </c>
      <c r="AT31" s="215">
        <f ca="1">IFERROR(__xludf.DUMMYFUNCTION("IMPORTRANGE(""https://docs.google.com/spreadsheets/d/1AGHcLOeeYFL3K4b9R1dSzyJy00PE_ra89DNTVfnxSWM/edit?usp=sharing"",""รวมที่ทำกิน!AP24"")"),27)</f>
        <v>27</v>
      </c>
      <c r="AU31" s="215">
        <f ca="1">IFERROR(__xludf.DUMMYFUNCTION("IMPORTRANGE(""https://docs.google.com/spreadsheets/d/1AGHcLOeeYFL3K4b9R1dSzyJy00PE_ra89DNTVfnxSWM/edit?usp=sharing"",""รวมที่ทำกิน!AR24"")"),152.22)</f>
        <v>152.22</v>
      </c>
      <c r="AV31" s="220">
        <f t="shared" ca="1" si="107"/>
        <v>50.74</v>
      </c>
      <c r="AW31" s="215">
        <f ca="1">IFERROR(__xludf.DUMMYFUNCTION("IMPORTRANGE(""https://docs.google.com/spreadsheets/d/1AGHcLOeeYFL3K4b9R1dSzyJy00PE_ra89DNTVfnxSWM/edit?usp=sharing"",""รวมที่ทำกิน!AS24"")"),120)</f>
        <v>120</v>
      </c>
      <c r="AX31" s="215">
        <f ca="1">IFERROR(__xludf.DUMMYFUNCTION("IMPORTRANGE(""https://docs.google.com/spreadsheets/d/1AGHcLOeeYFL3K4b9R1dSzyJy00PE_ra89DNTVfnxSWM/edit?usp=sharing"",""รวมที่ทำกิน!AT24"")"),126)</f>
        <v>126</v>
      </c>
      <c r="AY31" s="215">
        <f ca="1">IFERROR(__xludf.DUMMYFUNCTION("IMPORTRANGE(""https://docs.google.com/spreadsheets/d/1AGHcLOeeYFL3K4b9R1dSzyJy00PE_ra89DNTVfnxSWM/edit?usp=sharing"",""รวมที่ทำกิน!AV24"")"),1334.49)</f>
        <v>1334.49</v>
      </c>
      <c r="AZ31" s="220">
        <f t="shared" ca="1" si="109"/>
        <v>105</v>
      </c>
      <c r="BA31" s="215">
        <f ca="1">IFERROR(__xludf.DUMMYFUNCTION("IMPORTRANGE(""https://docs.google.com/spreadsheets/d/1AGHcLOeeYFL3K4b9R1dSzyJy00PE_ra89DNTVfnxSWM/edit?usp=sharing"",""รวมที่ทำกิน!AW24"")"),0)</f>
        <v>0</v>
      </c>
      <c r="BB31" s="215">
        <f ca="1">IFERROR(__xludf.DUMMYFUNCTION("IMPORTRANGE(""https://docs.google.com/spreadsheets/d/1AGHcLOeeYFL3K4b9R1dSzyJy00PE_ra89DNTVfnxSWM/edit?usp=sharing"",""รวมที่ทำกิน!AY24"")"),0)</f>
        <v>0</v>
      </c>
      <c r="BC31" s="220">
        <f t="shared" ca="1" si="30"/>
        <v>0</v>
      </c>
      <c r="BD31" s="215">
        <f ca="1">IFERROR(__xludf.DUMMYFUNCTION("IMPORTRANGE(""https://docs.google.com/spreadsheets/d/1AGHcLOeeYFL3K4b9R1dSzyJy00PE_ra89DNTVfnxSWM/edit?usp=sharing"",""รวมที่ทำกิน!AZ24"")"),110)</f>
        <v>110</v>
      </c>
      <c r="BE31" s="215">
        <f ca="1">IFERROR(__xludf.DUMMYFUNCTION("IMPORTRANGE(""https://docs.google.com/spreadsheets/d/1AGHcLOeeYFL3K4b9R1dSzyJy00PE_ra89DNTVfnxSWM/edit?usp=sharing"",""รวมที่ทำกิน!BB24"")"),1173.73)</f>
        <v>1173.73</v>
      </c>
      <c r="BF31" s="221">
        <f t="shared" ca="1" si="32"/>
        <v>91.666666666666671</v>
      </c>
    </row>
    <row r="32" spans="1:58" ht="24" customHeight="1">
      <c r="A32" s="84">
        <v>17</v>
      </c>
      <c r="B32" s="85" t="s">
        <v>56</v>
      </c>
      <c r="C32" s="86">
        <f t="shared" ca="1" si="0"/>
        <v>1055670</v>
      </c>
      <c r="D32" s="87">
        <f t="shared" ca="1" si="112"/>
        <v>910670</v>
      </c>
      <c r="E32" s="88">
        <f ca="1">IFERROR(__xludf.DUMMYFUNCTION("IMPORTRANGE(""https://docs.google.com/spreadsheets/d/1C3CXT74ZlgGe6_JY_1olB1XN4rF0dxEuIIF-xsYjHgg/edit?usp=sharing"",""พรบ!BX36"")"),500400)</f>
        <v>500400</v>
      </c>
      <c r="F32" s="88">
        <f ca="1">IFERROR(__xludf.DUMMYFUNCTION("IMPORTRANGE(""https://docs.google.com/spreadsheets/d/1C3CXT74ZlgGe6_JY_1olB1XN4rF0dxEuIIF-xsYjHgg/edit?usp=sharing"",""พรบ!BY36"")"),410270)</f>
        <v>410270</v>
      </c>
      <c r="G32" s="88">
        <f ca="1">IFERROR(__xludf.DUMMYFUNCTION("IMPORTRANGE(""https://docs.google.com/spreadsheets/d/1Yj_ptqi66GCucihVvJfMjLAmec39IyEx_6qawtMGysU/edit?usp=sharing"",""สบก!DJ36"")"),145000)</f>
        <v>145000</v>
      </c>
      <c r="H32" s="88">
        <f ca="1">IFERROR(__xludf.DUMMYFUNCTION("IMPORTRANGE(""https://docs.google.com/spreadsheets/d/1Yj_ptqi66GCucihVvJfMjLAmec39IyEx_6qawtMGysU/edit?usp=shDLing"",""สบก!DL36"")"),649740)</f>
        <v>649740</v>
      </c>
      <c r="I32" s="88">
        <f t="shared" ca="1" si="3"/>
        <v>520911</v>
      </c>
      <c r="J32" s="88">
        <f t="shared" ca="1" si="4"/>
        <v>49.344113217198554</v>
      </c>
      <c r="K32" s="88">
        <f ca="1">IFERROR(__xludf.DUMMYFUNCTION("IMPORTRANGE(""https://docs.google.com/spreadsheets/d/1Yj_ptqi66GCucihVvJfMjLAmec39IyEx_6qawtMGysU/edit?usp=sharing"",""สบก!DM36"")"),375911)</f>
        <v>375911</v>
      </c>
      <c r="L32" s="138">
        <f t="shared" ca="1" si="5"/>
        <v>41.278509229468412</v>
      </c>
      <c r="M32" s="138">
        <f t="shared" ca="1" si="6"/>
        <v>57.855603779973528</v>
      </c>
      <c r="N32" s="138">
        <f ca="1">IFERROR(__xludf.DUMMYFUNCTION("IMPORTRANGE(""https://docs.google.com/spreadsheets/d/1Yj_ptqi66GCucihVvJfMjLAmec39IyEx_6qawtMGysU/edit?usp=sharing"",""สบก!DN36"")"),145000)</f>
        <v>145000</v>
      </c>
      <c r="O32" s="138">
        <f t="shared" ca="1" si="7"/>
        <v>100</v>
      </c>
      <c r="P32" s="88">
        <f ca="1">IFERROR(__xludf.DUMMYFUNCTION("IMPORTRANGE(""https://docs.google.com/spreadsheets/d/1C3CXT74ZlgGe6_JY_1olB1XN4rF0dxEuIIF-xsYjHgg/edit?usp=sharing"",""พรบ!CA36"")"),215)</f>
        <v>215</v>
      </c>
      <c r="Q32" s="88">
        <f ca="1">IFERROR(__xludf.DUMMYFUNCTION("IMPORTRANGE(""https://docs.google.com/spreadsheets/d/1C3CXT74ZlgGe6_JY_1olB1XN4rF0dxEuIIF-xsYjHgg/edit?usp=sharing"",""พรบ!BZ36"")"),2000)</f>
        <v>2000</v>
      </c>
      <c r="R32" s="222">
        <f t="shared" ca="1" si="95"/>
        <v>129</v>
      </c>
      <c r="S32" s="88">
        <f ca="1">IFERROR(__xludf.DUMMYFUNCTION("IMPORTRANGE(""https://docs.google.com/spreadsheets/d/11923uPwbBZFjjGgGUA6NLw09EwE0CqkOc4q9oUmW1yo/edit?usp=sharing"",""อุทัยธานี!j234"")"),57)</f>
        <v>57</v>
      </c>
      <c r="T32" s="88">
        <f ca="1">IFERROR(__xludf.DUMMYFUNCTION("IMPORTRANGE(""https://docs.google.com/spreadsheets/d/11923uPwbBZFjjGgGUA6NLw09EwE0CqkOc4q9oUmW1yo/edit?usp=sharing"",""อุทัยธานี!j235"")"),557.61)</f>
        <v>557.61</v>
      </c>
      <c r="U32" s="138">
        <f t="shared" ca="1" si="10"/>
        <v>27.880500000000001</v>
      </c>
      <c r="V32" s="88">
        <f ca="1">IFERROR(__xludf.DUMMYFUNCTION("IMPORTRANGE(""https://docs.google.com/spreadsheets/d/11923uPwbBZFjjGgGUA6NLw09EwE0CqkOc4q9oUmW1yo/edit?usp=sharing"",""อุทัยธานี!j236"")"),99)</f>
        <v>99</v>
      </c>
      <c r="W32" s="88">
        <f ca="1">IFERROR(__xludf.DUMMYFUNCTION("IMPORTRANGE(""https://docs.google.com/spreadsheets/d/11923uPwbBZFjjGgGUA6NLw09EwE0CqkOc4q9oUmW1yo/edit?usp=sharing"",""อุทัยธานี!j237"")"),1626.66999999999)</f>
        <v>1626.6699999999901</v>
      </c>
      <c r="X32" s="138">
        <f t="shared" ca="1" si="12"/>
        <v>46.046511627906973</v>
      </c>
      <c r="Y32" s="88">
        <f ca="1">IFERROR(__xludf.DUMMYFUNCTION("IMPORTRANGE(""https://docs.google.com/spreadsheets/d/11923uPwbBZFjjGgGUA6NLw09EwE0CqkOc4q9oUmW1yo/edit?usp=sharing"",""อุทัยธานี!j238"")"),29)</f>
        <v>29</v>
      </c>
      <c r="Z32" s="88">
        <f ca="1">IFERROR(__xludf.DUMMYFUNCTION("IMPORTRANGE(""https://docs.google.com/spreadsheets/d/11923uPwbBZFjjGgGUA6NLw09EwE0CqkOc4q9oUmW1yo/edit?usp=sharing"",""อุทัยธานี!j239"")"),264.31)</f>
        <v>264.31</v>
      </c>
      <c r="AA32" s="138">
        <f t="shared" ca="1" si="14"/>
        <v>13.488372093023257</v>
      </c>
      <c r="AB32" s="88">
        <f ca="1">IFERROR(__xludf.DUMMYFUNCTION("IMPORTRANGE(""https://docs.google.com/spreadsheets/d/11923uPwbBZFjjGgGUA6NLw09EwE0CqkOc4q9oUmW1yo/edit?usp=sharing"",""อุทัยธานี!j240"")"),99)</f>
        <v>99</v>
      </c>
      <c r="AC32" s="88">
        <f ca="1">IFERROR(__xludf.DUMMYFUNCTION("IMPORTRANGE(""https://docs.google.com/spreadsheets/d/11923uPwbBZFjjGgGUA6NLw09EwE0CqkOc4q9oUmW1yo/edit?usp=sharing"",""อุทัยธานี!j241"")"),1626.66999999999)</f>
        <v>1626.6699999999901</v>
      </c>
      <c r="AD32" s="223">
        <f t="shared" ca="1" si="16"/>
        <v>46.046511627906973</v>
      </c>
      <c r="AE32" s="224">
        <f ca="1">IFERROR(__xludf.DUMMYFUNCTION("IMPORTRANGE(""https://docs.google.com/spreadsheets/d/1AGHcLOeeYFL3K4b9R1dSzyJy00PE_ra89DNTVfnxSWM/edit?usp=sharing"",""รวมที่ทำกิน!AA25"")"),600)</f>
        <v>600</v>
      </c>
      <c r="AF32" s="224">
        <f ca="1">IFERROR(__xludf.DUMMYFUNCTION("IMPORTRANGE(""https://docs.google.com/spreadsheets/d/1AGHcLOeeYFL3K4b9R1dSzyJy00PE_ra89DNTVfnxSWM/edit?usp=sharing"",""รวมที่ทำกิน!AB25"")"),29)</f>
        <v>29</v>
      </c>
      <c r="AG32" s="224">
        <f ca="1">IFERROR(__xludf.DUMMYFUNCTION("IMPORTRANGE(""https://docs.google.com/spreadsheets/d/1AGHcLOeeYFL3K4b9R1dSzyJy00PE_ra89DNTVfnxSWM/edit?usp=sharing"",""รวมที่ทำกิน!AD25"")"),308.78)</f>
        <v>308.77999999999997</v>
      </c>
      <c r="AH32" s="223">
        <f t="shared" ca="1" si="101"/>
        <v>51.463333333333324</v>
      </c>
      <c r="AI32" s="224">
        <f ca="1">IFERROR(__xludf.DUMMYFUNCTION("IMPORTRANGE(""https://docs.google.com/spreadsheets/d/1AGHcLOeeYFL3K4b9R1dSzyJy00PE_ra89DNTVfnxSWM/edit?usp=sharing"",""รวมที่ทำกิน!AE25"")"),60)</f>
        <v>60</v>
      </c>
      <c r="AJ32" s="224">
        <f ca="1">IFERROR(__xludf.DUMMYFUNCTION("IMPORTRANGE(""https://docs.google.com/spreadsheets/d/1AGHcLOeeYFL3K4b9R1dSzyJy00PE_ra89DNTVfnxSWM/edit?usp=sharing"",""รวมที่ทำกิน!AF25"")"),2)</f>
        <v>2</v>
      </c>
      <c r="AK32" s="224">
        <f ca="1">IFERROR(__xludf.DUMMYFUNCTION("IMPORTRANGE(""https://docs.google.com/spreadsheets/d/1AGHcLOeeYFL3K4b9R1dSzyJy00PE_ra89DNTVfnxSWM/edit?usp=sharing"",""รวมที่ทำกิน!AH25"")"),2.83)</f>
        <v>2.83</v>
      </c>
      <c r="AL32" s="225">
        <f t="shared" ca="1" si="103"/>
        <v>3.3333333333333335</v>
      </c>
      <c r="AM32" s="224">
        <f ca="1">IFERROR(__xludf.DUMMYFUNCTION("IMPORTRANGE(""https://docs.google.com/spreadsheets/d/1AGHcLOeeYFL3K4b9R1dSzyJy00PE_ra89DNTVfnxSWM/edit?usp=sharing"",""รวมที่ทำกิน!AI25"")"),0)</f>
        <v>0</v>
      </c>
      <c r="AN32" s="224">
        <f ca="1">IFERROR(__xludf.DUMMYFUNCTION("IMPORTRANGE(""https://docs.google.com/spreadsheets/d/1AGHcLOeeYFL3K4b9R1dSzyJy00PE_ra89DNTVfnxSWM/edit?usp=sharing"",""รวมที่ทำกิน!AK25"")"),0)</f>
        <v>0</v>
      </c>
      <c r="AO32" s="225">
        <f t="shared" ca="1" si="22"/>
        <v>0</v>
      </c>
      <c r="AP32" s="224">
        <f ca="1">IFERROR(__xludf.DUMMYFUNCTION("IMPORTRANGE(""https://docs.google.com/spreadsheets/d/1AGHcLOeeYFL3K4b9R1dSzyJy00PE_ra89DNTVfnxSWM/edit?usp=sharing"",""รวมที่ทำกิน!AL25"")"),2)</f>
        <v>2</v>
      </c>
      <c r="AQ32" s="224">
        <f ca="1">IFERROR(__xludf.DUMMYFUNCTION("IMPORTRANGE(""https://docs.google.com/spreadsheets/d/1AGHcLOeeYFL3K4b9R1dSzyJy00PE_ra89DNTVfnxSWM/edit?usp=sharing"",""รวมที่ทำกิน!AN25"")"),2.83)</f>
        <v>2.83</v>
      </c>
      <c r="AR32" s="225">
        <f t="shared" ca="1" si="24"/>
        <v>3.3333333333333335</v>
      </c>
      <c r="AS32" s="224">
        <f ca="1">IFERROR(__xludf.DUMMYFUNCTION("IMPORTRANGE(""https://docs.google.com/spreadsheets/d/1AGHcLOeeYFL3K4b9R1dSzyJy00PE_ra89DNTVfnxSWM/edit?usp=sharing"",""รวมที่ทำกิน!AO25"")"),1400)</f>
        <v>1400</v>
      </c>
      <c r="AT32" s="224">
        <f ca="1">IFERROR(__xludf.DUMMYFUNCTION("IMPORTRANGE(""https://docs.google.com/spreadsheets/d/1AGHcLOeeYFL3K4b9R1dSzyJy00PE_ra89DNTVfnxSWM/edit?usp=sharing"",""รวมที่ทำกิน!AP25"")"),28)</f>
        <v>28</v>
      </c>
      <c r="AU32" s="224">
        <f ca="1">IFERROR(__xludf.DUMMYFUNCTION("IMPORTRANGE(""https://docs.google.com/spreadsheets/d/1AGHcLOeeYFL3K4b9R1dSzyJy00PE_ra89DNTVfnxSWM/edit?usp=sharing"",""รวมที่ทำกิน!AR25"")"),248.83)</f>
        <v>248.83</v>
      </c>
      <c r="AV32" s="225">
        <f t="shared" ca="1" si="107"/>
        <v>17.773571428571429</v>
      </c>
      <c r="AW32" s="224">
        <f ca="1">IFERROR(__xludf.DUMMYFUNCTION("IMPORTRANGE(""https://docs.google.com/spreadsheets/d/1AGHcLOeeYFL3K4b9R1dSzyJy00PE_ra89DNTVfnxSWM/edit?usp=sharing"",""รวมที่ทำกิน!AS25"")"),155)</f>
        <v>155</v>
      </c>
      <c r="AX32" s="224">
        <f ca="1">IFERROR(__xludf.DUMMYFUNCTION("IMPORTRANGE(""https://docs.google.com/spreadsheets/d/1AGHcLOeeYFL3K4b9R1dSzyJy00PE_ra89DNTVfnxSWM/edit?usp=sharing"",""รวมที่ทำกิน!AT25"")"),97)</f>
        <v>97</v>
      </c>
      <c r="AY32" s="224">
        <f ca="1">IFERROR(__xludf.DUMMYFUNCTION("IMPORTRANGE(""https://docs.google.com/spreadsheets/d/1AGHcLOeeYFL3K4b9R1dSzyJy00PE_ra89DNTVfnxSWM/edit?usp=sharing"",""รวมที่ทำกิน!AV25"")"),1623.84)</f>
        <v>1623.84</v>
      </c>
      <c r="AZ32" s="225">
        <f t="shared" ca="1" si="109"/>
        <v>62.58064516129032</v>
      </c>
      <c r="BA32" s="224">
        <f ca="1">IFERROR(__xludf.DUMMYFUNCTION("IMPORTRANGE(""https://docs.google.com/spreadsheets/d/1AGHcLOeeYFL3K4b9R1dSzyJy00PE_ra89DNTVfnxSWM/edit?usp=sharing"",""รวมที่ทำกิน!AW25"")"),29)</f>
        <v>29</v>
      </c>
      <c r="BB32" s="224">
        <f ca="1">IFERROR(__xludf.DUMMYFUNCTION("IMPORTRANGE(""https://docs.google.com/spreadsheets/d/1AGHcLOeeYFL3K4b9R1dSzyJy00PE_ra89DNTVfnxSWM/edit?usp=sharing"",""รวมที่ทำกิน!AY25"")"),264.31)</f>
        <v>264.31</v>
      </c>
      <c r="BC32" s="225">
        <f t="shared" ca="1" si="30"/>
        <v>18.70967741935484</v>
      </c>
      <c r="BD32" s="224">
        <f ca="1">IFERROR(__xludf.DUMMYFUNCTION("IMPORTRANGE(""https://docs.google.com/spreadsheets/d/1AGHcLOeeYFL3K4b9R1dSzyJy00PE_ra89DNTVfnxSWM/edit?usp=sharing"",""รวมที่ทำกิน!AZ25"")"),97)</f>
        <v>97</v>
      </c>
      <c r="BE32" s="224">
        <f ca="1">IFERROR(__xludf.DUMMYFUNCTION("IMPORTRANGE(""https://docs.google.com/spreadsheets/d/1AGHcLOeeYFL3K4b9R1dSzyJy00PE_ra89DNTVfnxSWM/edit?usp=sharing"",""รวมที่ทำกิน!BB25"")"),1623.84)</f>
        <v>1623.84</v>
      </c>
      <c r="BF32" s="226">
        <f t="shared" ca="1" si="32"/>
        <v>62.58064516129032</v>
      </c>
    </row>
    <row r="33" spans="1:58" ht="21" customHeight="1">
      <c r="A33" s="677" t="s">
        <v>57</v>
      </c>
      <c r="B33" s="678"/>
      <c r="C33" s="94">
        <f t="shared" ca="1" si="0"/>
        <v>26596460</v>
      </c>
      <c r="D33" s="95">
        <f t="shared" ref="D33:H33" ca="1" si="113">SUM(D34:D53)</f>
        <v>25410170</v>
      </c>
      <c r="E33" s="95">
        <f t="shared" ca="1" si="113"/>
        <v>8741500</v>
      </c>
      <c r="F33" s="95">
        <f t="shared" ca="1" si="113"/>
        <v>16668670</v>
      </c>
      <c r="G33" s="95">
        <f t="shared" ca="1" si="113"/>
        <v>1186290</v>
      </c>
      <c r="H33" s="95">
        <f t="shared" ca="1" si="113"/>
        <v>18163730</v>
      </c>
      <c r="I33" s="95">
        <f t="shared" ca="1" si="3"/>
        <v>14158337.74</v>
      </c>
      <c r="J33" s="95">
        <f t="shared" ca="1" si="4"/>
        <v>53.233918122938164</v>
      </c>
      <c r="K33" s="95">
        <f ca="1">SUM(K34:K53)</f>
        <v>12972047.74</v>
      </c>
      <c r="L33" s="139">
        <f t="shared" ca="1" si="5"/>
        <v>51.050613750321233</v>
      </c>
      <c r="M33" s="139">
        <f t="shared" ca="1" si="6"/>
        <v>71.417312082925704</v>
      </c>
      <c r="N33" s="139">
        <f ca="1">SUM(N34:N53)</f>
        <v>1186290</v>
      </c>
      <c r="O33" s="139">
        <f t="shared" ca="1" si="7"/>
        <v>100</v>
      </c>
      <c r="P33" s="95">
        <f t="shared" ref="P33:Q33" ca="1" si="114">SUM(P34:P53)</f>
        <v>11895</v>
      </c>
      <c r="Q33" s="95">
        <f t="shared" ca="1" si="114"/>
        <v>109666</v>
      </c>
      <c r="R33" s="95">
        <f t="shared" ca="1" si="95"/>
        <v>7137</v>
      </c>
      <c r="S33" s="95">
        <f t="shared" ref="S33:T33" ca="1" si="115">SUM(S34:S53)</f>
        <v>7566</v>
      </c>
      <c r="T33" s="95">
        <f t="shared" ca="1" si="115"/>
        <v>63551.699999999953</v>
      </c>
      <c r="U33" s="139">
        <f t="shared" ca="1" si="10"/>
        <v>57.950230700490536</v>
      </c>
      <c r="V33" s="95">
        <f t="shared" ref="V33:W33" ca="1" si="116">SUM(V34:V53)</f>
        <v>9843</v>
      </c>
      <c r="W33" s="95">
        <f t="shared" ca="1" si="116"/>
        <v>106711.75999999998</v>
      </c>
      <c r="X33" s="139">
        <f t="shared" ca="1" si="12"/>
        <v>82.749054224464061</v>
      </c>
      <c r="Y33" s="95">
        <f t="shared" ref="Y33:Z33" ca="1" si="117">SUM(Y34:Y53)</f>
        <v>993</v>
      </c>
      <c r="Z33" s="95">
        <f t="shared" ca="1" si="117"/>
        <v>10210.67</v>
      </c>
      <c r="AA33" s="139">
        <f t="shared" ca="1" si="14"/>
        <v>8.3480453972257251</v>
      </c>
      <c r="AB33" s="95">
        <f t="shared" ref="AB33:AC33" ca="1" si="118">SUM(AB34:AB53)</f>
        <v>6380</v>
      </c>
      <c r="AC33" s="95">
        <f t="shared" ca="1" si="118"/>
        <v>68631.979999999981</v>
      </c>
      <c r="AD33" s="227">
        <f t="shared" ca="1" si="16"/>
        <v>53.635981504833964</v>
      </c>
      <c r="AE33" s="212">
        <f t="shared" ref="AE33:AG33" ca="1" si="119">SUM(AE34:AE53)</f>
        <v>44520</v>
      </c>
      <c r="AF33" s="212">
        <f t="shared" ca="1" si="119"/>
        <v>2776</v>
      </c>
      <c r="AG33" s="212">
        <f t="shared" ca="1" si="119"/>
        <v>23664.960000000003</v>
      </c>
      <c r="AH33" s="227">
        <f t="shared" ca="1" si="101"/>
        <v>53.155795148247989</v>
      </c>
      <c r="AI33" s="228">
        <f t="shared" ref="AI33:AK33" ca="1" si="120">SUM(AI34:AI53)</f>
        <v>3722</v>
      </c>
      <c r="AJ33" s="228">
        <f t="shared" ca="1" si="120"/>
        <v>1589</v>
      </c>
      <c r="AK33" s="228">
        <f t="shared" ca="1" si="120"/>
        <v>14196.359999999999</v>
      </c>
      <c r="AL33" s="139">
        <f t="shared" ca="1" si="103"/>
        <v>42.692101020956478</v>
      </c>
      <c r="AM33" s="228">
        <f t="shared" ref="AM33:AN33" ca="1" si="121">SUM(AM34:AM53)</f>
        <v>3</v>
      </c>
      <c r="AN33" s="228">
        <f t="shared" ca="1" si="121"/>
        <v>9.86</v>
      </c>
      <c r="AO33" s="139">
        <f t="shared" ca="1" si="22"/>
        <v>8.0601826974744759E-2</v>
      </c>
      <c r="AP33" s="228">
        <f t="shared" ref="AP33:AQ33" ca="1" si="122">SUM(AP34:AP53)</f>
        <v>714</v>
      </c>
      <c r="AQ33" s="228">
        <f t="shared" ca="1" si="122"/>
        <v>5243.8099999999995</v>
      </c>
      <c r="AR33" s="139">
        <f t="shared" ca="1" si="24"/>
        <v>19.183234819989252</v>
      </c>
      <c r="AS33" s="228">
        <f t="shared" ref="AS33:AU33" ca="1" si="123">SUM(AS34:AS53)</f>
        <v>65146</v>
      </c>
      <c r="AT33" s="228">
        <f t="shared" ca="1" si="123"/>
        <v>4790</v>
      </c>
      <c r="AU33" s="228">
        <f t="shared" ca="1" si="123"/>
        <v>39886.739999999983</v>
      </c>
      <c r="AV33" s="139">
        <f t="shared" ca="1" si="107"/>
        <v>61.226690817548246</v>
      </c>
      <c r="AW33" s="228">
        <f t="shared" ref="AW33:AY33" ca="1" si="124">SUM(AW34:AW53)</f>
        <v>8173</v>
      </c>
      <c r="AX33" s="228">
        <f t="shared" ca="1" si="124"/>
        <v>8254</v>
      </c>
      <c r="AY33" s="228">
        <f t="shared" ca="1" si="124"/>
        <v>92515.4</v>
      </c>
      <c r="AZ33" s="139">
        <f t="shared" ca="1" si="109"/>
        <v>100.99106815122965</v>
      </c>
      <c r="BA33" s="228">
        <f t="shared" ref="BA33:BB33" ca="1" si="125">SUM(BA34:BA53)</f>
        <v>990</v>
      </c>
      <c r="BB33" s="228">
        <f t="shared" ca="1" si="125"/>
        <v>10200.81</v>
      </c>
      <c r="BC33" s="139">
        <f t="shared" ca="1" si="30"/>
        <v>12.113055181695827</v>
      </c>
      <c r="BD33" s="228">
        <f t="shared" ref="BD33:BE33" ca="1" si="126">SUM(BD34:BD53)</f>
        <v>5666</v>
      </c>
      <c r="BE33" s="228">
        <f t="shared" ca="1" si="126"/>
        <v>63388.170000000013</v>
      </c>
      <c r="BF33" s="139">
        <f t="shared" ca="1" si="32"/>
        <v>69.325828948978341</v>
      </c>
    </row>
    <row r="34" spans="1:58" ht="21" customHeight="1">
      <c r="A34" s="63">
        <v>1</v>
      </c>
      <c r="B34" s="186" t="s">
        <v>58</v>
      </c>
      <c r="C34" s="65">
        <f t="shared" ca="1" si="0"/>
        <v>1108090</v>
      </c>
      <c r="D34" s="66">
        <f t="shared" ref="D34:D53" ca="1" si="127">+E34+F34</f>
        <v>1070290</v>
      </c>
      <c r="E34" s="67">
        <f ca="1">IFERROR(__xludf.DUMMYFUNCTION("IMPORTRANGE(""https://docs.google.com/spreadsheets/d/1C3CXT74ZlgGe6_JY_1olB1XN4rF0dxEuIIF-xsYjHgg/edit?usp=sharing"",""พรบ!BX38"")"),611400)</f>
        <v>611400</v>
      </c>
      <c r="F34" s="67">
        <f ca="1">IFERROR(__xludf.DUMMYFUNCTION("IMPORTRANGE(""https://docs.google.com/spreadsheets/d/1C3CXT74ZlgGe6_JY_1olB1XN4rF0dxEuIIF-xsYjHgg/edit?usp=sharing"",""พรบ!BY38"")"),458890)</f>
        <v>458890</v>
      </c>
      <c r="G34" s="67">
        <f ca="1">IFERROR(__xludf.DUMMYFUNCTION("IMPORTRANGE(""https://docs.google.com/spreadsheets/d/1Yj_ptqi66GCucihVvJfMjLAmec39IyEx_6qawtMGysU/edit?usp=sharing"",""สบก!DJ38"")"),37800)</f>
        <v>37800</v>
      </c>
      <c r="H34" s="67">
        <f ca="1">IFERROR(__xludf.DUMMYFUNCTION("IMPORTRANGE(""https://docs.google.com/spreadsheets/d/1Yj_ptqi66GCucihVvJfMjLAmec39IyEx_6qawtMGysU/edit?usp=shDLing"",""สบก!DL38"")"),772310)</f>
        <v>772310</v>
      </c>
      <c r="I34" s="67">
        <f t="shared" ca="1" si="3"/>
        <v>552141.04</v>
      </c>
      <c r="J34" s="67">
        <f t="shared" ca="1" si="4"/>
        <v>49.828176411663314</v>
      </c>
      <c r="K34" s="67">
        <f ca="1">IFERROR(__xludf.DUMMYFUNCTION("IMPORTRANGE(""https://docs.google.com/spreadsheets/d/1Yj_ptqi66GCucihVvJfMjLAmec39IyEx_6qawtMGysU/edit?usp=sharing"",""สบก!DM38"")"),514341.04)</f>
        <v>514341.04</v>
      </c>
      <c r="L34" s="136">
        <f t="shared" ca="1" si="5"/>
        <v>48.05623148866195</v>
      </c>
      <c r="M34" s="136">
        <f t="shared" ca="1" si="6"/>
        <v>66.597744429050508</v>
      </c>
      <c r="N34" s="136">
        <f ca="1">IFERROR(__xludf.DUMMYFUNCTION("IMPORTRANGE(""https://docs.google.com/spreadsheets/d/1Yj_ptqi66GCucihVvJfMjLAmec39IyEx_6qawtMGysU/edit?usp=sharing"",""สบก!DN38"")"),37800)</f>
        <v>37800</v>
      </c>
      <c r="O34" s="136">
        <f t="shared" ca="1" si="7"/>
        <v>100</v>
      </c>
      <c r="P34" s="67">
        <f ca="1">IFERROR(__xludf.DUMMYFUNCTION("IMPORTRANGE(""https://docs.google.com/spreadsheets/d/1C3CXT74ZlgGe6_JY_1olB1XN4rF0dxEuIIF-xsYjHgg/edit?usp=sharing"",""พรบ!CA38"")"),345)</f>
        <v>345</v>
      </c>
      <c r="Q34" s="67">
        <f ca="1">IFERROR(__xludf.DUMMYFUNCTION("IMPORTRANGE(""https://docs.google.com/spreadsheets/d/1C3CXT74ZlgGe6_JY_1olB1XN4rF0dxEuIIF-xsYjHgg/edit?usp=sharing"",""พรบ!BZ38"")"),2740)</f>
        <v>2740</v>
      </c>
      <c r="R34" s="213">
        <f t="shared" ca="1" si="95"/>
        <v>207</v>
      </c>
      <c r="S34" s="67">
        <f ca="1">IFERROR(__xludf.DUMMYFUNCTION("IMPORTRANGE(""https://docs.google.com/spreadsheets/d/1XL5vhW3sbDhbH9Cz0tuDiY8C3ctxq1tqvaCgkFb8cCA/edit?usp=sharing"",""กาฬสินธุ์!j234"")"),301)</f>
        <v>301</v>
      </c>
      <c r="T34" s="67">
        <f ca="1">IFERROR(__xludf.DUMMYFUNCTION("IMPORTRANGE(""https://docs.google.com/spreadsheets/d/1XL5vhW3sbDhbH9Cz0tuDiY8C3ctxq1tqvaCgkFb8cCA/edit?usp=sharing"",""กาฬสินธุ์!j235"")"),2478.08)</f>
        <v>2478.08</v>
      </c>
      <c r="U34" s="136">
        <f t="shared" ca="1" si="10"/>
        <v>90.440875912408757</v>
      </c>
      <c r="V34" s="67">
        <f ca="1">IFERROR(__xludf.DUMMYFUNCTION("IMPORTRANGE(""https://docs.google.com/spreadsheets/d/1XL5vhW3sbDhbH9Cz0tuDiY8C3ctxq1tqvaCgkFb8cCA/edit?usp=sharing"",""กาฬสินธุ์!j236"")"),253)</f>
        <v>253</v>
      </c>
      <c r="W34" s="67">
        <f ca="1">IFERROR(__xludf.DUMMYFUNCTION("IMPORTRANGE(""https://docs.google.com/spreadsheets/d/1XL5vhW3sbDhbH9Cz0tuDiY8C3ctxq1tqvaCgkFb8cCA/edit?usp=sharing"",""กาฬสินธุ์!j237"")"),2234.72)</f>
        <v>2234.7199999999998</v>
      </c>
      <c r="X34" s="136">
        <f t="shared" ca="1" si="12"/>
        <v>73.333333333333329</v>
      </c>
      <c r="Y34" s="67">
        <f ca="1">IFERROR(__xludf.DUMMYFUNCTION("IMPORTRANGE(""https://docs.google.com/spreadsheets/d/1XL5vhW3sbDhbH9Cz0tuDiY8C3ctxq1tqvaCgkFb8cCA/edit?usp=sharing"",""กาฬสินธุ์!j238"")"),0)</f>
        <v>0</v>
      </c>
      <c r="Z34" s="67">
        <f ca="1">IFERROR(__xludf.DUMMYFUNCTION("IMPORTRANGE(""https://docs.google.com/spreadsheets/d/1XL5vhW3sbDhbH9Cz0tuDiY8C3ctxq1tqvaCgkFb8cCA/edit?usp=sharing"",""กาฬสินธุ์!j239"")"),0)</f>
        <v>0</v>
      </c>
      <c r="AA34" s="136">
        <f t="shared" ca="1" si="14"/>
        <v>0</v>
      </c>
      <c r="AB34" s="67">
        <f ca="1">IFERROR(__xludf.DUMMYFUNCTION("IMPORTRANGE(""https://docs.google.com/spreadsheets/d/1XL5vhW3sbDhbH9Cz0tuDiY8C3ctxq1tqvaCgkFb8cCA/edit?usp=sharing"",""กาฬสินธุ์!j240"")"),3)</f>
        <v>3</v>
      </c>
      <c r="AC34" s="67">
        <f ca="1">IFERROR(__xludf.DUMMYFUNCTION("IMPORTRANGE(""https://docs.google.com/spreadsheets/d/1XL5vhW3sbDhbH9Cz0tuDiY8C3ctxq1tqvaCgkFb8cCA/edit?usp=sharing"",""กาฬสินธุ์!j241"")"),79.22)</f>
        <v>79.22</v>
      </c>
      <c r="AD34" s="214">
        <f t="shared" ca="1" si="16"/>
        <v>0.86956521739130432</v>
      </c>
      <c r="AE34" s="215">
        <f ca="1">IFERROR(__xludf.DUMMYFUNCTION("IMPORTRANGE(""https://docs.google.com/spreadsheets/d/1AGHcLOeeYFL3K4b9R1dSzyJy00PE_ra89DNTVfnxSWM/edit?usp=sharing"",""รวมที่ทำกิน!AA27"")"),500)</f>
        <v>500</v>
      </c>
      <c r="AF34" s="215">
        <f ca="1">IFERROR(__xludf.DUMMYFUNCTION("IMPORTRANGE(""https://docs.google.com/spreadsheets/d/1AGHcLOeeYFL3K4b9R1dSzyJy00PE_ra89DNTVfnxSWM/edit?usp=sharing"",""รวมที่ทำกิน!AB27"")"),66)</f>
        <v>66</v>
      </c>
      <c r="AG34" s="215">
        <f ca="1">IFERROR(__xludf.DUMMYFUNCTION("IMPORTRANGE(""https://docs.google.com/spreadsheets/d/1AGHcLOeeYFL3K4b9R1dSzyJy00PE_ra89DNTVfnxSWM/edit?usp=sharing"",""รวมที่ทำกิน!AD27"")"),467.07)</f>
        <v>467.07</v>
      </c>
      <c r="AH34" s="214">
        <f t="shared" ca="1" si="101"/>
        <v>93.414000000000001</v>
      </c>
      <c r="AI34" s="215">
        <f ca="1">IFERROR(__xludf.DUMMYFUNCTION("IMPORTRANGE(""https://docs.google.com/spreadsheets/d/1AGHcLOeeYFL3K4b9R1dSzyJy00PE_ra89DNTVfnxSWM/edit?usp=sharing"",""รวมที่ทำกิน!AE27"")"),50)</f>
        <v>50</v>
      </c>
      <c r="AJ34" s="215">
        <f ca="1">IFERROR(__xludf.DUMMYFUNCTION("IMPORTRANGE(""https://docs.google.com/spreadsheets/d/1AGHcLOeeYFL3K4b9R1dSzyJy00PE_ra89DNTVfnxSWM/edit?usp=sharing"",""รวมที่ทำกิน!AF27"")"),15)</f>
        <v>15</v>
      </c>
      <c r="AK34" s="215">
        <f ca="1">IFERROR(__xludf.DUMMYFUNCTION("IMPORTRANGE(""https://docs.google.com/spreadsheets/d/1AGHcLOeeYFL3K4b9R1dSzyJy00PE_ra89DNTVfnxSWM/edit?usp=sharing"",""รวมที่ทำกิน!AH27"")"),144.5)</f>
        <v>144.5</v>
      </c>
      <c r="AL34" s="216">
        <f t="shared" ca="1" si="103"/>
        <v>30</v>
      </c>
      <c r="AM34" s="215">
        <f ca="1">IFERROR(__xludf.DUMMYFUNCTION("IMPORTRANGE(""https://docs.google.com/spreadsheets/d/1AGHcLOeeYFL3K4b9R1dSzyJy00PE_ra89DNTVfnxSWM/edit?usp=sharing"",""รวมที่ทำกิน!AI27"")"),0)</f>
        <v>0</v>
      </c>
      <c r="AN34" s="215">
        <f ca="1">IFERROR(__xludf.DUMMYFUNCTION("IMPORTRANGE(""https://docs.google.com/spreadsheets/d/1AGHcLOeeYFL3K4b9R1dSzyJy00PE_ra89DNTVfnxSWM/edit?usp=sharing"",""รวมที่ทำกิน!AK27"")"),0)</f>
        <v>0</v>
      </c>
      <c r="AO34" s="216">
        <f t="shared" ca="1" si="22"/>
        <v>0</v>
      </c>
      <c r="AP34" s="215">
        <f ca="1">IFERROR(__xludf.DUMMYFUNCTION("IMPORTRANGE(""https://docs.google.com/spreadsheets/d/1AGHcLOeeYFL3K4b9R1dSzyJy00PE_ra89DNTVfnxSWM/edit?usp=sharing"",""รวมที่ทำกิน!AL27"")"),0)</f>
        <v>0</v>
      </c>
      <c r="AQ34" s="215">
        <f ca="1">IFERROR(__xludf.DUMMYFUNCTION("IMPORTRANGE(""https://docs.google.com/spreadsheets/d/1AGHcLOeeYFL3K4b9R1dSzyJy00PE_ra89DNTVfnxSWM/edit?usp=sharing"",""รวมที่ทำกิน!AN27"")"),0)</f>
        <v>0</v>
      </c>
      <c r="AR34" s="216">
        <f t="shared" ca="1" si="24"/>
        <v>0</v>
      </c>
      <c r="AS34" s="215">
        <f ca="1">IFERROR(__xludf.DUMMYFUNCTION("IMPORTRANGE(""https://docs.google.com/spreadsheets/d/1AGHcLOeeYFL3K4b9R1dSzyJy00PE_ra89DNTVfnxSWM/edit?usp=sharing"",""รวมที่ทำกิน!AO27"")"),2240)</f>
        <v>2240</v>
      </c>
      <c r="AT34" s="215">
        <f ca="1">IFERROR(__xludf.DUMMYFUNCTION("IMPORTRANGE(""https://docs.google.com/spreadsheets/d/1AGHcLOeeYFL3K4b9R1dSzyJy00PE_ra89DNTVfnxSWM/edit?usp=sharing"",""รวมที่ทำกิน!AP27"")"),235)</f>
        <v>235</v>
      </c>
      <c r="AU34" s="215">
        <f ca="1">IFERROR(__xludf.DUMMYFUNCTION("IMPORTRANGE(""https://docs.google.com/spreadsheets/d/1AGHcLOeeYFL3K4b9R1dSzyJy00PE_ra89DNTVfnxSWM/edit?usp=sharing"",""รวมที่ทำกิน!AR27"")"),2011.01)</f>
        <v>2011.01</v>
      </c>
      <c r="AV34" s="216">
        <f t="shared" ca="1" si="107"/>
        <v>89.777232142857144</v>
      </c>
      <c r="AW34" s="215">
        <f ca="1">IFERROR(__xludf.DUMMYFUNCTION("IMPORTRANGE(""https://docs.google.com/spreadsheets/d/1AGHcLOeeYFL3K4b9R1dSzyJy00PE_ra89DNTVfnxSWM/edit?usp=sharing"",""รวมที่ทำกิน!AS27"")"),295)</f>
        <v>295</v>
      </c>
      <c r="AX34" s="215">
        <f ca="1">IFERROR(__xludf.DUMMYFUNCTION("IMPORTRANGE(""https://docs.google.com/spreadsheets/d/1AGHcLOeeYFL3K4b9R1dSzyJy00PE_ra89DNTVfnxSWM/edit?usp=sharing"",""รวมที่ทำกิน!AT27"")"),238)</f>
        <v>238</v>
      </c>
      <c r="AY34" s="215">
        <f ca="1">IFERROR(__xludf.DUMMYFUNCTION("IMPORTRANGE(""https://docs.google.com/spreadsheets/d/1AGHcLOeeYFL3K4b9R1dSzyJy00PE_ra89DNTVfnxSWM/edit?usp=sharing"",""รวมที่ทำกิน!AV27"")"),2090.22)</f>
        <v>2090.2199999999998</v>
      </c>
      <c r="AZ34" s="216">
        <f t="shared" ca="1" si="109"/>
        <v>80.677966101694921</v>
      </c>
      <c r="BA34" s="215">
        <f ca="1">IFERROR(__xludf.DUMMYFUNCTION("IMPORTRANGE(""https://docs.google.com/spreadsheets/d/1AGHcLOeeYFL3K4b9R1dSzyJy00PE_ra89DNTVfnxSWM/edit?usp=sharing"",""รวมที่ทำกิน!AW27"")"),0)</f>
        <v>0</v>
      </c>
      <c r="BB34" s="215">
        <f ca="1">IFERROR(__xludf.DUMMYFUNCTION("IMPORTRANGE(""https://docs.google.com/spreadsheets/d/1AGHcLOeeYFL3K4b9R1dSzyJy00PE_ra89DNTVfnxSWM/edit?usp=sharing"",""รวมที่ทำกิน!AY27"")"),0)</f>
        <v>0</v>
      </c>
      <c r="BC34" s="216">
        <f t="shared" ca="1" si="30"/>
        <v>0</v>
      </c>
      <c r="BD34" s="215">
        <f ca="1">IFERROR(__xludf.DUMMYFUNCTION("IMPORTRANGE(""https://docs.google.com/spreadsheets/d/1AGHcLOeeYFL3K4b9R1dSzyJy00PE_ra89DNTVfnxSWM/edit?usp=sharing"",""รวมที่ทำกิน!AZ27"")"),3)</f>
        <v>3</v>
      </c>
      <c r="BE34" s="215">
        <f ca="1">IFERROR(__xludf.DUMMYFUNCTION("IMPORTRANGE(""https://docs.google.com/spreadsheets/d/1AGHcLOeeYFL3K4b9R1dSzyJy00PE_ra89DNTVfnxSWM/edit?usp=sharing"",""รวมที่ทำกิน!BB27"")"),79.22)</f>
        <v>79.22</v>
      </c>
      <c r="BF34" s="217">
        <f t="shared" ca="1" si="32"/>
        <v>1.0169491525423728</v>
      </c>
    </row>
    <row r="35" spans="1:58" ht="21" customHeight="1">
      <c r="A35" s="73">
        <v>2</v>
      </c>
      <c r="B35" s="74" t="s">
        <v>59</v>
      </c>
      <c r="C35" s="75">
        <f t="shared" ca="1" si="0"/>
        <v>1211000</v>
      </c>
      <c r="D35" s="76">
        <f t="shared" ca="1" si="127"/>
        <v>1194000</v>
      </c>
      <c r="E35" s="77">
        <f ca="1">IFERROR(__xludf.DUMMYFUNCTION("IMPORTRANGE(""https://docs.google.com/spreadsheets/d/1C3CXT74ZlgGe6_JY_1olB1XN4rF0dxEuIIF-xsYjHgg/edit?usp=sharing"",""พรบ!BX39"")"),500400)</f>
        <v>500400</v>
      </c>
      <c r="F35" s="77">
        <f ca="1">IFERROR(__xludf.DUMMYFUNCTION("IMPORTRANGE(""https://docs.google.com/spreadsheets/d/1C3CXT74ZlgGe6_JY_1olB1XN4rF0dxEuIIF-xsYjHgg/edit?usp=sharing"",""พรบ!BY39"")"),693600)</f>
        <v>693600</v>
      </c>
      <c r="G35" s="77">
        <f ca="1">IFERROR(__xludf.DUMMYFUNCTION("IMPORTRANGE(""https://docs.google.com/spreadsheets/d/1Yj_ptqi66GCucihVvJfMjLAmec39IyEx_6qawtMGysU/edit?usp=sharing"",""สบก!DJ39"")"),17000)</f>
        <v>17000</v>
      </c>
      <c r="H35" s="77">
        <f ca="1">IFERROR(__xludf.DUMMYFUNCTION("IMPORTRANGE(""https://docs.google.com/spreadsheets/d/1Yj_ptqi66GCucihVvJfMjLAmec39IyEx_6qawtMGysU/edit?usp=shDLing"",""สบก!DL39"")"),858110)</f>
        <v>858110</v>
      </c>
      <c r="I35" s="77">
        <f t="shared" ca="1" si="3"/>
        <v>721772.87</v>
      </c>
      <c r="J35" s="77">
        <f t="shared" ca="1" si="4"/>
        <v>59.601393063583814</v>
      </c>
      <c r="K35" s="77">
        <f ca="1">IFERROR(__xludf.DUMMYFUNCTION("IMPORTRANGE(""https://docs.google.com/spreadsheets/d/1Yj_ptqi66GCucihVvJfMjLAmec39IyEx_6qawtMGysU/edit?usp=sharing"",""สบก!DM39"")"),704772.87)</f>
        <v>704772.87</v>
      </c>
      <c r="L35" s="137">
        <f t="shared" ca="1" si="5"/>
        <v>59.026203517587938</v>
      </c>
      <c r="M35" s="137">
        <f t="shared" ca="1" si="6"/>
        <v>82.130830546200372</v>
      </c>
      <c r="N35" s="137">
        <f ca="1">IFERROR(__xludf.DUMMYFUNCTION("IMPORTRANGE(""https://docs.google.com/spreadsheets/d/1Yj_ptqi66GCucihVvJfMjLAmec39IyEx_6qawtMGysU/edit?usp=sharing"",""สบก!DN39"")"),17000)</f>
        <v>17000</v>
      </c>
      <c r="O35" s="137">
        <f t="shared" ca="1" si="7"/>
        <v>100</v>
      </c>
      <c r="P35" s="77">
        <f ca="1">IFERROR(__xludf.DUMMYFUNCTION("IMPORTRANGE(""https://docs.google.com/spreadsheets/d/1C3CXT74ZlgGe6_JY_1olB1XN4rF0dxEuIIF-xsYjHgg/edit?usp=sharing"",""พรบ!CA39"")"),400)</f>
        <v>400</v>
      </c>
      <c r="Q35" s="77">
        <f ca="1">IFERROR(__xludf.DUMMYFUNCTION("IMPORTRANGE(""https://docs.google.com/spreadsheets/d/1C3CXT74ZlgGe6_JY_1olB1XN4rF0dxEuIIF-xsYjHgg/edit?usp=sharing"",""พรบ!BZ39"")"),4000)</f>
        <v>4000</v>
      </c>
      <c r="R35" s="218">
        <f t="shared" ca="1" si="95"/>
        <v>240</v>
      </c>
      <c r="S35" s="77">
        <f ca="1">IFERROR(__xludf.DUMMYFUNCTION("IMPORTRANGE(""https://docs.google.com/spreadsheets/d/1XL5vhW3sbDhbH9Cz0tuDiY8C3ctxq1tqvaCgkFb8cCA/edit?usp=sharing"",""ขอนแก่น!j234"")"),259)</f>
        <v>259</v>
      </c>
      <c r="T35" s="77">
        <f ca="1">IFERROR(__xludf.DUMMYFUNCTION("IMPORTRANGE(""https://docs.google.com/spreadsheets/d/1XL5vhW3sbDhbH9Cz0tuDiY8C3ctxq1tqvaCgkFb8cCA/edit?usp=sharing"",""ขอนแก่น!j235"")"),2243.93)</f>
        <v>2243.9299999999998</v>
      </c>
      <c r="U35" s="137">
        <f t="shared" ca="1" si="10"/>
        <v>56.098249999999993</v>
      </c>
      <c r="V35" s="77">
        <f ca="1">IFERROR(__xludf.DUMMYFUNCTION("IMPORTRANGE(""https://docs.google.com/spreadsheets/d/1XL5vhW3sbDhbH9Cz0tuDiY8C3ctxq1tqvaCgkFb8cCA/edit?usp=sharing"",""ขอนแก่น!j236"")"),514)</f>
        <v>514</v>
      </c>
      <c r="W35" s="77">
        <f ca="1">IFERROR(__xludf.DUMMYFUNCTION("IMPORTRANGE(""https://docs.google.com/spreadsheets/d/1XL5vhW3sbDhbH9Cz0tuDiY8C3ctxq1tqvaCgkFb8cCA/edit?usp=sharing"",""ขอนแก่น!j237"")"),5357.64)</f>
        <v>5357.64</v>
      </c>
      <c r="X35" s="137">
        <f t="shared" ca="1" si="12"/>
        <v>128.5</v>
      </c>
      <c r="Y35" s="77">
        <f ca="1">IFERROR(__xludf.DUMMYFUNCTION("IMPORTRANGE(""https://docs.google.com/spreadsheets/d/1XL5vhW3sbDhbH9Cz0tuDiY8C3ctxq1tqvaCgkFb8cCA/edit?usp=sharing"",""ขอนแก่น!j238"")"),77)</f>
        <v>77</v>
      </c>
      <c r="Z35" s="77">
        <f ca="1">IFERROR(__xludf.DUMMYFUNCTION("IMPORTRANGE(""https://docs.google.com/spreadsheets/d/1XL5vhW3sbDhbH9Cz0tuDiY8C3ctxq1tqvaCgkFb8cCA/edit?usp=sharing"",""ขอนแก่น!j239"")"),864.62)</f>
        <v>864.62</v>
      </c>
      <c r="AA35" s="137">
        <f t="shared" ca="1" si="14"/>
        <v>19.25</v>
      </c>
      <c r="AB35" s="77">
        <f ca="1">IFERROR(__xludf.DUMMYFUNCTION("IMPORTRANGE(""https://docs.google.com/spreadsheets/d/1XL5vhW3sbDhbH9Cz0tuDiY8C3ctxq1tqvaCgkFb8cCA/edit?usp=sharing"",""ขอนแก่น!j240"")"),486)</f>
        <v>486</v>
      </c>
      <c r="AC35" s="77">
        <f ca="1">IFERROR(__xludf.DUMMYFUNCTION("IMPORTRANGE(""https://docs.google.com/spreadsheets/d/1XL5vhW3sbDhbH9Cz0tuDiY8C3ctxq1tqvaCgkFb8cCA/edit?usp=sharing"",""ขอนแก่น!j241"")"),5446.43)</f>
        <v>5446.43</v>
      </c>
      <c r="AD35" s="219">
        <f t="shared" ca="1" si="16"/>
        <v>121.5</v>
      </c>
      <c r="AE35" s="215">
        <f ca="1">IFERROR(__xludf.DUMMYFUNCTION("IMPORTRANGE(""https://docs.google.com/spreadsheets/d/1AGHcLOeeYFL3K4b9R1dSzyJy00PE_ra89DNTVfnxSWM/edit?usp=sharing"",""รวมที่ทำกิน!AA28"")"),1000)</f>
        <v>1000</v>
      </c>
      <c r="AF35" s="215">
        <f ca="1">IFERROR(__xludf.DUMMYFUNCTION("IMPORTRANGE(""https://docs.google.com/spreadsheets/d/1AGHcLOeeYFL3K4b9R1dSzyJy00PE_ra89DNTVfnxSWM/edit?usp=sharing"",""รวมที่ทำกิน!AB28"")"),133)</f>
        <v>133</v>
      </c>
      <c r="AG35" s="215">
        <f ca="1">IFERROR(__xludf.DUMMYFUNCTION("IMPORTRANGE(""https://docs.google.com/spreadsheets/d/1AGHcLOeeYFL3K4b9R1dSzyJy00PE_ra89DNTVfnxSWM/edit?usp=sharing"",""รวมที่ทำกิน!AD28"")"),1177.69)</f>
        <v>1177.69</v>
      </c>
      <c r="AH35" s="219">
        <f t="shared" ca="1" si="101"/>
        <v>117.76900000000001</v>
      </c>
      <c r="AI35" s="215">
        <f ca="1">IFERROR(__xludf.DUMMYFUNCTION("IMPORTRANGE(""https://docs.google.com/spreadsheets/d/1AGHcLOeeYFL3K4b9R1dSzyJy00PE_ra89DNTVfnxSWM/edit?usp=sharing"",""รวมที่ทำกิน!AE28"")"),100)</f>
        <v>100</v>
      </c>
      <c r="AJ35" s="215">
        <f ca="1">IFERROR(__xludf.DUMMYFUNCTION("IMPORTRANGE(""https://docs.google.com/spreadsheets/d/1AGHcLOeeYFL3K4b9R1dSzyJy00PE_ra89DNTVfnxSWM/edit?usp=sharing"",""รวมที่ทำกิน!AF28"")"),103)</f>
        <v>103</v>
      </c>
      <c r="AK35" s="215">
        <f ca="1">IFERROR(__xludf.DUMMYFUNCTION("IMPORTRANGE(""https://docs.google.com/spreadsheets/d/1AGHcLOeeYFL3K4b9R1dSzyJy00PE_ra89DNTVfnxSWM/edit?usp=sharing"",""รวมที่ทำกิน!AH28"")"),960.92)</f>
        <v>960.92</v>
      </c>
      <c r="AL35" s="220">
        <f t="shared" ca="1" si="103"/>
        <v>103</v>
      </c>
      <c r="AM35" s="215">
        <f ca="1">IFERROR(__xludf.DUMMYFUNCTION("IMPORTRANGE(""https://docs.google.com/spreadsheets/d/1AGHcLOeeYFL3K4b9R1dSzyJy00PE_ra89DNTVfnxSWM/edit?usp=sharing"",""รวมที่ทำกิน!AI28"")"),0)</f>
        <v>0</v>
      </c>
      <c r="AN35" s="215">
        <f ca="1">IFERROR(__xludf.DUMMYFUNCTION("IMPORTRANGE(""https://docs.google.com/spreadsheets/d/1AGHcLOeeYFL3K4b9R1dSzyJy00PE_ra89DNTVfnxSWM/edit?usp=sharing"",""รวมที่ทำกิน!AK28"")"),0)</f>
        <v>0</v>
      </c>
      <c r="AO35" s="220">
        <f t="shared" ca="1" si="22"/>
        <v>0</v>
      </c>
      <c r="AP35" s="215">
        <f ca="1">IFERROR(__xludf.DUMMYFUNCTION("IMPORTRANGE(""https://docs.google.com/spreadsheets/d/1AGHcLOeeYFL3K4b9R1dSzyJy00PE_ra89DNTVfnxSWM/edit?usp=sharing"",""รวมที่ทำกิน!AL28"")"),0)</f>
        <v>0</v>
      </c>
      <c r="AQ35" s="215">
        <f ca="1">IFERROR(__xludf.DUMMYFUNCTION("IMPORTRANGE(""https://docs.google.com/spreadsheets/d/1AGHcLOeeYFL3K4b9R1dSzyJy00PE_ra89DNTVfnxSWM/edit?usp=sharing"",""รวมที่ทำกิน!AN28"")"),0)</f>
        <v>0</v>
      </c>
      <c r="AR35" s="220">
        <f t="shared" ca="1" si="24"/>
        <v>0</v>
      </c>
      <c r="AS35" s="215">
        <f ca="1">IFERROR(__xludf.DUMMYFUNCTION("IMPORTRANGE(""https://docs.google.com/spreadsheets/d/1AGHcLOeeYFL3K4b9R1dSzyJy00PE_ra89DNTVfnxSWM/edit?usp=sharing"",""รวมที่ทำกิน!AO28"")"),3000)</f>
        <v>3000</v>
      </c>
      <c r="AT35" s="215">
        <f ca="1">IFERROR(__xludf.DUMMYFUNCTION("IMPORTRANGE(""https://docs.google.com/spreadsheets/d/1AGHcLOeeYFL3K4b9R1dSzyJy00PE_ra89DNTVfnxSWM/edit?usp=sharing"",""รวมที่ทำกิน!AP28"")"),126)</f>
        <v>126</v>
      </c>
      <c r="AU35" s="215">
        <f ca="1">IFERROR(__xludf.DUMMYFUNCTION("IMPORTRANGE(""https://docs.google.com/spreadsheets/d/1AGHcLOeeYFL3K4b9R1dSzyJy00PE_ra89DNTVfnxSWM/edit?usp=sharing"",""รวมที่ทำกิน!AR28"")"),1066.24)</f>
        <v>1066.24</v>
      </c>
      <c r="AV35" s="220">
        <f t="shared" ca="1" si="107"/>
        <v>35.541333333333334</v>
      </c>
      <c r="AW35" s="215">
        <f ca="1">IFERROR(__xludf.DUMMYFUNCTION("IMPORTRANGE(""https://docs.google.com/spreadsheets/d/1AGHcLOeeYFL3K4b9R1dSzyJy00PE_ra89DNTVfnxSWM/edit?usp=sharing"",""รวมที่ทำกิน!AS28"")"),300)</f>
        <v>300</v>
      </c>
      <c r="AX35" s="215">
        <f ca="1">IFERROR(__xludf.DUMMYFUNCTION("IMPORTRANGE(""https://docs.google.com/spreadsheets/d/1AGHcLOeeYFL3K4b9R1dSzyJy00PE_ra89DNTVfnxSWM/edit?usp=sharing"",""รวมที่ทำกิน!AT28"")"),411)</f>
        <v>411</v>
      </c>
      <c r="AY35" s="215">
        <f ca="1">IFERROR(__xludf.DUMMYFUNCTION("IMPORTRANGE(""https://docs.google.com/spreadsheets/d/1AGHcLOeeYFL3K4b9R1dSzyJy00PE_ra89DNTVfnxSWM/edit?usp=sharing"",""รวมที่ทำกิน!AV28"")"),4396.72)</f>
        <v>4396.72</v>
      </c>
      <c r="AZ35" s="220">
        <f t="shared" ca="1" si="109"/>
        <v>137</v>
      </c>
      <c r="BA35" s="215">
        <f ca="1">IFERROR(__xludf.DUMMYFUNCTION("IMPORTRANGE(""https://docs.google.com/spreadsheets/d/1AGHcLOeeYFL3K4b9R1dSzyJy00PE_ra89DNTVfnxSWM/edit?usp=sharing"",""รวมที่ทำกิน!AW28"")"),77)</f>
        <v>77</v>
      </c>
      <c r="BB35" s="215">
        <f ca="1">IFERROR(__xludf.DUMMYFUNCTION("IMPORTRANGE(""https://docs.google.com/spreadsheets/d/1AGHcLOeeYFL3K4b9R1dSzyJy00PE_ra89DNTVfnxSWM/edit?usp=sharing"",""รวมที่ทำกิน!AY28"")"),864.62)</f>
        <v>864.62</v>
      </c>
      <c r="BC35" s="220">
        <f t="shared" ca="1" si="30"/>
        <v>25.666666666666668</v>
      </c>
      <c r="BD35" s="215">
        <f ca="1">IFERROR(__xludf.DUMMYFUNCTION("IMPORTRANGE(""https://docs.google.com/spreadsheets/d/1AGHcLOeeYFL3K4b9R1dSzyJy00PE_ra89DNTVfnxSWM/edit?usp=sharing"",""รวมที่ทำกิน!AZ28"")"),486)</f>
        <v>486</v>
      </c>
      <c r="BE35" s="215">
        <f ca="1">IFERROR(__xludf.DUMMYFUNCTION("IMPORTRANGE(""https://docs.google.com/spreadsheets/d/1AGHcLOeeYFL3K4b9R1dSzyJy00PE_ra89DNTVfnxSWM/edit?usp=sharing"",""รวมที่ทำกิน!BB28"")"),5446.43)</f>
        <v>5446.43</v>
      </c>
      <c r="BF35" s="221">
        <f t="shared" ca="1" si="32"/>
        <v>162</v>
      </c>
    </row>
    <row r="36" spans="1:58" ht="21" customHeight="1">
      <c r="A36" s="73">
        <v>3</v>
      </c>
      <c r="B36" s="74" t="s">
        <v>60</v>
      </c>
      <c r="C36" s="75">
        <f t="shared" ca="1" si="0"/>
        <v>2187270</v>
      </c>
      <c r="D36" s="76">
        <f t="shared" ca="1" si="127"/>
        <v>2187270</v>
      </c>
      <c r="E36" s="77">
        <f ca="1">IFERROR(__xludf.DUMMYFUNCTION("IMPORTRANGE(""https://docs.google.com/spreadsheets/d/1C3CXT74ZlgGe6_JY_1olB1XN4rF0dxEuIIF-xsYjHgg/edit?usp=sharing"",""พรบ!BX40"")"),830300)</f>
        <v>830300</v>
      </c>
      <c r="F36" s="77">
        <f ca="1">IFERROR(__xludf.DUMMYFUNCTION("IMPORTRANGE(""https://docs.google.com/spreadsheets/d/1C3CXT74ZlgGe6_JY_1olB1XN4rF0dxEuIIF-xsYjHgg/edit?usp=sharing"",""พรบ!BY40"")"),1356970)</f>
        <v>1356970</v>
      </c>
      <c r="G36" s="77">
        <f ca="1">IFERROR(__xludf.DUMMYFUNCTION("IMPORTRANGE(""https://docs.google.com/spreadsheets/d/1Yj_ptqi66GCucihVvJfMjLAmec39IyEx_6qawtMGysU/edit?usp=sharing"",""สบก!DJ40"")"),0)</f>
        <v>0</v>
      </c>
      <c r="H36" s="77">
        <f ca="1">IFERROR(__xludf.DUMMYFUNCTION("IMPORTRANGE(""https://docs.google.com/spreadsheets/d/1Yj_ptqi66GCucihVvJfMjLAmec39IyEx_6qawtMGysU/edit?usp=shDLing"",""สบก!DL40"")"),1543690)</f>
        <v>1543690</v>
      </c>
      <c r="I36" s="77">
        <f t="shared" ca="1" si="3"/>
        <v>1017137</v>
      </c>
      <c r="J36" s="77">
        <f t="shared" ca="1" si="4"/>
        <v>46.502580842785754</v>
      </c>
      <c r="K36" s="77">
        <f ca="1">IFERROR(__xludf.DUMMYFUNCTION("IMPORTRANGE(""https://docs.google.com/spreadsheets/d/1Yj_ptqi66GCucihVvJfMjLAmec39IyEx_6qawtMGysU/edit?usp=sharing"",""สบก!DM40"")"),1017137)</f>
        <v>1017137</v>
      </c>
      <c r="L36" s="137">
        <f t="shared" ca="1" si="5"/>
        <v>46.502580842785754</v>
      </c>
      <c r="M36" s="137">
        <f t="shared" ca="1" si="6"/>
        <v>65.889977910072616</v>
      </c>
      <c r="N36" s="137">
        <f ca="1">IFERROR(__xludf.DUMMYFUNCTION("IMPORTRANGE(""https://docs.google.com/spreadsheets/d/1Yj_ptqi66GCucihVvJfMjLAmec39IyEx_6qawtMGysU/edit?usp=sharing"",""สบก!DN40"")"),0)</f>
        <v>0</v>
      </c>
      <c r="O36" s="137">
        <f t="shared" ca="1" si="7"/>
        <v>0</v>
      </c>
      <c r="P36" s="77">
        <f ca="1">IFERROR(__xludf.DUMMYFUNCTION("IMPORTRANGE(""https://docs.google.com/spreadsheets/d/1C3CXT74ZlgGe6_JY_1olB1XN4rF0dxEuIIF-xsYjHgg/edit?usp=sharing"",""พรบ!CA40"")"),920)</f>
        <v>920</v>
      </c>
      <c r="Q36" s="77">
        <f ca="1">IFERROR(__xludf.DUMMYFUNCTION("IMPORTRANGE(""https://docs.google.com/spreadsheets/d/1C3CXT74ZlgGe6_JY_1olB1XN4rF0dxEuIIF-xsYjHgg/edit?usp=sharing"",""พรบ!BZ40"")"),11000)</f>
        <v>11000</v>
      </c>
      <c r="R36" s="218">
        <f t="shared" ca="1" si="95"/>
        <v>552</v>
      </c>
      <c r="S36" s="77">
        <f ca="1">IFERROR(__xludf.DUMMYFUNCTION("IMPORTRANGE(""https://docs.google.com/spreadsheets/d/1XL5vhW3sbDhbH9Cz0tuDiY8C3ctxq1tqvaCgkFb8cCA/edit?usp=sharing"",""ชัยภูมิ!j234"")"),315)</f>
        <v>315</v>
      </c>
      <c r="T36" s="77">
        <f ca="1">IFERROR(__xludf.DUMMYFUNCTION("IMPORTRANGE(""https://docs.google.com/spreadsheets/d/1XL5vhW3sbDhbH9Cz0tuDiY8C3ctxq1tqvaCgkFb8cCA/edit?usp=sharing"",""ชัยภูมิ!j235"")"),3149.27999999999)</f>
        <v>3149.2799999999902</v>
      </c>
      <c r="U36" s="137">
        <f t="shared" ca="1" si="10"/>
        <v>28.629818181818091</v>
      </c>
      <c r="V36" s="77">
        <f ca="1">IFERROR(__xludf.DUMMYFUNCTION("IMPORTRANGE(""https://docs.google.com/spreadsheets/d/1XL5vhW3sbDhbH9Cz0tuDiY8C3ctxq1tqvaCgkFb8cCA/edit?usp=sharing"",""ชัยภูมิ!j236"")"),261)</f>
        <v>261</v>
      </c>
      <c r="W36" s="77">
        <f ca="1">IFERROR(__xludf.DUMMYFUNCTION("IMPORTRANGE(""https://docs.google.com/spreadsheets/d/1XL5vhW3sbDhbH9Cz0tuDiY8C3ctxq1tqvaCgkFb8cCA/edit?usp=sharing"",""ชัยภูมิ!j237"")"),3342.31)</f>
        <v>3342.31</v>
      </c>
      <c r="X36" s="137">
        <f t="shared" ca="1" si="12"/>
        <v>28.369565217391305</v>
      </c>
      <c r="Y36" s="77">
        <f ca="1">IFERROR(__xludf.DUMMYFUNCTION("IMPORTRANGE(""https://docs.google.com/spreadsheets/d/1XL5vhW3sbDhbH9Cz0tuDiY8C3ctxq1tqvaCgkFb8cCA/edit?usp=sharing"",""ชัยภูมิ!j238"")"),0)</f>
        <v>0</v>
      </c>
      <c r="Z36" s="77">
        <f ca="1">IFERROR(__xludf.DUMMYFUNCTION("IMPORTRANGE(""https://docs.google.com/spreadsheets/d/1XL5vhW3sbDhbH9Cz0tuDiY8C3ctxq1tqvaCgkFb8cCA/edit?usp=sharing"",""ชัยภูมิ!j239"")"),0)</f>
        <v>0</v>
      </c>
      <c r="AA36" s="137">
        <f t="shared" ca="1" si="14"/>
        <v>0</v>
      </c>
      <c r="AB36" s="77">
        <f ca="1">IFERROR(__xludf.DUMMYFUNCTION("IMPORTRANGE(""https://docs.google.com/spreadsheets/d/1XL5vhW3sbDhbH9Cz0tuDiY8C3ctxq1tqvaCgkFb8cCA/edit?usp=sharing"",""ชัยภูมิ!j240"")"),95)</f>
        <v>95</v>
      </c>
      <c r="AC36" s="77">
        <f ca="1">IFERROR(__xludf.DUMMYFUNCTION("IMPORTRANGE(""https://docs.google.com/spreadsheets/d/1XL5vhW3sbDhbH9Cz0tuDiY8C3ctxq1tqvaCgkFb8cCA/edit?usp=sharing"",""ชัยภูมิ!j241"")"),1570.76)</f>
        <v>1570.76</v>
      </c>
      <c r="AD36" s="219">
        <f t="shared" ca="1" si="16"/>
        <v>10.326086956521738</v>
      </c>
      <c r="AE36" s="215">
        <f ca="1">IFERROR(__xludf.DUMMYFUNCTION("IMPORTRANGE(""https://docs.google.com/spreadsheets/d/1AGHcLOeeYFL3K4b9R1dSzyJy00PE_ra89DNTVfnxSWM/edit?usp=sharing"",""รวมที่ทำกิน!AA29"")"),5000)</f>
        <v>5000</v>
      </c>
      <c r="AF36" s="215">
        <f ca="1">IFERROR(__xludf.DUMMYFUNCTION("IMPORTRANGE(""https://docs.google.com/spreadsheets/d/1AGHcLOeeYFL3K4b9R1dSzyJy00PE_ra89DNTVfnxSWM/edit?usp=sharing"",""รวมที่ทำกิน!AB29"")"),84)</f>
        <v>84</v>
      </c>
      <c r="AG36" s="215">
        <f ca="1">IFERROR(__xludf.DUMMYFUNCTION("IMPORTRANGE(""https://docs.google.com/spreadsheets/d/1AGHcLOeeYFL3K4b9R1dSzyJy00PE_ra89DNTVfnxSWM/edit?usp=sharing"",""รวมที่ทำกิน!AD29"")"),855.87)</f>
        <v>855.87</v>
      </c>
      <c r="AH36" s="219">
        <f t="shared" ca="1" si="101"/>
        <v>17.1174</v>
      </c>
      <c r="AI36" s="215">
        <f ca="1">IFERROR(__xludf.DUMMYFUNCTION("IMPORTRANGE(""https://docs.google.com/spreadsheets/d/1AGHcLOeeYFL3K4b9R1dSzyJy00PE_ra89DNTVfnxSWM/edit?usp=sharing"",""รวมที่ทำกิน!AE29"")"),320)</f>
        <v>320</v>
      </c>
      <c r="AJ36" s="215">
        <f ca="1">IFERROR(__xludf.DUMMYFUNCTION("IMPORTRANGE(""https://docs.google.com/spreadsheets/d/1AGHcLOeeYFL3K4b9R1dSzyJy00PE_ra89DNTVfnxSWM/edit?usp=sharing"",""รวมที่ทำกิน!AF29"")"),1)</f>
        <v>1</v>
      </c>
      <c r="AK36" s="215">
        <f ca="1">IFERROR(__xludf.DUMMYFUNCTION("IMPORTRANGE(""https://docs.google.com/spreadsheets/d/1AGHcLOeeYFL3K4b9R1dSzyJy00PE_ra89DNTVfnxSWM/edit?usp=sharing"",""รวมที่ทำกิน!AH29"")"),5.96)</f>
        <v>5.96</v>
      </c>
      <c r="AL36" s="220">
        <f t="shared" ca="1" si="103"/>
        <v>0.3125</v>
      </c>
      <c r="AM36" s="215">
        <f ca="1">IFERROR(__xludf.DUMMYFUNCTION("IMPORTRANGE(""https://docs.google.com/spreadsheets/d/1AGHcLOeeYFL3K4b9R1dSzyJy00PE_ra89DNTVfnxSWM/edit?usp=sharing"",""รวมที่ทำกิน!AI29"")"),0)</f>
        <v>0</v>
      </c>
      <c r="AN36" s="215">
        <f ca="1">IFERROR(__xludf.DUMMYFUNCTION("IMPORTRANGE(""https://docs.google.com/spreadsheets/d/1AGHcLOeeYFL3K4b9R1dSzyJy00PE_ra89DNTVfnxSWM/edit?usp=sharing"",""รวมที่ทำกิน!AK29"")"),0)</f>
        <v>0</v>
      </c>
      <c r="AO36" s="220">
        <f t="shared" ca="1" si="22"/>
        <v>0</v>
      </c>
      <c r="AP36" s="215">
        <f ca="1">IFERROR(__xludf.DUMMYFUNCTION("IMPORTRANGE(""https://docs.google.com/spreadsheets/d/1AGHcLOeeYFL3K4b9R1dSzyJy00PE_ra89DNTVfnxSWM/edit?usp=sharing"",""รวมที่ทำกิน!AL29"")"),0)</f>
        <v>0</v>
      </c>
      <c r="AQ36" s="215">
        <f ca="1">IFERROR(__xludf.DUMMYFUNCTION("IMPORTRANGE(""https://docs.google.com/spreadsheets/d/1AGHcLOeeYFL3K4b9R1dSzyJy00PE_ra89DNTVfnxSWM/edit?usp=sharing"",""รวมที่ทำกิน!AN29"")"),0)</f>
        <v>0</v>
      </c>
      <c r="AR36" s="220">
        <f t="shared" ca="1" si="24"/>
        <v>0</v>
      </c>
      <c r="AS36" s="215">
        <f ca="1">IFERROR(__xludf.DUMMYFUNCTION("IMPORTRANGE(""https://docs.google.com/spreadsheets/d/1AGHcLOeeYFL3K4b9R1dSzyJy00PE_ra89DNTVfnxSWM/edit?usp=sharing"",""รวมที่ทำกิน!AO29"")"),6000)</f>
        <v>6000</v>
      </c>
      <c r="AT36" s="215">
        <f ca="1">IFERROR(__xludf.DUMMYFUNCTION("IMPORTRANGE(""https://docs.google.com/spreadsheets/d/1AGHcLOeeYFL3K4b9R1dSzyJy00PE_ra89DNTVfnxSWM/edit?usp=sharing"",""รวมที่ทำกิน!AP29"")"),231)</f>
        <v>231</v>
      </c>
      <c r="AU36" s="215">
        <f ca="1">IFERROR(__xludf.DUMMYFUNCTION("IMPORTRANGE(""https://docs.google.com/spreadsheets/d/1AGHcLOeeYFL3K4b9R1dSzyJy00PE_ra89DNTVfnxSWM/edit?usp=sharing"",""รวมที่ทำกิน!AR29"")"),2293.41)</f>
        <v>2293.41</v>
      </c>
      <c r="AV36" s="220">
        <f t="shared" ca="1" si="107"/>
        <v>38.223500000000001</v>
      </c>
      <c r="AW36" s="215">
        <f ca="1">IFERROR(__xludf.DUMMYFUNCTION("IMPORTRANGE(""https://docs.google.com/spreadsheets/d/1AGHcLOeeYFL3K4b9R1dSzyJy00PE_ra89DNTVfnxSWM/edit?usp=sharing"",""รวมที่ทำกิน!AS29"")"),600)</f>
        <v>600</v>
      </c>
      <c r="AX36" s="215">
        <f ca="1">IFERROR(__xludf.DUMMYFUNCTION("IMPORTRANGE(""https://docs.google.com/spreadsheets/d/1AGHcLOeeYFL3K4b9R1dSzyJy00PE_ra89DNTVfnxSWM/edit?usp=sharing"",""รวมที่ทำกิน!AT29"")"),260)</f>
        <v>260</v>
      </c>
      <c r="AY36" s="215">
        <f ca="1">IFERROR(__xludf.DUMMYFUNCTION("IMPORTRANGE(""https://docs.google.com/spreadsheets/d/1AGHcLOeeYFL3K4b9R1dSzyJy00PE_ra89DNTVfnxSWM/edit?usp=sharing"",""รวมที่ทำกิน!AV29"")"),3336.35)</f>
        <v>3336.35</v>
      </c>
      <c r="AZ36" s="220">
        <f t="shared" ca="1" si="109"/>
        <v>43.333333333333336</v>
      </c>
      <c r="BA36" s="215">
        <f ca="1">IFERROR(__xludf.DUMMYFUNCTION("IMPORTRANGE(""https://docs.google.com/spreadsheets/d/1AGHcLOeeYFL3K4b9R1dSzyJy00PE_ra89DNTVfnxSWM/edit?usp=sharing"",""รวมที่ทำกิน!AW29"")"),0)</f>
        <v>0</v>
      </c>
      <c r="BB36" s="215">
        <f ca="1">IFERROR(__xludf.DUMMYFUNCTION("IMPORTRANGE(""https://docs.google.com/spreadsheets/d/1AGHcLOeeYFL3K4b9R1dSzyJy00PE_ra89DNTVfnxSWM/edit?usp=sharing"",""รวมที่ทำกิน!AY29"")"),0)</f>
        <v>0</v>
      </c>
      <c r="BC36" s="220">
        <f t="shared" ca="1" si="30"/>
        <v>0</v>
      </c>
      <c r="BD36" s="215">
        <f ca="1">IFERROR(__xludf.DUMMYFUNCTION("IMPORTRANGE(""https://docs.google.com/spreadsheets/d/1AGHcLOeeYFL3K4b9R1dSzyJy00PE_ra89DNTVfnxSWM/edit?usp=sharing"",""รวมที่ทำกิน!AZ29"")"),95)</f>
        <v>95</v>
      </c>
      <c r="BE36" s="215">
        <f ca="1">IFERROR(__xludf.DUMMYFUNCTION("IMPORTRANGE(""https://docs.google.com/spreadsheets/d/1AGHcLOeeYFL3K4b9R1dSzyJy00PE_ra89DNTVfnxSWM/edit?usp=sharing"",""รวมที่ทำกิน!BB29"")"),1570.76)</f>
        <v>1570.76</v>
      </c>
      <c r="BF36" s="221">
        <f t="shared" ca="1" si="32"/>
        <v>15.833333333333334</v>
      </c>
    </row>
    <row r="37" spans="1:58" ht="21" customHeight="1">
      <c r="A37" s="73">
        <v>4</v>
      </c>
      <c r="B37" s="74" t="s">
        <v>61</v>
      </c>
      <c r="C37" s="75">
        <f t="shared" ca="1" si="0"/>
        <v>892570</v>
      </c>
      <c r="D37" s="76">
        <f t="shared" ca="1" si="127"/>
        <v>793270</v>
      </c>
      <c r="E37" s="77">
        <f ca="1">IFERROR(__xludf.DUMMYFUNCTION("IMPORTRANGE(""https://docs.google.com/spreadsheets/d/1C3CXT74ZlgGe6_JY_1olB1XN4rF0dxEuIIF-xsYjHgg/edit?usp=sharing"",""พรบ!BX41"")"),388800)</f>
        <v>388800</v>
      </c>
      <c r="F37" s="77">
        <f ca="1">IFERROR(__xludf.DUMMYFUNCTION("IMPORTRANGE(""https://docs.google.com/spreadsheets/d/1C3CXT74ZlgGe6_JY_1olB1XN4rF0dxEuIIF-xsYjHgg/edit?usp=sharing"",""พรบ!BY41"")"),404470)</f>
        <v>404470</v>
      </c>
      <c r="G37" s="77">
        <f ca="1">IFERROR(__xludf.DUMMYFUNCTION("IMPORTRANGE(""https://docs.google.com/spreadsheets/d/1Yj_ptqi66GCucihVvJfMjLAmec39IyEx_6qawtMGysU/edit?usp=sharing"",""สบก!DJ41"")"),99300)</f>
        <v>99300</v>
      </c>
      <c r="H37" s="77">
        <f ca="1">IFERROR(__xludf.DUMMYFUNCTION("IMPORTRANGE(""https://docs.google.com/spreadsheets/d/1Yj_ptqi66GCucihVvJfMjLAmec39IyEx_6qawtMGysU/edit?usp=shDLing"",""สบก!DL41"")"),569700)</f>
        <v>569700</v>
      </c>
      <c r="I37" s="77">
        <f t="shared" ca="1" si="3"/>
        <v>446960.08</v>
      </c>
      <c r="J37" s="77">
        <f t="shared" ca="1" si="4"/>
        <v>50.075633283664025</v>
      </c>
      <c r="K37" s="77">
        <f ca="1">IFERROR(__xludf.DUMMYFUNCTION("IMPORTRANGE(""https://docs.google.com/spreadsheets/d/1Yj_ptqi66GCucihVvJfMjLAmec39IyEx_6qawtMGysU/edit?usp=sharing"",""สบก!DM41"")"),347660.08)</f>
        <v>347660.08</v>
      </c>
      <c r="L37" s="137">
        <f t="shared" ca="1" si="5"/>
        <v>43.826197889747498</v>
      </c>
      <c r="M37" s="137">
        <f t="shared" ca="1" si="6"/>
        <v>61.0251149727927</v>
      </c>
      <c r="N37" s="137">
        <f ca="1">IFERROR(__xludf.DUMMYFUNCTION("IMPORTRANGE(""https://docs.google.com/spreadsheets/d/1Yj_ptqi66GCucihVvJfMjLAmec39IyEx_6qawtMGysU/edit?usp=sharing"",""สบก!DN41"")"),99300)</f>
        <v>99300</v>
      </c>
      <c r="O37" s="137">
        <f t="shared" ca="1" si="7"/>
        <v>100</v>
      </c>
      <c r="P37" s="77">
        <f ca="1">IFERROR(__xludf.DUMMYFUNCTION("IMPORTRANGE(""https://docs.google.com/spreadsheets/d/1C3CXT74ZlgGe6_JY_1olB1XN4rF0dxEuIIF-xsYjHgg/edit?usp=sharing"",""พรบ!CA41"")"),205)</f>
        <v>205</v>
      </c>
      <c r="Q37" s="77">
        <f ca="1">IFERROR(__xludf.DUMMYFUNCTION("IMPORTRANGE(""https://docs.google.com/spreadsheets/d/1C3CXT74ZlgGe6_JY_1olB1XN4rF0dxEuIIF-xsYjHgg/edit?usp=sharing"",""พรบ!BZ41"")"),2340)</f>
        <v>2340</v>
      </c>
      <c r="R37" s="218">
        <f t="shared" ca="1" si="95"/>
        <v>123</v>
      </c>
      <c r="S37" s="77">
        <f ca="1">IFERROR(__xludf.DUMMYFUNCTION("IMPORTRANGE(""https://docs.google.com/spreadsheets/d/1XL5vhW3sbDhbH9Cz0tuDiY8C3ctxq1tqvaCgkFb8cCA/edit?usp=sharing"",""นครพนม!j234"")"),98)</f>
        <v>98</v>
      </c>
      <c r="T37" s="77">
        <f ca="1">IFERROR(__xludf.DUMMYFUNCTION("IMPORTRANGE(""https://docs.google.com/spreadsheets/d/1XL5vhW3sbDhbH9Cz0tuDiY8C3ctxq1tqvaCgkFb8cCA/edit?usp=sharing"",""นครพนม!j235"")"),995.86)</f>
        <v>995.86</v>
      </c>
      <c r="U37" s="137">
        <f t="shared" ca="1" si="10"/>
        <v>42.558119658119658</v>
      </c>
      <c r="V37" s="77">
        <f ca="1">IFERROR(__xludf.DUMMYFUNCTION("IMPORTRANGE(""https://docs.google.com/spreadsheets/d/1XL5vhW3sbDhbH9Cz0tuDiY8C3ctxq1tqvaCgkFb8cCA/edit?usp=sharing"",""นครพนม!j236"")"),163)</f>
        <v>163</v>
      </c>
      <c r="W37" s="77">
        <f ca="1">IFERROR(__xludf.DUMMYFUNCTION("IMPORTRANGE(""https://docs.google.com/spreadsheets/d/1XL5vhW3sbDhbH9Cz0tuDiY8C3ctxq1tqvaCgkFb8cCA/edit?usp=sharing"",""นครพนม!j237"")"),1593.82)</f>
        <v>1593.82</v>
      </c>
      <c r="X37" s="137">
        <f t="shared" ca="1" si="12"/>
        <v>79.512195121951223</v>
      </c>
      <c r="Y37" s="77">
        <f ca="1">IFERROR(__xludf.DUMMYFUNCTION("IMPORTRANGE(""https://docs.google.com/spreadsheets/d/1XL5vhW3sbDhbH9Cz0tuDiY8C3ctxq1tqvaCgkFb8cCA/edit?usp=sharing"",""นครพนม!j238"")"),0)</f>
        <v>0</v>
      </c>
      <c r="Z37" s="77">
        <f ca="1">IFERROR(__xludf.DUMMYFUNCTION("IMPORTRANGE(""https://docs.google.com/spreadsheets/d/1XL5vhW3sbDhbH9Cz0tuDiY8C3ctxq1tqvaCgkFb8cCA/edit?usp=sharing"",""นครพนม!j239"")"),0)</f>
        <v>0</v>
      </c>
      <c r="AA37" s="137">
        <f t="shared" ca="1" si="14"/>
        <v>0</v>
      </c>
      <c r="AB37" s="77">
        <f ca="1">IFERROR(__xludf.DUMMYFUNCTION("IMPORTRANGE(""https://docs.google.com/spreadsheets/d/1XL5vhW3sbDhbH9Cz0tuDiY8C3ctxq1tqvaCgkFb8cCA/edit?usp=sharing"",""นครพนม!j240"")"),59)</f>
        <v>59</v>
      </c>
      <c r="AC37" s="77">
        <f ca="1">IFERROR(__xludf.DUMMYFUNCTION("IMPORTRANGE(""https://docs.google.com/spreadsheets/d/1XL5vhW3sbDhbH9Cz0tuDiY8C3ctxq1tqvaCgkFb8cCA/edit?usp=sharing"",""นครพนม!j241"")"),605.35)</f>
        <v>605.35</v>
      </c>
      <c r="AD37" s="219">
        <f t="shared" ca="1" si="16"/>
        <v>28.780487804878049</v>
      </c>
      <c r="AE37" s="215">
        <f ca="1">IFERROR(__xludf.DUMMYFUNCTION("IMPORTRANGE(""https://docs.google.com/spreadsheets/d/1AGHcLOeeYFL3K4b9R1dSzyJy00PE_ra89DNTVfnxSWM/edit?usp=sharing"",""รวมที่ทำกิน!AA30"")"),840)</f>
        <v>840</v>
      </c>
      <c r="AF37" s="215">
        <f ca="1">IFERROR(__xludf.DUMMYFUNCTION("IMPORTRANGE(""https://docs.google.com/spreadsheets/d/1AGHcLOeeYFL3K4b9R1dSzyJy00PE_ra89DNTVfnxSWM/edit?usp=sharing"",""รวมที่ทำกิน!AB30"")"),13)</f>
        <v>13</v>
      </c>
      <c r="AG37" s="215">
        <f ca="1">IFERROR(__xludf.DUMMYFUNCTION("IMPORTRANGE(""https://docs.google.com/spreadsheets/d/1AGHcLOeeYFL3K4b9R1dSzyJy00PE_ra89DNTVfnxSWM/edit?usp=sharing"",""รวมที่ทำกิน!AD30"")"),173.54)</f>
        <v>173.54</v>
      </c>
      <c r="AH37" s="219">
        <f t="shared" ca="1" si="101"/>
        <v>20.659523809523808</v>
      </c>
      <c r="AI37" s="215">
        <f ca="1">IFERROR(__xludf.DUMMYFUNCTION("IMPORTRANGE(""https://docs.google.com/spreadsheets/d/1AGHcLOeeYFL3K4b9R1dSzyJy00PE_ra89DNTVfnxSWM/edit?usp=sharing"",""รวมที่ทำกิน!AE30"")"),70)</f>
        <v>70</v>
      </c>
      <c r="AJ37" s="215">
        <f ca="1">IFERROR(__xludf.DUMMYFUNCTION("IMPORTRANGE(""https://docs.google.com/spreadsheets/d/1AGHcLOeeYFL3K4b9R1dSzyJy00PE_ra89DNTVfnxSWM/edit?usp=sharing"",""รวมที่ทำกิน!AF30"")"),37)</f>
        <v>37</v>
      </c>
      <c r="AK37" s="215">
        <f ca="1">IFERROR(__xludf.DUMMYFUNCTION("IMPORTRANGE(""https://docs.google.com/spreadsheets/d/1AGHcLOeeYFL3K4b9R1dSzyJy00PE_ra89DNTVfnxSWM/edit?usp=sharing"",""รวมที่ทำกิน!AH30"")"),262.78)</f>
        <v>262.77999999999997</v>
      </c>
      <c r="AL37" s="220">
        <f t="shared" ca="1" si="103"/>
        <v>52.857142857142854</v>
      </c>
      <c r="AM37" s="215">
        <f ca="1">IFERROR(__xludf.DUMMYFUNCTION("IMPORTRANGE(""https://docs.google.com/spreadsheets/d/1AGHcLOeeYFL3K4b9R1dSzyJy00PE_ra89DNTVfnxSWM/edit?usp=sharing"",""รวมที่ทำกิน!AI30"")"),0)</f>
        <v>0</v>
      </c>
      <c r="AN37" s="215">
        <f ca="1">IFERROR(__xludf.DUMMYFUNCTION("IMPORTRANGE(""https://docs.google.com/spreadsheets/d/1AGHcLOeeYFL3K4b9R1dSzyJy00PE_ra89DNTVfnxSWM/edit?usp=sharing"",""รวมที่ทำกิน!AK30"")"),0)</f>
        <v>0</v>
      </c>
      <c r="AO37" s="220">
        <f t="shared" ca="1" si="22"/>
        <v>0</v>
      </c>
      <c r="AP37" s="215">
        <f ca="1">IFERROR(__xludf.DUMMYFUNCTION("IMPORTRANGE(""https://docs.google.com/spreadsheets/d/1AGHcLOeeYFL3K4b9R1dSzyJy00PE_ra89DNTVfnxSWM/edit?usp=sharing"",""รวมที่ทำกิน!AL30"")"),18)</f>
        <v>18</v>
      </c>
      <c r="AQ37" s="215">
        <f ca="1">IFERROR(__xludf.DUMMYFUNCTION("IMPORTRANGE(""https://docs.google.com/spreadsheets/d/1AGHcLOeeYFL3K4b9R1dSzyJy00PE_ra89DNTVfnxSWM/edit?usp=sharing"",""รวมที่ทำกิน!AN30"")"),161.81)</f>
        <v>161.81</v>
      </c>
      <c r="AR37" s="220">
        <f t="shared" ca="1" si="24"/>
        <v>25.714285714285715</v>
      </c>
      <c r="AS37" s="215">
        <f ca="1">IFERROR(__xludf.DUMMYFUNCTION("IMPORTRANGE(""https://docs.google.com/spreadsheets/d/1AGHcLOeeYFL3K4b9R1dSzyJy00PE_ra89DNTVfnxSWM/edit?usp=sharing"",""รวมที่ทำกิน!AO30"")"),1500)</f>
        <v>1500</v>
      </c>
      <c r="AT37" s="215">
        <f ca="1">IFERROR(__xludf.DUMMYFUNCTION("IMPORTRANGE(""https://docs.google.com/spreadsheets/d/1AGHcLOeeYFL3K4b9R1dSzyJy00PE_ra89DNTVfnxSWM/edit?usp=sharing"",""รวมที่ทำกิน!AP30"")"),85)</f>
        <v>85</v>
      </c>
      <c r="AU37" s="215">
        <f ca="1">IFERROR(__xludf.DUMMYFUNCTION("IMPORTRANGE(""https://docs.google.com/spreadsheets/d/1AGHcLOeeYFL3K4b9R1dSzyJy00PE_ra89DNTVfnxSWM/edit?usp=sharing"",""รวมที่ทำกิน!AR30"")"),822.32)</f>
        <v>822.32</v>
      </c>
      <c r="AV37" s="220">
        <f t="shared" ca="1" si="107"/>
        <v>54.821333333333335</v>
      </c>
      <c r="AW37" s="215">
        <f ca="1">IFERROR(__xludf.DUMMYFUNCTION("IMPORTRANGE(""https://docs.google.com/spreadsheets/d/1AGHcLOeeYFL3K4b9R1dSzyJy00PE_ra89DNTVfnxSWM/edit?usp=sharing"",""รวมที่ทำกิน!AS30"")"),135)</f>
        <v>135</v>
      </c>
      <c r="AX37" s="215">
        <f ca="1">IFERROR(__xludf.DUMMYFUNCTION("IMPORTRANGE(""https://docs.google.com/spreadsheets/d/1AGHcLOeeYFL3K4b9R1dSzyJy00PE_ra89DNTVfnxSWM/edit?usp=sharing"",""รวมที่ทำกิน!AT30"")"),126)</f>
        <v>126</v>
      </c>
      <c r="AY37" s="215">
        <f ca="1">IFERROR(__xludf.DUMMYFUNCTION("IMPORTRANGE(""https://docs.google.com/spreadsheets/d/1AGHcLOeeYFL3K4b9R1dSzyJy00PE_ra89DNTVfnxSWM/edit?usp=sharing"",""รวมที่ทำกิน!AV30"")"),1331.04)</f>
        <v>1331.04</v>
      </c>
      <c r="AZ37" s="220">
        <f t="shared" ca="1" si="109"/>
        <v>93.333333333333329</v>
      </c>
      <c r="BA37" s="215">
        <f ca="1">IFERROR(__xludf.DUMMYFUNCTION("IMPORTRANGE(""https://docs.google.com/spreadsheets/d/1AGHcLOeeYFL3K4b9R1dSzyJy00PE_ra89DNTVfnxSWM/edit?usp=sharing"",""รวมที่ทำกิน!AW30"")"),0)</f>
        <v>0</v>
      </c>
      <c r="BB37" s="215">
        <f ca="1">IFERROR(__xludf.DUMMYFUNCTION("IMPORTRANGE(""https://docs.google.com/spreadsheets/d/1AGHcLOeeYFL3K4b9R1dSzyJy00PE_ra89DNTVfnxSWM/edit?usp=sharing"",""รวมที่ทำกิน!AY30"")"),0)</f>
        <v>0</v>
      </c>
      <c r="BC37" s="220">
        <f t="shared" ca="1" si="30"/>
        <v>0</v>
      </c>
      <c r="BD37" s="215">
        <f ca="1">IFERROR(__xludf.DUMMYFUNCTION("IMPORTRANGE(""https://docs.google.com/spreadsheets/d/1AGHcLOeeYFL3K4b9R1dSzyJy00PE_ra89DNTVfnxSWM/edit?usp=sharing"",""รวมที่ทำกิน!AZ30"")"),41)</f>
        <v>41</v>
      </c>
      <c r="BE37" s="215">
        <f ca="1">IFERROR(__xludf.DUMMYFUNCTION("IMPORTRANGE(""https://docs.google.com/spreadsheets/d/1AGHcLOeeYFL3K4b9R1dSzyJy00PE_ra89DNTVfnxSWM/edit?usp=sharing"",""รวมที่ทำกิน!BB30"")"),443.54)</f>
        <v>443.54</v>
      </c>
      <c r="BF37" s="221">
        <f t="shared" ca="1" si="32"/>
        <v>30.37037037037037</v>
      </c>
    </row>
    <row r="38" spans="1:58" ht="21" customHeight="1">
      <c r="A38" s="73">
        <v>5</v>
      </c>
      <c r="B38" s="74" t="s">
        <v>62</v>
      </c>
      <c r="C38" s="75">
        <f t="shared" ca="1" si="0"/>
        <v>2505960</v>
      </c>
      <c r="D38" s="76">
        <f t="shared" ca="1" si="127"/>
        <v>2505960</v>
      </c>
      <c r="E38" s="77">
        <f ca="1">IFERROR(__xludf.DUMMYFUNCTION("IMPORTRANGE(""https://docs.google.com/spreadsheets/d/1C3CXT74ZlgGe6_JY_1olB1XN4rF0dxEuIIF-xsYjHgg/edit?usp=sharing"",""พรบ!BX42"")"),666000)</f>
        <v>666000</v>
      </c>
      <c r="F38" s="77">
        <f ca="1">IFERROR(__xludf.DUMMYFUNCTION("IMPORTRANGE(""https://docs.google.com/spreadsheets/d/1C3CXT74ZlgGe6_JY_1olB1XN4rF0dxEuIIF-xsYjHgg/edit?usp=sharing"",""พรบ!BY42"")"),1839960)</f>
        <v>1839960</v>
      </c>
      <c r="G38" s="77">
        <f ca="1">IFERROR(__xludf.DUMMYFUNCTION("IMPORTRANGE(""https://docs.google.com/spreadsheets/d/1Yj_ptqi66GCucihVvJfMjLAmec39IyEx_6qawtMGysU/edit?usp=sharing"",""สบก!DJ42"")"),0)</f>
        <v>0</v>
      </c>
      <c r="H38" s="77">
        <f ca="1">IFERROR(__xludf.DUMMYFUNCTION("IMPORTRANGE(""https://docs.google.com/spreadsheets/d/1Yj_ptqi66GCucihVvJfMjLAmec39IyEx_6qawtMGysU/edit?usp=shDLing"",""สบก!DL42"")"),1771890)</f>
        <v>1771890</v>
      </c>
      <c r="I38" s="77">
        <f t="shared" ca="1" si="3"/>
        <v>1404292.03</v>
      </c>
      <c r="J38" s="77">
        <f t="shared" ca="1" si="4"/>
        <v>56.038086402017591</v>
      </c>
      <c r="K38" s="77">
        <f ca="1">IFERROR(__xludf.DUMMYFUNCTION("IMPORTRANGE(""https://docs.google.com/spreadsheets/d/1Yj_ptqi66GCucihVvJfMjLAmec39IyEx_6qawtMGysU/edit?usp=sharing"",""สบก!DM42"")"),1404292.03)</f>
        <v>1404292.03</v>
      </c>
      <c r="L38" s="137">
        <f t="shared" ca="1" si="5"/>
        <v>56.038086402017591</v>
      </c>
      <c r="M38" s="137">
        <f t="shared" ca="1" si="6"/>
        <v>79.253905716494813</v>
      </c>
      <c r="N38" s="137">
        <f ca="1">IFERROR(__xludf.DUMMYFUNCTION("IMPORTRANGE(""https://docs.google.com/spreadsheets/d/1Yj_ptqi66GCucihVvJfMjLAmec39IyEx_6qawtMGysU/edit?usp=sharing"",""สบก!DN42"")"),0)</f>
        <v>0</v>
      </c>
      <c r="O38" s="137">
        <f t="shared" ca="1" si="7"/>
        <v>0</v>
      </c>
      <c r="P38" s="77">
        <f ca="1">IFERROR(__xludf.DUMMYFUNCTION("IMPORTRANGE(""https://docs.google.com/spreadsheets/d/1C3CXT74ZlgGe6_JY_1olB1XN4rF0dxEuIIF-xsYjHgg/edit?usp=sharing"",""พรบ!CA42"")"),1550)</f>
        <v>1550</v>
      </c>
      <c r="Q38" s="77">
        <f ca="1">IFERROR(__xludf.DUMMYFUNCTION("IMPORTRANGE(""https://docs.google.com/spreadsheets/d/1C3CXT74ZlgGe6_JY_1olB1XN4rF0dxEuIIF-xsYjHgg/edit?usp=sharing"",""พรบ!BZ42"")"),15600)</f>
        <v>15600</v>
      </c>
      <c r="R38" s="218">
        <f t="shared" ca="1" si="95"/>
        <v>930</v>
      </c>
      <c r="S38" s="77">
        <f ca="1">IFERROR(__xludf.DUMMYFUNCTION("IMPORTRANGE(""https://docs.google.com/spreadsheets/d/1XL5vhW3sbDhbH9Cz0tuDiY8C3ctxq1tqvaCgkFb8cCA/edit?usp=sharing"",""นครราชสีมา!j234"")"),928)</f>
        <v>928</v>
      </c>
      <c r="T38" s="77">
        <f ca="1">IFERROR(__xludf.DUMMYFUNCTION("IMPORTRANGE(""https://docs.google.com/spreadsheets/d/1XL5vhW3sbDhbH9Cz0tuDiY8C3ctxq1tqvaCgkFb8cCA/edit?usp=sharing"",""นครราชสีมา!j235"")"),8989.35)</f>
        <v>8989.35</v>
      </c>
      <c r="U38" s="137">
        <f t="shared" ca="1" si="10"/>
        <v>57.624038461538461</v>
      </c>
      <c r="V38" s="77">
        <f ca="1">IFERROR(__xludf.DUMMYFUNCTION("IMPORTRANGE(""https://docs.google.com/spreadsheets/d/1XL5vhW3sbDhbH9Cz0tuDiY8C3ctxq1tqvaCgkFb8cCA/edit?usp=sharing"",""นครราชสีมา!j236"")"),1173)</f>
        <v>1173</v>
      </c>
      <c r="W38" s="77">
        <f ca="1">IFERROR(__xludf.DUMMYFUNCTION("IMPORTRANGE(""https://docs.google.com/spreadsheets/d/1XL5vhW3sbDhbH9Cz0tuDiY8C3ctxq1tqvaCgkFb8cCA/edit?usp=sharing"",""นครราชสีมา!j237"")"),14516.21)</f>
        <v>14516.21</v>
      </c>
      <c r="X38" s="137">
        <f t="shared" ca="1" si="12"/>
        <v>75.677419354838705</v>
      </c>
      <c r="Y38" s="77">
        <f ca="1">IFERROR(__xludf.DUMMYFUNCTION("IMPORTRANGE(""https://docs.google.com/spreadsheets/d/1XL5vhW3sbDhbH9Cz0tuDiY8C3ctxq1tqvaCgkFb8cCA/edit?usp=sharing"",""นครราชสีมา!j238"")"),0)</f>
        <v>0</v>
      </c>
      <c r="Z38" s="77">
        <f ca="1">IFERROR(__xludf.DUMMYFUNCTION("IMPORTRANGE(""https://docs.google.com/spreadsheets/d/1XL5vhW3sbDhbH9Cz0tuDiY8C3ctxq1tqvaCgkFb8cCA/edit?usp=sharing"",""นครราชสีมา!j239"")"),0)</f>
        <v>0</v>
      </c>
      <c r="AA38" s="137">
        <f t="shared" ca="1" si="14"/>
        <v>0</v>
      </c>
      <c r="AB38" s="77">
        <f ca="1">IFERROR(__xludf.DUMMYFUNCTION("IMPORTRANGE(""https://docs.google.com/spreadsheets/d/1XL5vhW3sbDhbH9Cz0tuDiY8C3ctxq1tqvaCgkFb8cCA/edit?usp=sharing"",""นครราชสีมา!j240"")"),726)</f>
        <v>726</v>
      </c>
      <c r="AC38" s="77">
        <f ca="1">IFERROR(__xludf.DUMMYFUNCTION("IMPORTRANGE(""https://docs.google.com/spreadsheets/d/1XL5vhW3sbDhbH9Cz0tuDiY8C3ctxq1tqvaCgkFb8cCA/edit?usp=sharing"",""นครราชสีมา!j241"")"),10092.74)</f>
        <v>10092.74</v>
      </c>
      <c r="AD38" s="219">
        <f t="shared" ca="1" si="16"/>
        <v>46.838709677419352</v>
      </c>
      <c r="AE38" s="215">
        <f ca="1">IFERROR(__xludf.DUMMYFUNCTION("IMPORTRANGE(""https://docs.google.com/spreadsheets/d/1AGHcLOeeYFL3K4b9R1dSzyJy00PE_ra89DNTVfnxSWM/edit?usp=sharing"",""รวมที่ทำกิน!AA31"")"),10000)</f>
        <v>10000</v>
      </c>
      <c r="AF38" s="215">
        <f ca="1">IFERROR(__xludf.DUMMYFUNCTION("IMPORTRANGE(""https://docs.google.com/spreadsheets/d/1AGHcLOeeYFL3K4b9R1dSzyJy00PE_ra89DNTVfnxSWM/edit?usp=sharing"",""รวมที่ทำกิน!AB31"")"),436)</f>
        <v>436</v>
      </c>
      <c r="AG38" s="215">
        <f ca="1">IFERROR(__xludf.DUMMYFUNCTION("IMPORTRANGE(""https://docs.google.com/spreadsheets/d/1AGHcLOeeYFL3K4b9R1dSzyJy00PE_ra89DNTVfnxSWM/edit?usp=sharing"",""รวมที่ทำกิน!AD31"")"),4647.51)</f>
        <v>4647.51</v>
      </c>
      <c r="AH38" s="219">
        <f t="shared" ca="1" si="101"/>
        <v>46.475099999999998</v>
      </c>
      <c r="AI38" s="215">
        <f ca="1">IFERROR(__xludf.DUMMYFUNCTION("IMPORTRANGE(""https://docs.google.com/spreadsheets/d/1AGHcLOeeYFL3K4b9R1dSzyJy00PE_ra89DNTVfnxSWM/edit?usp=sharing"",""รวมที่ทำกิน!AE31"")"),832)</f>
        <v>832</v>
      </c>
      <c r="AJ38" s="215">
        <f ca="1">IFERROR(__xludf.DUMMYFUNCTION("IMPORTRANGE(""https://docs.google.com/spreadsheets/d/1AGHcLOeeYFL3K4b9R1dSzyJy00PE_ra89DNTVfnxSWM/edit?usp=sharing"",""รวมที่ทำกิน!AF31"")"),215)</f>
        <v>215</v>
      </c>
      <c r="AK38" s="215">
        <f ca="1">IFERROR(__xludf.DUMMYFUNCTION("IMPORTRANGE(""https://docs.google.com/spreadsheets/d/1AGHcLOeeYFL3K4b9R1dSzyJy00PE_ra89DNTVfnxSWM/edit?usp=sharing"",""รวมที่ทำกิน!AH31"")"),2655.01)</f>
        <v>2655.01</v>
      </c>
      <c r="AL38" s="220">
        <f t="shared" ca="1" si="103"/>
        <v>25.841346153846153</v>
      </c>
      <c r="AM38" s="215">
        <f ca="1">IFERROR(__xludf.DUMMYFUNCTION("IMPORTRANGE(""https://docs.google.com/spreadsheets/d/1AGHcLOeeYFL3K4b9R1dSzyJy00PE_ra89DNTVfnxSWM/edit?usp=sharing"",""รวมที่ทำกิน!AI31"")"),0)</f>
        <v>0</v>
      </c>
      <c r="AN38" s="215">
        <f ca="1">IFERROR(__xludf.DUMMYFUNCTION("IMPORTRANGE(""https://docs.google.com/spreadsheets/d/1AGHcLOeeYFL3K4b9R1dSzyJy00PE_ra89DNTVfnxSWM/edit?usp=sharing"",""รวมที่ทำกิน!AK31"")"),0)</f>
        <v>0</v>
      </c>
      <c r="AO38" s="220">
        <f t="shared" ca="1" si="22"/>
        <v>0</v>
      </c>
      <c r="AP38" s="215">
        <f ca="1">IFERROR(__xludf.DUMMYFUNCTION("IMPORTRANGE(""https://docs.google.com/spreadsheets/d/1AGHcLOeeYFL3K4b9R1dSzyJy00PE_ra89DNTVfnxSWM/edit?usp=sharing"",""รวมที่ทำกิน!AL31"")"),41)</f>
        <v>41</v>
      </c>
      <c r="AQ38" s="215">
        <f ca="1">IFERROR(__xludf.DUMMYFUNCTION("IMPORTRANGE(""https://docs.google.com/spreadsheets/d/1AGHcLOeeYFL3K4b9R1dSzyJy00PE_ra89DNTVfnxSWM/edit?usp=sharing"",""รวมที่ทำกิน!AN31"")"),501.12)</f>
        <v>501.12</v>
      </c>
      <c r="AR38" s="220">
        <f t="shared" ca="1" si="24"/>
        <v>4.927884615384615</v>
      </c>
      <c r="AS38" s="215">
        <f ca="1">IFERROR(__xludf.DUMMYFUNCTION("IMPORTRANGE(""https://docs.google.com/spreadsheets/d/1AGHcLOeeYFL3K4b9R1dSzyJy00PE_ra89DNTVfnxSWM/edit?usp=sharing"",""รวมที่ทำกิน!AO31"")"),5600)</f>
        <v>5600</v>
      </c>
      <c r="AT38" s="215">
        <f ca="1">IFERROR(__xludf.DUMMYFUNCTION("IMPORTRANGE(""https://docs.google.com/spreadsheets/d/1AGHcLOeeYFL3K4b9R1dSzyJy00PE_ra89DNTVfnxSWM/edit?usp=sharing"",""รวมที่ทำกิน!AP31"")"),492)</f>
        <v>492</v>
      </c>
      <c r="AU38" s="215">
        <f ca="1">IFERROR(__xludf.DUMMYFUNCTION("IMPORTRANGE(""https://docs.google.com/spreadsheets/d/1AGHcLOeeYFL3K4b9R1dSzyJy00PE_ra89DNTVfnxSWM/edit?usp=sharing"",""รวมที่ทำกิน!AR31"")"),4341.84)</f>
        <v>4341.84</v>
      </c>
      <c r="AV38" s="220">
        <f t="shared" ca="1" si="107"/>
        <v>77.532857142857139</v>
      </c>
      <c r="AW38" s="215">
        <f ca="1">IFERROR(__xludf.DUMMYFUNCTION("IMPORTRANGE(""https://docs.google.com/spreadsheets/d/1AGHcLOeeYFL3K4b9R1dSzyJy00PE_ra89DNTVfnxSWM/edit?usp=sharing"",""รวมที่ทำกิน!AS31"")"),718)</f>
        <v>718</v>
      </c>
      <c r="AX38" s="215">
        <f ca="1">IFERROR(__xludf.DUMMYFUNCTION("IMPORTRANGE(""https://docs.google.com/spreadsheets/d/1AGHcLOeeYFL3K4b9R1dSzyJy00PE_ra89DNTVfnxSWM/edit?usp=sharing"",""รวมที่ทำกิน!AT31"")"),958)</f>
        <v>958</v>
      </c>
      <c r="AY38" s="215">
        <f ca="1">IFERROR(__xludf.DUMMYFUNCTION("IMPORTRANGE(""https://docs.google.com/spreadsheets/d/1AGHcLOeeYFL3K4b9R1dSzyJy00PE_ra89DNTVfnxSWM/edit?usp=sharing"",""รวมที่ทำกิน!AV31"")"),11861.2)</f>
        <v>11861.2</v>
      </c>
      <c r="AZ38" s="220">
        <f t="shared" ca="1" si="109"/>
        <v>133.42618384401115</v>
      </c>
      <c r="BA38" s="215">
        <f ca="1">IFERROR(__xludf.DUMMYFUNCTION("IMPORTRANGE(""https://docs.google.com/spreadsheets/d/1AGHcLOeeYFL3K4b9R1dSzyJy00PE_ra89DNTVfnxSWM/edit?usp=sharing"",""รวมที่ทำกิน!AW31"")"),0)</f>
        <v>0</v>
      </c>
      <c r="BB38" s="215">
        <f ca="1">IFERROR(__xludf.DUMMYFUNCTION("IMPORTRANGE(""https://docs.google.com/spreadsheets/d/1AGHcLOeeYFL3K4b9R1dSzyJy00PE_ra89DNTVfnxSWM/edit?usp=sharing"",""รวมที่ทำกิน!AY31"")"),0)</f>
        <v>0</v>
      </c>
      <c r="BC38" s="220">
        <f t="shared" ca="1" si="30"/>
        <v>0</v>
      </c>
      <c r="BD38" s="215">
        <f ca="1">IFERROR(__xludf.DUMMYFUNCTION("IMPORTRANGE(""https://docs.google.com/spreadsheets/d/1AGHcLOeeYFL3K4b9R1dSzyJy00PE_ra89DNTVfnxSWM/edit?usp=sharing"",""รวมที่ทำกิน!AZ31"")"),685)</f>
        <v>685</v>
      </c>
      <c r="BE38" s="215">
        <f ca="1">IFERROR(__xludf.DUMMYFUNCTION("IMPORTRANGE(""https://docs.google.com/spreadsheets/d/1AGHcLOeeYFL3K4b9R1dSzyJy00PE_ra89DNTVfnxSWM/edit?usp=sharing"",""รวมที่ทำกิน!BB31"")"),9591.62)</f>
        <v>9591.6200000000008</v>
      </c>
      <c r="BF38" s="221">
        <f t="shared" ca="1" si="32"/>
        <v>95.403899721448468</v>
      </c>
    </row>
    <row r="39" spans="1:58" ht="21" customHeight="1">
      <c r="A39" s="73">
        <v>6</v>
      </c>
      <c r="B39" s="74" t="s">
        <v>63</v>
      </c>
      <c r="C39" s="75">
        <f t="shared" ca="1" si="0"/>
        <v>1501400</v>
      </c>
      <c r="D39" s="76">
        <f t="shared" ca="1" si="127"/>
        <v>1409300</v>
      </c>
      <c r="E39" s="77">
        <f ca="1">IFERROR(__xludf.DUMMYFUNCTION("IMPORTRANGE(""https://docs.google.com/spreadsheets/d/1C3CXT74ZlgGe6_JY_1olB1XN4rF0dxEuIIF-xsYjHgg/edit?usp=sharing"",""พรบ!BX43"")"),510300)</f>
        <v>510300</v>
      </c>
      <c r="F39" s="77">
        <f ca="1">IFERROR(__xludf.DUMMYFUNCTION("IMPORTRANGE(""https://docs.google.com/spreadsheets/d/1C3CXT74ZlgGe6_JY_1olB1XN4rF0dxEuIIF-xsYjHgg/edit?usp=sharing"",""พรบ!BY43"")"),899000)</f>
        <v>899000</v>
      </c>
      <c r="G39" s="77">
        <f ca="1">IFERROR(__xludf.DUMMYFUNCTION("IMPORTRANGE(""https://docs.google.com/spreadsheets/d/1Yj_ptqi66GCucihVvJfMjLAmec39IyEx_6qawtMGysU/edit?usp=sharing"",""สบก!DJ43"")"),92100)</f>
        <v>92100</v>
      </c>
      <c r="H39" s="149">
        <f ca="1">IFERROR(__xludf.DUMMYFUNCTION("IMPORTRANGE(""https://docs.google.com/spreadsheets/d/1Yj_ptqi66GCucihVvJfMjLAmec39IyEx_6qawtMGysU/edit?usp=shDLing"",""สบก!DL43"")"),1001000)</f>
        <v>1001000</v>
      </c>
      <c r="I39" s="77">
        <f t="shared" ca="1" si="3"/>
        <v>852062</v>
      </c>
      <c r="J39" s="77">
        <f t="shared" ca="1" si="4"/>
        <v>56.751165578793128</v>
      </c>
      <c r="K39" s="77">
        <f ca="1">IFERROR(__xludf.DUMMYFUNCTION("IMPORTRANGE(""https://docs.google.com/spreadsheets/d/1Yj_ptqi66GCucihVvJfMjLAmec39IyEx_6qawtMGysU/edit?usp=sharing"",""สบก!DM43"")"),759962)</f>
        <v>759962</v>
      </c>
      <c r="L39" s="137">
        <f t="shared" ca="1" si="5"/>
        <v>53.924785354431279</v>
      </c>
      <c r="M39" s="137">
        <f t="shared" ca="1" si="6"/>
        <v>75.920279720279723</v>
      </c>
      <c r="N39" s="137">
        <f ca="1">IFERROR(__xludf.DUMMYFUNCTION("IMPORTRANGE(""https://docs.google.com/spreadsheets/d/1Yj_ptqi66GCucihVvJfMjLAmec39IyEx_6qawtMGysU/edit?usp=sharing"",""สบก!DN43"")"),92100)</f>
        <v>92100</v>
      </c>
      <c r="O39" s="137">
        <f t="shared" ca="1" si="7"/>
        <v>100</v>
      </c>
      <c r="P39" s="77">
        <f ca="1">IFERROR(__xludf.DUMMYFUNCTION("IMPORTRANGE(""https://docs.google.com/spreadsheets/d/1C3CXT74ZlgGe6_JY_1olB1XN4rF0dxEuIIF-xsYjHgg/edit?usp=sharing"",""พรบ!CA43"")"),640)</f>
        <v>640</v>
      </c>
      <c r="Q39" s="77">
        <f ca="1">IFERROR(__xludf.DUMMYFUNCTION("IMPORTRANGE(""https://docs.google.com/spreadsheets/d/1C3CXT74ZlgGe6_JY_1olB1XN4rF0dxEuIIF-xsYjHgg/edit?usp=sharing"",""พรบ!BZ43"")"),6000)</f>
        <v>6000</v>
      </c>
      <c r="R39" s="218">
        <f t="shared" ca="1" si="95"/>
        <v>384</v>
      </c>
      <c r="S39" s="77">
        <f ca="1">IFERROR(__xludf.DUMMYFUNCTION("IMPORTRANGE(""https://docs.google.com/spreadsheets/d/1XL5vhW3sbDhbH9Cz0tuDiY8C3ctxq1tqvaCgkFb8cCA/edit?usp=sharing"",""บึงกาฬ!j234"")"),495)</f>
        <v>495</v>
      </c>
      <c r="T39" s="77">
        <f ca="1">IFERROR(__xludf.DUMMYFUNCTION("IMPORTRANGE(""https://docs.google.com/spreadsheets/d/1XL5vhW3sbDhbH9Cz0tuDiY8C3ctxq1tqvaCgkFb8cCA/edit?usp=sharing"",""บึงกาฬ!j235"")"),5153.16)</f>
        <v>5153.16</v>
      </c>
      <c r="U39" s="137">
        <f t="shared" ca="1" si="10"/>
        <v>85.885999999999996</v>
      </c>
      <c r="V39" s="77">
        <f ca="1">IFERROR(__xludf.DUMMYFUNCTION("IMPORTRANGE(""https://docs.google.com/spreadsheets/d/1XL5vhW3sbDhbH9Cz0tuDiY8C3ctxq1tqvaCgkFb8cCA/edit?usp=sharing"",""บึงกาฬ!j236"")"),431)</f>
        <v>431</v>
      </c>
      <c r="W39" s="77">
        <f ca="1">IFERROR(__xludf.DUMMYFUNCTION("IMPORTRANGE(""https://docs.google.com/spreadsheets/d/1XL5vhW3sbDhbH9Cz0tuDiY8C3ctxq1tqvaCgkFb8cCA/edit?usp=sharing"",""บึงกาฬ!j237"")"),6116.06)</f>
        <v>6116.06</v>
      </c>
      <c r="X39" s="137">
        <f t="shared" ca="1" si="12"/>
        <v>67.34375</v>
      </c>
      <c r="Y39" s="77">
        <f ca="1">IFERROR(__xludf.DUMMYFUNCTION("IMPORTRANGE(""https://docs.google.com/spreadsheets/d/1XL5vhW3sbDhbH9Cz0tuDiY8C3ctxq1tqvaCgkFb8cCA/edit?usp=sharing"",""บึงกาฬ!j238"")"),0)</f>
        <v>0</v>
      </c>
      <c r="Z39" s="77">
        <f ca="1">IFERROR(__xludf.DUMMYFUNCTION("IMPORTRANGE(""https://docs.google.com/spreadsheets/d/1XL5vhW3sbDhbH9Cz0tuDiY8C3ctxq1tqvaCgkFb8cCA/edit?usp=sharing"",""บึงกาฬ!j239"")"),0)</f>
        <v>0</v>
      </c>
      <c r="AA39" s="137">
        <f t="shared" ca="1" si="14"/>
        <v>0</v>
      </c>
      <c r="AB39" s="77">
        <f ca="1">IFERROR(__xludf.DUMMYFUNCTION("IMPORTRANGE(""https://docs.google.com/spreadsheets/d/1XL5vhW3sbDhbH9Cz0tuDiY8C3ctxq1tqvaCgkFb8cCA/edit?usp=sharing"",""บึงกาฬ!j240"")"),344)</f>
        <v>344</v>
      </c>
      <c r="AC39" s="77">
        <f ca="1">IFERROR(__xludf.DUMMYFUNCTION("IMPORTRANGE(""https://docs.google.com/spreadsheets/d/1XL5vhW3sbDhbH9Cz0tuDiY8C3ctxq1tqvaCgkFb8cCA/edit?usp=sharing"",""บึงกาฬ!j241"")"),5048.82)</f>
        <v>5048.82</v>
      </c>
      <c r="AD39" s="219">
        <f t="shared" ca="1" si="16"/>
        <v>53.75</v>
      </c>
      <c r="AE39" s="215">
        <f ca="1">IFERROR(__xludf.DUMMYFUNCTION("IMPORTRANGE(""https://docs.google.com/spreadsheets/d/1AGHcLOeeYFL3K4b9R1dSzyJy00PE_ra89DNTVfnxSWM/edit?usp=sharing"",""รวมที่ทำกิน!AA32"")"),3600)</f>
        <v>3600</v>
      </c>
      <c r="AF39" s="215">
        <f ca="1">IFERROR(__xludf.DUMMYFUNCTION("IMPORTRANGE(""https://docs.google.com/spreadsheets/d/1AGHcLOeeYFL3K4b9R1dSzyJy00PE_ra89DNTVfnxSWM/edit?usp=sharing"",""รวมที่ทำกิน!AB32"")"),156)</f>
        <v>156</v>
      </c>
      <c r="AG39" s="215">
        <f ca="1">IFERROR(__xludf.DUMMYFUNCTION("IMPORTRANGE(""https://docs.google.com/spreadsheets/d/1AGHcLOeeYFL3K4b9R1dSzyJy00PE_ra89DNTVfnxSWM/edit?usp=sharing"",""รวมที่ทำกิน!AD32"")"),1793.38)</f>
        <v>1793.38</v>
      </c>
      <c r="AH39" s="219">
        <f t="shared" ca="1" si="101"/>
        <v>49.816111111111113</v>
      </c>
      <c r="AI39" s="215">
        <f ca="1">IFERROR(__xludf.DUMMYFUNCTION("IMPORTRANGE(""https://docs.google.com/spreadsheets/d/1AGHcLOeeYFL3K4b9R1dSzyJy00PE_ra89DNTVfnxSWM/edit?usp=sharing"",""รวมที่ทำกิน!AE32"")"),300)</f>
        <v>300</v>
      </c>
      <c r="AJ39" s="215">
        <f ca="1">IFERROR(__xludf.DUMMYFUNCTION("IMPORTRANGE(""https://docs.google.com/spreadsheets/d/1AGHcLOeeYFL3K4b9R1dSzyJy00PE_ra89DNTVfnxSWM/edit?usp=sharing"",""รวมที่ทำกิน!AF32"")"),100)</f>
        <v>100</v>
      </c>
      <c r="AK39" s="215">
        <f ca="1">IFERROR(__xludf.DUMMYFUNCTION("IMPORTRANGE(""https://docs.google.com/spreadsheets/d/1AGHcLOeeYFL3K4b9R1dSzyJy00PE_ra89DNTVfnxSWM/edit?usp=sharing"",""รวมที่ทำกิน!AH32"")"),1144.51)</f>
        <v>1144.51</v>
      </c>
      <c r="AL39" s="220">
        <f t="shared" ca="1" si="103"/>
        <v>33.333333333333336</v>
      </c>
      <c r="AM39" s="215">
        <f ca="1">IFERROR(__xludf.DUMMYFUNCTION("IMPORTRANGE(""https://docs.google.com/spreadsheets/d/1AGHcLOeeYFL3K4b9R1dSzyJy00PE_ra89DNTVfnxSWM/edit?usp=sharing"",""รวมที่ทำกิน!AI32"")"),0)</f>
        <v>0</v>
      </c>
      <c r="AN39" s="215">
        <f ca="1">IFERROR(__xludf.DUMMYFUNCTION("IMPORTRANGE(""https://docs.google.com/spreadsheets/d/1AGHcLOeeYFL3K4b9R1dSzyJy00PE_ra89DNTVfnxSWM/edit?usp=sharing"",""รวมที่ทำกิน!AK32"")"),0)</f>
        <v>0</v>
      </c>
      <c r="AO39" s="220">
        <f t="shared" ca="1" si="22"/>
        <v>0</v>
      </c>
      <c r="AP39" s="215">
        <f ca="1">IFERROR(__xludf.DUMMYFUNCTION("IMPORTRANGE(""https://docs.google.com/spreadsheets/d/1AGHcLOeeYFL3K4b9R1dSzyJy00PE_ra89DNTVfnxSWM/edit?usp=sharing"",""รวมที่ทำกิน!AL32"")"),76)</f>
        <v>76</v>
      </c>
      <c r="AQ39" s="215">
        <f ca="1">IFERROR(__xludf.DUMMYFUNCTION("IMPORTRANGE(""https://docs.google.com/spreadsheets/d/1AGHcLOeeYFL3K4b9R1dSzyJy00PE_ra89DNTVfnxSWM/edit?usp=sharing"",""รวมที่ทำกิน!AN32"")"),831.04)</f>
        <v>831.04</v>
      </c>
      <c r="AR39" s="220">
        <f t="shared" ca="1" si="24"/>
        <v>25.333333333333332</v>
      </c>
      <c r="AS39" s="215">
        <f ca="1">IFERROR(__xludf.DUMMYFUNCTION("IMPORTRANGE(""https://docs.google.com/spreadsheets/d/1AGHcLOeeYFL3K4b9R1dSzyJy00PE_ra89DNTVfnxSWM/edit?usp=sharing"",""รวมที่ทำกิน!AO32"")"),2400)</f>
        <v>2400</v>
      </c>
      <c r="AT39" s="215">
        <f ca="1">IFERROR(__xludf.DUMMYFUNCTION("IMPORTRANGE(""https://docs.google.com/spreadsheets/d/1AGHcLOeeYFL3K4b9R1dSzyJy00PE_ra89DNTVfnxSWM/edit?usp=sharing"",""รวมที่ทำกิน!AP32"")"),339)</f>
        <v>339</v>
      </c>
      <c r="AU39" s="215">
        <f ca="1">IFERROR(__xludf.DUMMYFUNCTION("IMPORTRANGE(""https://docs.google.com/spreadsheets/d/1AGHcLOeeYFL3K4b9R1dSzyJy00PE_ra89DNTVfnxSWM/edit?usp=sharing"",""รวมที่ทำกิน!AR32"")"),3359.78)</f>
        <v>3359.78</v>
      </c>
      <c r="AV39" s="220">
        <f t="shared" ca="1" si="107"/>
        <v>139.99083333333334</v>
      </c>
      <c r="AW39" s="215">
        <f ca="1">IFERROR(__xludf.DUMMYFUNCTION("IMPORTRANGE(""https://docs.google.com/spreadsheets/d/1AGHcLOeeYFL3K4b9R1dSzyJy00PE_ra89DNTVfnxSWM/edit?usp=sharing"",""รวมที่ทำกิน!AS32"")"),340)</f>
        <v>340</v>
      </c>
      <c r="AX39" s="215">
        <f ca="1">IFERROR(__xludf.DUMMYFUNCTION("IMPORTRANGE(""https://docs.google.com/spreadsheets/d/1AGHcLOeeYFL3K4b9R1dSzyJy00PE_ra89DNTVfnxSWM/edit?usp=sharing"",""รวมที่ทำกิน!AT32"")"),331)</f>
        <v>331</v>
      </c>
      <c r="AY39" s="215">
        <f ca="1">IFERROR(__xludf.DUMMYFUNCTION("IMPORTRANGE(""https://docs.google.com/spreadsheets/d/1AGHcLOeeYFL3K4b9R1dSzyJy00PE_ra89DNTVfnxSWM/edit?usp=sharing"",""รวมที่ทำกิน!AV32"")"),4971.55)</f>
        <v>4971.55</v>
      </c>
      <c r="AZ39" s="220">
        <f t="shared" ca="1" si="109"/>
        <v>97.352941176470594</v>
      </c>
      <c r="BA39" s="215">
        <f ca="1">IFERROR(__xludf.DUMMYFUNCTION("IMPORTRANGE(""https://docs.google.com/spreadsheets/d/1AGHcLOeeYFL3K4b9R1dSzyJy00PE_ra89DNTVfnxSWM/edit?usp=sharing"",""รวมที่ทำกิน!AW32"")"),0)</f>
        <v>0</v>
      </c>
      <c r="BB39" s="215">
        <f ca="1">IFERROR(__xludf.DUMMYFUNCTION("IMPORTRANGE(""https://docs.google.com/spreadsheets/d/1AGHcLOeeYFL3K4b9R1dSzyJy00PE_ra89DNTVfnxSWM/edit?usp=sharing"",""รวมที่ทำกิน!AY32"")"),0)</f>
        <v>0</v>
      </c>
      <c r="BC39" s="220">
        <f t="shared" ca="1" si="30"/>
        <v>0</v>
      </c>
      <c r="BD39" s="215">
        <f ca="1">IFERROR(__xludf.DUMMYFUNCTION("IMPORTRANGE(""https://docs.google.com/spreadsheets/d/1AGHcLOeeYFL3K4b9R1dSzyJy00PE_ra89DNTVfnxSWM/edit?usp=sharing"",""รวมที่ทำกิน!AZ32"")"),268)</f>
        <v>268</v>
      </c>
      <c r="BE39" s="215">
        <f ca="1">IFERROR(__xludf.DUMMYFUNCTION("IMPORTRANGE(""https://docs.google.com/spreadsheets/d/1AGHcLOeeYFL3K4b9R1dSzyJy00PE_ra89DNTVfnxSWM/edit?usp=sharing"",""รวมที่ทำกิน!BB32"")"),4217.78)</f>
        <v>4217.78</v>
      </c>
      <c r="BF39" s="221">
        <f t="shared" ca="1" si="32"/>
        <v>78.82352941176471</v>
      </c>
    </row>
    <row r="40" spans="1:58" ht="21" customHeight="1">
      <c r="A40" s="73">
        <v>7</v>
      </c>
      <c r="B40" s="74" t="s">
        <v>64</v>
      </c>
      <c r="C40" s="75">
        <f t="shared" ca="1" si="0"/>
        <v>1468100</v>
      </c>
      <c r="D40" s="76">
        <f t="shared" ca="1" si="127"/>
        <v>1462700</v>
      </c>
      <c r="E40" s="77">
        <f ca="1">IFERROR(__xludf.DUMMYFUNCTION("IMPORTRANGE(""https://docs.google.com/spreadsheets/d/1C3CXT74ZlgGe6_JY_1olB1XN4rF0dxEuIIF-xsYjHgg/edit?usp=sharing"",""พรบ!BX44"")"),442800)</f>
        <v>442800</v>
      </c>
      <c r="F40" s="77">
        <f ca="1">IFERROR(__xludf.DUMMYFUNCTION("IMPORTRANGE(""https://docs.google.com/spreadsheets/d/1C3CXT74ZlgGe6_JY_1olB1XN4rF0dxEuIIF-xsYjHgg/edit?usp=sharing"",""พรบ!BY44"")"),1019900)</f>
        <v>1019900</v>
      </c>
      <c r="G40" s="77">
        <f ca="1">IFERROR(__xludf.DUMMYFUNCTION("IMPORTRANGE(""https://docs.google.com/spreadsheets/d/1Yj_ptqi66GCucihVvJfMjLAmec39IyEx_6qawtMGysU/edit?usp=sharing"",""สบก!DJ44"")"),5400)</f>
        <v>5400</v>
      </c>
      <c r="H40" s="149">
        <f ca="1">IFERROR(__xludf.DUMMYFUNCTION("IMPORTRANGE(""https://docs.google.com/spreadsheets/d/1Yj_ptqi66GCucihVvJfMjLAmec39IyEx_6qawtMGysU/edit?usp=shDLing"",""สบก!DL44"")"),1036060)</f>
        <v>1036060</v>
      </c>
      <c r="I40" s="77">
        <f t="shared" ca="1" si="3"/>
        <v>689746.83</v>
      </c>
      <c r="J40" s="77">
        <f t="shared" ca="1" si="4"/>
        <v>46.982278455146108</v>
      </c>
      <c r="K40" s="77">
        <f ca="1">IFERROR(__xludf.DUMMYFUNCTION("IMPORTRANGE(""https://docs.google.com/spreadsheets/d/1Yj_ptqi66GCucihVvJfMjLAmec39IyEx_6qawtMGysU/edit?usp=sharing"",""สบก!DM44"")"),684346.83)</f>
        <v>684346.83</v>
      </c>
      <c r="L40" s="137">
        <f t="shared" ca="1" si="5"/>
        <v>46.786547480686401</v>
      </c>
      <c r="M40" s="137">
        <f t="shared" ca="1" si="6"/>
        <v>66.052818369592501</v>
      </c>
      <c r="N40" s="137">
        <f ca="1">IFERROR(__xludf.DUMMYFUNCTION("IMPORTRANGE(""https://docs.google.com/spreadsheets/d/1Yj_ptqi66GCucihVvJfMjLAmec39IyEx_6qawtMGysU/edit?usp=sharing"",""สบก!DN44"")"),5400)</f>
        <v>5400</v>
      </c>
      <c r="O40" s="137">
        <f t="shared" ca="1" si="7"/>
        <v>100</v>
      </c>
      <c r="P40" s="77">
        <f ca="1">IFERROR(__xludf.DUMMYFUNCTION("IMPORTRANGE(""https://docs.google.com/spreadsheets/d/1C3CXT74ZlgGe6_JY_1olB1XN4rF0dxEuIIF-xsYjHgg/edit?usp=sharing"",""พรบ!CA44"")"),880)</f>
        <v>880</v>
      </c>
      <c r="Q40" s="77">
        <f ca="1">IFERROR(__xludf.DUMMYFUNCTION("IMPORTRANGE(""https://docs.google.com/spreadsheets/d/1C3CXT74ZlgGe6_JY_1olB1XN4rF0dxEuIIF-xsYjHgg/edit?usp=sharing"",""พรบ!BZ44"")"),7600)</f>
        <v>7600</v>
      </c>
      <c r="R40" s="218">
        <f t="shared" ca="1" si="95"/>
        <v>528</v>
      </c>
      <c r="S40" s="77">
        <f ca="1">IFERROR(__xludf.DUMMYFUNCTION("IMPORTRANGE(""https://docs.google.com/spreadsheets/d/1XL5vhW3sbDhbH9Cz0tuDiY8C3ctxq1tqvaCgkFb8cCA/edit?usp=sharing"",""บุรีรัมย์!j234"")"),836)</f>
        <v>836</v>
      </c>
      <c r="T40" s="77">
        <f ca="1">IFERROR(__xludf.DUMMYFUNCTION("IMPORTRANGE(""https://docs.google.com/spreadsheets/d/1XL5vhW3sbDhbH9Cz0tuDiY8C3ctxq1tqvaCgkFb8cCA/edit?usp=sharing"",""บุรีรัมย์!j235"")"),4942.51)</f>
        <v>4942.51</v>
      </c>
      <c r="U40" s="137">
        <f t="shared" ca="1" si="10"/>
        <v>65.033026315789471</v>
      </c>
      <c r="V40" s="77">
        <f ca="1">IFERROR(__xludf.DUMMYFUNCTION("IMPORTRANGE(""https://docs.google.com/spreadsheets/d/1XL5vhW3sbDhbH9Cz0tuDiY8C3ctxq1tqvaCgkFb8cCA/edit?usp=sharing"",""บุรีรัมย์!j236"")"),580)</f>
        <v>580</v>
      </c>
      <c r="W40" s="77">
        <f ca="1">IFERROR(__xludf.DUMMYFUNCTION("IMPORTRANGE(""https://docs.google.com/spreadsheets/d/1XL5vhW3sbDhbH9Cz0tuDiY8C3ctxq1tqvaCgkFb8cCA/edit?usp=sharing"",""บุรีรัมย์!j237"")"),3851.84)</f>
        <v>3851.84</v>
      </c>
      <c r="X40" s="137">
        <f t="shared" ca="1" si="12"/>
        <v>65.909090909090907</v>
      </c>
      <c r="Y40" s="77">
        <f ca="1">IFERROR(__xludf.DUMMYFUNCTION("IMPORTRANGE(""https://docs.google.com/spreadsheets/d/1XL5vhW3sbDhbH9Cz0tuDiY8C3ctxq1tqvaCgkFb8cCA/edit?usp=sharing"",""บุรีรัมย์!j238"")"),132)</f>
        <v>132</v>
      </c>
      <c r="Z40" s="77">
        <f ca="1">IFERROR(__xludf.DUMMYFUNCTION("IMPORTRANGE(""https://docs.google.com/spreadsheets/d/1XL5vhW3sbDhbH9Cz0tuDiY8C3ctxq1tqvaCgkFb8cCA/edit?usp=sharing"",""บุรีรัมย์!j239"")"),948.17)</f>
        <v>948.17</v>
      </c>
      <c r="AA40" s="137">
        <f t="shared" ca="1" si="14"/>
        <v>15</v>
      </c>
      <c r="AB40" s="77">
        <f ca="1">IFERROR(__xludf.DUMMYFUNCTION("IMPORTRANGE(""https://docs.google.com/spreadsheets/d/1XL5vhW3sbDhbH9Cz0tuDiY8C3ctxq1tqvaCgkFb8cCA/edit?usp=sharing"",""บุรีรัมย์!j240"")"),487)</f>
        <v>487</v>
      </c>
      <c r="AC40" s="77">
        <f ca="1">IFERROR(__xludf.DUMMYFUNCTION("IMPORTRANGE(""https://docs.google.com/spreadsheets/d/1XL5vhW3sbDhbH9Cz0tuDiY8C3ctxq1tqvaCgkFb8cCA/edit?usp=sharing"",""บุรีรัมย์!j241"")"),3221.81999999999)</f>
        <v>3221.8199999999902</v>
      </c>
      <c r="AD40" s="219">
        <f t="shared" ca="1" si="16"/>
        <v>55.340909090909093</v>
      </c>
      <c r="AE40" s="215">
        <f ca="1">IFERROR(__xludf.DUMMYFUNCTION("IMPORTRANGE(""https://docs.google.com/spreadsheets/d/1AGHcLOeeYFL3K4b9R1dSzyJy00PE_ra89DNTVfnxSWM/edit?usp=sharing"",""รวมที่ทำกิน!AA33"")"),3200)</f>
        <v>3200</v>
      </c>
      <c r="AF40" s="215">
        <f ca="1">IFERROR(__xludf.DUMMYFUNCTION("IMPORTRANGE(""https://docs.google.com/spreadsheets/d/1AGHcLOeeYFL3K4b9R1dSzyJy00PE_ra89DNTVfnxSWM/edit?usp=sharing"",""รวมที่ทำกิน!AB33"")"),515)</f>
        <v>515</v>
      </c>
      <c r="AG40" s="215">
        <f ca="1">IFERROR(__xludf.DUMMYFUNCTION("IMPORTRANGE(""https://docs.google.com/spreadsheets/d/1AGHcLOeeYFL3K4b9R1dSzyJy00PE_ra89DNTVfnxSWM/edit?usp=sharing"",""รวมที่ทำกิน!AD33"")"),2945.59)</f>
        <v>2945.59</v>
      </c>
      <c r="AH40" s="219">
        <f t="shared" ca="1" si="101"/>
        <v>92.049687500000005</v>
      </c>
      <c r="AI40" s="215">
        <f ca="1">IFERROR(__xludf.DUMMYFUNCTION("IMPORTRANGE(""https://docs.google.com/spreadsheets/d/1AGHcLOeeYFL3K4b9R1dSzyJy00PE_ra89DNTVfnxSWM/edit?usp=sharing"",""รวมที่ทำกิน!AE33"")"),270)</f>
        <v>270</v>
      </c>
      <c r="AJ40" s="215">
        <f ca="1">IFERROR(__xludf.DUMMYFUNCTION("IMPORTRANGE(""https://docs.google.com/spreadsheets/d/1AGHcLOeeYFL3K4b9R1dSzyJy00PE_ra89DNTVfnxSWM/edit?usp=sharing"",""รวมที่ทำกิน!AF33"")"),418)</f>
        <v>418</v>
      </c>
      <c r="AK40" s="215">
        <f ca="1">IFERROR(__xludf.DUMMYFUNCTION("IMPORTRANGE(""https://docs.google.com/spreadsheets/d/1AGHcLOeeYFL3K4b9R1dSzyJy00PE_ra89DNTVfnxSWM/edit?usp=sharing"",""รวมที่ทำกิน!AH33"")"),2561.19)</f>
        <v>2561.19</v>
      </c>
      <c r="AL40" s="220">
        <f t="shared" ca="1" si="103"/>
        <v>154.81481481481481</v>
      </c>
      <c r="AM40" s="215">
        <f ca="1">IFERROR(__xludf.DUMMYFUNCTION("IMPORTRANGE(""https://docs.google.com/spreadsheets/d/1AGHcLOeeYFL3K4b9R1dSzyJy00PE_ra89DNTVfnxSWM/edit?usp=sharing"",""รวมที่ทำกิน!AI33"")"),0)</f>
        <v>0</v>
      </c>
      <c r="AN40" s="215">
        <f ca="1">IFERROR(__xludf.DUMMYFUNCTION("IMPORTRANGE(""https://docs.google.com/spreadsheets/d/1AGHcLOeeYFL3K4b9R1dSzyJy00PE_ra89DNTVfnxSWM/edit?usp=sharing"",""รวมที่ทำกิน!AK33"")"),0)</f>
        <v>0</v>
      </c>
      <c r="AO40" s="220">
        <f t="shared" ca="1" si="22"/>
        <v>0</v>
      </c>
      <c r="AP40" s="215">
        <f ca="1">IFERROR(__xludf.DUMMYFUNCTION("IMPORTRANGE(""https://docs.google.com/spreadsheets/d/1AGHcLOeeYFL3K4b9R1dSzyJy00PE_ra89DNTVfnxSWM/edit?usp=sharing"",""รวมที่ทำกิน!AL33"")"),311)</f>
        <v>311</v>
      </c>
      <c r="AQ40" s="215">
        <f ca="1">IFERROR(__xludf.DUMMYFUNCTION("IMPORTRANGE(""https://docs.google.com/spreadsheets/d/1AGHcLOeeYFL3K4b9R1dSzyJy00PE_ra89DNTVfnxSWM/edit?usp=sharing"",""รวมที่ทำกิน!AN33"")"),1830.48)</f>
        <v>1830.48</v>
      </c>
      <c r="AR40" s="220">
        <f t="shared" ca="1" si="24"/>
        <v>115.18518518518519</v>
      </c>
      <c r="AS40" s="215">
        <f ca="1">IFERROR(__xludf.DUMMYFUNCTION("IMPORTRANGE(""https://docs.google.com/spreadsheets/d/1AGHcLOeeYFL3K4b9R1dSzyJy00PE_ra89DNTVfnxSWM/edit?usp=sharing"",""รวมที่ทำกิน!AO33"")"),4400)</f>
        <v>4400</v>
      </c>
      <c r="AT40" s="215">
        <f ca="1">IFERROR(__xludf.DUMMYFUNCTION("IMPORTRANGE(""https://docs.google.com/spreadsheets/d/1AGHcLOeeYFL3K4b9R1dSzyJy00PE_ra89DNTVfnxSWM/edit?usp=sharing"",""รวมที่ทำกิน!AP33"")"),321)</f>
        <v>321</v>
      </c>
      <c r="AU40" s="215">
        <f ca="1">IFERROR(__xludf.DUMMYFUNCTION("IMPORTRANGE(""https://docs.google.com/spreadsheets/d/1AGHcLOeeYFL3K4b9R1dSzyJy00PE_ra89DNTVfnxSWM/edit?usp=sharing"",""รวมที่ทำกิน!AR33"")"),1996.92)</f>
        <v>1996.92</v>
      </c>
      <c r="AV40" s="220">
        <f t="shared" ca="1" si="107"/>
        <v>45.384545454545453</v>
      </c>
      <c r="AW40" s="215">
        <f ca="1">IFERROR(__xludf.DUMMYFUNCTION("IMPORTRANGE(""https://docs.google.com/spreadsheets/d/1AGHcLOeeYFL3K4b9R1dSzyJy00PE_ra89DNTVfnxSWM/edit?usp=sharing"",""รวมที่ทำกิน!AS33"")"),610)</f>
        <v>610</v>
      </c>
      <c r="AX40" s="215">
        <f ca="1">IFERROR(__xludf.DUMMYFUNCTION("IMPORTRANGE(""https://docs.google.com/spreadsheets/d/1AGHcLOeeYFL3K4b9R1dSzyJy00PE_ra89DNTVfnxSWM/edit?usp=sharing"",""รวมที่ทำกิน!AT33"")"),162)</f>
        <v>162</v>
      </c>
      <c r="AY40" s="215">
        <f ca="1">IFERROR(__xludf.DUMMYFUNCTION("IMPORTRANGE(""https://docs.google.com/spreadsheets/d/1AGHcLOeeYFL3K4b9R1dSzyJy00PE_ra89DNTVfnxSWM/edit?usp=sharing"",""รวมที่ทำกิน!AV33"")"),1290.65)</f>
        <v>1290.6500000000001</v>
      </c>
      <c r="AZ40" s="220">
        <f t="shared" ca="1" si="109"/>
        <v>26.557377049180328</v>
      </c>
      <c r="BA40" s="215">
        <f ca="1">IFERROR(__xludf.DUMMYFUNCTION("IMPORTRANGE(""https://docs.google.com/spreadsheets/d/1AGHcLOeeYFL3K4b9R1dSzyJy00PE_ra89DNTVfnxSWM/edit?usp=sharing"",""รวมที่ทำกิน!AW33"")"),132)</f>
        <v>132</v>
      </c>
      <c r="BB40" s="215">
        <f ca="1">IFERROR(__xludf.DUMMYFUNCTION("IMPORTRANGE(""https://docs.google.com/spreadsheets/d/1AGHcLOeeYFL3K4b9R1dSzyJy00PE_ra89DNTVfnxSWM/edit?usp=sharing"",""รวมที่ทำกิน!AY33"")"),948.17)</f>
        <v>948.17</v>
      </c>
      <c r="BC40" s="220">
        <f t="shared" ca="1" si="30"/>
        <v>21.639344262295083</v>
      </c>
      <c r="BD40" s="215">
        <f ca="1">IFERROR(__xludf.DUMMYFUNCTION("IMPORTRANGE(""https://docs.google.com/spreadsheets/d/1AGHcLOeeYFL3K4b9R1dSzyJy00PE_ra89DNTVfnxSWM/edit?usp=sharing"",""รวมที่ทำกิน!AZ33"")"),176)</f>
        <v>176</v>
      </c>
      <c r="BE40" s="215">
        <f ca="1">IFERROR(__xludf.DUMMYFUNCTION("IMPORTRANGE(""https://docs.google.com/spreadsheets/d/1AGHcLOeeYFL3K4b9R1dSzyJy00PE_ra89DNTVfnxSWM/edit?usp=sharing"",""รวมที่ทำกิน!BB33"")"),1391.34)</f>
        <v>1391.34</v>
      </c>
      <c r="BF40" s="221">
        <f t="shared" ca="1" si="32"/>
        <v>28.852459016393443</v>
      </c>
    </row>
    <row r="41" spans="1:58" ht="21" customHeight="1">
      <c r="A41" s="73">
        <v>8</v>
      </c>
      <c r="B41" s="74" t="s">
        <v>65</v>
      </c>
      <c r="C41" s="75">
        <f t="shared" ca="1" si="0"/>
        <v>658010</v>
      </c>
      <c r="D41" s="76">
        <f t="shared" ca="1" si="127"/>
        <v>658010</v>
      </c>
      <c r="E41" s="77">
        <f ca="1">IFERROR(__xludf.DUMMYFUNCTION("IMPORTRANGE(""https://docs.google.com/spreadsheets/d/1C3CXT74ZlgGe6_JY_1olB1XN4rF0dxEuIIF-xsYjHgg/edit?usp=sharing"",""พรบ!BX45"")"),306000)</f>
        <v>306000</v>
      </c>
      <c r="F41" s="77">
        <f ca="1">IFERROR(__xludf.DUMMYFUNCTION("IMPORTRANGE(""https://docs.google.com/spreadsheets/d/1C3CXT74ZlgGe6_JY_1olB1XN4rF0dxEuIIF-xsYjHgg/edit?usp=sharing"",""พรบ!BY45"")"),352010)</f>
        <v>352010</v>
      </c>
      <c r="G41" s="77">
        <f ca="1">IFERROR(__xludf.DUMMYFUNCTION("IMPORTRANGE(""https://docs.google.com/spreadsheets/d/1Yj_ptqi66GCucihVvJfMjLAmec39IyEx_6qawtMGysU/edit?usp=sharing"",""สบก!DJ45"")"),0)</f>
        <v>0</v>
      </c>
      <c r="H41" s="77">
        <f ca="1">IFERROR(__xludf.DUMMYFUNCTION("IMPORTRANGE(""https://docs.google.com/spreadsheets/d/1Yj_ptqi66GCucihVvJfMjLAmec39IyEx_6qawtMGysU/edit?usp=shDLing"",""สบก!DL45"")"),466610)</f>
        <v>466610</v>
      </c>
      <c r="I41" s="77">
        <f t="shared" ca="1" si="3"/>
        <v>303182.84999999998</v>
      </c>
      <c r="J41" s="77">
        <f t="shared" ca="1" si="4"/>
        <v>46.075720733727444</v>
      </c>
      <c r="K41" s="77">
        <f ca="1">IFERROR(__xludf.DUMMYFUNCTION("IMPORTRANGE(""https://docs.google.com/spreadsheets/d/1Yj_ptqi66GCucihVvJfMjLAmec39IyEx_6qawtMGysU/edit?usp=sharing"",""สบก!DM45"")"),303182.85)</f>
        <v>303182.84999999998</v>
      </c>
      <c r="L41" s="137">
        <f t="shared" ca="1" si="5"/>
        <v>46.075720733727444</v>
      </c>
      <c r="M41" s="137">
        <f t="shared" ca="1" si="6"/>
        <v>64.975643470992893</v>
      </c>
      <c r="N41" s="137">
        <f ca="1">IFERROR(__xludf.DUMMYFUNCTION("IMPORTRANGE(""https://docs.google.com/spreadsheets/d/1Yj_ptqi66GCucihVvJfMjLAmec39IyEx_6qawtMGysU/edit?usp=sharing"",""สบก!DN45"")"),0)</f>
        <v>0</v>
      </c>
      <c r="O41" s="137">
        <f t="shared" ca="1" si="7"/>
        <v>0</v>
      </c>
      <c r="P41" s="77">
        <f ca="1">IFERROR(__xludf.DUMMYFUNCTION("IMPORTRANGE(""https://docs.google.com/spreadsheets/d/1C3CXT74ZlgGe6_JY_1olB1XN4rF0dxEuIIF-xsYjHgg/edit?usp=sharing"",""พรบ!CA45"")"),160)</f>
        <v>160</v>
      </c>
      <c r="Q41" s="77">
        <f ca="1">IFERROR(__xludf.DUMMYFUNCTION("IMPORTRANGE(""https://docs.google.com/spreadsheets/d/1C3CXT74ZlgGe6_JY_1olB1XN4rF0dxEuIIF-xsYjHgg/edit?usp=sharing"",""พรบ!BZ45"")"),1350)</f>
        <v>1350</v>
      </c>
      <c r="R41" s="218">
        <f t="shared" ca="1" si="95"/>
        <v>96</v>
      </c>
      <c r="S41" s="77">
        <f ca="1">IFERROR(__xludf.DUMMYFUNCTION("IMPORTRANGE(""https://docs.google.com/spreadsheets/d/1XL5vhW3sbDhbH9Cz0tuDiY8C3ctxq1tqvaCgkFb8cCA/edit?usp=sharing"",""มหาสารคาม!j234"")"),128)</f>
        <v>128</v>
      </c>
      <c r="T41" s="77">
        <f ca="1">IFERROR(__xludf.DUMMYFUNCTION("IMPORTRANGE(""https://docs.google.com/spreadsheets/d/1XL5vhW3sbDhbH9Cz0tuDiY8C3ctxq1tqvaCgkFb8cCA/edit?usp=sharing"",""มหาสารคาม!j235"")"),993.62)</f>
        <v>993.62</v>
      </c>
      <c r="U41" s="137">
        <f t="shared" ca="1" si="10"/>
        <v>73.601481481481486</v>
      </c>
      <c r="V41" s="77">
        <f ca="1">IFERROR(__xludf.DUMMYFUNCTION("IMPORTRANGE(""https://docs.google.com/spreadsheets/d/1XL5vhW3sbDhbH9Cz0tuDiY8C3ctxq1tqvaCgkFb8cCA/edit?usp=sharing"",""มหาสารคาม!j236"")"),102)</f>
        <v>102</v>
      </c>
      <c r="W41" s="77">
        <f ca="1">IFERROR(__xludf.DUMMYFUNCTION("IMPORTRANGE(""https://docs.google.com/spreadsheets/d/1XL5vhW3sbDhbH9Cz0tuDiY8C3ctxq1tqvaCgkFb8cCA/edit?usp=sharing"",""มหาสารคาม!j237"")"),1045.44)</f>
        <v>1045.44</v>
      </c>
      <c r="X41" s="137">
        <f t="shared" ca="1" si="12"/>
        <v>63.75</v>
      </c>
      <c r="Y41" s="77">
        <f ca="1">IFERROR(__xludf.DUMMYFUNCTION("IMPORTRANGE(""https://docs.google.com/spreadsheets/d/1XL5vhW3sbDhbH9Cz0tuDiY8C3ctxq1tqvaCgkFb8cCA/edit?usp=sharing"",""มหาสารคาม!j238"")"),0)</f>
        <v>0</v>
      </c>
      <c r="Z41" s="77">
        <f ca="1">IFERROR(__xludf.DUMMYFUNCTION("IMPORTRANGE(""https://docs.google.com/spreadsheets/d/1XL5vhW3sbDhbH9Cz0tuDiY8C3ctxq1tqvaCgkFb8cCA/edit?usp=sharing"",""มหาสารคาม!j239"")"),0)</f>
        <v>0</v>
      </c>
      <c r="AA41" s="137">
        <f t="shared" ca="1" si="14"/>
        <v>0</v>
      </c>
      <c r="AB41" s="77">
        <f ca="1">IFERROR(__xludf.DUMMYFUNCTION("IMPORTRANGE(""https://docs.google.com/spreadsheets/d/1XL5vhW3sbDhbH9Cz0tuDiY8C3ctxq1tqvaCgkFb8cCA/edit?usp=sharing"",""มหาสารคาม!j240"")"),101)</f>
        <v>101</v>
      </c>
      <c r="AC41" s="77">
        <f ca="1">IFERROR(__xludf.DUMMYFUNCTION("IMPORTRANGE(""https://docs.google.com/spreadsheets/d/1XL5vhW3sbDhbH9Cz0tuDiY8C3ctxq1tqvaCgkFb8cCA/edit?usp=sharing"",""มหาสารคาม!j241"")"),1037.39)</f>
        <v>1037.3900000000001</v>
      </c>
      <c r="AD41" s="219">
        <f t="shared" ca="1" si="16"/>
        <v>63.125</v>
      </c>
      <c r="AE41" s="215">
        <f ca="1">IFERROR(__xludf.DUMMYFUNCTION("IMPORTRANGE(""https://docs.google.com/spreadsheets/d/1AGHcLOeeYFL3K4b9R1dSzyJy00PE_ra89DNTVfnxSWM/edit?usp=sharing"",""รวมที่ทำกิน!AA34"")"),500)</f>
        <v>500</v>
      </c>
      <c r="AF41" s="215">
        <f ca="1">IFERROR(__xludf.DUMMYFUNCTION("IMPORTRANGE(""https://docs.google.com/spreadsheets/d/1AGHcLOeeYFL3K4b9R1dSzyJy00PE_ra89DNTVfnxSWM/edit?usp=sharing"",""รวมที่ทำกิน!AB34"")"),13)</f>
        <v>13</v>
      </c>
      <c r="AG41" s="215">
        <f ca="1">IFERROR(__xludf.DUMMYFUNCTION("IMPORTRANGE(""https://docs.google.com/spreadsheets/d/1AGHcLOeeYFL3K4b9R1dSzyJy00PE_ra89DNTVfnxSWM/edit?usp=sharing"",""รวมที่ทำกิน!AD34"")"),90.34)</f>
        <v>90.34</v>
      </c>
      <c r="AH41" s="219">
        <f t="shared" ca="1" si="101"/>
        <v>18.068000000000001</v>
      </c>
      <c r="AI41" s="215">
        <f ca="1">IFERROR(__xludf.DUMMYFUNCTION("IMPORTRANGE(""https://docs.google.com/spreadsheets/d/1AGHcLOeeYFL3K4b9R1dSzyJy00PE_ra89DNTVfnxSWM/edit?usp=sharing"",""รวมที่ทำกิน!AE34"")"),40)</f>
        <v>40</v>
      </c>
      <c r="AJ41" s="215">
        <f ca="1">IFERROR(__xludf.DUMMYFUNCTION("IMPORTRANGE(""https://docs.google.com/spreadsheets/d/1AGHcLOeeYFL3K4b9R1dSzyJy00PE_ra89DNTVfnxSWM/edit?usp=sharing"",""รวมที่ทำกิน!AF34"")"),0)</f>
        <v>0</v>
      </c>
      <c r="AK41" s="215">
        <f ca="1">IFERROR(__xludf.DUMMYFUNCTION("IMPORTRANGE(""https://docs.google.com/spreadsheets/d/1AGHcLOeeYFL3K4b9R1dSzyJy00PE_ra89DNTVfnxSWM/edit?usp=sharing"",""รวมที่ทำกิน!AH34"")"),0)</f>
        <v>0</v>
      </c>
      <c r="AL41" s="220">
        <f t="shared" ca="1" si="103"/>
        <v>0</v>
      </c>
      <c r="AM41" s="215">
        <f ca="1">IFERROR(__xludf.DUMMYFUNCTION("IMPORTRANGE(""https://docs.google.com/spreadsheets/d/1AGHcLOeeYFL3K4b9R1dSzyJy00PE_ra89DNTVfnxSWM/edit?usp=sharing"",""รวมที่ทำกิน!AI34"")"),0)</f>
        <v>0</v>
      </c>
      <c r="AN41" s="215">
        <f ca="1">IFERROR(__xludf.DUMMYFUNCTION("IMPORTRANGE(""https://docs.google.com/spreadsheets/d/1AGHcLOeeYFL3K4b9R1dSzyJy00PE_ra89DNTVfnxSWM/edit?usp=sharing"",""รวมที่ทำกิน!AK34"")"),0)</f>
        <v>0</v>
      </c>
      <c r="AO41" s="220">
        <f t="shared" ca="1" si="22"/>
        <v>0</v>
      </c>
      <c r="AP41" s="215">
        <f ca="1">IFERROR(__xludf.DUMMYFUNCTION("IMPORTRANGE(""https://docs.google.com/spreadsheets/d/1AGHcLOeeYFL3K4b9R1dSzyJy00PE_ra89DNTVfnxSWM/edit?usp=sharing"",""รวมที่ทำกิน!AL34"")"),0)</f>
        <v>0</v>
      </c>
      <c r="AQ41" s="215">
        <f ca="1">IFERROR(__xludf.DUMMYFUNCTION("IMPORTRANGE(""https://docs.google.com/spreadsheets/d/1AGHcLOeeYFL3K4b9R1dSzyJy00PE_ra89DNTVfnxSWM/edit?usp=sharing"",""รวมที่ทำกิน!AN34"")"),0)</f>
        <v>0</v>
      </c>
      <c r="AR41" s="220">
        <f t="shared" ca="1" si="24"/>
        <v>0</v>
      </c>
      <c r="AS41" s="215">
        <f ca="1">IFERROR(__xludf.DUMMYFUNCTION("IMPORTRANGE(""https://docs.google.com/spreadsheets/d/1AGHcLOeeYFL3K4b9R1dSzyJy00PE_ra89DNTVfnxSWM/edit?usp=sharing"",""รวมที่ทำกิน!AO34"")"),850)</f>
        <v>850</v>
      </c>
      <c r="AT41" s="215">
        <f ca="1">IFERROR(__xludf.DUMMYFUNCTION("IMPORTRANGE(""https://docs.google.com/spreadsheets/d/1AGHcLOeeYFL3K4b9R1dSzyJy00PE_ra89DNTVfnxSWM/edit?usp=sharing"",""รวมที่ทำกิน!AP34"")"),115)</f>
        <v>115</v>
      </c>
      <c r="AU41" s="215">
        <f ca="1">IFERROR(__xludf.DUMMYFUNCTION("IMPORTRANGE(""https://docs.google.com/spreadsheets/d/1AGHcLOeeYFL3K4b9R1dSzyJy00PE_ra89DNTVfnxSWM/edit?usp=sharing"",""รวมที่ทำกิน!AR34"")"),903.28)</f>
        <v>903.28</v>
      </c>
      <c r="AV41" s="220">
        <f t="shared" ca="1" si="107"/>
        <v>106.26823529411764</v>
      </c>
      <c r="AW41" s="215">
        <f ca="1">IFERROR(__xludf.DUMMYFUNCTION("IMPORTRANGE(""https://docs.google.com/spreadsheets/d/1AGHcLOeeYFL3K4b9R1dSzyJy00PE_ra89DNTVfnxSWM/edit?usp=sharing"",""รวมที่ทำกิน!AS34"")"),120)</f>
        <v>120</v>
      </c>
      <c r="AX41" s="215">
        <f ca="1">IFERROR(__xludf.DUMMYFUNCTION("IMPORTRANGE(""https://docs.google.com/spreadsheets/d/1AGHcLOeeYFL3K4b9R1dSzyJy00PE_ra89DNTVfnxSWM/edit?usp=sharing"",""รวมที่ทำกิน!AT34"")"),102)</f>
        <v>102</v>
      </c>
      <c r="AY41" s="215">
        <f ca="1">IFERROR(__xludf.DUMMYFUNCTION("IMPORTRANGE(""https://docs.google.com/spreadsheets/d/1AGHcLOeeYFL3K4b9R1dSzyJy00PE_ra89DNTVfnxSWM/edit?usp=sharing"",""รวมที่ทำกิน!AV34"")"),1045.44)</f>
        <v>1045.44</v>
      </c>
      <c r="AZ41" s="220">
        <f t="shared" ca="1" si="109"/>
        <v>85</v>
      </c>
      <c r="BA41" s="215">
        <f ca="1">IFERROR(__xludf.DUMMYFUNCTION("IMPORTRANGE(""https://docs.google.com/spreadsheets/d/1AGHcLOeeYFL3K4b9R1dSzyJy00PE_ra89DNTVfnxSWM/edit?usp=sharing"",""รวมที่ทำกิน!AW34"")"),0)</f>
        <v>0</v>
      </c>
      <c r="BB41" s="215">
        <f ca="1">IFERROR(__xludf.DUMMYFUNCTION("IMPORTRANGE(""https://docs.google.com/spreadsheets/d/1AGHcLOeeYFL3K4b9R1dSzyJy00PE_ra89DNTVfnxSWM/edit?usp=sharing"",""รวมที่ทำกิน!AY34"")"),0)</f>
        <v>0</v>
      </c>
      <c r="BC41" s="220">
        <f t="shared" ca="1" si="30"/>
        <v>0</v>
      </c>
      <c r="BD41" s="215">
        <f ca="1">IFERROR(__xludf.DUMMYFUNCTION("IMPORTRANGE(""https://docs.google.com/spreadsheets/d/1AGHcLOeeYFL3K4b9R1dSzyJy00PE_ra89DNTVfnxSWM/edit?usp=sharing"",""รวมที่ทำกิน!AZ34"")"),101)</f>
        <v>101</v>
      </c>
      <c r="BE41" s="215">
        <f ca="1">IFERROR(__xludf.DUMMYFUNCTION("IMPORTRANGE(""https://docs.google.com/spreadsheets/d/1AGHcLOeeYFL3K4b9R1dSzyJy00PE_ra89DNTVfnxSWM/edit?usp=sharing"",""รวมที่ทำกิน!BB34"")"),1037.39)</f>
        <v>1037.3900000000001</v>
      </c>
      <c r="BF41" s="221">
        <f t="shared" ca="1" si="32"/>
        <v>84.166666666666671</v>
      </c>
    </row>
    <row r="42" spans="1:58" ht="21" customHeight="1">
      <c r="A42" s="73">
        <v>9</v>
      </c>
      <c r="B42" s="74" t="s">
        <v>66</v>
      </c>
      <c r="C42" s="75">
        <f t="shared" ca="1" si="0"/>
        <v>835710</v>
      </c>
      <c r="D42" s="76">
        <f t="shared" ca="1" si="127"/>
        <v>696710</v>
      </c>
      <c r="E42" s="77">
        <f ca="1">IFERROR(__xludf.DUMMYFUNCTION("IMPORTRANGE(""https://docs.google.com/spreadsheets/d/1C3CXT74ZlgGe6_JY_1olB1XN4rF0dxEuIIF-xsYjHgg/edit?usp=sharing"",""พรบ!BX46"")"),306000)</f>
        <v>306000</v>
      </c>
      <c r="F42" s="77">
        <f ca="1">IFERROR(__xludf.DUMMYFUNCTION("IMPORTRANGE(""https://docs.google.com/spreadsheets/d/1C3CXT74ZlgGe6_JY_1olB1XN4rF0dxEuIIF-xsYjHgg/edit?usp=sharing"",""พรบ!BY46"")"),390710)</f>
        <v>390710</v>
      </c>
      <c r="G42" s="77">
        <f ca="1">IFERROR(__xludf.DUMMYFUNCTION("IMPORTRANGE(""https://docs.google.com/spreadsheets/d/1Yj_ptqi66GCucihVvJfMjLAmec39IyEx_6qawtMGysU/edit?usp=sharing"",""สบก!DJ46"")"),139000)</f>
        <v>139000</v>
      </c>
      <c r="H42" s="77">
        <f ca="1">IFERROR(__xludf.DUMMYFUNCTION("IMPORTRANGE(""https://docs.google.com/spreadsheets/d/1Yj_ptqi66GCucihVvJfMjLAmec39IyEx_6qawtMGysU/edit?usp=shDLing"",""สบก!DL46"")"),493560)</f>
        <v>493560</v>
      </c>
      <c r="I42" s="77">
        <f t="shared" ca="1" si="3"/>
        <v>497210</v>
      </c>
      <c r="J42" s="77">
        <f t="shared" ca="1" si="4"/>
        <v>59.495518780438189</v>
      </c>
      <c r="K42" s="77">
        <f ca="1">IFERROR(__xludf.DUMMYFUNCTION("IMPORTRANGE(""https://docs.google.com/spreadsheets/d/1Yj_ptqi66GCucihVvJfMjLAmec39IyEx_6qawtMGysU/edit?usp=sharing"",""สบก!DM46"")"),358210)</f>
        <v>358210</v>
      </c>
      <c r="L42" s="137">
        <f t="shared" ca="1" si="5"/>
        <v>51.414505317851045</v>
      </c>
      <c r="M42" s="137">
        <f t="shared" ca="1" si="6"/>
        <v>72.576789042872193</v>
      </c>
      <c r="N42" s="137">
        <f ca="1">IFERROR(__xludf.DUMMYFUNCTION("IMPORTRANGE(""https://docs.google.com/spreadsheets/d/1Yj_ptqi66GCucihVvJfMjLAmec39IyEx_6qawtMGysU/edit?usp=sharing"",""สบก!DN46"")"),139000)</f>
        <v>139000</v>
      </c>
      <c r="O42" s="137">
        <f t="shared" ca="1" si="7"/>
        <v>100</v>
      </c>
      <c r="P42" s="77">
        <f ca="1">IFERROR(__xludf.DUMMYFUNCTION("IMPORTRANGE(""https://docs.google.com/spreadsheets/d/1C3CXT74ZlgGe6_JY_1olB1XN4rF0dxEuIIF-xsYjHgg/edit?usp=sharing"",""พรบ!CA46"")"),225)</f>
        <v>225</v>
      </c>
      <c r="Q42" s="77">
        <f ca="1">IFERROR(__xludf.DUMMYFUNCTION("IMPORTRANGE(""https://docs.google.com/spreadsheets/d/1C3CXT74ZlgGe6_JY_1olB1XN4rF0dxEuIIF-xsYjHgg/edit?usp=sharing"",""พรบ!BZ46"")"),1800)</f>
        <v>1800</v>
      </c>
      <c r="R42" s="218">
        <f t="shared" ca="1" si="95"/>
        <v>135</v>
      </c>
      <c r="S42" s="77">
        <f ca="1">IFERROR(__xludf.DUMMYFUNCTION("IMPORTRANGE(""https://docs.google.com/spreadsheets/d/1XL5vhW3sbDhbH9Cz0tuDiY8C3ctxq1tqvaCgkFb8cCA/edit?usp=sharing"",""มุกดาหาร!j234"")"),181)</f>
        <v>181</v>
      </c>
      <c r="T42" s="77">
        <f ca="1">IFERROR(__xludf.DUMMYFUNCTION("IMPORTRANGE(""https://docs.google.com/spreadsheets/d/1XL5vhW3sbDhbH9Cz0tuDiY8C3ctxq1tqvaCgkFb8cCA/edit?usp=sharing"",""มุกดาหาร!j235"")"),1370.26)</f>
        <v>1370.26</v>
      </c>
      <c r="U42" s="137">
        <f t="shared" ca="1" si="10"/>
        <v>76.12555555555555</v>
      </c>
      <c r="V42" s="77">
        <f ca="1">IFERROR(__xludf.DUMMYFUNCTION("IMPORTRANGE(""https://docs.google.com/spreadsheets/d/1XL5vhW3sbDhbH9Cz0tuDiY8C3ctxq1tqvaCgkFb8cCA/edit?usp=sharing"",""มุกดาหาร!j236"")"),241)</f>
        <v>241</v>
      </c>
      <c r="W42" s="77">
        <f ca="1">IFERROR(__xludf.DUMMYFUNCTION("IMPORTRANGE(""https://docs.google.com/spreadsheets/d/1XL5vhW3sbDhbH9Cz0tuDiY8C3ctxq1tqvaCgkFb8cCA/edit?usp=sharing"",""มุกดาหาร!j237"")"),2132.07)</f>
        <v>2132.0700000000002</v>
      </c>
      <c r="X42" s="137">
        <f t="shared" ca="1" si="12"/>
        <v>107.11111111111111</v>
      </c>
      <c r="Y42" s="77">
        <f ca="1">IFERROR(__xludf.DUMMYFUNCTION("IMPORTRANGE(""https://docs.google.com/spreadsheets/d/1XL5vhW3sbDhbH9Cz0tuDiY8C3ctxq1tqvaCgkFb8cCA/edit?usp=sharing"",""มุกดาหาร!j238"")"),0)</f>
        <v>0</v>
      </c>
      <c r="Z42" s="77">
        <f ca="1">IFERROR(__xludf.DUMMYFUNCTION("IMPORTRANGE(""https://docs.google.com/spreadsheets/d/1XL5vhW3sbDhbH9Cz0tuDiY8C3ctxq1tqvaCgkFb8cCA/edit?usp=sharing"",""มุกดาหาร!j239"")"),0)</f>
        <v>0</v>
      </c>
      <c r="AA42" s="137">
        <f t="shared" ca="1" si="14"/>
        <v>0</v>
      </c>
      <c r="AB42" s="77">
        <f ca="1">IFERROR(__xludf.DUMMYFUNCTION("IMPORTRANGE(""https://docs.google.com/spreadsheets/d/1XL5vhW3sbDhbH9Cz0tuDiY8C3ctxq1tqvaCgkFb8cCA/edit?usp=sharing"",""มุกดาหาร!j240"")"),144)</f>
        <v>144</v>
      </c>
      <c r="AC42" s="77">
        <f ca="1">IFERROR(__xludf.DUMMYFUNCTION("IMPORTRANGE(""https://docs.google.com/spreadsheets/d/1XL5vhW3sbDhbH9Cz0tuDiY8C3ctxq1tqvaCgkFb8cCA/edit?usp=sharing"",""มุกดาหาร!j241"")"),1395.01)</f>
        <v>1395.01</v>
      </c>
      <c r="AD42" s="219">
        <f t="shared" ca="1" si="16"/>
        <v>64</v>
      </c>
      <c r="AE42" s="215">
        <f ca="1">IFERROR(__xludf.DUMMYFUNCTION("IMPORTRANGE(""https://docs.google.com/spreadsheets/d/1AGHcLOeeYFL3K4b9R1dSzyJy00PE_ra89DNTVfnxSWM/edit?usp=sharing"",""รวมที่ทำกิน!AA35"")"),100)</f>
        <v>100</v>
      </c>
      <c r="AF42" s="215">
        <f ca="1">IFERROR(__xludf.DUMMYFUNCTION("IMPORTRANGE(""https://docs.google.com/spreadsheets/d/1AGHcLOeeYFL3K4b9R1dSzyJy00PE_ra89DNTVfnxSWM/edit?usp=sharing"",""รวมที่ทำกิน!AB35"")"),16)</f>
        <v>16</v>
      </c>
      <c r="AG42" s="215">
        <f ca="1">IFERROR(__xludf.DUMMYFUNCTION("IMPORTRANGE(""https://docs.google.com/spreadsheets/d/1AGHcLOeeYFL3K4b9R1dSzyJy00PE_ra89DNTVfnxSWM/edit?usp=sharing"",""รวมที่ทำกิน!AD35"")"),137.92)</f>
        <v>137.91999999999999</v>
      </c>
      <c r="AH42" s="219">
        <f t="shared" ca="1" si="101"/>
        <v>137.91999999999999</v>
      </c>
      <c r="AI42" s="215">
        <f ca="1">IFERROR(__xludf.DUMMYFUNCTION("IMPORTRANGE(""https://docs.google.com/spreadsheets/d/1AGHcLOeeYFL3K4b9R1dSzyJy00PE_ra89DNTVfnxSWM/edit?usp=sharing"",""รวมที่ทำกิน!AE35"")"),10)</f>
        <v>10</v>
      </c>
      <c r="AJ42" s="215">
        <f ca="1">IFERROR(__xludf.DUMMYFUNCTION("IMPORTRANGE(""https://docs.google.com/spreadsheets/d/1AGHcLOeeYFL3K4b9R1dSzyJy00PE_ra89DNTVfnxSWM/edit?usp=sharing"",""รวมที่ทำกิน!AF35"")"),0)</f>
        <v>0</v>
      </c>
      <c r="AK42" s="215">
        <f ca="1">IFERROR(__xludf.DUMMYFUNCTION("IMPORTRANGE(""https://docs.google.com/spreadsheets/d/1AGHcLOeeYFL3K4b9R1dSzyJy00PE_ra89DNTVfnxSWM/edit?usp=sharing"",""รวมที่ทำกิน!AH35"")"),0)</f>
        <v>0</v>
      </c>
      <c r="AL42" s="220">
        <f t="shared" ca="1" si="103"/>
        <v>0</v>
      </c>
      <c r="AM42" s="215">
        <f ca="1">IFERROR(__xludf.DUMMYFUNCTION("IMPORTRANGE(""https://docs.google.com/spreadsheets/d/1AGHcLOeeYFL3K4b9R1dSzyJy00PE_ra89DNTVfnxSWM/edit?usp=sharing"",""รวมที่ทำกิน!AI35"")"),0)</f>
        <v>0</v>
      </c>
      <c r="AN42" s="215">
        <f ca="1">IFERROR(__xludf.DUMMYFUNCTION("IMPORTRANGE(""https://docs.google.com/spreadsheets/d/1AGHcLOeeYFL3K4b9R1dSzyJy00PE_ra89DNTVfnxSWM/edit?usp=sharing"",""รวมที่ทำกิน!AK35"")"),0)</f>
        <v>0</v>
      </c>
      <c r="AO42" s="220">
        <f t="shared" ca="1" si="22"/>
        <v>0</v>
      </c>
      <c r="AP42" s="215">
        <f ca="1">IFERROR(__xludf.DUMMYFUNCTION("IMPORTRANGE(""https://docs.google.com/spreadsheets/d/1AGHcLOeeYFL3K4b9R1dSzyJy00PE_ra89DNTVfnxSWM/edit?usp=sharing"",""รวมที่ทำกิน!AL35"")"),0)</f>
        <v>0</v>
      </c>
      <c r="AQ42" s="215">
        <f ca="1">IFERROR(__xludf.DUMMYFUNCTION("IMPORTRANGE(""https://docs.google.com/spreadsheets/d/1AGHcLOeeYFL3K4b9R1dSzyJy00PE_ra89DNTVfnxSWM/edit?usp=sharing"",""รวมที่ทำกิน!AN35"")"),0)</f>
        <v>0</v>
      </c>
      <c r="AR42" s="220">
        <f t="shared" ca="1" si="24"/>
        <v>0</v>
      </c>
      <c r="AS42" s="215">
        <f ca="1">IFERROR(__xludf.DUMMYFUNCTION("IMPORTRANGE(""https://docs.google.com/spreadsheets/d/1AGHcLOeeYFL3K4b9R1dSzyJy00PE_ra89DNTVfnxSWM/edit?usp=sharing"",""รวมที่ทำกิน!AO35"")"),1700)</f>
        <v>1700</v>
      </c>
      <c r="AT42" s="215">
        <f ca="1">IFERROR(__xludf.DUMMYFUNCTION("IMPORTRANGE(""https://docs.google.com/spreadsheets/d/1AGHcLOeeYFL3K4b9R1dSzyJy00PE_ra89DNTVfnxSWM/edit?usp=sharing"",""รวมที่ทำกิน!AP35"")"),165)</f>
        <v>165</v>
      </c>
      <c r="AU42" s="215">
        <f ca="1">IFERROR(__xludf.DUMMYFUNCTION("IMPORTRANGE(""https://docs.google.com/spreadsheets/d/1AGHcLOeeYFL3K4b9R1dSzyJy00PE_ra89DNTVfnxSWM/edit?usp=sharing"",""รวมที่ทำกิน!AR35"")"),1232.34)</f>
        <v>1232.3399999999999</v>
      </c>
      <c r="AV42" s="220">
        <f t="shared" ca="1" si="107"/>
        <v>72.490588235294112</v>
      </c>
      <c r="AW42" s="215">
        <f ca="1">IFERROR(__xludf.DUMMYFUNCTION("IMPORTRANGE(""https://docs.google.com/spreadsheets/d/1AGHcLOeeYFL3K4b9R1dSzyJy00PE_ra89DNTVfnxSWM/edit?usp=sharing"",""รวมที่ทำกิน!AS35"")"),215)</f>
        <v>215</v>
      </c>
      <c r="AX42" s="215">
        <f ca="1">IFERROR(__xludf.DUMMYFUNCTION("IMPORTRANGE(""https://docs.google.com/spreadsheets/d/1AGHcLOeeYFL3K4b9R1dSzyJy00PE_ra89DNTVfnxSWM/edit?usp=sharing"",""รวมที่ทำกิน!AT35"")"),241)</f>
        <v>241</v>
      </c>
      <c r="AY42" s="215">
        <f ca="1">IFERROR(__xludf.DUMMYFUNCTION("IMPORTRANGE(""https://docs.google.com/spreadsheets/d/1AGHcLOeeYFL3K4b9R1dSzyJy00PE_ra89DNTVfnxSWM/edit?usp=sharing"",""รวมที่ทำกิน!AV35"")"),2132.07)</f>
        <v>2132.0700000000002</v>
      </c>
      <c r="AZ42" s="220">
        <f t="shared" ca="1" si="109"/>
        <v>112.09302325581395</v>
      </c>
      <c r="BA42" s="215">
        <f ca="1">IFERROR(__xludf.DUMMYFUNCTION("IMPORTRANGE(""https://docs.google.com/spreadsheets/d/1AGHcLOeeYFL3K4b9R1dSzyJy00PE_ra89DNTVfnxSWM/edit?usp=sharing"",""รวมที่ทำกิน!AW35"")"),0)</f>
        <v>0</v>
      </c>
      <c r="BB42" s="215">
        <f ca="1">IFERROR(__xludf.DUMMYFUNCTION("IMPORTRANGE(""https://docs.google.com/spreadsheets/d/1AGHcLOeeYFL3K4b9R1dSzyJy00PE_ra89DNTVfnxSWM/edit?usp=sharing"",""รวมที่ทำกิน!AY35"")"),0)</f>
        <v>0</v>
      </c>
      <c r="BC42" s="220">
        <f t="shared" ca="1" si="30"/>
        <v>0</v>
      </c>
      <c r="BD42" s="215">
        <f ca="1">IFERROR(__xludf.DUMMYFUNCTION("IMPORTRANGE(""https://docs.google.com/spreadsheets/d/1AGHcLOeeYFL3K4b9R1dSzyJy00PE_ra89DNTVfnxSWM/edit?usp=sharing"",""รวมที่ทำกิน!AZ35"")"),144)</f>
        <v>144</v>
      </c>
      <c r="BE42" s="215">
        <f ca="1">IFERROR(__xludf.DUMMYFUNCTION("IMPORTRANGE(""https://docs.google.com/spreadsheets/d/1AGHcLOeeYFL3K4b9R1dSzyJy00PE_ra89DNTVfnxSWM/edit?usp=sharing"",""รวมที่ทำกิน!BB35"")"),1395.01)</f>
        <v>1395.01</v>
      </c>
      <c r="BF42" s="221">
        <f t="shared" ca="1" si="32"/>
        <v>66.976744186046517</v>
      </c>
    </row>
    <row r="43" spans="1:58" ht="21" customHeight="1">
      <c r="A43" s="73">
        <v>10</v>
      </c>
      <c r="B43" s="74" t="s">
        <v>67</v>
      </c>
      <c r="C43" s="75">
        <f t="shared" ca="1" si="0"/>
        <v>835370</v>
      </c>
      <c r="D43" s="76">
        <f t="shared" ca="1" si="127"/>
        <v>688370</v>
      </c>
      <c r="E43" s="77">
        <f ca="1">IFERROR(__xludf.DUMMYFUNCTION("IMPORTRANGE(""https://docs.google.com/spreadsheets/d/1C3CXT74ZlgGe6_JY_1olB1XN4rF0dxEuIIF-xsYjHgg/edit?usp=sharing"",""พรบ!BX47"")"),277200)</f>
        <v>277200</v>
      </c>
      <c r="F43" s="77">
        <f ca="1">IFERROR(__xludf.DUMMYFUNCTION("IMPORTRANGE(""https://docs.google.com/spreadsheets/d/1C3CXT74ZlgGe6_JY_1olB1XN4rF0dxEuIIF-xsYjHgg/edit?usp=sharing"",""พรบ!BY47"")"),411170)</f>
        <v>411170</v>
      </c>
      <c r="G43" s="77">
        <f ca="1">IFERROR(__xludf.DUMMYFUNCTION("IMPORTRANGE(""https://docs.google.com/spreadsheets/d/1Yj_ptqi66GCucihVvJfMjLAmec39IyEx_6qawtMGysU/edit?usp=sharing"",""สบก!DJ47"")"),147000)</f>
        <v>147000</v>
      </c>
      <c r="H43" s="77">
        <f ca="1">IFERROR(__xludf.DUMMYFUNCTION("IMPORTRANGE(""https://docs.google.com/spreadsheets/d/1Yj_ptqi66GCucihVvJfMjLAmec39IyEx_6qawtMGysU/edit?usp=shDLing"",""สบก!DL47"")"),484690)</f>
        <v>484690</v>
      </c>
      <c r="I43" s="77">
        <f t="shared" ca="1" si="3"/>
        <v>517440</v>
      </c>
      <c r="J43" s="77">
        <f t="shared" ca="1" si="4"/>
        <v>61.941415181296911</v>
      </c>
      <c r="K43" s="77">
        <f ca="1">IFERROR(__xludf.DUMMYFUNCTION("IMPORTRANGE(""https://docs.google.com/spreadsheets/d/1Yj_ptqi66GCucihVvJfMjLAmec39IyEx_6qawtMGysU/edit?usp=sharing"",""สบก!DM47"")"),370440)</f>
        <v>370440</v>
      </c>
      <c r="L43" s="137">
        <f t="shared" ca="1" si="5"/>
        <v>53.814082542818539</v>
      </c>
      <c r="M43" s="137">
        <f t="shared" ca="1" si="6"/>
        <v>76.42823247849141</v>
      </c>
      <c r="N43" s="137">
        <f ca="1">IFERROR(__xludf.DUMMYFUNCTION("IMPORTRANGE(""https://docs.google.com/spreadsheets/d/1Yj_ptqi66GCucihVvJfMjLAmec39IyEx_6qawtMGysU/edit?usp=sharing"",""สบก!DN47"")"),147000)</f>
        <v>147000</v>
      </c>
      <c r="O43" s="137">
        <f t="shared" ca="1" si="7"/>
        <v>100</v>
      </c>
      <c r="P43" s="77">
        <f ca="1">IFERROR(__xludf.DUMMYFUNCTION("IMPORTRANGE(""https://docs.google.com/spreadsheets/d/1C3CXT74ZlgGe6_JY_1olB1XN4rF0dxEuIIF-xsYjHgg/edit?usp=sharing"",""พรบ!CA47"")"),280)</f>
        <v>280</v>
      </c>
      <c r="Q43" s="77">
        <f ca="1">IFERROR(__xludf.DUMMYFUNCTION("IMPORTRANGE(""https://docs.google.com/spreadsheets/d/1C3CXT74ZlgGe6_JY_1olB1XN4rF0dxEuIIF-xsYjHgg/edit?usp=sharing"",""พรบ!BZ47"")"),1900)</f>
        <v>1900</v>
      </c>
      <c r="R43" s="218">
        <f t="shared" ca="1" si="95"/>
        <v>168</v>
      </c>
      <c r="S43" s="77">
        <f ca="1">IFERROR(__xludf.DUMMYFUNCTION("IMPORTRANGE(""https://docs.google.com/spreadsheets/d/1XL5vhW3sbDhbH9Cz0tuDiY8C3ctxq1tqvaCgkFb8cCA/edit?usp=sharing"",""ยโสธร!j234"")"),208)</f>
        <v>208</v>
      </c>
      <c r="T43" s="77">
        <f ca="1">IFERROR(__xludf.DUMMYFUNCTION("IMPORTRANGE(""https://docs.google.com/spreadsheets/d/1XL5vhW3sbDhbH9Cz0tuDiY8C3ctxq1tqvaCgkFb8cCA/edit?usp=sharing"",""ยโสธร!j235"")"),1533.48)</f>
        <v>1533.48</v>
      </c>
      <c r="U43" s="137">
        <f t="shared" ca="1" si="10"/>
        <v>80.709473684210522</v>
      </c>
      <c r="V43" s="77">
        <f ca="1">IFERROR(__xludf.DUMMYFUNCTION("IMPORTRANGE(""https://docs.google.com/spreadsheets/d/1XL5vhW3sbDhbH9Cz0tuDiY8C3ctxq1tqvaCgkFb8cCA/edit?usp=sharing"",""ยโสธร!j236"")"),510)</f>
        <v>510</v>
      </c>
      <c r="W43" s="77">
        <f ca="1">IFERROR(__xludf.DUMMYFUNCTION("IMPORTRANGE(""https://docs.google.com/spreadsheets/d/1XL5vhW3sbDhbH9Cz0tuDiY8C3ctxq1tqvaCgkFb8cCA/edit?usp=sharing"",""ยโสธร!j237"")"),4878.04)</f>
        <v>4878.04</v>
      </c>
      <c r="X43" s="137">
        <f t="shared" ca="1" si="12"/>
        <v>182.14285714285714</v>
      </c>
      <c r="Y43" s="77">
        <f ca="1">IFERROR(__xludf.DUMMYFUNCTION("IMPORTRANGE(""https://docs.google.com/spreadsheets/d/1XL5vhW3sbDhbH9Cz0tuDiY8C3ctxq1tqvaCgkFb8cCA/edit?usp=sharing"",""ยโสธร!j238"")"),4)</f>
        <v>4</v>
      </c>
      <c r="Z43" s="77">
        <f ca="1">IFERROR(__xludf.DUMMYFUNCTION("IMPORTRANGE(""https://docs.google.com/spreadsheets/d/1XL5vhW3sbDhbH9Cz0tuDiY8C3ctxq1tqvaCgkFb8cCA/edit?usp=sharing"",""ยโสธร!j239"")"),17.67)</f>
        <v>17.670000000000002</v>
      </c>
      <c r="AA43" s="137">
        <f t="shared" ca="1" si="14"/>
        <v>1.4285714285714286</v>
      </c>
      <c r="AB43" s="77">
        <f ca="1">IFERROR(__xludf.DUMMYFUNCTION("IMPORTRANGE(""https://docs.google.com/spreadsheets/d/1XL5vhW3sbDhbH9Cz0tuDiY8C3ctxq1tqvaCgkFb8cCA/edit?usp=sharing"",""ยโสธร!j240"")"),455)</f>
        <v>455</v>
      </c>
      <c r="AC43" s="77">
        <f ca="1">IFERROR(__xludf.DUMMYFUNCTION("IMPORTRANGE(""https://docs.google.com/spreadsheets/d/1XL5vhW3sbDhbH9Cz0tuDiY8C3ctxq1tqvaCgkFb8cCA/edit?usp=sharing"",""ยโสธร!j241"")"),4417.33)</f>
        <v>4417.33</v>
      </c>
      <c r="AD43" s="219">
        <f t="shared" ca="1" si="16"/>
        <v>162.5</v>
      </c>
      <c r="AE43" s="215">
        <f ca="1">IFERROR(__xludf.DUMMYFUNCTION("IMPORTRANGE(""https://docs.google.com/spreadsheets/d/1AGHcLOeeYFL3K4b9R1dSzyJy00PE_ra89DNTVfnxSWM/edit?usp=sharing"",""รวมที่ทำกิน!AA36"")"),500)</f>
        <v>500</v>
      </c>
      <c r="AF43" s="215">
        <f ca="1">IFERROR(__xludf.DUMMYFUNCTION("IMPORTRANGE(""https://docs.google.com/spreadsheets/d/1AGHcLOeeYFL3K4b9R1dSzyJy00PE_ra89DNTVfnxSWM/edit?usp=sharing"",""รวมที่ทำกิน!AB36"")"),59)</f>
        <v>59</v>
      </c>
      <c r="AG43" s="215">
        <f ca="1">IFERROR(__xludf.DUMMYFUNCTION("IMPORTRANGE(""https://docs.google.com/spreadsheets/d/1AGHcLOeeYFL3K4b9R1dSzyJy00PE_ra89DNTVfnxSWM/edit?usp=sharing"",""รวมที่ทำกิน!AD36"")"),401.59)</f>
        <v>401.59</v>
      </c>
      <c r="AH43" s="219">
        <f t="shared" ca="1" si="101"/>
        <v>80.317999999999998</v>
      </c>
      <c r="AI43" s="215">
        <f ca="1">IFERROR(__xludf.DUMMYFUNCTION("IMPORTRANGE(""https://docs.google.com/spreadsheets/d/1AGHcLOeeYFL3K4b9R1dSzyJy00PE_ra89DNTVfnxSWM/edit?usp=sharing"",""รวมที่ทำกิน!AE36"")"),60)</f>
        <v>60</v>
      </c>
      <c r="AJ43" s="215">
        <f ca="1">IFERROR(__xludf.DUMMYFUNCTION("IMPORTRANGE(""https://docs.google.com/spreadsheets/d/1AGHcLOeeYFL3K4b9R1dSzyJy00PE_ra89DNTVfnxSWM/edit?usp=sharing"",""รวมที่ทำกิน!AF36"")"),60)</f>
        <v>60</v>
      </c>
      <c r="AK43" s="215">
        <f ca="1">IFERROR(__xludf.DUMMYFUNCTION("IMPORTRANGE(""https://docs.google.com/spreadsheets/d/1AGHcLOeeYFL3K4b9R1dSzyJy00PE_ra89DNTVfnxSWM/edit?usp=sharing"",""รวมที่ทำกิน!AH36"")"),407.16)</f>
        <v>407.16</v>
      </c>
      <c r="AL43" s="220">
        <f t="shared" ca="1" si="103"/>
        <v>100</v>
      </c>
      <c r="AM43" s="215">
        <f ca="1">IFERROR(__xludf.DUMMYFUNCTION("IMPORTRANGE(""https://docs.google.com/spreadsheets/d/1AGHcLOeeYFL3K4b9R1dSzyJy00PE_ra89DNTVfnxSWM/edit?usp=sharing"",""รวมที่ทำกิน!AI36"")"),0)</f>
        <v>0</v>
      </c>
      <c r="AN43" s="215">
        <f ca="1">IFERROR(__xludf.DUMMYFUNCTION("IMPORTRANGE(""https://docs.google.com/spreadsheets/d/1AGHcLOeeYFL3K4b9R1dSzyJy00PE_ra89DNTVfnxSWM/edit?usp=sharing"",""รวมที่ทำกิน!AK36"")"),0)</f>
        <v>0</v>
      </c>
      <c r="AO43" s="220">
        <f t="shared" ca="1" si="22"/>
        <v>0</v>
      </c>
      <c r="AP43" s="215">
        <f ca="1">IFERROR(__xludf.DUMMYFUNCTION("IMPORTRANGE(""https://docs.google.com/spreadsheets/d/1AGHcLOeeYFL3K4b9R1dSzyJy00PE_ra89DNTVfnxSWM/edit?usp=sharing"",""รวมที่ทำกิน!AL36"")"),23)</f>
        <v>23</v>
      </c>
      <c r="AQ43" s="215">
        <f ca="1">IFERROR(__xludf.DUMMYFUNCTION("IMPORTRANGE(""https://docs.google.com/spreadsheets/d/1AGHcLOeeYFL3K4b9R1dSzyJy00PE_ra89DNTVfnxSWM/edit?usp=sharing"",""รวมที่ทำกิน!AN36"")"),88.7)</f>
        <v>88.7</v>
      </c>
      <c r="AR43" s="220">
        <f t="shared" ca="1" si="24"/>
        <v>38.333333333333336</v>
      </c>
      <c r="AS43" s="215">
        <f ca="1">IFERROR(__xludf.DUMMYFUNCTION("IMPORTRANGE(""https://docs.google.com/spreadsheets/d/1AGHcLOeeYFL3K4b9R1dSzyJy00PE_ra89DNTVfnxSWM/edit?usp=sharing"",""รวมที่ทำกิน!AO36"")"),1400)</f>
        <v>1400</v>
      </c>
      <c r="AT43" s="215">
        <f ca="1">IFERROR(__xludf.DUMMYFUNCTION("IMPORTRANGE(""https://docs.google.com/spreadsheets/d/1AGHcLOeeYFL3K4b9R1dSzyJy00PE_ra89DNTVfnxSWM/edit?usp=sharing"",""รวมที่ทำกิน!AP36"")"),149)</f>
        <v>149</v>
      </c>
      <c r="AU43" s="215">
        <f ca="1">IFERROR(__xludf.DUMMYFUNCTION("IMPORTRANGE(""https://docs.google.com/spreadsheets/d/1AGHcLOeeYFL3K4b9R1dSzyJy00PE_ra89DNTVfnxSWM/edit?usp=sharing"",""รวมที่ทำกิน!AR36"")"),1131.89)</f>
        <v>1131.8900000000001</v>
      </c>
      <c r="AV43" s="220">
        <f t="shared" ca="1" si="107"/>
        <v>80.849285714285728</v>
      </c>
      <c r="AW43" s="215">
        <f ca="1">IFERROR(__xludf.DUMMYFUNCTION("IMPORTRANGE(""https://docs.google.com/spreadsheets/d/1AGHcLOeeYFL3K4b9R1dSzyJy00PE_ra89DNTVfnxSWM/edit?usp=sharing"",""รวมที่ทำกิน!AS36"")"),220)</f>
        <v>220</v>
      </c>
      <c r="AX43" s="215">
        <f ca="1">IFERROR(__xludf.DUMMYFUNCTION("IMPORTRANGE(""https://docs.google.com/spreadsheets/d/1AGHcLOeeYFL3K4b9R1dSzyJy00PE_ra89DNTVfnxSWM/edit?usp=sharing"",""รวมที่ทำกิน!AT36"")"),450)</f>
        <v>450</v>
      </c>
      <c r="AY43" s="215">
        <f ca="1">IFERROR(__xludf.DUMMYFUNCTION("IMPORTRANGE(""https://docs.google.com/spreadsheets/d/1AGHcLOeeYFL3K4b9R1dSzyJy00PE_ra89DNTVfnxSWM/edit?usp=sharing"",""รวมที่ทำกิน!AV36"")"),4470.88)</f>
        <v>4470.88</v>
      </c>
      <c r="AZ43" s="220">
        <f t="shared" ca="1" si="109"/>
        <v>204.54545454545453</v>
      </c>
      <c r="BA43" s="215">
        <f ca="1">IFERROR(__xludf.DUMMYFUNCTION("IMPORTRANGE(""https://docs.google.com/spreadsheets/d/1AGHcLOeeYFL3K4b9R1dSzyJy00PE_ra89DNTVfnxSWM/edit?usp=sharing"",""รวมที่ทำกิน!AW36"")"),4)</f>
        <v>4</v>
      </c>
      <c r="BB43" s="215">
        <f ca="1">IFERROR(__xludf.DUMMYFUNCTION("IMPORTRANGE(""https://docs.google.com/spreadsheets/d/1AGHcLOeeYFL3K4b9R1dSzyJy00PE_ra89DNTVfnxSWM/edit?usp=sharing"",""รวมที่ทำกิน!AY36"")"),17.67)</f>
        <v>17.670000000000002</v>
      </c>
      <c r="BC43" s="220">
        <f t="shared" ca="1" si="30"/>
        <v>1.8181818181818181</v>
      </c>
      <c r="BD43" s="215">
        <f ca="1">IFERROR(__xludf.DUMMYFUNCTION("IMPORTRANGE(""https://docs.google.com/spreadsheets/d/1AGHcLOeeYFL3K4b9R1dSzyJy00PE_ra89DNTVfnxSWM/edit?usp=sharing"",""รวมที่ทำกิน!AZ36"")"),432)</f>
        <v>432</v>
      </c>
      <c r="BE43" s="215">
        <f ca="1">IFERROR(__xludf.DUMMYFUNCTION("IMPORTRANGE(""https://docs.google.com/spreadsheets/d/1AGHcLOeeYFL3K4b9R1dSzyJy00PE_ra89DNTVfnxSWM/edit?usp=sharing"",""รวมที่ทำกิน!BB36"")"),4328.63)</f>
        <v>4328.63</v>
      </c>
      <c r="BF43" s="221">
        <f t="shared" ca="1" si="32"/>
        <v>196.36363636363637</v>
      </c>
    </row>
    <row r="44" spans="1:58" ht="21" customHeight="1">
      <c r="A44" s="73">
        <v>11</v>
      </c>
      <c r="B44" s="74" t="s">
        <v>68</v>
      </c>
      <c r="C44" s="75">
        <f t="shared" ca="1" si="0"/>
        <v>1146440</v>
      </c>
      <c r="D44" s="76">
        <f t="shared" ca="1" si="127"/>
        <v>962440</v>
      </c>
      <c r="E44" s="77">
        <f ca="1">IFERROR(__xludf.DUMMYFUNCTION("IMPORTRANGE(""https://docs.google.com/spreadsheets/d/1C3CXT74ZlgGe6_JY_1olB1XN4rF0dxEuIIF-xsYjHgg/edit?usp=sharing"",""พรบ!BX48"")"),194400)</f>
        <v>194400</v>
      </c>
      <c r="F44" s="77">
        <f ca="1">IFERROR(__xludf.DUMMYFUNCTION("IMPORTRANGE(""https://docs.google.com/spreadsheets/d/1C3CXT74ZlgGe6_JY_1olB1XN4rF0dxEuIIF-xsYjHgg/edit?usp=sharing"",""พรบ!BY48"")"),768040)</f>
        <v>768040</v>
      </c>
      <c r="G44" s="77">
        <f ca="1">IFERROR(__xludf.DUMMYFUNCTION("IMPORTRANGE(""https://docs.google.com/spreadsheets/d/1Yj_ptqi66GCucihVvJfMjLAmec39IyEx_6qawtMGysU/edit?usp=sharing"",""สบก!DJ48"")"),184000)</f>
        <v>184000</v>
      </c>
      <c r="H44" s="77">
        <f ca="1">IFERROR(__xludf.DUMMYFUNCTION("IMPORTRANGE(""https://docs.google.com/spreadsheets/d/1Yj_ptqi66GCucihVvJfMjLAmec39IyEx_6qawtMGysU/edit?usp=shDLing"",""สบก!DL48"")"),676030)</f>
        <v>676030</v>
      </c>
      <c r="I44" s="77">
        <f t="shared" ca="1" si="3"/>
        <v>678321.4</v>
      </c>
      <c r="J44" s="77">
        <f t="shared" ca="1" si="4"/>
        <v>59.167631973762255</v>
      </c>
      <c r="K44" s="77">
        <f ca="1">IFERROR(__xludf.DUMMYFUNCTION("IMPORTRANGE(""https://docs.google.com/spreadsheets/d/1Yj_ptqi66GCucihVvJfMjLAmec39IyEx_6qawtMGysU/edit?usp=sharing"",""สบก!DM48"")"),494321.4)</f>
        <v>494321.4</v>
      </c>
      <c r="L44" s="137">
        <f t="shared" ca="1" si="5"/>
        <v>51.361269273928762</v>
      </c>
      <c r="M44" s="137">
        <f t="shared" ca="1" si="6"/>
        <v>73.121222430957204</v>
      </c>
      <c r="N44" s="137">
        <f ca="1">IFERROR(__xludf.DUMMYFUNCTION("IMPORTRANGE(""https://docs.google.com/spreadsheets/d/1Yj_ptqi66GCucihVvJfMjLAmec39IyEx_6qawtMGysU/edit?usp=sharing"",""สบก!DN48"")"),184000)</f>
        <v>184000</v>
      </c>
      <c r="O44" s="137">
        <f t="shared" ca="1" si="7"/>
        <v>100</v>
      </c>
      <c r="P44" s="77">
        <f ca="1">IFERROR(__xludf.DUMMYFUNCTION("IMPORTRANGE(""https://docs.google.com/spreadsheets/d/1C3CXT74ZlgGe6_JY_1olB1XN4rF0dxEuIIF-xsYjHgg/edit?usp=sharing"",""พรบ!CA48"")"),490)</f>
        <v>490</v>
      </c>
      <c r="Q44" s="77">
        <f ca="1">IFERROR(__xludf.DUMMYFUNCTION("IMPORTRANGE(""https://docs.google.com/spreadsheets/d/1C3CXT74ZlgGe6_JY_1olB1XN4rF0dxEuIIF-xsYjHgg/edit?usp=sharing"",""พรบ!BZ48"")"),4600)</f>
        <v>4600</v>
      </c>
      <c r="R44" s="218">
        <f t="shared" ca="1" si="95"/>
        <v>294</v>
      </c>
      <c r="S44" s="77">
        <f ca="1">IFERROR(__xludf.DUMMYFUNCTION("IMPORTRANGE(""https://docs.google.com/spreadsheets/d/1XL5vhW3sbDhbH9Cz0tuDiY8C3ctxq1tqvaCgkFb8cCA/edit?usp=sharing"",""ร้อยเอ็ด!j234"")"),290)</f>
        <v>290</v>
      </c>
      <c r="T44" s="77">
        <f ca="1">IFERROR(__xludf.DUMMYFUNCTION("IMPORTRANGE(""https://docs.google.com/spreadsheets/d/1XL5vhW3sbDhbH9Cz0tuDiY8C3ctxq1tqvaCgkFb8cCA/edit?usp=sharing"",""ร้อยเอ็ด!j235"")"),2281.39999999999)</f>
        <v>2281.3999999999901</v>
      </c>
      <c r="U44" s="137">
        <f t="shared" ca="1" si="10"/>
        <v>49.595652173912825</v>
      </c>
      <c r="V44" s="77">
        <f ca="1">IFERROR(__xludf.DUMMYFUNCTION("IMPORTRANGE(""https://docs.google.com/spreadsheets/d/1XL5vhW3sbDhbH9Cz0tuDiY8C3ctxq1tqvaCgkFb8cCA/edit?usp=sharing"",""ร้อยเอ็ด!j236"")"),577)</f>
        <v>577</v>
      </c>
      <c r="W44" s="77">
        <f ca="1">IFERROR(__xludf.DUMMYFUNCTION("IMPORTRANGE(""https://docs.google.com/spreadsheets/d/1XL5vhW3sbDhbH9Cz0tuDiY8C3ctxq1tqvaCgkFb8cCA/edit?usp=sharing"",""ร้อยเอ็ด!j237"")"),5826.07)</f>
        <v>5826.07</v>
      </c>
      <c r="X44" s="137">
        <f t="shared" ca="1" si="12"/>
        <v>117.75510204081633</v>
      </c>
      <c r="Y44" s="77">
        <f ca="1">IFERROR(__xludf.DUMMYFUNCTION("IMPORTRANGE(""https://docs.google.com/spreadsheets/d/1XL5vhW3sbDhbH9Cz0tuDiY8C3ctxq1tqvaCgkFb8cCA/edit?usp=sharing"",""ร้อยเอ็ด!j238"")"),0)</f>
        <v>0</v>
      </c>
      <c r="Z44" s="77">
        <f ca="1">IFERROR(__xludf.DUMMYFUNCTION("IMPORTRANGE(""https://docs.google.com/spreadsheets/d/1XL5vhW3sbDhbH9Cz0tuDiY8C3ctxq1tqvaCgkFb8cCA/edit?usp=sharing"",""ร้อยเอ็ด!j239"")"),0)</f>
        <v>0</v>
      </c>
      <c r="AA44" s="137">
        <f t="shared" ca="1" si="14"/>
        <v>0</v>
      </c>
      <c r="AB44" s="77">
        <f ca="1">IFERROR(__xludf.DUMMYFUNCTION("IMPORTRANGE(""https://docs.google.com/spreadsheets/d/1XL5vhW3sbDhbH9Cz0tuDiY8C3ctxq1tqvaCgkFb8cCA/edit?usp=sharing"",""ร้อยเอ็ด!j240"")"),489)</f>
        <v>489</v>
      </c>
      <c r="AC44" s="77">
        <f ca="1">IFERROR(__xludf.DUMMYFUNCTION("IMPORTRANGE(""https://docs.google.com/spreadsheets/d/1XL5vhW3sbDhbH9Cz0tuDiY8C3ctxq1tqvaCgkFb8cCA/edit?usp=sharing"",""ร้อยเอ็ด!j241"")"),4796.74)</f>
        <v>4796.74</v>
      </c>
      <c r="AD44" s="219">
        <f t="shared" ca="1" si="16"/>
        <v>99.795918367346943</v>
      </c>
      <c r="AE44" s="215">
        <f ca="1">IFERROR(__xludf.DUMMYFUNCTION("IMPORTRANGE(""https://docs.google.com/spreadsheets/d/1AGHcLOeeYFL3K4b9R1dSzyJy00PE_ra89DNTVfnxSWM/edit?usp=sharing"",""รวมที่ทำกิน!AA37"")"),2040)</f>
        <v>2040</v>
      </c>
      <c r="AF44" s="215">
        <f ca="1">IFERROR(__xludf.DUMMYFUNCTION("IMPORTRANGE(""https://docs.google.com/spreadsheets/d/1AGHcLOeeYFL3K4b9R1dSzyJy00PE_ra89DNTVfnxSWM/edit?usp=sharing"",""รวมที่ทำกิน!AB37"")"),75)</f>
        <v>75</v>
      </c>
      <c r="AG44" s="215">
        <f ca="1">IFERROR(__xludf.DUMMYFUNCTION("IMPORTRANGE(""https://docs.google.com/spreadsheets/d/1AGHcLOeeYFL3K4b9R1dSzyJy00PE_ra89DNTVfnxSWM/edit?usp=sharing"",""รวมที่ทำกิน!AD37"")"),615.55)</f>
        <v>615.54999999999995</v>
      </c>
      <c r="AH44" s="219">
        <f t="shared" ca="1" si="101"/>
        <v>30.174019607843135</v>
      </c>
      <c r="AI44" s="215">
        <f ca="1">IFERROR(__xludf.DUMMYFUNCTION("IMPORTRANGE(""https://docs.google.com/spreadsheets/d/1AGHcLOeeYFL3K4b9R1dSzyJy00PE_ra89DNTVfnxSWM/edit?usp=sharing"",""รวมที่ทำกิน!AE37"")"),170)</f>
        <v>170</v>
      </c>
      <c r="AJ44" s="215">
        <f ca="1">IFERROR(__xludf.DUMMYFUNCTION("IMPORTRANGE(""https://docs.google.com/spreadsheets/d/1AGHcLOeeYFL3K4b9R1dSzyJy00PE_ra89DNTVfnxSWM/edit?usp=sharing"",""รวมที่ทำกิน!AF37"")"),23)</f>
        <v>23</v>
      </c>
      <c r="AK44" s="215">
        <f ca="1">IFERROR(__xludf.DUMMYFUNCTION("IMPORTRANGE(""https://docs.google.com/spreadsheets/d/1AGHcLOeeYFL3K4b9R1dSzyJy00PE_ra89DNTVfnxSWM/edit?usp=sharing"",""รวมที่ทำกิน!AH37"")"),184.47)</f>
        <v>184.47</v>
      </c>
      <c r="AL44" s="220">
        <f t="shared" ca="1" si="103"/>
        <v>13.529411764705882</v>
      </c>
      <c r="AM44" s="215">
        <f ca="1">IFERROR(__xludf.DUMMYFUNCTION("IMPORTRANGE(""https://docs.google.com/spreadsheets/d/1AGHcLOeeYFL3K4b9R1dSzyJy00PE_ra89DNTVfnxSWM/edit?usp=sharing"",""รวมที่ทำกิน!AI37"")"),0)</f>
        <v>0</v>
      </c>
      <c r="AN44" s="215">
        <f ca="1">IFERROR(__xludf.DUMMYFUNCTION("IMPORTRANGE(""https://docs.google.com/spreadsheets/d/1AGHcLOeeYFL3K4b9R1dSzyJy00PE_ra89DNTVfnxSWM/edit?usp=sharing"",""รวมที่ทำกิน!AK37"")"),0)</f>
        <v>0</v>
      </c>
      <c r="AO44" s="220">
        <f t="shared" ca="1" si="22"/>
        <v>0</v>
      </c>
      <c r="AP44" s="215">
        <f ca="1">IFERROR(__xludf.DUMMYFUNCTION("IMPORTRANGE(""https://docs.google.com/spreadsheets/d/1AGHcLOeeYFL3K4b9R1dSzyJy00PE_ra89DNTVfnxSWM/edit?usp=sharing"",""รวมที่ทำกิน!AL37"")"),0)</f>
        <v>0</v>
      </c>
      <c r="AQ44" s="215">
        <f ca="1">IFERROR(__xludf.DUMMYFUNCTION("IMPORTRANGE(""https://docs.google.com/spreadsheets/d/1AGHcLOeeYFL3K4b9R1dSzyJy00PE_ra89DNTVfnxSWM/edit?usp=sharing"",""รวมที่ทำกิน!AN37"")"),0)</f>
        <v>0</v>
      </c>
      <c r="AR44" s="220">
        <f t="shared" ca="1" si="24"/>
        <v>0</v>
      </c>
      <c r="AS44" s="215">
        <f ca="1">IFERROR(__xludf.DUMMYFUNCTION("IMPORTRANGE(""https://docs.google.com/spreadsheets/d/1AGHcLOeeYFL3K4b9R1dSzyJy00PE_ra89DNTVfnxSWM/edit?usp=sharing"",""รวมที่ทำกิน!AO37"")"),2560)</f>
        <v>2560</v>
      </c>
      <c r="AT44" s="215">
        <f ca="1">IFERROR(__xludf.DUMMYFUNCTION("IMPORTRANGE(""https://docs.google.com/spreadsheets/d/1AGHcLOeeYFL3K4b9R1dSzyJy00PE_ra89DNTVfnxSWM/edit?usp=sharing"",""รวมที่ทำกิน!AP37"")"),215)</f>
        <v>215</v>
      </c>
      <c r="AU44" s="215">
        <f ca="1">IFERROR(__xludf.DUMMYFUNCTION("IMPORTRANGE(""https://docs.google.com/spreadsheets/d/1AGHcLOeeYFL3K4b9R1dSzyJy00PE_ra89DNTVfnxSWM/edit?usp=sharing"",""รวมที่ทำกิน!AR37"")"),1665.85)</f>
        <v>1665.85</v>
      </c>
      <c r="AV44" s="220">
        <f t="shared" ca="1" si="107"/>
        <v>65.072265625</v>
      </c>
      <c r="AW44" s="215">
        <f ca="1">IFERROR(__xludf.DUMMYFUNCTION("IMPORTRANGE(""https://docs.google.com/spreadsheets/d/1AGHcLOeeYFL3K4b9R1dSzyJy00PE_ra89DNTVfnxSWM/edit?usp=sharing"",""รวมที่ทำกิน!AS37"")"),320)</f>
        <v>320</v>
      </c>
      <c r="AX44" s="215">
        <f ca="1">IFERROR(__xludf.DUMMYFUNCTION("IMPORTRANGE(""https://docs.google.com/spreadsheets/d/1AGHcLOeeYFL3K4b9R1dSzyJy00PE_ra89DNTVfnxSWM/edit?usp=sharing"",""รวมที่ทำกิน!AT37"")"),554)</f>
        <v>554</v>
      </c>
      <c r="AY44" s="215">
        <f ca="1">IFERROR(__xludf.DUMMYFUNCTION("IMPORTRANGE(""https://docs.google.com/spreadsheets/d/1AGHcLOeeYFL3K4b9R1dSzyJy00PE_ra89DNTVfnxSWM/edit?usp=sharing"",""รวมที่ทำกิน!AV37"")"),5641.6)</f>
        <v>5641.6</v>
      </c>
      <c r="AZ44" s="220">
        <f t="shared" ca="1" si="109"/>
        <v>173.125</v>
      </c>
      <c r="BA44" s="215">
        <f ca="1">IFERROR(__xludf.DUMMYFUNCTION("IMPORTRANGE(""https://docs.google.com/spreadsheets/d/1AGHcLOeeYFL3K4b9R1dSzyJy00PE_ra89DNTVfnxSWM/edit?usp=sharing"",""รวมที่ทำกิน!AW37"")"),0)</f>
        <v>0</v>
      </c>
      <c r="BB44" s="215">
        <f ca="1">IFERROR(__xludf.DUMMYFUNCTION("IMPORTRANGE(""https://docs.google.com/spreadsheets/d/1AGHcLOeeYFL3K4b9R1dSzyJy00PE_ra89DNTVfnxSWM/edit?usp=sharing"",""รวมที่ทำกิน!AY37"")"),0)</f>
        <v>0</v>
      </c>
      <c r="BC44" s="220">
        <f t="shared" ca="1" si="30"/>
        <v>0</v>
      </c>
      <c r="BD44" s="215">
        <f ca="1">IFERROR(__xludf.DUMMYFUNCTION("IMPORTRANGE(""https://docs.google.com/spreadsheets/d/1AGHcLOeeYFL3K4b9R1dSzyJy00PE_ra89DNTVfnxSWM/edit?usp=sharing"",""รวมที่ทำกิน!AZ37"")"),489)</f>
        <v>489</v>
      </c>
      <c r="BE44" s="215">
        <f ca="1">IFERROR(__xludf.DUMMYFUNCTION("IMPORTRANGE(""https://docs.google.com/spreadsheets/d/1AGHcLOeeYFL3K4b9R1dSzyJy00PE_ra89DNTVfnxSWM/edit?usp=sharing"",""รวมที่ทำกิน!BB37"")"),4796.74)</f>
        <v>4796.74</v>
      </c>
      <c r="BF44" s="221">
        <f t="shared" ca="1" si="32"/>
        <v>152.8125</v>
      </c>
    </row>
    <row r="45" spans="1:58" ht="21" customHeight="1">
      <c r="A45" s="73">
        <v>12</v>
      </c>
      <c r="B45" s="74" t="s">
        <v>69</v>
      </c>
      <c r="C45" s="75">
        <f t="shared" ca="1" si="0"/>
        <v>964680</v>
      </c>
      <c r="D45" s="76">
        <f t="shared" ca="1" si="127"/>
        <v>964680</v>
      </c>
      <c r="E45" s="77">
        <f ca="1">IFERROR(__xludf.DUMMYFUNCTION("IMPORTRANGE(""https://docs.google.com/spreadsheets/d/1C3CXT74ZlgGe6_JY_1olB1XN4rF0dxEuIIF-xsYjHgg/edit?usp=sharing"",""พรบ!BX49"")"),306000)</f>
        <v>306000</v>
      </c>
      <c r="F45" s="77">
        <f ca="1">IFERROR(__xludf.DUMMYFUNCTION("IMPORTRANGE(""https://docs.google.com/spreadsheets/d/1C3CXT74ZlgGe6_JY_1olB1XN4rF0dxEuIIF-xsYjHgg/edit?usp=sharing"",""พรบ!BY49"")"),658680)</f>
        <v>658680</v>
      </c>
      <c r="G45" s="77">
        <f ca="1">IFERROR(__xludf.DUMMYFUNCTION("IMPORTRANGE(""https://docs.google.com/spreadsheets/d/1Yj_ptqi66GCucihVvJfMjLAmec39IyEx_6qawtMGysU/edit?usp=sharing"",""สบก!DJ49"")"),0)</f>
        <v>0</v>
      </c>
      <c r="H45" s="77">
        <f ca="1">IFERROR(__xludf.DUMMYFUNCTION("IMPORTRANGE(""https://docs.google.com/spreadsheets/d/1Yj_ptqi66GCucihVvJfMjLAmec39IyEx_6qawtMGysU/edit?usp=shDLing"",""สบก!DL49"")"),695600)</f>
        <v>695600</v>
      </c>
      <c r="I45" s="77">
        <f t="shared" ca="1" si="3"/>
        <v>458914.61</v>
      </c>
      <c r="J45" s="77">
        <f t="shared" ca="1" si="4"/>
        <v>47.57169320396401</v>
      </c>
      <c r="K45" s="77">
        <f ca="1">IFERROR(__xludf.DUMMYFUNCTION("IMPORTRANGE(""https://docs.google.com/spreadsheets/d/1Yj_ptqi66GCucihVvJfMjLAmec39IyEx_6qawtMGysU/edit?usp=sharing"",""สบก!DM49"")"),458914.61)</f>
        <v>458914.61</v>
      </c>
      <c r="L45" s="137">
        <f t="shared" ca="1" si="5"/>
        <v>47.57169320396401</v>
      </c>
      <c r="M45" s="137">
        <f t="shared" ca="1" si="6"/>
        <v>65.973923231742376</v>
      </c>
      <c r="N45" s="137">
        <f ca="1">IFERROR(__xludf.DUMMYFUNCTION("IMPORTRANGE(""https://docs.google.com/spreadsheets/d/1Yj_ptqi66GCucihVvJfMjLAmec39IyEx_6qawtMGysU/edit?usp=sharing"",""สบก!DN49"")"),0)</f>
        <v>0</v>
      </c>
      <c r="O45" s="137">
        <f t="shared" ca="1" si="7"/>
        <v>0</v>
      </c>
      <c r="P45" s="77">
        <f ca="1">IFERROR(__xludf.DUMMYFUNCTION("IMPORTRANGE(""https://docs.google.com/spreadsheets/d/1C3CXT74ZlgGe6_JY_1olB1XN4rF0dxEuIIF-xsYjHgg/edit?usp=sharing"",""พรบ!CA49"")"),410)</f>
        <v>410</v>
      </c>
      <c r="Q45" s="77">
        <f ca="1">IFERROR(__xludf.DUMMYFUNCTION("IMPORTRANGE(""https://docs.google.com/spreadsheets/d/1C3CXT74ZlgGe6_JY_1olB1XN4rF0dxEuIIF-xsYjHgg/edit?usp=sharing"",""พรบ!BZ49"")"),4040)</f>
        <v>4040</v>
      </c>
      <c r="R45" s="218">
        <f t="shared" ca="1" si="95"/>
        <v>246</v>
      </c>
      <c r="S45" s="77">
        <f ca="1">IFERROR(__xludf.DUMMYFUNCTION("IMPORTRANGE(""https://docs.google.com/spreadsheets/d/1XL5vhW3sbDhbH9Cz0tuDiY8C3ctxq1tqvaCgkFb8cCA/edit?usp=sharing"",""เลย!j234"")"),205)</f>
        <v>205</v>
      </c>
      <c r="T45" s="77">
        <f ca="1">IFERROR(__xludf.DUMMYFUNCTION("IMPORTRANGE(""https://docs.google.com/spreadsheets/d/1XL5vhW3sbDhbH9Cz0tuDiY8C3ctxq1tqvaCgkFb8cCA/edit?usp=sharing"",""เลย!j235"")"),2114.19)</f>
        <v>2114.19</v>
      </c>
      <c r="U45" s="137">
        <f t="shared" ca="1" si="10"/>
        <v>52.331435643564355</v>
      </c>
      <c r="V45" s="77">
        <f ca="1">IFERROR(__xludf.DUMMYFUNCTION("IMPORTRANGE(""https://docs.google.com/spreadsheets/d/1XL5vhW3sbDhbH9Cz0tuDiY8C3ctxq1tqvaCgkFb8cCA/edit?usp=sharing"",""เลย!j236"")"),457)</f>
        <v>457</v>
      </c>
      <c r="W45" s="77">
        <f ca="1">IFERROR(__xludf.DUMMYFUNCTION("IMPORTRANGE(""https://docs.google.com/spreadsheets/d/1XL5vhW3sbDhbH9Cz0tuDiY8C3ctxq1tqvaCgkFb8cCA/edit?usp=sharing"",""เลย!j237"")"),6280.34)</f>
        <v>6280.34</v>
      </c>
      <c r="X45" s="137">
        <f t="shared" ca="1" si="12"/>
        <v>111.46341463414635</v>
      </c>
      <c r="Y45" s="77">
        <f ca="1">IFERROR(__xludf.DUMMYFUNCTION("IMPORTRANGE(""https://docs.google.com/spreadsheets/d/1XL5vhW3sbDhbH9Cz0tuDiY8C3ctxq1tqvaCgkFb8cCA/edit?usp=sharing"",""เลย!j238"")"),2)</f>
        <v>2</v>
      </c>
      <c r="Z45" s="77">
        <f ca="1">IFERROR(__xludf.DUMMYFUNCTION("IMPORTRANGE(""https://docs.google.com/spreadsheets/d/1XL5vhW3sbDhbH9Cz0tuDiY8C3ctxq1tqvaCgkFb8cCA/edit?usp=sharing"",""เลย!j239"")"),27.14)</f>
        <v>27.14</v>
      </c>
      <c r="AA45" s="137">
        <f t="shared" ca="1" si="14"/>
        <v>0.48780487804878048</v>
      </c>
      <c r="AB45" s="77">
        <f ca="1">IFERROR(__xludf.DUMMYFUNCTION("IMPORTRANGE(""https://docs.google.com/spreadsheets/d/1XL5vhW3sbDhbH9Cz0tuDiY8C3ctxq1tqvaCgkFb8cCA/edit?usp=sharing"",""เลย!j240"")"),467)</f>
        <v>467</v>
      </c>
      <c r="AC45" s="77">
        <f ca="1">IFERROR(__xludf.DUMMYFUNCTION("IMPORTRANGE(""https://docs.google.com/spreadsheets/d/1XL5vhW3sbDhbH9Cz0tuDiY8C3ctxq1tqvaCgkFb8cCA/edit?usp=sharing"",""เลย!j241"")"),6416.51)</f>
        <v>6416.51</v>
      </c>
      <c r="AD45" s="219">
        <f t="shared" ca="1" si="16"/>
        <v>113.90243902439025</v>
      </c>
      <c r="AE45" s="215">
        <f ca="1">IFERROR(__xludf.DUMMYFUNCTION("IMPORTRANGE(""https://docs.google.com/spreadsheets/d/1AGHcLOeeYFL3K4b9R1dSzyJy00PE_ra89DNTVfnxSWM/edit?usp=sharing"",""รวมที่ทำกิน!AA38"")"),2280)</f>
        <v>2280</v>
      </c>
      <c r="AF45" s="215">
        <f ca="1">IFERROR(__xludf.DUMMYFUNCTION("IMPORTRANGE(""https://docs.google.com/spreadsheets/d/1AGHcLOeeYFL3K4b9R1dSzyJy00PE_ra89DNTVfnxSWM/edit?usp=sharing"",""รวมที่ทำกิน!AB38"")"),114)</f>
        <v>114</v>
      </c>
      <c r="AG45" s="215">
        <f ca="1">IFERROR(__xludf.DUMMYFUNCTION("IMPORTRANGE(""https://docs.google.com/spreadsheets/d/1AGHcLOeeYFL3K4b9R1dSzyJy00PE_ra89DNTVfnxSWM/edit?usp=sharing"",""รวมที่ทำกิน!AD38"")"),1083.75)</f>
        <v>1083.75</v>
      </c>
      <c r="AH45" s="219">
        <f t="shared" ca="1" si="101"/>
        <v>47.532894736842103</v>
      </c>
      <c r="AI45" s="215">
        <f ca="1">IFERROR(__xludf.DUMMYFUNCTION("IMPORTRANGE(""https://docs.google.com/spreadsheets/d/1AGHcLOeeYFL3K4b9R1dSzyJy00PE_ra89DNTVfnxSWM/edit?usp=sharing"",""รวมที่ทำกิน!AE38"")"),190)</f>
        <v>190</v>
      </c>
      <c r="AJ45" s="215">
        <f ca="1">IFERROR(__xludf.DUMMYFUNCTION("IMPORTRANGE(""https://docs.google.com/spreadsheets/d/1AGHcLOeeYFL3K4b9R1dSzyJy00PE_ra89DNTVfnxSWM/edit?usp=sharing"",""รวมที่ทำกิน!AF38"")"),79)</f>
        <v>79</v>
      </c>
      <c r="AK45" s="215">
        <f ca="1">IFERROR(__xludf.DUMMYFUNCTION("IMPORTRANGE(""https://docs.google.com/spreadsheets/d/1AGHcLOeeYFL3K4b9R1dSzyJy00PE_ra89DNTVfnxSWM/edit?usp=sharing"",""รวมที่ทำกิน!AH38"")"),766.25)</f>
        <v>766.25</v>
      </c>
      <c r="AL45" s="220">
        <f t="shared" ca="1" si="103"/>
        <v>41.578947368421055</v>
      </c>
      <c r="AM45" s="215">
        <f ca="1">IFERROR(__xludf.DUMMYFUNCTION("IMPORTRANGE(""https://docs.google.com/spreadsheets/d/1AGHcLOeeYFL3K4b9R1dSzyJy00PE_ra89DNTVfnxSWM/edit?usp=sharing"",""รวมที่ทำกิน!AI38"")"),0)</f>
        <v>0</v>
      </c>
      <c r="AN45" s="215">
        <f ca="1">IFERROR(__xludf.DUMMYFUNCTION("IMPORTRANGE(""https://docs.google.com/spreadsheets/d/1AGHcLOeeYFL3K4b9R1dSzyJy00PE_ra89DNTVfnxSWM/edit?usp=sharing"",""รวมที่ทำกิน!AK38"")"),0)</f>
        <v>0</v>
      </c>
      <c r="AO45" s="220">
        <f t="shared" ca="1" si="22"/>
        <v>0</v>
      </c>
      <c r="AP45" s="215">
        <f ca="1">IFERROR(__xludf.DUMMYFUNCTION("IMPORTRANGE(""https://docs.google.com/spreadsheets/d/1AGHcLOeeYFL3K4b9R1dSzyJy00PE_ra89DNTVfnxSWM/edit?usp=sharing"",""รวมที่ทำกิน!AL38"")"),81)</f>
        <v>81</v>
      </c>
      <c r="AQ45" s="215">
        <f ca="1">IFERROR(__xludf.DUMMYFUNCTION("IMPORTRANGE(""https://docs.google.com/spreadsheets/d/1AGHcLOeeYFL3K4b9R1dSzyJy00PE_ra89DNTVfnxSWM/edit?usp=sharing"",""รวมที่ทำกิน!AN38"")"),795.79)</f>
        <v>795.79</v>
      </c>
      <c r="AR45" s="220">
        <f t="shared" ca="1" si="24"/>
        <v>42.631578947368418</v>
      </c>
      <c r="AS45" s="215">
        <f ca="1">IFERROR(__xludf.DUMMYFUNCTION("IMPORTRANGE(""https://docs.google.com/spreadsheets/d/1AGHcLOeeYFL3K4b9R1dSzyJy00PE_ra89DNTVfnxSWM/edit?usp=sharing"",""รวมที่ทำกิน!AO38"")"),1760)</f>
        <v>1760</v>
      </c>
      <c r="AT45" s="215">
        <f ca="1">IFERROR(__xludf.DUMMYFUNCTION("IMPORTRANGE(""https://docs.google.com/spreadsheets/d/1AGHcLOeeYFL3K4b9R1dSzyJy00PE_ra89DNTVfnxSWM/edit?usp=sharing"",""รวมที่ทำกิน!AP38"")"),91)</f>
        <v>91</v>
      </c>
      <c r="AU45" s="215">
        <f ca="1">IFERROR(__xludf.DUMMYFUNCTION("IMPORTRANGE(""https://docs.google.com/spreadsheets/d/1AGHcLOeeYFL3K4b9R1dSzyJy00PE_ra89DNTVfnxSWM/edit?usp=sharing"",""รวมที่ทำกิน!AR38"")"),1030.44)</f>
        <v>1030.44</v>
      </c>
      <c r="AV45" s="220">
        <f t="shared" ca="1" si="107"/>
        <v>58.547727272727272</v>
      </c>
      <c r="AW45" s="215">
        <f ca="1">IFERROR(__xludf.DUMMYFUNCTION("IMPORTRANGE(""https://docs.google.com/spreadsheets/d/1AGHcLOeeYFL3K4b9R1dSzyJy00PE_ra89DNTVfnxSWM/edit?usp=sharing"",""รวมที่ทำกิน!AS38"")"),220)</f>
        <v>220</v>
      </c>
      <c r="AX45" s="215">
        <f ca="1">IFERROR(__xludf.DUMMYFUNCTION("IMPORTRANGE(""https://docs.google.com/spreadsheets/d/1AGHcLOeeYFL3K4b9R1dSzyJy00PE_ra89DNTVfnxSWM/edit?usp=sharing"",""รวมที่ทำกิน!AT38"")"),378)</f>
        <v>378</v>
      </c>
      <c r="AY45" s="215">
        <f ca="1">IFERROR(__xludf.DUMMYFUNCTION("IMPORTRANGE(""https://docs.google.com/spreadsheets/d/1AGHcLOeeYFL3K4b9R1dSzyJy00PE_ra89DNTVfnxSWM/edit?usp=sharing"",""รวมที่ทำกิน!AV38"")"),5514.09)</f>
        <v>5514.09</v>
      </c>
      <c r="AZ45" s="220">
        <f t="shared" ca="1" si="109"/>
        <v>171.81818181818181</v>
      </c>
      <c r="BA45" s="215">
        <f ca="1">IFERROR(__xludf.DUMMYFUNCTION("IMPORTRANGE(""https://docs.google.com/spreadsheets/d/1AGHcLOeeYFL3K4b9R1dSzyJy00PE_ra89DNTVfnxSWM/edit?usp=sharing"",""รวมที่ทำกิน!AW38"")"),2)</f>
        <v>2</v>
      </c>
      <c r="BB45" s="215">
        <f ca="1">IFERROR(__xludf.DUMMYFUNCTION("IMPORTRANGE(""https://docs.google.com/spreadsheets/d/1AGHcLOeeYFL3K4b9R1dSzyJy00PE_ra89DNTVfnxSWM/edit?usp=sharing"",""รวมที่ทำกิน!AY38"")"),27.14)</f>
        <v>27.14</v>
      </c>
      <c r="BC45" s="220">
        <f t="shared" ca="1" si="30"/>
        <v>0.90909090909090906</v>
      </c>
      <c r="BD45" s="215">
        <f ca="1">IFERROR(__xludf.DUMMYFUNCTION("IMPORTRANGE(""https://docs.google.com/spreadsheets/d/1AGHcLOeeYFL3K4b9R1dSzyJy00PE_ra89DNTVfnxSWM/edit?usp=sharing"",""รวมที่ทำกิน!AZ38"")"),386)</f>
        <v>386</v>
      </c>
      <c r="BE45" s="215">
        <f ca="1">IFERROR(__xludf.DUMMYFUNCTION("IMPORTRANGE(""https://docs.google.com/spreadsheets/d/1AGHcLOeeYFL3K4b9R1dSzyJy00PE_ra89DNTVfnxSWM/edit?usp=sharing"",""รวมที่ทำกิน!BB38"")"),5620.72)</f>
        <v>5620.72</v>
      </c>
      <c r="BF45" s="221">
        <f t="shared" ca="1" si="32"/>
        <v>175.45454545454547</v>
      </c>
    </row>
    <row r="46" spans="1:58" ht="21" customHeight="1">
      <c r="A46" s="73">
        <v>13</v>
      </c>
      <c r="B46" s="74" t="s">
        <v>70</v>
      </c>
      <c r="C46" s="75">
        <f t="shared" ca="1" si="0"/>
        <v>1684870</v>
      </c>
      <c r="D46" s="76">
        <f t="shared" ca="1" si="127"/>
        <v>1667870</v>
      </c>
      <c r="E46" s="77">
        <f ca="1">IFERROR(__xludf.DUMMYFUNCTION("IMPORTRANGE(""https://docs.google.com/spreadsheets/d/1C3CXT74ZlgGe6_JY_1olB1XN4rF0dxEuIIF-xsYjHgg/edit?usp=sharing"",""พรบ!BX50"")"),500400)</f>
        <v>500400</v>
      </c>
      <c r="F46" s="77">
        <f ca="1">IFERROR(__xludf.DUMMYFUNCTION("IMPORTRANGE(""https://docs.google.com/spreadsheets/d/1C3CXT74ZlgGe6_JY_1olB1XN4rF0dxEuIIF-xsYjHgg/edit?usp=sharing"",""พรบ!BY50"")"),1167470)</f>
        <v>1167470</v>
      </c>
      <c r="G46" s="77">
        <f ca="1">IFERROR(__xludf.DUMMYFUNCTION("IMPORTRANGE(""https://docs.google.com/spreadsheets/d/1Yj_ptqi66GCucihVvJfMjLAmec39IyEx_6qawtMGysU/edit?usp=sharing"",""สบก!DJ50"")"),17000)</f>
        <v>17000</v>
      </c>
      <c r="H46" s="77">
        <f ca="1">IFERROR(__xludf.DUMMYFUNCTION("IMPORTRANGE(""https://docs.google.com/spreadsheets/d/1Yj_ptqi66GCucihVvJfMjLAmec39IyEx_6qawtMGysU/edit?usp=shDLing"",""สบก!DL50"")"),1190280)</f>
        <v>1190280</v>
      </c>
      <c r="I46" s="77">
        <f t="shared" ca="1" si="3"/>
        <v>553635.36</v>
      </c>
      <c r="J46" s="77">
        <f t="shared" ca="1" si="4"/>
        <v>32.859233056556292</v>
      </c>
      <c r="K46" s="77">
        <f ca="1">IFERROR(__xludf.DUMMYFUNCTION("IMPORTRANGE(""https://docs.google.com/spreadsheets/d/1Yj_ptqi66GCucihVvJfMjLAmec39IyEx_6qawtMGysU/edit?usp=sharing"",""สบก!DM50"")"),536635.36)</f>
        <v>536635.36</v>
      </c>
      <c r="L46" s="137">
        <f t="shared" ca="1" si="5"/>
        <v>32.174891328460852</v>
      </c>
      <c r="M46" s="137">
        <f t="shared" ca="1" si="6"/>
        <v>45.084800215075447</v>
      </c>
      <c r="N46" s="137">
        <f ca="1">IFERROR(__xludf.DUMMYFUNCTION("IMPORTRANGE(""https://docs.google.com/spreadsheets/d/1Yj_ptqi66GCucihVvJfMjLAmec39IyEx_6qawtMGysU/edit?usp=sharing"",""สบก!DN50"")"),17000)</f>
        <v>17000</v>
      </c>
      <c r="O46" s="137">
        <f t="shared" ca="1" si="7"/>
        <v>100</v>
      </c>
      <c r="P46" s="77">
        <f ca="1">IFERROR(__xludf.DUMMYFUNCTION("IMPORTRANGE(""https://docs.google.com/spreadsheets/d/1C3CXT74ZlgGe6_JY_1olB1XN4rF0dxEuIIF-xsYjHgg/edit?usp=sharing"",""พรบ!CA50"")"),880)</f>
        <v>880</v>
      </c>
      <c r="Q46" s="77">
        <f ca="1">IFERROR(__xludf.DUMMYFUNCTION("IMPORTRANGE(""https://docs.google.com/spreadsheets/d/1C3CXT74ZlgGe6_JY_1olB1XN4rF0dxEuIIF-xsYjHgg/edit?usp=sharing"",""พรบ!BZ50"")"),7760)</f>
        <v>7760</v>
      </c>
      <c r="R46" s="218">
        <f t="shared" ca="1" si="95"/>
        <v>528</v>
      </c>
      <c r="S46" s="77">
        <f ca="1">IFERROR(__xludf.DUMMYFUNCTION("IMPORTRANGE(""https://docs.google.com/spreadsheets/d/1XL5vhW3sbDhbH9Cz0tuDiY8C3ctxq1tqvaCgkFb8cCA/edit?usp=sharing"",""ศรีสะเกษ!j234"")"),649)</f>
        <v>649</v>
      </c>
      <c r="T46" s="77">
        <f ca="1">IFERROR(__xludf.DUMMYFUNCTION("IMPORTRANGE(""https://docs.google.com/spreadsheets/d/1XL5vhW3sbDhbH9Cz0tuDiY8C3ctxq1tqvaCgkFb8cCA/edit?usp=sharing"",""ศรีสะเกษ!j235"")"),4190.17)</f>
        <v>4190.17</v>
      </c>
      <c r="U46" s="137">
        <f t="shared" ca="1" si="10"/>
        <v>53.997036082474224</v>
      </c>
      <c r="V46" s="77">
        <f ca="1">IFERROR(__xludf.DUMMYFUNCTION("IMPORTRANGE(""https://docs.google.com/spreadsheets/d/1XL5vhW3sbDhbH9Cz0tuDiY8C3ctxq1tqvaCgkFb8cCA/edit?usp=sharing"",""ศรีสะเกษ!j236"")"),1053)</f>
        <v>1053</v>
      </c>
      <c r="W46" s="77">
        <f ca="1">IFERROR(__xludf.DUMMYFUNCTION("IMPORTRANGE(""https://docs.google.com/spreadsheets/d/1XL5vhW3sbDhbH9Cz0tuDiY8C3ctxq1tqvaCgkFb8cCA/edit?usp=sharing"",""ศรีสะเกษ!j237"")"),7916.79)</f>
        <v>7916.79</v>
      </c>
      <c r="X46" s="137">
        <f t="shared" ca="1" si="12"/>
        <v>119.65909090909091</v>
      </c>
      <c r="Y46" s="77">
        <f ca="1">IFERROR(__xludf.DUMMYFUNCTION("IMPORTRANGE(""https://docs.google.com/spreadsheets/d/1XL5vhW3sbDhbH9Cz0tuDiY8C3ctxq1tqvaCgkFb8cCA/edit?usp=sharing"",""ศรีสะเกษ!j238"")"),3)</f>
        <v>3</v>
      </c>
      <c r="Z46" s="77">
        <f ca="1">IFERROR(__xludf.DUMMYFUNCTION("IMPORTRANGE(""https://docs.google.com/spreadsheets/d/1XL5vhW3sbDhbH9Cz0tuDiY8C3ctxq1tqvaCgkFb8cCA/edit?usp=sharing"",""ศรีสะเกษ!j239"")"),23.72)</f>
        <v>23.72</v>
      </c>
      <c r="AA46" s="137">
        <f t="shared" ca="1" si="14"/>
        <v>0.34090909090909088</v>
      </c>
      <c r="AB46" s="77">
        <f ca="1">IFERROR(__xludf.DUMMYFUNCTION("IMPORTRANGE(""https://docs.google.com/spreadsheets/d/1XL5vhW3sbDhbH9Cz0tuDiY8C3ctxq1tqvaCgkFb8cCA/edit?usp=sharing"",""ศรีสะเกษ!j240"")"),637)</f>
        <v>637</v>
      </c>
      <c r="AC46" s="77">
        <f ca="1">IFERROR(__xludf.DUMMYFUNCTION("IMPORTRANGE(""https://docs.google.com/spreadsheets/d/1XL5vhW3sbDhbH9Cz0tuDiY8C3ctxq1tqvaCgkFb8cCA/edit?usp=sharing"",""ศรีสะเกษ!j241"")"),5015.04)</f>
        <v>5015.04</v>
      </c>
      <c r="AD46" s="219">
        <f t="shared" ca="1" si="16"/>
        <v>72.38636363636364</v>
      </c>
      <c r="AE46" s="215">
        <f ca="1">IFERROR(__xludf.DUMMYFUNCTION("IMPORTRANGE(""https://docs.google.com/spreadsheets/d/1AGHcLOeeYFL3K4b9R1dSzyJy00PE_ra89DNTVfnxSWM/edit?usp=sharing"",""รวมที่ทำกิน!AA39"")"),2160)</f>
        <v>2160</v>
      </c>
      <c r="AF46" s="215">
        <f ca="1">IFERROR(__xludf.DUMMYFUNCTION("IMPORTRANGE(""https://docs.google.com/spreadsheets/d/1AGHcLOeeYFL3K4b9R1dSzyJy00PE_ra89DNTVfnxSWM/edit?usp=sharing"",""รวมที่ทำกิน!AB39"")"),93)</f>
        <v>93</v>
      </c>
      <c r="AG46" s="215">
        <f ca="1">IFERROR(__xludf.DUMMYFUNCTION("IMPORTRANGE(""https://docs.google.com/spreadsheets/d/1AGHcLOeeYFL3K4b9R1dSzyJy00PE_ra89DNTVfnxSWM/edit?usp=sharing"",""รวมที่ทำกิน!AD39"")"),376.53)</f>
        <v>376.53</v>
      </c>
      <c r="AH46" s="219">
        <f t="shared" ca="1" si="101"/>
        <v>17.431944444444444</v>
      </c>
      <c r="AI46" s="215">
        <f ca="1">IFERROR(__xludf.DUMMYFUNCTION("IMPORTRANGE(""https://docs.google.com/spreadsheets/d/1AGHcLOeeYFL3K4b9R1dSzyJy00PE_ra89DNTVfnxSWM/edit?usp=sharing"",""รวมที่ทำกิน!AE39"")"),180)</f>
        <v>180</v>
      </c>
      <c r="AJ46" s="215">
        <f ca="1">IFERROR(__xludf.DUMMYFUNCTION("IMPORTRANGE(""https://docs.google.com/spreadsheets/d/1AGHcLOeeYFL3K4b9R1dSzyJy00PE_ra89DNTVfnxSWM/edit?usp=sharing"",""รวมที่ทำกิน!AF39"")"),6)</f>
        <v>6</v>
      </c>
      <c r="AK46" s="215">
        <f ca="1">IFERROR(__xludf.DUMMYFUNCTION("IMPORTRANGE(""https://docs.google.com/spreadsheets/d/1AGHcLOeeYFL3K4b9R1dSzyJy00PE_ra89DNTVfnxSWM/edit?usp=sharing"",""รวมที่ทำกิน!AH39"")"),20.97)</f>
        <v>20.97</v>
      </c>
      <c r="AL46" s="220">
        <f t="shared" ca="1" si="103"/>
        <v>3.3333333333333335</v>
      </c>
      <c r="AM46" s="215">
        <f ca="1">IFERROR(__xludf.DUMMYFUNCTION("IMPORTRANGE(""https://docs.google.com/spreadsheets/d/1AGHcLOeeYFL3K4b9R1dSzyJy00PE_ra89DNTVfnxSWM/edit?usp=sharing"",""รวมที่ทำกิน!AI39"")"),0)</f>
        <v>0</v>
      </c>
      <c r="AN46" s="215">
        <f ca="1">IFERROR(__xludf.DUMMYFUNCTION("IMPORTRANGE(""https://docs.google.com/spreadsheets/d/1AGHcLOeeYFL3K4b9R1dSzyJy00PE_ra89DNTVfnxSWM/edit?usp=sharing"",""รวมที่ทำกิน!AK39"")"),0)</f>
        <v>0</v>
      </c>
      <c r="AO46" s="220">
        <f t="shared" ca="1" si="22"/>
        <v>0</v>
      </c>
      <c r="AP46" s="215">
        <f ca="1">IFERROR(__xludf.DUMMYFUNCTION("IMPORTRANGE(""https://docs.google.com/spreadsheets/d/1AGHcLOeeYFL3K4b9R1dSzyJy00PE_ra89DNTVfnxSWM/edit?usp=sharing"",""รวมที่ทำกิน!AL39"")"),2)</f>
        <v>2</v>
      </c>
      <c r="AQ46" s="215">
        <f ca="1">IFERROR(__xludf.DUMMYFUNCTION("IMPORTRANGE(""https://docs.google.com/spreadsheets/d/1AGHcLOeeYFL3K4b9R1dSzyJy00PE_ra89DNTVfnxSWM/edit?usp=sharing"",""รวมที่ทำกิน!AN39"")"),6.81)</f>
        <v>6.81</v>
      </c>
      <c r="AR46" s="220">
        <f t="shared" ca="1" si="24"/>
        <v>1.1111111111111112</v>
      </c>
      <c r="AS46" s="215">
        <f ca="1">IFERROR(__xludf.DUMMYFUNCTION("IMPORTRANGE(""https://docs.google.com/spreadsheets/d/1AGHcLOeeYFL3K4b9R1dSzyJy00PE_ra89DNTVfnxSWM/edit?usp=sharing"",""รวมที่ทำกิน!AO39"")"),5600)</f>
        <v>5600</v>
      </c>
      <c r="AT46" s="215">
        <f ca="1">IFERROR(__xludf.DUMMYFUNCTION("IMPORTRANGE(""https://docs.google.com/spreadsheets/d/1AGHcLOeeYFL3K4b9R1dSzyJy00PE_ra89DNTVfnxSWM/edit?usp=sharing"",""รวมที่ทำกิน!AP39"")"),556)</f>
        <v>556</v>
      </c>
      <c r="AU46" s="215">
        <f ca="1">IFERROR(__xludf.DUMMYFUNCTION("IMPORTRANGE(""https://docs.google.com/spreadsheets/d/1AGHcLOeeYFL3K4b9R1dSzyJy00PE_ra89DNTVfnxSWM/edit?usp=sharing"",""รวมที่ทำกิน!AR39"")"),3813.64)</f>
        <v>3813.64</v>
      </c>
      <c r="AV46" s="220">
        <f t="shared" ca="1" si="107"/>
        <v>68.10071428571429</v>
      </c>
      <c r="AW46" s="215">
        <f ca="1">IFERROR(__xludf.DUMMYFUNCTION("IMPORTRANGE(""https://docs.google.com/spreadsheets/d/1AGHcLOeeYFL3K4b9R1dSzyJy00PE_ra89DNTVfnxSWM/edit?usp=sharing"",""รวมที่ทำกิน!AS39"")"),700)</f>
        <v>700</v>
      </c>
      <c r="AX46" s="215">
        <f ca="1">IFERROR(__xludf.DUMMYFUNCTION("IMPORTRANGE(""https://docs.google.com/spreadsheets/d/1AGHcLOeeYFL3K4b9R1dSzyJy00PE_ra89DNTVfnxSWM/edit?usp=sharing"",""รวมที่ทำกิน!AT39"")"),1047)</f>
        <v>1047</v>
      </c>
      <c r="AY46" s="215">
        <f ca="1">IFERROR(__xludf.DUMMYFUNCTION("IMPORTRANGE(""https://docs.google.com/spreadsheets/d/1AGHcLOeeYFL3K4b9R1dSzyJy00PE_ra89DNTVfnxSWM/edit?usp=sharing"",""รวมที่ทำกิน!AV39"")"),7895.82)</f>
        <v>7895.82</v>
      </c>
      <c r="AZ46" s="220">
        <f t="shared" ca="1" si="109"/>
        <v>149.57142857142858</v>
      </c>
      <c r="BA46" s="215">
        <f ca="1">IFERROR(__xludf.DUMMYFUNCTION("IMPORTRANGE(""https://docs.google.com/spreadsheets/d/1AGHcLOeeYFL3K4b9R1dSzyJy00PE_ra89DNTVfnxSWM/edit?usp=sharing"",""รวมที่ทำกิน!AW39"")"),3)</f>
        <v>3</v>
      </c>
      <c r="BB46" s="215">
        <f ca="1">IFERROR(__xludf.DUMMYFUNCTION("IMPORTRANGE(""https://docs.google.com/spreadsheets/d/1AGHcLOeeYFL3K4b9R1dSzyJy00PE_ra89DNTVfnxSWM/edit?usp=sharing"",""รวมที่ทำกิน!AY39"")"),23.72)</f>
        <v>23.72</v>
      </c>
      <c r="BC46" s="220">
        <f t="shared" ca="1" si="30"/>
        <v>0.42857142857142855</v>
      </c>
      <c r="BD46" s="215">
        <f ca="1">IFERROR(__xludf.DUMMYFUNCTION("IMPORTRANGE(""https://docs.google.com/spreadsheets/d/1AGHcLOeeYFL3K4b9R1dSzyJy00PE_ra89DNTVfnxSWM/edit?usp=sharing"",""รวมที่ทำกิน!AZ39"")"),635)</f>
        <v>635</v>
      </c>
      <c r="BE46" s="215">
        <f ca="1">IFERROR(__xludf.DUMMYFUNCTION("IMPORTRANGE(""https://docs.google.com/spreadsheets/d/1AGHcLOeeYFL3K4b9R1dSzyJy00PE_ra89DNTVfnxSWM/edit?usp=sharing"",""รวมที่ทำกิน!BB39"")"),5008.23)</f>
        <v>5008.2299999999996</v>
      </c>
      <c r="BF46" s="221">
        <f t="shared" ca="1" si="32"/>
        <v>90.714285714285708</v>
      </c>
    </row>
    <row r="47" spans="1:58" ht="21" customHeight="1">
      <c r="A47" s="73">
        <v>14</v>
      </c>
      <c r="B47" s="74" t="s">
        <v>71</v>
      </c>
      <c r="C47" s="75">
        <f t="shared" ca="1" si="0"/>
        <v>1170150</v>
      </c>
      <c r="D47" s="76">
        <f t="shared" ca="1" si="127"/>
        <v>1170150</v>
      </c>
      <c r="E47" s="77">
        <f ca="1">IFERROR(__xludf.DUMMYFUNCTION("IMPORTRANGE(""https://docs.google.com/spreadsheets/d/1C3CXT74ZlgGe6_JY_1olB1XN4rF0dxEuIIF-xsYjHgg/edit?usp=sharing"",""พรบ!BX51"")"),306000)</f>
        <v>306000</v>
      </c>
      <c r="F47" s="77">
        <f ca="1">IFERROR(__xludf.DUMMYFUNCTION("IMPORTRANGE(""https://docs.google.com/spreadsheets/d/1C3CXT74ZlgGe6_JY_1olB1XN4rF0dxEuIIF-xsYjHgg/edit?usp=sharing"",""พรบ!BY51"")"),864150)</f>
        <v>864150</v>
      </c>
      <c r="G47" s="77">
        <f ca="1">IFERROR(__xludf.DUMMYFUNCTION("IMPORTRANGE(""https://docs.google.com/spreadsheets/d/1Yj_ptqi66GCucihVvJfMjLAmec39IyEx_6qawtMGysU/edit?usp=sharing"",""สบก!DJ51"")"),0)</f>
        <v>0</v>
      </c>
      <c r="H47" s="77">
        <f ca="1">IFERROR(__xludf.DUMMYFUNCTION("IMPORTRANGE(""https://docs.google.com/spreadsheets/d/1Yj_ptqi66GCucihVvJfMjLAmec39IyEx_6qawtMGysU/edit?usp=shDLing"",""สบก!DL51"")"),814660)</f>
        <v>814660</v>
      </c>
      <c r="I47" s="77">
        <f t="shared" ca="1" si="3"/>
        <v>641990.17000000004</v>
      </c>
      <c r="J47" s="77">
        <f t="shared" ca="1" si="4"/>
        <v>54.863920864846392</v>
      </c>
      <c r="K47" s="77">
        <f ca="1">IFERROR(__xludf.DUMMYFUNCTION("IMPORTRANGE(""https://docs.google.com/spreadsheets/d/1Yj_ptqi66GCucihVvJfMjLAmec39IyEx_6qawtMGysU/edit?usp=sharing"",""สบก!DM51"")"),641990.17)</f>
        <v>641990.17000000004</v>
      </c>
      <c r="L47" s="137">
        <f t="shared" ca="1" si="5"/>
        <v>54.863920864846392</v>
      </c>
      <c r="M47" s="137">
        <f t="shared" ca="1" si="6"/>
        <v>78.804675570176528</v>
      </c>
      <c r="N47" s="137">
        <f ca="1">IFERROR(__xludf.DUMMYFUNCTION("IMPORTRANGE(""https://docs.google.com/spreadsheets/d/1Yj_ptqi66GCucihVvJfMjLAmec39IyEx_6qawtMGysU/edit?usp=sharing"",""สบก!DN51"")"),0)</f>
        <v>0</v>
      </c>
      <c r="O47" s="137">
        <f t="shared" ca="1" si="7"/>
        <v>0</v>
      </c>
      <c r="P47" s="77">
        <f ca="1">IFERROR(__xludf.DUMMYFUNCTION("IMPORTRANGE(""https://docs.google.com/spreadsheets/d/1C3CXT74ZlgGe6_JY_1olB1XN4rF0dxEuIIF-xsYjHgg/edit?usp=sharing"",""พรบ!CA51"")"),610)</f>
        <v>610</v>
      </c>
      <c r="Q47" s="77">
        <f ca="1">IFERROR(__xludf.DUMMYFUNCTION("IMPORTRANGE(""https://docs.google.com/spreadsheets/d/1C3CXT74ZlgGe6_JY_1olB1XN4rF0dxEuIIF-xsYjHgg/edit?usp=sharing"",""พรบ!BZ51"")"),4920)</f>
        <v>4920</v>
      </c>
      <c r="R47" s="218">
        <f t="shared" ca="1" si="95"/>
        <v>366</v>
      </c>
      <c r="S47" s="77">
        <f ca="1">IFERROR(__xludf.DUMMYFUNCTION("IMPORTRANGE(""https://docs.google.com/spreadsheets/d/1XL5vhW3sbDhbH9Cz0tuDiY8C3ctxq1tqvaCgkFb8cCA/edit?usp=sharing"",""สกลนคร!j234"")"),473)</f>
        <v>473</v>
      </c>
      <c r="T47" s="77">
        <f ca="1">IFERROR(__xludf.DUMMYFUNCTION("IMPORTRANGE(""https://docs.google.com/spreadsheets/d/1XL5vhW3sbDhbH9Cz0tuDiY8C3ctxq1tqvaCgkFb8cCA/edit?usp=sharing"",""สกลนคร!j235"")"),3825.13)</f>
        <v>3825.13</v>
      </c>
      <c r="U47" s="137">
        <f t="shared" ca="1" si="10"/>
        <v>77.746544715447158</v>
      </c>
      <c r="V47" s="77">
        <f ca="1">IFERROR(__xludf.DUMMYFUNCTION("IMPORTRANGE(""https://docs.google.com/spreadsheets/d/1XL5vhW3sbDhbH9Cz0tuDiY8C3ctxq1tqvaCgkFb8cCA/edit?usp=sharing"",""สกลนคร!j236"")"),447)</f>
        <v>447</v>
      </c>
      <c r="W47" s="77">
        <f ca="1">IFERROR(__xludf.DUMMYFUNCTION("IMPORTRANGE(""https://docs.google.com/spreadsheets/d/1XL5vhW3sbDhbH9Cz0tuDiY8C3ctxq1tqvaCgkFb8cCA/edit?usp=sharing"",""สกลนคร!j237"")"),3580.69)</f>
        <v>3580.69</v>
      </c>
      <c r="X47" s="137">
        <f t="shared" ca="1" si="12"/>
        <v>73.278688524590166</v>
      </c>
      <c r="Y47" s="77">
        <f ca="1">IFERROR(__xludf.DUMMYFUNCTION("IMPORTRANGE(""https://docs.google.com/spreadsheets/d/1XL5vhW3sbDhbH9Cz0tuDiY8C3ctxq1tqvaCgkFb8cCA/edit?usp=sharing"",""สกลนคร!j238"")"),106)</f>
        <v>106</v>
      </c>
      <c r="Z47" s="77">
        <f ca="1">IFERROR(__xludf.DUMMYFUNCTION("IMPORTRANGE(""https://docs.google.com/spreadsheets/d/1XL5vhW3sbDhbH9Cz0tuDiY8C3ctxq1tqvaCgkFb8cCA/edit?usp=sharing"",""สกลนคร!j239"")"),825.9)</f>
        <v>825.9</v>
      </c>
      <c r="AA47" s="137">
        <f t="shared" ca="1" si="14"/>
        <v>17.377049180327869</v>
      </c>
      <c r="AB47" s="77">
        <f ca="1">IFERROR(__xludf.DUMMYFUNCTION("IMPORTRANGE(""https://docs.google.com/spreadsheets/d/1XL5vhW3sbDhbH9Cz0tuDiY8C3ctxq1tqvaCgkFb8cCA/edit?usp=sharing"",""สกลนคร!j240"")"),15)</f>
        <v>15</v>
      </c>
      <c r="AC47" s="77">
        <f ca="1">IFERROR(__xludf.DUMMYFUNCTION("IMPORTRANGE(""https://docs.google.com/spreadsheets/d/1XL5vhW3sbDhbH9Cz0tuDiY8C3ctxq1tqvaCgkFb8cCA/edit?usp=sharing"",""สกลนคร!j241"")"),168.98)</f>
        <v>168.98</v>
      </c>
      <c r="AD47" s="219">
        <f t="shared" ca="1" si="16"/>
        <v>2.459016393442623</v>
      </c>
      <c r="AE47" s="215">
        <f ca="1">IFERROR(__xludf.DUMMYFUNCTION("IMPORTRANGE(""https://docs.google.com/spreadsheets/d/1AGHcLOeeYFL3K4b9R1dSzyJy00PE_ra89DNTVfnxSWM/edit?usp=sharing"",""รวมที่ทำกิน!AA40"")"),1200)</f>
        <v>1200</v>
      </c>
      <c r="AF47" s="215">
        <f ca="1">IFERROR(__xludf.DUMMYFUNCTION("IMPORTRANGE(""https://docs.google.com/spreadsheets/d/1AGHcLOeeYFL3K4b9R1dSzyJy00PE_ra89DNTVfnxSWM/edit?usp=sharing"",""รวมที่ทำกิน!AB40"")"),56)</f>
        <v>56</v>
      </c>
      <c r="AG47" s="215">
        <f ca="1">IFERROR(__xludf.DUMMYFUNCTION("IMPORTRANGE(""https://docs.google.com/spreadsheets/d/1AGHcLOeeYFL3K4b9R1dSzyJy00PE_ra89DNTVfnxSWM/edit?usp=sharing"",""รวมที่ทำกิน!AD40"")"),531.36)</f>
        <v>531.36</v>
      </c>
      <c r="AH47" s="219">
        <f t="shared" ca="1" si="101"/>
        <v>44.28</v>
      </c>
      <c r="AI47" s="215">
        <f ca="1">IFERROR(__xludf.DUMMYFUNCTION("IMPORTRANGE(""https://docs.google.com/spreadsheets/d/1AGHcLOeeYFL3K4b9R1dSzyJy00PE_ra89DNTVfnxSWM/edit?usp=sharing"",""รวมที่ทำกิน!AE40"")"),100)</f>
        <v>100</v>
      </c>
      <c r="AJ47" s="215">
        <f ca="1">IFERROR(__xludf.DUMMYFUNCTION("IMPORTRANGE(""https://docs.google.com/spreadsheets/d/1AGHcLOeeYFL3K4b9R1dSzyJy00PE_ra89DNTVfnxSWM/edit?usp=sharing"",""รวมที่ทำกิน!AF40"")"),26)</f>
        <v>26</v>
      </c>
      <c r="AK47" s="215">
        <f ca="1">IFERROR(__xludf.DUMMYFUNCTION("IMPORTRANGE(""https://docs.google.com/spreadsheets/d/1AGHcLOeeYFL3K4b9R1dSzyJy00PE_ra89DNTVfnxSWM/edit?usp=sharing"",""รวมที่ทำกิน!AH40"")"),249.42)</f>
        <v>249.42</v>
      </c>
      <c r="AL47" s="220">
        <f t="shared" ca="1" si="103"/>
        <v>26</v>
      </c>
      <c r="AM47" s="215">
        <f ca="1">IFERROR(__xludf.DUMMYFUNCTION("IMPORTRANGE(""https://docs.google.com/spreadsheets/d/1AGHcLOeeYFL3K4b9R1dSzyJy00PE_ra89DNTVfnxSWM/edit?usp=sharing"",""รวมที่ทำกิน!AI40"")"),0)</f>
        <v>0</v>
      </c>
      <c r="AN47" s="215">
        <f ca="1">IFERROR(__xludf.DUMMYFUNCTION("IMPORTRANGE(""https://docs.google.com/spreadsheets/d/1AGHcLOeeYFL3K4b9R1dSzyJy00PE_ra89DNTVfnxSWM/edit?usp=sharing"",""รวมที่ทำกิน!AK40"")"),0)</f>
        <v>0</v>
      </c>
      <c r="AO47" s="220">
        <f t="shared" ca="1" si="22"/>
        <v>0</v>
      </c>
      <c r="AP47" s="215">
        <f ca="1">IFERROR(__xludf.DUMMYFUNCTION("IMPORTRANGE(""https://docs.google.com/spreadsheets/d/1AGHcLOeeYFL3K4b9R1dSzyJy00PE_ra89DNTVfnxSWM/edit?usp=sharing"",""รวมที่ทำกิน!AL40"")"),2)</f>
        <v>2</v>
      </c>
      <c r="AQ47" s="215">
        <f ca="1">IFERROR(__xludf.DUMMYFUNCTION("IMPORTRANGE(""https://docs.google.com/spreadsheets/d/1AGHcLOeeYFL3K4b9R1dSzyJy00PE_ra89DNTVfnxSWM/edit?usp=sharing"",""รวมที่ทำกิน!AN40"")"),18.5)</f>
        <v>18.5</v>
      </c>
      <c r="AR47" s="220">
        <f t="shared" ca="1" si="24"/>
        <v>2</v>
      </c>
      <c r="AS47" s="215">
        <f ca="1">IFERROR(__xludf.DUMMYFUNCTION("IMPORTRANGE(""https://docs.google.com/spreadsheets/d/1AGHcLOeeYFL3K4b9R1dSzyJy00PE_ra89DNTVfnxSWM/edit?usp=sharing"",""รวมที่ทำกิน!AO40"")"),3720)</f>
        <v>3720</v>
      </c>
      <c r="AT47" s="215">
        <f ca="1">IFERROR(__xludf.DUMMYFUNCTION("IMPORTRANGE(""https://docs.google.com/spreadsheets/d/1AGHcLOeeYFL3K4b9R1dSzyJy00PE_ra89DNTVfnxSWM/edit?usp=sharing"",""รวมที่ทำกิน!AP40"")"),417)</f>
        <v>417</v>
      </c>
      <c r="AU47" s="215">
        <f ca="1">IFERROR(__xludf.DUMMYFUNCTION("IMPORTRANGE(""https://docs.google.com/spreadsheets/d/1AGHcLOeeYFL3K4b9R1dSzyJy00PE_ra89DNTVfnxSWM/edit?usp=sharing"",""รวมที่ทำกิน!AR40"")"),3293.77)</f>
        <v>3293.77</v>
      </c>
      <c r="AV47" s="220">
        <f t="shared" ca="1" si="107"/>
        <v>88.542204301075273</v>
      </c>
      <c r="AW47" s="215">
        <f ca="1">IFERROR(__xludf.DUMMYFUNCTION("IMPORTRANGE(""https://docs.google.com/spreadsheets/d/1AGHcLOeeYFL3K4b9R1dSzyJy00PE_ra89DNTVfnxSWM/edit?usp=sharing"",""รวมที่ทำกิน!AS40"")"),510)</f>
        <v>510</v>
      </c>
      <c r="AX47" s="215">
        <f ca="1">IFERROR(__xludf.DUMMYFUNCTION("IMPORTRANGE(""https://docs.google.com/spreadsheets/d/1AGHcLOeeYFL3K4b9R1dSzyJy00PE_ra89DNTVfnxSWM/edit?usp=sharing"",""รวมที่ทำกิน!AT40"")"),421)</f>
        <v>421</v>
      </c>
      <c r="AY47" s="215">
        <f ca="1">IFERROR(__xludf.DUMMYFUNCTION("IMPORTRANGE(""https://docs.google.com/spreadsheets/d/1AGHcLOeeYFL3K4b9R1dSzyJy00PE_ra89DNTVfnxSWM/edit?usp=sharing"",""รวมที่ทำกิน!AV40"")"),3331.27)</f>
        <v>3331.27</v>
      </c>
      <c r="AZ47" s="220">
        <f t="shared" ca="1" si="109"/>
        <v>82.549019607843135</v>
      </c>
      <c r="BA47" s="215">
        <f ca="1">IFERROR(__xludf.DUMMYFUNCTION("IMPORTRANGE(""https://docs.google.com/spreadsheets/d/1AGHcLOeeYFL3K4b9R1dSzyJy00PE_ra89DNTVfnxSWM/edit?usp=sharing"",""รวมที่ทำกิน!AW40"")"),106)</f>
        <v>106</v>
      </c>
      <c r="BB47" s="215">
        <f ca="1">IFERROR(__xludf.DUMMYFUNCTION("IMPORTRANGE(""https://docs.google.com/spreadsheets/d/1AGHcLOeeYFL3K4b9R1dSzyJy00PE_ra89DNTVfnxSWM/edit?usp=sharing"",""รวมที่ทำกิน!AY40"")"),825.9)</f>
        <v>825.9</v>
      </c>
      <c r="BC47" s="220">
        <f t="shared" ca="1" si="30"/>
        <v>20.784313725490197</v>
      </c>
      <c r="BD47" s="215">
        <f ca="1">IFERROR(__xludf.DUMMYFUNCTION("IMPORTRANGE(""https://docs.google.com/spreadsheets/d/1AGHcLOeeYFL3K4b9R1dSzyJy00PE_ra89DNTVfnxSWM/edit?usp=sharing"",""รวมที่ทำกิน!AZ40"")"),13)</f>
        <v>13</v>
      </c>
      <c r="BE47" s="215">
        <f ca="1">IFERROR(__xludf.DUMMYFUNCTION("IMPORTRANGE(""https://docs.google.com/spreadsheets/d/1AGHcLOeeYFL3K4b9R1dSzyJy00PE_ra89DNTVfnxSWM/edit?usp=sharing"",""รวมที่ทำกิน!BB40"")"),150.48)</f>
        <v>150.47999999999999</v>
      </c>
      <c r="BF47" s="221">
        <f t="shared" ca="1" si="32"/>
        <v>2.5490196078431371</v>
      </c>
    </row>
    <row r="48" spans="1:58" ht="21" customHeight="1">
      <c r="A48" s="73">
        <v>15</v>
      </c>
      <c r="B48" s="74" t="s">
        <v>72</v>
      </c>
      <c r="C48" s="75">
        <f t="shared" ca="1" si="0"/>
        <v>1939500</v>
      </c>
      <c r="D48" s="76">
        <f t="shared" ca="1" si="127"/>
        <v>1902210</v>
      </c>
      <c r="E48" s="77">
        <f ca="1">IFERROR(__xludf.DUMMYFUNCTION("IMPORTRANGE(""https://docs.google.com/spreadsheets/d/1C3CXT74ZlgGe6_JY_1olB1XN4rF0dxEuIIF-xsYjHgg/edit?usp=sharing"",""พรบ!BX52"")"),759500)</f>
        <v>759500</v>
      </c>
      <c r="F48" s="77">
        <f ca="1">IFERROR(__xludf.DUMMYFUNCTION("IMPORTRANGE(""https://docs.google.com/spreadsheets/d/1C3CXT74ZlgGe6_JY_1olB1XN4rF0dxEuIIF-xsYjHgg/edit?usp=sharing"",""พรบ!BY52"")"),1142710)</f>
        <v>1142710</v>
      </c>
      <c r="G48" s="77">
        <f ca="1">IFERROR(__xludf.DUMMYFUNCTION("IMPORTRANGE(""https://docs.google.com/spreadsheets/d/1Yj_ptqi66GCucihVvJfMjLAmec39IyEx_6qawtMGysU/edit?usp=sharing"",""สบก!DJ52"")"),37290)</f>
        <v>37290</v>
      </c>
      <c r="H48" s="77">
        <f ca="1">IFERROR(__xludf.DUMMYFUNCTION("IMPORTRANGE(""https://docs.google.com/spreadsheets/d/1Yj_ptqi66GCucihVvJfMjLAmec39IyEx_6qawtMGysU/edit?usp=shDLing"",""สบก!DL52"")"),1342070)</f>
        <v>1342070</v>
      </c>
      <c r="I48" s="77">
        <f t="shared" ca="1" si="3"/>
        <v>1099998.05</v>
      </c>
      <c r="J48" s="77">
        <f t="shared" ca="1" si="4"/>
        <v>56.715547821603508</v>
      </c>
      <c r="K48" s="77">
        <f ca="1">IFERROR(__xludf.DUMMYFUNCTION("IMPORTRANGE(""https://docs.google.com/spreadsheets/d/1Yj_ptqi66GCucihVvJfMjLAmec39IyEx_6qawtMGysU/edit?usp=sharing"",""สบก!DM52"")"),1062708.05)</f>
        <v>1062708.05</v>
      </c>
      <c r="L48" s="137">
        <f t="shared" ca="1" si="5"/>
        <v>55.86702046566888</v>
      </c>
      <c r="M48" s="137">
        <f t="shared" ca="1" si="6"/>
        <v>79.184248958698134</v>
      </c>
      <c r="N48" s="137">
        <f ca="1">IFERROR(__xludf.DUMMYFUNCTION("IMPORTRANGE(""https://docs.google.com/spreadsheets/d/1Yj_ptqi66GCucihVvJfMjLAmec39IyEx_6qawtMGysU/edit?usp=sharing"",""สบก!DN52"")"),37290)</f>
        <v>37290</v>
      </c>
      <c r="O48" s="137">
        <f t="shared" ca="1" si="7"/>
        <v>100</v>
      </c>
      <c r="P48" s="77">
        <f ca="1">IFERROR(__xludf.DUMMYFUNCTION("IMPORTRANGE(""https://docs.google.com/spreadsheets/d/1C3CXT74ZlgGe6_JY_1olB1XN4rF0dxEuIIF-xsYjHgg/edit?usp=sharing"",""พรบ!CA52"")"),740)</f>
        <v>740</v>
      </c>
      <c r="Q48" s="77">
        <f ca="1">IFERROR(__xludf.DUMMYFUNCTION("IMPORTRANGE(""https://docs.google.com/spreadsheets/d/1C3CXT74ZlgGe6_JY_1olB1XN4rF0dxEuIIF-xsYjHgg/edit?usp=sharing"",""พรบ!BZ52"")"),5800)</f>
        <v>5800</v>
      </c>
      <c r="R48" s="218">
        <f t="shared" ca="1" si="95"/>
        <v>444</v>
      </c>
      <c r="S48" s="77">
        <f ca="1">IFERROR(__xludf.DUMMYFUNCTION("IMPORTRANGE(""https://docs.google.com/spreadsheets/d/1XL5vhW3sbDhbH9Cz0tuDiY8C3ctxq1tqvaCgkFb8cCA/edit?usp=sharing"",""สุรินทร์!j234"")"),404)</f>
        <v>404</v>
      </c>
      <c r="T48" s="77">
        <f ca="1">IFERROR(__xludf.DUMMYFUNCTION("IMPORTRANGE(""https://docs.google.com/spreadsheets/d/1XL5vhW3sbDhbH9Cz0tuDiY8C3ctxq1tqvaCgkFb8cCA/edit?usp=sharing"",""สุรินทร์!j235"")"),2730.01999999999)</f>
        <v>2730.01999999999</v>
      </c>
      <c r="U48" s="137">
        <f t="shared" ca="1" si="10"/>
        <v>47.069310344827414</v>
      </c>
      <c r="V48" s="77">
        <f ca="1">IFERROR(__xludf.DUMMYFUNCTION("IMPORTRANGE(""https://docs.google.com/spreadsheets/d/1XL5vhW3sbDhbH9Cz0tuDiY8C3ctxq1tqvaCgkFb8cCA/edit?usp=sharing"",""สุรินทร์!j236"")"),566)</f>
        <v>566</v>
      </c>
      <c r="W48" s="77">
        <f ca="1">IFERROR(__xludf.DUMMYFUNCTION("IMPORTRANGE(""https://docs.google.com/spreadsheets/d/1XL5vhW3sbDhbH9Cz0tuDiY8C3ctxq1tqvaCgkFb8cCA/edit?usp=sharing"",""สุรินทร์!j237"")"),4313.63999999999)</f>
        <v>4313.6399999999903</v>
      </c>
      <c r="X48" s="137">
        <f t="shared" ca="1" si="12"/>
        <v>76.486486486486484</v>
      </c>
      <c r="Y48" s="77">
        <f ca="1">IFERROR(__xludf.DUMMYFUNCTION("IMPORTRANGE(""https://docs.google.com/spreadsheets/d/1XL5vhW3sbDhbH9Cz0tuDiY8C3ctxq1tqvaCgkFb8cCA/edit?usp=sharing"",""สุรินทร์!j238"")"),3)</f>
        <v>3</v>
      </c>
      <c r="Z48" s="77">
        <f ca="1">IFERROR(__xludf.DUMMYFUNCTION("IMPORTRANGE(""https://docs.google.com/spreadsheets/d/1XL5vhW3sbDhbH9Cz0tuDiY8C3ctxq1tqvaCgkFb8cCA/edit?usp=sharing"",""สุรินทร์!j239"")"),11.55)</f>
        <v>11.55</v>
      </c>
      <c r="AA48" s="137">
        <f t="shared" ca="1" si="14"/>
        <v>0.40540540540540543</v>
      </c>
      <c r="AB48" s="77">
        <f ca="1">IFERROR(__xludf.DUMMYFUNCTION("IMPORTRANGE(""https://docs.google.com/spreadsheets/d/1XL5vhW3sbDhbH9Cz0tuDiY8C3ctxq1tqvaCgkFb8cCA/edit?usp=sharing"",""สุรินทร์!j240"")"),559)</f>
        <v>559</v>
      </c>
      <c r="AC48" s="77">
        <f ca="1">IFERROR(__xludf.DUMMYFUNCTION("IMPORTRANGE(""https://docs.google.com/spreadsheets/d/1XL5vhW3sbDhbH9Cz0tuDiY8C3ctxq1tqvaCgkFb8cCA/edit?usp=sharing"",""สุรินทร์!j241"")"),4174.35)</f>
        <v>4174.3500000000004</v>
      </c>
      <c r="AD48" s="219">
        <f t="shared" ca="1" si="16"/>
        <v>75.540540540540547</v>
      </c>
      <c r="AE48" s="215">
        <f ca="1">IFERROR(__xludf.DUMMYFUNCTION("IMPORTRANGE(""https://docs.google.com/spreadsheets/d/1AGHcLOeeYFL3K4b9R1dSzyJy00PE_ra89DNTVfnxSWM/edit?usp=sharing"",""รวมที่ทำกิน!AA41"")"),1000)</f>
        <v>1000</v>
      </c>
      <c r="AF48" s="215">
        <f ca="1">IFERROR(__xludf.DUMMYFUNCTION("IMPORTRANGE(""https://docs.google.com/spreadsheets/d/1AGHcLOeeYFL3K4b9R1dSzyJy00PE_ra89DNTVfnxSWM/edit?usp=sharing"",""รวมที่ทำกิน!AB41"")"),106)</f>
        <v>106</v>
      </c>
      <c r="AG48" s="215">
        <f ca="1">IFERROR(__xludf.DUMMYFUNCTION("IMPORTRANGE(""https://docs.google.com/spreadsheets/d/1AGHcLOeeYFL3K4b9R1dSzyJy00PE_ra89DNTVfnxSWM/edit?usp=sharing"",""รวมที่ทำกิน!AD41"")"),644.78)</f>
        <v>644.78</v>
      </c>
      <c r="AH48" s="219">
        <f t="shared" ca="1" si="101"/>
        <v>64.477999999999994</v>
      </c>
      <c r="AI48" s="215">
        <f ca="1">IFERROR(__xludf.DUMMYFUNCTION("IMPORTRANGE(""https://docs.google.com/spreadsheets/d/1AGHcLOeeYFL3K4b9R1dSzyJy00PE_ra89DNTVfnxSWM/edit?usp=sharing"",""รวมที่ทำกิน!AE41"")"),100)</f>
        <v>100</v>
      </c>
      <c r="AJ48" s="215">
        <f ca="1">IFERROR(__xludf.DUMMYFUNCTION("IMPORTRANGE(""https://docs.google.com/spreadsheets/d/1AGHcLOeeYFL3K4b9R1dSzyJy00PE_ra89DNTVfnxSWM/edit?usp=sharing"",""รวมที่ทำกิน!AF41"")"),94)</f>
        <v>94</v>
      </c>
      <c r="AK48" s="215">
        <f ca="1">IFERROR(__xludf.DUMMYFUNCTION("IMPORTRANGE(""https://docs.google.com/spreadsheets/d/1AGHcLOeeYFL3K4b9R1dSzyJy00PE_ra89DNTVfnxSWM/edit?usp=sharing"",""รวมที่ทำกิน!AH41"")"),577.5)</f>
        <v>577.5</v>
      </c>
      <c r="AL48" s="220">
        <f t="shared" ca="1" si="103"/>
        <v>94</v>
      </c>
      <c r="AM48" s="215">
        <f ca="1">IFERROR(__xludf.DUMMYFUNCTION("IMPORTRANGE(""https://docs.google.com/spreadsheets/d/1AGHcLOeeYFL3K4b9R1dSzyJy00PE_ra89DNTVfnxSWM/edit?usp=sharing"",""รวมที่ทำกิน!AI41"")"),0)</f>
        <v>0</v>
      </c>
      <c r="AN48" s="215">
        <f ca="1">IFERROR(__xludf.DUMMYFUNCTION("IMPORTRANGE(""https://docs.google.com/spreadsheets/d/1AGHcLOeeYFL3K4b9R1dSzyJy00PE_ra89DNTVfnxSWM/edit?usp=sharing"",""รวมที่ทำกิน!AK41"")"),0)</f>
        <v>0</v>
      </c>
      <c r="AO48" s="220">
        <f t="shared" ca="1" si="22"/>
        <v>0</v>
      </c>
      <c r="AP48" s="215">
        <f ca="1">IFERROR(__xludf.DUMMYFUNCTION("IMPORTRANGE(""https://docs.google.com/spreadsheets/d/1AGHcLOeeYFL3K4b9R1dSzyJy00PE_ra89DNTVfnxSWM/edit?usp=sharing"",""รวมที่ทำกิน!AL41"")"),90)</f>
        <v>90</v>
      </c>
      <c r="AQ48" s="215">
        <f ca="1">IFERROR(__xludf.DUMMYFUNCTION("IMPORTRANGE(""https://docs.google.com/spreadsheets/d/1AGHcLOeeYFL3K4b9R1dSzyJy00PE_ra89DNTVfnxSWM/edit?usp=sharing"",""รวมที่ทำกิน!AN41"")"),558.99)</f>
        <v>558.99</v>
      </c>
      <c r="AR48" s="220">
        <f t="shared" ca="1" si="24"/>
        <v>90</v>
      </c>
      <c r="AS48" s="215">
        <f ca="1">IFERROR(__xludf.DUMMYFUNCTION("IMPORTRANGE(""https://docs.google.com/spreadsheets/d/1AGHcLOeeYFL3K4b9R1dSzyJy00PE_ra89DNTVfnxSWM/edit?usp=sharing"",""รวมที่ทำกิน!AO41"")"),4800)</f>
        <v>4800</v>
      </c>
      <c r="AT48" s="215">
        <f ca="1">IFERROR(__xludf.DUMMYFUNCTION("IMPORTRANGE(""https://docs.google.com/spreadsheets/d/1AGHcLOeeYFL3K4b9R1dSzyJy00PE_ra89DNTVfnxSWM/edit?usp=sharing"",""รวมที่ทำกิน!AP41"")"),298)</f>
        <v>298</v>
      </c>
      <c r="AU48" s="215">
        <f ca="1">IFERROR(__xludf.DUMMYFUNCTION("IMPORTRANGE(""https://docs.google.com/spreadsheets/d/1AGHcLOeeYFL3K4b9R1dSzyJy00PE_ra89DNTVfnxSWM/edit?usp=sharing"",""รวมที่ทำกิน!AR41"")"),2085.24)</f>
        <v>2085.2399999999998</v>
      </c>
      <c r="AV48" s="220">
        <f t="shared" ca="1" si="107"/>
        <v>43.442499999999995</v>
      </c>
      <c r="AW48" s="215">
        <f ca="1">IFERROR(__xludf.DUMMYFUNCTION("IMPORTRANGE(""https://docs.google.com/spreadsheets/d/1AGHcLOeeYFL3K4b9R1dSzyJy00PE_ra89DNTVfnxSWM/edit?usp=sharing"",""รวมที่ทำกิน!AS41"")"),640)</f>
        <v>640</v>
      </c>
      <c r="AX48" s="215">
        <f ca="1">IFERROR(__xludf.DUMMYFUNCTION("IMPORTRANGE(""https://docs.google.com/spreadsheets/d/1AGHcLOeeYFL3K4b9R1dSzyJy00PE_ra89DNTVfnxSWM/edit?usp=sharing"",""รวมที่ทำกิน!AT41"")"),472)</f>
        <v>472</v>
      </c>
      <c r="AY48" s="215">
        <f ca="1">IFERROR(__xludf.DUMMYFUNCTION("IMPORTRANGE(""https://docs.google.com/spreadsheets/d/1AGHcLOeeYFL3K4b9R1dSzyJy00PE_ra89DNTVfnxSWM/edit?usp=sharing"",""รวมที่ทำกิน!AV41"")"),3736.14)</f>
        <v>3736.14</v>
      </c>
      <c r="AZ48" s="220">
        <f t="shared" ca="1" si="109"/>
        <v>73.75</v>
      </c>
      <c r="BA48" s="215">
        <f ca="1">IFERROR(__xludf.DUMMYFUNCTION("IMPORTRANGE(""https://docs.google.com/spreadsheets/d/1AGHcLOeeYFL3K4b9R1dSzyJy00PE_ra89DNTVfnxSWM/edit?usp=sharing"",""รวมที่ทำกิน!AW41"")"),3)</f>
        <v>3</v>
      </c>
      <c r="BB48" s="215">
        <f ca="1">IFERROR(__xludf.DUMMYFUNCTION("IMPORTRANGE(""https://docs.google.com/spreadsheets/d/1AGHcLOeeYFL3K4b9R1dSzyJy00PE_ra89DNTVfnxSWM/edit?usp=sharing"",""รวมที่ทำกิน!AY41"")"),11.55)</f>
        <v>11.55</v>
      </c>
      <c r="BC48" s="220">
        <f t="shared" ca="1" si="30"/>
        <v>0.46875</v>
      </c>
      <c r="BD48" s="215">
        <f ca="1">IFERROR(__xludf.DUMMYFUNCTION("IMPORTRANGE(""https://docs.google.com/spreadsheets/d/1AGHcLOeeYFL3K4b9R1dSzyJy00PE_ra89DNTVfnxSWM/edit?usp=sharing"",""รวมที่ทำกิน!AZ41"")"),469)</f>
        <v>469</v>
      </c>
      <c r="BE48" s="215">
        <f ca="1">IFERROR(__xludf.DUMMYFUNCTION("IMPORTRANGE(""https://docs.google.com/spreadsheets/d/1AGHcLOeeYFL3K4b9R1dSzyJy00PE_ra89DNTVfnxSWM/edit?usp=sharing"",""รวมที่ทำกิน!BB41"")"),3615.36)</f>
        <v>3615.36</v>
      </c>
      <c r="BF48" s="221">
        <f t="shared" ca="1" si="32"/>
        <v>73.28125</v>
      </c>
    </row>
    <row r="49" spans="1:58" ht="21" customHeight="1">
      <c r="A49" s="73">
        <v>16</v>
      </c>
      <c r="B49" s="74" t="s">
        <v>73</v>
      </c>
      <c r="C49" s="75">
        <f t="shared" ca="1" si="0"/>
        <v>1197130</v>
      </c>
      <c r="D49" s="76">
        <f t="shared" ca="1" si="127"/>
        <v>1011130</v>
      </c>
      <c r="E49" s="77">
        <f ca="1">IFERROR(__xludf.DUMMYFUNCTION("IMPORTRANGE(""https://docs.google.com/spreadsheets/d/1C3CXT74ZlgGe6_JY_1olB1XN4rF0dxEuIIF-xsYjHgg/edit?usp=sharing"",""พรบ!BX53"")"),417600)</f>
        <v>417600</v>
      </c>
      <c r="F49" s="77">
        <f ca="1">IFERROR(__xludf.DUMMYFUNCTION("IMPORTRANGE(""https://docs.google.com/spreadsheets/d/1C3CXT74ZlgGe6_JY_1olB1XN4rF0dxEuIIF-xsYjHgg/edit?usp=sharing"",""พรบ!BY53"")"),593530)</f>
        <v>593530</v>
      </c>
      <c r="G49" s="77">
        <f ca="1">IFERROR(__xludf.DUMMYFUNCTION("IMPORTRANGE(""https://docs.google.com/spreadsheets/d/1Yj_ptqi66GCucihVvJfMjLAmec39IyEx_6qawtMGysU/edit?usp=sharing"",""สบก!DJ53"")"),186000)</f>
        <v>186000</v>
      </c>
      <c r="H49" s="77">
        <f ca="1">IFERROR(__xludf.DUMMYFUNCTION("IMPORTRANGE(""https://docs.google.com/spreadsheets/d/1Yj_ptqi66GCucihVvJfMjLAmec39IyEx_6qawtMGysU/edit?usp=shDLing"",""สบก!DL53"")"),709230)</f>
        <v>709230</v>
      </c>
      <c r="I49" s="77">
        <f t="shared" ca="1" si="3"/>
        <v>667992.29</v>
      </c>
      <c r="J49" s="77">
        <f t="shared" ca="1" si="4"/>
        <v>55.7994779180206</v>
      </c>
      <c r="K49" s="77">
        <f ca="1">IFERROR(__xludf.DUMMYFUNCTION("IMPORTRANGE(""https://docs.google.com/spreadsheets/d/1Yj_ptqi66GCucihVvJfMjLAmec39IyEx_6qawtMGysU/edit?usp=sharing"",""สบก!DM53"")"),481992.29)</f>
        <v>481992.29</v>
      </c>
      <c r="L49" s="137">
        <f t="shared" ca="1" si="5"/>
        <v>47.668676629117918</v>
      </c>
      <c r="M49" s="137">
        <f t="shared" ca="1" si="6"/>
        <v>67.959941062842802</v>
      </c>
      <c r="N49" s="137">
        <f ca="1">IFERROR(__xludf.DUMMYFUNCTION("IMPORTRANGE(""https://docs.google.com/spreadsheets/d/1Yj_ptqi66GCucihVvJfMjLAmec39IyEx_6qawtMGysU/edit?usp=sharing"",""สบก!DN53"")"),186000)</f>
        <v>186000</v>
      </c>
      <c r="O49" s="137">
        <f t="shared" ca="1" si="7"/>
        <v>100</v>
      </c>
      <c r="P49" s="77">
        <f ca="1">IFERROR(__xludf.DUMMYFUNCTION("IMPORTRANGE(""https://docs.google.com/spreadsheets/d/1C3CXT74ZlgGe6_JY_1olB1XN4rF0dxEuIIF-xsYjHgg/edit?usp=sharing"",""พรบ!CA53"")"),650)</f>
        <v>650</v>
      </c>
      <c r="Q49" s="77">
        <f ca="1">IFERROR(__xludf.DUMMYFUNCTION("IMPORTRANGE(""https://docs.google.com/spreadsheets/d/1C3CXT74ZlgGe6_JY_1olB1XN4rF0dxEuIIF-xsYjHgg/edit?usp=sharing"",""พรบ!BZ53"")"),3376)</f>
        <v>3376</v>
      </c>
      <c r="R49" s="218">
        <f t="shared" ca="1" si="95"/>
        <v>390</v>
      </c>
      <c r="S49" s="77">
        <f ca="1">IFERROR(__xludf.DUMMYFUNCTION("IMPORTRANGE(""https://docs.google.com/spreadsheets/d/1XL5vhW3sbDhbH9Cz0tuDiY8C3ctxq1tqvaCgkFb8cCA/edit?usp=sharing"",""หนองคาย!j234"")"),110)</f>
        <v>110</v>
      </c>
      <c r="T49" s="77">
        <f ca="1">IFERROR(__xludf.DUMMYFUNCTION("IMPORTRANGE(""https://docs.google.com/spreadsheets/d/1XL5vhW3sbDhbH9Cz0tuDiY8C3ctxq1tqvaCgkFb8cCA/edit?usp=sharing"",""หนองคาย!j235"")"),1015.06999999999)</f>
        <v>1015.06999999999</v>
      </c>
      <c r="U49" s="137">
        <f t="shared" ca="1" si="10"/>
        <v>30.067239336492598</v>
      </c>
      <c r="V49" s="77">
        <f ca="1">IFERROR(__xludf.DUMMYFUNCTION("IMPORTRANGE(""https://docs.google.com/spreadsheets/d/1XL5vhW3sbDhbH9Cz0tuDiY8C3ctxq1tqvaCgkFb8cCA/edit?usp=sharing"",""หนองคาย!j236"")"),233)</f>
        <v>233</v>
      </c>
      <c r="W49" s="77">
        <f ca="1">IFERROR(__xludf.DUMMYFUNCTION("IMPORTRANGE(""https://docs.google.com/spreadsheets/d/1XL5vhW3sbDhbH9Cz0tuDiY8C3ctxq1tqvaCgkFb8cCA/edit?usp=sharing"",""หนองคาย!j237"")"),2858.68)</f>
        <v>2858.68</v>
      </c>
      <c r="X49" s="137">
        <f t="shared" ca="1" si="12"/>
        <v>35.846153846153847</v>
      </c>
      <c r="Y49" s="77">
        <f ca="1">IFERROR(__xludf.DUMMYFUNCTION("IMPORTRANGE(""https://docs.google.com/spreadsheets/d/1XL5vhW3sbDhbH9Cz0tuDiY8C3ctxq1tqvaCgkFb8cCA/edit?usp=sharing"",""หนองคาย!j238"")"),0)</f>
        <v>0</v>
      </c>
      <c r="Z49" s="77">
        <f ca="1">IFERROR(__xludf.DUMMYFUNCTION("IMPORTRANGE(""https://docs.google.com/spreadsheets/d/1XL5vhW3sbDhbH9Cz0tuDiY8C3ctxq1tqvaCgkFb8cCA/edit?usp=sharing"",""หนองคาย!j239"")"),0)</f>
        <v>0</v>
      </c>
      <c r="AA49" s="137">
        <f t="shared" ca="1" si="14"/>
        <v>0</v>
      </c>
      <c r="AB49" s="77">
        <f ca="1">IFERROR(__xludf.DUMMYFUNCTION("IMPORTRANGE(""https://docs.google.com/spreadsheets/d/1XL5vhW3sbDhbH9Cz0tuDiY8C3ctxq1tqvaCgkFb8cCA/edit?usp=sharing"",""หนองคาย!j240"")"),45)</f>
        <v>45</v>
      </c>
      <c r="AC49" s="77">
        <f ca="1">IFERROR(__xludf.DUMMYFUNCTION("IMPORTRANGE(""https://docs.google.com/spreadsheets/d/1XL5vhW3sbDhbH9Cz0tuDiY8C3ctxq1tqvaCgkFb8cCA/edit?usp=sharing"",""หนองคาย!j241"")"),645.83)</f>
        <v>645.83000000000004</v>
      </c>
      <c r="AD49" s="219">
        <f t="shared" ca="1" si="16"/>
        <v>6.9230769230769234</v>
      </c>
      <c r="AE49" s="215">
        <f ca="1">IFERROR(__xludf.DUMMYFUNCTION("IMPORTRANGE(""https://docs.google.com/spreadsheets/d/1AGHcLOeeYFL3K4b9R1dSzyJy00PE_ra89DNTVfnxSWM/edit?usp=sharing"",""รวมที่ทำกิน!AA42"")"),100)</f>
        <v>100</v>
      </c>
      <c r="AF49" s="215">
        <f ca="1">IFERROR(__xludf.DUMMYFUNCTION("IMPORTRANGE(""https://docs.google.com/spreadsheets/d/1AGHcLOeeYFL3K4b9R1dSzyJy00PE_ra89DNTVfnxSWM/edit?usp=sharing"",""รวมที่ทำกิน!AB42"")"),13)</f>
        <v>13</v>
      </c>
      <c r="AG49" s="215">
        <f ca="1">IFERROR(__xludf.DUMMYFUNCTION("IMPORTRANGE(""https://docs.google.com/spreadsheets/d/1AGHcLOeeYFL3K4b9R1dSzyJy00PE_ra89DNTVfnxSWM/edit?usp=sharing"",""รวมที่ทำกิน!AD42"")"),106.64)</f>
        <v>106.64</v>
      </c>
      <c r="AH49" s="219">
        <f t="shared" ca="1" si="101"/>
        <v>106.64</v>
      </c>
      <c r="AI49" s="215">
        <f ca="1">IFERROR(__xludf.DUMMYFUNCTION("IMPORTRANGE(""https://docs.google.com/spreadsheets/d/1AGHcLOeeYFL3K4b9R1dSzyJy00PE_ra89DNTVfnxSWM/edit?usp=sharing"",""รวมที่ทำกิน!AE42"")"),10)</f>
        <v>10</v>
      </c>
      <c r="AJ49" s="215">
        <f ca="1">IFERROR(__xludf.DUMMYFUNCTION("IMPORTRANGE(""https://docs.google.com/spreadsheets/d/1AGHcLOeeYFL3K4b9R1dSzyJy00PE_ra89DNTVfnxSWM/edit?usp=sharing"",""รวมที่ทำกิน!AF42"")"),0)</f>
        <v>0</v>
      </c>
      <c r="AK49" s="215">
        <f ca="1">IFERROR(__xludf.DUMMYFUNCTION("IMPORTRANGE(""https://docs.google.com/spreadsheets/d/1AGHcLOeeYFL3K4b9R1dSzyJy00PE_ra89DNTVfnxSWM/edit?usp=sharing"",""รวมที่ทำกิน!AH42"")"),0)</f>
        <v>0</v>
      </c>
      <c r="AL49" s="220">
        <f t="shared" ca="1" si="103"/>
        <v>0</v>
      </c>
      <c r="AM49" s="215">
        <f ca="1">IFERROR(__xludf.DUMMYFUNCTION("IMPORTRANGE(""https://docs.google.com/spreadsheets/d/1AGHcLOeeYFL3K4b9R1dSzyJy00PE_ra89DNTVfnxSWM/edit?usp=sharing"",""รวมที่ทำกิน!AI42"")"),0)</f>
        <v>0</v>
      </c>
      <c r="AN49" s="215">
        <f ca="1">IFERROR(__xludf.DUMMYFUNCTION("IMPORTRANGE(""https://docs.google.com/spreadsheets/d/1AGHcLOeeYFL3K4b9R1dSzyJy00PE_ra89DNTVfnxSWM/edit?usp=sharing"",""รวมที่ทำกิน!AK42"")"),0)</f>
        <v>0</v>
      </c>
      <c r="AO49" s="220">
        <f t="shared" ca="1" si="22"/>
        <v>0</v>
      </c>
      <c r="AP49" s="215">
        <f ca="1">IFERROR(__xludf.DUMMYFUNCTION("IMPORTRANGE(""https://docs.google.com/spreadsheets/d/1AGHcLOeeYFL3K4b9R1dSzyJy00PE_ra89DNTVfnxSWM/edit?usp=sharing"",""รวมที่ทำกิน!AL42"")"),0)</f>
        <v>0</v>
      </c>
      <c r="AQ49" s="215">
        <f ca="1">IFERROR(__xludf.DUMMYFUNCTION("IMPORTRANGE(""https://docs.google.com/spreadsheets/d/1AGHcLOeeYFL3K4b9R1dSzyJy00PE_ra89DNTVfnxSWM/edit?usp=sharing"",""รวมที่ทำกิน!AN42"")"),0)</f>
        <v>0</v>
      </c>
      <c r="AR49" s="220">
        <f t="shared" ca="1" si="24"/>
        <v>0</v>
      </c>
      <c r="AS49" s="215">
        <f ca="1">IFERROR(__xludf.DUMMYFUNCTION("IMPORTRANGE(""https://docs.google.com/spreadsheets/d/1AGHcLOeeYFL3K4b9R1dSzyJy00PE_ra89DNTVfnxSWM/edit?usp=sharing"",""รวมที่ทำกิน!AO42"")"),3276)</f>
        <v>3276</v>
      </c>
      <c r="AT49" s="215">
        <f ca="1">IFERROR(__xludf.DUMMYFUNCTION("IMPORTRANGE(""https://docs.google.com/spreadsheets/d/1AGHcLOeeYFL3K4b9R1dSzyJy00PE_ra89DNTVfnxSWM/edit?usp=sharing"",""รวมที่ทำกิน!AP42"")"),97)</f>
        <v>97</v>
      </c>
      <c r="AU49" s="215">
        <f ca="1">IFERROR(__xludf.DUMMYFUNCTION("IMPORTRANGE(""https://docs.google.com/spreadsheets/d/1AGHcLOeeYFL3K4b9R1dSzyJy00PE_ra89DNTVfnxSWM/edit?usp=sharing"",""รวมที่ทำกิน!AR42"")"),908.43)</f>
        <v>908.43</v>
      </c>
      <c r="AV49" s="220">
        <f t="shared" ca="1" si="107"/>
        <v>27.729853479853478</v>
      </c>
      <c r="AW49" s="215">
        <f ca="1">IFERROR(__xludf.DUMMYFUNCTION("IMPORTRANGE(""https://docs.google.com/spreadsheets/d/1AGHcLOeeYFL3K4b9R1dSzyJy00PE_ra89DNTVfnxSWM/edit?usp=sharing"",""รวมที่ทำกิน!AS42"")"),640)</f>
        <v>640</v>
      </c>
      <c r="AX49" s="215">
        <f ca="1">IFERROR(__xludf.DUMMYFUNCTION("IMPORTRANGE(""https://docs.google.com/spreadsheets/d/1AGHcLOeeYFL3K4b9R1dSzyJy00PE_ra89DNTVfnxSWM/edit?usp=sharing"",""รวมที่ทำกิน!AT42"")"),233)</f>
        <v>233</v>
      </c>
      <c r="AY49" s="215">
        <f ca="1">IFERROR(__xludf.DUMMYFUNCTION("IMPORTRANGE(""https://docs.google.com/spreadsheets/d/1AGHcLOeeYFL3K4b9R1dSzyJy00PE_ra89DNTVfnxSWM/edit?usp=sharing"",""รวมที่ทำกิน!AV42"")"),2858.68)</f>
        <v>2858.68</v>
      </c>
      <c r="AZ49" s="220">
        <f t="shared" ca="1" si="109"/>
        <v>36.40625</v>
      </c>
      <c r="BA49" s="215">
        <f ca="1">IFERROR(__xludf.DUMMYFUNCTION("IMPORTRANGE(""https://docs.google.com/spreadsheets/d/1AGHcLOeeYFL3K4b9R1dSzyJy00PE_ra89DNTVfnxSWM/edit?usp=sharing"",""รวมที่ทำกิน!AW42"")"),0)</f>
        <v>0</v>
      </c>
      <c r="BB49" s="215">
        <f ca="1">IFERROR(__xludf.DUMMYFUNCTION("IMPORTRANGE(""https://docs.google.com/spreadsheets/d/1AGHcLOeeYFL3K4b9R1dSzyJy00PE_ra89DNTVfnxSWM/edit?usp=sharing"",""รวมที่ทำกิน!AY42"")"),0)</f>
        <v>0</v>
      </c>
      <c r="BC49" s="220">
        <f t="shared" ca="1" si="30"/>
        <v>0</v>
      </c>
      <c r="BD49" s="215">
        <f ca="1">IFERROR(__xludf.DUMMYFUNCTION("IMPORTRANGE(""https://docs.google.com/spreadsheets/d/1AGHcLOeeYFL3K4b9R1dSzyJy00PE_ra89DNTVfnxSWM/edit?usp=sharing"",""รวมที่ทำกิน!AZ42"")"),45)</f>
        <v>45</v>
      </c>
      <c r="BE49" s="215">
        <f ca="1">IFERROR(__xludf.DUMMYFUNCTION("IMPORTRANGE(""https://docs.google.com/spreadsheets/d/1AGHcLOeeYFL3K4b9R1dSzyJy00PE_ra89DNTVfnxSWM/edit?usp=sharing"",""รวมที่ทำกิน!BB42"")"),645.83)</f>
        <v>645.83000000000004</v>
      </c>
      <c r="BF49" s="221">
        <f t="shared" ca="1" si="32"/>
        <v>7.03125</v>
      </c>
    </row>
    <row r="50" spans="1:58" ht="21" customHeight="1">
      <c r="A50" s="73">
        <v>17</v>
      </c>
      <c r="B50" s="74" t="s">
        <v>74</v>
      </c>
      <c r="C50" s="75">
        <f t="shared" ca="1" si="0"/>
        <v>1085310</v>
      </c>
      <c r="D50" s="76">
        <f t="shared" ca="1" si="127"/>
        <v>1036410</v>
      </c>
      <c r="E50" s="77">
        <f ca="1">IFERROR(__xludf.DUMMYFUNCTION("IMPORTRANGE(""https://docs.google.com/spreadsheets/d/1C3CXT74ZlgGe6_JY_1olB1XN4rF0dxEuIIF-xsYjHgg/edit?usp=sharing"",""พรบ!BX54"")"),306000)</f>
        <v>306000</v>
      </c>
      <c r="F50" s="77">
        <f ca="1">IFERROR(__xludf.DUMMYFUNCTION("IMPORTRANGE(""https://docs.google.com/spreadsheets/d/1C3CXT74ZlgGe6_JY_1olB1XN4rF0dxEuIIF-xsYjHgg/edit?usp=sharing"",""พรบ!BY54"")"),730410)</f>
        <v>730410</v>
      </c>
      <c r="G50" s="77">
        <f ca="1">IFERROR(__xludf.DUMMYFUNCTION("IMPORTRANGE(""https://docs.google.com/spreadsheets/d/1Yj_ptqi66GCucihVvJfMjLAmec39IyEx_6qawtMGysU/edit?usp=sharing"",""สบก!DJ54"")"),48900)</f>
        <v>48900</v>
      </c>
      <c r="H50" s="77">
        <f ca="1">IFERROR(__xludf.DUMMYFUNCTION("IMPORTRANGE(""https://docs.google.com/spreadsheets/d/1Yj_ptqi66GCucihVvJfMjLAmec39IyEx_6qawtMGysU/edit?usp=shDLing"",""สบก!DL54"")"),737110)</f>
        <v>737110</v>
      </c>
      <c r="I50" s="77">
        <f t="shared" ca="1" si="3"/>
        <v>579488.12</v>
      </c>
      <c r="J50" s="77">
        <f t="shared" ca="1" si="4"/>
        <v>53.393787949986638</v>
      </c>
      <c r="K50" s="77">
        <f ca="1">IFERROR(__xludf.DUMMYFUNCTION("IMPORTRANGE(""https://docs.google.com/spreadsheets/d/1Yj_ptqi66GCucihVvJfMjLAmec39IyEx_6qawtMGysU/edit?usp=sharing"",""สบก!DM54"")"),530588.12)</f>
        <v>530588.12</v>
      </c>
      <c r="L50" s="137">
        <f t="shared" ca="1" si="5"/>
        <v>51.194809004158586</v>
      </c>
      <c r="M50" s="137">
        <f t="shared" ca="1" si="6"/>
        <v>71.982217036805906</v>
      </c>
      <c r="N50" s="137">
        <f ca="1">IFERROR(__xludf.DUMMYFUNCTION("IMPORTRANGE(""https://docs.google.com/spreadsheets/d/1Yj_ptqi66GCucihVvJfMjLAmec39IyEx_6qawtMGysU/edit?usp=sharing"",""สบก!DN54"")"),48900)</f>
        <v>48900</v>
      </c>
      <c r="O50" s="137">
        <f t="shared" ca="1" si="7"/>
        <v>100</v>
      </c>
      <c r="P50" s="77">
        <f ca="1">IFERROR(__xludf.DUMMYFUNCTION("IMPORTRANGE(""https://docs.google.com/spreadsheets/d/1C3CXT74ZlgGe6_JY_1olB1XN4rF0dxEuIIF-xsYjHgg/edit?usp=sharing"",""พรบ!CA54"")"),440)</f>
        <v>440</v>
      </c>
      <c r="Q50" s="77">
        <f ca="1">IFERROR(__xludf.DUMMYFUNCTION("IMPORTRANGE(""https://docs.google.com/spreadsheets/d/1C3CXT74ZlgGe6_JY_1olB1XN4rF0dxEuIIF-xsYjHgg/edit?usp=sharing"",""พรบ!BZ54"")"),4400)</f>
        <v>4400</v>
      </c>
      <c r="R50" s="218">
        <f t="shared" ca="1" si="95"/>
        <v>264</v>
      </c>
      <c r="S50" s="77">
        <f ca="1">IFERROR(__xludf.DUMMYFUNCTION("IMPORTRANGE(""https://docs.google.com/spreadsheets/d/1XL5vhW3sbDhbH9Cz0tuDiY8C3ctxq1tqvaCgkFb8cCA/edit?usp=sharing"",""หนองบัวลำภู!j234"")"),189)</f>
        <v>189</v>
      </c>
      <c r="T50" s="77">
        <f ca="1">IFERROR(__xludf.DUMMYFUNCTION("IMPORTRANGE(""https://docs.google.com/spreadsheets/d/1XL5vhW3sbDhbH9Cz0tuDiY8C3ctxq1tqvaCgkFb8cCA/edit?usp=sharing"",""หนองบัวลำภู!j235"")"),1877.08)</f>
        <v>1877.08</v>
      </c>
      <c r="U50" s="137">
        <f t="shared" ca="1" si="10"/>
        <v>42.660909090909094</v>
      </c>
      <c r="V50" s="77">
        <f ca="1">IFERROR(__xludf.DUMMYFUNCTION("IMPORTRANGE(""https://docs.google.com/spreadsheets/d/1XL5vhW3sbDhbH9Cz0tuDiY8C3ctxq1tqvaCgkFb8cCA/edit?usp=sharing"",""หนองบัวลำภู!j236"")"),299)</f>
        <v>299</v>
      </c>
      <c r="W50" s="77">
        <f ca="1">IFERROR(__xludf.DUMMYFUNCTION("IMPORTRANGE(""https://docs.google.com/spreadsheets/d/1XL5vhW3sbDhbH9Cz0tuDiY8C3ctxq1tqvaCgkFb8cCA/edit?usp=sharing"",""หนองบัวลำภู!j237"")"),3622.13)</f>
        <v>3622.13</v>
      </c>
      <c r="X50" s="137">
        <f t="shared" ca="1" si="12"/>
        <v>67.954545454545453</v>
      </c>
      <c r="Y50" s="77">
        <f ca="1">IFERROR(__xludf.DUMMYFUNCTION("IMPORTRANGE(""https://docs.google.com/spreadsheets/d/1XL5vhW3sbDhbH9Cz0tuDiY8C3ctxq1tqvaCgkFb8cCA/edit?usp=sharing"",""หนองบัวลำภู!j238"")"),0)</f>
        <v>0</v>
      </c>
      <c r="Z50" s="77">
        <f ca="1">IFERROR(__xludf.DUMMYFUNCTION("IMPORTRANGE(""https://docs.google.com/spreadsheets/d/1XL5vhW3sbDhbH9Cz0tuDiY8C3ctxq1tqvaCgkFb8cCA/edit?usp=sharing"",""หนองบัวลำภู!j239"")"),0)</f>
        <v>0</v>
      </c>
      <c r="AA50" s="137">
        <f t="shared" ca="1" si="14"/>
        <v>0</v>
      </c>
      <c r="AB50" s="77">
        <f ca="1">IFERROR(__xludf.DUMMYFUNCTION("IMPORTRANGE(""https://docs.google.com/spreadsheets/d/1XL5vhW3sbDhbH9Cz0tuDiY8C3ctxq1tqvaCgkFb8cCA/edit?usp=sharing"",""หนองบัวลำภู!j240"")"),298)</f>
        <v>298</v>
      </c>
      <c r="AC50" s="77">
        <f ca="1">IFERROR(__xludf.DUMMYFUNCTION("IMPORTRANGE(""https://docs.google.com/spreadsheets/d/1XL5vhW3sbDhbH9Cz0tuDiY8C3ctxq1tqvaCgkFb8cCA/edit?usp=sharing"",""หนองบัวลำภู!j241"")"),3619.67)</f>
        <v>3619.67</v>
      </c>
      <c r="AD50" s="219">
        <f t="shared" ca="1" si="16"/>
        <v>67.727272727272734</v>
      </c>
      <c r="AE50" s="215">
        <f ca="1">IFERROR(__xludf.DUMMYFUNCTION("IMPORTRANGE(""https://docs.google.com/spreadsheets/d/1AGHcLOeeYFL3K4b9R1dSzyJy00PE_ra89DNTVfnxSWM/edit?usp=sharing"",""รวมที่ทำกิน!AA43"")"),1000)</f>
        <v>1000</v>
      </c>
      <c r="AF50" s="215">
        <f ca="1">IFERROR(__xludf.DUMMYFUNCTION("IMPORTRANGE(""https://docs.google.com/spreadsheets/d/1AGHcLOeeYFL3K4b9R1dSzyJy00PE_ra89DNTVfnxSWM/edit?usp=sharing"",""รวมที่ทำกิน!AB43"")"),77)</f>
        <v>77</v>
      </c>
      <c r="AG50" s="215">
        <f ca="1">IFERROR(__xludf.DUMMYFUNCTION("IMPORTRANGE(""https://docs.google.com/spreadsheets/d/1AGHcLOeeYFL3K4b9R1dSzyJy00PE_ra89DNTVfnxSWM/edit?usp=sharing"",""รวมที่ทำกิน!AD43"")"),475.24)</f>
        <v>475.24</v>
      </c>
      <c r="AH50" s="219">
        <f t="shared" ca="1" si="101"/>
        <v>47.524000000000001</v>
      </c>
      <c r="AI50" s="215">
        <f ca="1">IFERROR(__xludf.DUMMYFUNCTION("IMPORTRANGE(""https://docs.google.com/spreadsheets/d/1AGHcLOeeYFL3K4b9R1dSzyJy00PE_ra89DNTVfnxSWM/edit?usp=sharing"",""รวมที่ทำกิน!AE43"")"),80)</f>
        <v>80</v>
      </c>
      <c r="AJ50" s="215">
        <f ca="1">IFERROR(__xludf.DUMMYFUNCTION("IMPORTRANGE(""https://docs.google.com/spreadsheets/d/1AGHcLOeeYFL3K4b9R1dSzyJy00PE_ra89DNTVfnxSWM/edit?usp=sharing"",""รวมที่ทำกิน!AF43"")"),69)</f>
        <v>69</v>
      </c>
      <c r="AK50" s="215">
        <f ca="1">IFERROR(__xludf.DUMMYFUNCTION("IMPORTRANGE(""https://docs.google.com/spreadsheets/d/1AGHcLOeeYFL3K4b9R1dSzyJy00PE_ra89DNTVfnxSWM/edit?usp=sharing"",""รวมที่ทำกิน!AH43"")"),427.46)</f>
        <v>427.46</v>
      </c>
      <c r="AL50" s="220">
        <f t="shared" ca="1" si="103"/>
        <v>86.25</v>
      </c>
      <c r="AM50" s="215">
        <f ca="1">IFERROR(__xludf.DUMMYFUNCTION("IMPORTRANGE(""https://docs.google.com/spreadsheets/d/1AGHcLOeeYFL3K4b9R1dSzyJy00PE_ra89DNTVfnxSWM/edit?usp=sharing"",""รวมที่ทำกิน!AI43"")"),0)</f>
        <v>0</v>
      </c>
      <c r="AN50" s="215">
        <f ca="1">IFERROR(__xludf.DUMMYFUNCTION("IMPORTRANGE(""https://docs.google.com/spreadsheets/d/1AGHcLOeeYFL3K4b9R1dSzyJy00PE_ra89DNTVfnxSWM/edit?usp=sharing"",""รวมที่ทำกิน!AK43"")"),0)</f>
        <v>0</v>
      </c>
      <c r="AO50" s="220">
        <f t="shared" ca="1" si="22"/>
        <v>0</v>
      </c>
      <c r="AP50" s="215">
        <f ca="1">IFERROR(__xludf.DUMMYFUNCTION("IMPORTRANGE(""https://docs.google.com/spreadsheets/d/1AGHcLOeeYFL3K4b9R1dSzyJy00PE_ra89DNTVfnxSWM/edit?usp=sharing"",""รวมที่ทำกิน!AL43"")"),68)</f>
        <v>68</v>
      </c>
      <c r="AQ50" s="215">
        <f ca="1">IFERROR(__xludf.DUMMYFUNCTION("IMPORTRANGE(""https://docs.google.com/spreadsheets/d/1AGHcLOeeYFL3K4b9R1dSzyJy00PE_ra89DNTVfnxSWM/edit?usp=sharing"",""รวมที่ทำกิน!AN43"")"),425)</f>
        <v>425</v>
      </c>
      <c r="AR50" s="220">
        <f t="shared" ca="1" si="24"/>
        <v>85</v>
      </c>
      <c r="AS50" s="215">
        <f ca="1">IFERROR(__xludf.DUMMYFUNCTION("IMPORTRANGE(""https://docs.google.com/spreadsheets/d/1AGHcLOeeYFL3K4b9R1dSzyJy00PE_ra89DNTVfnxSWM/edit?usp=sharing"",""รวมที่ทำกิน!AO43"")"),3400)</f>
        <v>3400</v>
      </c>
      <c r="AT50" s="215">
        <f ca="1">IFERROR(__xludf.DUMMYFUNCTION("IMPORTRANGE(""https://docs.google.com/spreadsheets/d/1AGHcLOeeYFL3K4b9R1dSzyJy00PE_ra89DNTVfnxSWM/edit?usp=sharing"",""รวมที่ทำกิน!AP43"")"),112)</f>
        <v>112</v>
      </c>
      <c r="AU50" s="215">
        <f ca="1">IFERROR(__xludf.DUMMYFUNCTION("IMPORTRANGE(""https://docs.google.com/spreadsheets/d/1AGHcLOeeYFL3K4b9R1dSzyJy00PE_ra89DNTVfnxSWM/edit?usp=sharing"",""รวมที่ทำกิน!AR43"")"),1401.84)</f>
        <v>1401.84</v>
      </c>
      <c r="AV50" s="220">
        <f t="shared" ca="1" si="107"/>
        <v>41.230588235294121</v>
      </c>
      <c r="AW50" s="215">
        <f ca="1">IFERROR(__xludf.DUMMYFUNCTION("IMPORTRANGE(""https://docs.google.com/spreadsheets/d/1AGHcLOeeYFL3K4b9R1dSzyJy00PE_ra89DNTVfnxSWM/edit?usp=sharing"",""รวมที่ทำกิน!AS43"")"),360)</f>
        <v>360</v>
      </c>
      <c r="AX50" s="215">
        <f ca="1">IFERROR(__xludf.DUMMYFUNCTION("IMPORTRANGE(""https://docs.google.com/spreadsheets/d/1AGHcLOeeYFL3K4b9R1dSzyJy00PE_ra89DNTVfnxSWM/edit?usp=sharing"",""รวมที่ทำกิน!AT43"")"),230)</f>
        <v>230</v>
      </c>
      <c r="AY50" s="215">
        <f ca="1">IFERROR(__xludf.DUMMYFUNCTION("IMPORTRANGE(""https://docs.google.com/spreadsheets/d/1AGHcLOeeYFL3K4b9R1dSzyJy00PE_ra89DNTVfnxSWM/edit?usp=sharing"",""รวมที่ทำกิน!AV43"")"),3194.67)</f>
        <v>3194.67</v>
      </c>
      <c r="AZ50" s="220">
        <f t="shared" ca="1" si="109"/>
        <v>63.888888888888886</v>
      </c>
      <c r="BA50" s="215">
        <f ca="1">IFERROR(__xludf.DUMMYFUNCTION("IMPORTRANGE(""https://docs.google.com/spreadsheets/d/1AGHcLOeeYFL3K4b9R1dSzyJy00PE_ra89DNTVfnxSWM/edit?usp=sharing"",""รวมที่ทำกิน!AW43"")"),0)</f>
        <v>0</v>
      </c>
      <c r="BB50" s="215">
        <f ca="1">IFERROR(__xludf.DUMMYFUNCTION("IMPORTRANGE(""https://docs.google.com/spreadsheets/d/1AGHcLOeeYFL3K4b9R1dSzyJy00PE_ra89DNTVfnxSWM/edit?usp=sharing"",""รวมที่ทำกิน!AY43"")"),0)</f>
        <v>0</v>
      </c>
      <c r="BC50" s="220">
        <f t="shared" ca="1" si="30"/>
        <v>0</v>
      </c>
      <c r="BD50" s="215">
        <f ca="1">IFERROR(__xludf.DUMMYFUNCTION("IMPORTRANGE(""https://docs.google.com/spreadsheets/d/1AGHcLOeeYFL3K4b9R1dSzyJy00PE_ra89DNTVfnxSWM/edit?usp=sharing"",""รวมที่ทำกิน!AZ43"")"),230)</f>
        <v>230</v>
      </c>
      <c r="BE50" s="215">
        <f ca="1">IFERROR(__xludf.DUMMYFUNCTION("IMPORTRANGE(""https://docs.google.com/spreadsheets/d/1AGHcLOeeYFL3K4b9R1dSzyJy00PE_ra89DNTVfnxSWM/edit?usp=sharing"",""รวมที่ทำกิน!BB43"")"),3194.67)</f>
        <v>3194.67</v>
      </c>
      <c r="BF50" s="221">
        <f t="shared" ca="1" si="32"/>
        <v>63.888888888888886</v>
      </c>
    </row>
    <row r="51" spans="1:58" ht="21" customHeight="1">
      <c r="A51" s="73">
        <v>18</v>
      </c>
      <c r="B51" s="74" t="s">
        <v>75</v>
      </c>
      <c r="C51" s="75">
        <f t="shared" ca="1" si="0"/>
        <v>645030</v>
      </c>
      <c r="D51" s="76">
        <f t="shared" ca="1" si="127"/>
        <v>608530</v>
      </c>
      <c r="E51" s="77">
        <f ca="1">IFERROR(__xludf.DUMMYFUNCTION("IMPORTRANGE(""https://docs.google.com/spreadsheets/d/1C3CXT74ZlgGe6_JY_1olB1XN4rF0dxEuIIF-xsYjHgg/edit?usp=sharing"",""พรบ!BX55"")"),306000)</f>
        <v>306000</v>
      </c>
      <c r="F51" s="77">
        <f ca="1">IFERROR(__xludf.DUMMYFUNCTION("IMPORTRANGE(""https://docs.google.com/spreadsheets/d/1C3CXT74ZlgGe6_JY_1olB1XN4rF0dxEuIIF-xsYjHgg/edit?usp=sharing"",""พรบ!BY55"")"),302530)</f>
        <v>302530</v>
      </c>
      <c r="G51" s="77">
        <f ca="1">IFERROR(__xludf.DUMMYFUNCTION("IMPORTRANGE(""https://docs.google.com/spreadsheets/d/1Yj_ptqi66GCucihVvJfMjLAmec39IyEx_6qawtMGysU/edit?usp=sharing"",""สบก!DJ55"")"),36500)</f>
        <v>36500</v>
      </c>
      <c r="H51" s="77">
        <f ca="1">IFERROR(__xludf.DUMMYFUNCTION("IMPORTRANGE(""https://docs.google.com/spreadsheets/d/1Yj_ptqi66GCucihVvJfMjLAmec39IyEx_6qawtMGysU/edit?usp=shDLing"",""สบก!DL55"")"),441770)</f>
        <v>441770</v>
      </c>
      <c r="I51" s="77">
        <f t="shared" ca="1" si="3"/>
        <v>330405</v>
      </c>
      <c r="J51" s="77">
        <f t="shared" ca="1" si="4"/>
        <v>51.223198920980423</v>
      </c>
      <c r="K51" s="77">
        <f ca="1">IFERROR(__xludf.DUMMYFUNCTION("IMPORTRANGE(""https://docs.google.com/spreadsheets/d/1Yj_ptqi66GCucihVvJfMjLAmec39IyEx_6qawtMGysU/edit?usp=sharing"",""สบก!DM55"")"),293905)</f>
        <v>293905</v>
      </c>
      <c r="L51" s="137">
        <f t="shared" ca="1" si="5"/>
        <v>48.297536686769753</v>
      </c>
      <c r="M51" s="137">
        <f t="shared" ca="1" si="6"/>
        <v>66.528963035063498</v>
      </c>
      <c r="N51" s="137">
        <f ca="1">IFERROR(__xludf.DUMMYFUNCTION("IMPORTRANGE(""https://docs.google.com/spreadsheets/d/1Yj_ptqi66GCucihVvJfMjLAmec39IyEx_6qawtMGysU/edit?usp=sharing"",""สบก!DN55"")"),36500)</f>
        <v>36500</v>
      </c>
      <c r="O51" s="137">
        <f t="shared" ca="1" si="7"/>
        <v>100</v>
      </c>
      <c r="P51" s="77">
        <f ca="1">IFERROR(__xludf.DUMMYFUNCTION("IMPORTRANGE(""https://docs.google.com/spreadsheets/d/1C3CXT74ZlgGe6_JY_1olB1XN4rF0dxEuIIF-xsYjHgg/edit?usp=sharing"",""พรบ!CA55"")"),190)</f>
        <v>190</v>
      </c>
      <c r="Q51" s="77">
        <f ca="1">IFERROR(__xludf.DUMMYFUNCTION("IMPORTRANGE(""https://docs.google.com/spreadsheets/d/1C3CXT74ZlgGe6_JY_1olB1XN4rF0dxEuIIF-xsYjHgg/edit?usp=sharing"",""พรบ!BZ55"")"),1300)</f>
        <v>1300</v>
      </c>
      <c r="R51" s="218">
        <f t="shared" ca="1" si="95"/>
        <v>114</v>
      </c>
      <c r="S51" s="77">
        <f ca="1">IFERROR(__xludf.DUMMYFUNCTION("IMPORTRANGE(""https://docs.google.com/spreadsheets/d/1XL5vhW3sbDhbH9Cz0tuDiY8C3ctxq1tqvaCgkFb8cCA/edit?usp=sharing"",""อำนาจเจริญ!j234"")"),131)</f>
        <v>131</v>
      </c>
      <c r="T51" s="77">
        <f ca="1">IFERROR(__xludf.DUMMYFUNCTION("IMPORTRANGE(""https://docs.google.com/spreadsheets/d/1XL5vhW3sbDhbH9Cz0tuDiY8C3ctxq1tqvaCgkFb8cCA/edit?usp=sharing"",""อำนาจเจริญ!j235"")"),1337.11)</f>
        <v>1337.11</v>
      </c>
      <c r="U51" s="137">
        <f t="shared" ca="1" si="10"/>
        <v>102.85461538461539</v>
      </c>
      <c r="V51" s="77">
        <f ca="1">IFERROR(__xludf.DUMMYFUNCTION("IMPORTRANGE(""https://docs.google.com/spreadsheets/d/1XL5vhW3sbDhbH9Cz0tuDiY8C3ctxq1tqvaCgkFb8cCA/edit?usp=sharing"",""อำนาจเจริญ!j236"")"),173)</f>
        <v>173</v>
      </c>
      <c r="W51" s="77">
        <f ca="1">IFERROR(__xludf.DUMMYFUNCTION("IMPORTRANGE(""https://docs.google.com/spreadsheets/d/1XL5vhW3sbDhbH9Cz0tuDiY8C3ctxq1tqvaCgkFb8cCA/edit?usp=sharing"",""อำนาจเจริญ!j237"")"),1635.36)</f>
        <v>1635.36</v>
      </c>
      <c r="X51" s="137">
        <f t="shared" ca="1" si="12"/>
        <v>91.05263157894737</v>
      </c>
      <c r="Y51" s="77">
        <f ca="1">IFERROR(__xludf.DUMMYFUNCTION("IMPORTRANGE(""https://docs.google.com/spreadsheets/d/1XL5vhW3sbDhbH9Cz0tuDiY8C3ctxq1tqvaCgkFb8cCA/edit?usp=sharing"",""อำนาจเจริญ!j238"")"),9)</f>
        <v>9</v>
      </c>
      <c r="Z51" s="77">
        <f ca="1">IFERROR(__xludf.DUMMYFUNCTION("IMPORTRANGE(""https://docs.google.com/spreadsheets/d/1XL5vhW3sbDhbH9Cz0tuDiY8C3ctxq1tqvaCgkFb8cCA/edit?usp=sharing"",""อำนาจเจริญ!j239"")"),56.88)</f>
        <v>56.88</v>
      </c>
      <c r="AA51" s="137">
        <f t="shared" ca="1" si="14"/>
        <v>4.7368421052631575</v>
      </c>
      <c r="AB51" s="77">
        <f ca="1">IFERROR(__xludf.DUMMYFUNCTION("IMPORTRANGE(""https://docs.google.com/spreadsheets/d/1XL5vhW3sbDhbH9Cz0tuDiY8C3ctxq1tqvaCgkFb8cCA/edit?usp=sharing"",""อำนาจเจริญ!j240"")"),157)</f>
        <v>157</v>
      </c>
      <c r="AC51" s="77">
        <f ca="1">IFERROR(__xludf.DUMMYFUNCTION("IMPORTRANGE(""https://docs.google.com/spreadsheets/d/1XL5vhW3sbDhbH9Cz0tuDiY8C3ctxq1tqvaCgkFb8cCA/edit?usp=sharing"",""อำนาจเจริญ!j241"")"),1446.93999999999)</f>
        <v>1446.9399999999901</v>
      </c>
      <c r="AD51" s="219">
        <f t="shared" ca="1" si="16"/>
        <v>82.631578947368425</v>
      </c>
      <c r="AE51" s="215">
        <f ca="1">IFERROR(__xludf.DUMMYFUNCTION("IMPORTRANGE(""https://docs.google.com/spreadsheets/d/1AGHcLOeeYFL3K4b9R1dSzyJy00PE_ra89DNTVfnxSWM/edit?usp=sharing"",""รวมที่ทำกิน!AA44"")"),500)</f>
        <v>500</v>
      </c>
      <c r="AF51" s="215">
        <f ca="1">IFERROR(__xludf.DUMMYFUNCTION("IMPORTRANGE(""https://docs.google.com/spreadsheets/d/1AGHcLOeeYFL3K4b9R1dSzyJy00PE_ra89DNTVfnxSWM/edit?usp=sharing"",""รวมที่ทำกิน!AB44"")"),46)</f>
        <v>46</v>
      </c>
      <c r="AG51" s="215">
        <f ca="1">IFERROR(__xludf.DUMMYFUNCTION("IMPORTRANGE(""https://docs.google.com/spreadsheets/d/1AGHcLOeeYFL3K4b9R1dSzyJy00PE_ra89DNTVfnxSWM/edit?usp=sharing"",""รวมที่ทำกิน!AD44"")"),492.8)</f>
        <v>492.8</v>
      </c>
      <c r="AH51" s="219">
        <f t="shared" ca="1" si="101"/>
        <v>98.56</v>
      </c>
      <c r="AI51" s="215">
        <f ca="1">IFERROR(__xludf.DUMMYFUNCTION("IMPORTRANGE(""https://docs.google.com/spreadsheets/d/1AGHcLOeeYFL3K4b9R1dSzyJy00PE_ra89DNTVfnxSWM/edit?usp=sharing"",""รวมที่ทำกิน!AE44"")"),60)</f>
        <v>60</v>
      </c>
      <c r="AJ51" s="215">
        <f ca="1">IFERROR(__xludf.DUMMYFUNCTION("IMPORTRANGE(""https://docs.google.com/spreadsheets/d/1AGHcLOeeYFL3K4b9R1dSzyJy00PE_ra89DNTVfnxSWM/edit?usp=sharing"",""รวมที่ทำกิน!AF44"")"),0)</f>
        <v>0</v>
      </c>
      <c r="AK51" s="215">
        <f ca="1">IFERROR(__xludf.DUMMYFUNCTION("IMPORTRANGE(""https://docs.google.com/spreadsheets/d/1AGHcLOeeYFL3K4b9R1dSzyJy00PE_ra89DNTVfnxSWM/edit?usp=sharing"",""รวมที่ทำกิน!AH44"")"),0)</f>
        <v>0</v>
      </c>
      <c r="AL51" s="220">
        <f t="shared" ca="1" si="103"/>
        <v>0</v>
      </c>
      <c r="AM51" s="215">
        <f ca="1">IFERROR(__xludf.DUMMYFUNCTION("IMPORTRANGE(""https://docs.google.com/spreadsheets/d/1AGHcLOeeYFL3K4b9R1dSzyJy00PE_ra89DNTVfnxSWM/edit?usp=sharing"",""รวมที่ทำกิน!AI44"")"),0)</f>
        <v>0</v>
      </c>
      <c r="AN51" s="215">
        <f ca="1">IFERROR(__xludf.DUMMYFUNCTION("IMPORTRANGE(""https://docs.google.com/spreadsheets/d/1AGHcLOeeYFL3K4b9R1dSzyJy00PE_ra89DNTVfnxSWM/edit?usp=sharing"",""รวมที่ทำกิน!AK44"")"),0)</f>
        <v>0</v>
      </c>
      <c r="AO51" s="220">
        <f t="shared" ca="1" si="22"/>
        <v>0</v>
      </c>
      <c r="AP51" s="215">
        <f ca="1">IFERROR(__xludf.DUMMYFUNCTION("IMPORTRANGE(""https://docs.google.com/spreadsheets/d/1AGHcLOeeYFL3K4b9R1dSzyJy00PE_ra89DNTVfnxSWM/edit?usp=sharing"",""รวมที่ทำกิน!AL44"")"),2)</f>
        <v>2</v>
      </c>
      <c r="AQ51" s="215">
        <f ca="1">IFERROR(__xludf.DUMMYFUNCTION("IMPORTRANGE(""https://docs.google.com/spreadsheets/d/1AGHcLOeeYFL3K4b9R1dSzyJy00PE_ra89DNTVfnxSWM/edit?usp=sharing"",""รวมที่ทำกิน!AN44"")"),25.57)</f>
        <v>25.57</v>
      </c>
      <c r="AR51" s="220">
        <f t="shared" ca="1" si="24"/>
        <v>3.3333333333333335</v>
      </c>
      <c r="AS51" s="215">
        <f ca="1">IFERROR(__xludf.DUMMYFUNCTION("IMPORTRANGE(""https://docs.google.com/spreadsheets/d/1AGHcLOeeYFL3K4b9R1dSzyJy00PE_ra89DNTVfnxSWM/edit?usp=sharing"",""รวมที่ทำกิน!AO44"")"),800)</f>
        <v>800</v>
      </c>
      <c r="AT51" s="215">
        <f ca="1">IFERROR(__xludf.DUMMYFUNCTION("IMPORTRANGE(""https://docs.google.com/spreadsheets/d/1AGHcLOeeYFL3K4b9R1dSzyJy00PE_ra89DNTVfnxSWM/edit?usp=sharing"",""รวมที่ทำกิน!AP44"")"),85)</f>
        <v>85</v>
      </c>
      <c r="AU51" s="215">
        <f ca="1">IFERROR(__xludf.DUMMYFUNCTION("IMPORTRANGE(""https://docs.google.com/spreadsheets/d/1AGHcLOeeYFL3K4b9R1dSzyJy00PE_ra89DNTVfnxSWM/edit?usp=sharing"",""รวมที่ทำกิน!AR44"")"),844.31)</f>
        <v>844.31</v>
      </c>
      <c r="AV51" s="220">
        <f t="shared" ca="1" si="107"/>
        <v>105.53874999999999</v>
      </c>
      <c r="AW51" s="215">
        <f ca="1">IFERROR(__xludf.DUMMYFUNCTION("IMPORTRANGE(""https://docs.google.com/spreadsheets/d/1AGHcLOeeYFL3K4b9R1dSzyJy00PE_ra89DNTVfnxSWM/edit?usp=sharing"",""รวมที่ทำกิน!AS44"")"),130)</f>
        <v>130</v>
      </c>
      <c r="AX51" s="215">
        <f ca="1">IFERROR(__xludf.DUMMYFUNCTION("IMPORTRANGE(""https://docs.google.com/spreadsheets/d/1AGHcLOeeYFL3K4b9R1dSzyJy00PE_ra89DNTVfnxSWM/edit?usp=sharing"",""รวมที่ทำกิน!AT44"")"),173)</f>
        <v>173</v>
      </c>
      <c r="AY51" s="215">
        <f ca="1">IFERROR(__xludf.DUMMYFUNCTION("IMPORTRANGE(""https://docs.google.com/spreadsheets/d/1AGHcLOeeYFL3K4b9R1dSzyJy00PE_ra89DNTVfnxSWM/edit?usp=sharing"",""รวมที่ทำกิน!AV44"")"),1635.36)</f>
        <v>1635.36</v>
      </c>
      <c r="AZ51" s="220">
        <f t="shared" ca="1" si="109"/>
        <v>133.07692307692307</v>
      </c>
      <c r="BA51" s="215">
        <f ca="1">IFERROR(__xludf.DUMMYFUNCTION("IMPORTRANGE(""https://docs.google.com/spreadsheets/d/1AGHcLOeeYFL3K4b9R1dSzyJy00PE_ra89DNTVfnxSWM/edit?usp=sharing"",""รวมที่ทำกิน!AW44"")"),9)</f>
        <v>9</v>
      </c>
      <c r="BB51" s="215">
        <f ca="1">IFERROR(__xludf.DUMMYFUNCTION("IMPORTRANGE(""https://docs.google.com/spreadsheets/d/1AGHcLOeeYFL3K4b9R1dSzyJy00PE_ra89DNTVfnxSWM/edit?usp=sharing"",""รวมที่ทำกิน!AY44"")"),56.88)</f>
        <v>56.88</v>
      </c>
      <c r="BC51" s="220">
        <f t="shared" ca="1" si="30"/>
        <v>6.9230769230769234</v>
      </c>
      <c r="BD51" s="215">
        <f ca="1">IFERROR(__xludf.DUMMYFUNCTION("IMPORTRANGE(""https://docs.google.com/spreadsheets/d/1AGHcLOeeYFL3K4b9R1dSzyJy00PE_ra89DNTVfnxSWM/edit?usp=sharing"",""รวมที่ทำกิน!AZ44"")"),155)</f>
        <v>155</v>
      </c>
      <c r="BE51" s="215">
        <f ca="1">IFERROR(__xludf.DUMMYFUNCTION("IMPORTRANGE(""https://docs.google.com/spreadsheets/d/1AGHcLOeeYFL3K4b9R1dSzyJy00PE_ra89DNTVfnxSWM/edit?usp=sharing"",""รวมที่ทำกิน!BB44"")"),1421.37)</f>
        <v>1421.37</v>
      </c>
      <c r="BF51" s="221">
        <f t="shared" ca="1" si="32"/>
        <v>119.23076923076923</v>
      </c>
    </row>
    <row r="52" spans="1:58" ht="21" customHeight="1">
      <c r="A52" s="73">
        <v>19</v>
      </c>
      <c r="B52" s="74" t="s">
        <v>76</v>
      </c>
      <c r="C52" s="75">
        <f t="shared" ca="1" si="0"/>
        <v>1970220</v>
      </c>
      <c r="D52" s="76">
        <f t="shared" ca="1" si="127"/>
        <v>1831220</v>
      </c>
      <c r="E52" s="77">
        <f ca="1">IFERROR(__xludf.DUMMYFUNCTION("IMPORTRANGE(""https://docs.google.com/spreadsheets/d/1C3CXT74ZlgGe6_JY_1olB1XN4rF0dxEuIIF-xsYjHgg/edit?usp=sharing"",""พรบ!BX56"")"),306000)</f>
        <v>306000</v>
      </c>
      <c r="F52" s="77">
        <f ca="1">IFERROR(__xludf.DUMMYFUNCTION("IMPORTRANGE(""https://docs.google.com/spreadsheets/d/1C3CXT74ZlgGe6_JY_1olB1XN4rF0dxEuIIF-xsYjHgg/edit?usp=sharing"",""พรบ!BY56"")"),1525220)</f>
        <v>1525220</v>
      </c>
      <c r="G52" s="77">
        <f ca="1">IFERROR(__xludf.DUMMYFUNCTION("IMPORTRANGE(""https://docs.google.com/spreadsheets/d/1Yj_ptqi66GCucihVvJfMjLAmec39IyEx_6qawtMGysU/edit?usp=sharing"",""สบก!DJ56"")"),139000)</f>
        <v>139000</v>
      </c>
      <c r="H52" s="77">
        <f ca="1">IFERROR(__xludf.DUMMYFUNCTION("IMPORTRANGE(""https://docs.google.com/spreadsheets/d/1Yj_ptqi66GCucihVvJfMjLAmec39IyEx_6qawtMGysU/edit?usp=shDLing"",""สบก!DL56"")"),1405070)</f>
        <v>1405070</v>
      </c>
      <c r="I52" s="77">
        <f t="shared" ca="1" si="3"/>
        <v>1245628.19</v>
      </c>
      <c r="J52" s="77">
        <f t="shared" ca="1" si="4"/>
        <v>63.22279694653389</v>
      </c>
      <c r="K52" s="77">
        <f ca="1">IFERROR(__xludf.DUMMYFUNCTION("IMPORTRANGE(""https://docs.google.com/spreadsheets/d/1Yj_ptqi66GCucihVvJfMjLAmec39IyEx_6qawtMGysU/edit?usp=sharing"",""สบก!DM56"")"),1106628.19)</f>
        <v>1106628.19</v>
      </c>
      <c r="L52" s="137">
        <f t="shared" ca="1" si="5"/>
        <v>60.43119832679853</v>
      </c>
      <c r="M52" s="137">
        <f t="shared" ca="1" si="6"/>
        <v>78.75964827375148</v>
      </c>
      <c r="N52" s="137">
        <f ca="1">IFERROR(__xludf.DUMMYFUNCTION("IMPORTRANGE(""https://docs.google.com/spreadsheets/d/1Yj_ptqi66GCucihVvJfMjLAmec39IyEx_6qawtMGysU/edit?usp=sharing"",""สบก!DN56"")"),139000)</f>
        <v>139000</v>
      </c>
      <c r="O52" s="137">
        <f t="shared" ca="1" si="7"/>
        <v>100</v>
      </c>
      <c r="P52" s="77">
        <f ca="1">IFERROR(__xludf.DUMMYFUNCTION("IMPORTRANGE(""https://docs.google.com/spreadsheets/d/1C3CXT74ZlgGe6_JY_1olB1XN4rF0dxEuIIF-xsYjHgg/edit?usp=sharing"",""พรบ!CA56"")"),1060)</f>
        <v>1060</v>
      </c>
      <c r="Q52" s="77">
        <f ca="1">IFERROR(__xludf.DUMMYFUNCTION("IMPORTRANGE(""https://docs.google.com/spreadsheets/d/1C3CXT74ZlgGe6_JY_1olB1XN4rF0dxEuIIF-xsYjHgg/edit?usp=sharing"",""พรบ!BZ56"")"),12500)</f>
        <v>12500</v>
      </c>
      <c r="R52" s="218">
        <f t="shared" ca="1" si="95"/>
        <v>636</v>
      </c>
      <c r="S52" s="77">
        <f ca="1">IFERROR(__xludf.DUMMYFUNCTION("IMPORTRANGE(""https://docs.google.com/spreadsheets/d/1XL5vhW3sbDhbH9Cz0tuDiY8C3ctxq1tqvaCgkFb8cCA/edit?usp=sharing"",""อุดรธานี!j234"")"),746)</f>
        <v>746</v>
      </c>
      <c r="T52" s="77">
        <f ca="1">IFERROR(__xludf.DUMMYFUNCTION("IMPORTRANGE(""https://docs.google.com/spreadsheets/d/1XL5vhW3sbDhbH9Cz0tuDiY8C3ctxq1tqvaCgkFb8cCA/edit?usp=sharing"",""อุดรธานี!j235"")"),7842.65)</f>
        <v>7842.65</v>
      </c>
      <c r="U52" s="137">
        <f t="shared" ca="1" si="10"/>
        <v>62.741199999999999</v>
      </c>
      <c r="V52" s="77">
        <f ca="1">IFERROR(__xludf.DUMMYFUNCTION("IMPORTRANGE(""https://docs.google.com/spreadsheets/d/1XL5vhW3sbDhbH9Cz0tuDiY8C3ctxq1tqvaCgkFb8cCA/edit?usp=sharing"",""อุดรธานี!j236"")"),1241)</f>
        <v>1241</v>
      </c>
      <c r="W52" s="77">
        <f ca="1">IFERROR(__xludf.DUMMYFUNCTION("IMPORTRANGE(""https://docs.google.com/spreadsheets/d/1XL5vhW3sbDhbH9Cz0tuDiY8C3ctxq1tqvaCgkFb8cCA/edit?usp=sharing"",""อุดรธานี!j237"")"),20073.47)</f>
        <v>20073.47</v>
      </c>
      <c r="X52" s="137">
        <f t="shared" ca="1" si="12"/>
        <v>117.0754716981132</v>
      </c>
      <c r="Y52" s="77">
        <f ca="1">IFERROR(__xludf.DUMMYFUNCTION("IMPORTRANGE(""https://docs.google.com/spreadsheets/d/1XL5vhW3sbDhbH9Cz0tuDiY8C3ctxq1tqvaCgkFb8cCA/edit?usp=sharing"",""อุดรธานี!j238"")"),527)</f>
        <v>527</v>
      </c>
      <c r="Z52" s="77">
        <f ca="1">IFERROR(__xludf.DUMMYFUNCTION("IMPORTRANGE(""https://docs.google.com/spreadsheets/d/1XL5vhW3sbDhbH9Cz0tuDiY8C3ctxq1tqvaCgkFb8cCA/edit?usp=sharing"",""อุดรธานี!j239"")"),5968.12)</f>
        <v>5968.12</v>
      </c>
      <c r="AA52" s="137">
        <f t="shared" ca="1" si="14"/>
        <v>49.716981132075475</v>
      </c>
      <c r="AB52" s="77">
        <f ca="1">IFERROR(__xludf.DUMMYFUNCTION("IMPORTRANGE(""https://docs.google.com/spreadsheets/d/1XL5vhW3sbDhbH9Cz0tuDiY8C3ctxq1tqvaCgkFb8cCA/edit?usp=sharing"",""อุดรธานี!j240"")"),566)</f>
        <v>566</v>
      </c>
      <c r="AC52" s="77">
        <f ca="1">IFERROR(__xludf.DUMMYFUNCTION("IMPORTRANGE(""https://docs.google.com/spreadsheets/d/1XL5vhW3sbDhbH9Cz0tuDiY8C3ctxq1tqvaCgkFb8cCA/edit?usp=sharing"",""อุดรธานี!j241"")"),6535.46)</f>
        <v>6535.46</v>
      </c>
      <c r="AD52" s="219">
        <f t="shared" ca="1" si="16"/>
        <v>53.39622641509434</v>
      </c>
      <c r="AE52" s="215">
        <f ca="1">IFERROR(__xludf.DUMMYFUNCTION("IMPORTRANGE(""https://docs.google.com/spreadsheets/d/1AGHcLOeeYFL3K4b9R1dSzyJy00PE_ra89DNTVfnxSWM/edit?usp=sharing"",""รวมที่ทำกิน!AA45"")"),7000)</f>
        <v>7000</v>
      </c>
      <c r="AF52" s="215">
        <f ca="1">IFERROR(__xludf.DUMMYFUNCTION("IMPORTRANGE(""https://docs.google.com/spreadsheets/d/1AGHcLOeeYFL3K4b9R1dSzyJy00PE_ra89DNTVfnxSWM/edit?usp=sharing"",""รวมที่ทำกิน!AB45"")"),422)</f>
        <v>422</v>
      </c>
      <c r="AG52" s="215">
        <f ca="1">IFERROR(__xludf.DUMMYFUNCTION("IMPORTRANGE(""https://docs.google.com/spreadsheets/d/1AGHcLOeeYFL3K4b9R1dSzyJy00PE_ra89DNTVfnxSWM/edit?usp=sharing"",""รวมที่ทำกิน!AD45"")"),5003.95)</f>
        <v>5003.95</v>
      </c>
      <c r="AH52" s="219">
        <f t="shared" ca="1" si="101"/>
        <v>71.484999999999999</v>
      </c>
      <c r="AI52" s="215">
        <f ca="1">IFERROR(__xludf.DUMMYFUNCTION("IMPORTRANGE(""https://docs.google.com/spreadsheets/d/1AGHcLOeeYFL3K4b9R1dSzyJy00PE_ra89DNTVfnxSWM/edit?usp=sharing"",""รวมที่ทำกิน!AE45"")"),580)</f>
        <v>580</v>
      </c>
      <c r="AJ52" s="215">
        <f ca="1">IFERROR(__xludf.DUMMYFUNCTION("IMPORTRANGE(""https://docs.google.com/spreadsheets/d/1AGHcLOeeYFL3K4b9R1dSzyJy00PE_ra89DNTVfnxSWM/edit?usp=sharing"",""รวมที่ทำกิน!AF45"")"),304)</f>
        <v>304</v>
      </c>
      <c r="AK52" s="215">
        <f ca="1">IFERROR(__xludf.DUMMYFUNCTION("IMPORTRANGE(""https://docs.google.com/spreadsheets/d/1AGHcLOeeYFL3K4b9R1dSzyJy00PE_ra89DNTVfnxSWM/edit?usp=sharing"",""รวมที่ทำกิน!AH45"")"),3555.73)</f>
        <v>3555.73</v>
      </c>
      <c r="AL52" s="220">
        <f t="shared" ca="1" si="103"/>
        <v>52.413793103448278</v>
      </c>
      <c r="AM52" s="215">
        <f ca="1">IFERROR(__xludf.DUMMYFUNCTION("IMPORTRANGE(""https://docs.google.com/spreadsheets/d/1AGHcLOeeYFL3K4b9R1dSzyJy00PE_ra89DNTVfnxSWM/edit?usp=sharing"",""รวมที่ทำกิน!AI45"")"),3)</f>
        <v>3</v>
      </c>
      <c r="AN52" s="215">
        <f ca="1">IFERROR(__xludf.DUMMYFUNCTION("IMPORTRANGE(""https://docs.google.com/spreadsheets/d/1AGHcLOeeYFL3K4b9R1dSzyJy00PE_ra89DNTVfnxSWM/edit?usp=sharing"",""รวมที่ทำกิน!AK45"")"),9.86)</f>
        <v>9.86</v>
      </c>
      <c r="AO52" s="220">
        <f t="shared" ca="1" si="22"/>
        <v>0.51724137931034486</v>
      </c>
      <c r="AP52" s="215">
        <f ca="1">IFERROR(__xludf.DUMMYFUNCTION("IMPORTRANGE(""https://docs.google.com/spreadsheets/d/1AGHcLOeeYFL3K4b9R1dSzyJy00PE_ra89DNTVfnxSWM/edit?usp=sharing"",""รวมที่ทำกิน!AL45"")"),0)</f>
        <v>0</v>
      </c>
      <c r="AQ52" s="215">
        <f ca="1">IFERROR(__xludf.DUMMYFUNCTION("IMPORTRANGE(""https://docs.google.com/spreadsheets/d/1AGHcLOeeYFL3K4b9R1dSzyJy00PE_ra89DNTVfnxSWM/edit?usp=sharing"",""รวมที่ทำกิน!AN45"")"),0)</f>
        <v>0</v>
      </c>
      <c r="AR52" s="220">
        <f t="shared" ca="1" si="24"/>
        <v>0</v>
      </c>
      <c r="AS52" s="215">
        <f ca="1">IFERROR(__xludf.DUMMYFUNCTION("IMPORTRANGE(""https://docs.google.com/spreadsheets/d/1AGHcLOeeYFL3K4b9R1dSzyJy00PE_ra89DNTVfnxSWM/edit?usp=sharing"",""รวมที่ทำกิน!AO45"")"),5500)</f>
        <v>5500</v>
      </c>
      <c r="AT52" s="215">
        <f ca="1">IFERROR(__xludf.DUMMYFUNCTION("IMPORTRANGE(""https://docs.google.com/spreadsheets/d/1AGHcLOeeYFL3K4b9R1dSzyJy00PE_ra89DNTVfnxSWM/edit?usp=sharing"",""รวมที่ทำกิน!AP45"")"),324)</f>
        <v>324</v>
      </c>
      <c r="AU52" s="215">
        <f ca="1">IFERROR(__xludf.DUMMYFUNCTION("IMPORTRANGE(""https://docs.google.com/spreadsheets/d/1AGHcLOeeYFL3K4b9R1dSzyJy00PE_ra89DNTVfnxSWM/edit?usp=sharing"",""รวมที่ทำกิน!AR45"")"),2838.7)</f>
        <v>2838.7</v>
      </c>
      <c r="AV52" s="220">
        <f t="shared" ca="1" si="107"/>
        <v>51.61272727272727</v>
      </c>
      <c r="AW52" s="215">
        <f ca="1">IFERROR(__xludf.DUMMYFUNCTION("IMPORTRANGE(""https://docs.google.com/spreadsheets/d/1AGHcLOeeYFL3K4b9R1dSzyJy00PE_ra89DNTVfnxSWM/edit?usp=sharing"",""รวมที่ทำกิน!AS45"")"),480)</f>
        <v>480</v>
      </c>
      <c r="AX52" s="215">
        <f ca="1">IFERROR(__xludf.DUMMYFUNCTION("IMPORTRANGE(""https://docs.google.com/spreadsheets/d/1AGHcLOeeYFL3K4b9R1dSzyJy00PE_ra89DNTVfnxSWM/edit?usp=sharing"",""รวมที่ทำกิน!AT45"")"),937)</f>
        <v>937</v>
      </c>
      <c r="AY52" s="215">
        <f ca="1">IFERROR(__xludf.DUMMYFUNCTION("IMPORTRANGE(""https://docs.google.com/spreadsheets/d/1AGHcLOeeYFL3K4b9R1dSzyJy00PE_ra89DNTVfnxSWM/edit?usp=sharing"",""รวมที่ทำกิน!AV45"")"),16517.74)</f>
        <v>16517.740000000002</v>
      </c>
      <c r="AZ52" s="220">
        <f t="shared" ca="1" si="109"/>
        <v>195.20833333333334</v>
      </c>
      <c r="BA52" s="215">
        <f ca="1">IFERROR(__xludf.DUMMYFUNCTION("IMPORTRANGE(""https://docs.google.com/spreadsheets/d/1AGHcLOeeYFL3K4b9R1dSzyJy00PE_ra89DNTVfnxSWM/edit?usp=sharing"",""รวมที่ทำกิน!AW45"")"),524)</f>
        <v>524</v>
      </c>
      <c r="BB52" s="215">
        <f ca="1">IFERROR(__xludf.DUMMYFUNCTION("IMPORTRANGE(""https://docs.google.com/spreadsheets/d/1AGHcLOeeYFL3K4b9R1dSzyJy00PE_ra89DNTVfnxSWM/edit?usp=sharing"",""รวมที่ทำกิน!AY45"")"),5958.26)</f>
        <v>5958.26</v>
      </c>
      <c r="BC52" s="220">
        <f t="shared" ca="1" si="30"/>
        <v>109.16666666666667</v>
      </c>
      <c r="BD52" s="215">
        <f ca="1">IFERROR(__xludf.DUMMYFUNCTION("IMPORTRANGE(""https://docs.google.com/spreadsheets/d/1AGHcLOeeYFL3K4b9R1dSzyJy00PE_ra89DNTVfnxSWM/edit?usp=sharing"",""รวมที่ทำกิน!AZ45"")"),566)</f>
        <v>566</v>
      </c>
      <c r="BE52" s="215">
        <f ca="1">IFERROR(__xludf.DUMMYFUNCTION("IMPORTRANGE(""https://docs.google.com/spreadsheets/d/1AGHcLOeeYFL3K4b9R1dSzyJy00PE_ra89DNTVfnxSWM/edit?usp=sharing"",""รวมที่ทำกิน!BB45"")"),6535.46)</f>
        <v>6535.46</v>
      </c>
      <c r="BF52" s="221">
        <f t="shared" ca="1" si="32"/>
        <v>117.91666666666667</v>
      </c>
    </row>
    <row r="53" spans="1:58" ht="21" customHeight="1">
      <c r="A53" s="84">
        <v>20</v>
      </c>
      <c r="B53" s="85" t="s">
        <v>77</v>
      </c>
      <c r="C53" s="86">
        <f t="shared" ca="1" si="0"/>
        <v>1589650</v>
      </c>
      <c r="D53" s="87">
        <f t="shared" ca="1" si="127"/>
        <v>1589650</v>
      </c>
      <c r="E53" s="88">
        <f ca="1">IFERROR(__xludf.DUMMYFUNCTION("IMPORTRANGE(""https://docs.google.com/spreadsheets/d/1C3CXT74ZlgGe6_JY_1olB1XN4rF0dxEuIIF-xsYjHgg/edit?usp=sharing"",""พรบ!BX57"")"),500400)</f>
        <v>500400</v>
      </c>
      <c r="F53" s="88">
        <f ca="1">IFERROR(__xludf.DUMMYFUNCTION("IMPORTRANGE(""https://docs.google.com/spreadsheets/d/1C3CXT74ZlgGe6_JY_1olB1XN4rF0dxEuIIF-xsYjHgg/edit?usp=sharing"",""พรบ!BY57"")"),1089250)</f>
        <v>1089250</v>
      </c>
      <c r="G53" s="88">
        <f ca="1">IFERROR(__xludf.DUMMYFUNCTION("IMPORTRANGE(""https://docs.google.com/spreadsheets/d/1Yj_ptqi66GCucihVvJfMjLAmec39IyEx_6qawtMGysU/edit?usp=sharing"",""สบก!DJ57"")"),0)</f>
        <v>0</v>
      </c>
      <c r="H53" s="88">
        <f ca="1">IFERROR(__xludf.DUMMYFUNCTION("IMPORTRANGE(""https://docs.google.com/spreadsheets/d/1Yj_ptqi66GCucihVvJfMjLAmec39IyEx_6qawtMGysU/edit?usp=shDLing"",""สบก!DL57"")"),1154290)</f>
        <v>1154290</v>
      </c>
      <c r="I53" s="88">
        <f t="shared" ca="1" si="3"/>
        <v>900019.85</v>
      </c>
      <c r="J53" s="88">
        <f t="shared" ca="1" si="4"/>
        <v>56.617484980970652</v>
      </c>
      <c r="K53" s="88">
        <f ca="1">IFERROR(__xludf.DUMMYFUNCTION("IMPORTRANGE(""https://docs.google.com/spreadsheets/d/1Yj_ptqi66GCucihVvJfMjLAmec39IyEx_6qawtMGysU/edit?usp=sharing"",""สบก!DM57"")"),900019.85)</f>
        <v>900019.85</v>
      </c>
      <c r="L53" s="138">
        <f t="shared" ca="1" si="5"/>
        <v>56.617484980970652</v>
      </c>
      <c r="M53" s="138">
        <f t="shared" ca="1" si="6"/>
        <v>77.971727208933629</v>
      </c>
      <c r="N53" s="138">
        <f ca="1">IFERROR(__xludf.DUMMYFUNCTION("IMPORTRANGE(""https://docs.google.com/spreadsheets/d/1Yj_ptqi66GCucihVvJfMjLAmec39IyEx_6qawtMGysU/edit?usp=sharing"",""สบก!DN57"")"),0)</f>
        <v>0</v>
      </c>
      <c r="O53" s="138">
        <f t="shared" ca="1" si="7"/>
        <v>0</v>
      </c>
      <c r="P53" s="88">
        <f ca="1">IFERROR(__xludf.DUMMYFUNCTION("IMPORTRANGE(""https://docs.google.com/spreadsheets/d/1C3CXT74ZlgGe6_JY_1olB1XN4rF0dxEuIIF-xsYjHgg/edit?usp=sharing"",""พรบ!CA57"")"),820)</f>
        <v>820</v>
      </c>
      <c r="Q53" s="88">
        <f ca="1">IFERROR(__xludf.DUMMYFUNCTION("IMPORTRANGE(""https://docs.google.com/spreadsheets/d/1C3CXT74ZlgGe6_JY_1olB1XN4rF0dxEuIIF-xsYjHgg/edit?usp=sharing"",""พรบ!BZ57"")"),6640)</f>
        <v>6640</v>
      </c>
      <c r="R53" s="222">
        <f t="shared" ca="1" si="95"/>
        <v>492</v>
      </c>
      <c r="S53" s="88">
        <f ca="1">IFERROR(__xludf.DUMMYFUNCTION("IMPORTRANGE(""https://docs.google.com/spreadsheets/d/1XL5vhW3sbDhbH9Cz0tuDiY8C3ctxq1tqvaCgkFb8cCA/edit?usp=sharing"",""อุบลราชธานี!j234"")"),620)</f>
        <v>620</v>
      </c>
      <c r="T53" s="88">
        <f ca="1">IFERROR(__xludf.DUMMYFUNCTION("IMPORTRANGE(""https://docs.google.com/spreadsheets/d/1XL5vhW3sbDhbH9Cz0tuDiY8C3ctxq1tqvaCgkFb8cCA/edit?usp=sharing"",""อุบลราชธานี!j235"")"),4489.34999999999)</f>
        <v>4489.3499999999904</v>
      </c>
      <c r="U53" s="138">
        <f t="shared" ca="1" si="10"/>
        <v>67.610692771084189</v>
      </c>
      <c r="V53" s="88">
        <f ca="1">IFERROR(__xludf.DUMMYFUNCTION("IMPORTRANGE(""https://docs.google.com/spreadsheets/d/1XL5vhW3sbDhbH9Cz0tuDiY8C3ctxq1tqvaCgkFb8cCA/edit?usp=sharing"",""อุบลราชธานี!j236"")"),569)</f>
        <v>569</v>
      </c>
      <c r="W53" s="88">
        <f ca="1">IFERROR(__xludf.DUMMYFUNCTION("IMPORTRANGE(""https://docs.google.com/spreadsheets/d/1XL5vhW3sbDhbH9Cz0tuDiY8C3ctxq1tqvaCgkFb8cCA/edit?usp=sharing"",""อุบลราชธานี!j237"")"),5536.44)</f>
        <v>5536.44</v>
      </c>
      <c r="X53" s="138">
        <f t="shared" ca="1" si="12"/>
        <v>69.390243902439025</v>
      </c>
      <c r="Y53" s="88">
        <f ca="1">IFERROR(__xludf.DUMMYFUNCTION("IMPORTRANGE(""https://docs.google.com/spreadsheets/d/1XL5vhW3sbDhbH9Cz0tuDiY8C3ctxq1tqvaCgkFb8cCA/edit?usp=sharing"",""อุบลราชธานี!j238"")"),130)</f>
        <v>130</v>
      </c>
      <c r="Z53" s="88">
        <f ca="1">IFERROR(__xludf.DUMMYFUNCTION("IMPORTRANGE(""https://docs.google.com/spreadsheets/d/1XL5vhW3sbDhbH9Cz0tuDiY8C3ctxq1tqvaCgkFb8cCA/edit?usp=sharing"",""อุบลราชธานี!j239"")"),1466.9)</f>
        <v>1466.9</v>
      </c>
      <c r="AA53" s="138">
        <f t="shared" ca="1" si="14"/>
        <v>15.853658536585366</v>
      </c>
      <c r="AB53" s="88">
        <f ca="1">IFERROR(__xludf.DUMMYFUNCTION("IMPORTRANGE(""https://docs.google.com/spreadsheets/d/1XL5vhW3sbDhbH9Cz0tuDiY8C3ctxq1tqvaCgkFb8cCA/edit?usp=sharing"",""อุบลราชธานี!j240"")"),247)</f>
        <v>247</v>
      </c>
      <c r="AC53" s="88">
        <f ca="1">IFERROR(__xludf.DUMMYFUNCTION("IMPORTRANGE(""https://docs.google.com/spreadsheets/d/1XL5vhW3sbDhbH9Cz0tuDiY8C3ctxq1tqvaCgkFb8cCA/edit?usp=sharing"",""อุบลราชธานี!j241"")"),2897.59)</f>
        <v>2897.59</v>
      </c>
      <c r="AD53" s="223">
        <f t="shared" ca="1" si="16"/>
        <v>30.121951219512194</v>
      </c>
      <c r="AE53" s="224">
        <f ca="1">IFERROR(__xludf.DUMMYFUNCTION("IMPORTRANGE(""https://docs.google.com/spreadsheets/d/1AGHcLOeeYFL3K4b9R1dSzyJy00PE_ra89DNTVfnxSWM/edit?usp=sharing"",""รวมที่ทำกิน!AA46"")"),2000)</f>
        <v>2000</v>
      </c>
      <c r="AF53" s="224">
        <f ca="1">IFERROR(__xludf.DUMMYFUNCTION("IMPORTRANGE(""https://docs.google.com/spreadsheets/d/1AGHcLOeeYFL3K4b9R1dSzyJy00PE_ra89DNTVfnxSWM/edit?usp=sharing"",""รวมที่ทำกิน!AB46"")"),283)</f>
        <v>283</v>
      </c>
      <c r="AG53" s="224">
        <f ca="1">IFERROR(__xludf.DUMMYFUNCTION("IMPORTRANGE(""https://docs.google.com/spreadsheets/d/1AGHcLOeeYFL3K4b9R1dSzyJy00PE_ra89DNTVfnxSWM/edit?usp=sharing"",""รวมที่ทำกิน!AD46"")"),1643.86)</f>
        <v>1643.86</v>
      </c>
      <c r="AH53" s="223">
        <f t="shared" ca="1" si="101"/>
        <v>82.192999999999998</v>
      </c>
      <c r="AI53" s="224">
        <f ca="1">IFERROR(__xludf.DUMMYFUNCTION("IMPORTRANGE(""https://docs.google.com/spreadsheets/d/1AGHcLOeeYFL3K4b9R1dSzyJy00PE_ra89DNTVfnxSWM/edit?usp=sharing"",""รวมที่ทำกิน!AE46"")"),200)</f>
        <v>200</v>
      </c>
      <c r="AJ53" s="224">
        <f ca="1">IFERROR(__xludf.DUMMYFUNCTION("IMPORTRANGE(""https://docs.google.com/spreadsheets/d/1AGHcLOeeYFL3K4b9R1dSzyJy00PE_ra89DNTVfnxSWM/edit?usp=sharing"",""รวมที่ทำกิน!AF46"")"),39)</f>
        <v>39</v>
      </c>
      <c r="AK53" s="224">
        <f ca="1">IFERROR(__xludf.DUMMYFUNCTION("IMPORTRANGE(""https://docs.google.com/spreadsheets/d/1AGHcLOeeYFL3K4b9R1dSzyJy00PE_ra89DNTVfnxSWM/edit?usp=sharing"",""รวมที่ทำกิน!AH46"")"),272.53)</f>
        <v>272.52999999999997</v>
      </c>
      <c r="AL53" s="225">
        <f t="shared" ca="1" si="103"/>
        <v>19.5</v>
      </c>
      <c r="AM53" s="224">
        <f ca="1">IFERROR(__xludf.DUMMYFUNCTION("IMPORTRANGE(""https://docs.google.com/spreadsheets/d/1AGHcLOeeYFL3K4b9R1dSzyJy00PE_ra89DNTVfnxSWM/edit?usp=sharing"",""รวมที่ทำกิน!AI46"")"),0)</f>
        <v>0</v>
      </c>
      <c r="AN53" s="224">
        <f ca="1">IFERROR(__xludf.DUMMYFUNCTION("IMPORTRANGE(""https://docs.google.com/spreadsheets/d/1AGHcLOeeYFL3K4b9R1dSzyJy00PE_ra89DNTVfnxSWM/edit?usp=sharing"",""รวมที่ทำกิน!AK46"")"),0)</f>
        <v>0</v>
      </c>
      <c r="AO53" s="225">
        <f t="shared" ca="1" si="22"/>
        <v>0</v>
      </c>
      <c r="AP53" s="224">
        <f ca="1">IFERROR(__xludf.DUMMYFUNCTION("IMPORTRANGE(""https://docs.google.com/spreadsheets/d/1AGHcLOeeYFL3K4b9R1dSzyJy00PE_ra89DNTVfnxSWM/edit?usp=sharing"",""รวมที่ทำกิน!AL46"")"),0)</f>
        <v>0</v>
      </c>
      <c r="AQ53" s="224">
        <f ca="1">IFERROR(__xludf.DUMMYFUNCTION("IMPORTRANGE(""https://docs.google.com/spreadsheets/d/1AGHcLOeeYFL3K4b9R1dSzyJy00PE_ra89DNTVfnxSWM/edit?usp=sharing"",""รวมที่ทำกิน!AN46"")"),0)</f>
        <v>0</v>
      </c>
      <c r="AR53" s="225">
        <f t="shared" ca="1" si="24"/>
        <v>0</v>
      </c>
      <c r="AS53" s="224">
        <f ca="1">IFERROR(__xludf.DUMMYFUNCTION("IMPORTRANGE(""https://docs.google.com/spreadsheets/d/1AGHcLOeeYFL3K4b9R1dSzyJy00PE_ra89DNTVfnxSWM/edit?usp=sharing"",""รวมที่ทำกิน!AO46"")"),4640)</f>
        <v>4640</v>
      </c>
      <c r="AT53" s="224">
        <f ca="1">IFERROR(__xludf.DUMMYFUNCTION("IMPORTRANGE(""https://docs.google.com/spreadsheets/d/1AGHcLOeeYFL3K4b9R1dSzyJy00PE_ra89DNTVfnxSWM/edit?usp=sharing"",""รวมที่ทำกิน!AP46"")"),337)</f>
        <v>337</v>
      </c>
      <c r="AU53" s="224">
        <f ca="1">IFERROR(__xludf.DUMMYFUNCTION("IMPORTRANGE(""https://docs.google.com/spreadsheets/d/1AGHcLOeeYFL3K4b9R1dSzyJy00PE_ra89DNTVfnxSWM/edit?usp=sharing"",""รวมที่ทำกิน!AR46"")"),2845.49)</f>
        <v>2845.49</v>
      </c>
      <c r="AV53" s="225">
        <f t="shared" ca="1" si="107"/>
        <v>61.325215517241382</v>
      </c>
      <c r="AW53" s="224">
        <f ca="1">IFERROR(__xludf.DUMMYFUNCTION("IMPORTRANGE(""https://docs.google.com/spreadsheets/d/1AGHcLOeeYFL3K4b9R1dSzyJy00PE_ra89DNTVfnxSWM/edit?usp=sharing"",""รวมที่ทำกิน!AS46"")"),620)</f>
        <v>620</v>
      </c>
      <c r="AX53" s="224">
        <f ca="1">IFERROR(__xludf.DUMMYFUNCTION("IMPORTRANGE(""https://docs.google.com/spreadsheets/d/1AGHcLOeeYFL3K4b9R1dSzyJy00PE_ra89DNTVfnxSWM/edit?usp=sharing"",""รวมที่ทำกิน!AT46"")"),530)</f>
        <v>530</v>
      </c>
      <c r="AY53" s="224">
        <f ca="1">IFERROR(__xludf.DUMMYFUNCTION("IMPORTRANGE(""https://docs.google.com/spreadsheets/d/1AGHcLOeeYFL3K4b9R1dSzyJy00PE_ra89DNTVfnxSWM/edit?usp=sharing"",""รวมที่ทำกิน!AV46"")"),5263.91)</f>
        <v>5263.91</v>
      </c>
      <c r="AZ53" s="225">
        <f t="shared" ca="1" si="109"/>
        <v>85.483870967741936</v>
      </c>
      <c r="BA53" s="224">
        <f ca="1">IFERROR(__xludf.DUMMYFUNCTION("IMPORTRANGE(""https://docs.google.com/spreadsheets/d/1AGHcLOeeYFL3K4b9R1dSzyJy00PE_ra89DNTVfnxSWM/edit?usp=sharing"",""รวมที่ทำกิน!AW46"")"),130)</f>
        <v>130</v>
      </c>
      <c r="BB53" s="224">
        <f ca="1">IFERROR(__xludf.DUMMYFUNCTION("IMPORTRANGE(""https://docs.google.com/spreadsheets/d/1AGHcLOeeYFL3K4b9R1dSzyJy00PE_ra89DNTVfnxSWM/edit?usp=sharing"",""รวมที่ทำกิน!AY46"")"),1466.9)</f>
        <v>1466.9</v>
      </c>
      <c r="BC53" s="225">
        <f t="shared" ca="1" si="30"/>
        <v>20.967741935483872</v>
      </c>
      <c r="BD53" s="224">
        <f ca="1">IFERROR(__xludf.DUMMYFUNCTION("IMPORTRANGE(""https://docs.google.com/spreadsheets/d/1AGHcLOeeYFL3K4b9R1dSzyJy00PE_ra89DNTVfnxSWM/edit?usp=sharing"",""รวมที่ทำกิน!AZ46"")"),247)</f>
        <v>247</v>
      </c>
      <c r="BE53" s="224">
        <f ca="1">IFERROR(__xludf.DUMMYFUNCTION("IMPORTRANGE(""https://docs.google.com/spreadsheets/d/1AGHcLOeeYFL3K4b9R1dSzyJy00PE_ra89DNTVfnxSWM/edit?usp=sharing"",""รวมที่ทำกิน!BB46"")"),2897.59)</f>
        <v>2897.59</v>
      </c>
      <c r="BF53" s="226">
        <f t="shared" ca="1" si="32"/>
        <v>39.838709677419352</v>
      </c>
    </row>
    <row r="54" spans="1:58" ht="21" customHeight="1">
      <c r="A54" s="679" t="s">
        <v>78</v>
      </c>
      <c r="B54" s="678"/>
      <c r="C54" s="94">
        <f t="shared" ca="1" si="0"/>
        <v>17373590</v>
      </c>
      <c r="D54" s="95">
        <f t="shared" ref="D54:H54" ca="1" si="128">SUM(D55:D75)</f>
        <v>16165540</v>
      </c>
      <c r="E54" s="95">
        <f t="shared" ca="1" si="128"/>
        <v>9640300</v>
      </c>
      <c r="F54" s="95">
        <f t="shared" ca="1" si="128"/>
        <v>6525240</v>
      </c>
      <c r="G54" s="95">
        <f t="shared" ca="1" si="128"/>
        <v>1208050</v>
      </c>
      <c r="H54" s="95">
        <f t="shared" ca="1" si="128"/>
        <v>11766580</v>
      </c>
      <c r="I54" s="95">
        <f t="shared" ca="1" si="3"/>
        <v>8687600.6799999997</v>
      </c>
      <c r="J54" s="95">
        <f t="shared" ca="1" si="4"/>
        <v>50.004637383522919</v>
      </c>
      <c r="K54" s="95">
        <f ca="1">SUM(K55:K75)</f>
        <v>7479550.6800000006</v>
      </c>
      <c r="L54" s="139">
        <f t="shared" ca="1" si="5"/>
        <v>46.268486422352737</v>
      </c>
      <c r="M54" s="139">
        <f t="shared" ca="1" si="6"/>
        <v>63.566054707485108</v>
      </c>
      <c r="N54" s="139">
        <f ca="1">SUM(N55:N75)</f>
        <v>1208050</v>
      </c>
      <c r="O54" s="139">
        <f t="shared" ca="1" si="7"/>
        <v>100</v>
      </c>
      <c r="P54" s="95">
        <f t="shared" ref="P54:Q54" ca="1" si="129">SUM(P55:P75)</f>
        <v>2742</v>
      </c>
      <c r="Q54" s="95">
        <f t="shared" ca="1" si="129"/>
        <v>31359</v>
      </c>
      <c r="R54" s="95">
        <f t="shared" ca="1" si="95"/>
        <v>1645.2</v>
      </c>
      <c r="S54" s="95">
        <f t="shared" ref="S54:T54" ca="1" si="130">SUM(S55:S75)</f>
        <v>1571</v>
      </c>
      <c r="T54" s="95">
        <f t="shared" ca="1" si="130"/>
        <v>17667.999999999985</v>
      </c>
      <c r="U54" s="139">
        <f t="shared" ca="1" si="10"/>
        <v>56.341082304920391</v>
      </c>
      <c r="V54" s="95">
        <f t="shared" ref="V54:W54" ca="1" si="131">SUM(V55:V75)</f>
        <v>1789</v>
      </c>
      <c r="W54" s="95">
        <f t="shared" ca="1" si="131"/>
        <v>24190.319999999985</v>
      </c>
      <c r="X54" s="139">
        <f t="shared" ca="1" si="12"/>
        <v>65.244347191830784</v>
      </c>
      <c r="Y54" s="95">
        <f t="shared" ref="Y54:Z54" ca="1" si="132">SUM(Y55:Y75)</f>
        <v>35</v>
      </c>
      <c r="Z54" s="95">
        <f t="shared" ca="1" si="132"/>
        <v>425.6</v>
      </c>
      <c r="AA54" s="139">
        <f t="shared" ca="1" si="14"/>
        <v>1.2764405543398978</v>
      </c>
      <c r="AB54" s="95">
        <f t="shared" ref="AB54:AC54" ca="1" si="133">SUM(AB55:AB75)</f>
        <v>1410</v>
      </c>
      <c r="AC54" s="95">
        <f t="shared" ca="1" si="133"/>
        <v>19687.549999999988</v>
      </c>
      <c r="AD54" s="227">
        <f t="shared" ca="1" si="16"/>
        <v>51.422319474835888</v>
      </c>
      <c r="AE54" s="212">
        <f t="shared" ref="AE54:AG54" ca="1" si="134">SUM(AE55:AE75)</f>
        <v>21094</v>
      </c>
      <c r="AF54" s="212">
        <f t="shared" ca="1" si="134"/>
        <v>698</v>
      </c>
      <c r="AG54" s="212">
        <f t="shared" ca="1" si="134"/>
        <v>9718.2100000000009</v>
      </c>
      <c r="AH54" s="227">
        <f t="shared" ca="1" si="101"/>
        <v>46.070968047786103</v>
      </c>
      <c r="AI54" s="228">
        <f t="shared" ref="AI54:AK54" ca="1" si="135">SUM(AI55:AI75)</f>
        <v>1325</v>
      </c>
      <c r="AJ54" s="228">
        <f t="shared" ca="1" si="135"/>
        <v>319</v>
      </c>
      <c r="AK54" s="228">
        <f t="shared" ca="1" si="135"/>
        <v>4825.2</v>
      </c>
      <c r="AL54" s="139">
        <f t="shared" ca="1" si="103"/>
        <v>24.075471698113208</v>
      </c>
      <c r="AM54" s="228">
        <f t="shared" ref="AM54:AN54" ca="1" si="136">SUM(AM55:AM75)</f>
        <v>0</v>
      </c>
      <c r="AN54" s="228">
        <f t="shared" ca="1" si="136"/>
        <v>0</v>
      </c>
      <c r="AO54" s="139">
        <f t="shared" ca="1" si="22"/>
        <v>0</v>
      </c>
      <c r="AP54" s="228">
        <f t="shared" ref="AP54:AQ54" ca="1" si="137">SUM(AP55:AP75)</f>
        <v>191</v>
      </c>
      <c r="AQ54" s="228">
        <f t="shared" ca="1" si="137"/>
        <v>2879.02</v>
      </c>
      <c r="AR54" s="139">
        <f t="shared" ca="1" si="24"/>
        <v>14.415094339622641</v>
      </c>
      <c r="AS54" s="228">
        <f t="shared" ref="AS54:AU54" ca="1" si="138">SUM(AS55:AS75)</f>
        <v>10265</v>
      </c>
      <c r="AT54" s="228">
        <f t="shared" ca="1" si="138"/>
        <v>873</v>
      </c>
      <c r="AU54" s="228">
        <f t="shared" ca="1" si="138"/>
        <v>7949.7899999999991</v>
      </c>
      <c r="AV54" s="139">
        <f t="shared" ca="1" si="107"/>
        <v>77.44559181685338</v>
      </c>
      <c r="AW54" s="228">
        <f t="shared" ref="AW54:AY54" ca="1" si="139">SUM(AW55:AW75)</f>
        <v>1417</v>
      </c>
      <c r="AX54" s="228">
        <f t="shared" ca="1" si="139"/>
        <v>1470</v>
      </c>
      <c r="AY54" s="228">
        <f t="shared" ca="1" si="139"/>
        <v>19365.12</v>
      </c>
      <c r="AZ54" s="139">
        <f t="shared" ca="1" si="109"/>
        <v>103.74029640084686</v>
      </c>
      <c r="BA54" s="228">
        <f t="shared" ref="BA54:BB54" ca="1" si="140">SUM(BA55:BA75)</f>
        <v>35</v>
      </c>
      <c r="BB54" s="228">
        <f t="shared" ca="1" si="140"/>
        <v>425.6</v>
      </c>
      <c r="BC54" s="139">
        <f t="shared" ca="1" si="30"/>
        <v>2.4700070571630204</v>
      </c>
      <c r="BD54" s="228">
        <f t="shared" ref="BD54:BE54" ca="1" si="141">SUM(BD55:BD75)</f>
        <v>1219</v>
      </c>
      <c r="BE54" s="228">
        <f t="shared" ca="1" si="141"/>
        <v>16808.530000000002</v>
      </c>
      <c r="BF54" s="139">
        <f t="shared" ca="1" si="32"/>
        <v>86.026817219477763</v>
      </c>
    </row>
    <row r="55" spans="1:58" ht="21" customHeight="1">
      <c r="A55" s="63">
        <v>1</v>
      </c>
      <c r="B55" s="186" t="s">
        <v>79</v>
      </c>
      <c r="C55" s="65">
        <f t="shared" ca="1" si="0"/>
        <v>1010640</v>
      </c>
      <c r="D55" s="66">
        <f t="shared" ref="D55:D75" ca="1" si="142">+E55+F55</f>
        <v>1010640</v>
      </c>
      <c r="E55" s="67">
        <f ca="1">IFERROR(__xludf.DUMMYFUNCTION("IMPORTRANGE(""https://docs.google.com/spreadsheets/d/1C3CXT74ZlgGe6_JY_1olB1XN4rF0dxEuIIF-xsYjHgg/edit?usp=sharing"",""พรบ!BX59"")"),629200)</f>
        <v>629200</v>
      </c>
      <c r="F55" s="67">
        <f ca="1">IFERROR(__xludf.DUMMYFUNCTION("IMPORTRANGE(""https://docs.google.com/spreadsheets/d/1C3CXT74ZlgGe6_JY_1olB1XN4rF0dxEuIIF-xsYjHgg/edit?usp=sharing"",""พรบ!BY59"")"),381440)</f>
        <v>381440</v>
      </c>
      <c r="G55" s="67">
        <f ca="1">IFERROR(__xludf.DUMMYFUNCTION("IMPORTRANGE(""https://docs.google.com/spreadsheets/d/1Yj_ptqi66GCucihVvJfMjLAmec39IyEx_6qawtMGysU/edit?usp=sharing"",""สบก!DJ59"")"),0)</f>
        <v>0</v>
      </c>
      <c r="H55" s="67">
        <f ca="1">IFERROR(__xludf.DUMMYFUNCTION("IMPORTRANGE(""https://docs.google.com/spreadsheets/d/1Yj_ptqi66GCucihVvJfMjLAmec39IyEx_6qawtMGysU/edit?usp=shDLing"",""สบก!DL59"")"),731460)</f>
        <v>731460</v>
      </c>
      <c r="I55" s="67">
        <f t="shared" ca="1" si="3"/>
        <v>467122.38</v>
      </c>
      <c r="J55" s="67">
        <f t="shared" ca="1" si="4"/>
        <v>46.22045238660651</v>
      </c>
      <c r="K55" s="67">
        <f ca="1">IFERROR(__xludf.DUMMYFUNCTION("IMPORTRANGE(""https://docs.google.com/spreadsheets/d/1Yj_ptqi66GCucihVvJfMjLAmec39IyEx_6qawtMGysU/edit?usp=sharing"",""สบก!DM59"")"),467122.38)</f>
        <v>467122.38</v>
      </c>
      <c r="L55" s="136">
        <f t="shared" ca="1" si="5"/>
        <v>46.22045238660651</v>
      </c>
      <c r="M55" s="136">
        <f t="shared" ca="1" si="6"/>
        <v>63.861643835616441</v>
      </c>
      <c r="N55" s="136">
        <f ca="1">IFERROR(__xludf.DUMMYFUNCTION("IMPORTRANGE(""https://docs.google.com/spreadsheets/d/1Yj_ptqi66GCucihVvJfMjLAmec39IyEx_6qawtMGysU/edit?usp=sharing"",""สบก!DN59"")"),0)</f>
        <v>0</v>
      </c>
      <c r="O55" s="136">
        <f t="shared" ca="1" si="7"/>
        <v>0</v>
      </c>
      <c r="P55" s="67">
        <f ca="1">IFERROR(__xludf.DUMMYFUNCTION("IMPORTRANGE(""https://docs.google.com/spreadsheets/d/1C3CXT74ZlgGe6_JY_1olB1XN4rF0dxEuIIF-xsYjHgg/edit?usp=sharing"",""พรบ!CA59"")"),220)</f>
        <v>220</v>
      </c>
      <c r="Q55" s="67">
        <f ca="1">IFERROR(__xludf.DUMMYFUNCTION("IMPORTRANGE(""https://docs.google.com/spreadsheets/d/1C3CXT74ZlgGe6_JY_1olB1XN4rF0dxEuIIF-xsYjHgg/edit?usp=sharing"",""พรบ!BZ59"")"),1960)</f>
        <v>1960</v>
      </c>
      <c r="R55" s="213">
        <f t="shared" ca="1" si="95"/>
        <v>132</v>
      </c>
      <c r="S55" s="67">
        <f ca="1">IFERROR(__xludf.DUMMYFUNCTION("IMPORTRANGE(""https://docs.google.com/spreadsheets/d/1SX6NBoVAgQJ6U1MVXOaj8PK2l7WJ3RER9xtqwdhxkhw/edit?usp=sharing"",""กาญจนบุรี!J234"")"),44)</f>
        <v>44</v>
      </c>
      <c r="T55" s="67">
        <f ca="1">IFERROR(__xludf.DUMMYFUNCTION("IMPORTRANGE(""https://docs.google.com/spreadsheets/d/1SX6NBoVAgQJ6U1MVXOaj8PK2l7WJ3RER9xtqwdhxkhw/edit?usp=sharing"",""กาญจนบุรี!J235"")"),319.06)</f>
        <v>319.06</v>
      </c>
      <c r="U55" s="136">
        <f t="shared" ca="1" si="10"/>
        <v>16.278571428571428</v>
      </c>
      <c r="V55" s="67">
        <f ca="1">IFERROR(__xludf.DUMMYFUNCTION("IMPORTRANGE(""https://docs.google.com/spreadsheets/d/1SX6NBoVAgQJ6U1MVXOaj8PK2l7WJ3RER9xtqwdhxkhw/edit?usp=sharing"",""กาญจนบุรี!J236"")"),9)</f>
        <v>9</v>
      </c>
      <c r="W55" s="67">
        <f ca="1">IFERROR(__xludf.DUMMYFUNCTION("IMPORTRANGE(""https://docs.google.com/spreadsheets/d/1SX6NBoVAgQJ6U1MVXOaj8PK2l7WJ3RER9xtqwdhxkhw/edit?usp=sharing"",""กาญจนบุรี!J237"")"),117.8)</f>
        <v>117.8</v>
      </c>
      <c r="X55" s="136">
        <f t="shared" ca="1" si="12"/>
        <v>4.0909090909090908</v>
      </c>
      <c r="Y55" s="67">
        <f ca="1">IFERROR(__xludf.DUMMYFUNCTION("IMPORTRANGE(""https://docs.google.com/spreadsheets/d/1SX6NBoVAgQJ6U1MVXOaj8PK2l7WJ3RER9xtqwdhxkhw/edit?usp=sharing"",""กาญจนบุรี!J238"")"),0)</f>
        <v>0</v>
      </c>
      <c r="Z55" s="67">
        <f ca="1">IFERROR(__xludf.DUMMYFUNCTION("IMPORTRANGE(""https://docs.google.com/spreadsheets/d/1SX6NBoVAgQJ6U1MVXOaj8PK2l7WJ3RER9xtqwdhxkhw/edit?usp=sharing"",""กาญจนบุรี!J239"")"),0)</f>
        <v>0</v>
      </c>
      <c r="AA55" s="136">
        <f t="shared" ca="1" si="14"/>
        <v>0</v>
      </c>
      <c r="AB55" s="67">
        <f ca="1">IFERROR(__xludf.DUMMYFUNCTION("IMPORTRANGE(""https://docs.google.com/spreadsheets/d/1SX6NBoVAgQJ6U1MVXOaj8PK2l7WJ3RER9xtqwdhxkhw/edit?usp=sharing"",""กาญจนบุรี!J240"")"),5)</f>
        <v>5</v>
      </c>
      <c r="AC55" s="67">
        <f ca="1">IFERROR(__xludf.DUMMYFUNCTION("IMPORTRANGE(""https://docs.google.com/spreadsheets/d/1SX6NBoVAgQJ6U1MVXOaj8PK2l7WJ3RER9xtqwdhxkhw/edit?usp=sharing"",""กาญจนบุรี!J241"")"),41.75)</f>
        <v>41.75</v>
      </c>
      <c r="AD55" s="214">
        <f t="shared" ca="1" si="16"/>
        <v>2.2727272727272729</v>
      </c>
      <c r="AE55" s="215">
        <f ca="1">IFERROR(__xludf.DUMMYFUNCTION("IMPORTRANGE(""https://docs.google.com/spreadsheets/d/1AGHcLOeeYFL3K4b9R1dSzyJy00PE_ra89DNTVfnxSWM/edit?usp=sharing"",""รวมที่ทำกิน!AA48"")"),1000)</f>
        <v>1000</v>
      </c>
      <c r="AF55" s="215">
        <f ca="1">IFERROR(__xludf.DUMMYFUNCTION("IMPORTRANGE(""https://docs.google.com/spreadsheets/d/1AGHcLOeeYFL3K4b9R1dSzyJy00PE_ra89DNTVfnxSWM/edit?usp=sharing"",""รวมที่ทำกิน!AB48"")"),34)</f>
        <v>34</v>
      </c>
      <c r="AG55" s="215">
        <f ca="1">IFERROR(__xludf.DUMMYFUNCTION("IMPORTRANGE(""https://docs.google.com/spreadsheets/d/1AGHcLOeeYFL3K4b9R1dSzyJy00PE_ra89DNTVfnxSWM/edit?usp=sharing"",""รวมที่ทำกิน!AD48"")"),224.19)</f>
        <v>224.19</v>
      </c>
      <c r="AH55" s="214">
        <f t="shared" ca="1" si="101"/>
        <v>22.419</v>
      </c>
      <c r="AI55" s="215">
        <f ca="1">IFERROR(__xludf.DUMMYFUNCTION("IMPORTRANGE(""https://docs.google.com/spreadsheets/d/1AGHcLOeeYFL3K4b9R1dSzyJy00PE_ra89DNTVfnxSWM/edit?usp=sharing"",""รวมที่ทำกิน!AE48"")"),100)</f>
        <v>100</v>
      </c>
      <c r="AJ55" s="215">
        <f ca="1">IFERROR(__xludf.DUMMYFUNCTION("IMPORTRANGE(""https://docs.google.com/spreadsheets/d/1AGHcLOeeYFL3K4b9R1dSzyJy00PE_ra89DNTVfnxSWM/edit?usp=sharing"",""รวมที่ทำกิน!AF48"")"),1)</f>
        <v>1</v>
      </c>
      <c r="AK55" s="215">
        <f ca="1">IFERROR(__xludf.DUMMYFUNCTION("IMPORTRANGE(""https://docs.google.com/spreadsheets/d/1AGHcLOeeYFL3K4b9R1dSzyJy00PE_ra89DNTVfnxSWM/edit?usp=sharing"",""รวมที่ทำกิน!AH48"")"),12.44)</f>
        <v>12.44</v>
      </c>
      <c r="AL55" s="216">
        <f t="shared" ca="1" si="103"/>
        <v>1</v>
      </c>
      <c r="AM55" s="215">
        <f ca="1">IFERROR(__xludf.DUMMYFUNCTION("IMPORTRANGE(""https://docs.google.com/spreadsheets/d/1AGHcLOeeYFL3K4b9R1dSzyJy00PE_ra89DNTVfnxSWM/edit?usp=sharing"",""รวมที่ทำกิน!AI48"")"),0)</f>
        <v>0</v>
      </c>
      <c r="AN55" s="215">
        <f ca="1">IFERROR(__xludf.DUMMYFUNCTION("IMPORTRANGE(""https://docs.google.com/spreadsheets/d/1AGHcLOeeYFL3K4b9R1dSzyJy00PE_ra89DNTVfnxSWM/edit?usp=sharing"",""รวมที่ทำกิน!AK48"")"),0)</f>
        <v>0</v>
      </c>
      <c r="AO55" s="216">
        <f t="shared" ca="1" si="22"/>
        <v>0</v>
      </c>
      <c r="AP55" s="215">
        <f ca="1">IFERROR(__xludf.DUMMYFUNCTION("IMPORTRANGE(""https://docs.google.com/spreadsheets/d/1AGHcLOeeYFL3K4b9R1dSzyJy00PE_ra89DNTVfnxSWM/edit?usp=sharing"",""รวมที่ทำกิน!AL48"")"),0)</f>
        <v>0</v>
      </c>
      <c r="AQ55" s="215">
        <f ca="1">IFERROR(__xludf.DUMMYFUNCTION("IMPORTRANGE(""https://docs.google.com/spreadsheets/d/1AGHcLOeeYFL3K4b9R1dSzyJy00PE_ra89DNTVfnxSWM/edit?usp=sharing"",""รวมที่ทำกิน!AN48"")"),0)</f>
        <v>0</v>
      </c>
      <c r="AR55" s="216">
        <f t="shared" ca="1" si="24"/>
        <v>0</v>
      </c>
      <c r="AS55" s="215">
        <f ca="1">IFERROR(__xludf.DUMMYFUNCTION("IMPORTRANGE(""https://docs.google.com/spreadsheets/d/1AGHcLOeeYFL3K4b9R1dSzyJy00PE_ra89DNTVfnxSWM/edit?usp=sharing"",""รวมที่ทำกิน!AO48"")"),960)</f>
        <v>960</v>
      </c>
      <c r="AT55" s="215">
        <f ca="1">IFERROR(__xludf.DUMMYFUNCTION("IMPORTRANGE(""https://docs.google.com/spreadsheets/d/1AGHcLOeeYFL3K4b9R1dSzyJy00PE_ra89DNTVfnxSWM/edit?usp=sharing"",""รวมที่ทำกิน!AP48"")"),10)</f>
        <v>10</v>
      </c>
      <c r="AU55" s="215">
        <f ca="1">IFERROR(__xludf.DUMMYFUNCTION("IMPORTRANGE(""https://docs.google.com/spreadsheets/d/1AGHcLOeeYFL3K4b9R1dSzyJy00PE_ra89DNTVfnxSWM/edit?usp=sharing"",""รวมที่ทำกิน!AR48"")"),94.87)</f>
        <v>94.87</v>
      </c>
      <c r="AV55" s="216">
        <f t="shared" ca="1" si="107"/>
        <v>9.8822916666666671</v>
      </c>
      <c r="AW55" s="215">
        <f ca="1">IFERROR(__xludf.DUMMYFUNCTION("IMPORTRANGE(""https://docs.google.com/spreadsheets/d/1AGHcLOeeYFL3K4b9R1dSzyJy00PE_ra89DNTVfnxSWM/edit?usp=sharing"",""รวมที่ทำกิน!AS48"")"),120)</f>
        <v>120</v>
      </c>
      <c r="AX55" s="215">
        <f ca="1">IFERROR(__xludf.DUMMYFUNCTION("IMPORTRANGE(""https://docs.google.com/spreadsheets/d/1AGHcLOeeYFL3K4b9R1dSzyJy00PE_ra89DNTVfnxSWM/edit?usp=sharing"",""รวมที่ทำกิน!AT48"")"),8)</f>
        <v>8</v>
      </c>
      <c r="AY55" s="215">
        <f ca="1">IFERROR(__xludf.DUMMYFUNCTION("IMPORTRANGE(""https://docs.google.com/spreadsheets/d/1AGHcLOeeYFL3K4b9R1dSzyJy00PE_ra89DNTVfnxSWM/edit?usp=sharing"",""รวมที่ทำกิน!AV48"")"),105.36)</f>
        <v>105.36</v>
      </c>
      <c r="AZ55" s="216">
        <f t="shared" ca="1" si="109"/>
        <v>6.666666666666667</v>
      </c>
      <c r="BA55" s="215">
        <f ca="1">IFERROR(__xludf.DUMMYFUNCTION("IMPORTRANGE(""https://docs.google.com/spreadsheets/d/1AGHcLOeeYFL3K4b9R1dSzyJy00PE_ra89DNTVfnxSWM/edit?usp=sharing"",""รวมที่ทำกิน!AW48"")"),0)</f>
        <v>0</v>
      </c>
      <c r="BB55" s="215">
        <f ca="1">IFERROR(__xludf.DUMMYFUNCTION("IMPORTRANGE(""https://docs.google.com/spreadsheets/d/1AGHcLOeeYFL3K4b9R1dSzyJy00PE_ra89DNTVfnxSWM/edit?usp=sharing"",""รวมที่ทำกิน!AY48"")"),0)</f>
        <v>0</v>
      </c>
      <c r="BC55" s="216">
        <f t="shared" ca="1" si="30"/>
        <v>0</v>
      </c>
      <c r="BD55" s="215">
        <f ca="1">IFERROR(__xludf.DUMMYFUNCTION("IMPORTRANGE(""https://docs.google.com/spreadsheets/d/1AGHcLOeeYFL3K4b9R1dSzyJy00PE_ra89DNTVfnxSWM/edit?usp=sharing"",""รวมที่ทำกิน!AZ48"")"),5)</f>
        <v>5</v>
      </c>
      <c r="BE55" s="215">
        <f ca="1">IFERROR(__xludf.DUMMYFUNCTION("IMPORTRANGE(""https://docs.google.com/spreadsheets/d/1AGHcLOeeYFL3K4b9R1dSzyJy00PE_ra89DNTVfnxSWM/edit?usp=sharing"",""รวมที่ทำกิน!BB48"")"),41.75)</f>
        <v>41.75</v>
      </c>
      <c r="BF55" s="217">
        <f t="shared" ca="1" si="32"/>
        <v>4.166666666666667</v>
      </c>
    </row>
    <row r="56" spans="1:58" ht="21" customHeight="1">
      <c r="A56" s="73">
        <v>2</v>
      </c>
      <c r="B56" s="184" t="s">
        <v>80</v>
      </c>
      <c r="C56" s="75">
        <f t="shared" ca="1" si="0"/>
        <v>682250</v>
      </c>
      <c r="D56" s="76">
        <f t="shared" ca="1" si="142"/>
        <v>682250</v>
      </c>
      <c r="E56" s="77">
        <f ca="1">IFERROR(__xludf.DUMMYFUNCTION("IMPORTRANGE(""https://docs.google.com/spreadsheets/d/1C3CXT74ZlgGe6_JY_1olB1XN4rF0dxEuIIF-xsYjHgg/edit?usp=sharing"",""พรบ!BX60"")"),306000)</f>
        <v>306000</v>
      </c>
      <c r="F56" s="77">
        <f ca="1">IFERROR(__xludf.DUMMYFUNCTION("IMPORTRANGE(""https://docs.google.com/spreadsheets/d/1C3CXT74ZlgGe6_JY_1olB1XN4rF0dxEuIIF-xsYjHgg/edit?usp=sharing"",""พรบ!BY60"")"),376250)</f>
        <v>376250</v>
      </c>
      <c r="G56" s="77">
        <f ca="1">IFERROR(__xludf.DUMMYFUNCTION("IMPORTRANGE(""https://docs.google.com/spreadsheets/d/1Yj_ptqi66GCucihVvJfMjLAmec39IyEx_6qawtMGysU/edit?usp=sharing"",""สบก!DJ60"")"),0)</f>
        <v>0</v>
      </c>
      <c r="H56" s="77">
        <f ca="1">IFERROR(__xludf.DUMMYFUNCTION("IMPORTRANGE(""https://docs.google.com/spreadsheets/d/1Yj_ptqi66GCucihVvJfMjLAmec39IyEx_6qawtMGysU/edit?usp=shDLing"",""สบก!DL60"")"),487330)</f>
        <v>487330</v>
      </c>
      <c r="I56" s="77">
        <f t="shared" ca="1" si="3"/>
        <v>288441</v>
      </c>
      <c r="J56" s="77">
        <f t="shared" ca="1" si="4"/>
        <v>42.277903994137048</v>
      </c>
      <c r="K56" s="77">
        <f ca="1">IFERROR(__xludf.DUMMYFUNCTION("IMPORTRANGE(""https://docs.google.com/spreadsheets/d/1Yj_ptqi66GCucihVvJfMjLAmec39IyEx_6qawtMGysU/edit?usp=sharing"",""สบก!DM60"")"),288441)</f>
        <v>288441</v>
      </c>
      <c r="L56" s="137">
        <f t="shared" ca="1" si="5"/>
        <v>42.277903994137048</v>
      </c>
      <c r="M56" s="137">
        <f t="shared" ca="1" si="6"/>
        <v>59.188024541891529</v>
      </c>
      <c r="N56" s="137">
        <f ca="1">IFERROR(__xludf.DUMMYFUNCTION("IMPORTRANGE(""https://docs.google.com/spreadsheets/d/1Yj_ptqi66GCucihVvJfMjLAmec39IyEx_6qawtMGysU/edit?usp=sharing"",""สบก!DN60"")"),0)</f>
        <v>0</v>
      </c>
      <c r="O56" s="137">
        <f t="shared" ca="1" si="7"/>
        <v>0</v>
      </c>
      <c r="P56" s="77">
        <f ca="1">IFERROR(__xludf.DUMMYFUNCTION("IMPORTRANGE(""https://docs.google.com/spreadsheets/d/1C3CXT74ZlgGe6_JY_1olB1XN4rF0dxEuIIF-xsYjHgg/edit?usp=sharing"",""พรบ!CA60"")"),160)</f>
        <v>160</v>
      </c>
      <c r="Q56" s="77">
        <f ca="1">IFERROR(__xludf.DUMMYFUNCTION("IMPORTRANGE(""https://docs.google.com/spreadsheets/d/1C3CXT74ZlgGe6_JY_1olB1XN4rF0dxEuIIF-xsYjHgg/edit?usp=sharing"",""พรบ!BZ60"")"),2250)</f>
        <v>2250</v>
      </c>
      <c r="R56" s="218">
        <f t="shared" ca="1" si="95"/>
        <v>96</v>
      </c>
      <c r="S56" s="77">
        <f ca="1">IFERROR(__xludf.DUMMYFUNCTION("IMPORTRANGE(""https://docs.google.com/spreadsheets/d/1SX6NBoVAgQJ6U1MVXOaj8PK2l7WJ3RER9xtqwdhxkhw/edit?usp=sharing"",""จันทบุรี!J234"")"),85)</f>
        <v>85</v>
      </c>
      <c r="T56" s="77">
        <f ca="1">IFERROR(__xludf.DUMMYFUNCTION("IMPORTRANGE(""https://docs.google.com/spreadsheets/d/1SX6NBoVAgQJ6U1MVXOaj8PK2l7WJ3RER9xtqwdhxkhw/edit?usp=sharing"",""จันทบุรี!J235"")"),1405.78)</f>
        <v>1405.78</v>
      </c>
      <c r="U56" s="137">
        <f t="shared" ca="1" si="10"/>
        <v>62.479111111111109</v>
      </c>
      <c r="V56" s="77">
        <f ca="1">IFERROR(__xludf.DUMMYFUNCTION("IMPORTRANGE(""https://docs.google.com/spreadsheets/d/1SX6NBoVAgQJ6U1MVXOaj8PK2l7WJ3RER9xtqwdhxkhw/edit?usp=sharing"",""จันทบุรี!J236"")"),96)</f>
        <v>96</v>
      </c>
      <c r="W56" s="77">
        <f ca="1">IFERROR(__xludf.DUMMYFUNCTION("IMPORTRANGE(""https://docs.google.com/spreadsheets/d/1SX6NBoVAgQJ6U1MVXOaj8PK2l7WJ3RER9xtqwdhxkhw/edit?usp=sharing"",""จันทบุรี!J237"")"),1435.61)</f>
        <v>1435.61</v>
      </c>
      <c r="X56" s="137">
        <f t="shared" ca="1" si="12"/>
        <v>60</v>
      </c>
      <c r="Y56" s="77">
        <f ca="1">IFERROR(__xludf.DUMMYFUNCTION("IMPORTRANGE(""https://docs.google.com/spreadsheets/d/1SX6NBoVAgQJ6U1MVXOaj8PK2l7WJ3RER9xtqwdhxkhw/edit?usp=sharing"",""จันทบุรี!J238"")"),0)</f>
        <v>0</v>
      </c>
      <c r="Z56" s="77">
        <f ca="1">IFERROR(__xludf.DUMMYFUNCTION("IMPORTRANGE(""https://docs.google.com/spreadsheets/d/1SX6NBoVAgQJ6U1MVXOaj8PK2l7WJ3RER9xtqwdhxkhw/edit?usp=sharing"",""จันทบุรี!J239"")"),0)</f>
        <v>0</v>
      </c>
      <c r="AA56" s="137">
        <f t="shared" ca="1" si="14"/>
        <v>0</v>
      </c>
      <c r="AB56" s="77">
        <f ca="1">IFERROR(__xludf.DUMMYFUNCTION("IMPORTRANGE(""https://docs.google.com/spreadsheets/d/1SX6NBoVAgQJ6U1MVXOaj8PK2l7WJ3RER9xtqwdhxkhw/edit?usp=sharing"",""จันทบุรี!J240"")"),30)</f>
        <v>30</v>
      </c>
      <c r="AC56" s="77">
        <f ca="1">IFERROR(__xludf.DUMMYFUNCTION("IMPORTRANGE(""https://docs.google.com/spreadsheets/d/1SX6NBoVAgQJ6U1MVXOaj8PK2l7WJ3RER9xtqwdhxkhw/edit?usp=sharing"",""จันทบุรี!J241"")"),318.41)</f>
        <v>318.41000000000003</v>
      </c>
      <c r="AD56" s="219">
        <f t="shared" ca="1" si="16"/>
        <v>18.75</v>
      </c>
      <c r="AE56" s="215">
        <f ca="1">IFERROR(__xludf.DUMMYFUNCTION("IMPORTRANGE(""https://docs.google.com/spreadsheets/d/1AGHcLOeeYFL3K4b9R1dSzyJy00PE_ra89DNTVfnxSWM/edit?usp=sharing"",""รวมที่ทำกิน!AA49"")"),2000)</f>
        <v>2000</v>
      </c>
      <c r="AF56" s="215">
        <f ca="1">IFERROR(__xludf.DUMMYFUNCTION("IMPORTRANGE(""https://docs.google.com/spreadsheets/d/1AGHcLOeeYFL3K4b9R1dSzyJy00PE_ra89DNTVfnxSWM/edit?usp=sharing"",""รวมที่ทำกิน!AB49"")"),75)</f>
        <v>75</v>
      </c>
      <c r="AG56" s="215">
        <f ca="1">IFERROR(__xludf.DUMMYFUNCTION("IMPORTRANGE(""https://docs.google.com/spreadsheets/d/1AGHcLOeeYFL3K4b9R1dSzyJy00PE_ra89DNTVfnxSWM/edit?usp=sharing"",""รวมที่ทำกิน!AD49"")"),1292.13)</f>
        <v>1292.1300000000001</v>
      </c>
      <c r="AH56" s="219">
        <f t="shared" ca="1" si="101"/>
        <v>64.606500000000011</v>
      </c>
      <c r="AI56" s="215">
        <f ca="1">IFERROR(__xludf.DUMMYFUNCTION("IMPORTRANGE(""https://docs.google.com/spreadsheets/d/1AGHcLOeeYFL3K4b9R1dSzyJy00PE_ra89DNTVfnxSWM/edit?usp=sharing"",""รวมที่ทำกิน!AE49"")"),100)</f>
        <v>100</v>
      </c>
      <c r="AJ56" s="215">
        <f ca="1">IFERROR(__xludf.DUMMYFUNCTION("IMPORTRANGE(""https://docs.google.com/spreadsheets/d/1AGHcLOeeYFL3K4b9R1dSzyJy00PE_ra89DNTVfnxSWM/edit?usp=sharing"",""รวมที่ทำกิน!AF49"")"),38)</f>
        <v>38</v>
      </c>
      <c r="AK56" s="215">
        <f ca="1">IFERROR(__xludf.DUMMYFUNCTION("IMPORTRANGE(""https://docs.google.com/spreadsheets/d/1AGHcLOeeYFL3K4b9R1dSzyJy00PE_ra89DNTVfnxSWM/edit?usp=sharing"",""รวมที่ทำกิน!AH49"")"),646.93)</f>
        <v>646.92999999999995</v>
      </c>
      <c r="AL56" s="220">
        <f t="shared" ca="1" si="103"/>
        <v>38</v>
      </c>
      <c r="AM56" s="215">
        <f ca="1">IFERROR(__xludf.DUMMYFUNCTION("IMPORTRANGE(""https://docs.google.com/spreadsheets/d/1AGHcLOeeYFL3K4b9R1dSzyJy00PE_ra89DNTVfnxSWM/edit?usp=sharing"",""รวมที่ทำกิน!AI49"")"),0)</f>
        <v>0</v>
      </c>
      <c r="AN56" s="215">
        <f ca="1">IFERROR(__xludf.DUMMYFUNCTION("IMPORTRANGE(""https://docs.google.com/spreadsheets/d/1AGHcLOeeYFL3K4b9R1dSzyJy00PE_ra89DNTVfnxSWM/edit?usp=sharing"",""รวมที่ทำกิน!AK49"")"),0)</f>
        <v>0</v>
      </c>
      <c r="AO56" s="220">
        <f t="shared" ca="1" si="22"/>
        <v>0</v>
      </c>
      <c r="AP56" s="215">
        <f ca="1">IFERROR(__xludf.DUMMYFUNCTION("IMPORTRANGE(""https://docs.google.com/spreadsheets/d/1AGHcLOeeYFL3K4b9R1dSzyJy00PE_ra89DNTVfnxSWM/edit?usp=sharing"",""รวมที่ทำกิน!AL49"")"),0)</f>
        <v>0</v>
      </c>
      <c r="AQ56" s="215">
        <f ca="1">IFERROR(__xludf.DUMMYFUNCTION("IMPORTRANGE(""https://docs.google.com/spreadsheets/d/1AGHcLOeeYFL3K4b9R1dSzyJy00PE_ra89DNTVfnxSWM/edit?usp=sharing"",""รวมที่ทำกิน!AN49"")"),0)</f>
        <v>0</v>
      </c>
      <c r="AR56" s="220">
        <f t="shared" ca="1" si="24"/>
        <v>0</v>
      </c>
      <c r="AS56" s="215">
        <f ca="1">IFERROR(__xludf.DUMMYFUNCTION("IMPORTRANGE(""https://docs.google.com/spreadsheets/d/1AGHcLOeeYFL3K4b9R1dSzyJy00PE_ra89DNTVfnxSWM/edit?usp=sharing"",""รวมที่ทำกิน!AO49"")"),250)</f>
        <v>250</v>
      </c>
      <c r="AT56" s="215">
        <f ca="1">IFERROR(__xludf.DUMMYFUNCTION("IMPORTRANGE(""https://docs.google.com/spreadsheets/d/1AGHcLOeeYFL3K4b9R1dSzyJy00PE_ra89DNTVfnxSWM/edit?usp=sharing"",""รวมที่ทำกิน!AP49"")"),10)</f>
        <v>10</v>
      </c>
      <c r="AU56" s="215">
        <f ca="1">IFERROR(__xludf.DUMMYFUNCTION("IMPORTRANGE(""https://docs.google.com/spreadsheets/d/1AGHcLOeeYFL3K4b9R1dSzyJy00PE_ra89DNTVfnxSWM/edit?usp=sharing"",""รวมที่ทำกิน!AR49"")"),113.65)</f>
        <v>113.65</v>
      </c>
      <c r="AV56" s="220">
        <f t="shared" ca="1" si="107"/>
        <v>45.46</v>
      </c>
      <c r="AW56" s="215">
        <f ca="1">IFERROR(__xludf.DUMMYFUNCTION("IMPORTRANGE(""https://docs.google.com/spreadsheets/d/1AGHcLOeeYFL3K4b9R1dSzyJy00PE_ra89DNTVfnxSWM/edit?usp=sharing"",""รวมที่ทำกิน!AS49"")"),60)</f>
        <v>60</v>
      </c>
      <c r="AX56" s="215">
        <f ca="1">IFERROR(__xludf.DUMMYFUNCTION("IMPORTRANGE(""https://docs.google.com/spreadsheets/d/1AGHcLOeeYFL3K4b9R1dSzyJy00PE_ra89DNTVfnxSWM/edit?usp=sharing"",""รวมที่ทำกิน!AT49"")"),58)</f>
        <v>58</v>
      </c>
      <c r="AY56" s="215">
        <f ca="1">IFERROR(__xludf.DUMMYFUNCTION("IMPORTRANGE(""https://docs.google.com/spreadsheets/d/1AGHcLOeeYFL3K4b9R1dSzyJy00PE_ra89DNTVfnxSWM/edit?usp=sharing"",""รวมที่ทำกิน!AV49"")"),788.68)</f>
        <v>788.68</v>
      </c>
      <c r="AZ56" s="220">
        <f t="shared" ca="1" si="109"/>
        <v>96.666666666666671</v>
      </c>
      <c r="BA56" s="215">
        <f ca="1">IFERROR(__xludf.DUMMYFUNCTION("IMPORTRANGE(""https://docs.google.com/spreadsheets/d/1AGHcLOeeYFL3K4b9R1dSzyJy00PE_ra89DNTVfnxSWM/edit?usp=sharing"",""รวมที่ทำกิน!AW49"")"),0)</f>
        <v>0</v>
      </c>
      <c r="BB56" s="215">
        <f ca="1">IFERROR(__xludf.DUMMYFUNCTION("IMPORTRANGE(""https://docs.google.com/spreadsheets/d/1AGHcLOeeYFL3K4b9R1dSzyJy00PE_ra89DNTVfnxSWM/edit?usp=sharing"",""รวมที่ทำกิน!AY49"")"),0)</f>
        <v>0</v>
      </c>
      <c r="BC56" s="220">
        <f t="shared" ca="1" si="30"/>
        <v>0</v>
      </c>
      <c r="BD56" s="215">
        <f ca="1">IFERROR(__xludf.DUMMYFUNCTION("IMPORTRANGE(""https://docs.google.com/spreadsheets/d/1AGHcLOeeYFL3K4b9R1dSzyJy00PE_ra89DNTVfnxSWM/edit?usp=sharing"",""รวมที่ทำกิน!AZ49"")"),30)</f>
        <v>30</v>
      </c>
      <c r="BE56" s="215">
        <f ca="1">IFERROR(__xludf.DUMMYFUNCTION("IMPORTRANGE(""https://docs.google.com/spreadsheets/d/1AGHcLOeeYFL3K4b9R1dSzyJy00PE_ra89DNTVfnxSWM/edit?usp=sharing"",""รวมที่ทำกิน!BB49"")"),318.41)</f>
        <v>318.41000000000003</v>
      </c>
      <c r="BF56" s="221">
        <f t="shared" ca="1" si="32"/>
        <v>50</v>
      </c>
    </row>
    <row r="57" spans="1:58" ht="21" customHeight="1">
      <c r="A57" s="73">
        <v>3</v>
      </c>
      <c r="B57" s="184" t="s">
        <v>81</v>
      </c>
      <c r="C57" s="75">
        <f t="shared" ca="1" si="0"/>
        <v>985070</v>
      </c>
      <c r="D57" s="76">
        <f t="shared" ca="1" si="142"/>
        <v>968070</v>
      </c>
      <c r="E57" s="77">
        <f ca="1">IFERROR(__xludf.DUMMYFUNCTION("IMPORTRANGE(""https://docs.google.com/spreadsheets/d/1C3CXT74ZlgGe6_JY_1olB1XN4rF0dxEuIIF-xsYjHgg/edit?usp=sharing"",""พรบ!BX61"")"),529200)</f>
        <v>529200</v>
      </c>
      <c r="F57" s="77">
        <f ca="1">IFERROR(__xludf.DUMMYFUNCTION("IMPORTRANGE(""https://docs.google.com/spreadsheets/d/1C3CXT74ZlgGe6_JY_1olB1XN4rF0dxEuIIF-xsYjHgg/edit?usp=sharing"",""พรบ!BY61"")"),438870)</f>
        <v>438870</v>
      </c>
      <c r="G57" s="77">
        <f ca="1">IFERROR(__xludf.DUMMYFUNCTION("IMPORTRANGE(""https://docs.google.com/spreadsheets/d/1Yj_ptqi66GCucihVvJfMjLAmec39IyEx_6qawtMGysU/edit?usp=sharing"",""สบก!DJ61"")"),17000)</f>
        <v>17000</v>
      </c>
      <c r="H57" s="77">
        <f ca="1">IFERROR(__xludf.DUMMYFUNCTION("IMPORTRANGE(""https://docs.google.com/spreadsheets/d/1Yj_ptqi66GCucihVvJfMjLAmec39IyEx_6qawtMGysU/edit?usp=shDLing"",""สบก!DL61"")"),699780)</f>
        <v>699780</v>
      </c>
      <c r="I57" s="77">
        <f t="shared" ca="1" si="3"/>
        <v>508244.13</v>
      </c>
      <c r="J57" s="77">
        <f t="shared" ca="1" si="4"/>
        <v>51.594722202483069</v>
      </c>
      <c r="K57" s="77">
        <f ca="1">IFERROR(__xludf.DUMMYFUNCTION("IMPORTRANGE(""https://docs.google.com/spreadsheets/d/1Yj_ptqi66GCucihVvJfMjLAmec39IyEx_6qawtMGysU/edit?usp=sharing"",""สบก!DM61"")"),491244.13)</f>
        <v>491244.13</v>
      </c>
      <c r="L57" s="137">
        <f t="shared" ca="1" si="5"/>
        <v>50.744690983090067</v>
      </c>
      <c r="M57" s="137">
        <f t="shared" ca="1" si="6"/>
        <v>70.199795650061446</v>
      </c>
      <c r="N57" s="137">
        <f ca="1">IFERROR(__xludf.DUMMYFUNCTION("IMPORTRANGE(""https://docs.google.com/spreadsheets/d/1Yj_ptqi66GCucihVvJfMjLAmec39IyEx_6qawtMGysU/edit?usp=sharing"",""สบก!DN61"")"),17000)</f>
        <v>17000</v>
      </c>
      <c r="O57" s="137">
        <f t="shared" ca="1" si="7"/>
        <v>100</v>
      </c>
      <c r="P57" s="77">
        <f ca="1">IFERROR(__xludf.DUMMYFUNCTION("IMPORTRANGE(""https://docs.google.com/spreadsheets/d/1C3CXT74ZlgGe6_JY_1olB1XN4rF0dxEuIIF-xsYjHgg/edit?usp=sharing"",""พรบ!CA61"")"),210)</f>
        <v>210</v>
      </c>
      <c r="Q57" s="77">
        <f ca="1">IFERROR(__xludf.DUMMYFUNCTION("IMPORTRANGE(""https://docs.google.com/spreadsheets/d/1C3CXT74ZlgGe6_JY_1olB1XN4rF0dxEuIIF-xsYjHgg/edit?usp=sharing"",""พรบ!BZ61"")"),3160)</f>
        <v>3160</v>
      </c>
      <c r="R57" s="218">
        <f t="shared" ca="1" si="95"/>
        <v>126</v>
      </c>
      <c r="S57" s="77">
        <f ca="1">IFERROR(__xludf.DUMMYFUNCTION("IMPORTRANGE(""https://docs.google.com/spreadsheets/d/1SX6NBoVAgQJ6U1MVXOaj8PK2l7WJ3RER9xtqwdhxkhw/edit?usp=sharing"",""ฉะเชิงเทรา!J234"")"),286)</f>
        <v>286</v>
      </c>
      <c r="T57" s="77">
        <f ca="1">IFERROR(__xludf.DUMMYFUNCTION("IMPORTRANGE(""https://docs.google.com/spreadsheets/d/1SX6NBoVAgQJ6U1MVXOaj8PK2l7WJ3RER9xtqwdhxkhw/edit?usp=sharing"",""ฉะเชิงเทรา!J235"")"),3273.29)</f>
        <v>3273.29</v>
      </c>
      <c r="U57" s="137">
        <f t="shared" ca="1" si="10"/>
        <v>103.58512658227848</v>
      </c>
      <c r="V57" s="77">
        <f ca="1">IFERROR(__xludf.DUMMYFUNCTION("IMPORTRANGE(""https://docs.google.com/spreadsheets/d/1SX6NBoVAgQJ6U1MVXOaj8PK2l7WJ3RER9xtqwdhxkhw/edit?usp=sharing"",""ฉะเชิงเทรา!J236"")"),193)</f>
        <v>193</v>
      </c>
      <c r="W57" s="77">
        <f ca="1">IFERROR(__xludf.DUMMYFUNCTION("IMPORTRANGE(""https://docs.google.com/spreadsheets/d/1SX6NBoVAgQJ6U1MVXOaj8PK2l7WJ3RER9xtqwdhxkhw/edit?usp=sharing"",""ฉะเชิงเทรา!J237"")"),2497.96)</f>
        <v>2497.96</v>
      </c>
      <c r="X57" s="137">
        <f t="shared" ca="1" si="12"/>
        <v>91.904761904761898</v>
      </c>
      <c r="Y57" s="77">
        <f ca="1">IFERROR(__xludf.DUMMYFUNCTION("IMPORTRANGE(""https://docs.google.com/spreadsheets/d/1SX6NBoVAgQJ6U1MVXOaj8PK2l7WJ3RER9xtqwdhxkhw/edit?usp=sharing"",""ฉะเชิงเทรา!J238"")"),0)</f>
        <v>0</v>
      </c>
      <c r="Z57" s="77">
        <f ca="1">IFERROR(__xludf.DUMMYFUNCTION("IMPORTRANGE(""https://docs.google.com/spreadsheets/d/1SX6NBoVAgQJ6U1MVXOaj8PK2l7WJ3RER9xtqwdhxkhw/edit?usp=sharing"",""ฉะเชิงเทรา!J239"")"),0)</f>
        <v>0</v>
      </c>
      <c r="AA57" s="137">
        <f t="shared" ca="1" si="14"/>
        <v>0</v>
      </c>
      <c r="AB57" s="77">
        <f ca="1">IFERROR(__xludf.DUMMYFUNCTION("IMPORTRANGE(""https://docs.google.com/spreadsheets/d/1SX6NBoVAgQJ6U1MVXOaj8PK2l7WJ3RER9xtqwdhxkhw/edit?usp=sharing"",""ฉะเชิงเทรา!J240"")"),109)</f>
        <v>109</v>
      </c>
      <c r="AC57" s="77">
        <f ca="1">IFERROR(__xludf.DUMMYFUNCTION("IMPORTRANGE(""https://docs.google.com/spreadsheets/d/1SX6NBoVAgQJ6U1MVXOaj8PK2l7WJ3RER9xtqwdhxkhw/edit?usp=sharing"",""ฉะเชิงเทรา!J241"")"),1574.6)</f>
        <v>1574.6</v>
      </c>
      <c r="AD57" s="219">
        <f t="shared" ca="1" si="16"/>
        <v>51.904761904761905</v>
      </c>
      <c r="AE57" s="215">
        <f ca="1">IFERROR(__xludf.DUMMYFUNCTION("IMPORTRANGE(""https://docs.google.com/spreadsheets/d/1AGHcLOeeYFL3K4b9R1dSzyJy00PE_ra89DNTVfnxSWM/edit?usp=sharing"",""รวมที่ทำกิน!AA50"")"),2040)</f>
        <v>2040</v>
      </c>
      <c r="AF57" s="215">
        <f ca="1">IFERROR(__xludf.DUMMYFUNCTION("IMPORTRANGE(""https://docs.google.com/spreadsheets/d/1AGHcLOeeYFL3K4b9R1dSzyJy00PE_ra89DNTVfnxSWM/edit?usp=sharing"",""รวมที่ทำกิน!AB50"")"),185)</f>
        <v>185</v>
      </c>
      <c r="AG57" s="215">
        <f ca="1">IFERROR(__xludf.DUMMYFUNCTION("IMPORTRANGE(""https://docs.google.com/spreadsheets/d/1AGHcLOeeYFL3K4b9R1dSzyJy00PE_ra89DNTVfnxSWM/edit?usp=sharing"",""รวมที่ทำกิน!AD50"")"),2334.59)</f>
        <v>2334.59</v>
      </c>
      <c r="AH57" s="219">
        <f t="shared" ca="1" si="101"/>
        <v>114.4406862745098</v>
      </c>
      <c r="AI57" s="215">
        <f ca="1">IFERROR(__xludf.DUMMYFUNCTION("IMPORTRANGE(""https://docs.google.com/spreadsheets/d/1AGHcLOeeYFL3K4b9R1dSzyJy00PE_ra89DNTVfnxSWM/edit?usp=sharing"",""รวมที่ทำกิน!AE50"")"),70)</f>
        <v>70</v>
      </c>
      <c r="AJ57" s="215">
        <f ca="1">IFERROR(__xludf.DUMMYFUNCTION("IMPORTRANGE(""https://docs.google.com/spreadsheets/d/1AGHcLOeeYFL3K4b9R1dSzyJy00PE_ra89DNTVfnxSWM/edit?usp=sharing"",""รวมที่ทำกิน!AF50"")"),52)</f>
        <v>52</v>
      </c>
      <c r="AK57" s="215">
        <f ca="1">IFERROR(__xludf.DUMMYFUNCTION("IMPORTRANGE(""https://docs.google.com/spreadsheets/d/1AGHcLOeeYFL3K4b9R1dSzyJy00PE_ra89DNTVfnxSWM/edit?usp=sharing"",""รวมที่ทำกิน!AH50"")"),833.11)</f>
        <v>833.11</v>
      </c>
      <c r="AL57" s="220">
        <f t="shared" ca="1" si="103"/>
        <v>74.285714285714292</v>
      </c>
      <c r="AM57" s="215">
        <f ca="1">IFERROR(__xludf.DUMMYFUNCTION("IMPORTRANGE(""https://docs.google.com/spreadsheets/d/1AGHcLOeeYFL3K4b9R1dSzyJy00PE_ra89DNTVfnxSWM/edit?usp=sharing"",""รวมที่ทำกิน!AI50"")"),0)</f>
        <v>0</v>
      </c>
      <c r="AN57" s="215">
        <f ca="1">IFERROR(__xludf.DUMMYFUNCTION("IMPORTRANGE(""https://docs.google.com/spreadsheets/d/1AGHcLOeeYFL3K4b9R1dSzyJy00PE_ra89DNTVfnxSWM/edit?usp=sharing"",""รวมที่ทำกิน!AK50"")"),0)</f>
        <v>0</v>
      </c>
      <c r="AO57" s="220">
        <f t="shared" ca="1" si="22"/>
        <v>0</v>
      </c>
      <c r="AP57" s="215">
        <f ca="1">IFERROR(__xludf.DUMMYFUNCTION("IMPORTRANGE(""https://docs.google.com/spreadsheets/d/1AGHcLOeeYFL3K4b9R1dSzyJy00PE_ra89DNTVfnxSWM/edit?usp=sharing"",""รวมที่ทำกิน!AL50"")"),32)</f>
        <v>32</v>
      </c>
      <c r="AQ57" s="215">
        <f ca="1">IFERROR(__xludf.DUMMYFUNCTION("IMPORTRANGE(""https://docs.google.com/spreadsheets/d/1AGHcLOeeYFL3K4b9R1dSzyJy00PE_ra89DNTVfnxSWM/edit?usp=sharing"",""รวมที่ทำกิน!AN50"")"),518.18)</f>
        <v>518.17999999999995</v>
      </c>
      <c r="AR57" s="220">
        <f t="shared" ca="1" si="24"/>
        <v>45.714285714285715</v>
      </c>
      <c r="AS57" s="215">
        <f ca="1">IFERROR(__xludf.DUMMYFUNCTION("IMPORTRANGE(""https://docs.google.com/spreadsheets/d/1AGHcLOeeYFL3K4b9R1dSzyJy00PE_ra89DNTVfnxSWM/edit?usp=sharing"",""รวมที่ทำกิน!AO50"")"),1120)</f>
        <v>1120</v>
      </c>
      <c r="AT57" s="215">
        <f ca="1">IFERROR(__xludf.DUMMYFUNCTION("IMPORTRANGE(""https://docs.google.com/spreadsheets/d/1AGHcLOeeYFL3K4b9R1dSzyJy00PE_ra89DNTVfnxSWM/edit?usp=sharing"",""รวมที่ทำกิน!AP50"")"),101)</f>
        <v>101</v>
      </c>
      <c r="AU57" s="215">
        <f ca="1">IFERROR(__xludf.DUMMYFUNCTION("IMPORTRANGE(""https://docs.google.com/spreadsheets/d/1AGHcLOeeYFL3K4b9R1dSzyJy00PE_ra89DNTVfnxSWM/edit?usp=sharing"",""รวมที่ทำกิน!AR50"")"),938.7)</f>
        <v>938.7</v>
      </c>
      <c r="AV57" s="220">
        <f t="shared" ca="1" si="107"/>
        <v>83.8125</v>
      </c>
      <c r="AW57" s="215">
        <f ca="1">IFERROR(__xludf.DUMMYFUNCTION("IMPORTRANGE(""https://docs.google.com/spreadsheets/d/1AGHcLOeeYFL3K4b9R1dSzyJy00PE_ra89DNTVfnxSWM/edit?usp=sharing"",""รวมที่ทำกิน!AS50"")"),140)</f>
        <v>140</v>
      </c>
      <c r="AX57" s="215">
        <f ca="1">IFERROR(__xludf.DUMMYFUNCTION("IMPORTRANGE(""https://docs.google.com/spreadsheets/d/1AGHcLOeeYFL3K4b9R1dSzyJy00PE_ra89DNTVfnxSWM/edit?usp=sharing"",""รวมที่ทำกิน!AT50"")"),141)</f>
        <v>141</v>
      </c>
      <c r="AY57" s="215">
        <f ca="1">IFERROR(__xludf.DUMMYFUNCTION("IMPORTRANGE(""https://docs.google.com/spreadsheets/d/1AGHcLOeeYFL3K4b9R1dSzyJy00PE_ra89DNTVfnxSWM/edit?usp=sharing"",""รวมที่ทำกิน!AV50"")"),1664.85)</f>
        <v>1664.85</v>
      </c>
      <c r="AZ57" s="220">
        <f t="shared" ca="1" si="109"/>
        <v>100.71428571428571</v>
      </c>
      <c r="BA57" s="215">
        <f ca="1">IFERROR(__xludf.DUMMYFUNCTION("IMPORTRANGE(""https://docs.google.com/spreadsheets/d/1AGHcLOeeYFL3K4b9R1dSzyJy00PE_ra89DNTVfnxSWM/edit?usp=sharing"",""รวมที่ทำกิน!AW50"")"),0)</f>
        <v>0</v>
      </c>
      <c r="BB57" s="215">
        <f ca="1">IFERROR(__xludf.DUMMYFUNCTION("IMPORTRANGE(""https://docs.google.com/spreadsheets/d/1AGHcLOeeYFL3K4b9R1dSzyJy00PE_ra89DNTVfnxSWM/edit?usp=sharing"",""รวมที่ทำกิน!AY50"")"),0)</f>
        <v>0</v>
      </c>
      <c r="BC57" s="220">
        <f t="shared" ca="1" si="30"/>
        <v>0</v>
      </c>
      <c r="BD57" s="215">
        <f ca="1">IFERROR(__xludf.DUMMYFUNCTION("IMPORTRANGE(""https://docs.google.com/spreadsheets/d/1AGHcLOeeYFL3K4b9R1dSzyJy00PE_ra89DNTVfnxSWM/edit?usp=sharing"",""รวมที่ทำกิน!AZ50"")"),77)</f>
        <v>77</v>
      </c>
      <c r="BE57" s="215">
        <f ca="1">IFERROR(__xludf.DUMMYFUNCTION("IMPORTRANGE(""https://docs.google.com/spreadsheets/d/1AGHcLOeeYFL3K4b9R1dSzyJy00PE_ra89DNTVfnxSWM/edit?usp=sharing"",""รวมที่ทำกิน!BB50"")"),1056.42)</f>
        <v>1056.42</v>
      </c>
      <c r="BF57" s="221">
        <f t="shared" ca="1" si="32"/>
        <v>55</v>
      </c>
    </row>
    <row r="58" spans="1:58" ht="21" customHeight="1">
      <c r="A58" s="73">
        <v>4</v>
      </c>
      <c r="B58" s="74" t="s">
        <v>82</v>
      </c>
      <c r="C58" s="75">
        <f t="shared" ca="1" si="0"/>
        <v>920200</v>
      </c>
      <c r="D58" s="76">
        <f t="shared" ca="1" si="142"/>
        <v>893200</v>
      </c>
      <c r="E58" s="77">
        <f ca="1">IFERROR(__xludf.DUMMYFUNCTION("IMPORTRANGE(""https://docs.google.com/spreadsheets/d/1C3CXT74ZlgGe6_JY_1olB1XN4rF0dxEuIIF-xsYjHgg/edit?usp=sharing"",""พรบ!BX62"")"),470000)</f>
        <v>470000</v>
      </c>
      <c r="F58" s="77">
        <f ca="1">IFERROR(__xludf.DUMMYFUNCTION("IMPORTRANGE(""https://docs.google.com/spreadsheets/d/1C3CXT74ZlgGe6_JY_1olB1XN4rF0dxEuIIF-xsYjHgg/edit?usp=sharing"",""พรบ!BY62"")"),423200)</f>
        <v>423200</v>
      </c>
      <c r="G58" s="77">
        <f ca="1">IFERROR(__xludf.DUMMYFUNCTION("IMPORTRANGE(""https://docs.google.com/spreadsheets/d/1Yj_ptqi66GCucihVvJfMjLAmec39IyEx_6qawtMGysU/edit?usp=sharing"",""สบก!DJ62"")"),27000)</f>
        <v>27000</v>
      </c>
      <c r="H58" s="77">
        <f ca="1">IFERROR(__xludf.DUMMYFUNCTION("IMPORTRANGE(""https://docs.google.com/spreadsheets/d/1Yj_ptqi66GCucihVvJfMjLAmec39IyEx_6qawtMGysU/edit?usp=shDLing"",""สบก!DL62"")"),640710)</f>
        <v>640710</v>
      </c>
      <c r="I58" s="77">
        <f t="shared" ca="1" si="3"/>
        <v>484246.99</v>
      </c>
      <c r="J58" s="77">
        <f t="shared" ca="1" si="4"/>
        <v>52.624102369050206</v>
      </c>
      <c r="K58" s="77">
        <f ca="1">IFERROR(__xludf.DUMMYFUNCTION("IMPORTRANGE(""https://docs.google.com/spreadsheets/d/1Yj_ptqi66GCucihVvJfMjLAmec39IyEx_6qawtMGysU/edit?usp=sharing"",""สบก!DM62"")"),457246.99)</f>
        <v>457246.99</v>
      </c>
      <c r="L58" s="137">
        <f t="shared" ca="1" si="5"/>
        <v>51.192005150022389</v>
      </c>
      <c r="M58" s="137">
        <f t="shared" ca="1" si="6"/>
        <v>71.365670896349357</v>
      </c>
      <c r="N58" s="137">
        <f ca="1">IFERROR(__xludf.DUMMYFUNCTION("IMPORTRANGE(""https://docs.google.com/spreadsheets/d/1Yj_ptqi66GCucihVvJfMjLAmec39IyEx_6qawtMGysU/edit?usp=sharing"",""สบก!DN62"")"),27000)</f>
        <v>27000</v>
      </c>
      <c r="O58" s="137">
        <f t="shared" ca="1" si="7"/>
        <v>100</v>
      </c>
      <c r="P58" s="77">
        <f ca="1">IFERROR(__xludf.DUMMYFUNCTION("IMPORTRANGE(""https://docs.google.com/spreadsheets/d/1C3CXT74ZlgGe6_JY_1olB1XN4rF0dxEuIIF-xsYjHgg/edit?usp=sharing"",""พรบ!CA62"")"),190)</f>
        <v>190</v>
      </c>
      <c r="Q58" s="77">
        <f ca="1">IFERROR(__xludf.DUMMYFUNCTION("IMPORTRANGE(""https://docs.google.com/spreadsheets/d/1C3CXT74ZlgGe6_JY_1olB1XN4rF0dxEuIIF-xsYjHgg/edit?usp=sharing"",""พรบ!BZ62"")"),2700)</f>
        <v>2700</v>
      </c>
      <c r="R58" s="218">
        <f t="shared" ca="1" si="95"/>
        <v>114</v>
      </c>
      <c r="S58" s="77">
        <f ca="1">IFERROR(__xludf.DUMMYFUNCTION("IMPORTRANGE(""https://docs.google.com/spreadsheets/d/1SX6NBoVAgQJ6U1MVXOaj8PK2l7WJ3RER9xtqwdhxkhw/edit?usp=sharing"",""ชลบุรี!J234"")"),282)</f>
        <v>282</v>
      </c>
      <c r="T58" s="77">
        <f ca="1">IFERROR(__xludf.DUMMYFUNCTION("IMPORTRANGE(""https://docs.google.com/spreadsheets/d/1SX6NBoVAgQJ6U1MVXOaj8PK2l7WJ3RER9xtqwdhxkhw/edit?usp=sharing"",""ชลบุรี!J235"")"),3541.85999999999)</f>
        <v>3541.8599999999901</v>
      </c>
      <c r="U58" s="137">
        <f t="shared" ca="1" si="10"/>
        <v>131.17999999999964</v>
      </c>
      <c r="V58" s="77">
        <f ca="1">IFERROR(__xludf.DUMMYFUNCTION("IMPORTRANGE(""https://docs.google.com/spreadsheets/d/1SX6NBoVAgQJ6U1MVXOaj8PK2l7WJ3RER9xtqwdhxkhw/edit?usp=sharing"",""ชลบุรี!J236"")"),213)</f>
        <v>213</v>
      </c>
      <c r="W58" s="77">
        <f ca="1">IFERROR(__xludf.DUMMYFUNCTION("IMPORTRANGE(""https://docs.google.com/spreadsheets/d/1SX6NBoVAgQJ6U1MVXOaj8PK2l7WJ3RER9xtqwdhxkhw/edit?usp=sharing"",""ชลบุรี!J237"")"),2376.49)</f>
        <v>2376.4899999999998</v>
      </c>
      <c r="X58" s="137">
        <f t="shared" ca="1" si="12"/>
        <v>112.10526315789474</v>
      </c>
      <c r="Y58" s="77">
        <f ca="1">IFERROR(__xludf.DUMMYFUNCTION("IMPORTRANGE(""https://docs.google.com/spreadsheets/d/1SX6NBoVAgQJ6U1MVXOaj8PK2l7WJ3RER9xtqwdhxkhw/edit?usp=sharing"",""ชลบุรี!J238"")"),0)</f>
        <v>0</v>
      </c>
      <c r="Z58" s="77">
        <f ca="1">IFERROR(__xludf.DUMMYFUNCTION("IMPORTRANGE(""https://docs.google.com/spreadsheets/d/1SX6NBoVAgQJ6U1MVXOaj8PK2l7WJ3RER9xtqwdhxkhw/edit?usp=sharing"",""ชลบุรี!J239"")"),0)</f>
        <v>0</v>
      </c>
      <c r="AA58" s="137">
        <f t="shared" ca="1" si="14"/>
        <v>0</v>
      </c>
      <c r="AB58" s="77">
        <f ca="1">IFERROR(__xludf.DUMMYFUNCTION("IMPORTRANGE(""https://docs.google.com/spreadsheets/d/1SX6NBoVAgQJ6U1MVXOaj8PK2l7WJ3RER9xtqwdhxkhw/edit?usp=sharing"",""ชลบุรี!J240"")"),183)</f>
        <v>183</v>
      </c>
      <c r="AC58" s="77">
        <f ca="1">IFERROR(__xludf.DUMMYFUNCTION("IMPORTRANGE(""https://docs.google.com/spreadsheets/d/1SX6NBoVAgQJ6U1MVXOaj8PK2l7WJ3RER9xtqwdhxkhw/edit?usp=sharing"",""ชลบุรี!J241"")"),2173.2)</f>
        <v>2173.1999999999998</v>
      </c>
      <c r="AD58" s="219">
        <f t="shared" ca="1" si="16"/>
        <v>96.315789473684205</v>
      </c>
      <c r="AE58" s="215">
        <f ca="1">IFERROR(__xludf.DUMMYFUNCTION("IMPORTRANGE(""https://docs.google.com/spreadsheets/d/1AGHcLOeeYFL3K4b9R1dSzyJy00PE_ra89DNTVfnxSWM/edit?usp=sharing"",""รวมที่ทำกิน!AA51"")"),2500)</f>
        <v>2500</v>
      </c>
      <c r="AF58" s="215">
        <f ca="1">IFERROR(__xludf.DUMMYFUNCTION("IMPORTRANGE(""https://docs.google.com/spreadsheets/d/1AGHcLOeeYFL3K4b9R1dSzyJy00PE_ra89DNTVfnxSWM/edit?usp=sharing"",""รวมที่ทำกิน!AB51"")"),153)</f>
        <v>153</v>
      </c>
      <c r="AG58" s="215">
        <f ca="1">IFERROR(__xludf.DUMMYFUNCTION("IMPORTRANGE(""https://docs.google.com/spreadsheets/d/1AGHcLOeeYFL3K4b9R1dSzyJy00PE_ra89DNTVfnxSWM/edit?usp=sharing"",""รวมที่ทำกิน!AD51"")"),2485.18)</f>
        <v>2485.1799999999998</v>
      </c>
      <c r="AH58" s="219">
        <f t="shared" ca="1" si="101"/>
        <v>99.407199999999989</v>
      </c>
      <c r="AI58" s="215">
        <f ca="1">IFERROR(__xludf.DUMMYFUNCTION("IMPORTRANGE(""https://docs.google.com/spreadsheets/d/1AGHcLOeeYFL3K4b9R1dSzyJy00PE_ra89DNTVfnxSWM/edit?usp=sharing"",""รวมที่ทำกิน!AE51"")"),150)</f>
        <v>150</v>
      </c>
      <c r="AJ58" s="215">
        <f ca="1">IFERROR(__xludf.DUMMYFUNCTION("IMPORTRANGE(""https://docs.google.com/spreadsheets/d/1AGHcLOeeYFL3K4b9R1dSzyJy00PE_ra89DNTVfnxSWM/edit?usp=sharing"",""รวมที่ทำกิน!AF51"")"),64)</f>
        <v>64</v>
      </c>
      <c r="AK58" s="215">
        <f ca="1">IFERROR(__xludf.DUMMYFUNCTION("IMPORTRANGE(""https://docs.google.com/spreadsheets/d/1AGHcLOeeYFL3K4b9R1dSzyJy00PE_ra89DNTVfnxSWM/edit?usp=sharing"",""รวมที่ทำกิน!AH51"")"),777.82)</f>
        <v>777.82</v>
      </c>
      <c r="AL58" s="220">
        <f t="shared" ca="1" si="103"/>
        <v>42.666666666666664</v>
      </c>
      <c r="AM58" s="215">
        <f ca="1">IFERROR(__xludf.DUMMYFUNCTION("IMPORTRANGE(""https://docs.google.com/spreadsheets/d/1AGHcLOeeYFL3K4b9R1dSzyJy00PE_ra89DNTVfnxSWM/edit?usp=sharing"",""รวมที่ทำกิน!AI51"")"),0)</f>
        <v>0</v>
      </c>
      <c r="AN58" s="215">
        <f ca="1">IFERROR(__xludf.DUMMYFUNCTION("IMPORTRANGE(""https://docs.google.com/spreadsheets/d/1AGHcLOeeYFL3K4b9R1dSzyJy00PE_ra89DNTVfnxSWM/edit?usp=sharing"",""รวมที่ทำกิน!AK51"")"),0)</f>
        <v>0</v>
      </c>
      <c r="AO58" s="220">
        <f t="shared" ca="1" si="22"/>
        <v>0</v>
      </c>
      <c r="AP58" s="215">
        <f ca="1">IFERROR(__xludf.DUMMYFUNCTION("IMPORTRANGE(""https://docs.google.com/spreadsheets/d/1AGHcLOeeYFL3K4b9R1dSzyJy00PE_ra89DNTVfnxSWM/edit?usp=sharing"",""รวมที่ทำกิน!AL51"")"),20)</f>
        <v>20</v>
      </c>
      <c r="AQ58" s="215">
        <f ca="1">IFERROR(__xludf.DUMMYFUNCTION("IMPORTRANGE(""https://docs.google.com/spreadsheets/d/1AGHcLOeeYFL3K4b9R1dSzyJy00PE_ra89DNTVfnxSWM/edit?usp=sharing"",""รวมที่ทำกิน!AN51"")"),346.59)</f>
        <v>346.59</v>
      </c>
      <c r="AR58" s="220">
        <f t="shared" ca="1" si="24"/>
        <v>13.333333333333334</v>
      </c>
      <c r="AS58" s="215">
        <f ca="1">IFERROR(__xludf.DUMMYFUNCTION("IMPORTRANGE(""https://docs.google.com/spreadsheets/d/1AGHcLOeeYFL3K4b9R1dSzyJy00PE_ra89DNTVfnxSWM/edit?usp=sharing"",""รวมที่ทำกิน!AO51"")"),200)</f>
        <v>200</v>
      </c>
      <c r="AT58" s="215">
        <f ca="1">IFERROR(__xludf.DUMMYFUNCTION("IMPORTRANGE(""https://docs.google.com/spreadsheets/d/1AGHcLOeeYFL3K4b9R1dSzyJy00PE_ra89DNTVfnxSWM/edit?usp=sharing"",""รวมที่ทำกิน!AP51"")"),129)</f>
        <v>129</v>
      </c>
      <c r="AU58" s="215">
        <f ca="1">IFERROR(__xludf.DUMMYFUNCTION("IMPORTRANGE(""https://docs.google.com/spreadsheets/d/1AGHcLOeeYFL3K4b9R1dSzyJy00PE_ra89DNTVfnxSWM/edit?usp=sharing"",""รวมที่ทำกิน!AR51"")"),1056.68)</f>
        <v>1056.68</v>
      </c>
      <c r="AV58" s="220">
        <f t="shared" ca="1" si="107"/>
        <v>528.34</v>
      </c>
      <c r="AW58" s="215">
        <f ca="1">IFERROR(__xludf.DUMMYFUNCTION("IMPORTRANGE(""https://docs.google.com/spreadsheets/d/1AGHcLOeeYFL3K4b9R1dSzyJy00PE_ra89DNTVfnxSWM/edit?usp=sharing"",""รวมที่ทำกิน!AS51"")"),40)</f>
        <v>40</v>
      </c>
      <c r="AX58" s="215">
        <f ca="1">IFERROR(__xludf.DUMMYFUNCTION("IMPORTRANGE(""https://docs.google.com/spreadsheets/d/1AGHcLOeeYFL3K4b9R1dSzyJy00PE_ra89DNTVfnxSWM/edit?usp=sharing"",""รวมที่ทำกิน!AT51"")"),149)</f>
        <v>149</v>
      </c>
      <c r="AY58" s="215">
        <f ca="1">IFERROR(__xludf.DUMMYFUNCTION("IMPORTRANGE(""https://docs.google.com/spreadsheets/d/1AGHcLOeeYFL3K4b9R1dSzyJy00PE_ra89DNTVfnxSWM/edit?usp=sharing"",""รวมที่ทำกิน!AV51"")"),1598.67)</f>
        <v>1598.67</v>
      </c>
      <c r="AZ58" s="220">
        <f t="shared" ca="1" si="109"/>
        <v>372.5</v>
      </c>
      <c r="BA58" s="215">
        <f ca="1">IFERROR(__xludf.DUMMYFUNCTION("IMPORTRANGE(""https://docs.google.com/spreadsheets/d/1AGHcLOeeYFL3K4b9R1dSzyJy00PE_ra89DNTVfnxSWM/edit?usp=sharing"",""รวมที่ทำกิน!AW51"")"),0)</f>
        <v>0</v>
      </c>
      <c r="BB58" s="215">
        <f ca="1">IFERROR(__xludf.DUMMYFUNCTION("IMPORTRANGE(""https://docs.google.com/spreadsheets/d/1AGHcLOeeYFL3K4b9R1dSzyJy00PE_ra89DNTVfnxSWM/edit?usp=sharing"",""รวมที่ทำกิน!AY51"")"),0)</f>
        <v>0</v>
      </c>
      <c r="BC58" s="220">
        <f t="shared" ca="1" si="30"/>
        <v>0</v>
      </c>
      <c r="BD58" s="215">
        <f ca="1">IFERROR(__xludf.DUMMYFUNCTION("IMPORTRANGE(""https://docs.google.com/spreadsheets/d/1AGHcLOeeYFL3K4b9R1dSzyJy00PE_ra89DNTVfnxSWM/edit?usp=sharing"",""รวมที่ทำกิน!AZ51"")"),163)</f>
        <v>163</v>
      </c>
      <c r="BE58" s="215">
        <f ca="1">IFERROR(__xludf.DUMMYFUNCTION("IMPORTRANGE(""https://docs.google.com/spreadsheets/d/1AGHcLOeeYFL3K4b9R1dSzyJy00PE_ra89DNTVfnxSWM/edit?usp=sharing"",""รวมที่ทำกิน!BB51"")"),1826.61)</f>
        <v>1826.61</v>
      </c>
      <c r="BF58" s="221">
        <f t="shared" ca="1" si="32"/>
        <v>407.5</v>
      </c>
    </row>
    <row r="59" spans="1:58" ht="21" customHeight="1">
      <c r="A59" s="73">
        <v>5</v>
      </c>
      <c r="B59" s="74" t="s">
        <v>83</v>
      </c>
      <c r="C59" s="75">
        <f t="shared" ca="1" si="0"/>
        <v>647730</v>
      </c>
      <c r="D59" s="76">
        <f t="shared" ca="1" si="142"/>
        <v>508730</v>
      </c>
      <c r="E59" s="77">
        <f ca="1">IFERROR(__xludf.DUMMYFUNCTION("IMPORTRANGE(""https://docs.google.com/spreadsheets/d/1C3CXT74ZlgGe6_JY_1olB1XN4rF0dxEuIIF-xsYjHgg/edit?usp=sharing"",""พรบ!BX63"")"),306000)</f>
        <v>306000</v>
      </c>
      <c r="F59" s="77">
        <f ca="1">IFERROR(__xludf.DUMMYFUNCTION("IMPORTRANGE(""https://docs.google.com/spreadsheets/d/1C3CXT74ZlgGe6_JY_1olB1XN4rF0dxEuIIF-xsYjHgg/edit?usp=sharing"",""พรบ!BY63"")"),202730)</f>
        <v>202730</v>
      </c>
      <c r="G59" s="77">
        <f ca="1">IFERROR(__xludf.DUMMYFUNCTION("IMPORTRANGE(""https://docs.google.com/spreadsheets/d/1Yj_ptqi66GCucihVvJfMjLAmec39IyEx_6qawtMGysU/edit?usp=sharing"",""สบก!DJ63"")"),139000)</f>
        <v>139000</v>
      </c>
      <c r="H59" s="77">
        <f ca="1">IFERROR(__xludf.DUMMYFUNCTION("IMPORTRANGE(""https://docs.google.com/spreadsheets/d/1Yj_ptqi66GCucihVvJfMjLAmec39IyEx_6qawtMGysU/edit?usp=shDLing"",""สบก!DL63"")"),368430)</f>
        <v>368430</v>
      </c>
      <c r="I59" s="77">
        <f t="shared" ca="1" si="3"/>
        <v>383505</v>
      </c>
      <c r="J59" s="77">
        <f t="shared" ca="1" si="4"/>
        <v>59.207540178778196</v>
      </c>
      <c r="K59" s="77">
        <f ca="1">IFERROR(__xludf.DUMMYFUNCTION("IMPORTRANGE(""https://docs.google.com/spreadsheets/d/1Yj_ptqi66GCucihVvJfMjLAmec39IyEx_6qawtMGysU/edit?usp=sharing"",""สบก!DM63"")"),244505)</f>
        <v>244505</v>
      </c>
      <c r="L59" s="137">
        <f t="shared" ca="1" si="5"/>
        <v>48.061840268904923</v>
      </c>
      <c r="M59" s="137">
        <f t="shared" ca="1" si="6"/>
        <v>66.364031159243282</v>
      </c>
      <c r="N59" s="137">
        <f ca="1">IFERROR(__xludf.DUMMYFUNCTION("IMPORTRANGE(""https://docs.google.com/spreadsheets/d/1Yj_ptqi66GCucihVvJfMjLAmec39IyEx_6qawtMGysU/edit?usp=sharing"",""สบก!DN63"")"),139000)</f>
        <v>139000</v>
      </c>
      <c r="O59" s="137">
        <f t="shared" ca="1" si="7"/>
        <v>100</v>
      </c>
      <c r="P59" s="77">
        <f ca="1">IFERROR(__xludf.DUMMYFUNCTION("IMPORTRANGE(""https://docs.google.com/spreadsheets/d/1C3CXT74ZlgGe6_JY_1olB1XN4rF0dxEuIIF-xsYjHgg/edit?usp=sharing"",""พรบ!CA63"")"),27)</f>
        <v>27</v>
      </c>
      <c r="Q59" s="77">
        <f ca="1">IFERROR(__xludf.DUMMYFUNCTION("IMPORTRANGE(""https://docs.google.com/spreadsheets/d/1C3CXT74ZlgGe6_JY_1olB1XN4rF0dxEuIIF-xsYjHgg/edit?usp=sharing"",""พรบ!BZ63"")"),144)</f>
        <v>144</v>
      </c>
      <c r="R59" s="218">
        <f t="shared" ca="1" si="95"/>
        <v>16.2</v>
      </c>
      <c r="S59" s="77">
        <f ca="1">IFERROR(__xludf.DUMMYFUNCTION("IMPORTRANGE(""https://docs.google.com/spreadsheets/d/1SX6NBoVAgQJ6U1MVXOaj8PK2l7WJ3RER9xtqwdhxkhw/edit?usp=sharing"",""ชัยนาท!J234"")"),11)</f>
        <v>11</v>
      </c>
      <c r="T59" s="77">
        <f ca="1">IFERROR(__xludf.DUMMYFUNCTION("IMPORTRANGE(""https://docs.google.com/spreadsheets/d/1SX6NBoVAgQJ6U1MVXOaj8PK2l7WJ3RER9xtqwdhxkhw/edit?usp=sharing"",""ชัยนาท!J235"")"),136.62)</f>
        <v>136.62</v>
      </c>
      <c r="U59" s="137">
        <f t="shared" ca="1" si="10"/>
        <v>94.875</v>
      </c>
      <c r="V59" s="77">
        <f ca="1">IFERROR(__xludf.DUMMYFUNCTION("IMPORTRANGE(""https://docs.google.com/spreadsheets/d/1SX6NBoVAgQJ6U1MVXOaj8PK2l7WJ3RER9xtqwdhxkhw/edit?usp=sharing"",""ชัยนาท!J236"")"),20)</f>
        <v>20</v>
      </c>
      <c r="W59" s="77">
        <f ca="1">IFERROR(__xludf.DUMMYFUNCTION("IMPORTRANGE(""https://docs.google.com/spreadsheets/d/1SX6NBoVAgQJ6U1MVXOaj8PK2l7WJ3RER9xtqwdhxkhw/edit?usp=sharing"",""ชัยนาท!J237"")"),238.53)</f>
        <v>238.53</v>
      </c>
      <c r="X59" s="137">
        <f t="shared" ca="1" si="12"/>
        <v>74.074074074074076</v>
      </c>
      <c r="Y59" s="77">
        <f ca="1">IFERROR(__xludf.DUMMYFUNCTION("IMPORTRANGE(""https://docs.google.com/spreadsheets/d/1SX6NBoVAgQJ6U1MVXOaj8PK2l7WJ3RER9xtqwdhxkhw/edit?usp=sharing"",""ชัยนาท!J238"")"),0)</f>
        <v>0</v>
      </c>
      <c r="Z59" s="77">
        <f ca="1">IFERROR(__xludf.DUMMYFUNCTION("IMPORTRANGE(""https://docs.google.com/spreadsheets/d/1SX6NBoVAgQJ6U1MVXOaj8PK2l7WJ3RER9xtqwdhxkhw/edit?usp=sharing"",""ชัยนาท!J239"")"),0)</f>
        <v>0</v>
      </c>
      <c r="AA59" s="137">
        <f t="shared" ca="1" si="14"/>
        <v>0</v>
      </c>
      <c r="AB59" s="77">
        <f ca="1">IFERROR(__xludf.DUMMYFUNCTION("IMPORTRANGE(""https://docs.google.com/spreadsheets/d/1SX6NBoVAgQJ6U1MVXOaj8PK2l7WJ3RER9xtqwdhxkhw/edit?usp=sharing"",""ชัยนาท!J240"")"),20)</f>
        <v>20</v>
      </c>
      <c r="AC59" s="77">
        <f ca="1">IFERROR(__xludf.DUMMYFUNCTION("IMPORTRANGE(""https://docs.google.com/spreadsheets/d/1SX6NBoVAgQJ6U1MVXOaj8PK2l7WJ3RER9xtqwdhxkhw/edit?usp=sharing"",""ชัยนาท!J241"")"),238.53)</f>
        <v>238.53</v>
      </c>
      <c r="AD59" s="219">
        <f t="shared" ca="1" si="16"/>
        <v>74.074074074074076</v>
      </c>
      <c r="AE59" s="215">
        <f ca="1">IFERROR(__xludf.DUMMYFUNCTION("IMPORTRANGE(""https://docs.google.com/spreadsheets/d/1AGHcLOeeYFL3K4b9R1dSzyJy00PE_ra89DNTVfnxSWM/edit?usp=sharing"",""รวมที่ทำกิน!AA52"")"),24)</f>
        <v>24</v>
      </c>
      <c r="AF59" s="215">
        <f ca="1">IFERROR(__xludf.DUMMYFUNCTION("IMPORTRANGE(""https://docs.google.com/spreadsheets/d/1AGHcLOeeYFL3K4b9R1dSzyJy00PE_ra89DNTVfnxSWM/edit?usp=sharing"",""รวมที่ทำกิน!AB52"")"),1)</f>
        <v>1</v>
      </c>
      <c r="AG59" s="215">
        <f ca="1">IFERROR(__xludf.DUMMYFUNCTION("IMPORTRANGE(""https://docs.google.com/spreadsheets/d/1AGHcLOeeYFL3K4b9R1dSzyJy00PE_ra89DNTVfnxSWM/edit?usp=sharing"",""รวมที่ทำกิน!AD52"")"),18.43)</f>
        <v>18.43</v>
      </c>
      <c r="AH59" s="219">
        <f t="shared" ca="1" si="101"/>
        <v>76.791666666666671</v>
      </c>
      <c r="AI59" s="215">
        <f ca="1">IFERROR(__xludf.DUMMYFUNCTION("IMPORTRANGE(""https://docs.google.com/spreadsheets/d/1AGHcLOeeYFL3K4b9R1dSzyJy00PE_ra89DNTVfnxSWM/edit?usp=sharing"",""รวมที่ทำกิน!AE52"")"),2)</f>
        <v>2</v>
      </c>
      <c r="AJ59" s="215">
        <f ca="1">IFERROR(__xludf.DUMMYFUNCTION("IMPORTRANGE(""https://docs.google.com/spreadsheets/d/1AGHcLOeeYFL3K4b9R1dSzyJy00PE_ra89DNTVfnxSWM/edit?usp=sharing"",""รวมที่ทำกิน!AF52"")"),0)</f>
        <v>0</v>
      </c>
      <c r="AK59" s="215">
        <f ca="1">IFERROR(__xludf.DUMMYFUNCTION("IMPORTRANGE(""https://docs.google.com/spreadsheets/d/1AGHcLOeeYFL3K4b9R1dSzyJy00PE_ra89DNTVfnxSWM/edit?usp=sharing"",""รวมที่ทำกิน!AH52"")"),0)</f>
        <v>0</v>
      </c>
      <c r="AL59" s="220">
        <f t="shared" ca="1" si="103"/>
        <v>0</v>
      </c>
      <c r="AM59" s="215">
        <f ca="1">IFERROR(__xludf.DUMMYFUNCTION("IMPORTRANGE(""https://docs.google.com/spreadsheets/d/1AGHcLOeeYFL3K4b9R1dSzyJy00PE_ra89DNTVfnxSWM/edit?usp=sharing"",""รวมที่ทำกิน!AI52"")"),0)</f>
        <v>0</v>
      </c>
      <c r="AN59" s="215">
        <f ca="1">IFERROR(__xludf.DUMMYFUNCTION("IMPORTRANGE(""https://docs.google.com/spreadsheets/d/1AGHcLOeeYFL3K4b9R1dSzyJy00PE_ra89DNTVfnxSWM/edit?usp=sharing"",""รวมที่ทำกิน!AK52"")"),0)</f>
        <v>0</v>
      </c>
      <c r="AO59" s="220">
        <f t="shared" ca="1" si="22"/>
        <v>0</v>
      </c>
      <c r="AP59" s="215">
        <f ca="1">IFERROR(__xludf.DUMMYFUNCTION("IMPORTRANGE(""https://docs.google.com/spreadsheets/d/1AGHcLOeeYFL3K4b9R1dSzyJy00PE_ra89DNTVfnxSWM/edit?usp=sharing"",""รวมที่ทำกิน!AL52"")"),0)</f>
        <v>0</v>
      </c>
      <c r="AQ59" s="215">
        <f ca="1">IFERROR(__xludf.DUMMYFUNCTION("IMPORTRANGE(""https://docs.google.com/spreadsheets/d/1AGHcLOeeYFL3K4b9R1dSzyJy00PE_ra89DNTVfnxSWM/edit?usp=sharing"",""รวมที่ทำกิน!AN52"")"),0)</f>
        <v>0</v>
      </c>
      <c r="AR59" s="220">
        <f t="shared" ca="1" si="24"/>
        <v>0</v>
      </c>
      <c r="AS59" s="215">
        <f ca="1">IFERROR(__xludf.DUMMYFUNCTION("IMPORTRANGE(""https://docs.google.com/spreadsheets/d/1AGHcLOeeYFL3K4b9R1dSzyJy00PE_ra89DNTVfnxSWM/edit?usp=sharing"",""รวมที่ทำกิน!AO52"")"),120)</f>
        <v>120</v>
      </c>
      <c r="AT59" s="215">
        <f ca="1">IFERROR(__xludf.DUMMYFUNCTION("IMPORTRANGE(""https://docs.google.com/spreadsheets/d/1AGHcLOeeYFL3K4b9R1dSzyJy00PE_ra89DNTVfnxSWM/edit?usp=sharing"",""รวมที่ทำกิน!AP52"")"),10)</f>
        <v>10</v>
      </c>
      <c r="AU59" s="215">
        <f ca="1">IFERROR(__xludf.DUMMYFUNCTION("IMPORTRANGE(""https://docs.google.com/spreadsheets/d/1AGHcLOeeYFL3K4b9R1dSzyJy00PE_ra89DNTVfnxSWM/edit?usp=sharing"",""รวมที่ทำกิน!AR52"")"),118.19)</f>
        <v>118.19</v>
      </c>
      <c r="AV59" s="220">
        <f t="shared" ca="1" si="107"/>
        <v>98.49166666666666</v>
      </c>
      <c r="AW59" s="215">
        <f ca="1">IFERROR(__xludf.DUMMYFUNCTION("IMPORTRANGE(""https://docs.google.com/spreadsheets/d/1AGHcLOeeYFL3K4b9R1dSzyJy00PE_ra89DNTVfnxSWM/edit?usp=sharing"",""รวมที่ทำกิน!AS52"")"),25)</f>
        <v>25</v>
      </c>
      <c r="AX59" s="215">
        <f ca="1">IFERROR(__xludf.DUMMYFUNCTION("IMPORTRANGE(""https://docs.google.com/spreadsheets/d/1AGHcLOeeYFL3K4b9R1dSzyJy00PE_ra89DNTVfnxSWM/edit?usp=sharing"",""รวมที่ทำกิน!AT52"")"),20)</f>
        <v>20</v>
      </c>
      <c r="AY59" s="215">
        <f ca="1">IFERROR(__xludf.DUMMYFUNCTION("IMPORTRANGE(""https://docs.google.com/spreadsheets/d/1AGHcLOeeYFL3K4b9R1dSzyJy00PE_ra89DNTVfnxSWM/edit?usp=sharing"",""รวมที่ทำกิน!AV52"")"),238.53)</f>
        <v>238.53</v>
      </c>
      <c r="AZ59" s="220">
        <f t="shared" ca="1" si="109"/>
        <v>80</v>
      </c>
      <c r="BA59" s="215">
        <f ca="1">IFERROR(__xludf.DUMMYFUNCTION("IMPORTRANGE(""https://docs.google.com/spreadsheets/d/1AGHcLOeeYFL3K4b9R1dSzyJy00PE_ra89DNTVfnxSWM/edit?usp=sharing"",""รวมที่ทำกิน!AW52"")"),0)</f>
        <v>0</v>
      </c>
      <c r="BB59" s="215">
        <f ca="1">IFERROR(__xludf.DUMMYFUNCTION("IMPORTRANGE(""https://docs.google.com/spreadsheets/d/1AGHcLOeeYFL3K4b9R1dSzyJy00PE_ra89DNTVfnxSWM/edit?usp=sharing"",""รวมที่ทำกิน!AY52"")"),0)</f>
        <v>0</v>
      </c>
      <c r="BC59" s="220">
        <f t="shared" ca="1" si="30"/>
        <v>0</v>
      </c>
      <c r="BD59" s="215">
        <f ca="1">IFERROR(__xludf.DUMMYFUNCTION("IMPORTRANGE(""https://docs.google.com/spreadsheets/d/1AGHcLOeeYFL3K4b9R1dSzyJy00PE_ra89DNTVfnxSWM/edit?usp=sharing"",""รวมที่ทำกิน!AZ52"")"),20)</f>
        <v>20</v>
      </c>
      <c r="BE59" s="215">
        <f ca="1">IFERROR(__xludf.DUMMYFUNCTION("IMPORTRANGE(""https://docs.google.com/spreadsheets/d/1AGHcLOeeYFL3K4b9R1dSzyJy00PE_ra89DNTVfnxSWM/edit?usp=sharing"",""รวมที่ทำกิน!BB52"")"),238.53)</f>
        <v>238.53</v>
      </c>
      <c r="BF59" s="221">
        <f t="shared" ca="1" si="32"/>
        <v>80</v>
      </c>
    </row>
    <row r="60" spans="1:58" ht="21" customHeight="1">
      <c r="A60" s="73">
        <v>6</v>
      </c>
      <c r="B60" s="74" t="s">
        <v>84</v>
      </c>
      <c r="C60" s="75">
        <f t="shared" ca="1" si="0"/>
        <v>816030</v>
      </c>
      <c r="D60" s="76">
        <f t="shared" ca="1" si="142"/>
        <v>816030</v>
      </c>
      <c r="E60" s="77">
        <f ca="1">IFERROR(__xludf.DUMMYFUNCTION("IMPORTRANGE(""https://docs.google.com/spreadsheets/d/1C3CXT74ZlgGe6_JY_1olB1XN4rF0dxEuIIF-xsYjHgg/edit?usp=sharing"",""พรบ!BX64"")"),493800)</f>
        <v>493800</v>
      </c>
      <c r="F60" s="77">
        <f ca="1">IFERROR(__xludf.DUMMYFUNCTION("IMPORTRANGE(""https://docs.google.com/spreadsheets/d/1C3CXT74ZlgGe6_JY_1olB1XN4rF0dxEuIIF-xsYjHgg/edit?usp=sharing"",""พรบ!BY64"")"),322230)</f>
        <v>322230</v>
      </c>
      <c r="G60" s="77">
        <f ca="1">IFERROR(__xludf.DUMMYFUNCTION("IMPORTRANGE(""https://docs.google.com/spreadsheets/d/1Yj_ptqi66GCucihVvJfMjLAmec39IyEx_6qawtMGysU/edit?usp=sharing"",""สบก!DJ64"")"),0)</f>
        <v>0</v>
      </c>
      <c r="H60" s="77">
        <f ca="1">IFERROR(__xludf.DUMMYFUNCTION("IMPORTRANGE(""https://docs.google.com/spreadsheets/d/1Yj_ptqi66GCucihVvJfMjLAmec39IyEx_6qawtMGysU/edit?usp=shDLing"",""สบก!DL64"")"),592220)</f>
        <v>592220</v>
      </c>
      <c r="I60" s="77">
        <f t="shared" ca="1" si="3"/>
        <v>379514</v>
      </c>
      <c r="J60" s="77">
        <f t="shared" ca="1" si="4"/>
        <v>46.507358798083402</v>
      </c>
      <c r="K60" s="77">
        <f ca="1">IFERROR(__xludf.DUMMYFUNCTION("IMPORTRANGE(""https://docs.google.com/spreadsheets/d/1Yj_ptqi66GCucihVvJfMjLAmec39IyEx_6qawtMGysU/edit?usp=sharing"",""สบก!DM64"")"),379514)</f>
        <v>379514</v>
      </c>
      <c r="L60" s="137">
        <f t="shared" ca="1" si="5"/>
        <v>46.507358798083402</v>
      </c>
      <c r="M60" s="137">
        <f t="shared" ca="1" si="6"/>
        <v>64.083279862213374</v>
      </c>
      <c r="N60" s="137">
        <f ca="1">IFERROR(__xludf.DUMMYFUNCTION("IMPORTRANGE(""https://docs.google.com/spreadsheets/d/1Yj_ptqi66GCucihVvJfMjLAmec39IyEx_6qawtMGysU/edit?usp=sharing"",""สบก!DN64"")"),0)</f>
        <v>0</v>
      </c>
      <c r="O60" s="137">
        <f t="shared" ca="1" si="7"/>
        <v>0</v>
      </c>
      <c r="P60" s="77">
        <f ca="1">IFERROR(__xludf.DUMMYFUNCTION("IMPORTRANGE(""https://docs.google.com/spreadsheets/d/1C3CXT74ZlgGe6_JY_1olB1XN4rF0dxEuIIF-xsYjHgg/edit?usp=sharing"",""พรบ!CA64"")"),170)</f>
        <v>170</v>
      </c>
      <c r="Q60" s="77">
        <f ca="1">IFERROR(__xludf.DUMMYFUNCTION("IMPORTRANGE(""https://docs.google.com/spreadsheets/d/1C3CXT74ZlgGe6_JY_1olB1XN4rF0dxEuIIF-xsYjHgg/edit?usp=sharing"",""พรบ!BZ64"")"),1600)</f>
        <v>1600</v>
      </c>
      <c r="R60" s="218">
        <f t="shared" ca="1" si="95"/>
        <v>102</v>
      </c>
      <c r="S60" s="77">
        <f ca="1">IFERROR(__xludf.DUMMYFUNCTION("IMPORTRANGE(""https://docs.google.com/spreadsheets/d/1SX6NBoVAgQJ6U1MVXOaj8PK2l7WJ3RER9xtqwdhxkhw/edit?usp=sharing"",""ตราด!J234"")"),8)</f>
        <v>8</v>
      </c>
      <c r="T60" s="77">
        <f ca="1">IFERROR(__xludf.DUMMYFUNCTION("IMPORTRANGE(""https://docs.google.com/spreadsheets/d/1SX6NBoVAgQJ6U1MVXOaj8PK2l7WJ3RER9xtqwdhxkhw/edit?usp=sharing"",""ตราด!J235"")"),118.16)</f>
        <v>118.16</v>
      </c>
      <c r="U60" s="137">
        <f t="shared" ca="1" si="10"/>
        <v>7.3849999999999998</v>
      </c>
      <c r="V60" s="77">
        <f ca="1">IFERROR(__xludf.DUMMYFUNCTION("IMPORTRANGE(""https://docs.google.com/spreadsheets/d/1SX6NBoVAgQJ6U1MVXOaj8PK2l7WJ3RER9xtqwdhxkhw/edit?usp=sharing"",""ตราด!J236"")"),46)</f>
        <v>46</v>
      </c>
      <c r="W60" s="77">
        <f ca="1">IFERROR(__xludf.DUMMYFUNCTION("IMPORTRANGE(""https://docs.google.com/spreadsheets/d/1SX6NBoVAgQJ6U1MVXOaj8PK2l7WJ3RER9xtqwdhxkhw/edit?usp=sharing"",""ตราด!J237"")"),866.28)</f>
        <v>866.28</v>
      </c>
      <c r="X60" s="137">
        <f t="shared" ca="1" si="12"/>
        <v>27.058823529411764</v>
      </c>
      <c r="Y60" s="77">
        <f ca="1">IFERROR(__xludf.DUMMYFUNCTION("IMPORTRANGE(""https://docs.google.com/spreadsheets/d/1SX6NBoVAgQJ6U1MVXOaj8PK2l7WJ3RER9xtqwdhxkhw/edit?usp=sharing"",""ตราด!J238"")"),0)</f>
        <v>0</v>
      </c>
      <c r="Z60" s="77">
        <f ca="1">IFERROR(__xludf.DUMMYFUNCTION("IMPORTRANGE(""https://docs.google.com/spreadsheets/d/1SX6NBoVAgQJ6U1MVXOaj8PK2l7WJ3RER9xtqwdhxkhw/edit?usp=sharing"",""ตราด!J239"")"),0)</f>
        <v>0</v>
      </c>
      <c r="AA60" s="137">
        <f t="shared" ca="1" si="14"/>
        <v>0</v>
      </c>
      <c r="AB60" s="77">
        <f ca="1">IFERROR(__xludf.DUMMYFUNCTION("IMPORTRANGE(""https://docs.google.com/spreadsheets/d/1SX6NBoVAgQJ6U1MVXOaj8PK2l7WJ3RER9xtqwdhxkhw/edit?usp=sharing"",""ตราด!J240"")"),43)</f>
        <v>43</v>
      </c>
      <c r="AC60" s="77">
        <f ca="1">IFERROR(__xludf.DUMMYFUNCTION("IMPORTRANGE(""https://docs.google.com/spreadsheets/d/1SX6NBoVAgQJ6U1MVXOaj8PK2l7WJ3RER9xtqwdhxkhw/edit?usp=sharing"",""ตราด!J241"")"),817.76)</f>
        <v>817.76</v>
      </c>
      <c r="AD60" s="219">
        <f t="shared" ca="1" si="16"/>
        <v>25.294117647058822</v>
      </c>
      <c r="AE60" s="215">
        <f ca="1">IFERROR(__xludf.DUMMYFUNCTION("IMPORTRANGE(""https://docs.google.com/spreadsheets/d/1AGHcLOeeYFL3K4b9R1dSzyJy00PE_ra89DNTVfnxSWM/edit?usp=sharing"",""รวมที่ทำกิน!AA53"")"),960)</f>
        <v>960</v>
      </c>
      <c r="AF60" s="215">
        <f ca="1">IFERROR(__xludf.DUMMYFUNCTION("IMPORTRANGE(""https://docs.google.com/spreadsheets/d/1AGHcLOeeYFL3K4b9R1dSzyJy00PE_ra89DNTVfnxSWM/edit?usp=sharing"",""รวมที่ทำกิน!AB53"")"),6)</f>
        <v>6</v>
      </c>
      <c r="AG60" s="215">
        <f ca="1">IFERROR(__xludf.DUMMYFUNCTION("IMPORTRANGE(""https://docs.google.com/spreadsheets/d/1AGHcLOeeYFL3K4b9R1dSzyJy00PE_ra89DNTVfnxSWM/edit?usp=sharing"",""รวมที่ทำกิน!AD53"")"),103.86)</f>
        <v>103.86</v>
      </c>
      <c r="AH60" s="219">
        <f t="shared" ca="1" si="101"/>
        <v>10.81875</v>
      </c>
      <c r="AI60" s="215">
        <f ca="1">IFERROR(__xludf.DUMMYFUNCTION("IMPORTRANGE(""https://docs.google.com/spreadsheets/d/1AGHcLOeeYFL3K4b9R1dSzyJy00PE_ra89DNTVfnxSWM/edit?usp=sharing"",""รวมที่ทำกิน!AE53"")"),80)</f>
        <v>80</v>
      </c>
      <c r="AJ60" s="215">
        <f ca="1">IFERROR(__xludf.DUMMYFUNCTION("IMPORTRANGE(""https://docs.google.com/spreadsheets/d/1AGHcLOeeYFL3K4b9R1dSzyJy00PE_ra89DNTVfnxSWM/edit?usp=sharing"",""รวมที่ทำกิน!AF53"")"),3)</f>
        <v>3</v>
      </c>
      <c r="AK60" s="215">
        <f ca="1">IFERROR(__xludf.DUMMYFUNCTION("IMPORTRANGE(""https://docs.google.com/spreadsheets/d/1AGHcLOeeYFL3K4b9R1dSzyJy00PE_ra89DNTVfnxSWM/edit?usp=sharing"",""รวมที่ทำกิน!AH53"")"),48.52)</f>
        <v>48.52</v>
      </c>
      <c r="AL60" s="220">
        <f t="shared" ca="1" si="103"/>
        <v>3.75</v>
      </c>
      <c r="AM60" s="215">
        <f ca="1">IFERROR(__xludf.DUMMYFUNCTION("IMPORTRANGE(""https://docs.google.com/spreadsheets/d/1AGHcLOeeYFL3K4b9R1dSzyJy00PE_ra89DNTVfnxSWM/edit?usp=sharing"",""รวมที่ทำกิน!AI53"")"),0)</f>
        <v>0</v>
      </c>
      <c r="AN60" s="215">
        <f ca="1">IFERROR(__xludf.DUMMYFUNCTION("IMPORTRANGE(""https://docs.google.com/spreadsheets/d/1AGHcLOeeYFL3K4b9R1dSzyJy00PE_ra89DNTVfnxSWM/edit?usp=sharing"",""รวมที่ทำกิน!AK53"")"),0)</f>
        <v>0</v>
      </c>
      <c r="AO60" s="220">
        <f t="shared" ca="1" si="22"/>
        <v>0</v>
      </c>
      <c r="AP60" s="215">
        <f ca="1">IFERROR(__xludf.DUMMYFUNCTION("IMPORTRANGE(""https://docs.google.com/spreadsheets/d/1AGHcLOeeYFL3K4b9R1dSzyJy00PE_ra89DNTVfnxSWM/edit?usp=sharing"",""รวมที่ทำกิน!AL53"")"),0)</f>
        <v>0</v>
      </c>
      <c r="AQ60" s="215">
        <f ca="1">IFERROR(__xludf.DUMMYFUNCTION("IMPORTRANGE(""https://docs.google.com/spreadsheets/d/1AGHcLOeeYFL3K4b9R1dSzyJy00PE_ra89DNTVfnxSWM/edit?usp=sharing"",""รวมที่ทำกิน!AN53"")"),0)</f>
        <v>0</v>
      </c>
      <c r="AR60" s="220">
        <f t="shared" ca="1" si="24"/>
        <v>0</v>
      </c>
      <c r="AS60" s="215">
        <f ca="1">IFERROR(__xludf.DUMMYFUNCTION("IMPORTRANGE(""https://docs.google.com/spreadsheets/d/1AGHcLOeeYFL3K4b9R1dSzyJy00PE_ra89DNTVfnxSWM/edit?usp=sharing"",""รวมที่ทำกิน!AO53"")"),640)</f>
        <v>640</v>
      </c>
      <c r="AT60" s="215">
        <f ca="1">IFERROR(__xludf.DUMMYFUNCTION("IMPORTRANGE(""https://docs.google.com/spreadsheets/d/1AGHcLOeeYFL3K4b9R1dSzyJy00PE_ra89DNTVfnxSWM/edit?usp=sharing"",""รวมที่ทำกิน!AP53"")"),2)</f>
        <v>2</v>
      </c>
      <c r="AU60" s="215">
        <f ca="1">IFERROR(__xludf.DUMMYFUNCTION("IMPORTRANGE(""https://docs.google.com/spreadsheets/d/1AGHcLOeeYFL3K4b9R1dSzyJy00PE_ra89DNTVfnxSWM/edit?usp=sharing"",""รวมที่ทำกิน!AR53"")"),14.3)</f>
        <v>14.3</v>
      </c>
      <c r="AV60" s="220">
        <f t="shared" ca="1" si="107"/>
        <v>2.234375</v>
      </c>
      <c r="AW60" s="215">
        <f ca="1">IFERROR(__xludf.DUMMYFUNCTION("IMPORTRANGE(""https://docs.google.com/spreadsheets/d/1AGHcLOeeYFL3K4b9R1dSzyJy00PE_ra89DNTVfnxSWM/edit?usp=sharing"",""รวมที่ทำกิน!AS53"")"),90)</f>
        <v>90</v>
      </c>
      <c r="AX60" s="215">
        <f ca="1">IFERROR(__xludf.DUMMYFUNCTION("IMPORTRANGE(""https://docs.google.com/spreadsheets/d/1AGHcLOeeYFL3K4b9R1dSzyJy00PE_ra89DNTVfnxSWM/edit?usp=sharing"",""รวมที่ทำกิน!AT53"")"),43)</f>
        <v>43</v>
      </c>
      <c r="AY60" s="215">
        <f ca="1">IFERROR(__xludf.DUMMYFUNCTION("IMPORTRANGE(""https://docs.google.com/spreadsheets/d/1AGHcLOeeYFL3K4b9R1dSzyJy00PE_ra89DNTVfnxSWM/edit?usp=sharing"",""รวมที่ทำกิน!AV53"")"),817.76)</f>
        <v>817.76</v>
      </c>
      <c r="AZ60" s="220">
        <f t="shared" ca="1" si="109"/>
        <v>47.777777777777779</v>
      </c>
      <c r="BA60" s="215">
        <f ca="1">IFERROR(__xludf.DUMMYFUNCTION("IMPORTRANGE(""https://docs.google.com/spreadsheets/d/1AGHcLOeeYFL3K4b9R1dSzyJy00PE_ra89DNTVfnxSWM/edit?usp=sharing"",""รวมที่ทำกิน!AW53"")"),0)</f>
        <v>0</v>
      </c>
      <c r="BB60" s="215">
        <f ca="1">IFERROR(__xludf.DUMMYFUNCTION("IMPORTRANGE(""https://docs.google.com/spreadsheets/d/1AGHcLOeeYFL3K4b9R1dSzyJy00PE_ra89DNTVfnxSWM/edit?usp=sharing"",""รวมที่ทำกิน!AY53"")"),0)</f>
        <v>0</v>
      </c>
      <c r="BC60" s="220">
        <f t="shared" ca="1" si="30"/>
        <v>0</v>
      </c>
      <c r="BD60" s="215">
        <f ca="1">IFERROR(__xludf.DUMMYFUNCTION("IMPORTRANGE(""https://docs.google.com/spreadsheets/d/1AGHcLOeeYFL3K4b9R1dSzyJy00PE_ra89DNTVfnxSWM/edit?usp=sharing"",""รวมที่ทำกิน!AZ53"")"),43)</f>
        <v>43</v>
      </c>
      <c r="BE60" s="215">
        <f ca="1">IFERROR(__xludf.DUMMYFUNCTION("IMPORTRANGE(""https://docs.google.com/spreadsheets/d/1AGHcLOeeYFL3K4b9R1dSzyJy00PE_ra89DNTVfnxSWM/edit?usp=sharing"",""รวมที่ทำกิน!BB53"")"),817.76)</f>
        <v>817.76</v>
      </c>
      <c r="BF60" s="221">
        <f t="shared" ca="1" si="32"/>
        <v>47.777777777777779</v>
      </c>
    </row>
    <row r="61" spans="1:58" ht="21" customHeight="1">
      <c r="A61" s="73">
        <v>7</v>
      </c>
      <c r="B61" s="74" t="s">
        <v>85</v>
      </c>
      <c r="C61" s="75">
        <f t="shared" ca="1" si="0"/>
        <v>749180</v>
      </c>
      <c r="D61" s="76">
        <f t="shared" ca="1" si="142"/>
        <v>711380</v>
      </c>
      <c r="E61" s="77">
        <f ca="1">IFERROR(__xludf.DUMMYFUNCTION("IMPORTRANGE(""https://docs.google.com/spreadsheets/d/1C3CXT74ZlgGe6_JY_1olB1XN4rF0dxEuIIF-xsYjHgg/edit?usp=sharing"",""พรบ!BX65"")"),529200)</f>
        <v>529200</v>
      </c>
      <c r="F61" s="77">
        <f ca="1">IFERROR(__xludf.DUMMYFUNCTION("IMPORTRANGE(""https://docs.google.com/spreadsheets/d/1C3CXT74ZlgGe6_JY_1olB1XN4rF0dxEuIIF-xsYjHgg/edit?usp=sharing"",""พรบ!BY65"")"),182180)</f>
        <v>182180</v>
      </c>
      <c r="G61" s="77">
        <f ca="1">IFERROR(__xludf.DUMMYFUNCTION("IMPORTRANGE(""https://docs.google.com/spreadsheets/d/1Yj_ptqi66GCucihVvJfMjLAmec39IyEx_6qawtMGysU/edit?usp=sharing"",""สบก!DJ65"")"),37800)</f>
        <v>37800</v>
      </c>
      <c r="H61" s="77">
        <f ca="1">IFERROR(__xludf.DUMMYFUNCTION("IMPORTRANGE(""https://docs.google.com/spreadsheets/d/1Yj_ptqi66GCucihVvJfMjLAmec39IyEx_6qawtMGysU/edit?usp=shDLing"",""สบก!DL65"")"),520990)</f>
        <v>520990</v>
      </c>
      <c r="I61" s="77">
        <f t="shared" ca="1" si="3"/>
        <v>295726</v>
      </c>
      <c r="J61" s="77">
        <f t="shared" ca="1" si="4"/>
        <v>39.473290797939079</v>
      </c>
      <c r="K61" s="77">
        <f ca="1">IFERROR(__xludf.DUMMYFUNCTION("IMPORTRANGE(""https://docs.google.com/spreadsheets/d/1Yj_ptqi66GCucihVvJfMjLAmec39IyEx_6qawtMGysU/edit?usp=sharing"",""สบก!DM65"")"),257926)</f>
        <v>257926</v>
      </c>
      <c r="L61" s="137">
        <f t="shared" ca="1" si="5"/>
        <v>36.257134021198233</v>
      </c>
      <c r="M61" s="137">
        <f t="shared" ca="1" si="6"/>
        <v>49.506900324382428</v>
      </c>
      <c r="N61" s="137">
        <f ca="1">IFERROR(__xludf.DUMMYFUNCTION("IMPORTRANGE(""https://docs.google.com/spreadsheets/d/1Yj_ptqi66GCucihVvJfMjLAmec39IyEx_6qawtMGysU/edit?usp=sharing"",""สบก!DN65"")"),37800)</f>
        <v>37800</v>
      </c>
      <c r="O61" s="137">
        <f t="shared" ca="1" si="7"/>
        <v>100</v>
      </c>
      <c r="P61" s="77">
        <f ca="1">IFERROR(__xludf.DUMMYFUNCTION("IMPORTRANGE(""https://docs.google.com/spreadsheets/d/1C3CXT74ZlgGe6_JY_1olB1XN4rF0dxEuIIF-xsYjHgg/edit?usp=sharing"",""พรบ!CA65"")"),0)</f>
        <v>0</v>
      </c>
      <c r="Q61" s="77">
        <f ca="1">IFERROR(__xludf.DUMMYFUNCTION("IMPORTRANGE(""https://docs.google.com/spreadsheets/d/1C3CXT74ZlgGe6_JY_1olB1XN4rF0dxEuIIF-xsYjHgg/edit?usp=sharing"",""พรบ!BZ65"")"),0)</f>
        <v>0</v>
      </c>
      <c r="R61" s="218">
        <f t="shared" ca="1" si="95"/>
        <v>0</v>
      </c>
      <c r="S61" s="77">
        <f ca="1">IFERROR(__xludf.DUMMYFUNCTION("IMPORTRANGE(""https://docs.google.com/spreadsheets/d/1SX6NBoVAgQJ6U1MVXOaj8PK2l7WJ3RER9xtqwdhxkhw/edit?usp=sharing"",""นครนายก!J234"")"),0)</f>
        <v>0</v>
      </c>
      <c r="T61" s="77">
        <f ca="1">IFERROR(__xludf.DUMMYFUNCTION("IMPORTRANGE(""https://docs.google.com/spreadsheets/d/1SX6NBoVAgQJ6U1MVXOaj8PK2l7WJ3RER9xtqwdhxkhw/edit?usp=sharing"",""นครนายก!J235"")"),0)</f>
        <v>0</v>
      </c>
      <c r="U61" s="137">
        <f t="shared" ca="1" si="10"/>
        <v>0</v>
      </c>
      <c r="V61" s="77">
        <f ca="1">IFERROR(__xludf.DUMMYFUNCTION("IMPORTRANGE(""https://docs.google.com/spreadsheets/d/1SX6NBoVAgQJ6U1MVXOaj8PK2l7WJ3RER9xtqwdhxkhw/edit?usp=sharing"",""นครนายก!J236"")"),0)</f>
        <v>0</v>
      </c>
      <c r="W61" s="77">
        <f ca="1">IFERROR(__xludf.DUMMYFUNCTION("IMPORTRANGE(""https://docs.google.com/spreadsheets/d/1SX6NBoVAgQJ6U1MVXOaj8PK2l7WJ3RER9xtqwdhxkhw/edit?usp=sharing"",""นครนายก!J237"")"),0)</f>
        <v>0</v>
      </c>
      <c r="X61" s="137">
        <f t="shared" ca="1" si="12"/>
        <v>0</v>
      </c>
      <c r="Y61" s="77">
        <f ca="1">IFERROR(__xludf.DUMMYFUNCTION("IMPORTRANGE(""https://docs.google.com/spreadsheets/d/1SX6NBoVAgQJ6U1MVXOaj8PK2l7WJ3RER9xtqwdhxkhw/edit?usp=sharing"",""นครนายก!J238"")"),0)</f>
        <v>0</v>
      </c>
      <c r="Z61" s="77">
        <f ca="1">IFERROR(__xludf.DUMMYFUNCTION("IMPORTRANGE(""https://docs.google.com/spreadsheets/d/1SX6NBoVAgQJ6U1MVXOaj8PK2l7WJ3RER9xtqwdhxkhw/edit?usp=sharing"",""นครนายก!J239"")"),0)</f>
        <v>0</v>
      </c>
      <c r="AA61" s="137">
        <f t="shared" ca="1" si="14"/>
        <v>0</v>
      </c>
      <c r="AB61" s="77">
        <f ca="1">IFERROR(__xludf.DUMMYFUNCTION("IMPORTRANGE(""https://docs.google.com/spreadsheets/d/1SX6NBoVAgQJ6U1MVXOaj8PK2l7WJ3RER9xtqwdhxkhw/edit?usp=sharing"",""นครนายก!J240"")"),0)</f>
        <v>0</v>
      </c>
      <c r="AC61" s="77">
        <f ca="1">IFERROR(__xludf.DUMMYFUNCTION("IMPORTRANGE(""https://docs.google.com/spreadsheets/d/1SX6NBoVAgQJ6U1MVXOaj8PK2l7WJ3RER9xtqwdhxkhw/edit?usp=sharing"",""นครนายก!J241"")"),0)</f>
        <v>0</v>
      </c>
      <c r="AD61" s="219">
        <f t="shared" ca="1" si="16"/>
        <v>0</v>
      </c>
      <c r="AE61" s="215">
        <f ca="1">IFERROR(__xludf.DUMMYFUNCTION("IMPORTRANGE(""https://docs.google.com/spreadsheets/d/1AGHcLOeeYFL3K4b9R1dSzyJy00PE_ra89DNTVfnxSWM/edit?usp=sharing"",""รวมที่ทำกิน!AA54"")"),0)</f>
        <v>0</v>
      </c>
      <c r="AF61" s="215">
        <f ca="1">IFERROR(__xludf.DUMMYFUNCTION("IMPORTRANGE(""https://docs.google.com/spreadsheets/d/1AGHcLOeeYFL3K4b9R1dSzyJy00PE_ra89DNTVfnxSWM/edit?usp=sharing"",""รวมที่ทำกิน!AB54"")"),0)</f>
        <v>0</v>
      </c>
      <c r="AG61" s="215">
        <f ca="1">IFERROR(__xludf.DUMMYFUNCTION("IMPORTRANGE(""https://docs.google.com/spreadsheets/d/1AGHcLOeeYFL3K4b9R1dSzyJy00PE_ra89DNTVfnxSWM/edit?usp=sharing"",""รวมที่ทำกิน!AD54"")"),0)</f>
        <v>0</v>
      </c>
      <c r="AH61" s="219">
        <f t="shared" ca="1" si="101"/>
        <v>0</v>
      </c>
      <c r="AI61" s="215">
        <f ca="1">IFERROR(__xludf.DUMMYFUNCTION("IMPORTRANGE(""https://docs.google.com/spreadsheets/d/1AGHcLOeeYFL3K4b9R1dSzyJy00PE_ra89DNTVfnxSWM/edit?usp=sharing"",""รวมที่ทำกิน!AE54"")"),0)</f>
        <v>0</v>
      </c>
      <c r="AJ61" s="215">
        <f ca="1">IFERROR(__xludf.DUMMYFUNCTION("IMPORTRANGE(""https://docs.google.com/spreadsheets/d/1AGHcLOeeYFL3K4b9R1dSzyJy00PE_ra89DNTVfnxSWM/edit?usp=sharing"",""รวมที่ทำกิน!AF54"")"),0)</f>
        <v>0</v>
      </c>
      <c r="AK61" s="215">
        <f ca="1">IFERROR(__xludf.DUMMYFUNCTION("IMPORTRANGE(""https://docs.google.com/spreadsheets/d/1AGHcLOeeYFL3K4b9R1dSzyJy00PE_ra89DNTVfnxSWM/edit?usp=sharing"",""รวมที่ทำกิน!AH54"")"),0)</f>
        <v>0</v>
      </c>
      <c r="AL61" s="220">
        <f t="shared" ca="1" si="103"/>
        <v>0</v>
      </c>
      <c r="AM61" s="215">
        <f ca="1">IFERROR(__xludf.DUMMYFUNCTION("IMPORTRANGE(""https://docs.google.com/spreadsheets/d/1AGHcLOeeYFL3K4b9R1dSzyJy00PE_ra89DNTVfnxSWM/edit?usp=sharing"",""รวมที่ทำกิน!AI54"")"),0)</f>
        <v>0</v>
      </c>
      <c r="AN61" s="215">
        <f ca="1">IFERROR(__xludf.DUMMYFUNCTION("IMPORTRANGE(""https://docs.google.com/spreadsheets/d/1AGHcLOeeYFL3K4b9R1dSzyJy00PE_ra89DNTVfnxSWM/edit?usp=sharing"",""รวมที่ทำกิน!AK54"")"),0)</f>
        <v>0</v>
      </c>
      <c r="AO61" s="220">
        <f t="shared" ca="1" si="22"/>
        <v>0</v>
      </c>
      <c r="AP61" s="215">
        <f ca="1">IFERROR(__xludf.DUMMYFUNCTION("IMPORTRANGE(""https://docs.google.com/spreadsheets/d/1AGHcLOeeYFL3K4b9R1dSzyJy00PE_ra89DNTVfnxSWM/edit?usp=sharing"",""รวมที่ทำกิน!AL54"")"),0)</f>
        <v>0</v>
      </c>
      <c r="AQ61" s="215">
        <f ca="1">IFERROR(__xludf.DUMMYFUNCTION("IMPORTRANGE(""https://docs.google.com/spreadsheets/d/1AGHcLOeeYFL3K4b9R1dSzyJy00PE_ra89DNTVfnxSWM/edit?usp=sharing"",""รวมที่ทำกิน!AN54"")"),0)</f>
        <v>0</v>
      </c>
      <c r="AR61" s="220">
        <f t="shared" ca="1" si="24"/>
        <v>0</v>
      </c>
      <c r="AS61" s="215">
        <f ca="1">IFERROR(__xludf.DUMMYFUNCTION("IMPORTRANGE(""https://docs.google.com/spreadsheets/d/1AGHcLOeeYFL3K4b9R1dSzyJy00PE_ra89DNTVfnxSWM/edit?usp=sharing"",""รวมที่ทำกิน!AO54"")"),0)</f>
        <v>0</v>
      </c>
      <c r="AT61" s="215">
        <f ca="1">IFERROR(__xludf.DUMMYFUNCTION("IMPORTRANGE(""https://docs.google.com/spreadsheets/d/1AGHcLOeeYFL3K4b9R1dSzyJy00PE_ra89DNTVfnxSWM/edit?usp=sharing"",""รวมที่ทำกิน!AP54"")"),0)</f>
        <v>0</v>
      </c>
      <c r="AU61" s="215">
        <f ca="1">IFERROR(__xludf.DUMMYFUNCTION("IMPORTRANGE(""https://docs.google.com/spreadsheets/d/1AGHcLOeeYFL3K4b9R1dSzyJy00PE_ra89DNTVfnxSWM/edit?usp=sharing"",""รวมที่ทำกิน!AR54"")"),0)</f>
        <v>0</v>
      </c>
      <c r="AV61" s="220">
        <f t="shared" ca="1" si="107"/>
        <v>0</v>
      </c>
      <c r="AW61" s="215">
        <f ca="1">IFERROR(__xludf.DUMMYFUNCTION("IMPORTRANGE(""https://docs.google.com/spreadsheets/d/1AGHcLOeeYFL3K4b9R1dSzyJy00PE_ra89DNTVfnxSWM/edit?usp=sharing"",""รวมที่ทำกิน!AS54"")"),0)</f>
        <v>0</v>
      </c>
      <c r="AX61" s="215">
        <f ca="1">IFERROR(__xludf.DUMMYFUNCTION("IMPORTRANGE(""https://docs.google.com/spreadsheets/d/1AGHcLOeeYFL3K4b9R1dSzyJy00PE_ra89DNTVfnxSWM/edit?usp=sharing"",""รวมที่ทำกิน!AT54"")"),0)</f>
        <v>0</v>
      </c>
      <c r="AY61" s="215">
        <f ca="1">IFERROR(__xludf.DUMMYFUNCTION("IMPORTRANGE(""https://docs.google.com/spreadsheets/d/1AGHcLOeeYFL3K4b9R1dSzyJy00PE_ra89DNTVfnxSWM/edit?usp=sharing"",""รวมที่ทำกิน!AV54"")"),0)</f>
        <v>0</v>
      </c>
      <c r="AZ61" s="220">
        <f t="shared" ca="1" si="109"/>
        <v>0</v>
      </c>
      <c r="BA61" s="215">
        <f ca="1">IFERROR(__xludf.DUMMYFUNCTION("IMPORTRANGE(""https://docs.google.com/spreadsheets/d/1AGHcLOeeYFL3K4b9R1dSzyJy00PE_ra89DNTVfnxSWM/edit?usp=sharing"",""รวมที่ทำกิน!AW54"")"),0)</f>
        <v>0</v>
      </c>
      <c r="BB61" s="215">
        <f ca="1">IFERROR(__xludf.DUMMYFUNCTION("IMPORTRANGE(""https://docs.google.com/spreadsheets/d/1AGHcLOeeYFL3K4b9R1dSzyJy00PE_ra89DNTVfnxSWM/edit?usp=sharing"",""รวมที่ทำกิน!AY54"")"),0)</f>
        <v>0</v>
      </c>
      <c r="BC61" s="220">
        <f t="shared" ca="1" si="30"/>
        <v>0</v>
      </c>
      <c r="BD61" s="215">
        <f ca="1">IFERROR(__xludf.DUMMYFUNCTION("IMPORTRANGE(""https://docs.google.com/spreadsheets/d/1AGHcLOeeYFL3K4b9R1dSzyJy00PE_ra89DNTVfnxSWM/edit?usp=sharing"",""รวมที่ทำกิน!AZ54"")"),0)</f>
        <v>0</v>
      </c>
      <c r="BE61" s="215">
        <f ca="1">IFERROR(__xludf.DUMMYFUNCTION("IMPORTRANGE(""https://docs.google.com/spreadsheets/d/1AGHcLOeeYFL3K4b9R1dSzyJy00PE_ra89DNTVfnxSWM/edit?usp=sharing"",""รวมที่ทำกิน!BB54"")"),0)</f>
        <v>0</v>
      </c>
      <c r="BF61" s="221">
        <f t="shared" ca="1" si="32"/>
        <v>0</v>
      </c>
    </row>
    <row r="62" spans="1:58" ht="21" customHeight="1">
      <c r="A62" s="73">
        <v>8</v>
      </c>
      <c r="B62" s="74" t="s">
        <v>86</v>
      </c>
      <c r="C62" s="75">
        <f t="shared" ca="1" si="0"/>
        <v>628660</v>
      </c>
      <c r="D62" s="76">
        <f t="shared" ca="1" si="142"/>
        <v>486110</v>
      </c>
      <c r="E62" s="77">
        <f ca="1">IFERROR(__xludf.DUMMYFUNCTION("IMPORTRANGE(""https://docs.google.com/spreadsheets/d/1C3CXT74ZlgGe6_JY_1olB1XN4rF0dxEuIIF-xsYjHgg/edit?usp=sharing"",""พรบ!BX66"")"),306000)</f>
        <v>306000</v>
      </c>
      <c r="F62" s="77">
        <f ca="1">IFERROR(__xludf.DUMMYFUNCTION("IMPORTRANGE(""https://docs.google.com/spreadsheets/d/1C3CXT74ZlgGe6_JY_1olB1XN4rF0dxEuIIF-xsYjHgg/edit?usp=sharing"",""พรบ!BY66"")"),180110)</f>
        <v>180110</v>
      </c>
      <c r="G62" s="77">
        <f ca="1">IFERROR(__xludf.DUMMYFUNCTION("IMPORTRANGE(""https://docs.google.com/spreadsheets/d/1Yj_ptqi66GCucihVvJfMjLAmec39IyEx_6qawtMGysU/edit?usp=sharing"",""สบก!DJ66"")"),142550)</f>
        <v>142550</v>
      </c>
      <c r="H62" s="77">
        <f ca="1">IFERROR(__xludf.DUMMYFUNCTION("IMPORTRANGE(""https://docs.google.com/spreadsheets/d/1Yj_ptqi66GCucihVvJfMjLAmec39IyEx_6qawtMGysU/edit?usp=shDLing"",""สบก!DL66"")"),354560)</f>
        <v>354560</v>
      </c>
      <c r="I62" s="77">
        <f t="shared" ca="1" si="3"/>
        <v>362320</v>
      </c>
      <c r="J62" s="77">
        <f t="shared" ca="1" si="4"/>
        <v>57.633697069958323</v>
      </c>
      <c r="K62" s="77">
        <f ca="1">IFERROR(__xludf.DUMMYFUNCTION("IMPORTRANGE(""https://docs.google.com/spreadsheets/d/1Yj_ptqi66GCucihVvJfMjLAmec39IyEx_6qawtMGysU/edit?usp=sharing"",""สบก!DM66"")"),219770)</f>
        <v>219770</v>
      </c>
      <c r="L62" s="137">
        <f t="shared" ca="1" si="5"/>
        <v>45.20993190841579</v>
      </c>
      <c r="M62" s="137">
        <f t="shared" ca="1" si="6"/>
        <v>61.983867328519857</v>
      </c>
      <c r="N62" s="137">
        <f ca="1">IFERROR(__xludf.DUMMYFUNCTION("IMPORTRANGE(""https://docs.google.com/spreadsheets/d/1Yj_ptqi66GCucihVvJfMjLAmec39IyEx_6qawtMGysU/edit?usp=sharing"",""สบก!DN66"")"),142550)</f>
        <v>142550</v>
      </c>
      <c r="O62" s="137">
        <f t="shared" ca="1" si="7"/>
        <v>100</v>
      </c>
      <c r="P62" s="77">
        <f ca="1">IFERROR(__xludf.DUMMYFUNCTION("IMPORTRANGE(""https://docs.google.com/spreadsheets/d/1C3CXT74ZlgGe6_JY_1olB1XN4rF0dxEuIIF-xsYjHgg/edit?usp=sharing"",""พรบ!CA66"")"),0)</f>
        <v>0</v>
      </c>
      <c r="Q62" s="77">
        <f ca="1">IFERROR(__xludf.DUMMYFUNCTION("IMPORTRANGE(""https://docs.google.com/spreadsheets/d/1C3CXT74ZlgGe6_JY_1olB1XN4rF0dxEuIIF-xsYjHgg/edit?usp=sharing"",""พรบ!BZ66"")"),0)</f>
        <v>0</v>
      </c>
      <c r="R62" s="218">
        <f t="shared" ca="1" si="95"/>
        <v>0</v>
      </c>
      <c r="S62" s="77">
        <f ca="1">IFERROR(__xludf.DUMMYFUNCTION("IMPORTRANGE(""https://docs.google.com/spreadsheets/d/1SX6NBoVAgQJ6U1MVXOaj8PK2l7WJ3RER9xtqwdhxkhw/edit?usp=sharing"",""นครปฐม!J234"")"),0)</f>
        <v>0</v>
      </c>
      <c r="T62" s="77">
        <f ca="1">IFERROR(__xludf.DUMMYFUNCTION("IMPORTRANGE(""https://docs.google.com/spreadsheets/d/1SX6NBoVAgQJ6U1MVXOaj8PK2l7WJ3RER9xtqwdhxkhw/edit?usp=sharing"",""นครปฐม!J235"")"),0)</f>
        <v>0</v>
      </c>
      <c r="U62" s="137">
        <f t="shared" ca="1" si="10"/>
        <v>0</v>
      </c>
      <c r="V62" s="77">
        <f ca="1">IFERROR(__xludf.DUMMYFUNCTION("IMPORTRANGE(""https://docs.google.com/spreadsheets/d/1SX6NBoVAgQJ6U1MVXOaj8PK2l7WJ3RER9xtqwdhxkhw/edit?usp=sharing"",""นครปฐม!J236"")"),0)</f>
        <v>0</v>
      </c>
      <c r="W62" s="77">
        <f ca="1">IFERROR(__xludf.DUMMYFUNCTION("IMPORTRANGE(""https://docs.google.com/spreadsheets/d/1SX6NBoVAgQJ6U1MVXOaj8PK2l7WJ3RER9xtqwdhxkhw/edit?usp=sharing"",""นครปฐม!J237"")"),0)</f>
        <v>0</v>
      </c>
      <c r="X62" s="137">
        <f t="shared" ca="1" si="12"/>
        <v>0</v>
      </c>
      <c r="Y62" s="77">
        <f ca="1">IFERROR(__xludf.DUMMYFUNCTION("IMPORTRANGE(""https://docs.google.com/spreadsheets/d/1SX6NBoVAgQJ6U1MVXOaj8PK2l7WJ3RER9xtqwdhxkhw/edit?usp=sharing"",""นครปฐม!J238"")"),0)</f>
        <v>0</v>
      </c>
      <c r="Z62" s="77">
        <f ca="1">IFERROR(__xludf.DUMMYFUNCTION("IMPORTRANGE(""https://docs.google.com/spreadsheets/d/1SX6NBoVAgQJ6U1MVXOaj8PK2l7WJ3RER9xtqwdhxkhw/edit?usp=sharing"",""นครปฐม!J239"")"),0)</f>
        <v>0</v>
      </c>
      <c r="AA62" s="137">
        <f t="shared" ca="1" si="14"/>
        <v>0</v>
      </c>
      <c r="AB62" s="77">
        <f ca="1">IFERROR(__xludf.DUMMYFUNCTION("IMPORTRANGE(""https://docs.google.com/spreadsheets/d/1SX6NBoVAgQJ6U1MVXOaj8PK2l7WJ3RER9xtqwdhxkhw/edit?usp=sharing"",""นครปฐม!J240"")"),0)</f>
        <v>0</v>
      </c>
      <c r="AC62" s="77">
        <f ca="1">IFERROR(__xludf.DUMMYFUNCTION("IMPORTRANGE(""https://docs.google.com/spreadsheets/d/1SX6NBoVAgQJ6U1MVXOaj8PK2l7WJ3RER9xtqwdhxkhw/edit?usp=sharing"",""นครปฐม!J241"")"),0)</f>
        <v>0</v>
      </c>
      <c r="AD62" s="219">
        <f t="shared" ca="1" si="16"/>
        <v>0</v>
      </c>
      <c r="AE62" s="215">
        <f ca="1">IFERROR(__xludf.DUMMYFUNCTION("IMPORTRANGE(""https://docs.google.com/spreadsheets/d/1AGHcLOeeYFL3K4b9R1dSzyJy00PE_ra89DNTVfnxSWM/edit?usp=sharing"",""รวมที่ทำกิน!AA55"")"),0)</f>
        <v>0</v>
      </c>
      <c r="AF62" s="215">
        <f ca="1">IFERROR(__xludf.DUMMYFUNCTION("IMPORTRANGE(""https://docs.google.com/spreadsheets/d/1AGHcLOeeYFL3K4b9R1dSzyJy00PE_ra89DNTVfnxSWM/edit?usp=sharing"",""รวมที่ทำกิน!AB55"")"),0)</f>
        <v>0</v>
      </c>
      <c r="AG62" s="215">
        <f ca="1">IFERROR(__xludf.DUMMYFUNCTION("IMPORTRANGE(""https://docs.google.com/spreadsheets/d/1AGHcLOeeYFL3K4b9R1dSzyJy00PE_ra89DNTVfnxSWM/edit?usp=sharing"",""รวมที่ทำกิน!AD55"")"),0)</f>
        <v>0</v>
      </c>
      <c r="AH62" s="219">
        <f t="shared" ca="1" si="101"/>
        <v>0</v>
      </c>
      <c r="AI62" s="215">
        <f ca="1">IFERROR(__xludf.DUMMYFUNCTION("IMPORTRANGE(""https://docs.google.com/spreadsheets/d/1AGHcLOeeYFL3K4b9R1dSzyJy00PE_ra89DNTVfnxSWM/edit?usp=sharing"",""รวมที่ทำกิน!AE55"")"),0)</f>
        <v>0</v>
      </c>
      <c r="AJ62" s="215">
        <f ca="1">IFERROR(__xludf.DUMMYFUNCTION("IMPORTRANGE(""https://docs.google.com/spreadsheets/d/1AGHcLOeeYFL3K4b9R1dSzyJy00PE_ra89DNTVfnxSWM/edit?usp=sharing"",""รวมที่ทำกิน!AF55"")"),0)</f>
        <v>0</v>
      </c>
      <c r="AK62" s="215">
        <f ca="1">IFERROR(__xludf.DUMMYFUNCTION("IMPORTRANGE(""https://docs.google.com/spreadsheets/d/1AGHcLOeeYFL3K4b9R1dSzyJy00PE_ra89DNTVfnxSWM/edit?usp=sharing"",""รวมที่ทำกิน!AH55"")"),0)</f>
        <v>0</v>
      </c>
      <c r="AL62" s="220">
        <f t="shared" ca="1" si="103"/>
        <v>0</v>
      </c>
      <c r="AM62" s="215">
        <f ca="1">IFERROR(__xludf.DUMMYFUNCTION("IMPORTRANGE(""https://docs.google.com/spreadsheets/d/1AGHcLOeeYFL3K4b9R1dSzyJy00PE_ra89DNTVfnxSWM/edit?usp=sharing"",""รวมที่ทำกิน!AI55"")"),0)</f>
        <v>0</v>
      </c>
      <c r="AN62" s="215">
        <f ca="1">IFERROR(__xludf.DUMMYFUNCTION("IMPORTRANGE(""https://docs.google.com/spreadsheets/d/1AGHcLOeeYFL3K4b9R1dSzyJy00PE_ra89DNTVfnxSWM/edit?usp=sharing"",""รวมที่ทำกิน!AK55"")"),0)</f>
        <v>0</v>
      </c>
      <c r="AO62" s="220">
        <f t="shared" ca="1" si="22"/>
        <v>0</v>
      </c>
      <c r="AP62" s="215">
        <f ca="1">IFERROR(__xludf.DUMMYFUNCTION("IMPORTRANGE(""https://docs.google.com/spreadsheets/d/1AGHcLOeeYFL3K4b9R1dSzyJy00PE_ra89DNTVfnxSWM/edit?usp=sharing"",""รวมที่ทำกิน!AL55"")"),0)</f>
        <v>0</v>
      </c>
      <c r="AQ62" s="215">
        <f ca="1">IFERROR(__xludf.DUMMYFUNCTION("IMPORTRANGE(""https://docs.google.com/spreadsheets/d/1AGHcLOeeYFL3K4b9R1dSzyJy00PE_ra89DNTVfnxSWM/edit?usp=sharing"",""รวมที่ทำกิน!AN55"")"),0)</f>
        <v>0</v>
      </c>
      <c r="AR62" s="220">
        <f t="shared" ca="1" si="24"/>
        <v>0</v>
      </c>
      <c r="AS62" s="215">
        <f ca="1">IFERROR(__xludf.DUMMYFUNCTION("IMPORTRANGE(""https://docs.google.com/spreadsheets/d/1AGHcLOeeYFL3K4b9R1dSzyJy00PE_ra89DNTVfnxSWM/edit?usp=sharing"",""รวมที่ทำกิน!AO55"")"),0)</f>
        <v>0</v>
      </c>
      <c r="AT62" s="215">
        <f ca="1">IFERROR(__xludf.DUMMYFUNCTION("IMPORTRANGE(""https://docs.google.com/spreadsheets/d/1AGHcLOeeYFL3K4b9R1dSzyJy00PE_ra89DNTVfnxSWM/edit?usp=sharing"",""รวมที่ทำกิน!AP55"")"),0)</f>
        <v>0</v>
      </c>
      <c r="AU62" s="215">
        <f ca="1">IFERROR(__xludf.DUMMYFUNCTION("IMPORTRANGE(""https://docs.google.com/spreadsheets/d/1AGHcLOeeYFL3K4b9R1dSzyJy00PE_ra89DNTVfnxSWM/edit?usp=sharing"",""รวมที่ทำกิน!AR55"")"),0)</f>
        <v>0</v>
      </c>
      <c r="AV62" s="220">
        <f t="shared" ca="1" si="107"/>
        <v>0</v>
      </c>
      <c r="AW62" s="215">
        <f ca="1">IFERROR(__xludf.DUMMYFUNCTION("IMPORTRANGE(""https://docs.google.com/spreadsheets/d/1AGHcLOeeYFL3K4b9R1dSzyJy00PE_ra89DNTVfnxSWM/edit?usp=sharing"",""รวมที่ทำกิน!AS55"")"),0)</f>
        <v>0</v>
      </c>
      <c r="AX62" s="215">
        <f ca="1">IFERROR(__xludf.DUMMYFUNCTION("IMPORTRANGE(""https://docs.google.com/spreadsheets/d/1AGHcLOeeYFL3K4b9R1dSzyJy00PE_ra89DNTVfnxSWM/edit?usp=sharing"",""รวมที่ทำกิน!AT55"")"),0)</f>
        <v>0</v>
      </c>
      <c r="AY62" s="215">
        <f ca="1">IFERROR(__xludf.DUMMYFUNCTION("IMPORTRANGE(""https://docs.google.com/spreadsheets/d/1AGHcLOeeYFL3K4b9R1dSzyJy00PE_ra89DNTVfnxSWM/edit?usp=sharing"",""รวมที่ทำกิน!AV55"")"),0)</f>
        <v>0</v>
      </c>
      <c r="AZ62" s="220">
        <f t="shared" ca="1" si="109"/>
        <v>0</v>
      </c>
      <c r="BA62" s="215">
        <f ca="1">IFERROR(__xludf.DUMMYFUNCTION("IMPORTRANGE(""https://docs.google.com/spreadsheets/d/1AGHcLOeeYFL3K4b9R1dSzyJy00PE_ra89DNTVfnxSWM/edit?usp=sharing"",""รวมที่ทำกิน!AW55"")"),0)</f>
        <v>0</v>
      </c>
      <c r="BB62" s="215">
        <f ca="1">IFERROR(__xludf.DUMMYFUNCTION("IMPORTRANGE(""https://docs.google.com/spreadsheets/d/1AGHcLOeeYFL3K4b9R1dSzyJy00PE_ra89DNTVfnxSWM/edit?usp=sharing"",""รวมที่ทำกิน!AY55"")"),0)</f>
        <v>0</v>
      </c>
      <c r="BC62" s="220">
        <f t="shared" ca="1" si="30"/>
        <v>0</v>
      </c>
      <c r="BD62" s="215">
        <f ca="1">IFERROR(__xludf.DUMMYFUNCTION("IMPORTRANGE(""https://docs.google.com/spreadsheets/d/1AGHcLOeeYFL3K4b9R1dSzyJy00PE_ra89DNTVfnxSWM/edit?usp=sharing"",""รวมที่ทำกิน!AZ55"")"),0)</f>
        <v>0</v>
      </c>
      <c r="BE62" s="215">
        <f ca="1">IFERROR(__xludf.DUMMYFUNCTION("IMPORTRANGE(""https://docs.google.com/spreadsheets/d/1AGHcLOeeYFL3K4b9R1dSzyJy00PE_ra89DNTVfnxSWM/edit?usp=sharing"",""รวมที่ทำกิน!BB55"")"),0)</f>
        <v>0</v>
      </c>
      <c r="BF62" s="221">
        <f t="shared" ca="1" si="32"/>
        <v>0</v>
      </c>
    </row>
    <row r="63" spans="1:58" ht="21" customHeight="1">
      <c r="A63" s="73">
        <v>9</v>
      </c>
      <c r="B63" s="74" t="s">
        <v>87</v>
      </c>
      <c r="C63" s="75">
        <f t="shared" ca="1" si="0"/>
        <v>570980</v>
      </c>
      <c r="D63" s="76">
        <f t="shared" ca="1" si="142"/>
        <v>570980</v>
      </c>
      <c r="E63" s="77">
        <f ca="1">IFERROR(__xludf.DUMMYFUNCTION("IMPORTRANGE(""https://docs.google.com/spreadsheets/d/1C3CXT74ZlgGe6_JY_1olB1XN4rF0dxEuIIF-xsYjHgg/edit?usp=sharing"",""พรบ!BX67"")"),388800)</f>
        <v>388800</v>
      </c>
      <c r="F63" s="77">
        <f ca="1">IFERROR(__xludf.DUMMYFUNCTION("IMPORTRANGE(""https://docs.google.com/spreadsheets/d/1C3CXT74ZlgGe6_JY_1olB1XN4rF0dxEuIIF-xsYjHgg/edit?usp=sharing"",""พรบ!BY67"")"),182180)</f>
        <v>182180</v>
      </c>
      <c r="G63" s="77">
        <f ca="1">IFERROR(__xludf.DUMMYFUNCTION("IMPORTRANGE(""https://docs.google.com/spreadsheets/d/1Yj_ptqi66GCucihVvJfMjLAmec39IyEx_6qawtMGysU/edit?usp=sharing"",""สบก!DJ67"")"),0)</f>
        <v>0</v>
      </c>
      <c r="H63" s="77">
        <f ca="1">IFERROR(__xludf.DUMMYFUNCTION("IMPORTRANGE(""https://docs.google.com/spreadsheets/d/1Yj_ptqi66GCucihVvJfMjLAmec39IyEx_6qawtMGysU/edit?usp=shDLing"",""สบก!DL67"")"),417690)</f>
        <v>417690</v>
      </c>
      <c r="I63" s="77">
        <f t="shared" ca="1" si="3"/>
        <v>153673.34</v>
      </c>
      <c r="J63" s="77">
        <f t="shared" ca="1" si="4"/>
        <v>26.91396196013871</v>
      </c>
      <c r="K63" s="77">
        <f ca="1">IFERROR(__xludf.DUMMYFUNCTION("IMPORTRANGE(""https://docs.google.com/spreadsheets/d/1Yj_ptqi66GCucihVvJfMjLAmec39IyEx_6qawtMGysU/edit?usp=sharing"",""สบก!DM67"")"),153673.34)</f>
        <v>153673.34</v>
      </c>
      <c r="L63" s="137">
        <f t="shared" ca="1" si="5"/>
        <v>26.91396196013871</v>
      </c>
      <c r="M63" s="137">
        <f t="shared" ca="1" si="6"/>
        <v>36.791242308889366</v>
      </c>
      <c r="N63" s="137">
        <f ca="1">IFERROR(__xludf.DUMMYFUNCTION("IMPORTRANGE(""https://docs.google.com/spreadsheets/d/1Yj_ptqi66GCucihVvJfMjLAmec39IyEx_6qawtMGysU/edit?usp=sharing"",""สบก!DN67"")"),0)</f>
        <v>0</v>
      </c>
      <c r="O63" s="137">
        <f t="shared" ca="1" si="7"/>
        <v>0</v>
      </c>
      <c r="P63" s="77">
        <f ca="1">IFERROR(__xludf.DUMMYFUNCTION("IMPORTRANGE(""https://docs.google.com/spreadsheets/d/1C3CXT74ZlgGe6_JY_1olB1XN4rF0dxEuIIF-xsYjHgg/edit?usp=sharing"",""พรบ!CA67"")"),0)</f>
        <v>0</v>
      </c>
      <c r="Q63" s="77">
        <f ca="1">IFERROR(__xludf.DUMMYFUNCTION("IMPORTRANGE(""https://docs.google.com/spreadsheets/d/1C3CXT74ZlgGe6_JY_1olB1XN4rF0dxEuIIF-xsYjHgg/edit?usp=sharing"",""พรบ!BZ67"")"),0)</f>
        <v>0</v>
      </c>
      <c r="R63" s="218">
        <f t="shared" ca="1" si="95"/>
        <v>0</v>
      </c>
      <c r="S63" s="77">
        <f ca="1">IFERROR(__xludf.DUMMYFUNCTION("IMPORTRANGE(""https://docs.google.com/spreadsheets/d/1SX6NBoVAgQJ6U1MVXOaj8PK2l7WJ3RER9xtqwdhxkhw/edit?usp=sharing"",""ปทุมธานี!J234"")"),0)</f>
        <v>0</v>
      </c>
      <c r="T63" s="77">
        <f ca="1">IFERROR(__xludf.DUMMYFUNCTION("IMPORTRANGE(""https://docs.google.com/spreadsheets/d/1SX6NBoVAgQJ6U1MVXOaj8PK2l7WJ3RER9xtqwdhxkhw/edit?usp=sharing"",""ปทุมธานี!J235"")"),0)</f>
        <v>0</v>
      </c>
      <c r="U63" s="137">
        <f t="shared" ca="1" si="10"/>
        <v>0</v>
      </c>
      <c r="V63" s="77">
        <f ca="1">IFERROR(__xludf.DUMMYFUNCTION("IMPORTRANGE(""https://docs.google.com/spreadsheets/d/1SX6NBoVAgQJ6U1MVXOaj8PK2l7WJ3RER9xtqwdhxkhw/edit?usp=sharing"",""ปทุมธานี!J236"")"),0)</f>
        <v>0</v>
      </c>
      <c r="W63" s="77">
        <f ca="1">IFERROR(__xludf.DUMMYFUNCTION("IMPORTRANGE(""https://docs.google.com/spreadsheets/d/1SX6NBoVAgQJ6U1MVXOaj8PK2l7WJ3RER9xtqwdhxkhw/edit?usp=sharing"",""ปทุมธานี!J237"")"),0)</f>
        <v>0</v>
      </c>
      <c r="X63" s="137">
        <f t="shared" ca="1" si="12"/>
        <v>0</v>
      </c>
      <c r="Y63" s="77">
        <f ca="1">IFERROR(__xludf.DUMMYFUNCTION("IMPORTRANGE(""https://docs.google.com/spreadsheets/d/1SX6NBoVAgQJ6U1MVXOaj8PK2l7WJ3RER9xtqwdhxkhw/edit?usp=sharing"",""ปทุมธานี!J238"")"),0)</f>
        <v>0</v>
      </c>
      <c r="Z63" s="77">
        <f ca="1">IFERROR(__xludf.DUMMYFUNCTION("IMPORTRANGE(""https://docs.google.com/spreadsheets/d/1SX6NBoVAgQJ6U1MVXOaj8PK2l7WJ3RER9xtqwdhxkhw/edit?usp=sharing"",""ปทุมธานี!J239"")"),0)</f>
        <v>0</v>
      </c>
      <c r="AA63" s="137">
        <f t="shared" ca="1" si="14"/>
        <v>0</v>
      </c>
      <c r="AB63" s="77">
        <f ca="1">IFERROR(__xludf.DUMMYFUNCTION("IMPORTRANGE(""https://docs.google.com/spreadsheets/d/1SX6NBoVAgQJ6U1MVXOaj8PK2l7WJ3RER9xtqwdhxkhw/edit?usp=sharing"",""ปทุมธานี!J240"")"),0)</f>
        <v>0</v>
      </c>
      <c r="AC63" s="77">
        <f ca="1">IFERROR(__xludf.DUMMYFUNCTION("IMPORTRANGE(""https://docs.google.com/spreadsheets/d/1SX6NBoVAgQJ6U1MVXOaj8PK2l7WJ3RER9xtqwdhxkhw/edit?usp=sharing"",""ปทุมธานี!J241"")"),0)</f>
        <v>0</v>
      </c>
      <c r="AD63" s="219">
        <f t="shared" ca="1" si="16"/>
        <v>0</v>
      </c>
      <c r="AE63" s="215">
        <f ca="1">IFERROR(__xludf.DUMMYFUNCTION("IMPORTRANGE(""https://docs.google.com/spreadsheets/d/1AGHcLOeeYFL3K4b9R1dSzyJy00PE_ra89DNTVfnxSWM/edit?usp=sharing"",""รวมที่ทำกิน!AA56"")"),0)</f>
        <v>0</v>
      </c>
      <c r="AF63" s="215">
        <f ca="1">IFERROR(__xludf.DUMMYFUNCTION("IMPORTRANGE(""https://docs.google.com/spreadsheets/d/1AGHcLOeeYFL3K4b9R1dSzyJy00PE_ra89DNTVfnxSWM/edit?usp=sharing"",""รวมที่ทำกิน!AB56"")"),0)</f>
        <v>0</v>
      </c>
      <c r="AG63" s="215">
        <f ca="1">IFERROR(__xludf.DUMMYFUNCTION("IMPORTRANGE(""https://docs.google.com/spreadsheets/d/1AGHcLOeeYFL3K4b9R1dSzyJy00PE_ra89DNTVfnxSWM/edit?usp=sharing"",""รวมที่ทำกิน!AD56"")"),0)</f>
        <v>0</v>
      </c>
      <c r="AH63" s="219">
        <f t="shared" ca="1" si="101"/>
        <v>0</v>
      </c>
      <c r="AI63" s="215">
        <f ca="1">IFERROR(__xludf.DUMMYFUNCTION("IMPORTRANGE(""https://docs.google.com/spreadsheets/d/1AGHcLOeeYFL3K4b9R1dSzyJy00PE_ra89DNTVfnxSWM/edit?usp=sharing"",""รวมที่ทำกิน!AE56"")"),0)</f>
        <v>0</v>
      </c>
      <c r="AJ63" s="215">
        <f ca="1">IFERROR(__xludf.DUMMYFUNCTION("IMPORTRANGE(""https://docs.google.com/spreadsheets/d/1AGHcLOeeYFL3K4b9R1dSzyJy00PE_ra89DNTVfnxSWM/edit?usp=sharing"",""รวมที่ทำกิน!AF56"")"),0)</f>
        <v>0</v>
      </c>
      <c r="AK63" s="215">
        <f ca="1">IFERROR(__xludf.DUMMYFUNCTION("IMPORTRANGE(""https://docs.google.com/spreadsheets/d/1AGHcLOeeYFL3K4b9R1dSzyJy00PE_ra89DNTVfnxSWM/edit?usp=sharing"",""รวมที่ทำกิน!AH56"")"),0)</f>
        <v>0</v>
      </c>
      <c r="AL63" s="220">
        <f t="shared" ca="1" si="103"/>
        <v>0</v>
      </c>
      <c r="AM63" s="215">
        <f ca="1">IFERROR(__xludf.DUMMYFUNCTION("IMPORTRANGE(""https://docs.google.com/spreadsheets/d/1AGHcLOeeYFL3K4b9R1dSzyJy00PE_ra89DNTVfnxSWM/edit?usp=sharing"",""รวมที่ทำกิน!AI56"")"),0)</f>
        <v>0</v>
      </c>
      <c r="AN63" s="215">
        <f ca="1">IFERROR(__xludf.DUMMYFUNCTION("IMPORTRANGE(""https://docs.google.com/spreadsheets/d/1AGHcLOeeYFL3K4b9R1dSzyJy00PE_ra89DNTVfnxSWM/edit?usp=sharing"",""รวมที่ทำกิน!AK56"")"),0)</f>
        <v>0</v>
      </c>
      <c r="AO63" s="220">
        <f t="shared" ca="1" si="22"/>
        <v>0</v>
      </c>
      <c r="AP63" s="215">
        <f ca="1">IFERROR(__xludf.DUMMYFUNCTION("IMPORTRANGE(""https://docs.google.com/spreadsheets/d/1AGHcLOeeYFL3K4b9R1dSzyJy00PE_ra89DNTVfnxSWM/edit?usp=sharing"",""รวมที่ทำกิน!AL56"")"),0)</f>
        <v>0</v>
      </c>
      <c r="AQ63" s="215">
        <f ca="1">IFERROR(__xludf.DUMMYFUNCTION("IMPORTRANGE(""https://docs.google.com/spreadsheets/d/1AGHcLOeeYFL3K4b9R1dSzyJy00PE_ra89DNTVfnxSWM/edit?usp=sharing"",""รวมที่ทำกิน!AN56"")"),0)</f>
        <v>0</v>
      </c>
      <c r="AR63" s="220">
        <f t="shared" ca="1" si="24"/>
        <v>0</v>
      </c>
      <c r="AS63" s="215">
        <f ca="1">IFERROR(__xludf.DUMMYFUNCTION("IMPORTRANGE(""https://docs.google.com/spreadsheets/d/1AGHcLOeeYFL3K4b9R1dSzyJy00PE_ra89DNTVfnxSWM/edit?usp=sharing"",""รวมที่ทำกิน!AO56"")"),0)</f>
        <v>0</v>
      </c>
      <c r="AT63" s="215">
        <f ca="1">IFERROR(__xludf.DUMMYFUNCTION("IMPORTRANGE(""https://docs.google.com/spreadsheets/d/1AGHcLOeeYFL3K4b9R1dSzyJy00PE_ra89DNTVfnxSWM/edit?usp=sharing"",""รวมที่ทำกิน!AP56"")"),0)</f>
        <v>0</v>
      </c>
      <c r="AU63" s="215">
        <f ca="1">IFERROR(__xludf.DUMMYFUNCTION("IMPORTRANGE(""https://docs.google.com/spreadsheets/d/1AGHcLOeeYFL3K4b9R1dSzyJy00PE_ra89DNTVfnxSWM/edit?usp=sharing"",""รวมที่ทำกิน!AR56"")"),0)</f>
        <v>0</v>
      </c>
      <c r="AV63" s="220">
        <f t="shared" ca="1" si="107"/>
        <v>0</v>
      </c>
      <c r="AW63" s="215">
        <f ca="1">IFERROR(__xludf.DUMMYFUNCTION("IMPORTRANGE(""https://docs.google.com/spreadsheets/d/1AGHcLOeeYFL3K4b9R1dSzyJy00PE_ra89DNTVfnxSWM/edit?usp=sharing"",""รวมที่ทำกิน!AS56"")"),0)</f>
        <v>0</v>
      </c>
      <c r="AX63" s="215">
        <f ca="1">IFERROR(__xludf.DUMMYFUNCTION("IMPORTRANGE(""https://docs.google.com/spreadsheets/d/1AGHcLOeeYFL3K4b9R1dSzyJy00PE_ra89DNTVfnxSWM/edit?usp=sharing"",""รวมที่ทำกิน!AT56"")"),0)</f>
        <v>0</v>
      </c>
      <c r="AY63" s="215">
        <f ca="1">IFERROR(__xludf.DUMMYFUNCTION("IMPORTRANGE(""https://docs.google.com/spreadsheets/d/1AGHcLOeeYFL3K4b9R1dSzyJy00PE_ra89DNTVfnxSWM/edit?usp=sharing"",""รวมที่ทำกิน!AV56"")"),0)</f>
        <v>0</v>
      </c>
      <c r="AZ63" s="220">
        <f t="shared" ca="1" si="109"/>
        <v>0</v>
      </c>
      <c r="BA63" s="215">
        <f ca="1">IFERROR(__xludf.DUMMYFUNCTION("IMPORTRANGE(""https://docs.google.com/spreadsheets/d/1AGHcLOeeYFL3K4b9R1dSzyJy00PE_ra89DNTVfnxSWM/edit?usp=sharing"",""รวมที่ทำกิน!AW56"")"),0)</f>
        <v>0</v>
      </c>
      <c r="BB63" s="215">
        <f ca="1">IFERROR(__xludf.DUMMYFUNCTION("IMPORTRANGE(""https://docs.google.com/spreadsheets/d/1AGHcLOeeYFL3K4b9R1dSzyJy00PE_ra89DNTVfnxSWM/edit?usp=sharing"",""รวมที่ทำกิน!AY56"")"),0)</f>
        <v>0</v>
      </c>
      <c r="BC63" s="220">
        <f t="shared" ca="1" si="30"/>
        <v>0</v>
      </c>
      <c r="BD63" s="215">
        <f ca="1">IFERROR(__xludf.DUMMYFUNCTION("IMPORTRANGE(""https://docs.google.com/spreadsheets/d/1AGHcLOeeYFL3K4b9R1dSzyJy00PE_ra89DNTVfnxSWM/edit?usp=sharing"",""รวมที่ทำกิน!AZ56"")"),0)</f>
        <v>0</v>
      </c>
      <c r="BE63" s="215">
        <f ca="1">IFERROR(__xludf.DUMMYFUNCTION("IMPORTRANGE(""https://docs.google.com/spreadsheets/d/1AGHcLOeeYFL3K4b9R1dSzyJy00PE_ra89DNTVfnxSWM/edit?usp=sharing"",""รวมที่ทำกิน!BB56"")"),0)</f>
        <v>0</v>
      </c>
      <c r="BF63" s="221">
        <f t="shared" ca="1" si="32"/>
        <v>0</v>
      </c>
    </row>
    <row r="64" spans="1:58" ht="21" customHeight="1">
      <c r="A64" s="73">
        <v>10</v>
      </c>
      <c r="B64" s="184" t="s">
        <v>88</v>
      </c>
      <c r="C64" s="75">
        <f t="shared" ca="1" si="0"/>
        <v>931960</v>
      </c>
      <c r="D64" s="76">
        <f t="shared" ca="1" si="142"/>
        <v>784960</v>
      </c>
      <c r="E64" s="77">
        <f ca="1">IFERROR(__xludf.DUMMYFUNCTION("IMPORTRANGE(""https://docs.google.com/spreadsheets/d/1C3CXT74ZlgGe6_JY_1olB1XN4rF0dxEuIIF-xsYjHgg/edit?usp=sharing"",""พรบ!BX68"")"),505100)</f>
        <v>505100</v>
      </c>
      <c r="F64" s="77">
        <f ca="1">IFERROR(__xludf.DUMMYFUNCTION("IMPORTRANGE(""https://docs.google.com/spreadsheets/d/1C3CXT74ZlgGe6_JY_1olB1XN4rF0dxEuIIF-xsYjHgg/edit?usp=sharing"",""พรบ!BY68"")"),279860)</f>
        <v>279860</v>
      </c>
      <c r="G64" s="77">
        <f ca="1">IFERROR(__xludf.DUMMYFUNCTION("IMPORTRANGE(""https://docs.google.com/spreadsheets/d/1Yj_ptqi66GCucihVvJfMjLAmec39IyEx_6qawtMGysU/edit?usp=sharing"",""สบก!DJ68"")"),147000)</f>
        <v>147000</v>
      </c>
      <c r="H64" s="77">
        <f ca="1">IFERROR(__xludf.DUMMYFUNCTION("IMPORTRANGE(""https://docs.google.com/spreadsheets/d/1Yj_ptqi66GCucihVvJfMjLAmec39IyEx_6qawtMGysU/edit?usp=shDLing"",""สบก!DL68"")"),569350)</f>
        <v>569350</v>
      </c>
      <c r="I64" s="77">
        <f t="shared" ca="1" si="3"/>
        <v>477051.52</v>
      </c>
      <c r="J64" s="77">
        <f t="shared" ca="1" si="4"/>
        <v>51.187982316837633</v>
      </c>
      <c r="K64" s="77">
        <f ca="1">IFERROR(__xludf.DUMMYFUNCTION("IMPORTRANGE(""https://docs.google.com/spreadsheets/d/1Yj_ptqi66GCucihVvJfMjLAmec39IyEx_6qawtMGysU/edit?usp=sharing"",""สบก!DM68"")"),330051.52)</f>
        <v>330051.52</v>
      </c>
      <c r="L64" s="137">
        <f t="shared" ca="1" si="5"/>
        <v>42.046922136159807</v>
      </c>
      <c r="M64" s="137">
        <f t="shared" ca="1" si="6"/>
        <v>57.969881443751646</v>
      </c>
      <c r="N64" s="137">
        <f ca="1">IFERROR(__xludf.DUMMYFUNCTION("IMPORTRANGE(""https://docs.google.com/spreadsheets/d/1Yj_ptqi66GCucihVvJfMjLAmec39IyEx_6qawtMGysU/edit?usp=sharing"",""สบก!DN68"")"),147000)</f>
        <v>147000</v>
      </c>
      <c r="O64" s="137">
        <f t="shared" ca="1" si="7"/>
        <v>100</v>
      </c>
      <c r="P64" s="77">
        <f ca="1">IFERROR(__xludf.DUMMYFUNCTION("IMPORTRANGE(""https://docs.google.com/spreadsheets/d/1C3CXT74ZlgGe6_JY_1olB1XN4rF0dxEuIIF-xsYjHgg/edit?usp=sharing"",""พรบ!CA68"")"),135)</f>
        <v>135</v>
      </c>
      <c r="Q64" s="77">
        <f ca="1">IFERROR(__xludf.DUMMYFUNCTION("IMPORTRANGE(""https://docs.google.com/spreadsheets/d/1C3CXT74ZlgGe6_JY_1olB1XN4rF0dxEuIIF-xsYjHgg/edit?usp=sharing"",""พรบ!BZ68"")"),780)</f>
        <v>780</v>
      </c>
      <c r="R64" s="218">
        <f t="shared" ca="1" si="95"/>
        <v>81</v>
      </c>
      <c r="S64" s="77">
        <f ca="1">IFERROR(__xludf.DUMMYFUNCTION("IMPORTRANGE(""https://docs.google.com/spreadsheets/d/1SX6NBoVAgQJ6U1MVXOaj8PK2l7WJ3RER9xtqwdhxkhw/edit?usp=sharing"",""ประจวบคีรีขันธ์!J234"")"),23)</f>
        <v>23</v>
      </c>
      <c r="T64" s="77">
        <f ca="1">IFERROR(__xludf.DUMMYFUNCTION("IMPORTRANGE(""https://docs.google.com/spreadsheets/d/1SX6NBoVAgQJ6U1MVXOaj8PK2l7WJ3RER9xtqwdhxkhw/edit?usp=sharing"",""ประจวบคีรีขันธ์!J235"")"),114.83)</f>
        <v>114.83</v>
      </c>
      <c r="U64" s="137">
        <f t="shared" ca="1" si="10"/>
        <v>14.721794871794872</v>
      </c>
      <c r="V64" s="77">
        <f ca="1">IFERROR(__xludf.DUMMYFUNCTION("IMPORTRANGE(""https://docs.google.com/spreadsheets/d/1SX6NBoVAgQJ6U1MVXOaj8PK2l7WJ3RER9xtqwdhxkhw/edit?usp=sharing"",""ประจวบคีรีขันธ์!J236"")"),14)</f>
        <v>14</v>
      </c>
      <c r="W64" s="77">
        <f ca="1">IFERROR(__xludf.DUMMYFUNCTION("IMPORTRANGE(""https://docs.google.com/spreadsheets/d/1SX6NBoVAgQJ6U1MVXOaj8PK2l7WJ3RER9xtqwdhxkhw/edit?usp=sharing"",""ประจวบคีรีขันธ์!J237"")"),172.68)</f>
        <v>172.68</v>
      </c>
      <c r="X64" s="137">
        <f t="shared" ca="1" si="12"/>
        <v>10.37037037037037</v>
      </c>
      <c r="Y64" s="77">
        <f ca="1">IFERROR(__xludf.DUMMYFUNCTION("IMPORTRANGE(""https://docs.google.com/spreadsheets/d/1SX6NBoVAgQJ6U1MVXOaj8PK2l7WJ3RER9xtqwdhxkhw/edit?usp=sharing"",""ประจวบคีรีขันธ์!J238"")"),0)</f>
        <v>0</v>
      </c>
      <c r="Z64" s="77">
        <f ca="1">IFERROR(__xludf.DUMMYFUNCTION("IMPORTRANGE(""https://docs.google.com/spreadsheets/d/1SX6NBoVAgQJ6U1MVXOaj8PK2l7WJ3RER9xtqwdhxkhw/edit?usp=sharing"",""ประจวบคีรีขันธ์!J239"")"),0)</f>
        <v>0</v>
      </c>
      <c r="AA64" s="137">
        <f t="shared" ca="1" si="14"/>
        <v>0</v>
      </c>
      <c r="AB64" s="77">
        <f ca="1">IFERROR(__xludf.DUMMYFUNCTION("IMPORTRANGE(""https://docs.google.com/spreadsheets/d/1SX6NBoVAgQJ6U1MVXOaj8PK2l7WJ3RER9xtqwdhxkhw/edit?usp=sharing"",""ประจวบคีรีขันธ์!J240"")"),17)</f>
        <v>17</v>
      </c>
      <c r="AC64" s="77">
        <f ca="1">IFERROR(__xludf.DUMMYFUNCTION("IMPORTRANGE(""https://docs.google.com/spreadsheets/d/1SX6NBoVAgQJ6U1MVXOaj8PK2l7WJ3RER9xtqwdhxkhw/edit?usp=sharing"",""ประจวบคีรีขันธ์!J241"")"),197.91)</f>
        <v>197.91</v>
      </c>
      <c r="AD64" s="219">
        <f t="shared" ca="1" si="16"/>
        <v>12.592592592592593</v>
      </c>
      <c r="AE64" s="215">
        <f ca="1">IFERROR(__xludf.DUMMYFUNCTION("IMPORTRANGE(""https://docs.google.com/spreadsheets/d/1AGHcLOeeYFL3K4b9R1dSzyJy00PE_ra89DNTVfnxSWM/edit?usp=sharing"",""รวมที่ทำกิน!AA57"")"),500)</f>
        <v>500</v>
      </c>
      <c r="AF64" s="215">
        <f ca="1">IFERROR(__xludf.DUMMYFUNCTION("IMPORTRANGE(""https://docs.google.com/spreadsheets/d/1AGHcLOeeYFL3K4b9R1dSzyJy00PE_ra89DNTVfnxSWM/edit?usp=sharing"",""รวมที่ทำกิน!AB57"")"),15)</f>
        <v>15</v>
      </c>
      <c r="AG64" s="215">
        <f ca="1">IFERROR(__xludf.DUMMYFUNCTION("IMPORTRANGE(""https://docs.google.com/spreadsheets/d/1AGHcLOeeYFL3K4b9R1dSzyJy00PE_ra89DNTVfnxSWM/edit?usp=sharing"",""รวมที่ทำกิน!AD57"")"),53.72)</f>
        <v>53.72</v>
      </c>
      <c r="AH64" s="219">
        <f t="shared" ca="1" si="101"/>
        <v>10.744</v>
      </c>
      <c r="AI64" s="215">
        <f ca="1">IFERROR(__xludf.DUMMYFUNCTION("IMPORTRANGE(""https://docs.google.com/spreadsheets/d/1AGHcLOeeYFL3K4b9R1dSzyJy00PE_ra89DNTVfnxSWM/edit?usp=sharing"",""รวมที่ทำกิน!AE57"")"),60)</f>
        <v>60</v>
      </c>
      <c r="AJ64" s="215">
        <f ca="1">IFERROR(__xludf.DUMMYFUNCTION("IMPORTRANGE(""https://docs.google.com/spreadsheets/d/1AGHcLOeeYFL3K4b9R1dSzyJy00PE_ra89DNTVfnxSWM/edit?usp=sharing"",""รวมที่ทำกิน!AF57"")"),0)</f>
        <v>0</v>
      </c>
      <c r="AK64" s="215">
        <f ca="1">IFERROR(__xludf.DUMMYFUNCTION("IMPORTRANGE(""https://docs.google.com/spreadsheets/d/1AGHcLOeeYFL3K4b9R1dSzyJy00PE_ra89DNTVfnxSWM/edit?usp=sharing"",""รวมที่ทำกิน!AH57"")"),0)</f>
        <v>0</v>
      </c>
      <c r="AL64" s="220">
        <f t="shared" ca="1" si="103"/>
        <v>0</v>
      </c>
      <c r="AM64" s="215">
        <f ca="1">IFERROR(__xludf.DUMMYFUNCTION("IMPORTRANGE(""https://docs.google.com/spreadsheets/d/1AGHcLOeeYFL3K4b9R1dSzyJy00PE_ra89DNTVfnxSWM/edit?usp=sharing"",""รวมที่ทำกิน!AI57"")"),0)</f>
        <v>0</v>
      </c>
      <c r="AN64" s="215">
        <f ca="1">IFERROR(__xludf.DUMMYFUNCTION("IMPORTRANGE(""https://docs.google.com/spreadsheets/d/1AGHcLOeeYFL3K4b9R1dSzyJy00PE_ra89DNTVfnxSWM/edit?usp=sharing"",""รวมที่ทำกิน!AK57"")"),0)</f>
        <v>0</v>
      </c>
      <c r="AO64" s="220">
        <f t="shared" ca="1" si="22"/>
        <v>0</v>
      </c>
      <c r="AP64" s="215">
        <f ca="1">IFERROR(__xludf.DUMMYFUNCTION("IMPORTRANGE(""https://docs.google.com/spreadsheets/d/1AGHcLOeeYFL3K4b9R1dSzyJy00PE_ra89DNTVfnxSWM/edit?usp=sharing"",""รวมที่ทำกิน!AL57"")"),0)</f>
        <v>0</v>
      </c>
      <c r="AQ64" s="215">
        <f ca="1">IFERROR(__xludf.DUMMYFUNCTION("IMPORTRANGE(""https://docs.google.com/spreadsheets/d/1AGHcLOeeYFL3K4b9R1dSzyJy00PE_ra89DNTVfnxSWM/edit?usp=sharing"",""รวมที่ทำกิน!AN57"")"),0)</f>
        <v>0</v>
      </c>
      <c r="AR64" s="220">
        <f t="shared" ca="1" si="24"/>
        <v>0</v>
      </c>
      <c r="AS64" s="215">
        <f ca="1">IFERROR(__xludf.DUMMYFUNCTION("IMPORTRANGE(""https://docs.google.com/spreadsheets/d/1AGHcLOeeYFL3K4b9R1dSzyJy00PE_ra89DNTVfnxSWM/edit?usp=sharing"",""รวมที่ทำกิน!AO57"")"),280)</f>
        <v>280</v>
      </c>
      <c r="AT64" s="215">
        <f ca="1">IFERROR(__xludf.DUMMYFUNCTION("IMPORTRANGE(""https://docs.google.com/spreadsheets/d/1AGHcLOeeYFL3K4b9R1dSzyJy00PE_ra89DNTVfnxSWM/edit?usp=sharing"",""รวมที่ทำกิน!AP57"")"),8)</f>
        <v>8</v>
      </c>
      <c r="AU64" s="215">
        <f ca="1">IFERROR(__xludf.DUMMYFUNCTION("IMPORTRANGE(""https://docs.google.com/spreadsheets/d/1AGHcLOeeYFL3K4b9R1dSzyJy00PE_ra89DNTVfnxSWM/edit?usp=sharing"",""รวมที่ทำกิน!AR57"")"),61.11)</f>
        <v>61.11</v>
      </c>
      <c r="AV64" s="220">
        <f t="shared" ca="1" si="107"/>
        <v>21.824999999999999</v>
      </c>
      <c r="AW64" s="215">
        <f ca="1">IFERROR(__xludf.DUMMYFUNCTION("IMPORTRANGE(""https://docs.google.com/spreadsheets/d/1AGHcLOeeYFL3K4b9R1dSzyJy00PE_ra89DNTVfnxSWM/edit?usp=sharing"",""รวมที่ทำกิน!AS57"")"),75)</f>
        <v>75</v>
      </c>
      <c r="AX64" s="215">
        <f ca="1">IFERROR(__xludf.DUMMYFUNCTION("IMPORTRANGE(""https://docs.google.com/spreadsheets/d/1AGHcLOeeYFL3K4b9R1dSzyJy00PE_ra89DNTVfnxSWM/edit?usp=sharing"",""รวมที่ทำกิน!AT57"")"),14)</f>
        <v>14</v>
      </c>
      <c r="AY64" s="215">
        <f ca="1">IFERROR(__xludf.DUMMYFUNCTION("IMPORTRANGE(""https://docs.google.com/spreadsheets/d/1AGHcLOeeYFL3K4b9R1dSzyJy00PE_ra89DNTVfnxSWM/edit?usp=sharing"",""รวมที่ทำกิน!AV57"")"),172.68)</f>
        <v>172.68</v>
      </c>
      <c r="AZ64" s="220">
        <f t="shared" ca="1" si="109"/>
        <v>18.666666666666668</v>
      </c>
      <c r="BA64" s="215">
        <f ca="1">IFERROR(__xludf.DUMMYFUNCTION("IMPORTRANGE(""https://docs.google.com/spreadsheets/d/1AGHcLOeeYFL3K4b9R1dSzyJy00PE_ra89DNTVfnxSWM/edit?usp=sharing"",""รวมที่ทำกิน!AW57"")"),0)</f>
        <v>0</v>
      </c>
      <c r="BB64" s="215">
        <f ca="1">IFERROR(__xludf.DUMMYFUNCTION("IMPORTRANGE(""https://docs.google.com/spreadsheets/d/1AGHcLOeeYFL3K4b9R1dSzyJy00PE_ra89DNTVfnxSWM/edit?usp=sharing"",""รวมที่ทำกิน!AY57"")"),0)</f>
        <v>0</v>
      </c>
      <c r="BC64" s="220">
        <f t="shared" ca="1" si="30"/>
        <v>0</v>
      </c>
      <c r="BD64" s="215">
        <f ca="1">IFERROR(__xludf.DUMMYFUNCTION("IMPORTRANGE(""https://docs.google.com/spreadsheets/d/1AGHcLOeeYFL3K4b9R1dSzyJy00PE_ra89DNTVfnxSWM/edit?usp=sharing"",""รวมที่ทำกิน!AZ57"")"),17)</f>
        <v>17</v>
      </c>
      <c r="BE64" s="215">
        <f ca="1">IFERROR(__xludf.DUMMYFUNCTION("IMPORTRANGE(""https://docs.google.com/spreadsheets/d/1AGHcLOeeYFL3K4b9R1dSzyJy00PE_ra89DNTVfnxSWM/edit?usp=sharing"",""รวมที่ทำกิน!BB57"")"),197.91)</f>
        <v>197.91</v>
      </c>
      <c r="BF64" s="221">
        <f t="shared" ca="1" si="32"/>
        <v>22.666666666666668</v>
      </c>
    </row>
    <row r="65" spans="1:58" ht="21" customHeight="1">
      <c r="A65" s="73">
        <v>11</v>
      </c>
      <c r="B65" s="184" t="s">
        <v>89</v>
      </c>
      <c r="C65" s="75">
        <f t="shared" ca="1" si="0"/>
        <v>880650</v>
      </c>
      <c r="D65" s="76">
        <f t="shared" ca="1" si="142"/>
        <v>880650</v>
      </c>
      <c r="E65" s="77">
        <f ca="1">IFERROR(__xludf.DUMMYFUNCTION("IMPORTRANGE(""https://docs.google.com/spreadsheets/d/1C3CXT74ZlgGe6_JY_1olB1XN4rF0dxEuIIF-xsYjHgg/edit?usp=sharing"",""พรบ!BX69"")"),583200)</f>
        <v>583200</v>
      </c>
      <c r="F65" s="77">
        <f ca="1">IFERROR(__xludf.DUMMYFUNCTION("IMPORTRANGE(""https://docs.google.com/spreadsheets/d/1C3CXT74ZlgGe6_JY_1olB1XN4rF0dxEuIIF-xsYjHgg/edit?usp=sharing"",""พรบ!BY69"")"),297450)</f>
        <v>297450</v>
      </c>
      <c r="G65" s="77">
        <f ca="1">IFERROR(__xludf.DUMMYFUNCTION("IMPORTRANGE(""https://docs.google.com/spreadsheets/d/1Yj_ptqi66GCucihVvJfMjLAmec39IyEx_6qawtMGysU/edit?usp=sharing"",""สบก!DJ69"")"),0)</f>
        <v>0</v>
      </c>
      <c r="H65" s="77">
        <f ca="1">IFERROR(__xludf.DUMMYFUNCTION("IMPORTRANGE(""https://docs.google.com/spreadsheets/d/1Yj_ptqi66GCucihVvJfMjLAmec39IyEx_6qawtMGysU/edit?usp=shDLing"",""สบก!DL69"")"),714630)</f>
        <v>714630</v>
      </c>
      <c r="I65" s="77">
        <f t="shared" ca="1" si="3"/>
        <v>452714.7</v>
      </c>
      <c r="J65" s="77">
        <f t="shared" ca="1" si="4"/>
        <v>51.406881280872085</v>
      </c>
      <c r="K65" s="77">
        <f ca="1">IFERROR(__xludf.DUMMYFUNCTION("IMPORTRANGE(""https://docs.google.com/spreadsheets/d/1Yj_ptqi66GCucihVvJfMjLAmec39IyEx_6qawtMGysU/edit?usp=sharing"",""สบก!DM69"")"),452714.7)</f>
        <v>452714.7</v>
      </c>
      <c r="L65" s="137">
        <f t="shared" ca="1" si="5"/>
        <v>51.406881280872085</v>
      </c>
      <c r="M65" s="137">
        <f t="shared" ca="1" si="6"/>
        <v>63.349523529658704</v>
      </c>
      <c r="N65" s="137">
        <f ca="1">IFERROR(__xludf.DUMMYFUNCTION("IMPORTRANGE(""https://docs.google.com/spreadsheets/d/1Yj_ptqi66GCucihVvJfMjLAmec39IyEx_6qawtMGysU/edit?usp=sharing"",""สบก!DN69"")"),0)</f>
        <v>0</v>
      </c>
      <c r="O65" s="137">
        <f t="shared" ca="1" si="7"/>
        <v>0</v>
      </c>
      <c r="P65" s="77">
        <f ca="1">IFERROR(__xludf.DUMMYFUNCTION("IMPORTRANGE(""https://docs.google.com/spreadsheets/d/1C3CXT74ZlgGe6_JY_1olB1XN4rF0dxEuIIF-xsYjHgg/edit?usp=sharing"",""พรบ!CA69"")"),95)</f>
        <v>95</v>
      </c>
      <c r="Q65" s="77">
        <f ca="1">IFERROR(__xludf.DUMMYFUNCTION("IMPORTRANGE(""https://docs.google.com/spreadsheets/d/1C3CXT74ZlgGe6_JY_1olB1XN4rF0dxEuIIF-xsYjHgg/edit?usp=sharing"",""พรบ!BZ69"")"),1400)</f>
        <v>1400</v>
      </c>
      <c r="R65" s="218">
        <f t="shared" ca="1" si="95"/>
        <v>57</v>
      </c>
      <c r="S65" s="77">
        <f ca="1">IFERROR(__xludf.DUMMYFUNCTION("IMPORTRANGE(""https://docs.google.com/spreadsheets/d/1SX6NBoVAgQJ6U1MVXOaj8PK2l7WJ3RER9xtqwdhxkhw/edit?usp=sharing"",""ปราจีนบุรี!J234"")"),52)</f>
        <v>52</v>
      </c>
      <c r="T65" s="77">
        <f ca="1">IFERROR(__xludf.DUMMYFUNCTION("IMPORTRANGE(""https://docs.google.com/spreadsheets/d/1SX6NBoVAgQJ6U1MVXOaj8PK2l7WJ3RER9xtqwdhxkhw/edit?usp=sharing"",""ปราจีนบุรี!J235"")"),678.46)</f>
        <v>678.46</v>
      </c>
      <c r="U65" s="137">
        <f t="shared" ca="1" si="10"/>
        <v>48.46142857142857</v>
      </c>
      <c r="V65" s="77">
        <f ca="1">IFERROR(__xludf.DUMMYFUNCTION("IMPORTRANGE(""https://docs.google.com/spreadsheets/d/1SX6NBoVAgQJ6U1MVXOaj8PK2l7WJ3RER9xtqwdhxkhw/edit?usp=sharing"",""ปราจีนบุรี!J236"")"),84)</f>
        <v>84</v>
      </c>
      <c r="W65" s="77">
        <f ca="1">IFERROR(__xludf.DUMMYFUNCTION("IMPORTRANGE(""https://docs.google.com/spreadsheets/d/1SX6NBoVAgQJ6U1MVXOaj8PK2l7WJ3RER9xtqwdhxkhw/edit?usp=sharing"",""ปราจีนบุรี!J237"")"),1443.65999999999)</f>
        <v>1443.6599999999901</v>
      </c>
      <c r="X65" s="137">
        <f t="shared" ca="1" si="12"/>
        <v>88.421052631578945</v>
      </c>
      <c r="Y65" s="77">
        <f ca="1">IFERROR(__xludf.DUMMYFUNCTION("IMPORTRANGE(""https://docs.google.com/spreadsheets/d/1SX6NBoVAgQJ6U1MVXOaj8PK2l7WJ3RER9xtqwdhxkhw/edit?usp=sharing"",""ปราจีนบุรี!J238"")"),0)</f>
        <v>0</v>
      </c>
      <c r="Z65" s="77">
        <f ca="1">IFERROR(__xludf.DUMMYFUNCTION("IMPORTRANGE(""https://docs.google.com/spreadsheets/d/1SX6NBoVAgQJ6U1MVXOaj8PK2l7WJ3RER9xtqwdhxkhw/edit?usp=sharing"",""ปราจีนบุรี!J239"")"),0)</f>
        <v>0</v>
      </c>
      <c r="AA65" s="137">
        <f t="shared" ca="1" si="14"/>
        <v>0</v>
      </c>
      <c r="AB65" s="77">
        <f ca="1">IFERROR(__xludf.DUMMYFUNCTION("IMPORTRANGE(""https://docs.google.com/spreadsheets/d/1SX6NBoVAgQJ6U1MVXOaj8PK2l7WJ3RER9xtqwdhxkhw/edit?usp=sharing"",""ปราจีนบุรี!J240"")"),81)</f>
        <v>81</v>
      </c>
      <c r="AC65" s="77">
        <f ca="1">IFERROR(__xludf.DUMMYFUNCTION("IMPORTRANGE(""https://docs.google.com/spreadsheets/d/1SX6NBoVAgQJ6U1MVXOaj8PK2l7WJ3RER9xtqwdhxkhw/edit?usp=sharing"",""ปราจีนบุรี!J241"")"),1437.98)</f>
        <v>1437.98</v>
      </c>
      <c r="AD65" s="219">
        <f t="shared" ca="1" si="16"/>
        <v>85.263157894736835</v>
      </c>
      <c r="AE65" s="215">
        <f ca="1">IFERROR(__xludf.DUMMYFUNCTION("IMPORTRANGE(""https://docs.google.com/spreadsheets/d/1AGHcLOeeYFL3K4b9R1dSzyJy00PE_ra89DNTVfnxSWM/edit?usp=sharing"",""รวมที่ทำกิน!AA58"")"),1100)</f>
        <v>1100</v>
      </c>
      <c r="AF65" s="215">
        <f ca="1">IFERROR(__xludf.DUMMYFUNCTION("IMPORTRANGE(""https://docs.google.com/spreadsheets/d/1AGHcLOeeYFL3K4b9R1dSzyJy00PE_ra89DNTVfnxSWM/edit?usp=sharing"",""รวมที่ทำกิน!AB58"")"),16)</f>
        <v>16</v>
      </c>
      <c r="AG65" s="215">
        <f ca="1">IFERROR(__xludf.DUMMYFUNCTION("IMPORTRANGE(""https://docs.google.com/spreadsheets/d/1AGHcLOeeYFL3K4b9R1dSzyJy00PE_ra89DNTVfnxSWM/edit?usp=sharing"",""รวมที่ทำกิน!AD58"")"),266.28)</f>
        <v>266.27999999999997</v>
      </c>
      <c r="AH65" s="219">
        <f t="shared" ca="1" si="101"/>
        <v>24.207272727272724</v>
      </c>
      <c r="AI65" s="215">
        <f ca="1">IFERROR(__xludf.DUMMYFUNCTION("IMPORTRANGE(""https://docs.google.com/spreadsheets/d/1AGHcLOeeYFL3K4b9R1dSzyJy00PE_ra89DNTVfnxSWM/edit?usp=sharing"",""รวมที่ทำกิน!AE58"")"),50)</f>
        <v>50</v>
      </c>
      <c r="AJ65" s="215">
        <f ca="1">IFERROR(__xludf.DUMMYFUNCTION("IMPORTRANGE(""https://docs.google.com/spreadsheets/d/1AGHcLOeeYFL3K4b9R1dSzyJy00PE_ra89DNTVfnxSWM/edit?usp=sharing"",""รวมที่ทำกิน!AF58"")"),7)</f>
        <v>7</v>
      </c>
      <c r="AK65" s="215">
        <f ca="1">IFERROR(__xludf.DUMMYFUNCTION("IMPORTRANGE(""https://docs.google.com/spreadsheets/d/1AGHcLOeeYFL3K4b9R1dSzyJy00PE_ra89DNTVfnxSWM/edit?usp=sharing"",""รวมที่ทำกิน!AH58"")"),191.33)</f>
        <v>191.33</v>
      </c>
      <c r="AL65" s="220">
        <f t="shared" ca="1" si="103"/>
        <v>14</v>
      </c>
      <c r="AM65" s="215">
        <f ca="1">IFERROR(__xludf.DUMMYFUNCTION("IMPORTRANGE(""https://docs.google.com/spreadsheets/d/1AGHcLOeeYFL3K4b9R1dSzyJy00PE_ra89DNTVfnxSWM/edit?usp=sharing"",""รวมที่ทำกิน!AI58"")"),0)</f>
        <v>0</v>
      </c>
      <c r="AN65" s="215">
        <f ca="1">IFERROR(__xludf.DUMMYFUNCTION("IMPORTRANGE(""https://docs.google.com/spreadsheets/d/1AGHcLOeeYFL3K4b9R1dSzyJy00PE_ra89DNTVfnxSWM/edit?usp=sharing"",""รวมที่ทำกิน!AK58"")"),0)</f>
        <v>0</v>
      </c>
      <c r="AO65" s="220">
        <f t="shared" ca="1" si="22"/>
        <v>0</v>
      </c>
      <c r="AP65" s="215">
        <f ca="1">IFERROR(__xludf.DUMMYFUNCTION("IMPORTRANGE(""https://docs.google.com/spreadsheets/d/1AGHcLOeeYFL3K4b9R1dSzyJy00PE_ra89DNTVfnxSWM/edit?usp=sharing"",""รวมที่ทำกิน!AL58"")"),7)</f>
        <v>7</v>
      </c>
      <c r="AQ65" s="215">
        <f ca="1">IFERROR(__xludf.DUMMYFUNCTION("IMPORTRANGE(""https://docs.google.com/spreadsheets/d/1AGHcLOeeYFL3K4b9R1dSzyJy00PE_ra89DNTVfnxSWM/edit?usp=sharing"",""รวมที่ทำกิน!AN58"")"),191.33)</f>
        <v>191.33</v>
      </c>
      <c r="AR65" s="220">
        <f t="shared" ca="1" si="24"/>
        <v>14</v>
      </c>
      <c r="AS65" s="215">
        <f ca="1">IFERROR(__xludf.DUMMYFUNCTION("IMPORTRANGE(""https://docs.google.com/spreadsheets/d/1AGHcLOeeYFL3K4b9R1dSzyJy00PE_ra89DNTVfnxSWM/edit?usp=sharing"",""รวมที่ทำกิน!AO58"")"),300)</f>
        <v>300</v>
      </c>
      <c r="AT65" s="215">
        <f ca="1">IFERROR(__xludf.DUMMYFUNCTION("IMPORTRANGE(""https://docs.google.com/spreadsheets/d/1AGHcLOeeYFL3K4b9R1dSzyJy00PE_ra89DNTVfnxSWM/edit?usp=sharing"",""รวมที่ทำกิน!AP58"")"),36)</f>
        <v>36</v>
      </c>
      <c r="AU65" s="215">
        <f ca="1">IFERROR(__xludf.DUMMYFUNCTION("IMPORTRANGE(""https://docs.google.com/spreadsheets/d/1AGHcLOeeYFL3K4b9R1dSzyJy00PE_ra89DNTVfnxSWM/edit?usp=sharing"",""รวมที่ทำกิน!AR58"")"),412.18)</f>
        <v>412.18</v>
      </c>
      <c r="AV65" s="220">
        <f t="shared" ca="1" si="107"/>
        <v>137.39333333333335</v>
      </c>
      <c r="AW65" s="215">
        <f ca="1">IFERROR(__xludf.DUMMYFUNCTION("IMPORTRANGE(""https://docs.google.com/spreadsheets/d/1AGHcLOeeYFL3K4b9R1dSzyJy00PE_ra89DNTVfnxSWM/edit?usp=sharing"",""รวมที่ทำกิน!AS58"")"),45)</f>
        <v>45</v>
      </c>
      <c r="AX65" s="215">
        <f ca="1">IFERROR(__xludf.DUMMYFUNCTION("IMPORTRANGE(""https://docs.google.com/spreadsheets/d/1AGHcLOeeYFL3K4b9R1dSzyJy00PE_ra89DNTVfnxSWM/edit?usp=sharing"",""รวมที่ทำกิน!AT58"")"),77)</f>
        <v>77</v>
      </c>
      <c r="AY65" s="215">
        <f ca="1">IFERROR(__xludf.DUMMYFUNCTION("IMPORTRANGE(""https://docs.google.com/spreadsheets/d/1AGHcLOeeYFL3K4b9R1dSzyJy00PE_ra89DNTVfnxSWM/edit?usp=sharing"",""รวมที่ทำกิน!AV58"")"),1252.33)</f>
        <v>1252.33</v>
      </c>
      <c r="AZ65" s="220">
        <f t="shared" ca="1" si="109"/>
        <v>171.11111111111111</v>
      </c>
      <c r="BA65" s="215">
        <f ca="1">IFERROR(__xludf.DUMMYFUNCTION("IMPORTRANGE(""https://docs.google.com/spreadsheets/d/1AGHcLOeeYFL3K4b9R1dSzyJy00PE_ra89DNTVfnxSWM/edit?usp=sharing"",""รวมที่ทำกิน!AW58"")"),0)</f>
        <v>0</v>
      </c>
      <c r="BB65" s="215">
        <f ca="1">IFERROR(__xludf.DUMMYFUNCTION("IMPORTRANGE(""https://docs.google.com/spreadsheets/d/1AGHcLOeeYFL3K4b9R1dSzyJy00PE_ra89DNTVfnxSWM/edit?usp=sharing"",""รวมที่ทำกิน!AY58"")"),0)</f>
        <v>0</v>
      </c>
      <c r="BC65" s="220">
        <f t="shared" ca="1" si="30"/>
        <v>0</v>
      </c>
      <c r="BD65" s="215">
        <f ca="1">IFERROR(__xludf.DUMMYFUNCTION("IMPORTRANGE(""https://docs.google.com/spreadsheets/d/1AGHcLOeeYFL3K4b9R1dSzyJy00PE_ra89DNTVfnxSWM/edit?usp=sharing"",""รวมที่ทำกิน!AZ58"")"),74)</f>
        <v>74</v>
      </c>
      <c r="BE65" s="215">
        <f ca="1">IFERROR(__xludf.DUMMYFUNCTION("IMPORTRANGE(""https://docs.google.com/spreadsheets/d/1AGHcLOeeYFL3K4b9R1dSzyJy00PE_ra89DNTVfnxSWM/edit?usp=sharing"",""รวมที่ทำกิน!BB58"")"),1246.65)</f>
        <v>1246.6500000000001</v>
      </c>
      <c r="BF65" s="221">
        <f t="shared" ca="1" si="32"/>
        <v>164.44444444444446</v>
      </c>
    </row>
    <row r="66" spans="1:58" ht="21" customHeight="1">
      <c r="A66" s="73">
        <v>12</v>
      </c>
      <c r="B66" s="184" t="s">
        <v>90</v>
      </c>
      <c r="C66" s="75">
        <f t="shared" ca="1" si="0"/>
        <v>539310</v>
      </c>
      <c r="D66" s="76">
        <f t="shared" ca="1" si="142"/>
        <v>486110</v>
      </c>
      <c r="E66" s="77">
        <f ca="1">IFERROR(__xludf.DUMMYFUNCTION("IMPORTRANGE(""https://docs.google.com/spreadsheets/d/1C3CXT74ZlgGe6_JY_1olB1XN4rF0dxEuIIF-xsYjHgg/edit?usp=sharing"",""พรบ!BX70"")"),306000)</f>
        <v>306000</v>
      </c>
      <c r="F66" s="77">
        <f ca="1">IFERROR(__xludf.DUMMYFUNCTION("IMPORTRANGE(""https://docs.google.com/spreadsheets/d/1C3CXT74ZlgGe6_JY_1olB1XN4rF0dxEuIIF-xsYjHgg/edit?usp=sharing"",""พรบ!BY70"")"),180110)</f>
        <v>180110</v>
      </c>
      <c r="G66" s="77">
        <f ca="1">IFERROR(__xludf.DUMMYFUNCTION("IMPORTRANGE(""https://docs.google.com/spreadsheets/d/1Yj_ptqi66GCucihVvJfMjLAmec39IyEx_6qawtMGysU/edit?usp=sharing"",""สบก!DJ70"")"),53200)</f>
        <v>53200</v>
      </c>
      <c r="H66" s="77">
        <f ca="1">IFERROR(__xludf.DUMMYFUNCTION("IMPORTRANGE(""https://docs.google.com/spreadsheets/d/1Yj_ptqi66GCucihVvJfMjLAmec39IyEx_6qawtMGysU/edit?usp=shDLing"",""สบก!DL70"")"),354560)</f>
        <v>354560</v>
      </c>
      <c r="I66" s="77">
        <f t="shared" ca="1" si="3"/>
        <v>294523.16000000003</v>
      </c>
      <c r="J66" s="77">
        <f t="shared" ca="1" si="4"/>
        <v>54.611106784595137</v>
      </c>
      <c r="K66" s="77">
        <f ca="1">IFERROR(__xludf.DUMMYFUNCTION("IMPORTRANGE(""https://docs.google.com/spreadsheets/d/1Yj_ptqi66GCucihVvJfMjLAmec39IyEx_6qawtMGysU/edit?usp=sharing"",""สบก!DM70"")"),241323.16)</f>
        <v>241323.16</v>
      </c>
      <c r="L66" s="137">
        <f t="shared" ca="1" si="5"/>
        <v>49.643734957108471</v>
      </c>
      <c r="M66" s="137">
        <f t="shared" ca="1" si="6"/>
        <v>68.062714350180499</v>
      </c>
      <c r="N66" s="137">
        <f ca="1">IFERROR(__xludf.DUMMYFUNCTION("IMPORTRANGE(""https://docs.google.com/spreadsheets/d/1Yj_ptqi66GCucihVvJfMjLAmec39IyEx_6qawtMGysU/edit?usp=sharing"",""สบก!DN70"")"),53200)</f>
        <v>53200</v>
      </c>
      <c r="O66" s="137">
        <f t="shared" ca="1" si="7"/>
        <v>100</v>
      </c>
      <c r="P66" s="77">
        <f ca="1">IFERROR(__xludf.DUMMYFUNCTION("IMPORTRANGE(""https://docs.google.com/spreadsheets/d/1C3CXT74ZlgGe6_JY_1olB1XN4rF0dxEuIIF-xsYjHgg/edit?usp=sharing"",""พรบ!CA70"")"),0)</f>
        <v>0</v>
      </c>
      <c r="Q66" s="77">
        <f ca="1">IFERROR(__xludf.DUMMYFUNCTION("IMPORTRANGE(""https://docs.google.com/spreadsheets/d/1C3CXT74ZlgGe6_JY_1olB1XN4rF0dxEuIIF-xsYjHgg/edit?usp=sharing"",""พรบ!BZ70"")"),0)</f>
        <v>0</v>
      </c>
      <c r="R66" s="218">
        <f t="shared" ca="1" si="95"/>
        <v>0</v>
      </c>
      <c r="S66" s="77">
        <f ca="1">IFERROR(__xludf.DUMMYFUNCTION("IMPORTRANGE(""https://docs.google.com/spreadsheets/d/1SX6NBoVAgQJ6U1MVXOaj8PK2l7WJ3RER9xtqwdhxkhw/edit?usp=sharing"",""พระนครศรีอยุธยา!J234"")"),0)</f>
        <v>0</v>
      </c>
      <c r="T66" s="77">
        <f ca="1">IFERROR(__xludf.DUMMYFUNCTION("IMPORTRANGE(""https://docs.google.com/spreadsheets/d/1SX6NBoVAgQJ6U1MVXOaj8PK2l7WJ3RER9xtqwdhxkhw/edit?usp=sharing"",""พระนครศรีอยุธยา!J235"")"),0)</f>
        <v>0</v>
      </c>
      <c r="U66" s="137">
        <f t="shared" ca="1" si="10"/>
        <v>0</v>
      </c>
      <c r="V66" s="77">
        <f ca="1">IFERROR(__xludf.DUMMYFUNCTION("IMPORTRANGE(""https://docs.google.com/spreadsheets/d/1SX6NBoVAgQJ6U1MVXOaj8PK2l7WJ3RER9xtqwdhxkhw/edit?usp=sharing"",""พระนครศรีอยุธยา!J236"")"),0)</f>
        <v>0</v>
      </c>
      <c r="W66" s="77">
        <f ca="1">IFERROR(__xludf.DUMMYFUNCTION("IMPORTRANGE(""https://docs.google.com/spreadsheets/d/1SX6NBoVAgQJ6U1MVXOaj8PK2l7WJ3RER9xtqwdhxkhw/edit?usp=sharing"",""พระนครศรีอยุธยา!J237"")"),0)</f>
        <v>0</v>
      </c>
      <c r="X66" s="137">
        <f t="shared" ca="1" si="12"/>
        <v>0</v>
      </c>
      <c r="Y66" s="77">
        <f ca="1">IFERROR(__xludf.DUMMYFUNCTION("IMPORTRANGE(""https://docs.google.com/spreadsheets/d/1SX6NBoVAgQJ6U1MVXOaj8PK2l7WJ3RER9xtqwdhxkhw/edit?usp=sharing"",""พระนครศรีอยุธยา!J238"")"),0)</f>
        <v>0</v>
      </c>
      <c r="Z66" s="77">
        <f ca="1">IFERROR(__xludf.DUMMYFUNCTION("IMPORTRANGE(""https://docs.google.com/spreadsheets/d/1SX6NBoVAgQJ6U1MVXOaj8PK2l7WJ3RER9xtqwdhxkhw/edit?usp=sharing"",""พระนครศรีอยุธยา!J239"")"),0)</f>
        <v>0</v>
      </c>
      <c r="AA66" s="137">
        <f t="shared" ca="1" si="14"/>
        <v>0</v>
      </c>
      <c r="AB66" s="77">
        <f ca="1">IFERROR(__xludf.DUMMYFUNCTION("IMPORTRANGE(""https://docs.google.com/spreadsheets/d/1SX6NBoVAgQJ6U1MVXOaj8PK2l7WJ3RER9xtqwdhxkhw/edit?usp=sharing"",""พระนครศรีอยุธยา!J240"")"),0)</f>
        <v>0</v>
      </c>
      <c r="AC66" s="77">
        <f ca="1">IFERROR(__xludf.DUMMYFUNCTION("IMPORTRANGE(""https://docs.google.com/spreadsheets/d/1SX6NBoVAgQJ6U1MVXOaj8PK2l7WJ3RER9xtqwdhxkhw/edit?usp=sharing"",""พระนครศรีอยุธยา!J241"")"),0)</f>
        <v>0</v>
      </c>
      <c r="AD66" s="219">
        <f t="shared" ca="1" si="16"/>
        <v>0</v>
      </c>
      <c r="AE66" s="215">
        <f ca="1">IFERROR(__xludf.DUMMYFUNCTION("IMPORTRANGE(""https://docs.google.com/spreadsheets/d/1AGHcLOeeYFL3K4b9R1dSzyJy00PE_ra89DNTVfnxSWM/edit?usp=sharing"",""รวมที่ทำกิน!AA59"")"),0)</f>
        <v>0</v>
      </c>
      <c r="AF66" s="215">
        <f ca="1">IFERROR(__xludf.DUMMYFUNCTION("IMPORTRANGE(""https://docs.google.com/spreadsheets/d/1AGHcLOeeYFL3K4b9R1dSzyJy00PE_ra89DNTVfnxSWM/edit?usp=sharing"",""รวมที่ทำกิน!AB59"")"),0)</f>
        <v>0</v>
      </c>
      <c r="AG66" s="215">
        <f ca="1">IFERROR(__xludf.DUMMYFUNCTION("IMPORTRANGE(""https://docs.google.com/spreadsheets/d/1AGHcLOeeYFL3K4b9R1dSzyJy00PE_ra89DNTVfnxSWM/edit?usp=sharing"",""รวมที่ทำกิน!AD59"")"),0)</f>
        <v>0</v>
      </c>
      <c r="AH66" s="219">
        <f t="shared" ca="1" si="101"/>
        <v>0</v>
      </c>
      <c r="AI66" s="215">
        <f ca="1">IFERROR(__xludf.DUMMYFUNCTION("IMPORTRANGE(""https://docs.google.com/spreadsheets/d/1AGHcLOeeYFL3K4b9R1dSzyJy00PE_ra89DNTVfnxSWM/edit?usp=sharing"",""รวมที่ทำกิน!AE59"")"),0)</f>
        <v>0</v>
      </c>
      <c r="AJ66" s="215">
        <f ca="1">IFERROR(__xludf.DUMMYFUNCTION("IMPORTRANGE(""https://docs.google.com/spreadsheets/d/1AGHcLOeeYFL3K4b9R1dSzyJy00PE_ra89DNTVfnxSWM/edit?usp=sharing"",""รวมที่ทำกิน!AF59"")"),0)</f>
        <v>0</v>
      </c>
      <c r="AK66" s="215">
        <f ca="1">IFERROR(__xludf.DUMMYFUNCTION("IMPORTRANGE(""https://docs.google.com/spreadsheets/d/1AGHcLOeeYFL3K4b9R1dSzyJy00PE_ra89DNTVfnxSWM/edit?usp=sharing"",""รวมที่ทำกิน!AH59"")"),0)</f>
        <v>0</v>
      </c>
      <c r="AL66" s="220">
        <f t="shared" ca="1" si="103"/>
        <v>0</v>
      </c>
      <c r="AM66" s="215">
        <f ca="1">IFERROR(__xludf.DUMMYFUNCTION("IMPORTRANGE(""https://docs.google.com/spreadsheets/d/1AGHcLOeeYFL3K4b9R1dSzyJy00PE_ra89DNTVfnxSWM/edit?usp=sharing"",""รวมที่ทำกิน!AI59"")"),0)</f>
        <v>0</v>
      </c>
      <c r="AN66" s="215">
        <f ca="1">IFERROR(__xludf.DUMMYFUNCTION("IMPORTRANGE(""https://docs.google.com/spreadsheets/d/1AGHcLOeeYFL3K4b9R1dSzyJy00PE_ra89DNTVfnxSWM/edit?usp=sharing"",""รวมที่ทำกิน!AK59"")"),0)</f>
        <v>0</v>
      </c>
      <c r="AO66" s="220">
        <f t="shared" ca="1" si="22"/>
        <v>0</v>
      </c>
      <c r="AP66" s="215">
        <f ca="1">IFERROR(__xludf.DUMMYFUNCTION("IMPORTRANGE(""https://docs.google.com/spreadsheets/d/1AGHcLOeeYFL3K4b9R1dSzyJy00PE_ra89DNTVfnxSWM/edit?usp=sharing"",""รวมที่ทำกิน!AL59"")"),0)</f>
        <v>0</v>
      </c>
      <c r="AQ66" s="215">
        <f ca="1">IFERROR(__xludf.DUMMYFUNCTION("IMPORTRANGE(""https://docs.google.com/spreadsheets/d/1AGHcLOeeYFL3K4b9R1dSzyJy00PE_ra89DNTVfnxSWM/edit?usp=sharing"",""รวมที่ทำกิน!AN59"")"),0)</f>
        <v>0</v>
      </c>
      <c r="AR66" s="220">
        <f t="shared" ca="1" si="24"/>
        <v>0</v>
      </c>
      <c r="AS66" s="215">
        <f ca="1">IFERROR(__xludf.DUMMYFUNCTION("IMPORTRANGE(""https://docs.google.com/spreadsheets/d/1AGHcLOeeYFL3K4b9R1dSzyJy00PE_ra89DNTVfnxSWM/edit?usp=sharing"",""รวมที่ทำกิน!AO59"")"),0)</f>
        <v>0</v>
      </c>
      <c r="AT66" s="215">
        <f ca="1">IFERROR(__xludf.DUMMYFUNCTION("IMPORTRANGE(""https://docs.google.com/spreadsheets/d/1AGHcLOeeYFL3K4b9R1dSzyJy00PE_ra89DNTVfnxSWM/edit?usp=sharing"",""รวมที่ทำกิน!AP59"")"),0)</f>
        <v>0</v>
      </c>
      <c r="AU66" s="215">
        <f ca="1">IFERROR(__xludf.DUMMYFUNCTION("IMPORTRANGE(""https://docs.google.com/spreadsheets/d/1AGHcLOeeYFL3K4b9R1dSzyJy00PE_ra89DNTVfnxSWM/edit?usp=sharing"",""รวมที่ทำกิน!AR59"")"),0)</f>
        <v>0</v>
      </c>
      <c r="AV66" s="220">
        <f t="shared" ca="1" si="107"/>
        <v>0</v>
      </c>
      <c r="AW66" s="215">
        <f ca="1">IFERROR(__xludf.DUMMYFUNCTION("IMPORTRANGE(""https://docs.google.com/spreadsheets/d/1AGHcLOeeYFL3K4b9R1dSzyJy00PE_ra89DNTVfnxSWM/edit?usp=sharing"",""รวมที่ทำกิน!AS59"")"),0)</f>
        <v>0</v>
      </c>
      <c r="AX66" s="215">
        <f ca="1">IFERROR(__xludf.DUMMYFUNCTION("IMPORTRANGE(""https://docs.google.com/spreadsheets/d/1AGHcLOeeYFL3K4b9R1dSzyJy00PE_ra89DNTVfnxSWM/edit?usp=sharing"",""รวมที่ทำกิน!AT59"")"),0)</f>
        <v>0</v>
      </c>
      <c r="AY66" s="215">
        <f ca="1">IFERROR(__xludf.DUMMYFUNCTION("IMPORTRANGE(""https://docs.google.com/spreadsheets/d/1AGHcLOeeYFL3K4b9R1dSzyJy00PE_ra89DNTVfnxSWM/edit?usp=sharing"",""รวมที่ทำกิน!AV59"")"),0)</f>
        <v>0</v>
      </c>
      <c r="AZ66" s="220">
        <f t="shared" ca="1" si="109"/>
        <v>0</v>
      </c>
      <c r="BA66" s="215">
        <f ca="1">IFERROR(__xludf.DUMMYFUNCTION("IMPORTRANGE(""https://docs.google.com/spreadsheets/d/1AGHcLOeeYFL3K4b9R1dSzyJy00PE_ra89DNTVfnxSWM/edit?usp=sharing"",""รวมที่ทำกิน!AW59"")"),0)</f>
        <v>0</v>
      </c>
      <c r="BB66" s="215">
        <f ca="1">IFERROR(__xludf.DUMMYFUNCTION("IMPORTRANGE(""https://docs.google.com/spreadsheets/d/1AGHcLOeeYFL3K4b9R1dSzyJy00PE_ra89DNTVfnxSWM/edit?usp=sharing"",""รวมที่ทำกิน!AY59"")"),0)</f>
        <v>0</v>
      </c>
      <c r="BC66" s="220">
        <f t="shared" ca="1" si="30"/>
        <v>0</v>
      </c>
      <c r="BD66" s="215">
        <f ca="1">IFERROR(__xludf.DUMMYFUNCTION("IMPORTRANGE(""https://docs.google.com/spreadsheets/d/1AGHcLOeeYFL3K4b9R1dSzyJy00PE_ra89DNTVfnxSWM/edit?usp=sharing"",""รวมที่ทำกิน!AZ59"")"),0)</f>
        <v>0</v>
      </c>
      <c r="BE66" s="215">
        <f ca="1">IFERROR(__xludf.DUMMYFUNCTION("IMPORTRANGE(""https://docs.google.com/spreadsheets/d/1AGHcLOeeYFL3K4b9R1dSzyJy00PE_ra89DNTVfnxSWM/edit?usp=sharing"",""รวมที่ทำกิน!BB59"")"),0)</f>
        <v>0</v>
      </c>
      <c r="BF66" s="221">
        <f t="shared" ca="1" si="32"/>
        <v>0</v>
      </c>
    </row>
    <row r="67" spans="1:58" ht="21" customHeight="1">
      <c r="A67" s="73">
        <v>13</v>
      </c>
      <c r="B67" s="184" t="s">
        <v>91</v>
      </c>
      <c r="C67" s="75">
        <f t="shared" ca="1" si="0"/>
        <v>701880</v>
      </c>
      <c r="D67" s="76">
        <f t="shared" ca="1" si="142"/>
        <v>701880</v>
      </c>
      <c r="E67" s="77">
        <f ca="1">IFERROR(__xludf.DUMMYFUNCTION("IMPORTRANGE(""https://docs.google.com/spreadsheets/d/1C3CXT74ZlgGe6_JY_1olB1XN4rF0dxEuIIF-xsYjHgg/edit?usp=sharing"",""พรบ!BX71"")"),493800)</f>
        <v>493800</v>
      </c>
      <c r="F67" s="77">
        <f ca="1">IFERROR(__xludf.DUMMYFUNCTION("IMPORTRANGE(""https://docs.google.com/spreadsheets/d/1C3CXT74ZlgGe6_JY_1olB1XN4rF0dxEuIIF-xsYjHgg/edit?usp=sharing"",""พรบ!BY71"")"),208080)</f>
        <v>208080</v>
      </c>
      <c r="G67" s="77">
        <f ca="1">IFERROR(__xludf.DUMMYFUNCTION("IMPORTRANGE(""https://docs.google.com/spreadsheets/d/1Yj_ptqi66GCucihVvJfMjLAmec39IyEx_6qawtMGysU/edit?usp=sharing"",""สบก!DJ71"")"),0)</f>
        <v>0</v>
      </c>
      <c r="H67" s="77">
        <f ca="1">IFERROR(__xludf.DUMMYFUNCTION("IMPORTRANGE(""https://docs.google.com/spreadsheets/d/1Yj_ptqi66GCucihVvJfMjLAmec39IyEx_6qawtMGysU/edit?usp=shDLing"",""สบก!DL71"")"),514520)</f>
        <v>514520</v>
      </c>
      <c r="I67" s="77">
        <f t="shared" ca="1" si="3"/>
        <v>380429.3</v>
      </c>
      <c r="J67" s="77">
        <f t="shared" ca="1" si="4"/>
        <v>54.201473186299651</v>
      </c>
      <c r="K67" s="77">
        <f ca="1">IFERROR(__xludf.DUMMYFUNCTION("IMPORTRANGE(""https://docs.google.com/spreadsheets/d/1Yj_ptqi66GCucihVvJfMjLAmec39IyEx_6qawtMGysU/edit?usp=sharing"",""สบก!DM71"")"),380429.3)</f>
        <v>380429.3</v>
      </c>
      <c r="L67" s="137">
        <f t="shared" ca="1" si="5"/>
        <v>54.201473186299651</v>
      </c>
      <c r="M67" s="137">
        <f t="shared" ca="1" si="6"/>
        <v>73.938680712120032</v>
      </c>
      <c r="N67" s="137">
        <f ca="1">IFERROR(__xludf.DUMMYFUNCTION("IMPORTRANGE(""https://docs.google.com/spreadsheets/d/1Yj_ptqi66GCucihVvJfMjLAmec39IyEx_6qawtMGysU/edit?usp=sharing"",""สบก!DN71"")"),0)</f>
        <v>0</v>
      </c>
      <c r="O67" s="137">
        <f t="shared" ca="1" si="7"/>
        <v>0</v>
      </c>
      <c r="P67" s="77">
        <f ca="1">IFERROR(__xludf.DUMMYFUNCTION("IMPORTRANGE(""https://docs.google.com/spreadsheets/d/1C3CXT74ZlgGe6_JY_1olB1XN4rF0dxEuIIF-xsYjHgg/edit?usp=sharing"",""พรบ!CA71"")"),33)</f>
        <v>33</v>
      </c>
      <c r="Q67" s="77">
        <f ca="1">IFERROR(__xludf.DUMMYFUNCTION("IMPORTRANGE(""https://docs.google.com/spreadsheets/d/1C3CXT74ZlgGe6_JY_1olB1XN4rF0dxEuIIF-xsYjHgg/edit?usp=sharing"",""พรบ!BZ71"")"),180)</f>
        <v>180</v>
      </c>
      <c r="R67" s="218">
        <f t="shared" ca="1" si="95"/>
        <v>19.8</v>
      </c>
      <c r="S67" s="77">
        <f ca="1">IFERROR(__xludf.DUMMYFUNCTION("IMPORTRANGE(""https://docs.google.com/spreadsheets/d/1SX6NBoVAgQJ6U1MVXOaj8PK2l7WJ3RER9xtqwdhxkhw/edit?usp=sharing"",""เพชรบุรี!J234"")"),0)</f>
        <v>0</v>
      </c>
      <c r="T67" s="77">
        <f ca="1">IFERROR(__xludf.DUMMYFUNCTION("IMPORTRANGE(""https://docs.google.com/spreadsheets/d/1SX6NBoVAgQJ6U1MVXOaj8PK2l7WJ3RER9xtqwdhxkhw/edit?usp=sharing"",""เพชรบุรี!J235"")"),0)</f>
        <v>0</v>
      </c>
      <c r="U67" s="137">
        <f t="shared" ca="1" si="10"/>
        <v>0</v>
      </c>
      <c r="V67" s="77">
        <f ca="1">IFERROR(__xludf.DUMMYFUNCTION("IMPORTRANGE(""https://docs.google.com/spreadsheets/d/1SX6NBoVAgQJ6U1MVXOaj8PK2l7WJ3RER9xtqwdhxkhw/edit?usp=sharing"",""เพชรบุรี!J236"")"),7)</f>
        <v>7</v>
      </c>
      <c r="W67" s="77">
        <f ca="1">IFERROR(__xludf.DUMMYFUNCTION("IMPORTRANGE(""https://docs.google.com/spreadsheets/d/1SX6NBoVAgQJ6U1MVXOaj8PK2l7WJ3RER9xtqwdhxkhw/edit?usp=sharing"",""เพชรบุรี!J237"")"),53.88)</f>
        <v>53.88</v>
      </c>
      <c r="X67" s="137">
        <f t="shared" ca="1" si="12"/>
        <v>21.212121212121211</v>
      </c>
      <c r="Y67" s="77">
        <f ca="1">IFERROR(__xludf.DUMMYFUNCTION("IMPORTRANGE(""https://docs.google.com/spreadsheets/d/1SX6NBoVAgQJ6U1MVXOaj8PK2l7WJ3RER9xtqwdhxkhw/edit?usp=sharing"",""เพชรบุรี!J238"")"),0)</f>
        <v>0</v>
      </c>
      <c r="Z67" s="77">
        <f ca="1">IFERROR(__xludf.DUMMYFUNCTION("IMPORTRANGE(""https://docs.google.com/spreadsheets/d/1SX6NBoVAgQJ6U1MVXOaj8PK2l7WJ3RER9xtqwdhxkhw/edit?usp=sharing"",""เพชรบุรี!J239"")"),0)</f>
        <v>0</v>
      </c>
      <c r="AA67" s="137">
        <f t="shared" ca="1" si="14"/>
        <v>0</v>
      </c>
      <c r="AB67" s="77">
        <f ca="1">IFERROR(__xludf.DUMMYFUNCTION("IMPORTRANGE(""https://docs.google.com/spreadsheets/d/1SX6NBoVAgQJ6U1MVXOaj8PK2l7WJ3RER9xtqwdhxkhw/edit?usp=sharing"",""เพชรบุรี!J240"")"),5)</f>
        <v>5</v>
      </c>
      <c r="AC67" s="77">
        <f ca="1">IFERROR(__xludf.DUMMYFUNCTION("IMPORTRANGE(""https://docs.google.com/spreadsheets/d/1SX6NBoVAgQJ6U1MVXOaj8PK2l7WJ3RER9xtqwdhxkhw/edit?usp=sharing"",""เพชรบุรี!J241"")"),35.33)</f>
        <v>35.33</v>
      </c>
      <c r="AD67" s="219">
        <f t="shared" ca="1" si="16"/>
        <v>15.151515151515152</v>
      </c>
      <c r="AE67" s="215">
        <f ca="1">IFERROR(__xludf.DUMMYFUNCTION("IMPORTRANGE(""https://docs.google.com/spreadsheets/d/1AGHcLOeeYFL3K4b9R1dSzyJy00PE_ra89DNTVfnxSWM/edit?usp=sharing"",""รวมที่ทำกิน!AA60"")"),30)</f>
        <v>30</v>
      </c>
      <c r="AF67" s="215">
        <f ca="1">IFERROR(__xludf.DUMMYFUNCTION("IMPORTRANGE(""https://docs.google.com/spreadsheets/d/1AGHcLOeeYFL3K4b9R1dSzyJy00PE_ra89DNTVfnxSWM/edit?usp=sharing"",""รวมที่ทำกิน!AB60"")"),0)</f>
        <v>0</v>
      </c>
      <c r="AG67" s="215">
        <f ca="1">IFERROR(__xludf.DUMMYFUNCTION("IMPORTRANGE(""https://docs.google.com/spreadsheets/d/1AGHcLOeeYFL3K4b9R1dSzyJy00PE_ra89DNTVfnxSWM/edit?usp=sharing"",""รวมที่ทำกิน!AD60"")"),0)</f>
        <v>0</v>
      </c>
      <c r="AH67" s="219">
        <f t="shared" ca="1" si="101"/>
        <v>0</v>
      </c>
      <c r="AI67" s="215">
        <f ca="1">IFERROR(__xludf.DUMMYFUNCTION("IMPORTRANGE(""https://docs.google.com/spreadsheets/d/1AGHcLOeeYFL3K4b9R1dSzyJy00PE_ra89DNTVfnxSWM/edit?usp=sharing"",""รวมที่ทำกิน!AE60"")"),3)</f>
        <v>3</v>
      </c>
      <c r="AJ67" s="215">
        <f ca="1">IFERROR(__xludf.DUMMYFUNCTION("IMPORTRANGE(""https://docs.google.com/spreadsheets/d/1AGHcLOeeYFL3K4b9R1dSzyJy00PE_ra89DNTVfnxSWM/edit?usp=sharing"",""รวมที่ทำกิน!AF60"")"),0)</f>
        <v>0</v>
      </c>
      <c r="AK67" s="215">
        <f ca="1">IFERROR(__xludf.DUMMYFUNCTION("IMPORTRANGE(""https://docs.google.com/spreadsheets/d/1AGHcLOeeYFL3K4b9R1dSzyJy00PE_ra89DNTVfnxSWM/edit?usp=sharing"",""รวมที่ทำกิน!AH60"")"),0)</f>
        <v>0</v>
      </c>
      <c r="AL67" s="220">
        <f t="shared" ca="1" si="103"/>
        <v>0</v>
      </c>
      <c r="AM67" s="215">
        <f ca="1">IFERROR(__xludf.DUMMYFUNCTION("IMPORTRANGE(""https://docs.google.com/spreadsheets/d/1AGHcLOeeYFL3K4b9R1dSzyJy00PE_ra89DNTVfnxSWM/edit?usp=sharing"",""รวมที่ทำกิน!AI60"")"),0)</f>
        <v>0</v>
      </c>
      <c r="AN67" s="215">
        <f ca="1">IFERROR(__xludf.DUMMYFUNCTION("IMPORTRANGE(""https://docs.google.com/spreadsheets/d/1AGHcLOeeYFL3K4b9R1dSzyJy00PE_ra89DNTVfnxSWM/edit?usp=sharing"",""รวมที่ทำกิน!AK60"")"),0)</f>
        <v>0</v>
      </c>
      <c r="AO67" s="220">
        <f t="shared" ca="1" si="22"/>
        <v>0</v>
      </c>
      <c r="AP67" s="215">
        <f ca="1">IFERROR(__xludf.DUMMYFUNCTION("IMPORTRANGE(""https://docs.google.com/spreadsheets/d/1AGHcLOeeYFL3K4b9R1dSzyJy00PE_ra89DNTVfnxSWM/edit?usp=sharing"",""รวมที่ทำกิน!AL60"")"),0)</f>
        <v>0</v>
      </c>
      <c r="AQ67" s="215">
        <f ca="1">IFERROR(__xludf.DUMMYFUNCTION("IMPORTRANGE(""https://docs.google.com/spreadsheets/d/1AGHcLOeeYFL3K4b9R1dSzyJy00PE_ra89DNTVfnxSWM/edit?usp=sharing"",""รวมที่ทำกิน!AN60"")"),0)</f>
        <v>0</v>
      </c>
      <c r="AR67" s="220">
        <f t="shared" ca="1" si="24"/>
        <v>0</v>
      </c>
      <c r="AS67" s="215">
        <f ca="1">IFERROR(__xludf.DUMMYFUNCTION("IMPORTRANGE(""https://docs.google.com/spreadsheets/d/1AGHcLOeeYFL3K4b9R1dSzyJy00PE_ra89DNTVfnxSWM/edit?usp=sharing"",""รวมที่ทำกิน!AO60"")"),150)</f>
        <v>150</v>
      </c>
      <c r="AT67" s="215">
        <f ca="1">IFERROR(__xludf.DUMMYFUNCTION("IMPORTRANGE(""https://docs.google.com/spreadsheets/d/1AGHcLOeeYFL3K4b9R1dSzyJy00PE_ra89DNTVfnxSWM/edit?usp=sharing"",""รวมที่ทำกิน!AP60"")"),0)</f>
        <v>0</v>
      </c>
      <c r="AU67" s="215">
        <f ca="1">IFERROR(__xludf.DUMMYFUNCTION("IMPORTRANGE(""https://docs.google.com/spreadsheets/d/1AGHcLOeeYFL3K4b9R1dSzyJy00PE_ra89DNTVfnxSWM/edit?usp=sharing"",""รวมที่ทำกิน!AR60"")"),0)</f>
        <v>0</v>
      </c>
      <c r="AV67" s="220">
        <f t="shared" ca="1" si="107"/>
        <v>0</v>
      </c>
      <c r="AW67" s="215">
        <f ca="1">IFERROR(__xludf.DUMMYFUNCTION("IMPORTRANGE(""https://docs.google.com/spreadsheets/d/1AGHcLOeeYFL3K4b9R1dSzyJy00PE_ra89DNTVfnxSWM/edit?usp=sharing"",""รวมที่ทำกิน!AS60"")"),30)</f>
        <v>30</v>
      </c>
      <c r="AX67" s="215">
        <f ca="1">IFERROR(__xludf.DUMMYFUNCTION("IMPORTRANGE(""https://docs.google.com/spreadsheets/d/1AGHcLOeeYFL3K4b9R1dSzyJy00PE_ra89DNTVfnxSWM/edit?usp=sharing"",""รวมที่ทำกิน!AT60"")"),7)</f>
        <v>7</v>
      </c>
      <c r="AY67" s="215">
        <f ca="1">IFERROR(__xludf.DUMMYFUNCTION("IMPORTRANGE(""https://docs.google.com/spreadsheets/d/1AGHcLOeeYFL3K4b9R1dSzyJy00PE_ra89DNTVfnxSWM/edit?usp=sharing"",""รวมที่ทำกิน!AV60"")"),53.88)</f>
        <v>53.88</v>
      </c>
      <c r="AZ67" s="220">
        <f t="shared" ca="1" si="109"/>
        <v>23.333333333333332</v>
      </c>
      <c r="BA67" s="215">
        <f ca="1">IFERROR(__xludf.DUMMYFUNCTION("IMPORTRANGE(""https://docs.google.com/spreadsheets/d/1AGHcLOeeYFL3K4b9R1dSzyJy00PE_ra89DNTVfnxSWM/edit?usp=sharing"",""รวมที่ทำกิน!AW60"")"),0)</f>
        <v>0</v>
      </c>
      <c r="BB67" s="215">
        <f ca="1">IFERROR(__xludf.DUMMYFUNCTION("IMPORTRANGE(""https://docs.google.com/spreadsheets/d/1AGHcLOeeYFL3K4b9R1dSzyJy00PE_ra89DNTVfnxSWM/edit?usp=sharing"",""รวมที่ทำกิน!AY60"")"),0)</f>
        <v>0</v>
      </c>
      <c r="BC67" s="220">
        <f t="shared" ca="1" si="30"/>
        <v>0</v>
      </c>
      <c r="BD67" s="215">
        <f ca="1">IFERROR(__xludf.DUMMYFUNCTION("IMPORTRANGE(""https://docs.google.com/spreadsheets/d/1AGHcLOeeYFL3K4b9R1dSzyJy00PE_ra89DNTVfnxSWM/edit?usp=sharing"",""รวมที่ทำกิน!AZ60"")"),5)</f>
        <v>5</v>
      </c>
      <c r="BE67" s="215">
        <f ca="1">IFERROR(__xludf.DUMMYFUNCTION("IMPORTRANGE(""https://docs.google.com/spreadsheets/d/1AGHcLOeeYFL3K4b9R1dSzyJy00PE_ra89DNTVfnxSWM/edit?usp=sharing"",""รวมที่ทำกิน!BB60"")"),35.33)</f>
        <v>35.33</v>
      </c>
      <c r="BF67" s="221">
        <f t="shared" ca="1" si="32"/>
        <v>16.666666666666668</v>
      </c>
    </row>
    <row r="68" spans="1:58" ht="21" customHeight="1">
      <c r="A68" s="73">
        <v>14</v>
      </c>
      <c r="B68" s="74" t="s">
        <v>92</v>
      </c>
      <c r="C68" s="75">
        <f t="shared" ca="1" si="0"/>
        <v>786020</v>
      </c>
      <c r="D68" s="76">
        <f t="shared" ca="1" si="142"/>
        <v>639020</v>
      </c>
      <c r="E68" s="77">
        <f ca="1">IFERROR(__xludf.DUMMYFUNCTION("IMPORTRANGE(""https://docs.google.com/spreadsheets/d/1C3CXT74ZlgGe6_JY_1olB1XN4rF0dxEuIIF-xsYjHgg/edit?usp=sharing"",""พรบ!BX72"")"),381200)</f>
        <v>381200</v>
      </c>
      <c r="F68" s="77">
        <f ca="1">IFERROR(__xludf.DUMMYFUNCTION("IMPORTRANGE(""https://docs.google.com/spreadsheets/d/1C3CXT74ZlgGe6_JY_1olB1XN4rF0dxEuIIF-xsYjHgg/edit?usp=sharing"",""พรบ!BY72"")"),257820)</f>
        <v>257820</v>
      </c>
      <c r="G68" s="77">
        <f ca="1">IFERROR(__xludf.DUMMYFUNCTION("IMPORTRANGE(""https://docs.google.com/spreadsheets/d/1Yj_ptqi66GCucihVvJfMjLAmec39IyEx_6qawtMGysU/edit?usp=sharing"",""สบก!DJ72"")"),147000)</f>
        <v>147000</v>
      </c>
      <c r="H68" s="77">
        <f ca="1">IFERROR(__xludf.DUMMYFUNCTION("IMPORTRANGE(""https://docs.google.com/spreadsheets/d/1Yj_ptqi66GCucihVvJfMjLAmec39IyEx_6qawtMGysU/edit?usp=shDLing"",""สบก!DL72"")"),461910)</f>
        <v>461910</v>
      </c>
      <c r="I68" s="77">
        <f t="shared" ca="1" si="3"/>
        <v>447296.43</v>
      </c>
      <c r="J68" s="77">
        <f t="shared" ca="1" si="4"/>
        <v>56.906494745680774</v>
      </c>
      <c r="K68" s="77">
        <f ca="1">IFERROR(__xludf.DUMMYFUNCTION("IMPORTRANGE(""https://docs.google.com/spreadsheets/d/1Yj_ptqi66GCucihVvJfMjLAmec39IyEx_6qawtMGysU/edit?usp=sharing"",""สบก!DM72"")"),300296.43)</f>
        <v>300296.43</v>
      </c>
      <c r="L68" s="137">
        <f t="shared" ca="1" si="5"/>
        <v>46.993275640825011</v>
      </c>
      <c r="M68" s="137">
        <f t="shared" ca="1" si="6"/>
        <v>65.011891926998771</v>
      </c>
      <c r="N68" s="137">
        <f ca="1">IFERROR(__xludf.DUMMYFUNCTION("IMPORTRANGE(""https://docs.google.com/spreadsheets/d/1Yj_ptqi66GCucihVvJfMjLAmec39IyEx_6qawtMGysU/edit?usp=sharing"",""สบก!DN72"")"),147000)</f>
        <v>147000</v>
      </c>
      <c r="O68" s="137">
        <f t="shared" ca="1" si="7"/>
        <v>100</v>
      </c>
      <c r="P68" s="77">
        <f ca="1">IFERROR(__xludf.DUMMYFUNCTION("IMPORTRANGE(""https://docs.google.com/spreadsheets/d/1C3CXT74ZlgGe6_JY_1olB1XN4rF0dxEuIIF-xsYjHgg/edit?usp=sharing"",""พรบ!CA72"")"),62)</f>
        <v>62</v>
      </c>
      <c r="Q68" s="77">
        <f ca="1">IFERROR(__xludf.DUMMYFUNCTION("IMPORTRANGE(""https://docs.google.com/spreadsheets/d/1C3CXT74ZlgGe6_JY_1olB1XN4rF0dxEuIIF-xsYjHgg/edit?usp=sharing"",""พรบ!BZ72"")"),775)</f>
        <v>775</v>
      </c>
      <c r="R68" s="218">
        <f t="shared" ca="1" si="95"/>
        <v>37.200000000000003</v>
      </c>
      <c r="S68" s="77">
        <f ca="1">IFERROR(__xludf.DUMMYFUNCTION("IMPORTRANGE(""https://docs.google.com/spreadsheets/d/1SX6NBoVAgQJ6U1MVXOaj8PK2l7WJ3RER9xtqwdhxkhw/edit?usp=sharing"",""ระยอง!J234"")"),63)</f>
        <v>63</v>
      </c>
      <c r="T68" s="77">
        <f ca="1">IFERROR(__xludf.DUMMYFUNCTION("IMPORTRANGE(""https://docs.google.com/spreadsheets/d/1SX6NBoVAgQJ6U1MVXOaj8PK2l7WJ3RER9xtqwdhxkhw/edit?usp=sharing"",""ระยอง!J235"")"),283.039999999999)</f>
        <v>283.039999999999</v>
      </c>
      <c r="U68" s="137">
        <f t="shared" ca="1" si="10"/>
        <v>36.521290322580512</v>
      </c>
      <c r="V68" s="77">
        <f ca="1">IFERROR(__xludf.DUMMYFUNCTION("IMPORTRANGE(""https://docs.google.com/spreadsheets/d/1SX6NBoVAgQJ6U1MVXOaj8PK2l7WJ3RER9xtqwdhxkhw/edit?usp=sharing"",""ระยอง!J236"")"),34)</f>
        <v>34</v>
      </c>
      <c r="W68" s="77">
        <f ca="1">IFERROR(__xludf.DUMMYFUNCTION("IMPORTRANGE(""https://docs.google.com/spreadsheets/d/1SX6NBoVAgQJ6U1MVXOaj8PK2l7WJ3RER9xtqwdhxkhw/edit?usp=sharing"",""ระยอง!J237"")"),328.83)</f>
        <v>328.83</v>
      </c>
      <c r="X68" s="137">
        <f t="shared" ca="1" si="12"/>
        <v>54.838709677419352</v>
      </c>
      <c r="Y68" s="77">
        <f ca="1">IFERROR(__xludf.DUMMYFUNCTION("IMPORTRANGE(""https://docs.google.com/spreadsheets/d/1SX6NBoVAgQJ6U1MVXOaj8PK2l7WJ3RER9xtqwdhxkhw/edit?usp=sharing"",""ระยอง!J238"")"),0)</f>
        <v>0</v>
      </c>
      <c r="Z68" s="77">
        <f ca="1">IFERROR(__xludf.DUMMYFUNCTION("IMPORTRANGE(""https://docs.google.com/spreadsheets/d/1SX6NBoVAgQJ6U1MVXOaj8PK2l7WJ3RER9xtqwdhxkhw/edit?usp=sharing"",""ระยอง!J239"")"),0)</f>
        <v>0</v>
      </c>
      <c r="AA68" s="137">
        <f t="shared" ca="1" si="14"/>
        <v>0</v>
      </c>
      <c r="AB68" s="77">
        <f ca="1">IFERROR(__xludf.DUMMYFUNCTION("IMPORTRANGE(""https://docs.google.com/spreadsheets/d/1SX6NBoVAgQJ6U1MVXOaj8PK2l7WJ3RER9xtqwdhxkhw/edit?usp=sharing"",""ระยอง!J240"")"),31)</f>
        <v>31</v>
      </c>
      <c r="AC68" s="77">
        <f ca="1">IFERROR(__xludf.DUMMYFUNCTION("IMPORTRANGE(""https://docs.google.com/spreadsheets/d/1SX6NBoVAgQJ6U1MVXOaj8PK2l7WJ3RER9xtqwdhxkhw/edit?usp=sharing"",""ระยอง!J241"")"),280.03)</f>
        <v>280.02999999999997</v>
      </c>
      <c r="AD68" s="219">
        <f t="shared" ca="1" si="16"/>
        <v>50</v>
      </c>
      <c r="AE68" s="215">
        <f ca="1">IFERROR(__xludf.DUMMYFUNCTION("IMPORTRANGE(""https://docs.google.com/spreadsheets/d/1AGHcLOeeYFL3K4b9R1dSzyJy00PE_ra89DNTVfnxSWM/edit?usp=sharing"",""รวมที่ทำกิน!AA61"")"),720)</f>
        <v>720</v>
      </c>
      <c r="AF68" s="215">
        <f ca="1">IFERROR(__xludf.DUMMYFUNCTION("IMPORTRANGE(""https://docs.google.com/spreadsheets/d/1AGHcLOeeYFL3K4b9R1dSzyJy00PE_ra89DNTVfnxSWM/edit?usp=sharing"",""รวมที่ทำกิน!AB61"")"),27)</f>
        <v>27</v>
      </c>
      <c r="AG68" s="215">
        <f ca="1">IFERROR(__xludf.DUMMYFUNCTION("IMPORTRANGE(""https://docs.google.com/spreadsheets/d/1AGHcLOeeYFL3K4b9R1dSzyJy00PE_ra89DNTVfnxSWM/edit?usp=sharing"",""รวมที่ทำกิน!AD61"")"),82.31)</f>
        <v>82.31</v>
      </c>
      <c r="AH68" s="219">
        <f t="shared" ca="1" si="101"/>
        <v>11.431944444444444</v>
      </c>
      <c r="AI68" s="215">
        <f ca="1">IFERROR(__xludf.DUMMYFUNCTION("IMPORTRANGE(""https://docs.google.com/spreadsheets/d/1AGHcLOeeYFL3K4b9R1dSzyJy00PE_ra89DNTVfnxSWM/edit?usp=sharing"",""รวมที่ทำกิน!AE61"")"),30)</f>
        <v>30</v>
      </c>
      <c r="AJ68" s="215">
        <f ca="1">IFERROR(__xludf.DUMMYFUNCTION("IMPORTRANGE(""https://docs.google.com/spreadsheets/d/1AGHcLOeeYFL3K4b9R1dSzyJy00PE_ra89DNTVfnxSWM/edit?usp=sharing"",""รวมที่ทำกิน!AF61"")"),17)</f>
        <v>17</v>
      </c>
      <c r="AK68" s="215">
        <f ca="1">IFERROR(__xludf.DUMMYFUNCTION("IMPORTRANGE(""https://docs.google.com/spreadsheets/d/1AGHcLOeeYFL3K4b9R1dSzyJy00PE_ra89DNTVfnxSWM/edit?usp=sharing"",""รวมที่ทำกิน!AH61"")"),58.4)</f>
        <v>58.4</v>
      </c>
      <c r="AL68" s="220">
        <f t="shared" ca="1" si="103"/>
        <v>56.666666666666664</v>
      </c>
      <c r="AM68" s="215">
        <f ca="1">IFERROR(__xludf.DUMMYFUNCTION("IMPORTRANGE(""https://docs.google.com/spreadsheets/d/1AGHcLOeeYFL3K4b9R1dSzyJy00PE_ra89DNTVfnxSWM/edit?usp=sharing"",""รวมที่ทำกิน!AI61"")"),0)</f>
        <v>0</v>
      </c>
      <c r="AN68" s="215">
        <f ca="1">IFERROR(__xludf.DUMMYFUNCTION("IMPORTRANGE(""https://docs.google.com/spreadsheets/d/1AGHcLOeeYFL3K4b9R1dSzyJy00PE_ra89DNTVfnxSWM/edit?usp=sharing"",""รวมที่ทำกิน!AK61"")"),0)</f>
        <v>0</v>
      </c>
      <c r="AO68" s="220">
        <f t="shared" ca="1" si="22"/>
        <v>0</v>
      </c>
      <c r="AP68" s="215">
        <f ca="1">IFERROR(__xludf.DUMMYFUNCTION("IMPORTRANGE(""https://docs.google.com/spreadsheets/d/1AGHcLOeeYFL3K4b9R1dSzyJy00PE_ra89DNTVfnxSWM/edit?usp=sharing"",""รวมที่ทำกิน!AL61"")"),20)</f>
        <v>20</v>
      </c>
      <c r="AQ68" s="215">
        <f ca="1">IFERROR(__xludf.DUMMYFUNCTION("IMPORTRANGE(""https://docs.google.com/spreadsheets/d/1AGHcLOeeYFL3K4b9R1dSzyJy00PE_ra89DNTVfnxSWM/edit?usp=sharing"",""รวมที่ทำกิน!AN61"")"),59.52)</f>
        <v>59.52</v>
      </c>
      <c r="AR68" s="220">
        <f t="shared" ca="1" si="24"/>
        <v>66.666666666666671</v>
      </c>
      <c r="AS68" s="215">
        <f ca="1">IFERROR(__xludf.DUMMYFUNCTION("IMPORTRANGE(""https://docs.google.com/spreadsheets/d/1AGHcLOeeYFL3K4b9R1dSzyJy00PE_ra89DNTVfnxSWM/edit?usp=sharing"",""รวมที่ทำกิน!AO61"")"),55)</f>
        <v>55</v>
      </c>
      <c r="AT68" s="215">
        <f ca="1">IFERROR(__xludf.DUMMYFUNCTION("IMPORTRANGE(""https://docs.google.com/spreadsheets/d/1AGHcLOeeYFL3K4b9R1dSzyJy00PE_ra89DNTVfnxSWM/edit?usp=sharing"",""รวมที่ทำกิน!AP61"")"),36)</f>
        <v>36</v>
      </c>
      <c r="AU68" s="215">
        <f ca="1">IFERROR(__xludf.DUMMYFUNCTION("IMPORTRANGE(""https://docs.google.com/spreadsheets/d/1AGHcLOeeYFL3K4b9R1dSzyJy00PE_ra89DNTVfnxSWM/edit?usp=sharing"",""รวมที่ทำกิน!AR61"")"),200.73)</f>
        <v>200.73</v>
      </c>
      <c r="AV68" s="220">
        <f t="shared" ca="1" si="107"/>
        <v>364.96363636363634</v>
      </c>
      <c r="AW68" s="215">
        <f ca="1">IFERROR(__xludf.DUMMYFUNCTION("IMPORTRANGE(""https://docs.google.com/spreadsheets/d/1AGHcLOeeYFL3K4b9R1dSzyJy00PE_ra89DNTVfnxSWM/edit?usp=sharing"",""รวมที่ทำกิน!AS61"")"),32)</f>
        <v>32</v>
      </c>
      <c r="AX68" s="215">
        <f ca="1">IFERROR(__xludf.DUMMYFUNCTION("IMPORTRANGE(""https://docs.google.com/spreadsheets/d/1AGHcLOeeYFL3K4b9R1dSzyJy00PE_ra89DNTVfnxSWM/edit?usp=sharing"",""รวมที่ทำกิน!AT61"")"),17)</f>
        <v>17</v>
      </c>
      <c r="AY68" s="215">
        <f ca="1">IFERROR(__xludf.DUMMYFUNCTION("IMPORTRANGE(""https://docs.google.com/spreadsheets/d/1AGHcLOeeYFL3K4b9R1dSzyJy00PE_ra89DNTVfnxSWM/edit?usp=sharing"",""รวมที่ทำกิน!AV61"")"),270.43)</f>
        <v>270.43</v>
      </c>
      <c r="AZ68" s="220">
        <f t="shared" ca="1" si="109"/>
        <v>53.125</v>
      </c>
      <c r="BA68" s="215">
        <f ca="1">IFERROR(__xludf.DUMMYFUNCTION("IMPORTRANGE(""https://docs.google.com/spreadsheets/d/1AGHcLOeeYFL3K4b9R1dSzyJy00PE_ra89DNTVfnxSWM/edit?usp=sharing"",""รวมที่ทำกิน!AW61"")"),0)</f>
        <v>0</v>
      </c>
      <c r="BB68" s="215">
        <f ca="1">IFERROR(__xludf.DUMMYFUNCTION("IMPORTRANGE(""https://docs.google.com/spreadsheets/d/1AGHcLOeeYFL3K4b9R1dSzyJy00PE_ra89DNTVfnxSWM/edit?usp=sharing"",""รวมที่ทำกิน!AY61"")"),0)</f>
        <v>0</v>
      </c>
      <c r="BC68" s="220">
        <f t="shared" ca="1" si="30"/>
        <v>0</v>
      </c>
      <c r="BD68" s="215">
        <f ca="1">IFERROR(__xludf.DUMMYFUNCTION("IMPORTRANGE(""https://docs.google.com/spreadsheets/d/1AGHcLOeeYFL3K4b9R1dSzyJy00PE_ra89DNTVfnxSWM/edit?usp=sharing"",""รวมที่ทำกิน!AZ61"")"),11)</f>
        <v>11</v>
      </c>
      <c r="BE68" s="215">
        <f ca="1">IFERROR(__xludf.DUMMYFUNCTION("IMPORTRANGE(""https://docs.google.com/spreadsheets/d/1AGHcLOeeYFL3K4b9R1dSzyJy00PE_ra89DNTVfnxSWM/edit?usp=sharing"",""รวมที่ทำกิน!BB61"")"),220.51)</f>
        <v>220.51</v>
      </c>
      <c r="BF68" s="221">
        <f t="shared" ca="1" si="32"/>
        <v>34.375</v>
      </c>
    </row>
    <row r="69" spans="1:58" ht="21" customHeight="1">
      <c r="A69" s="73">
        <v>15</v>
      </c>
      <c r="B69" s="74" t="s">
        <v>93</v>
      </c>
      <c r="C69" s="75">
        <f t="shared" ca="1" si="0"/>
        <v>955800</v>
      </c>
      <c r="D69" s="76">
        <f t="shared" ca="1" si="142"/>
        <v>921300</v>
      </c>
      <c r="E69" s="77">
        <f ca="1">IFERROR(__xludf.DUMMYFUNCTION("IMPORTRANGE(""https://docs.google.com/spreadsheets/d/1C3CXT74ZlgGe6_JY_1olB1XN4rF0dxEuIIF-xsYjHgg/edit?usp=sharing"",""พรบ!BX73"")"),564000)</f>
        <v>564000</v>
      </c>
      <c r="F69" s="77">
        <f ca="1">IFERROR(__xludf.DUMMYFUNCTION("IMPORTRANGE(""https://docs.google.com/spreadsheets/d/1C3CXT74ZlgGe6_JY_1olB1XN4rF0dxEuIIF-xsYjHgg/edit?usp=sharing"",""พรบ!BY73"")"),357300)</f>
        <v>357300</v>
      </c>
      <c r="G69" s="77">
        <f ca="1">IFERROR(__xludf.DUMMYFUNCTION("IMPORTRANGE(""https://docs.google.com/spreadsheets/d/1Yj_ptqi66GCucihVvJfMjLAmec39IyEx_6qawtMGysU/edit?usp=sharing"",""สบก!DJ73"")"),34500)</f>
        <v>34500</v>
      </c>
      <c r="H69" s="77">
        <f ca="1">IFERROR(__xludf.DUMMYFUNCTION("IMPORTRANGE(""https://docs.google.com/spreadsheets/d/1Yj_ptqi66GCucihVvJfMjLAmec39IyEx_6qawtMGysU/edit?usp=shDLing"",""สบก!DL73"")"),671060)</f>
        <v>671060</v>
      </c>
      <c r="I69" s="77">
        <f t="shared" ca="1" si="3"/>
        <v>482058.41</v>
      </c>
      <c r="J69" s="77">
        <f t="shared" ca="1" si="4"/>
        <v>50.435071144590921</v>
      </c>
      <c r="K69" s="77">
        <f ca="1">IFERROR(__xludf.DUMMYFUNCTION("IMPORTRANGE(""https://docs.google.com/spreadsheets/d/1Yj_ptqi66GCucihVvJfMjLAmec39IyEx_6qawtMGysU/edit?usp=sharing"",""สบก!DM73"")"),447558.41)</f>
        <v>447558.41</v>
      </c>
      <c r="L69" s="137">
        <f t="shared" ca="1" si="5"/>
        <v>48.579009009009006</v>
      </c>
      <c r="M69" s="137">
        <f t="shared" ca="1" si="6"/>
        <v>66.694246416117778</v>
      </c>
      <c r="N69" s="137">
        <f ca="1">IFERROR(__xludf.DUMMYFUNCTION("IMPORTRANGE(""https://docs.google.com/spreadsheets/d/1Yj_ptqi66GCucihVvJfMjLAmec39IyEx_6qawtMGysU/edit?usp=sharing"",""สบก!DN73"")"),34500)</f>
        <v>34500</v>
      </c>
      <c r="O69" s="137">
        <f t="shared" ca="1" si="7"/>
        <v>100</v>
      </c>
      <c r="P69" s="77">
        <f ca="1">IFERROR(__xludf.DUMMYFUNCTION("IMPORTRANGE(""https://docs.google.com/spreadsheets/d/1C3CXT74ZlgGe6_JY_1olB1XN4rF0dxEuIIF-xsYjHgg/edit?usp=sharing"",""พรบ!CA73"")"),220)</f>
        <v>220</v>
      </c>
      <c r="Q69" s="77">
        <f ca="1">IFERROR(__xludf.DUMMYFUNCTION("IMPORTRANGE(""https://docs.google.com/spreadsheets/d/1C3CXT74ZlgGe6_JY_1olB1XN4rF0dxEuIIF-xsYjHgg/edit?usp=sharing"",""พรบ!BZ73"")"),2000)</f>
        <v>2000</v>
      </c>
      <c r="R69" s="218">
        <f t="shared" ca="1" si="95"/>
        <v>132</v>
      </c>
      <c r="S69" s="77">
        <f ca="1">IFERROR(__xludf.DUMMYFUNCTION("IMPORTRANGE(""https://docs.google.com/spreadsheets/d/1SX6NBoVAgQJ6U1MVXOaj8PK2l7WJ3RER9xtqwdhxkhw/edit?usp=sharing"",""ราชบุรี!J234"")"),60)</f>
        <v>60</v>
      </c>
      <c r="T69" s="77">
        <f ca="1">IFERROR(__xludf.DUMMYFUNCTION("IMPORTRANGE(""https://docs.google.com/spreadsheets/d/1SX6NBoVAgQJ6U1MVXOaj8PK2l7WJ3RER9xtqwdhxkhw/edit?usp=sharing"",""ราชบุรี!J235"")"),917.56)</f>
        <v>917.56</v>
      </c>
      <c r="U69" s="137">
        <f t="shared" ca="1" si="10"/>
        <v>45.878</v>
      </c>
      <c r="V69" s="77">
        <f ca="1">IFERROR(__xludf.DUMMYFUNCTION("IMPORTRANGE(""https://docs.google.com/spreadsheets/d/1SX6NBoVAgQJ6U1MVXOaj8PK2l7WJ3RER9xtqwdhxkhw/edit?usp=sharing"",""ราชบุรี!J236"")"),40)</f>
        <v>40</v>
      </c>
      <c r="W69" s="77">
        <f ca="1">IFERROR(__xludf.DUMMYFUNCTION("IMPORTRANGE(""https://docs.google.com/spreadsheets/d/1SX6NBoVAgQJ6U1MVXOaj8PK2l7WJ3RER9xtqwdhxkhw/edit?usp=sharing"",""ราชบุรี!J237"")"),401.24)</f>
        <v>401.24</v>
      </c>
      <c r="X69" s="137">
        <f t="shared" ca="1" si="12"/>
        <v>18.181818181818183</v>
      </c>
      <c r="Y69" s="77">
        <f ca="1">IFERROR(__xludf.DUMMYFUNCTION("IMPORTRANGE(""https://docs.google.com/spreadsheets/d/1SX6NBoVAgQJ6U1MVXOaj8PK2l7WJ3RER9xtqwdhxkhw/edit?usp=sharing"",""ราชบุรี!J238"")"),0)</f>
        <v>0</v>
      </c>
      <c r="Z69" s="77">
        <f ca="1">IFERROR(__xludf.DUMMYFUNCTION("IMPORTRANGE(""https://docs.google.com/spreadsheets/d/1SX6NBoVAgQJ6U1MVXOaj8PK2l7WJ3RER9xtqwdhxkhw/edit?usp=sharing"",""ราชบุรี!J239"")"),0)</f>
        <v>0</v>
      </c>
      <c r="AA69" s="137">
        <f t="shared" ca="1" si="14"/>
        <v>0</v>
      </c>
      <c r="AB69" s="77">
        <f ca="1">IFERROR(__xludf.DUMMYFUNCTION("IMPORTRANGE(""https://docs.google.com/spreadsheets/d/1SX6NBoVAgQJ6U1MVXOaj8PK2l7WJ3RER9xtqwdhxkhw/edit?usp=sharing"",""ราชบุรี!J240"")"),40)</f>
        <v>40</v>
      </c>
      <c r="AC69" s="77">
        <f ca="1">IFERROR(__xludf.DUMMYFUNCTION("IMPORTRANGE(""https://docs.google.com/spreadsheets/d/1SX6NBoVAgQJ6U1MVXOaj8PK2l7WJ3RER9xtqwdhxkhw/edit?usp=sharing"",""ราชบุรี!J241"")"),383.63)</f>
        <v>383.63</v>
      </c>
      <c r="AD69" s="219">
        <f t="shared" ca="1" si="16"/>
        <v>18.181818181818183</v>
      </c>
      <c r="AE69" s="215">
        <f ca="1">IFERROR(__xludf.DUMMYFUNCTION("IMPORTRANGE(""https://docs.google.com/spreadsheets/d/1AGHcLOeeYFL3K4b9R1dSzyJy00PE_ra89DNTVfnxSWM/edit?usp=sharing"",""รวมที่ทำกิน!AA62"")"),1680)</f>
        <v>1680</v>
      </c>
      <c r="AF69" s="215">
        <f ca="1">IFERROR(__xludf.DUMMYFUNCTION("IMPORTRANGE(""https://docs.google.com/spreadsheets/d/1AGHcLOeeYFL3K4b9R1dSzyJy00PE_ra89DNTVfnxSWM/edit?usp=sharing"",""รวมที่ทำกิน!AB62"")"),59)</f>
        <v>59</v>
      </c>
      <c r="AG69" s="215">
        <f ca="1">IFERROR(__xludf.DUMMYFUNCTION("IMPORTRANGE(""https://docs.google.com/spreadsheets/d/1AGHcLOeeYFL3K4b9R1dSzyJy00PE_ra89DNTVfnxSWM/edit?usp=sharing"",""รวมที่ทำกิน!AD62"")"),903.31)</f>
        <v>903.31</v>
      </c>
      <c r="AH69" s="219">
        <f t="shared" ca="1" si="101"/>
        <v>53.768452380952382</v>
      </c>
      <c r="AI69" s="215">
        <f ca="1">IFERROR(__xludf.DUMMYFUNCTION("IMPORTRANGE(""https://docs.google.com/spreadsheets/d/1AGHcLOeeYFL3K4b9R1dSzyJy00PE_ra89DNTVfnxSWM/edit?usp=sharing"",""รวมที่ทำกิน!AE62"")"),140)</f>
        <v>140</v>
      </c>
      <c r="AJ69" s="215">
        <f ca="1">IFERROR(__xludf.DUMMYFUNCTION("IMPORTRANGE(""https://docs.google.com/spreadsheets/d/1AGHcLOeeYFL3K4b9R1dSzyJy00PE_ra89DNTVfnxSWM/edit?usp=sharing"",""รวมที่ทำกิน!AF62"")"),21)</f>
        <v>21</v>
      </c>
      <c r="AK69" s="215">
        <f ca="1">IFERROR(__xludf.DUMMYFUNCTION("IMPORTRANGE(""https://docs.google.com/spreadsheets/d/1AGHcLOeeYFL3K4b9R1dSzyJy00PE_ra89DNTVfnxSWM/edit?usp=sharing"",""รวมที่ทำกิน!AH62"")"),188.76)</f>
        <v>188.76</v>
      </c>
      <c r="AL69" s="220">
        <f t="shared" ca="1" si="103"/>
        <v>15</v>
      </c>
      <c r="AM69" s="215">
        <f ca="1">IFERROR(__xludf.DUMMYFUNCTION("IMPORTRANGE(""https://docs.google.com/spreadsheets/d/1AGHcLOeeYFL3K4b9R1dSzyJy00PE_ra89DNTVfnxSWM/edit?usp=sharing"",""รวมที่ทำกิน!AI62"")"),0)</f>
        <v>0</v>
      </c>
      <c r="AN69" s="215">
        <f ca="1">IFERROR(__xludf.DUMMYFUNCTION("IMPORTRANGE(""https://docs.google.com/spreadsheets/d/1AGHcLOeeYFL3K4b9R1dSzyJy00PE_ra89DNTVfnxSWM/edit?usp=sharing"",""รวมที่ทำกิน!AK62"")"),0)</f>
        <v>0</v>
      </c>
      <c r="AO69" s="220">
        <f t="shared" ca="1" si="22"/>
        <v>0</v>
      </c>
      <c r="AP69" s="215">
        <f ca="1">IFERROR(__xludf.DUMMYFUNCTION("IMPORTRANGE(""https://docs.google.com/spreadsheets/d/1AGHcLOeeYFL3K4b9R1dSzyJy00PE_ra89DNTVfnxSWM/edit?usp=sharing"",""รวมที่ทำกิน!AL62"")"),20)</f>
        <v>20</v>
      </c>
      <c r="AQ69" s="215">
        <f ca="1">IFERROR(__xludf.DUMMYFUNCTION("IMPORTRANGE(""https://docs.google.com/spreadsheets/d/1AGHcLOeeYFL3K4b9R1dSzyJy00PE_ra89DNTVfnxSWM/edit?usp=sharing"",""รวมที่ทำกิน!AN62"")"),176.01)</f>
        <v>176.01</v>
      </c>
      <c r="AR69" s="220">
        <f t="shared" ca="1" si="24"/>
        <v>14.285714285714286</v>
      </c>
      <c r="AS69" s="215">
        <f ca="1">IFERROR(__xludf.DUMMYFUNCTION("IMPORTRANGE(""https://docs.google.com/spreadsheets/d/1AGHcLOeeYFL3K4b9R1dSzyJy00PE_ra89DNTVfnxSWM/edit?usp=sharing"",""รวมที่ทำกิน!AO62"")"),320)</f>
        <v>320</v>
      </c>
      <c r="AT69" s="215">
        <f ca="1">IFERROR(__xludf.DUMMYFUNCTION("IMPORTRANGE(""https://docs.google.com/spreadsheets/d/1AGHcLOeeYFL3K4b9R1dSzyJy00PE_ra89DNTVfnxSWM/edit?usp=sharing"",""รวมที่ทำกิน!AP62"")"),1)</f>
        <v>1</v>
      </c>
      <c r="AU69" s="215">
        <f ca="1">IFERROR(__xludf.DUMMYFUNCTION("IMPORTRANGE(""https://docs.google.com/spreadsheets/d/1AGHcLOeeYFL3K4b9R1dSzyJy00PE_ra89DNTVfnxSWM/edit?usp=sharing"",""รวมที่ทำกิน!AR62"")"),14.25)</f>
        <v>14.25</v>
      </c>
      <c r="AV69" s="220">
        <f t="shared" ca="1" si="107"/>
        <v>4.453125</v>
      </c>
      <c r="AW69" s="215">
        <f ca="1">IFERROR(__xludf.DUMMYFUNCTION("IMPORTRANGE(""https://docs.google.com/spreadsheets/d/1AGHcLOeeYFL3K4b9R1dSzyJy00PE_ra89DNTVfnxSWM/edit?usp=sharing"",""รวมที่ทำกิน!AS62"")"),80)</f>
        <v>80</v>
      </c>
      <c r="AX69" s="215">
        <f ca="1">IFERROR(__xludf.DUMMYFUNCTION("IMPORTRANGE(""https://docs.google.com/spreadsheets/d/1AGHcLOeeYFL3K4b9R1dSzyJy00PE_ra89DNTVfnxSWM/edit?usp=sharing"",""รวมที่ทำกิน!AT62"")"),19)</f>
        <v>19</v>
      </c>
      <c r="AY69" s="215">
        <f ca="1">IFERROR(__xludf.DUMMYFUNCTION("IMPORTRANGE(""https://docs.google.com/spreadsheets/d/1AGHcLOeeYFL3K4b9R1dSzyJy00PE_ra89DNTVfnxSWM/edit?usp=sharing"",""รวมที่ทำกิน!AV62"")"),212.48)</f>
        <v>212.48</v>
      </c>
      <c r="AZ69" s="220">
        <f t="shared" ca="1" si="109"/>
        <v>23.75</v>
      </c>
      <c r="BA69" s="215">
        <f ca="1">IFERROR(__xludf.DUMMYFUNCTION("IMPORTRANGE(""https://docs.google.com/spreadsheets/d/1AGHcLOeeYFL3K4b9R1dSzyJy00PE_ra89DNTVfnxSWM/edit?usp=sharing"",""รวมที่ทำกิน!AW62"")"),0)</f>
        <v>0</v>
      </c>
      <c r="BB69" s="215">
        <f ca="1">IFERROR(__xludf.DUMMYFUNCTION("IMPORTRANGE(""https://docs.google.com/spreadsheets/d/1AGHcLOeeYFL3K4b9R1dSzyJy00PE_ra89DNTVfnxSWM/edit?usp=sharing"",""รวมที่ทำกิน!AY62"")"),0)</f>
        <v>0</v>
      </c>
      <c r="BC69" s="220">
        <f t="shared" ca="1" si="30"/>
        <v>0</v>
      </c>
      <c r="BD69" s="215">
        <f ca="1">IFERROR(__xludf.DUMMYFUNCTION("IMPORTRANGE(""https://docs.google.com/spreadsheets/d/1AGHcLOeeYFL3K4b9R1dSzyJy00PE_ra89DNTVfnxSWM/edit?usp=sharing"",""รวมที่ทำกิน!AZ62"")"),20)</f>
        <v>20</v>
      </c>
      <c r="BE69" s="215">
        <f ca="1">IFERROR(__xludf.DUMMYFUNCTION("IMPORTRANGE(""https://docs.google.com/spreadsheets/d/1AGHcLOeeYFL3K4b9R1dSzyJy00PE_ra89DNTVfnxSWM/edit?usp=sharing"",""รวมที่ทำกิน!BB62"")"),207.62)</f>
        <v>207.62</v>
      </c>
      <c r="BF69" s="221">
        <f t="shared" ca="1" si="32"/>
        <v>25</v>
      </c>
    </row>
    <row r="70" spans="1:58" ht="24" customHeight="1">
      <c r="A70" s="73">
        <v>16</v>
      </c>
      <c r="B70" s="74" t="s">
        <v>94</v>
      </c>
      <c r="C70" s="75">
        <f t="shared" ca="1" si="0"/>
        <v>960550</v>
      </c>
      <c r="D70" s="76">
        <f t="shared" ca="1" si="142"/>
        <v>960550</v>
      </c>
      <c r="E70" s="77">
        <f ca="1">IFERROR(__xludf.DUMMYFUNCTION("IMPORTRANGE(""https://docs.google.com/spreadsheets/d/1C3CXT74ZlgGe6_JY_1olB1XN4rF0dxEuIIF-xsYjHgg/edit?usp=sharing"",""พรบ!BX74"")"),500400)</f>
        <v>500400</v>
      </c>
      <c r="F70" s="77">
        <f ca="1">IFERROR(__xludf.DUMMYFUNCTION("IMPORTRANGE(""https://docs.google.com/spreadsheets/d/1C3CXT74ZlgGe6_JY_1olB1XN4rF0dxEuIIF-xsYjHgg/edit?usp=sharing"",""พรบ!BY74"")"),460150)</f>
        <v>460150</v>
      </c>
      <c r="G70" s="77">
        <f ca="1">IFERROR(__xludf.DUMMYFUNCTION("IMPORTRANGE(""https://docs.google.com/spreadsheets/d/1Yj_ptqi66GCucihVvJfMjLAmec39IyEx_6qawtMGysU/edit?usp=sharing"",""สบก!DJ74"")"),0)</f>
        <v>0</v>
      </c>
      <c r="H70" s="77">
        <f ca="1">IFERROR(__xludf.DUMMYFUNCTION("IMPORTRANGE(""https://docs.google.com/spreadsheets/d/1Yj_ptqi66GCucihVvJfMjLAmec39IyEx_6qawtMGysU/edit?usp=shDLing"",""สบก!DL74"")"),689280)</f>
        <v>689280</v>
      </c>
      <c r="I70" s="77">
        <f t="shared" ca="1" si="3"/>
        <v>397944</v>
      </c>
      <c r="J70" s="77">
        <f t="shared" ca="1" si="4"/>
        <v>41.428764770183747</v>
      </c>
      <c r="K70" s="77">
        <f ca="1">IFERROR(__xludf.DUMMYFUNCTION("IMPORTRANGE(""https://docs.google.com/spreadsheets/d/1Yj_ptqi66GCucihVvJfMjLAmec39IyEx_6qawtMGysU/edit?usp=sharing"",""สบก!DM74"")"),397944)</f>
        <v>397944</v>
      </c>
      <c r="L70" s="137">
        <f t="shared" ca="1" si="5"/>
        <v>41.428764770183747</v>
      </c>
      <c r="M70" s="137">
        <f t="shared" ca="1" si="6"/>
        <v>57.733286908077993</v>
      </c>
      <c r="N70" s="137">
        <f ca="1">IFERROR(__xludf.DUMMYFUNCTION("IMPORTRANGE(""https://docs.google.com/spreadsheets/d/1Yj_ptqi66GCucihVvJfMjLAmec39IyEx_6qawtMGysU/edit?usp=sharing"",""สบก!DN74"")"),0)</f>
        <v>0</v>
      </c>
      <c r="O70" s="137">
        <f t="shared" ca="1" si="7"/>
        <v>0</v>
      </c>
      <c r="P70" s="77">
        <f ca="1">IFERROR(__xludf.DUMMYFUNCTION("IMPORTRANGE(""https://docs.google.com/spreadsheets/d/1C3CXT74ZlgGe6_JY_1olB1XN4rF0dxEuIIF-xsYjHgg/edit?usp=sharing"",""พรบ!CA74"")"),170)</f>
        <v>170</v>
      </c>
      <c r="Q70" s="77">
        <f ca="1">IFERROR(__xludf.DUMMYFUNCTION("IMPORTRANGE(""https://docs.google.com/spreadsheets/d/1C3CXT74ZlgGe6_JY_1olB1XN4rF0dxEuIIF-xsYjHgg/edit?usp=sharing"",""พรบ!BZ74"")"),3250)</f>
        <v>3250</v>
      </c>
      <c r="R70" s="218">
        <f t="shared" ca="1" si="95"/>
        <v>102</v>
      </c>
      <c r="S70" s="77">
        <f ca="1">IFERROR(__xludf.DUMMYFUNCTION("IMPORTRANGE(""https://docs.google.com/spreadsheets/d/1SX6NBoVAgQJ6U1MVXOaj8PK2l7WJ3RER9xtqwdhxkhw/edit?usp=sharing"",""ลพบุรี!J234"")"),136)</f>
        <v>136</v>
      </c>
      <c r="T70" s="77">
        <f ca="1">IFERROR(__xludf.DUMMYFUNCTION("IMPORTRANGE(""https://docs.google.com/spreadsheets/d/1SX6NBoVAgQJ6U1MVXOaj8PK2l7WJ3RER9xtqwdhxkhw/edit?usp=sharing"",""ลพบุรี!J235"")"),1460.05)</f>
        <v>1460.05</v>
      </c>
      <c r="U70" s="137">
        <f t="shared" ca="1" si="10"/>
        <v>44.924615384615386</v>
      </c>
      <c r="V70" s="77">
        <f ca="1">IFERROR(__xludf.DUMMYFUNCTION("IMPORTRANGE(""https://docs.google.com/spreadsheets/d/1SX6NBoVAgQJ6U1MVXOaj8PK2l7WJ3RER9xtqwdhxkhw/edit?usp=sharing"",""ลพบุรี!J236"")"),162)</f>
        <v>162</v>
      </c>
      <c r="W70" s="77">
        <f ca="1">IFERROR(__xludf.DUMMYFUNCTION("IMPORTRANGE(""https://docs.google.com/spreadsheets/d/1SX6NBoVAgQJ6U1MVXOaj8PK2l7WJ3RER9xtqwdhxkhw/edit?usp=sharing"",""ลพบุรี!J237"")"),2140.52)</f>
        <v>2140.52</v>
      </c>
      <c r="X70" s="137">
        <f t="shared" ca="1" si="12"/>
        <v>95.294117647058826</v>
      </c>
      <c r="Y70" s="77">
        <f ca="1">IFERROR(__xludf.DUMMYFUNCTION("IMPORTRANGE(""https://docs.google.com/spreadsheets/d/1SX6NBoVAgQJ6U1MVXOaj8PK2l7WJ3RER9xtqwdhxkhw/edit?usp=sharing"",""ลพบุรี!J238"")"),35)</f>
        <v>35</v>
      </c>
      <c r="Z70" s="77">
        <f ca="1">IFERROR(__xludf.DUMMYFUNCTION("IMPORTRANGE(""https://docs.google.com/spreadsheets/d/1SX6NBoVAgQJ6U1MVXOaj8PK2l7WJ3RER9xtqwdhxkhw/edit?usp=sharing"",""ลพบุรี!J239"")"),425.6)</f>
        <v>425.6</v>
      </c>
      <c r="AA70" s="137">
        <f t="shared" ca="1" si="14"/>
        <v>20.588235294117649</v>
      </c>
      <c r="AB70" s="77">
        <f ca="1">IFERROR(__xludf.DUMMYFUNCTION("IMPORTRANGE(""https://docs.google.com/spreadsheets/d/1SX6NBoVAgQJ6U1MVXOaj8PK2l7WJ3RER9xtqwdhxkhw/edit?usp=sharing"",""ลพบุรี!J240"")"),73)</f>
        <v>73</v>
      </c>
      <c r="AC70" s="77">
        <f ca="1">IFERROR(__xludf.DUMMYFUNCTION("IMPORTRANGE(""https://docs.google.com/spreadsheets/d/1SX6NBoVAgQJ6U1MVXOaj8PK2l7WJ3RER9xtqwdhxkhw/edit?usp=sharing"",""ลพบุรี!J241"")"),1094.12)</f>
        <v>1094.1199999999999</v>
      </c>
      <c r="AD70" s="219">
        <f t="shared" ca="1" si="16"/>
        <v>42.941176470588232</v>
      </c>
      <c r="AE70" s="215">
        <f ca="1">IFERROR(__xludf.DUMMYFUNCTION("IMPORTRANGE(""https://docs.google.com/spreadsheets/d/1AGHcLOeeYFL3K4b9R1dSzyJy00PE_ra89DNTVfnxSWM/edit?usp=sharing"",""รวมที่ทำกิน!AA63"")"),1500)</f>
        <v>1500</v>
      </c>
      <c r="AF70" s="215">
        <f ca="1">IFERROR(__xludf.DUMMYFUNCTION("IMPORTRANGE(""https://docs.google.com/spreadsheets/d/1AGHcLOeeYFL3K4b9R1dSzyJy00PE_ra89DNTVfnxSWM/edit?usp=sharing"",""รวมที่ทำกิน!AB63"")"),22)</f>
        <v>22</v>
      </c>
      <c r="AG70" s="215">
        <f ca="1">IFERROR(__xludf.DUMMYFUNCTION("IMPORTRANGE(""https://docs.google.com/spreadsheets/d/1AGHcLOeeYFL3K4b9R1dSzyJy00PE_ra89DNTVfnxSWM/edit?usp=sharing"",""รวมที่ทำกิน!AD63"")"),342.88)</f>
        <v>342.88</v>
      </c>
      <c r="AH70" s="219">
        <f t="shared" ca="1" si="101"/>
        <v>22.858666666666668</v>
      </c>
      <c r="AI70" s="215">
        <f ca="1">IFERROR(__xludf.DUMMYFUNCTION("IMPORTRANGE(""https://docs.google.com/spreadsheets/d/1AGHcLOeeYFL3K4b9R1dSzyJy00PE_ra89DNTVfnxSWM/edit?usp=sharing"",""รวมที่ทำกิน!AE63"")"),50)</f>
        <v>50</v>
      </c>
      <c r="AJ70" s="215">
        <f ca="1">IFERROR(__xludf.DUMMYFUNCTION("IMPORTRANGE(""https://docs.google.com/spreadsheets/d/1AGHcLOeeYFL3K4b9R1dSzyJy00PE_ra89DNTVfnxSWM/edit?usp=sharing"",""รวมที่ทำกิน!AF63"")"),19)</f>
        <v>19</v>
      </c>
      <c r="AK70" s="215">
        <f ca="1">IFERROR(__xludf.DUMMYFUNCTION("IMPORTRANGE(""https://docs.google.com/spreadsheets/d/1AGHcLOeeYFL3K4b9R1dSzyJy00PE_ra89DNTVfnxSWM/edit?usp=sharing"",""รวมที่ทำกิน!AH63"")"),361.57)</f>
        <v>361.57</v>
      </c>
      <c r="AL70" s="220">
        <f t="shared" ca="1" si="103"/>
        <v>38</v>
      </c>
      <c r="AM70" s="215">
        <f ca="1">IFERROR(__xludf.DUMMYFUNCTION("IMPORTRANGE(""https://docs.google.com/spreadsheets/d/1AGHcLOeeYFL3K4b9R1dSzyJy00PE_ra89DNTVfnxSWM/edit?usp=sharing"",""รวมที่ทำกิน!AI63"")"),0)</f>
        <v>0</v>
      </c>
      <c r="AN70" s="215">
        <f ca="1">IFERROR(__xludf.DUMMYFUNCTION("IMPORTRANGE(""https://docs.google.com/spreadsheets/d/1AGHcLOeeYFL3K4b9R1dSzyJy00PE_ra89DNTVfnxSWM/edit?usp=sharing"",""รวมที่ทำกิน!AK63"")"),0)</f>
        <v>0</v>
      </c>
      <c r="AO70" s="220">
        <f t="shared" ca="1" si="22"/>
        <v>0</v>
      </c>
      <c r="AP70" s="215">
        <f ca="1">IFERROR(__xludf.DUMMYFUNCTION("IMPORTRANGE(""https://docs.google.com/spreadsheets/d/1AGHcLOeeYFL3K4b9R1dSzyJy00PE_ra89DNTVfnxSWM/edit?usp=sharing"",""รวมที่ทำกิน!AL63"")"),0)</f>
        <v>0</v>
      </c>
      <c r="AQ70" s="215">
        <f ca="1">IFERROR(__xludf.DUMMYFUNCTION("IMPORTRANGE(""https://docs.google.com/spreadsheets/d/1AGHcLOeeYFL3K4b9R1dSzyJy00PE_ra89DNTVfnxSWM/edit?usp=sharing"",""รวมที่ทำกิน!AN63"")"),0)</f>
        <v>0</v>
      </c>
      <c r="AR70" s="220">
        <f t="shared" ca="1" si="24"/>
        <v>0</v>
      </c>
      <c r="AS70" s="215">
        <f ca="1">IFERROR(__xludf.DUMMYFUNCTION("IMPORTRANGE(""https://docs.google.com/spreadsheets/d/1AGHcLOeeYFL3K4b9R1dSzyJy00PE_ra89DNTVfnxSWM/edit?usp=sharing"",""รวมที่ทำกิน!AO63"")"),1750)</f>
        <v>1750</v>
      </c>
      <c r="AT70" s="215">
        <f ca="1">IFERROR(__xludf.DUMMYFUNCTION("IMPORTRANGE(""https://docs.google.com/spreadsheets/d/1AGHcLOeeYFL3K4b9R1dSzyJy00PE_ra89DNTVfnxSWM/edit?usp=sharing"",""รวมที่ทำกิน!AP63"")"),114)</f>
        <v>114</v>
      </c>
      <c r="AU70" s="215">
        <f ca="1">IFERROR(__xludf.DUMMYFUNCTION("IMPORTRANGE(""https://docs.google.com/spreadsheets/d/1AGHcLOeeYFL3K4b9R1dSzyJy00PE_ra89DNTVfnxSWM/edit?usp=sharing"",""รวมที่ทำกิน!AR63"")"),1117.17)</f>
        <v>1117.17</v>
      </c>
      <c r="AV70" s="220">
        <f t="shared" ca="1" si="107"/>
        <v>63.838285714285718</v>
      </c>
      <c r="AW70" s="215">
        <f ca="1">IFERROR(__xludf.DUMMYFUNCTION("IMPORTRANGE(""https://docs.google.com/spreadsheets/d/1AGHcLOeeYFL3K4b9R1dSzyJy00PE_ra89DNTVfnxSWM/edit?usp=sharing"",""รวมที่ทำกิน!AS63"")"),120)</f>
        <v>120</v>
      </c>
      <c r="AX70" s="215">
        <f ca="1">IFERROR(__xludf.DUMMYFUNCTION("IMPORTRANGE(""https://docs.google.com/spreadsheets/d/1AGHcLOeeYFL3K4b9R1dSzyJy00PE_ra89DNTVfnxSWM/edit?usp=sharing"",""รวมที่ทำกิน!AT63"")"),143)</f>
        <v>143</v>
      </c>
      <c r="AY70" s="215">
        <f ca="1">IFERROR(__xludf.DUMMYFUNCTION("IMPORTRANGE(""https://docs.google.com/spreadsheets/d/1AGHcLOeeYFL3K4b9R1dSzyJy00PE_ra89DNTVfnxSWM/edit?usp=sharing"",""รวมที่ทำกิน!AV63"")"),1778.95)</f>
        <v>1778.95</v>
      </c>
      <c r="AZ70" s="220">
        <f t="shared" ca="1" si="109"/>
        <v>119.16666666666667</v>
      </c>
      <c r="BA70" s="215">
        <f ca="1">IFERROR(__xludf.DUMMYFUNCTION("IMPORTRANGE(""https://docs.google.com/spreadsheets/d/1AGHcLOeeYFL3K4b9R1dSzyJy00PE_ra89DNTVfnxSWM/edit?usp=sharing"",""รวมที่ทำกิน!AW63"")"),35)</f>
        <v>35</v>
      </c>
      <c r="BB70" s="215">
        <f ca="1">IFERROR(__xludf.DUMMYFUNCTION("IMPORTRANGE(""https://docs.google.com/spreadsheets/d/1AGHcLOeeYFL3K4b9R1dSzyJy00PE_ra89DNTVfnxSWM/edit?usp=sharing"",""รวมที่ทำกิน!AY63"")"),425.6)</f>
        <v>425.6</v>
      </c>
      <c r="BC70" s="220">
        <f t="shared" ca="1" si="30"/>
        <v>29.166666666666668</v>
      </c>
      <c r="BD70" s="215">
        <f ca="1">IFERROR(__xludf.DUMMYFUNCTION("IMPORTRANGE(""https://docs.google.com/spreadsheets/d/1AGHcLOeeYFL3K4b9R1dSzyJy00PE_ra89DNTVfnxSWM/edit?usp=sharing"",""รวมที่ทำกิน!AZ63"")"),73)</f>
        <v>73</v>
      </c>
      <c r="BE70" s="215">
        <f ca="1">IFERROR(__xludf.DUMMYFUNCTION("IMPORTRANGE(""https://docs.google.com/spreadsheets/d/1AGHcLOeeYFL3K4b9R1dSzyJy00PE_ra89DNTVfnxSWM/edit?usp=sharing"",""รวมที่ทำกิน!BB63"")"),1094.12)</f>
        <v>1094.1199999999999</v>
      </c>
      <c r="BF70" s="221">
        <f t="shared" ca="1" si="32"/>
        <v>60.833333333333336</v>
      </c>
    </row>
    <row r="71" spans="1:58" ht="21" customHeight="1">
      <c r="A71" s="73">
        <v>17</v>
      </c>
      <c r="B71" s="74" t="s">
        <v>95</v>
      </c>
      <c r="C71" s="75">
        <f t="shared" ca="1" si="0"/>
        <v>1497040</v>
      </c>
      <c r="D71" s="76">
        <f t="shared" ca="1" si="142"/>
        <v>1350040</v>
      </c>
      <c r="E71" s="77">
        <f ca="1">IFERROR(__xludf.DUMMYFUNCTION("IMPORTRANGE(""https://docs.google.com/spreadsheets/d/1C3CXT74ZlgGe6_JY_1olB1XN4rF0dxEuIIF-xsYjHgg/edit?usp=sharing"",""พรบ!BX75"")"),306000)</f>
        <v>306000</v>
      </c>
      <c r="F71" s="77">
        <f ca="1">IFERROR(__xludf.DUMMYFUNCTION("IMPORTRANGE(""https://docs.google.com/spreadsheets/d/1C3CXT74ZlgGe6_JY_1olB1XN4rF0dxEuIIF-xsYjHgg/edit?usp=sharing"",""พรบ!BY75"")"),1044040)</f>
        <v>1044040</v>
      </c>
      <c r="G71" s="77">
        <f ca="1">IFERROR(__xludf.DUMMYFUNCTION("IMPORTRANGE(""https://docs.google.com/spreadsheets/d/1Yj_ptqi66GCucihVvJfMjLAmec39IyEx_6qawtMGysU/edit?usp=sharing"",""สบก!DJ75"")"),147000)</f>
        <v>147000</v>
      </c>
      <c r="H71" s="77">
        <f ca="1">IFERROR(__xludf.DUMMYFUNCTION("IMPORTRANGE(""https://docs.google.com/spreadsheets/d/1Yj_ptqi66GCucihVvJfMjLAmec39IyEx_6qawtMGysU/edit?usp=shDLing"",""สบก!DL75"")"),924200)</f>
        <v>924200</v>
      </c>
      <c r="I71" s="77">
        <f t="shared" ca="1" si="3"/>
        <v>842474.12</v>
      </c>
      <c r="J71" s="77">
        <f t="shared" ca="1" si="4"/>
        <v>56.27599262544755</v>
      </c>
      <c r="K71" s="77">
        <f ca="1">IFERROR(__xludf.DUMMYFUNCTION("IMPORTRANGE(""https://docs.google.com/spreadsheets/d/1Yj_ptqi66GCucihVvJfMjLAmec39IyEx_6qawtMGysU/edit?usp=sharing"",""สบก!DM75"")"),695474.12)</f>
        <v>695474.12</v>
      </c>
      <c r="L71" s="137">
        <f t="shared" ca="1" si="5"/>
        <v>51.515075108885661</v>
      </c>
      <c r="M71" s="137">
        <f t="shared" ca="1" si="6"/>
        <v>75.251473706989827</v>
      </c>
      <c r="N71" s="137">
        <f ca="1">IFERROR(__xludf.DUMMYFUNCTION("IMPORTRANGE(""https://docs.google.com/spreadsheets/d/1Yj_ptqi66GCucihVvJfMjLAmec39IyEx_6qawtMGysU/edit?usp=sharing"",""สบก!DN75"")"),147000)</f>
        <v>147000</v>
      </c>
      <c r="O71" s="137">
        <f t="shared" ca="1" si="7"/>
        <v>100</v>
      </c>
      <c r="P71" s="77">
        <f ca="1">IFERROR(__xludf.DUMMYFUNCTION("IMPORTRANGE(""https://docs.google.com/spreadsheets/d/1C3CXT74ZlgGe6_JY_1olB1XN4rF0dxEuIIF-xsYjHgg/edit?usp=sharing"",""พรบ!CA75"")"),780)</f>
        <v>780</v>
      </c>
      <c r="Q71" s="77">
        <f ca="1">IFERROR(__xludf.DUMMYFUNCTION("IMPORTRANGE(""https://docs.google.com/spreadsheets/d/1C3CXT74ZlgGe6_JY_1olB1XN4rF0dxEuIIF-xsYjHgg/edit?usp=sharing"",""พรบ!BZ75"")"),8720)</f>
        <v>8720</v>
      </c>
      <c r="R71" s="218">
        <f t="shared" ca="1" si="95"/>
        <v>468</v>
      </c>
      <c r="S71" s="77">
        <f ca="1">IFERROR(__xludf.DUMMYFUNCTION("IMPORTRANGE(""https://docs.google.com/spreadsheets/d/1SX6NBoVAgQJ6U1MVXOaj8PK2l7WJ3RER9xtqwdhxkhw/edit?usp=sharing"",""สระแก้ว!J234"")"),411)</f>
        <v>411</v>
      </c>
      <c r="T71" s="77">
        <f ca="1">IFERROR(__xludf.DUMMYFUNCTION("IMPORTRANGE(""https://docs.google.com/spreadsheets/d/1SX6NBoVAgQJ6U1MVXOaj8PK2l7WJ3RER9xtqwdhxkhw/edit?usp=sharing"",""สระแก้ว!J235"")"),4700)</f>
        <v>4700</v>
      </c>
      <c r="U71" s="137">
        <f t="shared" ca="1" si="10"/>
        <v>53.899082568807337</v>
      </c>
      <c r="V71" s="77">
        <f ca="1">IFERROR(__xludf.DUMMYFUNCTION("IMPORTRANGE(""https://docs.google.com/spreadsheets/d/1SX6NBoVAgQJ6U1MVXOaj8PK2l7WJ3RER9xtqwdhxkhw/edit?usp=sharing"",""สระแก้ว!J236"")"),604)</f>
        <v>604</v>
      </c>
      <c r="W71" s="77">
        <f ca="1">IFERROR(__xludf.DUMMYFUNCTION("IMPORTRANGE(""https://docs.google.com/spreadsheets/d/1SX6NBoVAgQJ6U1MVXOaj8PK2l7WJ3RER9xtqwdhxkhw/edit?usp=sharing"",""สระแก้ว!J237"")"),8590.46)</f>
        <v>8590.4599999999991</v>
      </c>
      <c r="X71" s="137">
        <f t="shared" ca="1" si="12"/>
        <v>77.435897435897431</v>
      </c>
      <c r="Y71" s="77">
        <f ca="1">IFERROR(__xludf.DUMMYFUNCTION("IMPORTRANGE(""https://docs.google.com/spreadsheets/d/1SX6NBoVAgQJ6U1MVXOaj8PK2l7WJ3RER9xtqwdhxkhw/edit?usp=sharing"",""สระแก้ว!J238"")"),0)</f>
        <v>0</v>
      </c>
      <c r="Z71" s="77">
        <f ca="1">IFERROR(__xludf.DUMMYFUNCTION("IMPORTRANGE(""https://docs.google.com/spreadsheets/d/1SX6NBoVAgQJ6U1MVXOaj8PK2l7WJ3RER9xtqwdhxkhw/edit?usp=sharing"",""สระแก้ว!J239"")"),0)</f>
        <v>0</v>
      </c>
      <c r="AA71" s="137">
        <f t="shared" ca="1" si="14"/>
        <v>0</v>
      </c>
      <c r="AB71" s="77">
        <f ca="1">IFERROR(__xludf.DUMMYFUNCTION("IMPORTRANGE(""https://docs.google.com/spreadsheets/d/1SX6NBoVAgQJ6U1MVXOaj8PK2l7WJ3RER9xtqwdhxkhw/edit?usp=sharing"",""สระแก้ว!J240"")"),494)</f>
        <v>494</v>
      </c>
      <c r="AC71" s="77">
        <f ca="1">IFERROR(__xludf.DUMMYFUNCTION("IMPORTRANGE(""https://docs.google.com/spreadsheets/d/1SX6NBoVAgQJ6U1MVXOaj8PK2l7WJ3RER9xtqwdhxkhw/edit?usp=sharing"",""สระแก้ว!J241"")"),7497.55999999999)</f>
        <v>7497.5599999999904</v>
      </c>
      <c r="AD71" s="219">
        <f t="shared" ca="1" si="16"/>
        <v>63.333333333333336</v>
      </c>
      <c r="AE71" s="215">
        <f ca="1">IFERROR(__xludf.DUMMYFUNCTION("IMPORTRANGE(""https://docs.google.com/spreadsheets/d/1AGHcLOeeYFL3K4b9R1dSzyJy00PE_ra89DNTVfnxSWM/edit?usp=sharing"",""รวมที่ทำกิน!AA64"")"),6000)</f>
        <v>6000</v>
      </c>
      <c r="AF71" s="215">
        <f ca="1">IFERROR(__xludf.DUMMYFUNCTION("IMPORTRANGE(""https://docs.google.com/spreadsheets/d/1AGHcLOeeYFL3K4b9R1dSzyJy00PE_ra89DNTVfnxSWM/edit?usp=sharing"",""รวมที่ทำกิน!AB64"")"),82)</f>
        <v>82</v>
      </c>
      <c r="AG71" s="215">
        <f ca="1">IFERROR(__xludf.DUMMYFUNCTION("IMPORTRANGE(""https://docs.google.com/spreadsheets/d/1AGHcLOeeYFL3K4b9R1dSzyJy00PE_ra89DNTVfnxSWM/edit?usp=sharing"",""รวมที่ทำกิน!AD64"")"),1384.28)</f>
        <v>1384.28</v>
      </c>
      <c r="AH71" s="219">
        <f t="shared" ca="1" si="101"/>
        <v>23.071333333333332</v>
      </c>
      <c r="AI71" s="215">
        <f ca="1">IFERROR(__xludf.DUMMYFUNCTION("IMPORTRANGE(""https://docs.google.com/spreadsheets/d/1AGHcLOeeYFL3K4b9R1dSzyJy00PE_ra89DNTVfnxSWM/edit?usp=sharing"",""รวมที่ทำกิน!AE64"")"),400)</f>
        <v>400</v>
      </c>
      <c r="AJ71" s="215">
        <f ca="1">IFERROR(__xludf.DUMMYFUNCTION("IMPORTRANGE(""https://docs.google.com/spreadsheets/d/1AGHcLOeeYFL3K4b9R1dSzyJy00PE_ra89DNTVfnxSWM/edit?usp=sharing"",""รวมที่ทำกิน!AF64"")"),78)</f>
        <v>78</v>
      </c>
      <c r="AK71" s="215">
        <f ca="1">IFERROR(__xludf.DUMMYFUNCTION("IMPORTRANGE(""https://docs.google.com/spreadsheets/d/1AGHcLOeeYFL3K4b9R1dSzyJy00PE_ra89DNTVfnxSWM/edit?usp=sharing"",""รวมที่ทำกิน!AH64"")"),1485.3)</f>
        <v>1485.3</v>
      </c>
      <c r="AL71" s="220">
        <f t="shared" ca="1" si="103"/>
        <v>19.5</v>
      </c>
      <c r="AM71" s="215">
        <f ca="1">IFERROR(__xludf.DUMMYFUNCTION("IMPORTRANGE(""https://docs.google.com/spreadsheets/d/1AGHcLOeeYFL3K4b9R1dSzyJy00PE_ra89DNTVfnxSWM/edit?usp=sharing"",""รวมที่ทำกิน!AI64"")"),0)</f>
        <v>0</v>
      </c>
      <c r="AN71" s="215">
        <f ca="1">IFERROR(__xludf.DUMMYFUNCTION("IMPORTRANGE(""https://docs.google.com/spreadsheets/d/1AGHcLOeeYFL3K4b9R1dSzyJy00PE_ra89DNTVfnxSWM/edit?usp=sharing"",""รวมที่ทำกิน!AK64"")"),0)</f>
        <v>0</v>
      </c>
      <c r="AO71" s="220">
        <f t="shared" ca="1" si="22"/>
        <v>0</v>
      </c>
      <c r="AP71" s="215">
        <f ca="1">IFERROR(__xludf.DUMMYFUNCTION("IMPORTRANGE(""https://docs.google.com/spreadsheets/d/1AGHcLOeeYFL3K4b9R1dSzyJy00PE_ra89DNTVfnxSWM/edit?usp=sharing"",""รวมที่ทำกิน!AL64"")"),73)</f>
        <v>73</v>
      </c>
      <c r="AQ71" s="215">
        <f ca="1">IFERROR(__xludf.DUMMYFUNCTION("IMPORTRANGE(""https://docs.google.com/spreadsheets/d/1AGHcLOeeYFL3K4b9R1dSzyJy00PE_ra89DNTVfnxSWM/edit?usp=sharing"",""รวมที่ทำกิน!AN64"")"),1366.37)</f>
        <v>1366.37</v>
      </c>
      <c r="AR71" s="220">
        <f t="shared" ca="1" si="24"/>
        <v>18.25</v>
      </c>
      <c r="AS71" s="215">
        <f ca="1">IFERROR(__xludf.DUMMYFUNCTION("IMPORTRANGE(""https://docs.google.com/spreadsheets/d/1AGHcLOeeYFL3K4b9R1dSzyJy00PE_ra89DNTVfnxSWM/edit?usp=sharing"",""รวมที่ทำกิน!AO64"")"),2720)</f>
        <v>2720</v>
      </c>
      <c r="AT71" s="215">
        <f ca="1">IFERROR(__xludf.DUMMYFUNCTION("IMPORTRANGE(""https://docs.google.com/spreadsheets/d/1AGHcLOeeYFL3K4b9R1dSzyJy00PE_ra89DNTVfnxSWM/edit?usp=sharing"",""รวมที่ทำกิน!AP64"")"),329)</f>
        <v>329</v>
      </c>
      <c r="AU71" s="215">
        <f ca="1">IFERROR(__xludf.DUMMYFUNCTION("IMPORTRANGE(""https://docs.google.com/spreadsheets/d/1AGHcLOeeYFL3K4b9R1dSzyJy00PE_ra89DNTVfnxSWM/edit?usp=sharing"",""รวมที่ทำกิน!AR64"")"),3315.72)</f>
        <v>3315.72</v>
      </c>
      <c r="AV71" s="220">
        <f t="shared" ca="1" si="107"/>
        <v>121.9014705882353</v>
      </c>
      <c r="AW71" s="215">
        <f ca="1">IFERROR(__xludf.DUMMYFUNCTION("IMPORTRANGE(""https://docs.google.com/spreadsheets/d/1AGHcLOeeYFL3K4b9R1dSzyJy00PE_ra89DNTVfnxSWM/edit?usp=sharing"",""รวมที่ทำกิน!AS64"")"),380)</f>
        <v>380</v>
      </c>
      <c r="AX71" s="215">
        <f ca="1">IFERROR(__xludf.DUMMYFUNCTION("IMPORTRANGE(""https://docs.google.com/spreadsheets/d/1AGHcLOeeYFL3K4b9R1dSzyJy00PE_ra89DNTVfnxSWM/edit?usp=sharing"",""รวมที่ทำกิน!AT64"")"),526)</f>
        <v>526</v>
      </c>
      <c r="AY71" s="215">
        <f ca="1">IFERROR(__xludf.DUMMYFUNCTION("IMPORTRANGE(""https://docs.google.com/spreadsheets/d/1AGHcLOeeYFL3K4b9R1dSzyJy00PE_ra89DNTVfnxSWM/edit?usp=sharing"",""รวมที่ทำกิน!AV64"")"),7105.16)</f>
        <v>7105.16</v>
      </c>
      <c r="AZ71" s="220">
        <f t="shared" ca="1" si="109"/>
        <v>138.42105263157896</v>
      </c>
      <c r="BA71" s="215">
        <f ca="1">IFERROR(__xludf.DUMMYFUNCTION("IMPORTRANGE(""https://docs.google.com/spreadsheets/d/1AGHcLOeeYFL3K4b9R1dSzyJy00PE_ra89DNTVfnxSWM/edit?usp=sharing"",""รวมที่ทำกิน!AW64"")"),0)</f>
        <v>0</v>
      </c>
      <c r="BB71" s="215">
        <f ca="1">IFERROR(__xludf.DUMMYFUNCTION("IMPORTRANGE(""https://docs.google.com/spreadsheets/d/1AGHcLOeeYFL3K4b9R1dSzyJy00PE_ra89DNTVfnxSWM/edit?usp=sharing"",""รวมที่ทำกิน!AY64"")"),0)</f>
        <v>0</v>
      </c>
      <c r="BC71" s="220">
        <f t="shared" ca="1" si="30"/>
        <v>0</v>
      </c>
      <c r="BD71" s="215">
        <f ca="1">IFERROR(__xludf.DUMMYFUNCTION("IMPORTRANGE(""https://docs.google.com/spreadsheets/d/1AGHcLOeeYFL3K4b9R1dSzyJy00PE_ra89DNTVfnxSWM/edit?usp=sharing"",""รวมที่ทำกิน!AZ64"")"),421)</f>
        <v>421</v>
      </c>
      <c r="BE71" s="215">
        <f ca="1">IFERROR(__xludf.DUMMYFUNCTION("IMPORTRANGE(""https://docs.google.com/spreadsheets/d/1AGHcLOeeYFL3K4b9R1dSzyJy00PE_ra89DNTVfnxSWM/edit?usp=sharing"",""รวมที่ทำกิน!BB64"")"),6131.19)</f>
        <v>6131.19</v>
      </c>
      <c r="BF71" s="221">
        <f t="shared" ca="1" si="32"/>
        <v>110.78947368421052</v>
      </c>
    </row>
    <row r="72" spans="1:58" ht="21" customHeight="1">
      <c r="A72" s="73">
        <v>18</v>
      </c>
      <c r="B72" s="74" t="s">
        <v>96</v>
      </c>
      <c r="C72" s="75">
        <f t="shared" ca="1" si="0"/>
        <v>843220</v>
      </c>
      <c r="D72" s="76">
        <f t="shared" ca="1" si="142"/>
        <v>811220</v>
      </c>
      <c r="E72" s="77">
        <f ca="1">IFERROR(__xludf.DUMMYFUNCTION("IMPORTRANGE(""https://docs.google.com/spreadsheets/d/1C3CXT74ZlgGe6_JY_1olB1XN4rF0dxEuIIF-xsYjHgg/edit?usp=sharing"",""พรบ!BX76"")"),471600)</f>
        <v>471600</v>
      </c>
      <c r="F72" s="77">
        <f ca="1">IFERROR(__xludf.DUMMYFUNCTION("IMPORTRANGE(""https://docs.google.com/spreadsheets/d/1C3CXT74ZlgGe6_JY_1olB1XN4rF0dxEuIIF-xsYjHgg/edit?usp=sharing"",""พรบ!BY76"")"),339620)</f>
        <v>339620</v>
      </c>
      <c r="G72" s="77">
        <f ca="1">IFERROR(__xludf.DUMMYFUNCTION("IMPORTRANGE(""https://docs.google.com/spreadsheets/d/1Yj_ptqi66GCucihVvJfMjLAmec39IyEx_6qawtMGysU/edit?usp=sharing"",""สบก!DJ76"")"),32000)</f>
        <v>32000</v>
      </c>
      <c r="H72" s="77">
        <f ca="1">IFERROR(__xludf.DUMMYFUNCTION("IMPORTRANGE(""https://docs.google.com/spreadsheets/d/1Yj_ptqi66GCucihVvJfMjLAmec39IyEx_6qawtMGysU/edit?usp=shDLing"",""สบก!DL76"")"),617470)</f>
        <v>617470</v>
      </c>
      <c r="I72" s="77">
        <f t="shared" ca="1" si="3"/>
        <v>391621.11</v>
      </c>
      <c r="J72" s="77">
        <f t="shared" ca="1" si="4"/>
        <v>46.443527193377768</v>
      </c>
      <c r="K72" s="77">
        <f ca="1">IFERROR(__xludf.DUMMYFUNCTION("IMPORTRANGE(""https://docs.google.com/spreadsheets/d/1Yj_ptqi66GCucihVvJfMjLAmec39IyEx_6qawtMGysU/edit?usp=sharing"",""สบก!DM76"")"),359621.11)</f>
        <v>359621.11</v>
      </c>
      <c r="L72" s="137">
        <f t="shared" ca="1" si="5"/>
        <v>44.330897906856343</v>
      </c>
      <c r="M72" s="137">
        <f t="shared" ca="1" si="6"/>
        <v>58.241065962718835</v>
      </c>
      <c r="N72" s="137">
        <f ca="1">IFERROR(__xludf.DUMMYFUNCTION("IMPORTRANGE(""https://docs.google.com/spreadsheets/d/1Yj_ptqi66GCucihVvJfMjLAmec39IyEx_6qawtMGysU/edit?usp=sharing"",""สบก!DN76"")"),32000)</f>
        <v>32000</v>
      </c>
      <c r="O72" s="137">
        <f t="shared" ca="1" si="7"/>
        <v>100</v>
      </c>
      <c r="P72" s="77">
        <f ca="1">IFERROR(__xludf.DUMMYFUNCTION("IMPORTRANGE(""https://docs.google.com/spreadsheets/d/1C3CXT74ZlgGe6_JY_1olB1XN4rF0dxEuIIF-xsYjHgg/edit?usp=sharing"",""พรบ!CA76"")"),150)</f>
        <v>150</v>
      </c>
      <c r="Q72" s="77">
        <f ca="1">IFERROR(__xludf.DUMMYFUNCTION("IMPORTRANGE(""https://docs.google.com/spreadsheets/d/1C3CXT74ZlgGe6_JY_1olB1XN4rF0dxEuIIF-xsYjHgg/edit?usp=sharing"",""พรบ!BZ76"")"),1640)</f>
        <v>1640</v>
      </c>
      <c r="R72" s="218">
        <f t="shared" ca="1" si="95"/>
        <v>90</v>
      </c>
      <c r="S72" s="77">
        <f ca="1">IFERROR(__xludf.DUMMYFUNCTION("IMPORTRANGE(""https://docs.google.com/spreadsheets/d/1SX6NBoVAgQJ6U1MVXOaj8PK2l7WJ3RER9xtqwdhxkhw/edit?usp=sharing"",""สระบุรี!J234"")"),1)</f>
        <v>1</v>
      </c>
      <c r="T72" s="77">
        <f ca="1">IFERROR(__xludf.DUMMYFUNCTION("IMPORTRANGE(""https://docs.google.com/spreadsheets/d/1SX6NBoVAgQJ6U1MVXOaj8PK2l7WJ3RER9xtqwdhxkhw/edit?usp=sharing"",""สระบุรี!J235"")"),4.28)</f>
        <v>4.28</v>
      </c>
      <c r="U72" s="137">
        <f t="shared" ca="1" si="10"/>
        <v>0.26097560975609757</v>
      </c>
      <c r="V72" s="77">
        <f ca="1">IFERROR(__xludf.DUMMYFUNCTION("IMPORTRANGE(""https://docs.google.com/spreadsheets/d/1SX6NBoVAgQJ6U1MVXOaj8PK2l7WJ3RER9xtqwdhxkhw/edit?usp=sharing"",""สระบุรี!J236"")"),66)</f>
        <v>66</v>
      </c>
      <c r="W72" s="77">
        <f ca="1">IFERROR(__xludf.DUMMYFUNCTION("IMPORTRANGE(""https://docs.google.com/spreadsheets/d/1SX6NBoVAgQJ6U1MVXOaj8PK2l7WJ3RER9xtqwdhxkhw/edit?usp=sharing"",""สระบุรี!J237"")"),1249.3)</f>
        <v>1249.3</v>
      </c>
      <c r="X72" s="137">
        <f t="shared" ca="1" si="12"/>
        <v>44</v>
      </c>
      <c r="Y72" s="77">
        <f ca="1">IFERROR(__xludf.DUMMYFUNCTION("IMPORTRANGE(""https://docs.google.com/spreadsheets/d/1SX6NBoVAgQJ6U1MVXOaj8PK2l7WJ3RER9xtqwdhxkhw/edit?usp=sharing"",""สระบุรี!J238"")"),0)</f>
        <v>0</v>
      </c>
      <c r="Z72" s="77">
        <f ca="1">IFERROR(__xludf.DUMMYFUNCTION("IMPORTRANGE(""https://docs.google.com/spreadsheets/d/1SX6NBoVAgQJ6U1MVXOaj8PK2l7WJ3RER9xtqwdhxkhw/edit?usp=sharing"",""สระบุรี!J239"")"),0)</f>
        <v>0</v>
      </c>
      <c r="AA72" s="137">
        <f t="shared" ca="1" si="14"/>
        <v>0</v>
      </c>
      <c r="AB72" s="77">
        <f ca="1">IFERROR(__xludf.DUMMYFUNCTION("IMPORTRANGE(""https://docs.google.com/spreadsheets/d/1SX6NBoVAgQJ6U1MVXOaj8PK2l7WJ3RER9xtqwdhxkhw/edit?usp=sharing"",""สระบุรี!J240"")"),66)</f>
        <v>66</v>
      </c>
      <c r="AC72" s="77">
        <f ca="1">IFERROR(__xludf.DUMMYFUNCTION("IMPORTRANGE(""https://docs.google.com/spreadsheets/d/1SX6NBoVAgQJ6U1MVXOaj8PK2l7WJ3RER9xtqwdhxkhw/edit?usp=sharing"",""สระบุรี!J241"")"),1249.3)</f>
        <v>1249.3</v>
      </c>
      <c r="AD72" s="219">
        <f t="shared" ca="1" si="16"/>
        <v>44</v>
      </c>
      <c r="AE72" s="215">
        <f ca="1">IFERROR(__xludf.DUMMYFUNCTION("IMPORTRANGE(""https://docs.google.com/spreadsheets/d/1AGHcLOeeYFL3K4b9R1dSzyJy00PE_ra89DNTVfnxSWM/edit?usp=sharing"",""รวมที่ทำกิน!AA65"")"),840)</f>
        <v>840</v>
      </c>
      <c r="AF72" s="215">
        <f ca="1">IFERROR(__xludf.DUMMYFUNCTION("IMPORTRANGE(""https://docs.google.com/spreadsheets/d/1AGHcLOeeYFL3K4b9R1dSzyJy00PE_ra89DNTVfnxSWM/edit?usp=sharing"",""รวมที่ทำกิน!AB65"")"),1)</f>
        <v>1</v>
      </c>
      <c r="AG72" s="215">
        <f ca="1">IFERROR(__xludf.DUMMYFUNCTION("IMPORTRANGE(""https://docs.google.com/spreadsheets/d/1AGHcLOeeYFL3K4b9R1dSzyJy00PE_ra89DNTVfnxSWM/edit?usp=sharing"",""รวมที่ทำกิน!AD65"")"),4.28)</f>
        <v>4.28</v>
      </c>
      <c r="AH72" s="219">
        <f t="shared" ca="1" si="101"/>
        <v>0.50952380952380949</v>
      </c>
      <c r="AI72" s="215">
        <f ca="1">IFERROR(__xludf.DUMMYFUNCTION("IMPORTRANGE(""https://docs.google.com/spreadsheets/d/1AGHcLOeeYFL3K4b9R1dSzyJy00PE_ra89DNTVfnxSWM/edit?usp=sharing"",""รวมที่ทำกิน!AE65"")"),70)</f>
        <v>70</v>
      </c>
      <c r="AJ72" s="215">
        <f ca="1">IFERROR(__xludf.DUMMYFUNCTION("IMPORTRANGE(""https://docs.google.com/spreadsheets/d/1AGHcLOeeYFL3K4b9R1dSzyJy00PE_ra89DNTVfnxSWM/edit?usp=sharing"",""รวมที่ทำกิน!AF65"")"),3)</f>
        <v>3</v>
      </c>
      <c r="AK72" s="215">
        <f ca="1">IFERROR(__xludf.DUMMYFUNCTION("IMPORTRANGE(""https://docs.google.com/spreadsheets/d/1AGHcLOeeYFL3K4b9R1dSzyJy00PE_ra89DNTVfnxSWM/edit?usp=sharing"",""รวมที่ทำกิน!AH65"")"),28.29)</f>
        <v>28.29</v>
      </c>
      <c r="AL72" s="220">
        <f t="shared" ca="1" si="103"/>
        <v>4.2857142857142856</v>
      </c>
      <c r="AM72" s="215">
        <f ca="1">IFERROR(__xludf.DUMMYFUNCTION("IMPORTRANGE(""https://docs.google.com/spreadsheets/d/1AGHcLOeeYFL3K4b9R1dSzyJy00PE_ra89DNTVfnxSWM/edit?usp=sharing"",""รวมที่ทำกิน!AI65"")"),0)</f>
        <v>0</v>
      </c>
      <c r="AN72" s="215">
        <f ca="1">IFERROR(__xludf.DUMMYFUNCTION("IMPORTRANGE(""https://docs.google.com/spreadsheets/d/1AGHcLOeeYFL3K4b9R1dSzyJy00PE_ra89DNTVfnxSWM/edit?usp=sharing"",""รวมที่ทำกิน!AK65"")"),0)</f>
        <v>0</v>
      </c>
      <c r="AO72" s="220">
        <f t="shared" ca="1" si="22"/>
        <v>0</v>
      </c>
      <c r="AP72" s="215">
        <f ca="1">IFERROR(__xludf.DUMMYFUNCTION("IMPORTRANGE(""https://docs.google.com/spreadsheets/d/1AGHcLOeeYFL3K4b9R1dSzyJy00PE_ra89DNTVfnxSWM/edit?usp=sharing"",""รวมที่ทำกิน!AL65"")"),3)</f>
        <v>3</v>
      </c>
      <c r="AQ72" s="215">
        <f ca="1">IFERROR(__xludf.DUMMYFUNCTION("IMPORTRANGE(""https://docs.google.com/spreadsheets/d/1AGHcLOeeYFL3K4b9R1dSzyJy00PE_ra89DNTVfnxSWM/edit?usp=sharing"",""รวมที่ทำกิน!AN65"")"),28.29)</f>
        <v>28.29</v>
      </c>
      <c r="AR72" s="220">
        <f t="shared" ca="1" si="24"/>
        <v>4.2857142857142856</v>
      </c>
      <c r="AS72" s="215">
        <f ca="1">IFERROR(__xludf.DUMMYFUNCTION("IMPORTRANGE(""https://docs.google.com/spreadsheets/d/1AGHcLOeeYFL3K4b9R1dSzyJy00PE_ra89DNTVfnxSWM/edit?usp=sharing"",""รวมที่ทำกิน!AO65"")"),800)</f>
        <v>800</v>
      </c>
      <c r="AT72" s="215">
        <f ca="1">IFERROR(__xludf.DUMMYFUNCTION("IMPORTRANGE(""https://docs.google.com/spreadsheets/d/1AGHcLOeeYFL3K4b9R1dSzyJy00PE_ra89DNTVfnxSWM/edit?usp=sharing"",""รวมที่ทำกิน!AP65"")"),0)</f>
        <v>0</v>
      </c>
      <c r="AU72" s="215">
        <f ca="1">IFERROR(__xludf.DUMMYFUNCTION("IMPORTRANGE(""https://docs.google.com/spreadsheets/d/1AGHcLOeeYFL3K4b9R1dSzyJy00PE_ra89DNTVfnxSWM/edit?usp=sharing"",""รวมที่ทำกิน!AR65"")"),0)</f>
        <v>0</v>
      </c>
      <c r="AV72" s="220">
        <f t="shared" ca="1" si="107"/>
        <v>0</v>
      </c>
      <c r="AW72" s="215">
        <f ca="1">IFERROR(__xludf.DUMMYFUNCTION("IMPORTRANGE(""https://docs.google.com/spreadsheets/d/1AGHcLOeeYFL3K4b9R1dSzyJy00PE_ra89DNTVfnxSWM/edit?usp=sharing"",""รวมที่ทำกิน!AS65"")"),80)</f>
        <v>80</v>
      </c>
      <c r="AX72" s="215">
        <f ca="1">IFERROR(__xludf.DUMMYFUNCTION("IMPORTRANGE(""https://docs.google.com/spreadsheets/d/1AGHcLOeeYFL3K4b9R1dSzyJy00PE_ra89DNTVfnxSWM/edit?usp=sharing"",""รวมที่ทำกิน!AT65"")"),63)</f>
        <v>63</v>
      </c>
      <c r="AY72" s="215">
        <f ca="1">IFERROR(__xludf.DUMMYFUNCTION("IMPORTRANGE(""https://docs.google.com/spreadsheets/d/1AGHcLOeeYFL3K4b9R1dSzyJy00PE_ra89DNTVfnxSWM/edit?usp=sharing"",""รวมที่ทำกิน!AV65"")"),1221.01)</f>
        <v>1221.01</v>
      </c>
      <c r="AZ72" s="220">
        <f t="shared" ca="1" si="109"/>
        <v>78.75</v>
      </c>
      <c r="BA72" s="215">
        <f ca="1">IFERROR(__xludf.DUMMYFUNCTION("IMPORTRANGE(""https://docs.google.com/spreadsheets/d/1AGHcLOeeYFL3K4b9R1dSzyJy00PE_ra89DNTVfnxSWM/edit?usp=sharing"",""รวมที่ทำกิน!AW65"")"),0)</f>
        <v>0</v>
      </c>
      <c r="BB72" s="215">
        <f ca="1">IFERROR(__xludf.DUMMYFUNCTION("IMPORTRANGE(""https://docs.google.com/spreadsheets/d/1AGHcLOeeYFL3K4b9R1dSzyJy00PE_ra89DNTVfnxSWM/edit?usp=sharing"",""รวมที่ทำกิน!AY65"")"),0)</f>
        <v>0</v>
      </c>
      <c r="BC72" s="220">
        <f t="shared" ca="1" si="30"/>
        <v>0</v>
      </c>
      <c r="BD72" s="215">
        <f ca="1">IFERROR(__xludf.DUMMYFUNCTION("IMPORTRANGE(""https://docs.google.com/spreadsheets/d/1AGHcLOeeYFL3K4b9R1dSzyJy00PE_ra89DNTVfnxSWM/edit?usp=sharing"",""รวมที่ทำกิน!AZ65"")"),63)</f>
        <v>63</v>
      </c>
      <c r="BE72" s="215">
        <f ca="1">IFERROR(__xludf.DUMMYFUNCTION("IMPORTRANGE(""https://docs.google.com/spreadsheets/d/1AGHcLOeeYFL3K4b9R1dSzyJy00PE_ra89DNTVfnxSWM/edit?usp=sharing"",""รวมที่ทำกิน!BB65"")"),1221.01)</f>
        <v>1221.01</v>
      </c>
      <c r="BF72" s="221">
        <f t="shared" ca="1" si="32"/>
        <v>78.75</v>
      </c>
    </row>
    <row r="73" spans="1:58" ht="21" customHeight="1">
      <c r="A73" s="73">
        <v>19</v>
      </c>
      <c r="B73" s="74" t="s">
        <v>97</v>
      </c>
      <c r="C73" s="75">
        <f t="shared" ca="1" si="0"/>
        <v>672770</v>
      </c>
      <c r="D73" s="76">
        <f t="shared" ca="1" si="142"/>
        <v>537770</v>
      </c>
      <c r="E73" s="77">
        <f ca="1">IFERROR(__xludf.DUMMYFUNCTION("IMPORTRANGE(""https://docs.google.com/spreadsheets/d/1C3CXT74ZlgGe6_JY_1olB1XN4rF0dxEuIIF-xsYjHgg/edit?usp=sharing"",""พรบ!BX77"")"),493800)</f>
        <v>493800</v>
      </c>
      <c r="F73" s="77">
        <f ca="1">IFERROR(__xludf.DUMMYFUNCTION("IMPORTRANGE(""https://docs.google.com/spreadsheets/d/1C3CXT74ZlgGe6_JY_1olB1XN4rF0dxEuIIF-xsYjHgg/edit?usp=sharing"",""พรบ!BY77"")"),43970)</f>
        <v>43970</v>
      </c>
      <c r="G73" s="77">
        <f ca="1">IFERROR(__xludf.DUMMYFUNCTION("IMPORTRANGE(""https://docs.google.com/spreadsheets/d/1Yj_ptqi66GCucihVvJfMjLAmec39IyEx_6qawtMGysU/edit?usp=sharing"",""สบก!DJ77"")"),135000)</f>
        <v>135000</v>
      </c>
      <c r="H73" s="77">
        <f ca="1">IFERROR(__xludf.DUMMYFUNCTION("IMPORTRANGE(""https://docs.google.com/spreadsheets/d/1Yj_ptqi66GCucihVvJfMjLAmec39IyEx_6qawtMGysU/edit?usp=shDLing"",""สบก!DL77"")"),394290)</f>
        <v>394290</v>
      </c>
      <c r="I73" s="77">
        <f t="shared" ca="1" si="3"/>
        <v>406315.41</v>
      </c>
      <c r="J73" s="77">
        <f t="shared" ca="1" si="4"/>
        <v>60.394400761032742</v>
      </c>
      <c r="K73" s="77">
        <f ca="1">IFERROR(__xludf.DUMMYFUNCTION("IMPORTRANGE(""https://docs.google.com/spreadsheets/d/1Yj_ptqi66GCucihVvJfMjLAmec39IyEx_6qawtMGysU/edit?usp=sharing"",""สบก!DM77"")"),271315.41)</f>
        <v>271315.40999999997</v>
      </c>
      <c r="L73" s="137">
        <f t="shared" ca="1" si="5"/>
        <v>50.451942280156935</v>
      </c>
      <c r="M73" s="137">
        <f t="shared" ca="1" si="6"/>
        <v>68.811131400745637</v>
      </c>
      <c r="N73" s="137">
        <f ca="1">IFERROR(__xludf.DUMMYFUNCTION("IMPORTRANGE(""https://docs.google.com/spreadsheets/d/1Yj_ptqi66GCucihVvJfMjLAmec39IyEx_6qawtMGysU/edit?usp=sharing"",""สบก!DN77"")"),135000)</f>
        <v>135000</v>
      </c>
      <c r="O73" s="137">
        <f t="shared" ca="1" si="7"/>
        <v>100</v>
      </c>
      <c r="P73" s="77">
        <f ca="1">IFERROR(__xludf.DUMMYFUNCTION("IMPORTRANGE(""https://docs.google.com/spreadsheets/d/1C3CXT74ZlgGe6_JY_1olB1XN4rF0dxEuIIF-xsYjHgg/edit?usp=sharing"",""พรบ!CA77"")"),0)</f>
        <v>0</v>
      </c>
      <c r="Q73" s="77">
        <f ca="1">IFERROR(__xludf.DUMMYFUNCTION("IMPORTRANGE(""https://docs.google.com/spreadsheets/d/1C3CXT74ZlgGe6_JY_1olB1XN4rF0dxEuIIF-xsYjHgg/edit?usp=sharing"",""พรบ!BZ77"")"),0)</f>
        <v>0</v>
      </c>
      <c r="R73" s="218">
        <f t="shared" ca="1" si="95"/>
        <v>0</v>
      </c>
      <c r="S73" s="77">
        <f ca="1">IFERROR(__xludf.DUMMYFUNCTION("IMPORTRANGE(""https://docs.google.com/spreadsheets/d/1SX6NBoVAgQJ6U1MVXOaj8PK2l7WJ3RER9xtqwdhxkhw/edit?usp=sharing"",""สิงห์บุรี!J234"")"),0)</f>
        <v>0</v>
      </c>
      <c r="T73" s="77">
        <f ca="1">IFERROR(__xludf.DUMMYFUNCTION("IMPORTRANGE(""https://docs.google.com/spreadsheets/d/1SX6NBoVAgQJ6U1MVXOaj8PK2l7WJ3RER9xtqwdhxkhw/edit?usp=sharing"",""สิงห์บุรี!J235"")"),0)</f>
        <v>0</v>
      </c>
      <c r="U73" s="137">
        <f t="shared" ca="1" si="10"/>
        <v>0</v>
      </c>
      <c r="V73" s="77">
        <f ca="1">IFERROR(__xludf.DUMMYFUNCTION("IMPORTRANGE(""https://docs.google.com/spreadsheets/d/1SX6NBoVAgQJ6U1MVXOaj8PK2l7WJ3RER9xtqwdhxkhw/edit?usp=sharing"",""สิงห์บุรี!J236"")"),0)</f>
        <v>0</v>
      </c>
      <c r="W73" s="77">
        <f ca="1">IFERROR(__xludf.DUMMYFUNCTION("IMPORTRANGE(""https://docs.google.com/spreadsheets/d/1SX6NBoVAgQJ6U1MVXOaj8PK2l7WJ3RER9xtqwdhxkhw/edit?usp=sharing"",""สิงห์บุรี!J237"")"),0)</f>
        <v>0</v>
      </c>
      <c r="X73" s="137">
        <f t="shared" ca="1" si="12"/>
        <v>0</v>
      </c>
      <c r="Y73" s="77">
        <f ca="1">IFERROR(__xludf.DUMMYFUNCTION("IMPORTRANGE(""https://docs.google.com/spreadsheets/d/1SX6NBoVAgQJ6U1MVXOaj8PK2l7WJ3RER9xtqwdhxkhw/edit?usp=sharing"",""สิงห์บุรี!J238"")"),0)</f>
        <v>0</v>
      </c>
      <c r="Z73" s="77">
        <f ca="1">IFERROR(__xludf.DUMMYFUNCTION("IMPORTRANGE(""https://docs.google.com/spreadsheets/d/1SX6NBoVAgQJ6U1MVXOaj8PK2l7WJ3RER9xtqwdhxkhw/edit?usp=sharing"",""สิงห์บุรี!J239"")"),0)</f>
        <v>0</v>
      </c>
      <c r="AA73" s="137">
        <f t="shared" ca="1" si="14"/>
        <v>0</v>
      </c>
      <c r="AB73" s="77">
        <f ca="1">IFERROR(__xludf.DUMMYFUNCTION("IMPORTRANGE(""https://docs.google.com/spreadsheets/d/1SX6NBoVAgQJ6U1MVXOaj8PK2l7WJ3RER9xtqwdhxkhw/edit?usp=sharing"",""สิงห์บุรี!J240"")"),0)</f>
        <v>0</v>
      </c>
      <c r="AC73" s="77">
        <f ca="1">IFERROR(__xludf.DUMMYFUNCTION("IMPORTRANGE(""https://docs.google.com/spreadsheets/d/1SX6NBoVAgQJ6U1MVXOaj8PK2l7WJ3RER9xtqwdhxkhw/edit?usp=sharing"",""สิงห์บุรี!J241"")"),0)</f>
        <v>0</v>
      </c>
      <c r="AD73" s="219">
        <f t="shared" ca="1" si="16"/>
        <v>0</v>
      </c>
      <c r="AE73" s="215">
        <f ca="1">IFERROR(__xludf.DUMMYFUNCTION("IMPORTRANGE(""https://docs.google.com/spreadsheets/d/1AGHcLOeeYFL3K4b9R1dSzyJy00PE_ra89DNTVfnxSWM/edit?usp=sharing"",""รวมที่ทำกิน!AA66"")"),0)</f>
        <v>0</v>
      </c>
      <c r="AF73" s="215">
        <f ca="1">IFERROR(__xludf.DUMMYFUNCTION("IMPORTRANGE(""https://docs.google.com/spreadsheets/d/1AGHcLOeeYFL3K4b9R1dSzyJy00PE_ra89DNTVfnxSWM/edit?usp=sharing"",""รวมที่ทำกิน!AB66"")"),0)</f>
        <v>0</v>
      </c>
      <c r="AG73" s="215">
        <f ca="1">IFERROR(__xludf.DUMMYFUNCTION("IMPORTRANGE(""https://docs.google.com/spreadsheets/d/1AGHcLOeeYFL3K4b9R1dSzyJy00PE_ra89DNTVfnxSWM/edit?usp=sharing"",""รวมที่ทำกิน!AD66"")"),0)</f>
        <v>0</v>
      </c>
      <c r="AH73" s="219">
        <f t="shared" ca="1" si="101"/>
        <v>0</v>
      </c>
      <c r="AI73" s="215">
        <f ca="1">IFERROR(__xludf.DUMMYFUNCTION("IMPORTRANGE(""https://docs.google.com/spreadsheets/d/1AGHcLOeeYFL3K4b9R1dSzyJy00PE_ra89DNTVfnxSWM/edit?usp=sharing"",""รวมที่ทำกิน!AE66"")"),0)</f>
        <v>0</v>
      </c>
      <c r="AJ73" s="215">
        <f ca="1">IFERROR(__xludf.DUMMYFUNCTION("IMPORTRANGE(""https://docs.google.com/spreadsheets/d/1AGHcLOeeYFL3K4b9R1dSzyJy00PE_ra89DNTVfnxSWM/edit?usp=sharing"",""รวมที่ทำกิน!AF66"")"),0)</f>
        <v>0</v>
      </c>
      <c r="AK73" s="215">
        <f ca="1">IFERROR(__xludf.DUMMYFUNCTION("IMPORTRANGE(""https://docs.google.com/spreadsheets/d/1AGHcLOeeYFL3K4b9R1dSzyJy00PE_ra89DNTVfnxSWM/edit?usp=sharing"",""รวมที่ทำกิน!AH66"")"),0)</f>
        <v>0</v>
      </c>
      <c r="AL73" s="220">
        <f t="shared" ca="1" si="103"/>
        <v>0</v>
      </c>
      <c r="AM73" s="215">
        <f ca="1">IFERROR(__xludf.DUMMYFUNCTION("IMPORTRANGE(""https://docs.google.com/spreadsheets/d/1AGHcLOeeYFL3K4b9R1dSzyJy00PE_ra89DNTVfnxSWM/edit?usp=sharing"",""รวมที่ทำกิน!AI66"")"),0)</f>
        <v>0</v>
      </c>
      <c r="AN73" s="215">
        <f ca="1">IFERROR(__xludf.DUMMYFUNCTION("IMPORTRANGE(""https://docs.google.com/spreadsheets/d/1AGHcLOeeYFL3K4b9R1dSzyJy00PE_ra89DNTVfnxSWM/edit?usp=sharing"",""รวมที่ทำกิน!AK66"")"),0)</f>
        <v>0</v>
      </c>
      <c r="AO73" s="220">
        <f t="shared" ca="1" si="22"/>
        <v>0</v>
      </c>
      <c r="AP73" s="215">
        <f ca="1">IFERROR(__xludf.DUMMYFUNCTION("IMPORTRANGE(""https://docs.google.com/spreadsheets/d/1AGHcLOeeYFL3K4b9R1dSzyJy00PE_ra89DNTVfnxSWM/edit?usp=sharing"",""รวมที่ทำกิน!AL66"")"),0)</f>
        <v>0</v>
      </c>
      <c r="AQ73" s="215">
        <f ca="1">IFERROR(__xludf.DUMMYFUNCTION("IMPORTRANGE(""https://docs.google.com/spreadsheets/d/1AGHcLOeeYFL3K4b9R1dSzyJy00PE_ra89DNTVfnxSWM/edit?usp=sharing"",""รวมที่ทำกิน!AN66"")"),0)</f>
        <v>0</v>
      </c>
      <c r="AR73" s="220">
        <f t="shared" ca="1" si="24"/>
        <v>0</v>
      </c>
      <c r="AS73" s="215">
        <f ca="1">IFERROR(__xludf.DUMMYFUNCTION("IMPORTRANGE(""https://docs.google.com/spreadsheets/d/1AGHcLOeeYFL3K4b9R1dSzyJy00PE_ra89DNTVfnxSWM/edit?usp=sharing"",""รวมที่ทำกิน!AO66"")"),0)</f>
        <v>0</v>
      </c>
      <c r="AT73" s="215">
        <f ca="1">IFERROR(__xludf.DUMMYFUNCTION("IMPORTRANGE(""https://docs.google.com/spreadsheets/d/1AGHcLOeeYFL3K4b9R1dSzyJy00PE_ra89DNTVfnxSWM/edit?usp=sharing"",""รวมที่ทำกิน!AP66"")"),0)</f>
        <v>0</v>
      </c>
      <c r="AU73" s="215">
        <f ca="1">IFERROR(__xludf.DUMMYFUNCTION("IMPORTRANGE(""https://docs.google.com/spreadsheets/d/1AGHcLOeeYFL3K4b9R1dSzyJy00PE_ra89DNTVfnxSWM/edit?usp=sharing"",""รวมที่ทำกิน!AR66"")"),0)</f>
        <v>0</v>
      </c>
      <c r="AV73" s="220">
        <f t="shared" ca="1" si="107"/>
        <v>0</v>
      </c>
      <c r="AW73" s="215">
        <f ca="1">IFERROR(__xludf.DUMMYFUNCTION("IMPORTRANGE(""https://docs.google.com/spreadsheets/d/1AGHcLOeeYFL3K4b9R1dSzyJy00PE_ra89DNTVfnxSWM/edit?usp=sharing"",""รวมที่ทำกิน!AS66"")"),0)</f>
        <v>0</v>
      </c>
      <c r="AX73" s="215">
        <f ca="1">IFERROR(__xludf.DUMMYFUNCTION("IMPORTRANGE(""https://docs.google.com/spreadsheets/d/1AGHcLOeeYFL3K4b9R1dSzyJy00PE_ra89DNTVfnxSWM/edit?usp=sharing"",""รวมที่ทำกิน!AT66"")"),0)</f>
        <v>0</v>
      </c>
      <c r="AY73" s="215">
        <f ca="1">IFERROR(__xludf.DUMMYFUNCTION("IMPORTRANGE(""https://docs.google.com/spreadsheets/d/1AGHcLOeeYFL3K4b9R1dSzyJy00PE_ra89DNTVfnxSWM/edit?usp=sharing"",""รวมที่ทำกิน!AV66"")"),0)</f>
        <v>0</v>
      </c>
      <c r="AZ73" s="220">
        <f t="shared" ca="1" si="109"/>
        <v>0</v>
      </c>
      <c r="BA73" s="215">
        <f ca="1">IFERROR(__xludf.DUMMYFUNCTION("IMPORTRANGE(""https://docs.google.com/spreadsheets/d/1AGHcLOeeYFL3K4b9R1dSzyJy00PE_ra89DNTVfnxSWM/edit?usp=sharing"",""รวมที่ทำกิน!AW66"")"),0)</f>
        <v>0</v>
      </c>
      <c r="BB73" s="215">
        <f ca="1">IFERROR(__xludf.DUMMYFUNCTION("IMPORTRANGE(""https://docs.google.com/spreadsheets/d/1AGHcLOeeYFL3K4b9R1dSzyJy00PE_ra89DNTVfnxSWM/edit?usp=sharing"",""รวมที่ทำกิน!AY66"")"),0)</f>
        <v>0</v>
      </c>
      <c r="BC73" s="220">
        <f t="shared" ca="1" si="30"/>
        <v>0</v>
      </c>
      <c r="BD73" s="215">
        <f ca="1">IFERROR(__xludf.DUMMYFUNCTION("IMPORTRANGE(""https://docs.google.com/spreadsheets/d/1AGHcLOeeYFL3K4b9R1dSzyJy00PE_ra89DNTVfnxSWM/edit?usp=sharing"",""รวมที่ทำกิน!AZ66"")"),0)</f>
        <v>0</v>
      </c>
      <c r="BE73" s="215">
        <f ca="1">IFERROR(__xludf.DUMMYFUNCTION("IMPORTRANGE(""https://docs.google.com/spreadsheets/d/1AGHcLOeeYFL3K4b9R1dSzyJy00PE_ra89DNTVfnxSWM/edit?usp=sharing"",""รวมที่ทำกิน!BB66"")"),0)</f>
        <v>0</v>
      </c>
      <c r="BF73" s="221">
        <f t="shared" ca="1" si="32"/>
        <v>0</v>
      </c>
    </row>
    <row r="74" spans="1:58" ht="21" customHeight="1">
      <c r="A74" s="73">
        <v>20</v>
      </c>
      <c r="B74" s="74" t="s">
        <v>98</v>
      </c>
      <c r="C74" s="75">
        <f t="shared" ca="1" si="0"/>
        <v>912740</v>
      </c>
      <c r="D74" s="76">
        <f t="shared" ca="1" si="142"/>
        <v>902740</v>
      </c>
      <c r="E74" s="77">
        <f ca="1">IFERROR(__xludf.DUMMYFUNCTION("IMPORTRANGE(""https://docs.google.com/spreadsheets/d/1C3CXT74ZlgGe6_JY_1olB1XN4rF0dxEuIIF-xsYjHgg/edit?usp=sharing"",""พรบ!BX78"")"),583200)</f>
        <v>583200</v>
      </c>
      <c r="F74" s="77">
        <f ca="1">IFERROR(__xludf.DUMMYFUNCTION("IMPORTRANGE(""https://docs.google.com/spreadsheets/d/1C3CXT74ZlgGe6_JY_1olB1XN4rF0dxEuIIF-xsYjHgg/edit?usp=sharing"",""พรบ!BY78"")"),319540)</f>
        <v>319540</v>
      </c>
      <c r="G74" s="77">
        <f ca="1">IFERROR(__xludf.DUMMYFUNCTION("IMPORTRANGE(""https://docs.google.com/spreadsheets/d/1Yj_ptqi66GCucihVvJfMjLAmec39IyEx_6qawtMGysU/edit?usp=sharing"",""สบก!DJ78"")"),10000)</f>
        <v>10000</v>
      </c>
      <c r="H74" s="77">
        <f ca="1">IFERROR(__xludf.DUMMYFUNCTION("IMPORTRANGE(""https://docs.google.com/spreadsheets/d/1Yj_ptqi66GCucihVvJfMjLAmec39IyEx_6qawtMGysU/edit?usp=shDLing"",""สบก!DL78"")"),645780)</f>
        <v>645780</v>
      </c>
      <c r="I74" s="77">
        <f t="shared" ca="1" si="3"/>
        <v>405407.68</v>
      </c>
      <c r="J74" s="77">
        <f t="shared" ca="1" si="4"/>
        <v>44.416556741240662</v>
      </c>
      <c r="K74" s="77">
        <f ca="1">IFERROR(__xludf.DUMMYFUNCTION("IMPORTRANGE(""https://docs.google.com/spreadsheets/d/1Yj_ptqi66GCucihVvJfMjLAmec39IyEx_6qawtMGysU/edit?usp=sharing"",""สบก!DM78"")"),395407.68)</f>
        <v>395407.68</v>
      </c>
      <c r="L74" s="137">
        <f t="shared" ca="1" si="5"/>
        <v>43.800837450428695</v>
      </c>
      <c r="M74" s="137">
        <f t="shared" ca="1" si="6"/>
        <v>61.229471336987828</v>
      </c>
      <c r="N74" s="137">
        <f ca="1">IFERROR(__xludf.DUMMYFUNCTION("IMPORTRANGE(""https://docs.google.com/spreadsheets/d/1Yj_ptqi66GCucihVvJfMjLAmec39IyEx_6qawtMGysU/edit?usp=sharing"",""สบก!DN78"")"),10000)</f>
        <v>10000</v>
      </c>
      <c r="O74" s="137">
        <f t="shared" ca="1" si="7"/>
        <v>100</v>
      </c>
      <c r="P74" s="77">
        <f ca="1">IFERROR(__xludf.DUMMYFUNCTION("IMPORTRANGE(""https://docs.google.com/spreadsheets/d/1C3CXT74ZlgGe6_JY_1olB1XN4rF0dxEuIIF-xsYjHgg/edit?usp=sharing"",""พรบ!CA78"")"),120)</f>
        <v>120</v>
      </c>
      <c r="Q74" s="77">
        <f ca="1">IFERROR(__xludf.DUMMYFUNCTION("IMPORTRANGE(""https://docs.google.com/spreadsheets/d/1C3CXT74ZlgGe6_JY_1olB1XN4rF0dxEuIIF-xsYjHgg/edit?usp=sharing"",""พรบ!BZ78"")"),800)</f>
        <v>800</v>
      </c>
      <c r="R74" s="218">
        <f t="shared" ca="1" si="95"/>
        <v>72</v>
      </c>
      <c r="S74" s="77">
        <f ca="1">IFERROR(__xludf.DUMMYFUNCTION("IMPORTRANGE(""https://docs.google.com/spreadsheets/d/1SX6NBoVAgQJ6U1MVXOaj8PK2l7WJ3RER9xtqwdhxkhw/edit?usp=sharing"",""สุพรรณบุรี!J234"")"),109)</f>
        <v>109</v>
      </c>
      <c r="T74" s="77">
        <f ca="1">IFERROR(__xludf.DUMMYFUNCTION("IMPORTRANGE(""https://docs.google.com/spreadsheets/d/1SX6NBoVAgQJ6U1MVXOaj8PK2l7WJ3RER9xtqwdhxkhw/edit?usp=sharing"",""สุพรรณบุรี!J235"")"),715.01)</f>
        <v>715.01</v>
      </c>
      <c r="U74" s="137">
        <f t="shared" ca="1" si="10"/>
        <v>89.376249999999999</v>
      </c>
      <c r="V74" s="77">
        <f ca="1">IFERROR(__xludf.DUMMYFUNCTION("IMPORTRANGE(""https://docs.google.com/spreadsheets/d/1SX6NBoVAgQJ6U1MVXOaj8PK2l7WJ3RER9xtqwdhxkhw/edit?usp=sharing"",""สุพรรณบุรี!J236"")"),201)</f>
        <v>201</v>
      </c>
      <c r="W74" s="77">
        <f ca="1">IFERROR(__xludf.DUMMYFUNCTION("IMPORTRANGE(""https://docs.google.com/spreadsheets/d/1SX6NBoVAgQJ6U1MVXOaj8PK2l7WJ3RER9xtqwdhxkhw/edit?usp=sharing"",""สุพรรณบุรี!J237"")"),2277.08)</f>
        <v>2277.08</v>
      </c>
      <c r="X74" s="137">
        <f t="shared" ca="1" si="12"/>
        <v>167.5</v>
      </c>
      <c r="Y74" s="77">
        <f ca="1">IFERROR(__xludf.DUMMYFUNCTION("IMPORTRANGE(""https://docs.google.com/spreadsheets/d/1SX6NBoVAgQJ6U1MVXOaj8PK2l7WJ3RER9xtqwdhxkhw/edit?usp=sharing"",""สุพรรณบุรี!J238"")"),0)</f>
        <v>0</v>
      </c>
      <c r="Z74" s="77">
        <f ca="1">IFERROR(__xludf.DUMMYFUNCTION("IMPORTRANGE(""https://docs.google.com/spreadsheets/d/1SX6NBoVAgQJ6U1MVXOaj8PK2l7WJ3RER9xtqwdhxkhw/edit?usp=sharing"",""สุพรรณบุรี!J239"")"),0)</f>
        <v>0</v>
      </c>
      <c r="AA74" s="137">
        <f t="shared" ca="1" si="14"/>
        <v>0</v>
      </c>
      <c r="AB74" s="77">
        <f ca="1">IFERROR(__xludf.DUMMYFUNCTION("IMPORTRANGE(""https://docs.google.com/spreadsheets/d/1SX6NBoVAgQJ6U1MVXOaj8PK2l7WJ3RER9xtqwdhxkhw/edit?usp=sharing"",""สุพรรณบุรี!J240"")"),213)</f>
        <v>213</v>
      </c>
      <c r="AC74" s="77">
        <f ca="1">IFERROR(__xludf.DUMMYFUNCTION("IMPORTRANGE(""https://docs.google.com/spreadsheets/d/1SX6NBoVAgQJ6U1MVXOaj8PK2l7WJ3RER9xtqwdhxkhw/edit?usp=sharing"",""สุพรรณบุรี!J241"")"),2347.44)</f>
        <v>2347.44</v>
      </c>
      <c r="AD74" s="219">
        <f t="shared" ca="1" si="16"/>
        <v>177.5</v>
      </c>
      <c r="AE74" s="215">
        <f ca="1">IFERROR(__xludf.DUMMYFUNCTION("IMPORTRANGE(""https://docs.google.com/spreadsheets/d/1AGHcLOeeYFL3K4b9R1dSzyJy00PE_ra89DNTVfnxSWM/edit?usp=sharing"",""รวมที่ทำกิน!AA67"")"),200)</f>
        <v>200</v>
      </c>
      <c r="AF74" s="215">
        <f ca="1">IFERROR(__xludf.DUMMYFUNCTION("IMPORTRANGE(""https://docs.google.com/spreadsheets/d/1AGHcLOeeYFL3K4b9R1dSzyJy00PE_ra89DNTVfnxSWM/edit?usp=sharing"",""รวมที่ทำกิน!AB67"")"),22)</f>
        <v>22</v>
      </c>
      <c r="AG74" s="215">
        <f ca="1">IFERROR(__xludf.DUMMYFUNCTION("IMPORTRANGE(""https://docs.google.com/spreadsheets/d/1AGHcLOeeYFL3K4b9R1dSzyJy00PE_ra89DNTVfnxSWM/edit?usp=sharing"",""รวมที่ทำกิน!AD67"")"),222.77)</f>
        <v>222.77</v>
      </c>
      <c r="AH74" s="219">
        <f t="shared" ca="1" si="101"/>
        <v>111.38500000000001</v>
      </c>
      <c r="AI74" s="215">
        <f ca="1">IFERROR(__xludf.DUMMYFUNCTION("IMPORTRANGE(""https://docs.google.com/spreadsheets/d/1AGHcLOeeYFL3K4b9R1dSzyJy00PE_ra89DNTVfnxSWM/edit?usp=sharing"",""รวมที่ทำกิน!AE67"")"),20)</f>
        <v>20</v>
      </c>
      <c r="AJ74" s="215">
        <f ca="1">IFERROR(__xludf.DUMMYFUNCTION("IMPORTRANGE(""https://docs.google.com/spreadsheets/d/1AGHcLOeeYFL3K4b9R1dSzyJy00PE_ra89DNTVfnxSWM/edit?usp=sharing"",""รวมที่ทำกิน!AF67"")"),16)</f>
        <v>16</v>
      </c>
      <c r="AK74" s="215">
        <f ca="1">IFERROR(__xludf.DUMMYFUNCTION("IMPORTRANGE(""https://docs.google.com/spreadsheets/d/1AGHcLOeeYFL3K4b9R1dSzyJy00PE_ra89DNTVfnxSWM/edit?usp=sharing"",""รวมที่ทำกิน!AH67"")"),192.73)</f>
        <v>192.73</v>
      </c>
      <c r="AL74" s="220">
        <f t="shared" ca="1" si="103"/>
        <v>80</v>
      </c>
      <c r="AM74" s="215">
        <f ca="1">IFERROR(__xludf.DUMMYFUNCTION("IMPORTRANGE(""https://docs.google.com/spreadsheets/d/1AGHcLOeeYFL3K4b9R1dSzyJy00PE_ra89DNTVfnxSWM/edit?usp=sharing"",""รวมที่ทำกิน!AI67"")"),0)</f>
        <v>0</v>
      </c>
      <c r="AN74" s="215">
        <f ca="1">IFERROR(__xludf.DUMMYFUNCTION("IMPORTRANGE(""https://docs.google.com/spreadsheets/d/1AGHcLOeeYFL3K4b9R1dSzyJy00PE_ra89DNTVfnxSWM/edit?usp=sharing"",""รวมที่ทำกิน!AK67"")"),0)</f>
        <v>0</v>
      </c>
      <c r="AO74" s="220">
        <f t="shared" ca="1" si="22"/>
        <v>0</v>
      </c>
      <c r="AP74" s="215">
        <f ca="1">IFERROR(__xludf.DUMMYFUNCTION("IMPORTRANGE(""https://docs.google.com/spreadsheets/d/1AGHcLOeeYFL3K4b9R1dSzyJy00PE_ra89DNTVfnxSWM/edit?usp=sharing"",""รวมที่ทำกิน!AL67"")"),16)</f>
        <v>16</v>
      </c>
      <c r="AQ74" s="215">
        <f ca="1">IFERROR(__xludf.DUMMYFUNCTION("IMPORTRANGE(""https://docs.google.com/spreadsheets/d/1AGHcLOeeYFL3K4b9R1dSzyJy00PE_ra89DNTVfnxSWM/edit?usp=sharing"",""รวมที่ทำกิน!AN67"")"),192.73)</f>
        <v>192.73</v>
      </c>
      <c r="AR74" s="220">
        <f t="shared" ca="1" si="24"/>
        <v>80</v>
      </c>
      <c r="AS74" s="215">
        <f ca="1">IFERROR(__xludf.DUMMYFUNCTION("IMPORTRANGE(""https://docs.google.com/spreadsheets/d/1AGHcLOeeYFL3K4b9R1dSzyJy00PE_ra89DNTVfnxSWM/edit?usp=sharing"",""รวมที่ทำกิน!AO67"")"),600)</f>
        <v>600</v>
      </c>
      <c r="AT74" s="215">
        <f ca="1">IFERROR(__xludf.DUMMYFUNCTION("IMPORTRANGE(""https://docs.google.com/spreadsheets/d/1AGHcLOeeYFL3K4b9R1dSzyJy00PE_ra89DNTVfnxSWM/edit?usp=sharing"",""รวมที่ทำกิน!AP67"")"),87)</f>
        <v>87</v>
      </c>
      <c r="AU74" s="215">
        <f ca="1">IFERROR(__xludf.DUMMYFUNCTION("IMPORTRANGE(""https://docs.google.com/spreadsheets/d/1AGHcLOeeYFL3K4b9R1dSzyJy00PE_ra89DNTVfnxSWM/edit?usp=sharing"",""รวมที่ทำกิน!AR67"")"),492.24)</f>
        <v>492.24</v>
      </c>
      <c r="AV74" s="220">
        <f t="shared" ca="1" si="107"/>
        <v>82.04</v>
      </c>
      <c r="AW74" s="215">
        <f ca="1">IFERROR(__xludf.DUMMYFUNCTION("IMPORTRANGE(""https://docs.google.com/spreadsheets/d/1AGHcLOeeYFL3K4b9R1dSzyJy00PE_ra89DNTVfnxSWM/edit?usp=sharing"",""รวมที่ทำกิน!AS67"")"),100)</f>
        <v>100</v>
      </c>
      <c r="AX74" s="215">
        <f ca="1">IFERROR(__xludf.DUMMYFUNCTION("IMPORTRANGE(""https://docs.google.com/spreadsheets/d/1AGHcLOeeYFL3K4b9R1dSzyJy00PE_ra89DNTVfnxSWM/edit?usp=sharing"",""รวมที่ทำกิน!AT67"")"),185)</f>
        <v>185</v>
      </c>
      <c r="AY74" s="215">
        <f ca="1">IFERROR(__xludf.DUMMYFUNCTION("IMPORTRANGE(""https://docs.google.com/spreadsheets/d/1AGHcLOeeYFL3K4b9R1dSzyJy00PE_ra89DNTVfnxSWM/edit?usp=sharing"",""รวมที่ทำกิน!AV67"")"),2084.35)</f>
        <v>2084.35</v>
      </c>
      <c r="AZ74" s="220">
        <f t="shared" ca="1" si="109"/>
        <v>185</v>
      </c>
      <c r="BA74" s="215">
        <f ca="1">IFERROR(__xludf.DUMMYFUNCTION("IMPORTRANGE(""https://docs.google.com/spreadsheets/d/1AGHcLOeeYFL3K4b9R1dSzyJy00PE_ra89DNTVfnxSWM/edit?usp=sharing"",""รวมที่ทำกิน!AW67"")"),0)</f>
        <v>0</v>
      </c>
      <c r="BB74" s="215">
        <f ca="1">IFERROR(__xludf.DUMMYFUNCTION("IMPORTRANGE(""https://docs.google.com/spreadsheets/d/1AGHcLOeeYFL3K4b9R1dSzyJy00PE_ra89DNTVfnxSWM/edit?usp=sharing"",""รวมที่ทำกิน!AY67"")"),0)</f>
        <v>0</v>
      </c>
      <c r="BC74" s="220">
        <f t="shared" ca="1" si="30"/>
        <v>0</v>
      </c>
      <c r="BD74" s="215">
        <f ca="1">IFERROR(__xludf.DUMMYFUNCTION("IMPORTRANGE(""https://docs.google.com/spreadsheets/d/1AGHcLOeeYFL3K4b9R1dSzyJy00PE_ra89DNTVfnxSWM/edit?usp=sharing"",""รวมที่ทำกิน!AZ67"")"),197)</f>
        <v>197</v>
      </c>
      <c r="BE74" s="215">
        <f ca="1">IFERROR(__xludf.DUMMYFUNCTION("IMPORTRANGE(""https://docs.google.com/spreadsheets/d/1AGHcLOeeYFL3K4b9R1dSzyJy00PE_ra89DNTVfnxSWM/edit?usp=sharing"",""รวมที่ทำกิน!BB67"")"),2154.71)</f>
        <v>2154.71</v>
      </c>
      <c r="BF74" s="221">
        <f t="shared" ca="1" si="32"/>
        <v>197</v>
      </c>
    </row>
    <row r="75" spans="1:58" ht="21" customHeight="1">
      <c r="A75" s="84">
        <v>21</v>
      </c>
      <c r="B75" s="85" t="s">
        <v>99</v>
      </c>
      <c r="C75" s="86">
        <f t="shared" ca="1" si="0"/>
        <v>680910</v>
      </c>
      <c r="D75" s="87">
        <f t="shared" ca="1" si="142"/>
        <v>541910</v>
      </c>
      <c r="E75" s="88">
        <f ca="1">IFERROR(__xludf.DUMMYFUNCTION("IMPORTRANGE(""https://docs.google.com/spreadsheets/d/1C3CXT74ZlgGe6_JY_1olB1XN4rF0dxEuIIF-xsYjHgg/edit?usp=sharing"",""พรบ!BX79"")"),493800)</f>
        <v>493800</v>
      </c>
      <c r="F75" s="88">
        <f ca="1">IFERROR(__xludf.DUMMYFUNCTION("IMPORTRANGE(""https://docs.google.com/spreadsheets/d/1C3CXT74ZlgGe6_JY_1olB1XN4rF0dxEuIIF-xsYjHgg/edit?usp=sharing"",""พรบ!BY79"")"),48110)</f>
        <v>48110</v>
      </c>
      <c r="G75" s="88">
        <f ca="1">IFERROR(__xludf.DUMMYFUNCTION("IMPORTRANGE(""https://docs.google.com/spreadsheets/d/1Yj_ptqi66GCucihVvJfMjLAmec39IyEx_6qawtMGysU/edit?usp=sharing"",""สบก!DJ79"")"),139000)</f>
        <v>139000</v>
      </c>
      <c r="H75" s="88">
        <f ca="1">IFERROR(__xludf.DUMMYFUNCTION("IMPORTRANGE(""https://docs.google.com/spreadsheets/d/1Yj_ptqi66GCucihVvJfMjLAmec39IyEx_6qawtMGysU/edit?usp=shDLing"",""สบก!DL79"")"),396360)</f>
        <v>396360</v>
      </c>
      <c r="I75" s="88">
        <f t="shared" ca="1" si="3"/>
        <v>386972</v>
      </c>
      <c r="J75" s="88">
        <f t="shared" ca="1" si="4"/>
        <v>56.831593015229622</v>
      </c>
      <c r="K75" s="88">
        <f ca="1">IFERROR(__xludf.DUMMYFUNCTION("IMPORTRANGE(""https://docs.google.com/spreadsheets/d/1Yj_ptqi66GCucihVvJfMjLAmec39IyEx_6qawtMGysU/edit?usp=sharing"",""สบก!DM79"")"),247972)</f>
        <v>247972</v>
      </c>
      <c r="L75" s="138">
        <f t="shared" ca="1" si="5"/>
        <v>45.758889852558546</v>
      </c>
      <c r="M75" s="138">
        <f t="shared" ca="1" si="6"/>
        <v>62.562317085477851</v>
      </c>
      <c r="N75" s="138">
        <f ca="1">IFERROR(__xludf.DUMMYFUNCTION("IMPORTRANGE(""https://docs.google.com/spreadsheets/d/1Yj_ptqi66GCucihVvJfMjLAmec39IyEx_6qawtMGysU/edit?usp=sharing"",""สบก!DN79"")"),139000)</f>
        <v>139000</v>
      </c>
      <c r="O75" s="138">
        <f t="shared" ca="1" si="7"/>
        <v>100</v>
      </c>
      <c r="P75" s="88">
        <f ca="1">IFERROR(__xludf.DUMMYFUNCTION("IMPORTRANGE(""https://docs.google.com/spreadsheets/d/1C3CXT74ZlgGe6_JY_1olB1XN4rF0dxEuIIF-xsYjHgg/edit?usp=sharing"",""พรบ!CA79"")"),0)</f>
        <v>0</v>
      </c>
      <c r="Q75" s="88">
        <f ca="1">IFERROR(__xludf.DUMMYFUNCTION("IMPORTRANGE(""https://docs.google.com/spreadsheets/d/1C3CXT74ZlgGe6_JY_1olB1XN4rF0dxEuIIF-xsYjHgg/edit?usp=sharing"",""พรบ!BZ79"")"),0)</f>
        <v>0</v>
      </c>
      <c r="R75" s="222">
        <f t="shared" ca="1" si="95"/>
        <v>0</v>
      </c>
      <c r="S75" s="88">
        <f ca="1">IFERROR(__xludf.DUMMYFUNCTION("IMPORTRANGE(""https://docs.google.com/spreadsheets/d/1SX6NBoVAgQJ6U1MVXOaj8PK2l7WJ3RER9xtqwdhxkhw/edit?usp=sharing"",""อ่างทอง!J234"")"),0)</f>
        <v>0</v>
      </c>
      <c r="T75" s="88">
        <f ca="1">IFERROR(__xludf.DUMMYFUNCTION("IMPORTRANGE(""https://docs.google.com/spreadsheets/d/1SX6NBoVAgQJ6U1MVXOaj8PK2l7WJ3RER9xtqwdhxkhw/edit?usp=sharing"",""อ่างทอง!J235"")"),0)</f>
        <v>0</v>
      </c>
      <c r="U75" s="138">
        <f t="shared" ca="1" si="10"/>
        <v>0</v>
      </c>
      <c r="V75" s="88">
        <f ca="1">IFERROR(__xludf.DUMMYFUNCTION("IMPORTRANGE(""https://docs.google.com/spreadsheets/d/1SX6NBoVAgQJ6U1MVXOaj8PK2l7WJ3RER9xtqwdhxkhw/edit?usp=sharing"",""อ่างทอง!J236"")"),0)</f>
        <v>0</v>
      </c>
      <c r="W75" s="88">
        <f ca="1">IFERROR(__xludf.DUMMYFUNCTION("IMPORTRANGE(""https://docs.google.com/spreadsheets/d/1SX6NBoVAgQJ6U1MVXOaj8PK2l7WJ3RER9xtqwdhxkhw/edit?usp=sharing"",""อ่างทอง!J237"")"),0)</f>
        <v>0</v>
      </c>
      <c r="X75" s="138">
        <f t="shared" ca="1" si="12"/>
        <v>0</v>
      </c>
      <c r="Y75" s="88">
        <f ca="1">IFERROR(__xludf.DUMMYFUNCTION("IMPORTRANGE(""https://docs.google.com/spreadsheets/d/1SX6NBoVAgQJ6U1MVXOaj8PK2l7WJ3RER9xtqwdhxkhw/edit?usp=sharing"",""อ่างทอง!J238"")"),0)</f>
        <v>0</v>
      </c>
      <c r="Z75" s="88">
        <f ca="1">IFERROR(__xludf.DUMMYFUNCTION("IMPORTRANGE(""https://docs.google.com/spreadsheets/d/1SX6NBoVAgQJ6U1MVXOaj8PK2l7WJ3RER9xtqwdhxkhw/edit?usp=sharing"",""อ่างทอง!J239"")"),0)</f>
        <v>0</v>
      </c>
      <c r="AA75" s="138">
        <f t="shared" ca="1" si="14"/>
        <v>0</v>
      </c>
      <c r="AB75" s="88">
        <f ca="1">IFERROR(__xludf.DUMMYFUNCTION("IMPORTRANGE(""https://docs.google.com/spreadsheets/d/1SX6NBoVAgQJ6U1MVXOaj8PK2l7WJ3RER9xtqwdhxkhw/edit?usp=sharing"",""อ่างทอง!J240"")"),0)</f>
        <v>0</v>
      </c>
      <c r="AC75" s="88">
        <f ca="1">IFERROR(__xludf.DUMMYFUNCTION("IMPORTRANGE(""https://docs.google.com/spreadsheets/d/1SX6NBoVAgQJ6U1MVXOaj8PK2l7WJ3RER9xtqwdhxkhw/edit?usp=sharing"",""อ่างทอง!J241"")"),0)</f>
        <v>0</v>
      </c>
      <c r="AD75" s="223">
        <f t="shared" ca="1" si="16"/>
        <v>0</v>
      </c>
      <c r="AE75" s="224">
        <f ca="1">IFERROR(__xludf.DUMMYFUNCTION("IMPORTRANGE(""https://docs.google.com/spreadsheets/d/1AGHcLOeeYFL3K4b9R1dSzyJy00PE_ra89DNTVfnxSWM/edit?usp=sharing"",""รวมที่ทำกิน!AA68"")"),0)</f>
        <v>0</v>
      </c>
      <c r="AF75" s="224">
        <f ca="1">IFERROR(__xludf.DUMMYFUNCTION("IMPORTRANGE(""https://docs.google.com/spreadsheets/d/1AGHcLOeeYFL3K4b9R1dSzyJy00PE_ra89DNTVfnxSWM/edit?usp=sharing"",""รวมที่ทำกิน!AB68"")"),0)</f>
        <v>0</v>
      </c>
      <c r="AG75" s="224">
        <f ca="1">IFERROR(__xludf.DUMMYFUNCTION("IMPORTRANGE(""https://docs.google.com/spreadsheets/d/1AGHcLOeeYFL3K4b9R1dSzyJy00PE_ra89DNTVfnxSWM/edit?usp=sharing"",""รวมที่ทำกิน!AD68"")"),0)</f>
        <v>0</v>
      </c>
      <c r="AH75" s="223">
        <f t="shared" ca="1" si="101"/>
        <v>0</v>
      </c>
      <c r="AI75" s="224">
        <f ca="1">IFERROR(__xludf.DUMMYFUNCTION("IMPORTRANGE(""https://docs.google.com/spreadsheets/d/1AGHcLOeeYFL3K4b9R1dSzyJy00PE_ra89DNTVfnxSWM/edit?usp=sharing"",""รวมที่ทำกิน!AE68"")"),0)</f>
        <v>0</v>
      </c>
      <c r="AJ75" s="224">
        <f ca="1">IFERROR(__xludf.DUMMYFUNCTION("IMPORTRANGE(""https://docs.google.com/spreadsheets/d/1AGHcLOeeYFL3K4b9R1dSzyJy00PE_ra89DNTVfnxSWM/edit?usp=sharing"",""รวมที่ทำกิน!AF68"")"),0)</f>
        <v>0</v>
      </c>
      <c r="AK75" s="224">
        <f ca="1">IFERROR(__xludf.DUMMYFUNCTION("IMPORTRANGE(""https://docs.google.com/spreadsheets/d/1AGHcLOeeYFL3K4b9R1dSzyJy00PE_ra89DNTVfnxSWM/edit?usp=sharing"",""รวมที่ทำกิน!AH68"")"),0)</f>
        <v>0</v>
      </c>
      <c r="AL75" s="225">
        <f t="shared" ca="1" si="103"/>
        <v>0</v>
      </c>
      <c r="AM75" s="224">
        <f ca="1">IFERROR(__xludf.DUMMYFUNCTION("IMPORTRANGE(""https://docs.google.com/spreadsheets/d/1AGHcLOeeYFL3K4b9R1dSzyJy00PE_ra89DNTVfnxSWM/edit?usp=sharing"",""รวมที่ทำกิน!AI68"")"),0)</f>
        <v>0</v>
      </c>
      <c r="AN75" s="224">
        <f ca="1">IFERROR(__xludf.DUMMYFUNCTION("IMPORTRANGE(""https://docs.google.com/spreadsheets/d/1AGHcLOeeYFL3K4b9R1dSzyJy00PE_ra89DNTVfnxSWM/edit?usp=sharing"",""รวมที่ทำกิน!AK68"")"),0)</f>
        <v>0</v>
      </c>
      <c r="AO75" s="225">
        <f t="shared" ca="1" si="22"/>
        <v>0</v>
      </c>
      <c r="AP75" s="224">
        <f ca="1">IFERROR(__xludf.DUMMYFUNCTION("IMPORTRANGE(""https://docs.google.com/spreadsheets/d/1AGHcLOeeYFL3K4b9R1dSzyJy00PE_ra89DNTVfnxSWM/edit?usp=sharing"",""รวมที่ทำกิน!AL68"")"),0)</f>
        <v>0</v>
      </c>
      <c r="AQ75" s="224">
        <f ca="1">IFERROR(__xludf.DUMMYFUNCTION("IMPORTRANGE(""https://docs.google.com/spreadsheets/d/1AGHcLOeeYFL3K4b9R1dSzyJy00PE_ra89DNTVfnxSWM/edit?usp=sharing"",""รวมที่ทำกิน!AN68"")"),0)</f>
        <v>0</v>
      </c>
      <c r="AR75" s="225">
        <f t="shared" ca="1" si="24"/>
        <v>0</v>
      </c>
      <c r="AS75" s="224">
        <f ca="1">IFERROR(__xludf.DUMMYFUNCTION("IMPORTRANGE(""https://docs.google.com/spreadsheets/d/1AGHcLOeeYFL3K4b9R1dSzyJy00PE_ra89DNTVfnxSWM/edit?usp=sharing"",""รวมที่ทำกิน!AO68"")"),0)</f>
        <v>0</v>
      </c>
      <c r="AT75" s="224">
        <f ca="1">IFERROR(__xludf.DUMMYFUNCTION("IMPORTRANGE(""https://docs.google.com/spreadsheets/d/1AGHcLOeeYFL3K4b9R1dSzyJy00PE_ra89DNTVfnxSWM/edit?usp=sharing"",""รวมที่ทำกิน!AP68"")"),0)</f>
        <v>0</v>
      </c>
      <c r="AU75" s="224">
        <f ca="1">IFERROR(__xludf.DUMMYFUNCTION("IMPORTRANGE(""https://docs.google.com/spreadsheets/d/1AGHcLOeeYFL3K4b9R1dSzyJy00PE_ra89DNTVfnxSWM/edit?usp=sharing"",""รวมที่ทำกิน!AR68"")"),0)</f>
        <v>0</v>
      </c>
      <c r="AV75" s="225">
        <f t="shared" ca="1" si="107"/>
        <v>0</v>
      </c>
      <c r="AW75" s="224">
        <f ca="1">IFERROR(__xludf.DUMMYFUNCTION("IMPORTRANGE(""https://docs.google.com/spreadsheets/d/1AGHcLOeeYFL3K4b9R1dSzyJy00PE_ra89DNTVfnxSWM/edit?usp=sharing"",""รวมที่ทำกิน!AS68"")"),0)</f>
        <v>0</v>
      </c>
      <c r="AX75" s="224">
        <f ca="1">IFERROR(__xludf.DUMMYFUNCTION("IMPORTRANGE(""https://docs.google.com/spreadsheets/d/1AGHcLOeeYFL3K4b9R1dSzyJy00PE_ra89DNTVfnxSWM/edit?usp=sharing"",""รวมที่ทำกิน!AT68"")"),0)</f>
        <v>0</v>
      </c>
      <c r="AY75" s="224">
        <f ca="1">IFERROR(__xludf.DUMMYFUNCTION("IMPORTRANGE(""https://docs.google.com/spreadsheets/d/1AGHcLOeeYFL3K4b9R1dSzyJy00PE_ra89DNTVfnxSWM/edit?usp=sharing"",""รวมที่ทำกิน!AV68"")"),0)</f>
        <v>0</v>
      </c>
      <c r="AZ75" s="225">
        <f t="shared" ca="1" si="109"/>
        <v>0</v>
      </c>
      <c r="BA75" s="224">
        <f ca="1">IFERROR(__xludf.DUMMYFUNCTION("IMPORTRANGE(""https://docs.google.com/spreadsheets/d/1AGHcLOeeYFL3K4b9R1dSzyJy00PE_ra89DNTVfnxSWM/edit?usp=sharing"",""รวมที่ทำกิน!AW68"")"),0)</f>
        <v>0</v>
      </c>
      <c r="BB75" s="224">
        <f ca="1">IFERROR(__xludf.DUMMYFUNCTION("IMPORTRANGE(""https://docs.google.com/spreadsheets/d/1AGHcLOeeYFL3K4b9R1dSzyJy00PE_ra89DNTVfnxSWM/edit?usp=sharing"",""รวมที่ทำกิน!AY68"")"),0)</f>
        <v>0</v>
      </c>
      <c r="BC75" s="225">
        <f t="shared" ca="1" si="30"/>
        <v>0</v>
      </c>
      <c r="BD75" s="224">
        <f ca="1">IFERROR(__xludf.DUMMYFUNCTION("IMPORTRANGE(""https://docs.google.com/spreadsheets/d/1AGHcLOeeYFL3K4b9R1dSzyJy00PE_ra89DNTVfnxSWM/edit?usp=sharing"",""รวมที่ทำกิน!AZ68"")"),0)</f>
        <v>0</v>
      </c>
      <c r="BE75" s="224">
        <f ca="1">IFERROR(__xludf.DUMMYFUNCTION("IMPORTRANGE(""https://docs.google.com/spreadsheets/d/1AGHcLOeeYFL3K4b9R1dSzyJy00PE_ra89DNTVfnxSWM/edit?usp=sharing"",""รวมที่ทำกิน!BB68"")"),0)</f>
        <v>0</v>
      </c>
      <c r="BF75" s="226">
        <f t="shared" ca="1" si="32"/>
        <v>0</v>
      </c>
    </row>
    <row r="76" spans="1:58" ht="21" customHeight="1">
      <c r="A76" s="676" t="s">
        <v>100</v>
      </c>
      <c r="B76" s="652"/>
      <c r="C76" s="99">
        <f t="shared" ca="1" si="0"/>
        <v>12918830</v>
      </c>
      <c r="D76" s="95">
        <f t="shared" ref="D76:H76" ca="1" si="143">SUM(D77:D90)</f>
        <v>11889260</v>
      </c>
      <c r="E76" s="95">
        <f t="shared" ca="1" si="143"/>
        <v>6929700</v>
      </c>
      <c r="F76" s="95">
        <f t="shared" ca="1" si="143"/>
        <v>4959560</v>
      </c>
      <c r="G76" s="95">
        <f t="shared" ca="1" si="143"/>
        <v>1029570</v>
      </c>
      <c r="H76" s="95">
        <f t="shared" ca="1" si="143"/>
        <v>8607560</v>
      </c>
      <c r="I76" s="95">
        <f t="shared" ca="1" si="3"/>
        <v>6484430.4199999999</v>
      </c>
      <c r="J76" s="95">
        <f t="shared" ca="1" si="4"/>
        <v>50.193635336946144</v>
      </c>
      <c r="K76" s="95">
        <f ca="1">SUM(K77:K90)</f>
        <v>5454860.4199999999</v>
      </c>
      <c r="L76" s="139">
        <f t="shared" ca="1" si="5"/>
        <v>45.880571372818828</v>
      </c>
      <c r="M76" s="139">
        <f t="shared" ca="1" si="6"/>
        <v>63.372900334124886</v>
      </c>
      <c r="N76" s="139">
        <f ca="1">SUM(N77:N90)</f>
        <v>1029570</v>
      </c>
      <c r="O76" s="139">
        <f t="shared" ca="1" si="7"/>
        <v>100</v>
      </c>
      <c r="P76" s="95">
        <f t="shared" ref="P76:Q76" ca="1" si="144">SUM(P77:P90)</f>
        <v>2553</v>
      </c>
      <c r="Q76" s="95">
        <f t="shared" ca="1" si="144"/>
        <v>22324</v>
      </c>
      <c r="R76" s="95">
        <f t="shared" ca="1" si="95"/>
        <v>1531.8</v>
      </c>
      <c r="S76" s="95">
        <f t="shared" ref="S76:T76" ca="1" si="145">SUM(S77:S90)</f>
        <v>1792</v>
      </c>
      <c r="T76" s="95">
        <f t="shared" ca="1" si="145"/>
        <v>15730.05</v>
      </c>
      <c r="U76" s="139">
        <f t="shared" ca="1" si="10"/>
        <v>70.462506719225942</v>
      </c>
      <c r="V76" s="95">
        <f t="shared" ref="V76:W76" ca="1" si="146">SUM(V77:V90)</f>
        <v>2140</v>
      </c>
      <c r="W76" s="95">
        <f t="shared" ca="1" si="146"/>
        <v>20961.419999999998</v>
      </c>
      <c r="X76" s="139">
        <f t="shared" ca="1" si="12"/>
        <v>83.822953388170774</v>
      </c>
      <c r="Y76" s="95">
        <f t="shared" ref="Y76:Z76" ca="1" si="147">SUM(Y77:Y90)</f>
        <v>60</v>
      </c>
      <c r="Z76" s="95">
        <f t="shared" ca="1" si="147"/>
        <v>334.64</v>
      </c>
      <c r="AA76" s="139">
        <f t="shared" ca="1" si="14"/>
        <v>2.3501762632197414</v>
      </c>
      <c r="AB76" s="95">
        <f t="shared" ref="AB76:AC76" ca="1" si="148">SUM(AB77:AB90)</f>
        <v>1421</v>
      </c>
      <c r="AC76" s="95">
        <f t="shared" ca="1" si="148"/>
        <v>15038.28999999999</v>
      </c>
      <c r="AD76" s="227">
        <f t="shared" ca="1" si="16"/>
        <v>55.660007833920879</v>
      </c>
      <c r="AE76" s="212">
        <f t="shared" ref="AE76:AG76" ca="1" si="149">SUM(AE77:AE90)</f>
        <v>13345</v>
      </c>
      <c r="AF76" s="212">
        <f t="shared" ca="1" si="149"/>
        <v>977</v>
      </c>
      <c r="AG76" s="212">
        <f t="shared" ca="1" si="149"/>
        <v>9165.1200000000008</v>
      </c>
      <c r="AH76" s="227">
        <f t="shared" ca="1" si="101"/>
        <v>68.678306481828415</v>
      </c>
      <c r="AI76" s="212">
        <f t="shared" ref="AI76:AK76" ca="1" si="150">SUM(AI77:AI90)</f>
        <v>1308</v>
      </c>
      <c r="AJ76" s="212">
        <f t="shared" ca="1" si="150"/>
        <v>597</v>
      </c>
      <c r="AK76" s="212">
        <f t="shared" ca="1" si="150"/>
        <v>5106.1400000000012</v>
      </c>
      <c r="AL76" s="139">
        <f t="shared" ca="1" si="103"/>
        <v>45.642201834862384</v>
      </c>
      <c r="AM76" s="212">
        <f t="shared" ref="AM76:AN76" ca="1" si="151">SUM(AM77:AM90)</f>
        <v>42</v>
      </c>
      <c r="AN76" s="212">
        <f t="shared" ca="1" si="151"/>
        <v>227.59</v>
      </c>
      <c r="AO76" s="139">
        <f t="shared" ca="1" si="22"/>
        <v>3.2110091743119265</v>
      </c>
      <c r="AP76" s="212">
        <f t="shared" ref="AP76:AQ76" ca="1" si="152">SUM(AP77:AP90)</f>
        <v>318</v>
      </c>
      <c r="AQ76" s="212">
        <f t="shared" ca="1" si="152"/>
        <v>2833.8500000000004</v>
      </c>
      <c r="AR76" s="139">
        <f t="shared" ca="1" si="24"/>
        <v>24.311926605504588</v>
      </c>
      <c r="AS76" s="212">
        <f t="shared" ref="AS76:AU76" ca="1" si="153">SUM(AS77:AS90)</f>
        <v>8979</v>
      </c>
      <c r="AT76" s="212">
        <f t="shared" ca="1" si="153"/>
        <v>815</v>
      </c>
      <c r="AU76" s="212">
        <f t="shared" ca="1" si="153"/>
        <v>6564.93</v>
      </c>
      <c r="AV76" s="139">
        <f t="shared" ca="1" si="107"/>
        <v>73.114266622118279</v>
      </c>
      <c r="AW76" s="212">
        <f t="shared" ref="AW76:AY76" ca="1" si="154">SUM(AW77:AW90)</f>
        <v>1245</v>
      </c>
      <c r="AX76" s="212">
        <f t="shared" ca="1" si="154"/>
        <v>1543</v>
      </c>
      <c r="AY76" s="212">
        <f t="shared" ca="1" si="154"/>
        <v>15855.280000000002</v>
      </c>
      <c r="AZ76" s="139">
        <f t="shared" ca="1" si="109"/>
        <v>123.93574297188755</v>
      </c>
      <c r="BA76" s="212">
        <f t="shared" ref="BA76:BB76" ca="1" si="155">SUM(BA77:BA90)</f>
        <v>18</v>
      </c>
      <c r="BB76" s="212">
        <f t="shared" ca="1" si="155"/>
        <v>107.05</v>
      </c>
      <c r="BC76" s="139">
        <f t="shared" ca="1" si="30"/>
        <v>1.4457831325301205</v>
      </c>
      <c r="BD76" s="212">
        <f t="shared" ref="BD76:BE76" ca="1" si="156">SUM(BD77:BD90)</f>
        <v>1103</v>
      </c>
      <c r="BE76" s="212">
        <f t="shared" ca="1" si="156"/>
        <v>12204.44</v>
      </c>
      <c r="BF76" s="139">
        <f t="shared" ca="1" si="32"/>
        <v>88.594377510040161</v>
      </c>
    </row>
    <row r="77" spans="1:58" ht="21" customHeight="1">
      <c r="A77" s="63">
        <v>1</v>
      </c>
      <c r="B77" s="64" t="s">
        <v>101</v>
      </c>
      <c r="C77" s="65">
        <f t="shared" ca="1" si="0"/>
        <v>832320</v>
      </c>
      <c r="D77" s="66">
        <f t="shared" ref="D77:D90" ca="1" si="157">+E77+F77</f>
        <v>800750</v>
      </c>
      <c r="E77" s="67">
        <f ca="1">IFERROR(__xludf.DUMMYFUNCTION("IMPORTRANGE(""https://docs.google.com/spreadsheets/d/1C3CXT74ZlgGe6_JY_1olB1XN4rF0dxEuIIF-xsYjHgg/edit?usp=sharing"",""พรบ!BX81"")"),306000)</f>
        <v>306000</v>
      </c>
      <c r="F77" s="67">
        <f ca="1">IFERROR(__xludf.DUMMYFUNCTION("IMPORTRANGE(""https://docs.google.com/spreadsheets/d/1C3CXT74ZlgGe6_JY_1olB1XN4rF0dxEuIIF-xsYjHgg/edit?usp=sharing"",""พรบ!BY81"")"),494750)</f>
        <v>494750</v>
      </c>
      <c r="G77" s="67">
        <f ca="1">IFERROR(__xludf.DUMMYFUNCTION("IMPORTRANGE(""https://docs.google.com/spreadsheets/d/1Yj_ptqi66GCucihVvJfMjLAmec39IyEx_6qawtMGysU/edit?usp=sharing"",""สบก!DJ81"")"),31570)</f>
        <v>31570</v>
      </c>
      <c r="H77" s="67">
        <f ca="1">IFERROR(__xludf.DUMMYFUNCTION("IMPORTRANGE(""https://docs.google.com/spreadsheets/d/1Yj_ptqi66GCucihVvJfMjLAmec39IyEx_6qawtMGysU/edit?usp=shDLing"",""สบก!DL81"")"),564280)</f>
        <v>564280</v>
      </c>
      <c r="I77" s="67">
        <f t="shared" ca="1" si="3"/>
        <v>387762.49</v>
      </c>
      <c r="J77" s="67">
        <f t="shared" ca="1" si="4"/>
        <v>46.58814999038831</v>
      </c>
      <c r="K77" s="67">
        <f ca="1">IFERROR(__xludf.DUMMYFUNCTION("IMPORTRANGE(""https://docs.google.com/spreadsheets/d/1Yj_ptqi66GCucihVvJfMjLAmec39IyEx_6qawtMGysU/edit?usp=sharing"",""สบก!DM81"")"),356192.49)</f>
        <v>356192.49</v>
      </c>
      <c r="L77" s="136">
        <f t="shared" ca="1" si="5"/>
        <v>44.482359038401498</v>
      </c>
      <c r="M77" s="136">
        <f t="shared" ca="1" si="6"/>
        <v>63.123358970723757</v>
      </c>
      <c r="N77" s="136">
        <f ca="1">IFERROR(__xludf.DUMMYFUNCTION("IMPORTRANGE(""https://docs.google.com/spreadsheets/d/1Yj_ptqi66GCucihVvJfMjLAmec39IyEx_6qawtMGysU/edit?usp=sharing"",""สบก!DN81"")"),31570)</f>
        <v>31570</v>
      </c>
      <c r="O77" s="136">
        <f t="shared" ca="1" si="7"/>
        <v>100</v>
      </c>
      <c r="P77" s="67">
        <f ca="1">IFERROR(__xludf.DUMMYFUNCTION("IMPORTRANGE(""https://docs.google.com/spreadsheets/d/1C3CXT74ZlgGe6_JY_1olB1XN4rF0dxEuIIF-xsYjHgg/edit?usp=sharing"",""พรบ!CA81"")"),280)</f>
        <v>280</v>
      </c>
      <c r="Q77" s="67">
        <f ca="1">IFERROR(__xludf.DUMMYFUNCTION("IMPORTRANGE(""https://docs.google.com/spreadsheets/d/1C3CXT74ZlgGe6_JY_1olB1XN4rF0dxEuIIF-xsYjHgg/edit?usp=sharing"",""พรบ!BZ81"")"),3200)</f>
        <v>3200</v>
      </c>
      <c r="R77" s="213">
        <f t="shared" ca="1" si="95"/>
        <v>168</v>
      </c>
      <c r="S77" s="67">
        <f ca="1">IFERROR(__xludf.DUMMYFUNCTION("IMPORTRANGE(""https://docs.google.com/spreadsheets/d/1IYY_tgx_IHuhSq3AJ5eI5OnqOPBNLWSHKh2a30DoXe8/edit?usp=sharing"",""กระบี่!J234"")"),270)</f>
        <v>270</v>
      </c>
      <c r="T77" s="67">
        <f ca="1">IFERROR(__xludf.DUMMYFUNCTION("IMPORTRANGE(""https://docs.google.com/spreadsheets/d/1IYY_tgx_IHuhSq3AJ5eI5OnqOPBNLWSHKh2a30DoXe8/edit?usp=sharing"",""กระบี่!J235"")"),3849.14)</f>
        <v>3849.14</v>
      </c>
      <c r="U77" s="136">
        <f t="shared" ca="1" si="10"/>
        <v>120.285625</v>
      </c>
      <c r="V77" s="67">
        <f ca="1">IFERROR(__xludf.DUMMYFUNCTION("IMPORTRANGE(""https://docs.google.com/spreadsheets/d/1IYY_tgx_IHuhSq3AJ5eI5OnqOPBNLWSHKh2a30DoXe8/edit?usp=sharing"",""กระบี่!J236"")"),141)</f>
        <v>141</v>
      </c>
      <c r="W77" s="67">
        <f ca="1">IFERROR(__xludf.DUMMYFUNCTION("IMPORTRANGE(""https://docs.google.com/spreadsheets/d/1IYY_tgx_IHuhSq3AJ5eI5OnqOPBNLWSHKh2a30DoXe8/edit?usp=sharing"",""กระบี่!J237"")"),2170.25)</f>
        <v>2170.25</v>
      </c>
      <c r="X77" s="136">
        <f t="shared" ca="1" si="12"/>
        <v>50.357142857142854</v>
      </c>
      <c r="Y77" s="67">
        <f ca="1">IFERROR(__xludf.DUMMYFUNCTION("IMPORTRANGE(""https://docs.google.com/spreadsheets/d/1IYY_tgx_IHuhSq3AJ5eI5OnqOPBNLWSHKh2a30DoXe8/edit?usp=sharing"",""กระบี่!J238"")"),0)</f>
        <v>0</v>
      </c>
      <c r="Z77" s="67">
        <f ca="1">IFERROR(__xludf.DUMMYFUNCTION("IMPORTRANGE(""https://docs.google.com/spreadsheets/d/1IYY_tgx_IHuhSq3AJ5eI5OnqOPBNLWSHKh2a30DoXe8/edit?usp=sharing"",""กระบี่!J239"")"),0)</f>
        <v>0</v>
      </c>
      <c r="AA77" s="136">
        <f t="shared" ca="1" si="14"/>
        <v>0</v>
      </c>
      <c r="AB77" s="67">
        <f ca="1">IFERROR(__xludf.DUMMYFUNCTION("IMPORTRANGE(""https://docs.google.com/spreadsheets/d/1IYY_tgx_IHuhSq3AJ5eI5OnqOPBNLWSHKh2a30DoXe8/edit?usp=sharing"",""กระบี่!J240"")"),43)</f>
        <v>43</v>
      </c>
      <c r="AC77" s="67">
        <f ca="1">IFERROR(__xludf.DUMMYFUNCTION("IMPORTRANGE(""https://docs.google.com/spreadsheets/d/1IYY_tgx_IHuhSq3AJ5eI5OnqOPBNLWSHKh2a30DoXe8/edit?usp=sharing"",""กระบี่!J241"")"),808.71)</f>
        <v>808.71</v>
      </c>
      <c r="AD77" s="214">
        <f t="shared" ca="1" si="16"/>
        <v>15.357142857142858</v>
      </c>
      <c r="AE77" s="215">
        <f ca="1">IFERROR(__xludf.DUMMYFUNCTION("IMPORTRANGE(""https://docs.google.com/spreadsheets/d/1AGHcLOeeYFL3K4b9R1dSzyJy00PE_ra89DNTVfnxSWM/edit?usp=sharing"",""รวมที่ทำกิน!AA70"")"),2400)</f>
        <v>2400</v>
      </c>
      <c r="AF77" s="215">
        <f ca="1">IFERROR(__xludf.DUMMYFUNCTION("IMPORTRANGE(""https://docs.google.com/spreadsheets/d/1AGHcLOeeYFL3K4b9R1dSzyJy00PE_ra89DNTVfnxSWM/edit?usp=sharing"",""รวมที่ทำกิน!AB70"")"),242)</f>
        <v>242</v>
      </c>
      <c r="AG77" s="215">
        <f ca="1">IFERROR(__xludf.DUMMYFUNCTION("IMPORTRANGE(""https://docs.google.com/spreadsheets/d/1AGHcLOeeYFL3K4b9R1dSzyJy00PE_ra89DNTVfnxSWM/edit?usp=sharing"",""รวมที่ทำกิน!AD70"")"),3542.92)</f>
        <v>3542.92</v>
      </c>
      <c r="AH77" s="214">
        <f t="shared" ca="1" si="101"/>
        <v>147.62166666666667</v>
      </c>
      <c r="AI77" s="215">
        <f ca="1">IFERROR(__xludf.DUMMYFUNCTION("IMPORTRANGE(""https://docs.google.com/spreadsheets/d/1AGHcLOeeYFL3K4b9R1dSzyJy00PE_ra89DNTVfnxSWM/edit?usp=sharing"",""รวมที่ทำกิน!AE70"")"),200)</f>
        <v>200</v>
      </c>
      <c r="AJ77" s="215">
        <f ca="1">IFERROR(__xludf.DUMMYFUNCTION("IMPORTRANGE(""https://docs.google.com/spreadsheets/d/1AGHcLOeeYFL3K4b9R1dSzyJy00PE_ra89DNTVfnxSWM/edit?usp=sharing"",""รวมที่ทำกิน!AF70"")"),96)</f>
        <v>96</v>
      </c>
      <c r="AK77" s="215">
        <f ca="1">IFERROR(__xludf.DUMMYFUNCTION("IMPORTRANGE(""https://docs.google.com/spreadsheets/d/1AGHcLOeeYFL3K4b9R1dSzyJy00PE_ra89DNTVfnxSWM/edit?usp=sharing"",""รวมที่ทำกิน!AH70"")"),1539.91)</f>
        <v>1539.91</v>
      </c>
      <c r="AL77" s="216">
        <f t="shared" ca="1" si="103"/>
        <v>48</v>
      </c>
      <c r="AM77" s="215">
        <f ca="1">IFERROR(__xludf.DUMMYFUNCTION("IMPORTRANGE(""https://docs.google.com/spreadsheets/d/1AGHcLOeeYFL3K4b9R1dSzyJy00PE_ra89DNTVfnxSWM/edit?usp=sharing"",""รวมที่ทำกิน!AI70"")"),0)</f>
        <v>0</v>
      </c>
      <c r="AN77" s="215">
        <f ca="1">IFERROR(__xludf.DUMMYFUNCTION("IMPORTRANGE(""https://docs.google.com/spreadsheets/d/1AGHcLOeeYFL3K4b9R1dSzyJy00PE_ra89DNTVfnxSWM/edit?usp=sharing"",""รวมที่ทำกิน!AK70"")"),0)</f>
        <v>0</v>
      </c>
      <c r="AO77" s="216">
        <f t="shared" ca="1" si="22"/>
        <v>0</v>
      </c>
      <c r="AP77" s="215">
        <f ca="1">IFERROR(__xludf.DUMMYFUNCTION("IMPORTRANGE(""https://docs.google.com/spreadsheets/d/1AGHcLOeeYFL3K4b9R1dSzyJy00PE_ra89DNTVfnxSWM/edit?usp=sharing"",""รวมที่ทำกิน!AL70"")"),20)</f>
        <v>20</v>
      </c>
      <c r="AQ77" s="215">
        <f ca="1">IFERROR(__xludf.DUMMYFUNCTION("IMPORTRANGE(""https://docs.google.com/spreadsheets/d/1AGHcLOeeYFL3K4b9R1dSzyJy00PE_ra89DNTVfnxSWM/edit?usp=sharing"",""รวมที่ทำกิน!AN70"")"),483.76)</f>
        <v>483.76</v>
      </c>
      <c r="AR77" s="216">
        <f t="shared" ca="1" si="24"/>
        <v>10</v>
      </c>
      <c r="AS77" s="215">
        <f ca="1">IFERROR(__xludf.DUMMYFUNCTION("IMPORTRANGE(""https://docs.google.com/spreadsheets/d/1AGHcLOeeYFL3K4b9R1dSzyJy00PE_ra89DNTVfnxSWM/edit?usp=sharing"",""รวมที่ทำกิน!AO70"")"),800)</f>
        <v>800</v>
      </c>
      <c r="AT77" s="215">
        <f ca="1">IFERROR(__xludf.DUMMYFUNCTION("IMPORTRANGE(""https://docs.google.com/spreadsheets/d/1AGHcLOeeYFL3K4b9R1dSzyJy00PE_ra89DNTVfnxSWM/edit?usp=sharing"",""รวมที่ทำกิน!AP70"")"),28)</f>
        <v>28</v>
      </c>
      <c r="AU77" s="215">
        <f ca="1">IFERROR(__xludf.DUMMYFUNCTION("IMPORTRANGE(""https://docs.google.com/spreadsheets/d/1AGHcLOeeYFL3K4b9R1dSzyJy00PE_ra89DNTVfnxSWM/edit?usp=sharing"",""รวมที่ทำกิน!AR70"")"),306.22)</f>
        <v>306.22000000000003</v>
      </c>
      <c r="AV77" s="216">
        <f t="shared" ca="1" si="107"/>
        <v>38.277500000000003</v>
      </c>
      <c r="AW77" s="215">
        <f ca="1">IFERROR(__xludf.DUMMYFUNCTION("IMPORTRANGE(""https://docs.google.com/spreadsheets/d/1AGHcLOeeYFL3K4b9R1dSzyJy00PE_ra89DNTVfnxSWM/edit?usp=sharing"",""รวมที่ทำกิน!AS70"")"),80)</f>
        <v>80</v>
      </c>
      <c r="AX77" s="215">
        <f ca="1">IFERROR(__xludf.DUMMYFUNCTION("IMPORTRANGE(""https://docs.google.com/spreadsheets/d/1AGHcLOeeYFL3K4b9R1dSzyJy00PE_ra89DNTVfnxSWM/edit?usp=sharing"",""รวมที่ทำกิน!AT70"")"),45)</f>
        <v>45</v>
      </c>
      <c r="AY77" s="215">
        <f ca="1">IFERROR(__xludf.DUMMYFUNCTION("IMPORTRANGE(""https://docs.google.com/spreadsheets/d/1AGHcLOeeYFL3K4b9R1dSzyJy00PE_ra89DNTVfnxSWM/edit?usp=sharing"",""รวมที่ทำกิน!AV70"")"),630.34)</f>
        <v>630.34</v>
      </c>
      <c r="AZ77" s="216">
        <f t="shared" ca="1" si="109"/>
        <v>56.25</v>
      </c>
      <c r="BA77" s="215">
        <f ca="1">IFERROR(__xludf.DUMMYFUNCTION("IMPORTRANGE(""https://docs.google.com/spreadsheets/d/1AGHcLOeeYFL3K4b9R1dSzyJy00PE_ra89DNTVfnxSWM/edit?usp=sharing"",""รวมที่ทำกิน!AW70"")"),0)</f>
        <v>0</v>
      </c>
      <c r="BB77" s="215">
        <f ca="1">IFERROR(__xludf.DUMMYFUNCTION("IMPORTRANGE(""https://docs.google.com/spreadsheets/d/1AGHcLOeeYFL3K4b9R1dSzyJy00PE_ra89DNTVfnxSWM/edit?usp=sharing"",""รวมที่ทำกิน!AY70"")"),0)</f>
        <v>0</v>
      </c>
      <c r="BC77" s="216">
        <f t="shared" ca="1" si="30"/>
        <v>0</v>
      </c>
      <c r="BD77" s="215">
        <f ca="1">IFERROR(__xludf.DUMMYFUNCTION("IMPORTRANGE(""https://docs.google.com/spreadsheets/d/1AGHcLOeeYFL3K4b9R1dSzyJy00PE_ra89DNTVfnxSWM/edit?usp=sharing"",""รวมที่ทำกิน!AZ70"")"),23)</f>
        <v>23</v>
      </c>
      <c r="BE77" s="215">
        <f ca="1">IFERROR(__xludf.DUMMYFUNCTION("IMPORTRANGE(""https://docs.google.com/spreadsheets/d/1AGHcLOeeYFL3K4b9R1dSzyJy00PE_ra89DNTVfnxSWM/edit?usp=sharing"",""รวมที่ทำกิน!BB70"")"),324.95)</f>
        <v>324.95</v>
      </c>
      <c r="BF77" s="217">
        <f t="shared" ca="1" si="32"/>
        <v>28.75</v>
      </c>
    </row>
    <row r="78" spans="1:58" ht="21" customHeight="1">
      <c r="A78" s="73">
        <v>2</v>
      </c>
      <c r="B78" s="74" t="s">
        <v>102</v>
      </c>
      <c r="C78" s="75">
        <f t="shared" ca="1" si="0"/>
        <v>624360</v>
      </c>
      <c r="D78" s="76">
        <f t="shared" ca="1" si="157"/>
        <v>624360</v>
      </c>
      <c r="E78" s="77">
        <f ca="1">IFERROR(__xludf.DUMMYFUNCTION("IMPORTRANGE(""https://docs.google.com/spreadsheets/d/1C3CXT74ZlgGe6_JY_1olB1XN4rF0dxEuIIF-xsYjHgg/edit?usp=sharing"",""พรบ!BX82"")"),194400)</f>
        <v>194400</v>
      </c>
      <c r="F78" s="77">
        <f ca="1">IFERROR(__xludf.DUMMYFUNCTION("IMPORTRANGE(""https://docs.google.com/spreadsheets/d/1C3CXT74ZlgGe6_JY_1olB1XN4rF0dxEuIIF-xsYjHgg/edit?usp=sharing"",""พรบ!BY82"")"),429960)</f>
        <v>429960</v>
      </c>
      <c r="G78" s="77">
        <f ca="1">IFERROR(__xludf.DUMMYFUNCTION("IMPORTRANGE(""https://docs.google.com/spreadsheets/d/1Yj_ptqi66GCucihVvJfMjLAmec39IyEx_6qawtMGysU/edit?usp=sharing"",""สบก!DJ82"")"),0)</f>
        <v>0</v>
      </c>
      <c r="H78" s="77">
        <f ca="1">IFERROR(__xludf.DUMMYFUNCTION("IMPORTRANGE(""https://docs.google.com/spreadsheets/d/1Yj_ptqi66GCucihVvJfMjLAmec39IyEx_6qawtMGysU/edit?usp=shDLing"",""สบก!DL82"")"),437720)</f>
        <v>437720</v>
      </c>
      <c r="I78" s="77">
        <f t="shared" ca="1" si="3"/>
        <v>238221</v>
      </c>
      <c r="J78" s="77">
        <f t="shared" ca="1" si="4"/>
        <v>38.154430136459737</v>
      </c>
      <c r="K78" s="77">
        <f ca="1">IFERROR(__xludf.DUMMYFUNCTION("IMPORTRANGE(""https://docs.google.com/spreadsheets/d/1Yj_ptqi66GCucihVvJfMjLAmec39IyEx_6qawtMGysU/edit?usp=sharing"",""สบก!DM82"")"),238221)</f>
        <v>238221</v>
      </c>
      <c r="L78" s="137">
        <f t="shared" ca="1" si="5"/>
        <v>38.154430136459737</v>
      </c>
      <c r="M78" s="137">
        <f t="shared" ca="1" si="6"/>
        <v>54.423147217399247</v>
      </c>
      <c r="N78" s="137">
        <f ca="1">IFERROR(__xludf.DUMMYFUNCTION("IMPORTRANGE(""https://docs.google.com/spreadsheets/d/1Yj_ptqi66GCucihVvJfMjLAmec39IyEx_6qawtMGysU/edit?usp=sharing"",""สบก!DN82"")"),0)</f>
        <v>0</v>
      </c>
      <c r="O78" s="137">
        <f t="shared" ca="1" si="7"/>
        <v>0</v>
      </c>
      <c r="P78" s="77">
        <f ca="1">IFERROR(__xludf.DUMMYFUNCTION("IMPORTRANGE(""https://docs.google.com/spreadsheets/d/1C3CXT74ZlgGe6_JY_1olB1XN4rF0dxEuIIF-xsYjHgg/edit?usp=sharing"",""พรบ!CA82"")"),240)</f>
        <v>240</v>
      </c>
      <c r="Q78" s="77">
        <f ca="1">IFERROR(__xludf.DUMMYFUNCTION("IMPORTRANGE(""https://docs.google.com/spreadsheets/d/1C3CXT74ZlgGe6_JY_1olB1XN4rF0dxEuIIF-xsYjHgg/edit?usp=sharing"",""พรบ!BZ82"")"),2510)</f>
        <v>2510</v>
      </c>
      <c r="R78" s="218">
        <f t="shared" ca="1" si="95"/>
        <v>144</v>
      </c>
      <c r="S78" s="77">
        <f ca="1">IFERROR(__xludf.DUMMYFUNCTION("IMPORTRANGE(""https://docs.google.com/spreadsheets/d/1IYY_tgx_IHuhSq3AJ5eI5OnqOPBNLWSHKh2a30DoXe8/edit?usp=sharing"",""ชุมพร!J234"")"),106)</f>
        <v>106</v>
      </c>
      <c r="T78" s="77">
        <f ca="1">IFERROR(__xludf.DUMMYFUNCTION("IMPORTRANGE(""https://docs.google.com/spreadsheets/d/1IYY_tgx_IHuhSq3AJ5eI5OnqOPBNLWSHKh2a30DoXe8/edit?usp=sharing"",""ชุมพร!J235"")"),1181.58)</f>
        <v>1181.58</v>
      </c>
      <c r="U78" s="137">
        <f t="shared" ca="1" si="10"/>
        <v>47.074900398406378</v>
      </c>
      <c r="V78" s="77">
        <f ca="1">IFERROR(__xludf.DUMMYFUNCTION("IMPORTRANGE(""https://docs.google.com/spreadsheets/d/1IYY_tgx_IHuhSq3AJ5eI5OnqOPBNLWSHKh2a30DoXe8/edit?usp=sharing"",""ชุมพร!J236"")"),121)</f>
        <v>121</v>
      </c>
      <c r="W78" s="77">
        <f ca="1">IFERROR(__xludf.DUMMYFUNCTION("IMPORTRANGE(""https://docs.google.com/spreadsheets/d/1IYY_tgx_IHuhSq3AJ5eI5OnqOPBNLWSHKh2a30DoXe8/edit?usp=sharing"",""ชุมพร!J237"")"),1416.08)</f>
        <v>1416.08</v>
      </c>
      <c r="X78" s="137">
        <f t="shared" ca="1" si="12"/>
        <v>50.416666666666664</v>
      </c>
      <c r="Y78" s="77">
        <f ca="1">IFERROR(__xludf.DUMMYFUNCTION("IMPORTRANGE(""https://docs.google.com/spreadsheets/d/1IYY_tgx_IHuhSq3AJ5eI5OnqOPBNLWSHKh2a30DoXe8/edit?usp=sharing"",""ชุมพร!J238"")"),0)</f>
        <v>0</v>
      </c>
      <c r="Z78" s="77">
        <f ca="1">IFERROR(__xludf.DUMMYFUNCTION("IMPORTRANGE(""https://docs.google.com/spreadsheets/d/1IYY_tgx_IHuhSq3AJ5eI5OnqOPBNLWSHKh2a30DoXe8/edit?usp=sharing"",""ชุมพร!J239"")"),0)</f>
        <v>0</v>
      </c>
      <c r="AA78" s="137">
        <f t="shared" ca="1" si="14"/>
        <v>0</v>
      </c>
      <c r="AB78" s="77">
        <f ca="1">IFERROR(__xludf.DUMMYFUNCTION("IMPORTRANGE(""https://docs.google.com/spreadsheets/d/1IYY_tgx_IHuhSq3AJ5eI5OnqOPBNLWSHKh2a30DoXe8/edit?usp=sharing"",""ชุมพร!J240"")"),144)</f>
        <v>144</v>
      </c>
      <c r="AC78" s="77">
        <f ca="1">IFERROR(__xludf.DUMMYFUNCTION("IMPORTRANGE(""https://docs.google.com/spreadsheets/d/1IYY_tgx_IHuhSq3AJ5eI5OnqOPBNLWSHKh2a30DoXe8/edit?usp=sharing"",""ชุมพร!J241"")"),1646.97)</f>
        <v>1646.97</v>
      </c>
      <c r="AD78" s="219">
        <f t="shared" ca="1" si="16"/>
        <v>60</v>
      </c>
      <c r="AE78" s="215">
        <f ca="1">IFERROR(__xludf.DUMMYFUNCTION("IMPORTRANGE(""https://docs.google.com/spreadsheets/d/1AGHcLOeeYFL3K4b9R1dSzyJy00PE_ra89DNTVfnxSWM/edit?usp=sharing"",""รวมที่ทำกิน!AA71"")"),960)</f>
        <v>960</v>
      </c>
      <c r="AF78" s="215">
        <f ca="1">IFERROR(__xludf.DUMMYFUNCTION("IMPORTRANGE(""https://docs.google.com/spreadsheets/d/1AGHcLOeeYFL3K4b9R1dSzyJy00PE_ra89DNTVfnxSWM/edit?usp=sharing"",""รวมที่ทำกิน!AB71"")"),66)</f>
        <v>66</v>
      </c>
      <c r="AG78" s="215">
        <f ca="1">IFERROR(__xludf.DUMMYFUNCTION("IMPORTRANGE(""https://docs.google.com/spreadsheets/d/1AGHcLOeeYFL3K4b9R1dSzyJy00PE_ra89DNTVfnxSWM/edit?usp=sharing"",""รวมที่ทำกิน!AD71"")"),804.1)</f>
        <v>804.1</v>
      </c>
      <c r="AH78" s="219">
        <f t="shared" ca="1" si="101"/>
        <v>83.760416666666671</v>
      </c>
      <c r="AI78" s="215">
        <f ca="1">IFERROR(__xludf.DUMMYFUNCTION("IMPORTRANGE(""https://docs.google.com/spreadsheets/d/1AGHcLOeeYFL3K4b9R1dSzyJy00PE_ra89DNTVfnxSWM/edit?usp=sharing"",""รวมที่ทำกิน!AE71"")"),80)</f>
        <v>80</v>
      </c>
      <c r="AJ78" s="215">
        <f ca="1">IFERROR(__xludf.DUMMYFUNCTION("IMPORTRANGE(""https://docs.google.com/spreadsheets/d/1AGHcLOeeYFL3K4b9R1dSzyJy00PE_ra89DNTVfnxSWM/edit?usp=sharing"",""รวมที่ทำกิน!AF71"")"),1)</f>
        <v>1</v>
      </c>
      <c r="AK78" s="215">
        <f ca="1">IFERROR(__xludf.DUMMYFUNCTION("IMPORTRANGE(""https://docs.google.com/spreadsheets/d/1AGHcLOeeYFL3K4b9R1dSzyJy00PE_ra89DNTVfnxSWM/edit?usp=sharing"",""รวมที่ทำกิน!AH71"")"),0.6)</f>
        <v>0.6</v>
      </c>
      <c r="AL78" s="220">
        <f t="shared" ca="1" si="103"/>
        <v>1.25</v>
      </c>
      <c r="AM78" s="215">
        <f ca="1">IFERROR(__xludf.DUMMYFUNCTION("IMPORTRANGE(""https://docs.google.com/spreadsheets/d/1AGHcLOeeYFL3K4b9R1dSzyJy00PE_ra89DNTVfnxSWM/edit?usp=sharing"",""รวมที่ทำกิน!AI71"")"),0)</f>
        <v>0</v>
      </c>
      <c r="AN78" s="215">
        <f ca="1">IFERROR(__xludf.DUMMYFUNCTION("IMPORTRANGE(""https://docs.google.com/spreadsheets/d/1AGHcLOeeYFL3K4b9R1dSzyJy00PE_ra89DNTVfnxSWM/edit?usp=sharing"",""รวมที่ทำกิน!AK71"")"),0)</f>
        <v>0</v>
      </c>
      <c r="AO78" s="220">
        <f t="shared" ca="1" si="22"/>
        <v>0</v>
      </c>
      <c r="AP78" s="215">
        <f ca="1">IFERROR(__xludf.DUMMYFUNCTION("IMPORTRANGE(""https://docs.google.com/spreadsheets/d/1AGHcLOeeYFL3K4b9R1dSzyJy00PE_ra89DNTVfnxSWM/edit?usp=sharing"",""รวมที่ทำกิน!AL71"")"),27)</f>
        <v>27</v>
      </c>
      <c r="AQ78" s="215">
        <f ca="1">IFERROR(__xludf.DUMMYFUNCTION("IMPORTRANGE(""https://docs.google.com/spreadsheets/d/1AGHcLOeeYFL3K4b9R1dSzyJy00PE_ra89DNTVfnxSWM/edit?usp=sharing"",""รวมที่ทำกิน!AN71"")"),294.84)</f>
        <v>294.83999999999997</v>
      </c>
      <c r="AR78" s="220">
        <f t="shared" ca="1" si="24"/>
        <v>33.75</v>
      </c>
      <c r="AS78" s="215">
        <f ca="1">IFERROR(__xludf.DUMMYFUNCTION("IMPORTRANGE(""https://docs.google.com/spreadsheets/d/1AGHcLOeeYFL3K4b9R1dSzyJy00PE_ra89DNTVfnxSWM/edit?usp=sharing"",""รวมที่ทำกิน!AO71"")"),1550)</f>
        <v>1550</v>
      </c>
      <c r="AT78" s="215">
        <f ca="1">IFERROR(__xludf.DUMMYFUNCTION("IMPORTRANGE(""https://docs.google.com/spreadsheets/d/1AGHcLOeeYFL3K4b9R1dSzyJy00PE_ra89DNTVfnxSWM/edit?usp=sharing"",""รวมที่ทำกิน!AP71"")"),40)</f>
        <v>40</v>
      </c>
      <c r="AU78" s="215">
        <f ca="1">IFERROR(__xludf.DUMMYFUNCTION("IMPORTRANGE(""https://docs.google.com/spreadsheets/d/1AGHcLOeeYFL3K4b9R1dSzyJy00PE_ra89DNTVfnxSWM/edit?usp=sharing"",""รวมที่ทำกิน!AR71"")"),377.48)</f>
        <v>377.48</v>
      </c>
      <c r="AV78" s="220">
        <f t="shared" ca="1" si="107"/>
        <v>24.353548387096776</v>
      </c>
      <c r="AW78" s="215">
        <f ca="1">IFERROR(__xludf.DUMMYFUNCTION("IMPORTRANGE(""https://docs.google.com/spreadsheets/d/1AGHcLOeeYFL3K4b9R1dSzyJy00PE_ra89DNTVfnxSWM/edit?usp=sharing"",""รวมที่ทำกิน!AS71"")"),160)</f>
        <v>160</v>
      </c>
      <c r="AX78" s="215">
        <f ca="1">IFERROR(__xludf.DUMMYFUNCTION("IMPORTRANGE(""https://docs.google.com/spreadsheets/d/1AGHcLOeeYFL3K4b9R1dSzyJy00PE_ra89DNTVfnxSWM/edit?usp=sharing"",""รวมที่ทำกิน!AT71"")"),120)</f>
        <v>120</v>
      </c>
      <c r="AY78" s="215">
        <f ca="1">IFERROR(__xludf.DUMMYFUNCTION("IMPORTRANGE(""https://docs.google.com/spreadsheets/d/1AGHcLOeeYFL3K4b9R1dSzyJy00PE_ra89DNTVfnxSWM/edit?usp=sharing"",""รวมที่ทำกิน!AV71"")"),1415.48)</f>
        <v>1415.48</v>
      </c>
      <c r="AZ78" s="220">
        <f t="shared" ca="1" si="109"/>
        <v>75</v>
      </c>
      <c r="BA78" s="215">
        <f ca="1">IFERROR(__xludf.DUMMYFUNCTION("IMPORTRANGE(""https://docs.google.com/spreadsheets/d/1AGHcLOeeYFL3K4b9R1dSzyJy00PE_ra89DNTVfnxSWM/edit?usp=sharing"",""รวมที่ทำกิน!AW71"")"),0)</f>
        <v>0</v>
      </c>
      <c r="BB78" s="215">
        <f ca="1">IFERROR(__xludf.DUMMYFUNCTION("IMPORTRANGE(""https://docs.google.com/spreadsheets/d/1AGHcLOeeYFL3K4b9R1dSzyJy00PE_ra89DNTVfnxSWM/edit?usp=sharing"",""รวมที่ทำกิน!AY71"")"),0)</f>
        <v>0</v>
      </c>
      <c r="BC78" s="220">
        <f t="shared" ca="1" si="30"/>
        <v>0</v>
      </c>
      <c r="BD78" s="215">
        <f ca="1">IFERROR(__xludf.DUMMYFUNCTION("IMPORTRANGE(""https://docs.google.com/spreadsheets/d/1AGHcLOeeYFL3K4b9R1dSzyJy00PE_ra89DNTVfnxSWM/edit?usp=sharing"",""รวมที่ทำกิน!AZ71"")"),117)</f>
        <v>117</v>
      </c>
      <c r="BE78" s="215">
        <f ca="1">IFERROR(__xludf.DUMMYFUNCTION("IMPORTRANGE(""https://docs.google.com/spreadsheets/d/1AGHcLOeeYFL3K4b9R1dSzyJy00PE_ra89DNTVfnxSWM/edit?usp=sharing"",""รวมที่ทำกิน!BB71"")"),1352.13)</f>
        <v>1352.13</v>
      </c>
      <c r="BF78" s="221">
        <f t="shared" ca="1" si="32"/>
        <v>73.125</v>
      </c>
    </row>
    <row r="79" spans="1:58" ht="21" customHeight="1">
      <c r="A79" s="73">
        <v>3</v>
      </c>
      <c r="B79" s="74" t="s">
        <v>103</v>
      </c>
      <c r="C79" s="75">
        <f t="shared" ca="1" si="0"/>
        <v>890750</v>
      </c>
      <c r="D79" s="76">
        <f t="shared" ca="1" si="157"/>
        <v>739550</v>
      </c>
      <c r="E79" s="77">
        <f ca="1">IFERROR(__xludf.DUMMYFUNCTION("IMPORTRANGE(""https://docs.google.com/spreadsheets/d/1C3CXT74ZlgGe6_JY_1olB1XN4rF0dxEuIIF-xsYjHgg/edit?usp=sharing"",""พรบ!BX83"")"),388800)</f>
        <v>388800</v>
      </c>
      <c r="F79" s="77">
        <f ca="1">IFERROR(__xludf.DUMMYFUNCTION("IMPORTRANGE(""https://docs.google.com/spreadsheets/d/1C3CXT74ZlgGe6_JY_1olB1XN4rF0dxEuIIF-xsYjHgg/edit?usp=sharing"",""พรบ!BY83"")"),350750)</f>
        <v>350750</v>
      </c>
      <c r="G79" s="77">
        <f ca="1">IFERROR(__xludf.DUMMYFUNCTION("IMPORTRANGE(""https://docs.google.com/spreadsheets/d/1Yj_ptqi66GCucihVvJfMjLAmec39IyEx_6qawtMGysU/edit?usp=sharing"",""สบก!DJ83"")"),151200)</f>
        <v>151200</v>
      </c>
      <c r="H79" s="77">
        <f ca="1">IFERROR(__xludf.DUMMYFUNCTION("IMPORTRANGE(""https://docs.google.com/spreadsheets/d/1Yj_ptqi66GCucihVvJfMjLAmec39IyEx_6qawtMGysU/edit?usp=shDLing"",""สบก!DL83"")"),535000)</f>
        <v>535000</v>
      </c>
      <c r="I79" s="77">
        <f t="shared" ca="1" si="3"/>
        <v>514414.22</v>
      </c>
      <c r="J79" s="77">
        <f t="shared" ca="1" si="4"/>
        <v>57.750684254841424</v>
      </c>
      <c r="K79" s="77">
        <f ca="1">IFERROR(__xludf.DUMMYFUNCTION("IMPORTRANGE(""https://docs.google.com/spreadsheets/d/1Yj_ptqi66GCucihVvJfMjLAmec39IyEx_6qawtMGysU/edit?usp=sharing"",""สบก!DM83"")"),363214.22)</f>
        <v>363214.22</v>
      </c>
      <c r="L79" s="137">
        <f t="shared" ca="1" si="5"/>
        <v>49.112868636332905</v>
      </c>
      <c r="M79" s="137">
        <f t="shared" ca="1" si="6"/>
        <v>67.890508411214952</v>
      </c>
      <c r="N79" s="137">
        <f ca="1">IFERROR(__xludf.DUMMYFUNCTION("IMPORTRANGE(""https://docs.google.com/spreadsheets/d/1Yj_ptqi66GCucihVvJfMjLAmec39IyEx_6qawtMGysU/edit?usp=sharing"",""สบก!DN83"")"),151200)</f>
        <v>151200</v>
      </c>
      <c r="O79" s="137">
        <f t="shared" ca="1" si="7"/>
        <v>100</v>
      </c>
      <c r="P79" s="77">
        <f ca="1">IFERROR(__xludf.DUMMYFUNCTION("IMPORTRANGE(""https://docs.google.com/spreadsheets/d/1C3CXT74ZlgGe6_JY_1olB1XN4rF0dxEuIIF-xsYjHgg/edit?usp=sharing"",""พรบ!CA83"")"),163)</f>
        <v>163</v>
      </c>
      <c r="Q79" s="77">
        <f ca="1">IFERROR(__xludf.DUMMYFUNCTION("IMPORTRANGE(""https://docs.google.com/spreadsheets/d/1C3CXT74ZlgGe6_JY_1olB1XN4rF0dxEuIIF-xsYjHgg/edit?usp=sharing"",""พรบ!BZ83"")"),1840)</f>
        <v>1840</v>
      </c>
      <c r="R79" s="218">
        <f t="shared" ca="1" si="95"/>
        <v>97.8</v>
      </c>
      <c r="S79" s="77">
        <f ca="1">IFERROR(__xludf.DUMMYFUNCTION("IMPORTRANGE(""https://docs.google.com/spreadsheets/d/1IYY_tgx_IHuhSq3AJ5eI5OnqOPBNLWSHKh2a30DoXe8/edit?usp=sharing"",""ตรัง!J234"")"),194)</f>
        <v>194</v>
      </c>
      <c r="T79" s="77">
        <f ca="1">IFERROR(__xludf.DUMMYFUNCTION("IMPORTRANGE(""https://docs.google.com/spreadsheets/d/1IYY_tgx_IHuhSq3AJ5eI5OnqOPBNLWSHKh2a30DoXe8/edit?usp=sharing"",""ตรัง!J235"")"),1043.61)</f>
        <v>1043.6099999999999</v>
      </c>
      <c r="U79" s="137">
        <f t="shared" ca="1" si="10"/>
        <v>56.717934782608687</v>
      </c>
      <c r="V79" s="77">
        <f ca="1">IFERROR(__xludf.DUMMYFUNCTION("IMPORTRANGE(""https://docs.google.com/spreadsheets/d/1IYY_tgx_IHuhSq3AJ5eI5OnqOPBNLWSHKh2a30DoXe8/edit?usp=sharing"",""ตรัง!J236"")"),270)</f>
        <v>270</v>
      </c>
      <c r="W79" s="77">
        <f ca="1">IFERROR(__xludf.DUMMYFUNCTION("IMPORTRANGE(""https://docs.google.com/spreadsheets/d/1IYY_tgx_IHuhSq3AJ5eI5OnqOPBNLWSHKh2a30DoXe8/edit?usp=sharing"",""ตรัง!J237"")"),2610.38)</f>
        <v>2610.38</v>
      </c>
      <c r="X79" s="137">
        <f t="shared" ca="1" si="12"/>
        <v>165.64417177914112</v>
      </c>
      <c r="Y79" s="77">
        <f ca="1">IFERROR(__xludf.DUMMYFUNCTION("IMPORTRANGE(""https://docs.google.com/spreadsheets/d/1IYY_tgx_IHuhSq3AJ5eI5OnqOPBNLWSHKh2a30DoXe8/edit?usp=sharing"",""ตรัง!J238"")"),0)</f>
        <v>0</v>
      </c>
      <c r="Z79" s="77">
        <f ca="1">IFERROR(__xludf.DUMMYFUNCTION("IMPORTRANGE(""https://docs.google.com/spreadsheets/d/1IYY_tgx_IHuhSq3AJ5eI5OnqOPBNLWSHKh2a30DoXe8/edit?usp=sharing"",""ตรัง!J239"")"),0)</f>
        <v>0</v>
      </c>
      <c r="AA79" s="137">
        <f t="shared" ca="1" si="14"/>
        <v>0</v>
      </c>
      <c r="AB79" s="77">
        <f ca="1">IFERROR(__xludf.DUMMYFUNCTION("IMPORTRANGE(""https://docs.google.com/spreadsheets/d/1IYY_tgx_IHuhSq3AJ5eI5OnqOPBNLWSHKh2a30DoXe8/edit?usp=sharing"",""ตรัง!J240"")"),170)</f>
        <v>170</v>
      </c>
      <c r="AC79" s="77">
        <f ca="1">IFERROR(__xludf.DUMMYFUNCTION("IMPORTRANGE(""https://docs.google.com/spreadsheets/d/1IYY_tgx_IHuhSq3AJ5eI5OnqOPBNLWSHKh2a30DoXe8/edit?usp=sharing"",""ตรัง!J241"")"),1792.56)</f>
        <v>1792.56</v>
      </c>
      <c r="AD79" s="219">
        <f t="shared" ca="1" si="16"/>
        <v>104.29447852760737</v>
      </c>
      <c r="AE79" s="215">
        <f ca="1">IFERROR(__xludf.DUMMYFUNCTION("IMPORTRANGE(""https://docs.google.com/spreadsheets/d/1AGHcLOeeYFL3K4b9R1dSzyJy00PE_ra89DNTVfnxSWM/edit?usp=sharing"",""รวมที่ทำกิน!AA72"")"),940)</f>
        <v>940</v>
      </c>
      <c r="AF79" s="215">
        <f ca="1">IFERROR(__xludf.DUMMYFUNCTION("IMPORTRANGE(""https://docs.google.com/spreadsheets/d/1AGHcLOeeYFL3K4b9R1dSzyJy00PE_ra89DNTVfnxSWM/edit?usp=sharing"",""รวมที่ทำกิน!AB72"")"),103)</f>
        <v>103</v>
      </c>
      <c r="AG79" s="215">
        <f ca="1">IFERROR(__xludf.DUMMYFUNCTION("IMPORTRANGE(""https://docs.google.com/spreadsheets/d/1AGHcLOeeYFL3K4b9R1dSzyJy00PE_ra89DNTVfnxSWM/edit?usp=sharing"",""รวมที่ทำกิน!AD72"")"),514.01)</f>
        <v>514.01</v>
      </c>
      <c r="AH79" s="219">
        <f t="shared" ca="1" si="101"/>
        <v>54.681914893617019</v>
      </c>
      <c r="AI79" s="215">
        <f ca="1">IFERROR(__xludf.DUMMYFUNCTION("IMPORTRANGE(""https://docs.google.com/spreadsheets/d/1AGHcLOeeYFL3K4b9R1dSzyJy00PE_ra89DNTVfnxSWM/edit?usp=sharing"",""รวมที่ทำกิน!AE72"")"),88)</f>
        <v>88</v>
      </c>
      <c r="AJ79" s="215">
        <f ca="1">IFERROR(__xludf.DUMMYFUNCTION("IMPORTRANGE(""https://docs.google.com/spreadsheets/d/1AGHcLOeeYFL3K4b9R1dSzyJy00PE_ra89DNTVfnxSWM/edit?usp=sharing"",""รวมที่ทำกิน!AF72"")"),93)</f>
        <v>93</v>
      </c>
      <c r="AK79" s="215">
        <f ca="1">IFERROR(__xludf.DUMMYFUNCTION("IMPORTRANGE(""https://docs.google.com/spreadsheets/d/1AGHcLOeeYFL3K4b9R1dSzyJy00PE_ra89DNTVfnxSWM/edit?usp=sharing"",""รวมที่ทำกิน!AH72"")"),756.71)</f>
        <v>756.71</v>
      </c>
      <c r="AL79" s="220">
        <f t="shared" ca="1" si="103"/>
        <v>105.68181818181819</v>
      </c>
      <c r="AM79" s="215">
        <f ca="1">IFERROR(__xludf.DUMMYFUNCTION("IMPORTRANGE(""https://docs.google.com/spreadsheets/d/1AGHcLOeeYFL3K4b9R1dSzyJy00PE_ra89DNTVfnxSWM/edit?usp=sharing"",""รวมที่ทำกิน!AI72"")"),0)</f>
        <v>0</v>
      </c>
      <c r="AN79" s="215">
        <f ca="1">IFERROR(__xludf.DUMMYFUNCTION("IMPORTRANGE(""https://docs.google.com/spreadsheets/d/1AGHcLOeeYFL3K4b9R1dSzyJy00PE_ra89DNTVfnxSWM/edit?usp=sharing"",""รวมที่ทำกิน!AK72"")"),0)</f>
        <v>0</v>
      </c>
      <c r="AO79" s="220">
        <f t="shared" ca="1" si="22"/>
        <v>0</v>
      </c>
      <c r="AP79" s="215">
        <f ca="1">IFERROR(__xludf.DUMMYFUNCTION("IMPORTRANGE(""https://docs.google.com/spreadsheets/d/1AGHcLOeeYFL3K4b9R1dSzyJy00PE_ra89DNTVfnxSWM/edit?usp=sharing"",""รวมที่ทำกิน!AL72"")"),0)</f>
        <v>0</v>
      </c>
      <c r="AQ79" s="215">
        <f ca="1">IFERROR(__xludf.DUMMYFUNCTION("IMPORTRANGE(""https://docs.google.com/spreadsheets/d/1AGHcLOeeYFL3K4b9R1dSzyJy00PE_ra89DNTVfnxSWM/edit?usp=sharing"",""รวมที่ทำกิน!AN72"")"),0)</f>
        <v>0</v>
      </c>
      <c r="AR79" s="220">
        <f t="shared" ca="1" si="24"/>
        <v>0</v>
      </c>
      <c r="AS79" s="215">
        <f ca="1">IFERROR(__xludf.DUMMYFUNCTION("IMPORTRANGE(""https://docs.google.com/spreadsheets/d/1AGHcLOeeYFL3K4b9R1dSzyJy00PE_ra89DNTVfnxSWM/edit?usp=sharing"",""รวมที่ทำกิน!AO72"")"),900)</f>
        <v>900</v>
      </c>
      <c r="AT79" s="215">
        <f ca="1">IFERROR(__xludf.DUMMYFUNCTION("IMPORTRANGE(""https://docs.google.com/spreadsheets/d/1AGHcLOeeYFL3K4b9R1dSzyJy00PE_ra89DNTVfnxSWM/edit?usp=sharing"",""รวมที่ทำกิน!AP72"")"),91)</f>
        <v>91</v>
      </c>
      <c r="AU79" s="215">
        <f ca="1">IFERROR(__xludf.DUMMYFUNCTION("IMPORTRANGE(""https://docs.google.com/spreadsheets/d/1AGHcLOeeYFL3K4b9R1dSzyJy00PE_ra89DNTVfnxSWM/edit?usp=sharing"",""รวมที่ทำกิน!AR72"")"),529.6)</f>
        <v>529.6</v>
      </c>
      <c r="AV79" s="220">
        <f t="shared" ca="1" si="107"/>
        <v>58.844444444444441</v>
      </c>
      <c r="AW79" s="215">
        <f ca="1">IFERROR(__xludf.DUMMYFUNCTION("IMPORTRANGE(""https://docs.google.com/spreadsheets/d/1AGHcLOeeYFL3K4b9R1dSzyJy00PE_ra89DNTVfnxSWM/edit?usp=sharing"",""รวมที่ทำกิน!AS72"")"),75)</f>
        <v>75</v>
      </c>
      <c r="AX79" s="215">
        <f ca="1">IFERROR(__xludf.DUMMYFUNCTION("IMPORTRANGE(""https://docs.google.com/spreadsheets/d/1AGHcLOeeYFL3K4b9R1dSzyJy00PE_ra89DNTVfnxSWM/edit?usp=sharing"",""รวมที่ทำกิน!AT72"")"),177)</f>
        <v>177</v>
      </c>
      <c r="AY79" s="215">
        <f ca="1">IFERROR(__xludf.DUMMYFUNCTION("IMPORTRANGE(""https://docs.google.com/spreadsheets/d/1AGHcLOeeYFL3K4b9R1dSzyJy00PE_ra89DNTVfnxSWM/edit?usp=sharing"",""รวมที่ทำกิน!AV72"")"),1853.67)</f>
        <v>1853.67</v>
      </c>
      <c r="AZ79" s="220">
        <f t="shared" ca="1" si="109"/>
        <v>236</v>
      </c>
      <c r="BA79" s="215">
        <f ca="1">IFERROR(__xludf.DUMMYFUNCTION("IMPORTRANGE(""https://docs.google.com/spreadsheets/d/1AGHcLOeeYFL3K4b9R1dSzyJy00PE_ra89DNTVfnxSWM/edit?usp=sharing"",""รวมที่ทำกิน!AW72"")"),0)</f>
        <v>0</v>
      </c>
      <c r="BB79" s="215">
        <f ca="1">IFERROR(__xludf.DUMMYFUNCTION("IMPORTRANGE(""https://docs.google.com/spreadsheets/d/1AGHcLOeeYFL3K4b9R1dSzyJy00PE_ra89DNTVfnxSWM/edit?usp=sharing"",""รวมที่ทำกิน!AY72"")"),0)</f>
        <v>0</v>
      </c>
      <c r="BC79" s="220">
        <f t="shared" ca="1" si="30"/>
        <v>0</v>
      </c>
      <c r="BD79" s="215">
        <f ca="1">IFERROR(__xludf.DUMMYFUNCTION("IMPORTRANGE(""https://docs.google.com/spreadsheets/d/1AGHcLOeeYFL3K4b9R1dSzyJy00PE_ra89DNTVfnxSWM/edit?usp=sharing"",""รวมที่ทำกิน!AZ72"")"),170)</f>
        <v>170</v>
      </c>
      <c r="BE79" s="215">
        <f ca="1">IFERROR(__xludf.DUMMYFUNCTION("IMPORTRANGE(""https://docs.google.com/spreadsheets/d/1AGHcLOeeYFL3K4b9R1dSzyJy00PE_ra89DNTVfnxSWM/edit?usp=sharing"",""รวมที่ทำกิน!BB72"")"),1792.56)</f>
        <v>1792.56</v>
      </c>
      <c r="BF79" s="221">
        <f t="shared" ca="1" si="32"/>
        <v>226.66666666666666</v>
      </c>
    </row>
    <row r="80" spans="1:58" ht="21" customHeight="1">
      <c r="A80" s="73">
        <v>4</v>
      </c>
      <c r="B80" s="74" t="s">
        <v>104</v>
      </c>
      <c r="C80" s="75">
        <f t="shared" ca="1" si="0"/>
        <v>680840</v>
      </c>
      <c r="D80" s="76">
        <f t="shared" ca="1" si="157"/>
        <v>667340</v>
      </c>
      <c r="E80" s="77">
        <f ca="1">IFERROR(__xludf.DUMMYFUNCTION("IMPORTRANGE(""https://docs.google.com/spreadsheets/d/1C3CXT74ZlgGe6_JY_1olB1XN4rF0dxEuIIF-xsYjHgg/edit?usp=sharing"",""พรบ!BX84"")"),194400)</f>
        <v>194400</v>
      </c>
      <c r="F80" s="77">
        <f ca="1">IFERROR(__xludf.DUMMYFUNCTION("IMPORTRANGE(""https://docs.google.com/spreadsheets/d/1C3CXT74ZlgGe6_JY_1olB1XN4rF0dxEuIIF-xsYjHgg/edit?usp=sharing"",""พรบ!BY84"")"),472940)</f>
        <v>472940</v>
      </c>
      <c r="G80" s="77">
        <f ca="1">IFERROR(__xludf.DUMMYFUNCTION("IMPORTRANGE(""https://docs.google.com/spreadsheets/d/1Yj_ptqi66GCucihVvJfMjLAmec39IyEx_6qawtMGysU/edit?usp=sharing"",""สบก!DJ84"")"),13500)</f>
        <v>13500</v>
      </c>
      <c r="H80" s="77">
        <f ca="1">IFERROR(__xludf.DUMMYFUNCTION("IMPORTRANGE(""https://docs.google.com/spreadsheets/d/1Yj_ptqi66GCucihVvJfMjLAmec39IyEx_6qawtMGysU/edit?usp=shDLing"",""สบก!DL84"")"),463560)</f>
        <v>463560</v>
      </c>
      <c r="I80" s="77">
        <f t="shared" ca="1" si="3"/>
        <v>396386.59</v>
      </c>
      <c r="J80" s="77">
        <f t="shared" ca="1" si="4"/>
        <v>58.220226484930379</v>
      </c>
      <c r="K80" s="77">
        <f ca="1">IFERROR(__xludf.DUMMYFUNCTION("IMPORTRANGE(""https://docs.google.com/spreadsheets/d/1Yj_ptqi66GCucihVvJfMjLAmec39IyEx_6qawtMGysU/edit?usp=sharing"",""สบก!DM84"")"),382886.59)</f>
        <v>382886.59</v>
      </c>
      <c r="L80" s="137">
        <f t="shared" ca="1" si="5"/>
        <v>57.375039709893009</v>
      </c>
      <c r="M80" s="137">
        <f t="shared" ca="1" si="6"/>
        <v>82.596986366381913</v>
      </c>
      <c r="N80" s="137">
        <f ca="1">IFERROR(__xludf.DUMMYFUNCTION("IMPORTRANGE(""https://docs.google.com/spreadsheets/d/1Yj_ptqi66GCucihVvJfMjLAmec39IyEx_6qawtMGysU/edit?usp=sharing"",""สบก!DN84"")"),13500)</f>
        <v>13500</v>
      </c>
      <c r="O80" s="137">
        <f t="shared" ca="1" si="7"/>
        <v>100</v>
      </c>
      <c r="P80" s="77">
        <f ca="1">IFERROR(__xludf.DUMMYFUNCTION("IMPORTRANGE(""https://docs.google.com/spreadsheets/d/1C3CXT74ZlgGe6_JY_1olB1XN4rF0dxEuIIF-xsYjHgg/edit?usp=sharing"",""พรบ!CA84"")"),310)</f>
        <v>310</v>
      </c>
      <c r="Q80" s="77">
        <f ca="1">IFERROR(__xludf.DUMMYFUNCTION("IMPORTRANGE(""https://docs.google.com/spreadsheets/d/1C3CXT74ZlgGe6_JY_1olB1XN4rF0dxEuIIF-xsYjHgg/edit?usp=sharing"",""พรบ!BZ84"")"),2720)</f>
        <v>2720</v>
      </c>
      <c r="R80" s="218">
        <f t="shared" ca="1" si="95"/>
        <v>186</v>
      </c>
      <c r="S80" s="77">
        <f ca="1">IFERROR(__xludf.DUMMYFUNCTION("IMPORTRANGE(""https://docs.google.com/spreadsheets/d/1IYY_tgx_IHuhSq3AJ5eI5OnqOPBNLWSHKh2a30DoXe8/edit?usp=sharing"",""นครศรีธรรมราช!J234"")"),151)</f>
        <v>151</v>
      </c>
      <c r="T80" s="77">
        <f ca="1">IFERROR(__xludf.DUMMYFUNCTION("IMPORTRANGE(""https://docs.google.com/spreadsheets/d/1IYY_tgx_IHuhSq3AJ5eI5OnqOPBNLWSHKh2a30DoXe8/edit?usp=sharing"",""นครศรีธรรมราช!J235"")"),1141.44)</f>
        <v>1141.44</v>
      </c>
      <c r="U80" s="137">
        <f t="shared" ca="1" si="10"/>
        <v>41.964705882352938</v>
      </c>
      <c r="V80" s="77">
        <f ca="1">IFERROR(__xludf.DUMMYFUNCTION("IMPORTRANGE(""https://docs.google.com/spreadsheets/d/1IYY_tgx_IHuhSq3AJ5eI5OnqOPBNLWSHKh2a30DoXe8/edit?usp=sharing"",""นครศรีธรรมราช!J236"")"),277)</f>
        <v>277</v>
      </c>
      <c r="W80" s="77">
        <f ca="1">IFERROR(__xludf.DUMMYFUNCTION("IMPORTRANGE(""https://docs.google.com/spreadsheets/d/1IYY_tgx_IHuhSq3AJ5eI5OnqOPBNLWSHKh2a30DoXe8/edit?usp=sharing"",""นครศรีธรรมราช!J237"")"),2377.88)</f>
        <v>2377.88</v>
      </c>
      <c r="X80" s="137">
        <f t="shared" ca="1" si="12"/>
        <v>89.354838709677423</v>
      </c>
      <c r="Y80" s="77">
        <f ca="1">IFERROR(__xludf.DUMMYFUNCTION("IMPORTRANGE(""https://docs.google.com/spreadsheets/d/1IYY_tgx_IHuhSq3AJ5eI5OnqOPBNLWSHKh2a30DoXe8/edit?usp=sharing"",""นครศรีธรรมราช!J238"")"),0)</f>
        <v>0</v>
      </c>
      <c r="Z80" s="77">
        <f ca="1">IFERROR(__xludf.DUMMYFUNCTION("IMPORTRANGE(""https://docs.google.com/spreadsheets/d/1IYY_tgx_IHuhSq3AJ5eI5OnqOPBNLWSHKh2a30DoXe8/edit?usp=sharing"",""นครศรีธรรมราช!J239"")"),0)</f>
        <v>0</v>
      </c>
      <c r="AA80" s="137">
        <f t="shared" ca="1" si="14"/>
        <v>0</v>
      </c>
      <c r="AB80" s="77">
        <f ca="1">IFERROR(__xludf.DUMMYFUNCTION("IMPORTRANGE(""https://docs.google.com/spreadsheets/d/1IYY_tgx_IHuhSq3AJ5eI5OnqOPBNLWSHKh2a30DoXe8/edit?usp=sharing"",""นครศรีธรรมราช!J240"")"),111)</f>
        <v>111</v>
      </c>
      <c r="AC80" s="77">
        <f ca="1">IFERROR(__xludf.DUMMYFUNCTION("IMPORTRANGE(""https://docs.google.com/spreadsheets/d/1IYY_tgx_IHuhSq3AJ5eI5OnqOPBNLWSHKh2a30DoXe8/edit?usp=sharing"",""นครศรีธรรมราช!J241"")"),1106.2)</f>
        <v>1106.2</v>
      </c>
      <c r="AD80" s="219">
        <f t="shared" ca="1" si="16"/>
        <v>35.806451612903224</v>
      </c>
      <c r="AE80" s="215">
        <f ca="1">IFERROR(__xludf.DUMMYFUNCTION("IMPORTRANGE(""https://docs.google.com/spreadsheets/d/1AGHcLOeeYFL3K4b9R1dSzyJy00PE_ra89DNTVfnxSWM/edit?usp=sharing"",""รวมที่ทำกิน!AA73"")"),2040)</f>
        <v>2040</v>
      </c>
      <c r="AF80" s="215">
        <f ca="1">IFERROR(__xludf.DUMMYFUNCTION("IMPORTRANGE(""https://docs.google.com/spreadsheets/d/1AGHcLOeeYFL3K4b9R1dSzyJy00PE_ra89DNTVfnxSWM/edit?usp=sharing"",""รวมที่ทำกิน!AB73"")"),36)</f>
        <v>36</v>
      </c>
      <c r="AG80" s="215">
        <f ca="1">IFERROR(__xludf.DUMMYFUNCTION("IMPORTRANGE(""https://docs.google.com/spreadsheets/d/1AGHcLOeeYFL3K4b9R1dSzyJy00PE_ra89DNTVfnxSWM/edit?usp=sharing"",""รวมที่ทำกิน!AD73"")"),268.99)</f>
        <v>268.99</v>
      </c>
      <c r="AH80" s="219">
        <f t="shared" ca="1" si="101"/>
        <v>13.18578431372549</v>
      </c>
      <c r="AI80" s="215">
        <f ca="1">IFERROR(__xludf.DUMMYFUNCTION("IMPORTRANGE(""https://docs.google.com/spreadsheets/d/1AGHcLOeeYFL3K4b9R1dSzyJy00PE_ra89DNTVfnxSWM/edit?usp=sharing"",""รวมที่ทำกิน!AE73"")"),170)</f>
        <v>170</v>
      </c>
      <c r="AJ80" s="215">
        <f ca="1">IFERROR(__xludf.DUMMYFUNCTION("IMPORTRANGE(""https://docs.google.com/spreadsheets/d/1AGHcLOeeYFL3K4b9R1dSzyJy00PE_ra89DNTVfnxSWM/edit?usp=sharing"",""รวมที่ทำกิน!AF73"")"),59)</f>
        <v>59</v>
      </c>
      <c r="AK80" s="215">
        <f ca="1">IFERROR(__xludf.DUMMYFUNCTION("IMPORTRANGE(""https://docs.google.com/spreadsheets/d/1AGHcLOeeYFL3K4b9R1dSzyJy00PE_ra89DNTVfnxSWM/edit?usp=sharing"",""รวมที่ทำกิน!AH73"")"),460.19)</f>
        <v>460.19</v>
      </c>
      <c r="AL80" s="220">
        <f t="shared" ca="1" si="103"/>
        <v>34.705882352941174</v>
      </c>
      <c r="AM80" s="215">
        <f ca="1">IFERROR(__xludf.DUMMYFUNCTION("IMPORTRANGE(""https://docs.google.com/spreadsheets/d/1AGHcLOeeYFL3K4b9R1dSzyJy00PE_ra89DNTVfnxSWM/edit?usp=sharing"",""รวมที่ทำกิน!AI73"")"),0)</f>
        <v>0</v>
      </c>
      <c r="AN80" s="215">
        <f ca="1">IFERROR(__xludf.DUMMYFUNCTION("IMPORTRANGE(""https://docs.google.com/spreadsheets/d/1AGHcLOeeYFL3K4b9R1dSzyJy00PE_ra89DNTVfnxSWM/edit?usp=sharing"",""รวมที่ทำกิน!AK73"")"),0)</f>
        <v>0</v>
      </c>
      <c r="AO80" s="220">
        <f t="shared" ca="1" si="22"/>
        <v>0</v>
      </c>
      <c r="AP80" s="215">
        <f ca="1">IFERROR(__xludf.DUMMYFUNCTION("IMPORTRANGE(""https://docs.google.com/spreadsheets/d/1AGHcLOeeYFL3K4b9R1dSzyJy00PE_ra89DNTVfnxSWM/edit?usp=sharing"",""รวมที่ทำกิน!AL73"")"),9)</f>
        <v>9</v>
      </c>
      <c r="AQ80" s="215">
        <f ca="1">IFERROR(__xludf.DUMMYFUNCTION("IMPORTRANGE(""https://docs.google.com/spreadsheets/d/1AGHcLOeeYFL3K4b9R1dSzyJy00PE_ra89DNTVfnxSWM/edit?usp=sharing"",""รวมที่ทำกิน!AN73"")"),71.66)</f>
        <v>71.66</v>
      </c>
      <c r="AR80" s="220">
        <f t="shared" ca="1" si="24"/>
        <v>5.2941176470588234</v>
      </c>
      <c r="AS80" s="215">
        <f ca="1">IFERROR(__xludf.DUMMYFUNCTION("IMPORTRANGE(""https://docs.google.com/spreadsheets/d/1AGHcLOeeYFL3K4b9R1dSzyJy00PE_ra89DNTVfnxSWM/edit?usp=sharing"",""รวมที่ทำกิน!AO73"")"),680)</f>
        <v>680</v>
      </c>
      <c r="AT80" s="215">
        <f ca="1">IFERROR(__xludf.DUMMYFUNCTION("IMPORTRANGE(""https://docs.google.com/spreadsheets/d/1AGHcLOeeYFL3K4b9R1dSzyJy00PE_ra89DNTVfnxSWM/edit?usp=sharing"",""รวมที่ทำกิน!AP73"")"),115)</f>
        <v>115</v>
      </c>
      <c r="AU80" s="215">
        <f ca="1">IFERROR(__xludf.DUMMYFUNCTION("IMPORTRANGE(""https://docs.google.com/spreadsheets/d/1AGHcLOeeYFL3K4b9R1dSzyJy00PE_ra89DNTVfnxSWM/edit?usp=sharing"",""รวมที่ทำกิน!AR73"")"),872.45)</f>
        <v>872.45</v>
      </c>
      <c r="AV80" s="220">
        <f t="shared" ca="1" si="107"/>
        <v>128.3014705882353</v>
      </c>
      <c r="AW80" s="215">
        <f ca="1">IFERROR(__xludf.DUMMYFUNCTION("IMPORTRANGE(""https://docs.google.com/spreadsheets/d/1AGHcLOeeYFL3K4b9R1dSzyJy00PE_ra89DNTVfnxSWM/edit?usp=sharing"",""รวมที่ทำกิน!AS73"")"),140)</f>
        <v>140</v>
      </c>
      <c r="AX80" s="215">
        <f ca="1">IFERROR(__xludf.DUMMYFUNCTION("IMPORTRANGE(""https://docs.google.com/spreadsheets/d/1AGHcLOeeYFL3K4b9R1dSzyJy00PE_ra89DNTVfnxSWM/edit?usp=sharing"",""รวมที่ทำกิน!AT73"")"),218)</f>
        <v>218</v>
      </c>
      <c r="AY80" s="215">
        <f ca="1">IFERROR(__xludf.DUMMYFUNCTION("IMPORTRANGE(""https://docs.google.com/spreadsheets/d/1AGHcLOeeYFL3K4b9R1dSzyJy00PE_ra89DNTVfnxSWM/edit?usp=sharing"",""รวมที่ทำกิน!AV73"")"),1917.69)</f>
        <v>1917.69</v>
      </c>
      <c r="AZ80" s="220">
        <f t="shared" ca="1" si="109"/>
        <v>155.71428571428572</v>
      </c>
      <c r="BA80" s="215">
        <f ca="1">IFERROR(__xludf.DUMMYFUNCTION("IMPORTRANGE(""https://docs.google.com/spreadsheets/d/1AGHcLOeeYFL3K4b9R1dSzyJy00PE_ra89DNTVfnxSWM/edit?usp=sharing"",""รวมที่ทำกิน!AW73"")"),0)</f>
        <v>0</v>
      </c>
      <c r="BB80" s="215">
        <f ca="1">IFERROR(__xludf.DUMMYFUNCTION("IMPORTRANGE(""https://docs.google.com/spreadsheets/d/1AGHcLOeeYFL3K4b9R1dSzyJy00PE_ra89DNTVfnxSWM/edit?usp=sharing"",""รวมที่ทำกิน!AY73"")"),0)</f>
        <v>0</v>
      </c>
      <c r="BC80" s="220">
        <f t="shared" ca="1" si="30"/>
        <v>0</v>
      </c>
      <c r="BD80" s="215">
        <f ca="1">IFERROR(__xludf.DUMMYFUNCTION("IMPORTRANGE(""https://docs.google.com/spreadsheets/d/1AGHcLOeeYFL3K4b9R1dSzyJy00PE_ra89DNTVfnxSWM/edit?usp=sharing"",""รวมที่ทำกิน!AZ73"")"),102)</f>
        <v>102</v>
      </c>
      <c r="BE80" s="215">
        <f ca="1">IFERROR(__xludf.DUMMYFUNCTION("IMPORTRANGE(""https://docs.google.com/spreadsheets/d/1AGHcLOeeYFL3K4b9R1dSzyJy00PE_ra89DNTVfnxSWM/edit?usp=sharing"",""รวมที่ทำกิน!BB73"")"),1034.54)</f>
        <v>1034.54</v>
      </c>
      <c r="BF80" s="221">
        <f t="shared" ca="1" si="32"/>
        <v>72.857142857142861</v>
      </c>
    </row>
    <row r="81" spans="1:58" ht="21" customHeight="1">
      <c r="A81" s="73">
        <v>5</v>
      </c>
      <c r="B81" s="74" t="s">
        <v>105</v>
      </c>
      <c r="C81" s="75">
        <f t="shared" ca="1" si="0"/>
        <v>721520</v>
      </c>
      <c r="D81" s="76">
        <f t="shared" ca="1" si="157"/>
        <v>721520</v>
      </c>
      <c r="E81" s="77">
        <f ca="1">IFERROR(__xludf.DUMMYFUNCTION("IMPORTRANGE(""https://docs.google.com/spreadsheets/d/1C3CXT74ZlgGe6_JY_1olB1XN4rF0dxEuIIF-xsYjHgg/edit?usp=sharing"",""พรบ!BX85"")"),506800)</f>
        <v>506800</v>
      </c>
      <c r="F81" s="77">
        <f ca="1">IFERROR(__xludf.DUMMYFUNCTION("IMPORTRANGE(""https://docs.google.com/spreadsheets/d/1C3CXT74ZlgGe6_JY_1olB1XN4rF0dxEuIIF-xsYjHgg/edit?usp=sharing"",""พรบ!BY85"")"),214720)</f>
        <v>214720</v>
      </c>
      <c r="G81" s="77">
        <f ca="1">IFERROR(__xludf.DUMMYFUNCTION("IMPORTRANGE(""https://docs.google.com/spreadsheets/d/1Yj_ptqi66GCucihVvJfMjLAmec39IyEx_6qawtMGysU/edit?usp=sharing"",""สบก!DJ85"")"),0)</f>
        <v>0</v>
      </c>
      <c r="H81" s="77">
        <f ca="1">IFERROR(__xludf.DUMMYFUNCTION("IMPORTRANGE(""https://docs.google.com/spreadsheets/d/1Yj_ptqi66GCucihVvJfMjLAmec39IyEx_6qawtMGysU/edit?usp=shDLing"",""สบก!DL85"")"),530080)</f>
        <v>530080</v>
      </c>
      <c r="I81" s="77">
        <f t="shared" ca="1" si="3"/>
        <v>306170</v>
      </c>
      <c r="J81" s="77">
        <f t="shared" ca="1" si="4"/>
        <v>42.43402816276749</v>
      </c>
      <c r="K81" s="77">
        <f ca="1">IFERROR(__xludf.DUMMYFUNCTION("IMPORTRANGE(""https://docs.google.com/spreadsheets/d/1Yj_ptqi66GCucihVvJfMjLAmec39IyEx_6qawtMGysU/edit?usp=sharing"",""สบก!DM85"")"),306170)</f>
        <v>306170</v>
      </c>
      <c r="L81" s="137">
        <f t="shared" ca="1" si="5"/>
        <v>42.43402816276749</v>
      </c>
      <c r="M81" s="137">
        <f t="shared" ca="1" si="6"/>
        <v>57.759206157561124</v>
      </c>
      <c r="N81" s="137">
        <f ca="1">IFERROR(__xludf.DUMMYFUNCTION("IMPORTRANGE(""https://docs.google.com/spreadsheets/d/1Yj_ptqi66GCucihVvJfMjLAmec39IyEx_6qawtMGysU/edit?usp=sharing"",""สบก!DN85"")"),0)</f>
        <v>0</v>
      </c>
      <c r="O81" s="137">
        <f t="shared" ca="1" si="7"/>
        <v>0</v>
      </c>
      <c r="P81" s="77">
        <f ca="1">IFERROR(__xludf.DUMMYFUNCTION("IMPORTRANGE(""https://docs.google.com/spreadsheets/d/1C3CXT74ZlgGe6_JY_1olB1XN4rF0dxEuIIF-xsYjHgg/edit?usp=sharing"",""พรบ!CA85"")"),65)</f>
        <v>65</v>
      </c>
      <c r="Q81" s="77">
        <f ca="1">IFERROR(__xludf.DUMMYFUNCTION("IMPORTRANGE(""https://docs.google.com/spreadsheets/d/1C3CXT74ZlgGe6_JY_1olB1XN4rF0dxEuIIF-xsYjHgg/edit?usp=sharing"",""พรบ!BZ85"")"),165)</f>
        <v>165</v>
      </c>
      <c r="R81" s="218">
        <f t="shared" ca="1" si="95"/>
        <v>39</v>
      </c>
      <c r="S81" s="77">
        <f ca="1">IFERROR(__xludf.DUMMYFUNCTION("IMPORTRANGE(""https://docs.google.com/spreadsheets/d/1IYY_tgx_IHuhSq3AJ5eI5OnqOPBNLWSHKh2a30DoXe8/edit?usp=sharing"",""นราธิวาส!J234"")"),18)</f>
        <v>18</v>
      </c>
      <c r="T81" s="77">
        <f ca="1">IFERROR(__xludf.DUMMYFUNCTION("IMPORTRANGE(""https://docs.google.com/spreadsheets/d/1IYY_tgx_IHuhSq3AJ5eI5OnqOPBNLWSHKh2a30DoXe8/edit?usp=sharing"",""นราธิวาส!J235"")"),110.35)</f>
        <v>110.35</v>
      </c>
      <c r="U81" s="137">
        <f t="shared" ca="1" si="10"/>
        <v>66.878787878787875</v>
      </c>
      <c r="V81" s="77">
        <f ca="1">IFERROR(__xludf.DUMMYFUNCTION("IMPORTRANGE(""https://docs.google.com/spreadsheets/d/1IYY_tgx_IHuhSq3AJ5eI5OnqOPBNLWSHKh2a30DoXe8/edit?usp=sharing"",""นราธิวาส!J236"")"),18)</f>
        <v>18</v>
      </c>
      <c r="W81" s="77">
        <f ca="1">IFERROR(__xludf.DUMMYFUNCTION("IMPORTRANGE(""https://docs.google.com/spreadsheets/d/1IYY_tgx_IHuhSq3AJ5eI5OnqOPBNLWSHKh2a30DoXe8/edit?usp=sharing"",""นราธิวาส!J237"")"),90.48)</f>
        <v>90.48</v>
      </c>
      <c r="X81" s="137">
        <f t="shared" ca="1" si="12"/>
        <v>27.692307692307693</v>
      </c>
      <c r="Y81" s="77">
        <f ca="1">IFERROR(__xludf.DUMMYFUNCTION("IMPORTRANGE(""https://docs.google.com/spreadsheets/d/1IYY_tgx_IHuhSq3AJ5eI5OnqOPBNLWSHKh2a30DoXe8/edit?usp=sharing"",""นราธิวาส!J238"")"),0)</f>
        <v>0</v>
      </c>
      <c r="Z81" s="77">
        <f ca="1">IFERROR(__xludf.DUMMYFUNCTION("IMPORTRANGE(""https://docs.google.com/spreadsheets/d/1IYY_tgx_IHuhSq3AJ5eI5OnqOPBNLWSHKh2a30DoXe8/edit?usp=sharing"",""นราธิวาส!J239"")"),0)</f>
        <v>0</v>
      </c>
      <c r="AA81" s="137">
        <f t="shared" ca="1" si="14"/>
        <v>0</v>
      </c>
      <c r="AB81" s="77">
        <f ca="1">IFERROR(__xludf.DUMMYFUNCTION("IMPORTRANGE(""https://docs.google.com/spreadsheets/d/1IYY_tgx_IHuhSq3AJ5eI5OnqOPBNLWSHKh2a30DoXe8/edit?usp=sharing"",""นราธิวาส!J240"")"),11)</f>
        <v>11</v>
      </c>
      <c r="AC81" s="77">
        <f ca="1">IFERROR(__xludf.DUMMYFUNCTION("IMPORTRANGE(""https://docs.google.com/spreadsheets/d/1IYY_tgx_IHuhSq3AJ5eI5OnqOPBNLWSHKh2a30DoXe8/edit?usp=sharing"",""นราธิวาส!J241"")"),77.89)</f>
        <v>77.89</v>
      </c>
      <c r="AD81" s="219">
        <f t="shared" ca="1" si="16"/>
        <v>16.923076923076923</v>
      </c>
      <c r="AE81" s="215">
        <f ca="1">IFERROR(__xludf.DUMMYFUNCTION("IMPORTRANGE(""https://docs.google.com/spreadsheets/d/1AGHcLOeeYFL3K4b9R1dSzyJy00PE_ra89DNTVfnxSWM/edit?usp=sharing"",""รวมที่ทำกิน!AA74"")"),150)</f>
        <v>150</v>
      </c>
      <c r="AF81" s="215">
        <f ca="1">IFERROR(__xludf.DUMMYFUNCTION("IMPORTRANGE(""https://docs.google.com/spreadsheets/d/1AGHcLOeeYFL3K4b9R1dSzyJy00PE_ra89DNTVfnxSWM/edit?usp=sharing"",""รวมที่ทำกิน!AB74"")"),18)</f>
        <v>18</v>
      </c>
      <c r="AG81" s="215">
        <f ca="1">IFERROR(__xludf.DUMMYFUNCTION("IMPORTRANGE(""https://docs.google.com/spreadsheets/d/1AGHcLOeeYFL3K4b9R1dSzyJy00PE_ra89DNTVfnxSWM/edit?usp=sharing"",""รวมที่ทำกิน!AD74"")"),110.35)</f>
        <v>110.35</v>
      </c>
      <c r="AH81" s="219">
        <f t="shared" ca="1" si="101"/>
        <v>73.566666666666663</v>
      </c>
      <c r="AI81" s="215">
        <f ca="1">IFERROR(__xludf.DUMMYFUNCTION("IMPORTRANGE(""https://docs.google.com/spreadsheets/d/1AGHcLOeeYFL3K4b9R1dSzyJy00PE_ra89DNTVfnxSWM/edit?usp=sharing"",""รวมที่ทำกิน!AE74"")"),35)</f>
        <v>35</v>
      </c>
      <c r="AJ81" s="215">
        <f ca="1">IFERROR(__xludf.DUMMYFUNCTION("IMPORTRANGE(""https://docs.google.com/spreadsheets/d/1AGHcLOeeYFL3K4b9R1dSzyJy00PE_ra89DNTVfnxSWM/edit?usp=sharing"",""รวมที่ทำกิน!AF74"")"),18)</f>
        <v>18</v>
      </c>
      <c r="AK81" s="215">
        <f ca="1">IFERROR(__xludf.DUMMYFUNCTION("IMPORTRANGE(""https://docs.google.com/spreadsheets/d/1AGHcLOeeYFL3K4b9R1dSzyJy00PE_ra89DNTVfnxSWM/edit?usp=sharing"",""รวมที่ทำกิน!AH74"")"),90.48)</f>
        <v>90.48</v>
      </c>
      <c r="AL81" s="220">
        <f t="shared" ca="1" si="103"/>
        <v>51.428571428571431</v>
      </c>
      <c r="AM81" s="215">
        <f ca="1">IFERROR(__xludf.DUMMYFUNCTION("IMPORTRANGE(""https://docs.google.com/spreadsheets/d/1AGHcLOeeYFL3K4b9R1dSzyJy00PE_ra89DNTVfnxSWM/edit?usp=sharing"",""รวมที่ทำกิน!AI74"")"),0)</f>
        <v>0</v>
      </c>
      <c r="AN81" s="215">
        <f ca="1">IFERROR(__xludf.DUMMYFUNCTION("IMPORTRANGE(""https://docs.google.com/spreadsheets/d/1AGHcLOeeYFL3K4b9R1dSzyJy00PE_ra89DNTVfnxSWM/edit?usp=sharing"",""รวมที่ทำกิน!AK74"")"),0)</f>
        <v>0</v>
      </c>
      <c r="AO81" s="220">
        <f t="shared" ca="1" si="22"/>
        <v>0</v>
      </c>
      <c r="AP81" s="215">
        <f ca="1">IFERROR(__xludf.DUMMYFUNCTION("IMPORTRANGE(""https://docs.google.com/spreadsheets/d/1AGHcLOeeYFL3K4b9R1dSzyJy00PE_ra89DNTVfnxSWM/edit?usp=sharing"",""รวมที่ทำกิน!AL74"")"),10)</f>
        <v>10</v>
      </c>
      <c r="AQ81" s="215">
        <f ca="1">IFERROR(__xludf.DUMMYFUNCTION("IMPORTRANGE(""https://docs.google.com/spreadsheets/d/1AGHcLOeeYFL3K4b9R1dSzyJy00PE_ra89DNTVfnxSWM/edit?usp=sharing"",""รวมที่ทำกิน!AN74"")"),70.06)</f>
        <v>70.06</v>
      </c>
      <c r="AR81" s="220">
        <f t="shared" ca="1" si="24"/>
        <v>28.571428571428573</v>
      </c>
      <c r="AS81" s="215">
        <f ca="1">IFERROR(__xludf.DUMMYFUNCTION("IMPORTRANGE(""https://docs.google.com/spreadsheets/d/1AGHcLOeeYFL3K4b9R1dSzyJy00PE_ra89DNTVfnxSWM/edit?usp=sharing"",""รวมที่ทำกิน!AO74"")"),15)</f>
        <v>15</v>
      </c>
      <c r="AT81" s="215">
        <f ca="1">IFERROR(__xludf.DUMMYFUNCTION("IMPORTRANGE(""https://docs.google.com/spreadsheets/d/1AGHcLOeeYFL3K4b9R1dSzyJy00PE_ra89DNTVfnxSWM/edit?usp=sharing"",""รวมที่ทำกิน!AP74"")"),0)</f>
        <v>0</v>
      </c>
      <c r="AU81" s="215">
        <f ca="1">IFERROR(__xludf.DUMMYFUNCTION("IMPORTRANGE(""https://docs.google.com/spreadsheets/d/1AGHcLOeeYFL3K4b9R1dSzyJy00PE_ra89DNTVfnxSWM/edit?usp=sharing"",""รวมที่ทำกิน!AR74"")"),0)</f>
        <v>0</v>
      </c>
      <c r="AV81" s="220">
        <f t="shared" ca="1" si="107"/>
        <v>0</v>
      </c>
      <c r="AW81" s="215">
        <f ca="1">IFERROR(__xludf.DUMMYFUNCTION("IMPORTRANGE(""https://docs.google.com/spreadsheets/d/1AGHcLOeeYFL3K4b9R1dSzyJy00PE_ra89DNTVfnxSWM/edit?usp=sharing"",""รวมที่ทำกิน!AS74"")"),30)</f>
        <v>30</v>
      </c>
      <c r="AX81" s="215">
        <f ca="1">IFERROR(__xludf.DUMMYFUNCTION("IMPORTRANGE(""https://docs.google.com/spreadsheets/d/1AGHcLOeeYFL3K4b9R1dSzyJy00PE_ra89DNTVfnxSWM/edit?usp=sharing"",""รวมที่ทำกิน!AT74"")"),0)</f>
        <v>0</v>
      </c>
      <c r="AY81" s="215">
        <f ca="1">IFERROR(__xludf.DUMMYFUNCTION("IMPORTRANGE(""https://docs.google.com/spreadsheets/d/1AGHcLOeeYFL3K4b9R1dSzyJy00PE_ra89DNTVfnxSWM/edit?usp=sharing"",""รวมที่ทำกิน!AV74"")"),0)</f>
        <v>0</v>
      </c>
      <c r="AZ81" s="220">
        <f t="shared" ca="1" si="109"/>
        <v>0</v>
      </c>
      <c r="BA81" s="215">
        <f ca="1">IFERROR(__xludf.DUMMYFUNCTION("IMPORTRANGE(""https://docs.google.com/spreadsheets/d/1AGHcLOeeYFL3K4b9R1dSzyJy00PE_ra89DNTVfnxSWM/edit?usp=sharing"",""รวมที่ทำกิน!AW74"")"),0)</f>
        <v>0</v>
      </c>
      <c r="BB81" s="215">
        <f ca="1">IFERROR(__xludf.DUMMYFUNCTION("IMPORTRANGE(""https://docs.google.com/spreadsheets/d/1AGHcLOeeYFL3K4b9R1dSzyJy00PE_ra89DNTVfnxSWM/edit?usp=sharing"",""รวมที่ทำกิน!AY74"")"),0)</f>
        <v>0</v>
      </c>
      <c r="BC81" s="220">
        <f t="shared" ca="1" si="30"/>
        <v>0</v>
      </c>
      <c r="BD81" s="215">
        <f ca="1">IFERROR(__xludf.DUMMYFUNCTION("IMPORTRANGE(""https://docs.google.com/spreadsheets/d/1AGHcLOeeYFL3K4b9R1dSzyJy00PE_ra89DNTVfnxSWM/edit?usp=sharing"",""รวมที่ทำกิน!AZ74"")"),1)</f>
        <v>1</v>
      </c>
      <c r="BE81" s="215">
        <f ca="1">IFERROR(__xludf.DUMMYFUNCTION("IMPORTRANGE(""https://docs.google.com/spreadsheets/d/1AGHcLOeeYFL3K4b9R1dSzyJy00PE_ra89DNTVfnxSWM/edit?usp=sharing"",""รวมที่ทำกิน!BB74"")"),7.83)</f>
        <v>7.83</v>
      </c>
      <c r="BF81" s="221">
        <f t="shared" ca="1" si="32"/>
        <v>3.3333333333333335</v>
      </c>
    </row>
    <row r="82" spans="1:58" ht="21" customHeight="1">
      <c r="A82" s="73">
        <v>6</v>
      </c>
      <c r="B82" s="74" t="s">
        <v>106</v>
      </c>
      <c r="C82" s="75">
        <f t="shared" ca="1" si="0"/>
        <v>707640</v>
      </c>
      <c r="D82" s="76">
        <f t="shared" ca="1" si="157"/>
        <v>695140</v>
      </c>
      <c r="E82" s="77">
        <f ca="1">IFERROR(__xludf.DUMMYFUNCTION("IMPORTRANGE(""https://docs.google.com/spreadsheets/d/1C3CXT74ZlgGe6_JY_1olB1XN4rF0dxEuIIF-xsYjHgg/edit?usp=sharing"",""พรบ!BX86"")"),417600)</f>
        <v>417600</v>
      </c>
      <c r="F82" s="77">
        <f ca="1">IFERROR(__xludf.DUMMYFUNCTION("IMPORTRANGE(""https://docs.google.com/spreadsheets/d/1C3CXT74ZlgGe6_JY_1olB1XN4rF0dxEuIIF-xsYjHgg/edit?usp=sharing"",""พรบ!BY86"")"),277540)</f>
        <v>277540</v>
      </c>
      <c r="G82" s="77">
        <f ca="1">IFERROR(__xludf.DUMMYFUNCTION("IMPORTRANGE(""https://docs.google.com/spreadsheets/d/1Yj_ptqi66GCucihVvJfMjLAmec39IyEx_6qawtMGysU/edit?usp=sharing"",""สบก!DJ86"")"),12500)</f>
        <v>12500</v>
      </c>
      <c r="H82" s="77">
        <f ca="1">IFERROR(__xludf.DUMMYFUNCTION("IMPORTRANGE(""https://docs.google.com/spreadsheets/d/1Yj_ptqi66GCucihVvJfMjLAmec39IyEx_6qawtMGysU/edit?usp=shDLing"",""สบก!DL86"")"),508390)</f>
        <v>508390</v>
      </c>
      <c r="I82" s="77">
        <f t="shared" ca="1" si="3"/>
        <v>363326.15</v>
      </c>
      <c r="J82" s="77">
        <f t="shared" ca="1" si="4"/>
        <v>51.343359617884801</v>
      </c>
      <c r="K82" s="77">
        <f ca="1">IFERROR(__xludf.DUMMYFUNCTION("IMPORTRANGE(""https://docs.google.com/spreadsheets/d/1Yj_ptqi66GCucihVvJfMjLAmec39IyEx_6qawtMGysU/edit?usp=sharing"",""สบก!DM86"")"),350826.15)</f>
        <v>350826.15</v>
      </c>
      <c r="L82" s="137">
        <f t="shared" ca="1" si="5"/>
        <v>50.468416434099609</v>
      </c>
      <c r="M82" s="137">
        <f t="shared" ca="1" si="6"/>
        <v>69.007287712189466</v>
      </c>
      <c r="N82" s="137">
        <f ca="1">IFERROR(__xludf.DUMMYFUNCTION("IMPORTRANGE(""https://docs.google.com/spreadsheets/d/1Yj_ptqi66GCucihVvJfMjLAmec39IyEx_6qawtMGysU/edit?usp=sharing"",""สบก!DN86"")"),12500)</f>
        <v>12500</v>
      </c>
      <c r="O82" s="137">
        <f t="shared" ca="1" si="7"/>
        <v>100</v>
      </c>
      <c r="P82" s="77">
        <f ca="1">IFERROR(__xludf.DUMMYFUNCTION("IMPORTRANGE(""https://docs.google.com/spreadsheets/d/1C3CXT74ZlgGe6_JY_1olB1XN4rF0dxEuIIF-xsYjHgg/edit?usp=sharing"",""พรบ!CA86"")"),210)</f>
        <v>210</v>
      </c>
      <c r="Q82" s="77">
        <f ca="1">IFERROR(__xludf.DUMMYFUNCTION("IMPORTRANGE(""https://docs.google.com/spreadsheets/d/1C3CXT74ZlgGe6_JY_1olB1XN4rF0dxEuIIF-xsYjHgg/edit?usp=sharing"",""พรบ!BZ86"")"),944)</f>
        <v>944</v>
      </c>
      <c r="R82" s="218">
        <f t="shared" ca="1" si="95"/>
        <v>126</v>
      </c>
      <c r="S82" s="77">
        <f ca="1">IFERROR(__xludf.DUMMYFUNCTION("IMPORTRANGE(""https://docs.google.com/spreadsheets/d/1IYY_tgx_IHuhSq3AJ5eI5OnqOPBNLWSHKh2a30DoXe8/edit?usp=sharing"",""ปัตตานี!J234"")"),97)</f>
        <v>97</v>
      </c>
      <c r="T82" s="77">
        <f ca="1">IFERROR(__xludf.DUMMYFUNCTION("IMPORTRANGE(""https://docs.google.com/spreadsheets/d/1IYY_tgx_IHuhSq3AJ5eI5OnqOPBNLWSHKh2a30DoXe8/edit?usp=sharing"",""ปัตตานี!J235"")"),454.42)</f>
        <v>454.42</v>
      </c>
      <c r="U82" s="137">
        <f t="shared" ca="1" si="10"/>
        <v>48.137711864406782</v>
      </c>
      <c r="V82" s="77">
        <f ca="1">IFERROR(__xludf.DUMMYFUNCTION("IMPORTRANGE(""https://docs.google.com/spreadsheets/d/1IYY_tgx_IHuhSq3AJ5eI5OnqOPBNLWSHKh2a30DoXe8/edit?usp=sharing"",""ปัตตานี!J236"")"),136)</f>
        <v>136</v>
      </c>
      <c r="W82" s="77">
        <f ca="1">IFERROR(__xludf.DUMMYFUNCTION("IMPORTRANGE(""https://docs.google.com/spreadsheets/d/1IYY_tgx_IHuhSq3AJ5eI5OnqOPBNLWSHKh2a30DoXe8/edit?usp=sharing"",""ปัตตานี!J237"")"),628.78)</f>
        <v>628.78</v>
      </c>
      <c r="X82" s="137">
        <f t="shared" ca="1" si="12"/>
        <v>64.761904761904759</v>
      </c>
      <c r="Y82" s="77">
        <f ca="1">IFERROR(__xludf.DUMMYFUNCTION("IMPORTRANGE(""https://docs.google.com/spreadsheets/d/1IYY_tgx_IHuhSq3AJ5eI5OnqOPBNLWSHKh2a30DoXe8/edit?usp=sharing"",""ปัตตานี!J238"")"),0)</f>
        <v>0</v>
      </c>
      <c r="Z82" s="77">
        <f ca="1">IFERROR(__xludf.DUMMYFUNCTION("IMPORTRANGE(""https://docs.google.com/spreadsheets/d/1IYY_tgx_IHuhSq3AJ5eI5OnqOPBNLWSHKh2a30DoXe8/edit?usp=sharing"",""ปัตตานี!J239"")"),0)</f>
        <v>0</v>
      </c>
      <c r="AA82" s="137">
        <f t="shared" ca="1" si="14"/>
        <v>0</v>
      </c>
      <c r="AB82" s="77">
        <f ca="1">IFERROR(__xludf.DUMMYFUNCTION("IMPORTRANGE(""https://docs.google.com/spreadsheets/d/1IYY_tgx_IHuhSq3AJ5eI5OnqOPBNLWSHKh2a30DoXe8/edit?usp=sharing"",""ปัตตานี!J240"")"),133)</f>
        <v>133</v>
      </c>
      <c r="AC82" s="77">
        <f ca="1">IFERROR(__xludf.DUMMYFUNCTION("IMPORTRANGE(""https://docs.google.com/spreadsheets/d/1IYY_tgx_IHuhSq3AJ5eI5OnqOPBNLWSHKh2a30DoXe8/edit?usp=sharing"",""ปัตตานี!J241"")"),624.2)</f>
        <v>624.20000000000005</v>
      </c>
      <c r="AD82" s="219">
        <f t="shared" ca="1" si="16"/>
        <v>63.333333333333336</v>
      </c>
      <c r="AE82" s="215">
        <f ca="1">IFERROR(__xludf.DUMMYFUNCTION("IMPORTRANGE(""https://docs.google.com/spreadsheets/d/1AGHcLOeeYFL3K4b9R1dSzyJy00PE_ra89DNTVfnxSWM/edit?usp=sharing"",""รวมที่ทำกิน!AA75"")"),850)</f>
        <v>850</v>
      </c>
      <c r="AF82" s="215">
        <f ca="1">IFERROR(__xludf.DUMMYFUNCTION("IMPORTRANGE(""https://docs.google.com/spreadsheets/d/1AGHcLOeeYFL3K4b9R1dSzyJy00PE_ra89DNTVfnxSWM/edit?usp=sharing"",""รวมที่ทำกิน!AB75"")"),93)</f>
        <v>93</v>
      </c>
      <c r="AG82" s="215">
        <f ca="1">IFERROR(__xludf.DUMMYFUNCTION("IMPORTRANGE(""https://docs.google.com/spreadsheets/d/1AGHcLOeeYFL3K4b9R1dSzyJy00PE_ra89DNTVfnxSWM/edit?usp=sharing"",""รวมที่ทำกิน!AD75"")"),430.67)</f>
        <v>430.67</v>
      </c>
      <c r="AH82" s="219">
        <f t="shared" ca="1" si="101"/>
        <v>50.667058823529409</v>
      </c>
      <c r="AI82" s="215">
        <f ca="1">IFERROR(__xludf.DUMMYFUNCTION("IMPORTRANGE(""https://docs.google.com/spreadsheets/d/1AGHcLOeeYFL3K4b9R1dSzyJy00PE_ra89DNTVfnxSWM/edit?usp=sharing"",""รวมที่ทำกิน!AE75"")"),170)</f>
        <v>170</v>
      </c>
      <c r="AJ82" s="215">
        <f ca="1">IFERROR(__xludf.DUMMYFUNCTION("IMPORTRANGE(""https://docs.google.com/spreadsheets/d/1AGHcLOeeYFL3K4b9R1dSzyJy00PE_ra89DNTVfnxSWM/edit?usp=sharing"",""รวมที่ทำกิน!AF75"")"),92)</f>
        <v>92</v>
      </c>
      <c r="AK82" s="215">
        <f ca="1">IFERROR(__xludf.DUMMYFUNCTION("IMPORTRANGE(""https://docs.google.com/spreadsheets/d/1AGHcLOeeYFL3K4b9R1dSzyJy00PE_ra89DNTVfnxSWM/edit?usp=sharing"",""รวมที่ทำกิน!AH75"")"),427.02)</f>
        <v>427.02</v>
      </c>
      <c r="AL82" s="220">
        <f t="shared" ca="1" si="103"/>
        <v>54.117647058823529</v>
      </c>
      <c r="AM82" s="215">
        <f ca="1">IFERROR(__xludf.DUMMYFUNCTION("IMPORTRANGE(""https://docs.google.com/spreadsheets/d/1AGHcLOeeYFL3K4b9R1dSzyJy00PE_ra89DNTVfnxSWM/edit?usp=sharing"",""รวมที่ทำกิน!AI75"")"),0)</f>
        <v>0</v>
      </c>
      <c r="AN82" s="215">
        <f ca="1">IFERROR(__xludf.DUMMYFUNCTION("IMPORTRANGE(""https://docs.google.com/spreadsheets/d/1AGHcLOeeYFL3K4b9R1dSzyJy00PE_ra89DNTVfnxSWM/edit?usp=sharing"",""รวมที่ทำกิน!AK75"")"),0)</f>
        <v>0</v>
      </c>
      <c r="AO82" s="220">
        <f t="shared" ca="1" si="22"/>
        <v>0</v>
      </c>
      <c r="AP82" s="215">
        <f ca="1">IFERROR(__xludf.DUMMYFUNCTION("IMPORTRANGE(""https://docs.google.com/spreadsheets/d/1AGHcLOeeYFL3K4b9R1dSzyJy00PE_ra89DNTVfnxSWM/edit?usp=sharing"",""รวมที่ทำกิน!AL75"")"),91)</f>
        <v>91</v>
      </c>
      <c r="AQ82" s="215">
        <f ca="1">IFERROR(__xludf.DUMMYFUNCTION("IMPORTRANGE(""https://docs.google.com/spreadsheets/d/1AGHcLOeeYFL3K4b9R1dSzyJy00PE_ra89DNTVfnxSWM/edit?usp=sharing"",""รวมที่ทำกิน!AN75"")"),424.23)</f>
        <v>424.23</v>
      </c>
      <c r="AR82" s="220">
        <f t="shared" ca="1" si="24"/>
        <v>53.529411764705884</v>
      </c>
      <c r="AS82" s="215">
        <f ca="1">IFERROR(__xludf.DUMMYFUNCTION("IMPORTRANGE(""https://docs.google.com/spreadsheets/d/1AGHcLOeeYFL3K4b9R1dSzyJy00PE_ra89DNTVfnxSWM/edit?usp=sharing"",""รวมที่ทำกิน!AO75"")"),94)</f>
        <v>94</v>
      </c>
      <c r="AT82" s="215">
        <f ca="1">IFERROR(__xludf.DUMMYFUNCTION("IMPORTRANGE(""https://docs.google.com/spreadsheets/d/1AGHcLOeeYFL3K4b9R1dSzyJy00PE_ra89DNTVfnxSWM/edit?usp=sharing"",""รวมที่ทำกิน!AP75"")"),4)</f>
        <v>4</v>
      </c>
      <c r="AU82" s="215">
        <f ca="1">IFERROR(__xludf.DUMMYFUNCTION("IMPORTRANGE(""https://docs.google.com/spreadsheets/d/1AGHcLOeeYFL3K4b9R1dSzyJy00PE_ra89DNTVfnxSWM/edit?usp=sharing"",""รวมที่ทำกิน!AR75"")"),23.75)</f>
        <v>23.75</v>
      </c>
      <c r="AV82" s="220">
        <f t="shared" ca="1" si="107"/>
        <v>25.26595744680851</v>
      </c>
      <c r="AW82" s="215">
        <f ca="1">IFERROR(__xludf.DUMMYFUNCTION("IMPORTRANGE(""https://docs.google.com/spreadsheets/d/1AGHcLOeeYFL3K4b9R1dSzyJy00PE_ra89DNTVfnxSWM/edit?usp=sharing"",""รวมที่ทำกิน!AS75"")"),40)</f>
        <v>40</v>
      </c>
      <c r="AX82" s="215">
        <f ca="1">IFERROR(__xludf.DUMMYFUNCTION("IMPORTRANGE(""https://docs.google.com/spreadsheets/d/1AGHcLOeeYFL3K4b9R1dSzyJy00PE_ra89DNTVfnxSWM/edit?usp=sharing"",""รวมที่ทำกิน!AT75"")"),44)</f>
        <v>44</v>
      </c>
      <c r="AY82" s="215">
        <f ca="1">IFERROR(__xludf.DUMMYFUNCTION("IMPORTRANGE(""https://docs.google.com/spreadsheets/d/1AGHcLOeeYFL3K4b9R1dSzyJy00PE_ra89DNTVfnxSWM/edit?usp=sharing"",""รวมที่ทำกิน!AV75"")"),201.76)</f>
        <v>201.76</v>
      </c>
      <c r="AZ82" s="220">
        <f t="shared" ca="1" si="109"/>
        <v>110</v>
      </c>
      <c r="BA82" s="215">
        <f ca="1">IFERROR(__xludf.DUMMYFUNCTION("IMPORTRANGE(""https://docs.google.com/spreadsheets/d/1AGHcLOeeYFL3K4b9R1dSzyJy00PE_ra89DNTVfnxSWM/edit?usp=sharing"",""รวมที่ทำกิน!AW75"")"),0)</f>
        <v>0</v>
      </c>
      <c r="BB82" s="215">
        <f ca="1">IFERROR(__xludf.DUMMYFUNCTION("IMPORTRANGE(""https://docs.google.com/spreadsheets/d/1AGHcLOeeYFL3K4b9R1dSzyJy00PE_ra89DNTVfnxSWM/edit?usp=sharing"",""รวมที่ทำกิน!AY75"")"),0)</f>
        <v>0</v>
      </c>
      <c r="BC82" s="220">
        <f t="shared" ca="1" si="30"/>
        <v>0</v>
      </c>
      <c r="BD82" s="215">
        <f ca="1">IFERROR(__xludf.DUMMYFUNCTION("IMPORTRANGE(""https://docs.google.com/spreadsheets/d/1AGHcLOeeYFL3K4b9R1dSzyJy00PE_ra89DNTVfnxSWM/edit?usp=sharing"",""รวมที่ทำกิน!AZ75"")"),42)</f>
        <v>42</v>
      </c>
      <c r="BE82" s="215">
        <f ca="1">IFERROR(__xludf.DUMMYFUNCTION("IMPORTRANGE(""https://docs.google.com/spreadsheets/d/1AGHcLOeeYFL3K4b9R1dSzyJy00PE_ra89DNTVfnxSWM/edit?usp=sharing"",""รวมที่ทำกิน!BB75"")"),199.97)</f>
        <v>199.97</v>
      </c>
      <c r="BF82" s="221">
        <f t="shared" ca="1" si="32"/>
        <v>105</v>
      </c>
    </row>
    <row r="83" spans="1:58" ht="21" customHeight="1">
      <c r="A83" s="73">
        <v>7</v>
      </c>
      <c r="B83" s="74" t="s">
        <v>107</v>
      </c>
      <c r="C83" s="75">
        <f t="shared" ca="1" si="0"/>
        <v>917210</v>
      </c>
      <c r="D83" s="76">
        <f t="shared" ca="1" si="157"/>
        <v>743010</v>
      </c>
      <c r="E83" s="77">
        <f ca="1">IFERROR(__xludf.DUMMYFUNCTION("IMPORTRANGE(""https://docs.google.com/spreadsheets/d/1C3CXT74ZlgGe6_JY_1olB1XN4rF0dxEuIIF-xsYjHgg/edit?usp=sharing"",""พรบ!BX87"")"),492000)</f>
        <v>492000</v>
      </c>
      <c r="F83" s="77">
        <f ca="1">IFERROR(__xludf.DUMMYFUNCTION("IMPORTRANGE(""https://docs.google.com/spreadsheets/d/1C3CXT74ZlgGe6_JY_1olB1XN4rF0dxEuIIF-xsYjHgg/edit?usp=sharing"",""พรบ!BY87"")"),251010)</f>
        <v>251010</v>
      </c>
      <c r="G83" s="77">
        <f ca="1">IFERROR(__xludf.DUMMYFUNCTION("IMPORTRANGE(""https://docs.google.com/spreadsheets/d/1Yj_ptqi66GCucihVvJfMjLAmec39IyEx_6qawtMGysU/edit?usp=sharing"",""สบก!DJ87"")"),174200)</f>
        <v>174200</v>
      </c>
      <c r="H83" s="77">
        <f ca="1">IFERROR(__xludf.DUMMYFUNCTION("IMPORTRANGE(""https://docs.google.com/spreadsheets/d/1Yj_ptqi66GCucihVvJfMjLAmec39IyEx_6qawtMGysU/edit?usp=shDLing"",""สบก!DL87"")"),543020)</f>
        <v>543020</v>
      </c>
      <c r="I83" s="77">
        <f t="shared" ca="1" si="3"/>
        <v>379666.03</v>
      </c>
      <c r="J83" s="77">
        <f t="shared" ca="1" si="4"/>
        <v>41.393577261477745</v>
      </c>
      <c r="K83" s="77">
        <f ca="1">IFERROR(__xludf.DUMMYFUNCTION("IMPORTRANGE(""https://docs.google.com/spreadsheets/d/1Yj_ptqi66GCucihVvJfMjLAmec39IyEx_6qawtMGysU/edit?usp=sharing"",""สบก!DM87"")"),205466.03)</f>
        <v>205466.03</v>
      </c>
      <c r="L83" s="137">
        <f t="shared" ca="1" si="5"/>
        <v>27.653198476467342</v>
      </c>
      <c r="M83" s="137">
        <f t="shared" ca="1" si="6"/>
        <v>37.837654230046773</v>
      </c>
      <c r="N83" s="137">
        <f ca="1">IFERROR(__xludf.DUMMYFUNCTION("IMPORTRANGE(""https://docs.google.com/spreadsheets/d/1Yj_ptqi66GCucihVvJfMjLAmec39IyEx_6qawtMGysU/edit?usp=sharing"",""สบก!DN87"")"),174200)</f>
        <v>174200</v>
      </c>
      <c r="O83" s="137">
        <f t="shared" ca="1" si="7"/>
        <v>100</v>
      </c>
      <c r="P83" s="77">
        <f ca="1">IFERROR(__xludf.DUMMYFUNCTION("IMPORTRANGE(""https://docs.google.com/spreadsheets/d/1C3CXT74ZlgGe6_JY_1olB1XN4rF0dxEuIIF-xsYjHgg/edit?usp=sharing"",""พรบ!CA87"")"),110)</f>
        <v>110</v>
      </c>
      <c r="Q83" s="77">
        <f ca="1">IFERROR(__xludf.DUMMYFUNCTION("IMPORTRANGE(""https://docs.google.com/spreadsheets/d/1C3CXT74ZlgGe6_JY_1olB1XN4rF0dxEuIIF-xsYjHgg/edit?usp=sharing"",""พรบ!BZ87"")"),665)</f>
        <v>665</v>
      </c>
      <c r="R83" s="218">
        <f t="shared" ca="1" si="95"/>
        <v>66</v>
      </c>
      <c r="S83" s="77">
        <f ca="1">IFERROR(__xludf.DUMMYFUNCTION("IMPORTRANGE(""https://docs.google.com/spreadsheets/d/1IYY_tgx_IHuhSq3AJ5eI5OnqOPBNLWSHKh2a30DoXe8/edit?usp=sharing"",""พังงา!J234"")"),61)</f>
        <v>61</v>
      </c>
      <c r="T83" s="77">
        <f ca="1">IFERROR(__xludf.DUMMYFUNCTION("IMPORTRANGE(""https://docs.google.com/spreadsheets/d/1IYY_tgx_IHuhSq3AJ5eI5OnqOPBNLWSHKh2a30DoXe8/edit?usp=sharing"",""พังงา!J235"")"),469.12)</f>
        <v>469.12</v>
      </c>
      <c r="U83" s="137">
        <f t="shared" ca="1" si="10"/>
        <v>70.544360902255633</v>
      </c>
      <c r="V83" s="77">
        <f ca="1">IFERROR(__xludf.DUMMYFUNCTION("IMPORTRANGE(""https://docs.google.com/spreadsheets/d/1IYY_tgx_IHuhSq3AJ5eI5OnqOPBNLWSHKh2a30DoXe8/edit?usp=sharing"",""พังงา!J236"")"),72)</f>
        <v>72</v>
      </c>
      <c r="W83" s="77">
        <f ca="1">IFERROR(__xludf.DUMMYFUNCTION("IMPORTRANGE(""https://docs.google.com/spreadsheets/d/1IYY_tgx_IHuhSq3AJ5eI5OnqOPBNLWSHKh2a30DoXe8/edit?usp=sharing"",""พังงา!J237"")"),597.85)</f>
        <v>597.85</v>
      </c>
      <c r="X83" s="137">
        <f t="shared" ca="1" si="12"/>
        <v>65.454545454545453</v>
      </c>
      <c r="Y83" s="77">
        <f ca="1">IFERROR(__xludf.DUMMYFUNCTION("IMPORTRANGE(""https://docs.google.com/spreadsheets/d/1IYY_tgx_IHuhSq3AJ5eI5OnqOPBNLWSHKh2a30DoXe8/edit?usp=sharing"",""พังงา!J238"")"),1)</f>
        <v>1</v>
      </c>
      <c r="Z83" s="77">
        <f ca="1">IFERROR(__xludf.DUMMYFUNCTION("IMPORTRANGE(""https://docs.google.com/spreadsheets/d/1IYY_tgx_IHuhSq3AJ5eI5OnqOPBNLWSHKh2a30DoXe8/edit?usp=sharing"",""พังงา!J239"")"),4.52)</f>
        <v>4.5199999999999996</v>
      </c>
      <c r="AA83" s="137">
        <f t="shared" ca="1" si="14"/>
        <v>0.90909090909090906</v>
      </c>
      <c r="AB83" s="77">
        <f ca="1">IFERROR(__xludf.DUMMYFUNCTION("IMPORTRANGE(""https://docs.google.com/spreadsheets/d/1IYY_tgx_IHuhSq3AJ5eI5OnqOPBNLWSHKh2a30DoXe8/edit?usp=sharing"",""พังงา!J240"")"),20)</f>
        <v>20</v>
      </c>
      <c r="AC83" s="77">
        <f ca="1">IFERROR(__xludf.DUMMYFUNCTION("IMPORTRANGE(""https://docs.google.com/spreadsheets/d/1IYY_tgx_IHuhSq3AJ5eI5OnqOPBNLWSHKh2a30DoXe8/edit?usp=sharing"",""พังงา!J241"")"),135.65)</f>
        <v>135.65</v>
      </c>
      <c r="AD83" s="219">
        <f t="shared" ca="1" si="16"/>
        <v>18.181818181818183</v>
      </c>
      <c r="AE83" s="215">
        <f ca="1">IFERROR(__xludf.DUMMYFUNCTION("IMPORTRANGE(""https://docs.google.com/spreadsheets/d/1AGHcLOeeYFL3K4b9R1dSzyJy00PE_ra89DNTVfnxSWM/edit?usp=sharing"",""รวมที่ทำกิน!AA76"")"),125)</f>
        <v>125</v>
      </c>
      <c r="AF83" s="215">
        <f ca="1">IFERROR(__xludf.DUMMYFUNCTION("IMPORTRANGE(""https://docs.google.com/spreadsheets/d/1AGHcLOeeYFL3K4b9R1dSzyJy00PE_ra89DNTVfnxSWM/edit?usp=sharing"",""รวมที่ทำกิน!AB76"")"),9)</f>
        <v>9</v>
      </c>
      <c r="AG83" s="215">
        <f ca="1">IFERROR(__xludf.DUMMYFUNCTION("IMPORTRANGE(""https://docs.google.com/spreadsheets/d/1AGHcLOeeYFL3K4b9R1dSzyJy00PE_ra89DNTVfnxSWM/edit?usp=sharing"",""รวมที่ทำกิน!AD76"")"),91.8)</f>
        <v>91.8</v>
      </c>
      <c r="AH83" s="219">
        <f t="shared" ca="1" si="101"/>
        <v>73.44</v>
      </c>
      <c r="AI83" s="215">
        <f ca="1">IFERROR(__xludf.DUMMYFUNCTION("IMPORTRANGE(""https://docs.google.com/spreadsheets/d/1AGHcLOeeYFL3K4b9R1dSzyJy00PE_ra89DNTVfnxSWM/edit?usp=sharing"",""รวมที่ทำกิน!AE76"")"),25)</f>
        <v>25</v>
      </c>
      <c r="AJ83" s="215">
        <f ca="1">IFERROR(__xludf.DUMMYFUNCTION("IMPORTRANGE(""https://docs.google.com/spreadsheets/d/1AGHcLOeeYFL3K4b9R1dSzyJy00PE_ra89DNTVfnxSWM/edit?usp=sharing"",""รวมที่ทำกิน!AF76"")"),0)</f>
        <v>0</v>
      </c>
      <c r="AK83" s="215">
        <f ca="1">IFERROR(__xludf.DUMMYFUNCTION("IMPORTRANGE(""https://docs.google.com/spreadsheets/d/1AGHcLOeeYFL3K4b9R1dSzyJy00PE_ra89DNTVfnxSWM/edit?usp=sharing"",""รวมที่ทำกิน!AH76"")"),0)</f>
        <v>0</v>
      </c>
      <c r="AL83" s="220">
        <f t="shared" ca="1" si="103"/>
        <v>0</v>
      </c>
      <c r="AM83" s="215">
        <f ca="1">IFERROR(__xludf.DUMMYFUNCTION("IMPORTRANGE(""https://docs.google.com/spreadsheets/d/1AGHcLOeeYFL3K4b9R1dSzyJy00PE_ra89DNTVfnxSWM/edit?usp=sharing"",""รวมที่ทำกิน!AI76"")"),0)</f>
        <v>0</v>
      </c>
      <c r="AN83" s="215">
        <f ca="1">IFERROR(__xludf.DUMMYFUNCTION("IMPORTRANGE(""https://docs.google.com/spreadsheets/d/1AGHcLOeeYFL3K4b9R1dSzyJy00PE_ra89DNTVfnxSWM/edit?usp=sharing"",""รวมที่ทำกิน!AK76"")"),0)</f>
        <v>0</v>
      </c>
      <c r="AO83" s="220">
        <f t="shared" ca="1" si="22"/>
        <v>0</v>
      </c>
      <c r="AP83" s="215">
        <f ca="1">IFERROR(__xludf.DUMMYFUNCTION("IMPORTRANGE(""https://docs.google.com/spreadsheets/d/1AGHcLOeeYFL3K4b9R1dSzyJy00PE_ra89DNTVfnxSWM/edit?usp=sharing"",""รวมที่ทำกิน!AL76"")"),0)</f>
        <v>0</v>
      </c>
      <c r="AQ83" s="215">
        <f ca="1">IFERROR(__xludf.DUMMYFUNCTION("IMPORTRANGE(""https://docs.google.com/spreadsheets/d/1AGHcLOeeYFL3K4b9R1dSzyJy00PE_ra89DNTVfnxSWM/edit?usp=sharing"",""รวมที่ทำกิน!AN76"")"),0)</f>
        <v>0</v>
      </c>
      <c r="AR83" s="220">
        <f t="shared" ca="1" si="24"/>
        <v>0</v>
      </c>
      <c r="AS83" s="215">
        <f ca="1">IFERROR(__xludf.DUMMYFUNCTION("IMPORTRANGE(""https://docs.google.com/spreadsheets/d/1AGHcLOeeYFL3K4b9R1dSzyJy00PE_ra89DNTVfnxSWM/edit?usp=sharing"",""รวมที่ทำกิน!AO76"")"),540)</f>
        <v>540</v>
      </c>
      <c r="AT83" s="215">
        <f ca="1">IFERROR(__xludf.DUMMYFUNCTION("IMPORTRANGE(""https://docs.google.com/spreadsheets/d/1AGHcLOeeYFL3K4b9R1dSzyJy00PE_ra89DNTVfnxSWM/edit?usp=sharing"",""รวมที่ทำกิน!AP76"")"),52)</f>
        <v>52</v>
      </c>
      <c r="AU83" s="215">
        <f ca="1">IFERROR(__xludf.DUMMYFUNCTION("IMPORTRANGE(""https://docs.google.com/spreadsheets/d/1AGHcLOeeYFL3K4b9R1dSzyJy00PE_ra89DNTVfnxSWM/edit?usp=sharing"",""รวมที่ทำกิน!AR76"")"),377.32)</f>
        <v>377.32</v>
      </c>
      <c r="AV83" s="220">
        <f t="shared" ca="1" si="107"/>
        <v>69.874074074074073</v>
      </c>
      <c r="AW83" s="215">
        <f ca="1">IFERROR(__xludf.DUMMYFUNCTION("IMPORTRANGE(""https://docs.google.com/spreadsheets/d/1AGHcLOeeYFL3K4b9R1dSzyJy00PE_ra89DNTVfnxSWM/edit?usp=sharing"",""รวมที่ทำกิน!AS76"")"),85)</f>
        <v>85</v>
      </c>
      <c r="AX83" s="215">
        <f ca="1">IFERROR(__xludf.DUMMYFUNCTION("IMPORTRANGE(""https://docs.google.com/spreadsheets/d/1AGHcLOeeYFL3K4b9R1dSzyJy00PE_ra89DNTVfnxSWM/edit?usp=sharing"",""รวมที่ทำกิน!AT76"")"),72)</f>
        <v>72</v>
      </c>
      <c r="AY83" s="215">
        <f ca="1">IFERROR(__xludf.DUMMYFUNCTION("IMPORTRANGE(""https://docs.google.com/spreadsheets/d/1AGHcLOeeYFL3K4b9R1dSzyJy00PE_ra89DNTVfnxSWM/edit?usp=sharing"",""รวมที่ทำกิน!AV76"")"),597.85)</f>
        <v>597.85</v>
      </c>
      <c r="AZ83" s="220">
        <f t="shared" ca="1" si="109"/>
        <v>84.705882352941174</v>
      </c>
      <c r="BA83" s="215">
        <f ca="1">IFERROR(__xludf.DUMMYFUNCTION("IMPORTRANGE(""https://docs.google.com/spreadsheets/d/1AGHcLOeeYFL3K4b9R1dSzyJy00PE_ra89DNTVfnxSWM/edit?usp=sharing"",""รวมที่ทำกิน!AW76"")"),1)</f>
        <v>1</v>
      </c>
      <c r="BB83" s="215">
        <f ca="1">IFERROR(__xludf.DUMMYFUNCTION("IMPORTRANGE(""https://docs.google.com/spreadsheets/d/1AGHcLOeeYFL3K4b9R1dSzyJy00PE_ra89DNTVfnxSWM/edit?usp=sharing"",""รวมที่ทำกิน!AY76"")"),4.52)</f>
        <v>4.5199999999999996</v>
      </c>
      <c r="BC83" s="220">
        <f t="shared" ca="1" si="30"/>
        <v>1.1764705882352942</v>
      </c>
      <c r="BD83" s="215">
        <f ca="1">IFERROR(__xludf.DUMMYFUNCTION("IMPORTRANGE(""https://docs.google.com/spreadsheets/d/1AGHcLOeeYFL3K4b9R1dSzyJy00PE_ra89DNTVfnxSWM/edit?usp=sharing"",""รวมที่ทำกิน!AZ76"")"),20)</f>
        <v>20</v>
      </c>
      <c r="BE83" s="215">
        <f ca="1">IFERROR(__xludf.DUMMYFUNCTION("IMPORTRANGE(""https://docs.google.com/spreadsheets/d/1AGHcLOeeYFL3K4b9R1dSzyJy00PE_ra89DNTVfnxSWM/edit?usp=sharing"",""รวมที่ทำกิน!BB76"")"),135.65)</f>
        <v>135.65</v>
      </c>
      <c r="BF83" s="221">
        <f t="shared" ca="1" si="32"/>
        <v>23.529411764705884</v>
      </c>
    </row>
    <row r="84" spans="1:58" ht="21" customHeight="1">
      <c r="A84" s="73">
        <v>8</v>
      </c>
      <c r="B84" s="74" t="s">
        <v>108</v>
      </c>
      <c r="C84" s="75">
        <f t="shared" ca="1" si="0"/>
        <v>719620</v>
      </c>
      <c r="D84" s="76">
        <f t="shared" ca="1" si="157"/>
        <v>580620</v>
      </c>
      <c r="E84" s="77">
        <f ca="1">IFERROR(__xludf.DUMMYFUNCTION("IMPORTRANGE(""https://docs.google.com/spreadsheets/d/1C3CXT74ZlgGe6_JY_1olB1XN4rF0dxEuIIF-xsYjHgg/edit?usp=sharing"",""พรบ!BX88"")"),306000)</f>
        <v>306000</v>
      </c>
      <c r="F84" s="77">
        <f ca="1">IFERROR(__xludf.DUMMYFUNCTION("IMPORTRANGE(""https://docs.google.com/spreadsheets/d/1C3CXT74ZlgGe6_JY_1olB1XN4rF0dxEuIIF-xsYjHgg/edit?usp=sharing"",""พรบ!BY88"")"),274620)</f>
        <v>274620</v>
      </c>
      <c r="G84" s="77">
        <f ca="1">IFERROR(__xludf.DUMMYFUNCTION("IMPORTRANGE(""https://docs.google.com/spreadsheets/d/1Yj_ptqi66GCucihVvJfMjLAmec39IyEx_6qawtMGysU/edit?usp=sharing"",""สบก!DJ88"")"),139000)</f>
        <v>139000</v>
      </c>
      <c r="H84" s="77">
        <f ca="1">IFERROR(__xludf.DUMMYFUNCTION("IMPORTRANGE(""https://docs.google.com/spreadsheets/d/1Yj_ptqi66GCucihVvJfMjLAmec39IyEx_6qawtMGysU/edit?usp=shDLing"",""สบก!DL88"")"),418920)</f>
        <v>418920</v>
      </c>
      <c r="I84" s="77">
        <f t="shared" ca="1" si="3"/>
        <v>429423.16</v>
      </c>
      <c r="J84" s="77">
        <f t="shared" ca="1" si="4"/>
        <v>59.673599955532083</v>
      </c>
      <c r="K84" s="77">
        <f ca="1">IFERROR(__xludf.DUMMYFUNCTION("IMPORTRANGE(""https://docs.google.com/spreadsheets/d/1Yj_ptqi66GCucihVvJfMjLAmec39IyEx_6qawtMGysU/edit?usp=sharing"",""สบก!DM88"")"),290423.16)</f>
        <v>290423.15999999997</v>
      </c>
      <c r="L84" s="137">
        <f t="shared" ca="1" si="5"/>
        <v>50.019489511212143</v>
      </c>
      <c r="M84" s="137">
        <f t="shared" ca="1" si="6"/>
        <v>69.326639931251776</v>
      </c>
      <c r="N84" s="137">
        <f ca="1">IFERROR(__xludf.DUMMYFUNCTION("IMPORTRANGE(""https://docs.google.com/spreadsheets/d/1Yj_ptqi66GCucihVvJfMjLAmec39IyEx_6qawtMGysU/edit?usp=sharing"",""สบก!DN88"")"),139000)</f>
        <v>139000</v>
      </c>
      <c r="O84" s="137">
        <f t="shared" ca="1" si="7"/>
        <v>100</v>
      </c>
      <c r="P84" s="77">
        <f ca="1">IFERROR(__xludf.DUMMYFUNCTION("IMPORTRANGE(""https://docs.google.com/spreadsheets/d/1C3CXT74ZlgGe6_JY_1olB1XN4rF0dxEuIIF-xsYjHgg/edit?usp=sharing"",""พรบ!CA88"")"),165)</f>
        <v>165</v>
      </c>
      <c r="Q84" s="77">
        <f ca="1">IFERROR(__xludf.DUMMYFUNCTION("IMPORTRANGE(""https://docs.google.com/spreadsheets/d/1C3CXT74ZlgGe6_JY_1olB1XN4rF0dxEuIIF-xsYjHgg/edit?usp=sharing"",""พรบ!BZ88"")"),700)</f>
        <v>700</v>
      </c>
      <c r="R84" s="218">
        <f t="shared" ca="1" si="95"/>
        <v>99</v>
      </c>
      <c r="S84" s="77">
        <f ca="1">IFERROR(__xludf.DUMMYFUNCTION("IMPORTRANGE(""https://docs.google.com/spreadsheets/d/1IYY_tgx_IHuhSq3AJ5eI5OnqOPBNLWSHKh2a30DoXe8/edit?usp=sharing"",""พัทลุง!J234"")"),116)</f>
        <v>116</v>
      </c>
      <c r="T84" s="77">
        <f ca="1">IFERROR(__xludf.DUMMYFUNCTION("IMPORTRANGE(""https://docs.google.com/spreadsheets/d/1IYY_tgx_IHuhSq3AJ5eI5OnqOPBNLWSHKh2a30DoXe8/edit?usp=sharing"",""พัทลุง!J235"")"),609.81)</f>
        <v>609.80999999999995</v>
      </c>
      <c r="U84" s="137">
        <f t="shared" ca="1" si="10"/>
        <v>87.115714285714276</v>
      </c>
      <c r="V84" s="77">
        <f ca="1">IFERROR(__xludf.DUMMYFUNCTION("IMPORTRANGE(""https://docs.google.com/spreadsheets/d/1IYY_tgx_IHuhSq3AJ5eI5OnqOPBNLWSHKh2a30DoXe8/edit?usp=sharing"",""พัทลุง!J236"")"),181)</f>
        <v>181</v>
      </c>
      <c r="W84" s="77">
        <f ca="1">IFERROR(__xludf.DUMMYFUNCTION("IMPORTRANGE(""https://docs.google.com/spreadsheets/d/1IYY_tgx_IHuhSq3AJ5eI5OnqOPBNLWSHKh2a30DoXe8/edit?usp=sharing"",""พัทลุง!J237"")"),1116.65)</f>
        <v>1116.6500000000001</v>
      </c>
      <c r="X84" s="137">
        <f t="shared" ca="1" si="12"/>
        <v>109.6969696969697</v>
      </c>
      <c r="Y84" s="77">
        <f ca="1">IFERROR(__xludf.DUMMYFUNCTION("IMPORTRANGE(""https://docs.google.com/spreadsheets/d/1IYY_tgx_IHuhSq3AJ5eI5OnqOPBNLWSHKh2a30DoXe8/edit?usp=sharing"",""พัทลุง!J238"")"),17)</f>
        <v>17</v>
      </c>
      <c r="Z84" s="77">
        <f ca="1">IFERROR(__xludf.DUMMYFUNCTION("IMPORTRANGE(""https://docs.google.com/spreadsheets/d/1IYY_tgx_IHuhSq3AJ5eI5OnqOPBNLWSHKh2a30DoXe8/edit?usp=sharing"",""พัทลุง!J239"")"),102.53)</f>
        <v>102.53</v>
      </c>
      <c r="AA84" s="137">
        <f t="shared" ca="1" si="14"/>
        <v>10.303030303030303</v>
      </c>
      <c r="AB84" s="77">
        <f ca="1">IFERROR(__xludf.DUMMYFUNCTION("IMPORTRANGE(""https://docs.google.com/spreadsheets/d/1IYY_tgx_IHuhSq3AJ5eI5OnqOPBNLWSHKh2a30DoXe8/edit?usp=sharing"",""พัทลุง!J240"")"),109)</f>
        <v>109</v>
      </c>
      <c r="AC84" s="77">
        <f ca="1">IFERROR(__xludf.DUMMYFUNCTION("IMPORTRANGE(""https://docs.google.com/spreadsheets/d/1IYY_tgx_IHuhSq3AJ5eI5OnqOPBNLWSHKh2a30DoXe8/edit?usp=sharing"",""พัทลุง!J241"")"),669.079999999999)</f>
        <v>669.07999999999902</v>
      </c>
      <c r="AD84" s="219">
        <f t="shared" ca="1" si="16"/>
        <v>66.060606060606062</v>
      </c>
      <c r="AE84" s="215">
        <f ca="1">IFERROR(__xludf.DUMMYFUNCTION("IMPORTRANGE(""https://docs.google.com/spreadsheets/d/1AGHcLOeeYFL3K4b9R1dSzyJy00PE_ra89DNTVfnxSWM/edit?usp=sharing"",""รวมที่ทำกิน!AA77"")"),300)</f>
        <v>300</v>
      </c>
      <c r="AF84" s="215">
        <f ca="1">IFERROR(__xludf.DUMMYFUNCTION("IMPORTRANGE(""https://docs.google.com/spreadsheets/d/1AGHcLOeeYFL3K4b9R1dSzyJy00PE_ra89DNTVfnxSWM/edit?usp=sharing"",""รวมที่ทำกิน!AB77"")"),23)</f>
        <v>23</v>
      </c>
      <c r="AG84" s="215">
        <f ca="1">IFERROR(__xludf.DUMMYFUNCTION("IMPORTRANGE(""https://docs.google.com/spreadsheets/d/1AGHcLOeeYFL3K4b9R1dSzyJy00PE_ra89DNTVfnxSWM/edit?usp=sharing"",""รวมที่ทำกิน!AD77"")"),87.13)</f>
        <v>87.13</v>
      </c>
      <c r="AH84" s="219">
        <f t="shared" ca="1" si="101"/>
        <v>29.043333333333333</v>
      </c>
      <c r="AI84" s="215">
        <f ca="1">IFERROR(__xludf.DUMMYFUNCTION("IMPORTRANGE(""https://docs.google.com/spreadsheets/d/1AGHcLOeeYFL3K4b9R1dSzyJy00PE_ra89DNTVfnxSWM/edit?usp=sharing"",""รวมที่ทำกิน!AE77"")"),70)</f>
        <v>70</v>
      </c>
      <c r="AJ84" s="215">
        <f ca="1">IFERROR(__xludf.DUMMYFUNCTION("IMPORTRANGE(""https://docs.google.com/spreadsheets/d/1AGHcLOeeYFL3K4b9R1dSzyJy00PE_ra89DNTVfnxSWM/edit?usp=sharing"",""รวมที่ทำกิน!AF77"")"),6)</f>
        <v>6</v>
      </c>
      <c r="AK84" s="215">
        <f ca="1">IFERROR(__xludf.DUMMYFUNCTION("IMPORTRANGE(""https://docs.google.com/spreadsheets/d/1AGHcLOeeYFL3K4b9R1dSzyJy00PE_ra89DNTVfnxSWM/edit?usp=sharing"",""รวมที่ทำกิน!AH77"")"),24.76)</f>
        <v>24.76</v>
      </c>
      <c r="AL84" s="220">
        <f t="shared" ca="1" si="103"/>
        <v>8.5714285714285712</v>
      </c>
      <c r="AM84" s="215">
        <f ca="1">IFERROR(__xludf.DUMMYFUNCTION("IMPORTRANGE(""https://docs.google.com/spreadsheets/d/1AGHcLOeeYFL3K4b9R1dSzyJy00PE_ra89DNTVfnxSWM/edit?usp=sharing"",""รวมที่ทำกิน!AI77"")"),0)</f>
        <v>0</v>
      </c>
      <c r="AN84" s="215">
        <f ca="1">IFERROR(__xludf.DUMMYFUNCTION("IMPORTRANGE(""https://docs.google.com/spreadsheets/d/1AGHcLOeeYFL3K4b9R1dSzyJy00PE_ra89DNTVfnxSWM/edit?usp=sharing"",""รวมที่ทำกิน!AK77"")"),0)</f>
        <v>0</v>
      </c>
      <c r="AO84" s="220">
        <f t="shared" ca="1" si="22"/>
        <v>0</v>
      </c>
      <c r="AP84" s="215">
        <f ca="1">IFERROR(__xludf.DUMMYFUNCTION("IMPORTRANGE(""https://docs.google.com/spreadsheets/d/1AGHcLOeeYFL3K4b9R1dSzyJy00PE_ra89DNTVfnxSWM/edit?usp=sharing"",""รวมที่ทำกิน!AL77"")"),5)</f>
        <v>5</v>
      </c>
      <c r="AQ84" s="215">
        <f ca="1">IFERROR(__xludf.DUMMYFUNCTION("IMPORTRANGE(""https://docs.google.com/spreadsheets/d/1AGHcLOeeYFL3K4b9R1dSzyJy00PE_ra89DNTVfnxSWM/edit?usp=sharing"",""รวมที่ทำกิน!AN77"")"),18.42)</f>
        <v>18.420000000000002</v>
      </c>
      <c r="AR84" s="220">
        <f t="shared" ca="1" si="24"/>
        <v>7.1428571428571432</v>
      </c>
      <c r="AS84" s="215">
        <f ca="1">IFERROR(__xludf.DUMMYFUNCTION("IMPORTRANGE(""https://docs.google.com/spreadsheets/d/1AGHcLOeeYFL3K4b9R1dSzyJy00PE_ra89DNTVfnxSWM/edit?usp=sharing"",""รวมที่ทำกิน!AO77"")"),400)</f>
        <v>400</v>
      </c>
      <c r="AT84" s="215">
        <f ca="1">IFERROR(__xludf.DUMMYFUNCTION("IMPORTRANGE(""https://docs.google.com/spreadsheets/d/1AGHcLOeeYFL3K4b9R1dSzyJy00PE_ra89DNTVfnxSWM/edit?usp=sharing"",""รวมที่ทำกิน!AP77"")"),93)</f>
        <v>93</v>
      </c>
      <c r="AU84" s="215">
        <f ca="1">IFERROR(__xludf.DUMMYFUNCTION("IMPORTRANGE(""https://docs.google.com/spreadsheets/d/1AGHcLOeeYFL3K4b9R1dSzyJy00PE_ra89DNTVfnxSWM/edit?usp=sharing"",""รวมที่ทำกิน!AR77"")"),522.68)</f>
        <v>522.67999999999995</v>
      </c>
      <c r="AV84" s="220">
        <f t="shared" ca="1" si="107"/>
        <v>130.66999999999999</v>
      </c>
      <c r="AW84" s="215">
        <f ca="1">IFERROR(__xludf.DUMMYFUNCTION("IMPORTRANGE(""https://docs.google.com/spreadsheets/d/1AGHcLOeeYFL3K4b9R1dSzyJy00PE_ra89DNTVfnxSWM/edit?usp=sharing"",""รวมที่ทำกิน!AS77"")"),95)</f>
        <v>95</v>
      </c>
      <c r="AX84" s="215">
        <f ca="1">IFERROR(__xludf.DUMMYFUNCTION("IMPORTRANGE(""https://docs.google.com/spreadsheets/d/1AGHcLOeeYFL3K4b9R1dSzyJy00PE_ra89DNTVfnxSWM/edit?usp=sharing"",""รวมที่ทำกิน!AT77"")"),175)</f>
        <v>175</v>
      </c>
      <c r="AY84" s="215">
        <f ca="1">IFERROR(__xludf.DUMMYFUNCTION("IMPORTRANGE(""https://docs.google.com/spreadsheets/d/1AGHcLOeeYFL3K4b9R1dSzyJy00PE_ra89DNTVfnxSWM/edit?usp=sharing"",""รวมที่ทำกิน!AV77"")"),1091.89)</f>
        <v>1091.8900000000001</v>
      </c>
      <c r="AZ84" s="220">
        <f t="shared" ca="1" si="109"/>
        <v>184.21052631578948</v>
      </c>
      <c r="BA84" s="215">
        <f ca="1">IFERROR(__xludf.DUMMYFUNCTION("IMPORTRANGE(""https://docs.google.com/spreadsheets/d/1AGHcLOeeYFL3K4b9R1dSzyJy00PE_ra89DNTVfnxSWM/edit?usp=sharing"",""รวมที่ทำกิน!AW77"")"),17)</f>
        <v>17</v>
      </c>
      <c r="BB84" s="215">
        <f ca="1">IFERROR(__xludf.DUMMYFUNCTION("IMPORTRANGE(""https://docs.google.com/spreadsheets/d/1AGHcLOeeYFL3K4b9R1dSzyJy00PE_ra89DNTVfnxSWM/edit?usp=sharing"",""รวมที่ทำกิน!AY77"")"),102.53)</f>
        <v>102.53</v>
      </c>
      <c r="BC84" s="220">
        <f t="shared" ca="1" si="30"/>
        <v>17.894736842105264</v>
      </c>
      <c r="BD84" s="215">
        <f ca="1">IFERROR(__xludf.DUMMYFUNCTION("IMPORTRANGE(""https://docs.google.com/spreadsheets/d/1AGHcLOeeYFL3K4b9R1dSzyJy00PE_ra89DNTVfnxSWM/edit?usp=sharing"",""รวมที่ทำกิน!AZ77"")"),104)</f>
        <v>104</v>
      </c>
      <c r="BE84" s="215">
        <f ca="1">IFERROR(__xludf.DUMMYFUNCTION("IMPORTRANGE(""https://docs.google.com/spreadsheets/d/1AGHcLOeeYFL3K4b9R1dSzyJy00PE_ra89DNTVfnxSWM/edit?usp=sharing"",""รวมที่ทำกิน!BB77"")"),650.66)</f>
        <v>650.66</v>
      </c>
      <c r="BF84" s="221">
        <f t="shared" ca="1" si="32"/>
        <v>109.47368421052632</v>
      </c>
    </row>
    <row r="85" spans="1:58" ht="21" customHeight="1">
      <c r="A85" s="73">
        <v>9</v>
      </c>
      <c r="B85" s="74" t="s">
        <v>109</v>
      </c>
      <c r="C85" s="75">
        <f t="shared" ca="1" si="0"/>
        <v>734400</v>
      </c>
      <c r="D85" s="76">
        <f t="shared" ca="1" si="157"/>
        <v>696600</v>
      </c>
      <c r="E85" s="77">
        <f ca="1">IFERROR(__xludf.DUMMYFUNCTION("IMPORTRANGE(""https://docs.google.com/spreadsheets/d/1C3CXT74ZlgGe6_JY_1olB1XN4rF0dxEuIIF-xsYjHgg/edit?usp=sharing"",""พรบ!BX89"")"),495500)</f>
        <v>495500</v>
      </c>
      <c r="F85" s="77">
        <f ca="1">IFERROR(__xludf.DUMMYFUNCTION("IMPORTRANGE(""https://docs.google.com/spreadsheets/d/1C3CXT74ZlgGe6_JY_1olB1XN4rF0dxEuIIF-xsYjHgg/edit?usp=sharing"",""พรบ!BY89"")"),201100)</f>
        <v>201100</v>
      </c>
      <c r="G85" s="77">
        <f ca="1">IFERROR(__xludf.DUMMYFUNCTION("IMPORTRANGE(""https://docs.google.com/spreadsheets/d/1Yj_ptqi66GCucihVvJfMjLAmec39IyEx_6qawtMGysU/edit?usp=sharing"",""สบก!DJ89"")"),37800)</f>
        <v>37800</v>
      </c>
      <c r="H85" s="77">
        <f ca="1">IFERROR(__xludf.DUMMYFUNCTION("IMPORTRANGE(""https://docs.google.com/spreadsheets/d/1Yj_ptqi66GCucihVvJfMjLAmec39IyEx_6qawtMGysU/edit?usp=shDLing"",""สบก!DL89"")"),514460)</f>
        <v>514460</v>
      </c>
      <c r="I85" s="77">
        <f t="shared" ca="1" si="3"/>
        <v>382633.72</v>
      </c>
      <c r="J85" s="77">
        <f t="shared" ca="1" si="4"/>
        <v>52.101541394335513</v>
      </c>
      <c r="K85" s="77">
        <f ca="1">IFERROR(__xludf.DUMMYFUNCTION("IMPORTRANGE(""https://docs.google.com/spreadsheets/d/1Yj_ptqi66GCucihVvJfMjLAmec39IyEx_6qawtMGysU/edit?usp=sharing"",""สบก!DM89"")"),344833.72)</f>
        <v>344833.72</v>
      </c>
      <c r="L85" s="137">
        <f t="shared" ca="1" si="5"/>
        <v>49.502400229687055</v>
      </c>
      <c r="M85" s="137">
        <f t="shared" ca="1" si="6"/>
        <v>67.028285969754691</v>
      </c>
      <c r="N85" s="137">
        <f ca="1">IFERROR(__xludf.DUMMYFUNCTION("IMPORTRANGE(""https://docs.google.com/spreadsheets/d/1Yj_ptqi66GCucihVvJfMjLAmec39IyEx_6qawtMGysU/edit?usp=sharing"",""สบก!DN89"")"),37800)</f>
        <v>37800</v>
      </c>
      <c r="O85" s="137">
        <f t="shared" ca="1" si="7"/>
        <v>100</v>
      </c>
      <c r="P85" s="77">
        <f ca="1">IFERROR(__xludf.DUMMYFUNCTION("IMPORTRANGE(""https://docs.google.com/spreadsheets/d/1C3CXT74ZlgGe6_JY_1olB1XN4rF0dxEuIIF-xsYjHgg/edit?usp=sharing"",""พรบ!CA89"")"),25)</f>
        <v>25</v>
      </c>
      <c r="Q85" s="77">
        <f ca="1">IFERROR(__xludf.DUMMYFUNCTION("IMPORTRANGE(""https://docs.google.com/spreadsheets/d/1C3CXT74ZlgGe6_JY_1olB1XN4rF0dxEuIIF-xsYjHgg/edit?usp=sharing"",""พรบ!BZ89"")"),200)</f>
        <v>200</v>
      </c>
      <c r="R85" s="218">
        <f t="shared" ca="1" si="95"/>
        <v>15</v>
      </c>
      <c r="S85" s="77">
        <f ca="1">IFERROR(__xludf.DUMMYFUNCTION("IMPORTRANGE(""https://docs.google.com/spreadsheets/d/1IYY_tgx_IHuhSq3AJ5eI5OnqOPBNLWSHKh2a30DoXe8/edit?usp=sharing"",""ภูเก็ต!J234"")"),5)</f>
        <v>5</v>
      </c>
      <c r="T85" s="77">
        <f ca="1">IFERROR(__xludf.DUMMYFUNCTION("IMPORTRANGE(""https://docs.google.com/spreadsheets/d/1IYY_tgx_IHuhSq3AJ5eI5OnqOPBNLWSHKh2a30DoXe8/edit?usp=sharing"",""ภูเก็ต!J235"")"),6.88)</f>
        <v>6.88</v>
      </c>
      <c r="U85" s="137">
        <f t="shared" ca="1" si="10"/>
        <v>3.44</v>
      </c>
      <c r="V85" s="77">
        <f ca="1">IFERROR(__xludf.DUMMYFUNCTION("IMPORTRANGE(""https://docs.google.com/spreadsheets/d/1IYY_tgx_IHuhSq3AJ5eI5OnqOPBNLWSHKh2a30DoXe8/edit?usp=sharing"",""ภูเก็ต!J236"")"),5)</f>
        <v>5</v>
      </c>
      <c r="W85" s="77">
        <f ca="1">IFERROR(__xludf.DUMMYFUNCTION("IMPORTRANGE(""https://docs.google.com/spreadsheets/d/1IYY_tgx_IHuhSq3AJ5eI5OnqOPBNLWSHKh2a30DoXe8/edit?usp=sharing"",""ภูเก็ต!J237"")"),6.88)</f>
        <v>6.88</v>
      </c>
      <c r="X85" s="137">
        <f t="shared" ca="1" si="12"/>
        <v>20</v>
      </c>
      <c r="Y85" s="77">
        <f ca="1">IFERROR(__xludf.DUMMYFUNCTION("IMPORTRANGE(""https://docs.google.com/spreadsheets/d/1IYY_tgx_IHuhSq3AJ5eI5OnqOPBNLWSHKh2a30DoXe8/edit?usp=sharing"",""ภูเก็ต!J238"")"),0)</f>
        <v>0</v>
      </c>
      <c r="Z85" s="77">
        <f ca="1">IFERROR(__xludf.DUMMYFUNCTION("IMPORTRANGE(""https://docs.google.com/spreadsheets/d/1IYY_tgx_IHuhSq3AJ5eI5OnqOPBNLWSHKh2a30DoXe8/edit?usp=sharing"",""ภูเก็ต!J239"")"),0)</f>
        <v>0</v>
      </c>
      <c r="AA85" s="137">
        <f t="shared" ca="1" si="14"/>
        <v>0</v>
      </c>
      <c r="AB85" s="77">
        <f ca="1">IFERROR(__xludf.DUMMYFUNCTION("IMPORTRANGE(""https://docs.google.com/spreadsheets/d/1IYY_tgx_IHuhSq3AJ5eI5OnqOPBNLWSHKh2a30DoXe8/edit?usp=sharing"",""ภูเก็ต!J240"")"),1)</f>
        <v>1</v>
      </c>
      <c r="AC85" s="77">
        <f ca="1">IFERROR(__xludf.DUMMYFUNCTION("IMPORTRANGE(""https://docs.google.com/spreadsheets/d/1IYY_tgx_IHuhSq3AJ5eI5OnqOPBNLWSHKh2a30DoXe8/edit?usp=sharing"",""ภูเก็ต!J241"")"),1.05)</f>
        <v>1.05</v>
      </c>
      <c r="AD85" s="219">
        <f t="shared" ca="1" si="16"/>
        <v>4</v>
      </c>
      <c r="AE85" s="215">
        <f ca="1">IFERROR(__xludf.DUMMYFUNCTION("IMPORTRANGE(""https://docs.google.com/spreadsheets/d/1AGHcLOeeYFL3K4b9R1dSzyJy00PE_ra89DNTVfnxSWM/edit?usp=sharing"",""รวมที่ทำกิน!AA78"")"),120)</f>
        <v>120</v>
      </c>
      <c r="AF85" s="215">
        <f ca="1">IFERROR(__xludf.DUMMYFUNCTION("IMPORTRANGE(""https://docs.google.com/spreadsheets/d/1AGHcLOeeYFL3K4b9R1dSzyJy00PE_ra89DNTVfnxSWM/edit?usp=sharing"",""รวมที่ทำกิน!AB78"")"),0)</f>
        <v>0</v>
      </c>
      <c r="AG85" s="215">
        <f ca="1">IFERROR(__xludf.DUMMYFUNCTION("IMPORTRANGE(""https://docs.google.com/spreadsheets/d/1AGHcLOeeYFL3K4b9R1dSzyJy00PE_ra89DNTVfnxSWM/edit?usp=sharing"",""รวมที่ทำกิน!AD78"")"),0)</f>
        <v>0</v>
      </c>
      <c r="AH85" s="219">
        <f t="shared" ca="1" si="101"/>
        <v>0</v>
      </c>
      <c r="AI85" s="215">
        <f ca="1">IFERROR(__xludf.DUMMYFUNCTION("IMPORTRANGE(""https://docs.google.com/spreadsheets/d/1AGHcLOeeYFL3K4b9R1dSzyJy00PE_ra89DNTVfnxSWM/edit?usp=sharing"",""รวมที่ทำกิน!AE78"")"),10)</f>
        <v>10</v>
      </c>
      <c r="AJ85" s="215">
        <f ca="1">IFERROR(__xludf.DUMMYFUNCTION("IMPORTRANGE(""https://docs.google.com/spreadsheets/d/1AGHcLOeeYFL3K4b9R1dSzyJy00PE_ra89DNTVfnxSWM/edit?usp=sharing"",""รวมที่ทำกิน!AF78"")"),0)</f>
        <v>0</v>
      </c>
      <c r="AK85" s="215">
        <f ca="1">IFERROR(__xludf.DUMMYFUNCTION("IMPORTRANGE(""https://docs.google.com/spreadsheets/d/1AGHcLOeeYFL3K4b9R1dSzyJy00PE_ra89DNTVfnxSWM/edit?usp=sharing"",""รวมที่ทำกิน!AH78"")"),0)</f>
        <v>0</v>
      </c>
      <c r="AL85" s="220">
        <f t="shared" ca="1" si="103"/>
        <v>0</v>
      </c>
      <c r="AM85" s="215">
        <f ca="1">IFERROR(__xludf.DUMMYFUNCTION("IMPORTRANGE(""https://docs.google.com/spreadsheets/d/1AGHcLOeeYFL3K4b9R1dSzyJy00PE_ra89DNTVfnxSWM/edit?usp=sharing"",""รวมที่ทำกิน!AI78"")"),0)</f>
        <v>0</v>
      </c>
      <c r="AN85" s="215">
        <f ca="1">IFERROR(__xludf.DUMMYFUNCTION("IMPORTRANGE(""https://docs.google.com/spreadsheets/d/1AGHcLOeeYFL3K4b9R1dSzyJy00PE_ra89DNTVfnxSWM/edit?usp=sharing"",""รวมที่ทำกิน!AK78"")"),0)</f>
        <v>0</v>
      </c>
      <c r="AO85" s="220">
        <f t="shared" ca="1" si="22"/>
        <v>0</v>
      </c>
      <c r="AP85" s="215">
        <f ca="1">IFERROR(__xludf.DUMMYFUNCTION("IMPORTRANGE(""https://docs.google.com/spreadsheets/d/1AGHcLOeeYFL3K4b9R1dSzyJy00PE_ra89DNTVfnxSWM/edit?usp=sharing"",""รวมที่ทำกิน!AL78"")"),0)</f>
        <v>0</v>
      </c>
      <c r="AQ85" s="215">
        <f ca="1">IFERROR(__xludf.DUMMYFUNCTION("IMPORTRANGE(""https://docs.google.com/spreadsheets/d/1AGHcLOeeYFL3K4b9R1dSzyJy00PE_ra89DNTVfnxSWM/edit?usp=sharing"",""รวมที่ทำกิน!AN78"")"),0)</f>
        <v>0</v>
      </c>
      <c r="AR85" s="220">
        <f t="shared" ca="1" si="24"/>
        <v>0</v>
      </c>
      <c r="AS85" s="215">
        <f ca="1">IFERROR(__xludf.DUMMYFUNCTION("IMPORTRANGE(""https://docs.google.com/spreadsheets/d/1AGHcLOeeYFL3K4b9R1dSzyJy00PE_ra89DNTVfnxSWM/edit?usp=sharing"",""รวมที่ทำกิน!AO78"")"),80)</f>
        <v>80</v>
      </c>
      <c r="AT85" s="215">
        <f ca="1">IFERROR(__xludf.DUMMYFUNCTION("IMPORTRANGE(""https://docs.google.com/spreadsheets/d/1AGHcLOeeYFL3K4b9R1dSzyJy00PE_ra89DNTVfnxSWM/edit?usp=sharing"",""รวมที่ทำกิน!AP78"")"),5)</f>
        <v>5</v>
      </c>
      <c r="AU85" s="215">
        <f ca="1">IFERROR(__xludf.DUMMYFUNCTION("IMPORTRANGE(""https://docs.google.com/spreadsheets/d/1AGHcLOeeYFL3K4b9R1dSzyJy00PE_ra89DNTVfnxSWM/edit?usp=sharing"",""รวมที่ทำกิน!AR78"")"),6.88)</f>
        <v>6.88</v>
      </c>
      <c r="AV85" s="220">
        <f t="shared" ca="1" si="107"/>
        <v>8.6</v>
      </c>
      <c r="AW85" s="215">
        <f ca="1">IFERROR(__xludf.DUMMYFUNCTION("IMPORTRANGE(""https://docs.google.com/spreadsheets/d/1AGHcLOeeYFL3K4b9R1dSzyJy00PE_ra89DNTVfnxSWM/edit?usp=sharing"",""รวมที่ทำกิน!AS78"")"),15)</f>
        <v>15</v>
      </c>
      <c r="AX85" s="215">
        <f ca="1">IFERROR(__xludf.DUMMYFUNCTION("IMPORTRANGE(""https://docs.google.com/spreadsheets/d/1AGHcLOeeYFL3K4b9R1dSzyJy00PE_ra89DNTVfnxSWM/edit?usp=sharing"",""รวมที่ทำกิน!AT78"")"),5)</f>
        <v>5</v>
      </c>
      <c r="AY85" s="215">
        <f ca="1">IFERROR(__xludf.DUMMYFUNCTION("IMPORTRANGE(""https://docs.google.com/spreadsheets/d/1AGHcLOeeYFL3K4b9R1dSzyJy00PE_ra89DNTVfnxSWM/edit?usp=sharing"",""รวมที่ทำกิน!AV78"")"),6.88)</f>
        <v>6.88</v>
      </c>
      <c r="AZ85" s="220">
        <f t="shared" ca="1" si="109"/>
        <v>33.333333333333336</v>
      </c>
      <c r="BA85" s="215">
        <f ca="1">IFERROR(__xludf.DUMMYFUNCTION("IMPORTRANGE(""https://docs.google.com/spreadsheets/d/1AGHcLOeeYFL3K4b9R1dSzyJy00PE_ra89DNTVfnxSWM/edit?usp=sharing"",""รวมที่ทำกิน!AW78"")"),0)</f>
        <v>0</v>
      </c>
      <c r="BB85" s="215">
        <f ca="1">IFERROR(__xludf.DUMMYFUNCTION("IMPORTRANGE(""https://docs.google.com/spreadsheets/d/1AGHcLOeeYFL3K4b9R1dSzyJy00PE_ra89DNTVfnxSWM/edit?usp=sharing"",""รวมที่ทำกิน!AY78"")"),0)</f>
        <v>0</v>
      </c>
      <c r="BC85" s="220">
        <f t="shared" ca="1" si="30"/>
        <v>0</v>
      </c>
      <c r="BD85" s="215">
        <f ca="1">IFERROR(__xludf.DUMMYFUNCTION("IMPORTRANGE(""https://docs.google.com/spreadsheets/d/1AGHcLOeeYFL3K4b9R1dSzyJy00PE_ra89DNTVfnxSWM/edit?usp=sharing"",""รวมที่ทำกิน!AZ78"")"),1)</f>
        <v>1</v>
      </c>
      <c r="BE85" s="215">
        <f ca="1">IFERROR(__xludf.DUMMYFUNCTION("IMPORTRANGE(""https://docs.google.com/spreadsheets/d/1AGHcLOeeYFL3K4b9R1dSzyJy00PE_ra89DNTVfnxSWM/edit?usp=sharing"",""รวมที่ทำกิน!BB78"")"),1.05)</f>
        <v>1.05</v>
      </c>
      <c r="BF85" s="221">
        <f t="shared" ca="1" si="32"/>
        <v>6.666666666666667</v>
      </c>
    </row>
    <row r="86" spans="1:58" ht="21" customHeight="1">
      <c r="A86" s="73">
        <v>10</v>
      </c>
      <c r="B86" s="74" t="s">
        <v>110</v>
      </c>
      <c r="C86" s="75">
        <f t="shared" ca="1" si="0"/>
        <v>1038050</v>
      </c>
      <c r="D86" s="76">
        <f t="shared" ca="1" si="157"/>
        <v>891050</v>
      </c>
      <c r="E86" s="77">
        <f ca="1">IFERROR(__xludf.DUMMYFUNCTION("IMPORTRANGE(""https://docs.google.com/spreadsheets/d/1C3CXT74ZlgGe6_JY_1olB1XN4rF0dxEuIIF-xsYjHgg/edit?usp=sharing"",""พรบ!BX90"")"),624000)</f>
        <v>624000</v>
      </c>
      <c r="F86" s="77">
        <f ca="1">IFERROR(__xludf.DUMMYFUNCTION("IMPORTRANGE(""https://docs.google.com/spreadsheets/d/1C3CXT74ZlgGe6_JY_1olB1XN4rF0dxEuIIF-xsYjHgg/edit?usp=sharing"",""พรบ!BY90"")"),267050)</f>
        <v>267050</v>
      </c>
      <c r="G86" s="77">
        <f ca="1">IFERROR(__xludf.DUMMYFUNCTION("IMPORTRANGE(""https://docs.google.com/spreadsheets/d/1Yj_ptqi66GCucihVvJfMjLAmec39IyEx_6qawtMGysU/edit?usp=sharing"",""สบก!DJ90"")"),147000)</f>
        <v>147000</v>
      </c>
      <c r="H86" s="77">
        <f ca="1">IFERROR(__xludf.DUMMYFUNCTION("IMPORTRANGE(""https://docs.google.com/spreadsheets/d/1Yj_ptqi66GCucihVvJfMjLAmec39IyEx_6qawtMGysU/edit?usp=shDLing"",""สบก!DL90"")"),657090)</f>
        <v>657090</v>
      </c>
      <c r="I86" s="77">
        <f t="shared" ca="1" si="3"/>
        <v>558067.31000000006</v>
      </c>
      <c r="J86" s="77">
        <f t="shared" ca="1" si="4"/>
        <v>53.761120369924384</v>
      </c>
      <c r="K86" s="77">
        <f ca="1">IFERROR(__xludf.DUMMYFUNCTION("IMPORTRANGE(""https://docs.google.com/spreadsheets/d/1Yj_ptqi66GCucihVvJfMjLAmec39IyEx_6qawtMGysU/edit?usp=sharing"",""สบก!DM90"")"),411067.31)</f>
        <v>411067.31</v>
      </c>
      <c r="L86" s="137">
        <f t="shared" ca="1" si="5"/>
        <v>46.132911733348294</v>
      </c>
      <c r="M86" s="137">
        <f t="shared" ca="1" si="6"/>
        <v>62.558752986653275</v>
      </c>
      <c r="N86" s="137">
        <f ca="1">IFERROR(__xludf.DUMMYFUNCTION("IMPORTRANGE(""https://docs.google.com/spreadsheets/d/1Yj_ptqi66GCucihVvJfMjLAmec39IyEx_6qawtMGysU/edit?usp=sharing"",""สบก!DN90"")"),147000)</f>
        <v>147000</v>
      </c>
      <c r="O86" s="137">
        <f t="shared" ca="1" si="7"/>
        <v>100</v>
      </c>
      <c r="P86" s="77">
        <f ca="1">IFERROR(__xludf.DUMMYFUNCTION("IMPORTRANGE(""https://docs.google.com/spreadsheets/d/1C3CXT74ZlgGe6_JY_1olB1XN4rF0dxEuIIF-xsYjHgg/edit?usp=sharing"",""พรบ!CA90"")"),100)</f>
        <v>100</v>
      </c>
      <c r="Q86" s="77">
        <f ca="1">IFERROR(__xludf.DUMMYFUNCTION("IMPORTRANGE(""https://docs.google.com/spreadsheets/d/1C3CXT74ZlgGe6_JY_1olB1XN4rF0dxEuIIF-xsYjHgg/edit?usp=sharing"",""พรบ!BZ90"")"),1040)</f>
        <v>1040</v>
      </c>
      <c r="R86" s="218">
        <f t="shared" ca="1" si="95"/>
        <v>60</v>
      </c>
      <c r="S86" s="77">
        <f ca="1">IFERROR(__xludf.DUMMYFUNCTION("IMPORTRANGE(""https://docs.google.com/spreadsheets/d/1IYY_tgx_IHuhSq3AJ5eI5OnqOPBNLWSHKh2a30DoXe8/edit?usp=sharing"",""ยะลา!J234"")"),84)</f>
        <v>84</v>
      </c>
      <c r="T86" s="77">
        <f ca="1">IFERROR(__xludf.DUMMYFUNCTION("IMPORTRANGE(""https://docs.google.com/spreadsheets/d/1IYY_tgx_IHuhSq3AJ5eI5OnqOPBNLWSHKh2a30DoXe8/edit?usp=sharing"",""ยะลา!J235"")"),552.61)</f>
        <v>552.61</v>
      </c>
      <c r="U86" s="137">
        <f t="shared" ca="1" si="10"/>
        <v>53.135576923076925</v>
      </c>
      <c r="V86" s="77">
        <f ca="1">IFERROR(__xludf.DUMMYFUNCTION("IMPORTRANGE(""https://docs.google.com/spreadsheets/d/1IYY_tgx_IHuhSq3AJ5eI5OnqOPBNLWSHKh2a30DoXe8/edit?usp=sharing"",""ยะลา!J236"")"),97)</f>
        <v>97</v>
      </c>
      <c r="W86" s="77">
        <f ca="1">IFERROR(__xludf.DUMMYFUNCTION("IMPORTRANGE(""https://docs.google.com/spreadsheets/d/1IYY_tgx_IHuhSq3AJ5eI5OnqOPBNLWSHKh2a30DoXe8/edit?usp=sharing"",""ยะลา!J237"")"),688.27)</f>
        <v>688.27</v>
      </c>
      <c r="X86" s="137">
        <f t="shared" ca="1" si="12"/>
        <v>97</v>
      </c>
      <c r="Y86" s="77">
        <f ca="1">IFERROR(__xludf.DUMMYFUNCTION("IMPORTRANGE(""https://docs.google.com/spreadsheets/d/1IYY_tgx_IHuhSq3AJ5eI5OnqOPBNLWSHKh2a30DoXe8/edit?usp=sharing"",""ยะลา!J238"")"),0)</f>
        <v>0</v>
      </c>
      <c r="Z86" s="77">
        <f ca="1">IFERROR(__xludf.DUMMYFUNCTION("IMPORTRANGE(""https://docs.google.com/spreadsheets/d/1IYY_tgx_IHuhSq3AJ5eI5OnqOPBNLWSHKh2a30DoXe8/edit?usp=sharing"",""ยะลา!J239"")"),0)</f>
        <v>0</v>
      </c>
      <c r="AA86" s="137">
        <f t="shared" ca="1" si="14"/>
        <v>0</v>
      </c>
      <c r="AB86" s="77">
        <f ca="1">IFERROR(__xludf.DUMMYFUNCTION("IMPORTRANGE(""https://docs.google.com/spreadsheets/d/1IYY_tgx_IHuhSq3AJ5eI5OnqOPBNLWSHKh2a30DoXe8/edit?usp=sharing"",""ยะลา!J240"")"),66)</f>
        <v>66</v>
      </c>
      <c r="AC86" s="77">
        <f ca="1">IFERROR(__xludf.DUMMYFUNCTION("IMPORTRANGE(""https://docs.google.com/spreadsheets/d/1IYY_tgx_IHuhSq3AJ5eI5OnqOPBNLWSHKh2a30DoXe8/edit?usp=sharing"",""ยะลา!J241"")"),531.56)</f>
        <v>531.55999999999995</v>
      </c>
      <c r="AD86" s="219">
        <f t="shared" ca="1" si="16"/>
        <v>66</v>
      </c>
      <c r="AE86" s="215">
        <f ca="1">IFERROR(__xludf.DUMMYFUNCTION("IMPORTRANGE(""https://docs.google.com/spreadsheets/d/1AGHcLOeeYFL3K4b9R1dSzyJy00PE_ra89DNTVfnxSWM/edit?usp=sharing"",""รวมที่ทำกิน!AA79"")"),720)</f>
        <v>720</v>
      </c>
      <c r="AF86" s="215">
        <f ca="1">IFERROR(__xludf.DUMMYFUNCTION("IMPORTRANGE(""https://docs.google.com/spreadsheets/d/1AGHcLOeeYFL3K4b9R1dSzyJy00PE_ra89DNTVfnxSWM/edit?usp=sharing"",""รวมที่ทำกิน!AB79"")"),66)</f>
        <v>66</v>
      </c>
      <c r="AG86" s="215">
        <f ca="1">IFERROR(__xludf.DUMMYFUNCTION("IMPORTRANGE(""https://docs.google.com/spreadsheets/d/1AGHcLOeeYFL3K4b9R1dSzyJy00PE_ra89DNTVfnxSWM/edit?usp=sharing"",""รวมที่ทำกิน!AD79"")"),357.98)</f>
        <v>357.98</v>
      </c>
      <c r="AH86" s="219">
        <f t="shared" ca="1" si="101"/>
        <v>49.719444444444441</v>
      </c>
      <c r="AI86" s="215">
        <f ca="1">IFERROR(__xludf.DUMMYFUNCTION("IMPORTRANGE(""https://docs.google.com/spreadsheets/d/1AGHcLOeeYFL3K4b9R1dSzyJy00PE_ra89DNTVfnxSWM/edit?usp=sharing"",""รวมที่ทำกิน!AE79"")"),60)</f>
        <v>60</v>
      </c>
      <c r="AJ86" s="215">
        <f ca="1">IFERROR(__xludf.DUMMYFUNCTION("IMPORTRANGE(""https://docs.google.com/spreadsheets/d/1AGHcLOeeYFL3K4b9R1dSzyJy00PE_ra89DNTVfnxSWM/edit?usp=sharing"",""รวมที่ทำกิน!AF79"")"),62)</f>
        <v>62</v>
      </c>
      <c r="AK86" s="215">
        <f ca="1">IFERROR(__xludf.DUMMYFUNCTION("IMPORTRANGE(""https://docs.google.com/spreadsheets/d/1AGHcLOeeYFL3K4b9R1dSzyJy00PE_ra89DNTVfnxSWM/edit?usp=sharing"",""รวมที่ทำกิน!AH79"")"),346.96)</f>
        <v>346.96</v>
      </c>
      <c r="AL86" s="220">
        <f t="shared" ca="1" si="103"/>
        <v>103.33333333333333</v>
      </c>
      <c r="AM86" s="215">
        <f ca="1">IFERROR(__xludf.DUMMYFUNCTION("IMPORTRANGE(""https://docs.google.com/spreadsheets/d/1AGHcLOeeYFL3K4b9R1dSzyJy00PE_ra89DNTVfnxSWM/edit?usp=sharing"",""รวมที่ทำกิน!AI79"")"),0)</f>
        <v>0</v>
      </c>
      <c r="AN86" s="215">
        <f ca="1">IFERROR(__xludf.DUMMYFUNCTION("IMPORTRANGE(""https://docs.google.com/spreadsheets/d/1AGHcLOeeYFL3K4b9R1dSzyJy00PE_ra89DNTVfnxSWM/edit?usp=sharing"",""รวมที่ทำกิน!AK79"")"),0)</f>
        <v>0</v>
      </c>
      <c r="AO86" s="220">
        <f t="shared" ca="1" si="22"/>
        <v>0</v>
      </c>
      <c r="AP86" s="215">
        <f ca="1">IFERROR(__xludf.DUMMYFUNCTION("IMPORTRANGE(""https://docs.google.com/spreadsheets/d/1AGHcLOeeYFL3K4b9R1dSzyJy00PE_ra89DNTVfnxSWM/edit?usp=sharing"",""รวมที่ทำกิน!AL79"")"),30)</f>
        <v>30</v>
      </c>
      <c r="AQ86" s="215">
        <f ca="1">IFERROR(__xludf.DUMMYFUNCTION("IMPORTRANGE(""https://docs.google.com/spreadsheets/d/1AGHcLOeeYFL3K4b9R1dSzyJy00PE_ra89DNTVfnxSWM/edit?usp=sharing"",""รวมที่ทำกิน!AN79"")"),186.21)</f>
        <v>186.21</v>
      </c>
      <c r="AR86" s="220">
        <f t="shared" ca="1" si="24"/>
        <v>50</v>
      </c>
      <c r="AS86" s="215">
        <f ca="1">IFERROR(__xludf.DUMMYFUNCTION("IMPORTRANGE(""https://docs.google.com/spreadsheets/d/1AGHcLOeeYFL3K4b9R1dSzyJy00PE_ra89DNTVfnxSWM/edit?usp=sharing"",""รวมที่ทำกิน!AO79"")"),320)</f>
        <v>320</v>
      </c>
      <c r="AT86" s="215">
        <f ca="1">IFERROR(__xludf.DUMMYFUNCTION("IMPORTRANGE(""https://docs.google.com/spreadsheets/d/1AGHcLOeeYFL3K4b9R1dSzyJy00PE_ra89DNTVfnxSWM/edit?usp=sharing"",""รวมที่ทำกิน!AP79"")"),18)</f>
        <v>18</v>
      </c>
      <c r="AU86" s="215">
        <f ca="1">IFERROR(__xludf.DUMMYFUNCTION("IMPORTRANGE(""https://docs.google.com/spreadsheets/d/1AGHcLOeeYFL3K4b9R1dSzyJy00PE_ra89DNTVfnxSWM/edit?usp=sharing"",""รวมที่ทำกิน!AR79"")"),194.63)</f>
        <v>194.63</v>
      </c>
      <c r="AV86" s="220">
        <f t="shared" ca="1" si="107"/>
        <v>60.821874999999999</v>
      </c>
      <c r="AW86" s="215">
        <f ca="1">IFERROR(__xludf.DUMMYFUNCTION("IMPORTRANGE(""https://docs.google.com/spreadsheets/d/1AGHcLOeeYFL3K4b9R1dSzyJy00PE_ra89DNTVfnxSWM/edit?usp=sharing"",""รวมที่ทำกิน!AS79"")"),40)</f>
        <v>40</v>
      </c>
      <c r="AX86" s="215">
        <f ca="1">IFERROR(__xludf.DUMMYFUNCTION("IMPORTRANGE(""https://docs.google.com/spreadsheets/d/1AGHcLOeeYFL3K4b9R1dSzyJy00PE_ra89DNTVfnxSWM/edit?usp=sharing"",""รวมที่ทำกิน!AT79"")"),35)</f>
        <v>35</v>
      </c>
      <c r="AY86" s="215">
        <f ca="1">IFERROR(__xludf.DUMMYFUNCTION("IMPORTRANGE(""https://docs.google.com/spreadsheets/d/1AGHcLOeeYFL3K4b9R1dSzyJy00PE_ra89DNTVfnxSWM/edit?usp=sharing"",""รวมที่ทำกิน!AV79"")"),341.31)</f>
        <v>341.31</v>
      </c>
      <c r="AZ86" s="220">
        <f t="shared" ca="1" si="109"/>
        <v>87.5</v>
      </c>
      <c r="BA86" s="215">
        <f ca="1">IFERROR(__xludf.DUMMYFUNCTION("IMPORTRANGE(""https://docs.google.com/spreadsheets/d/1AGHcLOeeYFL3K4b9R1dSzyJy00PE_ra89DNTVfnxSWM/edit?usp=sharing"",""รวมที่ทำกิน!AW79"")"),0)</f>
        <v>0</v>
      </c>
      <c r="BB86" s="215">
        <f ca="1">IFERROR(__xludf.DUMMYFUNCTION("IMPORTRANGE(""https://docs.google.com/spreadsheets/d/1AGHcLOeeYFL3K4b9R1dSzyJy00PE_ra89DNTVfnxSWM/edit?usp=sharing"",""รวมที่ทำกิน!AY79"")"),0)</f>
        <v>0</v>
      </c>
      <c r="BC86" s="220">
        <f t="shared" ca="1" si="30"/>
        <v>0</v>
      </c>
      <c r="BD86" s="215">
        <f ca="1">IFERROR(__xludf.DUMMYFUNCTION("IMPORTRANGE(""https://docs.google.com/spreadsheets/d/1AGHcLOeeYFL3K4b9R1dSzyJy00PE_ra89DNTVfnxSWM/edit?usp=sharing"",""รวมที่ทำกิน!AZ79"")"),36)</f>
        <v>36</v>
      </c>
      <c r="BE86" s="215">
        <f ca="1">IFERROR(__xludf.DUMMYFUNCTION("IMPORTRANGE(""https://docs.google.com/spreadsheets/d/1AGHcLOeeYFL3K4b9R1dSzyJy00PE_ra89DNTVfnxSWM/edit?usp=sharing"",""รวมที่ทำกิน!BB79"")"),345.35)</f>
        <v>345.35</v>
      </c>
      <c r="BF86" s="221">
        <f t="shared" ca="1" si="32"/>
        <v>90</v>
      </c>
    </row>
    <row r="87" spans="1:58" ht="21" customHeight="1">
      <c r="A87" s="73">
        <v>11</v>
      </c>
      <c r="B87" s="74" t="s">
        <v>111</v>
      </c>
      <c r="C87" s="75">
        <f t="shared" ca="1" si="0"/>
        <v>1029350</v>
      </c>
      <c r="D87" s="76">
        <f t="shared" ca="1" si="157"/>
        <v>1029350</v>
      </c>
      <c r="E87" s="77">
        <f ca="1">IFERROR(__xludf.DUMMYFUNCTION("IMPORTRANGE(""https://docs.google.com/spreadsheets/d/1C3CXT74ZlgGe6_JY_1olB1XN4rF0dxEuIIF-xsYjHgg/edit?usp=sharing"",""พรบ!BX91"")"),777000)</f>
        <v>777000</v>
      </c>
      <c r="F87" s="77">
        <f ca="1">IFERROR(__xludf.DUMMYFUNCTION("IMPORTRANGE(""https://docs.google.com/spreadsheets/d/1C3CXT74ZlgGe6_JY_1olB1XN4rF0dxEuIIF-xsYjHgg/edit?usp=sharing"",""พรบ!BY91"")"),252350)</f>
        <v>252350</v>
      </c>
      <c r="G87" s="77">
        <f ca="1">IFERROR(__xludf.DUMMYFUNCTION("IMPORTRANGE(""https://docs.google.com/spreadsheets/d/1Yj_ptqi66GCucihVvJfMjLAmec39IyEx_6qawtMGysU/edit?usp=sharing"",""สบก!DJ91"")"),0)</f>
        <v>0</v>
      </c>
      <c r="H87" s="77">
        <f ca="1">IFERROR(__xludf.DUMMYFUNCTION("IMPORTRANGE(""https://docs.google.com/spreadsheets/d/1Yj_ptqi66GCucihVvJfMjLAmec39IyEx_6qawtMGysU/edit?usp=shDLing"",""สบก!DL91"")"),754940)</f>
        <v>754940</v>
      </c>
      <c r="I87" s="77">
        <f t="shared" ca="1" si="3"/>
        <v>469093.1</v>
      </c>
      <c r="J87" s="77">
        <f t="shared" ca="1" si="4"/>
        <v>45.571778306698405</v>
      </c>
      <c r="K87" s="77">
        <f ca="1">IFERROR(__xludf.DUMMYFUNCTION("IMPORTRANGE(""https://docs.google.com/spreadsheets/d/1Yj_ptqi66GCucihVvJfMjLAmec39IyEx_6qawtMGysU/edit?usp=sharing"",""สบก!DM91"")"),469093.1)</f>
        <v>469093.1</v>
      </c>
      <c r="L87" s="137">
        <f t="shared" ca="1" si="5"/>
        <v>45.571778306698405</v>
      </c>
      <c r="M87" s="137">
        <f t="shared" ca="1" si="6"/>
        <v>62.136474421808359</v>
      </c>
      <c r="N87" s="137">
        <f ca="1">IFERROR(__xludf.DUMMYFUNCTION("IMPORTRANGE(""https://docs.google.com/spreadsheets/d/1Yj_ptqi66GCucihVvJfMjLAmec39IyEx_6qawtMGysU/edit?usp=sharing"",""สบก!DN91"")"),0)</f>
        <v>0</v>
      </c>
      <c r="O87" s="137">
        <f t="shared" ca="1" si="7"/>
        <v>0</v>
      </c>
      <c r="P87" s="77">
        <f ca="1">IFERROR(__xludf.DUMMYFUNCTION("IMPORTRANGE(""https://docs.google.com/spreadsheets/d/1C3CXT74ZlgGe6_JY_1olB1XN4rF0dxEuIIF-xsYjHgg/edit?usp=sharing"",""พรบ!CA91"")"),75)</f>
        <v>75</v>
      </c>
      <c r="Q87" s="77">
        <f ca="1">IFERROR(__xludf.DUMMYFUNCTION("IMPORTRANGE(""https://docs.google.com/spreadsheets/d/1C3CXT74ZlgGe6_JY_1olB1XN4rF0dxEuIIF-xsYjHgg/edit?usp=sharing"",""พรบ!BZ91"")"),540)</f>
        <v>540</v>
      </c>
      <c r="R87" s="218">
        <f t="shared" ca="1" si="95"/>
        <v>45</v>
      </c>
      <c r="S87" s="77">
        <f ca="1">IFERROR(__xludf.DUMMYFUNCTION("IMPORTRANGE(""https://docs.google.com/spreadsheets/d/1IYY_tgx_IHuhSq3AJ5eI5OnqOPBNLWSHKh2a30DoXe8/edit?usp=sharing"",""ระนอง!J234"")"),47)</f>
        <v>47</v>
      </c>
      <c r="T87" s="77">
        <f ca="1">IFERROR(__xludf.DUMMYFUNCTION("IMPORTRANGE(""https://docs.google.com/spreadsheets/d/1IYY_tgx_IHuhSq3AJ5eI5OnqOPBNLWSHKh2a30DoXe8/edit?usp=sharing"",""ระนอง!J235"")"),440.95)</f>
        <v>440.95</v>
      </c>
      <c r="U87" s="137">
        <f t="shared" ca="1" si="10"/>
        <v>81.657407407407405</v>
      </c>
      <c r="V87" s="77">
        <f ca="1">IFERROR(__xludf.DUMMYFUNCTION("IMPORTRANGE(""https://docs.google.com/spreadsheets/d/1IYY_tgx_IHuhSq3AJ5eI5OnqOPBNLWSHKh2a30DoXe8/edit?usp=sharing"",""ระนอง!J236"")"),52)</f>
        <v>52</v>
      </c>
      <c r="W87" s="77">
        <f ca="1">IFERROR(__xludf.DUMMYFUNCTION("IMPORTRANGE(""https://docs.google.com/spreadsheets/d/1IYY_tgx_IHuhSq3AJ5eI5OnqOPBNLWSHKh2a30DoXe8/edit?usp=sharing"",""ระนอง!J237"")"),524.77)</f>
        <v>524.77</v>
      </c>
      <c r="X87" s="137">
        <f t="shared" ca="1" si="12"/>
        <v>69.333333333333329</v>
      </c>
      <c r="Y87" s="77">
        <f ca="1">IFERROR(__xludf.DUMMYFUNCTION("IMPORTRANGE(""https://docs.google.com/spreadsheets/d/1IYY_tgx_IHuhSq3AJ5eI5OnqOPBNLWSHKh2a30DoXe8/edit?usp=sharing"",""ระนอง!J238"")"),0)</f>
        <v>0</v>
      </c>
      <c r="Z87" s="77">
        <f ca="1">IFERROR(__xludf.DUMMYFUNCTION("IMPORTRANGE(""https://docs.google.com/spreadsheets/d/1IYY_tgx_IHuhSq3AJ5eI5OnqOPBNLWSHKh2a30DoXe8/edit?usp=sharing"",""ระนอง!J239"")"),0)</f>
        <v>0</v>
      </c>
      <c r="AA87" s="137">
        <f t="shared" ca="1" si="14"/>
        <v>0</v>
      </c>
      <c r="AB87" s="77">
        <f ca="1">IFERROR(__xludf.DUMMYFUNCTION("IMPORTRANGE(""https://docs.google.com/spreadsheets/d/1IYY_tgx_IHuhSq3AJ5eI5OnqOPBNLWSHKh2a30DoXe8/edit?usp=sharing"",""ระนอง!J240"")"),29)</f>
        <v>29</v>
      </c>
      <c r="AC87" s="77">
        <f ca="1">IFERROR(__xludf.DUMMYFUNCTION("IMPORTRANGE(""https://docs.google.com/spreadsheets/d/1IYY_tgx_IHuhSq3AJ5eI5OnqOPBNLWSHKh2a30DoXe8/edit?usp=sharing"",""ระนอง!J241"")"),255.87)</f>
        <v>255.87</v>
      </c>
      <c r="AD87" s="219">
        <f t="shared" ca="1" si="16"/>
        <v>38.666666666666664</v>
      </c>
      <c r="AE87" s="215">
        <f ca="1">IFERROR(__xludf.DUMMYFUNCTION("IMPORTRANGE(""https://docs.google.com/spreadsheets/d/1AGHcLOeeYFL3K4b9R1dSzyJy00PE_ra89DNTVfnxSWM/edit?usp=sharing"",""รวมที่ทำกิน!AA80"")"),300)</f>
        <v>300</v>
      </c>
      <c r="AF87" s="215">
        <f ca="1">IFERROR(__xludf.DUMMYFUNCTION("IMPORTRANGE(""https://docs.google.com/spreadsheets/d/1AGHcLOeeYFL3K4b9R1dSzyJy00PE_ra89DNTVfnxSWM/edit?usp=sharing"",""รวมที่ทำกิน!AB80"")"),21)</f>
        <v>21</v>
      </c>
      <c r="AG87" s="215">
        <f ca="1">IFERROR(__xludf.DUMMYFUNCTION("IMPORTRANGE(""https://docs.google.com/spreadsheets/d/1AGHcLOeeYFL3K4b9R1dSzyJy00PE_ra89DNTVfnxSWM/edit?usp=sharing"",""รวมที่ทำกิน!AD80"")"),227.65)</f>
        <v>227.65</v>
      </c>
      <c r="AH87" s="219">
        <f t="shared" ca="1" si="101"/>
        <v>75.88333333333334</v>
      </c>
      <c r="AI87" s="215">
        <f ca="1">IFERROR(__xludf.DUMMYFUNCTION("IMPORTRANGE(""https://docs.google.com/spreadsheets/d/1AGHcLOeeYFL3K4b9R1dSzyJy00PE_ra89DNTVfnxSWM/edit?usp=sharing"",""รวมที่ทำกิน!AE80"")"),30)</f>
        <v>30</v>
      </c>
      <c r="AJ87" s="215">
        <f ca="1">IFERROR(__xludf.DUMMYFUNCTION("IMPORTRANGE(""https://docs.google.com/spreadsheets/d/1AGHcLOeeYFL3K4b9R1dSzyJy00PE_ra89DNTVfnxSWM/edit?usp=sharing"",""รวมที่ทำกิน!AF80"")"),16)</f>
        <v>16</v>
      </c>
      <c r="AK87" s="215">
        <f ca="1">IFERROR(__xludf.DUMMYFUNCTION("IMPORTRANGE(""https://docs.google.com/spreadsheets/d/1AGHcLOeeYFL3K4b9R1dSzyJy00PE_ra89DNTVfnxSWM/edit?usp=sharing"",""รวมที่ทำกิน!AH80"")"),184.71)</f>
        <v>184.71</v>
      </c>
      <c r="AL87" s="220">
        <f t="shared" ca="1" si="103"/>
        <v>53.333333333333336</v>
      </c>
      <c r="AM87" s="215">
        <f ca="1">IFERROR(__xludf.DUMMYFUNCTION("IMPORTRANGE(""https://docs.google.com/spreadsheets/d/1AGHcLOeeYFL3K4b9R1dSzyJy00PE_ra89DNTVfnxSWM/edit?usp=sharing"",""รวมที่ทำกิน!AI80"")"),0)</f>
        <v>0</v>
      </c>
      <c r="AN87" s="215">
        <f ca="1">IFERROR(__xludf.DUMMYFUNCTION("IMPORTRANGE(""https://docs.google.com/spreadsheets/d/1AGHcLOeeYFL3K4b9R1dSzyJy00PE_ra89DNTVfnxSWM/edit?usp=sharing"",""รวมที่ทำกิน!AK80"")"),0)</f>
        <v>0</v>
      </c>
      <c r="AO87" s="220">
        <f t="shared" ca="1" si="22"/>
        <v>0</v>
      </c>
      <c r="AP87" s="215">
        <f ca="1">IFERROR(__xludf.DUMMYFUNCTION("IMPORTRANGE(""https://docs.google.com/spreadsheets/d/1AGHcLOeeYFL3K4b9R1dSzyJy00PE_ra89DNTVfnxSWM/edit?usp=sharing"",""รวมที่ทำกิน!AL80"")"),0)</f>
        <v>0</v>
      </c>
      <c r="AQ87" s="215">
        <f ca="1">IFERROR(__xludf.DUMMYFUNCTION("IMPORTRANGE(""https://docs.google.com/spreadsheets/d/1AGHcLOeeYFL3K4b9R1dSzyJy00PE_ra89DNTVfnxSWM/edit?usp=sharing"",""รวมที่ทำกิน!AN80"")"),0)</f>
        <v>0</v>
      </c>
      <c r="AR87" s="220">
        <f t="shared" ca="1" si="24"/>
        <v>0</v>
      </c>
      <c r="AS87" s="215">
        <f ca="1">IFERROR(__xludf.DUMMYFUNCTION("IMPORTRANGE(""https://docs.google.com/spreadsheets/d/1AGHcLOeeYFL3K4b9R1dSzyJy00PE_ra89DNTVfnxSWM/edit?usp=sharing"",""รวมที่ทำกิน!AO80"")"),240)</f>
        <v>240</v>
      </c>
      <c r="AT87" s="215">
        <f ca="1">IFERROR(__xludf.DUMMYFUNCTION("IMPORTRANGE(""https://docs.google.com/spreadsheets/d/1AGHcLOeeYFL3K4b9R1dSzyJy00PE_ra89DNTVfnxSWM/edit?usp=sharing"",""รวมที่ทำกิน!AP80"")"),26)</f>
        <v>26</v>
      </c>
      <c r="AU87" s="215">
        <f ca="1">IFERROR(__xludf.DUMMYFUNCTION("IMPORTRANGE(""https://docs.google.com/spreadsheets/d/1AGHcLOeeYFL3K4b9R1dSzyJy00PE_ra89DNTVfnxSWM/edit?usp=sharing"",""รวมที่ทำกิน!AR80"")"),213.3)</f>
        <v>213.3</v>
      </c>
      <c r="AV87" s="220">
        <f t="shared" ca="1" si="107"/>
        <v>88.875</v>
      </c>
      <c r="AW87" s="215">
        <f ca="1">IFERROR(__xludf.DUMMYFUNCTION("IMPORTRANGE(""https://docs.google.com/spreadsheets/d/1AGHcLOeeYFL3K4b9R1dSzyJy00PE_ra89DNTVfnxSWM/edit?usp=sharing"",""รวมที่ทำกิน!AS80"")"),45)</f>
        <v>45</v>
      </c>
      <c r="AX87" s="215">
        <f ca="1">IFERROR(__xludf.DUMMYFUNCTION("IMPORTRANGE(""https://docs.google.com/spreadsheets/d/1AGHcLOeeYFL3K4b9R1dSzyJy00PE_ra89DNTVfnxSWM/edit?usp=sharing"",""รวมที่ทำกิน!AT80"")"),36)</f>
        <v>36</v>
      </c>
      <c r="AY87" s="215">
        <f ca="1">IFERROR(__xludf.DUMMYFUNCTION("IMPORTRANGE(""https://docs.google.com/spreadsheets/d/1AGHcLOeeYFL3K4b9R1dSzyJy00PE_ra89DNTVfnxSWM/edit?usp=sharing"",""รวมที่ทำกิน!AV80"")"),340.06)</f>
        <v>340.06</v>
      </c>
      <c r="AZ87" s="220">
        <f t="shared" ca="1" si="109"/>
        <v>80</v>
      </c>
      <c r="BA87" s="215">
        <f ca="1">IFERROR(__xludf.DUMMYFUNCTION("IMPORTRANGE(""https://docs.google.com/spreadsheets/d/1AGHcLOeeYFL3K4b9R1dSzyJy00PE_ra89DNTVfnxSWM/edit?usp=sharing"",""รวมที่ทำกิน!AW80"")"),0)</f>
        <v>0</v>
      </c>
      <c r="BB87" s="215">
        <f ca="1">IFERROR(__xludf.DUMMYFUNCTION("IMPORTRANGE(""https://docs.google.com/spreadsheets/d/1AGHcLOeeYFL3K4b9R1dSzyJy00PE_ra89DNTVfnxSWM/edit?usp=sharing"",""รวมที่ทำกิน!AY80"")"),0)</f>
        <v>0</v>
      </c>
      <c r="BC87" s="220">
        <f t="shared" ca="1" si="30"/>
        <v>0</v>
      </c>
      <c r="BD87" s="215">
        <f ca="1">IFERROR(__xludf.DUMMYFUNCTION("IMPORTRANGE(""https://docs.google.com/spreadsheets/d/1AGHcLOeeYFL3K4b9R1dSzyJy00PE_ra89DNTVfnxSWM/edit?usp=sharing"",""รวมที่ทำกิน!AZ80"")"),29)</f>
        <v>29</v>
      </c>
      <c r="BE87" s="215">
        <f ca="1">IFERROR(__xludf.DUMMYFUNCTION("IMPORTRANGE(""https://docs.google.com/spreadsheets/d/1AGHcLOeeYFL3K4b9R1dSzyJy00PE_ra89DNTVfnxSWM/edit?usp=sharing"",""รวมที่ทำกิน!BB80"")"),255.87)</f>
        <v>255.87</v>
      </c>
      <c r="BF87" s="221">
        <f t="shared" ca="1" si="32"/>
        <v>64.444444444444443</v>
      </c>
    </row>
    <row r="88" spans="1:58" ht="24" customHeight="1">
      <c r="A88" s="73">
        <v>12</v>
      </c>
      <c r="B88" s="74" t="s">
        <v>112</v>
      </c>
      <c r="C88" s="75">
        <f t="shared" ca="1" si="0"/>
        <v>1143610</v>
      </c>
      <c r="D88" s="76">
        <f t="shared" ca="1" si="157"/>
        <v>1126610</v>
      </c>
      <c r="E88" s="77">
        <f ca="1">IFERROR(__xludf.DUMMYFUNCTION("IMPORTRANGE(""https://docs.google.com/spreadsheets/d/1C3CXT74ZlgGe6_JY_1olB1XN4rF0dxEuIIF-xsYjHgg/edit?usp=sharing"",""พรบ!BX92"")"),773000)</f>
        <v>773000</v>
      </c>
      <c r="F88" s="77">
        <f ca="1">IFERROR(__xludf.DUMMYFUNCTION("IMPORTRANGE(""https://docs.google.com/spreadsheets/d/1C3CXT74ZlgGe6_JY_1olB1XN4rF0dxEuIIF-xsYjHgg/edit?usp=sharing"",""พรบ!BY92"")"),353610)</f>
        <v>353610</v>
      </c>
      <c r="G88" s="77">
        <f ca="1">IFERROR(__xludf.DUMMYFUNCTION("IMPORTRANGE(""https://docs.google.com/spreadsheets/d/1Yj_ptqi66GCucihVvJfMjLAmec39IyEx_6qawtMGysU/edit?usp=sharing"",""สบก!DJ92"")"),17000)</f>
        <v>17000</v>
      </c>
      <c r="H88" s="77">
        <f ca="1">IFERROR(__xludf.DUMMYFUNCTION("IMPORTRANGE(""https://docs.google.com/spreadsheets/d/1Yj_ptqi66GCucihVvJfMjLAmec39IyEx_6qawtMGysU/edit?usp=shDLing"",""สบก!DL92"")"),823790)</f>
        <v>823790</v>
      </c>
      <c r="I88" s="77">
        <f t="shared" ca="1" si="3"/>
        <v>627106.64</v>
      </c>
      <c r="J88" s="77">
        <f t="shared" ca="1" si="4"/>
        <v>54.835707977369907</v>
      </c>
      <c r="K88" s="77">
        <f ca="1">IFERROR(__xludf.DUMMYFUNCTION("IMPORTRANGE(""https://docs.google.com/spreadsheets/d/1Yj_ptqi66GCucihVvJfMjLAmec39IyEx_6qawtMGysU/edit?usp=sharing"",""สบก!DM92"")"),610106.64)</f>
        <v>610106.64</v>
      </c>
      <c r="L88" s="137">
        <f t="shared" ca="1" si="5"/>
        <v>54.154200655062532</v>
      </c>
      <c r="M88" s="137">
        <f t="shared" ca="1" si="6"/>
        <v>74.060942715983444</v>
      </c>
      <c r="N88" s="137">
        <f ca="1">IFERROR(__xludf.DUMMYFUNCTION("IMPORTRANGE(""https://docs.google.com/spreadsheets/d/1Yj_ptqi66GCucihVvJfMjLAmec39IyEx_6qawtMGysU/edit?usp=sharing"",""สบก!DN92"")"),17000)</f>
        <v>17000</v>
      </c>
      <c r="O88" s="137">
        <f t="shared" ca="1" si="7"/>
        <v>100</v>
      </c>
      <c r="P88" s="77">
        <f ca="1">IFERROR(__xludf.DUMMYFUNCTION("IMPORTRANGE(""https://docs.google.com/spreadsheets/d/1C3CXT74ZlgGe6_JY_1olB1XN4rF0dxEuIIF-xsYjHgg/edit?usp=sharing"",""พรบ!CA92"")"),210)</f>
        <v>210</v>
      </c>
      <c r="Q88" s="77">
        <f ca="1">IFERROR(__xludf.DUMMYFUNCTION("IMPORTRANGE(""https://docs.google.com/spreadsheets/d/1C3CXT74ZlgGe6_JY_1olB1XN4rF0dxEuIIF-xsYjHgg/edit?usp=sharing"",""พรบ!BZ92"")"),1720)</f>
        <v>1720</v>
      </c>
      <c r="R88" s="218">
        <f t="shared" ca="1" si="95"/>
        <v>126</v>
      </c>
      <c r="S88" s="77">
        <f ca="1">IFERROR(__xludf.DUMMYFUNCTION("IMPORTRANGE(""https://docs.google.com/spreadsheets/d/1IYY_tgx_IHuhSq3AJ5eI5OnqOPBNLWSHKh2a30DoXe8/edit?usp=sharing"",""สงขลา!J234"")"),141)</f>
        <v>141</v>
      </c>
      <c r="T88" s="77">
        <f ca="1">IFERROR(__xludf.DUMMYFUNCTION("IMPORTRANGE(""https://docs.google.com/spreadsheets/d/1IYY_tgx_IHuhSq3AJ5eI5OnqOPBNLWSHKh2a30DoXe8/edit?usp=sharing"",""สงขลา!J235"")"),1261.19)</f>
        <v>1261.19</v>
      </c>
      <c r="U88" s="137">
        <f t="shared" ca="1" si="10"/>
        <v>73.325000000000003</v>
      </c>
      <c r="V88" s="77">
        <f ca="1">IFERROR(__xludf.DUMMYFUNCTION("IMPORTRANGE(""https://docs.google.com/spreadsheets/d/1IYY_tgx_IHuhSq3AJ5eI5OnqOPBNLWSHKh2a30DoXe8/edit?usp=sharing"",""สงขลา!J236"")"),261)</f>
        <v>261</v>
      </c>
      <c r="W88" s="77">
        <f ca="1">IFERROR(__xludf.DUMMYFUNCTION("IMPORTRANGE(""https://docs.google.com/spreadsheets/d/1IYY_tgx_IHuhSq3AJ5eI5OnqOPBNLWSHKh2a30DoXe8/edit?usp=sharing"",""สงขลา!J237"")"),2795.46)</f>
        <v>2795.46</v>
      </c>
      <c r="X88" s="137">
        <f t="shared" ca="1" si="12"/>
        <v>124.28571428571429</v>
      </c>
      <c r="Y88" s="77">
        <f ca="1">IFERROR(__xludf.DUMMYFUNCTION("IMPORTRANGE(""https://docs.google.com/spreadsheets/d/1IYY_tgx_IHuhSq3AJ5eI5OnqOPBNLWSHKh2a30DoXe8/edit?usp=sharing"",""สงขลา!J238"")"),0)</f>
        <v>0</v>
      </c>
      <c r="Z88" s="77">
        <f ca="1">IFERROR(__xludf.DUMMYFUNCTION("IMPORTRANGE(""https://docs.google.com/spreadsheets/d/1IYY_tgx_IHuhSq3AJ5eI5OnqOPBNLWSHKh2a30DoXe8/edit?usp=sharing"",""สงขลา!J239"")"),0)</f>
        <v>0</v>
      </c>
      <c r="AA88" s="137">
        <f t="shared" ca="1" si="14"/>
        <v>0</v>
      </c>
      <c r="AB88" s="77">
        <f ca="1">IFERROR(__xludf.DUMMYFUNCTION("IMPORTRANGE(""https://docs.google.com/spreadsheets/d/1IYY_tgx_IHuhSq3AJ5eI5OnqOPBNLWSHKh2a30DoXe8/edit?usp=sharing"",""สงขลา!J240"")"),229)</f>
        <v>229</v>
      </c>
      <c r="AC88" s="77">
        <f ca="1">IFERROR(__xludf.DUMMYFUNCTION("IMPORTRANGE(""https://docs.google.com/spreadsheets/d/1IYY_tgx_IHuhSq3AJ5eI5OnqOPBNLWSHKh2a30DoXe8/edit?usp=sharing"",""สงขลา!J241"")"),2777.81999999999)</f>
        <v>2777.8199999999902</v>
      </c>
      <c r="AD88" s="219">
        <f t="shared" ca="1" si="16"/>
        <v>109.04761904761905</v>
      </c>
      <c r="AE88" s="215">
        <f ca="1">IFERROR(__xludf.DUMMYFUNCTION("IMPORTRANGE(""https://docs.google.com/spreadsheets/d/1AGHcLOeeYFL3K4b9R1dSzyJy00PE_ra89DNTVfnxSWM/edit?usp=sharing"",""รวมที่ทำกิน!AA81"")"),1080)</f>
        <v>1080</v>
      </c>
      <c r="AF88" s="215">
        <f ca="1">IFERROR(__xludf.DUMMYFUNCTION("IMPORTRANGE(""https://docs.google.com/spreadsheets/d/1AGHcLOeeYFL3K4b9R1dSzyJy00PE_ra89DNTVfnxSWM/edit?usp=sharing"",""รวมที่ทำกิน!AB81"")"),120)</f>
        <v>120</v>
      </c>
      <c r="AG88" s="215">
        <f ca="1">IFERROR(__xludf.DUMMYFUNCTION("IMPORTRANGE(""https://docs.google.com/spreadsheets/d/1AGHcLOeeYFL3K4b9R1dSzyJy00PE_ra89DNTVfnxSWM/edit?usp=sharing"",""รวมที่ทำกิน!AD81"")"),1091.02)</f>
        <v>1091.02</v>
      </c>
      <c r="AH88" s="219">
        <f t="shared" ca="1" si="101"/>
        <v>101.02037037037037</v>
      </c>
      <c r="AI88" s="215">
        <f ca="1">IFERROR(__xludf.DUMMYFUNCTION("IMPORTRANGE(""https://docs.google.com/spreadsheets/d/1AGHcLOeeYFL3K4b9R1dSzyJy00PE_ra89DNTVfnxSWM/edit?usp=sharing"",""รวมที่ทำกิน!AE81"")"),90)</f>
        <v>90</v>
      </c>
      <c r="AJ88" s="215">
        <f ca="1">IFERROR(__xludf.DUMMYFUNCTION("IMPORTRANGE(""https://docs.google.com/spreadsheets/d/1AGHcLOeeYFL3K4b9R1dSzyJy00PE_ra89DNTVfnxSWM/edit?usp=sharing"",""รวมที่ทำกิน!AF81"")"),112)</f>
        <v>112</v>
      </c>
      <c r="AK88" s="215">
        <f ca="1">IFERROR(__xludf.DUMMYFUNCTION("IMPORTRANGE(""https://docs.google.com/spreadsheets/d/1AGHcLOeeYFL3K4b9R1dSzyJy00PE_ra89DNTVfnxSWM/edit?usp=sharing"",""รวมที่ทำกิน!AH81"")"),1047.21)</f>
        <v>1047.21</v>
      </c>
      <c r="AL88" s="220">
        <f t="shared" ca="1" si="103"/>
        <v>124.44444444444444</v>
      </c>
      <c r="AM88" s="215">
        <f ca="1">IFERROR(__xludf.DUMMYFUNCTION("IMPORTRANGE(""https://docs.google.com/spreadsheets/d/1AGHcLOeeYFL3K4b9R1dSzyJy00PE_ra89DNTVfnxSWM/edit?usp=sharing"",""รวมที่ทำกิน!AI81"")"),0)</f>
        <v>0</v>
      </c>
      <c r="AN88" s="215">
        <f ca="1">IFERROR(__xludf.DUMMYFUNCTION("IMPORTRANGE(""https://docs.google.com/spreadsheets/d/1AGHcLOeeYFL3K4b9R1dSzyJy00PE_ra89DNTVfnxSWM/edit?usp=sharing"",""รวมที่ทำกิน!AK81"")"),0)</f>
        <v>0</v>
      </c>
      <c r="AO88" s="220">
        <f t="shared" ca="1" si="22"/>
        <v>0</v>
      </c>
      <c r="AP88" s="215">
        <f ca="1">IFERROR(__xludf.DUMMYFUNCTION("IMPORTRANGE(""https://docs.google.com/spreadsheets/d/1AGHcLOeeYFL3K4b9R1dSzyJy00PE_ra89DNTVfnxSWM/edit?usp=sharing"",""รวมที่ทำกิน!AL81"")"),84)</f>
        <v>84</v>
      </c>
      <c r="AQ88" s="215">
        <f ca="1">IFERROR(__xludf.DUMMYFUNCTION("IMPORTRANGE(""https://docs.google.com/spreadsheets/d/1AGHcLOeeYFL3K4b9R1dSzyJy00PE_ra89DNTVfnxSWM/edit?usp=sharing"",""รวมที่ทำกิน!AN81"")"),1057.08)</f>
        <v>1057.08</v>
      </c>
      <c r="AR88" s="220">
        <f t="shared" ca="1" si="24"/>
        <v>93.333333333333329</v>
      </c>
      <c r="AS88" s="215">
        <f ca="1">IFERROR(__xludf.DUMMYFUNCTION("IMPORTRANGE(""https://docs.google.com/spreadsheets/d/1AGHcLOeeYFL3K4b9R1dSzyJy00PE_ra89DNTVfnxSWM/edit?usp=sharing"",""รวมที่ทำกิน!AO81"")"),640)</f>
        <v>640</v>
      </c>
      <c r="AT88" s="215">
        <f ca="1">IFERROR(__xludf.DUMMYFUNCTION("IMPORTRANGE(""https://docs.google.com/spreadsheets/d/1AGHcLOeeYFL3K4b9R1dSzyJy00PE_ra89DNTVfnxSWM/edit?usp=sharing"",""รวมที่ทำกิน!AP81"")"),21)</f>
        <v>21</v>
      </c>
      <c r="AU88" s="215">
        <f ca="1">IFERROR(__xludf.DUMMYFUNCTION("IMPORTRANGE(""https://docs.google.com/spreadsheets/d/1AGHcLOeeYFL3K4b9R1dSzyJy00PE_ra89DNTVfnxSWM/edit?usp=sharing"",""รวมที่ทำกิน!AR81"")"),170.17)</f>
        <v>170.17</v>
      </c>
      <c r="AV88" s="220">
        <f t="shared" ca="1" si="107"/>
        <v>26.589062500000001</v>
      </c>
      <c r="AW88" s="215">
        <f ca="1">IFERROR(__xludf.DUMMYFUNCTION("IMPORTRANGE(""https://docs.google.com/spreadsheets/d/1AGHcLOeeYFL3K4b9R1dSzyJy00PE_ra89DNTVfnxSWM/edit?usp=sharing"",""รวมที่ทำกิน!AS81"")"),120)</f>
        <v>120</v>
      </c>
      <c r="AX88" s="215">
        <f ca="1">IFERROR(__xludf.DUMMYFUNCTION("IMPORTRANGE(""https://docs.google.com/spreadsheets/d/1AGHcLOeeYFL3K4b9R1dSzyJy00PE_ra89DNTVfnxSWM/edit?usp=sharing"",""รวมที่ทำกิน!AT81"")"),149)</f>
        <v>149</v>
      </c>
      <c r="AY88" s="215">
        <f ca="1">IFERROR(__xludf.DUMMYFUNCTION("IMPORTRANGE(""https://docs.google.com/spreadsheets/d/1AGHcLOeeYFL3K4b9R1dSzyJy00PE_ra89DNTVfnxSWM/edit?usp=sharing"",""รวมที่ทำกิน!AV81"")"),1748.25)</f>
        <v>1748.25</v>
      </c>
      <c r="AZ88" s="220">
        <f t="shared" ca="1" si="109"/>
        <v>124.16666666666667</v>
      </c>
      <c r="BA88" s="215">
        <f ca="1">IFERROR(__xludf.DUMMYFUNCTION("IMPORTRANGE(""https://docs.google.com/spreadsheets/d/1AGHcLOeeYFL3K4b9R1dSzyJy00PE_ra89DNTVfnxSWM/edit?usp=sharing"",""รวมที่ทำกิน!AW81"")"),0)</f>
        <v>0</v>
      </c>
      <c r="BB88" s="215">
        <f ca="1">IFERROR(__xludf.DUMMYFUNCTION("IMPORTRANGE(""https://docs.google.com/spreadsheets/d/1AGHcLOeeYFL3K4b9R1dSzyJy00PE_ra89DNTVfnxSWM/edit?usp=sharing"",""รวมที่ทำกิน!AY81"")"),0)</f>
        <v>0</v>
      </c>
      <c r="BC88" s="220">
        <f t="shared" ca="1" si="30"/>
        <v>0</v>
      </c>
      <c r="BD88" s="215">
        <f ca="1">IFERROR(__xludf.DUMMYFUNCTION("IMPORTRANGE(""https://docs.google.com/spreadsheets/d/1AGHcLOeeYFL3K4b9R1dSzyJy00PE_ra89DNTVfnxSWM/edit?usp=sharing"",""รวมที่ทำกิน!AZ81"")"),145)</f>
        <v>145</v>
      </c>
      <c r="BE88" s="215">
        <f ca="1">IFERROR(__xludf.DUMMYFUNCTION("IMPORTRANGE(""https://docs.google.com/spreadsheets/d/1AGHcLOeeYFL3K4b9R1dSzyJy00PE_ra89DNTVfnxSWM/edit?usp=sharing"",""รวมที่ทำกิน!BB81"")"),1720.74)</f>
        <v>1720.74</v>
      </c>
      <c r="BF88" s="221">
        <f t="shared" ca="1" si="32"/>
        <v>120.83333333333333</v>
      </c>
    </row>
    <row r="89" spans="1:58" ht="24" customHeight="1">
      <c r="A89" s="73">
        <v>13</v>
      </c>
      <c r="B89" s="74" t="s">
        <v>113</v>
      </c>
      <c r="C89" s="75">
        <f t="shared" ca="1" si="0"/>
        <v>926350</v>
      </c>
      <c r="D89" s="76">
        <f t="shared" ca="1" si="157"/>
        <v>757350</v>
      </c>
      <c r="E89" s="77">
        <f ca="1">IFERROR(__xludf.DUMMYFUNCTION("IMPORTRANGE(""https://docs.google.com/spreadsheets/d/1C3CXT74ZlgGe6_JY_1olB1XN4rF0dxEuIIF-xsYjHgg/edit?usp=sharing"",""พรบ!BX93"")"),530800)</f>
        <v>530800</v>
      </c>
      <c r="F89" s="77">
        <f ca="1">IFERROR(__xludf.DUMMYFUNCTION("IMPORTRANGE(""https://docs.google.com/spreadsheets/d/1C3CXT74ZlgGe6_JY_1olB1XN4rF0dxEuIIF-xsYjHgg/edit?usp=sharing"",""พรบ!BY93"")"),226550)</f>
        <v>226550</v>
      </c>
      <c r="G89" s="77">
        <f ca="1">IFERROR(__xludf.DUMMYFUNCTION("IMPORTRANGE(""https://docs.google.com/spreadsheets/d/1Yj_ptqi66GCucihVvJfMjLAmec39IyEx_6qawtMGysU/edit?usp=sharing"",""สบก!DJ93"")"),169000)</f>
        <v>169000</v>
      </c>
      <c r="H89" s="77">
        <f ca="1">IFERROR(__xludf.DUMMYFUNCTION("IMPORTRANGE(""https://docs.google.com/spreadsheets/d/1Yj_ptqi66GCucihVvJfMjLAmec39IyEx_6qawtMGysU/edit?usp=shDLing"",""สบก!DL93"")"),558100)</f>
        <v>558100</v>
      </c>
      <c r="I89" s="77">
        <f t="shared" ca="1" si="3"/>
        <v>546840.66999999993</v>
      </c>
      <c r="J89" s="77">
        <f t="shared" ca="1" si="4"/>
        <v>59.031755815836341</v>
      </c>
      <c r="K89" s="77">
        <f ca="1">IFERROR(__xludf.DUMMYFUNCTION("IMPORTRANGE(""https://docs.google.com/spreadsheets/d/1Yj_ptqi66GCucihVvJfMjLAmec39IyEx_6qawtMGysU/edit?usp=sharing"",""สบก!DM93"")"),377840.67)</f>
        <v>377840.67</v>
      </c>
      <c r="L89" s="137">
        <f t="shared" ca="1" si="5"/>
        <v>49.889835611012082</v>
      </c>
      <c r="M89" s="137">
        <f t="shared" ca="1" si="6"/>
        <v>67.701248880129015</v>
      </c>
      <c r="N89" s="137">
        <f ca="1">IFERROR(__xludf.DUMMYFUNCTION("IMPORTRANGE(""https://docs.google.com/spreadsheets/d/1Yj_ptqi66GCucihVvJfMjLAmec39IyEx_6qawtMGysU/edit?usp=sharing"",""สบก!DN93"")"),169000)</f>
        <v>169000</v>
      </c>
      <c r="O89" s="137">
        <f t="shared" ca="1" si="7"/>
        <v>100</v>
      </c>
      <c r="P89" s="77">
        <f ca="1">IFERROR(__xludf.DUMMYFUNCTION("IMPORTRANGE(""https://docs.google.com/spreadsheets/d/1C3CXT74ZlgGe6_JY_1olB1XN4rF0dxEuIIF-xsYjHgg/edit?usp=sharing"",""พรบ!CA93"")"),50)</f>
        <v>50</v>
      </c>
      <c r="Q89" s="77">
        <f ca="1">IFERROR(__xludf.DUMMYFUNCTION("IMPORTRANGE(""https://docs.google.com/spreadsheets/d/1C3CXT74ZlgGe6_JY_1olB1XN4rF0dxEuIIF-xsYjHgg/edit?usp=sharing"",""พรบ!BZ93"")"),480)</f>
        <v>480</v>
      </c>
      <c r="R89" s="218">
        <f t="shared" ca="1" si="95"/>
        <v>30</v>
      </c>
      <c r="S89" s="77">
        <f ca="1">IFERROR(__xludf.DUMMYFUNCTION("IMPORTRANGE(""https://docs.google.com/spreadsheets/d/1IYY_tgx_IHuhSq3AJ5eI5OnqOPBNLWSHKh2a30DoXe8/edit?usp=sharing"",""สตูล!J234"")"),65)</f>
        <v>65</v>
      </c>
      <c r="T89" s="77">
        <f ca="1">IFERROR(__xludf.DUMMYFUNCTION("IMPORTRANGE(""https://docs.google.com/spreadsheets/d/1IYY_tgx_IHuhSq3AJ5eI5OnqOPBNLWSHKh2a30DoXe8/edit?usp=sharing"",""สตูล!J235"")"),359.59)</f>
        <v>359.59</v>
      </c>
      <c r="U89" s="137">
        <f t="shared" ca="1" si="10"/>
        <v>74.91458333333334</v>
      </c>
      <c r="V89" s="77">
        <f ca="1">IFERROR(__xludf.DUMMYFUNCTION("IMPORTRANGE(""https://docs.google.com/spreadsheets/d/1IYY_tgx_IHuhSq3AJ5eI5OnqOPBNLWSHKh2a30DoXe8/edit?usp=sharing"",""สตูล!J236"")"),65)</f>
        <v>65</v>
      </c>
      <c r="W89" s="77">
        <f ca="1">IFERROR(__xludf.DUMMYFUNCTION("IMPORTRANGE(""https://docs.google.com/spreadsheets/d/1IYY_tgx_IHuhSq3AJ5eI5OnqOPBNLWSHKh2a30DoXe8/edit?usp=sharing"",""สตูล!J237"")"),359.59)</f>
        <v>359.59</v>
      </c>
      <c r="X89" s="137">
        <f t="shared" ca="1" si="12"/>
        <v>130</v>
      </c>
      <c r="Y89" s="77">
        <f ca="1">IFERROR(__xludf.DUMMYFUNCTION("IMPORTRANGE(""https://docs.google.com/spreadsheets/d/1IYY_tgx_IHuhSq3AJ5eI5OnqOPBNLWSHKh2a30DoXe8/edit?usp=sharing"",""สตูล!J238"")"),42)</f>
        <v>42</v>
      </c>
      <c r="Z89" s="77">
        <f ca="1">IFERROR(__xludf.DUMMYFUNCTION("IMPORTRANGE(""https://docs.google.com/spreadsheets/d/1IYY_tgx_IHuhSq3AJ5eI5OnqOPBNLWSHKh2a30DoXe8/edit?usp=sharing"",""สตูล!J239"")"),227.59)</f>
        <v>227.59</v>
      </c>
      <c r="AA89" s="137">
        <f t="shared" ca="1" si="14"/>
        <v>84</v>
      </c>
      <c r="AB89" s="77">
        <f ca="1">IFERROR(__xludf.DUMMYFUNCTION("IMPORTRANGE(""https://docs.google.com/spreadsheets/d/1IYY_tgx_IHuhSq3AJ5eI5OnqOPBNLWSHKh2a30DoXe8/edit?usp=sharing"",""สตูล!J240"")"),65)</f>
        <v>65</v>
      </c>
      <c r="AC89" s="77">
        <f ca="1">IFERROR(__xludf.DUMMYFUNCTION("IMPORTRANGE(""https://docs.google.com/spreadsheets/d/1IYY_tgx_IHuhSq3AJ5eI5OnqOPBNLWSHKh2a30DoXe8/edit?usp=sharing"",""สตูล!J241"")"),359.59)</f>
        <v>359.59</v>
      </c>
      <c r="AD89" s="219">
        <f t="shared" ca="1" si="16"/>
        <v>130</v>
      </c>
      <c r="AE89" s="215">
        <f ca="1">IFERROR(__xludf.DUMMYFUNCTION("IMPORTRANGE(""https://docs.google.com/spreadsheets/d/1AGHcLOeeYFL3K4b9R1dSzyJy00PE_ra89DNTVfnxSWM/edit?usp=sharing"",""รวมที่ทำกิน!AA82"")"),360)</f>
        <v>360</v>
      </c>
      <c r="AF89" s="215">
        <f ca="1">IFERROR(__xludf.DUMMYFUNCTION("IMPORTRANGE(""https://docs.google.com/spreadsheets/d/1AGHcLOeeYFL3K4b9R1dSzyJy00PE_ra89DNTVfnxSWM/edit?usp=sharing"",""รวมที่ทำกิน!AB82"")"),42)</f>
        <v>42</v>
      </c>
      <c r="AG89" s="215">
        <f ca="1">IFERROR(__xludf.DUMMYFUNCTION("IMPORTRANGE(""https://docs.google.com/spreadsheets/d/1AGHcLOeeYFL3K4b9R1dSzyJy00PE_ra89DNTVfnxSWM/edit?usp=sharing"",""รวมที่ทำกิน!AD82"")"),227.59)</f>
        <v>227.59</v>
      </c>
      <c r="AH89" s="219">
        <f t="shared" ca="1" si="101"/>
        <v>63.219444444444441</v>
      </c>
      <c r="AI89" s="215">
        <f ca="1">IFERROR(__xludf.DUMMYFUNCTION("IMPORTRANGE(""https://docs.google.com/spreadsheets/d/1AGHcLOeeYFL3K4b9R1dSzyJy00PE_ra89DNTVfnxSWM/edit?usp=sharing"",""รวมที่ทำกิน!AE82"")"),30)</f>
        <v>30</v>
      </c>
      <c r="AJ89" s="215">
        <f ca="1">IFERROR(__xludf.DUMMYFUNCTION("IMPORTRANGE(""https://docs.google.com/spreadsheets/d/1AGHcLOeeYFL3K4b9R1dSzyJy00PE_ra89DNTVfnxSWM/edit?usp=sharing"",""รวมที่ทำกิน!AF82"")"),42)</f>
        <v>42</v>
      </c>
      <c r="AK89" s="215">
        <f ca="1">IFERROR(__xludf.DUMMYFUNCTION("IMPORTRANGE(""https://docs.google.com/spreadsheets/d/1AGHcLOeeYFL3K4b9R1dSzyJy00PE_ra89DNTVfnxSWM/edit?usp=sharing"",""รวมที่ทำกิน!AH82"")"),227.59)</f>
        <v>227.59</v>
      </c>
      <c r="AL89" s="220">
        <f t="shared" ca="1" si="103"/>
        <v>140</v>
      </c>
      <c r="AM89" s="215">
        <f ca="1">IFERROR(__xludf.DUMMYFUNCTION("IMPORTRANGE(""https://docs.google.com/spreadsheets/d/1AGHcLOeeYFL3K4b9R1dSzyJy00PE_ra89DNTVfnxSWM/edit?usp=sharing"",""รวมที่ทำกิน!AI82"")"),42)</f>
        <v>42</v>
      </c>
      <c r="AN89" s="215">
        <f ca="1">IFERROR(__xludf.DUMMYFUNCTION("IMPORTRANGE(""https://docs.google.com/spreadsheets/d/1AGHcLOeeYFL3K4b9R1dSzyJy00PE_ra89DNTVfnxSWM/edit?usp=sharing"",""รวมที่ทำกิน!AK82"")"),227.59)</f>
        <v>227.59</v>
      </c>
      <c r="AO89" s="220">
        <f t="shared" ca="1" si="22"/>
        <v>140</v>
      </c>
      <c r="AP89" s="215">
        <f ca="1">IFERROR(__xludf.DUMMYFUNCTION("IMPORTRANGE(""https://docs.google.com/spreadsheets/d/1AGHcLOeeYFL3K4b9R1dSzyJy00PE_ra89DNTVfnxSWM/edit?usp=sharing"",""รวมที่ทำกิน!AL82"")"),42)</f>
        <v>42</v>
      </c>
      <c r="AQ89" s="215">
        <f ca="1">IFERROR(__xludf.DUMMYFUNCTION("IMPORTRANGE(""https://docs.google.com/spreadsheets/d/1AGHcLOeeYFL3K4b9R1dSzyJy00PE_ra89DNTVfnxSWM/edit?usp=sharing"",""รวมที่ทำกิน!AN82"")"),227.59)</f>
        <v>227.59</v>
      </c>
      <c r="AR89" s="220">
        <f t="shared" ca="1" si="24"/>
        <v>140</v>
      </c>
      <c r="AS89" s="215">
        <f ca="1">IFERROR(__xludf.DUMMYFUNCTION("IMPORTRANGE(""https://docs.google.com/spreadsheets/d/1AGHcLOeeYFL3K4b9R1dSzyJy00PE_ra89DNTVfnxSWM/edit?usp=sharing"",""รวมที่ทำกิน!AO82"")"),120)</f>
        <v>120</v>
      </c>
      <c r="AT89" s="215">
        <f ca="1">IFERROR(__xludf.DUMMYFUNCTION("IMPORTRANGE(""https://docs.google.com/spreadsheets/d/1AGHcLOeeYFL3K4b9R1dSzyJy00PE_ra89DNTVfnxSWM/edit?usp=sharing"",""รวมที่ทำกิน!AP82"")"),23)</f>
        <v>23</v>
      </c>
      <c r="AU89" s="215">
        <f ca="1">IFERROR(__xludf.DUMMYFUNCTION("IMPORTRANGE(""https://docs.google.com/spreadsheets/d/1AGHcLOeeYFL3K4b9R1dSzyJy00PE_ra89DNTVfnxSWM/edit?usp=sharing"",""รวมที่ทำกิน!AR82"")"),132)</f>
        <v>132</v>
      </c>
      <c r="AV89" s="220">
        <f t="shared" ca="1" si="107"/>
        <v>110</v>
      </c>
      <c r="AW89" s="215">
        <f ca="1">IFERROR(__xludf.DUMMYFUNCTION("IMPORTRANGE(""https://docs.google.com/spreadsheets/d/1AGHcLOeeYFL3K4b9R1dSzyJy00PE_ra89DNTVfnxSWM/edit?usp=sharing"",""รวมที่ทำกิน!AS82"")"),20)</f>
        <v>20</v>
      </c>
      <c r="AX89" s="215">
        <f ca="1">IFERROR(__xludf.DUMMYFUNCTION("IMPORTRANGE(""https://docs.google.com/spreadsheets/d/1AGHcLOeeYFL3K4b9R1dSzyJy00PE_ra89DNTVfnxSWM/edit?usp=sharing"",""รวมที่ทำกิน!AT82"")"),23)</f>
        <v>23</v>
      </c>
      <c r="AY89" s="215">
        <f ca="1">IFERROR(__xludf.DUMMYFUNCTION("IMPORTRANGE(""https://docs.google.com/spreadsheets/d/1AGHcLOeeYFL3K4b9R1dSzyJy00PE_ra89DNTVfnxSWM/edit?usp=sharing"",""รวมที่ทำกิน!AV82"")"),132)</f>
        <v>132</v>
      </c>
      <c r="AZ89" s="220">
        <f t="shared" ca="1" si="109"/>
        <v>115</v>
      </c>
      <c r="BA89" s="215">
        <f ca="1">IFERROR(__xludf.DUMMYFUNCTION("IMPORTRANGE(""https://docs.google.com/spreadsheets/d/1AGHcLOeeYFL3K4b9R1dSzyJy00PE_ra89DNTVfnxSWM/edit?usp=sharing"",""รวมที่ทำกิน!AW82"")"),0)</f>
        <v>0</v>
      </c>
      <c r="BB89" s="215">
        <f ca="1">IFERROR(__xludf.DUMMYFUNCTION("IMPORTRANGE(""https://docs.google.com/spreadsheets/d/1AGHcLOeeYFL3K4b9R1dSzyJy00PE_ra89DNTVfnxSWM/edit?usp=sharing"",""รวมที่ทำกิน!AY82"")"),0)</f>
        <v>0</v>
      </c>
      <c r="BC89" s="220">
        <f t="shared" ca="1" si="30"/>
        <v>0</v>
      </c>
      <c r="BD89" s="215">
        <f ca="1">IFERROR(__xludf.DUMMYFUNCTION("IMPORTRANGE(""https://docs.google.com/spreadsheets/d/1AGHcLOeeYFL3K4b9R1dSzyJy00PE_ra89DNTVfnxSWM/edit?usp=sharing"",""รวมที่ทำกิน!AZ82"")"),23)</f>
        <v>23</v>
      </c>
      <c r="BE89" s="215">
        <f ca="1">IFERROR(__xludf.DUMMYFUNCTION("IMPORTRANGE(""https://docs.google.com/spreadsheets/d/1AGHcLOeeYFL3K4b9R1dSzyJy00PE_ra89DNTVfnxSWM/edit?usp=sharing"",""รวมที่ทำกิน!BB82"")"),132)</f>
        <v>132</v>
      </c>
      <c r="BF89" s="221">
        <f t="shared" ca="1" si="32"/>
        <v>115</v>
      </c>
    </row>
    <row r="90" spans="1:58" ht="24" customHeight="1">
      <c r="A90" s="84">
        <v>14</v>
      </c>
      <c r="B90" s="85" t="s">
        <v>114</v>
      </c>
      <c r="C90" s="86">
        <f t="shared" ca="1" si="0"/>
        <v>1952810</v>
      </c>
      <c r="D90" s="87">
        <f t="shared" ca="1" si="157"/>
        <v>1816010</v>
      </c>
      <c r="E90" s="88">
        <f ca="1">IFERROR(__xludf.DUMMYFUNCTION("IMPORTRANGE(""https://docs.google.com/spreadsheets/d/1C3CXT74ZlgGe6_JY_1olB1XN4rF0dxEuIIF-xsYjHgg/edit?usp=sharing"",""พรบ!BX94"")"),923400)</f>
        <v>923400</v>
      </c>
      <c r="F90" s="88">
        <f ca="1">IFERROR(__xludf.DUMMYFUNCTION("IMPORTRANGE(""https://docs.google.com/spreadsheets/d/1C3CXT74ZlgGe6_JY_1olB1XN4rF0dxEuIIF-xsYjHgg/edit?usp=sharing"",""พรบ!BY94"")"),892610)</f>
        <v>892610</v>
      </c>
      <c r="G90" s="88">
        <f ca="1">IFERROR(__xludf.DUMMYFUNCTION("IMPORTRANGE(""https://docs.google.com/spreadsheets/d/1Yj_ptqi66GCucihVvJfMjLAmec39IyEx_6qawtMGysU/edit?usp=sharing"",""สบก!DJ94"")"),136800)</f>
        <v>136800</v>
      </c>
      <c r="H90" s="88">
        <f ca="1">IFERROR(__xludf.DUMMYFUNCTION("IMPORTRANGE(""https://docs.google.com/spreadsheets/d/1Yj_ptqi66GCucihVvJfMjLAmec39IyEx_6qawtMGysU/edit?usp=shDLing"",""สบก!DL94"")"),1298210)</f>
        <v>1298210</v>
      </c>
      <c r="I90" s="88">
        <f t="shared" ca="1" si="3"/>
        <v>885319.34</v>
      </c>
      <c r="J90" s="88">
        <f t="shared" ca="1" si="4"/>
        <v>45.335661943558257</v>
      </c>
      <c r="K90" s="88">
        <f ca="1">IFERROR(__xludf.DUMMYFUNCTION("IMPORTRANGE(""https://docs.google.com/spreadsheets/d/1Yj_ptqi66GCucihVvJfMjLAmec39IyEx_6qawtMGysU/edit?usp=sharing"",""สบก!DM94"")"),748519.34)</f>
        <v>748519.34</v>
      </c>
      <c r="L90" s="138">
        <f t="shared" ca="1" si="5"/>
        <v>41.217798360141188</v>
      </c>
      <c r="M90" s="138">
        <f t="shared" ca="1" si="6"/>
        <v>57.657801126166028</v>
      </c>
      <c r="N90" s="138">
        <f ca="1">IFERROR(__xludf.DUMMYFUNCTION("IMPORTRANGE(""https://docs.google.com/spreadsheets/d/1Yj_ptqi66GCucihVvJfMjLAmec39IyEx_6qawtMGysU/edit?usp=sharing"",""สบก!DN94"")"),136800)</f>
        <v>136800</v>
      </c>
      <c r="O90" s="138">
        <f t="shared" ca="1" si="7"/>
        <v>100</v>
      </c>
      <c r="P90" s="88">
        <f ca="1">IFERROR(__xludf.DUMMYFUNCTION("IMPORTRANGE(""https://docs.google.com/spreadsheets/d/1C3CXT74ZlgGe6_JY_1olB1XN4rF0dxEuIIF-xsYjHgg/edit?usp=sharing"",""พรบ!CA94"")"),550)</f>
        <v>550</v>
      </c>
      <c r="Q90" s="88">
        <f ca="1">IFERROR(__xludf.DUMMYFUNCTION("IMPORTRANGE(""https://docs.google.com/spreadsheets/d/1C3CXT74ZlgGe6_JY_1olB1XN4rF0dxEuIIF-xsYjHgg/edit?usp=sharing"",""พรบ!BZ94"")"),5600)</f>
        <v>5600</v>
      </c>
      <c r="R90" s="222">
        <f t="shared" ca="1" si="95"/>
        <v>330</v>
      </c>
      <c r="S90" s="88">
        <f ca="1">IFERROR(__xludf.DUMMYFUNCTION("IMPORTRANGE(""https://docs.google.com/spreadsheets/d/1IYY_tgx_IHuhSq3AJ5eI5OnqOPBNLWSHKh2a30DoXe8/edit?usp=sharing"",""สุราษฎร์ธานี!J234"")"),437)</f>
        <v>437</v>
      </c>
      <c r="T90" s="88">
        <f ca="1">IFERROR(__xludf.DUMMYFUNCTION("IMPORTRANGE(""https://docs.google.com/spreadsheets/d/1IYY_tgx_IHuhSq3AJ5eI5OnqOPBNLWSHKh2a30DoXe8/edit?usp=sharing"",""สุราษฎร์ธานี!J235"")"),4249.36)</f>
        <v>4249.3599999999997</v>
      </c>
      <c r="U90" s="138">
        <f t="shared" ca="1" si="10"/>
        <v>75.881428571428557</v>
      </c>
      <c r="V90" s="88">
        <f ca="1">IFERROR(__xludf.DUMMYFUNCTION("IMPORTRANGE(""https://docs.google.com/spreadsheets/d/1IYY_tgx_IHuhSq3AJ5eI5OnqOPBNLWSHKh2a30DoXe8/edit?usp=sharing"",""สุราษฎร์ธานี!J236"")"),444)</f>
        <v>444</v>
      </c>
      <c r="W90" s="88">
        <f ca="1">IFERROR(__xludf.DUMMYFUNCTION("IMPORTRANGE(""https://docs.google.com/spreadsheets/d/1IYY_tgx_IHuhSq3AJ5eI5OnqOPBNLWSHKh2a30DoXe8/edit?usp=sharing"",""สุราษฎร์ธานี!J237"")"),5578.1)</f>
        <v>5578.1</v>
      </c>
      <c r="X90" s="138">
        <f t="shared" ca="1" si="12"/>
        <v>80.727272727272734</v>
      </c>
      <c r="Y90" s="88">
        <f ca="1">IFERROR(__xludf.DUMMYFUNCTION("IMPORTRANGE(""https://docs.google.com/spreadsheets/d/1IYY_tgx_IHuhSq3AJ5eI5OnqOPBNLWSHKh2a30DoXe8/edit?usp=sharing"",""สุราษฎร์ธานี!J238"")"),0)</f>
        <v>0</v>
      </c>
      <c r="Z90" s="88">
        <f ca="1">IFERROR(__xludf.DUMMYFUNCTION("IMPORTRANGE(""https://docs.google.com/spreadsheets/d/1IYY_tgx_IHuhSq3AJ5eI5OnqOPBNLWSHKh2a30DoXe8/edit?usp=sharing"",""สุราษฎร์ธานี!J239"")"),0)</f>
        <v>0</v>
      </c>
      <c r="AA90" s="138">
        <f t="shared" ca="1" si="14"/>
        <v>0</v>
      </c>
      <c r="AB90" s="88">
        <f ca="1">IFERROR(__xludf.DUMMYFUNCTION("IMPORTRANGE(""https://docs.google.com/spreadsheets/d/1IYY_tgx_IHuhSq3AJ5eI5OnqOPBNLWSHKh2a30DoXe8/edit?usp=sharing"",""สุราษฎร์ธานี!J240"")"),290)</f>
        <v>290</v>
      </c>
      <c r="AC90" s="88">
        <f ca="1">IFERROR(__xludf.DUMMYFUNCTION("IMPORTRANGE(""https://docs.google.com/spreadsheets/d/1IYY_tgx_IHuhSq3AJ5eI5OnqOPBNLWSHKh2a30DoXe8/edit?usp=sharing"",""สุราษฎร์ธานี!J241"")"),4251.14)</f>
        <v>4251.1400000000003</v>
      </c>
      <c r="AD90" s="223">
        <f t="shared" ca="1" si="16"/>
        <v>52.727272727272727</v>
      </c>
      <c r="AE90" s="224">
        <f ca="1">IFERROR(__xludf.DUMMYFUNCTION("IMPORTRANGE(""https://docs.google.com/spreadsheets/d/1AGHcLOeeYFL3K4b9R1dSzyJy00PE_ra89DNTVfnxSWM/edit?usp=sharing"",""รวมที่ทำกิน!AA83"")"),3000)</f>
        <v>3000</v>
      </c>
      <c r="AF90" s="224">
        <f ca="1">IFERROR(__xludf.DUMMYFUNCTION("IMPORTRANGE(""https://docs.google.com/spreadsheets/d/1AGHcLOeeYFL3K4b9R1dSzyJy00PE_ra89DNTVfnxSWM/edit?usp=sharing"",""รวมที่ทำกิน!AB83"")"),138)</f>
        <v>138</v>
      </c>
      <c r="AG90" s="224">
        <f ca="1">IFERROR(__xludf.DUMMYFUNCTION("IMPORTRANGE(""https://docs.google.com/spreadsheets/d/1AGHcLOeeYFL3K4b9R1dSzyJy00PE_ra89DNTVfnxSWM/edit?usp=sharing"",""รวมที่ทำกิน!AD83"")"),1410.91)</f>
        <v>1410.91</v>
      </c>
      <c r="AH90" s="223">
        <f t="shared" ca="1" si="101"/>
        <v>47.030333333333331</v>
      </c>
      <c r="AI90" s="224">
        <f ca="1">IFERROR(__xludf.DUMMYFUNCTION("IMPORTRANGE(""https://docs.google.com/spreadsheets/d/1AGHcLOeeYFL3K4b9R1dSzyJy00PE_ra89DNTVfnxSWM/edit?usp=sharing"",""รวมที่ทำกิน!AE83"")"),250)</f>
        <v>250</v>
      </c>
      <c r="AJ90" s="224">
        <f ca="1">IFERROR(__xludf.DUMMYFUNCTION("IMPORTRANGE(""https://docs.google.com/spreadsheets/d/1AGHcLOeeYFL3K4b9R1dSzyJy00PE_ra89DNTVfnxSWM/edit?usp=sharing"",""รวมที่ทำกิน!AF83"")"),0)</f>
        <v>0</v>
      </c>
      <c r="AK90" s="224">
        <f ca="1">IFERROR(__xludf.DUMMYFUNCTION("IMPORTRANGE(""https://docs.google.com/spreadsheets/d/1AGHcLOeeYFL3K4b9R1dSzyJy00PE_ra89DNTVfnxSWM/edit?usp=sharing"",""รวมที่ทำกิน!AH83"")"),0)</f>
        <v>0</v>
      </c>
      <c r="AL90" s="225">
        <f t="shared" ca="1" si="103"/>
        <v>0</v>
      </c>
      <c r="AM90" s="224">
        <f ca="1">IFERROR(__xludf.DUMMYFUNCTION("IMPORTRANGE(""https://docs.google.com/spreadsheets/d/1AGHcLOeeYFL3K4b9R1dSzyJy00PE_ra89DNTVfnxSWM/edit?usp=sharing"",""รวมที่ทำกิน!AI83"")"),0)</f>
        <v>0</v>
      </c>
      <c r="AN90" s="224">
        <f ca="1">IFERROR(__xludf.DUMMYFUNCTION("IMPORTRANGE(""https://docs.google.com/spreadsheets/d/1AGHcLOeeYFL3K4b9R1dSzyJy00PE_ra89DNTVfnxSWM/edit?usp=sharing"",""รวมที่ทำกิน!AK83"")"),0)</f>
        <v>0</v>
      </c>
      <c r="AO90" s="225">
        <f t="shared" ca="1" si="22"/>
        <v>0</v>
      </c>
      <c r="AP90" s="224">
        <f ca="1">IFERROR(__xludf.DUMMYFUNCTION("IMPORTRANGE(""https://docs.google.com/spreadsheets/d/1AGHcLOeeYFL3K4b9R1dSzyJy00PE_ra89DNTVfnxSWM/edit?usp=sharing"",""รวมที่ทำกิน!AL83"")"),0)</f>
        <v>0</v>
      </c>
      <c r="AQ90" s="224">
        <f ca="1">IFERROR(__xludf.DUMMYFUNCTION("IMPORTRANGE(""https://docs.google.com/spreadsheets/d/1AGHcLOeeYFL3K4b9R1dSzyJy00PE_ra89DNTVfnxSWM/edit?usp=sharing"",""รวมที่ทำกิน!AN83"")"),0)</f>
        <v>0</v>
      </c>
      <c r="AR90" s="225">
        <f t="shared" ca="1" si="24"/>
        <v>0</v>
      </c>
      <c r="AS90" s="224">
        <f ca="1">IFERROR(__xludf.DUMMYFUNCTION("IMPORTRANGE(""https://docs.google.com/spreadsheets/d/1AGHcLOeeYFL3K4b9R1dSzyJy00PE_ra89DNTVfnxSWM/edit?usp=sharing"",""รวมที่ทำกิน!AO83"")"),2600)</f>
        <v>2600</v>
      </c>
      <c r="AT90" s="224">
        <f ca="1">IFERROR(__xludf.DUMMYFUNCTION("IMPORTRANGE(""https://docs.google.com/spreadsheets/d/1AGHcLOeeYFL3K4b9R1dSzyJy00PE_ra89DNTVfnxSWM/edit?usp=sharing"",""รวมที่ทำกิน!AP83"")"),299)</f>
        <v>299</v>
      </c>
      <c r="AU90" s="224">
        <f ca="1">IFERROR(__xludf.DUMMYFUNCTION("IMPORTRANGE(""https://docs.google.com/spreadsheets/d/1AGHcLOeeYFL3K4b9R1dSzyJy00PE_ra89DNTVfnxSWM/edit?usp=sharing"",""รวมที่ทำกิน!AR83"")"),2838.45)</f>
        <v>2838.45</v>
      </c>
      <c r="AV90" s="225">
        <f t="shared" ca="1" si="107"/>
        <v>109.17115384615384</v>
      </c>
      <c r="AW90" s="224">
        <f ca="1">IFERROR(__xludf.DUMMYFUNCTION("IMPORTRANGE(""https://docs.google.com/spreadsheets/d/1AGHcLOeeYFL3K4b9R1dSzyJy00PE_ra89DNTVfnxSWM/edit?usp=sharing"",""รวมที่ทำกิน!AS83"")"),300)</f>
        <v>300</v>
      </c>
      <c r="AX90" s="224">
        <f ca="1">IFERROR(__xludf.DUMMYFUNCTION("IMPORTRANGE(""https://docs.google.com/spreadsheets/d/1AGHcLOeeYFL3K4b9R1dSzyJy00PE_ra89DNTVfnxSWM/edit?usp=sharing"",""รวมที่ทำกิน!AT83"")"),444)</f>
        <v>444</v>
      </c>
      <c r="AY90" s="224">
        <f ca="1">IFERROR(__xludf.DUMMYFUNCTION("IMPORTRANGE(""https://docs.google.com/spreadsheets/d/1AGHcLOeeYFL3K4b9R1dSzyJy00PE_ra89DNTVfnxSWM/edit?usp=sharing"",""รวมที่ทำกิน!AV83"")"),5578.1)</f>
        <v>5578.1</v>
      </c>
      <c r="AZ90" s="225">
        <f t="shared" ca="1" si="109"/>
        <v>148</v>
      </c>
      <c r="BA90" s="224">
        <f ca="1">IFERROR(__xludf.DUMMYFUNCTION("IMPORTRANGE(""https://docs.google.com/spreadsheets/d/1AGHcLOeeYFL3K4b9R1dSzyJy00PE_ra89DNTVfnxSWM/edit?usp=sharing"",""รวมที่ทำกิน!AW83"")"),0)</f>
        <v>0</v>
      </c>
      <c r="BB90" s="224">
        <f ca="1">IFERROR(__xludf.DUMMYFUNCTION("IMPORTRANGE(""https://docs.google.com/spreadsheets/d/1AGHcLOeeYFL3K4b9R1dSzyJy00PE_ra89DNTVfnxSWM/edit?usp=sharing"",""รวมที่ทำกิน!AY83"")"),0)</f>
        <v>0</v>
      </c>
      <c r="BC90" s="225">
        <f t="shared" ca="1" si="30"/>
        <v>0</v>
      </c>
      <c r="BD90" s="224">
        <f ca="1">IFERROR(__xludf.DUMMYFUNCTION("IMPORTRANGE(""https://docs.google.com/spreadsheets/d/1AGHcLOeeYFL3K4b9R1dSzyJy00PE_ra89DNTVfnxSWM/edit?usp=sharing"",""รวมที่ทำกิน!AZ83"")"),290)</f>
        <v>290</v>
      </c>
      <c r="BE90" s="224">
        <f ca="1">IFERROR(__xludf.DUMMYFUNCTION("IMPORTRANGE(""https://docs.google.com/spreadsheets/d/1AGHcLOeeYFL3K4b9R1dSzyJy00PE_ra89DNTVfnxSWM/edit?usp=sharing"",""รวมที่ทำกิน!BB83"")"),4251.14)</f>
        <v>4251.1400000000003</v>
      </c>
      <c r="BF90" s="226">
        <f t="shared" ca="1" si="32"/>
        <v>96.666666666666671</v>
      </c>
    </row>
    <row r="91" spans="1:58" ht="21" hidden="1" customHeight="1">
      <c r="A91" s="680" t="s">
        <v>115</v>
      </c>
      <c r="B91" s="652"/>
      <c r="C91" s="44">
        <f t="shared" ca="1" si="0"/>
        <v>79688040</v>
      </c>
      <c r="D91" s="45">
        <f t="shared" ref="D91:H91" ca="1" si="158">+D92+D93+D94+D95+D96+D97+D98+D99+D100+D101+D102+D103+D104+D105</f>
        <v>43871240</v>
      </c>
      <c r="E91" s="45">
        <f t="shared" ca="1" si="158"/>
        <v>29026200</v>
      </c>
      <c r="F91" s="45">
        <f t="shared" ca="1" si="158"/>
        <v>14845040</v>
      </c>
      <c r="G91" s="45">
        <f t="shared" ca="1" si="158"/>
        <v>35816800</v>
      </c>
      <c r="H91" s="45">
        <f t="shared" ca="1" si="158"/>
        <v>32959540</v>
      </c>
      <c r="I91" s="45">
        <f t="shared" ca="1" si="3"/>
        <v>32636778.25</v>
      </c>
      <c r="J91" s="46">
        <f t="shared" ca="1" si="4"/>
        <v>40.955679484650396</v>
      </c>
      <c r="K91" s="45">
        <f ca="1">+K92+K93+K94+K95+K96+K97+K98+K99+K100+K101+K102+K103+K104+K105</f>
        <v>14143572.25</v>
      </c>
      <c r="L91" s="47">
        <f t="shared" ca="1" si="5"/>
        <v>32.238824911263052</v>
      </c>
      <c r="M91" s="47">
        <f t="shared" ca="1" si="6"/>
        <v>42.911922466150926</v>
      </c>
      <c r="N91" s="48">
        <f ca="1">+N92+N93+N94+N95+N96+N97+N98+N99+N100+N101+N102+N103+N104+N105</f>
        <v>18493206</v>
      </c>
      <c r="O91" s="47">
        <f t="shared" ca="1" si="7"/>
        <v>51.632770096714388</v>
      </c>
      <c r="P91" s="45">
        <f t="shared" ref="P91:Q91" ca="1" si="159">+P92+P93+P94+P95+P96+P97+P98+P99+P100+P101+P102+P103+P104+P105</f>
        <v>0</v>
      </c>
      <c r="Q91" s="45">
        <f t="shared" ca="1" si="159"/>
        <v>0</v>
      </c>
      <c r="R91" s="45"/>
      <c r="S91" s="45">
        <f t="shared" ref="S91:T91" si="160">+S92+S93+S94+S95+S96+S97+S98+S99+S100+S101+S102+S103+S104+S105</f>
        <v>0</v>
      </c>
      <c r="T91" s="45">
        <f t="shared" si="160"/>
        <v>0</v>
      </c>
      <c r="U91" s="127">
        <f t="shared" ca="1" si="10"/>
        <v>0</v>
      </c>
      <c r="V91" s="45">
        <f t="shared" ref="V91:W91" si="161">+V92+V93+V94+V95+V96+V97+V98+V99+V100+V101+V102+V103+V104+V105</f>
        <v>0</v>
      </c>
      <c r="W91" s="45">
        <f t="shared" si="161"/>
        <v>0</v>
      </c>
      <c r="X91" s="127">
        <f t="shared" ca="1" si="12"/>
        <v>0</v>
      </c>
      <c r="Y91" s="45">
        <f t="shared" ref="Y91:Z91" si="162">+Y92+Y93+Y94+Y95+Y96+Y97+Y98+Y99+Y100+Y101+Y102+Y103+Y104+Y105</f>
        <v>0</v>
      </c>
      <c r="Z91" s="45">
        <f t="shared" si="162"/>
        <v>0</v>
      </c>
      <c r="AA91" s="127">
        <f t="shared" ca="1" si="14"/>
        <v>0</v>
      </c>
      <c r="AB91" s="45">
        <f t="shared" ref="AB91:AC91" si="163">+AB92+AB93+AB94+AB95+AB96+AB97+AB98+AB99+AB100+AB101+AB102+AB103+AB104+AB105</f>
        <v>0</v>
      </c>
      <c r="AC91" s="45">
        <f t="shared" si="163"/>
        <v>0</v>
      </c>
      <c r="AD91" s="229">
        <f t="shared" ca="1" si="16"/>
        <v>0</v>
      </c>
      <c r="AE91" s="209"/>
      <c r="AF91" s="209"/>
      <c r="AG91" s="209"/>
      <c r="AH91" s="229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  <c r="BA91" s="127"/>
      <c r="BB91" s="127"/>
      <c r="BC91" s="127"/>
      <c r="BD91" s="127"/>
      <c r="BE91" s="127"/>
      <c r="BF91" s="127"/>
    </row>
    <row r="92" spans="1:58" ht="24" hidden="1" customHeight="1">
      <c r="A92" s="102">
        <v>1</v>
      </c>
      <c r="B92" s="103" t="s">
        <v>116</v>
      </c>
      <c r="C92" s="65">
        <f t="shared" ca="1" si="0"/>
        <v>132000</v>
      </c>
      <c r="D92" s="66">
        <f t="shared" ref="D92:D105" ca="1" si="164">+E92+F92</f>
        <v>132000</v>
      </c>
      <c r="E92" s="67">
        <f ca="1">IFERROR(__xludf.DUMMYFUNCTION("IMPORTRANGE(""https://docs.google.com/spreadsheets/d/1C3CXT74ZlgGe6_JY_1olB1XN4rF0dxEuIIF-xsYjHgg/edit?usp=sharing"",""พรบ!BX96"")"),132000)</f>
        <v>132000</v>
      </c>
      <c r="F92" s="67">
        <f ca="1">IFERROR(__xludf.DUMMYFUNCTION("IMPORTRANGE(""https://docs.google.com/spreadsheets/d/1C3CXT74ZlgGe6_JY_1olB1XN4rF0dxEuIIF-xsYjHgg/edit?usp=sharing"",""พรบ!BY96"")"),0)</f>
        <v>0</v>
      </c>
      <c r="G92" s="67">
        <f ca="1">IFERROR(__xludf.DUMMYFUNCTION("IMPORTRANGE(""https://docs.google.com/spreadsheets/d/1Yj_ptqi66GCucihVvJfMjLAmec39IyEx_6qawtMGysU/edit?usp=sharing"",""สบก!DJ96"")"),0)</f>
        <v>0</v>
      </c>
      <c r="H92" s="67">
        <f ca="1">IFERROR(__xludf.DUMMYFUNCTION("IMPORTRANGE(""https://docs.google.com/spreadsheets/d/1Yj_ptqi66GCucihVvJfMjLAmec39IyEx_6qawtMGysU/edit?usp=shDLing"",""สบก!DL96"")"),99000)</f>
        <v>99000</v>
      </c>
      <c r="I92" s="67">
        <f t="shared" ca="1" si="3"/>
        <v>66000</v>
      </c>
      <c r="J92" s="67">
        <f t="shared" ca="1" si="4"/>
        <v>50</v>
      </c>
      <c r="K92" s="67">
        <f ca="1">IFERROR(__xludf.DUMMYFUNCTION("IMPORTRANGE(""https://docs.google.com/spreadsheets/d/1Yj_ptqi66GCucihVvJfMjLAmec39IyEx_6qawtMGysU/edit?usp=sharing"",""สบก!DM96"")"),66000)</f>
        <v>66000</v>
      </c>
      <c r="L92" s="136">
        <f t="shared" ca="1" si="5"/>
        <v>50</v>
      </c>
      <c r="M92" s="136">
        <f t="shared" ca="1" si="6"/>
        <v>66.666666666666671</v>
      </c>
      <c r="N92" s="136">
        <f ca="1">IFERROR(__xludf.DUMMYFUNCTION("IMPORTRANGE(""https://docs.google.com/spreadsheets/d/1Yj_ptqi66GCucihVvJfMjLAmec39IyEx_6qawtMGysU/edit?usp=sharing"",""สบก!DN96"")"),0)</f>
        <v>0</v>
      </c>
      <c r="O92" s="136">
        <f t="shared" ca="1" si="7"/>
        <v>0</v>
      </c>
      <c r="P92" s="67">
        <f ca="1">IFERROR(__xludf.DUMMYFUNCTION("IMPORTRANGE(""https://docs.google.com/spreadsheets/d/1C3CXT74ZlgGe6_JY_1olB1XN4rF0dxEuIIF-xsYjHgg/edit?usp=sharing"",""พรบ!CA96"")"),0)</f>
        <v>0</v>
      </c>
      <c r="Q92" s="67">
        <f ca="1">IFERROR(__xludf.DUMMYFUNCTION("IMPORTRANGE(""https://docs.google.com/spreadsheets/d/1C3CXT74ZlgGe6_JY_1olB1XN4rF0dxEuIIF-xsYjHgg/edit?usp=sharing"",""พรบ!BZ96"")"),0)</f>
        <v>0</v>
      </c>
      <c r="R92" s="148">
        <v>0</v>
      </c>
      <c r="S92" s="67">
        <v>0</v>
      </c>
      <c r="T92" s="67">
        <v>0</v>
      </c>
      <c r="U92" s="136">
        <f t="shared" ca="1" si="10"/>
        <v>0</v>
      </c>
      <c r="V92" s="67">
        <v>0</v>
      </c>
      <c r="W92" s="67">
        <v>0</v>
      </c>
      <c r="X92" s="136">
        <f t="shared" ca="1" si="12"/>
        <v>0</v>
      </c>
      <c r="Y92" s="67">
        <v>0</v>
      </c>
      <c r="Z92" s="67">
        <v>0</v>
      </c>
      <c r="AA92" s="136">
        <f t="shared" ca="1" si="14"/>
        <v>0</v>
      </c>
      <c r="AB92" s="67">
        <v>0</v>
      </c>
      <c r="AC92" s="67">
        <v>0</v>
      </c>
      <c r="AD92" s="214">
        <f t="shared" ca="1" si="16"/>
        <v>0</v>
      </c>
      <c r="AE92" s="215"/>
      <c r="AF92" s="215"/>
      <c r="AG92" s="215"/>
      <c r="AH92" s="214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7"/>
    </row>
    <row r="93" spans="1:58" ht="24" hidden="1" customHeight="1">
      <c r="A93" s="105">
        <v>2</v>
      </c>
      <c r="B93" s="106" t="s">
        <v>117</v>
      </c>
      <c r="C93" s="75">
        <f t="shared" ca="1" si="0"/>
        <v>0</v>
      </c>
      <c r="D93" s="76">
        <f t="shared" ca="1" si="164"/>
        <v>0</v>
      </c>
      <c r="E93" s="77">
        <f ca="1">IFERROR(__xludf.DUMMYFUNCTION("IMPORTRANGE(""https://docs.google.com/spreadsheets/d/1C3CXT74ZlgGe6_JY_1olB1XN4rF0dxEuIIF-xsYjHgg/edit?usp=sharing"",""พรบ!BX97"")"),0)</f>
        <v>0</v>
      </c>
      <c r="F93" s="77">
        <f ca="1">IFERROR(__xludf.DUMMYFUNCTION("IMPORTRANGE(""https://docs.google.com/spreadsheets/d/1C3CXT74ZlgGe6_JY_1olB1XN4rF0dxEuIIF-xsYjHgg/edit?usp=sharing"",""พรบ!BY97"")"),0)</f>
        <v>0</v>
      </c>
      <c r="G93" s="77">
        <f ca="1">IFERROR(__xludf.DUMMYFUNCTION("IMPORTRANGE(""https://docs.google.com/spreadsheets/d/1Yj_ptqi66GCucihVvJfMjLAmec39IyEx_6qawtMGysU/edit?usp=sharing"",""สบก!DJ97"")"),0)</f>
        <v>0</v>
      </c>
      <c r="H93" s="77">
        <f ca="1">IFERROR(__xludf.DUMMYFUNCTION("IMPORTRANGE(""https://docs.google.com/spreadsheets/d/1Yj_ptqi66GCucihVvJfMjLAmec39IyEx_6qawtMGysU/edit?usp=shDLing"",""สบก!DL97"")"),0)</f>
        <v>0</v>
      </c>
      <c r="I93" s="77">
        <f t="shared" ca="1" si="3"/>
        <v>0</v>
      </c>
      <c r="J93" s="77">
        <f t="shared" ca="1" si="4"/>
        <v>0</v>
      </c>
      <c r="K93" s="77">
        <f ca="1">IFERROR(__xludf.DUMMYFUNCTION("IMPORTRANGE(""https://docs.google.com/spreadsheets/d/1Yj_ptqi66GCucihVvJfMjLAmec39IyEx_6qawtMGysU/edit?usp=sharing"",""สบก!DM97"")"),0)</f>
        <v>0</v>
      </c>
      <c r="L93" s="137">
        <f t="shared" ca="1" si="5"/>
        <v>0</v>
      </c>
      <c r="M93" s="137">
        <f t="shared" ca="1" si="6"/>
        <v>0</v>
      </c>
      <c r="N93" s="137">
        <f ca="1">IFERROR(__xludf.DUMMYFUNCTION("IMPORTRANGE(""https://docs.google.com/spreadsheets/d/1Yj_ptqi66GCucihVvJfMjLAmec39IyEx_6qawtMGysU/edit?usp=sharing"",""สบก!DN97"")"),0)</f>
        <v>0</v>
      </c>
      <c r="O93" s="137">
        <f t="shared" ca="1" si="7"/>
        <v>0</v>
      </c>
      <c r="P93" s="77">
        <f ca="1">IFERROR(__xludf.DUMMYFUNCTION("IMPORTRANGE(""https://docs.google.com/spreadsheets/d/1C3CXT74ZlgGe6_JY_1olB1XN4rF0dxEuIIF-xsYjHgg/edit?usp=sharing"",""พรบ!CA97"")"),0)</f>
        <v>0</v>
      </c>
      <c r="Q93" s="77">
        <f ca="1">IFERROR(__xludf.DUMMYFUNCTION("IMPORTRANGE(""https://docs.google.com/spreadsheets/d/1C3CXT74ZlgGe6_JY_1olB1XN4rF0dxEuIIF-xsYjHgg/edit?usp=sharing"",""พรบ!BZ97"")"),0)</f>
        <v>0</v>
      </c>
      <c r="R93" s="149">
        <v>0</v>
      </c>
      <c r="S93" s="77">
        <v>0</v>
      </c>
      <c r="T93" s="77">
        <v>0</v>
      </c>
      <c r="U93" s="137">
        <f t="shared" ca="1" si="10"/>
        <v>0</v>
      </c>
      <c r="V93" s="77">
        <v>0</v>
      </c>
      <c r="W93" s="77">
        <v>0</v>
      </c>
      <c r="X93" s="137">
        <f t="shared" ca="1" si="12"/>
        <v>0</v>
      </c>
      <c r="Y93" s="77">
        <v>0</v>
      </c>
      <c r="Z93" s="77">
        <v>0</v>
      </c>
      <c r="AA93" s="137">
        <f t="shared" ca="1" si="14"/>
        <v>0</v>
      </c>
      <c r="AB93" s="77">
        <v>0</v>
      </c>
      <c r="AC93" s="77">
        <v>0</v>
      </c>
      <c r="AD93" s="219">
        <f t="shared" ca="1" si="16"/>
        <v>0</v>
      </c>
      <c r="AE93" s="215"/>
      <c r="AF93" s="215"/>
      <c r="AG93" s="215"/>
      <c r="AH93" s="219"/>
      <c r="AI93" s="220"/>
      <c r="AJ93" s="220"/>
      <c r="AK93" s="220"/>
      <c r="AL93" s="220"/>
      <c r="AM93" s="220"/>
      <c r="AN93" s="220"/>
      <c r="AO93" s="220"/>
      <c r="AP93" s="220"/>
      <c r="AQ93" s="220"/>
      <c r="AR93" s="220"/>
      <c r="AS93" s="220"/>
      <c r="AT93" s="220"/>
      <c r="AU93" s="220"/>
      <c r="AV93" s="220"/>
      <c r="AW93" s="220"/>
      <c r="AX93" s="220"/>
      <c r="AY93" s="220"/>
      <c r="AZ93" s="220"/>
      <c r="BA93" s="220"/>
      <c r="BB93" s="220"/>
      <c r="BC93" s="220"/>
      <c r="BD93" s="220"/>
      <c r="BE93" s="220"/>
      <c r="BF93" s="221"/>
    </row>
    <row r="94" spans="1:58" ht="24" hidden="1" customHeight="1">
      <c r="A94" s="105">
        <v>3</v>
      </c>
      <c r="B94" s="106" t="s">
        <v>118</v>
      </c>
      <c r="C94" s="75">
        <f t="shared" ca="1" si="0"/>
        <v>8747000</v>
      </c>
      <c r="D94" s="76">
        <f t="shared" ca="1" si="164"/>
        <v>8747000</v>
      </c>
      <c r="E94" s="77">
        <f ca="1">IFERROR(__xludf.DUMMYFUNCTION("IMPORTRANGE(""https://docs.google.com/spreadsheets/d/1C3CXT74ZlgGe6_JY_1olB1XN4rF0dxEuIIF-xsYjHgg/edit?usp=sharing"",""พรบ!BX98"")"),8747000)</f>
        <v>8747000</v>
      </c>
      <c r="F94" s="77">
        <f ca="1">IFERROR(__xludf.DUMMYFUNCTION("IMPORTRANGE(""https://docs.google.com/spreadsheets/d/1C3CXT74ZlgGe6_JY_1olB1XN4rF0dxEuIIF-xsYjHgg/edit?usp=sharing"",""พรบ!BY98"")"),0)</f>
        <v>0</v>
      </c>
      <c r="G94" s="77">
        <f ca="1">IFERROR(__xludf.DUMMYFUNCTION("IMPORTRANGE(""https://docs.google.com/spreadsheets/d/1Yj_ptqi66GCucihVvJfMjLAmec39IyEx_6qawtMGysU/edit?usp=sharing"",""สบก!DJ98"")"),0)</f>
        <v>0</v>
      </c>
      <c r="H94" s="77">
        <f ca="1">IFERROR(__xludf.DUMMYFUNCTION("IMPORTRANGE(""https://docs.google.com/spreadsheets/d/1Yj_ptqi66GCucihVvJfMjLAmec39IyEx_6qawtMGysU/edit?usp=shDLing"",""สบก!DL98"")"),4336000)</f>
        <v>4336000</v>
      </c>
      <c r="I94" s="77">
        <f t="shared" ca="1" si="3"/>
        <v>2877444.89</v>
      </c>
      <c r="J94" s="77">
        <f t="shared" ca="1" si="4"/>
        <v>32.896363210243514</v>
      </c>
      <c r="K94" s="77">
        <f ca="1">IFERROR(__xludf.DUMMYFUNCTION("IMPORTRANGE(""https://docs.google.com/spreadsheets/d/1Yj_ptqi66GCucihVvJfMjLAmec39IyEx_6qawtMGysU/edit?usp=sharing"",""สบก!DM98"")"),2877444.89)</f>
        <v>2877444.89</v>
      </c>
      <c r="L94" s="137">
        <f t="shared" ca="1" si="5"/>
        <v>32.896363210243514</v>
      </c>
      <c r="M94" s="137">
        <f t="shared" ca="1" si="6"/>
        <v>66.361736392988931</v>
      </c>
      <c r="N94" s="137">
        <f ca="1">IFERROR(__xludf.DUMMYFUNCTION("IMPORTRANGE(""https://docs.google.com/spreadsheets/d/1Yj_ptqi66GCucihVvJfMjLAmec39IyEx_6qawtMGysU/edit?usp=sharing"",""สบก!DN98"")"),0)</f>
        <v>0</v>
      </c>
      <c r="O94" s="137">
        <f t="shared" ca="1" si="7"/>
        <v>0</v>
      </c>
      <c r="P94" s="77">
        <f ca="1">IFERROR(__xludf.DUMMYFUNCTION("IMPORTRANGE(""https://docs.google.com/spreadsheets/d/1C3CXT74ZlgGe6_JY_1olB1XN4rF0dxEuIIF-xsYjHgg/edit?usp=sharing"",""พรบ!CA98"")"),0)</f>
        <v>0</v>
      </c>
      <c r="Q94" s="77">
        <f ca="1">IFERROR(__xludf.DUMMYFUNCTION("IMPORTRANGE(""https://docs.google.com/spreadsheets/d/1C3CXT74ZlgGe6_JY_1olB1XN4rF0dxEuIIF-xsYjHgg/edit?usp=sharing"",""พรบ!BZ98"")"),0)</f>
        <v>0</v>
      </c>
      <c r="R94" s="149">
        <v>0</v>
      </c>
      <c r="S94" s="77">
        <v>0</v>
      </c>
      <c r="T94" s="77">
        <v>0</v>
      </c>
      <c r="U94" s="137">
        <f t="shared" ca="1" si="10"/>
        <v>0</v>
      </c>
      <c r="V94" s="77">
        <v>0</v>
      </c>
      <c r="W94" s="77">
        <v>0</v>
      </c>
      <c r="X94" s="137">
        <f t="shared" ca="1" si="12"/>
        <v>0</v>
      </c>
      <c r="Y94" s="77">
        <v>0</v>
      </c>
      <c r="Z94" s="77">
        <v>0</v>
      </c>
      <c r="AA94" s="137">
        <f t="shared" ca="1" si="14"/>
        <v>0</v>
      </c>
      <c r="AB94" s="77">
        <v>0</v>
      </c>
      <c r="AC94" s="77">
        <v>0</v>
      </c>
      <c r="AD94" s="219">
        <f t="shared" ca="1" si="16"/>
        <v>0</v>
      </c>
      <c r="AE94" s="215"/>
      <c r="AF94" s="215"/>
      <c r="AG94" s="215"/>
      <c r="AH94" s="219"/>
      <c r="AI94" s="220"/>
      <c r="AJ94" s="220"/>
      <c r="AK94" s="220"/>
      <c r="AL94" s="220"/>
      <c r="AM94" s="220"/>
      <c r="AN94" s="220"/>
      <c r="AO94" s="220"/>
      <c r="AP94" s="220"/>
      <c r="AQ94" s="220"/>
      <c r="AR94" s="220"/>
      <c r="AS94" s="220"/>
      <c r="AT94" s="220"/>
      <c r="AU94" s="220"/>
      <c r="AV94" s="220"/>
      <c r="AW94" s="220"/>
      <c r="AX94" s="220"/>
      <c r="AY94" s="220"/>
      <c r="AZ94" s="220"/>
      <c r="BA94" s="220"/>
      <c r="BB94" s="220"/>
      <c r="BC94" s="220"/>
      <c r="BD94" s="220"/>
      <c r="BE94" s="220"/>
      <c r="BF94" s="221"/>
    </row>
    <row r="95" spans="1:58" ht="24" hidden="1" customHeight="1">
      <c r="A95" s="105">
        <f t="shared" ref="A95:A105" si="165">+A94+1</f>
        <v>4</v>
      </c>
      <c r="B95" s="106" t="s">
        <v>119</v>
      </c>
      <c r="C95" s="75">
        <f t="shared" ca="1" si="0"/>
        <v>5190500</v>
      </c>
      <c r="D95" s="76">
        <f t="shared" ca="1" si="164"/>
        <v>5190500</v>
      </c>
      <c r="E95" s="77">
        <f ca="1">IFERROR(__xludf.DUMMYFUNCTION("IMPORTRANGE(""https://docs.google.com/spreadsheets/d/1C3CXT74ZlgGe6_JY_1olB1XN4rF0dxEuIIF-xsYjHgg/edit?usp=sharing"",""พรบ!BX99"")"),5190500)</f>
        <v>5190500</v>
      </c>
      <c r="F95" s="77">
        <f ca="1">IFERROR(__xludf.DUMMYFUNCTION("IMPORTRANGE(""https://docs.google.com/spreadsheets/d/1C3CXT74ZlgGe6_JY_1olB1XN4rF0dxEuIIF-xsYjHgg/edit?usp=sharing"",""พรบ!BY99"")"),0)</f>
        <v>0</v>
      </c>
      <c r="G95" s="77">
        <f ca="1">IFERROR(__xludf.DUMMYFUNCTION("IMPORTRANGE(""https://docs.google.com/spreadsheets/d/1Yj_ptqi66GCucihVvJfMjLAmec39IyEx_6qawtMGysU/edit?usp=sharing"",""สบก!DJ99"")"),0)</f>
        <v>0</v>
      </c>
      <c r="H95" s="77">
        <f ca="1">IFERROR(__xludf.DUMMYFUNCTION("IMPORTRANGE(""https://docs.google.com/spreadsheets/d/1Yj_ptqi66GCucihVvJfMjLAmec39IyEx_6qawtMGysU/edit?usp=shDLing"",""สบก!DL99"")"),3838040)</f>
        <v>3838040</v>
      </c>
      <c r="I95" s="77">
        <f t="shared" ca="1" si="3"/>
        <v>1460239.02</v>
      </c>
      <c r="J95" s="77">
        <f t="shared" ca="1" si="4"/>
        <v>28.132916289374819</v>
      </c>
      <c r="K95" s="77">
        <f ca="1">IFERROR(__xludf.DUMMYFUNCTION("IMPORTRANGE(""https://docs.google.com/spreadsheets/d/1Yj_ptqi66GCucihVvJfMjLAmec39IyEx_6qawtMGysU/edit?usp=sharing"",""สบก!DM99"")"),1460239.02)</f>
        <v>1460239.02</v>
      </c>
      <c r="L95" s="137">
        <f t="shared" ca="1" si="5"/>
        <v>28.132916289374819</v>
      </c>
      <c r="M95" s="137">
        <f t="shared" ca="1" si="6"/>
        <v>38.046477368656916</v>
      </c>
      <c r="N95" s="137">
        <f ca="1">IFERROR(__xludf.DUMMYFUNCTION("IMPORTRANGE(""https://docs.google.com/spreadsheets/d/1Yj_ptqi66GCucihVvJfMjLAmec39IyEx_6qawtMGysU/edit?usp=sharing"",""สบก!DN99"")"),0)</f>
        <v>0</v>
      </c>
      <c r="O95" s="137">
        <f t="shared" ca="1" si="7"/>
        <v>0</v>
      </c>
      <c r="P95" s="77">
        <f ca="1">IFERROR(__xludf.DUMMYFUNCTION("IMPORTRANGE(""https://docs.google.com/spreadsheets/d/1C3CXT74ZlgGe6_JY_1olB1XN4rF0dxEuIIF-xsYjHgg/edit?usp=sharing"",""พรบ!CA99"")"),0)</f>
        <v>0</v>
      </c>
      <c r="Q95" s="77">
        <f ca="1">IFERROR(__xludf.DUMMYFUNCTION("IMPORTRANGE(""https://docs.google.com/spreadsheets/d/1C3CXT74ZlgGe6_JY_1olB1XN4rF0dxEuIIF-xsYjHgg/edit?usp=sharing"",""พรบ!BZ99"")"),0)</f>
        <v>0</v>
      </c>
      <c r="R95" s="149">
        <v>0</v>
      </c>
      <c r="S95" s="77">
        <v>0</v>
      </c>
      <c r="T95" s="77">
        <v>0</v>
      </c>
      <c r="U95" s="137">
        <f t="shared" ca="1" si="10"/>
        <v>0</v>
      </c>
      <c r="V95" s="77">
        <v>0</v>
      </c>
      <c r="W95" s="77">
        <v>0</v>
      </c>
      <c r="X95" s="137">
        <f t="shared" ca="1" si="12"/>
        <v>0</v>
      </c>
      <c r="Y95" s="77">
        <v>0</v>
      </c>
      <c r="Z95" s="77">
        <v>0</v>
      </c>
      <c r="AA95" s="137">
        <f t="shared" ca="1" si="14"/>
        <v>0</v>
      </c>
      <c r="AB95" s="77">
        <v>0</v>
      </c>
      <c r="AC95" s="77">
        <v>0</v>
      </c>
      <c r="AD95" s="219">
        <f t="shared" ca="1" si="16"/>
        <v>0</v>
      </c>
      <c r="AE95" s="215"/>
      <c r="AF95" s="215"/>
      <c r="AG95" s="215"/>
      <c r="AH95" s="219"/>
      <c r="AI95" s="220"/>
      <c r="AJ95" s="220"/>
      <c r="AK95" s="220"/>
      <c r="AL95" s="220"/>
      <c r="AM95" s="220"/>
      <c r="AN95" s="220"/>
      <c r="AO95" s="220"/>
      <c r="AP95" s="220"/>
      <c r="AQ95" s="220"/>
      <c r="AR95" s="220"/>
      <c r="AS95" s="220"/>
      <c r="AT95" s="220"/>
      <c r="AU95" s="220"/>
      <c r="AV95" s="220"/>
      <c r="AW95" s="220"/>
      <c r="AX95" s="220"/>
      <c r="AY95" s="220"/>
      <c r="AZ95" s="220"/>
      <c r="BA95" s="220"/>
      <c r="BB95" s="220"/>
      <c r="BC95" s="220"/>
      <c r="BD95" s="220"/>
      <c r="BE95" s="220"/>
      <c r="BF95" s="221"/>
    </row>
    <row r="96" spans="1:58" ht="24" hidden="1" customHeight="1">
      <c r="A96" s="105">
        <f t="shared" si="165"/>
        <v>5</v>
      </c>
      <c r="B96" s="106" t="s">
        <v>120</v>
      </c>
      <c r="C96" s="75">
        <f t="shared" ca="1" si="0"/>
        <v>1439600</v>
      </c>
      <c r="D96" s="76">
        <f t="shared" ca="1" si="164"/>
        <v>1439600</v>
      </c>
      <c r="E96" s="77">
        <f ca="1">IFERROR(__xludf.DUMMYFUNCTION("IMPORTRANGE(""https://docs.google.com/spreadsheets/d/1C3CXT74ZlgGe6_JY_1olB1XN4rF0dxEuIIF-xsYjHgg/edit?usp=sharing"",""พรบ!BX100"")"),1439600)</f>
        <v>1439600</v>
      </c>
      <c r="F96" s="77">
        <f ca="1">IFERROR(__xludf.DUMMYFUNCTION("IMPORTRANGE(""https://docs.google.com/spreadsheets/d/1C3CXT74ZlgGe6_JY_1olB1XN4rF0dxEuIIF-xsYjHgg/edit?usp=sharing"",""พรบ!BY100"")"),0)</f>
        <v>0</v>
      </c>
      <c r="G96" s="77">
        <f ca="1">IFERROR(__xludf.DUMMYFUNCTION("IMPORTRANGE(""https://docs.google.com/spreadsheets/d/1Yj_ptqi66GCucihVvJfMjLAmec39IyEx_6qawtMGysU/edit?usp=sharing"",""สบก!DJ100"")"),0)</f>
        <v>0</v>
      </c>
      <c r="H96" s="77">
        <f ca="1">IFERROR(__xludf.DUMMYFUNCTION("IMPORTRANGE(""https://docs.google.com/spreadsheets/d/1Yj_ptqi66GCucihVvJfMjLAmec39IyEx_6qawtMGysU/edit?usp=shDLing"",""สบก!DL100"")"),1079700)</f>
        <v>1079700</v>
      </c>
      <c r="I96" s="77">
        <f t="shared" ca="1" si="3"/>
        <v>740259.32</v>
      </c>
      <c r="J96" s="77">
        <f t="shared" ca="1" si="4"/>
        <v>51.421180883578771</v>
      </c>
      <c r="K96" s="77">
        <f ca="1">IFERROR(__xludf.DUMMYFUNCTION("IMPORTRANGE(""https://docs.google.com/spreadsheets/d/1Yj_ptqi66GCucihVvJfMjLAmec39IyEx_6qawtMGysU/edit?usp=sharing"",""สบก!DM100"")"),740259.32)</f>
        <v>740259.32</v>
      </c>
      <c r="L96" s="137">
        <f t="shared" ca="1" si="5"/>
        <v>51.421180883578771</v>
      </c>
      <c r="M96" s="137">
        <f t="shared" ca="1" si="6"/>
        <v>68.561574511438366</v>
      </c>
      <c r="N96" s="137">
        <f ca="1">IFERROR(__xludf.DUMMYFUNCTION("IMPORTRANGE(""https://docs.google.com/spreadsheets/d/1Yj_ptqi66GCucihVvJfMjLAmec39IyEx_6qawtMGysU/edit?usp=sharing"",""สบก!DN100"")"),0)</f>
        <v>0</v>
      </c>
      <c r="O96" s="137">
        <f t="shared" ca="1" si="7"/>
        <v>0</v>
      </c>
      <c r="P96" s="77">
        <f ca="1">IFERROR(__xludf.DUMMYFUNCTION("IMPORTRANGE(""https://docs.google.com/spreadsheets/d/1C3CXT74ZlgGe6_JY_1olB1XN4rF0dxEuIIF-xsYjHgg/edit?usp=sharing"",""พรบ!CA100"")"),0)</f>
        <v>0</v>
      </c>
      <c r="Q96" s="77">
        <f ca="1">IFERROR(__xludf.DUMMYFUNCTION("IMPORTRANGE(""https://docs.google.com/spreadsheets/d/1C3CXT74ZlgGe6_JY_1olB1XN4rF0dxEuIIF-xsYjHgg/edit?usp=sharing"",""พรบ!BZ100"")"),0)</f>
        <v>0</v>
      </c>
      <c r="R96" s="149">
        <v>0</v>
      </c>
      <c r="S96" s="77">
        <v>0</v>
      </c>
      <c r="T96" s="77">
        <v>0</v>
      </c>
      <c r="U96" s="137">
        <f t="shared" ca="1" si="10"/>
        <v>0</v>
      </c>
      <c r="V96" s="77">
        <v>0</v>
      </c>
      <c r="W96" s="77">
        <v>0</v>
      </c>
      <c r="X96" s="137">
        <f t="shared" ca="1" si="12"/>
        <v>0</v>
      </c>
      <c r="Y96" s="77">
        <v>0</v>
      </c>
      <c r="Z96" s="77">
        <v>0</v>
      </c>
      <c r="AA96" s="137">
        <f t="shared" ca="1" si="14"/>
        <v>0</v>
      </c>
      <c r="AB96" s="77">
        <v>0</v>
      </c>
      <c r="AC96" s="77">
        <v>0</v>
      </c>
      <c r="AD96" s="219">
        <f t="shared" ca="1" si="16"/>
        <v>0</v>
      </c>
      <c r="AE96" s="215"/>
      <c r="AF96" s="215"/>
      <c r="AG96" s="215"/>
      <c r="AH96" s="219"/>
      <c r="AI96" s="220"/>
      <c r="AJ96" s="220"/>
      <c r="AK96" s="220"/>
      <c r="AL96" s="220"/>
      <c r="AM96" s="220"/>
      <c r="AN96" s="220"/>
      <c r="AO96" s="220"/>
      <c r="AP96" s="220"/>
      <c r="AQ96" s="220"/>
      <c r="AR96" s="220"/>
      <c r="AS96" s="220"/>
      <c r="AT96" s="220"/>
      <c r="AU96" s="220"/>
      <c r="AV96" s="220"/>
      <c r="AW96" s="220"/>
      <c r="AX96" s="220"/>
      <c r="AY96" s="220"/>
      <c r="AZ96" s="220"/>
      <c r="BA96" s="220"/>
      <c r="BB96" s="220"/>
      <c r="BC96" s="220"/>
      <c r="BD96" s="220"/>
      <c r="BE96" s="220"/>
      <c r="BF96" s="221"/>
    </row>
    <row r="97" spans="1:58" ht="24" hidden="1" customHeight="1">
      <c r="A97" s="105">
        <f t="shared" si="165"/>
        <v>6</v>
      </c>
      <c r="B97" s="106" t="s">
        <v>121</v>
      </c>
      <c r="C97" s="75">
        <f t="shared" ca="1" si="0"/>
        <v>11660240</v>
      </c>
      <c r="D97" s="76">
        <f t="shared" ca="1" si="164"/>
        <v>11660240</v>
      </c>
      <c r="E97" s="77">
        <f ca="1">IFERROR(__xludf.DUMMYFUNCTION("IMPORTRANGE(""https://docs.google.com/spreadsheets/d/1C3CXT74ZlgGe6_JY_1olB1XN4rF0dxEuIIF-xsYjHgg/edit?usp=sharing"",""พรบ!BX101"")"),2507600)</f>
        <v>2507600</v>
      </c>
      <c r="F97" s="77">
        <f ca="1">IFERROR(__xludf.DUMMYFUNCTION("IMPORTRANGE(""https://docs.google.com/spreadsheets/d/1C3CXT74ZlgGe6_JY_1olB1XN4rF0dxEuIIF-xsYjHgg/edit?usp=sharing"",""พรบ!BY101"")"),9152640)</f>
        <v>9152640</v>
      </c>
      <c r="G97" s="77">
        <f ca="1">IFERROR(__xludf.DUMMYFUNCTION("IMPORTRANGE(""https://docs.google.com/spreadsheets/d/1Yj_ptqi66GCucihVvJfMjLAmec39IyEx_6qawtMGysU/edit?usp=sharing"",""สบก!DJ101"")"),0)</f>
        <v>0</v>
      </c>
      <c r="H97" s="77">
        <f ca="1">IFERROR(__xludf.DUMMYFUNCTION("IMPORTRANGE(""https://docs.google.com/spreadsheets/d/1Yj_ptqi66GCucihVvJfMjLAmec39IyEx_6qawtMGysU/edit?usp=shDLing"",""สบก!DL101"")"),11168100)</f>
        <v>11168100</v>
      </c>
      <c r="I97" s="77">
        <f t="shared" ca="1" si="3"/>
        <v>2556388.23</v>
      </c>
      <c r="J97" s="77">
        <f t="shared" ca="1" si="4"/>
        <v>21.923976093116437</v>
      </c>
      <c r="K97" s="77">
        <f ca="1">IFERROR(__xludf.DUMMYFUNCTION("IMPORTRANGE(""https://docs.google.com/spreadsheets/d/1Yj_ptqi66GCucihVvJfMjLAmec39IyEx_6qawtMGysU/edit?usp=sharing"",""สบก!DM101"")"),2556388.23)</f>
        <v>2556388.23</v>
      </c>
      <c r="L97" s="137">
        <f t="shared" ca="1" si="5"/>
        <v>21.923976093116437</v>
      </c>
      <c r="M97" s="137">
        <f t="shared" ca="1" si="6"/>
        <v>22.890090794315952</v>
      </c>
      <c r="N97" s="137">
        <f ca="1">IFERROR(__xludf.DUMMYFUNCTION("IMPORTRANGE(""https://docs.google.com/spreadsheets/d/1Yj_ptqi66GCucihVvJfMjLAmec39IyEx_6qawtMGysU/edit?usp=sharing"",""สบก!DN101"")"),0)</f>
        <v>0</v>
      </c>
      <c r="O97" s="137">
        <f t="shared" ca="1" si="7"/>
        <v>0</v>
      </c>
      <c r="P97" s="77">
        <f ca="1">IFERROR(__xludf.DUMMYFUNCTION("IMPORTRANGE(""https://docs.google.com/spreadsheets/d/1C3CXT74ZlgGe6_JY_1olB1XN4rF0dxEuIIF-xsYjHgg/edit?usp=sharing"",""พรบ!CA101"")"),0)</f>
        <v>0</v>
      </c>
      <c r="Q97" s="77">
        <f ca="1">IFERROR(__xludf.DUMMYFUNCTION("IMPORTRANGE(""https://docs.google.com/spreadsheets/d/1C3CXT74ZlgGe6_JY_1olB1XN4rF0dxEuIIF-xsYjHgg/edit?usp=sharing"",""พรบ!BZ101"")"),0)</f>
        <v>0</v>
      </c>
      <c r="R97" s="149">
        <v>0</v>
      </c>
      <c r="S97" s="77">
        <v>0</v>
      </c>
      <c r="T97" s="77">
        <v>0</v>
      </c>
      <c r="U97" s="137">
        <f t="shared" ca="1" si="10"/>
        <v>0</v>
      </c>
      <c r="V97" s="77">
        <v>0</v>
      </c>
      <c r="W97" s="77">
        <v>0</v>
      </c>
      <c r="X97" s="137">
        <f t="shared" ca="1" si="12"/>
        <v>0</v>
      </c>
      <c r="Y97" s="77">
        <v>0</v>
      </c>
      <c r="Z97" s="77">
        <v>0</v>
      </c>
      <c r="AA97" s="137">
        <f t="shared" ca="1" si="14"/>
        <v>0</v>
      </c>
      <c r="AB97" s="77">
        <v>0</v>
      </c>
      <c r="AC97" s="77">
        <v>0</v>
      </c>
      <c r="AD97" s="219">
        <f t="shared" ca="1" si="16"/>
        <v>0</v>
      </c>
      <c r="AE97" s="215"/>
      <c r="AF97" s="215"/>
      <c r="AG97" s="215"/>
      <c r="AH97" s="219"/>
      <c r="AI97" s="220"/>
      <c r="AJ97" s="220"/>
      <c r="AK97" s="220"/>
      <c r="AL97" s="220"/>
      <c r="AM97" s="220"/>
      <c r="AN97" s="220"/>
      <c r="AO97" s="220"/>
      <c r="AP97" s="220"/>
      <c r="AQ97" s="220"/>
      <c r="AR97" s="220"/>
      <c r="AS97" s="220"/>
      <c r="AT97" s="220"/>
      <c r="AU97" s="220"/>
      <c r="AV97" s="220"/>
      <c r="AW97" s="220"/>
      <c r="AX97" s="220"/>
      <c r="AY97" s="220"/>
      <c r="AZ97" s="220"/>
      <c r="BA97" s="220"/>
      <c r="BB97" s="220"/>
      <c r="BC97" s="220"/>
      <c r="BD97" s="220"/>
      <c r="BE97" s="220"/>
      <c r="BF97" s="221"/>
    </row>
    <row r="98" spans="1:58" ht="24" hidden="1" customHeight="1">
      <c r="A98" s="105">
        <f t="shared" si="165"/>
        <v>7</v>
      </c>
      <c r="B98" s="106" t="s">
        <v>122</v>
      </c>
      <c r="C98" s="75">
        <f t="shared" ca="1" si="0"/>
        <v>0</v>
      </c>
      <c r="D98" s="76">
        <f t="shared" ca="1" si="164"/>
        <v>0</v>
      </c>
      <c r="E98" s="77">
        <f ca="1">IFERROR(__xludf.DUMMYFUNCTION("IMPORTRANGE(""https://docs.google.com/spreadsheets/d/1C3CXT74ZlgGe6_JY_1olB1XN4rF0dxEuIIF-xsYjHgg/edit?usp=sharing"",""พรบ!BX102"")"),0)</f>
        <v>0</v>
      </c>
      <c r="F98" s="77">
        <f ca="1">IFERROR(__xludf.DUMMYFUNCTION("IMPORTRANGE(""https://docs.google.com/spreadsheets/d/1C3CXT74ZlgGe6_JY_1olB1XN4rF0dxEuIIF-xsYjHgg/edit?usp=sharing"",""พรบ!BY102"")"),0)</f>
        <v>0</v>
      </c>
      <c r="G98" s="77">
        <f ca="1">IFERROR(__xludf.DUMMYFUNCTION("IMPORTRANGE(""https://docs.google.com/spreadsheets/d/1Yj_ptqi66GCucihVvJfMjLAmec39IyEx_6qawtMGysU/edit?usp=sharing"",""สบก!DJ102"")"),0)</f>
        <v>0</v>
      </c>
      <c r="H98" s="77">
        <f ca="1">IFERROR(__xludf.DUMMYFUNCTION("IMPORTRANGE(""https://docs.google.com/spreadsheets/d/1Yj_ptqi66GCucihVvJfMjLAmec39IyEx_6qawtMGysU/edit?usp=shDLing"",""สบก!DL102"")"),0)</f>
        <v>0</v>
      </c>
      <c r="I98" s="77">
        <f t="shared" ca="1" si="3"/>
        <v>0</v>
      </c>
      <c r="J98" s="77">
        <f t="shared" ca="1" si="4"/>
        <v>0</v>
      </c>
      <c r="K98" s="77">
        <f ca="1">IFERROR(__xludf.DUMMYFUNCTION("IMPORTRANGE(""https://docs.google.com/spreadsheets/d/1Yj_ptqi66GCucihVvJfMjLAmec39IyEx_6qawtMGysU/edit?usp=sharing"",""สบก!DM102"")"),0)</f>
        <v>0</v>
      </c>
      <c r="L98" s="137">
        <f t="shared" ca="1" si="5"/>
        <v>0</v>
      </c>
      <c r="M98" s="137">
        <f t="shared" ca="1" si="6"/>
        <v>0</v>
      </c>
      <c r="N98" s="137">
        <f ca="1">IFERROR(__xludf.DUMMYFUNCTION("IMPORTRANGE(""https://docs.google.com/spreadsheets/d/1Yj_ptqi66GCucihVvJfMjLAmec39IyEx_6qawtMGysU/edit?usp=sharing"",""สบก!DN102"")"),0)</f>
        <v>0</v>
      </c>
      <c r="O98" s="137">
        <f t="shared" ca="1" si="7"/>
        <v>0</v>
      </c>
      <c r="P98" s="77">
        <f ca="1">IFERROR(__xludf.DUMMYFUNCTION("IMPORTRANGE(""https://docs.google.com/spreadsheets/d/1C3CXT74ZlgGe6_JY_1olB1XN4rF0dxEuIIF-xsYjHgg/edit?usp=sharing"",""พรบ!CA102"")"),0)</f>
        <v>0</v>
      </c>
      <c r="Q98" s="77">
        <f ca="1">IFERROR(__xludf.DUMMYFUNCTION("IMPORTRANGE(""https://docs.google.com/spreadsheets/d/1C3CXT74ZlgGe6_JY_1olB1XN4rF0dxEuIIF-xsYjHgg/edit?usp=sharing"",""พรบ!BZ102"")"),0)</f>
        <v>0</v>
      </c>
      <c r="R98" s="149">
        <v>0</v>
      </c>
      <c r="S98" s="77">
        <v>0</v>
      </c>
      <c r="T98" s="77">
        <v>0</v>
      </c>
      <c r="U98" s="137">
        <f t="shared" ca="1" si="10"/>
        <v>0</v>
      </c>
      <c r="V98" s="77">
        <v>0</v>
      </c>
      <c r="W98" s="77">
        <v>0</v>
      </c>
      <c r="X98" s="137">
        <f t="shared" ca="1" si="12"/>
        <v>0</v>
      </c>
      <c r="Y98" s="77">
        <v>0</v>
      </c>
      <c r="Z98" s="77">
        <v>0</v>
      </c>
      <c r="AA98" s="137">
        <f t="shared" ca="1" si="14"/>
        <v>0</v>
      </c>
      <c r="AB98" s="77">
        <v>0</v>
      </c>
      <c r="AC98" s="77">
        <v>0</v>
      </c>
      <c r="AD98" s="219">
        <f t="shared" ca="1" si="16"/>
        <v>0</v>
      </c>
      <c r="AE98" s="215"/>
      <c r="AF98" s="215"/>
      <c r="AG98" s="215"/>
      <c r="AH98" s="219"/>
      <c r="AI98" s="220"/>
      <c r="AJ98" s="220"/>
      <c r="AK98" s="220"/>
      <c r="AL98" s="220"/>
      <c r="AM98" s="220"/>
      <c r="AN98" s="220"/>
      <c r="AO98" s="220"/>
      <c r="AP98" s="220"/>
      <c r="AQ98" s="220"/>
      <c r="AR98" s="220"/>
      <c r="AS98" s="220"/>
      <c r="AT98" s="220"/>
      <c r="AU98" s="220"/>
      <c r="AV98" s="220"/>
      <c r="AW98" s="220"/>
      <c r="AX98" s="220"/>
      <c r="AY98" s="220"/>
      <c r="AZ98" s="220"/>
      <c r="BA98" s="220"/>
      <c r="BB98" s="220"/>
      <c r="BC98" s="220"/>
      <c r="BD98" s="220"/>
      <c r="BE98" s="220"/>
      <c r="BF98" s="221"/>
    </row>
    <row r="99" spans="1:58" ht="24" hidden="1" customHeight="1">
      <c r="A99" s="105">
        <f t="shared" si="165"/>
        <v>8</v>
      </c>
      <c r="B99" s="106" t="s">
        <v>123</v>
      </c>
      <c r="C99" s="75">
        <f t="shared" ca="1" si="0"/>
        <v>2812700</v>
      </c>
      <c r="D99" s="76">
        <f t="shared" ca="1" si="164"/>
        <v>2812700</v>
      </c>
      <c r="E99" s="77">
        <f ca="1">IFERROR(__xludf.DUMMYFUNCTION("IMPORTRANGE(""https://docs.google.com/spreadsheets/d/1C3CXT74ZlgGe6_JY_1olB1XN4rF0dxEuIIF-xsYjHgg/edit?usp=sharing"",""พรบ!BX103"")"),2812700)</f>
        <v>2812700</v>
      </c>
      <c r="F99" s="77">
        <f ca="1">IFERROR(__xludf.DUMMYFUNCTION("IMPORTRANGE(""https://docs.google.com/spreadsheets/d/1C3CXT74ZlgGe6_JY_1olB1XN4rF0dxEuIIF-xsYjHgg/edit?usp=sharing"",""พรบ!BY103"")"),0)</f>
        <v>0</v>
      </c>
      <c r="G99" s="77">
        <f ca="1">IFERROR(__xludf.DUMMYFUNCTION("IMPORTRANGE(""https://docs.google.com/spreadsheets/d/1Yj_ptqi66GCucihVvJfMjLAmec39IyEx_6qawtMGysU/edit?usp=sharing"",""สบก!DJ103"")"),0)</f>
        <v>0</v>
      </c>
      <c r="H99" s="77">
        <f ca="1">IFERROR(__xludf.DUMMYFUNCTION("IMPORTRANGE(""https://docs.google.com/spreadsheets/d/1Yj_ptqi66GCucihVvJfMjLAmec39IyEx_6qawtMGysU/edit?usp=shDLing"",""สบก!DL103"")"),2109500)</f>
        <v>2109500</v>
      </c>
      <c r="I99" s="77">
        <f t="shared" ca="1" si="3"/>
        <v>1283287.95</v>
      </c>
      <c r="J99" s="77">
        <f t="shared" ca="1" si="4"/>
        <v>45.624771571799336</v>
      </c>
      <c r="K99" s="77">
        <f ca="1">IFERROR(__xludf.DUMMYFUNCTION("IMPORTRANGE(""https://docs.google.com/spreadsheets/d/1Yj_ptqi66GCucihVvJfMjLAmec39IyEx_6qawtMGysU/edit?usp=sharing"",""สบก!DM103"")"),1283287.95)</f>
        <v>1283287.95</v>
      </c>
      <c r="L99" s="137">
        <f t="shared" ca="1" si="5"/>
        <v>45.624771571799336</v>
      </c>
      <c r="M99" s="137">
        <f t="shared" ca="1" si="6"/>
        <v>60.83374970372126</v>
      </c>
      <c r="N99" s="137">
        <f ca="1">IFERROR(__xludf.DUMMYFUNCTION("IMPORTRANGE(""https://docs.google.com/spreadsheets/d/1Yj_ptqi66GCucihVvJfMjLAmec39IyEx_6qawtMGysU/edit?usp=sharing"",""สบก!DN103"")"),0)</f>
        <v>0</v>
      </c>
      <c r="O99" s="137">
        <f t="shared" ca="1" si="7"/>
        <v>0</v>
      </c>
      <c r="P99" s="77">
        <f ca="1">IFERROR(__xludf.DUMMYFUNCTION("IMPORTRANGE(""https://docs.google.com/spreadsheets/d/1C3CXT74ZlgGe6_JY_1olB1XN4rF0dxEuIIF-xsYjHgg/edit?usp=sharing"",""พรบ!CA103"")"),0)</f>
        <v>0</v>
      </c>
      <c r="Q99" s="77">
        <f ca="1">IFERROR(__xludf.DUMMYFUNCTION("IMPORTRANGE(""https://docs.google.com/spreadsheets/d/1C3CXT74ZlgGe6_JY_1olB1XN4rF0dxEuIIF-xsYjHgg/edit?usp=sharing"",""พรบ!BZ103"")"),0)</f>
        <v>0</v>
      </c>
      <c r="R99" s="149">
        <v>0</v>
      </c>
      <c r="S99" s="77">
        <v>0</v>
      </c>
      <c r="T99" s="77">
        <v>0</v>
      </c>
      <c r="U99" s="137">
        <f t="shared" ca="1" si="10"/>
        <v>0</v>
      </c>
      <c r="V99" s="77">
        <v>0</v>
      </c>
      <c r="W99" s="77">
        <v>0</v>
      </c>
      <c r="X99" s="137">
        <f t="shared" ca="1" si="12"/>
        <v>0</v>
      </c>
      <c r="Y99" s="77">
        <v>0</v>
      </c>
      <c r="Z99" s="77">
        <v>0</v>
      </c>
      <c r="AA99" s="137">
        <f t="shared" ca="1" si="14"/>
        <v>0</v>
      </c>
      <c r="AB99" s="77">
        <v>0</v>
      </c>
      <c r="AC99" s="77">
        <v>0</v>
      </c>
      <c r="AD99" s="219">
        <f t="shared" ca="1" si="16"/>
        <v>0</v>
      </c>
      <c r="AE99" s="215"/>
      <c r="AF99" s="215"/>
      <c r="AG99" s="215"/>
      <c r="AH99" s="219"/>
      <c r="AI99" s="220"/>
      <c r="AJ99" s="220"/>
      <c r="AK99" s="220"/>
      <c r="AL99" s="220"/>
      <c r="AM99" s="220"/>
      <c r="AN99" s="220"/>
      <c r="AO99" s="220"/>
      <c r="AP99" s="220"/>
      <c r="AQ99" s="220"/>
      <c r="AR99" s="220"/>
      <c r="AS99" s="220"/>
      <c r="AT99" s="220"/>
      <c r="AU99" s="220"/>
      <c r="AV99" s="220"/>
      <c r="AW99" s="220"/>
      <c r="AX99" s="220"/>
      <c r="AY99" s="220"/>
      <c r="AZ99" s="220"/>
      <c r="BA99" s="220"/>
      <c r="BB99" s="220"/>
      <c r="BC99" s="220"/>
      <c r="BD99" s="220"/>
      <c r="BE99" s="220"/>
      <c r="BF99" s="221"/>
    </row>
    <row r="100" spans="1:58" ht="24" hidden="1" customHeight="1">
      <c r="A100" s="105">
        <f t="shared" si="165"/>
        <v>9</v>
      </c>
      <c r="B100" s="106" t="s">
        <v>124</v>
      </c>
      <c r="C100" s="75">
        <f t="shared" ca="1" si="0"/>
        <v>39845100</v>
      </c>
      <c r="D100" s="76">
        <f t="shared" ca="1" si="164"/>
        <v>4028300</v>
      </c>
      <c r="E100" s="77">
        <f ca="1">IFERROR(__xludf.DUMMYFUNCTION("IMPORTRANGE(""https://docs.google.com/spreadsheets/d/1C3CXT74ZlgGe6_JY_1olB1XN4rF0dxEuIIF-xsYjHgg/edit?usp=sharing"",""พรบ!BX104"")"),1381200)</f>
        <v>1381200</v>
      </c>
      <c r="F100" s="77">
        <f ca="1">IFERROR(__xludf.DUMMYFUNCTION("IMPORTRANGE(""https://docs.google.com/spreadsheets/d/1C3CXT74ZlgGe6_JY_1olB1XN4rF0dxEuIIF-xsYjHgg/edit?usp=sharing"",""พรบ!BY104"")"),2647100)</f>
        <v>2647100</v>
      </c>
      <c r="G100" s="77">
        <f ca="1">IFERROR(__xludf.DUMMYFUNCTION("IMPORTRANGE(""https://docs.google.com/spreadsheets/d/1Yj_ptqi66GCucihVvJfMjLAmec39IyEx_6qawtMGysU/edit?usp=sharing"",""สบก!DJ104"")"),35816800)</f>
        <v>35816800</v>
      </c>
      <c r="H100" s="77">
        <f ca="1">IFERROR(__xludf.DUMMYFUNCTION("IMPORTRANGE(""https://docs.google.com/spreadsheets/d/1Yj_ptqi66GCucihVvJfMjLAmec39IyEx_6qawtMGysU/edit?usp=shDLing"",""สบก!DL104"")"),2927100)</f>
        <v>2927100</v>
      </c>
      <c r="I100" s="77">
        <f t="shared" ca="1" si="3"/>
        <v>19862027.300000001</v>
      </c>
      <c r="J100" s="77">
        <f t="shared" ca="1" si="4"/>
        <v>49.848105036754831</v>
      </c>
      <c r="K100" s="77">
        <f ca="1">IFERROR(__xludf.DUMMYFUNCTION("IMPORTRANGE(""https://docs.google.com/spreadsheets/d/1Yj_ptqi66GCucihVvJfMjLAmec39IyEx_6qawtMGysU/edit?usp=sharing"",""สบก!DM104"")"),1368821.3)</f>
        <v>1368821.3</v>
      </c>
      <c r="L100" s="137">
        <f t="shared" ca="1" si="5"/>
        <v>33.980123128863291</v>
      </c>
      <c r="M100" s="137">
        <f t="shared" ca="1" si="6"/>
        <v>46.763735437805337</v>
      </c>
      <c r="N100" s="137">
        <f ca="1">IFERROR(__xludf.DUMMYFUNCTION("IMPORTRANGE(""https://docs.google.com/spreadsheets/d/1Yj_ptqi66GCucihVvJfMjLAmec39IyEx_6qawtMGysU/edit?usp=sharing"",""สบก!DN104"")"),18493206)</f>
        <v>18493206</v>
      </c>
      <c r="O100" s="137">
        <f t="shared" ca="1" si="7"/>
        <v>51.632770096714388</v>
      </c>
      <c r="P100" s="77">
        <f ca="1">IFERROR(__xludf.DUMMYFUNCTION("IMPORTRANGE(""https://docs.google.com/spreadsheets/d/1C3CXT74ZlgGe6_JY_1olB1XN4rF0dxEuIIF-xsYjHgg/edit?usp=sharing"",""พรบ!CA104"")"),0)</f>
        <v>0</v>
      </c>
      <c r="Q100" s="77">
        <f ca="1">IFERROR(__xludf.DUMMYFUNCTION("IMPORTRANGE(""https://docs.google.com/spreadsheets/d/1C3CXT74ZlgGe6_JY_1olB1XN4rF0dxEuIIF-xsYjHgg/edit?usp=sharing"",""พรบ!BZ104"")"),0)</f>
        <v>0</v>
      </c>
      <c r="R100" s="149">
        <v>0</v>
      </c>
      <c r="S100" s="77">
        <v>0</v>
      </c>
      <c r="T100" s="77">
        <v>0</v>
      </c>
      <c r="U100" s="137">
        <f t="shared" ca="1" si="10"/>
        <v>0</v>
      </c>
      <c r="V100" s="77">
        <v>0</v>
      </c>
      <c r="W100" s="77">
        <v>0</v>
      </c>
      <c r="X100" s="137">
        <f t="shared" ca="1" si="12"/>
        <v>0</v>
      </c>
      <c r="Y100" s="77">
        <v>0</v>
      </c>
      <c r="Z100" s="77">
        <v>0</v>
      </c>
      <c r="AA100" s="137">
        <f t="shared" ca="1" si="14"/>
        <v>0</v>
      </c>
      <c r="AB100" s="77">
        <v>0</v>
      </c>
      <c r="AC100" s="77">
        <v>0</v>
      </c>
      <c r="AD100" s="219">
        <f t="shared" ca="1" si="16"/>
        <v>0</v>
      </c>
      <c r="AE100" s="215"/>
      <c r="AF100" s="215"/>
      <c r="AG100" s="215"/>
      <c r="AH100" s="219"/>
      <c r="AI100" s="220"/>
      <c r="AJ100" s="220"/>
      <c r="AK100" s="220"/>
      <c r="AL100" s="220"/>
      <c r="AM100" s="220"/>
      <c r="AN100" s="220"/>
      <c r="AO100" s="220"/>
      <c r="AP100" s="220"/>
      <c r="AQ100" s="220"/>
      <c r="AR100" s="220"/>
      <c r="AS100" s="220"/>
      <c r="AT100" s="220"/>
      <c r="AU100" s="220"/>
      <c r="AV100" s="220"/>
      <c r="AW100" s="220"/>
      <c r="AX100" s="220"/>
      <c r="AY100" s="220"/>
      <c r="AZ100" s="220"/>
      <c r="BA100" s="220"/>
      <c r="BB100" s="220"/>
      <c r="BC100" s="220"/>
      <c r="BD100" s="220"/>
      <c r="BE100" s="220"/>
      <c r="BF100" s="221"/>
    </row>
    <row r="101" spans="1:58" ht="24" hidden="1" customHeight="1">
      <c r="A101" s="105">
        <f t="shared" si="165"/>
        <v>10</v>
      </c>
      <c r="B101" s="106" t="s">
        <v>125</v>
      </c>
      <c r="C101" s="75">
        <f t="shared" ca="1" si="0"/>
        <v>6052900</v>
      </c>
      <c r="D101" s="76">
        <f t="shared" ca="1" si="164"/>
        <v>6052900</v>
      </c>
      <c r="E101" s="77">
        <f ca="1">IFERROR(__xludf.DUMMYFUNCTION("IMPORTRANGE(""https://docs.google.com/spreadsheets/d/1C3CXT74ZlgGe6_JY_1olB1XN4rF0dxEuIIF-xsYjHgg/edit?usp=sharing"",""พรบ!BX105"")"),3007600)</f>
        <v>3007600</v>
      </c>
      <c r="F101" s="77">
        <f ca="1">IFERROR(__xludf.DUMMYFUNCTION("IMPORTRANGE(""https://docs.google.com/spreadsheets/d/1C3CXT74ZlgGe6_JY_1olB1XN4rF0dxEuIIF-xsYjHgg/edit?usp=sharing"",""พรบ!BY105"")"),3045300)</f>
        <v>3045300</v>
      </c>
      <c r="G101" s="77">
        <f ca="1">IFERROR(__xludf.DUMMYFUNCTION("IMPORTRANGE(""https://docs.google.com/spreadsheets/d/1Yj_ptqi66GCucihVvJfMjLAmec39IyEx_6qawtMGysU/edit?usp=sharing"",""สบก!DJ105"")"),0)</f>
        <v>0</v>
      </c>
      <c r="H101" s="77">
        <f ca="1">IFERROR(__xludf.DUMMYFUNCTION("IMPORTRANGE(""https://docs.google.com/spreadsheets/d/1Yj_ptqi66GCucihVvJfMjLAmec39IyEx_6qawtMGysU/edit?usp=shDLing"",""สบก!DL105"")"),4546100)</f>
        <v>4546100</v>
      </c>
      <c r="I101" s="77">
        <f t="shared" ca="1" si="3"/>
        <v>2153948.6800000002</v>
      </c>
      <c r="J101" s="77">
        <f t="shared" ca="1" si="4"/>
        <v>35.58540005617143</v>
      </c>
      <c r="K101" s="77">
        <f ca="1">IFERROR(__xludf.DUMMYFUNCTION("IMPORTRANGE(""https://docs.google.com/spreadsheets/d/1Yj_ptqi66GCucihVvJfMjLAmec39IyEx_6qawtMGysU/edit?usp=sharing"",""สบก!DM105"")"),2153948.68)</f>
        <v>2153948.6800000002</v>
      </c>
      <c r="L101" s="137">
        <f t="shared" ca="1" si="5"/>
        <v>35.58540005617143</v>
      </c>
      <c r="M101" s="137">
        <f t="shared" ca="1" si="6"/>
        <v>47.380142979696892</v>
      </c>
      <c r="N101" s="137">
        <f ca="1">IFERROR(__xludf.DUMMYFUNCTION("IMPORTRANGE(""https://docs.google.com/spreadsheets/d/1Yj_ptqi66GCucihVvJfMjLAmec39IyEx_6qawtMGysU/edit?usp=sharing"",""สบก!DN105"")"),0)</f>
        <v>0</v>
      </c>
      <c r="O101" s="137">
        <f t="shared" ca="1" si="7"/>
        <v>0</v>
      </c>
      <c r="P101" s="77">
        <f ca="1">IFERROR(__xludf.DUMMYFUNCTION("IMPORTRANGE(""https://docs.google.com/spreadsheets/d/1C3CXT74ZlgGe6_JY_1olB1XN4rF0dxEuIIF-xsYjHgg/edit?usp=sharing"",""พรบ!CA105"")"),0)</f>
        <v>0</v>
      </c>
      <c r="Q101" s="77">
        <f ca="1">IFERROR(__xludf.DUMMYFUNCTION("IMPORTRANGE(""https://docs.google.com/spreadsheets/d/1C3CXT74ZlgGe6_JY_1olB1XN4rF0dxEuIIF-xsYjHgg/edit?usp=sharing"",""พรบ!BZ105"")"),0)</f>
        <v>0</v>
      </c>
      <c r="R101" s="149">
        <v>0</v>
      </c>
      <c r="S101" s="77">
        <v>0</v>
      </c>
      <c r="T101" s="77">
        <v>0</v>
      </c>
      <c r="U101" s="137">
        <f t="shared" ca="1" si="10"/>
        <v>0</v>
      </c>
      <c r="V101" s="77">
        <v>0</v>
      </c>
      <c r="W101" s="77">
        <v>0</v>
      </c>
      <c r="X101" s="137">
        <f t="shared" ca="1" si="12"/>
        <v>0</v>
      </c>
      <c r="Y101" s="77">
        <v>0</v>
      </c>
      <c r="Z101" s="77">
        <v>0</v>
      </c>
      <c r="AA101" s="137">
        <f t="shared" ca="1" si="14"/>
        <v>0</v>
      </c>
      <c r="AB101" s="77">
        <v>0</v>
      </c>
      <c r="AC101" s="77">
        <v>0</v>
      </c>
      <c r="AD101" s="219">
        <f t="shared" ca="1" si="16"/>
        <v>0</v>
      </c>
      <c r="AE101" s="215"/>
      <c r="AF101" s="215"/>
      <c r="AG101" s="215"/>
      <c r="AH101" s="219"/>
      <c r="AI101" s="220"/>
      <c r="AJ101" s="220"/>
      <c r="AK101" s="220"/>
      <c r="AL101" s="220"/>
      <c r="AM101" s="220"/>
      <c r="AN101" s="220"/>
      <c r="AO101" s="220"/>
      <c r="AP101" s="220"/>
      <c r="AQ101" s="220"/>
      <c r="AR101" s="220"/>
      <c r="AS101" s="220"/>
      <c r="AT101" s="220"/>
      <c r="AU101" s="220"/>
      <c r="AV101" s="220"/>
      <c r="AW101" s="220"/>
      <c r="AX101" s="220"/>
      <c r="AY101" s="220"/>
      <c r="AZ101" s="220"/>
      <c r="BA101" s="220"/>
      <c r="BB101" s="220"/>
      <c r="BC101" s="220"/>
      <c r="BD101" s="220"/>
      <c r="BE101" s="220"/>
      <c r="BF101" s="221"/>
    </row>
    <row r="102" spans="1:58" ht="24" hidden="1" customHeight="1">
      <c r="A102" s="105">
        <f t="shared" si="165"/>
        <v>11</v>
      </c>
      <c r="B102" s="106" t="s">
        <v>126</v>
      </c>
      <c r="C102" s="75">
        <f t="shared" ca="1" si="0"/>
        <v>1617200</v>
      </c>
      <c r="D102" s="76">
        <f t="shared" ca="1" si="164"/>
        <v>1617200</v>
      </c>
      <c r="E102" s="77">
        <f ca="1">IFERROR(__xludf.DUMMYFUNCTION("IMPORTRANGE(""https://docs.google.com/spreadsheets/d/1C3CXT74ZlgGe6_JY_1olB1XN4rF0dxEuIIF-xsYjHgg/edit?usp=sharing"",""พรบ!BX106"")"),1617200)</f>
        <v>1617200</v>
      </c>
      <c r="F102" s="77">
        <f ca="1">IFERROR(__xludf.DUMMYFUNCTION("IMPORTRANGE(""https://docs.google.com/spreadsheets/d/1C3CXT74ZlgGe6_JY_1olB1XN4rF0dxEuIIF-xsYjHgg/edit?usp=sharing"",""พรบ!BY106"")"),0)</f>
        <v>0</v>
      </c>
      <c r="G102" s="77">
        <f ca="1">IFERROR(__xludf.DUMMYFUNCTION("IMPORTRANGE(""https://docs.google.com/spreadsheets/d/1Yj_ptqi66GCucihVvJfMjLAmec39IyEx_6qawtMGysU/edit?usp=sharing"",""สบก!DJ106"")"),0)</f>
        <v>0</v>
      </c>
      <c r="H102" s="77">
        <f ca="1">IFERROR(__xludf.DUMMYFUNCTION("IMPORTRANGE(""https://docs.google.com/spreadsheets/d/1Yj_ptqi66GCucihVvJfMjLAmec39IyEx_6qawtMGysU/edit?usp=shDLing"",""สบก!DL106"")"),1212900)</f>
        <v>1212900</v>
      </c>
      <c r="I102" s="77">
        <f t="shared" ca="1" si="3"/>
        <v>677242.54</v>
      </c>
      <c r="J102" s="77">
        <f t="shared" ca="1" si="4"/>
        <v>41.877475884244376</v>
      </c>
      <c r="K102" s="77">
        <f ca="1">IFERROR(__xludf.DUMMYFUNCTION("IMPORTRANGE(""https://docs.google.com/spreadsheets/d/1Yj_ptqi66GCucihVvJfMjLAmec39IyEx_6qawtMGysU/edit?usp=sharing"",""สบก!DM106"")"),677242.54)</f>
        <v>677242.54</v>
      </c>
      <c r="L102" s="137">
        <f t="shared" ca="1" si="5"/>
        <v>41.877475884244376</v>
      </c>
      <c r="M102" s="137">
        <f t="shared" ca="1" si="6"/>
        <v>55.83663451232583</v>
      </c>
      <c r="N102" s="137">
        <f ca="1">IFERROR(__xludf.DUMMYFUNCTION("IMPORTRANGE(""https://docs.google.com/spreadsheets/d/1Yj_ptqi66GCucihVvJfMjLAmec39IyEx_6qawtMGysU/edit?usp=sharing"",""สบก!DN106"")"),0)</f>
        <v>0</v>
      </c>
      <c r="O102" s="137">
        <f t="shared" ca="1" si="7"/>
        <v>0</v>
      </c>
      <c r="P102" s="77">
        <f ca="1">IFERROR(__xludf.DUMMYFUNCTION("IMPORTRANGE(""https://docs.google.com/spreadsheets/d/1C3CXT74ZlgGe6_JY_1olB1XN4rF0dxEuIIF-xsYjHgg/edit?usp=sharing"",""พรบ!CA106"")"),0)</f>
        <v>0</v>
      </c>
      <c r="Q102" s="77">
        <f ca="1">IFERROR(__xludf.DUMMYFUNCTION("IMPORTRANGE(""https://docs.google.com/spreadsheets/d/1C3CXT74ZlgGe6_JY_1olB1XN4rF0dxEuIIF-xsYjHgg/edit?usp=sharing"",""พรบ!BZ106"")"),0)</f>
        <v>0</v>
      </c>
      <c r="R102" s="149">
        <v>0</v>
      </c>
      <c r="S102" s="77">
        <v>0</v>
      </c>
      <c r="T102" s="77">
        <v>0</v>
      </c>
      <c r="U102" s="137">
        <f t="shared" ca="1" si="10"/>
        <v>0</v>
      </c>
      <c r="V102" s="77">
        <v>0</v>
      </c>
      <c r="W102" s="77">
        <v>0</v>
      </c>
      <c r="X102" s="137">
        <f t="shared" ca="1" si="12"/>
        <v>0</v>
      </c>
      <c r="Y102" s="77">
        <v>0</v>
      </c>
      <c r="Z102" s="77">
        <v>0</v>
      </c>
      <c r="AA102" s="137">
        <f t="shared" ca="1" si="14"/>
        <v>0</v>
      </c>
      <c r="AB102" s="77">
        <v>0</v>
      </c>
      <c r="AC102" s="77">
        <v>0</v>
      </c>
      <c r="AD102" s="219">
        <f t="shared" ca="1" si="16"/>
        <v>0</v>
      </c>
      <c r="AE102" s="215"/>
      <c r="AF102" s="215"/>
      <c r="AG102" s="215"/>
      <c r="AH102" s="219"/>
      <c r="AI102" s="220"/>
      <c r="AJ102" s="220"/>
      <c r="AK102" s="220"/>
      <c r="AL102" s="220"/>
      <c r="AM102" s="220"/>
      <c r="AN102" s="220"/>
      <c r="AO102" s="220"/>
      <c r="AP102" s="220"/>
      <c r="AQ102" s="220"/>
      <c r="AR102" s="220"/>
      <c r="AS102" s="220"/>
      <c r="AT102" s="220"/>
      <c r="AU102" s="220"/>
      <c r="AV102" s="220"/>
      <c r="AW102" s="220"/>
      <c r="AX102" s="220"/>
      <c r="AY102" s="220"/>
      <c r="AZ102" s="220"/>
      <c r="BA102" s="220"/>
      <c r="BB102" s="220"/>
      <c r="BC102" s="220"/>
      <c r="BD102" s="220"/>
      <c r="BE102" s="220"/>
      <c r="BF102" s="221"/>
    </row>
    <row r="103" spans="1:58" ht="24" hidden="1" customHeight="1">
      <c r="A103" s="105">
        <f t="shared" si="165"/>
        <v>12</v>
      </c>
      <c r="B103" s="106" t="s">
        <v>127</v>
      </c>
      <c r="C103" s="75">
        <f t="shared" ca="1" si="0"/>
        <v>2190800</v>
      </c>
      <c r="D103" s="76">
        <f t="shared" ca="1" si="164"/>
        <v>2190800</v>
      </c>
      <c r="E103" s="77">
        <f ca="1">IFERROR(__xludf.DUMMYFUNCTION("IMPORTRANGE(""https://docs.google.com/spreadsheets/d/1C3CXT74ZlgGe6_JY_1olB1XN4rF0dxEuIIF-xsYjHgg/edit?usp=sharing"",""พรบ!BX107"")"),2190800)</f>
        <v>2190800</v>
      </c>
      <c r="F103" s="77">
        <f ca="1">IFERROR(__xludf.DUMMYFUNCTION("IMPORTRANGE(""https://docs.google.com/spreadsheets/d/1C3CXT74ZlgGe6_JY_1olB1XN4rF0dxEuIIF-xsYjHgg/edit?usp=sharing"",""พรบ!BY107"")"),0)</f>
        <v>0</v>
      </c>
      <c r="G103" s="77">
        <f ca="1">IFERROR(__xludf.DUMMYFUNCTION("IMPORTRANGE(""https://docs.google.com/spreadsheets/d/1Yj_ptqi66GCucihVvJfMjLAmec39IyEx_6qawtMGysU/edit?usp=sharing"",""สบก!DJ107"")"),0)</f>
        <v>0</v>
      </c>
      <c r="H103" s="77">
        <f ca="1">IFERROR(__xludf.DUMMYFUNCTION("IMPORTRANGE(""https://docs.google.com/spreadsheets/d/1Yj_ptqi66GCucihVvJfMjLAmec39IyEx_6qawtMGysU/edit?usp=shDLing"",""สบก!DL107"")"),1643100)</f>
        <v>1643100</v>
      </c>
      <c r="I103" s="77">
        <f t="shared" ca="1" si="3"/>
        <v>959940.32</v>
      </c>
      <c r="J103" s="77">
        <f t="shared" ca="1" si="4"/>
        <v>43.816885156107361</v>
      </c>
      <c r="K103" s="77">
        <f ca="1">IFERROR(__xludf.DUMMYFUNCTION("IMPORTRANGE(""https://docs.google.com/spreadsheets/d/1Yj_ptqi66GCucihVvJfMjLAmec39IyEx_6qawtMGysU/edit?usp=sharing"",""สบก!DM107"")"),959940.32)</f>
        <v>959940.32</v>
      </c>
      <c r="L103" s="137">
        <f t="shared" ca="1" si="5"/>
        <v>43.816885156107361</v>
      </c>
      <c r="M103" s="137">
        <f t="shared" ca="1" si="6"/>
        <v>58.422513541476476</v>
      </c>
      <c r="N103" s="137">
        <f ca="1">IFERROR(__xludf.DUMMYFUNCTION("IMPORTRANGE(""https://docs.google.com/spreadsheets/d/1Yj_ptqi66GCucihVvJfMjLAmec39IyEx_6qawtMGysU/edit?usp=sharing"",""สบก!DN107"")"),0)</f>
        <v>0</v>
      </c>
      <c r="O103" s="137">
        <f t="shared" ca="1" si="7"/>
        <v>0</v>
      </c>
      <c r="P103" s="77">
        <f ca="1">IFERROR(__xludf.DUMMYFUNCTION("IMPORTRANGE(""https://docs.google.com/spreadsheets/d/1C3CXT74ZlgGe6_JY_1olB1XN4rF0dxEuIIF-xsYjHgg/edit?usp=sharing"",""พรบ!CA107"")"),0)</f>
        <v>0</v>
      </c>
      <c r="Q103" s="77">
        <f ca="1">IFERROR(__xludf.DUMMYFUNCTION("IMPORTRANGE(""https://docs.google.com/spreadsheets/d/1C3CXT74ZlgGe6_JY_1olB1XN4rF0dxEuIIF-xsYjHgg/edit?usp=sharing"",""พรบ!BZ107"")"),0)</f>
        <v>0</v>
      </c>
      <c r="R103" s="149">
        <v>0</v>
      </c>
      <c r="S103" s="77">
        <v>0</v>
      </c>
      <c r="T103" s="77">
        <v>0</v>
      </c>
      <c r="U103" s="137">
        <f t="shared" ca="1" si="10"/>
        <v>0</v>
      </c>
      <c r="V103" s="77">
        <v>0</v>
      </c>
      <c r="W103" s="77">
        <v>0</v>
      </c>
      <c r="X103" s="137">
        <f t="shared" ca="1" si="12"/>
        <v>0</v>
      </c>
      <c r="Y103" s="77">
        <v>0</v>
      </c>
      <c r="Z103" s="77">
        <v>0</v>
      </c>
      <c r="AA103" s="137">
        <f t="shared" ca="1" si="14"/>
        <v>0</v>
      </c>
      <c r="AB103" s="77">
        <v>0</v>
      </c>
      <c r="AC103" s="77">
        <v>0</v>
      </c>
      <c r="AD103" s="219">
        <f t="shared" ca="1" si="16"/>
        <v>0</v>
      </c>
      <c r="AE103" s="215"/>
      <c r="AF103" s="215"/>
      <c r="AG103" s="215"/>
      <c r="AH103" s="219"/>
      <c r="AI103" s="220"/>
      <c r="AJ103" s="220"/>
      <c r="AK103" s="220"/>
      <c r="AL103" s="220"/>
      <c r="AM103" s="220"/>
      <c r="AN103" s="220"/>
      <c r="AO103" s="220"/>
      <c r="AP103" s="220"/>
      <c r="AQ103" s="220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1"/>
    </row>
    <row r="104" spans="1:58" ht="24" hidden="1" customHeight="1">
      <c r="A104" s="105">
        <f t="shared" si="165"/>
        <v>13</v>
      </c>
      <c r="B104" s="106" t="s">
        <v>128</v>
      </c>
      <c r="C104" s="75">
        <f t="shared" ca="1" si="0"/>
        <v>0</v>
      </c>
      <c r="D104" s="76">
        <f t="shared" ca="1" si="164"/>
        <v>0</v>
      </c>
      <c r="E104" s="77">
        <f ca="1">IFERROR(__xludf.DUMMYFUNCTION("IMPORTRANGE(""https://docs.google.com/spreadsheets/d/1C3CXT74ZlgGe6_JY_1olB1XN4rF0dxEuIIF-xsYjHgg/edit?usp=sharing"",""พรบ!BX108"")"),0)</f>
        <v>0</v>
      </c>
      <c r="F104" s="77">
        <f ca="1">IFERROR(__xludf.DUMMYFUNCTION("IMPORTRANGE(""https://docs.google.com/spreadsheets/d/1C3CXT74ZlgGe6_JY_1olB1XN4rF0dxEuIIF-xsYjHgg/edit?usp=sharing"",""พรบ!BY108"")"),0)</f>
        <v>0</v>
      </c>
      <c r="G104" s="77">
        <f ca="1">IFERROR(__xludf.DUMMYFUNCTION("IMPORTRANGE(""https://docs.google.com/spreadsheets/d/1Yj_ptqi66GCucihVvJfMjLAmec39IyEx_6qawtMGysU/edit?usp=sharing"",""สบก!DJ108"")"),0)</f>
        <v>0</v>
      </c>
      <c r="H104" s="77">
        <f ca="1">IFERROR(__xludf.DUMMYFUNCTION("IMPORTRANGE(""https://docs.google.com/spreadsheets/d/1Yj_ptqi66GCucihVvJfMjLAmec39IyEx_6qawtMGysU/edit?usp=shDLing"",""สบก!DL108"")"),0)</f>
        <v>0</v>
      </c>
      <c r="I104" s="77">
        <f t="shared" ca="1" si="3"/>
        <v>0</v>
      </c>
      <c r="J104" s="77">
        <f t="shared" ca="1" si="4"/>
        <v>0</v>
      </c>
      <c r="K104" s="77">
        <f ca="1">IFERROR(__xludf.DUMMYFUNCTION("IMPORTRANGE(""https://docs.google.com/spreadsheets/d/1Yj_ptqi66GCucihVvJfMjLAmec39IyEx_6qawtMGysU/edit?usp=sharing"",""สบก!DM108"")"),0)</f>
        <v>0</v>
      </c>
      <c r="L104" s="137">
        <f t="shared" ca="1" si="5"/>
        <v>0</v>
      </c>
      <c r="M104" s="137">
        <f t="shared" ca="1" si="6"/>
        <v>0</v>
      </c>
      <c r="N104" s="137">
        <f ca="1">IFERROR(__xludf.DUMMYFUNCTION("IMPORTRANGE(""https://docs.google.com/spreadsheets/d/1Yj_ptqi66GCucihVvJfMjLAmec39IyEx_6qawtMGysU/edit?usp=sharing"",""สบก!DN108"")"),0)</f>
        <v>0</v>
      </c>
      <c r="O104" s="137">
        <f t="shared" ca="1" si="7"/>
        <v>0</v>
      </c>
      <c r="P104" s="77">
        <f ca="1">IFERROR(__xludf.DUMMYFUNCTION("IMPORTRANGE(""https://docs.google.com/spreadsheets/d/1C3CXT74ZlgGe6_JY_1olB1XN4rF0dxEuIIF-xsYjHgg/edit?usp=sharing"",""พรบ!CA108"")"),0)</f>
        <v>0</v>
      </c>
      <c r="Q104" s="77">
        <f ca="1">IFERROR(__xludf.DUMMYFUNCTION("IMPORTRANGE(""https://docs.google.com/spreadsheets/d/1C3CXT74ZlgGe6_JY_1olB1XN4rF0dxEuIIF-xsYjHgg/edit?usp=sharing"",""พรบ!BZ108"")"),0)</f>
        <v>0</v>
      </c>
      <c r="R104" s="149">
        <v>0</v>
      </c>
      <c r="S104" s="77">
        <v>0</v>
      </c>
      <c r="T104" s="77">
        <v>0</v>
      </c>
      <c r="U104" s="137">
        <f t="shared" ca="1" si="10"/>
        <v>0</v>
      </c>
      <c r="V104" s="77">
        <v>0</v>
      </c>
      <c r="W104" s="77">
        <v>0</v>
      </c>
      <c r="X104" s="137">
        <f t="shared" ca="1" si="12"/>
        <v>0</v>
      </c>
      <c r="Y104" s="77">
        <v>0</v>
      </c>
      <c r="Z104" s="77">
        <v>0</v>
      </c>
      <c r="AA104" s="137">
        <f t="shared" ca="1" si="14"/>
        <v>0</v>
      </c>
      <c r="AB104" s="77">
        <v>0</v>
      </c>
      <c r="AC104" s="77">
        <v>0</v>
      </c>
      <c r="AD104" s="219">
        <f t="shared" ca="1" si="16"/>
        <v>0</v>
      </c>
      <c r="AE104" s="215"/>
      <c r="AF104" s="215"/>
      <c r="AG104" s="215"/>
      <c r="AH104" s="219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1"/>
    </row>
    <row r="105" spans="1:58" ht="24" hidden="1" customHeight="1" thickBot="1">
      <c r="A105" s="107">
        <f t="shared" si="165"/>
        <v>14</v>
      </c>
      <c r="B105" s="108" t="s">
        <v>129</v>
      </c>
      <c r="C105" s="86">
        <f t="shared" ca="1" si="0"/>
        <v>0</v>
      </c>
      <c r="D105" s="87">
        <f t="shared" ca="1" si="164"/>
        <v>0</v>
      </c>
      <c r="E105" s="88">
        <f ca="1">IFERROR(__xludf.DUMMYFUNCTION("IMPORTRANGE(""https://docs.google.com/spreadsheets/d/1C3CXT74ZlgGe6_JY_1olB1XN4rF0dxEuIIF-xsYjHgg/edit?usp=sharing"",""พรบ!BX109"")"),0)</f>
        <v>0</v>
      </c>
      <c r="F105" s="88">
        <f ca="1">IFERROR(__xludf.DUMMYFUNCTION("IMPORTRANGE(""https://docs.google.com/spreadsheets/d/1C3CXT74ZlgGe6_JY_1olB1XN4rF0dxEuIIF-xsYjHgg/edit?usp=sharing"",""พรบ!BY109"")"),0)</f>
        <v>0</v>
      </c>
      <c r="G105" s="88">
        <f ca="1">IFERROR(__xludf.DUMMYFUNCTION("IMPORTRANGE(""https://docs.google.com/spreadsheets/d/1Yj_ptqi66GCucihVvJfMjLAmec39IyEx_6qawtMGysU/edit?usp=sharing"",""สบก!DJ109"")"),0)</f>
        <v>0</v>
      </c>
      <c r="H105" s="88">
        <f ca="1">IFERROR(__xludf.DUMMYFUNCTION("IMPORTRANGE(""https://docs.google.com/spreadsheets/d/1Yj_ptqi66GCucihVvJfMjLAmec39IyEx_6qawtMGysU/edit?usp=shDLing"",""สบก!DL109"")"),0)</f>
        <v>0</v>
      </c>
      <c r="I105" s="88">
        <f t="shared" ca="1" si="3"/>
        <v>0</v>
      </c>
      <c r="J105" s="88">
        <f t="shared" ca="1" si="4"/>
        <v>0</v>
      </c>
      <c r="K105" s="88">
        <f ca="1">IFERROR(__xludf.DUMMYFUNCTION("IMPORTRANGE(""https://docs.google.com/spreadsheets/d/1Yj_ptqi66GCucihVvJfMjLAmec39IyEx_6qawtMGysU/edit?usp=sharing"",""สบก!DM109"")"),0)</f>
        <v>0</v>
      </c>
      <c r="L105" s="138">
        <f t="shared" ca="1" si="5"/>
        <v>0</v>
      </c>
      <c r="M105" s="140">
        <f t="shared" ca="1" si="6"/>
        <v>0</v>
      </c>
      <c r="N105" s="140">
        <f ca="1">IFERROR(__xludf.DUMMYFUNCTION("IMPORTRANGE(""https://docs.google.com/spreadsheets/d/1Yj_ptqi66GCucihVvJfMjLAmec39IyEx_6qawtMGysU/edit?usp=sharing"",""สบก!DN109"")"),0)</f>
        <v>0</v>
      </c>
      <c r="O105" s="140">
        <f t="shared" ca="1" si="7"/>
        <v>0</v>
      </c>
      <c r="P105" s="77">
        <f ca="1">IFERROR(__xludf.DUMMYFUNCTION("IMPORTRANGE(""https://docs.google.com/spreadsheets/d/1C3CXT74ZlgGe6_JY_1olB1XN4rF0dxEuIIF-xsYjHgg/edit?usp=sharing"",""พรบ!CA109"")"),0)</f>
        <v>0</v>
      </c>
      <c r="Q105" s="77">
        <f ca="1">IFERROR(__xludf.DUMMYFUNCTION("IMPORTRANGE(""https://docs.google.com/spreadsheets/d/1C3CXT74ZlgGe6_JY_1olB1XN4rF0dxEuIIF-xsYjHgg/edit?usp=sharing"",""พรบ!BZ109"")"),0)</f>
        <v>0</v>
      </c>
      <c r="R105" s="150">
        <v>0</v>
      </c>
      <c r="S105" s="88">
        <v>0</v>
      </c>
      <c r="T105" s="88">
        <v>0</v>
      </c>
      <c r="U105" s="138">
        <f t="shared" ca="1" si="10"/>
        <v>0</v>
      </c>
      <c r="V105" s="88">
        <v>0</v>
      </c>
      <c r="W105" s="88">
        <v>0</v>
      </c>
      <c r="X105" s="138">
        <f t="shared" ca="1" si="12"/>
        <v>0</v>
      </c>
      <c r="Y105" s="88">
        <v>0</v>
      </c>
      <c r="Z105" s="88">
        <v>0</v>
      </c>
      <c r="AA105" s="138">
        <f t="shared" ca="1" si="14"/>
        <v>0</v>
      </c>
      <c r="AB105" s="88">
        <v>0</v>
      </c>
      <c r="AC105" s="88">
        <v>0</v>
      </c>
      <c r="AD105" s="223">
        <f t="shared" ca="1" si="16"/>
        <v>0</v>
      </c>
      <c r="AE105" s="224"/>
      <c r="AF105" s="224"/>
      <c r="AG105" s="224"/>
      <c r="AH105" s="223"/>
      <c r="AI105" s="225"/>
      <c r="AJ105" s="225"/>
      <c r="AK105" s="225"/>
      <c r="AL105" s="225"/>
      <c r="AM105" s="225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25"/>
      <c r="AX105" s="225"/>
      <c r="AY105" s="225"/>
      <c r="AZ105" s="225"/>
      <c r="BA105" s="225"/>
      <c r="BB105" s="225"/>
      <c r="BC105" s="225"/>
      <c r="BD105" s="225"/>
      <c r="BE105" s="225"/>
      <c r="BF105" s="226"/>
    </row>
    <row r="106" spans="1:58" ht="21" hidden="1" customHeight="1" thickBot="1">
      <c r="A106" s="680" t="s">
        <v>130</v>
      </c>
      <c r="B106" s="652"/>
      <c r="C106" s="44">
        <f t="shared" ca="1" si="0"/>
        <v>1289970</v>
      </c>
      <c r="D106" s="45">
        <f t="shared" ref="D106:O106" ca="1" si="166">+D107+D108+D109+D110+D111+D112+D113+D114+D115+D116+D117+D118+D119</f>
        <v>1095600</v>
      </c>
      <c r="E106" s="45">
        <f t="shared" ca="1" si="166"/>
        <v>1095600</v>
      </c>
      <c r="F106" s="45">
        <f t="shared" ca="1" si="166"/>
        <v>0</v>
      </c>
      <c r="G106" s="647">
        <v>194370</v>
      </c>
      <c r="H106" s="45">
        <f t="shared" ca="1" si="166"/>
        <v>2930100</v>
      </c>
      <c r="I106" s="647">
        <v>1686197</v>
      </c>
      <c r="J106" s="648">
        <v>131</v>
      </c>
      <c r="K106" s="649">
        <v>1686197</v>
      </c>
      <c r="L106" s="648">
        <v>153.91</v>
      </c>
      <c r="M106" s="648">
        <v>57.55</v>
      </c>
      <c r="N106" s="45">
        <f t="shared" ca="1" si="166"/>
        <v>0</v>
      </c>
      <c r="O106" s="45">
        <f t="shared" ca="1" si="166"/>
        <v>0</v>
      </c>
      <c r="P106" s="45">
        <f t="shared" ref="P106:Q106" si="167">+P107+P108+P109+P110+P111+P112+P113+P114</f>
        <v>0</v>
      </c>
      <c r="Q106" s="45">
        <f t="shared" si="167"/>
        <v>0</v>
      </c>
      <c r="R106" s="45"/>
      <c r="S106" s="45">
        <f t="shared" ref="S106:T106" si="168">+S107+S108+S109+S110+S111+S112+S113+S114</f>
        <v>0</v>
      </c>
      <c r="T106" s="45">
        <f t="shared" si="168"/>
        <v>0</v>
      </c>
      <c r="U106" s="127">
        <f t="shared" si="10"/>
        <v>0</v>
      </c>
      <c r="V106" s="45">
        <f t="shared" ref="V106:W106" si="169">+V107+V108+V109+V110+V111+V112+V113+V114</f>
        <v>0</v>
      </c>
      <c r="W106" s="45">
        <f t="shared" si="169"/>
        <v>0</v>
      </c>
      <c r="X106" s="127">
        <f t="shared" si="12"/>
        <v>0</v>
      </c>
      <c r="Y106" s="45">
        <f t="shared" ref="Y106:Z106" si="170">+Y107+Y108+Y109+Y110+Y111+Y112+Y113+Y114</f>
        <v>0</v>
      </c>
      <c r="Z106" s="45">
        <f t="shared" si="170"/>
        <v>0</v>
      </c>
      <c r="AA106" s="127">
        <f t="shared" si="14"/>
        <v>0</v>
      </c>
      <c r="AB106" s="45">
        <f t="shared" ref="AB106:AC106" si="171">+AB107+AB108+AB109+AB110+AB111+AB112+AB113+AB114</f>
        <v>0</v>
      </c>
      <c r="AC106" s="45">
        <f t="shared" si="171"/>
        <v>0</v>
      </c>
      <c r="AD106" s="229">
        <f t="shared" si="16"/>
        <v>0</v>
      </c>
      <c r="AE106" s="209"/>
      <c r="AF106" s="209"/>
      <c r="AG106" s="209"/>
      <c r="AH106" s="229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/>
      <c r="BA106" s="127"/>
      <c r="BB106" s="127"/>
      <c r="BC106" s="127"/>
      <c r="BD106" s="127"/>
      <c r="BE106" s="127"/>
      <c r="BF106" s="127"/>
    </row>
    <row r="107" spans="1:58" ht="24" hidden="1" customHeight="1">
      <c r="A107" s="102">
        <v>1</v>
      </c>
      <c r="B107" s="109" t="s">
        <v>131</v>
      </c>
      <c r="C107" s="110">
        <f t="shared" ca="1" si="0"/>
        <v>595600</v>
      </c>
      <c r="D107" s="66">
        <f t="shared" ref="D107:D119" ca="1" si="172">+E107+F107</f>
        <v>595600</v>
      </c>
      <c r="E107" s="67">
        <f ca="1">IFERROR(__xludf.DUMMYFUNCTION("IMPORTRANGE(""https://docs.google.com/spreadsheets/d/1C3CXT74ZlgGe6_JY_1olB1XN4rF0dxEuIIF-xsYjHgg/edit?usp=sharing"",""พรบ!BX111"")"),595600)</f>
        <v>595600</v>
      </c>
      <c r="F107" s="67">
        <f ca="1">IFERROR(__xludf.DUMMYFUNCTION("IMPORTRANGE(""https://docs.google.com/spreadsheets/d/1C3CXT74ZlgGe6_JY_1olB1XN4rF0dxEuIIF-xsYjHgg/edit?usp=sharing"",""พรบ!BY111"")"),0)</f>
        <v>0</v>
      </c>
      <c r="G107" s="67">
        <f ca="1">IFERROR(__xludf.DUMMYFUNCTION("IMPORTRANGE(""https://docs.google.com/spreadsheets/d/1Yj_ptqi66GCucihVvJfMjLAmec39IyEx_6qawtMGysU/edit?usp=sharing"",""สบก!DJ111"")"),0)</f>
        <v>0</v>
      </c>
      <c r="H107" s="67">
        <f ca="1">IFERROR(__xludf.DUMMYFUNCTION("IMPORTRANGE(""https://docs.google.com/spreadsheets/d/1Yj_ptqi66GCucihVvJfMjLAmec39IyEx_6qawtMGysU/edit?usp=shDLing"",""สบก!DL111"")"),455800)</f>
        <v>455800</v>
      </c>
      <c r="I107" s="67">
        <f t="shared" ref="I107:I119" ca="1" si="173">K107+N107</f>
        <v>0</v>
      </c>
      <c r="J107" s="70">
        <f t="shared" ref="J107:J119" ca="1" si="174">IF(C107&gt;0,I107*100/C107,0)</f>
        <v>0</v>
      </c>
      <c r="K107" s="67">
        <f ca="1">IFERROR(__xludf.DUMMYFUNCTION("IMPORTRANGE(""https://docs.google.com/spreadsheets/d/1Yj_ptqi66GCucihVvJfMjLAmec39IyEx_6qawtMGysU/edit?usp=sharing"",""สบก!BB111"")"),0)</f>
        <v>0</v>
      </c>
      <c r="L107" s="70">
        <f t="shared" ref="L107:L119" ca="1" si="175">IF(D107&gt;0,K107*100/D107,0)</f>
        <v>0</v>
      </c>
      <c r="M107" s="70">
        <f t="shared" ref="M107:M119" ca="1" si="176">IF(H107&gt;0,K107*100/H107,0)</f>
        <v>0</v>
      </c>
      <c r="N107" s="71">
        <f ca="1">IFERROR(__xludf.DUMMYFUNCTION("IMPORTRANGE(""https://docs.google.com/spreadsheets/d/1Yj_ptqi66GCucihVvJfMjLAmec39IyEx_6qawtMGysU/edit?usp=sharing"",""สบก!DN111"")"),0)</f>
        <v>0</v>
      </c>
      <c r="O107" s="70">
        <f t="shared" ref="O107:O119" ca="1" si="177">IF(G107&gt;0,N107*100/G107,0)</f>
        <v>0</v>
      </c>
      <c r="P107" s="148">
        <v>0</v>
      </c>
      <c r="Q107" s="148">
        <v>0</v>
      </c>
      <c r="R107" s="148">
        <v>0</v>
      </c>
      <c r="S107" s="148">
        <v>0</v>
      </c>
      <c r="T107" s="148">
        <v>0</v>
      </c>
      <c r="U107" s="148">
        <v>0</v>
      </c>
      <c r="V107" s="148">
        <v>0</v>
      </c>
      <c r="W107" s="148">
        <v>0</v>
      </c>
      <c r="X107" s="148">
        <v>0</v>
      </c>
      <c r="Y107" s="148">
        <v>0</v>
      </c>
      <c r="Z107" s="148">
        <v>0</v>
      </c>
      <c r="AA107" s="148">
        <v>0</v>
      </c>
      <c r="AB107" s="148">
        <v>0</v>
      </c>
      <c r="AC107" s="148">
        <v>0</v>
      </c>
      <c r="AD107" s="230">
        <v>0</v>
      </c>
      <c r="AE107" s="215"/>
      <c r="AF107" s="215"/>
      <c r="AG107" s="215"/>
      <c r="AH107" s="230"/>
      <c r="AI107" s="231"/>
      <c r="AJ107" s="231"/>
      <c r="AK107" s="231"/>
      <c r="AL107" s="231"/>
      <c r="AM107" s="231"/>
      <c r="AN107" s="231"/>
      <c r="AO107" s="231"/>
      <c r="AP107" s="231"/>
      <c r="AQ107" s="231"/>
      <c r="AR107" s="231"/>
      <c r="AS107" s="231"/>
      <c r="AT107" s="231"/>
      <c r="AU107" s="231"/>
      <c r="AV107" s="231"/>
      <c r="AW107" s="231"/>
      <c r="AX107" s="231"/>
      <c r="AY107" s="231"/>
      <c r="AZ107" s="231"/>
      <c r="BA107" s="231"/>
      <c r="BB107" s="231"/>
      <c r="BC107" s="231"/>
      <c r="BD107" s="231"/>
      <c r="BE107" s="231"/>
      <c r="BF107" s="232"/>
    </row>
    <row r="108" spans="1:58" ht="24" hidden="1" customHeight="1">
      <c r="A108" s="105">
        <v>2</v>
      </c>
      <c r="B108" s="111" t="s">
        <v>132</v>
      </c>
      <c r="C108" s="112">
        <f t="shared" ca="1" si="0"/>
        <v>0</v>
      </c>
      <c r="D108" s="76">
        <f t="shared" ca="1" si="172"/>
        <v>0</v>
      </c>
      <c r="E108" s="77">
        <f ca="1">IFERROR(__xludf.DUMMYFUNCTION("IMPORTRANGE(""https://docs.google.com/spreadsheets/d/1C3CXT74ZlgGe6_JY_1olB1XN4rF0dxEuIIF-xsYjHgg/edit?usp=sharing"",""พรบ!BX112"")"),0)</f>
        <v>0</v>
      </c>
      <c r="F108" s="77">
        <f ca="1">IFERROR(__xludf.DUMMYFUNCTION("IMPORTRANGE(""https://docs.google.com/spreadsheets/d/1C3CXT74ZlgGe6_JY_1olB1XN4rF0dxEuIIF-xsYjHgg/edit?usp=sharing"",""พรบ!BY112"")"),0)</f>
        <v>0</v>
      </c>
      <c r="G108" s="77">
        <f ca="1">IFERROR(__xludf.DUMMYFUNCTION("IMPORTRANGE(""https://docs.google.com/spreadsheets/d/1Yj_ptqi66GCucihVvJfMjLAmec39IyEx_6qawtMGysU/edit?usp=sharing"",""สบก!DJ112"")"),0)</f>
        <v>0</v>
      </c>
      <c r="H108" s="77">
        <f ca="1">IFERROR(__xludf.DUMMYFUNCTION("IMPORTRANGE(""https://docs.google.com/spreadsheets/d/1Yj_ptqi66GCucihVvJfMjLAmec39IyEx_6qawtMGysU/edit?usp=shDLing"",""สบก!DL112"")"),0)</f>
        <v>0</v>
      </c>
      <c r="I108" s="77">
        <f t="shared" ca="1" si="173"/>
        <v>0</v>
      </c>
      <c r="J108" s="79">
        <f t="shared" ca="1" si="174"/>
        <v>0</v>
      </c>
      <c r="K108" s="77">
        <f ca="1">IFERROR(__xludf.DUMMYFUNCTION("IMPORTRANGE(""https://docs.google.com/spreadsheets/d/1Yj_ptqi66GCucihVvJfMjLAmec39IyEx_6qawtMGysU/edit?usp=sharing"",""สบก!BB112"")"),0)</f>
        <v>0</v>
      </c>
      <c r="L108" s="79">
        <f t="shared" ca="1" si="175"/>
        <v>0</v>
      </c>
      <c r="M108" s="79">
        <f t="shared" ca="1" si="176"/>
        <v>0</v>
      </c>
      <c r="N108" s="80">
        <f ca="1">IFERROR(__xludf.DUMMYFUNCTION("IMPORTRANGE(""https://docs.google.com/spreadsheets/d/1Yj_ptqi66GCucihVvJfMjLAmec39IyEx_6qawtMGysU/edit?usp=sharing"",""สบก!DN112"")"),0)</f>
        <v>0</v>
      </c>
      <c r="O108" s="79">
        <f t="shared" ca="1" si="177"/>
        <v>0</v>
      </c>
      <c r="P108" s="149">
        <v>0</v>
      </c>
      <c r="Q108" s="149">
        <v>0</v>
      </c>
      <c r="R108" s="149">
        <v>0</v>
      </c>
      <c r="S108" s="149">
        <v>0</v>
      </c>
      <c r="T108" s="149">
        <v>0</v>
      </c>
      <c r="U108" s="149">
        <v>0</v>
      </c>
      <c r="V108" s="149">
        <v>0</v>
      </c>
      <c r="W108" s="149">
        <v>0</v>
      </c>
      <c r="X108" s="149">
        <v>0</v>
      </c>
      <c r="Y108" s="149">
        <v>0</v>
      </c>
      <c r="Z108" s="149">
        <v>0</v>
      </c>
      <c r="AA108" s="149">
        <v>0</v>
      </c>
      <c r="AB108" s="149">
        <v>0</v>
      </c>
      <c r="AC108" s="149">
        <v>0</v>
      </c>
      <c r="AD108" s="233">
        <v>0</v>
      </c>
      <c r="AE108" s="215"/>
      <c r="AF108" s="215"/>
      <c r="AG108" s="215"/>
      <c r="AH108" s="23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234"/>
    </row>
    <row r="109" spans="1:58" ht="24" hidden="1" customHeight="1">
      <c r="A109" s="105">
        <v>3</v>
      </c>
      <c r="B109" s="111" t="s">
        <v>133</v>
      </c>
      <c r="C109" s="112">
        <f t="shared" ca="1" si="0"/>
        <v>0</v>
      </c>
      <c r="D109" s="76">
        <f t="shared" ca="1" si="172"/>
        <v>0</v>
      </c>
      <c r="E109" s="77">
        <f ca="1">IFERROR(__xludf.DUMMYFUNCTION("IMPORTRANGE(""https://docs.google.com/spreadsheets/d/1C3CXT74ZlgGe6_JY_1olB1XN4rF0dxEuIIF-xsYjHgg/edit?usp=sharing"",""พรบ!BX113"")"),0)</f>
        <v>0</v>
      </c>
      <c r="F109" s="77">
        <f ca="1">IFERROR(__xludf.DUMMYFUNCTION("IMPORTRANGE(""https://docs.google.com/spreadsheets/d/1C3CXT74ZlgGe6_JY_1olB1XN4rF0dxEuIIF-xsYjHgg/edit?usp=sharing"",""พรบ!BY113"")"),0)</f>
        <v>0</v>
      </c>
      <c r="G109" s="77">
        <f ca="1">IFERROR(__xludf.DUMMYFUNCTION("IMPORTRANGE(""https://docs.google.com/spreadsheets/d/1Yj_ptqi66GCucihVvJfMjLAmec39IyEx_6qawtMGysU/edit?usp=sharing"",""สบก!DJ113"")"),0)</f>
        <v>0</v>
      </c>
      <c r="H109" s="77">
        <f ca="1">IFERROR(__xludf.DUMMYFUNCTION("IMPORTRANGE(""https://docs.google.com/spreadsheets/d/1Yj_ptqi66GCucihVvJfMjLAmec39IyEx_6qawtMGysU/edit?usp=shDLing"",""สบก!DL113"")"),0)</f>
        <v>0</v>
      </c>
      <c r="I109" s="77">
        <f t="shared" ca="1" si="173"/>
        <v>0</v>
      </c>
      <c r="J109" s="79">
        <f t="shared" ca="1" si="174"/>
        <v>0</v>
      </c>
      <c r="K109" s="77">
        <f ca="1">IFERROR(__xludf.DUMMYFUNCTION("IMPORTRANGE(""https://docs.google.com/spreadsheets/d/1Yj_ptqi66GCucihVvJfMjLAmec39IyEx_6qawtMGysU/edit?usp=sharing"",""สบก!BB113"")"),0)</f>
        <v>0</v>
      </c>
      <c r="L109" s="79">
        <f t="shared" ca="1" si="175"/>
        <v>0</v>
      </c>
      <c r="M109" s="79">
        <f t="shared" ca="1" si="176"/>
        <v>0</v>
      </c>
      <c r="N109" s="80">
        <f ca="1">IFERROR(__xludf.DUMMYFUNCTION("IMPORTRANGE(""https://docs.google.com/spreadsheets/d/1Yj_ptqi66GCucihVvJfMjLAmec39IyEx_6qawtMGysU/edit?usp=sharing"",""สบก!DN113"")"),0)</f>
        <v>0</v>
      </c>
      <c r="O109" s="79">
        <f t="shared" ca="1" si="177"/>
        <v>0</v>
      </c>
      <c r="P109" s="149">
        <v>0</v>
      </c>
      <c r="Q109" s="149">
        <v>0</v>
      </c>
      <c r="R109" s="149">
        <v>0</v>
      </c>
      <c r="S109" s="149">
        <v>0</v>
      </c>
      <c r="T109" s="149">
        <v>0</v>
      </c>
      <c r="U109" s="149">
        <v>0</v>
      </c>
      <c r="V109" s="149">
        <v>0</v>
      </c>
      <c r="W109" s="149">
        <v>0</v>
      </c>
      <c r="X109" s="149">
        <v>0</v>
      </c>
      <c r="Y109" s="149">
        <v>0</v>
      </c>
      <c r="Z109" s="149">
        <v>0</v>
      </c>
      <c r="AA109" s="149">
        <v>0</v>
      </c>
      <c r="AB109" s="149">
        <v>0</v>
      </c>
      <c r="AC109" s="149">
        <v>0</v>
      </c>
      <c r="AD109" s="233">
        <v>0</v>
      </c>
      <c r="AE109" s="215"/>
      <c r="AF109" s="215"/>
      <c r="AG109" s="215"/>
      <c r="AH109" s="23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234"/>
    </row>
    <row r="110" spans="1:58" ht="24" hidden="1" customHeight="1">
      <c r="A110" s="113">
        <v>4</v>
      </c>
      <c r="B110" s="111" t="s">
        <v>134</v>
      </c>
      <c r="C110" s="112">
        <f t="shared" ca="1" si="0"/>
        <v>0</v>
      </c>
      <c r="D110" s="76">
        <f t="shared" ca="1" si="172"/>
        <v>0</v>
      </c>
      <c r="E110" s="77">
        <f ca="1">IFERROR(__xludf.DUMMYFUNCTION("IMPORTRANGE(""https://docs.google.com/spreadsheets/d/1C3CXT74ZlgGe6_JY_1olB1XN4rF0dxEuIIF-xsYjHgg/edit?usp=sharing"",""พรบ!BX114"")"),0)</f>
        <v>0</v>
      </c>
      <c r="F110" s="77">
        <f ca="1">IFERROR(__xludf.DUMMYFUNCTION("IMPORTRANGE(""https://docs.google.com/spreadsheets/d/1C3CXT74ZlgGe6_JY_1olB1XN4rF0dxEuIIF-xsYjHgg/edit?usp=sharing"",""พรบ!BY114"")"),0)</f>
        <v>0</v>
      </c>
      <c r="G110" s="77">
        <f ca="1">IFERROR(__xludf.DUMMYFUNCTION("IMPORTRANGE(""https://docs.google.com/spreadsheets/d/1Yj_ptqi66GCucihVvJfMjLAmec39IyEx_6qawtMGysU/edit?usp=sharing"",""สบก!DJ114"")"),0)</f>
        <v>0</v>
      </c>
      <c r="H110" s="77">
        <f ca="1">IFERROR(__xludf.DUMMYFUNCTION("IMPORTRANGE(""https://docs.google.com/spreadsheets/d/1Yj_ptqi66GCucihVvJfMjLAmec39IyEx_6qawtMGysU/edit?usp=shDLing"",""สบก!DL114"")"),0)</f>
        <v>0</v>
      </c>
      <c r="I110" s="77">
        <f t="shared" ca="1" si="173"/>
        <v>0</v>
      </c>
      <c r="J110" s="79">
        <f t="shared" ca="1" si="174"/>
        <v>0</v>
      </c>
      <c r="K110" s="77">
        <f ca="1">IFERROR(__xludf.DUMMYFUNCTION("IMPORTRANGE(""https://docs.google.com/spreadsheets/d/1Yj_ptqi66GCucihVvJfMjLAmec39IyEx_6qawtMGysU/edit?usp=sharing"",""สบก!BB114"")"),0)</f>
        <v>0</v>
      </c>
      <c r="L110" s="79">
        <f t="shared" ca="1" si="175"/>
        <v>0</v>
      </c>
      <c r="M110" s="79">
        <f t="shared" ca="1" si="176"/>
        <v>0</v>
      </c>
      <c r="N110" s="80">
        <f ca="1">IFERROR(__xludf.DUMMYFUNCTION("IMPORTRANGE(""https://docs.google.com/spreadsheets/d/1Yj_ptqi66GCucihVvJfMjLAmec39IyEx_6qawtMGysU/edit?usp=sharing"",""สบก!DN114"")"),0)</f>
        <v>0</v>
      </c>
      <c r="O110" s="79">
        <f t="shared" ca="1" si="177"/>
        <v>0</v>
      </c>
      <c r="P110" s="149">
        <v>0</v>
      </c>
      <c r="Q110" s="149">
        <v>0</v>
      </c>
      <c r="R110" s="149">
        <v>0</v>
      </c>
      <c r="S110" s="149">
        <v>0</v>
      </c>
      <c r="T110" s="149">
        <v>0</v>
      </c>
      <c r="U110" s="149">
        <v>0</v>
      </c>
      <c r="V110" s="149">
        <v>0</v>
      </c>
      <c r="W110" s="149">
        <v>0</v>
      </c>
      <c r="X110" s="149">
        <v>0</v>
      </c>
      <c r="Y110" s="149">
        <v>0</v>
      </c>
      <c r="Z110" s="149">
        <v>0</v>
      </c>
      <c r="AA110" s="149">
        <v>0</v>
      </c>
      <c r="AB110" s="149">
        <v>0</v>
      </c>
      <c r="AC110" s="149">
        <v>0</v>
      </c>
      <c r="AD110" s="233">
        <v>0</v>
      </c>
      <c r="AE110" s="215"/>
      <c r="AF110" s="215"/>
      <c r="AG110" s="215"/>
      <c r="AH110" s="23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234"/>
    </row>
    <row r="111" spans="1:58" ht="24" hidden="1" customHeight="1">
      <c r="A111" s="113">
        <v>5</v>
      </c>
      <c r="B111" s="111" t="s">
        <v>135</v>
      </c>
      <c r="C111" s="112">
        <f t="shared" ca="1" si="0"/>
        <v>0</v>
      </c>
      <c r="D111" s="76">
        <f t="shared" ca="1" si="172"/>
        <v>0</v>
      </c>
      <c r="E111" s="77">
        <f ca="1">IFERROR(__xludf.DUMMYFUNCTION("IMPORTRANGE(""https://docs.google.com/spreadsheets/d/1C3CXT74ZlgGe6_JY_1olB1XN4rF0dxEuIIF-xsYjHgg/edit?usp=sharing"",""พรบ!BX115"")"),0)</f>
        <v>0</v>
      </c>
      <c r="F111" s="77">
        <f ca="1">IFERROR(__xludf.DUMMYFUNCTION("IMPORTRANGE(""https://docs.google.com/spreadsheets/d/1C3CXT74ZlgGe6_JY_1olB1XN4rF0dxEuIIF-xsYjHgg/edit?usp=sharing"",""พรบ!BY115"")"),0)</f>
        <v>0</v>
      </c>
      <c r="G111" s="77">
        <f ca="1">IFERROR(__xludf.DUMMYFUNCTION("IMPORTRANGE(""https://docs.google.com/spreadsheets/d/1Yj_ptqi66GCucihVvJfMjLAmec39IyEx_6qawtMGysU/edit?usp=sharing"",""สบก!DJ115"")"),0)</f>
        <v>0</v>
      </c>
      <c r="H111" s="77">
        <f ca="1">IFERROR(__xludf.DUMMYFUNCTION("IMPORTRANGE(""https://docs.google.com/spreadsheets/d/1Yj_ptqi66GCucihVvJfMjLAmec39IyEx_6qawtMGysU/edit?usp=shDLing"",""สบก!DL115"")"),0)</f>
        <v>0</v>
      </c>
      <c r="I111" s="77">
        <f t="shared" ca="1" si="173"/>
        <v>0</v>
      </c>
      <c r="J111" s="79">
        <f t="shared" ca="1" si="174"/>
        <v>0</v>
      </c>
      <c r="K111" s="77">
        <f ca="1">IFERROR(__xludf.DUMMYFUNCTION("IMPORTRANGE(""https://docs.google.com/spreadsheets/d/1Yj_ptqi66GCucihVvJfMjLAmec39IyEx_6qawtMGysU/edit?usp=sharing"",""สบก!BB115"")"),0)</f>
        <v>0</v>
      </c>
      <c r="L111" s="79">
        <f t="shared" ca="1" si="175"/>
        <v>0</v>
      </c>
      <c r="M111" s="79">
        <f t="shared" ca="1" si="176"/>
        <v>0</v>
      </c>
      <c r="N111" s="80">
        <f ca="1">IFERROR(__xludf.DUMMYFUNCTION("IMPORTRANGE(""https://docs.google.com/spreadsheets/d/1Yj_ptqi66GCucihVvJfMjLAmec39IyEx_6qawtMGysU/edit?usp=sharing"",""สบก!DN115"")"),0)</f>
        <v>0</v>
      </c>
      <c r="O111" s="79">
        <f t="shared" ca="1" si="177"/>
        <v>0</v>
      </c>
      <c r="P111" s="149">
        <v>0</v>
      </c>
      <c r="Q111" s="149">
        <v>0</v>
      </c>
      <c r="R111" s="149">
        <v>0</v>
      </c>
      <c r="S111" s="149">
        <v>0</v>
      </c>
      <c r="T111" s="149">
        <v>0</v>
      </c>
      <c r="U111" s="149">
        <v>0</v>
      </c>
      <c r="V111" s="149">
        <v>0</v>
      </c>
      <c r="W111" s="149">
        <v>0</v>
      </c>
      <c r="X111" s="149">
        <v>0</v>
      </c>
      <c r="Y111" s="149">
        <v>0</v>
      </c>
      <c r="Z111" s="149">
        <v>0</v>
      </c>
      <c r="AA111" s="149">
        <v>0</v>
      </c>
      <c r="AB111" s="149">
        <v>0</v>
      </c>
      <c r="AC111" s="149">
        <v>0</v>
      </c>
      <c r="AD111" s="233">
        <v>0</v>
      </c>
      <c r="AE111" s="215"/>
      <c r="AF111" s="215"/>
      <c r="AG111" s="215"/>
      <c r="AH111" s="23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234"/>
    </row>
    <row r="112" spans="1:58" ht="24" hidden="1" customHeight="1">
      <c r="A112" s="113">
        <v>6</v>
      </c>
      <c r="B112" s="111" t="s">
        <v>136</v>
      </c>
      <c r="C112" s="112">
        <f t="shared" ca="1" si="0"/>
        <v>500000</v>
      </c>
      <c r="D112" s="76">
        <f t="shared" ca="1" si="172"/>
        <v>500000</v>
      </c>
      <c r="E112" s="77">
        <f ca="1">IFERROR(__xludf.DUMMYFUNCTION("IMPORTRANGE(""https://docs.google.com/spreadsheets/d/1C3CXT74ZlgGe6_JY_1olB1XN4rF0dxEuIIF-xsYjHgg/edit?usp=sharing"",""พรบ!BX116"")"),500000)</f>
        <v>500000</v>
      </c>
      <c r="F112" s="77">
        <f ca="1">IFERROR(__xludf.DUMMYFUNCTION("IMPORTRANGE(""https://docs.google.com/spreadsheets/d/1C3CXT74ZlgGe6_JY_1olB1XN4rF0dxEuIIF-xsYjHgg/edit?usp=sharing"",""พรบ!BY116"")"),0)</f>
        <v>0</v>
      </c>
      <c r="G112" s="77">
        <f ca="1">IFERROR(__xludf.DUMMYFUNCTION("IMPORTRANGE(""https://docs.google.com/spreadsheets/d/1Yj_ptqi66GCucihVvJfMjLAmec39IyEx_6qawtMGysU/edit?usp=sharing"",""สบก!DJ116"")"),0)</f>
        <v>0</v>
      </c>
      <c r="H112" s="77">
        <f ca="1">IFERROR(__xludf.DUMMYFUNCTION("IMPORTRANGE(""https://docs.google.com/spreadsheets/d/1Yj_ptqi66GCucihVvJfMjLAmec39IyEx_6qawtMGysU/edit?usp=shDLing"",""สบก!DL116"")"),0)</f>
        <v>0</v>
      </c>
      <c r="I112" s="77">
        <f t="shared" ca="1" si="173"/>
        <v>0</v>
      </c>
      <c r="J112" s="79">
        <f t="shared" ca="1" si="174"/>
        <v>0</v>
      </c>
      <c r="K112" s="77">
        <f ca="1">IFERROR(__xludf.DUMMYFUNCTION("IMPORTRANGE(""https://docs.google.com/spreadsheets/d/1Yj_ptqi66GCucihVvJfMjLAmec39IyEx_6qawtMGysU/edit?usp=sharing"",""สบก!BB116"")"),0)</f>
        <v>0</v>
      </c>
      <c r="L112" s="79">
        <f t="shared" ca="1" si="175"/>
        <v>0</v>
      </c>
      <c r="M112" s="79">
        <f t="shared" ca="1" si="176"/>
        <v>0</v>
      </c>
      <c r="N112" s="80">
        <f ca="1">IFERROR(__xludf.DUMMYFUNCTION("IMPORTRANGE(""https://docs.google.com/spreadsheets/d/1Yj_ptqi66GCucihVvJfMjLAmec39IyEx_6qawtMGysU/edit?usp=sharing"",""สบก!DN116"")"),0)</f>
        <v>0</v>
      </c>
      <c r="O112" s="79">
        <f t="shared" ca="1" si="177"/>
        <v>0</v>
      </c>
      <c r="P112" s="149">
        <v>0</v>
      </c>
      <c r="Q112" s="149">
        <v>0</v>
      </c>
      <c r="R112" s="149">
        <v>0</v>
      </c>
      <c r="S112" s="149">
        <v>0</v>
      </c>
      <c r="T112" s="149">
        <v>0</v>
      </c>
      <c r="U112" s="149">
        <v>0</v>
      </c>
      <c r="V112" s="149">
        <v>0</v>
      </c>
      <c r="W112" s="149">
        <v>0</v>
      </c>
      <c r="X112" s="149">
        <v>0</v>
      </c>
      <c r="Y112" s="149">
        <v>0</v>
      </c>
      <c r="Z112" s="149">
        <v>0</v>
      </c>
      <c r="AA112" s="149">
        <v>0</v>
      </c>
      <c r="AB112" s="149">
        <v>0</v>
      </c>
      <c r="AC112" s="149">
        <v>0</v>
      </c>
      <c r="AD112" s="233">
        <v>0</v>
      </c>
      <c r="AE112" s="215"/>
      <c r="AF112" s="215"/>
      <c r="AG112" s="215"/>
      <c r="AH112" s="23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234"/>
    </row>
    <row r="113" spans="1:58" ht="24" hidden="1" customHeight="1">
      <c r="A113" s="113">
        <v>7</v>
      </c>
      <c r="B113" s="111" t="s">
        <v>137</v>
      </c>
      <c r="C113" s="112">
        <f t="shared" ca="1" si="0"/>
        <v>0</v>
      </c>
      <c r="D113" s="76">
        <f t="shared" ca="1" si="172"/>
        <v>0</v>
      </c>
      <c r="E113" s="77">
        <f ca="1">IFERROR(__xludf.DUMMYFUNCTION("IMPORTRANGE(""https://docs.google.com/spreadsheets/d/1C3CXT74ZlgGe6_JY_1olB1XN4rF0dxEuIIF-xsYjHgg/edit?usp=sharing"",""พรบ!BX117"")"),0)</f>
        <v>0</v>
      </c>
      <c r="F113" s="77">
        <f ca="1">IFERROR(__xludf.DUMMYFUNCTION("IMPORTRANGE(""https://docs.google.com/spreadsheets/d/1C3CXT74ZlgGe6_JY_1olB1XN4rF0dxEuIIF-xsYjHgg/edit?usp=sharing"",""พรบ!BY117"")"),0)</f>
        <v>0</v>
      </c>
      <c r="G113" s="77">
        <f ca="1">IFERROR(__xludf.DUMMYFUNCTION("IMPORTRANGE(""https://docs.google.com/spreadsheets/d/1Yj_ptqi66GCucihVvJfMjLAmec39IyEx_6qawtMGysU/edit?usp=sharing"",""สบก!DJ117"")"),0)</f>
        <v>0</v>
      </c>
      <c r="H113" s="77">
        <f ca="1">IFERROR(__xludf.DUMMYFUNCTION("IMPORTRANGE(""https://docs.google.com/spreadsheets/d/1Yj_ptqi66GCucihVvJfMjLAmec39IyEx_6qawtMGysU/edit?usp=shDLing"",""สบก!DL117"")"),1518800)</f>
        <v>1518800</v>
      </c>
      <c r="I113" s="77">
        <f t="shared" ca="1" si="173"/>
        <v>0</v>
      </c>
      <c r="J113" s="79">
        <f t="shared" ca="1" si="174"/>
        <v>0</v>
      </c>
      <c r="K113" s="77">
        <f ca="1">IFERROR(__xludf.DUMMYFUNCTION("IMPORTRANGE(""https://docs.google.com/spreadsheets/d/1Yj_ptqi66GCucihVvJfMjLAmec39IyEx_6qawtMGysU/edit?usp=sharing"",""สบก!BB117"")"),0)</f>
        <v>0</v>
      </c>
      <c r="L113" s="79">
        <f t="shared" ca="1" si="175"/>
        <v>0</v>
      </c>
      <c r="M113" s="79">
        <f t="shared" ca="1" si="176"/>
        <v>0</v>
      </c>
      <c r="N113" s="80">
        <f ca="1">IFERROR(__xludf.DUMMYFUNCTION("IMPORTRANGE(""https://docs.google.com/spreadsheets/d/1Yj_ptqi66GCucihVvJfMjLAmec39IyEx_6qawtMGysU/edit?usp=sharing"",""สบก!DN117"")"),0)</f>
        <v>0</v>
      </c>
      <c r="O113" s="79">
        <f t="shared" ca="1" si="177"/>
        <v>0</v>
      </c>
      <c r="P113" s="149">
        <v>0</v>
      </c>
      <c r="Q113" s="149">
        <v>0</v>
      </c>
      <c r="R113" s="149">
        <v>0</v>
      </c>
      <c r="S113" s="149">
        <v>0</v>
      </c>
      <c r="T113" s="149">
        <v>0</v>
      </c>
      <c r="U113" s="149">
        <v>0</v>
      </c>
      <c r="V113" s="149">
        <v>0</v>
      </c>
      <c r="W113" s="149">
        <v>0</v>
      </c>
      <c r="X113" s="149">
        <v>0</v>
      </c>
      <c r="Y113" s="149">
        <v>0</v>
      </c>
      <c r="Z113" s="149">
        <v>0</v>
      </c>
      <c r="AA113" s="149">
        <v>0</v>
      </c>
      <c r="AB113" s="149">
        <v>0</v>
      </c>
      <c r="AC113" s="149">
        <v>0</v>
      </c>
      <c r="AD113" s="233">
        <v>0</v>
      </c>
      <c r="AE113" s="215"/>
      <c r="AF113" s="215"/>
      <c r="AG113" s="215"/>
      <c r="AH113" s="23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234"/>
    </row>
    <row r="114" spans="1:58" ht="24" hidden="1" customHeight="1">
      <c r="A114" s="113">
        <v>8</v>
      </c>
      <c r="B114" s="111" t="s">
        <v>138</v>
      </c>
      <c r="C114" s="112">
        <f t="shared" ca="1" si="0"/>
        <v>0</v>
      </c>
      <c r="D114" s="76">
        <f t="shared" ca="1" si="172"/>
        <v>0</v>
      </c>
      <c r="E114" s="77">
        <f ca="1">IFERROR(__xludf.DUMMYFUNCTION("IMPORTRANGE(""https://docs.google.com/spreadsheets/d/1C3CXT74ZlgGe6_JY_1olB1XN4rF0dxEuIIF-xsYjHgg/edit?usp=sharing"",""พรบ!BX118"")"),0)</f>
        <v>0</v>
      </c>
      <c r="F114" s="77">
        <f ca="1">IFERROR(__xludf.DUMMYFUNCTION("IMPORTRANGE(""https://docs.google.com/spreadsheets/d/1C3CXT74ZlgGe6_JY_1olB1XN4rF0dxEuIIF-xsYjHgg/edit?usp=sharing"",""พรบ!BY118"")"),0)</f>
        <v>0</v>
      </c>
      <c r="G114" s="77">
        <f ca="1">IFERROR(__xludf.DUMMYFUNCTION("IMPORTRANGE(""https://docs.google.com/spreadsheets/d/1Yj_ptqi66GCucihVvJfMjLAmec39IyEx_6qawtMGysU/edit?usp=sharing"",""สบก!DJ118"")"),0)</f>
        <v>0</v>
      </c>
      <c r="H114" s="77">
        <f ca="1">IFERROR(__xludf.DUMMYFUNCTION("IMPORTRANGE(""https://docs.google.com/spreadsheets/d/1Yj_ptqi66GCucihVvJfMjLAmec39IyEx_6qawtMGysU/edit?usp=shDLing"",""สบก!DL118"")"),955500)</f>
        <v>955500</v>
      </c>
      <c r="I114" s="77">
        <f t="shared" ca="1" si="173"/>
        <v>0</v>
      </c>
      <c r="J114" s="79">
        <f t="shared" ca="1" si="174"/>
        <v>0</v>
      </c>
      <c r="K114" s="77">
        <f ca="1">IFERROR(__xludf.DUMMYFUNCTION("IMPORTRANGE(""https://docs.google.com/spreadsheets/d/1Yj_ptqi66GCucihVvJfMjLAmec39IyEx_6qawtMGysU/edit?usp=sharing"",""สบก!BB118"")"),0)</f>
        <v>0</v>
      </c>
      <c r="L114" s="79">
        <f t="shared" ca="1" si="175"/>
        <v>0</v>
      </c>
      <c r="M114" s="79">
        <f t="shared" ca="1" si="176"/>
        <v>0</v>
      </c>
      <c r="N114" s="80">
        <f ca="1">IFERROR(__xludf.DUMMYFUNCTION("IMPORTRANGE(""https://docs.google.com/spreadsheets/d/1Yj_ptqi66GCucihVvJfMjLAmec39IyEx_6qawtMGysU/edit?usp=sharing"",""สบก!DN118"")"),0)</f>
        <v>0</v>
      </c>
      <c r="O114" s="79">
        <f t="shared" ca="1" si="177"/>
        <v>0</v>
      </c>
      <c r="P114" s="149">
        <v>0</v>
      </c>
      <c r="Q114" s="149">
        <v>0</v>
      </c>
      <c r="R114" s="149">
        <v>0</v>
      </c>
      <c r="S114" s="149">
        <v>0</v>
      </c>
      <c r="T114" s="149">
        <v>0</v>
      </c>
      <c r="U114" s="149">
        <v>0</v>
      </c>
      <c r="V114" s="149">
        <v>0</v>
      </c>
      <c r="W114" s="149">
        <v>0</v>
      </c>
      <c r="X114" s="149">
        <v>0</v>
      </c>
      <c r="Y114" s="149">
        <v>0</v>
      </c>
      <c r="Z114" s="149">
        <v>0</v>
      </c>
      <c r="AA114" s="149">
        <v>0</v>
      </c>
      <c r="AB114" s="149">
        <v>0</v>
      </c>
      <c r="AC114" s="149">
        <v>0</v>
      </c>
      <c r="AD114" s="233">
        <v>0</v>
      </c>
      <c r="AE114" s="215"/>
      <c r="AF114" s="215"/>
      <c r="AG114" s="215"/>
      <c r="AH114" s="23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234"/>
    </row>
    <row r="115" spans="1:58" ht="24" hidden="1" customHeight="1">
      <c r="A115" s="113">
        <v>9</v>
      </c>
      <c r="B115" s="111" t="s">
        <v>139</v>
      </c>
      <c r="C115" s="112">
        <f t="shared" ca="1" si="0"/>
        <v>0</v>
      </c>
      <c r="D115" s="76">
        <f t="shared" ca="1" si="172"/>
        <v>0</v>
      </c>
      <c r="E115" s="77">
        <f ca="1">IFERROR(__xludf.DUMMYFUNCTION("IMPORTRANGE(""https://docs.google.com/spreadsheets/d/1C3CXT74ZlgGe6_JY_1olB1XN4rF0dxEuIIF-xsYjHgg/edit?usp=sharing"",""พรบ!BX119"")"),0)</f>
        <v>0</v>
      </c>
      <c r="F115" s="77">
        <f ca="1">IFERROR(__xludf.DUMMYFUNCTION("IMPORTRANGE(""https://docs.google.com/spreadsheets/d/1C3CXT74ZlgGe6_JY_1olB1XN4rF0dxEuIIF-xsYjHgg/edit?usp=sharing"",""พรบ!BY119"")"),0)</f>
        <v>0</v>
      </c>
      <c r="G115" s="77">
        <f ca="1">IFERROR(__xludf.DUMMYFUNCTION("IMPORTRANGE(""https://docs.google.com/spreadsheets/d/1Yj_ptqi66GCucihVvJfMjLAmec39IyEx_6qawtMGysU/edit?usp=sharing"",""สบก!DJ119"")"),0)</f>
        <v>0</v>
      </c>
      <c r="H115" s="77">
        <f ca="1">IFERROR(__xludf.DUMMYFUNCTION("IMPORTRANGE(""https://docs.google.com/spreadsheets/d/1Yj_ptqi66GCucihVvJfMjLAmec39IyEx_6qawtMGysU/edit?usp=shDLing"",""สบก!DL119"")"),0)</f>
        <v>0</v>
      </c>
      <c r="I115" s="77">
        <f t="shared" ca="1" si="173"/>
        <v>0</v>
      </c>
      <c r="J115" s="79">
        <f t="shared" ca="1" si="174"/>
        <v>0</v>
      </c>
      <c r="K115" s="77">
        <f ca="1">IFERROR(__xludf.DUMMYFUNCTION("IMPORTRANGE(""https://docs.google.com/spreadsheets/d/1Yj_ptqi66GCucihVvJfMjLAmec39IyEx_6qawtMGysU/edit?usp=sharing"",""สบก!BB119"")"),0)</f>
        <v>0</v>
      </c>
      <c r="L115" s="79">
        <f t="shared" ca="1" si="175"/>
        <v>0</v>
      </c>
      <c r="M115" s="79">
        <f t="shared" ca="1" si="176"/>
        <v>0</v>
      </c>
      <c r="N115" s="80">
        <f ca="1">IFERROR(__xludf.DUMMYFUNCTION("IMPORTRANGE(""https://docs.google.com/spreadsheets/d/1Yj_ptqi66GCucihVvJfMjLAmec39IyEx_6qawtMGysU/edit?usp=sharing"",""สบก!DN119"")"),0)</f>
        <v>0</v>
      </c>
      <c r="O115" s="79">
        <f t="shared" ca="1" si="177"/>
        <v>0</v>
      </c>
      <c r="P115" s="149">
        <v>0</v>
      </c>
      <c r="Q115" s="149">
        <v>0</v>
      </c>
      <c r="R115" s="149">
        <v>0</v>
      </c>
      <c r="S115" s="149">
        <v>0</v>
      </c>
      <c r="T115" s="149">
        <v>0</v>
      </c>
      <c r="U115" s="149">
        <v>0</v>
      </c>
      <c r="V115" s="149">
        <v>0</v>
      </c>
      <c r="W115" s="149">
        <v>0</v>
      </c>
      <c r="X115" s="149">
        <v>0</v>
      </c>
      <c r="Y115" s="149">
        <v>0</v>
      </c>
      <c r="Z115" s="149">
        <v>0</v>
      </c>
      <c r="AA115" s="149">
        <v>0</v>
      </c>
      <c r="AB115" s="149">
        <v>0</v>
      </c>
      <c r="AC115" s="149">
        <v>0</v>
      </c>
      <c r="AD115" s="233">
        <v>0</v>
      </c>
      <c r="AE115" s="215"/>
      <c r="AF115" s="215"/>
      <c r="AG115" s="215"/>
      <c r="AH115" s="23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234"/>
    </row>
    <row r="116" spans="1:58" ht="24" hidden="1" customHeight="1">
      <c r="A116" s="113">
        <v>10</v>
      </c>
      <c r="B116" s="111" t="s">
        <v>140</v>
      </c>
      <c r="C116" s="112">
        <f t="shared" ca="1" si="0"/>
        <v>0</v>
      </c>
      <c r="D116" s="76">
        <f t="shared" ca="1" si="172"/>
        <v>0</v>
      </c>
      <c r="E116" s="77">
        <f ca="1">IFERROR(__xludf.DUMMYFUNCTION("IMPORTRANGE(""https://docs.google.com/spreadsheets/d/1C3CXT74ZlgGe6_JY_1olB1XN4rF0dxEuIIF-xsYjHgg/edit?usp=sharing"",""พรบ!BX120"")"),0)</f>
        <v>0</v>
      </c>
      <c r="F116" s="77">
        <f ca="1">IFERROR(__xludf.DUMMYFUNCTION("IMPORTRANGE(""https://docs.google.com/spreadsheets/d/1C3CXT74ZlgGe6_JY_1olB1XN4rF0dxEuIIF-xsYjHgg/edit?usp=sharing"",""พรบ!BY120"")"),0)</f>
        <v>0</v>
      </c>
      <c r="G116" s="77">
        <f ca="1">IFERROR(__xludf.DUMMYFUNCTION("IMPORTRANGE(""https://docs.google.com/spreadsheets/d/1Yj_ptqi66GCucihVvJfMjLAmec39IyEx_6qawtMGysU/edit?usp=sharing"",""สบก!DJ120"")"),0)</f>
        <v>0</v>
      </c>
      <c r="H116" s="77">
        <f ca="1">IFERROR(__xludf.DUMMYFUNCTION("IMPORTRANGE(""https://docs.google.com/spreadsheets/d/1Yj_ptqi66GCucihVvJfMjLAmec39IyEx_6qawtMGysU/edit?usp=shDLing"",""สบก!DL120"")"),0)</f>
        <v>0</v>
      </c>
      <c r="I116" s="77">
        <f t="shared" ca="1" si="173"/>
        <v>0</v>
      </c>
      <c r="J116" s="79">
        <f t="shared" ca="1" si="174"/>
        <v>0</v>
      </c>
      <c r="K116" s="77">
        <f ca="1">IFERROR(__xludf.DUMMYFUNCTION("IMPORTRANGE(""https://docs.google.com/spreadsheets/d/1Yj_ptqi66GCucihVvJfMjLAmec39IyEx_6qawtMGysU/edit?usp=sharing"",""สบก!BB120"")"),0)</f>
        <v>0</v>
      </c>
      <c r="L116" s="79">
        <f t="shared" ca="1" si="175"/>
        <v>0</v>
      </c>
      <c r="M116" s="79">
        <f t="shared" ca="1" si="176"/>
        <v>0</v>
      </c>
      <c r="N116" s="80">
        <f ca="1">IFERROR(__xludf.DUMMYFUNCTION("IMPORTRANGE(""https://docs.google.com/spreadsheets/d/1Yj_ptqi66GCucihVvJfMjLAmec39IyEx_6qawtMGysU/edit?usp=sharing"",""สบก!DN120"")"),0)</f>
        <v>0</v>
      </c>
      <c r="O116" s="79">
        <f t="shared" ca="1" si="177"/>
        <v>0</v>
      </c>
      <c r="P116" s="149">
        <v>0</v>
      </c>
      <c r="Q116" s="149">
        <v>0</v>
      </c>
      <c r="R116" s="149">
        <v>0</v>
      </c>
      <c r="S116" s="149">
        <v>0</v>
      </c>
      <c r="T116" s="149">
        <v>0</v>
      </c>
      <c r="U116" s="149">
        <v>0</v>
      </c>
      <c r="V116" s="149">
        <v>0</v>
      </c>
      <c r="W116" s="149">
        <v>0</v>
      </c>
      <c r="X116" s="149">
        <v>0</v>
      </c>
      <c r="Y116" s="149">
        <v>0</v>
      </c>
      <c r="Z116" s="149">
        <v>0</v>
      </c>
      <c r="AA116" s="149">
        <v>0</v>
      </c>
      <c r="AB116" s="149">
        <v>0</v>
      </c>
      <c r="AC116" s="149">
        <v>0</v>
      </c>
      <c r="AD116" s="233">
        <v>0</v>
      </c>
      <c r="AE116" s="215"/>
      <c r="AF116" s="215"/>
      <c r="AG116" s="215"/>
      <c r="AH116" s="23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234"/>
    </row>
    <row r="117" spans="1:58" ht="24" hidden="1" customHeight="1">
      <c r="A117" s="113">
        <v>11</v>
      </c>
      <c r="B117" s="111" t="s">
        <v>141</v>
      </c>
      <c r="C117" s="112">
        <f t="shared" ca="1" si="0"/>
        <v>0</v>
      </c>
      <c r="D117" s="76">
        <f t="shared" ca="1" si="172"/>
        <v>0</v>
      </c>
      <c r="E117" s="77">
        <f ca="1">IFERROR(__xludf.DUMMYFUNCTION("IMPORTRANGE(""https://docs.google.com/spreadsheets/d/1C3CXT74ZlgGe6_JY_1olB1XN4rF0dxEuIIF-xsYjHgg/edit?usp=sharing"",""พรบ!BX121"")"),0)</f>
        <v>0</v>
      </c>
      <c r="F117" s="77">
        <f ca="1">IFERROR(__xludf.DUMMYFUNCTION("IMPORTRANGE(""https://docs.google.com/spreadsheets/d/1C3CXT74ZlgGe6_JY_1olB1XN4rF0dxEuIIF-xsYjHgg/edit?usp=sharing"",""พรบ!BY121"")"),0)</f>
        <v>0</v>
      </c>
      <c r="G117" s="77">
        <f ca="1">IFERROR(__xludf.DUMMYFUNCTION("IMPORTRANGE(""https://docs.google.com/spreadsheets/d/1Yj_ptqi66GCucihVvJfMjLAmec39IyEx_6qawtMGysU/edit?usp=sharing"",""สบก!DJ121"")"),0)</f>
        <v>0</v>
      </c>
      <c r="H117" s="77">
        <f ca="1">IFERROR(__xludf.DUMMYFUNCTION("IMPORTRANGE(""https://docs.google.com/spreadsheets/d/1Yj_ptqi66GCucihVvJfMjLAmec39IyEx_6qawtMGysU/edit?usp=shDLing"",""สบก!DL121"")"),0)</f>
        <v>0</v>
      </c>
      <c r="I117" s="77">
        <f t="shared" ca="1" si="173"/>
        <v>0</v>
      </c>
      <c r="J117" s="79">
        <f t="shared" ca="1" si="174"/>
        <v>0</v>
      </c>
      <c r="K117" s="77">
        <f ca="1">IFERROR(__xludf.DUMMYFUNCTION("IMPORTRANGE(""https://docs.google.com/spreadsheets/d/1Yj_ptqi66GCucihVvJfMjLAmec39IyEx_6qawtMGysU/edit?usp=sharing"",""สบก!BB121"")"),0)</f>
        <v>0</v>
      </c>
      <c r="L117" s="79">
        <f t="shared" ca="1" si="175"/>
        <v>0</v>
      </c>
      <c r="M117" s="79">
        <f t="shared" ca="1" si="176"/>
        <v>0</v>
      </c>
      <c r="N117" s="80">
        <f ca="1">IFERROR(__xludf.DUMMYFUNCTION("IMPORTRANGE(""https://docs.google.com/spreadsheets/d/1Yj_ptqi66GCucihVvJfMjLAmec39IyEx_6qawtMGysU/edit?usp=sharing"",""สบก!DN121"")"),0)</f>
        <v>0</v>
      </c>
      <c r="O117" s="79">
        <f t="shared" ca="1" si="177"/>
        <v>0</v>
      </c>
      <c r="P117" s="149">
        <v>0</v>
      </c>
      <c r="Q117" s="149">
        <v>0</v>
      </c>
      <c r="R117" s="149">
        <v>0</v>
      </c>
      <c r="S117" s="149">
        <v>0</v>
      </c>
      <c r="T117" s="149">
        <v>0</v>
      </c>
      <c r="U117" s="149">
        <v>0</v>
      </c>
      <c r="V117" s="149">
        <v>0</v>
      </c>
      <c r="W117" s="149">
        <v>0</v>
      </c>
      <c r="X117" s="149">
        <v>0</v>
      </c>
      <c r="Y117" s="149">
        <v>0</v>
      </c>
      <c r="Z117" s="149">
        <v>0</v>
      </c>
      <c r="AA117" s="149">
        <v>0</v>
      </c>
      <c r="AB117" s="149">
        <v>0</v>
      </c>
      <c r="AC117" s="149">
        <v>0</v>
      </c>
      <c r="AD117" s="233">
        <v>0</v>
      </c>
      <c r="AE117" s="215"/>
      <c r="AF117" s="215"/>
      <c r="AG117" s="215"/>
      <c r="AH117" s="23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234"/>
    </row>
    <row r="118" spans="1:58" ht="24" hidden="1" customHeight="1">
      <c r="A118" s="113">
        <v>12</v>
      </c>
      <c r="B118" s="111" t="s">
        <v>142</v>
      </c>
      <c r="C118" s="112">
        <f t="shared" ca="1" si="0"/>
        <v>0</v>
      </c>
      <c r="D118" s="76">
        <f t="shared" ca="1" si="172"/>
        <v>0</v>
      </c>
      <c r="E118" s="77">
        <f ca="1">IFERROR(__xludf.DUMMYFUNCTION("IMPORTRANGE(""https://docs.google.com/spreadsheets/d/1C3CXT74ZlgGe6_JY_1olB1XN4rF0dxEuIIF-xsYjHgg/edit?usp=sharing"",""พรบ!BX122"")"),0)</f>
        <v>0</v>
      </c>
      <c r="F118" s="77">
        <f ca="1">IFERROR(__xludf.DUMMYFUNCTION("IMPORTRANGE(""https://docs.google.com/spreadsheets/d/1C3CXT74ZlgGe6_JY_1olB1XN4rF0dxEuIIF-xsYjHgg/edit?usp=sharing"",""พรบ!BY122"")"),0)</f>
        <v>0</v>
      </c>
      <c r="G118" s="77">
        <f ca="1">IFERROR(__xludf.DUMMYFUNCTION("IMPORTRANGE(""https://docs.google.com/spreadsheets/d/1Yj_ptqi66GCucihVvJfMjLAmec39IyEx_6qawtMGysU/edit?usp=sharing"",""สบก!DJ122"")"),0)</f>
        <v>0</v>
      </c>
      <c r="H118" s="77">
        <f ca="1">IFERROR(__xludf.DUMMYFUNCTION("IMPORTRANGE(""https://docs.google.com/spreadsheets/d/1Yj_ptqi66GCucihVvJfMjLAmec39IyEx_6qawtMGysU/edit?usp=shDLing"",""สบก!DL122"")"),0)</f>
        <v>0</v>
      </c>
      <c r="I118" s="77">
        <f t="shared" ca="1" si="173"/>
        <v>0</v>
      </c>
      <c r="J118" s="79">
        <f t="shared" ca="1" si="174"/>
        <v>0</v>
      </c>
      <c r="K118" s="77">
        <f ca="1">IFERROR(__xludf.DUMMYFUNCTION("IMPORTRANGE(""https://docs.google.com/spreadsheets/d/1Yj_ptqi66GCucihVvJfMjLAmec39IyEx_6qawtMGysU/edit?usp=sharing"",""สบก!BB122"")"),0)</f>
        <v>0</v>
      </c>
      <c r="L118" s="79">
        <f t="shared" ca="1" si="175"/>
        <v>0</v>
      </c>
      <c r="M118" s="79">
        <f t="shared" ca="1" si="176"/>
        <v>0</v>
      </c>
      <c r="N118" s="80">
        <f ca="1">IFERROR(__xludf.DUMMYFUNCTION("IMPORTRANGE(""https://docs.google.com/spreadsheets/d/1Yj_ptqi66GCucihVvJfMjLAmec39IyEx_6qawtMGysU/edit?usp=sharing"",""สบก!DN122"")"),0)</f>
        <v>0</v>
      </c>
      <c r="O118" s="79">
        <f t="shared" ca="1" si="177"/>
        <v>0</v>
      </c>
      <c r="P118" s="149">
        <v>0</v>
      </c>
      <c r="Q118" s="149">
        <v>0</v>
      </c>
      <c r="R118" s="149">
        <v>0</v>
      </c>
      <c r="S118" s="149">
        <v>0</v>
      </c>
      <c r="T118" s="149">
        <v>0</v>
      </c>
      <c r="U118" s="149">
        <v>0</v>
      </c>
      <c r="V118" s="149">
        <v>0</v>
      </c>
      <c r="W118" s="149">
        <v>0</v>
      </c>
      <c r="X118" s="149">
        <v>0</v>
      </c>
      <c r="Y118" s="149">
        <v>0</v>
      </c>
      <c r="Z118" s="149">
        <v>0</v>
      </c>
      <c r="AA118" s="149">
        <v>0</v>
      </c>
      <c r="AB118" s="149">
        <v>0</v>
      </c>
      <c r="AC118" s="149">
        <v>0</v>
      </c>
      <c r="AD118" s="233">
        <v>0</v>
      </c>
      <c r="AE118" s="215"/>
      <c r="AF118" s="215"/>
      <c r="AG118" s="215"/>
      <c r="AH118" s="23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234"/>
    </row>
    <row r="119" spans="1:58" ht="24" hidden="1" customHeight="1">
      <c r="A119" s="113">
        <v>13</v>
      </c>
      <c r="B119" s="111" t="s">
        <v>143</v>
      </c>
      <c r="C119" s="112">
        <f t="shared" ca="1" si="0"/>
        <v>0</v>
      </c>
      <c r="D119" s="76">
        <f t="shared" ca="1" si="172"/>
        <v>0</v>
      </c>
      <c r="E119" s="77">
        <f ca="1">IFERROR(__xludf.DUMMYFUNCTION("IMPORTRANGE(""https://docs.google.com/spreadsheets/d/1C3CXT74ZlgGe6_JY_1olB1XN4rF0dxEuIIF-xsYjHgg/edit?usp=sharing"",""พรบ!BX123"")"),0)</f>
        <v>0</v>
      </c>
      <c r="F119" s="77">
        <f ca="1">IFERROR(__xludf.DUMMYFUNCTION("IMPORTRANGE(""https://docs.google.com/spreadsheets/d/1C3CXT74ZlgGe6_JY_1olB1XN4rF0dxEuIIF-xsYjHgg/edit?usp=sharing"",""พรบ!BY123"")"),0)</f>
        <v>0</v>
      </c>
      <c r="G119" s="77">
        <f ca="1">IFERROR(__xludf.DUMMYFUNCTION("IMPORTRANGE(""https://docs.google.com/spreadsheets/d/1Yj_ptqi66GCucihVvJfMjLAmec39IyEx_6qawtMGysU/edit?usp=sharing"",""สบก!DJ123"")"),0)</f>
        <v>0</v>
      </c>
      <c r="H119" s="77">
        <f ca="1">IFERROR(__xludf.DUMMYFUNCTION("IMPORTRANGE(""https://docs.google.com/spreadsheets/d/1Yj_ptqi66GCucihVvJfMjLAmec39IyEx_6qawtMGysU/edit?usp=shDLing"",""สบก!DL123"")"),0)</f>
        <v>0</v>
      </c>
      <c r="I119" s="77">
        <f t="shared" ca="1" si="173"/>
        <v>0</v>
      </c>
      <c r="J119" s="79">
        <f t="shared" ca="1" si="174"/>
        <v>0</v>
      </c>
      <c r="K119" s="77">
        <f ca="1">IFERROR(__xludf.DUMMYFUNCTION("IMPORTRANGE(""https://docs.google.com/spreadsheets/d/1Yj_ptqi66GCucihVvJfMjLAmec39IyEx_6qawtMGysU/edit?usp=sharing"",""สบก!BB123"")"),0)</f>
        <v>0</v>
      </c>
      <c r="L119" s="79">
        <f t="shared" ca="1" si="175"/>
        <v>0</v>
      </c>
      <c r="M119" s="79">
        <f t="shared" ca="1" si="176"/>
        <v>0</v>
      </c>
      <c r="N119" s="80">
        <f ca="1">IFERROR(__xludf.DUMMYFUNCTION("IMPORTRANGE(""https://docs.google.com/spreadsheets/d/1Yj_ptqi66GCucihVvJfMjLAmec39IyEx_6qawtMGysU/edit?usp=sharing"",""สบก!DN123"")"),0)</f>
        <v>0</v>
      </c>
      <c r="O119" s="79">
        <f t="shared" ca="1" si="177"/>
        <v>0</v>
      </c>
      <c r="P119" s="149">
        <v>0</v>
      </c>
      <c r="Q119" s="149">
        <v>0</v>
      </c>
      <c r="R119" s="149">
        <v>0</v>
      </c>
      <c r="S119" s="149">
        <v>0</v>
      </c>
      <c r="T119" s="149">
        <v>0</v>
      </c>
      <c r="U119" s="149">
        <v>0</v>
      </c>
      <c r="V119" s="149">
        <v>0</v>
      </c>
      <c r="W119" s="149">
        <v>0</v>
      </c>
      <c r="X119" s="149">
        <v>0</v>
      </c>
      <c r="Y119" s="149">
        <v>0</v>
      </c>
      <c r="Z119" s="149">
        <v>0</v>
      </c>
      <c r="AA119" s="149">
        <v>0</v>
      </c>
      <c r="AB119" s="149">
        <v>0</v>
      </c>
      <c r="AC119" s="149">
        <v>0</v>
      </c>
      <c r="AD119" s="233">
        <v>0</v>
      </c>
      <c r="AE119" s="215"/>
      <c r="AF119" s="215"/>
      <c r="AG119" s="215"/>
      <c r="AH119" s="23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234"/>
    </row>
    <row r="120" spans="1:58" ht="24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</row>
    <row r="121" spans="1:58" ht="24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  <c r="BA121" s="189"/>
      <c r="BB121" s="189"/>
      <c r="BC121" s="189"/>
      <c r="BD121" s="189"/>
      <c r="BE121" s="189"/>
      <c r="BF121" s="189"/>
    </row>
    <row r="122" spans="1:58" ht="24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</row>
    <row r="123" spans="1:58" ht="24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</row>
    <row r="124" spans="1:58" ht="24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</row>
    <row r="125" spans="1:58" ht="24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</row>
    <row r="126" spans="1:58" ht="24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</row>
    <row r="127" spans="1:58" ht="24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</row>
    <row r="128" spans="1:58" ht="24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</row>
    <row r="129" spans="1:58" ht="24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9"/>
      <c r="BB129" s="189"/>
      <c r="BC129" s="189"/>
      <c r="BD129" s="189"/>
      <c r="BE129" s="189"/>
      <c r="BF129" s="189"/>
    </row>
    <row r="130" spans="1:58" ht="24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</row>
    <row r="131" spans="1:58" ht="24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</row>
    <row r="132" spans="1:58" ht="24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</row>
    <row r="133" spans="1:58" ht="24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</row>
    <row r="134" spans="1:58" ht="24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</row>
    <row r="135" spans="1:58" ht="24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  <c r="BA135" s="189"/>
      <c r="BB135" s="189"/>
      <c r="BC135" s="189"/>
      <c r="BD135" s="189"/>
      <c r="BE135" s="189"/>
      <c r="BF135" s="189"/>
    </row>
    <row r="136" spans="1:58" ht="24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</row>
    <row r="137" spans="1:58" ht="24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</row>
    <row r="138" spans="1:58" ht="24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</row>
    <row r="139" spans="1:58" ht="24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</row>
    <row r="140" spans="1:58" ht="24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</row>
    <row r="141" spans="1:58" ht="24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</row>
    <row r="142" spans="1:58" ht="24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</row>
    <row r="143" spans="1:58" ht="24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C143" s="189"/>
      <c r="BD143" s="189"/>
      <c r="BE143" s="189"/>
      <c r="BF143" s="189"/>
    </row>
    <row r="144" spans="1:58" ht="24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</row>
    <row r="145" spans="1:58" ht="24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C145" s="189"/>
      <c r="BD145" s="189"/>
      <c r="BE145" s="189"/>
      <c r="BF145" s="189"/>
    </row>
    <row r="146" spans="1:58" ht="24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C146" s="189"/>
      <c r="BD146" s="189"/>
      <c r="BE146" s="189"/>
      <c r="BF146" s="189"/>
    </row>
    <row r="147" spans="1:58" ht="24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C147" s="189"/>
      <c r="BD147" s="189"/>
      <c r="BE147" s="189"/>
      <c r="BF147" s="189"/>
    </row>
    <row r="148" spans="1:58" ht="24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</row>
    <row r="149" spans="1:58" ht="24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  <c r="BA149" s="189"/>
      <c r="BB149" s="189"/>
      <c r="BC149" s="189"/>
      <c r="BD149" s="189"/>
      <c r="BE149" s="189"/>
      <c r="BF149" s="189"/>
    </row>
    <row r="150" spans="1:58" ht="24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</row>
    <row r="151" spans="1:58" ht="24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</row>
    <row r="152" spans="1:58" ht="24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</row>
    <row r="153" spans="1:58" ht="24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</row>
    <row r="154" spans="1:58" ht="24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</row>
    <row r="155" spans="1:58" ht="24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</row>
    <row r="156" spans="1:58" ht="24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</row>
    <row r="157" spans="1:58" ht="24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</row>
    <row r="158" spans="1:58" ht="24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</row>
    <row r="159" spans="1:58" ht="24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</row>
    <row r="160" spans="1:58" ht="24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</row>
    <row r="161" spans="1:58" ht="24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</row>
    <row r="162" spans="1:58" ht="24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</row>
    <row r="163" spans="1:58" ht="24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</row>
    <row r="164" spans="1:58" ht="24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</row>
    <row r="165" spans="1:58" ht="24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</row>
    <row r="166" spans="1:58" ht="24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</row>
    <row r="167" spans="1:58" ht="24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</row>
    <row r="168" spans="1:58" ht="24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</row>
    <row r="169" spans="1:58" ht="24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</row>
    <row r="170" spans="1:58" ht="24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</row>
    <row r="171" spans="1:58" ht="24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</row>
    <row r="172" spans="1:58" ht="24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</row>
    <row r="173" spans="1:58" ht="24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</row>
    <row r="174" spans="1:58" ht="24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</row>
    <row r="175" spans="1:58" ht="24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</row>
    <row r="176" spans="1:58" ht="24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</row>
    <row r="177" spans="1:58" ht="24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</row>
    <row r="178" spans="1:58" ht="24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</row>
    <row r="179" spans="1:58" ht="24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</row>
    <row r="180" spans="1:58" ht="24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</row>
    <row r="181" spans="1:58" ht="24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</row>
    <row r="182" spans="1:58" ht="24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</row>
    <row r="183" spans="1:58" ht="24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</row>
    <row r="184" spans="1:58" ht="24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</row>
    <row r="185" spans="1:58" ht="24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</row>
    <row r="186" spans="1:58" ht="24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</row>
    <row r="187" spans="1:58" ht="24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</row>
    <row r="188" spans="1:58" ht="24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</row>
    <row r="189" spans="1:58" ht="24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</row>
    <row r="190" spans="1:58" ht="24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</row>
    <row r="191" spans="1:58" ht="24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</row>
    <row r="192" spans="1:58" ht="24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</row>
    <row r="193" spans="1:58" ht="24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</row>
    <row r="194" spans="1:58" ht="24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</row>
    <row r="195" spans="1:58" ht="24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</row>
    <row r="196" spans="1:58" ht="24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</row>
    <row r="197" spans="1:58" ht="24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</row>
    <row r="198" spans="1:58" ht="24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C198" s="189"/>
      <c r="BD198" s="189"/>
      <c r="BE198" s="189"/>
      <c r="BF198" s="189"/>
    </row>
    <row r="199" spans="1:58" ht="24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C199" s="189"/>
      <c r="BD199" s="189"/>
      <c r="BE199" s="189"/>
      <c r="BF199" s="189"/>
    </row>
    <row r="200" spans="1:58" ht="24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89"/>
      <c r="BB200" s="189"/>
      <c r="BC200" s="189"/>
      <c r="BD200" s="189"/>
      <c r="BE200" s="189"/>
      <c r="BF200" s="189"/>
    </row>
    <row r="201" spans="1:58" ht="24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C201" s="189"/>
      <c r="BD201" s="189"/>
      <c r="BE201" s="189"/>
      <c r="BF201" s="189"/>
    </row>
    <row r="202" spans="1:58" ht="24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  <c r="BA202" s="189"/>
      <c r="BB202" s="189"/>
      <c r="BC202" s="189"/>
      <c r="BD202" s="189"/>
      <c r="BE202" s="189"/>
      <c r="BF202" s="189"/>
    </row>
    <row r="203" spans="1:58" ht="24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</row>
    <row r="204" spans="1:58" ht="24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</row>
    <row r="205" spans="1:58" ht="24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</row>
    <row r="206" spans="1:58" ht="24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</row>
    <row r="207" spans="1:58" ht="24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</row>
    <row r="208" spans="1:58" ht="24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</row>
    <row r="209" spans="1:58" ht="24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</row>
    <row r="210" spans="1:58" ht="24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</row>
    <row r="211" spans="1:58" ht="24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</row>
    <row r="212" spans="1:58" ht="24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</row>
    <row r="213" spans="1:58" ht="24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</row>
    <row r="214" spans="1:58" ht="24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</row>
    <row r="215" spans="1:58" ht="24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</row>
    <row r="216" spans="1:58" ht="24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</row>
    <row r="217" spans="1:58" ht="24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89"/>
      <c r="BB217" s="189"/>
      <c r="BC217" s="189"/>
      <c r="BD217" s="189"/>
      <c r="BE217" s="189"/>
      <c r="BF217" s="189"/>
    </row>
    <row r="218" spans="1:58" ht="24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</row>
    <row r="219" spans="1:58" ht="24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89"/>
      <c r="BC219" s="189"/>
      <c r="BD219" s="189"/>
      <c r="BE219" s="189"/>
      <c r="BF219" s="189"/>
    </row>
    <row r="220" spans="1:58" ht="24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C220" s="189"/>
      <c r="BD220" s="189"/>
      <c r="BE220" s="189"/>
      <c r="BF220" s="189"/>
    </row>
    <row r="221" spans="1:58" ht="24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C221" s="189"/>
      <c r="BD221" s="189"/>
      <c r="BE221" s="189"/>
      <c r="BF221" s="189"/>
    </row>
    <row r="222" spans="1:58" ht="24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  <c r="BA222" s="189"/>
      <c r="BB222" s="189"/>
      <c r="BC222" s="189"/>
      <c r="BD222" s="189"/>
      <c r="BE222" s="189"/>
      <c r="BF222" s="189"/>
    </row>
    <row r="223" spans="1:58" ht="24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89"/>
      <c r="BB223" s="189"/>
      <c r="BC223" s="189"/>
      <c r="BD223" s="189"/>
      <c r="BE223" s="189"/>
      <c r="BF223" s="189"/>
    </row>
    <row r="224" spans="1:58" ht="24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C224" s="189"/>
      <c r="BD224" s="189"/>
      <c r="BE224" s="189"/>
      <c r="BF224" s="189"/>
    </row>
    <row r="225" spans="1:58" ht="24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</row>
    <row r="226" spans="1:58" ht="24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</row>
    <row r="227" spans="1:58" ht="24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</row>
    <row r="228" spans="1:58" ht="24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</row>
    <row r="229" spans="1:58" ht="24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</row>
    <row r="230" spans="1:58" ht="24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C230" s="189"/>
      <c r="BD230" s="189"/>
      <c r="BE230" s="189"/>
      <c r="BF230" s="189"/>
    </row>
    <row r="231" spans="1:58" ht="24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  <c r="BA231" s="189"/>
      <c r="BB231" s="189"/>
      <c r="BC231" s="189"/>
      <c r="BD231" s="189"/>
      <c r="BE231" s="189"/>
      <c r="BF231" s="189"/>
    </row>
    <row r="232" spans="1:58" ht="24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</row>
    <row r="233" spans="1:58" ht="24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</row>
    <row r="234" spans="1:58" ht="24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</row>
    <row r="235" spans="1:58" ht="24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C235" s="189"/>
      <c r="BD235" s="189"/>
      <c r="BE235" s="189"/>
      <c r="BF235" s="189"/>
    </row>
    <row r="236" spans="1:58" ht="24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  <c r="BA236" s="189"/>
      <c r="BB236" s="189"/>
      <c r="BC236" s="189"/>
      <c r="BD236" s="189"/>
      <c r="BE236" s="189"/>
      <c r="BF236" s="189"/>
    </row>
    <row r="237" spans="1:58" ht="24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C237" s="189"/>
      <c r="BD237" s="189"/>
      <c r="BE237" s="189"/>
      <c r="BF237" s="189"/>
    </row>
    <row r="238" spans="1:58" ht="24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89"/>
      <c r="BB238" s="189"/>
      <c r="BC238" s="189"/>
      <c r="BD238" s="189"/>
      <c r="BE238" s="189"/>
      <c r="BF238" s="189"/>
    </row>
    <row r="239" spans="1:58" ht="24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C239" s="189"/>
      <c r="BD239" s="189"/>
      <c r="BE239" s="189"/>
      <c r="BF239" s="189"/>
    </row>
    <row r="240" spans="1:58" ht="24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</row>
    <row r="241" spans="1:58" ht="24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</row>
    <row r="242" spans="1:58" ht="24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</row>
    <row r="243" spans="1:58" ht="24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</row>
    <row r="244" spans="1:58" ht="24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  <c r="BA244" s="189"/>
      <c r="BB244" s="189"/>
      <c r="BC244" s="189"/>
      <c r="BD244" s="189"/>
      <c r="BE244" s="189"/>
      <c r="BF244" s="189"/>
    </row>
    <row r="245" spans="1:58" ht="24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</row>
    <row r="246" spans="1:58" ht="24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</row>
    <row r="247" spans="1:58" ht="24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</row>
    <row r="248" spans="1:58" ht="24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</row>
    <row r="249" spans="1:58" ht="24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</row>
    <row r="250" spans="1:58" ht="24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  <c r="BA250" s="189"/>
      <c r="BB250" s="189"/>
      <c r="BC250" s="189"/>
      <c r="BD250" s="189"/>
      <c r="BE250" s="189"/>
      <c r="BF250" s="189"/>
    </row>
    <row r="251" spans="1:58" ht="24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</row>
    <row r="252" spans="1:58" ht="24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</row>
    <row r="253" spans="1:58" ht="24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</row>
    <row r="254" spans="1:58" ht="24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C254" s="189"/>
      <c r="BD254" s="189"/>
      <c r="BE254" s="189"/>
      <c r="BF254" s="189"/>
    </row>
    <row r="255" spans="1:58" ht="24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89"/>
      <c r="BB255" s="189"/>
      <c r="BC255" s="189"/>
      <c r="BD255" s="189"/>
      <c r="BE255" s="189"/>
      <c r="BF255" s="189"/>
    </row>
    <row r="256" spans="1:58" ht="24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C256" s="189"/>
      <c r="BD256" s="189"/>
      <c r="BE256" s="189"/>
      <c r="BF256" s="189"/>
    </row>
    <row r="257" spans="1:58" ht="24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89"/>
      <c r="BB257" s="189"/>
      <c r="BC257" s="189"/>
      <c r="BD257" s="189"/>
      <c r="BE257" s="189"/>
      <c r="BF257" s="189"/>
    </row>
    <row r="258" spans="1:58" ht="24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</row>
    <row r="259" spans="1:58" ht="24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9"/>
      <c r="BB259" s="189"/>
      <c r="BC259" s="189"/>
      <c r="BD259" s="189"/>
      <c r="BE259" s="189"/>
      <c r="BF259" s="189"/>
    </row>
    <row r="260" spans="1:58" ht="24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</row>
    <row r="261" spans="1:58" ht="24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</row>
    <row r="262" spans="1:58" ht="24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</row>
    <row r="263" spans="1:58" ht="24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</row>
    <row r="264" spans="1:58" ht="24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</row>
    <row r="265" spans="1:58" ht="24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</row>
    <row r="266" spans="1:58" ht="24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</row>
    <row r="267" spans="1:58" ht="24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</row>
    <row r="268" spans="1:58" ht="24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C268" s="189"/>
      <c r="BD268" s="189"/>
      <c r="BE268" s="189"/>
      <c r="BF268" s="189"/>
    </row>
    <row r="269" spans="1:58" ht="24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</row>
    <row r="270" spans="1:58" ht="24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  <c r="BA270" s="189"/>
      <c r="BB270" s="189"/>
      <c r="BC270" s="189"/>
      <c r="BD270" s="189"/>
      <c r="BE270" s="189"/>
      <c r="BF270" s="189"/>
    </row>
    <row r="271" spans="1:58" ht="24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C271" s="189"/>
      <c r="BD271" s="189"/>
      <c r="BE271" s="189"/>
      <c r="BF271" s="189"/>
    </row>
    <row r="272" spans="1:58" ht="24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  <c r="BA272" s="189"/>
      <c r="BB272" s="189"/>
      <c r="BC272" s="189"/>
      <c r="BD272" s="189"/>
      <c r="BE272" s="189"/>
      <c r="BF272" s="189"/>
    </row>
    <row r="273" spans="1:58" ht="24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  <c r="BA273" s="189"/>
      <c r="BB273" s="189"/>
      <c r="BC273" s="189"/>
      <c r="BD273" s="189"/>
      <c r="BE273" s="189"/>
      <c r="BF273" s="189"/>
    </row>
    <row r="274" spans="1:58" ht="24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</row>
    <row r="275" spans="1:58" ht="24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</row>
    <row r="276" spans="1:58" ht="24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C276" s="189"/>
      <c r="BD276" s="189"/>
      <c r="BE276" s="189"/>
      <c r="BF276" s="189"/>
    </row>
    <row r="277" spans="1:58" ht="24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</row>
    <row r="278" spans="1:58" ht="24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  <c r="BA278" s="189"/>
      <c r="BB278" s="189"/>
      <c r="BC278" s="189"/>
      <c r="BD278" s="189"/>
      <c r="BE278" s="189"/>
      <c r="BF278" s="189"/>
    </row>
    <row r="279" spans="1:58" ht="24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</row>
    <row r="280" spans="1:58" ht="24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</row>
    <row r="281" spans="1:58" ht="24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</row>
    <row r="282" spans="1:58" ht="24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</row>
    <row r="283" spans="1:58" ht="24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</row>
    <row r="284" spans="1:58" ht="24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</row>
    <row r="285" spans="1:58" ht="24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C285" s="189"/>
      <c r="BD285" s="189"/>
      <c r="BE285" s="189"/>
      <c r="BF285" s="189"/>
    </row>
    <row r="286" spans="1:58" ht="24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  <c r="BA286" s="189"/>
      <c r="BB286" s="189"/>
      <c r="BC286" s="189"/>
      <c r="BD286" s="189"/>
      <c r="BE286" s="189"/>
      <c r="BF286" s="189"/>
    </row>
    <row r="287" spans="1:58" ht="24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C287" s="189"/>
      <c r="BD287" s="189"/>
      <c r="BE287" s="189"/>
      <c r="BF287" s="189"/>
    </row>
    <row r="288" spans="1:58" ht="24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89"/>
      <c r="BB288" s="189"/>
      <c r="BC288" s="189"/>
      <c r="BD288" s="189"/>
      <c r="BE288" s="189"/>
      <c r="BF288" s="189"/>
    </row>
    <row r="289" spans="1:58" ht="24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</row>
    <row r="290" spans="1:58" ht="24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</row>
    <row r="291" spans="1:58" ht="24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C291" s="189"/>
      <c r="BD291" s="189"/>
      <c r="BE291" s="189"/>
      <c r="BF291" s="189"/>
    </row>
    <row r="292" spans="1:58" ht="24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  <c r="BA292" s="189"/>
      <c r="BB292" s="189"/>
      <c r="BC292" s="189"/>
      <c r="BD292" s="189"/>
      <c r="BE292" s="189"/>
      <c r="BF292" s="189"/>
    </row>
    <row r="293" spans="1:58" ht="24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9"/>
      <c r="BB293" s="189"/>
      <c r="BC293" s="189"/>
      <c r="BD293" s="189"/>
      <c r="BE293" s="189"/>
      <c r="BF293" s="189"/>
    </row>
    <row r="294" spans="1:58" ht="24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C294" s="189"/>
      <c r="BD294" s="189"/>
      <c r="BE294" s="189"/>
      <c r="BF294" s="189"/>
    </row>
    <row r="295" spans="1:58" ht="24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</row>
    <row r="296" spans="1:58" ht="24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</row>
    <row r="297" spans="1:58" ht="24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</row>
    <row r="298" spans="1:58" ht="24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</row>
    <row r="299" spans="1:58" ht="24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</row>
    <row r="300" spans="1:58" ht="24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</row>
    <row r="301" spans="1:58" ht="24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</row>
    <row r="302" spans="1:58" ht="24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</row>
    <row r="303" spans="1:58" ht="24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</row>
    <row r="304" spans="1:58" ht="24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</row>
    <row r="305" spans="1:58" ht="24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</row>
    <row r="306" spans="1:58" ht="24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  <c r="BA306" s="189"/>
      <c r="BB306" s="189"/>
      <c r="BC306" s="189"/>
      <c r="BD306" s="189"/>
      <c r="BE306" s="189"/>
      <c r="BF306" s="189"/>
    </row>
    <row r="307" spans="1:58" ht="24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189"/>
      <c r="AF307" s="189"/>
      <c r="AG307" s="189"/>
      <c r="AH307" s="189"/>
      <c r="AI307" s="189"/>
      <c r="AJ307" s="189"/>
      <c r="AK307" s="189"/>
      <c r="AL307" s="189"/>
      <c r="AM307" s="189"/>
      <c r="AN307" s="189"/>
      <c r="AO307" s="189"/>
      <c r="AP307" s="189"/>
      <c r="AQ307" s="189"/>
      <c r="AR307" s="189"/>
      <c r="AS307" s="189"/>
      <c r="AT307" s="189"/>
      <c r="AU307" s="189"/>
      <c r="AV307" s="189"/>
      <c r="AW307" s="189"/>
      <c r="AX307" s="189"/>
      <c r="AY307" s="189"/>
      <c r="AZ307" s="189"/>
      <c r="BA307" s="189"/>
      <c r="BB307" s="189"/>
      <c r="BC307" s="189"/>
      <c r="BD307" s="189"/>
      <c r="BE307" s="189"/>
      <c r="BF307" s="189"/>
    </row>
    <row r="308" spans="1:58" ht="24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89"/>
      <c r="BB308" s="189"/>
      <c r="BC308" s="189"/>
      <c r="BD308" s="189"/>
      <c r="BE308" s="189"/>
      <c r="BF308" s="189"/>
    </row>
    <row r="309" spans="1:58" ht="24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89"/>
      <c r="AZ309" s="189"/>
      <c r="BA309" s="189"/>
      <c r="BB309" s="189"/>
      <c r="BC309" s="189"/>
      <c r="BD309" s="189"/>
      <c r="BE309" s="189"/>
      <c r="BF309" s="189"/>
    </row>
    <row r="310" spans="1:58" ht="24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  <c r="BA310" s="189"/>
      <c r="BB310" s="189"/>
      <c r="BC310" s="189"/>
      <c r="BD310" s="189"/>
      <c r="BE310" s="189"/>
      <c r="BF310" s="189"/>
    </row>
    <row r="311" spans="1:58" ht="24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  <c r="BA311" s="189"/>
      <c r="BB311" s="189"/>
      <c r="BC311" s="189"/>
      <c r="BD311" s="189"/>
      <c r="BE311" s="189"/>
      <c r="BF311" s="189"/>
    </row>
    <row r="312" spans="1:58" ht="24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C312" s="189"/>
      <c r="BD312" s="189"/>
      <c r="BE312" s="189"/>
      <c r="BF312" s="189"/>
    </row>
    <row r="313" spans="1:58" ht="24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C313" s="189"/>
      <c r="BD313" s="189"/>
      <c r="BE313" s="189"/>
      <c r="BF313" s="189"/>
    </row>
    <row r="314" spans="1:58" ht="24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  <c r="BA314" s="189"/>
      <c r="BB314" s="189"/>
      <c r="BC314" s="189"/>
      <c r="BD314" s="189"/>
      <c r="BE314" s="189"/>
      <c r="BF314" s="189"/>
    </row>
    <row r="315" spans="1:58" ht="15.75" customHeight="1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235"/>
      <c r="AF315" s="235"/>
      <c r="AG315" s="235"/>
      <c r="AH315" s="235"/>
      <c r="AI315" s="235"/>
      <c r="AJ315" s="235"/>
      <c r="AK315" s="235"/>
      <c r="AL315" s="235"/>
      <c r="AM315" s="235"/>
      <c r="AN315" s="235"/>
      <c r="AO315" s="235"/>
      <c r="AP315" s="235"/>
      <c r="AQ315" s="235"/>
      <c r="AR315" s="235"/>
      <c r="AS315" s="235"/>
      <c r="AT315" s="235"/>
      <c r="AU315" s="235"/>
      <c r="AV315" s="235"/>
      <c r="AW315" s="235"/>
      <c r="AX315" s="235"/>
      <c r="AY315" s="235"/>
      <c r="AZ315" s="235"/>
      <c r="BA315" s="235"/>
      <c r="BB315" s="235"/>
      <c r="BC315" s="235"/>
      <c r="BD315" s="235"/>
      <c r="BE315" s="235"/>
      <c r="BF315" s="235"/>
    </row>
    <row r="316" spans="1:58" ht="15.75" customHeight="1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235"/>
      <c r="AF316" s="235"/>
      <c r="AG316" s="235"/>
      <c r="AH316" s="235"/>
      <c r="AI316" s="235"/>
      <c r="AJ316" s="235"/>
      <c r="AK316" s="235"/>
      <c r="AL316" s="235"/>
      <c r="AM316" s="235"/>
      <c r="AN316" s="235"/>
      <c r="AO316" s="235"/>
      <c r="AP316" s="235"/>
      <c r="AQ316" s="235"/>
      <c r="AR316" s="235"/>
      <c r="AS316" s="235"/>
      <c r="AT316" s="235"/>
      <c r="AU316" s="235"/>
      <c r="AV316" s="235"/>
      <c r="AW316" s="235"/>
      <c r="AX316" s="235"/>
      <c r="AY316" s="235"/>
      <c r="AZ316" s="235"/>
      <c r="BA316" s="235"/>
      <c r="BB316" s="235"/>
      <c r="BC316" s="235"/>
      <c r="BD316" s="235"/>
      <c r="BE316" s="235"/>
      <c r="BF316" s="235"/>
    </row>
    <row r="317" spans="1:58" ht="15.75" customHeight="1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235"/>
      <c r="AF317" s="235"/>
      <c r="AG317" s="235"/>
      <c r="AH317" s="235"/>
      <c r="AI317" s="235"/>
      <c r="AJ317" s="235"/>
      <c r="AK317" s="235"/>
      <c r="AL317" s="235"/>
      <c r="AM317" s="235"/>
      <c r="AN317" s="235"/>
      <c r="AO317" s="235"/>
      <c r="AP317" s="235"/>
      <c r="AQ317" s="235"/>
      <c r="AR317" s="235"/>
      <c r="AS317" s="235"/>
      <c r="AT317" s="235"/>
      <c r="AU317" s="235"/>
      <c r="AV317" s="235"/>
      <c r="AW317" s="235"/>
      <c r="AX317" s="235"/>
      <c r="AY317" s="235"/>
      <c r="AZ317" s="235"/>
      <c r="BA317" s="235"/>
      <c r="BB317" s="235"/>
      <c r="BC317" s="235"/>
      <c r="BD317" s="235"/>
      <c r="BE317" s="235"/>
      <c r="BF317" s="235"/>
    </row>
    <row r="318" spans="1:58" ht="15.75" customHeight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235"/>
      <c r="AF318" s="235"/>
      <c r="AG318" s="235"/>
      <c r="AH318" s="235"/>
      <c r="AI318" s="235"/>
      <c r="AJ318" s="235"/>
      <c r="AK318" s="235"/>
      <c r="AL318" s="235"/>
      <c r="AM318" s="235"/>
      <c r="AN318" s="235"/>
      <c r="AO318" s="235"/>
      <c r="AP318" s="235"/>
      <c r="AQ318" s="235"/>
      <c r="AR318" s="235"/>
      <c r="AS318" s="235"/>
      <c r="AT318" s="235"/>
      <c r="AU318" s="235"/>
      <c r="AV318" s="235"/>
      <c r="AW318" s="235"/>
      <c r="AX318" s="235"/>
      <c r="AY318" s="235"/>
      <c r="AZ318" s="235"/>
      <c r="BA318" s="235"/>
      <c r="BB318" s="235"/>
      <c r="BC318" s="235"/>
      <c r="BD318" s="235"/>
      <c r="BE318" s="235"/>
      <c r="BF318" s="235"/>
    </row>
    <row r="319" spans="1:58" ht="15.75" customHeight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235"/>
      <c r="AF319" s="235"/>
      <c r="AG319" s="235"/>
      <c r="AH319" s="235"/>
      <c r="AI319" s="235"/>
      <c r="AJ319" s="235"/>
      <c r="AK319" s="235"/>
      <c r="AL319" s="235"/>
      <c r="AM319" s="235"/>
      <c r="AN319" s="235"/>
      <c r="AO319" s="235"/>
      <c r="AP319" s="235"/>
      <c r="AQ319" s="235"/>
      <c r="AR319" s="235"/>
      <c r="AS319" s="235"/>
      <c r="AT319" s="235"/>
      <c r="AU319" s="235"/>
      <c r="AV319" s="235"/>
      <c r="AW319" s="235"/>
      <c r="AX319" s="235"/>
      <c r="AY319" s="235"/>
      <c r="AZ319" s="235"/>
      <c r="BA319" s="235"/>
      <c r="BB319" s="235"/>
      <c r="BC319" s="235"/>
      <c r="BD319" s="235"/>
      <c r="BE319" s="235"/>
      <c r="BF319" s="235"/>
    </row>
    <row r="320" spans="1:58" ht="15.75" customHeight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235"/>
      <c r="AF320" s="235"/>
      <c r="AG320" s="235"/>
      <c r="AH320" s="235"/>
      <c r="AI320" s="235"/>
      <c r="AJ320" s="235"/>
      <c r="AK320" s="235"/>
      <c r="AL320" s="235"/>
      <c r="AM320" s="235"/>
      <c r="AN320" s="235"/>
      <c r="AO320" s="235"/>
      <c r="AP320" s="235"/>
      <c r="AQ320" s="235"/>
      <c r="AR320" s="235"/>
      <c r="AS320" s="235"/>
      <c r="AT320" s="235"/>
      <c r="AU320" s="235"/>
      <c r="AV320" s="235"/>
      <c r="AW320" s="235"/>
      <c r="AX320" s="235"/>
      <c r="AY320" s="235"/>
      <c r="AZ320" s="235"/>
      <c r="BA320" s="235"/>
      <c r="BB320" s="235"/>
      <c r="BC320" s="235"/>
      <c r="BD320" s="235"/>
      <c r="BE320" s="235"/>
      <c r="BF320" s="235"/>
    </row>
    <row r="321" spans="1:58" ht="15.75" customHeight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235"/>
      <c r="AF321" s="235"/>
      <c r="AG321" s="235"/>
      <c r="AH321" s="235"/>
      <c r="AI321" s="235"/>
      <c r="AJ321" s="235"/>
      <c r="AK321" s="235"/>
      <c r="AL321" s="235"/>
      <c r="AM321" s="235"/>
      <c r="AN321" s="235"/>
      <c r="AO321" s="235"/>
      <c r="AP321" s="235"/>
      <c r="AQ321" s="235"/>
      <c r="AR321" s="235"/>
      <c r="AS321" s="235"/>
      <c r="AT321" s="235"/>
      <c r="AU321" s="235"/>
      <c r="AV321" s="235"/>
      <c r="AW321" s="235"/>
      <c r="AX321" s="235"/>
      <c r="AY321" s="235"/>
      <c r="AZ321" s="235"/>
      <c r="BA321" s="235"/>
      <c r="BB321" s="235"/>
      <c r="BC321" s="235"/>
      <c r="BD321" s="235"/>
      <c r="BE321" s="235"/>
      <c r="BF321" s="235"/>
    </row>
    <row r="322" spans="1:58" ht="15.75" customHeight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235"/>
      <c r="AF322" s="235"/>
      <c r="AG322" s="235"/>
      <c r="AH322" s="235"/>
      <c r="AI322" s="235"/>
      <c r="AJ322" s="235"/>
      <c r="AK322" s="235"/>
      <c r="AL322" s="235"/>
      <c r="AM322" s="235"/>
      <c r="AN322" s="235"/>
      <c r="AO322" s="235"/>
      <c r="AP322" s="235"/>
      <c r="AQ322" s="235"/>
      <c r="AR322" s="235"/>
      <c r="AS322" s="235"/>
      <c r="AT322" s="235"/>
      <c r="AU322" s="235"/>
      <c r="AV322" s="235"/>
      <c r="AW322" s="235"/>
      <c r="AX322" s="235"/>
      <c r="AY322" s="235"/>
      <c r="AZ322" s="235"/>
      <c r="BA322" s="235"/>
      <c r="BB322" s="235"/>
      <c r="BC322" s="235"/>
      <c r="BD322" s="235"/>
      <c r="BE322" s="235"/>
      <c r="BF322" s="235"/>
    </row>
    <row r="323" spans="1:58" ht="15.75" customHeight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235"/>
      <c r="AF323" s="235"/>
      <c r="AG323" s="235"/>
      <c r="AH323" s="235"/>
      <c r="AI323" s="235"/>
      <c r="AJ323" s="235"/>
      <c r="AK323" s="235"/>
      <c r="AL323" s="235"/>
      <c r="AM323" s="235"/>
      <c r="AN323" s="235"/>
      <c r="AO323" s="235"/>
      <c r="AP323" s="235"/>
      <c r="AQ323" s="235"/>
      <c r="AR323" s="235"/>
      <c r="AS323" s="235"/>
      <c r="AT323" s="235"/>
      <c r="AU323" s="235"/>
      <c r="AV323" s="235"/>
      <c r="AW323" s="235"/>
      <c r="AX323" s="235"/>
      <c r="AY323" s="235"/>
      <c r="AZ323" s="235"/>
      <c r="BA323" s="235"/>
      <c r="BB323" s="235"/>
      <c r="BC323" s="235"/>
      <c r="BD323" s="235"/>
      <c r="BE323" s="235"/>
      <c r="BF323" s="235"/>
    </row>
    <row r="324" spans="1:58" ht="15.75" customHeight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235"/>
      <c r="AF324" s="235"/>
      <c r="AG324" s="235"/>
      <c r="AH324" s="235"/>
      <c r="AI324" s="235"/>
      <c r="AJ324" s="235"/>
      <c r="AK324" s="235"/>
      <c r="AL324" s="235"/>
      <c r="AM324" s="235"/>
      <c r="AN324" s="235"/>
      <c r="AO324" s="235"/>
      <c r="AP324" s="235"/>
      <c r="AQ324" s="235"/>
      <c r="AR324" s="235"/>
      <c r="AS324" s="235"/>
      <c r="AT324" s="235"/>
      <c r="AU324" s="235"/>
      <c r="AV324" s="235"/>
      <c r="AW324" s="235"/>
      <c r="AX324" s="235"/>
      <c r="AY324" s="235"/>
      <c r="AZ324" s="235"/>
      <c r="BA324" s="235"/>
      <c r="BB324" s="235"/>
      <c r="BC324" s="235"/>
      <c r="BD324" s="235"/>
      <c r="BE324" s="235"/>
      <c r="BF324" s="235"/>
    </row>
    <row r="325" spans="1:58" ht="15.75" customHeight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235"/>
      <c r="AF325" s="235"/>
      <c r="AG325" s="235"/>
      <c r="AH325" s="235"/>
      <c r="AI325" s="235"/>
      <c r="AJ325" s="235"/>
      <c r="AK325" s="235"/>
      <c r="AL325" s="235"/>
      <c r="AM325" s="235"/>
      <c r="AN325" s="235"/>
      <c r="AO325" s="235"/>
      <c r="AP325" s="235"/>
      <c r="AQ325" s="235"/>
      <c r="AR325" s="235"/>
      <c r="AS325" s="235"/>
      <c r="AT325" s="235"/>
      <c r="AU325" s="235"/>
      <c r="AV325" s="235"/>
      <c r="AW325" s="235"/>
      <c r="AX325" s="235"/>
      <c r="AY325" s="235"/>
      <c r="AZ325" s="235"/>
      <c r="BA325" s="235"/>
      <c r="BB325" s="235"/>
      <c r="BC325" s="235"/>
      <c r="BD325" s="235"/>
      <c r="BE325" s="235"/>
      <c r="BF325" s="235"/>
    </row>
    <row r="326" spans="1:58" ht="15.75" customHeight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235"/>
      <c r="AF326" s="235"/>
      <c r="AG326" s="235"/>
      <c r="AH326" s="235"/>
      <c r="AI326" s="235"/>
      <c r="AJ326" s="235"/>
      <c r="AK326" s="235"/>
      <c r="AL326" s="235"/>
      <c r="AM326" s="235"/>
      <c r="AN326" s="235"/>
      <c r="AO326" s="235"/>
      <c r="AP326" s="235"/>
      <c r="AQ326" s="235"/>
      <c r="AR326" s="235"/>
      <c r="AS326" s="235"/>
      <c r="AT326" s="235"/>
      <c r="AU326" s="235"/>
      <c r="AV326" s="235"/>
      <c r="AW326" s="235"/>
      <c r="AX326" s="235"/>
      <c r="AY326" s="235"/>
      <c r="AZ326" s="235"/>
      <c r="BA326" s="235"/>
      <c r="BB326" s="235"/>
      <c r="BC326" s="235"/>
      <c r="BD326" s="235"/>
      <c r="BE326" s="235"/>
      <c r="BF326" s="235"/>
    </row>
    <row r="327" spans="1:58" ht="15.75" customHeight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235"/>
      <c r="AF327" s="235"/>
      <c r="AG327" s="235"/>
      <c r="AH327" s="235"/>
      <c r="AI327" s="235"/>
      <c r="AJ327" s="235"/>
      <c r="AK327" s="235"/>
      <c r="AL327" s="235"/>
      <c r="AM327" s="235"/>
      <c r="AN327" s="235"/>
      <c r="AO327" s="235"/>
      <c r="AP327" s="235"/>
      <c r="AQ327" s="235"/>
      <c r="AR327" s="235"/>
      <c r="AS327" s="235"/>
      <c r="AT327" s="235"/>
      <c r="AU327" s="235"/>
      <c r="AV327" s="235"/>
      <c r="AW327" s="235"/>
      <c r="AX327" s="235"/>
      <c r="AY327" s="235"/>
      <c r="AZ327" s="235"/>
      <c r="BA327" s="235"/>
      <c r="BB327" s="235"/>
      <c r="BC327" s="235"/>
      <c r="BD327" s="235"/>
      <c r="BE327" s="235"/>
      <c r="BF327" s="235"/>
    </row>
    <row r="328" spans="1:58" ht="15.75" customHeight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235"/>
      <c r="AF328" s="235"/>
      <c r="AG328" s="235"/>
      <c r="AH328" s="235"/>
      <c r="AI328" s="235"/>
      <c r="AJ328" s="235"/>
      <c r="AK328" s="235"/>
      <c r="AL328" s="235"/>
      <c r="AM328" s="235"/>
      <c r="AN328" s="235"/>
      <c r="AO328" s="235"/>
      <c r="AP328" s="235"/>
      <c r="AQ328" s="235"/>
      <c r="AR328" s="235"/>
      <c r="AS328" s="235"/>
      <c r="AT328" s="235"/>
      <c r="AU328" s="235"/>
      <c r="AV328" s="235"/>
      <c r="AW328" s="235"/>
      <c r="AX328" s="235"/>
      <c r="AY328" s="235"/>
      <c r="AZ328" s="235"/>
      <c r="BA328" s="235"/>
      <c r="BB328" s="235"/>
      <c r="BC328" s="235"/>
      <c r="BD328" s="235"/>
      <c r="BE328" s="235"/>
      <c r="BF328" s="235"/>
    </row>
    <row r="329" spans="1:58" ht="15.75" customHeight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235"/>
      <c r="AF329" s="235"/>
      <c r="AG329" s="235"/>
      <c r="AH329" s="235"/>
      <c r="AI329" s="235"/>
      <c r="AJ329" s="235"/>
      <c r="AK329" s="235"/>
      <c r="AL329" s="235"/>
      <c r="AM329" s="235"/>
      <c r="AN329" s="235"/>
      <c r="AO329" s="235"/>
      <c r="AP329" s="235"/>
      <c r="AQ329" s="235"/>
      <c r="AR329" s="235"/>
      <c r="AS329" s="235"/>
      <c r="AT329" s="235"/>
      <c r="AU329" s="235"/>
      <c r="AV329" s="235"/>
      <c r="AW329" s="235"/>
      <c r="AX329" s="235"/>
      <c r="AY329" s="235"/>
      <c r="AZ329" s="235"/>
      <c r="BA329" s="235"/>
      <c r="BB329" s="235"/>
      <c r="BC329" s="235"/>
      <c r="BD329" s="235"/>
      <c r="BE329" s="235"/>
      <c r="BF329" s="235"/>
    </row>
    <row r="330" spans="1:58" ht="15.75" customHeight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235"/>
      <c r="AF330" s="235"/>
      <c r="AG330" s="235"/>
      <c r="AH330" s="235"/>
      <c r="AI330" s="235"/>
      <c r="AJ330" s="235"/>
      <c r="AK330" s="235"/>
      <c r="AL330" s="235"/>
      <c r="AM330" s="235"/>
      <c r="AN330" s="235"/>
      <c r="AO330" s="235"/>
      <c r="AP330" s="235"/>
      <c r="AQ330" s="235"/>
      <c r="AR330" s="235"/>
      <c r="AS330" s="235"/>
      <c r="AT330" s="235"/>
      <c r="AU330" s="235"/>
      <c r="AV330" s="235"/>
      <c r="AW330" s="235"/>
      <c r="AX330" s="235"/>
      <c r="AY330" s="235"/>
      <c r="AZ330" s="235"/>
      <c r="BA330" s="235"/>
      <c r="BB330" s="235"/>
      <c r="BC330" s="235"/>
      <c r="BD330" s="235"/>
      <c r="BE330" s="235"/>
      <c r="BF330" s="235"/>
    </row>
    <row r="331" spans="1:58" ht="15.75" customHeight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235"/>
      <c r="AF331" s="235"/>
      <c r="AG331" s="235"/>
      <c r="AH331" s="235"/>
      <c r="AI331" s="235"/>
      <c r="AJ331" s="235"/>
      <c r="AK331" s="235"/>
      <c r="AL331" s="235"/>
      <c r="AM331" s="235"/>
      <c r="AN331" s="235"/>
      <c r="AO331" s="235"/>
      <c r="AP331" s="235"/>
      <c r="AQ331" s="235"/>
      <c r="AR331" s="235"/>
      <c r="AS331" s="235"/>
      <c r="AT331" s="235"/>
      <c r="AU331" s="235"/>
      <c r="AV331" s="235"/>
      <c r="AW331" s="235"/>
      <c r="AX331" s="235"/>
      <c r="AY331" s="235"/>
      <c r="AZ331" s="235"/>
      <c r="BA331" s="235"/>
      <c r="BB331" s="235"/>
      <c r="BC331" s="235"/>
      <c r="BD331" s="235"/>
      <c r="BE331" s="235"/>
      <c r="BF331" s="235"/>
    </row>
    <row r="332" spans="1:58" ht="15.75" customHeight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235"/>
      <c r="AF332" s="235"/>
      <c r="AG332" s="235"/>
      <c r="AH332" s="235"/>
      <c r="AI332" s="235"/>
      <c r="AJ332" s="235"/>
      <c r="AK332" s="235"/>
      <c r="AL332" s="235"/>
      <c r="AM332" s="235"/>
      <c r="AN332" s="235"/>
      <c r="AO332" s="235"/>
      <c r="AP332" s="235"/>
      <c r="AQ332" s="235"/>
      <c r="AR332" s="235"/>
      <c r="AS332" s="235"/>
      <c r="AT332" s="235"/>
      <c r="AU332" s="235"/>
      <c r="AV332" s="235"/>
      <c r="AW332" s="235"/>
      <c r="AX332" s="235"/>
      <c r="AY332" s="235"/>
      <c r="AZ332" s="235"/>
      <c r="BA332" s="235"/>
      <c r="BB332" s="235"/>
      <c r="BC332" s="235"/>
      <c r="BD332" s="235"/>
      <c r="BE332" s="235"/>
      <c r="BF332" s="235"/>
    </row>
    <row r="333" spans="1:58" ht="15.75" customHeight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235"/>
      <c r="AF333" s="235"/>
      <c r="AG333" s="235"/>
      <c r="AH333" s="235"/>
      <c r="AI333" s="235"/>
      <c r="AJ333" s="235"/>
      <c r="AK333" s="235"/>
      <c r="AL333" s="235"/>
      <c r="AM333" s="235"/>
      <c r="AN333" s="235"/>
      <c r="AO333" s="235"/>
      <c r="AP333" s="235"/>
      <c r="AQ333" s="235"/>
      <c r="AR333" s="235"/>
      <c r="AS333" s="235"/>
      <c r="AT333" s="235"/>
      <c r="AU333" s="235"/>
      <c r="AV333" s="235"/>
      <c r="AW333" s="235"/>
      <c r="AX333" s="235"/>
      <c r="AY333" s="235"/>
      <c r="AZ333" s="235"/>
      <c r="BA333" s="235"/>
      <c r="BB333" s="235"/>
      <c r="BC333" s="235"/>
      <c r="BD333" s="235"/>
      <c r="BE333" s="235"/>
      <c r="BF333" s="235"/>
    </row>
    <row r="334" spans="1:58" ht="15.75" customHeight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235"/>
      <c r="AF334" s="235"/>
      <c r="AG334" s="235"/>
      <c r="AH334" s="235"/>
      <c r="AI334" s="235"/>
      <c r="AJ334" s="235"/>
      <c r="AK334" s="235"/>
      <c r="AL334" s="235"/>
      <c r="AM334" s="235"/>
      <c r="AN334" s="235"/>
      <c r="AO334" s="235"/>
      <c r="AP334" s="235"/>
      <c r="AQ334" s="235"/>
      <c r="AR334" s="235"/>
      <c r="AS334" s="235"/>
      <c r="AT334" s="235"/>
      <c r="AU334" s="235"/>
      <c r="AV334" s="235"/>
      <c r="AW334" s="235"/>
      <c r="AX334" s="235"/>
      <c r="AY334" s="235"/>
      <c r="AZ334" s="235"/>
      <c r="BA334" s="235"/>
      <c r="BB334" s="235"/>
      <c r="BC334" s="235"/>
      <c r="BD334" s="235"/>
      <c r="BE334" s="235"/>
      <c r="BF334" s="235"/>
    </row>
    <row r="335" spans="1:58" ht="15.75" customHeight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235"/>
      <c r="AF335" s="235"/>
      <c r="AG335" s="235"/>
      <c r="AH335" s="235"/>
      <c r="AI335" s="235"/>
      <c r="AJ335" s="235"/>
      <c r="AK335" s="235"/>
      <c r="AL335" s="235"/>
      <c r="AM335" s="235"/>
      <c r="AN335" s="235"/>
      <c r="AO335" s="235"/>
      <c r="AP335" s="235"/>
      <c r="AQ335" s="235"/>
      <c r="AR335" s="235"/>
      <c r="AS335" s="235"/>
      <c r="AT335" s="235"/>
      <c r="AU335" s="235"/>
      <c r="AV335" s="235"/>
      <c r="AW335" s="235"/>
      <c r="AX335" s="235"/>
      <c r="AY335" s="235"/>
      <c r="AZ335" s="235"/>
      <c r="BA335" s="235"/>
      <c r="BB335" s="235"/>
      <c r="BC335" s="235"/>
      <c r="BD335" s="235"/>
      <c r="BE335" s="235"/>
      <c r="BF335" s="235"/>
    </row>
    <row r="336" spans="1:58" ht="15.75" customHeight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235"/>
      <c r="AF336" s="235"/>
      <c r="AG336" s="235"/>
      <c r="AH336" s="235"/>
      <c r="AI336" s="235"/>
      <c r="AJ336" s="235"/>
      <c r="AK336" s="235"/>
      <c r="AL336" s="235"/>
      <c r="AM336" s="235"/>
      <c r="AN336" s="235"/>
      <c r="AO336" s="235"/>
      <c r="AP336" s="235"/>
      <c r="AQ336" s="235"/>
      <c r="AR336" s="235"/>
      <c r="AS336" s="235"/>
      <c r="AT336" s="235"/>
      <c r="AU336" s="235"/>
      <c r="AV336" s="235"/>
      <c r="AW336" s="235"/>
      <c r="AX336" s="235"/>
      <c r="AY336" s="235"/>
      <c r="AZ336" s="235"/>
      <c r="BA336" s="235"/>
      <c r="BB336" s="235"/>
      <c r="BC336" s="235"/>
      <c r="BD336" s="235"/>
      <c r="BE336" s="235"/>
      <c r="BF336" s="235"/>
    </row>
    <row r="337" spans="1:58" ht="15.75" customHeight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235"/>
      <c r="AF337" s="235"/>
      <c r="AG337" s="235"/>
      <c r="AH337" s="235"/>
      <c r="AI337" s="235"/>
      <c r="AJ337" s="235"/>
      <c r="AK337" s="235"/>
      <c r="AL337" s="235"/>
      <c r="AM337" s="235"/>
      <c r="AN337" s="235"/>
      <c r="AO337" s="235"/>
      <c r="AP337" s="235"/>
      <c r="AQ337" s="235"/>
      <c r="AR337" s="235"/>
      <c r="AS337" s="235"/>
      <c r="AT337" s="235"/>
      <c r="AU337" s="235"/>
      <c r="AV337" s="235"/>
      <c r="AW337" s="235"/>
      <c r="AX337" s="235"/>
      <c r="AY337" s="235"/>
      <c r="AZ337" s="235"/>
      <c r="BA337" s="235"/>
      <c r="BB337" s="235"/>
      <c r="BC337" s="235"/>
      <c r="BD337" s="235"/>
      <c r="BE337" s="235"/>
      <c r="BF337" s="235"/>
    </row>
    <row r="338" spans="1:58" ht="15.75" customHeight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235"/>
      <c r="AF338" s="235"/>
      <c r="AG338" s="235"/>
      <c r="AH338" s="235"/>
      <c r="AI338" s="235"/>
      <c r="AJ338" s="235"/>
      <c r="AK338" s="235"/>
      <c r="AL338" s="235"/>
      <c r="AM338" s="235"/>
      <c r="AN338" s="235"/>
      <c r="AO338" s="235"/>
      <c r="AP338" s="235"/>
      <c r="AQ338" s="235"/>
      <c r="AR338" s="235"/>
      <c r="AS338" s="235"/>
      <c r="AT338" s="235"/>
      <c r="AU338" s="235"/>
      <c r="AV338" s="235"/>
      <c r="AW338" s="235"/>
      <c r="AX338" s="235"/>
      <c r="AY338" s="235"/>
      <c r="AZ338" s="235"/>
      <c r="BA338" s="235"/>
      <c r="BB338" s="235"/>
      <c r="BC338" s="235"/>
      <c r="BD338" s="235"/>
      <c r="BE338" s="235"/>
      <c r="BF338" s="235"/>
    </row>
    <row r="339" spans="1:58" ht="15.75" customHeight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235"/>
      <c r="AF339" s="235"/>
      <c r="AG339" s="235"/>
      <c r="AH339" s="235"/>
      <c r="AI339" s="235"/>
      <c r="AJ339" s="235"/>
      <c r="AK339" s="235"/>
      <c r="AL339" s="235"/>
      <c r="AM339" s="235"/>
      <c r="AN339" s="235"/>
      <c r="AO339" s="235"/>
      <c r="AP339" s="235"/>
      <c r="AQ339" s="235"/>
      <c r="AR339" s="235"/>
      <c r="AS339" s="235"/>
      <c r="AT339" s="235"/>
      <c r="AU339" s="235"/>
      <c r="AV339" s="235"/>
      <c r="AW339" s="235"/>
      <c r="AX339" s="235"/>
      <c r="AY339" s="235"/>
      <c r="AZ339" s="235"/>
      <c r="BA339" s="235"/>
      <c r="BB339" s="235"/>
      <c r="BC339" s="235"/>
      <c r="BD339" s="235"/>
      <c r="BE339" s="235"/>
      <c r="BF339" s="235"/>
    </row>
    <row r="340" spans="1:58" ht="15.75" customHeight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235"/>
      <c r="AF340" s="235"/>
      <c r="AG340" s="235"/>
      <c r="AH340" s="235"/>
      <c r="AI340" s="235"/>
      <c r="AJ340" s="235"/>
      <c r="AK340" s="235"/>
      <c r="AL340" s="235"/>
      <c r="AM340" s="235"/>
      <c r="AN340" s="235"/>
      <c r="AO340" s="235"/>
      <c r="AP340" s="235"/>
      <c r="AQ340" s="235"/>
      <c r="AR340" s="235"/>
      <c r="AS340" s="235"/>
      <c r="AT340" s="235"/>
      <c r="AU340" s="235"/>
      <c r="AV340" s="235"/>
      <c r="AW340" s="235"/>
      <c r="AX340" s="235"/>
      <c r="AY340" s="235"/>
      <c r="AZ340" s="235"/>
      <c r="BA340" s="235"/>
      <c r="BB340" s="235"/>
      <c r="BC340" s="235"/>
      <c r="BD340" s="235"/>
      <c r="BE340" s="235"/>
      <c r="BF340" s="235"/>
    </row>
    <row r="341" spans="1:58" ht="15.75" customHeight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235"/>
      <c r="AF341" s="235"/>
      <c r="AG341" s="235"/>
      <c r="AH341" s="235"/>
      <c r="AI341" s="235"/>
      <c r="AJ341" s="235"/>
      <c r="AK341" s="235"/>
      <c r="AL341" s="235"/>
      <c r="AM341" s="235"/>
      <c r="AN341" s="235"/>
      <c r="AO341" s="235"/>
      <c r="AP341" s="235"/>
      <c r="AQ341" s="235"/>
      <c r="AR341" s="235"/>
      <c r="AS341" s="235"/>
      <c r="AT341" s="235"/>
      <c r="AU341" s="235"/>
      <c r="AV341" s="235"/>
      <c r="AW341" s="235"/>
      <c r="AX341" s="235"/>
      <c r="AY341" s="235"/>
      <c r="AZ341" s="235"/>
      <c r="BA341" s="235"/>
      <c r="BB341" s="235"/>
      <c r="BC341" s="235"/>
      <c r="BD341" s="235"/>
      <c r="BE341" s="235"/>
      <c r="BF341" s="235"/>
    </row>
    <row r="342" spans="1:58" ht="15.75" customHeight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235"/>
      <c r="AF342" s="235"/>
      <c r="AG342" s="235"/>
      <c r="AH342" s="235"/>
      <c r="AI342" s="235"/>
      <c r="AJ342" s="235"/>
      <c r="AK342" s="235"/>
      <c r="AL342" s="235"/>
      <c r="AM342" s="235"/>
      <c r="AN342" s="235"/>
      <c r="AO342" s="235"/>
      <c r="AP342" s="235"/>
      <c r="AQ342" s="235"/>
      <c r="AR342" s="235"/>
      <c r="AS342" s="235"/>
      <c r="AT342" s="235"/>
      <c r="AU342" s="235"/>
      <c r="AV342" s="235"/>
      <c r="AW342" s="235"/>
      <c r="AX342" s="235"/>
      <c r="AY342" s="235"/>
      <c r="AZ342" s="235"/>
      <c r="BA342" s="235"/>
      <c r="BB342" s="235"/>
      <c r="BC342" s="235"/>
      <c r="BD342" s="235"/>
      <c r="BE342" s="235"/>
      <c r="BF342" s="235"/>
    </row>
    <row r="343" spans="1:58" ht="15.75" customHeight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235"/>
      <c r="AF343" s="235"/>
      <c r="AG343" s="235"/>
      <c r="AH343" s="235"/>
      <c r="AI343" s="235"/>
      <c r="AJ343" s="235"/>
      <c r="AK343" s="235"/>
      <c r="AL343" s="235"/>
      <c r="AM343" s="235"/>
      <c r="AN343" s="235"/>
      <c r="AO343" s="235"/>
      <c r="AP343" s="235"/>
      <c r="AQ343" s="235"/>
      <c r="AR343" s="235"/>
      <c r="AS343" s="235"/>
      <c r="AT343" s="235"/>
      <c r="AU343" s="235"/>
      <c r="AV343" s="235"/>
      <c r="AW343" s="235"/>
      <c r="AX343" s="235"/>
      <c r="AY343" s="235"/>
      <c r="AZ343" s="235"/>
      <c r="BA343" s="235"/>
      <c r="BB343" s="235"/>
      <c r="BC343" s="235"/>
      <c r="BD343" s="235"/>
      <c r="BE343" s="235"/>
      <c r="BF343" s="235"/>
    </row>
    <row r="344" spans="1:58" ht="15.75" customHeight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235"/>
      <c r="AF344" s="235"/>
      <c r="AG344" s="235"/>
      <c r="AH344" s="235"/>
      <c r="AI344" s="235"/>
      <c r="AJ344" s="235"/>
      <c r="AK344" s="235"/>
      <c r="AL344" s="235"/>
      <c r="AM344" s="235"/>
      <c r="AN344" s="235"/>
      <c r="AO344" s="235"/>
      <c r="AP344" s="235"/>
      <c r="AQ344" s="235"/>
      <c r="AR344" s="235"/>
      <c r="AS344" s="235"/>
      <c r="AT344" s="235"/>
      <c r="AU344" s="235"/>
      <c r="AV344" s="235"/>
      <c r="AW344" s="235"/>
      <c r="AX344" s="235"/>
      <c r="AY344" s="235"/>
      <c r="AZ344" s="235"/>
      <c r="BA344" s="235"/>
      <c r="BB344" s="235"/>
      <c r="BC344" s="235"/>
      <c r="BD344" s="235"/>
      <c r="BE344" s="235"/>
      <c r="BF344" s="235"/>
    </row>
    <row r="345" spans="1:58" ht="15.75" customHeight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235"/>
      <c r="AF345" s="235"/>
      <c r="AG345" s="235"/>
      <c r="AH345" s="235"/>
      <c r="AI345" s="235"/>
      <c r="AJ345" s="235"/>
      <c r="AK345" s="235"/>
      <c r="AL345" s="235"/>
      <c r="AM345" s="235"/>
      <c r="AN345" s="235"/>
      <c r="AO345" s="235"/>
      <c r="AP345" s="235"/>
      <c r="AQ345" s="235"/>
      <c r="AR345" s="235"/>
      <c r="AS345" s="235"/>
      <c r="AT345" s="235"/>
      <c r="AU345" s="235"/>
      <c r="AV345" s="235"/>
      <c r="AW345" s="235"/>
      <c r="AX345" s="235"/>
      <c r="AY345" s="235"/>
      <c r="AZ345" s="235"/>
      <c r="BA345" s="235"/>
      <c r="BB345" s="235"/>
      <c r="BC345" s="235"/>
      <c r="BD345" s="235"/>
      <c r="BE345" s="235"/>
      <c r="BF345" s="235"/>
    </row>
    <row r="346" spans="1:58" ht="15.75" customHeight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235"/>
      <c r="AF346" s="235"/>
      <c r="AG346" s="235"/>
      <c r="AH346" s="235"/>
      <c r="AI346" s="235"/>
      <c r="AJ346" s="235"/>
      <c r="AK346" s="235"/>
      <c r="AL346" s="235"/>
      <c r="AM346" s="235"/>
      <c r="AN346" s="235"/>
      <c r="AO346" s="235"/>
      <c r="AP346" s="235"/>
      <c r="AQ346" s="235"/>
      <c r="AR346" s="235"/>
      <c r="AS346" s="235"/>
      <c r="AT346" s="235"/>
      <c r="AU346" s="235"/>
      <c r="AV346" s="235"/>
      <c r="AW346" s="235"/>
      <c r="AX346" s="235"/>
      <c r="AY346" s="235"/>
      <c r="AZ346" s="235"/>
      <c r="BA346" s="235"/>
      <c r="BB346" s="235"/>
      <c r="BC346" s="235"/>
      <c r="BD346" s="235"/>
      <c r="BE346" s="235"/>
      <c r="BF346" s="235"/>
    </row>
    <row r="347" spans="1:58" ht="15.75" customHeight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235"/>
      <c r="AF347" s="235"/>
      <c r="AG347" s="235"/>
      <c r="AH347" s="235"/>
      <c r="AI347" s="235"/>
      <c r="AJ347" s="235"/>
      <c r="AK347" s="235"/>
      <c r="AL347" s="235"/>
      <c r="AM347" s="235"/>
      <c r="AN347" s="235"/>
      <c r="AO347" s="235"/>
      <c r="AP347" s="235"/>
      <c r="AQ347" s="235"/>
      <c r="AR347" s="235"/>
      <c r="AS347" s="235"/>
      <c r="AT347" s="235"/>
      <c r="AU347" s="235"/>
      <c r="AV347" s="235"/>
      <c r="AW347" s="235"/>
      <c r="AX347" s="235"/>
      <c r="AY347" s="235"/>
      <c r="AZ347" s="235"/>
      <c r="BA347" s="235"/>
      <c r="BB347" s="235"/>
      <c r="BC347" s="235"/>
      <c r="BD347" s="235"/>
      <c r="BE347" s="235"/>
      <c r="BF347" s="235"/>
    </row>
    <row r="348" spans="1:58" ht="15.75" customHeight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235"/>
      <c r="AF348" s="235"/>
      <c r="AG348" s="235"/>
      <c r="AH348" s="235"/>
      <c r="AI348" s="235"/>
      <c r="AJ348" s="235"/>
      <c r="AK348" s="235"/>
      <c r="AL348" s="235"/>
      <c r="AM348" s="235"/>
      <c r="AN348" s="235"/>
      <c r="AO348" s="235"/>
      <c r="AP348" s="235"/>
      <c r="AQ348" s="235"/>
      <c r="AR348" s="235"/>
      <c r="AS348" s="235"/>
      <c r="AT348" s="235"/>
      <c r="AU348" s="235"/>
      <c r="AV348" s="235"/>
      <c r="AW348" s="235"/>
      <c r="AX348" s="235"/>
      <c r="AY348" s="235"/>
      <c r="AZ348" s="235"/>
      <c r="BA348" s="235"/>
      <c r="BB348" s="235"/>
      <c r="BC348" s="235"/>
      <c r="BD348" s="235"/>
      <c r="BE348" s="235"/>
      <c r="BF348" s="235"/>
    </row>
    <row r="349" spans="1:58" ht="15.75" customHeight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235"/>
      <c r="AF349" s="235"/>
      <c r="AG349" s="235"/>
      <c r="AH349" s="235"/>
      <c r="AI349" s="235"/>
      <c r="AJ349" s="235"/>
      <c r="AK349" s="235"/>
      <c r="AL349" s="235"/>
      <c r="AM349" s="235"/>
      <c r="AN349" s="235"/>
      <c r="AO349" s="235"/>
      <c r="AP349" s="235"/>
      <c r="AQ349" s="235"/>
      <c r="AR349" s="235"/>
      <c r="AS349" s="235"/>
      <c r="AT349" s="235"/>
      <c r="AU349" s="235"/>
      <c r="AV349" s="235"/>
      <c r="AW349" s="235"/>
      <c r="AX349" s="235"/>
      <c r="AY349" s="235"/>
      <c r="AZ349" s="235"/>
      <c r="BA349" s="235"/>
      <c r="BB349" s="235"/>
      <c r="BC349" s="235"/>
      <c r="BD349" s="235"/>
      <c r="BE349" s="235"/>
      <c r="BF349" s="235"/>
    </row>
    <row r="350" spans="1:58" ht="15.75" customHeight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235"/>
      <c r="AF350" s="235"/>
      <c r="AG350" s="235"/>
      <c r="AH350" s="235"/>
      <c r="AI350" s="235"/>
      <c r="AJ350" s="235"/>
      <c r="AK350" s="235"/>
      <c r="AL350" s="235"/>
      <c r="AM350" s="235"/>
      <c r="AN350" s="235"/>
      <c r="AO350" s="235"/>
      <c r="AP350" s="235"/>
      <c r="AQ350" s="235"/>
      <c r="AR350" s="235"/>
      <c r="AS350" s="235"/>
      <c r="AT350" s="235"/>
      <c r="AU350" s="235"/>
      <c r="AV350" s="235"/>
      <c r="AW350" s="235"/>
      <c r="AX350" s="235"/>
      <c r="AY350" s="235"/>
      <c r="AZ350" s="235"/>
      <c r="BA350" s="235"/>
      <c r="BB350" s="235"/>
      <c r="BC350" s="235"/>
      <c r="BD350" s="235"/>
      <c r="BE350" s="235"/>
      <c r="BF350" s="235"/>
    </row>
    <row r="351" spans="1:58" ht="15.75" customHeight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235"/>
      <c r="AF351" s="235"/>
      <c r="AG351" s="235"/>
      <c r="AH351" s="235"/>
      <c r="AI351" s="235"/>
      <c r="AJ351" s="235"/>
      <c r="AK351" s="235"/>
      <c r="AL351" s="235"/>
      <c r="AM351" s="235"/>
      <c r="AN351" s="235"/>
      <c r="AO351" s="235"/>
      <c r="AP351" s="235"/>
      <c r="AQ351" s="235"/>
      <c r="AR351" s="235"/>
      <c r="AS351" s="235"/>
      <c r="AT351" s="235"/>
      <c r="AU351" s="235"/>
      <c r="AV351" s="235"/>
      <c r="AW351" s="235"/>
      <c r="AX351" s="235"/>
      <c r="AY351" s="235"/>
      <c r="AZ351" s="235"/>
      <c r="BA351" s="235"/>
      <c r="BB351" s="235"/>
      <c r="BC351" s="235"/>
      <c r="BD351" s="235"/>
      <c r="BE351" s="235"/>
      <c r="BF351" s="235"/>
    </row>
    <row r="352" spans="1:58" ht="15.75" customHeight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  <c r="AD352" s="114"/>
      <c r="AE352" s="235"/>
      <c r="AF352" s="235"/>
      <c r="AG352" s="235"/>
      <c r="AH352" s="235"/>
      <c r="AI352" s="235"/>
      <c r="AJ352" s="235"/>
      <c r="AK352" s="235"/>
      <c r="AL352" s="235"/>
      <c r="AM352" s="235"/>
      <c r="AN352" s="235"/>
      <c r="AO352" s="235"/>
      <c r="AP352" s="235"/>
      <c r="AQ352" s="235"/>
      <c r="AR352" s="235"/>
      <c r="AS352" s="235"/>
      <c r="AT352" s="235"/>
      <c r="AU352" s="235"/>
      <c r="AV352" s="235"/>
      <c r="AW352" s="235"/>
      <c r="AX352" s="235"/>
      <c r="AY352" s="235"/>
      <c r="AZ352" s="235"/>
      <c r="BA352" s="235"/>
      <c r="BB352" s="235"/>
      <c r="BC352" s="235"/>
      <c r="BD352" s="235"/>
      <c r="BE352" s="235"/>
      <c r="BF352" s="235"/>
    </row>
    <row r="353" spans="1:58" ht="15.75" customHeight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235"/>
      <c r="AF353" s="235"/>
      <c r="AG353" s="235"/>
      <c r="AH353" s="235"/>
      <c r="AI353" s="235"/>
      <c r="AJ353" s="235"/>
      <c r="AK353" s="235"/>
      <c r="AL353" s="235"/>
      <c r="AM353" s="235"/>
      <c r="AN353" s="235"/>
      <c r="AO353" s="235"/>
      <c r="AP353" s="235"/>
      <c r="AQ353" s="235"/>
      <c r="AR353" s="235"/>
      <c r="AS353" s="235"/>
      <c r="AT353" s="235"/>
      <c r="AU353" s="235"/>
      <c r="AV353" s="235"/>
      <c r="AW353" s="235"/>
      <c r="AX353" s="235"/>
      <c r="AY353" s="235"/>
      <c r="AZ353" s="235"/>
      <c r="BA353" s="235"/>
      <c r="BB353" s="235"/>
      <c r="BC353" s="235"/>
      <c r="BD353" s="235"/>
      <c r="BE353" s="235"/>
      <c r="BF353" s="235"/>
    </row>
    <row r="354" spans="1:58" ht="15.75" customHeight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235"/>
      <c r="AF354" s="235"/>
      <c r="AG354" s="235"/>
      <c r="AH354" s="235"/>
      <c r="AI354" s="235"/>
      <c r="AJ354" s="235"/>
      <c r="AK354" s="235"/>
      <c r="AL354" s="235"/>
      <c r="AM354" s="235"/>
      <c r="AN354" s="235"/>
      <c r="AO354" s="235"/>
      <c r="AP354" s="235"/>
      <c r="AQ354" s="235"/>
      <c r="AR354" s="235"/>
      <c r="AS354" s="235"/>
      <c r="AT354" s="235"/>
      <c r="AU354" s="235"/>
      <c r="AV354" s="235"/>
      <c r="AW354" s="235"/>
      <c r="AX354" s="235"/>
      <c r="AY354" s="235"/>
      <c r="AZ354" s="235"/>
      <c r="BA354" s="235"/>
      <c r="BB354" s="235"/>
      <c r="BC354" s="235"/>
      <c r="BD354" s="235"/>
      <c r="BE354" s="235"/>
      <c r="BF354" s="235"/>
    </row>
    <row r="355" spans="1:58" ht="15.75" customHeight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235"/>
      <c r="AF355" s="235"/>
      <c r="AG355" s="235"/>
      <c r="AH355" s="235"/>
      <c r="AI355" s="235"/>
      <c r="AJ355" s="235"/>
      <c r="AK355" s="235"/>
      <c r="AL355" s="235"/>
      <c r="AM355" s="235"/>
      <c r="AN355" s="235"/>
      <c r="AO355" s="235"/>
      <c r="AP355" s="235"/>
      <c r="AQ355" s="235"/>
      <c r="AR355" s="235"/>
      <c r="AS355" s="235"/>
      <c r="AT355" s="235"/>
      <c r="AU355" s="235"/>
      <c r="AV355" s="235"/>
      <c r="AW355" s="235"/>
      <c r="AX355" s="235"/>
      <c r="AY355" s="235"/>
      <c r="AZ355" s="235"/>
      <c r="BA355" s="235"/>
      <c r="BB355" s="235"/>
      <c r="BC355" s="235"/>
      <c r="BD355" s="235"/>
      <c r="BE355" s="235"/>
      <c r="BF355" s="235"/>
    </row>
    <row r="356" spans="1:58" ht="15.75" customHeight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235"/>
      <c r="AF356" s="235"/>
      <c r="AG356" s="235"/>
      <c r="AH356" s="235"/>
      <c r="AI356" s="235"/>
      <c r="AJ356" s="235"/>
      <c r="AK356" s="235"/>
      <c r="AL356" s="235"/>
      <c r="AM356" s="235"/>
      <c r="AN356" s="235"/>
      <c r="AO356" s="235"/>
      <c r="AP356" s="235"/>
      <c r="AQ356" s="235"/>
      <c r="AR356" s="235"/>
      <c r="AS356" s="235"/>
      <c r="AT356" s="235"/>
      <c r="AU356" s="235"/>
      <c r="AV356" s="235"/>
      <c r="AW356" s="235"/>
      <c r="AX356" s="235"/>
      <c r="AY356" s="235"/>
      <c r="AZ356" s="235"/>
      <c r="BA356" s="235"/>
      <c r="BB356" s="235"/>
      <c r="BC356" s="235"/>
      <c r="BD356" s="235"/>
      <c r="BE356" s="235"/>
      <c r="BF356" s="235"/>
    </row>
    <row r="357" spans="1:58" ht="15.75" customHeight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235"/>
      <c r="AF357" s="235"/>
      <c r="AG357" s="235"/>
      <c r="AH357" s="235"/>
      <c r="AI357" s="235"/>
      <c r="AJ357" s="235"/>
      <c r="AK357" s="235"/>
      <c r="AL357" s="235"/>
      <c r="AM357" s="235"/>
      <c r="AN357" s="235"/>
      <c r="AO357" s="235"/>
      <c r="AP357" s="235"/>
      <c r="AQ357" s="235"/>
      <c r="AR357" s="235"/>
      <c r="AS357" s="235"/>
      <c r="AT357" s="235"/>
      <c r="AU357" s="235"/>
      <c r="AV357" s="235"/>
      <c r="AW357" s="235"/>
      <c r="AX357" s="235"/>
      <c r="AY357" s="235"/>
      <c r="AZ357" s="235"/>
      <c r="BA357" s="235"/>
      <c r="BB357" s="235"/>
      <c r="BC357" s="235"/>
      <c r="BD357" s="235"/>
      <c r="BE357" s="235"/>
      <c r="BF357" s="235"/>
    </row>
    <row r="358" spans="1:58" ht="15.75" customHeight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235"/>
      <c r="AF358" s="235"/>
      <c r="AG358" s="235"/>
      <c r="AH358" s="235"/>
      <c r="AI358" s="235"/>
      <c r="AJ358" s="235"/>
      <c r="AK358" s="235"/>
      <c r="AL358" s="235"/>
      <c r="AM358" s="235"/>
      <c r="AN358" s="235"/>
      <c r="AO358" s="235"/>
      <c r="AP358" s="235"/>
      <c r="AQ358" s="235"/>
      <c r="AR358" s="235"/>
      <c r="AS358" s="235"/>
      <c r="AT358" s="235"/>
      <c r="AU358" s="235"/>
      <c r="AV358" s="235"/>
      <c r="AW358" s="235"/>
      <c r="AX358" s="235"/>
      <c r="AY358" s="235"/>
      <c r="AZ358" s="235"/>
      <c r="BA358" s="235"/>
      <c r="BB358" s="235"/>
      <c r="BC358" s="235"/>
      <c r="BD358" s="235"/>
      <c r="BE358" s="235"/>
      <c r="BF358" s="235"/>
    </row>
    <row r="359" spans="1:58" ht="15.75" customHeight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235"/>
      <c r="AF359" s="235"/>
      <c r="AG359" s="235"/>
      <c r="AH359" s="235"/>
      <c r="AI359" s="235"/>
      <c r="AJ359" s="235"/>
      <c r="AK359" s="235"/>
      <c r="AL359" s="235"/>
      <c r="AM359" s="235"/>
      <c r="AN359" s="235"/>
      <c r="AO359" s="235"/>
      <c r="AP359" s="235"/>
      <c r="AQ359" s="235"/>
      <c r="AR359" s="235"/>
      <c r="AS359" s="235"/>
      <c r="AT359" s="235"/>
      <c r="AU359" s="235"/>
      <c r="AV359" s="235"/>
      <c r="AW359" s="235"/>
      <c r="AX359" s="235"/>
      <c r="AY359" s="235"/>
      <c r="AZ359" s="235"/>
      <c r="BA359" s="235"/>
      <c r="BB359" s="235"/>
      <c r="BC359" s="235"/>
      <c r="BD359" s="235"/>
      <c r="BE359" s="235"/>
      <c r="BF359" s="235"/>
    </row>
    <row r="360" spans="1:58" ht="15.75" customHeight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235"/>
      <c r="AF360" s="235"/>
      <c r="AG360" s="235"/>
      <c r="AH360" s="235"/>
      <c r="AI360" s="235"/>
      <c r="AJ360" s="235"/>
      <c r="AK360" s="235"/>
      <c r="AL360" s="235"/>
      <c r="AM360" s="235"/>
      <c r="AN360" s="235"/>
      <c r="AO360" s="235"/>
      <c r="AP360" s="235"/>
      <c r="AQ360" s="235"/>
      <c r="AR360" s="235"/>
      <c r="AS360" s="235"/>
      <c r="AT360" s="235"/>
      <c r="AU360" s="235"/>
      <c r="AV360" s="235"/>
      <c r="AW360" s="235"/>
      <c r="AX360" s="235"/>
      <c r="AY360" s="235"/>
      <c r="AZ360" s="235"/>
      <c r="BA360" s="235"/>
      <c r="BB360" s="235"/>
      <c r="BC360" s="235"/>
      <c r="BD360" s="235"/>
      <c r="BE360" s="235"/>
      <c r="BF360" s="235"/>
    </row>
    <row r="361" spans="1:58" ht="15.75" customHeight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235"/>
      <c r="AF361" s="235"/>
      <c r="AG361" s="235"/>
      <c r="AH361" s="235"/>
      <c r="AI361" s="235"/>
      <c r="AJ361" s="235"/>
      <c r="AK361" s="235"/>
      <c r="AL361" s="235"/>
      <c r="AM361" s="235"/>
      <c r="AN361" s="235"/>
      <c r="AO361" s="235"/>
      <c r="AP361" s="235"/>
      <c r="AQ361" s="235"/>
      <c r="AR361" s="235"/>
      <c r="AS361" s="235"/>
      <c r="AT361" s="235"/>
      <c r="AU361" s="235"/>
      <c r="AV361" s="235"/>
      <c r="AW361" s="235"/>
      <c r="AX361" s="235"/>
      <c r="AY361" s="235"/>
      <c r="AZ361" s="235"/>
      <c r="BA361" s="235"/>
      <c r="BB361" s="235"/>
      <c r="BC361" s="235"/>
      <c r="BD361" s="235"/>
      <c r="BE361" s="235"/>
      <c r="BF361" s="235"/>
    </row>
    <row r="362" spans="1:58" ht="15.75" customHeight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235"/>
      <c r="AF362" s="235"/>
      <c r="AG362" s="235"/>
      <c r="AH362" s="235"/>
      <c r="AI362" s="235"/>
      <c r="AJ362" s="235"/>
      <c r="AK362" s="235"/>
      <c r="AL362" s="235"/>
      <c r="AM362" s="235"/>
      <c r="AN362" s="235"/>
      <c r="AO362" s="235"/>
      <c r="AP362" s="235"/>
      <c r="AQ362" s="235"/>
      <c r="AR362" s="235"/>
      <c r="AS362" s="235"/>
      <c r="AT362" s="235"/>
      <c r="AU362" s="235"/>
      <c r="AV362" s="235"/>
      <c r="AW362" s="235"/>
      <c r="AX362" s="235"/>
      <c r="AY362" s="235"/>
      <c r="AZ362" s="235"/>
      <c r="BA362" s="235"/>
      <c r="BB362" s="235"/>
      <c r="BC362" s="235"/>
      <c r="BD362" s="235"/>
      <c r="BE362" s="235"/>
      <c r="BF362" s="235"/>
    </row>
    <row r="363" spans="1:58" ht="15.75" customHeight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235"/>
      <c r="AF363" s="235"/>
      <c r="AG363" s="235"/>
      <c r="AH363" s="235"/>
      <c r="AI363" s="235"/>
      <c r="AJ363" s="235"/>
      <c r="AK363" s="235"/>
      <c r="AL363" s="235"/>
      <c r="AM363" s="235"/>
      <c r="AN363" s="235"/>
      <c r="AO363" s="235"/>
      <c r="AP363" s="235"/>
      <c r="AQ363" s="235"/>
      <c r="AR363" s="235"/>
      <c r="AS363" s="235"/>
      <c r="AT363" s="235"/>
      <c r="AU363" s="235"/>
      <c r="AV363" s="235"/>
      <c r="AW363" s="235"/>
      <c r="AX363" s="235"/>
      <c r="AY363" s="235"/>
      <c r="AZ363" s="235"/>
      <c r="BA363" s="235"/>
      <c r="BB363" s="235"/>
      <c r="BC363" s="235"/>
      <c r="BD363" s="235"/>
      <c r="BE363" s="235"/>
      <c r="BF363" s="235"/>
    </row>
    <row r="364" spans="1:58" ht="15.75" customHeight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235"/>
      <c r="AF364" s="235"/>
      <c r="AG364" s="235"/>
      <c r="AH364" s="235"/>
      <c r="AI364" s="235"/>
      <c r="AJ364" s="235"/>
      <c r="AK364" s="235"/>
      <c r="AL364" s="235"/>
      <c r="AM364" s="235"/>
      <c r="AN364" s="235"/>
      <c r="AO364" s="235"/>
      <c r="AP364" s="235"/>
      <c r="AQ364" s="235"/>
      <c r="AR364" s="235"/>
      <c r="AS364" s="235"/>
      <c r="AT364" s="235"/>
      <c r="AU364" s="235"/>
      <c r="AV364" s="235"/>
      <c r="AW364" s="235"/>
      <c r="AX364" s="235"/>
      <c r="AY364" s="235"/>
      <c r="AZ364" s="235"/>
      <c r="BA364" s="235"/>
      <c r="BB364" s="235"/>
      <c r="BC364" s="235"/>
      <c r="BD364" s="235"/>
      <c r="BE364" s="235"/>
      <c r="BF364" s="235"/>
    </row>
    <row r="365" spans="1:58" ht="15.75" customHeight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235"/>
      <c r="AF365" s="235"/>
      <c r="AG365" s="235"/>
      <c r="AH365" s="235"/>
      <c r="AI365" s="235"/>
      <c r="AJ365" s="235"/>
      <c r="AK365" s="235"/>
      <c r="AL365" s="235"/>
      <c r="AM365" s="235"/>
      <c r="AN365" s="235"/>
      <c r="AO365" s="235"/>
      <c r="AP365" s="235"/>
      <c r="AQ365" s="235"/>
      <c r="AR365" s="235"/>
      <c r="AS365" s="235"/>
      <c r="AT365" s="235"/>
      <c r="AU365" s="235"/>
      <c r="AV365" s="235"/>
      <c r="AW365" s="235"/>
      <c r="AX365" s="235"/>
      <c r="AY365" s="235"/>
      <c r="AZ365" s="235"/>
      <c r="BA365" s="235"/>
      <c r="BB365" s="235"/>
      <c r="BC365" s="235"/>
      <c r="BD365" s="235"/>
      <c r="BE365" s="235"/>
      <c r="BF365" s="235"/>
    </row>
    <row r="366" spans="1:58" ht="15.75" customHeight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235"/>
      <c r="AF366" s="235"/>
      <c r="AG366" s="235"/>
      <c r="AH366" s="235"/>
      <c r="AI366" s="235"/>
      <c r="AJ366" s="235"/>
      <c r="AK366" s="235"/>
      <c r="AL366" s="235"/>
      <c r="AM366" s="235"/>
      <c r="AN366" s="235"/>
      <c r="AO366" s="235"/>
      <c r="AP366" s="235"/>
      <c r="AQ366" s="235"/>
      <c r="AR366" s="235"/>
      <c r="AS366" s="235"/>
      <c r="AT366" s="235"/>
      <c r="AU366" s="235"/>
      <c r="AV366" s="235"/>
      <c r="AW366" s="235"/>
      <c r="AX366" s="235"/>
      <c r="AY366" s="235"/>
      <c r="AZ366" s="235"/>
      <c r="BA366" s="235"/>
      <c r="BB366" s="235"/>
      <c r="BC366" s="235"/>
      <c r="BD366" s="235"/>
      <c r="BE366" s="235"/>
      <c r="BF366" s="235"/>
    </row>
    <row r="367" spans="1:58" ht="15.75" customHeight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235"/>
      <c r="AF367" s="235"/>
      <c r="AG367" s="235"/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  <c r="AR367" s="235"/>
      <c r="AS367" s="235"/>
      <c r="AT367" s="235"/>
      <c r="AU367" s="235"/>
      <c r="AV367" s="235"/>
      <c r="AW367" s="235"/>
      <c r="AX367" s="235"/>
      <c r="AY367" s="235"/>
      <c r="AZ367" s="235"/>
      <c r="BA367" s="235"/>
      <c r="BB367" s="235"/>
      <c r="BC367" s="235"/>
      <c r="BD367" s="235"/>
      <c r="BE367" s="235"/>
      <c r="BF367" s="235"/>
    </row>
    <row r="368" spans="1:58" ht="15.75" customHeight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235"/>
      <c r="AF368" s="235"/>
      <c r="AG368" s="235"/>
      <c r="AH368" s="235"/>
      <c r="AI368" s="235"/>
      <c r="AJ368" s="235"/>
      <c r="AK368" s="235"/>
      <c r="AL368" s="235"/>
      <c r="AM368" s="235"/>
      <c r="AN368" s="235"/>
      <c r="AO368" s="235"/>
      <c r="AP368" s="235"/>
      <c r="AQ368" s="235"/>
      <c r="AR368" s="235"/>
      <c r="AS368" s="235"/>
      <c r="AT368" s="235"/>
      <c r="AU368" s="235"/>
      <c r="AV368" s="235"/>
      <c r="AW368" s="235"/>
      <c r="AX368" s="235"/>
      <c r="AY368" s="235"/>
      <c r="AZ368" s="235"/>
      <c r="BA368" s="235"/>
      <c r="BB368" s="235"/>
      <c r="BC368" s="235"/>
      <c r="BD368" s="235"/>
      <c r="BE368" s="235"/>
      <c r="BF368" s="235"/>
    </row>
    <row r="369" spans="1:58" ht="15.75" customHeight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235"/>
      <c r="AF369" s="235"/>
      <c r="AG369" s="235"/>
      <c r="AH369" s="235"/>
      <c r="AI369" s="235"/>
      <c r="AJ369" s="235"/>
      <c r="AK369" s="235"/>
      <c r="AL369" s="235"/>
      <c r="AM369" s="235"/>
      <c r="AN369" s="235"/>
      <c r="AO369" s="235"/>
      <c r="AP369" s="235"/>
      <c r="AQ369" s="235"/>
      <c r="AR369" s="235"/>
      <c r="AS369" s="235"/>
      <c r="AT369" s="235"/>
      <c r="AU369" s="235"/>
      <c r="AV369" s="235"/>
      <c r="AW369" s="235"/>
      <c r="AX369" s="235"/>
      <c r="AY369" s="235"/>
      <c r="AZ369" s="235"/>
      <c r="BA369" s="235"/>
      <c r="BB369" s="235"/>
      <c r="BC369" s="235"/>
      <c r="BD369" s="235"/>
      <c r="BE369" s="235"/>
      <c r="BF369" s="235"/>
    </row>
    <row r="370" spans="1:58" ht="15.75" customHeight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235"/>
      <c r="AF370" s="235"/>
      <c r="AG370" s="235"/>
      <c r="AH370" s="235"/>
      <c r="AI370" s="235"/>
      <c r="AJ370" s="235"/>
      <c r="AK370" s="235"/>
      <c r="AL370" s="235"/>
      <c r="AM370" s="235"/>
      <c r="AN370" s="235"/>
      <c r="AO370" s="235"/>
      <c r="AP370" s="235"/>
      <c r="AQ370" s="235"/>
      <c r="AR370" s="235"/>
      <c r="AS370" s="235"/>
      <c r="AT370" s="235"/>
      <c r="AU370" s="235"/>
      <c r="AV370" s="235"/>
      <c r="AW370" s="235"/>
      <c r="AX370" s="235"/>
      <c r="AY370" s="235"/>
      <c r="AZ370" s="235"/>
      <c r="BA370" s="235"/>
      <c r="BB370" s="235"/>
      <c r="BC370" s="235"/>
      <c r="BD370" s="235"/>
      <c r="BE370" s="235"/>
      <c r="BF370" s="235"/>
    </row>
    <row r="371" spans="1:58" ht="15.75" customHeight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  <c r="AC371" s="114"/>
      <c r="AD371" s="114"/>
      <c r="AE371" s="235"/>
      <c r="AF371" s="235"/>
      <c r="AG371" s="235"/>
      <c r="AH371" s="235"/>
      <c r="AI371" s="235"/>
      <c r="AJ371" s="235"/>
      <c r="AK371" s="235"/>
      <c r="AL371" s="235"/>
      <c r="AM371" s="235"/>
      <c r="AN371" s="235"/>
      <c r="AO371" s="235"/>
      <c r="AP371" s="235"/>
      <c r="AQ371" s="235"/>
      <c r="AR371" s="235"/>
      <c r="AS371" s="235"/>
      <c r="AT371" s="235"/>
      <c r="AU371" s="235"/>
      <c r="AV371" s="235"/>
      <c r="AW371" s="235"/>
      <c r="AX371" s="235"/>
      <c r="AY371" s="235"/>
      <c r="AZ371" s="235"/>
      <c r="BA371" s="235"/>
      <c r="BB371" s="235"/>
      <c r="BC371" s="235"/>
      <c r="BD371" s="235"/>
      <c r="BE371" s="235"/>
      <c r="BF371" s="235"/>
    </row>
    <row r="372" spans="1:58" ht="15.75" customHeight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235"/>
      <c r="AF372" s="235"/>
      <c r="AG372" s="235"/>
      <c r="AH372" s="235"/>
      <c r="AI372" s="235"/>
      <c r="AJ372" s="235"/>
      <c r="AK372" s="235"/>
      <c r="AL372" s="235"/>
      <c r="AM372" s="235"/>
      <c r="AN372" s="235"/>
      <c r="AO372" s="235"/>
      <c r="AP372" s="235"/>
      <c r="AQ372" s="235"/>
      <c r="AR372" s="235"/>
      <c r="AS372" s="235"/>
      <c r="AT372" s="235"/>
      <c r="AU372" s="235"/>
      <c r="AV372" s="235"/>
      <c r="AW372" s="235"/>
      <c r="AX372" s="235"/>
      <c r="AY372" s="235"/>
      <c r="AZ372" s="235"/>
      <c r="BA372" s="235"/>
      <c r="BB372" s="235"/>
      <c r="BC372" s="235"/>
      <c r="BD372" s="235"/>
      <c r="BE372" s="235"/>
      <c r="BF372" s="235"/>
    </row>
    <row r="373" spans="1:58" ht="15.75" customHeight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235"/>
      <c r="AF373" s="235"/>
      <c r="AG373" s="235"/>
      <c r="AH373" s="235"/>
      <c r="AI373" s="235"/>
      <c r="AJ373" s="235"/>
      <c r="AK373" s="235"/>
      <c r="AL373" s="235"/>
      <c r="AM373" s="235"/>
      <c r="AN373" s="235"/>
      <c r="AO373" s="235"/>
      <c r="AP373" s="235"/>
      <c r="AQ373" s="235"/>
      <c r="AR373" s="235"/>
      <c r="AS373" s="235"/>
      <c r="AT373" s="235"/>
      <c r="AU373" s="235"/>
      <c r="AV373" s="235"/>
      <c r="AW373" s="235"/>
      <c r="AX373" s="235"/>
      <c r="AY373" s="235"/>
      <c r="AZ373" s="235"/>
      <c r="BA373" s="235"/>
      <c r="BB373" s="235"/>
      <c r="BC373" s="235"/>
      <c r="BD373" s="235"/>
      <c r="BE373" s="235"/>
      <c r="BF373" s="235"/>
    </row>
    <row r="374" spans="1:58" ht="15.75" customHeight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235"/>
      <c r="AF374" s="235"/>
      <c r="AG374" s="235"/>
      <c r="AH374" s="235"/>
      <c r="AI374" s="235"/>
      <c r="AJ374" s="235"/>
      <c r="AK374" s="235"/>
      <c r="AL374" s="235"/>
      <c r="AM374" s="235"/>
      <c r="AN374" s="235"/>
      <c r="AO374" s="235"/>
      <c r="AP374" s="235"/>
      <c r="AQ374" s="235"/>
      <c r="AR374" s="235"/>
      <c r="AS374" s="235"/>
      <c r="AT374" s="235"/>
      <c r="AU374" s="235"/>
      <c r="AV374" s="235"/>
      <c r="AW374" s="235"/>
      <c r="AX374" s="235"/>
      <c r="AY374" s="235"/>
      <c r="AZ374" s="235"/>
      <c r="BA374" s="235"/>
      <c r="BB374" s="235"/>
      <c r="BC374" s="235"/>
      <c r="BD374" s="235"/>
      <c r="BE374" s="235"/>
      <c r="BF374" s="235"/>
    </row>
    <row r="375" spans="1:58" ht="15.75" customHeight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235"/>
      <c r="AF375" s="235"/>
      <c r="AG375" s="235"/>
      <c r="AH375" s="235"/>
      <c r="AI375" s="235"/>
      <c r="AJ375" s="235"/>
      <c r="AK375" s="235"/>
      <c r="AL375" s="235"/>
      <c r="AM375" s="235"/>
      <c r="AN375" s="235"/>
      <c r="AO375" s="235"/>
      <c r="AP375" s="235"/>
      <c r="AQ375" s="235"/>
      <c r="AR375" s="235"/>
      <c r="AS375" s="235"/>
      <c r="AT375" s="235"/>
      <c r="AU375" s="235"/>
      <c r="AV375" s="235"/>
      <c r="AW375" s="235"/>
      <c r="AX375" s="235"/>
      <c r="AY375" s="235"/>
      <c r="AZ375" s="235"/>
      <c r="BA375" s="235"/>
      <c r="BB375" s="235"/>
      <c r="BC375" s="235"/>
      <c r="BD375" s="235"/>
      <c r="BE375" s="235"/>
      <c r="BF375" s="235"/>
    </row>
    <row r="376" spans="1:58" ht="15.75" customHeight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235"/>
      <c r="AF376" s="235"/>
      <c r="AG376" s="235"/>
      <c r="AH376" s="235"/>
      <c r="AI376" s="235"/>
      <c r="AJ376" s="235"/>
      <c r="AK376" s="235"/>
      <c r="AL376" s="235"/>
      <c r="AM376" s="235"/>
      <c r="AN376" s="235"/>
      <c r="AO376" s="235"/>
      <c r="AP376" s="235"/>
      <c r="AQ376" s="235"/>
      <c r="AR376" s="235"/>
      <c r="AS376" s="235"/>
      <c r="AT376" s="235"/>
      <c r="AU376" s="235"/>
      <c r="AV376" s="235"/>
      <c r="AW376" s="235"/>
      <c r="AX376" s="235"/>
      <c r="AY376" s="235"/>
      <c r="AZ376" s="235"/>
      <c r="BA376" s="235"/>
      <c r="BB376" s="235"/>
      <c r="BC376" s="235"/>
      <c r="BD376" s="235"/>
      <c r="BE376" s="235"/>
      <c r="BF376" s="235"/>
    </row>
    <row r="377" spans="1:58" ht="15.75" customHeight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235"/>
      <c r="AF377" s="235"/>
      <c r="AG377" s="235"/>
      <c r="AH377" s="235"/>
      <c r="AI377" s="235"/>
      <c r="AJ377" s="235"/>
      <c r="AK377" s="235"/>
      <c r="AL377" s="235"/>
      <c r="AM377" s="235"/>
      <c r="AN377" s="235"/>
      <c r="AO377" s="235"/>
      <c r="AP377" s="235"/>
      <c r="AQ377" s="235"/>
      <c r="AR377" s="235"/>
      <c r="AS377" s="235"/>
      <c r="AT377" s="235"/>
      <c r="AU377" s="235"/>
      <c r="AV377" s="235"/>
      <c r="AW377" s="235"/>
      <c r="AX377" s="235"/>
      <c r="AY377" s="235"/>
      <c r="AZ377" s="235"/>
      <c r="BA377" s="235"/>
      <c r="BB377" s="235"/>
      <c r="BC377" s="235"/>
      <c r="BD377" s="235"/>
      <c r="BE377" s="235"/>
      <c r="BF377" s="235"/>
    </row>
    <row r="378" spans="1:58" ht="15.75" customHeight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235"/>
      <c r="AF378" s="235"/>
      <c r="AG378" s="235"/>
      <c r="AH378" s="235"/>
      <c r="AI378" s="235"/>
      <c r="AJ378" s="235"/>
      <c r="AK378" s="235"/>
      <c r="AL378" s="235"/>
      <c r="AM378" s="235"/>
      <c r="AN378" s="235"/>
      <c r="AO378" s="235"/>
      <c r="AP378" s="235"/>
      <c r="AQ378" s="235"/>
      <c r="AR378" s="235"/>
      <c r="AS378" s="235"/>
      <c r="AT378" s="235"/>
      <c r="AU378" s="235"/>
      <c r="AV378" s="235"/>
      <c r="AW378" s="235"/>
      <c r="AX378" s="235"/>
      <c r="AY378" s="235"/>
      <c r="AZ378" s="235"/>
      <c r="BA378" s="235"/>
      <c r="BB378" s="235"/>
      <c r="BC378" s="235"/>
      <c r="BD378" s="235"/>
      <c r="BE378" s="235"/>
      <c r="BF378" s="235"/>
    </row>
    <row r="379" spans="1:58" ht="15.75" customHeight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235"/>
      <c r="AF379" s="235"/>
      <c r="AG379" s="235"/>
      <c r="AH379" s="235"/>
      <c r="AI379" s="235"/>
      <c r="AJ379" s="235"/>
      <c r="AK379" s="235"/>
      <c r="AL379" s="235"/>
      <c r="AM379" s="235"/>
      <c r="AN379" s="235"/>
      <c r="AO379" s="235"/>
      <c r="AP379" s="235"/>
      <c r="AQ379" s="235"/>
      <c r="AR379" s="235"/>
      <c r="AS379" s="235"/>
      <c r="AT379" s="235"/>
      <c r="AU379" s="235"/>
      <c r="AV379" s="235"/>
      <c r="AW379" s="235"/>
      <c r="AX379" s="235"/>
      <c r="AY379" s="235"/>
      <c r="AZ379" s="235"/>
      <c r="BA379" s="235"/>
      <c r="BB379" s="235"/>
      <c r="BC379" s="235"/>
      <c r="BD379" s="235"/>
      <c r="BE379" s="235"/>
      <c r="BF379" s="235"/>
    </row>
    <row r="380" spans="1:58" ht="15.75" customHeight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235"/>
      <c r="AF380" s="235"/>
      <c r="AG380" s="235"/>
      <c r="AH380" s="235"/>
      <c r="AI380" s="235"/>
      <c r="AJ380" s="235"/>
      <c r="AK380" s="235"/>
      <c r="AL380" s="235"/>
      <c r="AM380" s="235"/>
      <c r="AN380" s="235"/>
      <c r="AO380" s="235"/>
      <c r="AP380" s="235"/>
      <c r="AQ380" s="235"/>
      <c r="AR380" s="235"/>
      <c r="AS380" s="235"/>
      <c r="AT380" s="235"/>
      <c r="AU380" s="235"/>
      <c r="AV380" s="235"/>
      <c r="AW380" s="235"/>
      <c r="AX380" s="235"/>
      <c r="AY380" s="235"/>
      <c r="AZ380" s="235"/>
      <c r="BA380" s="235"/>
      <c r="BB380" s="235"/>
      <c r="BC380" s="235"/>
      <c r="BD380" s="235"/>
      <c r="BE380" s="235"/>
      <c r="BF380" s="235"/>
    </row>
    <row r="381" spans="1:58" ht="15.75" customHeight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235"/>
      <c r="AF381" s="235"/>
      <c r="AG381" s="235"/>
      <c r="AH381" s="235"/>
      <c r="AI381" s="235"/>
      <c r="AJ381" s="235"/>
      <c r="AK381" s="235"/>
      <c r="AL381" s="235"/>
      <c r="AM381" s="235"/>
      <c r="AN381" s="235"/>
      <c r="AO381" s="235"/>
      <c r="AP381" s="235"/>
      <c r="AQ381" s="235"/>
      <c r="AR381" s="235"/>
      <c r="AS381" s="235"/>
      <c r="AT381" s="235"/>
      <c r="AU381" s="235"/>
      <c r="AV381" s="235"/>
      <c r="AW381" s="235"/>
      <c r="AX381" s="235"/>
      <c r="AY381" s="235"/>
      <c r="AZ381" s="235"/>
      <c r="BA381" s="235"/>
      <c r="BB381" s="235"/>
      <c r="BC381" s="235"/>
      <c r="BD381" s="235"/>
      <c r="BE381" s="235"/>
      <c r="BF381" s="235"/>
    </row>
    <row r="382" spans="1:58" ht="15.75" customHeight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235"/>
      <c r="AF382" s="235"/>
      <c r="AG382" s="235"/>
      <c r="AH382" s="235"/>
      <c r="AI382" s="235"/>
      <c r="AJ382" s="235"/>
      <c r="AK382" s="235"/>
      <c r="AL382" s="235"/>
      <c r="AM382" s="235"/>
      <c r="AN382" s="235"/>
      <c r="AO382" s="235"/>
      <c r="AP382" s="235"/>
      <c r="AQ382" s="235"/>
      <c r="AR382" s="235"/>
      <c r="AS382" s="235"/>
      <c r="AT382" s="235"/>
      <c r="AU382" s="235"/>
      <c r="AV382" s="235"/>
      <c r="AW382" s="235"/>
      <c r="AX382" s="235"/>
      <c r="AY382" s="235"/>
      <c r="AZ382" s="235"/>
      <c r="BA382" s="235"/>
      <c r="BB382" s="235"/>
      <c r="BC382" s="235"/>
      <c r="BD382" s="235"/>
      <c r="BE382" s="235"/>
      <c r="BF382" s="235"/>
    </row>
    <row r="383" spans="1:58" ht="15.75" customHeight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235"/>
      <c r="AF383" s="235"/>
      <c r="AG383" s="235"/>
      <c r="AH383" s="235"/>
      <c r="AI383" s="235"/>
      <c r="AJ383" s="235"/>
      <c r="AK383" s="235"/>
      <c r="AL383" s="235"/>
      <c r="AM383" s="235"/>
      <c r="AN383" s="235"/>
      <c r="AO383" s="235"/>
      <c r="AP383" s="235"/>
      <c r="AQ383" s="235"/>
      <c r="AR383" s="235"/>
      <c r="AS383" s="235"/>
      <c r="AT383" s="235"/>
      <c r="AU383" s="235"/>
      <c r="AV383" s="235"/>
      <c r="AW383" s="235"/>
      <c r="AX383" s="235"/>
      <c r="AY383" s="235"/>
      <c r="AZ383" s="235"/>
      <c r="BA383" s="235"/>
      <c r="BB383" s="235"/>
      <c r="BC383" s="235"/>
      <c r="BD383" s="235"/>
      <c r="BE383" s="235"/>
      <c r="BF383" s="235"/>
    </row>
    <row r="384" spans="1:58" ht="15.75" customHeight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235"/>
      <c r="AF384" s="235"/>
      <c r="AG384" s="235"/>
      <c r="AH384" s="235"/>
      <c r="AI384" s="235"/>
      <c r="AJ384" s="235"/>
      <c r="AK384" s="235"/>
      <c r="AL384" s="235"/>
      <c r="AM384" s="235"/>
      <c r="AN384" s="235"/>
      <c r="AO384" s="235"/>
      <c r="AP384" s="235"/>
      <c r="AQ384" s="235"/>
      <c r="AR384" s="235"/>
      <c r="AS384" s="235"/>
      <c r="AT384" s="235"/>
      <c r="AU384" s="235"/>
      <c r="AV384" s="235"/>
      <c r="AW384" s="235"/>
      <c r="AX384" s="235"/>
      <c r="AY384" s="235"/>
      <c r="AZ384" s="235"/>
      <c r="BA384" s="235"/>
      <c r="BB384" s="235"/>
      <c r="BC384" s="235"/>
      <c r="BD384" s="235"/>
      <c r="BE384" s="235"/>
      <c r="BF384" s="235"/>
    </row>
    <row r="385" spans="1:58" ht="15.75" customHeight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235"/>
      <c r="AF385" s="235"/>
      <c r="AG385" s="235"/>
      <c r="AH385" s="235"/>
      <c r="AI385" s="235"/>
      <c r="AJ385" s="235"/>
      <c r="AK385" s="235"/>
      <c r="AL385" s="235"/>
      <c r="AM385" s="235"/>
      <c r="AN385" s="235"/>
      <c r="AO385" s="235"/>
      <c r="AP385" s="235"/>
      <c r="AQ385" s="235"/>
      <c r="AR385" s="235"/>
      <c r="AS385" s="235"/>
      <c r="AT385" s="235"/>
      <c r="AU385" s="235"/>
      <c r="AV385" s="235"/>
      <c r="AW385" s="235"/>
      <c r="AX385" s="235"/>
      <c r="AY385" s="235"/>
      <c r="AZ385" s="235"/>
      <c r="BA385" s="235"/>
      <c r="BB385" s="235"/>
      <c r="BC385" s="235"/>
      <c r="BD385" s="235"/>
      <c r="BE385" s="235"/>
      <c r="BF385" s="235"/>
    </row>
    <row r="386" spans="1:58" ht="15.75" customHeight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235"/>
      <c r="AF386" s="235"/>
      <c r="AG386" s="235"/>
      <c r="AH386" s="235"/>
      <c r="AI386" s="235"/>
      <c r="AJ386" s="235"/>
      <c r="AK386" s="235"/>
      <c r="AL386" s="235"/>
      <c r="AM386" s="235"/>
      <c r="AN386" s="235"/>
      <c r="AO386" s="235"/>
      <c r="AP386" s="235"/>
      <c r="AQ386" s="235"/>
      <c r="AR386" s="235"/>
      <c r="AS386" s="235"/>
      <c r="AT386" s="235"/>
      <c r="AU386" s="235"/>
      <c r="AV386" s="235"/>
      <c r="AW386" s="235"/>
      <c r="AX386" s="235"/>
      <c r="AY386" s="235"/>
      <c r="AZ386" s="235"/>
      <c r="BA386" s="235"/>
      <c r="BB386" s="235"/>
      <c r="BC386" s="235"/>
      <c r="BD386" s="235"/>
      <c r="BE386" s="235"/>
      <c r="BF386" s="235"/>
    </row>
    <row r="387" spans="1:58" ht="15.75" customHeight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235"/>
      <c r="AF387" s="235"/>
      <c r="AG387" s="235"/>
      <c r="AH387" s="235"/>
      <c r="AI387" s="235"/>
      <c r="AJ387" s="235"/>
      <c r="AK387" s="235"/>
      <c r="AL387" s="235"/>
      <c r="AM387" s="235"/>
      <c r="AN387" s="235"/>
      <c r="AO387" s="235"/>
      <c r="AP387" s="235"/>
      <c r="AQ387" s="235"/>
      <c r="AR387" s="235"/>
      <c r="AS387" s="235"/>
      <c r="AT387" s="235"/>
      <c r="AU387" s="235"/>
      <c r="AV387" s="235"/>
      <c r="AW387" s="235"/>
      <c r="AX387" s="235"/>
      <c r="AY387" s="235"/>
      <c r="AZ387" s="235"/>
      <c r="BA387" s="235"/>
      <c r="BB387" s="235"/>
      <c r="BC387" s="235"/>
      <c r="BD387" s="235"/>
      <c r="BE387" s="235"/>
      <c r="BF387" s="235"/>
    </row>
    <row r="388" spans="1:58" ht="15.75" customHeight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235"/>
      <c r="AF388" s="235"/>
      <c r="AG388" s="235"/>
      <c r="AH388" s="235"/>
      <c r="AI388" s="235"/>
      <c r="AJ388" s="235"/>
      <c r="AK388" s="235"/>
      <c r="AL388" s="235"/>
      <c r="AM388" s="235"/>
      <c r="AN388" s="235"/>
      <c r="AO388" s="235"/>
      <c r="AP388" s="235"/>
      <c r="AQ388" s="235"/>
      <c r="AR388" s="235"/>
      <c r="AS388" s="235"/>
      <c r="AT388" s="235"/>
      <c r="AU388" s="235"/>
      <c r="AV388" s="235"/>
      <c r="AW388" s="235"/>
      <c r="AX388" s="235"/>
      <c r="AY388" s="235"/>
      <c r="AZ388" s="235"/>
      <c r="BA388" s="235"/>
      <c r="BB388" s="235"/>
      <c r="BC388" s="235"/>
      <c r="BD388" s="235"/>
      <c r="BE388" s="235"/>
      <c r="BF388" s="235"/>
    </row>
    <row r="389" spans="1:58" ht="15.75" customHeight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235"/>
      <c r="AF389" s="235"/>
      <c r="AG389" s="235"/>
      <c r="AH389" s="235"/>
      <c r="AI389" s="235"/>
      <c r="AJ389" s="235"/>
      <c r="AK389" s="235"/>
      <c r="AL389" s="235"/>
      <c r="AM389" s="235"/>
      <c r="AN389" s="235"/>
      <c r="AO389" s="235"/>
      <c r="AP389" s="235"/>
      <c r="AQ389" s="235"/>
      <c r="AR389" s="235"/>
      <c r="AS389" s="235"/>
      <c r="AT389" s="235"/>
      <c r="AU389" s="235"/>
      <c r="AV389" s="235"/>
      <c r="AW389" s="235"/>
      <c r="AX389" s="235"/>
      <c r="AY389" s="235"/>
      <c r="AZ389" s="235"/>
      <c r="BA389" s="235"/>
      <c r="BB389" s="235"/>
      <c r="BC389" s="235"/>
      <c r="BD389" s="235"/>
      <c r="BE389" s="235"/>
      <c r="BF389" s="235"/>
    </row>
    <row r="390" spans="1:58" ht="15.75" customHeight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235"/>
      <c r="AF390" s="235"/>
      <c r="AG390" s="235"/>
      <c r="AH390" s="235"/>
      <c r="AI390" s="235"/>
      <c r="AJ390" s="235"/>
      <c r="AK390" s="235"/>
      <c r="AL390" s="235"/>
      <c r="AM390" s="235"/>
      <c r="AN390" s="235"/>
      <c r="AO390" s="235"/>
      <c r="AP390" s="235"/>
      <c r="AQ390" s="235"/>
      <c r="AR390" s="235"/>
      <c r="AS390" s="235"/>
      <c r="AT390" s="235"/>
      <c r="AU390" s="235"/>
      <c r="AV390" s="235"/>
      <c r="AW390" s="235"/>
      <c r="AX390" s="235"/>
      <c r="AY390" s="235"/>
      <c r="AZ390" s="235"/>
      <c r="BA390" s="235"/>
      <c r="BB390" s="235"/>
      <c r="BC390" s="235"/>
      <c r="BD390" s="235"/>
      <c r="BE390" s="235"/>
      <c r="BF390" s="235"/>
    </row>
    <row r="391" spans="1:58" ht="15.75" customHeight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235"/>
      <c r="AF391" s="235"/>
      <c r="AG391" s="235"/>
      <c r="AH391" s="235"/>
      <c r="AI391" s="235"/>
      <c r="AJ391" s="235"/>
      <c r="AK391" s="235"/>
      <c r="AL391" s="235"/>
      <c r="AM391" s="235"/>
      <c r="AN391" s="235"/>
      <c r="AO391" s="235"/>
      <c r="AP391" s="235"/>
      <c r="AQ391" s="235"/>
      <c r="AR391" s="235"/>
      <c r="AS391" s="235"/>
      <c r="AT391" s="235"/>
      <c r="AU391" s="235"/>
      <c r="AV391" s="235"/>
      <c r="AW391" s="235"/>
      <c r="AX391" s="235"/>
      <c r="AY391" s="235"/>
      <c r="AZ391" s="235"/>
      <c r="BA391" s="235"/>
      <c r="BB391" s="235"/>
      <c r="BC391" s="235"/>
      <c r="BD391" s="235"/>
      <c r="BE391" s="235"/>
      <c r="BF391" s="235"/>
    </row>
    <row r="392" spans="1:58" ht="15.75" customHeight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235"/>
      <c r="AF392" s="235"/>
      <c r="AG392" s="235"/>
      <c r="AH392" s="235"/>
      <c r="AI392" s="235"/>
      <c r="AJ392" s="235"/>
      <c r="AK392" s="235"/>
      <c r="AL392" s="235"/>
      <c r="AM392" s="235"/>
      <c r="AN392" s="235"/>
      <c r="AO392" s="235"/>
      <c r="AP392" s="235"/>
      <c r="AQ392" s="235"/>
      <c r="AR392" s="235"/>
      <c r="AS392" s="235"/>
      <c r="AT392" s="235"/>
      <c r="AU392" s="235"/>
      <c r="AV392" s="235"/>
      <c r="AW392" s="235"/>
      <c r="AX392" s="235"/>
      <c r="AY392" s="235"/>
      <c r="AZ392" s="235"/>
      <c r="BA392" s="235"/>
      <c r="BB392" s="235"/>
      <c r="BC392" s="235"/>
      <c r="BD392" s="235"/>
      <c r="BE392" s="235"/>
      <c r="BF392" s="235"/>
    </row>
    <row r="393" spans="1:58" ht="15.75" customHeight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235"/>
      <c r="AF393" s="235"/>
      <c r="AG393" s="235"/>
      <c r="AH393" s="235"/>
      <c r="AI393" s="235"/>
      <c r="AJ393" s="235"/>
      <c r="AK393" s="235"/>
      <c r="AL393" s="235"/>
      <c r="AM393" s="235"/>
      <c r="AN393" s="235"/>
      <c r="AO393" s="235"/>
      <c r="AP393" s="235"/>
      <c r="AQ393" s="235"/>
      <c r="AR393" s="235"/>
      <c r="AS393" s="235"/>
      <c r="AT393" s="235"/>
      <c r="AU393" s="235"/>
      <c r="AV393" s="235"/>
      <c r="AW393" s="235"/>
      <c r="AX393" s="235"/>
      <c r="AY393" s="235"/>
      <c r="AZ393" s="235"/>
      <c r="BA393" s="235"/>
      <c r="BB393" s="235"/>
      <c r="BC393" s="235"/>
      <c r="BD393" s="235"/>
      <c r="BE393" s="235"/>
      <c r="BF393" s="235"/>
    </row>
    <row r="394" spans="1:58" ht="15.75" customHeight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235"/>
      <c r="AF394" s="235"/>
      <c r="AG394" s="235"/>
      <c r="AH394" s="235"/>
      <c r="AI394" s="235"/>
      <c r="AJ394" s="235"/>
      <c r="AK394" s="235"/>
      <c r="AL394" s="235"/>
      <c r="AM394" s="235"/>
      <c r="AN394" s="235"/>
      <c r="AO394" s="235"/>
      <c r="AP394" s="235"/>
      <c r="AQ394" s="235"/>
      <c r="AR394" s="235"/>
      <c r="AS394" s="235"/>
      <c r="AT394" s="235"/>
      <c r="AU394" s="235"/>
      <c r="AV394" s="235"/>
      <c r="AW394" s="235"/>
      <c r="AX394" s="235"/>
      <c r="AY394" s="235"/>
      <c r="AZ394" s="235"/>
      <c r="BA394" s="235"/>
      <c r="BB394" s="235"/>
      <c r="BC394" s="235"/>
      <c r="BD394" s="235"/>
      <c r="BE394" s="235"/>
      <c r="BF394" s="235"/>
    </row>
    <row r="395" spans="1:58" ht="15.75" customHeight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235"/>
      <c r="AF395" s="235"/>
      <c r="AG395" s="235"/>
      <c r="AH395" s="235"/>
      <c r="AI395" s="235"/>
      <c r="AJ395" s="235"/>
      <c r="AK395" s="235"/>
      <c r="AL395" s="235"/>
      <c r="AM395" s="235"/>
      <c r="AN395" s="235"/>
      <c r="AO395" s="235"/>
      <c r="AP395" s="235"/>
      <c r="AQ395" s="235"/>
      <c r="AR395" s="235"/>
      <c r="AS395" s="235"/>
      <c r="AT395" s="235"/>
      <c r="AU395" s="235"/>
      <c r="AV395" s="235"/>
      <c r="AW395" s="235"/>
      <c r="AX395" s="235"/>
      <c r="AY395" s="235"/>
      <c r="AZ395" s="235"/>
      <c r="BA395" s="235"/>
      <c r="BB395" s="235"/>
      <c r="BC395" s="235"/>
      <c r="BD395" s="235"/>
      <c r="BE395" s="235"/>
      <c r="BF395" s="235"/>
    </row>
    <row r="396" spans="1:58" ht="15.75" customHeight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235"/>
      <c r="AF396" s="235"/>
      <c r="AG396" s="235"/>
      <c r="AH396" s="235"/>
      <c r="AI396" s="235"/>
      <c r="AJ396" s="235"/>
      <c r="AK396" s="235"/>
      <c r="AL396" s="235"/>
      <c r="AM396" s="235"/>
      <c r="AN396" s="235"/>
      <c r="AO396" s="235"/>
      <c r="AP396" s="235"/>
      <c r="AQ396" s="235"/>
      <c r="AR396" s="235"/>
      <c r="AS396" s="235"/>
      <c r="AT396" s="235"/>
      <c r="AU396" s="235"/>
      <c r="AV396" s="235"/>
      <c r="AW396" s="235"/>
      <c r="AX396" s="235"/>
      <c r="AY396" s="235"/>
      <c r="AZ396" s="235"/>
      <c r="BA396" s="235"/>
      <c r="BB396" s="235"/>
      <c r="BC396" s="235"/>
      <c r="BD396" s="235"/>
      <c r="BE396" s="235"/>
      <c r="BF396" s="235"/>
    </row>
    <row r="397" spans="1:58" ht="15.75" customHeight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235"/>
      <c r="AF397" s="235"/>
      <c r="AG397" s="235"/>
      <c r="AH397" s="235"/>
      <c r="AI397" s="235"/>
      <c r="AJ397" s="235"/>
      <c r="AK397" s="235"/>
      <c r="AL397" s="235"/>
      <c r="AM397" s="235"/>
      <c r="AN397" s="235"/>
      <c r="AO397" s="235"/>
      <c r="AP397" s="235"/>
      <c r="AQ397" s="235"/>
      <c r="AR397" s="235"/>
      <c r="AS397" s="235"/>
      <c r="AT397" s="235"/>
      <c r="AU397" s="235"/>
      <c r="AV397" s="235"/>
      <c r="AW397" s="235"/>
      <c r="AX397" s="235"/>
      <c r="AY397" s="235"/>
      <c r="AZ397" s="235"/>
      <c r="BA397" s="235"/>
      <c r="BB397" s="235"/>
      <c r="BC397" s="235"/>
      <c r="BD397" s="235"/>
      <c r="BE397" s="235"/>
      <c r="BF397" s="235"/>
    </row>
    <row r="398" spans="1:58" ht="15.75" customHeight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235"/>
      <c r="AF398" s="235"/>
      <c r="AG398" s="235"/>
      <c r="AH398" s="235"/>
      <c r="AI398" s="235"/>
      <c r="AJ398" s="235"/>
      <c r="AK398" s="235"/>
      <c r="AL398" s="235"/>
      <c r="AM398" s="235"/>
      <c r="AN398" s="235"/>
      <c r="AO398" s="235"/>
      <c r="AP398" s="235"/>
      <c r="AQ398" s="235"/>
      <c r="AR398" s="235"/>
      <c r="AS398" s="235"/>
      <c r="AT398" s="235"/>
      <c r="AU398" s="235"/>
      <c r="AV398" s="235"/>
      <c r="AW398" s="235"/>
      <c r="AX398" s="235"/>
      <c r="AY398" s="235"/>
      <c r="AZ398" s="235"/>
      <c r="BA398" s="235"/>
      <c r="BB398" s="235"/>
      <c r="BC398" s="235"/>
      <c r="BD398" s="235"/>
      <c r="BE398" s="235"/>
      <c r="BF398" s="235"/>
    </row>
    <row r="399" spans="1:58" ht="15.75" customHeight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235"/>
      <c r="AF399" s="235"/>
      <c r="AG399" s="235"/>
      <c r="AH399" s="235"/>
      <c r="AI399" s="235"/>
      <c r="AJ399" s="235"/>
      <c r="AK399" s="235"/>
      <c r="AL399" s="235"/>
      <c r="AM399" s="235"/>
      <c r="AN399" s="235"/>
      <c r="AO399" s="235"/>
      <c r="AP399" s="235"/>
      <c r="AQ399" s="235"/>
      <c r="AR399" s="235"/>
      <c r="AS399" s="235"/>
      <c r="AT399" s="235"/>
      <c r="AU399" s="235"/>
      <c r="AV399" s="235"/>
      <c r="AW399" s="235"/>
      <c r="AX399" s="235"/>
      <c r="AY399" s="235"/>
      <c r="AZ399" s="235"/>
      <c r="BA399" s="235"/>
      <c r="BB399" s="235"/>
      <c r="BC399" s="235"/>
      <c r="BD399" s="235"/>
      <c r="BE399" s="235"/>
      <c r="BF399" s="235"/>
    </row>
    <row r="400" spans="1:58" ht="15.75" customHeight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235"/>
      <c r="AF400" s="235"/>
      <c r="AG400" s="235"/>
      <c r="AH400" s="235"/>
      <c r="AI400" s="235"/>
      <c r="AJ400" s="235"/>
      <c r="AK400" s="235"/>
      <c r="AL400" s="235"/>
      <c r="AM400" s="235"/>
      <c r="AN400" s="235"/>
      <c r="AO400" s="235"/>
      <c r="AP400" s="235"/>
      <c r="AQ400" s="235"/>
      <c r="AR400" s="235"/>
      <c r="AS400" s="235"/>
      <c r="AT400" s="235"/>
      <c r="AU400" s="235"/>
      <c r="AV400" s="235"/>
      <c r="AW400" s="235"/>
      <c r="AX400" s="235"/>
      <c r="AY400" s="235"/>
      <c r="AZ400" s="235"/>
      <c r="BA400" s="235"/>
      <c r="BB400" s="235"/>
      <c r="BC400" s="235"/>
      <c r="BD400" s="235"/>
      <c r="BE400" s="235"/>
      <c r="BF400" s="235"/>
    </row>
    <row r="401" spans="1:58" ht="15.75" customHeight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235"/>
      <c r="AF401" s="235"/>
      <c r="AG401" s="235"/>
      <c r="AH401" s="235"/>
      <c r="AI401" s="235"/>
      <c r="AJ401" s="235"/>
      <c r="AK401" s="235"/>
      <c r="AL401" s="235"/>
      <c r="AM401" s="235"/>
      <c r="AN401" s="235"/>
      <c r="AO401" s="235"/>
      <c r="AP401" s="235"/>
      <c r="AQ401" s="235"/>
      <c r="AR401" s="235"/>
      <c r="AS401" s="235"/>
      <c r="AT401" s="235"/>
      <c r="AU401" s="235"/>
      <c r="AV401" s="235"/>
      <c r="AW401" s="235"/>
      <c r="AX401" s="235"/>
      <c r="AY401" s="235"/>
      <c r="AZ401" s="235"/>
      <c r="BA401" s="235"/>
      <c r="BB401" s="235"/>
      <c r="BC401" s="235"/>
      <c r="BD401" s="235"/>
      <c r="BE401" s="235"/>
      <c r="BF401" s="235"/>
    </row>
    <row r="402" spans="1:58" ht="15.75" customHeight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235"/>
      <c r="AF402" s="235"/>
      <c r="AG402" s="235"/>
      <c r="AH402" s="235"/>
      <c r="AI402" s="235"/>
      <c r="AJ402" s="235"/>
      <c r="AK402" s="235"/>
      <c r="AL402" s="235"/>
      <c r="AM402" s="235"/>
      <c r="AN402" s="235"/>
      <c r="AO402" s="235"/>
      <c r="AP402" s="235"/>
      <c r="AQ402" s="235"/>
      <c r="AR402" s="235"/>
      <c r="AS402" s="235"/>
      <c r="AT402" s="235"/>
      <c r="AU402" s="235"/>
      <c r="AV402" s="235"/>
      <c r="AW402" s="235"/>
      <c r="AX402" s="235"/>
      <c r="AY402" s="235"/>
      <c r="AZ402" s="235"/>
      <c r="BA402" s="235"/>
      <c r="BB402" s="235"/>
      <c r="BC402" s="235"/>
      <c r="BD402" s="235"/>
      <c r="BE402" s="235"/>
      <c r="BF402" s="235"/>
    </row>
    <row r="403" spans="1:58" ht="15.75" customHeight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235"/>
      <c r="AF403" s="235"/>
      <c r="AG403" s="235"/>
      <c r="AH403" s="235"/>
      <c r="AI403" s="235"/>
      <c r="AJ403" s="235"/>
      <c r="AK403" s="235"/>
      <c r="AL403" s="235"/>
      <c r="AM403" s="235"/>
      <c r="AN403" s="235"/>
      <c r="AO403" s="235"/>
      <c r="AP403" s="235"/>
      <c r="AQ403" s="235"/>
      <c r="AR403" s="235"/>
      <c r="AS403" s="235"/>
      <c r="AT403" s="235"/>
      <c r="AU403" s="235"/>
      <c r="AV403" s="235"/>
      <c r="AW403" s="235"/>
      <c r="AX403" s="235"/>
      <c r="AY403" s="235"/>
      <c r="AZ403" s="235"/>
      <c r="BA403" s="235"/>
      <c r="BB403" s="235"/>
      <c r="BC403" s="235"/>
      <c r="BD403" s="235"/>
      <c r="BE403" s="235"/>
      <c r="BF403" s="235"/>
    </row>
    <row r="404" spans="1:58" ht="15.75" customHeight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235"/>
      <c r="AF404" s="235"/>
      <c r="AG404" s="235"/>
      <c r="AH404" s="235"/>
      <c r="AI404" s="235"/>
      <c r="AJ404" s="235"/>
      <c r="AK404" s="235"/>
      <c r="AL404" s="235"/>
      <c r="AM404" s="235"/>
      <c r="AN404" s="235"/>
      <c r="AO404" s="235"/>
      <c r="AP404" s="235"/>
      <c r="AQ404" s="235"/>
      <c r="AR404" s="235"/>
      <c r="AS404" s="235"/>
      <c r="AT404" s="235"/>
      <c r="AU404" s="235"/>
      <c r="AV404" s="235"/>
      <c r="AW404" s="235"/>
      <c r="AX404" s="235"/>
      <c r="AY404" s="235"/>
      <c r="AZ404" s="235"/>
      <c r="BA404" s="235"/>
      <c r="BB404" s="235"/>
      <c r="BC404" s="235"/>
      <c r="BD404" s="235"/>
      <c r="BE404" s="235"/>
      <c r="BF404" s="235"/>
    </row>
    <row r="405" spans="1:58" ht="15.75" customHeight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235"/>
      <c r="AF405" s="235"/>
      <c r="AG405" s="235"/>
      <c r="AH405" s="235"/>
      <c r="AI405" s="235"/>
      <c r="AJ405" s="235"/>
      <c r="AK405" s="235"/>
      <c r="AL405" s="235"/>
      <c r="AM405" s="235"/>
      <c r="AN405" s="235"/>
      <c r="AO405" s="235"/>
      <c r="AP405" s="235"/>
      <c r="AQ405" s="235"/>
      <c r="AR405" s="235"/>
      <c r="AS405" s="235"/>
      <c r="AT405" s="235"/>
      <c r="AU405" s="235"/>
      <c r="AV405" s="235"/>
      <c r="AW405" s="235"/>
      <c r="AX405" s="235"/>
      <c r="AY405" s="235"/>
      <c r="AZ405" s="235"/>
      <c r="BA405" s="235"/>
      <c r="BB405" s="235"/>
      <c r="BC405" s="235"/>
      <c r="BD405" s="235"/>
      <c r="BE405" s="235"/>
      <c r="BF405" s="235"/>
    </row>
    <row r="406" spans="1:58" ht="15.75" customHeight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235"/>
      <c r="AF406" s="235"/>
      <c r="AG406" s="235"/>
      <c r="AH406" s="235"/>
      <c r="AI406" s="235"/>
      <c r="AJ406" s="235"/>
      <c r="AK406" s="235"/>
      <c r="AL406" s="235"/>
      <c r="AM406" s="235"/>
      <c r="AN406" s="235"/>
      <c r="AO406" s="235"/>
      <c r="AP406" s="235"/>
      <c r="AQ406" s="235"/>
      <c r="AR406" s="235"/>
      <c r="AS406" s="235"/>
      <c r="AT406" s="235"/>
      <c r="AU406" s="235"/>
      <c r="AV406" s="235"/>
      <c r="AW406" s="235"/>
      <c r="AX406" s="235"/>
      <c r="AY406" s="235"/>
      <c r="AZ406" s="235"/>
      <c r="BA406" s="235"/>
      <c r="BB406" s="235"/>
      <c r="BC406" s="235"/>
      <c r="BD406" s="235"/>
      <c r="BE406" s="235"/>
      <c r="BF406" s="235"/>
    </row>
    <row r="407" spans="1:58" ht="15.75" customHeight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235"/>
      <c r="AF407" s="235"/>
      <c r="AG407" s="235"/>
      <c r="AH407" s="235"/>
      <c r="AI407" s="235"/>
      <c r="AJ407" s="235"/>
      <c r="AK407" s="235"/>
      <c r="AL407" s="235"/>
      <c r="AM407" s="235"/>
      <c r="AN407" s="235"/>
      <c r="AO407" s="235"/>
      <c r="AP407" s="235"/>
      <c r="AQ407" s="235"/>
      <c r="AR407" s="235"/>
      <c r="AS407" s="235"/>
      <c r="AT407" s="235"/>
      <c r="AU407" s="235"/>
      <c r="AV407" s="235"/>
      <c r="AW407" s="235"/>
      <c r="AX407" s="235"/>
      <c r="AY407" s="235"/>
      <c r="AZ407" s="235"/>
      <c r="BA407" s="235"/>
      <c r="BB407" s="235"/>
      <c r="BC407" s="235"/>
      <c r="BD407" s="235"/>
      <c r="BE407" s="235"/>
      <c r="BF407" s="235"/>
    </row>
    <row r="408" spans="1:58" ht="15.75" customHeight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235"/>
      <c r="AF408" s="235"/>
      <c r="AG408" s="235"/>
      <c r="AH408" s="235"/>
      <c r="AI408" s="235"/>
      <c r="AJ408" s="235"/>
      <c r="AK408" s="235"/>
      <c r="AL408" s="235"/>
      <c r="AM408" s="235"/>
      <c r="AN408" s="235"/>
      <c r="AO408" s="235"/>
      <c r="AP408" s="235"/>
      <c r="AQ408" s="235"/>
      <c r="AR408" s="235"/>
      <c r="AS408" s="235"/>
      <c r="AT408" s="235"/>
      <c r="AU408" s="235"/>
      <c r="AV408" s="235"/>
      <c r="AW408" s="235"/>
      <c r="AX408" s="235"/>
      <c r="AY408" s="235"/>
      <c r="AZ408" s="235"/>
      <c r="BA408" s="235"/>
      <c r="BB408" s="235"/>
      <c r="BC408" s="235"/>
      <c r="BD408" s="235"/>
      <c r="BE408" s="235"/>
      <c r="BF408" s="235"/>
    </row>
    <row r="409" spans="1:58" ht="15.75" customHeight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235"/>
      <c r="AF409" s="235"/>
      <c r="AG409" s="235"/>
      <c r="AH409" s="235"/>
      <c r="AI409" s="235"/>
      <c r="AJ409" s="235"/>
      <c r="AK409" s="235"/>
      <c r="AL409" s="235"/>
      <c r="AM409" s="235"/>
      <c r="AN409" s="235"/>
      <c r="AO409" s="235"/>
      <c r="AP409" s="235"/>
      <c r="AQ409" s="235"/>
      <c r="AR409" s="235"/>
      <c r="AS409" s="235"/>
      <c r="AT409" s="235"/>
      <c r="AU409" s="235"/>
      <c r="AV409" s="235"/>
      <c r="AW409" s="235"/>
      <c r="AX409" s="235"/>
      <c r="AY409" s="235"/>
      <c r="AZ409" s="235"/>
      <c r="BA409" s="235"/>
      <c r="BB409" s="235"/>
      <c r="BC409" s="235"/>
      <c r="BD409" s="235"/>
      <c r="BE409" s="235"/>
      <c r="BF409" s="235"/>
    </row>
    <row r="410" spans="1:58" ht="15.75" customHeight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235"/>
      <c r="AF410" s="235"/>
      <c r="AG410" s="235"/>
      <c r="AH410" s="235"/>
      <c r="AI410" s="235"/>
      <c r="AJ410" s="235"/>
      <c r="AK410" s="235"/>
      <c r="AL410" s="235"/>
      <c r="AM410" s="235"/>
      <c r="AN410" s="235"/>
      <c r="AO410" s="235"/>
      <c r="AP410" s="235"/>
      <c r="AQ410" s="235"/>
      <c r="AR410" s="235"/>
      <c r="AS410" s="235"/>
      <c r="AT410" s="235"/>
      <c r="AU410" s="235"/>
      <c r="AV410" s="235"/>
      <c r="AW410" s="235"/>
      <c r="AX410" s="235"/>
      <c r="AY410" s="235"/>
      <c r="AZ410" s="235"/>
      <c r="BA410" s="235"/>
      <c r="BB410" s="235"/>
      <c r="BC410" s="235"/>
      <c r="BD410" s="235"/>
      <c r="BE410" s="235"/>
      <c r="BF410" s="235"/>
    </row>
    <row r="411" spans="1:58" ht="15.75" customHeight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235"/>
      <c r="AF411" s="235"/>
      <c r="AG411" s="235"/>
      <c r="AH411" s="235"/>
      <c r="AI411" s="235"/>
      <c r="AJ411" s="235"/>
      <c r="AK411" s="235"/>
      <c r="AL411" s="235"/>
      <c r="AM411" s="235"/>
      <c r="AN411" s="235"/>
      <c r="AO411" s="235"/>
      <c r="AP411" s="235"/>
      <c r="AQ411" s="235"/>
      <c r="AR411" s="235"/>
      <c r="AS411" s="235"/>
      <c r="AT411" s="235"/>
      <c r="AU411" s="235"/>
      <c r="AV411" s="235"/>
      <c r="AW411" s="235"/>
      <c r="AX411" s="235"/>
      <c r="AY411" s="235"/>
      <c r="AZ411" s="235"/>
      <c r="BA411" s="235"/>
      <c r="BB411" s="235"/>
      <c r="BC411" s="235"/>
      <c r="BD411" s="235"/>
      <c r="BE411" s="235"/>
      <c r="BF411" s="235"/>
    </row>
    <row r="412" spans="1:58" ht="15.75" customHeight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235"/>
      <c r="AF412" s="235"/>
      <c r="AG412" s="235"/>
      <c r="AH412" s="235"/>
      <c r="AI412" s="235"/>
      <c r="AJ412" s="235"/>
      <c r="AK412" s="235"/>
      <c r="AL412" s="235"/>
      <c r="AM412" s="235"/>
      <c r="AN412" s="235"/>
      <c r="AO412" s="235"/>
      <c r="AP412" s="235"/>
      <c r="AQ412" s="235"/>
      <c r="AR412" s="235"/>
      <c r="AS412" s="235"/>
      <c r="AT412" s="235"/>
      <c r="AU412" s="235"/>
      <c r="AV412" s="235"/>
      <c r="AW412" s="235"/>
      <c r="AX412" s="235"/>
      <c r="AY412" s="235"/>
      <c r="AZ412" s="235"/>
      <c r="BA412" s="235"/>
      <c r="BB412" s="235"/>
      <c r="BC412" s="235"/>
      <c r="BD412" s="235"/>
      <c r="BE412" s="235"/>
      <c r="BF412" s="235"/>
    </row>
    <row r="413" spans="1:58" ht="15.75" customHeight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235"/>
      <c r="AF413" s="235"/>
      <c r="AG413" s="235"/>
      <c r="AH413" s="235"/>
      <c r="AI413" s="235"/>
      <c r="AJ413" s="235"/>
      <c r="AK413" s="235"/>
      <c r="AL413" s="235"/>
      <c r="AM413" s="235"/>
      <c r="AN413" s="235"/>
      <c r="AO413" s="235"/>
      <c r="AP413" s="235"/>
      <c r="AQ413" s="235"/>
      <c r="AR413" s="235"/>
      <c r="AS413" s="235"/>
      <c r="AT413" s="235"/>
      <c r="AU413" s="235"/>
      <c r="AV413" s="235"/>
      <c r="AW413" s="235"/>
      <c r="AX413" s="235"/>
      <c r="AY413" s="235"/>
      <c r="AZ413" s="235"/>
      <c r="BA413" s="235"/>
      <c r="BB413" s="235"/>
      <c r="BC413" s="235"/>
      <c r="BD413" s="235"/>
      <c r="BE413" s="235"/>
      <c r="BF413" s="235"/>
    </row>
    <row r="414" spans="1:58" ht="15.75" customHeight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235"/>
      <c r="AF414" s="235"/>
      <c r="AG414" s="235"/>
      <c r="AH414" s="235"/>
      <c r="AI414" s="235"/>
      <c r="AJ414" s="235"/>
      <c r="AK414" s="235"/>
      <c r="AL414" s="235"/>
      <c r="AM414" s="235"/>
      <c r="AN414" s="235"/>
      <c r="AO414" s="235"/>
      <c r="AP414" s="235"/>
      <c r="AQ414" s="235"/>
      <c r="AR414" s="235"/>
      <c r="AS414" s="235"/>
      <c r="AT414" s="235"/>
      <c r="AU414" s="235"/>
      <c r="AV414" s="235"/>
      <c r="AW414" s="235"/>
      <c r="AX414" s="235"/>
      <c r="AY414" s="235"/>
      <c r="AZ414" s="235"/>
      <c r="BA414" s="235"/>
      <c r="BB414" s="235"/>
      <c r="BC414" s="235"/>
      <c r="BD414" s="235"/>
      <c r="BE414" s="235"/>
      <c r="BF414" s="235"/>
    </row>
    <row r="415" spans="1:58" ht="15.75" customHeight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235"/>
      <c r="AF415" s="235"/>
      <c r="AG415" s="235"/>
      <c r="AH415" s="235"/>
      <c r="AI415" s="235"/>
      <c r="AJ415" s="235"/>
      <c r="AK415" s="235"/>
      <c r="AL415" s="235"/>
      <c r="AM415" s="235"/>
      <c r="AN415" s="235"/>
      <c r="AO415" s="235"/>
      <c r="AP415" s="235"/>
      <c r="AQ415" s="235"/>
      <c r="AR415" s="235"/>
      <c r="AS415" s="235"/>
      <c r="AT415" s="235"/>
      <c r="AU415" s="235"/>
      <c r="AV415" s="235"/>
      <c r="AW415" s="235"/>
      <c r="AX415" s="235"/>
      <c r="AY415" s="235"/>
      <c r="AZ415" s="235"/>
      <c r="BA415" s="235"/>
      <c r="BB415" s="235"/>
      <c r="BC415" s="235"/>
      <c r="BD415" s="235"/>
      <c r="BE415" s="235"/>
      <c r="BF415" s="235"/>
    </row>
    <row r="416" spans="1:58" ht="15.75" customHeight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235"/>
      <c r="AF416" s="235"/>
      <c r="AG416" s="235"/>
      <c r="AH416" s="235"/>
      <c r="AI416" s="235"/>
      <c r="AJ416" s="235"/>
      <c r="AK416" s="235"/>
      <c r="AL416" s="235"/>
      <c r="AM416" s="235"/>
      <c r="AN416" s="235"/>
      <c r="AO416" s="235"/>
      <c r="AP416" s="235"/>
      <c r="AQ416" s="235"/>
      <c r="AR416" s="235"/>
      <c r="AS416" s="235"/>
      <c r="AT416" s="235"/>
      <c r="AU416" s="235"/>
      <c r="AV416" s="235"/>
      <c r="AW416" s="235"/>
      <c r="AX416" s="235"/>
      <c r="AY416" s="235"/>
      <c r="AZ416" s="235"/>
      <c r="BA416" s="235"/>
      <c r="BB416" s="235"/>
      <c r="BC416" s="235"/>
      <c r="BD416" s="235"/>
      <c r="BE416" s="235"/>
      <c r="BF416" s="235"/>
    </row>
    <row r="417" spans="1:58" ht="15.75" customHeight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235"/>
      <c r="AF417" s="235"/>
      <c r="AG417" s="235"/>
      <c r="AH417" s="235"/>
      <c r="AI417" s="235"/>
      <c r="AJ417" s="235"/>
      <c r="AK417" s="235"/>
      <c r="AL417" s="235"/>
      <c r="AM417" s="235"/>
      <c r="AN417" s="235"/>
      <c r="AO417" s="235"/>
      <c r="AP417" s="235"/>
      <c r="AQ417" s="235"/>
      <c r="AR417" s="235"/>
      <c r="AS417" s="235"/>
      <c r="AT417" s="235"/>
      <c r="AU417" s="235"/>
      <c r="AV417" s="235"/>
      <c r="AW417" s="235"/>
      <c r="AX417" s="235"/>
      <c r="AY417" s="235"/>
      <c r="AZ417" s="235"/>
      <c r="BA417" s="235"/>
      <c r="BB417" s="235"/>
      <c r="BC417" s="235"/>
      <c r="BD417" s="235"/>
      <c r="BE417" s="235"/>
      <c r="BF417" s="235"/>
    </row>
    <row r="418" spans="1:58" ht="15.75" customHeight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235"/>
      <c r="AF418" s="235"/>
      <c r="AG418" s="235"/>
      <c r="AH418" s="235"/>
      <c r="AI418" s="235"/>
      <c r="AJ418" s="235"/>
      <c r="AK418" s="235"/>
      <c r="AL418" s="235"/>
      <c r="AM418" s="235"/>
      <c r="AN418" s="235"/>
      <c r="AO418" s="235"/>
      <c r="AP418" s="235"/>
      <c r="AQ418" s="235"/>
      <c r="AR418" s="235"/>
      <c r="AS418" s="235"/>
      <c r="AT418" s="235"/>
      <c r="AU418" s="235"/>
      <c r="AV418" s="235"/>
      <c r="AW418" s="235"/>
      <c r="AX418" s="235"/>
      <c r="AY418" s="235"/>
      <c r="AZ418" s="235"/>
      <c r="BA418" s="235"/>
      <c r="BB418" s="235"/>
      <c r="BC418" s="235"/>
      <c r="BD418" s="235"/>
      <c r="BE418" s="235"/>
      <c r="BF418" s="235"/>
    </row>
    <row r="419" spans="1:58" ht="15.75" customHeight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235"/>
      <c r="AF419" s="235"/>
      <c r="AG419" s="235"/>
      <c r="AH419" s="235"/>
      <c r="AI419" s="235"/>
      <c r="AJ419" s="235"/>
      <c r="AK419" s="235"/>
      <c r="AL419" s="235"/>
      <c r="AM419" s="235"/>
      <c r="AN419" s="235"/>
      <c r="AO419" s="235"/>
      <c r="AP419" s="235"/>
      <c r="AQ419" s="235"/>
      <c r="AR419" s="235"/>
      <c r="AS419" s="235"/>
      <c r="AT419" s="235"/>
      <c r="AU419" s="235"/>
      <c r="AV419" s="235"/>
      <c r="AW419" s="235"/>
      <c r="AX419" s="235"/>
      <c r="AY419" s="235"/>
      <c r="AZ419" s="235"/>
      <c r="BA419" s="235"/>
      <c r="BB419" s="235"/>
      <c r="BC419" s="235"/>
      <c r="BD419" s="235"/>
      <c r="BE419" s="235"/>
      <c r="BF419" s="235"/>
    </row>
    <row r="420" spans="1:58" ht="15.75" customHeight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235"/>
      <c r="AF420" s="235"/>
      <c r="AG420" s="235"/>
      <c r="AH420" s="235"/>
      <c r="AI420" s="235"/>
      <c r="AJ420" s="235"/>
      <c r="AK420" s="235"/>
      <c r="AL420" s="235"/>
      <c r="AM420" s="235"/>
      <c r="AN420" s="235"/>
      <c r="AO420" s="235"/>
      <c r="AP420" s="235"/>
      <c r="AQ420" s="235"/>
      <c r="AR420" s="235"/>
      <c r="AS420" s="235"/>
      <c r="AT420" s="235"/>
      <c r="AU420" s="235"/>
      <c r="AV420" s="235"/>
      <c r="AW420" s="235"/>
      <c r="AX420" s="235"/>
      <c r="AY420" s="235"/>
      <c r="AZ420" s="235"/>
      <c r="BA420" s="235"/>
      <c r="BB420" s="235"/>
      <c r="BC420" s="235"/>
      <c r="BD420" s="235"/>
      <c r="BE420" s="235"/>
      <c r="BF420" s="235"/>
    </row>
    <row r="421" spans="1:58" ht="15.75" customHeight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235"/>
      <c r="AF421" s="235"/>
      <c r="AG421" s="235"/>
      <c r="AH421" s="235"/>
      <c r="AI421" s="235"/>
      <c r="AJ421" s="235"/>
      <c r="AK421" s="235"/>
      <c r="AL421" s="235"/>
      <c r="AM421" s="235"/>
      <c r="AN421" s="235"/>
      <c r="AO421" s="235"/>
      <c r="AP421" s="235"/>
      <c r="AQ421" s="235"/>
      <c r="AR421" s="235"/>
      <c r="AS421" s="235"/>
      <c r="AT421" s="235"/>
      <c r="AU421" s="235"/>
      <c r="AV421" s="235"/>
      <c r="AW421" s="235"/>
      <c r="AX421" s="235"/>
      <c r="AY421" s="235"/>
      <c r="AZ421" s="235"/>
      <c r="BA421" s="235"/>
      <c r="BB421" s="235"/>
      <c r="BC421" s="235"/>
      <c r="BD421" s="235"/>
      <c r="BE421" s="235"/>
      <c r="BF421" s="235"/>
    </row>
    <row r="422" spans="1:58" ht="15.75" customHeight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235"/>
      <c r="AF422" s="235"/>
      <c r="AG422" s="235"/>
      <c r="AH422" s="235"/>
      <c r="AI422" s="235"/>
      <c r="AJ422" s="235"/>
      <c r="AK422" s="235"/>
      <c r="AL422" s="235"/>
      <c r="AM422" s="235"/>
      <c r="AN422" s="235"/>
      <c r="AO422" s="235"/>
      <c r="AP422" s="235"/>
      <c r="AQ422" s="235"/>
      <c r="AR422" s="235"/>
      <c r="AS422" s="235"/>
      <c r="AT422" s="235"/>
      <c r="AU422" s="235"/>
      <c r="AV422" s="235"/>
      <c r="AW422" s="235"/>
      <c r="AX422" s="235"/>
      <c r="AY422" s="235"/>
      <c r="AZ422" s="235"/>
      <c r="BA422" s="235"/>
      <c r="BB422" s="235"/>
      <c r="BC422" s="235"/>
      <c r="BD422" s="235"/>
      <c r="BE422" s="235"/>
      <c r="BF422" s="235"/>
    </row>
    <row r="423" spans="1:58" ht="15.75" customHeight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235"/>
      <c r="AF423" s="235"/>
      <c r="AG423" s="235"/>
      <c r="AH423" s="235"/>
      <c r="AI423" s="235"/>
      <c r="AJ423" s="235"/>
      <c r="AK423" s="235"/>
      <c r="AL423" s="235"/>
      <c r="AM423" s="235"/>
      <c r="AN423" s="235"/>
      <c r="AO423" s="235"/>
      <c r="AP423" s="235"/>
      <c r="AQ423" s="235"/>
      <c r="AR423" s="235"/>
      <c r="AS423" s="235"/>
      <c r="AT423" s="235"/>
      <c r="AU423" s="235"/>
      <c r="AV423" s="235"/>
      <c r="AW423" s="235"/>
      <c r="AX423" s="235"/>
      <c r="AY423" s="235"/>
      <c r="AZ423" s="235"/>
      <c r="BA423" s="235"/>
      <c r="BB423" s="235"/>
      <c r="BC423" s="235"/>
      <c r="BD423" s="235"/>
      <c r="BE423" s="235"/>
      <c r="BF423" s="235"/>
    </row>
    <row r="424" spans="1:58" ht="15.75" customHeight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235"/>
      <c r="AF424" s="235"/>
      <c r="AG424" s="235"/>
      <c r="AH424" s="235"/>
      <c r="AI424" s="235"/>
      <c r="AJ424" s="235"/>
      <c r="AK424" s="235"/>
      <c r="AL424" s="235"/>
      <c r="AM424" s="235"/>
      <c r="AN424" s="235"/>
      <c r="AO424" s="235"/>
      <c r="AP424" s="235"/>
      <c r="AQ424" s="235"/>
      <c r="AR424" s="235"/>
      <c r="AS424" s="235"/>
      <c r="AT424" s="235"/>
      <c r="AU424" s="235"/>
      <c r="AV424" s="235"/>
      <c r="AW424" s="235"/>
      <c r="AX424" s="235"/>
      <c r="AY424" s="235"/>
      <c r="AZ424" s="235"/>
      <c r="BA424" s="235"/>
      <c r="BB424" s="235"/>
      <c r="BC424" s="235"/>
      <c r="BD424" s="235"/>
      <c r="BE424" s="235"/>
      <c r="BF424" s="235"/>
    </row>
    <row r="425" spans="1:58" ht="15.75" customHeight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235"/>
      <c r="AF425" s="235"/>
      <c r="AG425" s="235"/>
      <c r="AH425" s="235"/>
      <c r="AI425" s="235"/>
      <c r="AJ425" s="235"/>
      <c r="AK425" s="235"/>
      <c r="AL425" s="235"/>
      <c r="AM425" s="235"/>
      <c r="AN425" s="235"/>
      <c r="AO425" s="235"/>
      <c r="AP425" s="235"/>
      <c r="AQ425" s="235"/>
      <c r="AR425" s="235"/>
      <c r="AS425" s="235"/>
      <c r="AT425" s="235"/>
      <c r="AU425" s="235"/>
      <c r="AV425" s="235"/>
      <c r="AW425" s="235"/>
      <c r="AX425" s="235"/>
      <c r="AY425" s="235"/>
      <c r="AZ425" s="235"/>
      <c r="BA425" s="235"/>
      <c r="BB425" s="235"/>
      <c r="BC425" s="235"/>
      <c r="BD425" s="235"/>
      <c r="BE425" s="235"/>
      <c r="BF425" s="235"/>
    </row>
    <row r="426" spans="1:58" ht="15.75" customHeight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235"/>
      <c r="AF426" s="235"/>
      <c r="AG426" s="235"/>
      <c r="AH426" s="235"/>
      <c r="AI426" s="235"/>
      <c r="AJ426" s="235"/>
      <c r="AK426" s="235"/>
      <c r="AL426" s="235"/>
      <c r="AM426" s="235"/>
      <c r="AN426" s="235"/>
      <c r="AO426" s="235"/>
      <c r="AP426" s="235"/>
      <c r="AQ426" s="235"/>
      <c r="AR426" s="235"/>
      <c r="AS426" s="235"/>
      <c r="AT426" s="235"/>
      <c r="AU426" s="235"/>
      <c r="AV426" s="235"/>
      <c r="AW426" s="235"/>
      <c r="AX426" s="235"/>
      <c r="AY426" s="235"/>
      <c r="AZ426" s="235"/>
      <c r="BA426" s="235"/>
      <c r="BB426" s="235"/>
      <c r="BC426" s="235"/>
      <c r="BD426" s="235"/>
      <c r="BE426" s="235"/>
      <c r="BF426" s="235"/>
    </row>
    <row r="427" spans="1:58" ht="15.75" customHeight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235"/>
      <c r="AF427" s="235"/>
      <c r="AG427" s="235"/>
      <c r="AH427" s="235"/>
      <c r="AI427" s="235"/>
      <c r="AJ427" s="235"/>
      <c r="AK427" s="235"/>
      <c r="AL427" s="235"/>
      <c r="AM427" s="235"/>
      <c r="AN427" s="235"/>
      <c r="AO427" s="235"/>
      <c r="AP427" s="235"/>
      <c r="AQ427" s="235"/>
      <c r="AR427" s="235"/>
      <c r="AS427" s="235"/>
      <c r="AT427" s="235"/>
      <c r="AU427" s="235"/>
      <c r="AV427" s="235"/>
      <c r="AW427" s="235"/>
      <c r="AX427" s="235"/>
      <c r="AY427" s="235"/>
      <c r="AZ427" s="235"/>
      <c r="BA427" s="235"/>
      <c r="BB427" s="235"/>
      <c r="BC427" s="235"/>
      <c r="BD427" s="235"/>
      <c r="BE427" s="235"/>
      <c r="BF427" s="235"/>
    </row>
    <row r="428" spans="1:58" ht="15.75" customHeight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235"/>
      <c r="AF428" s="235"/>
      <c r="AG428" s="235"/>
      <c r="AH428" s="235"/>
      <c r="AI428" s="235"/>
      <c r="AJ428" s="235"/>
      <c r="AK428" s="235"/>
      <c r="AL428" s="235"/>
      <c r="AM428" s="235"/>
      <c r="AN428" s="235"/>
      <c r="AO428" s="235"/>
      <c r="AP428" s="235"/>
      <c r="AQ428" s="235"/>
      <c r="AR428" s="235"/>
      <c r="AS428" s="235"/>
      <c r="AT428" s="235"/>
      <c r="AU428" s="235"/>
      <c r="AV428" s="235"/>
      <c r="AW428" s="235"/>
      <c r="AX428" s="235"/>
      <c r="AY428" s="235"/>
      <c r="AZ428" s="235"/>
      <c r="BA428" s="235"/>
      <c r="BB428" s="235"/>
      <c r="BC428" s="235"/>
      <c r="BD428" s="235"/>
      <c r="BE428" s="235"/>
      <c r="BF428" s="235"/>
    </row>
    <row r="429" spans="1:58" ht="15.75" customHeight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235"/>
      <c r="AF429" s="235"/>
      <c r="AG429" s="235"/>
      <c r="AH429" s="235"/>
      <c r="AI429" s="235"/>
      <c r="AJ429" s="235"/>
      <c r="AK429" s="235"/>
      <c r="AL429" s="235"/>
      <c r="AM429" s="235"/>
      <c r="AN429" s="235"/>
      <c r="AO429" s="235"/>
      <c r="AP429" s="235"/>
      <c r="AQ429" s="235"/>
      <c r="AR429" s="235"/>
      <c r="AS429" s="235"/>
      <c r="AT429" s="235"/>
      <c r="AU429" s="235"/>
      <c r="AV429" s="235"/>
      <c r="AW429" s="235"/>
      <c r="AX429" s="235"/>
      <c r="AY429" s="235"/>
      <c r="AZ429" s="235"/>
      <c r="BA429" s="235"/>
      <c r="BB429" s="235"/>
      <c r="BC429" s="235"/>
      <c r="BD429" s="235"/>
      <c r="BE429" s="235"/>
      <c r="BF429" s="235"/>
    </row>
    <row r="430" spans="1:58" ht="15.75" customHeight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235"/>
      <c r="AF430" s="235"/>
      <c r="AG430" s="235"/>
      <c r="AH430" s="235"/>
      <c r="AI430" s="235"/>
      <c r="AJ430" s="235"/>
      <c r="AK430" s="235"/>
      <c r="AL430" s="235"/>
      <c r="AM430" s="235"/>
      <c r="AN430" s="235"/>
      <c r="AO430" s="235"/>
      <c r="AP430" s="235"/>
      <c r="AQ430" s="235"/>
      <c r="AR430" s="235"/>
      <c r="AS430" s="235"/>
      <c r="AT430" s="235"/>
      <c r="AU430" s="235"/>
      <c r="AV430" s="235"/>
      <c r="AW430" s="235"/>
      <c r="AX430" s="235"/>
      <c r="AY430" s="235"/>
      <c r="AZ430" s="235"/>
      <c r="BA430" s="235"/>
      <c r="BB430" s="235"/>
      <c r="BC430" s="235"/>
      <c r="BD430" s="235"/>
      <c r="BE430" s="235"/>
      <c r="BF430" s="235"/>
    </row>
    <row r="431" spans="1:58" ht="15.75" customHeight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235"/>
      <c r="AF431" s="235"/>
      <c r="AG431" s="235"/>
      <c r="AH431" s="235"/>
      <c r="AI431" s="235"/>
      <c r="AJ431" s="235"/>
      <c r="AK431" s="235"/>
      <c r="AL431" s="235"/>
      <c r="AM431" s="235"/>
      <c r="AN431" s="235"/>
      <c r="AO431" s="235"/>
      <c r="AP431" s="235"/>
      <c r="AQ431" s="235"/>
      <c r="AR431" s="235"/>
      <c r="AS431" s="235"/>
      <c r="AT431" s="235"/>
      <c r="AU431" s="235"/>
      <c r="AV431" s="235"/>
      <c r="AW431" s="235"/>
      <c r="AX431" s="235"/>
      <c r="AY431" s="235"/>
      <c r="AZ431" s="235"/>
      <c r="BA431" s="235"/>
      <c r="BB431" s="235"/>
      <c r="BC431" s="235"/>
      <c r="BD431" s="235"/>
      <c r="BE431" s="235"/>
      <c r="BF431" s="235"/>
    </row>
    <row r="432" spans="1:58" ht="15.75" customHeight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235"/>
      <c r="AF432" s="235"/>
      <c r="AG432" s="235"/>
      <c r="AH432" s="235"/>
      <c r="AI432" s="235"/>
      <c r="AJ432" s="235"/>
      <c r="AK432" s="235"/>
      <c r="AL432" s="235"/>
      <c r="AM432" s="235"/>
      <c r="AN432" s="235"/>
      <c r="AO432" s="235"/>
      <c r="AP432" s="235"/>
      <c r="AQ432" s="235"/>
      <c r="AR432" s="235"/>
      <c r="AS432" s="235"/>
      <c r="AT432" s="235"/>
      <c r="AU432" s="235"/>
      <c r="AV432" s="235"/>
      <c r="AW432" s="235"/>
      <c r="AX432" s="235"/>
      <c r="AY432" s="235"/>
      <c r="AZ432" s="235"/>
      <c r="BA432" s="235"/>
      <c r="BB432" s="235"/>
      <c r="BC432" s="235"/>
      <c r="BD432" s="235"/>
      <c r="BE432" s="235"/>
      <c r="BF432" s="235"/>
    </row>
    <row r="433" spans="1:58" ht="15.75" customHeight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235"/>
      <c r="AF433" s="235"/>
      <c r="AG433" s="235"/>
      <c r="AH433" s="235"/>
      <c r="AI433" s="235"/>
      <c r="AJ433" s="235"/>
      <c r="AK433" s="235"/>
      <c r="AL433" s="235"/>
      <c r="AM433" s="235"/>
      <c r="AN433" s="235"/>
      <c r="AO433" s="235"/>
      <c r="AP433" s="235"/>
      <c r="AQ433" s="235"/>
      <c r="AR433" s="235"/>
      <c r="AS433" s="235"/>
      <c r="AT433" s="235"/>
      <c r="AU433" s="235"/>
      <c r="AV433" s="235"/>
      <c r="AW433" s="235"/>
      <c r="AX433" s="235"/>
      <c r="AY433" s="235"/>
      <c r="AZ433" s="235"/>
      <c r="BA433" s="235"/>
      <c r="BB433" s="235"/>
      <c r="BC433" s="235"/>
      <c r="BD433" s="235"/>
      <c r="BE433" s="235"/>
      <c r="BF433" s="235"/>
    </row>
    <row r="434" spans="1:58" ht="15.75" customHeight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235"/>
      <c r="AF434" s="235"/>
      <c r="AG434" s="235"/>
      <c r="AH434" s="235"/>
      <c r="AI434" s="235"/>
      <c r="AJ434" s="235"/>
      <c r="AK434" s="235"/>
      <c r="AL434" s="235"/>
      <c r="AM434" s="235"/>
      <c r="AN434" s="235"/>
      <c r="AO434" s="235"/>
      <c r="AP434" s="235"/>
      <c r="AQ434" s="235"/>
      <c r="AR434" s="235"/>
      <c r="AS434" s="235"/>
      <c r="AT434" s="235"/>
      <c r="AU434" s="235"/>
      <c r="AV434" s="235"/>
      <c r="AW434" s="235"/>
      <c r="AX434" s="235"/>
      <c r="AY434" s="235"/>
      <c r="AZ434" s="235"/>
      <c r="BA434" s="235"/>
      <c r="BB434" s="235"/>
      <c r="BC434" s="235"/>
      <c r="BD434" s="235"/>
      <c r="BE434" s="235"/>
      <c r="BF434" s="235"/>
    </row>
    <row r="435" spans="1:58" ht="15.75" customHeight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235"/>
      <c r="AF435" s="235"/>
      <c r="AG435" s="235"/>
      <c r="AH435" s="235"/>
      <c r="AI435" s="235"/>
      <c r="AJ435" s="235"/>
      <c r="AK435" s="235"/>
      <c r="AL435" s="235"/>
      <c r="AM435" s="235"/>
      <c r="AN435" s="235"/>
      <c r="AO435" s="235"/>
      <c r="AP435" s="235"/>
      <c r="AQ435" s="235"/>
      <c r="AR435" s="235"/>
      <c r="AS435" s="235"/>
      <c r="AT435" s="235"/>
      <c r="AU435" s="235"/>
      <c r="AV435" s="235"/>
      <c r="AW435" s="235"/>
      <c r="AX435" s="235"/>
      <c r="AY435" s="235"/>
      <c r="AZ435" s="235"/>
      <c r="BA435" s="235"/>
      <c r="BB435" s="235"/>
      <c r="BC435" s="235"/>
      <c r="BD435" s="235"/>
      <c r="BE435" s="235"/>
      <c r="BF435" s="235"/>
    </row>
    <row r="436" spans="1:58" ht="15.75" customHeight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235"/>
      <c r="AF436" s="235"/>
      <c r="AG436" s="235"/>
      <c r="AH436" s="235"/>
      <c r="AI436" s="235"/>
      <c r="AJ436" s="235"/>
      <c r="AK436" s="235"/>
      <c r="AL436" s="235"/>
      <c r="AM436" s="235"/>
      <c r="AN436" s="235"/>
      <c r="AO436" s="235"/>
      <c r="AP436" s="235"/>
      <c r="AQ436" s="235"/>
      <c r="AR436" s="235"/>
      <c r="AS436" s="235"/>
      <c r="AT436" s="235"/>
      <c r="AU436" s="235"/>
      <c r="AV436" s="235"/>
      <c r="AW436" s="235"/>
      <c r="AX436" s="235"/>
      <c r="AY436" s="235"/>
      <c r="AZ436" s="235"/>
      <c r="BA436" s="235"/>
      <c r="BB436" s="235"/>
      <c r="BC436" s="235"/>
      <c r="BD436" s="235"/>
      <c r="BE436" s="235"/>
      <c r="BF436" s="235"/>
    </row>
    <row r="437" spans="1:58" ht="15.75" customHeight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  <c r="AA437" s="114"/>
      <c r="AB437" s="114"/>
      <c r="AC437" s="114"/>
      <c r="AD437" s="114"/>
      <c r="AE437" s="235"/>
      <c r="AF437" s="235"/>
      <c r="AG437" s="235"/>
      <c r="AH437" s="235"/>
      <c r="AI437" s="235"/>
      <c r="AJ437" s="235"/>
      <c r="AK437" s="235"/>
      <c r="AL437" s="235"/>
      <c r="AM437" s="235"/>
      <c r="AN437" s="235"/>
      <c r="AO437" s="235"/>
      <c r="AP437" s="235"/>
      <c r="AQ437" s="235"/>
      <c r="AR437" s="235"/>
      <c r="AS437" s="235"/>
      <c r="AT437" s="235"/>
      <c r="AU437" s="235"/>
      <c r="AV437" s="235"/>
      <c r="AW437" s="235"/>
      <c r="AX437" s="235"/>
      <c r="AY437" s="235"/>
      <c r="AZ437" s="235"/>
      <c r="BA437" s="235"/>
      <c r="BB437" s="235"/>
      <c r="BC437" s="235"/>
      <c r="BD437" s="235"/>
      <c r="BE437" s="235"/>
      <c r="BF437" s="235"/>
    </row>
    <row r="438" spans="1:58" ht="15.75" customHeight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235"/>
      <c r="AF438" s="235"/>
      <c r="AG438" s="235"/>
      <c r="AH438" s="235"/>
      <c r="AI438" s="235"/>
      <c r="AJ438" s="235"/>
      <c r="AK438" s="235"/>
      <c r="AL438" s="235"/>
      <c r="AM438" s="235"/>
      <c r="AN438" s="235"/>
      <c r="AO438" s="235"/>
      <c r="AP438" s="235"/>
      <c r="AQ438" s="235"/>
      <c r="AR438" s="235"/>
      <c r="AS438" s="235"/>
      <c r="AT438" s="235"/>
      <c r="AU438" s="235"/>
      <c r="AV438" s="235"/>
      <c r="AW438" s="235"/>
      <c r="AX438" s="235"/>
      <c r="AY438" s="235"/>
      <c r="AZ438" s="235"/>
      <c r="BA438" s="235"/>
      <c r="BB438" s="235"/>
      <c r="BC438" s="235"/>
      <c r="BD438" s="235"/>
      <c r="BE438" s="235"/>
      <c r="BF438" s="235"/>
    </row>
    <row r="439" spans="1:58" ht="15.75" customHeight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235"/>
      <c r="AF439" s="235"/>
      <c r="AG439" s="235"/>
      <c r="AH439" s="235"/>
      <c r="AI439" s="235"/>
      <c r="AJ439" s="235"/>
      <c r="AK439" s="235"/>
      <c r="AL439" s="235"/>
      <c r="AM439" s="235"/>
      <c r="AN439" s="235"/>
      <c r="AO439" s="235"/>
      <c r="AP439" s="235"/>
      <c r="AQ439" s="235"/>
      <c r="AR439" s="235"/>
      <c r="AS439" s="235"/>
      <c r="AT439" s="235"/>
      <c r="AU439" s="235"/>
      <c r="AV439" s="235"/>
      <c r="AW439" s="235"/>
      <c r="AX439" s="235"/>
      <c r="AY439" s="235"/>
      <c r="AZ439" s="235"/>
      <c r="BA439" s="235"/>
      <c r="BB439" s="235"/>
      <c r="BC439" s="235"/>
      <c r="BD439" s="235"/>
      <c r="BE439" s="235"/>
      <c r="BF439" s="235"/>
    </row>
    <row r="440" spans="1:58" ht="15.75" customHeight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235"/>
      <c r="AF440" s="235"/>
      <c r="AG440" s="235"/>
      <c r="AH440" s="235"/>
      <c r="AI440" s="235"/>
      <c r="AJ440" s="235"/>
      <c r="AK440" s="235"/>
      <c r="AL440" s="235"/>
      <c r="AM440" s="235"/>
      <c r="AN440" s="235"/>
      <c r="AO440" s="235"/>
      <c r="AP440" s="235"/>
      <c r="AQ440" s="235"/>
      <c r="AR440" s="235"/>
      <c r="AS440" s="235"/>
      <c r="AT440" s="235"/>
      <c r="AU440" s="235"/>
      <c r="AV440" s="235"/>
      <c r="AW440" s="235"/>
      <c r="AX440" s="235"/>
      <c r="AY440" s="235"/>
      <c r="AZ440" s="235"/>
      <c r="BA440" s="235"/>
      <c r="BB440" s="235"/>
      <c r="BC440" s="235"/>
      <c r="BD440" s="235"/>
      <c r="BE440" s="235"/>
      <c r="BF440" s="235"/>
    </row>
    <row r="441" spans="1:58" ht="15.75" customHeight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  <c r="AD441" s="114"/>
      <c r="AE441" s="235"/>
      <c r="AF441" s="235"/>
      <c r="AG441" s="235"/>
      <c r="AH441" s="235"/>
      <c r="AI441" s="235"/>
      <c r="AJ441" s="235"/>
      <c r="AK441" s="235"/>
      <c r="AL441" s="235"/>
      <c r="AM441" s="235"/>
      <c r="AN441" s="235"/>
      <c r="AO441" s="235"/>
      <c r="AP441" s="235"/>
      <c r="AQ441" s="235"/>
      <c r="AR441" s="235"/>
      <c r="AS441" s="235"/>
      <c r="AT441" s="235"/>
      <c r="AU441" s="235"/>
      <c r="AV441" s="235"/>
      <c r="AW441" s="235"/>
      <c r="AX441" s="235"/>
      <c r="AY441" s="235"/>
      <c r="AZ441" s="235"/>
      <c r="BA441" s="235"/>
      <c r="BB441" s="235"/>
      <c r="BC441" s="235"/>
      <c r="BD441" s="235"/>
      <c r="BE441" s="235"/>
      <c r="BF441" s="235"/>
    </row>
    <row r="442" spans="1:58" ht="15.75" customHeight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  <c r="AC442" s="114"/>
      <c r="AD442" s="114"/>
      <c r="AE442" s="235"/>
      <c r="AF442" s="235"/>
      <c r="AG442" s="235"/>
      <c r="AH442" s="235"/>
      <c r="AI442" s="235"/>
      <c r="AJ442" s="235"/>
      <c r="AK442" s="235"/>
      <c r="AL442" s="235"/>
      <c r="AM442" s="235"/>
      <c r="AN442" s="235"/>
      <c r="AO442" s="235"/>
      <c r="AP442" s="235"/>
      <c r="AQ442" s="235"/>
      <c r="AR442" s="235"/>
      <c r="AS442" s="235"/>
      <c r="AT442" s="235"/>
      <c r="AU442" s="235"/>
      <c r="AV442" s="235"/>
      <c r="AW442" s="235"/>
      <c r="AX442" s="235"/>
      <c r="AY442" s="235"/>
      <c r="AZ442" s="235"/>
      <c r="BA442" s="235"/>
      <c r="BB442" s="235"/>
      <c r="BC442" s="235"/>
      <c r="BD442" s="235"/>
      <c r="BE442" s="235"/>
      <c r="BF442" s="235"/>
    </row>
    <row r="443" spans="1:58" ht="15.75" customHeight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235"/>
      <c r="AF443" s="235"/>
      <c r="AG443" s="235"/>
      <c r="AH443" s="235"/>
      <c r="AI443" s="235"/>
      <c r="AJ443" s="235"/>
      <c r="AK443" s="235"/>
      <c r="AL443" s="235"/>
      <c r="AM443" s="235"/>
      <c r="AN443" s="235"/>
      <c r="AO443" s="235"/>
      <c r="AP443" s="235"/>
      <c r="AQ443" s="235"/>
      <c r="AR443" s="235"/>
      <c r="AS443" s="235"/>
      <c r="AT443" s="235"/>
      <c r="AU443" s="235"/>
      <c r="AV443" s="235"/>
      <c r="AW443" s="235"/>
      <c r="AX443" s="235"/>
      <c r="AY443" s="235"/>
      <c r="AZ443" s="235"/>
      <c r="BA443" s="235"/>
      <c r="BB443" s="235"/>
      <c r="BC443" s="235"/>
      <c r="BD443" s="235"/>
      <c r="BE443" s="235"/>
      <c r="BF443" s="235"/>
    </row>
    <row r="444" spans="1:58" ht="15.75" customHeight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235"/>
      <c r="AF444" s="235"/>
      <c r="AG444" s="235"/>
      <c r="AH444" s="235"/>
      <c r="AI444" s="235"/>
      <c r="AJ444" s="235"/>
      <c r="AK444" s="235"/>
      <c r="AL444" s="235"/>
      <c r="AM444" s="235"/>
      <c r="AN444" s="235"/>
      <c r="AO444" s="235"/>
      <c r="AP444" s="235"/>
      <c r="AQ444" s="235"/>
      <c r="AR444" s="235"/>
      <c r="AS444" s="235"/>
      <c r="AT444" s="235"/>
      <c r="AU444" s="235"/>
      <c r="AV444" s="235"/>
      <c r="AW444" s="235"/>
      <c r="AX444" s="235"/>
      <c r="AY444" s="235"/>
      <c r="AZ444" s="235"/>
      <c r="BA444" s="235"/>
      <c r="BB444" s="235"/>
      <c r="BC444" s="235"/>
      <c r="BD444" s="235"/>
      <c r="BE444" s="235"/>
      <c r="BF444" s="235"/>
    </row>
    <row r="445" spans="1:58" ht="15.75" customHeight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  <c r="AA445" s="114"/>
      <c r="AB445" s="114"/>
      <c r="AC445" s="114"/>
      <c r="AD445" s="114"/>
      <c r="AE445" s="235"/>
      <c r="AF445" s="235"/>
      <c r="AG445" s="235"/>
      <c r="AH445" s="235"/>
      <c r="AI445" s="235"/>
      <c r="AJ445" s="235"/>
      <c r="AK445" s="235"/>
      <c r="AL445" s="235"/>
      <c r="AM445" s="235"/>
      <c r="AN445" s="235"/>
      <c r="AO445" s="235"/>
      <c r="AP445" s="235"/>
      <c r="AQ445" s="235"/>
      <c r="AR445" s="235"/>
      <c r="AS445" s="235"/>
      <c r="AT445" s="235"/>
      <c r="AU445" s="235"/>
      <c r="AV445" s="235"/>
      <c r="AW445" s="235"/>
      <c r="AX445" s="235"/>
      <c r="AY445" s="235"/>
      <c r="AZ445" s="235"/>
      <c r="BA445" s="235"/>
      <c r="BB445" s="235"/>
      <c r="BC445" s="235"/>
      <c r="BD445" s="235"/>
      <c r="BE445" s="235"/>
      <c r="BF445" s="235"/>
    </row>
    <row r="446" spans="1:58" ht="15.75" customHeight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  <c r="AA446" s="114"/>
      <c r="AB446" s="114"/>
      <c r="AC446" s="114"/>
      <c r="AD446" s="114"/>
      <c r="AE446" s="235"/>
      <c r="AF446" s="235"/>
      <c r="AG446" s="235"/>
      <c r="AH446" s="235"/>
      <c r="AI446" s="235"/>
      <c r="AJ446" s="235"/>
      <c r="AK446" s="235"/>
      <c r="AL446" s="235"/>
      <c r="AM446" s="235"/>
      <c r="AN446" s="235"/>
      <c r="AO446" s="235"/>
      <c r="AP446" s="235"/>
      <c r="AQ446" s="235"/>
      <c r="AR446" s="235"/>
      <c r="AS446" s="235"/>
      <c r="AT446" s="235"/>
      <c r="AU446" s="235"/>
      <c r="AV446" s="235"/>
      <c r="AW446" s="235"/>
      <c r="AX446" s="235"/>
      <c r="AY446" s="235"/>
      <c r="AZ446" s="235"/>
      <c r="BA446" s="235"/>
      <c r="BB446" s="235"/>
      <c r="BC446" s="235"/>
      <c r="BD446" s="235"/>
      <c r="BE446" s="235"/>
      <c r="BF446" s="235"/>
    </row>
    <row r="447" spans="1:58" ht="15.75" customHeight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235"/>
      <c r="AF447" s="235"/>
      <c r="AG447" s="235"/>
      <c r="AH447" s="235"/>
      <c r="AI447" s="235"/>
      <c r="AJ447" s="235"/>
      <c r="AK447" s="235"/>
      <c r="AL447" s="235"/>
      <c r="AM447" s="235"/>
      <c r="AN447" s="235"/>
      <c r="AO447" s="235"/>
      <c r="AP447" s="235"/>
      <c r="AQ447" s="235"/>
      <c r="AR447" s="235"/>
      <c r="AS447" s="235"/>
      <c r="AT447" s="235"/>
      <c r="AU447" s="235"/>
      <c r="AV447" s="235"/>
      <c r="AW447" s="235"/>
      <c r="AX447" s="235"/>
      <c r="AY447" s="235"/>
      <c r="AZ447" s="235"/>
      <c r="BA447" s="235"/>
      <c r="BB447" s="235"/>
      <c r="BC447" s="235"/>
      <c r="BD447" s="235"/>
      <c r="BE447" s="235"/>
      <c r="BF447" s="235"/>
    </row>
    <row r="448" spans="1:58" ht="15.75" customHeight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235"/>
      <c r="AF448" s="235"/>
      <c r="AG448" s="235"/>
      <c r="AH448" s="235"/>
      <c r="AI448" s="235"/>
      <c r="AJ448" s="235"/>
      <c r="AK448" s="235"/>
      <c r="AL448" s="235"/>
      <c r="AM448" s="235"/>
      <c r="AN448" s="235"/>
      <c r="AO448" s="235"/>
      <c r="AP448" s="235"/>
      <c r="AQ448" s="235"/>
      <c r="AR448" s="235"/>
      <c r="AS448" s="235"/>
      <c r="AT448" s="235"/>
      <c r="AU448" s="235"/>
      <c r="AV448" s="235"/>
      <c r="AW448" s="235"/>
      <c r="AX448" s="235"/>
      <c r="AY448" s="235"/>
      <c r="AZ448" s="235"/>
      <c r="BA448" s="235"/>
      <c r="BB448" s="235"/>
      <c r="BC448" s="235"/>
      <c r="BD448" s="235"/>
      <c r="BE448" s="235"/>
      <c r="BF448" s="235"/>
    </row>
    <row r="449" spans="1:58" ht="15.75" customHeight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  <c r="AA449" s="114"/>
      <c r="AB449" s="114"/>
      <c r="AC449" s="114"/>
      <c r="AD449" s="114"/>
      <c r="AE449" s="235"/>
      <c r="AF449" s="235"/>
      <c r="AG449" s="235"/>
      <c r="AH449" s="235"/>
      <c r="AI449" s="235"/>
      <c r="AJ449" s="235"/>
      <c r="AK449" s="235"/>
      <c r="AL449" s="235"/>
      <c r="AM449" s="235"/>
      <c r="AN449" s="235"/>
      <c r="AO449" s="235"/>
      <c r="AP449" s="235"/>
      <c r="AQ449" s="235"/>
      <c r="AR449" s="235"/>
      <c r="AS449" s="235"/>
      <c r="AT449" s="235"/>
      <c r="AU449" s="235"/>
      <c r="AV449" s="235"/>
      <c r="AW449" s="235"/>
      <c r="AX449" s="235"/>
      <c r="AY449" s="235"/>
      <c r="AZ449" s="235"/>
      <c r="BA449" s="235"/>
      <c r="BB449" s="235"/>
      <c r="BC449" s="235"/>
      <c r="BD449" s="235"/>
      <c r="BE449" s="235"/>
      <c r="BF449" s="235"/>
    </row>
    <row r="450" spans="1:58" ht="15.75" customHeight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  <c r="AA450" s="114"/>
      <c r="AB450" s="114"/>
      <c r="AC450" s="114"/>
      <c r="AD450" s="114"/>
      <c r="AE450" s="235"/>
      <c r="AF450" s="235"/>
      <c r="AG450" s="235"/>
      <c r="AH450" s="235"/>
      <c r="AI450" s="235"/>
      <c r="AJ450" s="235"/>
      <c r="AK450" s="235"/>
      <c r="AL450" s="235"/>
      <c r="AM450" s="235"/>
      <c r="AN450" s="235"/>
      <c r="AO450" s="235"/>
      <c r="AP450" s="235"/>
      <c r="AQ450" s="235"/>
      <c r="AR450" s="235"/>
      <c r="AS450" s="235"/>
      <c r="AT450" s="235"/>
      <c r="AU450" s="235"/>
      <c r="AV450" s="235"/>
      <c r="AW450" s="235"/>
      <c r="AX450" s="235"/>
      <c r="AY450" s="235"/>
      <c r="AZ450" s="235"/>
      <c r="BA450" s="235"/>
      <c r="BB450" s="235"/>
      <c r="BC450" s="235"/>
      <c r="BD450" s="235"/>
      <c r="BE450" s="235"/>
      <c r="BF450" s="235"/>
    </row>
    <row r="451" spans="1:58" ht="15.75" customHeight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235"/>
      <c r="AF451" s="235"/>
      <c r="AG451" s="235"/>
      <c r="AH451" s="235"/>
      <c r="AI451" s="235"/>
      <c r="AJ451" s="235"/>
      <c r="AK451" s="235"/>
      <c r="AL451" s="235"/>
      <c r="AM451" s="235"/>
      <c r="AN451" s="235"/>
      <c r="AO451" s="235"/>
      <c r="AP451" s="235"/>
      <c r="AQ451" s="235"/>
      <c r="AR451" s="235"/>
      <c r="AS451" s="235"/>
      <c r="AT451" s="235"/>
      <c r="AU451" s="235"/>
      <c r="AV451" s="235"/>
      <c r="AW451" s="235"/>
      <c r="AX451" s="235"/>
      <c r="AY451" s="235"/>
      <c r="AZ451" s="235"/>
      <c r="BA451" s="235"/>
      <c r="BB451" s="235"/>
      <c r="BC451" s="235"/>
      <c r="BD451" s="235"/>
      <c r="BE451" s="235"/>
      <c r="BF451" s="235"/>
    </row>
    <row r="452" spans="1:58" ht="15.75" customHeight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235"/>
      <c r="AF452" s="235"/>
      <c r="AG452" s="235"/>
      <c r="AH452" s="235"/>
      <c r="AI452" s="235"/>
      <c r="AJ452" s="235"/>
      <c r="AK452" s="235"/>
      <c r="AL452" s="235"/>
      <c r="AM452" s="235"/>
      <c r="AN452" s="235"/>
      <c r="AO452" s="235"/>
      <c r="AP452" s="235"/>
      <c r="AQ452" s="235"/>
      <c r="AR452" s="235"/>
      <c r="AS452" s="235"/>
      <c r="AT452" s="235"/>
      <c r="AU452" s="235"/>
      <c r="AV452" s="235"/>
      <c r="AW452" s="235"/>
      <c r="AX452" s="235"/>
      <c r="AY452" s="235"/>
      <c r="AZ452" s="235"/>
      <c r="BA452" s="235"/>
      <c r="BB452" s="235"/>
      <c r="BC452" s="235"/>
      <c r="BD452" s="235"/>
      <c r="BE452" s="235"/>
      <c r="BF452" s="235"/>
    </row>
    <row r="453" spans="1:58" ht="15.75" customHeight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  <c r="AA453" s="114"/>
      <c r="AB453" s="114"/>
      <c r="AC453" s="114"/>
      <c r="AD453" s="114"/>
      <c r="AE453" s="235"/>
      <c r="AF453" s="235"/>
      <c r="AG453" s="235"/>
      <c r="AH453" s="235"/>
      <c r="AI453" s="235"/>
      <c r="AJ453" s="235"/>
      <c r="AK453" s="235"/>
      <c r="AL453" s="235"/>
      <c r="AM453" s="235"/>
      <c r="AN453" s="235"/>
      <c r="AO453" s="235"/>
      <c r="AP453" s="235"/>
      <c r="AQ453" s="235"/>
      <c r="AR453" s="235"/>
      <c r="AS453" s="235"/>
      <c r="AT453" s="235"/>
      <c r="AU453" s="235"/>
      <c r="AV453" s="235"/>
      <c r="AW453" s="235"/>
      <c r="AX453" s="235"/>
      <c r="AY453" s="235"/>
      <c r="AZ453" s="235"/>
      <c r="BA453" s="235"/>
      <c r="BB453" s="235"/>
      <c r="BC453" s="235"/>
      <c r="BD453" s="235"/>
      <c r="BE453" s="235"/>
      <c r="BF453" s="235"/>
    </row>
    <row r="454" spans="1:58" ht="15.75" customHeight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  <c r="AA454" s="114"/>
      <c r="AB454" s="114"/>
      <c r="AC454" s="114"/>
      <c r="AD454" s="114"/>
      <c r="AE454" s="235"/>
      <c r="AF454" s="235"/>
      <c r="AG454" s="235"/>
      <c r="AH454" s="235"/>
      <c r="AI454" s="235"/>
      <c r="AJ454" s="235"/>
      <c r="AK454" s="235"/>
      <c r="AL454" s="235"/>
      <c r="AM454" s="235"/>
      <c r="AN454" s="235"/>
      <c r="AO454" s="235"/>
      <c r="AP454" s="235"/>
      <c r="AQ454" s="235"/>
      <c r="AR454" s="235"/>
      <c r="AS454" s="235"/>
      <c r="AT454" s="235"/>
      <c r="AU454" s="235"/>
      <c r="AV454" s="235"/>
      <c r="AW454" s="235"/>
      <c r="AX454" s="235"/>
      <c r="AY454" s="235"/>
      <c r="AZ454" s="235"/>
      <c r="BA454" s="235"/>
      <c r="BB454" s="235"/>
      <c r="BC454" s="235"/>
      <c r="BD454" s="235"/>
      <c r="BE454" s="235"/>
      <c r="BF454" s="235"/>
    </row>
    <row r="455" spans="1:58" ht="15.75" customHeight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235"/>
      <c r="AF455" s="235"/>
      <c r="AG455" s="235"/>
      <c r="AH455" s="235"/>
      <c r="AI455" s="235"/>
      <c r="AJ455" s="235"/>
      <c r="AK455" s="235"/>
      <c r="AL455" s="235"/>
      <c r="AM455" s="235"/>
      <c r="AN455" s="235"/>
      <c r="AO455" s="235"/>
      <c r="AP455" s="235"/>
      <c r="AQ455" s="235"/>
      <c r="AR455" s="235"/>
      <c r="AS455" s="235"/>
      <c r="AT455" s="235"/>
      <c r="AU455" s="235"/>
      <c r="AV455" s="235"/>
      <c r="AW455" s="235"/>
      <c r="AX455" s="235"/>
      <c r="AY455" s="235"/>
      <c r="AZ455" s="235"/>
      <c r="BA455" s="235"/>
      <c r="BB455" s="235"/>
      <c r="BC455" s="235"/>
      <c r="BD455" s="235"/>
      <c r="BE455" s="235"/>
      <c r="BF455" s="235"/>
    </row>
    <row r="456" spans="1:58" ht="15.75" customHeight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235"/>
      <c r="AF456" s="235"/>
      <c r="AG456" s="235"/>
      <c r="AH456" s="235"/>
      <c r="AI456" s="235"/>
      <c r="AJ456" s="235"/>
      <c r="AK456" s="235"/>
      <c r="AL456" s="235"/>
      <c r="AM456" s="235"/>
      <c r="AN456" s="235"/>
      <c r="AO456" s="235"/>
      <c r="AP456" s="235"/>
      <c r="AQ456" s="235"/>
      <c r="AR456" s="235"/>
      <c r="AS456" s="235"/>
      <c r="AT456" s="235"/>
      <c r="AU456" s="235"/>
      <c r="AV456" s="235"/>
      <c r="AW456" s="235"/>
      <c r="AX456" s="235"/>
      <c r="AY456" s="235"/>
      <c r="AZ456" s="235"/>
      <c r="BA456" s="235"/>
      <c r="BB456" s="235"/>
      <c r="BC456" s="235"/>
      <c r="BD456" s="235"/>
      <c r="BE456" s="235"/>
      <c r="BF456" s="235"/>
    </row>
    <row r="457" spans="1:58" ht="15.75" customHeight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235"/>
      <c r="AF457" s="235"/>
      <c r="AG457" s="235"/>
      <c r="AH457" s="235"/>
      <c r="AI457" s="235"/>
      <c r="AJ457" s="235"/>
      <c r="AK457" s="235"/>
      <c r="AL457" s="235"/>
      <c r="AM457" s="235"/>
      <c r="AN457" s="235"/>
      <c r="AO457" s="235"/>
      <c r="AP457" s="235"/>
      <c r="AQ457" s="235"/>
      <c r="AR457" s="235"/>
      <c r="AS457" s="235"/>
      <c r="AT457" s="235"/>
      <c r="AU457" s="235"/>
      <c r="AV457" s="235"/>
      <c r="AW457" s="235"/>
      <c r="AX457" s="235"/>
      <c r="AY457" s="235"/>
      <c r="AZ457" s="235"/>
      <c r="BA457" s="235"/>
      <c r="BB457" s="235"/>
      <c r="BC457" s="235"/>
      <c r="BD457" s="235"/>
      <c r="BE457" s="235"/>
      <c r="BF457" s="235"/>
    </row>
    <row r="458" spans="1:58" ht="15.75" customHeight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235"/>
      <c r="AF458" s="235"/>
      <c r="AG458" s="235"/>
      <c r="AH458" s="235"/>
      <c r="AI458" s="235"/>
      <c r="AJ458" s="235"/>
      <c r="AK458" s="235"/>
      <c r="AL458" s="235"/>
      <c r="AM458" s="235"/>
      <c r="AN458" s="235"/>
      <c r="AO458" s="235"/>
      <c r="AP458" s="235"/>
      <c r="AQ458" s="235"/>
      <c r="AR458" s="235"/>
      <c r="AS458" s="235"/>
      <c r="AT458" s="235"/>
      <c r="AU458" s="235"/>
      <c r="AV458" s="235"/>
      <c r="AW458" s="235"/>
      <c r="AX458" s="235"/>
      <c r="AY458" s="235"/>
      <c r="AZ458" s="235"/>
      <c r="BA458" s="235"/>
      <c r="BB458" s="235"/>
      <c r="BC458" s="235"/>
      <c r="BD458" s="235"/>
      <c r="BE458" s="235"/>
      <c r="BF458" s="235"/>
    </row>
    <row r="459" spans="1:58" ht="15.75" customHeight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235"/>
      <c r="AF459" s="235"/>
      <c r="AG459" s="235"/>
      <c r="AH459" s="235"/>
      <c r="AI459" s="235"/>
      <c r="AJ459" s="235"/>
      <c r="AK459" s="235"/>
      <c r="AL459" s="235"/>
      <c r="AM459" s="235"/>
      <c r="AN459" s="235"/>
      <c r="AO459" s="235"/>
      <c r="AP459" s="235"/>
      <c r="AQ459" s="235"/>
      <c r="AR459" s="235"/>
      <c r="AS459" s="235"/>
      <c r="AT459" s="235"/>
      <c r="AU459" s="235"/>
      <c r="AV459" s="235"/>
      <c r="AW459" s="235"/>
      <c r="AX459" s="235"/>
      <c r="AY459" s="235"/>
      <c r="AZ459" s="235"/>
      <c r="BA459" s="235"/>
      <c r="BB459" s="235"/>
      <c r="BC459" s="235"/>
      <c r="BD459" s="235"/>
      <c r="BE459" s="235"/>
      <c r="BF459" s="235"/>
    </row>
    <row r="460" spans="1:58" ht="15.75" customHeight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235"/>
      <c r="AF460" s="235"/>
      <c r="AG460" s="235"/>
      <c r="AH460" s="235"/>
      <c r="AI460" s="235"/>
      <c r="AJ460" s="235"/>
      <c r="AK460" s="235"/>
      <c r="AL460" s="235"/>
      <c r="AM460" s="235"/>
      <c r="AN460" s="235"/>
      <c r="AO460" s="235"/>
      <c r="AP460" s="235"/>
      <c r="AQ460" s="235"/>
      <c r="AR460" s="235"/>
      <c r="AS460" s="235"/>
      <c r="AT460" s="235"/>
      <c r="AU460" s="235"/>
      <c r="AV460" s="235"/>
      <c r="AW460" s="235"/>
      <c r="AX460" s="235"/>
      <c r="AY460" s="235"/>
      <c r="AZ460" s="235"/>
      <c r="BA460" s="235"/>
      <c r="BB460" s="235"/>
      <c r="BC460" s="235"/>
      <c r="BD460" s="235"/>
      <c r="BE460" s="235"/>
      <c r="BF460" s="235"/>
    </row>
    <row r="461" spans="1:58" ht="15.75" customHeight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  <c r="AA461" s="114"/>
      <c r="AB461" s="114"/>
      <c r="AC461" s="114"/>
      <c r="AD461" s="114"/>
      <c r="AE461" s="235"/>
      <c r="AF461" s="235"/>
      <c r="AG461" s="235"/>
      <c r="AH461" s="235"/>
      <c r="AI461" s="235"/>
      <c r="AJ461" s="235"/>
      <c r="AK461" s="235"/>
      <c r="AL461" s="235"/>
      <c r="AM461" s="235"/>
      <c r="AN461" s="235"/>
      <c r="AO461" s="235"/>
      <c r="AP461" s="235"/>
      <c r="AQ461" s="235"/>
      <c r="AR461" s="235"/>
      <c r="AS461" s="235"/>
      <c r="AT461" s="235"/>
      <c r="AU461" s="235"/>
      <c r="AV461" s="235"/>
      <c r="AW461" s="235"/>
      <c r="AX461" s="235"/>
      <c r="AY461" s="235"/>
      <c r="AZ461" s="235"/>
      <c r="BA461" s="235"/>
      <c r="BB461" s="235"/>
      <c r="BC461" s="235"/>
      <c r="BD461" s="235"/>
      <c r="BE461" s="235"/>
      <c r="BF461" s="235"/>
    </row>
    <row r="462" spans="1:58" ht="15.75" customHeight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  <c r="AA462" s="114"/>
      <c r="AB462" s="114"/>
      <c r="AC462" s="114"/>
      <c r="AD462" s="114"/>
      <c r="AE462" s="235"/>
      <c r="AF462" s="235"/>
      <c r="AG462" s="235"/>
      <c r="AH462" s="235"/>
      <c r="AI462" s="235"/>
      <c r="AJ462" s="235"/>
      <c r="AK462" s="235"/>
      <c r="AL462" s="235"/>
      <c r="AM462" s="235"/>
      <c r="AN462" s="235"/>
      <c r="AO462" s="235"/>
      <c r="AP462" s="235"/>
      <c r="AQ462" s="235"/>
      <c r="AR462" s="235"/>
      <c r="AS462" s="235"/>
      <c r="AT462" s="235"/>
      <c r="AU462" s="235"/>
      <c r="AV462" s="235"/>
      <c r="AW462" s="235"/>
      <c r="AX462" s="235"/>
      <c r="AY462" s="235"/>
      <c r="AZ462" s="235"/>
      <c r="BA462" s="235"/>
      <c r="BB462" s="235"/>
      <c r="BC462" s="235"/>
      <c r="BD462" s="235"/>
      <c r="BE462" s="235"/>
      <c r="BF462" s="235"/>
    </row>
    <row r="463" spans="1:58" ht="15.75" customHeight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235"/>
      <c r="AF463" s="235"/>
      <c r="AG463" s="235"/>
      <c r="AH463" s="235"/>
      <c r="AI463" s="235"/>
      <c r="AJ463" s="235"/>
      <c r="AK463" s="235"/>
      <c r="AL463" s="235"/>
      <c r="AM463" s="235"/>
      <c r="AN463" s="235"/>
      <c r="AO463" s="235"/>
      <c r="AP463" s="235"/>
      <c r="AQ463" s="235"/>
      <c r="AR463" s="235"/>
      <c r="AS463" s="235"/>
      <c r="AT463" s="235"/>
      <c r="AU463" s="235"/>
      <c r="AV463" s="235"/>
      <c r="AW463" s="235"/>
      <c r="AX463" s="235"/>
      <c r="AY463" s="235"/>
      <c r="AZ463" s="235"/>
      <c r="BA463" s="235"/>
      <c r="BB463" s="235"/>
      <c r="BC463" s="235"/>
      <c r="BD463" s="235"/>
      <c r="BE463" s="235"/>
      <c r="BF463" s="235"/>
    </row>
    <row r="464" spans="1:58" ht="15.75" customHeight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235"/>
      <c r="AF464" s="235"/>
      <c r="AG464" s="235"/>
      <c r="AH464" s="235"/>
      <c r="AI464" s="235"/>
      <c r="AJ464" s="235"/>
      <c r="AK464" s="235"/>
      <c r="AL464" s="235"/>
      <c r="AM464" s="235"/>
      <c r="AN464" s="235"/>
      <c r="AO464" s="235"/>
      <c r="AP464" s="235"/>
      <c r="AQ464" s="235"/>
      <c r="AR464" s="235"/>
      <c r="AS464" s="235"/>
      <c r="AT464" s="235"/>
      <c r="AU464" s="235"/>
      <c r="AV464" s="235"/>
      <c r="AW464" s="235"/>
      <c r="AX464" s="235"/>
      <c r="AY464" s="235"/>
      <c r="AZ464" s="235"/>
      <c r="BA464" s="235"/>
      <c r="BB464" s="235"/>
      <c r="BC464" s="235"/>
      <c r="BD464" s="235"/>
      <c r="BE464" s="235"/>
      <c r="BF464" s="235"/>
    </row>
    <row r="465" spans="1:58" ht="15.75" customHeight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  <c r="AA465" s="114"/>
      <c r="AB465" s="114"/>
      <c r="AC465" s="114"/>
      <c r="AD465" s="114"/>
      <c r="AE465" s="235"/>
      <c r="AF465" s="235"/>
      <c r="AG465" s="235"/>
      <c r="AH465" s="235"/>
      <c r="AI465" s="235"/>
      <c r="AJ465" s="235"/>
      <c r="AK465" s="235"/>
      <c r="AL465" s="235"/>
      <c r="AM465" s="235"/>
      <c r="AN465" s="235"/>
      <c r="AO465" s="235"/>
      <c r="AP465" s="235"/>
      <c r="AQ465" s="235"/>
      <c r="AR465" s="235"/>
      <c r="AS465" s="235"/>
      <c r="AT465" s="235"/>
      <c r="AU465" s="235"/>
      <c r="AV465" s="235"/>
      <c r="AW465" s="235"/>
      <c r="AX465" s="235"/>
      <c r="AY465" s="235"/>
      <c r="AZ465" s="235"/>
      <c r="BA465" s="235"/>
      <c r="BB465" s="235"/>
      <c r="BC465" s="235"/>
      <c r="BD465" s="235"/>
      <c r="BE465" s="235"/>
      <c r="BF465" s="235"/>
    </row>
    <row r="466" spans="1:58" ht="15.75" customHeight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  <c r="AA466" s="114"/>
      <c r="AB466" s="114"/>
      <c r="AC466" s="114"/>
      <c r="AD466" s="114"/>
      <c r="AE466" s="235"/>
      <c r="AF466" s="235"/>
      <c r="AG466" s="235"/>
      <c r="AH466" s="235"/>
      <c r="AI466" s="235"/>
      <c r="AJ466" s="235"/>
      <c r="AK466" s="235"/>
      <c r="AL466" s="235"/>
      <c r="AM466" s="235"/>
      <c r="AN466" s="235"/>
      <c r="AO466" s="235"/>
      <c r="AP466" s="235"/>
      <c r="AQ466" s="235"/>
      <c r="AR466" s="235"/>
      <c r="AS466" s="235"/>
      <c r="AT466" s="235"/>
      <c r="AU466" s="235"/>
      <c r="AV466" s="235"/>
      <c r="AW466" s="235"/>
      <c r="AX466" s="235"/>
      <c r="AY466" s="235"/>
      <c r="AZ466" s="235"/>
      <c r="BA466" s="235"/>
      <c r="BB466" s="235"/>
      <c r="BC466" s="235"/>
      <c r="BD466" s="235"/>
      <c r="BE466" s="235"/>
      <c r="BF466" s="235"/>
    </row>
    <row r="467" spans="1:58" ht="15.75" customHeight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  <c r="AA467" s="114"/>
      <c r="AB467" s="114"/>
      <c r="AC467" s="114"/>
      <c r="AD467" s="114"/>
      <c r="AE467" s="235"/>
      <c r="AF467" s="235"/>
      <c r="AG467" s="235"/>
      <c r="AH467" s="235"/>
      <c r="AI467" s="235"/>
      <c r="AJ467" s="235"/>
      <c r="AK467" s="235"/>
      <c r="AL467" s="235"/>
      <c r="AM467" s="235"/>
      <c r="AN467" s="235"/>
      <c r="AO467" s="235"/>
      <c r="AP467" s="235"/>
      <c r="AQ467" s="235"/>
      <c r="AR467" s="235"/>
      <c r="AS467" s="235"/>
      <c r="AT467" s="235"/>
      <c r="AU467" s="235"/>
      <c r="AV467" s="235"/>
      <c r="AW467" s="235"/>
      <c r="AX467" s="235"/>
      <c r="AY467" s="235"/>
      <c r="AZ467" s="235"/>
      <c r="BA467" s="235"/>
      <c r="BB467" s="235"/>
      <c r="BC467" s="235"/>
      <c r="BD467" s="235"/>
      <c r="BE467" s="235"/>
      <c r="BF467" s="235"/>
    </row>
    <row r="468" spans="1:58" ht="15.75" customHeight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  <c r="AA468" s="114"/>
      <c r="AB468" s="114"/>
      <c r="AC468" s="114"/>
      <c r="AD468" s="114"/>
      <c r="AE468" s="235"/>
      <c r="AF468" s="235"/>
      <c r="AG468" s="235"/>
      <c r="AH468" s="235"/>
      <c r="AI468" s="235"/>
      <c r="AJ468" s="235"/>
      <c r="AK468" s="235"/>
      <c r="AL468" s="235"/>
      <c r="AM468" s="235"/>
      <c r="AN468" s="235"/>
      <c r="AO468" s="235"/>
      <c r="AP468" s="235"/>
      <c r="AQ468" s="235"/>
      <c r="AR468" s="235"/>
      <c r="AS468" s="235"/>
      <c r="AT468" s="235"/>
      <c r="AU468" s="235"/>
      <c r="AV468" s="235"/>
      <c r="AW468" s="235"/>
      <c r="AX468" s="235"/>
      <c r="AY468" s="235"/>
      <c r="AZ468" s="235"/>
      <c r="BA468" s="235"/>
      <c r="BB468" s="235"/>
      <c r="BC468" s="235"/>
      <c r="BD468" s="235"/>
      <c r="BE468" s="235"/>
      <c r="BF468" s="235"/>
    </row>
    <row r="469" spans="1:58" ht="15.75" customHeight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  <c r="AA469" s="114"/>
      <c r="AB469" s="114"/>
      <c r="AC469" s="114"/>
      <c r="AD469" s="114"/>
      <c r="AE469" s="235"/>
      <c r="AF469" s="235"/>
      <c r="AG469" s="235"/>
      <c r="AH469" s="235"/>
      <c r="AI469" s="235"/>
      <c r="AJ469" s="235"/>
      <c r="AK469" s="235"/>
      <c r="AL469" s="235"/>
      <c r="AM469" s="235"/>
      <c r="AN469" s="235"/>
      <c r="AO469" s="235"/>
      <c r="AP469" s="235"/>
      <c r="AQ469" s="235"/>
      <c r="AR469" s="235"/>
      <c r="AS469" s="235"/>
      <c r="AT469" s="235"/>
      <c r="AU469" s="235"/>
      <c r="AV469" s="235"/>
      <c r="AW469" s="235"/>
      <c r="AX469" s="235"/>
      <c r="AY469" s="235"/>
      <c r="AZ469" s="235"/>
      <c r="BA469" s="235"/>
      <c r="BB469" s="235"/>
      <c r="BC469" s="235"/>
      <c r="BD469" s="235"/>
      <c r="BE469" s="235"/>
      <c r="BF469" s="235"/>
    </row>
    <row r="470" spans="1:58" ht="15.75" customHeight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235"/>
      <c r="AF470" s="235"/>
      <c r="AG470" s="235"/>
      <c r="AH470" s="235"/>
      <c r="AI470" s="235"/>
      <c r="AJ470" s="235"/>
      <c r="AK470" s="235"/>
      <c r="AL470" s="235"/>
      <c r="AM470" s="235"/>
      <c r="AN470" s="235"/>
      <c r="AO470" s="235"/>
      <c r="AP470" s="235"/>
      <c r="AQ470" s="235"/>
      <c r="AR470" s="235"/>
      <c r="AS470" s="235"/>
      <c r="AT470" s="235"/>
      <c r="AU470" s="235"/>
      <c r="AV470" s="235"/>
      <c r="AW470" s="235"/>
      <c r="AX470" s="235"/>
      <c r="AY470" s="235"/>
      <c r="AZ470" s="235"/>
      <c r="BA470" s="235"/>
      <c r="BB470" s="235"/>
      <c r="BC470" s="235"/>
      <c r="BD470" s="235"/>
      <c r="BE470" s="235"/>
      <c r="BF470" s="235"/>
    </row>
    <row r="471" spans="1:58" ht="15.75" customHeight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  <c r="AA471" s="114"/>
      <c r="AB471" s="114"/>
      <c r="AC471" s="114"/>
      <c r="AD471" s="114"/>
      <c r="AE471" s="235"/>
      <c r="AF471" s="235"/>
      <c r="AG471" s="235"/>
      <c r="AH471" s="235"/>
      <c r="AI471" s="235"/>
      <c r="AJ471" s="235"/>
      <c r="AK471" s="235"/>
      <c r="AL471" s="235"/>
      <c r="AM471" s="235"/>
      <c r="AN471" s="235"/>
      <c r="AO471" s="235"/>
      <c r="AP471" s="235"/>
      <c r="AQ471" s="235"/>
      <c r="AR471" s="235"/>
      <c r="AS471" s="235"/>
      <c r="AT471" s="235"/>
      <c r="AU471" s="235"/>
      <c r="AV471" s="235"/>
      <c r="AW471" s="235"/>
      <c r="AX471" s="235"/>
      <c r="AY471" s="235"/>
      <c r="AZ471" s="235"/>
      <c r="BA471" s="235"/>
      <c r="BB471" s="235"/>
      <c r="BC471" s="235"/>
      <c r="BD471" s="235"/>
      <c r="BE471" s="235"/>
      <c r="BF471" s="235"/>
    </row>
    <row r="472" spans="1:58" ht="15.75" customHeight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  <c r="AA472" s="114"/>
      <c r="AB472" s="114"/>
      <c r="AC472" s="114"/>
      <c r="AD472" s="114"/>
      <c r="AE472" s="235"/>
      <c r="AF472" s="235"/>
      <c r="AG472" s="235"/>
      <c r="AH472" s="235"/>
      <c r="AI472" s="235"/>
      <c r="AJ472" s="235"/>
      <c r="AK472" s="235"/>
      <c r="AL472" s="235"/>
      <c r="AM472" s="235"/>
      <c r="AN472" s="235"/>
      <c r="AO472" s="235"/>
      <c r="AP472" s="235"/>
      <c r="AQ472" s="235"/>
      <c r="AR472" s="235"/>
      <c r="AS472" s="235"/>
      <c r="AT472" s="235"/>
      <c r="AU472" s="235"/>
      <c r="AV472" s="235"/>
      <c r="AW472" s="235"/>
      <c r="AX472" s="235"/>
      <c r="AY472" s="235"/>
      <c r="AZ472" s="235"/>
      <c r="BA472" s="235"/>
      <c r="BB472" s="235"/>
      <c r="BC472" s="235"/>
      <c r="BD472" s="235"/>
      <c r="BE472" s="235"/>
      <c r="BF472" s="235"/>
    </row>
    <row r="473" spans="1:58" ht="15.75" customHeight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235"/>
      <c r="AF473" s="235"/>
      <c r="AG473" s="235"/>
      <c r="AH473" s="235"/>
      <c r="AI473" s="235"/>
      <c r="AJ473" s="235"/>
      <c r="AK473" s="235"/>
      <c r="AL473" s="235"/>
      <c r="AM473" s="235"/>
      <c r="AN473" s="235"/>
      <c r="AO473" s="235"/>
      <c r="AP473" s="235"/>
      <c r="AQ473" s="235"/>
      <c r="AR473" s="235"/>
      <c r="AS473" s="235"/>
      <c r="AT473" s="235"/>
      <c r="AU473" s="235"/>
      <c r="AV473" s="235"/>
      <c r="AW473" s="235"/>
      <c r="AX473" s="235"/>
      <c r="AY473" s="235"/>
      <c r="AZ473" s="235"/>
      <c r="BA473" s="235"/>
      <c r="BB473" s="235"/>
      <c r="BC473" s="235"/>
      <c r="BD473" s="235"/>
      <c r="BE473" s="235"/>
      <c r="BF473" s="235"/>
    </row>
    <row r="474" spans="1:58" ht="15.75" customHeight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  <c r="AA474" s="114"/>
      <c r="AB474" s="114"/>
      <c r="AC474" s="114"/>
      <c r="AD474" s="114"/>
      <c r="AE474" s="235"/>
      <c r="AF474" s="235"/>
      <c r="AG474" s="235"/>
      <c r="AH474" s="235"/>
      <c r="AI474" s="235"/>
      <c r="AJ474" s="235"/>
      <c r="AK474" s="235"/>
      <c r="AL474" s="235"/>
      <c r="AM474" s="235"/>
      <c r="AN474" s="235"/>
      <c r="AO474" s="235"/>
      <c r="AP474" s="235"/>
      <c r="AQ474" s="235"/>
      <c r="AR474" s="235"/>
      <c r="AS474" s="235"/>
      <c r="AT474" s="235"/>
      <c r="AU474" s="235"/>
      <c r="AV474" s="235"/>
      <c r="AW474" s="235"/>
      <c r="AX474" s="235"/>
      <c r="AY474" s="235"/>
      <c r="AZ474" s="235"/>
      <c r="BA474" s="235"/>
      <c r="BB474" s="235"/>
      <c r="BC474" s="235"/>
      <c r="BD474" s="235"/>
      <c r="BE474" s="235"/>
      <c r="BF474" s="235"/>
    </row>
    <row r="475" spans="1:58" ht="15.75" customHeight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  <c r="AA475" s="114"/>
      <c r="AB475" s="114"/>
      <c r="AC475" s="114"/>
      <c r="AD475" s="114"/>
      <c r="AE475" s="235"/>
      <c r="AF475" s="235"/>
      <c r="AG475" s="235"/>
      <c r="AH475" s="235"/>
      <c r="AI475" s="235"/>
      <c r="AJ475" s="235"/>
      <c r="AK475" s="235"/>
      <c r="AL475" s="235"/>
      <c r="AM475" s="235"/>
      <c r="AN475" s="235"/>
      <c r="AO475" s="235"/>
      <c r="AP475" s="235"/>
      <c r="AQ475" s="235"/>
      <c r="AR475" s="235"/>
      <c r="AS475" s="235"/>
      <c r="AT475" s="235"/>
      <c r="AU475" s="235"/>
      <c r="AV475" s="235"/>
      <c r="AW475" s="235"/>
      <c r="AX475" s="235"/>
      <c r="AY475" s="235"/>
      <c r="AZ475" s="235"/>
      <c r="BA475" s="235"/>
      <c r="BB475" s="235"/>
      <c r="BC475" s="235"/>
      <c r="BD475" s="235"/>
      <c r="BE475" s="235"/>
      <c r="BF475" s="235"/>
    </row>
    <row r="476" spans="1:58" ht="15.75" customHeight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  <c r="AA476" s="114"/>
      <c r="AB476" s="114"/>
      <c r="AC476" s="114"/>
      <c r="AD476" s="114"/>
      <c r="AE476" s="235"/>
      <c r="AF476" s="235"/>
      <c r="AG476" s="235"/>
      <c r="AH476" s="235"/>
      <c r="AI476" s="235"/>
      <c r="AJ476" s="235"/>
      <c r="AK476" s="235"/>
      <c r="AL476" s="235"/>
      <c r="AM476" s="235"/>
      <c r="AN476" s="235"/>
      <c r="AO476" s="235"/>
      <c r="AP476" s="235"/>
      <c r="AQ476" s="235"/>
      <c r="AR476" s="235"/>
      <c r="AS476" s="235"/>
      <c r="AT476" s="235"/>
      <c r="AU476" s="235"/>
      <c r="AV476" s="235"/>
      <c r="AW476" s="235"/>
      <c r="AX476" s="235"/>
      <c r="AY476" s="235"/>
      <c r="AZ476" s="235"/>
      <c r="BA476" s="235"/>
      <c r="BB476" s="235"/>
      <c r="BC476" s="235"/>
      <c r="BD476" s="235"/>
      <c r="BE476" s="235"/>
      <c r="BF476" s="235"/>
    </row>
    <row r="477" spans="1:58" ht="15.75" customHeight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  <c r="AA477" s="114"/>
      <c r="AB477" s="114"/>
      <c r="AC477" s="114"/>
      <c r="AD477" s="114"/>
      <c r="AE477" s="235"/>
      <c r="AF477" s="235"/>
      <c r="AG477" s="235"/>
      <c r="AH477" s="235"/>
      <c r="AI477" s="235"/>
      <c r="AJ477" s="235"/>
      <c r="AK477" s="235"/>
      <c r="AL477" s="235"/>
      <c r="AM477" s="235"/>
      <c r="AN477" s="235"/>
      <c r="AO477" s="235"/>
      <c r="AP477" s="235"/>
      <c r="AQ477" s="235"/>
      <c r="AR477" s="235"/>
      <c r="AS477" s="235"/>
      <c r="AT477" s="235"/>
      <c r="AU477" s="235"/>
      <c r="AV477" s="235"/>
      <c r="AW477" s="235"/>
      <c r="AX477" s="235"/>
      <c r="AY477" s="235"/>
      <c r="AZ477" s="235"/>
      <c r="BA477" s="235"/>
      <c r="BB477" s="235"/>
      <c r="BC477" s="235"/>
      <c r="BD477" s="235"/>
      <c r="BE477" s="235"/>
      <c r="BF477" s="235"/>
    </row>
    <row r="478" spans="1:58" ht="15.75" customHeight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235"/>
      <c r="AF478" s="235"/>
      <c r="AG478" s="235"/>
      <c r="AH478" s="235"/>
      <c r="AI478" s="235"/>
      <c r="AJ478" s="235"/>
      <c r="AK478" s="235"/>
      <c r="AL478" s="235"/>
      <c r="AM478" s="235"/>
      <c r="AN478" s="235"/>
      <c r="AO478" s="235"/>
      <c r="AP478" s="235"/>
      <c r="AQ478" s="235"/>
      <c r="AR478" s="235"/>
      <c r="AS478" s="235"/>
      <c r="AT478" s="235"/>
      <c r="AU478" s="235"/>
      <c r="AV478" s="235"/>
      <c r="AW478" s="235"/>
      <c r="AX478" s="235"/>
      <c r="AY478" s="235"/>
      <c r="AZ478" s="235"/>
      <c r="BA478" s="235"/>
      <c r="BB478" s="235"/>
      <c r="BC478" s="235"/>
      <c r="BD478" s="235"/>
      <c r="BE478" s="235"/>
      <c r="BF478" s="235"/>
    </row>
    <row r="479" spans="1:58" ht="15.75" customHeight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  <c r="AA479" s="114"/>
      <c r="AB479" s="114"/>
      <c r="AC479" s="114"/>
      <c r="AD479" s="114"/>
      <c r="AE479" s="235"/>
      <c r="AF479" s="235"/>
      <c r="AG479" s="235"/>
      <c r="AH479" s="235"/>
      <c r="AI479" s="235"/>
      <c r="AJ479" s="235"/>
      <c r="AK479" s="235"/>
      <c r="AL479" s="235"/>
      <c r="AM479" s="235"/>
      <c r="AN479" s="235"/>
      <c r="AO479" s="235"/>
      <c r="AP479" s="235"/>
      <c r="AQ479" s="235"/>
      <c r="AR479" s="235"/>
      <c r="AS479" s="235"/>
      <c r="AT479" s="235"/>
      <c r="AU479" s="235"/>
      <c r="AV479" s="235"/>
      <c r="AW479" s="235"/>
      <c r="AX479" s="235"/>
      <c r="AY479" s="235"/>
      <c r="AZ479" s="235"/>
      <c r="BA479" s="235"/>
      <c r="BB479" s="235"/>
      <c r="BC479" s="235"/>
      <c r="BD479" s="235"/>
      <c r="BE479" s="235"/>
      <c r="BF479" s="235"/>
    </row>
    <row r="480" spans="1:58" ht="15.75" customHeight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  <c r="AA480" s="114"/>
      <c r="AB480" s="114"/>
      <c r="AC480" s="114"/>
      <c r="AD480" s="114"/>
      <c r="AE480" s="235"/>
      <c r="AF480" s="235"/>
      <c r="AG480" s="235"/>
      <c r="AH480" s="235"/>
      <c r="AI480" s="235"/>
      <c r="AJ480" s="235"/>
      <c r="AK480" s="235"/>
      <c r="AL480" s="235"/>
      <c r="AM480" s="235"/>
      <c r="AN480" s="235"/>
      <c r="AO480" s="235"/>
      <c r="AP480" s="235"/>
      <c r="AQ480" s="235"/>
      <c r="AR480" s="235"/>
      <c r="AS480" s="235"/>
      <c r="AT480" s="235"/>
      <c r="AU480" s="235"/>
      <c r="AV480" s="235"/>
      <c r="AW480" s="235"/>
      <c r="AX480" s="235"/>
      <c r="AY480" s="235"/>
      <c r="AZ480" s="235"/>
      <c r="BA480" s="235"/>
      <c r="BB480" s="235"/>
      <c r="BC480" s="235"/>
      <c r="BD480" s="235"/>
      <c r="BE480" s="235"/>
      <c r="BF480" s="235"/>
    </row>
    <row r="481" spans="1:58" ht="15.75" customHeight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235"/>
      <c r="AF481" s="235"/>
      <c r="AG481" s="235"/>
      <c r="AH481" s="235"/>
      <c r="AI481" s="235"/>
      <c r="AJ481" s="235"/>
      <c r="AK481" s="235"/>
      <c r="AL481" s="235"/>
      <c r="AM481" s="235"/>
      <c r="AN481" s="235"/>
      <c r="AO481" s="235"/>
      <c r="AP481" s="235"/>
      <c r="AQ481" s="235"/>
      <c r="AR481" s="235"/>
      <c r="AS481" s="235"/>
      <c r="AT481" s="235"/>
      <c r="AU481" s="235"/>
      <c r="AV481" s="235"/>
      <c r="AW481" s="235"/>
      <c r="AX481" s="235"/>
      <c r="AY481" s="235"/>
      <c r="AZ481" s="235"/>
      <c r="BA481" s="235"/>
      <c r="BB481" s="235"/>
      <c r="BC481" s="235"/>
      <c r="BD481" s="235"/>
      <c r="BE481" s="235"/>
      <c r="BF481" s="235"/>
    </row>
    <row r="482" spans="1:58" ht="15.75" customHeight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235"/>
      <c r="AF482" s="235"/>
      <c r="AG482" s="235"/>
      <c r="AH482" s="235"/>
      <c r="AI482" s="235"/>
      <c r="AJ482" s="235"/>
      <c r="AK482" s="235"/>
      <c r="AL482" s="235"/>
      <c r="AM482" s="235"/>
      <c r="AN482" s="235"/>
      <c r="AO482" s="235"/>
      <c r="AP482" s="235"/>
      <c r="AQ482" s="235"/>
      <c r="AR482" s="235"/>
      <c r="AS482" s="235"/>
      <c r="AT482" s="235"/>
      <c r="AU482" s="235"/>
      <c r="AV482" s="235"/>
      <c r="AW482" s="235"/>
      <c r="AX482" s="235"/>
      <c r="AY482" s="235"/>
      <c r="AZ482" s="235"/>
      <c r="BA482" s="235"/>
      <c r="BB482" s="235"/>
      <c r="BC482" s="235"/>
      <c r="BD482" s="235"/>
      <c r="BE482" s="235"/>
      <c r="BF482" s="235"/>
    </row>
    <row r="483" spans="1:58" ht="15.75" customHeight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235"/>
      <c r="AF483" s="235"/>
      <c r="AG483" s="235"/>
      <c r="AH483" s="235"/>
      <c r="AI483" s="235"/>
      <c r="AJ483" s="235"/>
      <c r="AK483" s="235"/>
      <c r="AL483" s="235"/>
      <c r="AM483" s="235"/>
      <c r="AN483" s="235"/>
      <c r="AO483" s="235"/>
      <c r="AP483" s="235"/>
      <c r="AQ483" s="235"/>
      <c r="AR483" s="235"/>
      <c r="AS483" s="235"/>
      <c r="AT483" s="235"/>
      <c r="AU483" s="235"/>
      <c r="AV483" s="235"/>
      <c r="AW483" s="235"/>
      <c r="AX483" s="235"/>
      <c r="AY483" s="235"/>
      <c r="AZ483" s="235"/>
      <c r="BA483" s="235"/>
      <c r="BB483" s="235"/>
      <c r="BC483" s="235"/>
      <c r="BD483" s="235"/>
      <c r="BE483" s="235"/>
      <c r="BF483" s="235"/>
    </row>
    <row r="484" spans="1:58" ht="15.75" customHeight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235"/>
      <c r="AF484" s="235"/>
      <c r="AG484" s="235"/>
      <c r="AH484" s="235"/>
      <c r="AI484" s="235"/>
      <c r="AJ484" s="235"/>
      <c r="AK484" s="235"/>
      <c r="AL484" s="235"/>
      <c r="AM484" s="235"/>
      <c r="AN484" s="235"/>
      <c r="AO484" s="235"/>
      <c r="AP484" s="235"/>
      <c r="AQ484" s="235"/>
      <c r="AR484" s="235"/>
      <c r="AS484" s="235"/>
      <c r="AT484" s="235"/>
      <c r="AU484" s="235"/>
      <c r="AV484" s="235"/>
      <c r="AW484" s="235"/>
      <c r="AX484" s="235"/>
      <c r="AY484" s="235"/>
      <c r="AZ484" s="235"/>
      <c r="BA484" s="235"/>
      <c r="BB484" s="235"/>
      <c r="BC484" s="235"/>
      <c r="BD484" s="235"/>
      <c r="BE484" s="235"/>
      <c r="BF484" s="235"/>
    </row>
    <row r="485" spans="1:58" ht="15.75" customHeight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235"/>
      <c r="AF485" s="235"/>
      <c r="AG485" s="235"/>
      <c r="AH485" s="235"/>
      <c r="AI485" s="235"/>
      <c r="AJ485" s="235"/>
      <c r="AK485" s="235"/>
      <c r="AL485" s="235"/>
      <c r="AM485" s="235"/>
      <c r="AN485" s="235"/>
      <c r="AO485" s="235"/>
      <c r="AP485" s="235"/>
      <c r="AQ485" s="235"/>
      <c r="AR485" s="235"/>
      <c r="AS485" s="235"/>
      <c r="AT485" s="235"/>
      <c r="AU485" s="235"/>
      <c r="AV485" s="235"/>
      <c r="AW485" s="235"/>
      <c r="AX485" s="235"/>
      <c r="AY485" s="235"/>
      <c r="AZ485" s="235"/>
      <c r="BA485" s="235"/>
      <c r="BB485" s="235"/>
      <c r="BC485" s="235"/>
      <c r="BD485" s="235"/>
      <c r="BE485" s="235"/>
      <c r="BF485" s="235"/>
    </row>
    <row r="486" spans="1:58" ht="15.75" customHeight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235"/>
      <c r="AF486" s="235"/>
      <c r="AG486" s="235"/>
      <c r="AH486" s="235"/>
      <c r="AI486" s="235"/>
      <c r="AJ486" s="235"/>
      <c r="AK486" s="235"/>
      <c r="AL486" s="235"/>
      <c r="AM486" s="235"/>
      <c r="AN486" s="235"/>
      <c r="AO486" s="235"/>
      <c r="AP486" s="235"/>
      <c r="AQ486" s="235"/>
      <c r="AR486" s="235"/>
      <c r="AS486" s="235"/>
      <c r="AT486" s="235"/>
      <c r="AU486" s="235"/>
      <c r="AV486" s="235"/>
      <c r="AW486" s="235"/>
      <c r="AX486" s="235"/>
      <c r="AY486" s="235"/>
      <c r="AZ486" s="235"/>
      <c r="BA486" s="235"/>
      <c r="BB486" s="235"/>
      <c r="BC486" s="235"/>
      <c r="BD486" s="235"/>
      <c r="BE486" s="235"/>
      <c r="BF486" s="235"/>
    </row>
    <row r="487" spans="1:58" ht="15.75" customHeight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  <c r="AC487" s="114"/>
      <c r="AD487" s="114"/>
      <c r="AE487" s="235"/>
      <c r="AF487" s="235"/>
      <c r="AG487" s="235"/>
      <c r="AH487" s="235"/>
      <c r="AI487" s="235"/>
      <c r="AJ487" s="235"/>
      <c r="AK487" s="235"/>
      <c r="AL487" s="235"/>
      <c r="AM487" s="235"/>
      <c r="AN487" s="235"/>
      <c r="AO487" s="235"/>
      <c r="AP487" s="235"/>
      <c r="AQ487" s="235"/>
      <c r="AR487" s="235"/>
      <c r="AS487" s="235"/>
      <c r="AT487" s="235"/>
      <c r="AU487" s="235"/>
      <c r="AV487" s="235"/>
      <c r="AW487" s="235"/>
      <c r="AX487" s="235"/>
      <c r="AY487" s="235"/>
      <c r="AZ487" s="235"/>
      <c r="BA487" s="235"/>
      <c r="BB487" s="235"/>
      <c r="BC487" s="235"/>
      <c r="BD487" s="235"/>
      <c r="BE487" s="235"/>
      <c r="BF487" s="235"/>
    </row>
    <row r="488" spans="1:58" ht="15.75" customHeight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  <c r="AA488" s="114"/>
      <c r="AB488" s="114"/>
      <c r="AC488" s="114"/>
      <c r="AD488" s="114"/>
      <c r="AE488" s="235"/>
      <c r="AF488" s="235"/>
      <c r="AG488" s="235"/>
      <c r="AH488" s="235"/>
      <c r="AI488" s="235"/>
      <c r="AJ488" s="235"/>
      <c r="AK488" s="235"/>
      <c r="AL488" s="235"/>
      <c r="AM488" s="235"/>
      <c r="AN488" s="235"/>
      <c r="AO488" s="235"/>
      <c r="AP488" s="235"/>
      <c r="AQ488" s="235"/>
      <c r="AR488" s="235"/>
      <c r="AS488" s="235"/>
      <c r="AT488" s="235"/>
      <c r="AU488" s="235"/>
      <c r="AV488" s="235"/>
      <c r="AW488" s="235"/>
      <c r="AX488" s="235"/>
      <c r="AY488" s="235"/>
      <c r="AZ488" s="235"/>
      <c r="BA488" s="235"/>
      <c r="BB488" s="235"/>
      <c r="BC488" s="235"/>
      <c r="BD488" s="235"/>
      <c r="BE488" s="235"/>
      <c r="BF488" s="235"/>
    </row>
    <row r="489" spans="1:58" ht="15.75" customHeight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235"/>
      <c r="AF489" s="235"/>
      <c r="AG489" s="235"/>
      <c r="AH489" s="235"/>
      <c r="AI489" s="235"/>
      <c r="AJ489" s="235"/>
      <c r="AK489" s="235"/>
      <c r="AL489" s="235"/>
      <c r="AM489" s="235"/>
      <c r="AN489" s="235"/>
      <c r="AO489" s="235"/>
      <c r="AP489" s="235"/>
      <c r="AQ489" s="235"/>
      <c r="AR489" s="235"/>
      <c r="AS489" s="235"/>
      <c r="AT489" s="235"/>
      <c r="AU489" s="235"/>
      <c r="AV489" s="235"/>
      <c r="AW489" s="235"/>
      <c r="AX489" s="235"/>
      <c r="AY489" s="235"/>
      <c r="AZ489" s="235"/>
      <c r="BA489" s="235"/>
      <c r="BB489" s="235"/>
      <c r="BC489" s="235"/>
      <c r="BD489" s="235"/>
      <c r="BE489" s="235"/>
      <c r="BF489" s="235"/>
    </row>
    <row r="490" spans="1:58" ht="15.75" customHeight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235"/>
      <c r="AF490" s="235"/>
      <c r="AG490" s="235"/>
      <c r="AH490" s="235"/>
      <c r="AI490" s="235"/>
      <c r="AJ490" s="235"/>
      <c r="AK490" s="235"/>
      <c r="AL490" s="235"/>
      <c r="AM490" s="235"/>
      <c r="AN490" s="235"/>
      <c r="AO490" s="235"/>
      <c r="AP490" s="235"/>
      <c r="AQ490" s="235"/>
      <c r="AR490" s="235"/>
      <c r="AS490" s="235"/>
      <c r="AT490" s="235"/>
      <c r="AU490" s="235"/>
      <c r="AV490" s="235"/>
      <c r="AW490" s="235"/>
      <c r="AX490" s="235"/>
      <c r="AY490" s="235"/>
      <c r="AZ490" s="235"/>
      <c r="BA490" s="235"/>
      <c r="BB490" s="235"/>
      <c r="BC490" s="235"/>
      <c r="BD490" s="235"/>
      <c r="BE490" s="235"/>
      <c r="BF490" s="235"/>
    </row>
    <row r="491" spans="1:58" ht="15.75" customHeight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  <c r="AA491" s="114"/>
      <c r="AB491" s="114"/>
      <c r="AC491" s="114"/>
      <c r="AD491" s="114"/>
      <c r="AE491" s="235"/>
      <c r="AF491" s="235"/>
      <c r="AG491" s="235"/>
      <c r="AH491" s="235"/>
      <c r="AI491" s="235"/>
      <c r="AJ491" s="235"/>
      <c r="AK491" s="235"/>
      <c r="AL491" s="235"/>
      <c r="AM491" s="235"/>
      <c r="AN491" s="235"/>
      <c r="AO491" s="235"/>
      <c r="AP491" s="235"/>
      <c r="AQ491" s="235"/>
      <c r="AR491" s="235"/>
      <c r="AS491" s="235"/>
      <c r="AT491" s="235"/>
      <c r="AU491" s="235"/>
      <c r="AV491" s="235"/>
      <c r="AW491" s="235"/>
      <c r="AX491" s="235"/>
      <c r="AY491" s="235"/>
      <c r="AZ491" s="235"/>
      <c r="BA491" s="235"/>
      <c r="BB491" s="235"/>
      <c r="BC491" s="235"/>
      <c r="BD491" s="235"/>
      <c r="BE491" s="235"/>
      <c r="BF491" s="235"/>
    </row>
    <row r="492" spans="1:58" ht="15.75" customHeight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  <c r="AC492" s="114"/>
      <c r="AD492" s="114"/>
      <c r="AE492" s="235"/>
      <c r="AF492" s="235"/>
      <c r="AG492" s="235"/>
      <c r="AH492" s="235"/>
      <c r="AI492" s="235"/>
      <c r="AJ492" s="235"/>
      <c r="AK492" s="235"/>
      <c r="AL492" s="235"/>
      <c r="AM492" s="235"/>
      <c r="AN492" s="235"/>
      <c r="AO492" s="235"/>
      <c r="AP492" s="235"/>
      <c r="AQ492" s="235"/>
      <c r="AR492" s="235"/>
      <c r="AS492" s="235"/>
      <c r="AT492" s="235"/>
      <c r="AU492" s="235"/>
      <c r="AV492" s="235"/>
      <c r="AW492" s="235"/>
      <c r="AX492" s="235"/>
      <c r="AY492" s="235"/>
      <c r="AZ492" s="235"/>
      <c r="BA492" s="235"/>
      <c r="BB492" s="235"/>
      <c r="BC492" s="235"/>
      <c r="BD492" s="235"/>
      <c r="BE492" s="235"/>
      <c r="BF492" s="235"/>
    </row>
    <row r="493" spans="1:58" ht="15.75" customHeight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235"/>
      <c r="AF493" s="235"/>
      <c r="AG493" s="235"/>
      <c r="AH493" s="235"/>
      <c r="AI493" s="235"/>
      <c r="AJ493" s="235"/>
      <c r="AK493" s="235"/>
      <c r="AL493" s="235"/>
      <c r="AM493" s="235"/>
      <c r="AN493" s="235"/>
      <c r="AO493" s="235"/>
      <c r="AP493" s="235"/>
      <c r="AQ493" s="235"/>
      <c r="AR493" s="235"/>
      <c r="AS493" s="235"/>
      <c r="AT493" s="235"/>
      <c r="AU493" s="235"/>
      <c r="AV493" s="235"/>
      <c r="AW493" s="235"/>
      <c r="AX493" s="235"/>
      <c r="AY493" s="235"/>
      <c r="AZ493" s="235"/>
      <c r="BA493" s="235"/>
      <c r="BB493" s="235"/>
      <c r="BC493" s="235"/>
      <c r="BD493" s="235"/>
      <c r="BE493" s="235"/>
      <c r="BF493" s="235"/>
    </row>
    <row r="494" spans="1:58" ht="15.75" customHeight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235"/>
      <c r="AF494" s="235"/>
      <c r="AG494" s="235"/>
      <c r="AH494" s="235"/>
      <c r="AI494" s="235"/>
      <c r="AJ494" s="235"/>
      <c r="AK494" s="235"/>
      <c r="AL494" s="235"/>
      <c r="AM494" s="235"/>
      <c r="AN494" s="235"/>
      <c r="AO494" s="235"/>
      <c r="AP494" s="235"/>
      <c r="AQ494" s="235"/>
      <c r="AR494" s="235"/>
      <c r="AS494" s="235"/>
      <c r="AT494" s="235"/>
      <c r="AU494" s="235"/>
      <c r="AV494" s="235"/>
      <c r="AW494" s="235"/>
      <c r="AX494" s="235"/>
      <c r="AY494" s="235"/>
      <c r="AZ494" s="235"/>
      <c r="BA494" s="235"/>
      <c r="BB494" s="235"/>
      <c r="BC494" s="235"/>
      <c r="BD494" s="235"/>
      <c r="BE494" s="235"/>
      <c r="BF494" s="235"/>
    </row>
    <row r="495" spans="1:58" ht="15.75" customHeight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235"/>
      <c r="AF495" s="235"/>
      <c r="AG495" s="235"/>
      <c r="AH495" s="235"/>
      <c r="AI495" s="235"/>
      <c r="AJ495" s="235"/>
      <c r="AK495" s="235"/>
      <c r="AL495" s="235"/>
      <c r="AM495" s="235"/>
      <c r="AN495" s="235"/>
      <c r="AO495" s="235"/>
      <c r="AP495" s="235"/>
      <c r="AQ495" s="235"/>
      <c r="AR495" s="235"/>
      <c r="AS495" s="235"/>
      <c r="AT495" s="235"/>
      <c r="AU495" s="235"/>
      <c r="AV495" s="235"/>
      <c r="AW495" s="235"/>
      <c r="AX495" s="235"/>
      <c r="AY495" s="235"/>
      <c r="AZ495" s="235"/>
      <c r="BA495" s="235"/>
      <c r="BB495" s="235"/>
      <c r="BC495" s="235"/>
      <c r="BD495" s="235"/>
      <c r="BE495" s="235"/>
      <c r="BF495" s="235"/>
    </row>
    <row r="496" spans="1:58" ht="15.75" customHeight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235"/>
      <c r="AF496" s="235"/>
      <c r="AG496" s="235"/>
      <c r="AH496" s="235"/>
      <c r="AI496" s="235"/>
      <c r="AJ496" s="235"/>
      <c r="AK496" s="235"/>
      <c r="AL496" s="235"/>
      <c r="AM496" s="235"/>
      <c r="AN496" s="235"/>
      <c r="AO496" s="235"/>
      <c r="AP496" s="235"/>
      <c r="AQ496" s="235"/>
      <c r="AR496" s="235"/>
      <c r="AS496" s="235"/>
      <c r="AT496" s="235"/>
      <c r="AU496" s="235"/>
      <c r="AV496" s="235"/>
      <c r="AW496" s="235"/>
      <c r="AX496" s="235"/>
      <c r="AY496" s="235"/>
      <c r="AZ496" s="235"/>
      <c r="BA496" s="235"/>
      <c r="BB496" s="235"/>
      <c r="BC496" s="235"/>
      <c r="BD496" s="235"/>
      <c r="BE496" s="235"/>
      <c r="BF496" s="235"/>
    </row>
    <row r="497" spans="1:58" ht="15.75" customHeight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235"/>
      <c r="AF497" s="235"/>
      <c r="AG497" s="235"/>
      <c r="AH497" s="235"/>
      <c r="AI497" s="235"/>
      <c r="AJ497" s="235"/>
      <c r="AK497" s="235"/>
      <c r="AL497" s="235"/>
      <c r="AM497" s="235"/>
      <c r="AN497" s="235"/>
      <c r="AO497" s="235"/>
      <c r="AP497" s="235"/>
      <c r="AQ497" s="235"/>
      <c r="AR497" s="235"/>
      <c r="AS497" s="235"/>
      <c r="AT497" s="235"/>
      <c r="AU497" s="235"/>
      <c r="AV497" s="235"/>
      <c r="AW497" s="235"/>
      <c r="AX497" s="235"/>
      <c r="AY497" s="235"/>
      <c r="AZ497" s="235"/>
      <c r="BA497" s="235"/>
      <c r="BB497" s="235"/>
      <c r="BC497" s="235"/>
      <c r="BD497" s="235"/>
      <c r="BE497" s="235"/>
      <c r="BF497" s="235"/>
    </row>
    <row r="498" spans="1:58" ht="15.75" customHeight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235"/>
      <c r="AF498" s="235"/>
      <c r="AG498" s="235"/>
      <c r="AH498" s="235"/>
      <c r="AI498" s="235"/>
      <c r="AJ498" s="235"/>
      <c r="AK498" s="235"/>
      <c r="AL498" s="235"/>
      <c r="AM498" s="235"/>
      <c r="AN498" s="235"/>
      <c r="AO498" s="235"/>
      <c r="AP498" s="235"/>
      <c r="AQ498" s="235"/>
      <c r="AR498" s="235"/>
      <c r="AS498" s="235"/>
      <c r="AT498" s="235"/>
      <c r="AU498" s="235"/>
      <c r="AV498" s="235"/>
      <c r="AW498" s="235"/>
      <c r="AX498" s="235"/>
      <c r="AY498" s="235"/>
      <c r="AZ498" s="235"/>
      <c r="BA498" s="235"/>
      <c r="BB498" s="235"/>
      <c r="BC498" s="235"/>
      <c r="BD498" s="235"/>
      <c r="BE498" s="235"/>
      <c r="BF498" s="235"/>
    </row>
    <row r="499" spans="1:58" ht="15.75" customHeight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  <c r="AA499" s="114"/>
      <c r="AB499" s="114"/>
      <c r="AC499" s="114"/>
      <c r="AD499" s="114"/>
      <c r="AE499" s="235"/>
      <c r="AF499" s="235"/>
      <c r="AG499" s="235"/>
      <c r="AH499" s="235"/>
      <c r="AI499" s="235"/>
      <c r="AJ499" s="235"/>
      <c r="AK499" s="235"/>
      <c r="AL499" s="235"/>
      <c r="AM499" s="235"/>
      <c r="AN499" s="235"/>
      <c r="AO499" s="235"/>
      <c r="AP499" s="235"/>
      <c r="AQ499" s="235"/>
      <c r="AR499" s="235"/>
      <c r="AS499" s="235"/>
      <c r="AT499" s="235"/>
      <c r="AU499" s="235"/>
      <c r="AV499" s="235"/>
      <c r="AW499" s="235"/>
      <c r="AX499" s="235"/>
      <c r="AY499" s="235"/>
      <c r="AZ499" s="235"/>
      <c r="BA499" s="235"/>
      <c r="BB499" s="235"/>
      <c r="BC499" s="235"/>
      <c r="BD499" s="235"/>
      <c r="BE499" s="235"/>
      <c r="BF499" s="235"/>
    </row>
    <row r="500" spans="1:58" ht="15.75" customHeight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  <c r="AA500" s="114"/>
      <c r="AB500" s="114"/>
      <c r="AC500" s="114"/>
      <c r="AD500" s="114"/>
      <c r="AE500" s="235"/>
      <c r="AF500" s="235"/>
      <c r="AG500" s="235"/>
      <c r="AH500" s="235"/>
      <c r="AI500" s="235"/>
      <c r="AJ500" s="235"/>
      <c r="AK500" s="235"/>
      <c r="AL500" s="235"/>
      <c r="AM500" s="235"/>
      <c r="AN500" s="235"/>
      <c r="AO500" s="235"/>
      <c r="AP500" s="235"/>
      <c r="AQ500" s="235"/>
      <c r="AR500" s="235"/>
      <c r="AS500" s="235"/>
      <c r="AT500" s="235"/>
      <c r="AU500" s="235"/>
      <c r="AV500" s="235"/>
      <c r="AW500" s="235"/>
      <c r="AX500" s="235"/>
      <c r="AY500" s="235"/>
      <c r="AZ500" s="235"/>
      <c r="BA500" s="235"/>
      <c r="BB500" s="235"/>
      <c r="BC500" s="235"/>
      <c r="BD500" s="235"/>
      <c r="BE500" s="235"/>
      <c r="BF500" s="235"/>
    </row>
    <row r="501" spans="1:58" ht="15.75" customHeight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235"/>
      <c r="AF501" s="235"/>
      <c r="AG501" s="235"/>
      <c r="AH501" s="235"/>
      <c r="AI501" s="235"/>
      <c r="AJ501" s="235"/>
      <c r="AK501" s="235"/>
      <c r="AL501" s="235"/>
      <c r="AM501" s="235"/>
      <c r="AN501" s="235"/>
      <c r="AO501" s="235"/>
      <c r="AP501" s="235"/>
      <c r="AQ501" s="235"/>
      <c r="AR501" s="235"/>
      <c r="AS501" s="235"/>
      <c r="AT501" s="235"/>
      <c r="AU501" s="235"/>
      <c r="AV501" s="235"/>
      <c r="AW501" s="235"/>
      <c r="AX501" s="235"/>
      <c r="AY501" s="235"/>
      <c r="AZ501" s="235"/>
      <c r="BA501" s="235"/>
      <c r="BB501" s="235"/>
      <c r="BC501" s="235"/>
      <c r="BD501" s="235"/>
      <c r="BE501" s="235"/>
      <c r="BF501" s="235"/>
    </row>
    <row r="502" spans="1:58" ht="15.75" customHeight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235"/>
      <c r="AF502" s="235"/>
      <c r="AG502" s="235"/>
      <c r="AH502" s="235"/>
      <c r="AI502" s="235"/>
      <c r="AJ502" s="235"/>
      <c r="AK502" s="235"/>
      <c r="AL502" s="235"/>
      <c r="AM502" s="235"/>
      <c r="AN502" s="235"/>
      <c r="AO502" s="235"/>
      <c r="AP502" s="235"/>
      <c r="AQ502" s="235"/>
      <c r="AR502" s="235"/>
      <c r="AS502" s="235"/>
      <c r="AT502" s="235"/>
      <c r="AU502" s="235"/>
      <c r="AV502" s="235"/>
      <c r="AW502" s="235"/>
      <c r="AX502" s="235"/>
      <c r="AY502" s="235"/>
      <c r="AZ502" s="235"/>
      <c r="BA502" s="235"/>
      <c r="BB502" s="235"/>
      <c r="BC502" s="235"/>
      <c r="BD502" s="235"/>
      <c r="BE502" s="235"/>
      <c r="BF502" s="235"/>
    </row>
    <row r="503" spans="1:58" ht="15.75" customHeight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  <c r="AA503" s="114"/>
      <c r="AB503" s="114"/>
      <c r="AC503" s="114"/>
      <c r="AD503" s="114"/>
      <c r="AE503" s="235"/>
      <c r="AF503" s="235"/>
      <c r="AG503" s="235"/>
      <c r="AH503" s="235"/>
      <c r="AI503" s="235"/>
      <c r="AJ503" s="235"/>
      <c r="AK503" s="235"/>
      <c r="AL503" s="235"/>
      <c r="AM503" s="235"/>
      <c r="AN503" s="235"/>
      <c r="AO503" s="235"/>
      <c r="AP503" s="235"/>
      <c r="AQ503" s="235"/>
      <c r="AR503" s="235"/>
      <c r="AS503" s="235"/>
      <c r="AT503" s="235"/>
      <c r="AU503" s="235"/>
      <c r="AV503" s="235"/>
      <c r="AW503" s="235"/>
      <c r="AX503" s="235"/>
      <c r="AY503" s="235"/>
      <c r="AZ503" s="235"/>
      <c r="BA503" s="235"/>
      <c r="BB503" s="235"/>
      <c r="BC503" s="235"/>
      <c r="BD503" s="235"/>
      <c r="BE503" s="235"/>
      <c r="BF503" s="235"/>
    </row>
    <row r="504" spans="1:58" ht="15.75" customHeight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  <c r="AC504" s="114"/>
      <c r="AD504" s="114"/>
      <c r="AE504" s="235"/>
      <c r="AF504" s="235"/>
      <c r="AG504" s="235"/>
      <c r="AH504" s="235"/>
      <c r="AI504" s="235"/>
      <c r="AJ504" s="235"/>
      <c r="AK504" s="235"/>
      <c r="AL504" s="235"/>
      <c r="AM504" s="235"/>
      <c r="AN504" s="235"/>
      <c r="AO504" s="235"/>
      <c r="AP504" s="235"/>
      <c r="AQ504" s="235"/>
      <c r="AR504" s="235"/>
      <c r="AS504" s="235"/>
      <c r="AT504" s="235"/>
      <c r="AU504" s="235"/>
      <c r="AV504" s="235"/>
      <c r="AW504" s="235"/>
      <c r="AX504" s="235"/>
      <c r="AY504" s="235"/>
      <c r="AZ504" s="235"/>
      <c r="BA504" s="235"/>
      <c r="BB504" s="235"/>
      <c r="BC504" s="235"/>
      <c r="BD504" s="235"/>
      <c r="BE504" s="235"/>
      <c r="BF504" s="235"/>
    </row>
    <row r="505" spans="1:58" ht="15.75" customHeight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235"/>
      <c r="AF505" s="235"/>
      <c r="AG505" s="235"/>
      <c r="AH505" s="235"/>
      <c r="AI505" s="235"/>
      <c r="AJ505" s="235"/>
      <c r="AK505" s="235"/>
      <c r="AL505" s="235"/>
      <c r="AM505" s="235"/>
      <c r="AN505" s="235"/>
      <c r="AO505" s="235"/>
      <c r="AP505" s="235"/>
      <c r="AQ505" s="235"/>
      <c r="AR505" s="235"/>
      <c r="AS505" s="235"/>
      <c r="AT505" s="235"/>
      <c r="AU505" s="235"/>
      <c r="AV505" s="235"/>
      <c r="AW505" s="235"/>
      <c r="AX505" s="235"/>
      <c r="AY505" s="235"/>
      <c r="AZ505" s="235"/>
      <c r="BA505" s="235"/>
      <c r="BB505" s="235"/>
      <c r="BC505" s="235"/>
      <c r="BD505" s="235"/>
      <c r="BE505" s="235"/>
      <c r="BF505" s="235"/>
    </row>
    <row r="506" spans="1:58" ht="15.75" customHeight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235"/>
      <c r="AF506" s="235"/>
      <c r="AG506" s="235"/>
      <c r="AH506" s="235"/>
      <c r="AI506" s="235"/>
      <c r="AJ506" s="235"/>
      <c r="AK506" s="235"/>
      <c r="AL506" s="235"/>
      <c r="AM506" s="235"/>
      <c r="AN506" s="235"/>
      <c r="AO506" s="235"/>
      <c r="AP506" s="235"/>
      <c r="AQ506" s="235"/>
      <c r="AR506" s="235"/>
      <c r="AS506" s="235"/>
      <c r="AT506" s="235"/>
      <c r="AU506" s="235"/>
      <c r="AV506" s="235"/>
      <c r="AW506" s="235"/>
      <c r="AX506" s="235"/>
      <c r="AY506" s="235"/>
      <c r="AZ506" s="235"/>
      <c r="BA506" s="235"/>
      <c r="BB506" s="235"/>
      <c r="BC506" s="235"/>
      <c r="BD506" s="235"/>
      <c r="BE506" s="235"/>
      <c r="BF506" s="235"/>
    </row>
    <row r="507" spans="1:58" ht="15.75" customHeight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  <c r="AA507" s="114"/>
      <c r="AB507" s="114"/>
      <c r="AC507" s="114"/>
      <c r="AD507" s="114"/>
      <c r="AE507" s="235"/>
      <c r="AF507" s="235"/>
      <c r="AG507" s="235"/>
      <c r="AH507" s="235"/>
      <c r="AI507" s="235"/>
      <c r="AJ507" s="235"/>
      <c r="AK507" s="235"/>
      <c r="AL507" s="235"/>
      <c r="AM507" s="235"/>
      <c r="AN507" s="235"/>
      <c r="AO507" s="235"/>
      <c r="AP507" s="235"/>
      <c r="AQ507" s="235"/>
      <c r="AR507" s="235"/>
      <c r="AS507" s="235"/>
      <c r="AT507" s="235"/>
      <c r="AU507" s="235"/>
      <c r="AV507" s="235"/>
      <c r="AW507" s="235"/>
      <c r="AX507" s="235"/>
      <c r="AY507" s="235"/>
      <c r="AZ507" s="235"/>
      <c r="BA507" s="235"/>
      <c r="BB507" s="235"/>
      <c r="BC507" s="235"/>
      <c r="BD507" s="235"/>
      <c r="BE507" s="235"/>
      <c r="BF507" s="235"/>
    </row>
    <row r="508" spans="1:58" ht="15.75" customHeight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  <c r="AD508" s="114"/>
      <c r="AE508" s="235"/>
      <c r="AF508" s="235"/>
      <c r="AG508" s="235"/>
      <c r="AH508" s="235"/>
      <c r="AI508" s="235"/>
      <c r="AJ508" s="235"/>
      <c r="AK508" s="235"/>
      <c r="AL508" s="235"/>
      <c r="AM508" s="235"/>
      <c r="AN508" s="235"/>
      <c r="AO508" s="235"/>
      <c r="AP508" s="235"/>
      <c r="AQ508" s="235"/>
      <c r="AR508" s="235"/>
      <c r="AS508" s="235"/>
      <c r="AT508" s="235"/>
      <c r="AU508" s="235"/>
      <c r="AV508" s="235"/>
      <c r="AW508" s="235"/>
      <c r="AX508" s="235"/>
      <c r="AY508" s="235"/>
      <c r="AZ508" s="235"/>
      <c r="BA508" s="235"/>
      <c r="BB508" s="235"/>
      <c r="BC508" s="235"/>
      <c r="BD508" s="235"/>
      <c r="BE508" s="235"/>
      <c r="BF508" s="235"/>
    </row>
    <row r="509" spans="1:58" ht="15.75" customHeight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235"/>
      <c r="AF509" s="235"/>
      <c r="AG509" s="235"/>
      <c r="AH509" s="235"/>
      <c r="AI509" s="235"/>
      <c r="AJ509" s="235"/>
      <c r="AK509" s="235"/>
      <c r="AL509" s="235"/>
      <c r="AM509" s="235"/>
      <c r="AN509" s="235"/>
      <c r="AO509" s="235"/>
      <c r="AP509" s="235"/>
      <c r="AQ509" s="235"/>
      <c r="AR509" s="235"/>
      <c r="AS509" s="235"/>
      <c r="AT509" s="235"/>
      <c r="AU509" s="235"/>
      <c r="AV509" s="235"/>
      <c r="AW509" s="235"/>
      <c r="AX509" s="235"/>
      <c r="AY509" s="235"/>
      <c r="AZ509" s="235"/>
      <c r="BA509" s="235"/>
      <c r="BB509" s="235"/>
      <c r="BC509" s="235"/>
      <c r="BD509" s="235"/>
      <c r="BE509" s="235"/>
      <c r="BF509" s="235"/>
    </row>
    <row r="510" spans="1:58" ht="15.75" customHeight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235"/>
      <c r="AF510" s="235"/>
      <c r="AG510" s="235"/>
      <c r="AH510" s="235"/>
      <c r="AI510" s="235"/>
      <c r="AJ510" s="235"/>
      <c r="AK510" s="235"/>
      <c r="AL510" s="235"/>
      <c r="AM510" s="235"/>
      <c r="AN510" s="235"/>
      <c r="AO510" s="235"/>
      <c r="AP510" s="235"/>
      <c r="AQ510" s="235"/>
      <c r="AR510" s="235"/>
      <c r="AS510" s="235"/>
      <c r="AT510" s="235"/>
      <c r="AU510" s="235"/>
      <c r="AV510" s="235"/>
      <c r="AW510" s="235"/>
      <c r="AX510" s="235"/>
      <c r="AY510" s="235"/>
      <c r="AZ510" s="235"/>
      <c r="BA510" s="235"/>
      <c r="BB510" s="235"/>
      <c r="BC510" s="235"/>
      <c r="BD510" s="235"/>
      <c r="BE510" s="235"/>
      <c r="BF510" s="235"/>
    </row>
    <row r="511" spans="1:58" ht="15.75" customHeight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  <c r="AA511" s="114"/>
      <c r="AB511" s="114"/>
      <c r="AC511" s="114"/>
      <c r="AD511" s="114"/>
      <c r="AE511" s="235"/>
      <c r="AF511" s="235"/>
      <c r="AG511" s="235"/>
      <c r="AH511" s="235"/>
      <c r="AI511" s="235"/>
      <c r="AJ511" s="235"/>
      <c r="AK511" s="235"/>
      <c r="AL511" s="235"/>
      <c r="AM511" s="235"/>
      <c r="AN511" s="235"/>
      <c r="AO511" s="235"/>
      <c r="AP511" s="235"/>
      <c r="AQ511" s="235"/>
      <c r="AR511" s="235"/>
      <c r="AS511" s="235"/>
      <c r="AT511" s="235"/>
      <c r="AU511" s="235"/>
      <c r="AV511" s="235"/>
      <c r="AW511" s="235"/>
      <c r="AX511" s="235"/>
      <c r="AY511" s="235"/>
      <c r="AZ511" s="235"/>
      <c r="BA511" s="235"/>
      <c r="BB511" s="235"/>
      <c r="BC511" s="235"/>
      <c r="BD511" s="235"/>
      <c r="BE511" s="235"/>
      <c r="BF511" s="235"/>
    </row>
    <row r="512" spans="1:58" ht="15.75" customHeight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  <c r="AA512" s="114"/>
      <c r="AB512" s="114"/>
      <c r="AC512" s="114"/>
      <c r="AD512" s="114"/>
      <c r="AE512" s="235"/>
      <c r="AF512" s="235"/>
      <c r="AG512" s="235"/>
      <c r="AH512" s="235"/>
      <c r="AI512" s="235"/>
      <c r="AJ512" s="235"/>
      <c r="AK512" s="235"/>
      <c r="AL512" s="235"/>
      <c r="AM512" s="235"/>
      <c r="AN512" s="235"/>
      <c r="AO512" s="235"/>
      <c r="AP512" s="235"/>
      <c r="AQ512" s="235"/>
      <c r="AR512" s="235"/>
      <c r="AS512" s="235"/>
      <c r="AT512" s="235"/>
      <c r="AU512" s="235"/>
      <c r="AV512" s="235"/>
      <c r="AW512" s="235"/>
      <c r="AX512" s="235"/>
      <c r="AY512" s="235"/>
      <c r="AZ512" s="235"/>
      <c r="BA512" s="235"/>
      <c r="BB512" s="235"/>
      <c r="BC512" s="235"/>
      <c r="BD512" s="235"/>
      <c r="BE512" s="235"/>
      <c r="BF512" s="235"/>
    </row>
    <row r="513" spans="1:58" ht="15.75" customHeight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235"/>
      <c r="AF513" s="235"/>
      <c r="AG513" s="235"/>
      <c r="AH513" s="235"/>
      <c r="AI513" s="235"/>
      <c r="AJ513" s="235"/>
      <c r="AK513" s="235"/>
      <c r="AL513" s="235"/>
      <c r="AM513" s="235"/>
      <c r="AN513" s="235"/>
      <c r="AO513" s="235"/>
      <c r="AP513" s="235"/>
      <c r="AQ513" s="235"/>
      <c r="AR513" s="235"/>
      <c r="AS513" s="235"/>
      <c r="AT513" s="235"/>
      <c r="AU513" s="235"/>
      <c r="AV513" s="235"/>
      <c r="AW513" s="235"/>
      <c r="AX513" s="235"/>
      <c r="AY513" s="235"/>
      <c r="AZ513" s="235"/>
      <c r="BA513" s="235"/>
      <c r="BB513" s="235"/>
      <c r="BC513" s="235"/>
      <c r="BD513" s="235"/>
      <c r="BE513" s="235"/>
      <c r="BF513" s="235"/>
    </row>
    <row r="514" spans="1:58" ht="15.75" customHeight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235"/>
      <c r="AF514" s="235"/>
      <c r="AG514" s="235"/>
      <c r="AH514" s="235"/>
      <c r="AI514" s="235"/>
      <c r="AJ514" s="235"/>
      <c r="AK514" s="235"/>
      <c r="AL514" s="235"/>
      <c r="AM514" s="235"/>
      <c r="AN514" s="235"/>
      <c r="AO514" s="235"/>
      <c r="AP514" s="235"/>
      <c r="AQ514" s="235"/>
      <c r="AR514" s="235"/>
      <c r="AS514" s="235"/>
      <c r="AT514" s="235"/>
      <c r="AU514" s="235"/>
      <c r="AV514" s="235"/>
      <c r="AW514" s="235"/>
      <c r="AX514" s="235"/>
      <c r="AY514" s="235"/>
      <c r="AZ514" s="235"/>
      <c r="BA514" s="235"/>
      <c r="BB514" s="235"/>
      <c r="BC514" s="235"/>
      <c r="BD514" s="235"/>
      <c r="BE514" s="235"/>
      <c r="BF514" s="235"/>
    </row>
    <row r="515" spans="1:58" ht="15.75" customHeight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235"/>
      <c r="AF515" s="235"/>
      <c r="AG515" s="235"/>
      <c r="AH515" s="235"/>
      <c r="AI515" s="235"/>
      <c r="AJ515" s="235"/>
      <c r="AK515" s="235"/>
      <c r="AL515" s="235"/>
      <c r="AM515" s="235"/>
      <c r="AN515" s="235"/>
      <c r="AO515" s="235"/>
      <c r="AP515" s="235"/>
      <c r="AQ515" s="235"/>
      <c r="AR515" s="235"/>
      <c r="AS515" s="235"/>
      <c r="AT515" s="235"/>
      <c r="AU515" s="235"/>
      <c r="AV515" s="235"/>
      <c r="AW515" s="235"/>
      <c r="AX515" s="235"/>
      <c r="AY515" s="235"/>
      <c r="AZ515" s="235"/>
      <c r="BA515" s="235"/>
      <c r="BB515" s="235"/>
      <c r="BC515" s="235"/>
      <c r="BD515" s="235"/>
      <c r="BE515" s="235"/>
      <c r="BF515" s="235"/>
    </row>
    <row r="516" spans="1:58" ht="15.75" customHeight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  <c r="AA516" s="114"/>
      <c r="AB516" s="114"/>
      <c r="AC516" s="114"/>
      <c r="AD516" s="114"/>
      <c r="AE516" s="235"/>
      <c r="AF516" s="235"/>
      <c r="AG516" s="235"/>
      <c r="AH516" s="235"/>
      <c r="AI516" s="235"/>
      <c r="AJ516" s="235"/>
      <c r="AK516" s="235"/>
      <c r="AL516" s="235"/>
      <c r="AM516" s="235"/>
      <c r="AN516" s="235"/>
      <c r="AO516" s="235"/>
      <c r="AP516" s="235"/>
      <c r="AQ516" s="235"/>
      <c r="AR516" s="235"/>
      <c r="AS516" s="235"/>
      <c r="AT516" s="235"/>
      <c r="AU516" s="235"/>
      <c r="AV516" s="235"/>
      <c r="AW516" s="235"/>
      <c r="AX516" s="235"/>
      <c r="AY516" s="235"/>
      <c r="AZ516" s="235"/>
      <c r="BA516" s="235"/>
      <c r="BB516" s="235"/>
      <c r="BC516" s="235"/>
      <c r="BD516" s="235"/>
      <c r="BE516" s="235"/>
      <c r="BF516" s="235"/>
    </row>
    <row r="517" spans="1:58" ht="15.75" customHeight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235"/>
      <c r="AF517" s="235"/>
      <c r="AG517" s="235"/>
      <c r="AH517" s="235"/>
      <c r="AI517" s="235"/>
      <c r="AJ517" s="235"/>
      <c r="AK517" s="235"/>
      <c r="AL517" s="235"/>
      <c r="AM517" s="235"/>
      <c r="AN517" s="235"/>
      <c r="AO517" s="235"/>
      <c r="AP517" s="235"/>
      <c r="AQ517" s="235"/>
      <c r="AR517" s="235"/>
      <c r="AS517" s="235"/>
      <c r="AT517" s="235"/>
      <c r="AU517" s="235"/>
      <c r="AV517" s="235"/>
      <c r="AW517" s="235"/>
      <c r="AX517" s="235"/>
      <c r="AY517" s="235"/>
      <c r="AZ517" s="235"/>
      <c r="BA517" s="235"/>
      <c r="BB517" s="235"/>
      <c r="BC517" s="235"/>
      <c r="BD517" s="235"/>
      <c r="BE517" s="235"/>
      <c r="BF517" s="235"/>
    </row>
    <row r="518" spans="1:58" ht="15.75" customHeight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235"/>
      <c r="AF518" s="235"/>
      <c r="AG518" s="235"/>
      <c r="AH518" s="235"/>
      <c r="AI518" s="235"/>
      <c r="AJ518" s="235"/>
      <c r="AK518" s="235"/>
      <c r="AL518" s="235"/>
      <c r="AM518" s="235"/>
      <c r="AN518" s="235"/>
      <c r="AO518" s="235"/>
      <c r="AP518" s="235"/>
      <c r="AQ518" s="235"/>
      <c r="AR518" s="235"/>
      <c r="AS518" s="235"/>
      <c r="AT518" s="235"/>
      <c r="AU518" s="235"/>
      <c r="AV518" s="235"/>
      <c r="AW518" s="235"/>
      <c r="AX518" s="235"/>
      <c r="AY518" s="235"/>
      <c r="AZ518" s="235"/>
      <c r="BA518" s="235"/>
      <c r="BB518" s="235"/>
      <c r="BC518" s="235"/>
      <c r="BD518" s="235"/>
      <c r="BE518" s="235"/>
      <c r="BF518" s="235"/>
    </row>
    <row r="519" spans="1:58" ht="15.75" customHeight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235"/>
      <c r="AF519" s="235"/>
      <c r="AG519" s="235"/>
      <c r="AH519" s="235"/>
      <c r="AI519" s="235"/>
      <c r="AJ519" s="235"/>
      <c r="AK519" s="235"/>
      <c r="AL519" s="235"/>
      <c r="AM519" s="235"/>
      <c r="AN519" s="235"/>
      <c r="AO519" s="235"/>
      <c r="AP519" s="235"/>
      <c r="AQ519" s="235"/>
      <c r="AR519" s="235"/>
      <c r="AS519" s="235"/>
      <c r="AT519" s="235"/>
      <c r="AU519" s="235"/>
      <c r="AV519" s="235"/>
      <c r="AW519" s="235"/>
      <c r="AX519" s="235"/>
      <c r="AY519" s="235"/>
      <c r="AZ519" s="235"/>
      <c r="BA519" s="235"/>
      <c r="BB519" s="235"/>
      <c r="BC519" s="235"/>
      <c r="BD519" s="235"/>
      <c r="BE519" s="235"/>
      <c r="BF519" s="235"/>
    </row>
    <row r="520" spans="1:58" ht="15.75" customHeight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  <c r="AA520" s="114"/>
      <c r="AB520" s="114"/>
      <c r="AC520" s="114"/>
      <c r="AD520" s="114"/>
      <c r="AE520" s="235"/>
      <c r="AF520" s="235"/>
      <c r="AG520" s="235"/>
      <c r="AH520" s="235"/>
      <c r="AI520" s="235"/>
      <c r="AJ520" s="235"/>
      <c r="AK520" s="235"/>
      <c r="AL520" s="235"/>
      <c r="AM520" s="235"/>
      <c r="AN520" s="235"/>
      <c r="AO520" s="235"/>
      <c r="AP520" s="235"/>
      <c r="AQ520" s="235"/>
      <c r="AR520" s="235"/>
      <c r="AS520" s="235"/>
      <c r="AT520" s="235"/>
      <c r="AU520" s="235"/>
      <c r="AV520" s="235"/>
      <c r="AW520" s="235"/>
      <c r="AX520" s="235"/>
      <c r="AY520" s="235"/>
      <c r="AZ520" s="235"/>
      <c r="BA520" s="235"/>
      <c r="BB520" s="235"/>
      <c r="BC520" s="235"/>
      <c r="BD520" s="235"/>
      <c r="BE520" s="235"/>
      <c r="BF520" s="235"/>
    </row>
    <row r="521" spans="1:58" ht="15.75" customHeight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235"/>
      <c r="AF521" s="235"/>
      <c r="AG521" s="235"/>
      <c r="AH521" s="235"/>
      <c r="AI521" s="235"/>
      <c r="AJ521" s="235"/>
      <c r="AK521" s="235"/>
      <c r="AL521" s="235"/>
      <c r="AM521" s="235"/>
      <c r="AN521" s="235"/>
      <c r="AO521" s="235"/>
      <c r="AP521" s="235"/>
      <c r="AQ521" s="235"/>
      <c r="AR521" s="235"/>
      <c r="AS521" s="235"/>
      <c r="AT521" s="235"/>
      <c r="AU521" s="235"/>
      <c r="AV521" s="235"/>
      <c r="AW521" s="235"/>
      <c r="AX521" s="235"/>
      <c r="AY521" s="235"/>
      <c r="AZ521" s="235"/>
      <c r="BA521" s="235"/>
      <c r="BB521" s="235"/>
      <c r="BC521" s="235"/>
      <c r="BD521" s="235"/>
      <c r="BE521" s="235"/>
      <c r="BF521" s="235"/>
    </row>
    <row r="522" spans="1:58" ht="15.75" customHeight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235"/>
      <c r="AF522" s="235"/>
      <c r="AG522" s="235"/>
      <c r="AH522" s="235"/>
      <c r="AI522" s="235"/>
      <c r="AJ522" s="235"/>
      <c r="AK522" s="235"/>
      <c r="AL522" s="235"/>
      <c r="AM522" s="235"/>
      <c r="AN522" s="235"/>
      <c r="AO522" s="235"/>
      <c r="AP522" s="235"/>
      <c r="AQ522" s="235"/>
      <c r="AR522" s="235"/>
      <c r="AS522" s="235"/>
      <c r="AT522" s="235"/>
      <c r="AU522" s="235"/>
      <c r="AV522" s="235"/>
      <c r="AW522" s="235"/>
      <c r="AX522" s="235"/>
      <c r="AY522" s="235"/>
      <c r="AZ522" s="235"/>
      <c r="BA522" s="235"/>
      <c r="BB522" s="235"/>
      <c r="BC522" s="235"/>
      <c r="BD522" s="235"/>
      <c r="BE522" s="235"/>
      <c r="BF522" s="235"/>
    </row>
    <row r="523" spans="1:58" ht="15.75" customHeight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  <c r="AA523" s="114"/>
      <c r="AB523" s="114"/>
      <c r="AC523" s="114"/>
      <c r="AD523" s="114"/>
      <c r="AE523" s="235"/>
      <c r="AF523" s="235"/>
      <c r="AG523" s="235"/>
      <c r="AH523" s="235"/>
      <c r="AI523" s="235"/>
      <c r="AJ523" s="235"/>
      <c r="AK523" s="235"/>
      <c r="AL523" s="235"/>
      <c r="AM523" s="235"/>
      <c r="AN523" s="235"/>
      <c r="AO523" s="235"/>
      <c r="AP523" s="235"/>
      <c r="AQ523" s="235"/>
      <c r="AR523" s="235"/>
      <c r="AS523" s="235"/>
      <c r="AT523" s="235"/>
      <c r="AU523" s="235"/>
      <c r="AV523" s="235"/>
      <c r="AW523" s="235"/>
      <c r="AX523" s="235"/>
      <c r="AY523" s="235"/>
      <c r="AZ523" s="235"/>
      <c r="BA523" s="235"/>
      <c r="BB523" s="235"/>
      <c r="BC523" s="235"/>
      <c r="BD523" s="235"/>
      <c r="BE523" s="235"/>
      <c r="BF523" s="235"/>
    </row>
    <row r="524" spans="1:58" ht="15.75" customHeight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  <c r="AA524" s="114"/>
      <c r="AB524" s="114"/>
      <c r="AC524" s="114"/>
      <c r="AD524" s="114"/>
      <c r="AE524" s="235"/>
      <c r="AF524" s="235"/>
      <c r="AG524" s="235"/>
      <c r="AH524" s="235"/>
      <c r="AI524" s="235"/>
      <c r="AJ524" s="235"/>
      <c r="AK524" s="235"/>
      <c r="AL524" s="235"/>
      <c r="AM524" s="235"/>
      <c r="AN524" s="235"/>
      <c r="AO524" s="235"/>
      <c r="AP524" s="235"/>
      <c r="AQ524" s="235"/>
      <c r="AR524" s="235"/>
      <c r="AS524" s="235"/>
      <c r="AT524" s="235"/>
      <c r="AU524" s="235"/>
      <c r="AV524" s="235"/>
      <c r="AW524" s="235"/>
      <c r="AX524" s="235"/>
      <c r="AY524" s="235"/>
      <c r="AZ524" s="235"/>
      <c r="BA524" s="235"/>
      <c r="BB524" s="235"/>
      <c r="BC524" s="235"/>
      <c r="BD524" s="235"/>
      <c r="BE524" s="235"/>
      <c r="BF524" s="235"/>
    </row>
    <row r="525" spans="1:58" ht="15.75" customHeight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235"/>
      <c r="AF525" s="235"/>
      <c r="AG525" s="235"/>
      <c r="AH525" s="235"/>
      <c r="AI525" s="235"/>
      <c r="AJ525" s="235"/>
      <c r="AK525" s="235"/>
      <c r="AL525" s="235"/>
      <c r="AM525" s="235"/>
      <c r="AN525" s="235"/>
      <c r="AO525" s="235"/>
      <c r="AP525" s="235"/>
      <c r="AQ525" s="235"/>
      <c r="AR525" s="235"/>
      <c r="AS525" s="235"/>
      <c r="AT525" s="235"/>
      <c r="AU525" s="235"/>
      <c r="AV525" s="235"/>
      <c r="AW525" s="235"/>
      <c r="AX525" s="235"/>
      <c r="AY525" s="235"/>
      <c r="AZ525" s="235"/>
      <c r="BA525" s="235"/>
      <c r="BB525" s="235"/>
      <c r="BC525" s="235"/>
      <c r="BD525" s="235"/>
      <c r="BE525" s="235"/>
      <c r="BF525" s="235"/>
    </row>
    <row r="526" spans="1:58" ht="15.75" customHeight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235"/>
      <c r="AF526" s="235"/>
      <c r="AG526" s="235"/>
      <c r="AH526" s="235"/>
      <c r="AI526" s="235"/>
      <c r="AJ526" s="235"/>
      <c r="AK526" s="235"/>
      <c r="AL526" s="235"/>
      <c r="AM526" s="235"/>
      <c r="AN526" s="235"/>
      <c r="AO526" s="235"/>
      <c r="AP526" s="235"/>
      <c r="AQ526" s="235"/>
      <c r="AR526" s="235"/>
      <c r="AS526" s="235"/>
      <c r="AT526" s="235"/>
      <c r="AU526" s="235"/>
      <c r="AV526" s="235"/>
      <c r="AW526" s="235"/>
      <c r="AX526" s="235"/>
      <c r="AY526" s="235"/>
      <c r="AZ526" s="235"/>
      <c r="BA526" s="235"/>
      <c r="BB526" s="235"/>
      <c r="BC526" s="235"/>
      <c r="BD526" s="235"/>
      <c r="BE526" s="235"/>
      <c r="BF526" s="235"/>
    </row>
    <row r="527" spans="1:58" ht="15.75" customHeight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  <c r="AA527" s="114"/>
      <c r="AB527" s="114"/>
      <c r="AC527" s="114"/>
      <c r="AD527" s="114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  <c r="BC527" s="235"/>
      <c r="BD527" s="235"/>
      <c r="BE527" s="235"/>
      <c r="BF527" s="235"/>
    </row>
    <row r="528" spans="1:58" ht="15.75" customHeight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  <c r="AC528" s="114"/>
      <c r="AD528" s="114"/>
      <c r="AE528" s="235"/>
      <c r="AF528" s="235"/>
      <c r="AG528" s="235"/>
      <c r="AH528" s="235"/>
      <c r="AI528" s="235"/>
      <c r="AJ528" s="235"/>
      <c r="AK528" s="235"/>
      <c r="AL528" s="235"/>
      <c r="AM528" s="235"/>
      <c r="AN528" s="235"/>
      <c r="AO528" s="235"/>
      <c r="AP528" s="235"/>
      <c r="AQ528" s="235"/>
      <c r="AR528" s="235"/>
      <c r="AS528" s="235"/>
      <c r="AT528" s="235"/>
      <c r="AU528" s="235"/>
      <c r="AV528" s="235"/>
      <c r="AW528" s="235"/>
      <c r="AX528" s="235"/>
      <c r="AY528" s="235"/>
      <c r="AZ528" s="235"/>
      <c r="BA528" s="235"/>
      <c r="BB528" s="235"/>
      <c r="BC528" s="235"/>
      <c r="BD528" s="235"/>
      <c r="BE528" s="235"/>
      <c r="BF528" s="235"/>
    </row>
    <row r="529" spans="1:58" ht="15.75" customHeight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235"/>
      <c r="AF529" s="235"/>
      <c r="AG529" s="235"/>
      <c r="AH529" s="235"/>
      <c r="AI529" s="235"/>
      <c r="AJ529" s="235"/>
      <c r="AK529" s="235"/>
      <c r="AL529" s="235"/>
      <c r="AM529" s="235"/>
      <c r="AN529" s="235"/>
      <c r="AO529" s="235"/>
      <c r="AP529" s="235"/>
      <c r="AQ529" s="235"/>
      <c r="AR529" s="235"/>
      <c r="AS529" s="235"/>
      <c r="AT529" s="235"/>
      <c r="AU529" s="235"/>
      <c r="AV529" s="235"/>
      <c r="AW529" s="235"/>
      <c r="AX529" s="235"/>
      <c r="AY529" s="235"/>
      <c r="AZ529" s="235"/>
      <c r="BA529" s="235"/>
      <c r="BB529" s="235"/>
      <c r="BC529" s="235"/>
      <c r="BD529" s="235"/>
      <c r="BE529" s="235"/>
      <c r="BF529" s="235"/>
    </row>
    <row r="530" spans="1:58" ht="15.75" customHeight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235"/>
      <c r="AF530" s="235"/>
      <c r="AG530" s="235"/>
      <c r="AH530" s="235"/>
      <c r="AI530" s="235"/>
      <c r="AJ530" s="235"/>
      <c r="AK530" s="235"/>
      <c r="AL530" s="235"/>
      <c r="AM530" s="235"/>
      <c r="AN530" s="235"/>
      <c r="AO530" s="235"/>
      <c r="AP530" s="235"/>
      <c r="AQ530" s="235"/>
      <c r="AR530" s="235"/>
      <c r="AS530" s="235"/>
      <c r="AT530" s="235"/>
      <c r="AU530" s="235"/>
      <c r="AV530" s="235"/>
      <c r="AW530" s="235"/>
      <c r="AX530" s="235"/>
      <c r="AY530" s="235"/>
      <c r="AZ530" s="235"/>
      <c r="BA530" s="235"/>
      <c r="BB530" s="235"/>
      <c r="BC530" s="235"/>
      <c r="BD530" s="235"/>
      <c r="BE530" s="235"/>
      <c r="BF530" s="235"/>
    </row>
    <row r="531" spans="1:58" ht="15.75" customHeight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  <c r="AA531" s="114"/>
      <c r="AB531" s="114"/>
      <c r="AC531" s="114"/>
      <c r="AD531" s="114"/>
      <c r="AE531" s="235"/>
      <c r="AF531" s="235"/>
      <c r="AG531" s="235"/>
      <c r="AH531" s="235"/>
      <c r="AI531" s="235"/>
      <c r="AJ531" s="235"/>
      <c r="AK531" s="235"/>
      <c r="AL531" s="235"/>
      <c r="AM531" s="235"/>
      <c r="AN531" s="235"/>
      <c r="AO531" s="235"/>
      <c r="AP531" s="235"/>
      <c r="AQ531" s="235"/>
      <c r="AR531" s="235"/>
      <c r="AS531" s="235"/>
      <c r="AT531" s="235"/>
      <c r="AU531" s="235"/>
      <c r="AV531" s="235"/>
      <c r="AW531" s="235"/>
      <c r="AX531" s="235"/>
      <c r="AY531" s="235"/>
      <c r="AZ531" s="235"/>
      <c r="BA531" s="235"/>
      <c r="BB531" s="235"/>
      <c r="BC531" s="235"/>
      <c r="BD531" s="235"/>
      <c r="BE531" s="235"/>
      <c r="BF531" s="235"/>
    </row>
    <row r="532" spans="1:58" ht="15.75" customHeight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  <c r="AC532" s="114"/>
      <c r="AD532" s="114"/>
      <c r="AE532" s="235"/>
      <c r="AF532" s="235"/>
      <c r="AG532" s="235"/>
      <c r="AH532" s="235"/>
      <c r="AI532" s="235"/>
      <c r="AJ532" s="235"/>
      <c r="AK532" s="235"/>
      <c r="AL532" s="235"/>
      <c r="AM532" s="235"/>
      <c r="AN532" s="235"/>
      <c r="AO532" s="235"/>
      <c r="AP532" s="235"/>
      <c r="AQ532" s="235"/>
      <c r="AR532" s="235"/>
      <c r="AS532" s="235"/>
      <c r="AT532" s="235"/>
      <c r="AU532" s="235"/>
      <c r="AV532" s="235"/>
      <c r="AW532" s="235"/>
      <c r="AX532" s="235"/>
      <c r="AY532" s="235"/>
      <c r="AZ532" s="235"/>
      <c r="BA532" s="235"/>
      <c r="BB532" s="235"/>
      <c r="BC532" s="235"/>
      <c r="BD532" s="235"/>
      <c r="BE532" s="235"/>
      <c r="BF532" s="235"/>
    </row>
    <row r="533" spans="1:58" ht="15.75" customHeight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235"/>
      <c r="AF533" s="235"/>
      <c r="AG533" s="235"/>
      <c r="AH533" s="235"/>
      <c r="AI533" s="235"/>
      <c r="AJ533" s="235"/>
      <c r="AK533" s="235"/>
      <c r="AL533" s="235"/>
      <c r="AM533" s="235"/>
      <c r="AN533" s="235"/>
      <c r="AO533" s="235"/>
      <c r="AP533" s="235"/>
      <c r="AQ533" s="235"/>
      <c r="AR533" s="235"/>
      <c r="AS533" s="235"/>
      <c r="AT533" s="235"/>
      <c r="AU533" s="235"/>
      <c r="AV533" s="235"/>
      <c r="AW533" s="235"/>
      <c r="AX533" s="235"/>
      <c r="AY533" s="235"/>
      <c r="AZ533" s="235"/>
      <c r="BA533" s="235"/>
      <c r="BB533" s="235"/>
      <c r="BC533" s="235"/>
      <c r="BD533" s="235"/>
      <c r="BE533" s="235"/>
      <c r="BF533" s="235"/>
    </row>
    <row r="534" spans="1:58" ht="15.75" customHeight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235"/>
      <c r="AF534" s="235"/>
      <c r="AG534" s="235"/>
      <c r="AH534" s="235"/>
      <c r="AI534" s="235"/>
      <c r="AJ534" s="235"/>
      <c r="AK534" s="235"/>
      <c r="AL534" s="235"/>
      <c r="AM534" s="235"/>
      <c r="AN534" s="235"/>
      <c r="AO534" s="235"/>
      <c r="AP534" s="235"/>
      <c r="AQ534" s="235"/>
      <c r="AR534" s="235"/>
      <c r="AS534" s="235"/>
      <c r="AT534" s="235"/>
      <c r="AU534" s="235"/>
      <c r="AV534" s="235"/>
      <c r="AW534" s="235"/>
      <c r="AX534" s="235"/>
      <c r="AY534" s="235"/>
      <c r="AZ534" s="235"/>
      <c r="BA534" s="235"/>
      <c r="BB534" s="235"/>
      <c r="BC534" s="235"/>
      <c r="BD534" s="235"/>
      <c r="BE534" s="235"/>
      <c r="BF534" s="235"/>
    </row>
    <row r="535" spans="1:58" ht="15.75" customHeight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235"/>
      <c r="AF535" s="235"/>
      <c r="AG535" s="235"/>
      <c r="AH535" s="235"/>
      <c r="AI535" s="235"/>
      <c r="AJ535" s="235"/>
      <c r="AK535" s="235"/>
      <c r="AL535" s="235"/>
      <c r="AM535" s="235"/>
      <c r="AN535" s="235"/>
      <c r="AO535" s="235"/>
      <c r="AP535" s="235"/>
      <c r="AQ535" s="235"/>
      <c r="AR535" s="235"/>
      <c r="AS535" s="235"/>
      <c r="AT535" s="235"/>
      <c r="AU535" s="235"/>
      <c r="AV535" s="235"/>
      <c r="AW535" s="235"/>
      <c r="AX535" s="235"/>
      <c r="AY535" s="235"/>
      <c r="AZ535" s="235"/>
      <c r="BA535" s="235"/>
      <c r="BB535" s="235"/>
      <c r="BC535" s="235"/>
      <c r="BD535" s="235"/>
      <c r="BE535" s="235"/>
      <c r="BF535" s="235"/>
    </row>
    <row r="536" spans="1:58" ht="15.75" customHeight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  <c r="AA536" s="114"/>
      <c r="AB536" s="114"/>
      <c r="AC536" s="114"/>
      <c r="AD536" s="114"/>
      <c r="AE536" s="235"/>
      <c r="AF536" s="235"/>
      <c r="AG536" s="235"/>
      <c r="AH536" s="235"/>
      <c r="AI536" s="235"/>
      <c r="AJ536" s="235"/>
      <c r="AK536" s="235"/>
      <c r="AL536" s="235"/>
      <c r="AM536" s="235"/>
      <c r="AN536" s="235"/>
      <c r="AO536" s="235"/>
      <c r="AP536" s="235"/>
      <c r="AQ536" s="235"/>
      <c r="AR536" s="235"/>
      <c r="AS536" s="235"/>
      <c r="AT536" s="235"/>
      <c r="AU536" s="235"/>
      <c r="AV536" s="235"/>
      <c r="AW536" s="235"/>
      <c r="AX536" s="235"/>
      <c r="AY536" s="235"/>
      <c r="AZ536" s="235"/>
      <c r="BA536" s="235"/>
      <c r="BB536" s="235"/>
      <c r="BC536" s="235"/>
      <c r="BD536" s="235"/>
      <c r="BE536" s="235"/>
      <c r="BF536" s="235"/>
    </row>
    <row r="537" spans="1:58" ht="15.75" customHeight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235"/>
      <c r="AF537" s="235"/>
      <c r="AG537" s="235"/>
      <c r="AH537" s="235"/>
      <c r="AI537" s="235"/>
      <c r="AJ537" s="235"/>
      <c r="AK537" s="235"/>
      <c r="AL537" s="235"/>
      <c r="AM537" s="235"/>
      <c r="AN537" s="235"/>
      <c r="AO537" s="235"/>
      <c r="AP537" s="235"/>
      <c r="AQ537" s="235"/>
      <c r="AR537" s="235"/>
      <c r="AS537" s="235"/>
      <c r="AT537" s="235"/>
      <c r="AU537" s="235"/>
      <c r="AV537" s="235"/>
      <c r="AW537" s="235"/>
      <c r="AX537" s="235"/>
      <c r="AY537" s="235"/>
      <c r="AZ537" s="235"/>
      <c r="BA537" s="235"/>
      <c r="BB537" s="235"/>
      <c r="BC537" s="235"/>
      <c r="BD537" s="235"/>
      <c r="BE537" s="235"/>
      <c r="BF537" s="235"/>
    </row>
    <row r="538" spans="1:58" ht="15.75" customHeight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235"/>
      <c r="AF538" s="235"/>
      <c r="AG538" s="235"/>
      <c r="AH538" s="235"/>
      <c r="AI538" s="235"/>
      <c r="AJ538" s="235"/>
      <c r="AK538" s="235"/>
      <c r="AL538" s="235"/>
      <c r="AM538" s="235"/>
      <c r="AN538" s="235"/>
      <c r="AO538" s="235"/>
      <c r="AP538" s="235"/>
      <c r="AQ538" s="235"/>
      <c r="AR538" s="235"/>
      <c r="AS538" s="235"/>
      <c r="AT538" s="235"/>
      <c r="AU538" s="235"/>
      <c r="AV538" s="235"/>
      <c r="AW538" s="235"/>
      <c r="AX538" s="235"/>
      <c r="AY538" s="235"/>
      <c r="AZ538" s="235"/>
      <c r="BA538" s="235"/>
      <c r="BB538" s="235"/>
      <c r="BC538" s="235"/>
      <c r="BD538" s="235"/>
      <c r="BE538" s="235"/>
      <c r="BF538" s="235"/>
    </row>
    <row r="539" spans="1:58" ht="15.75" customHeight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  <c r="AA539" s="114"/>
      <c r="AB539" s="114"/>
      <c r="AC539" s="114"/>
      <c r="AD539" s="114"/>
      <c r="AE539" s="235"/>
      <c r="AF539" s="235"/>
      <c r="AG539" s="235"/>
      <c r="AH539" s="235"/>
      <c r="AI539" s="235"/>
      <c r="AJ539" s="235"/>
      <c r="AK539" s="235"/>
      <c r="AL539" s="235"/>
      <c r="AM539" s="235"/>
      <c r="AN539" s="235"/>
      <c r="AO539" s="235"/>
      <c r="AP539" s="235"/>
      <c r="AQ539" s="235"/>
      <c r="AR539" s="235"/>
      <c r="AS539" s="235"/>
      <c r="AT539" s="235"/>
      <c r="AU539" s="235"/>
      <c r="AV539" s="235"/>
      <c r="AW539" s="235"/>
      <c r="AX539" s="235"/>
      <c r="AY539" s="235"/>
      <c r="AZ539" s="235"/>
      <c r="BA539" s="235"/>
      <c r="BB539" s="235"/>
      <c r="BC539" s="235"/>
      <c r="BD539" s="235"/>
      <c r="BE539" s="235"/>
      <c r="BF539" s="235"/>
    </row>
    <row r="540" spans="1:58" ht="15.75" customHeight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  <c r="AA540" s="114"/>
      <c r="AB540" s="114"/>
      <c r="AC540" s="114"/>
      <c r="AD540" s="114"/>
      <c r="AE540" s="235"/>
      <c r="AF540" s="235"/>
      <c r="AG540" s="235"/>
      <c r="AH540" s="235"/>
      <c r="AI540" s="235"/>
      <c r="AJ540" s="235"/>
      <c r="AK540" s="235"/>
      <c r="AL540" s="235"/>
      <c r="AM540" s="235"/>
      <c r="AN540" s="235"/>
      <c r="AO540" s="235"/>
      <c r="AP540" s="235"/>
      <c r="AQ540" s="235"/>
      <c r="AR540" s="235"/>
      <c r="AS540" s="235"/>
      <c r="AT540" s="235"/>
      <c r="AU540" s="235"/>
      <c r="AV540" s="235"/>
      <c r="AW540" s="235"/>
      <c r="AX540" s="235"/>
      <c r="AY540" s="235"/>
      <c r="AZ540" s="235"/>
      <c r="BA540" s="235"/>
      <c r="BB540" s="235"/>
      <c r="BC540" s="235"/>
      <c r="BD540" s="235"/>
      <c r="BE540" s="235"/>
      <c r="BF540" s="235"/>
    </row>
    <row r="541" spans="1:58" ht="15.75" customHeight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235"/>
      <c r="AF541" s="235"/>
      <c r="AG541" s="235"/>
      <c r="AH541" s="235"/>
      <c r="AI541" s="235"/>
      <c r="AJ541" s="235"/>
      <c r="AK541" s="235"/>
      <c r="AL541" s="235"/>
      <c r="AM541" s="235"/>
      <c r="AN541" s="235"/>
      <c r="AO541" s="235"/>
      <c r="AP541" s="235"/>
      <c r="AQ541" s="235"/>
      <c r="AR541" s="235"/>
      <c r="AS541" s="235"/>
      <c r="AT541" s="235"/>
      <c r="AU541" s="235"/>
      <c r="AV541" s="235"/>
      <c r="AW541" s="235"/>
      <c r="AX541" s="235"/>
      <c r="AY541" s="235"/>
      <c r="AZ541" s="235"/>
      <c r="BA541" s="235"/>
      <c r="BB541" s="235"/>
      <c r="BC541" s="235"/>
      <c r="BD541" s="235"/>
      <c r="BE541" s="235"/>
      <c r="BF541" s="235"/>
    </row>
    <row r="542" spans="1:58" ht="15.75" customHeight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235"/>
      <c r="AF542" s="235"/>
      <c r="AG542" s="235"/>
      <c r="AH542" s="235"/>
      <c r="AI542" s="235"/>
      <c r="AJ542" s="235"/>
      <c r="AK542" s="235"/>
      <c r="AL542" s="235"/>
      <c r="AM542" s="235"/>
      <c r="AN542" s="235"/>
      <c r="AO542" s="235"/>
      <c r="AP542" s="235"/>
      <c r="AQ542" s="235"/>
      <c r="AR542" s="235"/>
      <c r="AS542" s="235"/>
      <c r="AT542" s="235"/>
      <c r="AU542" s="235"/>
      <c r="AV542" s="235"/>
      <c r="AW542" s="235"/>
      <c r="AX542" s="235"/>
      <c r="AY542" s="235"/>
      <c r="AZ542" s="235"/>
      <c r="BA542" s="235"/>
      <c r="BB542" s="235"/>
      <c r="BC542" s="235"/>
      <c r="BD542" s="235"/>
      <c r="BE542" s="235"/>
      <c r="BF542" s="235"/>
    </row>
    <row r="543" spans="1:58" ht="15.75" customHeight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235"/>
      <c r="AF543" s="235"/>
      <c r="AG543" s="235"/>
      <c r="AH543" s="235"/>
      <c r="AI543" s="235"/>
      <c r="AJ543" s="235"/>
      <c r="AK543" s="235"/>
      <c r="AL543" s="235"/>
      <c r="AM543" s="235"/>
      <c r="AN543" s="235"/>
      <c r="AO543" s="235"/>
      <c r="AP543" s="235"/>
      <c r="AQ543" s="235"/>
      <c r="AR543" s="235"/>
      <c r="AS543" s="235"/>
      <c r="AT543" s="235"/>
      <c r="AU543" s="235"/>
      <c r="AV543" s="235"/>
      <c r="AW543" s="235"/>
      <c r="AX543" s="235"/>
      <c r="AY543" s="235"/>
      <c r="AZ543" s="235"/>
      <c r="BA543" s="235"/>
      <c r="BB543" s="235"/>
      <c r="BC543" s="235"/>
      <c r="BD543" s="235"/>
      <c r="BE543" s="235"/>
      <c r="BF543" s="235"/>
    </row>
    <row r="544" spans="1:58" ht="15.75" customHeight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  <c r="AA544" s="114"/>
      <c r="AB544" s="114"/>
      <c r="AC544" s="114"/>
      <c r="AD544" s="114"/>
      <c r="AE544" s="235"/>
      <c r="AF544" s="235"/>
      <c r="AG544" s="235"/>
      <c r="AH544" s="235"/>
      <c r="AI544" s="235"/>
      <c r="AJ544" s="235"/>
      <c r="AK544" s="235"/>
      <c r="AL544" s="235"/>
      <c r="AM544" s="235"/>
      <c r="AN544" s="235"/>
      <c r="AO544" s="235"/>
      <c r="AP544" s="235"/>
      <c r="AQ544" s="235"/>
      <c r="AR544" s="235"/>
      <c r="AS544" s="235"/>
      <c r="AT544" s="235"/>
      <c r="AU544" s="235"/>
      <c r="AV544" s="235"/>
      <c r="AW544" s="235"/>
      <c r="AX544" s="235"/>
      <c r="AY544" s="235"/>
      <c r="AZ544" s="235"/>
      <c r="BA544" s="235"/>
      <c r="BB544" s="235"/>
      <c r="BC544" s="235"/>
      <c r="BD544" s="235"/>
      <c r="BE544" s="235"/>
      <c r="BF544" s="235"/>
    </row>
    <row r="545" spans="1:58" ht="15.75" customHeight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235"/>
      <c r="AF545" s="235"/>
      <c r="AG545" s="235"/>
      <c r="AH545" s="235"/>
      <c r="AI545" s="235"/>
      <c r="AJ545" s="235"/>
      <c r="AK545" s="235"/>
      <c r="AL545" s="235"/>
      <c r="AM545" s="235"/>
      <c r="AN545" s="235"/>
      <c r="AO545" s="235"/>
      <c r="AP545" s="235"/>
      <c r="AQ545" s="235"/>
      <c r="AR545" s="235"/>
      <c r="AS545" s="235"/>
      <c r="AT545" s="235"/>
      <c r="AU545" s="235"/>
      <c r="AV545" s="235"/>
      <c r="AW545" s="235"/>
      <c r="AX545" s="235"/>
      <c r="AY545" s="235"/>
      <c r="AZ545" s="235"/>
      <c r="BA545" s="235"/>
      <c r="BB545" s="235"/>
      <c r="BC545" s="235"/>
      <c r="BD545" s="235"/>
      <c r="BE545" s="235"/>
      <c r="BF545" s="235"/>
    </row>
    <row r="546" spans="1:58" ht="15.75" customHeight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235"/>
      <c r="AF546" s="235"/>
      <c r="AG546" s="235"/>
      <c r="AH546" s="235"/>
      <c r="AI546" s="235"/>
      <c r="AJ546" s="235"/>
      <c r="AK546" s="235"/>
      <c r="AL546" s="235"/>
      <c r="AM546" s="235"/>
      <c r="AN546" s="235"/>
      <c r="AO546" s="235"/>
      <c r="AP546" s="235"/>
      <c r="AQ546" s="235"/>
      <c r="AR546" s="235"/>
      <c r="AS546" s="235"/>
      <c r="AT546" s="235"/>
      <c r="AU546" s="235"/>
      <c r="AV546" s="235"/>
      <c r="AW546" s="235"/>
      <c r="AX546" s="235"/>
      <c r="AY546" s="235"/>
      <c r="AZ546" s="235"/>
      <c r="BA546" s="235"/>
      <c r="BB546" s="235"/>
      <c r="BC546" s="235"/>
      <c r="BD546" s="235"/>
      <c r="BE546" s="235"/>
      <c r="BF546" s="235"/>
    </row>
    <row r="547" spans="1:58" ht="15.75" customHeight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235"/>
      <c r="AF547" s="235"/>
      <c r="AG547" s="235"/>
      <c r="AH547" s="235"/>
      <c r="AI547" s="235"/>
      <c r="AJ547" s="235"/>
      <c r="AK547" s="235"/>
      <c r="AL547" s="235"/>
      <c r="AM547" s="235"/>
      <c r="AN547" s="235"/>
      <c r="AO547" s="235"/>
      <c r="AP547" s="235"/>
      <c r="AQ547" s="235"/>
      <c r="AR547" s="235"/>
      <c r="AS547" s="235"/>
      <c r="AT547" s="235"/>
      <c r="AU547" s="235"/>
      <c r="AV547" s="235"/>
      <c r="AW547" s="235"/>
      <c r="AX547" s="235"/>
      <c r="AY547" s="235"/>
      <c r="AZ547" s="235"/>
      <c r="BA547" s="235"/>
      <c r="BB547" s="235"/>
      <c r="BC547" s="235"/>
      <c r="BD547" s="235"/>
      <c r="BE547" s="235"/>
      <c r="BF547" s="235"/>
    </row>
    <row r="548" spans="1:58" ht="15.75" customHeight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235"/>
      <c r="AF548" s="235"/>
      <c r="AG548" s="235"/>
      <c r="AH548" s="235"/>
      <c r="AI548" s="235"/>
      <c r="AJ548" s="235"/>
      <c r="AK548" s="235"/>
      <c r="AL548" s="235"/>
      <c r="AM548" s="235"/>
      <c r="AN548" s="235"/>
      <c r="AO548" s="235"/>
      <c r="AP548" s="235"/>
      <c r="AQ548" s="235"/>
      <c r="AR548" s="235"/>
      <c r="AS548" s="235"/>
      <c r="AT548" s="235"/>
      <c r="AU548" s="235"/>
      <c r="AV548" s="235"/>
      <c r="AW548" s="235"/>
      <c r="AX548" s="235"/>
      <c r="AY548" s="235"/>
      <c r="AZ548" s="235"/>
      <c r="BA548" s="235"/>
      <c r="BB548" s="235"/>
      <c r="BC548" s="235"/>
      <c r="BD548" s="235"/>
      <c r="BE548" s="235"/>
      <c r="BF548" s="235"/>
    </row>
    <row r="549" spans="1:58" ht="15.75" customHeight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235"/>
      <c r="AF549" s="235"/>
      <c r="AG549" s="235"/>
      <c r="AH549" s="235"/>
      <c r="AI549" s="235"/>
      <c r="AJ549" s="235"/>
      <c r="AK549" s="235"/>
      <c r="AL549" s="235"/>
      <c r="AM549" s="235"/>
      <c r="AN549" s="235"/>
      <c r="AO549" s="235"/>
      <c r="AP549" s="235"/>
      <c r="AQ549" s="235"/>
      <c r="AR549" s="235"/>
      <c r="AS549" s="235"/>
      <c r="AT549" s="235"/>
      <c r="AU549" s="235"/>
      <c r="AV549" s="235"/>
      <c r="AW549" s="235"/>
      <c r="AX549" s="235"/>
      <c r="AY549" s="235"/>
      <c r="AZ549" s="235"/>
      <c r="BA549" s="235"/>
      <c r="BB549" s="235"/>
      <c r="BC549" s="235"/>
      <c r="BD549" s="235"/>
      <c r="BE549" s="235"/>
      <c r="BF549" s="235"/>
    </row>
    <row r="550" spans="1:58" ht="15.75" customHeight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235"/>
      <c r="AF550" s="235"/>
      <c r="AG550" s="235"/>
      <c r="AH550" s="235"/>
      <c r="AI550" s="235"/>
      <c r="AJ550" s="235"/>
      <c r="AK550" s="235"/>
      <c r="AL550" s="235"/>
      <c r="AM550" s="235"/>
      <c r="AN550" s="235"/>
      <c r="AO550" s="235"/>
      <c r="AP550" s="235"/>
      <c r="AQ550" s="235"/>
      <c r="AR550" s="235"/>
      <c r="AS550" s="235"/>
      <c r="AT550" s="235"/>
      <c r="AU550" s="235"/>
      <c r="AV550" s="235"/>
      <c r="AW550" s="235"/>
      <c r="AX550" s="235"/>
      <c r="AY550" s="235"/>
      <c r="AZ550" s="235"/>
      <c r="BA550" s="235"/>
      <c r="BB550" s="235"/>
      <c r="BC550" s="235"/>
      <c r="BD550" s="235"/>
      <c r="BE550" s="235"/>
      <c r="BF550" s="235"/>
    </row>
    <row r="551" spans="1:58" ht="15.75" customHeight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  <c r="AA551" s="114"/>
      <c r="AB551" s="114"/>
      <c r="AC551" s="114"/>
      <c r="AD551" s="114"/>
      <c r="AE551" s="235"/>
      <c r="AF551" s="235"/>
      <c r="AG551" s="235"/>
      <c r="AH551" s="235"/>
      <c r="AI551" s="235"/>
      <c r="AJ551" s="235"/>
      <c r="AK551" s="235"/>
      <c r="AL551" s="235"/>
      <c r="AM551" s="235"/>
      <c r="AN551" s="235"/>
      <c r="AO551" s="235"/>
      <c r="AP551" s="235"/>
      <c r="AQ551" s="235"/>
      <c r="AR551" s="235"/>
      <c r="AS551" s="235"/>
      <c r="AT551" s="235"/>
      <c r="AU551" s="235"/>
      <c r="AV551" s="235"/>
      <c r="AW551" s="235"/>
      <c r="AX551" s="235"/>
      <c r="AY551" s="235"/>
      <c r="AZ551" s="235"/>
      <c r="BA551" s="235"/>
      <c r="BB551" s="235"/>
      <c r="BC551" s="235"/>
      <c r="BD551" s="235"/>
      <c r="BE551" s="235"/>
      <c r="BF551" s="235"/>
    </row>
    <row r="552" spans="1:58" ht="15.75" customHeight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  <c r="AA552" s="114"/>
      <c r="AB552" s="114"/>
      <c r="AC552" s="114"/>
      <c r="AD552" s="114"/>
      <c r="AE552" s="235"/>
      <c r="AF552" s="235"/>
      <c r="AG552" s="235"/>
      <c r="AH552" s="235"/>
      <c r="AI552" s="235"/>
      <c r="AJ552" s="235"/>
      <c r="AK552" s="235"/>
      <c r="AL552" s="235"/>
      <c r="AM552" s="235"/>
      <c r="AN552" s="235"/>
      <c r="AO552" s="235"/>
      <c r="AP552" s="235"/>
      <c r="AQ552" s="235"/>
      <c r="AR552" s="235"/>
      <c r="AS552" s="235"/>
      <c r="AT552" s="235"/>
      <c r="AU552" s="235"/>
      <c r="AV552" s="235"/>
      <c r="AW552" s="235"/>
      <c r="AX552" s="235"/>
      <c r="AY552" s="235"/>
      <c r="AZ552" s="235"/>
      <c r="BA552" s="235"/>
      <c r="BB552" s="235"/>
      <c r="BC552" s="235"/>
      <c r="BD552" s="235"/>
      <c r="BE552" s="235"/>
      <c r="BF552" s="235"/>
    </row>
    <row r="553" spans="1:58" ht="15.75" customHeight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235"/>
      <c r="AF553" s="235"/>
      <c r="AG553" s="235"/>
      <c r="AH553" s="235"/>
      <c r="AI553" s="235"/>
      <c r="AJ553" s="235"/>
      <c r="AK553" s="235"/>
      <c r="AL553" s="235"/>
      <c r="AM553" s="235"/>
      <c r="AN553" s="235"/>
      <c r="AO553" s="235"/>
      <c r="AP553" s="235"/>
      <c r="AQ553" s="235"/>
      <c r="AR553" s="235"/>
      <c r="AS553" s="235"/>
      <c r="AT553" s="235"/>
      <c r="AU553" s="235"/>
      <c r="AV553" s="235"/>
      <c r="AW553" s="235"/>
      <c r="AX553" s="235"/>
      <c r="AY553" s="235"/>
      <c r="AZ553" s="235"/>
      <c r="BA553" s="235"/>
      <c r="BB553" s="235"/>
      <c r="BC553" s="235"/>
      <c r="BD553" s="235"/>
      <c r="BE553" s="235"/>
      <c r="BF553" s="235"/>
    </row>
    <row r="554" spans="1:58" ht="15.75" customHeight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235"/>
      <c r="AF554" s="235"/>
      <c r="AG554" s="235"/>
      <c r="AH554" s="235"/>
      <c r="AI554" s="235"/>
      <c r="AJ554" s="235"/>
      <c r="AK554" s="235"/>
      <c r="AL554" s="235"/>
      <c r="AM554" s="235"/>
      <c r="AN554" s="235"/>
      <c r="AO554" s="235"/>
      <c r="AP554" s="235"/>
      <c r="AQ554" s="235"/>
      <c r="AR554" s="235"/>
      <c r="AS554" s="235"/>
      <c r="AT554" s="235"/>
      <c r="AU554" s="235"/>
      <c r="AV554" s="235"/>
      <c r="AW554" s="235"/>
      <c r="AX554" s="235"/>
      <c r="AY554" s="235"/>
      <c r="AZ554" s="235"/>
      <c r="BA554" s="235"/>
      <c r="BB554" s="235"/>
      <c r="BC554" s="235"/>
      <c r="BD554" s="235"/>
      <c r="BE554" s="235"/>
      <c r="BF554" s="235"/>
    </row>
    <row r="555" spans="1:58" ht="15.75" customHeight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  <c r="AA555" s="114"/>
      <c r="AB555" s="114"/>
      <c r="AC555" s="114"/>
      <c r="AD555" s="114"/>
      <c r="AE555" s="235"/>
      <c r="AF555" s="235"/>
      <c r="AG555" s="235"/>
      <c r="AH555" s="235"/>
      <c r="AI555" s="235"/>
      <c r="AJ555" s="235"/>
      <c r="AK555" s="235"/>
      <c r="AL555" s="235"/>
      <c r="AM555" s="235"/>
      <c r="AN555" s="235"/>
      <c r="AO555" s="235"/>
      <c r="AP555" s="235"/>
      <c r="AQ555" s="235"/>
      <c r="AR555" s="235"/>
      <c r="AS555" s="235"/>
      <c r="AT555" s="235"/>
      <c r="AU555" s="235"/>
      <c r="AV555" s="235"/>
      <c r="AW555" s="235"/>
      <c r="AX555" s="235"/>
      <c r="AY555" s="235"/>
      <c r="AZ555" s="235"/>
      <c r="BA555" s="235"/>
      <c r="BB555" s="235"/>
      <c r="BC555" s="235"/>
      <c r="BD555" s="235"/>
      <c r="BE555" s="235"/>
      <c r="BF555" s="235"/>
    </row>
    <row r="556" spans="1:58" ht="15.75" customHeight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  <c r="AA556" s="114"/>
      <c r="AB556" s="114"/>
      <c r="AC556" s="114"/>
      <c r="AD556" s="114"/>
      <c r="AE556" s="235"/>
      <c r="AF556" s="235"/>
      <c r="AG556" s="235"/>
      <c r="AH556" s="235"/>
      <c r="AI556" s="235"/>
      <c r="AJ556" s="235"/>
      <c r="AK556" s="235"/>
      <c r="AL556" s="235"/>
      <c r="AM556" s="235"/>
      <c r="AN556" s="235"/>
      <c r="AO556" s="235"/>
      <c r="AP556" s="235"/>
      <c r="AQ556" s="235"/>
      <c r="AR556" s="235"/>
      <c r="AS556" s="235"/>
      <c r="AT556" s="235"/>
      <c r="AU556" s="235"/>
      <c r="AV556" s="235"/>
      <c r="AW556" s="235"/>
      <c r="AX556" s="235"/>
      <c r="AY556" s="235"/>
      <c r="AZ556" s="235"/>
      <c r="BA556" s="235"/>
      <c r="BB556" s="235"/>
      <c r="BC556" s="235"/>
      <c r="BD556" s="235"/>
      <c r="BE556" s="235"/>
      <c r="BF556" s="235"/>
    </row>
    <row r="557" spans="1:58" ht="15.75" customHeight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235"/>
      <c r="AF557" s="235"/>
      <c r="AG557" s="235"/>
      <c r="AH557" s="235"/>
      <c r="AI557" s="235"/>
      <c r="AJ557" s="235"/>
      <c r="AK557" s="235"/>
      <c r="AL557" s="235"/>
      <c r="AM557" s="235"/>
      <c r="AN557" s="235"/>
      <c r="AO557" s="235"/>
      <c r="AP557" s="235"/>
      <c r="AQ557" s="235"/>
      <c r="AR557" s="235"/>
      <c r="AS557" s="235"/>
      <c r="AT557" s="235"/>
      <c r="AU557" s="235"/>
      <c r="AV557" s="235"/>
      <c r="AW557" s="235"/>
      <c r="AX557" s="235"/>
      <c r="AY557" s="235"/>
      <c r="AZ557" s="235"/>
      <c r="BA557" s="235"/>
      <c r="BB557" s="235"/>
      <c r="BC557" s="235"/>
      <c r="BD557" s="235"/>
      <c r="BE557" s="235"/>
      <c r="BF557" s="235"/>
    </row>
    <row r="558" spans="1:58" ht="15.75" customHeight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235"/>
      <c r="AF558" s="235"/>
      <c r="AG558" s="235"/>
      <c r="AH558" s="235"/>
      <c r="AI558" s="235"/>
      <c r="AJ558" s="235"/>
      <c r="AK558" s="235"/>
      <c r="AL558" s="235"/>
      <c r="AM558" s="235"/>
      <c r="AN558" s="235"/>
      <c r="AO558" s="235"/>
      <c r="AP558" s="235"/>
      <c r="AQ558" s="235"/>
      <c r="AR558" s="235"/>
      <c r="AS558" s="235"/>
      <c r="AT558" s="235"/>
      <c r="AU558" s="235"/>
      <c r="AV558" s="235"/>
      <c r="AW558" s="235"/>
      <c r="AX558" s="235"/>
      <c r="AY558" s="235"/>
      <c r="AZ558" s="235"/>
      <c r="BA558" s="235"/>
      <c r="BB558" s="235"/>
      <c r="BC558" s="235"/>
      <c r="BD558" s="235"/>
      <c r="BE558" s="235"/>
      <c r="BF558" s="235"/>
    </row>
    <row r="559" spans="1:58" ht="15.75" customHeight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  <c r="AA559" s="114"/>
      <c r="AB559" s="114"/>
      <c r="AC559" s="114"/>
      <c r="AD559" s="114"/>
      <c r="AE559" s="235"/>
      <c r="AF559" s="235"/>
      <c r="AG559" s="235"/>
      <c r="AH559" s="235"/>
      <c r="AI559" s="235"/>
      <c r="AJ559" s="235"/>
      <c r="AK559" s="235"/>
      <c r="AL559" s="235"/>
      <c r="AM559" s="235"/>
      <c r="AN559" s="235"/>
      <c r="AO559" s="235"/>
      <c r="AP559" s="235"/>
      <c r="AQ559" s="235"/>
      <c r="AR559" s="235"/>
      <c r="AS559" s="235"/>
      <c r="AT559" s="235"/>
      <c r="AU559" s="235"/>
      <c r="AV559" s="235"/>
      <c r="AW559" s="235"/>
      <c r="AX559" s="235"/>
      <c r="AY559" s="235"/>
      <c r="AZ559" s="235"/>
      <c r="BA559" s="235"/>
      <c r="BB559" s="235"/>
      <c r="BC559" s="235"/>
      <c r="BD559" s="235"/>
      <c r="BE559" s="235"/>
      <c r="BF559" s="235"/>
    </row>
    <row r="560" spans="1:58" ht="15.75" customHeight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235"/>
      <c r="AF560" s="235"/>
      <c r="AG560" s="235"/>
      <c r="AH560" s="235"/>
      <c r="AI560" s="235"/>
      <c r="AJ560" s="235"/>
      <c r="AK560" s="235"/>
      <c r="AL560" s="235"/>
      <c r="AM560" s="235"/>
      <c r="AN560" s="235"/>
      <c r="AO560" s="235"/>
      <c r="AP560" s="235"/>
      <c r="AQ560" s="235"/>
      <c r="AR560" s="235"/>
      <c r="AS560" s="235"/>
      <c r="AT560" s="235"/>
      <c r="AU560" s="235"/>
      <c r="AV560" s="235"/>
      <c r="AW560" s="235"/>
      <c r="AX560" s="235"/>
      <c r="AY560" s="235"/>
      <c r="AZ560" s="235"/>
      <c r="BA560" s="235"/>
      <c r="BB560" s="235"/>
      <c r="BC560" s="235"/>
      <c r="BD560" s="235"/>
      <c r="BE560" s="235"/>
      <c r="BF560" s="235"/>
    </row>
    <row r="561" spans="1:58" ht="15.75" customHeight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235"/>
      <c r="AF561" s="235"/>
      <c r="AG561" s="235"/>
      <c r="AH561" s="235"/>
      <c r="AI561" s="235"/>
      <c r="AJ561" s="235"/>
      <c r="AK561" s="235"/>
      <c r="AL561" s="235"/>
      <c r="AM561" s="235"/>
      <c r="AN561" s="235"/>
      <c r="AO561" s="235"/>
      <c r="AP561" s="235"/>
      <c r="AQ561" s="235"/>
      <c r="AR561" s="235"/>
      <c r="AS561" s="235"/>
      <c r="AT561" s="235"/>
      <c r="AU561" s="235"/>
      <c r="AV561" s="235"/>
      <c r="AW561" s="235"/>
      <c r="AX561" s="235"/>
      <c r="AY561" s="235"/>
      <c r="AZ561" s="235"/>
      <c r="BA561" s="235"/>
      <c r="BB561" s="235"/>
      <c r="BC561" s="235"/>
      <c r="BD561" s="235"/>
      <c r="BE561" s="235"/>
      <c r="BF561" s="235"/>
    </row>
    <row r="562" spans="1:58" ht="15.75" customHeight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235"/>
      <c r="AF562" s="235"/>
      <c r="AG562" s="235"/>
      <c r="AH562" s="235"/>
      <c r="AI562" s="235"/>
      <c r="AJ562" s="235"/>
      <c r="AK562" s="235"/>
      <c r="AL562" s="235"/>
      <c r="AM562" s="235"/>
      <c r="AN562" s="235"/>
      <c r="AO562" s="235"/>
      <c r="AP562" s="235"/>
      <c r="AQ562" s="235"/>
      <c r="AR562" s="235"/>
      <c r="AS562" s="235"/>
      <c r="AT562" s="235"/>
      <c r="AU562" s="235"/>
      <c r="AV562" s="235"/>
      <c r="AW562" s="235"/>
      <c r="AX562" s="235"/>
      <c r="AY562" s="235"/>
      <c r="AZ562" s="235"/>
      <c r="BA562" s="235"/>
      <c r="BB562" s="235"/>
      <c r="BC562" s="235"/>
      <c r="BD562" s="235"/>
      <c r="BE562" s="235"/>
      <c r="BF562" s="235"/>
    </row>
    <row r="563" spans="1:58" ht="15.75" customHeight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  <c r="AA563" s="114"/>
      <c r="AB563" s="114"/>
      <c r="AC563" s="114"/>
      <c r="AD563" s="114"/>
      <c r="AE563" s="235"/>
      <c r="AF563" s="235"/>
      <c r="AG563" s="235"/>
      <c r="AH563" s="235"/>
      <c r="AI563" s="235"/>
      <c r="AJ563" s="235"/>
      <c r="AK563" s="235"/>
      <c r="AL563" s="235"/>
      <c r="AM563" s="235"/>
      <c r="AN563" s="235"/>
      <c r="AO563" s="235"/>
      <c r="AP563" s="235"/>
      <c r="AQ563" s="235"/>
      <c r="AR563" s="235"/>
      <c r="AS563" s="235"/>
      <c r="AT563" s="235"/>
      <c r="AU563" s="235"/>
      <c r="AV563" s="235"/>
      <c r="AW563" s="235"/>
      <c r="AX563" s="235"/>
      <c r="AY563" s="235"/>
      <c r="AZ563" s="235"/>
      <c r="BA563" s="235"/>
      <c r="BB563" s="235"/>
      <c r="BC563" s="235"/>
      <c r="BD563" s="235"/>
      <c r="BE563" s="235"/>
      <c r="BF563" s="235"/>
    </row>
    <row r="564" spans="1:58" ht="15.75" customHeight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  <c r="AA564" s="114"/>
      <c r="AB564" s="114"/>
      <c r="AC564" s="114"/>
      <c r="AD564" s="114"/>
      <c r="AE564" s="235"/>
      <c r="AF564" s="235"/>
      <c r="AG564" s="235"/>
      <c r="AH564" s="235"/>
      <c r="AI564" s="235"/>
      <c r="AJ564" s="235"/>
      <c r="AK564" s="235"/>
      <c r="AL564" s="235"/>
      <c r="AM564" s="235"/>
      <c r="AN564" s="235"/>
      <c r="AO564" s="235"/>
      <c r="AP564" s="235"/>
      <c r="AQ564" s="235"/>
      <c r="AR564" s="235"/>
      <c r="AS564" s="235"/>
      <c r="AT564" s="235"/>
      <c r="AU564" s="235"/>
      <c r="AV564" s="235"/>
      <c r="AW564" s="235"/>
      <c r="AX564" s="235"/>
      <c r="AY564" s="235"/>
      <c r="AZ564" s="235"/>
      <c r="BA564" s="235"/>
      <c r="BB564" s="235"/>
      <c r="BC564" s="235"/>
      <c r="BD564" s="235"/>
      <c r="BE564" s="235"/>
      <c r="BF564" s="235"/>
    </row>
    <row r="565" spans="1:58" ht="15.75" customHeight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235"/>
      <c r="AF565" s="235"/>
      <c r="AG565" s="235"/>
      <c r="AH565" s="235"/>
      <c r="AI565" s="235"/>
      <c r="AJ565" s="235"/>
      <c r="AK565" s="235"/>
      <c r="AL565" s="235"/>
      <c r="AM565" s="235"/>
      <c r="AN565" s="235"/>
      <c r="AO565" s="235"/>
      <c r="AP565" s="235"/>
      <c r="AQ565" s="235"/>
      <c r="AR565" s="235"/>
      <c r="AS565" s="235"/>
      <c r="AT565" s="235"/>
      <c r="AU565" s="235"/>
      <c r="AV565" s="235"/>
      <c r="AW565" s="235"/>
      <c r="AX565" s="235"/>
      <c r="AY565" s="235"/>
      <c r="AZ565" s="235"/>
      <c r="BA565" s="235"/>
      <c r="BB565" s="235"/>
      <c r="BC565" s="235"/>
      <c r="BD565" s="235"/>
      <c r="BE565" s="235"/>
      <c r="BF565" s="235"/>
    </row>
    <row r="566" spans="1:58" ht="15.75" customHeight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  <c r="AA566" s="114"/>
      <c r="AB566" s="114"/>
      <c r="AC566" s="114"/>
      <c r="AD566" s="114"/>
      <c r="AE566" s="235"/>
      <c r="AF566" s="235"/>
      <c r="AG566" s="235"/>
      <c r="AH566" s="235"/>
      <c r="AI566" s="235"/>
      <c r="AJ566" s="235"/>
      <c r="AK566" s="235"/>
      <c r="AL566" s="235"/>
      <c r="AM566" s="235"/>
      <c r="AN566" s="235"/>
      <c r="AO566" s="235"/>
      <c r="AP566" s="235"/>
      <c r="AQ566" s="235"/>
      <c r="AR566" s="235"/>
      <c r="AS566" s="235"/>
      <c r="AT566" s="235"/>
      <c r="AU566" s="235"/>
      <c r="AV566" s="235"/>
      <c r="AW566" s="235"/>
      <c r="AX566" s="235"/>
      <c r="AY566" s="235"/>
      <c r="AZ566" s="235"/>
      <c r="BA566" s="235"/>
      <c r="BB566" s="235"/>
      <c r="BC566" s="235"/>
      <c r="BD566" s="235"/>
      <c r="BE566" s="235"/>
      <c r="BF566" s="235"/>
    </row>
    <row r="567" spans="1:58" ht="15.75" customHeight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  <c r="AA567" s="114"/>
      <c r="AB567" s="114"/>
      <c r="AC567" s="114"/>
      <c r="AD567" s="114"/>
      <c r="AE567" s="235"/>
      <c r="AF567" s="235"/>
      <c r="AG567" s="235"/>
      <c r="AH567" s="235"/>
      <c r="AI567" s="235"/>
      <c r="AJ567" s="235"/>
      <c r="AK567" s="235"/>
      <c r="AL567" s="235"/>
      <c r="AM567" s="235"/>
      <c r="AN567" s="235"/>
      <c r="AO567" s="235"/>
      <c r="AP567" s="235"/>
      <c r="AQ567" s="235"/>
      <c r="AR567" s="235"/>
      <c r="AS567" s="235"/>
      <c r="AT567" s="235"/>
      <c r="AU567" s="235"/>
      <c r="AV567" s="235"/>
      <c r="AW567" s="235"/>
      <c r="AX567" s="235"/>
      <c r="AY567" s="235"/>
      <c r="AZ567" s="235"/>
      <c r="BA567" s="235"/>
      <c r="BB567" s="235"/>
      <c r="BC567" s="235"/>
      <c r="BD567" s="235"/>
      <c r="BE567" s="235"/>
      <c r="BF567" s="235"/>
    </row>
    <row r="568" spans="1:58" ht="15.75" customHeight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  <c r="AA568" s="114"/>
      <c r="AB568" s="114"/>
      <c r="AC568" s="114"/>
      <c r="AD568" s="114"/>
      <c r="AE568" s="235"/>
      <c r="AF568" s="235"/>
      <c r="AG568" s="235"/>
      <c r="AH568" s="235"/>
      <c r="AI568" s="235"/>
      <c r="AJ568" s="235"/>
      <c r="AK568" s="235"/>
      <c r="AL568" s="235"/>
      <c r="AM568" s="235"/>
      <c r="AN568" s="235"/>
      <c r="AO568" s="235"/>
      <c r="AP568" s="235"/>
      <c r="AQ568" s="235"/>
      <c r="AR568" s="235"/>
      <c r="AS568" s="235"/>
      <c r="AT568" s="235"/>
      <c r="AU568" s="235"/>
      <c r="AV568" s="235"/>
      <c r="AW568" s="235"/>
      <c r="AX568" s="235"/>
      <c r="AY568" s="235"/>
      <c r="AZ568" s="235"/>
      <c r="BA568" s="235"/>
      <c r="BB568" s="235"/>
      <c r="BC568" s="235"/>
      <c r="BD568" s="235"/>
      <c r="BE568" s="235"/>
      <c r="BF568" s="235"/>
    </row>
    <row r="569" spans="1:58" ht="15.75" customHeight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  <c r="AA569" s="114"/>
      <c r="AB569" s="114"/>
      <c r="AC569" s="114"/>
      <c r="AD569" s="114"/>
      <c r="AE569" s="235"/>
      <c r="AF569" s="235"/>
      <c r="AG569" s="235"/>
      <c r="AH569" s="235"/>
      <c r="AI569" s="235"/>
      <c r="AJ569" s="235"/>
      <c r="AK569" s="235"/>
      <c r="AL569" s="235"/>
      <c r="AM569" s="235"/>
      <c r="AN569" s="235"/>
      <c r="AO569" s="235"/>
      <c r="AP569" s="235"/>
      <c r="AQ569" s="235"/>
      <c r="AR569" s="235"/>
      <c r="AS569" s="235"/>
      <c r="AT569" s="235"/>
      <c r="AU569" s="235"/>
      <c r="AV569" s="235"/>
      <c r="AW569" s="235"/>
      <c r="AX569" s="235"/>
      <c r="AY569" s="235"/>
      <c r="AZ569" s="235"/>
      <c r="BA569" s="235"/>
      <c r="BB569" s="235"/>
      <c r="BC569" s="235"/>
      <c r="BD569" s="235"/>
      <c r="BE569" s="235"/>
      <c r="BF569" s="235"/>
    </row>
    <row r="570" spans="1:58" ht="15.75" customHeight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  <c r="AA570" s="114"/>
      <c r="AB570" s="114"/>
      <c r="AC570" s="114"/>
      <c r="AD570" s="114"/>
      <c r="AE570" s="235"/>
      <c r="AF570" s="235"/>
      <c r="AG570" s="235"/>
      <c r="AH570" s="235"/>
      <c r="AI570" s="235"/>
      <c r="AJ570" s="235"/>
      <c r="AK570" s="235"/>
      <c r="AL570" s="235"/>
      <c r="AM570" s="235"/>
      <c r="AN570" s="235"/>
      <c r="AO570" s="235"/>
      <c r="AP570" s="235"/>
      <c r="AQ570" s="235"/>
      <c r="AR570" s="235"/>
      <c r="AS570" s="235"/>
      <c r="AT570" s="235"/>
      <c r="AU570" s="235"/>
      <c r="AV570" s="235"/>
      <c r="AW570" s="235"/>
      <c r="AX570" s="235"/>
      <c r="AY570" s="235"/>
      <c r="AZ570" s="235"/>
      <c r="BA570" s="235"/>
      <c r="BB570" s="235"/>
      <c r="BC570" s="235"/>
      <c r="BD570" s="235"/>
      <c r="BE570" s="235"/>
      <c r="BF570" s="235"/>
    </row>
    <row r="571" spans="1:58" ht="15.75" customHeight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  <c r="AA571" s="114"/>
      <c r="AB571" s="114"/>
      <c r="AC571" s="114"/>
      <c r="AD571" s="114"/>
      <c r="AE571" s="235"/>
      <c r="AF571" s="235"/>
      <c r="AG571" s="235"/>
      <c r="AH571" s="235"/>
      <c r="AI571" s="235"/>
      <c r="AJ571" s="235"/>
      <c r="AK571" s="235"/>
      <c r="AL571" s="235"/>
      <c r="AM571" s="235"/>
      <c r="AN571" s="235"/>
      <c r="AO571" s="235"/>
      <c r="AP571" s="235"/>
      <c r="AQ571" s="235"/>
      <c r="AR571" s="235"/>
      <c r="AS571" s="235"/>
      <c r="AT571" s="235"/>
      <c r="AU571" s="235"/>
      <c r="AV571" s="235"/>
      <c r="AW571" s="235"/>
      <c r="AX571" s="235"/>
      <c r="AY571" s="235"/>
      <c r="AZ571" s="235"/>
      <c r="BA571" s="235"/>
      <c r="BB571" s="235"/>
      <c r="BC571" s="235"/>
      <c r="BD571" s="235"/>
      <c r="BE571" s="235"/>
      <c r="BF571" s="235"/>
    </row>
    <row r="572" spans="1:58" ht="15.75" customHeight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  <c r="AA572" s="114"/>
      <c r="AB572" s="114"/>
      <c r="AC572" s="114"/>
      <c r="AD572" s="114"/>
      <c r="AE572" s="235"/>
      <c r="AF572" s="235"/>
      <c r="AG572" s="235"/>
      <c r="AH572" s="235"/>
      <c r="AI572" s="235"/>
      <c r="AJ572" s="235"/>
      <c r="AK572" s="235"/>
      <c r="AL572" s="235"/>
      <c r="AM572" s="235"/>
      <c r="AN572" s="235"/>
      <c r="AO572" s="235"/>
      <c r="AP572" s="235"/>
      <c r="AQ572" s="235"/>
      <c r="AR572" s="235"/>
      <c r="AS572" s="235"/>
      <c r="AT572" s="235"/>
      <c r="AU572" s="235"/>
      <c r="AV572" s="235"/>
      <c r="AW572" s="235"/>
      <c r="AX572" s="235"/>
      <c r="AY572" s="235"/>
      <c r="AZ572" s="235"/>
      <c r="BA572" s="235"/>
      <c r="BB572" s="235"/>
      <c r="BC572" s="235"/>
      <c r="BD572" s="235"/>
      <c r="BE572" s="235"/>
      <c r="BF572" s="235"/>
    </row>
    <row r="573" spans="1:58" ht="15.75" customHeight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235"/>
      <c r="AF573" s="235"/>
      <c r="AG573" s="235"/>
      <c r="AH573" s="235"/>
      <c r="AI573" s="235"/>
      <c r="AJ573" s="235"/>
      <c r="AK573" s="235"/>
      <c r="AL573" s="235"/>
      <c r="AM573" s="235"/>
      <c r="AN573" s="235"/>
      <c r="AO573" s="235"/>
      <c r="AP573" s="235"/>
      <c r="AQ573" s="235"/>
      <c r="AR573" s="235"/>
      <c r="AS573" s="235"/>
      <c r="AT573" s="235"/>
      <c r="AU573" s="235"/>
      <c r="AV573" s="235"/>
      <c r="AW573" s="235"/>
      <c r="AX573" s="235"/>
      <c r="AY573" s="235"/>
      <c r="AZ573" s="235"/>
      <c r="BA573" s="235"/>
      <c r="BB573" s="235"/>
      <c r="BC573" s="235"/>
      <c r="BD573" s="235"/>
      <c r="BE573" s="235"/>
      <c r="BF573" s="235"/>
    </row>
    <row r="574" spans="1:58" ht="15.75" customHeight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  <c r="AA574" s="114"/>
      <c r="AB574" s="114"/>
      <c r="AC574" s="114"/>
      <c r="AD574" s="114"/>
      <c r="AE574" s="235"/>
      <c r="AF574" s="235"/>
      <c r="AG574" s="235"/>
      <c r="AH574" s="235"/>
      <c r="AI574" s="235"/>
      <c r="AJ574" s="235"/>
      <c r="AK574" s="235"/>
      <c r="AL574" s="235"/>
      <c r="AM574" s="235"/>
      <c r="AN574" s="235"/>
      <c r="AO574" s="235"/>
      <c r="AP574" s="235"/>
      <c r="AQ574" s="235"/>
      <c r="AR574" s="235"/>
      <c r="AS574" s="235"/>
      <c r="AT574" s="235"/>
      <c r="AU574" s="235"/>
      <c r="AV574" s="235"/>
      <c r="AW574" s="235"/>
      <c r="AX574" s="235"/>
      <c r="AY574" s="235"/>
      <c r="AZ574" s="235"/>
      <c r="BA574" s="235"/>
      <c r="BB574" s="235"/>
      <c r="BC574" s="235"/>
      <c r="BD574" s="235"/>
      <c r="BE574" s="235"/>
      <c r="BF574" s="235"/>
    </row>
    <row r="575" spans="1:58" ht="15.75" customHeight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235"/>
      <c r="AF575" s="235"/>
      <c r="AG575" s="235"/>
      <c r="AH575" s="235"/>
      <c r="AI575" s="235"/>
      <c r="AJ575" s="235"/>
      <c r="AK575" s="235"/>
      <c r="AL575" s="235"/>
      <c r="AM575" s="235"/>
      <c r="AN575" s="235"/>
      <c r="AO575" s="235"/>
      <c r="AP575" s="235"/>
      <c r="AQ575" s="235"/>
      <c r="AR575" s="235"/>
      <c r="AS575" s="235"/>
      <c r="AT575" s="235"/>
      <c r="AU575" s="235"/>
      <c r="AV575" s="235"/>
      <c r="AW575" s="235"/>
      <c r="AX575" s="235"/>
      <c r="AY575" s="235"/>
      <c r="AZ575" s="235"/>
      <c r="BA575" s="235"/>
      <c r="BB575" s="235"/>
      <c r="BC575" s="235"/>
      <c r="BD575" s="235"/>
      <c r="BE575" s="235"/>
      <c r="BF575" s="235"/>
    </row>
    <row r="576" spans="1:58" ht="15.75" customHeight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235"/>
      <c r="AF576" s="235"/>
      <c r="AG576" s="235"/>
      <c r="AH576" s="235"/>
      <c r="AI576" s="235"/>
      <c r="AJ576" s="235"/>
      <c r="AK576" s="235"/>
      <c r="AL576" s="235"/>
      <c r="AM576" s="235"/>
      <c r="AN576" s="235"/>
      <c r="AO576" s="235"/>
      <c r="AP576" s="235"/>
      <c r="AQ576" s="235"/>
      <c r="AR576" s="235"/>
      <c r="AS576" s="235"/>
      <c r="AT576" s="235"/>
      <c r="AU576" s="235"/>
      <c r="AV576" s="235"/>
      <c r="AW576" s="235"/>
      <c r="AX576" s="235"/>
      <c r="AY576" s="235"/>
      <c r="AZ576" s="235"/>
      <c r="BA576" s="235"/>
      <c r="BB576" s="235"/>
      <c r="BC576" s="235"/>
      <c r="BD576" s="235"/>
      <c r="BE576" s="235"/>
      <c r="BF576" s="235"/>
    </row>
    <row r="577" spans="1:58" ht="15.75" customHeight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  <c r="AA577" s="114"/>
      <c r="AB577" s="114"/>
      <c r="AC577" s="114"/>
      <c r="AD577" s="114"/>
      <c r="AE577" s="235"/>
      <c r="AF577" s="235"/>
      <c r="AG577" s="235"/>
      <c r="AH577" s="235"/>
      <c r="AI577" s="235"/>
      <c r="AJ577" s="235"/>
      <c r="AK577" s="235"/>
      <c r="AL577" s="235"/>
      <c r="AM577" s="235"/>
      <c r="AN577" s="235"/>
      <c r="AO577" s="235"/>
      <c r="AP577" s="235"/>
      <c r="AQ577" s="235"/>
      <c r="AR577" s="235"/>
      <c r="AS577" s="235"/>
      <c r="AT577" s="235"/>
      <c r="AU577" s="235"/>
      <c r="AV577" s="235"/>
      <c r="AW577" s="235"/>
      <c r="AX577" s="235"/>
      <c r="AY577" s="235"/>
      <c r="AZ577" s="235"/>
      <c r="BA577" s="235"/>
      <c r="BB577" s="235"/>
      <c r="BC577" s="235"/>
      <c r="BD577" s="235"/>
      <c r="BE577" s="235"/>
      <c r="BF577" s="235"/>
    </row>
    <row r="578" spans="1:58" ht="15.75" customHeight="1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  <c r="AA578" s="114"/>
      <c r="AB578" s="114"/>
      <c r="AC578" s="114"/>
      <c r="AD578" s="114"/>
      <c r="AE578" s="235"/>
      <c r="AF578" s="235"/>
      <c r="AG578" s="235"/>
      <c r="AH578" s="235"/>
      <c r="AI578" s="235"/>
      <c r="AJ578" s="235"/>
      <c r="AK578" s="235"/>
      <c r="AL578" s="235"/>
      <c r="AM578" s="235"/>
      <c r="AN578" s="235"/>
      <c r="AO578" s="235"/>
      <c r="AP578" s="235"/>
      <c r="AQ578" s="235"/>
      <c r="AR578" s="235"/>
      <c r="AS578" s="235"/>
      <c r="AT578" s="235"/>
      <c r="AU578" s="235"/>
      <c r="AV578" s="235"/>
      <c r="AW578" s="235"/>
      <c r="AX578" s="235"/>
      <c r="AY578" s="235"/>
      <c r="AZ578" s="235"/>
      <c r="BA578" s="235"/>
      <c r="BB578" s="235"/>
      <c r="BC578" s="235"/>
      <c r="BD578" s="235"/>
      <c r="BE578" s="235"/>
      <c r="BF578" s="235"/>
    </row>
    <row r="579" spans="1:58" ht="15.75" customHeight="1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235"/>
      <c r="AF579" s="235"/>
      <c r="AG579" s="235"/>
      <c r="AH579" s="235"/>
      <c r="AI579" s="235"/>
      <c r="AJ579" s="235"/>
      <c r="AK579" s="235"/>
      <c r="AL579" s="235"/>
      <c r="AM579" s="235"/>
      <c r="AN579" s="235"/>
      <c r="AO579" s="235"/>
      <c r="AP579" s="235"/>
      <c r="AQ579" s="235"/>
      <c r="AR579" s="235"/>
      <c r="AS579" s="235"/>
      <c r="AT579" s="235"/>
      <c r="AU579" s="235"/>
      <c r="AV579" s="235"/>
      <c r="AW579" s="235"/>
      <c r="AX579" s="235"/>
      <c r="AY579" s="235"/>
      <c r="AZ579" s="235"/>
      <c r="BA579" s="235"/>
      <c r="BB579" s="235"/>
      <c r="BC579" s="235"/>
      <c r="BD579" s="235"/>
      <c r="BE579" s="235"/>
      <c r="BF579" s="235"/>
    </row>
    <row r="580" spans="1:58" ht="15.75" customHeight="1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235"/>
      <c r="AF580" s="235"/>
      <c r="AG580" s="235"/>
      <c r="AH580" s="235"/>
      <c r="AI580" s="235"/>
      <c r="AJ580" s="235"/>
      <c r="AK580" s="235"/>
      <c r="AL580" s="235"/>
      <c r="AM580" s="235"/>
      <c r="AN580" s="235"/>
      <c r="AO580" s="235"/>
      <c r="AP580" s="235"/>
      <c r="AQ580" s="235"/>
      <c r="AR580" s="235"/>
      <c r="AS580" s="235"/>
      <c r="AT580" s="235"/>
      <c r="AU580" s="235"/>
      <c r="AV580" s="235"/>
      <c r="AW580" s="235"/>
      <c r="AX580" s="235"/>
      <c r="AY580" s="235"/>
      <c r="AZ580" s="235"/>
      <c r="BA580" s="235"/>
      <c r="BB580" s="235"/>
      <c r="BC580" s="235"/>
      <c r="BD580" s="235"/>
      <c r="BE580" s="235"/>
      <c r="BF580" s="235"/>
    </row>
    <row r="581" spans="1:58" ht="15.75" customHeight="1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  <c r="AA581" s="114"/>
      <c r="AB581" s="114"/>
      <c r="AC581" s="114"/>
      <c r="AD581" s="114"/>
      <c r="AE581" s="235"/>
      <c r="AF581" s="235"/>
      <c r="AG581" s="235"/>
      <c r="AH581" s="235"/>
      <c r="AI581" s="235"/>
      <c r="AJ581" s="235"/>
      <c r="AK581" s="235"/>
      <c r="AL581" s="235"/>
      <c r="AM581" s="235"/>
      <c r="AN581" s="235"/>
      <c r="AO581" s="235"/>
      <c r="AP581" s="235"/>
      <c r="AQ581" s="235"/>
      <c r="AR581" s="235"/>
      <c r="AS581" s="235"/>
      <c r="AT581" s="235"/>
      <c r="AU581" s="235"/>
      <c r="AV581" s="235"/>
      <c r="AW581" s="235"/>
      <c r="AX581" s="235"/>
      <c r="AY581" s="235"/>
      <c r="AZ581" s="235"/>
      <c r="BA581" s="235"/>
      <c r="BB581" s="235"/>
      <c r="BC581" s="235"/>
      <c r="BD581" s="235"/>
      <c r="BE581" s="235"/>
      <c r="BF581" s="235"/>
    </row>
    <row r="582" spans="1:58" ht="15.75" customHeight="1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  <c r="AA582" s="114"/>
      <c r="AB582" s="114"/>
      <c r="AC582" s="114"/>
      <c r="AD582" s="114"/>
      <c r="AE582" s="235"/>
      <c r="AF582" s="235"/>
      <c r="AG582" s="235"/>
      <c r="AH582" s="235"/>
      <c r="AI582" s="235"/>
      <c r="AJ582" s="235"/>
      <c r="AK582" s="235"/>
      <c r="AL582" s="235"/>
      <c r="AM582" s="235"/>
      <c r="AN582" s="235"/>
      <c r="AO582" s="235"/>
      <c r="AP582" s="235"/>
      <c r="AQ582" s="235"/>
      <c r="AR582" s="235"/>
      <c r="AS582" s="235"/>
      <c r="AT582" s="235"/>
      <c r="AU582" s="235"/>
      <c r="AV582" s="235"/>
      <c r="AW582" s="235"/>
      <c r="AX582" s="235"/>
      <c r="AY582" s="235"/>
      <c r="AZ582" s="235"/>
      <c r="BA582" s="235"/>
      <c r="BB582" s="235"/>
      <c r="BC582" s="235"/>
      <c r="BD582" s="235"/>
      <c r="BE582" s="235"/>
      <c r="BF582" s="235"/>
    </row>
    <row r="583" spans="1:58" ht="15.75" customHeight="1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235"/>
      <c r="AF583" s="235"/>
      <c r="AG583" s="235"/>
      <c r="AH583" s="235"/>
      <c r="AI583" s="235"/>
      <c r="AJ583" s="235"/>
      <c r="AK583" s="235"/>
      <c r="AL583" s="235"/>
      <c r="AM583" s="235"/>
      <c r="AN583" s="235"/>
      <c r="AO583" s="235"/>
      <c r="AP583" s="235"/>
      <c r="AQ583" s="235"/>
      <c r="AR583" s="235"/>
      <c r="AS583" s="235"/>
      <c r="AT583" s="235"/>
      <c r="AU583" s="235"/>
      <c r="AV583" s="235"/>
      <c r="AW583" s="235"/>
      <c r="AX583" s="235"/>
      <c r="AY583" s="235"/>
      <c r="AZ583" s="235"/>
      <c r="BA583" s="235"/>
      <c r="BB583" s="235"/>
      <c r="BC583" s="235"/>
      <c r="BD583" s="235"/>
      <c r="BE583" s="235"/>
      <c r="BF583" s="235"/>
    </row>
    <row r="584" spans="1:58" ht="15.75" customHeight="1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235"/>
      <c r="AF584" s="235"/>
      <c r="AG584" s="235"/>
      <c r="AH584" s="235"/>
      <c r="AI584" s="235"/>
      <c r="AJ584" s="235"/>
      <c r="AK584" s="235"/>
      <c r="AL584" s="235"/>
      <c r="AM584" s="235"/>
      <c r="AN584" s="235"/>
      <c r="AO584" s="235"/>
      <c r="AP584" s="235"/>
      <c r="AQ584" s="235"/>
      <c r="AR584" s="235"/>
      <c r="AS584" s="235"/>
      <c r="AT584" s="235"/>
      <c r="AU584" s="235"/>
      <c r="AV584" s="235"/>
      <c r="AW584" s="235"/>
      <c r="AX584" s="235"/>
      <c r="AY584" s="235"/>
      <c r="AZ584" s="235"/>
      <c r="BA584" s="235"/>
      <c r="BB584" s="235"/>
      <c r="BC584" s="235"/>
      <c r="BD584" s="235"/>
      <c r="BE584" s="235"/>
      <c r="BF584" s="235"/>
    </row>
    <row r="585" spans="1:58" ht="15.75" customHeight="1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235"/>
      <c r="AF585" s="235"/>
      <c r="AG585" s="235"/>
      <c r="AH585" s="235"/>
      <c r="AI585" s="235"/>
      <c r="AJ585" s="235"/>
      <c r="AK585" s="235"/>
      <c r="AL585" s="235"/>
      <c r="AM585" s="235"/>
      <c r="AN585" s="235"/>
      <c r="AO585" s="235"/>
      <c r="AP585" s="235"/>
      <c r="AQ585" s="235"/>
      <c r="AR585" s="235"/>
      <c r="AS585" s="235"/>
      <c r="AT585" s="235"/>
      <c r="AU585" s="235"/>
      <c r="AV585" s="235"/>
      <c r="AW585" s="235"/>
      <c r="AX585" s="235"/>
      <c r="AY585" s="235"/>
      <c r="AZ585" s="235"/>
      <c r="BA585" s="235"/>
      <c r="BB585" s="235"/>
      <c r="BC585" s="235"/>
      <c r="BD585" s="235"/>
      <c r="BE585" s="235"/>
      <c r="BF585" s="235"/>
    </row>
    <row r="586" spans="1:58" ht="15.75" customHeight="1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  <c r="AA586" s="114"/>
      <c r="AB586" s="114"/>
      <c r="AC586" s="114"/>
      <c r="AD586" s="114"/>
      <c r="AE586" s="235"/>
      <c r="AF586" s="235"/>
      <c r="AG586" s="235"/>
      <c r="AH586" s="235"/>
      <c r="AI586" s="235"/>
      <c r="AJ586" s="235"/>
      <c r="AK586" s="235"/>
      <c r="AL586" s="235"/>
      <c r="AM586" s="235"/>
      <c r="AN586" s="235"/>
      <c r="AO586" s="235"/>
      <c r="AP586" s="235"/>
      <c r="AQ586" s="235"/>
      <c r="AR586" s="235"/>
      <c r="AS586" s="235"/>
      <c r="AT586" s="235"/>
      <c r="AU586" s="235"/>
      <c r="AV586" s="235"/>
      <c r="AW586" s="235"/>
      <c r="AX586" s="235"/>
      <c r="AY586" s="235"/>
      <c r="AZ586" s="235"/>
      <c r="BA586" s="235"/>
      <c r="BB586" s="235"/>
      <c r="BC586" s="235"/>
      <c r="BD586" s="235"/>
      <c r="BE586" s="235"/>
      <c r="BF586" s="235"/>
    </row>
    <row r="587" spans="1:58" ht="15.75" customHeight="1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235"/>
      <c r="AF587" s="235"/>
      <c r="AG587" s="235"/>
      <c r="AH587" s="235"/>
      <c r="AI587" s="235"/>
      <c r="AJ587" s="235"/>
      <c r="AK587" s="235"/>
      <c r="AL587" s="235"/>
      <c r="AM587" s="235"/>
      <c r="AN587" s="235"/>
      <c r="AO587" s="235"/>
      <c r="AP587" s="235"/>
      <c r="AQ587" s="235"/>
      <c r="AR587" s="235"/>
      <c r="AS587" s="235"/>
      <c r="AT587" s="235"/>
      <c r="AU587" s="235"/>
      <c r="AV587" s="235"/>
      <c r="AW587" s="235"/>
      <c r="AX587" s="235"/>
      <c r="AY587" s="235"/>
      <c r="AZ587" s="235"/>
      <c r="BA587" s="235"/>
      <c r="BB587" s="235"/>
      <c r="BC587" s="235"/>
      <c r="BD587" s="235"/>
      <c r="BE587" s="235"/>
      <c r="BF587" s="235"/>
    </row>
    <row r="588" spans="1:58" ht="15.75" customHeight="1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235"/>
      <c r="AF588" s="235"/>
      <c r="AG588" s="235"/>
      <c r="AH588" s="235"/>
      <c r="AI588" s="235"/>
      <c r="AJ588" s="235"/>
      <c r="AK588" s="235"/>
      <c r="AL588" s="235"/>
      <c r="AM588" s="235"/>
      <c r="AN588" s="235"/>
      <c r="AO588" s="235"/>
      <c r="AP588" s="235"/>
      <c r="AQ588" s="235"/>
      <c r="AR588" s="235"/>
      <c r="AS588" s="235"/>
      <c r="AT588" s="235"/>
      <c r="AU588" s="235"/>
      <c r="AV588" s="235"/>
      <c r="AW588" s="235"/>
      <c r="AX588" s="235"/>
      <c r="AY588" s="235"/>
      <c r="AZ588" s="235"/>
      <c r="BA588" s="235"/>
      <c r="BB588" s="235"/>
      <c r="BC588" s="235"/>
      <c r="BD588" s="235"/>
      <c r="BE588" s="235"/>
      <c r="BF588" s="235"/>
    </row>
    <row r="589" spans="1:58" ht="15.75" customHeight="1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  <c r="AA589" s="114"/>
      <c r="AB589" s="114"/>
      <c r="AC589" s="114"/>
      <c r="AD589" s="114"/>
      <c r="AE589" s="235"/>
      <c r="AF589" s="235"/>
      <c r="AG589" s="235"/>
      <c r="AH589" s="235"/>
      <c r="AI589" s="235"/>
      <c r="AJ589" s="235"/>
      <c r="AK589" s="235"/>
      <c r="AL589" s="235"/>
      <c r="AM589" s="235"/>
      <c r="AN589" s="235"/>
      <c r="AO589" s="235"/>
      <c r="AP589" s="235"/>
      <c r="AQ589" s="235"/>
      <c r="AR589" s="235"/>
      <c r="AS589" s="235"/>
      <c r="AT589" s="235"/>
      <c r="AU589" s="235"/>
      <c r="AV589" s="235"/>
      <c r="AW589" s="235"/>
      <c r="AX589" s="235"/>
      <c r="AY589" s="235"/>
      <c r="AZ589" s="235"/>
      <c r="BA589" s="235"/>
      <c r="BB589" s="235"/>
      <c r="BC589" s="235"/>
      <c r="BD589" s="235"/>
      <c r="BE589" s="235"/>
      <c r="BF589" s="235"/>
    </row>
    <row r="590" spans="1:58" ht="15.75" customHeight="1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  <c r="AA590" s="114"/>
      <c r="AB590" s="114"/>
      <c r="AC590" s="114"/>
      <c r="AD590" s="114"/>
      <c r="AE590" s="235"/>
      <c r="AF590" s="235"/>
      <c r="AG590" s="235"/>
      <c r="AH590" s="235"/>
      <c r="AI590" s="235"/>
      <c r="AJ590" s="235"/>
      <c r="AK590" s="235"/>
      <c r="AL590" s="235"/>
      <c r="AM590" s="235"/>
      <c r="AN590" s="235"/>
      <c r="AO590" s="235"/>
      <c r="AP590" s="235"/>
      <c r="AQ590" s="235"/>
      <c r="AR590" s="235"/>
      <c r="AS590" s="235"/>
      <c r="AT590" s="235"/>
      <c r="AU590" s="235"/>
      <c r="AV590" s="235"/>
      <c r="AW590" s="235"/>
      <c r="AX590" s="235"/>
      <c r="AY590" s="235"/>
      <c r="AZ590" s="235"/>
      <c r="BA590" s="235"/>
      <c r="BB590" s="235"/>
      <c r="BC590" s="235"/>
      <c r="BD590" s="235"/>
      <c r="BE590" s="235"/>
      <c r="BF590" s="235"/>
    </row>
    <row r="591" spans="1:58" ht="15.75" customHeight="1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235"/>
      <c r="AF591" s="235"/>
      <c r="AG591" s="235"/>
      <c r="AH591" s="235"/>
      <c r="AI591" s="235"/>
      <c r="AJ591" s="235"/>
      <c r="AK591" s="235"/>
      <c r="AL591" s="235"/>
      <c r="AM591" s="235"/>
      <c r="AN591" s="235"/>
      <c r="AO591" s="235"/>
      <c r="AP591" s="235"/>
      <c r="AQ591" s="235"/>
      <c r="AR591" s="235"/>
      <c r="AS591" s="235"/>
      <c r="AT591" s="235"/>
      <c r="AU591" s="235"/>
      <c r="AV591" s="235"/>
      <c r="AW591" s="235"/>
      <c r="AX591" s="235"/>
      <c r="AY591" s="235"/>
      <c r="AZ591" s="235"/>
      <c r="BA591" s="235"/>
      <c r="BB591" s="235"/>
      <c r="BC591" s="235"/>
      <c r="BD591" s="235"/>
      <c r="BE591" s="235"/>
      <c r="BF591" s="235"/>
    </row>
    <row r="592" spans="1:58" ht="15.75" customHeight="1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235"/>
      <c r="AF592" s="235"/>
      <c r="AG592" s="235"/>
      <c r="AH592" s="235"/>
      <c r="AI592" s="235"/>
      <c r="AJ592" s="235"/>
      <c r="AK592" s="235"/>
      <c r="AL592" s="235"/>
      <c r="AM592" s="235"/>
      <c r="AN592" s="235"/>
      <c r="AO592" s="235"/>
      <c r="AP592" s="235"/>
      <c r="AQ592" s="235"/>
      <c r="AR592" s="235"/>
      <c r="AS592" s="235"/>
      <c r="AT592" s="235"/>
      <c r="AU592" s="235"/>
      <c r="AV592" s="235"/>
      <c r="AW592" s="235"/>
      <c r="AX592" s="235"/>
      <c r="AY592" s="235"/>
      <c r="AZ592" s="235"/>
      <c r="BA592" s="235"/>
      <c r="BB592" s="235"/>
      <c r="BC592" s="235"/>
      <c r="BD592" s="235"/>
      <c r="BE592" s="235"/>
      <c r="BF592" s="235"/>
    </row>
    <row r="593" spans="1:58" ht="15.75" customHeight="1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235"/>
      <c r="AF593" s="235"/>
      <c r="AG593" s="235"/>
      <c r="AH593" s="235"/>
      <c r="AI593" s="235"/>
      <c r="AJ593" s="235"/>
      <c r="AK593" s="235"/>
      <c r="AL593" s="235"/>
      <c r="AM593" s="235"/>
      <c r="AN593" s="235"/>
      <c r="AO593" s="235"/>
      <c r="AP593" s="235"/>
      <c r="AQ593" s="235"/>
      <c r="AR593" s="235"/>
      <c r="AS593" s="235"/>
      <c r="AT593" s="235"/>
      <c r="AU593" s="235"/>
      <c r="AV593" s="235"/>
      <c r="AW593" s="235"/>
      <c r="AX593" s="235"/>
      <c r="AY593" s="235"/>
      <c r="AZ593" s="235"/>
      <c r="BA593" s="235"/>
      <c r="BB593" s="235"/>
      <c r="BC593" s="235"/>
      <c r="BD593" s="235"/>
      <c r="BE593" s="235"/>
      <c r="BF593" s="235"/>
    </row>
    <row r="594" spans="1:58" ht="15.75" customHeight="1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  <c r="AA594" s="114"/>
      <c r="AB594" s="114"/>
      <c r="AC594" s="114"/>
      <c r="AD594" s="114"/>
      <c r="AE594" s="235"/>
      <c r="AF594" s="235"/>
      <c r="AG594" s="235"/>
      <c r="AH594" s="235"/>
      <c r="AI594" s="235"/>
      <c r="AJ594" s="235"/>
      <c r="AK594" s="235"/>
      <c r="AL594" s="235"/>
      <c r="AM594" s="235"/>
      <c r="AN594" s="235"/>
      <c r="AO594" s="235"/>
      <c r="AP594" s="235"/>
      <c r="AQ594" s="235"/>
      <c r="AR594" s="235"/>
      <c r="AS594" s="235"/>
      <c r="AT594" s="235"/>
      <c r="AU594" s="235"/>
      <c r="AV594" s="235"/>
      <c r="AW594" s="235"/>
      <c r="AX594" s="235"/>
      <c r="AY594" s="235"/>
      <c r="AZ594" s="235"/>
      <c r="BA594" s="235"/>
      <c r="BB594" s="235"/>
      <c r="BC594" s="235"/>
      <c r="BD594" s="235"/>
      <c r="BE594" s="235"/>
      <c r="BF594" s="235"/>
    </row>
    <row r="595" spans="1:58" ht="15.75" customHeight="1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235"/>
      <c r="AF595" s="235"/>
      <c r="AG595" s="235"/>
      <c r="AH595" s="235"/>
      <c r="AI595" s="235"/>
      <c r="AJ595" s="235"/>
      <c r="AK595" s="235"/>
      <c r="AL595" s="235"/>
      <c r="AM595" s="235"/>
      <c r="AN595" s="235"/>
      <c r="AO595" s="235"/>
      <c r="AP595" s="235"/>
      <c r="AQ595" s="235"/>
      <c r="AR595" s="235"/>
      <c r="AS595" s="235"/>
      <c r="AT595" s="235"/>
      <c r="AU595" s="235"/>
      <c r="AV595" s="235"/>
      <c r="AW595" s="235"/>
      <c r="AX595" s="235"/>
      <c r="AY595" s="235"/>
      <c r="AZ595" s="235"/>
      <c r="BA595" s="235"/>
      <c r="BB595" s="235"/>
      <c r="BC595" s="235"/>
      <c r="BD595" s="235"/>
      <c r="BE595" s="235"/>
      <c r="BF595" s="235"/>
    </row>
    <row r="596" spans="1:58" ht="15.75" customHeight="1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235"/>
      <c r="AF596" s="235"/>
      <c r="AG596" s="235"/>
      <c r="AH596" s="235"/>
      <c r="AI596" s="235"/>
      <c r="AJ596" s="235"/>
      <c r="AK596" s="235"/>
      <c r="AL596" s="235"/>
      <c r="AM596" s="235"/>
      <c r="AN596" s="235"/>
      <c r="AO596" s="235"/>
      <c r="AP596" s="235"/>
      <c r="AQ596" s="235"/>
      <c r="AR596" s="235"/>
      <c r="AS596" s="235"/>
      <c r="AT596" s="235"/>
      <c r="AU596" s="235"/>
      <c r="AV596" s="235"/>
      <c r="AW596" s="235"/>
      <c r="AX596" s="235"/>
      <c r="AY596" s="235"/>
      <c r="AZ596" s="235"/>
      <c r="BA596" s="235"/>
      <c r="BB596" s="235"/>
      <c r="BC596" s="235"/>
      <c r="BD596" s="235"/>
      <c r="BE596" s="235"/>
      <c r="BF596" s="235"/>
    </row>
    <row r="597" spans="1:58" ht="15.75" customHeight="1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  <c r="AA597" s="114"/>
      <c r="AB597" s="114"/>
      <c r="AC597" s="114"/>
      <c r="AD597" s="114"/>
      <c r="AE597" s="235"/>
      <c r="AF597" s="235"/>
      <c r="AG597" s="235"/>
      <c r="AH597" s="235"/>
      <c r="AI597" s="235"/>
      <c r="AJ597" s="235"/>
      <c r="AK597" s="235"/>
      <c r="AL597" s="235"/>
      <c r="AM597" s="235"/>
      <c r="AN597" s="235"/>
      <c r="AO597" s="235"/>
      <c r="AP597" s="235"/>
      <c r="AQ597" s="235"/>
      <c r="AR597" s="235"/>
      <c r="AS597" s="235"/>
      <c r="AT597" s="235"/>
      <c r="AU597" s="235"/>
      <c r="AV597" s="235"/>
      <c r="AW597" s="235"/>
      <c r="AX597" s="235"/>
      <c r="AY597" s="235"/>
      <c r="AZ597" s="235"/>
      <c r="BA597" s="235"/>
      <c r="BB597" s="235"/>
      <c r="BC597" s="235"/>
      <c r="BD597" s="235"/>
      <c r="BE597" s="235"/>
      <c r="BF597" s="235"/>
    </row>
    <row r="598" spans="1:58" ht="15.75" customHeight="1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  <c r="AA598" s="114"/>
      <c r="AB598" s="114"/>
      <c r="AC598" s="114"/>
      <c r="AD598" s="114"/>
      <c r="AE598" s="235"/>
      <c r="AF598" s="235"/>
      <c r="AG598" s="235"/>
      <c r="AH598" s="235"/>
      <c r="AI598" s="235"/>
      <c r="AJ598" s="235"/>
      <c r="AK598" s="235"/>
      <c r="AL598" s="235"/>
      <c r="AM598" s="235"/>
      <c r="AN598" s="235"/>
      <c r="AO598" s="235"/>
      <c r="AP598" s="235"/>
      <c r="AQ598" s="235"/>
      <c r="AR598" s="235"/>
      <c r="AS598" s="235"/>
      <c r="AT598" s="235"/>
      <c r="AU598" s="235"/>
      <c r="AV598" s="235"/>
      <c r="AW598" s="235"/>
      <c r="AX598" s="235"/>
      <c r="AY598" s="235"/>
      <c r="AZ598" s="235"/>
      <c r="BA598" s="235"/>
      <c r="BB598" s="235"/>
      <c r="BC598" s="235"/>
      <c r="BD598" s="235"/>
      <c r="BE598" s="235"/>
      <c r="BF598" s="235"/>
    </row>
    <row r="599" spans="1:58" ht="15.75" customHeight="1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235"/>
      <c r="AF599" s="235"/>
      <c r="AG599" s="235"/>
      <c r="AH599" s="235"/>
      <c r="AI599" s="235"/>
      <c r="AJ599" s="235"/>
      <c r="AK599" s="235"/>
      <c r="AL599" s="235"/>
      <c r="AM599" s="235"/>
      <c r="AN599" s="235"/>
      <c r="AO599" s="235"/>
      <c r="AP599" s="235"/>
      <c r="AQ599" s="235"/>
      <c r="AR599" s="235"/>
      <c r="AS599" s="235"/>
      <c r="AT599" s="235"/>
      <c r="AU599" s="235"/>
      <c r="AV599" s="235"/>
      <c r="AW599" s="235"/>
      <c r="AX599" s="235"/>
      <c r="AY599" s="235"/>
      <c r="AZ599" s="235"/>
      <c r="BA599" s="235"/>
      <c r="BB599" s="235"/>
      <c r="BC599" s="235"/>
      <c r="BD599" s="235"/>
      <c r="BE599" s="235"/>
      <c r="BF599" s="235"/>
    </row>
    <row r="600" spans="1:58" ht="15.75" customHeight="1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235"/>
      <c r="AF600" s="235"/>
      <c r="AG600" s="235"/>
      <c r="AH600" s="235"/>
      <c r="AI600" s="235"/>
      <c r="AJ600" s="235"/>
      <c r="AK600" s="235"/>
      <c r="AL600" s="235"/>
      <c r="AM600" s="235"/>
      <c r="AN600" s="235"/>
      <c r="AO600" s="235"/>
      <c r="AP600" s="235"/>
      <c r="AQ600" s="235"/>
      <c r="AR600" s="235"/>
      <c r="AS600" s="235"/>
      <c r="AT600" s="235"/>
      <c r="AU600" s="235"/>
      <c r="AV600" s="235"/>
      <c r="AW600" s="235"/>
      <c r="AX600" s="235"/>
      <c r="AY600" s="235"/>
      <c r="AZ600" s="235"/>
      <c r="BA600" s="235"/>
      <c r="BB600" s="235"/>
      <c r="BC600" s="235"/>
      <c r="BD600" s="235"/>
      <c r="BE600" s="235"/>
      <c r="BF600" s="235"/>
    </row>
    <row r="601" spans="1:58" ht="15.75" customHeight="1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  <c r="AA601" s="114"/>
      <c r="AB601" s="114"/>
      <c r="AC601" s="114"/>
      <c r="AD601" s="114"/>
      <c r="AE601" s="235"/>
      <c r="AF601" s="235"/>
      <c r="AG601" s="235"/>
      <c r="AH601" s="235"/>
      <c r="AI601" s="235"/>
      <c r="AJ601" s="235"/>
      <c r="AK601" s="235"/>
      <c r="AL601" s="235"/>
      <c r="AM601" s="235"/>
      <c r="AN601" s="235"/>
      <c r="AO601" s="235"/>
      <c r="AP601" s="235"/>
      <c r="AQ601" s="235"/>
      <c r="AR601" s="235"/>
      <c r="AS601" s="235"/>
      <c r="AT601" s="235"/>
      <c r="AU601" s="235"/>
      <c r="AV601" s="235"/>
      <c r="AW601" s="235"/>
      <c r="AX601" s="235"/>
      <c r="AY601" s="235"/>
      <c r="AZ601" s="235"/>
      <c r="BA601" s="235"/>
      <c r="BB601" s="235"/>
      <c r="BC601" s="235"/>
      <c r="BD601" s="235"/>
      <c r="BE601" s="235"/>
      <c r="BF601" s="235"/>
    </row>
    <row r="602" spans="1:58" ht="15.75" customHeight="1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  <c r="AA602" s="114"/>
      <c r="AB602" s="114"/>
      <c r="AC602" s="114"/>
      <c r="AD602" s="114"/>
      <c r="AE602" s="235"/>
      <c r="AF602" s="235"/>
      <c r="AG602" s="235"/>
      <c r="AH602" s="235"/>
      <c r="AI602" s="235"/>
      <c r="AJ602" s="235"/>
      <c r="AK602" s="235"/>
      <c r="AL602" s="235"/>
      <c r="AM602" s="235"/>
      <c r="AN602" s="235"/>
      <c r="AO602" s="235"/>
      <c r="AP602" s="235"/>
      <c r="AQ602" s="235"/>
      <c r="AR602" s="235"/>
      <c r="AS602" s="235"/>
      <c r="AT602" s="235"/>
      <c r="AU602" s="235"/>
      <c r="AV602" s="235"/>
      <c r="AW602" s="235"/>
      <c r="AX602" s="235"/>
      <c r="AY602" s="235"/>
      <c r="AZ602" s="235"/>
      <c r="BA602" s="235"/>
      <c r="BB602" s="235"/>
      <c r="BC602" s="235"/>
      <c r="BD602" s="235"/>
      <c r="BE602" s="235"/>
      <c r="BF602" s="235"/>
    </row>
    <row r="603" spans="1:58" ht="15.75" customHeight="1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235"/>
      <c r="AF603" s="235"/>
      <c r="AG603" s="235"/>
      <c r="AH603" s="235"/>
      <c r="AI603" s="235"/>
      <c r="AJ603" s="235"/>
      <c r="AK603" s="235"/>
      <c r="AL603" s="235"/>
      <c r="AM603" s="235"/>
      <c r="AN603" s="235"/>
      <c r="AO603" s="235"/>
      <c r="AP603" s="235"/>
      <c r="AQ603" s="235"/>
      <c r="AR603" s="235"/>
      <c r="AS603" s="235"/>
      <c r="AT603" s="235"/>
      <c r="AU603" s="235"/>
      <c r="AV603" s="235"/>
      <c r="AW603" s="235"/>
      <c r="AX603" s="235"/>
      <c r="AY603" s="235"/>
      <c r="AZ603" s="235"/>
      <c r="BA603" s="235"/>
      <c r="BB603" s="235"/>
      <c r="BC603" s="235"/>
      <c r="BD603" s="235"/>
      <c r="BE603" s="235"/>
      <c r="BF603" s="235"/>
    </row>
    <row r="604" spans="1:58" ht="15.75" customHeight="1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235"/>
      <c r="AF604" s="235"/>
      <c r="AG604" s="235"/>
      <c r="AH604" s="235"/>
      <c r="AI604" s="235"/>
      <c r="AJ604" s="235"/>
      <c r="AK604" s="235"/>
      <c r="AL604" s="235"/>
      <c r="AM604" s="235"/>
      <c r="AN604" s="235"/>
      <c r="AO604" s="235"/>
      <c r="AP604" s="235"/>
      <c r="AQ604" s="235"/>
      <c r="AR604" s="235"/>
      <c r="AS604" s="235"/>
      <c r="AT604" s="235"/>
      <c r="AU604" s="235"/>
      <c r="AV604" s="235"/>
      <c r="AW604" s="235"/>
      <c r="AX604" s="235"/>
      <c r="AY604" s="235"/>
      <c r="AZ604" s="235"/>
      <c r="BA604" s="235"/>
      <c r="BB604" s="235"/>
      <c r="BC604" s="235"/>
      <c r="BD604" s="235"/>
      <c r="BE604" s="235"/>
      <c r="BF604" s="235"/>
    </row>
    <row r="605" spans="1:58" ht="15.75" customHeight="1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  <c r="AA605" s="114"/>
      <c r="AB605" s="114"/>
      <c r="AC605" s="114"/>
      <c r="AD605" s="114"/>
      <c r="AE605" s="235"/>
      <c r="AF605" s="235"/>
      <c r="AG605" s="235"/>
      <c r="AH605" s="235"/>
      <c r="AI605" s="235"/>
      <c r="AJ605" s="235"/>
      <c r="AK605" s="235"/>
      <c r="AL605" s="235"/>
      <c r="AM605" s="235"/>
      <c r="AN605" s="235"/>
      <c r="AO605" s="235"/>
      <c r="AP605" s="235"/>
      <c r="AQ605" s="235"/>
      <c r="AR605" s="235"/>
      <c r="AS605" s="235"/>
      <c r="AT605" s="235"/>
      <c r="AU605" s="235"/>
      <c r="AV605" s="235"/>
      <c r="AW605" s="235"/>
      <c r="AX605" s="235"/>
      <c r="AY605" s="235"/>
      <c r="AZ605" s="235"/>
      <c r="BA605" s="235"/>
      <c r="BB605" s="235"/>
      <c r="BC605" s="235"/>
      <c r="BD605" s="235"/>
      <c r="BE605" s="235"/>
      <c r="BF605" s="235"/>
    </row>
    <row r="606" spans="1:58" ht="15.75" customHeight="1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  <c r="AA606" s="114"/>
      <c r="AB606" s="114"/>
      <c r="AC606" s="114"/>
      <c r="AD606" s="114"/>
      <c r="AE606" s="235"/>
      <c r="AF606" s="235"/>
      <c r="AG606" s="235"/>
      <c r="AH606" s="235"/>
      <c r="AI606" s="235"/>
      <c r="AJ606" s="235"/>
      <c r="AK606" s="235"/>
      <c r="AL606" s="235"/>
      <c r="AM606" s="235"/>
      <c r="AN606" s="235"/>
      <c r="AO606" s="235"/>
      <c r="AP606" s="235"/>
      <c r="AQ606" s="235"/>
      <c r="AR606" s="235"/>
      <c r="AS606" s="235"/>
      <c r="AT606" s="235"/>
      <c r="AU606" s="235"/>
      <c r="AV606" s="235"/>
      <c r="AW606" s="235"/>
      <c r="AX606" s="235"/>
      <c r="AY606" s="235"/>
      <c r="AZ606" s="235"/>
      <c r="BA606" s="235"/>
      <c r="BB606" s="235"/>
      <c r="BC606" s="235"/>
      <c r="BD606" s="235"/>
      <c r="BE606" s="235"/>
      <c r="BF606" s="235"/>
    </row>
    <row r="607" spans="1:58" ht="15.75" customHeight="1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235"/>
      <c r="AF607" s="235"/>
      <c r="AG607" s="235"/>
      <c r="AH607" s="235"/>
      <c r="AI607" s="235"/>
      <c r="AJ607" s="235"/>
      <c r="AK607" s="235"/>
      <c r="AL607" s="235"/>
      <c r="AM607" s="235"/>
      <c r="AN607" s="235"/>
      <c r="AO607" s="235"/>
      <c r="AP607" s="235"/>
      <c r="AQ607" s="235"/>
      <c r="AR607" s="235"/>
      <c r="AS607" s="235"/>
      <c r="AT607" s="235"/>
      <c r="AU607" s="235"/>
      <c r="AV607" s="235"/>
      <c r="AW607" s="235"/>
      <c r="AX607" s="235"/>
      <c r="AY607" s="235"/>
      <c r="AZ607" s="235"/>
      <c r="BA607" s="235"/>
      <c r="BB607" s="235"/>
      <c r="BC607" s="235"/>
      <c r="BD607" s="235"/>
      <c r="BE607" s="235"/>
      <c r="BF607" s="235"/>
    </row>
    <row r="608" spans="1:58" ht="15.75" customHeight="1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235"/>
      <c r="AF608" s="235"/>
      <c r="AG608" s="235"/>
      <c r="AH608" s="235"/>
      <c r="AI608" s="235"/>
      <c r="AJ608" s="235"/>
      <c r="AK608" s="235"/>
      <c r="AL608" s="235"/>
      <c r="AM608" s="235"/>
      <c r="AN608" s="235"/>
      <c r="AO608" s="235"/>
      <c r="AP608" s="235"/>
      <c r="AQ608" s="235"/>
      <c r="AR608" s="235"/>
      <c r="AS608" s="235"/>
      <c r="AT608" s="235"/>
      <c r="AU608" s="235"/>
      <c r="AV608" s="235"/>
      <c r="AW608" s="235"/>
      <c r="AX608" s="235"/>
      <c r="AY608" s="235"/>
      <c r="AZ608" s="235"/>
      <c r="BA608" s="235"/>
      <c r="BB608" s="235"/>
      <c r="BC608" s="235"/>
      <c r="BD608" s="235"/>
      <c r="BE608" s="235"/>
      <c r="BF608" s="235"/>
    </row>
    <row r="609" spans="1:58" ht="15.75" customHeight="1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  <c r="AA609" s="114"/>
      <c r="AB609" s="114"/>
      <c r="AC609" s="114"/>
      <c r="AD609" s="114"/>
      <c r="AE609" s="235"/>
      <c r="AF609" s="235"/>
      <c r="AG609" s="235"/>
      <c r="AH609" s="235"/>
      <c r="AI609" s="235"/>
      <c r="AJ609" s="235"/>
      <c r="AK609" s="235"/>
      <c r="AL609" s="235"/>
      <c r="AM609" s="235"/>
      <c r="AN609" s="235"/>
      <c r="AO609" s="235"/>
      <c r="AP609" s="235"/>
      <c r="AQ609" s="235"/>
      <c r="AR609" s="235"/>
      <c r="AS609" s="235"/>
      <c r="AT609" s="235"/>
      <c r="AU609" s="235"/>
      <c r="AV609" s="235"/>
      <c r="AW609" s="235"/>
      <c r="AX609" s="235"/>
      <c r="AY609" s="235"/>
      <c r="AZ609" s="235"/>
      <c r="BA609" s="235"/>
      <c r="BB609" s="235"/>
      <c r="BC609" s="235"/>
      <c r="BD609" s="235"/>
      <c r="BE609" s="235"/>
      <c r="BF609" s="235"/>
    </row>
    <row r="610" spans="1:58" ht="15.75" customHeight="1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  <c r="AA610" s="114"/>
      <c r="AB610" s="114"/>
      <c r="AC610" s="114"/>
      <c r="AD610" s="114"/>
      <c r="AE610" s="235"/>
      <c r="AF610" s="235"/>
      <c r="AG610" s="235"/>
      <c r="AH610" s="235"/>
      <c r="AI610" s="235"/>
      <c r="AJ610" s="235"/>
      <c r="AK610" s="235"/>
      <c r="AL610" s="235"/>
      <c r="AM610" s="235"/>
      <c r="AN610" s="235"/>
      <c r="AO610" s="235"/>
      <c r="AP610" s="235"/>
      <c r="AQ610" s="235"/>
      <c r="AR610" s="235"/>
      <c r="AS610" s="235"/>
      <c r="AT610" s="235"/>
      <c r="AU610" s="235"/>
      <c r="AV610" s="235"/>
      <c r="AW610" s="235"/>
      <c r="AX610" s="235"/>
      <c r="AY610" s="235"/>
      <c r="AZ610" s="235"/>
      <c r="BA610" s="235"/>
      <c r="BB610" s="235"/>
      <c r="BC610" s="235"/>
      <c r="BD610" s="235"/>
      <c r="BE610" s="235"/>
      <c r="BF610" s="235"/>
    </row>
    <row r="611" spans="1:58" ht="15.75" customHeight="1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235"/>
      <c r="AF611" s="235"/>
      <c r="AG611" s="235"/>
      <c r="AH611" s="235"/>
      <c r="AI611" s="235"/>
      <c r="AJ611" s="235"/>
      <c r="AK611" s="235"/>
      <c r="AL611" s="235"/>
      <c r="AM611" s="235"/>
      <c r="AN611" s="235"/>
      <c r="AO611" s="235"/>
      <c r="AP611" s="235"/>
      <c r="AQ611" s="235"/>
      <c r="AR611" s="235"/>
      <c r="AS611" s="235"/>
      <c r="AT611" s="235"/>
      <c r="AU611" s="235"/>
      <c r="AV611" s="235"/>
      <c r="AW611" s="235"/>
      <c r="AX611" s="235"/>
      <c r="AY611" s="235"/>
      <c r="AZ611" s="235"/>
      <c r="BA611" s="235"/>
      <c r="BB611" s="235"/>
      <c r="BC611" s="235"/>
      <c r="BD611" s="235"/>
      <c r="BE611" s="235"/>
      <c r="BF611" s="235"/>
    </row>
    <row r="612" spans="1:58" ht="15.75" customHeight="1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235"/>
      <c r="AF612" s="235"/>
      <c r="AG612" s="235"/>
      <c r="AH612" s="235"/>
      <c r="AI612" s="235"/>
      <c r="AJ612" s="235"/>
      <c r="AK612" s="235"/>
      <c r="AL612" s="235"/>
      <c r="AM612" s="235"/>
      <c r="AN612" s="235"/>
      <c r="AO612" s="235"/>
      <c r="AP612" s="235"/>
      <c r="AQ612" s="235"/>
      <c r="AR612" s="235"/>
      <c r="AS612" s="235"/>
      <c r="AT612" s="235"/>
      <c r="AU612" s="235"/>
      <c r="AV612" s="235"/>
      <c r="AW612" s="235"/>
      <c r="AX612" s="235"/>
      <c r="AY612" s="235"/>
      <c r="AZ612" s="235"/>
      <c r="BA612" s="235"/>
      <c r="BB612" s="235"/>
      <c r="BC612" s="235"/>
      <c r="BD612" s="235"/>
      <c r="BE612" s="235"/>
      <c r="BF612" s="235"/>
    </row>
    <row r="613" spans="1:58" ht="15.75" customHeight="1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  <c r="AA613" s="114"/>
      <c r="AB613" s="114"/>
      <c r="AC613" s="114"/>
      <c r="AD613" s="114"/>
      <c r="AE613" s="235"/>
      <c r="AF613" s="235"/>
      <c r="AG613" s="235"/>
      <c r="AH613" s="235"/>
      <c r="AI613" s="235"/>
      <c r="AJ613" s="235"/>
      <c r="AK613" s="235"/>
      <c r="AL613" s="235"/>
      <c r="AM613" s="235"/>
      <c r="AN613" s="235"/>
      <c r="AO613" s="235"/>
      <c r="AP613" s="235"/>
      <c r="AQ613" s="235"/>
      <c r="AR613" s="235"/>
      <c r="AS613" s="235"/>
      <c r="AT613" s="235"/>
      <c r="AU613" s="235"/>
      <c r="AV613" s="235"/>
      <c r="AW613" s="235"/>
      <c r="AX613" s="235"/>
      <c r="AY613" s="235"/>
      <c r="AZ613" s="235"/>
      <c r="BA613" s="235"/>
      <c r="BB613" s="235"/>
      <c r="BC613" s="235"/>
      <c r="BD613" s="235"/>
      <c r="BE613" s="235"/>
      <c r="BF613" s="235"/>
    </row>
    <row r="614" spans="1:58" ht="15.75" customHeight="1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  <c r="AA614" s="114"/>
      <c r="AB614" s="114"/>
      <c r="AC614" s="114"/>
      <c r="AD614" s="114"/>
      <c r="AE614" s="235"/>
      <c r="AF614" s="235"/>
      <c r="AG614" s="235"/>
      <c r="AH614" s="235"/>
      <c r="AI614" s="235"/>
      <c r="AJ614" s="235"/>
      <c r="AK614" s="235"/>
      <c r="AL614" s="235"/>
      <c r="AM614" s="235"/>
      <c r="AN614" s="235"/>
      <c r="AO614" s="235"/>
      <c r="AP614" s="235"/>
      <c r="AQ614" s="235"/>
      <c r="AR614" s="235"/>
      <c r="AS614" s="235"/>
      <c r="AT614" s="235"/>
      <c r="AU614" s="235"/>
      <c r="AV614" s="235"/>
      <c r="AW614" s="235"/>
      <c r="AX614" s="235"/>
      <c r="AY614" s="235"/>
      <c r="AZ614" s="235"/>
      <c r="BA614" s="235"/>
      <c r="BB614" s="235"/>
      <c r="BC614" s="235"/>
      <c r="BD614" s="235"/>
      <c r="BE614" s="235"/>
      <c r="BF614" s="235"/>
    </row>
    <row r="615" spans="1:58" ht="15.75" customHeight="1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235"/>
      <c r="AF615" s="235"/>
      <c r="AG615" s="235"/>
      <c r="AH615" s="235"/>
      <c r="AI615" s="235"/>
      <c r="AJ615" s="235"/>
      <c r="AK615" s="235"/>
      <c r="AL615" s="235"/>
      <c r="AM615" s="235"/>
      <c r="AN615" s="235"/>
      <c r="AO615" s="235"/>
      <c r="AP615" s="235"/>
      <c r="AQ615" s="235"/>
      <c r="AR615" s="235"/>
      <c r="AS615" s="235"/>
      <c r="AT615" s="235"/>
      <c r="AU615" s="235"/>
      <c r="AV615" s="235"/>
      <c r="AW615" s="235"/>
      <c r="AX615" s="235"/>
      <c r="AY615" s="235"/>
      <c r="AZ615" s="235"/>
      <c r="BA615" s="235"/>
      <c r="BB615" s="235"/>
      <c r="BC615" s="235"/>
      <c r="BD615" s="235"/>
      <c r="BE615" s="235"/>
      <c r="BF615" s="235"/>
    </row>
    <row r="616" spans="1:58" ht="15.75" customHeight="1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235"/>
      <c r="AF616" s="235"/>
      <c r="AG616" s="235"/>
      <c r="AH616" s="235"/>
      <c r="AI616" s="235"/>
      <c r="AJ616" s="235"/>
      <c r="AK616" s="235"/>
      <c r="AL616" s="235"/>
      <c r="AM616" s="235"/>
      <c r="AN616" s="235"/>
      <c r="AO616" s="235"/>
      <c r="AP616" s="235"/>
      <c r="AQ616" s="235"/>
      <c r="AR616" s="235"/>
      <c r="AS616" s="235"/>
      <c r="AT616" s="235"/>
      <c r="AU616" s="235"/>
      <c r="AV616" s="235"/>
      <c r="AW616" s="235"/>
      <c r="AX616" s="235"/>
      <c r="AY616" s="235"/>
      <c r="AZ616" s="235"/>
      <c r="BA616" s="235"/>
      <c r="BB616" s="235"/>
      <c r="BC616" s="235"/>
      <c r="BD616" s="235"/>
      <c r="BE616" s="235"/>
      <c r="BF616" s="235"/>
    </row>
    <row r="617" spans="1:58" ht="15.75" customHeight="1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  <c r="AA617" s="114"/>
      <c r="AB617" s="114"/>
      <c r="AC617" s="114"/>
      <c r="AD617" s="114"/>
      <c r="AE617" s="235"/>
      <c r="AF617" s="235"/>
      <c r="AG617" s="235"/>
      <c r="AH617" s="235"/>
      <c r="AI617" s="235"/>
      <c r="AJ617" s="235"/>
      <c r="AK617" s="235"/>
      <c r="AL617" s="235"/>
      <c r="AM617" s="235"/>
      <c r="AN617" s="235"/>
      <c r="AO617" s="235"/>
      <c r="AP617" s="235"/>
      <c r="AQ617" s="235"/>
      <c r="AR617" s="235"/>
      <c r="AS617" s="235"/>
      <c r="AT617" s="235"/>
      <c r="AU617" s="235"/>
      <c r="AV617" s="235"/>
      <c r="AW617" s="235"/>
      <c r="AX617" s="235"/>
      <c r="AY617" s="235"/>
      <c r="AZ617" s="235"/>
      <c r="BA617" s="235"/>
      <c r="BB617" s="235"/>
      <c r="BC617" s="235"/>
      <c r="BD617" s="235"/>
      <c r="BE617" s="235"/>
      <c r="BF617" s="235"/>
    </row>
    <row r="618" spans="1:58" ht="15.75" customHeight="1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235"/>
      <c r="AF618" s="235"/>
      <c r="AG618" s="235"/>
      <c r="AH618" s="235"/>
      <c r="AI618" s="235"/>
      <c r="AJ618" s="235"/>
      <c r="AK618" s="235"/>
      <c r="AL618" s="235"/>
      <c r="AM618" s="235"/>
      <c r="AN618" s="235"/>
      <c r="AO618" s="235"/>
      <c r="AP618" s="235"/>
      <c r="AQ618" s="235"/>
      <c r="AR618" s="235"/>
      <c r="AS618" s="235"/>
      <c r="AT618" s="235"/>
      <c r="AU618" s="235"/>
      <c r="AV618" s="235"/>
      <c r="AW618" s="235"/>
      <c r="AX618" s="235"/>
      <c r="AY618" s="235"/>
      <c r="AZ618" s="235"/>
      <c r="BA618" s="235"/>
      <c r="BB618" s="235"/>
      <c r="BC618" s="235"/>
      <c r="BD618" s="235"/>
      <c r="BE618" s="235"/>
      <c r="BF618" s="235"/>
    </row>
    <row r="619" spans="1:58" ht="15.75" customHeight="1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235"/>
      <c r="AF619" s="235"/>
      <c r="AG619" s="235"/>
      <c r="AH619" s="235"/>
      <c r="AI619" s="235"/>
      <c r="AJ619" s="235"/>
      <c r="AK619" s="235"/>
      <c r="AL619" s="235"/>
      <c r="AM619" s="235"/>
      <c r="AN619" s="235"/>
      <c r="AO619" s="235"/>
      <c r="AP619" s="235"/>
      <c r="AQ619" s="235"/>
      <c r="AR619" s="235"/>
      <c r="AS619" s="235"/>
      <c r="AT619" s="235"/>
      <c r="AU619" s="235"/>
      <c r="AV619" s="235"/>
      <c r="AW619" s="235"/>
      <c r="AX619" s="235"/>
      <c r="AY619" s="235"/>
      <c r="AZ619" s="235"/>
      <c r="BA619" s="235"/>
      <c r="BB619" s="235"/>
      <c r="BC619" s="235"/>
      <c r="BD619" s="235"/>
      <c r="BE619" s="235"/>
      <c r="BF619" s="235"/>
    </row>
    <row r="620" spans="1:58" ht="15.75" customHeight="1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235"/>
      <c r="AF620" s="235"/>
      <c r="AG620" s="235"/>
      <c r="AH620" s="235"/>
      <c r="AI620" s="235"/>
      <c r="AJ620" s="235"/>
      <c r="AK620" s="235"/>
      <c r="AL620" s="235"/>
      <c r="AM620" s="235"/>
      <c r="AN620" s="235"/>
      <c r="AO620" s="235"/>
      <c r="AP620" s="235"/>
      <c r="AQ620" s="235"/>
      <c r="AR620" s="235"/>
      <c r="AS620" s="235"/>
      <c r="AT620" s="235"/>
      <c r="AU620" s="235"/>
      <c r="AV620" s="235"/>
      <c r="AW620" s="235"/>
      <c r="AX620" s="235"/>
      <c r="AY620" s="235"/>
      <c r="AZ620" s="235"/>
      <c r="BA620" s="235"/>
      <c r="BB620" s="235"/>
      <c r="BC620" s="235"/>
      <c r="BD620" s="235"/>
      <c r="BE620" s="235"/>
      <c r="BF620" s="235"/>
    </row>
    <row r="621" spans="1:58" ht="15.75" customHeight="1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235"/>
      <c r="AF621" s="235"/>
      <c r="AG621" s="235"/>
      <c r="AH621" s="235"/>
      <c r="AI621" s="235"/>
      <c r="AJ621" s="235"/>
      <c r="AK621" s="235"/>
      <c r="AL621" s="235"/>
      <c r="AM621" s="235"/>
      <c r="AN621" s="235"/>
      <c r="AO621" s="235"/>
      <c r="AP621" s="235"/>
      <c r="AQ621" s="235"/>
      <c r="AR621" s="235"/>
      <c r="AS621" s="235"/>
      <c r="AT621" s="235"/>
      <c r="AU621" s="235"/>
      <c r="AV621" s="235"/>
      <c r="AW621" s="235"/>
      <c r="AX621" s="235"/>
      <c r="AY621" s="235"/>
      <c r="AZ621" s="235"/>
      <c r="BA621" s="235"/>
      <c r="BB621" s="235"/>
      <c r="BC621" s="235"/>
      <c r="BD621" s="235"/>
      <c r="BE621" s="235"/>
      <c r="BF621" s="235"/>
    </row>
    <row r="622" spans="1:58" ht="15.75" customHeight="1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  <c r="AA622" s="114"/>
      <c r="AB622" s="114"/>
      <c r="AC622" s="114"/>
      <c r="AD622" s="114"/>
      <c r="AE622" s="235"/>
      <c r="AF622" s="235"/>
      <c r="AG622" s="235"/>
      <c r="AH622" s="235"/>
      <c r="AI622" s="235"/>
      <c r="AJ622" s="235"/>
      <c r="AK622" s="235"/>
      <c r="AL622" s="235"/>
      <c r="AM622" s="235"/>
      <c r="AN622" s="235"/>
      <c r="AO622" s="235"/>
      <c r="AP622" s="235"/>
      <c r="AQ622" s="235"/>
      <c r="AR622" s="235"/>
      <c r="AS622" s="235"/>
      <c r="AT622" s="235"/>
      <c r="AU622" s="235"/>
      <c r="AV622" s="235"/>
      <c r="AW622" s="235"/>
      <c r="AX622" s="235"/>
      <c r="AY622" s="235"/>
      <c r="AZ622" s="235"/>
      <c r="BA622" s="235"/>
      <c r="BB622" s="235"/>
      <c r="BC622" s="235"/>
      <c r="BD622" s="235"/>
      <c r="BE622" s="235"/>
      <c r="BF622" s="235"/>
    </row>
    <row r="623" spans="1:58" ht="15.75" customHeight="1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235"/>
      <c r="AF623" s="235"/>
      <c r="AG623" s="235"/>
      <c r="AH623" s="235"/>
      <c r="AI623" s="235"/>
      <c r="AJ623" s="235"/>
      <c r="AK623" s="235"/>
      <c r="AL623" s="235"/>
      <c r="AM623" s="235"/>
      <c r="AN623" s="235"/>
      <c r="AO623" s="235"/>
      <c r="AP623" s="235"/>
      <c r="AQ623" s="235"/>
      <c r="AR623" s="235"/>
      <c r="AS623" s="235"/>
      <c r="AT623" s="235"/>
      <c r="AU623" s="235"/>
      <c r="AV623" s="235"/>
      <c r="AW623" s="235"/>
      <c r="AX623" s="235"/>
      <c r="AY623" s="235"/>
      <c r="AZ623" s="235"/>
      <c r="BA623" s="235"/>
      <c r="BB623" s="235"/>
      <c r="BC623" s="235"/>
      <c r="BD623" s="235"/>
      <c r="BE623" s="235"/>
      <c r="BF623" s="235"/>
    </row>
    <row r="624" spans="1:58" ht="15.75" customHeight="1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235"/>
      <c r="AF624" s="235"/>
      <c r="AG624" s="235"/>
      <c r="AH624" s="235"/>
      <c r="AI624" s="235"/>
      <c r="AJ624" s="235"/>
      <c r="AK624" s="235"/>
      <c r="AL624" s="235"/>
      <c r="AM624" s="235"/>
      <c r="AN624" s="235"/>
      <c r="AO624" s="235"/>
      <c r="AP624" s="235"/>
      <c r="AQ624" s="235"/>
      <c r="AR624" s="235"/>
      <c r="AS624" s="235"/>
      <c r="AT624" s="235"/>
      <c r="AU624" s="235"/>
      <c r="AV624" s="235"/>
      <c r="AW624" s="235"/>
      <c r="AX624" s="235"/>
      <c r="AY624" s="235"/>
      <c r="AZ624" s="235"/>
      <c r="BA624" s="235"/>
      <c r="BB624" s="235"/>
      <c r="BC624" s="235"/>
      <c r="BD624" s="235"/>
      <c r="BE624" s="235"/>
      <c r="BF624" s="235"/>
    </row>
    <row r="625" spans="1:58" ht="15.75" customHeight="1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  <c r="AA625" s="114"/>
      <c r="AB625" s="114"/>
      <c r="AC625" s="114"/>
      <c r="AD625" s="114"/>
      <c r="AE625" s="235"/>
      <c r="AF625" s="235"/>
      <c r="AG625" s="235"/>
      <c r="AH625" s="235"/>
      <c r="AI625" s="235"/>
      <c r="AJ625" s="235"/>
      <c r="AK625" s="235"/>
      <c r="AL625" s="235"/>
      <c r="AM625" s="235"/>
      <c r="AN625" s="235"/>
      <c r="AO625" s="235"/>
      <c r="AP625" s="235"/>
      <c r="AQ625" s="235"/>
      <c r="AR625" s="235"/>
      <c r="AS625" s="235"/>
      <c r="AT625" s="235"/>
      <c r="AU625" s="235"/>
      <c r="AV625" s="235"/>
      <c r="AW625" s="235"/>
      <c r="AX625" s="235"/>
      <c r="AY625" s="235"/>
      <c r="AZ625" s="235"/>
      <c r="BA625" s="235"/>
      <c r="BB625" s="235"/>
      <c r="BC625" s="235"/>
      <c r="BD625" s="235"/>
      <c r="BE625" s="235"/>
      <c r="BF625" s="235"/>
    </row>
    <row r="626" spans="1:58" ht="15.75" customHeight="1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  <c r="AB626" s="114"/>
      <c r="AC626" s="114"/>
      <c r="AD626" s="114"/>
      <c r="AE626" s="235"/>
      <c r="AF626" s="235"/>
      <c r="AG626" s="235"/>
      <c r="AH626" s="235"/>
      <c r="AI626" s="235"/>
      <c r="AJ626" s="235"/>
      <c r="AK626" s="235"/>
      <c r="AL626" s="235"/>
      <c r="AM626" s="235"/>
      <c r="AN626" s="235"/>
      <c r="AO626" s="235"/>
      <c r="AP626" s="235"/>
      <c r="AQ626" s="235"/>
      <c r="AR626" s="235"/>
      <c r="AS626" s="235"/>
      <c r="AT626" s="235"/>
      <c r="AU626" s="235"/>
      <c r="AV626" s="235"/>
      <c r="AW626" s="235"/>
      <c r="AX626" s="235"/>
      <c r="AY626" s="235"/>
      <c r="AZ626" s="235"/>
      <c r="BA626" s="235"/>
      <c r="BB626" s="235"/>
      <c r="BC626" s="235"/>
      <c r="BD626" s="235"/>
      <c r="BE626" s="235"/>
      <c r="BF626" s="235"/>
    </row>
    <row r="627" spans="1:58" ht="15.75" customHeight="1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235"/>
      <c r="AF627" s="235"/>
      <c r="AG627" s="235"/>
      <c r="AH627" s="235"/>
      <c r="AI627" s="235"/>
      <c r="AJ627" s="235"/>
      <c r="AK627" s="235"/>
      <c r="AL627" s="235"/>
      <c r="AM627" s="235"/>
      <c r="AN627" s="235"/>
      <c r="AO627" s="235"/>
      <c r="AP627" s="235"/>
      <c r="AQ627" s="235"/>
      <c r="AR627" s="235"/>
      <c r="AS627" s="235"/>
      <c r="AT627" s="235"/>
      <c r="AU627" s="235"/>
      <c r="AV627" s="235"/>
      <c r="AW627" s="235"/>
      <c r="AX627" s="235"/>
      <c r="AY627" s="235"/>
      <c r="AZ627" s="235"/>
      <c r="BA627" s="235"/>
      <c r="BB627" s="235"/>
      <c r="BC627" s="235"/>
      <c r="BD627" s="235"/>
      <c r="BE627" s="235"/>
      <c r="BF627" s="235"/>
    </row>
    <row r="628" spans="1:58" ht="15.75" customHeight="1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235"/>
      <c r="AF628" s="235"/>
      <c r="AG628" s="235"/>
      <c r="AH628" s="235"/>
      <c r="AI628" s="235"/>
      <c r="AJ628" s="235"/>
      <c r="AK628" s="235"/>
      <c r="AL628" s="235"/>
      <c r="AM628" s="235"/>
      <c r="AN628" s="235"/>
      <c r="AO628" s="235"/>
      <c r="AP628" s="235"/>
      <c r="AQ628" s="235"/>
      <c r="AR628" s="235"/>
      <c r="AS628" s="235"/>
      <c r="AT628" s="235"/>
      <c r="AU628" s="235"/>
      <c r="AV628" s="235"/>
      <c r="AW628" s="235"/>
      <c r="AX628" s="235"/>
      <c r="AY628" s="235"/>
      <c r="AZ628" s="235"/>
      <c r="BA628" s="235"/>
      <c r="BB628" s="235"/>
      <c r="BC628" s="235"/>
      <c r="BD628" s="235"/>
      <c r="BE628" s="235"/>
      <c r="BF628" s="235"/>
    </row>
    <row r="629" spans="1:58" ht="15.75" customHeight="1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235"/>
      <c r="AF629" s="235"/>
      <c r="AG629" s="235"/>
      <c r="AH629" s="235"/>
      <c r="AI629" s="235"/>
      <c r="AJ629" s="235"/>
      <c r="AK629" s="235"/>
      <c r="AL629" s="235"/>
      <c r="AM629" s="235"/>
      <c r="AN629" s="235"/>
      <c r="AO629" s="235"/>
      <c r="AP629" s="235"/>
      <c r="AQ629" s="235"/>
      <c r="AR629" s="235"/>
      <c r="AS629" s="235"/>
      <c r="AT629" s="235"/>
      <c r="AU629" s="235"/>
      <c r="AV629" s="235"/>
      <c r="AW629" s="235"/>
      <c r="AX629" s="235"/>
      <c r="AY629" s="235"/>
      <c r="AZ629" s="235"/>
      <c r="BA629" s="235"/>
      <c r="BB629" s="235"/>
      <c r="BC629" s="235"/>
      <c r="BD629" s="235"/>
      <c r="BE629" s="235"/>
      <c r="BF629" s="235"/>
    </row>
    <row r="630" spans="1:58" ht="15.75" customHeight="1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  <c r="AA630" s="114"/>
      <c r="AB630" s="114"/>
      <c r="AC630" s="114"/>
      <c r="AD630" s="114"/>
      <c r="AE630" s="235"/>
      <c r="AF630" s="235"/>
      <c r="AG630" s="235"/>
      <c r="AH630" s="235"/>
      <c r="AI630" s="235"/>
      <c r="AJ630" s="235"/>
      <c r="AK630" s="235"/>
      <c r="AL630" s="235"/>
      <c r="AM630" s="235"/>
      <c r="AN630" s="235"/>
      <c r="AO630" s="235"/>
      <c r="AP630" s="235"/>
      <c r="AQ630" s="235"/>
      <c r="AR630" s="235"/>
      <c r="AS630" s="235"/>
      <c r="AT630" s="235"/>
      <c r="AU630" s="235"/>
      <c r="AV630" s="235"/>
      <c r="AW630" s="235"/>
      <c r="AX630" s="235"/>
      <c r="AY630" s="235"/>
      <c r="AZ630" s="235"/>
      <c r="BA630" s="235"/>
      <c r="BB630" s="235"/>
      <c r="BC630" s="235"/>
      <c r="BD630" s="235"/>
      <c r="BE630" s="235"/>
      <c r="BF630" s="235"/>
    </row>
    <row r="631" spans="1:58" ht="15.75" customHeight="1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235"/>
      <c r="AF631" s="235"/>
      <c r="AG631" s="235"/>
      <c r="AH631" s="235"/>
      <c r="AI631" s="235"/>
      <c r="AJ631" s="235"/>
      <c r="AK631" s="235"/>
      <c r="AL631" s="235"/>
      <c r="AM631" s="235"/>
      <c r="AN631" s="235"/>
      <c r="AO631" s="235"/>
      <c r="AP631" s="235"/>
      <c r="AQ631" s="235"/>
      <c r="AR631" s="235"/>
      <c r="AS631" s="235"/>
      <c r="AT631" s="235"/>
      <c r="AU631" s="235"/>
      <c r="AV631" s="235"/>
      <c r="AW631" s="235"/>
      <c r="AX631" s="235"/>
      <c r="AY631" s="235"/>
      <c r="AZ631" s="235"/>
      <c r="BA631" s="235"/>
      <c r="BB631" s="235"/>
      <c r="BC631" s="235"/>
      <c r="BD631" s="235"/>
      <c r="BE631" s="235"/>
      <c r="BF631" s="235"/>
    </row>
    <row r="632" spans="1:58" ht="15.75" customHeight="1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235"/>
      <c r="AF632" s="235"/>
      <c r="AG632" s="235"/>
      <c r="AH632" s="235"/>
      <c r="AI632" s="235"/>
      <c r="AJ632" s="235"/>
      <c r="AK632" s="235"/>
      <c r="AL632" s="235"/>
      <c r="AM632" s="235"/>
      <c r="AN632" s="235"/>
      <c r="AO632" s="235"/>
      <c r="AP632" s="235"/>
      <c r="AQ632" s="235"/>
      <c r="AR632" s="235"/>
      <c r="AS632" s="235"/>
      <c r="AT632" s="235"/>
      <c r="AU632" s="235"/>
      <c r="AV632" s="235"/>
      <c r="AW632" s="235"/>
      <c r="AX632" s="235"/>
      <c r="AY632" s="235"/>
      <c r="AZ632" s="235"/>
      <c r="BA632" s="235"/>
      <c r="BB632" s="235"/>
      <c r="BC632" s="235"/>
      <c r="BD632" s="235"/>
      <c r="BE632" s="235"/>
      <c r="BF632" s="235"/>
    </row>
    <row r="633" spans="1:58" ht="15.75" customHeight="1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  <c r="AA633" s="114"/>
      <c r="AB633" s="114"/>
      <c r="AC633" s="114"/>
      <c r="AD633" s="114"/>
      <c r="AE633" s="235"/>
      <c r="AF633" s="235"/>
      <c r="AG633" s="235"/>
      <c r="AH633" s="235"/>
      <c r="AI633" s="235"/>
      <c r="AJ633" s="235"/>
      <c r="AK633" s="235"/>
      <c r="AL633" s="235"/>
      <c r="AM633" s="235"/>
      <c r="AN633" s="235"/>
      <c r="AO633" s="235"/>
      <c r="AP633" s="235"/>
      <c r="AQ633" s="235"/>
      <c r="AR633" s="235"/>
      <c r="AS633" s="235"/>
      <c r="AT633" s="235"/>
      <c r="AU633" s="235"/>
      <c r="AV633" s="235"/>
      <c r="AW633" s="235"/>
      <c r="AX633" s="235"/>
      <c r="AY633" s="235"/>
      <c r="AZ633" s="235"/>
      <c r="BA633" s="235"/>
      <c r="BB633" s="235"/>
      <c r="BC633" s="235"/>
      <c r="BD633" s="235"/>
      <c r="BE633" s="235"/>
      <c r="BF633" s="235"/>
    </row>
    <row r="634" spans="1:58" ht="15.75" customHeight="1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  <c r="AA634" s="114"/>
      <c r="AB634" s="114"/>
      <c r="AC634" s="114"/>
      <c r="AD634" s="114"/>
      <c r="AE634" s="235"/>
      <c r="AF634" s="235"/>
      <c r="AG634" s="235"/>
      <c r="AH634" s="235"/>
      <c r="AI634" s="235"/>
      <c r="AJ634" s="235"/>
      <c r="AK634" s="235"/>
      <c r="AL634" s="235"/>
      <c r="AM634" s="235"/>
      <c r="AN634" s="235"/>
      <c r="AO634" s="235"/>
      <c r="AP634" s="235"/>
      <c r="AQ634" s="235"/>
      <c r="AR634" s="235"/>
      <c r="AS634" s="235"/>
      <c r="AT634" s="235"/>
      <c r="AU634" s="235"/>
      <c r="AV634" s="235"/>
      <c r="AW634" s="235"/>
      <c r="AX634" s="235"/>
      <c r="AY634" s="235"/>
      <c r="AZ634" s="235"/>
      <c r="BA634" s="235"/>
      <c r="BB634" s="235"/>
      <c r="BC634" s="235"/>
      <c r="BD634" s="235"/>
      <c r="BE634" s="235"/>
      <c r="BF634" s="235"/>
    </row>
    <row r="635" spans="1:58" ht="15.75" customHeight="1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235"/>
      <c r="AF635" s="235"/>
      <c r="AG635" s="235"/>
      <c r="AH635" s="235"/>
      <c r="AI635" s="235"/>
      <c r="AJ635" s="235"/>
      <c r="AK635" s="235"/>
      <c r="AL635" s="235"/>
      <c r="AM635" s="235"/>
      <c r="AN635" s="235"/>
      <c r="AO635" s="235"/>
      <c r="AP635" s="235"/>
      <c r="AQ635" s="235"/>
      <c r="AR635" s="235"/>
      <c r="AS635" s="235"/>
      <c r="AT635" s="235"/>
      <c r="AU635" s="235"/>
      <c r="AV635" s="235"/>
      <c r="AW635" s="235"/>
      <c r="AX635" s="235"/>
      <c r="AY635" s="235"/>
      <c r="AZ635" s="235"/>
      <c r="BA635" s="235"/>
      <c r="BB635" s="235"/>
      <c r="BC635" s="235"/>
      <c r="BD635" s="235"/>
      <c r="BE635" s="235"/>
      <c r="BF635" s="235"/>
    </row>
    <row r="636" spans="1:58" ht="15.75" customHeight="1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235"/>
      <c r="AF636" s="235"/>
      <c r="AG636" s="235"/>
      <c r="AH636" s="235"/>
      <c r="AI636" s="235"/>
      <c r="AJ636" s="235"/>
      <c r="AK636" s="235"/>
      <c r="AL636" s="235"/>
      <c r="AM636" s="235"/>
      <c r="AN636" s="235"/>
      <c r="AO636" s="235"/>
      <c r="AP636" s="235"/>
      <c r="AQ636" s="235"/>
      <c r="AR636" s="235"/>
      <c r="AS636" s="235"/>
      <c r="AT636" s="235"/>
      <c r="AU636" s="235"/>
      <c r="AV636" s="235"/>
      <c r="AW636" s="235"/>
      <c r="AX636" s="235"/>
      <c r="AY636" s="235"/>
      <c r="AZ636" s="235"/>
      <c r="BA636" s="235"/>
      <c r="BB636" s="235"/>
      <c r="BC636" s="235"/>
      <c r="BD636" s="235"/>
      <c r="BE636" s="235"/>
      <c r="BF636" s="235"/>
    </row>
    <row r="637" spans="1:58" ht="15.75" customHeight="1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235"/>
      <c r="AF637" s="235"/>
      <c r="AG637" s="235"/>
      <c r="AH637" s="235"/>
      <c r="AI637" s="235"/>
      <c r="AJ637" s="235"/>
      <c r="AK637" s="235"/>
      <c r="AL637" s="235"/>
      <c r="AM637" s="235"/>
      <c r="AN637" s="235"/>
      <c r="AO637" s="235"/>
      <c r="AP637" s="235"/>
      <c r="AQ637" s="235"/>
      <c r="AR637" s="235"/>
      <c r="AS637" s="235"/>
      <c r="AT637" s="235"/>
      <c r="AU637" s="235"/>
      <c r="AV637" s="235"/>
      <c r="AW637" s="235"/>
      <c r="AX637" s="235"/>
      <c r="AY637" s="235"/>
      <c r="AZ637" s="235"/>
      <c r="BA637" s="235"/>
      <c r="BB637" s="235"/>
      <c r="BC637" s="235"/>
      <c r="BD637" s="235"/>
      <c r="BE637" s="235"/>
      <c r="BF637" s="235"/>
    </row>
    <row r="638" spans="1:58" ht="15.75" customHeight="1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  <c r="AA638" s="114"/>
      <c r="AB638" s="114"/>
      <c r="AC638" s="114"/>
      <c r="AD638" s="114"/>
      <c r="AE638" s="235"/>
      <c r="AF638" s="235"/>
      <c r="AG638" s="235"/>
      <c r="AH638" s="235"/>
      <c r="AI638" s="235"/>
      <c r="AJ638" s="235"/>
      <c r="AK638" s="235"/>
      <c r="AL638" s="235"/>
      <c r="AM638" s="235"/>
      <c r="AN638" s="235"/>
      <c r="AO638" s="235"/>
      <c r="AP638" s="235"/>
      <c r="AQ638" s="235"/>
      <c r="AR638" s="235"/>
      <c r="AS638" s="235"/>
      <c r="AT638" s="235"/>
      <c r="AU638" s="235"/>
      <c r="AV638" s="235"/>
      <c r="AW638" s="235"/>
      <c r="AX638" s="235"/>
      <c r="AY638" s="235"/>
      <c r="AZ638" s="235"/>
      <c r="BA638" s="235"/>
      <c r="BB638" s="235"/>
      <c r="BC638" s="235"/>
      <c r="BD638" s="235"/>
      <c r="BE638" s="235"/>
      <c r="BF638" s="235"/>
    </row>
    <row r="639" spans="1:58" ht="15.75" customHeight="1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235"/>
      <c r="AF639" s="235"/>
      <c r="AG639" s="235"/>
      <c r="AH639" s="235"/>
      <c r="AI639" s="235"/>
      <c r="AJ639" s="235"/>
      <c r="AK639" s="235"/>
      <c r="AL639" s="235"/>
      <c r="AM639" s="235"/>
      <c r="AN639" s="235"/>
      <c r="AO639" s="235"/>
      <c r="AP639" s="235"/>
      <c r="AQ639" s="235"/>
      <c r="AR639" s="235"/>
      <c r="AS639" s="235"/>
      <c r="AT639" s="235"/>
      <c r="AU639" s="235"/>
      <c r="AV639" s="235"/>
      <c r="AW639" s="235"/>
      <c r="AX639" s="235"/>
      <c r="AY639" s="235"/>
      <c r="AZ639" s="235"/>
      <c r="BA639" s="235"/>
      <c r="BB639" s="235"/>
      <c r="BC639" s="235"/>
      <c r="BD639" s="235"/>
      <c r="BE639" s="235"/>
      <c r="BF639" s="235"/>
    </row>
    <row r="640" spans="1:58" ht="15.75" customHeight="1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235"/>
      <c r="AF640" s="235"/>
      <c r="AG640" s="235"/>
      <c r="AH640" s="235"/>
      <c r="AI640" s="235"/>
      <c r="AJ640" s="235"/>
      <c r="AK640" s="235"/>
      <c r="AL640" s="235"/>
      <c r="AM640" s="235"/>
      <c r="AN640" s="235"/>
      <c r="AO640" s="235"/>
      <c r="AP640" s="235"/>
      <c r="AQ640" s="235"/>
      <c r="AR640" s="235"/>
      <c r="AS640" s="235"/>
      <c r="AT640" s="235"/>
      <c r="AU640" s="235"/>
      <c r="AV640" s="235"/>
      <c r="AW640" s="235"/>
      <c r="AX640" s="235"/>
      <c r="AY640" s="235"/>
      <c r="AZ640" s="235"/>
      <c r="BA640" s="235"/>
      <c r="BB640" s="235"/>
      <c r="BC640" s="235"/>
      <c r="BD640" s="235"/>
      <c r="BE640" s="235"/>
      <c r="BF640" s="235"/>
    </row>
    <row r="641" spans="1:58" ht="15.75" customHeight="1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  <c r="AA641" s="114"/>
      <c r="AB641" s="114"/>
      <c r="AC641" s="114"/>
      <c r="AD641" s="114"/>
      <c r="AE641" s="235"/>
      <c r="AF641" s="235"/>
      <c r="AG641" s="235"/>
      <c r="AH641" s="235"/>
      <c r="AI641" s="235"/>
      <c r="AJ641" s="235"/>
      <c r="AK641" s="235"/>
      <c r="AL641" s="235"/>
      <c r="AM641" s="235"/>
      <c r="AN641" s="235"/>
      <c r="AO641" s="235"/>
      <c r="AP641" s="235"/>
      <c r="AQ641" s="235"/>
      <c r="AR641" s="235"/>
      <c r="AS641" s="235"/>
      <c r="AT641" s="235"/>
      <c r="AU641" s="235"/>
      <c r="AV641" s="235"/>
      <c r="AW641" s="235"/>
      <c r="AX641" s="235"/>
      <c r="AY641" s="235"/>
      <c r="AZ641" s="235"/>
      <c r="BA641" s="235"/>
      <c r="BB641" s="235"/>
      <c r="BC641" s="235"/>
      <c r="BD641" s="235"/>
      <c r="BE641" s="235"/>
      <c r="BF641" s="235"/>
    </row>
    <row r="642" spans="1:58" ht="15.75" customHeight="1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  <c r="AA642" s="114"/>
      <c r="AB642" s="114"/>
      <c r="AC642" s="114"/>
      <c r="AD642" s="114"/>
      <c r="AE642" s="235"/>
      <c r="AF642" s="235"/>
      <c r="AG642" s="235"/>
      <c r="AH642" s="235"/>
      <c r="AI642" s="235"/>
      <c r="AJ642" s="235"/>
      <c r="AK642" s="235"/>
      <c r="AL642" s="235"/>
      <c r="AM642" s="235"/>
      <c r="AN642" s="235"/>
      <c r="AO642" s="235"/>
      <c r="AP642" s="235"/>
      <c r="AQ642" s="235"/>
      <c r="AR642" s="235"/>
      <c r="AS642" s="235"/>
      <c r="AT642" s="235"/>
      <c r="AU642" s="235"/>
      <c r="AV642" s="235"/>
      <c r="AW642" s="235"/>
      <c r="AX642" s="235"/>
      <c r="AY642" s="235"/>
      <c r="AZ642" s="235"/>
      <c r="BA642" s="235"/>
      <c r="BB642" s="235"/>
      <c r="BC642" s="235"/>
      <c r="BD642" s="235"/>
      <c r="BE642" s="235"/>
      <c r="BF642" s="235"/>
    </row>
    <row r="643" spans="1:58" ht="15.75" customHeight="1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235"/>
      <c r="AF643" s="235"/>
      <c r="AG643" s="235"/>
      <c r="AH643" s="235"/>
      <c r="AI643" s="235"/>
      <c r="AJ643" s="235"/>
      <c r="AK643" s="235"/>
      <c r="AL643" s="235"/>
      <c r="AM643" s="235"/>
      <c r="AN643" s="235"/>
      <c r="AO643" s="235"/>
      <c r="AP643" s="235"/>
      <c r="AQ643" s="235"/>
      <c r="AR643" s="235"/>
      <c r="AS643" s="235"/>
      <c r="AT643" s="235"/>
      <c r="AU643" s="235"/>
      <c r="AV643" s="235"/>
      <c r="AW643" s="235"/>
      <c r="AX643" s="235"/>
      <c r="AY643" s="235"/>
      <c r="AZ643" s="235"/>
      <c r="BA643" s="235"/>
      <c r="BB643" s="235"/>
      <c r="BC643" s="235"/>
      <c r="BD643" s="235"/>
      <c r="BE643" s="235"/>
      <c r="BF643" s="235"/>
    </row>
    <row r="644" spans="1:58" ht="15.75" customHeight="1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235"/>
      <c r="AF644" s="235"/>
      <c r="AG644" s="235"/>
      <c r="AH644" s="235"/>
      <c r="AI644" s="235"/>
      <c r="AJ644" s="235"/>
      <c r="AK644" s="235"/>
      <c r="AL644" s="235"/>
      <c r="AM644" s="235"/>
      <c r="AN644" s="235"/>
      <c r="AO644" s="235"/>
      <c r="AP644" s="235"/>
      <c r="AQ644" s="235"/>
      <c r="AR644" s="235"/>
      <c r="AS644" s="235"/>
      <c r="AT644" s="235"/>
      <c r="AU644" s="235"/>
      <c r="AV644" s="235"/>
      <c r="AW644" s="235"/>
      <c r="AX644" s="235"/>
      <c r="AY644" s="235"/>
      <c r="AZ644" s="235"/>
      <c r="BA644" s="235"/>
      <c r="BB644" s="235"/>
      <c r="BC644" s="235"/>
      <c r="BD644" s="235"/>
      <c r="BE644" s="235"/>
      <c r="BF644" s="235"/>
    </row>
    <row r="645" spans="1:58" ht="15.75" customHeight="1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  <c r="AA645" s="114"/>
      <c r="AB645" s="114"/>
      <c r="AC645" s="114"/>
      <c r="AD645" s="114"/>
      <c r="AE645" s="235"/>
      <c r="AF645" s="235"/>
      <c r="AG645" s="235"/>
      <c r="AH645" s="235"/>
      <c r="AI645" s="235"/>
      <c r="AJ645" s="235"/>
      <c r="AK645" s="235"/>
      <c r="AL645" s="235"/>
      <c r="AM645" s="235"/>
      <c r="AN645" s="235"/>
      <c r="AO645" s="235"/>
      <c r="AP645" s="235"/>
      <c r="AQ645" s="235"/>
      <c r="AR645" s="235"/>
      <c r="AS645" s="235"/>
      <c r="AT645" s="235"/>
      <c r="AU645" s="235"/>
      <c r="AV645" s="235"/>
      <c r="AW645" s="235"/>
      <c r="AX645" s="235"/>
      <c r="AY645" s="235"/>
      <c r="AZ645" s="235"/>
      <c r="BA645" s="235"/>
      <c r="BB645" s="235"/>
      <c r="BC645" s="235"/>
      <c r="BD645" s="235"/>
      <c r="BE645" s="235"/>
      <c r="BF645" s="235"/>
    </row>
    <row r="646" spans="1:58" ht="15.75" customHeight="1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  <c r="AA646" s="114"/>
      <c r="AB646" s="114"/>
      <c r="AC646" s="114"/>
      <c r="AD646" s="114"/>
      <c r="AE646" s="235"/>
      <c r="AF646" s="235"/>
      <c r="AG646" s="235"/>
      <c r="AH646" s="235"/>
      <c r="AI646" s="235"/>
      <c r="AJ646" s="235"/>
      <c r="AK646" s="235"/>
      <c r="AL646" s="235"/>
      <c r="AM646" s="235"/>
      <c r="AN646" s="235"/>
      <c r="AO646" s="235"/>
      <c r="AP646" s="235"/>
      <c r="AQ646" s="235"/>
      <c r="AR646" s="235"/>
      <c r="AS646" s="235"/>
      <c r="AT646" s="235"/>
      <c r="AU646" s="235"/>
      <c r="AV646" s="235"/>
      <c r="AW646" s="235"/>
      <c r="AX646" s="235"/>
      <c r="AY646" s="235"/>
      <c r="AZ646" s="235"/>
      <c r="BA646" s="235"/>
      <c r="BB646" s="235"/>
      <c r="BC646" s="235"/>
      <c r="BD646" s="235"/>
      <c r="BE646" s="235"/>
      <c r="BF646" s="235"/>
    </row>
    <row r="647" spans="1:58" ht="15.75" customHeight="1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235"/>
      <c r="AF647" s="235"/>
      <c r="AG647" s="235"/>
      <c r="AH647" s="235"/>
      <c r="AI647" s="235"/>
      <c r="AJ647" s="235"/>
      <c r="AK647" s="235"/>
      <c r="AL647" s="235"/>
      <c r="AM647" s="235"/>
      <c r="AN647" s="235"/>
      <c r="AO647" s="235"/>
      <c r="AP647" s="235"/>
      <c r="AQ647" s="235"/>
      <c r="AR647" s="235"/>
      <c r="AS647" s="235"/>
      <c r="AT647" s="235"/>
      <c r="AU647" s="235"/>
      <c r="AV647" s="235"/>
      <c r="AW647" s="235"/>
      <c r="AX647" s="235"/>
      <c r="AY647" s="235"/>
      <c r="AZ647" s="235"/>
      <c r="BA647" s="235"/>
      <c r="BB647" s="235"/>
      <c r="BC647" s="235"/>
      <c r="BD647" s="235"/>
      <c r="BE647" s="235"/>
      <c r="BF647" s="235"/>
    </row>
    <row r="648" spans="1:58" ht="15.75" customHeight="1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235"/>
      <c r="AF648" s="235"/>
      <c r="AG648" s="235"/>
      <c r="AH648" s="235"/>
      <c r="AI648" s="235"/>
      <c r="AJ648" s="235"/>
      <c r="AK648" s="235"/>
      <c r="AL648" s="235"/>
      <c r="AM648" s="235"/>
      <c r="AN648" s="235"/>
      <c r="AO648" s="235"/>
      <c r="AP648" s="235"/>
      <c r="AQ648" s="235"/>
      <c r="AR648" s="235"/>
      <c r="AS648" s="235"/>
      <c r="AT648" s="235"/>
      <c r="AU648" s="235"/>
      <c r="AV648" s="235"/>
      <c r="AW648" s="235"/>
      <c r="AX648" s="235"/>
      <c r="AY648" s="235"/>
      <c r="AZ648" s="235"/>
      <c r="BA648" s="235"/>
      <c r="BB648" s="235"/>
      <c r="BC648" s="235"/>
      <c r="BD648" s="235"/>
      <c r="BE648" s="235"/>
      <c r="BF648" s="235"/>
    </row>
    <row r="649" spans="1:58" ht="15.75" customHeight="1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  <c r="AA649" s="114"/>
      <c r="AB649" s="114"/>
      <c r="AC649" s="114"/>
      <c r="AD649" s="114"/>
      <c r="AE649" s="235"/>
      <c r="AF649" s="235"/>
      <c r="AG649" s="235"/>
      <c r="AH649" s="235"/>
      <c r="AI649" s="235"/>
      <c r="AJ649" s="235"/>
      <c r="AK649" s="235"/>
      <c r="AL649" s="235"/>
      <c r="AM649" s="235"/>
      <c r="AN649" s="235"/>
      <c r="AO649" s="235"/>
      <c r="AP649" s="235"/>
      <c r="AQ649" s="235"/>
      <c r="AR649" s="235"/>
      <c r="AS649" s="235"/>
      <c r="AT649" s="235"/>
      <c r="AU649" s="235"/>
      <c r="AV649" s="235"/>
      <c r="AW649" s="235"/>
      <c r="AX649" s="235"/>
      <c r="AY649" s="235"/>
      <c r="AZ649" s="235"/>
      <c r="BA649" s="235"/>
      <c r="BB649" s="235"/>
      <c r="BC649" s="235"/>
      <c r="BD649" s="235"/>
      <c r="BE649" s="235"/>
      <c r="BF649" s="235"/>
    </row>
    <row r="650" spans="1:58" ht="15.75" customHeight="1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  <c r="AA650" s="114"/>
      <c r="AB650" s="114"/>
      <c r="AC650" s="114"/>
      <c r="AD650" s="114"/>
      <c r="AE650" s="235"/>
      <c r="AF650" s="235"/>
      <c r="AG650" s="235"/>
      <c r="AH650" s="235"/>
      <c r="AI650" s="235"/>
      <c r="AJ650" s="235"/>
      <c r="AK650" s="235"/>
      <c r="AL650" s="235"/>
      <c r="AM650" s="235"/>
      <c r="AN650" s="235"/>
      <c r="AO650" s="235"/>
      <c r="AP650" s="235"/>
      <c r="AQ650" s="235"/>
      <c r="AR650" s="235"/>
      <c r="AS650" s="235"/>
      <c r="AT650" s="235"/>
      <c r="AU650" s="235"/>
      <c r="AV650" s="235"/>
      <c r="AW650" s="235"/>
      <c r="AX650" s="235"/>
      <c r="AY650" s="235"/>
      <c r="AZ650" s="235"/>
      <c r="BA650" s="235"/>
      <c r="BB650" s="235"/>
      <c r="BC650" s="235"/>
      <c r="BD650" s="235"/>
      <c r="BE650" s="235"/>
      <c r="BF650" s="235"/>
    </row>
    <row r="651" spans="1:58" ht="15.75" customHeight="1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235"/>
      <c r="AF651" s="235"/>
      <c r="AG651" s="235"/>
      <c r="AH651" s="235"/>
      <c r="AI651" s="235"/>
      <c r="AJ651" s="235"/>
      <c r="AK651" s="235"/>
      <c r="AL651" s="235"/>
      <c r="AM651" s="235"/>
      <c r="AN651" s="235"/>
      <c r="AO651" s="235"/>
      <c r="AP651" s="235"/>
      <c r="AQ651" s="235"/>
      <c r="AR651" s="235"/>
      <c r="AS651" s="235"/>
      <c r="AT651" s="235"/>
      <c r="AU651" s="235"/>
      <c r="AV651" s="235"/>
      <c r="AW651" s="235"/>
      <c r="AX651" s="235"/>
      <c r="AY651" s="235"/>
      <c r="AZ651" s="235"/>
      <c r="BA651" s="235"/>
      <c r="BB651" s="235"/>
      <c r="BC651" s="235"/>
      <c r="BD651" s="235"/>
      <c r="BE651" s="235"/>
      <c r="BF651" s="235"/>
    </row>
    <row r="652" spans="1:58" ht="15.75" customHeight="1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235"/>
      <c r="AF652" s="235"/>
      <c r="AG652" s="235"/>
      <c r="AH652" s="235"/>
      <c r="AI652" s="235"/>
      <c r="AJ652" s="235"/>
      <c r="AK652" s="235"/>
      <c r="AL652" s="235"/>
      <c r="AM652" s="235"/>
      <c r="AN652" s="235"/>
      <c r="AO652" s="235"/>
      <c r="AP652" s="235"/>
      <c r="AQ652" s="235"/>
      <c r="AR652" s="235"/>
      <c r="AS652" s="235"/>
      <c r="AT652" s="235"/>
      <c r="AU652" s="235"/>
      <c r="AV652" s="235"/>
      <c r="AW652" s="235"/>
      <c r="AX652" s="235"/>
      <c r="AY652" s="235"/>
      <c r="AZ652" s="235"/>
      <c r="BA652" s="235"/>
      <c r="BB652" s="235"/>
      <c r="BC652" s="235"/>
      <c r="BD652" s="235"/>
      <c r="BE652" s="235"/>
      <c r="BF652" s="235"/>
    </row>
    <row r="653" spans="1:58" ht="15.75" customHeight="1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235"/>
      <c r="AF653" s="235"/>
      <c r="AG653" s="235"/>
      <c r="AH653" s="235"/>
      <c r="AI653" s="235"/>
      <c r="AJ653" s="235"/>
      <c r="AK653" s="235"/>
      <c r="AL653" s="235"/>
      <c r="AM653" s="235"/>
      <c r="AN653" s="235"/>
      <c r="AO653" s="235"/>
      <c r="AP653" s="235"/>
      <c r="AQ653" s="235"/>
      <c r="AR653" s="235"/>
      <c r="AS653" s="235"/>
      <c r="AT653" s="235"/>
      <c r="AU653" s="235"/>
      <c r="AV653" s="235"/>
      <c r="AW653" s="235"/>
      <c r="AX653" s="235"/>
      <c r="AY653" s="235"/>
      <c r="AZ653" s="235"/>
      <c r="BA653" s="235"/>
      <c r="BB653" s="235"/>
      <c r="BC653" s="235"/>
      <c r="BD653" s="235"/>
      <c r="BE653" s="235"/>
      <c r="BF653" s="235"/>
    </row>
    <row r="654" spans="1:58" ht="15.75" customHeight="1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  <c r="AA654" s="114"/>
      <c r="AB654" s="114"/>
      <c r="AC654" s="114"/>
      <c r="AD654" s="114"/>
      <c r="AE654" s="235"/>
      <c r="AF654" s="235"/>
      <c r="AG654" s="235"/>
      <c r="AH654" s="235"/>
      <c r="AI654" s="235"/>
      <c r="AJ654" s="235"/>
      <c r="AK654" s="235"/>
      <c r="AL654" s="235"/>
      <c r="AM654" s="235"/>
      <c r="AN654" s="235"/>
      <c r="AO654" s="235"/>
      <c r="AP654" s="235"/>
      <c r="AQ654" s="235"/>
      <c r="AR654" s="235"/>
      <c r="AS654" s="235"/>
      <c r="AT654" s="235"/>
      <c r="AU654" s="235"/>
      <c r="AV654" s="235"/>
      <c r="AW654" s="235"/>
      <c r="AX654" s="235"/>
      <c r="AY654" s="235"/>
      <c r="AZ654" s="235"/>
      <c r="BA654" s="235"/>
      <c r="BB654" s="235"/>
      <c r="BC654" s="235"/>
      <c r="BD654" s="235"/>
      <c r="BE654" s="235"/>
      <c r="BF654" s="235"/>
    </row>
    <row r="655" spans="1:58" ht="15.75" customHeight="1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  <c r="AA655" s="114"/>
      <c r="AB655" s="114"/>
      <c r="AC655" s="114"/>
      <c r="AD655" s="114"/>
      <c r="AE655" s="235"/>
      <c r="AF655" s="235"/>
      <c r="AG655" s="235"/>
      <c r="AH655" s="235"/>
      <c r="AI655" s="235"/>
      <c r="AJ655" s="235"/>
      <c r="AK655" s="235"/>
      <c r="AL655" s="235"/>
      <c r="AM655" s="235"/>
      <c r="AN655" s="235"/>
      <c r="AO655" s="235"/>
      <c r="AP655" s="235"/>
      <c r="AQ655" s="235"/>
      <c r="AR655" s="235"/>
      <c r="AS655" s="235"/>
      <c r="AT655" s="235"/>
      <c r="AU655" s="235"/>
      <c r="AV655" s="235"/>
      <c r="AW655" s="235"/>
      <c r="AX655" s="235"/>
      <c r="AY655" s="235"/>
      <c r="AZ655" s="235"/>
      <c r="BA655" s="235"/>
      <c r="BB655" s="235"/>
      <c r="BC655" s="235"/>
      <c r="BD655" s="235"/>
      <c r="BE655" s="235"/>
      <c r="BF655" s="235"/>
    </row>
    <row r="656" spans="1:58" ht="15.75" customHeight="1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  <c r="AA656" s="114"/>
      <c r="AB656" s="114"/>
      <c r="AC656" s="114"/>
      <c r="AD656" s="114"/>
      <c r="AE656" s="235"/>
      <c r="AF656" s="235"/>
      <c r="AG656" s="235"/>
      <c r="AH656" s="235"/>
      <c r="AI656" s="235"/>
      <c r="AJ656" s="235"/>
      <c r="AK656" s="235"/>
      <c r="AL656" s="235"/>
      <c r="AM656" s="235"/>
      <c r="AN656" s="235"/>
      <c r="AO656" s="235"/>
      <c r="AP656" s="235"/>
      <c r="AQ656" s="235"/>
      <c r="AR656" s="235"/>
      <c r="AS656" s="235"/>
      <c r="AT656" s="235"/>
      <c r="AU656" s="235"/>
      <c r="AV656" s="235"/>
      <c r="AW656" s="235"/>
      <c r="AX656" s="235"/>
      <c r="AY656" s="235"/>
      <c r="AZ656" s="235"/>
      <c r="BA656" s="235"/>
      <c r="BB656" s="235"/>
      <c r="BC656" s="235"/>
      <c r="BD656" s="235"/>
      <c r="BE656" s="235"/>
      <c r="BF656" s="235"/>
    </row>
    <row r="657" spans="1:58" ht="15.75" customHeight="1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  <c r="AA657" s="114"/>
      <c r="AB657" s="114"/>
      <c r="AC657" s="114"/>
      <c r="AD657" s="114"/>
      <c r="AE657" s="235"/>
      <c r="AF657" s="235"/>
      <c r="AG657" s="235"/>
      <c r="AH657" s="235"/>
      <c r="AI657" s="235"/>
      <c r="AJ657" s="235"/>
      <c r="AK657" s="235"/>
      <c r="AL657" s="235"/>
      <c r="AM657" s="235"/>
      <c r="AN657" s="235"/>
      <c r="AO657" s="235"/>
      <c r="AP657" s="235"/>
      <c r="AQ657" s="235"/>
      <c r="AR657" s="235"/>
      <c r="AS657" s="235"/>
      <c r="AT657" s="235"/>
      <c r="AU657" s="235"/>
      <c r="AV657" s="235"/>
      <c r="AW657" s="235"/>
      <c r="AX657" s="235"/>
      <c r="AY657" s="235"/>
      <c r="AZ657" s="235"/>
      <c r="BA657" s="235"/>
      <c r="BB657" s="235"/>
      <c r="BC657" s="235"/>
      <c r="BD657" s="235"/>
      <c r="BE657" s="235"/>
      <c r="BF657" s="235"/>
    </row>
    <row r="658" spans="1:58" ht="15.75" customHeight="1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  <c r="AA658" s="114"/>
      <c r="AB658" s="114"/>
      <c r="AC658" s="114"/>
      <c r="AD658" s="114"/>
      <c r="AE658" s="235"/>
      <c r="AF658" s="235"/>
      <c r="AG658" s="235"/>
      <c r="AH658" s="235"/>
      <c r="AI658" s="235"/>
      <c r="AJ658" s="235"/>
      <c r="AK658" s="235"/>
      <c r="AL658" s="235"/>
      <c r="AM658" s="235"/>
      <c r="AN658" s="235"/>
      <c r="AO658" s="235"/>
      <c r="AP658" s="235"/>
      <c r="AQ658" s="235"/>
      <c r="AR658" s="235"/>
      <c r="AS658" s="235"/>
      <c r="AT658" s="235"/>
      <c r="AU658" s="235"/>
      <c r="AV658" s="235"/>
      <c r="AW658" s="235"/>
      <c r="AX658" s="235"/>
      <c r="AY658" s="235"/>
      <c r="AZ658" s="235"/>
      <c r="BA658" s="235"/>
      <c r="BB658" s="235"/>
      <c r="BC658" s="235"/>
      <c r="BD658" s="235"/>
      <c r="BE658" s="235"/>
      <c r="BF658" s="235"/>
    </row>
    <row r="659" spans="1:58" ht="15.75" customHeight="1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  <c r="AA659" s="114"/>
      <c r="AB659" s="114"/>
      <c r="AC659" s="114"/>
      <c r="AD659" s="114"/>
      <c r="AE659" s="235"/>
      <c r="AF659" s="235"/>
      <c r="AG659" s="235"/>
      <c r="AH659" s="235"/>
      <c r="AI659" s="235"/>
      <c r="AJ659" s="235"/>
      <c r="AK659" s="235"/>
      <c r="AL659" s="235"/>
      <c r="AM659" s="235"/>
      <c r="AN659" s="235"/>
      <c r="AO659" s="235"/>
      <c r="AP659" s="235"/>
      <c r="AQ659" s="235"/>
      <c r="AR659" s="235"/>
      <c r="AS659" s="235"/>
      <c r="AT659" s="235"/>
      <c r="AU659" s="235"/>
      <c r="AV659" s="235"/>
      <c r="AW659" s="235"/>
      <c r="AX659" s="235"/>
      <c r="AY659" s="235"/>
      <c r="AZ659" s="235"/>
      <c r="BA659" s="235"/>
      <c r="BB659" s="235"/>
      <c r="BC659" s="235"/>
      <c r="BD659" s="235"/>
      <c r="BE659" s="235"/>
      <c r="BF659" s="235"/>
    </row>
    <row r="660" spans="1:58" ht="15.75" customHeight="1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  <c r="AA660" s="114"/>
      <c r="AB660" s="114"/>
      <c r="AC660" s="114"/>
      <c r="AD660" s="114"/>
      <c r="AE660" s="235"/>
      <c r="AF660" s="235"/>
      <c r="AG660" s="235"/>
      <c r="AH660" s="235"/>
      <c r="AI660" s="235"/>
      <c r="AJ660" s="235"/>
      <c r="AK660" s="235"/>
      <c r="AL660" s="235"/>
      <c r="AM660" s="235"/>
      <c r="AN660" s="235"/>
      <c r="AO660" s="235"/>
      <c r="AP660" s="235"/>
      <c r="AQ660" s="235"/>
      <c r="AR660" s="235"/>
      <c r="AS660" s="235"/>
      <c r="AT660" s="235"/>
      <c r="AU660" s="235"/>
      <c r="AV660" s="235"/>
      <c r="AW660" s="235"/>
      <c r="AX660" s="235"/>
      <c r="AY660" s="235"/>
      <c r="AZ660" s="235"/>
      <c r="BA660" s="235"/>
      <c r="BB660" s="235"/>
      <c r="BC660" s="235"/>
      <c r="BD660" s="235"/>
      <c r="BE660" s="235"/>
      <c r="BF660" s="235"/>
    </row>
    <row r="661" spans="1:58" ht="15.75" customHeight="1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  <c r="AA661" s="114"/>
      <c r="AB661" s="114"/>
      <c r="AC661" s="114"/>
      <c r="AD661" s="114"/>
      <c r="AE661" s="235"/>
      <c r="AF661" s="235"/>
      <c r="AG661" s="235"/>
      <c r="AH661" s="235"/>
      <c r="AI661" s="235"/>
      <c r="AJ661" s="235"/>
      <c r="AK661" s="235"/>
      <c r="AL661" s="235"/>
      <c r="AM661" s="235"/>
      <c r="AN661" s="235"/>
      <c r="AO661" s="235"/>
      <c r="AP661" s="235"/>
      <c r="AQ661" s="235"/>
      <c r="AR661" s="235"/>
      <c r="AS661" s="235"/>
      <c r="AT661" s="235"/>
      <c r="AU661" s="235"/>
      <c r="AV661" s="235"/>
      <c r="AW661" s="235"/>
      <c r="AX661" s="235"/>
      <c r="AY661" s="235"/>
      <c r="AZ661" s="235"/>
      <c r="BA661" s="235"/>
      <c r="BB661" s="235"/>
      <c r="BC661" s="235"/>
      <c r="BD661" s="235"/>
      <c r="BE661" s="235"/>
      <c r="BF661" s="235"/>
    </row>
    <row r="662" spans="1:58" ht="15.75" customHeight="1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235"/>
      <c r="AF662" s="235"/>
      <c r="AG662" s="235"/>
      <c r="AH662" s="235"/>
      <c r="AI662" s="235"/>
      <c r="AJ662" s="235"/>
      <c r="AK662" s="235"/>
      <c r="AL662" s="235"/>
      <c r="AM662" s="235"/>
      <c r="AN662" s="235"/>
      <c r="AO662" s="235"/>
      <c r="AP662" s="235"/>
      <c r="AQ662" s="235"/>
      <c r="AR662" s="235"/>
      <c r="AS662" s="235"/>
      <c r="AT662" s="235"/>
      <c r="AU662" s="235"/>
      <c r="AV662" s="235"/>
      <c r="AW662" s="235"/>
      <c r="AX662" s="235"/>
      <c r="AY662" s="235"/>
      <c r="AZ662" s="235"/>
      <c r="BA662" s="235"/>
      <c r="BB662" s="235"/>
      <c r="BC662" s="235"/>
      <c r="BD662" s="235"/>
      <c r="BE662" s="235"/>
      <c r="BF662" s="235"/>
    </row>
    <row r="663" spans="1:58" ht="15.75" customHeight="1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235"/>
      <c r="AF663" s="235"/>
      <c r="AG663" s="235"/>
      <c r="AH663" s="235"/>
      <c r="AI663" s="235"/>
      <c r="AJ663" s="235"/>
      <c r="AK663" s="235"/>
      <c r="AL663" s="235"/>
      <c r="AM663" s="235"/>
      <c r="AN663" s="235"/>
      <c r="AO663" s="235"/>
      <c r="AP663" s="235"/>
      <c r="AQ663" s="235"/>
      <c r="AR663" s="235"/>
      <c r="AS663" s="235"/>
      <c r="AT663" s="235"/>
      <c r="AU663" s="235"/>
      <c r="AV663" s="235"/>
      <c r="AW663" s="235"/>
      <c r="AX663" s="235"/>
      <c r="AY663" s="235"/>
      <c r="AZ663" s="235"/>
      <c r="BA663" s="235"/>
      <c r="BB663" s="235"/>
      <c r="BC663" s="235"/>
      <c r="BD663" s="235"/>
      <c r="BE663" s="235"/>
      <c r="BF663" s="235"/>
    </row>
    <row r="664" spans="1:58" ht="15.75" customHeight="1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  <c r="AA664" s="114"/>
      <c r="AB664" s="114"/>
      <c r="AC664" s="114"/>
      <c r="AD664" s="114"/>
      <c r="AE664" s="235"/>
      <c r="AF664" s="235"/>
      <c r="AG664" s="235"/>
      <c r="AH664" s="235"/>
      <c r="AI664" s="235"/>
      <c r="AJ664" s="235"/>
      <c r="AK664" s="235"/>
      <c r="AL664" s="235"/>
      <c r="AM664" s="235"/>
      <c r="AN664" s="235"/>
      <c r="AO664" s="235"/>
      <c r="AP664" s="235"/>
      <c r="AQ664" s="235"/>
      <c r="AR664" s="235"/>
      <c r="AS664" s="235"/>
      <c r="AT664" s="235"/>
      <c r="AU664" s="235"/>
      <c r="AV664" s="235"/>
      <c r="AW664" s="235"/>
      <c r="AX664" s="235"/>
      <c r="AY664" s="235"/>
      <c r="AZ664" s="235"/>
      <c r="BA664" s="235"/>
      <c r="BB664" s="235"/>
      <c r="BC664" s="235"/>
      <c r="BD664" s="235"/>
      <c r="BE664" s="235"/>
      <c r="BF664" s="235"/>
    </row>
    <row r="665" spans="1:58" ht="15.75" customHeight="1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  <c r="AA665" s="114"/>
      <c r="AB665" s="114"/>
      <c r="AC665" s="114"/>
      <c r="AD665" s="114"/>
      <c r="AE665" s="235"/>
      <c r="AF665" s="235"/>
      <c r="AG665" s="235"/>
      <c r="AH665" s="235"/>
      <c r="AI665" s="235"/>
      <c r="AJ665" s="235"/>
      <c r="AK665" s="235"/>
      <c r="AL665" s="235"/>
      <c r="AM665" s="235"/>
      <c r="AN665" s="235"/>
      <c r="AO665" s="235"/>
      <c r="AP665" s="235"/>
      <c r="AQ665" s="235"/>
      <c r="AR665" s="235"/>
      <c r="AS665" s="235"/>
      <c r="AT665" s="235"/>
      <c r="AU665" s="235"/>
      <c r="AV665" s="235"/>
      <c r="AW665" s="235"/>
      <c r="AX665" s="235"/>
      <c r="AY665" s="235"/>
      <c r="AZ665" s="235"/>
      <c r="BA665" s="235"/>
      <c r="BB665" s="235"/>
      <c r="BC665" s="235"/>
      <c r="BD665" s="235"/>
      <c r="BE665" s="235"/>
      <c r="BF665" s="235"/>
    </row>
    <row r="666" spans="1:58" ht="15.75" customHeight="1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  <c r="AA666" s="114"/>
      <c r="AB666" s="114"/>
      <c r="AC666" s="114"/>
      <c r="AD666" s="114"/>
      <c r="AE666" s="235"/>
      <c r="AF666" s="235"/>
      <c r="AG666" s="235"/>
      <c r="AH666" s="235"/>
      <c r="AI666" s="235"/>
      <c r="AJ666" s="235"/>
      <c r="AK666" s="235"/>
      <c r="AL666" s="235"/>
      <c r="AM666" s="235"/>
      <c r="AN666" s="235"/>
      <c r="AO666" s="235"/>
      <c r="AP666" s="235"/>
      <c r="AQ666" s="235"/>
      <c r="AR666" s="235"/>
      <c r="AS666" s="235"/>
      <c r="AT666" s="235"/>
      <c r="AU666" s="235"/>
      <c r="AV666" s="235"/>
      <c r="AW666" s="235"/>
      <c r="AX666" s="235"/>
      <c r="AY666" s="235"/>
      <c r="AZ666" s="235"/>
      <c r="BA666" s="235"/>
      <c r="BB666" s="235"/>
      <c r="BC666" s="235"/>
      <c r="BD666" s="235"/>
      <c r="BE666" s="235"/>
      <c r="BF666" s="235"/>
    </row>
    <row r="667" spans="1:58" ht="15.75" customHeight="1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  <c r="AA667" s="114"/>
      <c r="AB667" s="114"/>
      <c r="AC667" s="114"/>
      <c r="AD667" s="114"/>
      <c r="AE667" s="235"/>
      <c r="AF667" s="235"/>
      <c r="AG667" s="235"/>
      <c r="AH667" s="235"/>
      <c r="AI667" s="235"/>
      <c r="AJ667" s="235"/>
      <c r="AK667" s="235"/>
      <c r="AL667" s="235"/>
      <c r="AM667" s="235"/>
      <c r="AN667" s="235"/>
      <c r="AO667" s="235"/>
      <c r="AP667" s="235"/>
      <c r="AQ667" s="235"/>
      <c r="AR667" s="235"/>
      <c r="AS667" s="235"/>
      <c r="AT667" s="235"/>
      <c r="AU667" s="235"/>
      <c r="AV667" s="235"/>
      <c r="AW667" s="235"/>
      <c r="AX667" s="235"/>
      <c r="AY667" s="235"/>
      <c r="AZ667" s="235"/>
      <c r="BA667" s="235"/>
      <c r="BB667" s="235"/>
      <c r="BC667" s="235"/>
      <c r="BD667" s="235"/>
      <c r="BE667" s="235"/>
      <c r="BF667" s="235"/>
    </row>
    <row r="668" spans="1:58" ht="15.75" customHeight="1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  <c r="AA668" s="114"/>
      <c r="AB668" s="114"/>
      <c r="AC668" s="114"/>
      <c r="AD668" s="114"/>
      <c r="AE668" s="235"/>
      <c r="AF668" s="235"/>
      <c r="AG668" s="235"/>
      <c r="AH668" s="235"/>
      <c r="AI668" s="235"/>
      <c r="AJ668" s="235"/>
      <c r="AK668" s="235"/>
      <c r="AL668" s="235"/>
      <c r="AM668" s="235"/>
      <c r="AN668" s="235"/>
      <c r="AO668" s="235"/>
      <c r="AP668" s="235"/>
      <c r="AQ668" s="235"/>
      <c r="AR668" s="235"/>
      <c r="AS668" s="235"/>
      <c r="AT668" s="235"/>
      <c r="AU668" s="235"/>
      <c r="AV668" s="235"/>
      <c r="AW668" s="235"/>
      <c r="AX668" s="235"/>
      <c r="AY668" s="235"/>
      <c r="AZ668" s="235"/>
      <c r="BA668" s="235"/>
      <c r="BB668" s="235"/>
      <c r="BC668" s="235"/>
      <c r="BD668" s="235"/>
      <c r="BE668" s="235"/>
      <c r="BF668" s="235"/>
    </row>
    <row r="669" spans="1:58" ht="15.75" customHeight="1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235"/>
      <c r="AF669" s="235"/>
      <c r="AG669" s="235"/>
      <c r="AH669" s="235"/>
      <c r="AI669" s="235"/>
      <c r="AJ669" s="235"/>
      <c r="AK669" s="235"/>
      <c r="AL669" s="235"/>
      <c r="AM669" s="235"/>
      <c r="AN669" s="235"/>
      <c r="AO669" s="235"/>
      <c r="AP669" s="235"/>
      <c r="AQ669" s="235"/>
      <c r="AR669" s="235"/>
      <c r="AS669" s="235"/>
      <c r="AT669" s="235"/>
      <c r="AU669" s="235"/>
      <c r="AV669" s="235"/>
      <c r="AW669" s="235"/>
      <c r="AX669" s="235"/>
      <c r="AY669" s="235"/>
      <c r="AZ669" s="235"/>
      <c r="BA669" s="235"/>
      <c r="BB669" s="235"/>
      <c r="BC669" s="235"/>
      <c r="BD669" s="235"/>
      <c r="BE669" s="235"/>
      <c r="BF669" s="235"/>
    </row>
    <row r="670" spans="1:58" ht="15.75" customHeight="1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235"/>
      <c r="AF670" s="235"/>
      <c r="AG670" s="235"/>
      <c r="AH670" s="235"/>
      <c r="AI670" s="235"/>
      <c r="AJ670" s="235"/>
      <c r="AK670" s="235"/>
      <c r="AL670" s="235"/>
      <c r="AM670" s="235"/>
      <c r="AN670" s="235"/>
      <c r="AO670" s="235"/>
      <c r="AP670" s="235"/>
      <c r="AQ670" s="235"/>
      <c r="AR670" s="235"/>
      <c r="AS670" s="235"/>
      <c r="AT670" s="235"/>
      <c r="AU670" s="235"/>
      <c r="AV670" s="235"/>
      <c r="AW670" s="235"/>
      <c r="AX670" s="235"/>
      <c r="AY670" s="235"/>
      <c r="AZ670" s="235"/>
      <c r="BA670" s="235"/>
      <c r="BB670" s="235"/>
      <c r="BC670" s="235"/>
      <c r="BD670" s="235"/>
      <c r="BE670" s="235"/>
      <c r="BF670" s="235"/>
    </row>
    <row r="671" spans="1:58" ht="15.75" customHeight="1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  <c r="AA671" s="114"/>
      <c r="AB671" s="114"/>
      <c r="AC671" s="114"/>
      <c r="AD671" s="114"/>
      <c r="AE671" s="235"/>
      <c r="AF671" s="235"/>
      <c r="AG671" s="235"/>
      <c r="AH671" s="235"/>
      <c r="AI671" s="235"/>
      <c r="AJ671" s="235"/>
      <c r="AK671" s="235"/>
      <c r="AL671" s="235"/>
      <c r="AM671" s="235"/>
      <c r="AN671" s="235"/>
      <c r="AO671" s="235"/>
      <c r="AP671" s="235"/>
      <c r="AQ671" s="235"/>
      <c r="AR671" s="235"/>
      <c r="AS671" s="235"/>
      <c r="AT671" s="235"/>
      <c r="AU671" s="235"/>
      <c r="AV671" s="235"/>
      <c r="AW671" s="235"/>
      <c r="AX671" s="235"/>
      <c r="AY671" s="235"/>
      <c r="AZ671" s="235"/>
      <c r="BA671" s="235"/>
      <c r="BB671" s="235"/>
      <c r="BC671" s="235"/>
      <c r="BD671" s="235"/>
      <c r="BE671" s="235"/>
      <c r="BF671" s="235"/>
    </row>
    <row r="672" spans="1:58" ht="15.75" customHeight="1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235"/>
      <c r="AF672" s="235"/>
      <c r="AG672" s="235"/>
      <c r="AH672" s="235"/>
      <c r="AI672" s="235"/>
      <c r="AJ672" s="235"/>
      <c r="AK672" s="235"/>
      <c r="AL672" s="235"/>
      <c r="AM672" s="235"/>
      <c r="AN672" s="235"/>
      <c r="AO672" s="235"/>
      <c r="AP672" s="235"/>
      <c r="AQ672" s="235"/>
      <c r="AR672" s="235"/>
      <c r="AS672" s="235"/>
      <c r="AT672" s="235"/>
      <c r="AU672" s="235"/>
      <c r="AV672" s="235"/>
      <c r="AW672" s="235"/>
      <c r="AX672" s="235"/>
      <c r="AY672" s="235"/>
      <c r="AZ672" s="235"/>
      <c r="BA672" s="235"/>
      <c r="BB672" s="235"/>
      <c r="BC672" s="235"/>
      <c r="BD672" s="235"/>
      <c r="BE672" s="235"/>
      <c r="BF672" s="235"/>
    </row>
    <row r="673" spans="1:58" ht="15.75" customHeight="1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235"/>
      <c r="AF673" s="235"/>
      <c r="AG673" s="235"/>
      <c r="AH673" s="235"/>
      <c r="AI673" s="235"/>
      <c r="AJ673" s="235"/>
      <c r="AK673" s="235"/>
      <c r="AL673" s="235"/>
      <c r="AM673" s="235"/>
      <c r="AN673" s="235"/>
      <c r="AO673" s="235"/>
      <c r="AP673" s="235"/>
      <c r="AQ673" s="235"/>
      <c r="AR673" s="235"/>
      <c r="AS673" s="235"/>
      <c r="AT673" s="235"/>
      <c r="AU673" s="235"/>
      <c r="AV673" s="235"/>
      <c r="AW673" s="235"/>
      <c r="AX673" s="235"/>
      <c r="AY673" s="235"/>
      <c r="AZ673" s="235"/>
      <c r="BA673" s="235"/>
      <c r="BB673" s="235"/>
      <c r="BC673" s="235"/>
      <c r="BD673" s="235"/>
      <c r="BE673" s="235"/>
      <c r="BF673" s="235"/>
    </row>
    <row r="674" spans="1:58" ht="15.75" customHeight="1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235"/>
      <c r="AF674" s="235"/>
      <c r="AG674" s="235"/>
      <c r="AH674" s="235"/>
      <c r="AI674" s="235"/>
      <c r="AJ674" s="235"/>
      <c r="AK674" s="235"/>
      <c r="AL674" s="235"/>
      <c r="AM674" s="235"/>
      <c r="AN674" s="235"/>
      <c r="AO674" s="235"/>
      <c r="AP674" s="235"/>
      <c r="AQ674" s="235"/>
      <c r="AR674" s="235"/>
      <c r="AS674" s="235"/>
      <c r="AT674" s="235"/>
      <c r="AU674" s="235"/>
      <c r="AV674" s="235"/>
      <c r="AW674" s="235"/>
      <c r="AX674" s="235"/>
      <c r="AY674" s="235"/>
      <c r="AZ674" s="235"/>
      <c r="BA674" s="235"/>
      <c r="BB674" s="235"/>
      <c r="BC674" s="235"/>
      <c r="BD674" s="235"/>
      <c r="BE674" s="235"/>
      <c r="BF674" s="235"/>
    </row>
    <row r="675" spans="1:58" ht="15.75" customHeight="1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235"/>
      <c r="AF675" s="235"/>
      <c r="AG675" s="235"/>
      <c r="AH675" s="235"/>
      <c r="AI675" s="235"/>
      <c r="AJ675" s="235"/>
      <c r="AK675" s="235"/>
      <c r="AL675" s="235"/>
      <c r="AM675" s="235"/>
      <c r="AN675" s="235"/>
      <c r="AO675" s="235"/>
      <c r="AP675" s="235"/>
      <c r="AQ675" s="235"/>
      <c r="AR675" s="235"/>
      <c r="AS675" s="235"/>
      <c r="AT675" s="235"/>
      <c r="AU675" s="235"/>
      <c r="AV675" s="235"/>
      <c r="AW675" s="235"/>
      <c r="AX675" s="235"/>
      <c r="AY675" s="235"/>
      <c r="AZ675" s="235"/>
      <c r="BA675" s="235"/>
      <c r="BB675" s="235"/>
      <c r="BC675" s="235"/>
      <c r="BD675" s="235"/>
      <c r="BE675" s="235"/>
      <c r="BF675" s="235"/>
    </row>
    <row r="676" spans="1:58" ht="15.75" customHeight="1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  <c r="AA676" s="114"/>
      <c r="AB676" s="114"/>
      <c r="AC676" s="114"/>
      <c r="AD676" s="114"/>
      <c r="AE676" s="235"/>
      <c r="AF676" s="235"/>
      <c r="AG676" s="235"/>
      <c r="AH676" s="235"/>
      <c r="AI676" s="235"/>
      <c r="AJ676" s="235"/>
      <c r="AK676" s="235"/>
      <c r="AL676" s="235"/>
      <c r="AM676" s="235"/>
      <c r="AN676" s="235"/>
      <c r="AO676" s="235"/>
      <c r="AP676" s="235"/>
      <c r="AQ676" s="235"/>
      <c r="AR676" s="235"/>
      <c r="AS676" s="235"/>
      <c r="AT676" s="235"/>
      <c r="AU676" s="235"/>
      <c r="AV676" s="235"/>
      <c r="AW676" s="235"/>
      <c r="AX676" s="235"/>
      <c r="AY676" s="235"/>
      <c r="AZ676" s="235"/>
      <c r="BA676" s="235"/>
      <c r="BB676" s="235"/>
      <c r="BC676" s="235"/>
      <c r="BD676" s="235"/>
      <c r="BE676" s="235"/>
      <c r="BF676" s="235"/>
    </row>
    <row r="677" spans="1:58" ht="15.75" customHeight="1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235"/>
      <c r="AF677" s="235"/>
      <c r="AG677" s="235"/>
      <c r="AH677" s="235"/>
      <c r="AI677" s="235"/>
      <c r="AJ677" s="235"/>
      <c r="AK677" s="235"/>
      <c r="AL677" s="235"/>
      <c r="AM677" s="235"/>
      <c r="AN677" s="235"/>
      <c r="AO677" s="235"/>
      <c r="AP677" s="235"/>
      <c r="AQ677" s="235"/>
      <c r="AR677" s="235"/>
      <c r="AS677" s="235"/>
      <c r="AT677" s="235"/>
      <c r="AU677" s="235"/>
      <c r="AV677" s="235"/>
      <c r="AW677" s="235"/>
      <c r="AX677" s="235"/>
      <c r="AY677" s="235"/>
      <c r="AZ677" s="235"/>
      <c r="BA677" s="235"/>
      <c r="BB677" s="235"/>
      <c r="BC677" s="235"/>
      <c r="BD677" s="235"/>
      <c r="BE677" s="235"/>
      <c r="BF677" s="235"/>
    </row>
    <row r="678" spans="1:58" ht="15.75" customHeight="1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235"/>
      <c r="AF678" s="235"/>
      <c r="AG678" s="235"/>
      <c r="AH678" s="235"/>
      <c r="AI678" s="235"/>
      <c r="AJ678" s="235"/>
      <c r="AK678" s="235"/>
      <c r="AL678" s="235"/>
      <c r="AM678" s="235"/>
      <c r="AN678" s="235"/>
      <c r="AO678" s="235"/>
      <c r="AP678" s="235"/>
      <c r="AQ678" s="235"/>
      <c r="AR678" s="235"/>
      <c r="AS678" s="235"/>
      <c r="AT678" s="235"/>
      <c r="AU678" s="235"/>
      <c r="AV678" s="235"/>
      <c r="AW678" s="235"/>
      <c r="AX678" s="235"/>
      <c r="AY678" s="235"/>
      <c r="AZ678" s="235"/>
      <c r="BA678" s="235"/>
      <c r="BB678" s="235"/>
      <c r="BC678" s="235"/>
      <c r="BD678" s="235"/>
      <c r="BE678" s="235"/>
      <c r="BF678" s="235"/>
    </row>
    <row r="679" spans="1:58" ht="15.75" customHeight="1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  <c r="AA679" s="114"/>
      <c r="AB679" s="114"/>
      <c r="AC679" s="114"/>
      <c r="AD679" s="114"/>
      <c r="AE679" s="235"/>
      <c r="AF679" s="235"/>
      <c r="AG679" s="235"/>
      <c r="AH679" s="235"/>
      <c r="AI679" s="235"/>
      <c r="AJ679" s="235"/>
      <c r="AK679" s="235"/>
      <c r="AL679" s="235"/>
      <c r="AM679" s="235"/>
      <c r="AN679" s="235"/>
      <c r="AO679" s="235"/>
      <c r="AP679" s="235"/>
      <c r="AQ679" s="235"/>
      <c r="AR679" s="235"/>
      <c r="AS679" s="235"/>
      <c r="AT679" s="235"/>
      <c r="AU679" s="235"/>
      <c r="AV679" s="235"/>
      <c r="AW679" s="235"/>
      <c r="AX679" s="235"/>
      <c r="AY679" s="235"/>
      <c r="AZ679" s="235"/>
      <c r="BA679" s="235"/>
      <c r="BB679" s="235"/>
      <c r="BC679" s="235"/>
      <c r="BD679" s="235"/>
      <c r="BE679" s="235"/>
      <c r="BF679" s="235"/>
    </row>
    <row r="680" spans="1:58" ht="15.75" customHeight="1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  <c r="AA680" s="114"/>
      <c r="AB680" s="114"/>
      <c r="AC680" s="114"/>
      <c r="AD680" s="114"/>
      <c r="AE680" s="235"/>
      <c r="AF680" s="235"/>
      <c r="AG680" s="235"/>
      <c r="AH680" s="235"/>
      <c r="AI680" s="235"/>
      <c r="AJ680" s="235"/>
      <c r="AK680" s="235"/>
      <c r="AL680" s="235"/>
      <c r="AM680" s="235"/>
      <c r="AN680" s="235"/>
      <c r="AO680" s="235"/>
      <c r="AP680" s="235"/>
      <c r="AQ680" s="235"/>
      <c r="AR680" s="235"/>
      <c r="AS680" s="235"/>
      <c r="AT680" s="235"/>
      <c r="AU680" s="235"/>
      <c r="AV680" s="235"/>
      <c r="AW680" s="235"/>
      <c r="AX680" s="235"/>
      <c r="AY680" s="235"/>
      <c r="AZ680" s="235"/>
      <c r="BA680" s="235"/>
      <c r="BB680" s="235"/>
      <c r="BC680" s="235"/>
      <c r="BD680" s="235"/>
      <c r="BE680" s="235"/>
      <c r="BF680" s="235"/>
    </row>
    <row r="681" spans="1:58" ht="15.75" customHeight="1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235"/>
      <c r="AF681" s="235"/>
      <c r="AG681" s="235"/>
      <c r="AH681" s="235"/>
      <c r="AI681" s="235"/>
      <c r="AJ681" s="235"/>
      <c r="AK681" s="235"/>
      <c r="AL681" s="235"/>
      <c r="AM681" s="235"/>
      <c r="AN681" s="235"/>
      <c r="AO681" s="235"/>
      <c r="AP681" s="235"/>
      <c r="AQ681" s="235"/>
      <c r="AR681" s="235"/>
      <c r="AS681" s="235"/>
      <c r="AT681" s="235"/>
      <c r="AU681" s="235"/>
      <c r="AV681" s="235"/>
      <c r="AW681" s="235"/>
      <c r="AX681" s="235"/>
      <c r="AY681" s="235"/>
      <c r="AZ681" s="235"/>
      <c r="BA681" s="235"/>
      <c r="BB681" s="235"/>
      <c r="BC681" s="235"/>
      <c r="BD681" s="235"/>
      <c r="BE681" s="235"/>
      <c r="BF681" s="235"/>
    </row>
    <row r="682" spans="1:58" ht="15.75" customHeight="1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235"/>
      <c r="AF682" s="235"/>
      <c r="AG682" s="235"/>
      <c r="AH682" s="235"/>
      <c r="AI682" s="235"/>
      <c r="AJ682" s="235"/>
      <c r="AK682" s="235"/>
      <c r="AL682" s="235"/>
      <c r="AM682" s="235"/>
      <c r="AN682" s="235"/>
      <c r="AO682" s="235"/>
      <c r="AP682" s="235"/>
      <c r="AQ682" s="235"/>
      <c r="AR682" s="235"/>
      <c r="AS682" s="235"/>
      <c r="AT682" s="235"/>
      <c r="AU682" s="235"/>
      <c r="AV682" s="235"/>
      <c r="AW682" s="235"/>
      <c r="AX682" s="235"/>
      <c r="AY682" s="235"/>
      <c r="AZ682" s="235"/>
      <c r="BA682" s="235"/>
      <c r="BB682" s="235"/>
      <c r="BC682" s="235"/>
      <c r="BD682" s="235"/>
      <c r="BE682" s="235"/>
      <c r="BF682" s="235"/>
    </row>
    <row r="683" spans="1:58" ht="15.75" customHeight="1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235"/>
      <c r="AF683" s="235"/>
      <c r="AG683" s="235"/>
      <c r="AH683" s="235"/>
      <c r="AI683" s="235"/>
      <c r="AJ683" s="235"/>
      <c r="AK683" s="235"/>
      <c r="AL683" s="235"/>
      <c r="AM683" s="235"/>
      <c r="AN683" s="235"/>
      <c r="AO683" s="235"/>
      <c r="AP683" s="235"/>
      <c r="AQ683" s="235"/>
      <c r="AR683" s="235"/>
      <c r="AS683" s="235"/>
      <c r="AT683" s="235"/>
      <c r="AU683" s="235"/>
      <c r="AV683" s="235"/>
      <c r="AW683" s="235"/>
      <c r="AX683" s="235"/>
      <c r="AY683" s="235"/>
      <c r="AZ683" s="235"/>
      <c r="BA683" s="235"/>
      <c r="BB683" s="235"/>
      <c r="BC683" s="235"/>
      <c r="BD683" s="235"/>
      <c r="BE683" s="235"/>
      <c r="BF683" s="235"/>
    </row>
    <row r="684" spans="1:58" ht="15.75" customHeight="1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235"/>
      <c r="AF684" s="235"/>
      <c r="AG684" s="235"/>
      <c r="AH684" s="235"/>
      <c r="AI684" s="235"/>
      <c r="AJ684" s="235"/>
      <c r="AK684" s="235"/>
      <c r="AL684" s="235"/>
      <c r="AM684" s="235"/>
      <c r="AN684" s="235"/>
      <c r="AO684" s="235"/>
      <c r="AP684" s="235"/>
      <c r="AQ684" s="235"/>
      <c r="AR684" s="235"/>
      <c r="AS684" s="235"/>
      <c r="AT684" s="235"/>
      <c r="AU684" s="235"/>
      <c r="AV684" s="235"/>
      <c r="AW684" s="235"/>
      <c r="AX684" s="235"/>
      <c r="AY684" s="235"/>
      <c r="AZ684" s="235"/>
      <c r="BA684" s="235"/>
      <c r="BB684" s="235"/>
      <c r="BC684" s="235"/>
      <c r="BD684" s="235"/>
      <c r="BE684" s="235"/>
      <c r="BF684" s="235"/>
    </row>
    <row r="685" spans="1:58" ht="15.75" customHeight="1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235"/>
      <c r="AF685" s="235"/>
      <c r="AG685" s="235"/>
      <c r="AH685" s="235"/>
      <c r="AI685" s="235"/>
      <c r="AJ685" s="235"/>
      <c r="AK685" s="235"/>
      <c r="AL685" s="235"/>
      <c r="AM685" s="235"/>
      <c r="AN685" s="235"/>
      <c r="AO685" s="235"/>
      <c r="AP685" s="235"/>
      <c r="AQ685" s="235"/>
      <c r="AR685" s="235"/>
      <c r="AS685" s="235"/>
      <c r="AT685" s="235"/>
      <c r="AU685" s="235"/>
      <c r="AV685" s="235"/>
      <c r="AW685" s="235"/>
      <c r="AX685" s="235"/>
      <c r="AY685" s="235"/>
      <c r="AZ685" s="235"/>
      <c r="BA685" s="235"/>
      <c r="BB685" s="235"/>
      <c r="BC685" s="235"/>
      <c r="BD685" s="235"/>
      <c r="BE685" s="235"/>
      <c r="BF685" s="235"/>
    </row>
    <row r="686" spans="1:58" ht="15.75" customHeight="1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235"/>
      <c r="AF686" s="235"/>
      <c r="AG686" s="235"/>
      <c r="AH686" s="235"/>
      <c r="AI686" s="235"/>
      <c r="AJ686" s="235"/>
      <c r="AK686" s="235"/>
      <c r="AL686" s="235"/>
      <c r="AM686" s="235"/>
      <c r="AN686" s="235"/>
      <c r="AO686" s="235"/>
      <c r="AP686" s="235"/>
      <c r="AQ686" s="235"/>
      <c r="AR686" s="235"/>
      <c r="AS686" s="235"/>
      <c r="AT686" s="235"/>
      <c r="AU686" s="235"/>
      <c r="AV686" s="235"/>
      <c r="AW686" s="235"/>
      <c r="AX686" s="235"/>
      <c r="AY686" s="235"/>
      <c r="AZ686" s="235"/>
      <c r="BA686" s="235"/>
      <c r="BB686" s="235"/>
      <c r="BC686" s="235"/>
      <c r="BD686" s="235"/>
      <c r="BE686" s="235"/>
      <c r="BF686" s="235"/>
    </row>
    <row r="687" spans="1:58" ht="15.75" customHeight="1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  <c r="AA687" s="114"/>
      <c r="AB687" s="114"/>
      <c r="AC687" s="114"/>
      <c r="AD687" s="114"/>
      <c r="AE687" s="235"/>
      <c r="AF687" s="235"/>
      <c r="AG687" s="235"/>
      <c r="AH687" s="235"/>
      <c r="AI687" s="235"/>
      <c r="AJ687" s="235"/>
      <c r="AK687" s="235"/>
      <c r="AL687" s="235"/>
      <c r="AM687" s="235"/>
      <c r="AN687" s="235"/>
      <c r="AO687" s="235"/>
      <c r="AP687" s="235"/>
      <c r="AQ687" s="235"/>
      <c r="AR687" s="235"/>
      <c r="AS687" s="235"/>
      <c r="AT687" s="235"/>
      <c r="AU687" s="235"/>
      <c r="AV687" s="235"/>
      <c r="AW687" s="235"/>
      <c r="AX687" s="235"/>
      <c r="AY687" s="235"/>
      <c r="AZ687" s="235"/>
      <c r="BA687" s="235"/>
      <c r="BB687" s="235"/>
      <c r="BC687" s="235"/>
      <c r="BD687" s="235"/>
      <c r="BE687" s="235"/>
      <c r="BF687" s="235"/>
    </row>
    <row r="688" spans="1:58" ht="15.75" customHeight="1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  <c r="AA688" s="114"/>
      <c r="AB688" s="114"/>
      <c r="AC688" s="114"/>
      <c r="AD688" s="114"/>
      <c r="AE688" s="235"/>
      <c r="AF688" s="235"/>
      <c r="AG688" s="235"/>
      <c r="AH688" s="235"/>
      <c r="AI688" s="235"/>
      <c r="AJ688" s="235"/>
      <c r="AK688" s="235"/>
      <c r="AL688" s="235"/>
      <c r="AM688" s="235"/>
      <c r="AN688" s="235"/>
      <c r="AO688" s="235"/>
      <c r="AP688" s="235"/>
      <c r="AQ688" s="235"/>
      <c r="AR688" s="235"/>
      <c r="AS688" s="235"/>
      <c r="AT688" s="235"/>
      <c r="AU688" s="235"/>
      <c r="AV688" s="235"/>
      <c r="AW688" s="235"/>
      <c r="AX688" s="235"/>
      <c r="AY688" s="235"/>
      <c r="AZ688" s="235"/>
      <c r="BA688" s="235"/>
      <c r="BB688" s="235"/>
      <c r="BC688" s="235"/>
      <c r="BD688" s="235"/>
      <c r="BE688" s="235"/>
      <c r="BF688" s="235"/>
    </row>
    <row r="689" spans="1:58" ht="15.75" customHeight="1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235"/>
      <c r="AF689" s="235"/>
      <c r="AG689" s="235"/>
      <c r="AH689" s="235"/>
      <c r="AI689" s="235"/>
      <c r="AJ689" s="235"/>
      <c r="AK689" s="235"/>
      <c r="AL689" s="235"/>
      <c r="AM689" s="235"/>
      <c r="AN689" s="235"/>
      <c r="AO689" s="235"/>
      <c r="AP689" s="235"/>
      <c r="AQ689" s="235"/>
      <c r="AR689" s="235"/>
      <c r="AS689" s="235"/>
      <c r="AT689" s="235"/>
      <c r="AU689" s="235"/>
      <c r="AV689" s="235"/>
      <c r="AW689" s="235"/>
      <c r="AX689" s="235"/>
      <c r="AY689" s="235"/>
      <c r="AZ689" s="235"/>
      <c r="BA689" s="235"/>
      <c r="BB689" s="235"/>
      <c r="BC689" s="235"/>
      <c r="BD689" s="235"/>
      <c r="BE689" s="235"/>
      <c r="BF689" s="235"/>
    </row>
    <row r="690" spans="1:58" ht="15.75" customHeight="1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235"/>
      <c r="AF690" s="235"/>
      <c r="AG690" s="235"/>
      <c r="AH690" s="235"/>
      <c r="AI690" s="235"/>
      <c r="AJ690" s="235"/>
      <c r="AK690" s="235"/>
      <c r="AL690" s="235"/>
      <c r="AM690" s="235"/>
      <c r="AN690" s="235"/>
      <c r="AO690" s="235"/>
      <c r="AP690" s="235"/>
      <c r="AQ690" s="235"/>
      <c r="AR690" s="235"/>
      <c r="AS690" s="235"/>
      <c r="AT690" s="235"/>
      <c r="AU690" s="235"/>
      <c r="AV690" s="235"/>
      <c r="AW690" s="235"/>
      <c r="AX690" s="235"/>
      <c r="AY690" s="235"/>
      <c r="AZ690" s="235"/>
      <c r="BA690" s="235"/>
      <c r="BB690" s="235"/>
      <c r="BC690" s="235"/>
      <c r="BD690" s="235"/>
      <c r="BE690" s="235"/>
      <c r="BF690" s="235"/>
    </row>
    <row r="691" spans="1:58" ht="15.75" customHeight="1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  <c r="AA691" s="114"/>
      <c r="AB691" s="114"/>
      <c r="AC691" s="114"/>
      <c r="AD691" s="114"/>
      <c r="AE691" s="235"/>
      <c r="AF691" s="235"/>
      <c r="AG691" s="235"/>
      <c r="AH691" s="235"/>
      <c r="AI691" s="235"/>
      <c r="AJ691" s="235"/>
      <c r="AK691" s="235"/>
      <c r="AL691" s="235"/>
      <c r="AM691" s="235"/>
      <c r="AN691" s="235"/>
      <c r="AO691" s="235"/>
      <c r="AP691" s="235"/>
      <c r="AQ691" s="235"/>
      <c r="AR691" s="235"/>
      <c r="AS691" s="235"/>
      <c r="AT691" s="235"/>
      <c r="AU691" s="235"/>
      <c r="AV691" s="235"/>
      <c r="AW691" s="235"/>
      <c r="AX691" s="235"/>
      <c r="AY691" s="235"/>
      <c r="AZ691" s="235"/>
      <c r="BA691" s="235"/>
      <c r="BB691" s="235"/>
      <c r="BC691" s="235"/>
      <c r="BD691" s="235"/>
      <c r="BE691" s="235"/>
      <c r="BF691" s="235"/>
    </row>
    <row r="692" spans="1:58" ht="15.75" customHeight="1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  <c r="AA692" s="114"/>
      <c r="AB692" s="114"/>
      <c r="AC692" s="114"/>
      <c r="AD692" s="114"/>
      <c r="AE692" s="235"/>
      <c r="AF692" s="235"/>
      <c r="AG692" s="235"/>
      <c r="AH692" s="235"/>
      <c r="AI692" s="235"/>
      <c r="AJ692" s="235"/>
      <c r="AK692" s="235"/>
      <c r="AL692" s="235"/>
      <c r="AM692" s="235"/>
      <c r="AN692" s="235"/>
      <c r="AO692" s="235"/>
      <c r="AP692" s="235"/>
      <c r="AQ692" s="235"/>
      <c r="AR692" s="235"/>
      <c r="AS692" s="235"/>
      <c r="AT692" s="235"/>
      <c r="AU692" s="235"/>
      <c r="AV692" s="235"/>
      <c r="AW692" s="235"/>
      <c r="AX692" s="235"/>
      <c r="AY692" s="235"/>
      <c r="AZ692" s="235"/>
      <c r="BA692" s="235"/>
      <c r="BB692" s="235"/>
      <c r="BC692" s="235"/>
      <c r="BD692" s="235"/>
      <c r="BE692" s="235"/>
      <c r="BF692" s="235"/>
    </row>
    <row r="693" spans="1:58" ht="15.75" customHeight="1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235"/>
      <c r="AF693" s="235"/>
      <c r="AG693" s="235"/>
      <c r="AH693" s="235"/>
      <c r="AI693" s="235"/>
      <c r="AJ693" s="235"/>
      <c r="AK693" s="235"/>
      <c r="AL693" s="235"/>
      <c r="AM693" s="235"/>
      <c r="AN693" s="235"/>
      <c r="AO693" s="235"/>
      <c r="AP693" s="235"/>
      <c r="AQ693" s="235"/>
      <c r="AR693" s="235"/>
      <c r="AS693" s="235"/>
      <c r="AT693" s="235"/>
      <c r="AU693" s="235"/>
      <c r="AV693" s="235"/>
      <c r="AW693" s="235"/>
      <c r="AX693" s="235"/>
      <c r="AY693" s="235"/>
      <c r="AZ693" s="235"/>
      <c r="BA693" s="235"/>
      <c r="BB693" s="235"/>
      <c r="BC693" s="235"/>
      <c r="BD693" s="235"/>
      <c r="BE693" s="235"/>
      <c r="BF693" s="235"/>
    </row>
    <row r="694" spans="1:58" ht="15.75" customHeight="1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235"/>
      <c r="AF694" s="235"/>
      <c r="AG694" s="235"/>
      <c r="AH694" s="235"/>
      <c r="AI694" s="235"/>
      <c r="AJ694" s="235"/>
      <c r="AK694" s="235"/>
      <c r="AL694" s="235"/>
      <c r="AM694" s="235"/>
      <c r="AN694" s="235"/>
      <c r="AO694" s="235"/>
      <c r="AP694" s="235"/>
      <c r="AQ694" s="235"/>
      <c r="AR694" s="235"/>
      <c r="AS694" s="235"/>
      <c r="AT694" s="235"/>
      <c r="AU694" s="235"/>
      <c r="AV694" s="235"/>
      <c r="AW694" s="235"/>
      <c r="AX694" s="235"/>
      <c r="AY694" s="235"/>
      <c r="AZ694" s="235"/>
      <c r="BA694" s="235"/>
      <c r="BB694" s="235"/>
      <c r="BC694" s="235"/>
      <c r="BD694" s="235"/>
      <c r="BE694" s="235"/>
      <c r="BF694" s="235"/>
    </row>
    <row r="695" spans="1:58" ht="15.75" customHeight="1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  <c r="AA695" s="114"/>
      <c r="AB695" s="114"/>
      <c r="AC695" s="114"/>
      <c r="AD695" s="114"/>
      <c r="AE695" s="235"/>
      <c r="AF695" s="235"/>
      <c r="AG695" s="235"/>
      <c r="AH695" s="235"/>
      <c r="AI695" s="235"/>
      <c r="AJ695" s="235"/>
      <c r="AK695" s="235"/>
      <c r="AL695" s="235"/>
      <c r="AM695" s="235"/>
      <c r="AN695" s="235"/>
      <c r="AO695" s="235"/>
      <c r="AP695" s="235"/>
      <c r="AQ695" s="235"/>
      <c r="AR695" s="235"/>
      <c r="AS695" s="235"/>
      <c r="AT695" s="235"/>
      <c r="AU695" s="235"/>
      <c r="AV695" s="235"/>
      <c r="AW695" s="235"/>
      <c r="AX695" s="235"/>
      <c r="AY695" s="235"/>
      <c r="AZ695" s="235"/>
      <c r="BA695" s="235"/>
      <c r="BB695" s="235"/>
      <c r="BC695" s="235"/>
      <c r="BD695" s="235"/>
      <c r="BE695" s="235"/>
      <c r="BF695" s="235"/>
    </row>
    <row r="696" spans="1:58" ht="15.75" customHeight="1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  <c r="AA696" s="114"/>
      <c r="AB696" s="114"/>
      <c r="AC696" s="114"/>
      <c r="AD696" s="114"/>
      <c r="AE696" s="235"/>
      <c r="AF696" s="235"/>
      <c r="AG696" s="235"/>
      <c r="AH696" s="235"/>
      <c r="AI696" s="235"/>
      <c r="AJ696" s="235"/>
      <c r="AK696" s="235"/>
      <c r="AL696" s="235"/>
      <c r="AM696" s="235"/>
      <c r="AN696" s="235"/>
      <c r="AO696" s="235"/>
      <c r="AP696" s="235"/>
      <c r="AQ696" s="235"/>
      <c r="AR696" s="235"/>
      <c r="AS696" s="235"/>
      <c r="AT696" s="235"/>
      <c r="AU696" s="235"/>
      <c r="AV696" s="235"/>
      <c r="AW696" s="235"/>
      <c r="AX696" s="235"/>
      <c r="AY696" s="235"/>
      <c r="AZ696" s="235"/>
      <c r="BA696" s="235"/>
      <c r="BB696" s="235"/>
      <c r="BC696" s="235"/>
      <c r="BD696" s="235"/>
      <c r="BE696" s="235"/>
      <c r="BF696" s="235"/>
    </row>
    <row r="697" spans="1:58" ht="15.75" customHeight="1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235"/>
      <c r="AF697" s="235"/>
      <c r="AG697" s="235"/>
      <c r="AH697" s="235"/>
      <c r="AI697" s="235"/>
      <c r="AJ697" s="235"/>
      <c r="AK697" s="235"/>
      <c r="AL697" s="235"/>
      <c r="AM697" s="235"/>
      <c r="AN697" s="235"/>
      <c r="AO697" s="235"/>
      <c r="AP697" s="235"/>
      <c r="AQ697" s="235"/>
      <c r="AR697" s="235"/>
      <c r="AS697" s="235"/>
      <c r="AT697" s="235"/>
      <c r="AU697" s="235"/>
      <c r="AV697" s="235"/>
      <c r="AW697" s="235"/>
      <c r="AX697" s="235"/>
      <c r="AY697" s="235"/>
      <c r="AZ697" s="235"/>
      <c r="BA697" s="235"/>
      <c r="BB697" s="235"/>
      <c r="BC697" s="235"/>
      <c r="BD697" s="235"/>
      <c r="BE697" s="235"/>
      <c r="BF697" s="235"/>
    </row>
    <row r="698" spans="1:58" ht="15.75" customHeight="1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235"/>
      <c r="AF698" s="235"/>
      <c r="AG698" s="235"/>
      <c r="AH698" s="235"/>
      <c r="AI698" s="235"/>
      <c r="AJ698" s="235"/>
      <c r="AK698" s="235"/>
      <c r="AL698" s="235"/>
      <c r="AM698" s="235"/>
      <c r="AN698" s="235"/>
      <c r="AO698" s="235"/>
      <c r="AP698" s="235"/>
      <c r="AQ698" s="235"/>
      <c r="AR698" s="235"/>
      <c r="AS698" s="235"/>
      <c r="AT698" s="235"/>
      <c r="AU698" s="235"/>
      <c r="AV698" s="235"/>
      <c r="AW698" s="235"/>
      <c r="AX698" s="235"/>
      <c r="AY698" s="235"/>
      <c r="AZ698" s="235"/>
      <c r="BA698" s="235"/>
      <c r="BB698" s="235"/>
      <c r="BC698" s="235"/>
      <c r="BD698" s="235"/>
      <c r="BE698" s="235"/>
      <c r="BF698" s="235"/>
    </row>
    <row r="699" spans="1:58" ht="15.75" customHeight="1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  <c r="AA699" s="114"/>
      <c r="AB699" s="114"/>
      <c r="AC699" s="114"/>
      <c r="AD699" s="114"/>
      <c r="AE699" s="235"/>
      <c r="AF699" s="235"/>
      <c r="AG699" s="235"/>
      <c r="AH699" s="235"/>
      <c r="AI699" s="235"/>
      <c r="AJ699" s="235"/>
      <c r="AK699" s="235"/>
      <c r="AL699" s="235"/>
      <c r="AM699" s="235"/>
      <c r="AN699" s="235"/>
      <c r="AO699" s="235"/>
      <c r="AP699" s="235"/>
      <c r="AQ699" s="235"/>
      <c r="AR699" s="235"/>
      <c r="AS699" s="235"/>
      <c r="AT699" s="235"/>
      <c r="AU699" s="235"/>
      <c r="AV699" s="235"/>
      <c r="AW699" s="235"/>
      <c r="AX699" s="235"/>
      <c r="AY699" s="235"/>
      <c r="AZ699" s="235"/>
      <c r="BA699" s="235"/>
      <c r="BB699" s="235"/>
      <c r="BC699" s="235"/>
      <c r="BD699" s="235"/>
      <c r="BE699" s="235"/>
      <c r="BF699" s="235"/>
    </row>
    <row r="700" spans="1:58" ht="15.75" customHeight="1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  <c r="AA700" s="114"/>
      <c r="AB700" s="114"/>
      <c r="AC700" s="114"/>
      <c r="AD700" s="114"/>
      <c r="AE700" s="235"/>
      <c r="AF700" s="235"/>
      <c r="AG700" s="235"/>
      <c r="AH700" s="235"/>
      <c r="AI700" s="235"/>
      <c r="AJ700" s="235"/>
      <c r="AK700" s="235"/>
      <c r="AL700" s="235"/>
      <c r="AM700" s="235"/>
      <c r="AN700" s="235"/>
      <c r="AO700" s="235"/>
      <c r="AP700" s="235"/>
      <c r="AQ700" s="235"/>
      <c r="AR700" s="235"/>
      <c r="AS700" s="235"/>
      <c r="AT700" s="235"/>
      <c r="AU700" s="235"/>
      <c r="AV700" s="235"/>
      <c r="AW700" s="235"/>
      <c r="AX700" s="235"/>
      <c r="AY700" s="235"/>
      <c r="AZ700" s="235"/>
      <c r="BA700" s="235"/>
      <c r="BB700" s="235"/>
      <c r="BC700" s="235"/>
      <c r="BD700" s="235"/>
      <c r="BE700" s="235"/>
      <c r="BF700" s="235"/>
    </row>
    <row r="701" spans="1:58" ht="15.75" customHeight="1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235"/>
      <c r="AF701" s="235"/>
      <c r="AG701" s="235"/>
      <c r="AH701" s="235"/>
      <c r="AI701" s="235"/>
      <c r="AJ701" s="235"/>
      <c r="AK701" s="235"/>
      <c r="AL701" s="235"/>
      <c r="AM701" s="235"/>
      <c r="AN701" s="235"/>
      <c r="AO701" s="235"/>
      <c r="AP701" s="235"/>
      <c r="AQ701" s="235"/>
      <c r="AR701" s="235"/>
      <c r="AS701" s="235"/>
      <c r="AT701" s="235"/>
      <c r="AU701" s="235"/>
      <c r="AV701" s="235"/>
      <c r="AW701" s="235"/>
      <c r="AX701" s="235"/>
      <c r="AY701" s="235"/>
      <c r="AZ701" s="235"/>
      <c r="BA701" s="235"/>
      <c r="BB701" s="235"/>
      <c r="BC701" s="235"/>
      <c r="BD701" s="235"/>
      <c r="BE701" s="235"/>
      <c r="BF701" s="235"/>
    </row>
    <row r="702" spans="1:58" ht="15.75" customHeight="1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235"/>
      <c r="AF702" s="235"/>
      <c r="AG702" s="235"/>
      <c r="AH702" s="235"/>
      <c r="AI702" s="235"/>
      <c r="AJ702" s="235"/>
      <c r="AK702" s="235"/>
      <c r="AL702" s="235"/>
      <c r="AM702" s="235"/>
      <c r="AN702" s="235"/>
      <c r="AO702" s="235"/>
      <c r="AP702" s="235"/>
      <c r="AQ702" s="235"/>
      <c r="AR702" s="235"/>
      <c r="AS702" s="235"/>
      <c r="AT702" s="235"/>
      <c r="AU702" s="235"/>
      <c r="AV702" s="235"/>
      <c r="AW702" s="235"/>
      <c r="AX702" s="235"/>
      <c r="AY702" s="235"/>
      <c r="AZ702" s="235"/>
      <c r="BA702" s="235"/>
      <c r="BB702" s="235"/>
      <c r="BC702" s="235"/>
      <c r="BD702" s="235"/>
      <c r="BE702" s="235"/>
      <c r="BF702" s="235"/>
    </row>
    <row r="703" spans="1:58" ht="15.75" customHeight="1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  <c r="AA703" s="114"/>
      <c r="AB703" s="114"/>
      <c r="AC703" s="114"/>
      <c r="AD703" s="114"/>
      <c r="AE703" s="235"/>
      <c r="AF703" s="235"/>
      <c r="AG703" s="235"/>
      <c r="AH703" s="235"/>
      <c r="AI703" s="235"/>
      <c r="AJ703" s="235"/>
      <c r="AK703" s="235"/>
      <c r="AL703" s="235"/>
      <c r="AM703" s="235"/>
      <c r="AN703" s="235"/>
      <c r="AO703" s="235"/>
      <c r="AP703" s="235"/>
      <c r="AQ703" s="235"/>
      <c r="AR703" s="235"/>
      <c r="AS703" s="235"/>
      <c r="AT703" s="235"/>
      <c r="AU703" s="235"/>
      <c r="AV703" s="235"/>
      <c r="AW703" s="235"/>
      <c r="AX703" s="235"/>
      <c r="AY703" s="235"/>
      <c r="AZ703" s="235"/>
      <c r="BA703" s="235"/>
      <c r="BB703" s="235"/>
      <c r="BC703" s="235"/>
      <c r="BD703" s="235"/>
      <c r="BE703" s="235"/>
      <c r="BF703" s="235"/>
    </row>
    <row r="704" spans="1:58" ht="15.75" customHeight="1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  <c r="AA704" s="114"/>
      <c r="AB704" s="114"/>
      <c r="AC704" s="114"/>
      <c r="AD704" s="114"/>
      <c r="AE704" s="235"/>
      <c r="AF704" s="235"/>
      <c r="AG704" s="235"/>
      <c r="AH704" s="235"/>
      <c r="AI704" s="235"/>
      <c r="AJ704" s="235"/>
      <c r="AK704" s="235"/>
      <c r="AL704" s="235"/>
      <c r="AM704" s="235"/>
      <c r="AN704" s="235"/>
      <c r="AO704" s="235"/>
      <c r="AP704" s="235"/>
      <c r="AQ704" s="235"/>
      <c r="AR704" s="235"/>
      <c r="AS704" s="235"/>
      <c r="AT704" s="235"/>
      <c r="AU704" s="235"/>
      <c r="AV704" s="235"/>
      <c r="AW704" s="235"/>
      <c r="AX704" s="235"/>
      <c r="AY704" s="235"/>
      <c r="AZ704" s="235"/>
      <c r="BA704" s="235"/>
      <c r="BB704" s="235"/>
      <c r="BC704" s="235"/>
      <c r="BD704" s="235"/>
      <c r="BE704" s="235"/>
      <c r="BF704" s="235"/>
    </row>
    <row r="705" spans="1:58" ht="15.75" customHeight="1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235"/>
      <c r="AF705" s="235"/>
      <c r="AG705" s="235"/>
      <c r="AH705" s="235"/>
      <c r="AI705" s="235"/>
      <c r="AJ705" s="235"/>
      <c r="AK705" s="235"/>
      <c r="AL705" s="235"/>
      <c r="AM705" s="235"/>
      <c r="AN705" s="235"/>
      <c r="AO705" s="235"/>
      <c r="AP705" s="235"/>
      <c r="AQ705" s="235"/>
      <c r="AR705" s="235"/>
      <c r="AS705" s="235"/>
      <c r="AT705" s="235"/>
      <c r="AU705" s="235"/>
      <c r="AV705" s="235"/>
      <c r="AW705" s="235"/>
      <c r="AX705" s="235"/>
      <c r="AY705" s="235"/>
      <c r="AZ705" s="235"/>
      <c r="BA705" s="235"/>
      <c r="BB705" s="235"/>
      <c r="BC705" s="235"/>
      <c r="BD705" s="235"/>
      <c r="BE705" s="235"/>
      <c r="BF705" s="235"/>
    </row>
    <row r="706" spans="1:58" ht="15.75" customHeight="1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235"/>
      <c r="AF706" s="235"/>
      <c r="AG706" s="235"/>
      <c r="AH706" s="235"/>
      <c r="AI706" s="235"/>
      <c r="AJ706" s="235"/>
      <c r="AK706" s="235"/>
      <c r="AL706" s="235"/>
      <c r="AM706" s="235"/>
      <c r="AN706" s="235"/>
      <c r="AO706" s="235"/>
      <c r="AP706" s="235"/>
      <c r="AQ706" s="235"/>
      <c r="AR706" s="235"/>
      <c r="AS706" s="235"/>
      <c r="AT706" s="235"/>
      <c r="AU706" s="235"/>
      <c r="AV706" s="235"/>
      <c r="AW706" s="235"/>
      <c r="AX706" s="235"/>
      <c r="AY706" s="235"/>
      <c r="AZ706" s="235"/>
      <c r="BA706" s="235"/>
      <c r="BB706" s="235"/>
      <c r="BC706" s="235"/>
      <c r="BD706" s="235"/>
      <c r="BE706" s="235"/>
      <c r="BF706" s="235"/>
    </row>
    <row r="707" spans="1:58" ht="15.75" customHeight="1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  <c r="AA707" s="114"/>
      <c r="AB707" s="114"/>
      <c r="AC707" s="114"/>
      <c r="AD707" s="114"/>
      <c r="AE707" s="235"/>
      <c r="AF707" s="235"/>
      <c r="AG707" s="235"/>
      <c r="AH707" s="235"/>
      <c r="AI707" s="235"/>
      <c r="AJ707" s="235"/>
      <c r="AK707" s="235"/>
      <c r="AL707" s="235"/>
      <c r="AM707" s="235"/>
      <c r="AN707" s="235"/>
      <c r="AO707" s="235"/>
      <c r="AP707" s="235"/>
      <c r="AQ707" s="235"/>
      <c r="AR707" s="235"/>
      <c r="AS707" s="235"/>
      <c r="AT707" s="235"/>
      <c r="AU707" s="235"/>
      <c r="AV707" s="235"/>
      <c r="AW707" s="235"/>
      <c r="AX707" s="235"/>
      <c r="AY707" s="235"/>
      <c r="AZ707" s="235"/>
      <c r="BA707" s="235"/>
      <c r="BB707" s="235"/>
      <c r="BC707" s="235"/>
      <c r="BD707" s="235"/>
      <c r="BE707" s="235"/>
      <c r="BF707" s="235"/>
    </row>
    <row r="708" spans="1:58" ht="15.75" customHeight="1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235"/>
      <c r="AF708" s="235"/>
      <c r="AG708" s="235"/>
      <c r="AH708" s="235"/>
      <c r="AI708" s="235"/>
      <c r="AJ708" s="235"/>
      <c r="AK708" s="235"/>
      <c r="AL708" s="235"/>
      <c r="AM708" s="235"/>
      <c r="AN708" s="235"/>
      <c r="AO708" s="235"/>
      <c r="AP708" s="235"/>
      <c r="AQ708" s="235"/>
      <c r="AR708" s="235"/>
      <c r="AS708" s="235"/>
      <c r="AT708" s="235"/>
      <c r="AU708" s="235"/>
      <c r="AV708" s="235"/>
      <c r="AW708" s="235"/>
      <c r="AX708" s="235"/>
      <c r="AY708" s="235"/>
      <c r="AZ708" s="235"/>
      <c r="BA708" s="235"/>
      <c r="BB708" s="235"/>
      <c r="BC708" s="235"/>
      <c r="BD708" s="235"/>
      <c r="BE708" s="235"/>
      <c r="BF708" s="235"/>
    </row>
    <row r="709" spans="1:58" ht="15.75" customHeight="1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235"/>
      <c r="AF709" s="235"/>
      <c r="AG709" s="235"/>
      <c r="AH709" s="235"/>
      <c r="AI709" s="235"/>
      <c r="AJ709" s="235"/>
      <c r="AK709" s="235"/>
      <c r="AL709" s="235"/>
      <c r="AM709" s="235"/>
      <c r="AN709" s="235"/>
      <c r="AO709" s="235"/>
      <c r="AP709" s="235"/>
      <c r="AQ709" s="235"/>
      <c r="AR709" s="235"/>
      <c r="AS709" s="235"/>
      <c r="AT709" s="235"/>
      <c r="AU709" s="235"/>
      <c r="AV709" s="235"/>
      <c r="AW709" s="235"/>
      <c r="AX709" s="235"/>
      <c r="AY709" s="235"/>
      <c r="AZ709" s="235"/>
      <c r="BA709" s="235"/>
      <c r="BB709" s="235"/>
      <c r="BC709" s="235"/>
      <c r="BD709" s="235"/>
      <c r="BE709" s="235"/>
      <c r="BF709" s="235"/>
    </row>
    <row r="710" spans="1:58" ht="15.75" customHeight="1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235"/>
      <c r="AF710" s="235"/>
      <c r="AG710" s="235"/>
      <c r="AH710" s="235"/>
      <c r="AI710" s="235"/>
      <c r="AJ710" s="235"/>
      <c r="AK710" s="235"/>
      <c r="AL710" s="235"/>
      <c r="AM710" s="235"/>
      <c r="AN710" s="235"/>
      <c r="AO710" s="235"/>
      <c r="AP710" s="235"/>
      <c r="AQ710" s="235"/>
      <c r="AR710" s="235"/>
      <c r="AS710" s="235"/>
      <c r="AT710" s="235"/>
      <c r="AU710" s="235"/>
      <c r="AV710" s="235"/>
      <c r="AW710" s="235"/>
      <c r="AX710" s="235"/>
      <c r="AY710" s="235"/>
      <c r="AZ710" s="235"/>
      <c r="BA710" s="235"/>
      <c r="BB710" s="235"/>
      <c r="BC710" s="235"/>
      <c r="BD710" s="235"/>
      <c r="BE710" s="235"/>
      <c r="BF710" s="235"/>
    </row>
    <row r="711" spans="1:58" ht="15.75" customHeight="1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  <c r="AA711" s="114"/>
      <c r="AB711" s="114"/>
      <c r="AC711" s="114"/>
      <c r="AD711" s="114"/>
      <c r="AE711" s="235"/>
      <c r="AF711" s="235"/>
      <c r="AG711" s="235"/>
      <c r="AH711" s="235"/>
      <c r="AI711" s="235"/>
      <c r="AJ711" s="235"/>
      <c r="AK711" s="235"/>
      <c r="AL711" s="235"/>
      <c r="AM711" s="235"/>
      <c r="AN711" s="235"/>
      <c r="AO711" s="235"/>
      <c r="AP711" s="235"/>
      <c r="AQ711" s="235"/>
      <c r="AR711" s="235"/>
      <c r="AS711" s="235"/>
      <c r="AT711" s="235"/>
      <c r="AU711" s="235"/>
      <c r="AV711" s="235"/>
      <c r="AW711" s="235"/>
      <c r="AX711" s="235"/>
      <c r="AY711" s="235"/>
      <c r="AZ711" s="235"/>
      <c r="BA711" s="235"/>
      <c r="BB711" s="235"/>
      <c r="BC711" s="235"/>
      <c r="BD711" s="235"/>
      <c r="BE711" s="235"/>
      <c r="BF711" s="235"/>
    </row>
    <row r="712" spans="1:58" ht="15.75" customHeight="1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  <c r="AA712" s="114"/>
      <c r="AB712" s="114"/>
      <c r="AC712" s="114"/>
      <c r="AD712" s="114"/>
      <c r="AE712" s="235"/>
      <c r="AF712" s="235"/>
      <c r="AG712" s="235"/>
      <c r="AH712" s="235"/>
      <c r="AI712" s="235"/>
      <c r="AJ712" s="235"/>
      <c r="AK712" s="235"/>
      <c r="AL712" s="235"/>
      <c r="AM712" s="235"/>
      <c r="AN712" s="235"/>
      <c r="AO712" s="235"/>
      <c r="AP712" s="235"/>
      <c r="AQ712" s="235"/>
      <c r="AR712" s="235"/>
      <c r="AS712" s="235"/>
      <c r="AT712" s="235"/>
      <c r="AU712" s="235"/>
      <c r="AV712" s="235"/>
      <c r="AW712" s="235"/>
      <c r="AX712" s="235"/>
      <c r="AY712" s="235"/>
      <c r="AZ712" s="235"/>
      <c r="BA712" s="235"/>
      <c r="BB712" s="235"/>
      <c r="BC712" s="235"/>
      <c r="BD712" s="235"/>
      <c r="BE712" s="235"/>
      <c r="BF712" s="235"/>
    </row>
    <row r="713" spans="1:58" ht="15.75" customHeight="1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235"/>
      <c r="AF713" s="235"/>
      <c r="AG713" s="235"/>
      <c r="AH713" s="235"/>
      <c r="AI713" s="235"/>
      <c r="AJ713" s="235"/>
      <c r="AK713" s="235"/>
      <c r="AL713" s="235"/>
      <c r="AM713" s="235"/>
      <c r="AN713" s="235"/>
      <c r="AO713" s="235"/>
      <c r="AP713" s="235"/>
      <c r="AQ713" s="235"/>
      <c r="AR713" s="235"/>
      <c r="AS713" s="235"/>
      <c r="AT713" s="235"/>
      <c r="AU713" s="235"/>
      <c r="AV713" s="235"/>
      <c r="AW713" s="235"/>
      <c r="AX713" s="235"/>
      <c r="AY713" s="235"/>
      <c r="AZ713" s="235"/>
      <c r="BA713" s="235"/>
      <c r="BB713" s="235"/>
      <c r="BC713" s="235"/>
      <c r="BD713" s="235"/>
      <c r="BE713" s="235"/>
      <c r="BF713" s="235"/>
    </row>
    <row r="714" spans="1:58" ht="15.75" customHeight="1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235"/>
      <c r="AF714" s="235"/>
      <c r="AG714" s="235"/>
      <c r="AH714" s="235"/>
      <c r="AI714" s="235"/>
      <c r="AJ714" s="235"/>
      <c r="AK714" s="235"/>
      <c r="AL714" s="235"/>
      <c r="AM714" s="235"/>
      <c r="AN714" s="235"/>
      <c r="AO714" s="235"/>
      <c r="AP714" s="235"/>
      <c r="AQ714" s="235"/>
      <c r="AR714" s="235"/>
      <c r="AS714" s="235"/>
      <c r="AT714" s="235"/>
      <c r="AU714" s="235"/>
      <c r="AV714" s="235"/>
      <c r="AW714" s="235"/>
      <c r="AX714" s="235"/>
      <c r="AY714" s="235"/>
      <c r="AZ714" s="235"/>
      <c r="BA714" s="235"/>
      <c r="BB714" s="235"/>
      <c r="BC714" s="235"/>
      <c r="BD714" s="235"/>
      <c r="BE714" s="235"/>
      <c r="BF714" s="235"/>
    </row>
    <row r="715" spans="1:58" ht="15.75" customHeight="1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  <c r="AA715" s="114"/>
      <c r="AB715" s="114"/>
      <c r="AC715" s="114"/>
      <c r="AD715" s="114"/>
      <c r="AE715" s="235"/>
      <c r="AF715" s="235"/>
      <c r="AG715" s="235"/>
      <c r="AH715" s="235"/>
      <c r="AI715" s="235"/>
      <c r="AJ715" s="235"/>
      <c r="AK715" s="235"/>
      <c r="AL715" s="235"/>
      <c r="AM715" s="235"/>
      <c r="AN715" s="235"/>
      <c r="AO715" s="235"/>
      <c r="AP715" s="235"/>
      <c r="AQ715" s="235"/>
      <c r="AR715" s="235"/>
      <c r="AS715" s="235"/>
      <c r="AT715" s="235"/>
      <c r="AU715" s="235"/>
      <c r="AV715" s="235"/>
      <c r="AW715" s="235"/>
      <c r="AX715" s="235"/>
      <c r="AY715" s="235"/>
      <c r="AZ715" s="235"/>
      <c r="BA715" s="235"/>
      <c r="BB715" s="235"/>
      <c r="BC715" s="235"/>
      <c r="BD715" s="235"/>
      <c r="BE715" s="235"/>
      <c r="BF715" s="235"/>
    </row>
    <row r="716" spans="1:58" ht="15.75" customHeight="1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  <c r="AA716" s="114"/>
      <c r="AB716" s="114"/>
      <c r="AC716" s="114"/>
      <c r="AD716" s="114"/>
      <c r="AE716" s="235"/>
      <c r="AF716" s="235"/>
      <c r="AG716" s="235"/>
      <c r="AH716" s="235"/>
      <c r="AI716" s="235"/>
      <c r="AJ716" s="235"/>
      <c r="AK716" s="235"/>
      <c r="AL716" s="235"/>
      <c r="AM716" s="235"/>
      <c r="AN716" s="235"/>
      <c r="AO716" s="235"/>
      <c r="AP716" s="235"/>
      <c r="AQ716" s="235"/>
      <c r="AR716" s="235"/>
      <c r="AS716" s="235"/>
      <c r="AT716" s="235"/>
      <c r="AU716" s="235"/>
      <c r="AV716" s="235"/>
      <c r="AW716" s="235"/>
      <c r="AX716" s="235"/>
      <c r="AY716" s="235"/>
      <c r="AZ716" s="235"/>
      <c r="BA716" s="235"/>
      <c r="BB716" s="235"/>
      <c r="BC716" s="235"/>
      <c r="BD716" s="235"/>
      <c r="BE716" s="235"/>
      <c r="BF716" s="235"/>
    </row>
    <row r="717" spans="1:58" ht="15.75" customHeight="1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235"/>
      <c r="AF717" s="235"/>
      <c r="AG717" s="235"/>
      <c r="AH717" s="235"/>
      <c r="AI717" s="235"/>
      <c r="AJ717" s="235"/>
      <c r="AK717" s="235"/>
      <c r="AL717" s="235"/>
      <c r="AM717" s="235"/>
      <c r="AN717" s="235"/>
      <c r="AO717" s="235"/>
      <c r="AP717" s="235"/>
      <c r="AQ717" s="235"/>
      <c r="AR717" s="235"/>
      <c r="AS717" s="235"/>
      <c r="AT717" s="235"/>
      <c r="AU717" s="235"/>
      <c r="AV717" s="235"/>
      <c r="AW717" s="235"/>
      <c r="AX717" s="235"/>
      <c r="AY717" s="235"/>
      <c r="AZ717" s="235"/>
      <c r="BA717" s="235"/>
      <c r="BB717" s="235"/>
      <c r="BC717" s="235"/>
      <c r="BD717" s="235"/>
      <c r="BE717" s="235"/>
      <c r="BF717" s="235"/>
    </row>
    <row r="718" spans="1:58" ht="15.75" customHeight="1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235"/>
      <c r="AF718" s="235"/>
      <c r="AG718" s="235"/>
      <c r="AH718" s="235"/>
      <c r="AI718" s="235"/>
      <c r="AJ718" s="235"/>
      <c r="AK718" s="235"/>
      <c r="AL718" s="235"/>
      <c r="AM718" s="235"/>
      <c r="AN718" s="235"/>
      <c r="AO718" s="235"/>
      <c r="AP718" s="235"/>
      <c r="AQ718" s="235"/>
      <c r="AR718" s="235"/>
      <c r="AS718" s="235"/>
      <c r="AT718" s="235"/>
      <c r="AU718" s="235"/>
      <c r="AV718" s="235"/>
      <c r="AW718" s="235"/>
      <c r="AX718" s="235"/>
      <c r="AY718" s="235"/>
      <c r="AZ718" s="235"/>
      <c r="BA718" s="235"/>
      <c r="BB718" s="235"/>
      <c r="BC718" s="235"/>
      <c r="BD718" s="235"/>
      <c r="BE718" s="235"/>
      <c r="BF718" s="235"/>
    </row>
    <row r="719" spans="1:58" ht="15.75" customHeight="1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  <c r="AA719" s="114"/>
      <c r="AB719" s="114"/>
      <c r="AC719" s="114"/>
      <c r="AD719" s="114"/>
      <c r="AE719" s="235"/>
      <c r="AF719" s="235"/>
      <c r="AG719" s="235"/>
      <c r="AH719" s="235"/>
      <c r="AI719" s="235"/>
      <c r="AJ719" s="235"/>
      <c r="AK719" s="235"/>
      <c r="AL719" s="235"/>
      <c r="AM719" s="235"/>
      <c r="AN719" s="235"/>
      <c r="AO719" s="235"/>
      <c r="AP719" s="235"/>
      <c r="AQ719" s="235"/>
      <c r="AR719" s="235"/>
      <c r="AS719" s="235"/>
      <c r="AT719" s="235"/>
      <c r="AU719" s="235"/>
      <c r="AV719" s="235"/>
      <c r="AW719" s="235"/>
      <c r="AX719" s="235"/>
      <c r="AY719" s="235"/>
      <c r="AZ719" s="235"/>
      <c r="BA719" s="235"/>
      <c r="BB719" s="235"/>
      <c r="BC719" s="235"/>
      <c r="BD719" s="235"/>
      <c r="BE719" s="235"/>
      <c r="BF719" s="235"/>
    </row>
    <row r="720" spans="1:58" ht="15.75" customHeight="1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  <c r="AA720" s="114"/>
      <c r="AB720" s="114"/>
      <c r="AC720" s="114"/>
      <c r="AD720" s="114"/>
      <c r="AE720" s="235"/>
      <c r="AF720" s="235"/>
      <c r="AG720" s="235"/>
      <c r="AH720" s="235"/>
      <c r="AI720" s="235"/>
      <c r="AJ720" s="235"/>
      <c r="AK720" s="235"/>
      <c r="AL720" s="235"/>
      <c r="AM720" s="235"/>
      <c r="AN720" s="235"/>
      <c r="AO720" s="235"/>
      <c r="AP720" s="235"/>
      <c r="AQ720" s="235"/>
      <c r="AR720" s="235"/>
      <c r="AS720" s="235"/>
      <c r="AT720" s="235"/>
      <c r="AU720" s="235"/>
      <c r="AV720" s="235"/>
      <c r="AW720" s="235"/>
      <c r="AX720" s="235"/>
      <c r="AY720" s="235"/>
      <c r="AZ720" s="235"/>
      <c r="BA720" s="235"/>
      <c r="BB720" s="235"/>
      <c r="BC720" s="235"/>
      <c r="BD720" s="235"/>
      <c r="BE720" s="235"/>
      <c r="BF720" s="235"/>
    </row>
    <row r="721" spans="1:58" ht="15.75" customHeight="1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235"/>
      <c r="AF721" s="235"/>
      <c r="AG721" s="235"/>
      <c r="AH721" s="235"/>
      <c r="AI721" s="235"/>
      <c r="AJ721" s="235"/>
      <c r="AK721" s="235"/>
      <c r="AL721" s="235"/>
      <c r="AM721" s="235"/>
      <c r="AN721" s="235"/>
      <c r="AO721" s="235"/>
      <c r="AP721" s="235"/>
      <c r="AQ721" s="235"/>
      <c r="AR721" s="235"/>
      <c r="AS721" s="235"/>
      <c r="AT721" s="235"/>
      <c r="AU721" s="235"/>
      <c r="AV721" s="235"/>
      <c r="AW721" s="235"/>
      <c r="AX721" s="235"/>
      <c r="AY721" s="235"/>
      <c r="AZ721" s="235"/>
      <c r="BA721" s="235"/>
      <c r="BB721" s="235"/>
      <c r="BC721" s="235"/>
      <c r="BD721" s="235"/>
      <c r="BE721" s="235"/>
      <c r="BF721" s="235"/>
    </row>
    <row r="722" spans="1:58" ht="15.75" customHeight="1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235"/>
      <c r="AF722" s="235"/>
      <c r="AG722" s="235"/>
      <c r="AH722" s="235"/>
      <c r="AI722" s="235"/>
      <c r="AJ722" s="235"/>
      <c r="AK722" s="235"/>
      <c r="AL722" s="235"/>
      <c r="AM722" s="235"/>
      <c r="AN722" s="235"/>
      <c r="AO722" s="235"/>
      <c r="AP722" s="235"/>
      <c r="AQ722" s="235"/>
      <c r="AR722" s="235"/>
      <c r="AS722" s="235"/>
      <c r="AT722" s="235"/>
      <c r="AU722" s="235"/>
      <c r="AV722" s="235"/>
      <c r="AW722" s="235"/>
      <c r="AX722" s="235"/>
      <c r="AY722" s="235"/>
      <c r="AZ722" s="235"/>
      <c r="BA722" s="235"/>
      <c r="BB722" s="235"/>
      <c r="BC722" s="235"/>
      <c r="BD722" s="235"/>
      <c r="BE722" s="235"/>
      <c r="BF722" s="235"/>
    </row>
    <row r="723" spans="1:58" ht="15.75" customHeight="1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  <c r="AA723" s="114"/>
      <c r="AB723" s="114"/>
      <c r="AC723" s="114"/>
      <c r="AD723" s="114"/>
      <c r="AE723" s="235"/>
      <c r="AF723" s="235"/>
      <c r="AG723" s="235"/>
      <c r="AH723" s="235"/>
      <c r="AI723" s="235"/>
      <c r="AJ723" s="235"/>
      <c r="AK723" s="235"/>
      <c r="AL723" s="235"/>
      <c r="AM723" s="235"/>
      <c r="AN723" s="235"/>
      <c r="AO723" s="235"/>
      <c r="AP723" s="235"/>
      <c r="AQ723" s="235"/>
      <c r="AR723" s="235"/>
      <c r="AS723" s="235"/>
      <c r="AT723" s="235"/>
      <c r="AU723" s="235"/>
      <c r="AV723" s="235"/>
      <c r="AW723" s="235"/>
      <c r="AX723" s="235"/>
      <c r="AY723" s="235"/>
      <c r="AZ723" s="235"/>
      <c r="BA723" s="235"/>
      <c r="BB723" s="235"/>
      <c r="BC723" s="235"/>
      <c r="BD723" s="235"/>
      <c r="BE723" s="235"/>
      <c r="BF723" s="235"/>
    </row>
    <row r="724" spans="1:58" ht="15.75" customHeight="1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  <c r="AA724" s="114"/>
      <c r="AB724" s="114"/>
      <c r="AC724" s="114"/>
      <c r="AD724" s="114"/>
      <c r="AE724" s="235"/>
      <c r="AF724" s="235"/>
      <c r="AG724" s="235"/>
      <c r="AH724" s="235"/>
      <c r="AI724" s="235"/>
      <c r="AJ724" s="235"/>
      <c r="AK724" s="235"/>
      <c r="AL724" s="235"/>
      <c r="AM724" s="235"/>
      <c r="AN724" s="235"/>
      <c r="AO724" s="235"/>
      <c r="AP724" s="235"/>
      <c r="AQ724" s="235"/>
      <c r="AR724" s="235"/>
      <c r="AS724" s="235"/>
      <c r="AT724" s="235"/>
      <c r="AU724" s="235"/>
      <c r="AV724" s="235"/>
      <c r="AW724" s="235"/>
      <c r="AX724" s="235"/>
      <c r="AY724" s="235"/>
      <c r="AZ724" s="235"/>
      <c r="BA724" s="235"/>
      <c r="BB724" s="235"/>
      <c r="BC724" s="235"/>
      <c r="BD724" s="235"/>
      <c r="BE724" s="235"/>
      <c r="BF724" s="235"/>
    </row>
    <row r="725" spans="1:58" ht="15.75" customHeight="1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235"/>
      <c r="AF725" s="235"/>
      <c r="AG725" s="235"/>
      <c r="AH725" s="235"/>
      <c r="AI725" s="235"/>
      <c r="AJ725" s="235"/>
      <c r="AK725" s="235"/>
      <c r="AL725" s="235"/>
      <c r="AM725" s="235"/>
      <c r="AN725" s="235"/>
      <c r="AO725" s="235"/>
      <c r="AP725" s="235"/>
      <c r="AQ725" s="235"/>
      <c r="AR725" s="235"/>
      <c r="AS725" s="235"/>
      <c r="AT725" s="235"/>
      <c r="AU725" s="235"/>
      <c r="AV725" s="235"/>
      <c r="AW725" s="235"/>
      <c r="AX725" s="235"/>
      <c r="AY725" s="235"/>
      <c r="AZ725" s="235"/>
      <c r="BA725" s="235"/>
      <c r="BB725" s="235"/>
      <c r="BC725" s="235"/>
      <c r="BD725" s="235"/>
      <c r="BE725" s="235"/>
      <c r="BF725" s="235"/>
    </row>
    <row r="726" spans="1:58" ht="15.75" customHeight="1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235"/>
      <c r="AF726" s="235"/>
      <c r="AG726" s="235"/>
      <c r="AH726" s="235"/>
      <c r="AI726" s="235"/>
      <c r="AJ726" s="235"/>
      <c r="AK726" s="235"/>
      <c r="AL726" s="235"/>
      <c r="AM726" s="235"/>
      <c r="AN726" s="235"/>
      <c r="AO726" s="235"/>
      <c r="AP726" s="235"/>
      <c r="AQ726" s="235"/>
      <c r="AR726" s="235"/>
      <c r="AS726" s="235"/>
      <c r="AT726" s="235"/>
      <c r="AU726" s="235"/>
      <c r="AV726" s="235"/>
      <c r="AW726" s="235"/>
      <c r="AX726" s="235"/>
      <c r="AY726" s="235"/>
      <c r="AZ726" s="235"/>
      <c r="BA726" s="235"/>
      <c r="BB726" s="235"/>
      <c r="BC726" s="235"/>
      <c r="BD726" s="235"/>
      <c r="BE726" s="235"/>
      <c r="BF726" s="235"/>
    </row>
    <row r="727" spans="1:58" ht="15.75" customHeight="1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235"/>
      <c r="AF727" s="235"/>
      <c r="AG727" s="235"/>
      <c r="AH727" s="235"/>
      <c r="AI727" s="235"/>
      <c r="AJ727" s="235"/>
      <c r="AK727" s="235"/>
      <c r="AL727" s="235"/>
      <c r="AM727" s="235"/>
      <c r="AN727" s="235"/>
      <c r="AO727" s="235"/>
      <c r="AP727" s="235"/>
      <c r="AQ727" s="235"/>
      <c r="AR727" s="235"/>
      <c r="AS727" s="235"/>
      <c r="AT727" s="235"/>
      <c r="AU727" s="235"/>
      <c r="AV727" s="235"/>
      <c r="AW727" s="235"/>
      <c r="AX727" s="235"/>
      <c r="AY727" s="235"/>
      <c r="AZ727" s="235"/>
      <c r="BA727" s="235"/>
      <c r="BB727" s="235"/>
      <c r="BC727" s="235"/>
      <c r="BD727" s="235"/>
      <c r="BE727" s="235"/>
      <c r="BF727" s="235"/>
    </row>
    <row r="728" spans="1:58" ht="15.75" customHeight="1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  <c r="AA728" s="114"/>
      <c r="AB728" s="114"/>
      <c r="AC728" s="114"/>
      <c r="AD728" s="114"/>
      <c r="AE728" s="235"/>
      <c r="AF728" s="235"/>
      <c r="AG728" s="235"/>
      <c r="AH728" s="235"/>
      <c r="AI728" s="235"/>
      <c r="AJ728" s="235"/>
      <c r="AK728" s="235"/>
      <c r="AL728" s="235"/>
      <c r="AM728" s="235"/>
      <c r="AN728" s="235"/>
      <c r="AO728" s="235"/>
      <c r="AP728" s="235"/>
      <c r="AQ728" s="235"/>
      <c r="AR728" s="235"/>
      <c r="AS728" s="235"/>
      <c r="AT728" s="235"/>
      <c r="AU728" s="235"/>
      <c r="AV728" s="235"/>
      <c r="AW728" s="235"/>
      <c r="AX728" s="235"/>
      <c r="AY728" s="235"/>
      <c r="AZ728" s="235"/>
      <c r="BA728" s="235"/>
      <c r="BB728" s="235"/>
      <c r="BC728" s="235"/>
      <c r="BD728" s="235"/>
      <c r="BE728" s="235"/>
      <c r="BF728" s="235"/>
    </row>
    <row r="729" spans="1:58" ht="15.75" customHeight="1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235"/>
      <c r="AF729" s="235"/>
      <c r="AG729" s="235"/>
      <c r="AH729" s="235"/>
      <c r="AI729" s="235"/>
      <c r="AJ729" s="235"/>
      <c r="AK729" s="235"/>
      <c r="AL729" s="235"/>
      <c r="AM729" s="235"/>
      <c r="AN729" s="235"/>
      <c r="AO729" s="235"/>
      <c r="AP729" s="235"/>
      <c r="AQ729" s="235"/>
      <c r="AR729" s="235"/>
      <c r="AS729" s="235"/>
      <c r="AT729" s="235"/>
      <c r="AU729" s="235"/>
      <c r="AV729" s="235"/>
      <c r="AW729" s="235"/>
      <c r="AX729" s="235"/>
      <c r="AY729" s="235"/>
      <c r="AZ729" s="235"/>
      <c r="BA729" s="235"/>
      <c r="BB729" s="235"/>
      <c r="BC729" s="235"/>
      <c r="BD729" s="235"/>
      <c r="BE729" s="235"/>
      <c r="BF729" s="235"/>
    </row>
    <row r="730" spans="1:58" ht="15.75" customHeight="1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235"/>
      <c r="AF730" s="235"/>
      <c r="AG730" s="235"/>
      <c r="AH730" s="235"/>
      <c r="AI730" s="235"/>
      <c r="AJ730" s="235"/>
      <c r="AK730" s="235"/>
      <c r="AL730" s="235"/>
      <c r="AM730" s="235"/>
      <c r="AN730" s="235"/>
      <c r="AO730" s="235"/>
      <c r="AP730" s="235"/>
      <c r="AQ730" s="235"/>
      <c r="AR730" s="235"/>
      <c r="AS730" s="235"/>
      <c r="AT730" s="235"/>
      <c r="AU730" s="235"/>
      <c r="AV730" s="235"/>
      <c r="AW730" s="235"/>
      <c r="AX730" s="235"/>
      <c r="AY730" s="235"/>
      <c r="AZ730" s="235"/>
      <c r="BA730" s="235"/>
      <c r="BB730" s="235"/>
      <c r="BC730" s="235"/>
      <c r="BD730" s="235"/>
      <c r="BE730" s="235"/>
      <c r="BF730" s="235"/>
    </row>
    <row r="731" spans="1:58" ht="15.75" customHeight="1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  <c r="AA731" s="114"/>
      <c r="AB731" s="114"/>
      <c r="AC731" s="114"/>
      <c r="AD731" s="114"/>
      <c r="AE731" s="235"/>
      <c r="AF731" s="235"/>
      <c r="AG731" s="235"/>
      <c r="AH731" s="235"/>
      <c r="AI731" s="235"/>
      <c r="AJ731" s="235"/>
      <c r="AK731" s="235"/>
      <c r="AL731" s="235"/>
      <c r="AM731" s="235"/>
      <c r="AN731" s="235"/>
      <c r="AO731" s="235"/>
      <c r="AP731" s="235"/>
      <c r="AQ731" s="235"/>
      <c r="AR731" s="235"/>
      <c r="AS731" s="235"/>
      <c r="AT731" s="235"/>
      <c r="AU731" s="235"/>
      <c r="AV731" s="235"/>
      <c r="AW731" s="235"/>
      <c r="AX731" s="235"/>
      <c r="AY731" s="235"/>
      <c r="AZ731" s="235"/>
      <c r="BA731" s="235"/>
      <c r="BB731" s="235"/>
      <c r="BC731" s="235"/>
      <c r="BD731" s="235"/>
      <c r="BE731" s="235"/>
      <c r="BF731" s="235"/>
    </row>
    <row r="732" spans="1:58" ht="15.75" customHeight="1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  <c r="AA732" s="114"/>
      <c r="AB732" s="114"/>
      <c r="AC732" s="114"/>
      <c r="AD732" s="114"/>
      <c r="AE732" s="235"/>
      <c r="AF732" s="235"/>
      <c r="AG732" s="235"/>
      <c r="AH732" s="235"/>
      <c r="AI732" s="235"/>
      <c r="AJ732" s="235"/>
      <c r="AK732" s="235"/>
      <c r="AL732" s="235"/>
      <c r="AM732" s="235"/>
      <c r="AN732" s="235"/>
      <c r="AO732" s="235"/>
      <c r="AP732" s="235"/>
      <c r="AQ732" s="235"/>
      <c r="AR732" s="235"/>
      <c r="AS732" s="235"/>
      <c r="AT732" s="235"/>
      <c r="AU732" s="235"/>
      <c r="AV732" s="235"/>
      <c r="AW732" s="235"/>
      <c r="AX732" s="235"/>
      <c r="AY732" s="235"/>
      <c r="AZ732" s="235"/>
      <c r="BA732" s="235"/>
      <c r="BB732" s="235"/>
      <c r="BC732" s="235"/>
      <c r="BD732" s="235"/>
      <c r="BE732" s="235"/>
      <c r="BF732" s="235"/>
    </row>
    <row r="733" spans="1:58" ht="15.75" customHeight="1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235"/>
      <c r="AF733" s="235"/>
      <c r="AG733" s="235"/>
      <c r="AH733" s="235"/>
      <c r="AI733" s="235"/>
      <c r="AJ733" s="235"/>
      <c r="AK733" s="235"/>
      <c r="AL733" s="235"/>
      <c r="AM733" s="235"/>
      <c r="AN733" s="235"/>
      <c r="AO733" s="235"/>
      <c r="AP733" s="235"/>
      <c r="AQ733" s="235"/>
      <c r="AR733" s="235"/>
      <c r="AS733" s="235"/>
      <c r="AT733" s="235"/>
      <c r="AU733" s="235"/>
      <c r="AV733" s="235"/>
      <c r="AW733" s="235"/>
      <c r="AX733" s="235"/>
      <c r="AY733" s="235"/>
      <c r="AZ733" s="235"/>
      <c r="BA733" s="235"/>
      <c r="BB733" s="235"/>
      <c r="BC733" s="235"/>
      <c r="BD733" s="235"/>
      <c r="BE733" s="235"/>
      <c r="BF733" s="235"/>
    </row>
    <row r="734" spans="1:58" ht="15.75" customHeight="1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235"/>
      <c r="AF734" s="235"/>
      <c r="AG734" s="235"/>
      <c r="AH734" s="235"/>
      <c r="AI734" s="235"/>
      <c r="AJ734" s="235"/>
      <c r="AK734" s="235"/>
      <c r="AL734" s="235"/>
      <c r="AM734" s="235"/>
      <c r="AN734" s="235"/>
      <c r="AO734" s="235"/>
      <c r="AP734" s="235"/>
      <c r="AQ734" s="235"/>
      <c r="AR734" s="235"/>
      <c r="AS734" s="235"/>
      <c r="AT734" s="235"/>
      <c r="AU734" s="235"/>
      <c r="AV734" s="235"/>
      <c r="AW734" s="235"/>
      <c r="AX734" s="235"/>
      <c r="AY734" s="235"/>
      <c r="AZ734" s="235"/>
      <c r="BA734" s="235"/>
      <c r="BB734" s="235"/>
      <c r="BC734" s="235"/>
      <c r="BD734" s="235"/>
      <c r="BE734" s="235"/>
      <c r="BF734" s="235"/>
    </row>
    <row r="735" spans="1:58" ht="15.75" customHeight="1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235"/>
      <c r="AF735" s="235"/>
      <c r="AG735" s="235"/>
      <c r="AH735" s="235"/>
      <c r="AI735" s="235"/>
      <c r="AJ735" s="235"/>
      <c r="AK735" s="235"/>
      <c r="AL735" s="235"/>
      <c r="AM735" s="235"/>
      <c r="AN735" s="235"/>
      <c r="AO735" s="235"/>
      <c r="AP735" s="235"/>
      <c r="AQ735" s="235"/>
      <c r="AR735" s="235"/>
      <c r="AS735" s="235"/>
      <c r="AT735" s="235"/>
      <c r="AU735" s="235"/>
      <c r="AV735" s="235"/>
      <c r="AW735" s="235"/>
      <c r="AX735" s="235"/>
      <c r="AY735" s="235"/>
      <c r="AZ735" s="235"/>
      <c r="BA735" s="235"/>
      <c r="BB735" s="235"/>
      <c r="BC735" s="235"/>
      <c r="BD735" s="235"/>
      <c r="BE735" s="235"/>
      <c r="BF735" s="235"/>
    </row>
    <row r="736" spans="1:58" ht="15.75" customHeight="1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  <c r="AA736" s="114"/>
      <c r="AB736" s="114"/>
      <c r="AC736" s="114"/>
      <c r="AD736" s="114"/>
      <c r="AE736" s="235"/>
      <c r="AF736" s="235"/>
      <c r="AG736" s="235"/>
      <c r="AH736" s="235"/>
      <c r="AI736" s="235"/>
      <c r="AJ736" s="235"/>
      <c r="AK736" s="235"/>
      <c r="AL736" s="235"/>
      <c r="AM736" s="235"/>
      <c r="AN736" s="235"/>
      <c r="AO736" s="235"/>
      <c r="AP736" s="235"/>
      <c r="AQ736" s="235"/>
      <c r="AR736" s="235"/>
      <c r="AS736" s="235"/>
      <c r="AT736" s="235"/>
      <c r="AU736" s="235"/>
      <c r="AV736" s="235"/>
      <c r="AW736" s="235"/>
      <c r="AX736" s="235"/>
      <c r="AY736" s="235"/>
      <c r="AZ736" s="235"/>
      <c r="BA736" s="235"/>
      <c r="BB736" s="235"/>
      <c r="BC736" s="235"/>
      <c r="BD736" s="235"/>
      <c r="BE736" s="235"/>
      <c r="BF736" s="235"/>
    </row>
    <row r="737" spans="1:58" ht="15.75" customHeight="1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235"/>
      <c r="AF737" s="235"/>
      <c r="AG737" s="235"/>
      <c r="AH737" s="235"/>
      <c r="AI737" s="235"/>
      <c r="AJ737" s="235"/>
      <c r="AK737" s="235"/>
      <c r="AL737" s="235"/>
      <c r="AM737" s="235"/>
      <c r="AN737" s="235"/>
      <c r="AO737" s="235"/>
      <c r="AP737" s="235"/>
      <c r="AQ737" s="235"/>
      <c r="AR737" s="235"/>
      <c r="AS737" s="235"/>
      <c r="AT737" s="235"/>
      <c r="AU737" s="235"/>
      <c r="AV737" s="235"/>
      <c r="AW737" s="235"/>
      <c r="AX737" s="235"/>
      <c r="AY737" s="235"/>
      <c r="AZ737" s="235"/>
      <c r="BA737" s="235"/>
      <c r="BB737" s="235"/>
      <c r="BC737" s="235"/>
      <c r="BD737" s="235"/>
      <c r="BE737" s="235"/>
      <c r="BF737" s="235"/>
    </row>
    <row r="738" spans="1:58" ht="15.75" customHeight="1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235"/>
      <c r="AF738" s="235"/>
      <c r="AG738" s="235"/>
      <c r="AH738" s="235"/>
      <c r="AI738" s="235"/>
      <c r="AJ738" s="235"/>
      <c r="AK738" s="235"/>
      <c r="AL738" s="235"/>
      <c r="AM738" s="235"/>
      <c r="AN738" s="235"/>
      <c r="AO738" s="235"/>
      <c r="AP738" s="235"/>
      <c r="AQ738" s="235"/>
      <c r="AR738" s="235"/>
      <c r="AS738" s="235"/>
      <c r="AT738" s="235"/>
      <c r="AU738" s="235"/>
      <c r="AV738" s="235"/>
      <c r="AW738" s="235"/>
      <c r="AX738" s="235"/>
      <c r="AY738" s="235"/>
      <c r="AZ738" s="235"/>
      <c r="BA738" s="235"/>
      <c r="BB738" s="235"/>
      <c r="BC738" s="235"/>
      <c r="BD738" s="235"/>
      <c r="BE738" s="235"/>
      <c r="BF738" s="235"/>
    </row>
    <row r="739" spans="1:58" ht="15.75" customHeight="1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  <c r="AA739" s="114"/>
      <c r="AB739" s="114"/>
      <c r="AC739" s="114"/>
      <c r="AD739" s="114"/>
      <c r="AE739" s="235"/>
      <c r="AF739" s="235"/>
      <c r="AG739" s="235"/>
      <c r="AH739" s="235"/>
      <c r="AI739" s="235"/>
      <c r="AJ739" s="235"/>
      <c r="AK739" s="235"/>
      <c r="AL739" s="235"/>
      <c r="AM739" s="235"/>
      <c r="AN739" s="235"/>
      <c r="AO739" s="235"/>
      <c r="AP739" s="235"/>
      <c r="AQ739" s="235"/>
      <c r="AR739" s="235"/>
      <c r="AS739" s="235"/>
      <c r="AT739" s="235"/>
      <c r="AU739" s="235"/>
      <c r="AV739" s="235"/>
      <c r="AW739" s="235"/>
      <c r="AX739" s="235"/>
      <c r="AY739" s="235"/>
      <c r="AZ739" s="235"/>
      <c r="BA739" s="235"/>
      <c r="BB739" s="235"/>
      <c r="BC739" s="235"/>
      <c r="BD739" s="235"/>
      <c r="BE739" s="235"/>
      <c r="BF739" s="235"/>
    </row>
    <row r="740" spans="1:58" ht="15.75" customHeight="1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235"/>
      <c r="AF740" s="235"/>
      <c r="AG740" s="235"/>
      <c r="AH740" s="235"/>
      <c r="AI740" s="235"/>
      <c r="AJ740" s="235"/>
      <c r="AK740" s="235"/>
      <c r="AL740" s="235"/>
      <c r="AM740" s="235"/>
      <c r="AN740" s="235"/>
      <c r="AO740" s="235"/>
      <c r="AP740" s="235"/>
      <c r="AQ740" s="235"/>
      <c r="AR740" s="235"/>
      <c r="AS740" s="235"/>
      <c r="AT740" s="235"/>
      <c r="AU740" s="235"/>
      <c r="AV740" s="235"/>
      <c r="AW740" s="235"/>
      <c r="AX740" s="235"/>
      <c r="AY740" s="235"/>
      <c r="AZ740" s="235"/>
      <c r="BA740" s="235"/>
      <c r="BB740" s="235"/>
      <c r="BC740" s="235"/>
      <c r="BD740" s="235"/>
      <c r="BE740" s="235"/>
      <c r="BF740" s="235"/>
    </row>
    <row r="741" spans="1:58" ht="15.75" customHeight="1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235"/>
      <c r="AF741" s="235"/>
      <c r="AG741" s="235"/>
      <c r="AH741" s="235"/>
      <c r="AI741" s="235"/>
      <c r="AJ741" s="235"/>
      <c r="AK741" s="235"/>
      <c r="AL741" s="235"/>
      <c r="AM741" s="235"/>
      <c r="AN741" s="235"/>
      <c r="AO741" s="235"/>
      <c r="AP741" s="235"/>
      <c r="AQ741" s="235"/>
      <c r="AR741" s="235"/>
      <c r="AS741" s="235"/>
      <c r="AT741" s="235"/>
      <c r="AU741" s="235"/>
      <c r="AV741" s="235"/>
      <c r="AW741" s="235"/>
      <c r="AX741" s="235"/>
      <c r="AY741" s="235"/>
      <c r="AZ741" s="235"/>
      <c r="BA741" s="235"/>
      <c r="BB741" s="235"/>
      <c r="BC741" s="235"/>
      <c r="BD741" s="235"/>
      <c r="BE741" s="235"/>
      <c r="BF741" s="235"/>
    </row>
    <row r="742" spans="1:58" ht="15.75" customHeight="1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235"/>
      <c r="AF742" s="235"/>
      <c r="AG742" s="235"/>
      <c r="AH742" s="235"/>
      <c r="AI742" s="235"/>
      <c r="AJ742" s="235"/>
      <c r="AK742" s="235"/>
      <c r="AL742" s="235"/>
      <c r="AM742" s="235"/>
      <c r="AN742" s="235"/>
      <c r="AO742" s="235"/>
      <c r="AP742" s="235"/>
      <c r="AQ742" s="235"/>
      <c r="AR742" s="235"/>
      <c r="AS742" s="235"/>
      <c r="AT742" s="235"/>
      <c r="AU742" s="235"/>
      <c r="AV742" s="235"/>
      <c r="AW742" s="235"/>
      <c r="AX742" s="235"/>
      <c r="AY742" s="235"/>
      <c r="AZ742" s="235"/>
      <c r="BA742" s="235"/>
      <c r="BB742" s="235"/>
      <c r="BC742" s="235"/>
      <c r="BD742" s="235"/>
      <c r="BE742" s="235"/>
      <c r="BF742" s="235"/>
    </row>
    <row r="743" spans="1:58" ht="15.75" customHeight="1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  <c r="AA743" s="114"/>
      <c r="AB743" s="114"/>
      <c r="AC743" s="114"/>
      <c r="AD743" s="114"/>
      <c r="AE743" s="235"/>
      <c r="AF743" s="235"/>
      <c r="AG743" s="235"/>
      <c r="AH743" s="235"/>
      <c r="AI743" s="235"/>
      <c r="AJ743" s="235"/>
      <c r="AK743" s="235"/>
      <c r="AL743" s="235"/>
      <c r="AM743" s="235"/>
      <c r="AN743" s="235"/>
      <c r="AO743" s="235"/>
      <c r="AP743" s="235"/>
      <c r="AQ743" s="235"/>
      <c r="AR743" s="235"/>
      <c r="AS743" s="235"/>
      <c r="AT743" s="235"/>
      <c r="AU743" s="235"/>
      <c r="AV743" s="235"/>
      <c r="AW743" s="235"/>
      <c r="AX743" s="235"/>
      <c r="AY743" s="235"/>
      <c r="AZ743" s="235"/>
      <c r="BA743" s="235"/>
      <c r="BB743" s="235"/>
      <c r="BC743" s="235"/>
      <c r="BD743" s="235"/>
      <c r="BE743" s="235"/>
      <c r="BF743" s="235"/>
    </row>
    <row r="744" spans="1:58" ht="15.75" customHeight="1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  <c r="AA744" s="114"/>
      <c r="AB744" s="114"/>
      <c r="AC744" s="114"/>
      <c r="AD744" s="114"/>
      <c r="AE744" s="235"/>
      <c r="AF744" s="235"/>
      <c r="AG744" s="235"/>
      <c r="AH744" s="235"/>
      <c r="AI744" s="235"/>
      <c r="AJ744" s="235"/>
      <c r="AK744" s="235"/>
      <c r="AL744" s="235"/>
      <c r="AM744" s="235"/>
      <c r="AN744" s="235"/>
      <c r="AO744" s="235"/>
      <c r="AP744" s="235"/>
      <c r="AQ744" s="235"/>
      <c r="AR744" s="235"/>
      <c r="AS744" s="235"/>
      <c r="AT744" s="235"/>
      <c r="AU744" s="235"/>
      <c r="AV744" s="235"/>
      <c r="AW744" s="235"/>
      <c r="AX744" s="235"/>
      <c r="AY744" s="235"/>
      <c r="AZ744" s="235"/>
      <c r="BA744" s="235"/>
      <c r="BB744" s="235"/>
      <c r="BC744" s="235"/>
      <c r="BD744" s="235"/>
      <c r="BE744" s="235"/>
      <c r="BF744" s="235"/>
    </row>
    <row r="745" spans="1:58" ht="15.75" customHeight="1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235"/>
      <c r="AF745" s="235"/>
      <c r="AG745" s="235"/>
      <c r="AH745" s="235"/>
      <c r="AI745" s="235"/>
      <c r="AJ745" s="235"/>
      <c r="AK745" s="235"/>
      <c r="AL745" s="235"/>
      <c r="AM745" s="235"/>
      <c r="AN745" s="235"/>
      <c r="AO745" s="235"/>
      <c r="AP745" s="235"/>
      <c r="AQ745" s="235"/>
      <c r="AR745" s="235"/>
      <c r="AS745" s="235"/>
      <c r="AT745" s="235"/>
      <c r="AU745" s="235"/>
      <c r="AV745" s="235"/>
      <c r="AW745" s="235"/>
      <c r="AX745" s="235"/>
      <c r="AY745" s="235"/>
      <c r="AZ745" s="235"/>
      <c r="BA745" s="235"/>
      <c r="BB745" s="235"/>
      <c r="BC745" s="235"/>
      <c r="BD745" s="235"/>
      <c r="BE745" s="235"/>
      <c r="BF745" s="235"/>
    </row>
    <row r="746" spans="1:58" ht="15.75" customHeight="1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235"/>
      <c r="AF746" s="235"/>
      <c r="AG746" s="235"/>
      <c r="AH746" s="235"/>
      <c r="AI746" s="235"/>
      <c r="AJ746" s="235"/>
      <c r="AK746" s="235"/>
      <c r="AL746" s="235"/>
      <c r="AM746" s="235"/>
      <c r="AN746" s="235"/>
      <c r="AO746" s="235"/>
      <c r="AP746" s="235"/>
      <c r="AQ746" s="235"/>
      <c r="AR746" s="235"/>
      <c r="AS746" s="235"/>
      <c r="AT746" s="235"/>
      <c r="AU746" s="235"/>
      <c r="AV746" s="235"/>
      <c r="AW746" s="235"/>
      <c r="AX746" s="235"/>
      <c r="AY746" s="235"/>
      <c r="AZ746" s="235"/>
      <c r="BA746" s="235"/>
      <c r="BB746" s="235"/>
      <c r="BC746" s="235"/>
      <c r="BD746" s="235"/>
      <c r="BE746" s="235"/>
      <c r="BF746" s="235"/>
    </row>
    <row r="747" spans="1:58" ht="15.75" customHeight="1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  <c r="AA747" s="114"/>
      <c r="AB747" s="114"/>
      <c r="AC747" s="114"/>
      <c r="AD747" s="114"/>
      <c r="AE747" s="235"/>
      <c r="AF747" s="235"/>
      <c r="AG747" s="235"/>
      <c r="AH747" s="235"/>
      <c r="AI747" s="235"/>
      <c r="AJ747" s="235"/>
      <c r="AK747" s="235"/>
      <c r="AL747" s="235"/>
      <c r="AM747" s="235"/>
      <c r="AN747" s="235"/>
      <c r="AO747" s="235"/>
      <c r="AP747" s="235"/>
      <c r="AQ747" s="235"/>
      <c r="AR747" s="235"/>
      <c r="AS747" s="235"/>
      <c r="AT747" s="235"/>
      <c r="AU747" s="235"/>
      <c r="AV747" s="235"/>
      <c r="AW747" s="235"/>
      <c r="AX747" s="235"/>
      <c r="AY747" s="235"/>
      <c r="AZ747" s="235"/>
      <c r="BA747" s="235"/>
      <c r="BB747" s="235"/>
      <c r="BC747" s="235"/>
      <c r="BD747" s="235"/>
      <c r="BE747" s="235"/>
      <c r="BF747" s="235"/>
    </row>
    <row r="748" spans="1:58" ht="15.75" customHeight="1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  <c r="AA748" s="114"/>
      <c r="AB748" s="114"/>
      <c r="AC748" s="114"/>
      <c r="AD748" s="114"/>
      <c r="AE748" s="235"/>
      <c r="AF748" s="235"/>
      <c r="AG748" s="235"/>
      <c r="AH748" s="235"/>
      <c r="AI748" s="235"/>
      <c r="AJ748" s="235"/>
      <c r="AK748" s="235"/>
      <c r="AL748" s="235"/>
      <c r="AM748" s="235"/>
      <c r="AN748" s="235"/>
      <c r="AO748" s="235"/>
      <c r="AP748" s="235"/>
      <c r="AQ748" s="235"/>
      <c r="AR748" s="235"/>
      <c r="AS748" s="235"/>
      <c r="AT748" s="235"/>
      <c r="AU748" s="235"/>
      <c r="AV748" s="235"/>
      <c r="AW748" s="235"/>
      <c r="AX748" s="235"/>
      <c r="AY748" s="235"/>
      <c r="AZ748" s="235"/>
      <c r="BA748" s="235"/>
      <c r="BB748" s="235"/>
      <c r="BC748" s="235"/>
      <c r="BD748" s="235"/>
      <c r="BE748" s="235"/>
      <c r="BF748" s="235"/>
    </row>
    <row r="749" spans="1:58" ht="15.75" customHeight="1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  <c r="AA749" s="114"/>
      <c r="AB749" s="114"/>
      <c r="AC749" s="114"/>
      <c r="AD749" s="114"/>
      <c r="AE749" s="235"/>
      <c r="AF749" s="235"/>
      <c r="AG749" s="235"/>
      <c r="AH749" s="235"/>
      <c r="AI749" s="235"/>
      <c r="AJ749" s="235"/>
      <c r="AK749" s="235"/>
      <c r="AL749" s="235"/>
      <c r="AM749" s="235"/>
      <c r="AN749" s="235"/>
      <c r="AO749" s="235"/>
      <c r="AP749" s="235"/>
      <c r="AQ749" s="235"/>
      <c r="AR749" s="235"/>
      <c r="AS749" s="235"/>
      <c r="AT749" s="235"/>
      <c r="AU749" s="235"/>
      <c r="AV749" s="235"/>
      <c r="AW749" s="235"/>
      <c r="AX749" s="235"/>
      <c r="AY749" s="235"/>
      <c r="AZ749" s="235"/>
      <c r="BA749" s="235"/>
      <c r="BB749" s="235"/>
      <c r="BC749" s="235"/>
      <c r="BD749" s="235"/>
      <c r="BE749" s="235"/>
      <c r="BF749" s="235"/>
    </row>
    <row r="750" spans="1:58" ht="15.75" customHeight="1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  <c r="AA750" s="114"/>
      <c r="AB750" s="114"/>
      <c r="AC750" s="114"/>
      <c r="AD750" s="114"/>
      <c r="AE750" s="235"/>
      <c r="AF750" s="235"/>
      <c r="AG750" s="235"/>
      <c r="AH750" s="235"/>
      <c r="AI750" s="235"/>
      <c r="AJ750" s="235"/>
      <c r="AK750" s="235"/>
      <c r="AL750" s="235"/>
      <c r="AM750" s="235"/>
      <c r="AN750" s="235"/>
      <c r="AO750" s="235"/>
      <c r="AP750" s="235"/>
      <c r="AQ750" s="235"/>
      <c r="AR750" s="235"/>
      <c r="AS750" s="235"/>
      <c r="AT750" s="235"/>
      <c r="AU750" s="235"/>
      <c r="AV750" s="235"/>
      <c r="AW750" s="235"/>
      <c r="AX750" s="235"/>
      <c r="AY750" s="235"/>
      <c r="AZ750" s="235"/>
      <c r="BA750" s="235"/>
      <c r="BB750" s="235"/>
      <c r="BC750" s="235"/>
      <c r="BD750" s="235"/>
      <c r="BE750" s="235"/>
      <c r="BF750" s="235"/>
    </row>
    <row r="751" spans="1:58" ht="15.75" customHeight="1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  <c r="AA751" s="114"/>
      <c r="AB751" s="114"/>
      <c r="AC751" s="114"/>
      <c r="AD751" s="114"/>
      <c r="AE751" s="235"/>
      <c r="AF751" s="235"/>
      <c r="AG751" s="235"/>
      <c r="AH751" s="235"/>
      <c r="AI751" s="235"/>
      <c r="AJ751" s="235"/>
      <c r="AK751" s="235"/>
      <c r="AL751" s="235"/>
      <c r="AM751" s="235"/>
      <c r="AN751" s="235"/>
      <c r="AO751" s="235"/>
      <c r="AP751" s="235"/>
      <c r="AQ751" s="235"/>
      <c r="AR751" s="235"/>
      <c r="AS751" s="235"/>
      <c r="AT751" s="235"/>
      <c r="AU751" s="235"/>
      <c r="AV751" s="235"/>
      <c r="AW751" s="235"/>
      <c r="AX751" s="235"/>
      <c r="AY751" s="235"/>
      <c r="AZ751" s="235"/>
      <c r="BA751" s="235"/>
      <c r="BB751" s="235"/>
      <c r="BC751" s="235"/>
      <c r="BD751" s="235"/>
      <c r="BE751" s="235"/>
      <c r="BF751" s="235"/>
    </row>
    <row r="752" spans="1:58" ht="15.75" customHeight="1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  <c r="AA752" s="114"/>
      <c r="AB752" s="114"/>
      <c r="AC752" s="114"/>
      <c r="AD752" s="114"/>
      <c r="AE752" s="235"/>
      <c r="AF752" s="235"/>
      <c r="AG752" s="235"/>
      <c r="AH752" s="235"/>
      <c r="AI752" s="235"/>
      <c r="AJ752" s="235"/>
      <c r="AK752" s="235"/>
      <c r="AL752" s="235"/>
      <c r="AM752" s="235"/>
      <c r="AN752" s="235"/>
      <c r="AO752" s="235"/>
      <c r="AP752" s="235"/>
      <c r="AQ752" s="235"/>
      <c r="AR752" s="235"/>
      <c r="AS752" s="235"/>
      <c r="AT752" s="235"/>
      <c r="AU752" s="235"/>
      <c r="AV752" s="235"/>
      <c r="AW752" s="235"/>
      <c r="AX752" s="235"/>
      <c r="AY752" s="235"/>
      <c r="AZ752" s="235"/>
      <c r="BA752" s="235"/>
      <c r="BB752" s="235"/>
      <c r="BC752" s="235"/>
      <c r="BD752" s="235"/>
      <c r="BE752" s="235"/>
      <c r="BF752" s="235"/>
    </row>
    <row r="753" spans="1:58" ht="15.75" customHeight="1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  <c r="AA753" s="114"/>
      <c r="AB753" s="114"/>
      <c r="AC753" s="114"/>
      <c r="AD753" s="114"/>
      <c r="AE753" s="235"/>
      <c r="AF753" s="235"/>
      <c r="AG753" s="235"/>
      <c r="AH753" s="235"/>
      <c r="AI753" s="235"/>
      <c r="AJ753" s="235"/>
      <c r="AK753" s="235"/>
      <c r="AL753" s="235"/>
      <c r="AM753" s="235"/>
      <c r="AN753" s="235"/>
      <c r="AO753" s="235"/>
      <c r="AP753" s="235"/>
      <c r="AQ753" s="235"/>
      <c r="AR753" s="235"/>
      <c r="AS753" s="235"/>
      <c r="AT753" s="235"/>
      <c r="AU753" s="235"/>
      <c r="AV753" s="235"/>
      <c r="AW753" s="235"/>
      <c r="AX753" s="235"/>
      <c r="AY753" s="235"/>
      <c r="AZ753" s="235"/>
      <c r="BA753" s="235"/>
      <c r="BB753" s="235"/>
      <c r="BC753" s="235"/>
      <c r="BD753" s="235"/>
      <c r="BE753" s="235"/>
      <c r="BF753" s="235"/>
    </row>
    <row r="754" spans="1:58" ht="15.75" customHeight="1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  <c r="AA754" s="114"/>
      <c r="AB754" s="114"/>
      <c r="AC754" s="114"/>
      <c r="AD754" s="114"/>
      <c r="AE754" s="235"/>
      <c r="AF754" s="235"/>
      <c r="AG754" s="235"/>
      <c r="AH754" s="235"/>
      <c r="AI754" s="235"/>
      <c r="AJ754" s="235"/>
      <c r="AK754" s="235"/>
      <c r="AL754" s="235"/>
      <c r="AM754" s="235"/>
      <c r="AN754" s="235"/>
      <c r="AO754" s="235"/>
      <c r="AP754" s="235"/>
      <c r="AQ754" s="235"/>
      <c r="AR754" s="235"/>
      <c r="AS754" s="235"/>
      <c r="AT754" s="235"/>
      <c r="AU754" s="235"/>
      <c r="AV754" s="235"/>
      <c r="AW754" s="235"/>
      <c r="AX754" s="235"/>
      <c r="AY754" s="235"/>
      <c r="AZ754" s="235"/>
      <c r="BA754" s="235"/>
      <c r="BB754" s="235"/>
      <c r="BC754" s="235"/>
      <c r="BD754" s="235"/>
      <c r="BE754" s="235"/>
      <c r="BF754" s="235"/>
    </row>
    <row r="755" spans="1:58" ht="15.75" customHeight="1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  <c r="AA755" s="114"/>
      <c r="AB755" s="114"/>
      <c r="AC755" s="114"/>
      <c r="AD755" s="114"/>
      <c r="AE755" s="235"/>
      <c r="AF755" s="235"/>
      <c r="AG755" s="235"/>
      <c r="AH755" s="235"/>
      <c r="AI755" s="235"/>
      <c r="AJ755" s="235"/>
      <c r="AK755" s="235"/>
      <c r="AL755" s="235"/>
      <c r="AM755" s="235"/>
      <c r="AN755" s="235"/>
      <c r="AO755" s="235"/>
      <c r="AP755" s="235"/>
      <c r="AQ755" s="235"/>
      <c r="AR755" s="235"/>
      <c r="AS755" s="235"/>
      <c r="AT755" s="235"/>
      <c r="AU755" s="235"/>
      <c r="AV755" s="235"/>
      <c r="AW755" s="235"/>
      <c r="AX755" s="235"/>
      <c r="AY755" s="235"/>
      <c r="AZ755" s="235"/>
      <c r="BA755" s="235"/>
      <c r="BB755" s="235"/>
      <c r="BC755" s="235"/>
      <c r="BD755" s="235"/>
      <c r="BE755" s="235"/>
      <c r="BF755" s="235"/>
    </row>
    <row r="756" spans="1:58" ht="15.75" customHeight="1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  <c r="AA756" s="114"/>
      <c r="AB756" s="114"/>
      <c r="AC756" s="114"/>
      <c r="AD756" s="114"/>
      <c r="AE756" s="235"/>
      <c r="AF756" s="235"/>
      <c r="AG756" s="235"/>
      <c r="AH756" s="235"/>
      <c r="AI756" s="235"/>
      <c r="AJ756" s="235"/>
      <c r="AK756" s="235"/>
      <c r="AL756" s="235"/>
      <c r="AM756" s="235"/>
      <c r="AN756" s="235"/>
      <c r="AO756" s="235"/>
      <c r="AP756" s="235"/>
      <c r="AQ756" s="235"/>
      <c r="AR756" s="235"/>
      <c r="AS756" s="235"/>
      <c r="AT756" s="235"/>
      <c r="AU756" s="235"/>
      <c r="AV756" s="235"/>
      <c r="AW756" s="235"/>
      <c r="AX756" s="235"/>
      <c r="AY756" s="235"/>
      <c r="AZ756" s="235"/>
      <c r="BA756" s="235"/>
      <c r="BB756" s="235"/>
      <c r="BC756" s="235"/>
      <c r="BD756" s="235"/>
      <c r="BE756" s="235"/>
      <c r="BF756" s="235"/>
    </row>
    <row r="757" spans="1:58" ht="15.75" customHeight="1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  <c r="AA757" s="114"/>
      <c r="AB757" s="114"/>
      <c r="AC757" s="114"/>
      <c r="AD757" s="114"/>
      <c r="AE757" s="235"/>
      <c r="AF757" s="235"/>
      <c r="AG757" s="235"/>
      <c r="AH757" s="235"/>
      <c r="AI757" s="235"/>
      <c r="AJ757" s="235"/>
      <c r="AK757" s="235"/>
      <c r="AL757" s="235"/>
      <c r="AM757" s="235"/>
      <c r="AN757" s="235"/>
      <c r="AO757" s="235"/>
      <c r="AP757" s="235"/>
      <c r="AQ757" s="235"/>
      <c r="AR757" s="235"/>
      <c r="AS757" s="235"/>
      <c r="AT757" s="235"/>
      <c r="AU757" s="235"/>
      <c r="AV757" s="235"/>
      <c r="AW757" s="235"/>
      <c r="AX757" s="235"/>
      <c r="AY757" s="235"/>
      <c r="AZ757" s="235"/>
      <c r="BA757" s="235"/>
      <c r="BB757" s="235"/>
      <c r="BC757" s="235"/>
      <c r="BD757" s="235"/>
      <c r="BE757" s="235"/>
      <c r="BF757" s="235"/>
    </row>
    <row r="758" spans="1:58" ht="15.75" customHeight="1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  <c r="AA758" s="114"/>
      <c r="AB758" s="114"/>
      <c r="AC758" s="114"/>
      <c r="AD758" s="114"/>
      <c r="AE758" s="235"/>
      <c r="AF758" s="235"/>
      <c r="AG758" s="235"/>
      <c r="AH758" s="235"/>
      <c r="AI758" s="235"/>
      <c r="AJ758" s="235"/>
      <c r="AK758" s="235"/>
      <c r="AL758" s="235"/>
      <c r="AM758" s="235"/>
      <c r="AN758" s="235"/>
      <c r="AO758" s="235"/>
      <c r="AP758" s="235"/>
      <c r="AQ758" s="235"/>
      <c r="AR758" s="235"/>
      <c r="AS758" s="235"/>
      <c r="AT758" s="235"/>
      <c r="AU758" s="235"/>
      <c r="AV758" s="235"/>
      <c r="AW758" s="235"/>
      <c r="AX758" s="235"/>
      <c r="AY758" s="235"/>
      <c r="AZ758" s="235"/>
      <c r="BA758" s="235"/>
      <c r="BB758" s="235"/>
      <c r="BC758" s="235"/>
      <c r="BD758" s="235"/>
      <c r="BE758" s="235"/>
      <c r="BF758" s="235"/>
    </row>
    <row r="759" spans="1:58" ht="15.75" customHeight="1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  <c r="AA759" s="114"/>
      <c r="AB759" s="114"/>
      <c r="AC759" s="114"/>
      <c r="AD759" s="114"/>
      <c r="AE759" s="235"/>
      <c r="AF759" s="235"/>
      <c r="AG759" s="235"/>
      <c r="AH759" s="235"/>
      <c r="AI759" s="235"/>
      <c r="AJ759" s="235"/>
      <c r="AK759" s="235"/>
      <c r="AL759" s="235"/>
      <c r="AM759" s="235"/>
      <c r="AN759" s="235"/>
      <c r="AO759" s="235"/>
      <c r="AP759" s="235"/>
      <c r="AQ759" s="235"/>
      <c r="AR759" s="235"/>
      <c r="AS759" s="235"/>
      <c r="AT759" s="235"/>
      <c r="AU759" s="235"/>
      <c r="AV759" s="235"/>
      <c r="AW759" s="235"/>
      <c r="AX759" s="235"/>
      <c r="AY759" s="235"/>
      <c r="AZ759" s="235"/>
      <c r="BA759" s="235"/>
      <c r="BB759" s="235"/>
      <c r="BC759" s="235"/>
      <c r="BD759" s="235"/>
      <c r="BE759" s="235"/>
      <c r="BF759" s="235"/>
    </row>
    <row r="760" spans="1:58" ht="15.75" customHeight="1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  <c r="AA760" s="114"/>
      <c r="AB760" s="114"/>
      <c r="AC760" s="114"/>
      <c r="AD760" s="114"/>
      <c r="AE760" s="235"/>
      <c r="AF760" s="235"/>
      <c r="AG760" s="235"/>
      <c r="AH760" s="235"/>
      <c r="AI760" s="235"/>
      <c r="AJ760" s="235"/>
      <c r="AK760" s="235"/>
      <c r="AL760" s="235"/>
      <c r="AM760" s="235"/>
      <c r="AN760" s="235"/>
      <c r="AO760" s="235"/>
      <c r="AP760" s="235"/>
      <c r="AQ760" s="235"/>
      <c r="AR760" s="235"/>
      <c r="AS760" s="235"/>
      <c r="AT760" s="235"/>
      <c r="AU760" s="235"/>
      <c r="AV760" s="235"/>
      <c r="AW760" s="235"/>
      <c r="AX760" s="235"/>
      <c r="AY760" s="235"/>
      <c r="AZ760" s="235"/>
      <c r="BA760" s="235"/>
      <c r="BB760" s="235"/>
      <c r="BC760" s="235"/>
      <c r="BD760" s="235"/>
      <c r="BE760" s="235"/>
      <c r="BF760" s="235"/>
    </row>
    <row r="761" spans="1:58" ht="15.75" customHeight="1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  <c r="AA761" s="114"/>
      <c r="AB761" s="114"/>
      <c r="AC761" s="114"/>
      <c r="AD761" s="114"/>
      <c r="AE761" s="235"/>
      <c r="AF761" s="235"/>
      <c r="AG761" s="235"/>
      <c r="AH761" s="235"/>
      <c r="AI761" s="235"/>
      <c r="AJ761" s="235"/>
      <c r="AK761" s="235"/>
      <c r="AL761" s="235"/>
      <c r="AM761" s="235"/>
      <c r="AN761" s="235"/>
      <c r="AO761" s="235"/>
      <c r="AP761" s="235"/>
      <c r="AQ761" s="235"/>
      <c r="AR761" s="235"/>
      <c r="AS761" s="235"/>
      <c r="AT761" s="235"/>
      <c r="AU761" s="235"/>
      <c r="AV761" s="235"/>
      <c r="AW761" s="235"/>
      <c r="AX761" s="235"/>
      <c r="AY761" s="235"/>
      <c r="AZ761" s="235"/>
      <c r="BA761" s="235"/>
      <c r="BB761" s="235"/>
      <c r="BC761" s="235"/>
      <c r="BD761" s="235"/>
      <c r="BE761" s="235"/>
      <c r="BF761" s="235"/>
    </row>
    <row r="762" spans="1:58" ht="15.75" customHeight="1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  <c r="AA762" s="114"/>
      <c r="AB762" s="114"/>
      <c r="AC762" s="114"/>
      <c r="AD762" s="114"/>
      <c r="AE762" s="235"/>
      <c r="AF762" s="235"/>
      <c r="AG762" s="235"/>
      <c r="AH762" s="235"/>
      <c r="AI762" s="235"/>
      <c r="AJ762" s="235"/>
      <c r="AK762" s="235"/>
      <c r="AL762" s="235"/>
      <c r="AM762" s="235"/>
      <c r="AN762" s="235"/>
      <c r="AO762" s="235"/>
      <c r="AP762" s="235"/>
      <c r="AQ762" s="235"/>
      <c r="AR762" s="235"/>
      <c r="AS762" s="235"/>
      <c r="AT762" s="235"/>
      <c r="AU762" s="235"/>
      <c r="AV762" s="235"/>
      <c r="AW762" s="235"/>
      <c r="AX762" s="235"/>
      <c r="AY762" s="235"/>
      <c r="AZ762" s="235"/>
      <c r="BA762" s="235"/>
      <c r="BB762" s="235"/>
      <c r="BC762" s="235"/>
      <c r="BD762" s="235"/>
      <c r="BE762" s="235"/>
      <c r="BF762" s="235"/>
    </row>
    <row r="763" spans="1:58" ht="15.75" customHeight="1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235"/>
      <c r="AF763" s="235"/>
      <c r="AG763" s="235"/>
      <c r="AH763" s="235"/>
      <c r="AI763" s="235"/>
      <c r="AJ763" s="235"/>
      <c r="AK763" s="235"/>
      <c r="AL763" s="235"/>
      <c r="AM763" s="235"/>
      <c r="AN763" s="235"/>
      <c r="AO763" s="235"/>
      <c r="AP763" s="235"/>
      <c r="AQ763" s="235"/>
      <c r="AR763" s="235"/>
      <c r="AS763" s="235"/>
      <c r="AT763" s="235"/>
      <c r="AU763" s="235"/>
      <c r="AV763" s="235"/>
      <c r="AW763" s="235"/>
      <c r="AX763" s="235"/>
      <c r="AY763" s="235"/>
      <c r="AZ763" s="235"/>
      <c r="BA763" s="235"/>
      <c r="BB763" s="235"/>
      <c r="BC763" s="235"/>
      <c r="BD763" s="235"/>
      <c r="BE763" s="235"/>
      <c r="BF763" s="235"/>
    </row>
    <row r="764" spans="1:58" ht="15.75" customHeight="1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235"/>
      <c r="AF764" s="235"/>
      <c r="AG764" s="235"/>
      <c r="AH764" s="235"/>
      <c r="AI764" s="235"/>
      <c r="AJ764" s="235"/>
      <c r="AK764" s="235"/>
      <c r="AL764" s="235"/>
      <c r="AM764" s="235"/>
      <c r="AN764" s="235"/>
      <c r="AO764" s="235"/>
      <c r="AP764" s="235"/>
      <c r="AQ764" s="235"/>
      <c r="AR764" s="235"/>
      <c r="AS764" s="235"/>
      <c r="AT764" s="235"/>
      <c r="AU764" s="235"/>
      <c r="AV764" s="235"/>
      <c r="AW764" s="235"/>
      <c r="AX764" s="235"/>
      <c r="AY764" s="235"/>
      <c r="AZ764" s="235"/>
      <c r="BA764" s="235"/>
      <c r="BB764" s="235"/>
      <c r="BC764" s="235"/>
      <c r="BD764" s="235"/>
      <c r="BE764" s="235"/>
      <c r="BF764" s="235"/>
    </row>
    <row r="765" spans="1:58" ht="15.75" customHeight="1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  <c r="AA765" s="114"/>
      <c r="AB765" s="114"/>
      <c r="AC765" s="114"/>
      <c r="AD765" s="114"/>
      <c r="AE765" s="235"/>
      <c r="AF765" s="235"/>
      <c r="AG765" s="235"/>
      <c r="AH765" s="235"/>
      <c r="AI765" s="235"/>
      <c r="AJ765" s="235"/>
      <c r="AK765" s="235"/>
      <c r="AL765" s="235"/>
      <c r="AM765" s="235"/>
      <c r="AN765" s="235"/>
      <c r="AO765" s="235"/>
      <c r="AP765" s="235"/>
      <c r="AQ765" s="235"/>
      <c r="AR765" s="235"/>
      <c r="AS765" s="235"/>
      <c r="AT765" s="235"/>
      <c r="AU765" s="235"/>
      <c r="AV765" s="235"/>
      <c r="AW765" s="235"/>
      <c r="AX765" s="235"/>
      <c r="AY765" s="235"/>
      <c r="AZ765" s="235"/>
      <c r="BA765" s="235"/>
      <c r="BB765" s="235"/>
      <c r="BC765" s="235"/>
      <c r="BD765" s="235"/>
      <c r="BE765" s="235"/>
      <c r="BF765" s="235"/>
    </row>
    <row r="766" spans="1:58" ht="15.75" customHeight="1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  <c r="AA766" s="114"/>
      <c r="AB766" s="114"/>
      <c r="AC766" s="114"/>
      <c r="AD766" s="114"/>
      <c r="AE766" s="235"/>
      <c r="AF766" s="235"/>
      <c r="AG766" s="235"/>
      <c r="AH766" s="235"/>
      <c r="AI766" s="235"/>
      <c r="AJ766" s="235"/>
      <c r="AK766" s="235"/>
      <c r="AL766" s="235"/>
      <c r="AM766" s="235"/>
      <c r="AN766" s="235"/>
      <c r="AO766" s="235"/>
      <c r="AP766" s="235"/>
      <c r="AQ766" s="235"/>
      <c r="AR766" s="235"/>
      <c r="AS766" s="235"/>
      <c r="AT766" s="235"/>
      <c r="AU766" s="235"/>
      <c r="AV766" s="235"/>
      <c r="AW766" s="235"/>
      <c r="AX766" s="235"/>
      <c r="AY766" s="235"/>
      <c r="AZ766" s="235"/>
      <c r="BA766" s="235"/>
      <c r="BB766" s="235"/>
      <c r="BC766" s="235"/>
      <c r="BD766" s="235"/>
      <c r="BE766" s="235"/>
      <c r="BF766" s="235"/>
    </row>
    <row r="767" spans="1:58" ht="15.75" customHeight="1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235"/>
      <c r="AF767" s="235"/>
      <c r="AG767" s="235"/>
      <c r="AH767" s="235"/>
      <c r="AI767" s="235"/>
      <c r="AJ767" s="235"/>
      <c r="AK767" s="235"/>
      <c r="AL767" s="235"/>
      <c r="AM767" s="235"/>
      <c r="AN767" s="235"/>
      <c r="AO767" s="235"/>
      <c r="AP767" s="235"/>
      <c r="AQ767" s="235"/>
      <c r="AR767" s="235"/>
      <c r="AS767" s="235"/>
      <c r="AT767" s="235"/>
      <c r="AU767" s="235"/>
      <c r="AV767" s="235"/>
      <c r="AW767" s="235"/>
      <c r="AX767" s="235"/>
      <c r="AY767" s="235"/>
      <c r="AZ767" s="235"/>
      <c r="BA767" s="235"/>
      <c r="BB767" s="235"/>
      <c r="BC767" s="235"/>
      <c r="BD767" s="235"/>
      <c r="BE767" s="235"/>
      <c r="BF767" s="235"/>
    </row>
    <row r="768" spans="1:58" ht="15.75" customHeight="1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235"/>
      <c r="AF768" s="235"/>
      <c r="AG768" s="235"/>
      <c r="AH768" s="235"/>
      <c r="AI768" s="235"/>
      <c r="AJ768" s="235"/>
      <c r="AK768" s="235"/>
      <c r="AL768" s="235"/>
      <c r="AM768" s="235"/>
      <c r="AN768" s="235"/>
      <c r="AO768" s="235"/>
      <c r="AP768" s="235"/>
      <c r="AQ768" s="235"/>
      <c r="AR768" s="235"/>
      <c r="AS768" s="235"/>
      <c r="AT768" s="235"/>
      <c r="AU768" s="235"/>
      <c r="AV768" s="235"/>
      <c r="AW768" s="235"/>
      <c r="AX768" s="235"/>
      <c r="AY768" s="235"/>
      <c r="AZ768" s="235"/>
      <c r="BA768" s="235"/>
      <c r="BB768" s="235"/>
      <c r="BC768" s="235"/>
      <c r="BD768" s="235"/>
      <c r="BE768" s="235"/>
      <c r="BF768" s="235"/>
    </row>
    <row r="769" spans="1:58" ht="15.75" customHeight="1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  <c r="AA769" s="114"/>
      <c r="AB769" s="114"/>
      <c r="AC769" s="114"/>
      <c r="AD769" s="114"/>
      <c r="AE769" s="235"/>
      <c r="AF769" s="235"/>
      <c r="AG769" s="235"/>
      <c r="AH769" s="235"/>
      <c r="AI769" s="235"/>
      <c r="AJ769" s="235"/>
      <c r="AK769" s="235"/>
      <c r="AL769" s="235"/>
      <c r="AM769" s="235"/>
      <c r="AN769" s="235"/>
      <c r="AO769" s="235"/>
      <c r="AP769" s="235"/>
      <c r="AQ769" s="235"/>
      <c r="AR769" s="235"/>
      <c r="AS769" s="235"/>
      <c r="AT769" s="235"/>
      <c r="AU769" s="235"/>
      <c r="AV769" s="235"/>
      <c r="AW769" s="235"/>
      <c r="AX769" s="235"/>
      <c r="AY769" s="235"/>
      <c r="AZ769" s="235"/>
      <c r="BA769" s="235"/>
      <c r="BB769" s="235"/>
      <c r="BC769" s="235"/>
      <c r="BD769" s="235"/>
      <c r="BE769" s="235"/>
      <c r="BF769" s="235"/>
    </row>
    <row r="770" spans="1:58" ht="15.75" customHeight="1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  <c r="AA770" s="114"/>
      <c r="AB770" s="114"/>
      <c r="AC770" s="114"/>
      <c r="AD770" s="114"/>
      <c r="AE770" s="235"/>
      <c r="AF770" s="235"/>
      <c r="AG770" s="235"/>
      <c r="AH770" s="235"/>
      <c r="AI770" s="235"/>
      <c r="AJ770" s="235"/>
      <c r="AK770" s="235"/>
      <c r="AL770" s="235"/>
      <c r="AM770" s="235"/>
      <c r="AN770" s="235"/>
      <c r="AO770" s="235"/>
      <c r="AP770" s="235"/>
      <c r="AQ770" s="235"/>
      <c r="AR770" s="235"/>
      <c r="AS770" s="235"/>
      <c r="AT770" s="235"/>
      <c r="AU770" s="235"/>
      <c r="AV770" s="235"/>
      <c r="AW770" s="235"/>
      <c r="AX770" s="235"/>
      <c r="AY770" s="235"/>
      <c r="AZ770" s="235"/>
      <c r="BA770" s="235"/>
      <c r="BB770" s="235"/>
      <c r="BC770" s="235"/>
      <c r="BD770" s="235"/>
      <c r="BE770" s="235"/>
      <c r="BF770" s="235"/>
    </row>
    <row r="771" spans="1:58" ht="15.75" customHeight="1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235"/>
      <c r="AF771" s="235"/>
      <c r="AG771" s="235"/>
      <c r="AH771" s="235"/>
      <c r="AI771" s="235"/>
      <c r="AJ771" s="235"/>
      <c r="AK771" s="235"/>
      <c r="AL771" s="235"/>
      <c r="AM771" s="235"/>
      <c r="AN771" s="235"/>
      <c r="AO771" s="235"/>
      <c r="AP771" s="235"/>
      <c r="AQ771" s="235"/>
      <c r="AR771" s="235"/>
      <c r="AS771" s="235"/>
      <c r="AT771" s="235"/>
      <c r="AU771" s="235"/>
      <c r="AV771" s="235"/>
      <c r="AW771" s="235"/>
      <c r="AX771" s="235"/>
      <c r="AY771" s="235"/>
      <c r="AZ771" s="235"/>
      <c r="BA771" s="235"/>
      <c r="BB771" s="235"/>
      <c r="BC771" s="235"/>
      <c r="BD771" s="235"/>
      <c r="BE771" s="235"/>
      <c r="BF771" s="235"/>
    </row>
    <row r="772" spans="1:58" ht="15.75" customHeight="1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235"/>
      <c r="AF772" s="235"/>
      <c r="AG772" s="235"/>
      <c r="AH772" s="235"/>
      <c r="AI772" s="235"/>
      <c r="AJ772" s="235"/>
      <c r="AK772" s="235"/>
      <c r="AL772" s="235"/>
      <c r="AM772" s="235"/>
      <c r="AN772" s="235"/>
      <c r="AO772" s="235"/>
      <c r="AP772" s="235"/>
      <c r="AQ772" s="235"/>
      <c r="AR772" s="235"/>
      <c r="AS772" s="235"/>
      <c r="AT772" s="235"/>
      <c r="AU772" s="235"/>
      <c r="AV772" s="235"/>
      <c r="AW772" s="235"/>
      <c r="AX772" s="235"/>
      <c r="AY772" s="235"/>
      <c r="AZ772" s="235"/>
      <c r="BA772" s="235"/>
      <c r="BB772" s="235"/>
      <c r="BC772" s="235"/>
      <c r="BD772" s="235"/>
      <c r="BE772" s="235"/>
      <c r="BF772" s="235"/>
    </row>
    <row r="773" spans="1:58" ht="15.75" customHeight="1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  <c r="AA773" s="114"/>
      <c r="AB773" s="114"/>
      <c r="AC773" s="114"/>
      <c r="AD773" s="114"/>
      <c r="AE773" s="235"/>
      <c r="AF773" s="235"/>
      <c r="AG773" s="235"/>
      <c r="AH773" s="235"/>
      <c r="AI773" s="235"/>
      <c r="AJ773" s="235"/>
      <c r="AK773" s="235"/>
      <c r="AL773" s="235"/>
      <c r="AM773" s="235"/>
      <c r="AN773" s="235"/>
      <c r="AO773" s="235"/>
      <c r="AP773" s="235"/>
      <c r="AQ773" s="235"/>
      <c r="AR773" s="235"/>
      <c r="AS773" s="235"/>
      <c r="AT773" s="235"/>
      <c r="AU773" s="235"/>
      <c r="AV773" s="235"/>
      <c r="AW773" s="235"/>
      <c r="AX773" s="235"/>
      <c r="AY773" s="235"/>
      <c r="AZ773" s="235"/>
      <c r="BA773" s="235"/>
      <c r="BB773" s="235"/>
      <c r="BC773" s="235"/>
      <c r="BD773" s="235"/>
      <c r="BE773" s="235"/>
      <c r="BF773" s="235"/>
    </row>
    <row r="774" spans="1:58" ht="15.75" customHeight="1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  <c r="AA774" s="114"/>
      <c r="AB774" s="114"/>
      <c r="AC774" s="114"/>
      <c r="AD774" s="114"/>
      <c r="AE774" s="235"/>
      <c r="AF774" s="235"/>
      <c r="AG774" s="235"/>
      <c r="AH774" s="235"/>
      <c r="AI774" s="235"/>
      <c r="AJ774" s="235"/>
      <c r="AK774" s="235"/>
      <c r="AL774" s="235"/>
      <c r="AM774" s="235"/>
      <c r="AN774" s="235"/>
      <c r="AO774" s="235"/>
      <c r="AP774" s="235"/>
      <c r="AQ774" s="235"/>
      <c r="AR774" s="235"/>
      <c r="AS774" s="235"/>
      <c r="AT774" s="235"/>
      <c r="AU774" s="235"/>
      <c r="AV774" s="235"/>
      <c r="AW774" s="235"/>
      <c r="AX774" s="235"/>
      <c r="AY774" s="235"/>
      <c r="AZ774" s="235"/>
      <c r="BA774" s="235"/>
      <c r="BB774" s="235"/>
      <c r="BC774" s="235"/>
      <c r="BD774" s="235"/>
      <c r="BE774" s="235"/>
      <c r="BF774" s="235"/>
    </row>
    <row r="775" spans="1:58" ht="15.75" customHeight="1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235"/>
      <c r="AF775" s="235"/>
      <c r="AG775" s="235"/>
      <c r="AH775" s="235"/>
      <c r="AI775" s="235"/>
      <c r="AJ775" s="235"/>
      <c r="AK775" s="235"/>
      <c r="AL775" s="235"/>
      <c r="AM775" s="235"/>
      <c r="AN775" s="235"/>
      <c r="AO775" s="235"/>
      <c r="AP775" s="235"/>
      <c r="AQ775" s="235"/>
      <c r="AR775" s="235"/>
      <c r="AS775" s="235"/>
      <c r="AT775" s="235"/>
      <c r="AU775" s="235"/>
      <c r="AV775" s="235"/>
      <c r="AW775" s="235"/>
      <c r="AX775" s="235"/>
      <c r="AY775" s="235"/>
      <c r="AZ775" s="235"/>
      <c r="BA775" s="235"/>
      <c r="BB775" s="235"/>
      <c r="BC775" s="235"/>
      <c r="BD775" s="235"/>
      <c r="BE775" s="235"/>
      <c r="BF775" s="235"/>
    </row>
    <row r="776" spans="1:58" ht="15.75" customHeight="1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235"/>
      <c r="AF776" s="235"/>
      <c r="AG776" s="235"/>
      <c r="AH776" s="235"/>
      <c r="AI776" s="235"/>
      <c r="AJ776" s="235"/>
      <c r="AK776" s="235"/>
      <c r="AL776" s="235"/>
      <c r="AM776" s="235"/>
      <c r="AN776" s="235"/>
      <c r="AO776" s="235"/>
      <c r="AP776" s="235"/>
      <c r="AQ776" s="235"/>
      <c r="AR776" s="235"/>
      <c r="AS776" s="235"/>
      <c r="AT776" s="235"/>
      <c r="AU776" s="235"/>
      <c r="AV776" s="235"/>
      <c r="AW776" s="235"/>
      <c r="AX776" s="235"/>
      <c r="AY776" s="235"/>
      <c r="AZ776" s="235"/>
      <c r="BA776" s="235"/>
      <c r="BB776" s="235"/>
      <c r="BC776" s="235"/>
      <c r="BD776" s="235"/>
      <c r="BE776" s="235"/>
      <c r="BF776" s="235"/>
    </row>
    <row r="777" spans="1:58" ht="15.75" customHeight="1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  <c r="AA777" s="114"/>
      <c r="AB777" s="114"/>
      <c r="AC777" s="114"/>
      <c r="AD777" s="114"/>
      <c r="AE777" s="235"/>
      <c r="AF777" s="235"/>
      <c r="AG777" s="235"/>
      <c r="AH777" s="235"/>
      <c r="AI777" s="235"/>
      <c r="AJ777" s="235"/>
      <c r="AK777" s="235"/>
      <c r="AL777" s="235"/>
      <c r="AM777" s="235"/>
      <c r="AN777" s="235"/>
      <c r="AO777" s="235"/>
      <c r="AP777" s="235"/>
      <c r="AQ777" s="235"/>
      <c r="AR777" s="235"/>
      <c r="AS777" s="235"/>
      <c r="AT777" s="235"/>
      <c r="AU777" s="235"/>
      <c r="AV777" s="235"/>
      <c r="AW777" s="235"/>
      <c r="AX777" s="235"/>
      <c r="AY777" s="235"/>
      <c r="AZ777" s="235"/>
      <c r="BA777" s="235"/>
      <c r="BB777" s="235"/>
      <c r="BC777" s="235"/>
      <c r="BD777" s="235"/>
      <c r="BE777" s="235"/>
      <c r="BF777" s="235"/>
    </row>
    <row r="778" spans="1:58" ht="15.75" customHeight="1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  <c r="AA778" s="114"/>
      <c r="AB778" s="114"/>
      <c r="AC778" s="114"/>
      <c r="AD778" s="114"/>
      <c r="AE778" s="235"/>
      <c r="AF778" s="235"/>
      <c r="AG778" s="235"/>
      <c r="AH778" s="235"/>
      <c r="AI778" s="235"/>
      <c r="AJ778" s="235"/>
      <c r="AK778" s="235"/>
      <c r="AL778" s="235"/>
      <c r="AM778" s="235"/>
      <c r="AN778" s="235"/>
      <c r="AO778" s="235"/>
      <c r="AP778" s="235"/>
      <c r="AQ778" s="235"/>
      <c r="AR778" s="235"/>
      <c r="AS778" s="235"/>
      <c r="AT778" s="235"/>
      <c r="AU778" s="235"/>
      <c r="AV778" s="235"/>
      <c r="AW778" s="235"/>
      <c r="AX778" s="235"/>
      <c r="AY778" s="235"/>
      <c r="AZ778" s="235"/>
      <c r="BA778" s="235"/>
      <c r="BB778" s="235"/>
      <c r="BC778" s="235"/>
      <c r="BD778" s="235"/>
      <c r="BE778" s="235"/>
      <c r="BF778" s="235"/>
    </row>
    <row r="779" spans="1:58" ht="15.75" customHeight="1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235"/>
      <c r="AF779" s="235"/>
      <c r="AG779" s="235"/>
      <c r="AH779" s="235"/>
      <c r="AI779" s="235"/>
      <c r="AJ779" s="235"/>
      <c r="AK779" s="235"/>
      <c r="AL779" s="235"/>
      <c r="AM779" s="235"/>
      <c r="AN779" s="235"/>
      <c r="AO779" s="235"/>
      <c r="AP779" s="235"/>
      <c r="AQ779" s="235"/>
      <c r="AR779" s="235"/>
      <c r="AS779" s="235"/>
      <c r="AT779" s="235"/>
      <c r="AU779" s="235"/>
      <c r="AV779" s="235"/>
      <c r="AW779" s="235"/>
      <c r="AX779" s="235"/>
      <c r="AY779" s="235"/>
      <c r="AZ779" s="235"/>
      <c r="BA779" s="235"/>
      <c r="BB779" s="235"/>
      <c r="BC779" s="235"/>
      <c r="BD779" s="235"/>
      <c r="BE779" s="235"/>
      <c r="BF779" s="235"/>
    </row>
    <row r="780" spans="1:58" ht="15.75" customHeight="1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235"/>
      <c r="AF780" s="235"/>
      <c r="AG780" s="235"/>
      <c r="AH780" s="235"/>
      <c r="AI780" s="235"/>
      <c r="AJ780" s="235"/>
      <c r="AK780" s="235"/>
      <c r="AL780" s="235"/>
      <c r="AM780" s="235"/>
      <c r="AN780" s="235"/>
      <c r="AO780" s="235"/>
      <c r="AP780" s="235"/>
      <c r="AQ780" s="235"/>
      <c r="AR780" s="235"/>
      <c r="AS780" s="235"/>
      <c r="AT780" s="235"/>
      <c r="AU780" s="235"/>
      <c r="AV780" s="235"/>
      <c r="AW780" s="235"/>
      <c r="AX780" s="235"/>
      <c r="AY780" s="235"/>
      <c r="AZ780" s="235"/>
      <c r="BA780" s="235"/>
      <c r="BB780" s="235"/>
      <c r="BC780" s="235"/>
      <c r="BD780" s="235"/>
      <c r="BE780" s="235"/>
      <c r="BF780" s="235"/>
    </row>
    <row r="781" spans="1:58" ht="15.75" customHeight="1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  <c r="AA781" s="114"/>
      <c r="AB781" s="114"/>
      <c r="AC781" s="114"/>
      <c r="AD781" s="114"/>
      <c r="AE781" s="235"/>
      <c r="AF781" s="235"/>
      <c r="AG781" s="235"/>
      <c r="AH781" s="235"/>
      <c r="AI781" s="235"/>
      <c r="AJ781" s="235"/>
      <c r="AK781" s="235"/>
      <c r="AL781" s="235"/>
      <c r="AM781" s="235"/>
      <c r="AN781" s="235"/>
      <c r="AO781" s="235"/>
      <c r="AP781" s="235"/>
      <c r="AQ781" s="235"/>
      <c r="AR781" s="235"/>
      <c r="AS781" s="235"/>
      <c r="AT781" s="235"/>
      <c r="AU781" s="235"/>
      <c r="AV781" s="235"/>
      <c r="AW781" s="235"/>
      <c r="AX781" s="235"/>
      <c r="AY781" s="235"/>
      <c r="AZ781" s="235"/>
      <c r="BA781" s="235"/>
      <c r="BB781" s="235"/>
      <c r="BC781" s="235"/>
      <c r="BD781" s="235"/>
      <c r="BE781" s="235"/>
      <c r="BF781" s="235"/>
    </row>
    <row r="782" spans="1:58" ht="15.75" customHeight="1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  <c r="AA782" s="114"/>
      <c r="AB782" s="114"/>
      <c r="AC782" s="114"/>
      <c r="AD782" s="114"/>
      <c r="AE782" s="235"/>
      <c r="AF782" s="235"/>
      <c r="AG782" s="235"/>
      <c r="AH782" s="235"/>
      <c r="AI782" s="235"/>
      <c r="AJ782" s="235"/>
      <c r="AK782" s="235"/>
      <c r="AL782" s="235"/>
      <c r="AM782" s="235"/>
      <c r="AN782" s="235"/>
      <c r="AO782" s="235"/>
      <c r="AP782" s="235"/>
      <c r="AQ782" s="235"/>
      <c r="AR782" s="235"/>
      <c r="AS782" s="235"/>
      <c r="AT782" s="235"/>
      <c r="AU782" s="235"/>
      <c r="AV782" s="235"/>
      <c r="AW782" s="235"/>
      <c r="AX782" s="235"/>
      <c r="AY782" s="235"/>
      <c r="AZ782" s="235"/>
      <c r="BA782" s="235"/>
      <c r="BB782" s="235"/>
      <c r="BC782" s="235"/>
      <c r="BD782" s="235"/>
      <c r="BE782" s="235"/>
      <c r="BF782" s="235"/>
    </row>
    <row r="783" spans="1:58" ht="15.75" customHeight="1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235"/>
      <c r="AF783" s="235"/>
      <c r="AG783" s="235"/>
      <c r="AH783" s="235"/>
      <c r="AI783" s="235"/>
      <c r="AJ783" s="235"/>
      <c r="AK783" s="235"/>
      <c r="AL783" s="235"/>
      <c r="AM783" s="235"/>
      <c r="AN783" s="235"/>
      <c r="AO783" s="235"/>
      <c r="AP783" s="235"/>
      <c r="AQ783" s="235"/>
      <c r="AR783" s="235"/>
      <c r="AS783" s="235"/>
      <c r="AT783" s="235"/>
      <c r="AU783" s="235"/>
      <c r="AV783" s="235"/>
      <c r="AW783" s="235"/>
      <c r="AX783" s="235"/>
      <c r="AY783" s="235"/>
      <c r="AZ783" s="235"/>
      <c r="BA783" s="235"/>
      <c r="BB783" s="235"/>
      <c r="BC783" s="235"/>
      <c r="BD783" s="235"/>
      <c r="BE783" s="235"/>
      <c r="BF783" s="235"/>
    </row>
    <row r="784" spans="1:58" ht="15.75" customHeight="1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235"/>
      <c r="AF784" s="235"/>
      <c r="AG784" s="235"/>
      <c r="AH784" s="235"/>
      <c r="AI784" s="235"/>
      <c r="AJ784" s="235"/>
      <c r="AK784" s="235"/>
      <c r="AL784" s="235"/>
      <c r="AM784" s="235"/>
      <c r="AN784" s="235"/>
      <c r="AO784" s="235"/>
      <c r="AP784" s="235"/>
      <c r="AQ784" s="235"/>
      <c r="AR784" s="235"/>
      <c r="AS784" s="235"/>
      <c r="AT784" s="235"/>
      <c r="AU784" s="235"/>
      <c r="AV784" s="235"/>
      <c r="AW784" s="235"/>
      <c r="AX784" s="235"/>
      <c r="AY784" s="235"/>
      <c r="AZ784" s="235"/>
      <c r="BA784" s="235"/>
      <c r="BB784" s="235"/>
      <c r="BC784" s="235"/>
      <c r="BD784" s="235"/>
      <c r="BE784" s="235"/>
      <c r="BF784" s="235"/>
    </row>
    <row r="785" spans="1:58" ht="15.75" customHeight="1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  <c r="AA785" s="114"/>
      <c r="AB785" s="114"/>
      <c r="AC785" s="114"/>
      <c r="AD785" s="114"/>
      <c r="AE785" s="235"/>
      <c r="AF785" s="235"/>
      <c r="AG785" s="235"/>
      <c r="AH785" s="235"/>
      <c r="AI785" s="235"/>
      <c r="AJ785" s="235"/>
      <c r="AK785" s="235"/>
      <c r="AL785" s="235"/>
      <c r="AM785" s="235"/>
      <c r="AN785" s="235"/>
      <c r="AO785" s="235"/>
      <c r="AP785" s="235"/>
      <c r="AQ785" s="235"/>
      <c r="AR785" s="235"/>
      <c r="AS785" s="235"/>
      <c r="AT785" s="235"/>
      <c r="AU785" s="235"/>
      <c r="AV785" s="235"/>
      <c r="AW785" s="235"/>
      <c r="AX785" s="235"/>
      <c r="AY785" s="235"/>
      <c r="AZ785" s="235"/>
      <c r="BA785" s="235"/>
      <c r="BB785" s="235"/>
      <c r="BC785" s="235"/>
      <c r="BD785" s="235"/>
      <c r="BE785" s="235"/>
      <c r="BF785" s="235"/>
    </row>
    <row r="786" spans="1:58" ht="15.75" customHeight="1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  <c r="AA786" s="114"/>
      <c r="AB786" s="114"/>
      <c r="AC786" s="114"/>
      <c r="AD786" s="114"/>
      <c r="AE786" s="235"/>
      <c r="AF786" s="235"/>
      <c r="AG786" s="235"/>
      <c r="AH786" s="235"/>
      <c r="AI786" s="235"/>
      <c r="AJ786" s="235"/>
      <c r="AK786" s="235"/>
      <c r="AL786" s="235"/>
      <c r="AM786" s="235"/>
      <c r="AN786" s="235"/>
      <c r="AO786" s="235"/>
      <c r="AP786" s="235"/>
      <c r="AQ786" s="235"/>
      <c r="AR786" s="235"/>
      <c r="AS786" s="235"/>
      <c r="AT786" s="235"/>
      <c r="AU786" s="235"/>
      <c r="AV786" s="235"/>
      <c r="AW786" s="235"/>
      <c r="AX786" s="235"/>
      <c r="AY786" s="235"/>
      <c r="AZ786" s="235"/>
      <c r="BA786" s="235"/>
      <c r="BB786" s="235"/>
      <c r="BC786" s="235"/>
      <c r="BD786" s="235"/>
      <c r="BE786" s="235"/>
      <c r="BF786" s="235"/>
    </row>
    <row r="787" spans="1:58" ht="15.75" customHeight="1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235"/>
      <c r="AF787" s="235"/>
      <c r="AG787" s="235"/>
      <c r="AH787" s="235"/>
      <c r="AI787" s="235"/>
      <c r="AJ787" s="235"/>
      <c r="AK787" s="235"/>
      <c r="AL787" s="235"/>
      <c r="AM787" s="235"/>
      <c r="AN787" s="235"/>
      <c r="AO787" s="235"/>
      <c r="AP787" s="235"/>
      <c r="AQ787" s="235"/>
      <c r="AR787" s="235"/>
      <c r="AS787" s="235"/>
      <c r="AT787" s="235"/>
      <c r="AU787" s="235"/>
      <c r="AV787" s="235"/>
      <c r="AW787" s="235"/>
      <c r="AX787" s="235"/>
      <c r="AY787" s="235"/>
      <c r="AZ787" s="235"/>
      <c r="BA787" s="235"/>
      <c r="BB787" s="235"/>
      <c r="BC787" s="235"/>
      <c r="BD787" s="235"/>
      <c r="BE787" s="235"/>
      <c r="BF787" s="235"/>
    </row>
    <row r="788" spans="1:58" ht="15.75" customHeight="1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235"/>
      <c r="AF788" s="235"/>
      <c r="AG788" s="235"/>
      <c r="AH788" s="235"/>
      <c r="AI788" s="235"/>
      <c r="AJ788" s="235"/>
      <c r="AK788" s="235"/>
      <c r="AL788" s="235"/>
      <c r="AM788" s="235"/>
      <c r="AN788" s="235"/>
      <c r="AO788" s="235"/>
      <c r="AP788" s="235"/>
      <c r="AQ788" s="235"/>
      <c r="AR788" s="235"/>
      <c r="AS788" s="235"/>
      <c r="AT788" s="235"/>
      <c r="AU788" s="235"/>
      <c r="AV788" s="235"/>
      <c r="AW788" s="235"/>
      <c r="AX788" s="235"/>
      <c r="AY788" s="235"/>
      <c r="AZ788" s="235"/>
      <c r="BA788" s="235"/>
      <c r="BB788" s="235"/>
      <c r="BC788" s="235"/>
      <c r="BD788" s="235"/>
      <c r="BE788" s="235"/>
      <c r="BF788" s="235"/>
    </row>
    <row r="789" spans="1:58" ht="15.75" customHeight="1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  <c r="AA789" s="114"/>
      <c r="AB789" s="114"/>
      <c r="AC789" s="114"/>
      <c r="AD789" s="114"/>
      <c r="AE789" s="235"/>
      <c r="AF789" s="235"/>
      <c r="AG789" s="235"/>
      <c r="AH789" s="235"/>
      <c r="AI789" s="235"/>
      <c r="AJ789" s="235"/>
      <c r="AK789" s="235"/>
      <c r="AL789" s="235"/>
      <c r="AM789" s="235"/>
      <c r="AN789" s="235"/>
      <c r="AO789" s="235"/>
      <c r="AP789" s="235"/>
      <c r="AQ789" s="235"/>
      <c r="AR789" s="235"/>
      <c r="AS789" s="235"/>
      <c r="AT789" s="235"/>
      <c r="AU789" s="235"/>
      <c r="AV789" s="235"/>
      <c r="AW789" s="235"/>
      <c r="AX789" s="235"/>
      <c r="AY789" s="235"/>
      <c r="AZ789" s="235"/>
      <c r="BA789" s="235"/>
      <c r="BB789" s="235"/>
      <c r="BC789" s="235"/>
      <c r="BD789" s="235"/>
      <c r="BE789" s="235"/>
      <c r="BF789" s="235"/>
    </row>
    <row r="790" spans="1:58" ht="15.75" customHeight="1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  <c r="AA790" s="114"/>
      <c r="AB790" s="114"/>
      <c r="AC790" s="114"/>
      <c r="AD790" s="114"/>
      <c r="AE790" s="235"/>
      <c r="AF790" s="235"/>
      <c r="AG790" s="235"/>
      <c r="AH790" s="235"/>
      <c r="AI790" s="235"/>
      <c r="AJ790" s="235"/>
      <c r="AK790" s="235"/>
      <c r="AL790" s="235"/>
      <c r="AM790" s="235"/>
      <c r="AN790" s="235"/>
      <c r="AO790" s="235"/>
      <c r="AP790" s="235"/>
      <c r="AQ790" s="235"/>
      <c r="AR790" s="235"/>
      <c r="AS790" s="235"/>
      <c r="AT790" s="235"/>
      <c r="AU790" s="235"/>
      <c r="AV790" s="235"/>
      <c r="AW790" s="235"/>
      <c r="AX790" s="235"/>
      <c r="AY790" s="235"/>
      <c r="AZ790" s="235"/>
      <c r="BA790" s="235"/>
      <c r="BB790" s="235"/>
      <c r="BC790" s="235"/>
      <c r="BD790" s="235"/>
      <c r="BE790" s="235"/>
      <c r="BF790" s="235"/>
    </row>
    <row r="791" spans="1:58" ht="15.75" customHeight="1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235"/>
      <c r="AF791" s="235"/>
      <c r="AG791" s="235"/>
      <c r="AH791" s="235"/>
      <c r="AI791" s="235"/>
      <c r="AJ791" s="235"/>
      <c r="AK791" s="235"/>
      <c r="AL791" s="235"/>
      <c r="AM791" s="235"/>
      <c r="AN791" s="235"/>
      <c r="AO791" s="235"/>
      <c r="AP791" s="235"/>
      <c r="AQ791" s="235"/>
      <c r="AR791" s="235"/>
      <c r="AS791" s="235"/>
      <c r="AT791" s="235"/>
      <c r="AU791" s="235"/>
      <c r="AV791" s="235"/>
      <c r="AW791" s="235"/>
      <c r="AX791" s="235"/>
      <c r="AY791" s="235"/>
      <c r="AZ791" s="235"/>
      <c r="BA791" s="235"/>
      <c r="BB791" s="235"/>
      <c r="BC791" s="235"/>
      <c r="BD791" s="235"/>
      <c r="BE791" s="235"/>
      <c r="BF791" s="235"/>
    </row>
    <row r="792" spans="1:58" ht="15.75" customHeight="1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235"/>
      <c r="AF792" s="235"/>
      <c r="AG792" s="235"/>
      <c r="AH792" s="235"/>
      <c r="AI792" s="235"/>
      <c r="AJ792" s="235"/>
      <c r="AK792" s="235"/>
      <c r="AL792" s="235"/>
      <c r="AM792" s="235"/>
      <c r="AN792" s="235"/>
      <c r="AO792" s="235"/>
      <c r="AP792" s="235"/>
      <c r="AQ792" s="235"/>
      <c r="AR792" s="235"/>
      <c r="AS792" s="235"/>
      <c r="AT792" s="235"/>
      <c r="AU792" s="235"/>
      <c r="AV792" s="235"/>
      <c r="AW792" s="235"/>
      <c r="AX792" s="235"/>
      <c r="AY792" s="235"/>
      <c r="AZ792" s="235"/>
      <c r="BA792" s="235"/>
      <c r="BB792" s="235"/>
      <c r="BC792" s="235"/>
      <c r="BD792" s="235"/>
      <c r="BE792" s="235"/>
      <c r="BF792" s="235"/>
    </row>
    <row r="793" spans="1:58" ht="15.75" customHeight="1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  <c r="AA793" s="114"/>
      <c r="AB793" s="114"/>
      <c r="AC793" s="114"/>
      <c r="AD793" s="114"/>
      <c r="AE793" s="235"/>
      <c r="AF793" s="235"/>
      <c r="AG793" s="235"/>
      <c r="AH793" s="235"/>
      <c r="AI793" s="235"/>
      <c r="AJ793" s="235"/>
      <c r="AK793" s="235"/>
      <c r="AL793" s="235"/>
      <c r="AM793" s="235"/>
      <c r="AN793" s="235"/>
      <c r="AO793" s="235"/>
      <c r="AP793" s="235"/>
      <c r="AQ793" s="235"/>
      <c r="AR793" s="235"/>
      <c r="AS793" s="235"/>
      <c r="AT793" s="235"/>
      <c r="AU793" s="235"/>
      <c r="AV793" s="235"/>
      <c r="AW793" s="235"/>
      <c r="AX793" s="235"/>
      <c r="AY793" s="235"/>
      <c r="AZ793" s="235"/>
      <c r="BA793" s="235"/>
      <c r="BB793" s="235"/>
      <c r="BC793" s="235"/>
      <c r="BD793" s="235"/>
      <c r="BE793" s="235"/>
      <c r="BF793" s="235"/>
    </row>
    <row r="794" spans="1:58" ht="15.75" customHeight="1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  <c r="AA794" s="114"/>
      <c r="AB794" s="114"/>
      <c r="AC794" s="114"/>
      <c r="AD794" s="114"/>
      <c r="AE794" s="235"/>
      <c r="AF794" s="235"/>
      <c r="AG794" s="235"/>
      <c r="AH794" s="235"/>
      <c r="AI794" s="235"/>
      <c r="AJ794" s="235"/>
      <c r="AK794" s="235"/>
      <c r="AL794" s="235"/>
      <c r="AM794" s="235"/>
      <c r="AN794" s="235"/>
      <c r="AO794" s="235"/>
      <c r="AP794" s="235"/>
      <c r="AQ794" s="235"/>
      <c r="AR794" s="235"/>
      <c r="AS794" s="235"/>
      <c r="AT794" s="235"/>
      <c r="AU794" s="235"/>
      <c r="AV794" s="235"/>
      <c r="AW794" s="235"/>
      <c r="AX794" s="235"/>
      <c r="AY794" s="235"/>
      <c r="AZ794" s="235"/>
      <c r="BA794" s="235"/>
      <c r="BB794" s="235"/>
      <c r="BC794" s="235"/>
      <c r="BD794" s="235"/>
      <c r="BE794" s="235"/>
      <c r="BF794" s="235"/>
    </row>
    <row r="795" spans="1:58" ht="15.75" customHeight="1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235"/>
      <c r="AF795" s="235"/>
      <c r="AG795" s="235"/>
      <c r="AH795" s="235"/>
      <c r="AI795" s="235"/>
      <c r="AJ795" s="235"/>
      <c r="AK795" s="235"/>
      <c r="AL795" s="235"/>
      <c r="AM795" s="235"/>
      <c r="AN795" s="235"/>
      <c r="AO795" s="235"/>
      <c r="AP795" s="235"/>
      <c r="AQ795" s="235"/>
      <c r="AR795" s="235"/>
      <c r="AS795" s="235"/>
      <c r="AT795" s="235"/>
      <c r="AU795" s="235"/>
      <c r="AV795" s="235"/>
      <c r="AW795" s="235"/>
      <c r="AX795" s="235"/>
      <c r="AY795" s="235"/>
      <c r="AZ795" s="235"/>
      <c r="BA795" s="235"/>
      <c r="BB795" s="235"/>
      <c r="BC795" s="235"/>
      <c r="BD795" s="235"/>
      <c r="BE795" s="235"/>
      <c r="BF795" s="235"/>
    </row>
    <row r="796" spans="1:58" ht="15.75" customHeight="1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235"/>
      <c r="AF796" s="235"/>
      <c r="AG796" s="235"/>
      <c r="AH796" s="235"/>
      <c r="AI796" s="235"/>
      <c r="AJ796" s="235"/>
      <c r="AK796" s="235"/>
      <c r="AL796" s="235"/>
      <c r="AM796" s="235"/>
      <c r="AN796" s="235"/>
      <c r="AO796" s="235"/>
      <c r="AP796" s="235"/>
      <c r="AQ796" s="235"/>
      <c r="AR796" s="235"/>
      <c r="AS796" s="235"/>
      <c r="AT796" s="235"/>
      <c r="AU796" s="235"/>
      <c r="AV796" s="235"/>
      <c r="AW796" s="235"/>
      <c r="AX796" s="235"/>
      <c r="AY796" s="235"/>
      <c r="AZ796" s="235"/>
      <c r="BA796" s="235"/>
      <c r="BB796" s="235"/>
      <c r="BC796" s="235"/>
      <c r="BD796" s="235"/>
      <c r="BE796" s="235"/>
      <c r="BF796" s="235"/>
    </row>
    <row r="797" spans="1:58" ht="15.75" customHeight="1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  <c r="AA797" s="114"/>
      <c r="AB797" s="114"/>
      <c r="AC797" s="114"/>
      <c r="AD797" s="114"/>
      <c r="AE797" s="235"/>
      <c r="AF797" s="235"/>
      <c r="AG797" s="235"/>
      <c r="AH797" s="235"/>
      <c r="AI797" s="235"/>
      <c r="AJ797" s="235"/>
      <c r="AK797" s="235"/>
      <c r="AL797" s="235"/>
      <c r="AM797" s="235"/>
      <c r="AN797" s="235"/>
      <c r="AO797" s="235"/>
      <c r="AP797" s="235"/>
      <c r="AQ797" s="235"/>
      <c r="AR797" s="235"/>
      <c r="AS797" s="235"/>
      <c r="AT797" s="235"/>
      <c r="AU797" s="235"/>
      <c r="AV797" s="235"/>
      <c r="AW797" s="235"/>
      <c r="AX797" s="235"/>
      <c r="AY797" s="235"/>
      <c r="AZ797" s="235"/>
      <c r="BA797" s="235"/>
      <c r="BB797" s="235"/>
      <c r="BC797" s="235"/>
      <c r="BD797" s="235"/>
      <c r="BE797" s="235"/>
      <c r="BF797" s="235"/>
    </row>
    <row r="798" spans="1:58" ht="15.75" customHeight="1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  <c r="AA798" s="114"/>
      <c r="AB798" s="114"/>
      <c r="AC798" s="114"/>
      <c r="AD798" s="114"/>
      <c r="AE798" s="235"/>
      <c r="AF798" s="235"/>
      <c r="AG798" s="235"/>
      <c r="AH798" s="235"/>
      <c r="AI798" s="235"/>
      <c r="AJ798" s="235"/>
      <c r="AK798" s="235"/>
      <c r="AL798" s="235"/>
      <c r="AM798" s="235"/>
      <c r="AN798" s="235"/>
      <c r="AO798" s="235"/>
      <c r="AP798" s="235"/>
      <c r="AQ798" s="235"/>
      <c r="AR798" s="235"/>
      <c r="AS798" s="235"/>
      <c r="AT798" s="235"/>
      <c r="AU798" s="235"/>
      <c r="AV798" s="235"/>
      <c r="AW798" s="235"/>
      <c r="AX798" s="235"/>
      <c r="AY798" s="235"/>
      <c r="AZ798" s="235"/>
      <c r="BA798" s="235"/>
      <c r="BB798" s="235"/>
      <c r="BC798" s="235"/>
      <c r="BD798" s="235"/>
      <c r="BE798" s="235"/>
      <c r="BF798" s="235"/>
    </row>
    <row r="799" spans="1:58" ht="15.75" customHeight="1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235"/>
      <c r="AF799" s="235"/>
      <c r="AG799" s="235"/>
      <c r="AH799" s="235"/>
      <c r="AI799" s="235"/>
      <c r="AJ799" s="235"/>
      <c r="AK799" s="235"/>
      <c r="AL799" s="235"/>
      <c r="AM799" s="235"/>
      <c r="AN799" s="235"/>
      <c r="AO799" s="235"/>
      <c r="AP799" s="235"/>
      <c r="AQ799" s="235"/>
      <c r="AR799" s="235"/>
      <c r="AS799" s="235"/>
      <c r="AT799" s="235"/>
      <c r="AU799" s="235"/>
      <c r="AV799" s="235"/>
      <c r="AW799" s="235"/>
      <c r="AX799" s="235"/>
      <c r="AY799" s="235"/>
      <c r="AZ799" s="235"/>
      <c r="BA799" s="235"/>
      <c r="BB799" s="235"/>
      <c r="BC799" s="235"/>
      <c r="BD799" s="235"/>
      <c r="BE799" s="235"/>
      <c r="BF799" s="235"/>
    </row>
    <row r="800" spans="1:58" ht="15.75" customHeight="1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235"/>
      <c r="AF800" s="235"/>
      <c r="AG800" s="235"/>
      <c r="AH800" s="235"/>
      <c r="AI800" s="235"/>
      <c r="AJ800" s="235"/>
      <c r="AK800" s="235"/>
      <c r="AL800" s="235"/>
      <c r="AM800" s="235"/>
      <c r="AN800" s="235"/>
      <c r="AO800" s="235"/>
      <c r="AP800" s="235"/>
      <c r="AQ800" s="235"/>
      <c r="AR800" s="235"/>
      <c r="AS800" s="235"/>
      <c r="AT800" s="235"/>
      <c r="AU800" s="235"/>
      <c r="AV800" s="235"/>
      <c r="AW800" s="235"/>
      <c r="AX800" s="235"/>
      <c r="AY800" s="235"/>
      <c r="AZ800" s="235"/>
      <c r="BA800" s="235"/>
      <c r="BB800" s="235"/>
      <c r="BC800" s="235"/>
      <c r="BD800" s="235"/>
      <c r="BE800" s="235"/>
      <c r="BF800" s="235"/>
    </row>
    <row r="801" spans="1:58" ht="15.75" customHeight="1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  <c r="AA801" s="114"/>
      <c r="AB801" s="114"/>
      <c r="AC801" s="114"/>
      <c r="AD801" s="114"/>
      <c r="AE801" s="235"/>
      <c r="AF801" s="235"/>
      <c r="AG801" s="235"/>
      <c r="AH801" s="235"/>
      <c r="AI801" s="235"/>
      <c r="AJ801" s="235"/>
      <c r="AK801" s="235"/>
      <c r="AL801" s="235"/>
      <c r="AM801" s="235"/>
      <c r="AN801" s="235"/>
      <c r="AO801" s="235"/>
      <c r="AP801" s="235"/>
      <c r="AQ801" s="235"/>
      <c r="AR801" s="235"/>
      <c r="AS801" s="235"/>
      <c r="AT801" s="235"/>
      <c r="AU801" s="235"/>
      <c r="AV801" s="235"/>
      <c r="AW801" s="235"/>
      <c r="AX801" s="235"/>
      <c r="AY801" s="235"/>
      <c r="AZ801" s="235"/>
      <c r="BA801" s="235"/>
      <c r="BB801" s="235"/>
      <c r="BC801" s="235"/>
      <c r="BD801" s="235"/>
      <c r="BE801" s="235"/>
      <c r="BF801" s="235"/>
    </row>
    <row r="802" spans="1:58" ht="15.75" customHeight="1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  <c r="AA802" s="114"/>
      <c r="AB802" s="114"/>
      <c r="AC802" s="114"/>
      <c r="AD802" s="114"/>
      <c r="AE802" s="235"/>
      <c r="AF802" s="235"/>
      <c r="AG802" s="235"/>
      <c r="AH802" s="235"/>
      <c r="AI802" s="235"/>
      <c r="AJ802" s="235"/>
      <c r="AK802" s="235"/>
      <c r="AL802" s="235"/>
      <c r="AM802" s="235"/>
      <c r="AN802" s="235"/>
      <c r="AO802" s="235"/>
      <c r="AP802" s="235"/>
      <c r="AQ802" s="235"/>
      <c r="AR802" s="235"/>
      <c r="AS802" s="235"/>
      <c r="AT802" s="235"/>
      <c r="AU802" s="235"/>
      <c r="AV802" s="235"/>
      <c r="AW802" s="235"/>
      <c r="AX802" s="235"/>
      <c r="AY802" s="235"/>
      <c r="AZ802" s="235"/>
      <c r="BA802" s="235"/>
      <c r="BB802" s="235"/>
      <c r="BC802" s="235"/>
      <c r="BD802" s="235"/>
      <c r="BE802" s="235"/>
      <c r="BF802" s="235"/>
    </row>
    <row r="803" spans="1:58" ht="15.75" customHeight="1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235"/>
      <c r="AF803" s="235"/>
      <c r="AG803" s="235"/>
      <c r="AH803" s="235"/>
      <c r="AI803" s="235"/>
      <c r="AJ803" s="235"/>
      <c r="AK803" s="235"/>
      <c r="AL803" s="235"/>
      <c r="AM803" s="235"/>
      <c r="AN803" s="235"/>
      <c r="AO803" s="235"/>
      <c r="AP803" s="235"/>
      <c r="AQ803" s="235"/>
      <c r="AR803" s="235"/>
      <c r="AS803" s="235"/>
      <c r="AT803" s="235"/>
      <c r="AU803" s="235"/>
      <c r="AV803" s="235"/>
      <c r="AW803" s="235"/>
      <c r="AX803" s="235"/>
      <c r="AY803" s="235"/>
      <c r="AZ803" s="235"/>
      <c r="BA803" s="235"/>
      <c r="BB803" s="235"/>
      <c r="BC803" s="235"/>
      <c r="BD803" s="235"/>
      <c r="BE803" s="235"/>
      <c r="BF803" s="235"/>
    </row>
    <row r="804" spans="1:58" ht="15.75" customHeight="1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235"/>
      <c r="AF804" s="235"/>
      <c r="AG804" s="235"/>
      <c r="AH804" s="235"/>
      <c r="AI804" s="235"/>
      <c r="AJ804" s="235"/>
      <c r="AK804" s="235"/>
      <c r="AL804" s="235"/>
      <c r="AM804" s="235"/>
      <c r="AN804" s="235"/>
      <c r="AO804" s="235"/>
      <c r="AP804" s="235"/>
      <c r="AQ804" s="235"/>
      <c r="AR804" s="235"/>
      <c r="AS804" s="235"/>
      <c r="AT804" s="235"/>
      <c r="AU804" s="235"/>
      <c r="AV804" s="235"/>
      <c r="AW804" s="235"/>
      <c r="AX804" s="235"/>
      <c r="AY804" s="235"/>
      <c r="AZ804" s="235"/>
      <c r="BA804" s="235"/>
      <c r="BB804" s="235"/>
      <c r="BC804" s="235"/>
      <c r="BD804" s="235"/>
      <c r="BE804" s="235"/>
      <c r="BF804" s="235"/>
    </row>
    <row r="805" spans="1:58" ht="15.75" customHeight="1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  <c r="AA805" s="114"/>
      <c r="AB805" s="114"/>
      <c r="AC805" s="114"/>
      <c r="AD805" s="114"/>
      <c r="AE805" s="235"/>
      <c r="AF805" s="235"/>
      <c r="AG805" s="235"/>
      <c r="AH805" s="235"/>
      <c r="AI805" s="235"/>
      <c r="AJ805" s="235"/>
      <c r="AK805" s="235"/>
      <c r="AL805" s="235"/>
      <c r="AM805" s="235"/>
      <c r="AN805" s="235"/>
      <c r="AO805" s="235"/>
      <c r="AP805" s="235"/>
      <c r="AQ805" s="235"/>
      <c r="AR805" s="235"/>
      <c r="AS805" s="235"/>
      <c r="AT805" s="235"/>
      <c r="AU805" s="235"/>
      <c r="AV805" s="235"/>
      <c r="AW805" s="235"/>
      <c r="AX805" s="235"/>
      <c r="AY805" s="235"/>
      <c r="AZ805" s="235"/>
      <c r="BA805" s="235"/>
      <c r="BB805" s="235"/>
      <c r="BC805" s="235"/>
      <c r="BD805" s="235"/>
      <c r="BE805" s="235"/>
      <c r="BF805" s="235"/>
    </row>
    <row r="806" spans="1:58" ht="15.75" customHeight="1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  <c r="AA806" s="114"/>
      <c r="AB806" s="114"/>
      <c r="AC806" s="114"/>
      <c r="AD806" s="114"/>
      <c r="AE806" s="235"/>
      <c r="AF806" s="235"/>
      <c r="AG806" s="235"/>
      <c r="AH806" s="235"/>
      <c r="AI806" s="235"/>
      <c r="AJ806" s="235"/>
      <c r="AK806" s="235"/>
      <c r="AL806" s="235"/>
      <c r="AM806" s="235"/>
      <c r="AN806" s="235"/>
      <c r="AO806" s="235"/>
      <c r="AP806" s="235"/>
      <c r="AQ806" s="235"/>
      <c r="AR806" s="235"/>
      <c r="AS806" s="235"/>
      <c r="AT806" s="235"/>
      <c r="AU806" s="235"/>
      <c r="AV806" s="235"/>
      <c r="AW806" s="235"/>
      <c r="AX806" s="235"/>
      <c r="AY806" s="235"/>
      <c r="AZ806" s="235"/>
      <c r="BA806" s="235"/>
      <c r="BB806" s="235"/>
      <c r="BC806" s="235"/>
      <c r="BD806" s="235"/>
      <c r="BE806" s="235"/>
      <c r="BF806" s="235"/>
    </row>
    <row r="807" spans="1:58" ht="15.75" customHeight="1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235"/>
      <c r="AF807" s="235"/>
      <c r="AG807" s="235"/>
      <c r="AH807" s="235"/>
      <c r="AI807" s="235"/>
      <c r="AJ807" s="235"/>
      <c r="AK807" s="235"/>
      <c r="AL807" s="235"/>
      <c r="AM807" s="235"/>
      <c r="AN807" s="235"/>
      <c r="AO807" s="235"/>
      <c r="AP807" s="235"/>
      <c r="AQ807" s="235"/>
      <c r="AR807" s="235"/>
      <c r="AS807" s="235"/>
      <c r="AT807" s="235"/>
      <c r="AU807" s="235"/>
      <c r="AV807" s="235"/>
      <c r="AW807" s="235"/>
      <c r="AX807" s="235"/>
      <c r="AY807" s="235"/>
      <c r="AZ807" s="235"/>
      <c r="BA807" s="235"/>
      <c r="BB807" s="235"/>
      <c r="BC807" s="235"/>
      <c r="BD807" s="235"/>
      <c r="BE807" s="235"/>
      <c r="BF807" s="235"/>
    </row>
    <row r="808" spans="1:58" ht="15.75" customHeight="1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235"/>
      <c r="AF808" s="235"/>
      <c r="AG808" s="235"/>
      <c r="AH808" s="235"/>
      <c r="AI808" s="235"/>
      <c r="AJ808" s="235"/>
      <c r="AK808" s="235"/>
      <c r="AL808" s="235"/>
      <c r="AM808" s="235"/>
      <c r="AN808" s="235"/>
      <c r="AO808" s="235"/>
      <c r="AP808" s="235"/>
      <c r="AQ808" s="235"/>
      <c r="AR808" s="235"/>
      <c r="AS808" s="235"/>
      <c r="AT808" s="235"/>
      <c r="AU808" s="235"/>
      <c r="AV808" s="235"/>
      <c r="AW808" s="235"/>
      <c r="AX808" s="235"/>
      <c r="AY808" s="235"/>
      <c r="AZ808" s="235"/>
      <c r="BA808" s="235"/>
      <c r="BB808" s="235"/>
      <c r="BC808" s="235"/>
      <c r="BD808" s="235"/>
      <c r="BE808" s="235"/>
      <c r="BF808" s="235"/>
    </row>
    <row r="809" spans="1:58" ht="15.75" customHeight="1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  <c r="AA809" s="114"/>
      <c r="AB809" s="114"/>
      <c r="AC809" s="114"/>
      <c r="AD809" s="114"/>
      <c r="AE809" s="235"/>
      <c r="AF809" s="235"/>
      <c r="AG809" s="235"/>
      <c r="AH809" s="235"/>
      <c r="AI809" s="235"/>
      <c r="AJ809" s="235"/>
      <c r="AK809" s="235"/>
      <c r="AL809" s="235"/>
      <c r="AM809" s="235"/>
      <c r="AN809" s="235"/>
      <c r="AO809" s="235"/>
      <c r="AP809" s="235"/>
      <c r="AQ809" s="235"/>
      <c r="AR809" s="235"/>
      <c r="AS809" s="235"/>
      <c r="AT809" s="235"/>
      <c r="AU809" s="235"/>
      <c r="AV809" s="235"/>
      <c r="AW809" s="235"/>
      <c r="AX809" s="235"/>
      <c r="AY809" s="235"/>
      <c r="AZ809" s="235"/>
      <c r="BA809" s="235"/>
      <c r="BB809" s="235"/>
      <c r="BC809" s="235"/>
      <c r="BD809" s="235"/>
      <c r="BE809" s="235"/>
      <c r="BF809" s="235"/>
    </row>
    <row r="810" spans="1:58" ht="15.75" customHeight="1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  <c r="AA810" s="114"/>
      <c r="AB810" s="114"/>
      <c r="AC810" s="114"/>
      <c r="AD810" s="114"/>
      <c r="AE810" s="235"/>
      <c r="AF810" s="235"/>
      <c r="AG810" s="235"/>
      <c r="AH810" s="235"/>
      <c r="AI810" s="235"/>
      <c r="AJ810" s="235"/>
      <c r="AK810" s="235"/>
      <c r="AL810" s="235"/>
      <c r="AM810" s="235"/>
      <c r="AN810" s="235"/>
      <c r="AO810" s="235"/>
      <c r="AP810" s="235"/>
      <c r="AQ810" s="235"/>
      <c r="AR810" s="235"/>
      <c r="AS810" s="235"/>
      <c r="AT810" s="235"/>
      <c r="AU810" s="235"/>
      <c r="AV810" s="235"/>
      <c r="AW810" s="235"/>
      <c r="AX810" s="235"/>
      <c r="AY810" s="235"/>
      <c r="AZ810" s="235"/>
      <c r="BA810" s="235"/>
      <c r="BB810" s="235"/>
      <c r="BC810" s="235"/>
      <c r="BD810" s="235"/>
      <c r="BE810" s="235"/>
      <c r="BF810" s="235"/>
    </row>
    <row r="811" spans="1:58" ht="15.75" customHeight="1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235"/>
      <c r="AF811" s="235"/>
      <c r="AG811" s="235"/>
      <c r="AH811" s="235"/>
      <c r="AI811" s="235"/>
      <c r="AJ811" s="235"/>
      <c r="AK811" s="235"/>
      <c r="AL811" s="235"/>
      <c r="AM811" s="235"/>
      <c r="AN811" s="235"/>
      <c r="AO811" s="235"/>
      <c r="AP811" s="235"/>
      <c r="AQ811" s="235"/>
      <c r="AR811" s="235"/>
      <c r="AS811" s="235"/>
      <c r="AT811" s="235"/>
      <c r="AU811" s="235"/>
      <c r="AV811" s="235"/>
      <c r="AW811" s="235"/>
      <c r="AX811" s="235"/>
      <c r="AY811" s="235"/>
      <c r="AZ811" s="235"/>
      <c r="BA811" s="235"/>
      <c r="BB811" s="235"/>
      <c r="BC811" s="235"/>
      <c r="BD811" s="235"/>
      <c r="BE811" s="235"/>
      <c r="BF811" s="235"/>
    </row>
    <row r="812" spans="1:58" ht="15.75" customHeight="1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235"/>
      <c r="AF812" s="235"/>
      <c r="AG812" s="235"/>
      <c r="AH812" s="235"/>
      <c r="AI812" s="235"/>
      <c r="AJ812" s="235"/>
      <c r="AK812" s="235"/>
      <c r="AL812" s="235"/>
      <c r="AM812" s="235"/>
      <c r="AN812" s="235"/>
      <c r="AO812" s="235"/>
      <c r="AP812" s="235"/>
      <c r="AQ812" s="235"/>
      <c r="AR812" s="235"/>
      <c r="AS812" s="235"/>
      <c r="AT812" s="235"/>
      <c r="AU812" s="235"/>
      <c r="AV812" s="235"/>
      <c r="AW812" s="235"/>
      <c r="AX812" s="235"/>
      <c r="AY812" s="235"/>
      <c r="AZ812" s="235"/>
      <c r="BA812" s="235"/>
      <c r="BB812" s="235"/>
      <c r="BC812" s="235"/>
      <c r="BD812" s="235"/>
      <c r="BE812" s="235"/>
      <c r="BF812" s="235"/>
    </row>
    <row r="813" spans="1:58" ht="15.75" customHeight="1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  <c r="AA813" s="114"/>
      <c r="AB813" s="114"/>
      <c r="AC813" s="114"/>
      <c r="AD813" s="114"/>
      <c r="AE813" s="235"/>
      <c r="AF813" s="235"/>
      <c r="AG813" s="235"/>
      <c r="AH813" s="235"/>
      <c r="AI813" s="235"/>
      <c r="AJ813" s="235"/>
      <c r="AK813" s="235"/>
      <c r="AL813" s="235"/>
      <c r="AM813" s="235"/>
      <c r="AN813" s="235"/>
      <c r="AO813" s="235"/>
      <c r="AP813" s="235"/>
      <c r="AQ813" s="235"/>
      <c r="AR813" s="235"/>
      <c r="AS813" s="235"/>
      <c r="AT813" s="235"/>
      <c r="AU813" s="235"/>
      <c r="AV813" s="235"/>
      <c r="AW813" s="235"/>
      <c r="AX813" s="235"/>
      <c r="AY813" s="235"/>
      <c r="AZ813" s="235"/>
      <c r="BA813" s="235"/>
      <c r="BB813" s="235"/>
      <c r="BC813" s="235"/>
      <c r="BD813" s="235"/>
      <c r="BE813" s="235"/>
      <c r="BF813" s="235"/>
    </row>
    <row r="814" spans="1:58" ht="15.75" customHeight="1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  <c r="AA814" s="114"/>
      <c r="AB814" s="114"/>
      <c r="AC814" s="114"/>
      <c r="AD814" s="114"/>
      <c r="AE814" s="235"/>
      <c r="AF814" s="235"/>
      <c r="AG814" s="235"/>
      <c r="AH814" s="235"/>
      <c r="AI814" s="235"/>
      <c r="AJ814" s="235"/>
      <c r="AK814" s="235"/>
      <c r="AL814" s="235"/>
      <c r="AM814" s="235"/>
      <c r="AN814" s="235"/>
      <c r="AO814" s="235"/>
      <c r="AP814" s="235"/>
      <c r="AQ814" s="235"/>
      <c r="AR814" s="235"/>
      <c r="AS814" s="235"/>
      <c r="AT814" s="235"/>
      <c r="AU814" s="235"/>
      <c r="AV814" s="235"/>
      <c r="AW814" s="235"/>
      <c r="AX814" s="235"/>
      <c r="AY814" s="235"/>
      <c r="AZ814" s="235"/>
      <c r="BA814" s="235"/>
      <c r="BB814" s="235"/>
      <c r="BC814" s="235"/>
      <c r="BD814" s="235"/>
      <c r="BE814" s="235"/>
      <c r="BF814" s="235"/>
    </row>
    <row r="815" spans="1:58" ht="15.75" customHeight="1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235"/>
      <c r="AF815" s="235"/>
      <c r="AG815" s="235"/>
      <c r="AH815" s="235"/>
      <c r="AI815" s="235"/>
      <c r="AJ815" s="235"/>
      <c r="AK815" s="235"/>
      <c r="AL815" s="235"/>
      <c r="AM815" s="235"/>
      <c r="AN815" s="235"/>
      <c r="AO815" s="235"/>
      <c r="AP815" s="235"/>
      <c r="AQ815" s="235"/>
      <c r="AR815" s="235"/>
      <c r="AS815" s="235"/>
      <c r="AT815" s="235"/>
      <c r="AU815" s="235"/>
      <c r="AV815" s="235"/>
      <c r="AW815" s="235"/>
      <c r="AX815" s="235"/>
      <c r="AY815" s="235"/>
      <c r="AZ815" s="235"/>
      <c r="BA815" s="235"/>
      <c r="BB815" s="235"/>
      <c r="BC815" s="235"/>
      <c r="BD815" s="235"/>
      <c r="BE815" s="235"/>
      <c r="BF815" s="235"/>
    </row>
    <row r="816" spans="1:58" ht="15.75" customHeight="1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235"/>
      <c r="AF816" s="235"/>
      <c r="AG816" s="235"/>
      <c r="AH816" s="235"/>
      <c r="AI816" s="235"/>
      <c r="AJ816" s="235"/>
      <c r="AK816" s="235"/>
      <c r="AL816" s="235"/>
      <c r="AM816" s="235"/>
      <c r="AN816" s="235"/>
      <c r="AO816" s="235"/>
      <c r="AP816" s="235"/>
      <c r="AQ816" s="235"/>
      <c r="AR816" s="235"/>
      <c r="AS816" s="235"/>
      <c r="AT816" s="235"/>
      <c r="AU816" s="235"/>
      <c r="AV816" s="235"/>
      <c r="AW816" s="235"/>
      <c r="AX816" s="235"/>
      <c r="AY816" s="235"/>
      <c r="AZ816" s="235"/>
      <c r="BA816" s="235"/>
      <c r="BB816" s="235"/>
      <c r="BC816" s="235"/>
      <c r="BD816" s="235"/>
      <c r="BE816" s="235"/>
      <c r="BF816" s="235"/>
    </row>
    <row r="817" spans="1:58" ht="15.75" customHeight="1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  <c r="AA817" s="114"/>
      <c r="AB817" s="114"/>
      <c r="AC817" s="114"/>
      <c r="AD817" s="114"/>
      <c r="AE817" s="235"/>
      <c r="AF817" s="235"/>
      <c r="AG817" s="235"/>
      <c r="AH817" s="235"/>
      <c r="AI817" s="235"/>
      <c r="AJ817" s="235"/>
      <c r="AK817" s="235"/>
      <c r="AL817" s="235"/>
      <c r="AM817" s="235"/>
      <c r="AN817" s="235"/>
      <c r="AO817" s="235"/>
      <c r="AP817" s="235"/>
      <c r="AQ817" s="235"/>
      <c r="AR817" s="235"/>
      <c r="AS817" s="235"/>
      <c r="AT817" s="235"/>
      <c r="AU817" s="235"/>
      <c r="AV817" s="235"/>
      <c r="AW817" s="235"/>
      <c r="AX817" s="235"/>
      <c r="AY817" s="235"/>
      <c r="AZ817" s="235"/>
      <c r="BA817" s="235"/>
      <c r="BB817" s="235"/>
      <c r="BC817" s="235"/>
      <c r="BD817" s="235"/>
      <c r="BE817" s="235"/>
      <c r="BF817" s="235"/>
    </row>
    <row r="818" spans="1:58" ht="15.75" customHeight="1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  <c r="AA818" s="114"/>
      <c r="AB818" s="114"/>
      <c r="AC818" s="114"/>
      <c r="AD818" s="114"/>
      <c r="AE818" s="235"/>
      <c r="AF818" s="235"/>
      <c r="AG818" s="235"/>
      <c r="AH818" s="235"/>
      <c r="AI818" s="235"/>
      <c r="AJ818" s="235"/>
      <c r="AK818" s="235"/>
      <c r="AL818" s="235"/>
      <c r="AM818" s="235"/>
      <c r="AN818" s="235"/>
      <c r="AO818" s="235"/>
      <c r="AP818" s="235"/>
      <c r="AQ818" s="235"/>
      <c r="AR818" s="235"/>
      <c r="AS818" s="235"/>
      <c r="AT818" s="235"/>
      <c r="AU818" s="235"/>
      <c r="AV818" s="235"/>
      <c r="AW818" s="235"/>
      <c r="AX818" s="235"/>
      <c r="AY818" s="235"/>
      <c r="AZ818" s="235"/>
      <c r="BA818" s="235"/>
      <c r="BB818" s="235"/>
      <c r="BC818" s="235"/>
      <c r="BD818" s="235"/>
      <c r="BE818" s="235"/>
      <c r="BF818" s="235"/>
    </row>
    <row r="819" spans="1:58" ht="15.75" customHeight="1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235"/>
      <c r="AF819" s="235"/>
      <c r="AG819" s="235"/>
      <c r="AH819" s="235"/>
      <c r="AI819" s="235"/>
      <c r="AJ819" s="235"/>
      <c r="AK819" s="235"/>
      <c r="AL819" s="235"/>
      <c r="AM819" s="235"/>
      <c r="AN819" s="235"/>
      <c r="AO819" s="235"/>
      <c r="AP819" s="235"/>
      <c r="AQ819" s="235"/>
      <c r="AR819" s="235"/>
      <c r="AS819" s="235"/>
      <c r="AT819" s="235"/>
      <c r="AU819" s="235"/>
      <c r="AV819" s="235"/>
      <c r="AW819" s="235"/>
      <c r="AX819" s="235"/>
      <c r="AY819" s="235"/>
      <c r="AZ819" s="235"/>
      <c r="BA819" s="235"/>
      <c r="BB819" s="235"/>
      <c r="BC819" s="235"/>
      <c r="BD819" s="235"/>
      <c r="BE819" s="235"/>
      <c r="BF819" s="235"/>
    </row>
    <row r="820" spans="1:58" ht="15.75" customHeight="1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235"/>
      <c r="AF820" s="235"/>
      <c r="AG820" s="235"/>
      <c r="AH820" s="235"/>
      <c r="AI820" s="235"/>
      <c r="AJ820" s="235"/>
      <c r="AK820" s="235"/>
      <c r="AL820" s="235"/>
      <c r="AM820" s="235"/>
      <c r="AN820" s="235"/>
      <c r="AO820" s="235"/>
      <c r="AP820" s="235"/>
      <c r="AQ820" s="235"/>
      <c r="AR820" s="235"/>
      <c r="AS820" s="235"/>
      <c r="AT820" s="235"/>
      <c r="AU820" s="235"/>
      <c r="AV820" s="235"/>
      <c r="AW820" s="235"/>
      <c r="AX820" s="235"/>
      <c r="AY820" s="235"/>
      <c r="AZ820" s="235"/>
      <c r="BA820" s="235"/>
      <c r="BB820" s="235"/>
      <c r="BC820" s="235"/>
      <c r="BD820" s="235"/>
      <c r="BE820" s="235"/>
      <c r="BF820" s="235"/>
    </row>
    <row r="821" spans="1:58" ht="15.75" customHeight="1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  <c r="AA821" s="114"/>
      <c r="AB821" s="114"/>
      <c r="AC821" s="114"/>
      <c r="AD821" s="114"/>
      <c r="AE821" s="235"/>
      <c r="AF821" s="235"/>
      <c r="AG821" s="235"/>
      <c r="AH821" s="235"/>
      <c r="AI821" s="235"/>
      <c r="AJ821" s="235"/>
      <c r="AK821" s="235"/>
      <c r="AL821" s="235"/>
      <c r="AM821" s="235"/>
      <c r="AN821" s="235"/>
      <c r="AO821" s="235"/>
      <c r="AP821" s="235"/>
      <c r="AQ821" s="235"/>
      <c r="AR821" s="235"/>
      <c r="AS821" s="235"/>
      <c r="AT821" s="235"/>
      <c r="AU821" s="235"/>
      <c r="AV821" s="235"/>
      <c r="AW821" s="235"/>
      <c r="AX821" s="235"/>
      <c r="AY821" s="235"/>
      <c r="AZ821" s="235"/>
      <c r="BA821" s="235"/>
      <c r="BB821" s="235"/>
      <c r="BC821" s="235"/>
      <c r="BD821" s="235"/>
      <c r="BE821" s="235"/>
      <c r="BF821" s="235"/>
    </row>
    <row r="822" spans="1:58" ht="15.75" customHeight="1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  <c r="AA822" s="114"/>
      <c r="AB822" s="114"/>
      <c r="AC822" s="114"/>
      <c r="AD822" s="114"/>
      <c r="AE822" s="235"/>
      <c r="AF822" s="235"/>
      <c r="AG822" s="235"/>
      <c r="AH822" s="235"/>
      <c r="AI822" s="235"/>
      <c r="AJ822" s="235"/>
      <c r="AK822" s="235"/>
      <c r="AL822" s="235"/>
      <c r="AM822" s="235"/>
      <c r="AN822" s="235"/>
      <c r="AO822" s="235"/>
      <c r="AP822" s="235"/>
      <c r="AQ822" s="235"/>
      <c r="AR822" s="235"/>
      <c r="AS822" s="235"/>
      <c r="AT822" s="235"/>
      <c r="AU822" s="235"/>
      <c r="AV822" s="235"/>
      <c r="AW822" s="235"/>
      <c r="AX822" s="235"/>
      <c r="AY822" s="235"/>
      <c r="AZ822" s="235"/>
      <c r="BA822" s="235"/>
      <c r="BB822" s="235"/>
      <c r="BC822" s="235"/>
      <c r="BD822" s="235"/>
      <c r="BE822" s="235"/>
      <c r="BF822" s="235"/>
    </row>
    <row r="823" spans="1:58" ht="15.75" customHeight="1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235"/>
      <c r="AF823" s="235"/>
      <c r="AG823" s="235"/>
      <c r="AH823" s="235"/>
      <c r="AI823" s="235"/>
      <c r="AJ823" s="235"/>
      <c r="AK823" s="235"/>
      <c r="AL823" s="235"/>
      <c r="AM823" s="235"/>
      <c r="AN823" s="235"/>
      <c r="AO823" s="235"/>
      <c r="AP823" s="235"/>
      <c r="AQ823" s="235"/>
      <c r="AR823" s="235"/>
      <c r="AS823" s="235"/>
      <c r="AT823" s="235"/>
      <c r="AU823" s="235"/>
      <c r="AV823" s="235"/>
      <c r="AW823" s="235"/>
      <c r="AX823" s="235"/>
      <c r="AY823" s="235"/>
      <c r="AZ823" s="235"/>
      <c r="BA823" s="235"/>
      <c r="BB823" s="235"/>
      <c r="BC823" s="235"/>
      <c r="BD823" s="235"/>
      <c r="BE823" s="235"/>
      <c r="BF823" s="235"/>
    </row>
    <row r="824" spans="1:58" ht="15.75" customHeight="1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235"/>
      <c r="AF824" s="235"/>
      <c r="AG824" s="235"/>
      <c r="AH824" s="235"/>
      <c r="AI824" s="235"/>
      <c r="AJ824" s="235"/>
      <c r="AK824" s="235"/>
      <c r="AL824" s="235"/>
      <c r="AM824" s="235"/>
      <c r="AN824" s="235"/>
      <c r="AO824" s="235"/>
      <c r="AP824" s="235"/>
      <c r="AQ824" s="235"/>
      <c r="AR824" s="235"/>
      <c r="AS824" s="235"/>
      <c r="AT824" s="235"/>
      <c r="AU824" s="235"/>
      <c r="AV824" s="235"/>
      <c r="AW824" s="235"/>
      <c r="AX824" s="235"/>
      <c r="AY824" s="235"/>
      <c r="AZ824" s="235"/>
      <c r="BA824" s="235"/>
      <c r="BB824" s="235"/>
      <c r="BC824" s="235"/>
      <c r="BD824" s="235"/>
      <c r="BE824" s="235"/>
      <c r="BF824" s="235"/>
    </row>
    <row r="825" spans="1:58" ht="15.75" customHeight="1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  <c r="AA825" s="114"/>
      <c r="AB825" s="114"/>
      <c r="AC825" s="114"/>
      <c r="AD825" s="114"/>
      <c r="AE825" s="235"/>
      <c r="AF825" s="235"/>
      <c r="AG825" s="235"/>
      <c r="AH825" s="235"/>
      <c r="AI825" s="235"/>
      <c r="AJ825" s="235"/>
      <c r="AK825" s="235"/>
      <c r="AL825" s="235"/>
      <c r="AM825" s="235"/>
      <c r="AN825" s="235"/>
      <c r="AO825" s="235"/>
      <c r="AP825" s="235"/>
      <c r="AQ825" s="235"/>
      <c r="AR825" s="235"/>
      <c r="AS825" s="235"/>
      <c r="AT825" s="235"/>
      <c r="AU825" s="235"/>
      <c r="AV825" s="235"/>
      <c r="AW825" s="235"/>
      <c r="AX825" s="235"/>
      <c r="AY825" s="235"/>
      <c r="AZ825" s="235"/>
      <c r="BA825" s="235"/>
      <c r="BB825" s="235"/>
      <c r="BC825" s="235"/>
      <c r="BD825" s="235"/>
      <c r="BE825" s="235"/>
      <c r="BF825" s="235"/>
    </row>
    <row r="826" spans="1:58" ht="15.75" customHeight="1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  <c r="AA826" s="114"/>
      <c r="AB826" s="114"/>
      <c r="AC826" s="114"/>
      <c r="AD826" s="114"/>
      <c r="AE826" s="235"/>
      <c r="AF826" s="235"/>
      <c r="AG826" s="235"/>
      <c r="AH826" s="235"/>
      <c r="AI826" s="235"/>
      <c r="AJ826" s="235"/>
      <c r="AK826" s="235"/>
      <c r="AL826" s="235"/>
      <c r="AM826" s="235"/>
      <c r="AN826" s="235"/>
      <c r="AO826" s="235"/>
      <c r="AP826" s="235"/>
      <c r="AQ826" s="235"/>
      <c r="AR826" s="235"/>
      <c r="AS826" s="235"/>
      <c r="AT826" s="235"/>
      <c r="AU826" s="235"/>
      <c r="AV826" s="235"/>
      <c r="AW826" s="235"/>
      <c r="AX826" s="235"/>
      <c r="AY826" s="235"/>
      <c r="AZ826" s="235"/>
      <c r="BA826" s="235"/>
      <c r="BB826" s="235"/>
      <c r="BC826" s="235"/>
      <c r="BD826" s="235"/>
      <c r="BE826" s="235"/>
      <c r="BF826" s="235"/>
    </row>
    <row r="827" spans="1:58" ht="15.75" customHeight="1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235"/>
      <c r="AF827" s="235"/>
      <c r="AG827" s="235"/>
      <c r="AH827" s="235"/>
      <c r="AI827" s="235"/>
      <c r="AJ827" s="235"/>
      <c r="AK827" s="235"/>
      <c r="AL827" s="235"/>
      <c r="AM827" s="235"/>
      <c r="AN827" s="235"/>
      <c r="AO827" s="235"/>
      <c r="AP827" s="235"/>
      <c r="AQ827" s="235"/>
      <c r="AR827" s="235"/>
      <c r="AS827" s="235"/>
      <c r="AT827" s="235"/>
      <c r="AU827" s="235"/>
      <c r="AV827" s="235"/>
      <c r="AW827" s="235"/>
      <c r="AX827" s="235"/>
      <c r="AY827" s="235"/>
      <c r="AZ827" s="235"/>
      <c r="BA827" s="235"/>
      <c r="BB827" s="235"/>
      <c r="BC827" s="235"/>
      <c r="BD827" s="235"/>
      <c r="BE827" s="235"/>
      <c r="BF827" s="235"/>
    </row>
    <row r="828" spans="1:58" ht="15.75" customHeight="1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235"/>
      <c r="AF828" s="235"/>
      <c r="AG828" s="235"/>
      <c r="AH828" s="235"/>
      <c r="AI828" s="235"/>
      <c r="AJ828" s="235"/>
      <c r="AK828" s="235"/>
      <c r="AL828" s="235"/>
      <c r="AM828" s="235"/>
      <c r="AN828" s="235"/>
      <c r="AO828" s="235"/>
      <c r="AP828" s="235"/>
      <c r="AQ828" s="235"/>
      <c r="AR828" s="235"/>
      <c r="AS828" s="235"/>
      <c r="AT828" s="235"/>
      <c r="AU828" s="235"/>
      <c r="AV828" s="235"/>
      <c r="AW828" s="235"/>
      <c r="AX828" s="235"/>
      <c r="AY828" s="235"/>
      <c r="AZ828" s="235"/>
      <c r="BA828" s="235"/>
      <c r="BB828" s="235"/>
      <c r="BC828" s="235"/>
      <c r="BD828" s="235"/>
      <c r="BE828" s="235"/>
      <c r="BF828" s="235"/>
    </row>
    <row r="829" spans="1:58" ht="15.75" customHeight="1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  <c r="AA829" s="114"/>
      <c r="AB829" s="114"/>
      <c r="AC829" s="114"/>
      <c r="AD829" s="114"/>
      <c r="AE829" s="235"/>
      <c r="AF829" s="235"/>
      <c r="AG829" s="235"/>
      <c r="AH829" s="235"/>
      <c r="AI829" s="235"/>
      <c r="AJ829" s="235"/>
      <c r="AK829" s="235"/>
      <c r="AL829" s="235"/>
      <c r="AM829" s="235"/>
      <c r="AN829" s="235"/>
      <c r="AO829" s="235"/>
      <c r="AP829" s="235"/>
      <c r="AQ829" s="235"/>
      <c r="AR829" s="235"/>
      <c r="AS829" s="235"/>
      <c r="AT829" s="235"/>
      <c r="AU829" s="235"/>
      <c r="AV829" s="235"/>
      <c r="AW829" s="235"/>
      <c r="AX829" s="235"/>
      <c r="AY829" s="235"/>
      <c r="AZ829" s="235"/>
      <c r="BA829" s="235"/>
      <c r="BB829" s="235"/>
      <c r="BC829" s="235"/>
      <c r="BD829" s="235"/>
      <c r="BE829" s="235"/>
      <c r="BF829" s="235"/>
    </row>
    <row r="830" spans="1:58" ht="15.75" customHeight="1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  <c r="AA830" s="114"/>
      <c r="AB830" s="114"/>
      <c r="AC830" s="114"/>
      <c r="AD830" s="114"/>
      <c r="AE830" s="235"/>
      <c r="AF830" s="235"/>
      <c r="AG830" s="235"/>
      <c r="AH830" s="235"/>
      <c r="AI830" s="235"/>
      <c r="AJ830" s="235"/>
      <c r="AK830" s="235"/>
      <c r="AL830" s="235"/>
      <c r="AM830" s="235"/>
      <c r="AN830" s="235"/>
      <c r="AO830" s="235"/>
      <c r="AP830" s="235"/>
      <c r="AQ830" s="235"/>
      <c r="AR830" s="235"/>
      <c r="AS830" s="235"/>
      <c r="AT830" s="235"/>
      <c r="AU830" s="235"/>
      <c r="AV830" s="235"/>
      <c r="AW830" s="235"/>
      <c r="AX830" s="235"/>
      <c r="AY830" s="235"/>
      <c r="AZ830" s="235"/>
      <c r="BA830" s="235"/>
      <c r="BB830" s="235"/>
      <c r="BC830" s="235"/>
      <c r="BD830" s="235"/>
      <c r="BE830" s="235"/>
      <c r="BF830" s="235"/>
    </row>
    <row r="831" spans="1:58" ht="15.75" customHeight="1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235"/>
      <c r="AF831" s="235"/>
      <c r="AG831" s="235"/>
      <c r="AH831" s="235"/>
      <c r="AI831" s="235"/>
      <c r="AJ831" s="235"/>
      <c r="AK831" s="235"/>
      <c r="AL831" s="235"/>
      <c r="AM831" s="235"/>
      <c r="AN831" s="235"/>
      <c r="AO831" s="235"/>
      <c r="AP831" s="235"/>
      <c r="AQ831" s="235"/>
      <c r="AR831" s="235"/>
      <c r="AS831" s="235"/>
      <c r="AT831" s="235"/>
      <c r="AU831" s="235"/>
      <c r="AV831" s="235"/>
      <c r="AW831" s="235"/>
      <c r="AX831" s="235"/>
      <c r="AY831" s="235"/>
      <c r="AZ831" s="235"/>
      <c r="BA831" s="235"/>
      <c r="BB831" s="235"/>
      <c r="BC831" s="235"/>
      <c r="BD831" s="235"/>
      <c r="BE831" s="235"/>
      <c r="BF831" s="235"/>
    </row>
    <row r="832" spans="1:58" ht="15.75" customHeight="1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235"/>
      <c r="AF832" s="235"/>
      <c r="AG832" s="235"/>
      <c r="AH832" s="235"/>
      <c r="AI832" s="235"/>
      <c r="AJ832" s="235"/>
      <c r="AK832" s="235"/>
      <c r="AL832" s="235"/>
      <c r="AM832" s="235"/>
      <c r="AN832" s="235"/>
      <c r="AO832" s="235"/>
      <c r="AP832" s="235"/>
      <c r="AQ832" s="235"/>
      <c r="AR832" s="235"/>
      <c r="AS832" s="235"/>
      <c r="AT832" s="235"/>
      <c r="AU832" s="235"/>
      <c r="AV832" s="235"/>
      <c r="AW832" s="235"/>
      <c r="AX832" s="235"/>
      <c r="AY832" s="235"/>
      <c r="AZ832" s="235"/>
      <c r="BA832" s="235"/>
      <c r="BB832" s="235"/>
      <c r="BC832" s="235"/>
      <c r="BD832" s="235"/>
      <c r="BE832" s="235"/>
      <c r="BF832" s="235"/>
    </row>
    <row r="833" spans="1:58" ht="15.75" customHeight="1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  <c r="AA833" s="114"/>
      <c r="AB833" s="114"/>
      <c r="AC833" s="114"/>
      <c r="AD833" s="114"/>
      <c r="AE833" s="235"/>
      <c r="AF833" s="235"/>
      <c r="AG833" s="235"/>
      <c r="AH833" s="235"/>
      <c r="AI833" s="235"/>
      <c r="AJ833" s="235"/>
      <c r="AK833" s="235"/>
      <c r="AL833" s="235"/>
      <c r="AM833" s="235"/>
      <c r="AN833" s="235"/>
      <c r="AO833" s="235"/>
      <c r="AP833" s="235"/>
      <c r="AQ833" s="235"/>
      <c r="AR833" s="235"/>
      <c r="AS833" s="235"/>
      <c r="AT833" s="235"/>
      <c r="AU833" s="235"/>
      <c r="AV833" s="235"/>
      <c r="AW833" s="235"/>
      <c r="AX833" s="235"/>
      <c r="AY833" s="235"/>
      <c r="AZ833" s="235"/>
      <c r="BA833" s="235"/>
      <c r="BB833" s="235"/>
      <c r="BC833" s="235"/>
      <c r="BD833" s="235"/>
      <c r="BE833" s="235"/>
      <c r="BF833" s="235"/>
    </row>
    <row r="834" spans="1:58" ht="15.75" customHeight="1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  <c r="AA834" s="114"/>
      <c r="AB834" s="114"/>
      <c r="AC834" s="114"/>
      <c r="AD834" s="114"/>
      <c r="AE834" s="235"/>
      <c r="AF834" s="235"/>
      <c r="AG834" s="235"/>
      <c r="AH834" s="235"/>
      <c r="AI834" s="235"/>
      <c r="AJ834" s="235"/>
      <c r="AK834" s="235"/>
      <c r="AL834" s="235"/>
      <c r="AM834" s="235"/>
      <c r="AN834" s="235"/>
      <c r="AO834" s="235"/>
      <c r="AP834" s="235"/>
      <c r="AQ834" s="235"/>
      <c r="AR834" s="235"/>
      <c r="AS834" s="235"/>
      <c r="AT834" s="235"/>
      <c r="AU834" s="235"/>
      <c r="AV834" s="235"/>
      <c r="AW834" s="235"/>
      <c r="AX834" s="235"/>
      <c r="AY834" s="235"/>
      <c r="AZ834" s="235"/>
      <c r="BA834" s="235"/>
      <c r="BB834" s="235"/>
      <c r="BC834" s="235"/>
      <c r="BD834" s="235"/>
      <c r="BE834" s="235"/>
      <c r="BF834" s="235"/>
    </row>
    <row r="835" spans="1:58" ht="15.75" customHeight="1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235"/>
      <c r="AF835" s="235"/>
      <c r="AG835" s="235"/>
      <c r="AH835" s="235"/>
      <c r="AI835" s="235"/>
      <c r="AJ835" s="235"/>
      <c r="AK835" s="235"/>
      <c r="AL835" s="235"/>
      <c r="AM835" s="235"/>
      <c r="AN835" s="235"/>
      <c r="AO835" s="235"/>
      <c r="AP835" s="235"/>
      <c r="AQ835" s="235"/>
      <c r="AR835" s="235"/>
      <c r="AS835" s="235"/>
      <c r="AT835" s="235"/>
      <c r="AU835" s="235"/>
      <c r="AV835" s="235"/>
      <c r="AW835" s="235"/>
      <c r="AX835" s="235"/>
      <c r="AY835" s="235"/>
      <c r="AZ835" s="235"/>
      <c r="BA835" s="235"/>
      <c r="BB835" s="235"/>
      <c r="BC835" s="235"/>
      <c r="BD835" s="235"/>
      <c r="BE835" s="235"/>
      <c r="BF835" s="235"/>
    </row>
    <row r="836" spans="1:58" ht="15.75" customHeight="1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235"/>
      <c r="AF836" s="235"/>
      <c r="AG836" s="235"/>
      <c r="AH836" s="235"/>
      <c r="AI836" s="235"/>
      <c r="AJ836" s="235"/>
      <c r="AK836" s="235"/>
      <c r="AL836" s="235"/>
      <c r="AM836" s="235"/>
      <c r="AN836" s="235"/>
      <c r="AO836" s="235"/>
      <c r="AP836" s="235"/>
      <c r="AQ836" s="235"/>
      <c r="AR836" s="235"/>
      <c r="AS836" s="235"/>
      <c r="AT836" s="235"/>
      <c r="AU836" s="235"/>
      <c r="AV836" s="235"/>
      <c r="AW836" s="235"/>
      <c r="AX836" s="235"/>
      <c r="AY836" s="235"/>
      <c r="AZ836" s="235"/>
      <c r="BA836" s="235"/>
      <c r="BB836" s="235"/>
      <c r="BC836" s="235"/>
      <c r="BD836" s="235"/>
      <c r="BE836" s="235"/>
      <c r="BF836" s="235"/>
    </row>
    <row r="837" spans="1:58" ht="15.75" customHeight="1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  <c r="AA837" s="114"/>
      <c r="AB837" s="114"/>
      <c r="AC837" s="114"/>
      <c r="AD837" s="114"/>
      <c r="AE837" s="235"/>
      <c r="AF837" s="235"/>
      <c r="AG837" s="235"/>
      <c r="AH837" s="235"/>
      <c r="AI837" s="235"/>
      <c r="AJ837" s="235"/>
      <c r="AK837" s="235"/>
      <c r="AL837" s="235"/>
      <c r="AM837" s="235"/>
      <c r="AN837" s="235"/>
      <c r="AO837" s="235"/>
      <c r="AP837" s="235"/>
      <c r="AQ837" s="235"/>
      <c r="AR837" s="235"/>
      <c r="AS837" s="235"/>
      <c r="AT837" s="235"/>
      <c r="AU837" s="235"/>
      <c r="AV837" s="235"/>
      <c r="AW837" s="235"/>
      <c r="AX837" s="235"/>
      <c r="AY837" s="235"/>
      <c r="AZ837" s="235"/>
      <c r="BA837" s="235"/>
      <c r="BB837" s="235"/>
      <c r="BC837" s="235"/>
      <c r="BD837" s="235"/>
      <c r="BE837" s="235"/>
      <c r="BF837" s="235"/>
    </row>
    <row r="838" spans="1:58" ht="15.75" customHeight="1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  <c r="AA838" s="114"/>
      <c r="AB838" s="114"/>
      <c r="AC838" s="114"/>
      <c r="AD838" s="114"/>
      <c r="AE838" s="235"/>
      <c r="AF838" s="235"/>
      <c r="AG838" s="235"/>
      <c r="AH838" s="235"/>
      <c r="AI838" s="235"/>
      <c r="AJ838" s="235"/>
      <c r="AK838" s="235"/>
      <c r="AL838" s="235"/>
      <c r="AM838" s="235"/>
      <c r="AN838" s="235"/>
      <c r="AO838" s="235"/>
      <c r="AP838" s="235"/>
      <c r="AQ838" s="235"/>
      <c r="AR838" s="235"/>
      <c r="AS838" s="235"/>
      <c r="AT838" s="235"/>
      <c r="AU838" s="235"/>
      <c r="AV838" s="235"/>
      <c r="AW838" s="235"/>
      <c r="AX838" s="235"/>
      <c r="AY838" s="235"/>
      <c r="AZ838" s="235"/>
      <c r="BA838" s="235"/>
      <c r="BB838" s="235"/>
      <c r="BC838" s="235"/>
      <c r="BD838" s="235"/>
      <c r="BE838" s="235"/>
      <c r="BF838" s="235"/>
    </row>
    <row r="839" spans="1:58" ht="15.75" customHeight="1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235"/>
      <c r="AF839" s="235"/>
      <c r="AG839" s="235"/>
      <c r="AH839" s="235"/>
      <c r="AI839" s="235"/>
      <c r="AJ839" s="235"/>
      <c r="AK839" s="235"/>
      <c r="AL839" s="235"/>
      <c r="AM839" s="235"/>
      <c r="AN839" s="235"/>
      <c r="AO839" s="235"/>
      <c r="AP839" s="235"/>
      <c r="AQ839" s="235"/>
      <c r="AR839" s="235"/>
      <c r="AS839" s="235"/>
      <c r="AT839" s="235"/>
      <c r="AU839" s="235"/>
      <c r="AV839" s="235"/>
      <c r="AW839" s="235"/>
      <c r="AX839" s="235"/>
      <c r="AY839" s="235"/>
      <c r="AZ839" s="235"/>
      <c r="BA839" s="235"/>
      <c r="BB839" s="235"/>
      <c r="BC839" s="235"/>
      <c r="BD839" s="235"/>
      <c r="BE839" s="235"/>
      <c r="BF839" s="235"/>
    </row>
    <row r="840" spans="1:58" ht="15.75" customHeight="1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235"/>
      <c r="AF840" s="235"/>
      <c r="AG840" s="235"/>
      <c r="AH840" s="235"/>
      <c r="AI840" s="235"/>
      <c r="AJ840" s="235"/>
      <c r="AK840" s="235"/>
      <c r="AL840" s="235"/>
      <c r="AM840" s="235"/>
      <c r="AN840" s="235"/>
      <c r="AO840" s="235"/>
      <c r="AP840" s="235"/>
      <c r="AQ840" s="235"/>
      <c r="AR840" s="235"/>
      <c r="AS840" s="235"/>
      <c r="AT840" s="235"/>
      <c r="AU840" s="235"/>
      <c r="AV840" s="235"/>
      <c r="AW840" s="235"/>
      <c r="AX840" s="235"/>
      <c r="AY840" s="235"/>
      <c r="AZ840" s="235"/>
      <c r="BA840" s="235"/>
      <c r="BB840" s="235"/>
      <c r="BC840" s="235"/>
      <c r="BD840" s="235"/>
      <c r="BE840" s="235"/>
      <c r="BF840" s="235"/>
    </row>
    <row r="841" spans="1:58" ht="15.75" customHeight="1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  <c r="AA841" s="114"/>
      <c r="AB841" s="114"/>
      <c r="AC841" s="114"/>
      <c r="AD841" s="114"/>
      <c r="AE841" s="235"/>
      <c r="AF841" s="235"/>
      <c r="AG841" s="235"/>
      <c r="AH841" s="235"/>
      <c r="AI841" s="235"/>
      <c r="AJ841" s="235"/>
      <c r="AK841" s="235"/>
      <c r="AL841" s="235"/>
      <c r="AM841" s="235"/>
      <c r="AN841" s="235"/>
      <c r="AO841" s="235"/>
      <c r="AP841" s="235"/>
      <c r="AQ841" s="235"/>
      <c r="AR841" s="235"/>
      <c r="AS841" s="235"/>
      <c r="AT841" s="235"/>
      <c r="AU841" s="235"/>
      <c r="AV841" s="235"/>
      <c r="AW841" s="235"/>
      <c r="AX841" s="235"/>
      <c r="AY841" s="235"/>
      <c r="AZ841" s="235"/>
      <c r="BA841" s="235"/>
      <c r="BB841" s="235"/>
      <c r="BC841" s="235"/>
      <c r="BD841" s="235"/>
      <c r="BE841" s="235"/>
      <c r="BF841" s="235"/>
    </row>
    <row r="842" spans="1:58" ht="15.75" customHeight="1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  <c r="AA842" s="114"/>
      <c r="AB842" s="114"/>
      <c r="AC842" s="114"/>
      <c r="AD842" s="114"/>
      <c r="AE842" s="235"/>
      <c r="AF842" s="235"/>
      <c r="AG842" s="235"/>
      <c r="AH842" s="235"/>
      <c r="AI842" s="235"/>
      <c r="AJ842" s="235"/>
      <c r="AK842" s="235"/>
      <c r="AL842" s="235"/>
      <c r="AM842" s="235"/>
      <c r="AN842" s="235"/>
      <c r="AO842" s="235"/>
      <c r="AP842" s="235"/>
      <c r="AQ842" s="235"/>
      <c r="AR842" s="235"/>
      <c r="AS842" s="235"/>
      <c r="AT842" s="235"/>
      <c r="AU842" s="235"/>
      <c r="AV842" s="235"/>
      <c r="AW842" s="235"/>
      <c r="AX842" s="235"/>
      <c r="AY842" s="235"/>
      <c r="AZ842" s="235"/>
      <c r="BA842" s="235"/>
      <c r="BB842" s="235"/>
      <c r="BC842" s="235"/>
      <c r="BD842" s="235"/>
      <c r="BE842" s="235"/>
      <c r="BF842" s="235"/>
    </row>
    <row r="843" spans="1:58" ht="15.75" customHeight="1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  <c r="AA843" s="114"/>
      <c r="AB843" s="114"/>
      <c r="AC843" s="114"/>
      <c r="AD843" s="114"/>
      <c r="AE843" s="235"/>
      <c r="AF843" s="235"/>
      <c r="AG843" s="235"/>
      <c r="AH843" s="235"/>
      <c r="AI843" s="235"/>
      <c r="AJ843" s="235"/>
      <c r="AK843" s="235"/>
      <c r="AL843" s="235"/>
      <c r="AM843" s="235"/>
      <c r="AN843" s="235"/>
      <c r="AO843" s="235"/>
      <c r="AP843" s="235"/>
      <c r="AQ843" s="235"/>
      <c r="AR843" s="235"/>
      <c r="AS843" s="235"/>
      <c r="AT843" s="235"/>
      <c r="AU843" s="235"/>
      <c r="AV843" s="235"/>
      <c r="AW843" s="235"/>
      <c r="AX843" s="235"/>
      <c r="AY843" s="235"/>
      <c r="AZ843" s="235"/>
      <c r="BA843" s="235"/>
      <c r="BB843" s="235"/>
      <c r="BC843" s="235"/>
      <c r="BD843" s="235"/>
      <c r="BE843" s="235"/>
      <c r="BF843" s="235"/>
    </row>
    <row r="844" spans="1:58" ht="15.75" customHeight="1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  <c r="AA844" s="114"/>
      <c r="AB844" s="114"/>
      <c r="AC844" s="114"/>
      <c r="AD844" s="114"/>
      <c r="AE844" s="235"/>
      <c r="AF844" s="235"/>
      <c r="AG844" s="235"/>
      <c r="AH844" s="235"/>
      <c r="AI844" s="235"/>
      <c r="AJ844" s="235"/>
      <c r="AK844" s="235"/>
      <c r="AL844" s="235"/>
      <c r="AM844" s="235"/>
      <c r="AN844" s="235"/>
      <c r="AO844" s="235"/>
      <c r="AP844" s="235"/>
      <c r="AQ844" s="235"/>
      <c r="AR844" s="235"/>
      <c r="AS844" s="235"/>
      <c r="AT844" s="235"/>
      <c r="AU844" s="235"/>
      <c r="AV844" s="235"/>
      <c r="AW844" s="235"/>
      <c r="AX844" s="235"/>
      <c r="AY844" s="235"/>
      <c r="AZ844" s="235"/>
      <c r="BA844" s="235"/>
      <c r="BB844" s="235"/>
      <c r="BC844" s="235"/>
      <c r="BD844" s="235"/>
      <c r="BE844" s="235"/>
      <c r="BF844" s="235"/>
    </row>
    <row r="845" spans="1:58" ht="15.75" customHeight="1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  <c r="AA845" s="114"/>
      <c r="AB845" s="114"/>
      <c r="AC845" s="114"/>
      <c r="AD845" s="114"/>
      <c r="AE845" s="235"/>
      <c r="AF845" s="235"/>
      <c r="AG845" s="235"/>
      <c r="AH845" s="235"/>
      <c r="AI845" s="235"/>
      <c r="AJ845" s="235"/>
      <c r="AK845" s="235"/>
      <c r="AL845" s="235"/>
      <c r="AM845" s="235"/>
      <c r="AN845" s="235"/>
      <c r="AO845" s="235"/>
      <c r="AP845" s="235"/>
      <c r="AQ845" s="235"/>
      <c r="AR845" s="235"/>
      <c r="AS845" s="235"/>
      <c r="AT845" s="235"/>
      <c r="AU845" s="235"/>
      <c r="AV845" s="235"/>
      <c r="AW845" s="235"/>
      <c r="AX845" s="235"/>
      <c r="AY845" s="235"/>
      <c r="AZ845" s="235"/>
      <c r="BA845" s="235"/>
      <c r="BB845" s="235"/>
      <c r="BC845" s="235"/>
      <c r="BD845" s="235"/>
      <c r="BE845" s="235"/>
      <c r="BF845" s="235"/>
    </row>
    <row r="846" spans="1:58" ht="15.75" customHeight="1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  <c r="AA846" s="114"/>
      <c r="AB846" s="114"/>
      <c r="AC846" s="114"/>
      <c r="AD846" s="114"/>
      <c r="AE846" s="235"/>
      <c r="AF846" s="235"/>
      <c r="AG846" s="235"/>
      <c r="AH846" s="235"/>
      <c r="AI846" s="235"/>
      <c r="AJ846" s="235"/>
      <c r="AK846" s="235"/>
      <c r="AL846" s="235"/>
      <c r="AM846" s="235"/>
      <c r="AN846" s="235"/>
      <c r="AO846" s="235"/>
      <c r="AP846" s="235"/>
      <c r="AQ846" s="235"/>
      <c r="AR846" s="235"/>
      <c r="AS846" s="235"/>
      <c r="AT846" s="235"/>
      <c r="AU846" s="235"/>
      <c r="AV846" s="235"/>
      <c r="AW846" s="235"/>
      <c r="AX846" s="235"/>
      <c r="AY846" s="235"/>
      <c r="AZ846" s="235"/>
      <c r="BA846" s="235"/>
      <c r="BB846" s="235"/>
      <c r="BC846" s="235"/>
      <c r="BD846" s="235"/>
      <c r="BE846" s="235"/>
      <c r="BF846" s="235"/>
    </row>
    <row r="847" spans="1:58" ht="15.75" customHeight="1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  <c r="AA847" s="114"/>
      <c r="AB847" s="114"/>
      <c r="AC847" s="114"/>
      <c r="AD847" s="114"/>
      <c r="AE847" s="235"/>
      <c r="AF847" s="235"/>
      <c r="AG847" s="235"/>
      <c r="AH847" s="235"/>
      <c r="AI847" s="235"/>
      <c r="AJ847" s="235"/>
      <c r="AK847" s="235"/>
      <c r="AL847" s="235"/>
      <c r="AM847" s="235"/>
      <c r="AN847" s="235"/>
      <c r="AO847" s="235"/>
      <c r="AP847" s="235"/>
      <c r="AQ847" s="235"/>
      <c r="AR847" s="235"/>
      <c r="AS847" s="235"/>
      <c r="AT847" s="235"/>
      <c r="AU847" s="235"/>
      <c r="AV847" s="235"/>
      <c r="AW847" s="235"/>
      <c r="AX847" s="235"/>
      <c r="AY847" s="235"/>
      <c r="AZ847" s="235"/>
      <c r="BA847" s="235"/>
      <c r="BB847" s="235"/>
      <c r="BC847" s="235"/>
      <c r="BD847" s="235"/>
      <c r="BE847" s="235"/>
      <c r="BF847" s="235"/>
    </row>
    <row r="848" spans="1:58" ht="15.75" customHeight="1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  <c r="AA848" s="114"/>
      <c r="AB848" s="114"/>
      <c r="AC848" s="114"/>
      <c r="AD848" s="114"/>
      <c r="AE848" s="235"/>
      <c r="AF848" s="235"/>
      <c r="AG848" s="235"/>
      <c r="AH848" s="235"/>
      <c r="AI848" s="235"/>
      <c r="AJ848" s="235"/>
      <c r="AK848" s="235"/>
      <c r="AL848" s="235"/>
      <c r="AM848" s="235"/>
      <c r="AN848" s="235"/>
      <c r="AO848" s="235"/>
      <c r="AP848" s="235"/>
      <c r="AQ848" s="235"/>
      <c r="AR848" s="235"/>
      <c r="AS848" s="235"/>
      <c r="AT848" s="235"/>
      <c r="AU848" s="235"/>
      <c r="AV848" s="235"/>
      <c r="AW848" s="235"/>
      <c r="AX848" s="235"/>
      <c r="AY848" s="235"/>
      <c r="AZ848" s="235"/>
      <c r="BA848" s="235"/>
      <c r="BB848" s="235"/>
      <c r="BC848" s="235"/>
      <c r="BD848" s="235"/>
      <c r="BE848" s="235"/>
      <c r="BF848" s="235"/>
    </row>
    <row r="849" spans="1:58" ht="15.75" customHeight="1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235"/>
      <c r="AF849" s="235"/>
      <c r="AG849" s="235"/>
      <c r="AH849" s="235"/>
      <c r="AI849" s="235"/>
      <c r="AJ849" s="235"/>
      <c r="AK849" s="235"/>
      <c r="AL849" s="235"/>
      <c r="AM849" s="235"/>
      <c r="AN849" s="235"/>
      <c r="AO849" s="235"/>
      <c r="AP849" s="235"/>
      <c r="AQ849" s="235"/>
      <c r="AR849" s="235"/>
      <c r="AS849" s="235"/>
      <c r="AT849" s="235"/>
      <c r="AU849" s="235"/>
      <c r="AV849" s="235"/>
      <c r="AW849" s="235"/>
      <c r="AX849" s="235"/>
      <c r="AY849" s="235"/>
      <c r="AZ849" s="235"/>
      <c r="BA849" s="235"/>
      <c r="BB849" s="235"/>
      <c r="BC849" s="235"/>
      <c r="BD849" s="235"/>
      <c r="BE849" s="235"/>
      <c r="BF849" s="235"/>
    </row>
    <row r="850" spans="1:58" ht="15.75" customHeight="1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  <c r="AA850" s="114"/>
      <c r="AB850" s="114"/>
      <c r="AC850" s="114"/>
      <c r="AD850" s="114"/>
      <c r="AE850" s="235"/>
      <c r="AF850" s="235"/>
      <c r="AG850" s="235"/>
      <c r="AH850" s="235"/>
      <c r="AI850" s="235"/>
      <c r="AJ850" s="235"/>
      <c r="AK850" s="235"/>
      <c r="AL850" s="235"/>
      <c r="AM850" s="235"/>
      <c r="AN850" s="235"/>
      <c r="AO850" s="235"/>
      <c r="AP850" s="235"/>
      <c r="AQ850" s="235"/>
      <c r="AR850" s="235"/>
      <c r="AS850" s="235"/>
      <c r="AT850" s="235"/>
      <c r="AU850" s="235"/>
      <c r="AV850" s="235"/>
      <c r="AW850" s="235"/>
      <c r="AX850" s="235"/>
      <c r="AY850" s="235"/>
      <c r="AZ850" s="235"/>
      <c r="BA850" s="235"/>
      <c r="BB850" s="235"/>
      <c r="BC850" s="235"/>
      <c r="BD850" s="235"/>
      <c r="BE850" s="235"/>
      <c r="BF850" s="235"/>
    </row>
    <row r="851" spans="1:58" ht="15.75" customHeight="1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  <c r="AA851" s="114"/>
      <c r="AB851" s="114"/>
      <c r="AC851" s="114"/>
      <c r="AD851" s="114"/>
      <c r="AE851" s="235"/>
      <c r="AF851" s="235"/>
      <c r="AG851" s="235"/>
      <c r="AH851" s="235"/>
      <c r="AI851" s="235"/>
      <c r="AJ851" s="235"/>
      <c r="AK851" s="235"/>
      <c r="AL851" s="235"/>
      <c r="AM851" s="235"/>
      <c r="AN851" s="235"/>
      <c r="AO851" s="235"/>
      <c r="AP851" s="235"/>
      <c r="AQ851" s="235"/>
      <c r="AR851" s="235"/>
      <c r="AS851" s="235"/>
      <c r="AT851" s="235"/>
      <c r="AU851" s="235"/>
      <c r="AV851" s="235"/>
      <c r="AW851" s="235"/>
      <c r="AX851" s="235"/>
      <c r="AY851" s="235"/>
      <c r="AZ851" s="235"/>
      <c r="BA851" s="235"/>
      <c r="BB851" s="235"/>
      <c r="BC851" s="235"/>
      <c r="BD851" s="235"/>
      <c r="BE851" s="235"/>
      <c r="BF851" s="235"/>
    </row>
    <row r="852" spans="1:58" ht="15.75" customHeight="1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  <c r="AA852" s="114"/>
      <c r="AB852" s="114"/>
      <c r="AC852" s="114"/>
      <c r="AD852" s="114"/>
      <c r="AE852" s="235"/>
      <c r="AF852" s="235"/>
      <c r="AG852" s="235"/>
      <c r="AH852" s="235"/>
      <c r="AI852" s="235"/>
      <c r="AJ852" s="235"/>
      <c r="AK852" s="235"/>
      <c r="AL852" s="235"/>
      <c r="AM852" s="235"/>
      <c r="AN852" s="235"/>
      <c r="AO852" s="235"/>
      <c r="AP852" s="235"/>
      <c r="AQ852" s="235"/>
      <c r="AR852" s="235"/>
      <c r="AS852" s="235"/>
      <c r="AT852" s="235"/>
      <c r="AU852" s="235"/>
      <c r="AV852" s="235"/>
      <c r="AW852" s="235"/>
      <c r="AX852" s="235"/>
      <c r="AY852" s="235"/>
      <c r="AZ852" s="235"/>
      <c r="BA852" s="235"/>
      <c r="BB852" s="235"/>
      <c r="BC852" s="235"/>
      <c r="BD852" s="235"/>
      <c r="BE852" s="235"/>
      <c r="BF852" s="235"/>
    </row>
    <row r="853" spans="1:58" ht="15.75" customHeight="1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  <c r="AA853" s="114"/>
      <c r="AB853" s="114"/>
      <c r="AC853" s="114"/>
      <c r="AD853" s="114"/>
      <c r="AE853" s="235"/>
      <c r="AF853" s="235"/>
      <c r="AG853" s="235"/>
      <c r="AH853" s="235"/>
      <c r="AI853" s="235"/>
      <c r="AJ853" s="235"/>
      <c r="AK853" s="235"/>
      <c r="AL853" s="235"/>
      <c r="AM853" s="235"/>
      <c r="AN853" s="235"/>
      <c r="AO853" s="235"/>
      <c r="AP853" s="235"/>
      <c r="AQ853" s="235"/>
      <c r="AR853" s="235"/>
      <c r="AS853" s="235"/>
      <c r="AT853" s="235"/>
      <c r="AU853" s="235"/>
      <c r="AV853" s="235"/>
      <c r="AW853" s="235"/>
      <c r="AX853" s="235"/>
      <c r="AY853" s="235"/>
      <c r="AZ853" s="235"/>
      <c r="BA853" s="235"/>
      <c r="BB853" s="235"/>
      <c r="BC853" s="235"/>
      <c r="BD853" s="235"/>
      <c r="BE853" s="235"/>
      <c r="BF853" s="235"/>
    </row>
    <row r="854" spans="1:58" ht="15.75" customHeight="1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  <c r="AA854" s="114"/>
      <c r="AB854" s="114"/>
      <c r="AC854" s="114"/>
      <c r="AD854" s="114"/>
      <c r="AE854" s="235"/>
      <c r="AF854" s="235"/>
      <c r="AG854" s="235"/>
      <c r="AH854" s="235"/>
      <c r="AI854" s="235"/>
      <c r="AJ854" s="235"/>
      <c r="AK854" s="235"/>
      <c r="AL854" s="235"/>
      <c r="AM854" s="235"/>
      <c r="AN854" s="235"/>
      <c r="AO854" s="235"/>
      <c r="AP854" s="235"/>
      <c r="AQ854" s="235"/>
      <c r="AR854" s="235"/>
      <c r="AS854" s="235"/>
      <c r="AT854" s="235"/>
      <c r="AU854" s="235"/>
      <c r="AV854" s="235"/>
      <c r="AW854" s="235"/>
      <c r="AX854" s="235"/>
      <c r="AY854" s="235"/>
      <c r="AZ854" s="235"/>
      <c r="BA854" s="235"/>
      <c r="BB854" s="235"/>
      <c r="BC854" s="235"/>
      <c r="BD854" s="235"/>
      <c r="BE854" s="235"/>
      <c r="BF854" s="235"/>
    </row>
    <row r="855" spans="1:58" ht="15.75" customHeight="1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  <c r="AA855" s="114"/>
      <c r="AB855" s="114"/>
      <c r="AC855" s="114"/>
      <c r="AD855" s="114"/>
      <c r="AE855" s="235"/>
      <c r="AF855" s="235"/>
      <c r="AG855" s="235"/>
      <c r="AH855" s="235"/>
      <c r="AI855" s="235"/>
      <c r="AJ855" s="235"/>
      <c r="AK855" s="235"/>
      <c r="AL855" s="235"/>
      <c r="AM855" s="235"/>
      <c r="AN855" s="235"/>
      <c r="AO855" s="235"/>
      <c r="AP855" s="235"/>
      <c r="AQ855" s="235"/>
      <c r="AR855" s="235"/>
      <c r="AS855" s="235"/>
      <c r="AT855" s="235"/>
      <c r="AU855" s="235"/>
      <c r="AV855" s="235"/>
      <c r="AW855" s="235"/>
      <c r="AX855" s="235"/>
      <c r="AY855" s="235"/>
      <c r="AZ855" s="235"/>
      <c r="BA855" s="235"/>
      <c r="BB855" s="235"/>
      <c r="BC855" s="235"/>
      <c r="BD855" s="235"/>
      <c r="BE855" s="235"/>
      <c r="BF855" s="235"/>
    </row>
    <row r="856" spans="1:58" ht="15.75" customHeight="1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  <c r="AA856" s="114"/>
      <c r="AB856" s="114"/>
      <c r="AC856" s="114"/>
      <c r="AD856" s="114"/>
      <c r="AE856" s="235"/>
      <c r="AF856" s="235"/>
      <c r="AG856" s="235"/>
      <c r="AH856" s="235"/>
      <c r="AI856" s="235"/>
      <c r="AJ856" s="235"/>
      <c r="AK856" s="235"/>
      <c r="AL856" s="235"/>
      <c r="AM856" s="235"/>
      <c r="AN856" s="235"/>
      <c r="AO856" s="235"/>
      <c r="AP856" s="235"/>
      <c r="AQ856" s="235"/>
      <c r="AR856" s="235"/>
      <c r="AS856" s="235"/>
      <c r="AT856" s="235"/>
      <c r="AU856" s="235"/>
      <c r="AV856" s="235"/>
      <c r="AW856" s="235"/>
      <c r="AX856" s="235"/>
      <c r="AY856" s="235"/>
      <c r="AZ856" s="235"/>
      <c r="BA856" s="235"/>
      <c r="BB856" s="235"/>
      <c r="BC856" s="235"/>
      <c r="BD856" s="235"/>
      <c r="BE856" s="235"/>
      <c r="BF856" s="235"/>
    </row>
    <row r="857" spans="1:58" ht="15.75" customHeight="1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235"/>
      <c r="AF857" s="235"/>
      <c r="AG857" s="235"/>
      <c r="AH857" s="235"/>
      <c r="AI857" s="235"/>
      <c r="AJ857" s="235"/>
      <c r="AK857" s="235"/>
      <c r="AL857" s="235"/>
      <c r="AM857" s="235"/>
      <c r="AN857" s="235"/>
      <c r="AO857" s="235"/>
      <c r="AP857" s="235"/>
      <c r="AQ857" s="235"/>
      <c r="AR857" s="235"/>
      <c r="AS857" s="235"/>
      <c r="AT857" s="235"/>
      <c r="AU857" s="235"/>
      <c r="AV857" s="235"/>
      <c r="AW857" s="235"/>
      <c r="AX857" s="235"/>
      <c r="AY857" s="235"/>
      <c r="AZ857" s="235"/>
      <c r="BA857" s="235"/>
      <c r="BB857" s="235"/>
      <c r="BC857" s="235"/>
      <c r="BD857" s="235"/>
      <c r="BE857" s="235"/>
      <c r="BF857" s="235"/>
    </row>
    <row r="858" spans="1:58" ht="15.75" customHeight="1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235"/>
      <c r="AF858" s="235"/>
      <c r="AG858" s="235"/>
      <c r="AH858" s="235"/>
      <c r="AI858" s="235"/>
      <c r="AJ858" s="235"/>
      <c r="AK858" s="235"/>
      <c r="AL858" s="235"/>
      <c r="AM858" s="235"/>
      <c r="AN858" s="235"/>
      <c r="AO858" s="235"/>
      <c r="AP858" s="235"/>
      <c r="AQ858" s="235"/>
      <c r="AR858" s="235"/>
      <c r="AS858" s="235"/>
      <c r="AT858" s="235"/>
      <c r="AU858" s="235"/>
      <c r="AV858" s="235"/>
      <c r="AW858" s="235"/>
      <c r="AX858" s="235"/>
      <c r="AY858" s="235"/>
      <c r="AZ858" s="235"/>
      <c r="BA858" s="235"/>
      <c r="BB858" s="235"/>
      <c r="BC858" s="235"/>
      <c r="BD858" s="235"/>
      <c r="BE858" s="235"/>
      <c r="BF858" s="235"/>
    </row>
    <row r="859" spans="1:58" ht="15.75" customHeight="1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  <c r="AA859" s="114"/>
      <c r="AB859" s="114"/>
      <c r="AC859" s="114"/>
      <c r="AD859" s="114"/>
      <c r="AE859" s="235"/>
      <c r="AF859" s="235"/>
      <c r="AG859" s="235"/>
      <c r="AH859" s="235"/>
      <c r="AI859" s="235"/>
      <c r="AJ859" s="235"/>
      <c r="AK859" s="235"/>
      <c r="AL859" s="235"/>
      <c r="AM859" s="235"/>
      <c r="AN859" s="235"/>
      <c r="AO859" s="235"/>
      <c r="AP859" s="235"/>
      <c r="AQ859" s="235"/>
      <c r="AR859" s="235"/>
      <c r="AS859" s="235"/>
      <c r="AT859" s="235"/>
      <c r="AU859" s="235"/>
      <c r="AV859" s="235"/>
      <c r="AW859" s="235"/>
      <c r="AX859" s="235"/>
      <c r="AY859" s="235"/>
      <c r="AZ859" s="235"/>
      <c r="BA859" s="235"/>
      <c r="BB859" s="235"/>
      <c r="BC859" s="235"/>
      <c r="BD859" s="235"/>
      <c r="BE859" s="235"/>
      <c r="BF859" s="235"/>
    </row>
    <row r="860" spans="1:58" ht="15.75" customHeight="1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  <c r="AA860" s="114"/>
      <c r="AB860" s="114"/>
      <c r="AC860" s="114"/>
      <c r="AD860" s="114"/>
      <c r="AE860" s="235"/>
      <c r="AF860" s="235"/>
      <c r="AG860" s="235"/>
      <c r="AH860" s="235"/>
      <c r="AI860" s="235"/>
      <c r="AJ860" s="235"/>
      <c r="AK860" s="235"/>
      <c r="AL860" s="235"/>
      <c r="AM860" s="235"/>
      <c r="AN860" s="235"/>
      <c r="AO860" s="235"/>
      <c r="AP860" s="235"/>
      <c r="AQ860" s="235"/>
      <c r="AR860" s="235"/>
      <c r="AS860" s="235"/>
      <c r="AT860" s="235"/>
      <c r="AU860" s="235"/>
      <c r="AV860" s="235"/>
      <c r="AW860" s="235"/>
      <c r="AX860" s="235"/>
      <c r="AY860" s="235"/>
      <c r="AZ860" s="235"/>
      <c r="BA860" s="235"/>
      <c r="BB860" s="235"/>
      <c r="BC860" s="235"/>
      <c r="BD860" s="235"/>
      <c r="BE860" s="235"/>
      <c r="BF860" s="235"/>
    </row>
    <row r="861" spans="1:58" ht="15.75" customHeight="1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235"/>
      <c r="AF861" s="235"/>
      <c r="AG861" s="235"/>
      <c r="AH861" s="235"/>
      <c r="AI861" s="235"/>
      <c r="AJ861" s="235"/>
      <c r="AK861" s="235"/>
      <c r="AL861" s="235"/>
      <c r="AM861" s="235"/>
      <c r="AN861" s="235"/>
      <c r="AO861" s="235"/>
      <c r="AP861" s="235"/>
      <c r="AQ861" s="235"/>
      <c r="AR861" s="235"/>
      <c r="AS861" s="235"/>
      <c r="AT861" s="235"/>
      <c r="AU861" s="235"/>
      <c r="AV861" s="235"/>
      <c r="AW861" s="235"/>
      <c r="AX861" s="235"/>
      <c r="AY861" s="235"/>
      <c r="AZ861" s="235"/>
      <c r="BA861" s="235"/>
      <c r="BB861" s="235"/>
      <c r="BC861" s="235"/>
      <c r="BD861" s="235"/>
      <c r="BE861" s="235"/>
      <c r="BF861" s="235"/>
    </row>
    <row r="862" spans="1:58" ht="15.75" customHeight="1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235"/>
      <c r="AF862" s="235"/>
      <c r="AG862" s="235"/>
      <c r="AH862" s="235"/>
      <c r="AI862" s="235"/>
      <c r="AJ862" s="235"/>
      <c r="AK862" s="235"/>
      <c r="AL862" s="235"/>
      <c r="AM862" s="235"/>
      <c r="AN862" s="235"/>
      <c r="AO862" s="235"/>
      <c r="AP862" s="235"/>
      <c r="AQ862" s="235"/>
      <c r="AR862" s="235"/>
      <c r="AS862" s="235"/>
      <c r="AT862" s="235"/>
      <c r="AU862" s="235"/>
      <c r="AV862" s="235"/>
      <c r="AW862" s="235"/>
      <c r="AX862" s="235"/>
      <c r="AY862" s="235"/>
      <c r="AZ862" s="235"/>
      <c r="BA862" s="235"/>
      <c r="BB862" s="235"/>
      <c r="BC862" s="235"/>
      <c r="BD862" s="235"/>
      <c r="BE862" s="235"/>
      <c r="BF862" s="235"/>
    </row>
    <row r="863" spans="1:58" ht="15.75" customHeight="1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  <c r="AA863" s="114"/>
      <c r="AB863" s="114"/>
      <c r="AC863" s="114"/>
      <c r="AD863" s="114"/>
      <c r="AE863" s="235"/>
      <c r="AF863" s="235"/>
      <c r="AG863" s="235"/>
      <c r="AH863" s="235"/>
      <c r="AI863" s="235"/>
      <c r="AJ863" s="235"/>
      <c r="AK863" s="235"/>
      <c r="AL863" s="235"/>
      <c r="AM863" s="235"/>
      <c r="AN863" s="235"/>
      <c r="AO863" s="235"/>
      <c r="AP863" s="235"/>
      <c r="AQ863" s="235"/>
      <c r="AR863" s="235"/>
      <c r="AS863" s="235"/>
      <c r="AT863" s="235"/>
      <c r="AU863" s="235"/>
      <c r="AV863" s="235"/>
      <c r="AW863" s="235"/>
      <c r="AX863" s="235"/>
      <c r="AY863" s="235"/>
      <c r="AZ863" s="235"/>
      <c r="BA863" s="235"/>
      <c r="BB863" s="235"/>
      <c r="BC863" s="235"/>
      <c r="BD863" s="235"/>
      <c r="BE863" s="235"/>
      <c r="BF863" s="235"/>
    </row>
    <row r="864" spans="1:58" ht="15.75" customHeight="1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  <c r="AA864" s="114"/>
      <c r="AB864" s="114"/>
      <c r="AC864" s="114"/>
      <c r="AD864" s="114"/>
      <c r="AE864" s="235"/>
      <c r="AF864" s="235"/>
      <c r="AG864" s="235"/>
      <c r="AH864" s="235"/>
      <c r="AI864" s="235"/>
      <c r="AJ864" s="235"/>
      <c r="AK864" s="235"/>
      <c r="AL864" s="235"/>
      <c r="AM864" s="235"/>
      <c r="AN864" s="235"/>
      <c r="AO864" s="235"/>
      <c r="AP864" s="235"/>
      <c r="AQ864" s="235"/>
      <c r="AR864" s="235"/>
      <c r="AS864" s="235"/>
      <c r="AT864" s="235"/>
      <c r="AU864" s="235"/>
      <c r="AV864" s="235"/>
      <c r="AW864" s="235"/>
      <c r="AX864" s="235"/>
      <c r="AY864" s="235"/>
      <c r="AZ864" s="235"/>
      <c r="BA864" s="235"/>
      <c r="BB864" s="235"/>
      <c r="BC864" s="235"/>
      <c r="BD864" s="235"/>
      <c r="BE864" s="235"/>
      <c r="BF864" s="235"/>
    </row>
    <row r="865" spans="1:58" ht="15.75" customHeight="1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235"/>
      <c r="AF865" s="235"/>
      <c r="AG865" s="235"/>
      <c r="AH865" s="235"/>
      <c r="AI865" s="235"/>
      <c r="AJ865" s="235"/>
      <c r="AK865" s="235"/>
      <c r="AL865" s="235"/>
      <c r="AM865" s="235"/>
      <c r="AN865" s="235"/>
      <c r="AO865" s="235"/>
      <c r="AP865" s="235"/>
      <c r="AQ865" s="235"/>
      <c r="AR865" s="235"/>
      <c r="AS865" s="235"/>
      <c r="AT865" s="235"/>
      <c r="AU865" s="235"/>
      <c r="AV865" s="235"/>
      <c r="AW865" s="235"/>
      <c r="AX865" s="235"/>
      <c r="AY865" s="235"/>
      <c r="AZ865" s="235"/>
      <c r="BA865" s="235"/>
      <c r="BB865" s="235"/>
      <c r="BC865" s="235"/>
      <c r="BD865" s="235"/>
      <c r="BE865" s="235"/>
      <c r="BF865" s="235"/>
    </row>
    <row r="866" spans="1:58" ht="15.75" customHeight="1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235"/>
      <c r="AF866" s="235"/>
      <c r="AG866" s="235"/>
      <c r="AH866" s="235"/>
      <c r="AI866" s="235"/>
      <c r="AJ866" s="235"/>
      <c r="AK866" s="235"/>
      <c r="AL866" s="235"/>
      <c r="AM866" s="235"/>
      <c r="AN866" s="235"/>
      <c r="AO866" s="235"/>
      <c r="AP866" s="235"/>
      <c r="AQ866" s="235"/>
      <c r="AR866" s="235"/>
      <c r="AS866" s="235"/>
      <c r="AT866" s="235"/>
      <c r="AU866" s="235"/>
      <c r="AV866" s="235"/>
      <c r="AW866" s="235"/>
      <c r="AX866" s="235"/>
      <c r="AY866" s="235"/>
      <c r="AZ866" s="235"/>
      <c r="BA866" s="235"/>
      <c r="BB866" s="235"/>
      <c r="BC866" s="235"/>
      <c r="BD866" s="235"/>
      <c r="BE866" s="235"/>
      <c r="BF866" s="235"/>
    </row>
    <row r="867" spans="1:58" ht="15.75" customHeight="1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  <c r="AA867" s="114"/>
      <c r="AB867" s="114"/>
      <c r="AC867" s="114"/>
      <c r="AD867" s="114"/>
      <c r="AE867" s="235"/>
      <c r="AF867" s="235"/>
      <c r="AG867" s="235"/>
      <c r="AH867" s="235"/>
      <c r="AI867" s="235"/>
      <c r="AJ867" s="235"/>
      <c r="AK867" s="235"/>
      <c r="AL867" s="235"/>
      <c r="AM867" s="235"/>
      <c r="AN867" s="235"/>
      <c r="AO867" s="235"/>
      <c r="AP867" s="235"/>
      <c r="AQ867" s="235"/>
      <c r="AR867" s="235"/>
      <c r="AS867" s="235"/>
      <c r="AT867" s="235"/>
      <c r="AU867" s="235"/>
      <c r="AV867" s="235"/>
      <c r="AW867" s="235"/>
      <c r="AX867" s="235"/>
      <c r="AY867" s="235"/>
      <c r="AZ867" s="235"/>
      <c r="BA867" s="235"/>
      <c r="BB867" s="235"/>
      <c r="BC867" s="235"/>
      <c r="BD867" s="235"/>
      <c r="BE867" s="235"/>
      <c r="BF867" s="235"/>
    </row>
    <row r="868" spans="1:58" ht="15.75" customHeight="1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  <c r="AA868" s="114"/>
      <c r="AB868" s="114"/>
      <c r="AC868" s="114"/>
      <c r="AD868" s="114"/>
      <c r="AE868" s="235"/>
      <c r="AF868" s="235"/>
      <c r="AG868" s="235"/>
      <c r="AH868" s="235"/>
      <c r="AI868" s="235"/>
      <c r="AJ868" s="235"/>
      <c r="AK868" s="235"/>
      <c r="AL868" s="235"/>
      <c r="AM868" s="235"/>
      <c r="AN868" s="235"/>
      <c r="AO868" s="235"/>
      <c r="AP868" s="235"/>
      <c r="AQ868" s="235"/>
      <c r="AR868" s="235"/>
      <c r="AS868" s="235"/>
      <c r="AT868" s="235"/>
      <c r="AU868" s="235"/>
      <c r="AV868" s="235"/>
      <c r="AW868" s="235"/>
      <c r="AX868" s="235"/>
      <c r="AY868" s="235"/>
      <c r="AZ868" s="235"/>
      <c r="BA868" s="235"/>
      <c r="BB868" s="235"/>
      <c r="BC868" s="235"/>
      <c r="BD868" s="235"/>
      <c r="BE868" s="235"/>
      <c r="BF868" s="235"/>
    </row>
    <row r="869" spans="1:58" ht="15.75" customHeight="1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235"/>
      <c r="AF869" s="235"/>
      <c r="AG869" s="235"/>
      <c r="AH869" s="235"/>
      <c r="AI869" s="235"/>
      <c r="AJ869" s="235"/>
      <c r="AK869" s="235"/>
      <c r="AL869" s="235"/>
      <c r="AM869" s="235"/>
      <c r="AN869" s="235"/>
      <c r="AO869" s="235"/>
      <c r="AP869" s="235"/>
      <c r="AQ869" s="235"/>
      <c r="AR869" s="235"/>
      <c r="AS869" s="235"/>
      <c r="AT869" s="235"/>
      <c r="AU869" s="235"/>
      <c r="AV869" s="235"/>
      <c r="AW869" s="235"/>
      <c r="AX869" s="235"/>
      <c r="AY869" s="235"/>
      <c r="AZ869" s="235"/>
      <c r="BA869" s="235"/>
      <c r="BB869" s="235"/>
      <c r="BC869" s="235"/>
      <c r="BD869" s="235"/>
      <c r="BE869" s="235"/>
      <c r="BF869" s="235"/>
    </row>
    <row r="870" spans="1:58" ht="15.75" customHeight="1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235"/>
      <c r="AF870" s="235"/>
      <c r="AG870" s="235"/>
      <c r="AH870" s="235"/>
      <c r="AI870" s="235"/>
      <c r="AJ870" s="235"/>
      <c r="AK870" s="235"/>
      <c r="AL870" s="235"/>
      <c r="AM870" s="235"/>
      <c r="AN870" s="235"/>
      <c r="AO870" s="235"/>
      <c r="AP870" s="235"/>
      <c r="AQ870" s="235"/>
      <c r="AR870" s="235"/>
      <c r="AS870" s="235"/>
      <c r="AT870" s="235"/>
      <c r="AU870" s="235"/>
      <c r="AV870" s="235"/>
      <c r="AW870" s="235"/>
      <c r="AX870" s="235"/>
      <c r="AY870" s="235"/>
      <c r="AZ870" s="235"/>
      <c r="BA870" s="235"/>
      <c r="BB870" s="235"/>
      <c r="BC870" s="235"/>
      <c r="BD870" s="235"/>
      <c r="BE870" s="235"/>
      <c r="BF870" s="235"/>
    </row>
    <row r="871" spans="1:58" ht="15.75" customHeight="1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  <c r="AA871" s="114"/>
      <c r="AB871" s="114"/>
      <c r="AC871" s="114"/>
      <c r="AD871" s="114"/>
      <c r="AE871" s="235"/>
      <c r="AF871" s="235"/>
      <c r="AG871" s="235"/>
      <c r="AH871" s="235"/>
      <c r="AI871" s="235"/>
      <c r="AJ871" s="235"/>
      <c r="AK871" s="235"/>
      <c r="AL871" s="235"/>
      <c r="AM871" s="235"/>
      <c r="AN871" s="235"/>
      <c r="AO871" s="235"/>
      <c r="AP871" s="235"/>
      <c r="AQ871" s="235"/>
      <c r="AR871" s="235"/>
      <c r="AS871" s="235"/>
      <c r="AT871" s="235"/>
      <c r="AU871" s="235"/>
      <c r="AV871" s="235"/>
      <c r="AW871" s="235"/>
      <c r="AX871" s="235"/>
      <c r="AY871" s="235"/>
      <c r="AZ871" s="235"/>
      <c r="BA871" s="235"/>
      <c r="BB871" s="235"/>
      <c r="BC871" s="235"/>
      <c r="BD871" s="235"/>
      <c r="BE871" s="235"/>
      <c r="BF871" s="235"/>
    </row>
    <row r="872" spans="1:58" ht="15.75" customHeight="1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  <c r="AA872" s="114"/>
      <c r="AB872" s="114"/>
      <c r="AC872" s="114"/>
      <c r="AD872" s="114"/>
      <c r="AE872" s="235"/>
      <c r="AF872" s="235"/>
      <c r="AG872" s="235"/>
      <c r="AH872" s="235"/>
      <c r="AI872" s="235"/>
      <c r="AJ872" s="235"/>
      <c r="AK872" s="235"/>
      <c r="AL872" s="235"/>
      <c r="AM872" s="235"/>
      <c r="AN872" s="235"/>
      <c r="AO872" s="235"/>
      <c r="AP872" s="235"/>
      <c r="AQ872" s="235"/>
      <c r="AR872" s="235"/>
      <c r="AS872" s="235"/>
      <c r="AT872" s="235"/>
      <c r="AU872" s="235"/>
      <c r="AV872" s="235"/>
      <c r="AW872" s="235"/>
      <c r="AX872" s="235"/>
      <c r="AY872" s="235"/>
      <c r="AZ872" s="235"/>
      <c r="BA872" s="235"/>
      <c r="BB872" s="235"/>
      <c r="BC872" s="235"/>
      <c r="BD872" s="235"/>
      <c r="BE872" s="235"/>
      <c r="BF872" s="235"/>
    </row>
    <row r="873" spans="1:58" ht="15.75" customHeight="1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235"/>
      <c r="AF873" s="235"/>
      <c r="AG873" s="235"/>
      <c r="AH873" s="235"/>
      <c r="AI873" s="235"/>
      <c r="AJ873" s="235"/>
      <c r="AK873" s="235"/>
      <c r="AL873" s="235"/>
      <c r="AM873" s="235"/>
      <c r="AN873" s="235"/>
      <c r="AO873" s="235"/>
      <c r="AP873" s="235"/>
      <c r="AQ873" s="235"/>
      <c r="AR873" s="235"/>
      <c r="AS873" s="235"/>
      <c r="AT873" s="235"/>
      <c r="AU873" s="235"/>
      <c r="AV873" s="235"/>
      <c r="AW873" s="235"/>
      <c r="AX873" s="235"/>
      <c r="AY873" s="235"/>
      <c r="AZ873" s="235"/>
      <c r="BA873" s="235"/>
      <c r="BB873" s="235"/>
      <c r="BC873" s="235"/>
      <c r="BD873" s="235"/>
      <c r="BE873" s="235"/>
      <c r="BF873" s="235"/>
    </row>
    <row r="874" spans="1:58" ht="15.75" customHeight="1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235"/>
      <c r="AF874" s="235"/>
      <c r="AG874" s="235"/>
      <c r="AH874" s="235"/>
      <c r="AI874" s="235"/>
      <c r="AJ874" s="235"/>
      <c r="AK874" s="235"/>
      <c r="AL874" s="235"/>
      <c r="AM874" s="235"/>
      <c r="AN874" s="235"/>
      <c r="AO874" s="235"/>
      <c r="AP874" s="235"/>
      <c r="AQ874" s="235"/>
      <c r="AR874" s="235"/>
      <c r="AS874" s="235"/>
      <c r="AT874" s="235"/>
      <c r="AU874" s="235"/>
      <c r="AV874" s="235"/>
      <c r="AW874" s="235"/>
      <c r="AX874" s="235"/>
      <c r="AY874" s="235"/>
      <c r="AZ874" s="235"/>
      <c r="BA874" s="235"/>
      <c r="BB874" s="235"/>
      <c r="BC874" s="235"/>
      <c r="BD874" s="235"/>
      <c r="BE874" s="235"/>
      <c r="BF874" s="235"/>
    </row>
    <row r="875" spans="1:58" ht="15.75" customHeight="1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235"/>
      <c r="AF875" s="235"/>
      <c r="AG875" s="235"/>
      <c r="AH875" s="235"/>
      <c r="AI875" s="235"/>
      <c r="AJ875" s="235"/>
      <c r="AK875" s="235"/>
      <c r="AL875" s="235"/>
      <c r="AM875" s="235"/>
      <c r="AN875" s="235"/>
      <c r="AO875" s="235"/>
      <c r="AP875" s="235"/>
      <c r="AQ875" s="235"/>
      <c r="AR875" s="235"/>
      <c r="AS875" s="235"/>
      <c r="AT875" s="235"/>
      <c r="AU875" s="235"/>
      <c r="AV875" s="235"/>
      <c r="AW875" s="235"/>
      <c r="AX875" s="235"/>
      <c r="AY875" s="235"/>
      <c r="AZ875" s="235"/>
      <c r="BA875" s="235"/>
      <c r="BB875" s="235"/>
      <c r="BC875" s="235"/>
      <c r="BD875" s="235"/>
      <c r="BE875" s="235"/>
      <c r="BF875" s="235"/>
    </row>
    <row r="876" spans="1:58" ht="15.75" customHeight="1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  <c r="AA876" s="114"/>
      <c r="AB876" s="114"/>
      <c r="AC876" s="114"/>
      <c r="AD876" s="114"/>
      <c r="AE876" s="235"/>
      <c r="AF876" s="235"/>
      <c r="AG876" s="235"/>
      <c r="AH876" s="235"/>
      <c r="AI876" s="235"/>
      <c r="AJ876" s="235"/>
      <c r="AK876" s="235"/>
      <c r="AL876" s="235"/>
      <c r="AM876" s="235"/>
      <c r="AN876" s="235"/>
      <c r="AO876" s="235"/>
      <c r="AP876" s="235"/>
      <c r="AQ876" s="235"/>
      <c r="AR876" s="235"/>
      <c r="AS876" s="235"/>
      <c r="AT876" s="235"/>
      <c r="AU876" s="235"/>
      <c r="AV876" s="235"/>
      <c r="AW876" s="235"/>
      <c r="AX876" s="235"/>
      <c r="AY876" s="235"/>
      <c r="AZ876" s="235"/>
      <c r="BA876" s="235"/>
      <c r="BB876" s="235"/>
      <c r="BC876" s="235"/>
      <c r="BD876" s="235"/>
      <c r="BE876" s="235"/>
      <c r="BF876" s="235"/>
    </row>
    <row r="877" spans="1:58" ht="15.75" customHeight="1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235"/>
      <c r="AF877" s="235"/>
      <c r="AG877" s="235"/>
      <c r="AH877" s="235"/>
      <c r="AI877" s="235"/>
      <c r="AJ877" s="235"/>
      <c r="AK877" s="235"/>
      <c r="AL877" s="235"/>
      <c r="AM877" s="235"/>
      <c r="AN877" s="235"/>
      <c r="AO877" s="235"/>
      <c r="AP877" s="235"/>
      <c r="AQ877" s="235"/>
      <c r="AR877" s="235"/>
      <c r="AS877" s="235"/>
      <c r="AT877" s="235"/>
      <c r="AU877" s="235"/>
      <c r="AV877" s="235"/>
      <c r="AW877" s="235"/>
      <c r="AX877" s="235"/>
      <c r="AY877" s="235"/>
      <c r="AZ877" s="235"/>
      <c r="BA877" s="235"/>
      <c r="BB877" s="235"/>
      <c r="BC877" s="235"/>
      <c r="BD877" s="235"/>
      <c r="BE877" s="235"/>
      <c r="BF877" s="235"/>
    </row>
    <row r="878" spans="1:58" ht="15.75" customHeight="1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235"/>
      <c r="AF878" s="235"/>
      <c r="AG878" s="235"/>
      <c r="AH878" s="235"/>
      <c r="AI878" s="235"/>
      <c r="AJ878" s="235"/>
      <c r="AK878" s="235"/>
      <c r="AL878" s="235"/>
      <c r="AM878" s="235"/>
      <c r="AN878" s="235"/>
      <c r="AO878" s="235"/>
      <c r="AP878" s="235"/>
      <c r="AQ878" s="235"/>
      <c r="AR878" s="235"/>
      <c r="AS878" s="235"/>
      <c r="AT878" s="235"/>
      <c r="AU878" s="235"/>
      <c r="AV878" s="235"/>
      <c r="AW878" s="235"/>
      <c r="AX878" s="235"/>
      <c r="AY878" s="235"/>
      <c r="AZ878" s="235"/>
      <c r="BA878" s="235"/>
      <c r="BB878" s="235"/>
      <c r="BC878" s="235"/>
      <c r="BD878" s="235"/>
      <c r="BE878" s="235"/>
      <c r="BF878" s="235"/>
    </row>
    <row r="879" spans="1:58" ht="15.75" customHeight="1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  <c r="AA879" s="114"/>
      <c r="AB879" s="114"/>
      <c r="AC879" s="114"/>
      <c r="AD879" s="114"/>
      <c r="AE879" s="235"/>
      <c r="AF879" s="235"/>
      <c r="AG879" s="235"/>
      <c r="AH879" s="235"/>
      <c r="AI879" s="235"/>
      <c r="AJ879" s="235"/>
      <c r="AK879" s="235"/>
      <c r="AL879" s="235"/>
      <c r="AM879" s="235"/>
      <c r="AN879" s="235"/>
      <c r="AO879" s="235"/>
      <c r="AP879" s="235"/>
      <c r="AQ879" s="235"/>
      <c r="AR879" s="235"/>
      <c r="AS879" s="235"/>
      <c r="AT879" s="235"/>
      <c r="AU879" s="235"/>
      <c r="AV879" s="235"/>
      <c r="AW879" s="235"/>
      <c r="AX879" s="235"/>
      <c r="AY879" s="235"/>
      <c r="AZ879" s="235"/>
      <c r="BA879" s="235"/>
      <c r="BB879" s="235"/>
      <c r="BC879" s="235"/>
      <c r="BD879" s="235"/>
      <c r="BE879" s="235"/>
      <c r="BF879" s="235"/>
    </row>
    <row r="880" spans="1:58" ht="15.75" customHeight="1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  <c r="AA880" s="114"/>
      <c r="AB880" s="114"/>
      <c r="AC880" s="114"/>
      <c r="AD880" s="114"/>
      <c r="AE880" s="235"/>
      <c r="AF880" s="235"/>
      <c r="AG880" s="235"/>
      <c r="AH880" s="235"/>
      <c r="AI880" s="235"/>
      <c r="AJ880" s="235"/>
      <c r="AK880" s="235"/>
      <c r="AL880" s="235"/>
      <c r="AM880" s="235"/>
      <c r="AN880" s="235"/>
      <c r="AO880" s="235"/>
      <c r="AP880" s="235"/>
      <c r="AQ880" s="235"/>
      <c r="AR880" s="235"/>
      <c r="AS880" s="235"/>
      <c r="AT880" s="235"/>
      <c r="AU880" s="235"/>
      <c r="AV880" s="235"/>
      <c r="AW880" s="235"/>
      <c r="AX880" s="235"/>
      <c r="AY880" s="235"/>
      <c r="AZ880" s="235"/>
      <c r="BA880" s="235"/>
      <c r="BB880" s="235"/>
      <c r="BC880" s="235"/>
      <c r="BD880" s="235"/>
      <c r="BE880" s="235"/>
      <c r="BF880" s="235"/>
    </row>
    <row r="881" spans="1:58" ht="15.75" customHeight="1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235"/>
      <c r="AF881" s="235"/>
      <c r="AG881" s="235"/>
      <c r="AH881" s="235"/>
      <c r="AI881" s="235"/>
      <c r="AJ881" s="235"/>
      <c r="AK881" s="235"/>
      <c r="AL881" s="235"/>
      <c r="AM881" s="235"/>
      <c r="AN881" s="235"/>
      <c r="AO881" s="235"/>
      <c r="AP881" s="235"/>
      <c r="AQ881" s="235"/>
      <c r="AR881" s="235"/>
      <c r="AS881" s="235"/>
      <c r="AT881" s="235"/>
      <c r="AU881" s="235"/>
      <c r="AV881" s="235"/>
      <c r="AW881" s="235"/>
      <c r="AX881" s="235"/>
      <c r="AY881" s="235"/>
      <c r="AZ881" s="235"/>
      <c r="BA881" s="235"/>
      <c r="BB881" s="235"/>
      <c r="BC881" s="235"/>
      <c r="BD881" s="235"/>
      <c r="BE881" s="235"/>
      <c r="BF881" s="235"/>
    </row>
    <row r="882" spans="1:58" ht="15.75" customHeight="1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235"/>
      <c r="AF882" s="235"/>
      <c r="AG882" s="235"/>
      <c r="AH882" s="235"/>
      <c r="AI882" s="235"/>
      <c r="AJ882" s="235"/>
      <c r="AK882" s="235"/>
      <c r="AL882" s="235"/>
      <c r="AM882" s="235"/>
      <c r="AN882" s="235"/>
      <c r="AO882" s="235"/>
      <c r="AP882" s="235"/>
      <c r="AQ882" s="235"/>
      <c r="AR882" s="235"/>
      <c r="AS882" s="235"/>
      <c r="AT882" s="235"/>
      <c r="AU882" s="235"/>
      <c r="AV882" s="235"/>
      <c r="AW882" s="235"/>
      <c r="AX882" s="235"/>
      <c r="AY882" s="235"/>
      <c r="AZ882" s="235"/>
      <c r="BA882" s="235"/>
      <c r="BB882" s="235"/>
      <c r="BC882" s="235"/>
      <c r="BD882" s="235"/>
      <c r="BE882" s="235"/>
      <c r="BF882" s="235"/>
    </row>
    <row r="883" spans="1:58" ht="15.75" customHeight="1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  <c r="AA883" s="114"/>
      <c r="AB883" s="114"/>
      <c r="AC883" s="114"/>
      <c r="AD883" s="114"/>
      <c r="AE883" s="235"/>
      <c r="AF883" s="235"/>
      <c r="AG883" s="235"/>
      <c r="AH883" s="235"/>
      <c r="AI883" s="235"/>
      <c r="AJ883" s="235"/>
      <c r="AK883" s="235"/>
      <c r="AL883" s="235"/>
      <c r="AM883" s="235"/>
      <c r="AN883" s="235"/>
      <c r="AO883" s="235"/>
      <c r="AP883" s="235"/>
      <c r="AQ883" s="235"/>
      <c r="AR883" s="235"/>
      <c r="AS883" s="235"/>
      <c r="AT883" s="235"/>
      <c r="AU883" s="235"/>
      <c r="AV883" s="235"/>
      <c r="AW883" s="235"/>
      <c r="AX883" s="235"/>
      <c r="AY883" s="235"/>
      <c r="AZ883" s="235"/>
      <c r="BA883" s="235"/>
      <c r="BB883" s="235"/>
      <c r="BC883" s="235"/>
      <c r="BD883" s="235"/>
      <c r="BE883" s="235"/>
      <c r="BF883" s="235"/>
    </row>
    <row r="884" spans="1:58" ht="15.75" customHeight="1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  <c r="AA884" s="114"/>
      <c r="AB884" s="114"/>
      <c r="AC884" s="114"/>
      <c r="AD884" s="114"/>
      <c r="AE884" s="235"/>
      <c r="AF884" s="235"/>
      <c r="AG884" s="235"/>
      <c r="AH884" s="235"/>
      <c r="AI884" s="235"/>
      <c r="AJ884" s="235"/>
      <c r="AK884" s="235"/>
      <c r="AL884" s="235"/>
      <c r="AM884" s="235"/>
      <c r="AN884" s="235"/>
      <c r="AO884" s="235"/>
      <c r="AP884" s="235"/>
      <c r="AQ884" s="235"/>
      <c r="AR884" s="235"/>
      <c r="AS884" s="235"/>
      <c r="AT884" s="235"/>
      <c r="AU884" s="235"/>
      <c r="AV884" s="235"/>
      <c r="AW884" s="235"/>
      <c r="AX884" s="235"/>
      <c r="AY884" s="235"/>
      <c r="AZ884" s="235"/>
      <c r="BA884" s="235"/>
      <c r="BB884" s="235"/>
      <c r="BC884" s="235"/>
      <c r="BD884" s="235"/>
      <c r="BE884" s="235"/>
      <c r="BF884" s="235"/>
    </row>
    <row r="885" spans="1:58" ht="15.75" customHeight="1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235"/>
      <c r="AF885" s="235"/>
      <c r="AG885" s="235"/>
      <c r="AH885" s="235"/>
      <c r="AI885" s="235"/>
      <c r="AJ885" s="235"/>
      <c r="AK885" s="235"/>
      <c r="AL885" s="235"/>
      <c r="AM885" s="235"/>
      <c r="AN885" s="235"/>
      <c r="AO885" s="235"/>
      <c r="AP885" s="235"/>
      <c r="AQ885" s="235"/>
      <c r="AR885" s="235"/>
      <c r="AS885" s="235"/>
      <c r="AT885" s="235"/>
      <c r="AU885" s="235"/>
      <c r="AV885" s="235"/>
      <c r="AW885" s="235"/>
      <c r="AX885" s="235"/>
      <c r="AY885" s="235"/>
      <c r="AZ885" s="235"/>
      <c r="BA885" s="235"/>
      <c r="BB885" s="235"/>
      <c r="BC885" s="235"/>
      <c r="BD885" s="235"/>
      <c r="BE885" s="235"/>
      <c r="BF885" s="235"/>
    </row>
    <row r="886" spans="1:58" ht="15.75" customHeight="1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235"/>
      <c r="AF886" s="235"/>
      <c r="AG886" s="235"/>
      <c r="AH886" s="235"/>
      <c r="AI886" s="235"/>
      <c r="AJ886" s="235"/>
      <c r="AK886" s="235"/>
      <c r="AL886" s="235"/>
      <c r="AM886" s="235"/>
      <c r="AN886" s="235"/>
      <c r="AO886" s="235"/>
      <c r="AP886" s="235"/>
      <c r="AQ886" s="235"/>
      <c r="AR886" s="235"/>
      <c r="AS886" s="235"/>
      <c r="AT886" s="235"/>
      <c r="AU886" s="235"/>
      <c r="AV886" s="235"/>
      <c r="AW886" s="235"/>
      <c r="AX886" s="235"/>
      <c r="AY886" s="235"/>
      <c r="AZ886" s="235"/>
      <c r="BA886" s="235"/>
      <c r="BB886" s="235"/>
      <c r="BC886" s="235"/>
      <c r="BD886" s="235"/>
      <c r="BE886" s="235"/>
      <c r="BF886" s="235"/>
    </row>
    <row r="887" spans="1:58" ht="15.75" customHeight="1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  <c r="AA887" s="114"/>
      <c r="AB887" s="114"/>
      <c r="AC887" s="114"/>
      <c r="AD887" s="114"/>
      <c r="AE887" s="235"/>
      <c r="AF887" s="235"/>
      <c r="AG887" s="235"/>
      <c r="AH887" s="235"/>
      <c r="AI887" s="235"/>
      <c r="AJ887" s="235"/>
      <c r="AK887" s="235"/>
      <c r="AL887" s="235"/>
      <c r="AM887" s="235"/>
      <c r="AN887" s="235"/>
      <c r="AO887" s="235"/>
      <c r="AP887" s="235"/>
      <c r="AQ887" s="235"/>
      <c r="AR887" s="235"/>
      <c r="AS887" s="235"/>
      <c r="AT887" s="235"/>
      <c r="AU887" s="235"/>
      <c r="AV887" s="235"/>
      <c r="AW887" s="235"/>
      <c r="AX887" s="235"/>
      <c r="AY887" s="235"/>
      <c r="AZ887" s="235"/>
      <c r="BA887" s="235"/>
      <c r="BB887" s="235"/>
      <c r="BC887" s="235"/>
      <c r="BD887" s="235"/>
      <c r="BE887" s="235"/>
      <c r="BF887" s="235"/>
    </row>
    <row r="888" spans="1:58" ht="15.75" customHeight="1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  <c r="AA888" s="114"/>
      <c r="AB888" s="114"/>
      <c r="AC888" s="114"/>
      <c r="AD888" s="114"/>
      <c r="AE888" s="235"/>
      <c r="AF888" s="235"/>
      <c r="AG888" s="235"/>
      <c r="AH888" s="235"/>
      <c r="AI888" s="235"/>
      <c r="AJ888" s="235"/>
      <c r="AK888" s="235"/>
      <c r="AL888" s="235"/>
      <c r="AM888" s="235"/>
      <c r="AN888" s="235"/>
      <c r="AO888" s="235"/>
      <c r="AP888" s="235"/>
      <c r="AQ888" s="235"/>
      <c r="AR888" s="235"/>
      <c r="AS888" s="235"/>
      <c r="AT888" s="235"/>
      <c r="AU888" s="235"/>
      <c r="AV888" s="235"/>
      <c r="AW888" s="235"/>
      <c r="AX888" s="235"/>
      <c r="AY888" s="235"/>
      <c r="AZ888" s="235"/>
      <c r="BA888" s="235"/>
      <c r="BB888" s="235"/>
      <c r="BC888" s="235"/>
      <c r="BD888" s="235"/>
      <c r="BE888" s="235"/>
      <c r="BF888" s="235"/>
    </row>
    <row r="889" spans="1:58" ht="15.75" customHeight="1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235"/>
      <c r="AF889" s="235"/>
      <c r="AG889" s="235"/>
      <c r="AH889" s="235"/>
      <c r="AI889" s="235"/>
      <c r="AJ889" s="235"/>
      <c r="AK889" s="235"/>
      <c r="AL889" s="235"/>
      <c r="AM889" s="235"/>
      <c r="AN889" s="235"/>
      <c r="AO889" s="235"/>
      <c r="AP889" s="235"/>
      <c r="AQ889" s="235"/>
      <c r="AR889" s="235"/>
      <c r="AS889" s="235"/>
      <c r="AT889" s="235"/>
      <c r="AU889" s="235"/>
      <c r="AV889" s="235"/>
      <c r="AW889" s="235"/>
      <c r="AX889" s="235"/>
      <c r="AY889" s="235"/>
      <c r="AZ889" s="235"/>
      <c r="BA889" s="235"/>
      <c r="BB889" s="235"/>
      <c r="BC889" s="235"/>
      <c r="BD889" s="235"/>
      <c r="BE889" s="235"/>
      <c r="BF889" s="235"/>
    </row>
    <row r="890" spans="1:58" ht="15.75" customHeight="1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235"/>
      <c r="AF890" s="235"/>
      <c r="AG890" s="235"/>
      <c r="AH890" s="235"/>
      <c r="AI890" s="235"/>
      <c r="AJ890" s="235"/>
      <c r="AK890" s="235"/>
      <c r="AL890" s="235"/>
      <c r="AM890" s="235"/>
      <c r="AN890" s="235"/>
      <c r="AO890" s="235"/>
      <c r="AP890" s="235"/>
      <c r="AQ890" s="235"/>
      <c r="AR890" s="235"/>
      <c r="AS890" s="235"/>
      <c r="AT890" s="235"/>
      <c r="AU890" s="235"/>
      <c r="AV890" s="235"/>
      <c r="AW890" s="235"/>
      <c r="AX890" s="235"/>
      <c r="AY890" s="235"/>
      <c r="AZ890" s="235"/>
      <c r="BA890" s="235"/>
      <c r="BB890" s="235"/>
      <c r="BC890" s="235"/>
      <c r="BD890" s="235"/>
      <c r="BE890" s="235"/>
      <c r="BF890" s="235"/>
    </row>
    <row r="891" spans="1:58" ht="15.75" customHeight="1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  <c r="AA891" s="114"/>
      <c r="AB891" s="114"/>
      <c r="AC891" s="114"/>
      <c r="AD891" s="114"/>
      <c r="AE891" s="235"/>
      <c r="AF891" s="235"/>
      <c r="AG891" s="235"/>
      <c r="AH891" s="235"/>
      <c r="AI891" s="235"/>
      <c r="AJ891" s="235"/>
      <c r="AK891" s="235"/>
      <c r="AL891" s="235"/>
      <c r="AM891" s="235"/>
      <c r="AN891" s="235"/>
      <c r="AO891" s="235"/>
      <c r="AP891" s="235"/>
      <c r="AQ891" s="235"/>
      <c r="AR891" s="235"/>
      <c r="AS891" s="235"/>
      <c r="AT891" s="235"/>
      <c r="AU891" s="235"/>
      <c r="AV891" s="235"/>
      <c r="AW891" s="235"/>
      <c r="AX891" s="235"/>
      <c r="AY891" s="235"/>
      <c r="AZ891" s="235"/>
      <c r="BA891" s="235"/>
      <c r="BB891" s="235"/>
      <c r="BC891" s="235"/>
      <c r="BD891" s="235"/>
      <c r="BE891" s="235"/>
      <c r="BF891" s="235"/>
    </row>
    <row r="892" spans="1:58" ht="15.75" customHeight="1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  <c r="AA892" s="114"/>
      <c r="AB892" s="114"/>
      <c r="AC892" s="114"/>
      <c r="AD892" s="114"/>
      <c r="AE892" s="235"/>
      <c r="AF892" s="235"/>
      <c r="AG892" s="235"/>
      <c r="AH892" s="235"/>
      <c r="AI892" s="235"/>
      <c r="AJ892" s="235"/>
      <c r="AK892" s="235"/>
      <c r="AL892" s="235"/>
      <c r="AM892" s="235"/>
      <c r="AN892" s="235"/>
      <c r="AO892" s="235"/>
      <c r="AP892" s="235"/>
      <c r="AQ892" s="235"/>
      <c r="AR892" s="235"/>
      <c r="AS892" s="235"/>
      <c r="AT892" s="235"/>
      <c r="AU892" s="235"/>
      <c r="AV892" s="235"/>
      <c r="AW892" s="235"/>
      <c r="AX892" s="235"/>
      <c r="AY892" s="235"/>
      <c r="AZ892" s="235"/>
      <c r="BA892" s="235"/>
      <c r="BB892" s="235"/>
      <c r="BC892" s="235"/>
      <c r="BD892" s="235"/>
      <c r="BE892" s="235"/>
      <c r="BF892" s="235"/>
    </row>
    <row r="893" spans="1:58" ht="15.75" customHeight="1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235"/>
      <c r="AF893" s="235"/>
      <c r="AG893" s="235"/>
      <c r="AH893" s="235"/>
      <c r="AI893" s="235"/>
      <c r="AJ893" s="235"/>
      <c r="AK893" s="235"/>
      <c r="AL893" s="235"/>
      <c r="AM893" s="235"/>
      <c r="AN893" s="235"/>
      <c r="AO893" s="235"/>
      <c r="AP893" s="235"/>
      <c r="AQ893" s="235"/>
      <c r="AR893" s="235"/>
      <c r="AS893" s="235"/>
      <c r="AT893" s="235"/>
      <c r="AU893" s="235"/>
      <c r="AV893" s="235"/>
      <c r="AW893" s="235"/>
      <c r="AX893" s="235"/>
      <c r="AY893" s="235"/>
      <c r="AZ893" s="235"/>
      <c r="BA893" s="235"/>
      <c r="BB893" s="235"/>
      <c r="BC893" s="235"/>
      <c r="BD893" s="235"/>
      <c r="BE893" s="235"/>
      <c r="BF893" s="235"/>
    </row>
    <row r="894" spans="1:58" ht="15.75" customHeight="1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235"/>
      <c r="AF894" s="235"/>
      <c r="AG894" s="235"/>
      <c r="AH894" s="235"/>
      <c r="AI894" s="235"/>
      <c r="AJ894" s="235"/>
      <c r="AK894" s="235"/>
      <c r="AL894" s="235"/>
      <c r="AM894" s="235"/>
      <c r="AN894" s="235"/>
      <c r="AO894" s="235"/>
      <c r="AP894" s="235"/>
      <c r="AQ894" s="235"/>
      <c r="AR894" s="235"/>
      <c r="AS894" s="235"/>
      <c r="AT894" s="235"/>
      <c r="AU894" s="235"/>
      <c r="AV894" s="235"/>
      <c r="AW894" s="235"/>
      <c r="AX894" s="235"/>
      <c r="AY894" s="235"/>
      <c r="AZ894" s="235"/>
      <c r="BA894" s="235"/>
      <c r="BB894" s="235"/>
      <c r="BC894" s="235"/>
      <c r="BD894" s="235"/>
      <c r="BE894" s="235"/>
      <c r="BF894" s="235"/>
    </row>
    <row r="895" spans="1:58" ht="15.75" customHeight="1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  <c r="AA895" s="114"/>
      <c r="AB895" s="114"/>
      <c r="AC895" s="114"/>
      <c r="AD895" s="114"/>
      <c r="AE895" s="235"/>
      <c r="AF895" s="235"/>
      <c r="AG895" s="235"/>
      <c r="AH895" s="235"/>
      <c r="AI895" s="235"/>
      <c r="AJ895" s="235"/>
      <c r="AK895" s="235"/>
      <c r="AL895" s="235"/>
      <c r="AM895" s="235"/>
      <c r="AN895" s="235"/>
      <c r="AO895" s="235"/>
      <c r="AP895" s="235"/>
      <c r="AQ895" s="235"/>
      <c r="AR895" s="235"/>
      <c r="AS895" s="235"/>
      <c r="AT895" s="235"/>
      <c r="AU895" s="235"/>
      <c r="AV895" s="235"/>
      <c r="AW895" s="235"/>
      <c r="AX895" s="235"/>
      <c r="AY895" s="235"/>
      <c r="AZ895" s="235"/>
      <c r="BA895" s="235"/>
      <c r="BB895" s="235"/>
      <c r="BC895" s="235"/>
      <c r="BD895" s="235"/>
      <c r="BE895" s="235"/>
      <c r="BF895" s="235"/>
    </row>
    <row r="896" spans="1:58" ht="15.75" customHeight="1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  <c r="AA896" s="114"/>
      <c r="AB896" s="114"/>
      <c r="AC896" s="114"/>
      <c r="AD896" s="114"/>
      <c r="AE896" s="235"/>
      <c r="AF896" s="235"/>
      <c r="AG896" s="235"/>
      <c r="AH896" s="235"/>
      <c r="AI896" s="235"/>
      <c r="AJ896" s="235"/>
      <c r="AK896" s="235"/>
      <c r="AL896" s="235"/>
      <c r="AM896" s="235"/>
      <c r="AN896" s="235"/>
      <c r="AO896" s="235"/>
      <c r="AP896" s="235"/>
      <c r="AQ896" s="235"/>
      <c r="AR896" s="235"/>
      <c r="AS896" s="235"/>
      <c r="AT896" s="235"/>
      <c r="AU896" s="235"/>
      <c r="AV896" s="235"/>
      <c r="AW896" s="235"/>
      <c r="AX896" s="235"/>
      <c r="AY896" s="235"/>
      <c r="AZ896" s="235"/>
      <c r="BA896" s="235"/>
      <c r="BB896" s="235"/>
      <c r="BC896" s="235"/>
      <c r="BD896" s="235"/>
      <c r="BE896" s="235"/>
      <c r="BF896" s="235"/>
    </row>
    <row r="897" spans="1:58" ht="15.75" customHeight="1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235"/>
      <c r="AF897" s="235"/>
      <c r="AG897" s="235"/>
      <c r="AH897" s="235"/>
      <c r="AI897" s="235"/>
      <c r="AJ897" s="235"/>
      <c r="AK897" s="235"/>
      <c r="AL897" s="235"/>
      <c r="AM897" s="235"/>
      <c r="AN897" s="235"/>
      <c r="AO897" s="235"/>
      <c r="AP897" s="235"/>
      <c r="AQ897" s="235"/>
      <c r="AR897" s="235"/>
      <c r="AS897" s="235"/>
      <c r="AT897" s="235"/>
      <c r="AU897" s="235"/>
      <c r="AV897" s="235"/>
      <c r="AW897" s="235"/>
      <c r="AX897" s="235"/>
      <c r="AY897" s="235"/>
      <c r="AZ897" s="235"/>
      <c r="BA897" s="235"/>
      <c r="BB897" s="235"/>
      <c r="BC897" s="235"/>
      <c r="BD897" s="235"/>
      <c r="BE897" s="235"/>
      <c r="BF897" s="235"/>
    </row>
    <row r="898" spans="1:58" ht="15.75" customHeight="1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235"/>
      <c r="AF898" s="235"/>
      <c r="AG898" s="235"/>
      <c r="AH898" s="235"/>
      <c r="AI898" s="235"/>
      <c r="AJ898" s="235"/>
      <c r="AK898" s="235"/>
      <c r="AL898" s="235"/>
      <c r="AM898" s="235"/>
      <c r="AN898" s="235"/>
      <c r="AO898" s="235"/>
      <c r="AP898" s="235"/>
      <c r="AQ898" s="235"/>
      <c r="AR898" s="235"/>
      <c r="AS898" s="235"/>
      <c r="AT898" s="235"/>
      <c r="AU898" s="235"/>
      <c r="AV898" s="235"/>
      <c r="AW898" s="235"/>
      <c r="AX898" s="235"/>
      <c r="AY898" s="235"/>
      <c r="AZ898" s="235"/>
      <c r="BA898" s="235"/>
      <c r="BB898" s="235"/>
      <c r="BC898" s="235"/>
      <c r="BD898" s="235"/>
      <c r="BE898" s="235"/>
      <c r="BF898" s="235"/>
    </row>
    <row r="899" spans="1:58" ht="15.75" customHeight="1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  <c r="AA899" s="114"/>
      <c r="AB899" s="114"/>
      <c r="AC899" s="114"/>
      <c r="AD899" s="114"/>
      <c r="AE899" s="235"/>
      <c r="AF899" s="235"/>
      <c r="AG899" s="235"/>
      <c r="AH899" s="235"/>
      <c r="AI899" s="235"/>
      <c r="AJ899" s="235"/>
      <c r="AK899" s="235"/>
      <c r="AL899" s="235"/>
      <c r="AM899" s="235"/>
      <c r="AN899" s="235"/>
      <c r="AO899" s="235"/>
      <c r="AP899" s="235"/>
      <c r="AQ899" s="235"/>
      <c r="AR899" s="235"/>
      <c r="AS899" s="235"/>
      <c r="AT899" s="235"/>
      <c r="AU899" s="235"/>
      <c r="AV899" s="235"/>
      <c r="AW899" s="235"/>
      <c r="AX899" s="235"/>
      <c r="AY899" s="235"/>
      <c r="AZ899" s="235"/>
      <c r="BA899" s="235"/>
      <c r="BB899" s="235"/>
      <c r="BC899" s="235"/>
      <c r="BD899" s="235"/>
      <c r="BE899" s="235"/>
      <c r="BF899" s="235"/>
    </row>
    <row r="900" spans="1:58" ht="15.75" customHeight="1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  <c r="AA900" s="114"/>
      <c r="AB900" s="114"/>
      <c r="AC900" s="114"/>
      <c r="AD900" s="114"/>
      <c r="AE900" s="235"/>
      <c r="AF900" s="235"/>
      <c r="AG900" s="235"/>
      <c r="AH900" s="235"/>
      <c r="AI900" s="235"/>
      <c r="AJ900" s="235"/>
      <c r="AK900" s="235"/>
      <c r="AL900" s="235"/>
      <c r="AM900" s="235"/>
      <c r="AN900" s="235"/>
      <c r="AO900" s="235"/>
      <c r="AP900" s="235"/>
      <c r="AQ900" s="235"/>
      <c r="AR900" s="235"/>
      <c r="AS900" s="235"/>
      <c r="AT900" s="235"/>
      <c r="AU900" s="235"/>
      <c r="AV900" s="235"/>
      <c r="AW900" s="235"/>
      <c r="AX900" s="235"/>
      <c r="AY900" s="235"/>
      <c r="AZ900" s="235"/>
      <c r="BA900" s="235"/>
      <c r="BB900" s="235"/>
      <c r="BC900" s="235"/>
      <c r="BD900" s="235"/>
      <c r="BE900" s="235"/>
      <c r="BF900" s="235"/>
    </row>
    <row r="901" spans="1:58" ht="15.75" customHeight="1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235"/>
      <c r="AF901" s="235"/>
      <c r="AG901" s="235"/>
      <c r="AH901" s="235"/>
      <c r="AI901" s="235"/>
      <c r="AJ901" s="235"/>
      <c r="AK901" s="235"/>
      <c r="AL901" s="235"/>
      <c r="AM901" s="235"/>
      <c r="AN901" s="235"/>
      <c r="AO901" s="235"/>
      <c r="AP901" s="235"/>
      <c r="AQ901" s="235"/>
      <c r="AR901" s="235"/>
      <c r="AS901" s="235"/>
      <c r="AT901" s="235"/>
      <c r="AU901" s="235"/>
      <c r="AV901" s="235"/>
      <c r="AW901" s="235"/>
      <c r="AX901" s="235"/>
      <c r="AY901" s="235"/>
      <c r="AZ901" s="235"/>
      <c r="BA901" s="235"/>
      <c r="BB901" s="235"/>
      <c r="BC901" s="235"/>
      <c r="BD901" s="235"/>
      <c r="BE901" s="235"/>
      <c r="BF901" s="235"/>
    </row>
    <row r="902" spans="1:58" ht="15.75" customHeight="1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235"/>
      <c r="AF902" s="235"/>
      <c r="AG902" s="235"/>
      <c r="AH902" s="235"/>
      <c r="AI902" s="235"/>
      <c r="AJ902" s="235"/>
      <c r="AK902" s="235"/>
      <c r="AL902" s="235"/>
      <c r="AM902" s="235"/>
      <c r="AN902" s="235"/>
      <c r="AO902" s="235"/>
      <c r="AP902" s="235"/>
      <c r="AQ902" s="235"/>
      <c r="AR902" s="235"/>
      <c r="AS902" s="235"/>
      <c r="AT902" s="235"/>
      <c r="AU902" s="235"/>
      <c r="AV902" s="235"/>
      <c r="AW902" s="235"/>
      <c r="AX902" s="235"/>
      <c r="AY902" s="235"/>
      <c r="AZ902" s="235"/>
      <c r="BA902" s="235"/>
      <c r="BB902" s="235"/>
      <c r="BC902" s="235"/>
      <c r="BD902" s="235"/>
      <c r="BE902" s="235"/>
      <c r="BF902" s="235"/>
    </row>
    <row r="903" spans="1:58" ht="15.75" customHeight="1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  <c r="AA903" s="114"/>
      <c r="AB903" s="114"/>
      <c r="AC903" s="114"/>
      <c r="AD903" s="114"/>
      <c r="AE903" s="235"/>
      <c r="AF903" s="235"/>
      <c r="AG903" s="235"/>
      <c r="AH903" s="235"/>
      <c r="AI903" s="235"/>
      <c r="AJ903" s="235"/>
      <c r="AK903" s="235"/>
      <c r="AL903" s="235"/>
      <c r="AM903" s="235"/>
      <c r="AN903" s="235"/>
      <c r="AO903" s="235"/>
      <c r="AP903" s="235"/>
      <c r="AQ903" s="235"/>
      <c r="AR903" s="235"/>
      <c r="AS903" s="235"/>
      <c r="AT903" s="235"/>
      <c r="AU903" s="235"/>
      <c r="AV903" s="235"/>
      <c r="AW903" s="235"/>
      <c r="AX903" s="235"/>
      <c r="AY903" s="235"/>
      <c r="AZ903" s="235"/>
      <c r="BA903" s="235"/>
      <c r="BB903" s="235"/>
      <c r="BC903" s="235"/>
      <c r="BD903" s="235"/>
      <c r="BE903" s="235"/>
      <c r="BF903" s="235"/>
    </row>
    <row r="904" spans="1:58" ht="15.75" customHeight="1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  <c r="AA904" s="114"/>
      <c r="AB904" s="114"/>
      <c r="AC904" s="114"/>
      <c r="AD904" s="114"/>
      <c r="AE904" s="235"/>
      <c r="AF904" s="235"/>
      <c r="AG904" s="235"/>
      <c r="AH904" s="235"/>
      <c r="AI904" s="235"/>
      <c r="AJ904" s="235"/>
      <c r="AK904" s="235"/>
      <c r="AL904" s="235"/>
      <c r="AM904" s="235"/>
      <c r="AN904" s="235"/>
      <c r="AO904" s="235"/>
      <c r="AP904" s="235"/>
      <c r="AQ904" s="235"/>
      <c r="AR904" s="235"/>
      <c r="AS904" s="235"/>
      <c r="AT904" s="235"/>
      <c r="AU904" s="235"/>
      <c r="AV904" s="235"/>
      <c r="AW904" s="235"/>
      <c r="AX904" s="235"/>
      <c r="AY904" s="235"/>
      <c r="AZ904" s="235"/>
      <c r="BA904" s="235"/>
      <c r="BB904" s="235"/>
      <c r="BC904" s="235"/>
      <c r="BD904" s="235"/>
      <c r="BE904" s="235"/>
      <c r="BF904" s="235"/>
    </row>
    <row r="905" spans="1:58" ht="15.75" customHeight="1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235"/>
      <c r="AF905" s="235"/>
      <c r="AG905" s="235"/>
      <c r="AH905" s="235"/>
      <c r="AI905" s="235"/>
      <c r="AJ905" s="235"/>
      <c r="AK905" s="235"/>
      <c r="AL905" s="235"/>
      <c r="AM905" s="235"/>
      <c r="AN905" s="235"/>
      <c r="AO905" s="235"/>
      <c r="AP905" s="235"/>
      <c r="AQ905" s="235"/>
      <c r="AR905" s="235"/>
      <c r="AS905" s="235"/>
      <c r="AT905" s="235"/>
      <c r="AU905" s="235"/>
      <c r="AV905" s="235"/>
      <c r="AW905" s="235"/>
      <c r="AX905" s="235"/>
      <c r="AY905" s="235"/>
      <c r="AZ905" s="235"/>
      <c r="BA905" s="235"/>
      <c r="BB905" s="235"/>
      <c r="BC905" s="235"/>
      <c r="BD905" s="235"/>
      <c r="BE905" s="235"/>
      <c r="BF905" s="235"/>
    </row>
    <row r="906" spans="1:58" ht="15.75" customHeight="1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235"/>
      <c r="AF906" s="235"/>
      <c r="AG906" s="235"/>
      <c r="AH906" s="235"/>
      <c r="AI906" s="235"/>
      <c r="AJ906" s="235"/>
      <c r="AK906" s="235"/>
      <c r="AL906" s="235"/>
      <c r="AM906" s="235"/>
      <c r="AN906" s="235"/>
      <c r="AO906" s="235"/>
      <c r="AP906" s="235"/>
      <c r="AQ906" s="235"/>
      <c r="AR906" s="235"/>
      <c r="AS906" s="235"/>
      <c r="AT906" s="235"/>
      <c r="AU906" s="235"/>
      <c r="AV906" s="235"/>
      <c r="AW906" s="235"/>
      <c r="AX906" s="235"/>
      <c r="AY906" s="235"/>
      <c r="AZ906" s="235"/>
      <c r="BA906" s="235"/>
      <c r="BB906" s="235"/>
      <c r="BC906" s="235"/>
      <c r="BD906" s="235"/>
      <c r="BE906" s="235"/>
      <c r="BF906" s="235"/>
    </row>
    <row r="907" spans="1:58" ht="15.75" customHeight="1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  <c r="AA907" s="114"/>
      <c r="AB907" s="114"/>
      <c r="AC907" s="114"/>
      <c r="AD907" s="114"/>
      <c r="AE907" s="235"/>
      <c r="AF907" s="235"/>
      <c r="AG907" s="235"/>
      <c r="AH907" s="235"/>
      <c r="AI907" s="235"/>
      <c r="AJ907" s="235"/>
      <c r="AK907" s="235"/>
      <c r="AL907" s="235"/>
      <c r="AM907" s="235"/>
      <c r="AN907" s="235"/>
      <c r="AO907" s="235"/>
      <c r="AP907" s="235"/>
      <c r="AQ907" s="235"/>
      <c r="AR907" s="235"/>
      <c r="AS907" s="235"/>
      <c r="AT907" s="235"/>
      <c r="AU907" s="235"/>
      <c r="AV907" s="235"/>
      <c r="AW907" s="235"/>
      <c r="AX907" s="235"/>
      <c r="AY907" s="235"/>
      <c r="AZ907" s="235"/>
      <c r="BA907" s="235"/>
      <c r="BB907" s="235"/>
      <c r="BC907" s="235"/>
      <c r="BD907" s="235"/>
      <c r="BE907" s="235"/>
      <c r="BF907" s="235"/>
    </row>
    <row r="908" spans="1:58" ht="15.75" customHeight="1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  <c r="AA908" s="114"/>
      <c r="AB908" s="114"/>
      <c r="AC908" s="114"/>
      <c r="AD908" s="114"/>
      <c r="AE908" s="235"/>
      <c r="AF908" s="235"/>
      <c r="AG908" s="235"/>
      <c r="AH908" s="235"/>
      <c r="AI908" s="235"/>
      <c r="AJ908" s="235"/>
      <c r="AK908" s="235"/>
      <c r="AL908" s="235"/>
      <c r="AM908" s="235"/>
      <c r="AN908" s="235"/>
      <c r="AO908" s="235"/>
      <c r="AP908" s="235"/>
      <c r="AQ908" s="235"/>
      <c r="AR908" s="235"/>
      <c r="AS908" s="235"/>
      <c r="AT908" s="235"/>
      <c r="AU908" s="235"/>
      <c r="AV908" s="235"/>
      <c r="AW908" s="235"/>
      <c r="AX908" s="235"/>
      <c r="AY908" s="235"/>
      <c r="AZ908" s="235"/>
      <c r="BA908" s="235"/>
      <c r="BB908" s="235"/>
      <c r="BC908" s="235"/>
      <c r="BD908" s="235"/>
      <c r="BE908" s="235"/>
      <c r="BF908" s="235"/>
    </row>
    <row r="909" spans="1:58" ht="15.75" customHeight="1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235"/>
      <c r="AF909" s="235"/>
      <c r="AG909" s="235"/>
      <c r="AH909" s="235"/>
      <c r="AI909" s="235"/>
      <c r="AJ909" s="235"/>
      <c r="AK909" s="235"/>
      <c r="AL909" s="235"/>
      <c r="AM909" s="235"/>
      <c r="AN909" s="235"/>
      <c r="AO909" s="235"/>
      <c r="AP909" s="235"/>
      <c r="AQ909" s="235"/>
      <c r="AR909" s="235"/>
      <c r="AS909" s="235"/>
      <c r="AT909" s="235"/>
      <c r="AU909" s="235"/>
      <c r="AV909" s="235"/>
      <c r="AW909" s="235"/>
      <c r="AX909" s="235"/>
      <c r="AY909" s="235"/>
      <c r="AZ909" s="235"/>
      <c r="BA909" s="235"/>
      <c r="BB909" s="235"/>
      <c r="BC909" s="235"/>
      <c r="BD909" s="235"/>
      <c r="BE909" s="235"/>
      <c r="BF909" s="235"/>
    </row>
    <row r="910" spans="1:58" ht="15.75" customHeight="1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235"/>
      <c r="AF910" s="235"/>
      <c r="AG910" s="235"/>
      <c r="AH910" s="235"/>
      <c r="AI910" s="235"/>
      <c r="AJ910" s="235"/>
      <c r="AK910" s="235"/>
      <c r="AL910" s="235"/>
      <c r="AM910" s="235"/>
      <c r="AN910" s="235"/>
      <c r="AO910" s="235"/>
      <c r="AP910" s="235"/>
      <c r="AQ910" s="235"/>
      <c r="AR910" s="235"/>
      <c r="AS910" s="235"/>
      <c r="AT910" s="235"/>
      <c r="AU910" s="235"/>
      <c r="AV910" s="235"/>
      <c r="AW910" s="235"/>
      <c r="AX910" s="235"/>
      <c r="AY910" s="235"/>
      <c r="AZ910" s="235"/>
      <c r="BA910" s="235"/>
      <c r="BB910" s="235"/>
      <c r="BC910" s="235"/>
      <c r="BD910" s="235"/>
      <c r="BE910" s="235"/>
      <c r="BF910" s="235"/>
    </row>
    <row r="911" spans="1:58" ht="15.75" customHeight="1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  <c r="AA911" s="114"/>
      <c r="AB911" s="114"/>
      <c r="AC911" s="114"/>
      <c r="AD911" s="114"/>
      <c r="AE911" s="235"/>
      <c r="AF911" s="235"/>
      <c r="AG911" s="235"/>
      <c r="AH911" s="235"/>
      <c r="AI911" s="235"/>
      <c r="AJ911" s="235"/>
      <c r="AK911" s="235"/>
      <c r="AL911" s="235"/>
      <c r="AM911" s="235"/>
      <c r="AN911" s="235"/>
      <c r="AO911" s="235"/>
      <c r="AP911" s="235"/>
      <c r="AQ911" s="235"/>
      <c r="AR911" s="235"/>
      <c r="AS911" s="235"/>
      <c r="AT911" s="235"/>
      <c r="AU911" s="235"/>
      <c r="AV911" s="235"/>
      <c r="AW911" s="235"/>
      <c r="AX911" s="235"/>
      <c r="AY911" s="235"/>
      <c r="AZ911" s="235"/>
      <c r="BA911" s="235"/>
      <c r="BB911" s="235"/>
      <c r="BC911" s="235"/>
      <c r="BD911" s="235"/>
      <c r="BE911" s="235"/>
      <c r="BF911" s="235"/>
    </row>
    <row r="912" spans="1:58" ht="15.75" customHeight="1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  <c r="AA912" s="114"/>
      <c r="AB912" s="114"/>
      <c r="AC912" s="114"/>
      <c r="AD912" s="114"/>
      <c r="AE912" s="235"/>
      <c r="AF912" s="235"/>
      <c r="AG912" s="235"/>
      <c r="AH912" s="235"/>
      <c r="AI912" s="235"/>
      <c r="AJ912" s="235"/>
      <c r="AK912" s="235"/>
      <c r="AL912" s="235"/>
      <c r="AM912" s="235"/>
      <c r="AN912" s="235"/>
      <c r="AO912" s="235"/>
      <c r="AP912" s="235"/>
      <c r="AQ912" s="235"/>
      <c r="AR912" s="235"/>
      <c r="AS912" s="235"/>
      <c r="AT912" s="235"/>
      <c r="AU912" s="235"/>
      <c r="AV912" s="235"/>
      <c r="AW912" s="235"/>
      <c r="AX912" s="235"/>
      <c r="AY912" s="235"/>
      <c r="AZ912" s="235"/>
      <c r="BA912" s="235"/>
      <c r="BB912" s="235"/>
      <c r="BC912" s="235"/>
      <c r="BD912" s="235"/>
      <c r="BE912" s="235"/>
      <c r="BF912" s="235"/>
    </row>
    <row r="913" spans="1:58" ht="15.75" customHeight="1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235"/>
      <c r="AF913" s="235"/>
      <c r="AG913" s="235"/>
      <c r="AH913" s="235"/>
      <c r="AI913" s="235"/>
      <c r="AJ913" s="235"/>
      <c r="AK913" s="235"/>
      <c r="AL913" s="235"/>
      <c r="AM913" s="235"/>
      <c r="AN913" s="235"/>
      <c r="AO913" s="235"/>
      <c r="AP913" s="235"/>
      <c r="AQ913" s="235"/>
      <c r="AR913" s="235"/>
      <c r="AS913" s="235"/>
      <c r="AT913" s="235"/>
      <c r="AU913" s="235"/>
      <c r="AV913" s="235"/>
      <c r="AW913" s="235"/>
      <c r="AX913" s="235"/>
      <c r="AY913" s="235"/>
      <c r="AZ913" s="235"/>
      <c r="BA913" s="235"/>
      <c r="BB913" s="235"/>
      <c r="BC913" s="235"/>
      <c r="BD913" s="235"/>
      <c r="BE913" s="235"/>
      <c r="BF913" s="235"/>
    </row>
    <row r="914" spans="1:58" ht="15.75" customHeight="1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235"/>
      <c r="AF914" s="235"/>
      <c r="AG914" s="235"/>
      <c r="AH914" s="235"/>
      <c r="AI914" s="235"/>
      <c r="AJ914" s="235"/>
      <c r="AK914" s="235"/>
      <c r="AL914" s="235"/>
      <c r="AM914" s="235"/>
      <c r="AN914" s="235"/>
      <c r="AO914" s="235"/>
      <c r="AP914" s="235"/>
      <c r="AQ914" s="235"/>
      <c r="AR914" s="235"/>
      <c r="AS914" s="235"/>
      <c r="AT914" s="235"/>
      <c r="AU914" s="235"/>
      <c r="AV914" s="235"/>
      <c r="AW914" s="235"/>
      <c r="AX914" s="235"/>
      <c r="AY914" s="235"/>
      <c r="AZ914" s="235"/>
      <c r="BA914" s="235"/>
      <c r="BB914" s="235"/>
      <c r="BC914" s="235"/>
      <c r="BD914" s="235"/>
      <c r="BE914" s="235"/>
      <c r="BF914" s="235"/>
    </row>
    <row r="915" spans="1:58" ht="15.75" customHeight="1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  <c r="AA915" s="114"/>
      <c r="AB915" s="114"/>
      <c r="AC915" s="114"/>
      <c r="AD915" s="114"/>
      <c r="AE915" s="235"/>
      <c r="AF915" s="235"/>
      <c r="AG915" s="235"/>
      <c r="AH915" s="235"/>
      <c r="AI915" s="235"/>
      <c r="AJ915" s="235"/>
      <c r="AK915" s="235"/>
      <c r="AL915" s="235"/>
      <c r="AM915" s="235"/>
      <c r="AN915" s="235"/>
      <c r="AO915" s="235"/>
      <c r="AP915" s="235"/>
      <c r="AQ915" s="235"/>
      <c r="AR915" s="235"/>
      <c r="AS915" s="235"/>
      <c r="AT915" s="235"/>
      <c r="AU915" s="235"/>
      <c r="AV915" s="235"/>
      <c r="AW915" s="235"/>
      <c r="AX915" s="235"/>
      <c r="AY915" s="235"/>
      <c r="AZ915" s="235"/>
      <c r="BA915" s="235"/>
      <c r="BB915" s="235"/>
      <c r="BC915" s="235"/>
      <c r="BD915" s="235"/>
      <c r="BE915" s="235"/>
      <c r="BF915" s="235"/>
    </row>
    <row r="916" spans="1:58" ht="15.75" customHeight="1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  <c r="AA916" s="114"/>
      <c r="AB916" s="114"/>
      <c r="AC916" s="114"/>
      <c r="AD916" s="114"/>
      <c r="AE916" s="235"/>
      <c r="AF916" s="235"/>
      <c r="AG916" s="235"/>
      <c r="AH916" s="235"/>
      <c r="AI916" s="235"/>
      <c r="AJ916" s="235"/>
      <c r="AK916" s="235"/>
      <c r="AL916" s="235"/>
      <c r="AM916" s="235"/>
      <c r="AN916" s="235"/>
      <c r="AO916" s="235"/>
      <c r="AP916" s="235"/>
      <c r="AQ916" s="235"/>
      <c r="AR916" s="235"/>
      <c r="AS916" s="235"/>
      <c r="AT916" s="235"/>
      <c r="AU916" s="235"/>
      <c r="AV916" s="235"/>
      <c r="AW916" s="235"/>
      <c r="AX916" s="235"/>
      <c r="AY916" s="235"/>
      <c r="AZ916" s="235"/>
      <c r="BA916" s="235"/>
      <c r="BB916" s="235"/>
      <c r="BC916" s="235"/>
      <c r="BD916" s="235"/>
      <c r="BE916" s="235"/>
      <c r="BF916" s="235"/>
    </row>
    <row r="917" spans="1:58" ht="15.75" customHeight="1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235"/>
      <c r="AF917" s="235"/>
      <c r="AG917" s="235"/>
      <c r="AH917" s="235"/>
      <c r="AI917" s="235"/>
      <c r="AJ917" s="235"/>
      <c r="AK917" s="235"/>
      <c r="AL917" s="235"/>
      <c r="AM917" s="235"/>
      <c r="AN917" s="235"/>
      <c r="AO917" s="235"/>
      <c r="AP917" s="235"/>
      <c r="AQ917" s="235"/>
      <c r="AR917" s="235"/>
      <c r="AS917" s="235"/>
      <c r="AT917" s="235"/>
      <c r="AU917" s="235"/>
      <c r="AV917" s="235"/>
      <c r="AW917" s="235"/>
      <c r="AX917" s="235"/>
      <c r="AY917" s="235"/>
      <c r="AZ917" s="235"/>
      <c r="BA917" s="235"/>
      <c r="BB917" s="235"/>
      <c r="BC917" s="235"/>
      <c r="BD917" s="235"/>
      <c r="BE917" s="235"/>
      <c r="BF917" s="235"/>
    </row>
    <row r="918" spans="1:58" ht="15.75" customHeight="1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235"/>
      <c r="AF918" s="235"/>
      <c r="AG918" s="235"/>
      <c r="AH918" s="235"/>
      <c r="AI918" s="235"/>
      <c r="AJ918" s="235"/>
      <c r="AK918" s="235"/>
      <c r="AL918" s="235"/>
      <c r="AM918" s="235"/>
      <c r="AN918" s="235"/>
      <c r="AO918" s="235"/>
      <c r="AP918" s="235"/>
      <c r="AQ918" s="235"/>
      <c r="AR918" s="235"/>
      <c r="AS918" s="235"/>
      <c r="AT918" s="235"/>
      <c r="AU918" s="235"/>
      <c r="AV918" s="235"/>
      <c r="AW918" s="235"/>
      <c r="AX918" s="235"/>
      <c r="AY918" s="235"/>
      <c r="AZ918" s="235"/>
      <c r="BA918" s="235"/>
      <c r="BB918" s="235"/>
      <c r="BC918" s="235"/>
      <c r="BD918" s="235"/>
      <c r="BE918" s="235"/>
      <c r="BF918" s="235"/>
    </row>
    <row r="919" spans="1:58" ht="15.75" customHeight="1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  <c r="AA919" s="114"/>
      <c r="AB919" s="114"/>
      <c r="AC919" s="114"/>
      <c r="AD919" s="114"/>
      <c r="AE919" s="235"/>
      <c r="AF919" s="235"/>
      <c r="AG919" s="235"/>
      <c r="AH919" s="235"/>
      <c r="AI919" s="235"/>
      <c r="AJ919" s="235"/>
      <c r="AK919" s="235"/>
      <c r="AL919" s="235"/>
      <c r="AM919" s="235"/>
      <c r="AN919" s="235"/>
      <c r="AO919" s="235"/>
      <c r="AP919" s="235"/>
      <c r="AQ919" s="235"/>
      <c r="AR919" s="235"/>
      <c r="AS919" s="235"/>
      <c r="AT919" s="235"/>
      <c r="AU919" s="235"/>
      <c r="AV919" s="235"/>
      <c r="AW919" s="235"/>
      <c r="AX919" s="235"/>
      <c r="AY919" s="235"/>
      <c r="AZ919" s="235"/>
      <c r="BA919" s="235"/>
      <c r="BB919" s="235"/>
      <c r="BC919" s="235"/>
      <c r="BD919" s="235"/>
      <c r="BE919" s="235"/>
      <c r="BF919" s="235"/>
    </row>
    <row r="920" spans="1:58" ht="15.75" customHeight="1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  <c r="AA920" s="114"/>
      <c r="AB920" s="114"/>
      <c r="AC920" s="114"/>
      <c r="AD920" s="114"/>
      <c r="AE920" s="235"/>
      <c r="AF920" s="235"/>
      <c r="AG920" s="235"/>
      <c r="AH920" s="235"/>
      <c r="AI920" s="235"/>
      <c r="AJ920" s="235"/>
      <c r="AK920" s="235"/>
      <c r="AL920" s="235"/>
      <c r="AM920" s="235"/>
      <c r="AN920" s="235"/>
      <c r="AO920" s="235"/>
      <c r="AP920" s="235"/>
      <c r="AQ920" s="235"/>
      <c r="AR920" s="235"/>
      <c r="AS920" s="235"/>
      <c r="AT920" s="235"/>
      <c r="AU920" s="235"/>
      <c r="AV920" s="235"/>
      <c r="AW920" s="235"/>
      <c r="AX920" s="235"/>
      <c r="AY920" s="235"/>
      <c r="AZ920" s="235"/>
      <c r="BA920" s="235"/>
      <c r="BB920" s="235"/>
      <c r="BC920" s="235"/>
      <c r="BD920" s="235"/>
      <c r="BE920" s="235"/>
      <c r="BF920" s="235"/>
    </row>
    <row r="921" spans="1:58" ht="15.75" customHeight="1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235"/>
      <c r="AF921" s="235"/>
      <c r="AG921" s="235"/>
      <c r="AH921" s="235"/>
      <c r="AI921" s="235"/>
      <c r="AJ921" s="235"/>
      <c r="AK921" s="235"/>
      <c r="AL921" s="235"/>
      <c r="AM921" s="235"/>
      <c r="AN921" s="235"/>
      <c r="AO921" s="235"/>
      <c r="AP921" s="235"/>
      <c r="AQ921" s="235"/>
      <c r="AR921" s="235"/>
      <c r="AS921" s="235"/>
      <c r="AT921" s="235"/>
      <c r="AU921" s="235"/>
      <c r="AV921" s="235"/>
      <c r="AW921" s="235"/>
      <c r="AX921" s="235"/>
      <c r="AY921" s="235"/>
      <c r="AZ921" s="235"/>
      <c r="BA921" s="235"/>
      <c r="BB921" s="235"/>
      <c r="BC921" s="235"/>
      <c r="BD921" s="235"/>
      <c r="BE921" s="235"/>
      <c r="BF921" s="235"/>
    </row>
    <row r="922" spans="1:58" ht="15.75" customHeight="1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235"/>
      <c r="AF922" s="235"/>
      <c r="AG922" s="235"/>
      <c r="AH922" s="235"/>
      <c r="AI922" s="235"/>
      <c r="AJ922" s="235"/>
      <c r="AK922" s="235"/>
      <c r="AL922" s="235"/>
      <c r="AM922" s="235"/>
      <c r="AN922" s="235"/>
      <c r="AO922" s="235"/>
      <c r="AP922" s="235"/>
      <c r="AQ922" s="235"/>
      <c r="AR922" s="235"/>
      <c r="AS922" s="235"/>
      <c r="AT922" s="235"/>
      <c r="AU922" s="235"/>
      <c r="AV922" s="235"/>
      <c r="AW922" s="235"/>
      <c r="AX922" s="235"/>
      <c r="AY922" s="235"/>
      <c r="AZ922" s="235"/>
      <c r="BA922" s="235"/>
      <c r="BB922" s="235"/>
      <c r="BC922" s="235"/>
      <c r="BD922" s="235"/>
      <c r="BE922" s="235"/>
      <c r="BF922" s="235"/>
    </row>
    <row r="923" spans="1:58" ht="15.75" customHeight="1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  <c r="AA923" s="114"/>
      <c r="AB923" s="114"/>
      <c r="AC923" s="114"/>
      <c r="AD923" s="114"/>
      <c r="AE923" s="235"/>
      <c r="AF923" s="235"/>
      <c r="AG923" s="235"/>
      <c r="AH923" s="235"/>
      <c r="AI923" s="235"/>
      <c r="AJ923" s="235"/>
      <c r="AK923" s="235"/>
      <c r="AL923" s="235"/>
      <c r="AM923" s="235"/>
      <c r="AN923" s="235"/>
      <c r="AO923" s="235"/>
      <c r="AP923" s="235"/>
      <c r="AQ923" s="235"/>
      <c r="AR923" s="235"/>
      <c r="AS923" s="235"/>
      <c r="AT923" s="235"/>
      <c r="AU923" s="235"/>
      <c r="AV923" s="235"/>
      <c r="AW923" s="235"/>
      <c r="AX923" s="235"/>
      <c r="AY923" s="235"/>
      <c r="AZ923" s="235"/>
      <c r="BA923" s="235"/>
      <c r="BB923" s="235"/>
      <c r="BC923" s="235"/>
      <c r="BD923" s="235"/>
      <c r="BE923" s="235"/>
      <c r="BF923" s="235"/>
    </row>
    <row r="924" spans="1:58" ht="15.75" customHeight="1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  <c r="AA924" s="114"/>
      <c r="AB924" s="114"/>
      <c r="AC924" s="114"/>
      <c r="AD924" s="114"/>
      <c r="AE924" s="235"/>
      <c r="AF924" s="235"/>
      <c r="AG924" s="235"/>
      <c r="AH924" s="235"/>
      <c r="AI924" s="235"/>
      <c r="AJ924" s="235"/>
      <c r="AK924" s="235"/>
      <c r="AL924" s="235"/>
      <c r="AM924" s="235"/>
      <c r="AN924" s="235"/>
      <c r="AO924" s="235"/>
      <c r="AP924" s="235"/>
      <c r="AQ924" s="235"/>
      <c r="AR924" s="235"/>
      <c r="AS924" s="235"/>
      <c r="AT924" s="235"/>
      <c r="AU924" s="235"/>
      <c r="AV924" s="235"/>
      <c r="AW924" s="235"/>
      <c r="AX924" s="235"/>
      <c r="AY924" s="235"/>
      <c r="AZ924" s="235"/>
      <c r="BA924" s="235"/>
      <c r="BB924" s="235"/>
      <c r="BC924" s="235"/>
      <c r="BD924" s="235"/>
      <c r="BE924" s="235"/>
      <c r="BF924" s="235"/>
    </row>
    <row r="925" spans="1:58" ht="15.75" customHeight="1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235"/>
      <c r="AF925" s="235"/>
      <c r="AG925" s="235"/>
      <c r="AH925" s="235"/>
      <c r="AI925" s="235"/>
      <c r="AJ925" s="235"/>
      <c r="AK925" s="235"/>
      <c r="AL925" s="235"/>
      <c r="AM925" s="235"/>
      <c r="AN925" s="235"/>
      <c r="AO925" s="235"/>
      <c r="AP925" s="235"/>
      <c r="AQ925" s="235"/>
      <c r="AR925" s="235"/>
      <c r="AS925" s="235"/>
      <c r="AT925" s="235"/>
      <c r="AU925" s="235"/>
      <c r="AV925" s="235"/>
      <c r="AW925" s="235"/>
      <c r="AX925" s="235"/>
      <c r="AY925" s="235"/>
      <c r="AZ925" s="235"/>
      <c r="BA925" s="235"/>
      <c r="BB925" s="235"/>
      <c r="BC925" s="235"/>
      <c r="BD925" s="235"/>
      <c r="BE925" s="235"/>
      <c r="BF925" s="235"/>
    </row>
    <row r="926" spans="1:58" ht="15.75" customHeight="1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235"/>
      <c r="AF926" s="235"/>
      <c r="AG926" s="235"/>
      <c r="AH926" s="235"/>
      <c r="AI926" s="235"/>
      <c r="AJ926" s="235"/>
      <c r="AK926" s="235"/>
      <c r="AL926" s="235"/>
      <c r="AM926" s="235"/>
      <c r="AN926" s="235"/>
      <c r="AO926" s="235"/>
      <c r="AP926" s="235"/>
      <c r="AQ926" s="235"/>
      <c r="AR926" s="235"/>
      <c r="AS926" s="235"/>
      <c r="AT926" s="235"/>
      <c r="AU926" s="235"/>
      <c r="AV926" s="235"/>
      <c r="AW926" s="235"/>
      <c r="AX926" s="235"/>
      <c r="AY926" s="235"/>
      <c r="AZ926" s="235"/>
      <c r="BA926" s="235"/>
      <c r="BB926" s="235"/>
      <c r="BC926" s="235"/>
      <c r="BD926" s="235"/>
      <c r="BE926" s="235"/>
      <c r="BF926" s="235"/>
    </row>
    <row r="927" spans="1:58" ht="15.75" customHeight="1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  <c r="AA927" s="114"/>
      <c r="AB927" s="114"/>
      <c r="AC927" s="114"/>
      <c r="AD927" s="114"/>
      <c r="AE927" s="235"/>
      <c r="AF927" s="235"/>
      <c r="AG927" s="235"/>
      <c r="AH927" s="235"/>
      <c r="AI927" s="235"/>
      <c r="AJ927" s="235"/>
      <c r="AK927" s="235"/>
      <c r="AL927" s="235"/>
      <c r="AM927" s="235"/>
      <c r="AN927" s="235"/>
      <c r="AO927" s="235"/>
      <c r="AP927" s="235"/>
      <c r="AQ927" s="235"/>
      <c r="AR927" s="235"/>
      <c r="AS927" s="235"/>
      <c r="AT927" s="235"/>
      <c r="AU927" s="235"/>
      <c r="AV927" s="235"/>
      <c r="AW927" s="235"/>
      <c r="AX927" s="235"/>
      <c r="AY927" s="235"/>
      <c r="AZ927" s="235"/>
      <c r="BA927" s="235"/>
      <c r="BB927" s="235"/>
      <c r="BC927" s="235"/>
      <c r="BD927" s="235"/>
      <c r="BE927" s="235"/>
      <c r="BF927" s="235"/>
    </row>
    <row r="928" spans="1:58" ht="15.75" customHeight="1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  <c r="AA928" s="114"/>
      <c r="AB928" s="114"/>
      <c r="AC928" s="114"/>
      <c r="AD928" s="114"/>
      <c r="AE928" s="235"/>
      <c r="AF928" s="235"/>
      <c r="AG928" s="235"/>
      <c r="AH928" s="235"/>
      <c r="AI928" s="235"/>
      <c r="AJ928" s="235"/>
      <c r="AK928" s="235"/>
      <c r="AL928" s="235"/>
      <c r="AM928" s="235"/>
      <c r="AN928" s="235"/>
      <c r="AO928" s="235"/>
      <c r="AP928" s="235"/>
      <c r="AQ928" s="235"/>
      <c r="AR928" s="235"/>
      <c r="AS928" s="235"/>
      <c r="AT928" s="235"/>
      <c r="AU928" s="235"/>
      <c r="AV928" s="235"/>
      <c r="AW928" s="235"/>
      <c r="AX928" s="235"/>
      <c r="AY928" s="235"/>
      <c r="AZ928" s="235"/>
      <c r="BA928" s="235"/>
      <c r="BB928" s="235"/>
      <c r="BC928" s="235"/>
      <c r="BD928" s="235"/>
      <c r="BE928" s="235"/>
      <c r="BF928" s="235"/>
    </row>
    <row r="929" spans="1:58" ht="15.75" customHeight="1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235"/>
      <c r="AF929" s="235"/>
      <c r="AG929" s="235"/>
      <c r="AH929" s="235"/>
      <c r="AI929" s="235"/>
      <c r="AJ929" s="235"/>
      <c r="AK929" s="235"/>
      <c r="AL929" s="235"/>
      <c r="AM929" s="235"/>
      <c r="AN929" s="235"/>
      <c r="AO929" s="235"/>
      <c r="AP929" s="235"/>
      <c r="AQ929" s="235"/>
      <c r="AR929" s="235"/>
      <c r="AS929" s="235"/>
      <c r="AT929" s="235"/>
      <c r="AU929" s="235"/>
      <c r="AV929" s="235"/>
      <c r="AW929" s="235"/>
      <c r="AX929" s="235"/>
      <c r="AY929" s="235"/>
      <c r="AZ929" s="235"/>
      <c r="BA929" s="235"/>
      <c r="BB929" s="235"/>
      <c r="BC929" s="235"/>
      <c r="BD929" s="235"/>
      <c r="BE929" s="235"/>
      <c r="BF929" s="235"/>
    </row>
    <row r="930" spans="1:58" ht="15.75" customHeight="1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235"/>
      <c r="AF930" s="235"/>
      <c r="AG930" s="235"/>
      <c r="AH930" s="235"/>
      <c r="AI930" s="235"/>
      <c r="AJ930" s="235"/>
      <c r="AK930" s="235"/>
      <c r="AL930" s="235"/>
      <c r="AM930" s="235"/>
      <c r="AN930" s="235"/>
      <c r="AO930" s="235"/>
      <c r="AP930" s="235"/>
      <c r="AQ930" s="235"/>
      <c r="AR930" s="235"/>
      <c r="AS930" s="235"/>
      <c r="AT930" s="235"/>
      <c r="AU930" s="235"/>
      <c r="AV930" s="235"/>
      <c r="AW930" s="235"/>
      <c r="AX930" s="235"/>
      <c r="AY930" s="235"/>
      <c r="AZ930" s="235"/>
      <c r="BA930" s="235"/>
      <c r="BB930" s="235"/>
      <c r="BC930" s="235"/>
      <c r="BD930" s="235"/>
      <c r="BE930" s="235"/>
      <c r="BF930" s="235"/>
    </row>
    <row r="931" spans="1:58" ht="15.75" customHeight="1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  <c r="AA931" s="114"/>
      <c r="AB931" s="114"/>
      <c r="AC931" s="114"/>
      <c r="AD931" s="114"/>
      <c r="AE931" s="235"/>
      <c r="AF931" s="235"/>
      <c r="AG931" s="235"/>
      <c r="AH931" s="235"/>
      <c r="AI931" s="235"/>
      <c r="AJ931" s="235"/>
      <c r="AK931" s="235"/>
      <c r="AL931" s="235"/>
      <c r="AM931" s="235"/>
      <c r="AN931" s="235"/>
      <c r="AO931" s="235"/>
      <c r="AP931" s="235"/>
      <c r="AQ931" s="235"/>
      <c r="AR931" s="235"/>
      <c r="AS931" s="235"/>
      <c r="AT931" s="235"/>
      <c r="AU931" s="235"/>
      <c r="AV931" s="235"/>
      <c r="AW931" s="235"/>
      <c r="AX931" s="235"/>
      <c r="AY931" s="235"/>
      <c r="AZ931" s="235"/>
      <c r="BA931" s="235"/>
      <c r="BB931" s="235"/>
      <c r="BC931" s="235"/>
      <c r="BD931" s="235"/>
      <c r="BE931" s="235"/>
      <c r="BF931" s="235"/>
    </row>
    <row r="932" spans="1:58" ht="15.75" customHeight="1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  <c r="AA932" s="114"/>
      <c r="AB932" s="114"/>
      <c r="AC932" s="114"/>
      <c r="AD932" s="114"/>
      <c r="AE932" s="235"/>
      <c r="AF932" s="235"/>
      <c r="AG932" s="235"/>
      <c r="AH932" s="235"/>
      <c r="AI932" s="235"/>
      <c r="AJ932" s="235"/>
      <c r="AK932" s="235"/>
      <c r="AL932" s="235"/>
      <c r="AM932" s="235"/>
      <c r="AN932" s="235"/>
      <c r="AO932" s="235"/>
      <c r="AP932" s="235"/>
      <c r="AQ932" s="235"/>
      <c r="AR932" s="235"/>
      <c r="AS932" s="235"/>
      <c r="AT932" s="235"/>
      <c r="AU932" s="235"/>
      <c r="AV932" s="235"/>
      <c r="AW932" s="235"/>
      <c r="AX932" s="235"/>
      <c r="AY932" s="235"/>
      <c r="AZ932" s="235"/>
      <c r="BA932" s="235"/>
      <c r="BB932" s="235"/>
      <c r="BC932" s="235"/>
      <c r="BD932" s="235"/>
      <c r="BE932" s="235"/>
      <c r="BF932" s="235"/>
    </row>
    <row r="933" spans="1:58" ht="15.75" customHeight="1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235"/>
      <c r="AF933" s="235"/>
      <c r="AG933" s="235"/>
      <c r="AH933" s="235"/>
      <c r="AI933" s="235"/>
      <c r="AJ933" s="235"/>
      <c r="AK933" s="235"/>
      <c r="AL933" s="235"/>
      <c r="AM933" s="235"/>
      <c r="AN933" s="235"/>
      <c r="AO933" s="235"/>
      <c r="AP933" s="235"/>
      <c r="AQ933" s="235"/>
      <c r="AR933" s="235"/>
      <c r="AS933" s="235"/>
      <c r="AT933" s="235"/>
      <c r="AU933" s="235"/>
      <c r="AV933" s="235"/>
      <c r="AW933" s="235"/>
      <c r="AX933" s="235"/>
      <c r="AY933" s="235"/>
      <c r="AZ933" s="235"/>
      <c r="BA933" s="235"/>
      <c r="BB933" s="235"/>
      <c r="BC933" s="235"/>
      <c r="BD933" s="235"/>
      <c r="BE933" s="235"/>
      <c r="BF933" s="235"/>
    </row>
    <row r="934" spans="1:58" ht="15.75" customHeight="1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235"/>
      <c r="AF934" s="235"/>
      <c r="AG934" s="235"/>
      <c r="AH934" s="235"/>
      <c r="AI934" s="235"/>
      <c r="AJ934" s="235"/>
      <c r="AK934" s="235"/>
      <c r="AL934" s="235"/>
      <c r="AM934" s="235"/>
      <c r="AN934" s="235"/>
      <c r="AO934" s="235"/>
      <c r="AP934" s="235"/>
      <c r="AQ934" s="235"/>
      <c r="AR934" s="235"/>
      <c r="AS934" s="235"/>
      <c r="AT934" s="235"/>
      <c r="AU934" s="235"/>
      <c r="AV934" s="235"/>
      <c r="AW934" s="235"/>
      <c r="AX934" s="235"/>
      <c r="AY934" s="235"/>
      <c r="AZ934" s="235"/>
      <c r="BA934" s="235"/>
      <c r="BB934" s="235"/>
      <c r="BC934" s="235"/>
      <c r="BD934" s="235"/>
      <c r="BE934" s="235"/>
      <c r="BF934" s="235"/>
    </row>
    <row r="935" spans="1:58" ht="15.75" customHeight="1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  <c r="AA935" s="114"/>
      <c r="AB935" s="114"/>
      <c r="AC935" s="114"/>
      <c r="AD935" s="114"/>
      <c r="AE935" s="235"/>
      <c r="AF935" s="235"/>
      <c r="AG935" s="235"/>
      <c r="AH935" s="235"/>
      <c r="AI935" s="235"/>
      <c r="AJ935" s="235"/>
      <c r="AK935" s="235"/>
      <c r="AL935" s="235"/>
      <c r="AM935" s="235"/>
      <c r="AN935" s="235"/>
      <c r="AO935" s="235"/>
      <c r="AP935" s="235"/>
      <c r="AQ935" s="235"/>
      <c r="AR935" s="235"/>
      <c r="AS935" s="235"/>
      <c r="AT935" s="235"/>
      <c r="AU935" s="235"/>
      <c r="AV935" s="235"/>
      <c r="AW935" s="235"/>
      <c r="AX935" s="235"/>
      <c r="AY935" s="235"/>
      <c r="AZ935" s="235"/>
      <c r="BA935" s="235"/>
      <c r="BB935" s="235"/>
      <c r="BC935" s="235"/>
      <c r="BD935" s="235"/>
      <c r="BE935" s="235"/>
      <c r="BF935" s="235"/>
    </row>
    <row r="936" spans="1:58" ht="15.75" customHeight="1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  <c r="AA936" s="114"/>
      <c r="AB936" s="114"/>
      <c r="AC936" s="114"/>
      <c r="AD936" s="114"/>
      <c r="AE936" s="235"/>
      <c r="AF936" s="235"/>
      <c r="AG936" s="235"/>
      <c r="AH936" s="235"/>
      <c r="AI936" s="235"/>
      <c r="AJ936" s="235"/>
      <c r="AK936" s="235"/>
      <c r="AL936" s="235"/>
      <c r="AM936" s="235"/>
      <c r="AN936" s="235"/>
      <c r="AO936" s="235"/>
      <c r="AP936" s="235"/>
      <c r="AQ936" s="235"/>
      <c r="AR936" s="235"/>
      <c r="AS936" s="235"/>
      <c r="AT936" s="235"/>
      <c r="AU936" s="235"/>
      <c r="AV936" s="235"/>
      <c r="AW936" s="235"/>
      <c r="AX936" s="235"/>
      <c r="AY936" s="235"/>
      <c r="AZ936" s="235"/>
      <c r="BA936" s="235"/>
      <c r="BB936" s="235"/>
      <c r="BC936" s="235"/>
      <c r="BD936" s="235"/>
      <c r="BE936" s="235"/>
      <c r="BF936" s="235"/>
    </row>
    <row r="937" spans="1:58" ht="15.75" customHeight="1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  <c r="AA937" s="114"/>
      <c r="AB937" s="114"/>
      <c r="AC937" s="114"/>
      <c r="AD937" s="114"/>
      <c r="AE937" s="235"/>
      <c r="AF937" s="235"/>
      <c r="AG937" s="235"/>
      <c r="AH937" s="235"/>
      <c r="AI937" s="235"/>
      <c r="AJ937" s="235"/>
      <c r="AK937" s="235"/>
      <c r="AL937" s="235"/>
      <c r="AM937" s="235"/>
      <c r="AN937" s="235"/>
      <c r="AO937" s="235"/>
      <c r="AP937" s="235"/>
      <c r="AQ937" s="235"/>
      <c r="AR937" s="235"/>
      <c r="AS937" s="235"/>
      <c r="AT937" s="235"/>
      <c r="AU937" s="235"/>
      <c r="AV937" s="235"/>
      <c r="AW937" s="235"/>
      <c r="AX937" s="235"/>
      <c r="AY937" s="235"/>
      <c r="AZ937" s="235"/>
      <c r="BA937" s="235"/>
      <c r="BB937" s="235"/>
      <c r="BC937" s="235"/>
      <c r="BD937" s="235"/>
      <c r="BE937" s="235"/>
      <c r="BF937" s="235"/>
    </row>
    <row r="938" spans="1:58" ht="15.75" customHeight="1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  <c r="AA938" s="114"/>
      <c r="AB938" s="114"/>
      <c r="AC938" s="114"/>
      <c r="AD938" s="114"/>
      <c r="AE938" s="235"/>
      <c r="AF938" s="235"/>
      <c r="AG938" s="235"/>
      <c r="AH938" s="235"/>
      <c r="AI938" s="235"/>
      <c r="AJ938" s="235"/>
      <c r="AK938" s="235"/>
      <c r="AL938" s="235"/>
      <c r="AM938" s="235"/>
      <c r="AN938" s="235"/>
      <c r="AO938" s="235"/>
      <c r="AP938" s="235"/>
      <c r="AQ938" s="235"/>
      <c r="AR938" s="235"/>
      <c r="AS938" s="235"/>
      <c r="AT938" s="235"/>
      <c r="AU938" s="235"/>
      <c r="AV938" s="235"/>
      <c r="AW938" s="235"/>
      <c r="AX938" s="235"/>
      <c r="AY938" s="235"/>
      <c r="AZ938" s="235"/>
      <c r="BA938" s="235"/>
      <c r="BB938" s="235"/>
      <c r="BC938" s="235"/>
      <c r="BD938" s="235"/>
      <c r="BE938" s="235"/>
      <c r="BF938" s="235"/>
    </row>
    <row r="939" spans="1:58" ht="15.75" customHeight="1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  <c r="AA939" s="114"/>
      <c r="AB939" s="114"/>
      <c r="AC939" s="114"/>
      <c r="AD939" s="114"/>
      <c r="AE939" s="235"/>
      <c r="AF939" s="235"/>
      <c r="AG939" s="235"/>
      <c r="AH939" s="235"/>
      <c r="AI939" s="235"/>
      <c r="AJ939" s="235"/>
      <c r="AK939" s="235"/>
      <c r="AL939" s="235"/>
      <c r="AM939" s="235"/>
      <c r="AN939" s="235"/>
      <c r="AO939" s="235"/>
      <c r="AP939" s="235"/>
      <c r="AQ939" s="235"/>
      <c r="AR939" s="235"/>
      <c r="AS939" s="235"/>
      <c r="AT939" s="235"/>
      <c r="AU939" s="235"/>
      <c r="AV939" s="235"/>
      <c r="AW939" s="235"/>
      <c r="AX939" s="235"/>
      <c r="AY939" s="235"/>
      <c r="AZ939" s="235"/>
      <c r="BA939" s="235"/>
      <c r="BB939" s="235"/>
      <c r="BC939" s="235"/>
      <c r="BD939" s="235"/>
      <c r="BE939" s="235"/>
      <c r="BF939" s="235"/>
    </row>
    <row r="940" spans="1:58" ht="15.75" customHeight="1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  <c r="AA940" s="114"/>
      <c r="AB940" s="114"/>
      <c r="AC940" s="114"/>
      <c r="AD940" s="114"/>
      <c r="AE940" s="235"/>
      <c r="AF940" s="235"/>
      <c r="AG940" s="235"/>
      <c r="AH940" s="235"/>
      <c r="AI940" s="235"/>
      <c r="AJ940" s="235"/>
      <c r="AK940" s="235"/>
      <c r="AL940" s="235"/>
      <c r="AM940" s="235"/>
      <c r="AN940" s="235"/>
      <c r="AO940" s="235"/>
      <c r="AP940" s="235"/>
      <c r="AQ940" s="235"/>
      <c r="AR940" s="235"/>
      <c r="AS940" s="235"/>
      <c r="AT940" s="235"/>
      <c r="AU940" s="235"/>
      <c r="AV940" s="235"/>
      <c r="AW940" s="235"/>
      <c r="AX940" s="235"/>
      <c r="AY940" s="235"/>
      <c r="AZ940" s="235"/>
      <c r="BA940" s="235"/>
      <c r="BB940" s="235"/>
      <c r="BC940" s="235"/>
      <c r="BD940" s="235"/>
      <c r="BE940" s="235"/>
      <c r="BF940" s="235"/>
    </row>
    <row r="941" spans="1:58" ht="15.75" customHeight="1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  <c r="AA941" s="114"/>
      <c r="AB941" s="114"/>
      <c r="AC941" s="114"/>
      <c r="AD941" s="114"/>
      <c r="AE941" s="235"/>
      <c r="AF941" s="235"/>
      <c r="AG941" s="235"/>
      <c r="AH941" s="235"/>
      <c r="AI941" s="235"/>
      <c r="AJ941" s="235"/>
      <c r="AK941" s="235"/>
      <c r="AL941" s="235"/>
      <c r="AM941" s="235"/>
      <c r="AN941" s="235"/>
      <c r="AO941" s="235"/>
      <c r="AP941" s="235"/>
      <c r="AQ941" s="235"/>
      <c r="AR941" s="235"/>
      <c r="AS941" s="235"/>
      <c r="AT941" s="235"/>
      <c r="AU941" s="235"/>
      <c r="AV941" s="235"/>
      <c r="AW941" s="235"/>
      <c r="AX941" s="235"/>
      <c r="AY941" s="235"/>
      <c r="AZ941" s="235"/>
      <c r="BA941" s="235"/>
      <c r="BB941" s="235"/>
      <c r="BC941" s="235"/>
      <c r="BD941" s="235"/>
      <c r="BE941" s="235"/>
      <c r="BF941" s="235"/>
    </row>
    <row r="942" spans="1:58" ht="15.75" customHeight="1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  <c r="AA942" s="114"/>
      <c r="AB942" s="114"/>
      <c r="AC942" s="114"/>
      <c r="AD942" s="114"/>
      <c r="AE942" s="235"/>
      <c r="AF942" s="235"/>
      <c r="AG942" s="235"/>
      <c r="AH942" s="235"/>
      <c r="AI942" s="235"/>
      <c r="AJ942" s="235"/>
      <c r="AK942" s="235"/>
      <c r="AL942" s="235"/>
      <c r="AM942" s="235"/>
      <c r="AN942" s="235"/>
      <c r="AO942" s="235"/>
      <c r="AP942" s="235"/>
      <c r="AQ942" s="235"/>
      <c r="AR942" s="235"/>
      <c r="AS942" s="235"/>
      <c r="AT942" s="235"/>
      <c r="AU942" s="235"/>
      <c r="AV942" s="235"/>
      <c r="AW942" s="235"/>
      <c r="AX942" s="235"/>
      <c r="AY942" s="235"/>
      <c r="AZ942" s="235"/>
      <c r="BA942" s="235"/>
      <c r="BB942" s="235"/>
      <c r="BC942" s="235"/>
      <c r="BD942" s="235"/>
      <c r="BE942" s="235"/>
      <c r="BF942" s="235"/>
    </row>
    <row r="943" spans="1:58" ht="15.75" customHeight="1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  <c r="AA943" s="114"/>
      <c r="AB943" s="114"/>
      <c r="AC943" s="114"/>
      <c r="AD943" s="114"/>
      <c r="AE943" s="235"/>
      <c r="AF943" s="235"/>
      <c r="AG943" s="235"/>
      <c r="AH943" s="235"/>
      <c r="AI943" s="235"/>
      <c r="AJ943" s="235"/>
      <c r="AK943" s="235"/>
      <c r="AL943" s="235"/>
      <c r="AM943" s="235"/>
      <c r="AN943" s="235"/>
      <c r="AO943" s="235"/>
      <c r="AP943" s="235"/>
      <c r="AQ943" s="235"/>
      <c r="AR943" s="235"/>
      <c r="AS943" s="235"/>
      <c r="AT943" s="235"/>
      <c r="AU943" s="235"/>
      <c r="AV943" s="235"/>
      <c r="AW943" s="235"/>
      <c r="AX943" s="235"/>
      <c r="AY943" s="235"/>
      <c r="AZ943" s="235"/>
      <c r="BA943" s="235"/>
      <c r="BB943" s="235"/>
      <c r="BC943" s="235"/>
      <c r="BD943" s="235"/>
      <c r="BE943" s="235"/>
      <c r="BF943" s="235"/>
    </row>
    <row r="944" spans="1:58" ht="15.75" customHeight="1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  <c r="AA944" s="114"/>
      <c r="AB944" s="114"/>
      <c r="AC944" s="114"/>
      <c r="AD944" s="114"/>
      <c r="AE944" s="235"/>
      <c r="AF944" s="235"/>
      <c r="AG944" s="235"/>
      <c r="AH944" s="235"/>
      <c r="AI944" s="235"/>
      <c r="AJ944" s="235"/>
      <c r="AK944" s="235"/>
      <c r="AL944" s="235"/>
      <c r="AM944" s="235"/>
      <c r="AN944" s="235"/>
      <c r="AO944" s="235"/>
      <c r="AP944" s="235"/>
      <c r="AQ944" s="235"/>
      <c r="AR944" s="235"/>
      <c r="AS944" s="235"/>
      <c r="AT944" s="235"/>
      <c r="AU944" s="235"/>
      <c r="AV944" s="235"/>
      <c r="AW944" s="235"/>
      <c r="AX944" s="235"/>
      <c r="AY944" s="235"/>
      <c r="AZ944" s="235"/>
      <c r="BA944" s="235"/>
      <c r="BB944" s="235"/>
      <c r="BC944" s="235"/>
      <c r="BD944" s="235"/>
      <c r="BE944" s="235"/>
      <c r="BF944" s="235"/>
    </row>
    <row r="945" spans="1:58" ht="15.75" customHeight="1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  <c r="AA945" s="114"/>
      <c r="AB945" s="114"/>
      <c r="AC945" s="114"/>
      <c r="AD945" s="114"/>
      <c r="AE945" s="235"/>
      <c r="AF945" s="235"/>
      <c r="AG945" s="235"/>
      <c r="AH945" s="235"/>
      <c r="AI945" s="235"/>
      <c r="AJ945" s="235"/>
      <c r="AK945" s="235"/>
      <c r="AL945" s="235"/>
      <c r="AM945" s="235"/>
      <c r="AN945" s="235"/>
      <c r="AO945" s="235"/>
      <c r="AP945" s="235"/>
      <c r="AQ945" s="235"/>
      <c r="AR945" s="235"/>
      <c r="AS945" s="235"/>
      <c r="AT945" s="235"/>
      <c r="AU945" s="235"/>
      <c r="AV945" s="235"/>
      <c r="AW945" s="235"/>
      <c r="AX945" s="235"/>
      <c r="AY945" s="235"/>
      <c r="AZ945" s="235"/>
      <c r="BA945" s="235"/>
      <c r="BB945" s="235"/>
      <c r="BC945" s="235"/>
      <c r="BD945" s="235"/>
      <c r="BE945" s="235"/>
      <c r="BF945" s="235"/>
    </row>
    <row r="946" spans="1:58" ht="15.75" customHeight="1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  <c r="AA946" s="114"/>
      <c r="AB946" s="114"/>
      <c r="AC946" s="114"/>
      <c r="AD946" s="114"/>
      <c r="AE946" s="235"/>
      <c r="AF946" s="235"/>
      <c r="AG946" s="235"/>
      <c r="AH946" s="235"/>
      <c r="AI946" s="235"/>
      <c r="AJ946" s="235"/>
      <c r="AK946" s="235"/>
      <c r="AL946" s="235"/>
      <c r="AM946" s="235"/>
      <c r="AN946" s="235"/>
      <c r="AO946" s="235"/>
      <c r="AP946" s="235"/>
      <c r="AQ946" s="235"/>
      <c r="AR946" s="235"/>
      <c r="AS946" s="235"/>
      <c r="AT946" s="235"/>
      <c r="AU946" s="235"/>
      <c r="AV946" s="235"/>
      <c r="AW946" s="235"/>
      <c r="AX946" s="235"/>
      <c r="AY946" s="235"/>
      <c r="AZ946" s="235"/>
      <c r="BA946" s="235"/>
      <c r="BB946" s="235"/>
      <c r="BC946" s="235"/>
      <c r="BD946" s="235"/>
      <c r="BE946" s="235"/>
      <c r="BF946" s="235"/>
    </row>
    <row r="947" spans="1:58" ht="15.75" customHeight="1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  <c r="AA947" s="114"/>
      <c r="AB947" s="114"/>
      <c r="AC947" s="114"/>
      <c r="AD947" s="114"/>
      <c r="AE947" s="235"/>
      <c r="AF947" s="235"/>
      <c r="AG947" s="235"/>
      <c r="AH947" s="235"/>
      <c r="AI947" s="235"/>
      <c r="AJ947" s="235"/>
      <c r="AK947" s="235"/>
      <c r="AL947" s="235"/>
      <c r="AM947" s="235"/>
      <c r="AN947" s="235"/>
      <c r="AO947" s="235"/>
      <c r="AP947" s="235"/>
      <c r="AQ947" s="235"/>
      <c r="AR947" s="235"/>
      <c r="AS947" s="235"/>
      <c r="AT947" s="235"/>
      <c r="AU947" s="235"/>
      <c r="AV947" s="235"/>
      <c r="AW947" s="235"/>
      <c r="AX947" s="235"/>
      <c r="AY947" s="235"/>
      <c r="AZ947" s="235"/>
      <c r="BA947" s="235"/>
      <c r="BB947" s="235"/>
      <c r="BC947" s="235"/>
      <c r="BD947" s="235"/>
      <c r="BE947" s="235"/>
      <c r="BF947" s="235"/>
    </row>
    <row r="948" spans="1:58" ht="15.75" customHeight="1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  <c r="AA948" s="114"/>
      <c r="AB948" s="114"/>
      <c r="AC948" s="114"/>
      <c r="AD948" s="114"/>
      <c r="AE948" s="235"/>
      <c r="AF948" s="235"/>
      <c r="AG948" s="235"/>
      <c r="AH948" s="235"/>
      <c r="AI948" s="235"/>
      <c r="AJ948" s="235"/>
      <c r="AK948" s="235"/>
      <c r="AL948" s="235"/>
      <c r="AM948" s="235"/>
      <c r="AN948" s="235"/>
      <c r="AO948" s="235"/>
      <c r="AP948" s="235"/>
      <c r="AQ948" s="235"/>
      <c r="AR948" s="235"/>
      <c r="AS948" s="235"/>
      <c r="AT948" s="235"/>
      <c r="AU948" s="235"/>
      <c r="AV948" s="235"/>
      <c r="AW948" s="235"/>
      <c r="AX948" s="235"/>
      <c r="AY948" s="235"/>
      <c r="AZ948" s="235"/>
      <c r="BA948" s="235"/>
      <c r="BB948" s="235"/>
      <c r="BC948" s="235"/>
      <c r="BD948" s="235"/>
      <c r="BE948" s="235"/>
      <c r="BF948" s="235"/>
    </row>
    <row r="949" spans="1:58" ht="15.75" customHeight="1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  <c r="AA949" s="114"/>
      <c r="AB949" s="114"/>
      <c r="AC949" s="114"/>
      <c r="AD949" s="114"/>
      <c r="AE949" s="235"/>
      <c r="AF949" s="235"/>
      <c r="AG949" s="235"/>
      <c r="AH949" s="235"/>
      <c r="AI949" s="235"/>
      <c r="AJ949" s="235"/>
      <c r="AK949" s="235"/>
      <c r="AL949" s="235"/>
      <c r="AM949" s="235"/>
      <c r="AN949" s="235"/>
      <c r="AO949" s="235"/>
      <c r="AP949" s="235"/>
      <c r="AQ949" s="235"/>
      <c r="AR949" s="235"/>
      <c r="AS949" s="235"/>
      <c r="AT949" s="235"/>
      <c r="AU949" s="235"/>
      <c r="AV949" s="235"/>
      <c r="AW949" s="235"/>
      <c r="AX949" s="235"/>
      <c r="AY949" s="235"/>
      <c r="AZ949" s="235"/>
      <c r="BA949" s="235"/>
      <c r="BB949" s="235"/>
      <c r="BC949" s="235"/>
      <c r="BD949" s="235"/>
      <c r="BE949" s="235"/>
      <c r="BF949" s="235"/>
    </row>
    <row r="950" spans="1:58" ht="15.75" customHeight="1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  <c r="AA950" s="114"/>
      <c r="AB950" s="114"/>
      <c r="AC950" s="114"/>
      <c r="AD950" s="114"/>
      <c r="AE950" s="235"/>
      <c r="AF950" s="235"/>
      <c r="AG950" s="235"/>
      <c r="AH950" s="235"/>
      <c r="AI950" s="235"/>
      <c r="AJ950" s="235"/>
      <c r="AK950" s="235"/>
      <c r="AL950" s="235"/>
      <c r="AM950" s="235"/>
      <c r="AN950" s="235"/>
      <c r="AO950" s="235"/>
      <c r="AP950" s="235"/>
      <c r="AQ950" s="235"/>
      <c r="AR950" s="235"/>
      <c r="AS950" s="235"/>
      <c r="AT950" s="235"/>
      <c r="AU950" s="235"/>
      <c r="AV950" s="235"/>
      <c r="AW950" s="235"/>
      <c r="AX950" s="235"/>
      <c r="AY950" s="235"/>
      <c r="AZ950" s="235"/>
      <c r="BA950" s="235"/>
      <c r="BB950" s="235"/>
      <c r="BC950" s="235"/>
      <c r="BD950" s="235"/>
      <c r="BE950" s="235"/>
      <c r="BF950" s="235"/>
    </row>
    <row r="951" spans="1:58" ht="15.75" customHeight="1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  <c r="AA951" s="114"/>
      <c r="AB951" s="114"/>
      <c r="AC951" s="114"/>
      <c r="AD951" s="114"/>
      <c r="AE951" s="235"/>
      <c r="AF951" s="235"/>
      <c r="AG951" s="235"/>
      <c r="AH951" s="235"/>
      <c r="AI951" s="235"/>
      <c r="AJ951" s="235"/>
      <c r="AK951" s="235"/>
      <c r="AL951" s="235"/>
      <c r="AM951" s="235"/>
      <c r="AN951" s="235"/>
      <c r="AO951" s="235"/>
      <c r="AP951" s="235"/>
      <c r="AQ951" s="235"/>
      <c r="AR951" s="235"/>
      <c r="AS951" s="235"/>
      <c r="AT951" s="235"/>
      <c r="AU951" s="235"/>
      <c r="AV951" s="235"/>
      <c r="AW951" s="235"/>
      <c r="AX951" s="235"/>
      <c r="AY951" s="235"/>
      <c r="AZ951" s="235"/>
      <c r="BA951" s="235"/>
      <c r="BB951" s="235"/>
      <c r="BC951" s="235"/>
      <c r="BD951" s="235"/>
      <c r="BE951" s="235"/>
      <c r="BF951" s="235"/>
    </row>
    <row r="952" spans="1:58" ht="15.75" customHeight="1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  <c r="AA952" s="114"/>
      <c r="AB952" s="114"/>
      <c r="AC952" s="114"/>
      <c r="AD952" s="114"/>
      <c r="AE952" s="235"/>
      <c r="AF952" s="235"/>
      <c r="AG952" s="235"/>
      <c r="AH952" s="235"/>
      <c r="AI952" s="235"/>
      <c r="AJ952" s="235"/>
      <c r="AK952" s="235"/>
      <c r="AL952" s="235"/>
      <c r="AM952" s="235"/>
      <c r="AN952" s="235"/>
      <c r="AO952" s="235"/>
      <c r="AP952" s="235"/>
      <c r="AQ952" s="235"/>
      <c r="AR952" s="235"/>
      <c r="AS952" s="235"/>
      <c r="AT952" s="235"/>
      <c r="AU952" s="235"/>
      <c r="AV952" s="235"/>
      <c r="AW952" s="235"/>
      <c r="AX952" s="235"/>
      <c r="AY952" s="235"/>
      <c r="AZ952" s="235"/>
      <c r="BA952" s="235"/>
      <c r="BB952" s="235"/>
      <c r="BC952" s="235"/>
      <c r="BD952" s="235"/>
      <c r="BE952" s="235"/>
      <c r="BF952" s="235"/>
    </row>
    <row r="953" spans="1:58" ht="15.75" customHeight="1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  <c r="AA953" s="114"/>
      <c r="AB953" s="114"/>
      <c r="AC953" s="114"/>
      <c r="AD953" s="114"/>
      <c r="AE953" s="235"/>
      <c r="AF953" s="235"/>
      <c r="AG953" s="235"/>
      <c r="AH953" s="235"/>
      <c r="AI953" s="235"/>
      <c r="AJ953" s="235"/>
      <c r="AK953" s="235"/>
      <c r="AL953" s="235"/>
      <c r="AM953" s="235"/>
      <c r="AN953" s="235"/>
      <c r="AO953" s="235"/>
      <c r="AP953" s="235"/>
      <c r="AQ953" s="235"/>
      <c r="AR953" s="235"/>
      <c r="AS953" s="235"/>
      <c r="AT953" s="235"/>
      <c r="AU953" s="235"/>
      <c r="AV953" s="235"/>
      <c r="AW953" s="235"/>
      <c r="AX953" s="235"/>
      <c r="AY953" s="235"/>
      <c r="AZ953" s="235"/>
      <c r="BA953" s="235"/>
      <c r="BB953" s="235"/>
      <c r="BC953" s="235"/>
      <c r="BD953" s="235"/>
      <c r="BE953" s="235"/>
      <c r="BF953" s="235"/>
    </row>
    <row r="954" spans="1:58" ht="15.75" customHeight="1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  <c r="AA954" s="114"/>
      <c r="AB954" s="114"/>
      <c r="AC954" s="114"/>
      <c r="AD954" s="114"/>
      <c r="AE954" s="235"/>
      <c r="AF954" s="235"/>
      <c r="AG954" s="235"/>
      <c r="AH954" s="235"/>
      <c r="AI954" s="235"/>
      <c r="AJ954" s="235"/>
      <c r="AK954" s="235"/>
      <c r="AL954" s="235"/>
      <c r="AM954" s="235"/>
      <c r="AN954" s="235"/>
      <c r="AO954" s="235"/>
      <c r="AP954" s="235"/>
      <c r="AQ954" s="235"/>
      <c r="AR954" s="235"/>
      <c r="AS954" s="235"/>
      <c r="AT954" s="235"/>
      <c r="AU954" s="235"/>
      <c r="AV954" s="235"/>
      <c r="AW954" s="235"/>
      <c r="AX954" s="235"/>
      <c r="AY954" s="235"/>
      <c r="AZ954" s="235"/>
      <c r="BA954" s="235"/>
      <c r="BB954" s="235"/>
      <c r="BC954" s="235"/>
      <c r="BD954" s="235"/>
      <c r="BE954" s="235"/>
      <c r="BF954" s="235"/>
    </row>
    <row r="955" spans="1:58" ht="15.75" customHeight="1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  <c r="AA955" s="114"/>
      <c r="AB955" s="114"/>
      <c r="AC955" s="114"/>
      <c r="AD955" s="114"/>
      <c r="AE955" s="235"/>
      <c r="AF955" s="235"/>
      <c r="AG955" s="235"/>
      <c r="AH955" s="235"/>
      <c r="AI955" s="235"/>
      <c r="AJ955" s="235"/>
      <c r="AK955" s="235"/>
      <c r="AL955" s="235"/>
      <c r="AM955" s="235"/>
      <c r="AN955" s="235"/>
      <c r="AO955" s="235"/>
      <c r="AP955" s="235"/>
      <c r="AQ955" s="235"/>
      <c r="AR955" s="235"/>
      <c r="AS955" s="235"/>
      <c r="AT955" s="235"/>
      <c r="AU955" s="235"/>
      <c r="AV955" s="235"/>
      <c r="AW955" s="235"/>
      <c r="AX955" s="235"/>
      <c r="AY955" s="235"/>
      <c r="AZ955" s="235"/>
      <c r="BA955" s="235"/>
      <c r="BB955" s="235"/>
      <c r="BC955" s="235"/>
      <c r="BD955" s="235"/>
      <c r="BE955" s="235"/>
      <c r="BF955" s="235"/>
    </row>
    <row r="956" spans="1:58" ht="15.75" customHeight="1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  <c r="AA956" s="114"/>
      <c r="AB956" s="114"/>
      <c r="AC956" s="114"/>
      <c r="AD956" s="114"/>
      <c r="AE956" s="235"/>
      <c r="AF956" s="235"/>
      <c r="AG956" s="235"/>
      <c r="AH956" s="235"/>
      <c r="AI956" s="235"/>
      <c r="AJ956" s="235"/>
      <c r="AK956" s="235"/>
      <c r="AL956" s="235"/>
      <c r="AM956" s="235"/>
      <c r="AN956" s="235"/>
      <c r="AO956" s="235"/>
      <c r="AP956" s="235"/>
      <c r="AQ956" s="235"/>
      <c r="AR956" s="235"/>
      <c r="AS956" s="235"/>
      <c r="AT956" s="235"/>
      <c r="AU956" s="235"/>
      <c r="AV956" s="235"/>
      <c r="AW956" s="235"/>
      <c r="AX956" s="235"/>
      <c r="AY956" s="235"/>
      <c r="AZ956" s="235"/>
      <c r="BA956" s="235"/>
      <c r="BB956" s="235"/>
      <c r="BC956" s="235"/>
      <c r="BD956" s="235"/>
      <c r="BE956" s="235"/>
      <c r="BF956" s="235"/>
    </row>
    <row r="957" spans="1:58" ht="15.75" customHeight="1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  <c r="AA957" s="114"/>
      <c r="AB957" s="114"/>
      <c r="AC957" s="114"/>
      <c r="AD957" s="114"/>
      <c r="AE957" s="235"/>
      <c r="AF957" s="235"/>
      <c r="AG957" s="235"/>
      <c r="AH957" s="235"/>
      <c r="AI957" s="235"/>
      <c r="AJ957" s="235"/>
      <c r="AK957" s="235"/>
      <c r="AL957" s="235"/>
      <c r="AM957" s="235"/>
      <c r="AN957" s="235"/>
      <c r="AO957" s="235"/>
      <c r="AP957" s="235"/>
      <c r="AQ957" s="235"/>
      <c r="AR957" s="235"/>
      <c r="AS957" s="235"/>
      <c r="AT957" s="235"/>
      <c r="AU957" s="235"/>
      <c r="AV957" s="235"/>
      <c r="AW957" s="235"/>
      <c r="AX957" s="235"/>
      <c r="AY957" s="235"/>
      <c r="AZ957" s="235"/>
      <c r="BA957" s="235"/>
      <c r="BB957" s="235"/>
      <c r="BC957" s="235"/>
      <c r="BD957" s="235"/>
      <c r="BE957" s="235"/>
      <c r="BF957" s="235"/>
    </row>
    <row r="958" spans="1:58" ht="15.75" customHeight="1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  <c r="AA958" s="114"/>
      <c r="AB958" s="114"/>
      <c r="AC958" s="114"/>
      <c r="AD958" s="114"/>
      <c r="AE958" s="235"/>
      <c r="AF958" s="235"/>
      <c r="AG958" s="235"/>
      <c r="AH958" s="235"/>
      <c r="AI958" s="235"/>
      <c r="AJ958" s="235"/>
      <c r="AK958" s="235"/>
      <c r="AL958" s="235"/>
      <c r="AM958" s="235"/>
      <c r="AN958" s="235"/>
      <c r="AO958" s="235"/>
      <c r="AP958" s="235"/>
      <c r="AQ958" s="235"/>
      <c r="AR958" s="235"/>
      <c r="AS958" s="235"/>
      <c r="AT958" s="235"/>
      <c r="AU958" s="235"/>
      <c r="AV958" s="235"/>
      <c r="AW958" s="235"/>
      <c r="AX958" s="235"/>
      <c r="AY958" s="235"/>
      <c r="AZ958" s="235"/>
      <c r="BA958" s="235"/>
      <c r="BB958" s="235"/>
      <c r="BC958" s="235"/>
      <c r="BD958" s="235"/>
      <c r="BE958" s="235"/>
      <c r="BF958" s="235"/>
    </row>
    <row r="959" spans="1:58" ht="15.75" customHeight="1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  <c r="AA959" s="114"/>
      <c r="AB959" s="114"/>
      <c r="AC959" s="114"/>
      <c r="AD959" s="114"/>
      <c r="AE959" s="235"/>
      <c r="AF959" s="235"/>
      <c r="AG959" s="235"/>
      <c r="AH959" s="235"/>
      <c r="AI959" s="235"/>
      <c r="AJ959" s="235"/>
      <c r="AK959" s="235"/>
      <c r="AL959" s="235"/>
      <c r="AM959" s="235"/>
      <c r="AN959" s="235"/>
      <c r="AO959" s="235"/>
      <c r="AP959" s="235"/>
      <c r="AQ959" s="235"/>
      <c r="AR959" s="235"/>
      <c r="AS959" s="235"/>
      <c r="AT959" s="235"/>
      <c r="AU959" s="235"/>
      <c r="AV959" s="235"/>
      <c r="AW959" s="235"/>
      <c r="AX959" s="235"/>
      <c r="AY959" s="235"/>
      <c r="AZ959" s="235"/>
      <c r="BA959" s="235"/>
      <c r="BB959" s="235"/>
      <c r="BC959" s="235"/>
      <c r="BD959" s="235"/>
      <c r="BE959" s="235"/>
      <c r="BF959" s="235"/>
    </row>
    <row r="960" spans="1:58" ht="15.75" customHeight="1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  <c r="AA960" s="114"/>
      <c r="AB960" s="114"/>
      <c r="AC960" s="114"/>
      <c r="AD960" s="114"/>
      <c r="AE960" s="235"/>
      <c r="AF960" s="235"/>
      <c r="AG960" s="235"/>
      <c r="AH960" s="235"/>
      <c r="AI960" s="235"/>
      <c r="AJ960" s="235"/>
      <c r="AK960" s="235"/>
      <c r="AL960" s="235"/>
      <c r="AM960" s="235"/>
      <c r="AN960" s="235"/>
      <c r="AO960" s="235"/>
      <c r="AP960" s="235"/>
      <c r="AQ960" s="235"/>
      <c r="AR960" s="235"/>
      <c r="AS960" s="235"/>
      <c r="AT960" s="235"/>
      <c r="AU960" s="235"/>
      <c r="AV960" s="235"/>
      <c r="AW960" s="235"/>
      <c r="AX960" s="235"/>
      <c r="AY960" s="235"/>
      <c r="AZ960" s="235"/>
      <c r="BA960" s="235"/>
      <c r="BB960" s="235"/>
      <c r="BC960" s="235"/>
      <c r="BD960" s="235"/>
      <c r="BE960" s="235"/>
      <c r="BF960" s="235"/>
    </row>
    <row r="961" spans="1:58" ht="15.75" customHeight="1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  <c r="AA961" s="114"/>
      <c r="AB961" s="114"/>
      <c r="AC961" s="114"/>
      <c r="AD961" s="114"/>
      <c r="AE961" s="235"/>
      <c r="AF961" s="235"/>
      <c r="AG961" s="235"/>
      <c r="AH961" s="235"/>
      <c r="AI961" s="235"/>
      <c r="AJ961" s="235"/>
      <c r="AK961" s="235"/>
      <c r="AL961" s="235"/>
      <c r="AM961" s="235"/>
      <c r="AN961" s="235"/>
      <c r="AO961" s="235"/>
      <c r="AP961" s="235"/>
      <c r="AQ961" s="235"/>
      <c r="AR961" s="235"/>
      <c r="AS961" s="235"/>
      <c r="AT961" s="235"/>
      <c r="AU961" s="235"/>
      <c r="AV961" s="235"/>
      <c r="AW961" s="235"/>
      <c r="AX961" s="235"/>
      <c r="AY961" s="235"/>
      <c r="AZ961" s="235"/>
      <c r="BA961" s="235"/>
      <c r="BB961" s="235"/>
      <c r="BC961" s="235"/>
      <c r="BD961" s="235"/>
      <c r="BE961" s="235"/>
      <c r="BF961" s="235"/>
    </row>
    <row r="962" spans="1:58" ht="15.75" customHeight="1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  <c r="AA962" s="114"/>
      <c r="AB962" s="114"/>
      <c r="AC962" s="114"/>
      <c r="AD962" s="114"/>
      <c r="AE962" s="235"/>
      <c r="AF962" s="235"/>
      <c r="AG962" s="235"/>
      <c r="AH962" s="235"/>
      <c r="AI962" s="235"/>
      <c r="AJ962" s="235"/>
      <c r="AK962" s="235"/>
      <c r="AL962" s="235"/>
      <c r="AM962" s="235"/>
      <c r="AN962" s="235"/>
      <c r="AO962" s="235"/>
      <c r="AP962" s="235"/>
      <c r="AQ962" s="235"/>
      <c r="AR962" s="235"/>
      <c r="AS962" s="235"/>
      <c r="AT962" s="235"/>
      <c r="AU962" s="235"/>
      <c r="AV962" s="235"/>
      <c r="AW962" s="235"/>
      <c r="AX962" s="235"/>
      <c r="AY962" s="235"/>
      <c r="AZ962" s="235"/>
      <c r="BA962" s="235"/>
      <c r="BB962" s="235"/>
      <c r="BC962" s="235"/>
      <c r="BD962" s="235"/>
      <c r="BE962" s="235"/>
      <c r="BF962" s="235"/>
    </row>
    <row r="963" spans="1:58" ht="15.75" customHeight="1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  <c r="AA963" s="114"/>
      <c r="AB963" s="114"/>
      <c r="AC963" s="114"/>
      <c r="AD963" s="114"/>
      <c r="AE963" s="235"/>
      <c r="AF963" s="235"/>
      <c r="AG963" s="235"/>
      <c r="AH963" s="235"/>
      <c r="AI963" s="235"/>
      <c r="AJ963" s="235"/>
      <c r="AK963" s="235"/>
      <c r="AL963" s="235"/>
      <c r="AM963" s="235"/>
      <c r="AN963" s="235"/>
      <c r="AO963" s="235"/>
      <c r="AP963" s="235"/>
      <c r="AQ963" s="235"/>
      <c r="AR963" s="235"/>
      <c r="AS963" s="235"/>
      <c r="AT963" s="235"/>
      <c r="AU963" s="235"/>
      <c r="AV963" s="235"/>
      <c r="AW963" s="235"/>
      <c r="AX963" s="235"/>
      <c r="AY963" s="235"/>
      <c r="AZ963" s="235"/>
      <c r="BA963" s="235"/>
      <c r="BB963" s="235"/>
      <c r="BC963" s="235"/>
      <c r="BD963" s="235"/>
      <c r="BE963" s="235"/>
      <c r="BF963" s="235"/>
    </row>
    <row r="964" spans="1:58" ht="15.75" customHeight="1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  <c r="AA964" s="114"/>
      <c r="AB964" s="114"/>
      <c r="AC964" s="114"/>
      <c r="AD964" s="114"/>
      <c r="AE964" s="235"/>
      <c r="AF964" s="235"/>
      <c r="AG964" s="235"/>
      <c r="AH964" s="235"/>
      <c r="AI964" s="235"/>
      <c r="AJ964" s="235"/>
      <c r="AK964" s="235"/>
      <c r="AL964" s="235"/>
      <c r="AM964" s="235"/>
      <c r="AN964" s="235"/>
      <c r="AO964" s="235"/>
      <c r="AP964" s="235"/>
      <c r="AQ964" s="235"/>
      <c r="AR964" s="235"/>
      <c r="AS964" s="235"/>
      <c r="AT964" s="235"/>
      <c r="AU964" s="235"/>
      <c r="AV964" s="235"/>
      <c r="AW964" s="235"/>
      <c r="AX964" s="235"/>
      <c r="AY964" s="235"/>
      <c r="AZ964" s="235"/>
      <c r="BA964" s="235"/>
      <c r="BB964" s="235"/>
      <c r="BC964" s="235"/>
      <c r="BD964" s="235"/>
      <c r="BE964" s="235"/>
      <c r="BF964" s="235"/>
    </row>
    <row r="965" spans="1:58" ht="15.75" customHeight="1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  <c r="AA965" s="114"/>
      <c r="AB965" s="114"/>
      <c r="AC965" s="114"/>
      <c r="AD965" s="114"/>
      <c r="AE965" s="235"/>
      <c r="AF965" s="235"/>
      <c r="AG965" s="235"/>
      <c r="AH965" s="235"/>
      <c r="AI965" s="235"/>
      <c r="AJ965" s="235"/>
      <c r="AK965" s="235"/>
      <c r="AL965" s="235"/>
      <c r="AM965" s="235"/>
      <c r="AN965" s="235"/>
      <c r="AO965" s="235"/>
      <c r="AP965" s="235"/>
      <c r="AQ965" s="235"/>
      <c r="AR965" s="235"/>
      <c r="AS965" s="235"/>
      <c r="AT965" s="235"/>
      <c r="AU965" s="235"/>
      <c r="AV965" s="235"/>
      <c r="AW965" s="235"/>
      <c r="AX965" s="235"/>
      <c r="AY965" s="235"/>
      <c r="AZ965" s="235"/>
      <c r="BA965" s="235"/>
      <c r="BB965" s="235"/>
      <c r="BC965" s="235"/>
      <c r="BD965" s="235"/>
      <c r="BE965" s="235"/>
      <c r="BF965" s="235"/>
    </row>
    <row r="966" spans="1:58" ht="15.75" customHeight="1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  <c r="AA966" s="114"/>
      <c r="AB966" s="114"/>
      <c r="AC966" s="114"/>
      <c r="AD966" s="114"/>
      <c r="AE966" s="235"/>
      <c r="AF966" s="235"/>
      <c r="AG966" s="235"/>
      <c r="AH966" s="235"/>
      <c r="AI966" s="235"/>
      <c r="AJ966" s="235"/>
      <c r="AK966" s="235"/>
      <c r="AL966" s="235"/>
      <c r="AM966" s="235"/>
      <c r="AN966" s="235"/>
      <c r="AO966" s="235"/>
      <c r="AP966" s="235"/>
      <c r="AQ966" s="235"/>
      <c r="AR966" s="235"/>
      <c r="AS966" s="235"/>
      <c r="AT966" s="235"/>
      <c r="AU966" s="235"/>
      <c r="AV966" s="235"/>
      <c r="AW966" s="235"/>
      <c r="AX966" s="235"/>
      <c r="AY966" s="235"/>
      <c r="AZ966" s="235"/>
      <c r="BA966" s="235"/>
      <c r="BB966" s="235"/>
      <c r="BC966" s="235"/>
      <c r="BD966" s="235"/>
      <c r="BE966" s="235"/>
      <c r="BF966" s="235"/>
    </row>
    <row r="967" spans="1:58" ht="15.75" customHeight="1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  <c r="AA967" s="114"/>
      <c r="AB967" s="114"/>
      <c r="AC967" s="114"/>
      <c r="AD967" s="114"/>
      <c r="AE967" s="235"/>
      <c r="AF967" s="235"/>
      <c r="AG967" s="235"/>
      <c r="AH967" s="235"/>
      <c r="AI967" s="235"/>
      <c r="AJ967" s="235"/>
      <c r="AK967" s="235"/>
      <c r="AL967" s="235"/>
      <c r="AM967" s="235"/>
      <c r="AN967" s="235"/>
      <c r="AO967" s="235"/>
      <c r="AP967" s="235"/>
      <c r="AQ967" s="235"/>
      <c r="AR967" s="235"/>
      <c r="AS967" s="235"/>
      <c r="AT967" s="235"/>
      <c r="AU967" s="235"/>
      <c r="AV967" s="235"/>
      <c r="AW967" s="235"/>
      <c r="AX967" s="235"/>
      <c r="AY967" s="235"/>
      <c r="AZ967" s="235"/>
      <c r="BA967" s="235"/>
      <c r="BB967" s="235"/>
      <c r="BC967" s="235"/>
      <c r="BD967" s="235"/>
      <c r="BE967" s="235"/>
      <c r="BF967" s="235"/>
    </row>
    <row r="968" spans="1:58" ht="15.75" customHeight="1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  <c r="AA968" s="114"/>
      <c r="AB968" s="114"/>
      <c r="AC968" s="114"/>
      <c r="AD968" s="114"/>
      <c r="AE968" s="235"/>
      <c r="AF968" s="235"/>
      <c r="AG968" s="235"/>
      <c r="AH968" s="235"/>
      <c r="AI968" s="235"/>
      <c r="AJ968" s="235"/>
      <c r="AK968" s="235"/>
      <c r="AL968" s="235"/>
      <c r="AM968" s="235"/>
      <c r="AN968" s="235"/>
      <c r="AO968" s="235"/>
      <c r="AP968" s="235"/>
      <c r="AQ968" s="235"/>
      <c r="AR968" s="235"/>
      <c r="AS968" s="235"/>
      <c r="AT968" s="235"/>
      <c r="AU968" s="235"/>
      <c r="AV968" s="235"/>
      <c r="AW968" s="235"/>
      <c r="AX968" s="235"/>
      <c r="AY968" s="235"/>
      <c r="AZ968" s="235"/>
      <c r="BA968" s="235"/>
      <c r="BB968" s="235"/>
      <c r="BC968" s="235"/>
      <c r="BD968" s="235"/>
      <c r="BE968" s="235"/>
      <c r="BF968" s="235"/>
    </row>
    <row r="969" spans="1:58" ht="15.75" customHeight="1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  <c r="AA969" s="114"/>
      <c r="AB969" s="114"/>
      <c r="AC969" s="114"/>
      <c r="AD969" s="114"/>
      <c r="AE969" s="235"/>
      <c r="AF969" s="235"/>
      <c r="AG969" s="235"/>
      <c r="AH969" s="235"/>
      <c r="AI969" s="235"/>
      <c r="AJ969" s="235"/>
      <c r="AK969" s="235"/>
      <c r="AL969" s="235"/>
      <c r="AM969" s="235"/>
      <c r="AN969" s="235"/>
      <c r="AO969" s="235"/>
      <c r="AP969" s="235"/>
      <c r="AQ969" s="235"/>
      <c r="AR969" s="235"/>
      <c r="AS969" s="235"/>
      <c r="AT969" s="235"/>
      <c r="AU969" s="235"/>
      <c r="AV969" s="235"/>
      <c r="AW969" s="235"/>
      <c r="AX969" s="235"/>
      <c r="AY969" s="235"/>
      <c r="AZ969" s="235"/>
      <c r="BA969" s="235"/>
      <c r="BB969" s="235"/>
      <c r="BC969" s="235"/>
      <c r="BD969" s="235"/>
      <c r="BE969" s="235"/>
      <c r="BF969" s="235"/>
    </row>
    <row r="970" spans="1:58" ht="15.75" customHeight="1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  <c r="AA970" s="114"/>
      <c r="AB970" s="114"/>
      <c r="AC970" s="114"/>
      <c r="AD970" s="114"/>
      <c r="AE970" s="235"/>
      <c r="AF970" s="235"/>
      <c r="AG970" s="235"/>
      <c r="AH970" s="235"/>
      <c r="AI970" s="235"/>
      <c r="AJ970" s="235"/>
      <c r="AK970" s="235"/>
      <c r="AL970" s="235"/>
      <c r="AM970" s="235"/>
      <c r="AN970" s="235"/>
      <c r="AO970" s="235"/>
      <c r="AP970" s="235"/>
      <c r="AQ970" s="235"/>
      <c r="AR970" s="235"/>
      <c r="AS970" s="235"/>
      <c r="AT970" s="235"/>
      <c r="AU970" s="235"/>
      <c r="AV970" s="235"/>
      <c r="AW970" s="235"/>
      <c r="AX970" s="235"/>
      <c r="AY970" s="235"/>
      <c r="AZ970" s="235"/>
      <c r="BA970" s="235"/>
      <c r="BB970" s="235"/>
      <c r="BC970" s="235"/>
      <c r="BD970" s="235"/>
      <c r="BE970" s="235"/>
      <c r="BF970" s="235"/>
    </row>
    <row r="971" spans="1:58" ht="15.75" customHeight="1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  <c r="AA971" s="114"/>
      <c r="AB971" s="114"/>
      <c r="AC971" s="114"/>
      <c r="AD971" s="114"/>
      <c r="AE971" s="235"/>
      <c r="AF971" s="235"/>
      <c r="AG971" s="235"/>
      <c r="AH971" s="235"/>
      <c r="AI971" s="235"/>
      <c r="AJ971" s="235"/>
      <c r="AK971" s="235"/>
      <c r="AL971" s="235"/>
      <c r="AM971" s="235"/>
      <c r="AN971" s="235"/>
      <c r="AO971" s="235"/>
      <c r="AP971" s="235"/>
      <c r="AQ971" s="235"/>
      <c r="AR971" s="235"/>
      <c r="AS971" s="235"/>
      <c r="AT971" s="235"/>
      <c r="AU971" s="235"/>
      <c r="AV971" s="235"/>
      <c r="AW971" s="235"/>
      <c r="AX971" s="235"/>
      <c r="AY971" s="235"/>
      <c r="AZ971" s="235"/>
      <c r="BA971" s="235"/>
      <c r="BB971" s="235"/>
      <c r="BC971" s="235"/>
      <c r="BD971" s="235"/>
      <c r="BE971" s="235"/>
      <c r="BF971" s="235"/>
    </row>
    <row r="972" spans="1:58" ht="15.75" customHeight="1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  <c r="AA972" s="114"/>
      <c r="AB972" s="114"/>
      <c r="AC972" s="114"/>
      <c r="AD972" s="114"/>
      <c r="AE972" s="235"/>
      <c r="AF972" s="235"/>
      <c r="AG972" s="235"/>
      <c r="AH972" s="235"/>
      <c r="AI972" s="235"/>
      <c r="AJ972" s="235"/>
      <c r="AK972" s="235"/>
      <c r="AL972" s="235"/>
      <c r="AM972" s="235"/>
      <c r="AN972" s="235"/>
      <c r="AO972" s="235"/>
      <c r="AP972" s="235"/>
      <c r="AQ972" s="235"/>
      <c r="AR972" s="235"/>
      <c r="AS972" s="235"/>
      <c r="AT972" s="235"/>
      <c r="AU972" s="235"/>
      <c r="AV972" s="235"/>
      <c r="AW972" s="235"/>
      <c r="AX972" s="235"/>
      <c r="AY972" s="235"/>
      <c r="AZ972" s="235"/>
      <c r="BA972" s="235"/>
      <c r="BB972" s="235"/>
      <c r="BC972" s="235"/>
      <c r="BD972" s="235"/>
      <c r="BE972" s="235"/>
      <c r="BF972" s="235"/>
    </row>
    <row r="973" spans="1:58" ht="15.75" customHeight="1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  <c r="AA973" s="114"/>
      <c r="AB973" s="114"/>
      <c r="AC973" s="114"/>
      <c r="AD973" s="114"/>
      <c r="AE973" s="235"/>
      <c r="AF973" s="235"/>
      <c r="AG973" s="235"/>
      <c r="AH973" s="235"/>
      <c r="AI973" s="235"/>
      <c r="AJ973" s="235"/>
      <c r="AK973" s="235"/>
      <c r="AL973" s="235"/>
      <c r="AM973" s="235"/>
      <c r="AN973" s="235"/>
      <c r="AO973" s="235"/>
      <c r="AP973" s="235"/>
      <c r="AQ973" s="235"/>
      <c r="AR973" s="235"/>
      <c r="AS973" s="235"/>
      <c r="AT973" s="235"/>
      <c r="AU973" s="235"/>
      <c r="AV973" s="235"/>
      <c r="AW973" s="235"/>
      <c r="AX973" s="235"/>
      <c r="AY973" s="235"/>
      <c r="AZ973" s="235"/>
      <c r="BA973" s="235"/>
      <c r="BB973" s="235"/>
      <c r="BC973" s="235"/>
      <c r="BD973" s="235"/>
      <c r="BE973" s="235"/>
      <c r="BF973" s="235"/>
    </row>
    <row r="974" spans="1:58" ht="15.75" customHeight="1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  <c r="AA974" s="114"/>
      <c r="AB974" s="114"/>
      <c r="AC974" s="114"/>
      <c r="AD974" s="114"/>
      <c r="AE974" s="235"/>
      <c r="AF974" s="235"/>
      <c r="AG974" s="235"/>
      <c r="AH974" s="235"/>
      <c r="AI974" s="235"/>
      <c r="AJ974" s="235"/>
      <c r="AK974" s="235"/>
      <c r="AL974" s="235"/>
      <c r="AM974" s="235"/>
      <c r="AN974" s="235"/>
      <c r="AO974" s="235"/>
      <c r="AP974" s="235"/>
      <c r="AQ974" s="235"/>
      <c r="AR974" s="235"/>
      <c r="AS974" s="235"/>
      <c r="AT974" s="235"/>
      <c r="AU974" s="235"/>
      <c r="AV974" s="235"/>
      <c r="AW974" s="235"/>
      <c r="AX974" s="235"/>
      <c r="AY974" s="235"/>
      <c r="AZ974" s="235"/>
      <c r="BA974" s="235"/>
      <c r="BB974" s="235"/>
      <c r="BC974" s="235"/>
      <c r="BD974" s="235"/>
      <c r="BE974" s="235"/>
      <c r="BF974" s="235"/>
    </row>
    <row r="975" spans="1:58" ht="15.75" customHeight="1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  <c r="AA975" s="114"/>
      <c r="AB975" s="114"/>
      <c r="AC975" s="114"/>
      <c r="AD975" s="114"/>
      <c r="AE975" s="235"/>
      <c r="AF975" s="235"/>
      <c r="AG975" s="235"/>
      <c r="AH975" s="235"/>
      <c r="AI975" s="235"/>
      <c r="AJ975" s="235"/>
      <c r="AK975" s="235"/>
      <c r="AL975" s="235"/>
      <c r="AM975" s="235"/>
      <c r="AN975" s="235"/>
      <c r="AO975" s="235"/>
      <c r="AP975" s="235"/>
      <c r="AQ975" s="235"/>
      <c r="AR975" s="235"/>
      <c r="AS975" s="235"/>
      <c r="AT975" s="235"/>
      <c r="AU975" s="235"/>
      <c r="AV975" s="235"/>
      <c r="AW975" s="235"/>
      <c r="AX975" s="235"/>
      <c r="AY975" s="235"/>
      <c r="AZ975" s="235"/>
      <c r="BA975" s="235"/>
      <c r="BB975" s="235"/>
      <c r="BC975" s="235"/>
      <c r="BD975" s="235"/>
      <c r="BE975" s="235"/>
      <c r="BF975" s="235"/>
    </row>
    <row r="976" spans="1:58" ht="15.75" customHeight="1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  <c r="AA976" s="114"/>
      <c r="AB976" s="114"/>
      <c r="AC976" s="114"/>
      <c r="AD976" s="114"/>
      <c r="AE976" s="235"/>
      <c r="AF976" s="235"/>
      <c r="AG976" s="235"/>
      <c r="AH976" s="235"/>
      <c r="AI976" s="235"/>
      <c r="AJ976" s="235"/>
      <c r="AK976" s="235"/>
      <c r="AL976" s="235"/>
      <c r="AM976" s="235"/>
      <c r="AN976" s="235"/>
      <c r="AO976" s="235"/>
      <c r="AP976" s="235"/>
      <c r="AQ976" s="235"/>
      <c r="AR976" s="235"/>
      <c r="AS976" s="235"/>
      <c r="AT976" s="235"/>
      <c r="AU976" s="235"/>
      <c r="AV976" s="235"/>
      <c r="AW976" s="235"/>
      <c r="AX976" s="235"/>
      <c r="AY976" s="235"/>
      <c r="AZ976" s="235"/>
      <c r="BA976" s="235"/>
      <c r="BB976" s="235"/>
      <c r="BC976" s="235"/>
      <c r="BD976" s="235"/>
      <c r="BE976" s="235"/>
      <c r="BF976" s="235"/>
    </row>
    <row r="977" spans="1:58" ht="15.75" customHeight="1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  <c r="AA977" s="114"/>
      <c r="AB977" s="114"/>
      <c r="AC977" s="114"/>
      <c r="AD977" s="114"/>
      <c r="AE977" s="235"/>
      <c r="AF977" s="235"/>
      <c r="AG977" s="235"/>
      <c r="AH977" s="235"/>
      <c r="AI977" s="235"/>
      <c r="AJ977" s="235"/>
      <c r="AK977" s="235"/>
      <c r="AL977" s="235"/>
      <c r="AM977" s="235"/>
      <c r="AN977" s="235"/>
      <c r="AO977" s="235"/>
      <c r="AP977" s="235"/>
      <c r="AQ977" s="235"/>
      <c r="AR977" s="235"/>
      <c r="AS977" s="235"/>
      <c r="AT977" s="235"/>
      <c r="AU977" s="235"/>
      <c r="AV977" s="235"/>
      <c r="AW977" s="235"/>
      <c r="AX977" s="235"/>
      <c r="AY977" s="235"/>
      <c r="AZ977" s="235"/>
      <c r="BA977" s="235"/>
      <c r="BB977" s="235"/>
      <c r="BC977" s="235"/>
      <c r="BD977" s="235"/>
      <c r="BE977" s="235"/>
      <c r="BF977" s="235"/>
    </row>
    <row r="978" spans="1:58" ht="15.75" customHeight="1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  <c r="AA978" s="114"/>
      <c r="AB978" s="114"/>
      <c r="AC978" s="114"/>
      <c r="AD978" s="114"/>
      <c r="AE978" s="235"/>
      <c r="AF978" s="235"/>
      <c r="AG978" s="235"/>
      <c r="AH978" s="235"/>
      <c r="AI978" s="235"/>
      <c r="AJ978" s="235"/>
      <c r="AK978" s="235"/>
      <c r="AL978" s="235"/>
      <c r="AM978" s="235"/>
      <c r="AN978" s="235"/>
      <c r="AO978" s="235"/>
      <c r="AP978" s="235"/>
      <c r="AQ978" s="235"/>
      <c r="AR978" s="235"/>
      <c r="AS978" s="235"/>
      <c r="AT978" s="235"/>
      <c r="AU978" s="235"/>
      <c r="AV978" s="235"/>
      <c r="AW978" s="235"/>
      <c r="AX978" s="235"/>
      <c r="AY978" s="235"/>
      <c r="AZ978" s="235"/>
      <c r="BA978" s="235"/>
      <c r="BB978" s="235"/>
      <c r="BC978" s="235"/>
      <c r="BD978" s="235"/>
      <c r="BE978" s="235"/>
      <c r="BF978" s="235"/>
    </row>
    <row r="979" spans="1:58" ht="15.75" customHeight="1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  <c r="AA979" s="114"/>
      <c r="AB979" s="114"/>
      <c r="AC979" s="114"/>
      <c r="AD979" s="114"/>
      <c r="AE979" s="235"/>
      <c r="AF979" s="235"/>
      <c r="AG979" s="235"/>
      <c r="AH979" s="235"/>
      <c r="AI979" s="235"/>
      <c r="AJ979" s="235"/>
      <c r="AK979" s="235"/>
      <c r="AL979" s="235"/>
      <c r="AM979" s="235"/>
      <c r="AN979" s="235"/>
      <c r="AO979" s="235"/>
      <c r="AP979" s="235"/>
      <c r="AQ979" s="235"/>
      <c r="AR979" s="235"/>
      <c r="AS979" s="235"/>
      <c r="AT979" s="235"/>
      <c r="AU979" s="235"/>
      <c r="AV979" s="235"/>
      <c r="AW979" s="235"/>
      <c r="AX979" s="235"/>
      <c r="AY979" s="235"/>
      <c r="AZ979" s="235"/>
      <c r="BA979" s="235"/>
      <c r="BB979" s="235"/>
      <c r="BC979" s="235"/>
      <c r="BD979" s="235"/>
      <c r="BE979" s="235"/>
      <c r="BF979" s="235"/>
    </row>
    <row r="980" spans="1:58" ht="15.75" customHeight="1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  <c r="AA980" s="114"/>
      <c r="AB980" s="114"/>
      <c r="AC980" s="114"/>
      <c r="AD980" s="114"/>
      <c r="AE980" s="235"/>
      <c r="AF980" s="235"/>
      <c r="AG980" s="235"/>
      <c r="AH980" s="235"/>
      <c r="AI980" s="235"/>
      <c r="AJ980" s="235"/>
      <c r="AK980" s="235"/>
      <c r="AL980" s="235"/>
      <c r="AM980" s="235"/>
      <c r="AN980" s="235"/>
      <c r="AO980" s="235"/>
      <c r="AP980" s="235"/>
      <c r="AQ980" s="235"/>
      <c r="AR980" s="235"/>
      <c r="AS980" s="235"/>
      <c r="AT980" s="235"/>
      <c r="AU980" s="235"/>
      <c r="AV980" s="235"/>
      <c r="AW980" s="235"/>
      <c r="AX980" s="235"/>
      <c r="AY980" s="235"/>
      <c r="AZ980" s="235"/>
      <c r="BA980" s="235"/>
      <c r="BB980" s="235"/>
      <c r="BC980" s="235"/>
      <c r="BD980" s="235"/>
      <c r="BE980" s="235"/>
      <c r="BF980" s="235"/>
    </row>
    <row r="981" spans="1:58" ht="15.75" customHeight="1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  <c r="AA981" s="114"/>
      <c r="AB981" s="114"/>
      <c r="AC981" s="114"/>
      <c r="AD981" s="114"/>
      <c r="AE981" s="235"/>
      <c r="AF981" s="235"/>
      <c r="AG981" s="235"/>
      <c r="AH981" s="235"/>
      <c r="AI981" s="235"/>
      <c r="AJ981" s="235"/>
      <c r="AK981" s="235"/>
      <c r="AL981" s="235"/>
      <c r="AM981" s="235"/>
      <c r="AN981" s="235"/>
      <c r="AO981" s="235"/>
      <c r="AP981" s="235"/>
      <c r="AQ981" s="235"/>
      <c r="AR981" s="235"/>
      <c r="AS981" s="235"/>
      <c r="AT981" s="235"/>
      <c r="AU981" s="235"/>
      <c r="AV981" s="235"/>
      <c r="AW981" s="235"/>
      <c r="AX981" s="235"/>
      <c r="AY981" s="235"/>
      <c r="AZ981" s="235"/>
      <c r="BA981" s="235"/>
      <c r="BB981" s="235"/>
      <c r="BC981" s="235"/>
      <c r="BD981" s="235"/>
      <c r="BE981" s="235"/>
      <c r="BF981" s="235"/>
    </row>
    <row r="982" spans="1:58" ht="15.75" customHeight="1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  <c r="AA982" s="114"/>
      <c r="AB982" s="114"/>
      <c r="AC982" s="114"/>
      <c r="AD982" s="114"/>
      <c r="AE982" s="235"/>
      <c r="AF982" s="235"/>
      <c r="AG982" s="235"/>
      <c r="AH982" s="235"/>
      <c r="AI982" s="235"/>
      <c r="AJ982" s="235"/>
      <c r="AK982" s="235"/>
      <c r="AL982" s="235"/>
      <c r="AM982" s="235"/>
      <c r="AN982" s="235"/>
      <c r="AO982" s="235"/>
      <c r="AP982" s="235"/>
      <c r="AQ982" s="235"/>
      <c r="AR982" s="235"/>
      <c r="AS982" s="235"/>
      <c r="AT982" s="235"/>
      <c r="AU982" s="235"/>
      <c r="AV982" s="235"/>
      <c r="AW982" s="235"/>
      <c r="AX982" s="235"/>
      <c r="AY982" s="235"/>
      <c r="AZ982" s="235"/>
      <c r="BA982" s="235"/>
      <c r="BB982" s="235"/>
      <c r="BC982" s="235"/>
      <c r="BD982" s="235"/>
      <c r="BE982" s="235"/>
      <c r="BF982" s="235"/>
    </row>
    <row r="983" spans="1:58" ht="15.75" customHeight="1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  <c r="AA983" s="114"/>
      <c r="AB983" s="114"/>
      <c r="AC983" s="114"/>
      <c r="AD983" s="114"/>
      <c r="AE983" s="235"/>
      <c r="AF983" s="235"/>
      <c r="AG983" s="235"/>
      <c r="AH983" s="235"/>
      <c r="AI983" s="235"/>
      <c r="AJ983" s="235"/>
      <c r="AK983" s="235"/>
      <c r="AL983" s="235"/>
      <c r="AM983" s="235"/>
      <c r="AN983" s="235"/>
      <c r="AO983" s="235"/>
      <c r="AP983" s="235"/>
      <c r="AQ983" s="235"/>
      <c r="AR983" s="235"/>
      <c r="AS983" s="235"/>
      <c r="AT983" s="235"/>
      <c r="AU983" s="235"/>
      <c r="AV983" s="235"/>
      <c r="AW983" s="235"/>
      <c r="AX983" s="235"/>
      <c r="AY983" s="235"/>
      <c r="AZ983" s="235"/>
      <c r="BA983" s="235"/>
      <c r="BB983" s="235"/>
      <c r="BC983" s="235"/>
      <c r="BD983" s="235"/>
      <c r="BE983" s="235"/>
      <c r="BF983" s="235"/>
    </row>
    <row r="984" spans="1:58" ht="15.75" customHeight="1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  <c r="AA984" s="114"/>
      <c r="AB984" s="114"/>
      <c r="AC984" s="114"/>
      <c r="AD984" s="114"/>
      <c r="AE984" s="235"/>
      <c r="AF984" s="235"/>
      <c r="AG984" s="235"/>
      <c r="AH984" s="235"/>
      <c r="AI984" s="235"/>
      <c r="AJ984" s="235"/>
      <c r="AK984" s="235"/>
      <c r="AL984" s="235"/>
      <c r="AM984" s="235"/>
      <c r="AN984" s="235"/>
      <c r="AO984" s="235"/>
      <c r="AP984" s="235"/>
      <c r="AQ984" s="235"/>
      <c r="AR984" s="235"/>
      <c r="AS984" s="235"/>
      <c r="AT984" s="235"/>
      <c r="AU984" s="235"/>
      <c r="AV984" s="235"/>
      <c r="AW984" s="235"/>
      <c r="AX984" s="235"/>
      <c r="AY984" s="235"/>
      <c r="AZ984" s="235"/>
      <c r="BA984" s="235"/>
      <c r="BB984" s="235"/>
      <c r="BC984" s="235"/>
      <c r="BD984" s="235"/>
      <c r="BE984" s="235"/>
      <c r="BF984" s="235"/>
    </row>
    <row r="985" spans="1:58" ht="15.75" customHeight="1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  <c r="AA985" s="114"/>
      <c r="AB985" s="114"/>
      <c r="AC985" s="114"/>
      <c r="AD985" s="114"/>
      <c r="AE985" s="235"/>
      <c r="AF985" s="235"/>
      <c r="AG985" s="235"/>
      <c r="AH985" s="235"/>
      <c r="AI985" s="235"/>
      <c r="AJ985" s="235"/>
      <c r="AK985" s="235"/>
      <c r="AL985" s="235"/>
      <c r="AM985" s="235"/>
      <c r="AN985" s="235"/>
      <c r="AO985" s="235"/>
      <c r="AP985" s="235"/>
      <c r="AQ985" s="235"/>
      <c r="AR985" s="235"/>
      <c r="AS985" s="235"/>
      <c r="AT985" s="235"/>
      <c r="AU985" s="235"/>
      <c r="AV985" s="235"/>
      <c r="AW985" s="235"/>
      <c r="AX985" s="235"/>
      <c r="AY985" s="235"/>
      <c r="AZ985" s="235"/>
      <c r="BA985" s="235"/>
      <c r="BB985" s="235"/>
      <c r="BC985" s="235"/>
      <c r="BD985" s="235"/>
      <c r="BE985" s="235"/>
      <c r="BF985" s="235"/>
    </row>
    <row r="986" spans="1:58" ht="15.75" customHeight="1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  <c r="AA986" s="114"/>
      <c r="AB986" s="114"/>
      <c r="AC986" s="114"/>
      <c r="AD986" s="114"/>
      <c r="AE986" s="235"/>
      <c r="AF986" s="235"/>
      <c r="AG986" s="235"/>
      <c r="AH986" s="235"/>
      <c r="AI986" s="235"/>
      <c r="AJ986" s="235"/>
      <c r="AK986" s="235"/>
      <c r="AL986" s="235"/>
      <c r="AM986" s="235"/>
      <c r="AN986" s="235"/>
      <c r="AO986" s="235"/>
      <c r="AP986" s="235"/>
      <c r="AQ986" s="235"/>
      <c r="AR986" s="235"/>
      <c r="AS986" s="235"/>
      <c r="AT986" s="235"/>
      <c r="AU986" s="235"/>
      <c r="AV986" s="235"/>
      <c r="AW986" s="235"/>
      <c r="AX986" s="235"/>
      <c r="AY986" s="235"/>
      <c r="AZ986" s="235"/>
      <c r="BA986" s="235"/>
      <c r="BB986" s="235"/>
      <c r="BC986" s="235"/>
      <c r="BD986" s="235"/>
      <c r="BE986" s="235"/>
      <c r="BF986" s="235"/>
    </row>
    <row r="987" spans="1:58" ht="15.75" customHeight="1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  <c r="AA987" s="114"/>
      <c r="AB987" s="114"/>
      <c r="AC987" s="114"/>
      <c r="AD987" s="114"/>
      <c r="AE987" s="235"/>
      <c r="AF987" s="235"/>
      <c r="AG987" s="235"/>
      <c r="AH987" s="235"/>
      <c r="AI987" s="235"/>
      <c r="AJ987" s="235"/>
      <c r="AK987" s="235"/>
      <c r="AL987" s="235"/>
      <c r="AM987" s="235"/>
      <c r="AN987" s="235"/>
      <c r="AO987" s="235"/>
      <c r="AP987" s="235"/>
      <c r="AQ987" s="235"/>
      <c r="AR987" s="235"/>
      <c r="AS987" s="235"/>
      <c r="AT987" s="235"/>
      <c r="AU987" s="235"/>
      <c r="AV987" s="235"/>
      <c r="AW987" s="235"/>
      <c r="AX987" s="235"/>
      <c r="AY987" s="235"/>
      <c r="AZ987" s="235"/>
      <c r="BA987" s="235"/>
      <c r="BB987" s="235"/>
      <c r="BC987" s="235"/>
      <c r="BD987" s="235"/>
      <c r="BE987" s="235"/>
      <c r="BF987" s="235"/>
    </row>
    <row r="988" spans="1:58" ht="15.75" customHeight="1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  <c r="AA988" s="114"/>
      <c r="AB988" s="114"/>
      <c r="AC988" s="114"/>
      <c r="AD988" s="114"/>
      <c r="AE988" s="235"/>
      <c r="AF988" s="235"/>
      <c r="AG988" s="235"/>
      <c r="AH988" s="235"/>
      <c r="AI988" s="235"/>
      <c r="AJ988" s="235"/>
      <c r="AK988" s="235"/>
      <c r="AL988" s="235"/>
      <c r="AM988" s="235"/>
      <c r="AN988" s="235"/>
      <c r="AO988" s="235"/>
      <c r="AP988" s="235"/>
      <c r="AQ988" s="235"/>
      <c r="AR988" s="235"/>
      <c r="AS988" s="235"/>
      <c r="AT988" s="235"/>
      <c r="AU988" s="235"/>
      <c r="AV988" s="235"/>
      <c r="AW988" s="235"/>
      <c r="AX988" s="235"/>
      <c r="AY988" s="235"/>
      <c r="AZ988" s="235"/>
      <c r="BA988" s="235"/>
      <c r="BB988" s="235"/>
      <c r="BC988" s="235"/>
      <c r="BD988" s="235"/>
      <c r="BE988" s="235"/>
      <c r="BF988" s="235"/>
    </row>
    <row r="989" spans="1:58" ht="15.75" customHeight="1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  <c r="AA989" s="114"/>
      <c r="AB989" s="114"/>
      <c r="AC989" s="114"/>
      <c r="AD989" s="114"/>
      <c r="AE989" s="235"/>
      <c r="AF989" s="235"/>
      <c r="AG989" s="235"/>
      <c r="AH989" s="235"/>
      <c r="AI989" s="235"/>
      <c r="AJ989" s="235"/>
      <c r="AK989" s="235"/>
      <c r="AL989" s="235"/>
      <c r="AM989" s="235"/>
      <c r="AN989" s="235"/>
      <c r="AO989" s="235"/>
      <c r="AP989" s="235"/>
      <c r="AQ989" s="235"/>
      <c r="AR989" s="235"/>
      <c r="AS989" s="235"/>
      <c r="AT989" s="235"/>
      <c r="AU989" s="235"/>
      <c r="AV989" s="235"/>
      <c r="AW989" s="235"/>
      <c r="AX989" s="235"/>
      <c r="AY989" s="235"/>
      <c r="AZ989" s="235"/>
      <c r="BA989" s="235"/>
      <c r="BB989" s="235"/>
      <c r="BC989" s="235"/>
      <c r="BD989" s="235"/>
      <c r="BE989" s="235"/>
      <c r="BF989" s="235"/>
    </row>
    <row r="990" spans="1:58" ht="15.75" customHeight="1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  <c r="AA990" s="114"/>
      <c r="AB990" s="114"/>
      <c r="AC990" s="114"/>
      <c r="AD990" s="114"/>
      <c r="AE990" s="235"/>
      <c r="AF990" s="235"/>
      <c r="AG990" s="235"/>
      <c r="AH990" s="235"/>
      <c r="AI990" s="235"/>
      <c r="AJ990" s="235"/>
      <c r="AK990" s="235"/>
      <c r="AL990" s="235"/>
      <c r="AM990" s="235"/>
      <c r="AN990" s="235"/>
      <c r="AO990" s="235"/>
      <c r="AP990" s="235"/>
      <c r="AQ990" s="235"/>
      <c r="AR990" s="235"/>
      <c r="AS990" s="235"/>
      <c r="AT990" s="235"/>
      <c r="AU990" s="235"/>
      <c r="AV990" s="235"/>
      <c r="AW990" s="235"/>
      <c r="AX990" s="235"/>
      <c r="AY990" s="235"/>
      <c r="AZ990" s="235"/>
      <c r="BA990" s="235"/>
      <c r="BB990" s="235"/>
      <c r="BC990" s="235"/>
      <c r="BD990" s="235"/>
      <c r="BE990" s="235"/>
      <c r="BF990" s="235"/>
    </row>
    <row r="991" spans="1:58" ht="15.75" customHeight="1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  <c r="AA991" s="114"/>
      <c r="AB991" s="114"/>
      <c r="AC991" s="114"/>
      <c r="AD991" s="114"/>
      <c r="AE991" s="235"/>
      <c r="AF991" s="235"/>
      <c r="AG991" s="235"/>
      <c r="AH991" s="235"/>
      <c r="AI991" s="235"/>
      <c r="AJ991" s="235"/>
      <c r="AK991" s="235"/>
      <c r="AL991" s="235"/>
      <c r="AM991" s="235"/>
      <c r="AN991" s="235"/>
      <c r="AO991" s="235"/>
      <c r="AP991" s="235"/>
      <c r="AQ991" s="235"/>
      <c r="AR991" s="235"/>
      <c r="AS991" s="235"/>
      <c r="AT991" s="235"/>
      <c r="AU991" s="235"/>
      <c r="AV991" s="235"/>
      <c r="AW991" s="235"/>
      <c r="AX991" s="235"/>
      <c r="AY991" s="235"/>
      <c r="AZ991" s="235"/>
      <c r="BA991" s="235"/>
      <c r="BB991" s="235"/>
      <c r="BC991" s="235"/>
      <c r="BD991" s="235"/>
      <c r="BE991" s="235"/>
      <c r="BF991" s="235"/>
    </row>
    <row r="992" spans="1:58" ht="15.75" customHeight="1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  <c r="AA992" s="114"/>
      <c r="AB992" s="114"/>
      <c r="AC992" s="114"/>
      <c r="AD992" s="114"/>
      <c r="AE992" s="235"/>
      <c r="AF992" s="235"/>
      <c r="AG992" s="235"/>
      <c r="AH992" s="235"/>
      <c r="AI992" s="235"/>
      <c r="AJ992" s="235"/>
      <c r="AK992" s="235"/>
      <c r="AL992" s="235"/>
      <c r="AM992" s="235"/>
      <c r="AN992" s="235"/>
      <c r="AO992" s="235"/>
      <c r="AP992" s="235"/>
      <c r="AQ992" s="235"/>
      <c r="AR992" s="235"/>
      <c r="AS992" s="235"/>
      <c r="AT992" s="235"/>
      <c r="AU992" s="235"/>
      <c r="AV992" s="235"/>
      <c r="AW992" s="235"/>
      <c r="AX992" s="235"/>
      <c r="AY992" s="235"/>
      <c r="AZ992" s="235"/>
      <c r="BA992" s="235"/>
      <c r="BB992" s="235"/>
      <c r="BC992" s="235"/>
      <c r="BD992" s="235"/>
      <c r="BE992" s="235"/>
      <c r="BF992" s="235"/>
    </row>
    <row r="993" spans="1:58" ht="15.75" customHeight="1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  <c r="AA993" s="114"/>
      <c r="AB993" s="114"/>
      <c r="AC993" s="114"/>
      <c r="AD993" s="114"/>
      <c r="AE993" s="235"/>
      <c r="AF993" s="235"/>
      <c r="AG993" s="235"/>
      <c r="AH993" s="235"/>
      <c r="AI993" s="235"/>
      <c r="AJ993" s="235"/>
      <c r="AK993" s="235"/>
      <c r="AL993" s="235"/>
      <c r="AM993" s="235"/>
      <c r="AN993" s="235"/>
      <c r="AO993" s="235"/>
      <c r="AP993" s="235"/>
      <c r="AQ993" s="235"/>
      <c r="AR993" s="235"/>
      <c r="AS993" s="235"/>
      <c r="AT993" s="235"/>
      <c r="AU993" s="235"/>
      <c r="AV993" s="235"/>
      <c r="AW993" s="235"/>
      <c r="AX993" s="235"/>
      <c r="AY993" s="235"/>
      <c r="AZ993" s="235"/>
      <c r="BA993" s="235"/>
      <c r="BB993" s="235"/>
      <c r="BC993" s="235"/>
      <c r="BD993" s="235"/>
      <c r="BE993" s="235"/>
      <c r="BF993" s="235"/>
    </row>
    <row r="994" spans="1:58" ht="15.75" customHeight="1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  <c r="AA994" s="114"/>
      <c r="AB994" s="114"/>
      <c r="AC994" s="114"/>
      <c r="AD994" s="114"/>
      <c r="AE994" s="235"/>
      <c r="AF994" s="235"/>
      <c r="AG994" s="235"/>
      <c r="AH994" s="235"/>
      <c r="AI994" s="235"/>
      <c r="AJ994" s="235"/>
      <c r="AK994" s="235"/>
      <c r="AL994" s="235"/>
      <c r="AM994" s="235"/>
      <c r="AN994" s="235"/>
      <c r="AO994" s="235"/>
      <c r="AP994" s="235"/>
      <c r="AQ994" s="235"/>
      <c r="AR994" s="235"/>
      <c r="AS994" s="235"/>
      <c r="AT994" s="235"/>
      <c r="AU994" s="235"/>
      <c r="AV994" s="235"/>
      <c r="AW994" s="235"/>
      <c r="AX994" s="235"/>
      <c r="AY994" s="235"/>
      <c r="AZ994" s="235"/>
      <c r="BA994" s="235"/>
      <c r="BB994" s="235"/>
      <c r="BC994" s="235"/>
      <c r="BD994" s="235"/>
      <c r="BE994" s="235"/>
      <c r="BF994" s="235"/>
    </row>
    <row r="995" spans="1:58" ht="15.75" customHeight="1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  <c r="AA995" s="114"/>
      <c r="AB995" s="114"/>
      <c r="AC995" s="114"/>
      <c r="AD995" s="114"/>
      <c r="AE995" s="235"/>
      <c r="AF995" s="235"/>
      <c r="AG995" s="235"/>
      <c r="AH995" s="235"/>
      <c r="AI995" s="235"/>
      <c r="AJ995" s="235"/>
      <c r="AK995" s="235"/>
      <c r="AL995" s="235"/>
      <c r="AM995" s="235"/>
      <c r="AN995" s="235"/>
      <c r="AO995" s="235"/>
      <c r="AP995" s="235"/>
      <c r="AQ995" s="235"/>
      <c r="AR995" s="235"/>
      <c r="AS995" s="235"/>
      <c r="AT995" s="235"/>
      <c r="AU995" s="235"/>
      <c r="AV995" s="235"/>
      <c r="AW995" s="235"/>
      <c r="AX995" s="235"/>
      <c r="AY995" s="235"/>
      <c r="AZ995" s="235"/>
      <c r="BA995" s="235"/>
      <c r="BB995" s="235"/>
      <c r="BC995" s="235"/>
      <c r="BD995" s="235"/>
      <c r="BE995" s="235"/>
      <c r="BF995" s="235"/>
    </row>
    <row r="996" spans="1:58" ht="15.75" customHeight="1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  <c r="AA996" s="114"/>
      <c r="AB996" s="114"/>
      <c r="AC996" s="114"/>
      <c r="AD996" s="114"/>
      <c r="AE996" s="235"/>
      <c r="AF996" s="235"/>
      <c r="AG996" s="235"/>
      <c r="AH996" s="235"/>
      <c r="AI996" s="235"/>
      <c r="AJ996" s="235"/>
      <c r="AK996" s="235"/>
      <c r="AL996" s="235"/>
      <c r="AM996" s="235"/>
      <c r="AN996" s="235"/>
      <c r="AO996" s="235"/>
      <c r="AP996" s="235"/>
      <c r="AQ996" s="235"/>
      <c r="AR996" s="235"/>
      <c r="AS996" s="235"/>
      <c r="AT996" s="235"/>
      <c r="AU996" s="235"/>
      <c r="AV996" s="235"/>
      <c r="AW996" s="235"/>
      <c r="AX996" s="235"/>
      <c r="AY996" s="235"/>
      <c r="AZ996" s="235"/>
      <c r="BA996" s="235"/>
      <c r="BB996" s="235"/>
      <c r="BC996" s="235"/>
      <c r="BD996" s="235"/>
      <c r="BE996" s="235"/>
      <c r="BF996" s="235"/>
    </row>
    <row r="997" spans="1:58" ht="15.75" customHeight="1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  <c r="AA997" s="114"/>
      <c r="AB997" s="114"/>
      <c r="AC997" s="114"/>
      <c r="AD997" s="114"/>
      <c r="AE997" s="235"/>
      <c r="AF997" s="235"/>
      <c r="AG997" s="235"/>
      <c r="AH997" s="235"/>
      <c r="AI997" s="235"/>
      <c r="AJ997" s="235"/>
      <c r="AK997" s="235"/>
      <c r="AL997" s="235"/>
      <c r="AM997" s="235"/>
      <c r="AN997" s="235"/>
      <c r="AO997" s="235"/>
      <c r="AP997" s="235"/>
      <c r="AQ997" s="235"/>
      <c r="AR997" s="235"/>
      <c r="AS997" s="235"/>
      <c r="AT997" s="235"/>
      <c r="AU997" s="235"/>
      <c r="AV997" s="235"/>
      <c r="AW997" s="235"/>
      <c r="AX997" s="235"/>
      <c r="AY997" s="235"/>
      <c r="AZ997" s="235"/>
      <c r="BA997" s="235"/>
      <c r="BB997" s="235"/>
      <c r="BC997" s="235"/>
      <c r="BD997" s="235"/>
      <c r="BE997" s="235"/>
      <c r="BF997" s="235"/>
    </row>
    <row r="998" spans="1:58" ht="15.75" customHeight="1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14"/>
      <c r="Y998" s="114"/>
      <c r="Z998" s="114"/>
      <c r="AA998" s="114"/>
      <c r="AB998" s="114"/>
      <c r="AC998" s="114"/>
      <c r="AD998" s="114"/>
      <c r="AE998" s="235"/>
      <c r="AF998" s="235"/>
      <c r="AG998" s="235"/>
      <c r="AH998" s="235"/>
      <c r="AI998" s="235"/>
      <c r="AJ998" s="235"/>
      <c r="AK998" s="235"/>
      <c r="AL998" s="235"/>
      <c r="AM998" s="235"/>
      <c r="AN998" s="235"/>
      <c r="AO998" s="235"/>
      <c r="AP998" s="235"/>
      <c r="AQ998" s="235"/>
      <c r="AR998" s="235"/>
      <c r="AS998" s="235"/>
      <c r="AT998" s="235"/>
      <c r="AU998" s="235"/>
      <c r="AV998" s="235"/>
      <c r="AW998" s="235"/>
      <c r="AX998" s="235"/>
      <c r="AY998" s="235"/>
      <c r="AZ998" s="235"/>
      <c r="BA998" s="235"/>
      <c r="BB998" s="235"/>
      <c r="BC998" s="235"/>
      <c r="BD998" s="235"/>
      <c r="BE998" s="235"/>
      <c r="BF998" s="235"/>
    </row>
    <row r="999" spans="1:58" ht="15.75" customHeight="1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114"/>
      <c r="R999" s="114"/>
      <c r="S999" s="114"/>
      <c r="T999" s="114"/>
      <c r="U999" s="114"/>
      <c r="V999" s="114"/>
      <c r="W999" s="114"/>
      <c r="X999" s="114"/>
      <c r="Y999" s="114"/>
      <c r="Z999" s="114"/>
      <c r="AA999" s="114"/>
      <c r="AB999" s="114"/>
      <c r="AC999" s="114"/>
      <c r="AD999" s="114"/>
      <c r="AE999" s="235"/>
      <c r="AF999" s="235"/>
      <c r="AG999" s="235"/>
      <c r="AH999" s="235"/>
      <c r="AI999" s="235"/>
      <c r="AJ999" s="235"/>
      <c r="AK999" s="235"/>
      <c r="AL999" s="235"/>
      <c r="AM999" s="235"/>
      <c r="AN999" s="235"/>
      <c r="AO999" s="235"/>
      <c r="AP999" s="235"/>
      <c r="AQ999" s="235"/>
      <c r="AR999" s="235"/>
      <c r="AS999" s="235"/>
      <c r="AT999" s="235"/>
      <c r="AU999" s="235"/>
      <c r="AV999" s="235"/>
      <c r="AW999" s="235"/>
      <c r="AX999" s="235"/>
      <c r="AY999" s="235"/>
      <c r="AZ999" s="235"/>
      <c r="BA999" s="235"/>
      <c r="BB999" s="235"/>
      <c r="BC999" s="235"/>
      <c r="BD999" s="235"/>
      <c r="BE999" s="235"/>
      <c r="BF999" s="235"/>
    </row>
    <row r="1000" spans="1:58" ht="15.75" customHeight="1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  <c r="S1000" s="114"/>
      <c r="T1000" s="114"/>
      <c r="U1000" s="114"/>
      <c r="V1000" s="114"/>
      <c r="W1000" s="114"/>
      <c r="X1000" s="114"/>
      <c r="Y1000" s="114"/>
      <c r="Z1000" s="114"/>
      <c r="AA1000" s="114"/>
      <c r="AB1000" s="114"/>
      <c r="AC1000" s="114"/>
      <c r="AD1000" s="114"/>
      <c r="AE1000" s="235"/>
      <c r="AF1000" s="235"/>
      <c r="AG1000" s="235"/>
      <c r="AH1000" s="235"/>
      <c r="AI1000" s="235"/>
      <c r="AJ1000" s="235"/>
      <c r="AK1000" s="235"/>
      <c r="AL1000" s="235"/>
      <c r="AM1000" s="235"/>
      <c r="AN1000" s="235"/>
      <c r="AO1000" s="235"/>
      <c r="AP1000" s="235"/>
      <c r="AQ1000" s="235"/>
      <c r="AR1000" s="235"/>
      <c r="AS1000" s="235"/>
      <c r="AT1000" s="235"/>
      <c r="AU1000" s="235"/>
      <c r="AV1000" s="235"/>
      <c r="AW1000" s="235"/>
      <c r="AX1000" s="235"/>
      <c r="AY1000" s="235"/>
      <c r="AZ1000" s="235"/>
      <c r="BA1000" s="235"/>
      <c r="BB1000" s="235"/>
      <c r="BC1000" s="235"/>
      <c r="BD1000" s="235"/>
      <c r="BE1000" s="235"/>
      <c r="BF1000" s="235"/>
    </row>
  </sheetData>
  <mergeCells count="46">
    <mergeCell ref="A91:B91"/>
    <mergeCell ref="A106:B106"/>
    <mergeCell ref="A6:B8"/>
    <mergeCell ref="C7:C8"/>
    <mergeCell ref="D7:D8"/>
    <mergeCell ref="A9:B9"/>
    <mergeCell ref="A15:B15"/>
    <mergeCell ref="A33:B33"/>
    <mergeCell ref="A54:B54"/>
    <mergeCell ref="A76:B76"/>
    <mergeCell ref="AS5:BF5"/>
    <mergeCell ref="C6:G6"/>
    <mergeCell ref="I6:O6"/>
    <mergeCell ref="AS6:BF6"/>
    <mergeCell ref="AI7:AL7"/>
    <mergeCell ref="AM7:AO7"/>
    <mergeCell ref="AP7:AR7"/>
    <mergeCell ref="AS7:AV7"/>
    <mergeCell ref="AW7:AZ7"/>
    <mergeCell ref="BA7:BC7"/>
    <mergeCell ref="BD7:BF7"/>
    <mergeCell ref="K7:M7"/>
    <mergeCell ref="N7:O7"/>
    <mergeCell ref="S7:U7"/>
    <mergeCell ref="V7:X7"/>
    <mergeCell ref="Y7:AA7"/>
    <mergeCell ref="P6:Q6"/>
    <mergeCell ref="R6:R8"/>
    <mergeCell ref="S6:AD6"/>
    <mergeCell ref="AE6:AR6"/>
    <mergeCell ref="C5:O5"/>
    <mergeCell ref="P5:AD5"/>
    <mergeCell ref="AE5:AR5"/>
    <mergeCell ref="AB7:AD7"/>
    <mergeCell ref="AE7:AH7"/>
    <mergeCell ref="E7:E8"/>
    <mergeCell ref="F7:F8"/>
    <mergeCell ref="G7:G8"/>
    <mergeCell ref="I7:J7"/>
    <mergeCell ref="A2:B4"/>
    <mergeCell ref="C2:AD2"/>
    <mergeCell ref="AE2:BF2"/>
    <mergeCell ref="C3:AD3"/>
    <mergeCell ref="AE3:BF3"/>
    <mergeCell ref="C4:AD4"/>
    <mergeCell ref="AE4:BF4"/>
  </mergeCells>
  <printOptions horizontalCentered="1"/>
  <pageMargins left="0.31496062992125984" right="0.31496062992125984" top="0.74803149606299213" bottom="0.74803149606299213" header="0" footer="0"/>
  <pageSetup paperSize="9" scale="45" fitToWidth="0" fitToHeight="0" orientation="landscape" r:id="rId1"/>
  <headerFooter>
    <oddFooter>&amp;Cหน้า &amp;P/&amp;N</oddFooter>
  </headerFooter>
  <rowBreaks count="4" manualBreakCount="4">
    <brk id="32" max="57" man="1"/>
    <brk id="53" max="57" man="1"/>
    <brk id="75" max="16383" man="1"/>
    <brk id="90" max="57" man="1"/>
  </rowBreaks>
  <colBreaks count="2" manualBreakCount="2">
    <brk id="15" max="1048575" man="1"/>
    <brk id="3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D965"/>
    <pageSetUpPr fitToPage="1"/>
  </sheetPr>
  <dimension ref="A1:AB1000"/>
  <sheetViews>
    <sheetView view="pageBreakPreview" zoomScale="60" zoomScaleNormal="100" workbookViewId="0">
      <pane xSplit="2" ySplit="9" topLeftCell="C10" activePane="bottomRight" state="frozen"/>
      <selection activeCell="A91" sqref="A91:XFD114"/>
      <selection pane="topRight" activeCell="A91" sqref="A91:XFD114"/>
      <selection pane="bottomLeft" activeCell="A91" sqref="A91:XFD114"/>
      <selection pane="bottomRight" activeCell="A91" sqref="A91:XFD114"/>
    </sheetView>
  </sheetViews>
  <sheetFormatPr defaultColWidth="14.44140625" defaultRowHeight="15" customHeight="1"/>
  <cols>
    <col min="1" max="1" width="7.21875" customWidth="1"/>
    <col min="2" max="2" width="32.109375" customWidth="1"/>
    <col min="3" max="5" width="17.21875" customWidth="1"/>
    <col min="6" max="6" width="18" customWidth="1"/>
    <col min="7" max="7" width="12.77734375" customWidth="1"/>
    <col min="8" max="13" width="11.21875" customWidth="1"/>
    <col min="14" max="15" width="20.109375" customWidth="1"/>
    <col min="16" max="27" width="11.21875" customWidth="1"/>
    <col min="28" max="28" width="18.21875" customWidth="1"/>
  </cols>
  <sheetData>
    <row r="1" spans="1:28" ht="24" customHeight="1">
      <c r="A1" s="1" t="s">
        <v>244</v>
      </c>
      <c r="B1" s="236"/>
      <c r="C1" s="237"/>
      <c r="D1" s="237"/>
      <c r="E1" s="237"/>
      <c r="F1" s="237"/>
      <c r="G1" s="238"/>
      <c r="H1" s="239"/>
      <c r="I1" s="239"/>
      <c r="J1" s="240"/>
      <c r="K1" s="236"/>
      <c r="L1" s="237"/>
      <c r="M1" s="236"/>
      <c r="N1" s="237"/>
      <c r="O1" s="237"/>
      <c r="P1" s="236"/>
      <c r="Q1" s="237"/>
      <c r="R1" s="238"/>
      <c r="S1" s="236"/>
      <c r="T1" s="237"/>
      <c r="U1" s="236"/>
      <c r="V1" s="236"/>
      <c r="W1" s="236"/>
      <c r="X1" s="238"/>
      <c r="Y1" s="236"/>
      <c r="Z1" s="236"/>
      <c r="AA1" s="236"/>
      <c r="AB1" s="241"/>
    </row>
    <row r="2" spans="1:28" ht="24" customHeight="1">
      <c r="A2" s="774" t="s">
        <v>1</v>
      </c>
      <c r="B2" s="682"/>
      <c r="C2" s="775" t="s">
        <v>245</v>
      </c>
      <c r="D2" s="776"/>
      <c r="E2" s="776"/>
      <c r="F2" s="776"/>
      <c r="G2" s="776"/>
      <c r="H2" s="776"/>
      <c r="I2" s="776"/>
      <c r="J2" s="776"/>
      <c r="K2" s="776"/>
      <c r="L2" s="776"/>
      <c r="M2" s="776"/>
      <c r="N2" s="776"/>
      <c r="O2" s="776"/>
      <c r="P2" s="776"/>
      <c r="Q2" s="776"/>
      <c r="R2" s="776"/>
      <c r="S2" s="776"/>
      <c r="T2" s="776"/>
      <c r="U2" s="776"/>
      <c r="V2" s="776"/>
      <c r="W2" s="776"/>
      <c r="X2" s="776"/>
      <c r="Y2" s="776"/>
      <c r="Z2" s="776"/>
      <c r="AA2" s="777"/>
      <c r="AB2" s="242"/>
    </row>
    <row r="3" spans="1:28" ht="24" customHeight="1">
      <c r="A3" s="660"/>
      <c r="B3" s="661"/>
      <c r="C3" s="683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4"/>
      <c r="V3" s="714"/>
      <c r="W3" s="714"/>
      <c r="X3" s="714"/>
      <c r="Y3" s="714"/>
      <c r="Z3" s="714"/>
      <c r="AA3" s="778"/>
      <c r="AB3" s="242"/>
    </row>
    <row r="4" spans="1:28" ht="37.5" customHeight="1">
      <c r="A4" s="660"/>
      <c r="B4" s="661"/>
      <c r="C4" s="792" t="s">
        <v>246</v>
      </c>
      <c r="D4" s="694"/>
      <c r="E4" s="694"/>
      <c r="F4" s="694"/>
      <c r="G4" s="695"/>
      <c r="H4" s="779" t="s">
        <v>247</v>
      </c>
      <c r="I4" s="651"/>
      <c r="J4" s="651"/>
      <c r="K4" s="651"/>
      <c r="L4" s="651"/>
      <c r="M4" s="651"/>
      <c r="N4" s="651"/>
      <c r="O4" s="651"/>
      <c r="P4" s="651"/>
      <c r="Q4" s="651"/>
      <c r="R4" s="654"/>
      <c r="S4" s="780" t="s">
        <v>248</v>
      </c>
      <c r="T4" s="694"/>
      <c r="U4" s="694"/>
      <c r="V4" s="694"/>
      <c r="W4" s="694"/>
      <c r="X4" s="694"/>
      <c r="Y4" s="694"/>
      <c r="Z4" s="694"/>
      <c r="AA4" s="781"/>
      <c r="AB4" s="243"/>
    </row>
    <row r="5" spans="1:28" ht="37.5" customHeight="1">
      <c r="A5" s="660"/>
      <c r="B5" s="661"/>
      <c r="C5" s="793"/>
      <c r="D5" s="670"/>
      <c r="E5" s="670"/>
      <c r="F5" s="670"/>
      <c r="G5" s="671"/>
      <c r="H5" s="782" t="s">
        <v>249</v>
      </c>
      <c r="I5" s="694"/>
      <c r="J5" s="695"/>
      <c r="K5" s="783" t="s">
        <v>250</v>
      </c>
      <c r="L5" s="651"/>
      <c r="M5" s="651"/>
      <c r="N5" s="651"/>
      <c r="O5" s="654"/>
      <c r="P5" s="788" t="s">
        <v>251</v>
      </c>
      <c r="Q5" s="694"/>
      <c r="R5" s="695"/>
      <c r="S5" s="719"/>
      <c r="T5" s="670"/>
      <c r="U5" s="670"/>
      <c r="V5" s="670"/>
      <c r="W5" s="670"/>
      <c r="X5" s="670"/>
      <c r="Y5" s="670"/>
      <c r="Z5" s="670"/>
      <c r="AA5" s="768"/>
      <c r="AB5" s="243"/>
    </row>
    <row r="6" spans="1:28" ht="37.5" customHeight="1">
      <c r="A6" s="683"/>
      <c r="B6" s="684"/>
      <c r="C6" s="794" t="s">
        <v>9</v>
      </c>
      <c r="D6" s="651"/>
      <c r="E6" s="654"/>
      <c r="F6" s="795" t="s">
        <v>11</v>
      </c>
      <c r="G6" s="691"/>
      <c r="H6" s="719"/>
      <c r="I6" s="670"/>
      <c r="J6" s="671"/>
      <c r="K6" s="784" t="s">
        <v>150</v>
      </c>
      <c r="L6" s="651"/>
      <c r="M6" s="654"/>
      <c r="N6" s="244" t="s">
        <v>252</v>
      </c>
      <c r="O6" s="244" t="s">
        <v>253</v>
      </c>
      <c r="P6" s="713"/>
      <c r="Q6" s="714"/>
      <c r="R6" s="715"/>
      <c r="S6" s="789" t="s">
        <v>150</v>
      </c>
      <c r="T6" s="651"/>
      <c r="U6" s="654"/>
      <c r="V6" s="772" t="s">
        <v>254</v>
      </c>
      <c r="W6" s="690"/>
      <c r="X6" s="691"/>
      <c r="Y6" s="772" t="s">
        <v>255</v>
      </c>
      <c r="Z6" s="690"/>
      <c r="AA6" s="773"/>
      <c r="AB6" s="245"/>
    </row>
    <row r="7" spans="1:28" ht="24" customHeight="1">
      <c r="A7" s="785" t="s">
        <v>256</v>
      </c>
      <c r="B7" s="659"/>
      <c r="C7" s="246" t="s">
        <v>150</v>
      </c>
      <c r="D7" s="796" t="s">
        <v>257</v>
      </c>
      <c r="E7" s="247" t="s">
        <v>258</v>
      </c>
      <c r="F7" s="797" t="s">
        <v>259</v>
      </c>
      <c r="G7" s="699"/>
      <c r="H7" s="248" t="s">
        <v>24</v>
      </c>
      <c r="I7" s="786" t="s">
        <v>25</v>
      </c>
      <c r="J7" s="654"/>
      <c r="K7" s="249" t="s">
        <v>24</v>
      </c>
      <c r="L7" s="787" t="s">
        <v>25</v>
      </c>
      <c r="M7" s="671"/>
      <c r="N7" s="250" t="s">
        <v>25</v>
      </c>
      <c r="O7" s="250" t="s">
        <v>25</v>
      </c>
      <c r="P7" s="248" t="s">
        <v>24</v>
      </c>
      <c r="Q7" s="790" t="s">
        <v>25</v>
      </c>
      <c r="R7" s="654"/>
      <c r="S7" s="248" t="s">
        <v>24</v>
      </c>
      <c r="T7" s="771" t="s">
        <v>25</v>
      </c>
      <c r="U7" s="654"/>
      <c r="V7" s="248" t="s">
        <v>24</v>
      </c>
      <c r="W7" s="771" t="s">
        <v>25</v>
      </c>
      <c r="X7" s="654"/>
      <c r="Y7" s="248" t="s">
        <v>24</v>
      </c>
      <c r="Z7" s="771" t="s">
        <v>25</v>
      </c>
      <c r="AA7" s="756"/>
      <c r="AB7" s="245"/>
    </row>
    <row r="8" spans="1:28" ht="24" customHeight="1">
      <c r="A8" s="662"/>
      <c r="B8" s="663"/>
      <c r="C8" s="251"/>
      <c r="D8" s="665"/>
      <c r="E8" s="252"/>
      <c r="F8" s="253" t="s">
        <v>26</v>
      </c>
      <c r="G8" s="254" t="s">
        <v>27</v>
      </c>
      <c r="H8" s="255" t="s">
        <v>32</v>
      </c>
      <c r="I8" s="256" t="s">
        <v>31</v>
      </c>
      <c r="J8" s="257" t="s">
        <v>27</v>
      </c>
      <c r="K8" s="258" t="s">
        <v>31</v>
      </c>
      <c r="L8" s="256" t="s">
        <v>31</v>
      </c>
      <c r="M8" s="257" t="s">
        <v>27</v>
      </c>
      <c r="N8" s="256" t="s">
        <v>31</v>
      </c>
      <c r="O8" s="256" t="s">
        <v>31</v>
      </c>
      <c r="P8" s="255" t="s">
        <v>32</v>
      </c>
      <c r="Q8" s="256" t="s">
        <v>31</v>
      </c>
      <c r="R8" s="257" t="s">
        <v>27</v>
      </c>
      <c r="S8" s="258" t="s">
        <v>239</v>
      </c>
      <c r="T8" s="259" t="s">
        <v>240</v>
      </c>
      <c r="U8" s="259" t="s">
        <v>27</v>
      </c>
      <c r="V8" s="258" t="s">
        <v>239</v>
      </c>
      <c r="W8" s="259" t="s">
        <v>240</v>
      </c>
      <c r="X8" s="260" t="s">
        <v>27</v>
      </c>
      <c r="Y8" s="258" t="s">
        <v>239</v>
      </c>
      <c r="Z8" s="259" t="s">
        <v>240</v>
      </c>
      <c r="AA8" s="261" t="s">
        <v>27</v>
      </c>
      <c r="AB8" s="262"/>
    </row>
    <row r="9" spans="1:28" ht="27" customHeight="1">
      <c r="A9" s="798" t="s">
        <v>34</v>
      </c>
      <c r="B9" s="731"/>
      <c r="C9" s="263">
        <f t="shared" ref="C9:E9" ca="1" si="0">C10+C11</f>
        <v>22445100</v>
      </c>
      <c r="D9" s="264">
        <f t="shared" ca="1" si="0"/>
        <v>0</v>
      </c>
      <c r="E9" s="265">
        <f t="shared" ca="1" si="0"/>
        <v>22445100</v>
      </c>
      <c r="F9" s="266">
        <f ca="1">+F10+F11</f>
        <v>8418739.9199999962</v>
      </c>
      <c r="G9" s="267">
        <f t="shared" ref="G9:G114" ca="1" si="1">IF(C9&gt;0,F9*100/C9,0)</f>
        <v>37.508141732493939</v>
      </c>
      <c r="H9" s="268">
        <f t="shared" ref="H9:I9" ca="1" si="2">H10+H11</f>
        <v>120</v>
      </c>
      <c r="I9" s="268">
        <f t="shared" si="2"/>
        <v>120</v>
      </c>
      <c r="J9" s="269">
        <f t="shared" ref="J9:J114" ca="1" si="3">IF(H9&gt;0,I9*100/H9,0)</f>
        <v>100</v>
      </c>
      <c r="K9" s="270">
        <f t="shared" ref="K9:L9" ca="1" si="4">K10+K11</f>
        <v>2805</v>
      </c>
      <c r="L9" s="271">
        <f t="shared" ca="1" si="4"/>
        <v>2624</v>
      </c>
      <c r="M9" s="269">
        <f t="shared" ref="M9:M114" ca="1" si="5">IF(K9&gt;0,L9*100/K9,0)</f>
        <v>93.547237076648841</v>
      </c>
      <c r="N9" s="271">
        <f t="shared" ref="N9:Q9" ca="1" si="6">N10+N11</f>
        <v>2472</v>
      </c>
      <c r="O9" s="271">
        <f t="shared" ca="1" si="6"/>
        <v>2153</v>
      </c>
      <c r="P9" s="270">
        <f t="shared" ca="1" si="6"/>
        <v>100</v>
      </c>
      <c r="Q9" s="271">
        <f t="shared" si="6"/>
        <v>0</v>
      </c>
      <c r="R9" s="269">
        <f t="shared" ref="R9:R114" ca="1" si="7">IF(P9&gt;0,Q9*100/P9,0)</f>
        <v>0</v>
      </c>
      <c r="S9" s="270">
        <f t="shared" ref="S9:T9" ca="1" si="8">S10+S11</f>
        <v>8480</v>
      </c>
      <c r="T9" s="271">
        <f t="shared" ca="1" si="8"/>
        <v>2576</v>
      </c>
      <c r="U9" s="269">
        <f t="shared" ref="U9:U114" ca="1" si="9">IF(S9&gt;0,T9*100/S9,0)</f>
        <v>30.377358490566039</v>
      </c>
      <c r="V9" s="270">
        <f t="shared" ref="V9:W9" ca="1" si="10">V10+V11</f>
        <v>3939</v>
      </c>
      <c r="W9" s="271">
        <f t="shared" ca="1" si="10"/>
        <v>1118</v>
      </c>
      <c r="X9" s="269">
        <f t="shared" ref="X9:X114" ca="1" si="11">IF(V9&gt;0,W9*100/V9,0)</f>
        <v>28.382838283828384</v>
      </c>
      <c r="Y9" s="270">
        <f t="shared" ref="Y9:Z9" ca="1" si="12">Y10+Y11</f>
        <v>4541</v>
      </c>
      <c r="Z9" s="271">
        <f t="shared" ca="1" si="12"/>
        <v>1458</v>
      </c>
      <c r="AA9" s="272">
        <f t="shared" ref="AA9:AA114" ca="1" si="13">IF(Y9&gt;0,Z9*100/Y9,0)</f>
        <v>32.107465316009687</v>
      </c>
      <c r="AB9" s="262"/>
    </row>
    <row r="10" spans="1:28" ht="24" customHeight="1">
      <c r="A10" s="273" t="s">
        <v>35</v>
      </c>
      <c r="B10" s="274"/>
      <c r="C10" s="275">
        <f t="shared" ref="C10:F10" ca="1" si="14">+C15+C33+C54+C76</f>
        <v>19697940</v>
      </c>
      <c r="D10" s="276">
        <f t="shared" ca="1" si="14"/>
        <v>0</v>
      </c>
      <c r="E10" s="276">
        <f t="shared" ca="1" si="14"/>
        <v>19697940</v>
      </c>
      <c r="F10" s="276">
        <f t="shared" ca="1" si="14"/>
        <v>8145422.6599999964</v>
      </c>
      <c r="G10" s="277">
        <f t="shared" ca="1" si="1"/>
        <v>41.35164722808576</v>
      </c>
      <c r="H10" s="276">
        <f t="shared" ref="H10:I10" ca="1" si="15">+H15+H33+H54+H76</f>
        <v>0</v>
      </c>
      <c r="I10" s="276">
        <f t="shared" si="15"/>
        <v>0</v>
      </c>
      <c r="J10" s="278">
        <f t="shared" ca="1" si="3"/>
        <v>0</v>
      </c>
      <c r="K10" s="279">
        <f t="shared" ref="K10:L10" ca="1" si="16">+K15+K33+K54+K76</f>
        <v>2805</v>
      </c>
      <c r="L10" s="276">
        <f t="shared" ca="1" si="16"/>
        <v>2624</v>
      </c>
      <c r="M10" s="278">
        <f t="shared" ca="1" si="5"/>
        <v>93.547237076648841</v>
      </c>
      <c r="N10" s="279">
        <f t="shared" ref="N10:Q10" ca="1" si="17">+N15+N33+N54+N76</f>
        <v>2472</v>
      </c>
      <c r="O10" s="279">
        <f t="shared" ca="1" si="17"/>
        <v>2153</v>
      </c>
      <c r="P10" s="279">
        <f t="shared" ca="1" si="17"/>
        <v>0</v>
      </c>
      <c r="Q10" s="279">
        <f t="shared" si="17"/>
        <v>0</v>
      </c>
      <c r="R10" s="278">
        <f t="shared" ca="1" si="7"/>
        <v>0</v>
      </c>
      <c r="S10" s="279">
        <f t="shared" ref="S10:T10" ca="1" si="18">+S15+S33+S54+S76</f>
        <v>8480</v>
      </c>
      <c r="T10" s="279">
        <f t="shared" ca="1" si="18"/>
        <v>2576</v>
      </c>
      <c r="U10" s="278">
        <f t="shared" ca="1" si="9"/>
        <v>30.377358490566039</v>
      </c>
      <c r="V10" s="279">
        <f t="shared" ref="V10:W10" ca="1" si="19">+V15+V33+V54+V76</f>
        <v>3939</v>
      </c>
      <c r="W10" s="279">
        <f t="shared" ca="1" si="19"/>
        <v>1118</v>
      </c>
      <c r="X10" s="278">
        <f t="shared" ca="1" si="11"/>
        <v>28.382838283828384</v>
      </c>
      <c r="Y10" s="279">
        <f t="shared" ref="Y10:Z10" ca="1" si="20">+Y15+Y33+Y54+Y76</f>
        <v>4541</v>
      </c>
      <c r="Z10" s="279">
        <f t="shared" ca="1" si="20"/>
        <v>1458</v>
      </c>
      <c r="AA10" s="277">
        <f t="shared" ca="1" si="13"/>
        <v>32.107465316009687</v>
      </c>
      <c r="AB10" s="280"/>
    </row>
    <row r="11" spans="1:28" ht="24" customHeight="1">
      <c r="A11" s="281" t="s">
        <v>373</v>
      </c>
      <c r="B11" s="282"/>
      <c r="C11" s="283">
        <f t="shared" ref="C11:F11" ca="1" si="21">+C12+C13</f>
        <v>2747160</v>
      </c>
      <c r="D11" s="284">
        <f t="shared" ca="1" si="21"/>
        <v>0</v>
      </c>
      <c r="E11" s="284">
        <f t="shared" ca="1" si="21"/>
        <v>2747160</v>
      </c>
      <c r="F11" s="284">
        <f t="shared" ca="1" si="21"/>
        <v>273317.26</v>
      </c>
      <c r="G11" s="285">
        <f t="shared" ca="1" si="1"/>
        <v>9.9490841450807377</v>
      </c>
      <c r="H11" s="284">
        <f t="shared" ref="H11:I11" ca="1" si="22">+H12+H13</f>
        <v>120</v>
      </c>
      <c r="I11" s="284">
        <f t="shared" si="22"/>
        <v>120</v>
      </c>
      <c r="J11" s="285">
        <f t="shared" ca="1" si="3"/>
        <v>100</v>
      </c>
      <c r="K11" s="284">
        <f t="shared" ref="K11:L11" ca="1" si="23">+K12+K13</f>
        <v>0</v>
      </c>
      <c r="L11" s="284">
        <f t="shared" si="23"/>
        <v>0</v>
      </c>
      <c r="M11" s="285">
        <f t="shared" ca="1" si="5"/>
        <v>0</v>
      </c>
      <c r="N11" s="284">
        <f t="shared" ref="N11:Q11" si="24">+N12+N13</f>
        <v>0</v>
      </c>
      <c r="O11" s="284">
        <f t="shared" si="24"/>
        <v>0</v>
      </c>
      <c r="P11" s="284">
        <f t="shared" ca="1" si="24"/>
        <v>100</v>
      </c>
      <c r="Q11" s="284">
        <f t="shared" si="24"/>
        <v>0</v>
      </c>
      <c r="R11" s="285">
        <f t="shared" ca="1" si="7"/>
        <v>0</v>
      </c>
      <c r="S11" s="284">
        <f t="shared" ref="S11:T11" si="25">+S12+S13</f>
        <v>0</v>
      </c>
      <c r="T11" s="284">
        <f t="shared" si="25"/>
        <v>0</v>
      </c>
      <c r="U11" s="285">
        <f t="shared" si="9"/>
        <v>0</v>
      </c>
      <c r="V11" s="284">
        <f t="shared" ref="V11:W11" ca="1" si="26">+V12+V13</f>
        <v>0</v>
      </c>
      <c r="W11" s="284">
        <f t="shared" si="26"/>
        <v>0</v>
      </c>
      <c r="X11" s="285">
        <f t="shared" ca="1" si="11"/>
        <v>0</v>
      </c>
      <c r="Y11" s="284">
        <f t="shared" ref="Y11:Z11" ca="1" si="27">+Y12+Y13</f>
        <v>0</v>
      </c>
      <c r="Z11" s="284">
        <f t="shared" si="27"/>
        <v>0</v>
      </c>
      <c r="AA11" s="285">
        <f t="shared" ca="1" si="13"/>
        <v>0</v>
      </c>
      <c r="AB11" s="286"/>
    </row>
    <row r="12" spans="1:28" ht="24" hidden="1" customHeight="1">
      <c r="A12" s="281" t="s">
        <v>36</v>
      </c>
      <c r="B12" s="282"/>
      <c r="C12" s="283">
        <f t="shared" ref="C12:F12" ca="1" si="28">+C91</f>
        <v>2747160</v>
      </c>
      <c r="D12" s="284">
        <f t="shared" ca="1" si="28"/>
        <v>0</v>
      </c>
      <c r="E12" s="284">
        <f t="shared" ca="1" si="28"/>
        <v>2747160</v>
      </c>
      <c r="F12" s="284">
        <f t="shared" ca="1" si="28"/>
        <v>273317.26</v>
      </c>
      <c r="G12" s="285">
        <f t="shared" ca="1" si="1"/>
        <v>9.9490841450807377</v>
      </c>
      <c r="H12" s="284">
        <f t="shared" ref="H12:I12" ca="1" si="29">+H91</f>
        <v>120</v>
      </c>
      <c r="I12" s="284">
        <f t="shared" si="29"/>
        <v>120</v>
      </c>
      <c r="J12" s="285">
        <f t="shared" ca="1" si="3"/>
        <v>100</v>
      </c>
      <c r="K12" s="284">
        <f t="shared" ref="K12:L12" ca="1" si="30">+K91</f>
        <v>0</v>
      </c>
      <c r="L12" s="284">
        <f t="shared" si="30"/>
        <v>0</v>
      </c>
      <c r="M12" s="285">
        <f t="shared" ca="1" si="5"/>
        <v>0</v>
      </c>
      <c r="N12" s="284">
        <f t="shared" ref="N12:Q12" si="31">+N91</f>
        <v>0</v>
      </c>
      <c r="O12" s="284">
        <f t="shared" si="31"/>
        <v>0</v>
      </c>
      <c r="P12" s="284">
        <f t="shared" ca="1" si="31"/>
        <v>100</v>
      </c>
      <c r="Q12" s="284">
        <f t="shared" si="31"/>
        <v>0</v>
      </c>
      <c r="R12" s="285">
        <f t="shared" ca="1" si="7"/>
        <v>0</v>
      </c>
      <c r="S12" s="284">
        <f t="shared" ref="S12:T12" si="32">+S91</f>
        <v>0</v>
      </c>
      <c r="T12" s="284">
        <f t="shared" si="32"/>
        <v>0</v>
      </c>
      <c r="U12" s="285">
        <f t="shared" si="9"/>
        <v>0</v>
      </c>
      <c r="V12" s="284">
        <f t="shared" ref="V12:W12" ca="1" si="33">+V91</f>
        <v>0</v>
      </c>
      <c r="W12" s="284">
        <f t="shared" si="33"/>
        <v>0</v>
      </c>
      <c r="X12" s="285">
        <f t="shared" ca="1" si="11"/>
        <v>0</v>
      </c>
      <c r="Y12" s="284">
        <f t="shared" ref="Y12:Z12" ca="1" si="34">+Y91</f>
        <v>0</v>
      </c>
      <c r="Z12" s="284">
        <f t="shared" si="34"/>
        <v>0</v>
      </c>
      <c r="AA12" s="285">
        <f t="shared" ca="1" si="13"/>
        <v>0</v>
      </c>
      <c r="AB12" s="286"/>
    </row>
    <row r="13" spans="1:28" ht="24" hidden="1" customHeight="1">
      <c r="A13" s="281" t="s">
        <v>37</v>
      </c>
      <c r="B13" s="282"/>
      <c r="C13" s="283">
        <f t="shared" ref="C13:E13" ca="1" si="35">+C106</f>
        <v>0</v>
      </c>
      <c r="D13" s="284">
        <f t="shared" ca="1" si="35"/>
        <v>0</v>
      </c>
      <c r="E13" s="284">
        <f t="shared" ca="1" si="35"/>
        <v>0</v>
      </c>
      <c r="F13" s="284"/>
      <c r="G13" s="285">
        <f t="shared" ca="1" si="1"/>
        <v>0</v>
      </c>
      <c r="H13" s="284">
        <f t="shared" ref="H13:I13" ca="1" si="36">+H106</f>
        <v>0</v>
      </c>
      <c r="I13" s="284">
        <f t="shared" si="36"/>
        <v>0</v>
      </c>
      <c r="J13" s="285">
        <f t="shared" ca="1" si="3"/>
        <v>0</v>
      </c>
      <c r="K13" s="284">
        <f t="shared" ref="K13:L13" ca="1" si="37">+K106</f>
        <v>0</v>
      </c>
      <c r="L13" s="284">
        <f t="shared" si="37"/>
        <v>0</v>
      </c>
      <c r="M13" s="285">
        <f t="shared" ca="1" si="5"/>
        <v>0</v>
      </c>
      <c r="N13" s="284">
        <f t="shared" ref="N13:Q13" si="38">+N106</f>
        <v>0</v>
      </c>
      <c r="O13" s="284">
        <f t="shared" si="38"/>
        <v>0</v>
      </c>
      <c r="P13" s="284">
        <f t="shared" ca="1" si="38"/>
        <v>0</v>
      </c>
      <c r="Q13" s="284">
        <f t="shared" si="38"/>
        <v>0</v>
      </c>
      <c r="R13" s="285">
        <f t="shared" ca="1" si="7"/>
        <v>0</v>
      </c>
      <c r="S13" s="284">
        <f t="shared" ref="S13:T13" si="39">+S106</f>
        <v>0</v>
      </c>
      <c r="T13" s="284">
        <f t="shared" si="39"/>
        <v>0</v>
      </c>
      <c r="U13" s="285">
        <f t="shared" si="9"/>
        <v>0</v>
      </c>
      <c r="V13" s="284">
        <f t="shared" ref="V13:W13" ca="1" si="40">+V106</f>
        <v>0</v>
      </c>
      <c r="W13" s="284">
        <f t="shared" si="40"/>
        <v>0</v>
      </c>
      <c r="X13" s="285">
        <f t="shared" ca="1" si="11"/>
        <v>0</v>
      </c>
      <c r="Y13" s="284">
        <f t="shared" ref="Y13:Z13" ca="1" si="41">+Y106</f>
        <v>0</v>
      </c>
      <c r="Z13" s="284">
        <f t="shared" si="41"/>
        <v>0</v>
      </c>
      <c r="AA13" s="285">
        <f t="shared" ca="1" si="13"/>
        <v>0</v>
      </c>
      <c r="AB13" s="286"/>
    </row>
    <row r="14" spans="1:28" ht="24" hidden="1" customHeight="1">
      <c r="A14" s="287" t="s">
        <v>260</v>
      </c>
      <c r="B14" s="288"/>
      <c r="C14" s="289">
        <v>0</v>
      </c>
      <c r="D14" s="290">
        <v>0</v>
      </c>
      <c r="E14" s="290">
        <v>0</v>
      </c>
      <c r="F14" s="290"/>
      <c r="G14" s="291">
        <f t="shared" si="1"/>
        <v>0</v>
      </c>
      <c r="H14" s="290">
        <v>0</v>
      </c>
      <c r="I14" s="290">
        <v>0</v>
      </c>
      <c r="J14" s="291">
        <f t="shared" si="3"/>
        <v>0</v>
      </c>
      <c r="K14" s="290">
        <v>0</v>
      </c>
      <c r="L14" s="290">
        <v>0</v>
      </c>
      <c r="M14" s="291">
        <f t="shared" si="5"/>
        <v>0</v>
      </c>
      <c r="N14" s="290">
        <v>0</v>
      </c>
      <c r="O14" s="290">
        <v>0</v>
      </c>
      <c r="P14" s="290">
        <v>0</v>
      </c>
      <c r="Q14" s="290">
        <v>0</v>
      </c>
      <c r="R14" s="291">
        <f t="shared" si="7"/>
        <v>0</v>
      </c>
      <c r="S14" s="290">
        <v>0</v>
      </c>
      <c r="T14" s="290">
        <v>0</v>
      </c>
      <c r="U14" s="291">
        <f t="shared" si="9"/>
        <v>0</v>
      </c>
      <c r="V14" s="290">
        <v>0</v>
      </c>
      <c r="W14" s="290">
        <v>0</v>
      </c>
      <c r="X14" s="291">
        <f t="shared" si="11"/>
        <v>0</v>
      </c>
      <c r="Y14" s="290">
        <v>0</v>
      </c>
      <c r="Z14" s="290">
        <v>0</v>
      </c>
      <c r="AA14" s="291">
        <f t="shared" si="13"/>
        <v>0</v>
      </c>
      <c r="AB14" s="262"/>
    </row>
    <row r="15" spans="1:28" ht="21" customHeight="1">
      <c r="A15" s="799" t="s">
        <v>39</v>
      </c>
      <c r="B15" s="652"/>
      <c r="C15" s="292">
        <f t="shared" ref="C15:F15" ca="1" si="42">SUM(C16:C32)</f>
        <v>5304900</v>
      </c>
      <c r="D15" s="279">
        <f t="shared" ca="1" si="42"/>
        <v>0</v>
      </c>
      <c r="E15" s="279">
        <f t="shared" ca="1" si="42"/>
        <v>5304900</v>
      </c>
      <c r="F15" s="278">
        <f t="shared" ca="1" si="42"/>
        <v>2305807.8399999989</v>
      </c>
      <c r="G15" s="278">
        <f t="shared" ca="1" si="1"/>
        <v>43.465623103168745</v>
      </c>
      <c r="H15" s="279">
        <f t="shared" ref="H15:I15" ca="1" si="43">SUM(H16:H32)</f>
        <v>0</v>
      </c>
      <c r="I15" s="279">
        <f t="shared" si="43"/>
        <v>0</v>
      </c>
      <c r="J15" s="278">
        <f t="shared" ca="1" si="3"/>
        <v>0</v>
      </c>
      <c r="K15" s="279">
        <f t="shared" ref="K15:L15" ca="1" si="44">SUM(K16:K32)</f>
        <v>790</v>
      </c>
      <c r="L15" s="279">
        <f t="shared" ca="1" si="44"/>
        <v>790</v>
      </c>
      <c r="M15" s="278">
        <f t="shared" ca="1" si="5"/>
        <v>100</v>
      </c>
      <c r="N15" s="279">
        <f t="shared" ref="N15:Q15" ca="1" si="45">SUM(N16:N32)</f>
        <v>710</v>
      </c>
      <c r="O15" s="279">
        <f t="shared" ca="1" si="45"/>
        <v>695</v>
      </c>
      <c r="P15" s="279">
        <f t="shared" ca="1" si="45"/>
        <v>0</v>
      </c>
      <c r="Q15" s="279">
        <f t="shared" si="45"/>
        <v>0</v>
      </c>
      <c r="R15" s="278">
        <f t="shared" ca="1" si="7"/>
        <v>0</v>
      </c>
      <c r="S15" s="279">
        <f t="shared" ref="S15:T15" ca="1" si="46">SUM(S16:S32)</f>
        <v>1850</v>
      </c>
      <c r="T15" s="279">
        <f t="shared" ca="1" si="46"/>
        <v>1045</v>
      </c>
      <c r="U15" s="278">
        <f t="shared" ca="1" si="9"/>
        <v>56.486486486486484</v>
      </c>
      <c r="V15" s="279">
        <f t="shared" ref="V15:W15" ca="1" si="47">SUM(V16:V32)</f>
        <v>768</v>
      </c>
      <c r="W15" s="278">
        <f t="shared" ca="1" si="47"/>
        <v>452</v>
      </c>
      <c r="X15" s="278">
        <f t="shared" ca="1" si="11"/>
        <v>58.854166666666664</v>
      </c>
      <c r="Y15" s="279">
        <f t="shared" ref="Y15:Z15" ca="1" si="48">SUM(Y16:Y32)</f>
        <v>1082</v>
      </c>
      <c r="Z15" s="278">
        <f t="shared" ca="1" si="48"/>
        <v>593</v>
      </c>
      <c r="AA15" s="278">
        <f t="shared" ca="1" si="13"/>
        <v>54.80591497227357</v>
      </c>
      <c r="AB15" s="286"/>
    </row>
    <row r="16" spans="1:28" ht="21" customHeight="1">
      <c r="A16" s="293">
        <v>1</v>
      </c>
      <c r="B16" s="294" t="s">
        <v>40</v>
      </c>
      <c r="C16" s="295">
        <f t="shared" ref="C16:C32" ca="1" si="49">+D16+E16</f>
        <v>0</v>
      </c>
      <c r="D16" s="296">
        <f ca="1">IFERROR(__xludf.DUMMYFUNCTION("IMPORTRANGE(""https://docs.google.com/spreadsheets/d/1C3CXT74ZlgGe6_JY_1olB1XN4rF0dxEuIIF-xsYjHgg/edit?usp=sharing"",""งบกองทุน!D20"")"),0)</f>
        <v>0</v>
      </c>
      <c r="E16" s="296">
        <f ca="1">IFERROR(__xludf.DUMMYFUNCTION("IMPORTRANGE(""https://docs.google.com/spreadsheets/d/1C3CXT74ZlgGe6_JY_1olB1XN4rF0dxEuIIF-xsYjHgg/edit?usp=sharing"",""งบกองทุน!E20"")"),0)</f>
        <v>0</v>
      </c>
      <c r="F16" s="297">
        <f ca="1">IFERROR(__xludf.DUMMYFUNCTION("IMPORTRANGE(""https://docs.google.com/spreadsheets/d/11923uPwbBZFjjGgGUA6NLw09EwE0CqkOc4q9oUmW1yo/edit?usp=sharing"",""กำแพงเพชร!M244"")"),0)</f>
        <v>0</v>
      </c>
      <c r="G16" s="297">
        <f t="shared" ca="1" si="1"/>
        <v>0</v>
      </c>
      <c r="H16" s="296">
        <f ca="1">IFERROR(__xludf.DUMMYFUNCTION("IMPORTRANGE(""https://docs.google.com/spreadsheets/d/1C3CXT74ZlgGe6_JY_1olB1XN4rF0dxEuIIF-xsYjHgg/edit?usp=sharing"",""งบกองทุน!F20"")"),0)</f>
        <v>0</v>
      </c>
      <c r="I16" s="298">
        <v>0</v>
      </c>
      <c r="J16" s="297">
        <f t="shared" ca="1" si="3"/>
        <v>0</v>
      </c>
      <c r="K16" s="299">
        <f ca="1">IFERROR(__xludf.DUMMYFUNCTION("IMPORTRANGE(""https://docs.google.com/spreadsheets/d/1C3CXT74ZlgGe6_JY_1olB1XN4rF0dxEuIIF-xsYjHgg/edit?usp=sharing"",""งบกองทุน!H20"")"),0)</f>
        <v>0</v>
      </c>
      <c r="L16" s="296">
        <f t="shared" ref="L16:L32" ca="1" si="50">IF(N16&gt;=K16,N16,IF(O16&gt;=K16,O16,IF(N16+O16&gt;=K16,N16+O16,0)))</f>
        <v>0</v>
      </c>
      <c r="M16" s="297">
        <f t="shared" ca="1" si="5"/>
        <v>0</v>
      </c>
      <c r="N16" s="296">
        <f ca="1">IFERROR(__xludf.DUMMYFUNCTION("IMPORTRANGE(""https://docs.google.com/spreadsheets/d/11923uPwbBZFjjGgGUA6NLw09EwE0CqkOc4q9oUmW1yo/edit?usp=sharing"",""กำแพงเพชร!j265"")"),0)</f>
        <v>0</v>
      </c>
      <c r="O16" s="296">
        <f ca="1">IFERROR(__xludf.DUMMYFUNCTION("IMPORTRANGE(""https://docs.google.com/spreadsheets/d/11923uPwbBZFjjGgGUA6NLw09EwE0CqkOc4q9oUmW1yo/edit?usp=sharing"",""กำแพงเพชร!j267"")"),0)</f>
        <v>0</v>
      </c>
      <c r="P16" s="296">
        <f ca="1">IFERROR(__xludf.DUMMYFUNCTION("IMPORTRANGE(""https://docs.google.com/spreadsheets/d/1C3CXT74ZlgGe6_JY_1olB1XN4rF0dxEuIIF-xsYjHgg/edit?usp=sharing"",""งบกองทุน!M20"")"),0)</f>
        <v>0</v>
      </c>
      <c r="Q16" s="300">
        <v>0</v>
      </c>
      <c r="R16" s="297">
        <f t="shared" ca="1" si="7"/>
        <v>0</v>
      </c>
      <c r="S16" s="299">
        <f t="shared" ref="S16:S32" ca="1" si="51">+V16+Y16</f>
        <v>0</v>
      </c>
      <c r="T16" s="296">
        <f t="shared" ref="T16:T114" ca="1" si="52">SUM(W16,Z16)</f>
        <v>0</v>
      </c>
      <c r="U16" s="301">
        <f t="shared" ca="1" si="9"/>
        <v>0</v>
      </c>
      <c r="V16" s="299">
        <f ca="1">IFERROR(__xludf.DUMMYFUNCTION("IMPORTRANGE(""https://docs.google.com/spreadsheets/d/1C3CXT74ZlgGe6_JY_1olB1XN4rF0dxEuIIF-xsYjHgg/edit?usp=sharing"",""งบกองทุน!O20"")"),0)</f>
        <v>0</v>
      </c>
      <c r="W16" s="296">
        <f ca="1">IFERROR(__xludf.DUMMYFUNCTION("IMPORTRANGE(""https://docs.google.com/spreadsheets/d/11923uPwbBZFjjGgGUA6NLw09EwE0CqkOc4q9oUmW1yo/edit?usp=sharing"",""กำแพงเพชร!j271"")"),0)</f>
        <v>0</v>
      </c>
      <c r="X16" s="301">
        <f t="shared" ca="1" si="11"/>
        <v>0</v>
      </c>
      <c r="Y16" s="299">
        <f ca="1">IFERROR(__xludf.DUMMYFUNCTION("IMPORTRANGE(""https://docs.google.com/spreadsheets/d/1C3CXT74ZlgGe6_JY_1olB1XN4rF0dxEuIIF-xsYjHgg/edit?usp=sharing"",""งบกองทุน!P20"")"),0)</f>
        <v>0</v>
      </c>
      <c r="Z16" s="296">
        <f ca="1">IFERROR(__xludf.DUMMYFUNCTION("IMPORTRANGE(""https://docs.google.com/spreadsheets/d/11923uPwbBZFjjGgGUA6NLw09EwE0CqkOc4q9oUmW1yo/edit?usp=sharing"",""กำแพงเพชร!j272"")"),0)</f>
        <v>0</v>
      </c>
      <c r="AA16" s="301">
        <f t="shared" ca="1" si="13"/>
        <v>0</v>
      </c>
      <c r="AB16" s="302"/>
    </row>
    <row r="17" spans="1:28" ht="24" customHeight="1">
      <c r="A17" s="303">
        <v>2</v>
      </c>
      <c r="B17" s="304" t="s">
        <v>41</v>
      </c>
      <c r="C17" s="305">
        <f t="shared" ca="1" si="49"/>
        <v>532200</v>
      </c>
      <c r="D17" s="306">
        <f ca="1">IFERROR(__xludf.DUMMYFUNCTION("IMPORTRANGE(""https://docs.google.com/spreadsheets/d/1C3CXT74ZlgGe6_JY_1olB1XN4rF0dxEuIIF-xsYjHgg/edit?usp=sharing"",""งบกองทุน!D21"")"),0)</f>
        <v>0</v>
      </c>
      <c r="E17" s="306">
        <f ca="1">IFERROR(__xludf.DUMMYFUNCTION("IMPORTRANGE(""https://docs.google.com/spreadsheets/d/1C3CXT74ZlgGe6_JY_1olB1XN4rF0dxEuIIF-xsYjHgg/edit?usp=sharing"",""งบกองทุน!E21"")"),532200)</f>
        <v>532200</v>
      </c>
      <c r="F17" s="307">
        <f ca="1">IFERROR(__xludf.DUMMYFUNCTION("IMPORTRANGE(""https://docs.google.com/spreadsheets/d/11923uPwbBZFjjGgGUA6NLw09EwE0CqkOc4q9oUmW1yo/edit?usp=sharing"",""เชียงราย!M244"")"),50485)</f>
        <v>50485</v>
      </c>
      <c r="G17" s="307">
        <f t="shared" ca="1" si="1"/>
        <v>9.4860954528372794</v>
      </c>
      <c r="H17" s="306">
        <f ca="1">IFERROR(__xludf.DUMMYFUNCTION("IMPORTRANGE(""https://docs.google.com/spreadsheets/d/1C3CXT74ZlgGe6_JY_1olB1XN4rF0dxEuIIF-xsYjHgg/edit?usp=sharing"",""งบกองทุน!F21"")"),0)</f>
        <v>0</v>
      </c>
      <c r="I17" s="307">
        <v>0</v>
      </c>
      <c r="J17" s="307">
        <f t="shared" ca="1" si="3"/>
        <v>0</v>
      </c>
      <c r="K17" s="308">
        <f ca="1">IFERROR(__xludf.DUMMYFUNCTION("IMPORTRANGE(""https://docs.google.com/spreadsheets/d/1C3CXT74ZlgGe6_JY_1olB1XN4rF0dxEuIIF-xsYjHgg/edit?usp=sharing"",""งบกองทุน!H21"")"),100)</f>
        <v>100</v>
      </c>
      <c r="L17" s="306">
        <f t="shared" ca="1" si="50"/>
        <v>100</v>
      </c>
      <c r="M17" s="307">
        <f t="shared" ca="1" si="5"/>
        <v>100</v>
      </c>
      <c r="N17" s="306">
        <f ca="1">IFERROR(__xludf.DUMMYFUNCTION("IMPORTRANGE(""https://docs.google.com/spreadsheets/d/11923uPwbBZFjjGgGUA6NLw09EwE0CqkOc4q9oUmW1yo/edit?usp=sharing"",""เชียงราย!j265"")"),100)</f>
        <v>100</v>
      </c>
      <c r="O17" s="306">
        <f ca="1">IFERROR(__xludf.DUMMYFUNCTION("IMPORTRANGE(""https://docs.google.com/spreadsheets/d/11923uPwbBZFjjGgGUA6NLw09EwE0CqkOc4q9oUmW1yo/edit?usp=sharing"",""เชียงราย!j267"")"),100)</f>
        <v>100</v>
      </c>
      <c r="P17" s="306">
        <f ca="1">IFERROR(__xludf.DUMMYFUNCTION("IMPORTRANGE(""https://docs.google.com/spreadsheets/d/1C3CXT74ZlgGe6_JY_1olB1XN4rF0dxEuIIF-xsYjHgg/edit?usp=sharing"",""งบกองทุน!M21"")"),0)</f>
        <v>0</v>
      </c>
      <c r="Q17" s="306">
        <v>0</v>
      </c>
      <c r="R17" s="307">
        <f t="shared" ca="1" si="7"/>
        <v>0</v>
      </c>
      <c r="S17" s="308">
        <f t="shared" ca="1" si="51"/>
        <v>200</v>
      </c>
      <c r="T17" s="306">
        <f t="shared" ca="1" si="52"/>
        <v>0</v>
      </c>
      <c r="U17" s="309">
        <f t="shared" ca="1" si="9"/>
        <v>0</v>
      </c>
      <c r="V17" s="308">
        <f ca="1">IFERROR(__xludf.DUMMYFUNCTION("IMPORTRANGE(""https://docs.google.com/spreadsheets/d/1C3CXT74ZlgGe6_JY_1olB1XN4rF0dxEuIIF-xsYjHgg/edit?usp=sharing"",""งบกองทุน!O21"")"),100)</f>
        <v>100</v>
      </c>
      <c r="W17" s="306">
        <f ca="1">IFERROR(__xludf.DUMMYFUNCTION("IMPORTRANGE(""https://docs.google.com/spreadsheets/d/11923uPwbBZFjjGgGUA6NLw09EwE0CqkOc4q9oUmW1yo/edit?usp=sharing"",""เชียงราย!j271"")"),0)</f>
        <v>0</v>
      </c>
      <c r="X17" s="309">
        <f t="shared" ca="1" si="11"/>
        <v>0</v>
      </c>
      <c r="Y17" s="308">
        <f ca="1">IFERROR(__xludf.DUMMYFUNCTION("IMPORTRANGE(""https://docs.google.com/spreadsheets/d/1C3CXT74ZlgGe6_JY_1olB1XN4rF0dxEuIIF-xsYjHgg/edit?usp=sharing"",""งบกองทุน!P21"")"),100)</f>
        <v>100</v>
      </c>
      <c r="Z17" s="306">
        <f ca="1">IFERROR(__xludf.DUMMYFUNCTION("IMPORTRANGE(""https://docs.google.com/spreadsheets/d/11923uPwbBZFjjGgGUA6NLw09EwE0CqkOc4q9oUmW1yo/edit?usp=sharing"",""เชียงราย!j272"")"),0)</f>
        <v>0</v>
      </c>
      <c r="AA17" s="309">
        <f t="shared" ca="1" si="13"/>
        <v>0</v>
      </c>
      <c r="AB17" s="302"/>
    </row>
    <row r="18" spans="1:28" ht="21" customHeight="1">
      <c r="A18" s="303">
        <v>3</v>
      </c>
      <c r="B18" s="304" t="s">
        <v>42</v>
      </c>
      <c r="C18" s="305">
        <f t="shared" ca="1" si="49"/>
        <v>317760</v>
      </c>
      <c r="D18" s="306">
        <f ca="1">IFERROR(__xludf.DUMMYFUNCTION("IMPORTRANGE(""https://docs.google.com/spreadsheets/d/1C3CXT74ZlgGe6_JY_1olB1XN4rF0dxEuIIF-xsYjHgg/edit?usp=sharing"",""งบกองทุน!D22"")"),0)</f>
        <v>0</v>
      </c>
      <c r="E18" s="306">
        <f ca="1">IFERROR(__xludf.DUMMYFUNCTION("IMPORTRANGE(""https://docs.google.com/spreadsheets/d/1C3CXT74ZlgGe6_JY_1olB1XN4rF0dxEuIIF-xsYjHgg/edit?usp=sharing"",""งบกองทุน!E22"")"),317760)</f>
        <v>317760</v>
      </c>
      <c r="F18" s="307">
        <f ca="1">IFERROR(__xludf.DUMMYFUNCTION("IMPORTRANGE(""https://docs.google.com/spreadsheets/d/11923uPwbBZFjjGgGUA6NLw09EwE0CqkOc4q9oUmW1yo/edit?usp=sharing"",""เชียงใหม่!M244"")"),210792.58)</f>
        <v>210792.58</v>
      </c>
      <c r="G18" s="307">
        <f t="shared" ca="1" si="1"/>
        <v>66.337040533736157</v>
      </c>
      <c r="H18" s="306">
        <f ca="1">IFERROR(__xludf.DUMMYFUNCTION("IMPORTRANGE(""https://docs.google.com/spreadsheets/d/1C3CXT74ZlgGe6_JY_1olB1XN4rF0dxEuIIF-xsYjHgg/edit?usp=sharing"",""งบกองทุน!F22"")"),0)</f>
        <v>0</v>
      </c>
      <c r="I18" s="307">
        <v>0</v>
      </c>
      <c r="J18" s="307">
        <f t="shared" ca="1" si="3"/>
        <v>0</v>
      </c>
      <c r="K18" s="308">
        <f ca="1">IFERROR(__xludf.DUMMYFUNCTION("IMPORTRANGE(""https://docs.google.com/spreadsheets/d/1C3CXT74ZlgGe6_JY_1olB1XN4rF0dxEuIIF-xsYjHgg/edit?usp=sharing"",""งบกองทุน!H22"")"),40)</f>
        <v>40</v>
      </c>
      <c r="L18" s="306">
        <f t="shared" ca="1" si="50"/>
        <v>40</v>
      </c>
      <c r="M18" s="307">
        <f t="shared" ca="1" si="5"/>
        <v>100</v>
      </c>
      <c r="N18" s="306">
        <f ca="1">IFERROR(__xludf.DUMMYFUNCTION("IMPORTRANGE(""https://docs.google.com/spreadsheets/d/11923uPwbBZFjjGgGUA6NLw09EwE0CqkOc4q9oUmW1yo/edit?usp=sharing"",""เชียงใหม่!j265"")"),40)</f>
        <v>40</v>
      </c>
      <c r="O18" s="306">
        <f ca="1">IFERROR(__xludf.DUMMYFUNCTION("IMPORTRANGE(""https://docs.google.com/spreadsheets/d/11923uPwbBZFjjGgGUA6NLw09EwE0CqkOc4q9oUmW1yo/edit?usp=sharing"",""เชียงใหม่!j267"")"),40)</f>
        <v>40</v>
      </c>
      <c r="P18" s="306">
        <f ca="1">IFERROR(__xludf.DUMMYFUNCTION("IMPORTRANGE(""https://docs.google.com/spreadsheets/d/1C3CXT74ZlgGe6_JY_1olB1XN4rF0dxEuIIF-xsYjHgg/edit?usp=sharing"",""งบกองทุน!M22"")"),0)</f>
        <v>0</v>
      </c>
      <c r="Q18" s="306">
        <v>0</v>
      </c>
      <c r="R18" s="307">
        <f t="shared" ca="1" si="7"/>
        <v>0</v>
      </c>
      <c r="S18" s="308">
        <f t="shared" ca="1" si="51"/>
        <v>100</v>
      </c>
      <c r="T18" s="306">
        <f t="shared" ca="1" si="52"/>
        <v>100</v>
      </c>
      <c r="U18" s="309">
        <f t="shared" ca="1" si="9"/>
        <v>100</v>
      </c>
      <c r="V18" s="308">
        <f ca="1">IFERROR(__xludf.DUMMYFUNCTION("IMPORTRANGE(""https://docs.google.com/spreadsheets/d/1C3CXT74ZlgGe6_JY_1olB1XN4rF0dxEuIIF-xsYjHgg/edit?usp=sharing"",""งบกองทุน!O22"")"),32)</f>
        <v>32</v>
      </c>
      <c r="W18" s="306">
        <f ca="1">IFERROR(__xludf.DUMMYFUNCTION("IMPORTRANGE(""https://docs.google.com/spreadsheets/d/11923uPwbBZFjjGgGUA6NLw09EwE0CqkOc4q9oUmW1yo/edit?usp=sharing"",""เชียงใหม่!j271"")"),32)</f>
        <v>32</v>
      </c>
      <c r="X18" s="309">
        <f t="shared" ca="1" si="11"/>
        <v>100</v>
      </c>
      <c r="Y18" s="308">
        <f ca="1">IFERROR(__xludf.DUMMYFUNCTION("IMPORTRANGE(""https://docs.google.com/spreadsheets/d/1C3CXT74ZlgGe6_JY_1olB1XN4rF0dxEuIIF-xsYjHgg/edit?usp=sharing"",""งบกองทุน!P22"")"),68)</f>
        <v>68</v>
      </c>
      <c r="Z18" s="306">
        <f ca="1">IFERROR(__xludf.DUMMYFUNCTION("IMPORTRANGE(""https://docs.google.com/spreadsheets/d/11923uPwbBZFjjGgGUA6NLw09EwE0CqkOc4q9oUmW1yo/edit?usp=sharing"",""เชียงใหม่!j272"")"),68)</f>
        <v>68</v>
      </c>
      <c r="AA18" s="309">
        <f t="shared" ca="1" si="13"/>
        <v>100</v>
      </c>
      <c r="AB18" s="302"/>
    </row>
    <row r="19" spans="1:28" ht="24" customHeight="1">
      <c r="A19" s="303">
        <v>4</v>
      </c>
      <c r="B19" s="304" t="s">
        <v>43</v>
      </c>
      <c r="C19" s="305">
        <f t="shared" ca="1" si="49"/>
        <v>0</v>
      </c>
      <c r="D19" s="306">
        <f ca="1">IFERROR(__xludf.DUMMYFUNCTION("IMPORTRANGE(""https://docs.google.com/spreadsheets/d/1C3CXT74ZlgGe6_JY_1olB1XN4rF0dxEuIIF-xsYjHgg/edit?usp=sharing"",""งบกองทุน!D23"")"),0)</f>
        <v>0</v>
      </c>
      <c r="E19" s="306">
        <f ca="1">IFERROR(__xludf.DUMMYFUNCTION("IMPORTRANGE(""https://docs.google.com/spreadsheets/d/1C3CXT74ZlgGe6_JY_1olB1XN4rF0dxEuIIF-xsYjHgg/edit?usp=sharing"",""งบกองทุน!E23"")"),0)</f>
        <v>0</v>
      </c>
      <c r="F19" s="307">
        <f ca="1">IFERROR(__xludf.DUMMYFUNCTION("IMPORTRANGE(""https://docs.google.com/spreadsheets/d/11923uPwbBZFjjGgGUA6NLw09EwE0CqkOc4q9oUmW1yo/edit?usp=sharing"",""ตาก!M244"")"),0)</f>
        <v>0</v>
      </c>
      <c r="G19" s="307">
        <f t="shared" ca="1" si="1"/>
        <v>0</v>
      </c>
      <c r="H19" s="306">
        <f ca="1">IFERROR(__xludf.DUMMYFUNCTION("IMPORTRANGE(""https://docs.google.com/spreadsheets/d/1C3CXT74ZlgGe6_JY_1olB1XN4rF0dxEuIIF-xsYjHgg/edit?usp=sharing"",""งบกองทุน!F23"")"),0)</f>
        <v>0</v>
      </c>
      <c r="I19" s="307">
        <v>0</v>
      </c>
      <c r="J19" s="307">
        <f t="shared" ca="1" si="3"/>
        <v>0</v>
      </c>
      <c r="K19" s="308">
        <f ca="1">IFERROR(__xludf.DUMMYFUNCTION("IMPORTRANGE(""https://docs.google.com/spreadsheets/d/1C3CXT74ZlgGe6_JY_1olB1XN4rF0dxEuIIF-xsYjHgg/edit?usp=sharing"",""งบกองทุน!H23"")"),0)</f>
        <v>0</v>
      </c>
      <c r="L19" s="306">
        <f t="shared" ca="1" si="50"/>
        <v>0</v>
      </c>
      <c r="M19" s="307">
        <f t="shared" ca="1" si="5"/>
        <v>0</v>
      </c>
      <c r="N19" s="306">
        <f ca="1">IFERROR(__xludf.DUMMYFUNCTION("IMPORTRANGE(""https://docs.google.com/spreadsheets/d/11923uPwbBZFjjGgGUA6NLw09EwE0CqkOc4q9oUmW1yo/edit?usp=sharing"",""ตาก!j265"")"),0)</f>
        <v>0</v>
      </c>
      <c r="O19" s="306">
        <f ca="1">IFERROR(__xludf.DUMMYFUNCTION("IMPORTRANGE(""https://docs.google.com/spreadsheets/d/11923uPwbBZFjjGgGUA6NLw09EwE0CqkOc4q9oUmW1yo/edit?usp=sharing"",""ตาก!j267"")"),0)</f>
        <v>0</v>
      </c>
      <c r="P19" s="306">
        <f ca="1">IFERROR(__xludf.DUMMYFUNCTION("IMPORTRANGE(""https://docs.google.com/spreadsheets/d/1C3CXT74ZlgGe6_JY_1olB1XN4rF0dxEuIIF-xsYjHgg/edit?usp=sharing"",""งบกองทุน!M23"")"),0)</f>
        <v>0</v>
      </c>
      <c r="Q19" s="306">
        <v>0</v>
      </c>
      <c r="R19" s="307">
        <f t="shared" ca="1" si="7"/>
        <v>0</v>
      </c>
      <c r="S19" s="308">
        <f t="shared" ca="1" si="51"/>
        <v>0</v>
      </c>
      <c r="T19" s="306">
        <f t="shared" ca="1" si="52"/>
        <v>0</v>
      </c>
      <c r="U19" s="309">
        <f t="shared" ca="1" si="9"/>
        <v>0</v>
      </c>
      <c r="V19" s="308">
        <f ca="1">IFERROR(__xludf.DUMMYFUNCTION("IMPORTRANGE(""https://docs.google.com/spreadsheets/d/1C3CXT74ZlgGe6_JY_1olB1XN4rF0dxEuIIF-xsYjHgg/edit?usp=sharing"",""งบกองทุน!O23"")"),0)</f>
        <v>0</v>
      </c>
      <c r="W19" s="306">
        <f ca="1">IFERROR(__xludf.DUMMYFUNCTION("IMPORTRANGE(""https://docs.google.com/spreadsheets/d/11923uPwbBZFjjGgGUA6NLw09EwE0CqkOc4q9oUmW1yo/edit?usp=sharing"",""ตาก!j271"")"),0)</f>
        <v>0</v>
      </c>
      <c r="X19" s="309">
        <f t="shared" ca="1" si="11"/>
        <v>0</v>
      </c>
      <c r="Y19" s="308">
        <f ca="1">IFERROR(__xludf.DUMMYFUNCTION("IMPORTRANGE(""https://docs.google.com/spreadsheets/d/1C3CXT74ZlgGe6_JY_1olB1XN4rF0dxEuIIF-xsYjHgg/edit?usp=sharing"",""งบกองทุน!P23"")"),0)</f>
        <v>0</v>
      </c>
      <c r="Z19" s="306">
        <f ca="1">IFERROR(__xludf.DUMMYFUNCTION("IMPORTRANGE(""https://docs.google.com/spreadsheets/d/11923uPwbBZFjjGgGUA6NLw09EwE0CqkOc4q9oUmW1yo/edit?usp=sharing"",""ตาก!j272"")"),0)</f>
        <v>0</v>
      </c>
      <c r="AA19" s="309">
        <f t="shared" ca="1" si="13"/>
        <v>0</v>
      </c>
      <c r="AB19" s="302"/>
    </row>
    <row r="20" spans="1:28" ht="21" customHeight="1">
      <c r="A20" s="303">
        <v>5</v>
      </c>
      <c r="B20" s="304" t="s">
        <v>44</v>
      </c>
      <c r="C20" s="305">
        <f t="shared" ca="1" si="49"/>
        <v>354030</v>
      </c>
      <c r="D20" s="306">
        <f ca="1">IFERROR(__xludf.DUMMYFUNCTION("IMPORTRANGE(""https://docs.google.com/spreadsheets/d/1C3CXT74ZlgGe6_JY_1olB1XN4rF0dxEuIIF-xsYjHgg/edit?usp=sharing"",""งบกองทุน!D24"")"),0)</f>
        <v>0</v>
      </c>
      <c r="E20" s="306">
        <f ca="1">IFERROR(__xludf.DUMMYFUNCTION("IMPORTRANGE(""https://docs.google.com/spreadsheets/d/1C3CXT74ZlgGe6_JY_1olB1XN4rF0dxEuIIF-xsYjHgg/edit?usp=sharing"",""งบกองทุน!E24"")"),354030)</f>
        <v>354030</v>
      </c>
      <c r="F20" s="307">
        <f ca="1">IFERROR(__xludf.DUMMYFUNCTION("IMPORTRANGE(""https://docs.google.com/spreadsheets/d/11923uPwbBZFjjGgGUA6NLw09EwE0CqkOc4q9oUmW1yo/edit?usp=sharing"",""นครสวรรค์!M244"")"),156018)</f>
        <v>156018</v>
      </c>
      <c r="G20" s="307">
        <f t="shared" ca="1" si="1"/>
        <v>44.069146682484536</v>
      </c>
      <c r="H20" s="306">
        <f ca="1">IFERROR(__xludf.DUMMYFUNCTION("IMPORTRANGE(""https://docs.google.com/spreadsheets/d/1C3CXT74ZlgGe6_JY_1olB1XN4rF0dxEuIIF-xsYjHgg/edit?usp=sharing"",""งบกองทุน!F24"")"),0)</f>
        <v>0</v>
      </c>
      <c r="I20" s="307">
        <v>0</v>
      </c>
      <c r="J20" s="307">
        <f t="shared" ca="1" si="3"/>
        <v>0</v>
      </c>
      <c r="K20" s="308">
        <f ca="1">IFERROR(__xludf.DUMMYFUNCTION("IMPORTRANGE(""https://docs.google.com/spreadsheets/d/1C3CXT74ZlgGe6_JY_1olB1XN4rF0dxEuIIF-xsYjHgg/edit?usp=sharing"",""งบกองทุน!H24"")"),55)</f>
        <v>55</v>
      </c>
      <c r="L20" s="306">
        <f t="shared" ca="1" si="50"/>
        <v>55</v>
      </c>
      <c r="M20" s="307">
        <f t="shared" ca="1" si="5"/>
        <v>100</v>
      </c>
      <c r="N20" s="306">
        <f ca="1">IFERROR(__xludf.DUMMYFUNCTION("IMPORTRANGE(""https://docs.google.com/spreadsheets/d/11923uPwbBZFjjGgGUA6NLw09EwE0CqkOc4q9oUmW1yo/edit?usp=sharing"",""นครสวรรค์!j265"")"),55)</f>
        <v>55</v>
      </c>
      <c r="O20" s="306">
        <f ca="1">IFERROR(__xludf.DUMMYFUNCTION("IMPORTRANGE(""https://docs.google.com/spreadsheets/d/11923uPwbBZFjjGgGUA6NLw09EwE0CqkOc4q9oUmW1yo/edit?usp=sharing"",""นครสวรรค์!j267"")"),55)</f>
        <v>55</v>
      </c>
      <c r="P20" s="306">
        <f ca="1">IFERROR(__xludf.DUMMYFUNCTION("IMPORTRANGE(""https://docs.google.com/spreadsheets/d/1C3CXT74ZlgGe6_JY_1olB1XN4rF0dxEuIIF-xsYjHgg/edit?usp=sharing"",""งบกองทุน!M24"")"),0)</f>
        <v>0</v>
      </c>
      <c r="Q20" s="306">
        <v>0</v>
      </c>
      <c r="R20" s="307">
        <f t="shared" ca="1" si="7"/>
        <v>0</v>
      </c>
      <c r="S20" s="308">
        <f t="shared" ca="1" si="51"/>
        <v>110</v>
      </c>
      <c r="T20" s="306">
        <f t="shared" ca="1" si="52"/>
        <v>40</v>
      </c>
      <c r="U20" s="309">
        <f t="shared" ca="1" si="9"/>
        <v>36.363636363636367</v>
      </c>
      <c r="V20" s="308">
        <f ca="1">IFERROR(__xludf.DUMMYFUNCTION("IMPORTRANGE(""https://docs.google.com/spreadsheets/d/1C3CXT74ZlgGe6_JY_1olB1XN4rF0dxEuIIF-xsYjHgg/edit?usp=sharing"",""งบกองทุน!O24"")"),40)</f>
        <v>40</v>
      </c>
      <c r="W20" s="306">
        <f ca="1">IFERROR(__xludf.DUMMYFUNCTION("IMPORTRANGE(""https://docs.google.com/spreadsheets/d/11923uPwbBZFjjGgGUA6NLw09EwE0CqkOc4q9oUmW1yo/edit?usp=sharing"",""นครสวรรค์!j271"")"),40)</f>
        <v>40</v>
      </c>
      <c r="X20" s="309">
        <f t="shared" ca="1" si="11"/>
        <v>100</v>
      </c>
      <c r="Y20" s="308">
        <f ca="1">IFERROR(__xludf.DUMMYFUNCTION("IMPORTRANGE(""https://docs.google.com/spreadsheets/d/1C3CXT74ZlgGe6_JY_1olB1XN4rF0dxEuIIF-xsYjHgg/edit?usp=sharing"",""งบกองทุน!P24"")"),70)</f>
        <v>70</v>
      </c>
      <c r="Z20" s="306">
        <f ca="1">IFERROR(__xludf.DUMMYFUNCTION("IMPORTRANGE(""https://docs.google.com/spreadsheets/d/11923uPwbBZFjjGgGUA6NLw09EwE0CqkOc4q9oUmW1yo/edit?usp=sharing"",""นครสวรรค์!j272"")"),0)</f>
        <v>0</v>
      </c>
      <c r="AA20" s="309">
        <f t="shared" ca="1" si="13"/>
        <v>0</v>
      </c>
      <c r="AB20" s="302"/>
    </row>
    <row r="21" spans="1:28" ht="21" customHeight="1">
      <c r="A21" s="303">
        <v>6</v>
      </c>
      <c r="B21" s="304" t="s">
        <v>45</v>
      </c>
      <c r="C21" s="305">
        <f t="shared" ca="1" si="49"/>
        <v>346610</v>
      </c>
      <c r="D21" s="306">
        <f ca="1">IFERROR(__xludf.DUMMYFUNCTION("IMPORTRANGE(""https://docs.google.com/spreadsheets/d/1C3CXT74ZlgGe6_JY_1olB1XN4rF0dxEuIIF-xsYjHgg/edit?usp=sharing"",""งบกองทุน!D25"")"),0)</f>
        <v>0</v>
      </c>
      <c r="E21" s="306">
        <f ca="1">IFERROR(__xludf.DUMMYFUNCTION("IMPORTRANGE(""https://docs.google.com/spreadsheets/d/1C3CXT74ZlgGe6_JY_1olB1XN4rF0dxEuIIF-xsYjHgg/edit?usp=sharing"",""งบกองทุน!E25"")"),346610)</f>
        <v>346610</v>
      </c>
      <c r="F21" s="307">
        <f ca="1">IFERROR(__xludf.DUMMYFUNCTION("IMPORTRANGE(""https://docs.google.com/spreadsheets/d/11923uPwbBZFjjGgGUA6NLw09EwE0CqkOc4q9oUmW1yo/edit?usp=sharing"",""น่าน!M244"")"),117529)</f>
        <v>117529</v>
      </c>
      <c r="G21" s="307">
        <f t="shared" ca="1" si="1"/>
        <v>33.908138830385738</v>
      </c>
      <c r="H21" s="306">
        <f ca="1">IFERROR(__xludf.DUMMYFUNCTION("IMPORTRANGE(""https://docs.google.com/spreadsheets/d/1C3CXT74ZlgGe6_JY_1olB1XN4rF0dxEuIIF-xsYjHgg/edit?usp=sharing"",""งบกองทุน!F25"")"),0)</f>
        <v>0</v>
      </c>
      <c r="I21" s="307">
        <v>0</v>
      </c>
      <c r="J21" s="307">
        <f t="shared" ca="1" si="3"/>
        <v>0</v>
      </c>
      <c r="K21" s="308">
        <f ca="1">IFERROR(__xludf.DUMMYFUNCTION("IMPORTRANGE(""https://docs.google.com/spreadsheets/d/1C3CXT74ZlgGe6_JY_1olB1XN4rF0dxEuIIF-xsYjHgg/edit?usp=sharing"",""งบกองทุน!H25"")"),45)</f>
        <v>45</v>
      </c>
      <c r="L21" s="306">
        <f t="shared" ca="1" si="50"/>
        <v>45</v>
      </c>
      <c r="M21" s="307">
        <f t="shared" ca="1" si="5"/>
        <v>100</v>
      </c>
      <c r="N21" s="306">
        <f ca="1">IFERROR(__xludf.DUMMYFUNCTION("IMPORTRANGE(""https://docs.google.com/spreadsheets/d/11923uPwbBZFjjGgGUA6NLw09EwE0CqkOc4q9oUmW1yo/edit?usp=sharing"",""น่าน!j265"")"),45)</f>
        <v>45</v>
      </c>
      <c r="O21" s="306">
        <f ca="1">IFERROR(__xludf.DUMMYFUNCTION("IMPORTRANGE(""https://docs.google.com/spreadsheets/d/11923uPwbBZFjjGgGUA6NLw09EwE0CqkOc4q9oUmW1yo/edit?usp=sharing"",""น่าน!j267"")"),45)</f>
        <v>45</v>
      </c>
      <c r="P21" s="306">
        <f ca="1">IFERROR(__xludf.DUMMYFUNCTION("IMPORTRANGE(""https://docs.google.com/spreadsheets/d/1C3CXT74ZlgGe6_JY_1olB1XN4rF0dxEuIIF-xsYjHgg/edit?usp=sharing"",""งบกองทุน!M25"")"),0)</f>
        <v>0</v>
      </c>
      <c r="Q21" s="306">
        <v>0</v>
      </c>
      <c r="R21" s="307">
        <f t="shared" ca="1" si="7"/>
        <v>0</v>
      </c>
      <c r="S21" s="308">
        <f t="shared" ca="1" si="51"/>
        <v>120</v>
      </c>
      <c r="T21" s="306">
        <f t="shared" ca="1" si="52"/>
        <v>0</v>
      </c>
      <c r="U21" s="309">
        <f t="shared" ca="1" si="9"/>
        <v>0</v>
      </c>
      <c r="V21" s="308">
        <f ca="1">IFERROR(__xludf.DUMMYFUNCTION("IMPORTRANGE(""https://docs.google.com/spreadsheets/d/1C3CXT74ZlgGe6_JY_1olB1XN4rF0dxEuIIF-xsYjHgg/edit?usp=sharing"",""งบกองทุน!O25"")"),60)</f>
        <v>60</v>
      </c>
      <c r="W21" s="306">
        <f ca="1">IFERROR(__xludf.DUMMYFUNCTION("IMPORTRANGE(""https://docs.google.com/spreadsheets/d/11923uPwbBZFjjGgGUA6NLw09EwE0CqkOc4q9oUmW1yo/edit?usp=sharing"",""น่าน!j271"")"),0)</f>
        <v>0</v>
      </c>
      <c r="X21" s="309">
        <f t="shared" ca="1" si="11"/>
        <v>0</v>
      </c>
      <c r="Y21" s="308">
        <f ca="1">IFERROR(__xludf.DUMMYFUNCTION("IMPORTRANGE(""https://docs.google.com/spreadsheets/d/1C3CXT74ZlgGe6_JY_1olB1XN4rF0dxEuIIF-xsYjHgg/edit?usp=sharing"",""งบกองทุน!P25"")"),60)</f>
        <v>60</v>
      </c>
      <c r="Z21" s="306">
        <f ca="1">IFERROR(__xludf.DUMMYFUNCTION("IMPORTRANGE(""https://docs.google.com/spreadsheets/d/11923uPwbBZFjjGgGUA6NLw09EwE0CqkOc4q9oUmW1yo/edit?usp=sharing"",""น่าน!j272"")"),0)</f>
        <v>0</v>
      </c>
      <c r="AA21" s="309">
        <f t="shared" ca="1" si="13"/>
        <v>0</v>
      </c>
      <c r="AB21" s="302"/>
    </row>
    <row r="22" spans="1:28" ht="21" customHeight="1">
      <c r="A22" s="303">
        <v>7</v>
      </c>
      <c r="B22" s="304" t="s">
        <v>46</v>
      </c>
      <c r="C22" s="305">
        <f t="shared" ca="1" si="49"/>
        <v>363980</v>
      </c>
      <c r="D22" s="306">
        <f ca="1">IFERROR(__xludf.DUMMYFUNCTION("IMPORTRANGE(""https://docs.google.com/spreadsheets/d/1C3CXT74ZlgGe6_JY_1olB1XN4rF0dxEuIIF-xsYjHgg/edit?usp=sharing"",""งบกองทุน!D26"")"),0)</f>
        <v>0</v>
      </c>
      <c r="E22" s="306">
        <f ca="1">IFERROR(__xludf.DUMMYFUNCTION("IMPORTRANGE(""https://docs.google.com/spreadsheets/d/1C3CXT74ZlgGe6_JY_1olB1XN4rF0dxEuIIF-xsYjHgg/edit?usp=sharing"",""งบกองทุน!E26"")"),363980)</f>
        <v>363980</v>
      </c>
      <c r="F22" s="307">
        <f ca="1">IFERROR(__xludf.DUMMYFUNCTION("IMPORTRANGE(""https://docs.google.com/spreadsheets/d/11923uPwbBZFjjGgGUA6NLw09EwE0CqkOc4q9oUmW1yo/edit?usp=sharing"",""พะเยา!M244"")"),107742.739999999)</f>
        <v>107742.739999999</v>
      </c>
      <c r="G22" s="307">
        <f t="shared" ca="1" si="1"/>
        <v>29.601280290125555</v>
      </c>
      <c r="H22" s="306">
        <f ca="1">IFERROR(__xludf.DUMMYFUNCTION("IMPORTRANGE(""https://docs.google.com/spreadsheets/d/1C3CXT74ZlgGe6_JY_1olB1XN4rF0dxEuIIF-xsYjHgg/edit?usp=sharing"",""งบกองทุน!F26"")"),0)</f>
        <v>0</v>
      </c>
      <c r="I22" s="307">
        <v>0</v>
      </c>
      <c r="J22" s="307">
        <f t="shared" ca="1" si="3"/>
        <v>0</v>
      </c>
      <c r="K22" s="308">
        <f ca="1">IFERROR(__xludf.DUMMYFUNCTION("IMPORTRANGE(""https://docs.google.com/spreadsheets/d/1C3CXT74ZlgGe6_JY_1olB1XN4rF0dxEuIIF-xsYjHgg/edit?usp=sharing"",""งบกองทุน!H26"")"),60)</f>
        <v>60</v>
      </c>
      <c r="L22" s="306">
        <f t="shared" ca="1" si="50"/>
        <v>60</v>
      </c>
      <c r="M22" s="307">
        <f t="shared" ca="1" si="5"/>
        <v>100</v>
      </c>
      <c r="N22" s="306">
        <f ca="1">IFERROR(__xludf.DUMMYFUNCTION("IMPORTRANGE(""https://docs.google.com/spreadsheets/d/11923uPwbBZFjjGgGUA6NLw09EwE0CqkOc4q9oUmW1yo/edit?usp=sharing"",""พะเยา!j265"")"),60)</f>
        <v>60</v>
      </c>
      <c r="O22" s="306">
        <f ca="1">IFERROR(__xludf.DUMMYFUNCTION("IMPORTRANGE(""https://docs.google.com/spreadsheets/d/11923uPwbBZFjjGgGUA6NLw09EwE0CqkOc4q9oUmW1yo/edit?usp=sharing"",""พะเยา!j267"")"),60)</f>
        <v>60</v>
      </c>
      <c r="P22" s="306">
        <f ca="1">IFERROR(__xludf.DUMMYFUNCTION("IMPORTRANGE(""https://docs.google.com/spreadsheets/d/1C3CXT74ZlgGe6_JY_1olB1XN4rF0dxEuIIF-xsYjHgg/edit?usp=sharing"",""งบกองทุน!M26"")"),0)</f>
        <v>0</v>
      </c>
      <c r="Q22" s="306">
        <v>0</v>
      </c>
      <c r="R22" s="307">
        <f t="shared" ca="1" si="7"/>
        <v>0</v>
      </c>
      <c r="S22" s="308">
        <f t="shared" ca="1" si="51"/>
        <v>105</v>
      </c>
      <c r="T22" s="306">
        <f t="shared" ca="1" si="52"/>
        <v>0</v>
      </c>
      <c r="U22" s="309">
        <f t="shared" ca="1" si="9"/>
        <v>0</v>
      </c>
      <c r="V22" s="308">
        <f ca="1">IFERROR(__xludf.DUMMYFUNCTION("IMPORTRANGE(""https://docs.google.com/spreadsheets/d/1C3CXT74ZlgGe6_JY_1olB1XN4rF0dxEuIIF-xsYjHgg/edit?usp=sharing"",""งบกองทุน!O26"")"),30)</f>
        <v>30</v>
      </c>
      <c r="W22" s="306">
        <f ca="1">IFERROR(__xludf.DUMMYFUNCTION("IMPORTRANGE(""https://docs.google.com/spreadsheets/d/11923uPwbBZFjjGgGUA6NLw09EwE0CqkOc4q9oUmW1yo/edit?usp=sharing"",""พะเยา!j271"")"),0)</f>
        <v>0</v>
      </c>
      <c r="X22" s="309">
        <f t="shared" ca="1" si="11"/>
        <v>0</v>
      </c>
      <c r="Y22" s="308">
        <f ca="1">IFERROR(__xludf.DUMMYFUNCTION("IMPORTRANGE(""https://docs.google.com/spreadsheets/d/1C3CXT74ZlgGe6_JY_1olB1XN4rF0dxEuIIF-xsYjHgg/edit?usp=sharing"",""งบกองทุน!P26"")"),75)</f>
        <v>75</v>
      </c>
      <c r="Z22" s="306">
        <f ca="1">IFERROR(__xludf.DUMMYFUNCTION("IMPORTRANGE(""https://docs.google.com/spreadsheets/d/11923uPwbBZFjjGgGUA6NLw09EwE0CqkOc4q9oUmW1yo/edit?usp=sharing"",""พะเยา!j272"")"),0)</f>
        <v>0</v>
      </c>
      <c r="AA22" s="309">
        <f t="shared" ca="1" si="13"/>
        <v>0</v>
      </c>
      <c r="AB22" s="302"/>
    </row>
    <row r="23" spans="1:28" ht="21" customHeight="1">
      <c r="A23" s="303">
        <v>8</v>
      </c>
      <c r="B23" s="304" t="s">
        <v>47</v>
      </c>
      <c r="C23" s="305">
        <f t="shared" ca="1" si="49"/>
        <v>406480</v>
      </c>
      <c r="D23" s="306">
        <f ca="1">IFERROR(__xludf.DUMMYFUNCTION("IMPORTRANGE(""https://docs.google.com/spreadsheets/d/1C3CXT74ZlgGe6_JY_1olB1XN4rF0dxEuIIF-xsYjHgg/edit?usp=sharing"",""งบกองทุน!D27"")"),0)</f>
        <v>0</v>
      </c>
      <c r="E23" s="306">
        <f ca="1">IFERROR(__xludf.DUMMYFUNCTION("IMPORTRANGE(""https://docs.google.com/spreadsheets/d/1C3CXT74ZlgGe6_JY_1olB1XN4rF0dxEuIIF-xsYjHgg/edit?usp=sharing"",""งบกองทุน!E27"")"),406480)</f>
        <v>406480</v>
      </c>
      <c r="F23" s="307">
        <f ca="1">IFERROR(__xludf.DUMMYFUNCTION("IMPORTRANGE(""https://docs.google.com/spreadsheets/d/11923uPwbBZFjjGgGUA6NLw09EwE0CqkOc4q9oUmW1yo/edit?usp=sharing"",""พิจิตร!M244"")"),100627.7)</f>
        <v>100627.7</v>
      </c>
      <c r="G23" s="307">
        <f t="shared" ca="1" si="1"/>
        <v>24.755879748081085</v>
      </c>
      <c r="H23" s="306">
        <f ca="1">IFERROR(__xludf.DUMMYFUNCTION("IMPORTRANGE(""https://docs.google.com/spreadsheets/d/1C3CXT74ZlgGe6_JY_1olB1XN4rF0dxEuIIF-xsYjHgg/edit?usp=sharing"",""งบกองทุน!F27"")"),0)</f>
        <v>0</v>
      </c>
      <c r="I23" s="307">
        <v>0</v>
      </c>
      <c r="J23" s="307">
        <f t="shared" ca="1" si="3"/>
        <v>0</v>
      </c>
      <c r="K23" s="308">
        <f ca="1">IFERROR(__xludf.DUMMYFUNCTION("IMPORTRANGE(""https://docs.google.com/spreadsheets/d/1C3CXT74ZlgGe6_JY_1olB1XN4rF0dxEuIIF-xsYjHgg/edit?usp=sharing"",""งบกองทุน!H27"")"),60)</f>
        <v>60</v>
      </c>
      <c r="L23" s="306">
        <f t="shared" ca="1" si="50"/>
        <v>60</v>
      </c>
      <c r="M23" s="307">
        <f t="shared" ca="1" si="5"/>
        <v>100</v>
      </c>
      <c r="N23" s="306">
        <f ca="1">IFERROR(__xludf.DUMMYFUNCTION("IMPORTRANGE(""https://docs.google.com/spreadsheets/d/11923uPwbBZFjjGgGUA6NLw09EwE0CqkOc4q9oUmW1yo/edit?usp=sharing"",""พิจิตร!j265"")"),40)</f>
        <v>40</v>
      </c>
      <c r="O23" s="306">
        <f ca="1">IFERROR(__xludf.DUMMYFUNCTION("IMPORTRANGE(""https://docs.google.com/spreadsheets/d/11923uPwbBZFjjGgGUA6NLw09EwE0CqkOc4q9oUmW1yo/edit?usp=sharing"",""พิจิตร!j267"")"),20)</f>
        <v>20</v>
      </c>
      <c r="P23" s="306">
        <f ca="1">IFERROR(__xludf.DUMMYFUNCTION("IMPORTRANGE(""https://docs.google.com/spreadsheets/d/1C3CXT74ZlgGe6_JY_1olB1XN4rF0dxEuIIF-xsYjHgg/edit?usp=sharing"",""งบกองทุน!M27"")"),0)</f>
        <v>0</v>
      </c>
      <c r="Q23" s="306">
        <v>0</v>
      </c>
      <c r="R23" s="307">
        <f t="shared" ca="1" si="7"/>
        <v>0</v>
      </c>
      <c r="S23" s="308">
        <f t="shared" ca="1" si="51"/>
        <v>160</v>
      </c>
      <c r="T23" s="306">
        <f t="shared" ca="1" si="52"/>
        <v>0</v>
      </c>
      <c r="U23" s="309">
        <f t="shared" ca="1" si="9"/>
        <v>0</v>
      </c>
      <c r="V23" s="308">
        <f ca="1">IFERROR(__xludf.DUMMYFUNCTION("IMPORTRANGE(""https://docs.google.com/spreadsheets/d/1C3CXT74ZlgGe6_JY_1olB1XN4rF0dxEuIIF-xsYjHgg/edit?usp=sharing"",""งบกองทุน!O27"")"),60)</f>
        <v>60</v>
      </c>
      <c r="W23" s="306">
        <f ca="1">IFERROR(__xludf.DUMMYFUNCTION("IMPORTRANGE(""https://docs.google.com/spreadsheets/d/11923uPwbBZFjjGgGUA6NLw09EwE0CqkOc4q9oUmW1yo/edit?usp=sharing"",""พิจิตร!j271"")"),0)</f>
        <v>0</v>
      </c>
      <c r="X23" s="309">
        <f t="shared" ca="1" si="11"/>
        <v>0</v>
      </c>
      <c r="Y23" s="308">
        <f ca="1">IFERROR(__xludf.DUMMYFUNCTION("IMPORTRANGE(""https://docs.google.com/spreadsheets/d/1C3CXT74ZlgGe6_JY_1olB1XN4rF0dxEuIIF-xsYjHgg/edit?usp=sharing"",""งบกองทุน!P27"")"),100)</f>
        <v>100</v>
      </c>
      <c r="Z23" s="306">
        <f ca="1">IFERROR(__xludf.DUMMYFUNCTION("IMPORTRANGE(""https://docs.google.com/spreadsheets/d/11923uPwbBZFjjGgGUA6NLw09EwE0CqkOc4q9oUmW1yo/edit?usp=sharing"",""พิจิตร!j272"")"),0)</f>
        <v>0</v>
      </c>
      <c r="AA23" s="309">
        <f t="shared" ca="1" si="13"/>
        <v>0</v>
      </c>
      <c r="AB23" s="302"/>
    </row>
    <row r="24" spans="1:28" ht="21" customHeight="1">
      <c r="A24" s="303">
        <v>9</v>
      </c>
      <c r="B24" s="304" t="s">
        <v>48</v>
      </c>
      <c r="C24" s="305">
        <f t="shared" ca="1" si="49"/>
        <v>0</v>
      </c>
      <c r="D24" s="306">
        <f ca="1">IFERROR(__xludf.DUMMYFUNCTION("IMPORTRANGE(""https://docs.google.com/spreadsheets/d/1C3CXT74ZlgGe6_JY_1olB1XN4rF0dxEuIIF-xsYjHgg/edit?usp=sharing"",""งบกองทุน!D28"")"),0)</f>
        <v>0</v>
      </c>
      <c r="E24" s="306">
        <f ca="1">IFERROR(__xludf.DUMMYFUNCTION("IMPORTRANGE(""https://docs.google.com/spreadsheets/d/1C3CXT74ZlgGe6_JY_1olB1XN4rF0dxEuIIF-xsYjHgg/edit?usp=sharing"",""งบกองทุน!E28"")"),0)</f>
        <v>0</v>
      </c>
      <c r="F24" s="307">
        <f ca="1">IFERROR(__xludf.DUMMYFUNCTION("IMPORTRANGE(""https://docs.google.com/spreadsheets/d/11923uPwbBZFjjGgGUA6NLw09EwE0CqkOc4q9oUmW1yo/edit?usp=sharing"",""พิษณุโลก!M244"")"),0)</f>
        <v>0</v>
      </c>
      <c r="G24" s="307">
        <f t="shared" ca="1" si="1"/>
        <v>0</v>
      </c>
      <c r="H24" s="306">
        <f ca="1">IFERROR(__xludf.DUMMYFUNCTION("IMPORTRANGE(""https://docs.google.com/spreadsheets/d/1C3CXT74ZlgGe6_JY_1olB1XN4rF0dxEuIIF-xsYjHgg/edit?usp=sharing"",""งบกองทุน!F28"")"),0)</f>
        <v>0</v>
      </c>
      <c r="I24" s="307">
        <v>0</v>
      </c>
      <c r="J24" s="307">
        <f t="shared" ca="1" si="3"/>
        <v>0</v>
      </c>
      <c r="K24" s="308">
        <f ca="1">IFERROR(__xludf.DUMMYFUNCTION("IMPORTRANGE(""https://docs.google.com/spreadsheets/d/1C3CXT74ZlgGe6_JY_1olB1XN4rF0dxEuIIF-xsYjHgg/edit?usp=sharing"",""งบกองทุน!H28"")"),0)</f>
        <v>0</v>
      </c>
      <c r="L24" s="306">
        <f t="shared" ca="1" si="50"/>
        <v>0</v>
      </c>
      <c r="M24" s="307">
        <f t="shared" ca="1" si="5"/>
        <v>0</v>
      </c>
      <c r="N24" s="306">
        <f ca="1">IFERROR(__xludf.DUMMYFUNCTION("IMPORTRANGE(""https://docs.google.com/spreadsheets/d/11923uPwbBZFjjGgGUA6NLw09EwE0CqkOc4q9oUmW1yo/edit?usp=sharing"",""พิษณุโลก!j265"")"),0)</f>
        <v>0</v>
      </c>
      <c r="O24" s="306">
        <f ca="1">IFERROR(__xludf.DUMMYFUNCTION("IMPORTRANGE(""https://docs.google.com/spreadsheets/d/11923uPwbBZFjjGgGUA6NLw09EwE0CqkOc4q9oUmW1yo/edit?usp=sharing"",""พิษณุโลก!j267"")"),0)</f>
        <v>0</v>
      </c>
      <c r="P24" s="306">
        <f ca="1">IFERROR(__xludf.DUMMYFUNCTION("IMPORTRANGE(""https://docs.google.com/spreadsheets/d/1C3CXT74ZlgGe6_JY_1olB1XN4rF0dxEuIIF-xsYjHgg/edit?usp=sharing"",""งบกองทุน!M28"")"),0)</f>
        <v>0</v>
      </c>
      <c r="Q24" s="306">
        <v>0</v>
      </c>
      <c r="R24" s="307">
        <f t="shared" ca="1" si="7"/>
        <v>0</v>
      </c>
      <c r="S24" s="308">
        <f t="shared" ca="1" si="51"/>
        <v>0</v>
      </c>
      <c r="T24" s="306">
        <f t="shared" ca="1" si="52"/>
        <v>0</v>
      </c>
      <c r="U24" s="309">
        <f t="shared" ca="1" si="9"/>
        <v>0</v>
      </c>
      <c r="V24" s="308">
        <f ca="1">IFERROR(__xludf.DUMMYFUNCTION("IMPORTRANGE(""https://docs.google.com/spreadsheets/d/1C3CXT74ZlgGe6_JY_1olB1XN4rF0dxEuIIF-xsYjHgg/edit?usp=sharing"",""งบกองทุน!O28"")"),0)</f>
        <v>0</v>
      </c>
      <c r="W24" s="306">
        <f ca="1">IFERROR(__xludf.DUMMYFUNCTION("IMPORTRANGE(""https://docs.google.com/spreadsheets/d/11923uPwbBZFjjGgGUA6NLw09EwE0CqkOc4q9oUmW1yo/edit?usp=sharing"",""พิษณุโลก!j271"")"),0)</f>
        <v>0</v>
      </c>
      <c r="X24" s="309">
        <f t="shared" ca="1" si="11"/>
        <v>0</v>
      </c>
      <c r="Y24" s="308">
        <f ca="1">IFERROR(__xludf.DUMMYFUNCTION("IMPORTRANGE(""https://docs.google.com/spreadsheets/d/1C3CXT74ZlgGe6_JY_1olB1XN4rF0dxEuIIF-xsYjHgg/edit?usp=sharing"",""งบกองทุน!P28"")"),0)</f>
        <v>0</v>
      </c>
      <c r="Z24" s="306">
        <f ca="1">IFERROR(__xludf.DUMMYFUNCTION("IMPORTRANGE(""https://docs.google.com/spreadsheets/d/11923uPwbBZFjjGgGUA6NLw09EwE0CqkOc4q9oUmW1yo/edit?usp=sharing"",""พิษณุโลก!j272"")"),0)</f>
        <v>0</v>
      </c>
      <c r="AA24" s="309">
        <f t="shared" ca="1" si="13"/>
        <v>0</v>
      </c>
      <c r="AB24" s="302"/>
    </row>
    <row r="25" spans="1:28" ht="21" customHeight="1">
      <c r="A25" s="303">
        <v>10</v>
      </c>
      <c r="B25" s="304" t="s">
        <v>49</v>
      </c>
      <c r="C25" s="305">
        <f t="shared" ca="1" si="49"/>
        <v>664130</v>
      </c>
      <c r="D25" s="306">
        <f ca="1">IFERROR(__xludf.DUMMYFUNCTION("IMPORTRANGE(""https://docs.google.com/spreadsheets/d/1C3CXT74ZlgGe6_JY_1olB1XN4rF0dxEuIIF-xsYjHgg/edit?usp=sharing"",""งบกองทุน!D29"")"),0)</f>
        <v>0</v>
      </c>
      <c r="E25" s="306">
        <f ca="1">IFERROR(__xludf.DUMMYFUNCTION("IMPORTRANGE(""https://docs.google.com/spreadsheets/d/1C3CXT74ZlgGe6_JY_1olB1XN4rF0dxEuIIF-xsYjHgg/edit?usp=sharing"",""งบกองทุน!E29"")"),664130)</f>
        <v>664130</v>
      </c>
      <c r="F25" s="307">
        <f ca="1">IFERROR(__xludf.DUMMYFUNCTION("IMPORTRANGE(""https://docs.google.com/spreadsheets/d/11923uPwbBZFjjGgGUA6NLw09EwE0CqkOc4q9oUmW1yo/edit?usp=sharing"",""เพชรบูรณ์!M244"")"),217440)</f>
        <v>217440</v>
      </c>
      <c r="G25" s="307">
        <f t="shared" ca="1" si="1"/>
        <v>32.740577898905336</v>
      </c>
      <c r="H25" s="306">
        <f ca="1">IFERROR(__xludf.DUMMYFUNCTION("IMPORTRANGE(""https://docs.google.com/spreadsheets/d/1C3CXT74ZlgGe6_JY_1olB1XN4rF0dxEuIIF-xsYjHgg/edit?usp=sharing"",""งบกองทุน!F29"")"),0)</f>
        <v>0</v>
      </c>
      <c r="I25" s="307">
        <v>0</v>
      </c>
      <c r="J25" s="307">
        <f t="shared" ca="1" si="3"/>
        <v>0</v>
      </c>
      <c r="K25" s="308">
        <f ca="1">IFERROR(__xludf.DUMMYFUNCTION("IMPORTRANGE(""https://docs.google.com/spreadsheets/d/1C3CXT74ZlgGe6_JY_1olB1XN4rF0dxEuIIF-xsYjHgg/edit?usp=sharing"",""งบกองทุน!H29"")"),95)</f>
        <v>95</v>
      </c>
      <c r="L25" s="306">
        <f t="shared" ca="1" si="50"/>
        <v>95</v>
      </c>
      <c r="M25" s="307">
        <f t="shared" ca="1" si="5"/>
        <v>100</v>
      </c>
      <c r="N25" s="306">
        <f ca="1">IFERROR(__xludf.DUMMYFUNCTION("IMPORTRANGE(""https://docs.google.com/spreadsheets/d/11923uPwbBZFjjGgGUA6NLw09EwE0CqkOc4q9oUmW1yo/edit?usp=sharing"",""เพชรบูรณ์!j265"")"),95)</f>
        <v>95</v>
      </c>
      <c r="O25" s="306">
        <f ca="1">IFERROR(__xludf.DUMMYFUNCTION("IMPORTRANGE(""https://docs.google.com/spreadsheets/d/11923uPwbBZFjjGgGUA6NLw09EwE0CqkOc4q9oUmW1yo/edit?usp=sharing"",""เพชรบูรณ์!j267"")"),95)</f>
        <v>95</v>
      </c>
      <c r="P25" s="306">
        <f ca="1">IFERROR(__xludf.DUMMYFUNCTION("IMPORTRANGE(""https://docs.google.com/spreadsheets/d/1C3CXT74ZlgGe6_JY_1olB1XN4rF0dxEuIIF-xsYjHgg/edit?usp=sharing"",""งบกองทุน!M29"")"),0)</f>
        <v>0</v>
      </c>
      <c r="Q25" s="306">
        <v>0</v>
      </c>
      <c r="R25" s="307">
        <f t="shared" ca="1" si="7"/>
        <v>0</v>
      </c>
      <c r="S25" s="308">
        <f t="shared" ca="1" si="51"/>
        <v>425</v>
      </c>
      <c r="T25" s="306">
        <f t="shared" ca="1" si="52"/>
        <v>425</v>
      </c>
      <c r="U25" s="309">
        <f t="shared" ca="1" si="9"/>
        <v>100</v>
      </c>
      <c r="V25" s="308">
        <f ca="1">IFERROR(__xludf.DUMMYFUNCTION("IMPORTRANGE(""https://docs.google.com/spreadsheets/d/1C3CXT74ZlgGe6_JY_1olB1XN4rF0dxEuIIF-xsYjHgg/edit?usp=sharing"",""งบกองทุน!O29"")"),150)</f>
        <v>150</v>
      </c>
      <c r="W25" s="306">
        <f ca="1">IFERROR(__xludf.DUMMYFUNCTION("IMPORTRANGE(""https://docs.google.com/spreadsheets/d/11923uPwbBZFjjGgGUA6NLw09EwE0CqkOc4q9oUmW1yo/edit?usp=sharing"",""เพชรบูรณ์!j271"")"),150)</f>
        <v>150</v>
      </c>
      <c r="X25" s="309">
        <f t="shared" ca="1" si="11"/>
        <v>100</v>
      </c>
      <c r="Y25" s="308">
        <f ca="1">IFERROR(__xludf.DUMMYFUNCTION("IMPORTRANGE(""https://docs.google.com/spreadsheets/d/1C3CXT74ZlgGe6_JY_1olB1XN4rF0dxEuIIF-xsYjHgg/edit?usp=sharing"",""งบกองทุน!P29"")"),275)</f>
        <v>275</v>
      </c>
      <c r="Z25" s="306">
        <f ca="1">IFERROR(__xludf.DUMMYFUNCTION("IMPORTRANGE(""https://docs.google.com/spreadsheets/d/11923uPwbBZFjjGgGUA6NLw09EwE0CqkOc4q9oUmW1yo/edit?usp=sharing"",""เพชรบูรณ์!j272"")"),275)</f>
        <v>275</v>
      </c>
      <c r="AA25" s="309">
        <f t="shared" ca="1" si="13"/>
        <v>100</v>
      </c>
      <c r="AB25" s="302"/>
    </row>
    <row r="26" spans="1:28" ht="21" customHeight="1">
      <c r="A26" s="303">
        <v>11</v>
      </c>
      <c r="B26" s="304" t="s">
        <v>50</v>
      </c>
      <c r="C26" s="305">
        <f t="shared" ca="1" si="49"/>
        <v>348030</v>
      </c>
      <c r="D26" s="306">
        <f ca="1">IFERROR(__xludf.DUMMYFUNCTION("IMPORTRANGE(""https://docs.google.com/spreadsheets/d/1C3CXT74ZlgGe6_JY_1olB1XN4rF0dxEuIIF-xsYjHgg/edit?usp=sharing"",""งบกองทุน!D30"")"),0)</f>
        <v>0</v>
      </c>
      <c r="E26" s="306">
        <f ca="1">IFERROR(__xludf.DUMMYFUNCTION("IMPORTRANGE(""https://docs.google.com/spreadsheets/d/1C3CXT74ZlgGe6_JY_1olB1XN4rF0dxEuIIF-xsYjHgg/edit?usp=sharing"",""งบกองทุน!E30"")"),348030)</f>
        <v>348030</v>
      </c>
      <c r="F26" s="307">
        <f ca="1">IFERROR(__xludf.DUMMYFUNCTION("IMPORTRANGE(""https://docs.google.com/spreadsheets/d/11923uPwbBZFjjGgGUA6NLw09EwE0CqkOc4q9oUmW1yo/edit?usp=sharing"",""แพร่!M244"")"),243020)</f>
        <v>243020</v>
      </c>
      <c r="G26" s="307">
        <f t="shared" ca="1" si="1"/>
        <v>69.827313737321489</v>
      </c>
      <c r="H26" s="306">
        <f ca="1">IFERROR(__xludf.DUMMYFUNCTION("IMPORTRANGE(""https://docs.google.com/spreadsheets/d/1C3CXT74ZlgGe6_JY_1olB1XN4rF0dxEuIIF-xsYjHgg/edit?usp=sharing"",""งบกองทุน!F30"")"),0)</f>
        <v>0</v>
      </c>
      <c r="I26" s="307">
        <v>0</v>
      </c>
      <c r="J26" s="307">
        <f t="shared" ca="1" si="3"/>
        <v>0</v>
      </c>
      <c r="K26" s="308">
        <f ca="1">IFERROR(__xludf.DUMMYFUNCTION("IMPORTRANGE(""https://docs.google.com/spreadsheets/d/1C3CXT74ZlgGe6_JY_1olB1XN4rF0dxEuIIF-xsYjHgg/edit?usp=sharing"",""งบกองทุน!H30"")"),55)</f>
        <v>55</v>
      </c>
      <c r="L26" s="306">
        <f t="shared" ca="1" si="50"/>
        <v>55</v>
      </c>
      <c r="M26" s="307">
        <f t="shared" ca="1" si="5"/>
        <v>100</v>
      </c>
      <c r="N26" s="306">
        <f ca="1">IFERROR(__xludf.DUMMYFUNCTION("IMPORTRANGE(""https://docs.google.com/spreadsheets/d/11923uPwbBZFjjGgGUA6NLw09EwE0CqkOc4q9oUmW1yo/edit?usp=sharing"",""แพร่!j265"")"),55)</f>
        <v>55</v>
      </c>
      <c r="O26" s="306">
        <f ca="1">IFERROR(__xludf.DUMMYFUNCTION("IMPORTRANGE(""https://docs.google.com/spreadsheets/d/11923uPwbBZFjjGgGUA6NLw09EwE0CqkOc4q9oUmW1yo/edit?usp=sharing"",""แพร่!j267"")"),0)</f>
        <v>0</v>
      </c>
      <c r="P26" s="306">
        <f ca="1">IFERROR(__xludf.DUMMYFUNCTION("IMPORTRANGE(""https://docs.google.com/spreadsheets/d/1C3CXT74ZlgGe6_JY_1olB1XN4rF0dxEuIIF-xsYjHgg/edit?usp=sharing"",""งบกองทุน!M30"")"),0)</f>
        <v>0</v>
      </c>
      <c r="Q26" s="306">
        <v>0</v>
      </c>
      <c r="R26" s="307">
        <f t="shared" ca="1" si="7"/>
        <v>0</v>
      </c>
      <c r="S26" s="308">
        <f t="shared" ca="1" si="51"/>
        <v>90</v>
      </c>
      <c r="T26" s="306">
        <f t="shared" ca="1" si="52"/>
        <v>90</v>
      </c>
      <c r="U26" s="309">
        <f t="shared" ca="1" si="9"/>
        <v>100</v>
      </c>
      <c r="V26" s="308">
        <f ca="1">IFERROR(__xludf.DUMMYFUNCTION("IMPORTRANGE(""https://docs.google.com/spreadsheets/d/1C3CXT74ZlgGe6_JY_1olB1XN4rF0dxEuIIF-xsYjHgg/edit?usp=sharing"",""งบกองทุน!O30"")"),50)</f>
        <v>50</v>
      </c>
      <c r="W26" s="306">
        <f ca="1">IFERROR(__xludf.DUMMYFUNCTION("IMPORTRANGE(""https://docs.google.com/spreadsheets/d/11923uPwbBZFjjGgGUA6NLw09EwE0CqkOc4q9oUmW1yo/edit?usp=sharing"",""แพร่!j271"")"),50)</f>
        <v>50</v>
      </c>
      <c r="X26" s="309">
        <f t="shared" ca="1" si="11"/>
        <v>100</v>
      </c>
      <c r="Y26" s="308">
        <f ca="1">IFERROR(__xludf.DUMMYFUNCTION("IMPORTRANGE(""https://docs.google.com/spreadsheets/d/1C3CXT74ZlgGe6_JY_1olB1XN4rF0dxEuIIF-xsYjHgg/edit?usp=sharing"",""งบกองทุน!P30"")"),40)</f>
        <v>40</v>
      </c>
      <c r="Z26" s="306">
        <f ca="1">IFERROR(__xludf.DUMMYFUNCTION("IMPORTRANGE(""https://docs.google.com/spreadsheets/d/11923uPwbBZFjjGgGUA6NLw09EwE0CqkOc4q9oUmW1yo/edit?usp=sharing"",""แพร่!j272"")"),40)</f>
        <v>40</v>
      </c>
      <c r="AA26" s="309">
        <f t="shared" ca="1" si="13"/>
        <v>100</v>
      </c>
      <c r="AB26" s="302"/>
    </row>
    <row r="27" spans="1:28" ht="21" customHeight="1">
      <c r="A27" s="303">
        <v>12</v>
      </c>
      <c r="B27" s="304" t="s">
        <v>51</v>
      </c>
      <c r="C27" s="305">
        <f t="shared" ca="1" si="49"/>
        <v>353580</v>
      </c>
      <c r="D27" s="306">
        <f ca="1">IFERROR(__xludf.DUMMYFUNCTION("IMPORTRANGE(""https://docs.google.com/spreadsheets/d/1C3CXT74ZlgGe6_JY_1olB1XN4rF0dxEuIIF-xsYjHgg/edit?usp=sharing"",""งบกองทุน!D31"")"),0)</f>
        <v>0</v>
      </c>
      <c r="E27" s="306">
        <f ca="1">IFERROR(__xludf.DUMMYFUNCTION("IMPORTRANGE(""https://docs.google.com/spreadsheets/d/1C3CXT74ZlgGe6_JY_1olB1XN4rF0dxEuIIF-xsYjHgg/edit?usp=sharing"",""งบกองทุน!E31"")"),353580)</f>
        <v>353580</v>
      </c>
      <c r="F27" s="307">
        <f ca="1">IFERROR(__xludf.DUMMYFUNCTION("IMPORTRANGE(""https://docs.google.com/spreadsheets/d/11923uPwbBZFjjGgGUA6NLw09EwE0CqkOc4q9oUmW1yo/edit?usp=sharing"",""แม่ฮ่องสอน!M244"")"),249436)</f>
        <v>249436</v>
      </c>
      <c r="G27" s="307">
        <f t="shared" ca="1" si="1"/>
        <v>70.545845353243962</v>
      </c>
      <c r="H27" s="306">
        <f ca="1">IFERROR(__xludf.DUMMYFUNCTION("IMPORTRANGE(""https://docs.google.com/spreadsheets/d/1C3CXT74ZlgGe6_JY_1olB1XN4rF0dxEuIIF-xsYjHgg/edit?usp=sharing"",""งบกองทุน!F31"")"),0)</f>
        <v>0</v>
      </c>
      <c r="I27" s="307">
        <v>0</v>
      </c>
      <c r="J27" s="307">
        <f t="shared" ca="1" si="3"/>
        <v>0</v>
      </c>
      <c r="K27" s="308">
        <f ca="1">IFERROR(__xludf.DUMMYFUNCTION("IMPORTRANGE(""https://docs.google.com/spreadsheets/d/1C3CXT74ZlgGe6_JY_1olB1XN4rF0dxEuIIF-xsYjHgg/edit?usp=sharing"",""งบกองทุน!H31"")"),50)</f>
        <v>50</v>
      </c>
      <c r="L27" s="306">
        <f t="shared" ca="1" si="50"/>
        <v>50</v>
      </c>
      <c r="M27" s="307">
        <f t="shared" ca="1" si="5"/>
        <v>100</v>
      </c>
      <c r="N27" s="306">
        <f ca="1">IFERROR(__xludf.DUMMYFUNCTION("IMPORTRANGE(""https://docs.google.com/spreadsheets/d/11923uPwbBZFjjGgGUA6NLw09EwE0CqkOc4q9oUmW1yo/edit?usp=sharing"",""แม่ฮ่องสอน!j265"")"),0)</f>
        <v>0</v>
      </c>
      <c r="O27" s="306">
        <f ca="1">IFERROR(__xludf.DUMMYFUNCTION("IMPORTRANGE(""https://docs.google.com/spreadsheets/d/11923uPwbBZFjjGgGUA6NLw09EwE0CqkOc4q9oUmW1yo/edit?usp=sharing"",""แม่ฮ่องสอน!j267"")"),50)</f>
        <v>50</v>
      </c>
      <c r="P27" s="306">
        <f ca="1">IFERROR(__xludf.DUMMYFUNCTION("IMPORTRANGE(""https://docs.google.com/spreadsheets/d/1C3CXT74ZlgGe6_JY_1olB1XN4rF0dxEuIIF-xsYjHgg/edit?usp=sharing"",""งบกองทุน!M31"")"),0)</f>
        <v>0</v>
      </c>
      <c r="Q27" s="306">
        <v>0</v>
      </c>
      <c r="R27" s="307">
        <f t="shared" ca="1" si="7"/>
        <v>0</v>
      </c>
      <c r="S27" s="308">
        <f t="shared" ca="1" si="51"/>
        <v>110</v>
      </c>
      <c r="T27" s="306">
        <f t="shared" ca="1" si="52"/>
        <v>110</v>
      </c>
      <c r="U27" s="309">
        <f t="shared" ca="1" si="9"/>
        <v>100</v>
      </c>
      <c r="V27" s="308">
        <f ca="1">IFERROR(__xludf.DUMMYFUNCTION("IMPORTRANGE(""https://docs.google.com/spreadsheets/d/1C3CXT74ZlgGe6_JY_1olB1XN4rF0dxEuIIF-xsYjHgg/edit?usp=sharing"",""งบกองทุน!O31"")"),60)</f>
        <v>60</v>
      </c>
      <c r="W27" s="306">
        <f ca="1">IFERROR(__xludf.DUMMYFUNCTION("IMPORTRANGE(""https://docs.google.com/spreadsheets/d/11923uPwbBZFjjGgGUA6NLw09EwE0CqkOc4q9oUmW1yo/edit?usp=sharing"",""แม่ฮ่องสอน!j271"")"),60)</f>
        <v>60</v>
      </c>
      <c r="X27" s="309">
        <f t="shared" ca="1" si="11"/>
        <v>100</v>
      </c>
      <c r="Y27" s="308">
        <f ca="1">IFERROR(__xludf.DUMMYFUNCTION("IMPORTRANGE(""https://docs.google.com/spreadsheets/d/1C3CXT74ZlgGe6_JY_1olB1XN4rF0dxEuIIF-xsYjHgg/edit?usp=sharing"",""งบกองทุน!P31"")"),50)</f>
        <v>50</v>
      </c>
      <c r="Z27" s="306">
        <f ca="1">IFERROR(__xludf.DUMMYFUNCTION("IMPORTRANGE(""https://docs.google.com/spreadsheets/d/11923uPwbBZFjjGgGUA6NLw09EwE0CqkOc4q9oUmW1yo/edit?usp=sharing"",""แม่ฮ่องสอน!j272"")"),50)</f>
        <v>50</v>
      </c>
      <c r="AA27" s="309">
        <f t="shared" ca="1" si="13"/>
        <v>100</v>
      </c>
      <c r="AB27" s="302"/>
    </row>
    <row r="28" spans="1:28" ht="21" customHeight="1">
      <c r="A28" s="303">
        <v>13</v>
      </c>
      <c r="B28" s="304" t="s">
        <v>52</v>
      </c>
      <c r="C28" s="305">
        <f t="shared" ca="1" si="49"/>
        <v>230720</v>
      </c>
      <c r="D28" s="306">
        <f ca="1">IFERROR(__xludf.DUMMYFUNCTION("IMPORTRANGE(""https://docs.google.com/spreadsheets/d/1C3CXT74ZlgGe6_JY_1olB1XN4rF0dxEuIIF-xsYjHgg/edit?usp=sharing"",""งบกองทุน!D32"")"),0)</f>
        <v>0</v>
      </c>
      <c r="E28" s="306">
        <f ca="1">IFERROR(__xludf.DUMMYFUNCTION("IMPORTRANGE(""https://docs.google.com/spreadsheets/d/1C3CXT74ZlgGe6_JY_1olB1XN4rF0dxEuIIF-xsYjHgg/edit?usp=sharing"",""งบกองทุน!E32"")"),230720)</f>
        <v>230720</v>
      </c>
      <c r="F28" s="307">
        <f ca="1">IFERROR(__xludf.DUMMYFUNCTION("IMPORTRANGE(""https://docs.google.com/spreadsheets/d/11923uPwbBZFjjGgGUA6NLw09EwE0CqkOc4q9oUmW1yo/edit?usp=sharing"",""ลำปาง!M244"")"),119106.72)</f>
        <v>119106.72</v>
      </c>
      <c r="G28" s="307">
        <f t="shared" ca="1" si="1"/>
        <v>51.623925104022192</v>
      </c>
      <c r="H28" s="306">
        <f ca="1">IFERROR(__xludf.DUMMYFUNCTION("IMPORTRANGE(""https://docs.google.com/spreadsheets/d/1C3CXT74ZlgGe6_JY_1olB1XN4rF0dxEuIIF-xsYjHgg/edit?usp=sharing"",""งบกองทุน!F32"")"),0)</f>
        <v>0</v>
      </c>
      <c r="I28" s="307">
        <v>0</v>
      </c>
      <c r="J28" s="307">
        <f t="shared" ca="1" si="3"/>
        <v>0</v>
      </c>
      <c r="K28" s="308">
        <f ca="1">IFERROR(__xludf.DUMMYFUNCTION("IMPORTRANGE(""https://docs.google.com/spreadsheets/d/1C3CXT74ZlgGe6_JY_1olB1XN4rF0dxEuIIF-xsYjHgg/edit?usp=sharing"",""งบกองทุน!H32"")"),10)</f>
        <v>10</v>
      </c>
      <c r="L28" s="306">
        <f t="shared" ca="1" si="50"/>
        <v>10</v>
      </c>
      <c r="M28" s="307">
        <f t="shared" ca="1" si="5"/>
        <v>100</v>
      </c>
      <c r="N28" s="306">
        <f ca="1">IFERROR(__xludf.DUMMYFUNCTION("IMPORTRANGE(""https://docs.google.com/spreadsheets/d/11923uPwbBZFjjGgGUA6NLw09EwE0CqkOc4q9oUmW1yo/edit?usp=sharing"",""ลำปาง!j265"")"),0)</f>
        <v>0</v>
      </c>
      <c r="O28" s="306">
        <f ca="1">IFERROR(__xludf.DUMMYFUNCTION("IMPORTRANGE(""https://docs.google.com/spreadsheets/d/11923uPwbBZFjjGgGUA6NLw09EwE0CqkOc4q9oUmW1yo/edit?usp=sharing"",""ลำปาง!j267"")"),10)</f>
        <v>10</v>
      </c>
      <c r="P28" s="306">
        <f ca="1">IFERROR(__xludf.DUMMYFUNCTION("IMPORTRANGE(""https://docs.google.com/spreadsheets/d/1C3CXT74ZlgGe6_JY_1olB1XN4rF0dxEuIIF-xsYjHgg/edit?usp=sharing"",""งบกองทุน!M32"")"),0)</f>
        <v>0</v>
      </c>
      <c r="Q28" s="306">
        <v>0</v>
      </c>
      <c r="R28" s="307">
        <f t="shared" ca="1" si="7"/>
        <v>0</v>
      </c>
      <c r="S28" s="308">
        <f t="shared" ca="1" si="51"/>
        <v>50</v>
      </c>
      <c r="T28" s="306">
        <f t="shared" ca="1" si="52"/>
        <v>50</v>
      </c>
      <c r="U28" s="309">
        <f t="shared" ca="1" si="9"/>
        <v>100</v>
      </c>
      <c r="V28" s="308">
        <f ca="1">IFERROR(__xludf.DUMMYFUNCTION("IMPORTRANGE(""https://docs.google.com/spreadsheets/d/1C3CXT74ZlgGe6_JY_1olB1XN4rF0dxEuIIF-xsYjHgg/edit?usp=sharing"",""งบกองทุน!O32"")"),0)</f>
        <v>0</v>
      </c>
      <c r="W28" s="306">
        <f ca="1">IFERROR(__xludf.DUMMYFUNCTION("IMPORTRANGE(""https://docs.google.com/spreadsheets/d/11923uPwbBZFjjGgGUA6NLw09EwE0CqkOc4q9oUmW1yo/edit?usp=sharing"",""ลำปาง!j271"")"),0)</f>
        <v>0</v>
      </c>
      <c r="X28" s="309">
        <f t="shared" ca="1" si="11"/>
        <v>0</v>
      </c>
      <c r="Y28" s="308">
        <f ca="1">IFERROR(__xludf.DUMMYFUNCTION("IMPORTRANGE(""https://docs.google.com/spreadsheets/d/1C3CXT74ZlgGe6_JY_1olB1XN4rF0dxEuIIF-xsYjHgg/edit?usp=sharing"",""งบกองทุน!P32"")"),50)</f>
        <v>50</v>
      </c>
      <c r="Z28" s="306">
        <f ca="1">IFERROR(__xludf.DUMMYFUNCTION("IMPORTRANGE(""https://docs.google.com/spreadsheets/d/11923uPwbBZFjjGgGUA6NLw09EwE0CqkOc4q9oUmW1yo/edit?usp=sharing"",""ลำปาง!j272"")"),50)</f>
        <v>50</v>
      </c>
      <c r="AA28" s="309">
        <f t="shared" ca="1" si="13"/>
        <v>100</v>
      </c>
      <c r="AB28" s="302"/>
    </row>
    <row r="29" spans="1:28" ht="21" customHeight="1">
      <c r="A29" s="303">
        <v>14</v>
      </c>
      <c r="B29" s="304" t="s">
        <v>53</v>
      </c>
      <c r="C29" s="305">
        <f t="shared" ca="1" si="49"/>
        <v>459380</v>
      </c>
      <c r="D29" s="306">
        <f ca="1">IFERROR(__xludf.DUMMYFUNCTION("IMPORTRANGE(""https://docs.google.com/spreadsheets/d/1C3CXT74ZlgGe6_JY_1olB1XN4rF0dxEuIIF-xsYjHgg/edit?usp=sharing"",""งบกองทุน!D33"")"),0)</f>
        <v>0</v>
      </c>
      <c r="E29" s="306">
        <f ca="1">IFERROR(__xludf.DUMMYFUNCTION("IMPORTRANGE(""https://docs.google.com/spreadsheets/d/1C3CXT74ZlgGe6_JY_1olB1XN4rF0dxEuIIF-xsYjHgg/edit?usp=sharing"",""งบกองทุน!E33"")"),459380)</f>
        <v>459380</v>
      </c>
      <c r="F29" s="307">
        <f ca="1">IFERROR(__xludf.DUMMYFUNCTION("IMPORTRANGE(""https://docs.google.com/spreadsheets/d/11923uPwbBZFjjGgGUA6NLw09EwE0CqkOc4q9oUmW1yo/edit?usp=sharing"",""ลำพูน!M244"")"),323820)</f>
        <v>323820</v>
      </c>
      <c r="G29" s="307">
        <f t="shared" ca="1" si="1"/>
        <v>70.490661326135225</v>
      </c>
      <c r="H29" s="306">
        <f ca="1">IFERROR(__xludf.DUMMYFUNCTION("IMPORTRANGE(""https://docs.google.com/spreadsheets/d/1C3CXT74ZlgGe6_JY_1olB1XN4rF0dxEuIIF-xsYjHgg/edit?usp=sharing"",""งบกองทุน!F33"")"),0)</f>
        <v>0</v>
      </c>
      <c r="I29" s="307">
        <v>0</v>
      </c>
      <c r="J29" s="307">
        <f t="shared" ca="1" si="3"/>
        <v>0</v>
      </c>
      <c r="K29" s="308">
        <f ca="1">IFERROR(__xludf.DUMMYFUNCTION("IMPORTRANGE(""https://docs.google.com/spreadsheets/d/1C3CXT74ZlgGe6_JY_1olB1XN4rF0dxEuIIF-xsYjHgg/edit?usp=sharing"",""งบกองทุน!H33"")"),70)</f>
        <v>70</v>
      </c>
      <c r="L29" s="306">
        <f t="shared" ca="1" si="50"/>
        <v>70</v>
      </c>
      <c r="M29" s="307">
        <f t="shared" ca="1" si="5"/>
        <v>100</v>
      </c>
      <c r="N29" s="306">
        <f ca="1">IFERROR(__xludf.DUMMYFUNCTION("IMPORTRANGE(""https://docs.google.com/spreadsheets/d/11923uPwbBZFjjGgGUA6NLw09EwE0CqkOc4q9oUmW1yo/edit?usp=sharing"",""ลำพูน!j265"")"),70)</f>
        <v>70</v>
      </c>
      <c r="O29" s="306">
        <f ca="1">IFERROR(__xludf.DUMMYFUNCTION("IMPORTRANGE(""https://docs.google.com/spreadsheets/d/11923uPwbBZFjjGgGUA6NLw09EwE0CqkOc4q9oUmW1yo/edit?usp=sharing"",""ลำพูน!j267"")"),70)</f>
        <v>70</v>
      </c>
      <c r="P29" s="306">
        <f ca="1">IFERROR(__xludf.DUMMYFUNCTION("IMPORTRANGE(""https://docs.google.com/spreadsheets/d/1C3CXT74ZlgGe6_JY_1olB1XN4rF0dxEuIIF-xsYjHgg/edit?usp=sharing"",""งบกองทุน!M33"")"),0)</f>
        <v>0</v>
      </c>
      <c r="Q29" s="306">
        <v>0</v>
      </c>
      <c r="R29" s="307">
        <f t="shared" ca="1" si="7"/>
        <v>0</v>
      </c>
      <c r="S29" s="308">
        <f t="shared" ca="1" si="51"/>
        <v>200</v>
      </c>
      <c r="T29" s="306">
        <f t="shared" ca="1" si="52"/>
        <v>200</v>
      </c>
      <c r="U29" s="309">
        <f t="shared" ca="1" si="9"/>
        <v>100</v>
      </c>
      <c r="V29" s="308">
        <f ca="1">IFERROR(__xludf.DUMMYFUNCTION("IMPORTRANGE(""https://docs.google.com/spreadsheets/d/1C3CXT74ZlgGe6_JY_1olB1XN4rF0dxEuIIF-xsYjHgg/edit?usp=sharing"",""งบกองทุน!O33"")"),100)</f>
        <v>100</v>
      </c>
      <c r="W29" s="306">
        <f ca="1">IFERROR(__xludf.DUMMYFUNCTION("IMPORTRANGE(""https://docs.google.com/spreadsheets/d/11923uPwbBZFjjGgGUA6NLw09EwE0CqkOc4q9oUmW1yo/edit?usp=sharing"",""ลำพูน!j271"")"),100)</f>
        <v>100</v>
      </c>
      <c r="X29" s="309">
        <f t="shared" ca="1" si="11"/>
        <v>100</v>
      </c>
      <c r="Y29" s="308">
        <f ca="1">IFERROR(__xludf.DUMMYFUNCTION("IMPORTRANGE(""https://docs.google.com/spreadsheets/d/1C3CXT74ZlgGe6_JY_1olB1XN4rF0dxEuIIF-xsYjHgg/edit?usp=sharing"",""งบกองทุน!P33"")"),100)</f>
        <v>100</v>
      </c>
      <c r="Z29" s="306">
        <f ca="1">IFERROR(__xludf.DUMMYFUNCTION("IMPORTRANGE(""https://docs.google.com/spreadsheets/d/11923uPwbBZFjjGgGUA6NLw09EwE0CqkOc4q9oUmW1yo/edit?usp=sharing"",""ลำพูน!j272"")"),100)</f>
        <v>100</v>
      </c>
      <c r="AA29" s="309">
        <f t="shared" ca="1" si="13"/>
        <v>100</v>
      </c>
      <c r="AB29" s="302"/>
    </row>
    <row r="30" spans="1:28" ht="21" customHeight="1">
      <c r="A30" s="303">
        <v>15</v>
      </c>
      <c r="B30" s="304" t="s">
        <v>54</v>
      </c>
      <c r="C30" s="305">
        <f t="shared" ca="1" si="49"/>
        <v>367080</v>
      </c>
      <c r="D30" s="306">
        <f ca="1">IFERROR(__xludf.DUMMYFUNCTION("IMPORTRANGE(""https://docs.google.com/spreadsheets/d/1C3CXT74ZlgGe6_JY_1olB1XN4rF0dxEuIIF-xsYjHgg/edit?usp=sharing"",""งบกองทุน!D34"")"),0)</f>
        <v>0</v>
      </c>
      <c r="E30" s="306">
        <f ca="1">IFERROR(__xludf.DUMMYFUNCTION("IMPORTRANGE(""https://docs.google.com/spreadsheets/d/1C3CXT74ZlgGe6_JY_1olB1XN4rF0dxEuIIF-xsYjHgg/edit?usp=sharing"",""งบกองทุน!E34"")"),367080)</f>
        <v>367080</v>
      </c>
      <c r="F30" s="307">
        <f ca="1">IFERROR(__xludf.DUMMYFUNCTION("IMPORTRANGE(""https://docs.google.com/spreadsheets/d/11923uPwbBZFjjGgGUA6NLw09EwE0CqkOc4q9oUmW1yo/edit?usp=sharing"",""สุโขทัย!M244"")"),162300)</f>
        <v>162300</v>
      </c>
      <c r="G30" s="307">
        <f t="shared" ca="1" si="1"/>
        <v>44.213795357960116</v>
      </c>
      <c r="H30" s="306">
        <f ca="1">IFERROR(__xludf.DUMMYFUNCTION("IMPORTRANGE(""https://docs.google.com/spreadsheets/d/1C3CXT74ZlgGe6_JY_1olB1XN4rF0dxEuIIF-xsYjHgg/edit?usp=sharing"",""งบกองทุน!F34"")"),0)</f>
        <v>0</v>
      </c>
      <c r="I30" s="307">
        <v>0</v>
      </c>
      <c r="J30" s="307">
        <f t="shared" ca="1" si="3"/>
        <v>0</v>
      </c>
      <c r="K30" s="308">
        <f ca="1">IFERROR(__xludf.DUMMYFUNCTION("IMPORTRANGE(""https://docs.google.com/spreadsheets/d/1C3CXT74ZlgGe6_JY_1olB1XN4rF0dxEuIIF-xsYjHgg/edit?usp=sharing"",""งบกองทุน!H34"")"),80)</f>
        <v>80</v>
      </c>
      <c r="L30" s="306">
        <f t="shared" ca="1" si="50"/>
        <v>80</v>
      </c>
      <c r="M30" s="307">
        <f t="shared" ca="1" si="5"/>
        <v>100</v>
      </c>
      <c r="N30" s="306">
        <f ca="1">IFERROR(__xludf.DUMMYFUNCTION("IMPORTRANGE(""https://docs.google.com/spreadsheets/d/11923uPwbBZFjjGgGUA6NLw09EwE0CqkOc4q9oUmW1yo/edit?usp=sharing"",""สุโขทัย!j265"")"),80)</f>
        <v>80</v>
      </c>
      <c r="O30" s="306">
        <f ca="1">IFERROR(__xludf.DUMMYFUNCTION("IMPORTRANGE(""https://docs.google.com/spreadsheets/d/11923uPwbBZFjjGgGUA6NLw09EwE0CqkOc4q9oUmW1yo/edit?usp=sharing"",""สุโขทัย!j267"")"),80)</f>
        <v>80</v>
      </c>
      <c r="P30" s="306">
        <f ca="1">IFERROR(__xludf.DUMMYFUNCTION("IMPORTRANGE(""https://docs.google.com/spreadsheets/d/1C3CXT74ZlgGe6_JY_1olB1XN4rF0dxEuIIF-xsYjHgg/edit?usp=sharing"",""งบกองทุน!M34"")"),0)</f>
        <v>0</v>
      </c>
      <c r="Q30" s="306">
        <v>0</v>
      </c>
      <c r="R30" s="307">
        <f t="shared" ca="1" si="7"/>
        <v>0</v>
      </c>
      <c r="S30" s="308">
        <f t="shared" ca="1" si="51"/>
        <v>80</v>
      </c>
      <c r="T30" s="306">
        <f t="shared" ca="1" si="52"/>
        <v>0</v>
      </c>
      <c r="U30" s="309">
        <f t="shared" ca="1" si="9"/>
        <v>0</v>
      </c>
      <c r="V30" s="308">
        <f ca="1">IFERROR(__xludf.DUMMYFUNCTION("IMPORTRANGE(""https://docs.google.com/spreadsheets/d/1C3CXT74ZlgGe6_JY_1olB1XN4rF0dxEuIIF-xsYjHgg/edit?usp=sharing"",""งบกองทุน!O34"")"),46)</f>
        <v>46</v>
      </c>
      <c r="W30" s="306">
        <f ca="1">IFERROR(__xludf.DUMMYFUNCTION("IMPORTRANGE(""https://docs.google.com/spreadsheets/d/11923uPwbBZFjjGgGUA6NLw09EwE0CqkOc4q9oUmW1yo/edit?usp=sharing"",""สุโขทัย!j271"")"),0)</f>
        <v>0</v>
      </c>
      <c r="X30" s="309">
        <f t="shared" ca="1" si="11"/>
        <v>0</v>
      </c>
      <c r="Y30" s="308">
        <f ca="1">IFERROR(__xludf.DUMMYFUNCTION("IMPORTRANGE(""https://docs.google.com/spreadsheets/d/1C3CXT74ZlgGe6_JY_1olB1XN4rF0dxEuIIF-xsYjHgg/edit?usp=sharing"",""งบกองทุน!P34"")"),34)</f>
        <v>34</v>
      </c>
      <c r="Z30" s="306">
        <f ca="1">IFERROR(__xludf.DUMMYFUNCTION("IMPORTRANGE(""https://docs.google.com/spreadsheets/d/11923uPwbBZFjjGgGUA6NLw09EwE0CqkOc4q9oUmW1yo/edit?usp=sharing"",""สุโขทัย!j272"")"),0)</f>
        <v>0</v>
      </c>
      <c r="AA30" s="309">
        <f t="shared" ca="1" si="13"/>
        <v>0</v>
      </c>
      <c r="AB30" s="302"/>
    </row>
    <row r="31" spans="1:28" ht="21" customHeight="1">
      <c r="A31" s="303">
        <v>16</v>
      </c>
      <c r="B31" s="304" t="s">
        <v>55</v>
      </c>
      <c r="C31" s="305">
        <f t="shared" ca="1" si="49"/>
        <v>257760</v>
      </c>
      <c r="D31" s="306">
        <f ca="1">IFERROR(__xludf.DUMMYFUNCTION("IMPORTRANGE(""https://docs.google.com/spreadsheets/d/1C3CXT74ZlgGe6_JY_1olB1XN4rF0dxEuIIF-xsYjHgg/edit?usp=sharing"",""งบกองทุน!D35"")"),0)</f>
        <v>0</v>
      </c>
      <c r="E31" s="306">
        <f ca="1">IFERROR(__xludf.DUMMYFUNCTION("IMPORTRANGE(""https://docs.google.com/spreadsheets/d/1C3CXT74ZlgGe6_JY_1olB1XN4rF0dxEuIIF-xsYjHgg/edit?usp=sharing"",""งบกองทุน!E35"")"),257760)</f>
        <v>257760</v>
      </c>
      <c r="F31" s="307">
        <f ca="1">IFERROR(__xludf.DUMMYFUNCTION("IMPORTRANGE(""https://docs.google.com/spreadsheets/d/11923uPwbBZFjjGgGUA6NLw09EwE0CqkOc4q9oUmW1yo/edit?usp=sharing"",""อุตรดิตถ์!M244"")"),117990.1)</f>
        <v>117990.1</v>
      </c>
      <c r="G31" s="307">
        <f t="shared" ca="1" si="1"/>
        <v>45.77517846058349</v>
      </c>
      <c r="H31" s="306">
        <f ca="1">IFERROR(__xludf.DUMMYFUNCTION("IMPORTRANGE(""https://docs.google.com/spreadsheets/d/1C3CXT74ZlgGe6_JY_1olB1XN4rF0dxEuIIF-xsYjHgg/edit?usp=sharing"",""งบกองทุน!F35"")"),0)</f>
        <v>0</v>
      </c>
      <c r="I31" s="307">
        <v>0</v>
      </c>
      <c r="J31" s="307">
        <f t="shared" ca="1" si="3"/>
        <v>0</v>
      </c>
      <c r="K31" s="308">
        <f ca="1">IFERROR(__xludf.DUMMYFUNCTION("IMPORTRANGE(""https://docs.google.com/spreadsheets/d/1C3CXT74ZlgGe6_JY_1olB1XN4rF0dxEuIIF-xsYjHgg/edit?usp=sharing"",""งบกองทุน!H35"")"),30)</f>
        <v>30</v>
      </c>
      <c r="L31" s="306">
        <f t="shared" ca="1" si="50"/>
        <v>30</v>
      </c>
      <c r="M31" s="307">
        <f t="shared" ca="1" si="5"/>
        <v>100</v>
      </c>
      <c r="N31" s="306">
        <f ca="1">IFERROR(__xludf.DUMMYFUNCTION("IMPORTRANGE(""https://docs.google.com/spreadsheets/d/11923uPwbBZFjjGgGUA6NLw09EwE0CqkOc4q9oUmW1yo/edit?usp=sharing"",""อุตรดิตถ์!j265"")"),30)</f>
        <v>30</v>
      </c>
      <c r="O31" s="306">
        <f ca="1">IFERROR(__xludf.DUMMYFUNCTION("IMPORTRANGE(""https://docs.google.com/spreadsheets/d/11923uPwbBZFjjGgGUA6NLw09EwE0CqkOc4q9oUmW1yo/edit?usp=sharing"",""อุตรดิตถ์!j267"")"),30)</f>
        <v>30</v>
      </c>
      <c r="P31" s="306">
        <f ca="1">IFERROR(__xludf.DUMMYFUNCTION("IMPORTRANGE(""https://docs.google.com/spreadsheets/d/1C3CXT74ZlgGe6_JY_1olB1XN4rF0dxEuIIF-xsYjHgg/edit?usp=sharing"",""งบกองทุน!M35"")"),0)</f>
        <v>0</v>
      </c>
      <c r="Q31" s="306">
        <v>0</v>
      </c>
      <c r="R31" s="307">
        <f t="shared" ca="1" si="7"/>
        <v>0</v>
      </c>
      <c r="S31" s="308">
        <f t="shared" ca="1" si="51"/>
        <v>30</v>
      </c>
      <c r="T31" s="306">
        <f t="shared" ca="1" si="52"/>
        <v>10</v>
      </c>
      <c r="U31" s="309">
        <f t="shared" ca="1" si="9"/>
        <v>33.333333333333336</v>
      </c>
      <c r="V31" s="308">
        <f ca="1">IFERROR(__xludf.DUMMYFUNCTION("IMPORTRANGE(""https://docs.google.com/spreadsheets/d/1C3CXT74ZlgGe6_JY_1olB1XN4rF0dxEuIIF-xsYjHgg/edit?usp=sharing"",""งบกองทุน!O35"")"),20)</f>
        <v>20</v>
      </c>
      <c r="W31" s="306">
        <f ca="1">IFERROR(__xludf.DUMMYFUNCTION("IMPORTRANGE(""https://docs.google.com/spreadsheets/d/11923uPwbBZFjjGgGUA6NLw09EwE0CqkOc4q9oUmW1yo/edit?usp=sharing"",""อุตรดิตถ์!j271"")"),0)</f>
        <v>0</v>
      </c>
      <c r="X31" s="309">
        <f t="shared" ca="1" si="11"/>
        <v>0</v>
      </c>
      <c r="Y31" s="308">
        <f ca="1">IFERROR(__xludf.DUMMYFUNCTION("IMPORTRANGE(""https://docs.google.com/spreadsheets/d/1C3CXT74ZlgGe6_JY_1olB1XN4rF0dxEuIIF-xsYjHgg/edit?usp=sharing"",""งบกองทุน!P35"")"),10)</f>
        <v>10</v>
      </c>
      <c r="Z31" s="306">
        <f ca="1">IFERROR(__xludf.DUMMYFUNCTION("IMPORTRANGE(""https://docs.google.com/spreadsheets/d/11923uPwbBZFjjGgGUA6NLw09EwE0CqkOc4q9oUmW1yo/edit?usp=sharing"",""อุตรดิตถ์!j272"")"),10)</f>
        <v>10</v>
      </c>
      <c r="AA31" s="309">
        <f t="shared" ca="1" si="13"/>
        <v>100</v>
      </c>
      <c r="AB31" s="302"/>
    </row>
    <row r="32" spans="1:28" ht="21" customHeight="1">
      <c r="A32" s="310">
        <v>17</v>
      </c>
      <c r="B32" s="311" t="s">
        <v>56</v>
      </c>
      <c r="C32" s="312">
        <f t="shared" ca="1" si="49"/>
        <v>303160</v>
      </c>
      <c r="D32" s="306">
        <f ca="1">IFERROR(__xludf.DUMMYFUNCTION("IMPORTRANGE(""https://docs.google.com/spreadsheets/d/1C3CXT74ZlgGe6_JY_1olB1XN4rF0dxEuIIF-xsYjHgg/edit?usp=sharing"",""งบกองทุน!D36"")"),0)</f>
        <v>0</v>
      </c>
      <c r="E32" s="313">
        <f ca="1">IFERROR(__xludf.DUMMYFUNCTION("IMPORTRANGE(""https://docs.google.com/spreadsheets/d/1C3CXT74ZlgGe6_JY_1olB1XN4rF0dxEuIIF-xsYjHgg/edit?usp=sharing"",""งบกองทุน!E36"")"),303160)</f>
        <v>303160</v>
      </c>
      <c r="F32" s="314">
        <f ca="1">IFERROR(__xludf.DUMMYFUNCTION("IMPORTRANGE(""https://docs.google.com/spreadsheets/d/11923uPwbBZFjjGgGUA6NLw09EwE0CqkOc4q9oUmW1yo/edit?usp=sharing"",""อุทัยธานี!M244"")"),129500)</f>
        <v>129500</v>
      </c>
      <c r="G32" s="314">
        <f t="shared" ca="1" si="1"/>
        <v>42.716717245019133</v>
      </c>
      <c r="H32" s="313">
        <f ca="1">IFERROR(__xludf.DUMMYFUNCTION("IMPORTRANGE(""https://docs.google.com/spreadsheets/d/1C3CXT74ZlgGe6_JY_1olB1XN4rF0dxEuIIF-xsYjHgg/edit?usp=sharing"",""งบกองทุน!F36"")"),0)</f>
        <v>0</v>
      </c>
      <c r="I32" s="314">
        <v>0</v>
      </c>
      <c r="J32" s="314">
        <f t="shared" ca="1" si="3"/>
        <v>0</v>
      </c>
      <c r="K32" s="315">
        <f ca="1">IFERROR(__xludf.DUMMYFUNCTION("IMPORTRANGE(""https://docs.google.com/spreadsheets/d/1C3CXT74ZlgGe6_JY_1olB1XN4rF0dxEuIIF-xsYjHgg/edit?usp=sharing"",""งบกองทุน!H36"")"),40)</f>
        <v>40</v>
      </c>
      <c r="L32" s="313">
        <f t="shared" ca="1" si="50"/>
        <v>40</v>
      </c>
      <c r="M32" s="314">
        <f t="shared" ca="1" si="5"/>
        <v>100</v>
      </c>
      <c r="N32" s="313">
        <f ca="1">IFERROR(__xludf.DUMMYFUNCTION("IMPORTRANGE(""https://docs.google.com/spreadsheets/d/11923uPwbBZFjjGgGUA6NLw09EwE0CqkOc4q9oUmW1yo/edit?usp=sharing"",""อุทัยธานี!j265"")"),40)</f>
        <v>40</v>
      </c>
      <c r="O32" s="313">
        <f ca="1">IFERROR(__xludf.DUMMYFUNCTION("IMPORTRANGE(""https://docs.google.com/spreadsheets/d/11923uPwbBZFjjGgGUA6NLw09EwE0CqkOc4q9oUmW1yo/edit?usp=sharing"",""อุทัยธานี!j267"")"),40)</f>
        <v>40</v>
      </c>
      <c r="P32" s="313">
        <f ca="1">IFERROR(__xludf.DUMMYFUNCTION("IMPORTRANGE(""https://docs.google.com/spreadsheets/d/1C3CXT74ZlgGe6_JY_1olB1XN4rF0dxEuIIF-xsYjHgg/edit?usp=sharing"",""งบกองทุน!M36"")"),0)</f>
        <v>0</v>
      </c>
      <c r="Q32" s="313">
        <v>0</v>
      </c>
      <c r="R32" s="314">
        <f t="shared" ca="1" si="7"/>
        <v>0</v>
      </c>
      <c r="S32" s="315">
        <f t="shared" ca="1" si="51"/>
        <v>70</v>
      </c>
      <c r="T32" s="313">
        <f t="shared" ca="1" si="52"/>
        <v>20</v>
      </c>
      <c r="U32" s="316">
        <f t="shared" ca="1" si="9"/>
        <v>28.571428571428573</v>
      </c>
      <c r="V32" s="315">
        <f ca="1">IFERROR(__xludf.DUMMYFUNCTION("IMPORTRANGE(""https://docs.google.com/spreadsheets/d/1C3CXT74ZlgGe6_JY_1olB1XN4rF0dxEuIIF-xsYjHgg/edit?usp=sharing"",""งบกองทุน!O36"")"),20)</f>
        <v>20</v>
      </c>
      <c r="W32" s="313">
        <f ca="1">IFERROR(__xludf.DUMMYFUNCTION("IMPORTRANGE(""https://docs.google.com/spreadsheets/d/11923uPwbBZFjjGgGUA6NLw09EwE0CqkOc4q9oUmW1yo/edit?usp=sharing"",""อุทัยธานี!j271"")"),20)</f>
        <v>20</v>
      </c>
      <c r="X32" s="316">
        <f t="shared" ca="1" si="11"/>
        <v>100</v>
      </c>
      <c r="Y32" s="315">
        <f ca="1">IFERROR(__xludf.DUMMYFUNCTION("IMPORTRANGE(""https://docs.google.com/spreadsheets/d/1C3CXT74ZlgGe6_JY_1olB1XN4rF0dxEuIIF-xsYjHgg/edit?usp=sharing"",""งบกองทุน!P36"")"),50)</f>
        <v>50</v>
      </c>
      <c r="Z32" s="313">
        <f ca="1">IFERROR(__xludf.DUMMYFUNCTION("IMPORTRANGE(""https://docs.google.com/spreadsheets/d/11923uPwbBZFjjGgGUA6NLw09EwE0CqkOc4q9oUmW1yo/edit?usp=sharing"",""อุทัยธานี!j272"")"),0)</f>
        <v>0</v>
      </c>
      <c r="AA32" s="316">
        <f t="shared" ca="1" si="13"/>
        <v>0</v>
      </c>
      <c r="AB32" s="302"/>
    </row>
    <row r="33" spans="1:28" ht="21" customHeight="1">
      <c r="A33" s="800" t="s">
        <v>57</v>
      </c>
      <c r="B33" s="678"/>
      <c r="C33" s="317">
        <f t="shared" ref="C33:F33" ca="1" si="53">SUM(C34:C53)</f>
        <v>9976370</v>
      </c>
      <c r="D33" s="318">
        <f t="shared" ca="1" si="53"/>
        <v>0</v>
      </c>
      <c r="E33" s="318">
        <f t="shared" ca="1" si="53"/>
        <v>9976370</v>
      </c>
      <c r="F33" s="319">
        <f t="shared" ca="1" si="53"/>
        <v>3726842.7799999993</v>
      </c>
      <c r="G33" s="319">
        <f t="shared" ca="1" si="1"/>
        <v>37.356701686084214</v>
      </c>
      <c r="H33" s="318">
        <f t="shared" ref="H33:I33" ca="1" si="54">SUM(H34:H53)</f>
        <v>0</v>
      </c>
      <c r="I33" s="319">
        <f t="shared" si="54"/>
        <v>0</v>
      </c>
      <c r="J33" s="319">
        <f t="shared" ca="1" si="3"/>
        <v>0</v>
      </c>
      <c r="K33" s="318">
        <f t="shared" ref="K33:L33" ca="1" si="55">SUM(K34:K53)</f>
        <v>1466</v>
      </c>
      <c r="L33" s="318">
        <f t="shared" ca="1" si="55"/>
        <v>1305</v>
      </c>
      <c r="M33" s="319">
        <f t="shared" ca="1" si="5"/>
        <v>89.017735334242843</v>
      </c>
      <c r="N33" s="318">
        <f t="shared" ref="N33:Q33" ca="1" si="56">SUM(N34:N53)</f>
        <v>1299</v>
      </c>
      <c r="O33" s="318">
        <f t="shared" ca="1" si="56"/>
        <v>1019</v>
      </c>
      <c r="P33" s="318">
        <f t="shared" ca="1" si="56"/>
        <v>0</v>
      </c>
      <c r="Q33" s="318">
        <f t="shared" si="56"/>
        <v>0</v>
      </c>
      <c r="R33" s="319">
        <f t="shared" ca="1" si="7"/>
        <v>0</v>
      </c>
      <c r="S33" s="318">
        <f ca="1">SUM(S34:S53)</f>
        <v>5203</v>
      </c>
      <c r="T33" s="318">
        <f t="shared" ca="1" si="52"/>
        <v>1176</v>
      </c>
      <c r="U33" s="319">
        <f t="shared" ca="1" si="9"/>
        <v>22.602344801076303</v>
      </c>
      <c r="V33" s="318">
        <f t="shared" ref="V33:W33" ca="1" si="57">SUM(V34:V53)</f>
        <v>2614</v>
      </c>
      <c r="W33" s="318">
        <f t="shared" ca="1" si="57"/>
        <v>566</v>
      </c>
      <c r="X33" s="319">
        <f t="shared" ca="1" si="11"/>
        <v>21.652639632746748</v>
      </c>
      <c r="Y33" s="318">
        <f t="shared" ref="Y33:Z33" ca="1" si="58">SUM(Y34:Y53)</f>
        <v>2589</v>
      </c>
      <c r="Z33" s="318">
        <f t="shared" ca="1" si="58"/>
        <v>610</v>
      </c>
      <c r="AA33" s="319">
        <f t="shared" ca="1" si="13"/>
        <v>23.561220548474314</v>
      </c>
      <c r="AB33" s="302"/>
    </row>
    <row r="34" spans="1:28" ht="21" customHeight="1">
      <c r="A34" s="293">
        <v>1</v>
      </c>
      <c r="B34" s="294" t="s">
        <v>58</v>
      </c>
      <c r="C34" s="295">
        <f t="shared" ref="C34:C53" ca="1" si="59">+D34+E34</f>
        <v>576480</v>
      </c>
      <c r="D34" s="296">
        <f ca="1">IFERROR(__xludf.DUMMYFUNCTION("IMPORTRANGE(""https://docs.google.com/spreadsheets/d/1C3CXT74ZlgGe6_JY_1olB1XN4rF0dxEuIIF-xsYjHgg/edit?usp=sharing"",""งบกองทุน!D38"")"),0)</f>
        <v>0</v>
      </c>
      <c r="E34" s="296">
        <f ca="1">IFERROR(__xludf.DUMMYFUNCTION("IMPORTRANGE(""https://docs.google.com/spreadsheets/d/1C3CXT74ZlgGe6_JY_1olB1XN4rF0dxEuIIF-xsYjHgg/edit?usp=sharing"",""งบกองทุน!E38"")"),576480)</f>
        <v>576480</v>
      </c>
      <c r="F34" s="297">
        <f ca="1">IFERROR(__xludf.DUMMYFUNCTION("IMPORTRANGE(""https://docs.google.com/spreadsheets/d/1XL5vhW3sbDhbH9Cz0tuDiY8C3ctxq1tqvaCgkFb8cCA/edit?usp=sharing"",""กาฬสินธุ์!M244"")"),139338)</f>
        <v>139338</v>
      </c>
      <c r="G34" s="297">
        <f t="shared" ca="1" si="1"/>
        <v>24.170482930890923</v>
      </c>
      <c r="H34" s="296">
        <f ca="1">IFERROR(__xludf.DUMMYFUNCTION("IMPORTRANGE(""https://docs.google.com/spreadsheets/d/1C3CXT74ZlgGe6_JY_1olB1XN4rF0dxEuIIF-xsYjHgg/edit?usp=sharing"",""งบกองทุน!F38"")"),0)</f>
        <v>0</v>
      </c>
      <c r="I34" s="297">
        <v>0</v>
      </c>
      <c r="J34" s="297">
        <f t="shared" ca="1" si="3"/>
        <v>0</v>
      </c>
      <c r="K34" s="299">
        <f ca="1">IFERROR(__xludf.DUMMYFUNCTION("IMPORTRANGE(""https://docs.google.com/spreadsheets/d/1C3CXT74ZlgGe6_JY_1olB1XN4rF0dxEuIIF-xsYjHgg/edit?usp=sharing"",""งบกองทุน!H38"")"),60)</f>
        <v>60</v>
      </c>
      <c r="L34" s="296">
        <f t="shared" ref="L34:L50" ca="1" si="60">IF(N34&gt;=K34,N34,IF(O34&gt;=K34,O34,IF(N34+O34&gt;=K34,N34+O34,0)))</f>
        <v>0</v>
      </c>
      <c r="M34" s="297">
        <f t="shared" ca="1" si="5"/>
        <v>0</v>
      </c>
      <c r="N34" s="296">
        <f ca="1">IFERROR(__xludf.DUMMYFUNCTION("IMPORTRANGE(""https://docs.google.com/spreadsheets/d/1XL5vhW3sbDhbH9Cz0tuDiY8C3ctxq1tqvaCgkFb8cCA/edit?usp=sharing"",""กาฬสินธุ์!j265"")"),0)</f>
        <v>0</v>
      </c>
      <c r="O34" s="296">
        <f ca="1">IFERROR(__xludf.DUMMYFUNCTION("IMPORTRANGE(""https://docs.google.com/spreadsheets/d/1XL5vhW3sbDhbH9Cz0tuDiY8C3ctxq1tqvaCgkFb8cCA/edit?usp=sharing"",""กาฬสินธุ์!j267"")"),0)</f>
        <v>0</v>
      </c>
      <c r="P34" s="296">
        <f ca="1">IFERROR(__xludf.DUMMYFUNCTION("IMPORTRANGE(""https://docs.google.com/spreadsheets/d/1C3CXT74ZlgGe6_JY_1olB1XN4rF0dxEuIIF-xsYjHgg/edit?usp=sharing"",""งบกองทุน!M38"")"),0)</f>
        <v>0</v>
      </c>
      <c r="Q34" s="296">
        <v>0</v>
      </c>
      <c r="R34" s="297">
        <f t="shared" ca="1" si="7"/>
        <v>0</v>
      </c>
      <c r="S34" s="299">
        <f t="shared" ref="S34:S53" ca="1" si="61">+V34+Y34</f>
        <v>300</v>
      </c>
      <c r="T34" s="296">
        <f t="shared" ca="1" si="52"/>
        <v>0</v>
      </c>
      <c r="U34" s="301">
        <f t="shared" ca="1" si="9"/>
        <v>0</v>
      </c>
      <c r="V34" s="299">
        <f ca="1">IFERROR(__xludf.DUMMYFUNCTION("IMPORTRANGE(""https://docs.google.com/spreadsheets/d/1C3CXT74ZlgGe6_JY_1olB1XN4rF0dxEuIIF-xsYjHgg/edit?usp=sharing"",""งบกองทุน!O38"")"),300)</f>
        <v>300</v>
      </c>
      <c r="W34" s="296">
        <f ca="1">IFERROR(__xludf.DUMMYFUNCTION("IMPORTRANGE(""https://docs.google.com/spreadsheets/d/1XL5vhW3sbDhbH9Cz0tuDiY8C3ctxq1tqvaCgkFb8cCA/edit?usp=sharing"",""กาฬสินธุ์!j271"")"),0)</f>
        <v>0</v>
      </c>
      <c r="X34" s="301">
        <f t="shared" ca="1" si="11"/>
        <v>0</v>
      </c>
      <c r="Y34" s="299">
        <f ca="1">IFERROR(__xludf.DUMMYFUNCTION("IMPORTRANGE(""https://docs.google.com/spreadsheets/d/1C3CXT74ZlgGe6_JY_1olB1XN4rF0dxEuIIF-xsYjHgg/edit?usp=sharing"",""งบกองทุน!P38"")"),0)</f>
        <v>0</v>
      </c>
      <c r="Z34" s="296">
        <f ca="1">IFERROR(__xludf.DUMMYFUNCTION("IMPORTRANGE(""https://docs.google.com/spreadsheets/d/1XL5vhW3sbDhbH9Cz0tuDiY8C3ctxq1tqvaCgkFb8cCA/edit?usp=sharing"",""กาฬสินธุ์!j272"")"),0)</f>
        <v>0</v>
      </c>
      <c r="AA34" s="301">
        <f t="shared" ca="1" si="13"/>
        <v>0</v>
      </c>
      <c r="AB34" s="302"/>
    </row>
    <row r="35" spans="1:28" ht="21" customHeight="1">
      <c r="A35" s="303">
        <v>2</v>
      </c>
      <c r="B35" s="304" t="s">
        <v>59</v>
      </c>
      <c r="C35" s="305">
        <f t="shared" ca="1" si="59"/>
        <v>349530</v>
      </c>
      <c r="D35" s="306">
        <f ca="1">IFERROR(__xludf.DUMMYFUNCTION("IMPORTRANGE(""https://docs.google.com/spreadsheets/d/1C3CXT74ZlgGe6_JY_1olB1XN4rF0dxEuIIF-xsYjHgg/edit?usp=sharing"",""งบกองทุน!D39"")"),0)</f>
        <v>0</v>
      </c>
      <c r="E35" s="306">
        <f ca="1">IFERROR(__xludf.DUMMYFUNCTION("IMPORTRANGE(""https://docs.google.com/spreadsheets/d/1C3CXT74ZlgGe6_JY_1olB1XN4rF0dxEuIIF-xsYjHgg/edit?usp=sharing"",""งบกองทุน!E39"")"),349530)</f>
        <v>349530</v>
      </c>
      <c r="F35" s="307">
        <f ca="1">IFERROR(__xludf.DUMMYFUNCTION("IMPORTRANGE(""https://docs.google.com/spreadsheets/d/1XL5vhW3sbDhbH9Cz0tuDiY8C3ctxq1tqvaCgkFb8cCA/edit?usp=sharing"",""ขอนแก่น!M244"")"),164123.33)</f>
        <v>164123.32999999999</v>
      </c>
      <c r="G35" s="307">
        <f t="shared" ca="1" si="1"/>
        <v>46.955434440534425</v>
      </c>
      <c r="H35" s="306">
        <f ca="1">IFERROR(__xludf.DUMMYFUNCTION("IMPORTRANGE(""https://docs.google.com/spreadsheets/d/1C3CXT74ZlgGe6_JY_1olB1XN4rF0dxEuIIF-xsYjHgg/edit?usp=sharing"",""งบกองทุน!F39"")"),0)</f>
        <v>0</v>
      </c>
      <c r="I35" s="307">
        <v>0</v>
      </c>
      <c r="J35" s="307">
        <f t="shared" ca="1" si="3"/>
        <v>0</v>
      </c>
      <c r="K35" s="308">
        <f ca="1">IFERROR(__xludf.DUMMYFUNCTION("IMPORTRANGE(""https://docs.google.com/spreadsheets/d/1C3CXT74ZlgGe6_JY_1olB1XN4rF0dxEuIIF-xsYjHgg/edit?usp=sharing"",""งบกองทุน!H39"")"),55)</f>
        <v>55</v>
      </c>
      <c r="L35" s="306">
        <f t="shared" ca="1" si="60"/>
        <v>55</v>
      </c>
      <c r="M35" s="307">
        <f t="shared" ca="1" si="5"/>
        <v>100</v>
      </c>
      <c r="N35" s="306">
        <f ca="1">IFERROR(__xludf.DUMMYFUNCTION("IMPORTRANGE(""https://docs.google.com/spreadsheets/d/1XL5vhW3sbDhbH9Cz0tuDiY8C3ctxq1tqvaCgkFb8cCA/edit?usp=sharing"",""ขอนแก่น!j265"")"),55)</f>
        <v>55</v>
      </c>
      <c r="O35" s="306">
        <f ca="1">IFERROR(__xludf.DUMMYFUNCTION("IMPORTRANGE(""https://docs.google.com/spreadsheets/d/1XL5vhW3sbDhbH9Cz0tuDiY8C3ctxq1tqvaCgkFb8cCA/edit?usp=sharing"",""ขอนแก่น!j267"")"),0)</f>
        <v>0</v>
      </c>
      <c r="P35" s="306">
        <f ca="1">IFERROR(__xludf.DUMMYFUNCTION("IMPORTRANGE(""https://docs.google.com/spreadsheets/d/1C3CXT74ZlgGe6_JY_1olB1XN4rF0dxEuIIF-xsYjHgg/edit?usp=sharing"",""งบกองทุน!M39"")"),0)</f>
        <v>0</v>
      </c>
      <c r="Q35" s="306">
        <v>0</v>
      </c>
      <c r="R35" s="307">
        <f t="shared" ca="1" si="7"/>
        <v>0</v>
      </c>
      <c r="S35" s="308">
        <f t="shared" ca="1" si="61"/>
        <v>95</v>
      </c>
      <c r="T35" s="306">
        <f t="shared" ca="1" si="52"/>
        <v>0</v>
      </c>
      <c r="U35" s="309">
        <f t="shared" ca="1" si="9"/>
        <v>0</v>
      </c>
      <c r="V35" s="308">
        <f ca="1">IFERROR(__xludf.DUMMYFUNCTION("IMPORTRANGE(""https://docs.google.com/spreadsheets/d/1C3CXT74ZlgGe6_JY_1olB1XN4rF0dxEuIIF-xsYjHgg/edit?usp=sharing"",""งบกองทุน!O39"")"),60)</f>
        <v>60</v>
      </c>
      <c r="W35" s="306">
        <f ca="1">IFERROR(__xludf.DUMMYFUNCTION("IMPORTRANGE(""https://docs.google.com/spreadsheets/d/1XL5vhW3sbDhbH9Cz0tuDiY8C3ctxq1tqvaCgkFb8cCA/edit?usp=sharing"",""ขอนแก่น!j271"")"),0)</f>
        <v>0</v>
      </c>
      <c r="X35" s="309">
        <f t="shared" ca="1" si="11"/>
        <v>0</v>
      </c>
      <c r="Y35" s="308">
        <f ca="1">IFERROR(__xludf.DUMMYFUNCTION("IMPORTRANGE(""https://docs.google.com/spreadsheets/d/1C3CXT74ZlgGe6_JY_1olB1XN4rF0dxEuIIF-xsYjHgg/edit?usp=sharing"",""งบกองทุน!P39"")"),35)</f>
        <v>35</v>
      </c>
      <c r="Z35" s="306">
        <f ca="1">IFERROR(__xludf.DUMMYFUNCTION("IMPORTRANGE(""https://docs.google.com/spreadsheets/d/1XL5vhW3sbDhbH9Cz0tuDiY8C3ctxq1tqvaCgkFb8cCA/edit?usp=sharing"",""ขอนแก่น!j272"")"),0)</f>
        <v>0</v>
      </c>
      <c r="AA35" s="309">
        <f t="shared" ca="1" si="13"/>
        <v>0</v>
      </c>
      <c r="AB35" s="302"/>
    </row>
    <row r="36" spans="1:28" ht="21" customHeight="1">
      <c r="A36" s="303">
        <v>3</v>
      </c>
      <c r="B36" s="304" t="s">
        <v>60</v>
      </c>
      <c r="C36" s="305">
        <f t="shared" ca="1" si="59"/>
        <v>0</v>
      </c>
      <c r="D36" s="306">
        <f ca="1">IFERROR(__xludf.DUMMYFUNCTION("IMPORTRANGE(""https://docs.google.com/spreadsheets/d/1C3CXT74ZlgGe6_JY_1olB1XN4rF0dxEuIIF-xsYjHgg/edit?usp=sharing"",""งบกองทุน!D40"")"),0)</f>
        <v>0</v>
      </c>
      <c r="E36" s="306">
        <f ca="1">IFERROR(__xludf.DUMMYFUNCTION("IMPORTRANGE(""https://docs.google.com/spreadsheets/d/1C3CXT74ZlgGe6_JY_1olB1XN4rF0dxEuIIF-xsYjHgg/edit?usp=sharing"",""งบกองทุน!E40"")"),0)</f>
        <v>0</v>
      </c>
      <c r="F36" s="307">
        <f ca="1">IFERROR(__xludf.DUMMYFUNCTION("IMPORTRANGE(""https://docs.google.com/spreadsheets/d/1XL5vhW3sbDhbH9Cz0tuDiY8C3ctxq1tqvaCgkFb8cCA/edit?usp=sharing"",""ชัยภูมิ!M244"")"),0)</f>
        <v>0</v>
      </c>
      <c r="G36" s="307">
        <f t="shared" ca="1" si="1"/>
        <v>0</v>
      </c>
      <c r="H36" s="306">
        <f ca="1">IFERROR(__xludf.DUMMYFUNCTION("IMPORTRANGE(""https://docs.google.com/spreadsheets/d/1C3CXT74ZlgGe6_JY_1olB1XN4rF0dxEuIIF-xsYjHgg/edit?usp=sharing"",""งบกองทุน!F40"")"),0)</f>
        <v>0</v>
      </c>
      <c r="I36" s="307">
        <v>0</v>
      </c>
      <c r="J36" s="307">
        <f t="shared" ca="1" si="3"/>
        <v>0</v>
      </c>
      <c r="K36" s="308">
        <f ca="1">IFERROR(__xludf.DUMMYFUNCTION("IMPORTRANGE(""https://docs.google.com/spreadsheets/d/1C3CXT74ZlgGe6_JY_1olB1XN4rF0dxEuIIF-xsYjHgg/edit?usp=sharing"",""งบกองทุน!H40"")"),0)</f>
        <v>0</v>
      </c>
      <c r="L36" s="306">
        <f t="shared" ca="1" si="60"/>
        <v>0</v>
      </c>
      <c r="M36" s="307">
        <f t="shared" ca="1" si="5"/>
        <v>0</v>
      </c>
      <c r="N36" s="306">
        <f ca="1">IFERROR(__xludf.DUMMYFUNCTION("IMPORTRANGE(""https://docs.google.com/spreadsheets/d/1XL5vhW3sbDhbH9Cz0tuDiY8C3ctxq1tqvaCgkFb8cCA/edit?usp=sharing"",""ชัยภูมิ!j265"")"),0)</f>
        <v>0</v>
      </c>
      <c r="O36" s="306">
        <f ca="1">IFERROR(__xludf.DUMMYFUNCTION("IMPORTRANGE(""https://docs.google.com/spreadsheets/d/1XL5vhW3sbDhbH9Cz0tuDiY8C3ctxq1tqvaCgkFb8cCA/edit?usp=sharing"",""ชัยภูมิ!j267"")"),0)</f>
        <v>0</v>
      </c>
      <c r="P36" s="306">
        <f ca="1">IFERROR(__xludf.DUMMYFUNCTION("IMPORTRANGE(""https://docs.google.com/spreadsheets/d/1C3CXT74ZlgGe6_JY_1olB1XN4rF0dxEuIIF-xsYjHgg/edit?usp=sharing"",""งบกองทุน!M40"")"),0)</f>
        <v>0</v>
      </c>
      <c r="Q36" s="306">
        <v>0</v>
      </c>
      <c r="R36" s="307">
        <f t="shared" ca="1" si="7"/>
        <v>0</v>
      </c>
      <c r="S36" s="308">
        <f t="shared" ca="1" si="61"/>
        <v>0</v>
      </c>
      <c r="T36" s="306">
        <f t="shared" ca="1" si="52"/>
        <v>0</v>
      </c>
      <c r="U36" s="309">
        <f t="shared" ca="1" si="9"/>
        <v>0</v>
      </c>
      <c r="V36" s="308">
        <f ca="1">IFERROR(__xludf.DUMMYFUNCTION("IMPORTRANGE(""https://docs.google.com/spreadsheets/d/1C3CXT74ZlgGe6_JY_1olB1XN4rF0dxEuIIF-xsYjHgg/edit?usp=sharing"",""งบกองทุน!O40"")"),0)</f>
        <v>0</v>
      </c>
      <c r="W36" s="306">
        <f ca="1">IFERROR(__xludf.DUMMYFUNCTION("IMPORTRANGE(""https://docs.google.com/spreadsheets/d/1XL5vhW3sbDhbH9Cz0tuDiY8C3ctxq1tqvaCgkFb8cCA/edit?usp=sharing"",""ชัยภูมิ!j271"")"),0)</f>
        <v>0</v>
      </c>
      <c r="X36" s="309">
        <f t="shared" ca="1" si="11"/>
        <v>0</v>
      </c>
      <c r="Y36" s="308">
        <f ca="1">IFERROR(__xludf.DUMMYFUNCTION("IMPORTRANGE(""https://docs.google.com/spreadsheets/d/1C3CXT74ZlgGe6_JY_1olB1XN4rF0dxEuIIF-xsYjHgg/edit?usp=sharing"",""งบกองทุน!P40"")"),0)</f>
        <v>0</v>
      </c>
      <c r="Z36" s="306">
        <f ca="1">IFERROR(__xludf.DUMMYFUNCTION("IMPORTRANGE(""https://docs.google.com/spreadsheets/d/1XL5vhW3sbDhbH9Cz0tuDiY8C3ctxq1tqvaCgkFb8cCA/edit?usp=sharing"",""ชัยภูมิ!j272"")"),0)</f>
        <v>0</v>
      </c>
      <c r="AA36" s="309">
        <f t="shared" ca="1" si="13"/>
        <v>0</v>
      </c>
      <c r="AB36" s="302"/>
    </row>
    <row r="37" spans="1:28" ht="21" customHeight="1">
      <c r="A37" s="303">
        <v>4</v>
      </c>
      <c r="B37" s="304" t="s">
        <v>61</v>
      </c>
      <c r="C37" s="305">
        <f t="shared" ca="1" si="59"/>
        <v>300160</v>
      </c>
      <c r="D37" s="306">
        <f ca="1">IFERROR(__xludf.DUMMYFUNCTION("IMPORTRANGE(""https://docs.google.com/spreadsheets/d/1C3CXT74ZlgGe6_JY_1olB1XN4rF0dxEuIIF-xsYjHgg/edit?usp=sharing"",""งบกองทุน!D41"")"),0)</f>
        <v>0</v>
      </c>
      <c r="E37" s="306">
        <f ca="1">IFERROR(__xludf.DUMMYFUNCTION("IMPORTRANGE(""https://docs.google.com/spreadsheets/d/1C3CXT74ZlgGe6_JY_1olB1XN4rF0dxEuIIF-xsYjHgg/edit?usp=sharing"",""งบกองทุน!E41"")"),300160)</f>
        <v>300160</v>
      </c>
      <c r="F37" s="307">
        <f ca="1">IFERROR(__xludf.DUMMYFUNCTION("IMPORTRANGE(""https://docs.google.com/spreadsheets/d/1XL5vhW3sbDhbH9Cz0tuDiY8C3ctxq1tqvaCgkFb8cCA/edit?usp=sharing"",""นครพนม!M244"")"),122043)</f>
        <v>122043</v>
      </c>
      <c r="G37" s="307">
        <f t="shared" ca="1" si="1"/>
        <v>40.659315031982942</v>
      </c>
      <c r="H37" s="306">
        <f ca="1">IFERROR(__xludf.DUMMYFUNCTION("IMPORTRANGE(""https://docs.google.com/spreadsheets/d/1C3CXT74ZlgGe6_JY_1olB1XN4rF0dxEuIIF-xsYjHgg/edit?usp=sharing"",""งบกองทุน!F41"")"),0)</f>
        <v>0</v>
      </c>
      <c r="I37" s="307">
        <v>0</v>
      </c>
      <c r="J37" s="307">
        <f t="shared" ca="1" si="3"/>
        <v>0</v>
      </c>
      <c r="K37" s="308">
        <f ca="1">IFERROR(__xludf.DUMMYFUNCTION("IMPORTRANGE(""https://docs.google.com/spreadsheets/d/1C3CXT74ZlgGe6_JY_1olB1XN4rF0dxEuIIF-xsYjHgg/edit?usp=sharing"",""งบกองทุน!H41"")"),40)</f>
        <v>40</v>
      </c>
      <c r="L37" s="306">
        <f t="shared" ca="1" si="60"/>
        <v>40</v>
      </c>
      <c r="M37" s="307">
        <f t="shared" ca="1" si="5"/>
        <v>100</v>
      </c>
      <c r="N37" s="306">
        <f ca="1">IFERROR(__xludf.DUMMYFUNCTION("IMPORTRANGE(""https://docs.google.com/spreadsheets/d/1XL5vhW3sbDhbH9Cz0tuDiY8C3ctxq1tqvaCgkFb8cCA/edit?usp=sharing"",""นครพนม!j265"")"),40)</f>
        <v>40</v>
      </c>
      <c r="O37" s="306">
        <f ca="1">IFERROR(__xludf.DUMMYFUNCTION("IMPORTRANGE(""https://docs.google.com/spreadsheets/d/1XL5vhW3sbDhbH9Cz0tuDiY8C3ctxq1tqvaCgkFb8cCA/edit?usp=sharing"",""นครพนม!j267"")"),40)</f>
        <v>40</v>
      </c>
      <c r="P37" s="306">
        <f ca="1">IFERROR(__xludf.DUMMYFUNCTION("IMPORTRANGE(""https://docs.google.com/spreadsheets/d/1C3CXT74ZlgGe6_JY_1olB1XN4rF0dxEuIIF-xsYjHgg/edit?usp=sharing"",""งบกองทุน!M41"")"),0)</f>
        <v>0</v>
      </c>
      <c r="Q37" s="306">
        <v>0</v>
      </c>
      <c r="R37" s="307">
        <f t="shared" ca="1" si="7"/>
        <v>0</v>
      </c>
      <c r="S37" s="308">
        <f t="shared" ca="1" si="61"/>
        <v>80</v>
      </c>
      <c r="T37" s="306">
        <f t="shared" ca="1" si="52"/>
        <v>0</v>
      </c>
      <c r="U37" s="309">
        <f t="shared" ca="1" si="9"/>
        <v>0</v>
      </c>
      <c r="V37" s="308">
        <f ca="1">IFERROR(__xludf.DUMMYFUNCTION("IMPORTRANGE(""https://docs.google.com/spreadsheets/d/1C3CXT74ZlgGe6_JY_1olB1XN4rF0dxEuIIF-xsYjHgg/edit?usp=sharing"",""งบกองทุน!O41"")"),20)</f>
        <v>20</v>
      </c>
      <c r="W37" s="306">
        <f ca="1">IFERROR(__xludf.DUMMYFUNCTION("IMPORTRANGE(""https://docs.google.com/spreadsheets/d/1XL5vhW3sbDhbH9Cz0tuDiY8C3ctxq1tqvaCgkFb8cCA/edit?usp=sharing"",""นครพนม!j271"")"),0)</f>
        <v>0</v>
      </c>
      <c r="X37" s="309">
        <f t="shared" ca="1" si="11"/>
        <v>0</v>
      </c>
      <c r="Y37" s="308">
        <f ca="1">IFERROR(__xludf.DUMMYFUNCTION("IMPORTRANGE(""https://docs.google.com/spreadsheets/d/1C3CXT74ZlgGe6_JY_1olB1XN4rF0dxEuIIF-xsYjHgg/edit?usp=sharing"",""งบกองทุน!P41"")"),60)</f>
        <v>60</v>
      </c>
      <c r="Z37" s="306">
        <f ca="1">IFERROR(__xludf.DUMMYFUNCTION("IMPORTRANGE(""https://docs.google.com/spreadsheets/d/1XL5vhW3sbDhbH9Cz0tuDiY8C3ctxq1tqvaCgkFb8cCA/edit?usp=sharing"",""นครพนม!j272"")"),0)</f>
        <v>0</v>
      </c>
      <c r="AA37" s="309">
        <f t="shared" ca="1" si="13"/>
        <v>0</v>
      </c>
      <c r="AB37" s="302"/>
    </row>
    <row r="38" spans="1:28" ht="21" customHeight="1">
      <c r="A38" s="303">
        <v>5</v>
      </c>
      <c r="B38" s="304" t="s">
        <v>62</v>
      </c>
      <c r="C38" s="305">
        <f t="shared" ca="1" si="59"/>
        <v>529200</v>
      </c>
      <c r="D38" s="306">
        <f ca="1">IFERROR(__xludf.DUMMYFUNCTION("IMPORTRANGE(""https://docs.google.com/spreadsheets/d/1C3CXT74ZlgGe6_JY_1olB1XN4rF0dxEuIIF-xsYjHgg/edit?usp=sharing"",""งบกองทุน!D42"")"),0)</f>
        <v>0</v>
      </c>
      <c r="E38" s="306">
        <f ca="1">IFERROR(__xludf.DUMMYFUNCTION("IMPORTRANGE(""https://docs.google.com/spreadsheets/d/1C3CXT74ZlgGe6_JY_1olB1XN4rF0dxEuIIF-xsYjHgg/edit?usp=sharing"",""งบกองทุน!E42"")"),529200)</f>
        <v>529200</v>
      </c>
      <c r="F38" s="307">
        <f ca="1">IFERROR(__xludf.DUMMYFUNCTION("IMPORTRANGE(""https://docs.google.com/spreadsheets/d/1XL5vhW3sbDhbH9Cz0tuDiY8C3ctxq1tqvaCgkFb8cCA/edit?usp=sharing"",""นครราชสีมา!M244"")"),410399.92)</f>
        <v>410399.92</v>
      </c>
      <c r="G38" s="307">
        <f t="shared" ca="1" si="1"/>
        <v>77.551005291005296</v>
      </c>
      <c r="H38" s="306">
        <f ca="1">IFERROR(__xludf.DUMMYFUNCTION("IMPORTRANGE(""https://docs.google.com/spreadsheets/d/1C3CXT74ZlgGe6_JY_1olB1XN4rF0dxEuIIF-xsYjHgg/edit?usp=sharing"",""งบกองทุน!F42"")"),0)</f>
        <v>0</v>
      </c>
      <c r="I38" s="307">
        <v>0</v>
      </c>
      <c r="J38" s="307">
        <f t="shared" ca="1" si="3"/>
        <v>0</v>
      </c>
      <c r="K38" s="308">
        <f ca="1">IFERROR(__xludf.DUMMYFUNCTION("IMPORTRANGE(""https://docs.google.com/spreadsheets/d/1C3CXT74ZlgGe6_JY_1olB1XN4rF0dxEuIIF-xsYjHgg/edit?usp=sharing"",""งบกองทุน!H42"")"),100)</f>
        <v>100</v>
      </c>
      <c r="L38" s="306">
        <f t="shared" ca="1" si="60"/>
        <v>100</v>
      </c>
      <c r="M38" s="307">
        <f t="shared" ca="1" si="5"/>
        <v>100</v>
      </c>
      <c r="N38" s="306">
        <f ca="1">IFERROR(__xludf.DUMMYFUNCTION("IMPORTRANGE(""https://docs.google.com/spreadsheets/d/1XL5vhW3sbDhbH9Cz0tuDiY8C3ctxq1tqvaCgkFb8cCA/edit?usp=sharing"",""นครราชสีมา!j265"")"),100)</f>
        <v>100</v>
      </c>
      <c r="O38" s="306">
        <f ca="1">IFERROR(__xludf.DUMMYFUNCTION("IMPORTRANGE(""https://docs.google.com/spreadsheets/d/1XL5vhW3sbDhbH9Cz0tuDiY8C3ctxq1tqvaCgkFb8cCA/edit?usp=sharing"",""นครราชสีมา!j267"")"),100)</f>
        <v>100</v>
      </c>
      <c r="P38" s="306">
        <f ca="1">IFERROR(__xludf.DUMMYFUNCTION("IMPORTRANGE(""https://docs.google.com/spreadsheets/d/1C3CXT74ZlgGe6_JY_1olB1XN4rF0dxEuIIF-xsYjHgg/edit?usp=sharing"",""งบกองทุน!M42"")"),0)</f>
        <v>0</v>
      </c>
      <c r="Q38" s="306">
        <v>0</v>
      </c>
      <c r="R38" s="307">
        <f t="shared" ca="1" si="7"/>
        <v>0</v>
      </c>
      <c r="S38" s="308">
        <f t="shared" ca="1" si="61"/>
        <v>200</v>
      </c>
      <c r="T38" s="306">
        <f t="shared" ca="1" si="52"/>
        <v>200</v>
      </c>
      <c r="U38" s="309">
        <f t="shared" ca="1" si="9"/>
        <v>100</v>
      </c>
      <c r="V38" s="308">
        <f ca="1">IFERROR(__xludf.DUMMYFUNCTION("IMPORTRANGE(""https://docs.google.com/spreadsheets/d/1C3CXT74ZlgGe6_JY_1olB1XN4rF0dxEuIIF-xsYjHgg/edit?usp=sharing"",""งบกองทุน!O42"")"),140)</f>
        <v>140</v>
      </c>
      <c r="W38" s="306">
        <f ca="1">IFERROR(__xludf.DUMMYFUNCTION("IMPORTRANGE(""https://docs.google.com/spreadsheets/d/1XL5vhW3sbDhbH9Cz0tuDiY8C3ctxq1tqvaCgkFb8cCA/edit?usp=sharing"",""นครราชสีมา!j271"")"),140)</f>
        <v>140</v>
      </c>
      <c r="X38" s="309">
        <f t="shared" ca="1" si="11"/>
        <v>100</v>
      </c>
      <c r="Y38" s="308">
        <f ca="1">IFERROR(__xludf.DUMMYFUNCTION("IMPORTRANGE(""https://docs.google.com/spreadsheets/d/1C3CXT74ZlgGe6_JY_1olB1XN4rF0dxEuIIF-xsYjHgg/edit?usp=sharing"",""งบกองทุน!P42"")"),60)</f>
        <v>60</v>
      </c>
      <c r="Z38" s="306">
        <f ca="1">IFERROR(__xludf.DUMMYFUNCTION("IMPORTRANGE(""https://docs.google.com/spreadsheets/d/1XL5vhW3sbDhbH9Cz0tuDiY8C3ctxq1tqvaCgkFb8cCA/edit?usp=sharing"",""นครราชสีมา!j272"")"),60)</f>
        <v>60</v>
      </c>
      <c r="AA38" s="309">
        <f t="shared" ca="1" si="13"/>
        <v>100</v>
      </c>
      <c r="AB38" s="302"/>
    </row>
    <row r="39" spans="1:28" ht="21" customHeight="1">
      <c r="A39" s="303">
        <v>6</v>
      </c>
      <c r="B39" s="304" t="s">
        <v>63</v>
      </c>
      <c r="C39" s="305">
        <f t="shared" ca="1" si="59"/>
        <v>452180</v>
      </c>
      <c r="D39" s="306">
        <f ca="1">IFERROR(__xludf.DUMMYFUNCTION("IMPORTRANGE(""https://docs.google.com/spreadsheets/d/1C3CXT74ZlgGe6_JY_1olB1XN4rF0dxEuIIF-xsYjHgg/edit?usp=sharing"",""งบกองทุน!D43"")"),0)</f>
        <v>0</v>
      </c>
      <c r="E39" s="306">
        <f ca="1">IFERROR(__xludf.DUMMYFUNCTION("IMPORTRANGE(""https://docs.google.com/spreadsheets/d/1C3CXT74ZlgGe6_JY_1olB1XN4rF0dxEuIIF-xsYjHgg/edit?usp=sharing"",""งบกองทุน!E43"")"),452180)</f>
        <v>452180</v>
      </c>
      <c r="F39" s="307">
        <f ca="1">IFERROR(__xludf.DUMMYFUNCTION("IMPORTRANGE(""https://docs.google.com/spreadsheets/d/1XL5vhW3sbDhbH9Cz0tuDiY8C3ctxq1tqvaCgkFb8cCA/edit?usp=sharing"",""บึงกาฬ!M244"")"),132387)</f>
        <v>132387</v>
      </c>
      <c r="G39" s="307">
        <f t="shared" ca="1" si="1"/>
        <v>29.277500110575435</v>
      </c>
      <c r="H39" s="306">
        <f ca="1">IFERROR(__xludf.DUMMYFUNCTION("IMPORTRANGE(""https://docs.google.com/spreadsheets/d/1C3CXT74ZlgGe6_JY_1olB1XN4rF0dxEuIIF-xsYjHgg/edit?usp=sharing"",""งบกองทุน!F43"")"),0)</f>
        <v>0</v>
      </c>
      <c r="I39" s="307">
        <v>0</v>
      </c>
      <c r="J39" s="307">
        <f t="shared" ca="1" si="3"/>
        <v>0</v>
      </c>
      <c r="K39" s="308">
        <f ca="1">IFERROR(__xludf.DUMMYFUNCTION("IMPORTRANGE(""https://docs.google.com/spreadsheets/d/1C3CXT74ZlgGe6_JY_1olB1XN4rF0dxEuIIF-xsYjHgg/edit?usp=sharing"",""งบกองทุน!H43"")"),90)</f>
        <v>90</v>
      </c>
      <c r="L39" s="306">
        <f t="shared" ca="1" si="60"/>
        <v>90</v>
      </c>
      <c r="M39" s="307">
        <f t="shared" ca="1" si="5"/>
        <v>100</v>
      </c>
      <c r="N39" s="306">
        <f ca="1">IFERROR(__xludf.DUMMYFUNCTION("IMPORTRANGE(""https://docs.google.com/spreadsheets/d/1XL5vhW3sbDhbH9Cz0tuDiY8C3ctxq1tqvaCgkFb8cCA/edit?usp=sharing"",""บึงกาฬ!j265"")"),90)</f>
        <v>90</v>
      </c>
      <c r="O39" s="306">
        <f ca="1">IFERROR(__xludf.DUMMYFUNCTION("IMPORTRANGE(""https://docs.google.com/spreadsheets/d/1XL5vhW3sbDhbH9Cz0tuDiY8C3ctxq1tqvaCgkFb8cCA/edit?usp=sharing"",""บึงกาฬ!j267"")"),90)</f>
        <v>90</v>
      </c>
      <c r="P39" s="306">
        <f ca="1">IFERROR(__xludf.DUMMYFUNCTION("IMPORTRANGE(""https://docs.google.com/spreadsheets/d/1C3CXT74ZlgGe6_JY_1olB1XN4rF0dxEuIIF-xsYjHgg/edit?usp=sharing"",""งบกองทุน!M43"")"),0)</f>
        <v>0</v>
      </c>
      <c r="Q39" s="306">
        <v>0</v>
      </c>
      <c r="R39" s="307">
        <f t="shared" ca="1" si="7"/>
        <v>0</v>
      </c>
      <c r="S39" s="308">
        <f t="shared" ca="1" si="61"/>
        <v>150</v>
      </c>
      <c r="T39" s="306">
        <f t="shared" ca="1" si="52"/>
        <v>0</v>
      </c>
      <c r="U39" s="309">
        <f t="shared" ca="1" si="9"/>
        <v>0</v>
      </c>
      <c r="V39" s="308">
        <f ca="1">IFERROR(__xludf.DUMMYFUNCTION("IMPORTRANGE(""https://docs.google.com/spreadsheets/d/1C3CXT74ZlgGe6_JY_1olB1XN4rF0dxEuIIF-xsYjHgg/edit?usp=sharing"",""งบกองทุน!O43"")"),90)</f>
        <v>90</v>
      </c>
      <c r="W39" s="306">
        <f ca="1">IFERROR(__xludf.DUMMYFUNCTION("IMPORTRANGE(""https://docs.google.com/spreadsheets/d/1XL5vhW3sbDhbH9Cz0tuDiY8C3ctxq1tqvaCgkFb8cCA/edit?usp=sharing"",""บึงกาฬ!j271"")"),0)</f>
        <v>0</v>
      </c>
      <c r="X39" s="309">
        <f t="shared" ca="1" si="11"/>
        <v>0</v>
      </c>
      <c r="Y39" s="308">
        <f ca="1">IFERROR(__xludf.DUMMYFUNCTION("IMPORTRANGE(""https://docs.google.com/spreadsheets/d/1C3CXT74ZlgGe6_JY_1olB1XN4rF0dxEuIIF-xsYjHgg/edit?usp=sharing"",""งบกองทุน!P43"")"),60)</f>
        <v>60</v>
      </c>
      <c r="Z39" s="306">
        <f ca="1">IFERROR(__xludf.DUMMYFUNCTION("IMPORTRANGE(""https://docs.google.com/spreadsheets/d/1XL5vhW3sbDhbH9Cz0tuDiY8C3ctxq1tqvaCgkFb8cCA/edit?usp=sharing"",""บึงกาฬ!j272"")"),0)</f>
        <v>0</v>
      </c>
      <c r="AA39" s="309">
        <f t="shared" ca="1" si="13"/>
        <v>0</v>
      </c>
      <c r="AB39" s="302"/>
    </row>
    <row r="40" spans="1:28" ht="21" customHeight="1">
      <c r="A40" s="303">
        <v>7</v>
      </c>
      <c r="B40" s="304" t="s">
        <v>64</v>
      </c>
      <c r="C40" s="305">
        <f t="shared" ca="1" si="59"/>
        <v>810030</v>
      </c>
      <c r="D40" s="306">
        <f ca="1">IFERROR(__xludf.DUMMYFUNCTION("IMPORTRANGE(""https://docs.google.com/spreadsheets/d/1C3CXT74ZlgGe6_JY_1olB1XN4rF0dxEuIIF-xsYjHgg/edit?usp=sharing"",""งบกองทุน!D44"")"),0)</f>
        <v>0</v>
      </c>
      <c r="E40" s="306">
        <f ca="1">IFERROR(__xludf.DUMMYFUNCTION("IMPORTRANGE(""https://docs.google.com/spreadsheets/d/1C3CXT74ZlgGe6_JY_1olB1XN4rF0dxEuIIF-xsYjHgg/edit?usp=sharing"",""งบกองทุน!E44"")"),810030)</f>
        <v>810030</v>
      </c>
      <c r="F40" s="307">
        <f ca="1">IFERROR(__xludf.DUMMYFUNCTION("IMPORTRANGE(""https://docs.google.com/spreadsheets/d/1XL5vhW3sbDhbH9Cz0tuDiY8C3ctxq1tqvaCgkFb8cCA/edit?usp=sharing"",""บุรีรัมย์!M244"")"),106759.989999999)</f>
        <v>106759.989999999</v>
      </c>
      <c r="G40" s="307">
        <f t="shared" ca="1" si="1"/>
        <v>13.179757539844079</v>
      </c>
      <c r="H40" s="306">
        <f ca="1">IFERROR(__xludf.DUMMYFUNCTION("IMPORTRANGE(""https://docs.google.com/spreadsheets/d/1C3CXT74ZlgGe6_JY_1olB1XN4rF0dxEuIIF-xsYjHgg/edit?usp=sharing"",""งบกองทุน!F44"")"),0)</f>
        <v>0</v>
      </c>
      <c r="I40" s="307">
        <v>0</v>
      </c>
      <c r="J40" s="307">
        <f t="shared" ca="1" si="3"/>
        <v>0</v>
      </c>
      <c r="K40" s="308">
        <f ca="1">IFERROR(__xludf.DUMMYFUNCTION("IMPORTRANGE(""https://docs.google.com/spreadsheets/d/1C3CXT74ZlgGe6_JY_1olB1XN4rF0dxEuIIF-xsYjHgg/edit?usp=sharing"",""งบกองทุน!H44"")"),55)</f>
        <v>55</v>
      </c>
      <c r="L40" s="306">
        <f t="shared" ca="1" si="60"/>
        <v>55</v>
      </c>
      <c r="M40" s="307">
        <f t="shared" ca="1" si="5"/>
        <v>100</v>
      </c>
      <c r="N40" s="306">
        <f ca="1">IFERROR(__xludf.DUMMYFUNCTION("IMPORTRANGE(""https://docs.google.com/spreadsheets/d/1XL5vhW3sbDhbH9Cz0tuDiY8C3ctxq1tqvaCgkFb8cCA/edit?usp=sharing"",""บุรีรัมย์!j265"")"),55)</f>
        <v>55</v>
      </c>
      <c r="O40" s="306">
        <f ca="1">IFERROR(__xludf.DUMMYFUNCTION("IMPORTRANGE(""https://docs.google.com/spreadsheets/d/1XL5vhW3sbDhbH9Cz0tuDiY8C3ctxq1tqvaCgkFb8cCA/edit?usp=sharing"",""บุรีรัมย์!j267"")"),0)</f>
        <v>0</v>
      </c>
      <c r="P40" s="306">
        <f ca="1">IFERROR(__xludf.DUMMYFUNCTION("IMPORTRANGE(""https://docs.google.com/spreadsheets/d/1C3CXT74ZlgGe6_JY_1olB1XN4rF0dxEuIIF-xsYjHgg/edit?usp=sharing"",""งบกองทุน!M44"")"),0)</f>
        <v>0</v>
      </c>
      <c r="Q40" s="306">
        <v>0</v>
      </c>
      <c r="R40" s="307">
        <f t="shared" ca="1" si="7"/>
        <v>0</v>
      </c>
      <c r="S40" s="308">
        <f t="shared" ca="1" si="61"/>
        <v>550</v>
      </c>
      <c r="T40" s="306">
        <f t="shared" ca="1" si="52"/>
        <v>0</v>
      </c>
      <c r="U40" s="309">
        <f t="shared" ca="1" si="9"/>
        <v>0</v>
      </c>
      <c r="V40" s="308">
        <f ca="1">IFERROR(__xludf.DUMMYFUNCTION("IMPORTRANGE(""https://docs.google.com/spreadsheets/d/1C3CXT74ZlgGe6_JY_1olB1XN4rF0dxEuIIF-xsYjHgg/edit?usp=sharing"",""งบกองทุน!O44"")"),550)</f>
        <v>550</v>
      </c>
      <c r="W40" s="306">
        <f ca="1">IFERROR(__xludf.DUMMYFUNCTION("IMPORTRANGE(""https://docs.google.com/spreadsheets/d/1XL5vhW3sbDhbH9Cz0tuDiY8C3ctxq1tqvaCgkFb8cCA/edit?usp=sharing"",""บุรีรัมย์!j271"")"),0)</f>
        <v>0</v>
      </c>
      <c r="X40" s="309">
        <f t="shared" ca="1" si="11"/>
        <v>0</v>
      </c>
      <c r="Y40" s="308">
        <f ca="1">IFERROR(__xludf.DUMMYFUNCTION("IMPORTRANGE(""https://docs.google.com/spreadsheets/d/1C3CXT74ZlgGe6_JY_1olB1XN4rF0dxEuIIF-xsYjHgg/edit?usp=sharing"",""งบกองทุน!P44"")"),0)</f>
        <v>0</v>
      </c>
      <c r="Z40" s="306">
        <f ca="1">IFERROR(__xludf.DUMMYFUNCTION("IMPORTRANGE(""https://docs.google.com/spreadsheets/d/1XL5vhW3sbDhbH9Cz0tuDiY8C3ctxq1tqvaCgkFb8cCA/edit?usp=sharing"",""บุรีรัมย์!j272"")"),0)</f>
        <v>0</v>
      </c>
      <c r="AA40" s="309">
        <f t="shared" ca="1" si="13"/>
        <v>0</v>
      </c>
      <c r="AB40" s="302"/>
    </row>
    <row r="41" spans="1:28" ht="21" customHeight="1">
      <c r="A41" s="303">
        <v>8</v>
      </c>
      <c r="B41" s="304" t="s">
        <v>65</v>
      </c>
      <c r="C41" s="305">
        <f t="shared" ca="1" si="59"/>
        <v>616300</v>
      </c>
      <c r="D41" s="306">
        <f ca="1">IFERROR(__xludf.DUMMYFUNCTION("IMPORTRANGE(""https://docs.google.com/spreadsheets/d/1C3CXT74ZlgGe6_JY_1olB1XN4rF0dxEuIIF-xsYjHgg/edit?usp=sharing"",""งบกองทุน!D45"")"),0)</f>
        <v>0</v>
      </c>
      <c r="E41" s="306">
        <f ca="1">IFERROR(__xludf.DUMMYFUNCTION("IMPORTRANGE(""https://docs.google.com/spreadsheets/d/1C3CXT74ZlgGe6_JY_1olB1XN4rF0dxEuIIF-xsYjHgg/edit?usp=sharing"",""งบกองทุน!E45"")"),616300)</f>
        <v>616300</v>
      </c>
      <c r="F41" s="307">
        <f ca="1">IFERROR(__xludf.DUMMYFUNCTION("IMPORTRANGE(""https://docs.google.com/spreadsheets/d/1XL5vhW3sbDhbH9Cz0tuDiY8C3ctxq1tqvaCgkFb8cCA/edit?usp=sharing"",""มหาสารคาม!M244"")"),124807.48)</f>
        <v>124807.48</v>
      </c>
      <c r="G41" s="307">
        <f t="shared" ca="1" si="1"/>
        <v>20.251092000649034</v>
      </c>
      <c r="H41" s="306">
        <f ca="1">IFERROR(__xludf.DUMMYFUNCTION("IMPORTRANGE(""https://docs.google.com/spreadsheets/d/1C3CXT74ZlgGe6_JY_1olB1XN4rF0dxEuIIF-xsYjHgg/edit?usp=sharing"",""งบกองทุน!F45"")"),0)</f>
        <v>0</v>
      </c>
      <c r="I41" s="307">
        <v>0</v>
      </c>
      <c r="J41" s="307">
        <f t="shared" ca="1" si="3"/>
        <v>0</v>
      </c>
      <c r="K41" s="308">
        <f ca="1">IFERROR(__xludf.DUMMYFUNCTION("IMPORTRANGE(""https://docs.google.com/spreadsheets/d/1C3CXT74ZlgGe6_JY_1olB1XN4rF0dxEuIIF-xsYjHgg/edit?usp=sharing"",""งบกองทุน!H45"")"),140)</f>
        <v>140</v>
      </c>
      <c r="L41" s="306">
        <f t="shared" ca="1" si="60"/>
        <v>140</v>
      </c>
      <c r="M41" s="307">
        <f t="shared" ca="1" si="5"/>
        <v>100</v>
      </c>
      <c r="N41" s="306">
        <f ca="1">IFERROR(__xludf.DUMMYFUNCTION("IMPORTRANGE(""https://docs.google.com/spreadsheets/d/1XL5vhW3sbDhbH9Cz0tuDiY8C3ctxq1tqvaCgkFb8cCA/edit?usp=sharing"",""มหาสารคาม!j265"")"),140)</f>
        <v>140</v>
      </c>
      <c r="O41" s="306">
        <f ca="1">IFERROR(__xludf.DUMMYFUNCTION("IMPORTRANGE(""https://docs.google.com/spreadsheets/d/1XL5vhW3sbDhbH9Cz0tuDiY8C3ctxq1tqvaCgkFb8cCA/edit?usp=sharing"",""มหาสารคาม!j267"")"),140)</f>
        <v>140</v>
      </c>
      <c r="P41" s="306">
        <f ca="1">IFERROR(__xludf.DUMMYFUNCTION("IMPORTRANGE(""https://docs.google.com/spreadsheets/d/1C3CXT74ZlgGe6_JY_1olB1XN4rF0dxEuIIF-xsYjHgg/edit?usp=sharing"",""งบกองทุน!M45"")"),0)</f>
        <v>0</v>
      </c>
      <c r="Q41" s="306">
        <v>0</v>
      </c>
      <c r="R41" s="307">
        <f t="shared" ca="1" si="7"/>
        <v>0</v>
      </c>
      <c r="S41" s="308">
        <f t="shared" ca="1" si="61"/>
        <v>300</v>
      </c>
      <c r="T41" s="306">
        <f t="shared" ca="1" si="52"/>
        <v>0</v>
      </c>
      <c r="U41" s="309">
        <f t="shared" ca="1" si="9"/>
        <v>0</v>
      </c>
      <c r="V41" s="308">
        <f ca="1">IFERROR(__xludf.DUMMYFUNCTION("IMPORTRANGE(""https://docs.google.com/spreadsheets/d/1C3CXT74ZlgGe6_JY_1olB1XN4rF0dxEuIIF-xsYjHgg/edit?usp=sharing"",""งบกองทุน!O45"")"),25)</f>
        <v>25</v>
      </c>
      <c r="W41" s="306">
        <f ca="1">IFERROR(__xludf.DUMMYFUNCTION("IMPORTRANGE(""https://docs.google.com/spreadsheets/d/1XL5vhW3sbDhbH9Cz0tuDiY8C3ctxq1tqvaCgkFb8cCA/edit?usp=sharing"",""มหาสารคาม!j271"")"),0)</f>
        <v>0</v>
      </c>
      <c r="X41" s="309">
        <f t="shared" ca="1" si="11"/>
        <v>0</v>
      </c>
      <c r="Y41" s="308">
        <f ca="1">IFERROR(__xludf.DUMMYFUNCTION("IMPORTRANGE(""https://docs.google.com/spreadsheets/d/1C3CXT74ZlgGe6_JY_1olB1XN4rF0dxEuIIF-xsYjHgg/edit?usp=sharing"",""งบกองทุน!P45"")"),275)</f>
        <v>275</v>
      </c>
      <c r="Z41" s="306">
        <f ca="1">IFERROR(__xludf.DUMMYFUNCTION("IMPORTRANGE(""https://docs.google.com/spreadsheets/d/1XL5vhW3sbDhbH9Cz0tuDiY8C3ctxq1tqvaCgkFb8cCA/edit?usp=sharing"",""มหาสารคาม!j272"")"),0)</f>
        <v>0</v>
      </c>
      <c r="AA41" s="309">
        <f t="shared" ca="1" si="13"/>
        <v>0</v>
      </c>
      <c r="AB41" s="302"/>
    </row>
    <row r="42" spans="1:28" ht="21" customHeight="1">
      <c r="A42" s="303">
        <v>9</v>
      </c>
      <c r="B42" s="304" t="s">
        <v>66</v>
      </c>
      <c r="C42" s="305">
        <f t="shared" ca="1" si="59"/>
        <v>445930</v>
      </c>
      <c r="D42" s="306">
        <f ca="1">IFERROR(__xludf.DUMMYFUNCTION("IMPORTRANGE(""https://docs.google.com/spreadsheets/d/1C3CXT74ZlgGe6_JY_1olB1XN4rF0dxEuIIF-xsYjHgg/edit?usp=sharing"",""งบกองทุน!D46"")"),0)</f>
        <v>0</v>
      </c>
      <c r="E42" s="306">
        <f ca="1">IFERROR(__xludf.DUMMYFUNCTION("IMPORTRANGE(""https://docs.google.com/spreadsheets/d/1C3CXT74ZlgGe6_JY_1olB1XN4rF0dxEuIIF-xsYjHgg/edit?usp=sharing"",""งบกองทุน!E46"")"),445930)</f>
        <v>445930</v>
      </c>
      <c r="F42" s="307">
        <f ca="1">IFERROR(__xludf.DUMMYFUNCTION("IMPORTRANGE(""https://docs.google.com/spreadsheets/d/1XL5vhW3sbDhbH9Cz0tuDiY8C3ctxq1tqvaCgkFb8cCA/edit?usp=sharing"",""มุกดาหาร!M244"")"),164993)</f>
        <v>164993</v>
      </c>
      <c r="G42" s="307">
        <f t="shared" ca="1" si="1"/>
        <v>36.999753324512817</v>
      </c>
      <c r="H42" s="306">
        <f ca="1">IFERROR(__xludf.DUMMYFUNCTION("IMPORTRANGE(""https://docs.google.com/spreadsheets/d/1C3CXT74ZlgGe6_JY_1olB1XN4rF0dxEuIIF-xsYjHgg/edit?usp=sharing"",""งบกองทุน!F46"")"),0)</f>
        <v>0</v>
      </c>
      <c r="I42" s="307">
        <v>0</v>
      </c>
      <c r="J42" s="307">
        <f t="shared" ca="1" si="3"/>
        <v>0</v>
      </c>
      <c r="K42" s="308">
        <f ca="1">IFERROR(__xludf.DUMMYFUNCTION("IMPORTRANGE(""https://docs.google.com/spreadsheets/d/1C3CXT74ZlgGe6_JY_1olB1XN4rF0dxEuIIF-xsYjHgg/edit?usp=sharing"",""งบกองทุน!H46"")"),65)</f>
        <v>65</v>
      </c>
      <c r="L42" s="306">
        <f t="shared" ca="1" si="60"/>
        <v>65</v>
      </c>
      <c r="M42" s="307">
        <f t="shared" ca="1" si="5"/>
        <v>100</v>
      </c>
      <c r="N42" s="306">
        <f ca="1">IFERROR(__xludf.DUMMYFUNCTION("IMPORTRANGE(""https://docs.google.com/spreadsheets/d/1XL5vhW3sbDhbH9Cz0tuDiY8C3ctxq1tqvaCgkFb8cCA/edit?usp=sharing"",""มุกดาหาร!j265"")"),65)</f>
        <v>65</v>
      </c>
      <c r="O42" s="306">
        <f ca="1">IFERROR(__xludf.DUMMYFUNCTION("IMPORTRANGE(""https://docs.google.com/spreadsheets/d/1XL5vhW3sbDhbH9Cz0tuDiY8C3ctxq1tqvaCgkFb8cCA/edit?usp=sharing"",""มุกดาหาร!j267"")"),65)</f>
        <v>65</v>
      </c>
      <c r="P42" s="306">
        <f ca="1">IFERROR(__xludf.DUMMYFUNCTION("IMPORTRANGE(""https://docs.google.com/spreadsheets/d/1C3CXT74ZlgGe6_JY_1olB1XN4rF0dxEuIIF-xsYjHgg/edit?usp=sharing"",""งบกองทุน!M46"")"),0)</f>
        <v>0</v>
      </c>
      <c r="Q42" s="306">
        <v>0</v>
      </c>
      <c r="R42" s="307">
        <f t="shared" ca="1" si="7"/>
        <v>0</v>
      </c>
      <c r="S42" s="308">
        <f t="shared" ca="1" si="61"/>
        <v>190</v>
      </c>
      <c r="T42" s="306">
        <f t="shared" ca="1" si="52"/>
        <v>0</v>
      </c>
      <c r="U42" s="309">
        <f t="shared" ca="1" si="9"/>
        <v>0</v>
      </c>
      <c r="V42" s="308">
        <f ca="1">IFERROR(__xludf.DUMMYFUNCTION("IMPORTRANGE(""https://docs.google.com/spreadsheets/d/1C3CXT74ZlgGe6_JY_1olB1XN4rF0dxEuIIF-xsYjHgg/edit?usp=sharing"",""งบกองทุน!O46"")"),100)</f>
        <v>100</v>
      </c>
      <c r="W42" s="306">
        <f ca="1">IFERROR(__xludf.DUMMYFUNCTION("IMPORTRANGE(""https://docs.google.com/spreadsheets/d/1XL5vhW3sbDhbH9Cz0tuDiY8C3ctxq1tqvaCgkFb8cCA/edit?usp=sharing"",""มุกดาหาร!j271"")"),0)</f>
        <v>0</v>
      </c>
      <c r="X42" s="309">
        <f t="shared" ca="1" si="11"/>
        <v>0</v>
      </c>
      <c r="Y42" s="308">
        <f ca="1">IFERROR(__xludf.DUMMYFUNCTION("IMPORTRANGE(""https://docs.google.com/spreadsheets/d/1C3CXT74ZlgGe6_JY_1olB1XN4rF0dxEuIIF-xsYjHgg/edit?usp=sharing"",""งบกองทุน!P46"")"),90)</f>
        <v>90</v>
      </c>
      <c r="Z42" s="306">
        <f ca="1">IFERROR(__xludf.DUMMYFUNCTION("IMPORTRANGE(""https://docs.google.com/spreadsheets/d/1XL5vhW3sbDhbH9Cz0tuDiY8C3ctxq1tqvaCgkFb8cCA/edit?usp=sharing"",""มุกดาหาร!j272"")"),0)</f>
        <v>0</v>
      </c>
      <c r="AA42" s="309">
        <f t="shared" ca="1" si="13"/>
        <v>0</v>
      </c>
      <c r="AB42" s="302"/>
    </row>
    <row r="43" spans="1:28" ht="21" customHeight="1">
      <c r="A43" s="303">
        <v>10</v>
      </c>
      <c r="B43" s="304" t="s">
        <v>67</v>
      </c>
      <c r="C43" s="305">
        <f t="shared" ca="1" si="59"/>
        <v>667900</v>
      </c>
      <c r="D43" s="306">
        <f ca="1">IFERROR(__xludf.DUMMYFUNCTION("IMPORTRANGE(""https://docs.google.com/spreadsheets/d/1C3CXT74ZlgGe6_JY_1olB1XN4rF0dxEuIIF-xsYjHgg/edit?usp=sharing"",""งบกองทุน!D47"")"),0)</f>
        <v>0</v>
      </c>
      <c r="E43" s="306">
        <f ca="1">IFERROR(__xludf.DUMMYFUNCTION("IMPORTRANGE(""https://docs.google.com/spreadsheets/d/1C3CXT74ZlgGe6_JY_1olB1XN4rF0dxEuIIF-xsYjHgg/edit?usp=sharing"",""งบกองทุน!E47"")"),667900)</f>
        <v>667900</v>
      </c>
      <c r="F43" s="307">
        <f ca="1">IFERROR(__xludf.DUMMYFUNCTION("IMPORTRANGE(""https://docs.google.com/spreadsheets/d/1XL5vhW3sbDhbH9Cz0tuDiY8C3ctxq1tqvaCgkFb8cCA/edit?usp=sharing"",""ยโสธร!M244"")"),111160)</f>
        <v>111160</v>
      </c>
      <c r="G43" s="307">
        <f t="shared" ca="1" si="1"/>
        <v>16.643210061386434</v>
      </c>
      <c r="H43" s="306">
        <f ca="1">IFERROR(__xludf.DUMMYFUNCTION("IMPORTRANGE(""https://docs.google.com/spreadsheets/d/1C3CXT74ZlgGe6_JY_1olB1XN4rF0dxEuIIF-xsYjHgg/edit?usp=sharing"",""งบกองทุน!F47"")"),0)</f>
        <v>0</v>
      </c>
      <c r="I43" s="307">
        <v>0</v>
      </c>
      <c r="J43" s="307">
        <f t="shared" ca="1" si="3"/>
        <v>0</v>
      </c>
      <c r="K43" s="308">
        <f ca="1">IFERROR(__xludf.DUMMYFUNCTION("IMPORTRANGE(""https://docs.google.com/spreadsheets/d/1C3CXT74ZlgGe6_JY_1olB1XN4rF0dxEuIIF-xsYjHgg/edit?usp=sharing"",""งบกองทุน!H47"")"),130)</f>
        <v>130</v>
      </c>
      <c r="L43" s="306">
        <f t="shared" ca="1" si="60"/>
        <v>130</v>
      </c>
      <c r="M43" s="307">
        <f t="shared" ca="1" si="5"/>
        <v>100</v>
      </c>
      <c r="N43" s="306">
        <f ca="1">IFERROR(__xludf.DUMMYFUNCTION("IMPORTRANGE(""https://docs.google.com/spreadsheets/d/1XL5vhW3sbDhbH9Cz0tuDiY8C3ctxq1tqvaCgkFb8cCA/edit?usp=sharing"",""ยโสธร!j265"")"),130)</f>
        <v>130</v>
      </c>
      <c r="O43" s="306">
        <f ca="1">IFERROR(__xludf.DUMMYFUNCTION("IMPORTRANGE(""https://docs.google.com/spreadsheets/d/1XL5vhW3sbDhbH9Cz0tuDiY8C3ctxq1tqvaCgkFb8cCA/edit?usp=sharing"",""ยโสธร!j267"")"),0)</f>
        <v>0</v>
      </c>
      <c r="P43" s="306">
        <f ca="1">IFERROR(__xludf.DUMMYFUNCTION("IMPORTRANGE(""https://docs.google.com/spreadsheets/d/1C3CXT74ZlgGe6_JY_1olB1XN4rF0dxEuIIF-xsYjHgg/edit?usp=sharing"",""งบกองทุน!M47"")"),0)</f>
        <v>0</v>
      </c>
      <c r="Q43" s="306">
        <v>0</v>
      </c>
      <c r="R43" s="307">
        <f t="shared" ca="1" si="7"/>
        <v>0</v>
      </c>
      <c r="S43" s="308">
        <f t="shared" ca="1" si="61"/>
        <v>360</v>
      </c>
      <c r="T43" s="306">
        <f t="shared" ca="1" si="52"/>
        <v>0</v>
      </c>
      <c r="U43" s="309">
        <f t="shared" ca="1" si="9"/>
        <v>0</v>
      </c>
      <c r="V43" s="308">
        <f ca="1">IFERROR(__xludf.DUMMYFUNCTION("IMPORTRANGE(""https://docs.google.com/spreadsheets/d/1C3CXT74ZlgGe6_JY_1olB1XN4rF0dxEuIIF-xsYjHgg/edit?usp=sharing"",""งบกองทุน!O47"")"),100)</f>
        <v>100</v>
      </c>
      <c r="W43" s="306">
        <f ca="1">IFERROR(__xludf.DUMMYFUNCTION("IMPORTRANGE(""https://docs.google.com/spreadsheets/d/1XL5vhW3sbDhbH9Cz0tuDiY8C3ctxq1tqvaCgkFb8cCA/edit?usp=sharing"",""ยโสธร!j271"")"),0)</f>
        <v>0</v>
      </c>
      <c r="X43" s="309">
        <f t="shared" ca="1" si="11"/>
        <v>0</v>
      </c>
      <c r="Y43" s="308">
        <f ca="1">IFERROR(__xludf.DUMMYFUNCTION("IMPORTRANGE(""https://docs.google.com/spreadsheets/d/1C3CXT74ZlgGe6_JY_1olB1XN4rF0dxEuIIF-xsYjHgg/edit?usp=sharing"",""งบกองทุน!P47"")"),260)</f>
        <v>260</v>
      </c>
      <c r="Z43" s="306">
        <f ca="1">IFERROR(__xludf.DUMMYFUNCTION("IMPORTRANGE(""https://docs.google.com/spreadsheets/d/1XL5vhW3sbDhbH9Cz0tuDiY8C3ctxq1tqvaCgkFb8cCA/edit?usp=sharing"",""ยโสธร!j272"")"),0)</f>
        <v>0</v>
      </c>
      <c r="AA43" s="309">
        <f t="shared" ca="1" si="13"/>
        <v>0</v>
      </c>
      <c r="AB43" s="302"/>
    </row>
    <row r="44" spans="1:28" ht="21" customHeight="1">
      <c r="A44" s="303">
        <v>11</v>
      </c>
      <c r="B44" s="304" t="s">
        <v>68</v>
      </c>
      <c r="C44" s="305">
        <f t="shared" ca="1" si="59"/>
        <v>644830</v>
      </c>
      <c r="D44" s="306">
        <f ca="1">IFERROR(__xludf.DUMMYFUNCTION("IMPORTRANGE(""https://docs.google.com/spreadsheets/d/1C3CXT74ZlgGe6_JY_1olB1XN4rF0dxEuIIF-xsYjHgg/edit?usp=sharing"",""งบกองทุน!D48"")"),0)</f>
        <v>0</v>
      </c>
      <c r="E44" s="306">
        <f ca="1">IFERROR(__xludf.DUMMYFUNCTION("IMPORTRANGE(""https://docs.google.com/spreadsheets/d/1C3CXT74ZlgGe6_JY_1olB1XN4rF0dxEuIIF-xsYjHgg/edit?usp=sharing"",""งบกองทุน!E48"")"),644830)</f>
        <v>644830</v>
      </c>
      <c r="F44" s="307">
        <f ca="1">IFERROR(__xludf.DUMMYFUNCTION("IMPORTRANGE(""https://docs.google.com/spreadsheets/d/1XL5vhW3sbDhbH9Cz0tuDiY8C3ctxq1tqvaCgkFb8cCA/edit?usp=sharing"",""ร้อยเอ็ด!M244"")"),536727.88)</f>
        <v>536727.88</v>
      </c>
      <c r="G44" s="307">
        <f t="shared" ca="1" si="1"/>
        <v>83.235562861529402</v>
      </c>
      <c r="H44" s="306">
        <f ca="1">IFERROR(__xludf.DUMMYFUNCTION("IMPORTRANGE(""https://docs.google.com/spreadsheets/d/1C3CXT74ZlgGe6_JY_1olB1XN4rF0dxEuIIF-xsYjHgg/edit?usp=sharing"",""งบกองทุน!F48"")"),0)</f>
        <v>0</v>
      </c>
      <c r="I44" s="307">
        <v>0</v>
      </c>
      <c r="J44" s="307">
        <f t="shared" ca="1" si="3"/>
        <v>0</v>
      </c>
      <c r="K44" s="308">
        <f ca="1">IFERROR(__xludf.DUMMYFUNCTION("IMPORTRANGE(""https://docs.google.com/spreadsheets/d/1C3CXT74ZlgGe6_JY_1olB1XN4rF0dxEuIIF-xsYjHgg/edit?usp=sharing"",""งบกองทุน!H48"")"),85)</f>
        <v>85</v>
      </c>
      <c r="L44" s="306">
        <f t="shared" ca="1" si="60"/>
        <v>85</v>
      </c>
      <c r="M44" s="307">
        <f t="shared" ca="1" si="5"/>
        <v>100</v>
      </c>
      <c r="N44" s="306">
        <f ca="1">IFERROR(__xludf.DUMMYFUNCTION("IMPORTRANGE(""https://docs.google.com/spreadsheets/d/1XL5vhW3sbDhbH9Cz0tuDiY8C3ctxq1tqvaCgkFb8cCA/edit?usp=sharing"",""ร้อยเอ็ด!j265"")"),85)</f>
        <v>85</v>
      </c>
      <c r="O44" s="306">
        <f ca="1">IFERROR(__xludf.DUMMYFUNCTION("IMPORTRANGE(""https://docs.google.com/spreadsheets/d/1XL5vhW3sbDhbH9Cz0tuDiY8C3ctxq1tqvaCgkFb8cCA/edit?usp=sharing"",""ร้อยเอ็ด!j267"")"),85)</f>
        <v>85</v>
      </c>
      <c r="P44" s="306">
        <f ca="1">IFERROR(__xludf.DUMMYFUNCTION("IMPORTRANGE(""https://docs.google.com/spreadsheets/d/1C3CXT74ZlgGe6_JY_1olB1XN4rF0dxEuIIF-xsYjHgg/edit?usp=sharing"",""งบกองทุน!M48"")"),0)</f>
        <v>0</v>
      </c>
      <c r="Q44" s="306">
        <v>0</v>
      </c>
      <c r="R44" s="307">
        <f t="shared" ca="1" si="7"/>
        <v>0</v>
      </c>
      <c r="S44" s="308">
        <f t="shared" ca="1" si="61"/>
        <v>403</v>
      </c>
      <c r="T44" s="306">
        <f t="shared" ca="1" si="52"/>
        <v>403</v>
      </c>
      <c r="U44" s="309">
        <f t="shared" ca="1" si="9"/>
        <v>100</v>
      </c>
      <c r="V44" s="308">
        <f ca="1">IFERROR(__xludf.DUMMYFUNCTION("IMPORTRANGE(""https://docs.google.com/spreadsheets/d/1C3CXT74ZlgGe6_JY_1olB1XN4rF0dxEuIIF-xsYjHgg/edit?usp=sharing"",""งบกองทุน!O48"")"),180)</f>
        <v>180</v>
      </c>
      <c r="W44" s="306">
        <f ca="1">IFERROR(__xludf.DUMMYFUNCTION("IMPORTRANGE(""https://docs.google.com/spreadsheets/d/1XL5vhW3sbDhbH9Cz0tuDiY8C3ctxq1tqvaCgkFb8cCA/edit?usp=sharing"",""ร้อยเอ็ด!j271"")"),180)</f>
        <v>180</v>
      </c>
      <c r="X44" s="309">
        <f t="shared" ca="1" si="11"/>
        <v>100</v>
      </c>
      <c r="Y44" s="308">
        <f ca="1">IFERROR(__xludf.DUMMYFUNCTION("IMPORTRANGE(""https://docs.google.com/spreadsheets/d/1C3CXT74ZlgGe6_JY_1olB1XN4rF0dxEuIIF-xsYjHgg/edit?usp=sharing"",""งบกองทุน!P48"")"),223)</f>
        <v>223</v>
      </c>
      <c r="Z44" s="306">
        <f ca="1">IFERROR(__xludf.DUMMYFUNCTION("IMPORTRANGE(""https://docs.google.com/spreadsheets/d/1XL5vhW3sbDhbH9Cz0tuDiY8C3ctxq1tqvaCgkFb8cCA/edit?usp=sharing"",""ร้อยเอ็ด!j272"")"),223)</f>
        <v>223</v>
      </c>
      <c r="AA44" s="309">
        <f t="shared" ca="1" si="13"/>
        <v>100</v>
      </c>
      <c r="AB44" s="302"/>
    </row>
    <row r="45" spans="1:28" ht="21" customHeight="1">
      <c r="A45" s="303">
        <v>12</v>
      </c>
      <c r="B45" s="304" t="s">
        <v>69</v>
      </c>
      <c r="C45" s="305">
        <f t="shared" ca="1" si="59"/>
        <v>509680</v>
      </c>
      <c r="D45" s="306">
        <f ca="1">IFERROR(__xludf.DUMMYFUNCTION("IMPORTRANGE(""https://docs.google.com/spreadsheets/d/1C3CXT74ZlgGe6_JY_1olB1XN4rF0dxEuIIF-xsYjHgg/edit?usp=sharing"",""งบกองทุน!D49"")"),0)</f>
        <v>0</v>
      </c>
      <c r="E45" s="306">
        <f ca="1">IFERROR(__xludf.DUMMYFUNCTION("IMPORTRANGE(""https://docs.google.com/spreadsheets/d/1C3CXT74ZlgGe6_JY_1olB1XN4rF0dxEuIIF-xsYjHgg/edit?usp=sharing"",""งบกองทุน!E49"")"),509680)</f>
        <v>509680</v>
      </c>
      <c r="F45" s="307">
        <f ca="1">IFERROR(__xludf.DUMMYFUNCTION("IMPORTRANGE(""https://docs.google.com/spreadsheets/d/1XL5vhW3sbDhbH9Cz0tuDiY8C3ctxq1tqvaCgkFb8cCA/edit?usp=sharing"",""เลย!M244"")"),115389)</f>
        <v>115389</v>
      </c>
      <c r="G45" s="307">
        <f t="shared" ca="1" si="1"/>
        <v>22.639499293674461</v>
      </c>
      <c r="H45" s="306">
        <f ca="1">IFERROR(__xludf.DUMMYFUNCTION("IMPORTRANGE(""https://docs.google.com/spreadsheets/d/1C3CXT74ZlgGe6_JY_1olB1XN4rF0dxEuIIF-xsYjHgg/edit?usp=sharing"",""งบกองทุน!F49"")"),0)</f>
        <v>0</v>
      </c>
      <c r="I45" s="307">
        <v>0</v>
      </c>
      <c r="J45" s="307">
        <f t="shared" ca="1" si="3"/>
        <v>0</v>
      </c>
      <c r="K45" s="308">
        <f ca="1">IFERROR(__xludf.DUMMYFUNCTION("IMPORTRANGE(""https://docs.google.com/spreadsheets/d/1C3CXT74ZlgGe6_JY_1olB1XN4rF0dxEuIIF-xsYjHgg/edit?usp=sharing"",""งบกองทุน!H49"")"),90)</f>
        <v>90</v>
      </c>
      <c r="L45" s="306">
        <f t="shared" ca="1" si="60"/>
        <v>90</v>
      </c>
      <c r="M45" s="307">
        <f t="shared" ca="1" si="5"/>
        <v>100</v>
      </c>
      <c r="N45" s="306">
        <f ca="1">IFERROR(__xludf.DUMMYFUNCTION("IMPORTRANGE(""https://docs.google.com/spreadsheets/d/1XL5vhW3sbDhbH9Cz0tuDiY8C3ctxq1tqvaCgkFb8cCA/edit?usp=sharing"",""เลย!j265"")"),90)</f>
        <v>90</v>
      </c>
      <c r="O45" s="306">
        <f ca="1">IFERROR(__xludf.DUMMYFUNCTION("IMPORTRANGE(""https://docs.google.com/spreadsheets/d/1XL5vhW3sbDhbH9Cz0tuDiY8C3ctxq1tqvaCgkFb8cCA/edit?usp=sharing"",""เลย!j267"")"),90)</f>
        <v>90</v>
      </c>
      <c r="P45" s="306">
        <f ca="1">IFERROR(__xludf.DUMMYFUNCTION("IMPORTRANGE(""https://docs.google.com/spreadsheets/d/1C3CXT74ZlgGe6_JY_1olB1XN4rF0dxEuIIF-xsYjHgg/edit?usp=sharing"",""งบกองทุน!M49"")"),0)</f>
        <v>0</v>
      </c>
      <c r="Q45" s="306">
        <v>0</v>
      </c>
      <c r="R45" s="307">
        <f t="shared" ca="1" si="7"/>
        <v>0</v>
      </c>
      <c r="S45" s="308">
        <f t="shared" ca="1" si="61"/>
        <v>235</v>
      </c>
      <c r="T45" s="306">
        <f t="shared" ca="1" si="52"/>
        <v>0</v>
      </c>
      <c r="U45" s="309">
        <f t="shared" ca="1" si="9"/>
        <v>0</v>
      </c>
      <c r="V45" s="308">
        <f ca="1">IFERROR(__xludf.DUMMYFUNCTION("IMPORTRANGE(""https://docs.google.com/spreadsheets/d/1C3CXT74ZlgGe6_JY_1olB1XN4rF0dxEuIIF-xsYjHgg/edit?usp=sharing"",""งบกองทุน!O49"")"),100)</f>
        <v>100</v>
      </c>
      <c r="W45" s="306">
        <f ca="1">IFERROR(__xludf.DUMMYFUNCTION("IMPORTRANGE(""https://docs.google.com/spreadsheets/d/1XL5vhW3sbDhbH9Cz0tuDiY8C3ctxq1tqvaCgkFb8cCA/edit?usp=sharing"",""เลย!j271"")"),0)</f>
        <v>0</v>
      </c>
      <c r="X45" s="309">
        <f t="shared" ca="1" si="11"/>
        <v>0</v>
      </c>
      <c r="Y45" s="308">
        <f ca="1">IFERROR(__xludf.DUMMYFUNCTION("IMPORTRANGE(""https://docs.google.com/spreadsheets/d/1C3CXT74ZlgGe6_JY_1olB1XN4rF0dxEuIIF-xsYjHgg/edit?usp=sharing"",""งบกองทุน!P49"")"),135)</f>
        <v>135</v>
      </c>
      <c r="Z45" s="306">
        <f ca="1">IFERROR(__xludf.DUMMYFUNCTION("IMPORTRANGE(""https://docs.google.com/spreadsheets/d/1XL5vhW3sbDhbH9Cz0tuDiY8C3ctxq1tqvaCgkFb8cCA/edit?usp=sharing"",""เลย!j272"")"),0)</f>
        <v>0</v>
      </c>
      <c r="AA45" s="309">
        <f t="shared" ca="1" si="13"/>
        <v>0</v>
      </c>
      <c r="AB45" s="302"/>
    </row>
    <row r="46" spans="1:28" ht="21" customHeight="1">
      <c r="A46" s="303">
        <v>13</v>
      </c>
      <c r="B46" s="304" t="s">
        <v>70</v>
      </c>
      <c r="C46" s="305">
        <f t="shared" ca="1" si="59"/>
        <v>373160</v>
      </c>
      <c r="D46" s="306">
        <f ca="1">IFERROR(__xludf.DUMMYFUNCTION("IMPORTRANGE(""https://docs.google.com/spreadsheets/d/1C3CXT74ZlgGe6_JY_1olB1XN4rF0dxEuIIF-xsYjHgg/edit?usp=sharing"",""งบกองทุน!D50"")"),0)</f>
        <v>0</v>
      </c>
      <c r="E46" s="306">
        <f ca="1">IFERROR(__xludf.DUMMYFUNCTION("IMPORTRANGE(""https://docs.google.com/spreadsheets/d/1C3CXT74ZlgGe6_JY_1olB1XN4rF0dxEuIIF-xsYjHgg/edit?usp=sharing"",""งบกองทุน!E50"")"),373160)</f>
        <v>373160</v>
      </c>
      <c r="F46" s="307">
        <f ca="1">IFERROR(__xludf.DUMMYFUNCTION("IMPORTRANGE(""https://docs.google.com/spreadsheets/d/1XL5vhW3sbDhbH9Cz0tuDiY8C3ctxq1tqvaCgkFb8cCA/edit?usp=sharing"",""ศรีสะเกษ!M244"")"),18451.64)</f>
        <v>18451.64</v>
      </c>
      <c r="G46" s="307">
        <f t="shared" ca="1" si="1"/>
        <v>4.9446993246864617</v>
      </c>
      <c r="H46" s="306">
        <f ca="1">IFERROR(__xludf.DUMMYFUNCTION("IMPORTRANGE(""https://docs.google.com/spreadsheets/d/1C3CXT74ZlgGe6_JY_1olB1XN4rF0dxEuIIF-xsYjHgg/edit?usp=sharing"",""งบกองทุน!F50"")"),0)</f>
        <v>0</v>
      </c>
      <c r="I46" s="307">
        <v>0</v>
      </c>
      <c r="J46" s="307">
        <f t="shared" ca="1" si="3"/>
        <v>0</v>
      </c>
      <c r="K46" s="308">
        <f ca="1">IFERROR(__xludf.DUMMYFUNCTION("IMPORTRANGE(""https://docs.google.com/spreadsheets/d/1C3CXT74ZlgGe6_JY_1olB1XN4rF0dxEuIIF-xsYjHgg/edit?usp=sharing"",""งบกองทุน!H50"")"),40)</f>
        <v>40</v>
      </c>
      <c r="L46" s="306">
        <f t="shared" ca="1" si="60"/>
        <v>0</v>
      </c>
      <c r="M46" s="307">
        <f t="shared" ca="1" si="5"/>
        <v>0</v>
      </c>
      <c r="N46" s="306">
        <f ca="1">IFERROR(__xludf.DUMMYFUNCTION("IMPORTRANGE(""https://docs.google.com/spreadsheets/d/1XL5vhW3sbDhbH9Cz0tuDiY8C3ctxq1tqvaCgkFb8cCA/edit?usp=sharing"",""ศรีสะเกษ!j265"")"),0)</f>
        <v>0</v>
      </c>
      <c r="O46" s="306">
        <f ca="1">IFERROR(__xludf.DUMMYFUNCTION("IMPORTRANGE(""https://docs.google.com/spreadsheets/d/1XL5vhW3sbDhbH9Cz0tuDiY8C3ctxq1tqvaCgkFb8cCA/edit?usp=sharing"",""ศรีสะเกษ!j267"")"),0)</f>
        <v>0</v>
      </c>
      <c r="P46" s="306">
        <f ca="1">IFERROR(__xludf.DUMMYFUNCTION("IMPORTRANGE(""https://docs.google.com/spreadsheets/d/1C3CXT74ZlgGe6_JY_1olB1XN4rF0dxEuIIF-xsYjHgg/edit?usp=sharing"",""งบกองทุน!M50"")"),0)</f>
        <v>0</v>
      </c>
      <c r="Q46" s="306">
        <v>0</v>
      </c>
      <c r="R46" s="307">
        <f t="shared" ca="1" si="7"/>
        <v>0</v>
      </c>
      <c r="S46" s="308">
        <f t="shared" ca="1" si="61"/>
        <v>200</v>
      </c>
      <c r="T46" s="306">
        <f t="shared" ca="1" si="52"/>
        <v>0</v>
      </c>
      <c r="U46" s="309">
        <f t="shared" ca="1" si="9"/>
        <v>0</v>
      </c>
      <c r="V46" s="308">
        <f ca="1">IFERROR(__xludf.DUMMYFUNCTION("IMPORTRANGE(""https://docs.google.com/spreadsheets/d/1C3CXT74ZlgGe6_JY_1olB1XN4rF0dxEuIIF-xsYjHgg/edit?usp=sharing"",""งบกองทุน!O50"")"),0)</f>
        <v>0</v>
      </c>
      <c r="W46" s="306">
        <f ca="1">IFERROR(__xludf.DUMMYFUNCTION("IMPORTRANGE(""https://docs.google.com/spreadsheets/d/1XL5vhW3sbDhbH9Cz0tuDiY8C3ctxq1tqvaCgkFb8cCA/edit?usp=sharing"",""ศรีสะเกษ!j271"")"),0)</f>
        <v>0</v>
      </c>
      <c r="X46" s="309">
        <f t="shared" ca="1" si="11"/>
        <v>0</v>
      </c>
      <c r="Y46" s="308">
        <f ca="1">IFERROR(__xludf.DUMMYFUNCTION("IMPORTRANGE(""https://docs.google.com/spreadsheets/d/1C3CXT74ZlgGe6_JY_1olB1XN4rF0dxEuIIF-xsYjHgg/edit?usp=sharing"",""งบกองทุน!P50"")"),200)</f>
        <v>200</v>
      </c>
      <c r="Z46" s="306">
        <f ca="1">IFERROR(__xludf.DUMMYFUNCTION("IMPORTRANGE(""https://docs.google.com/spreadsheets/d/1XL5vhW3sbDhbH9Cz0tuDiY8C3ctxq1tqvaCgkFb8cCA/edit?usp=sharing"",""ศรีสะเกษ!j272"")"),0)</f>
        <v>0</v>
      </c>
      <c r="AA46" s="309">
        <f t="shared" ca="1" si="13"/>
        <v>0</v>
      </c>
      <c r="AB46" s="302"/>
    </row>
    <row r="47" spans="1:28" ht="21" customHeight="1">
      <c r="A47" s="303">
        <v>14</v>
      </c>
      <c r="B47" s="304" t="s">
        <v>71</v>
      </c>
      <c r="C47" s="305">
        <f t="shared" ca="1" si="59"/>
        <v>374170</v>
      </c>
      <c r="D47" s="306">
        <f ca="1">IFERROR(__xludf.DUMMYFUNCTION("IMPORTRANGE(""https://docs.google.com/spreadsheets/d/1C3CXT74ZlgGe6_JY_1olB1XN4rF0dxEuIIF-xsYjHgg/edit?usp=sharing"",""งบกองทุน!D51"")"),0)</f>
        <v>0</v>
      </c>
      <c r="E47" s="306">
        <f ca="1">IFERROR(__xludf.DUMMYFUNCTION("IMPORTRANGE(""https://docs.google.com/spreadsheets/d/1C3CXT74ZlgGe6_JY_1olB1XN4rF0dxEuIIF-xsYjHgg/edit?usp=sharing"",""งบกองทุน!E51"")"),374170)</f>
        <v>374170</v>
      </c>
      <c r="F47" s="307">
        <f ca="1">IFERROR(__xludf.DUMMYFUNCTION("IMPORTRANGE(""https://docs.google.com/spreadsheets/d/1XL5vhW3sbDhbH9Cz0tuDiY8C3ctxq1tqvaCgkFb8cCA/edit?usp=sharing"",""สกลนคร!M244"")"),209552.26)</f>
        <v>209552.26</v>
      </c>
      <c r="G47" s="307">
        <f t="shared" ca="1" si="1"/>
        <v>56.004559424860361</v>
      </c>
      <c r="H47" s="306">
        <f ca="1">IFERROR(__xludf.DUMMYFUNCTION("IMPORTRANGE(""https://docs.google.com/spreadsheets/d/1C3CXT74ZlgGe6_JY_1olB1XN4rF0dxEuIIF-xsYjHgg/edit?usp=sharing"",""งบกองทุน!F51"")"),0)</f>
        <v>0</v>
      </c>
      <c r="I47" s="307">
        <v>0</v>
      </c>
      <c r="J47" s="307">
        <f t="shared" ca="1" si="3"/>
        <v>0</v>
      </c>
      <c r="K47" s="308">
        <f ca="1">IFERROR(__xludf.DUMMYFUNCTION("IMPORTRANGE(""https://docs.google.com/spreadsheets/d/1C3CXT74ZlgGe6_JY_1olB1XN4rF0dxEuIIF-xsYjHgg/edit?usp=sharing"",""งบกองทุน!H51"")"),61)</f>
        <v>61</v>
      </c>
      <c r="L47" s="306">
        <f t="shared" ca="1" si="60"/>
        <v>0</v>
      </c>
      <c r="M47" s="307">
        <f t="shared" ca="1" si="5"/>
        <v>0</v>
      </c>
      <c r="N47" s="306">
        <f ca="1">IFERROR(__xludf.DUMMYFUNCTION("IMPORTRANGE(""https://docs.google.com/spreadsheets/d/1XL5vhW3sbDhbH9Cz0tuDiY8C3ctxq1tqvaCgkFb8cCA/edit?usp=sharing"",""สกลนคร!j265"")"),29)</f>
        <v>29</v>
      </c>
      <c r="O47" s="306">
        <f ca="1">IFERROR(__xludf.DUMMYFUNCTION("IMPORTRANGE(""https://docs.google.com/spreadsheets/d/1XL5vhW3sbDhbH9Cz0tuDiY8C3ctxq1tqvaCgkFb8cCA/edit?usp=sharing"",""สกลนคร!j267"")"),24)</f>
        <v>24</v>
      </c>
      <c r="P47" s="306">
        <f ca="1">IFERROR(__xludf.DUMMYFUNCTION("IMPORTRANGE(""https://docs.google.com/spreadsheets/d/1C3CXT74ZlgGe6_JY_1olB1XN4rF0dxEuIIF-xsYjHgg/edit?usp=sharing"",""งบกองทุน!M51"")"),0)</f>
        <v>0</v>
      </c>
      <c r="Q47" s="306">
        <v>0</v>
      </c>
      <c r="R47" s="307">
        <f t="shared" ca="1" si="7"/>
        <v>0</v>
      </c>
      <c r="S47" s="308">
        <f t="shared" ca="1" si="61"/>
        <v>116</v>
      </c>
      <c r="T47" s="306">
        <f t="shared" ca="1" si="52"/>
        <v>52</v>
      </c>
      <c r="U47" s="309">
        <f t="shared" ca="1" si="9"/>
        <v>44.827586206896555</v>
      </c>
      <c r="V47" s="308">
        <f ca="1">IFERROR(__xludf.DUMMYFUNCTION("IMPORTRANGE(""https://docs.google.com/spreadsheets/d/1C3CXT74ZlgGe6_JY_1olB1XN4rF0dxEuIIF-xsYjHgg/edit?usp=sharing"",""งบกองทุน!O51"")"),34)</f>
        <v>34</v>
      </c>
      <c r="W47" s="306">
        <f ca="1">IFERROR(__xludf.DUMMYFUNCTION("IMPORTRANGE(""https://docs.google.com/spreadsheets/d/1XL5vhW3sbDhbH9Cz0tuDiY8C3ctxq1tqvaCgkFb8cCA/edit?usp=sharing"",""สกลนคร!j271"")"),0)</f>
        <v>0</v>
      </c>
      <c r="X47" s="309">
        <f t="shared" ca="1" si="11"/>
        <v>0</v>
      </c>
      <c r="Y47" s="308">
        <f ca="1">IFERROR(__xludf.DUMMYFUNCTION("IMPORTRANGE(""https://docs.google.com/spreadsheets/d/1C3CXT74ZlgGe6_JY_1olB1XN4rF0dxEuIIF-xsYjHgg/edit?usp=sharing"",""งบกองทุน!P51"")"),82)</f>
        <v>82</v>
      </c>
      <c r="Z47" s="306">
        <f ca="1">IFERROR(__xludf.DUMMYFUNCTION("IMPORTRANGE(""https://docs.google.com/spreadsheets/d/1XL5vhW3sbDhbH9Cz0tuDiY8C3ctxq1tqvaCgkFb8cCA/edit?usp=sharing"",""สกลนคร!j272"")"),52)</f>
        <v>52</v>
      </c>
      <c r="AA47" s="309">
        <f t="shared" ca="1" si="13"/>
        <v>63.414634146341463</v>
      </c>
      <c r="AB47" s="302"/>
    </row>
    <row r="48" spans="1:28" ht="21" customHeight="1">
      <c r="A48" s="303">
        <v>15</v>
      </c>
      <c r="B48" s="304" t="s">
        <v>72</v>
      </c>
      <c r="C48" s="305">
        <f t="shared" ca="1" si="59"/>
        <v>195420</v>
      </c>
      <c r="D48" s="306">
        <f ca="1">IFERROR(__xludf.DUMMYFUNCTION("IMPORTRANGE(""https://docs.google.com/spreadsheets/d/1C3CXT74ZlgGe6_JY_1olB1XN4rF0dxEuIIF-xsYjHgg/edit?usp=sharing"",""งบกองทุน!D52"")"),0)</f>
        <v>0</v>
      </c>
      <c r="E48" s="306">
        <f ca="1">IFERROR(__xludf.DUMMYFUNCTION("IMPORTRANGE(""https://docs.google.com/spreadsheets/d/1C3CXT74ZlgGe6_JY_1olB1XN4rF0dxEuIIF-xsYjHgg/edit?usp=sharing"",""งบกองทุน!E52"")"),195420)</f>
        <v>195420</v>
      </c>
      <c r="F48" s="307">
        <f ca="1">IFERROR(__xludf.DUMMYFUNCTION("IMPORTRANGE(""https://docs.google.com/spreadsheets/d/1XL5vhW3sbDhbH9Cz0tuDiY8C3ctxq1tqvaCgkFb8cCA/edit?usp=sharing"",""สุรินทร์!M244"")"),18408)</f>
        <v>18408</v>
      </c>
      <c r="G48" s="307">
        <f t="shared" ca="1" si="1"/>
        <v>9.419711390850475</v>
      </c>
      <c r="H48" s="306">
        <f ca="1">IFERROR(__xludf.DUMMYFUNCTION("IMPORTRANGE(""https://docs.google.com/spreadsheets/d/1C3CXT74ZlgGe6_JY_1olB1XN4rF0dxEuIIF-xsYjHgg/edit?usp=sharing"",""งบกองทุน!F52"")"),0)</f>
        <v>0</v>
      </c>
      <c r="I48" s="307">
        <v>0</v>
      </c>
      <c r="J48" s="307">
        <f t="shared" ca="1" si="3"/>
        <v>0</v>
      </c>
      <c r="K48" s="308">
        <f ca="1">IFERROR(__xludf.DUMMYFUNCTION("IMPORTRANGE(""https://docs.google.com/spreadsheets/d/1C3CXT74ZlgGe6_JY_1olB1XN4rF0dxEuIIF-xsYjHgg/edit?usp=sharing"",""งบกองทุน!H52"")"),15)</f>
        <v>15</v>
      </c>
      <c r="L48" s="306">
        <f t="shared" ca="1" si="60"/>
        <v>15</v>
      </c>
      <c r="M48" s="307">
        <f t="shared" ca="1" si="5"/>
        <v>100</v>
      </c>
      <c r="N48" s="306">
        <f ca="1">IFERROR(__xludf.DUMMYFUNCTION("IMPORTRANGE(""https://docs.google.com/spreadsheets/d/1XL5vhW3sbDhbH9Cz0tuDiY8C3ctxq1tqvaCgkFb8cCA/edit?usp=sharing"",""สุรินทร์!j265"")"),0)</f>
        <v>0</v>
      </c>
      <c r="O48" s="306">
        <f ca="1">IFERROR(__xludf.DUMMYFUNCTION("IMPORTRANGE(""https://docs.google.com/spreadsheets/d/1XL5vhW3sbDhbH9Cz0tuDiY8C3ctxq1tqvaCgkFb8cCA/edit?usp=sharing"",""สุรินทร์!j267"")"),15)</f>
        <v>15</v>
      </c>
      <c r="P48" s="306">
        <f ca="1">IFERROR(__xludf.DUMMYFUNCTION("IMPORTRANGE(""https://docs.google.com/spreadsheets/d/1C3CXT74ZlgGe6_JY_1olB1XN4rF0dxEuIIF-xsYjHgg/edit?usp=sharing"",""งบกองทุน!M52"")"),0)</f>
        <v>0</v>
      </c>
      <c r="Q48" s="306">
        <v>0</v>
      </c>
      <c r="R48" s="307">
        <f t="shared" ca="1" si="7"/>
        <v>0</v>
      </c>
      <c r="S48" s="308">
        <f t="shared" ca="1" si="61"/>
        <v>150</v>
      </c>
      <c r="T48" s="306">
        <f t="shared" ca="1" si="52"/>
        <v>0</v>
      </c>
      <c r="U48" s="309">
        <f t="shared" ca="1" si="9"/>
        <v>0</v>
      </c>
      <c r="V48" s="308">
        <f ca="1">IFERROR(__xludf.DUMMYFUNCTION("IMPORTRANGE(""https://docs.google.com/spreadsheets/d/1C3CXT74ZlgGe6_JY_1olB1XN4rF0dxEuIIF-xsYjHgg/edit?usp=sharing"",""งบกองทุน!O52"")"),150)</f>
        <v>150</v>
      </c>
      <c r="W48" s="306">
        <f ca="1">IFERROR(__xludf.DUMMYFUNCTION("IMPORTRANGE(""https://docs.google.com/spreadsheets/d/1XL5vhW3sbDhbH9Cz0tuDiY8C3ctxq1tqvaCgkFb8cCA/edit?usp=sharing"",""สุรินทร์!j271"")"),0)</f>
        <v>0</v>
      </c>
      <c r="X48" s="309">
        <f t="shared" ca="1" si="11"/>
        <v>0</v>
      </c>
      <c r="Y48" s="308">
        <f ca="1">IFERROR(__xludf.DUMMYFUNCTION("IMPORTRANGE(""https://docs.google.com/spreadsheets/d/1C3CXT74ZlgGe6_JY_1olB1XN4rF0dxEuIIF-xsYjHgg/edit?usp=sharing"",""งบกองทุน!P52"")"),0)</f>
        <v>0</v>
      </c>
      <c r="Z48" s="306">
        <f ca="1">IFERROR(__xludf.DUMMYFUNCTION("IMPORTRANGE(""https://docs.google.com/spreadsheets/d/1XL5vhW3sbDhbH9Cz0tuDiY8C3ctxq1tqvaCgkFb8cCA/edit?usp=sharing"",""สุรินทร์!j272"")"),0)</f>
        <v>0</v>
      </c>
      <c r="AA48" s="309">
        <f t="shared" ca="1" si="13"/>
        <v>0</v>
      </c>
      <c r="AB48" s="302"/>
    </row>
    <row r="49" spans="1:28" ht="21" customHeight="1">
      <c r="A49" s="303">
        <v>16</v>
      </c>
      <c r="B49" s="304" t="s">
        <v>73</v>
      </c>
      <c r="C49" s="305">
        <f t="shared" ca="1" si="59"/>
        <v>635180</v>
      </c>
      <c r="D49" s="306">
        <f ca="1">IFERROR(__xludf.DUMMYFUNCTION("IMPORTRANGE(""https://docs.google.com/spreadsheets/d/1C3CXT74ZlgGe6_JY_1olB1XN4rF0dxEuIIF-xsYjHgg/edit?usp=sharing"",""งบกองทุน!D53"")"),0)</f>
        <v>0</v>
      </c>
      <c r="E49" s="306">
        <f ca="1">IFERROR(__xludf.DUMMYFUNCTION("IMPORTRANGE(""https://docs.google.com/spreadsheets/d/1C3CXT74ZlgGe6_JY_1olB1XN4rF0dxEuIIF-xsYjHgg/edit?usp=sharing"",""งบกองทุน!E53"")"),635180)</f>
        <v>635180</v>
      </c>
      <c r="F49" s="307">
        <f ca="1">IFERROR(__xludf.DUMMYFUNCTION("IMPORTRANGE(""https://docs.google.com/spreadsheets/d/1XL5vhW3sbDhbH9Cz0tuDiY8C3ctxq1tqvaCgkFb8cCA/edit?usp=sharing"",""หนองคาย!M244"")"),235876.86)</f>
        <v>235876.86</v>
      </c>
      <c r="G49" s="307">
        <f t="shared" ca="1" si="1"/>
        <v>37.13543562454737</v>
      </c>
      <c r="H49" s="306">
        <f ca="1">IFERROR(__xludf.DUMMYFUNCTION("IMPORTRANGE(""https://docs.google.com/spreadsheets/d/1C3CXT74ZlgGe6_JY_1olB1XN4rF0dxEuIIF-xsYjHgg/edit?usp=sharing"",""งบกองทุน!F53"")"),0)</f>
        <v>0</v>
      </c>
      <c r="I49" s="307">
        <v>0</v>
      </c>
      <c r="J49" s="307">
        <f t="shared" ca="1" si="3"/>
        <v>0</v>
      </c>
      <c r="K49" s="308">
        <f ca="1">IFERROR(__xludf.DUMMYFUNCTION("IMPORTRANGE(""https://docs.google.com/spreadsheets/d/1C3CXT74ZlgGe6_JY_1olB1XN4rF0dxEuIIF-xsYjHgg/edit?usp=sharing"",""งบกองทุน!H53"")"),90)</f>
        <v>90</v>
      </c>
      <c r="L49" s="306">
        <f t="shared" ca="1" si="60"/>
        <v>90</v>
      </c>
      <c r="M49" s="307">
        <f t="shared" ca="1" si="5"/>
        <v>100</v>
      </c>
      <c r="N49" s="306">
        <f ca="1">IFERROR(__xludf.DUMMYFUNCTION("IMPORTRANGE(""https://docs.google.com/spreadsheets/d/1XL5vhW3sbDhbH9Cz0tuDiY8C3ctxq1tqvaCgkFb8cCA/edit?usp=sharing"",""หนองคาย!j265"")"),90)</f>
        <v>90</v>
      </c>
      <c r="O49" s="306">
        <f ca="1">IFERROR(__xludf.DUMMYFUNCTION("IMPORTRANGE(""https://docs.google.com/spreadsheets/d/1XL5vhW3sbDhbH9Cz0tuDiY8C3ctxq1tqvaCgkFb8cCA/edit?usp=sharing"",""หนองคาย!j267"")"),90)</f>
        <v>90</v>
      </c>
      <c r="P49" s="306">
        <f ca="1">IFERROR(__xludf.DUMMYFUNCTION("IMPORTRANGE(""https://docs.google.com/spreadsheets/d/1C3CXT74ZlgGe6_JY_1olB1XN4rF0dxEuIIF-xsYjHgg/edit?usp=sharing"",""งบกองทุน!M53"")"),0)</f>
        <v>0</v>
      </c>
      <c r="Q49" s="306">
        <v>0</v>
      </c>
      <c r="R49" s="307">
        <f t="shared" ca="1" si="7"/>
        <v>0</v>
      </c>
      <c r="S49" s="308">
        <f t="shared" ca="1" si="61"/>
        <v>400</v>
      </c>
      <c r="T49" s="306">
        <f t="shared" ca="1" si="52"/>
        <v>80</v>
      </c>
      <c r="U49" s="309">
        <f t="shared" ca="1" si="9"/>
        <v>20</v>
      </c>
      <c r="V49" s="308">
        <f ca="1">IFERROR(__xludf.DUMMYFUNCTION("IMPORTRANGE(""https://docs.google.com/spreadsheets/d/1C3CXT74ZlgGe6_JY_1olB1XN4rF0dxEuIIF-xsYjHgg/edit?usp=sharing"",""งบกองทุน!O53"")"),100)</f>
        <v>100</v>
      </c>
      <c r="W49" s="306">
        <f ca="1">IFERROR(__xludf.DUMMYFUNCTION("IMPORTRANGE(""https://docs.google.com/spreadsheets/d/1XL5vhW3sbDhbH9Cz0tuDiY8C3ctxq1tqvaCgkFb8cCA/edit?usp=sharing"",""หนองคาย!j271"")"),80)</f>
        <v>80</v>
      </c>
      <c r="X49" s="309">
        <f t="shared" ca="1" si="11"/>
        <v>80</v>
      </c>
      <c r="Y49" s="308">
        <f ca="1">IFERROR(__xludf.DUMMYFUNCTION("IMPORTRANGE(""https://docs.google.com/spreadsheets/d/1C3CXT74ZlgGe6_JY_1olB1XN4rF0dxEuIIF-xsYjHgg/edit?usp=sharing"",""งบกองทุน!P53"")"),300)</f>
        <v>300</v>
      </c>
      <c r="Z49" s="306">
        <f ca="1">IFERROR(__xludf.DUMMYFUNCTION("IMPORTRANGE(""https://docs.google.com/spreadsheets/d/1XL5vhW3sbDhbH9Cz0tuDiY8C3ctxq1tqvaCgkFb8cCA/edit?usp=sharing"",""หนองคาย!j272"")"),0)</f>
        <v>0</v>
      </c>
      <c r="AA49" s="309">
        <f t="shared" ca="1" si="13"/>
        <v>0</v>
      </c>
      <c r="AB49" s="302"/>
    </row>
    <row r="50" spans="1:28" ht="21" customHeight="1">
      <c r="A50" s="303">
        <v>17</v>
      </c>
      <c r="B50" s="304" t="s">
        <v>74</v>
      </c>
      <c r="C50" s="305">
        <f t="shared" ca="1" si="59"/>
        <v>615580</v>
      </c>
      <c r="D50" s="306">
        <f ca="1">IFERROR(__xludf.DUMMYFUNCTION("IMPORTRANGE(""https://docs.google.com/spreadsheets/d/1C3CXT74ZlgGe6_JY_1olB1XN4rF0dxEuIIF-xsYjHgg/edit?usp=sharing"",""งบกองทุน!D54"")"),0)</f>
        <v>0</v>
      </c>
      <c r="E50" s="306">
        <f ca="1">IFERROR(__xludf.DUMMYFUNCTION("IMPORTRANGE(""https://docs.google.com/spreadsheets/d/1C3CXT74ZlgGe6_JY_1olB1XN4rF0dxEuIIF-xsYjHgg/edit?usp=sharing"",""งบกองทุน!E54"")"),615580)</f>
        <v>615580</v>
      </c>
      <c r="F50" s="307">
        <f ca="1">IFERROR(__xludf.DUMMYFUNCTION("IMPORTRANGE(""https://docs.google.com/spreadsheets/d/1XL5vhW3sbDhbH9Cz0tuDiY8C3ctxq1tqvaCgkFb8cCA/edit?usp=sharing"",""หนองบัวลำภู!M244"")"),232608.72)</f>
        <v>232608.72</v>
      </c>
      <c r="G50" s="307">
        <f t="shared" ca="1" si="1"/>
        <v>37.786919653010166</v>
      </c>
      <c r="H50" s="306">
        <f ca="1">IFERROR(__xludf.DUMMYFUNCTION("IMPORTRANGE(""https://docs.google.com/spreadsheets/d/1C3CXT74ZlgGe6_JY_1olB1XN4rF0dxEuIIF-xsYjHgg/edit?usp=sharing"",""งบกองทุน!F54"")"),0)</f>
        <v>0</v>
      </c>
      <c r="I50" s="307">
        <v>0</v>
      </c>
      <c r="J50" s="307">
        <f t="shared" ca="1" si="3"/>
        <v>0</v>
      </c>
      <c r="K50" s="308">
        <f ca="1">IFERROR(__xludf.DUMMYFUNCTION("IMPORTRANGE(""https://docs.google.com/spreadsheets/d/1C3CXT74ZlgGe6_JY_1olB1XN4rF0dxEuIIF-xsYjHgg/edit?usp=sharing"",""งบกองทุน!H54"")"),90)</f>
        <v>90</v>
      </c>
      <c r="L50" s="306">
        <f t="shared" ca="1" si="60"/>
        <v>90</v>
      </c>
      <c r="M50" s="307">
        <f t="shared" ca="1" si="5"/>
        <v>100</v>
      </c>
      <c r="N50" s="306">
        <f ca="1">IFERROR(__xludf.DUMMYFUNCTION("IMPORTRANGE(""https://docs.google.com/spreadsheets/d/1XL5vhW3sbDhbH9Cz0tuDiY8C3ctxq1tqvaCgkFb8cCA/edit?usp=sharing"",""หนองบัวลำภู!j265"")"),70)</f>
        <v>70</v>
      </c>
      <c r="O50" s="306">
        <f ca="1">IFERROR(__xludf.DUMMYFUNCTION("IMPORTRANGE(""https://docs.google.com/spreadsheets/d/1XL5vhW3sbDhbH9Cz0tuDiY8C3ctxq1tqvaCgkFb8cCA/edit?usp=sharing"",""หนองบัวลำภู!j267"")"),20)</f>
        <v>20</v>
      </c>
      <c r="P50" s="306">
        <f ca="1">IFERROR(__xludf.DUMMYFUNCTION("IMPORTRANGE(""https://docs.google.com/spreadsheets/d/1C3CXT74ZlgGe6_JY_1olB1XN4rF0dxEuIIF-xsYjHgg/edit?usp=sharing"",""งบกองทุน!M54"")"),0)</f>
        <v>0</v>
      </c>
      <c r="Q50" s="306">
        <v>0</v>
      </c>
      <c r="R50" s="307">
        <f t="shared" ca="1" si="7"/>
        <v>0</v>
      </c>
      <c r="S50" s="308">
        <f t="shared" ca="1" si="61"/>
        <v>392</v>
      </c>
      <c r="T50" s="306">
        <f t="shared" ca="1" si="52"/>
        <v>21</v>
      </c>
      <c r="U50" s="309">
        <f t="shared" ca="1" si="9"/>
        <v>5.3571428571428568</v>
      </c>
      <c r="V50" s="308">
        <f ca="1">IFERROR(__xludf.DUMMYFUNCTION("IMPORTRANGE(""https://docs.google.com/spreadsheets/d/1C3CXT74ZlgGe6_JY_1olB1XN4rF0dxEuIIF-xsYjHgg/edit?usp=sharing"",""งบกองทุน!O54"")"),20)</f>
        <v>20</v>
      </c>
      <c r="W50" s="306">
        <f ca="1">IFERROR(__xludf.DUMMYFUNCTION("IMPORTRANGE(""https://docs.google.com/spreadsheets/d/1XL5vhW3sbDhbH9Cz0tuDiY8C3ctxq1tqvaCgkFb8cCA/edit?usp=sharing"",""หนองบัวลำภู!j271"")"),21)</f>
        <v>21</v>
      </c>
      <c r="X50" s="309">
        <f t="shared" ca="1" si="11"/>
        <v>105</v>
      </c>
      <c r="Y50" s="308">
        <f ca="1">IFERROR(__xludf.DUMMYFUNCTION("IMPORTRANGE(""https://docs.google.com/spreadsheets/d/1C3CXT74ZlgGe6_JY_1olB1XN4rF0dxEuIIF-xsYjHgg/edit?usp=sharing"",""งบกองทุน!P54"")"),372)</f>
        <v>372</v>
      </c>
      <c r="Z50" s="306">
        <f ca="1">IFERROR(__xludf.DUMMYFUNCTION("IMPORTRANGE(""https://docs.google.com/spreadsheets/d/1XL5vhW3sbDhbH9Cz0tuDiY8C3ctxq1tqvaCgkFb8cCA/edit?usp=sharing"",""หนองบัวลำภู!j272"")"),0)</f>
        <v>0</v>
      </c>
      <c r="AA50" s="309">
        <f t="shared" ca="1" si="13"/>
        <v>0</v>
      </c>
      <c r="AB50" s="302"/>
    </row>
    <row r="51" spans="1:28" ht="21" customHeight="1">
      <c r="A51" s="303">
        <v>18</v>
      </c>
      <c r="B51" s="304" t="s">
        <v>75</v>
      </c>
      <c r="C51" s="305">
        <f t="shared" ca="1" si="59"/>
        <v>323260</v>
      </c>
      <c r="D51" s="306">
        <f ca="1">IFERROR(__xludf.DUMMYFUNCTION("IMPORTRANGE(""https://docs.google.com/spreadsheets/d/1C3CXT74ZlgGe6_JY_1olB1XN4rF0dxEuIIF-xsYjHgg/edit?usp=sharing"",""งบกองทุน!D55"")"),0)</f>
        <v>0</v>
      </c>
      <c r="E51" s="306">
        <f ca="1">IFERROR(__xludf.DUMMYFUNCTION("IMPORTRANGE(""https://docs.google.com/spreadsheets/d/1C3CXT74ZlgGe6_JY_1olB1XN4rF0dxEuIIF-xsYjHgg/edit?usp=sharing"",""งบกองทุน!E55"")"),323260)</f>
        <v>323260</v>
      </c>
      <c r="F51" s="307">
        <f ca="1">IFERROR(__xludf.DUMMYFUNCTION("IMPORTRANGE(""https://docs.google.com/spreadsheets/d/1XL5vhW3sbDhbH9Cz0tuDiY8C3ctxq1tqvaCgkFb8cCA/edit?usp=sharing"",""อำนาจเจริญ!M244"")"),213070)</f>
        <v>213070</v>
      </c>
      <c r="G51" s="307">
        <f t="shared" ca="1" si="1"/>
        <v>65.912887459011316</v>
      </c>
      <c r="H51" s="306">
        <f ca="1">IFERROR(__xludf.DUMMYFUNCTION("IMPORTRANGE(""https://docs.google.com/spreadsheets/d/1C3CXT74ZlgGe6_JY_1olB1XN4rF0dxEuIIF-xsYjHgg/edit?usp=sharing"",""งบกองทุน!F55"")"),0)</f>
        <v>0</v>
      </c>
      <c r="I51" s="307">
        <v>0</v>
      </c>
      <c r="J51" s="307">
        <f t="shared" ca="1" si="3"/>
        <v>0</v>
      </c>
      <c r="K51" s="308">
        <f ca="1">IFERROR(__xludf.DUMMYFUNCTION("IMPORTRANGE(""https://docs.google.com/spreadsheets/d/1C3CXT74ZlgGe6_JY_1olB1XN4rF0dxEuIIF-xsYjHgg/edit?usp=sharing"",""งบกองทุน!H55"")"),30)</f>
        <v>30</v>
      </c>
      <c r="L51" s="306">
        <f ca="1">SUM(O51)</f>
        <v>30</v>
      </c>
      <c r="M51" s="307">
        <f t="shared" ca="1" si="5"/>
        <v>100</v>
      </c>
      <c r="N51" s="306">
        <f ca="1">IFERROR(__xludf.DUMMYFUNCTION("IMPORTRANGE(""https://docs.google.com/spreadsheets/d/1XL5vhW3sbDhbH9Cz0tuDiY8C3ctxq1tqvaCgkFb8cCA/edit?usp=sharing"",""อำนาจเจริญ!j265"")"),30)</f>
        <v>30</v>
      </c>
      <c r="O51" s="306">
        <f ca="1">IFERROR(__xludf.DUMMYFUNCTION("IMPORTRANGE(""https://docs.google.com/spreadsheets/d/1XL5vhW3sbDhbH9Cz0tuDiY8C3ctxq1tqvaCgkFb8cCA/edit?usp=sharing"",""อำนาจเจริญ!j267"")"),30)</f>
        <v>30</v>
      </c>
      <c r="P51" s="306">
        <f ca="1">IFERROR(__xludf.DUMMYFUNCTION("IMPORTRANGE(""https://docs.google.com/spreadsheets/d/1C3CXT74ZlgGe6_JY_1olB1XN4rF0dxEuIIF-xsYjHgg/edit?usp=sharing"",""งบกองทุน!M55"")"),0)</f>
        <v>0</v>
      </c>
      <c r="Q51" s="306">
        <v>0</v>
      </c>
      <c r="R51" s="307">
        <f t="shared" ca="1" si="7"/>
        <v>0</v>
      </c>
      <c r="S51" s="308">
        <f t="shared" ca="1" si="61"/>
        <v>120</v>
      </c>
      <c r="T51" s="306">
        <f t="shared" ca="1" si="52"/>
        <v>120</v>
      </c>
      <c r="U51" s="309">
        <f t="shared" ca="1" si="9"/>
        <v>100</v>
      </c>
      <c r="V51" s="308">
        <f ca="1">IFERROR(__xludf.DUMMYFUNCTION("IMPORTRANGE(""https://docs.google.com/spreadsheets/d/1C3CXT74ZlgGe6_JY_1olB1XN4rF0dxEuIIF-xsYjHgg/edit?usp=sharing"",""งบกองทุน!O55"")"),45)</f>
        <v>45</v>
      </c>
      <c r="W51" s="306">
        <f ca="1">IFERROR(__xludf.DUMMYFUNCTION("IMPORTRANGE(""https://docs.google.com/spreadsheets/d/1XL5vhW3sbDhbH9Cz0tuDiY8C3ctxq1tqvaCgkFb8cCA/edit?usp=sharing"",""อำนาจเจริญ!j271"")"),45)</f>
        <v>45</v>
      </c>
      <c r="X51" s="309">
        <f t="shared" ca="1" si="11"/>
        <v>100</v>
      </c>
      <c r="Y51" s="308">
        <f ca="1">IFERROR(__xludf.DUMMYFUNCTION("IMPORTRANGE(""https://docs.google.com/spreadsheets/d/1C3CXT74ZlgGe6_JY_1olB1XN4rF0dxEuIIF-xsYjHgg/edit?usp=sharing"",""งบกองทุน!P55"")"),75)</f>
        <v>75</v>
      </c>
      <c r="Z51" s="306">
        <f ca="1">IFERROR(__xludf.DUMMYFUNCTION("IMPORTRANGE(""https://docs.google.com/spreadsheets/d/1XL5vhW3sbDhbH9Cz0tuDiY8C3ctxq1tqvaCgkFb8cCA/edit?usp=sharing"",""อำนาจเจริญ!j272"")"),75)</f>
        <v>75</v>
      </c>
      <c r="AA51" s="309">
        <f t="shared" ca="1" si="13"/>
        <v>100</v>
      </c>
      <c r="AB51" s="302"/>
    </row>
    <row r="52" spans="1:28" ht="21" customHeight="1">
      <c r="A52" s="303">
        <v>19</v>
      </c>
      <c r="B52" s="304" t="s">
        <v>76</v>
      </c>
      <c r="C52" s="305">
        <f t="shared" ca="1" si="59"/>
        <v>1007200</v>
      </c>
      <c r="D52" s="306">
        <f ca="1">IFERROR(__xludf.DUMMYFUNCTION("IMPORTRANGE(""https://docs.google.com/spreadsheets/d/1C3CXT74ZlgGe6_JY_1olB1XN4rF0dxEuIIF-xsYjHgg/edit?usp=sharing"",""งบกองทุน!D56"")"),0)</f>
        <v>0</v>
      </c>
      <c r="E52" s="306">
        <f ca="1">IFERROR(__xludf.DUMMYFUNCTION("IMPORTRANGE(""https://docs.google.com/spreadsheets/d/1C3CXT74ZlgGe6_JY_1olB1XN4rF0dxEuIIF-xsYjHgg/edit?usp=sharing"",""งบกองทุน!E56"")"),1007200)</f>
        <v>1007200</v>
      </c>
      <c r="F52" s="307">
        <f ca="1">IFERROR(__xludf.DUMMYFUNCTION("IMPORTRANGE(""https://docs.google.com/spreadsheets/d/1XL5vhW3sbDhbH9Cz0tuDiY8C3ctxq1tqvaCgkFb8cCA/edit?usp=sharing"",""อุดรธานี!M244"")"),219973.7)</f>
        <v>219973.7</v>
      </c>
      <c r="G52" s="307">
        <f t="shared" ca="1" si="1"/>
        <v>21.840121127879268</v>
      </c>
      <c r="H52" s="306">
        <f ca="1">IFERROR(__xludf.DUMMYFUNCTION("IMPORTRANGE(""https://docs.google.com/spreadsheets/d/1C3CXT74ZlgGe6_JY_1olB1XN4rF0dxEuIIF-xsYjHgg/edit?usp=sharing"",""งบกองทุน!F56"")"),0)</f>
        <v>0</v>
      </c>
      <c r="I52" s="307">
        <v>0</v>
      </c>
      <c r="J52" s="307">
        <f t="shared" ca="1" si="3"/>
        <v>0</v>
      </c>
      <c r="K52" s="308">
        <f ca="1">IFERROR(__xludf.DUMMYFUNCTION("IMPORTRANGE(""https://docs.google.com/spreadsheets/d/1C3CXT74ZlgGe6_JY_1olB1XN4rF0dxEuIIF-xsYjHgg/edit?usp=sharing"",""งบกองทุน!H56"")"),140)</f>
        <v>140</v>
      </c>
      <c r="L52" s="306">
        <f t="shared" ref="L52:L53" ca="1" si="62">IF(N52&gt;=K52,N52,IF(O52&gt;=K52,O52,IF(N52+O52&gt;=K52,N52+O52,0)))</f>
        <v>140</v>
      </c>
      <c r="M52" s="307">
        <f t="shared" ca="1" si="5"/>
        <v>100</v>
      </c>
      <c r="N52" s="306">
        <f ca="1">IFERROR(__xludf.DUMMYFUNCTION("IMPORTRANGE(""https://docs.google.com/spreadsheets/d/1XL5vhW3sbDhbH9Cz0tuDiY8C3ctxq1tqvaCgkFb8cCA/edit?usp=sharing"",""อุดรธานี!j265"")"),140)</f>
        <v>140</v>
      </c>
      <c r="O52" s="306">
        <f ca="1">IFERROR(__xludf.DUMMYFUNCTION("IMPORTRANGE(""https://docs.google.com/spreadsheets/d/1XL5vhW3sbDhbH9Cz0tuDiY8C3ctxq1tqvaCgkFb8cCA/edit?usp=sharing"",""อุดรธานี!j267"")"),140)</f>
        <v>140</v>
      </c>
      <c r="P52" s="306">
        <f ca="1">IFERROR(__xludf.DUMMYFUNCTION("IMPORTRANGE(""https://docs.google.com/spreadsheets/d/1C3CXT74ZlgGe6_JY_1olB1XN4rF0dxEuIIF-xsYjHgg/edit?usp=sharing"",""งบกองทุน!M56"")"),0)</f>
        <v>0</v>
      </c>
      <c r="Q52" s="306">
        <v>0</v>
      </c>
      <c r="R52" s="307">
        <f t="shared" ca="1" si="7"/>
        <v>0</v>
      </c>
      <c r="S52" s="308">
        <f t="shared" ca="1" si="61"/>
        <v>662</v>
      </c>
      <c r="T52" s="306">
        <f t="shared" ca="1" si="52"/>
        <v>0</v>
      </c>
      <c r="U52" s="309">
        <f t="shared" ca="1" si="9"/>
        <v>0</v>
      </c>
      <c r="V52" s="308">
        <f ca="1">IFERROR(__xludf.DUMMYFUNCTION("IMPORTRANGE(""https://docs.google.com/spreadsheets/d/1C3CXT74ZlgGe6_JY_1olB1XN4rF0dxEuIIF-xsYjHgg/edit?usp=sharing"",""งบกองทุน!O56"")"),500)</f>
        <v>500</v>
      </c>
      <c r="W52" s="306">
        <f ca="1">IFERROR(__xludf.DUMMYFUNCTION("IMPORTRANGE(""https://docs.google.com/spreadsheets/d/1XL5vhW3sbDhbH9Cz0tuDiY8C3ctxq1tqvaCgkFb8cCA/edit?usp=sharing"",""อุดรธานี!j271"")"),0)</f>
        <v>0</v>
      </c>
      <c r="X52" s="309">
        <f t="shared" ca="1" si="11"/>
        <v>0</v>
      </c>
      <c r="Y52" s="308">
        <f ca="1">IFERROR(__xludf.DUMMYFUNCTION("IMPORTRANGE(""https://docs.google.com/spreadsheets/d/1C3CXT74ZlgGe6_JY_1olB1XN4rF0dxEuIIF-xsYjHgg/edit?usp=sharing"",""งบกองทุน!P56"")"),162)</f>
        <v>162</v>
      </c>
      <c r="Z52" s="306">
        <f ca="1">IFERROR(__xludf.DUMMYFUNCTION("IMPORTRANGE(""https://docs.google.com/spreadsheets/d/1XL5vhW3sbDhbH9Cz0tuDiY8C3ctxq1tqvaCgkFb8cCA/edit?usp=sharing"",""อุดรธานี!j272"")"),0)</f>
        <v>0</v>
      </c>
      <c r="AA52" s="309">
        <f t="shared" ca="1" si="13"/>
        <v>0</v>
      </c>
      <c r="AB52" s="302"/>
    </row>
    <row r="53" spans="1:28" ht="21" customHeight="1">
      <c r="A53" s="310">
        <v>20</v>
      </c>
      <c r="B53" s="311" t="s">
        <v>77</v>
      </c>
      <c r="C53" s="312">
        <f t="shared" ca="1" si="59"/>
        <v>550180</v>
      </c>
      <c r="D53" s="306">
        <f ca="1">IFERROR(__xludf.DUMMYFUNCTION("IMPORTRANGE(""https://docs.google.com/spreadsheets/d/1C3CXT74ZlgGe6_JY_1olB1XN4rF0dxEuIIF-xsYjHgg/edit?usp=sharing"",""งบกองทุน!D57"")"),0)</f>
        <v>0</v>
      </c>
      <c r="E53" s="313">
        <f ca="1">IFERROR(__xludf.DUMMYFUNCTION("IMPORTRANGE(""https://docs.google.com/spreadsheets/d/1C3CXT74ZlgGe6_JY_1olB1XN4rF0dxEuIIF-xsYjHgg/edit?usp=sharing"",""งบกองทุน!E57"")"),550180)</f>
        <v>550180</v>
      </c>
      <c r="F53" s="314">
        <f ca="1">IFERROR(__xludf.DUMMYFUNCTION("IMPORTRANGE(""https://docs.google.com/spreadsheets/d/1XL5vhW3sbDhbH9Cz0tuDiY8C3ctxq1tqvaCgkFb8cCA/edit?usp=sharing"",""อุบลราชธานี!M244"")"),450773)</f>
        <v>450773</v>
      </c>
      <c r="G53" s="314">
        <f t="shared" ca="1" si="1"/>
        <v>81.931913192046238</v>
      </c>
      <c r="H53" s="313">
        <f ca="1">IFERROR(__xludf.DUMMYFUNCTION("IMPORTRANGE(""https://docs.google.com/spreadsheets/d/1C3CXT74ZlgGe6_JY_1olB1XN4rF0dxEuIIF-xsYjHgg/edit?usp=sharing"",""งบกองทุน!F57"")"),0)</f>
        <v>0</v>
      </c>
      <c r="I53" s="314">
        <v>0</v>
      </c>
      <c r="J53" s="314">
        <f t="shared" ca="1" si="3"/>
        <v>0</v>
      </c>
      <c r="K53" s="315">
        <f ca="1">IFERROR(__xludf.DUMMYFUNCTION("IMPORTRANGE(""https://docs.google.com/spreadsheets/d/1C3CXT74ZlgGe6_JY_1olB1XN4rF0dxEuIIF-xsYjHgg/edit?usp=sharing"",""งบกองทุน!H57"")"),90)</f>
        <v>90</v>
      </c>
      <c r="L53" s="313">
        <f t="shared" ca="1" si="62"/>
        <v>90</v>
      </c>
      <c r="M53" s="314">
        <f t="shared" ca="1" si="5"/>
        <v>100</v>
      </c>
      <c r="N53" s="313">
        <f ca="1">IFERROR(__xludf.DUMMYFUNCTION("IMPORTRANGE(""https://docs.google.com/spreadsheets/d/1XL5vhW3sbDhbH9Cz0tuDiY8C3ctxq1tqvaCgkFb8cCA/edit?usp=sharing"",""อุบลราชธานี!j265"")"),90)</f>
        <v>90</v>
      </c>
      <c r="O53" s="313">
        <f ca="1">IFERROR(__xludf.DUMMYFUNCTION("IMPORTRANGE(""https://docs.google.com/spreadsheets/d/1XL5vhW3sbDhbH9Cz0tuDiY8C3ctxq1tqvaCgkFb8cCA/edit?usp=sharing"",""อุบลราชธานี!j267"")"),90)</f>
        <v>90</v>
      </c>
      <c r="P53" s="313">
        <f ca="1">IFERROR(__xludf.DUMMYFUNCTION("IMPORTRANGE(""https://docs.google.com/spreadsheets/d/1C3CXT74ZlgGe6_JY_1olB1XN4rF0dxEuIIF-xsYjHgg/edit?usp=sharing"",""งบกองทุน!M57"")"),0)</f>
        <v>0</v>
      </c>
      <c r="Q53" s="313">
        <v>0</v>
      </c>
      <c r="R53" s="314">
        <f t="shared" ca="1" si="7"/>
        <v>0</v>
      </c>
      <c r="S53" s="315">
        <f t="shared" ca="1" si="61"/>
        <v>300</v>
      </c>
      <c r="T53" s="313">
        <f t="shared" ca="1" si="52"/>
        <v>300</v>
      </c>
      <c r="U53" s="316">
        <f t="shared" ca="1" si="9"/>
        <v>100</v>
      </c>
      <c r="V53" s="315">
        <f ca="1">IFERROR(__xludf.DUMMYFUNCTION("IMPORTRANGE(""https://docs.google.com/spreadsheets/d/1C3CXT74ZlgGe6_JY_1olB1XN4rF0dxEuIIF-xsYjHgg/edit?usp=sharing"",""งบกองทุน!O57"")"),100)</f>
        <v>100</v>
      </c>
      <c r="W53" s="313">
        <f ca="1">IFERROR(__xludf.DUMMYFUNCTION("IMPORTRANGE(""https://docs.google.com/spreadsheets/d/1XL5vhW3sbDhbH9Cz0tuDiY8C3ctxq1tqvaCgkFb8cCA/edit?usp=sharing"",""อุบลราชธานี!j271"")"),100)</f>
        <v>100</v>
      </c>
      <c r="X53" s="316">
        <f t="shared" ca="1" si="11"/>
        <v>100</v>
      </c>
      <c r="Y53" s="315">
        <f ca="1">IFERROR(__xludf.DUMMYFUNCTION("IMPORTRANGE(""https://docs.google.com/spreadsheets/d/1C3CXT74ZlgGe6_JY_1olB1XN4rF0dxEuIIF-xsYjHgg/edit?usp=sharing"",""งบกองทุน!P57"")"),200)</f>
        <v>200</v>
      </c>
      <c r="Z53" s="313">
        <f ca="1">IFERROR(__xludf.DUMMYFUNCTION("IMPORTRANGE(""https://docs.google.com/spreadsheets/d/1XL5vhW3sbDhbH9Cz0tuDiY8C3ctxq1tqvaCgkFb8cCA/edit?usp=sharing"",""อุบลราชธานี!j272"")"),200)</f>
        <v>200</v>
      </c>
      <c r="AA53" s="316">
        <f t="shared" ca="1" si="13"/>
        <v>100</v>
      </c>
      <c r="AB53" s="302"/>
    </row>
    <row r="54" spans="1:28" ht="21" customHeight="1">
      <c r="A54" s="801" t="s">
        <v>78</v>
      </c>
      <c r="B54" s="678"/>
      <c r="C54" s="317">
        <f t="shared" ref="C54:F54" ca="1" si="63">SUM(C55:C75)</f>
        <v>2223740</v>
      </c>
      <c r="D54" s="318">
        <f t="shared" ca="1" si="63"/>
        <v>0</v>
      </c>
      <c r="E54" s="318">
        <f t="shared" ca="1" si="63"/>
        <v>2223740</v>
      </c>
      <c r="F54" s="319">
        <f t="shared" ca="1" si="63"/>
        <v>987206.929999999</v>
      </c>
      <c r="G54" s="319">
        <f t="shared" ca="1" si="1"/>
        <v>44.393990754314757</v>
      </c>
      <c r="H54" s="318">
        <f t="shared" ref="H54:I54" ca="1" si="64">SUM(H55:H75)</f>
        <v>0</v>
      </c>
      <c r="I54" s="319">
        <f t="shared" si="64"/>
        <v>0</v>
      </c>
      <c r="J54" s="319">
        <f t="shared" ca="1" si="3"/>
        <v>0</v>
      </c>
      <c r="K54" s="318">
        <f t="shared" ref="K54:L54" ca="1" si="65">SUM(K55:K75)</f>
        <v>292</v>
      </c>
      <c r="L54" s="318">
        <f t="shared" ca="1" si="65"/>
        <v>272</v>
      </c>
      <c r="M54" s="319">
        <f t="shared" ca="1" si="5"/>
        <v>93.150684931506845</v>
      </c>
      <c r="N54" s="318">
        <f t="shared" ref="N54:Q54" ca="1" si="66">SUM(N55:N75)</f>
        <v>236</v>
      </c>
      <c r="O54" s="318">
        <f t="shared" ca="1" si="66"/>
        <v>207</v>
      </c>
      <c r="P54" s="318">
        <f t="shared" ca="1" si="66"/>
        <v>0</v>
      </c>
      <c r="Q54" s="318">
        <f t="shared" si="66"/>
        <v>0</v>
      </c>
      <c r="R54" s="319">
        <f t="shared" ca="1" si="7"/>
        <v>0</v>
      </c>
      <c r="S54" s="318">
        <f ca="1">SUM(S55:S75)</f>
        <v>634</v>
      </c>
      <c r="T54" s="318">
        <f t="shared" ca="1" si="52"/>
        <v>187</v>
      </c>
      <c r="U54" s="319">
        <f t="shared" ca="1" si="9"/>
        <v>29.495268138801261</v>
      </c>
      <c r="V54" s="318">
        <f t="shared" ref="V54:W54" ca="1" si="67">SUM(V55:V75)</f>
        <v>307</v>
      </c>
      <c r="W54" s="318">
        <f t="shared" ca="1" si="67"/>
        <v>40</v>
      </c>
      <c r="X54" s="319">
        <f t="shared" ca="1" si="11"/>
        <v>13.029315960912053</v>
      </c>
      <c r="Y54" s="318">
        <f t="shared" ref="Y54:Z54" ca="1" si="68">SUM(Y55:Y75)</f>
        <v>327</v>
      </c>
      <c r="Z54" s="318">
        <f t="shared" ca="1" si="68"/>
        <v>147</v>
      </c>
      <c r="AA54" s="319">
        <f t="shared" ca="1" si="13"/>
        <v>44.954128440366972</v>
      </c>
      <c r="AB54" s="302"/>
    </row>
    <row r="55" spans="1:28" ht="21" customHeight="1">
      <c r="A55" s="293">
        <v>1</v>
      </c>
      <c r="B55" s="294" t="s">
        <v>79</v>
      </c>
      <c r="C55" s="295">
        <f t="shared" ref="C55:C75" ca="1" si="69">+D55+E55</f>
        <v>380760</v>
      </c>
      <c r="D55" s="296">
        <f ca="1">IFERROR(__xludf.DUMMYFUNCTION("IMPORTRANGE(""https://docs.google.com/spreadsheets/d/1C3CXT74ZlgGe6_JY_1olB1XN4rF0dxEuIIF-xsYjHgg/edit?usp=sharing"",""งบกองทุน!D59"")"),0)</f>
        <v>0</v>
      </c>
      <c r="E55" s="296">
        <f ca="1">IFERROR(__xludf.DUMMYFUNCTION("IMPORTRANGE(""https://docs.google.com/spreadsheets/d/1C3CXT74ZlgGe6_JY_1olB1XN4rF0dxEuIIF-xsYjHgg/edit?usp=sharing"",""งบกองทุน!E59"")"),380760)</f>
        <v>380760</v>
      </c>
      <c r="F55" s="297">
        <f ca="1">IFERROR(__xludf.DUMMYFUNCTION("IMPORTRANGE(""https://docs.google.com/spreadsheets/d/1SX6NBoVAgQJ6U1MVXOaj8PK2l7WJ3RER9xtqwdhxkhw/edit?usp=sharing"",""กาญจนบุรี!M244"")"),142567)</f>
        <v>142567</v>
      </c>
      <c r="G55" s="297">
        <f t="shared" ca="1" si="1"/>
        <v>37.442746086773823</v>
      </c>
      <c r="H55" s="296">
        <f ca="1">IFERROR(__xludf.DUMMYFUNCTION("IMPORTRANGE(""https://docs.google.com/spreadsheets/d/1C3CXT74ZlgGe6_JY_1olB1XN4rF0dxEuIIF-xsYjHgg/edit?usp=sharing"",""งบกองทุน!F59"")"),0)</f>
        <v>0</v>
      </c>
      <c r="I55" s="297">
        <v>0</v>
      </c>
      <c r="J55" s="297">
        <f t="shared" ca="1" si="3"/>
        <v>0</v>
      </c>
      <c r="K55" s="299">
        <f ca="1">IFERROR(__xludf.DUMMYFUNCTION("IMPORTRANGE(""https://docs.google.com/spreadsheets/d/1C3CXT74ZlgGe6_JY_1olB1XN4rF0dxEuIIF-xsYjHgg/edit?usp=sharing"",""งบกองทุน!H59"")"),30)</f>
        <v>30</v>
      </c>
      <c r="L55" s="296">
        <f t="shared" ref="L55:L75" ca="1" si="70">IF(N55&gt;=K55,N55,IF(O55&gt;=K55,O55,IF(N55+O55&gt;=K55,N55+O55,0)))</f>
        <v>30</v>
      </c>
      <c r="M55" s="297">
        <f t="shared" ca="1" si="5"/>
        <v>100</v>
      </c>
      <c r="N55" s="296">
        <f ca="1">IFERROR(__xludf.DUMMYFUNCTION("IMPORTRANGE(""https://docs.google.com/spreadsheets/d/1SX6NBoVAgQJ6U1MVXOaj8PK2l7WJ3RER9xtqwdhxkhw/edit?usp=sharing"",""กาญจนบุรี!J265"")"),30)</f>
        <v>30</v>
      </c>
      <c r="O55" s="296">
        <f ca="1">IFERROR(__xludf.DUMMYFUNCTION("IMPORTRANGE(""https://docs.google.com/spreadsheets/d/1SX6NBoVAgQJ6U1MVXOaj8PK2l7WJ3RER9xtqwdhxkhw/edit?usp=sharing"",""กาญจนบุรี!J267"")"),0)</f>
        <v>0</v>
      </c>
      <c r="P55" s="296">
        <f ca="1">IFERROR(__xludf.DUMMYFUNCTION("IMPORTRANGE(""https://docs.google.com/spreadsheets/d/1C3CXT74ZlgGe6_JY_1olB1XN4rF0dxEuIIF-xsYjHgg/edit?usp=sharing"",""งบกองทุน!M59"")"),0)</f>
        <v>0</v>
      </c>
      <c r="Q55" s="296">
        <v>0</v>
      </c>
      <c r="R55" s="297">
        <f t="shared" ca="1" si="7"/>
        <v>0</v>
      </c>
      <c r="S55" s="299">
        <f t="shared" ref="S55:S75" ca="1" si="71">+V55+Y55</f>
        <v>150</v>
      </c>
      <c r="T55" s="296">
        <f t="shared" ca="1" si="52"/>
        <v>0</v>
      </c>
      <c r="U55" s="301">
        <f t="shared" ca="1" si="9"/>
        <v>0</v>
      </c>
      <c r="V55" s="299">
        <f ca="1">IFERROR(__xludf.DUMMYFUNCTION("IMPORTRANGE(""https://docs.google.com/spreadsheets/d/1C3CXT74ZlgGe6_JY_1olB1XN4rF0dxEuIIF-xsYjHgg/edit?usp=sharing"",""งบกองทุน!O59"")"),150)</f>
        <v>150</v>
      </c>
      <c r="W55" s="296">
        <f ca="1">IFERROR(__xludf.DUMMYFUNCTION("IMPORTRANGE(""https://docs.google.com/spreadsheets/d/1SX6NBoVAgQJ6U1MVXOaj8PK2l7WJ3RER9xtqwdhxkhw/edit?usp=sharing"",""กาญจนบุรี!J271"")"),0)</f>
        <v>0</v>
      </c>
      <c r="X55" s="301">
        <f t="shared" ca="1" si="11"/>
        <v>0</v>
      </c>
      <c r="Y55" s="299">
        <f ca="1">IFERROR(__xludf.DUMMYFUNCTION("IMPORTRANGE(""https://docs.google.com/spreadsheets/d/1C3CXT74ZlgGe6_JY_1olB1XN4rF0dxEuIIF-xsYjHgg/edit?usp=sharing"",""งบกองทุน!P59"")"),0)</f>
        <v>0</v>
      </c>
      <c r="Z55" s="296">
        <f ca="1">IFERROR(__xludf.DUMMYFUNCTION("IMPORTRANGE(""https://docs.google.com/spreadsheets/d/1SX6NBoVAgQJ6U1MVXOaj8PK2l7WJ3RER9xtqwdhxkhw/edit?usp=sharing"",""กาญจนบุรี!J272"")"),0)</f>
        <v>0</v>
      </c>
      <c r="AA55" s="301">
        <f t="shared" ca="1" si="13"/>
        <v>0</v>
      </c>
      <c r="AB55" s="302"/>
    </row>
    <row r="56" spans="1:28" ht="21" customHeight="1">
      <c r="A56" s="303">
        <v>2</v>
      </c>
      <c r="B56" s="304" t="s">
        <v>80</v>
      </c>
      <c r="C56" s="305">
        <f t="shared" ca="1" si="69"/>
        <v>0</v>
      </c>
      <c r="D56" s="306">
        <f ca="1">IFERROR(__xludf.DUMMYFUNCTION("IMPORTRANGE(""https://docs.google.com/spreadsheets/d/1C3CXT74ZlgGe6_JY_1olB1XN4rF0dxEuIIF-xsYjHgg/edit?usp=sharing"",""งบกองทุน!D60"")"),0)</f>
        <v>0</v>
      </c>
      <c r="E56" s="306">
        <f ca="1">IFERROR(__xludf.DUMMYFUNCTION("IMPORTRANGE(""https://docs.google.com/spreadsheets/d/1C3CXT74ZlgGe6_JY_1olB1XN4rF0dxEuIIF-xsYjHgg/edit?usp=sharing"",""งบกองทุน!E60"")"),0)</f>
        <v>0</v>
      </c>
      <c r="F56" s="307">
        <f ca="1">IFERROR(__xludf.DUMMYFUNCTION("IMPORTRANGE(""https://docs.google.com/spreadsheets/d/1SX6NBoVAgQJ6U1MVXOaj8PK2l7WJ3RER9xtqwdhxkhw/edit?usp=sharing"",""จันทบุรี!M244"")"),0)</f>
        <v>0</v>
      </c>
      <c r="G56" s="307">
        <f t="shared" ca="1" si="1"/>
        <v>0</v>
      </c>
      <c r="H56" s="306">
        <f ca="1">IFERROR(__xludf.DUMMYFUNCTION("IMPORTRANGE(""https://docs.google.com/spreadsheets/d/1C3CXT74ZlgGe6_JY_1olB1XN4rF0dxEuIIF-xsYjHgg/edit?usp=sharing"",""งบกองทุน!F60"")"),0)</f>
        <v>0</v>
      </c>
      <c r="I56" s="307">
        <v>0</v>
      </c>
      <c r="J56" s="307">
        <f t="shared" ca="1" si="3"/>
        <v>0</v>
      </c>
      <c r="K56" s="308">
        <f ca="1">IFERROR(__xludf.DUMMYFUNCTION("IMPORTRANGE(""https://docs.google.com/spreadsheets/d/1C3CXT74ZlgGe6_JY_1olB1XN4rF0dxEuIIF-xsYjHgg/edit?usp=sharing"",""งบกองทุน!H60"")"),0)</f>
        <v>0</v>
      </c>
      <c r="L56" s="306">
        <f t="shared" ca="1" si="70"/>
        <v>0</v>
      </c>
      <c r="M56" s="307">
        <f t="shared" ca="1" si="5"/>
        <v>0</v>
      </c>
      <c r="N56" s="306">
        <f ca="1">IFERROR(__xludf.DUMMYFUNCTION("IMPORTRANGE(""https://docs.google.com/spreadsheets/d/1SX6NBoVAgQJ6U1MVXOaj8PK2l7WJ3RER9xtqwdhxkhw/edit?usp=sharing"",""จันทบุรี!J265"")"),0)</f>
        <v>0</v>
      </c>
      <c r="O56" s="306">
        <f ca="1">IFERROR(__xludf.DUMMYFUNCTION("IMPORTRANGE(""https://docs.google.com/spreadsheets/d/1SX6NBoVAgQJ6U1MVXOaj8PK2l7WJ3RER9xtqwdhxkhw/edit?usp=sharing"",""จันทบุรี!J267"")"),0)</f>
        <v>0</v>
      </c>
      <c r="P56" s="306">
        <f ca="1">IFERROR(__xludf.DUMMYFUNCTION("IMPORTRANGE(""https://docs.google.com/spreadsheets/d/1C3CXT74ZlgGe6_JY_1olB1XN4rF0dxEuIIF-xsYjHgg/edit?usp=sharing"",""งบกองทุน!M60"")"),0)</f>
        <v>0</v>
      </c>
      <c r="Q56" s="306">
        <v>0</v>
      </c>
      <c r="R56" s="307">
        <f t="shared" ca="1" si="7"/>
        <v>0</v>
      </c>
      <c r="S56" s="308">
        <f t="shared" ca="1" si="71"/>
        <v>0</v>
      </c>
      <c r="T56" s="306">
        <f t="shared" ca="1" si="52"/>
        <v>0</v>
      </c>
      <c r="U56" s="309">
        <f t="shared" ca="1" si="9"/>
        <v>0</v>
      </c>
      <c r="V56" s="308">
        <f ca="1">IFERROR(__xludf.DUMMYFUNCTION("IMPORTRANGE(""https://docs.google.com/spreadsheets/d/1C3CXT74ZlgGe6_JY_1olB1XN4rF0dxEuIIF-xsYjHgg/edit?usp=sharing"",""งบกองทุน!O60"")"),0)</f>
        <v>0</v>
      </c>
      <c r="W56" s="306">
        <f ca="1">IFERROR(__xludf.DUMMYFUNCTION("IMPORTRANGE(""https://docs.google.com/spreadsheets/d/1SX6NBoVAgQJ6U1MVXOaj8PK2l7WJ3RER9xtqwdhxkhw/edit?usp=sharing"",""จันทบุรี!J271"")"),0)</f>
        <v>0</v>
      </c>
      <c r="X56" s="309">
        <f t="shared" ca="1" si="11"/>
        <v>0</v>
      </c>
      <c r="Y56" s="308">
        <f ca="1">IFERROR(__xludf.DUMMYFUNCTION("IMPORTRANGE(""https://docs.google.com/spreadsheets/d/1C3CXT74ZlgGe6_JY_1olB1XN4rF0dxEuIIF-xsYjHgg/edit?usp=sharing"",""งบกองทุน!P60"")"),0)</f>
        <v>0</v>
      </c>
      <c r="Z56" s="306">
        <f ca="1">IFERROR(__xludf.DUMMYFUNCTION("IMPORTRANGE(""https://docs.google.com/spreadsheets/d/1SX6NBoVAgQJ6U1MVXOaj8PK2l7WJ3RER9xtqwdhxkhw/edit?usp=sharing"",""จันทบุรี!J272"")"),0)</f>
        <v>0</v>
      </c>
      <c r="AA56" s="309">
        <f t="shared" ca="1" si="13"/>
        <v>0</v>
      </c>
      <c r="AB56" s="302"/>
    </row>
    <row r="57" spans="1:28" ht="21" customHeight="1">
      <c r="A57" s="303">
        <v>3</v>
      </c>
      <c r="B57" s="304" t="s">
        <v>81</v>
      </c>
      <c r="C57" s="305">
        <f t="shared" ca="1" si="69"/>
        <v>324540</v>
      </c>
      <c r="D57" s="306">
        <f ca="1">IFERROR(__xludf.DUMMYFUNCTION("IMPORTRANGE(""https://docs.google.com/spreadsheets/d/1C3CXT74ZlgGe6_JY_1olB1XN4rF0dxEuIIF-xsYjHgg/edit?usp=sharing"",""งบกองทุน!D61"")"),0)</f>
        <v>0</v>
      </c>
      <c r="E57" s="306">
        <f ca="1">IFERROR(__xludf.DUMMYFUNCTION("IMPORTRANGE(""https://docs.google.com/spreadsheets/d/1C3CXT74ZlgGe6_JY_1olB1XN4rF0dxEuIIF-xsYjHgg/edit?usp=sharing"",""งบกองทุน!E61"")"),324540)</f>
        <v>324540</v>
      </c>
      <c r="F57" s="307">
        <f ca="1">IFERROR(__xludf.DUMMYFUNCTION("IMPORTRANGE(""https://docs.google.com/spreadsheets/d/1SX6NBoVAgQJ6U1MVXOaj8PK2l7WJ3RER9xtqwdhxkhw/edit?usp=sharing"",""ฉะเชิงเทรา!M244"")"),212632.919999999)</f>
        <v>212632.91999999899</v>
      </c>
      <c r="G57" s="307">
        <f t="shared" ca="1" si="1"/>
        <v>65.518247365501637</v>
      </c>
      <c r="H57" s="306">
        <f ca="1">IFERROR(__xludf.DUMMYFUNCTION("IMPORTRANGE(""https://docs.google.com/spreadsheets/d/1C3CXT74ZlgGe6_JY_1olB1XN4rF0dxEuIIF-xsYjHgg/edit?usp=sharing"",""งบกองทุน!F61"")"),0)</f>
        <v>0</v>
      </c>
      <c r="I57" s="307">
        <v>0</v>
      </c>
      <c r="J57" s="307">
        <f t="shared" ca="1" si="3"/>
        <v>0</v>
      </c>
      <c r="K57" s="308">
        <f ca="1">IFERROR(__xludf.DUMMYFUNCTION("IMPORTRANGE(""https://docs.google.com/spreadsheets/d/1C3CXT74ZlgGe6_JY_1olB1XN4rF0dxEuIIF-xsYjHgg/edit?usp=sharing"",""งบกองทุน!H61"")"),54)</f>
        <v>54</v>
      </c>
      <c r="L57" s="306">
        <f t="shared" ca="1" si="70"/>
        <v>54</v>
      </c>
      <c r="M57" s="307">
        <f t="shared" ca="1" si="5"/>
        <v>100</v>
      </c>
      <c r="N57" s="306">
        <f ca="1">IFERROR(__xludf.DUMMYFUNCTION("IMPORTRANGE(""https://docs.google.com/spreadsheets/d/1SX6NBoVAgQJ6U1MVXOaj8PK2l7WJ3RER9xtqwdhxkhw/edit?usp=sharing"",""ฉะเชิงเทรา!J265"")"),54)</f>
        <v>54</v>
      </c>
      <c r="O57" s="306">
        <f ca="1">IFERROR(__xludf.DUMMYFUNCTION("IMPORTRANGE(""https://docs.google.com/spreadsheets/d/1SX6NBoVAgQJ6U1MVXOaj8PK2l7WJ3RER9xtqwdhxkhw/edit?usp=sharing"",""ฉะเชิงเทรา!J267"")"),54)</f>
        <v>54</v>
      </c>
      <c r="P57" s="306">
        <f ca="1">IFERROR(__xludf.DUMMYFUNCTION("IMPORTRANGE(""https://docs.google.com/spreadsheets/d/1C3CXT74ZlgGe6_JY_1olB1XN4rF0dxEuIIF-xsYjHgg/edit?usp=sharing"",""งบกองทุน!M61"")"),0)</f>
        <v>0</v>
      </c>
      <c r="Q57" s="306">
        <v>0</v>
      </c>
      <c r="R57" s="307">
        <f t="shared" ca="1" si="7"/>
        <v>0</v>
      </c>
      <c r="S57" s="308">
        <f t="shared" ca="1" si="71"/>
        <v>64</v>
      </c>
      <c r="T57" s="306">
        <f t="shared" ca="1" si="52"/>
        <v>64</v>
      </c>
      <c r="U57" s="309">
        <f t="shared" ca="1" si="9"/>
        <v>100</v>
      </c>
      <c r="V57" s="308">
        <f ca="1">IFERROR(__xludf.DUMMYFUNCTION("IMPORTRANGE(""https://docs.google.com/spreadsheets/d/1C3CXT74ZlgGe6_JY_1olB1XN4rF0dxEuIIF-xsYjHgg/edit?usp=sharing"",""งบกองทุน!O61"")"),20)</f>
        <v>20</v>
      </c>
      <c r="W57" s="306">
        <f ca="1">IFERROR(__xludf.DUMMYFUNCTION("IMPORTRANGE(""https://docs.google.com/spreadsheets/d/1SX6NBoVAgQJ6U1MVXOaj8PK2l7WJ3RER9xtqwdhxkhw/edit?usp=sharing"",""ฉะเชิงเทรา!J271"")"),20)</f>
        <v>20</v>
      </c>
      <c r="X57" s="309">
        <f t="shared" ca="1" si="11"/>
        <v>100</v>
      </c>
      <c r="Y57" s="308">
        <f ca="1">IFERROR(__xludf.DUMMYFUNCTION("IMPORTRANGE(""https://docs.google.com/spreadsheets/d/1C3CXT74ZlgGe6_JY_1olB1XN4rF0dxEuIIF-xsYjHgg/edit?usp=sharing"",""งบกองทุน!P61"")"),44)</f>
        <v>44</v>
      </c>
      <c r="Z57" s="306">
        <f ca="1">IFERROR(__xludf.DUMMYFUNCTION("IMPORTRANGE(""https://docs.google.com/spreadsheets/d/1SX6NBoVAgQJ6U1MVXOaj8PK2l7WJ3RER9xtqwdhxkhw/edit?usp=sharing"",""ฉะเชิงเทรา!J272"")"),44)</f>
        <v>44</v>
      </c>
      <c r="AA57" s="309">
        <f t="shared" ca="1" si="13"/>
        <v>100</v>
      </c>
      <c r="AB57" s="302"/>
    </row>
    <row r="58" spans="1:28" ht="21" customHeight="1">
      <c r="A58" s="303">
        <v>4</v>
      </c>
      <c r="B58" s="304" t="s">
        <v>82</v>
      </c>
      <c r="C58" s="305">
        <f t="shared" ca="1" si="69"/>
        <v>221120</v>
      </c>
      <c r="D58" s="306">
        <f ca="1">IFERROR(__xludf.DUMMYFUNCTION("IMPORTRANGE(""https://docs.google.com/spreadsheets/d/1C3CXT74ZlgGe6_JY_1olB1XN4rF0dxEuIIF-xsYjHgg/edit?usp=sharing"",""งบกองทุน!D62"")"),0)</f>
        <v>0</v>
      </c>
      <c r="E58" s="306">
        <f ca="1">IFERROR(__xludf.DUMMYFUNCTION("IMPORTRANGE(""https://docs.google.com/spreadsheets/d/1C3CXT74ZlgGe6_JY_1olB1XN4rF0dxEuIIF-xsYjHgg/edit?usp=sharing"",""งบกองทุน!E62"")"),221120)</f>
        <v>221120</v>
      </c>
      <c r="F58" s="307">
        <f ca="1">IFERROR(__xludf.DUMMYFUNCTION("IMPORTRANGE(""https://docs.google.com/spreadsheets/d/1SX6NBoVAgQJ6U1MVXOaj8PK2l7WJ3RER9xtqwdhxkhw/edit?usp=sharing"",""ชลบุรี!M244"")"),58673)</f>
        <v>58673</v>
      </c>
      <c r="G58" s="307">
        <f t="shared" ca="1" si="1"/>
        <v>26.534460926193923</v>
      </c>
      <c r="H58" s="306">
        <f ca="1">IFERROR(__xludf.DUMMYFUNCTION("IMPORTRANGE(""https://docs.google.com/spreadsheets/d/1C3CXT74ZlgGe6_JY_1olB1XN4rF0dxEuIIF-xsYjHgg/edit?usp=sharing"",""งบกองทุน!F62"")"),0)</f>
        <v>0</v>
      </c>
      <c r="I58" s="307">
        <v>0</v>
      </c>
      <c r="J58" s="307">
        <f t="shared" ca="1" si="3"/>
        <v>0</v>
      </c>
      <c r="K58" s="308">
        <f ca="1">IFERROR(__xludf.DUMMYFUNCTION("IMPORTRANGE(""https://docs.google.com/spreadsheets/d/1C3CXT74ZlgGe6_JY_1olB1XN4rF0dxEuIIF-xsYjHgg/edit?usp=sharing"",""งบกองทุน!H62"")"),20)</f>
        <v>20</v>
      </c>
      <c r="L58" s="306">
        <f t="shared" ca="1" si="70"/>
        <v>0</v>
      </c>
      <c r="M58" s="307">
        <f t="shared" ca="1" si="5"/>
        <v>0</v>
      </c>
      <c r="N58" s="306">
        <f ca="1">IFERROR(__xludf.DUMMYFUNCTION("IMPORTRANGE(""https://docs.google.com/spreadsheets/d/1SX6NBoVAgQJ6U1MVXOaj8PK2l7WJ3RER9xtqwdhxkhw/edit?usp=sharing"",""ชลบุรี!J265"")"),0)</f>
        <v>0</v>
      </c>
      <c r="O58" s="306">
        <f ca="1">IFERROR(__xludf.DUMMYFUNCTION("IMPORTRANGE(""https://docs.google.com/spreadsheets/d/1SX6NBoVAgQJ6U1MVXOaj8PK2l7WJ3RER9xtqwdhxkhw/edit?usp=sharing"",""ชลบุรี!J267"")"),0)</f>
        <v>0</v>
      </c>
      <c r="P58" s="306">
        <f ca="1">IFERROR(__xludf.DUMMYFUNCTION("IMPORTRANGE(""https://docs.google.com/spreadsheets/d/1C3CXT74ZlgGe6_JY_1olB1XN4rF0dxEuIIF-xsYjHgg/edit?usp=sharing"",""งบกองทุน!M62"")"),0)</f>
        <v>0</v>
      </c>
      <c r="Q58" s="306">
        <v>0</v>
      </c>
      <c r="R58" s="307">
        <f t="shared" ca="1" si="7"/>
        <v>0</v>
      </c>
      <c r="S58" s="308">
        <f t="shared" ca="1" si="71"/>
        <v>20</v>
      </c>
      <c r="T58" s="306">
        <f t="shared" ca="1" si="52"/>
        <v>0</v>
      </c>
      <c r="U58" s="309">
        <f t="shared" ca="1" si="9"/>
        <v>0</v>
      </c>
      <c r="V58" s="308">
        <f ca="1">IFERROR(__xludf.DUMMYFUNCTION("IMPORTRANGE(""https://docs.google.com/spreadsheets/d/1C3CXT74ZlgGe6_JY_1olB1XN4rF0dxEuIIF-xsYjHgg/edit?usp=sharing"",""งบกองทุน!O62"")"),0)</f>
        <v>0</v>
      </c>
      <c r="W58" s="306">
        <f ca="1">IFERROR(__xludf.DUMMYFUNCTION("IMPORTRANGE(""https://docs.google.com/spreadsheets/d/1SX6NBoVAgQJ6U1MVXOaj8PK2l7WJ3RER9xtqwdhxkhw/edit?usp=sharing"",""ชลบุรี!J271"")"),0)</f>
        <v>0</v>
      </c>
      <c r="X58" s="309">
        <f t="shared" ca="1" si="11"/>
        <v>0</v>
      </c>
      <c r="Y58" s="308">
        <f ca="1">IFERROR(__xludf.DUMMYFUNCTION("IMPORTRANGE(""https://docs.google.com/spreadsheets/d/1C3CXT74ZlgGe6_JY_1olB1XN4rF0dxEuIIF-xsYjHgg/edit?usp=sharing"",""งบกองทุน!P62"")"),20)</f>
        <v>20</v>
      </c>
      <c r="Z58" s="306">
        <f ca="1">IFERROR(__xludf.DUMMYFUNCTION("IMPORTRANGE(""https://docs.google.com/spreadsheets/d/1SX6NBoVAgQJ6U1MVXOaj8PK2l7WJ3RER9xtqwdhxkhw/edit?usp=sharing"",""ชลบุรี!J272"")"),0)</f>
        <v>0</v>
      </c>
      <c r="AA58" s="309">
        <f t="shared" ca="1" si="13"/>
        <v>0</v>
      </c>
      <c r="AB58" s="302"/>
    </row>
    <row r="59" spans="1:28" ht="21" customHeight="1">
      <c r="A59" s="303">
        <v>5</v>
      </c>
      <c r="B59" s="304" t="s">
        <v>83</v>
      </c>
      <c r="C59" s="305">
        <f t="shared" ca="1" si="69"/>
        <v>49720</v>
      </c>
      <c r="D59" s="306">
        <f ca="1">IFERROR(__xludf.DUMMYFUNCTION("IMPORTRANGE(""https://docs.google.com/spreadsheets/d/1C3CXT74ZlgGe6_JY_1olB1XN4rF0dxEuIIF-xsYjHgg/edit?usp=sharing"",""งบกองทุน!D63"")"),0)</f>
        <v>0</v>
      </c>
      <c r="E59" s="306">
        <f ca="1">IFERROR(__xludf.DUMMYFUNCTION("IMPORTRANGE(""https://docs.google.com/spreadsheets/d/1C3CXT74ZlgGe6_JY_1olB1XN4rF0dxEuIIF-xsYjHgg/edit?usp=sharing"",""งบกองทุน!E63"")"),49720)</f>
        <v>49720</v>
      </c>
      <c r="F59" s="307">
        <f ca="1">IFERROR(__xludf.DUMMYFUNCTION("IMPORTRANGE(""https://docs.google.com/spreadsheets/d/1SX6NBoVAgQJ6U1MVXOaj8PK2l7WJ3RER9xtqwdhxkhw/edit?usp=sharing"",""ชัยนาท!M244"")"),19635)</f>
        <v>19635</v>
      </c>
      <c r="G59" s="307">
        <f t="shared" ca="1" si="1"/>
        <v>39.491150442477874</v>
      </c>
      <c r="H59" s="306">
        <f ca="1">IFERROR(__xludf.DUMMYFUNCTION("IMPORTRANGE(""https://docs.google.com/spreadsheets/d/1C3CXT74ZlgGe6_JY_1olB1XN4rF0dxEuIIF-xsYjHgg/edit?usp=sharing"",""งบกองทุน!F63"")"),0)</f>
        <v>0</v>
      </c>
      <c r="I59" s="307">
        <v>0</v>
      </c>
      <c r="J59" s="307">
        <f t="shared" ca="1" si="3"/>
        <v>0</v>
      </c>
      <c r="K59" s="308">
        <f ca="1">IFERROR(__xludf.DUMMYFUNCTION("IMPORTRANGE(""https://docs.google.com/spreadsheets/d/1C3CXT74ZlgGe6_JY_1olB1XN4rF0dxEuIIF-xsYjHgg/edit?usp=sharing"",""งบกองทุน!H63"")"),10)</f>
        <v>10</v>
      </c>
      <c r="L59" s="306">
        <f t="shared" ca="1" si="70"/>
        <v>10</v>
      </c>
      <c r="M59" s="307">
        <f t="shared" ca="1" si="5"/>
        <v>100</v>
      </c>
      <c r="N59" s="306">
        <f ca="1">IFERROR(__xludf.DUMMYFUNCTION("IMPORTRANGE(""https://docs.google.com/spreadsheets/d/1SX6NBoVAgQJ6U1MVXOaj8PK2l7WJ3RER9xtqwdhxkhw/edit?usp=sharing"",""ชัยนาท!J265"")"),10)</f>
        <v>10</v>
      </c>
      <c r="O59" s="306">
        <f ca="1">IFERROR(__xludf.DUMMYFUNCTION("IMPORTRANGE(""https://docs.google.com/spreadsheets/d/1SX6NBoVAgQJ6U1MVXOaj8PK2l7WJ3RER9xtqwdhxkhw/edit?usp=sharing"",""ชัยนาท!J267"")"),10)</f>
        <v>10</v>
      </c>
      <c r="P59" s="306">
        <f ca="1">IFERROR(__xludf.DUMMYFUNCTION("IMPORTRANGE(""https://docs.google.com/spreadsheets/d/1C3CXT74ZlgGe6_JY_1olB1XN4rF0dxEuIIF-xsYjHgg/edit?usp=sharing"",""งบกองทุน!M63"")"),0)</f>
        <v>0</v>
      </c>
      <c r="Q59" s="306">
        <v>0</v>
      </c>
      <c r="R59" s="307">
        <f t="shared" ca="1" si="7"/>
        <v>0</v>
      </c>
      <c r="S59" s="308">
        <f t="shared" ca="1" si="71"/>
        <v>10</v>
      </c>
      <c r="T59" s="306">
        <f t="shared" ca="1" si="52"/>
        <v>0</v>
      </c>
      <c r="U59" s="309">
        <f t="shared" ca="1" si="9"/>
        <v>0</v>
      </c>
      <c r="V59" s="308">
        <f ca="1">IFERROR(__xludf.DUMMYFUNCTION("IMPORTRANGE(""https://docs.google.com/spreadsheets/d/1C3CXT74ZlgGe6_JY_1olB1XN4rF0dxEuIIF-xsYjHgg/edit?usp=sharing"",""งบกองทุน!O63"")"),10)</f>
        <v>10</v>
      </c>
      <c r="W59" s="306">
        <f ca="1">IFERROR(__xludf.DUMMYFUNCTION("IMPORTRANGE(""https://docs.google.com/spreadsheets/d/1SX6NBoVAgQJ6U1MVXOaj8PK2l7WJ3RER9xtqwdhxkhw/edit?usp=sharing"",""ชัยนาท!J271"")"),0)</f>
        <v>0</v>
      </c>
      <c r="X59" s="309">
        <f t="shared" ca="1" si="11"/>
        <v>0</v>
      </c>
      <c r="Y59" s="308">
        <f ca="1">IFERROR(__xludf.DUMMYFUNCTION("IMPORTRANGE(""https://docs.google.com/spreadsheets/d/1C3CXT74ZlgGe6_JY_1olB1XN4rF0dxEuIIF-xsYjHgg/edit?usp=sharing"",""งบกองทุน!P63"")"),0)</f>
        <v>0</v>
      </c>
      <c r="Z59" s="306">
        <f ca="1">IFERROR(__xludf.DUMMYFUNCTION("IMPORTRANGE(""https://docs.google.com/spreadsheets/d/1SX6NBoVAgQJ6U1MVXOaj8PK2l7WJ3RER9xtqwdhxkhw/edit?usp=sharing"",""ชัยนาท!J272"")"),0)</f>
        <v>0</v>
      </c>
      <c r="AA59" s="309">
        <f t="shared" ca="1" si="13"/>
        <v>0</v>
      </c>
      <c r="AB59" s="302"/>
    </row>
    <row r="60" spans="1:28" ht="21" customHeight="1">
      <c r="A60" s="303">
        <v>6</v>
      </c>
      <c r="B60" s="304" t="s">
        <v>84</v>
      </c>
      <c r="C60" s="305">
        <f t="shared" ca="1" si="69"/>
        <v>0</v>
      </c>
      <c r="D60" s="306">
        <f ca="1">IFERROR(__xludf.DUMMYFUNCTION("IMPORTRANGE(""https://docs.google.com/spreadsheets/d/1C3CXT74ZlgGe6_JY_1olB1XN4rF0dxEuIIF-xsYjHgg/edit?usp=sharing"",""งบกองทุน!D64"")"),0)</f>
        <v>0</v>
      </c>
      <c r="E60" s="306">
        <f ca="1">IFERROR(__xludf.DUMMYFUNCTION("IMPORTRANGE(""https://docs.google.com/spreadsheets/d/1C3CXT74ZlgGe6_JY_1olB1XN4rF0dxEuIIF-xsYjHgg/edit?usp=sharing"",""งบกองทุน!E64"")"),0)</f>
        <v>0</v>
      </c>
      <c r="F60" s="307">
        <f ca="1">IFERROR(__xludf.DUMMYFUNCTION("IMPORTRANGE(""https://docs.google.com/spreadsheets/d/1SX6NBoVAgQJ6U1MVXOaj8PK2l7WJ3RER9xtqwdhxkhw/edit?usp=sharing"",""ตราด!M244"")"),0)</f>
        <v>0</v>
      </c>
      <c r="G60" s="307">
        <f t="shared" ca="1" si="1"/>
        <v>0</v>
      </c>
      <c r="H60" s="306">
        <f ca="1">IFERROR(__xludf.DUMMYFUNCTION("IMPORTRANGE(""https://docs.google.com/spreadsheets/d/1C3CXT74ZlgGe6_JY_1olB1XN4rF0dxEuIIF-xsYjHgg/edit?usp=sharing"",""งบกองทุน!F64"")"),0)</f>
        <v>0</v>
      </c>
      <c r="I60" s="307">
        <v>0</v>
      </c>
      <c r="J60" s="307">
        <f t="shared" ca="1" si="3"/>
        <v>0</v>
      </c>
      <c r="K60" s="308">
        <f ca="1">IFERROR(__xludf.DUMMYFUNCTION("IMPORTRANGE(""https://docs.google.com/spreadsheets/d/1C3CXT74ZlgGe6_JY_1olB1XN4rF0dxEuIIF-xsYjHgg/edit?usp=sharing"",""งบกองทุน!H64"")"),0)</f>
        <v>0</v>
      </c>
      <c r="L60" s="306">
        <f t="shared" ca="1" si="70"/>
        <v>0</v>
      </c>
      <c r="M60" s="307">
        <f t="shared" ca="1" si="5"/>
        <v>0</v>
      </c>
      <c r="N60" s="306">
        <f ca="1">IFERROR(__xludf.DUMMYFUNCTION("IMPORTRANGE(""https://docs.google.com/spreadsheets/d/1SX6NBoVAgQJ6U1MVXOaj8PK2l7WJ3RER9xtqwdhxkhw/edit?usp=sharing"",""ตราด!J265"")"),0)</f>
        <v>0</v>
      </c>
      <c r="O60" s="306">
        <f ca="1">IFERROR(__xludf.DUMMYFUNCTION("IMPORTRANGE(""https://docs.google.com/spreadsheets/d/1SX6NBoVAgQJ6U1MVXOaj8PK2l7WJ3RER9xtqwdhxkhw/edit?usp=sharing"",""ตราด!J267"")"),0)</f>
        <v>0</v>
      </c>
      <c r="P60" s="306">
        <f ca="1">IFERROR(__xludf.DUMMYFUNCTION("IMPORTRANGE(""https://docs.google.com/spreadsheets/d/1C3CXT74ZlgGe6_JY_1olB1XN4rF0dxEuIIF-xsYjHgg/edit?usp=sharing"",""งบกองทุน!M64"")"),0)</f>
        <v>0</v>
      </c>
      <c r="Q60" s="306">
        <v>0</v>
      </c>
      <c r="R60" s="307">
        <f t="shared" ca="1" si="7"/>
        <v>0</v>
      </c>
      <c r="S60" s="308">
        <f t="shared" ca="1" si="71"/>
        <v>0</v>
      </c>
      <c r="T60" s="306">
        <f t="shared" ca="1" si="52"/>
        <v>0</v>
      </c>
      <c r="U60" s="309">
        <f t="shared" ca="1" si="9"/>
        <v>0</v>
      </c>
      <c r="V60" s="308">
        <f ca="1">IFERROR(__xludf.DUMMYFUNCTION("IMPORTRANGE(""https://docs.google.com/spreadsheets/d/1C3CXT74ZlgGe6_JY_1olB1XN4rF0dxEuIIF-xsYjHgg/edit?usp=sharing"",""งบกองทุน!O64"")"),0)</f>
        <v>0</v>
      </c>
      <c r="W60" s="306">
        <f ca="1">IFERROR(__xludf.DUMMYFUNCTION("IMPORTRANGE(""https://docs.google.com/spreadsheets/d/1SX6NBoVAgQJ6U1MVXOaj8PK2l7WJ3RER9xtqwdhxkhw/edit?usp=sharing"",""ตราด!J271"")"),0)</f>
        <v>0</v>
      </c>
      <c r="X60" s="309">
        <f t="shared" ca="1" si="11"/>
        <v>0</v>
      </c>
      <c r="Y60" s="308">
        <f ca="1">IFERROR(__xludf.DUMMYFUNCTION("IMPORTRANGE(""https://docs.google.com/spreadsheets/d/1C3CXT74ZlgGe6_JY_1olB1XN4rF0dxEuIIF-xsYjHgg/edit?usp=sharing"",""งบกองทุน!P64"")"),0)</f>
        <v>0</v>
      </c>
      <c r="Z60" s="306">
        <f ca="1">IFERROR(__xludf.DUMMYFUNCTION("IMPORTRANGE(""https://docs.google.com/spreadsheets/d/1SX6NBoVAgQJ6U1MVXOaj8PK2l7WJ3RER9xtqwdhxkhw/edit?usp=sharing"",""ตราด!J272"")"),0)</f>
        <v>0</v>
      </c>
      <c r="AA60" s="309">
        <f t="shared" ca="1" si="13"/>
        <v>0</v>
      </c>
      <c r="AB60" s="302"/>
    </row>
    <row r="61" spans="1:28" ht="21" customHeight="1">
      <c r="A61" s="303">
        <v>7</v>
      </c>
      <c r="B61" s="304" t="s">
        <v>85</v>
      </c>
      <c r="C61" s="305">
        <f t="shared" ca="1" si="69"/>
        <v>78920</v>
      </c>
      <c r="D61" s="306">
        <f ca="1">IFERROR(__xludf.DUMMYFUNCTION("IMPORTRANGE(""https://docs.google.com/spreadsheets/d/1C3CXT74ZlgGe6_JY_1olB1XN4rF0dxEuIIF-xsYjHgg/edit?usp=sharing"",""งบกองทุน!D65"")"),0)</f>
        <v>0</v>
      </c>
      <c r="E61" s="306">
        <f ca="1">IFERROR(__xludf.DUMMYFUNCTION("IMPORTRANGE(""https://docs.google.com/spreadsheets/d/1C3CXT74ZlgGe6_JY_1olB1XN4rF0dxEuIIF-xsYjHgg/edit?usp=sharing"",""งบกองทุน!E65"")"),78920)</f>
        <v>78920</v>
      </c>
      <c r="F61" s="307">
        <f ca="1">IFERROR(__xludf.DUMMYFUNCTION("IMPORTRANGE(""https://docs.google.com/spreadsheets/d/1SX6NBoVAgQJ6U1MVXOaj8PK2l7WJ3RER9xtqwdhxkhw/edit?usp=sharing"",""นครนายก!M244"")"),43800)</f>
        <v>43800</v>
      </c>
      <c r="G61" s="307">
        <f t="shared" ca="1" si="1"/>
        <v>55.499239736441965</v>
      </c>
      <c r="H61" s="306">
        <f ca="1">IFERROR(__xludf.DUMMYFUNCTION("IMPORTRANGE(""https://docs.google.com/spreadsheets/d/1C3CXT74ZlgGe6_JY_1olB1XN4rF0dxEuIIF-xsYjHgg/edit?usp=sharing"",""งบกองทุน!F65"")"),0)</f>
        <v>0</v>
      </c>
      <c r="I61" s="307">
        <v>0</v>
      </c>
      <c r="J61" s="307">
        <f t="shared" ca="1" si="3"/>
        <v>0</v>
      </c>
      <c r="K61" s="308">
        <f ca="1">IFERROR(__xludf.DUMMYFUNCTION("IMPORTRANGE(""https://docs.google.com/spreadsheets/d/1C3CXT74ZlgGe6_JY_1olB1XN4rF0dxEuIIF-xsYjHgg/edit?usp=sharing"",""งบกองทุน!H65"")"),15)</f>
        <v>15</v>
      </c>
      <c r="L61" s="306">
        <f t="shared" ca="1" si="70"/>
        <v>15</v>
      </c>
      <c r="M61" s="307">
        <f t="shared" ca="1" si="5"/>
        <v>100</v>
      </c>
      <c r="N61" s="306">
        <f ca="1">IFERROR(__xludf.DUMMYFUNCTION("IMPORTRANGE(""https://docs.google.com/spreadsheets/d/1SX6NBoVAgQJ6U1MVXOaj8PK2l7WJ3RER9xtqwdhxkhw/edit?usp=sharing"",""นครนายก!J265"")"),5)</f>
        <v>5</v>
      </c>
      <c r="O61" s="306">
        <f ca="1">IFERROR(__xludf.DUMMYFUNCTION("IMPORTRANGE(""https://docs.google.com/spreadsheets/d/1SX6NBoVAgQJ6U1MVXOaj8PK2l7WJ3RER9xtqwdhxkhw/edit?usp=sharing"",""นครนายก!J267"")"),10)</f>
        <v>10</v>
      </c>
      <c r="P61" s="306">
        <f ca="1">IFERROR(__xludf.DUMMYFUNCTION("IMPORTRANGE(""https://docs.google.com/spreadsheets/d/1C3CXT74ZlgGe6_JY_1olB1XN4rF0dxEuIIF-xsYjHgg/edit?usp=sharing"",""งบกองทุน!M65"")"),0)</f>
        <v>0</v>
      </c>
      <c r="Q61" s="306">
        <v>0</v>
      </c>
      <c r="R61" s="307">
        <f t="shared" ca="1" si="7"/>
        <v>0</v>
      </c>
      <c r="S61" s="308">
        <f t="shared" ca="1" si="71"/>
        <v>25</v>
      </c>
      <c r="T61" s="306">
        <f t="shared" ca="1" si="52"/>
        <v>0</v>
      </c>
      <c r="U61" s="309">
        <f t="shared" ca="1" si="9"/>
        <v>0</v>
      </c>
      <c r="V61" s="308">
        <f ca="1">IFERROR(__xludf.DUMMYFUNCTION("IMPORTRANGE(""https://docs.google.com/spreadsheets/d/1C3CXT74ZlgGe6_JY_1olB1XN4rF0dxEuIIF-xsYjHgg/edit?usp=sharing"",""งบกองทุน!O65"")"),20)</f>
        <v>20</v>
      </c>
      <c r="W61" s="306">
        <f ca="1">IFERROR(__xludf.DUMMYFUNCTION("IMPORTRANGE(""https://docs.google.com/spreadsheets/d/1SX6NBoVAgQJ6U1MVXOaj8PK2l7WJ3RER9xtqwdhxkhw/edit?usp=sharing"",""นครนายก!J271"")"),0)</f>
        <v>0</v>
      </c>
      <c r="X61" s="309">
        <f t="shared" ca="1" si="11"/>
        <v>0</v>
      </c>
      <c r="Y61" s="308">
        <f ca="1">IFERROR(__xludf.DUMMYFUNCTION("IMPORTRANGE(""https://docs.google.com/spreadsheets/d/1C3CXT74ZlgGe6_JY_1olB1XN4rF0dxEuIIF-xsYjHgg/edit?usp=sharing"",""งบกองทุน!P65"")"),5)</f>
        <v>5</v>
      </c>
      <c r="Z61" s="306">
        <f ca="1">IFERROR(__xludf.DUMMYFUNCTION("IMPORTRANGE(""https://docs.google.com/spreadsheets/d/1SX6NBoVAgQJ6U1MVXOaj8PK2l7WJ3RER9xtqwdhxkhw/edit?usp=sharing"",""นครนายก!J272"")"),0)</f>
        <v>0</v>
      </c>
      <c r="AA61" s="309">
        <f t="shared" ca="1" si="13"/>
        <v>0</v>
      </c>
      <c r="AB61" s="302"/>
    </row>
    <row r="62" spans="1:28" ht="21" customHeight="1">
      <c r="A62" s="303">
        <v>8</v>
      </c>
      <c r="B62" s="304" t="s">
        <v>86</v>
      </c>
      <c r="C62" s="305">
        <f t="shared" ca="1" si="69"/>
        <v>0</v>
      </c>
      <c r="D62" s="306">
        <f ca="1">IFERROR(__xludf.DUMMYFUNCTION("IMPORTRANGE(""https://docs.google.com/spreadsheets/d/1C3CXT74ZlgGe6_JY_1olB1XN4rF0dxEuIIF-xsYjHgg/edit?usp=sharing"",""งบกองทุน!D66"")"),0)</f>
        <v>0</v>
      </c>
      <c r="E62" s="306">
        <f ca="1">IFERROR(__xludf.DUMMYFUNCTION("IMPORTRANGE(""https://docs.google.com/spreadsheets/d/1C3CXT74ZlgGe6_JY_1olB1XN4rF0dxEuIIF-xsYjHgg/edit?usp=sharing"",""งบกองทุน!E66"")"),0)</f>
        <v>0</v>
      </c>
      <c r="F62" s="307">
        <f ca="1">IFERROR(__xludf.DUMMYFUNCTION("IMPORTRANGE(""https://docs.google.com/spreadsheets/d/1SX6NBoVAgQJ6U1MVXOaj8PK2l7WJ3RER9xtqwdhxkhw/edit?usp=sharing"",""นครปฐม!M244"")"),0)</f>
        <v>0</v>
      </c>
      <c r="G62" s="307">
        <f t="shared" ca="1" si="1"/>
        <v>0</v>
      </c>
      <c r="H62" s="306">
        <f ca="1">IFERROR(__xludf.DUMMYFUNCTION("IMPORTRANGE(""https://docs.google.com/spreadsheets/d/1C3CXT74ZlgGe6_JY_1olB1XN4rF0dxEuIIF-xsYjHgg/edit?usp=sharing"",""งบกองทุน!F66"")"),0)</f>
        <v>0</v>
      </c>
      <c r="I62" s="307">
        <v>0</v>
      </c>
      <c r="J62" s="307">
        <f t="shared" ca="1" si="3"/>
        <v>0</v>
      </c>
      <c r="K62" s="308">
        <f ca="1">IFERROR(__xludf.DUMMYFUNCTION("IMPORTRANGE(""https://docs.google.com/spreadsheets/d/1C3CXT74ZlgGe6_JY_1olB1XN4rF0dxEuIIF-xsYjHgg/edit?usp=sharing"",""งบกองทุน!H66"")"),0)</f>
        <v>0</v>
      </c>
      <c r="L62" s="306">
        <f t="shared" ca="1" si="70"/>
        <v>0</v>
      </c>
      <c r="M62" s="307">
        <f t="shared" ca="1" si="5"/>
        <v>0</v>
      </c>
      <c r="N62" s="306">
        <f ca="1">IFERROR(__xludf.DUMMYFUNCTION("IMPORTRANGE(""https://docs.google.com/spreadsheets/d/1SX6NBoVAgQJ6U1MVXOaj8PK2l7WJ3RER9xtqwdhxkhw/edit?usp=sharing"",""นครปฐม!J265"")"),0)</f>
        <v>0</v>
      </c>
      <c r="O62" s="306">
        <f ca="1">IFERROR(__xludf.DUMMYFUNCTION("IMPORTRANGE(""https://docs.google.com/spreadsheets/d/1SX6NBoVAgQJ6U1MVXOaj8PK2l7WJ3RER9xtqwdhxkhw/edit?usp=sharing"",""นครปฐม!J267"")"),0)</f>
        <v>0</v>
      </c>
      <c r="P62" s="306">
        <f ca="1">IFERROR(__xludf.DUMMYFUNCTION("IMPORTRANGE(""https://docs.google.com/spreadsheets/d/1C3CXT74ZlgGe6_JY_1olB1XN4rF0dxEuIIF-xsYjHgg/edit?usp=sharing"",""งบกองทุน!M66"")"),0)</f>
        <v>0</v>
      </c>
      <c r="Q62" s="306">
        <v>0</v>
      </c>
      <c r="R62" s="307">
        <f t="shared" ca="1" si="7"/>
        <v>0</v>
      </c>
      <c r="S62" s="308">
        <f t="shared" ca="1" si="71"/>
        <v>0</v>
      </c>
      <c r="T62" s="306">
        <f t="shared" ca="1" si="52"/>
        <v>0</v>
      </c>
      <c r="U62" s="309">
        <f t="shared" ca="1" si="9"/>
        <v>0</v>
      </c>
      <c r="V62" s="308">
        <f ca="1">IFERROR(__xludf.DUMMYFUNCTION("IMPORTRANGE(""https://docs.google.com/spreadsheets/d/1C3CXT74ZlgGe6_JY_1olB1XN4rF0dxEuIIF-xsYjHgg/edit?usp=sharing"",""งบกองทุน!O66"")"),0)</f>
        <v>0</v>
      </c>
      <c r="W62" s="306">
        <f ca="1">IFERROR(__xludf.DUMMYFUNCTION("IMPORTRANGE(""https://docs.google.com/spreadsheets/d/1SX6NBoVAgQJ6U1MVXOaj8PK2l7WJ3RER9xtqwdhxkhw/edit?usp=sharing"",""นครปฐม!J271"")"),0)</f>
        <v>0</v>
      </c>
      <c r="X62" s="309">
        <f t="shared" ca="1" si="11"/>
        <v>0</v>
      </c>
      <c r="Y62" s="308">
        <f ca="1">IFERROR(__xludf.DUMMYFUNCTION("IMPORTRANGE(""https://docs.google.com/spreadsheets/d/1C3CXT74ZlgGe6_JY_1olB1XN4rF0dxEuIIF-xsYjHgg/edit?usp=sharing"",""งบกองทุน!P66"")"),0)</f>
        <v>0</v>
      </c>
      <c r="Z62" s="306">
        <f ca="1">IFERROR(__xludf.DUMMYFUNCTION("IMPORTRANGE(""https://docs.google.com/spreadsheets/d/1SX6NBoVAgQJ6U1MVXOaj8PK2l7WJ3RER9xtqwdhxkhw/edit?usp=sharing"",""นครปฐม!J272"")"),0)</f>
        <v>0</v>
      </c>
      <c r="AA62" s="309">
        <f t="shared" ca="1" si="13"/>
        <v>0</v>
      </c>
      <c r="AB62" s="302"/>
    </row>
    <row r="63" spans="1:28" ht="21" customHeight="1">
      <c r="A63" s="303">
        <v>9</v>
      </c>
      <c r="B63" s="304" t="s">
        <v>87</v>
      </c>
      <c r="C63" s="305">
        <f t="shared" ca="1" si="69"/>
        <v>47160</v>
      </c>
      <c r="D63" s="306">
        <f ca="1">IFERROR(__xludf.DUMMYFUNCTION("IMPORTRANGE(""https://docs.google.com/spreadsheets/d/1C3CXT74ZlgGe6_JY_1olB1XN4rF0dxEuIIF-xsYjHgg/edit?usp=sharing"",""งบกองทุน!D67"")"),0)</f>
        <v>0</v>
      </c>
      <c r="E63" s="306">
        <f ca="1">IFERROR(__xludf.DUMMYFUNCTION("IMPORTRANGE(""https://docs.google.com/spreadsheets/d/1C3CXT74ZlgGe6_JY_1olB1XN4rF0dxEuIIF-xsYjHgg/edit?usp=sharing"",""งบกองทุน!E67"")"),47160)</f>
        <v>47160</v>
      </c>
      <c r="F63" s="307">
        <f ca="1">IFERROR(__xludf.DUMMYFUNCTION("IMPORTRANGE(""https://docs.google.com/spreadsheets/d/1SX6NBoVAgQJ6U1MVXOaj8PK2l7WJ3RER9xtqwdhxkhw/edit?usp=sharing"",""ปทุมธานี!M244"")"),22660.01)</f>
        <v>22660.01</v>
      </c>
      <c r="G63" s="307">
        <f t="shared" ca="1" si="1"/>
        <v>48.049215436810854</v>
      </c>
      <c r="H63" s="306">
        <f ca="1">IFERROR(__xludf.DUMMYFUNCTION("IMPORTRANGE(""https://docs.google.com/spreadsheets/d/1C3CXT74ZlgGe6_JY_1olB1XN4rF0dxEuIIF-xsYjHgg/edit?usp=sharing"",""งบกองทุน!F67"")"),0)</f>
        <v>0</v>
      </c>
      <c r="I63" s="307">
        <v>0</v>
      </c>
      <c r="J63" s="307">
        <f t="shared" ca="1" si="3"/>
        <v>0</v>
      </c>
      <c r="K63" s="308">
        <f ca="1">IFERROR(__xludf.DUMMYFUNCTION("IMPORTRANGE(""https://docs.google.com/spreadsheets/d/1C3CXT74ZlgGe6_JY_1olB1XN4rF0dxEuIIF-xsYjHgg/edit?usp=sharing"",""งบกองทุน!H67"")"),6)</f>
        <v>6</v>
      </c>
      <c r="L63" s="306">
        <f t="shared" ca="1" si="70"/>
        <v>6</v>
      </c>
      <c r="M63" s="307">
        <f t="shared" ca="1" si="5"/>
        <v>100</v>
      </c>
      <c r="N63" s="306">
        <f ca="1">IFERROR(__xludf.DUMMYFUNCTION("IMPORTRANGE(""https://docs.google.com/spreadsheets/d/1SX6NBoVAgQJ6U1MVXOaj8PK2l7WJ3RER9xtqwdhxkhw/edit?usp=sharing"",""ปทุมธานี!J265"")"),0)</f>
        <v>0</v>
      </c>
      <c r="O63" s="306">
        <f ca="1">IFERROR(__xludf.DUMMYFUNCTION("IMPORTRANGE(""https://docs.google.com/spreadsheets/d/1SX6NBoVAgQJ6U1MVXOaj8PK2l7WJ3RER9xtqwdhxkhw/edit?usp=sharing"",""ปทุมธานี!J267"")"),6)</f>
        <v>6</v>
      </c>
      <c r="P63" s="306">
        <f ca="1">IFERROR(__xludf.DUMMYFUNCTION("IMPORTRANGE(""https://docs.google.com/spreadsheets/d/1C3CXT74ZlgGe6_JY_1olB1XN4rF0dxEuIIF-xsYjHgg/edit?usp=sharing"",""งบกองทุน!M67"")"),0)</f>
        <v>0</v>
      </c>
      <c r="Q63" s="306">
        <v>0</v>
      </c>
      <c r="R63" s="307">
        <f t="shared" ca="1" si="7"/>
        <v>0</v>
      </c>
      <c r="S63" s="308">
        <f t="shared" ca="1" si="71"/>
        <v>12</v>
      </c>
      <c r="T63" s="306">
        <f t="shared" ca="1" si="52"/>
        <v>0</v>
      </c>
      <c r="U63" s="309">
        <f t="shared" ca="1" si="9"/>
        <v>0</v>
      </c>
      <c r="V63" s="308">
        <f ca="1">IFERROR(__xludf.DUMMYFUNCTION("IMPORTRANGE(""https://docs.google.com/spreadsheets/d/1C3CXT74ZlgGe6_JY_1olB1XN4rF0dxEuIIF-xsYjHgg/edit?usp=sharing"",""งบกองทุน!O67"")"),12)</f>
        <v>12</v>
      </c>
      <c r="W63" s="306">
        <f ca="1">IFERROR(__xludf.DUMMYFUNCTION("IMPORTRANGE(""https://docs.google.com/spreadsheets/d/1SX6NBoVAgQJ6U1MVXOaj8PK2l7WJ3RER9xtqwdhxkhw/edit?usp=sharing"",""ปทุมธานี!J271"")"),0)</f>
        <v>0</v>
      </c>
      <c r="X63" s="309">
        <f t="shared" ca="1" si="11"/>
        <v>0</v>
      </c>
      <c r="Y63" s="308">
        <f ca="1">IFERROR(__xludf.DUMMYFUNCTION("IMPORTRANGE(""https://docs.google.com/spreadsheets/d/1C3CXT74ZlgGe6_JY_1olB1XN4rF0dxEuIIF-xsYjHgg/edit?usp=sharing"",""งบกองทุน!P67"")"),0)</f>
        <v>0</v>
      </c>
      <c r="Z63" s="306">
        <f ca="1">IFERROR(__xludf.DUMMYFUNCTION("IMPORTRANGE(""https://docs.google.com/spreadsheets/d/1SX6NBoVAgQJ6U1MVXOaj8PK2l7WJ3RER9xtqwdhxkhw/edit?usp=sharing"",""ปทุมธานี!J272"")"),0)</f>
        <v>0</v>
      </c>
      <c r="AA63" s="309">
        <f t="shared" ca="1" si="13"/>
        <v>0</v>
      </c>
      <c r="AB63" s="302"/>
    </row>
    <row r="64" spans="1:28" ht="21" customHeight="1">
      <c r="A64" s="303">
        <v>10</v>
      </c>
      <c r="B64" s="320" t="s">
        <v>88</v>
      </c>
      <c r="C64" s="305">
        <f t="shared" ca="1" si="69"/>
        <v>0</v>
      </c>
      <c r="D64" s="306">
        <f ca="1">IFERROR(__xludf.DUMMYFUNCTION("IMPORTRANGE(""https://docs.google.com/spreadsheets/d/1C3CXT74ZlgGe6_JY_1olB1XN4rF0dxEuIIF-xsYjHgg/edit?usp=sharing"",""งบกองทุน!D68"")"),0)</f>
        <v>0</v>
      </c>
      <c r="E64" s="306">
        <f ca="1">IFERROR(__xludf.DUMMYFUNCTION("IMPORTRANGE(""https://docs.google.com/spreadsheets/d/1C3CXT74ZlgGe6_JY_1olB1XN4rF0dxEuIIF-xsYjHgg/edit?usp=sharing"",""งบกองทุน!E68"")"),0)</f>
        <v>0</v>
      </c>
      <c r="F64" s="307">
        <f ca="1">IFERROR(__xludf.DUMMYFUNCTION("IMPORTRANGE(""https://docs.google.com/spreadsheets/d/1SX6NBoVAgQJ6U1MVXOaj8PK2l7WJ3RER9xtqwdhxkhw/edit?usp=sharing"",""ประจวบคีรีขันธ์!M244"")"),0)</f>
        <v>0</v>
      </c>
      <c r="G64" s="307">
        <f t="shared" ca="1" si="1"/>
        <v>0</v>
      </c>
      <c r="H64" s="306">
        <f ca="1">IFERROR(__xludf.DUMMYFUNCTION("IMPORTRANGE(""https://docs.google.com/spreadsheets/d/1C3CXT74ZlgGe6_JY_1olB1XN4rF0dxEuIIF-xsYjHgg/edit?usp=sharing"",""งบกองทุน!F68"")"),0)</f>
        <v>0</v>
      </c>
      <c r="I64" s="307">
        <v>0</v>
      </c>
      <c r="J64" s="307">
        <f t="shared" ca="1" si="3"/>
        <v>0</v>
      </c>
      <c r="K64" s="308">
        <f ca="1">IFERROR(__xludf.DUMMYFUNCTION("IMPORTRANGE(""https://docs.google.com/spreadsheets/d/1C3CXT74ZlgGe6_JY_1olB1XN4rF0dxEuIIF-xsYjHgg/edit?usp=sharing"",""งบกองทุน!H68"")"),0)</f>
        <v>0</v>
      </c>
      <c r="L64" s="306">
        <f t="shared" ca="1" si="70"/>
        <v>0</v>
      </c>
      <c r="M64" s="307">
        <f t="shared" ca="1" si="5"/>
        <v>0</v>
      </c>
      <c r="N64" s="306">
        <f ca="1">IFERROR(__xludf.DUMMYFUNCTION("IMPORTRANGE(""https://docs.google.com/spreadsheets/d/1SX6NBoVAgQJ6U1MVXOaj8PK2l7WJ3RER9xtqwdhxkhw/edit?usp=sharing"",""ประจวบคีรีขันธ์!J265"")"),0)</f>
        <v>0</v>
      </c>
      <c r="O64" s="306">
        <f ca="1">IFERROR(__xludf.DUMMYFUNCTION("IMPORTRANGE(""https://docs.google.com/spreadsheets/d/1SX6NBoVAgQJ6U1MVXOaj8PK2l7WJ3RER9xtqwdhxkhw/edit?usp=sharing"",""ประจวบคีรีขันธ์!J267"")"),0)</f>
        <v>0</v>
      </c>
      <c r="P64" s="306">
        <f ca="1">IFERROR(__xludf.DUMMYFUNCTION("IMPORTRANGE(""https://docs.google.com/spreadsheets/d/1C3CXT74ZlgGe6_JY_1olB1XN4rF0dxEuIIF-xsYjHgg/edit?usp=sharing"",""งบกองทุน!M68"")"),0)</f>
        <v>0</v>
      </c>
      <c r="Q64" s="306">
        <v>0</v>
      </c>
      <c r="R64" s="307">
        <f t="shared" ca="1" si="7"/>
        <v>0</v>
      </c>
      <c r="S64" s="308">
        <f t="shared" ca="1" si="71"/>
        <v>0</v>
      </c>
      <c r="T64" s="306">
        <f t="shared" ca="1" si="52"/>
        <v>0</v>
      </c>
      <c r="U64" s="309">
        <f t="shared" ca="1" si="9"/>
        <v>0</v>
      </c>
      <c r="V64" s="308">
        <f ca="1">IFERROR(__xludf.DUMMYFUNCTION("IMPORTRANGE(""https://docs.google.com/spreadsheets/d/1C3CXT74ZlgGe6_JY_1olB1XN4rF0dxEuIIF-xsYjHgg/edit?usp=sharing"",""งบกองทุน!O68"")"),0)</f>
        <v>0</v>
      </c>
      <c r="W64" s="306">
        <f ca="1">IFERROR(__xludf.DUMMYFUNCTION("IMPORTRANGE(""https://docs.google.com/spreadsheets/d/1SX6NBoVAgQJ6U1MVXOaj8PK2l7WJ3RER9xtqwdhxkhw/edit?usp=sharing"",""ประจวบคีรีขันธ์!J271"")"),0)</f>
        <v>0</v>
      </c>
      <c r="X64" s="309">
        <f t="shared" ca="1" si="11"/>
        <v>0</v>
      </c>
      <c r="Y64" s="308">
        <f ca="1">IFERROR(__xludf.DUMMYFUNCTION("IMPORTRANGE(""https://docs.google.com/spreadsheets/d/1C3CXT74ZlgGe6_JY_1olB1XN4rF0dxEuIIF-xsYjHgg/edit?usp=sharing"",""งบกองทุน!P68"")"),0)</f>
        <v>0</v>
      </c>
      <c r="Z64" s="306">
        <f ca="1">IFERROR(__xludf.DUMMYFUNCTION("IMPORTRANGE(""https://docs.google.com/spreadsheets/d/1SX6NBoVAgQJ6U1MVXOaj8PK2l7WJ3RER9xtqwdhxkhw/edit?usp=sharing"",""ประจวบคีรีขันธ์!J272"")"),0)</f>
        <v>0</v>
      </c>
      <c r="AA64" s="309">
        <f t="shared" ca="1" si="13"/>
        <v>0</v>
      </c>
      <c r="AB64" s="302"/>
    </row>
    <row r="65" spans="1:28" ht="21" customHeight="1">
      <c r="A65" s="303">
        <v>11</v>
      </c>
      <c r="B65" s="304" t="s">
        <v>89</v>
      </c>
      <c r="C65" s="305">
        <f t="shared" ca="1" si="69"/>
        <v>93120</v>
      </c>
      <c r="D65" s="306">
        <f ca="1">IFERROR(__xludf.DUMMYFUNCTION("IMPORTRANGE(""https://docs.google.com/spreadsheets/d/1C3CXT74ZlgGe6_JY_1olB1XN4rF0dxEuIIF-xsYjHgg/edit?usp=sharing"",""งบกองทุน!D69"")"),0)</f>
        <v>0</v>
      </c>
      <c r="E65" s="306">
        <f ca="1">IFERROR(__xludf.DUMMYFUNCTION("IMPORTRANGE(""https://docs.google.com/spreadsheets/d/1C3CXT74ZlgGe6_JY_1olB1XN4rF0dxEuIIF-xsYjHgg/edit?usp=sharing"",""งบกองทุน!E69"")"),93120)</f>
        <v>93120</v>
      </c>
      <c r="F65" s="307">
        <f ca="1">IFERROR(__xludf.DUMMYFUNCTION("IMPORTRANGE(""https://docs.google.com/spreadsheets/d/1SX6NBoVAgQJ6U1MVXOaj8PK2l7WJ3RER9xtqwdhxkhw/edit?usp=sharing"",""ปราจีนบุรี!M244"")"),88355)</f>
        <v>88355</v>
      </c>
      <c r="G65" s="307">
        <f t="shared" ca="1" si="1"/>
        <v>94.882946735395194</v>
      </c>
      <c r="H65" s="306">
        <f ca="1">IFERROR(__xludf.DUMMYFUNCTION("IMPORTRANGE(""https://docs.google.com/spreadsheets/d/1C3CXT74ZlgGe6_JY_1olB1XN4rF0dxEuIIF-xsYjHgg/edit?usp=sharing"",""งบกองทุน!F69"")"),0)</f>
        <v>0</v>
      </c>
      <c r="I65" s="307">
        <v>0</v>
      </c>
      <c r="J65" s="307">
        <f t="shared" ca="1" si="3"/>
        <v>0</v>
      </c>
      <c r="K65" s="308">
        <f ca="1">IFERROR(__xludf.DUMMYFUNCTION("IMPORTRANGE(""https://docs.google.com/spreadsheets/d/1C3CXT74ZlgGe6_JY_1olB1XN4rF0dxEuIIF-xsYjHgg/edit?usp=sharing"",""งบกองทุน!H69"")"),20)</f>
        <v>20</v>
      </c>
      <c r="L65" s="306">
        <f t="shared" ca="1" si="70"/>
        <v>20</v>
      </c>
      <c r="M65" s="307">
        <f t="shared" ca="1" si="5"/>
        <v>100</v>
      </c>
      <c r="N65" s="306">
        <f ca="1">IFERROR(__xludf.DUMMYFUNCTION("IMPORTRANGE(""https://docs.google.com/spreadsheets/d/1SX6NBoVAgQJ6U1MVXOaj8PK2l7WJ3RER9xtqwdhxkhw/edit?usp=sharing"",""ปราจีนบุรี!J265"")"),20)</f>
        <v>20</v>
      </c>
      <c r="O65" s="306">
        <f ca="1">IFERROR(__xludf.DUMMYFUNCTION("IMPORTRANGE(""https://docs.google.com/spreadsheets/d/1SX6NBoVAgQJ6U1MVXOaj8PK2l7WJ3RER9xtqwdhxkhw/edit?usp=sharing"",""ปราจีนบุรี!J267"")"),20)</f>
        <v>20</v>
      </c>
      <c r="P65" s="306">
        <f ca="1">IFERROR(__xludf.DUMMYFUNCTION("IMPORTRANGE(""https://docs.google.com/spreadsheets/d/1C3CXT74ZlgGe6_JY_1olB1XN4rF0dxEuIIF-xsYjHgg/edit?usp=sharing"",""งบกองทุน!M69"")"),0)</f>
        <v>0</v>
      </c>
      <c r="Q65" s="306">
        <v>0</v>
      </c>
      <c r="R65" s="307">
        <f t="shared" ca="1" si="7"/>
        <v>0</v>
      </c>
      <c r="S65" s="308">
        <f t="shared" ca="1" si="71"/>
        <v>60</v>
      </c>
      <c r="T65" s="306">
        <f t="shared" ca="1" si="52"/>
        <v>60</v>
      </c>
      <c r="U65" s="309">
        <f t="shared" ca="1" si="9"/>
        <v>100</v>
      </c>
      <c r="V65" s="308">
        <f ca="1">IFERROR(__xludf.DUMMYFUNCTION("IMPORTRANGE(""https://docs.google.com/spreadsheets/d/1C3CXT74ZlgGe6_JY_1olB1XN4rF0dxEuIIF-xsYjHgg/edit?usp=sharing"",""งบกองทุน!O69"")"),0)</f>
        <v>0</v>
      </c>
      <c r="W65" s="306">
        <f ca="1">IFERROR(__xludf.DUMMYFUNCTION("IMPORTRANGE(""https://docs.google.com/spreadsheets/d/1SX6NBoVAgQJ6U1MVXOaj8PK2l7WJ3RER9xtqwdhxkhw/edit?usp=sharing"",""ปราจีนบุรี!J271"")"),0)</f>
        <v>0</v>
      </c>
      <c r="X65" s="309">
        <f t="shared" ca="1" si="11"/>
        <v>0</v>
      </c>
      <c r="Y65" s="308">
        <f ca="1">IFERROR(__xludf.DUMMYFUNCTION("IMPORTRANGE(""https://docs.google.com/spreadsheets/d/1C3CXT74ZlgGe6_JY_1olB1XN4rF0dxEuIIF-xsYjHgg/edit?usp=sharing"",""งบกองทุน!P69"")"),60)</f>
        <v>60</v>
      </c>
      <c r="Z65" s="306">
        <f ca="1">IFERROR(__xludf.DUMMYFUNCTION("IMPORTRANGE(""https://docs.google.com/spreadsheets/d/1SX6NBoVAgQJ6U1MVXOaj8PK2l7WJ3RER9xtqwdhxkhw/edit?usp=sharing"",""ปราจีนบุรี!J272"")"),60)</f>
        <v>60</v>
      </c>
      <c r="AA65" s="309">
        <f t="shared" ca="1" si="13"/>
        <v>100</v>
      </c>
      <c r="AB65" s="302"/>
    </row>
    <row r="66" spans="1:28" ht="21" customHeight="1">
      <c r="A66" s="303">
        <v>12</v>
      </c>
      <c r="B66" s="320" t="s">
        <v>90</v>
      </c>
      <c r="C66" s="305">
        <f t="shared" ca="1" si="69"/>
        <v>0</v>
      </c>
      <c r="D66" s="306">
        <f ca="1">IFERROR(__xludf.DUMMYFUNCTION("IMPORTRANGE(""https://docs.google.com/spreadsheets/d/1C3CXT74ZlgGe6_JY_1olB1XN4rF0dxEuIIF-xsYjHgg/edit?usp=sharing"",""งบกองทุน!D70"")"),0)</f>
        <v>0</v>
      </c>
      <c r="E66" s="306">
        <f ca="1">IFERROR(__xludf.DUMMYFUNCTION("IMPORTRANGE(""https://docs.google.com/spreadsheets/d/1C3CXT74ZlgGe6_JY_1olB1XN4rF0dxEuIIF-xsYjHgg/edit?usp=sharing"",""งบกองทุน!E70"")"),0)</f>
        <v>0</v>
      </c>
      <c r="F66" s="307">
        <f ca="1">IFERROR(__xludf.DUMMYFUNCTION("IMPORTRANGE(""https://docs.google.com/spreadsheets/d/1SX6NBoVAgQJ6U1MVXOaj8PK2l7WJ3RER9xtqwdhxkhw/edit?usp=sharing"",""พระนครศรีอยุธยา!M244"")"),0)</f>
        <v>0</v>
      </c>
      <c r="G66" s="307">
        <f t="shared" ca="1" si="1"/>
        <v>0</v>
      </c>
      <c r="H66" s="306">
        <f ca="1">IFERROR(__xludf.DUMMYFUNCTION("IMPORTRANGE(""https://docs.google.com/spreadsheets/d/1C3CXT74ZlgGe6_JY_1olB1XN4rF0dxEuIIF-xsYjHgg/edit?usp=sharing"",""งบกองทุน!F70"")"),0)</f>
        <v>0</v>
      </c>
      <c r="I66" s="307">
        <v>0</v>
      </c>
      <c r="J66" s="307">
        <f t="shared" ca="1" si="3"/>
        <v>0</v>
      </c>
      <c r="K66" s="308">
        <f ca="1">IFERROR(__xludf.DUMMYFUNCTION("IMPORTRANGE(""https://docs.google.com/spreadsheets/d/1C3CXT74ZlgGe6_JY_1olB1XN4rF0dxEuIIF-xsYjHgg/edit?usp=sharing"",""งบกองทุน!H70"")"),0)</f>
        <v>0</v>
      </c>
      <c r="L66" s="306">
        <f t="shared" ca="1" si="70"/>
        <v>0</v>
      </c>
      <c r="M66" s="307">
        <f t="shared" ca="1" si="5"/>
        <v>0</v>
      </c>
      <c r="N66" s="306">
        <f ca="1">IFERROR(__xludf.DUMMYFUNCTION("IMPORTRANGE(""https://docs.google.com/spreadsheets/d/1SX6NBoVAgQJ6U1MVXOaj8PK2l7WJ3RER9xtqwdhxkhw/edit?usp=sharing"",""พระนครศรีอยุธยา!J265"")"),0)</f>
        <v>0</v>
      </c>
      <c r="O66" s="306">
        <f ca="1">IFERROR(__xludf.DUMMYFUNCTION("IMPORTRANGE(""https://docs.google.com/spreadsheets/d/1SX6NBoVAgQJ6U1MVXOaj8PK2l7WJ3RER9xtqwdhxkhw/edit?usp=sharing"",""พระนครศรีอยุธยา!J267"")"),0)</f>
        <v>0</v>
      </c>
      <c r="P66" s="306">
        <f ca="1">IFERROR(__xludf.DUMMYFUNCTION("IMPORTRANGE(""https://docs.google.com/spreadsheets/d/1C3CXT74ZlgGe6_JY_1olB1XN4rF0dxEuIIF-xsYjHgg/edit?usp=sharing"",""งบกองทุน!M70"")"),0)</f>
        <v>0</v>
      </c>
      <c r="Q66" s="306">
        <v>0</v>
      </c>
      <c r="R66" s="307">
        <f t="shared" ca="1" si="7"/>
        <v>0</v>
      </c>
      <c r="S66" s="308">
        <f t="shared" ca="1" si="71"/>
        <v>0</v>
      </c>
      <c r="T66" s="306">
        <f t="shared" ca="1" si="52"/>
        <v>0</v>
      </c>
      <c r="U66" s="309">
        <f t="shared" ca="1" si="9"/>
        <v>0</v>
      </c>
      <c r="V66" s="308">
        <f ca="1">IFERROR(__xludf.DUMMYFUNCTION("IMPORTRANGE(""https://docs.google.com/spreadsheets/d/1C3CXT74ZlgGe6_JY_1olB1XN4rF0dxEuIIF-xsYjHgg/edit?usp=sharing"",""งบกองทุน!O70"")"),0)</f>
        <v>0</v>
      </c>
      <c r="W66" s="306">
        <f ca="1">IFERROR(__xludf.DUMMYFUNCTION("IMPORTRANGE(""https://docs.google.com/spreadsheets/d/1SX6NBoVAgQJ6U1MVXOaj8PK2l7WJ3RER9xtqwdhxkhw/edit?usp=sharing"",""พระนครศรีอยุธยา!J271"")"),0)</f>
        <v>0</v>
      </c>
      <c r="X66" s="309">
        <f t="shared" ca="1" si="11"/>
        <v>0</v>
      </c>
      <c r="Y66" s="308">
        <f ca="1">IFERROR(__xludf.DUMMYFUNCTION("IMPORTRANGE(""https://docs.google.com/spreadsheets/d/1C3CXT74ZlgGe6_JY_1olB1XN4rF0dxEuIIF-xsYjHgg/edit?usp=sharing"",""งบกองทุน!P70"")"),0)</f>
        <v>0</v>
      </c>
      <c r="Z66" s="306">
        <f ca="1">IFERROR(__xludf.DUMMYFUNCTION("IMPORTRANGE(""https://docs.google.com/spreadsheets/d/1SX6NBoVAgQJ6U1MVXOaj8PK2l7WJ3RER9xtqwdhxkhw/edit?usp=sharing"",""พระนครศรีอยุธยา!J272"")"),0)</f>
        <v>0</v>
      </c>
      <c r="AA66" s="309">
        <f t="shared" ca="1" si="13"/>
        <v>0</v>
      </c>
      <c r="AB66" s="302"/>
    </row>
    <row r="67" spans="1:28" ht="21" customHeight="1">
      <c r="A67" s="303">
        <v>13</v>
      </c>
      <c r="B67" s="304" t="s">
        <v>91</v>
      </c>
      <c r="C67" s="305">
        <f t="shared" ca="1" si="69"/>
        <v>0</v>
      </c>
      <c r="D67" s="306">
        <f ca="1">IFERROR(__xludf.DUMMYFUNCTION("IMPORTRANGE(""https://docs.google.com/spreadsheets/d/1C3CXT74ZlgGe6_JY_1olB1XN4rF0dxEuIIF-xsYjHgg/edit?usp=sharing"",""งบกองทุน!D71"")"),0)</f>
        <v>0</v>
      </c>
      <c r="E67" s="306">
        <f ca="1">IFERROR(__xludf.DUMMYFUNCTION("IMPORTRANGE(""https://docs.google.com/spreadsheets/d/1C3CXT74ZlgGe6_JY_1olB1XN4rF0dxEuIIF-xsYjHgg/edit?usp=sharing"",""งบกองทุน!E71"")"),0)</f>
        <v>0</v>
      </c>
      <c r="F67" s="307">
        <f ca="1">IFERROR(__xludf.DUMMYFUNCTION("IMPORTRANGE(""https://docs.google.com/spreadsheets/d/1SX6NBoVAgQJ6U1MVXOaj8PK2l7WJ3RER9xtqwdhxkhw/edit?usp=sharing"",""เพชรบุรี!M244"")"),0)</f>
        <v>0</v>
      </c>
      <c r="G67" s="307">
        <f t="shared" ca="1" si="1"/>
        <v>0</v>
      </c>
      <c r="H67" s="306">
        <f ca="1">IFERROR(__xludf.DUMMYFUNCTION("IMPORTRANGE(""https://docs.google.com/spreadsheets/d/1C3CXT74ZlgGe6_JY_1olB1XN4rF0dxEuIIF-xsYjHgg/edit?usp=sharing"",""งบกองทุน!F71"")"),0)</f>
        <v>0</v>
      </c>
      <c r="I67" s="307">
        <v>0</v>
      </c>
      <c r="J67" s="307">
        <f t="shared" ca="1" si="3"/>
        <v>0</v>
      </c>
      <c r="K67" s="308">
        <f ca="1">IFERROR(__xludf.DUMMYFUNCTION("IMPORTRANGE(""https://docs.google.com/spreadsheets/d/1C3CXT74ZlgGe6_JY_1olB1XN4rF0dxEuIIF-xsYjHgg/edit?usp=sharing"",""งบกองทุน!H71"")"),0)</f>
        <v>0</v>
      </c>
      <c r="L67" s="306">
        <f t="shared" ca="1" si="70"/>
        <v>0</v>
      </c>
      <c r="M67" s="307">
        <f t="shared" ca="1" si="5"/>
        <v>0</v>
      </c>
      <c r="N67" s="306">
        <f ca="1">IFERROR(__xludf.DUMMYFUNCTION("IMPORTRANGE(""https://docs.google.com/spreadsheets/d/1SX6NBoVAgQJ6U1MVXOaj8PK2l7WJ3RER9xtqwdhxkhw/edit?usp=sharing"",""เพชรบุรี!J265"")"),0)</f>
        <v>0</v>
      </c>
      <c r="O67" s="306">
        <f ca="1">IFERROR(__xludf.DUMMYFUNCTION("IMPORTRANGE(""https://docs.google.com/spreadsheets/d/1SX6NBoVAgQJ6U1MVXOaj8PK2l7WJ3RER9xtqwdhxkhw/edit?usp=sharing"",""เพชรบุรี!J267"")"),0)</f>
        <v>0</v>
      </c>
      <c r="P67" s="306">
        <f ca="1">IFERROR(__xludf.DUMMYFUNCTION("IMPORTRANGE(""https://docs.google.com/spreadsheets/d/1C3CXT74ZlgGe6_JY_1olB1XN4rF0dxEuIIF-xsYjHgg/edit?usp=sharing"",""งบกองทุน!M71"")"),0)</f>
        <v>0</v>
      </c>
      <c r="Q67" s="306">
        <v>0</v>
      </c>
      <c r="R67" s="307">
        <f t="shared" ca="1" si="7"/>
        <v>0</v>
      </c>
      <c r="S67" s="308">
        <f t="shared" ca="1" si="71"/>
        <v>0</v>
      </c>
      <c r="T67" s="306">
        <f t="shared" ca="1" si="52"/>
        <v>0</v>
      </c>
      <c r="U67" s="309">
        <f t="shared" ca="1" si="9"/>
        <v>0</v>
      </c>
      <c r="V67" s="308">
        <f ca="1">IFERROR(__xludf.DUMMYFUNCTION("IMPORTRANGE(""https://docs.google.com/spreadsheets/d/1C3CXT74ZlgGe6_JY_1olB1XN4rF0dxEuIIF-xsYjHgg/edit?usp=sharing"",""งบกองทุน!O71"")"),0)</f>
        <v>0</v>
      </c>
      <c r="W67" s="306">
        <f ca="1">IFERROR(__xludf.DUMMYFUNCTION("IMPORTRANGE(""https://docs.google.com/spreadsheets/d/1SX6NBoVAgQJ6U1MVXOaj8PK2l7WJ3RER9xtqwdhxkhw/edit?usp=sharing"",""เพชรบุรี!J271"")"),0)</f>
        <v>0</v>
      </c>
      <c r="X67" s="309">
        <f t="shared" ca="1" si="11"/>
        <v>0</v>
      </c>
      <c r="Y67" s="308">
        <f ca="1">IFERROR(__xludf.DUMMYFUNCTION("IMPORTRANGE(""https://docs.google.com/spreadsheets/d/1C3CXT74ZlgGe6_JY_1olB1XN4rF0dxEuIIF-xsYjHgg/edit?usp=sharing"",""งบกองทุน!P71"")"),0)</f>
        <v>0</v>
      </c>
      <c r="Z67" s="306">
        <f ca="1">IFERROR(__xludf.DUMMYFUNCTION("IMPORTRANGE(""https://docs.google.com/spreadsheets/d/1SX6NBoVAgQJ6U1MVXOaj8PK2l7WJ3RER9xtqwdhxkhw/edit?usp=sharing"",""เพชรบุรี!J272"")"),0)</f>
        <v>0</v>
      </c>
      <c r="AA67" s="309">
        <f t="shared" ca="1" si="13"/>
        <v>0</v>
      </c>
      <c r="AB67" s="302"/>
    </row>
    <row r="68" spans="1:28" ht="21" customHeight="1">
      <c r="A68" s="303">
        <v>14</v>
      </c>
      <c r="B68" s="304" t="s">
        <v>92</v>
      </c>
      <c r="C68" s="305">
        <f t="shared" ca="1" si="69"/>
        <v>280560</v>
      </c>
      <c r="D68" s="306">
        <f ca="1">IFERROR(__xludf.DUMMYFUNCTION("IMPORTRANGE(""https://docs.google.com/spreadsheets/d/1C3CXT74ZlgGe6_JY_1olB1XN4rF0dxEuIIF-xsYjHgg/edit?usp=sharing"",""งบกองทุน!D72"")"),0)</f>
        <v>0</v>
      </c>
      <c r="E68" s="306">
        <f ca="1">IFERROR(__xludf.DUMMYFUNCTION("IMPORTRANGE(""https://docs.google.com/spreadsheets/d/1C3CXT74ZlgGe6_JY_1olB1XN4rF0dxEuIIF-xsYjHgg/edit?usp=sharing"",""งบกองทุน!E72"")"),280560)</f>
        <v>280560</v>
      </c>
      <c r="F68" s="307">
        <f ca="1">IFERROR(__xludf.DUMMYFUNCTION("IMPORTRANGE(""https://docs.google.com/spreadsheets/d/1SX6NBoVAgQJ6U1MVXOaj8PK2l7WJ3RER9xtqwdhxkhw/edit?usp=sharing"",""ระยอง!M244"")"),69986)</f>
        <v>69986</v>
      </c>
      <c r="G68" s="307">
        <f t="shared" ca="1" si="1"/>
        <v>24.945109780439122</v>
      </c>
      <c r="H68" s="306">
        <f ca="1">IFERROR(__xludf.DUMMYFUNCTION("IMPORTRANGE(""https://docs.google.com/spreadsheets/d/1C3CXT74ZlgGe6_JY_1olB1XN4rF0dxEuIIF-xsYjHgg/edit?usp=sharing"",""งบกองทุน!F72"")"),0)</f>
        <v>0</v>
      </c>
      <c r="I68" s="307">
        <v>0</v>
      </c>
      <c r="J68" s="307">
        <f t="shared" ca="1" si="3"/>
        <v>0</v>
      </c>
      <c r="K68" s="308">
        <f ca="1">IFERROR(__xludf.DUMMYFUNCTION("IMPORTRANGE(""https://docs.google.com/spreadsheets/d/1C3CXT74ZlgGe6_JY_1olB1XN4rF0dxEuIIF-xsYjHgg/edit?usp=sharing"",""งบกองทุน!H72"")"),25)</f>
        <v>25</v>
      </c>
      <c r="L68" s="306">
        <f t="shared" ca="1" si="70"/>
        <v>25</v>
      </c>
      <c r="M68" s="307">
        <f t="shared" ca="1" si="5"/>
        <v>100</v>
      </c>
      <c r="N68" s="306">
        <f ca="1">IFERROR(__xludf.DUMMYFUNCTION("IMPORTRANGE(""https://docs.google.com/spreadsheets/d/1SX6NBoVAgQJ6U1MVXOaj8PK2l7WJ3RER9xtqwdhxkhw/edit?usp=sharing"",""ระยอง!J265"")"),25)</f>
        <v>25</v>
      </c>
      <c r="O68" s="306">
        <f ca="1">IFERROR(__xludf.DUMMYFUNCTION("IMPORTRANGE(""https://docs.google.com/spreadsheets/d/1SX6NBoVAgQJ6U1MVXOaj8PK2l7WJ3RER9xtqwdhxkhw/edit?usp=sharing"",""ระยอง!J267"")"),25)</f>
        <v>25</v>
      </c>
      <c r="P68" s="306">
        <f ca="1">IFERROR(__xludf.DUMMYFUNCTION("IMPORTRANGE(""https://docs.google.com/spreadsheets/d/1C3CXT74ZlgGe6_JY_1olB1XN4rF0dxEuIIF-xsYjHgg/edit?usp=sharing"",""งบกองทุน!M72"")"),0)</f>
        <v>0</v>
      </c>
      <c r="Q68" s="306">
        <v>0</v>
      </c>
      <c r="R68" s="307">
        <f t="shared" ca="1" si="7"/>
        <v>0</v>
      </c>
      <c r="S68" s="308">
        <f t="shared" ca="1" si="71"/>
        <v>80</v>
      </c>
      <c r="T68" s="306">
        <f t="shared" ca="1" si="52"/>
        <v>0</v>
      </c>
      <c r="U68" s="309">
        <f t="shared" ca="1" si="9"/>
        <v>0</v>
      </c>
      <c r="V68" s="308">
        <f ca="1">IFERROR(__xludf.DUMMYFUNCTION("IMPORTRANGE(""https://docs.google.com/spreadsheets/d/1C3CXT74ZlgGe6_JY_1olB1XN4rF0dxEuIIF-xsYjHgg/edit?usp=sharing"",""งบกองทุน!O72"")"),15)</f>
        <v>15</v>
      </c>
      <c r="W68" s="306">
        <f ca="1">IFERROR(__xludf.DUMMYFUNCTION("IMPORTRANGE(""https://docs.google.com/spreadsheets/d/1SX6NBoVAgQJ6U1MVXOaj8PK2l7WJ3RER9xtqwdhxkhw/edit?usp=sharing"",""ระยอง!J271"")"),0)</f>
        <v>0</v>
      </c>
      <c r="X68" s="309">
        <f t="shared" ca="1" si="11"/>
        <v>0</v>
      </c>
      <c r="Y68" s="308">
        <f ca="1">IFERROR(__xludf.DUMMYFUNCTION("IMPORTRANGE(""https://docs.google.com/spreadsheets/d/1C3CXT74ZlgGe6_JY_1olB1XN4rF0dxEuIIF-xsYjHgg/edit?usp=sharing"",""งบกองทุน!P72"")"),65)</f>
        <v>65</v>
      </c>
      <c r="Z68" s="306">
        <f ca="1">IFERROR(__xludf.DUMMYFUNCTION("IMPORTRANGE(""https://docs.google.com/spreadsheets/d/1SX6NBoVAgQJ6U1MVXOaj8PK2l7WJ3RER9xtqwdhxkhw/edit?usp=sharing"",""ระยอง!J272"")"),0)</f>
        <v>0</v>
      </c>
      <c r="AA68" s="309">
        <f t="shared" ca="1" si="13"/>
        <v>0</v>
      </c>
      <c r="AB68" s="302"/>
    </row>
    <row r="69" spans="1:28" ht="21" customHeight="1">
      <c r="A69" s="303">
        <v>15</v>
      </c>
      <c r="B69" s="304" t="s">
        <v>93</v>
      </c>
      <c r="C69" s="305">
        <f t="shared" ca="1" si="69"/>
        <v>0</v>
      </c>
      <c r="D69" s="306">
        <f ca="1">IFERROR(__xludf.DUMMYFUNCTION("IMPORTRANGE(""https://docs.google.com/spreadsheets/d/1C3CXT74ZlgGe6_JY_1olB1XN4rF0dxEuIIF-xsYjHgg/edit?usp=sharing"",""งบกองทุน!D73"")"),0)</f>
        <v>0</v>
      </c>
      <c r="E69" s="306">
        <f ca="1">IFERROR(__xludf.DUMMYFUNCTION("IMPORTRANGE(""https://docs.google.com/spreadsheets/d/1C3CXT74ZlgGe6_JY_1olB1XN4rF0dxEuIIF-xsYjHgg/edit?usp=sharing"",""งบกองทุน!E73"")"),0)</f>
        <v>0</v>
      </c>
      <c r="F69" s="307">
        <f ca="1">IFERROR(__xludf.DUMMYFUNCTION("IMPORTRANGE(""https://docs.google.com/spreadsheets/d/1SX6NBoVAgQJ6U1MVXOaj8PK2l7WJ3RER9xtqwdhxkhw/edit?usp=sharing"",""ราชบุรี!M244"")"),0)</f>
        <v>0</v>
      </c>
      <c r="G69" s="307">
        <f t="shared" ca="1" si="1"/>
        <v>0</v>
      </c>
      <c r="H69" s="306">
        <f ca="1">IFERROR(__xludf.DUMMYFUNCTION("IMPORTRANGE(""https://docs.google.com/spreadsheets/d/1C3CXT74ZlgGe6_JY_1olB1XN4rF0dxEuIIF-xsYjHgg/edit?usp=sharing"",""งบกองทุน!F73"")"),0)</f>
        <v>0</v>
      </c>
      <c r="I69" s="307">
        <v>0</v>
      </c>
      <c r="J69" s="307">
        <f t="shared" ca="1" si="3"/>
        <v>0</v>
      </c>
      <c r="K69" s="308">
        <f ca="1">IFERROR(__xludf.DUMMYFUNCTION("IMPORTRANGE(""https://docs.google.com/spreadsheets/d/1C3CXT74ZlgGe6_JY_1olB1XN4rF0dxEuIIF-xsYjHgg/edit?usp=sharing"",""งบกองทุน!H73"")"),0)</f>
        <v>0</v>
      </c>
      <c r="L69" s="306">
        <f t="shared" ca="1" si="70"/>
        <v>0</v>
      </c>
      <c r="M69" s="307">
        <f t="shared" ca="1" si="5"/>
        <v>0</v>
      </c>
      <c r="N69" s="306">
        <f ca="1">IFERROR(__xludf.DUMMYFUNCTION("IMPORTRANGE(""https://docs.google.com/spreadsheets/d/1SX6NBoVAgQJ6U1MVXOaj8PK2l7WJ3RER9xtqwdhxkhw/edit?usp=sharing"",""ราชบุรี!J265"")"),0)</f>
        <v>0</v>
      </c>
      <c r="O69" s="306">
        <f ca="1">IFERROR(__xludf.DUMMYFUNCTION("IMPORTRANGE(""https://docs.google.com/spreadsheets/d/1SX6NBoVAgQJ6U1MVXOaj8PK2l7WJ3RER9xtqwdhxkhw/edit?usp=sharing"",""ราชบุรี!J267"")"),0)</f>
        <v>0</v>
      </c>
      <c r="P69" s="306">
        <f ca="1">IFERROR(__xludf.DUMMYFUNCTION("IMPORTRANGE(""https://docs.google.com/spreadsheets/d/1C3CXT74ZlgGe6_JY_1olB1XN4rF0dxEuIIF-xsYjHgg/edit?usp=sharing"",""งบกองทุน!M73"")"),0)</f>
        <v>0</v>
      </c>
      <c r="Q69" s="306">
        <v>0</v>
      </c>
      <c r="R69" s="307">
        <f t="shared" ca="1" si="7"/>
        <v>0</v>
      </c>
      <c r="S69" s="308">
        <f t="shared" ca="1" si="71"/>
        <v>0</v>
      </c>
      <c r="T69" s="306">
        <f t="shared" ca="1" si="52"/>
        <v>0</v>
      </c>
      <c r="U69" s="309">
        <f t="shared" ca="1" si="9"/>
        <v>0</v>
      </c>
      <c r="V69" s="308">
        <f ca="1">IFERROR(__xludf.DUMMYFUNCTION("IMPORTRANGE(""https://docs.google.com/spreadsheets/d/1C3CXT74ZlgGe6_JY_1olB1XN4rF0dxEuIIF-xsYjHgg/edit?usp=sharing"",""งบกองทุน!O73"")"),0)</f>
        <v>0</v>
      </c>
      <c r="W69" s="306">
        <f ca="1">IFERROR(__xludf.DUMMYFUNCTION("IMPORTRANGE(""https://docs.google.com/spreadsheets/d/1SX6NBoVAgQJ6U1MVXOaj8PK2l7WJ3RER9xtqwdhxkhw/edit?usp=sharing"",""ราชบุรี!J271"")"),0)</f>
        <v>0</v>
      </c>
      <c r="X69" s="309">
        <f t="shared" ca="1" si="11"/>
        <v>0</v>
      </c>
      <c r="Y69" s="308">
        <f ca="1">IFERROR(__xludf.DUMMYFUNCTION("IMPORTRANGE(""https://docs.google.com/spreadsheets/d/1C3CXT74ZlgGe6_JY_1olB1XN4rF0dxEuIIF-xsYjHgg/edit?usp=sharing"",""งบกองทุน!P73"")"),0)</f>
        <v>0</v>
      </c>
      <c r="Z69" s="306">
        <f ca="1">IFERROR(__xludf.DUMMYFUNCTION("IMPORTRANGE(""https://docs.google.com/spreadsheets/d/1SX6NBoVAgQJ6U1MVXOaj8PK2l7WJ3RER9xtqwdhxkhw/edit?usp=sharing"",""ราชบุรี!J272"")"),0)</f>
        <v>0</v>
      </c>
      <c r="AA69" s="309">
        <f t="shared" ca="1" si="13"/>
        <v>0</v>
      </c>
      <c r="AB69" s="302"/>
    </row>
    <row r="70" spans="1:28" ht="24" customHeight="1">
      <c r="A70" s="303">
        <v>16</v>
      </c>
      <c r="B70" s="304" t="s">
        <v>94</v>
      </c>
      <c r="C70" s="305">
        <f t="shared" ca="1" si="69"/>
        <v>289160</v>
      </c>
      <c r="D70" s="306">
        <f ca="1">IFERROR(__xludf.DUMMYFUNCTION("IMPORTRANGE(""https://docs.google.com/spreadsheets/d/1C3CXT74ZlgGe6_JY_1olB1XN4rF0dxEuIIF-xsYjHgg/edit?usp=sharing"",""งบกองทุน!D74"")"),0)</f>
        <v>0</v>
      </c>
      <c r="E70" s="306">
        <f ca="1">IFERROR(__xludf.DUMMYFUNCTION("IMPORTRANGE(""https://docs.google.com/spreadsheets/d/1C3CXT74ZlgGe6_JY_1olB1XN4rF0dxEuIIF-xsYjHgg/edit?usp=sharing"",""งบกองทุน!E74"")"),289160)</f>
        <v>289160</v>
      </c>
      <c r="F70" s="307">
        <f ca="1">IFERROR(__xludf.DUMMYFUNCTION("IMPORTRANGE(""https://docs.google.com/spreadsheets/d/1SX6NBoVAgQJ6U1MVXOaj8PK2l7WJ3RER9xtqwdhxkhw/edit?usp=sharing"",""ลพบุรี!M244"")"),111118)</f>
        <v>111118</v>
      </c>
      <c r="G70" s="307">
        <f t="shared" ca="1" si="1"/>
        <v>38.427860008299902</v>
      </c>
      <c r="H70" s="306">
        <f ca="1">IFERROR(__xludf.DUMMYFUNCTION("IMPORTRANGE(""https://docs.google.com/spreadsheets/d/1C3CXT74ZlgGe6_JY_1olB1XN4rF0dxEuIIF-xsYjHgg/edit?usp=sharing"",""งบกองทุน!F74"")"),0)</f>
        <v>0</v>
      </c>
      <c r="I70" s="307">
        <v>0</v>
      </c>
      <c r="J70" s="307">
        <f t="shared" ca="1" si="3"/>
        <v>0</v>
      </c>
      <c r="K70" s="308">
        <f ca="1">IFERROR(__xludf.DUMMYFUNCTION("IMPORTRANGE(""https://docs.google.com/spreadsheets/d/1C3CXT74ZlgGe6_JY_1olB1XN4rF0dxEuIIF-xsYjHgg/edit?usp=sharing"",""งบกองทุน!H74"")"),40)</f>
        <v>40</v>
      </c>
      <c r="L70" s="306">
        <f t="shared" ca="1" si="70"/>
        <v>40</v>
      </c>
      <c r="M70" s="307">
        <f t="shared" ca="1" si="5"/>
        <v>100</v>
      </c>
      <c r="N70" s="306">
        <f ca="1">IFERROR(__xludf.DUMMYFUNCTION("IMPORTRANGE(""https://docs.google.com/spreadsheets/d/1SX6NBoVAgQJ6U1MVXOaj8PK2l7WJ3RER9xtqwdhxkhw/edit?usp=sharing"",""ลพบุรี!J265"")"),20)</f>
        <v>20</v>
      </c>
      <c r="O70" s="306">
        <f ca="1">IFERROR(__xludf.DUMMYFUNCTION("IMPORTRANGE(""https://docs.google.com/spreadsheets/d/1SX6NBoVAgQJ6U1MVXOaj8PK2l7WJ3RER9xtqwdhxkhw/edit?usp=sharing"",""ลพบุรี!J267"")"),20)</f>
        <v>20</v>
      </c>
      <c r="P70" s="306">
        <f ca="1">IFERROR(__xludf.DUMMYFUNCTION("IMPORTRANGE(""https://docs.google.com/spreadsheets/d/1C3CXT74ZlgGe6_JY_1olB1XN4rF0dxEuIIF-xsYjHgg/edit?usp=sharing"",""งบกองทุน!M74"")"),0)</f>
        <v>0</v>
      </c>
      <c r="Q70" s="306">
        <v>0</v>
      </c>
      <c r="R70" s="307">
        <f t="shared" ca="1" si="7"/>
        <v>0</v>
      </c>
      <c r="S70" s="308">
        <f t="shared" ca="1" si="71"/>
        <v>60</v>
      </c>
      <c r="T70" s="306">
        <f t="shared" ca="1" si="52"/>
        <v>0</v>
      </c>
      <c r="U70" s="309">
        <f t="shared" ca="1" si="9"/>
        <v>0</v>
      </c>
      <c r="V70" s="308">
        <f ca="1">IFERROR(__xludf.DUMMYFUNCTION("IMPORTRANGE(""https://docs.google.com/spreadsheets/d/1C3CXT74ZlgGe6_JY_1olB1XN4rF0dxEuIIF-xsYjHgg/edit?usp=sharing"",""งบกองทุน!O74"")"),30)</f>
        <v>30</v>
      </c>
      <c r="W70" s="306">
        <f ca="1">IFERROR(__xludf.DUMMYFUNCTION("IMPORTRANGE(""https://docs.google.com/spreadsheets/d/1SX6NBoVAgQJ6U1MVXOaj8PK2l7WJ3RER9xtqwdhxkhw/edit?usp=sharing"",""ลพบุรี!J271"")"),0)</f>
        <v>0</v>
      </c>
      <c r="X70" s="309">
        <f t="shared" ca="1" si="11"/>
        <v>0</v>
      </c>
      <c r="Y70" s="308">
        <f ca="1">IFERROR(__xludf.DUMMYFUNCTION("IMPORTRANGE(""https://docs.google.com/spreadsheets/d/1C3CXT74ZlgGe6_JY_1olB1XN4rF0dxEuIIF-xsYjHgg/edit?usp=sharing"",""งบกองทุน!P74"")"),30)</f>
        <v>30</v>
      </c>
      <c r="Z70" s="306">
        <f ca="1">IFERROR(__xludf.DUMMYFUNCTION("IMPORTRANGE(""https://docs.google.com/spreadsheets/d/1SX6NBoVAgQJ6U1MVXOaj8PK2l7WJ3RER9xtqwdhxkhw/edit?usp=sharing"",""ลพบุรี!J272"")"),0)</f>
        <v>0</v>
      </c>
      <c r="AA70" s="309">
        <f t="shared" ca="1" si="13"/>
        <v>0</v>
      </c>
      <c r="AB70" s="302"/>
    </row>
    <row r="71" spans="1:28" ht="21" customHeight="1">
      <c r="A71" s="303">
        <v>17</v>
      </c>
      <c r="B71" s="304" t="s">
        <v>95</v>
      </c>
      <c r="C71" s="305">
        <f t="shared" ca="1" si="69"/>
        <v>0</v>
      </c>
      <c r="D71" s="306">
        <f ca="1">IFERROR(__xludf.DUMMYFUNCTION("IMPORTRANGE(""https://docs.google.com/spreadsheets/d/1C3CXT74ZlgGe6_JY_1olB1XN4rF0dxEuIIF-xsYjHgg/edit?usp=sharing"",""งบกองทุน!D75"")"),0)</f>
        <v>0</v>
      </c>
      <c r="E71" s="306">
        <f ca="1">IFERROR(__xludf.DUMMYFUNCTION("IMPORTRANGE(""https://docs.google.com/spreadsheets/d/1C3CXT74ZlgGe6_JY_1olB1XN4rF0dxEuIIF-xsYjHgg/edit?usp=sharing"",""งบกองทุน!E75"")"),0)</f>
        <v>0</v>
      </c>
      <c r="F71" s="307">
        <f ca="1">IFERROR(__xludf.DUMMYFUNCTION("IMPORTRANGE(""https://docs.google.com/spreadsheets/d/1SX6NBoVAgQJ6U1MVXOaj8PK2l7WJ3RER9xtqwdhxkhw/edit?usp=sharing"",""สระแก้ว!M244"")"),0)</f>
        <v>0</v>
      </c>
      <c r="G71" s="307">
        <f t="shared" ca="1" si="1"/>
        <v>0</v>
      </c>
      <c r="H71" s="306">
        <f ca="1">IFERROR(__xludf.DUMMYFUNCTION("IMPORTRANGE(""https://docs.google.com/spreadsheets/d/1C3CXT74ZlgGe6_JY_1olB1XN4rF0dxEuIIF-xsYjHgg/edit?usp=sharing"",""งบกองทุน!F75"")"),0)</f>
        <v>0</v>
      </c>
      <c r="I71" s="307">
        <v>0</v>
      </c>
      <c r="J71" s="307">
        <f t="shared" ca="1" si="3"/>
        <v>0</v>
      </c>
      <c r="K71" s="308">
        <f ca="1">IFERROR(__xludf.DUMMYFUNCTION("IMPORTRANGE(""https://docs.google.com/spreadsheets/d/1C3CXT74ZlgGe6_JY_1olB1XN4rF0dxEuIIF-xsYjHgg/edit?usp=sharing"",""งบกองทุน!H75"")"),0)</f>
        <v>0</v>
      </c>
      <c r="L71" s="306">
        <f t="shared" ca="1" si="70"/>
        <v>0</v>
      </c>
      <c r="M71" s="307">
        <f t="shared" ca="1" si="5"/>
        <v>0</v>
      </c>
      <c r="N71" s="306">
        <f ca="1">IFERROR(__xludf.DUMMYFUNCTION("IMPORTRANGE(""https://docs.google.com/spreadsheets/d/1SX6NBoVAgQJ6U1MVXOaj8PK2l7WJ3RER9xtqwdhxkhw/edit?usp=sharing"",""สระแก้ว!J265"")"),0)</f>
        <v>0</v>
      </c>
      <c r="O71" s="306">
        <f ca="1">IFERROR(__xludf.DUMMYFUNCTION("IMPORTRANGE(""https://docs.google.com/spreadsheets/d/1SX6NBoVAgQJ6U1MVXOaj8PK2l7WJ3RER9xtqwdhxkhw/edit?usp=sharing"",""สระแก้ว!J267"")"),0)</f>
        <v>0</v>
      </c>
      <c r="P71" s="306">
        <f ca="1">IFERROR(__xludf.DUMMYFUNCTION("IMPORTRANGE(""https://docs.google.com/spreadsheets/d/1C3CXT74ZlgGe6_JY_1olB1XN4rF0dxEuIIF-xsYjHgg/edit?usp=sharing"",""งบกองทุน!M75"")"),0)</f>
        <v>0</v>
      </c>
      <c r="Q71" s="306">
        <v>0</v>
      </c>
      <c r="R71" s="307">
        <f t="shared" ca="1" si="7"/>
        <v>0</v>
      </c>
      <c r="S71" s="308">
        <f t="shared" ca="1" si="71"/>
        <v>0</v>
      </c>
      <c r="T71" s="306">
        <f t="shared" ca="1" si="52"/>
        <v>0</v>
      </c>
      <c r="U71" s="309">
        <f t="shared" ca="1" si="9"/>
        <v>0</v>
      </c>
      <c r="V71" s="308">
        <f ca="1">IFERROR(__xludf.DUMMYFUNCTION("IMPORTRANGE(""https://docs.google.com/spreadsheets/d/1C3CXT74ZlgGe6_JY_1olB1XN4rF0dxEuIIF-xsYjHgg/edit?usp=sharing"",""งบกองทุน!O75"")"),0)</f>
        <v>0</v>
      </c>
      <c r="W71" s="306">
        <f ca="1">IFERROR(__xludf.DUMMYFUNCTION("IMPORTRANGE(""https://docs.google.com/spreadsheets/d/1SX6NBoVAgQJ6U1MVXOaj8PK2l7WJ3RER9xtqwdhxkhw/edit?usp=sharing"",""สระแก้ว!J271"")"),0)</f>
        <v>0</v>
      </c>
      <c r="X71" s="309">
        <f t="shared" ca="1" si="11"/>
        <v>0</v>
      </c>
      <c r="Y71" s="308">
        <f ca="1">IFERROR(__xludf.DUMMYFUNCTION("IMPORTRANGE(""https://docs.google.com/spreadsheets/d/1C3CXT74ZlgGe6_JY_1olB1XN4rF0dxEuIIF-xsYjHgg/edit?usp=sharing"",""งบกองทุน!P75"")"),0)</f>
        <v>0</v>
      </c>
      <c r="Z71" s="306">
        <f ca="1">IFERROR(__xludf.DUMMYFUNCTION("IMPORTRANGE(""https://docs.google.com/spreadsheets/d/1SX6NBoVAgQJ6U1MVXOaj8PK2l7WJ3RER9xtqwdhxkhw/edit?usp=sharing"",""สระแก้ว!J272"")"),0)</f>
        <v>0</v>
      </c>
      <c r="AA71" s="309">
        <f t="shared" ca="1" si="13"/>
        <v>0</v>
      </c>
      <c r="AB71" s="302"/>
    </row>
    <row r="72" spans="1:28" ht="21" customHeight="1">
      <c r="A72" s="303">
        <v>18</v>
      </c>
      <c r="B72" s="304" t="s">
        <v>96</v>
      </c>
      <c r="C72" s="305">
        <f t="shared" ca="1" si="69"/>
        <v>93120</v>
      </c>
      <c r="D72" s="306">
        <f ca="1">IFERROR(__xludf.DUMMYFUNCTION("IMPORTRANGE(""https://docs.google.com/spreadsheets/d/1C3CXT74ZlgGe6_JY_1olB1XN4rF0dxEuIIF-xsYjHgg/edit?usp=sharing"",""งบกองทุน!D76"")"),0)</f>
        <v>0</v>
      </c>
      <c r="E72" s="306">
        <f ca="1">IFERROR(__xludf.DUMMYFUNCTION("IMPORTRANGE(""https://docs.google.com/spreadsheets/d/1C3CXT74ZlgGe6_JY_1olB1XN4rF0dxEuIIF-xsYjHgg/edit?usp=sharing"",""งบกองทุน!E76"")"),93120)</f>
        <v>93120</v>
      </c>
      <c r="F72" s="307">
        <f ca="1">IFERROR(__xludf.DUMMYFUNCTION("IMPORTRANGE(""https://docs.google.com/spreadsheets/d/1SX6NBoVAgQJ6U1MVXOaj8PK2l7WJ3RER9xtqwdhxkhw/edit?usp=sharing"",""สระบุรี!M244"")"),25880)</f>
        <v>25880</v>
      </c>
      <c r="G72" s="307">
        <f t="shared" ca="1" si="1"/>
        <v>27.79209621993127</v>
      </c>
      <c r="H72" s="306">
        <f ca="1">IFERROR(__xludf.DUMMYFUNCTION("IMPORTRANGE(""https://docs.google.com/spreadsheets/d/1C3CXT74ZlgGe6_JY_1olB1XN4rF0dxEuIIF-xsYjHgg/edit?usp=sharing"",""งบกองทุน!F76"")"),0)</f>
        <v>0</v>
      </c>
      <c r="I72" s="307">
        <v>0</v>
      </c>
      <c r="J72" s="307">
        <f t="shared" ca="1" si="3"/>
        <v>0</v>
      </c>
      <c r="K72" s="308">
        <f ca="1">IFERROR(__xludf.DUMMYFUNCTION("IMPORTRANGE(""https://docs.google.com/spreadsheets/d/1C3CXT74ZlgGe6_JY_1olB1XN4rF0dxEuIIF-xsYjHgg/edit?usp=sharing"",""งบกองทุน!H76"")"),20)</f>
        <v>20</v>
      </c>
      <c r="L72" s="306">
        <f t="shared" ca="1" si="70"/>
        <v>20</v>
      </c>
      <c r="M72" s="307">
        <f t="shared" ca="1" si="5"/>
        <v>100</v>
      </c>
      <c r="N72" s="306">
        <f ca="1">IFERROR(__xludf.DUMMYFUNCTION("IMPORTRANGE(""https://docs.google.com/spreadsheets/d/1SX6NBoVAgQJ6U1MVXOaj8PK2l7WJ3RER9xtqwdhxkhw/edit?usp=sharing"",""สระบุรี!J265"")"),20)</f>
        <v>20</v>
      </c>
      <c r="O72" s="306">
        <f ca="1">IFERROR(__xludf.DUMMYFUNCTION("IMPORTRANGE(""https://docs.google.com/spreadsheets/d/1SX6NBoVAgQJ6U1MVXOaj8PK2l7WJ3RER9xtqwdhxkhw/edit?usp=sharing"",""สระบุรี!J267"")"),20)</f>
        <v>20</v>
      </c>
      <c r="P72" s="306">
        <f ca="1">IFERROR(__xludf.DUMMYFUNCTION("IMPORTRANGE(""https://docs.google.com/spreadsheets/d/1C3CXT74ZlgGe6_JY_1olB1XN4rF0dxEuIIF-xsYjHgg/edit?usp=sharing"",""งบกองทุน!M76"")"),0)</f>
        <v>0</v>
      </c>
      <c r="Q72" s="306">
        <v>0</v>
      </c>
      <c r="R72" s="307">
        <f t="shared" ca="1" si="7"/>
        <v>0</v>
      </c>
      <c r="S72" s="308">
        <f t="shared" ca="1" si="71"/>
        <v>60</v>
      </c>
      <c r="T72" s="306">
        <f t="shared" ca="1" si="52"/>
        <v>0</v>
      </c>
      <c r="U72" s="309">
        <f t="shared" ca="1" si="9"/>
        <v>0</v>
      </c>
      <c r="V72" s="308">
        <f ca="1">IFERROR(__xludf.DUMMYFUNCTION("IMPORTRANGE(""https://docs.google.com/spreadsheets/d/1C3CXT74ZlgGe6_JY_1olB1XN4rF0dxEuIIF-xsYjHgg/edit?usp=sharing"",""งบกองทุน!O76"")"),0)</f>
        <v>0</v>
      </c>
      <c r="W72" s="306">
        <f ca="1">IFERROR(__xludf.DUMMYFUNCTION("IMPORTRANGE(""https://docs.google.com/spreadsheets/d/1SX6NBoVAgQJ6U1MVXOaj8PK2l7WJ3RER9xtqwdhxkhw/edit?usp=sharing"",""สระบุรี!J271"")"),0)</f>
        <v>0</v>
      </c>
      <c r="X72" s="309">
        <f t="shared" ca="1" si="11"/>
        <v>0</v>
      </c>
      <c r="Y72" s="308">
        <f ca="1">IFERROR(__xludf.DUMMYFUNCTION("IMPORTRANGE(""https://docs.google.com/spreadsheets/d/1C3CXT74ZlgGe6_JY_1olB1XN4rF0dxEuIIF-xsYjHgg/edit?usp=sharing"",""งบกองทุน!P76"")"),60)</f>
        <v>60</v>
      </c>
      <c r="Z72" s="306">
        <f ca="1">IFERROR(__xludf.DUMMYFUNCTION("IMPORTRANGE(""https://docs.google.com/spreadsheets/d/1SX6NBoVAgQJ6U1MVXOaj8PK2l7WJ3RER9xtqwdhxkhw/edit?usp=sharing"",""สระบุรี!J272"")"),0)</f>
        <v>0</v>
      </c>
      <c r="AA72" s="309">
        <f t="shared" ca="1" si="13"/>
        <v>0</v>
      </c>
      <c r="AB72" s="302"/>
    </row>
    <row r="73" spans="1:28" ht="21" customHeight="1">
      <c r="A73" s="303">
        <v>19</v>
      </c>
      <c r="B73" s="304" t="s">
        <v>97</v>
      </c>
      <c r="C73" s="305">
        <f t="shared" ca="1" si="69"/>
        <v>0</v>
      </c>
      <c r="D73" s="306">
        <f ca="1">IFERROR(__xludf.DUMMYFUNCTION("IMPORTRANGE(""https://docs.google.com/spreadsheets/d/1C3CXT74ZlgGe6_JY_1olB1XN4rF0dxEuIIF-xsYjHgg/edit?usp=sharing"",""งบกองทุน!D77"")"),0)</f>
        <v>0</v>
      </c>
      <c r="E73" s="306">
        <f ca="1">IFERROR(__xludf.DUMMYFUNCTION("IMPORTRANGE(""https://docs.google.com/spreadsheets/d/1C3CXT74ZlgGe6_JY_1olB1XN4rF0dxEuIIF-xsYjHgg/edit?usp=sharing"",""งบกองทุน!E77"")"),0)</f>
        <v>0</v>
      </c>
      <c r="F73" s="307">
        <f ca="1">IFERROR(__xludf.DUMMYFUNCTION("IMPORTRANGE(""https://docs.google.com/spreadsheets/d/1SX6NBoVAgQJ6U1MVXOaj8PK2l7WJ3RER9xtqwdhxkhw/edit?usp=sharing"",""สิงห์บุรี!M244"")"),0)</f>
        <v>0</v>
      </c>
      <c r="G73" s="307">
        <f t="shared" ca="1" si="1"/>
        <v>0</v>
      </c>
      <c r="H73" s="306">
        <f ca="1">IFERROR(__xludf.DUMMYFUNCTION("IMPORTRANGE(""https://docs.google.com/spreadsheets/d/1C3CXT74ZlgGe6_JY_1olB1XN4rF0dxEuIIF-xsYjHgg/edit?usp=sharing"",""งบกองทุน!F77"")"),0)</f>
        <v>0</v>
      </c>
      <c r="I73" s="307">
        <v>0</v>
      </c>
      <c r="J73" s="307">
        <f t="shared" ca="1" si="3"/>
        <v>0</v>
      </c>
      <c r="K73" s="308">
        <f ca="1">IFERROR(__xludf.DUMMYFUNCTION("IMPORTRANGE(""https://docs.google.com/spreadsheets/d/1C3CXT74ZlgGe6_JY_1olB1XN4rF0dxEuIIF-xsYjHgg/edit?usp=sharing"",""งบกองทุน!H77"")"),0)</f>
        <v>0</v>
      </c>
      <c r="L73" s="306">
        <f t="shared" ca="1" si="70"/>
        <v>0</v>
      </c>
      <c r="M73" s="307">
        <f t="shared" ca="1" si="5"/>
        <v>0</v>
      </c>
      <c r="N73" s="306">
        <f ca="1">IFERROR(__xludf.DUMMYFUNCTION("IMPORTRANGE(""https://docs.google.com/spreadsheets/d/1SX6NBoVAgQJ6U1MVXOaj8PK2l7WJ3RER9xtqwdhxkhw/edit?usp=sharing"",""สิงห์บุรี!J265"")"),0)</f>
        <v>0</v>
      </c>
      <c r="O73" s="306">
        <f ca="1">IFERROR(__xludf.DUMMYFUNCTION("IMPORTRANGE(""https://docs.google.com/spreadsheets/d/1SX6NBoVAgQJ6U1MVXOaj8PK2l7WJ3RER9xtqwdhxkhw/edit?usp=sharing"",""สิงห์บุรี!J267"")"),0)</f>
        <v>0</v>
      </c>
      <c r="P73" s="306">
        <f ca="1">IFERROR(__xludf.DUMMYFUNCTION("IMPORTRANGE(""https://docs.google.com/spreadsheets/d/1C3CXT74ZlgGe6_JY_1olB1XN4rF0dxEuIIF-xsYjHgg/edit?usp=sharing"",""งบกองทุน!M77"")"),0)</f>
        <v>0</v>
      </c>
      <c r="Q73" s="306">
        <v>0</v>
      </c>
      <c r="R73" s="307">
        <f t="shared" ca="1" si="7"/>
        <v>0</v>
      </c>
      <c r="S73" s="308">
        <f t="shared" ca="1" si="71"/>
        <v>0</v>
      </c>
      <c r="T73" s="306">
        <f t="shared" ca="1" si="52"/>
        <v>0</v>
      </c>
      <c r="U73" s="309">
        <f t="shared" ca="1" si="9"/>
        <v>0</v>
      </c>
      <c r="V73" s="308">
        <f ca="1">IFERROR(__xludf.DUMMYFUNCTION("IMPORTRANGE(""https://docs.google.com/spreadsheets/d/1C3CXT74ZlgGe6_JY_1olB1XN4rF0dxEuIIF-xsYjHgg/edit?usp=sharing"",""งบกองทุน!O77"")"),0)</f>
        <v>0</v>
      </c>
      <c r="W73" s="306">
        <f ca="1">IFERROR(__xludf.DUMMYFUNCTION("IMPORTRANGE(""https://docs.google.com/spreadsheets/d/1SX6NBoVAgQJ6U1MVXOaj8PK2l7WJ3RER9xtqwdhxkhw/edit?usp=sharing"",""สิงห์บุรี!J271"")"),0)</f>
        <v>0</v>
      </c>
      <c r="X73" s="309">
        <f t="shared" ca="1" si="11"/>
        <v>0</v>
      </c>
      <c r="Y73" s="308">
        <f ca="1">IFERROR(__xludf.DUMMYFUNCTION("IMPORTRANGE(""https://docs.google.com/spreadsheets/d/1C3CXT74ZlgGe6_JY_1olB1XN4rF0dxEuIIF-xsYjHgg/edit?usp=sharing"",""งบกองทุน!P77"")"),0)</f>
        <v>0</v>
      </c>
      <c r="Z73" s="306">
        <f ca="1">IFERROR(__xludf.DUMMYFUNCTION("IMPORTRANGE(""https://docs.google.com/spreadsheets/d/1SX6NBoVAgQJ6U1MVXOaj8PK2l7WJ3RER9xtqwdhxkhw/edit?usp=sharing"",""สิงห์บุรี!J272"")"),0)</f>
        <v>0</v>
      </c>
      <c r="AA73" s="309">
        <f t="shared" ca="1" si="13"/>
        <v>0</v>
      </c>
      <c r="AB73" s="302"/>
    </row>
    <row r="74" spans="1:28" ht="21" customHeight="1">
      <c r="A74" s="303">
        <v>20</v>
      </c>
      <c r="B74" s="304" t="s">
        <v>98</v>
      </c>
      <c r="C74" s="305">
        <f t="shared" ca="1" si="69"/>
        <v>295840</v>
      </c>
      <c r="D74" s="306">
        <f ca="1">IFERROR(__xludf.DUMMYFUNCTION("IMPORTRANGE(""https://docs.google.com/spreadsheets/d/1C3CXT74ZlgGe6_JY_1olB1XN4rF0dxEuIIF-xsYjHgg/edit?usp=sharing"",""งบกองทุน!D78"")"),0)</f>
        <v>0</v>
      </c>
      <c r="E74" s="306">
        <f ca="1">IFERROR(__xludf.DUMMYFUNCTION("IMPORTRANGE(""https://docs.google.com/spreadsheets/d/1C3CXT74ZlgGe6_JY_1olB1XN4rF0dxEuIIF-xsYjHgg/edit?usp=sharing"",""งบกองทุน!E78"")"),295840)</f>
        <v>295840</v>
      </c>
      <c r="F74" s="307">
        <f ca="1">IFERROR(__xludf.DUMMYFUNCTION("IMPORTRANGE(""https://docs.google.com/spreadsheets/d/1SX6NBoVAgQJ6U1MVXOaj8PK2l7WJ3RER9xtqwdhxkhw/edit?usp=sharing"",""สุพรรณบุรี!M244"")"),183420)</f>
        <v>183420</v>
      </c>
      <c r="G74" s="307">
        <f t="shared" ca="1" si="1"/>
        <v>61.999729583558683</v>
      </c>
      <c r="H74" s="306">
        <f ca="1">IFERROR(__xludf.DUMMYFUNCTION("IMPORTRANGE(""https://docs.google.com/spreadsheets/d/1C3CXT74ZlgGe6_JY_1olB1XN4rF0dxEuIIF-xsYjHgg/edit?usp=sharing"",""งบกองทุน!F78"")"),0)</f>
        <v>0</v>
      </c>
      <c r="I74" s="307">
        <v>0</v>
      </c>
      <c r="J74" s="307">
        <f t="shared" ca="1" si="3"/>
        <v>0</v>
      </c>
      <c r="K74" s="308">
        <f ca="1">IFERROR(__xludf.DUMMYFUNCTION("IMPORTRANGE(""https://docs.google.com/spreadsheets/d/1C3CXT74ZlgGe6_JY_1olB1XN4rF0dxEuIIF-xsYjHgg/edit?usp=sharing"",""งบกองทุน!H78"")"),42)</f>
        <v>42</v>
      </c>
      <c r="L74" s="306">
        <f t="shared" ca="1" si="70"/>
        <v>42</v>
      </c>
      <c r="M74" s="307">
        <f t="shared" ca="1" si="5"/>
        <v>100</v>
      </c>
      <c r="N74" s="306">
        <f ca="1">IFERROR(__xludf.DUMMYFUNCTION("IMPORTRANGE(""https://docs.google.com/spreadsheets/d/1SX6NBoVAgQJ6U1MVXOaj8PK2l7WJ3RER9xtqwdhxkhw/edit?usp=sharing"",""สุพรรณบุรี!J265"")"),42)</f>
        <v>42</v>
      </c>
      <c r="O74" s="306">
        <f ca="1">IFERROR(__xludf.DUMMYFUNCTION("IMPORTRANGE(""https://docs.google.com/spreadsheets/d/1SX6NBoVAgQJ6U1MVXOaj8PK2l7WJ3RER9xtqwdhxkhw/edit?usp=sharing"",""สุพรรณบุรี!J267"")"),42)</f>
        <v>42</v>
      </c>
      <c r="P74" s="306">
        <f ca="1">IFERROR(__xludf.DUMMYFUNCTION("IMPORTRANGE(""https://docs.google.com/spreadsheets/d/1C3CXT74ZlgGe6_JY_1olB1XN4rF0dxEuIIF-xsYjHgg/edit?usp=sharing"",""งบกองทุน!M78"")"),0)</f>
        <v>0</v>
      </c>
      <c r="Q74" s="306">
        <v>0</v>
      </c>
      <c r="R74" s="307">
        <f t="shared" ca="1" si="7"/>
        <v>0</v>
      </c>
      <c r="S74" s="308">
        <f t="shared" ca="1" si="71"/>
        <v>63</v>
      </c>
      <c r="T74" s="306">
        <f t="shared" ca="1" si="52"/>
        <v>63</v>
      </c>
      <c r="U74" s="309">
        <f t="shared" ca="1" si="9"/>
        <v>100</v>
      </c>
      <c r="V74" s="308">
        <f ca="1">IFERROR(__xludf.DUMMYFUNCTION("IMPORTRANGE(""https://docs.google.com/spreadsheets/d/1C3CXT74ZlgGe6_JY_1olB1XN4rF0dxEuIIF-xsYjHgg/edit?usp=sharing"",""งบกองทุน!O78"")"),20)</f>
        <v>20</v>
      </c>
      <c r="W74" s="306">
        <f ca="1">IFERROR(__xludf.DUMMYFUNCTION("IMPORTRANGE(""https://docs.google.com/spreadsheets/d/1SX6NBoVAgQJ6U1MVXOaj8PK2l7WJ3RER9xtqwdhxkhw/edit?usp=sharing"",""สุพรรณบุรี!J271"")"),20)</f>
        <v>20</v>
      </c>
      <c r="X74" s="309">
        <f t="shared" ca="1" si="11"/>
        <v>100</v>
      </c>
      <c r="Y74" s="308">
        <f ca="1">IFERROR(__xludf.DUMMYFUNCTION("IMPORTRANGE(""https://docs.google.com/spreadsheets/d/1C3CXT74ZlgGe6_JY_1olB1XN4rF0dxEuIIF-xsYjHgg/edit?usp=sharing"",""งบกองทุน!P78"")"),43)</f>
        <v>43</v>
      </c>
      <c r="Z74" s="306">
        <f ca="1">IFERROR(__xludf.DUMMYFUNCTION("IMPORTRANGE(""https://docs.google.com/spreadsheets/d/1SX6NBoVAgQJ6U1MVXOaj8PK2l7WJ3RER9xtqwdhxkhw/edit?usp=sharing"",""สุพรรณบุรี!J272"")"),43)</f>
        <v>43</v>
      </c>
      <c r="AA74" s="309">
        <f t="shared" ca="1" si="13"/>
        <v>100</v>
      </c>
      <c r="AB74" s="302"/>
    </row>
    <row r="75" spans="1:28" ht="21" customHeight="1">
      <c r="A75" s="310">
        <v>21</v>
      </c>
      <c r="B75" s="311" t="s">
        <v>99</v>
      </c>
      <c r="C75" s="312">
        <f t="shared" ca="1" si="69"/>
        <v>69720</v>
      </c>
      <c r="D75" s="306">
        <f ca="1">IFERROR(__xludf.DUMMYFUNCTION("IMPORTRANGE(""https://docs.google.com/spreadsheets/d/1C3CXT74ZlgGe6_JY_1olB1XN4rF0dxEuIIF-xsYjHgg/edit?usp=sharing"",""งบกองทุน!D79"")"),0)</f>
        <v>0</v>
      </c>
      <c r="E75" s="313">
        <f ca="1">IFERROR(__xludf.DUMMYFUNCTION("IMPORTRANGE(""https://docs.google.com/spreadsheets/d/1C3CXT74ZlgGe6_JY_1olB1XN4rF0dxEuIIF-xsYjHgg/edit?usp=sharing"",""งบกองทุน!E79"")"),69720)</f>
        <v>69720</v>
      </c>
      <c r="F75" s="314">
        <f ca="1">IFERROR(__xludf.DUMMYFUNCTION("IMPORTRANGE(""https://docs.google.com/spreadsheets/d/1SX6NBoVAgQJ6U1MVXOaj8PK2l7WJ3RER9xtqwdhxkhw/edit?usp=sharing"",""อ่างทอง!M244"")"),8480)</f>
        <v>8480</v>
      </c>
      <c r="G75" s="314">
        <f t="shared" ca="1" si="1"/>
        <v>12.162937464142283</v>
      </c>
      <c r="H75" s="313">
        <f ca="1">IFERROR(__xludf.DUMMYFUNCTION("IMPORTRANGE(""https://docs.google.com/spreadsheets/d/1C3CXT74ZlgGe6_JY_1olB1XN4rF0dxEuIIF-xsYjHgg/edit?usp=sharing"",""งบกองทุน!F79"")"),0)</f>
        <v>0</v>
      </c>
      <c r="I75" s="314">
        <v>0</v>
      </c>
      <c r="J75" s="314">
        <f t="shared" ca="1" si="3"/>
        <v>0</v>
      </c>
      <c r="K75" s="315">
        <f ca="1">IFERROR(__xludf.DUMMYFUNCTION("IMPORTRANGE(""https://docs.google.com/spreadsheets/d/1C3CXT74ZlgGe6_JY_1olB1XN4rF0dxEuIIF-xsYjHgg/edit?usp=sharing"",""งบกองทุน!H79"")"),10)</f>
        <v>10</v>
      </c>
      <c r="L75" s="313">
        <f t="shared" ca="1" si="70"/>
        <v>10</v>
      </c>
      <c r="M75" s="314">
        <f t="shared" ca="1" si="5"/>
        <v>100</v>
      </c>
      <c r="N75" s="313">
        <f ca="1">IFERROR(__xludf.DUMMYFUNCTION("IMPORTRANGE(""https://docs.google.com/spreadsheets/d/1SX6NBoVAgQJ6U1MVXOaj8PK2l7WJ3RER9xtqwdhxkhw/edit?usp=sharing"",""อ่างทอง!J265"")"),10)</f>
        <v>10</v>
      </c>
      <c r="O75" s="313">
        <f ca="1">IFERROR(__xludf.DUMMYFUNCTION("IMPORTRANGE(""https://docs.google.com/spreadsheets/d/1SX6NBoVAgQJ6U1MVXOaj8PK2l7WJ3RER9xtqwdhxkhw/edit?usp=sharing"",""อ่างทอง!J267"")"),0)</f>
        <v>0</v>
      </c>
      <c r="P75" s="313">
        <f ca="1">IFERROR(__xludf.DUMMYFUNCTION("IMPORTRANGE(""https://docs.google.com/spreadsheets/d/1C3CXT74ZlgGe6_JY_1olB1XN4rF0dxEuIIF-xsYjHgg/edit?usp=sharing"",""งบกองทุน!M79"")"),0)</f>
        <v>0</v>
      </c>
      <c r="Q75" s="313">
        <v>0</v>
      </c>
      <c r="R75" s="314">
        <f t="shared" ca="1" si="7"/>
        <v>0</v>
      </c>
      <c r="S75" s="315">
        <f t="shared" ca="1" si="71"/>
        <v>30</v>
      </c>
      <c r="T75" s="313">
        <f t="shared" ca="1" si="52"/>
        <v>0</v>
      </c>
      <c r="U75" s="316">
        <f t="shared" ca="1" si="9"/>
        <v>0</v>
      </c>
      <c r="V75" s="315">
        <f ca="1">IFERROR(__xludf.DUMMYFUNCTION("IMPORTRANGE(""https://docs.google.com/spreadsheets/d/1C3CXT74ZlgGe6_JY_1olB1XN4rF0dxEuIIF-xsYjHgg/edit?usp=sharing"",""งบกองทุน!O79"")"),30)</f>
        <v>30</v>
      </c>
      <c r="W75" s="313">
        <f ca="1">IFERROR(__xludf.DUMMYFUNCTION("IMPORTRANGE(""https://docs.google.com/spreadsheets/d/1SX6NBoVAgQJ6U1MVXOaj8PK2l7WJ3RER9xtqwdhxkhw/edit?usp=sharing"",""อ่างทอง!J271"")"),0)</f>
        <v>0</v>
      </c>
      <c r="X75" s="316">
        <f t="shared" ca="1" si="11"/>
        <v>0</v>
      </c>
      <c r="Y75" s="315">
        <f ca="1">IFERROR(__xludf.DUMMYFUNCTION("IMPORTRANGE(""https://docs.google.com/spreadsheets/d/1C3CXT74ZlgGe6_JY_1olB1XN4rF0dxEuIIF-xsYjHgg/edit?usp=sharing"",""งบกองทุน!P79"")"),0)</f>
        <v>0</v>
      </c>
      <c r="Z75" s="313">
        <f ca="1">IFERROR(__xludf.DUMMYFUNCTION("IMPORTRANGE(""https://docs.google.com/spreadsheets/d/1SX6NBoVAgQJ6U1MVXOaj8PK2l7WJ3RER9xtqwdhxkhw/edit?usp=sharing"",""อ่างทอง!J272"")"),0)</f>
        <v>0</v>
      </c>
      <c r="AA75" s="316">
        <f t="shared" ca="1" si="13"/>
        <v>0</v>
      </c>
      <c r="AB75" s="302"/>
    </row>
    <row r="76" spans="1:28" ht="21" customHeight="1">
      <c r="A76" s="802" t="s">
        <v>100</v>
      </c>
      <c r="B76" s="652"/>
      <c r="C76" s="317">
        <f t="shared" ref="C76:F76" ca="1" si="72">SUM(C77:C90)</f>
        <v>2192930</v>
      </c>
      <c r="D76" s="318">
        <f t="shared" ca="1" si="72"/>
        <v>0</v>
      </c>
      <c r="E76" s="318">
        <f t="shared" ca="1" si="72"/>
        <v>2192930</v>
      </c>
      <c r="F76" s="319">
        <f t="shared" ca="1" si="72"/>
        <v>1125565.1099999989</v>
      </c>
      <c r="G76" s="319">
        <f t="shared" ca="1" si="1"/>
        <v>51.326996757762402</v>
      </c>
      <c r="H76" s="318">
        <f t="shared" ref="H76:I76" ca="1" si="73">SUM(H77:H90)</f>
        <v>0</v>
      </c>
      <c r="I76" s="319">
        <f t="shared" si="73"/>
        <v>0</v>
      </c>
      <c r="J76" s="319">
        <f t="shared" ca="1" si="3"/>
        <v>0</v>
      </c>
      <c r="K76" s="318">
        <f t="shared" ref="K76:L76" ca="1" si="74">SUM(K77:K90)</f>
        <v>257</v>
      </c>
      <c r="L76" s="318">
        <f t="shared" ca="1" si="74"/>
        <v>257</v>
      </c>
      <c r="M76" s="319">
        <f t="shared" ca="1" si="5"/>
        <v>100</v>
      </c>
      <c r="N76" s="318">
        <f t="shared" ref="N76:Q76" ca="1" si="75">SUM(N77:N90)</f>
        <v>227</v>
      </c>
      <c r="O76" s="318">
        <f t="shared" ca="1" si="75"/>
        <v>232</v>
      </c>
      <c r="P76" s="318">
        <f t="shared" ca="1" si="75"/>
        <v>0</v>
      </c>
      <c r="Q76" s="318">
        <f t="shared" si="75"/>
        <v>0</v>
      </c>
      <c r="R76" s="319">
        <f t="shared" ca="1" si="7"/>
        <v>0</v>
      </c>
      <c r="S76" s="318">
        <f ca="1">SUM(S77:S90)</f>
        <v>793</v>
      </c>
      <c r="T76" s="318">
        <f t="shared" ca="1" si="52"/>
        <v>168</v>
      </c>
      <c r="U76" s="319">
        <f t="shared" ca="1" si="9"/>
        <v>21.185372005044137</v>
      </c>
      <c r="V76" s="318">
        <f t="shared" ref="V76:W76" ca="1" si="76">SUM(V77:V90)</f>
        <v>250</v>
      </c>
      <c r="W76" s="318">
        <f t="shared" ca="1" si="76"/>
        <v>60</v>
      </c>
      <c r="X76" s="319">
        <f t="shared" ca="1" si="11"/>
        <v>24</v>
      </c>
      <c r="Y76" s="318">
        <f t="shared" ref="Y76:Z76" ca="1" si="77">SUM(Y77:Y90)</f>
        <v>543</v>
      </c>
      <c r="Z76" s="318">
        <f t="shared" ca="1" si="77"/>
        <v>108</v>
      </c>
      <c r="AA76" s="319">
        <f t="shared" ca="1" si="13"/>
        <v>19.88950276243094</v>
      </c>
      <c r="AB76" s="302"/>
    </row>
    <row r="77" spans="1:28" ht="21" customHeight="1">
      <c r="A77" s="293">
        <v>1</v>
      </c>
      <c r="B77" s="294" t="s">
        <v>101</v>
      </c>
      <c r="C77" s="295">
        <f t="shared" ref="C77:C90" ca="1" si="78">+D77+E77</f>
        <v>0</v>
      </c>
      <c r="D77" s="296">
        <f ca="1">IFERROR(__xludf.DUMMYFUNCTION("IMPORTRANGE(""https://docs.google.com/spreadsheets/d/1C3CXT74ZlgGe6_JY_1olB1XN4rF0dxEuIIF-xsYjHgg/edit?usp=sharing"",""งบกองทุน!D81"")"),0)</f>
        <v>0</v>
      </c>
      <c r="E77" s="296">
        <f ca="1">IFERROR(__xludf.DUMMYFUNCTION("IMPORTRANGE(""https://docs.google.com/spreadsheets/d/1C3CXT74ZlgGe6_JY_1olB1XN4rF0dxEuIIF-xsYjHgg/edit?usp=sharing"",""งบกองทุน!E81"")"),0)</f>
        <v>0</v>
      </c>
      <c r="F77" s="297">
        <f ca="1">IFERROR(__xludf.DUMMYFUNCTION("IMPORTRANGE(""https://docs.google.com/spreadsheets/d/1IYY_tgx_IHuhSq3AJ5eI5OnqOPBNLWSHKh2a30DoXe8/edit?usp=sharing"",""กระบี่!M244"")"),0)</f>
        <v>0</v>
      </c>
      <c r="G77" s="297">
        <f t="shared" ca="1" si="1"/>
        <v>0</v>
      </c>
      <c r="H77" s="296">
        <f ca="1">IFERROR(__xludf.DUMMYFUNCTION("IMPORTRANGE(""https://docs.google.com/spreadsheets/d/1C3CXT74ZlgGe6_JY_1olB1XN4rF0dxEuIIF-xsYjHgg/edit?usp=sharing"",""งบกองทุน!F81"")"),0)</f>
        <v>0</v>
      </c>
      <c r="I77" s="297">
        <v>0</v>
      </c>
      <c r="J77" s="297">
        <f t="shared" ca="1" si="3"/>
        <v>0</v>
      </c>
      <c r="K77" s="299">
        <f ca="1">IFERROR(__xludf.DUMMYFUNCTION("IMPORTRANGE(""https://docs.google.com/spreadsheets/d/1C3CXT74ZlgGe6_JY_1olB1XN4rF0dxEuIIF-xsYjHgg/edit?usp=sharing"",""งบกองทุน!H81"")"),0)</f>
        <v>0</v>
      </c>
      <c r="L77" s="296">
        <f t="shared" ref="L77:L90" ca="1" si="79">IF(N77&gt;=K77,N77,IF(O77&gt;=K77,O77,IF(N77+O77&gt;=K77,N77+O77,0)))</f>
        <v>0</v>
      </c>
      <c r="M77" s="297">
        <f t="shared" ca="1" si="5"/>
        <v>0</v>
      </c>
      <c r="N77" s="296">
        <f ca="1">IFERROR(__xludf.DUMMYFUNCTION("IMPORTRANGE(""https://docs.google.com/spreadsheets/d/1IYY_tgx_IHuhSq3AJ5eI5OnqOPBNLWSHKh2a30DoXe8/edit?usp=sharing"",""กระบี่!J265"")"),0)</f>
        <v>0</v>
      </c>
      <c r="O77" s="296">
        <f ca="1">IFERROR(__xludf.DUMMYFUNCTION("IMPORTRANGE(""https://docs.google.com/spreadsheets/d/1IYY_tgx_IHuhSq3AJ5eI5OnqOPBNLWSHKh2a30DoXe8/edit?usp=sharing"",""กระบี่!J267"")"),0)</f>
        <v>0</v>
      </c>
      <c r="P77" s="296">
        <f ca="1">IFERROR(__xludf.DUMMYFUNCTION("IMPORTRANGE(""https://docs.google.com/spreadsheets/d/1C3CXT74ZlgGe6_JY_1olB1XN4rF0dxEuIIF-xsYjHgg/edit?usp=sharing"",""งบกองทุน!M81"")"),0)</f>
        <v>0</v>
      </c>
      <c r="Q77" s="296">
        <v>0</v>
      </c>
      <c r="R77" s="297">
        <f t="shared" ca="1" si="7"/>
        <v>0</v>
      </c>
      <c r="S77" s="299">
        <f t="shared" ref="S77:S90" ca="1" si="80">+V77+Y77</f>
        <v>0</v>
      </c>
      <c r="T77" s="296">
        <f t="shared" ca="1" si="52"/>
        <v>0</v>
      </c>
      <c r="U77" s="301">
        <f t="shared" ca="1" si="9"/>
        <v>0</v>
      </c>
      <c r="V77" s="299">
        <f ca="1">IFERROR(__xludf.DUMMYFUNCTION("IMPORTRANGE(""https://docs.google.com/spreadsheets/d/1C3CXT74ZlgGe6_JY_1olB1XN4rF0dxEuIIF-xsYjHgg/edit?usp=sharing"",""งบกองทุน!O81"")"),0)</f>
        <v>0</v>
      </c>
      <c r="W77" s="296">
        <f ca="1">IFERROR(__xludf.DUMMYFUNCTION("IMPORTRANGE(""https://docs.google.com/spreadsheets/d/1IYY_tgx_IHuhSq3AJ5eI5OnqOPBNLWSHKh2a30DoXe8/edit?usp=sharing"",""กระบี่!J271"")"),0)</f>
        <v>0</v>
      </c>
      <c r="X77" s="301">
        <f t="shared" ca="1" si="11"/>
        <v>0</v>
      </c>
      <c r="Y77" s="299">
        <f ca="1">IFERROR(__xludf.DUMMYFUNCTION("IMPORTRANGE(""https://docs.google.com/spreadsheets/d/1C3CXT74ZlgGe6_JY_1olB1XN4rF0dxEuIIF-xsYjHgg/edit?usp=sharing"",""งบกองทุน!P81"")"),0)</f>
        <v>0</v>
      </c>
      <c r="Z77" s="296">
        <f ca="1">IFERROR(__xludf.DUMMYFUNCTION("IMPORTRANGE(""https://docs.google.com/spreadsheets/d/1IYY_tgx_IHuhSq3AJ5eI5OnqOPBNLWSHKh2a30DoXe8/edit?usp=sharing"",""กระบี่!J272"")"),0)</f>
        <v>0</v>
      </c>
      <c r="AA77" s="301">
        <f t="shared" ca="1" si="13"/>
        <v>0</v>
      </c>
      <c r="AB77" s="302"/>
    </row>
    <row r="78" spans="1:28" ht="21" customHeight="1">
      <c r="A78" s="303">
        <v>2</v>
      </c>
      <c r="B78" s="304" t="s">
        <v>102</v>
      </c>
      <c r="C78" s="305">
        <f t="shared" ca="1" si="78"/>
        <v>369210</v>
      </c>
      <c r="D78" s="306">
        <f ca="1">IFERROR(__xludf.DUMMYFUNCTION("IMPORTRANGE(""https://docs.google.com/spreadsheets/d/1C3CXT74ZlgGe6_JY_1olB1XN4rF0dxEuIIF-xsYjHgg/edit?usp=sharing"",""งบกองทุน!D82"")"),0)</f>
        <v>0</v>
      </c>
      <c r="E78" s="306">
        <f ca="1">IFERROR(__xludf.DUMMYFUNCTION("IMPORTRANGE(""https://docs.google.com/spreadsheets/d/1C3CXT74ZlgGe6_JY_1olB1XN4rF0dxEuIIF-xsYjHgg/edit?usp=sharing"",""งบกองทุน!E82"")"),369210)</f>
        <v>369210</v>
      </c>
      <c r="F78" s="307">
        <f ca="1">IFERROR(__xludf.DUMMYFUNCTION("IMPORTRANGE(""https://docs.google.com/spreadsheets/d/1IYY_tgx_IHuhSq3AJ5eI5OnqOPBNLWSHKh2a30DoXe8/edit?usp=sharing"",""ชุมพร!M244"")"),237137)</f>
        <v>237137</v>
      </c>
      <c r="G78" s="307">
        <f t="shared" ca="1" si="1"/>
        <v>64.228217003873141</v>
      </c>
      <c r="H78" s="306">
        <f ca="1">IFERROR(__xludf.DUMMYFUNCTION("IMPORTRANGE(""https://docs.google.com/spreadsheets/d/1C3CXT74ZlgGe6_JY_1olB1XN4rF0dxEuIIF-xsYjHgg/edit?usp=sharing"",""งบกองทุน!F82"")"),0)</f>
        <v>0</v>
      </c>
      <c r="I78" s="307">
        <v>0</v>
      </c>
      <c r="J78" s="307">
        <f t="shared" ca="1" si="3"/>
        <v>0</v>
      </c>
      <c r="K78" s="308">
        <f ca="1">IFERROR(__xludf.DUMMYFUNCTION("IMPORTRANGE(""https://docs.google.com/spreadsheets/d/1C3CXT74ZlgGe6_JY_1olB1XN4rF0dxEuIIF-xsYjHgg/edit?usp=sharing"",""งบกองทุน!H82"")"),35)</f>
        <v>35</v>
      </c>
      <c r="L78" s="306">
        <f t="shared" ca="1" si="79"/>
        <v>35</v>
      </c>
      <c r="M78" s="307">
        <f t="shared" ca="1" si="5"/>
        <v>100</v>
      </c>
      <c r="N78" s="306">
        <f ca="1">IFERROR(__xludf.DUMMYFUNCTION("IMPORTRANGE(""https://docs.google.com/spreadsheets/d/1IYY_tgx_IHuhSq3AJ5eI5OnqOPBNLWSHKh2a30DoXe8/edit?usp=sharing"",""ชุมพร!J265"")"),35)</f>
        <v>35</v>
      </c>
      <c r="O78" s="306">
        <f ca="1">IFERROR(__xludf.DUMMYFUNCTION("IMPORTRANGE(""https://docs.google.com/spreadsheets/d/1IYY_tgx_IHuhSq3AJ5eI5OnqOPBNLWSHKh2a30DoXe8/edit?usp=sharing"",""ชุมพร!J267"")"),35)</f>
        <v>35</v>
      </c>
      <c r="P78" s="306">
        <f ca="1">IFERROR(__xludf.DUMMYFUNCTION("IMPORTRANGE(""https://docs.google.com/spreadsheets/d/1C3CXT74ZlgGe6_JY_1olB1XN4rF0dxEuIIF-xsYjHgg/edit?usp=sharing"",""งบกองทุน!M82"")"),0)</f>
        <v>0</v>
      </c>
      <c r="Q78" s="306">
        <v>0</v>
      </c>
      <c r="R78" s="307">
        <f t="shared" ca="1" si="7"/>
        <v>0</v>
      </c>
      <c r="S78" s="308">
        <f t="shared" ca="1" si="80"/>
        <v>175</v>
      </c>
      <c r="T78" s="306">
        <f t="shared" ca="1" si="52"/>
        <v>0</v>
      </c>
      <c r="U78" s="309">
        <f t="shared" ca="1" si="9"/>
        <v>0</v>
      </c>
      <c r="V78" s="308">
        <f ca="1">IFERROR(__xludf.DUMMYFUNCTION("IMPORTRANGE(""https://docs.google.com/spreadsheets/d/1C3CXT74ZlgGe6_JY_1olB1XN4rF0dxEuIIF-xsYjHgg/edit?usp=sharing"",""งบกองทุน!O82"")"),50)</f>
        <v>50</v>
      </c>
      <c r="W78" s="306">
        <f ca="1">IFERROR(__xludf.DUMMYFUNCTION("IMPORTRANGE(""https://docs.google.com/spreadsheets/d/1IYY_tgx_IHuhSq3AJ5eI5OnqOPBNLWSHKh2a30DoXe8/edit?usp=sharing"",""ชุมพร!J271"")"),0)</f>
        <v>0</v>
      </c>
      <c r="X78" s="309">
        <f t="shared" ca="1" si="11"/>
        <v>0</v>
      </c>
      <c r="Y78" s="308">
        <f ca="1">IFERROR(__xludf.DUMMYFUNCTION("IMPORTRANGE(""https://docs.google.com/spreadsheets/d/1C3CXT74ZlgGe6_JY_1olB1XN4rF0dxEuIIF-xsYjHgg/edit?usp=sharing"",""งบกองทุน!P82"")"),125)</f>
        <v>125</v>
      </c>
      <c r="Z78" s="306">
        <f ca="1">IFERROR(__xludf.DUMMYFUNCTION("IMPORTRANGE(""https://docs.google.com/spreadsheets/d/1IYY_tgx_IHuhSq3AJ5eI5OnqOPBNLWSHKh2a30DoXe8/edit?usp=sharing"",""ชุมพร!J272"")"),0)</f>
        <v>0</v>
      </c>
      <c r="AA78" s="309">
        <f t="shared" ca="1" si="13"/>
        <v>0</v>
      </c>
      <c r="AB78" s="302"/>
    </row>
    <row r="79" spans="1:28" ht="21" customHeight="1">
      <c r="A79" s="303">
        <v>3</v>
      </c>
      <c r="B79" s="304" t="s">
        <v>103</v>
      </c>
      <c r="C79" s="305">
        <f t="shared" ca="1" si="78"/>
        <v>274060</v>
      </c>
      <c r="D79" s="306">
        <f ca="1">IFERROR(__xludf.DUMMYFUNCTION("IMPORTRANGE(""https://docs.google.com/spreadsheets/d/1C3CXT74ZlgGe6_JY_1olB1XN4rF0dxEuIIF-xsYjHgg/edit?usp=sharing"",""งบกองทุน!D83"")"),0)</f>
        <v>0</v>
      </c>
      <c r="E79" s="306">
        <f ca="1">IFERROR(__xludf.DUMMYFUNCTION("IMPORTRANGE(""https://docs.google.com/spreadsheets/d/1C3CXT74ZlgGe6_JY_1olB1XN4rF0dxEuIIF-xsYjHgg/edit?usp=sharing"",""งบกองทุน!E83"")"),274060)</f>
        <v>274060</v>
      </c>
      <c r="F79" s="307">
        <f ca="1">IFERROR(__xludf.DUMMYFUNCTION("IMPORTRANGE(""https://docs.google.com/spreadsheets/d/1IYY_tgx_IHuhSq3AJ5eI5OnqOPBNLWSHKh2a30DoXe8/edit?usp=sharing"",""ตรัง!M244"")"),79899.38)</f>
        <v>79899.38</v>
      </c>
      <c r="G79" s="307">
        <f t="shared" ca="1" si="1"/>
        <v>29.153973582427206</v>
      </c>
      <c r="H79" s="306">
        <f ca="1">IFERROR(__xludf.DUMMYFUNCTION("IMPORTRANGE(""https://docs.google.com/spreadsheets/d/1C3CXT74ZlgGe6_JY_1olB1XN4rF0dxEuIIF-xsYjHgg/edit?usp=sharing"",""งบกองทุน!F83"")"),0)</f>
        <v>0</v>
      </c>
      <c r="I79" s="307">
        <v>0</v>
      </c>
      <c r="J79" s="307">
        <f t="shared" ca="1" si="3"/>
        <v>0</v>
      </c>
      <c r="K79" s="308">
        <f ca="1">IFERROR(__xludf.DUMMYFUNCTION("IMPORTRANGE(""https://docs.google.com/spreadsheets/d/1C3CXT74ZlgGe6_JY_1olB1XN4rF0dxEuIIF-xsYjHgg/edit?usp=sharing"",""งบกองทุน!H83"")"),25)</f>
        <v>25</v>
      </c>
      <c r="L79" s="306">
        <f t="shared" ca="1" si="79"/>
        <v>25</v>
      </c>
      <c r="M79" s="307">
        <f t="shared" ca="1" si="5"/>
        <v>100</v>
      </c>
      <c r="N79" s="306">
        <f ca="1">IFERROR(__xludf.DUMMYFUNCTION("IMPORTRANGE(""https://docs.google.com/spreadsheets/d/1IYY_tgx_IHuhSq3AJ5eI5OnqOPBNLWSHKh2a30DoXe8/edit?usp=sharing"",""ตรัง!J265"")"),25)</f>
        <v>25</v>
      </c>
      <c r="O79" s="306">
        <f ca="1">IFERROR(__xludf.DUMMYFUNCTION("IMPORTRANGE(""https://docs.google.com/spreadsheets/d/1IYY_tgx_IHuhSq3AJ5eI5OnqOPBNLWSHKh2a30DoXe8/edit?usp=sharing"",""ตรัง!J267"")"),25)</f>
        <v>25</v>
      </c>
      <c r="P79" s="306">
        <f ca="1">IFERROR(__xludf.DUMMYFUNCTION("IMPORTRANGE(""https://docs.google.com/spreadsheets/d/1C3CXT74ZlgGe6_JY_1olB1XN4rF0dxEuIIF-xsYjHgg/edit?usp=sharing"",""งบกองทุน!M83"")"),0)</f>
        <v>0</v>
      </c>
      <c r="Q79" s="306">
        <v>0</v>
      </c>
      <c r="R79" s="307">
        <f t="shared" ca="1" si="7"/>
        <v>0</v>
      </c>
      <c r="S79" s="308">
        <f t="shared" ca="1" si="80"/>
        <v>70</v>
      </c>
      <c r="T79" s="306">
        <f t="shared" ca="1" si="52"/>
        <v>0</v>
      </c>
      <c r="U79" s="309">
        <f t="shared" ca="1" si="9"/>
        <v>0</v>
      </c>
      <c r="V79" s="308">
        <f ca="1">IFERROR(__xludf.DUMMYFUNCTION("IMPORTRANGE(""https://docs.google.com/spreadsheets/d/1C3CXT74ZlgGe6_JY_1olB1XN4rF0dxEuIIF-xsYjHgg/edit?usp=sharing"",""งบกองทุน!O83"")"),0)</f>
        <v>0</v>
      </c>
      <c r="W79" s="306">
        <f ca="1">IFERROR(__xludf.DUMMYFUNCTION("IMPORTRANGE(""https://docs.google.com/spreadsheets/d/1IYY_tgx_IHuhSq3AJ5eI5OnqOPBNLWSHKh2a30DoXe8/edit?usp=sharing"",""ตรัง!J271"")"),0)</f>
        <v>0</v>
      </c>
      <c r="X79" s="309">
        <f t="shared" ca="1" si="11"/>
        <v>0</v>
      </c>
      <c r="Y79" s="308">
        <f ca="1">IFERROR(__xludf.DUMMYFUNCTION("IMPORTRANGE(""https://docs.google.com/spreadsheets/d/1C3CXT74ZlgGe6_JY_1olB1XN4rF0dxEuIIF-xsYjHgg/edit?usp=sharing"",""งบกองทุน!P83"")"),70)</f>
        <v>70</v>
      </c>
      <c r="Z79" s="306">
        <f ca="1">IFERROR(__xludf.DUMMYFUNCTION("IMPORTRANGE(""https://docs.google.com/spreadsheets/d/1IYY_tgx_IHuhSq3AJ5eI5OnqOPBNLWSHKh2a30DoXe8/edit?usp=sharing"",""ตรัง!J272"")"),0)</f>
        <v>0</v>
      </c>
      <c r="AA79" s="309">
        <f t="shared" ca="1" si="13"/>
        <v>0</v>
      </c>
      <c r="AB79" s="302"/>
    </row>
    <row r="80" spans="1:28" ht="21" customHeight="1">
      <c r="A80" s="303">
        <v>4</v>
      </c>
      <c r="B80" s="320" t="s">
        <v>104</v>
      </c>
      <c r="C80" s="305">
        <f t="shared" ca="1" si="78"/>
        <v>0</v>
      </c>
      <c r="D80" s="306">
        <f ca="1">IFERROR(__xludf.DUMMYFUNCTION("IMPORTRANGE(""https://docs.google.com/spreadsheets/d/1C3CXT74ZlgGe6_JY_1olB1XN4rF0dxEuIIF-xsYjHgg/edit?usp=sharing"",""งบกองทุน!D84"")"),0)</f>
        <v>0</v>
      </c>
      <c r="E80" s="306">
        <f ca="1">IFERROR(__xludf.DUMMYFUNCTION("IMPORTRANGE(""https://docs.google.com/spreadsheets/d/1C3CXT74ZlgGe6_JY_1olB1XN4rF0dxEuIIF-xsYjHgg/edit?usp=sharing"",""งบกองทุน!E84"")"),0)</f>
        <v>0</v>
      </c>
      <c r="F80" s="307">
        <f ca="1">IFERROR(__xludf.DUMMYFUNCTION("IMPORTRANGE(""https://docs.google.com/spreadsheets/d/1IYY_tgx_IHuhSq3AJ5eI5OnqOPBNLWSHKh2a30DoXe8/edit?usp=sharing"",""นครศรีธรรมราช!M244"")"),0)</f>
        <v>0</v>
      </c>
      <c r="G80" s="307">
        <f t="shared" ca="1" si="1"/>
        <v>0</v>
      </c>
      <c r="H80" s="306">
        <f ca="1">IFERROR(__xludf.DUMMYFUNCTION("IMPORTRANGE(""https://docs.google.com/spreadsheets/d/1C3CXT74ZlgGe6_JY_1olB1XN4rF0dxEuIIF-xsYjHgg/edit?usp=sharing"",""งบกองทุน!F84"")"),0)</f>
        <v>0</v>
      </c>
      <c r="I80" s="307">
        <v>0</v>
      </c>
      <c r="J80" s="307">
        <f t="shared" ca="1" si="3"/>
        <v>0</v>
      </c>
      <c r="K80" s="308">
        <f ca="1">IFERROR(__xludf.DUMMYFUNCTION("IMPORTRANGE(""https://docs.google.com/spreadsheets/d/1C3CXT74ZlgGe6_JY_1olB1XN4rF0dxEuIIF-xsYjHgg/edit?usp=sharing"",""งบกองทุน!H84"")"),0)</f>
        <v>0</v>
      </c>
      <c r="L80" s="306">
        <f t="shared" ca="1" si="79"/>
        <v>0</v>
      </c>
      <c r="M80" s="307">
        <f t="shared" ca="1" si="5"/>
        <v>0</v>
      </c>
      <c r="N80" s="306">
        <f ca="1">IFERROR(__xludf.DUMMYFUNCTION("IMPORTRANGE(""https://docs.google.com/spreadsheets/d/1IYY_tgx_IHuhSq3AJ5eI5OnqOPBNLWSHKh2a30DoXe8/edit?usp=sharing"",""นครศรีธรรมราช!J265"")"),0)</f>
        <v>0</v>
      </c>
      <c r="O80" s="306">
        <f ca="1">IFERROR(__xludf.DUMMYFUNCTION("IMPORTRANGE(""https://docs.google.com/spreadsheets/d/1IYY_tgx_IHuhSq3AJ5eI5OnqOPBNLWSHKh2a30DoXe8/edit?usp=sharing"",""นครศรีธรรมราช!J267"")"),0)</f>
        <v>0</v>
      </c>
      <c r="P80" s="306">
        <f ca="1">IFERROR(__xludf.DUMMYFUNCTION("IMPORTRANGE(""https://docs.google.com/spreadsheets/d/1C3CXT74ZlgGe6_JY_1olB1XN4rF0dxEuIIF-xsYjHgg/edit?usp=sharing"",""งบกองทุน!M84"")"),0)</f>
        <v>0</v>
      </c>
      <c r="Q80" s="306">
        <v>0</v>
      </c>
      <c r="R80" s="307">
        <f t="shared" ca="1" si="7"/>
        <v>0</v>
      </c>
      <c r="S80" s="308">
        <f t="shared" ca="1" si="80"/>
        <v>0</v>
      </c>
      <c r="T80" s="306">
        <f t="shared" ca="1" si="52"/>
        <v>0</v>
      </c>
      <c r="U80" s="309">
        <f t="shared" ca="1" si="9"/>
        <v>0</v>
      </c>
      <c r="V80" s="308">
        <f ca="1">IFERROR(__xludf.DUMMYFUNCTION("IMPORTRANGE(""https://docs.google.com/spreadsheets/d/1C3CXT74ZlgGe6_JY_1olB1XN4rF0dxEuIIF-xsYjHgg/edit?usp=sharing"",""งบกองทุน!O84"")"),0)</f>
        <v>0</v>
      </c>
      <c r="W80" s="306">
        <f ca="1">IFERROR(__xludf.DUMMYFUNCTION("IMPORTRANGE(""https://docs.google.com/spreadsheets/d/1IYY_tgx_IHuhSq3AJ5eI5OnqOPBNLWSHKh2a30DoXe8/edit?usp=sharing"",""นครศรีธรรมราช!J271"")"),0)</f>
        <v>0</v>
      </c>
      <c r="X80" s="309">
        <f t="shared" ca="1" si="11"/>
        <v>0</v>
      </c>
      <c r="Y80" s="308">
        <f ca="1">IFERROR(__xludf.DUMMYFUNCTION("IMPORTRANGE(""https://docs.google.com/spreadsheets/d/1C3CXT74ZlgGe6_JY_1olB1XN4rF0dxEuIIF-xsYjHgg/edit?usp=sharing"",""งบกองทุน!P84"")"),0)</f>
        <v>0</v>
      </c>
      <c r="Z80" s="306">
        <f ca="1">IFERROR(__xludf.DUMMYFUNCTION("IMPORTRANGE(""https://docs.google.com/spreadsheets/d/1IYY_tgx_IHuhSq3AJ5eI5OnqOPBNLWSHKh2a30DoXe8/edit?usp=sharing"",""นครศรีธรรมราช!J272"")"),0)</f>
        <v>0</v>
      </c>
      <c r="AA80" s="309">
        <f t="shared" ca="1" si="13"/>
        <v>0</v>
      </c>
      <c r="AB80" s="302"/>
    </row>
    <row r="81" spans="1:28" ht="21" customHeight="1">
      <c r="A81" s="303">
        <v>5</v>
      </c>
      <c r="B81" s="320" t="s">
        <v>105</v>
      </c>
      <c r="C81" s="305">
        <f t="shared" ca="1" si="78"/>
        <v>0</v>
      </c>
      <c r="D81" s="306">
        <f ca="1">IFERROR(__xludf.DUMMYFUNCTION("IMPORTRANGE(""https://docs.google.com/spreadsheets/d/1C3CXT74ZlgGe6_JY_1olB1XN4rF0dxEuIIF-xsYjHgg/edit?usp=sharing"",""งบกองทุน!D85"")"),0)</f>
        <v>0</v>
      </c>
      <c r="E81" s="306">
        <f ca="1">IFERROR(__xludf.DUMMYFUNCTION("IMPORTRANGE(""https://docs.google.com/spreadsheets/d/1C3CXT74ZlgGe6_JY_1olB1XN4rF0dxEuIIF-xsYjHgg/edit?usp=sharing"",""งบกองทุน!E85"")"),0)</f>
        <v>0</v>
      </c>
      <c r="F81" s="307">
        <f ca="1">IFERROR(__xludf.DUMMYFUNCTION("IMPORTRANGE(""https://docs.google.com/spreadsheets/d/1IYY_tgx_IHuhSq3AJ5eI5OnqOPBNLWSHKh2a30DoXe8/edit?usp=sharing"",""นราธิวาส!M244"")"),0)</f>
        <v>0</v>
      </c>
      <c r="G81" s="307">
        <f t="shared" ca="1" si="1"/>
        <v>0</v>
      </c>
      <c r="H81" s="306">
        <f ca="1">IFERROR(__xludf.DUMMYFUNCTION("IMPORTRANGE(""https://docs.google.com/spreadsheets/d/1C3CXT74ZlgGe6_JY_1olB1XN4rF0dxEuIIF-xsYjHgg/edit?usp=sharing"",""งบกองทุน!F85"")"),0)</f>
        <v>0</v>
      </c>
      <c r="I81" s="307">
        <v>0</v>
      </c>
      <c r="J81" s="307">
        <f t="shared" ca="1" si="3"/>
        <v>0</v>
      </c>
      <c r="K81" s="308">
        <f ca="1">IFERROR(__xludf.DUMMYFUNCTION("IMPORTRANGE(""https://docs.google.com/spreadsheets/d/1C3CXT74ZlgGe6_JY_1olB1XN4rF0dxEuIIF-xsYjHgg/edit?usp=sharing"",""งบกองทุน!H85"")"),0)</f>
        <v>0</v>
      </c>
      <c r="L81" s="306">
        <f t="shared" ca="1" si="79"/>
        <v>0</v>
      </c>
      <c r="M81" s="307">
        <f t="shared" ca="1" si="5"/>
        <v>0</v>
      </c>
      <c r="N81" s="306">
        <f ca="1">IFERROR(__xludf.DUMMYFUNCTION("IMPORTRANGE(""https://docs.google.com/spreadsheets/d/1IYY_tgx_IHuhSq3AJ5eI5OnqOPBNLWSHKh2a30DoXe8/edit?usp=sharing"",""นราธิวาส!J265"")"),0)</f>
        <v>0</v>
      </c>
      <c r="O81" s="306">
        <f ca="1">IFERROR(__xludf.DUMMYFUNCTION("IMPORTRANGE(""https://docs.google.com/spreadsheets/d/1IYY_tgx_IHuhSq3AJ5eI5OnqOPBNLWSHKh2a30DoXe8/edit?usp=sharing"",""นราธิวาส!J267"")"),0)</f>
        <v>0</v>
      </c>
      <c r="P81" s="306">
        <f ca="1">IFERROR(__xludf.DUMMYFUNCTION("IMPORTRANGE(""https://docs.google.com/spreadsheets/d/1C3CXT74ZlgGe6_JY_1olB1XN4rF0dxEuIIF-xsYjHgg/edit?usp=sharing"",""งบกองทุน!M85"")"),0)</f>
        <v>0</v>
      </c>
      <c r="Q81" s="306">
        <v>0</v>
      </c>
      <c r="R81" s="307">
        <f t="shared" ca="1" si="7"/>
        <v>0</v>
      </c>
      <c r="S81" s="308">
        <f t="shared" ca="1" si="80"/>
        <v>0</v>
      </c>
      <c r="T81" s="306">
        <f t="shared" ca="1" si="52"/>
        <v>0</v>
      </c>
      <c r="U81" s="309">
        <f t="shared" ca="1" si="9"/>
        <v>0</v>
      </c>
      <c r="V81" s="308">
        <f ca="1">IFERROR(__xludf.DUMMYFUNCTION("IMPORTRANGE(""https://docs.google.com/spreadsheets/d/1C3CXT74ZlgGe6_JY_1olB1XN4rF0dxEuIIF-xsYjHgg/edit?usp=sharing"",""งบกองทุน!O85"")"),0)</f>
        <v>0</v>
      </c>
      <c r="W81" s="306">
        <f ca="1">IFERROR(__xludf.DUMMYFUNCTION("IMPORTRANGE(""https://docs.google.com/spreadsheets/d/1IYY_tgx_IHuhSq3AJ5eI5OnqOPBNLWSHKh2a30DoXe8/edit?usp=sharing"",""นราธิวาส!J271"")"),0)</f>
        <v>0</v>
      </c>
      <c r="X81" s="309">
        <f t="shared" ca="1" si="11"/>
        <v>0</v>
      </c>
      <c r="Y81" s="308">
        <f ca="1">IFERROR(__xludf.DUMMYFUNCTION("IMPORTRANGE(""https://docs.google.com/spreadsheets/d/1C3CXT74ZlgGe6_JY_1olB1XN4rF0dxEuIIF-xsYjHgg/edit?usp=sharing"",""งบกองทุน!P85"")"),0)</f>
        <v>0</v>
      </c>
      <c r="Z81" s="306">
        <f ca="1">IFERROR(__xludf.DUMMYFUNCTION("IMPORTRANGE(""https://docs.google.com/spreadsheets/d/1IYY_tgx_IHuhSq3AJ5eI5OnqOPBNLWSHKh2a30DoXe8/edit?usp=sharing"",""นราธิวาส!J272"")"),0)</f>
        <v>0</v>
      </c>
      <c r="AA81" s="309">
        <f t="shared" ca="1" si="13"/>
        <v>0</v>
      </c>
      <c r="AB81" s="302"/>
    </row>
    <row r="82" spans="1:28" ht="21" customHeight="1">
      <c r="A82" s="303">
        <v>6</v>
      </c>
      <c r="B82" s="320" t="s">
        <v>106</v>
      </c>
      <c r="C82" s="305">
        <f t="shared" ca="1" si="78"/>
        <v>215720</v>
      </c>
      <c r="D82" s="306">
        <f ca="1">IFERROR(__xludf.DUMMYFUNCTION("IMPORTRANGE(""https://docs.google.com/spreadsheets/d/1C3CXT74ZlgGe6_JY_1olB1XN4rF0dxEuIIF-xsYjHgg/edit?usp=sharing"",""งบกองทุน!D86"")"),0)</f>
        <v>0</v>
      </c>
      <c r="E82" s="306">
        <f ca="1">IFERROR(__xludf.DUMMYFUNCTION("IMPORTRANGE(""https://docs.google.com/spreadsheets/d/1C3CXT74ZlgGe6_JY_1olB1XN4rF0dxEuIIF-xsYjHgg/edit?usp=sharing"",""งบกองทุน!E86"")"),215720)</f>
        <v>215720</v>
      </c>
      <c r="F82" s="307">
        <f ca="1">IFERROR(__xludf.DUMMYFUNCTION("IMPORTRANGE(""https://docs.google.com/spreadsheets/d/1IYY_tgx_IHuhSq3AJ5eI5OnqOPBNLWSHKh2a30DoXe8/edit?usp=sharing"",""ปัตตานี!M244"")"),211604.09)</f>
        <v>211604.09</v>
      </c>
      <c r="G82" s="307">
        <f t="shared" ca="1" si="1"/>
        <v>98.092012794363058</v>
      </c>
      <c r="H82" s="306">
        <f ca="1">IFERROR(__xludf.DUMMYFUNCTION("IMPORTRANGE(""https://docs.google.com/spreadsheets/d/1C3CXT74ZlgGe6_JY_1olB1XN4rF0dxEuIIF-xsYjHgg/edit?usp=sharing"",""งบกองทุน!F86"")"),0)</f>
        <v>0</v>
      </c>
      <c r="I82" s="307">
        <v>0</v>
      </c>
      <c r="J82" s="307">
        <f t="shared" ca="1" si="3"/>
        <v>0</v>
      </c>
      <c r="K82" s="308">
        <f ca="1">IFERROR(__xludf.DUMMYFUNCTION("IMPORTRANGE(""https://docs.google.com/spreadsheets/d/1C3CXT74ZlgGe6_JY_1olB1XN4rF0dxEuIIF-xsYjHgg/edit?usp=sharing"",""งบกองทุน!H86"")"),10)</f>
        <v>10</v>
      </c>
      <c r="L82" s="306">
        <f t="shared" ca="1" si="79"/>
        <v>10</v>
      </c>
      <c r="M82" s="307">
        <f t="shared" ca="1" si="5"/>
        <v>100</v>
      </c>
      <c r="N82" s="306">
        <f ca="1">IFERROR(__xludf.DUMMYFUNCTION("IMPORTRANGE(""https://docs.google.com/spreadsheets/d/1IYY_tgx_IHuhSq3AJ5eI5OnqOPBNLWSHKh2a30DoXe8/edit?usp=sharing"",""ปัตตานี!J265"")"),10)</f>
        <v>10</v>
      </c>
      <c r="O82" s="306">
        <f ca="1">IFERROR(__xludf.DUMMYFUNCTION("IMPORTRANGE(""https://docs.google.com/spreadsheets/d/1IYY_tgx_IHuhSq3AJ5eI5OnqOPBNLWSHKh2a30DoXe8/edit?usp=sharing"",""ปัตตานี!J267"")"),10)</f>
        <v>10</v>
      </c>
      <c r="P82" s="306">
        <f ca="1">IFERROR(__xludf.DUMMYFUNCTION("IMPORTRANGE(""https://docs.google.com/spreadsheets/d/1C3CXT74ZlgGe6_JY_1olB1XN4rF0dxEuIIF-xsYjHgg/edit?usp=sharing"",""งบกองทุน!M86"")"),0)</f>
        <v>0</v>
      </c>
      <c r="Q82" s="306">
        <v>0</v>
      </c>
      <c r="R82" s="307">
        <f t="shared" ca="1" si="7"/>
        <v>0</v>
      </c>
      <c r="S82" s="308">
        <f t="shared" ca="1" si="80"/>
        <v>20</v>
      </c>
      <c r="T82" s="306">
        <f t="shared" ca="1" si="52"/>
        <v>20</v>
      </c>
      <c r="U82" s="309">
        <f t="shared" ca="1" si="9"/>
        <v>100</v>
      </c>
      <c r="V82" s="308">
        <f ca="1">IFERROR(__xludf.DUMMYFUNCTION("IMPORTRANGE(""https://docs.google.com/spreadsheets/d/1C3CXT74ZlgGe6_JY_1olB1XN4rF0dxEuIIF-xsYjHgg/edit?usp=sharing"",""งบกองทุน!O86"")"),20)</f>
        <v>20</v>
      </c>
      <c r="W82" s="306">
        <f ca="1">IFERROR(__xludf.DUMMYFUNCTION("IMPORTRANGE(""https://docs.google.com/spreadsheets/d/1IYY_tgx_IHuhSq3AJ5eI5OnqOPBNLWSHKh2a30DoXe8/edit?usp=sharing"",""ปัตตานี!J271"")"),20)</f>
        <v>20</v>
      </c>
      <c r="X82" s="309">
        <f t="shared" ca="1" si="11"/>
        <v>100</v>
      </c>
      <c r="Y82" s="308">
        <f ca="1">IFERROR(__xludf.DUMMYFUNCTION("IMPORTRANGE(""https://docs.google.com/spreadsheets/d/1C3CXT74ZlgGe6_JY_1olB1XN4rF0dxEuIIF-xsYjHgg/edit?usp=sharing"",""งบกองทุน!P86"")"),0)</f>
        <v>0</v>
      </c>
      <c r="Z82" s="306">
        <f ca="1">IFERROR(__xludf.DUMMYFUNCTION("IMPORTRANGE(""https://docs.google.com/spreadsheets/d/1IYY_tgx_IHuhSq3AJ5eI5OnqOPBNLWSHKh2a30DoXe8/edit?usp=sharing"",""ปัตตานี!J272"")"),0)</f>
        <v>0</v>
      </c>
      <c r="AA82" s="309">
        <f t="shared" ca="1" si="13"/>
        <v>0</v>
      </c>
      <c r="AB82" s="302"/>
    </row>
    <row r="83" spans="1:28" ht="21" customHeight="1">
      <c r="A83" s="303">
        <v>7</v>
      </c>
      <c r="B83" s="304" t="s">
        <v>107</v>
      </c>
      <c r="C83" s="305">
        <f t="shared" ca="1" si="78"/>
        <v>72420</v>
      </c>
      <c r="D83" s="306">
        <f ca="1">IFERROR(__xludf.DUMMYFUNCTION("IMPORTRANGE(""https://docs.google.com/spreadsheets/d/1C3CXT74ZlgGe6_JY_1olB1XN4rF0dxEuIIF-xsYjHgg/edit?usp=sharing"",""งบกองทุน!D87"")"),0)</f>
        <v>0</v>
      </c>
      <c r="E83" s="306">
        <f ca="1">IFERROR(__xludf.DUMMYFUNCTION("IMPORTRANGE(""https://docs.google.com/spreadsheets/d/1C3CXT74ZlgGe6_JY_1olB1XN4rF0dxEuIIF-xsYjHgg/edit?usp=sharing"",""งบกองทุน!E87"")"),72420)</f>
        <v>72420</v>
      </c>
      <c r="F83" s="307">
        <f ca="1">IFERROR(__xludf.DUMMYFUNCTION("IMPORTRANGE(""https://docs.google.com/spreadsheets/d/1IYY_tgx_IHuhSq3AJ5eI5OnqOPBNLWSHKh2a30DoXe8/edit?usp=sharing"",""พังงา!M244"")"),11200)</f>
        <v>11200</v>
      </c>
      <c r="G83" s="307">
        <f t="shared" ca="1" si="1"/>
        <v>15.465341066003866</v>
      </c>
      <c r="H83" s="306">
        <f ca="1">IFERROR(__xludf.DUMMYFUNCTION("IMPORTRANGE(""https://docs.google.com/spreadsheets/d/1C3CXT74ZlgGe6_JY_1olB1XN4rF0dxEuIIF-xsYjHgg/edit?usp=sharing"",""งบกองทุน!F87"")"),0)</f>
        <v>0</v>
      </c>
      <c r="I83" s="307">
        <v>0</v>
      </c>
      <c r="J83" s="307">
        <f t="shared" ca="1" si="3"/>
        <v>0</v>
      </c>
      <c r="K83" s="308">
        <f ca="1">IFERROR(__xludf.DUMMYFUNCTION("IMPORTRANGE(""https://docs.google.com/spreadsheets/d/1C3CXT74ZlgGe6_JY_1olB1XN4rF0dxEuIIF-xsYjHgg/edit?usp=sharing"",""งบกองทุน!H87"")"),15)</f>
        <v>15</v>
      </c>
      <c r="L83" s="306">
        <f t="shared" ca="1" si="79"/>
        <v>15</v>
      </c>
      <c r="M83" s="307">
        <f t="shared" ca="1" si="5"/>
        <v>100</v>
      </c>
      <c r="N83" s="306">
        <f ca="1">IFERROR(__xludf.DUMMYFUNCTION("IMPORTRANGE(""https://docs.google.com/spreadsheets/d/1IYY_tgx_IHuhSq3AJ5eI5OnqOPBNLWSHKh2a30DoXe8/edit?usp=sharing"",""พังงา!J265"")"),5)</f>
        <v>5</v>
      </c>
      <c r="O83" s="306">
        <f ca="1">IFERROR(__xludf.DUMMYFUNCTION("IMPORTRANGE(""https://docs.google.com/spreadsheets/d/1IYY_tgx_IHuhSq3AJ5eI5OnqOPBNLWSHKh2a30DoXe8/edit?usp=sharing"",""พังงา!J267"")"),10)</f>
        <v>10</v>
      </c>
      <c r="P83" s="306">
        <f ca="1">IFERROR(__xludf.DUMMYFUNCTION("IMPORTRANGE(""https://docs.google.com/spreadsheets/d/1C3CXT74ZlgGe6_JY_1olB1XN4rF0dxEuIIF-xsYjHgg/edit?usp=sharing"",""งบกองทุน!M87"")"),0)</f>
        <v>0</v>
      </c>
      <c r="Q83" s="306">
        <v>0</v>
      </c>
      <c r="R83" s="307">
        <f t="shared" ca="1" si="7"/>
        <v>0</v>
      </c>
      <c r="S83" s="308">
        <f t="shared" ca="1" si="80"/>
        <v>30</v>
      </c>
      <c r="T83" s="306">
        <f t="shared" ca="1" si="52"/>
        <v>0</v>
      </c>
      <c r="U83" s="309">
        <f t="shared" ca="1" si="9"/>
        <v>0</v>
      </c>
      <c r="V83" s="308">
        <f ca="1">IFERROR(__xludf.DUMMYFUNCTION("IMPORTRANGE(""https://docs.google.com/spreadsheets/d/1C3CXT74ZlgGe6_JY_1olB1XN4rF0dxEuIIF-xsYjHgg/edit?usp=sharing"",""งบกองทุน!O87"")"),20)</f>
        <v>20</v>
      </c>
      <c r="W83" s="306">
        <f ca="1">IFERROR(__xludf.DUMMYFUNCTION("IMPORTRANGE(""https://docs.google.com/spreadsheets/d/1IYY_tgx_IHuhSq3AJ5eI5OnqOPBNLWSHKh2a30DoXe8/edit?usp=sharing"",""พังงา!J271"")"),0)</f>
        <v>0</v>
      </c>
      <c r="X83" s="309">
        <f t="shared" ca="1" si="11"/>
        <v>0</v>
      </c>
      <c r="Y83" s="308">
        <f ca="1">IFERROR(__xludf.DUMMYFUNCTION("IMPORTRANGE(""https://docs.google.com/spreadsheets/d/1C3CXT74ZlgGe6_JY_1olB1XN4rF0dxEuIIF-xsYjHgg/edit?usp=sharing"",""งบกองทุน!P87"")"),10)</f>
        <v>10</v>
      </c>
      <c r="Z83" s="306">
        <f ca="1">IFERROR(__xludf.DUMMYFUNCTION("IMPORTRANGE(""https://docs.google.com/spreadsheets/d/1IYY_tgx_IHuhSq3AJ5eI5OnqOPBNLWSHKh2a30DoXe8/edit?usp=sharing"",""พังงา!J272"")"),0)</f>
        <v>0</v>
      </c>
      <c r="AA83" s="309">
        <f t="shared" ca="1" si="13"/>
        <v>0</v>
      </c>
      <c r="AB83" s="302"/>
    </row>
    <row r="84" spans="1:28" ht="21" customHeight="1">
      <c r="A84" s="303">
        <v>8</v>
      </c>
      <c r="B84" s="304" t="s">
        <v>108</v>
      </c>
      <c r="C84" s="305">
        <f t="shared" ca="1" si="78"/>
        <v>334640</v>
      </c>
      <c r="D84" s="306">
        <f ca="1">IFERROR(__xludf.DUMMYFUNCTION("IMPORTRANGE(""https://docs.google.com/spreadsheets/d/1C3CXT74ZlgGe6_JY_1olB1XN4rF0dxEuIIF-xsYjHgg/edit?usp=sharing"",""งบกองทุน!D88"")"),0)</f>
        <v>0</v>
      </c>
      <c r="E84" s="306">
        <f ca="1">IFERROR(__xludf.DUMMYFUNCTION("IMPORTRANGE(""https://docs.google.com/spreadsheets/d/1C3CXT74ZlgGe6_JY_1olB1XN4rF0dxEuIIF-xsYjHgg/edit?usp=sharing"",""งบกองทุน!E88"")"),334640)</f>
        <v>334640</v>
      </c>
      <c r="F84" s="307">
        <f ca="1">IFERROR(__xludf.DUMMYFUNCTION("IMPORTRANGE(""https://docs.google.com/spreadsheets/d/1IYY_tgx_IHuhSq3AJ5eI5OnqOPBNLWSHKh2a30DoXe8/edit?usp=sharing"",""พัทลุง!M244"")"),222190.68)</f>
        <v>222190.68</v>
      </c>
      <c r="G84" s="307">
        <f t="shared" ca="1" si="1"/>
        <v>66.396928042075061</v>
      </c>
      <c r="H84" s="306">
        <f ca="1">IFERROR(__xludf.DUMMYFUNCTION("IMPORTRANGE(""https://docs.google.com/spreadsheets/d/1C3CXT74ZlgGe6_JY_1olB1XN4rF0dxEuIIF-xsYjHgg/edit?usp=sharing"",""งบกองทุน!F88"")"),0)</f>
        <v>0</v>
      </c>
      <c r="I84" s="307">
        <v>0</v>
      </c>
      <c r="J84" s="307">
        <f t="shared" ca="1" si="3"/>
        <v>0</v>
      </c>
      <c r="K84" s="308">
        <f ca="1">IFERROR(__xludf.DUMMYFUNCTION("IMPORTRANGE(""https://docs.google.com/spreadsheets/d/1C3CXT74ZlgGe6_JY_1olB1XN4rF0dxEuIIF-xsYjHgg/edit?usp=sharing"",""งบกองทุน!H88"")"),32)</f>
        <v>32</v>
      </c>
      <c r="L84" s="306">
        <f t="shared" ca="1" si="79"/>
        <v>32</v>
      </c>
      <c r="M84" s="307">
        <f t="shared" ca="1" si="5"/>
        <v>100</v>
      </c>
      <c r="N84" s="306">
        <f ca="1">IFERROR(__xludf.DUMMYFUNCTION("IMPORTRANGE(""https://docs.google.com/spreadsheets/d/1IYY_tgx_IHuhSq3AJ5eI5OnqOPBNLWSHKh2a30DoXe8/edit?usp=sharing"",""พัทลุง!J265"")"),32)</f>
        <v>32</v>
      </c>
      <c r="O84" s="306">
        <f ca="1">IFERROR(__xludf.DUMMYFUNCTION("IMPORTRANGE(""https://docs.google.com/spreadsheets/d/1IYY_tgx_IHuhSq3AJ5eI5OnqOPBNLWSHKh2a30DoXe8/edit?usp=sharing"",""พัทลุง!J267"")"),32)</f>
        <v>32</v>
      </c>
      <c r="P84" s="306">
        <f ca="1">IFERROR(__xludf.DUMMYFUNCTION("IMPORTRANGE(""https://docs.google.com/spreadsheets/d/1C3CXT74ZlgGe6_JY_1olB1XN4rF0dxEuIIF-xsYjHgg/edit?usp=sharing"",""งบกองทุน!M88"")"),0)</f>
        <v>0</v>
      </c>
      <c r="Q84" s="306">
        <v>0</v>
      </c>
      <c r="R84" s="307">
        <f t="shared" ca="1" si="7"/>
        <v>0</v>
      </c>
      <c r="S84" s="308">
        <f t="shared" ca="1" si="80"/>
        <v>128</v>
      </c>
      <c r="T84" s="306">
        <f t="shared" ca="1" si="52"/>
        <v>128</v>
      </c>
      <c r="U84" s="309">
        <f t="shared" ca="1" si="9"/>
        <v>100</v>
      </c>
      <c r="V84" s="308">
        <f ca="1">IFERROR(__xludf.DUMMYFUNCTION("IMPORTRANGE(""https://docs.google.com/spreadsheets/d/1C3CXT74ZlgGe6_JY_1olB1XN4rF0dxEuIIF-xsYjHgg/edit?usp=sharing"",""งบกองทุน!O88"")"),40)</f>
        <v>40</v>
      </c>
      <c r="W84" s="306">
        <f ca="1">IFERROR(__xludf.DUMMYFUNCTION("IMPORTRANGE(""https://docs.google.com/spreadsheets/d/1IYY_tgx_IHuhSq3AJ5eI5OnqOPBNLWSHKh2a30DoXe8/edit?usp=sharing"",""พัทลุง!J271"")"),40)</f>
        <v>40</v>
      </c>
      <c r="X84" s="309">
        <f t="shared" ca="1" si="11"/>
        <v>100</v>
      </c>
      <c r="Y84" s="308">
        <f ca="1">IFERROR(__xludf.DUMMYFUNCTION("IMPORTRANGE(""https://docs.google.com/spreadsheets/d/1C3CXT74ZlgGe6_JY_1olB1XN4rF0dxEuIIF-xsYjHgg/edit?usp=sharing"",""งบกองทุน!P88"")"),88)</f>
        <v>88</v>
      </c>
      <c r="Z84" s="306">
        <f ca="1">IFERROR(__xludf.DUMMYFUNCTION("IMPORTRANGE(""https://docs.google.com/spreadsheets/d/1IYY_tgx_IHuhSq3AJ5eI5OnqOPBNLWSHKh2a30DoXe8/edit?usp=sharing"",""พัทลุง!J272"")"),88)</f>
        <v>88</v>
      </c>
      <c r="AA84" s="309">
        <f t="shared" ca="1" si="13"/>
        <v>100</v>
      </c>
      <c r="AB84" s="302"/>
    </row>
    <row r="85" spans="1:28" ht="21" customHeight="1">
      <c r="A85" s="303">
        <v>9</v>
      </c>
      <c r="B85" s="304" t="s">
        <v>109</v>
      </c>
      <c r="C85" s="305">
        <f t="shared" ca="1" si="78"/>
        <v>89120</v>
      </c>
      <c r="D85" s="306">
        <f ca="1">IFERROR(__xludf.DUMMYFUNCTION("IMPORTRANGE(""https://docs.google.com/spreadsheets/d/1C3CXT74ZlgGe6_JY_1olB1XN4rF0dxEuIIF-xsYjHgg/edit?usp=sharing"",""งบกองทุน!D89"")"),0)</f>
        <v>0</v>
      </c>
      <c r="E85" s="306">
        <f ca="1">IFERROR(__xludf.DUMMYFUNCTION("IMPORTRANGE(""https://docs.google.com/spreadsheets/d/1C3CXT74ZlgGe6_JY_1olB1XN4rF0dxEuIIF-xsYjHgg/edit?usp=sharing"",""งบกองทุน!E89"")"),89120)</f>
        <v>89120</v>
      </c>
      <c r="F85" s="307">
        <f ca="1">IFERROR(__xludf.DUMMYFUNCTION("IMPORTRANGE(""https://docs.google.com/spreadsheets/d/1IYY_tgx_IHuhSq3AJ5eI5OnqOPBNLWSHKh2a30DoXe8/edit?usp=sharing"",""ภูเก็ต!M244"")"),40217)</f>
        <v>40217</v>
      </c>
      <c r="G85" s="307">
        <f t="shared" ca="1" si="1"/>
        <v>45.126795332136446</v>
      </c>
      <c r="H85" s="306">
        <f ca="1">IFERROR(__xludf.DUMMYFUNCTION("IMPORTRANGE(""https://docs.google.com/spreadsheets/d/1C3CXT74ZlgGe6_JY_1olB1XN4rF0dxEuIIF-xsYjHgg/edit?usp=sharing"",""งบกองทุน!F89"")"),0)</f>
        <v>0</v>
      </c>
      <c r="I85" s="307">
        <v>0</v>
      </c>
      <c r="J85" s="307">
        <f t="shared" ca="1" si="3"/>
        <v>0</v>
      </c>
      <c r="K85" s="308">
        <f ca="1">IFERROR(__xludf.DUMMYFUNCTION("IMPORTRANGE(""https://docs.google.com/spreadsheets/d/1C3CXT74ZlgGe6_JY_1olB1XN4rF0dxEuIIF-xsYjHgg/edit?usp=sharing"",""งบกองทุน!H89"")"),20)</f>
        <v>20</v>
      </c>
      <c r="L85" s="306">
        <f t="shared" ca="1" si="79"/>
        <v>20</v>
      </c>
      <c r="M85" s="307">
        <f t="shared" ca="1" si="5"/>
        <v>100</v>
      </c>
      <c r="N85" s="306">
        <f ca="1">IFERROR(__xludf.DUMMYFUNCTION("IMPORTRANGE(""https://docs.google.com/spreadsheets/d/1IYY_tgx_IHuhSq3AJ5eI5OnqOPBNLWSHKh2a30DoXe8/edit?usp=sharing"",""ภูเก็ต!J265"")"),20)</f>
        <v>20</v>
      </c>
      <c r="O85" s="306">
        <f ca="1">IFERROR(__xludf.DUMMYFUNCTION("IMPORTRANGE(""https://docs.google.com/spreadsheets/d/1IYY_tgx_IHuhSq3AJ5eI5OnqOPBNLWSHKh2a30DoXe8/edit?usp=sharing"",""ภูเก็ต!J267"")"),20)</f>
        <v>20</v>
      </c>
      <c r="P85" s="306">
        <f ca="1">IFERROR(__xludf.DUMMYFUNCTION("IMPORTRANGE(""https://docs.google.com/spreadsheets/d/1C3CXT74ZlgGe6_JY_1olB1XN4rF0dxEuIIF-xsYjHgg/edit?usp=sharing"",""งบกองทุน!M89"")"),0)</f>
        <v>0</v>
      </c>
      <c r="Q85" s="306">
        <v>0</v>
      </c>
      <c r="R85" s="307">
        <f t="shared" ca="1" si="7"/>
        <v>0</v>
      </c>
      <c r="S85" s="308">
        <f t="shared" ca="1" si="80"/>
        <v>40</v>
      </c>
      <c r="T85" s="306">
        <f t="shared" ca="1" si="52"/>
        <v>0</v>
      </c>
      <c r="U85" s="309">
        <f t="shared" ca="1" si="9"/>
        <v>0</v>
      </c>
      <c r="V85" s="308">
        <f ca="1">IFERROR(__xludf.DUMMYFUNCTION("IMPORTRANGE(""https://docs.google.com/spreadsheets/d/1C3CXT74ZlgGe6_JY_1olB1XN4rF0dxEuIIF-xsYjHgg/edit?usp=sharing"",""งบกองทุน!O89"")"),0)</f>
        <v>0</v>
      </c>
      <c r="W85" s="306">
        <f ca="1">IFERROR(__xludf.DUMMYFUNCTION("IMPORTRANGE(""https://docs.google.com/spreadsheets/d/1IYY_tgx_IHuhSq3AJ5eI5OnqOPBNLWSHKh2a30DoXe8/edit?usp=sharing"",""ภูเก็ต!J271"")"),0)</f>
        <v>0</v>
      </c>
      <c r="X85" s="309">
        <f t="shared" ca="1" si="11"/>
        <v>0</v>
      </c>
      <c r="Y85" s="308">
        <f ca="1">IFERROR(__xludf.DUMMYFUNCTION("IMPORTRANGE(""https://docs.google.com/spreadsheets/d/1C3CXT74ZlgGe6_JY_1olB1XN4rF0dxEuIIF-xsYjHgg/edit?usp=sharing"",""งบกองทุน!P89"")"),40)</f>
        <v>40</v>
      </c>
      <c r="Z85" s="306">
        <f ca="1">IFERROR(__xludf.DUMMYFUNCTION("IMPORTRANGE(""https://docs.google.com/spreadsheets/d/1IYY_tgx_IHuhSq3AJ5eI5OnqOPBNLWSHKh2a30DoXe8/edit?usp=sharing"",""ภูเก็ต!J272"")"),0)</f>
        <v>0</v>
      </c>
      <c r="AA85" s="309">
        <f t="shared" ca="1" si="13"/>
        <v>0</v>
      </c>
      <c r="AB85" s="302"/>
    </row>
    <row r="86" spans="1:28" ht="21" customHeight="1">
      <c r="A86" s="303">
        <v>10</v>
      </c>
      <c r="B86" s="304" t="s">
        <v>110</v>
      </c>
      <c r="C86" s="305">
        <f t="shared" ca="1" si="78"/>
        <v>0</v>
      </c>
      <c r="D86" s="306">
        <f ca="1">IFERROR(__xludf.DUMMYFUNCTION("IMPORTRANGE(""https://docs.google.com/spreadsheets/d/1C3CXT74ZlgGe6_JY_1olB1XN4rF0dxEuIIF-xsYjHgg/edit?usp=sharing"",""งบกองทุน!D90"")"),0)</f>
        <v>0</v>
      </c>
      <c r="E86" s="306">
        <f ca="1">IFERROR(__xludf.DUMMYFUNCTION("IMPORTRANGE(""https://docs.google.com/spreadsheets/d/1C3CXT74ZlgGe6_JY_1olB1XN4rF0dxEuIIF-xsYjHgg/edit?usp=sharing"",""งบกองทุน!E90"")"),0)</f>
        <v>0</v>
      </c>
      <c r="F86" s="307">
        <f ca="1">IFERROR(__xludf.DUMMYFUNCTION("IMPORTRANGE(""https://docs.google.com/spreadsheets/d/1IYY_tgx_IHuhSq3AJ5eI5OnqOPBNLWSHKh2a30DoXe8/edit?usp=sharing"",""ยะลา!M244"")"),0)</f>
        <v>0</v>
      </c>
      <c r="G86" s="307">
        <f t="shared" ca="1" si="1"/>
        <v>0</v>
      </c>
      <c r="H86" s="306">
        <f ca="1">IFERROR(__xludf.DUMMYFUNCTION("IMPORTRANGE(""https://docs.google.com/spreadsheets/d/1C3CXT74ZlgGe6_JY_1olB1XN4rF0dxEuIIF-xsYjHgg/edit?usp=sharing"",""งบกองทุน!F90"")"),0)</f>
        <v>0</v>
      </c>
      <c r="I86" s="307">
        <v>0</v>
      </c>
      <c r="J86" s="307">
        <f t="shared" ca="1" si="3"/>
        <v>0</v>
      </c>
      <c r="K86" s="308">
        <f ca="1">IFERROR(__xludf.DUMMYFUNCTION("IMPORTRANGE(""https://docs.google.com/spreadsheets/d/1C3CXT74ZlgGe6_JY_1olB1XN4rF0dxEuIIF-xsYjHgg/edit?usp=sharing"",""งบกองทุน!H90"")"),0)</f>
        <v>0</v>
      </c>
      <c r="L86" s="306">
        <f t="shared" ca="1" si="79"/>
        <v>0</v>
      </c>
      <c r="M86" s="307">
        <f t="shared" ca="1" si="5"/>
        <v>0</v>
      </c>
      <c r="N86" s="306">
        <f ca="1">IFERROR(__xludf.DUMMYFUNCTION("IMPORTRANGE(""https://docs.google.com/spreadsheets/d/1IYY_tgx_IHuhSq3AJ5eI5OnqOPBNLWSHKh2a30DoXe8/edit?usp=sharing"",""ยะลา!J265"")"),0)</f>
        <v>0</v>
      </c>
      <c r="O86" s="306">
        <f ca="1">IFERROR(__xludf.DUMMYFUNCTION("IMPORTRANGE(""https://docs.google.com/spreadsheets/d/1IYY_tgx_IHuhSq3AJ5eI5OnqOPBNLWSHKh2a30DoXe8/edit?usp=sharing"",""ยะลา!J267"")"),0)</f>
        <v>0</v>
      </c>
      <c r="P86" s="306">
        <f ca="1">IFERROR(__xludf.DUMMYFUNCTION("IMPORTRANGE(""https://docs.google.com/spreadsheets/d/1C3CXT74ZlgGe6_JY_1olB1XN4rF0dxEuIIF-xsYjHgg/edit?usp=sharing"",""งบกองทุน!M90"")"),0)</f>
        <v>0</v>
      </c>
      <c r="Q86" s="306">
        <v>0</v>
      </c>
      <c r="R86" s="307">
        <f t="shared" ca="1" si="7"/>
        <v>0</v>
      </c>
      <c r="S86" s="308">
        <f t="shared" ca="1" si="80"/>
        <v>0</v>
      </c>
      <c r="T86" s="306">
        <f t="shared" ca="1" si="52"/>
        <v>0</v>
      </c>
      <c r="U86" s="309">
        <f t="shared" ca="1" si="9"/>
        <v>0</v>
      </c>
      <c r="V86" s="308">
        <f ca="1">IFERROR(__xludf.DUMMYFUNCTION("IMPORTRANGE(""https://docs.google.com/spreadsheets/d/1C3CXT74ZlgGe6_JY_1olB1XN4rF0dxEuIIF-xsYjHgg/edit?usp=sharing"",""งบกองทุน!O90"")"),0)</f>
        <v>0</v>
      </c>
      <c r="W86" s="306">
        <f ca="1">IFERROR(__xludf.DUMMYFUNCTION("IMPORTRANGE(""https://docs.google.com/spreadsheets/d/1IYY_tgx_IHuhSq3AJ5eI5OnqOPBNLWSHKh2a30DoXe8/edit?usp=sharing"",""ยะลา!J271"")"),0)</f>
        <v>0</v>
      </c>
      <c r="X86" s="309">
        <f t="shared" ca="1" si="11"/>
        <v>0</v>
      </c>
      <c r="Y86" s="308">
        <f ca="1">IFERROR(__xludf.DUMMYFUNCTION("IMPORTRANGE(""https://docs.google.com/spreadsheets/d/1C3CXT74ZlgGe6_JY_1olB1XN4rF0dxEuIIF-xsYjHgg/edit?usp=sharing"",""งบกองทุน!P90"")"),0)</f>
        <v>0</v>
      </c>
      <c r="Z86" s="306">
        <f ca="1">IFERROR(__xludf.DUMMYFUNCTION("IMPORTRANGE(""https://docs.google.com/spreadsheets/d/1IYY_tgx_IHuhSq3AJ5eI5OnqOPBNLWSHKh2a30DoXe8/edit?usp=sharing"",""ยะลา!J272"")"),0)</f>
        <v>0</v>
      </c>
      <c r="AA86" s="309">
        <f t="shared" ca="1" si="13"/>
        <v>0</v>
      </c>
      <c r="AB86" s="302"/>
    </row>
    <row r="87" spans="1:28" ht="21" customHeight="1">
      <c r="A87" s="303">
        <v>11</v>
      </c>
      <c r="B87" s="304" t="s">
        <v>111</v>
      </c>
      <c r="C87" s="305">
        <f t="shared" ca="1" si="78"/>
        <v>65120</v>
      </c>
      <c r="D87" s="306">
        <f ca="1">IFERROR(__xludf.DUMMYFUNCTION("IMPORTRANGE(""https://docs.google.com/spreadsheets/d/1C3CXT74ZlgGe6_JY_1olB1XN4rF0dxEuIIF-xsYjHgg/edit?usp=sharing"",""งบกองทุน!D91"")"),0)</f>
        <v>0</v>
      </c>
      <c r="E87" s="306">
        <f ca="1">IFERROR(__xludf.DUMMYFUNCTION("IMPORTRANGE(""https://docs.google.com/spreadsheets/d/1C3CXT74ZlgGe6_JY_1olB1XN4rF0dxEuIIF-xsYjHgg/edit?usp=sharing"",""งบกองทุน!E91"")"),65120)</f>
        <v>65120</v>
      </c>
      <c r="F87" s="307">
        <f ca="1">IFERROR(__xludf.DUMMYFUNCTION("IMPORTRANGE(""https://docs.google.com/spreadsheets/d/1IYY_tgx_IHuhSq3AJ5eI5OnqOPBNLWSHKh2a30DoXe8/edit?usp=sharing"",""ระนอง!M244"")"),56330)</f>
        <v>56330</v>
      </c>
      <c r="G87" s="307">
        <f t="shared" ca="1" si="1"/>
        <v>86.501842751842759</v>
      </c>
      <c r="H87" s="306">
        <f ca="1">IFERROR(__xludf.DUMMYFUNCTION("IMPORTRANGE(""https://docs.google.com/spreadsheets/d/1C3CXT74ZlgGe6_JY_1olB1XN4rF0dxEuIIF-xsYjHgg/edit?usp=sharing"",""งบกองทุน!F91"")"),0)</f>
        <v>0</v>
      </c>
      <c r="I87" s="307">
        <v>0</v>
      </c>
      <c r="J87" s="307">
        <f t="shared" ca="1" si="3"/>
        <v>0</v>
      </c>
      <c r="K87" s="308">
        <f ca="1">IFERROR(__xludf.DUMMYFUNCTION("IMPORTRANGE(""https://docs.google.com/spreadsheets/d/1C3CXT74ZlgGe6_JY_1olB1XN4rF0dxEuIIF-xsYjHgg/edit?usp=sharing"",""งบกองทุน!H91"")"),20)</f>
        <v>20</v>
      </c>
      <c r="L87" s="306">
        <f t="shared" ca="1" si="79"/>
        <v>20</v>
      </c>
      <c r="M87" s="307">
        <f t="shared" ca="1" si="5"/>
        <v>100</v>
      </c>
      <c r="N87" s="306">
        <f ca="1">IFERROR(__xludf.DUMMYFUNCTION("IMPORTRANGE(""https://docs.google.com/spreadsheets/d/1IYY_tgx_IHuhSq3AJ5eI5OnqOPBNLWSHKh2a30DoXe8/edit?usp=sharing"",""ระนอง!J265"")"),20)</f>
        <v>20</v>
      </c>
      <c r="O87" s="306">
        <f ca="1">IFERROR(__xludf.DUMMYFUNCTION("IMPORTRANGE(""https://docs.google.com/spreadsheets/d/1IYY_tgx_IHuhSq3AJ5eI5OnqOPBNLWSHKh2a30DoXe8/edit?usp=sharing"",""ระนอง!J267"")"),20)</f>
        <v>20</v>
      </c>
      <c r="P87" s="306">
        <f ca="1">IFERROR(__xludf.DUMMYFUNCTION("IMPORTRANGE(""https://docs.google.com/spreadsheets/d/1C3CXT74ZlgGe6_JY_1olB1XN4rF0dxEuIIF-xsYjHgg/edit?usp=sharing"",""งบกองทุน!M91"")"),0)</f>
        <v>0</v>
      </c>
      <c r="Q87" s="306">
        <v>0</v>
      </c>
      <c r="R87" s="307">
        <f t="shared" ca="1" si="7"/>
        <v>0</v>
      </c>
      <c r="S87" s="308">
        <f t="shared" ca="1" si="80"/>
        <v>20</v>
      </c>
      <c r="T87" s="306">
        <f t="shared" ca="1" si="52"/>
        <v>20</v>
      </c>
      <c r="U87" s="309">
        <f t="shared" ca="1" si="9"/>
        <v>100</v>
      </c>
      <c r="V87" s="308">
        <f ca="1">IFERROR(__xludf.DUMMYFUNCTION("IMPORTRANGE(""https://docs.google.com/spreadsheets/d/1C3CXT74ZlgGe6_JY_1olB1XN4rF0dxEuIIF-xsYjHgg/edit?usp=sharing"",""งบกองทุน!O91"")"),0)</f>
        <v>0</v>
      </c>
      <c r="W87" s="306">
        <f ca="1">IFERROR(__xludf.DUMMYFUNCTION("IMPORTRANGE(""https://docs.google.com/spreadsheets/d/1IYY_tgx_IHuhSq3AJ5eI5OnqOPBNLWSHKh2a30DoXe8/edit?usp=sharing"",""ระนอง!J271"")"),0)</f>
        <v>0</v>
      </c>
      <c r="X87" s="309">
        <f t="shared" ca="1" si="11"/>
        <v>0</v>
      </c>
      <c r="Y87" s="308">
        <f ca="1">IFERROR(__xludf.DUMMYFUNCTION("IMPORTRANGE(""https://docs.google.com/spreadsheets/d/1C3CXT74ZlgGe6_JY_1olB1XN4rF0dxEuIIF-xsYjHgg/edit?usp=sharing"",""งบกองทุน!P91"")"),20)</f>
        <v>20</v>
      </c>
      <c r="Z87" s="306">
        <f ca="1">IFERROR(__xludf.DUMMYFUNCTION("IMPORTRANGE(""https://docs.google.com/spreadsheets/d/1IYY_tgx_IHuhSq3AJ5eI5OnqOPBNLWSHKh2a30DoXe8/edit?usp=sharing"",""ระนอง!J272"")"),20)</f>
        <v>20</v>
      </c>
      <c r="AA87" s="309">
        <f t="shared" ca="1" si="13"/>
        <v>100</v>
      </c>
      <c r="AB87" s="302"/>
    </row>
    <row r="88" spans="1:28" ht="24" customHeight="1">
      <c r="A88" s="303">
        <v>12</v>
      </c>
      <c r="B88" s="304" t="s">
        <v>112</v>
      </c>
      <c r="C88" s="305">
        <f t="shared" ca="1" si="78"/>
        <v>461480</v>
      </c>
      <c r="D88" s="306">
        <f ca="1">IFERROR(__xludf.DUMMYFUNCTION("IMPORTRANGE(""https://docs.google.com/spreadsheets/d/1C3CXT74ZlgGe6_JY_1olB1XN4rF0dxEuIIF-xsYjHgg/edit?usp=sharing"",""งบกองทุน!D92"")"),0)</f>
        <v>0</v>
      </c>
      <c r="E88" s="306">
        <f ca="1">IFERROR(__xludf.DUMMYFUNCTION("IMPORTRANGE(""https://docs.google.com/spreadsheets/d/1C3CXT74ZlgGe6_JY_1olB1XN4rF0dxEuIIF-xsYjHgg/edit?usp=sharing"",""งบกองทุน!E92"")"),461480)</f>
        <v>461480</v>
      </c>
      <c r="F88" s="307">
        <f ca="1">IFERROR(__xludf.DUMMYFUNCTION("IMPORTRANGE(""https://docs.google.com/spreadsheets/d/1IYY_tgx_IHuhSq3AJ5eI5OnqOPBNLWSHKh2a30DoXe8/edit?usp=sharing"",""สงขลา!M244"")"),136145)</f>
        <v>136145</v>
      </c>
      <c r="G88" s="307">
        <f t="shared" ca="1" si="1"/>
        <v>29.501820230562537</v>
      </c>
      <c r="H88" s="306">
        <f ca="1">IFERROR(__xludf.DUMMYFUNCTION("IMPORTRANGE(""https://docs.google.com/spreadsheets/d/1C3CXT74ZlgGe6_JY_1olB1XN4rF0dxEuIIF-xsYjHgg/edit?usp=sharing"",""งบกองทุน!F92"")"),0)</f>
        <v>0</v>
      </c>
      <c r="I88" s="307">
        <v>0</v>
      </c>
      <c r="J88" s="307">
        <f t="shared" ca="1" si="3"/>
        <v>0</v>
      </c>
      <c r="K88" s="308">
        <f ca="1">IFERROR(__xludf.DUMMYFUNCTION("IMPORTRANGE(""https://docs.google.com/spreadsheets/d/1C3CXT74ZlgGe6_JY_1olB1XN4rF0dxEuIIF-xsYjHgg/edit?usp=sharing"",""งบกองทุน!H92"")"),60)</f>
        <v>60</v>
      </c>
      <c r="L88" s="306">
        <f t="shared" ca="1" si="79"/>
        <v>60</v>
      </c>
      <c r="M88" s="307">
        <f t="shared" ca="1" si="5"/>
        <v>100</v>
      </c>
      <c r="N88" s="306">
        <f ca="1">IFERROR(__xludf.DUMMYFUNCTION("IMPORTRANGE(""https://docs.google.com/spreadsheets/d/1IYY_tgx_IHuhSq3AJ5eI5OnqOPBNLWSHKh2a30DoXe8/edit?usp=sharing"",""สงขลา!J265"")"),60)</f>
        <v>60</v>
      </c>
      <c r="O88" s="306">
        <f ca="1">IFERROR(__xludf.DUMMYFUNCTION("IMPORTRANGE(""https://docs.google.com/spreadsheets/d/1IYY_tgx_IHuhSq3AJ5eI5OnqOPBNLWSHKh2a30DoXe8/edit?usp=sharing"",""สงขลา!J267"")"),60)</f>
        <v>60</v>
      </c>
      <c r="P88" s="306">
        <f ca="1">IFERROR(__xludf.DUMMYFUNCTION("IMPORTRANGE(""https://docs.google.com/spreadsheets/d/1C3CXT74ZlgGe6_JY_1olB1XN4rF0dxEuIIF-xsYjHgg/edit?usp=sharing"",""งบกองทุน!M92"")"),0)</f>
        <v>0</v>
      </c>
      <c r="Q88" s="306">
        <v>0</v>
      </c>
      <c r="R88" s="307">
        <f t="shared" ca="1" si="7"/>
        <v>0</v>
      </c>
      <c r="S88" s="308">
        <f t="shared" ca="1" si="80"/>
        <v>230</v>
      </c>
      <c r="T88" s="306">
        <f t="shared" ca="1" si="52"/>
        <v>0</v>
      </c>
      <c r="U88" s="309">
        <f t="shared" ca="1" si="9"/>
        <v>0</v>
      </c>
      <c r="V88" s="308">
        <f ca="1">IFERROR(__xludf.DUMMYFUNCTION("IMPORTRANGE(""https://docs.google.com/spreadsheets/d/1C3CXT74ZlgGe6_JY_1olB1XN4rF0dxEuIIF-xsYjHgg/edit?usp=sharing"",""งบกองทุน!O92"")"),80)</f>
        <v>80</v>
      </c>
      <c r="W88" s="306">
        <f ca="1">IFERROR(__xludf.DUMMYFUNCTION("IMPORTRANGE(""https://docs.google.com/spreadsheets/d/1IYY_tgx_IHuhSq3AJ5eI5OnqOPBNLWSHKh2a30DoXe8/edit?usp=sharing"",""สงขลา!J271"")"),0)</f>
        <v>0</v>
      </c>
      <c r="X88" s="309">
        <f t="shared" ca="1" si="11"/>
        <v>0</v>
      </c>
      <c r="Y88" s="308">
        <f ca="1">IFERROR(__xludf.DUMMYFUNCTION("IMPORTRANGE(""https://docs.google.com/spreadsheets/d/1C3CXT74ZlgGe6_JY_1olB1XN4rF0dxEuIIF-xsYjHgg/edit?usp=sharing"",""งบกองทุน!P92"")"),150)</f>
        <v>150</v>
      </c>
      <c r="Z88" s="306">
        <f ca="1">IFERROR(__xludf.DUMMYFUNCTION("IMPORTRANGE(""https://docs.google.com/spreadsheets/d/1IYY_tgx_IHuhSq3AJ5eI5OnqOPBNLWSHKh2a30DoXe8/edit?usp=sharing"",""สงขลา!J272"")"),0)</f>
        <v>0</v>
      </c>
      <c r="AA88" s="309">
        <f t="shared" ca="1" si="13"/>
        <v>0</v>
      </c>
      <c r="AB88" s="302"/>
    </row>
    <row r="89" spans="1:28" ht="24" customHeight="1">
      <c r="A89" s="303">
        <v>13</v>
      </c>
      <c r="B89" s="304" t="s">
        <v>113</v>
      </c>
      <c r="C89" s="305">
        <f t="shared" ca="1" si="78"/>
        <v>0</v>
      </c>
      <c r="D89" s="306">
        <f ca="1">IFERROR(__xludf.DUMMYFUNCTION("IMPORTRANGE(""https://docs.google.com/spreadsheets/d/1C3CXT74ZlgGe6_JY_1olB1XN4rF0dxEuIIF-xsYjHgg/edit?usp=sharing"",""งบกองทุน!D93"")"),0)</f>
        <v>0</v>
      </c>
      <c r="E89" s="306">
        <f ca="1">IFERROR(__xludf.DUMMYFUNCTION("IMPORTRANGE(""https://docs.google.com/spreadsheets/d/1C3CXT74ZlgGe6_JY_1olB1XN4rF0dxEuIIF-xsYjHgg/edit?usp=sharing"",""งบกองทุน!E93"")"),0)</f>
        <v>0</v>
      </c>
      <c r="F89" s="307">
        <f ca="1">IFERROR(__xludf.DUMMYFUNCTION("IMPORTRANGE(""https://docs.google.com/spreadsheets/d/1IYY_tgx_IHuhSq3AJ5eI5OnqOPBNLWSHKh2a30DoXe8/edit?usp=sharing"",""สตูล!M244"")"),0)</f>
        <v>0</v>
      </c>
      <c r="G89" s="307">
        <f t="shared" ca="1" si="1"/>
        <v>0</v>
      </c>
      <c r="H89" s="306">
        <f ca="1">IFERROR(__xludf.DUMMYFUNCTION("IMPORTRANGE(""https://docs.google.com/spreadsheets/d/1C3CXT74ZlgGe6_JY_1olB1XN4rF0dxEuIIF-xsYjHgg/edit?usp=sharing"",""งบกองทุน!F93"")"),0)</f>
        <v>0</v>
      </c>
      <c r="I89" s="307">
        <v>0</v>
      </c>
      <c r="J89" s="307">
        <f t="shared" ca="1" si="3"/>
        <v>0</v>
      </c>
      <c r="K89" s="308">
        <f ca="1">IFERROR(__xludf.DUMMYFUNCTION("IMPORTRANGE(""https://docs.google.com/spreadsheets/d/1C3CXT74ZlgGe6_JY_1olB1XN4rF0dxEuIIF-xsYjHgg/edit?usp=sharing"",""งบกองทุน!H93"")"),0)</f>
        <v>0</v>
      </c>
      <c r="L89" s="306">
        <f t="shared" ca="1" si="79"/>
        <v>0</v>
      </c>
      <c r="M89" s="307">
        <f t="shared" ca="1" si="5"/>
        <v>0</v>
      </c>
      <c r="N89" s="306">
        <f ca="1">IFERROR(__xludf.DUMMYFUNCTION("IMPORTRANGE(""https://docs.google.com/spreadsheets/d/1IYY_tgx_IHuhSq3AJ5eI5OnqOPBNLWSHKh2a30DoXe8/edit?usp=sharing"",""สตูล!J265"")"),0)</f>
        <v>0</v>
      </c>
      <c r="O89" s="306">
        <f ca="1">IFERROR(__xludf.DUMMYFUNCTION("IMPORTRANGE(""https://docs.google.com/spreadsheets/d/1IYY_tgx_IHuhSq3AJ5eI5OnqOPBNLWSHKh2a30DoXe8/edit?usp=sharing"",""สตูล!J267"")"),0)</f>
        <v>0</v>
      </c>
      <c r="P89" s="306">
        <f ca="1">IFERROR(__xludf.DUMMYFUNCTION("IMPORTRANGE(""https://docs.google.com/spreadsheets/d/1C3CXT74ZlgGe6_JY_1olB1XN4rF0dxEuIIF-xsYjHgg/edit?usp=sharing"",""งบกองทุน!M93"")"),0)</f>
        <v>0</v>
      </c>
      <c r="Q89" s="306">
        <v>0</v>
      </c>
      <c r="R89" s="307">
        <f t="shared" ca="1" si="7"/>
        <v>0</v>
      </c>
      <c r="S89" s="308">
        <f t="shared" ca="1" si="80"/>
        <v>0</v>
      </c>
      <c r="T89" s="306">
        <f t="shared" ca="1" si="52"/>
        <v>0</v>
      </c>
      <c r="U89" s="309">
        <f t="shared" ca="1" si="9"/>
        <v>0</v>
      </c>
      <c r="V89" s="308">
        <f ca="1">IFERROR(__xludf.DUMMYFUNCTION("IMPORTRANGE(""https://docs.google.com/spreadsheets/d/1C3CXT74ZlgGe6_JY_1olB1XN4rF0dxEuIIF-xsYjHgg/edit?usp=sharing"",""งบกองทุน!O93"")"),0)</f>
        <v>0</v>
      </c>
      <c r="W89" s="306">
        <f ca="1">IFERROR(__xludf.DUMMYFUNCTION("IMPORTRANGE(""https://docs.google.com/spreadsheets/d/1IYY_tgx_IHuhSq3AJ5eI5OnqOPBNLWSHKh2a30DoXe8/edit?usp=sharing"",""สตูล!J271"")"),0)</f>
        <v>0</v>
      </c>
      <c r="X89" s="309">
        <f t="shared" ca="1" si="11"/>
        <v>0</v>
      </c>
      <c r="Y89" s="308">
        <f ca="1">IFERROR(__xludf.DUMMYFUNCTION("IMPORTRANGE(""https://docs.google.com/spreadsheets/d/1C3CXT74ZlgGe6_JY_1olB1XN4rF0dxEuIIF-xsYjHgg/edit?usp=sharing"",""งบกองทุน!P93"")"),0)</f>
        <v>0</v>
      </c>
      <c r="Z89" s="306">
        <f ca="1">IFERROR(__xludf.DUMMYFUNCTION("IMPORTRANGE(""https://docs.google.com/spreadsheets/d/1IYY_tgx_IHuhSq3AJ5eI5OnqOPBNLWSHKh2a30DoXe8/edit?usp=sharing"",""สตูล!J272"")"),0)</f>
        <v>0</v>
      </c>
      <c r="AA89" s="309">
        <f t="shared" ca="1" si="13"/>
        <v>0</v>
      </c>
      <c r="AB89" s="302"/>
    </row>
    <row r="90" spans="1:28" ht="24" customHeight="1">
      <c r="A90" s="310">
        <v>14</v>
      </c>
      <c r="B90" s="321" t="s">
        <v>114</v>
      </c>
      <c r="C90" s="312">
        <f t="shared" ca="1" si="78"/>
        <v>311160</v>
      </c>
      <c r="D90" s="313">
        <f ca="1">IFERROR(__xludf.DUMMYFUNCTION("IMPORTRANGE(""https://docs.google.com/spreadsheets/d/1C3CXT74ZlgGe6_JY_1olB1XN4rF0dxEuIIF-xsYjHgg/edit?usp=sharing"",""งบกองทุน!D94"")"),0)</f>
        <v>0</v>
      </c>
      <c r="E90" s="313">
        <f ca="1">IFERROR(__xludf.DUMMYFUNCTION("IMPORTRANGE(""https://docs.google.com/spreadsheets/d/1C3CXT74ZlgGe6_JY_1olB1XN4rF0dxEuIIF-xsYjHgg/edit?usp=sharing"",""งบกองทุน!E94"")"),311160)</f>
        <v>311160</v>
      </c>
      <c r="F90" s="314">
        <f ca="1">IFERROR(__xludf.DUMMYFUNCTION("IMPORTRANGE(""https://docs.google.com/spreadsheets/d/1IYY_tgx_IHuhSq3AJ5eI5OnqOPBNLWSHKh2a30DoXe8/edit?usp=sharing"",""สุราษฎร์ธานี!M244"")"),130841.959999999)</f>
        <v>130841.959999999</v>
      </c>
      <c r="G90" s="314">
        <f t="shared" ca="1" si="1"/>
        <v>42.049736469982967</v>
      </c>
      <c r="H90" s="313">
        <f ca="1">IFERROR(__xludf.DUMMYFUNCTION("IMPORTRANGE(""https://docs.google.com/spreadsheets/d/1C3CXT74ZlgGe6_JY_1olB1XN4rF0dxEuIIF-xsYjHgg/edit?usp=sharing"",""งบกองทุน!F94"")"),0)</f>
        <v>0</v>
      </c>
      <c r="I90" s="314">
        <v>0</v>
      </c>
      <c r="J90" s="314">
        <f t="shared" ca="1" si="3"/>
        <v>0</v>
      </c>
      <c r="K90" s="315">
        <f ca="1">IFERROR(__xludf.DUMMYFUNCTION("IMPORTRANGE(""https://docs.google.com/spreadsheets/d/1C3CXT74ZlgGe6_JY_1olB1XN4rF0dxEuIIF-xsYjHgg/edit?usp=sharing"",""งบกองทุน!H94"")"),40)</f>
        <v>40</v>
      </c>
      <c r="L90" s="313">
        <f t="shared" ca="1" si="79"/>
        <v>40</v>
      </c>
      <c r="M90" s="314">
        <f t="shared" ca="1" si="5"/>
        <v>100</v>
      </c>
      <c r="N90" s="313">
        <f ca="1">IFERROR(__xludf.DUMMYFUNCTION("IMPORTRANGE(""https://docs.google.com/spreadsheets/d/1IYY_tgx_IHuhSq3AJ5eI5OnqOPBNLWSHKh2a30DoXe8/edit?usp=sharing"",""สุราษฎร์ธานี!J265"")"),20)</f>
        <v>20</v>
      </c>
      <c r="O90" s="313">
        <f ca="1">IFERROR(__xludf.DUMMYFUNCTION("IMPORTRANGE(""https://docs.google.com/spreadsheets/d/1IYY_tgx_IHuhSq3AJ5eI5OnqOPBNLWSHKh2a30DoXe8/edit?usp=sharing"",""สุราษฎร์ธานี!J267"")"),20)</f>
        <v>20</v>
      </c>
      <c r="P90" s="313">
        <f ca="1">IFERROR(__xludf.DUMMYFUNCTION("IMPORTRANGE(""https://docs.google.com/spreadsheets/d/1C3CXT74ZlgGe6_JY_1olB1XN4rF0dxEuIIF-xsYjHgg/edit?usp=sharing"",""งบกองทุน!M94"")"),0)</f>
        <v>0</v>
      </c>
      <c r="Q90" s="313">
        <v>0</v>
      </c>
      <c r="R90" s="314">
        <f t="shared" ca="1" si="7"/>
        <v>0</v>
      </c>
      <c r="S90" s="315">
        <f t="shared" ca="1" si="80"/>
        <v>80</v>
      </c>
      <c r="T90" s="313">
        <f t="shared" ca="1" si="52"/>
        <v>0</v>
      </c>
      <c r="U90" s="316">
        <f t="shared" ca="1" si="9"/>
        <v>0</v>
      </c>
      <c r="V90" s="315">
        <f ca="1">IFERROR(__xludf.DUMMYFUNCTION("IMPORTRANGE(""https://docs.google.com/spreadsheets/d/1C3CXT74ZlgGe6_JY_1olB1XN4rF0dxEuIIF-xsYjHgg/edit?usp=sharing"",""งบกองทุน!O94"")"),40)</f>
        <v>40</v>
      </c>
      <c r="W90" s="313">
        <f ca="1">IFERROR(__xludf.DUMMYFUNCTION("IMPORTRANGE(""https://docs.google.com/spreadsheets/d/1IYY_tgx_IHuhSq3AJ5eI5OnqOPBNLWSHKh2a30DoXe8/edit?usp=sharing"",""สุราษฎร์ธานี!J271"")"),0)</f>
        <v>0</v>
      </c>
      <c r="X90" s="316">
        <f t="shared" ca="1" si="11"/>
        <v>0</v>
      </c>
      <c r="Y90" s="315">
        <f ca="1">IFERROR(__xludf.DUMMYFUNCTION("IMPORTRANGE(""https://docs.google.com/spreadsheets/d/1C3CXT74ZlgGe6_JY_1olB1XN4rF0dxEuIIF-xsYjHgg/edit?usp=sharing"",""งบกองทุน!P94"")"),40)</f>
        <v>40</v>
      </c>
      <c r="Z90" s="313">
        <f ca="1">IFERROR(__xludf.DUMMYFUNCTION("IMPORTRANGE(""https://docs.google.com/spreadsheets/d/1IYY_tgx_IHuhSq3AJ5eI5OnqOPBNLWSHKh2a30DoXe8/edit?usp=sharing"",""สุราษฎร์ธานี!J272"")"),0)</f>
        <v>0</v>
      </c>
      <c r="AA90" s="316">
        <f t="shared" ca="1" si="13"/>
        <v>0</v>
      </c>
      <c r="AB90" s="302"/>
    </row>
    <row r="91" spans="1:28" ht="21" hidden="1" customHeight="1">
      <c r="A91" s="791" t="s">
        <v>115</v>
      </c>
      <c r="B91" s="652"/>
      <c r="C91" s="322">
        <f t="shared" ref="C91:F91" ca="1" si="81">+C92+C93+C94+C95+C96+C97+C98+C99+C100+C101+C102+C103+C104+C105</f>
        <v>2747160</v>
      </c>
      <c r="D91" s="323">
        <f t="shared" ca="1" si="81"/>
        <v>0</v>
      </c>
      <c r="E91" s="323">
        <f t="shared" ca="1" si="81"/>
        <v>2747160</v>
      </c>
      <c r="F91" s="323">
        <f t="shared" ca="1" si="81"/>
        <v>273317.26</v>
      </c>
      <c r="G91" s="324">
        <f t="shared" ca="1" si="1"/>
        <v>9.9490841450807377</v>
      </c>
      <c r="H91" s="323">
        <f t="shared" ref="H91:I91" ca="1" si="82">+H92+H93+H94+H95+H96+H97+H98+H99+H100+H101+H102+H103+H104+H105</f>
        <v>120</v>
      </c>
      <c r="I91" s="323">
        <f t="shared" si="82"/>
        <v>120</v>
      </c>
      <c r="J91" s="324">
        <f t="shared" ca="1" si="3"/>
        <v>100</v>
      </c>
      <c r="K91" s="323">
        <f ca="1">+K92+K93+K94+K95+K96+K97+K98+K99+K100+K101+K102+K103+K104+K105</f>
        <v>0</v>
      </c>
      <c r="L91" s="323">
        <f t="shared" ref="L91:L114" si="83">SUM(N91,O91)</f>
        <v>0</v>
      </c>
      <c r="M91" s="324">
        <f t="shared" ca="1" si="5"/>
        <v>0</v>
      </c>
      <c r="N91" s="323">
        <f t="shared" ref="N91:Q91" si="84">+N92+N93+N94+N95+N96+N97+N98+N99+N100+N101+N102+N103+N104+N105</f>
        <v>0</v>
      </c>
      <c r="O91" s="323">
        <f t="shared" si="84"/>
        <v>0</v>
      </c>
      <c r="P91" s="323">
        <f t="shared" ca="1" si="84"/>
        <v>100</v>
      </c>
      <c r="Q91" s="323">
        <f t="shared" si="84"/>
        <v>0</v>
      </c>
      <c r="R91" s="324">
        <f t="shared" ca="1" si="7"/>
        <v>0</v>
      </c>
      <c r="S91" s="323">
        <f>+S92+S93+S94+S95+S96+S97+S98+S99+S100+S101+S102+S103+S104+S105</f>
        <v>0</v>
      </c>
      <c r="T91" s="323">
        <f t="shared" si="52"/>
        <v>0</v>
      </c>
      <c r="U91" s="324">
        <f t="shared" si="9"/>
        <v>0</v>
      </c>
      <c r="V91" s="323">
        <f t="shared" ref="V91:W91" ca="1" si="85">+V92+V93+V94+V95+V96+V97+V98+V99+V100+V101+V102+V103+V104+V105</f>
        <v>0</v>
      </c>
      <c r="W91" s="323">
        <f t="shared" si="85"/>
        <v>0</v>
      </c>
      <c r="X91" s="324">
        <f t="shared" ca="1" si="11"/>
        <v>0</v>
      </c>
      <c r="Y91" s="323">
        <f t="shared" ref="Y91:Z91" ca="1" si="86">+Y92+Y93+Y94+Y95+Y96+Y97+Y98+Y99+Y100+Y101+Y102+Y103+Y104+Y105</f>
        <v>0</v>
      </c>
      <c r="Z91" s="323">
        <f t="shared" si="86"/>
        <v>0</v>
      </c>
      <c r="AA91" s="324">
        <f t="shared" ca="1" si="13"/>
        <v>0</v>
      </c>
      <c r="AB91" s="302"/>
    </row>
    <row r="92" spans="1:28" ht="24" hidden="1" customHeight="1">
      <c r="A92" s="325">
        <v>1</v>
      </c>
      <c r="B92" s="326" t="s">
        <v>116</v>
      </c>
      <c r="C92" s="295">
        <f t="shared" ref="C92:C105" ca="1" si="87">+D92+E92</f>
        <v>0</v>
      </c>
      <c r="D92" s="296">
        <f ca="1">IFERROR(__xludf.DUMMYFUNCTION("IMPORTRANGE(""https://docs.google.com/spreadsheets/d/1C3CXT74ZlgGe6_JY_1olB1XN4rF0dxEuIIF-xsYjHgg/edit?usp=sharing"",""งบกองทุน!D96"")"),0)</f>
        <v>0</v>
      </c>
      <c r="E92" s="296">
        <f ca="1">IFERROR(__xludf.DUMMYFUNCTION("IMPORTRANGE(""https://docs.google.com/spreadsheets/d/1C3CXT74ZlgGe6_JY_1olB1XN4rF0dxEuIIF-xsYjHgg/edit?usp=sharing"",""งบกองทุน!E96"")"),0)</f>
        <v>0</v>
      </c>
      <c r="F92" s="297">
        <v>0</v>
      </c>
      <c r="G92" s="297">
        <f t="shared" ca="1" si="1"/>
        <v>0</v>
      </c>
      <c r="H92" s="296">
        <f ca="1">IFERROR(__xludf.DUMMYFUNCTION("IMPORTRANGE(""https://docs.google.com/spreadsheets/d/1C3CXT74ZlgGe6_JY_1olB1XN4rF0dxEuIIF-xsYjHgg/edit?usp=sharing"",""งบกองทุน!F96"")"),0)</f>
        <v>0</v>
      </c>
      <c r="I92" s="297">
        <v>0</v>
      </c>
      <c r="J92" s="297">
        <f t="shared" ca="1" si="3"/>
        <v>0</v>
      </c>
      <c r="K92" s="299">
        <f ca="1">IFERROR(__xludf.DUMMYFUNCTION("IMPORTRANGE(""https://docs.google.com/spreadsheets/d/1C3CXT74ZlgGe6_JY_1olB1XN4rF0dxEuIIF-xsYjHgg/edit?usp=sharing"",""งบกองทุน!H96"")"),0)</f>
        <v>0</v>
      </c>
      <c r="L92" s="296">
        <f t="shared" si="83"/>
        <v>0</v>
      </c>
      <c r="M92" s="297">
        <f t="shared" ca="1" si="5"/>
        <v>0</v>
      </c>
      <c r="N92" s="296">
        <v>0</v>
      </c>
      <c r="O92" s="296">
        <v>0</v>
      </c>
      <c r="P92" s="296">
        <f ca="1">IFERROR(__xludf.DUMMYFUNCTION("IMPORTRANGE(""https://docs.google.com/spreadsheets/d/1C3CXT74ZlgGe6_JY_1olB1XN4rF0dxEuIIF-xsYjHgg/edit?usp=sharing"",""งบกองทุน!M96"")"),0)</f>
        <v>0</v>
      </c>
      <c r="Q92" s="296">
        <v>0</v>
      </c>
      <c r="R92" s="297">
        <f t="shared" ca="1" si="7"/>
        <v>0</v>
      </c>
      <c r="S92" s="299">
        <v>0</v>
      </c>
      <c r="T92" s="296">
        <f t="shared" si="52"/>
        <v>0</v>
      </c>
      <c r="U92" s="301">
        <f t="shared" si="9"/>
        <v>0</v>
      </c>
      <c r="V92" s="299">
        <f ca="1">IFERROR(__xludf.DUMMYFUNCTION("IMPORTRANGE(""https://docs.google.com/spreadsheets/d/1C3CXT74ZlgGe6_JY_1olB1XN4rF0dxEuIIF-xsYjHgg/edit?usp=sharing"",""งบกองทุน!O96"")"),0)</f>
        <v>0</v>
      </c>
      <c r="W92" s="296">
        <v>0</v>
      </c>
      <c r="X92" s="301">
        <f t="shared" ca="1" si="11"/>
        <v>0</v>
      </c>
      <c r="Y92" s="299">
        <f ca="1">IFERROR(__xludf.DUMMYFUNCTION("IMPORTRANGE(""https://docs.google.com/spreadsheets/d/1C3CXT74ZlgGe6_JY_1olB1XN4rF0dxEuIIF-xsYjHgg/edit?usp=sharing"",""งบกองทุน!P96"")"),0)</f>
        <v>0</v>
      </c>
      <c r="Z92" s="296">
        <v>0</v>
      </c>
      <c r="AA92" s="301">
        <f t="shared" ca="1" si="13"/>
        <v>0</v>
      </c>
      <c r="AB92" s="302"/>
    </row>
    <row r="93" spans="1:28" ht="24" hidden="1" customHeight="1">
      <c r="A93" s="327">
        <v>2</v>
      </c>
      <c r="B93" s="328" t="s">
        <v>117</v>
      </c>
      <c r="C93" s="305">
        <f t="shared" ca="1" si="87"/>
        <v>0</v>
      </c>
      <c r="D93" s="306">
        <f ca="1">IFERROR(__xludf.DUMMYFUNCTION("IMPORTRANGE(""https://docs.google.com/spreadsheets/d/1C3CXT74ZlgGe6_JY_1olB1XN4rF0dxEuIIF-xsYjHgg/edit?usp=sharing"",""งบกองทุน!D97"")"),0)</f>
        <v>0</v>
      </c>
      <c r="E93" s="306">
        <f ca="1">IFERROR(__xludf.DUMMYFUNCTION("IMPORTRANGE(""https://docs.google.com/spreadsheets/d/1C3CXT74ZlgGe6_JY_1olB1XN4rF0dxEuIIF-xsYjHgg/edit?usp=sharing"",""งบกองทุน!E97"")"),0)</f>
        <v>0</v>
      </c>
      <c r="F93" s="307">
        <v>0</v>
      </c>
      <c r="G93" s="307">
        <f t="shared" ca="1" si="1"/>
        <v>0</v>
      </c>
      <c r="H93" s="306">
        <f ca="1">IFERROR(__xludf.DUMMYFUNCTION("IMPORTRANGE(""https://docs.google.com/spreadsheets/d/1C3CXT74ZlgGe6_JY_1olB1XN4rF0dxEuIIF-xsYjHgg/edit?usp=sharing"",""งบกองทุน!F97"")"),0)</f>
        <v>0</v>
      </c>
      <c r="I93" s="307">
        <v>0</v>
      </c>
      <c r="J93" s="307">
        <f t="shared" ca="1" si="3"/>
        <v>0</v>
      </c>
      <c r="K93" s="308">
        <f ca="1">IFERROR(__xludf.DUMMYFUNCTION("IMPORTRANGE(""https://docs.google.com/spreadsheets/d/1C3CXT74ZlgGe6_JY_1olB1XN4rF0dxEuIIF-xsYjHgg/edit?usp=sharing"",""งบกองทุน!H97"")"),0)</f>
        <v>0</v>
      </c>
      <c r="L93" s="306">
        <f t="shared" si="83"/>
        <v>0</v>
      </c>
      <c r="M93" s="307">
        <f t="shared" ca="1" si="5"/>
        <v>0</v>
      </c>
      <c r="N93" s="306">
        <v>0</v>
      </c>
      <c r="O93" s="306">
        <v>0</v>
      </c>
      <c r="P93" s="306">
        <f ca="1">IFERROR(__xludf.DUMMYFUNCTION("IMPORTRANGE(""https://docs.google.com/spreadsheets/d/1C3CXT74ZlgGe6_JY_1olB1XN4rF0dxEuIIF-xsYjHgg/edit?usp=sharing"",""งบกองทุน!M97"")"),0)</f>
        <v>0</v>
      </c>
      <c r="Q93" s="306">
        <v>0</v>
      </c>
      <c r="R93" s="307">
        <f t="shared" ca="1" si="7"/>
        <v>0</v>
      </c>
      <c r="S93" s="308">
        <v>0</v>
      </c>
      <c r="T93" s="306">
        <f t="shared" si="52"/>
        <v>0</v>
      </c>
      <c r="U93" s="309">
        <f t="shared" si="9"/>
        <v>0</v>
      </c>
      <c r="V93" s="308">
        <f ca="1">IFERROR(__xludf.DUMMYFUNCTION("IMPORTRANGE(""https://docs.google.com/spreadsheets/d/1C3CXT74ZlgGe6_JY_1olB1XN4rF0dxEuIIF-xsYjHgg/edit?usp=sharing"",""งบกองทุน!O97"")"),0)</f>
        <v>0</v>
      </c>
      <c r="W93" s="306">
        <v>0</v>
      </c>
      <c r="X93" s="309">
        <f t="shared" ca="1" si="11"/>
        <v>0</v>
      </c>
      <c r="Y93" s="308">
        <f ca="1">IFERROR(__xludf.DUMMYFUNCTION("IMPORTRANGE(""https://docs.google.com/spreadsheets/d/1C3CXT74ZlgGe6_JY_1olB1XN4rF0dxEuIIF-xsYjHgg/edit?usp=sharing"",""งบกองทุน!P97"")"),0)</f>
        <v>0</v>
      </c>
      <c r="Z93" s="306">
        <v>0</v>
      </c>
      <c r="AA93" s="309">
        <f t="shared" ca="1" si="13"/>
        <v>0</v>
      </c>
      <c r="AB93" s="302"/>
    </row>
    <row r="94" spans="1:28" ht="24" hidden="1" customHeight="1">
      <c r="A94" s="327">
        <v>3</v>
      </c>
      <c r="B94" s="328" t="s">
        <v>118</v>
      </c>
      <c r="C94" s="305">
        <f t="shared" ca="1" si="87"/>
        <v>0</v>
      </c>
      <c r="D94" s="306">
        <f ca="1">IFERROR(__xludf.DUMMYFUNCTION("IMPORTRANGE(""https://docs.google.com/spreadsheets/d/1C3CXT74ZlgGe6_JY_1olB1XN4rF0dxEuIIF-xsYjHgg/edit?usp=sharing"",""งบกองทุน!D98"")"),0)</f>
        <v>0</v>
      </c>
      <c r="E94" s="306">
        <f ca="1">IFERROR(__xludf.DUMMYFUNCTION("IMPORTRANGE(""https://docs.google.com/spreadsheets/d/1C3CXT74ZlgGe6_JY_1olB1XN4rF0dxEuIIF-xsYjHgg/edit?usp=sharing"",""งบกองทุน!E98"")"),0)</f>
        <v>0</v>
      </c>
      <c r="F94" s="307">
        <v>0</v>
      </c>
      <c r="G94" s="307">
        <f t="shared" ca="1" si="1"/>
        <v>0</v>
      </c>
      <c r="H94" s="306">
        <f ca="1">IFERROR(__xludf.DUMMYFUNCTION("IMPORTRANGE(""https://docs.google.com/spreadsheets/d/1C3CXT74ZlgGe6_JY_1olB1XN4rF0dxEuIIF-xsYjHgg/edit?usp=sharing"",""งบกองทุน!F98"")"),0)</f>
        <v>0</v>
      </c>
      <c r="I94" s="307">
        <v>0</v>
      </c>
      <c r="J94" s="307">
        <f t="shared" ca="1" si="3"/>
        <v>0</v>
      </c>
      <c r="K94" s="308">
        <f ca="1">IFERROR(__xludf.DUMMYFUNCTION("IMPORTRANGE(""https://docs.google.com/spreadsheets/d/1C3CXT74ZlgGe6_JY_1olB1XN4rF0dxEuIIF-xsYjHgg/edit?usp=sharing"",""งบกองทุน!H98"")"),0)</f>
        <v>0</v>
      </c>
      <c r="L94" s="306">
        <f t="shared" si="83"/>
        <v>0</v>
      </c>
      <c r="M94" s="307">
        <f t="shared" ca="1" si="5"/>
        <v>0</v>
      </c>
      <c r="N94" s="306">
        <v>0</v>
      </c>
      <c r="O94" s="306">
        <v>0</v>
      </c>
      <c r="P94" s="306">
        <f ca="1">IFERROR(__xludf.DUMMYFUNCTION("IMPORTRANGE(""https://docs.google.com/spreadsheets/d/1C3CXT74ZlgGe6_JY_1olB1XN4rF0dxEuIIF-xsYjHgg/edit?usp=sharing"",""งบกองทุน!M98"")"),0)</f>
        <v>0</v>
      </c>
      <c r="Q94" s="306">
        <v>0</v>
      </c>
      <c r="R94" s="307">
        <f t="shared" ca="1" si="7"/>
        <v>0</v>
      </c>
      <c r="S94" s="308">
        <v>0</v>
      </c>
      <c r="T94" s="306">
        <f t="shared" si="52"/>
        <v>0</v>
      </c>
      <c r="U94" s="309">
        <f t="shared" si="9"/>
        <v>0</v>
      </c>
      <c r="V94" s="308">
        <f ca="1">IFERROR(__xludf.DUMMYFUNCTION("IMPORTRANGE(""https://docs.google.com/spreadsheets/d/1C3CXT74ZlgGe6_JY_1olB1XN4rF0dxEuIIF-xsYjHgg/edit?usp=sharing"",""งบกองทุน!O98"")"),0)</f>
        <v>0</v>
      </c>
      <c r="W94" s="306">
        <v>0</v>
      </c>
      <c r="X94" s="309">
        <f t="shared" ca="1" si="11"/>
        <v>0</v>
      </c>
      <c r="Y94" s="308">
        <f ca="1">IFERROR(__xludf.DUMMYFUNCTION("IMPORTRANGE(""https://docs.google.com/spreadsheets/d/1C3CXT74ZlgGe6_JY_1olB1XN4rF0dxEuIIF-xsYjHgg/edit?usp=sharing"",""งบกองทุน!P98"")"),0)</f>
        <v>0</v>
      </c>
      <c r="Z94" s="306">
        <v>0</v>
      </c>
      <c r="AA94" s="309">
        <f t="shared" ca="1" si="13"/>
        <v>0</v>
      </c>
      <c r="AB94" s="302"/>
    </row>
    <row r="95" spans="1:28" ht="24" hidden="1" customHeight="1">
      <c r="A95" s="327">
        <f t="shared" ref="A95:A105" si="88">+A94+1</f>
        <v>4</v>
      </c>
      <c r="B95" s="328" t="s">
        <v>119</v>
      </c>
      <c r="C95" s="305">
        <f t="shared" ca="1" si="87"/>
        <v>0</v>
      </c>
      <c r="D95" s="306">
        <f ca="1">IFERROR(__xludf.DUMMYFUNCTION("IMPORTRANGE(""https://docs.google.com/spreadsheets/d/1C3CXT74ZlgGe6_JY_1olB1XN4rF0dxEuIIF-xsYjHgg/edit?usp=sharing"",""งบกองทุน!D99"")"),0)</f>
        <v>0</v>
      </c>
      <c r="E95" s="306">
        <f ca="1">IFERROR(__xludf.DUMMYFUNCTION("IMPORTRANGE(""https://docs.google.com/spreadsheets/d/1C3CXT74ZlgGe6_JY_1olB1XN4rF0dxEuIIF-xsYjHgg/edit?usp=sharing"",""งบกองทุน!E99"")"),0)</f>
        <v>0</v>
      </c>
      <c r="F95" s="307">
        <v>0</v>
      </c>
      <c r="G95" s="307">
        <f t="shared" ca="1" si="1"/>
        <v>0</v>
      </c>
      <c r="H95" s="306">
        <f ca="1">IFERROR(__xludf.DUMMYFUNCTION("IMPORTRANGE(""https://docs.google.com/spreadsheets/d/1C3CXT74ZlgGe6_JY_1olB1XN4rF0dxEuIIF-xsYjHgg/edit?usp=sharing"",""งบกองทุน!F99"")"),0)</f>
        <v>0</v>
      </c>
      <c r="I95" s="307">
        <v>0</v>
      </c>
      <c r="J95" s="307">
        <f t="shared" ca="1" si="3"/>
        <v>0</v>
      </c>
      <c r="K95" s="308">
        <f ca="1">IFERROR(__xludf.DUMMYFUNCTION("IMPORTRANGE(""https://docs.google.com/spreadsheets/d/1C3CXT74ZlgGe6_JY_1olB1XN4rF0dxEuIIF-xsYjHgg/edit?usp=sharing"",""งบกองทุน!H99"")"),0)</f>
        <v>0</v>
      </c>
      <c r="L95" s="306">
        <f t="shared" si="83"/>
        <v>0</v>
      </c>
      <c r="M95" s="307">
        <f t="shared" ca="1" si="5"/>
        <v>0</v>
      </c>
      <c r="N95" s="306">
        <v>0</v>
      </c>
      <c r="O95" s="306">
        <v>0</v>
      </c>
      <c r="P95" s="306">
        <f ca="1">IFERROR(__xludf.DUMMYFUNCTION("IMPORTRANGE(""https://docs.google.com/spreadsheets/d/1C3CXT74ZlgGe6_JY_1olB1XN4rF0dxEuIIF-xsYjHgg/edit?usp=sharing"",""งบกองทุน!M99"")"),0)</f>
        <v>0</v>
      </c>
      <c r="Q95" s="306">
        <v>0</v>
      </c>
      <c r="R95" s="307">
        <f t="shared" ca="1" si="7"/>
        <v>0</v>
      </c>
      <c r="S95" s="308">
        <v>0</v>
      </c>
      <c r="T95" s="306">
        <f t="shared" si="52"/>
        <v>0</v>
      </c>
      <c r="U95" s="309">
        <f t="shared" si="9"/>
        <v>0</v>
      </c>
      <c r="V95" s="308">
        <f ca="1">IFERROR(__xludf.DUMMYFUNCTION("IMPORTRANGE(""https://docs.google.com/spreadsheets/d/1C3CXT74ZlgGe6_JY_1olB1XN4rF0dxEuIIF-xsYjHgg/edit?usp=sharing"",""งบกองทุน!O99"")"),0)</f>
        <v>0</v>
      </c>
      <c r="W95" s="306">
        <v>0</v>
      </c>
      <c r="X95" s="309">
        <f t="shared" ca="1" si="11"/>
        <v>0</v>
      </c>
      <c r="Y95" s="308">
        <f ca="1">IFERROR(__xludf.DUMMYFUNCTION("IMPORTRANGE(""https://docs.google.com/spreadsheets/d/1C3CXT74ZlgGe6_JY_1olB1XN4rF0dxEuIIF-xsYjHgg/edit?usp=sharing"",""งบกองทุน!P99"")"),0)</f>
        <v>0</v>
      </c>
      <c r="Z95" s="306">
        <v>0</v>
      </c>
      <c r="AA95" s="309">
        <f t="shared" ca="1" si="13"/>
        <v>0</v>
      </c>
      <c r="AB95" s="302"/>
    </row>
    <row r="96" spans="1:28" ht="24" hidden="1" customHeight="1">
      <c r="A96" s="327">
        <f t="shared" si="88"/>
        <v>5</v>
      </c>
      <c r="B96" s="328" t="s">
        <v>120</v>
      </c>
      <c r="C96" s="305">
        <f t="shared" ca="1" si="87"/>
        <v>0</v>
      </c>
      <c r="D96" s="306">
        <f ca="1">IFERROR(__xludf.DUMMYFUNCTION("IMPORTRANGE(""https://docs.google.com/spreadsheets/d/1C3CXT74ZlgGe6_JY_1olB1XN4rF0dxEuIIF-xsYjHgg/edit?usp=sharing"",""งบกองทุน!D100"")"),0)</f>
        <v>0</v>
      </c>
      <c r="E96" s="306">
        <f ca="1">IFERROR(__xludf.DUMMYFUNCTION("IMPORTRANGE(""https://docs.google.com/spreadsheets/d/1C3CXT74ZlgGe6_JY_1olB1XN4rF0dxEuIIF-xsYjHgg/edit?usp=sharing"",""งบกองทุน!E100"")"),0)</f>
        <v>0</v>
      </c>
      <c r="F96" s="307">
        <v>0</v>
      </c>
      <c r="G96" s="307">
        <f t="shared" ca="1" si="1"/>
        <v>0</v>
      </c>
      <c r="H96" s="306">
        <f ca="1">IFERROR(__xludf.DUMMYFUNCTION("IMPORTRANGE(""https://docs.google.com/spreadsheets/d/1C3CXT74ZlgGe6_JY_1olB1XN4rF0dxEuIIF-xsYjHgg/edit?usp=sharing"",""งบกองทุน!F100"")"),0)</f>
        <v>0</v>
      </c>
      <c r="I96" s="307">
        <v>0</v>
      </c>
      <c r="J96" s="307">
        <f t="shared" ca="1" si="3"/>
        <v>0</v>
      </c>
      <c r="K96" s="308">
        <f ca="1">IFERROR(__xludf.DUMMYFUNCTION("IMPORTRANGE(""https://docs.google.com/spreadsheets/d/1C3CXT74ZlgGe6_JY_1olB1XN4rF0dxEuIIF-xsYjHgg/edit?usp=sharing"",""งบกองทุน!H100"")"),0)</f>
        <v>0</v>
      </c>
      <c r="L96" s="306">
        <f t="shared" si="83"/>
        <v>0</v>
      </c>
      <c r="M96" s="307">
        <f t="shared" ca="1" si="5"/>
        <v>0</v>
      </c>
      <c r="N96" s="306">
        <v>0</v>
      </c>
      <c r="O96" s="306">
        <v>0</v>
      </c>
      <c r="P96" s="306">
        <f ca="1">IFERROR(__xludf.DUMMYFUNCTION("IMPORTRANGE(""https://docs.google.com/spreadsheets/d/1C3CXT74ZlgGe6_JY_1olB1XN4rF0dxEuIIF-xsYjHgg/edit?usp=sharing"",""งบกองทุน!M100"")"),0)</f>
        <v>0</v>
      </c>
      <c r="Q96" s="306">
        <v>0</v>
      </c>
      <c r="R96" s="307">
        <f t="shared" ca="1" si="7"/>
        <v>0</v>
      </c>
      <c r="S96" s="308">
        <v>0</v>
      </c>
      <c r="T96" s="306">
        <f t="shared" si="52"/>
        <v>0</v>
      </c>
      <c r="U96" s="309">
        <f t="shared" si="9"/>
        <v>0</v>
      </c>
      <c r="V96" s="308">
        <f ca="1">IFERROR(__xludf.DUMMYFUNCTION("IMPORTRANGE(""https://docs.google.com/spreadsheets/d/1C3CXT74ZlgGe6_JY_1olB1XN4rF0dxEuIIF-xsYjHgg/edit?usp=sharing"",""งบกองทุน!O100"")"),0)</f>
        <v>0</v>
      </c>
      <c r="W96" s="306">
        <v>0</v>
      </c>
      <c r="X96" s="309">
        <f t="shared" ca="1" si="11"/>
        <v>0</v>
      </c>
      <c r="Y96" s="308">
        <f ca="1">IFERROR(__xludf.DUMMYFUNCTION("IMPORTRANGE(""https://docs.google.com/spreadsheets/d/1C3CXT74ZlgGe6_JY_1olB1XN4rF0dxEuIIF-xsYjHgg/edit?usp=sharing"",""งบกองทุน!P100"")"),0)</f>
        <v>0</v>
      </c>
      <c r="Z96" s="306">
        <v>0</v>
      </c>
      <c r="AA96" s="309">
        <f t="shared" ca="1" si="13"/>
        <v>0</v>
      </c>
      <c r="AB96" s="302"/>
    </row>
    <row r="97" spans="1:28" ht="24" hidden="1" customHeight="1">
      <c r="A97" s="327">
        <f t="shared" si="88"/>
        <v>6</v>
      </c>
      <c r="B97" s="328" t="s">
        <v>121</v>
      </c>
      <c r="C97" s="305">
        <f t="shared" ca="1" si="87"/>
        <v>0</v>
      </c>
      <c r="D97" s="306">
        <f ca="1">IFERROR(__xludf.DUMMYFUNCTION("IMPORTRANGE(""https://docs.google.com/spreadsheets/d/1C3CXT74ZlgGe6_JY_1olB1XN4rF0dxEuIIF-xsYjHgg/edit?usp=sharing"",""งบกองทุน!D101"")"),0)</f>
        <v>0</v>
      </c>
      <c r="E97" s="306">
        <f ca="1">IFERROR(__xludf.DUMMYFUNCTION("IMPORTRANGE(""https://docs.google.com/spreadsheets/d/1C3CXT74ZlgGe6_JY_1olB1XN4rF0dxEuIIF-xsYjHgg/edit?usp=sharing"",""งบกองทุน!E101"")"),0)</f>
        <v>0</v>
      </c>
      <c r="F97" s="307">
        <v>0</v>
      </c>
      <c r="G97" s="307">
        <f t="shared" ca="1" si="1"/>
        <v>0</v>
      </c>
      <c r="H97" s="306">
        <f ca="1">IFERROR(__xludf.DUMMYFUNCTION("IMPORTRANGE(""https://docs.google.com/spreadsheets/d/1C3CXT74ZlgGe6_JY_1olB1XN4rF0dxEuIIF-xsYjHgg/edit?usp=sharing"",""งบกองทุน!F101"")"),0)</f>
        <v>0</v>
      </c>
      <c r="I97" s="307">
        <v>0</v>
      </c>
      <c r="J97" s="307">
        <f t="shared" ca="1" si="3"/>
        <v>0</v>
      </c>
      <c r="K97" s="308">
        <f ca="1">IFERROR(__xludf.DUMMYFUNCTION("IMPORTRANGE(""https://docs.google.com/spreadsheets/d/1C3CXT74ZlgGe6_JY_1olB1XN4rF0dxEuIIF-xsYjHgg/edit?usp=sharing"",""งบกองทุน!H101"")"),0)</f>
        <v>0</v>
      </c>
      <c r="L97" s="306">
        <f t="shared" si="83"/>
        <v>0</v>
      </c>
      <c r="M97" s="307">
        <f t="shared" ca="1" si="5"/>
        <v>0</v>
      </c>
      <c r="N97" s="306">
        <v>0</v>
      </c>
      <c r="O97" s="306">
        <v>0</v>
      </c>
      <c r="P97" s="306">
        <f ca="1">IFERROR(__xludf.DUMMYFUNCTION("IMPORTRANGE(""https://docs.google.com/spreadsheets/d/1C3CXT74ZlgGe6_JY_1olB1XN4rF0dxEuIIF-xsYjHgg/edit?usp=sharing"",""งบกองทุน!M101"")"),0)</f>
        <v>0</v>
      </c>
      <c r="Q97" s="306">
        <v>0</v>
      </c>
      <c r="R97" s="307">
        <f t="shared" ca="1" si="7"/>
        <v>0</v>
      </c>
      <c r="S97" s="308">
        <v>0</v>
      </c>
      <c r="T97" s="306">
        <f t="shared" si="52"/>
        <v>0</v>
      </c>
      <c r="U97" s="309">
        <f t="shared" si="9"/>
        <v>0</v>
      </c>
      <c r="V97" s="308">
        <f ca="1">IFERROR(__xludf.DUMMYFUNCTION("IMPORTRANGE(""https://docs.google.com/spreadsheets/d/1C3CXT74ZlgGe6_JY_1olB1XN4rF0dxEuIIF-xsYjHgg/edit?usp=sharing"",""งบกองทุน!O101"")"),0)</f>
        <v>0</v>
      </c>
      <c r="W97" s="306">
        <v>0</v>
      </c>
      <c r="X97" s="309">
        <f t="shared" ca="1" si="11"/>
        <v>0</v>
      </c>
      <c r="Y97" s="308">
        <f ca="1">IFERROR(__xludf.DUMMYFUNCTION("IMPORTRANGE(""https://docs.google.com/spreadsheets/d/1C3CXT74ZlgGe6_JY_1olB1XN4rF0dxEuIIF-xsYjHgg/edit?usp=sharing"",""งบกองทุน!P101"")"),0)</f>
        <v>0</v>
      </c>
      <c r="Z97" s="306">
        <v>0</v>
      </c>
      <c r="AA97" s="309">
        <f t="shared" ca="1" si="13"/>
        <v>0</v>
      </c>
      <c r="AB97" s="302"/>
    </row>
    <row r="98" spans="1:28" ht="24" hidden="1" customHeight="1">
      <c r="A98" s="327">
        <f t="shared" si="88"/>
        <v>7</v>
      </c>
      <c r="B98" s="328" t="s">
        <v>122</v>
      </c>
      <c r="C98" s="305">
        <f t="shared" ca="1" si="87"/>
        <v>2747160</v>
      </c>
      <c r="D98" s="306">
        <f ca="1">IFERROR(__xludf.DUMMYFUNCTION("IMPORTRANGE(""https://docs.google.com/spreadsheets/d/1C3CXT74ZlgGe6_JY_1olB1XN4rF0dxEuIIF-xsYjHgg/edit?usp=sharing"",""งบกองทุน!D102"")"),0)</f>
        <v>0</v>
      </c>
      <c r="E98" s="306">
        <f ca="1">IFERROR(__xludf.DUMMYFUNCTION("IMPORTRANGE(""https://docs.google.com/spreadsheets/d/1C3CXT74ZlgGe6_JY_1olB1XN4rF0dxEuIIF-xsYjHgg/edit?usp=sharing"",""งบกองทุน!E102"")"),2747160)</f>
        <v>2747160</v>
      </c>
      <c r="F98" s="307">
        <f ca="1">IFERROR(__xludf.DUMMYFUNCTION("IMPORTRANGE(""https://docs.google.com/spreadsheets/d/1muirlRDkqiswvy_NRZ3Yh955hx-PF6_HhssUYiSJj8o/edit?usp=sharing"",""กองทุนส่วนกลาง!H10"")"),273317.26)</f>
        <v>273317.26</v>
      </c>
      <c r="G98" s="307">
        <f t="shared" ca="1" si="1"/>
        <v>9.9490841450807377</v>
      </c>
      <c r="H98" s="306">
        <f ca="1">IFERROR(__xludf.DUMMYFUNCTION("IMPORTRANGE(""https://docs.google.com/spreadsheets/d/1C3CXT74ZlgGe6_JY_1olB1XN4rF0dxEuIIF-xsYjHgg/edit?usp=sharing"",""งบกองทุน!F102"")"),120)</f>
        <v>120</v>
      </c>
      <c r="I98" s="307">
        <v>120</v>
      </c>
      <c r="J98" s="307">
        <f t="shared" ca="1" si="3"/>
        <v>100</v>
      </c>
      <c r="K98" s="308">
        <f ca="1">IFERROR(__xludf.DUMMYFUNCTION("IMPORTRANGE(""https://docs.google.com/spreadsheets/d/1C3CXT74ZlgGe6_JY_1olB1XN4rF0dxEuIIF-xsYjHgg/edit?usp=sharing"",""งบกองทุน!H102"")"),0)</f>
        <v>0</v>
      </c>
      <c r="L98" s="306">
        <f t="shared" si="83"/>
        <v>0</v>
      </c>
      <c r="M98" s="307">
        <f t="shared" ca="1" si="5"/>
        <v>0</v>
      </c>
      <c r="N98" s="306">
        <v>0</v>
      </c>
      <c r="O98" s="306">
        <v>0</v>
      </c>
      <c r="P98" s="306">
        <f ca="1">IFERROR(__xludf.DUMMYFUNCTION("IMPORTRANGE(""https://docs.google.com/spreadsheets/d/1C3CXT74ZlgGe6_JY_1olB1XN4rF0dxEuIIF-xsYjHgg/edit?usp=sharing"",""งบกองทุน!M102"")"),100)</f>
        <v>100</v>
      </c>
      <c r="Q98" s="306">
        <v>0</v>
      </c>
      <c r="R98" s="307">
        <f t="shared" ca="1" si="7"/>
        <v>0</v>
      </c>
      <c r="S98" s="308">
        <v>0</v>
      </c>
      <c r="T98" s="306">
        <f t="shared" si="52"/>
        <v>0</v>
      </c>
      <c r="U98" s="309">
        <f t="shared" si="9"/>
        <v>0</v>
      </c>
      <c r="V98" s="308">
        <f ca="1">IFERROR(__xludf.DUMMYFUNCTION("IMPORTRANGE(""https://docs.google.com/spreadsheets/d/1C3CXT74ZlgGe6_JY_1olB1XN4rF0dxEuIIF-xsYjHgg/edit?usp=sharing"",""งบกองทุน!O102"")"),0)</f>
        <v>0</v>
      </c>
      <c r="W98" s="306">
        <v>0</v>
      </c>
      <c r="X98" s="309">
        <f t="shared" ca="1" si="11"/>
        <v>0</v>
      </c>
      <c r="Y98" s="308">
        <f ca="1">IFERROR(__xludf.DUMMYFUNCTION("IMPORTRANGE(""https://docs.google.com/spreadsheets/d/1C3CXT74ZlgGe6_JY_1olB1XN4rF0dxEuIIF-xsYjHgg/edit?usp=sharing"",""งบกองทุน!P102"")"),0)</f>
        <v>0</v>
      </c>
      <c r="Z98" s="306">
        <v>0</v>
      </c>
      <c r="AA98" s="309">
        <f t="shared" ca="1" si="13"/>
        <v>0</v>
      </c>
      <c r="AB98" s="302"/>
    </row>
    <row r="99" spans="1:28" ht="24" hidden="1" customHeight="1">
      <c r="A99" s="327">
        <f t="shared" si="88"/>
        <v>8</v>
      </c>
      <c r="B99" s="328" t="s">
        <v>123</v>
      </c>
      <c r="C99" s="305">
        <f t="shared" ca="1" si="87"/>
        <v>0</v>
      </c>
      <c r="D99" s="306">
        <f ca="1">IFERROR(__xludf.DUMMYFUNCTION("IMPORTRANGE(""https://docs.google.com/spreadsheets/d/1C3CXT74ZlgGe6_JY_1olB1XN4rF0dxEuIIF-xsYjHgg/edit?usp=sharing"",""งบกองทุน!D103"")"),0)</f>
        <v>0</v>
      </c>
      <c r="E99" s="306">
        <f ca="1">IFERROR(__xludf.DUMMYFUNCTION("IMPORTRANGE(""https://docs.google.com/spreadsheets/d/1C3CXT74ZlgGe6_JY_1olB1XN4rF0dxEuIIF-xsYjHgg/edit?usp=sharing"",""งบกองทุน!E103"")"),0)</f>
        <v>0</v>
      </c>
      <c r="F99" s="307">
        <v>0</v>
      </c>
      <c r="G99" s="307">
        <f t="shared" ca="1" si="1"/>
        <v>0</v>
      </c>
      <c r="H99" s="306">
        <f ca="1">IFERROR(__xludf.DUMMYFUNCTION("IMPORTRANGE(""https://docs.google.com/spreadsheets/d/1C3CXT74ZlgGe6_JY_1olB1XN4rF0dxEuIIF-xsYjHgg/edit?usp=sharing"",""งบกองทุน!F103"")"),0)</f>
        <v>0</v>
      </c>
      <c r="I99" s="307">
        <v>0</v>
      </c>
      <c r="J99" s="307">
        <f t="shared" ca="1" si="3"/>
        <v>0</v>
      </c>
      <c r="K99" s="308">
        <f ca="1">IFERROR(__xludf.DUMMYFUNCTION("IMPORTRANGE(""https://docs.google.com/spreadsheets/d/1C3CXT74ZlgGe6_JY_1olB1XN4rF0dxEuIIF-xsYjHgg/edit?usp=sharing"",""งบกองทุน!H103"")"),0)</f>
        <v>0</v>
      </c>
      <c r="L99" s="306">
        <f t="shared" si="83"/>
        <v>0</v>
      </c>
      <c r="M99" s="307">
        <f t="shared" ca="1" si="5"/>
        <v>0</v>
      </c>
      <c r="N99" s="306">
        <v>0</v>
      </c>
      <c r="O99" s="306">
        <v>0</v>
      </c>
      <c r="P99" s="306">
        <f ca="1">IFERROR(__xludf.DUMMYFUNCTION("IMPORTRANGE(""https://docs.google.com/spreadsheets/d/1C3CXT74ZlgGe6_JY_1olB1XN4rF0dxEuIIF-xsYjHgg/edit?usp=sharing"",""งบกองทุน!M103"")"),0)</f>
        <v>0</v>
      </c>
      <c r="Q99" s="306">
        <v>0</v>
      </c>
      <c r="R99" s="307">
        <f t="shared" ca="1" si="7"/>
        <v>0</v>
      </c>
      <c r="S99" s="308">
        <v>0</v>
      </c>
      <c r="T99" s="306">
        <f t="shared" si="52"/>
        <v>0</v>
      </c>
      <c r="U99" s="309">
        <f t="shared" si="9"/>
        <v>0</v>
      </c>
      <c r="V99" s="308">
        <f ca="1">IFERROR(__xludf.DUMMYFUNCTION("IMPORTRANGE(""https://docs.google.com/spreadsheets/d/1C3CXT74ZlgGe6_JY_1olB1XN4rF0dxEuIIF-xsYjHgg/edit?usp=sharing"",""งบกองทุน!O103"")"),0)</f>
        <v>0</v>
      </c>
      <c r="W99" s="306">
        <v>0</v>
      </c>
      <c r="X99" s="309">
        <f t="shared" ca="1" si="11"/>
        <v>0</v>
      </c>
      <c r="Y99" s="308">
        <f ca="1">IFERROR(__xludf.DUMMYFUNCTION("IMPORTRANGE(""https://docs.google.com/spreadsheets/d/1C3CXT74ZlgGe6_JY_1olB1XN4rF0dxEuIIF-xsYjHgg/edit?usp=sharing"",""งบกองทุน!P103"")"),0)</f>
        <v>0</v>
      </c>
      <c r="Z99" s="306">
        <v>0</v>
      </c>
      <c r="AA99" s="309">
        <f t="shared" ca="1" si="13"/>
        <v>0</v>
      </c>
      <c r="AB99" s="302"/>
    </row>
    <row r="100" spans="1:28" ht="24" hidden="1" customHeight="1">
      <c r="A100" s="327">
        <f t="shared" si="88"/>
        <v>9</v>
      </c>
      <c r="B100" s="328" t="s">
        <v>124</v>
      </c>
      <c r="C100" s="305">
        <f t="shared" ca="1" si="87"/>
        <v>0</v>
      </c>
      <c r="D100" s="306">
        <f ca="1">IFERROR(__xludf.DUMMYFUNCTION("IMPORTRANGE(""https://docs.google.com/spreadsheets/d/1C3CXT74ZlgGe6_JY_1olB1XN4rF0dxEuIIF-xsYjHgg/edit?usp=sharing"",""งบกองทุน!D104"")"),0)</f>
        <v>0</v>
      </c>
      <c r="E100" s="306">
        <f ca="1">IFERROR(__xludf.DUMMYFUNCTION("IMPORTRANGE(""https://docs.google.com/spreadsheets/d/1C3CXT74ZlgGe6_JY_1olB1XN4rF0dxEuIIF-xsYjHgg/edit?usp=sharing"",""งบกองทุน!E104"")"),0)</f>
        <v>0</v>
      </c>
      <c r="F100" s="307">
        <v>0</v>
      </c>
      <c r="G100" s="307">
        <f t="shared" ca="1" si="1"/>
        <v>0</v>
      </c>
      <c r="H100" s="306">
        <f ca="1">IFERROR(__xludf.DUMMYFUNCTION("IMPORTRANGE(""https://docs.google.com/spreadsheets/d/1C3CXT74ZlgGe6_JY_1olB1XN4rF0dxEuIIF-xsYjHgg/edit?usp=sharing"",""งบกองทุน!F104"")"),0)</f>
        <v>0</v>
      </c>
      <c r="I100" s="307">
        <v>0</v>
      </c>
      <c r="J100" s="307">
        <f t="shared" ca="1" si="3"/>
        <v>0</v>
      </c>
      <c r="K100" s="308">
        <f ca="1">IFERROR(__xludf.DUMMYFUNCTION("IMPORTRANGE(""https://docs.google.com/spreadsheets/d/1C3CXT74ZlgGe6_JY_1olB1XN4rF0dxEuIIF-xsYjHgg/edit?usp=sharing"",""งบกองทุน!H104"")"),0)</f>
        <v>0</v>
      </c>
      <c r="L100" s="306">
        <f t="shared" si="83"/>
        <v>0</v>
      </c>
      <c r="M100" s="307">
        <f t="shared" ca="1" si="5"/>
        <v>0</v>
      </c>
      <c r="N100" s="306">
        <v>0</v>
      </c>
      <c r="O100" s="306">
        <v>0</v>
      </c>
      <c r="P100" s="306">
        <f ca="1">IFERROR(__xludf.DUMMYFUNCTION("IMPORTRANGE(""https://docs.google.com/spreadsheets/d/1C3CXT74ZlgGe6_JY_1olB1XN4rF0dxEuIIF-xsYjHgg/edit?usp=sharing"",""งบกองทุน!M104"")"),0)</f>
        <v>0</v>
      </c>
      <c r="Q100" s="306">
        <v>0</v>
      </c>
      <c r="R100" s="307">
        <f t="shared" ca="1" si="7"/>
        <v>0</v>
      </c>
      <c r="S100" s="308">
        <v>0</v>
      </c>
      <c r="T100" s="306">
        <f t="shared" si="52"/>
        <v>0</v>
      </c>
      <c r="U100" s="309">
        <f t="shared" si="9"/>
        <v>0</v>
      </c>
      <c r="V100" s="308">
        <f ca="1">IFERROR(__xludf.DUMMYFUNCTION("IMPORTRANGE(""https://docs.google.com/spreadsheets/d/1C3CXT74ZlgGe6_JY_1olB1XN4rF0dxEuIIF-xsYjHgg/edit?usp=sharing"",""งบกองทุน!O104"")"),0)</f>
        <v>0</v>
      </c>
      <c r="W100" s="306">
        <v>0</v>
      </c>
      <c r="X100" s="309">
        <f t="shared" ca="1" si="11"/>
        <v>0</v>
      </c>
      <c r="Y100" s="308">
        <f ca="1">IFERROR(__xludf.DUMMYFUNCTION("IMPORTRANGE(""https://docs.google.com/spreadsheets/d/1C3CXT74ZlgGe6_JY_1olB1XN4rF0dxEuIIF-xsYjHgg/edit?usp=sharing"",""งบกองทุน!P104"")"),0)</f>
        <v>0</v>
      </c>
      <c r="Z100" s="306">
        <v>0</v>
      </c>
      <c r="AA100" s="309">
        <f t="shared" ca="1" si="13"/>
        <v>0</v>
      </c>
      <c r="AB100" s="302"/>
    </row>
    <row r="101" spans="1:28" ht="24" hidden="1" customHeight="1">
      <c r="A101" s="327">
        <f t="shared" si="88"/>
        <v>10</v>
      </c>
      <c r="B101" s="328" t="s">
        <v>125</v>
      </c>
      <c r="C101" s="305">
        <f t="shared" ca="1" si="87"/>
        <v>0</v>
      </c>
      <c r="D101" s="306">
        <f ca="1">IFERROR(__xludf.DUMMYFUNCTION("IMPORTRANGE(""https://docs.google.com/spreadsheets/d/1C3CXT74ZlgGe6_JY_1olB1XN4rF0dxEuIIF-xsYjHgg/edit?usp=sharing"",""งบกองทุน!D105"")"),0)</f>
        <v>0</v>
      </c>
      <c r="E101" s="306">
        <f ca="1">IFERROR(__xludf.DUMMYFUNCTION("IMPORTRANGE(""https://docs.google.com/spreadsheets/d/1C3CXT74ZlgGe6_JY_1olB1XN4rF0dxEuIIF-xsYjHgg/edit?usp=sharing"",""งบกองทุน!E105"")"),0)</f>
        <v>0</v>
      </c>
      <c r="F101" s="307">
        <v>0</v>
      </c>
      <c r="G101" s="307">
        <f t="shared" ca="1" si="1"/>
        <v>0</v>
      </c>
      <c r="H101" s="306">
        <f ca="1">IFERROR(__xludf.DUMMYFUNCTION("IMPORTRANGE(""https://docs.google.com/spreadsheets/d/1C3CXT74ZlgGe6_JY_1olB1XN4rF0dxEuIIF-xsYjHgg/edit?usp=sharing"",""งบกองทุน!F105"")"),0)</f>
        <v>0</v>
      </c>
      <c r="I101" s="307">
        <v>0</v>
      </c>
      <c r="J101" s="307">
        <f t="shared" ca="1" si="3"/>
        <v>0</v>
      </c>
      <c r="K101" s="308">
        <f ca="1">IFERROR(__xludf.DUMMYFUNCTION("IMPORTRANGE(""https://docs.google.com/spreadsheets/d/1C3CXT74ZlgGe6_JY_1olB1XN4rF0dxEuIIF-xsYjHgg/edit?usp=sharing"",""งบกองทุน!H105"")"),0)</f>
        <v>0</v>
      </c>
      <c r="L101" s="306">
        <f t="shared" si="83"/>
        <v>0</v>
      </c>
      <c r="M101" s="307">
        <f t="shared" ca="1" si="5"/>
        <v>0</v>
      </c>
      <c r="N101" s="306">
        <v>0</v>
      </c>
      <c r="O101" s="306">
        <v>0</v>
      </c>
      <c r="P101" s="306">
        <f ca="1">IFERROR(__xludf.DUMMYFUNCTION("IMPORTRANGE(""https://docs.google.com/spreadsheets/d/1C3CXT74ZlgGe6_JY_1olB1XN4rF0dxEuIIF-xsYjHgg/edit?usp=sharing"",""งบกองทุน!M105"")"),0)</f>
        <v>0</v>
      </c>
      <c r="Q101" s="306">
        <v>0</v>
      </c>
      <c r="R101" s="307">
        <f t="shared" ca="1" si="7"/>
        <v>0</v>
      </c>
      <c r="S101" s="308">
        <v>0</v>
      </c>
      <c r="T101" s="306">
        <f t="shared" si="52"/>
        <v>0</v>
      </c>
      <c r="U101" s="309">
        <f t="shared" si="9"/>
        <v>0</v>
      </c>
      <c r="V101" s="308">
        <f ca="1">IFERROR(__xludf.DUMMYFUNCTION("IMPORTRANGE(""https://docs.google.com/spreadsheets/d/1C3CXT74ZlgGe6_JY_1olB1XN4rF0dxEuIIF-xsYjHgg/edit?usp=sharing"",""งบกองทุน!O105"")"),0)</f>
        <v>0</v>
      </c>
      <c r="W101" s="306">
        <v>0</v>
      </c>
      <c r="X101" s="309">
        <f t="shared" ca="1" si="11"/>
        <v>0</v>
      </c>
      <c r="Y101" s="308">
        <f ca="1">IFERROR(__xludf.DUMMYFUNCTION("IMPORTRANGE(""https://docs.google.com/spreadsheets/d/1C3CXT74ZlgGe6_JY_1olB1XN4rF0dxEuIIF-xsYjHgg/edit?usp=sharing"",""งบกองทุน!P105"")"),0)</f>
        <v>0</v>
      </c>
      <c r="Z101" s="306">
        <v>0</v>
      </c>
      <c r="AA101" s="309">
        <f t="shared" ca="1" si="13"/>
        <v>0</v>
      </c>
      <c r="AB101" s="302"/>
    </row>
    <row r="102" spans="1:28" ht="24" hidden="1" customHeight="1">
      <c r="A102" s="327">
        <f t="shared" si="88"/>
        <v>11</v>
      </c>
      <c r="B102" s="328" t="s">
        <v>126</v>
      </c>
      <c r="C102" s="305">
        <f t="shared" ca="1" si="87"/>
        <v>0</v>
      </c>
      <c r="D102" s="306">
        <f ca="1">IFERROR(__xludf.DUMMYFUNCTION("IMPORTRANGE(""https://docs.google.com/spreadsheets/d/1C3CXT74ZlgGe6_JY_1olB1XN4rF0dxEuIIF-xsYjHgg/edit?usp=sharing"",""งบกองทุน!D106"")"),0)</f>
        <v>0</v>
      </c>
      <c r="E102" s="306">
        <f ca="1">IFERROR(__xludf.DUMMYFUNCTION("IMPORTRANGE(""https://docs.google.com/spreadsheets/d/1C3CXT74ZlgGe6_JY_1olB1XN4rF0dxEuIIF-xsYjHgg/edit?usp=sharing"",""งบกองทุน!E106"")"),0)</f>
        <v>0</v>
      </c>
      <c r="F102" s="307">
        <v>0</v>
      </c>
      <c r="G102" s="307">
        <f t="shared" ca="1" si="1"/>
        <v>0</v>
      </c>
      <c r="H102" s="306">
        <f ca="1">IFERROR(__xludf.DUMMYFUNCTION("IMPORTRANGE(""https://docs.google.com/spreadsheets/d/1C3CXT74ZlgGe6_JY_1olB1XN4rF0dxEuIIF-xsYjHgg/edit?usp=sharing"",""งบกองทุน!F106"")"),0)</f>
        <v>0</v>
      </c>
      <c r="I102" s="307">
        <v>0</v>
      </c>
      <c r="J102" s="307">
        <f t="shared" ca="1" si="3"/>
        <v>0</v>
      </c>
      <c r="K102" s="308">
        <f ca="1">IFERROR(__xludf.DUMMYFUNCTION("IMPORTRANGE(""https://docs.google.com/spreadsheets/d/1C3CXT74ZlgGe6_JY_1olB1XN4rF0dxEuIIF-xsYjHgg/edit?usp=sharing"",""งบกองทุน!H106"")"),0)</f>
        <v>0</v>
      </c>
      <c r="L102" s="306">
        <f t="shared" si="83"/>
        <v>0</v>
      </c>
      <c r="M102" s="307">
        <f t="shared" ca="1" si="5"/>
        <v>0</v>
      </c>
      <c r="N102" s="306">
        <v>0</v>
      </c>
      <c r="O102" s="306">
        <v>0</v>
      </c>
      <c r="P102" s="306">
        <f ca="1">IFERROR(__xludf.DUMMYFUNCTION("IMPORTRANGE(""https://docs.google.com/spreadsheets/d/1C3CXT74ZlgGe6_JY_1olB1XN4rF0dxEuIIF-xsYjHgg/edit?usp=sharing"",""งบกองทุน!M106"")"),0)</f>
        <v>0</v>
      </c>
      <c r="Q102" s="306">
        <v>0</v>
      </c>
      <c r="R102" s="307">
        <f t="shared" ca="1" si="7"/>
        <v>0</v>
      </c>
      <c r="S102" s="308">
        <v>0</v>
      </c>
      <c r="T102" s="306">
        <f t="shared" si="52"/>
        <v>0</v>
      </c>
      <c r="U102" s="309">
        <f t="shared" si="9"/>
        <v>0</v>
      </c>
      <c r="V102" s="308">
        <f ca="1">IFERROR(__xludf.DUMMYFUNCTION("IMPORTRANGE(""https://docs.google.com/spreadsheets/d/1C3CXT74ZlgGe6_JY_1olB1XN4rF0dxEuIIF-xsYjHgg/edit?usp=sharing"",""งบกองทุน!O106"")"),0)</f>
        <v>0</v>
      </c>
      <c r="W102" s="306">
        <v>0</v>
      </c>
      <c r="X102" s="309">
        <f t="shared" ca="1" si="11"/>
        <v>0</v>
      </c>
      <c r="Y102" s="308">
        <f ca="1">IFERROR(__xludf.DUMMYFUNCTION("IMPORTRANGE(""https://docs.google.com/spreadsheets/d/1C3CXT74ZlgGe6_JY_1olB1XN4rF0dxEuIIF-xsYjHgg/edit?usp=sharing"",""งบกองทุน!P106"")"),0)</f>
        <v>0</v>
      </c>
      <c r="Z102" s="306">
        <v>0</v>
      </c>
      <c r="AA102" s="309">
        <f t="shared" ca="1" si="13"/>
        <v>0</v>
      </c>
      <c r="AB102" s="302"/>
    </row>
    <row r="103" spans="1:28" ht="24" hidden="1" customHeight="1">
      <c r="A103" s="327">
        <f t="shared" si="88"/>
        <v>12</v>
      </c>
      <c r="B103" s="328" t="s">
        <v>127</v>
      </c>
      <c r="C103" s="305">
        <f t="shared" ca="1" si="87"/>
        <v>0</v>
      </c>
      <c r="D103" s="306">
        <f ca="1">IFERROR(__xludf.DUMMYFUNCTION("IMPORTRANGE(""https://docs.google.com/spreadsheets/d/1C3CXT74ZlgGe6_JY_1olB1XN4rF0dxEuIIF-xsYjHgg/edit?usp=sharing"",""งบกองทุน!D107"")"),0)</f>
        <v>0</v>
      </c>
      <c r="E103" s="306">
        <f ca="1">IFERROR(__xludf.DUMMYFUNCTION("IMPORTRANGE(""https://docs.google.com/spreadsheets/d/1C3CXT74ZlgGe6_JY_1olB1XN4rF0dxEuIIF-xsYjHgg/edit?usp=sharing"",""งบกองทุน!E107"")"),0)</f>
        <v>0</v>
      </c>
      <c r="F103" s="307">
        <v>0</v>
      </c>
      <c r="G103" s="307">
        <f t="shared" ca="1" si="1"/>
        <v>0</v>
      </c>
      <c r="H103" s="306">
        <f ca="1">IFERROR(__xludf.DUMMYFUNCTION("IMPORTRANGE(""https://docs.google.com/spreadsheets/d/1C3CXT74ZlgGe6_JY_1olB1XN4rF0dxEuIIF-xsYjHgg/edit?usp=sharing"",""งบกองทุน!F107"")"),0)</f>
        <v>0</v>
      </c>
      <c r="I103" s="307">
        <v>0</v>
      </c>
      <c r="J103" s="307">
        <f t="shared" ca="1" si="3"/>
        <v>0</v>
      </c>
      <c r="K103" s="308">
        <f ca="1">IFERROR(__xludf.DUMMYFUNCTION("IMPORTRANGE(""https://docs.google.com/spreadsheets/d/1C3CXT74ZlgGe6_JY_1olB1XN4rF0dxEuIIF-xsYjHgg/edit?usp=sharing"",""งบกองทุน!H107"")"),0)</f>
        <v>0</v>
      </c>
      <c r="L103" s="306">
        <f t="shared" si="83"/>
        <v>0</v>
      </c>
      <c r="M103" s="307">
        <f t="shared" ca="1" si="5"/>
        <v>0</v>
      </c>
      <c r="N103" s="306">
        <v>0</v>
      </c>
      <c r="O103" s="306">
        <v>0</v>
      </c>
      <c r="P103" s="306">
        <f ca="1">IFERROR(__xludf.DUMMYFUNCTION("IMPORTRANGE(""https://docs.google.com/spreadsheets/d/1C3CXT74ZlgGe6_JY_1olB1XN4rF0dxEuIIF-xsYjHgg/edit?usp=sharing"",""งบกองทุน!M107"")"),0)</f>
        <v>0</v>
      </c>
      <c r="Q103" s="306">
        <v>0</v>
      </c>
      <c r="R103" s="307">
        <f t="shared" ca="1" si="7"/>
        <v>0</v>
      </c>
      <c r="S103" s="308">
        <v>0</v>
      </c>
      <c r="T103" s="306">
        <f t="shared" si="52"/>
        <v>0</v>
      </c>
      <c r="U103" s="309">
        <f t="shared" si="9"/>
        <v>0</v>
      </c>
      <c r="V103" s="308">
        <f ca="1">IFERROR(__xludf.DUMMYFUNCTION("IMPORTRANGE(""https://docs.google.com/spreadsheets/d/1C3CXT74ZlgGe6_JY_1olB1XN4rF0dxEuIIF-xsYjHgg/edit?usp=sharing"",""งบกองทุน!O107"")"),0)</f>
        <v>0</v>
      </c>
      <c r="W103" s="306">
        <v>0</v>
      </c>
      <c r="X103" s="309">
        <f t="shared" ca="1" si="11"/>
        <v>0</v>
      </c>
      <c r="Y103" s="308">
        <f ca="1">IFERROR(__xludf.DUMMYFUNCTION("IMPORTRANGE(""https://docs.google.com/spreadsheets/d/1C3CXT74ZlgGe6_JY_1olB1XN4rF0dxEuIIF-xsYjHgg/edit?usp=sharing"",""งบกองทุน!P107"")"),0)</f>
        <v>0</v>
      </c>
      <c r="Z103" s="306">
        <v>0</v>
      </c>
      <c r="AA103" s="309">
        <f t="shared" ca="1" si="13"/>
        <v>0</v>
      </c>
      <c r="AB103" s="302"/>
    </row>
    <row r="104" spans="1:28" ht="24" hidden="1" customHeight="1">
      <c r="A104" s="327">
        <f t="shared" si="88"/>
        <v>13</v>
      </c>
      <c r="B104" s="328" t="s">
        <v>128</v>
      </c>
      <c r="C104" s="305">
        <f t="shared" ca="1" si="87"/>
        <v>0</v>
      </c>
      <c r="D104" s="306">
        <f ca="1">IFERROR(__xludf.DUMMYFUNCTION("IMPORTRANGE(""https://docs.google.com/spreadsheets/d/1C3CXT74ZlgGe6_JY_1olB1XN4rF0dxEuIIF-xsYjHgg/edit?usp=sharing"",""งบกองทุน!D108"")"),0)</f>
        <v>0</v>
      </c>
      <c r="E104" s="306">
        <f ca="1">IFERROR(__xludf.DUMMYFUNCTION("IMPORTRANGE(""https://docs.google.com/spreadsheets/d/1C3CXT74ZlgGe6_JY_1olB1XN4rF0dxEuIIF-xsYjHgg/edit?usp=sharing"",""งบกองทุน!E108"")"),0)</f>
        <v>0</v>
      </c>
      <c r="F104" s="307">
        <v>0</v>
      </c>
      <c r="G104" s="307">
        <f t="shared" ca="1" si="1"/>
        <v>0</v>
      </c>
      <c r="H104" s="306">
        <f ca="1">IFERROR(__xludf.DUMMYFUNCTION("IMPORTRANGE(""https://docs.google.com/spreadsheets/d/1C3CXT74ZlgGe6_JY_1olB1XN4rF0dxEuIIF-xsYjHgg/edit?usp=sharing"",""งบกองทุน!F108"")"),0)</f>
        <v>0</v>
      </c>
      <c r="I104" s="307">
        <v>0</v>
      </c>
      <c r="J104" s="307">
        <f t="shared" ca="1" si="3"/>
        <v>0</v>
      </c>
      <c r="K104" s="308">
        <f ca="1">IFERROR(__xludf.DUMMYFUNCTION("IMPORTRANGE(""https://docs.google.com/spreadsheets/d/1C3CXT74ZlgGe6_JY_1olB1XN4rF0dxEuIIF-xsYjHgg/edit?usp=sharing"",""งบกองทุน!H108"")"),0)</f>
        <v>0</v>
      </c>
      <c r="L104" s="306">
        <f t="shared" si="83"/>
        <v>0</v>
      </c>
      <c r="M104" s="307">
        <f t="shared" ca="1" si="5"/>
        <v>0</v>
      </c>
      <c r="N104" s="306">
        <v>0</v>
      </c>
      <c r="O104" s="306">
        <v>0</v>
      </c>
      <c r="P104" s="306">
        <f ca="1">IFERROR(__xludf.DUMMYFUNCTION("IMPORTRANGE(""https://docs.google.com/spreadsheets/d/1C3CXT74ZlgGe6_JY_1olB1XN4rF0dxEuIIF-xsYjHgg/edit?usp=sharing"",""งบกองทุน!M108"")"),0)</f>
        <v>0</v>
      </c>
      <c r="Q104" s="306">
        <v>0</v>
      </c>
      <c r="R104" s="307">
        <f t="shared" ca="1" si="7"/>
        <v>0</v>
      </c>
      <c r="S104" s="308">
        <v>0</v>
      </c>
      <c r="T104" s="306">
        <f t="shared" si="52"/>
        <v>0</v>
      </c>
      <c r="U104" s="309">
        <f t="shared" si="9"/>
        <v>0</v>
      </c>
      <c r="V104" s="308">
        <f ca="1">IFERROR(__xludf.DUMMYFUNCTION("IMPORTRANGE(""https://docs.google.com/spreadsheets/d/1C3CXT74ZlgGe6_JY_1olB1XN4rF0dxEuIIF-xsYjHgg/edit?usp=sharing"",""งบกองทุน!O108"")"),0)</f>
        <v>0</v>
      </c>
      <c r="W104" s="306">
        <v>0</v>
      </c>
      <c r="X104" s="309">
        <f t="shared" ca="1" si="11"/>
        <v>0</v>
      </c>
      <c r="Y104" s="308">
        <f ca="1">IFERROR(__xludf.DUMMYFUNCTION("IMPORTRANGE(""https://docs.google.com/spreadsheets/d/1C3CXT74ZlgGe6_JY_1olB1XN4rF0dxEuIIF-xsYjHgg/edit?usp=sharing"",""งบกองทุน!P108"")"),0)</f>
        <v>0</v>
      </c>
      <c r="Z104" s="306">
        <v>0</v>
      </c>
      <c r="AA104" s="309">
        <f t="shared" ca="1" si="13"/>
        <v>0</v>
      </c>
      <c r="AB104" s="302"/>
    </row>
    <row r="105" spans="1:28" ht="24" hidden="1" customHeight="1">
      <c r="A105" s="329">
        <f t="shared" si="88"/>
        <v>14</v>
      </c>
      <c r="B105" s="330" t="s">
        <v>129</v>
      </c>
      <c r="C105" s="312">
        <f t="shared" ca="1" si="87"/>
        <v>0</v>
      </c>
      <c r="D105" s="313">
        <f ca="1">IFERROR(__xludf.DUMMYFUNCTION("IMPORTRANGE(""https://docs.google.com/spreadsheets/d/1C3CXT74ZlgGe6_JY_1olB1XN4rF0dxEuIIF-xsYjHgg/edit?usp=sharing"",""งบกองทุน!D109"")"),0)</f>
        <v>0</v>
      </c>
      <c r="E105" s="313">
        <f ca="1">IFERROR(__xludf.DUMMYFUNCTION("IMPORTRANGE(""https://docs.google.com/spreadsheets/d/1C3CXT74ZlgGe6_JY_1olB1XN4rF0dxEuIIF-xsYjHgg/edit?usp=sharing"",""งบกองทุน!E109"")"),0)</f>
        <v>0</v>
      </c>
      <c r="F105" s="314">
        <v>0</v>
      </c>
      <c r="G105" s="314">
        <f t="shared" ca="1" si="1"/>
        <v>0</v>
      </c>
      <c r="H105" s="313">
        <f ca="1">IFERROR(__xludf.DUMMYFUNCTION("IMPORTRANGE(""https://docs.google.com/spreadsheets/d/1C3CXT74ZlgGe6_JY_1olB1XN4rF0dxEuIIF-xsYjHgg/edit?usp=sharing"",""งบกองทุน!F109"")"),0)</f>
        <v>0</v>
      </c>
      <c r="I105" s="314">
        <v>0</v>
      </c>
      <c r="J105" s="314">
        <f t="shared" ca="1" si="3"/>
        <v>0</v>
      </c>
      <c r="K105" s="315">
        <f ca="1">IFERROR(__xludf.DUMMYFUNCTION("IMPORTRANGE(""https://docs.google.com/spreadsheets/d/1C3CXT74ZlgGe6_JY_1olB1XN4rF0dxEuIIF-xsYjHgg/edit?usp=sharing"",""งบกองทุน!H109"")"),0)</f>
        <v>0</v>
      </c>
      <c r="L105" s="313">
        <f t="shared" si="83"/>
        <v>0</v>
      </c>
      <c r="M105" s="314">
        <f t="shared" ca="1" si="5"/>
        <v>0</v>
      </c>
      <c r="N105" s="313">
        <v>0</v>
      </c>
      <c r="O105" s="313">
        <v>0</v>
      </c>
      <c r="P105" s="313">
        <f ca="1">IFERROR(__xludf.DUMMYFUNCTION("IMPORTRANGE(""https://docs.google.com/spreadsheets/d/1C3CXT74ZlgGe6_JY_1olB1XN4rF0dxEuIIF-xsYjHgg/edit?usp=sharing"",""งบกองทุน!M109"")"),0)</f>
        <v>0</v>
      </c>
      <c r="Q105" s="313">
        <v>0</v>
      </c>
      <c r="R105" s="314">
        <f t="shared" ca="1" si="7"/>
        <v>0</v>
      </c>
      <c r="S105" s="315">
        <v>0</v>
      </c>
      <c r="T105" s="313">
        <f t="shared" si="52"/>
        <v>0</v>
      </c>
      <c r="U105" s="316">
        <f t="shared" si="9"/>
        <v>0</v>
      </c>
      <c r="V105" s="315">
        <f ca="1">IFERROR(__xludf.DUMMYFUNCTION("IMPORTRANGE(""https://docs.google.com/spreadsheets/d/1C3CXT74ZlgGe6_JY_1olB1XN4rF0dxEuIIF-xsYjHgg/edit?usp=sharing"",""งบกองทุน!O109"")"),0)</f>
        <v>0</v>
      </c>
      <c r="W105" s="313">
        <v>0</v>
      </c>
      <c r="X105" s="316">
        <f t="shared" ca="1" si="11"/>
        <v>0</v>
      </c>
      <c r="Y105" s="315">
        <f ca="1">IFERROR(__xludf.DUMMYFUNCTION("IMPORTRANGE(""https://docs.google.com/spreadsheets/d/1C3CXT74ZlgGe6_JY_1olB1XN4rF0dxEuIIF-xsYjHgg/edit?usp=sharing"",""งบกองทุน!P109"")"),0)</f>
        <v>0</v>
      </c>
      <c r="Z105" s="313">
        <v>0</v>
      </c>
      <c r="AA105" s="316">
        <f t="shared" ca="1" si="13"/>
        <v>0</v>
      </c>
      <c r="AB105" s="302"/>
    </row>
    <row r="106" spans="1:28" ht="27.75" hidden="1" customHeight="1">
      <c r="A106" s="791" t="s">
        <v>130</v>
      </c>
      <c r="B106" s="652"/>
      <c r="C106" s="322">
        <f t="shared" ref="C106:F106" ca="1" si="89">+C107+C108+C109+C110+C111+C112+C113+C114</f>
        <v>0</v>
      </c>
      <c r="D106" s="323">
        <f t="shared" ca="1" si="89"/>
        <v>0</v>
      </c>
      <c r="E106" s="323">
        <f t="shared" ca="1" si="89"/>
        <v>0</v>
      </c>
      <c r="F106" s="323">
        <f t="shared" si="89"/>
        <v>0</v>
      </c>
      <c r="G106" s="324">
        <f t="shared" ca="1" si="1"/>
        <v>0</v>
      </c>
      <c r="H106" s="323">
        <f t="shared" ref="H106:I106" ca="1" si="90">+H107+H108+H109+H110+H111+H112+H113+H114</f>
        <v>0</v>
      </c>
      <c r="I106" s="323">
        <f t="shared" si="90"/>
        <v>0</v>
      </c>
      <c r="J106" s="324">
        <f t="shared" ca="1" si="3"/>
        <v>0</v>
      </c>
      <c r="K106" s="323">
        <f ca="1">+K107+K108+K109+K110+K111+K112+K113+K114</f>
        <v>0</v>
      </c>
      <c r="L106" s="323">
        <f t="shared" si="83"/>
        <v>0</v>
      </c>
      <c r="M106" s="324">
        <f t="shared" ca="1" si="5"/>
        <v>0</v>
      </c>
      <c r="N106" s="323">
        <f t="shared" ref="N106:Q106" si="91">+N107+N108+N109+N110+N111+N112+N113+N114</f>
        <v>0</v>
      </c>
      <c r="O106" s="323">
        <f t="shared" si="91"/>
        <v>0</v>
      </c>
      <c r="P106" s="323">
        <f t="shared" ca="1" si="91"/>
        <v>0</v>
      </c>
      <c r="Q106" s="323">
        <f t="shared" si="91"/>
        <v>0</v>
      </c>
      <c r="R106" s="324">
        <f t="shared" ca="1" si="7"/>
        <v>0</v>
      </c>
      <c r="S106" s="323">
        <f>+S107+S108+S109+S110+S111+S112+S113+S114</f>
        <v>0</v>
      </c>
      <c r="T106" s="323">
        <f t="shared" si="52"/>
        <v>0</v>
      </c>
      <c r="U106" s="324">
        <f t="shared" si="9"/>
        <v>0</v>
      </c>
      <c r="V106" s="323">
        <f t="shared" ref="V106:W106" ca="1" si="92">+V107+V108+V109+V110+V111+V112+V113+V114</f>
        <v>0</v>
      </c>
      <c r="W106" s="323">
        <f t="shared" si="92"/>
        <v>0</v>
      </c>
      <c r="X106" s="324">
        <f t="shared" ca="1" si="11"/>
        <v>0</v>
      </c>
      <c r="Y106" s="323">
        <f t="shared" ref="Y106:Z106" ca="1" si="93">+Y107+Y108+Y109+Y110+Y111+Y112+Y113+Y114</f>
        <v>0</v>
      </c>
      <c r="Z106" s="323">
        <f t="shared" si="93"/>
        <v>0</v>
      </c>
      <c r="AA106" s="324">
        <f t="shared" ca="1" si="13"/>
        <v>0</v>
      </c>
      <c r="AB106" s="302"/>
    </row>
    <row r="107" spans="1:28" ht="24" hidden="1" customHeight="1">
      <c r="A107" s="325">
        <v>1</v>
      </c>
      <c r="B107" s="326" t="s">
        <v>131</v>
      </c>
      <c r="C107" s="295">
        <f t="shared" ref="C107:C114" ca="1" si="94">+D107+E107</f>
        <v>0</v>
      </c>
      <c r="D107" s="296">
        <f ca="1">IFERROR(__xludf.DUMMYFUNCTION("IMPORTRANGE(""https://docs.google.com/spreadsheets/d/1C3CXT74ZlgGe6_JY_1olB1XN4rF0dxEuIIF-xsYjHgg/edit?usp=sharing"",""งบกองทุน!D111"")"),0)</f>
        <v>0</v>
      </c>
      <c r="E107" s="296">
        <f ca="1">IFERROR(__xludf.DUMMYFUNCTION("IMPORTRANGE(""https://docs.google.com/spreadsheets/d/1C3CXT74ZlgGe6_JY_1olB1XN4rF0dxEuIIF-xsYjHgg/edit?usp=sharing"",""งบกองทุน!E111"")"),0)</f>
        <v>0</v>
      </c>
      <c r="F107" s="297">
        <v>0</v>
      </c>
      <c r="G107" s="297">
        <f t="shared" ca="1" si="1"/>
        <v>0</v>
      </c>
      <c r="H107" s="296">
        <f ca="1">IFERROR(__xludf.DUMMYFUNCTION("IMPORTRANGE(""https://docs.google.com/spreadsheets/d/1C3CXT74ZlgGe6_JY_1olB1XN4rF0dxEuIIF-xsYjHgg/edit?usp=sharing"",""งบกองทุน!F111"")"),0)</f>
        <v>0</v>
      </c>
      <c r="I107" s="297">
        <v>0</v>
      </c>
      <c r="J107" s="297">
        <f t="shared" ca="1" si="3"/>
        <v>0</v>
      </c>
      <c r="K107" s="299">
        <f ca="1">IFERROR(__xludf.DUMMYFUNCTION("IMPORTRANGE(""https://docs.google.com/spreadsheets/d/1C3CXT74ZlgGe6_JY_1olB1XN4rF0dxEuIIF-xsYjHgg/edit?usp=sharing"",""งบกองทุน!H111"")"),0)</f>
        <v>0</v>
      </c>
      <c r="L107" s="296">
        <f t="shared" si="83"/>
        <v>0</v>
      </c>
      <c r="M107" s="297">
        <f t="shared" ca="1" si="5"/>
        <v>0</v>
      </c>
      <c r="N107" s="296">
        <v>0</v>
      </c>
      <c r="O107" s="296">
        <v>0</v>
      </c>
      <c r="P107" s="296">
        <f ca="1">IFERROR(__xludf.DUMMYFUNCTION("IMPORTRANGE(""https://docs.google.com/spreadsheets/d/1C3CXT74ZlgGe6_JY_1olB1XN4rF0dxEuIIF-xsYjHgg/edit?usp=sharing"",""งบกองทุน!M111"")"),0)</f>
        <v>0</v>
      </c>
      <c r="Q107" s="296">
        <v>0</v>
      </c>
      <c r="R107" s="297">
        <f t="shared" ca="1" si="7"/>
        <v>0</v>
      </c>
      <c r="S107" s="299">
        <v>0</v>
      </c>
      <c r="T107" s="296">
        <f t="shared" si="52"/>
        <v>0</v>
      </c>
      <c r="U107" s="301">
        <f t="shared" si="9"/>
        <v>0</v>
      </c>
      <c r="V107" s="299">
        <f ca="1">IFERROR(__xludf.DUMMYFUNCTION("IMPORTRANGE(""https://docs.google.com/spreadsheets/d/1C3CXT74ZlgGe6_JY_1olB1XN4rF0dxEuIIF-xsYjHgg/edit?usp=sharing"",""งบกองทุน!O111"")"),0)</f>
        <v>0</v>
      </c>
      <c r="W107" s="296">
        <v>0</v>
      </c>
      <c r="X107" s="301">
        <f t="shared" ca="1" si="11"/>
        <v>0</v>
      </c>
      <c r="Y107" s="299">
        <f ca="1">IFERROR(__xludf.DUMMYFUNCTION("IMPORTRANGE(""https://docs.google.com/spreadsheets/d/1C3CXT74ZlgGe6_JY_1olB1XN4rF0dxEuIIF-xsYjHgg/edit?usp=sharing"",""งบกองทุน!P111"")"),0)</f>
        <v>0</v>
      </c>
      <c r="Z107" s="296">
        <v>0</v>
      </c>
      <c r="AA107" s="301">
        <f t="shared" ca="1" si="13"/>
        <v>0</v>
      </c>
      <c r="AB107" s="302"/>
    </row>
    <row r="108" spans="1:28" ht="24" hidden="1" customHeight="1">
      <c r="A108" s="327">
        <v>2</v>
      </c>
      <c r="B108" s="328" t="s">
        <v>132</v>
      </c>
      <c r="C108" s="305">
        <f t="shared" ca="1" si="94"/>
        <v>0</v>
      </c>
      <c r="D108" s="306">
        <f ca="1">IFERROR(__xludf.DUMMYFUNCTION("IMPORTRANGE(""https://docs.google.com/spreadsheets/d/1C3CXT74ZlgGe6_JY_1olB1XN4rF0dxEuIIF-xsYjHgg/edit?usp=sharing"",""งบกองทุน!D112"")"),0)</f>
        <v>0</v>
      </c>
      <c r="E108" s="306">
        <f ca="1">IFERROR(__xludf.DUMMYFUNCTION("IMPORTRANGE(""https://docs.google.com/spreadsheets/d/1C3CXT74ZlgGe6_JY_1olB1XN4rF0dxEuIIF-xsYjHgg/edit?usp=sharing"",""งบกองทุน!E112"")"),0)</f>
        <v>0</v>
      </c>
      <c r="F108" s="307">
        <v>0</v>
      </c>
      <c r="G108" s="307">
        <f t="shared" ca="1" si="1"/>
        <v>0</v>
      </c>
      <c r="H108" s="306">
        <f ca="1">IFERROR(__xludf.DUMMYFUNCTION("IMPORTRANGE(""https://docs.google.com/spreadsheets/d/1C3CXT74ZlgGe6_JY_1olB1XN4rF0dxEuIIF-xsYjHgg/edit?usp=sharing"",""งบกองทุน!F112"")"),0)</f>
        <v>0</v>
      </c>
      <c r="I108" s="307">
        <v>0</v>
      </c>
      <c r="J108" s="307">
        <f t="shared" ca="1" si="3"/>
        <v>0</v>
      </c>
      <c r="K108" s="308">
        <f ca="1">IFERROR(__xludf.DUMMYFUNCTION("IMPORTRANGE(""https://docs.google.com/spreadsheets/d/1C3CXT74ZlgGe6_JY_1olB1XN4rF0dxEuIIF-xsYjHgg/edit?usp=sharing"",""งบกองทุน!H112"")"),0)</f>
        <v>0</v>
      </c>
      <c r="L108" s="306">
        <f t="shared" si="83"/>
        <v>0</v>
      </c>
      <c r="M108" s="307">
        <f t="shared" ca="1" si="5"/>
        <v>0</v>
      </c>
      <c r="N108" s="306">
        <v>0</v>
      </c>
      <c r="O108" s="306">
        <v>0</v>
      </c>
      <c r="P108" s="306">
        <f ca="1">IFERROR(__xludf.DUMMYFUNCTION("IMPORTRANGE(""https://docs.google.com/spreadsheets/d/1C3CXT74ZlgGe6_JY_1olB1XN4rF0dxEuIIF-xsYjHgg/edit?usp=sharing"",""งบกองทุน!M112"")"),0)</f>
        <v>0</v>
      </c>
      <c r="Q108" s="306">
        <v>0</v>
      </c>
      <c r="R108" s="307">
        <f t="shared" ca="1" si="7"/>
        <v>0</v>
      </c>
      <c r="S108" s="308">
        <v>0</v>
      </c>
      <c r="T108" s="306">
        <f t="shared" si="52"/>
        <v>0</v>
      </c>
      <c r="U108" s="309">
        <f t="shared" si="9"/>
        <v>0</v>
      </c>
      <c r="V108" s="308">
        <f ca="1">IFERROR(__xludf.DUMMYFUNCTION("IMPORTRANGE(""https://docs.google.com/spreadsheets/d/1C3CXT74ZlgGe6_JY_1olB1XN4rF0dxEuIIF-xsYjHgg/edit?usp=sharing"",""งบกองทุน!O112"")"),0)</f>
        <v>0</v>
      </c>
      <c r="W108" s="306">
        <v>0</v>
      </c>
      <c r="X108" s="309">
        <f t="shared" ca="1" si="11"/>
        <v>0</v>
      </c>
      <c r="Y108" s="308">
        <f ca="1">IFERROR(__xludf.DUMMYFUNCTION("IMPORTRANGE(""https://docs.google.com/spreadsheets/d/1C3CXT74ZlgGe6_JY_1olB1XN4rF0dxEuIIF-xsYjHgg/edit?usp=sharing"",""งบกองทุน!P112"")"),0)</f>
        <v>0</v>
      </c>
      <c r="Z108" s="306">
        <v>0</v>
      </c>
      <c r="AA108" s="309">
        <f t="shared" ca="1" si="13"/>
        <v>0</v>
      </c>
      <c r="AB108" s="302"/>
    </row>
    <row r="109" spans="1:28" ht="24" hidden="1" customHeight="1">
      <c r="A109" s="327">
        <v>3</v>
      </c>
      <c r="B109" s="328" t="s">
        <v>133</v>
      </c>
      <c r="C109" s="305">
        <f t="shared" ca="1" si="94"/>
        <v>0</v>
      </c>
      <c r="D109" s="306">
        <f ca="1">IFERROR(__xludf.DUMMYFUNCTION("IMPORTRANGE(""https://docs.google.com/spreadsheets/d/1C3CXT74ZlgGe6_JY_1olB1XN4rF0dxEuIIF-xsYjHgg/edit?usp=sharing"",""งบกองทุน!D113"")"),0)</f>
        <v>0</v>
      </c>
      <c r="E109" s="306">
        <f ca="1">IFERROR(__xludf.DUMMYFUNCTION("IMPORTRANGE(""https://docs.google.com/spreadsheets/d/1C3CXT74ZlgGe6_JY_1olB1XN4rF0dxEuIIF-xsYjHgg/edit?usp=sharing"",""งบกองทุน!E113"")"),0)</f>
        <v>0</v>
      </c>
      <c r="F109" s="307">
        <v>0</v>
      </c>
      <c r="G109" s="307">
        <f t="shared" ca="1" si="1"/>
        <v>0</v>
      </c>
      <c r="H109" s="306">
        <f ca="1">IFERROR(__xludf.DUMMYFUNCTION("IMPORTRANGE(""https://docs.google.com/spreadsheets/d/1C3CXT74ZlgGe6_JY_1olB1XN4rF0dxEuIIF-xsYjHgg/edit?usp=sharing"",""งบกองทุน!F113"")"),0)</f>
        <v>0</v>
      </c>
      <c r="I109" s="307">
        <v>0</v>
      </c>
      <c r="J109" s="307">
        <f t="shared" ca="1" si="3"/>
        <v>0</v>
      </c>
      <c r="K109" s="308">
        <f ca="1">IFERROR(__xludf.DUMMYFUNCTION("IMPORTRANGE(""https://docs.google.com/spreadsheets/d/1C3CXT74ZlgGe6_JY_1olB1XN4rF0dxEuIIF-xsYjHgg/edit?usp=sharing"",""งบกองทุน!H113"")"),0)</f>
        <v>0</v>
      </c>
      <c r="L109" s="306">
        <f t="shared" si="83"/>
        <v>0</v>
      </c>
      <c r="M109" s="307">
        <f t="shared" ca="1" si="5"/>
        <v>0</v>
      </c>
      <c r="N109" s="306">
        <v>0</v>
      </c>
      <c r="O109" s="306">
        <v>0</v>
      </c>
      <c r="P109" s="306">
        <f ca="1">IFERROR(__xludf.DUMMYFUNCTION("IMPORTRANGE(""https://docs.google.com/spreadsheets/d/1C3CXT74ZlgGe6_JY_1olB1XN4rF0dxEuIIF-xsYjHgg/edit?usp=sharing"",""งบกองทุน!M113"")"),0)</f>
        <v>0</v>
      </c>
      <c r="Q109" s="306">
        <v>0</v>
      </c>
      <c r="R109" s="307">
        <f t="shared" ca="1" si="7"/>
        <v>0</v>
      </c>
      <c r="S109" s="308">
        <v>0</v>
      </c>
      <c r="T109" s="306">
        <f t="shared" si="52"/>
        <v>0</v>
      </c>
      <c r="U109" s="309">
        <f t="shared" si="9"/>
        <v>0</v>
      </c>
      <c r="V109" s="308">
        <f ca="1">IFERROR(__xludf.DUMMYFUNCTION("IMPORTRANGE(""https://docs.google.com/spreadsheets/d/1C3CXT74ZlgGe6_JY_1olB1XN4rF0dxEuIIF-xsYjHgg/edit?usp=sharing"",""งบกองทุน!O113"")"),0)</f>
        <v>0</v>
      </c>
      <c r="W109" s="306">
        <v>0</v>
      </c>
      <c r="X109" s="309">
        <f t="shared" ca="1" si="11"/>
        <v>0</v>
      </c>
      <c r="Y109" s="308">
        <f ca="1">IFERROR(__xludf.DUMMYFUNCTION("IMPORTRANGE(""https://docs.google.com/spreadsheets/d/1C3CXT74ZlgGe6_JY_1olB1XN4rF0dxEuIIF-xsYjHgg/edit?usp=sharing"",""งบกองทุน!P113"")"),0)</f>
        <v>0</v>
      </c>
      <c r="Z109" s="306">
        <v>0</v>
      </c>
      <c r="AA109" s="309">
        <f t="shared" ca="1" si="13"/>
        <v>0</v>
      </c>
      <c r="AB109" s="302"/>
    </row>
    <row r="110" spans="1:28" ht="24" hidden="1" customHeight="1">
      <c r="A110" s="327">
        <f t="shared" ref="A110:A112" si="95">+A109+1</f>
        <v>4</v>
      </c>
      <c r="B110" s="328" t="s">
        <v>134</v>
      </c>
      <c r="C110" s="305">
        <f t="shared" ca="1" si="94"/>
        <v>0</v>
      </c>
      <c r="D110" s="306">
        <f ca="1">IFERROR(__xludf.DUMMYFUNCTION("IMPORTRANGE(""https://docs.google.com/spreadsheets/d/1C3CXT74ZlgGe6_JY_1olB1XN4rF0dxEuIIF-xsYjHgg/edit?usp=sharing"",""งบกองทุน!D114"")"),0)</f>
        <v>0</v>
      </c>
      <c r="E110" s="306">
        <f ca="1">IFERROR(__xludf.DUMMYFUNCTION("IMPORTRANGE(""https://docs.google.com/spreadsheets/d/1C3CXT74ZlgGe6_JY_1olB1XN4rF0dxEuIIF-xsYjHgg/edit?usp=sharing"",""งบกองทุน!E114"")"),0)</f>
        <v>0</v>
      </c>
      <c r="F110" s="307">
        <v>0</v>
      </c>
      <c r="G110" s="307">
        <f t="shared" ca="1" si="1"/>
        <v>0</v>
      </c>
      <c r="H110" s="306">
        <f ca="1">IFERROR(__xludf.DUMMYFUNCTION("IMPORTRANGE(""https://docs.google.com/spreadsheets/d/1C3CXT74ZlgGe6_JY_1olB1XN4rF0dxEuIIF-xsYjHgg/edit?usp=sharing"",""งบกองทุน!F114"")"),0)</f>
        <v>0</v>
      </c>
      <c r="I110" s="307">
        <v>0</v>
      </c>
      <c r="J110" s="307">
        <f t="shared" ca="1" si="3"/>
        <v>0</v>
      </c>
      <c r="K110" s="308">
        <f ca="1">IFERROR(__xludf.DUMMYFUNCTION("IMPORTRANGE(""https://docs.google.com/spreadsheets/d/1C3CXT74ZlgGe6_JY_1olB1XN4rF0dxEuIIF-xsYjHgg/edit?usp=sharing"",""งบกองทุน!H114"")"),0)</f>
        <v>0</v>
      </c>
      <c r="L110" s="306">
        <f t="shared" si="83"/>
        <v>0</v>
      </c>
      <c r="M110" s="307">
        <f t="shared" ca="1" si="5"/>
        <v>0</v>
      </c>
      <c r="N110" s="306">
        <v>0</v>
      </c>
      <c r="O110" s="306">
        <v>0</v>
      </c>
      <c r="P110" s="306">
        <f ca="1">IFERROR(__xludf.DUMMYFUNCTION("IMPORTRANGE(""https://docs.google.com/spreadsheets/d/1C3CXT74ZlgGe6_JY_1olB1XN4rF0dxEuIIF-xsYjHgg/edit?usp=sharing"",""งบกองทุน!M114"")"),0)</f>
        <v>0</v>
      </c>
      <c r="Q110" s="306">
        <v>0</v>
      </c>
      <c r="R110" s="307">
        <f t="shared" ca="1" si="7"/>
        <v>0</v>
      </c>
      <c r="S110" s="308">
        <v>0</v>
      </c>
      <c r="T110" s="306">
        <f t="shared" si="52"/>
        <v>0</v>
      </c>
      <c r="U110" s="309">
        <f t="shared" si="9"/>
        <v>0</v>
      </c>
      <c r="V110" s="308">
        <f ca="1">IFERROR(__xludf.DUMMYFUNCTION("IMPORTRANGE(""https://docs.google.com/spreadsheets/d/1C3CXT74ZlgGe6_JY_1olB1XN4rF0dxEuIIF-xsYjHgg/edit?usp=sharing"",""งบกองทุน!O114"")"),0)</f>
        <v>0</v>
      </c>
      <c r="W110" s="306">
        <v>0</v>
      </c>
      <c r="X110" s="309">
        <f t="shared" ca="1" si="11"/>
        <v>0</v>
      </c>
      <c r="Y110" s="308">
        <f ca="1">IFERROR(__xludf.DUMMYFUNCTION("IMPORTRANGE(""https://docs.google.com/spreadsheets/d/1C3CXT74ZlgGe6_JY_1olB1XN4rF0dxEuIIF-xsYjHgg/edit?usp=sharing"",""งบกองทุน!P114"")"),0)</f>
        <v>0</v>
      </c>
      <c r="Z110" s="306">
        <v>0</v>
      </c>
      <c r="AA110" s="309">
        <f t="shared" ca="1" si="13"/>
        <v>0</v>
      </c>
      <c r="AB110" s="302"/>
    </row>
    <row r="111" spans="1:28" ht="24" hidden="1" customHeight="1">
      <c r="A111" s="327">
        <f t="shared" si="95"/>
        <v>5</v>
      </c>
      <c r="B111" s="328" t="s">
        <v>135</v>
      </c>
      <c r="C111" s="305">
        <f t="shared" ca="1" si="94"/>
        <v>0</v>
      </c>
      <c r="D111" s="306">
        <f ca="1">IFERROR(__xludf.DUMMYFUNCTION("IMPORTRANGE(""https://docs.google.com/spreadsheets/d/1C3CXT74ZlgGe6_JY_1olB1XN4rF0dxEuIIF-xsYjHgg/edit?usp=sharing"",""งบกองทุน!D115"")"),0)</f>
        <v>0</v>
      </c>
      <c r="E111" s="306">
        <f ca="1">IFERROR(__xludf.DUMMYFUNCTION("IMPORTRANGE(""https://docs.google.com/spreadsheets/d/1C3CXT74ZlgGe6_JY_1olB1XN4rF0dxEuIIF-xsYjHgg/edit?usp=sharing"",""งบกองทุน!E115"")"),0)</f>
        <v>0</v>
      </c>
      <c r="F111" s="307">
        <v>0</v>
      </c>
      <c r="G111" s="307">
        <f t="shared" ca="1" si="1"/>
        <v>0</v>
      </c>
      <c r="H111" s="306">
        <f ca="1">IFERROR(__xludf.DUMMYFUNCTION("IMPORTRANGE(""https://docs.google.com/spreadsheets/d/1C3CXT74ZlgGe6_JY_1olB1XN4rF0dxEuIIF-xsYjHgg/edit?usp=sharing"",""งบกองทุน!F115"")"),0)</f>
        <v>0</v>
      </c>
      <c r="I111" s="307">
        <v>0</v>
      </c>
      <c r="J111" s="307">
        <f t="shared" ca="1" si="3"/>
        <v>0</v>
      </c>
      <c r="K111" s="308">
        <f ca="1">IFERROR(__xludf.DUMMYFUNCTION("IMPORTRANGE(""https://docs.google.com/spreadsheets/d/1C3CXT74ZlgGe6_JY_1olB1XN4rF0dxEuIIF-xsYjHgg/edit?usp=sharing"",""งบกองทุน!H115"")"),0)</f>
        <v>0</v>
      </c>
      <c r="L111" s="306">
        <f t="shared" si="83"/>
        <v>0</v>
      </c>
      <c r="M111" s="307">
        <f t="shared" ca="1" si="5"/>
        <v>0</v>
      </c>
      <c r="N111" s="306">
        <v>0</v>
      </c>
      <c r="O111" s="306">
        <v>0</v>
      </c>
      <c r="P111" s="306">
        <f ca="1">IFERROR(__xludf.DUMMYFUNCTION("IMPORTRANGE(""https://docs.google.com/spreadsheets/d/1C3CXT74ZlgGe6_JY_1olB1XN4rF0dxEuIIF-xsYjHgg/edit?usp=sharing"",""งบกองทุน!M115"")"),0)</f>
        <v>0</v>
      </c>
      <c r="Q111" s="306">
        <v>0</v>
      </c>
      <c r="R111" s="307">
        <f t="shared" ca="1" si="7"/>
        <v>0</v>
      </c>
      <c r="S111" s="308">
        <v>0</v>
      </c>
      <c r="T111" s="306">
        <f t="shared" si="52"/>
        <v>0</v>
      </c>
      <c r="U111" s="309">
        <f t="shared" si="9"/>
        <v>0</v>
      </c>
      <c r="V111" s="308">
        <f ca="1">IFERROR(__xludf.DUMMYFUNCTION("IMPORTRANGE(""https://docs.google.com/spreadsheets/d/1C3CXT74ZlgGe6_JY_1olB1XN4rF0dxEuIIF-xsYjHgg/edit?usp=sharing"",""งบกองทุน!O115"")"),0)</f>
        <v>0</v>
      </c>
      <c r="W111" s="306">
        <v>0</v>
      </c>
      <c r="X111" s="309">
        <f t="shared" ca="1" si="11"/>
        <v>0</v>
      </c>
      <c r="Y111" s="308">
        <f ca="1">IFERROR(__xludf.DUMMYFUNCTION("IMPORTRANGE(""https://docs.google.com/spreadsheets/d/1C3CXT74ZlgGe6_JY_1olB1XN4rF0dxEuIIF-xsYjHgg/edit?usp=sharing"",""งบกองทุน!P115"")"),0)</f>
        <v>0</v>
      </c>
      <c r="Z111" s="306">
        <v>0</v>
      </c>
      <c r="AA111" s="309">
        <f t="shared" ca="1" si="13"/>
        <v>0</v>
      </c>
      <c r="AB111" s="302"/>
    </row>
    <row r="112" spans="1:28" ht="24" hidden="1" customHeight="1">
      <c r="A112" s="327">
        <f t="shared" si="95"/>
        <v>6</v>
      </c>
      <c r="B112" s="328" t="s">
        <v>136</v>
      </c>
      <c r="C112" s="305">
        <f t="shared" ca="1" si="94"/>
        <v>0</v>
      </c>
      <c r="D112" s="306">
        <f ca="1">IFERROR(__xludf.DUMMYFUNCTION("IMPORTRANGE(""https://docs.google.com/spreadsheets/d/1C3CXT74ZlgGe6_JY_1olB1XN4rF0dxEuIIF-xsYjHgg/edit?usp=sharing"",""งบกองทุน!D116"")"),0)</f>
        <v>0</v>
      </c>
      <c r="E112" s="306">
        <f ca="1">IFERROR(__xludf.DUMMYFUNCTION("IMPORTRANGE(""https://docs.google.com/spreadsheets/d/1C3CXT74ZlgGe6_JY_1olB1XN4rF0dxEuIIF-xsYjHgg/edit?usp=sharing"",""งบกองทุน!E116"")"),0)</f>
        <v>0</v>
      </c>
      <c r="F112" s="307">
        <v>0</v>
      </c>
      <c r="G112" s="307">
        <f t="shared" ca="1" si="1"/>
        <v>0</v>
      </c>
      <c r="H112" s="306">
        <f ca="1">IFERROR(__xludf.DUMMYFUNCTION("IMPORTRANGE(""https://docs.google.com/spreadsheets/d/1C3CXT74ZlgGe6_JY_1olB1XN4rF0dxEuIIF-xsYjHgg/edit?usp=sharing"",""งบกองทุน!F116"")"),0)</f>
        <v>0</v>
      </c>
      <c r="I112" s="307">
        <v>0</v>
      </c>
      <c r="J112" s="307">
        <f t="shared" ca="1" si="3"/>
        <v>0</v>
      </c>
      <c r="K112" s="308">
        <f ca="1">IFERROR(__xludf.DUMMYFUNCTION("IMPORTRANGE(""https://docs.google.com/spreadsheets/d/1C3CXT74ZlgGe6_JY_1olB1XN4rF0dxEuIIF-xsYjHgg/edit?usp=sharing"",""งบกองทุน!H116"")"),0)</f>
        <v>0</v>
      </c>
      <c r="L112" s="306">
        <f t="shared" si="83"/>
        <v>0</v>
      </c>
      <c r="M112" s="307">
        <f t="shared" ca="1" si="5"/>
        <v>0</v>
      </c>
      <c r="N112" s="306">
        <v>0</v>
      </c>
      <c r="O112" s="306">
        <v>0</v>
      </c>
      <c r="P112" s="306">
        <f ca="1">IFERROR(__xludf.DUMMYFUNCTION("IMPORTRANGE(""https://docs.google.com/spreadsheets/d/1C3CXT74ZlgGe6_JY_1olB1XN4rF0dxEuIIF-xsYjHgg/edit?usp=sharing"",""งบกองทุน!M116"")"),0)</f>
        <v>0</v>
      </c>
      <c r="Q112" s="306">
        <v>0</v>
      </c>
      <c r="R112" s="307">
        <f t="shared" ca="1" si="7"/>
        <v>0</v>
      </c>
      <c r="S112" s="308">
        <v>0</v>
      </c>
      <c r="T112" s="306">
        <f t="shared" si="52"/>
        <v>0</v>
      </c>
      <c r="U112" s="309">
        <f t="shared" si="9"/>
        <v>0</v>
      </c>
      <c r="V112" s="308">
        <f ca="1">IFERROR(__xludf.DUMMYFUNCTION("IMPORTRANGE(""https://docs.google.com/spreadsheets/d/1C3CXT74ZlgGe6_JY_1olB1XN4rF0dxEuIIF-xsYjHgg/edit?usp=sharing"",""งบกองทุน!O116"")"),0)</f>
        <v>0</v>
      </c>
      <c r="W112" s="306">
        <v>0</v>
      </c>
      <c r="X112" s="309">
        <f t="shared" ca="1" si="11"/>
        <v>0</v>
      </c>
      <c r="Y112" s="308">
        <f ca="1">IFERROR(__xludf.DUMMYFUNCTION("IMPORTRANGE(""https://docs.google.com/spreadsheets/d/1C3CXT74ZlgGe6_JY_1olB1XN4rF0dxEuIIF-xsYjHgg/edit?usp=sharing"",""งบกองทุน!P116"")"),0)</f>
        <v>0</v>
      </c>
      <c r="Z112" s="306">
        <v>0</v>
      </c>
      <c r="AA112" s="309">
        <f t="shared" ca="1" si="13"/>
        <v>0</v>
      </c>
      <c r="AB112" s="302"/>
    </row>
    <row r="113" spans="1:28" ht="24" hidden="1" customHeight="1">
      <c r="A113" s="327">
        <v>7</v>
      </c>
      <c r="B113" s="328" t="s">
        <v>140</v>
      </c>
      <c r="C113" s="305">
        <f t="shared" ca="1" si="94"/>
        <v>0</v>
      </c>
      <c r="D113" s="306">
        <f ca="1">IFERROR(__xludf.DUMMYFUNCTION("IMPORTRANGE(""https://docs.google.com/spreadsheets/d/1C3CXT74ZlgGe6_JY_1olB1XN4rF0dxEuIIF-xsYjHgg/edit?usp=sharing"",""งบกองทุน!D117"")"),0)</f>
        <v>0</v>
      </c>
      <c r="E113" s="306">
        <f ca="1">IFERROR(__xludf.DUMMYFUNCTION("IMPORTRANGE(""https://docs.google.com/spreadsheets/d/1C3CXT74ZlgGe6_JY_1olB1XN4rF0dxEuIIF-xsYjHgg/edit?usp=sharing"",""งบกองทุน!E117"")"),0)</f>
        <v>0</v>
      </c>
      <c r="F113" s="307">
        <v>0</v>
      </c>
      <c r="G113" s="307">
        <f t="shared" ca="1" si="1"/>
        <v>0</v>
      </c>
      <c r="H113" s="306">
        <f ca="1">IFERROR(__xludf.DUMMYFUNCTION("IMPORTRANGE(""https://docs.google.com/spreadsheets/d/1C3CXT74ZlgGe6_JY_1olB1XN4rF0dxEuIIF-xsYjHgg/edit?usp=sharing"",""งบกองทุน!F117"")"),0)</f>
        <v>0</v>
      </c>
      <c r="I113" s="307">
        <v>0</v>
      </c>
      <c r="J113" s="307">
        <f t="shared" ca="1" si="3"/>
        <v>0</v>
      </c>
      <c r="K113" s="308">
        <f ca="1">IFERROR(__xludf.DUMMYFUNCTION("IMPORTRANGE(""https://docs.google.com/spreadsheets/d/1C3CXT74ZlgGe6_JY_1olB1XN4rF0dxEuIIF-xsYjHgg/edit?usp=sharing"",""งบกองทุน!H117"")"),0)</f>
        <v>0</v>
      </c>
      <c r="L113" s="306">
        <f t="shared" si="83"/>
        <v>0</v>
      </c>
      <c r="M113" s="307">
        <f t="shared" ca="1" si="5"/>
        <v>0</v>
      </c>
      <c r="N113" s="306">
        <v>0</v>
      </c>
      <c r="O113" s="306">
        <v>0</v>
      </c>
      <c r="P113" s="306">
        <f ca="1">IFERROR(__xludf.DUMMYFUNCTION("IMPORTRANGE(""https://docs.google.com/spreadsheets/d/1C3CXT74ZlgGe6_JY_1olB1XN4rF0dxEuIIF-xsYjHgg/edit?usp=sharing"",""งบกองทุน!M117"")"),0)</f>
        <v>0</v>
      </c>
      <c r="Q113" s="306">
        <v>0</v>
      </c>
      <c r="R113" s="307">
        <f t="shared" ca="1" si="7"/>
        <v>0</v>
      </c>
      <c r="S113" s="308">
        <v>0</v>
      </c>
      <c r="T113" s="306">
        <f t="shared" si="52"/>
        <v>0</v>
      </c>
      <c r="U113" s="309">
        <f t="shared" si="9"/>
        <v>0</v>
      </c>
      <c r="V113" s="308">
        <f ca="1">IFERROR(__xludf.DUMMYFUNCTION("IMPORTRANGE(""https://docs.google.com/spreadsheets/d/1C3CXT74ZlgGe6_JY_1olB1XN4rF0dxEuIIF-xsYjHgg/edit?usp=sharing"",""งบกองทุน!O117"")"),0)</f>
        <v>0</v>
      </c>
      <c r="W113" s="306">
        <v>0</v>
      </c>
      <c r="X113" s="309">
        <f t="shared" ca="1" si="11"/>
        <v>0</v>
      </c>
      <c r="Y113" s="308">
        <f ca="1">IFERROR(__xludf.DUMMYFUNCTION("IMPORTRANGE(""https://docs.google.com/spreadsheets/d/1C3CXT74ZlgGe6_JY_1olB1XN4rF0dxEuIIF-xsYjHgg/edit?usp=sharing"",""งบกองทุน!P117"")"),0)</f>
        <v>0</v>
      </c>
      <c r="Z113" s="306">
        <v>0</v>
      </c>
      <c r="AA113" s="309">
        <f t="shared" ca="1" si="13"/>
        <v>0</v>
      </c>
      <c r="AB113" s="302"/>
    </row>
    <row r="114" spans="1:28" ht="24" hidden="1" customHeight="1">
      <c r="A114" s="329">
        <v>8</v>
      </c>
      <c r="B114" s="330" t="s">
        <v>141</v>
      </c>
      <c r="C114" s="331">
        <f t="shared" ca="1" si="94"/>
        <v>0</v>
      </c>
      <c r="D114" s="332">
        <f ca="1">IFERROR(__xludf.DUMMYFUNCTION("IMPORTRANGE(""https://docs.google.com/spreadsheets/d/1C3CXT74ZlgGe6_JY_1olB1XN4rF0dxEuIIF-xsYjHgg/edit?usp=sharing"",""งบกองทุน!D118"")"),0)</f>
        <v>0</v>
      </c>
      <c r="E114" s="332">
        <f ca="1">IFERROR(__xludf.DUMMYFUNCTION("IMPORTRANGE(""https://docs.google.com/spreadsheets/d/1C3CXT74ZlgGe6_JY_1olB1XN4rF0dxEuIIF-xsYjHgg/edit?usp=sharing"",""งบกองทุน!E118"")"),0)</f>
        <v>0</v>
      </c>
      <c r="F114" s="333">
        <v>0</v>
      </c>
      <c r="G114" s="333">
        <f t="shared" ca="1" si="1"/>
        <v>0</v>
      </c>
      <c r="H114" s="332">
        <f ca="1">IFERROR(__xludf.DUMMYFUNCTION("IMPORTRANGE(""https://docs.google.com/spreadsheets/d/1C3CXT74ZlgGe6_JY_1olB1XN4rF0dxEuIIF-xsYjHgg/edit?usp=sharing"",""งบกองทุน!F118"")"),0)</f>
        <v>0</v>
      </c>
      <c r="I114" s="333">
        <v>0</v>
      </c>
      <c r="J114" s="333">
        <f t="shared" ca="1" si="3"/>
        <v>0</v>
      </c>
      <c r="K114" s="334">
        <f ca="1">IFERROR(__xludf.DUMMYFUNCTION("IMPORTRANGE(""https://docs.google.com/spreadsheets/d/1C3CXT74ZlgGe6_JY_1olB1XN4rF0dxEuIIF-xsYjHgg/edit?usp=sharing"",""งบกองทุน!H118"")"),0)</f>
        <v>0</v>
      </c>
      <c r="L114" s="332">
        <f t="shared" si="83"/>
        <v>0</v>
      </c>
      <c r="M114" s="333">
        <f t="shared" ca="1" si="5"/>
        <v>0</v>
      </c>
      <c r="N114" s="332">
        <v>0</v>
      </c>
      <c r="O114" s="332">
        <v>0</v>
      </c>
      <c r="P114" s="332">
        <f ca="1">IFERROR(__xludf.DUMMYFUNCTION("IMPORTRANGE(""https://docs.google.com/spreadsheets/d/1C3CXT74ZlgGe6_JY_1olB1XN4rF0dxEuIIF-xsYjHgg/edit?usp=sharing"",""งบกองทุน!M118"")"),0)</f>
        <v>0</v>
      </c>
      <c r="Q114" s="332">
        <v>0</v>
      </c>
      <c r="R114" s="333">
        <f t="shared" ca="1" si="7"/>
        <v>0</v>
      </c>
      <c r="S114" s="334">
        <v>0</v>
      </c>
      <c r="T114" s="332">
        <f t="shared" si="52"/>
        <v>0</v>
      </c>
      <c r="U114" s="335">
        <f t="shared" si="9"/>
        <v>0</v>
      </c>
      <c r="V114" s="334">
        <f ca="1">IFERROR(__xludf.DUMMYFUNCTION("IMPORTRANGE(""https://docs.google.com/spreadsheets/d/1C3CXT74ZlgGe6_JY_1olB1XN4rF0dxEuIIF-xsYjHgg/edit?usp=sharing"",""งบกองทุน!O118"")"),0)</f>
        <v>0</v>
      </c>
      <c r="W114" s="332">
        <v>0</v>
      </c>
      <c r="X114" s="335">
        <f t="shared" ca="1" si="11"/>
        <v>0</v>
      </c>
      <c r="Y114" s="334">
        <f ca="1">IFERROR(__xludf.DUMMYFUNCTION("IMPORTRANGE(""https://docs.google.com/spreadsheets/d/1C3CXT74ZlgGe6_JY_1olB1XN4rF0dxEuIIF-xsYjHgg/edit?usp=sharing"",""งบกองทุน!P118"")"),0)</f>
        <v>0</v>
      </c>
      <c r="Z114" s="332">
        <v>0</v>
      </c>
      <c r="AA114" s="335">
        <f t="shared" ca="1" si="13"/>
        <v>0</v>
      </c>
      <c r="AB114" s="302"/>
    </row>
    <row r="115" spans="1:28" ht="24" customHeight="1">
      <c r="A115" s="336"/>
      <c r="B115" s="336"/>
      <c r="C115" s="336"/>
      <c r="D115" s="336"/>
      <c r="E115" s="336"/>
      <c r="F115" s="336"/>
      <c r="G115" s="337"/>
      <c r="H115" s="336"/>
      <c r="I115" s="336"/>
      <c r="J115" s="337"/>
      <c r="K115" s="336"/>
      <c r="L115" s="338"/>
      <c r="M115" s="336"/>
      <c r="N115" s="338"/>
      <c r="O115" s="338"/>
      <c r="P115" s="336"/>
      <c r="Q115" s="338"/>
      <c r="R115" s="337"/>
      <c r="S115" s="336"/>
      <c r="T115" s="338"/>
      <c r="U115" s="336"/>
      <c r="V115" s="336"/>
      <c r="W115" s="336"/>
      <c r="X115" s="337"/>
      <c r="Y115" s="336"/>
      <c r="Z115" s="336"/>
      <c r="AA115" s="336"/>
      <c r="AB115" s="241"/>
    </row>
    <row r="116" spans="1:28" ht="24" customHeight="1">
      <c r="A116" s="336"/>
      <c r="B116" s="336"/>
      <c r="C116" s="336"/>
      <c r="D116" s="336"/>
      <c r="E116" s="336"/>
      <c r="F116" s="336"/>
      <c r="G116" s="337"/>
      <c r="H116" s="336"/>
      <c r="I116" s="336"/>
      <c r="J116" s="337"/>
      <c r="K116" s="336"/>
      <c r="L116" s="338"/>
      <c r="M116" s="336"/>
      <c r="N116" s="338"/>
      <c r="O116" s="338"/>
      <c r="P116" s="336"/>
      <c r="Q116" s="338"/>
      <c r="R116" s="337"/>
      <c r="S116" s="336"/>
      <c r="T116" s="338"/>
      <c r="U116" s="336"/>
      <c r="V116" s="336"/>
      <c r="W116" s="336"/>
      <c r="X116" s="337"/>
      <c r="Y116" s="336"/>
      <c r="Z116" s="336"/>
      <c r="AA116" s="336"/>
      <c r="AB116" s="241"/>
    </row>
    <row r="117" spans="1:28" ht="24" customHeight="1">
      <c r="A117" s="336"/>
      <c r="B117" s="336"/>
      <c r="C117" s="336"/>
      <c r="D117" s="336"/>
      <c r="E117" s="336"/>
      <c r="F117" s="336"/>
      <c r="G117" s="337"/>
      <c r="H117" s="336"/>
      <c r="I117" s="336"/>
      <c r="J117" s="337"/>
      <c r="K117" s="336"/>
      <c r="L117" s="338"/>
      <c r="M117" s="336"/>
      <c r="N117" s="338"/>
      <c r="O117" s="338"/>
      <c r="P117" s="336"/>
      <c r="Q117" s="338"/>
      <c r="R117" s="337"/>
      <c r="S117" s="336"/>
      <c r="T117" s="338"/>
      <c r="U117" s="336"/>
      <c r="V117" s="336"/>
      <c r="W117" s="336"/>
      <c r="X117" s="337"/>
      <c r="Y117" s="336"/>
      <c r="Z117" s="336"/>
      <c r="AA117" s="336"/>
      <c r="AB117" s="241"/>
    </row>
    <row r="118" spans="1:28" ht="24" customHeight="1">
      <c r="A118" s="336"/>
      <c r="B118" s="336"/>
      <c r="C118" s="336"/>
      <c r="D118" s="336"/>
      <c r="E118" s="336"/>
      <c r="F118" s="336"/>
      <c r="G118" s="337"/>
      <c r="H118" s="336"/>
      <c r="I118" s="336"/>
      <c r="J118" s="337"/>
      <c r="K118" s="336"/>
      <c r="L118" s="338"/>
      <c r="M118" s="336"/>
      <c r="N118" s="338"/>
      <c r="O118" s="338"/>
      <c r="P118" s="336"/>
      <c r="Q118" s="338"/>
      <c r="R118" s="337"/>
      <c r="S118" s="336"/>
      <c r="T118" s="338"/>
      <c r="U118" s="336"/>
      <c r="V118" s="336"/>
      <c r="W118" s="336"/>
      <c r="X118" s="337"/>
      <c r="Y118" s="336"/>
      <c r="Z118" s="336"/>
      <c r="AA118" s="336"/>
      <c r="AB118" s="241"/>
    </row>
    <row r="119" spans="1:28" ht="24" customHeight="1">
      <c r="A119" s="336"/>
      <c r="B119" s="336"/>
      <c r="C119" s="336"/>
      <c r="D119" s="336"/>
      <c r="E119" s="336"/>
      <c r="F119" s="336"/>
      <c r="G119" s="337"/>
      <c r="H119" s="336"/>
      <c r="I119" s="336"/>
      <c r="J119" s="337"/>
      <c r="K119" s="336"/>
      <c r="L119" s="338"/>
      <c r="M119" s="336"/>
      <c r="N119" s="338"/>
      <c r="O119" s="338"/>
      <c r="P119" s="336"/>
      <c r="Q119" s="338"/>
      <c r="R119" s="337"/>
      <c r="S119" s="336"/>
      <c r="T119" s="338"/>
      <c r="U119" s="336"/>
      <c r="V119" s="336"/>
      <c r="W119" s="336"/>
      <c r="X119" s="337"/>
      <c r="Y119" s="336"/>
      <c r="Z119" s="336"/>
      <c r="AA119" s="336"/>
      <c r="AB119" s="241"/>
    </row>
    <row r="120" spans="1:28" ht="24" customHeight="1">
      <c r="A120" s="336"/>
      <c r="B120" s="336"/>
      <c r="C120" s="336"/>
      <c r="D120" s="336"/>
      <c r="E120" s="336"/>
      <c r="F120" s="336"/>
      <c r="G120" s="337"/>
      <c r="H120" s="336"/>
      <c r="I120" s="336"/>
      <c r="J120" s="337"/>
      <c r="K120" s="336"/>
      <c r="L120" s="338"/>
      <c r="M120" s="336"/>
      <c r="N120" s="338"/>
      <c r="O120" s="338"/>
      <c r="P120" s="336"/>
      <c r="Q120" s="338"/>
      <c r="R120" s="337"/>
      <c r="S120" s="336"/>
      <c r="T120" s="338"/>
      <c r="U120" s="336"/>
      <c r="V120" s="336"/>
      <c r="W120" s="336"/>
      <c r="X120" s="337"/>
      <c r="Y120" s="336"/>
      <c r="Z120" s="336"/>
      <c r="AA120" s="336"/>
      <c r="AB120" s="241"/>
    </row>
    <row r="121" spans="1:28" ht="24" customHeight="1">
      <c r="A121" s="336"/>
      <c r="B121" s="336"/>
      <c r="C121" s="336"/>
      <c r="D121" s="336"/>
      <c r="E121" s="336"/>
      <c r="F121" s="336"/>
      <c r="G121" s="337"/>
      <c r="H121" s="336"/>
      <c r="I121" s="336"/>
      <c r="J121" s="337"/>
      <c r="K121" s="336"/>
      <c r="L121" s="338"/>
      <c r="M121" s="336"/>
      <c r="N121" s="338"/>
      <c r="O121" s="338"/>
      <c r="P121" s="336"/>
      <c r="Q121" s="338"/>
      <c r="R121" s="337"/>
      <c r="S121" s="336"/>
      <c r="T121" s="338"/>
      <c r="U121" s="336"/>
      <c r="V121" s="336"/>
      <c r="W121" s="336"/>
      <c r="X121" s="337"/>
      <c r="Y121" s="336"/>
      <c r="Z121" s="336"/>
      <c r="AA121" s="336"/>
      <c r="AB121" s="241"/>
    </row>
    <row r="122" spans="1:28" ht="24" customHeight="1">
      <c r="A122" s="336"/>
      <c r="B122" s="336"/>
      <c r="C122" s="336"/>
      <c r="D122" s="336"/>
      <c r="E122" s="336"/>
      <c r="F122" s="336"/>
      <c r="G122" s="337"/>
      <c r="H122" s="336"/>
      <c r="I122" s="336"/>
      <c r="J122" s="337"/>
      <c r="K122" s="336"/>
      <c r="L122" s="338"/>
      <c r="M122" s="336"/>
      <c r="N122" s="338"/>
      <c r="O122" s="338"/>
      <c r="P122" s="336"/>
      <c r="Q122" s="338"/>
      <c r="R122" s="337"/>
      <c r="S122" s="336"/>
      <c r="T122" s="338"/>
      <c r="U122" s="336"/>
      <c r="V122" s="336"/>
      <c r="W122" s="336"/>
      <c r="X122" s="337"/>
      <c r="Y122" s="336"/>
      <c r="Z122" s="336"/>
      <c r="AA122" s="336"/>
      <c r="AB122" s="241"/>
    </row>
    <row r="123" spans="1:28" ht="24" customHeight="1">
      <c r="A123" s="336"/>
      <c r="B123" s="336"/>
      <c r="C123" s="336"/>
      <c r="D123" s="336"/>
      <c r="E123" s="336"/>
      <c r="F123" s="336"/>
      <c r="G123" s="337"/>
      <c r="H123" s="336"/>
      <c r="I123" s="336"/>
      <c r="J123" s="337"/>
      <c r="K123" s="336"/>
      <c r="L123" s="338"/>
      <c r="M123" s="336"/>
      <c r="N123" s="338"/>
      <c r="O123" s="338"/>
      <c r="P123" s="336"/>
      <c r="Q123" s="338"/>
      <c r="R123" s="337"/>
      <c r="S123" s="336"/>
      <c r="T123" s="338"/>
      <c r="U123" s="336"/>
      <c r="V123" s="336"/>
      <c r="W123" s="336"/>
      <c r="X123" s="337"/>
      <c r="Y123" s="336"/>
      <c r="Z123" s="336"/>
      <c r="AA123" s="336"/>
      <c r="AB123" s="241"/>
    </row>
    <row r="124" spans="1:28" ht="24" customHeight="1">
      <c r="A124" s="336"/>
      <c r="B124" s="336"/>
      <c r="C124" s="336"/>
      <c r="D124" s="336"/>
      <c r="E124" s="336"/>
      <c r="F124" s="336"/>
      <c r="G124" s="337"/>
      <c r="H124" s="336"/>
      <c r="I124" s="336"/>
      <c r="J124" s="337"/>
      <c r="K124" s="336"/>
      <c r="L124" s="338"/>
      <c r="M124" s="336"/>
      <c r="N124" s="338"/>
      <c r="O124" s="338"/>
      <c r="P124" s="336"/>
      <c r="Q124" s="338"/>
      <c r="R124" s="337"/>
      <c r="S124" s="336"/>
      <c r="T124" s="338"/>
      <c r="U124" s="336"/>
      <c r="V124" s="336"/>
      <c r="W124" s="336"/>
      <c r="X124" s="337"/>
      <c r="Y124" s="336"/>
      <c r="Z124" s="336"/>
      <c r="AA124" s="336"/>
      <c r="AB124" s="241"/>
    </row>
    <row r="125" spans="1:28" ht="24" customHeight="1">
      <c r="A125" s="336"/>
      <c r="B125" s="336"/>
      <c r="C125" s="336"/>
      <c r="D125" s="336"/>
      <c r="E125" s="336"/>
      <c r="F125" s="336"/>
      <c r="G125" s="337"/>
      <c r="H125" s="336"/>
      <c r="I125" s="336"/>
      <c r="J125" s="337"/>
      <c r="K125" s="336"/>
      <c r="L125" s="338"/>
      <c r="M125" s="336"/>
      <c r="N125" s="338"/>
      <c r="O125" s="338"/>
      <c r="P125" s="336"/>
      <c r="Q125" s="338"/>
      <c r="R125" s="337"/>
      <c r="S125" s="336"/>
      <c r="T125" s="338"/>
      <c r="U125" s="336"/>
      <c r="V125" s="336"/>
      <c r="W125" s="336"/>
      <c r="X125" s="337"/>
      <c r="Y125" s="336"/>
      <c r="Z125" s="336"/>
      <c r="AA125" s="336"/>
      <c r="AB125" s="241"/>
    </row>
    <row r="126" spans="1:28" ht="24" customHeight="1">
      <c r="A126" s="336"/>
      <c r="B126" s="336"/>
      <c r="C126" s="336"/>
      <c r="D126" s="336"/>
      <c r="E126" s="336"/>
      <c r="F126" s="336"/>
      <c r="G126" s="337"/>
      <c r="H126" s="336"/>
      <c r="I126" s="336"/>
      <c r="J126" s="337"/>
      <c r="K126" s="336"/>
      <c r="L126" s="338"/>
      <c r="M126" s="336"/>
      <c r="N126" s="338"/>
      <c r="O126" s="338"/>
      <c r="P126" s="336"/>
      <c r="Q126" s="338"/>
      <c r="R126" s="337"/>
      <c r="S126" s="336"/>
      <c r="T126" s="338"/>
      <c r="U126" s="336"/>
      <c r="V126" s="336"/>
      <c r="W126" s="336"/>
      <c r="X126" s="337"/>
      <c r="Y126" s="336"/>
      <c r="Z126" s="336"/>
      <c r="AA126" s="336"/>
      <c r="AB126" s="241"/>
    </row>
    <row r="127" spans="1:28" ht="24" customHeight="1">
      <c r="A127" s="336"/>
      <c r="B127" s="336"/>
      <c r="C127" s="336"/>
      <c r="D127" s="336"/>
      <c r="E127" s="336"/>
      <c r="F127" s="336"/>
      <c r="G127" s="337"/>
      <c r="H127" s="336"/>
      <c r="I127" s="336"/>
      <c r="J127" s="337"/>
      <c r="K127" s="336"/>
      <c r="L127" s="338"/>
      <c r="M127" s="336"/>
      <c r="N127" s="338"/>
      <c r="O127" s="338"/>
      <c r="P127" s="336"/>
      <c r="Q127" s="338"/>
      <c r="R127" s="337"/>
      <c r="S127" s="336"/>
      <c r="T127" s="338"/>
      <c r="U127" s="336"/>
      <c r="V127" s="336"/>
      <c r="W127" s="336"/>
      <c r="X127" s="337"/>
      <c r="Y127" s="336"/>
      <c r="Z127" s="336"/>
      <c r="AA127" s="336"/>
      <c r="AB127" s="241"/>
    </row>
    <row r="128" spans="1:28" ht="24" customHeight="1">
      <c r="A128" s="336"/>
      <c r="B128" s="336"/>
      <c r="C128" s="336"/>
      <c r="D128" s="336"/>
      <c r="E128" s="336"/>
      <c r="F128" s="336"/>
      <c r="G128" s="337"/>
      <c r="H128" s="336"/>
      <c r="I128" s="336"/>
      <c r="J128" s="337"/>
      <c r="K128" s="336"/>
      <c r="L128" s="338"/>
      <c r="M128" s="336"/>
      <c r="N128" s="338"/>
      <c r="O128" s="338"/>
      <c r="P128" s="336"/>
      <c r="Q128" s="338"/>
      <c r="R128" s="337"/>
      <c r="S128" s="336"/>
      <c r="T128" s="338"/>
      <c r="U128" s="336"/>
      <c r="V128" s="336"/>
      <c r="W128" s="336"/>
      <c r="X128" s="337"/>
      <c r="Y128" s="336"/>
      <c r="Z128" s="336"/>
      <c r="AA128" s="336"/>
      <c r="AB128" s="241"/>
    </row>
    <row r="129" spans="1:28" ht="24" customHeight="1">
      <c r="A129" s="336"/>
      <c r="B129" s="336"/>
      <c r="C129" s="336"/>
      <c r="D129" s="336"/>
      <c r="E129" s="336"/>
      <c r="F129" s="336"/>
      <c r="G129" s="337"/>
      <c r="H129" s="336"/>
      <c r="I129" s="336"/>
      <c r="J129" s="337"/>
      <c r="K129" s="336"/>
      <c r="L129" s="338"/>
      <c r="M129" s="336"/>
      <c r="N129" s="338"/>
      <c r="O129" s="338"/>
      <c r="P129" s="336"/>
      <c r="Q129" s="338"/>
      <c r="R129" s="337"/>
      <c r="S129" s="336"/>
      <c r="T129" s="338"/>
      <c r="U129" s="336"/>
      <c r="V129" s="336"/>
      <c r="W129" s="336"/>
      <c r="X129" s="337"/>
      <c r="Y129" s="336"/>
      <c r="Z129" s="336"/>
      <c r="AA129" s="336"/>
      <c r="AB129" s="241"/>
    </row>
    <row r="130" spans="1:28" ht="24" customHeight="1">
      <c r="A130" s="336"/>
      <c r="B130" s="336"/>
      <c r="C130" s="336"/>
      <c r="D130" s="336"/>
      <c r="E130" s="336"/>
      <c r="F130" s="336"/>
      <c r="G130" s="337"/>
      <c r="H130" s="336"/>
      <c r="I130" s="336"/>
      <c r="J130" s="337"/>
      <c r="K130" s="336"/>
      <c r="L130" s="338"/>
      <c r="M130" s="336"/>
      <c r="N130" s="338"/>
      <c r="O130" s="338"/>
      <c r="P130" s="336"/>
      <c r="Q130" s="338"/>
      <c r="R130" s="337"/>
      <c r="S130" s="336"/>
      <c r="T130" s="338"/>
      <c r="U130" s="336"/>
      <c r="V130" s="336"/>
      <c r="W130" s="336"/>
      <c r="X130" s="337"/>
      <c r="Y130" s="336"/>
      <c r="Z130" s="336"/>
      <c r="AA130" s="336"/>
      <c r="AB130" s="241"/>
    </row>
    <row r="131" spans="1:28" ht="24" customHeight="1">
      <c r="A131" s="336"/>
      <c r="B131" s="336"/>
      <c r="C131" s="336"/>
      <c r="D131" s="336"/>
      <c r="E131" s="336"/>
      <c r="F131" s="336"/>
      <c r="G131" s="337"/>
      <c r="H131" s="336"/>
      <c r="I131" s="336"/>
      <c r="J131" s="337"/>
      <c r="K131" s="336"/>
      <c r="L131" s="338"/>
      <c r="M131" s="336"/>
      <c r="N131" s="338"/>
      <c r="O131" s="338"/>
      <c r="P131" s="336"/>
      <c r="Q131" s="338"/>
      <c r="R131" s="337"/>
      <c r="S131" s="336"/>
      <c r="T131" s="338"/>
      <c r="U131" s="336"/>
      <c r="V131" s="336"/>
      <c r="W131" s="336"/>
      <c r="X131" s="337"/>
      <c r="Y131" s="336"/>
      <c r="Z131" s="336"/>
      <c r="AA131" s="336"/>
      <c r="AB131" s="241"/>
    </row>
    <row r="132" spans="1:28" ht="24" customHeight="1">
      <c r="A132" s="336"/>
      <c r="B132" s="336"/>
      <c r="C132" s="336"/>
      <c r="D132" s="336"/>
      <c r="E132" s="336"/>
      <c r="F132" s="336"/>
      <c r="G132" s="337"/>
      <c r="H132" s="336"/>
      <c r="I132" s="336"/>
      <c r="J132" s="337"/>
      <c r="K132" s="336"/>
      <c r="L132" s="338"/>
      <c r="M132" s="336"/>
      <c r="N132" s="338"/>
      <c r="O132" s="338"/>
      <c r="P132" s="336"/>
      <c r="Q132" s="338"/>
      <c r="R132" s="337"/>
      <c r="S132" s="336"/>
      <c r="T132" s="338"/>
      <c r="U132" s="336"/>
      <c r="V132" s="336"/>
      <c r="W132" s="336"/>
      <c r="X132" s="337"/>
      <c r="Y132" s="336"/>
      <c r="Z132" s="336"/>
      <c r="AA132" s="336"/>
      <c r="AB132" s="241"/>
    </row>
    <row r="133" spans="1:28" ht="24" customHeight="1">
      <c r="A133" s="336"/>
      <c r="B133" s="336"/>
      <c r="C133" s="336"/>
      <c r="D133" s="336"/>
      <c r="E133" s="336"/>
      <c r="F133" s="336"/>
      <c r="G133" s="337"/>
      <c r="H133" s="336"/>
      <c r="I133" s="336"/>
      <c r="J133" s="337"/>
      <c r="K133" s="336"/>
      <c r="L133" s="338"/>
      <c r="M133" s="336"/>
      <c r="N133" s="338"/>
      <c r="O133" s="338"/>
      <c r="P133" s="336"/>
      <c r="Q133" s="338"/>
      <c r="R133" s="337"/>
      <c r="S133" s="336"/>
      <c r="T133" s="338"/>
      <c r="U133" s="336"/>
      <c r="V133" s="336"/>
      <c r="W133" s="336"/>
      <c r="X133" s="337"/>
      <c r="Y133" s="336"/>
      <c r="Z133" s="336"/>
      <c r="AA133" s="336"/>
      <c r="AB133" s="241"/>
    </row>
    <row r="134" spans="1:28" ht="24" customHeight="1">
      <c r="A134" s="336"/>
      <c r="B134" s="336"/>
      <c r="C134" s="336"/>
      <c r="D134" s="336"/>
      <c r="E134" s="336"/>
      <c r="F134" s="336"/>
      <c r="G134" s="337"/>
      <c r="H134" s="336"/>
      <c r="I134" s="336"/>
      <c r="J134" s="337"/>
      <c r="K134" s="336"/>
      <c r="L134" s="338"/>
      <c r="M134" s="336"/>
      <c r="N134" s="338"/>
      <c r="O134" s="338"/>
      <c r="P134" s="336"/>
      <c r="Q134" s="338"/>
      <c r="R134" s="337"/>
      <c r="S134" s="336"/>
      <c r="T134" s="338"/>
      <c r="U134" s="336"/>
      <c r="V134" s="336"/>
      <c r="W134" s="336"/>
      <c r="X134" s="337"/>
      <c r="Y134" s="336"/>
      <c r="Z134" s="336"/>
      <c r="AA134" s="336"/>
      <c r="AB134" s="241"/>
    </row>
    <row r="135" spans="1:28" ht="24" customHeight="1">
      <c r="A135" s="336"/>
      <c r="B135" s="336"/>
      <c r="C135" s="336"/>
      <c r="D135" s="336"/>
      <c r="E135" s="336"/>
      <c r="F135" s="336"/>
      <c r="G135" s="337"/>
      <c r="H135" s="336"/>
      <c r="I135" s="336"/>
      <c r="J135" s="337"/>
      <c r="K135" s="336"/>
      <c r="L135" s="338"/>
      <c r="M135" s="336"/>
      <c r="N135" s="338"/>
      <c r="O135" s="338"/>
      <c r="P135" s="336"/>
      <c r="Q135" s="338"/>
      <c r="R135" s="337"/>
      <c r="S135" s="336"/>
      <c r="T135" s="338"/>
      <c r="U135" s="336"/>
      <c r="V135" s="336"/>
      <c r="W135" s="336"/>
      <c r="X135" s="337"/>
      <c r="Y135" s="336"/>
      <c r="Z135" s="336"/>
      <c r="AA135" s="336"/>
      <c r="AB135" s="241"/>
    </row>
    <row r="136" spans="1:28" ht="24" customHeight="1">
      <c r="A136" s="336"/>
      <c r="B136" s="336"/>
      <c r="C136" s="336"/>
      <c r="D136" s="336"/>
      <c r="E136" s="336"/>
      <c r="F136" s="336"/>
      <c r="G136" s="337"/>
      <c r="H136" s="336"/>
      <c r="I136" s="336"/>
      <c r="J136" s="337"/>
      <c r="K136" s="336"/>
      <c r="L136" s="338"/>
      <c r="M136" s="336"/>
      <c r="N136" s="338"/>
      <c r="O136" s="338"/>
      <c r="P136" s="336"/>
      <c r="Q136" s="338"/>
      <c r="R136" s="337"/>
      <c r="S136" s="336"/>
      <c r="T136" s="338"/>
      <c r="U136" s="336"/>
      <c r="V136" s="336"/>
      <c r="W136" s="336"/>
      <c r="X136" s="337"/>
      <c r="Y136" s="336"/>
      <c r="Z136" s="336"/>
      <c r="AA136" s="336"/>
      <c r="AB136" s="241"/>
    </row>
    <row r="137" spans="1:28" ht="24" customHeight="1">
      <c r="A137" s="336"/>
      <c r="B137" s="336"/>
      <c r="C137" s="336"/>
      <c r="D137" s="336"/>
      <c r="E137" s="336"/>
      <c r="F137" s="336"/>
      <c r="G137" s="337"/>
      <c r="H137" s="336"/>
      <c r="I137" s="336"/>
      <c r="J137" s="337"/>
      <c r="K137" s="336"/>
      <c r="L137" s="338"/>
      <c r="M137" s="336"/>
      <c r="N137" s="338"/>
      <c r="O137" s="338"/>
      <c r="P137" s="336"/>
      <c r="Q137" s="338"/>
      <c r="R137" s="337"/>
      <c r="S137" s="336"/>
      <c r="T137" s="338"/>
      <c r="U137" s="336"/>
      <c r="V137" s="336"/>
      <c r="W137" s="336"/>
      <c r="X137" s="337"/>
      <c r="Y137" s="336"/>
      <c r="Z137" s="336"/>
      <c r="AA137" s="336"/>
      <c r="AB137" s="241"/>
    </row>
    <row r="138" spans="1:28" ht="24" customHeight="1">
      <c r="A138" s="336"/>
      <c r="B138" s="336"/>
      <c r="C138" s="336"/>
      <c r="D138" s="336"/>
      <c r="E138" s="336"/>
      <c r="F138" s="336"/>
      <c r="G138" s="337"/>
      <c r="H138" s="336"/>
      <c r="I138" s="336"/>
      <c r="J138" s="337"/>
      <c r="K138" s="336"/>
      <c r="L138" s="338"/>
      <c r="M138" s="336"/>
      <c r="N138" s="338"/>
      <c r="O138" s="338"/>
      <c r="P138" s="336"/>
      <c r="Q138" s="338"/>
      <c r="R138" s="337"/>
      <c r="S138" s="336"/>
      <c r="T138" s="338"/>
      <c r="U138" s="336"/>
      <c r="V138" s="336"/>
      <c r="W138" s="336"/>
      <c r="X138" s="337"/>
      <c r="Y138" s="336"/>
      <c r="Z138" s="336"/>
      <c r="AA138" s="336"/>
      <c r="AB138" s="241"/>
    </row>
    <row r="139" spans="1:28" ht="24" customHeight="1">
      <c r="A139" s="336"/>
      <c r="B139" s="336"/>
      <c r="C139" s="336"/>
      <c r="D139" s="336"/>
      <c r="E139" s="336"/>
      <c r="F139" s="336"/>
      <c r="G139" s="337"/>
      <c r="H139" s="336"/>
      <c r="I139" s="336"/>
      <c r="J139" s="337"/>
      <c r="K139" s="336"/>
      <c r="L139" s="338"/>
      <c r="M139" s="336"/>
      <c r="N139" s="338"/>
      <c r="O139" s="338"/>
      <c r="P139" s="336"/>
      <c r="Q139" s="338"/>
      <c r="R139" s="337"/>
      <c r="S139" s="336"/>
      <c r="T139" s="338"/>
      <c r="U139" s="336"/>
      <c r="V139" s="336"/>
      <c r="W139" s="336"/>
      <c r="X139" s="337"/>
      <c r="Y139" s="336"/>
      <c r="Z139" s="336"/>
      <c r="AA139" s="336"/>
      <c r="AB139" s="241"/>
    </row>
    <row r="140" spans="1:28" ht="24" customHeight="1">
      <c r="A140" s="336"/>
      <c r="B140" s="336"/>
      <c r="C140" s="336"/>
      <c r="D140" s="336"/>
      <c r="E140" s="336"/>
      <c r="F140" s="336"/>
      <c r="G140" s="337"/>
      <c r="H140" s="336"/>
      <c r="I140" s="336"/>
      <c r="J140" s="337"/>
      <c r="K140" s="336"/>
      <c r="L140" s="338"/>
      <c r="M140" s="336"/>
      <c r="N140" s="338"/>
      <c r="O140" s="338"/>
      <c r="P140" s="336"/>
      <c r="Q140" s="338"/>
      <c r="R140" s="337"/>
      <c r="S140" s="336"/>
      <c r="T140" s="338"/>
      <c r="U140" s="336"/>
      <c r="V140" s="336"/>
      <c r="W140" s="336"/>
      <c r="X140" s="337"/>
      <c r="Y140" s="336"/>
      <c r="Z140" s="336"/>
      <c r="AA140" s="336"/>
      <c r="AB140" s="241"/>
    </row>
    <row r="141" spans="1:28" ht="24" customHeight="1">
      <c r="A141" s="336"/>
      <c r="B141" s="336"/>
      <c r="C141" s="336"/>
      <c r="D141" s="336"/>
      <c r="E141" s="336"/>
      <c r="F141" s="336"/>
      <c r="G141" s="337"/>
      <c r="H141" s="336"/>
      <c r="I141" s="336"/>
      <c r="J141" s="337"/>
      <c r="K141" s="336"/>
      <c r="L141" s="338"/>
      <c r="M141" s="336"/>
      <c r="N141" s="338"/>
      <c r="O141" s="338"/>
      <c r="P141" s="336"/>
      <c r="Q141" s="338"/>
      <c r="R141" s="337"/>
      <c r="S141" s="336"/>
      <c r="T141" s="338"/>
      <c r="U141" s="336"/>
      <c r="V141" s="336"/>
      <c r="W141" s="336"/>
      <c r="X141" s="337"/>
      <c r="Y141" s="336"/>
      <c r="Z141" s="336"/>
      <c r="AA141" s="336"/>
      <c r="AB141" s="241"/>
    </row>
    <row r="142" spans="1:28" ht="24" customHeight="1">
      <c r="A142" s="336"/>
      <c r="B142" s="336"/>
      <c r="C142" s="336"/>
      <c r="D142" s="336"/>
      <c r="E142" s="336"/>
      <c r="F142" s="336"/>
      <c r="G142" s="337"/>
      <c r="H142" s="336"/>
      <c r="I142" s="336"/>
      <c r="J142" s="337"/>
      <c r="K142" s="336"/>
      <c r="L142" s="338"/>
      <c r="M142" s="336"/>
      <c r="N142" s="338"/>
      <c r="O142" s="338"/>
      <c r="P142" s="336"/>
      <c r="Q142" s="338"/>
      <c r="R142" s="337"/>
      <c r="S142" s="336"/>
      <c r="T142" s="338"/>
      <c r="U142" s="336"/>
      <c r="V142" s="336"/>
      <c r="W142" s="336"/>
      <c r="X142" s="337"/>
      <c r="Y142" s="336"/>
      <c r="Z142" s="336"/>
      <c r="AA142" s="336"/>
      <c r="AB142" s="241"/>
    </row>
    <row r="143" spans="1:28" ht="24" customHeight="1">
      <c r="A143" s="336"/>
      <c r="B143" s="336"/>
      <c r="C143" s="336"/>
      <c r="D143" s="336"/>
      <c r="E143" s="336"/>
      <c r="F143" s="336"/>
      <c r="G143" s="337"/>
      <c r="H143" s="336"/>
      <c r="I143" s="336"/>
      <c r="J143" s="337"/>
      <c r="K143" s="336"/>
      <c r="L143" s="338"/>
      <c r="M143" s="336"/>
      <c r="N143" s="338"/>
      <c r="O143" s="338"/>
      <c r="P143" s="336"/>
      <c r="Q143" s="338"/>
      <c r="R143" s="337"/>
      <c r="S143" s="336"/>
      <c r="T143" s="338"/>
      <c r="U143" s="336"/>
      <c r="V143" s="336"/>
      <c r="W143" s="336"/>
      <c r="X143" s="337"/>
      <c r="Y143" s="336"/>
      <c r="Z143" s="336"/>
      <c r="AA143" s="336"/>
      <c r="AB143" s="241"/>
    </row>
    <row r="144" spans="1:28" ht="24" customHeight="1">
      <c r="A144" s="336"/>
      <c r="B144" s="336"/>
      <c r="C144" s="336"/>
      <c r="D144" s="336"/>
      <c r="E144" s="336"/>
      <c r="F144" s="336"/>
      <c r="G144" s="337"/>
      <c r="H144" s="336"/>
      <c r="I144" s="336"/>
      <c r="J144" s="337"/>
      <c r="K144" s="336"/>
      <c r="L144" s="338"/>
      <c r="M144" s="336"/>
      <c r="N144" s="338"/>
      <c r="O144" s="338"/>
      <c r="P144" s="336"/>
      <c r="Q144" s="338"/>
      <c r="R144" s="337"/>
      <c r="S144" s="336"/>
      <c r="T144" s="338"/>
      <c r="U144" s="336"/>
      <c r="V144" s="336"/>
      <c r="W144" s="336"/>
      <c r="X144" s="337"/>
      <c r="Y144" s="336"/>
      <c r="Z144" s="336"/>
      <c r="AA144" s="336"/>
      <c r="AB144" s="241"/>
    </row>
    <row r="145" spans="1:28" ht="24" customHeight="1">
      <c r="A145" s="336"/>
      <c r="B145" s="336"/>
      <c r="C145" s="336"/>
      <c r="D145" s="336"/>
      <c r="E145" s="336"/>
      <c r="F145" s="336"/>
      <c r="G145" s="337"/>
      <c r="H145" s="336"/>
      <c r="I145" s="336"/>
      <c r="J145" s="337"/>
      <c r="K145" s="336"/>
      <c r="L145" s="338"/>
      <c r="M145" s="336"/>
      <c r="N145" s="338"/>
      <c r="O145" s="338"/>
      <c r="P145" s="336"/>
      <c r="Q145" s="338"/>
      <c r="R145" s="337"/>
      <c r="S145" s="336"/>
      <c r="T145" s="338"/>
      <c r="U145" s="336"/>
      <c r="V145" s="336"/>
      <c r="W145" s="336"/>
      <c r="X145" s="337"/>
      <c r="Y145" s="336"/>
      <c r="Z145" s="336"/>
      <c r="AA145" s="336"/>
      <c r="AB145" s="241"/>
    </row>
    <row r="146" spans="1:28" ht="24" customHeight="1">
      <c r="A146" s="336"/>
      <c r="B146" s="336"/>
      <c r="C146" s="336"/>
      <c r="D146" s="336"/>
      <c r="E146" s="336"/>
      <c r="F146" s="336"/>
      <c r="G146" s="337"/>
      <c r="H146" s="336"/>
      <c r="I146" s="336"/>
      <c r="J146" s="337"/>
      <c r="K146" s="336"/>
      <c r="L146" s="338"/>
      <c r="M146" s="336"/>
      <c r="N146" s="338"/>
      <c r="O146" s="338"/>
      <c r="P146" s="336"/>
      <c r="Q146" s="338"/>
      <c r="R146" s="337"/>
      <c r="S146" s="336"/>
      <c r="T146" s="338"/>
      <c r="U146" s="336"/>
      <c r="V146" s="336"/>
      <c r="W146" s="336"/>
      <c r="X146" s="337"/>
      <c r="Y146" s="336"/>
      <c r="Z146" s="336"/>
      <c r="AA146" s="336"/>
      <c r="AB146" s="241"/>
    </row>
    <row r="147" spans="1:28" ht="24" customHeight="1">
      <c r="A147" s="336"/>
      <c r="B147" s="336"/>
      <c r="C147" s="336"/>
      <c r="D147" s="336"/>
      <c r="E147" s="336"/>
      <c r="F147" s="336"/>
      <c r="G147" s="337"/>
      <c r="H147" s="336"/>
      <c r="I147" s="336"/>
      <c r="J147" s="337"/>
      <c r="K147" s="336"/>
      <c r="L147" s="338"/>
      <c r="M147" s="336"/>
      <c r="N147" s="338"/>
      <c r="O147" s="338"/>
      <c r="P147" s="336"/>
      <c r="Q147" s="338"/>
      <c r="R147" s="337"/>
      <c r="S147" s="336"/>
      <c r="T147" s="338"/>
      <c r="U147" s="336"/>
      <c r="V147" s="336"/>
      <c r="W147" s="336"/>
      <c r="X147" s="337"/>
      <c r="Y147" s="336"/>
      <c r="Z147" s="336"/>
      <c r="AA147" s="336"/>
      <c r="AB147" s="241"/>
    </row>
    <row r="148" spans="1:28" ht="24" customHeight="1">
      <c r="A148" s="336"/>
      <c r="B148" s="336"/>
      <c r="C148" s="336"/>
      <c r="D148" s="336"/>
      <c r="E148" s="336"/>
      <c r="F148" s="336"/>
      <c r="G148" s="337"/>
      <c r="H148" s="336"/>
      <c r="I148" s="336"/>
      <c r="J148" s="337"/>
      <c r="K148" s="336"/>
      <c r="L148" s="338"/>
      <c r="M148" s="336"/>
      <c r="N148" s="338"/>
      <c r="O148" s="338"/>
      <c r="P148" s="336"/>
      <c r="Q148" s="338"/>
      <c r="R148" s="337"/>
      <c r="S148" s="336"/>
      <c r="T148" s="338"/>
      <c r="U148" s="336"/>
      <c r="V148" s="336"/>
      <c r="W148" s="336"/>
      <c r="X148" s="337"/>
      <c r="Y148" s="336"/>
      <c r="Z148" s="336"/>
      <c r="AA148" s="336"/>
      <c r="AB148" s="241"/>
    </row>
    <row r="149" spans="1:28" ht="24" customHeight="1">
      <c r="A149" s="336"/>
      <c r="B149" s="336"/>
      <c r="C149" s="336"/>
      <c r="D149" s="336"/>
      <c r="E149" s="336"/>
      <c r="F149" s="336"/>
      <c r="G149" s="337"/>
      <c r="H149" s="336"/>
      <c r="I149" s="336"/>
      <c r="J149" s="337"/>
      <c r="K149" s="336"/>
      <c r="L149" s="338"/>
      <c r="M149" s="336"/>
      <c r="N149" s="338"/>
      <c r="O149" s="338"/>
      <c r="P149" s="336"/>
      <c r="Q149" s="338"/>
      <c r="R149" s="337"/>
      <c r="S149" s="336"/>
      <c r="T149" s="338"/>
      <c r="U149" s="336"/>
      <c r="V149" s="336"/>
      <c r="W149" s="336"/>
      <c r="X149" s="337"/>
      <c r="Y149" s="336"/>
      <c r="Z149" s="336"/>
      <c r="AA149" s="336"/>
      <c r="AB149" s="241"/>
    </row>
    <row r="150" spans="1:28" ht="24" customHeight="1">
      <c r="A150" s="336"/>
      <c r="B150" s="336"/>
      <c r="C150" s="336"/>
      <c r="D150" s="336"/>
      <c r="E150" s="336"/>
      <c r="F150" s="336"/>
      <c r="G150" s="337"/>
      <c r="H150" s="336"/>
      <c r="I150" s="336"/>
      <c r="J150" s="337"/>
      <c r="K150" s="336"/>
      <c r="L150" s="338"/>
      <c r="M150" s="336"/>
      <c r="N150" s="338"/>
      <c r="O150" s="338"/>
      <c r="P150" s="336"/>
      <c r="Q150" s="338"/>
      <c r="R150" s="337"/>
      <c r="S150" s="336"/>
      <c r="T150" s="338"/>
      <c r="U150" s="336"/>
      <c r="V150" s="336"/>
      <c r="W150" s="336"/>
      <c r="X150" s="337"/>
      <c r="Y150" s="336"/>
      <c r="Z150" s="336"/>
      <c r="AA150" s="336"/>
      <c r="AB150" s="241"/>
    </row>
    <row r="151" spans="1:28" ht="24" customHeight="1">
      <c r="A151" s="336"/>
      <c r="B151" s="336"/>
      <c r="C151" s="336"/>
      <c r="D151" s="336"/>
      <c r="E151" s="336"/>
      <c r="F151" s="336"/>
      <c r="G151" s="337"/>
      <c r="H151" s="336"/>
      <c r="I151" s="336"/>
      <c r="J151" s="337"/>
      <c r="K151" s="336"/>
      <c r="L151" s="338"/>
      <c r="M151" s="336"/>
      <c r="N151" s="338"/>
      <c r="O151" s="338"/>
      <c r="P151" s="336"/>
      <c r="Q151" s="338"/>
      <c r="R151" s="337"/>
      <c r="S151" s="336"/>
      <c r="T151" s="338"/>
      <c r="U151" s="336"/>
      <c r="V151" s="336"/>
      <c r="W151" s="336"/>
      <c r="X151" s="337"/>
      <c r="Y151" s="336"/>
      <c r="Z151" s="336"/>
      <c r="AA151" s="336"/>
      <c r="AB151" s="241"/>
    </row>
    <row r="152" spans="1:28" ht="24" customHeight="1">
      <c r="A152" s="336"/>
      <c r="B152" s="336"/>
      <c r="C152" s="336"/>
      <c r="D152" s="336"/>
      <c r="E152" s="336"/>
      <c r="F152" s="336"/>
      <c r="G152" s="337"/>
      <c r="H152" s="336"/>
      <c r="I152" s="336"/>
      <c r="J152" s="337"/>
      <c r="K152" s="336"/>
      <c r="L152" s="338"/>
      <c r="M152" s="336"/>
      <c r="N152" s="338"/>
      <c r="O152" s="338"/>
      <c r="P152" s="336"/>
      <c r="Q152" s="338"/>
      <c r="R152" s="337"/>
      <c r="S152" s="336"/>
      <c r="T152" s="338"/>
      <c r="U152" s="336"/>
      <c r="V152" s="336"/>
      <c r="W152" s="336"/>
      <c r="X152" s="337"/>
      <c r="Y152" s="336"/>
      <c r="Z152" s="336"/>
      <c r="AA152" s="336"/>
      <c r="AB152" s="241"/>
    </row>
    <row r="153" spans="1:28" ht="24" customHeight="1">
      <c r="A153" s="336"/>
      <c r="B153" s="336"/>
      <c r="C153" s="336"/>
      <c r="D153" s="336"/>
      <c r="E153" s="336"/>
      <c r="F153" s="336"/>
      <c r="G153" s="337"/>
      <c r="H153" s="336"/>
      <c r="I153" s="336"/>
      <c r="J153" s="337"/>
      <c r="K153" s="336"/>
      <c r="L153" s="338"/>
      <c r="M153" s="336"/>
      <c r="N153" s="338"/>
      <c r="O153" s="338"/>
      <c r="P153" s="336"/>
      <c r="Q153" s="338"/>
      <c r="R153" s="337"/>
      <c r="S153" s="336"/>
      <c r="T153" s="338"/>
      <c r="U153" s="336"/>
      <c r="V153" s="336"/>
      <c r="W153" s="336"/>
      <c r="X153" s="337"/>
      <c r="Y153" s="336"/>
      <c r="Z153" s="336"/>
      <c r="AA153" s="336"/>
      <c r="AB153" s="241"/>
    </row>
    <row r="154" spans="1:28" ht="24" customHeight="1">
      <c r="A154" s="336"/>
      <c r="B154" s="336"/>
      <c r="C154" s="336"/>
      <c r="D154" s="336"/>
      <c r="E154" s="336"/>
      <c r="F154" s="336"/>
      <c r="G154" s="337"/>
      <c r="H154" s="336"/>
      <c r="I154" s="336"/>
      <c r="J154" s="337"/>
      <c r="K154" s="336"/>
      <c r="L154" s="338"/>
      <c r="M154" s="336"/>
      <c r="N154" s="338"/>
      <c r="O154" s="338"/>
      <c r="P154" s="336"/>
      <c r="Q154" s="338"/>
      <c r="R154" s="337"/>
      <c r="S154" s="336"/>
      <c r="T154" s="338"/>
      <c r="U154" s="336"/>
      <c r="V154" s="336"/>
      <c r="W154" s="336"/>
      <c r="X154" s="337"/>
      <c r="Y154" s="336"/>
      <c r="Z154" s="336"/>
      <c r="AA154" s="336"/>
      <c r="AB154" s="241"/>
    </row>
    <row r="155" spans="1:28" ht="24" customHeight="1">
      <c r="A155" s="336"/>
      <c r="B155" s="336"/>
      <c r="C155" s="336"/>
      <c r="D155" s="336"/>
      <c r="E155" s="336"/>
      <c r="F155" s="336"/>
      <c r="G155" s="337"/>
      <c r="H155" s="336"/>
      <c r="I155" s="336"/>
      <c r="J155" s="337"/>
      <c r="K155" s="336"/>
      <c r="L155" s="338"/>
      <c r="M155" s="336"/>
      <c r="N155" s="338"/>
      <c r="O155" s="338"/>
      <c r="P155" s="336"/>
      <c r="Q155" s="338"/>
      <c r="R155" s="337"/>
      <c r="S155" s="336"/>
      <c r="T155" s="338"/>
      <c r="U155" s="336"/>
      <c r="V155" s="336"/>
      <c r="W155" s="336"/>
      <c r="X155" s="337"/>
      <c r="Y155" s="336"/>
      <c r="Z155" s="336"/>
      <c r="AA155" s="336"/>
      <c r="AB155" s="241"/>
    </row>
    <row r="156" spans="1:28" ht="24" customHeight="1">
      <c r="A156" s="336"/>
      <c r="B156" s="336"/>
      <c r="C156" s="336"/>
      <c r="D156" s="336"/>
      <c r="E156" s="336"/>
      <c r="F156" s="336"/>
      <c r="G156" s="337"/>
      <c r="H156" s="336"/>
      <c r="I156" s="336"/>
      <c r="J156" s="337"/>
      <c r="K156" s="336"/>
      <c r="L156" s="338"/>
      <c r="M156" s="336"/>
      <c r="N156" s="338"/>
      <c r="O156" s="338"/>
      <c r="P156" s="336"/>
      <c r="Q156" s="338"/>
      <c r="R156" s="337"/>
      <c r="S156" s="336"/>
      <c r="T156" s="338"/>
      <c r="U156" s="336"/>
      <c r="V156" s="336"/>
      <c r="W156" s="336"/>
      <c r="X156" s="337"/>
      <c r="Y156" s="336"/>
      <c r="Z156" s="336"/>
      <c r="AA156" s="336"/>
      <c r="AB156" s="241"/>
    </row>
    <row r="157" spans="1:28" ht="24" customHeight="1">
      <c r="A157" s="336"/>
      <c r="B157" s="336"/>
      <c r="C157" s="336"/>
      <c r="D157" s="336"/>
      <c r="E157" s="336"/>
      <c r="F157" s="336"/>
      <c r="G157" s="337"/>
      <c r="H157" s="336"/>
      <c r="I157" s="336"/>
      <c r="J157" s="337"/>
      <c r="K157" s="336"/>
      <c r="L157" s="338"/>
      <c r="M157" s="336"/>
      <c r="N157" s="338"/>
      <c r="O157" s="338"/>
      <c r="P157" s="336"/>
      <c r="Q157" s="338"/>
      <c r="R157" s="337"/>
      <c r="S157" s="336"/>
      <c r="T157" s="338"/>
      <c r="U157" s="336"/>
      <c r="V157" s="336"/>
      <c r="W157" s="336"/>
      <c r="X157" s="337"/>
      <c r="Y157" s="336"/>
      <c r="Z157" s="336"/>
      <c r="AA157" s="336"/>
      <c r="AB157" s="241"/>
    </row>
    <row r="158" spans="1:28" ht="24" customHeight="1">
      <c r="A158" s="336"/>
      <c r="B158" s="336"/>
      <c r="C158" s="336"/>
      <c r="D158" s="336"/>
      <c r="E158" s="336"/>
      <c r="F158" s="336"/>
      <c r="G158" s="337"/>
      <c r="H158" s="336"/>
      <c r="I158" s="336"/>
      <c r="J158" s="337"/>
      <c r="K158" s="336"/>
      <c r="L158" s="338"/>
      <c r="M158" s="336"/>
      <c r="N158" s="338"/>
      <c r="O158" s="338"/>
      <c r="P158" s="336"/>
      <c r="Q158" s="338"/>
      <c r="R158" s="337"/>
      <c r="S158" s="336"/>
      <c r="T158" s="338"/>
      <c r="U158" s="336"/>
      <c r="V158" s="336"/>
      <c r="W158" s="336"/>
      <c r="X158" s="337"/>
      <c r="Y158" s="336"/>
      <c r="Z158" s="336"/>
      <c r="AA158" s="336"/>
      <c r="AB158" s="241"/>
    </row>
    <row r="159" spans="1:28" ht="24" customHeight="1">
      <c r="A159" s="336"/>
      <c r="B159" s="336"/>
      <c r="C159" s="336"/>
      <c r="D159" s="336"/>
      <c r="E159" s="336"/>
      <c r="F159" s="336"/>
      <c r="G159" s="337"/>
      <c r="H159" s="336"/>
      <c r="I159" s="336"/>
      <c r="J159" s="337"/>
      <c r="K159" s="336"/>
      <c r="L159" s="338"/>
      <c r="M159" s="336"/>
      <c r="N159" s="338"/>
      <c r="O159" s="338"/>
      <c r="P159" s="336"/>
      <c r="Q159" s="338"/>
      <c r="R159" s="337"/>
      <c r="S159" s="336"/>
      <c r="T159" s="338"/>
      <c r="U159" s="336"/>
      <c r="V159" s="336"/>
      <c r="W159" s="336"/>
      <c r="X159" s="337"/>
      <c r="Y159" s="336"/>
      <c r="Z159" s="336"/>
      <c r="AA159" s="336"/>
      <c r="AB159" s="241"/>
    </row>
    <row r="160" spans="1:28" ht="24" customHeight="1">
      <c r="A160" s="336"/>
      <c r="B160" s="336"/>
      <c r="C160" s="336"/>
      <c r="D160" s="336"/>
      <c r="E160" s="336"/>
      <c r="F160" s="336"/>
      <c r="G160" s="337"/>
      <c r="H160" s="336"/>
      <c r="I160" s="336"/>
      <c r="J160" s="337"/>
      <c r="K160" s="336"/>
      <c r="L160" s="338"/>
      <c r="M160" s="336"/>
      <c r="N160" s="338"/>
      <c r="O160" s="338"/>
      <c r="P160" s="336"/>
      <c r="Q160" s="338"/>
      <c r="R160" s="337"/>
      <c r="S160" s="336"/>
      <c r="T160" s="338"/>
      <c r="U160" s="336"/>
      <c r="V160" s="336"/>
      <c r="W160" s="336"/>
      <c r="X160" s="337"/>
      <c r="Y160" s="336"/>
      <c r="Z160" s="336"/>
      <c r="AA160" s="336"/>
      <c r="AB160" s="241"/>
    </row>
    <row r="161" spans="1:28" ht="24" customHeight="1">
      <c r="A161" s="336"/>
      <c r="B161" s="336"/>
      <c r="C161" s="336"/>
      <c r="D161" s="336"/>
      <c r="E161" s="336"/>
      <c r="F161" s="336"/>
      <c r="G161" s="337"/>
      <c r="H161" s="336"/>
      <c r="I161" s="336"/>
      <c r="J161" s="337"/>
      <c r="K161" s="336"/>
      <c r="L161" s="338"/>
      <c r="M161" s="336"/>
      <c r="N161" s="338"/>
      <c r="O161" s="338"/>
      <c r="P161" s="336"/>
      <c r="Q161" s="338"/>
      <c r="R161" s="337"/>
      <c r="S161" s="336"/>
      <c r="T161" s="338"/>
      <c r="U161" s="336"/>
      <c r="V161" s="336"/>
      <c r="W161" s="336"/>
      <c r="X161" s="337"/>
      <c r="Y161" s="336"/>
      <c r="Z161" s="336"/>
      <c r="AA161" s="336"/>
      <c r="AB161" s="241"/>
    </row>
    <row r="162" spans="1:28" ht="24" customHeight="1">
      <c r="A162" s="336"/>
      <c r="B162" s="336"/>
      <c r="C162" s="336"/>
      <c r="D162" s="336"/>
      <c r="E162" s="336"/>
      <c r="F162" s="336"/>
      <c r="G162" s="337"/>
      <c r="H162" s="336"/>
      <c r="I162" s="336"/>
      <c r="J162" s="337"/>
      <c r="K162" s="336"/>
      <c r="L162" s="338"/>
      <c r="M162" s="336"/>
      <c r="N162" s="338"/>
      <c r="O162" s="338"/>
      <c r="P162" s="336"/>
      <c r="Q162" s="338"/>
      <c r="R162" s="337"/>
      <c r="S162" s="336"/>
      <c r="T162" s="338"/>
      <c r="U162" s="336"/>
      <c r="V162" s="336"/>
      <c r="W162" s="336"/>
      <c r="X162" s="337"/>
      <c r="Y162" s="336"/>
      <c r="Z162" s="336"/>
      <c r="AA162" s="336"/>
      <c r="AB162" s="241"/>
    </row>
    <row r="163" spans="1:28" ht="24" customHeight="1">
      <c r="A163" s="336"/>
      <c r="B163" s="336"/>
      <c r="C163" s="336"/>
      <c r="D163" s="336"/>
      <c r="E163" s="336"/>
      <c r="F163" s="336"/>
      <c r="G163" s="337"/>
      <c r="H163" s="336"/>
      <c r="I163" s="336"/>
      <c r="J163" s="337"/>
      <c r="K163" s="336"/>
      <c r="L163" s="338"/>
      <c r="M163" s="336"/>
      <c r="N163" s="338"/>
      <c r="O163" s="338"/>
      <c r="P163" s="336"/>
      <c r="Q163" s="338"/>
      <c r="R163" s="337"/>
      <c r="S163" s="336"/>
      <c r="T163" s="338"/>
      <c r="U163" s="336"/>
      <c r="V163" s="336"/>
      <c r="W163" s="336"/>
      <c r="X163" s="337"/>
      <c r="Y163" s="336"/>
      <c r="Z163" s="336"/>
      <c r="AA163" s="336"/>
      <c r="AB163" s="241"/>
    </row>
    <row r="164" spans="1:28" ht="24" customHeight="1">
      <c r="A164" s="336"/>
      <c r="B164" s="336"/>
      <c r="C164" s="336"/>
      <c r="D164" s="336"/>
      <c r="E164" s="336"/>
      <c r="F164" s="336"/>
      <c r="G164" s="337"/>
      <c r="H164" s="336"/>
      <c r="I164" s="336"/>
      <c r="J164" s="337"/>
      <c r="K164" s="336"/>
      <c r="L164" s="338"/>
      <c r="M164" s="336"/>
      <c r="N164" s="338"/>
      <c r="O164" s="338"/>
      <c r="P164" s="336"/>
      <c r="Q164" s="338"/>
      <c r="R164" s="337"/>
      <c r="S164" s="336"/>
      <c r="T164" s="338"/>
      <c r="U164" s="336"/>
      <c r="V164" s="336"/>
      <c r="W164" s="336"/>
      <c r="X164" s="337"/>
      <c r="Y164" s="336"/>
      <c r="Z164" s="336"/>
      <c r="AA164" s="336"/>
      <c r="AB164" s="241"/>
    </row>
    <row r="165" spans="1:28" ht="24" customHeight="1">
      <c r="A165" s="336"/>
      <c r="B165" s="336"/>
      <c r="C165" s="336"/>
      <c r="D165" s="336"/>
      <c r="E165" s="336"/>
      <c r="F165" s="336"/>
      <c r="G165" s="337"/>
      <c r="H165" s="336"/>
      <c r="I165" s="336"/>
      <c r="J165" s="337"/>
      <c r="K165" s="336"/>
      <c r="L165" s="338"/>
      <c r="M165" s="336"/>
      <c r="N165" s="338"/>
      <c r="O165" s="338"/>
      <c r="P165" s="336"/>
      <c r="Q165" s="338"/>
      <c r="R165" s="337"/>
      <c r="S165" s="336"/>
      <c r="T165" s="338"/>
      <c r="U165" s="336"/>
      <c r="V165" s="336"/>
      <c r="W165" s="336"/>
      <c r="X165" s="337"/>
      <c r="Y165" s="336"/>
      <c r="Z165" s="336"/>
      <c r="AA165" s="336"/>
      <c r="AB165" s="241"/>
    </row>
    <row r="166" spans="1:28" ht="24" customHeight="1">
      <c r="A166" s="336"/>
      <c r="B166" s="336"/>
      <c r="C166" s="336"/>
      <c r="D166" s="336"/>
      <c r="E166" s="336"/>
      <c r="F166" s="336"/>
      <c r="G166" s="337"/>
      <c r="H166" s="336"/>
      <c r="I166" s="336"/>
      <c r="J166" s="337"/>
      <c r="K166" s="336"/>
      <c r="L166" s="338"/>
      <c r="M166" s="336"/>
      <c r="N166" s="338"/>
      <c r="O166" s="338"/>
      <c r="P166" s="336"/>
      <c r="Q166" s="338"/>
      <c r="R166" s="337"/>
      <c r="S166" s="336"/>
      <c r="T166" s="338"/>
      <c r="U166" s="336"/>
      <c r="V166" s="336"/>
      <c r="W166" s="336"/>
      <c r="X166" s="337"/>
      <c r="Y166" s="336"/>
      <c r="Z166" s="336"/>
      <c r="AA166" s="336"/>
      <c r="AB166" s="241"/>
    </row>
    <row r="167" spans="1:28" ht="24" customHeight="1">
      <c r="A167" s="336"/>
      <c r="B167" s="336"/>
      <c r="C167" s="336"/>
      <c r="D167" s="336"/>
      <c r="E167" s="336"/>
      <c r="F167" s="336"/>
      <c r="G167" s="337"/>
      <c r="H167" s="336"/>
      <c r="I167" s="336"/>
      <c r="J167" s="337"/>
      <c r="K167" s="336"/>
      <c r="L167" s="338"/>
      <c r="M167" s="336"/>
      <c r="N167" s="338"/>
      <c r="O167" s="338"/>
      <c r="P167" s="336"/>
      <c r="Q167" s="338"/>
      <c r="R167" s="337"/>
      <c r="S167" s="336"/>
      <c r="T167" s="338"/>
      <c r="U167" s="336"/>
      <c r="V167" s="336"/>
      <c r="W167" s="336"/>
      <c r="X167" s="337"/>
      <c r="Y167" s="336"/>
      <c r="Z167" s="336"/>
      <c r="AA167" s="336"/>
      <c r="AB167" s="241"/>
    </row>
    <row r="168" spans="1:28" ht="24" customHeight="1">
      <c r="A168" s="336"/>
      <c r="B168" s="336"/>
      <c r="C168" s="336"/>
      <c r="D168" s="336"/>
      <c r="E168" s="336"/>
      <c r="F168" s="336"/>
      <c r="G168" s="337"/>
      <c r="H168" s="336"/>
      <c r="I168" s="336"/>
      <c r="J168" s="337"/>
      <c r="K168" s="336"/>
      <c r="L168" s="338"/>
      <c r="M168" s="336"/>
      <c r="N168" s="338"/>
      <c r="O168" s="338"/>
      <c r="P168" s="336"/>
      <c r="Q168" s="338"/>
      <c r="R168" s="337"/>
      <c r="S168" s="336"/>
      <c r="T168" s="338"/>
      <c r="U168" s="336"/>
      <c r="V168" s="336"/>
      <c r="W168" s="336"/>
      <c r="X168" s="337"/>
      <c r="Y168" s="336"/>
      <c r="Z168" s="336"/>
      <c r="AA168" s="336"/>
      <c r="AB168" s="241"/>
    </row>
    <row r="169" spans="1:28" ht="24" customHeight="1">
      <c r="A169" s="336"/>
      <c r="B169" s="336"/>
      <c r="C169" s="336"/>
      <c r="D169" s="336"/>
      <c r="E169" s="336"/>
      <c r="F169" s="336"/>
      <c r="G169" s="337"/>
      <c r="H169" s="336"/>
      <c r="I169" s="336"/>
      <c r="J169" s="337"/>
      <c r="K169" s="336"/>
      <c r="L169" s="338"/>
      <c r="M169" s="336"/>
      <c r="N169" s="338"/>
      <c r="O169" s="338"/>
      <c r="P169" s="336"/>
      <c r="Q169" s="338"/>
      <c r="R169" s="337"/>
      <c r="S169" s="336"/>
      <c r="T169" s="338"/>
      <c r="U169" s="336"/>
      <c r="V169" s="336"/>
      <c r="W169" s="336"/>
      <c r="X169" s="337"/>
      <c r="Y169" s="336"/>
      <c r="Z169" s="336"/>
      <c r="AA169" s="336"/>
      <c r="AB169" s="241"/>
    </row>
    <row r="170" spans="1:28" ht="24" customHeight="1">
      <c r="A170" s="336"/>
      <c r="B170" s="336"/>
      <c r="C170" s="336"/>
      <c r="D170" s="336"/>
      <c r="E170" s="336"/>
      <c r="F170" s="336"/>
      <c r="G170" s="337"/>
      <c r="H170" s="336"/>
      <c r="I170" s="336"/>
      <c r="J170" s="337"/>
      <c r="K170" s="336"/>
      <c r="L170" s="338"/>
      <c r="M170" s="336"/>
      <c r="N170" s="338"/>
      <c r="O170" s="338"/>
      <c r="P170" s="336"/>
      <c r="Q170" s="338"/>
      <c r="R170" s="337"/>
      <c r="S170" s="336"/>
      <c r="T170" s="338"/>
      <c r="U170" s="336"/>
      <c r="V170" s="336"/>
      <c r="W170" s="336"/>
      <c r="X170" s="337"/>
      <c r="Y170" s="336"/>
      <c r="Z170" s="336"/>
      <c r="AA170" s="336"/>
      <c r="AB170" s="241"/>
    </row>
    <row r="171" spans="1:28" ht="24" customHeight="1">
      <c r="A171" s="336"/>
      <c r="B171" s="336"/>
      <c r="C171" s="336"/>
      <c r="D171" s="336"/>
      <c r="E171" s="336"/>
      <c r="F171" s="336"/>
      <c r="G171" s="337"/>
      <c r="H171" s="336"/>
      <c r="I171" s="336"/>
      <c r="J171" s="337"/>
      <c r="K171" s="336"/>
      <c r="L171" s="338"/>
      <c r="M171" s="336"/>
      <c r="N171" s="338"/>
      <c r="O171" s="338"/>
      <c r="P171" s="336"/>
      <c r="Q171" s="338"/>
      <c r="R171" s="337"/>
      <c r="S171" s="336"/>
      <c r="T171" s="338"/>
      <c r="U171" s="336"/>
      <c r="V171" s="336"/>
      <c r="W171" s="336"/>
      <c r="X171" s="337"/>
      <c r="Y171" s="336"/>
      <c r="Z171" s="336"/>
      <c r="AA171" s="336"/>
      <c r="AB171" s="241"/>
    </row>
    <row r="172" spans="1:28" ht="24" customHeight="1">
      <c r="A172" s="336"/>
      <c r="B172" s="336"/>
      <c r="C172" s="336"/>
      <c r="D172" s="336"/>
      <c r="E172" s="336"/>
      <c r="F172" s="336"/>
      <c r="G172" s="337"/>
      <c r="H172" s="336"/>
      <c r="I172" s="336"/>
      <c r="J172" s="337"/>
      <c r="K172" s="336"/>
      <c r="L172" s="338"/>
      <c r="M172" s="336"/>
      <c r="N172" s="338"/>
      <c r="O172" s="338"/>
      <c r="P172" s="336"/>
      <c r="Q172" s="338"/>
      <c r="R172" s="337"/>
      <c r="S172" s="336"/>
      <c r="T172" s="338"/>
      <c r="U172" s="336"/>
      <c r="V172" s="336"/>
      <c r="W172" s="336"/>
      <c r="X172" s="337"/>
      <c r="Y172" s="336"/>
      <c r="Z172" s="336"/>
      <c r="AA172" s="336"/>
      <c r="AB172" s="241"/>
    </row>
    <row r="173" spans="1:28" ht="24" customHeight="1">
      <c r="A173" s="336"/>
      <c r="B173" s="336"/>
      <c r="C173" s="336"/>
      <c r="D173" s="336"/>
      <c r="E173" s="336"/>
      <c r="F173" s="336"/>
      <c r="G173" s="337"/>
      <c r="H173" s="336"/>
      <c r="I173" s="336"/>
      <c r="J173" s="337"/>
      <c r="K173" s="336"/>
      <c r="L173" s="338"/>
      <c r="M173" s="336"/>
      <c r="N173" s="338"/>
      <c r="O173" s="338"/>
      <c r="P173" s="336"/>
      <c r="Q173" s="338"/>
      <c r="R173" s="337"/>
      <c r="S173" s="336"/>
      <c r="T173" s="338"/>
      <c r="U173" s="336"/>
      <c r="V173" s="336"/>
      <c r="W173" s="336"/>
      <c r="X173" s="337"/>
      <c r="Y173" s="336"/>
      <c r="Z173" s="336"/>
      <c r="AA173" s="336"/>
      <c r="AB173" s="241"/>
    </row>
    <row r="174" spans="1:28" ht="24" customHeight="1">
      <c r="A174" s="336"/>
      <c r="B174" s="336"/>
      <c r="C174" s="336"/>
      <c r="D174" s="336"/>
      <c r="E174" s="336"/>
      <c r="F174" s="336"/>
      <c r="G174" s="337"/>
      <c r="H174" s="336"/>
      <c r="I174" s="336"/>
      <c r="J174" s="337"/>
      <c r="K174" s="336"/>
      <c r="L174" s="338"/>
      <c r="M174" s="336"/>
      <c r="N174" s="338"/>
      <c r="O174" s="338"/>
      <c r="P174" s="336"/>
      <c r="Q174" s="338"/>
      <c r="R174" s="337"/>
      <c r="S174" s="336"/>
      <c r="T174" s="338"/>
      <c r="U174" s="336"/>
      <c r="V174" s="336"/>
      <c r="W174" s="336"/>
      <c r="X174" s="337"/>
      <c r="Y174" s="336"/>
      <c r="Z174" s="336"/>
      <c r="AA174" s="336"/>
      <c r="AB174" s="241"/>
    </row>
    <row r="175" spans="1:28" ht="24" customHeight="1">
      <c r="A175" s="336"/>
      <c r="B175" s="336"/>
      <c r="C175" s="336"/>
      <c r="D175" s="336"/>
      <c r="E175" s="336"/>
      <c r="F175" s="336"/>
      <c r="G175" s="337"/>
      <c r="H175" s="336"/>
      <c r="I175" s="336"/>
      <c r="J175" s="337"/>
      <c r="K175" s="336"/>
      <c r="L175" s="338"/>
      <c r="M175" s="336"/>
      <c r="N175" s="338"/>
      <c r="O175" s="338"/>
      <c r="P175" s="336"/>
      <c r="Q175" s="338"/>
      <c r="R175" s="337"/>
      <c r="S175" s="336"/>
      <c r="T175" s="338"/>
      <c r="U175" s="336"/>
      <c r="V175" s="336"/>
      <c r="W175" s="336"/>
      <c r="X175" s="337"/>
      <c r="Y175" s="336"/>
      <c r="Z175" s="336"/>
      <c r="AA175" s="336"/>
      <c r="AB175" s="241"/>
    </row>
    <row r="176" spans="1:28" ht="24" customHeight="1">
      <c r="A176" s="336"/>
      <c r="B176" s="336"/>
      <c r="C176" s="336"/>
      <c r="D176" s="336"/>
      <c r="E176" s="336"/>
      <c r="F176" s="336"/>
      <c r="G176" s="337"/>
      <c r="H176" s="336"/>
      <c r="I176" s="336"/>
      <c r="J176" s="337"/>
      <c r="K176" s="336"/>
      <c r="L176" s="338"/>
      <c r="M176" s="336"/>
      <c r="N176" s="338"/>
      <c r="O176" s="338"/>
      <c r="P176" s="336"/>
      <c r="Q176" s="338"/>
      <c r="R176" s="337"/>
      <c r="S176" s="336"/>
      <c r="T176" s="338"/>
      <c r="U176" s="336"/>
      <c r="V176" s="336"/>
      <c r="W176" s="336"/>
      <c r="X176" s="337"/>
      <c r="Y176" s="336"/>
      <c r="Z176" s="336"/>
      <c r="AA176" s="336"/>
      <c r="AB176" s="241"/>
    </row>
    <row r="177" spans="1:28" ht="24" customHeight="1">
      <c r="A177" s="336"/>
      <c r="B177" s="336"/>
      <c r="C177" s="336"/>
      <c r="D177" s="336"/>
      <c r="E177" s="336"/>
      <c r="F177" s="336"/>
      <c r="G177" s="337"/>
      <c r="H177" s="336"/>
      <c r="I177" s="336"/>
      <c r="J177" s="337"/>
      <c r="K177" s="336"/>
      <c r="L177" s="338"/>
      <c r="M177" s="336"/>
      <c r="N177" s="338"/>
      <c r="O177" s="338"/>
      <c r="P177" s="336"/>
      <c r="Q177" s="338"/>
      <c r="R177" s="337"/>
      <c r="S177" s="336"/>
      <c r="T177" s="338"/>
      <c r="U177" s="336"/>
      <c r="V177" s="336"/>
      <c r="W177" s="336"/>
      <c r="X177" s="337"/>
      <c r="Y177" s="336"/>
      <c r="Z177" s="336"/>
      <c r="AA177" s="336"/>
      <c r="AB177" s="241"/>
    </row>
    <row r="178" spans="1:28" ht="24" customHeight="1">
      <c r="A178" s="336"/>
      <c r="B178" s="336"/>
      <c r="C178" s="336"/>
      <c r="D178" s="336"/>
      <c r="E178" s="336"/>
      <c r="F178" s="336"/>
      <c r="G178" s="337"/>
      <c r="H178" s="336"/>
      <c r="I178" s="336"/>
      <c r="J178" s="337"/>
      <c r="K178" s="336"/>
      <c r="L178" s="338"/>
      <c r="M178" s="336"/>
      <c r="N178" s="338"/>
      <c r="O178" s="338"/>
      <c r="P178" s="336"/>
      <c r="Q178" s="338"/>
      <c r="R178" s="337"/>
      <c r="S178" s="336"/>
      <c r="T178" s="338"/>
      <c r="U178" s="336"/>
      <c r="V178" s="336"/>
      <c r="W178" s="336"/>
      <c r="X178" s="337"/>
      <c r="Y178" s="336"/>
      <c r="Z178" s="336"/>
      <c r="AA178" s="336"/>
      <c r="AB178" s="241"/>
    </row>
    <row r="179" spans="1:28" ht="24" customHeight="1">
      <c r="A179" s="336"/>
      <c r="B179" s="336"/>
      <c r="C179" s="336"/>
      <c r="D179" s="336"/>
      <c r="E179" s="336"/>
      <c r="F179" s="336"/>
      <c r="G179" s="337"/>
      <c r="H179" s="336"/>
      <c r="I179" s="336"/>
      <c r="J179" s="337"/>
      <c r="K179" s="336"/>
      <c r="L179" s="338"/>
      <c r="M179" s="336"/>
      <c r="N179" s="338"/>
      <c r="O179" s="338"/>
      <c r="P179" s="336"/>
      <c r="Q179" s="338"/>
      <c r="R179" s="337"/>
      <c r="S179" s="336"/>
      <c r="T179" s="338"/>
      <c r="U179" s="336"/>
      <c r="V179" s="336"/>
      <c r="W179" s="336"/>
      <c r="X179" s="337"/>
      <c r="Y179" s="336"/>
      <c r="Z179" s="336"/>
      <c r="AA179" s="336"/>
      <c r="AB179" s="241"/>
    </row>
    <row r="180" spans="1:28" ht="24" customHeight="1">
      <c r="A180" s="336"/>
      <c r="B180" s="336"/>
      <c r="C180" s="336"/>
      <c r="D180" s="336"/>
      <c r="E180" s="336"/>
      <c r="F180" s="336"/>
      <c r="G180" s="337"/>
      <c r="H180" s="336"/>
      <c r="I180" s="336"/>
      <c r="J180" s="337"/>
      <c r="K180" s="336"/>
      <c r="L180" s="338"/>
      <c r="M180" s="336"/>
      <c r="N180" s="338"/>
      <c r="O180" s="338"/>
      <c r="P180" s="336"/>
      <c r="Q180" s="338"/>
      <c r="R180" s="337"/>
      <c r="S180" s="336"/>
      <c r="T180" s="338"/>
      <c r="U180" s="336"/>
      <c r="V180" s="336"/>
      <c r="W180" s="336"/>
      <c r="X180" s="337"/>
      <c r="Y180" s="336"/>
      <c r="Z180" s="336"/>
      <c r="AA180" s="336"/>
      <c r="AB180" s="241"/>
    </row>
    <row r="181" spans="1:28" ht="24" customHeight="1">
      <c r="A181" s="336"/>
      <c r="B181" s="336"/>
      <c r="C181" s="336"/>
      <c r="D181" s="336"/>
      <c r="E181" s="336"/>
      <c r="F181" s="336"/>
      <c r="G181" s="337"/>
      <c r="H181" s="336"/>
      <c r="I181" s="336"/>
      <c r="J181" s="337"/>
      <c r="K181" s="336"/>
      <c r="L181" s="338"/>
      <c r="M181" s="336"/>
      <c r="N181" s="338"/>
      <c r="O181" s="338"/>
      <c r="P181" s="336"/>
      <c r="Q181" s="338"/>
      <c r="R181" s="337"/>
      <c r="S181" s="336"/>
      <c r="T181" s="338"/>
      <c r="U181" s="336"/>
      <c r="V181" s="336"/>
      <c r="W181" s="336"/>
      <c r="X181" s="337"/>
      <c r="Y181" s="336"/>
      <c r="Z181" s="336"/>
      <c r="AA181" s="336"/>
      <c r="AB181" s="241"/>
    </row>
    <row r="182" spans="1:28" ht="24" customHeight="1">
      <c r="A182" s="336"/>
      <c r="B182" s="336"/>
      <c r="C182" s="336"/>
      <c r="D182" s="336"/>
      <c r="E182" s="336"/>
      <c r="F182" s="336"/>
      <c r="G182" s="337"/>
      <c r="H182" s="336"/>
      <c r="I182" s="336"/>
      <c r="J182" s="337"/>
      <c r="K182" s="336"/>
      <c r="L182" s="338"/>
      <c r="M182" s="336"/>
      <c r="N182" s="338"/>
      <c r="O182" s="338"/>
      <c r="P182" s="336"/>
      <c r="Q182" s="338"/>
      <c r="R182" s="337"/>
      <c r="S182" s="336"/>
      <c r="T182" s="338"/>
      <c r="U182" s="336"/>
      <c r="V182" s="336"/>
      <c r="W182" s="336"/>
      <c r="X182" s="337"/>
      <c r="Y182" s="336"/>
      <c r="Z182" s="336"/>
      <c r="AA182" s="336"/>
      <c r="AB182" s="241"/>
    </row>
    <row r="183" spans="1:28" ht="24" customHeight="1">
      <c r="A183" s="336"/>
      <c r="B183" s="336"/>
      <c r="C183" s="336"/>
      <c r="D183" s="336"/>
      <c r="E183" s="336"/>
      <c r="F183" s="336"/>
      <c r="G183" s="337"/>
      <c r="H183" s="336"/>
      <c r="I183" s="336"/>
      <c r="J183" s="337"/>
      <c r="K183" s="336"/>
      <c r="L183" s="338"/>
      <c r="M183" s="336"/>
      <c r="N183" s="338"/>
      <c r="O183" s="338"/>
      <c r="P183" s="336"/>
      <c r="Q183" s="338"/>
      <c r="R183" s="337"/>
      <c r="S183" s="336"/>
      <c r="T183" s="338"/>
      <c r="U183" s="336"/>
      <c r="V183" s="336"/>
      <c r="W183" s="336"/>
      <c r="X183" s="337"/>
      <c r="Y183" s="336"/>
      <c r="Z183" s="336"/>
      <c r="AA183" s="336"/>
      <c r="AB183" s="241"/>
    </row>
    <row r="184" spans="1:28" ht="24" customHeight="1">
      <c r="A184" s="336"/>
      <c r="B184" s="336"/>
      <c r="C184" s="336"/>
      <c r="D184" s="336"/>
      <c r="E184" s="336"/>
      <c r="F184" s="336"/>
      <c r="G184" s="337"/>
      <c r="H184" s="336"/>
      <c r="I184" s="336"/>
      <c r="J184" s="337"/>
      <c r="K184" s="336"/>
      <c r="L184" s="338"/>
      <c r="M184" s="336"/>
      <c r="N184" s="338"/>
      <c r="O184" s="338"/>
      <c r="P184" s="336"/>
      <c r="Q184" s="338"/>
      <c r="R184" s="337"/>
      <c r="S184" s="336"/>
      <c r="T184" s="338"/>
      <c r="U184" s="336"/>
      <c r="V184" s="336"/>
      <c r="W184" s="336"/>
      <c r="X184" s="337"/>
      <c r="Y184" s="336"/>
      <c r="Z184" s="336"/>
      <c r="AA184" s="336"/>
      <c r="AB184" s="241"/>
    </row>
    <row r="185" spans="1:28" ht="24" customHeight="1">
      <c r="A185" s="336"/>
      <c r="B185" s="336"/>
      <c r="C185" s="336"/>
      <c r="D185" s="336"/>
      <c r="E185" s="336"/>
      <c r="F185" s="336"/>
      <c r="G185" s="337"/>
      <c r="H185" s="336"/>
      <c r="I185" s="336"/>
      <c r="J185" s="337"/>
      <c r="K185" s="336"/>
      <c r="L185" s="338"/>
      <c r="M185" s="336"/>
      <c r="N185" s="338"/>
      <c r="O185" s="338"/>
      <c r="P185" s="336"/>
      <c r="Q185" s="338"/>
      <c r="R185" s="337"/>
      <c r="S185" s="336"/>
      <c r="T185" s="338"/>
      <c r="U185" s="336"/>
      <c r="V185" s="336"/>
      <c r="W185" s="336"/>
      <c r="X185" s="337"/>
      <c r="Y185" s="336"/>
      <c r="Z185" s="336"/>
      <c r="AA185" s="336"/>
      <c r="AB185" s="241"/>
    </row>
    <row r="186" spans="1:28" ht="24" customHeight="1">
      <c r="A186" s="336"/>
      <c r="B186" s="336"/>
      <c r="C186" s="336"/>
      <c r="D186" s="336"/>
      <c r="E186" s="336"/>
      <c r="F186" s="336"/>
      <c r="G186" s="337"/>
      <c r="H186" s="336"/>
      <c r="I186" s="336"/>
      <c r="J186" s="337"/>
      <c r="K186" s="336"/>
      <c r="L186" s="338"/>
      <c r="M186" s="336"/>
      <c r="N186" s="338"/>
      <c r="O186" s="338"/>
      <c r="P186" s="336"/>
      <c r="Q186" s="338"/>
      <c r="R186" s="337"/>
      <c r="S186" s="336"/>
      <c r="T186" s="338"/>
      <c r="U186" s="336"/>
      <c r="V186" s="336"/>
      <c r="W186" s="336"/>
      <c r="X186" s="337"/>
      <c r="Y186" s="336"/>
      <c r="Z186" s="336"/>
      <c r="AA186" s="336"/>
      <c r="AB186" s="241"/>
    </row>
    <row r="187" spans="1:28" ht="24" customHeight="1">
      <c r="A187" s="336"/>
      <c r="B187" s="336"/>
      <c r="C187" s="336"/>
      <c r="D187" s="336"/>
      <c r="E187" s="336"/>
      <c r="F187" s="336"/>
      <c r="G187" s="337"/>
      <c r="H187" s="336"/>
      <c r="I187" s="336"/>
      <c r="J187" s="337"/>
      <c r="K187" s="336"/>
      <c r="L187" s="338"/>
      <c r="M187" s="336"/>
      <c r="N187" s="338"/>
      <c r="O187" s="338"/>
      <c r="P187" s="336"/>
      <c r="Q187" s="338"/>
      <c r="R187" s="337"/>
      <c r="S187" s="336"/>
      <c r="T187" s="338"/>
      <c r="U187" s="336"/>
      <c r="V187" s="336"/>
      <c r="W187" s="336"/>
      <c r="X187" s="337"/>
      <c r="Y187" s="336"/>
      <c r="Z187" s="336"/>
      <c r="AA187" s="336"/>
      <c r="AB187" s="241"/>
    </row>
    <row r="188" spans="1:28" ht="24" customHeight="1">
      <c r="A188" s="336"/>
      <c r="B188" s="336"/>
      <c r="C188" s="336"/>
      <c r="D188" s="336"/>
      <c r="E188" s="336"/>
      <c r="F188" s="336"/>
      <c r="G188" s="337"/>
      <c r="H188" s="336"/>
      <c r="I188" s="336"/>
      <c r="J188" s="337"/>
      <c r="K188" s="336"/>
      <c r="L188" s="338"/>
      <c r="M188" s="336"/>
      <c r="N188" s="338"/>
      <c r="O188" s="338"/>
      <c r="P188" s="336"/>
      <c r="Q188" s="338"/>
      <c r="R188" s="337"/>
      <c r="S188" s="336"/>
      <c r="T188" s="338"/>
      <c r="U188" s="336"/>
      <c r="V188" s="336"/>
      <c r="W188" s="336"/>
      <c r="X188" s="337"/>
      <c r="Y188" s="336"/>
      <c r="Z188" s="336"/>
      <c r="AA188" s="336"/>
      <c r="AB188" s="241"/>
    </row>
    <row r="189" spans="1:28" ht="24" customHeight="1">
      <c r="A189" s="336"/>
      <c r="B189" s="336"/>
      <c r="C189" s="336"/>
      <c r="D189" s="336"/>
      <c r="E189" s="336"/>
      <c r="F189" s="336"/>
      <c r="G189" s="337"/>
      <c r="H189" s="336"/>
      <c r="I189" s="336"/>
      <c r="J189" s="337"/>
      <c r="K189" s="336"/>
      <c r="L189" s="338"/>
      <c r="M189" s="336"/>
      <c r="N189" s="338"/>
      <c r="O189" s="338"/>
      <c r="P189" s="336"/>
      <c r="Q189" s="338"/>
      <c r="R189" s="337"/>
      <c r="S189" s="336"/>
      <c r="T189" s="338"/>
      <c r="U189" s="336"/>
      <c r="V189" s="336"/>
      <c r="W189" s="336"/>
      <c r="X189" s="337"/>
      <c r="Y189" s="336"/>
      <c r="Z189" s="336"/>
      <c r="AA189" s="336"/>
      <c r="AB189" s="241"/>
    </row>
    <row r="190" spans="1:28" ht="24" customHeight="1">
      <c r="A190" s="336"/>
      <c r="B190" s="336"/>
      <c r="C190" s="336"/>
      <c r="D190" s="336"/>
      <c r="E190" s="336"/>
      <c r="F190" s="336"/>
      <c r="G190" s="337"/>
      <c r="H190" s="336"/>
      <c r="I190" s="336"/>
      <c r="J190" s="337"/>
      <c r="K190" s="336"/>
      <c r="L190" s="338"/>
      <c r="M190" s="336"/>
      <c r="N190" s="338"/>
      <c r="O190" s="338"/>
      <c r="P190" s="336"/>
      <c r="Q190" s="338"/>
      <c r="R190" s="337"/>
      <c r="S190" s="336"/>
      <c r="T190" s="338"/>
      <c r="U190" s="336"/>
      <c r="V190" s="336"/>
      <c r="W190" s="336"/>
      <c r="X190" s="337"/>
      <c r="Y190" s="336"/>
      <c r="Z190" s="336"/>
      <c r="AA190" s="336"/>
      <c r="AB190" s="241"/>
    </row>
    <row r="191" spans="1:28" ht="24" customHeight="1">
      <c r="A191" s="336"/>
      <c r="B191" s="336"/>
      <c r="C191" s="336"/>
      <c r="D191" s="336"/>
      <c r="E191" s="336"/>
      <c r="F191" s="336"/>
      <c r="G191" s="337"/>
      <c r="H191" s="336"/>
      <c r="I191" s="336"/>
      <c r="J191" s="337"/>
      <c r="K191" s="336"/>
      <c r="L191" s="338"/>
      <c r="M191" s="336"/>
      <c r="N191" s="338"/>
      <c r="O191" s="338"/>
      <c r="P191" s="336"/>
      <c r="Q191" s="338"/>
      <c r="R191" s="337"/>
      <c r="S191" s="336"/>
      <c r="T191" s="338"/>
      <c r="U191" s="336"/>
      <c r="V191" s="336"/>
      <c r="W191" s="336"/>
      <c r="X191" s="337"/>
      <c r="Y191" s="336"/>
      <c r="Z191" s="336"/>
      <c r="AA191" s="336"/>
      <c r="AB191" s="241"/>
    </row>
    <row r="192" spans="1:28" ht="24" customHeight="1">
      <c r="A192" s="336"/>
      <c r="B192" s="336"/>
      <c r="C192" s="336"/>
      <c r="D192" s="336"/>
      <c r="E192" s="336"/>
      <c r="F192" s="336"/>
      <c r="G192" s="337"/>
      <c r="H192" s="336"/>
      <c r="I192" s="336"/>
      <c r="J192" s="337"/>
      <c r="K192" s="336"/>
      <c r="L192" s="338"/>
      <c r="M192" s="336"/>
      <c r="N192" s="338"/>
      <c r="O192" s="338"/>
      <c r="P192" s="336"/>
      <c r="Q192" s="338"/>
      <c r="R192" s="337"/>
      <c r="S192" s="336"/>
      <c r="T192" s="338"/>
      <c r="U192" s="336"/>
      <c r="V192" s="336"/>
      <c r="W192" s="336"/>
      <c r="X192" s="337"/>
      <c r="Y192" s="336"/>
      <c r="Z192" s="336"/>
      <c r="AA192" s="336"/>
      <c r="AB192" s="241"/>
    </row>
    <row r="193" spans="1:28" ht="24" customHeight="1">
      <c r="A193" s="336"/>
      <c r="B193" s="336"/>
      <c r="C193" s="336"/>
      <c r="D193" s="336"/>
      <c r="E193" s="336"/>
      <c r="F193" s="336"/>
      <c r="G193" s="337"/>
      <c r="H193" s="336"/>
      <c r="I193" s="336"/>
      <c r="J193" s="337"/>
      <c r="K193" s="336"/>
      <c r="L193" s="338"/>
      <c r="M193" s="336"/>
      <c r="N193" s="338"/>
      <c r="O193" s="338"/>
      <c r="P193" s="336"/>
      <c r="Q193" s="338"/>
      <c r="R193" s="337"/>
      <c r="S193" s="336"/>
      <c r="T193" s="338"/>
      <c r="U193" s="336"/>
      <c r="V193" s="336"/>
      <c r="W193" s="336"/>
      <c r="X193" s="337"/>
      <c r="Y193" s="336"/>
      <c r="Z193" s="336"/>
      <c r="AA193" s="336"/>
      <c r="AB193" s="241"/>
    </row>
    <row r="194" spans="1:28" ht="24" customHeight="1">
      <c r="A194" s="336"/>
      <c r="B194" s="336"/>
      <c r="C194" s="336"/>
      <c r="D194" s="336"/>
      <c r="E194" s="336"/>
      <c r="F194" s="336"/>
      <c r="G194" s="337"/>
      <c r="H194" s="336"/>
      <c r="I194" s="336"/>
      <c r="J194" s="337"/>
      <c r="K194" s="336"/>
      <c r="L194" s="338"/>
      <c r="M194" s="336"/>
      <c r="N194" s="338"/>
      <c r="O194" s="338"/>
      <c r="P194" s="336"/>
      <c r="Q194" s="338"/>
      <c r="R194" s="337"/>
      <c r="S194" s="336"/>
      <c r="T194" s="338"/>
      <c r="U194" s="336"/>
      <c r="V194" s="336"/>
      <c r="W194" s="336"/>
      <c r="X194" s="337"/>
      <c r="Y194" s="336"/>
      <c r="Z194" s="336"/>
      <c r="AA194" s="336"/>
      <c r="AB194" s="241"/>
    </row>
    <row r="195" spans="1:28" ht="24" customHeight="1">
      <c r="A195" s="336"/>
      <c r="B195" s="336"/>
      <c r="C195" s="336"/>
      <c r="D195" s="336"/>
      <c r="E195" s="336"/>
      <c r="F195" s="336"/>
      <c r="G195" s="337"/>
      <c r="H195" s="336"/>
      <c r="I195" s="336"/>
      <c r="J195" s="337"/>
      <c r="K195" s="336"/>
      <c r="L195" s="338"/>
      <c r="M195" s="336"/>
      <c r="N195" s="338"/>
      <c r="O195" s="338"/>
      <c r="P195" s="336"/>
      <c r="Q195" s="338"/>
      <c r="R195" s="337"/>
      <c r="S195" s="336"/>
      <c r="T195" s="338"/>
      <c r="U195" s="336"/>
      <c r="V195" s="336"/>
      <c r="W195" s="336"/>
      <c r="X195" s="337"/>
      <c r="Y195" s="336"/>
      <c r="Z195" s="336"/>
      <c r="AA195" s="336"/>
      <c r="AB195" s="241"/>
    </row>
    <row r="196" spans="1:28" ht="24" customHeight="1">
      <c r="A196" s="336"/>
      <c r="B196" s="336"/>
      <c r="C196" s="336"/>
      <c r="D196" s="336"/>
      <c r="E196" s="336"/>
      <c r="F196" s="336"/>
      <c r="G196" s="337"/>
      <c r="H196" s="336"/>
      <c r="I196" s="336"/>
      <c r="J196" s="337"/>
      <c r="K196" s="336"/>
      <c r="L196" s="338"/>
      <c r="M196" s="336"/>
      <c r="N196" s="338"/>
      <c r="O196" s="338"/>
      <c r="P196" s="336"/>
      <c r="Q196" s="338"/>
      <c r="R196" s="337"/>
      <c r="S196" s="336"/>
      <c r="T196" s="338"/>
      <c r="U196" s="336"/>
      <c r="V196" s="336"/>
      <c r="W196" s="336"/>
      <c r="X196" s="337"/>
      <c r="Y196" s="336"/>
      <c r="Z196" s="336"/>
      <c r="AA196" s="336"/>
      <c r="AB196" s="241"/>
    </row>
    <row r="197" spans="1:28" ht="24" customHeight="1">
      <c r="A197" s="336"/>
      <c r="B197" s="336"/>
      <c r="C197" s="336"/>
      <c r="D197" s="336"/>
      <c r="E197" s="336"/>
      <c r="F197" s="336"/>
      <c r="G197" s="337"/>
      <c r="H197" s="336"/>
      <c r="I197" s="336"/>
      <c r="J197" s="337"/>
      <c r="K197" s="336"/>
      <c r="L197" s="338"/>
      <c r="M197" s="336"/>
      <c r="N197" s="338"/>
      <c r="O197" s="338"/>
      <c r="P197" s="336"/>
      <c r="Q197" s="338"/>
      <c r="R197" s="337"/>
      <c r="S197" s="336"/>
      <c r="T197" s="338"/>
      <c r="U197" s="336"/>
      <c r="V197" s="336"/>
      <c r="W197" s="336"/>
      <c r="X197" s="337"/>
      <c r="Y197" s="336"/>
      <c r="Z197" s="336"/>
      <c r="AA197" s="336"/>
      <c r="AB197" s="241"/>
    </row>
    <row r="198" spans="1:28" ht="24" customHeight="1">
      <c r="A198" s="336"/>
      <c r="B198" s="336"/>
      <c r="C198" s="336"/>
      <c r="D198" s="336"/>
      <c r="E198" s="336"/>
      <c r="F198" s="336"/>
      <c r="G198" s="337"/>
      <c r="H198" s="336"/>
      <c r="I198" s="336"/>
      <c r="J198" s="337"/>
      <c r="K198" s="336"/>
      <c r="L198" s="338"/>
      <c r="M198" s="336"/>
      <c r="N198" s="338"/>
      <c r="O198" s="338"/>
      <c r="P198" s="336"/>
      <c r="Q198" s="338"/>
      <c r="R198" s="337"/>
      <c r="S198" s="336"/>
      <c r="T198" s="338"/>
      <c r="U198" s="336"/>
      <c r="V198" s="336"/>
      <c r="W198" s="336"/>
      <c r="X198" s="337"/>
      <c r="Y198" s="336"/>
      <c r="Z198" s="336"/>
      <c r="AA198" s="336"/>
      <c r="AB198" s="241"/>
    </row>
    <row r="199" spans="1:28" ht="24" customHeight="1">
      <c r="A199" s="336"/>
      <c r="B199" s="336"/>
      <c r="C199" s="336"/>
      <c r="D199" s="336"/>
      <c r="E199" s="336"/>
      <c r="F199" s="336"/>
      <c r="G199" s="337"/>
      <c r="H199" s="336"/>
      <c r="I199" s="336"/>
      <c r="J199" s="337"/>
      <c r="K199" s="336"/>
      <c r="L199" s="338"/>
      <c r="M199" s="336"/>
      <c r="N199" s="338"/>
      <c r="O199" s="338"/>
      <c r="P199" s="336"/>
      <c r="Q199" s="338"/>
      <c r="R199" s="337"/>
      <c r="S199" s="336"/>
      <c r="T199" s="338"/>
      <c r="U199" s="336"/>
      <c r="V199" s="336"/>
      <c r="W199" s="336"/>
      <c r="X199" s="337"/>
      <c r="Y199" s="336"/>
      <c r="Z199" s="336"/>
      <c r="AA199" s="336"/>
      <c r="AB199" s="241"/>
    </row>
    <row r="200" spans="1:28" ht="24" customHeight="1">
      <c r="A200" s="336"/>
      <c r="B200" s="336"/>
      <c r="C200" s="336"/>
      <c r="D200" s="336"/>
      <c r="E200" s="336"/>
      <c r="F200" s="336"/>
      <c r="G200" s="337"/>
      <c r="H200" s="336"/>
      <c r="I200" s="336"/>
      <c r="J200" s="337"/>
      <c r="K200" s="336"/>
      <c r="L200" s="338"/>
      <c r="M200" s="336"/>
      <c r="N200" s="338"/>
      <c r="O200" s="338"/>
      <c r="P200" s="336"/>
      <c r="Q200" s="338"/>
      <c r="R200" s="337"/>
      <c r="S200" s="336"/>
      <c r="T200" s="338"/>
      <c r="U200" s="336"/>
      <c r="V200" s="336"/>
      <c r="W200" s="336"/>
      <c r="X200" s="337"/>
      <c r="Y200" s="336"/>
      <c r="Z200" s="336"/>
      <c r="AA200" s="336"/>
      <c r="AB200" s="241"/>
    </row>
    <row r="201" spans="1:28" ht="24" customHeight="1">
      <c r="A201" s="336"/>
      <c r="B201" s="336"/>
      <c r="C201" s="336"/>
      <c r="D201" s="336"/>
      <c r="E201" s="336"/>
      <c r="F201" s="336"/>
      <c r="G201" s="337"/>
      <c r="H201" s="336"/>
      <c r="I201" s="336"/>
      <c r="J201" s="337"/>
      <c r="K201" s="336"/>
      <c r="L201" s="338"/>
      <c r="M201" s="336"/>
      <c r="N201" s="338"/>
      <c r="O201" s="338"/>
      <c r="P201" s="336"/>
      <c r="Q201" s="338"/>
      <c r="R201" s="337"/>
      <c r="S201" s="336"/>
      <c r="T201" s="338"/>
      <c r="U201" s="336"/>
      <c r="V201" s="336"/>
      <c r="W201" s="336"/>
      <c r="X201" s="337"/>
      <c r="Y201" s="336"/>
      <c r="Z201" s="336"/>
      <c r="AA201" s="336"/>
      <c r="AB201" s="241"/>
    </row>
    <row r="202" spans="1:28" ht="24" customHeight="1">
      <c r="A202" s="336"/>
      <c r="B202" s="336"/>
      <c r="C202" s="336"/>
      <c r="D202" s="336"/>
      <c r="E202" s="336"/>
      <c r="F202" s="336"/>
      <c r="G202" s="337"/>
      <c r="H202" s="336"/>
      <c r="I202" s="336"/>
      <c r="J202" s="337"/>
      <c r="K202" s="336"/>
      <c r="L202" s="338"/>
      <c r="M202" s="336"/>
      <c r="N202" s="338"/>
      <c r="O202" s="338"/>
      <c r="P202" s="336"/>
      <c r="Q202" s="338"/>
      <c r="R202" s="337"/>
      <c r="S202" s="336"/>
      <c r="T202" s="338"/>
      <c r="U202" s="336"/>
      <c r="V202" s="336"/>
      <c r="W202" s="336"/>
      <c r="X202" s="337"/>
      <c r="Y202" s="336"/>
      <c r="Z202" s="336"/>
      <c r="AA202" s="336"/>
      <c r="AB202" s="241"/>
    </row>
    <row r="203" spans="1:28" ht="24" customHeight="1">
      <c r="A203" s="336"/>
      <c r="B203" s="336"/>
      <c r="C203" s="336"/>
      <c r="D203" s="336"/>
      <c r="E203" s="336"/>
      <c r="F203" s="336"/>
      <c r="G203" s="337"/>
      <c r="H203" s="336"/>
      <c r="I203" s="336"/>
      <c r="J203" s="337"/>
      <c r="K203" s="336"/>
      <c r="L203" s="338"/>
      <c r="M203" s="336"/>
      <c r="N203" s="338"/>
      <c r="O203" s="338"/>
      <c r="P203" s="336"/>
      <c r="Q203" s="338"/>
      <c r="R203" s="337"/>
      <c r="S203" s="336"/>
      <c r="T203" s="338"/>
      <c r="U203" s="336"/>
      <c r="V203" s="336"/>
      <c r="W203" s="336"/>
      <c r="X203" s="337"/>
      <c r="Y203" s="336"/>
      <c r="Z203" s="336"/>
      <c r="AA203" s="336"/>
      <c r="AB203" s="241"/>
    </row>
    <row r="204" spans="1:28" ht="24" customHeight="1">
      <c r="A204" s="336"/>
      <c r="B204" s="336"/>
      <c r="C204" s="336"/>
      <c r="D204" s="336"/>
      <c r="E204" s="336"/>
      <c r="F204" s="336"/>
      <c r="G204" s="337"/>
      <c r="H204" s="336"/>
      <c r="I204" s="336"/>
      <c r="J204" s="337"/>
      <c r="K204" s="336"/>
      <c r="L204" s="338"/>
      <c r="M204" s="336"/>
      <c r="N204" s="338"/>
      <c r="O204" s="338"/>
      <c r="P204" s="336"/>
      <c r="Q204" s="338"/>
      <c r="R204" s="337"/>
      <c r="S204" s="336"/>
      <c r="T204" s="338"/>
      <c r="U204" s="336"/>
      <c r="V204" s="336"/>
      <c r="W204" s="336"/>
      <c r="X204" s="337"/>
      <c r="Y204" s="336"/>
      <c r="Z204" s="336"/>
      <c r="AA204" s="336"/>
      <c r="AB204" s="241"/>
    </row>
    <row r="205" spans="1:28" ht="24" customHeight="1">
      <c r="A205" s="336"/>
      <c r="B205" s="336"/>
      <c r="C205" s="336"/>
      <c r="D205" s="336"/>
      <c r="E205" s="336"/>
      <c r="F205" s="336"/>
      <c r="G205" s="337"/>
      <c r="H205" s="336"/>
      <c r="I205" s="336"/>
      <c r="J205" s="337"/>
      <c r="K205" s="336"/>
      <c r="L205" s="338"/>
      <c r="M205" s="336"/>
      <c r="N205" s="338"/>
      <c r="O205" s="338"/>
      <c r="P205" s="336"/>
      <c r="Q205" s="338"/>
      <c r="R205" s="337"/>
      <c r="S205" s="336"/>
      <c r="T205" s="338"/>
      <c r="U205" s="336"/>
      <c r="V205" s="336"/>
      <c r="W205" s="336"/>
      <c r="X205" s="337"/>
      <c r="Y205" s="336"/>
      <c r="Z205" s="336"/>
      <c r="AA205" s="336"/>
      <c r="AB205" s="241"/>
    </row>
    <row r="206" spans="1:28" ht="24" customHeight="1">
      <c r="A206" s="336"/>
      <c r="B206" s="336"/>
      <c r="C206" s="336"/>
      <c r="D206" s="336"/>
      <c r="E206" s="336"/>
      <c r="F206" s="336"/>
      <c r="G206" s="337"/>
      <c r="H206" s="336"/>
      <c r="I206" s="336"/>
      <c r="J206" s="337"/>
      <c r="K206" s="336"/>
      <c r="L206" s="338"/>
      <c r="M206" s="336"/>
      <c r="N206" s="338"/>
      <c r="O206" s="338"/>
      <c r="P206" s="336"/>
      <c r="Q206" s="338"/>
      <c r="R206" s="337"/>
      <c r="S206" s="336"/>
      <c r="T206" s="338"/>
      <c r="U206" s="336"/>
      <c r="V206" s="336"/>
      <c r="W206" s="336"/>
      <c r="X206" s="337"/>
      <c r="Y206" s="336"/>
      <c r="Z206" s="336"/>
      <c r="AA206" s="336"/>
      <c r="AB206" s="241"/>
    </row>
    <row r="207" spans="1:28" ht="24" customHeight="1">
      <c r="A207" s="336"/>
      <c r="B207" s="336"/>
      <c r="C207" s="336"/>
      <c r="D207" s="336"/>
      <c r="E207" s="336"/>
      <c r="F207" s="336"/>
      <c r="G207" s="337"/>
      <c r="H207" s="336"/>
      <c r="I207" s="336"/>
      <c r="J207" s="337"/>
      <c r="K207" s="336"/>
      <c r="L207" s="338"/>
      <c r="M207" s="336"/>
      <c r="N207" s="338"/>
      <c r="O207" s="338"/>
      <c r="P207" s="336"/>
      <c r="Q207" s="338"/>
      <c r="R207" s="337"/>
      <c r="S207" s="336"/>
      <c r="T207" s="338"/>
      <c r="U207" s="336"/>
      <c r="V207" s="336"/>
      <c r="W207" s="336"/>
      <c r="X207" s="337"/>
      <c r="Y207" s="336"/>
      <c r="Z207" s="336"/>
      <c r="AA207" s="336"/>
      <c r="AB207" s="241"/>
    </row>
    <row r="208" spans="1:28" ht="24" customHeight="1">
      <c r="A208" s="336"/>
      <c r="B208" s="336"/>
      <c r="C208" s="336"/>
      <c r="D208" s="336"/>
      <c r="E208" s="336"/>
      <c r="F208" s="336"/>
      <c r="G208" s="337"/>
      <c r="H208" s="336"/>
      <c r="I208" s="336"/>
      <c r="J208" s="337"/>
      <c r="K208" s="336"/>
      <c r="L208" s="338"/>
      <c r="M208" s="336"/>
      <c r="N208" s="338"/>
      <c r="O208" s="338"/>
      <c r="P208" s="336"/>
      <c r="Q208" s="338"/>
      <c r="R208" s="337"/>
      <c r="S208" s="336"/>
      <c r="T208" s="338"/>
      <c r="U208" s="336"/>
      <c r="V208" s="336"/>
      <c r="W208" s="336"/>
      <c r="X208" s="337"/>
      <c r="Y208" s="336"/>
      <c r="Z208" s="336"/>
      <c r="AA208" s="336"/>
      <c r="AB208" s="241"/>
    </row>
    <row r="209" spans="1:28" ht="24" customHeight="1">
      <c r="A209" s="336"/>
      <c r="B209" s="336"/>
      <c r="C209" s="336"/>
      <c r="D209" s="336"/>
      <c r="E209" s="336"/>
      <c r="F209" s="336"/>
      <c r="G209" s="337"/>
      <c r="H209" s="336"/>
      <c r="I209" s="336"/>
      <c r="J209" s="337"/>
      <c r="K209" s="336"/>
      <c r="L209" s="338"/>
      <c r="M209" s="336"/>
      <c r="N209" s="338"/>
      <c r="O209" s="338"/>
      <c r="P209" s="336"/>
      <c r="Q209" s="338"/>
      <c r="R209" s="337"/>
      <c r="S209" s="336"/>
      <c r="T209" s="338"/>
      <c r="U209" s="336"/>
      <c r="V209" s="336"/>
      <c r="W209" s="336"/>
      <c r="X209" s="337"/>
      <c r="Y209" s="336"/>
      <c r="Z209" s="336"/>
      <c r="AA209" s="336"/>
      <c r="AB209" s="241"/>
    </row>
    <row r="210" spans="1:28" ht="24" customHeight="1">
      <c r="A210" s="336"/>
      <c r="B210" s="336"/>
      <c r="C210" s="336"/>
      <c r="D210" s="336"/>
      <c r="E210" s="336"/>
      <c r="F210" s="336"/>
      <c r="G210" s="337"/>
      <c r="H210" s="336"/>
      <c r="I210" s="336"/>
      <c r="J210" s="337"/>
      <c r="K210" s="336"/>
      <c r="L210" s="338"/>
      <c r="M210" s="336"/>
      <c r="N210" s="338"/>
      <c r="O210" s="338"/>
      <c r="P210" s="336"/>
      <c r="Q210" s="338"/>
      <c r="R210" s="337"/>
      <c r="S210" s="336"/>
      <c r="T210" s="338"/>
      <c r="U210" s="336"/>
      <c r="V210" s="336"/>
      <c r="W210" s="336"/>
      <c r="X210" s="337"/>
      <c r="Y210" s="336"/>
      <c r="Z210" s="336"/>
      <c r="AA210" s="336"/>
      <c r="AB210" s="241"/>
    </row>
    <row r="211" spans="1:28" ht="24" customHeight="1">
      <c r="A211" s="336"/>
      <c r="B211" s="336"/>
      <c r="C211" s="336"/>
      <c r="D211" s="336"/>
      <c r="E211" s="336"/>
      <c r="F211" s="336"/>
      <c r="G211" s="337"/>
      <c r="H211" s="336"/>
      <c r="I211" s="336"/>
      <c r="J211" s="337"/>
      <c r="K211" s="336"/>
      <c r="L211" s="338"/>
      <c r="M211" s="336"/>
      <c r="N211" s="338"/>
      <c r="O211" s="338"/>
      <c r="P211" s="336"/>
      <c r="Q211" s="338"/>
      <c r="R211" s="337"/>
      <c r="S211" s="336"/>
      <c r="T211" s="338"/>
      <c r="U211" s="336"/>
      <c r="V211" s="336"/>
      <c r="W211" s="336"/>
      <c r="X211" s="337"/>
      <c r="Y211" s="336"/>
      <c r="Z211" s="336"/>
      <c r="AA211" s="336"/>
      <c r="AB211" s="241"/>
    </row>
    <row r="212" spans="1:28" ht="24" customHeight="1">
      <c r="A212" s="336"/>
      <c r="B212" s="336"/>
      <c r="C212" s="336"/>
      <c r="D212" s="336"/>
      <c r="E212" s="336"/>
      <c r="F212" s="336"/>
      <c r="G212" s="337"/>
      <c r="H212" s="336"/>
      <c r="I212" s="336"/>
      <c r="J212" s="337"/>
      <c r="K212" s="336"/>
      <c r="L212" s="338"/>
      <c r="M212" s="336"/>
      <c r="N212" s="338"/>
      <c r="O212" s="338"/>
      <c r="P212" s="336"/>
      <c r="Q212" s="338"/>
      <c r="R212" s="337"/>
      <c r="S212" s="336"/>
      <c r="T212" s="338"/>
      <c r="U212" s="336"/>
      <c r="V212" s="336"/>
      <c r="W212" s="336"/>
      <c r="X212" s="337"/>
      <c r="Y212" s="336"/>
      <c r="Z212" s="336"/>
      <c r="AA212" s="336"/>
      <c r="AB212" s="241"/>
    </row>
    <row r="213" spans="1:28" ht="24" customHeight="1">
      <c r="A213" s="336"/>
      <c r="B213" s="336"/>
      <c r="C213" s="336"/>
      <c r="D213" s="336"/>
      <c r="E213" s="336"/>
      <c r="F213" s="336"/>
      <c r="G213" s="337"/>
      <c r="H213" s="336"/>
      <c r="I213" s="336"/>
      <c r="J213" s="337"/>
      <c r="K213" s="336"/>
      <c r="L213" s="338"/>
      <c r="M213" s="336"/>
      <c r="N213" s="338"/>
      <c r="O213" s="338"/>
      <c r="P213" s="336"/>
      <c r="Q213" s="338"/>
      <c r="R213" s="337"/>
      <c r="S213" s="336"/>
      <c r="T213" s="338"/>
      <c r="U213" s="336"/>
      <c r="V213" s="336"/>
      <c r="W213" s="336"/>
      <c r="X213" s="337"/>
      <c r="Y213" s="336"/>
      <c r="Z213" s="336"/>
      <c r="AA213" s="336"/>
      <c r="AB213" s="241"/>
    </row>
    <row r="214" spans="1:28" ht="24" customHeight="1">
      <c r="A214" s="336"/>
      <c r="B214" s="336"/>
      <c r="C214" s="336"/>
      <c r="D214" s="336"/>
      <c r="E214" s="336"/>
      <c r="F214" s="336"/>
      <c r="G214" s="337"/>
      <c r="H214" s="336"/>
      <c r="I214" s="336"/>
      <c r="J214" s="337"/>
      <c r="K214" s="336"/>
      <c r="L214" s="338"/>
      <c r="M214" s="336"/>
      <c r="N214" s="338"/>
      <c r="O214" s="338"/>
      <c r="P214" s="336"/>
      <c r="Q214" s="338"/>
      <c r="R214" s="337"/>
      <c r="S214" s="336"/>
      <c r="T214" s="338"/>
      <c r="U214" s="336"/>
      <c r="V214" s="336"/>
      <c r="W214" s="336"/>
      <c r="X214" s="337"/>
      <c r="Y214" s="336"/>
      <c r="Z214" s="336"/>
      <c r="AA214" s="336"/>
      <c r="AB214" s="241"/>
    </row>
    <row r="215" spans="1:28" ht="24" customHeight="1">
      <c r="A215" s="336"/>
      <c r="B215" s="336"/>
      <c r="C215" s="336"/>
      <c r="D215" s="336"/>
      <c r="E215" s="336"/>
      <c r="F215" s="336"/>
      <c r="G215" s="337"/>
      <c r="H215" s="336"/>
      <c r="I215" s="336"/>
      <c r="J215" s="337"/>
      <c r="K215" s="336"/>
      <c r="L215" s="338"/>
      <c r="M215" s="336"/>
      <c r="N215" s="338"/>
      <c r="O215" s="338"/>
      <c r="P215" s="336"/>
      <c r="Q215" s="338"/>
      <c r="R215" s="337"/>
      <c r="S215" s="336"/>
      <c r="T215" s="338"/>
      <c r="U215" s="336"/>
      <c r="V215" s="336"/>
      <c r="W215" s="336"/>
      <c r="X215" s="337"/>
      <c r="Y215" s="336"/>
      <c r="Z215" s="336"/>
      <c r="AA215" s="336"/>
      <c r="AB215" s="241"/>
    </row>
    <row r="216" spans="1:28" ht="24" customHeight="1">
      <c r="A216" s="336"/>
      <c r="B216" s="336"/>
      <c r="C216" s="336"/>
      <c r="D216" s="336"/>
      <c r="E216" s="336"/>
      <c r="F216" s="336"/>
      <c r="G216" s="337"/>
      <c r="H216" s="336"/>
      <c r="I216" s="336"/>
      <c r="J216" s="337"/>
      <c r="K216" s="336"/>
      <c r="L216" s="338"/>
      <c r="M216" s="336"/>
      <c r="N216" s="338"/>
      <c r="O216" s="338"/>
      <c r="P216" s="336"/>
      <c r="Q216" s="338"/>
      <c r="R216" s="337"/>
      <c r="S216" s="336"/>
      <c r="T216" s="338"/>
      <c r="U216" s="336"/>
      <c r="V216" s="336"/>
      <c r="W216" s="336"/>
      <c r="X216" s="337"/>
      <c r="Y216" s="336"/>
      <c r="Z216" s="336"/>
      <c r="AA216" s="336"/>
      <c r="AB216" s="241"/>
    </row>
    <row r="217" spans="1:28" ht="24" customHeight="1">
      <c r="A217" s="336"/>
      <c r="B217" s="336"/>
      <c r="C217" s="336"/>
      <c r="D217" s="336"/>
      <c r="E217" s="336"/>
      <c r="F217" s="336"/>
      <c r="G217" s="337"/>
      <c r="H217" s="336"/>
      <c r="I217" s="336"/>
      <c r="J217" s="337"/>
      <c r="K217" s="336"/>
      <c r="L217" s="338"/>
      <c r="M217" s="336"/>
      <c r="N217" s="338"/>
      <c r="O217" s="338"/>
      <c r="P217" s="336"/>
      <c r="Q217" s="338"/>
      <c r="R217" s="337"/>
      <c r="S217" s="336"/>
      <c r="T217" s="338"/>
      <c r="U217" s="336"/>
      <c r="V217" s="336"/>
      <c r="W217" s="336"/>
      <c r="X217" s="337"/>
      <c r="Y217" s="336"/>
      <c r="Z217" s="336"/>
      <c r="AA217" s="336"/>
      <c r="AB217" s="241"/>
    </row>
    <row r="218" spans="1:28" ht="24" customHeight="1">
      <c r="A218" s="336"/>
      <c r="B218" s="336"/>
      <c r="C218" s="336"/>
      <c r="D218" s="336"/>
      <c r="E218" s="336"/>
      <c r="F218" s="336"/>
      <c r="G218" s="337"/>
      <c r="H218" s="336"/>
      <c r="I218" s="336"/>
      <c r="J218" s="337"/>
      <c r="K218" s="336"/>
      <c r="L218" s="338"/>
      <c r="M218" s="336"/>
      <c r="N218" s="338"/>
      <c r="O218" s="338"/>
      <c r="P218" s="336"/>
      <c r="Q218" s="338"/>
      <c r="R218" s="337"/>
      <c r="S218" s="336"/>
      <c r="T218" s="338"/>
      <c r="U218" s="336"/>
      <c r="V218" s="336"/>
      <c r="W218" s="336"/>
      <c r="X218" s="337"/>
      <c r="Y218" s="336"/>
      <c r="Z218" s="336"/>
      <c r="AA218" s="336"/>
      <c r="AB218" s="241"/>
    </row>
    <row r="219" spans="1:28" ht="24" customHeight="1">
      <c r="A219" s="336"/>
      <c r="B219" s="336"/>
      <c r="C219" s="336"/>
      <c r="D219" s="336"/>
      <c r="E219" s="336"/>
      <c r="F219" s="336"/>
      <c r="G219" s="337"/>
      <c r="H219" s="336"/>
      <c r="I219" s="336"/>
      <c r="J219" s="337"/>
      <c r="K219" s="336"/>
      <c r="L219" s="338"/>
      <c r="M219" s="336"/>
      <c r="N219" s="338"/>
      <c r="O219" s="338"/>
      <c r="P219" s="336"/>
      <c r="Q219" s="338"/>
      <c r="R219" s="337"/>
      <c r="S219" s="336"/>
      <c r="T219" s="338"/>
      <c r="U219" s="336"/>
      <c r="V219" s="336"/>
      <c r="W219" s="336"/>
      <c r="X219" s="337"/>
      <c r="Y219" s="336"/>
      <c r="Z219" s="336"/>
      <c r="AA219" s="336"/>
      <c r="AB219" s="241"/>
    </row>
    <row r="220" spans="1:28" ht="24" customHeight="1">
      <c r="A220" s="336"/>
      <c r="B220" s="336"/>
      <c r="C220" s="336"/>
      <c r="D220" s="336"/>
      <c r="E220" s="336"/>
      <c r="F220" s="336"/>
      <c r="G220" s="337"/>
      <c r="H220" s="336"/>
      <c r="I220" s="336"/>
      <c r="J220" s="337"/>
      <c r="K220" s="336"/>
      <c r="L220" s="338"/>
      <c r="M220" s="336"/>
      <c r="N220" s="338"/>
      <c r="O220" s="338"/>
      <c r="P220" s="336"/>
      <c r="Q220" s="338"/>
      <c r="R220" s="337"/>
      <c r="S220" s="336"/>
      <c r="T220" s="338"/>
      <c r="U220" s="336"/>
      <c r="V220" s="336"/>
      <c r="W220" s="336"/>
      <c r="X220" s="337"/>
      <c r="Y220" s="336"/>
      <c r="Z220" s="336"/>
      <c r="AA220" s="336"/>
      <c r="AB220" s="241"/>
    </row>
    <row r="221" spans="1:28" ht="24" customHeight="1">
      <c r="A221" s="336"/>
      <c r="B221" s="336"/>
      <c r="C221" s="336"/>
      <c r="D221" s="336"/>
      <c r="E221" s="336"/>
      <c r="F221" s="336"/>
      <c r="G221" s="337"/>
      <c r="H221" s="336"/>
      <c r="I221" s="336"/>
      <c r="J221" s="337"/>
      <c r="K221" s="336"/>
      <c r="L221" s="338"/>
      <c r="M221" s="336"/>
      <c r="N221" s="338"/>
      <c r="O221" s="338"/>
      <c r="P221" s="336"/>
      <c r="Q221" s="338"/>
      <c r="R221" s="337"/>
      <c r="S221" s="336"/>
      <c r="T221" s="338"/>
      <c r="U221" s="336"/>
      <c r="V221" s="336"/>
      <c r="W221" s="336"/>
      <c r="X221" s="337"/>
      <c r="Y221" s="336"/>
      <c r="Z221" s="336"/>
      <c r="AA221" s="336"/>
      <c r="AB221" s="241"/>
    </row>
    <row r="222" spans="1:28" ht="24" customHeight="1">
      <c r="A222" s="336"/>
      <c r="B222" s="336"/>
      <c r="C222" s="336"/>
      <c r="D222" s="336"/>
      <c r="E222" s="336"/>
      <c r="F222" s="336"/>
      <c r="G222" s="337"/>
      <c r="H222" s="336"/>
      <c r="I222" s="336"/>
      <c r="J222" s="337"/>
      <c r="K222" s="336"/>
      <c r="L222" s="338"/>
      <c r="M222" s="336"/>
      <c r="N222" s="338"/>
      <c r="O222" s="338"/>
      <c r="P222" s="336"/>
      <c r="Q222" s="338"/>
      <c r="R222" s="337"/>
      <c r="S222" s="336"/>
      <c r="T222" s="338"/>
      <c r="U222" s="336"/>
      <c r="V222" s="336"/>
      <c r="W222" s="336"/>
      <c r="X222" s="337"/>
      <c r="Y222" s="336"/>
      <c r="Z222" s="336"/>
      <c r="AA222" s="336"/>
      <c r="AB222" s="241"/>
    </row>
    <row r="223" spans="1:28" ht="24" customHeight="1">
      <c r="A223" s="336"/>
      <c r="B223" s="336"/>
      <c r="C223" s="336"/>
      <c r="D223" s="336"/>
      <c r="E223" s="336"/>
      <c r="F223" s="336"/>
      <c r="G223" s="337"/>
      <c r="H223" s="336"/>
      <c r="I223" s="336"/>
      <c r="J223" s="337"/>
      <c r="K223" s="336"/>
      <c r="L223" s="338"/>
      <c r="M223" s="336"/>
      <c r="N223" s="338"/>
      <c r="O223" s="338"/>
      <c r="P223" s="336"/>
      <c r="Q223" s="338"/>
      <c r="R223" s="337"/>
      <c r="S223" s="336"/>
      <c r="T223" s="338"/>
      <c r="U223" s="336"/>
      <c r="V223" s="336"/>
      <c r="W223" s="336"/>
      <c r="X223" s="337"/>
      <c r="Y223" s="336"/>
      <c r="Z223" s="336"/>
      <c r="AA223" s="336"/>
      <c r="AB223" s="241"/>
    </row>
    <row r="224" spans="1:28" ht="24" customHeight="1">
      <c r="A224" s="336"/>
      <c r="B224" s="336"/>
      <c r="C224" s="336"/>
      <c r="D224" s="336"/>
      <c r="E224" s="336"/>
      <c r="F224" s="336"/>
      <c r="G224" s="337"/>
      <c r="H224" s="336"/>
      <c r="I224" s="336"/>
      <c r="J224" s="337"/>
      <c r="K224" s="336"/>
      <c r="L224" s="338"/>
      <c r="M224" s="336"/>
      <c r="N224" s="338"/>
      <c r="O224" s="338"/>
      <c r="P224" s="336"/>
      <c r="Q224" s="338"/>
      <c r="R224" s="337"/>
      <c r="S224" s="336"/>
      <c r="T224" s="338"/>
      <c r="U224" s="336"/>
      <c r="V224" s="336"/>
      <c r="W224" s="336"/>
      <c r="X224" s="337"/>
      <c r="Y224" s="336"/>
      <c r="Z224" s="336"/>
      <c r="AA224" s="336"/>
      <c r="AB224" s="241"/>
    </row>
    <row r="225" spans="1:28" ht="24" customHeight="1">
      <c r="A225" s="336"/>
      <c r="B225" s="336"/>
      <c r="C225" s="336"/>
      <c r="D225" s="336"/>
      <c r="E225" s="336"/>
      <c r="F225" s="336"/>
      <c r="G225" s="337"/>
      <c r="H225" s="336"/>
      <c r="I225" s="336"/>
      <c r="J225" s="337"/>
      <c r="K225" s="336"/>
      <c r="L225" s="338"/>
      <c r="M225" s="336"/>
      <c r="N225" s="338"/>
      <c r="O225" s="338"/>
      <c r="P225" s="336"/>
      <c r="Q225" s="338"/>
      <c r="R225" s="337"/>
      <c r="S225" s="336"/>
      <c r="T225" s="338"/>
      <c r="U225" s="336"/>
      <c r="V225" s="336"/>
      <c r="W225" s="336"/>
      <c r="X225" s="337"/>
      <c r="Y225" s="336"/>
      <c r="Z225" s="336"/>
      <c r="AA225" s="336"/>
      <c r="AB225" s="241"/>
    </row>
    <row r="226" spans="1:28" ht="24" customHeight="1">
      <c r="A226" s="336"/>
      <c r="B226" s="336"/>
      <c r="C226" s="336"/>
      <c r="D226" s="336"/>
      <c r="E226" s="336"/>
      <c r="F226" s="336"/>
      <c r="G226" s="337"/>
      <c r="H226" s="336"/>
      <c r="I226" s="336"/>
      <c r="J226" s="337"/>
      <c r="K226" s="336"/>
      <c r="L226" s="338"/>
      <c r="M226" s="336"/>
      <c r="N226" s="338"/>
      <c r="O226" s="338"/>
      <c r="P226" s="336"/>
      <c r="Q226" s="338"/>
      <c r="R226" s="337"/>
      <c r="S226" s="336"/>
      <c r="T226" s="338"/>
      <c r="U226" s="336"/>
      <c r="V226" s="336"/>
      <c r="W226" s="336"/>
      <c r="X226" s="337"/>
      <c r="Y226" s="336"/>
      <c r="Z226" s="336"/>
      <c r="AA226" s="336"/>
      <c r="AB226" s="241"/>
    </row>
    <row r="227" spans="1:28" ht="24" customHeight="1">
      <c r="A227" s="336"/>
      <c r="B227" s="336"/>
      <c r="C227" s="336"/>
      <c r="D227" s="336"/>
      <c r="E227" s="336"/>
      <c r="F227" s="336"/>
      <c r="G227" s="337"/>
      <c r="H227" s="336"/>
      <c r="I227" s="336"/>
      <c r="J227" s="337"/>
      <c r="K227" s="336"/>
      <c r="L227" s="338"/>
      <c r="M227" s="336"/>
      <c r="N227" s="338"/>
      <c r="O227" s="338"/>
      <c r="P227" s="336"/>
      <c r="Q227" s="338"/>
      <c r="R227" s="337"/>
      <c r="S227" s="336"/>
      <c r="T227" s="338"/>
      <c r="U227" s="336"/>
      <c r="V227" s="336"/>
      <c r="W227" s="336"/>
      <c r="X227" s="337"/>
      <c r="Y227" s="336"/>
      <c r="Z227" s="336"/>
      <c r="AA227" s="336"/>
      <c r="AB227" s="241"/>
    </row>
    <row r="228" spans="1:28" ht="24" customHeight="1">
      <c r="A228" s="336"/>
      <c r="B228" s="336"/>
      <c r="C228" s="336"/>
      <c r="D228" s="336"/>
      <c r="E228" s="336"/>
      <c r="F228" s="336"/>
      <c r="G228" s="337"/>
      <c r="H228" s="336"/>
      <c r="I228" s="336"/>
      <c r="J228" s="337"/>
      <c r="K228" s="336"/>
      <c r="L228" s="338"/>
      <c r="M228" s="336"/>
      <c r="N228" s="338"/>
      <c r="O228" s="338"/>
      <c r="P228" s="336"/>
      <c r="Q228" s="338"/>
      <c r="R228" s="337"/>
      <c r="S228" s="336"/>
      <c r="T228" s="338"/>
      <c r="U228" s="336"/>
      <c r="V228" s="336"/>
      <c r="W228" s="336"/>
      <c r="X228" s="337"/>
      <c r="Y228" s="336"/>
      <c r="Z228" s="336"/>
      <c r="AA228" s="336"/>
      <c r="AB228" s="241"/>
    </row>
    <row r="229" spans="1:28" ht="24" customHeight="1">
      <c r="A229" s="336"/>
      <c r="B229" s="336"/>
      <c r="C229" s="336"/>
      <c r="D229" s="336"/>
      <c r="E229" s="336"/>
      <c r="F229" s="336"/>
      <c r="G229" s="337"/>
      <c r="H229" s="336"/>
      <c r="I229" s="336"/>
      <c r="J229" s="337"/>
      <c r="K229" s="336"/>
      <c r="L229" s="338"/>
      <c r="M229" s="336"/>
      <c r="N229" s="338"/>
      <c r="O229" s="338"/>
      <c r="P229" s="336"/>
      <c r="Q229" s="338"/>
      <c r="R229" s="337"/>
      <c r="S229" s="336"/>
      <c r="T229" s="338"/>
      <c r="U229" s="336"/>
      <c r="V229" s="336"/>
      <c r="W229" s="336"/>
      <c r="X229" s="337"/>
      <c r="Y229" s="336"/>
      <c r="Z229" s="336"/>
      <c r="AA229" s="336"/>
      <c r="AB229" s="241"/>
    </row>
    <row r="230" spans="1:28" ht="24" customHeight="1">
      <c r="A230" s="336"/>
      <c r="B230" s="336"/>
      <c r="C230" s="336"/>
      <c r="D230" s="336"/>
      <c r="E230" s="336"/>
      <c r="F230" s="336"/>
      <c r="G230" s="337"/>
      <c r="H230" s="336"/>
      <c r="I230" s="336"/>
      <c r="J230" s="337"/>
      <c r="K230" s="336"/>
      <c r="L230" s="338"/>
      <c r="M230" s="336"/>
      <c r="N230" s="338"/>
      <c r="O230" s="338"/>
      <c r="P230" s="336"/>
      <c r="Q230" s="338"/>
      <c r="R230" s="337"/>
      <c r="S230" s="336"/>
      <c r="T230" s="338"/>
      <c r="U230" s="336"/>
      <c r="V230" s="336"/>
      <c r="W230" s="336"/>
      <c r="X230" s="337"/>
      <c r="Y230" s="336"/>
      <c r="Z230" s="336"/>
      <c r="AA230" s="336"/>
      <c r="AB230" s="241"/>
    </row>
    <row r="231" spans="1:28" ht="24" customHeight="1">
      <c r="A231" s="336"/>
      <c r="B231" s="336"/>
      <c r="C231" s="336"/>
      <c r="D231" s="336"/>
      <c r="E231" s="336"/>
      <c r="F231" s="336"/>
      <c r="G231" s="337"/>
      <c r="H231" s="336"/>
      <c r="I231" s="336"/>
      <c r="J231" s="337"/>
      <c r="K231" s="336"/>
      <c r="L231" s="338"/>
      <c r="M231" s="336"/>
      <c r="N231" s="338"/>
      <c r="O231" s="338"/>
      <c r="P231" s="336"/>
      <c r="Q231" s="338"/>
      <c r="R231" s="337"/>
      <c r="S231" s="336"/>
      <c r="T231" s="338"/>
      <c r="U231" s="336"/>
      <c r="V231" s="336"/>
      <c r="W231" s="336"/>
      <c r="X231" s="337"/>
      <c r="Y231" s="336"/>
      <c r="Z231" s="336"/>
      <c r="AA231" s="336"/>
      <c r="AB231" s="241"/>
    </row>
    <row r="232" spans="1:28" ht="24" customHeight="1">
      <c r="A232" s="336"/>
      <c r="B232" s="336"/>
      <c r="C232" s="336"/>
      <c r="D232" s="336"/>
      <c r="E232" s="336"/>
      <c r="F232" s="336"/>
      <c r="G232" s="337"/>
      <c r="H232" s="336"/>
      <c r="I232" s="336"/>
      <c r="J232" s="337"/>
      <c r="K232" s="336"/>
      <c r="L232" s="338"/>
      <c r="M232" s="336"/>
      <c r="N232" s="338"/>
      <c r="O232" s="338"/>
      <c r="P232" s="336"/>
      <c r="Q232" s="338"/>
      <c r="R232" s="337"/>
      <c r="S232" s="336"/>
      <c r="T232" s="338"/>
      <c r="U232" s="336"/>
      <c r="V232" s="336"/>
      <c r="W232" s="336"/>
      <c r="X232" s="337"/>
      <c r="Y232" s="336"/>
      <c r="Z232" s="336"/>
      <c r="AA232" s="336"/>
      <c r="AB232" s="241"/>
    </row>
    <row r="233" spans="1:28" ht="24" customHeight="1">
      <c r="A233" s="336"/>
      <c r="B233" s="336"/>
      <c r="C233" s="336"/>
      <c r="D233" s="336"/>
      <c r="E233" s="336"/>
      <c r="F233" s="336"/>
      <c r="G233" s="337"/>
      <c r="H233" s="336"/>
      <c r="I233" s="336"/>
      <c r="J233" s="337"/>
      <c r="K233" s="336"/>
      <c r="L233" s="338"/>
      <c r="M233" s="336"/>
      <c r="N233" s="338"/>
      <c r="O233" s="338"/>
      <c r="P233" s="336"/>
      <c r="Q233" s="338"/>
      <c r="R233" s="337"/>
      <c r="S233" s="336"/>
      <c r="T233" s="338"/>
      <c r="U233" s="336"/>
      <c r="V233" s="336"/>
      <c r="W233" s="336"/>
      <c r="X233" s="337"/>
      <c r="Y233" s="336"/>
      <c r="Z233" s="336"/>
      <c r="AA233" s="336"/>
      <c r="AB233" s="241"/>
    </row>
    <row r="234" spans="1:28" ht="24" customHeight="1">
      <c r="A234" s="336"/>
      <c r="B234" s="336"/>
      <c r="C234" s="336"/>
      <c r="D234" s="336"/>
      <c r="E234" s="336"/>
      <c r="F234" s="336"/>
      <c r="G234" s="337"/>
      <c r="H234" s="336"/>
      <c r="I234" s="336"/>
      <c r="J234" s="337"/>
      <c r="K234" s="336"/>
      <c r="L234" s="338"/>
      <c r="M234" s="336"/>
      <c r="N234" s="338"/>
      <c r="O234" s="338"/>
      <c r="P234" s="336"/>
      <c r="Q234" s="338"/>
      <c r="R234" s="337"/>
      <c r="S234" s="336"/>
      <c r="T234" s="338"/>
      <c r="U234" s="336"/>
      <c r="V234" s="336"/>
      <c r="W234" s="336"/>
      <c r="X234" s="337"/>
      <c r="Y234" s="336"/>
      <c r="Z234" s="336"/>
      <c r="AA234" s="336"/>
      <c r="AB234" s="241"/>
    </row>
    <row r="235" spans="1:28" ht="24" customHeight="1">
      <c r="A235" s="336"/>
      <c r="B235" s="336"/>
      <c r="C235" s="336"/>
      <c r="D235" s="336"/>
      <c r="E235" s="336"/>
      <c r="F235" s="336"/>
      <c r="G235" s="337"/>
      <c r="H235" s="336"/>
      <c r="I235" s="336"/>
      <c r="J235" s="337"/>
      <c r="K235" s="336"/>
      <c r="L235" s="338"/>
      <c r="M235" s="336"/>
      <c r="N235" s="338"/>
      <c r="O235" s="338"/>
      <c r="P235" s="336"/>
      <c r="Q235" s="338"/>
      <c r="R235" s="337"/>
      <c r="S235" s="336"/>
      <c r="T235" s="338"/>
      <c r="U235" s="336"/>
      <c r="V235" s="336"/>
      <c r="W235" s="336"/>
      <c r="X235" s="337"/>
      <c r="Y235" s="336"/>
      <c r="Z235" s="336"/>
      <c r="AA235" s="336"/>
      <c r="AB235" s="241"/>
    </row>
    <row r="236" spans="1:28" ht="24" customHeight="1">
      <c r="A236" s="336"/>
      <c r="B236" s="336"/>
      <c r="C236" s="336"/>
      <c r="D236" s="336"/>
      <c r="E236" s="336"/>
      <c r="F236" s="336"/>
      <c r="G236" s="337"/>
      <c r="H236" s="336"/>
      <c r="I236" s="336"/>
      <c r="J236" s="337"/>
      <c r="K236" s="336"/>
      <c r="L236" s="338"/>
      <c r="M236" s="336"/>
      <c r="N236" s="338"/>
      <c r="O236" s="338"/>
      <c r="P236" s="336"/>
      <c r="Q236" s="338"/>
      <c r="R236" s="337"/>
      <c r="S236" s="336"/>
      <c r="T236" s="338"/>
      <c r="U236" s="336"/>
      <c r="V236" s="336"/>
      <c r="W236" s="336"/>
      <c r="X236" s="337"/>
      <c r="Y236" s="336"/>
      <c r="Z236" s="336"/>
      <c r="AA236" s="336"/>
      <c r="AB236" s="241"/>
    </row>
    <row r="237" spans="1:28" ht="24" customHeight="1">
      <c r="A237" s="336"/>
      <c r="B237" s="336"/>
      <c r="C237" s="336"/>
      <c r="D237" s="336"/>
      <c r="E237" s="336"/>
      <c r="F237" s="336"/>
      <c r="G237" s="337"/>
      <c r="H237" s="336"/>
      <c r="I237" s="336"/>
      <c r="J237" s="337"/>
      <c r="K237" s="336"/>
      <c r="L237" s="338"/>
      <c r="M237" s="336"/>
      <c r="N237" s="338"/>
      <c r="O237" s="338"/>
      <c r="P237" s="336"/>
      <c r="Q237" s="338"/>
      <c r="R237" s="337"/>
      <c r="S237" s="336"/>
      <c r="T237" s="338"/>
      <c r="U237" s="336"/>
      <c r="V237" s="336"/>
      <c r="W237" s="336"/>
      <c r="X237" s="337"/>
      <c r="Y237" s="336"/>
      <c r="Z237" s="336"/>
      <c r="AA237" s="336"/>
      <c r="AB237" s="241"/>
    </row>
    <row r="238" spans="1:28" ht="24" customHeight="1">
      <c r="A238" s="336"/>
      <c r="B238" s="336"/>
      <c r="C238" s="336"/>
      <c r="D238" s="336"/>
      <c r="E238" s="336"/>
      <c r="F238" s="336"/>
      <c r="G238" s="337"/>
      <c r="H238" s="336"/>
      <c r="I238" s="336"/>
      <c r="J238" s="337"/>
      <c r="K238" s="336"/>
      <c r="L238" s="338"/>
      <c r="M238" s="336"/>
      <c r="N238" s="338"/>
      <c r="O238" s="338"/>
      <c r="P238" s="336"/>
      <c r="Q238" s="338"/>
      <c r="R238" s="337"/>
      <c r="S238" s="336"/>
      <c r="T238" s="338"/>
      <c r="U238" s="336"/>
      <c r="V238" s="336"/>
      <c r="W238" s="336"/>
      <c r="X238" s="337"/>
      <c r="Y238" s="336"/>
      <c r="Z238" s="336"/>
      <c r="AA238" s="336"/>
      <c r="AB238" s="241"/>
    </row>
    <row r="239" spans="1:28" ht="24" customHeight="1">
      <c r="A239" s="336"/>
      <c r="B239" s="336"/>
      <c r="C239" s="336"/>
      <c r="D239" s="336"/>
      <c r="E239" s="336"/>
      <c r="F239" s="336"/>
      <c r="G239" s="337"/>
      <c r="H239" s="336"/>
      <c r="I239" s="336"/>
      <c r="J239" s="337"/>
      <c r="K239" s="336"/>
      <c r="L239" s="338"/>
      <c r="M239" s="336"/>
      <c r="N239" s="338"/>
      <c r="O239" s="338"/>
      <c r="P239" s="336"/>
      <c r="Q239" s="338"/>
      <c r="R239" s="337"/>
      <c r="S239" s="336"/>
      <c r="T239" s="338"/>
      <c r="U239" s="336"/>
      <c r="V239" s="336"/>
      <c r="W239" s="336"/>
      <c r="X239" s="337"/>
      <c r="Y239" s="336"/>
      <c r="Z239" s="336"/>
      <c r="AA239" s="336"/>
      <c r="AB239" s="241"/>
    </row>
    <row r="240" spans="1:28" ht="24" customHeight="1">
      <c r="A240" s="336"/>
      <c r="B240" s="336"/>
      <c r="C240" s="336"/>
      <c r="D240" s="336"/>
      <c r="E240" s="336"/>
      <c r="F240" s="336"/>
      <c r="G240" s="337"/>
      <c r="H240" s="336"/>
      <c r="I240" s="336"/>
      <c r="J240" s="337"/>
      <c r="K240" s="336"/>
      <c r="L240" s="338"/>
      <c r="M240" s="336"/>
      <c r="N240" s="338"/>
      <c r="O240" s="338"/>
      <c r="P240" s="336"/>
      <c r="Q240" s="338"/>
      <c r="R240" s="337"/>
      <c r="S240" s="336"/>
      <c r="T240" s="338"/>
      <c r="U240" s="336"/>
      <c r="V240" s="336"/>
      <c r="W240" s="336"/>
      <c r="X240" s="337"/>
      <c r="Y240" s="336"/>
      <c r="Z240" s="336"/>
      <c r="AA240" s="336"/>
      <c r="AB240" s="241"/>
    </row>
    <row r="241" spans="1:28" ht="24" customHeight="1">
      <c r="A241" s="336"/>
      <c r="B241" s="336"/>
      <c r="C241" s="336"/>
      <c r="D241" s="336"/>
      <c r="E241" s="336"/>
      <c r="F241" s="336"/>
      <c r="G241" s="337"/>
      <c r="H241" s="336"/>
      <c r="I241" s="336"/>
      <c r="J241" s="337"/>
      <c r="K241" s="336"/>
      <c r="L241" s="338"/>
      <c r="M241" s="336"/>
      <c r="N241" s="338"/>
      <c r="O241" s="338"/>
      <c r="P241" s="336"/>
      <c r="Q241" s="338"/>
      <c r="R241" s="337"/>
      <c r="S241" s="336"/>
      <c r="T241" s="338"/>
      <c r="U241" s="336"/>
      <c r="V241" s="336"/>
      <c r="W241" s="336"/>
      <c r="X241" s="337"/>
      <c r="Y241" s="336"/>
      <c r="Z241" s="336"/>
      <c r="AA241" s="336"/>
      <c r="AB241" s="241"/>
    </row>
    <row r="242" spans="1:28" ht="24" customHeight="1">
      <c r="A242" s="336"/>
      <c r="B242" s="336"/>
      <c r="C242" s="336"/>
      <c r="D242" s="336"/>
      <c r="E242" s="336"/>
      <c r="F242" s="336"/>
      <c r="G242" s="337"/>
      <c r="H242" s="336"/>
      <c r="I242" s="336"/>
      <c r="J242" s="337"/>
      <c r="K242" s="336"/>
      <c r="L242" s="338"/>
      <c r="M242" s="336"/>
      <c r="N242" s="338"/>
      <c r="O242" s="338"/>
      <c r="P242" s="336"/>
      <c r="Q242" s="338"/>
      <c r="R242" s="337"/>
      <c r="S242" s="336"/>
      <c r="T242" s="338"/>
      <c r="U242" s="336"/>
      <c r="V242" s="336"/>
      <c r="W242" s="336"/>
      <c r="X242" s="337"/>
      <c r="Y242" s="336"/>
      <c r="Z242" s="336"/>
      <c r="AA242" s="336"/>
      <c r="AB242" s="241"/>
    </row>
    <row r="243" spans="1:28" ht="24" customHeight="1">
      <c r="A243" s="336"/>
      <c r="B243" s="336"/>
      <c r="C243" s="336"/>
      <c r="D243" s="336"/>
      <c r="E243" s="336"/>
      <c r="F243" s="336"/>
      <c r="G243" s="337"/>
      <c r="H243" s="336"/>
      <c r="I243" s="336"/>
      <c r="J243" s="337"/>
      <c r="K243" s="336"/>
      <c r="L243" s="338"/>
      <c r="M243" s="336"/>
      <c r="N243" s="338"/>
      <c r="O243" s="338"/>
      <c r="P243" s="336"/>
      <c r="Q243" s="338"/>
      <c r="R243" s="337"/>
      <c r="S243" s="336"/>
      <c r="T243" s="338"/>
      <c r="U243" s="336"/>
      <c r="V243" s="336"/>
      <c r="W243" s="336"/>
      <c r="X243" s="337"/>
      <c r="Y243" s="336"/>
      <c r="Z243" s="336"/>
      <c r="AA243" s="336"/>
      <c r="AB243" s="241"/>
    </row>
    <row r="244" spans="1:28" ht="24" customHeight="1">
      <c r="A244" s="336"/>
      <c r="B244" s="336"/>
      <c r="C244" s="336"/>
      <c r="D244" s="336"/>
      <c r="E244" s="336"/>
      <c r="F244" s="336"/>
      <c r="G244" s="337"/>
      <c r="H244" s="336"/>
      <c r="I244" s="336"/>
      <c r="J244" s="337"/>
      <c r="K244" s="336"/>
      <c r="L244" s="338"/>
      <c r="M244" s="336"/>
      <c r="N244" s="338"/>
      <c r="O244" s="338"/>
      <c r="P244" s="336"/>
      <c r="Q244" s="338"/>
      <c r="R244" s="337"/>
      <c r="S244" s="336"/>
      <c r="T244" s="338"/>
      <c r="U244" s="336"/>
      <c r="V244" s="336"/>
      <c r="W244" s="336"/>
      <c r="X244" s="337"/>
      <c r="Y244" s="336"/>
      <c r="Z244" s="336"/>
      <c r="AA244" s="336"/>
      <c r="AB244" s="241"/>
    </row>
    <row r="245" spans="1:28" ht="24" customHeight="1">
      <c r="A245" s="336"/>
      <c r="B245" s="336"/>
      <c r="C245" s="336"/>
      <c r="D245" s="336"/>
      <c r="E245" s="336"/>
      <c r="F245" s="336"/>
      <c r="G245" s="337"/>
      <c r="H245" s="336"/>
      <c r="I245" s="336"/>
      <c r="J245" s="337"/>
      <c r="K245" s="336"/>
      <c r="L245" s="338"/>
      <c r="M245" s="336"/>
      <c r="N245" s="338"/>
      <c r="O245" s="338"/>
      <c r="P245" s="336"/>
      <c r="Q245" s="338"/>
      <c r="R245" s="337"/>
      <c r="S245" s="336"/>
      <c r="T245" s="338"/>
      <c r="U245" s="336"/>
      <c r="V245" s="336"/>
      <c r="W245" s="336"/>
      <c r="X245" s="337"/>
      <c r="Y245" s="336"/>
      <c r="Z245" s="336"/>
      <c r="AA245" s="336"/>
      <c r="AB245" s="241"/>
    </row>
    <row r="246" spans="1:28" ht="24" customHeight="1">
      <c r="A246" s="336"/>
      <c r="B246" s="336"/>
      <c r="C246" s="336"/>
      <c r="D246" s="336"/>
      <c r="E246" s="336"/>
      <c r="F246" s="336"/>
      <c r="G246" s="337"/>
      <c r="H246" s="336"/>
      <c r="I246" s="336"/>
      <c r="J246" s="337"/>
      <c r="K246" s="336"/>
      <c r="L246" s="338"/>
      <c r="M246" s="336"/>
      <c r="N246" s="338"/>
      <c r="O246" s="338"/>
      <c r="P246" s="336"/>
      <c r="Q246" s="338"/>
      <c r="R246" s="337"/>
      <c r="S246" s="336"/>
      <c r="T246" s="338"/>
      <c r="U246" s="336"/>
      <c r="V246" s="336"/>
      <c r="W246" s="336"/>
      <c r="X246" s="337"/>
      <c r="Y246" s="336"/>
      <c r="Z246" s="336"/>
      <c r="AA246" s="336"/>
      <c r="AB246" s="241"/>
    </row>
    <row r="247" spans="1:28" ht="24" customHeight="1">
      <c r="A247" s="336"/>
      <c r="B247" s="336"/>
      <c r="C247" s="336"/>
      <c r="D247" s="336"/>
      <c r="E247" s="336"/>
      <c r="F247" s="336"/>
      <c r="G247" s="337"/>
      <c r="H247" s="336"/>
      <c r="I247" s="336"/>
      <c r="J247" s="337"/>
      <c r="K247" s="336"/>
      <c r="L247" s="338"/>
      <c r="M247" s="336"/>
      <c r="N247" s="338"/>
      <c r="O247" s="338"/>
      <c r="P247" s="336"/>
      <c r="Q247" s="338"/>
      <c r="R247" s="337"/>
      <c r="S247" s="336"/>
      <c r="T247" s="338"/>
      <c r="U247" s="336"/>
      <c r="V247" s="336"/>
      <c r="W247" s="336"/>
      <c r="X247" s="337"/>
      <c r="Y247" s="336"/>
      <c r="Z247" s="336"/>
      <c r="AA247" s="336"/>
      <c r="AB247" s="241"/>
    </row>
    <row r="248" spans="1:28" ht="24" customHeight="1">
      <c r="A248" s="336"/>
      <c r="B248" s="336"/>
      <c r="C248" s="336"/>
      <c r="D248" s="336"/>
      <c r="E248" s="336"/>
      <c r="F248" s="336"/>
      <c r="G248" s="337"/>
      <c r="H248" s="336"/>
      <c r="I248" s="336"/>
      <c r="J248" s="337"/>
      <c r="K248" s="336"/>
      <c r="L248" s="338"/>
      <c r="M248" s="336"/>
      <c r="N248" s="338"/>
      <c r="O248" s="338"/>
      <c r="P248" s="336"/>
      <c r="Q248" s="338"/>
      <c r="R248" s="337"/>
      <c r="S248" s="336"/>
      <c r="T248" s="338"/>
      <c r="U248" s="336"/>
      <c r="V248" s="336"/>
      <c r="W248" s="336"/>
      <c r="X248" s="337"/>
      <c r="Y248" s="336"/>
      <c r="Z248" s="336"/>
      <c r="AA248" s="336"/>
      <c r="AB248" s="241"/>
    </row>
    <row r="249" spans="1:28" ht="24" customHeight="1">
      <c r="A249" s="336"/>
      <c r="B249" s="336"/>
      <c r="C249" s="336"/>
      <c r="D249" s="336"/>
      <c r="E249" s="336"/>
      <c r="F249" s="336"/>
      <c r="G249" s="337"/>
      <c r="H249" s="336"/>
      <c r="I249" s="336"/>
      <c r="J249" s="337"/>
      <c r="K249" s="336"/>
      <c r="L249" s="338"/>
      <c r="M249" s="336"/>
      <c r="N249" s="338"/>
      <c r="O249" s="338"/>
      <c r="P249" s="336"/>
      <c r="Q249" s="338"/>
      <c r="R249" s="337"/>
      <c r="S249" s="336"/>
      <c r="T249" s="338"/>
      <c r="U249" s="336"/>
      <c r="V249" s="336"/>
      <c r="W249" s="336"/>
      <c r="X249" s="337"/>
      <c r="Y249" s="336"/>
      <c r="Z249" s="336"/>
      <c r="AA249" s="336"/>
      <c r="AB249" s="241"/>
    </row>
    <row r="250" spans="1:28" ht="24" customHeight="1">
      <c r="A250" s="336"/>
      <c r="B250" s="336"/>
      <c r="C250" s="336"/>
      <c r="D250" s="336"/>
      <c r="E250" s="336"/>
      <c r="F250" s="336"/>
      <c r="G250" s="337"/>
      <c r="H250" s="336"/>
      <c r="I250" s="336"/>
      <c r="J250" s="337"/>
      <c r="K250" s="336"/>
      <c r="L250" s="338"/>
      <c r="M250" s="336"/>
      <c r="N250" s="338"/>
      <c r="O250" s="338"/>
      <c r="P250" s="336"/>
      <c r="Q250" s="338"/>
      <c r="R250" s="337"/>
      <c r="S250" s="336"/>
      <c r="T250" s="338"/>
      <c r="U250" s="336"/>
      <c r="V250" s="336"/>
      <c r="W250" s="336"/>
      <c r="X250" s="337"/>
      <c r="Y250" s="336"/>
      <c r="Z250" s="336"/>
      <c r="AA250" s="336"/>
      <c r="AB250" s="241"/>
    </row>
    <row r="251" spans="1:28" ht="24" customHeight="1">
      <c r="A251" s="336"/>
      <c r="B251" s="336"/>
      <c r="C251" s="336"/>
      <c r="D251" s="336"/>
      <c r="E251" s="336"/>
      <c r="F251" s="336"/>
      <c r="G251" s="337"/>
      <c r="H251" s="336"/>
      <c r="I251" s="336"/>
      <c r="J251" s="337"/>
      <c r="K251" s="336"/>
      <c r="L251" s="338"/>
      <c r="M251" s="336"/>
      <c r="N251" s="338"/>
      <c r="O251" s="338"/>
      <c r="P251" s="336"/>
      <c r="Q251" s="338"/>
      <c r="R251" s="337"/>
      <c r="S251" s="336"/>
      <c r="T251" s="338"/>
      <c r="U251" s="336"/>
      <c r="V251" s="336"/>
      <c r="W251" s="336"/>
      <c r="X251" s="337"/>
      <c r="Y251" s="336"/>
      <c r="Z251" s="336"/>
      <c r="AA251" s="336"/>
      <c r="AB251" s="241"/>
    </row>
    <row r="252" spans="1:28" ht="24" customHeight="1">
      <c r="A252" s="336"/>
      <c r="B252" s="336"/>
      <c r="C252" s="336"/>
      <c r="D252" s="336"/>
      <c r="E252" s="336"/>
      <c r="F252" s="336"/>
      <c r="G252" s="337"/>
      <c r="H252" s="336"/>
      <c r="I252" s="336"/>
      <c r="J252" s="337"/>
      <c r="K252" s="336"/>
      <c r="L252" s="338"/>
      <c r="M252" s="336"/>
      <c r="N252" s="338"/>
      <c r="O252" s="338"/>
      <c r="P252" s="336"/>
      <c r="Q252" s="338"/>
      <c r="R252" s="337"/>
      <c r="S252" s="336"/>
      <c r="T252" s="338"/>
      <c r="U252" s="336"/>
      <c r="V252" s="336"/>
      <c r="W252" s="336"/>
      <c r="X252" s="337"/>
      <c r="Y252" s="336"/>
      <c r="Z252" s="336"/>
      <c r="AA252" s="336"/>
      <c r="AB252" s="241"/>
    </row>
    <row r="253" spans="1:28" ht="24" customHeight="1">
      <c r="A253" s="336"/>
      <c r="B253" s="336"/>
      <c r="C253" s="336"/>
      <c r="D253" s="336"/>
      <c r="E253" s="336"/>
      <c r="F253" s="336"/>
      <c r="G253" s="337"/>
      <c r="H253" s="336"/>
      <c r="I253" s="336"/>
      <c r="J253" s="337"/>
      <c r="K253" s="336"/>
      <c r="L253" s="338"/>
      <c r="M253" s="336"/>
      <c r="N253" s="338"/>
      <c r="O253" s="338"/>
      <c r="P253" s="336"/>
      <c r="Q253" s="338"/>
      <c r="R253" s="337"/>
      <c r="S253" s="336"/>
      <c r="T253" s="338"/>
      <c r="U253" s="336"/>
      <c r="V253" s="336"/>
      <c r="W253" s="336"/>
      <c r="X253" s="337"/>
      <c r="Y253" s="336"/>
      <c r="Z253" s="336"/>
      <c r="AA253" s="336"/>
      <c r="AB253" s="241"/>
    </row>
    <row r="254" spans="1:28" ht="24" customHeight="1">
      <c r="A254" s="336"/>
      <c r="B254" s="336"/>
      <c r="C254" s="336"/>
      <c r="D254" s="336"/>
      <c r="E254" s="336"/>
      <c r="F254" s="336"/>
      <c r="G254" s="337"/>
      <c r="H254" s="336"/>
      <c r="I254" s="336"/>
      <c r="J254" s="337"/>
      <c r="K254" s="336"/>
      <c r="L254" s="338"/>
      <c r="M254" s="336"/>
      <c r="N254" s="338"/>
      <c r="O254" s="338"/>
      <c r="P254" s="336"/>
      <c r="Q254" s="338"/>
      <c r="R254" s="337"/>
      <c r="S254" s="336"/>
      <c r="T254" s="338"/>
      <c r="U254" s="336"/>
      <c r="V254" s="336"/>
      <c r="W254" s="336"/>
      <c r="X254" s="337"/>
      <c r="Y254" s="336"/>
      <c r="Z254" s="336"/>
      <c r="AA254" s="336"/>
      <c r="AB254" s="241"/>
    </row>
    <row r="255" spans="1:28" ht="24" customHeight="1">
      <c r="A255" s="336"/>
      <c r="B255" s="336"/>
      <c r="C255" s="336"/>
      <c r="D255" s="336"/>
      <c r="E255" s="336"/>
      <c r="F255" s="336"/>
      <c r="G255" s="337"/>
      <c r="H255" s="336"/>
      <c r="I255" s="336"/>
      <c r="J255" s="337"/>
      <c r="K255" s="336"/>
      <c r="L255" s="338"/>
      <c r="M255" s="336"/>
      <c r="N255" s="338"/>
      <c r="O255" s="338"/>
      <c r="P255" s="336"/>
      <c r="Q255" s="338"/>
      <c r="R255" s="337"/>
      <c r="S255" s="336"/>
      <c r="T255" s="338"/>
      <c r="U255" s="336"/>
      <c r="V255" s="336"/>
      <c r="W255" s="336"/>
      <c r="X255" s="337"/>
      <c r="Y255" s="336"/>
      <c r="Z255" s="336"/>
      <c r="AA255" s="336"/>
      <c r="AB255" s="241"/>
    </row>
    <row r="256" spans="1:28" ht="24" customHeight="1">
      <c r="A256" s="336"/>
      <c r="B256" s="336"/>
      <c r="C256" s="336"/>
      <c r="D256" s="336"/>
      <c r="E256" s="336"/>
      <c r="F256" s="336"/>
      <c r="G256" s="337"/>
      <c r="H256" s="336"/>
      <c r="I256" s="336"/>
      <c r="J256" s="337"/>
      <c r="K256" s="336"/>
      <c r="L256" s="338"/>
      <c r="M256" s="336"/>
      <c r="N256" s="338"/>
      <c r="O256" s="338"/>
      <c r="P256" s="336"/>
      <c r="Q256" s="338"/>
      <c r="R256" s="337"/>
      <c r="S256" s="336"/>
      <c r="T256" s="338"/>
      <c r="U256" s="336"/>
      <c r="V256" s="336"/>
      <c r="W256" s="336"/>
      <c r="X256" s="337"/>
      <c r="Y256" s="336"/>
      <c r="Z256" s="336"/>
      <c r="AA256" s="336"/>
      <c r="AB256" s="241"/>
    </row>
    <row r="257" spans="1:28" ht="24" customHeight="1">
      <c r="A257" s="336"/>
      <c r="B257" s="336"/>
      <c r="C257" s="336"/>
      <c r="D257" s="336"/>
      <c r="E257" s="336"/>
      <c r="F257" s="336"/>
      <c r="G257" s="337"/>
      <c r="H257" s="336"/>
      <c r="I257" s="336"/>
      <c r="J257" s="337"/>
      <c r="K257" s="336"/>
      <c r="L257" s="338"/>
      <c r="M257" s="336"/>
      <c r="N257" s="338"/>
      <c r="O257" s="338"/>
      <c r="P257" s="336"/>
      <c r="Q257" s="338"/>
      <c r="R257" s="337"/>
      <c r="S257" s="336"/>
      <c r="T257" s="338"/>
      <c r="U257" s="336"/>
      <c r="V257" s="336"/>
      <c r="W257" s="336"/>
      <c r="X257" s="337"/>
      <c r="Y257" s="336"/>
      <c r="Z257" s="336"/>
      <c r="AA257" s="336"/>
      <c r="AB257" s="241"/>
    </row>
    <row r="258" spans="1:28" ht="24" customHeight="1">
      <c r="A258" s="336"/>
      <c r="B258" s="336"/>
      <c r="C258" s="336"/>
      <c r="D258" s="336"/>
      <c r="E258" s="336"/>
      <c r="F258" s="336"/>
      <c r="G258" s="337"/>
      <c r="H258" s="336"/>
      <c r="I258" s="336"/>
      <c r="J258" s="337"/>
      <c r="K258" s="336"/>
      <c r="L258" s="338"/>
      <c r="M258" s="336"/>
      <c r="N258" s="338"/>
      <c r="O258" s="338"/>
      <c r="P258" s="336"/>
      <c r="Q258" s="338"/>
      <c r="R258" s="337"/>
      <c r="S258" s="336"/>
      <c r="T258" s="338"/>
      <c r="U258" s="336"/>
      <c r="V258" s="336"/>
      <c r="W258" s="336"/>
      <c r="X258" s="337"/>
      <c r="Y258" s="336"/>
      <c r="Z258" s="336"/>
      <c r="AA258" s="336"/>
      <c r="AB258" s="241"/>
    </row>
    <row r="259" spans="1:28" ht="24" customHeight="1">
      <c r="A259" s="336"/>
      <c r="B259" s="336"/>
      <c r="C259" s="336"/>
      <c r="D259" s="336"/>
      <c r="E259" s="336"/>
      <c r="F259" s="336"/>
      <c r="G259" s="337"/>
      <c r="H259" s="336"/>
      <c r="I259" s="336"/>
      <c r="J259" s="337"/>
      <c r="K259" s="336"/>
      <c r="L259" s="338"/>
      <c r="M259" s="336"/>
      <c r="N259" s="338"/>
      <c r="O259" s="338"/>
      <c r="P259" s="336"/>
      <c r="Q259" s="338"/>
      <c r="R259" s="337"/>
      <c r="S259" s="336"/>
      <c r="T259" s="338"/>
      <c r="U259" s="336"/>
      <c r="V259" s="336"/>
      <c r="W259" s="336"/>
      <c r="X259" s="337"/>
      <c r="Y259" s="336"/>
      <c r="Z259" s="336"/>
      <c r="AA259" s="336"/>
      <c r="AB259" s="241"/>
    </row>
    <row r="260" spans="1:28" ht="24" customHeight="1">
      <c r="A260" s="336"/>
      <c r="B260" s="336"/>
      <c r="C260" s="336"/>
      <c r="D260" s="336"/>
      <c r="E260" s="336"/>
      <c r="F260" s="336"/>
      <c r="G260" s="337"/>
      <c r="H260" s="336"/>
      <c r="I260" s="336"/>
      <c r="J260" s="337"/>
      <c r="K260" s="336"/>
      <c r="L260" s="338"/>
      <c r="M260" s="336"/>
      <c r="N260" s="338"/>
      <c r="O260" s="338"/>
      <c r="P260" s="336"/>
      <c r="Q260" s="338"/>
      <c r="R260" s="337"/>
      <c r="S260" s="336"/>
      <c r="T260" s="338"/>
      <c r="U260" s="336"/>
      <c r="V260" s="336"/>
      <c r="W260" s="336"/>
      <c r="X260" s="337"/>
      <c r="Y260" s="336"/>
      <c r="Z260" s="336"/>
      <c r="AA260" s="336"/>
      <c r="AB260" s="241"/>
    </row>
    <row r="261" spans="1:28" ht="24" customHeight="1">
      <c r="A261" s="336"/>
      <c r="B261" s="336"/>
      <c r="C261" s="336"/>
      <c r="D261" s="336"/>
      <c r="E261" s="336"/>
      <c r="F261" s="336"/>
      <c r="G261" s="337"/>
      <c r="H261" s="336"/>
      <c r="I261" s="336"/>
      <c r="J261" s="337"/>
      <c r="K261" s="336"/>
      <c r="L261" s="338"/>
      <c r="M261" s="336"/>
      <c r="N261" s="338"/>
      <c r="O261" s="338"/>
      <c r="P261" s="336"/>
      <c r="Q261" s="338"/>
      <c r="R261" s="337"/>
      <c r="S261" s="336"/>
      <c r="T261" s="338"/>
      <c r="U261" s="336"/>
      <c r="V261" s="336"/>
      <c r="W261" s="336"/>
      <c r="X261" s="337"/>
      <c r="Y261" s="336"/>
      <c r="Z261" s="336"/>
      <c r="AA261" s="336"/>
      <c r="AB261" s="241"/>
    </row>
    <row r="262" spans="1:28" ht="24" customHeight="1">
      <c r="A262" s="336"/>
      <c r="B262" s="336"/>
      <c r="C262" s="336"/>
      <c r="D262" s="336"/>
      <c r="E262" s="336"/>
      <c r="F262" s="336"/>
      <c r="G262" s="337"/>
      <c r="H262" s="336"/>
      <c r="I262" s="336"/>
      <c r="J262" s="337"/>
      <c r="K262" s="336"/>
      <c r="L262" s="338"/>
      <c r="M262" s="336"/>
      <c r="N262" s="338"/>
      <c r="O262" s="338"/>
      <c r="P262" s="336"/>
      <c r="Q262" s="338"/>
      <c r="R262" s="337"/>
      <c r="S262" s="336"/>
      <c r="T262" s="338"/>
      <c r="U262" s="336"/>
      <c r="V262" s="336"/>
      <c r="W262" s="336"/>
      <c r="X262" s="337"/>
      <c r="Y262" s="336"/>
      <c r="Z262" s="336"/>
      <c r="AA262" s="336"/>
      <c r="AB262" s="241"/>
    </row>
    <row r="263" spans="1:28" ht="24" customHeight="1">
      <c r="A263" s="336"/>
      <c r="B263" s="336"/>
      <c r="C263" s="336"/>
      <c r="D263" s="336"/>
      <c r="E263" s="336"/>
      <c r="F263" s="336"/>
      <c r="G263" s="337"/>
      <c r="H263" s="336"/>
      <c r="I263" s="336"/>
      <c r="J263" s="337"/>
      <c r="K263" s="336"/>
      <c r="L263" s="338"/>
      <c r="M263" s="336"/>
      <c r="N263" s="338"/>
      <c r="O263" s="338"/>
      <c r="P263" s="336"/>
      <c r="Q263" s="338"/>
      <c r="R263" s="337"/>
      <c r="S263" s="336"/>
      <c r="T263" s="338"/>
      <c r="U263" s="336"/>
      <c r="V263" s="336"/>
      <c r="W263" s="336"/>
      <c r="X263" s="337"/>
      <c r="Y263" s="336"/>
      <c r="Z263" s="336"/>
      <c r="AA263" s="336"/>
      <c r="AB263" s="241"/>
    </row>
    <row r="264" spans="1:28" ht="24" customHeight="1">
      <c r="A264" s="336"/>
      <c r="B264" s="336"/>
      <c r="C264" s="336"/>
      <c r="D264" s="336"/>
      <c r="E264" s="336"/>
      <c r="F264" s="336"/>
      <c r="G264" s="337"/>
      <c r="H264" s="336"/>
      <c r="I264" s="336"/>
      <c r="J264" s="337"/>
      <c r="K264" s="336"/>
      <c r="L264" s="338"/>
      <c r="M264" s="336"/>
      <c r="N264" s="338"/>
      <c r="O264" s="338"/>
      <c r="P264" s="336"/>
      <c r="Q264" s="338"/>
      <c r="R264" s="337"/>
      <c r="S264" s="336"/>
      <c r="T264" s="338"/>
      <c r="U264" s="336"/>
      <c r="V264" s="336"/>
      <c r="W264" s="336"/>
      <c r="X264" s="337"/>
      <c r="Y264" s="336"/>
      <c r="Z264" s="336"/>
      <c r="AA264" s="336"/>
      <c r="AB264" s="241"/>
    </row>
    <row r="265" spans="1:28" ht="24" customHeight="1">
      <c r="A265" s="336"/>
      <c r="B265" s="336"/>
      <c r="C265" s="336"/>
      <c r="D265" s="336"/>
      <c r="E265" s="336"/>
      <c r="F265" s="336"/>
      <c r="G265" s="337"/>
      <c r="H265" s="336"/>
      <c r="I265" s="336"/>
      <c r="J265" s="337"/>
      <c r="K265" s="336"/>
      <c r="L265" s="338"/>
      <c r="M265" s="336"/>
      <c r="N265" s="338"/>
      <c r="O265" s="338"/>
      <c r="P265" s="336"/>
      <c r="Q265" s="338"/>
      <c r="R265" s="337"/>
      <c r="S265" s="336"/>
      <c r="T265" s="338"/>
      <c r="U265" s="336"/>
      <c r="V265" s="336"/>
      <c r="W265" s="336"/>
      <c r="X265" s="337"/>
      <c r="Y265" s="336"/>
      <c r="Z265" s="336"/>
      <c r="AA265" s="336"/>
      <c r="AB265" s="241"/>
    </row>
    <row r="266" spans="1:28" ht="24" customHeight="1">
      <c r="A266" s="336"/>
      <c r="B266" s="336"/>
      <c r="C266" s="336"/>
      <c r="D266" s="336"/>
      <c r="E266" s="336"/>
      <c r="F266" s="336"/>
      <c r="G266" s="337"/>
      <c r="H266" s="336"/>
      <c r="I266" s="336"/>
      <c r="J266" s="337"/>
      <c r="K266" s="336"/>
      <c r="L266" s="338"/>
      <c r="M266" s="336"/>
      <c r="N266" s="338"/>
      <c r="O266" s="338"/>
      <c r="P266" s="336"/>
      <c r="Q266" s="338"/>
      <c r="R266" s="337"/>
      <c r="S266" s="336"/>
      <c r="T266" s="338"/>
      <c r="U266" s="336"/>
      <c r="V266" s="336"/>
      <c r="W266" s="336"/>
      <c r="X266" s="337"/>
      <c r="Y266" s="336"/>
      <c r="Z266" s="336"/>
      <c r="AA266" s="336"/>
      <c r="AB266" s="241"/>
    </row>
    <row r="267" spans="1:28" ht="24" customHeight="1">
      <c r="A267" s="336"/>
      <c r="B267" s="336"/>
      <c r="C267" s="336"/>
      <c r="D267" s="336"/>
      <c r="E267" s="336"/>
      <c r="F267" s="336"/>
      <c r="G267" s="337"/>
      <c r="H267" s="336"/>
      <c r="I267" s="336"/>
      <c r="J267" s="337"/>
      <c r="K267" s="336"/>
      <c r="L267" s="338"/>
      <c r="M267" s="336"/>
      <c r="N267" s="338"/>
      <c r="O267" s="338"/>
      <c r="P267" s="336"/>
      <c r="Q267" s="338"/>
      <c r="R267" s="337"/>
      <c r="S267" s="336"/>
      <c r="T267" s="338"/>
      <c r="U267" s="336"/>
      <c r="V267" s="336"/>
      <c r="W267" s="336"/>
      <c r="X267" s="337"/>
      <c r="Y267" s="336"/>
      <c r="Z267" s="336"/>
      <c r="AA267" s="336"/>
      <c r="AB267" s="241"/>
    </row>
    <row r="268" spans="1:28" ht="24" customHeight="1">
      <c r="A268" s="336"/>
      <c r="B268" s="336"/>
      <c r="C268" s="336"/>
      <c r="D268" s="336"/>
      <c r="E268" s="336"/>
      <c r="F268" s="336"/>
      <c r="G268" s="337"/>
      <c r="H268" s="336"/>
      <c r="I268" s="336"/>
      <c r="J268" s="337"/>
      <c r="K268" s="336"/>
      <c r="L268" s="338"/>
      <c r="M268" s="336"/>
      <c r="N268" s="338"/>
      <c r="O268" s="338"/>
      <c r="P268" s="336"/>
      <c r="Q268" s="338"/>
      <c r="R268" s="337"/>
      <c r="S268" s="336"/>
      <c r="T268" s="338"/>
      <c r="U268" s="336"/>
      <c r="V268" s="336"/>
      <c r="W268" s="336"/>
      <c r="X268" s="337"/>
      <c r="Y268" s="336"/>
      <c r="Z268" s="336"/>
      <c r="AA268" s="336"/>
      <c r="AB268" s="241"/>
    </row>
    <row r="269" spans="1:28" ht="24" customHeight="1">
      <c r="A269" s="336"/>
      <c r="B269" s="336"/>
      <c r="C269" s="336"/>
      <c r="D269" s="336"/>
      <c r="E269" s="336"/>
      <c r="F269" s="336"/>
      <c r="G269" s="337"/>
      <c r="H269" s="336"/>
      <c r="I269" s="336"/>
      <c r="J269" s="337"/>
      <c r="K269" s="336"/>
      <c r="L269" s="338"/>
      <c r="M269" s="336"/>
      <c r="N269" s="338"/>
      <c r="O269" s="338"/>
      <c r="P269" s="336"/>
      <c r="Q269" s="338"/>
      <c r="R269" s="337"/>
      <c r="S269" s="336"/>
      <c r="T269" s="338"/>
      <c r="U269" s="336"/>
      <c r="V269" s="336"/>
      <c r="W269" s="336"/>
      <c r="X269" s="337"/>
      <c r="Y269" s="336"/>
      <c r="Z269" s="336"/>
      <c r="AA269" s="336"/>
      <c r="AB269" s="241"/>
    </row>
    <row r="270" spans="1:28" ht="24" customHeight="1">
      <c r="A270" s="336"/>
      <c r="B270" s="336"/>
      <c r="C270" s="336"/>
      <c r="D270" s="336"/>
      <c r="E270" s="336"/>
      <c r="F270" s="336"/>
      <c r="G270" s="337"/>
      <c r="H270" s="336"/>
      <c r="I270" s="336"/>
      <c r="J270" s="337"/>
      <c r="K270" s="336"/>
      <c r="L270" s="338"/>
      <c r="M270" s="336"/>
      <c r="N270" s="338"/>
      <c r="O270" s="338"/>
      <c r="P270" s="336"/>
      <c r="Q270" s="338"/>
      <c r="R270" s="337"/>
      <c r="S270" s="336"/>
      <c r="T270" s="338"/>
      <c r="U270" s="336"/>
      <c r="V270" s="336"/>
      <c r="W270" s="336"/>
      <c r="X270" s="337"/>
      <c r="Y270" s="336"/>
      <c r="Z270" s="336"/>
      <c r="AA270" s="336"/>
      <c r="AB270" s="241"/>
    </row>
    <row r="271" spans="1:28" ht="24" customHeight="1">
      <c r="A271" s="336"/>
      <c r="B271" s="336"/>
      <c r="C271" s="336"/>
      <c r="D271" s="336"/>
      <c r="E271" s="336"/>
      <c r="F271" s="336"/>
      <c r="G271" s="337"/>
      <c r="H271" s="336"/>
      <c r="I271" s="336"/>
      <c r="J271" s="337"/>
      <c r="K271" s="336"/>
      <c r="L271" s="338"/>
      <c r="M271" s="336"/>
      <c r="N271" s="338"/>
      <c r="O271" s="338"/>
      <c r="P271" s="336"/>
      <c r="Q271" s="338"/>
      <c r="R271" s="337"/>
      <c r="S271" s="336"/>
      <c r="T271" s="338"/>
      <c r="U271" s="336"/>
      <c r="V271" s="336"/>
      <c r="W271" s="336"/>
      <c r="X271" s="337"/>
      <c r="Y271" s="336"/>
      <c r="Z271" s="336"/>
      <c r="AA271" s="336"/>
      <c r="AB271" s="241"/>
    </row>
    <row r="272" spans="1:28" ht="24" customHeight="1">
      <c r="A272" s="336"/>
      <c r="B272" s="336"/>
      <c r="C272" s="336"/>
      <c r="D272" s="336"/>
      <c r="E272" s="336"/>
      <c r="F272" s="336"/>
      <c r="G272" s="337"/>
      <c r="H272" s="336"/>
      <c r="I272" s="336"/>
      <c r="J272" s="337"/>
      <c r="K272" s="336"/>
      <c r="L272" s="338"/>
      <c r="M272" s="336"/>
      <c r="N272" s="338"/>
      <c r="O272" s="338"/>
      <c r="P272" s="336"/>
      <c r="Q272" s="338"/>
      <c r="R272" s="337"/>
      <c r="S272" s="336"/>
      <c r="T272" s="338"/>
      <c r="U272" s="336"/>
      <c r="V272" s="336"/>
      <c r="W272" s="336"/>
      <c r="X272" s="337"/>
      <c r="Y272" s="336"/>
      <c r="Z272" s="336"/>
      <c r="AA272" s="336"/>
      <c r="AB272" s="241"/>
    </row>
    <row r="273" spans="1:28" ht="24" customHeight="1">
      <c r="A273" s="336"/>
      <c r="B273" s="336"/>
      <c r="C273" s="336"/>
      <c r="D273" s="336"/>
      <c r="E273" s="336"/>
      <c r="F273" s="336"/>
      <c r="G273" s="337"/>
      <c r="H273" s="336"/>
      <c r="I273" s="336"/>
      <c r="J273" s="337"/>
      <c r="K273" s="336"/>
      <c r="L273" s="338"/>
      <c r="M273" s="336"/>
      <c r="N273" s="338"/>
      <c r="O273" s="338"/>
      <c r="P273" s="336"/>
      <c r="Q273" s="338"/>
      <c r="R273" s="337"/>
      <c r="S273" s="336"/>
      <c r="T273" s="338"/>
      <c r="U273" s="336"/>
      <c r="V273" s="336"/>
      <c r="W273" s="336"/>
      <c r="X273" s="337"/>
      <c r="Y273" s="336"/>
      <c r="Z273" s="336"/>
      <c r="AA273" s="336"/>
      <c r="AB273" s="241"/>
    </row>
    <row r="274" spans="1:28" ht="24" customHeight="1">
      <c r="A274" s="336"/>
      <c r="B274" s="336"/>
      <c r="C274" s="336"/>
      <c r="D274" s="336"/>
      <c r="E274" s="336"/>
      <c r="F274" s="336"/>
      <c r="G274" s="337"/>
      <c r="H274" s="336"/>
      <c r="I274" s="336"/>
      <c r="J274" s="337"/>
      <c r="K274" s="336"/>
      <c r="L274" s="338"/>
      <c r="M274" s="336"/>
      <c r="N274" s="338"/>
      <c r="O274" s="338"/>
      <c r="P274" s="336"/>
      <c r="Q274" s="338"/>
      <c r="R274" s="337"/>
      <c r="S274" s="336"/>
      <c r="T274" s="338"/>
      <c r="U274" s="336"/>
      <c r="V274" s="336"/>
      <c r="W274" s="336"/>
      <c r="X274" s="337"/>
      <c r="Y274" s="336"/>
      <c r="Z274" s="336"/>
      <c r="AA274" s="336"/>
      <c r="AB274" s="241"/>
    </row>
    <row r="275" spans="1:28" ht="24" customHeight="1">
      <c r="A275" s="336"/>
      <c r="B275" s="336"/>
      <c r="C275" s="336"/>
      <c r="D275" s="336"/>
      <c r="E275" s="336"/>
      <c r="F275" s="336"/>
      <c r="G275" s="337"/>
      <c r="H275" s="336"/>
      <c r="I275" s="336"/>
      <c r="J275" s="337"/>
      <c r="K275" s="336"/>
      <c r="L275" s="338"/>
      <c r="M275" s="336"/>
      <c r="N275" s="338"/>
      <c r="O275" s="338"/>
      <c r="P275" s="336"/>
      <c r="Q275" s="338"/>
      <c r="R275" s="337"/>
      <c r="S275" s="336"/>
      <c r="T275" s="338"/>
      <c r="U275" s="336"/>
      <c r="V275" s="336"/>
      <c r="W275" s="336"/>
      <c r="X275" s="337"/>
      <c r="Y275" s="336"/>
      <c r="Z275" s="336"/>
      <c r="AA275" s="336"/>
      <c r="AB275" s="241"/>
    </row>
    <row r="276" spans="1:28" ht="24" customHeight="1">
      <c r="A276" s="336"/>
      <c r="B276" s="336"/>
      <c r="C276" s="336"/>
      <c r="D276" s="336"/>
      <c r="E276" s="336"/>
      <c r="F276" s="336"/>
      <c r="G276" s="337"/>
      <c r="H276" s="336"/>
      <c r="I276" s="336"/>
      <c r="J276" s="337"/>
      <c r="K276" s="336"/>
      <c r="L276" s="338"/>
      <c r="M276" s="336"/>
      <c r="N276" s="338"/>
      <c r="O276" s="338"/>
      <c r="P276" s="336"/>
      <c r="Q276" s="338"/>
      <c r="R276" s="337"/>
      <c r="S276" s="336"/>
      <c r="T276" s="338"/>
      <c r="U276" s="336"/>
      <c r="V276" s="336"/>
      <c r="W276" s="336"/>
      <c r="X276" s="337"/>
      <c r="Y276" s="336"/>
      <c r="Z276" s="336"/>
      <c r="AA276" s="336"/>
      <c r="AB276" s="241"/>
    </row>
    <row r="277" spans="1:28" ht="24" customHeight="1">
      <c r="A277" s="336"/>
      <c r="B277" s="336"/>
      <c r="C277" s="336"/>
      <c r="D277" s="336"/>
      <c r="E277" s="336"/>
      <c r="F277" s="336"/>
      <c r="G277" s="337"/>
      <c r="H277" s="336"/>
      <c r="I277" s="336"/>
      <c r="J277" s="337"/>
      <c r="K277" s="336"/>
      <c r="L277" s="338"/>
      <c r="M277" s="336"/>
      <c r="N277" s="338"/>
      <c r="O277" s="338"/>
      <c r="P277" s="336"/>
      <c r="Q277" s="338"/>
      <c r="R277" s="337"/>
      <c r="S277" s="336"/>
      <c r="T277" s="338"/>
      <c r="U277" s="336"/>
      <c r="V277" s="336"/>
      <c r="W277" s="336"/>
      <c r="X277" s="337"/>
      <c r="Y277" s="336"/>
      <c r="Z277" s="336"/>
      <c r="AA277" s="336"/>
      <c r="AB277" s="241"/>
    </row>
    <row r="278" spans="1:28" ht="24" customHeight="1">
      <c r="A278" s="336"/>
      <c r="B278" s="336"/>
      <c r="C278" s="336"/>
      <c r="D278" s="336"/>
      <c r="E278" s="336"/>
      <c r="F278" s="336"/>
      <c r="G278" s="337"/>
      <c r="H278" s="336"/>
      <c r="I278" s="336"/>
      <c r="J278" s="337"/>
      <c r="K278" s="336"/>
      <c r="L278" s="338"/>
      <c r="M278" s="336"/>
      <c r="N278" s="338"/>
      <c r="O278" s="338"/>
      <c r="P278" s="336"/>
      <c r="Q278" s="338"/>
      <c r="R278" s="337"/>
      <c r="S278" s="336"/>
      <c r="T278" s="338"/>
      <c r="U278" s="336"/>
      <c r="V278" s="336"/>
      <c r="W278" s="336"/>
      <c r="X278" s="337"/>
      <c r="Y278" s="336"/>
      <c r="Z278" s="336"/>
      <c r="AA278" s="336"/>
      <c r="AB278" s="241"/>
    </row>
    <row r="279" spans="1:28" ht="24" customHeight="1">
      <c r="A279" s="336"/>
      <c r="B279" s="336"/>
      <c r="C279" s="336"/>
      <c r="D279" s="336"/>
      <c r="E279" s="336"/>
      <c r="F279" s="336"/>
      <c r="G279" s="337"/>
      <c r="H279" s="336"/>
      <c r="I279" s="336"/>
      <c r="J279" s="337"/>
      <c r="K279" s="336"/>
      <c r="L279" s="338"/>
      <c r="M279" s="336"/>
      <c r="N279" s="338"/>
      <c r="O279" s="338"/>
      <c r="P279" s="336"/>
      <c r="Q279" s="338"/>
      <c r="R279" s="337"/>
      <c r="S279" s="336"/>
      <c r="T279" s="338"/>
      <c r="U279" s="336"/>
      <c r="V279" s="336"/>
      <c r="W279" s="336"/>
      <c r="X279" s="337"/>
      <c r="Y279" s="336"/>
      <c r="Z279" s="336"/>
      <c r="AA279" s="336"/>
      <c r="AB279" s="241"/>
    </row>
    <row r="280" spans="1:28" ht="24" customHeight="1">
      <c r="A280" s="336"/>
      <c r="B280" s="336"/>
      <c r="C280" s="336"/>
      <c r="D280" s="336"/>
      <c r="E280" s="336"/>
      <c r="F280" s="336"/>
      <c r="G280" s="337"/>
      <c r="H280" s="336"/>
      <c r="I280" s="336"/>
      <c r="J280" s="337"/>
      <c r="K280" s="336"/>
      <c r="L280" s="338"/>
      <c r="M280" s="336"/>
      <c r="N280" s="338"/>
      <c r="O280" s="338"/>
      <c r="P280" s="336"/>
      <c r="Q280" s="338"/>
      <c r="R280" s="337"/>
      <c r="S280" s="336"/>
      <c r="T280" s="338"/>
      <c r="U280" s="336"/>
      <c r="V280" s="336"/>
      <c r="W280" s="336"/>
      <c r="X280" s="337"/>
      <c r="Y280" s="336"/>
      <c r="Z280" s="336"/>
      <c r="AA280" s="336"/>
      <c r="AB280" s="241"/>
    </row>
    <row r="281" spans="1:28" ht="24" customHeight="1">
      <c r="A281" s="336"/>
      <c r="B281" s="336"/>
      <c r="C281" s="336"/>
      <c r="D281" s="336"/>
      <c r="E281" s="336"/>
      <c r="F281" s="336"/>
      <c r="G281" s="337"/>
      <c r="H281" s="336"/>
      <c r="I281" s="336"/>
      <c r="J281" s="337"/>
      <c r="K281" s="336"/>
      <c r="L281" s="338"/>
      <c r="M281" s="336"/>
      <c r="N281" s="338"/>
      <c r="O281" s="338"/>
      <c r="P281" s="336"/>
      <c r="Q281" s="338"/>
      <c r="R281" s="337"/>
      <c r="S281" s="336"/>
      <c r="T281" s="338"/>
      <c r="U281" s="336"/>
      <c r="V281" s="336"/>
      <c r="W281" s="336"/>
      <c r="X281" s="337"/>
      <c r="Y281" s="336"/>
      <c r="Z281" s="336"/>
      <c r="AA281" s="336"/>
      <c r="AB281" s="241"/>
    </row>
    <row r="282" spans="1:28" ht="24" customHeight="1">
      <c r="A282" s="336"/>
      <c r="B282" s="336"/>
      <c r="C282" s="336"/>
      <c r="D282" s="336"/>
      <c r="E282" s="336"/>
      <c r="F282" s="336"/>
      <c r="G282" s="337"/>
      <c r="H282" s="336"/>
      <c r="I282" s="336"/>
      <c r="J282" s="337"/>
      <c r="K282" s="336"/>
      <c r="L282" s="338"/>
      <c r="M282" s="336"/>
      <c r="N282" s="338"/>
      <c r="O282" s="338"/>
      <c r="P282" s="336"/>
      <c r="Q282" s="338"/>
      <c r="R282" s="337"/>
      <c r="S282" s="336"/>
      <c r="T282" s="338"/>
      <c r="U282" s="336"/>
      <c r="V282" s="336"/>
      <c r="W282" s="336"/>
      <c r="X282" s="337"/>
      <c r="Y282" s="336"/>
      <c r="Z282" s="336"/>
      <c r="AA282" s="336"/>
      <c r="AB282" s="241"/>
    </row>
    <row r="283" spans="1:28" ht="24" customHeight="1">
      <c r="A283" s="336"/>
      <c r="B283" s="336"/>
      <c r="C283" s="336"/>
      <c r="D283" s="336"/>
      <c r="E283" s="336"/>
      <c r="F283" s="336"/>
      <c r="G283" s="337"/>
      <c r="H283" s="336"/>
      <c r="I283" s="336"/>
      <c r="J283" s="337"/>
      <c r="K283" s="336"/>
      <c r="L283" s="338"/>
      <c r="M283" s="336"/>
      <c r="N283" s="338"/>
      <c r="O283" s="338"/>
      <c r="P283" s="336"/>
      <c r="Q283" s="338"/>
      <c r="R283" s="337"/>
      <c r="S283" s="336"/>
      <c r="T283" s="338"/>
      <c r="U283" s="336"/>
      <c r="V283" s="336"/>
      <c r="W283" s="336"/>
      <c r="X283" s="337"/>
      <c r="Y283" s="336"/>
      <c r="Z283" s="336"/>
      <c r="AA283" s="336"/>
      <c r="AB283" s="241"/>
    </row>
    <row r="284" spans="1:28" ht="24" customHeight="1">
      <c r="A284" s="336"/>
      <c r="B284" s="336"/>
      <c r="C284" s="336"/>
      <c r="D284" s="336"/>
      <c r="E284" s="336"/>
      <c r="F284" s="336"/>
      <c r="G284" s="337"/>
      <c r="H284" s="336"/>
      <c r="I284" s="336"/>
      <c r="J284" s="337"/>
      <c r="K284" s="336"/>
      <c r="L284" s="338"/>
      <c r="M284" s="336"/>
      <c r="N284" s="338"/>
      <c r="O284" s="338"/>
      <c r="P284" s="336"/>
      <c r="Q284" s="338"/>
      <c r="R284" s="337"/>
      <c r="S284" s="336"/>
      <c r="T284" s="338"/>
      <c r="U284" s="336"/>
      <c r="V284" s="336"/>
      <c r="W284" s="336"/>
      <c r="X284" s="337"/>
      <c r="Y284" s="336"/>
      <c r="Z284" s="336"/>
      <c r="AA284" s="336"/>
      <c r="AB284" s="241"/>
    </row>
    <row r="285" spans="1:28" ht="24" customHeight="1">
      <c r="A285" s="336"/>
      <c r="B285" s="336"/>
      <c r="C285" s="336"/>
      <c r="D285" s="336"/>
      <c r="E285" s="336"/>
      <c r="F285" s="336"/>
      <c r="G285" s="337"/>
      <c r="H285" s="336"/>
      <c r="I285" s="336"/>
      <c r="J285" s="337"/>
      <c r="K285" s="336"/>
      <c r="L285" s="338"/>
      <c r="M285" s="336"/>
      <c r="N285" s="338"/>
      <c r="O285" s="338"/>
      <c r="P285" s="336"/>
      <c r="Q285" s="338"/>
      <c r="R285" s="337"/>
      <c r="S285" s="336"/>
      <c r="T285" s="338"/>
      <c r="U285" s="336"/>
      <c r="V285" s="336"/>
      <c r="W285" s="336"/>
      <c r="X285" s="337"/>
      <c r="Y285" s="336"/>
      <c r="Z285" s="336"/>
      <c r="AA285" s="336"/>
      <c r="AB285" s="241"/>
    </row>
    <row r="286" spans="1:28" ht="24" customHeight="1">
      <c r="A286" s="336"/>
      <c r="B286" s="336"/>
      <c r="C286" s="336"/>
      <c r="D286" s="336"/>
      <c r="E286" s="336"/>
      <c r="F286" s="336"/>
      <c r="G286" s="337"/>
      <c r="H286" s="336"/>
      <c r="I286" s="336"/>
      <c r="J286" s="337"/>
      <c r="K286" s="336"/>
      <c r="L286" s="338"/>
      <c r="M286" s="336"/>
      <c r="N286" s="338"/>
      <c r="O286" s="338"/>
      <c r="P286" s="336"/>
      <c r="Q286" s="338"/>
      <c r="R286" s="337"/>
      <c r="S286" s="336"/>
      <c r="T286" s="338"/>
      <c r="U286" s="336"/>
      <c r="V286" s="336"/>
      <c r="W286" s="336"/>
      <c r="X286" s="337"/>
      <c r="Y286" s="336"/>
      <c r="Z286" s="336"/>
      <c r="AA286" s="336"/>
      <c r="AB286" s="241"/>
    </row>
    <row r="287" spans="1:28" ht="24" customHeight="1">
      <c r="A287" s="336"/>
      <c r="B287" s="336"/>
      <c r="C287" s="336"/>
      <c r="D287" s="336"/>
      <c r="E287" s="336"/>
      <c r="F287" s="336"/>
      <c r="G287" s="337"/>
      <c r="H287" s="336"/>
      <c r="I287" s="336"/>
      <c r="J287" s="337"/>
      <c r="K287" s="336"/>
      <c r="L287" s="338"/>
      <c r="M287" s="336"/>
      <c r="N287" s="338"/>
      <c r="O287" s="338"/>
      <c r="P287" s="336"/>
      <c r="Q287" s="338"/>
      <c r="R287" s="337"/>
      <c r="S287" s="336"/>
      <c r="T287" s="338"/>
      <c r="U287" s="336"/>
      <c r="V287" s="336"/>
      <c r="W287" s="336"/>
      <c r="X287" s="337"/>
      <c r="Y287" s="336"/>
      <c r="Z287" s="336"/>
      <c r="AA287" s="336"/>
      <c r="AB287" s="241"/>
    </row>
    <row r="288" spans="1:28" ht="24" customHeight="1">
      <c r="A288" s="336"/>
      <c r="B288" s="336"/>
      <c r="C288" s="336"/>
      <c r="D288" s="336"/>
      <c r="E288" s="336"/>
      <c r="F288" s="336"/>
      <c r="G288" s="337"/>
      <c r="H288" s="336"/>
      <c r="I288" s="336"/>
      <c r="J288" s="337"/>
      <c r="K288" s="336"/>
      <c r="L288" s="338"/>
      <c r="M288" s="336"/>
      <c r="N288" s="338"/>
      <c r="O288" s="338"/>
      <c r="P288" s="336"/>
      <c r="Q288" s="338"/>
      <c r="R288" s="337"/>
      <c r="S288" s="336"/>
      <c r="T288" s="338"/>
      <c r="U288" s="336"/>
      <c r="V288" s="336"/>
      <c r="W288" s="336"/>
      <c r="X288" s="337"/>
      <c r="Y288" s="336"/>
      <c r="Z288" s="336"/>
      <c r="AA288" s="336"/>
      <c r="AB288" s="241"/>
    </row>
    <row r="289" spans="1:28" ht="24" customHeight="1">
      <c r="A289" s="336"/>
      <c r="B289" s="336"/>
      <c r="C289" s="336"/>
      <c r="D289" s="336"/>
      <c r="E289" s="336"/>
      <c r="F289" s="336"/>
      <c r="G289" s="337"/>
      <c r="H289" s="336"/>
      <c r="I289" s="336"/>
      <c r="J289" s="337"/>
      <c r="K289" s="336"/>
      <c r="L289" s="338"/>
      <c r="M289" s="336"/>
      <c r="N289" s="338"/>
      <c r="O289" s="338"/>
      <c r="P289" s="336"/>
      <c r="Q289" s="338"/>
      <c r="R289" s="337"/>
      <c r="S289" s="336"/>
      <c r="T289" s="338"/>
      <c r="U289" s="336"/>
      <c r="V289" s="336"/>
      <c r="W289" s="336"/>
      <c r="X289" s="337"/>
      <c r="Y289" s="336"/>
      <c r="Z289" s="336"/>
      <c r="AA289" s="336"/>
      <c r="AB289" s="241"/>
    </row>
    <row r="290" spans="1:28" ht="24" customHeight="1">
      <c r="A290" s="336"/>
      <c r="B290" s="336"/>
      <c r="C290" s="336"/>
      <c r="D290" s="336"/>
      <c r="E290" s="336"/>
      <c r="F290" s="336"/>
      <c r="G290" s="337"/>
      <c r="H290" s="336"/>
      <c r="I290" s="336"/>
      <c r="J290" s="337"/>
      <c r="K290" s="336"/>
      <c r="L290" s="338"/>
      <c r="M290" s="336"/>
      <c r="N290" s="338"/>
      <c r="O290" s="338"/>
      <c r="P290" s="336"/>
      <c r="Q290" s="338"/>
      <c r="R290" s="337"/>
      <c r="S290" s="336"/>
      <c r="T290" s="338"/>
      <c r="U290" s="336"/>
      <c r="V290" s="336"/>
      <c r="W290" s="336"/>
      <c r="X290" s="337"/>
      <c r="Y290" s="336"/>
      <c r="Z290" s="336"/>
      <c r="AA290" s="336"/>
      <c r="AB290" s="241"/>
    </row>
    <row r="291" spans="1:28" ht="24" customHeight="1">
      <c r="A291" s="336"/>
      <c r="B291" s="336"/>
      <c r="C291" s="336"/>
      <c r="D291" s="336"/>
      <c r="E291" s="336"/>
      <c r="F291" s="336"/>
      <c r="G291" s="337"/>
      <c r="H291" s="336"/>
      <c r="I291" s="336"/>
      <c r="J291" s="337"/>
      <c r="K291" s="336"/>
      <c r="L291" s="338"/>
      <c r="M291" s="336"/>
      <c r="N291" s="338"/>
      <c r="O291" s="338"/>
      <c r="P291" s="336"/>
      <c r="Q291" s="338"/>
      <c r="R291" s="337"/>
      <c r="S291" s="336"/>
      <c r="T291" s="338"/>
      <c r="U291" s="336"/>
      <c r="V291" s="336"/>
      <c r="W291" s="336"/>
      <c r="X291" s="337"/>
      <c r="Y291" s="336"/>
      <c r="Z291" s="336"/>
      <c r="AA291" s="336"/>
      <c r="AB291" s="241"/>
    </row>
    <row r="292" spans="1:28" ht="24" customHeight="1">
      <c r="A292" s="336"/>
      <c r="B292" s="336"/>
      <c r="C292" s="336"/>
      <c r="D292" s="336"/>
      <c r="E292" s="336"/>
      <c r="F292" s="336"/>
      <c r="G292" s="337"/>
      <c r="H292" s="336"/>
      <c r="I292" s="336"/>
      <c r="J292" s="337"/>
      <c r="K292" s="336"/>
      <c r="L292" s="338"/>
      <c r="M292" s="336"/>
      <c r="N292" s="338"/>
      <c r="O292" s="338"/>
      <c r="P292" s="336"/>
      <c r="Q292" s="338"/>
      <c r="R292" s="337"/>
      <c r="S292" s="336"/>
      <c r="T292" s="338"/>
      <c r="U292" s="336"/>
      <c r="V292" s="336"/>
      <c r="W292" s="336"/>
      <c r="X292" s="337"/>
      <c r="Y292" s="336"/>
      <c r="Z292" s="336"/>
      <c r="AA292" s="336"/>
      <c r="AB292" s="241"/>
    </row>
    <row r="293" spans="1:28" ht="24" customHeight="1">
      <c r="A293" s="336"/>
      <c r="B293" s="336"/>
      <c r="C293" s="336"/>
      <c r="D293" s="336"/>
      <c r="E293" s="336"/>
      <c r="F293" s="336"/>
      <c r="G293" s="337"/>
      <c r="H293" s="336"/>
      <c r="I293" s="336"/>
      <c r="J293" s="337"/>
      <c r="K293" s="336"/>
      <c r="L293" s="338"/>
      <c r="M293" s="336"/>
      <c r="N293" s="338"/>
      <c r="O293" s="338"/>
      <c r="P293" s="336"/>
      <c r="Q293" s="338"/>
      <c r="R293" s="337"/>
      <c r="S293" s="336"/>
      <c r="T293" s="338"/>
      <c r="U293" s="336"/>
      <c r="V293" s="336"/>
      <c r="W293" s="336"/>
      <c r="X293" s="337"/>
      <c r="Y293" s="336"/>
      <c r="Z293" s="336"/>
      <c r="AA293" s="336"/>
      <c r="AB293" s="241"/>
    </row>
    <row r="294" spans="1:28" ht="24" customHeight="1">
      <c r="A294" s="336"/>
      <c r="B294" s="336"/>
      <c r="C294" s="336"/>
      <c r="D294" s="336"/>
      <c r="E294" s="336"/>
      <c r="F294" s="336"/>
      <c r="G294" s="337"/>
      <c r="H294" s="336"/>
      <c r="I294" s="336"/>
      <c r="J294" s="337"/>
      <c r="K294" s="336"/>
      <c r="L294" s="338"/>
      <c r="M294" s="336"/>
      <c r="N294" s="338"/>
      <c r="O294" s="338"/>
      <c r="P294" s="336"/>
      <c r="Q294" s="338"/>
      <c r="R294" s="337"/>
      <c r="S294" s="336"/>
      <c r="T294" s="338"/>
      <c r="U294" s="336"/>
      <c r="V294" s="336"/>
      <c r="W294" s="336"/>
      <c r="X294" s="337"/>
      <c r="Y294" s="336"/>
      <c r="Z294" s="336"/>
      <c r="AA294" s="336"/>
      <c r="AB294" s="241"/>
    </row>
    <row r="295" spans="1:28" ht="24" customHeight="1">
      <c r="A295" s="336"/>
      <c r="B295" s="336"/>
      <c r="C295" s="336"/>
      <c r="D295" s="336"/>
      <c r="E295" s="336"/>
      <c r="F295" s="336"/>
      <c r="G295" s="337"/>
      <c r="H295" s="336"/>
      <c r="I295" s="336"/>
      <c r="J295" s="337"/>
      <c r="K295" s="336"/>
      <c r="L295" s="338"/>
      <c r="M295" s="336"/>
      <c r="N295" s="338"/>
      <c r="O295" s="338"/>
      <c r="P295" s="336"/>
      <c r="Q295" s="338"/>
      <c r="R295" s="337"/>
      <c r="S295" s="336"/>
      <c r="T295" s="338"/>
      <c r="U295" s="336"/>
      <c r="V295" s="336"/>
      <c r="W295" s="336"/>
      <c r="X295" s="337"/>
      <c r="Y295" s="336"/>
      <c r="Z295" s="336"/>
      <c r="AA295" s="336"/>
      <c r="AB295" s="241"/>
    </row>
    <row r="296" spans="1:28" ht="24" customHeight="1">
      <c r="A296" s="336"/>
      <c r="B296" s="336"/>
      <c r="C296" s="336"/>
      <c r="D296" s="336"/>
      <c r="E296" s="336"/>
      <c r="F296" s="336"/>
      <c r="G296" s="337"/>
      <c r="H296" s="336"/>
      <c r="I296" s="336"/>
      <c r="J296" s="337"/>
      <c r="K296" s="336"/>
      <c r="L296" s="338"/>
      <c r="M296" s="336"/>
      <c r="N296" s="338"/>
      <c r="O296" s="338"/>
      <c r="P296" s="336"/>
      <c r="Q296" s="338"/>
      <c r="R296" s="337"/>
      <c r="S296" s="336"/>
      <c r="T296" s="338"/>
      <c r="U296" s="336"/>
      <c r="V296" s="336"/>
      <c r="W296" s="336"/>
      <c r="X296" s="337"/>
      <c r="Y296" s="336"/>
      <c r="Z296" s="336"/>
      <c r="AA296" s="336"/>
      <c r="AB296" s="241"/>
    </row>
    <row r="297" spans="1:28" ht="24" customHeight="1">
      <c r="A297" s="336"/>
      <c r="B297" s="336"/>
      <c r="C297" s="336"/>
      <c r="D297" s="336"/>
      <c r="E297" s="336"/>
      <c r="F297" s="336"/>
      <c r="G297" s="337"/>
      <c r="H297" s="336"/>
      <c r="I297" s="336"/>
      <c r="J297" s="337"/>
      <c r="K297" s="336"/>
      <c r="L297" s="338"/>
      <c r="M297" s="336"/>
      <c r="N297" s="338"/>
      <c r="O297" s="338"/>
      <c r="P297" s="336"/>
      <c r="Q297" s="338"/>
      <c r="R297" s="337"/>
      <c r="S297" s="336"/>
      <c r="T297" s="338"/>
      <c r="U297" s="336"/>
      <c r="V297" s="336"/>
      <c r="W297" s="336"/>
      <c r="X297" s="337"/>
      <c r="Y297" s="336"/>
      <c r="Z297" s="336"/>
      <c r="AA297" s="336"/>
      <c r="AB297" s="241"/>
    </row>
    <row r="298" spans="1:28" ht="24" customHeight="1">
      <c r="A298" s="336"/>
      <c r="B298" s="336"/>
      <c r="C298" s="336"/>
      <c r="D298" s="336"/>
      <c r="E298" s="336"/>
      <c r="F298" s="336"/>
      <c r="G298" s="337"/>
      <c r="H298" s="336"/>
      <c r="I298" s="336"/>
      <c r="J298" s="337"/>
      <c r="K298" s="336"/>
      <c r="L298" s="338"/>
      <c r="M298" s="336"/>
      <c r="N298" s="338"/>
      <c r="O298" s="338"/>
      <c r="P298" s="336"/>
      <c r="Q298" s="338"/>
      <c r="R298" s="337"/>
      <c r="S298" s="336"/>
      <c r="T298" s="338"/>
      <c r="U298" s="336"/>
      <c r="V298" s="336"/>
      <c r="W298" s="336"/>
      <c r="X298" s="337"/>
      <c r="Y298" s="336"/>
      <c r="Z298" s="336"/>
      <c r="AA298" s="336"/>
      <c r="AB298" s="241"/>
    </row>
    <row r="299" spans="1:28" ht="24" customHeight="1">
      <c r="A299" s="336"/>
      <c r="B299" s="336"/>
      <c r="C299" s="336"/>
      <c r="D299" s="336"/>
      <c r="E299" s="336"/>
      <c r="F299" s="336"/>
      <c r="G299" s="337"/>
      <c r="H299" s="336"/>
      <c r="I299" s="336"/>
      <c r="J299" s="337"/>
      <c r="K299" s="336"/>
      <c r="L299" s="338"/>
      <c r="M299" s="336"/>
      <c r="N299" s="338"/>
      <c r="O299" s="338"/>
      <c r="P299" s="336"/>
      <c r="Q299" s="338"/>
      <c r="R299" s="337"/>
      <c r="S299" s="336"/>
      <c r="T299" s="338"/>
      <c r="U299" s="336"/>
      <c r="V299" s="336"/>
      <c r="W299" s="336"/>
      <c r="X299" s="337"/>
      <c r="Y299" s="336"/>
      <c r="Z299" s="336"/>
      <c r="AA299" s="336"/>
      <c r="AB299" s="241"/>
    </row>
    <row r="300" spans="1:28" ht="24" customHeight="1">
      <c r="A300" s="336"/>
      <c r="B300" s="336"/>
      <c r="C300" s="336"/>
      <c r="D300" s="336"/>
      <c r="E300" s="336"/>
      <c r="F300" s="336"/>
      <c r="G300" s="337"/>
      <c r="H300" s="336"/>
      <c r="I300" s="336"/>
      <c r="J300" s="337"/>
      <c r="K300" s="336"/>
      <c r="L300" s="338"/>
      <c r="M300" s="336"/>
      <c r="N300" s="338"/>
      <c r="O300" s="338"/>
      <c r="P300" s="336"/>
      <c r="Q300" s="338"/>
      <c r="R300" s="337"/>
      <c r="S300" s="336"/>
      <c r="T300" s="338"/>
      <c r="U300" s="336"/>
      <c r="V300" s="336"/>
      <c r="W300" s="336"/>
      <c r="X300" s="337"/>
      <c r="Y300" s="336"/>
      <c r="Z300" s="336"/>
      <c r="AA300" s="336"/>
      <c r="AB300" s="241"/>
    </row>
    <row r="301" spans="1:28" ht="24" customHeight="1">
      <c r="A301" s="336"/>
      <c r="B301" s="336"/>
      <c r="C301" s="336"/>
      <c r="D301" s="336"/>
      <c r="E301" s="336"/>
      <c r="F301" s="336"/>
      <c r="G301" s="337"/>
      <c r="H301" s="336"/>
      <c r="I301" s="336"/>
      <c r="J301" s="337"/>
      <c r="K301" s="336"/>
      <c r="L301" s="338"/>
      <c r="M301" s="336"/>
      <c r="N301" s="338"/>
      <c r="O301" s="338"/>
      <c r="P301" s="336"/>
      <c r="Q301" s="338"/>
      <c r="R301" s="337"/>
      <c r="S301" s="336"/>
      <c r="T301" s="338"/>
      <c r="U301" s="336"/>
      <c r="V301" s="336"/>
      <c r="W301" s="336"/>
      <c r="X301" s="337"/>
      <c r="Y301" s="336"/>
      <c r="Z301" s="336"/>
      <c r="AA301" s="336"/>
      <c r="AB301" s="241"/>
    </row>
    <row r="302" spans="1:28" ht="24" customHeight="1">
      <c r="A302" s="336"/>
      <c r="B302" s="336"/>
      <c r="C302" s="336"/>
      <c r="D302" s="336"/>
      <c r="E302" s="336"/>
      <c r="F302" s="336"/>
      <c r="G302" s="337"/>
      <c r="H302" s="336"/>
      <c r="I302" s="336"/>
      <c r="J302" s="337"/>
      <c r="K302" s="336"/>
      <c r="L302" s="338"/>
      <c r="M302" s="336"/>
      <c r="N302" s="338"/>
      <c r="O302" s="338"/>
      <c r="P302" s="336"/>
      <c r="Q302" s="338"/>
      <c r="R302" s="337"/>
      <c r="S302" s="336"/>
      <c r="T302" s="338"/>
      <c r="U302" s="336"/>
      <c r="V302" s="336"/>
      <c r="W302" s="336"/>
      <c r="X302" s="337"/>
      <c r="Y302" s="336"/>
      <c r="Z302" s="336"/>
      <c r="AA302" s="336"/>
      <c r="AB302" s="241"/>
    </row>
    <row r="303" spans="1:28" ht="24" customHeight="1">
      <c r="A303" s="336"/>
      <c r="B303" s="336"/>
      <c r="C303" s="336"/>
      <c r="D303" s="336"/>
      <c r="E303" s="336"/>
      <c r="F303" s="336"/>
      <c r="G303" s="337"/>
      <c r="H303" s="336"/>
      <c r="I303" s="336"/>
      <c r="J303" s="337"/>
      <c r="K303" s="336"/>
      <c r="L303" s="338"/>
      <c r="M303" s="336"/>
      <c r="N303" s="338"/>
      <c r="O303" s="338"/>
      <c r="P303" s="336"/>
      <c r="Q303" s="338"/>
      <c r="R303" s="337"/>
      <c r="S303" s="336"/>
      <c r="T303" s="338"/>
      <c r="U303" s="336"/>
      <c r="V303" s="336"/>
      <c r="W303" s="336"/>
      <c r="X303" s="337"/>
      <c r="Y303" s="336"/>
      <c r="Z303" s="336"/>
      <c r="AA303" s="336"/>
      <c r="AB303" s="241"/>
    </row>
    <row r="304" spans="1:28" ht="24" customHeight="1">
      <c r="A304" s="336"/>
      <c r="B304" s="336"/>
      <c r="C304" s="336"/>
      <c r="D304" s="336"/>
      <c r="E304" s="336"/>
      <c r="F304" s="336"/>
      <c r="G304" s="337"/>
      <c r="H304" s="336"/>
      <c r="I304" s="336"/>
      <c r="J304" s="337"/>
      <c r="K304" s="336"/>
      <c r="L304" s="338"/>
      <c r="M304" s="336"/>
      <c r="N304" s="338"/>
      <c r="O304" s="338"/>
      <c r="P304" s="336"/>
      <c r="Q304" s="338"/>
      <c r="R304" s="337"/>
      <c r="S304" s="336"/>
      <c r="T304" s="338"/>
      <c r="U304" s="336"/>
      <c r="V304" s="336"/>
      <c r="W304" s="336"/>
      <c r="X304" s="337"/>
      <c r="Y304" s="336"/>
      <c r="Z304" s="336"/>
      <c r="AA304" s="336"/>
      <c r="AB304" s="241"/>
    </row>
    <row r="305" spans="1:28" ht="24" customHeight="1">
      <c r="A305" s="336"/>
      <c r="B305" s="336"/>
      <c r="C305" s="336"/>
      <c r="D305" s="336"/>
      <c r="E305" s="336"/>
      <c r="F305" s="336"/>
      <c r="G305" s="337"/>
      <c r="H305" s="336"/>
      <c r="I305" s="336"/>
      <c r="J305" s="337"/>
      <c r="K305" s="336"/>
      <c r="L305" s="338"/>
      <c r="M305" s="336"/>
      <c r="N305" s="338"/>
      <c r="O305" s="338"/>
      <c r="P305" s="336"/>
      <c r="Q305" s="338"/>
      <c r="R305" s="337"/>
      <c r="S305" s="336"/>
      <c r="T305" s="338"/>
      <c r="U305" s="336"/>
      <c r="V305" s="336"/>
      <c r="W305" s="336"/>
      <c r="X305" s="337"/>
      <c r="Y305" s="336"/>
      <c r="Z305" s="336"/>
      <c r="AA305" s="336"/>
      <c r="AB305" s="241"/>
    </row>
    <row r="306" spans="1:28" ht="24" customHeight="1">
      <c r="A306" s="336"/>
      <c r="B306" s="336"/>
      <c r="C306" s="336"/>
      <c r="D306" s="336"/>
      <c r="E306" s="336"/>
      <c r="F306" s="336"/>
      <c r="G306" s="337"/>
      <c r="H306" s="336"/>
      <c r="I306" s="336"/>
      <c r="J306" s="337"/>
      <c r="K306" s="336"/>
      <c r="L306" s="338"/>
      <c r="M306" s="336"/>
      <c r="N306" s="338"/>
      <c r="O306" s="338"/>
      <c r="P306" s="336"/>
      <c r="Q306" s="338"/>
      <c r="R306" s="337"/>
      <c r="S306" s="336"/>
      <c r="T306" s="338"/>
      <c r="U306" s="336"/>
      <c r="V306" s="336"/>
      <c r="W306" s="336"/>
      <c r="X306" s="337"/>
      <c r="Y306" s="336"/>
      <c r="Z306" s="336"/>
      <c r="AA306" s="336"/>
      <c r="AB306" s="241"/>
    </row>
    <row r="307" spans="1:28" ht="24" customHeight="1">
      <c r="A307" s="336"/>
      <c r="B307" s="336"/>
      <c r="C307" s="336"/>
      <c r="D307" s="336"/>
      <c r="E307" s="336"/>
      <c r="F307" s="336"/>
      <c r="G307" s="337"/>
      <c r="H307" s="336"/>
      <c r="I307" s="336"/>
      <c r="J307" s="337"/>
      <c r="K307" s="336"/>
      <c r="L307" s="338"/>
      <c r="M307" s="336"/>
      <c r="N307" s="338"/>
      <c r="O307" s="338"/>
      <c r="P307" s="336"/>
      <c r="Q307" s="338"/>
      <c r="R307" s="337"/>
      <c r="S307" s="336"/>
      <c r="T307" s="338"/>
      <c r="U307" s="336"/>
      <c r="V307" s="336"/>
      <c r="W307" s="336"/>
      <c r="X307" s="337"/>
      <c r="Y307" s="336"/>
      <c r="Z307" s="336"/>
      <c r="AA307" s="336"/>
      <c r="AB307" s="241"/>
    </row>
    <row r="308" spans="1:28" ht="24" customHeight="1">
      <c r="A308" s="336"/>
      <c r="B308" s="336"/>
      <c r="C308" s="336"/>
      <c r="D308" s="336"/>
      <c r="E308" s="336"/>
      <c r="F308" s="336"/>
      <c r="G308" s="337"/>
      <c r="H308" s="336"/>
      <c r="I308" s="336"/>
      <c r="J308" s="337"/>
      <c r="K308" s="336"/>
      <c r="L308" s="338"/>
      <c r="M308" s="336"/>
      <c r="N308" s="338"/>
      <c r="O308" s="338"/>
      <c r="P308" s="336"/>
      <c r="Q308" s="338"/>
      <c r="R308" s="337"/>
      <c r="S308" s="336"/>
      <c r="T308" s="338"/>
      <c r="U308" s="336"/>
      <c r="V308" s="336"/>
      <c r="W308" s="336"/>
      <c r="X308" s="337"/>
      <c r="Y308" s="336"/>
      <c r="Z308" s="336"/>
      <c r="AA308" s="336"/>
      <c r="AB308" s="241"/>
    </row>
    <row r="309" spans="1:28" ht="24" customHeight="1">
      <c r="A309" s="336"/>
      <c r="B309" s="336"/>
      <c r="C309" s="336"/>
      <c r="D309" s="336"/>
      <c r="E309" s="336"/>
      <c r="F309" s="336"/>
      <c r="G309" s="337"/>
      <c r="H309" s="336"/>
      <c r="I309" s="336"/>
      <c r="J309" s="337"/>
      <c r="K309" s="336"/>
      <c r="L309" s="338"/>
      <c r="M309" s="336"/>
      <c r="N309" s="338"/>
      <c r="O309" s="338"/>
      <c r="P309" s="336"/>
      <c r="Q309" s="338"/>
      <c r="R309" s="337"/>
      <c r="S309" s="336"/>
      <c r="T309" s="338"/>
      <c r="U309" s="336"/>
      <c r="V309" s="336"/>
      <c r="W309" s="336"/>
      <c r="X309" s="337"/>
      <c r="Y309" s="336"/>
      <c r="Z309" s="336"/>
      <c r="AA309" s="336"/>
      <c r="AB309" s="241"/>
    </row>
    <row r="310" spans="1:28" ht="24" customHeight="1">
      <c r="A310" s="336"/>
      <c r="B310" s="336"/>
      <c r="C310" s="336"/>
      <c r="D310" s="336"/>
      <c r="E310" s="336"/>
      <c r="F310" s="336"/>
      <c r="G310" s="337"/>
      <c r="H310" s="336"/>
      <c r="I310" s="336"/>
      <c r="J310" s="337"/>
      <c r="K310" s="336"/>
      <c r="L310" s="338"/>
      <c r="M310" s="336"/>
      <c r="N310" s="338"/>
      <c r="O310" s="338"/>
      <c r="P310" s="336"/>
      <c r="Q310" s="338"/>
      <c r="R310" s="337"/>
      <c r="S310" s="336"/>
      <c r="T310" s="338"/>
      <c r="U310" s="336"/>
      <c r="V310" s="336"/>
      <c r="W310" s="336"/>
      <c r="X310" s="337"/>
      <c r="Y310" s="336"/>
      <c r="Z310" s="336"/>
      <c r="AA310" s="336"/>
      <c r="AB310" s="241"/>
    </row>
    <row r="311" spans="1:28" ht="24" customHeight="1">
      <c r="A311" s="336"/>
      <c r="B311" s="336"/>
      <c r="C311" s="336"/>
      <c r="D311" s="336"/>
      <c r="E311" s="336"/>
      <c r="F311" s="336"/>
      <c r="G311" s="337"/>
      <c r="H311" s="336"/>
      <c r="I311" s="336"/>
      <c r="J311" s="337"/>
      <c r="K311" s="336"/>
      <c r="L311" s="338"/>
      <c r="M311" s="336"/>
      <c r="N311" s="338"/>
      <c r="O311" s="338"/>
      <c r="P311" s="336"/>
      <c r="Q311" s="338"/>
      <c r="R311" s="337"/>
      <c r="S311" s="336"/>
      <c r="T311" s="338"/>
      <c r="U311" s="336"/>
      <c r="V311" s="336"/>
      <c r="W311" s="336"/>
      <c r="X311" s="337"/>
      <c r="Y311" s="336"/>
      <c r="Z311" s="336"/>
      <c r="AA311" s="336"/>
      <c r="AB311" s="241"/>
    </row>
    <row r="312" spans="1:28" ht="24" customHeight="1">
      <c r="A312" s="336"/>
      <c r="B312" s="336"/>
      <c r="C312" s="336"/>
      <c r="D312" s="336"/>
      <c r="E312" s="336"/>
      <c r="F312" s="336"/>
      <c r="G312" s="337"/>
      <c r="H312" s="336"/>
      <c r="I312" s="336"/>
      <c r="J312" s="337"/>
      <c r="K312" s="336"/>
      <c r="L312" s="338"/>
      <c r="M312" s="336"/>
      <c r="N312" s="338"/>
      <c r="O312" s="338"/>
      <c r="P312" s="336"/>
      <c r="Q312" s="338"/>
      <c r="R312" s="337"/>
      <c r="S312" s="336"/>
      <c r="T312" s="338"/>
      <c r="U312" s="336"/>
      <c r="V312" s="336"/>
      <c r="W312" s="336"/>
      <c r="X312" s="337"/>
      <c r="Y312" s="336"/>
      <c r="Z312" s="336"/>
      <c r="AA312" s="336"/>
      <c r="AB312" s="241"/>
    </row>
    <row r="313" spans="1:28" ht="24" customHeight="1">
      <c r="A313" s="336"/>
      <c r="B313" s="336"/>
      <c r="C313" s="336"/>
      <c r="D313" s="336"/>
      <c r="E313" s="336"/>
      <c r="F313" s="336"/>
      <c r="G313" s="337"/>
      <c r="H313" s="336"/>
      <c r="I313" s="336"/>
      <c r="J313" s="337"/>
      <c r="K313" s="336"/>
      <c r="L313" s="338"/>
      <c r="M313" s="336"/>
      <c r="N313" s="338"/>
      <c r="O313" s="338"/>
      <c r="P313" s="336"/>
      <c r="Q313" s="338"/>
      <c r="R313" s="337"/>
      <c r="S313" s="336"/>
      <c r="T313" s="338"/>
      <c r="U313" s="336"/>
      <c r="V313" s="336"/>
      <c r="W313" s="336"/>
      <c r="X313" s="337"/>
      <c r="Y313" s="336"/>
      <c r="Z313" s="336"/>
      <c r="AA313" s="336"/>
      <c r="AB313" s="241"/>
    </row>
    <row r="314" spans="1:28" ht="24" customHeight="1">
      <c r="A314" s="336"/>
      <c r="B314" s="336"/>
      <c r="C314" s="336"/>
      <c r="D314" s="336"/>
      <c r="E314" s="336"/>
      <c r="F314" s="336"/>
      <c r="G314" s="337"/>
      <c r="H314" s="336"/>
      <c r="I314" s="336"/>
      <c r="J314" s="337"/>
      <c r="K314" s="336"/>
      <c r="L314" s="338"/>
      <c r="M314" s="336"/>
      <c r="N314" s="338"/>
      <c r="O314" s="338"/>
      <c r="P314" s="336"/>
      <c r="Q314" s="338"/>
      <c r="R314" s="337"/>
      <c r="S314" s="336"/>
      <c r="T314" s="338"/>
      <c r="U314" s="336"/>
      <c r="V314" s="336"/>
      <c r="W314" s="336"/>
      <c r="X314" s="337"/>
      <c r="Y314" s="336"/>
      <c r="Z314" s="336"/>
      <c r="AA314" s="336"/>
      <c r="AB314" s="241"/>
    </row>
    <row r="315" spans="1:28" ht="15.75" customHeight="1">
      <c r="A315" s="339"/>
      <c r="B315" s="339"/>
      <c r="C315" s="339"/>
      <c r="D315" s="339"/>
      <c r="E315" s="339"/>
      <c r="F315" s="339"/>
      <c r="G315" s="340"/>
      <c r="H315" s="339"/>
      <c r="I315" s="339"/>
      <c r="J315" s="340"/>
      <c r="K315" s="339"/>
      <c r="L315" s="341"/>
      <c r="M315" s="339"/>
      <c r="N315" s="341"/>
      <c r="O315" s="341"/>
      <c r="P315" s="339"/>
      <c r="Q315" s="341"/>
      <c r="R315" s="340"/>
      <c r="S315" s="339"/>
      <c r="T315" s="341"/>
      <c r="U315" s="339"/>
      <c r="V315" s="339"/>
      <c r="W315" s="339"/>
      <c r="X315" s="340"/>
      <c r="Y315" s="339"/>
      <c r="Z315" s="339"/>
      <c r="AA315" s="339"/>
      <c r="AB315" s="342"/>
    </row>
    <row r="316" spans="1:28" ht="15.75" customHeight="1">
      <c r="A316" s="339"/>
      <c r="B316" s="339"/>
      <c r="C316" s="339"/>
      <c r="D316" s="339"/>
      <c r="E316" s="339"/>
      <c r="F316" s="339"/>
      <c r="G316" s="340"/>
      <c r="H316" s="339"/>
      <c r="I316" s="339"/>
      <c r="J316" s="340"/>
      <c r="K316" s="339"/>
      <c r="L316" s="341"/>
      <c r="M316" s="339"/>
      <c r="N316" s="341"/>
      <c r="O316" s="341"/>
      <c r="P316" s="339"/>
      <c r="Q316" s="341"/>
      <c r="R316" s="340"/>
      <c r="S316" s="339"/>
      <c r="T316" s="341"/>
      <c r="U316" s="339"/>
      <c r="V316" s="339"/>
      <c r="W316" s="339"/>
      <c r="X316" s="340"/>
      <c r="Y316" s="339"/>
      <c r="Z316" s="339"/>
      <c r="AA316" s="339"/>
      <c r="AB316" s="342"/>
    </row>
    <row r="317" spans="1:28" ht="15.75" customHeight="1">
      <c r="A317" s="339"/>
      <c r="B317" s="339"/>
      <c r="C317" s="339"/>
      <c r="D317" s="339"/>
      <c r="E317" s="339"/>
      <c r="F317" s="339"/>
      <c r="G317" s="340"/>
      <c r="H317" s="339"/>
      <c r="I317" s="339"/>
      <c r="J317" s="340"/>
      <c r="K317" s="339"/>
      <c r="L317" s="341"/>
      <c r="M317" s="339"/>
      <c r="N317" s="341"/>
      <c r="O317" s="341"/>
      <c r="P317" s="339"/>
      <c r="Q317" s="341"/>
      <c r="R317" s="340"/>
      <c r="S317" s="339"/>
      <c r="T317" s="341"/>
      <c r="U317" s="339"/>
      <c r="V317" s="339"/>
      <c r="W317" s="339"/>
      <c r="X317" s="340"/>
      <c r="Y317" s="339"/>
      <c r="Z317" s="339"/>
      <c r="AA317" s="339"/>
      <c r="AB317" s="342"/>
    </row>
    <row r="318" spans="1:28" ht="15.75" customHeight="1">
      <c r="A318" s="339"/>
      <c r="B318" s="339"/>
      <c r="C318" s="339"/>
      <c r="D318" s="339"/>
      <c r="E318" s="339"/>
      <c r="F318" s="339"/>
      <c r="G318" s="340"/>
      <c r="H318" s="339"/>
      <c r="I318" s="339"/>
      <c r="J318" s="340"/>
      <c r="K318" s="339"/>
      <c r="L318" s="341"/>
      <c r="M318" s="339"/>
      <c r="N318" s="341"/>
      <c r="O318" s="341"/>
      <c r="P318" s="339"/>
      <c r="Q318" s="341"/>
      <c r="R318" s="340"/>
      <c r="S318" s="339"/>
      <c r="T318" s="341"/>
      <c r="U318" s="339"/>
      <c r="V318" s="339"/>
      <c r="W318" s="339"/>
      <c r="X318" s="340"/>
      <c r="Y318" s="339"/>
      <c r="Z318" s="339"/>
      <c r="AA318" s="339"/>
      <c r="AB318" s="342"/>
    </row>
    <row r="319" spans="1:28" ht="15.75" customHeight="1">
      <c r="A319" s="339"/>
      <c r="B319" s="339"/>
      <c r="C319" s="339"/>
      <c r="D319" s="339"/>
      <c r="E319" s="339"/>
      <c r="F319" s="339"/>
      <c r="G319" s="340"/>
      <c r="H319" s="339"/>
      <c r="I319" s="339"/>
      <c r="J319" s="340"/>
      <c r="K319" s="339"/>
      <c r="L319" s="341"/>
      <c r="M319" s="339"/>
      <c r="N319" s="341"/>
      <c r="O319" s="341"/>
      <c r="P319" s="339"/>
      <c r="Q319" s="341"/>
      <c r="R319" s="340"/>
      <c r="S319" s="339"/>
      <c r="T319" s="341"/>
      <c r="U319" s="339"/>
      <c r="V319" s="339"/>
      <c r="W319" s="339"/>
      <c r="X319" s="340"/>
      <c r="Y319" s="339"/>
      <c r="Z319" s="339"/>
      <c r="AA319" s="339"/>
      <c r="AB319" s="342"/>
    </row>
    <row r="320" spans="1:28" ht="15.75" customHeight="1">
      <c r="A320" s="339"/>
      <c r="B320" s="339"/>
      <c r="C320" s="339"/>
      <c r="D320" s="339"/>
      <c r="E320" s="339"/>
      <c r="F320" s="339"/>
      <c r="G320" s="340"/>
      <c r="H320" s="339"/>
      <c r="I320" s="339"/>
      <c r="J320" s="340"/>
      <c r="K320" s="339"/>
      <c r="L320" s="341"/>
      <c r="M320" s="339"/>
      <c r="N320" s="341"/>
      <c r="O320" s="341"/>
      <c r="P320" s="339"/>
      <c r="Q320" s="341"/>
      <c r="R320" s="340"/>
      <c r="S320" s="339"/>
      <c r="T320" s="341"/>
      <c r="U320" s="339"/>
      <c r="V320" s="339"/>
      <c r="W320" s="339"/>
      <c r="X320" s="340"/>
      <c r="Y320" s="339"/>
      <c r="Z320" s="339"/>
      <c r="AA320" s="339"/>
      <c r="AB320" s="342"/>
    </row>
    <row r="321" spans="1:28" ht="15.75" customHeight="1">
      <c r="A321" s="339"/>
      <c r="B321" s="339"/>
      <c r="C321" s="339"/>
      <c r="D321" s="339"/>
      <c r="E321" s="339"/>
      <c r="F321" s="339"/>
      <c r="G321" s="340"/>
      <c r="H321" s="339"/>
      <c r="I321" s="339"/>
      <c r="J321" s="340"/>
      <c r="K321" s="339"/>
      <c r="L321" s="341"/>
      <c r="M321" s="339"/>
      <c r="N321" s="341"/>
      <c r="O321" s="341"/>
      <c r="P321" s="339"/>
      <c r="Q321" s="341"/>
      <c r="R321" s="340"/>
      <c r="S321" s="339"/>
      <c r="T321" s="341"/>
      <c r="U321" s="339"/>
      <c r="V321" s="339"/>
      <c r="W321" s="339"/>
      <c r="X321" s="340"/>
      <c r="Y321" s="339"/>
      <c r="Z321" s="339"/>
      <c r="AA321" s="339"/>
      <c r="AB321" s="342"/>
    </row>
    <row r="322" spans="1:28" ht="15.75" customHeight="1">
      <c r="A322" s="339"/>
      <c r="B322" s="339"/>
      <c r="C322" s="339"/>
      <c r="D322" s="339"/>
      <c r="E322" s="339"/>
      <c r="F322" s="339"/>
      <c r="G322" s="340"/>
      <c r="H322" s="339"/>
      <c r="I322" s="339"/>
      <c r="J322" s="340"/>
      <c r="K322" s="339"/>
      <c r="L322" s="341"/>
      <c r="M322" s="339"/>
      <c r="N322" s="341"/>
      <c r="O322" s="341"/>
      <c r="P322" s="339"/>
      <c r="Q322" s="341"/>
      <c r="R322" s="340"/>
      <c r="S322" s="339"/>
      <c r="T322" s="341"/>
      <c r="U322" s="339"/>
      <c r="V322" s="339"/>
      <c r="W322" s="339"/>
      <c r="X322" s="340"/>
      <c r="Y322" s="339"/>
      <c r="Z322" s="339"/>
      <c r="AA322" s="339"/>
      <c r="AB322" s="342"/>
    </row>
    <row r="323" spans="1:28" ht="15.75" customHeight="1">
      <c r="A323" s="339"/>
      <c r="B323" s="339"/>
      <c r="C323" s="339"/>
      <c r="D323" s="339"/>
      <c r="E323" s="339"/>
      <c r="F323" s="339"/>
      <c r="G323" s="340"/>
      <c r="H323" s="339"/>
      <c r="I323" s="339"/>
      <c r="J323" s="340"/>
      <c r="K323" s="339"/>
      <c r="L323" s="341"/>
      <c r="M323" s="339"/>
      <c r="N323" s="341"/>
      <c r="O323" s="341"/>
      <c r="P323" s="339"/>
      <c r="Q323" s="341"/>
      <c r="R323" s="340"/>
      <c r="S323" s="339"/>
      <c r="T323" s="341"/>
      <c r="U323" s="339"/>
      <c r="V323" s="339"/>
      <c r="W323" s="339"/>
      <c r="X323" s="340"/>
      <c r="Y323" s="339"/>
      <c r="Z323" s="339"/>
      <c r="AA323" s="339"/>
      <c r="AB323" s="342"/>
    </row>
    <row r="324" spans="1:28" ht="15.75" customHeight="1">
      <c r="A324" s="339"/>
      <c r="B324" s="339"/>
      <c r="C324" s="339"/>
      <c r="D324" s="339"/>
      <c r="E324" s="339"/>
      <c r="F324" s="339"/>
      <c r="G324" s="340"/>
      <c r="H324" s="339"/>
      <c r="I324" s="339"/>
      <c r="J324" s="340"/>
      <c r="K324" s="339"/>
      <c r="L324" s="341"/>
      <c r="M324" s="339"/>
      <c r="N324" s="341"/>
      <c r="O324" s="341"/>
      <c r="P324" s="339"/>
      <c r="Q324" s="341"/>
      <c r="R324" s="340"/>
      <c r="S324" s="339"/>
      <c r="T324" s="341"/>
      <c r="U324" s="339"/>
      <c r="V324" s="339"/>
      <c r="W324" s="339"/>
      <c r="X324" s="340"/>
      <c r="Y324" s="339"/>
      <c r="Z324" s="339"/>
      <c r="AA324" s="339"/>
      <c r="AB324" s="342"/>
    </row>
    <row r="325" spans="1:28" ht="15.75" customHeight="1">
      <c r="A325" s="339"/>
      <c r="B325" s="339"/>
      <c r="C325" s="339"/>
      <c r="D325" s="339"/>
      <c r="E325" s="339"/>
      <c r="F325" s="339"/>
      <c r="G325" s="340"/>
      <c r="H325" s="339"/>
      <c r="I325" s="339"/>
      <c r="J325" s="340"/>
      <c r="K325" s="339"/>
      <c r="L325" s="341"/>
      <c r="M325" s="339"/>
      <c r="N325" s="341"/>
      <c r="O325" s="341"/>
      <c r="P325" s="339"/>
      <c r="Q325" s="341"/>
      <c r="R325" s="340"/>
      <c r="S325" s="339"/>
      <c r="T325" s="341"/>
      <c r="U325" s="339"/>
      <c r="V325" s="339"/>
      <c r="W325" s="339"/>
      <c r="X325" s="340"/>
      <c r="Y325" s="339"/>
      <c r="Z325" s="339"/>
      <c r="AA325" s="339"/>
      <c r="AB325" s="342"/>
    </row>
    <row r="326" spans="1:28" ht="15.75" customHeight="1">
      <c r="A326" s="339"/>
      <c r="B326" s="339"/>
      <c r="C326" s="339"/>
      <c r="D326" s="339"/>
      <c r="E326" s="339"/>
      <c r="F326" s="339"/>
      <c r="G326" s="340"/>
      <c r="H326" s="339"/>
      <c r="I326" s="339"/>
      <c r="J326" s="340"/>
      <c r="K326" s="339"/>
      <c r="L326" s="341"/>
      <c r="M326" s="339"/>
      <c r="N326" s="341"/>
      <c r="O326" s="341"/>
      <c r="P326" s="339"/>
      <c r="Q326" s="341"/>
      <c r="R326" s="340"/>
      <c r="S326" s="339"/>
      <c r="T326" s="341"/>
      <c r="U326" s="339"/>
      <c r="V326" s="339"/>
      <c r="W326" s="339"/>
      <c r="X326" s="340"/>
      <c r="Y326" s="339"/>
      <c r="Z326" s="339"/>
      <c r="AA326" s="339"/>
      <c r="AB326" s="342"/>
    </row>
    <row r="327" spans="1:28" ht="15.75" customHeight="1">
      <c r="A327" s="339"/>
      <c r="B327" s="339"/>
      <c r="C327" s="339"/>
      <c r="D327" s="339"/>
      <c r="E327" s="339"/>
      <c r="F327" s="339"/>
      <c r="G327" s="340"/>
      <c r="H327" s="339"/>
      <c r="I327" s="339"/>
      <c r="J327" s="340"/>
      <c r="K327" s="339"/>
      <c r="L327" s="341"/>
      <c r="M327" s="339"/>
      <c r="N327" s="341"/>
      <c r="O327" s="341"/>
      <c r="P327" s="339"/>
      <c r="Q327" s="341"/>
      <c r="R327" s="340"/>
      <c r="S327" s="339"/>
      <c r="T327" s="341"/>
      <c r="U327" s="339"/>
      <c r="V327" s="339"/>
      <c r="W327" s="339"/>
      <c r="X327" s="340"/>
      <c r="Y327" s="339"/>
      <c r="Z327" s="339"/>
      <c r="AA327" s="339"/>
      <c r="AB327" s="342"/>
    </row>
    <row r="328" spans="1:28" ht="15.75" customHeight="1">
      <c r="A328" s="339"/>
      <c r="B328" s="339"/>
      <c r="C328" s="339"/>
      <c r="D328" s="339"/>
      <c r="E328" s="339"/>
      <c r="F328" s="339"/>
      <c r="G328" s="340"/>
      <c r="H328" s="339"/>
      <c r="I328" s="339"/>
      <c r="J328" s="340"/>
      <c r="K328" s="339"/>
      <c r="L328" s="341"/>
      <c r="M328" s="339"/>
      <c r="N328" s="341"/>
      <c r="O328" s="341"/>
      <c r="P328" s="339"/>
      <c r="Q328" s="341"/>
      <c r="R328" s="340"/>
      <c r="S328" s="339"/>
      <c r="T328" s="341"/>
      <c r="U328" s="339"/>
      <c r="V328" s="339"/>
      <c r="W328" s="339"/>
      <c r="X328" s="340"/>
      <c r="Y328" s="339"/>
      <c r="Z328" s="339"/>
      <c r="AA328" s="339"/>
      <c r="AB328" s="342"/>
    </row>
    <row r="329" spans="1:28" ht="15.75" customHeight="1">
      <c r="A329" s="339"/>
      <c r="B329" s="339"/>
      <c r="C329" s="339"/>
      <c r="D329" s="339"/>
      <c r="E329" s="339"/>
      <c r="F329" s="339"/>
      <c r="G329" s="340"/>
      <c r="H329" s="339"/>
      <c r="I329" s="339"/>
      <c r="J329" s="340"/>
      <c r="K329" s="339"/>
      <c r="L329" s="341"/>
      <c r="M329" s="339"/>
      <c r="N329" s="341"/>
      <c r="O329" s="341"/>
      <c r="P329" s="339"/>
      <c r="Q329" s="341"/>
      <c r="R329" s="340"/>
      <c r="S329" s="339"/>
      <c r="T329" s="341"/>
      <c r="U329" s="339"/>
      <c r="V329" s="339"/>
      <c r="W329" s="339"/>
      <c r="X329" s="340"/>
      <c r="Y329" s="339"/>
      <c r="Z329" s="339"/>
      <c r="AA329" s="339"/>
      <c r="AB329" s="342"/>
    </row>
    <row r="330" spans="1:28" ht="15.75" customHeight="1">
      <c r="A330" s="339"/>
      <c r="B330" s="339"/>
      <c r="C330" s="339"/>
      <c r="D330" s="339"/>
      <c r="E330" s="339"/>
      <c r="F330" s="339"/>
      <c r="G330" s="340"/>
      <c r="H330" s="339"/>
      <c r="I330" s="339"/>
      <c r="J330" s="340"/>
      <c r="K330" s="339"/>
      <c r="L330" s="341"/>
      <c r="M330" s="339"/>
      <c r="N330" s="341"/>
      <c r="O330" s="341"/>
      <c r="P330" s="339"/>
      <c r="Q330" s="341"/>
      <c r="R330" s="340"/>
      <c r="S330" s="339"/>
      <c r="T330" s="341"/>
      <c r="U330" s="339"/>
      <c r="V330" s="339"/>
      <c r="W330" s="339"/>
      <c r="X330" s="340"/>
      <c r="Y330" s="339"/>
      <c r="Z330" s="339"/>
      <c r="AA330" s="339"/>
      <c r="AB330" s="342"/>
    </row>
    <row r="331" spans="1:28" ht="15.75" customHeight="1">
      <c r="A331" s="339"/>
      <c r="B331" s="339"/>
      <c r="C331" s="339"/>
      <c r="D331" s="339"/>
      <c r="E331" s="339"/>
      <c r="F331" s="339"/>
      <c r="G331" s="340"/>
      <c r="H331" s="339"/>
      <c r="I331" s="339"/>
      <c r="J331" s="340"/>
      <c r="K331" s="339"/>
      <c r="L331" s="341"/>
      <c r="M331" s="339"/>
      <c r="N331" s="341"/>
      <c r="O331" s="341"/>
      <c r="P331" s="339"/>
      <c r="Q331" s="341"/>
      <c r="R331" s="340"/>
      <c r="S331" s="339"/>
      <c r="T331" s="341"/>
      <c r="U331" s="339"/>
      <c r="V331" s="339"/>
      <c r="W331" s="339"/>
      <c r="X331" s="340"/>
      <c r="Y331" s="339"/>
      <c r="Z331" s="339"/>
      <c r="AA331" s="339"/>
      <c r="AB331" s="342"/>
    </row>
    <row r="332" spans="1:28" ht="15.75" customHeight="1">
      <c r="A332" s="339"/>
      <c r="B332" s="339"/>
      <c r="C332" s="339"/>
      <c r="D332" s="339"/>
      <c r="E332" s="339"/>
      <c r="F332" s="339"/>
      <c r="G332" s="340"/>
      <c r="H332" s="339"/>
      <c r="I332" s="339"/>
      <c r="J332" s="340"/>
      <c r="K332" s="339"/>
      <c r="L332" s="341"/>
      <c r="M332" s="339"/>
      <c r="N332" s="341"/>
      <c r="O332" s="341"/>
      <c r="P332" s="339"/>
      <c r="Q332" s="341"/>
      <c r="R332" s="340"/>
      <c r="S332" s="339"/>
      <c r="T332" s="341"/>
      <c r="U332" s="339"/>
      <c r="V332" s="339"/>
      <c r="W332" s="339"/>
      <c r="X332" s="340"/>
      <c r="Y332" s="339"/>
      <c r="Z332" s="339"/>
      <c r="AA332" s="339"/>
      <c r="AB332" s="342"/>
    </row>
    <row r="333" spans="1:28" ht="15.75" customHeight="1">
      <c r="A333" s="339"/>
      <c r="B333" s="339"/>
      <c r="C333" s="339"/>
      <c r="D333" s="339"/>
      <c r="E333" s="339"/>
      <c r="F333" s="339"/>
      <c r="G333" s="340"/>
      <c r="H333" s="339"/>
      <c r="I333" s="339"/>
      <c r="J333" s="340"/>
      <c r="K333" s="339"/>
      <c r="L333" s="341"/>
      <c r="M333" s="339"/>
      <c r="N333" s="341"/>
      <c r="O333" s="341"/>
      <c r="P333" s="339"/>
      <c r="Q333" s="341"/>
      <c r="R333" s="340"/>
      <c r="S333" s="339"/>
      <c r="T333" s="341"/>
      <c r="U333" s="339"/>
      <c r="V333" s="339"/>
      <c r="W333" s="339"/>
      <c r="X333" s="340"/>
      <c r="Y333" s="339"/>
      <c r="Z333" s="339"/>
      <c r="AA333" s="339"/>
      <c r="AB333" s="342"/>
    </row>
    <row r="334" spans="1:28" ht="15.75" customHeight="1">
      <c r="A334" s="339"/>
      <c r="B334" s="339"/>
      <c r="C334" s="339"/>
      <c r="D334" s="339"/>
      <c r="E334" s="339"/>
      <c r="F334" s="339"/>
      <c r="G334" s="340"/>
      <c r="H334" s="339"/>
      <c r="I334" s="339"/>
      <c r="J334" s="340"/>
      <c r="K334" s="339"/>
      <c r="L334" s="341"/>
      <c r="M334" s="339"/>
      <c r="N334" s="341"/>
      <c r="O334" s="341"/>
      <c r="P334" s="339"/>
      <c r="Q334" s="341"/>
      <c r="R334" s="340"/>
      <c r="S334" s="339"/>
      <c r="T334" s="341"/>
      <c r="U334" s="339"/>
      <c r="V334" s="339"/>
      <c r="W334" s="339"/>
      <c r="X334" s="340"/>
      <c r="Y334" s="339"/>
      <c r="Z334" s="339"/>
      <c r="AA334" s="339"/>
      <c r="AB334" s="342"/>
    </row>
    <row r="335" spans="1:28" ht="15.75" customHeight="1">
      <c r="A335" s="339"/>
      <c r="B335" s="339"/>
      <c r="C335" s="339"/>
      <c r="D335" s="339"/>
      <c r="E335" s="339"/>
      <c r="F335" s="339"/>
      <c r="G335" s="340"/>
      <c r="H335" s="339"/>
      <c r="I335" s="339"/>
      <c r="J335" s="340"/>
      <c r="K335" s="339"/>
      <c r="L335" s="341"/>
      <c r="M335" s="339"/>
      <c r="N335" s="341"/>
      <c r="O335" s="341"/>
      <c r="P335" s="339"/>
      <c r="Q335" s="341"/>
      <c r="R335" s="340"/>
      <c r="S335" s="339"/>
      <c r="T335" s="341"/>
      <c r="U335" s="339"/>
      <c r="V335" s="339"/>
      <c r="W335" s="339"/>
      <c r="X335" s="340"/>
      <c r="Y335" s="339"/>
      <c r="Z335" s="339"/>
      <c r="AA335" s="339"/>
      <c r="AB335" s="342"/>
    </row>
    <row r="336" spans="1:28" ht="15.75" customHeight="1">
      <c r="A336" s="339"/>
      <c r="B336" s="339"/>
      <c r="C336" s="339"/>
      <c r="D336" s="339"/>
      <c r="E336" s="339"/>
      <c r="F336" s="339"/>
      <c r="G336" s="340"/>
      <c r="H336" s="339"/>
      <c r="I336" s="339"/>
      <c r="J336" s="340"/>
      <c r="K336" s="339"/>
      <c r="L336" s="341"/>
      <c r="M336" s="339"/>
      <c r="N336" s="341"/>
      <c r="O336" s="341"/>
      <c r="P336" s="339"/>
      <c r="Q336" s="341"/>
      <c r="R336" s="340"/>
      <c r="S336" s="339"/>
      <c r="T336" s="341"/>
      <c r="U336" s="339"/>
      <c r="V336" s="339"/>
      <c r="W336" s="339"/>
      <c r="X336" s="340"/>
      <c r="Y336" s="339"/>
      <c r="Z336" s="339"/>
      <c r="AA336" s="339"/>
      <c r="AB336" s="342"/>
    </row>
    <row r="337" spans="1:28" ht="15.75" customHeight="1">
      <c r="A337" s="339"/>
      <c r="B337" s="339"/>
      <c r="C337" s="339"/>
      <c r="D337" s="339"/>
      <c r="E337" s="339"/>
      <c r="F337" s="339"/>
      <c r="G337" s="340"/>
      <c r="H337" s="339"/>
      <c r="I337" s="339"/>
      <c r="J337" s="340"/>
      <c r="K337" s="339"/>
      <c r="L337" s="341"/>
      <c r="M337" s="339"/>
      <c r="N337" s="341"/>
      <c r="O337" s="341"/>
      <c r="P337" s="339"/>
      <c r="Q337" s="341"/>
      <c r="R337" s="340"/>
      <c r="S337" s="339"/>
      <c r="T337" s="341"/>
      <c r="U337" s="339"/>
      <c r="V337" s="339"/>
      <c r="W337" s="339"/>
      <c r="X337" s="340"/>
      <c r="Y337" s="339"/>
      <c r="Z337" s="339"/>
      <c r="AA337" s="339"/>
      <c r="AB337" s="342"/>
    </row>
    <row r="338" spans="1:28" ht="15.75" customHeight="1">
      <c r="A338" s="339"/>
      <c r="B338" s="339"/>
      <c r="C338" s="339"/>
      <c r="D338" s="339"/>
      <c r="E338" s="339"/>
      <c r="F338" s="339"/>
      <c r="G338" s="340"/>
      <c r="H338" s="339"/>
      <c r="I338" s="339"/>
      <c r="J338" s="340"/>
      <c r="K338" s="339"/>
      <c r="L338" s="341"/>
      <c r="M338" s="339"/>
      <c r="N338" s="341"/>
      <c r="O338" s="341"/>
      <c r="P338" s="339"/>
      <c r="Q338" s="341"/>
      <c r="R338" s="340"/>
      <c r="S338" s="339"/>
      <c r="T338" s="341"/>
      <c r="U338" s="339"/>
      <c r="V338" s="339"/>
      <c r="W338" s="339"/>
      <c r="X338" s="340"/>
      <c r="Y338" s="339"/>
      <c r="Z338" s="339"/>
      <c r="AA338" s="339"/>
      <c r="AB338" s="342"/>
    </row>
    <row r="339" spans="1:28" ht="15.75" customHeight="1">
      <c r="A339" s="339"/>
      <c r="B339" s="339"/>
      <c r="C339" s="339"/>
      <c r="D339" s="339"/>
      <c r="E339" s="339"/>
      <c r="F339" s="339"/>
      <c r="G339" s="340"/>
      <c r="H339" s="339"/>
      <c r="I339" s="339"/>
      <c r="J339" s="340"/>
      <c r="K339" s="339"/>
      <c r="L339" s="341"/>
      <c r="M339" s="339"/>
      <c r="N339" s="341"/>
      <c r="O339" s="341"/>
      <c r="P339" s="339"/>
      <c r="Q339" s="341"/>
      <c r="R339" s="340"/>
      <c r="S339" s="339"/>
      <c r="T339" s="341"/>
      <c r="U339" s="339"/>
      <c r="V339" s="339"/>
      <c r="W339" s="339"/>
      <c r="X339" s="340"/>
      <c r="Y339" s="339"/>
      <c r="Z339" s="339"/>
      <c r="AA339" s="339"/>
      <c r="AB339" s="342"/>
    </row>
    <row r="340" spans="1:28" ht="15.75" customHeight="1">
      <c r="A340" s="339"/>
      <c r="B340" s="339"/>
      <c r="C340" s="339"/>
      <c r="D340" s="339"/>
      <c r="E340" s="339"/>
      <c r="F340" s="339"/>
      <c r="G340" s="340"/>
      <c r="H340" s="339"/>
      <c r="I340" s="339"/>
      <c r="J340" s="340"/>
      <c r="K340" s="339"/>
      <c r="L340" s="341"/>
      <c r="M340" s="339"/>
      <c r="N340" s="341"/>
      <c r="O340" s="341"/>
      <c r="P340" s="339"/>
      <c r="Q340" s="341"/>
      <c r="R340" s="340"/>
      <c r="S340" s="339"/>
      <c r="T340" s="341"/>
      <c r="U340" s="339"/>
      <c r="V340" s="339"/>
      <c r="W340" s="339"/>
      <c r="X340" s="340"/>
      <c r="Y340" s="339"/>
      <c r="Z340" s="339"/>
      <c r="AA340" s="339"/>
      <c r="AB340" s="342"/>
    </row>
    <row r="341" spans="1:28" ht="15.75" customHeight="1">
      <c r="A341" s="339"/>
      <c r="B341" s="339"/>
      <c r="C341" s="339"/>
      <c r="D341" s="339"/>
      <c r="E341" s="339"/>
      <c r="F341" s="339"/>
      <c r="G341" s="340"/>
      <c r="H341" s="339"/>
      <c r="I341" s="339"/>
      <c r="J341" s="340"/>
      <c r="K341" s="339"/>
      <c r="L341" s="341"/>
      <c r="M341" s="339"/>
      <c r="N341" s="341"/>
      <c r="O341" s="341"/>
      <c r="P341" s="339"/>
      <c r="Q341" s="341"/>
      <c r="R341" s="340"/>
      <c r="S341" s="339"/>
      <c r="T341" s="341"/>
      <c r="U341" s="339"/>
      <c r="V341" s="339"/>
      <c r="W341" s="339"/>
      <c r="X341" s="340"/>
      <c r="Y341" s="339"/>
      <c r="Z341" s="339"/>
      <c r="AA341" s="339"/>
      <c r="AB341" s="342"/>
    </row>
    <row r="342" spans="1:28" ht="15.75" customHeight="1">
      <c r="A342" s="339"/>
      <c r="B342" s="339"/>
      <c r="C342" s="339"/>
      <c r="D342" s="339"/>
      <c r="E342" s="339"/>
      <c r="F342" s="339"/>
      <c r="G342" s="340"/>
      <c r="H342" s="339"/>
      <c r="I342" s="339"/>
      <c r="J342" s="340"/>
      <c r="K342" s="339"/>
      <c r="L342" s="341"/>
      <c r="M342" s="339"/>
      <c r="N342" s="341"/>
      <c r="O342" s="341"/>
      <c r="P342" s="339"/>
      <c r="Q342" s="341"/>
      <c r="R342" s="340"/>
      <c r="S342" s="339"/>
      <c r="T342" s="341"/>
      <c r="U342" s="339"/>
      <c r="V342" s="339"/>
      <c r="W342" s="339"/>
      <c r="X342" s="340"/>
      <c r="Y342" s="339"/>
      <c r="Z342" s="339"/>
      <c r="AA342" s="339"/>
      <c r="AB342" s="342"/>
    </row>
    <row r="343" spans="1:28" ht="15.75" customHeight="1">
      <c r="A343" s="339"/>
      <c r="B343" s="339"/>
      <c r="C343" s="339"/>
      <c r="D343" s="339"/>
      <c r="E343" s="339"/>
      <c r="F343" s="339"/>
      <c r="G343" s="340"/>
      <c r="H343" s="339"/>
      <c r="I343" s="339"/>
      <c r="J343" s="340"/>
      <c r="K343" s="339"/>
      <c r="L343" s="341"/>
      <c r="M343" s="339"/>
      <c r="N343" s="341"/>
      <c r="O343" s="341"/>
      <c r="P343" s="339"/>
      <c r="Q343" s="341"/>
      <c r="R343" s="340"/>
      <c r="S343" s="339"/>
      <c r="T343" s="341"/>
      <c r="U343" s="339"/>
      <c r="V343" s="339"/>
      <c r="W343" s="339"/>
      <c r="X343" s="340"/>
      <c r="Y343" s="339"/>
      <c r="Z343" s="339"/>
      <c r="AA343" s="339"/>
      <c r="AB343" s="342"/>
    </row>
    <row r="344" spans="1:28" ht="15.75" customHeight="1">
      <c r="A344" s="339"/>
      <c r="B344" s="339"/>
      <c r="C344" s="339"/>
      <c r="D344" s="339"/>
      <c r="E344" s="339"/>
      <c r="F344" s="339"/>
      <c r="G344" s="340"/>
      <c r="H344" s="339"/>
      <c r="I344" s="339"/>
      <c r="J344" s="340"/>
      <c r="K344" s="339"/>
      <c r="L344" s="341"/>
      <c r="M344" s="339"/>
      <c r="N344" s="341"/>
      <c r="O344" s="341"/>
      <c r="P344" s="339"/>
      <c r="Q344" s="341"/>
      <c r="R344" s="340"/>
      <c r="S344" s="339"/>
      <c r="T344" s="341"/>
      <c r="U344" s="339"/>
      <c r="V344" s="339"/>
      <c r="W344" s="339"/>
      <c r="X344" s="340"/>
      <c r="Y344" s="339"/>
      <c r="Z344" s="339"/>
      <c r="AA344" s="339"/>
      <c r="AB344" s="342"/>
    </row>
    <row r="345" spans="1:28" ht="15.75" customHeight="1">
      <c r="A345" s="339"/>
      <c r="B345" s="339"/>
      <c r="C345" s="339"/>
      <c r="D345" s="339"/>
      <c r="E345" s="339"/>
      <c r="F345" s="339"/>
      <c r="G345" s="340"/>
      <c r="H345" s="339"/>
      <c r="I345" s="339"/>
      <c r="J345" s="340"/>
      <c r="K345" s="339"/>
      <c r="L345" s="341"/>
      <c r="M345" s="339"/>
      <c r="N345" s="341"/>
      <c r="O345" s="341"/>
      <c r="P345" s="339"/>
      <c r="Q345" s="341"/>
      <c r="R345" s="340"/>
      <c r="S345" s="339"/>
      <c r="T345" s="341"/>
      <c r="U345" s="339"/>
      <c r="V345" s="339"/>
      <c r="W345" s="339"/>
      <c r="X345" s="340"/>
      <c r="Y345" s="339"/>
      <c r="Z345" s="339"/>
      <c r="AA345" s="339"/>
      <c r="AB345" s="342"/>
    </row>
    <row r="346" spans="1:28" ht="15.75" customHeight="1">
      <c r="A346" s="339"/>
      <c r="B346" s="339"/>
      <c r="C346" s="339"/>
      <c r="D346" s="339"/>
      <c r="E346" s="339"/>
      <c r="F346" s="339"/>
      <c r="G346" s="340"/>
      <c r="H346" s="339"/>
      <c r="I346" s="339"/>
      <c r="J346" s="340"/>
      <c r="K346" s="339"/>
      <c r="L346" s="341"/>
      <c r="M346" s="339"/>
      <c r="N346" s="341"/>
      <c r="O346" s="341"/>
      <c r="P346" s="339"/>
      <c r="Q346" s="341"/>
      <c r="R346" s="340"/>
      <c r="S346" s="339"/>
      <c r="T346" s="341"/>
      <c r="U346" s="339"/>
      <c r="V346" s="339"/>
      <c r="W346" s="339"/>
      <c r="X346" s="340"/>
      <c r="Y346" s="339"/>
      <c r="Z346" s="339"/>
      <c r="AA346" s="339"/>
      <c r="AB346" s="342"/>
    </row>
    <row r="347" spans="1:28" ht="15.75" customHeight="1">
      <c r="A347" s="339"/>
      <c r="B347" s="339"/>
      <c r="C347" s="339"/>
      <c r="D347" s="339"/>
      <c r="E347" s="339"/>
      <c r="F347" s="339"/>
      <c r="G347" s="340"/>
      <c r="H347" s="339"/>
      <c r="I347" s="339"/>
      <c r="J347" s="340"/>
      <c r="K347" s="339"/>
      <c r="L347" s="341"/>
      <c r="M347" s="339"/>
      <c r="N347" s="341"/>
      <c r="O347" s="341"/>
      <c r="P347" s="339"/>
      <c r="Q347" s="341"/>
      <c r="R347" s="340"/>
      <c r="S347" s="339"/>
      <c r="T347" s="341"/>
      <c r="U347" s="339"/>
      <c r="V347" s="339"/>
      <c r="W347" s="339"/>
      <c r="X347" s="340"/>
      <c r="Y347" s="339"/>
      <c r="Z347" s="339"/>
      <c r="AA347" s="339"/>
      <c r="AB347" s="342"/>
    </row>
    <row r="348" spans="1:28" ht="15.75" customHeight="1">
      <c r="A348" s="339"/>
      <c r="B348" s="339"/>
      <c r="C348" s="339"/>
      <c r="D348" s="339"/>
      <c r="E348" s="339"/>
      <c r="F348" s="339"/>
      <c r="G348" s="340"/>
      <c r="H348" s="339"/>
      <c r="I348" s="339"/>
      <c r="J348" s="340"/>
      <c r="K348" s="339"/>
      <c r="L348" s="341"/>
      <c r="M348" s="339"/>
      <c r="N348" s="341"/>
      <c r="O348" s="341"/>
      <c r="P348" s="339"/>
      <c r="Q348" s="341"/>
      <c r="R348" s="340"/>
      <c r="S348" s="339"/>
      <c r="T348" s="341"/>
      <c r="U348" s="339"/>
      <c r="V348" s="339"/>
      <c r="W348" s="339"/>
      <c r="X348" s="340"/>
      <c r="Y348" s="339"/>
      <c r="Z348" s="339"/>
      <c r="AA348" s="339"/>
      <c r="AB348" s="342"/>
    </row>
    <row r="349" spans="1:28" ht="15.75" customHeight="1">
      <c r="A349" s="339"/>
      <c r="B349" s="339"/>
      <c r="C349" s="339"/>
      <c r="D349" s="339"/>
      <c r="E349" s="339"/>
      <c r="F349" s="339"/>
      <c r="G349" s="340"/>
      <c r="H349" s="339"/>
      <c r="I349" s="339"/>
      <c r="J349" s="340"/>
      <c r="K349" s="339"/>
      <c r="L349" s="341"/>
      <c r="M349" s="339"/>
      <c r="N349" s="341"/>
      <c r="O349" s="341"/>
      <c r="P349" s="339"/>
      <c r="Q349" s="341"/>
      <c r="R349" s="340"/>
      <c r="S349" s="339"/>
      <c r="T349" s="341"/>
      <c r="U349" s="339"/>
      <c r="V349" s="339"/>
      <c r="W349" s="339"/>
      <c r="X349" s="340"/>
      <c r="Y349" s="339"/>
      <c r="Z349" s="339"/>
      <c r="AA349" s="339"/>
      <c r="AB349" s="342"/>
    </row>
    <row r="350" spans="1:28" ht="15.75" customHeight="1">
      <c r="A350" s="339"/>
      <c r="B350" s="339"/>
      <c r="C350" s="339"/>
      <c r="D350" s="339"/>
      <c r="E350" s="339"/>
      <c r="F350" s="339"/>
      <c r="G350" s="340"/>
      <c r="H350" s="339"/>
      <c r="I350" s="339"/>
      <c r="J350" s="340"/>
      <c r="K350" s="339"/>
      <c r="L350" s="341"/>
      <c r="M350" s="339"/>
      <c r="N350" s="341"/>
      <c r="O350" s="341"/>
      <c r="P350" s="339"/>
      <c r="Q350" s="341"/>
      <c r="R350" s="340"/>
      <c r="S350" s="339"/>
      <c r="T350" s="341"/>
      <c r="U350" s="339"/>
      <c r="V350" s="339"/>
      <c r="W350" s="339"/>
      <c r="X350" s="340"/>
      <c r="Y350" s="339"/>
      <c r="Z350" s="339"/>
      <c r="AA350" s="339"/>
      <c r="AB350" s="342"/>
    </row>
    <row r="351" spans="1:28" ht="15.75" customHeight="1">
      <c r="A351" s="339"/>
      <c r="B351" s="339"/>
      <c r="C351" s="339"/>
      <c r="D351" s="339"/>
      <c r="E351" s="339"/>
      <c r="F351" s="339"/>
      <c r="G351" s="340"/>
      <c r="H351" s="339"/>
      <c r="I351" s="339"/>
      <c r="J351" s="340"/>
      <c r="K351" s="339"/>
      <c r="L351" s="341"/>
      <c r="M351" s="339"/>
      <c r="N351" s="341"/>
      <c r="O351" s="341"/>
      <c r="P351" s="339"/>
      <c r="Q351" s="341"/>
      <c r="R351" s="340"/>
      <c r="S351" s="339"/>
      <c r="T351" s="341"/>
      <c r="U351" s="339"/>
      <c r="V351" s="339"/>
      <c r="W351" s="339"/>
      <c r="X351" s="340"/>
      <c r="Y351" s="339"/>
      <c r="Z351" s="339"/>
      <c r="AA351" s="339"/>
      <c r="AB351" s="342"/>
    </row>
    <row r="352" spans="1:28" ht="15.75" customHeight="1">
      <c r="A352" s="339"/>
      <c r="B352" s="339"/>
      <c r="C352" s="339"/>
      <c r="D352" s="339"/>
      <c r="E352" s="339"/>
      <c r="F352" s="339"/>
      <c r="G352" s="340"/>
      <c r="H352" s="339"/>
      <c r="I352" s="339"/>
      <c r="J352" s="340"/>
      <c r="K352" s="339"/>
      <c r="L352" s="341"/>
      <c r="M352" s="339"/>
      <c r="N352" s="341"/>
      <c r="O352" s="341"/>
      <c r="P352" s="339"/>
      <c r="Q352" s="341"/>
      <c r="R352" s="340"/>
      <c r="S352" s="339"/>
      <c r="T352" s="341"/>
      <c r="U352" s="339"/>
      <c r="V352" s="339"/>
      <c r="W352" s="339"/>
      <c r="X352" s="340"/>
      <c r="Y352" s="339"/>
      <c r="Z352" s="339"/>
      <c r="AA352" s="339"/>
      <c r="AB352" s="342"/>
    </row>
    <row r="353" spans="1:28" ht="15.75" customHeight="1">
      <c r="A353" s="339"/>
      <c r="B353" s="339"/>
      <c r="C353" s="339"/>
      <c r="D353" s="339"/>
      <c r="E353" s="339"/>
      <c r="F353" s="339"/>
      <c r="G353" s="340"/>
      <c r="H353" s="339"/>
      <c r="I353" s="339"/>
      <c r="J353" s="340"/>
      <c r="K353" s="339"/>
      <c r="L353" s="341"/>
      <c r="M353" s="339"/>
      <c r="N353" s="341"/>
      <c r="O353" s="341"/>
      <c r="P353" s="339"/>
      <c r="Q353" s="341"/>
      <c r="R353" s="340"/>
      <c r="S353" s="339"/>
      <c r="T353" s="341"/>
      <c r="U353" s="339"/>
      <c r="V353" s="339"/>
      <c r="W353" s="339"/>
      <c r="X353" s="340"/>
      <c r="Y353" s="339"/>
      <c r="Z353" s="339"/>
      <c r="AA353" s="339"/>
      <c r="AB353" s="342"/>
    </row>
    <row r="354" spans="1:28" ht="15.75" customHeight="1">
      <c r="A354" s="339"/>
      <c r="B354" s="339"/>
      <c r="C354" s="339"/>
      <c r="D354" s="339"/>
      <c r="E354" s="339"/>
      <c r="F354" s="339"/>
      <c r="G354" s="340"/>
      <c r="H354" s="339"/>
      <c r="I354" s="339"/>
      <c r="J354" s="340"/>
      <c r="K354" s="339"/>
      <c r="L354" s="341"/>
      <c r="M354" s="339"/>
      <c r="N354" s="341"/>
      <c r="O354" s="341"/>
      <c r="P354" s="339"/>
      <c r="Q354" s="341"/>
      <c r="R354" s="340"/>
      <c r="S354" s="339"/>
      <c r="T354" s="341"/>
      <c r="U354" s="339"/>
      <c r="V354" s="339"/>
      <c r="W354" s="339"/>
      <c r="X354" s="340"/>
      <c r="Y354" s="339"/>
      <c r="Z354" s="339"/>
      <c r="AA354" s="339"/>
      <c r="AB354" s="342"/>
    </row>
    <row r="355" spans="1:28" ht="15.75" customHeight="1">
      <c r="A355" s="339"/>
      <c r="B355" s="339"/>
      <c r="C355" s="339"/>
      <c r="D355" s="339"/>
      <c r="E355" s="339"/>
      <c r="F355" s="339"/>
      <c r="G355" s="340"/>
      <c r="H355" s="339"/>
      <c r="I355" s="339"/>
      <c r="J355" s="340"/>
      <c r="K355" s="339"/>
      <c r="L355" s="341"/>
      <c r="M355" s="339"/>
      <c r="N355" s="341"/>
      <c r="O355" s="341"/>
      <c r="P355" s="339"/>
      <c r="Q355" s="341"/>
      <c r="R355" s="340"/>
      <c r="S355" s="339"/>
      <c r="T355" s="341"/>
      <c r="U355" s="339"/>
      <c r="V355" s="339"/>
      <c r="W355" s="339"/>
      <c r="X355" s="340"/>
      <c r="Y355" s="339"/>
      <c r="Z355" s="339"/>
      <c r="AA355" s="339"/>
      <c r="AB355" s="342"/>
    </row>
    <row r="356" spans="1:28" ht="15.75" customHeight="1">
      <c r="A356" s="339"/>
      <c r="B356" s="339"/>
      <c r="C356" s="339"/>
      <c r="D356" s="339"/>
      <c r="E356" s="339"/>
      <c r="F356" s="339"/>
      <c r="G356" s="340"/>
      <c r="H356" s="339"/>
      <c r="I356" s="339"/>
      <c r="J356" s="340"/>
      <c r="K356" s="339"/>
      <c r="L356" s="341"/>
      <c r="M356" s="339"/>
      <c r="N356" s="341"/>
      <c r="O356" s="341"/>
      <c r="P356" s="339"/>
      <c r="Q356" s="341"/>
      <c r="R356" s="340"/>
      <c r="S356" s="339"/>
      <c r="T356" s="341"/>
      <c r="U356" s="339"/>
      <c r="V356" s="339"/>
      <c r="W356" s="339"/>
      <c r="X356" s="340"/>
      <c r="Y356" s="339"/>
      <c r="Z356" s="339"/>
      <c r="AA356" s="339"/>
      <c r="AB356" s="342"/>
    </row>
    <row r="357" spans="1:28" ht="15.75" customHeight="1">
      <c r="A357" s="339"/>
      <c r="B357" s="339"/>
      <c r="C357" s="339"/>
      <c r="D357" s="339"/>
      <c r="E357" s="339"/>
      <c r="F357" s="339"/>
      <c r="G357" s="340"/>
      <c r="H357" s="339"/>
      <c r="I357" s="339"/>
      <c r="J357" s="340"/>
      <c r="K357" s="339"/>
      <c r="L357" s="341"/>
      <c r="M357" s="339"/>
      <c r="N357" s="341"/>
      <c r="O357" s="341"/>
      <c r="P357" s="339"/>
      <c r="Q357" s="341"/>
      <c r="R357" s="340"/>
      <c r="S357" s="339"/>
      <c r="T357" s="341"/>
      <c r="U357" s="339"/>
      <c r="V357" s="339"/>
      <c r="W357" s="339"/>
      <c r="X357" s="340"/>
      <c r="Y357" s="339"/>
      <c r="Z357" s="339"/>
      <c r="AA357" s="339"/>
      <c r="AB357" s="342"/>
    </row>
    <row r="358" spans="1:28" ht="15.75" customHeight="1">
      <c r="A358" s="339"/>
      <c r="B358" s="339"/>
      <c r="C358" s="339"/>
      <c r="D358" s="339"/>
      <c r="E358" s="339"/>
      <c r="F358" s="339"/>
      <c r="G358" s="340"/>
      <c r="H358" s="339"/>
      <c r="I358" s="339"/>
      <c r="J358" s="340"/>
      <c r="K358" s="339"/>
      <c r="L358" s="341"/>
      <c r="M358" s="339"/>
      <c r="N358" s="341"/>
      <c r="O358" s="341"/>
      <c r="P358" s="339"/>
      <c r="Q358" s="341"/>
      <c r="R358" s="340"/>
      <c r="S358" s="339"/>
      <c r="T358" s="341"/>
      <c r="U358" s="339"/>
      <c r="V358" s="339"/>
      <c r="W358" s="339"/>
      <c r="X358" s="340"/>
      <c r="Y358" s="339"/>
      <c r="Z358" s="339"/>
      <c r="AA358" s="339"/>
      <c r="AB358" s="342"/>
    </row>
    <row r="359" spans="1:28" ht="15.75" customHeight="1">
      <c r="A359" s="339"/>
      <c r="B359" s="339"/>
      <c r="C359" s="339"/>
      <c r="D359" s="339"/>
      <c r="E359" s="339"/>
      <c r="F359" s="339"/>
      <c r="G359" s="340"/>
      <c r="H359" s="339"/>
      <c r="I359" s="339"/>
      <c r="J359" s="340"/>
      <c r="K359" s="339"/>
      <c r="L359" s="341"/>
      <c r="M359" s="339"/>
      <c r="N359" s="341"/>
      <c r="O359" s="341"/>
      <c r="P359" s="339"/>
      <c r="Q359" s="341"/>
      <c r="R359" s="340"/>
      <c r="S359" s="339"/>
      <c r="T359" s="341"/>
      <c r="U359" s="339"/>
      <c r="V359" s="339"/>
      <c r="W359" s="339"/>
      <c r="X359" s="340"/>
      <c r="Y359" s="339"/>
      <c r="Z359" s="339"/>
      <c r="AA359" s="339"/>
      <c r="AB359" s="342"/>
    </row>
    <row r="360" spans="1:28" ht="15.75" customHeight="1">
      <c r="A360" s="339"/>
      <c r="B360" s="339"/>
      <c r="C360" s="339"/>
      <c r="D360" s="339"/>
      <c r="E360" s="339"/>
      <c r="F360" s="339"/>
      <c r="G360" s="340"/>
      <c r="H360" s="339"/>
      <c r="I360" s="339"/>
      <c r="J360" s="340"/>
      <c r="K360" s="339"/>
      <c r="L360" s="341"/>
      <c r="M360" s="339"/>
      <c r="N360" s="341"/>
      <c r="O360" s="341"/>
      <c r="P360" s="339"/>
      <c r="Q360" s="341"/>
      <c r="R360" s="340"/>
      <c r="S360" s="339"/>
      <c r="T360" s="341"/>
      <c r="U360" s="339"/>
      <c r="V360" s="339"/>
      <c r="W360" s="339"/>
      <c r="X360" s="340"/>
      <c r="Y360" s="339"/>
      <c r="Z360" s="339"/>
      <c r="AA360" s="339"/>
      <c r="AB360" s="342"/>
    </row>
    <row r="361" spans="1:28" ht="15.75" customHeight="1">
      <c r="A361" s="339"/>
      <c r="B361" s="339"/>
      <c r="C361" s="339"/>
      <c r="D361" s="339"/>
      <c r="E361" s="339"/>
      <c r="F361" s="339"/>
      <c r="G361" s="340"/>
      <c r="H361" s="339"/>
      <c r="I361" s="339"/>
      <c r="J361" s="340"/>
      <c r="K361" s="339"/>
      <c r="L361" s="341"/>
      <c r="M361" s="339"/>
      <c r="N361" s="341"/>
      <c r="O361" s="341"/>
      <c r="P361" s="339"/>
      <c r="Q361" s="341"/>
      <c r="R361" s="340"/>
      <c r="S361" s="339"/>
      <c r="T361" s="341"/>
      <c r="U361" s="339"/>
      <c r="V361" s="339"/>
      <c r="W361" s="339"/>
      <c r="X361" s="340"/>
      <c r="Y361" s="339"/>
      <c r="Z361" s="339"/>
      <c r="AA361" s="339"/>
      <c r="AB361" s="342"/>
    </row>
    <row r="362" spans="1:28" ht="15.75" customHeight="1">
      <c r="A362" s="339"/>
      <c r="B362" s="339"/>
      <c r="C362" s="339"/>
      <c r="D362" s="339"/>
      <c r="E362" s="339"/>
      <c r="F362" s="339"/>
      <c r="G362" s="340"/>
      <c r="H362" s="339"/>
      <c r="I362" s="339"/>
      <c r="J362" s="340"/>
      <c r="K362" s="339"/>
      <c r="L362" s="341"/>
      <c r="M362" s="339"/>
      <c r="N362" s="341"/>
      <c r="O362" s="341"/>
      <c r="P362" s="339"/>
      <c r="Q362" s="341"/>
      <c r="R362" s="340"/>
      <c r="S362" s="339"/>
      <c r="T362" s="341"/>
      <c r="U362" s="339"/>
      <c r="V362" s="339"/>
      <c r="W362" s="339"/>
      <c r="X362" s="340"/>
      <c r="Y362" s="339"/>
      <c r="Z362" s="339"/>
      <c r="AA362" s="339"/>
      <c r="AB362" s="342"/>
    </row>
    <row r="363" spans="1:28" ht="15.75" customHeight="1">
      <c r="A363" s="339"/>
      <c r="B363" s="339"/>
      <c r="C363" s="339"/>
      <c r="D363" s="339"/>
      <c r="E363" s="339"/>
      <c r="F363" s="339"/>
      <c r="G363" s="340"/>
      <c r="H363" s="339"/>
      <c r="I363" s="339"/>
      <c r="J363" s="340"/>
      <c r="K363" s="339"/>
      <c r="L363" s="341"/>
      <c r="M363" s="339"/>
      <c r="N363" s="341"/>
      <c r="O363" s="341"/>
      <c r="P363" s="339"/>
      <c r="Q363" s="341"/>
      <c r="R363" s="340"/>
      <c r="S363" s="339"/>
      <c r="T363" s="341"/>
      <c r="U363" s="339"/>
      <c r="V363" s="339"/>
      <c r="W363" s="339"/>
      <c r="X363" s="340"/>
      <c r="Y363" s="339"/>
      <c r="Z363" s="339"/>
      <c r="AA363" s="339"/>
      <c r="AB363" s="342"/>
    </row>
    <row r="364" spans="1:28" ht="15.75" customHeight="1">
      <c r="A364" s="339"/>
      <c r="B364" s="339"/>
      <c r="C364" s="339"/>
      <c r="D364" s="339"/>
      <c r="E364" s="339"/>
      <c r="F364" s="339"/>
      <c r="G364" s="340"/>
      <c r="H364" s="339"/>
      <c r="I364" s="339"/>
      <c r="J364" s="340"/>
      <c r="K364" s="339"/>
      <c r="L364" s="341"/>
      <c r="M364" s="339"/>
      <c r="N364" s="341"/>
      <c r="O364" s="341"/>
      <c r="P364" s="339"/>
      <c r="Q364" s="341"/>
      <c r="R364" s="340"/>
      <c r="S364" s="339"/>
      <c r="T364" s="341"/>
      <c r="U364" s="339"/>
      <c r="V364" s="339"/>
      <c r="W364" s="339"/>
      <c r="X364" s="340"/>
      <c r="Y364" s="339"/>
      <c r="Z364" s="339"/>
      <c r="AA364" s="339"/>
      <c r="AB364" s="342"/>
    </row>
    <row r="365" spans="1:28" ht="15.75" customHeight="1">
      <c r="A365" s="339"/>
      <c r="B365" s="339"/>
      <c r="C365" s="339"/>
      <c r="D365" s="339"/>
      <c r="E365" s="339"/>
      <c r="F365" s="339"/>
      <c r="G365" s="340"/>
      <c r="H365" s="339"/>
      <c r="I365" s="339"/>
      <c r="J365" s="340"/>
      <c r="K365" s="339"/>
      <c r="L365" s="341"/>
      <c r="M365" s="339"/>
      <c r="N365" s="341"/>
      <c r="O365" s="341"/>
      <c r="P365" s="339"/>
      <c r="Q365" s="341"/>
      <c r="R365" s="340"/>
      <c r="S365" s="339"/>
      <c r="T365" s="341"/>
      <c r="U365" s="339"/>
      <c r="V365" s="339"/>
      <c r="W365" s="339"/>
      <c r="X365" s="340"/>
      <c r="Y365" s="339"/>
      <c r="Z365" s="339"/>
      <c r="AA365" s="339"/>
      <c r="AB365" s="342"/>
    </row>
    <row r="366" spans="1:28" ht="15.75" customHeight="1">
      <c r="A366" s="339"/>
      <c r="B366" s="339"/>
      <c r="C366" s="339"/>
      <c r="D366" s="339"/>
      <c r="E366" s="339"/>
      <c r="F366" s="339"/>
      <c r="G366" s="340"/>
      <c r="H366" s="339"/>
      <c r="I366" s="339"/>
      <c r="J366" s="340"/>
      <c r="K366" s="339"/>
      <c r="L366" s="341"/>
      <c r="M366" s="339"/>
      <c r="N366" s="341"/>
      <c r="O366" s="341"/>
      <c r="P366" s="339"/>
      <c r="Q366" s="341"/>
      <c r="R366" s="340"/>
      <c r="S366" s="339"/>
      <c r="T366" s="341"/>
      <c r="U366" s="339"/>
      <c r="V366" s="339"/>
      <c r="W366" s="339"/>
      <c r="X366" s="340"/>
      <c r="Y366" s="339"/>
      <c r="Z366" s="339"/>
      <c r="AA366" s="339"/>
      <c r="AB366" s="342"/>
    </row>
    <row r="367" spans="1:28" ht="15.75" customHeight="1">
      <c r="A367" s="339"/>
      <c r="B367" s="339"/>
      <c r="C367" s="339"/>
      <c r="D367" s="339"/>
      <c r="E367" s="339"/>
      <c r="F367" s="339"/>
      <c r="G367" s="340"/>
      <c r="H367" s="339"/>
      <c r="I367" s="339"/>
      <c r="J367" s="340"/>
      <c r="K367" s="339"/>
      <c r="L367" s="341"/>
      <c r="M367" s="339"/>
      <c r="N367" s="341"/>
      <c r="O367" s="341"/>
      <c r="P367" s="339"/>
      <c r="Q367" s="341"/>
      <c r="R367" s="340"/>
      <c r="S367" s="339"/>
      <c r="T367" s="341"/>
      <c r="U367" s="339"/>
      <c r="V367" s="339"/>
      <c r="W367" s="339"/>
      <c r="X367" s="340"/>
      <c r="Y367" s="339"/>
      <c r="Z367" s="339"/>
      <c r="AA367" s="339"/>
      <c r="AB367" s="342"/>
    </row>
    <row r="368" spans="1:28" ht="15.75" customHeight="1">
      <c r="A368" s="339"/>
      <c r="B368" s="339"/>
      <c r="C368" s="339"/>
      <c r="D368" s="339"/>
      <c r="E368" s="339"/>
      <c r="F368" s="339"/>
      <c r="G368" s="340"/>
      <c r="H368" s="339"/>
      <c r="I368" s="339"/>
      <c r="J368" s="340"/>
      <c r="K368" s="339"/>
      <c r="L368" s="341"/>
      <c r="M368" s="339"/>
      <c r="N368" s="341"/>
      <c r="O368" s="341"/>
      <c r="P368" s="339"/>
      <c r="Q368" s="341"/>
      <c r="R368" s="340"/>
      <c r="S368" s="339"/>
      <c r="T368" s="341"/>
      <c r="U368" s="339"/>
      <c r="V368" s="339"/>
      <c r="W368" s="339"/>
      <c r="X368" s="340"/>
      <c r="Y368" s="339"/>
      <c r="Z368" s="339"/>
      <c r="AA368" s="339"/>
      <c r="AB368" s="342"/>
    </row>
    <row r="369" spans="1:28" ht="15.75" customHeight="1">
      <c r="A369" s="339"/>
      <c r="B369" s="339"/>
      <c r="C369" s="339"/>
      <c r="D369" s="339"/>
      <c r="E369" s="339"/>
      <c r="F369" s="339"/>
      <c r="G369" s="340"/>
      <c r="H369" s="339"/>
      <c r="I369" s="339"/>
      <c r="J369" s="340"/>
      <c r="K369" s="339"/>
      <c r="L369" s="341"/>
      <c r="M369" s="339"/>
      <c r="N369" s="341"/>
      <c r="O369" s="341"/>
      <c r="P369" s="339"/>
      <c r="Q369" s="341"/>
      <c r="R369" s="340"/>
      <c r="S369" s="339"/>
      <c r="T369" s="341"/>
      <c r="U369" s="339"/>
      <c r="V369" s="339"/>
      <c r="W369" s="339"/>
      <c r="X369" s="340"/>
      <c r="Y369" s="339"/>
      <c r="Z369" s="339"/>
      <c r="AA369" s="339"/>
      <c r="AB369" s="342"/>
    </row>
    <row r="370" spans="1:28" ht="15.75" customHeight="1">
      <c r="A370" s="339"/>
      <c r="B370" s="339"/>
      <c r="C370" s="339"/>
      <c r="D370" s="339"/>
      <c r="E370" s="339"/>
      <c r="F370" s="339"/>
      <c r="G370" s="340"/>
      <c r="H370" s="339"/>
      <c r="I370" s="339"/>
      <c r="J370" s="340"/>
      <c r="K370" s="339"/>
      <c r="L370" s="341"/>
      <c r="M370" s="339"/>
      <c r="N370" s="341"/>
      <c r="O370" s="341"/>
      <c r="P370" s="339"/>
      <c r="Q370" s="341"/>
      <c r="R370" s="340"/>
      <c r="S370" s="339"/>
      <c r="T370" s="341"/>
      <c r="U370" s="339"/>
      <c r="V370" s="339"/>
      <c r="W370" s="339"/>
      <c r="X370" s="340"/>
      <c r="Y370" s="339"/>
      <c r="Z370" s="339"/>
      <c r="AA370" s="339"/>
      <c r="AB370" s="342"/>
    </row>
    <row r="371" spans="1:28" ht="15.75" customHeight="1">
      <c r="A371" s="339"/>
      <c r="B371" s="339"/>
      <c r="C371" s="339"/>
      <c r="D371" s="339"/>
      <c r="E371" s="339"/>
      <c r="F371" s="339"/>
      <c r="G371" s="340"/>
      <c r="H371" s="339"/>
      <c r="I371" s="339"/>
      <c r="J371" s="340"/>
      <c r="K371" s="339"/>
      <c r="L371" s="341"/>
      <c r="M371" s="339"/>
      <c r="N371" s="341"/>
      <c r="O371" s="341"/>
      <c r="P371" s="339"/>
      <c r="Q371" s="341"/>
      <c r="R371" s="340"/>
      <c r="S371" s="339"/>
      <c r="T371" s="341"/>
      <c r="U371" s="339"/>
      <c r="V371" s="339"/>
      <c r="W371" s="339"/>
      <c r="X371" s="340"/>
      <c r="Y371" s="339"/>
      <c r="Z371" s="339"/>
      <c r="AA371" s="339"/>
      <c r="AB371" s="342"/>
    </row>
    <row r="372" spans="1:28" ht="15.75" customHeight="1">
      <c r="A372" s="339"/>
      <c r="B372" s="339"/>
      <c r="C372" s="339"/>
      <c r="D372" s="339"/>
      <c r="E372" s="339"/>
      <c r="F372" s="339"/>
      <c r="G372" s="340"/>
      <c r="H372" s="339"/>
      <c r="I372" s="339"/>
      <c r="J372" s="340"/>
      <c r="K372" s="339"/>
      <c r="L372" s="341"/>
      <c r="M372" s="339"/>
      <c r="N372" s="341"/>
      <c r="O372" s="341"/>
      <c r="P372" s="339"/>
      <c r="Q372" s="341"/>
      <c r="R372" s="340"/>
      <c r="S372" s="339"/>
      <c r="T372" s="341"/>
      <c r="U372" s="339"/>
      <c r="V372" s="339"/>
      <c r="W372" s="339"/>
      <c r="X372" s="340"/>
      <c r="Y372" s="339"/>
      <c r="Z372" s="339"/>
      <c r="AA372" s="339"/>
      <c r="AB372" s="342"/>
    </row>
    <row r="373" spans="1:28" ht="15.75" customHeight="1">
      <c r="A373" s="339"/>
      <c r="B373" s="339"/>
      <c r="C373" s="339"/>
      <c r="D373" s="339"/>
      <c r="E373" s="339"/>
      <c r="F373" s="339"/>
      <c r="G373" s="340"/>
      <c r="H373" s="339"/>
      <c r="I373" s="339"/>
      <c r="J373" s="340"/>
      <c r="K373" s="339"/>
      <c r="L373" s="341"/>
      <c r="M373" s="339"/>
      <c r="N373" s="341"/>
      <c r="O373" s="341"/>
      <c r="P373" s="339"/>
      <c r="Q373" s="341"/>
      <c r="R373" s="340"/>
      <c r="S373" s="339"/>
      <c r="T373" s="341"/>
      <c r="U373" s="339"/>
      <c r="V373" s="339"/>
      <c r="W373" s="339"/>
      <c r="X373" s="340"/>
      <c r="Y373" s="339"/>
      <c r="Z373" s="339"/>
      <c r="AA373" s="339"/>
      <c r="AB373" s="342"/>
    </row>
    <row r="374" spans="1:28" ht="15.75" customHeight="1">
      <c r="A374" s="339"/>
      <c r="B374" s="339"/>
      <c r="C374" s="339"/>
      <c r="D374" s="339"/>
      <c r="E374" s="339"/>
      <c r="F374" s="339"/>
      <c r="G374" s="340"/>
      <c r="H374" s="339"/>
      <c r="I374" s="339"/>
      <c r="J374" s="340"/>
      <c r="K374" s="339"/>
      <c r="L374" s="341"/>
      <c r="M374" s="339"/>
      <c r="N374" s="341"/>
      <c r="O374" s="341"/>
      <c r="P374" s="339"/>
      <c r="Q374" s="341"/>
      <c r="R374" s="340"/>
      <c r="S374" s="339"/>
      <c r="T374" s="341"/>
      <c r="U374" s="339"/>
      <c r="V374" s="339"/>
      <c r="W374" s="339"/>
      <c r="X374" s="340"/>
      <c r="Y374" s="339"/>
      <c r="Z374" s="339"/>
      <c r="AA374" s="339"/>
      <c r="AB374" s="342"/>
    </row>
    <row r="375" spans="1:28" ht="15.75" customHeight="1">
      <c r="A375" s="339"/>
      <c r="B375" s="339"/>
      <c r="C375" s="339"/>
      <c r="D375" s="339"/>
      <c r="E375" s="339"/>
      <c r="F375" s="339"/>
      <c r="G375" s="340"/>
      <c r="H375" s="339"/>
      <c r="I375" s="339"/>
      <c r="J375" s="340"/>
      <c r="K375" s="339"/>
      <c r="L375" s="341"/>
      <c r="M375" s="339"/>
      <c r="N375" s="341"/>
      <c r="O375" s="341"/>
      <c r="P375" s="339"/>
      <c r="Q375" s="341"/>
      <c r="R375" s="340"/>
      <c r="S375" s="339"/>
      <c r="T375" s="341"/>
      <c r="U375" s="339"/>
      <c r="V375" s="339"/>
      <c r="W375" s="339"/>
      <c r="X375" s="340"/>
      <c r="Y375" s="339"/>
      <c r="Z375" s="339"/>
      <c r="AA375" s="339"/>
      <c r="AB375" s="342"/>
    </row>
    <row r="376" spans="1:28" ht="15.75" customHeight="1">
      <c r="A376" s="339"/>
      <c r="B376" s="339"/>
      <c r="C376" s="339"/>
      <c r="D376" s="339"/>
      <c r="E376" s="339"/>
      <c r="F376" s="339"/>
      <c r="G376" s="340"/>
      <c r="H376" s="339"/>
      <c r="I376" s="339"/>
      <c r="J376" s="340"/>
      <c r="K376" s="339"/>
      <c r="L376" s="341"/>
      <c r="M376" s="339"/>
      <c r="N376" s="341"/>
      <c r="O376" s="341"/>
      <c r="P376" s="339"/>
      <c r="Q376" s="341"/>
      <c r="R376" s="340"/>
      <c r="S376" s="339"/>
      <c r="T376" s="341"/>
      <c r="U376" s="339"/>
      <c r="V376" s="339"/>
      <c r="W376" s="339"/>
      <c r="X376" s="340"/>
      <c r="Y376" s="339"/>
      <c r="Z376" s="339"/>
      <c r="AA376" s="339"/>
      <c r="AB376" s="342"/>
    </row>
    <row r="377" spans="1:28" ht="15.75" customHeight="1">
      <c r="A377" s="339"/>
      <c r="B377" s="339"/>
      <c r="C377" s="339"/>
      <c r="D377" s="339"/>
      <c r="E377" s="339"/>
      <c r="F377" s="339"/>
      <c r="G377" s="340"/>
      <c r="H377" s="339"/>
      <c r="I377" s="339"/>
      <c r="J377" s="340"/>
      <c r="K377" s="339"/>
      <c r="L377" s="341"/>
      <c r="M377" s="339"/>
      <c r="N377" s="341"/>
      <c r="O377" s="341"/>
      <c r="P377" s="339"/>
      <c r="Q377" s="341"/>
      <c r="R377" s="340"/>
      <c r="S377" s="339"/>
      <c r="T377" s="341"/>
      <c r="U377" s="339"/>
      <c r="V377" s="339"/>
      <c r="W377" s="339"/>
      <c r="X377" s="340"/>
      <c r="Y377" s="339"/>
      <c r="Z377" s="339"/>
      <c r="AA377" s="339"/>
      <c r="AB377" s="342"/>
    </row>
    <row r="378" spans="1:28" ht="15.75" customHeight="1">
      <c r="A378" s="339"/>
      <c r="B378" s="339"/>
      <c r="C378" s="339"/>
      <c r="D378" s="339"/>
      <c r="E378" s="339"/>
      <c r="F378" s="339"/>
      <c r="G378" s="340"/>
      <c r="H378" s="339"/>
      <c r="I378" s="339"/>
      <c r="J378" s="340"/>
      <c r="K378" s="339"/>
      <c r="L378" s="341"/>
      <c r="M378" s="339"/>
      <c r="N378" s="341"/>
      <c r="O378" s="341"/>
      <c r="P378" s="339"/>
      <c r="Q378" s="341"/>
      <c r="R378" s="340"/>
      <c r="S378" s="339"/>
      <c r="T378" s="341"/>
      <c r="U378" s="339"/>
      <c r="V378" s="339"/>
      <c r="W378" s="339"/>
      <c r="X378" s="340"/>
      <c r="Y378" s="339"/>
      <c r="Z378" s="339"/>
      <c r="AA378" s="339"/>
      <c r="AB378" s="342"/>
    </row>
    <row r="379" spans="1:28" ht="15.75" customHeight="1">
      <c r="A379" s="339"/>
      <c r="B379" s="339"/>
      <c r="C379" s="339"/>
      <c r="D379" s="339"/>
      <c r="E379" s="339"/>
      <c r="F379" s="339"/>
      <c r="G379" s="340"/>
      <c r="H379" s="339"/>
      <c r="I379" s="339"/>
      <c r="J379" s="340"/>
      <c r="K379" s="339"/>
      <c r="L379" s="341"/>
      <c r="M379" s="339"/>
      <c r="N379" s="341"/>
      <c r="O379" s="341"/>
      <c r="P379" s="339"/>
      <c r="Q379" s="341"/>
      <c r="R379" s="340"/>
      <c r="S379" s="339"/>
      <c r="T379" s="341"/>
      <c r="U379" s="339"/>
      <c r="V379" s="339"/>
      <c r="W379" s="339"/>
      <c r="X379" s="340"/>
      <c r="Y379" s="339"/>
      <c r="Z379" s="339"/>
      <c r="AA379" s="339"/>
      <c r="AB379" s="342"/>
    </row>
    <row r="380" spans="1:28" ht="15.75" customHeight="1">
      <c r="A380" s="339"/>
      <c r="B380" s="339"/>
      <c r="C380" s="339"/>
      <c r="D380" s="339"/>
      <c r="E380" s="339"/>
      <c r="F380" s="339"/>
      <c r="G380" s="340"/>
      <c r="H380" s="339"/>
      <c r="I380" s="339"/>
      <c r="J380" s="340"/>
      <c r="K380" s="339"/>
      <c r="L380" s="341"/>
      <c r="M380" s="339"/>
      <c r="N380" s="341"/>
      <c r="O380" s="341"/>
      <c r="P380" s="339"/>
      <c r="Q380" s="341"/>
      <c r="R380" s="340"/>
      <c r="S380" s="339"/>
      <c r="T380" s="341"/>
      <c r="U380" s="339"/>
      <c r="V380" s="339"/>
      <c r="W380" s="339"/>
      <c r="X380" s="340"/>
      <c r="Y380" s="339"/>
      <c r="Z380" s="339"/>
      <c r="AA380" s="339"/>
      <c r="AB380" s="342"/>
    </row>
    <row r="381" spans="1:28" ht="15.75" customHeight="1">
      <c r="A381" s="339"/>
      <c r="B381" s="339"/>
      <c r="C381" s="339"/>
      <c r="D381" s="339"/>
      <c r="E381" s="339"/>
      <c r="F381" s="339"/>
      <c r="G381" s="340"/>
      <c r="H381" s="339"/>
      <c r="I381" s="339"/>
      <c r="J381" s="340"/>
      <c r="K381" s="339"/>
      <c r="L381" s="341"/>
      <c r="M381" s="339"/>
      <c r="N381" s="341"/>
      <c r="O381" s="341"/>
      <c r="P381" s="339"/>
      <c r="Q381" s="341"/>
      <c r="R381" s="340"/>
      <c r="S381" s="339"/>
      <c r="T381" s="341"/>
      <c r="U381" s="339"/>
      <c r="V381" s="339"/>
      <c r="W381" s="339"/>
      <c r="X381" s="340"/>
      <c r="Y381" s="339"/>
      <c r="Z381" s="339"/>
      <c r="AA381" s="339"/>
      <c r="AB381" s="342"/>
    </row>
    <row r="382" spans="1:28" ht="15.75" customHeight="1">
      <c r="A382" s="339"/>
      <c r="B382" s="339"/>
      <c r="C382" s="339"/>
      <c r="D382" s="339"/>
      <c r="E382" s="339"/>
      <c r="F382" s="339"/>
      <c r="G382" s="340"/>
      <c r="H382" s="339"/>
      <c r="I382" s="339"/>
      <c r="J382" s="340"/>
      <c r="K382" s="339"/>
      <c r="L382" s="341"/>
      <c r="M382" s="339"/>
      <c r="N382" s="341"/>
      <c r="O382" s="341"/>
      <c r="P382" s="339"/>
      <c r="Q382" s="341"/>
      <c r="R382" s="340"/>
      <c r="S382" s="339"/>
      <c r="T382" s="341"/>
      <c r="U382" s="339"/>
      <c r="V382" s="339"/>
      <c r="W382" s="339"/>
      <c r="X382" s="340"/>
      <c r="Y382" s="339"/>
      <c r="Z382" s="339"/>
      <c r="AA382" s="339"/>
      <c r="AB382" s="342"/>
    </row>
    <row r="383" spans="1:28" ht="15.75" customHeight="1">
      <c r="A383" s="339"/>
      <c r="B383" s="339"/>
      <c r="C383" s="339"/>
      <c r="D383" s="339"/>
      <c r="E383" s="339"/>
      <c r="F383" s="339"/>
      <c r="G383" s="340"/>
      <c r="H383" s="339"/>
      <c r="I383" s="339"/>
      <c r="J383" s="340"/>
      <c r="K383" s="339"/>
      <c r="L383" s="341"/>
      <c r="M383" s="339"/>
      <c r="N383" s="341"/>
      <c r="O383" s="341"/>
      <c r="P383" s="339"/>
      <c r="Q383" s="341"/>
      <c r="R383" s="340"/>
      <c r="S383" s="339"/>
      <c r="T383" s="341"/>
      <c r="U383" s="339"/>
      <c r="V383" s="339"/>
      <c r="W383" s="339"/>
      <c r="X383" s="340"/>
      <c r="Y383" s="339"/>
      <c r="Z383" s="339"/>
      <c r="AA383" s="339"/>
      <c r="AB383" s="342"/>
    </row>
    <row r="384" spans="1:28" ht="15.75" customHeight="1">
      <c r="A384" s="339"/>
      <c r="B384" s="339"/>
      <c r="C384" s="339"/>
      <c r="D384" s="339"/>
      <c r="E384" s="339"/>
      <c r="F384" s="339"/>
      <c r="G384" s="340"/>
      <c r="H384" s="339"/>
      <c r="I384" s="339"/>
      <c r="J384" s="340"/>
      <c r="K384" s="339"/>
      <c r="L384" s="341"/>
      <c r="M384" s="339"/>
      <c r="N384" s="341"/>
      <c r="O384" s="341"/>
      <c r="P384" s="339"/>
      <c r="Q384" s="341"/>
      <c r="R384" s="340"/>
      <c r="S384" s="339"/>
      <c r="T384" s="341"/>
      <c r="U384" s="339"/>
      <c r="V384" s="339"/>
      <c r="W384" s="339"/>
      <c r="X384" s="340"/>
      <c r="Y384" s="339"/>
      <c r="Z384" s="339"/>
      <c r="AA384" s="339"/>
      <c r="AB384" s="342"/>
    </row>
    <row r="385" spans="1:28" ht="15.75" customHeight="1">
      <c r="A385" s="339"/>
      <c r="B385" s="339"/>
      <c r="C385" s="339"/>
      <c r="D385" s="339"/>
      <c r="E385" s="339"/>
      <c r="F385" s="339"/>
      <c r="G385" s="340"/>
      <c r="H385" s="339"/>
      <c r="I385" s="339"/>
      <c r="J385" s="340"/>
      <c r="K385" s="339"/>
      <c r="L385" s="341"/>
      <c r="M385" s="339"/>
      <c r="N385" s="341"/>
      <c r="O385" s="341"/>
      <c r="P385" s="339"/>
      <c r="Q385" s="341"/>
      <c r="R385" s="340"/>
      <c r="S385" s="339"/>
      <c r="T385" s="341"/>
      <c r="U385" s="339"/>
      <c r="V385" s="339"/>
      <c r="W385" s="339"/>
      <c r="X385" s="340"/>
      <c r="Y385" s="339"/>
      <c r="Z385" s="339"/>
      <c r="AA385" s="339"/>
      <c r="AB385" s="342"/>
    </row>
    <row r="386" spans="1:28" ht="15.75" customHeight="1">
      <c r="A386" s="339"/>
      <c r="B386" s="339"/>
      <c r="C386" s="339"/>
      <c r="D386" s="339"/>
      <c r="E386" s="339"/>
      <c r="F386" s="339"/>
      <c r="G386" s="340"/>
      <c r="H386" s="339"/>
      <c r="I386" s="339"/>
      <c r="J386" s="340"/>
      <c r="K386" s="339"/>
      <c r="L386" s="341"/>
      <c r="M386" s="339"/>
      <c r="N386" s="341"/>
      <c r="O386" s="341"/>
      <c r="P386" s="339"/>
      <c r="Q386" s="341"/>
      <c r="R386" s="340"/>
      <c r="S386" s="339"/>
      <c r="T386" s="341"/>
      <c r="U386" s="339"/>
      <c r="V386" s="339"/>
      <c r="W386" s="339"/>
      <c r="X386" s="340"/>
      <c r="Y386" s="339"/>
      <c r="Z386" s="339"/>
      <c r="AA386" s="339"/>
      <c r="AB386" s="342"/>
    </row>
    <row r="387" spans="1:28" ht="15.75" customHeight="1">
      <c r="A387" s="339"/>
      <c r="B387" s="339"/>
      <c r="C387" s="339"/>
      <c r="D387" s="339"/>
      <c r="E387" s="339"/>
      <c r="F387" s="339"/>
      <c r="G387" s="340"/>
      <c r="H387" s="339"/>
      <c r="I387" s="339"/>
      <c r="J387" s="340"/>
      <c r="K387" s="339"/>
      <c r="L387" s="341"/>
      <c r="M387" s="339"/>
      <c r="N387" s="341"/>
      <c r="O387" s="341"/>
      <c r="P387" s="339"/>
      <c r="Q387" s="341"/>
      <c r="R387" s="340"/>
      <c r="S387" s="339"/>
      <c r="T387" s="341"/>
      <c r="U387" s="339"/>
      <c r="V387" s="339"/>
      <c r="W387" s="339"/>
      <c r="X387" s="340"/>
      <c r="Y387" s="339"/>
      <c r="Z387" s="339"/>
      <c r="AA387" s="339"/>
      <c r="AB387" s="342"/>
    </row>
    <row r="388" spans="1:28" ht="15.75" customHeight="1">
      <c r="A388" s="339"/>
      <c r="B388" s="339"/>
      <c r="C388" s="339"/>
      <c r="D388" s="339"/>
      <c r="E388" s="339"/>
      <c r="F388" s="339"/>
      <c r="G388" s="340"/>
      <c r="H388" s="339"/>
      <c r="I388" s="339"/>
      <c r="J388" s="340"/>
      <c r="K388" s="339"/>
      <c r="L388" s="341"/>
      <c r="M388" s="339"/>
      <c r="N388" s="341"/>
      <c r="O388" s="341"/>
      <c r="P388" s="339"/>
      <c r="Q388" s="341"/>
      <c r="R388" s="340"/>
      <c r="S388" s="339"/>
      <c r="T388" s="341"/>
      <c r="U388" s="339"/>
      <c r="V388" s="339"/>
      <c r="W388" s="339"/>
      <c r="X388" s="340"/>
      <c r="Y388" s="339"/>
      <c r="Z388" s="339"/>
      <c r="AA388" s="339"/>
      <c r="AB388" s="342"/>
    </row>
    <row r="389" spans="1:28" ht="15.75" customHeight="1">
      <c r="A389" s="339"/>
      <c r="B389" s="339"/>
      <c r="C389" s="339"/>
      <c r="D389" s="339"/>
      <c r="E389" s="339"/>
      <c r="F389" s="339"/>
      <c r="G389" s="340"/>
      <c r="H389" s="339"/>
      <c r="I389" s="339"/>
      <c r="J389" s="340"/>
      <c r="K389" s="339"/>
      <c r="L389" s="341"/>
      <c r="M389" s="339"/>
      <c r="N389" s="341"/>
      <c r="O389" s="341"/>
      <c r="P389" s="339"/>
      <c r="Q389" s="341"/>
      <c r="R389" s="340"/>
      <c r="S389" s="339"/>
      <c r="T389" s="341"/>
      <c r="U389" s="339"/>
      <c r="V389" s="339"/>
      <c r="W389" s="339"/>
      <c r="X389" s="340"/>
      <c r="Y389" s="339"/>
      <c r="Z389" s="339"/>
      <c r="AA389" s="339"/>
      <c r="AB389" s="342"/>
    </row>
    <row r="390" spans="1:28" ht="15.75" customHeight="1">
      <c r="A390" s="339"/>
      <c r="B390" s="339"/>
      <c r="C390" s="339"/>
      <c r="D390" s="339"/>
      <c r="E390" s="339"/>
      <c r="F390" s="339"/>
      <c r="G390" s="340"/>
      <c r="H390" s="339"/>
      <c r="I390" s="339"/>
      <c r="J390" s="340"/>
      <c r="K390" s="339"/>
      <c r="L390" s="341"/>
      <c r="M390" s="339"/>
      <c r="N390" s="341"/>
      <c r="O390" s="341"/>
      <c r="P390" s="339"/>
      <c r="Q390" s="341"/>
      <c r="R390" s="340"/>
      <c r="S390" s="339"/>
      <c r="T390" s="341"/>
      <c r="U390" s="339"/>
      <c r="V390" s="339"/>
      <c r="W390" s="339"/>
      <c r="X390" s="340"/>
      <c r="Y390" s="339"/>
      <c r="Z390" s="339"/>
      <c r="AA390" s="339"/>
      <c r="AB390" s="342"/>
    </row>
    <row r="391" spans="1:28" ht="15.75" customHeight="1">
      <c r="A391" s="339"/>
      <c r="B391" s="339"/>
      <c r="C391" s="339"/>
      <c r="D391" s="339"/>
      <c r="E391" s="339"/>
      <c r="F391" s="339"/>
      <c r="G391" s="340"/>
      <c r="H391" s="339"/>
      <c r="I391" s="339"/>
      <c r="J391" s="340"/>
      <c r="K391" s="339"/>
      <c r="L391" s="341"/>
      <c r="M391" s="339"/>
      <c r="N391" s="341"/>
      <c r="O391" s="341"/>
      <c r="P391" s="339"/>
      <c r="Q391" s="341"/>
      <c r="R391" s="340"/>
      <c r="S391" s="339"/>
      <c r="T391" s="341"/>
      <c r="U391" s="339"/>
      <c r="V391" s="339"/>
      <c r="W391" s="339"/>
      <c r="X391" s="340"/>
      <c r="Y391" s="339"/>
      <c r="Z391" s="339"/>
      <c r="AA391" s="339"/>
      <c r="AB391" s="342"/>
    </row>
    <row r="392" spans="1:28" ht="15.75" customHeight="1">
      <c r="A392" s="339"/>
      <c r="B392" s="339"/>
      <c r="C392" s="339"/>
      <c r="D392" s="339"/>
      <c r="E392" s="339"/>
      <c r="F392" s="339"/>
      <c r="G392" s="340"/>
      <c r="H392" s="339"/>
      <c r="I392" s="339"/>
      <c r="J392" s="340"/>
      <c r="K392" s="339"/>
      <c r="L392" s="341"/>
      <c r="M392" s="339"/>
      <c r="N392" s="341"/>
      <c r="O392" s="341"/>
      <c r="P392" s="339"/>
      <c r="Q392" s="341"/>
      <c r="R392" s="340"/>
      <c r="S392" s="339"/>
      <c r="T392" s="341"/>
      <c r="U392" s="339"/>
      <c r="V392" s="339"/>
      <c r="W392" s="339"/>
      <c r="X392" s="340"/>
      <c r="Y392" s="339"/>
      <c r="Z392" s="339"/>
      <c r="AA392" s="339"/>
      <c r="AB392" s="342"/>
    </row>
    <row r="393" spans="1:28" ht="15.75" customHeight="1">
      <c r="A393" s="339"/>
      <c r="B393" s="339"/>
      <c r="C393" s="339"/>
      <c r="D393" s="339"/>
      <c r="E393" s="339"/>
      <c r="F393" s="339"/>
      <c r="G393" s="340"/>
      <c r="H393" s="339"/>
      <c r="I393" s="339"/>
      <c r="J393" s="340"/>
      <c r="K393" s="339"/>
      <c r="L393" s="341"/>
      <c r="M393" s="339"/>
      <c r="N393" s="341"/>
      <c r="O393" s="341"/>
      <c r="P393" s="339"/>
      <c r="Q393" s="341"/>
      <c r="R393" s="340"/>
      <c r="S393" s="339"/>
      <c r="T393" s="341"/>
      <c r="U393" s="339"/>
      <c r="V393" s="339"/>
      <c r="W393" s="339"/>
      <c r="X393" s="340"/>
      <c r="Y393" s="339"/>
      <c r="Z393" s="339"/>
      <c r="AA393" s="339"/>
      <c r="AB393" s="342"/>
    </row>
    <row r="394" spans="1:28" ht="15.75" customHeight="1">
      <c r="A394" s="339"/>
      <c r="B394" s="339"/>
      <c r="C394" s="339"/>
      <c r="D394" s="339"/>
      <c r="E394" s="339"/>
      <c r="F394" s="339"/>
      <c r="G394" s="340"/>
      <c r="H394" s="339"/>
      <c r="I394" s="339"/>
      <c r="J394" s="340"/>
      <c r="K394" s="339"/>
      <c r="L394" s="341"/>
      <c r="M394" s="339"/>
      <c r="N394" s="341"/>
      <c r="O394" s="341"/>
      <c r="P394" s="339"/>
      <c r="Q394" s="341"/>
      <c r="R394" s="340"/>
      <c r="S394" s="339"/>
      <c r="T394" s="341"/>
      <c r="U394" s="339"/>
      <c r="V394" s="339"/>
      <c r="W394" s="339"/>
      <c r="X394" s="340"/>
      <c r="Y394" s="339"/>
      <c r="Z394" s="339"/>
      <c r="AA394" s="339"/>
      <c r="AB394" s="342"/>
    </row>
    <row r="395" spans="1:28" ht="15.75" customHeight="1">
      <c r="A395" s="339"/>
      <c r="B395" s="339"/>
      <c r="C395" s="339"/>
      <c r="D395" s="339"/>
      <c r="E395" s="339"/>
      <c r="F395" s="339"/>
      <c r="G395" s="340"/>
      <c r="H395" s="339"/>
      <c r="I395" s="339"/>
      <c r="J395" s="340"/>
      <c r="K395" s="339"/>
      <c r="L395" s="341"/>
      <c r="M395" s="339"/>
      <c r="N395" s="341"/>
      <c r="O395" s="341"/>
      <c r="P395" s="339"/>
      <c r="Q395" s="341"/>
      <c r="R395" s="340"/>
      <c r="S395" s="339"/>
      <c r="T395" s="341"/>
      <c r="U395" s="339"/>
      <c r="V395" s="339"/>
      <c r="W395" s="339"/>
      <c r="X395" s="340"/>
      <c r="Y395" s="339"/>
      <c r="Z395" s="339"/>
      <c r="AA395" s="339"/>
      <c r="AB395" s="342"/>
    </row>
    <row r="396" spans="1:28" ht="15.75" customHeight="1">
      <c r="A396" s="339"/>
      <c r="B396" s="339"/>
      <c r="C396" s="339"/>
      <c r="D396" s="339"/>
      <c r="E396" s="339"/>
      <c r="F396" s="339"/>
      <c r="G396" s="340"/>
      <c r="H396" s="339"/>
      <c r="I396" s="339"/>
      <c r="J396" s="340"/>
      <c r="K396" s="339"/>
      <c r="L396" s="341"/>
      <c r="M396" s="339"/>
      <c r="N396" s="341"/>
      <c r="O396" s="341"/>
      <c r="P396" s="339"/>
      <c r="Q396" s="341"/>
      <c r="R396" s="340"/>
      <c r="S396" s="339"/>
      <c r="T396" s="341"/>
      <c r="U396" s="339"/>
      <c r="V396" s="339"/>
      <c r="W396" s="339"/>
      <c r="X396" s="340"/>
      <c r="Y396" s="339"/>
      <c r="Z396" s="339"/>
      <c r="AA396" s="339"/>
      <c r="AB396" s="342"/>
    </row>
    <row r="397" spans="1:28" ht="15.75" customHeight="1">
      <c r="A397" s="339"/>
      <c r="B397" s="339"/>
      <c r="C397" s="339"/>
      <c r="D397" s="339"/>
      <c r="E397" s="339"/>
      <c r="F397" s="339"/>
      <c r="G397" s="340"/>
      <c r="H397" s="339"/>
      <c r="I397" s="339"/>
      <c r="J397" s="340"/>
      <c r="K397" s="339"/>
      <c r="L397" s="341"/>
      <c r="M397" s="339"/>
      <c r="N397" s="341"/>
      <c r="O397" s="341"/>
      <c r="P397" s="339"/>
      <c r="Q397" s="341"/>
      <c r="R397" s="340"/>
      <c r="S397" s="339"/>
      <c r="T397" s="341"/>
      <c r="U397" s="339"/>
      <c r="V397" s="339"/>
      <c r="W397" s="339"/>
      <c r="X397" s="340"/>
      <c r="Y397" s="339"/>
      <c r="Z397" s="339"/>
      <c r="AA397" s="339"/>
      <c r="AB397" s="342"/>
    </row>
    <row r="398" spans="1:28" ht="15.75" customHeight="1">
      <c r="A398" s="339"/>
      <c r="B398" s="339"/>
      <c r="C398" s="339"/>
      <c r="D398" s="339"/>
      <c r="E398" s="339"/>
      <c r="F398" s="339"/>
      <c r="G398" s="340"/>
      <c r="H398" s="339"/>
      <c r="I398" s="339"/>
      <c r="J398" s="340"/>
      <c r="K398" s="339"/>
      <c r="L398" s="341"/>
      <c r="M398" s="339"/>
      <c r="N398" s="341"/>
      <c r="O398" s="341"/>
      <c r="P398" s="339"/>
      <c r="Q398" s="341"/>
      <c r="R398" s="340"/>
      <c r="S398" s="339"/>
      <c r="T398" s="341"/>
      <c r="U398" s="339"/>
      <c r="V398" s="339"/>
      <c r="W398" s="339"/>
      <c r="X398" s="340"/>
      <c r="Y398" s="339"/>
      <c r="Z398" s="339"/>
      <c r="AA398" s="339"/>
      <c r="AB398" s="342"/>
    </row>
    <row r="399" spans="1:28" ht="15.75" customHeight="1">
      <c r="A399" s="339"/>
      <c r="B399" s="339"/>
      <c r="C399" s="339"/>
      <c r="D399" s="339"/>
      <c r="E399" s="339"/>
      <c r="F399" s="339"/>
      <c r="G399" s="340"/>
      <c r="H399" s="339"/>
      <c r="I399" s="339"/>
      <c r="J399" s="340"/>
      <c r="K399" s="339"/>
      <c r="L399" s="341"/>
      <c r="M399" s="339"/>
      <c r="N399" s="341"/>
      <c r="O399" s="341"/>
      <c r="P399" s="339"/>
      <c r="Q399" s="341"/>
      <c r="R399" s="340"/>
      <c r="S399" s="339"/>
      <c r="T399" s="341"/>
      <c r="U399" s="339"/>
      <c r="V399" s="339"/>
      <c r="W399" s="339"/>
      <c r="X399" s="340"/>
      <c r="Y399" s="339"/>
      <c r="Z399" s="339"/>
      <c r="AA399" s="339"/>
      <c r="AB399" s="342"/>
    </row>
    <row r="400" spans="1:28" ht="15.75" customHeight="1">
      <c r="A400" s="339"/>
      <c r="B400" s="339"/>
      <c r="C400" s="339"/>
      <c r="D400" s="339"/>
      <c r="E400" s="339"/>
      <c r="F400" s="339"/>
      <c r="G400" s="340"/>
      <c r="H400" s="339"/>
      <c r="I400" s="339"/>
      <c r="J400" s="340"/>
      <c r="K400" s="339"/>
      <c r="L400" s="341"/>
      <c r="M400" s="339"/>
      <c r="N400" s="341"/>
      <c r="O400" s="341"/>
      <c r="P400" s="339"/>
      <c r="Q400" s="341"/>
      <c r="R400" s="340"/>
      <c r="S400" s="339"/>
      <c r="T400" s="341"/>
      <c r="U400" s="339"/>
      <c r="V400" s="339"/>
      <c r="W400" s="339"/>
      <c r="X400" s="340"/>
      <c r="Y400" s="339"/>
      <c r="Z400" s="339"/>
      <c r="AA400" s="339"/>
      <c r="AB400" s="342"/>
    </row>
    <row r="401" spans="1:28" ht="15.75" customHeight="1">
      <c r="A401" s="339"/>
      <c r="B401" s="339"/>
      <c r="C401" s="339"/>
      <c r="D401" s="339"/>
      <c r="E401" s="339"/>
      <c r="F401" s="339"/>
      <c r="G401" s="340"/>
      <c r="H401" s="339"/>
      <c r="I401" s="339"/>
      <c r="J401" s="340"/>
      <c r="K401" s="339"/>
      <c r="L401" s="341"/>
      <c r="M401" s="339"/>
      <c r="N401" s="341"/>
      <c r="O401" s="341"/>
      <c r="P401" s="339"/>
      <c r="Q401" s="341"/>
      <c r="R401" s="340"/>
      <c r="S401" s="339"/>
      <c r="T401" s="341"/>
      <c r="U401" s="339"/>
      <c r="V401" s="339"/>
      <c r="W401" s="339"/>
      <c r="X401" s="340"/>
      <c r="Y401" s="339"/>
      <c r="Z401" s="339"/>
      <c r="AA401" s="339"/>
      <c r="AB401" s="342"/>
    </row>
    <row r="402" spans="1:28" ht="15.75" customHeight="1">
      <c r="A402" s="339"/>
      <c r="B402" s="339"/>
      <c r="C402" s="339"/>
      <c r="D402" s="339"/>
      <c r="E402" s="339"/>
      <c r="F402" s="339"/>
      <c r="G402" s="340"/>
      <c r="H402" s="339"/>
      <c r="I402" s="339"/>
      <c r="J402" s="340"/>
      <c r="K402" s="339"/>
      <c r="L402" s="341"/>
      <c r="M402" s="339"/>
      <c r="N402" s="341"/>
      <c r="O402" s="341"/>
      <c r="P402" s="339"/>
      <c r="Q402" s="341"/>
      <c r="R402" s="340"/>
      <c r="S402" s="339"/>
      <c r="T402" s="341"/>
      <c r="U402" s="339"/>
      <c r="V402" s="339"/>
      <c r="W402" s="339"/>
      <c r="X402" s="340"/>
      <c r="Y402" s="339"/>
      <c r="Z402" s="339"/>
      <c r="AA402" s="339"/>
      <c r="AB402" s="342"/>
    </row>
    <row r="403" spans="1:28" ht="15.75" customHeight="1">
      <c r="A403" s="339"/>
      <c r="B403" s="339"/>
      <c r="C403" s="339"/>
      <c r="D403" s="339"/>
      <c r="E403" s="339"/>
      <c r="F403" s="339"/>
      <c r="G403" s="340"/>
      <c r="H403" s="339"/>
      <c r="I403" s="339"/>
      <c r="J403" s="340"/>
      <c r="K403" s="339"/>
      <c r="L403" s="341"/>
      <c r="M403" s="339"/>
      <c r="N403" s="341"/>
      <c r="O403" s="341"/>
      <c r="P403" s="339"/>
      <c r="Q403" s="341"/>
      <c r="R403" s="340"/>
      <c r="S403" s="339"/>
      <c r="T403" s="341"/>
      <c r="U403" s="339"/>
      <c r="V403" s="339"/>
      <c r="W403" s="339"/>
      <c r="X403" s="340"/>
      <c r="Y403" s="339"/>
      <c r="Z403" s="339"/>
      <c r="AA403" s="339"/>
      <c r="AB403" s="342"/>
    </row>
    <row r="404" spans="1:28" ht="15.75" customHeight="1">
      <c r="A404" s="339"/>
      <c r="B404" s="339"/>
      <c r="C404" s="339"/>
      <c r="D404" s="339"/>
      <c r="E404" s="339"/>
      <c r="F404" s="339"/>
      <c r="G404" s="340"/>
      <c r="H404" s="339"/>
      <c r="I404" s="339"/>
      <c r="J404" s="340"/>
      <c r="K404" s="339"/>
      <c r="L404" s="341"/>
      <c r="M404" s="339"/>
      <c r="N404" s="341"/>
      <c r="O404" s="341"/>
      <c r="P404" s="339"/>
      <c r="Q404" s="341"/>
      <c r="R404" s="340"/>
      <c r="S404" s="339"/>
      <c r="T404" s="341"/>
      <c r="U404" s="339"/>
      <c r="V404" s="339"/>
      <c r="W404" s="339"/>
      <c r="X404" s="340"/>
      <c r="Y404" s="339"/>
      <c r="Z404" s="339"/>
      <c r="AA404" s="339"/>
      <c r="AB404" s="342"/>
    </row>
    <row r="405" spans="1:28" ht="15.75" customHeight="1">
      <c r="A405" s="339"/>
      <c r="B405" s="339"/>
      <c r="C405" s="339"/>
      <c r="D405" s="339"/>
      <c r="E405" s="339"/>
      <c r="F405" s="339"/>
      <c r="G405" s="340"/>
      <c r="H405" s="339"/>
      <c r="I405" s="339"/>
      <c r="J405" s="340"/>
      <c r="K405" s="339"/>
      <c r="L405" s="341"/>
      <c r="M405" s="339"/>
      <c r="N405" s="341"/>
      <c r="O405" s="341"/>
      <c r="P405" s="339"/>
      <c r="Q405" s="341"/>
      <c r="R405" s="340"/>
      <c r="S405" s="339"/>
      <c r="T405" s="341"/>
      <c r="U405" s="339"/>
      <c r="V405" s="339"/>
      <c r="W405" s="339"/>
      <c r="X405" s="340"/>
      <c r="Y405" s="339"/>
      <c r="Z405" s="339"/>
      <c r="AA405" s="339"/>
      <c r="AB405" s="342"/>
    </row>
    <row r="406" spans="1:28" ht="15.75" customHeight="1">
      <c r="A406" s="339"/>
      <c r="B406" s="339"/>
      <c r="C406" s="339"/>
      <c r="D406" s="339"/>
      <c r="E406" s="339"/>
      <c r="F406" s="339"/>
      <c r="G406" s="340"/>
      <c r="H406" s="339"/>
      <c r="I406" s="339"/>
      <c r="J406" s="340"/>
      <c r="K406" s="339"/>
      <c r="L406" s="341"/>
      <c r="M406" s="339"/>
      <c r="N406" s="341"/>
      <c r="O406" s="341"/>
      <c r="P406" s="339"/>
      <c r="Q406" s="341"/>
      <c r="R406" s="340"/>
      <c r="S406" s="339"/>
      <c r="T406" s="341"/>
      <c r="U406" s="339"/>
      <c r="V406" s="339"/>
      <c r="W406" s="339"/>
      <c r="X406" s="340"/>
      <c r="Y406" s="339"/>
      <c r="Z406" s="339"/>
      <c r="AA406" s="339"/>
      <c r="AB406" s="342"/>
    </row>
    <row r="407" spans="1:28" ht="15.75" customHeight="1">
      <c r="A407" s="339"/>
      <c r="B407" s="339"/>
      <c r="C407" s="339"/>
      <c r="D407" s="339"/>
      <c r="E407" s="339"/>
      <c r="F407" s="339"/>
      <c r="G407" s="340"/>
      <c r="H407" s="339"/>
      <c r="I407" s="339"/>
      <c r="J407" s="340"/>
      <c r="K407" s="339"/>
      <c r="L407" s="341"/>
      <c r="M407" s="339"/>
      <c r="N407" s="341"/>
      <c r="O407" s="341"/>
      <c r="P407" s="339"/>
      <c r="Q407" s="341"/>
      <c r="R407" s="340"/>
      <c r="S407" s="339"/>
      <c r="T407" s="341"/>
      <c r="U407" s="339"/>
      <c r="V407" s="339"/>
      <c r="W407" s="339"/>
      <c r="X407" s="340"/>
      <c r="Y407" s="339"/>
      <c r="Z407" s="339"/>
      <c r="AA407" s="339"/>
      <c r="AB407" s="342"/>
    </row>
    <row r="408" spans="1:28" ht="15.75" customHeight="1">
      <c r="A408" s="339"/>
      <c r="B408" s="339"/>
      <c r="C408" s="339"/>
      <c r="D408" s="339"/>
      <c r="E408" s="339"/>
      <c r="F408" s="339"/>
      <c r="G408" s="340"/>
      <c r="H408" s="339"/>
      <c r="I408" s="339"/>
      <c r="J408" s="340"/>
      <c r="K408" s="339"/>
      <c r="L408" s="341"/>
      <c r="M408" s="339"/>
      <c r="N408" s="341"/>
      <c r="O408" s="341"/>
      <c r="P408" s="339"/>
      <c r="Q408" s="341"/>
      <c r="R408" s="340"/>
      <c r="S408" s="339"/>
      <c r="T408" s="341"/>
      <c r="U408" s="339"/>
      <c r="V408" s="339"/>
      <c r="W408" s="339"/>
      <c r="X408" s="340"/>
      <c r="Y408" s="339"/>
      <c r="Z408" s="339"/>
      <c r="AA408" s="339"/>
      <c r="AB408" s="342"/>
    </row>
    <row r="409" spans="1:28" ht="15.75" customHeight="1">
      <c r="A409" s="339"/>
      <c r="B409" s="339"/>
      <c r="C409" s="339"/>
      <c r="D409" s="339"/>
      <c r="E409" s="339"/>
      <c r="F409" s="339"/>
      <c r="G409" s="340"/>
      <c r="H409" s="339"/>
      <c r="I409" s="339"/>
      <c r="J409" s="340"/>
      <c r="K409" s="339"/>
      <c r="L409" s="341"/>
      <c r="M409" s="339"/>
      <c r="N409" s="341"/>
      <c r="O409" s="341"/>
      <c r="P409" s="339"/>
      <c r="Q409" s="341"/>
      <c r="R409" s="340"/>
      <c r="S409" s="339"/>
      <c r="T409" s="341"/>
      <c r="U409" s="339"/>
      <c r="V409" s="339"/>
      <c r="W409" s="339"/>
      <c r="X409" s="340"/>
      <c r="Y409" s="339"/>
      <c r="Z409" s="339"/>
      <c r="AA409" s="339"/>
      <c r="AB409" s="342"/>
    </row>
    <row r="410" spans="1:28" ht="15.75" customHeight="1">
      <c r="A410" s="339"/>
      <c r="B410" s="339"/>
      <c r="C410" s="339"/>
      <c r="D410" s="339"/>
      <c r="E410" s="339"/>
      <c r="F410" s="339"/>
      <c r="G410" s="340"/>
      <c r="H410" s="339"/>
      <c r="I410" s="339"/>
      <c r="J410" s="340"/>
      <c r="K410" s="339"/>
      <c r="L410" s="341"/>
      <c r="M410" s="339"/>
      <c r="N410" s="341"/>
      <c r="O410" s="341"/>
      <c r="P410" s="339"/>
      <c r="Q410" s="341"/>
      <c r="R410" s="340"/>
      <c r="S410" s="339"/>
      <c r="T410" s="341"/>
      <c r="U410" s="339"/>
      <c r="V410" s="339"/>
      <c r="W410" s="339"/>
      <c r="X410" s="340"/>
      <c r="Y410" s="339"/>
      <c r="Z410" s="339"/>
      <c r="AA410" s="339"/>
      <c r="AB410" s="342"/>
    </row>
    <row r="411" spans="1:28" ht="15.75" customHeight="1">
      <c r="A411" s="339"/>
      <c r="B411" s="339"/>
      <c r="C411" s="339"/>
      <c r="D411" s="339"/>
      <c r="E411" s="339"/>
      <c r="F411" s="339"/>
      <c r="G411" s="340"/>
      <c r="H411" s="339"/>
      <c r="I411" s="339"/>
      <c r="J411" s="340"/>
      <c r="K411" s="339"/>
      <c r="L411" s="341"/>
      <c r="M411" s="339"/>
      <c r="N411" s="341"/>
      <c r="O411" s="341"/>
      <c r="P411" s="339"/>
      <c r="Q411" s="341"/>
      <c r="R411" s="340"/>
      <c r="S411" s="339"/>
      <c r="T411" s="341"/>
      <c r="U411" s="339"/>
      <c r="V411" s="339"/>
      <c r="W411" s="339"/>
      <c r="X411" s="340"/>
      <c r="Y411" s="339"/>
      <c r="Z411" s="339"/>
      <c r="AA411" s="339"/>
      <c r="AB411" s="342"/>
    </row>
    <row r="412" spans="1:28" ht="15.75" customHeight="1">
      <c r="A412" s="339"/>
      <c r="B412" s="339"/>
      <c r="C412" s="339"/>
      <c r="D412" s="339"/>
      <c r="E412" s="339"/>
      <c r="F412" s="339"/>
      <c r="G412" s="340"/>
      <c r="H412" s="339"/>
      <c r="I412" s="339"/>
      <c r="J412" s="340"/>
      <c r="K412" s="339"/>
      <c r="L412" s="341"/>
      <c r="M412" s="339"/>
      <c r="N412" s="341"/>
      <c r="O412" s="341"/>
      <c r="P412" s="339"/>
      <c r="Q412" s="341"/>
      <c r="R412" s="340"/>
      <c r="S412" s="339"/>
      <c r="T412" s="341"/>
      <c r="U412" s="339"/>
      <c r="V412" s="339"/>
      <c r="W412" s="339"/>
      <c r="X412" s="340"/>
      <c r="Y412" s="339"/>
      <c r="Z412" s="339"/>
      <c r="AA412" s="339"/>
      <c r="AB412" s="342"/>
    </row>
    <row r="413" spans="1:28" ht="15.75" customHeight="1">
      <c r="A413" s="339"/>
      <c r="B413" s="339"/>
      <c r="C413" s="339"/>
      <c r="D413" s="339"/>
      <c r="E413" s="339"/>
      <c r="F413" s="339"/>
      <c r="G413" s="340"/>
      <c r="H413" s="339"/>
      <c r="I413" s="339"/>
      <c r="J413" s="340"/>
      <c r="K413" s="339"/>
      <c r="L413" s="341"/>
      <c r="M413" s="339"/>
      <c r="N413" s="341"/>
      <c r="O413" s="341"/>
      <c r="P413" s="339"/>
      <c r="Q413" s="341"/>
      <c r="R413" s="340"/>
      <c r="S413" s="339"/>
      <c r="T413" s="341"/>
      <c r="U413" s="339"/>
      <c r="V413" s="339"/>
      <c r="W413" s="339"/>
      <c r="X413" s="340"/>
      <c r="Y413" s="339"/>
      <c r="Z413" s="339"/>
      <c r="AA413" s="339"/>
      <c r="AB413" s="342"/>
    </row>
    <row r="414" spans="1:28" ht="15.75" customHeight="1">
      <c r="A414" s="339"/>
      <c r="B414" s="339"/>
      <c r="C414" s="339"/>
      <c r="D414" s="339"/>
      <c r="E414" s="339"/>
      <c r="F414" s="339"/>
      <c r="G414" s="340"/>
      <c r="H414" s="339"/>
      <c r="I414" s="339"/>
      <c r="J414" s="340"/>
      <c r="K414" s="339"/>
      <c r="L414" s="341"/>
      <c r="M414" s="339"/>
      <c r="N414" s="341"/>
      <c r="O414" s="341"/>
      <c r="P414" s="339"/>
      <c r="Q414" s="341"/>
      <c r="R414" s="340"/>
      <c r="S414" s="339"/>
      <c r="T414" s="341"/>
      <c r="U414" s="339"/>
      <c r="V414" s="339"/>
      <c r="W414" s="339"/>
      <c r="X414" s="340"/>
      <c r="Y414" s="339"/>
      <c r="Z414" s="339"/>
      <c r="AA414" s="339"/>
      <c r="AB414" s="342"/>
    </row>
    <row r="415" spans="1:28" ht="15.75" customHeight="1">
      <c r="A415" s="339"/>
      <c r="B415" s="339"/>
      <c r="C415" s="339"/>
      <c r="D415" s="339"/>
      <c r="E415" s="339"/>
      <c r="F415" s="339"/>
      <c r="G415" s="340"/>
      <c r="H415" s="339"/>
      <c r="I415" s="339"/>
      <c r="J415" s="340"/>
      <c r="K415" s="339"/>
      <c r="L415" s="341"/>
      <c r="M415" s="339"/>
      <c r="N415" s="341"/>
      <c r="O415" s="341"/>
      <c r="P415" s="339"/>
      <c r="Q415" s="341"/>
      <c r="R415" s="340"/>
      <c r="S415" s="339"/>
      <c r="T415" s="341"/>
      <c r="U415" s="339"/>
      <c r="V415" s="339"/>
      <c r="W415" s="339"/>
      <c r="X415" s="340"/>
      <c r="Y415" s="339"/>
      <c r="Z415" s="339"/>
      <c r="AA415" s="339"/>
      <c r="AB415" s="342"/>
    </row>
    <row r="416" spans="1:28" ht="15.75" customHeight="1">
      <c r="A416" s="339"/>
      <c r="B416" s="339"/>
      <c r="C416" s="339"/>
      <c r="D416" s="339"/>
      <c r="E416" s="339"/>
      <c r="F416" s="339"/>
      <c r="G416" s="340"/>
      <c r="H416" s="339"/>
      <c r="I416" s="339"/>
      <c r="J416" s="340"/>
      <c r="K416" s="339"/>
      <c r="L416" s="341"/>
      <c r="M416" s="339"/>
      <c r="N416" s="341"/>
      <c r="O416" s="341"/>
      <c r="P416" s="339"/>
      <c r="Q416" s="341"/>
      <c r="R416" s="340"/>
      <c r="S416" s="339"/>
      <c r="T416" s="341"/>
      <c r="U416" s="339"/>
      <c r="V416" s="339"/>
      <c r="W416" s="339"/>
      <c r="X416" s="340"/>
      <c r="Y416" s="339"/>
      <c r="Z416" s="339"/>
      <c r="AA416" s="339"/>
      <c r="AB416" s="342"/>
    </row>
    <row r="417" spans="1:28" ht="15.75" customHeight="1">
      <c r="A417" s="339"/>
      <c r="B417" s="339"/>
      <c r="C417" s="339"/>
      <c r="D417" s="339"/>
      <c r="E417" s="339"/>
      <c r="F417" s="339"/>
      <c r="G417" s="340"/>
      <c r="H417" s="339"/>
      <c r="I417" s="339"/>
      <c r="J417" s="340"/>
      <c r="K417" s="339"/>
      <c r="L417" s="341"/>
      <c r="M417" s="339"/>
      <c r="N417" s="341"/>
      <c r="O417" s="341"/>
      <c r="P417" s="339"/>
      <c r="Q417" s="341"/>
      <c r="R417" s="340"/>
      <c r="S417" s="339"/>
      <c r="T417" s="341"/>
      <c r="U417" s="339"/>
      <c r="V417" s="339"/>
      <c r="W417" s="339"/>
      <c r="X417" s="340"/>
      <c r="Y417" s="339"/>
      <c r="Z417" s="339"/>
      <c r="AA417" s="339"/>
      <c r="AB417" s="342"/>
    </row>
    <row r="418" spans="1:28" ht="15.75" customHeight="1">
      <c r="A418" s="339"/>
      <c r="B418" s="339"/>
      <c r="C418" s="339"/>
      <c r="D418" s="339"/>
      <c r="E418" s="339"/>
      <c r="F418" s="339"/>
      <c r="G418" s="340"/>
      <c r="H418" s="339"/>
      <c r="I418" s="339"/>
      <c r="J418" s="340"/>
      <c r="K418" s="339"/>
      <c r="L418" s="341"/>
      <c r="M418" s="339"/>
      <c r="N418" s="341"/>
      <c r="O418" s="341"/>
      <c r="P418" s="339"/>
      <c r="Q418" s="341"/>
      <c r="R418" s="340"/>
      <c r="S418" s="339"/>
      <c r="T418" s="341"/>
      <c r="U418" s="339"/>
      <c r="V418" s="339"/>
      <c r="W418" s="339"/>
      <c r="X418" s="340"/>
      <c r="Y418" s="339"/>
      <c r="Z418" s="339"/>
      <c r="AA418" s="339"/>
      <c r="AB418" s="342"/>
    </row>
    <row r="419" spans="1:28" ht="15.75" customHeight="1">
      <c r="A419" s="339"/>
      <c r="B419" s="339"/>
      <c r="C419" s="339"/>
      <c r="D419" s="339"/>
      <c r="E419" s="339"/>
      <c r="F419" s="339"/>
      <c r="G419" s="340"/>
      <c r="H419" s="339"/>
      <c r="I419" s="339"/>
      <c r="J419" s="340"/>
      <c r="K419" s="339"/>
      <c r="L419" s="341"/>
      <c r="M419" s="339"/>
      <c r="N419" s="341"/>
      <c r="O419" s="341"/>
      <c r="P419" s="339"/>
      <c r="Q419" s="341"/>
      <c r="R419" s="340"/>
      <c r="S419" s="339"/>
      <c r="T419" s="341"/>
      <c r="U419" s="339"/>
      <c r="V419" s="339"/>
      <c r="W419" s="339"/>
      <c r="X419" s="340"/>
      <c r="Y419" s="339"/>
      <c r="Z419" s="339"/>
      <c r="AA419" s="339"/>
      <c r="AB419" s="342"/>
    </row>
    <row r="420" spans="1:28" ht="15.75" customHeight="1">
      <c r="A420" s="339"/>
      <c r="B420" s="339"/>
      <c r="C420" s="339"/>
      <c r="D420" s="339"/>
      <c r="E420" s="339"/>
      <c r="F420" s="339"/>
      <c r="G420" s="340"/>
      <c r="H420" s="339"/>
      <c r="I420" s="339"/>
      <c r="J420" s="340"/>
      <c r="K420" s="339"/>
      <c r="L420" s="341"/>
      <c r="M420" s="339"/>
      <c r="N420" s="341"/>
      <c r="O420" s="341"/>
      <c r="P420" s="339"/>
      <c r="Q420" s="341"/>
      <c r="R420" s="340"/>
      <c r="S420" s="339"/>
      <c r="T420" s="341"/>
      <c r="U420" s="339"/>
      <c r="V420" s="339"/>
      <c r="W420" s="339"/>
      <c r="X420" s="340"/>
      <c r="Y420" s="339"/>
      <c r="Z420" s="339"/>
      <c r="AA420" s="339"/>
      <c r="AB420" s="342"/>
    </row>
    <row r="421" spans="1:28" ht="15.75" customHeight="1">
      <c r="A421" s="339"/>
      <c r="B421" s="339"/>
      <c r="C421" s="339"/>
      <c r="D421" s="339"/>
      <c r="E421" s="339"/>
      <c r="F421" s="339"/>
      <c r="G421" s="340"/>
      <c r="H421" s="339"/>
      <c r="I421" s="339"/>
      <c r="J421" s="340"/>
      <c r="K421" s="339"/>
      <c r="L421" s="341"/>
      <c r="M421" s="339"/>
      <c r="N421" s="341"/>
      <c r="O421" s="341"/>
      <c r="P421" s="339"/>
      <c r="Q421" s="341"/>
      <c r="R421" s="340"/>
      <c r="S421" s="339"/>
      <c r="T421" s="341"/>
      <c r="U421" s="339"/>
      <c r="V421" s="339"/>
      <c r="W421" s="339"/>
      <c r="X421" s="340"/>
      <c r="Y421" s="339"/>
      <c r="Z421" s="339"/>
      <c r="AA421" s="339"/>
      <c r="AB421" s="342"/>
    </row>
    <row r="422" spans="1:28" ht="15.75" customHeight="1">
      <c r="A422" s="339"/>
      <c r="B422" s="339"/>
      <c r="C422" s="339"/>
      <c r="D422" s="339"/>
      <c r="E422" s="339"/>
      <c r="F422" s="339"/>
      <c r="G422" s="340"/>
      <c r="H422" s="339"/>
      <c r="I422" s="339"/>
      <c r="J422" s="340"/>
      <c r="K422" s="339"/>
      <c r="L422" s="341"/>
      <c r="M422" s="339"/>
      <c r="N422" s="341"/>
      <c r="O422" s="341"/>
      <c r="P422" s="339"/>
      <c r="Q422" s="341"/>
      <c r="R422" s="340"/>
      <c r="S422" s="339"/>
      <c r="T422" s="341"/>
      <c r="U422" s="339"/>
      <c r="V422" s="339"/>
      <c r="W422" s="339"/>
      <c r="X422" s="340"/>
      <c r="Y422" s="339"/>
      <c r="Z422" s="339"/>
      <c r="AA422" s="339"/>
      <c r="AB422" s="342"/>
    </row>
    <row r="423" spans="1:28" ht="15.75" customHeight="1">
      <c r="A423" s="339"/>
      <c r="B423" s="339"/>
      <c r="C423" s="339"/>
      <c r="D423" s="339"/>
      <c r="E423" s="339"/>
      <c r="F423" s="339"/>
      <c r="G423" s="340"/>
      <c r="H423" s="339"/>
      <c r="I423" s="339"/>
      <c r="J423" s="340"/>
      <c r="K423" s="339"/>
      <c r="L423" s="341"/>
      <c r="M423" s="339"/>
      <c r="N423" s="341"/>
      <c r="O423" s="341"/>
      <c r="P423" s="339"/>
      <c r="Q423" s="341"/>
      <c r="R423" s="340"/>
      <c r="S423" s="339"/>
      <c r="T423" s="341"/>
      <c r="U423" s="339"/>
      <c r="V423" s="339"/>
      <c r="W423" s="339"/>
      <c r="X423" s="340"/>
      <c r="Y423" s="339"/>
      <c r="Z423" s="339"/>
      <c r="AA423" s="339"/>
      <c r="AB423" s="342"/>
    </row>
    <row r="424" spans="1:28" ht="15.75" customHeight="1">
      <c r="A424" s="339"/>
      <c r="B424" s="339"/>
      <c r="C424" s="339"/>
      <c r="D424" s="339"/>
      <c r="E424" s="339"/>
      <c r="F424" s="339"/>
      <c r="G424" s="340"/>
      <c r="H424" s="339"/>
      <c r="I424" s="339"/>
      <c r="J424" s="340"/>
      <c r="K424" s="339"/>
      <c r="L424" s="341"/>
      <c r="M424" s="339"/>
      <c r="N424" s="341"/>
      <c r="O424" s="341"/>
      <c r="P424" s="339"/>
      <c r="Q424" s="341"/>
      <c r="R424" s="340"/>
      <c r="S424" s="339"/>
      <c r="T424" s="341"/>
      <c r="U424" s="339"/>
      <c r="V424" s="339"/>
      <c r="W424" s="339"/>
      <c r="X424" s="340"/>
      <c r="Y424" s="339"/>
      <c r="Z424" s="339"/>
      <c r="AA424" s="339"/>
      <c r="AB424" s="342"/>
    </row>
    <row r="425" spans="1:28" ht="15.75" customHeight="1">
      <c r="A425" s="339"/>
      <c r="B425" s="339"/>
      <c r="C425" s="339"/>
      <c r="D425" s="339"/>
      <c r="E425" s="339"/>
      <c r="F425" s="339"/>
      <c r="G425" s="340"/>
      <c r="H425" s="339"/>
      <c r="I425" s="339"/>
      <c r="J425" s="340"/>
      <c r="K425" s="339"/>
      <c r="L425" s="341"/>
      <c r="M425" s="339"/>
      <c r="N425" s="341"/>
      <c r="O425" s="341"/>
      <c r="P425" s="339"/>
      <c r="Q425" s="341"/>
      <c r="R425" s="340"/>
      <c r="S425" s="339"/>
      <c r="T425" s="341"/>
      <c r="U425" s="339"/>
      <c r="V425" s="339"/>
      <c r="W425" s="339"/>
      <c r="X425" s="340"/>
      <c r="Y425" s="339"/>
      <c r="Z425" s="339"/>
      <c r="AA425" s="339"/>
      <c r="AB425" s="342"/>
    </row>
    <row r="426" spans="1:28" ht="15.75" customHeight="1">
      <c r="A426" s="339"/>
      <c r="B426" s="339"/>
      <c r="C426" s="339"/>
      <c r="D426" s="339"/>
      <c r="E426" s="339"/>
      <c r="F426" s="339"/>
      <c r="G426" s="340"/>
      <c r="H426" s="339"/>
      <c r="I426" s="339"/>
      <c r="J426" s="340"/>
      <c r="K426" s="339"/>
      <c r="L426" s="341"/>
      <c r="M426" s="339"/>
      <c r="N426" s="341"/>
      <c r="O426" s="341"/>
      <c r="P426" s="339"/>
      <c r="Q426" s="341"/>
      <c r="R426" s="340"/>
      <c r="S426" s="339"/>
      <c r="T426" s="341"/>
      <c r="U426" s="339"/>
      <c r="V426" s="339"/>
      <c r="W426" s="339"/>
      <c r="X426" s="340"/>
      <c r="Y426" s="339"/>
      <c r="Z426" s="339"/>
      <c r="AA426" s="339"/>
      <c r="AB426" s="342"/>
    </row>
    <row r="427" spans="1:28" ht="15.75" customHeight="1">
      <c r="A427" s="339"/>
      <c r="B427" s="339"/>
      <c r="C427" s="339"/>
      <c r="D427" s="339"/>
      <c r="E427" s="339"/>
      <c r="F427" s="339"/>
      <c r="G427" s="340"/>
      <c r="H427" s="339"/>
      <c r="I427" s="339"/>
      <c r="J427" s="340"/>
      <c r="K427" s="339"/>
      <c r="L427" s="341"/>
      <c r="M427" s="339"/>
      <c r="N427" s="341"/>
      <c r="O427" s="341"/>
      <c r="P427" s="339"/>
      <c r="Q427" s="341"/>
      <c r="R427" s="340"/>
      <c r="S427" s="339"/>
      <c r="T427" s="341"/>
      <c r="U427" s="339"/>
      <c r="V427" s="339"/>
      <c r="W427" s="339"/>
      <c r="X427" s="340"/>
      <c r="Y427" s="339"/>
      <c r="Z427" s="339"/>
      <c r="AA427" s="339"/>
      <c r="AB427" s="342"/>
    </row>
    <row r="428" spans="1:28" ht="15.75" customHeight="1">
      <c r="A428" s="339"/>
      <c r="B428" s="339"/>
      <c r="C428" s="339"/>
      <c r="D428" s="339"/>
      <c r="E428" s="339"/>
      <c r="F428" s="339"/>
      <c r="G428" s="340"/>
      <c r="H428" s="339"/>
      <c r="I428" s="339"/>
      <c r="J428" s="340"/>
      <c r="K428" s="339"/>
      <c r="L428" s="341"/>
      <c r="M428" s="339"/>
      <c r="N428" s="341"/>
      <c r="O428" s="341"/>
      <c r="P428" s="339"/>
      <c r="Q428" s="341"/>
      <c r="R428" s="340"/>
      <c r="S428" s="339"/>
      <c r="T428" s="341"/>
      <c r="U428" s="339"/>
      <c r="V428" s="339"/>
      <c r="W428" s="339"/>
      <c r="X428" s="340"/>
      <c r="Y428" s="339"/>
      <c r="Z428" s="339"/>
      <c r="AA428" s="339"/>
      <c r="AB428" s="342"/>
    </row>
    <row r="429" spans="1:28" ht="15.75" customHeight="1">
      <c r="A429" s="339"/>
      <c r="B429" s="339"/>
      <c r="C429" s="339"/>
      <c r="D429" s="339"/>
      <c r="E429" s="339"/>
      <c r="F429" s="339"/>
      <c r="G429" s="340"/>
      <c r="H429" s="339"/>
      <c r="I429" s="339"/>
      <c r="J429" s="340"/>
      <c r="K429" s="339"/>
      <c r="L429" s="341"/>
      <c r="M429" s="339"/>
      <c r="N429" s="341"/>
      <c r="O429" s="341"/>
      <c r="P429" s="339"/>
      <c r="Q429" s="341"/>
      <c r="R429" s="340"/>
      <c r="S429" s="339"/>
      <c r="T429" s="341"/>
      <c r="U429" s="339"/>
      <c r="V429" s="339"/>
      <c r="W429" s="339"/>
      <c r="X429" s="340"/>
      <c r="Y429" s="339"/>
      <c r="Z429" s="339"/>
      <c r="AA429" s="339"/>
      <c r="AB429" s="342"/>
    </row>
    <row r="430" spans="1:28" ht="15.75" customHeight="1">
      <c r="A430" s="339"/>
      <c r="B430" s="339"/>
      <c r="C430" s="339"/>
      <c r="D430" s="339"/>
      <c r="E430" s="339"/>
      <c r="F430" s="339"/>
      <c r="G430" s="340"/>
      <c r="H430" s="339"/>
      <c r="I430" s="339"/>
      <c r="J430" s="340"/>
      <c r="K430" s="339"/>
      <c r="L430" s="341"/>
      <c r="M430" s="339"/>
      <c r="N430" s="341"/>
      <c r="O430" s="341"/>
      <c r="P430" s="339"/>
      <c r="Q430" s="341"/>
      <c r="R430" s="340"/>
      <c r="S430" s="339"/>
      <c r="T430" s="341"/>
      <c r="U430" s="339"/>
      <c r="V430" s="339"/>
      <c r="W430" s="339"/>
      <c r="X430" s="340"/>
      <c r="Y430" s="339"/>
      <c r="Z430" s="339"/>
      <c r="AA430" s="339"/>
      <c r="AB430" s="342"/>
    </row>
    <row r="431" spans="1:28" ht="15.75" customHeight="1">
      <c r="A431" s="339"/>
      <c r="B431" s="339"/>
      <c r="C431" s="339"/>
      <c r="D431" s="339"/>
      <c r="E431" s="339"/>
      <c r="F431" s="339"/>
      <c r="G431" s="340"/>
      <c r="H431" s="339"/>
      <c r="I431" s="339"/>
      <c r="J431" s="340"/>
      <c r="K431" s="339"/>
      <c r="L431" s="341"/>
      <c r="M431" s="339"/>
      <c r="N431" s="341"/>
      <c r="O431" s="341"/>
      <c r="P431" s="339"/>
      <c r="Q431" s="341"/>
      <c r="R431" s="340"/>
      <c r="S431" s="339"/>
      <c r="T431" s="341"/>
      <c r="U431" s="339"/>
      <c r="V431" s="339"/>
      <c r="W431" s="339"/>
      <c r="X431" s="340"/>
      <c r="Y431" s="339"/>
      <c r="Z431" s="339"/>
      <c r="AA431" s="339"/>
      <c r="AB431" s="342"/>
    </row>
    <row r="432" spans="1:28" ht="15.75" customHeight="1">
      <c r="A432" s="339"/>
      <c r="B432" s="339"/>
      <c r="C432" s="339"/>
      <c r="D432" s="339"/>
      <c r="E432" s="339"/>
      <c r="F432" s="339"/>
      <c r="G432" s="340"/>
      <c r="H432" s="339"/>
      <c r="I432" s="339"/>
      <c r="J432" s="340"/>
      <c r="K432" s="339"/>
      <c r="L432" s="341"/>
      <c r="M432" s="339"/>
      <c r="N432" s="341"/>
      <c r="O432" s="341"/>
      <c r="P432" s="339"/>
      <c r="Q432" s="341"/>
      <c r="R432" s="340"/>
      <c r="S432" s="339"/>
      <c r="T432" s="341"/>
      <c r="U432" s="339"/>
      <c r="V432" s="339"/>
      <c r="W432" s="339"/>
      <c r="X432" s="340"/>
      <c r="Y432" s="339"/>
      <c r="Z432" s="339"/>
      <c r="AA432" s="339"/>
      <c r="AB432" s="342"/>
    </row>
    <row r="433" spans="1:28" ht="15.75" customHeight="1">
      <c r="A433" s="339"/>
      <c r="B433" s="339"/>
      <c r="C433" s="339"/>
      <c r="D433" s="339"/>
      <c r="E433" s="339"/>
      <c r="F433" s="339"/>
      <c r="G433" s="340"/>
      <c r="H433" s="339"/>
      <c r="I433" s="339"/>
      <c r="J433" s="340"/>
      <c r="K433" s="339"/>
      <c r="L433" s="341"/>
      <c r="M433" s="339"/>
      <c r="N433" s="341"/>
      <c r="O433" s="341"/>
      <c r="P433" s="339"/>
      <c r="Q433" s="341"/>
      <c r="R433" s="340"/>
      <c r="S433" s="339"/>
      <c r="T433" s="341"/>
      <c r="U433" s="339"/>
      <c r="V433" s="339"/>
      <c r="W433" s="339"/>
      <c r="X433" s="340"/>
      <c r="Y433" s="339"/>
      <c r="Z433" s="339"/>
      <c r="AA433" s="339"/>
      <c r="AB433" s="342"/>
    </row>
    <row r="434" spans="1:28" ht="15.75" customHeight="1">
      <c r="A434" s="339"/>
      <c r="B434" s="339"/>
      <c r="C434" s="339"/>
      <c r="D434" s="339"/>
      <c r="E434" s="339"/>
      <c r="F434" s="339"/>
      <c r="G434" s="340"/>
      <c r="H434" s="339"/>
      <c r="I434" s="339"/>
      <c r="J434" s="340"/>
      <c r="K434" s="339"/>
      <c r="L434" s="341"/>
      <c r="M434" s="339"/>
      <c r="N434" s="341"/>
      <c r="O434" s="341"/>
      <c r="P434" s="339"/>
      <c r="Q434" s="341"/>
      <c r="R434" s="340"/>
      <c r="S434" s="339"/>
      <c r="T434" s="341"/>
      <c r="U434" s="339"/>
      <c r="V434" s="339"/>
      <c r="W434" s="339"/>
      <c r="X434" s="340"/>
      <c r="Y434" s="339"/>
      <c r="Z434" s="339"/>
      <c r="AA434" s="339"/>
      <c r="AB434" s="342"/>
    </row>
    <row r="435" spans="1:28" ht="15.75" customHeight="1">
      <c r="A435" s="339"/>
      <c r="B435" s="339"/>
      <c r="C435" s="339"/>
      <c r="D435" s="339"/>
      <c r="E435" s="339"/>
      <c r="F435" s="339"/>
      <c r="G435" s="340"/>
      <c r="H435" s="339"/>
      <c r="I435" s="339"/>
      <c r="J435" s="340"/>
      <c r="K435" s="339"/>
      <c r="L435" s="341"/>
      <c r="M435" s="339"/>
      <c r="N435" s="341"/>
      <c r="O435" s="341"/>
      <c r="P435" s="339"/>
      <c r="Q435" s="341"/>
      <c r="R435" s="340"/>
      <c r="S435" s="339"/>
      <c r="T435" s="341"/>
      <c r="U435" s="339"/>
      <c r="V435" s="339"/>
      <c r="W435" s="339"/>
      <c r="X435" s="340"/>
      <c r="Y435" s="339"/>
      <c r="Z435" s="339"/>
      <c r="AA435" s="339"/>
      <c r="AB435" s="342"/>
    </row>
    <row r="436" spans="1:28" ht="15.75" customHeight="1">
      <c r="A436" s="339"/>
      <c r="B436" s="339"/>
      <c r="C436" s="339"/>
      <c r="D436" s="339"/>
      <c r="E436" s="339"/>
      <c r="F436" s="339"/>
      <c r="G436" s="340"/>
      <c r="H436" s="339"/>
      <c r="I436" s="339"/>
      <c r="J436" s="340"/>
      <c r="K436" s="339"/>
      <c r="L436" s="341"/>
      <c r="M436" s="339"/>
      <c r="N436" s="341"/>
      <c r="O436" s="341"/>
      <c r="P436" s="339"/>
      <c r="Q436" s="341"/>
      <c r="R436" s="340"/>
      <c r="S436" s="339"/>
      <c r="T436" s="341"/>
      <c r="U436" s="339"/>
      <c r="V436" s="339"/>
      <c r="W436" s="339"/>
      <c r="X436" s="340"/>
      <c r="Y436" s="339"/>
      <c r="Z436" s="339"/>
      <c r="AA436" s="339"/>
      <c r="AB436" s="342"/>
    </row>
    <row r="437" spans="1:28" ht="15.75" customHeight="1">
      <c r="A437" s="339"/>
      <c r="B437" s="339"/>
      <c r="C437" s="339"/>
      <c r="D437" s="339"/>
      <c r="E437" s="339"/>
      <c r="F437" s="339"/>
      <c r="G437" s="340"/>
      <c r="H437" s="339"/>
      <c r="I437" s="339"/>
      <c r="J437" s="340"/>
      <c r="K437" s="339"/>
      <c r="L437" s="341"/>
      <c r="M437" s="339"/>
      <c r="N437" s="341"/>
      <c r="O437" s="341"/>
      <c r="P437" s="339"/>
      <c r="Q437" s="341"/>
      <c r="R437" s="340"/>
      <c r="S437" s="339"/>
      <c r="T437" s="341"/>
      <c r="U437" s="339"/>
      <c r="V437" s="339"/>
      <c r="W437" s="339"/>
      <c r="X437" s="340"/>
      <c r="Y437" s="339"/>
      <c r="Z437" s="339"/>
      <c r="AA437" s="339"/>
      <c r="AB437" s="342"/>
    </row>
    <row r="438" spans="1:28" ht="15.75" customHeight="1">
      <c r="A438" s="339"/>
      <c r="B438" s="339"/>
      <c r="C438" s="339"/>
      <c r="D438" s="339"/>
      <c r="E438" s="339"/>
      <c r="F438" s="339"/>
      <c r="G438" s="340"/>
      <c r="H438" s="339"/>
      <c r="I438" s="339"/>
      <c r="J438" s="340"/>
      <c r="K438" s="339"/>
      <c r="L438" s="341"/>
      <c r="M438" s="339"/>
      <c r="N438" s="341"/>
      <c r="O438" s="341"/>
      <c r="P438" s="339"/>
      <c r="Q438" s="341"/>
      <c r="R438" s="340"/>
      <c r="S438" s="339"/>
      <c r="T438" s="341"/>
      <c r="U438" s="339"/>
      <c r="V438" s="339"/>
      <c r="W438" s="339"/>
      <c r="X438" s="340"/>
      <c r="Y438" s="339"/>
      <c r="Z438" s="339"/>
      <c r="AA438" s="339"/>
      <c r="AB438" s="342"/>
    </row>
    <row r="439" spans="1:28" ht="15.75" customHeight="1">
      <c r="A439" s="339"/>
      <c r="B439" s="339"/>
      <c r="C439" s="339"/>
      <c r="D439" s="339"/>
      <c r="E439" s="339"/>
      <c r="F439" s="339"/>
      <c r="G439" s="340"/>
      <c r="H439" s="339"/>
      <c r="I439" s="339"/>
      <c r="J439" s="340"/>
      <c r="K439" s="339"/>
      <c r="L439" s="341"/>
      <c r="M439" s="339"/>
      <c r="N439" s="341"/>
      <c r="O439" s="341"/>
      <c r="P439" s="339"/>
      <c r="Q439" s="341"/>
      <c r="R439" s="340"/>
      <c r="S439" s="339"/>
      <c r="T439" s="341"/>
      <c r="U439" s="339"/>
      <c r="V439" s="339"/>
      <c r="W439" s="339"/>
      <c r="X439" s="340"/>
      <c r="Y439" s="339"/>
      <c r="Z439" s="339"/>
      <c r="AA439" s="339"/>
      <c r="AB439" s="342"/>
    </row>
    <row r="440" spans="1:28" ht="15.75" customHeight="1">
      <c r="A440" s="339"/>
      <c r="B440" s="339"/>
      <c r="C440" s="339"/>
      <c r="D440" s="339"/>
      <c r="E440" s="339"/>
      <c r="F440" s="339"/>
      <c r="G440" s="340"/>
      <c r="H440" s="339"/>
      <c r="I440" s="339"/>
      <c r="J440" s="340"/>
      <c r="K440" s="339"/>
      <c r="L440" s="341"/>
      <c r="M440" s="339"/>
      <c r="N440" s="341"/>
      <c r="O440" s="341"/>
      <c r="P440" s="339"/>
      <c r="Q440" s="341"/>
      <c r="R440" s="340"/>
      <c r="S440" s="339"/>
      <c r="T440" s="341"/>
      <c r="U440" s="339"/>
      <c r="V440" s="339"/>
      <c r="W440" s="339"/>
      <c r="X440" s="340"/>
      <c r="Y440" s="339"/>
      <c r="Z440" s="339"/>
      <c r="AA440" s="339"/>
      <c r="AB440" s="342"/>
    </row>
    <row r="441" spans="1:28" ht="15.75" customHeight="1">
      <c r="A441" s="339"/>
      <c r="B441" s="339"/>
      <c r="C441" s="339"/>
      <c r="D441" s="339"/>
      <c r="E441" s="339"/>
      <c r="F441" s="339"/>
      <c r="G441" s="340"/>
      <c r="H441" s="339"/>
      <c r="I441" s="339"/>
      <c r="J441" s="340"/>
      <c r="K441" s="339"/>
      <c r="L441" s="341"/>
      <c r="M441" s="339"/>
      <c r="N441" s="341"/>
      <c r="O441" s="341"/>
      <c r="P441" s="339"/>
      <c r="Q441" s="341"/>
      <c r="R441" s="340"/>
      <c r="S441" s="339"/>
      <c r="T441" s="341"/>
      <c r="U441" s="339"/>
      <c r="V441" s="339"/>
      <c r="W441" s="339"/>
      <c r="X441" s="340"/>
      <c r="Y441" s="339"/>
      <c r="Z441" s="339"/>
      <c r="AA441" s="339"/>
      <c r="AB441" s="342"/>
    </row>
    <row r="442" spans="1:28" ht="15.75" customHeight="1">
      <c r="A442" s="339"/>
      <c r="B442" s="339"/>
      <c r="C442" s="339"/>
      <c r="D442" s="339"/>
      <c r="E442" s="339"/>
      <c r="F442" s="339"/>
      <c r="G442" s="340"/>
      <c r="H442" s="339"/>
      <c r="I442" s="339"/>
      <c r="J442" s="340"/>
      <c r="K442" s="339"/>
      <c r="L442" s="341"/>
      <c r="M442" s="339"/>
      <c r="N442" s="341"/>
      <c r="O442" s="341"/>
      <c r="P442" s="339"/>
      <c r="Q442" s="341"/>
      <c r="R442" s="340"/>
      <c r="S442" s="339"/>
      <c r="T442" s="341"/>
      <c r="U442" s="339"/>
      <c r="V442" s="339"/>
      <c r="W442" s="339"/>
      <c r="X442" s="340"/>
      <c r="Y442" s="339"/>
      <c r="Z442" s="339"/>
      <c r="AA442" s="339"/>
      <c r="AB442" s="342"/>
    </row>
    <row r="443" spans="1:28" ht="15.75" customHeight="1">
      <c r="A443" s="339"/>
      <c r="B443" s="339"/>
      <c r="C443" s="339"/>
      <c r="D443" s="339"/>
      <c r="E443" s="339"/>
      <c r="F443" s="339"/>
      <c r="G443" s="340"/>
      <c r="H443" s="339"/>
      <c r="I443" s="339"/>
      <c r="J443" s="340"/>
      <c r="K443" s="339"/>
      <c r="L443" s="341"/>
      <c r="M443" s="339"/>
      <c r="N443" s="341"/>
      <c r="O443" s="341"/>
      <c r="P443" s="339"/>
      <c r="Q443" s="341"/>
      <c r="R443" s="340"/>
      <c r="S443" s="339"/>
      <c r="T443" s="341"/>
      <c r="U443" s="339"/>
      <c r="V443" s="339"/>
      <c r="W443" s="339"/>
      <c r="X443" s="340"/>
      <c r="Y443" s="339"/>
      <c r="Z443" s="339"/>
      <c r="AA443" s="339"/>
      <c r="AB443" s="342"/>
    </row>
    <row r="444" spans="1:28" ht="15.75" customHeight="1">
      <c r="A444" s="339"/>
      <c r="B444" s="339"/>
      <c r="C444" s="339"/>
      <c r="D444" s="339"/>
      <c r="E444" s="339"/>
      <c r="F444" s="339"/>
      <c r="G444" s="340"/>
      <c r="H444" s="339"/>
      <c r="I444" s="339"/>
      <c r="J444" s="340"/>
      <c r="K444" s="339"/>
      <c r="L444" s="341"/>
      <c r="M444" s="339"/>
      <c r="N444" s="341"/>
      <c r="O444" s="341"/>
      <c r="P444" s="339"/>
      <c r="Q444" s="341"/>
      <c r="R444" s="340"/>
      <c r="S444" s="339"/>
      <c r="T444" s="341"/>
      <c r="U444" s="339"/>
      <c r="V444" s="339"/>
      <c r="W444" s="339"/>
      <c r="X444" s="340"/>
      <c r="Y444" s="339"/>
      <c r="Z444" s="339"/>
      <c r="AA444" s="339"/>
      <c r="AB444" s="342"/>
    </row>
    <row r="445" spans="1:28" ht="15.75" customHeight="1">
      <c r="A445" s="339"/>
      <c r="B445" s="339"/>
      <c r="C445" s="339"/>
      <c r="D445" s="339"/>
      <c r="E445" s="339"/>
      <c r="F445" s="339"/>
      <c r="G445" s="340"/>
      <c r="H445" s="339"/>
      <c r="I445" s="339"/>
      <c r="J445" s="340"/>
      <c r="K445" s="339"/>
      <c r="L445" s="341"/>
      <c r="M445" s="339"/>
      <c r="N445" s="341"/>
      <c r="O445" s="341"/>
      <c r="P445" s="339"/>
      <c r="Q445" s="341"/>
      <c r="R445" s="340"/>
      <c r="S445" s="339"/>
      <c r="T445" s="341"/>
      <c r="U445" s="339"/>
      <c r="V445" s="339"/>
      <c r="W445" s="339"/>
      <c r="X445" s="340"/>
      <c r="Y445" s="339"/>
      <c r="Z445" s="339"/>
      <c r="AA445" s="339"/>
      <c r="AB445" s="342"/>
    </row>
    <row r="446" spans="1:28" ht="15.75" customHeight="1">
      <c r="A446" s="339"/>
      <c r="B446" s="339"/>
      <c r="C446" s="339"/>
      <c r="D446" s="339"/>
      <c r="E446" s="339"/>
      <c r="F446" s="339"/>
      <c r="G446" s="340"/>
      <c r="H446" s="339"/>
      <c r="I446" s="339"/>
      <c r="J446" s="340"/>
      <c r="K446" s="339"/>
      <c r="L446" s="341"/>
      <c r="M446" s="339"/>
      <c r="N446" s="341"/>
      <c r="O446" s="341"/>
      <c r="P446" s="339"/>
      <c r="Q446" s="341"/>
      <c r="R446" s="340"/>
      <c r="S446" s="339"/>
      <c r="T446" s="341"/>
      <c r="U446" s="339"/>
      <c r="V446" s="339"/>
      <c r="W446" s="339"/>
      <c r="X446" s="340"/>
      <c r="Y446" s="339"/>
      <c r="Z446" s="339"/>
      <c r="AA446" s="339"/>
      <c r="AB446" s="342"/>
    </row>
    <row r="447" spans="1:28" ht="15.75" customHeight="1">
      <c r="A447" s="339"/>
      <c r="B447" s="339"/>
      <c r="C447" s="339"/>
      <c r="D447" s="339"/>
      <c r="E447" s="339"/>
      <c r="F447" s="339"/>
      <c r="G447" s="340"/>
      <c r="H447" s="339"/>
      <c r="I447" s="339"/>
      <c r="J447" s="340"/>
      <c r="K447" s="339"/>
      <c r="L447" s="341"/>
      <c r="M447" s="339"/>
      <c r="N447" s="341"/>
      <c r="O447" s="341"/>
      <c r="P447" s="339"/>
      <c r="Q447" s="341"/>
      <c r="R447" s="340"/>
      <c r="S447" s="339"/>
      <c r="T447" s="341"/>
      <c r="U447" s="339"/>
      <c r="V447" s="339"/>
      <c r="W447" s="339"/>
      <c r="X447" s="340"/>
      <c r="Y447" s="339"/>
      <c r="Z447" s="339"/>
      <c r="AA447" s="339"/>
      <c r="AB447" s="342"/>
    </row>
    <row r="448" spans="1:28" ht="15.75" customHeight="1">
      <c r="A448" s="339"/>
      <c r="B448" s="339"/>
      <c r="C448" s="339"/>
      <c r="D448" s="339"/>
      <c r="E448" s="339"/>
      <c r="F448" s="339"/>
      <c r="G448" s="340"/>
      <c r="H448" s="339"/>
      <c r="I448" s="339"/>
      <c r="J448" s="340"/>
      <c r="K448" s="339"/>
      <c r="L448" s="341"/>
      <c r="M448" s="339"/>
      <c r="N448" s="341"/>
      <c r="O448" s="341"/>
      <c r="P448" s="339"/>
      <c r="Q448" s="341"/>
      <c r="R448" s="340"/>
      <c r="S448" s="339"/>
      <c r="T448" s="341"/>
      <c r="U448" s="339"/>
      <c r="V448" s="339"/>
      <c r="W448" s="339"/>
      <c r="X448" s="340"/>
      <c r="Y448" s="339"/>
      <c r="Z448" s="339"/>
      <c r="AA448" s="339"/>
      <c r="AB448" s="342"/>
    </row>
    <row r="449" spans="1:28" ht="15.75" customHeight="1">
      <c r="A449" s="339"/>
      <c r="B449" s="339"/>
      <c r="C449" s="339"/>
      <c r="D449" s="339"/>
      <c r="E449" s="339"/>
      <c r="F449" s="339"/>
      <c r="G449" s="340"/>
      <c r="H449" s="339"/>
      <c r="I449" s="339"/>
      <c r="J449" s="340"/>
      <c r="K449" s="339"/>
      <c r="L449" s="341"/>
      <c r="M449" s="339"/>
      <c r="N449" s="341"/>
      <c r="O449" s="341"/>
      <c r="P449" s="339"/>
      <c r="Q449" s="341"/>
      <c r="R449" s="340"/>
      <c r="S449" s="339"/>
      <c r="T449" s="341"/>
      <c r="U449" s="339"/>
      <c r="V449" s="339"/>
      <c r="W449" s="339"/>
      <c r="X449" s="340"/>
      <c r="Y449" s="339"/>
      <c r="Z449" s="339"/>
      <c r="AA449" s="339"/>
      <c r="AB449" s="342"/>
    </row>
    <row r="450" spans="1:28" ht="15.75" customHeight="1">
      <c r="A450" s="339"/>
      <c r="B450" s="339"/>
      <c r="C450" s="339"/>
      <c r="D450" s="339"/>
      <c r="E450" s="339"/>
      <c r="F450" s="339"/>
      <c r="G450" s="340"/>
      <c r="H450" s="339"/>
      <c r="I450" s="339"/>
      <c r="J450" s="340"/>
      <c r="K450" s="339"/>
      <c r="L450" s="341"/>
      <c r="M450" s="339"/>
      <c r="N450" s="341"/>
      <c r="O450" s="341"/>
      <c r="P450" s="339"/>
      <c r="Q450" s="341"/>
      <c r="R450" s="340"/>
      <c r="S450" s="339"/>
      <c r="T450" s="341"/>
      <c r="U450" s="339"/>
      <c r="V450" s="339"/>
      <c r="W450" s="339"/>
      <c r="X450" s="340"/>
      <c r="Y450" s="339"/>
      <c r="Z450" s="339"/>
      <c r="AA450" s="339"/>
      <c r="AB450" s="342"/>
    </row>
    <row r="451" spans="1:28" ht="15.75" customHeight="1">
      <c r="A451" s="339"/>
      <c r="B451" s="339"/>
      <c r="C451" s="339"/>
      <c r="D451" s="339"/>
      <c r="E451" s="339"/>
      <c r="F451" s="339"/>
      <c r="G451" s="340"/>
      <c r="H451" s="339"/>
      <c r="I451" s="339"/>
      <c r="J451" s="340"/>
      <c r="K451" s="339"/>
      <c r="L451" s="341"/>
      <c r="M451" s="339"/>
      <c r="N451" s="341"/>
      <c r="O451" s="341"/>
      <c r="P451" s="339"/>
      <c r="Q451" s="341"/>
      <c r="R451" s="340"/>
      <c r="S451" s="339"/>
      <c r="T451" s="341"/>
      <c r="U451" s="339"/>
      <c r="V451" s="339"/>
      <c r="W451" s="339"/>
      <c r="X451" s="340"/>
      <c r="Y451" s="339"/>
      <c r="Z451" s="339"/>
      <c r="AA451" s="339"/>
      <c r="AB451" s="342"/>
    </row>
    <row r="452" spans="1:28" ht="15.75" customHeight="1">
      <c r="A452" s="339"/>
      <c r="B452" s="339"/>
      <c r="C452" s="339"/>
      <c r="D452" s="339"/>
      <c r="E452" s="339"/>
      <c r="F452" s="339"/>
      <c r="G452" s="340"/>
      <c r="H452" s="339"/>
      <c r="I452" s="339"/>
      <c r="J452" s="340"/>
      <c r="K452" s="339"/>
      <c r="L452" s="341"/>
      <c r="M452" s="339"/>
      <c r="N452" s="341"/>
      <c r="O452" s="341"/>
      <c r="P452" s="339"/>
      <c r="Q452" s="341"/>
      <c r="R452" s="340"/>
      <c r="S452" s="339"/>
      <c r="T452" s="341"/>
      <c r="U452" s="339"/>
      <c r="V452" s="339"/>
      <c r="W452" s="339"/>
      <c r="X452" s="340"/>
      <c r="Y452" s="339"/>
      <c r="Z452" s="339"/>
      <c r="AA452" s="339"/>
      <c r="AB452" s="342"/>
    </row>
    <row r="453" spans="1:28" ht="15.75" customHeight="1">
      <c r="A453" s="339"/>
      <c r="B453" s="339"/>
      <c r="C453" s="339"/>
      <c r="D453" s="339"/>
      <c r="E453" s="339"/>
      <c r="F453" s="339"/>
      <c r="G453" s="340"/>
      <c r="H453" s="339"/>
      <c r="I453" s="339"/>
      <c r="J453" s="340"/>
      <c r="K453" s="339"/>
      <c r="L453" s="341"/>
      <c r="M453" s="339"/>
      <c r="N453" s="341"/>
      <c r="O453" s="341"/>
      <c r="P453" s="339"/>
      <c r="Q453" s="341"/>
      <c r="R453" s="340"/>
      <c r="S453" s="339"/>
      <c r="T453" s="341"/>
      <c r="U453" s="339"/>
      <c r="V453" s="339"/>
      <c r="W453" s="339"/>
      <c r="X453" s="340"/>
      <c r="Y453" s="339"/>
      <c r="Z453" s="339"/>
      <c r="AA453" s="339"/>
      <c r="AB453" s="342"/>
    </row>
    <row r="454" spans="1:28" ht="15.75" customHeight="1">
      <c r="A454" s="339"/>
      <c r="B454" s="339"/>
      <c r="C454" s="339"/>
      <c r="D454" s="339"/>
      <c r="E454" s="339"/>
      <c r="F454" s="339"/>
      <c r="G454" s="340"/>
      <c r="H454" s="339"/>
      <c r="I454" s="339"/>
      <c r="J454" s="340"/>
      <c r="K454" s="339"/>
      <c r="L454" s="341"/>
      <c r="M454" s="339"/>
      <c r="N454" s="341"/>
      <c r="O454" s="341"/>
      <c r="P454" s="339"/>
      <c r="Q454" s="341"/>
      <c r="R454" s="340"/>
      <c r="S454" s="339"/>
      <c r="T454" s="341"/>
      <c r="U454" s="339"/>
      <c r="V454" s="339"/>
      <c r="W454" s="339"/>
      <c r="X454" s="340"/>
      <c r="Y454" s="339"/>
      <c r="Z454" s="339"/>
      <c r="AA454" s="339"/>
      <c r="AB454" s="342"/>
    </row>
    <row r="455" spans="1:28" ht="15.75" customHeight="1">
      <c r="A455" s="339"/>
      <c r="B455" s="339"/>
      <c r="C455" s="339"/>
      <c r="D455" s="339"/>
      <c r="E455" s="339"/>
      <c r="F455" s="339"/>
      <c r="G455" s="340"/>
      <c r="H455" s="339"/>
      <c r="I455" s="339"/>
      <c r="J455" s="340"/>
      <c r="K455" s="339"/>
      <c r="L455" s="341"/>
      <c r="M455" s="339"/>
      <c r="N455" s="341"/>
      <c r="O455" s="341"/>
      <c r="P455" s="339"/>
      <c r="Q455" s="341"/>
      <c r="R455" s="340"/>
      <c r="S455" s="339"/>
      <c r="T455" s="341"/>
      <c r="U455" s="339"/>
      <c r="V455" s="339"/>
      <c r="W455" s="339"/>
      <c r="X455" s="340"/>
      <c r="Y455" s="339"/>
      <c r="Z455" s="339"/>
      <c r="AA455" s="339"/>
      <c r="AB455" s="342"/>
    </row>
    <row r="456" spans="1:28" ht="15.75" customHeight="1">
      <c r="A456" s="339"/>
      <c r="B456" s="339"/>
      <c r="C456" s="339"/>
      <c r="D456" s="339"/>
      <c r="E456" s="339"/>
      <c r="F456" s="339"/>
      <c r="G456" s="340"/>
      <c r="H456" s="339"/>
      <c r="I456" s="339"/>
      <c r="J456" s="340"/>
      <c r="K456" s="339"/>
      <c r="L456" s="341"/>
      <c r="M456" s="339"/>
      <c r="N456" s="341"/>
      <c r="O456" s="341"/>
      <c r="P456" s="339"/>
      <c r="Q456" s="341"/>
      <c r="R456" s="340"/>
      <c r="S456" s="339"/>
      <c r="T456" s="341"/>
      <c r="U456" s="339"/>
      <c r="V456" s="339"/>
      <c r="W456" s="339"/>
      <c r="X456" s="340"/>
      <c r="Y456" s="339"/>
      <c r="Z456" s="339"/>
      <c r="AA456" s="339"/>
      <c r="AB456" s="342"/>
    </row>
    <row r="457" spans="1:28" ht="15.75" customHeight="1">
      <c r="A457" s="339"/>
      <c r="B457" s="339"/>
      <c r="C457" s="339"/>
      <c r="D457" s="339"/>
      <c r="E457" s="339"/>
      <c r="F457" s="339"/>
      <c r="G457" s="340"/>
      <c r="H457" s="339"/>
      <c r="I457" s="339"/>
      <c r="J457" s="340"/>
      <c r="K457" s="339"/>
      <c r="L457" s="341"/>
      <c r="M457" s="339"/>
      <c r="N457" s="341"/>
      <c r="O457" s="341"/>
      <c r="P457" s="339"/>
      <c r="Q457" s="341"/>
      <c r="R457" s="340"/>
      <c r="S457" s="339"/>
      <c r="T457" s="341"/>
      <c r="U457" s="339"/>
      <c r="V457" s="339"/>
      <c r="W457" s="339"/>
      <c r="X457" s="340"/>
      <c r="Y457" s="339"/>
      <c r="Z457" s="339"/>
      <c r="AA457" s="339"/>
      <c r="AB457" s="342"/>
    </row>
    <row r="458" spans="1:28" ht="15.75" customHeight="1">
      <c r="A458" s="339"/>
      <c r="B458" s="339"/>
      <c r="C458" s="339"/>
      <c r="D458" s="339"/>
      <c r="E458" s="339"/>
      <c r="F458" s="339"/>
      <c r="G458" s="340"/>
      <c r="H458" s="339"/>
      <c r="I458" s="339"/>
      <c r="J458" s="340"/>
      <c r="K458" s="339"/>
      <c r="L458" s="341"/>
      <c r="M458" s="339"/>
      <c r="N458" s="341"/>
      <c r="O458" s="341"/>
      <c r="P458" s="339"/>
      <c r="Q458" s="341"/>
      <c r="R458" s="340"/>
      <c r="S458" s="339"/>
      <c r="T458" s="341"/>
      <c r="U458" s="339"/>
      <c r="V458" s="339"/>
      <c r="W458" s="339"/>
      <c r="X458" s="340"/>
      <c r="Y458" s="339"/>
      <c r="Z458" s="339"/>
      <c r="AA458" s="339"/>
      <c r="AB458" s="342"/>
    </row>
    <row r="459" spans="1:28" ht="15.75" customHeight="1">
      <c r="A459" s="339"/>
      <c r="B459" s="339"/>
      <c r="C459" s="339"/>
      <c r="D459" s="339"/>
      <c r="E459" s="339"/>
      <c r="F459" s="339"/>
      <c r="G459" s="340"/>
      <c r="H459" s="339"/>
      <c r="I459" s="339"/>
      <c r="J459" s="340"/>
      <c r="K459" s="339"/>
      <c r="L459" s="341"/>
      <c r="M459" s="339"/>
      <c r="N459" s="341"/>
      <c r="O459" s="341"/>
      <c r="P459" s="339"/>
      <c r="Q459" s="341"/>
      <c r="R459" s="340"/>
      <c r="S459" s="339"/>
      <c r="T459" s="341"/>
      <c r="U459" s="339"/>
      <c r="V459" s="339"/>
      <c r="W459" s="339"/>
      <c r="X459" s="340"/>
      <c r="Y459" s="339"/>
      <c r="Z459" s="339"/>
      <c r="AA459" s="339"/>
      <c r="AB459" s="342"/>
    </row>
    <row r="460" spans="1:28" ht="15.75" customHeight="1">
      <c r="A460" s="339"/>
      <c r="B460" s="339"/>
      <c r="C460" s="339"/>
      <c r="D460" s="339"/>
      <c r="E460" s="339"/>
      <c r="F460" s="339"/>
      <c r="G460" s="340"/>
      <c r="H460" s="339"/>
      <c r="I460" s="339"/>
      <c r="J460" s="340"/>
      <c r="K460" s="339"/>
      <c r="L460" s="341"/>
      <c r="M460" s="339"/>
      <c r="N460" s="341"/>
      <c r="O460" s="341"/>
      <c r="P460" s="339"/>
      <c r="Q460" s="341"/>
      <c r="R460" s="340"/>
      <c r="S460" s="339"/>
      <c r="T460" s="341"/>
      <c r="U460" s="339"/>
      <c r="V460" s="339"/>
      <c r="W460" s="339"/>
      <c r="X460" s="340"/>
      <c r="Y460" s="339"/>
      <c r="Z460" s="339"/>
      <c r="AA460" s="339"/>
      <c r="AB460" s="342"/>
    </row>
    <row r="461" spans="1:28" ht="15.75" customHeight="1">
      <c r="A461" s="339"/>
      <c r="B461" s="339"/>
      <c r="C461" s="339"/>
      <c r="D461" s="339"/>
      <c r="E461" s="339"/>
      <c r="F461" s="339"/>
      <c r="G461" s="340"/>
      <c r="H461" s="339"/>
      <c r="I461" s="339"/>
      <c r="J461" s="340"/>
      <c r="K461" s="339"/>
      <c r="L461" s="341"/>
      <c r="M461" s="339"/>
      <c r="N461" s="341"/>
      <c r="O461" s="341"/>
      <c r="P461" s="339"/>
      <c r="Q461" s="341"/>
      <c r="R461" s="340"/>
      <c r="S461" s="339"/>
      <c r="T461" s="341"/>
      <c r="U461" s="339"/>
      <c r="V461" s="339"/>
      <c r="W461" s="339"/>
      <c r="X461" s="340"/>
      <c r="Y461" s="339"/>
      <c r="Z461" s="339"/>
      <c r="AA461" s="339"/>
      <c r="AB461" s="342"/>
    </row>
    <row r="462" spans="1:28" ht="15.75" customHeight="1">
      <c r="A462" s="339"/>
      <c r="B462" s="339"/>
      <c r="C462" s="339"/>
      <c r="D462" s="339"/>
      <c r="E462" s="339"/>
      <c r="F462" s="339"/>
      <c r="G462" s="340"/>
      <c r="H462" s="339"/>
      <c r="I462" s="339"/>
      <c r="J462" s="340"/>
      <c r="K462" s="339"/>
      <c r="L462" s="341"/>
      <c r="M462" s="339"/>
      <c r="N462" s="341"/>
      <c r="O462" s="341"/>
      <c r="P462" s="339"/>
      <c r="Q462" s="341"/>
      <c r="R462" s="340"/>
      <c r="S462" s="339"/>
      <c r="T462" s="341"/>
      <c r="U462" s="339"/>
      <c r="V462" s="339"/>
      <c r="W462" s="339"/>
      <c r="X462" s="340"/>
      <c r="Y462" s="339"/>
      <c r="Z462" s="339"/>
      <c r="AA462" s="339"/>
      <c r="AB462" s="342"/>
    </row>
    <row r="463" spans="1:28" ht="15.75" customHeight="1">
      <c r="A463" s="339"/>
      <c r="B463" s="339"/>
      <c r="C463" s="339"/>
      <c r="D463" s="339"/>
      <c r="E463" s="339"/>
      <c r="F463" s="339"/>
      <c r="G463" s="340"/>
      <c r="H463" s="339"/>
      <c r="I463" s="339"/>
      <c r="J463" s="340"/>
      <c r="K463" s="339"/>
      <c r="L463" s="341"/>
      <c r="M463" s="339"/>
      <c r="N463" s="341"/>
      <c r="O463" s="341"/>
      <c r="P463" s="339"/>
      <c r="Q463" s="341"/>
      <c r="R463" s="340"/>
      <c r="S463" s="339"/>
      <c r="T463" s="341"/>
      <c r="U463" s="339"/>
      <c r="V463" s="339"/>
      <c r="W463" s="339"/>
      <c r="X463" s="340"/>
      <c r="Y463" s="339"/>
      <c r="Z463" s="339"/>
      <c r="AA463" s="339"/>
      <c r="AB463" s="342"/>
    </row>
    <row r="464" spans="1:28" ht="15.75" customHeight="1">
      <c r="A464" s="339"/>
      <c r="B464" s="339"/>
      <c r="C464" s="339"/>
      <c r="D464" s="339"/>
      <c r="E464" s="339"/>
      <c r="F464" s="339"/>
      <c r="G464" s="340"/>
      <c r="H464" s="339"/>
      <c r="I464" s="339"/>
      <c r="J464" s="340"/>
      <c r="K464" s="339"/>
      <c r="L464" s="341"/>
      <c r="M464" s="339"/>
      <c r="N464" s="341"/>
      <c r="O464" s="341"/>
      <c r="P464" s="339"/>
      <c r="Q464" s="341"/>
      <c r="R464" s="340"/>
      <c r="S464" s="339"/>
      <c r="T464" s="341"/>
      <c r="U464" s="339"/>
      <c r="V464" s="339"/>
      <c r="W464" s="339"/>
      <c r="X464" s="340"/>
      <c r="Y464" s="339"/>
      <c r="Z464" s="339"/>
      <c r="AA464" s="339"/>
      <c r="AB464" s="342"/>
    </row>
    <row r="465" spans="1:28" ht="15.75" customHeight="1">
      <c r="A465" s="339"/>
      <c r="B465" s="339"/>
      <c r="C465" s="339"/>
      <c r="D465" s="339"/>
      <c r="E465" s="339"/>
      <c r="F465" s="339"/>
      <c r="G465" s="340"/>
      <c r="H465" s="339"/>
      <c r="I465" s="339"/>
      <c r="J465" s="340"/>
      <c r="K465" s="339"/>
      <c r="L465" s="341"/>
      <c r="M465" s="339"/>
      <c r="N465" s="341"/>
      <c r="O465" s="341"/>
      <c r="P465" s="339"/>
      <c r="Q465" s="341"/>
      <c r="R465" s="340"/>
      <c r="S465" s="339"/>
      <c r="T465" s="341"/>
      <c r="U465" s="339"/>
      <c r="V465" s="339"/>
      <c r="W465" s="339"/>
      <c r="X465" s="340"/>
      <c r="Y465" s="339"/>
      <c r="Z465" s="339"/>
      <c r="AA465" s="339"/>
      <c r="AB465" s="342"/>
    </row>
    <row r="466" spans="1:28" ht="15.75" customHeight="1">
      <c r="A466" s="339"/>
      <c r="B466" s="339"/>
      <c r="C466" s="339"/>
      <c r="D466" s="339"/>
      <c r="E466" s="339"/>
      <c r="F466" s="339"/>
      <c r="G466" s="340"/>
      <c r="H466" s="339"/>
      <c r="I466" s="339"/>
      <c r="J466" s="340"/>
      <c r="K466" s="339"/>
      <c r="L466" s="341"/>
      <c r="M466" s="339"/>
      <c r="N466" s="341"/>
      <c r="O466" s="341"/>
      <c r="P466" s="339"/>
      <c r="Q466" s="341"/>
      <c r="R466" s="340"/>
      <c r="S466" s="339"/>
      <c r="T466" s="341"/>
      <c r="U466" s="339"/>
      <c r="V466" s="339"/>
      <c r="W466" s="339"/>
      <c r="X466" s="340"/>
      <c r="Y466" s="339"/>
      <c r="Z466" s="339"/>
      <c r="AA466" s="339"/>
      <c r="AB466" s="342"/>
    </row>
    <row r="467" spans="1:28" ht="15.75" customHeight="1">
      <c r="A467" s="339"/>
      <c r="B467" s="339"/>
      <c r="C467" s="339"/>
      <c r="D467" s="339"/>
      <c r="E467" s="339"/>
      <c r="F467" s="339"/>
      <c r="G467" s="340"/>
      <c r="H467" s="339"/>
      <c r="I467" s="339"/>
      <c r="J467" s="340"/>
      <c r="K467" s="339"/>
      <c r="L467" s="341"/>
      <c r="M467" s="339"/>
      <c r="N467" s="341"/>
      <c r="O467" s="341"/>
      <c r="P467" s="339"/>
      <c r="Q467" s="341"/>
      <c r="R467" s="340"/>
      <c r="S467" s="339"/>
      <c r="T467" s="341"/>
      <c r="U467" s="339"/>
      <c r="V467" s="339"/>
      <c r="W467" s="339"/>
      <c r="X467" s="340"/>
      <c r="Y467" s="339"/>
      <c r="Z467" s="339"/>
      <c r="AA467" s="339"/>
      <c r="AB467" s="342"/>
    </row>
    <row r="468" spans="1:28" ht="15.75" customHeight="1">
      <c r="A468" s="339"/>
      <c r="B468" s="339"/>
      <c r="C468" s="339"/>
      <c r="D468" s="339"/>
      <c r="E468" s="339"/>
      <c r="F468" s="339"/>
      <c r="G468" s="340"/>
      <c r="H468" s="339"/>
      <c r="I468" s="339"/>
      <c r="J468" s="340"/>
      <c r="K468" s="339"/>
      <c r="L468" s="341"/>
      <c r="M468" s="339"/>
      <c r="N468" s="341"/>
      <c r="O468" s="341"/>
      <c r="P468" s="339"/>
      <c r="Q468" s="341"/>
      <c r="R468" s="340"/>
      <c r="S468" s="339"/>
      <c r="T468" s="341"/>
      <c r="U468" s="339"/>
      <c r="V468" s="339"/>
      <c r="W468" s="339"/>
      <c r="X468" s="340"/>
      <c r="Y468" s="339"/>
      <c r="Z468" s="339"/>
      <c r="AA468" s="339"/>
      <c r="AB468" s="342"/>
    </row>
    <row r="469" spans="1:28" ht="15.75" customHeight="1">
      <c r="A469" s="339"/>
      <c r="B469" s="339"/>
      <c r="C469" s="339"/>
      <c r="D469" s="339"/>
      <c r="E469" s="339"/>
      <c r="F469" s="339"/>
      <c r="G469" s="340"/>
      <c r="H469" s="339"/>
      <c r="I469" s="339"/>
      <c r="J469" s="340"/>
      <c r="K469" s="339"/>
      <c r="L469" s="341"/>
      <c r="M469" s="339"/>
      <c r="N469" s="341"/>
      <c r="O469" s="341"/>
      <c r="P469" s="339"/>
      <c r="Q469" s="341"/>
      <c r="R469" s="340"/>
      <c r="S469" s="339"/>
      <c r="T469" s="341"/>
      <c r="U469" s="339"/>
      <c r="V469" s="339"/>
      <c r="W469" s="339"/>
      <c r="X469" s="340"/>
      <c r="Y469" s="339"/>
      <c r="Z469" s="339"/>
      <c r="AA469" s="339"/>
      <c r="AB469" s="342"/>
    </row>
    <row r="470" spans="1:28" ht="15.75" customHeight="1">
      <c r="A470" s="339"/>
      <c r="B470" s="339"/>
      <c r="C470" s="339"/>
      <c r="D470" s="339"/>
      <c r="E470" s="339"/>
      <c r="F470" s="339"/>
      <c r="G470" s="340"/>
      <c r="H470" s="339"/>
      <c r="I470" s="339"/>
      <c r="J470" s="340"/>
      <c r="K470" s="339"/>
      <c r="L470" s="341"/>
      <c r="M470" s="339"/>
      <c r="N470" s="341"/>
      <c r="O470" s="341"/>
      <c r="P470" s="339"/>
      <c r="Q470" s="341"/>
      <c r="R470" s="340"/>
      <c r="S470" s="339"/>
      <c r="T470" s="341"/>
      <c r="U470" s="339"/>
      <c r="V470" s="339"/>
      <c r="W470" s="339"/>
      <c r="X470" s="340"/>
      <c r="Y470" s="339"/>
      <c r="Z470" s="339"/>
      <c r="AA470" s="339"/>
      <c r="AB470" s="342"/>
    </row>
    <row r="471" spans="1:28" ht="15.75" customHeight="1">
      <c r="A471" s="339"/>
      <c r="B471" s="339"/>
      <c r="C471" s="339"/>
      <c r="D471" s="339"/>
      <c r="E471" s="339"/>
      <c r="F471" s="339"/>
      <c r="G471" s="340"/>
      <c r="H471" s="339"/>
      <c r="I471" s="339"/>
      <c r="J471" s="340"/>
      <c r="K471" s="339"/>
      <c r="L471" s="341"/>
      <c r="M471" s="339"/>
      <c r="N471" s="341"/>
      <c r="O471" s="341"/>
      <c r="P471" s="339"/>
      <c r="Q471" s="341"/>
      <c r="R471" s="340"/>
      <c r="S471" s="339"/>
      <c r="T471" s="341"/>
      <c r="U471" s="339"/>
      <c r="V471" s="339"/>
      <c r="W471" s="339"/>
      <c r="X471" s="340"/>
      <c r="Y471" s="339"/>
      <c r="Z471" s="339"/>
      <c r="AA471" s="339"/>
      <c r="AB471" s="342"/>
    </row>
    <row r="472" spans="1:28" ht="15.75" customHeight="1">
      <c r="A472" s="339"/>
      <c r="B472" s="339"/>
      <c r="C472" s="339"/>
      <c r="D472" s="339"/>
      <c r="E472" s="339"/>
      <c r="F472" s="339"/>
      <c r="G472" s="340"/>
      <c r="H472" s="339"/>
      <c r="I472" s="339"/>
      <c r="J472" s="340"/>
      <c r="K472" s="339"/>
      <c r="L472" s="341"/>
      <c r="M472" s="339"/>
      <c r="N472" s="341"/>
      <c r="O472" s="341"/>
      <c r="P472" s="339"/>
      <c r="Q472" s="341"/>
      <c r="R472" s="340"/>
      <c r="S472" s="339"/>
      <c r="T472" s="341"/>
      <c r="U472" s="339"/>
      <c r="V472" s="339"/>
      <c r="W472" s="339"/>
      <c r="X472" s="340"/>
      <c r="Y472" s="339"/>
      <c r="Z472" s="339"/>
      <c r="AA472" s="339"/>
      <c r="AB472" s="342"/>
    </row>
    <row r="473" spans="1:28" ht="15.75" customHeight="1">
      <c r="A473" s="339"/>
      <c r="B473" s="339"/>
      <c r="C473" s="339"/>
      <c r="D473" s="339"/>
      <c r="E473" s="339"/>
      <c r="F473" s="339"/>
      <c r="G473" s="340"/>
      <c r="H473" s="339"/>
      <c r="I473" s="339"/>
      <c r="J473" s="340"/>
      <c r="K473" s="339"/>
      <c r="L473" s="341"/>
      <c r="M473" s="339"/>
      <c r="N473" s="341"/>
      <c r="O473" s="341"/>
      <c r="P473" s="339"/>
      <c r="Q473" s="341"/>
      <c r="R473" s="340"/>
      <c r="S473" s="339"/>
      <c r="T473" s="341"/>
      <c r="U473" s="339"/>
      <c r="V473" s="339"/>
      <c r="W473" s="339"/>
      <c r="X473" s="340"/>
      <c r="Y473" s="339"/>
      <c r="Z473" s="339"/>
      <c r="AA473" s="339"/>
      <c r="AB473" s="342"/>
    </row>
    <row r="474" spans="1:28" ht="15.75" customHeight="1">
      <c r="A474" s="339"/>
      <c r="B474" s="339"/>
      <c r="C474" s="339"/>
      <c r="D474" s="339"/>
      <c r="E474" s="339"/>
      <c r="F474" s="339"/>
      <c r="G474" s="340"/>
      <c r="H474" s="339"/>
      <c r="I474" s="339"/>
      <c r="J474" s="340"/>
      <c r="K474" s="339"/>
      <c r="L474" s="341"/>
      <c r="M474" s="339"/>
      <c r="N474" s="341"/>
      <c r="O474" s="341"/>
      <c r="P474" s="339"/>
      <c r="Q474" s="341"/>
      <c r="R474" s="340"/>
      <c r="S474" s="339"/>
      <c r="T474" s="341"/>
      <c r="U474" s="339"/>
      <c r="V474" s="339"/>
      <c r="W474" s="339"/>
      <c r="X474" s="340"/>
      <c r="Y474" s="339"/>
      <c r="Z474" s="339"/>
      <c r="AA474" s="339"/>
      <c r="AB474" s="342"/>
    </row>
    <row r="475" spans="1:28" ht="15.75" customHeight="1">
      <c r="A475" s="339"/>
      <c r="B475" s="339"/>
      <c r="C475" s="339"/>
      <c r="D475" s="339"/>
      <c r="E475" s="339"/>
      <c r="F475" s="339"/>
      <c r="G475" s="340"/>
      <c r="H475" s="339"/>
      <c r="I475" s="339"/>
      <c r="J475" s="340"/>
      <c r="K475" s="339"/>
      <c r="L475" s="341"/>
      <c r="M475" s="339"/>
      <c r="N475" s="341"/>
      <c r="O475" s="341"/>
      <c r="P475" s="339"/>
      <c r="Q475" s="341"/>
      <c r="R475" s="340"/>
      <c r="S475" s="339"/>
      <c r="T475" s="341"/>
      <c r="U475" s="339"/>
      <c r="V475" s="339"/>
      <c r="W475" s="339"/>
      <c r="X475" s="340"/>
      <c r="Y475" s="339"/>
      <c r="Z475" s="339"/>
      <c r="AA475" s="339"/>
      <c r="AB475" s="342"/>
    </row>
    <row r="476" spans="1:28" ht="15.75" customHeight="1">
      <c r="A476" s="339"/>
      <c r="B476" s="339"/>
      <c r="C476" s="339"/>
      <c r="D476" s="339"/>
      <c r="E476" s="339"/>
      <c r="F476" s="339"/>
      <c r="G476" s="340"/>
      <c r="H476" s="339"/>
      <c r="I476" s="339"/>
      <c r="J476" s="340"/>
      <c r="K476" s="339"/>
      <c r="L476" s="341"/>
      <c r="M476" s="339"/>
      <c r="N476" s="341"/>
      <c r="O476" s="341"/>
      <c r="P476" s="339"/>
      <c r="Q476" s="341"/>
      <c r="R476" s="340"/>
      <c r="S476" s="339"/>
      <c r="T476" s="341"/>
      <c r="U476" s="339"/>
      <c r="V476" s="339"/>
      <c r="W476" s="339"/>
      <c r="X476" s="340"/>
      <c r="Y476" s="339"/>
      <c r="Z476" s="339"/>
      <c r="AA476" s="339"/>
      <c r="AB476" s="342"/>
    </row>
    <row r="477" spans="1:28" ht="15.75" customHeight="1">
      <c r="A477" s="339"/>
      <c r="B477" s="339"/>
      <c r="C477" s="339"/>
      <c r="D477" s="339"/>
      <c r="E477" s="339"/>
      <c r="F477" s="339"/>
      <c r="G477" s="340"/>
      <c r="H477" s="339"/>
      <c r="I477" s="339"/>
      <c r="J477" s="340"/>
      <c r="K477" s="339"/>
      <c r="L477" s="341"/>
      <c r="M477" s="339"/>
      <c r="N477" s="341"/>
      <c r="O477" s="341"/>
      <c r="P477" s="339"/>
      <c r="Q477" s="341"/>
      <c r="R477" s="340"/>
      <c r="S477" s="339"/>
      <c r="T477" s="341"/>
      <c r="U477" s="339"/>
      <c r="V477" s="339"/>
      <c r="W477" s="339"/>
      <c r="X477" s="340"/>
      <c r="Y477" s="339"/>
      <c r="Z477" s="339"/>
      <c r="AA477" s="339"/>
      <c r="AB477" s="342"/>
    </row>
    <row r="478" spans="1:28" ht="15.75" customHeight="1">
      <c r="A478" s="339"/>
      <c r="B478" s="339"/>
      <c r="C478" s="339"/>
      <c r="D478" s="339"/>
      <c r="E478" s="339"/>
      <c r="F478" s="339"/>
      <c r="G478" s="340"/>
      <c r="H478" s="339"/>
      <c r="I478" s="339"/>
      <c r="J478" s="340"/>
      <c r="K478" s="339"/>
      <c r="L478" s="341"/>
      <c r="M478" s="339"/>
      <c r="N478" s="341"/>
      <c r="O478" s="341"/>
      <c r="P478" s="339"/>
      <c r="Q478" s="341"/>
      <c r="R478" s="340"/>
      <c r="S478" s="339"/>
      <c r="T478" s="341"/>
      <c r="U478" s="339"/>
      <c r="V478" s="339"/>
      <c r="W478" s="339"/>
      <c r="X478" s="340"/>
      <c r="Y478" s="339"/>
      <c r="Z478" s="339"/>
      <c r="AA478" s="339"/>
      <c r="AB478" s="342"/>
    </row>
    <row r="479" spans="1:28" ht="15.75" customHeight="1">
      <c r="A479" s="339"/>
      <c r="B479" s="339"/>
      <c r="C479" s="339"/>
      <c r="D479" s="339"/>
      <c r="E479" s="339"/>
      <c r="F479" s="339"/>
      <c r="G479" s="340"/>
      <c r="H479" s="339"/>
      <c r="I479" s="339"/>
      <c r="J479" s="340"/>
      <c r="K479" s="339"/>
      <c r="L479" s="341"/>
      <c r="M479" s="339"/>
      <c r="N479" s="341"/>
      <c r="O479" s="341"/>
      <c r="P479" s="339"/>
      <c r="Q479" s="341"/>
      <c r="R479" s="340"/>
      <c r="S479" s="339"/>
      <c r="T479" s="341"/>
      <c r="U479" s="339"/>
      <c r="V479" s="339"/>
      <c r="W479" s="339"/>
      <c r="X479" s="340"/>
      <c r="Y479" s="339"/>
      <c r="Z479" s="339"/>
      <c r="AA479" s="339"/>
      <c r="AB479" s="342"/>
    </row>
    <row r="480" spans="1:28" ht="15.75" customHeight="1">
      <c r="A480" s="339"/>
      <c r="B480" s="339"/>
      <c r="C480" s="339"/>
      <c r="D480" s="339"/>
      <c r="E480" s="339"/>
      <c r="F480" s="339"/>
      <c r="G480" s="340"/>
      <c r="H480" s="339"/>
      <c r="I480" s="339"/>
      <c r="J480" s="340"/>
      <c r="K480" s="339"/>
      <c r="L480" s="341"/>
      <c r="M480" s="339"/>
      <c r="N480" s="341"/>
      <c r="O480" s="341"/>
      <c r="P480" s="339"/>
      <c r="Q480" s="341"/>
      <c r="R480" s="340"/>
      <c r="S480" s="339"/>
      <c r="T480" s="341"/>
      <c r="U480" s="339"/>
      <c r="V480" s="339"/>
      <c r="W480" s="339"/>
      <c r="X480" s="340"/>
      <c r="Y480" s="339"/>
      <c r="Z480" s="339"/>
      <c r="AA480" s="339"/>
      <c r="AB480" s="342"/>
    </row>
    <row r="481" spans="1:28" ht="15.75" customHeight="1">
      <c r="A481" s="339"/>
      <c r="B481" s="339"/>
      <c r="C481" s="339"/>
      <c r="D481" s="339"/>
      <c r="E481" s="339"/>
      <c r="F481" s="339"/>
      <c r="G481" s="340"/>
      <c r="H481" s="339"/>
      <c r="I481" s="339"/>
      <c r="J481" s="340"/>
      <c r="K481" s="339"/>
      <c r="L481" s="341"/>
      <c r="M481" s="339"/>
      <c r="N481" s="341"/>
      <c r="O481" s="341"/>
      <c r="P481" s="339"/>
      <c r="Q481" s="341"/>
      <c r="R481" s="340"/>
      <c r="S481" s="339"/>
      <c r="T481" s="341"/>
      <c r="U481" s="339"/>
      <c r="V481" s="339"/>
      <c r="W481" s="339"/>
      <c r="X481" s="340"/>
      <c r="Y481" s="339"/>
      <c r="Z481" s="339"/>
      <c r="AA481" s="339"/>
      <c r="AB481" s="342"/>
    </row>
    <row r="482" spans="1:28" ht="15.75" customHeight="1">
      <c r="A482" s="339"/>
      <c r="B482" s="339"/>
      <c r="C482" s="339"/>
      <c r="D482" s="339"/>
      <c r="E482" s="339"/>
      <c r="F482" s="339"/>
      <c r="G482" s="340"/>
      <c r="H482" s="339"/>
      <c r="I482" s="339"/>
      <c r="J482" s="340"/>
      <c r="K482" s="339"/>
      <c r="L482" s="341"/>
      <c r="M482" s="339"/>
      <c r="N482" s="341"/>
      <c r="O482" s="341"/>
      <c r="P482" s="339"/>
      <c r="Q482" s="341"/>
      <c r="R482" s="340"/>
      <c r="S482" s="339"/>
      <c r="T482" s="341"/>
      <c r="U482" s="339"/>
      <c r="V482" s="339"/>
      <c r="W482" s="339"/>
      <c r="X482" s="340"/>
      <c r="Y482" s="339"/>
      <c r="Z482" s="339"/>
      <c r="AA482" s="339"/>
      <c r="AB482" s="342"/>
    </row>
    <row r="483" spans="1:28" ht="15.75" customHeight="1">
      <c r="A483" s="339"/>
      <c r="B483" s="339"/>
      <c r="C483" s="339"/>
      <c r="D483" s="339"/>
      <c r="E483" s="339"/>
      <c r="F483" s="339"/>
      <c r="G483" s="340"/>
      <c r="H483" s="339"/>
      <c r="I483" s="339"/>
      <c r="J483" s="340"/>
      <c r="K483" s="339"/>
      <c r="L483" s="341"/>
      <c r="M483" s="339"/>
      <c r="N483" s="341"/>
      <c r="O483" s="341"/>
      <c r="P483" s="339"/>
      <c r="Q483" s="341"/>
      <c r="R483" s="340"/>
      <c r="S483" s="339"/>
      <c r="T483" s="341"/>
      <c r="U483" s="339"/>
      <c r="V483" s="339"/>
      <c r="W483" s="339"/>
      <c r="X483" s="340"/>
      <c r="Y483" s="339"/>
      <c r="Z483" s="339"/>
      <c r="AA483" s="339"/>
      <c r="AB483" s="342"/>
    </row>
    <row r="484" spans="1:28" ht="15.75" customHeight="1">
      <c r="A484" s="339"/>
      <c r="B484" s="339"/>
      <c r="C484" s="339"/>
      <c r="D484" s="339"/>
      <c r="E484" s="339"/>
      <c r="F484" s="339"/>
      <c r="G484" s="340"/>
      <c r="H484" s="339"/>
      <c r="I484" s="339"/>
      <c r="J484" s="340"/>
      <c r="K484" s="339"/>
      <c r="L484" s="341"/>
      <c r="M484" s="339"/>
      <c r="N484" s="341"/>
      <c r="O484" s="341"/>
      <c r="P484" s="339"/>
      <c r="Q484" s="341"/>
      <c r="R484" s="340"/>
      <c r="S484" s="339"/>
      <c r="T484" s="341"/>
      <c r="U484" s="339"/>
      <c r="V484" s="339"/>
      <c r="W484" s="339"/>
      <c r="X484" s="340"/>
      <c r="Y484" s="339"/>
      <c r="Z484" s="339"/>
      <c r="AA484" s="339"/>
      <c r="AB484" s="342"/>
    </row>
    <row r="485" spans="1:28" ht="15.75" customHeight="1">
      <c r="A485" s="339"/>
      <c r="B485" s="339"/>
      <c r="C485" s="339"/>
      <c r="D485" s="339"/>
      <c r="E485" s="339"/>
      <c r="F485" s="339"/>
      <c r="G485" s="340"/>
      <c r="H485" s="339"/>
      <c r="I485" s="339"/>
      <c r="J485" s="340"/>
      <c r="K485" s="339"/>
      <c r="L485" s="341"/>
      <c r="M485" s="339"/>
      <c r="N485" s="341"/>
      <c r="O485" s="341"/>
      <c r="P485" s="339"/>
      <c r="Q485" s="341"/>
      <c r="R485" s="340"/>
      <c r="S485" s="339"/>
      <c r="T485" s="341"/>
      <c r="U485" s="339"/>
      <c r="V485" s="339"/>
      <c r="W485" s="339"/>
      <c r="X485" s="340"/>
      <c r="Y485" s="339"/>
      <c r="Z485" s="339"/>
      <c r="AA485" s="339"/>
      <c r="AB485" s="342"/>
    </row>
    <row r="486" spans="1:28" ht="15.75" customHeight="1">
      <c r="A486" s="339"/>
      <c r="B486" s="339"/>
      <c r="C486" s="339"/>
      <c r="D486" s="339"/>
      <c r="E486" s="339"/>
      <c r="F486" s="339"/>
      <c r="G486" s="340"/>
      <c r="H486" s="339"/>
      <c r="I486" s="339"/>
      <c r="J486" s="340"/>
      <c r="K486" s="339"/>
      <c r="L486" s="341"/>
      <c r="M486" s="339"/>
      <c r="N486" s="341"/>
      <c r="O486" s="341"/>
      <c r="P486" s="339"/>
      <c r="Q486" s="341"/>
      <c r="R486" s="340"/>
      <c r="S486" s="339"/>
      <c r="T486" s="341"/>
      <c r="U486" s="339"/>
      <c r="V486" s="339"/>
      <c r="W486" s="339"/>
      <c r="X486" s="340"/>
      <c r="Y486" s="339"/>
      <c r="Z486" s="339"/>
      <c r="AA486" s="339"/>
      <c r="AB486" s="342"/>
    </row>
    <row r="487" spans="1:28" ht="15.75" customHeight="1">
      <c r="A487" s="339"/>
      <c r="B487" s="339"/>
      <c r="C487" s="339"/>
      <c r="D487" s="339"/>
      <c r="E487" s="339"/>
      <c r="F487" s="339"/>
      <c r="G487" s="340"/>
      <c r="H487" s="339"/>
      <c r="I487" s="339"/>
      <c r="J487" s="340"/>
      <c r="K487" s="339"/>
      <c r="L487" s="341"/>
      <c r="M487" s="339"/>
      <c r="N487" s="341"/>
      <c r="O487" s="341"/>
      <c r="P487" s="339"/>
      <c r="Q487" s="341"/>
      <c r="R487" s="340"/>
      <c r="S487" s="339"/>
      <c r="T487" s="341"/>
      <c r="U487" s="339"/>
      <c r="V487" s="339"/>
      <c r="W487" s="339"/>
      <c r="X487" s="340"/>
      <c r="Y487" s="339"/>
      <c r="Z487" s="339"/>
      <c r="AA487" s="339"/>
      <c r="AB487" s="342"/>
    </row>
    <row r="488" spans="1:28" ht="15.75" customHeight="1">
      <c r="A488" s="339"/>
      <c r="B488" s="339"/>
      <c r="C488" s="339"/>
      <c r="D488" s="339"/>
      <c r="E488" s="339"/>
      <c r="F488" s="339"/>
      <c r="G488" s="340"/>
      <c r="H488" s="339"/>
      <c r="I488" s="339"/>
      <c r="J488" s="340"/>
      <c r="K488" s="339"/>
      <c r="L488" s="341"/>
      <c r="M488" s="339"/>
      <c r="N488" s="341"/>
      <c r="O488" s="341"/>
      <c r="P488" s="339"/>
      <c r="Q488" s="341"/>
      <c r="R488" s="340"/>
      <c r="S488" s="339"/>
      <c r="T488" s="341"/>
      <c r="U488" s="339"/>
      <c r="V488" s="339"/>
      <c r="W488" s="339"/>
      <c r="X488" s="340"/>
      <c r="Y488" s="339"/>
      <c r="Z488" s="339"/>
      <c r="AA488" s="339"/>
      <c r="AB488" s="342"/>
    </row>
    <row r="489" spans="1:28" ht="15.75" customHeight="1">
      <c r="A489" s="339"/>
      <c r="B489" s="339"/>
      <c r="C489" s="339"/>
      <c r="D489" s="339"/>
      <c r="E489" s="339"/>
      <c r="F489" s="339"/>
      <c r="G489" s="340"/>
      <c r="H489" s="339"/>
      <c r="I489" s="339"/>
      <c r="J489" s="340"/>
      <c r="K489" s="339"/>
      <c r="L489" s="341"/>
      <c r="M489" s="339"/>
      <c r="N489" s="341"/>
      <c r="O489" s="341"/>
      <c r="P489" s="339"/>
      <c r="Q489" s="341"/>
      <c r="R489" s="340"/>
      <c r="S489" s="339"/>
      <c r="T489" s="341"/>
      <c r="U489" s="339"/>
      <c r="V489" s="339"/>
      <c r="W489" s="339"/>
      <c r="X489" s="340"/>
      <c r="Y489" s="339"/>
      <c r="Z489" s="339"/>
      <c r="AA489" s="339"/>
      <c r="AB489" s="342"/>
    </row>
    <row r="490" spans="1:28" ht="15.75" customHeight="1">
      <c r="A490" s="339"/>
      <c r="B490" s="339"/>
      <c r="C490" s="339"/>
      <c r="D490" s="339"/>
      <c r="E490" s="339"/>
      <c r="F490" s="339"/>
      <c r="G490" s="340"/>
      <c r="H490" s="339"/>
      <c r="I490" s="339"/>
      <c r="J490" s="340"/>
      <c r="K490" s="339"/>
      <c r="L490" s="341"/>
      <c r="M490" s="339"/>
      <c r="N490" s="341"/>
      <c r="O490" s="341"/>
      <c r="P490" s="339"/>
      <c r="Q490" s="341"/>
      <c r="R490" s="340"/>
      <c r="S490" s="339"/>
      <c r="T490" s="341"/>
      <c r="U490" s="339"/>
      <c r="V490" s="339"/>
      <c r="W490" s="339"/>
      <c r="X490" s="340"/>
      <c r="Y490" s="339"/>
      <c r="Z490" s="339"/>
      <c r="AA490" s="339"/>
      <c r="AB490" s="342"/>
    </row>
    <row r="491" spans="1:28" ht="15.75" customHeight="1">
      <c r="A491" s="339"/>
      <c r="B491" s="339"/>
      <c r="C491" s="339"/>
      <c r="D491" s="339"/>
      <c r="E491" s="339"/>
      <c r="F491" s="339"/>
      <c r="G491" s="340"/>
      <c r="H491" s="339"/>
      <c r="I491" s="339"/>
      <c r="J491" s="340"/>
      <c r="K491" s="339"/>
      <c r="L491" s="341"/>
      <c r="M491" s="339"/>
      <c r="N491" s="341"/>
      <c r="O491" s="341"/>
      <c r="P491" s="339"/>
      <c r="Q491" s="341"/>
      <c r="R491" s="340"/>
      <c r="S491" s="339"/>
      <c r="T491" s="341"/>
      <c r="U491" s="339"/>
      <c r="V491" s="339"/>
      <c r="W491" s="339"/>
      <c r="X491" s="340"/>
      <c r="Y491" s="339"/>
      <c r="Z491" s="339"/>
      <c r="AA491" s="339"/>
      <c r="AB491" s="342"/>
    </row>
    <row r="492" spans="1:28" ht="15.75" customHeight="1">
      <c r="A492" s="339"/>
      <c r="B492" s="339"/>
      <c r="C492" s="339"/>
      <c r="D492" s="339"/>
      <c r="E492" s="339"/>
      <c r="F492" s="339"/>
      <c r="G492" s="340"/>
      <c r="H492" s="339"/>
      <c r="I492" s="339"/>
      <c r="J492" s="340"/>
      <c r="K492" s="339"/>
      <c r="L492" s="341"/>
      <c r="M492" s="339"/>
      <c r="N492" s="341"/>
      <c r="O492" s="341"/>
      <c r="P492" s="339"/>
      <c r="Q492" s="341"/>
      <c r="R492" s="340"/>
      <c r="S492" s="339"/>
      <c r="T492" s="341"/>
      <c r="U492" s="339"/>
      <c r="V492" s="339"/>
      <c r="W492" s="339"/>
      <c r="X492" s="340"/>
      <c r="Y492" s="339"/>
      <c r="Z492" s="339"/>
      <c r="AA492" s="339"/>
      <c r="AB492" s="342"/>
    </row>
    <row r="493" spans="1:28" ht="15.75" customHeight="1">
      <c r="A493" s="339"/>
      <c r="B493" s="339"/>
      <c r="C493" s="339"/>
      <c r="D493" s="339"/>
      <c r="E493" s="339"/>
      <c r="F493" s="339"/>
      <c r="G493" s="340"/>
      <c r="H493" s="339"/>
      <c r="I493" s="339"/>
      <c r="J493" s="340"/>
      <c r="K493" s="339"/>
      <c r="L493" s="341"/>
      <c r="M493" s="339"/>
      <c r="N493" s="341"/>
      <c r="O493" s="341"/>
      <c r="P493" s="339"/>
      <c r="Q493" s="341"/>
      <c r="R493" s="340"/>
      <c r="S493" s="339"/>
      <c r="T493" s="341"/>
      <c r="U493" s="339"/>
      <c r="V493" s="339"/>
      <c r="W493" s="339"/>
      <c r="X493" s="340"/>
      <c r="Y493" s="339"/>
      <c r="Z493" s="339"/>
      <c r="AA493" s="339"/>
      <c r="AB493" s="342"/>
    </row>
    <row r="494" spans="1:28" ht="15.75" customHeight="1">
      <c r="A494" s="339"/>
      <c r="B494" s="339"/>
      <c r="C494" s="339"/>
      <c r="D494" s="339"/>
      <c r="E494" s="339"/>
      <c r="F494" s="339"/>
      <c r="G494" s="340"/>
      <c r="H494" s="339"/>
      <c r="I494" s="339"/>
      <c r="J494" s="340"/>
      <c r="K494" s="339"/>
      <c r="L494" s="341"/>
      <c r="M494" s="339"/>
      <c r="N494" s="341"/>
      <c r="O494" s="341"/>
      <c r="P494" s="339"/>
      <c r="Q494" s="341"/>
      <c r="R494" s="340"/>
      <c r="S494" s="339"/>
      <c r="T494" s="341"/>
      <c r="U494" s="339"/>
      <c r="V494" s="339"/>
      <c r="W494" s="339"/>
      <c r="X494" s="340"/>
      <c r="Y494" s="339"/>
      <c r="Z494" s="339"/>
      <c r="AA494" s="339"/>
      <c r="AB494" s="342"/>
    </row>
    <row r="495" spans="1:28" ht="15.75" customHeight="1">
      <c r="A495" s="339"/>
      <c r="B495" s="339"/>
      <c r="C495" s="339"/>
      <c r="D495" s="339"/>
      <c r="E495" s="339"/>
      <c r="F495" s="339"/>
      <c r="G495" s="340"/>
      <c r="H495" s="339"/>
      <c r="I495" s="339"/>
      <c r="J495" s="340"/>
      <c r="K495" s="339"/>
      <c r="L495" s="341"/>
      <c r="M495" s="339"/>
      <c r="N495" s="341"/>
      <c r="O495" s="341"/>
      <c r="P495" s="339"/>
      <c r="Q495" s="341"/>
      <c r="R495" s="340"/>
      <c r="S495" s="339"/>
      <c r="T495" s="341"/>
      <c r="U495" s="339"/>
      <c r="V495" s="339"/>
      <c r="W495" s="339"/>
      <c r="X495" s="340"/>
      <c r="Y495" s="339"/>
      <c r="Z495" s="339"/>
      <c r="AA495" s="339"/>
      <c r="AB495" s="342"/>
    </row>
    <row r="496" spans="1:28" ht="15.75" customHeight="1">
      <c r="A496" s="339"/>
      <c r="B496" s="339"/>
      <c r="C496" s="339"/>
      <c r="D496" s="339"/>
      <c r="E496" s="339"/>
      <c r="F496" s="339"/>
      <c r="G496" s="340"/>
      <c r="H496" s="339"/>
      <c r="I496" s="339"/>
      <c r="J496" s="340"/>
      <c r="K496" s="339"/>
      <c r="L496" s="341"/>
      <c r="M496" s="339"/>
      <c r="N496" s="341"/>
      <c r="O496" s="341"/>
      <c r="P496" s="339"/>
      <c r="Q496" s="341"/>
      <c r="R496" s="340"/>
      <c r="S496" s="339"/>
      <c r="T496" s="341"/>
      <c r="U496" s="339"/>
      <c r="V496" s="339"/>
      <c r="W496" s="339"/>
      <c r="X496" s="340"/>
      <c r="Y496" s="339"/>
      <c r="Z496" s="339"/>
      <c r="AA496" s="339"/>
      <c r="AB496" s="342"/>
    </row>
    <row r="497" spans="1:28" ht="15.75" customHeight="1">
      <c r="A497" s="339"/>
      <c r="B497" s="339"/>
      <c r="C497" s="339"/>
      <c r="D497" s="339"/>
      <c r="E497" s="339"/>
      <c r="F497" s="339"/>
      <c r="G497" s="340"/>
      <c r="H497" s="339"/>
      <c r="I497" s="339"/>
      <c r="J497" s="340"/>
      <c r="K497" s="339"/>
      <c r="L497" s="341"/>
      <c r="M497" s="339"/>
      <c r="N497" s="341"/>
      <c r="O497" s="341"/>
      <c r="P497" s="339"/>
      <c r="Q497" s="341"/>
      <c r="R497" s="340"/>
      <c r="S497" s="339"/>
      <c r="T497" s="341"/>
      <c r="U497" s="339"/>
      <c r="V497" s="339"/>
      <c r="W497" s="339"/>
      <c r="X497" s="340"/>
      <c r="Y497" s="339"/>
      <c r="Z497" s="339"/>
      <c r="AA497" s="339"/>
      <c r="AB497" s="342"/>
    </row>
    <row r="498" spans="1:28" ht="15.75" customHeight="1">
      <c r="A498" s="339"/>
      <c r="B498" s="339"/>
      <c r="C498" s="339"/>
      <c r="D498" s="339"/>
      <c r="E498" s="339"/>
      <c r="F498" s="339"/>
      <c r="G498" s="340"/>
      <c r="H498" s="339"/>
      <c r="I498" s="339"/>
      <c r="J498" s="340"/>
      <c r="K498" s="339"/>
      <c r="L498" s="341"/>
      <c r="M498" s="339"/>
      <c r="N498" s="341"/>
      <c r="O498" s="341"/>
      <c r="P498" s="339"/>
      <c r="Q498" s="341"/>
      <c r="R498" s="340"/>
      <c r="S498" s="339"/>
      <c r="T498" s="341"/>
      <c r="U498" s="339"/>
      <c r="V498" s="339"/>
      <c r="W498" s="339"/>
      <c r="X498" s="340"/>
      <c r="Y498" s="339"/>
      <c r="Z498" s="339"/>
      <c r="AA498" s="339"/>
      <c r="AB498" s="342"/>
    </row>
    <row r="499" spans="1:28" ht="15.75" customHeight="1">
      <c r="A499" s="339"/>
      <c r="B499" s="339"/>
      <c r="C499" s="339"/>
      <c r="D499" s="339"/>
      <c r="E499" s="339"/>
      <c r="F499" s="339"/>
      <c r="G499" s="340"/>
      <c r="H499" s="339"/>
      <c r="I499" s="339"/>
      <c r="J499" s="340"/>
      <c r="K499" s="339"/>
      <c r="L499" s="341"/>
      <c r="M499" s="339"/>
      <c r="N499" s="341"/>
      <c r="O499" s="341"/>
      <c r="P499" s="339"/>
      <c r="Q499" s="341"/>
      <c r="R499" s="340"/>
      <c r="S499" s="339"/>
      <c r="T499" s="341"/>
      <c r="U499" s="339"/>
      <c r="V499" s="339"/>
      <c r="W499" s="339"/>
      <c r="X499" s="340"/>
      <c r="Y499" s="339"/>
      <c r="Z499" s="339"/>
      <c r="AA499" s="339"/>
      <c r="AB499" s="342"/>
    </row>
    <row r="500" spans="1:28" ht="15.75" customHeight="1">
      <c r="A500" s="339"/>
      <c r="B500" s="339"/>
      <c r="C500" s="339"/>
      <c r="D500" s="339"/>
      <c r="E500" s="339"/>
      <c r="F500" s="339"/>
      <c r="G500" s="340"/>
      <c r="H500" s="339"/>
      <c r="I500" s="339"/>
      <c r="J500" s="340"/>
      <c r="K500" s="339"/>
      <c r="L500" s="341"/>
      <c r="M500" s="339"/>
      <c r="N500" s="341"/>
      <c r="O500" s="341"/>
      <c r="P500" s="339"/>
      <c r="Q500" s="341"/>
      <c r="R500" s="340"/>
      <c r="S500" s="339"/>
      <c r="T500" s="341"/>
      <c r="U500" s="339"/>
      <c r="V500" s="339"/>
      <c r="W500" s="339"/>
      <c r="X500" s="340"/>
      <c r="Y500" s="339"/>
      <c r="Z500" s="339"/>
      <c r="AA500" s="339"/>
      <c r="AB500" s="342"/>
    </row>
    <row r="501" spans="1:28" ht="15.75" customHeight="1">
      <c r="A501" s="339"/>
      <c r="B501" s="339"/>
      <c r="C501" s="339"/>
      <c r="D501" s="339"/>
      <c r="E501" s="339"/>
      <c r="F501" s="339"/>
      <c r="G501" s="340"/>
      <c r="H501" s="339"/>
      <c r="I501" s="339"/>
      <c r="J501" s="340"/>
      <c r="K501" s="339"/>
      <c r="L501" s="341"/>
      <c r="M501" s="339"/>
      <c r="N501" s="341"/>
      <c r="O501" s="341"/>
      <c r="P501" s="339"/>
      <c r="Q501" s="341"/>
      <c r="R501" s="340"/>
      <c r="S501" s="339"/>
      <c r="T501" s="341"/>
      <c r="U501" s="339"/>
      <c r="V501" s="339"/>
      <c r="W501" s="339"/>
      <c r="X501" s="340"/>
      <c r="Y501" s="339"/>
      <c r="Z501" s="339"/>
      <c r="AA501" s="339"/>
      <c r="AB501" s="342"/>
    </row>
    <row r="502" spans="1:28" ht="15.75" customHeight="1">
      <c r="A502" s="339"/>
      <c r="B502" s="339"/>
      <c r="C502" s="339"/>
      <c r="D502" s="339"/>
      <c r="E502" s="339"/>
      <c r="F502" s="339"/>
      <c r="G502" s="340"/>
      <c r="H502" s="339"/>
      <c r="I502" s="339"/>
      <c r="J502" s="340"/>
      <c r="K502" s="339"/>
      <c r="L502" s="341"/>
      <c r="M502" s="339"/>
      <c r="N502" s="341"/>
      <c r="O502" s="341"/>
      <c r="P502" s="339"/>
      <c r="Q502" s="341"/>
      <c r="R502" s="340"/>
      <c r="S502" s="339"/>
      <c r="T502" s="341"/>
      <c r="U502" s="339"/>
      <c r="V502" s="339"/>
      <c r="W502" s="339"/>
      <c r="X502" s="340"/>
      <c r="Y502" s="339"/>
      <c r="Z502" s="339"/>
      <c r="AA502" s="339"/>
      <c r="AB502" s="342"/>
    </row>
    <row r="503" spans="1:28" ht="15.75" customHeight="1">
      <c r="A503" s="339"/>
      <c r="B503" s="339"/>
      <c r="C503" s="339"/>
      <c r="D503" s="339"/>
      <c r="E503" s="339"/>
      <c r="F503" s="339"/>
      <c r="G503" s="340"/>
      <c r="H503" s="339"/>
      <c r="I503" s="339"/>
      <c r="J503" s="340"/>
      <c r="K503" s="339"/>
      <c r="L503" s="341"/>
      <c r="M503" s="339"/>
      <c r="N503" s="341"/>
      <c r="O503" s="341"/>
      <c r="P503" s="339"/>
      <c r="Q503" s="341"/>
      <c r="R503" s="340"/>
      <c r="S503" s="339"/>
      <c r="T503" s="341"/>
      <c r="U503" s="339"/>
      <c r="V503" s="339"/>
      <c r="W503" s="339"/>
      <c r="X503" s="340"/>
      <c r="Y503" s="339"/>
      <c r="Z503" s="339"/>
      <c r="AA503" s="339"/>
      <c r="AB503" s="342"/>
    </row>
    <row r="504" spans="1:28" ht="15.75" customHeight="1">
      <c r="A504" s="339"/>
      <c r="B504" s="339"/>
      <c r="C504" s="339"/>
      <c r="D504" s="339"/>
      <c r="E504" s="339"/>
      <c r="F504" s="339"/>
      <c r="G504" s="340"/>
      <c r="H504" s="339"/>
      <c r="I504" s="339"/>
      <c r="J504" s="340"/>
      <c r="K504" s="339"/>
      <c r="L504" s="341"/>
      <c r="M504" s="339"/>
      <c r="N504" s="341"/>
      <c r="O504" s="341"/>
      <c r="P504" s="339"/>
      <c r="Q504" s="341"/>
      <c r="R504" s="340"/>
      <c r="S504" s="339"/>
      <c r="T504" s="341"/>
      <c r="U504" s="339"/>
      <c r="V504" s="339"/>
      <c r="W504" s="339"/>
      <c r="X504" s="340"/>
      <c r="Y504" s="339"/>
      <c r="Z504" s="339"/>
      <c r="AA504" s="339"/>
      <c r="AB504" s="342"/>
    </row>
    <row r="505" spans="1:28" ht="15.75" customHeight="1">
      <c r="A505" s="339"/>
      <c r="B505" s="339"/>
      <c r="C505" s="339"/>
      <c r="D505" s="339"/>
      <c r="E505" s="339"/>
      <c r="F505" s="339"/>
      <c r="G505" s="340"/>
      <c r="H505" s="339"/>
      <c r="I505" s="339"/>
      <c r="J505" s="340"/>
      <c r="K505" s="339"/>
      <c r="L505" s="341"/>
      <c r="M505" s="339"/>
      <c r="N505" s="341"/>
      <c r="O505" s="341"/>
      <c r="P505" s="339"/>
      <c r="Q505" s="341"/>
      <c r="R505" s="340"/>
      <c r="S505" s="339"/>
      <c r="T505" s="341"/>
      <c r="U505" s="339"/>
      <c r="V505" s="339"/>
      <c r="W505" s="339"/>
      <c r="X505" s="340"/>
      <c r="Y505" s="339"/>
      <c r="Z505" s="339"/>
      <c r="AA505" s="339"/>
      <c r="AB505" s="342"/>
    </row>
    <row r="506" spans="1:28" ht="15.75" customHeight="1">
      <c r="A506" s="339"/>
      <c r="B506" s="339"/>
      <c r="C506" s="339"/>
      <c r="D506" s="339"/>
      <c r="E506" s="339"/>
      <c r="F506" s="339"/>
      <c r="G506" s="340"/>
      <c r="H506" s="339"/>
      <c r="I506" s="339"/>
      <c r="J506" s="340"/>
      <c r="K506" s="339"/>
      <c r="L506" s="341"/>
      <c r="M506" s="339"/>
      <c r="N506" s="341"/>
      <c r="O506" s="341"/>
      <c r="P506" s="339"/>
      <c r="Q506" s="341"/>
      <c r="R506" s="340"/>
      <c r="S506" s="339"/>
      <c r="T506" s="341"/>
      <c r="U506" s="339"/>
      <c r="V506" s="339"/>
      <c r="W506" s="339"/>
      <c r="X506" s="340"/>
      <c r="Y506" s="339"/>
      <c r="Z506" s="339"/>
      <c r="AA506" s="339"/>
      <c r="AB506" s="342"/>
    </row>
    <row r="507" spans="1:28" ht="15.75" customHeight="1">
      <c r="A507" s="339"/>
      <c r="B507" s="339"/>
      <c r="C507" s="339"/>
      <c r="D507" s="339"/>
      <c r="E507" s="339"/>
      <c r="F507" s="339"/>
      <c r="G507" s="340"/>
      <c r="H507" s="339"/>
      <c r="I507" s="339"/>
      <c r="J507" s="340"/>
      <c r="K507" s="339"/>
      <c r="L507" s="341"/>
      <c r="M507" s="339"/>
      <c r="N507" s="341"/>
      <c r="O507" s="341"/>
      <c r="P507" s="339"/>
      <c r="Q507" s="341"/>
      <c r="R507" s="340"/>
      <c r="S507" s="339"/>
      <c r="T507" s="341"/>
      <c r="U507" s="339"/>
      <c r="V507" s="339"/>
      <c r="W507" s="339"/>
      <c r="X507" s="340"/>
      <c r="Y507" s="339"/>
      <c r="Z507" s="339"/>
      <c r="AA507" s="339"/>
      <c r="AB507" s="342"/>
    </row>
    <row r="508" spans="1:28" ht="15.75" customHeight="1">
      <c r="A508" s="339"/>
      <c r="B508" s="339"/>
      <c r="C508" s="339"/>
      <c r="D508" s="339"/>
      <c r="E508" s="339"/>
      <c r="F508" s="339"/>
      <c r="G508" s="340"/>
      <c r="H508" s="339"/>
      <c r="I508" s="339"/>
      <c r="J508" s="340"/>
      <c r="K508" s="339"/>
      <c r="L508" s="341"/>
      <c r="M508" s="339"/>
      <c r="N508" s="341"/>
      <c r="O508" s="341"/>
      <c r="P508" s="339"/>
      <c r="Q508" s="341"/>
      <c r="R508" s="340"/>
      <c r="S508" s="339"/>
      <c r="T508" s="341"/>
      <c r="U508" s="339"/>
      <c r="V508" s="339"/>
      <c r="W508" s="339"/>
      <c r="X508" s="340"/>
      <c r="Y508" s="339"/>
      <c r="Z508" s="339"/>
      <c r="AA508" s="339"/>
      <c r="AB508" s="342"/>
    </row>
    <row r="509" spans="1:28" ht="15.75" customHeight="1">
      <c r="A509" s="339"/>
      <c r="B509" s="339"/>
      <c r="C509" s="339"/>
      <c r="D509" s="339"/>
      <c r="E509" s="339"/>
      <c r="F509" s="339"/>
      <c r="G509" s="340"/>
      <c r="H509" s="339"/>
      <c r="I509" s="339"/>
      <c r="J509" s="340"/>
      <c r="K509" s="339"/>
      <c r="L509" s="341"/>
      <c r="M509" s="339"/>
      <c r="N509" s="341"/>
      <c r="O509" s="341"/>
      <c r="P509" s="339"/>
      <c r="Q509" s="341"/>
      <c r="R509" s="340"/>
      <c r="S509" s="339"/>
      <c r="T509" s="341"/>
      <c r="U509" s="339"/>
      <c r="V509" s="339"/>
      <c r="W509" s="339"/>
      <c r="X509" s="340"/>
      <c r="Y509" s="339"/>
      <c r="Z509" s="339"/>
      <c r="AA509" s="339"/>
      <c r="AB509" s="342"/>
    </row>
    <row r="510" spans="1:28" ht="15.75" customHeight="1">
      <c r="A510" s="339"/>
      <c r="B510" s="339"/>
      <c r="C510" s="339"/>
      <c r="D510" s="339"/>
      <c r="E510" s="339"/>
      <c r="F510" s="339"/>
      <c r="G510" s="340"/>
      <c r="H510" s="339"/>
      <c r="I510" s="339"/>
      <c r="J510" s="340"/>
      <c r="K510" s="339"/>
      <c r="L510" s="341"/>
      <c r="M510" s="339"/>
      <c r="N510" s="341"/>
      <c r="O510" s="341"/>
      <c r="P510" s="339"/>
      <c r="Q510" s="341"/>
      <c r="R510" s="340"/>
      <c r="S510" s="339"/>
      <c r="T510" s="341"/>
      <c r="U510" s="339"/>
      <c r="V510" s="339"/>
      <c r="W510" s="339"/>
      <c r="X510" s="340"/>
      <c r="Y510" s="339"/>
      <c r="Z510" s="339"/>
      <c r="AA510" s="339"/>
      <c r="AB510" s="342"/>
    </row>
    <row r="511" spans="1:28" ht="15.75" customHeight="1">
      <c r="A511" s="339"/>
      <c r="B511" s="339"/>
      <c r="C511" s="339"/>
      <c r="D511" s="339"/>
      <c r="E511" s="339"/>
      <c r="F511" s="339"/>
      <c r="G511" s="340"/>
      <c r="H511" s="339"/>
      <c r="I511" s="339"/>
      <c r="J511" s="340"/>
      <c r="K511" s="339"/>
      <c r="L511" s="341"/>
      <c r="M511" s="339"/>
      <c r="N511" s="341"/>
      <c r="O511" s="341"/>
      <c r="P511" s="339"/>
      <c r="Q511" s="341"/>
      <c r="R511" s="340"/>
      <c r="S511" s="339"/>
      <c r="T511" s="341"/>
      <c r="U511" s="339"/>
      <c r="V511" s="339"/>
      <c r="W511" s="339"/>
      <c r="X511" s="340"/>
      <c r="Y511" s="339"/>
      <c r="Z511" s="339"/>
      <c r="AA511" s="339"/>
      <c r="AB511" s="342"/>
    </row>
    <row r="512" spans="1:28" ht="15.75" customHeight="1">
      <c r="A512" s="339"/>
      <c r="B512" s="339"/>
      <c r="C512" s="339"/>
      <c r="D512" s="339"/>
      <c r="E512" s="339"/>
      <c r="F512" s="339"/>
      <c r="G512" s="340"/>
      <c r="H512" s="339"/>
      <c r="I512" s="339"/>
      <c r="J512" s="340"/>
      <c r="K512" s="339"/>
      <c r="L512" s="341"/>
      <c r="M512" s="339"/>
      <c r="N512" s="341"/>
      <c r="O512" s="341"/>
      <c r="P512" s="339"/>
      <c r="Q512" s="341"/>
      <c r="R512" s="340"/>
      <c r="S512" s="339"/>
      <c r="T512" s="341"/>
      <c r="U512" s="339"/>
      <c r="V512" s="339"/>
      <c r="W512" s="339"/>
      <c r="X512" s="340"/>
      <c r="Y512" s="339"/>
      <c r="Z512" s="339"/>
      <c r="AA512" s="339"/>
      <c r="AB512" s="342"/>
    </row>
    <row r="513" spans="1:28" ht="15.75" customHeight="1">
      <c r="A513" s="339"/>
      <c r="B513" s="339"/>
      <c r="C513" s="339"/>
      <c r="D513" s="339"/>
      <c r="E513" s="339"/>
      <c r="F513" s="339"/>
      <c r="G513" s="340"/>
      <c r="H513" s="339"/>
      <c r="I513" s="339"/>
      <c r="J513" s="340"/>
      <c r="K513" s="339"/>
      <c r="L513" s="341"/>
      <c r="M513" s="339"/>
      <c r="N513" s="341"/>
      <c r="O513" s="341"/>
      <c r="P513" s="339"/>
      <c r="Q513" s="341"/>
      <c r="R513" s="340"/>
      <c r="S513" s="339"/>
      <c r="T513" s="341"/>
      <c r="U513" s="339"/>
      <c r="V513" s="339"/>
      <c r="W513" s="339"/>
      <c r="X513" s="340"/>
      <c r="Y513" s="339"/>
      <c r="Z513" s="339"/>
      <c r="AA513" s="339"/>
      <c r="AB513" s="342"/>
    </row>
    <row r="514" spans="1:28" ht="15.75" customHeight="1">
      <c r="A514" s="339"/>
      <c r="B514" s="339"/>
      <c r="C514" s="339"/>
      <c r="D514" s="339"/>
      <c r="E514" s="339"/>
      <c r="F514" s="339"/>
      <c r="G514" s="340"/>
      <c r="H514" s="339"/>
      <c r="I514" s="339"/>
      <c r="J514" s="340"/>
      <c r="K514" s="339"/>
      <c r="L514" s="341"/>
      <c r="M514" s="339"/>
      <c r="N514" s="341"/>
      <c r="O514" s="341"/>
      <c r="P514" s="339"/>
      <c r="Q514" s="341"/>
      <c r="R514" s="340"/>
      <c r="S514" s="339"/>
      <c r="T514" s="341"/>
      <c r="U514" s="339"/>
      <c r="V514" s="339"/>
      <c r="W514" s="339"/>
      <c r="X514" s="340"/>
      <c r="Y514" s="339"/>
      <c r="Z514" s="339"/>
      <c r="AA514" s="339"/>
      <c r="AB514" s="342"/>
    </row>
    <row r="515" spans="1:28" ht="15.75" customHeight="1">
      <c r="A515" s="339"/>
      <c r="B515" s="339"/>
      <c r="C515" s="339"/>
      <c r="D515" s="339"/>
      <c r="E515" s="339"/>
      <c r="F515" s="339"/>
      <c r="G515" s="340"/>
      <c r="H515" s="339"/>
      <c r="I515" s="339"/>
      <c r="J515" s="340"/>
      <c r="K515" s="339"/>
      <c r="L515" s="341"/>
      <c r="M515" s="339"/>
      <c r="N515" s="341"/>
      <c r="O515" s="341"/>
      <c r="P515" s="339"/>
      <c r="Q515" s="341"/>
      <c r="R515" s="340"/>
      <c r="S515" s="339"/>
      <c r="T515" s="341"/>
      <c r="U515" s="339"/>
      <c r="V515" s="339"/>
      <c r="W515" s="339"/>
      <c r="X515" s="340"/>
      <c r="Y515" s="339"/>
      <c r="Z515" s="339"/>
      <c r="AA515" s="339"/>
      <c r="AB515" s="342"/>
    </row>
    <row r="516" spans="1:28" ht="15.75" customHeight="1">
      <c r="A516" s="339"/>
      <c r="B516" s="339"/>
      <c r="C516" s="339"/>
      <c r="D516" s="339"/>
      <c r="E516" s="339"/>
      <c r="F516" s="339"/>
      <c r="G516" s="340"/>
      <c r="H516" s="339"/>
      <c r="I516" s="339"/>
      <c r="J516" s="340"/>
      <c r="K516" s="339"/>
      <c r="L516" s="341"/>
      <c r="M516" s="339"/>
      <c r="N516" s="341"/>
      <c r="O516" s="341"/>
      <c r="P516" s="339"/>
      <c r="Q516" s="341"/>
      <c r="R516" s="340"/>
      <c r="S516" s="339"/>
      <c r="T516" s="341"/>
      <c r="U516" s="339"/>
      <c r="V516" s="339"/>
      <c r="W516" s="339"/>
      <c r="X516" s="340"/>
      <c r="Y516" s="339"/>
      <c r="Z516" s="339"/>
      <c r="AA516" s="339"/>
      <c r="AB516" s="342"/>
    </row>
    <row r="517" spans="1:28" ht="15.75" customHeight="1">
      <c r="A517" s="339"/>
      <c r="B517" s="339"/>
      <c r="C517" s="339"/>
      <c r="D517" s="339"/>
      <c r="E517" s="339"/>
      <c r="F517" s="339"/>
      <c r="G517" s="340"/>
      <c r="H517" s="339"/>
      <c r="I517" s="339"/>
      <c r="J517" s="340"/>
      <c r="K517" s="339"/>
      <c r="L517" s="341"/>
      <c r="M517" s="339"/>
      <c r="N517" s="341"/>
      <c r="O517" s="341"/>
      <c r="P517" s="339"/>
      <c r="Q517" s="341"/>
      <c r="R517" s="340"/>
      <c r="S517" s="339"/>
      <c r="T517" s="341"/>
      <c r="U517" s="339"/>
      <c r="V517" s="339"/>
      <c r="W517" s="339"/>
      <c r="X517" s="340"/>
      <c r="Y517" s="339"/>
      <c r="Z517" s="339"/>
      <c r="AA517" s="339"/>
      <c r="AB517" s="342"/>
    </row>
    <row r="518" spans="1:28" ht="15.75" customHeight="1">
      <c r="A518" s="339"/>
      <c r="B518" s="339"/>
      <c r="C518" s="339"/>
      <c r="D518" s="339"/>
      <c r="E518" s="339"/>
      <c r="F518" s="339"/>
      <c r="G518" s="340"/>
      <c r="H518" s="339"/>
      <c r="I518" s="339"/>
      <c r="J518" s="340"/>
      <c r="K518" s="339"/>
      <c r="L518" s="341"/>
      <c r="M518" s="339"/>
      <c r="N518" s="341"/>
      <c r="O518" s="341"/>
      <c r="P518" s="339"/>
      <c r="Q518" s="341"/>
      <c r="R518" s="340"/>
      <c r="S518" s="339"/>
      <c r="T518" s="341"/>
      <c r="U518" s="339"/>
      <c r="V518" s="339"/>
      <c r="W518" s="339"/>
      <c r="X518" s="340"/>
      <c r="Y518" s="339"/>
      <c r="Z518" s="339"/>
      <c r="AA518" s="339"/>
      <c r="AB518" s="342"/>
    </row>
    <row r="519" spans="1:28" ht="15.75" customHeight="1">
      <c r="A519" s="339"/>
      <c r="B519" s="339"/>
      <c r="C519" s="339"/>
      <c r="D519" s="339"/>
      <c r="E519" s="339"/>
      <c r="F519" s="339"/>
      <c r="G519" s="340"/>
      <c r="H519" s="339"/>
      <c r="I519" s="339"/>
      <c r="J519" s="340"/>
      <c r="K519" s="339"/>
      <c r="L519" s="341"/>
      <c r="M519" s="339"/>
      <c r="N519" s="341"/>
      <c r="O519" s="341"/>
      <c r="P519" s="339"/>
      <c r="Q519" s="341"/>
      <c r="R519" s="340"/>
      <c r="S519" s="339"/>
      <c r="T519" s="341"/>
      <c r="U519" s="339"/>
      <c r="V519" s="339"/>
      <c r="W519" s="339"/>
      <c r="X519" s="340"/>
      <c r="Y519" s="339"/>
      <c r="Z519" s="339"/>
      <c r="AA519" s="339"/>
      <c r="AB519" s="342"/>
    </row>
    <row r="520" spans="1:28" ht="15.75" customHeight="1">
      <c r="A520" s="339"/>
      <c r="B520" s="339"/>
      <c r="C520" s="339"/>
      <c r="D520" s="339"/>
      <c r="E520" s="339"/>
      <c r="F520" s="339"/>
      <c r="G520" s="340"/>
      <c r="H520" s="339"/>
      <c r="I520" s="339"/>
      <c r="J520" s="340"/>
      <c r="K520" s="339"/>
      <c r="L520" s="341"/>
      <c r="M520" s="339"/>
      <c r="N520" s="341"/>
      <c r="O520" s="341"/>
      <c r="P520" s="339"/>
      <c r="Q520" s="341"/>
      <c r="R520" s="340"/>
      <c r="S520" s="339"/>
      <c r="T520" s="341"/>
      <c r="U520" s="339"/>
      <c r="V520" s="339"/>
      <c r="W520" s="339"/>
      <c r="X520" s="340"/>
      <c r="Y520" s="339"/>
      <c r="Z520" s="339"/>
      <c r="AA520" s="339"/>
      <c r="AB520" s="342"/>
    </row>
    <row r="521" spans="1:28" ht="15.75" customHeight="1">
      <c r="A521" s="339"/>
      <c r="B521" s="339"/>
      <c r="C521" s="339"/>
      <c r="D521" s="339"/>
      <c r="E521" s="339"/>
      <c r="F521" s="339"/>
      <c r="G521" s="340"/>
      <c r="H521" s="339"/>
      <c r="I521" s="339"/>
      <c r="J521" s="340"/>
      <c r="K521" s="339"/>
      <c r="L521" s="341"/>
      <c r="M521" s="339"/>
      <c r="N521" s="341"/>
      <c r="O521" s="341"/>
      <c r="P521" s="339"/>
      <c r="Q521" s="341"/>
      <c r="R521" s="340"/>
      <c r="S521" s="339"/>
      <c r="T521" s="341"/>
      <c r="U521" s="339"/>
      <c r="V521" s="339"/>
      <c r="W521" s="339"/>
      <c r="X521" s="340"/>
      <c r="Y521" s="339"/>
      <c r="Z521" s="339"/>
      <c r="AA521" s="339"/>
      <c r="AB521" s="342"/>
    </row>
    <row r="522" spans="1:28" ht="15.75" customHeight="1">
      <c r="A522" s="339"/>
      <c r="B522" s="339"/>
      <c r="C522" s="339"/>
      <c r="D522" s="339"/>
      <c r="E522" s="339"/>
      <c r="F522" s="339"/>
      <c r="G522" s="340"/>
      <c r="H522" s="339"/>
      <c r="I522" s="339"/>
      <c r="J522" s="340"/>
      <c r="K522" s="339"/>
      <c r="L522" s="341"/>
      <c r="M522" s="339"/>
      <c r="N522" s="341"/>
      <c r="O522" s="341"/>
      <c r="P522" s="339"/>
      <c r="Q522" s="341"/>
      <c r="R522" s="340"/>
      <c r="S522" s="339"/>
      <c r="T522" s="341"/>
      <c r="U522" s="339"/>
      <c r="V522" s="339"/>
      <c r="W522" s="339"/>
      <c r="X522" s="340"/>
      <c r="Y522" s="339"/>
      <c r="Z522" s="339"/>
      <c r="AA522" s="339"/>
      <c r="AB522" s="342"/>
    </row>
    <row r="523" spans="1:28" ht="15.75" customHeight="1">
      <c r="A523" s="339"/>
      <c r="B523" s="339"/>
      <c r="C523" s="339"/>
      <c r="D523" s="339"/>
      <c r="E523" s="339"/>
      <c r="F523" s="339"/>
      <c r="G523" s="340"/>
      <c r="H523" s="339"/>
      <c r="I523" s="339"/>
      <c r="J523" s="340"/>
      <c r="K523" s="339"/>
      <c r="L523" s="341"/>
      <c r="M523" s="339"/>
      <c r="N523" s="341"/>
      <c r="O523" s="341"/>
      <c r="P523" s="339"/>
      <c r="Q523" s="341"/>
      <c r="R523" s="340"/>
      <c r="S523" s="339"/>
      <c r="T523" s="341"/>
      <c r="U523" s="339"/>
      <c r="V523" s="339"/>
      <c r="W523" s="339"/>
      <c r="X523" s="340"/>
      <c r="Y523" s="339"/>
      <c r="Z523" s="339"/>
      <c r="AA523" s="339"/>
      <c r="AB523" s="342"/>
    </row>
    <row r="524" spans="1:28" ht="15.75" customHeight="1">
      <c r="A524" s="339"/>
      <c r="B524" s="339"/>
      <c r="C524" s="339"/>
      <c r="D524" s="339"/>
      <c r="E524" s="339"/>
      <c r="F524" s="339"/>
      <c r="G524" s="340"/>
      <c r="H524" s="339"/>
      <c r="I524" s="339"/>
      <c r="J524" s="340"/>
      <c r="K524" s="339"/>
      <c r="L524" s="341"/>
      <c r="M524" s="339"/>
      <c r="N524" s="341"/>
      <c r="O524" s="341"/>
      <c r="P524" s="339"/>
      <c r="Q524" s="341"/>
      <c r="R524" s="340"/>
      <c r="S524" s="339"/>
      <c r="T524" s="341"/>
      <c r="U524" s="339"/>
      <c r="V524" s="339"/>
      <c r="W524" s="339"/>
      <c r="X524" s="340"/>
      <c r="Y524" s="339"/>
      <c r="Z524" s="339"/>
      <c r="AA524" s="339"/>
      <c r="AB524" s="342"/>
    </row>
    <row r="525" spans="1:28" ht="15.75" customHeight="1">
      <c r="A525" s="339"/>
      <c r="B525" s="339"/>
      <c r="C525" s="339"/>
      <c r="D525" s="339"/>
      <c r="E525" s="339"/>
      <c r="F525" s="339"/>
      <c r="G525" s="340"/>
      <c r="H525" s="339"/>
      <c r="I525" s="339"/>
      <c r="J525" s="340"/>
      <c r="K525" s="339"/>
      <c r="L525" s="341"/>
      <c r="M525" s="339"/>
      <c r="N525" s="341"/>
      <c r="O525" s="341"/>
      <c r="P525" s="339"/>
      <c r="Q525" s="341"/>
      <c r="R525" s="340"/>
      <c r="S525" s="339"/>
      <c r="T525" s="341"/>
      <c r="U525" s="339"/>
      <c r="V525" s="339"/>
      <c r="W525" s="339"/>
      <c r="X525" s="340"/>
      <c r="Y525" s="339"/>
      <c r="Z525" s="339"/>
      <c r="AA525" s="339"/>
      <c r="AB525" s="342"/>
    </row>
    <row r="526" spans="1:28" ht="15.75" customHeight="1">
      <c r="A526" s="339"/>
      <c r="B526" s="339"/>
      <c r="C526" s="339"/>
      <c r="D526" s="339"/>
      <c r="E526" s="339"/>
      <c r="F526" s="339"/>
      <c r="G526" s="340"/>
      <c r="H526" s="339"/>
      <c r="I526" s="339"/>
      <c r="J526" s="340"/>
      <c r="K526" s="339"/>
      <c r="L526" s="341"/>
      <c r="M526" s="339"/>
      <c r="N526" s="341"/>
      <c r="O526" s="341"/>
      <c r="P526" s="339"/>
      <c r="Q526" s="341"/>
      <c r="R526" s="340"/>
      <c r="S526" s="339"/>
      <c r="T526" s="341"/>
      <c r="U526" s="339"/>
      <c r="V526" s="339"/>
      <c r="W526" s="339"/>
      <c r="X526" s="340"/>
      <c r="Y526" s="339"/>
      <c r="Z526" s="339"/>
      <c r="AA526" s="339"/>
      <c r="AB526" s="342"/>
    </row>
    <row r="527" spans="1:28" ht="15.75" customHeight="1">
      <c r="A527" s="339"/>
      <c r="B527" s="339"/>
      <c r="C527" s="339"/>
      <c r="D527" s="339"/>
      <c r="E527" s="339"/>
      <c r="F527" s="339"/>
      <c r="G527" s="340"/>
      <c r="H527" s="339"/>
      <c r="I527" s="339"/>
      <c r="J527" s="340"/>
      <c r="K527" s="339"/>
      <c r="L527" s="341"/>
      <c r="M527" s="339"/>
      <c r="N527" s="341"/>
      <c r="O527" s="341"/>
      <c r="P527" s="339"/>
      <c r="Q527" s="341"/>
      <c r="R527" s="340"/>
      <c r="S527" s="339"/>
      <c r="T527" s="341"/>
      <c r="U527" s="339"/>
      <c r="V527" s="339"/>
      <c r="W527" s="339"/>
      <c r="X527" s="340"/>
      <c r="Y527" s="339"/>
      <c r="Z527" s="339"/>
      <c r="AA527" s="339"/>
      <c r="AB527" s="342"/>
    </row>
    <row r="528" spans="1:28" ht="15.75" customHeight="1">
      <c r="A528" s="339"/>
      <c r="B528" s="339"/>
      <c r="C528" s="339"/>
      <c r="D528" s="339"/>
      <c r="E528" s="339"/>
      <c r="F528" s="339"/>
      <c r="G528" s="340"/>
      <c r="H528" s="339"/>
      <c r="I528" s="339"/>
      <c r="J528" s="340"/>
      <c r="K528" s="339"/>
      <c r="L528" s="341"/>
      <c r="M528" s="339"/>
      <c r="N528" s="341"/>
      <c r="O528" s="341"/>
      <c r="P528" s="339"/>
      <c r="Q528" s="341"/>
      <c r="R528" s="340"/>
      <c r="S528" s="339"/>
      <c r="T528" s="341"/>
      <c r="U528" s="339"/>
      <c r="V528" s="339"/>
      <c r="W528" s="339"/>
      <c r="X528" s="340"/>
      <c r="Y528" s="339"/>
      <c r="Z528" s="339"/>
      <c r="AA528" s="339"/>
      <c r="AB528" s="342"/>
    </row>
    <row r="529" spans="1:28" ht="15.75" customHeight="1">
      <c r="A529" s="339"/>
      <c r="B529" s="339"/>
      <c r="C529" s="339"/>
      <c r="D529" s="339"/>
      <c r="E529" s="339"/>
      <c r="F529" s="339"/>
      <c r="G529" s="340"/>
      <c r="H529" s="339"/>
      <c r="I529" s="339"/>
      <c r="J529" s="340"/>
      <c r="K529" s="339"/>
      <c r="L529" s="341"/>
      <c r="M529" s="339"/>
      <c r="N529" s="341"/>
      <c r="O529" s="341"/>
      <c r="P529" s="339"/>
      <c r="Q529" s="341"/>
      <c r="R529" s="340"/>
      <c r="S529" s="339"/>
      <c r="T529" s="341"/>
      <c r="U529" s="339"/>
      <c r="V529" s="339"/>
      <c r="W529" s="339"/>
      <c r="X529" s="340"/>
      <c r="Y529" s="339"/>
      <c r="Z529" s="339"/>
      <c r="AA529" s="339"/>
      <c r="AB529" s="342"/>
    </row>
    <row r="530" spans="1:28" ht="15.75" customHeight="1">
      <c r="A530" s="339"/>
      <c r="B530" s="339"/>
      <c r="C530" s="339"/>
      <c r="D530" s="339"/>
      <c r="E530" s="339"/>
      <c r="F530" s="339"/>
      <c r="G530" s="340"/>
      <c r="H530" s="339"/>
      <c r="I530" s="339"/>
      <c r="J530" s="340"/>
      <c r="K530" s="339"/>
      <c r="L530" s="341"/>
      <c r="M530" s="339"/>
      <c r="N530" s="341"/>
      <c r="O530" s="341"/>
      <c r="P530" s="339"/>
      <c r="Q530" s="341"/>
      <c r="R530" s="340"/>
      <c r="S530" s="339"/>
      <c r="T530" s="341"/>
      <c r="U530" s="339"/>
      <c r="V530" s="339"/>
      <c r="W530" s="339"/>
      <c r="X530" s="340"/>
      <c r="Y530" s="339"/>
      <c r="Z530" s="339"/>
      <c r="AA530" s="339"/>
      <c r="AB530" s="342"/>
    </row>
    <row r="531" spans="1:28" ht="15.75" customHeight="1">
      <c r="A531" s="339"/>
      <c r="B531" s="339"/>
      <c r="C531" s="339"/>
      <c r="D531" s="339"/>
      <c r="E531" s="339"/>
      <c r="F531" s="339"/>
      <c r="G531" s="340"/>
      <c r="H531" s="339"/>
      <c r="I531" s="339"/>
      <c r="J531" s="340"/>
      <c r="K531" s="339"/>
      <c r="L531" s="341"/>
      <c r="M531" s="339"/>
      <c r="N531" s="341"/>
      <c r="O531" s="341"/>
      <c r="P531" s="339"/>
      <c r="Q531" s="341"/>
      <c r="R531" s="340"/>
      <c r="S531" s="339"/>
      <c r="T531" s="341"/>
      <c r="U531" s="339"/>
      <c r="V531" s="339"/>
      <c r="W531" s="339"/>
      <c r="X531" s="340"/>
      <c r="Y531" s="339"/>
      <c r="Z531" s="339"/>
      <c r="AA531" s="339"/>
      <c r="AB531" s="342"/>
    </row>
    <row r="532" spans="1:28" ht="15.75" customHeight="1">
      <c r="A532" s="339"/>
      <c r="B532" s="339"/>
      <c r="C532" s="339"/>
      <c r="D532" s="339"/>
      <c r="E532" s="339"/>
      <c r="F532" s="339"/>
      <c r="G532" s="340"/>
      <c r="H532" s="339"/>
      <c r="I532" s="339"/>
      <c r="J532" s="340"/>
      <c r="K532" s="339"/>
      <c r="L532" s="341"/>
      <c r="M532" s="339"/>
      <c r="N532" s="341"/>
      <c r="O532" s="341"/>
      <c r="P532" s="339"/>
      <c r="Q532" s="341"/>
      <c r="R532" s="340"/>
      <c r="S532" s="339"/>
      <c r="T532" s="341"/>
      <c r="U532" s="339"/>
      <c r="V532" s="339"/>
      <c r="W532" s="339"/>
      <c r="X532" s="340"/>
      <c r="Y532" s="339"/>
      <c r="Z532" s="339"/>
      <c r="AA532" s="339"/>
      <c r="AB532" s="342"/>
    </row>
    <row r="533" spans="1:28" ht="15.75" customHeight="1">
      <c r="A533" s="339"/>
      <c r="B533" s="339"/>
      <c r="C533" s="339"/>
      <c r="D533" s="339"/>
      <c r="E533" s="339"/>
      <c r="F533" s="339"/>
      <c r="G533" s="340"/>
      <c r="H533" s="339"/>
      <c r="I533" s="339"/>
      <c r="J533" s="340"/>
      <c r="K533" s="339"/>
      <c r="L533" s="341"/>
      <c r="M533" s="339"/>
      <c r="N533" s="341"/>
      <c r="O533" s="341"/>
      <c r="P533" s="339"/>
      <c r="Q533" s="341"/>
      <c r="R533" s="340"/>
      <c r="S533" s="339"/>
      <c r="T533" s="341"/>
      <c r="U533" s="339"/>
      <c r="V533" s="339"/>
      <c r="W533" s="339"/>
      <c r="X533" s="340"/>
      <c r="Y533" s="339"/>
      <c r="Z533" s="339"/>
      <c r="AA533" s="339"/>
      <c r="AB533" s="342"/>
    </row>
    <row r="534" spans="1:28" ht="15.75" customHeight="1">
      <c r="A534" s="339"/>
      <c r="B534" s="339"/>
      <c r="C534" s="339"/>
      <c r="D534" s="339"/>
      <c r="E534" s="339"/>
      <c r="F534" s="339"/>
      <c r="G534" s="340"/>
      <c r="H534" s="339"/>
      <c r="I534" s="339"/>
      <c r="J534" s="340"/>
      <c r="K534" s="339"/>
      <c r="L534" s="341"/>
      <c r="M534" s="339"/>
      <c r="N534" s="341"/>
      <c r="O534" s="341"/>
      <c r="P534" s="339"/>
      <c r="Q534" s="341"/>
      <c r="R534" s="340"/>
      <c r="S534" s="339"/>
      <c r="T534" s="341"/>
      <c r="U534" s="339"/>
      <c r="V534" s="339"/>
      <c r="W534" s="339"/>
      <c r="X534" s="340"/>
      <c r="Y534" s="339"/>
      <c r="Z534" s="339"/>
      <c r="AA534" s="339"/>
      <c r="AB534" s="342"/>
    </row>
    <row r="535" spans="1:28" ht="15.75" customHeight="1">
      <c r="A535" s="339"/>
      <c r="B535" s="339"/>
      <c r="C535" s="339"/>
      <c r="D535" s="339"/>
      <c r="E535" s="339"/>
      <c r="F535" s="339"/>
      <c r="G535" s="340"/>
      <c r="H535" s="339"/>
      <c r="I535" s="339"/>
      <c r="J535" s="340"/>
      <c r="K535" s="339"/>
      <c r="L535" s="341"/>
      <c r="M535" s="339"/>
      <c r="N535" s="341"/>
      <c r="O535" s="341"/>
      <c r="P535" s="339"/>
      <c r="Q535" s="341"/>
      <c r="R535" s="340"/>
      <c r="S535" s="339"/>
      <c r="T535" s="341"/>
      <c r="U535" s="339"/>
      <c r="V535" s="339"/>
      <c r="W535" s="339"/>
      <c r="X535" s="340"/>
      <c r="Y535" s="339"/>
      <c r="Z535" s="339"/>
      <c r="AA535" s="339"/>
      <c r="AB535" s="342"/>
    </row>
    <row r="536" spans="1:28" ht="15.75" customHeight="1">
      <c r="A536" s="339"/>
      <c r="B536" s="339"/>
      <c r="C536" s="339"/>
      <c r="D536" s="339"/>
      <c r="E536" s="339"/>
      <c r="F536" s="339"/>
      <c r="G536" s="340"/>
      <c r="H536" s="339"/>
      <c r="I536" s="339"/>
      <c r="J536" s="340"/>
      <c r="K536" s="339"/>
      <c r="L536" s="341"/>
      <c r="M536" s="339"/>
      <c r="N536" s="341"/>
      <c r="O536" s="341"/>
      <c r="P536" s="339"/>
      <c r="Q536" s="341"/>
      <c r="R536" s="340"/>
      <c r="S536" s="339"/>
      <c r="T536" s="341"/>
      <c r="U536" s="339"/>
      <c r="V536" s="339"/>
      <c r="W536" s="339"/>
      <c r="X536" s="340"/>
      <c r="Y536" s="339"/>
      <c r="Z536" s="339"/>
      <c r="AA536" s="339"/>
      <c r="AB536" s="342"/>
    </row>
    <row r="537" spans="1:28" ht="15.75" customHeight="1">
      <c r="A537" s="339"/>
      <c r="B537" s="339"/>
      <c r="C537" s="339"/>
      <c r="D537" s="339"/>
      <c r="E537" s="339"/>
      <c r="F537" s="339"/>
      <c r="G537" s="340"/>
      <c r="H537" s="339"/>
      <c r="I537" s="339"/>
      <c r="J537" s="340"/>
      <c r="K537" s="339"/>
      <c r="L537" s="341"/>
      <c r="M537" s="339"/>
      <c r="N537" s="341"/>
      <c r="O537" s="341"/>
      <c r="P537" s="339"/>
      <c r="Q537" s="341"/>
      <c r="R537" s="340"/>
      <c r="S537" s="339"/>
      <c r="T537" s="341"/>
      <c r="U537" s="339"/>
      <c r="V537" s="339"/>
      <c r="W537" s="339"/>
      <c r="X537" s="340"/>
      <c r="Y537" s="339"/>
      <c r="Z537" s="339"/>
      <c r="AA537" s="339"/>
      <c r="AB537" s="342"/>
    </row>
    <row r="538" spans="1:28" ht="15.75" customHeight="1">
      <c r="A538" s="339"/>
      <c r="B538" s="339"/>
      <c r="C538" s="339"/>
      <c r="D538" s="339"/>
      <c r="E538" s="339"/>
      <c r="F538" s="339"/>
      <c r="G538" s="340"/>
      <c r="H538" s="339"/>
      <c r="I538" s="339"/>
      <c r="J538" s="340"/>
      <c r="K538" s="339"/>
      <c r="L538" s="341"/>
      <c r="M538" s="339"/>
      <c r="N538" s="341"/>
      <c r="O538" s="341"/>
      <c r="P538" s="339"/>
      <c r="Q538" s="341"/>
      <c r="R538" s="340"/>
      <c r="S538" s="339"/>
      <c r="T538" s="341"/>
      <c r="U538" s="339"/>
      <c r="V538" s="339"/>
      <c r="W538" s="339"/>
      <c r="X538" s="340"/>
      <c r="Y538" s="339"/>
      <c r="Z538" s="339"/>
      <c r="AA538" s="339"/>
      <c r="AB538" s="342"/>
    </row>
    <row r="539" spans="1:28" ht="15.75" customHeight="1">
      <c r="A539" s="339"/>
      <c r="B539" s="339"/>
      <c r="C539" s="339"/>
      <c r="D539" s="339"/>
      <c r="E539" s="339"/>
      <c r="F539" s="339"/>
      <c r="G539" s="340"/>
      <c r="H539" s="339"/>
      <c r="I539" s="339"/>
      <c r="J539" s="340"/>
      <c r="K539" s="339"/>
      <c r="L539" s="341"/>
      <c r="M539" s="339"/>
      <c r="N539" s="341"/>
      <c r="O539" s="341"/>
      <c r="P539" s="339"/>
      <c r="Q539" s="341"/>
      <c r="R539" s="340"/>
      <c r="S539" s="339"/>
      <c r="T539" s="341"/>
      <c r="U539" s="339"/>
      <c r="V539" s="339"/>
      <c r="W539" s="339"/>
      <c r="X539" s="340"/>
      <c r="Y539" s="339"/>
      <c r="Z539" s="339"/>
      <c r="AA539" s="339"/>
      <c r="AB539" s="342"/>
    </row>
    <row r="540" spans="1:28" ht="15.75" customHeight="1">
      <c r="A540" s="339"/>
      <c r="B540" s="339"/>
      <c r="C540" s="339"/>
      <c r="D540" s="339"/>
      <c r="E540" s="339"/>
      <c r="F540" s="339"/>
      <c r="G540" s="340"/>
      <c r="H540" s="339"/>
      <c r="I540" s="339"/>
      <c r="J540" s="340"/>
      <c r="K540" s="339"/>
      <c r="L540" s="341"/>
      <c r="M540" s="339"/>
      <c r="N540" s="341"/>
      <c r="O540" s="341"/>
      <c r="P540" s="339"/>
      <c r="Q540" s="341"/>
      <c r="R540" s="340"/>
      <c r="S540" s="339"/>
      <c r="T540" s="341"/>
      <c r="U540" s="339"/>
      <c r="V540" s="339"/>
      <c r="W540" s="339"/>
      <c r="X540" s="340"/>
      <c r="Y540" s="339"/>
      <c r="Z540" s="339"/>
      <c r="AA540" s="339"/>
      <c r="AB540" s="342"/>
    </row>
    <row r="541" spans="1:28" ht="15.75" customHeight="1">
      <c r="A541" s="339"/>
      <c r="B541" s="339"/>
      <c r="C541" s="339"/>
      <c r="D541" s="339"/>
      <c r="E541" s="339"/>
      <c r="F541" s="339"/>
      <c r="G541" s="340"/>
      <c r="H541" s="339"/>
      <c r="I541" s="339"/>
      <c r="J541" s="340"/>
      <c r="K541" s="339"/>
      <c r="L541" s="341"/>
      <c r="M541" s="339"/>
      <c r="N541" s="341"/>
      <c r="O541" s="341"/>
      <c r="P541" s="339"/>
      <c r="Q541" s="341"/>
      <c r="R541" s="340"/>
      <c r="S541" s="339"/>
      <c r="T541" s="341"/>
      <c r="U541" s="339"/>
      <c r="V541" s="339"/>
      <c r="W541" s="339"/>
      <c r="X541" s="340"/>
      <c r="Y541" s="339"/>
      <c r="Z541" s="339"/>
      <c r="AA541" s="339"/>
      <c r="AB541" s="342"/>
    </row>
    <row r="542" spans="1:28" ht="15.75" customHeight="1">
      <c r="A542" s="339"/>
      <c r="B542" s="339"/>
      <c r="C542" s="339"/>
      <c r="D542" s="339"/>
      <c r="E542" s="339"/>
      <c r="F542" s="339"/>
      <c r="G542" s="340"/>
      <c r="H542" s="339"/>
      <c r="I542" s="339"/>
      <c r="J542" s="340"/>
      <c r="K542" s="339"/>
      <c r="L542" s="341"/>
      <c r="M542" s="339"/>
      <c r="N542" s="341"/>
      <c r="O542" s="341"/>
      <c r="P542" s="339"/>
      <c r="Q542" s="341"/>
      <c r="R542" s="340"/>
      <c r="S542" s="339"/>
      <c r="T542" s="341"/>
      <c r="U542" s="339"/>
      <c r="V542" s="339"/>
      <c r="W542" s="339"/>
      <c r="X542" s="340"/>
      <c r="Y542" s="339"/>
      <c r="Z542" s="339"/>
      <c r="AA542" s="339"/>
      <c r="AB542" s="342"/>
    </row>
    <row r="543" spans="1:28" ht="15.75" customHeight="1">
      <c r="A543" s="339"/>
      <c r="B543" s="339"/>
      <c r="C543" s="339"/>
      <c r="D543" s="339"/>
      <c r="E543" s="339"/>
      <c r="F543" s="339"/>
      <c r="G543" s="340"/>
      <c r="H543" s="339"/>
      <c r="I543" s="339"/>
      <c r="J543" s="340"/>
      <c r="K543" s="339"/>
      <c r="L543" s="341"/>
      <c r="M543" s="339"/>
      <c r="N543" s="341"/>
      <c r="O543" s="341"/>
      <c r="P543" s="339"/>
      <c r="Q543" s="341"/>
      <c r="R543" s="340"/>
      <c r="S543" s="339"/>
      <c r="T543" s="341"/>
      <c r="U543" s="339"/>
      <c r="V543" s="339"/>
      <c r="W543" s="339"/>
      <c r="X543" s="340"/>
      <c r="Y543" s="339"/>
      <c r="Z543" s="339"/>
      <c r="AA543" s="339"/>
      <c r="AB543" s="342"/>
    </row>
    <row r="544" spans="1:28" ht="15.75" customHeight="1">
      <c r="A544" s="339"/>
      <c r="B544" s="339"/>
      <c r="C544" s="339"/>
      <c r="D544" s="339"/>
      <c r="E544" s="339"/>
      <c r="F544" s="339"/>
      <c r="G544" s="340"/>
      <c r="H544" s="339"/>
      <c r="I544" s="339"/>
      <c r="J544" s="340"/>
      <c r="K544" s="339"/>
      <c r="L544" s="341"/>
      <c r="M544" s="339"/>
      <c r="N544" s="341"/>
      <c r="O544" s="341"/>
      <c r="P544" s="339"/>
      <c r="Q544" s="341"/>
      <c r="R544" s="340"/>
      <c r="S544" s="339"/>
      <c r="T544" s="341"/>
      <c r="U544" s="339"/>
      <c r="V544" s="339"/>
      <c r="W544" s="339"/>
      <c r="X544" s="340"/>
      <c r="Y544" s="339"/>
      <c r="Z544" s="339"/>
      <c r="AA544" s="339"/>
      <c r="AB544" s="342"/>
    </row>
    <row r="545" spans="1:28" ht="15.75" customHeight="1">
      <c r="A545" s="339"/>
      <c r="B545" s="339"/>
      <c r="C545" s="339"/>
      <c r="D545" s="339"/>
      <c r="E545" s="339"/>
      <c r="F545" s="339"/>
      <c r="G545" s="340"/>
      <c r="H545" s="339"/>
      <c r="I545" s="339"/>
      <c r="J545" s="340"/>
      <c r="K545" s="339"/>
      <c r="L545" s="341"/>
      <c r="M545" s="339"/>
      <c r="N545" s="341"/>
      <c r="O545" s="341"/>
      <c r="P545" s="339"/>
      <c r="Q545" s="341"/>
      <c r="R545" s="340"/>
      <c r="S545" s="339"/>
      <c r="T545" s="341"/>
      <c r="U545" s="339"/>
      <c r="V545" s="339"/>
      <c r="W545" s="339"/>
      <c r="X545" s="340"/>
      <c r="Y545" s="339"/>
      <c r="Z545" s="339"/>
      <c r="AA545" s="339"/>
      <c r="AB545" s="342"/>
    </row>
    <row r="546" spans="1:28" ht="15.75" customHeight="1">
      <c r="A546" s="339"/>
      <c r="B546" s="339"/>
      <c r="C546" s="339"/>
      <c r="D546" s="339"/>
      <c r="E546" s="339"/>
      <c r="F546" s="339"/>
      <c r="G546" s="340"/>
      <c r="H546" s="339"/>
      <c r="I546" s="339"/>
      <c r="J546" s="340"/>
      <c r="K546" s="339"/>
      <c r="L546" s="341"/>
      <c r="M546" s="339"/>
      <c r="N546" s="341"/>
      <c r="O546" s="341"/>
      <c r="P546" s="339"/>
      <c r="Q546" s="341"/>
      <c r="R546" s="340"/>
      <c r="S546" s="339"/>
      <c r="T546" s="341"/>
      <c r="U546" s="339"/>
      <c r="V546" s="339"/>
      <c r="W546" s="339"/>
      <c r="X546" s="340"/>
      <c r="Y546" s="339"/>
      <c r="Z546" s="339"/>
      <c r="AA546" s="339"/>
      <c r="AB546" s="342"/>
    </row>
    <row r="547" spans="1:28" ht="15.75" customHeight="1">
      <c r="A547" s="339"/>
      <c r="B547" s="339"/>
      <c r="C547" s="339"/>
      <c r="D547" s="339"/>
      <c r="E547" s="339"/>
      <c r="F547" s="339"/>
      <c r="G547" s="340"/>
      <c r="H547" s="339"/>
      <c r="I547" s="339"/>
      <c r="J547" s="340"/>
      <c r="K547" s="339"/>
      <c r="L547" s="341"/>
      <c r="M547" s="339"/>
      <c r="N547" s="341"/>
      <c r="O547" s="341"/>
      <c r="P547" s="339"/>
      <c r="Q547" s="341"/>
      <c r="R547" s="340"/>
      <c r="S547" s="339"/>
      <c r="T547" s="341"/>
      <c r="U547" s="339"/>
      <c r="V547" s="339"/>
      <c r="W547" s="339"/>
      <c r="X547" s="340"/>
      <c r="Y547" s="339"/>
      <c r="Z547" s="339"/>
      <c r="AA547" s="339"/>
      <c r="AB547" s="342"/>
    </row>
    <row r="548" spans="1:28" ht="15.75" customHeight="1">
      <c r="A548" s="339"/>
      <c r="B548" s="339"/>
      <c r="C548" s="339"/>
      <c r="D548" s="339"/>
      <c r="E548" s="339"/>
      <c r="F548" s="339"/>
      <c r="G548" s="340"/>
      <c r="H548" s="339"/>
      <c r="I548" s="339"/>
      <c r="J548" s="340"/>
      <c r="K548" s="339"/>
      <c r="L548" s="341"/>
      <c r="M548" s="339"/>
      <c r="N548" s="341"/>
      <c r="O548" s="341"/>
      <c r="P548" s="339"/>
      <c r="Q548" s="341"/>
      <c r="R548" s="340"/>
      <c r="S548" s="339"/>
      <c r="T548" s="341"/>
      <c r="U548" s="339"/>
      <c r="V548" s="339"/>
      <c r="W548" s="339"/>
      <c r="X548" s="340"/>
      <c r="Y548" s="339"/>
      <c r="Z548" s="339"/>
      <c r="AA548" s="339"/>
      <c r="AB548" s="342"/>
    </row>
    <row r="549" spans="1:28" ht="15.75" customHeight="1">
      <c r="A549" s="339"/>
      <c r="B549" s="339"/>
      <c r="C549" s="339"/>
      <c r="D549" s="339"/>
      <c r="E549" s="339"/>
      <c r="F549" s="339"/>
      <c r="G549" s="340"/>
      <c r="H549" s="339"/>
      <c r="I549" s="339"/>
      <c r="J549" s="340"/>
      <c r="K549" s="339"/>
      <c r="L549" s="341"/>
      <c r="M549" s="339"/>
      <c r="N549" s="341"/>
      <c r="O549" s="341"/>
      <c r="P549" s="339"/>
      <c r="Q549" s="341"/>
      <c r="R549" s="340"/>
      <c r="S549" s="339"/>
      <c r="T549" s="341"/>
      <c r="U549" s="339"/>
      <c r="V549" s="339"/>
      <c r="W549" s="339"/>
      <c r="X549" s="340"/>
      <c r="Y549" s="339"/>
      <c r="Z549" s="339"/>
      <c r="AA549" s="339"/>
      <c r="AB549" s="342"/>
    </row>
    <row r="550" spans="1:28" ht="15.75" customHeight="1">
      <c r="A550" s="339"/>
      <c r="B550" s="339"/>
      <c r="C550" s="339"/>
      <c r="D550" s="339"/>
      <c r="E550" s="339"/>
      <c r="F550" s="339"/>
      <c r="G550" s="340"/>
      <c r="H550" s="339"/>
      <c r="I550" s="339"/>
      <c r="J550" s="340"/>
      <c r="K550" s="339"/>
      <c r="L550" s="341"/>
      <c r="M550" s="339"/>
      <c r="N550" s="341"/>
      <c r="O550" s="341"/>
      <c r="P550" s="339"/>
      <c r="Q550" s="341"/>
      <c r="R550" s="340"/>
      <c r="S550" s="339"/>
      <c r="T550" s="341"/>
      <c r="U550" s="339"/>
      <c r="V550" s="339"/>
      <c r="W550" s="339"/>
      <c r="X550" s="340"/>
      <c r="Y550" s="339"/>
      <c r="Z550" s="339"/>
      <c r="AA550" s="339"/>
      <c r="AB550" s="342"/>
    </row>
    <row r="551" spans="1:28" ht="15.75" customHeight="1">
      <c r="A551" s="339"/>
      <c r="B551" s="339"/>
      <c r="C551" s="339"/>
      <c r="D551" s="339"/>
      <c r="E551" s="339"/>
      <c r="F551" s="339"/>
      <c r="G551" s="340"/>
      <c r="H551" s="339"/>
      <c r="I551" s="339"/>
      <c r="J551" s="340"/>
      <c r="K551" s="339"/>
      <c r="L551" s="341"/>
      <c r="M551" s="339"/>
      <c r="N551" s="341"/>
      <c r="O551" s="341"/>
      <c r="P551" s="339"/>
      <c r="Q551" s="341"/>
      <c r="R551" s="340"/>
      <c r="S551" s="339"/>
      <c r="T551" s="341"/>
      <c r="U551" s="339"/>
      <c r="V551" s="339"/>
      <c r="W551" s="339"/>
      <c r="X551" s="340"/>
      <c r="Y551" s="339"/>
      <c r="Z551" s="339"/>
      <c r="AA551" s="339"/>
      <c r="AB551" s="342"/>
    </row>
    <row r="552" spans="1:28" ht="15.75" customHeight="1">
      <c r="A552" s="339"/>
      <c r="B552" s="339"/>
      <c r="C552" s="339"/>
      <c r="D552" s="339"/>
      <c r="E552" s="339"/>
      <c r="F552" s="339"/>
      <c r="G552" s="340"/>
      <c r="H552" s="339"/>
      <c r="I552" s="339"/>
      <c r="J552" s="340"/>
      <c r="K552" s="339"/>
      <c r="L552" s="341"/>
      <c r="M552" s="339"/>
      <c r="N552" s="341"/>
      <c r="O552" s="341"/>
      <c r="P552" s="339"/>
      <c r="Q552" s="341"/>
      <c r="R552" s="340"/>
      <c r="S552" s="339"/>
      <c r="T552" s="341"/>
      <c r="U552" s="339"/>
      <c r="V552" s="339"/>
      <c r="W552" s="339"/>
      <c r="X552" s="340"/>
      <c r="Y552" s="339"/>
      <c r="Z552" s="339"/>
      <c r="AA552" s="339"/>
      <c r="AB552" s="342"/>
    </row>
    <row r="553" spans="1:28" ht="15.75" customHeight="1">
      <c r="A553" s="339"/>
      <c r="B553" s="339"/>
      <c r="C553" s="339"/>
      <c r="D553" s="339"/>
      <c r="E553" s="339"/>
      <c r="F553" s="339"/>
      <c r="G553" s="340"/>
      <c r="H553" s="339"/>
      <c r="I553" s="339"/>
      <c r="J553" s="340"/>
      <c r="K553" s="339"/>
      <c r="L553" s="341"/>
      <c r="M553" s="339"/>
      <c r="N553" s="341"/>
      <c r="O553" s="341"/>
      <c r="P553" s="339"/>
      <c r="Q553" s="341"/>
      <c r="R553" s="340"/>
      <c r="S553" s="339"/>
      <c r="T553" s="341"/>
      <c r="U553" s="339"/>
      <c r="V553" s="339"/>
      <c r="W553" s="339"/>
      <c r="X553" s="340"/>
      <c r="Y553" s="339"/>
      <c r="Z553" s="339"/>
      <c r="AA553" s="339"/>
      <c r="AB553" s="342"/>
    </row>
    <row r="554" spans="1:28" ht="15.75" customHeight="1">
      <c r="A554" s="339"/>
      <c r="B554" s="339"/>
      <c r="C554" s="339"/>
      <c r="D554" s="339"/>
      <c r="E554" s="339"/>
      <c r="F554" s="339"/>
      <c r="G554" s="340"/>
      <c r="H554" s="339"/>
      <c r="I554" s="339"/>
      <c r="J554" s="340"/>
      <c r="K554" s="339"/>
      <c r="L554" s="341"/>
      <c r="M554" s="339"/>
      <c r="N554" s="341"/>
      <c r="O554" s="341"/>
      <c r="P554" s="339"/>
      <c r="Q554" s="341"/>
      <c r="R554" s="340"/>
      <c r="S554" s="339"/>
      <c r="T554" s="341"/>
      <c r="U554" s="339"/>
      <c r="V554" s="339"/>
      <c r="W554" s="339"/>
      <c r="X554" s="340"/>
      <c r="Y554" s="339"/>
      <c r="Z554" s="339"/>
      <c r="AA554" s="339"/>
      <c r="AB554" s="342"/>
    </row>
    <row r="555" spans="1:28" ht="15.75" customHeight="1">
      <c r="A555" s="339"/>
      <c r="B555" s="339"/>
      <c r="C555" s="339"/>
      <c r="D555" s="339"/>
      <c r="E555" s="339"/>
      <c r="F555" s="339"/>
      <c r="G555" s="340"/>
      <c r="H555" s="339"/>
      <c r="I555" s="339"/>
      <c r="J555" s="340"/>
      <c r="K555" s="339"/>
      <c r="L555" s="341"/>
      <c r="M555" s="339"/>
      <c r="N555" s="341"/>
      <c r="O555" s="341"/>
      <c r="P555" s="339"/>
      <c r="Q555" s="341"/>
      <c r="R555" s="340"/>
      <c r="S555" s="339"/>
      <c r="T555" s="341"/>
      <c r="U555" s="339"/>
      <c r="V555" s="339"/>
      <c r="W555" s="339"/>
      <c r="X555" s="340"/>
      <c r="Y555" s="339"/>
      <c r="Z555" s="339"/>
      <c r="AA555" s="339"/>
      <c r="AB555" s="342"/>
    </row>
    <row r="556" spans="1:28" ht="15.75" customHeight="1">
      <c r="A556" s="339"/>
      <c r="B556" s="339"/>
      <c r="C556" s="339"/>
      <c r="D556" s="339"/>
      <c r="E556" s="339"/>
      <c r="F556" s="339"/>
      <c r="G556" s="340"/>
      <c r="H556" s="339"/>
      <c r="I556" s="339"/>
      <c r="J556" s="340"/>
      <c r="K556" s="339"/>
      <c r="L556" s="341"/>
      <c r="M556" s="339"/>
      <c r="N556" s="341"/>
      <c r="O556" s="341"/>
      <c r="P556" s="339"/>
      <c r="Q556" s="341"/>
      <c r="R556" s="340"/>
      <c r="S556" s="339"/>
      <c r="T556" s="341"/>
      <c r="U556" s="339"/>
      <c r="V556" s="339"/>
      <c r="W556" s="339"/>
      <c r="X556" s="340"/>
      <c r="Y556" s="339"/>
      <c r="Z556" s="339"/>
      <c r="AA556" s="339"/>
      <c r="AB556" s="342"/>
    </row>
    <row r="557" spans="1:28" ht="15.75" customHeight="1">
      <c r="A557" s="339"/>
      <c r="B557" s="339"/>
      <c r="C557" s="339"/>
      <c r="D557" s="339"/>
      <c r="E557" s="339"/>
      <c r="F557" s="339"/>
      <c r="G557" s="340"/>
      <c r="H557" s="339"/>
      <c r="I557" s="339"/>
      <c r="J557" s="340"/>
      <c r="K557" s="339"/>
      <c r="L557" s="341"/>
      <c r="M557" s="339"/>
      <c r="N557" s="341"/>
      <c r="O557" s="341"/>
      <c r="P557" s="339"/>
      <c r="Q557" s="341"/>
      <c r="R557" s="340"/>
      <c r="S557" s="339"/>
      <c r="T557" s="341"/>
      <c r="U557" s="339"/>
      <c r="V557" s="339"/>
      <c r="W557" s="339"/>
      <c r="X557" s="340"/>
      <c r="Y557" s="339"/>
      <c r="Z557" s="339"/>
      <c r="AA557" s="339"/>
      <c r="AB557" s="342"/>
    </row>
    <row r="558" spans="1:28" ht="15.75" customHeight="1">
      <c r="A558" s="339"/>
      <c r="B558" s="339"/>
      <c r="C558" s="339"/>
      <c r="D558" s="339"/>
      <c r="E558" s="339"/>
      <c r="F558" s="339"/>
      <c r="G558" s="340"/>
      <c r="H558" s="339"/>
      <c r="I558" s="339"/>
      <c r="J558" s="340"/>
      <c r="K558" s="339"/>
      <c r="L558" s="341"/>
      <c r="M558" s="339"/>
      <c r="N558" s="341"/>
      <c r="O558" s="341"/>
      <c r="P558" s="339"/>
      <c r="Q558" s="341"/>
      <c r="R558" s="340"/>
      <c r="S558" s="339"/>
      <c r="T558" s="341"/>
      <c r="U558" s="339"/>
      <c r="V558" s="339"/>
      <c r="W558" s="339"/>
      <c r="X558" s="340"/>
      <c r="Y558" s="339"/>
      <c r="Z558" s="339"/>
      <c r="AA558" s="339"/>
      <c r="AB558" s="342"/>
    </row>
    <row r="559" spans="1:28" ht="15.75" customHeight="1">
      <c r="A559" s="339"/>
      <c r="B559" s="339"/>
      <c r="C559" s="339"/>
      <c r="D559" s="339"/>
      <c r="E559" s="339"/>
      <c r="F559" s="339"/>
      <c r="G559" s="340"/>
      <c r="H559" s="339"/>
      <c r="I559" s="339"/>
      <c r="J559" s="340"/>
      <c r="K559" s="339"/>
      <c r="L559" s="341"/>
      <c r="M559" s="339"/>
      <c r="N559" s="341"/>
      <c r="O559" s="341"/>
      <c r="P559" s="339"/>
      <c r="Q559" s="341"/>
      <c r="R559" s="340"/>
      <c r="S559" s="339"/>
      <c r="T559" s="341"/>
      <c r="U559" s="339"/>
      <c r="V559" s="339"/>
      <c r="W559" s="339"/>
      <c r="X559" s="340"/>
      <c r="Y559" s="339"/>
      <c r="Z559" s="339"/>
      <c r="AA559" s="339"/>
      <c r="AB559" s="342"/>
    </row>
    <row r="560" spans="1:28" ht="15.75" customHeight="1">
      <c r="A560" s="339"/>
      <c r="B560" s="339"/>
      <c r="C560" s="339"/>
      <c r="D560" s="339"/>
      <c r="E560" s="339"/>
      <c r="F560" s="339"/>
      <c r="G560" s="340"/>
      <c r="H560" s="339"/>
      <c r="I560" s="339"/>
      <c r="J560" s="340"/>
      <c r="K560" s="339"/>
      <c r="L560" s="341"/>
      <c r="M560" s="339"/>
      <c r="N560" s="341"/>
      <c r="O560" s="341"/>
      <c r="P560" s="339"/>
      <c r="Q560" s="341"/>
      <c r="R560" s="340"/>
      <c r="S560" s="339"/>
      <c r="T560" s="341"/>
      <c r="U560" s="339"/>
      <c r="V560" s="339"/>
      <c r="W560" s="339"/>
      <c r="X560" s="340"/>
      <c r="Y560" s="339"/>
      <c r="Z560" s="339"/>
      <c r="AA560" s="339"/>
      <c r="AB560" s="342"/>
    </row>
    <row r="561" spans="1:28" ht="15.75" customHeight="1">
      <c r="A561" s="339"/>
      <c r="B561" s="339"/>
      <c r="C561" s="339"/>
      <c r="D561" s="339"/>
      <c r="E561" s="339"/>
      <c r="F561" s="339"/>
      <c r="G561" s="340"/>
      <c r="H561" s="339"/>
      <c r="I561" s="339"/>
      <c r="J561" s="340"/>
      <c r="K561" s="339"/>
      <c r="L561" s="341"/>
      <c r="M561" s="339"/>
      <c r="N561" s="341"/>
      <c r="O561" s="341"/>
      <c r="P561" s="339"/>
      <c r="Q561" s="341"/>
      <c r="R561" s="340"/>
      <c r="S561" s="339"/>
      <c r="T561" s="341"/>
      <c r="U561" s="339"/>
      <c r="V561" s="339"/>
      <c r="W561" s="339"/>
      <c r="X561" s="340"/>
      <c r="Y561" s="339"/>
      <c r="Z561" s="339"/>
      <c r="AA561" s="339"/>
      <c r="AB561" s="342"/>
    </row>
    <row r="562" spans="1:28" ht="15.75" customHeight="1">
      <c r="A562" s="339"/>
      <c r="B562" s="339"/>
      <c r="C562" s="339"/>
      <c r="D562" s="339"/>
      <c r="E562" s="339"/>
      <c r="F562" s="339"/>
      <c r="G562" s="340"/>
      <c r="H562" s="339"/>
      <c r="I562" s="339"/>
      <c r="J562" s="340"/>
      <c r="K562" s="339"/>
      <c r="L562" s="341"/>
      <c r="M562" s="339"/>
      <c r="N562" s="341"/>
      <c r="O562" s="341"/>
      <c r="P562" s="339"/>
      <c r="Q562" s="341"/>
      <c r="R562" s="340"/>
      <c r="S562" s="339"/>
      <c r="T562" s="341"/>
      <c r="U562" s="339"/>
      <c r="V562" s="339"/>
      <c r="W562" s="339"/>
      <c r="X562" s="340"/>
      <c r="Y562" s="339"/>
      <c r="Z562" s="339"/>
      <c r="AA562" s="339"/>
      <c r="AB562" s="342"/>
    </row>
    <row r="563" spans="1:28" ht="15.75" customHeight="1">
      <c r="A563" s="339"/>
      <c r="B563" s="339"/>
      <c r="C563" s="339"/>
      <c r="D563" s="339"/>
      <c r="E563" s="339"/>
      <c r="F563" s="339"/>
      <c r="G563" s="340"/>
      <c r="H563" s="339"/>
      <c r="I563" s="339"/>
      <c r="J563" s="340"/>
      <c r="K563" s="339"/>
      <c r="L563" s="341"/>
      <c r="M563" s="339"/>
      <c r="N563" s="341"/>
      <c r="O563" s="341"/>
      <c r="P563" s="339"/>
      <c r="Q563" s="341"/>
      <c r="R563" s="340"/>
      <c r="S563" s="339"/>
      <c r="T563" s="341"/>
      <c r="U563" s="339"/>
      <c r="V563" s="339"/>
      <c r="W563" s="339"/>
      <c r="X563" s="340"/>
      <c r="Y563" s="339"/>
      <c r="Z563" s="339"/>
      <c r="AA563" s="339"/>
      <c r="AB563" s="342"/>
    </row>
    <row r="564" spans="1:28" ht="15.75" customHeight="1">
      <c r="A564" s="339"/>
      <c r="B564" s="339"/>
      <c r="C564" s="339"/>
      <c r="D564" s="339"/>
      <c r="E564" s="339"/>
      <c r="F564" s="339"/>
      <c r="G564" s="340"/>
      <c r="H564" s="339"/>
      <c r="I564" s="339"/>
      <c r="J564" s="340"/>
      <c r="K564" s="339"/>
      <c r="L564" s="341"/>
      <c r="M564" s="339"/>
      <c r="N564" s="341"/>
      <c r="O564" s="341"/>
      <c r="P564" s="339"/>
      <c r="Q564" s="341"/>
      <c r="R564" s="340"/>
      <c r="S564" s="339"/>
      <c r="T564" s="341"/>
      <c r="U564" s="339"/>
      <c r="V564" s="339"/>
      <c r="W564" s="339"/>
      <c r="X564" s="340"/>
      <c r="Y564" s="339"/>
      <c r="Z564" s="339"/>
      <c r="AA564" s="339"/>
      <c r="AB564" s="342"/>
    </row>
    <row r="565" spans="1:28" ht="15.75" customHeight="1">
      <c r="A565" s="339"/>
      <c r="B565" s="339"/>
      <c r="C565" s="339"/>
      <c r="D565" s="339"/>
      <c r="E565" s="339"/>
      <c r="F565" s="339"/>
      <c r="G565" s="340"/>
      <c r="H565" s="339"/>
      <c r="I565" s="339"/>
      <c r="J565" s="340"/>
      <c r="K565" s="339"/>
      <c r="L565" s="341"/>
      <c r="M565" s="339"/>
      <c r="N565" s="341"/>
      <c r="O565" s="341"/>
      <c r="P565" s="339"/>
      <c r="Q565" s="341"/>
      <c r="R565" s="340"/>
      <c r="S565" s="339"/>
      <c r="T565" s="341"/>
      <c r="U565" s="339"/>
      <c r="V565" s="339"/>
      <c r="W565" s="339"/>
      <c r="X565" s="340"/>
      <c r="Y565" s="339"/>
      <c r="Z565" s="339"/>
      <c r="AA565" s="339"/>
      <c r="AB565" s="342"/>
    </row>
    <row r="566" spans="1:28" ht="15.75" customHeight="1">
      <c r="A566" s="339"/>
      <c r="B566" s="339"/>
      <c r="C566" s="339"/>
      <c r="D566" s="339"/>
      <c r="E566" s="339"/>
      <c r="F566" s="339"/>
      <c r="G566" s="340"/>
      <c r="H566" s="339"/>
      <c r="I566" s="339"/>
      <c r="J566" s="340"/>
      <c r="K566" s="339"/>
      <c r="L566" s="341"/>
      <c r="M566" s="339"/>
      <c r="N566" s="341"/>
      <c r="O566" s="341"/>
      <c r="P566" s="339"/>
      <c r="Q566" s="341"/>
      <c r="R566" s="340"/>
      <c r="S566" s="339"/>
      <c r="T566" s="341"/>
      <c r="U566" s="339"/>
      <c r="V566" s="339"/>
      <c r="W566" s="339"/>
      <c r="X566" s="340"/>
      <c r="Y566" s="339"/>
      <c r="Z566" s="339"/>
      <c r="AA566" s="339"/>
      <c r="AB566" s="342"/>
    </row>
    <row r="567" spans="1:28" ht="15.75" customHeight="1">
      <c r="A567" s="339"/>
      <c r="B567" s="339"/>
      <c r="C567" s="339"/>
      <c r="D567" s="339"/>
      <c r="E567" s="339"/>
      <c r="F567" s="339"/>
      <c r="G567" s="340"/>
      <c r="H567" s="339"/>
      <c r="I567" s="339"/>
      <c r="J567" s="340"/>
      <c r="K567" s="339"/>
      <c r="L567" s="341"/>
      <c r="M567" s="339"/>
      <c r="N567" s="341"/>
      <c r="O567" s="341"/>
      <c r="P567" s="339"/>
      <c r="Q567" s="341"/>
      <c r="R567" s="340"/>
      <c r="S567" s="339"/>
      <c r="T567" s="341"/>
      <c r="U567" s="339"/>
      <c r="V567" s="339"/>
      <c r="W567" s="339"/>
      <c r="X567" s="340"/>
      <c r="Y567" s="339"/>
      <c r="Z567" s="339"/>
      <c r="AA567" s="339"/>
      <c r="AB567" s="342"/>
    </row>
    <row r="568" spans="1:28" ht="15.75" customHeight="1">
      <c r="A568" s="339"/>
      <c r="B568" s="339"/>
      <c r="C568" s="339"/>
      <c r="D568" s="339"/>
      <c r="E568" s="339"/>
      <c r="F568" s="339"/>
      <c r="G568" s="340"/>
      <c r="H568" s="339"/>
      <c r="I568" s="339"/>
      <c r="J568" s="340"/>
      <c r="K568" s="339"/>
      <c r="L568" s="341"/>
      <c r="M568" s="339"/>
      <c r="N568" s="341"/>
      <c r="O568" s="341"/>
      <c r="P568" s="339"/>
      <c r="Q568" s="341"/>
      <c r="R568" s="340"/>
      <c r="S568" s="339"/>
      <c r="T568" s="341"/>
      <c r="U568" s="339"/>
      <c r="V568" s="339"/>
      <c r="W568" s="339"/>
      <c r="X568" s="340"/>
      <c r="Y568" s="339"/>
      <c r="Z568" s="339"/>
      <c r="AA568" s="339"/>
      <c r="AB568" s="342"/>
    </row>
    <row r="569" spans="1:28" ht="15.75" customHeight="1">
      <c r="A569" s="339"/>
      <c r="B569" s="339"/>
      <c r="C569" s="339"/>
      <c r="D569" s="339"/>
      <c r="E569" s="339"/>
      <c r="F569" s="339"/>
      <c r="G569" s="340"/>
      <c r="H569" s="339"/>
      <c r="I569" s="339"/>
      <c r="J569" s="340"/>
      <c r="K569" s="339"/>
      <c r="L569" s="341"/>
      <c r="M569" s="339"/>
      <c r="N569" s="341"/>
      <c r="O569" s="341"/>
      <c r="P569" s="339"/>
      <c r="Q569" s="341"/>
      <c r="R569" s="340"/>
      <c r="S569" s="339"/>
      <c r="T569" s="341"/>
      <c r="U569" s="339"/>
      <c r="V569" s="339"/>
      <c r="W569" s="339"/>
      <c r="X569" s="340"/>
      <c r="Y569" s="339"/>
      <c r="Z569" s="339"/>
      <c r="AA569" s="339"/>
      <c r="AB569" s="342"/>
    </row>
    <row r="570" spans="1:28" ht="15.75" customHeight="1">
      <c r="A570" s="339"/>
      <c r="B570" s="339"/>
      <c r="C570" s="339"/>
      <c r="D570" s="339"/>
      <c r="E570" s="339"/>
      <c r="F570" s="339"/>
      <c r="G570" s="340"/>
      <c r="H570" s="339"/>
      <c r="I570" s="339"/>
      <c r="J570" s="340"/>
      <c r="K570" s="339"/>
      <c r="L570" s="341"/>
      <c r="M570" s="339"/>
      <c r="N570" s="341"/>
      <c r="O570" s="341"/>
      <c r="P570" s="339"/>
      <c r="Q570" s="341"/>
      <c r="R570" s="340"/>
      <c r="S570" s="339"/>
      <c r="T570" s="341"/>
      <c r="U570" s="339"/>
      <c r="V570" s="339"/>
      <c r="W570" s="339"/>
      <c r="X570" s="340"/>
      <c r="Y570" s="339"/>
      <c r="Z570" s="339"/>
      <c r="AA570" s="339"/>
      <c r="AB570" s="342"/>
    </row>
    <row r="571" spans="1:28" ht="15.75" customHeight="1">
      <c r="A571" s="339"/>
      <c r="B571" s="339"/>
      <c r="C571" s="339"/>
      <c r="D571" s="339"/>
      <c r="E571" s="339"/>
      <c r="F571" s="339"/>
      <c r="G571" s="340"/>
      <c r="H571" s="339"/>
      <c r="I571" s="339"/>
      <c r="J571" s="340"/>
      <c r="K571" s="339"/>
      <c r="L571" s="341"/>
      <c r="M571" s="339"/>
      <c r="N571" s="341"/>
      <c r="O571" s="341"/>
      <c r="P571" s="339"/>
      <c r="Q571" s="341"/>
      <c r="R571" s="340"/>
      <c r="S571" s="339"/>
      <c r="T571" s="341"/>
      <c r="U571" s="339"/>
      <c r="V571" s="339"/>
      <c r="W571" s="339"/>
      <c r="X571" s="340"/>
      <c r="Y571" s="339"/>
      <c r="Z571" s="339"/>
      <c r="AA571" s="339"/>
      <c r="AB571" s="342"/>
    </row>
    <row r="572" spans="1:28" ht="15.75" customHeight="1">
      <c r="A572" s="339"/>
      <c r="B572" s="339"/>
      <c r="C572" s="339"/>
      <c r="D572" s="339"/>
      <c r="E572" s="339"/>
      <c r="F572" s="339"/>
      <c r="G572" s="340"/>
      <c r="H572" s="339"/>
      <c r="I572" s="339"/>
      <c r="J572" s="340"/>
      <c r="K572" s="339"/>
      <c r="L572" s="341"/>
      <c r="M572" s="339"/>
      <c r="N572" s="341"/>
      <c r="O572" s="341"/>
      <c r="P572" s="339"/>
      <c r="Q572" s="341"/>
      <c r="R572" s="340"/>
      <c r="S572" s="339"/>
      <c r="T572" s="341"/>
      <c r="U572" s="339"/>
      <c r="V572" s="339"/>
      <c r="W572" s="339"/>
      <c r="X572" s="340"/>
      <c r="Y572" s="339"/>
      <c r="Z572" s="339"/>
      <c r="AA572" s="339"/>
      <c r="AB572" s="342"/>
    </row>
    <row r="573" spans="1:28" ht="15.75" customHeight="1">
      <c r="A573" s="339"/>
      <c r="B573" s="339"/>
      <c r="C573" s="339"/>
      <c r="D573" s="339"/>
      <c r="E573" s="339"/>
      <c r="F573" s="339"/>
      <c r="G573" s="340"/>
      <c r="H573" s="339"/>
      <c r="I573" s="339"/>
      <c r="J573" s="340"/>
      <c r="K573" s="339"/>
      <c r="L573" s="341"/>
      <c r="M573" s="339"/>
      <c r="N573" s="341"/>
      <c r="O573" s="341"/>
      <c r="P573" s="339"/>
      <c r="Q573" s="341"/>
      <c r="R573" s="340"/>
      <c r="S573" s="339"/>
      <c r="T573" s="341"/>
      <c r="U573" s="339"/>
      <c r="V573" s="339"/>
      <c r="W573" s="339"/>
      <c r="X573" s="340"/>
      <c r="Y573" s="339"/>
      <c r="Z573" s="339"/>
      <c r="AA573" s="339"/>
      <c r="AB573" s="342"/>
    </row>
    <row r="574" spans="1:28" ht="15.75" customHeight="1">
      <c r="A574" s="339"/>
      <c r="B574" s="339"/>
      <c r="C574" s="339"/>
      <c r="D574" s="339"/>
      <c r="E574" s="339"/>
      <c r="F574" s="339"/>
      <c r="G574" s="340"/>
      <c r="H574" s="339"/>
      <c r="I574" s="339"/>
      <c r="J574" s="340"/>
      <c r="K574" s="339"/>
      <c r="L574" s="341"/>
      <c r="M574" s="339"/>
      <c r="N574" s="341"/>
      <c r="O574" s="341"/>
      <c r="P574" s="339"/>
      <c r="Q574" s="341"/>
      <c r="R574" s="340"/>
      <c r="S574" s="339"/>
      <c r="T574" s="341"/>
      <c r="U574" s="339"/>
      <c r="V574" s="339"/>
      <c r="W574" s="339"/>
      <c r="X574" s="340"/>
      <c r="Y574" s="339"/>
      <c r="Z574" s="339"/>
      <c r="AA574" s="339"/>
      <c r="AB574" s="342"/>
    </row>
    <row r="575" spans="1:28" ht="15.75" customHeight="1">
      <c r="A575" s="339"/>
      <c r="B575" s="339"/>
      <c r="C575" s="339"/>
      <c r="D575" s="339"/>
      <c r="E575" s="339"/>
      <c r="F575" s="339"/>
      <c r="G575" s="340"/>
      <c r="H575" s="339"/>
      <c r="I575" s="339"/>
      <c r="J575" s="340"/>
      <c r="K575" s="339"/>
      <c r="L575" s="341"/>
      <c r="M575" s="339"/>
      <c r="N575" s="341"/>
      <c r="O575" s="341"/>
      <c r="P575" s="339"/>
      <c r="Q575" s="341"/>
      <c r="R575" s="340"/>
      <c r="S575" s="339"/>
      <c r="T575" s="341"/>
      <c r="U575" s="339"/>
      <c r="V575" s="339"/>
      <c r="W575" s="339"/>
      <c r="X575" s="340"/>
      <c r="Y575" s="339"/>
      <c r="Z575" s="339"/>
      <c r="AA575" s="339"/>
      <c r="AB575" s="342"/>
    </row>
    <row r="576" spans="1:28" ht="15.75" customHeight="1">
      <c r="A576" s="339"/>
      <c r="B576" s="339"/>
      <c r="C576" s="339"/>
      <c r="D576" s="339"/>
      <c r="E576" s="339"/>
      <c r="F576" s="339"/>
      <c r="G576" s="340"/>
      <c r="H576" s="339"/>
      <c r="I576" s="339"/>
      <c r="J576" s="340"/>
      <c r="K576" s="339"/>
      <c r="L576" s="341"/>
      <c r="M576" s="339"/>
      <c r="N576" s="341"/>
      <c r="O576" s="341"/>
      <c r="P576" s="339"/>
      <c r="Q576" s="341"/>
      <c r="R576" s="340"/>
      <c r="S576" s="339"/>
      <c r="T576" s="341"/>
      <c r="U576" s="339"/>
      <c r="V576" s="339"/>
      <c r="W576" s="339"/>
      <c r="X576" s="340"/>
      <c r="Y576" s="339"/>
      <c r="Z576" s="339"/>
      <c r="AA576" s="339"/>
      <c r="AB576" s="342"/>
    </row>
    <row r="577" spans="1:28" ht="15.75" customHeight="1">
      <c r="A577" s="339"/>
      <c r="B577" s="339"/>
      <c r="C577" s="339"/>
      <c r="D577" s="339"/>
      <c r="E577" s="339"/>
      <c r="F577" s="339"/>
      <c r="G577" s="340"/>
      <c r="H577" s="339"/>
      <c r="I577" s="339"/>
      <c r="J577" s="340"/>
      <c r="K577" s="339"/>
      <c r="L577" s="341"/>
      <c r="M577" s="339"/>
      <c r="N577" s="341"/>
      <c r="O577" s="341"/>
      <c r="P577" s="339"/>
      <c r="Q577" s="341"/>
      <c r="R577" s="340"/>
      <c r="S577" s="339"/>
      <c r="T577" s="341"/>
      <c r="U577" s="339"/>
      <c r="V577" s="339"/>
      <c r="W577" s="339"/>
      <c r="X577" s="340"/>
      <c r="Y577" s="339"/>
      <c r="Z577" s="339"/>
      <c r="AA577" s="339"/>
      <c r="AB577" s="342"/>
    </row>
    <row r="578" spans="1:28" ht="15.75" customHeight="1">
      <c r="A578" s="339"/>
      <c r="B578" s="339"/>
      <c r="C578" s="339"/>
      <c r="D578" s="339"/>
      <c r="E578" s="339"/>
      <c r="F578" s="339"/>
      <c r="G578" s="340"/>
      <c r="H578" s="339"/>
      <c r="I578" s="339"/>
      <c r="J578" s="340"/>
      <c r="K578" s="339"/>
      <c r="L578" s="341"/>
      <c r="M578" s="339"/>
      <c r="N578" s="341"/>
      <c r="O578" s="341"/>
      <c r="P578" s="339"/>
      <c r="Q578" s="341"/>
      <c r="R578" s="340"/>
      <c r="S578" s="339"/>
      <c r="T578" s="341"/>
      <c r="U578" s="339"/>
      <c r="V578" s="339"/>
      <c r="W578" s="339"/>
      <c r="X578" s="340"/>
      <c r="Y578" s="339"/>
      <c r="Z578" s="339"/>
      <c r="AA578" s="339"/>
      <c r="AB578" s="342"/>
    </row>
    <row r="579" spans="1:28" ht="15.75" customHeight="1">
      <c r="A579" s="339"/>
      <c r="B579" s="339"/>
      <c r="C579" s="339"/>
      <c r="D579" s="339"/>
      <c r="E579" s="339"/>
      <c r="F579" s="339"/>
      <c r="G579" s="340"/>
      <c r="H579" s="339"/>
      <c r="I579" s="339"/>
      <c r="J579" s="340"/>
      <c r="K579" s="339"/>
      <c r="L579" s="341"/>
      <c r="M579" s="339"/>
      <c r="N579" s="341"/>
      <c r="O579" s="341"/>
      <c r="P579" s="339"/>
      <c r="Q579" s="341"/>
      <c r="R579" s="340"/>
      <c r="S579" s="339"/>
      <c r="T579" s="341"/>
      <c r="U579" s="339"/>
      <c r="V579" s="339"/>
      <c r="W579" s="339"/>
      <c r="X579" s="340"/>
      <c r="Y579" s="339"/>
      <c r="Z579" s="339"/>
      <c r="AA579" s="339"/>
      <c r="AB579" s="342"/>
    </row>
    <row r="580" spans="1:28" ht="15.75" customHeight="1">
      <c r="A580" s="339"/>
      <c r="B580" s="339"/>
      <c r="C580" s="339"/>
      <c r="D580" s="339"/>
      <c r="E580" s="339"/>
      <c r="F580" s="339"/>
      <c r="G580" s="340"/>
      <c r="H580" s="339"/>
      <c r="I580" s="339"/>
      <c r="J580" s="340"/>
      <c r="K580" s="339"/>
      <c r="L580" s="341"/>
      <c r="M580" s="339"/>
      <c r="N580" s="341"/>
      <c r="O580" s="341"/>
      <c r="P580" s="339"/>
      <c r="Q580" s="341"/>
      <c r="R580" s="340"/>
      <c r="S580" s="339"/>
      <c r="T580" s="341"/>
      <c r="U580" s="339"/>
      <c r="V580" s="339"/>
      <c r="W580" s="339"/>
      <c r="X580" s="340"/>
      <c r="Y580" s="339"/>
      <c r="Z580" s="339"/>
      <c r="AA580" s="339"/>
      <c r="AB580" s="342"/>
    </row>
    <row r="581" spans="1:28" ht="15.75" customHeight="1">
      <c r="A581" s="339"/>
      <c r="B581" s="339"/>
      <c r="C581" s="339"/>
      <c r="D581" s="339"/>
      <c r="E581" s="339"/>
      <c r="F581" s="339"/>
      <c r="G581" s="340"/>
      <c r="H581" s="339"/>
      <c r="I581" s="339"/>
      <c r="J581" s="340"/>
      <c r="K581" s="339"/>
      <c r="L581" s="341"/>
      <c r="M581" s="339"/>
      <c r="N581" s="341"/>
      <c r="O581" s="341"/>
      <c r="P581" s="339"/>
      <c r="Q581" s="341"/>
      <c r="R581" s="340"/>
      <c r="S581" s="339"/>
      <c r="T581" s="341"/>
      <c r="U581" s="339"/>
      <c r="V581" s="339"/>
      <c r="W581" s="339"/>
      <c r="X581" s="340"/>
      <c r="Y581" s="339"/>
      <c r="Z581" s="339"/>
      <c r="AA581" s="339"/>
      <c r="AB581" s="342"/>
    </row>
    <row r="582" spans="1:28" ht="15.75" customHeight="1">
      <c r="A582" s="339"/>
      <c r="B582" s="339"/>
      <c r="C582" s="339"/>
      <c r="D582" s="339"/>
      <c r="E582" s="339"/>
      <c r="F582" s="339"/>
      <c r="G582" s="340"/>
      <c r="H582" s="339"/>
      <c r="I582" s="339"/>
      <c r="J582" s="340"/>
      <c r="K582" s="339"/>
      <c r="L582" s="341"/>
      <c r="M582" s="339"/>
      <c r="N582" s="341"/>
      <c r="O582" s="341"/>
      <c r="P582" s="339"/>
      <c r="Q582" s="341"/>
      <c r="R582" s="340"/>
      <c r="S582" s="339"/>
      <c r="T582" s="341"/>
      <c r="U582" s="339"/>
      <c r="V582" s="339"/>
      <c r="W582" s="339"/>
      <c r="X582" s="340"/>
      <c r="Y582" s="339"/>
      <c r="Z582" s="339"/>
      <c r="AA582" s="339"/>
      <c r="AB582" s="342"/>
    </row>
    <row r="583" spans="1:28" ht="15.75" customHeight="1">
      <c r="A583" s="339"/>
      <c r="B583" s="339"/>
      <c r="C583" s="339"/>
      <c r="D583" s="339"/>
      <c r="E583" s="339"/>
      <c r="F583" s="339"/>
      <c r="G583" s="340"/>
      <c r="H583" s="339"/>
      <c r="I583" s="339"/>
      <c r="J583" s="340"/>
      <c r="K583" s="339"/>
      <c r="L583" s="341"/>
      <c r="M583" s="339"/>
      <c r="N583" s="341"/>
      <c r="O583" s="341"/>
      <c r="P583" s="339"/>
      <c r="Q583" s="341"/>
      <c r="R583" s="340"/>
      <c r="S583" s="339"/>
      <c r="T583" s="341"/>
      <c r="U583" s="339"/>
      <c r="V583" s="339"/>
      <c r="W583" s="339"/>
      <c r="X583" s="340"/>
      <c r="Y583" s="339"/>
      <c r="Z583" s="339"/>
      <c r="AA583" s="339"/>
      <c r="AB583" s="342"/>
    </row>
    <row r="584" spans="1:28" ht="15.75" customHeight="1">
      <c r="A584" s="339"/>
      <c r="B584" s="339"/>
      <c r="C584" s="339"/>
      <c r="D584" s="339"/>
      <c r="E584" s="339"/>
      <c r="F584" s="339"/>
      <c r="G584" s="340"/>
      <c r="H584" s="339"/>
      <c r="I584" s="339"/>
      <c r="J584" s="340"/>
      <c r="K584" s="339"/>
      <c r="L584" s="341"/>
      <c r="M584" s="339"/>
      <c r="N584" s="341"/>
      <c r="O584" s="341"/>
      <c r="P584" s="339"/>
      <c r="Q584" s="341"/>
      <c r="R584" s="340"/>
      <c r="S584" s="339"/>
      <c r="T584" s="341"/>
      <c r="U584" s="339"/>
      <c r="V584" s="339"/>
      <c r="W584" s="339"/>
      <c r="X584" s="340"/>
      <c r="Y584" s="339"/>
      <c r="Z584" s="339"/>
      <c r="AA584" s="339"/>
      <c r="AB584" s="342"/>
    </row>
    <row r="585" spans="1:28" ht="15.75" customHeight="1">
      <c r="A585" s="339"/>
      <c r="B585" s="339"/>
      <c r="C585" s="339"/>
      <c r="D585" s="339"/>
      <c r="E585" s="339"/>
      <c r="F585" s="339"/>
      <c r="G585" s="340"/>
      <c r="H585" s="339"/>
      <c r="I585" s="339"/>
      <c r="J585" s="340"/>
      <c r="K585" s="339"/>
      <c r="L585" s="341"/>
      <c r="M585" s="339"/>
      <c r="N585" s="341"/>
      <c r="O585" s="341"/>
      <c r="P585" s="339"/>
      <c r="Q585" s="341"/>
      <c r="R585" s="340"/>
      <c r="S585" s="339"/>
      <c r="T585" s="341"/>
      <c r="U585" s="339"/>
      <c r="V585" s="339"/>
      <c r="W585" s="339"/>
      <c r="X585" s="340"/>
      <c r="Y585" s="339"/>
      <c r="Z585" s="339"/>
      <c r="AA585" s="339"/>
      <c r="AB585" s="342"/>
    </row>
    <row r="586" spans="1:28" ht="15.75" customHeight="1">
      <c r="A586" s="339"/>
      <c r="B586" s="339"/>
      <c r="C586" s="339"/>
      <c r="D586" s="339"/>
      <c r="E586" s="339"/>
      <c r="F586" s="339"/>
      <c r="G586" s="340"/>
      <c r="H586" s="339"/>
      <c r="I586" s="339"/>
      <c r="J586" s="340"/>
      <c r="K586" s="339"/>
      <c r="L586" s="341"/>
      <c r="M586" s="339"/>
      <c r="N586" s="341"/>
      <c r="O586" s="341"/>
      <c r="P586" s="339"/>
      <c r="Q586" s="341"/>
      <c r="R586" s="340"/>
      <c r="S586" s="339"/>
      <c r="T586" s="341"/>
      <c r="U586" s="339"/>
      <c r="V586" s="339"/>
      <c r="W586" s="339"/>
      <c r="X586" s="340"/>
      <c r="Y586" s="339"/>
      <c r="Z586" s="339"/>
      <c r="AA586" s="339"/>
      <c r="AB586" s="342"/>
    </row>
    <row r="587" spans="1:28" ht="15.75" customHeight="1">
      <c r="A587" s="339"/>
      <c r="B587" s="339"/>
      <c r="C587" s="339"/>
      <c r="D587" s="339"/>
      <c r="E587" s="339"/>
      <c r="F587" s="339"/>
      <c r="G587" s="340"/>
      <c r="H587" s="339"/>
      <c r="I587" s="339"/>
      <c r="J587" s="340"/>
      <c r="K587" s="339"/>
      <c r="L587" s="341"/>
      <c r="M587" s="339"/>
      <c r="N587" s="341"/>
      <c r="O587" s="341"/>
      <c r="P587" s="339"/>
      <c r="Q587" s="341"/>
      <c r="R587" s="340"/>
      <c r="S587" s="339"/>
      <c r="T587" s="341"/>
      <c r="U587" s="339"/>
      <c r="V587" s="339"/>
      <c r="W587" s="339"/>
      <c r="X587" s="340"/>
      <c r="Y587" s="339"/>
      <c r="Z587" s="339"/>
      <c r="AA587" s="339"/>
      <c r="AB587" s="342"/>
    </row>
    <row r="588" spans="1:28" ht="15.75" customHeight="1">
      <c r="A588" s="339"/>
      <c r="B588" s="339"/>
      <c r="C588" s="339"/>
      <c r="D588" s="339"/>
      <c r="E588" s="339"/>
      <c r="F588" s="339"/>
      <c r="G588" s="340"/>
      <c r="H588" s="339"/>
      <c r="I588" s="339"/>
      <c r="J588" s="340"/>
      <c r="K588" s="339"/>
      <c r="L588" s="341"/>
      <c r="M588" s="339"/>
      <c r="N588" s="341"/>
      <c r="O588" s="341"/>
      <c r="P588" s="339"/>
      <c r="Q588" s="341"/>
      <c r="R588" s="340"/>
      <c r="S588" s="339"/>
      <c r="T588" s="341"/>
      <c r="U588" s="339"/>
      <c r="V588" s="339"/>
      <c r="W588" s="339"/>
      <c r="X588" s="340"/>
      <c r="Y588" s="339"/>
      <c r="Z588" s="339"/>
      <c r="AA588" s="339"/>
      <c r="AB588" s="342"/>
    </row>
    <row r="589" spans="1:28" ht="15.75" customHeight="1">
      <c r="A589" s="339"/>
      <c r="B589" s="339"/>
      <c r="C589" s="339"/>
      <c r="D589" s="339"/>
      <c r="E589" s="339"/>
      <c r="F589" s="339"/>
      <c r="G589" s="340"/>
      <c r="H589" s="339"/>
      <c r="I589" s="339"/>
      <c r="J589" s="340"/>
      <c r="K589" s="339"/>
      <c r="L589" s="341"/>
      <c r="M589" s="339"/>
      <c r="N589" s="341"/>
      <c r="O589" s="341"/>
      <c r="P589" s="339"/>
      <c r="Q589" s="341"/>
      <c r="R589" s="340"/>
      <c r="S589" s="339"/>
      <c r="T589" s="341"/>
      <c r="U589" s="339"/>
      <c r="V589" s="339"/>
      <c r="W589" s="339"/>
      <c r="X589" s="340"/>
      <c r="Y589" s="339"/>
      <c r="Z589" s="339"/>
      <c r="AA589" s="339"/>
      <c r="AB589" s="342"/>
    </row>
    <row r="590" spans="1:28" ht="15.75" customHeight="1">
      <c r="A590" s="339"/>
      <c r="B590" s="339"/>
      <c r="C590" s="339"/>
      <c r="D590" s="339"/>
      <c r="E590" s="339"/>
      <c r="F590" s="339"/>
      <c r="G590" s="340"/>
      <c r="H590" s="339"/>
      <c r="I590" s="339"/>
      <c r="J590" s="340"/>
      <c r="K590" s="339"/>
      <c r="L590" s="341"/>
      <c r="M590" s="339"/>
      <c r="N590" s="341"/>
      <c r="O590" s="341"/>
      <c r="P590" s="339"/>
      <c r="Q590" s="341"/>
      <c r="R590" s="340"/>
      <c r="S590" s="339"/>
      <c r="T590" s="341"/>
      <c r="U590" s="339"/>
      <c r="V590" s="339"/>
      <c r="W590" s="339"/>
      <c r="X590" s="340"/>
      <c r="Y590" s="339"/>
      <c r="Z590" s="339"/>
      <c r="AA590" s="339"/>
      <c r="AB590" s="342"/>
    </row>
    <row r="591" spans="1:28" ht="15.75" customHeight="1">
      <c r="A591" s="339"/>
      <c r="B591" s="339"/>
      <c r="C591" s="339"/>
      <c r="D591" s="339"/>
      <c r="E591" s="339"/>
      <c r="F591" s="339"/>
      <c r="G591" s="340"/>
      <c r="H591" s="339"/>
      <c r="I591" s="339"/>
      <c r="J591" s="340"/>
      <c r="K591" s="339"/>
      <c r="L591" s="341"/>
      <c r="M591" s="339"/>
      <c r="N591" s="341"/>
      <c r="O591" s="341"/>
      <c r="P591" s="339"/>
      <c r="Q591" s="341"/>
      <c r="R591" s="340"/>
      <c r="S591" s="339"/>
      <c r="T591" s="341"/>
      <c r="U591" s="339"/>
      <c r="V591" s="339"/>
      <c r="W591" s="339"/>
      <c r="X591" s="340"/>
      <c r="Y591" s="339"/>
      <c r="Z591" s="339"/>
      <c r="AA591" s="339"/>
      <c r="AB591" s="342"/>
    </row>
    <row r="592" spans="1:28" ht="15.75" customHeight="1">
      <c r="A592" s="339"/>
      <c r="B592" s="339"/>
      <c r="C592" s="339"/>
      <c r="D592" s="339"/>
      <c r="E592" s="339"/>
      <c r="F592" s="339"/>
      <c r="G592" s="340"/>
      <c r="H592" s="339"/>
      <c r="I592" s="339"/>
      <c r="J592" s="340"/>
      <c r="K592" s="339"/>
      <c r="L592" s="341"/>
      <c r="M592" s="339"/>
      <c r="N592" s="341"/>
      <c r="O592" s="341"/>
      <c r="P592" s="339"/>
      <c r="Q592" s="341"/>
      <c r="R592" s="340"/>
      <c r="S592" s="339"/>
      <c r="T592" s="341"/>
      <c r="U592" s="339"/>
      <c r="V592" s="339"/>
      <c r="W592" s="339"/>
      <c r="X592" s="340"/>
      <c r="Y592" s="339"/>
      <c r="Z592" s="339"/>
      <c r="AA592" s="339"/>
      <c r="AB592" s="342"/>
    </row>
    <row r="593" spans="1:28" ht="15.75" customHeight="1">
      <c r="A593" s="339"/>
      <c r="B593" s="339"/>
      <c r="C593" s="339"/>
      <c r="D593" s="339"/>
      <c r="E593" s="339"/>
      <c r="F593" s="339"/>
      <c r="G593" s="340"/>
      <c r="H593" s="339"/>
      <c r="I593" s="339"/>
      <c r="J593" s="340"/>
      <c r="K593" s="339"/>
      <c r="L593" s="341"/>
      <c r="M593" s="339"/>
      <c r="N593" s="341"/>
      <c r="O593" s="341"/>
      <c r="P593" s="339"/>
      <c r="Q593" s="341"/>
      <c r="R593" s="340"/>
      <c r="S593" s="339"/>
      <c r="T593" s="341"/>
      <c r="U593" s="339"/>
      <c r="V593" s="339"/>
      <c r="W593" s="339"/>
      <c r="X593" s="340"/>
      <c r="Y593" s="339"/>
      <c r="Z593" s="339"/>
      <c r="AA593" s="339"/>
      <c r="AB593" s="342"/>
    </row>
    <row r="594" spans="1:28" ht="15.75" customHeight="1">
      <c r="A594" s="339"/>
      <c r="B594" s="339"/>
      <c r="C594" s="339"/>
      <c r="D594" s="339"/>
      <c r="E594" s="339"/>
      <c r="F594" s="339"/>
      <c r="G594" s="340"/>
      <c r="H594" s="339"/>
      <c r="I594" s="339"/>
      <c r="J594" s="340"/>
      <c r="K594" s="339"/>
      <c r="L594" s="341"/>
      <c r="M594" s="339"/>
      <c r="N594" s="341"/>
      <c r="O594" s="341"/>
      <c r="P594" s="339"/>
      <c r="Q594" s="341"/>
      <c r="R594" s="340"/>
      <c r="S594" s="339"/>
      <c r="T594" s="341"/>
      <c r="U594" s="339"/>
      <c r="V594" s="339"/>
      <c r="W594" s="339"/>
      <c r="X594" s="340"/>
      <c r="Y594" s="339"/>
      <c r="Z594" s="339"/>
      <c r="AA594" s="339"/>
      <c r="AB594" s="342"/>
    </row>
    <row r="595" spans="1:28" ht="15.75" customHeight="1">
      <c r="A595" s="339"/>
      <c r="B595" s="339"/>
      <c r="C595" s="339"/>
      <c r="D595" s="339"/>
      <c r="E595" s="339"/>
      <c r="F595" s="339"/>
      <c r="G595" s="340"/>
      <c r="H595" s="339"/>
      <c r="I595" s="339"/>
      <c r="J595" s="340"/>
      <c r="K595" s="339"/>
      <c r="L595" s="341"/>
      <c r="M595" s="339"/>
      <c r="N595" s="341"/>
      <c r="O595" s="341"/>
      <c r="P595" s="339"/>
      <c r="Q595" s="341"/>
      <c r="R595" s="340"/>
      <c r="S595" s="339"/>
      <c r="T595" s="341"/>
      <c r="U595" s="339"/>
      <c r="V595" s="339"/>
      <c r="W595" s="339"/>
      <c r="X595" s="340"/>
      <c r="Y595" s="339"/>
      <c r="Z595" s="339"/>
      <c r="AA595" s="339"/>
      <c r="AB595" s="342"/>
    </row>
    <row r="596" spans="1:28" ht="15.75" customHeight="1">
      <c r="A596" s="339"/>
      <c r="B596" s="339"/>
      <c r="C596" s="339"/>
      <c r="D596" s="339"/>
      <c r="E596" s="339"/>
      <c r="F596" s="339"/>
      <c r="G596" s="340"/>
      <c r="H596" s="339"/>
      <c r="I596" s="339"/>
      <c r="J596" s="340"/>
      <c r="K596" s="339"/>
      <c r="L596" s="341"/>
      <c r="M596" s="339"/>
      <c r="N596" s="341"/>
      <c r="O596" s="341"/>
      <c r="P596" s="339"/>
      <c r="Q596" s="341"/>
      <c r="R596" s="340"/>
      <c r="S596" s="339"/>
      <c r="T596" s="341"/>
      <c r="U596" s="339"/>
      <c r="V596" s="339"/>
      <c r="W596" s="339"/>
      <c r="X596" s="340"/>
      <c r="Y596" s="339"/>
      <c r="Z596" s="339"/>
      <c r="AA596" s="339"/>
      <c r="AB596" s="342"/>
    </row>
    <row r="597" spans="1:28" ht="15.75" customHeight="1">
      <c r="A597" s="339"/>
      <c r="B597" s="339"/>
      <c r="C597" s="339"/>
      <c r="D597" s="339"/>
      <c r="E597" s="339"/>
      <c r="F597" s="339"/>
      <c r="G597" s="340"/>
      <c r="H597" s="339"/>
      <c r="I597" s="339"/>
      <c r="J597" s="340"/>
      <c r="K597" s="339"/>
      <c r="L597" s="341"/>
      <c r="M597" s="339"/>
      <c r="N597" s="341"/>
      <c r="O597" s="341"/>
      <c r="P597" s="339"/>
      <c r="Q597" s="341"/>
      <c r="R597" s="340"/>
      <c r="S597" s="339"/>
      <c r="T597" s="341"/>
      <c r="U597" s="339"/>
      <c r="V597" s="339"/>
      <c r="W597" s="339"/>
      <c r="X597" s="340"/>
      <c r="Y597" s="339"/>
      <c r="Z597" s="339"/>
      <c r="AA597" s="339"/>
      <c r="AB597" s="342"/>
    </row>
    <row r="598" spans="1:28" ht="15.75" customHeight="1">
      <c r="A598" s="339"/>
      <c r="B598" s="339"/>
      <c r="C598" s="339"/>
      <c r="D598" s="339"/>
      <c r="E598" s="339"/>
      <c r="F598" s="339"/>
      <c r="G598" s="340"/>
      <c r="H598" s="339"/>
      <c r="I598" s="339"/>
      <c r="J598" s="340"/>
      <c r="K598" s="339"/>
      <c r="L598" s="341"/>
      <c r="M598" s="339"/>
      <c r="N598" s="341"/>
      <c r="O598" s="341"/>
      <c r="P598" s="339"/>
      <c r="Q598" s="341"/>
      <c r="R598" s="340"/>
      <c r="S598" s="339"/>
      <c r="T598" s="341"/>
      <c r="U598" s="339"/>
      <c r="V598" s="339"/>
      <c r="W598" s="339"/>
      <c r="X598" s="340"/>
      <c r="Y598" s="339"/>
      <c r="Z598" s="339"/>
      <c r="AA598" s="339"/>
      <c r="AB598" s="342"/>
    </row>
    <row r="599" spans="1:28" ht="15.75" customHeight="1">
      <c r="A599" s="339"/>
      <c r="B599" s="339"/>
      <c r="C599" s="339"/>
      <c r="D599" s="339"/>
      <c r="E599" s="339"/>
      <c r="F599" s="339"/>
      <c r="G599" s="340"/>
      <c r="H599" s="339"/>
      <c r="I599" s="339"/>
      <c r="J599" s="340"/>
      <c r="K599" s="339"/>
      <c r="L599" s="341"/>
      <c r="M599" s="339"/>
      <c r="N599" s="341"/>
      <c r="O599" s="341"/>
      <c r="P599" s="339"/>
      <c r="Q599" s="341"/>
      <c r="R599" s="340"/>
      <c r="S599" s="339"/>
      <c r="T599" s="341"/>
      <c r="U599" s="339"/>
      <c r="V599" s="339"/>
      <c r="W599" s="339"/>
      <c r="X599" s="340"/>
      <c r="Y599" s="339"/>
      <c r="Z599" s="339"/>
      <c r="AA599" s="339"/>
      <c r="AB599" s="342"/>
    </row>
    <row r="600" spans="1:28" ht="15.75" customHeight="1">
      <c r="A600" s="339"/>
      <c r="B600" s="339"/>
      <c r="C600" s="339"/>
      <c r="D600" s="339"/>
      <c r="E600" s="339"/>
      <c r="F600" s="339"/>
      <c r="G600" s="340"/>
      <c r="H600" s="339"/>
      <c r="I600" s="339"/>
      <c r="J600" s="340"/>
      <c r="K600" s="339"/>
      <c r="L600" s="341"/>
      <c r="M600" s="339"/>
      <c r="N600" s="341"/>
      <c r="O600" s="341"/>
      <c r="P600" s="339"/>
      <c r="Q600" s="341"/>
      <c r="R600" s="340"/>
      <c r="S600" s="339"/>
      <c r="T600" s="341"/>
      <c r="U600" s="339"/>
      <c r="V600" s="339"/>
      <c r="W600" s="339"/>
      <c r="X600" s="340"/>
      <c r="Y600" s="339"/>
      <c r="Z600" s="339"/>
      <c r="AA600" s="339"/>
      <c r="AB600" s="342"/>
    </row>
    <row r="601" spans="1:28" ht="15.75" customHeight="1">
      <c r="A601" s="339"/>
      <c r="B601" s="339"/>
      <c r="C601" s="339"/>
      <c r="D601" s="339"/>
      <c r="E601" s="339"/>
      <c r="F601" s="339"/>
      <c r="G601" s="340"/>
      <c r="H601" s="339"/>
      <c r="I601" s="339"/>
      <c r="J601" s="340"/>
      <c r="K601" s="339"/>
      <c r="L601" s="341"/>
      <c r="M601" s="339"/>
      <c r="N601" s="341"/>
      <c r="O601" s="341"/>
      <c r="P601" s="339"/>
      <c r="Q601" s="341"/>
      <c r="R601" s="340"/>
      <c r="S601" s="339"/>
      <c r="T601" s="341"/>
      <c r="U601" s="339"/>
      <c r="V601" s="339"/>
      <c r="W601" s="339"/>
      <c r="X601" s="340"/>
      <c r="Y601" s="339"/>
      <c r="Z601" s="339"/>
      <c r="AA601" s="339"/>
      <c r="AB601" s="342"/>
    </row>
    <row r="602" spans="1:28" ht="15.75" customHeight="1">
      <c r="A602" s="339"/>
      <c r="B602" s="339"/>
      <c r="C602" s="339"/>
      <c r="D602" s="339"/>
      <c r="E602" s="339"/>
      <c r="F602" s="339"/>
      <c r="G602" s="340"/>
      <c r="H602" s="339"/>
      <c r="I602" s="339"/>
      <c r="J602" s="340"/>
      <c r="K602" s="339"/>
      <c r="L602" s="341"/>
      <c r="M602" s="339"/>
      <c r="N602" s="341"/>
      <c r="O602" s="341"/>
      <c r="P602" s="339"/>
      <c r="Q602" s="341"/>
      <c r="R602" s="340"/>
      <c r="S602" s="339"/>
      <c r="T602" s="341"/>
      <c r="U602" s="339"/>
      <c r="V602" s="339"/>
      <c r="W602" s="339"/>
      <c r="X602" s="340"/>
      <c r="Y602" s="339"/>
      <c r="Z602" s="339"/>
      <c r="AA602" s="339"/>
      <c r="AB602" s="342"/>
    </row>
    <row r="603" spans="1:28" ht="15.75" customHeight="1">
      <c r="A603" s="339"/>
      <c r="B603" s="339"/>
      <c r="C603" s="339"/>
      <c r="D603" s="339"/>
      <c r="E603" s="339"/>
      <c r="F603" s="339"/>
      <c r="G603" s="340"/>
      <c r="H603" s="339"/>
      <c r="I603" s="339"/>
      <c r="J603" s="340"/>
      <c r="K603" s="339"/>
      <c r="L603" s="341"/>
      <c r="M603" s="339"/>
      <c r="N603" s="341"/>
      <c r="O603" s="341"/>
      <c r="P603" s="339"/>
      <c r="Q603" s="341"/>
      <c r="R603" s="340"/>
      <c r="S603" s="339"/>
      <c r="T603" s="341"/>
      <c r="U603" s="339"/>
      <c r="V603" s="339"/>
      <c r="W603" s="339"/>
      <c r="X603" s="340"/>
      <c r="Y603" s="339"/>
      <c r="Z603" s="339"/>
      <c r="AA603" s="339"/>
      <c r="AB603" s="342"/>
    </row>
    <row r="604" spans="1:28" ht="15.75" customHeight="1">
      <c r="A604" s="339"/>
      <c r="B604" s="339"/>
      <c r="C604" s="339"/>
      <c r="D604" s="339"/>
      <c r="E604" s="339"/>
      <c r="F604" s="339"/>
      <c r="G604" s="340"/>
      <c r="H604" s="339"/>
      <c r="I604" s="339"/>
      <c r="J604" s="340"/>
      <c r="K604" s="339"/>
      <c r="L604" s="341"/>
      <c r="M604" s="339"/>
      <c r="N604" s="341"/>
      <c r="O604" s="341"/>
      <c r="P604" s="339"/>
      <c r="Q604" s="341"/>
      <c r="R604" s="340"/>
      <c r="S604" s="339"/>
      <c r="T604" s="341"/>
      <c r="U604" s="339"/>
      <c r="V604" s="339"/>
      <c r="W604" s="339"/>
      <c r="X604" s="340"/>
      <c r="Y604" s="339"/>
      <c r="Z604" s="339"/>
      <c r="AA604" s="339"/>
      <c r="AB604" s="342"/>
    </row>
    <row r="605" spans="1:28" ht="15.75" customHeight="1">
      <c r="A605" s="339"/>
      <c r="B605" s="339"/>
      <c r="C605" s="339"/>
      <c r="D605" s="339"/>
      <c r="E605" s="339"/>
      <c r="F605" s="339"/>
      <c r="G605" s="340"/>
      <c r="H605" s="339"/>
      <c r="I605" s="339"/>
      <c r="J605" s="340"/>
      <c r="K605" s="339"/>
      <c r="L605" s="341"/>
      <c r="M605" s="339"/>
      <c r="N605" s="341"/>
      <c r="O605" s="341"/>
      <c r="P605" s="339"/>
      <c r="Q605" s="341"/>
      <c r="R605" s="340"/>
      <c r="S605" s="339"/>
      <c r="T605" s="341"/>
      <c r="U605" s="339"/>
      <c r="V605" s="339"/>
      <c r="W605" s="339"/>
      <c r="X605" s="340"/>
      <c r="Y605" s="339"/>
      <c r="Z605" s="339"/>
      <c r="AA605" s="339"/>
      <c r="AB605" s="342"/>
    </row>
    <row r="606" spans="1:28" ht="15.75" customHeight="1">
      <c r="A606" s="339"/>
      <c r="B606" s="339"/>
      <c r="C606" s="339"/>
      <c r="D606" s="339"/>
      <c r="E606" s="339"/>
      <c r="F606" s="339"/>
      <c r="G606" s="340"/>
      <c r="H606" s="339"/>
      <c r="I606" s="339"/>
      <c r="J606" s="340"/>
      <c r="K606" s="339"/>
      <c r="L606" s="341"/>
      <c r="M606" s="339"/>
      <c r="N606" s="341"/>
      <c r="O606" s="341"/>
      <c r="P606" s="339"/>
      <c r="Q606" s="341"/>
      <c r="R606" s="340"/>
      <c r="S606" s="339"/>
      <c r="T606" s="341"/>
      <c r="U606" s="339"/>
      <c r="V606" s="339"/>
      <c r="W606" s="339"/>
      <c r="X606" s="340"/>
      <c r="Y606" s="339"/>
      <c r="Z606" s="339"/>
      <c r="AA606" s="339"/>
      <c r="AB606" s="342"/>
    </row>
    <row r="607" spans="1:28" ht="15.75" customHeight="1">
      <c r="A607" s="339"/>
      <c r="B607" s="339"/>
      <c r="C607" s="339"/>
      <c r="D607" s="339"/>
      <c r="E607" s="339"/>
      <c r="F607" s="339"/>
      <c r="G607" s="340"/>
      <c r="H607" s="339"/>
      <c r="I607" s="339"/>
      <c r="J607" s="340"/>
      <c r="K607" s="339"/>
      <c r="L607" s="341"/>
      <c r="M607" s="339"/>
      <c r="N607" s="341"/>
      <c r="O607" s="341"/>
      <c r="P607" s="339"/>
      <c r="Q607" s="341"/>
      <c r="R607" s="340"/>
      <c r="S607" s="339"/>
      <c r="T607" s="341"/>
      <c r="U607" s="339"/>
      <c r="V607" s="339"/>
      <c r="W607" s="339"/>
      <c r="X607" s="340"/>
      <c r="Y607" s="339"/>
      <c r="Z607" s="339"/>
      <c r="AA607" s="339"/>
      <c r="AB607" s="342"/>
    </row>
    <row r="608" spans="1:28" ht="15.75" customHeight="1">
      <c r="A608" s="339"/>
      <c r="B608" s="339"/>
      <c r="C608" s="339"/>
      <c r="D608" s="339"/>
      <c r="E608" s="339"/>
      <c r="F608" s="339"/>
      <c r="G608" s="340"/>
      <c r="H608" s="339"/>
      <c r="I608" s="339"/>
      <c r="J608" s="340"/>
      <c r="K608" s="339"/>
      <c r="L608" s="341"/>
      <c r="M608" s="339"/>
      <c r="N608" s="341"/>
      <c r="O608" s="341"/>
      <c r="P608" s="339"/>
      <c r="Q608" s="341"/>
      <c r="R608" s="340"/>
      <c r="S608" s="339"/>
      <c r="T608" s="341"/>
      <c r="U608" s="339"/>
      <c r="V608" s="339"/>
      <c r="W608" s="339"/>
      <c r="X608" s="340"/>
      <c r="Y608" s="339"/>
      <c r="Z608" s="339"/>
      <c r="AA608" s="339"/>
      <c r="AB608" s="342"/>
    </row>
    <row r="609" spans="1:28" ht="15.75" customHeight="1">
      <c r="A609" s="339"/>
      <c r="B609" s="339"/>
      <c r="C609" s="339"/>
      <c r="D609" s="339"/>
      <c r="E609" s="339"/>
      <c r="F609" s="339"/>
      <c r="G609" s="340"/>
      <c r="H609" s="339"/>
      <c r="I609" s="339"/>
      <c r="J609" s="340"/>
      <c r="K609" s="339"/>
      <c r="L609" s="341"/>
      <c r="M609" s="339"/>
      <c r="N609" s="341"/>
      <c r="O609" s="341"/>
      <c r="P609" s="339"/>
      <c r="Q609" s="341"/>
      <c r="R609" s="340"/>
      <c r="S609" s="339"/>
      <c r="T609" s="341"/>
      <c r="U609" s="339"/>
      <c r="V609" s="339"/>
      <c r="W609" s="339"/>
      <c r="X609" s="340"/>
      <c r="Y609" s="339"/>
      <c r="Z609" s="339"/>
      <c r="AA609" s="339"/>
      <c r="AB609" s="342"/>
    </row>
    <row r="610" spans="1:28" ht="15.75" customHeight="1">
      <c r="A610" s="339"/>
      <c r="B610" s="339"/>
      <c r="C610" s="339"/>
      <c r="D610" s="339"/>
      <c r="E610" s="339"/>
      <c r="F610" s="339"/>
      <c r="G610" s="340"/>
      <c r="H610" s="339"/>
      <c r="I610" s="339"/>
      <c r="J610" s="340"/>
      <c r="K610" s="339"/>
      <c r="L610" s="341"/>
      <c r="M610" s="339"/>
      <c r="N610" s="341"/>
      <c r="O610" s="341"/>
      <c r="P610" s="339"/>
      <c r="Q610" s="341"/>
      <c r="R610" s="340"/>
      <c r="S610" s="339"/>
      <c r="T610" s="341"/>
      <c r="U610" s="339"/>
      <c r="V610" s="339"/>
      <c r="W610" s="339"/>
      <c r="X610" s="340"/>
      <c r="Y610" s="339"/>
      <c r="Z610" s="339"/>
      <c r="AA610" s="339"/>
      <c r="AB610" s="342"/>
    </row>
    <row r="611" spans="1:28" ht="15.75" customHeight="1">
      <c r="A611" s="339"/>
      <c r="B611" s="339"/>
      <c r="C611" s="339"/>
      <c r="D611" s="339"/>
      <c r="E611" s="339"/>
      <c r="F611" s="339"/>
      <c r="G611" s="340"/>
      <c r="H611" s="339"/>
      <c r="I611" s="339"/>
      <c r="J611" s="340"/>
      <c r="K611" s="339"/>
      <c r="L611" s="341"/>
      <c r="M611" s="339"/>
      <c r="N611" s="341"/>
      <c r="O611" s="341"/>
      <c r="P611" s="339"/>
      <c r="Q611" s="341"/>
      <c r="R611" s="340"/>
      <c r="S611" s="339"/>
      <c r="T611" s="341"/>
      <c r="U611" s="339"/>
      <c r="V611" s="339"/>
      <c r="W611" s="339"/>
      <c r="X611" s="340"/>
      <c r="Y611" s="339"/>
      <c r="Z611" s="339"/>
      <c r="AA611" s="339"/>
      <c r="AB611" s="342"/>
    </row>
    <row r="612" spans="1:28" ht="15.75" customHeight="1">
      <c r="A612" s="339"/>
      <c r="B612" s="339"/>
      <c r="C612" s="339"/>
      <c r="D612" s="339"/>
      <c r="E612" s="339"/>
      <c r="F612" s="339"/>
      <c r="G612" s="340"/>
      <c r="H612" s="339"/>
      <c r="I612" s="339"/>
      <c r="J612" s="340"/>
      <c r="K612" s="339"/>
      <c r="L612" s="341"/>
      <c r="M612" s="339"/>
      <c r="N612" s="341"/>
      <c r="O612" s="341"/>
      <c r="P612" s="339"/>
      <c r="Q612" s="341"/>
      <c r="R612" s="340"/>
      <c r="S612" s="339"/>
      <c r="T612" s="341"/>
      <c r="U612" s="339"/>
      <c r="V612" s="339"/>
      <c r="W612" s="339"/>
      <c r="X612" s="340"/>
      <c r="Y612" s="339"/>
      <c r="Z612" s="339"/>
      <c r="AA612" s="339"/>
      <c r="AB612" s="342"/>
    </row>
    <row r="613" spans="1:28" ht="15.75" customHeight="1">
      <c r="A613" s="339"/>
      <c r="B613" s="339"/>
      <c r="C613" s="339"/>
      <c r="D613" s="339"/>
      <c r="E613" s="339"/>
      <c r="F613" s="339"/>
      <c r="G613" s="340"/>
      <c r="H613" s="339"/>
      <c r="I613" s="339"/>
      <c r="J613" s="340"/>
      <c r="K613" s="339"/>
      <c r="L613" s="341"/>
      <c r="M613" s="339"/>
      <c r="N613" s="341"/>
      <c r="O613" s="341"/>
      <c r="P613" s="339"/>
      <c r="Q613" s="341"/>
      <c r="R613" s="340"/>
      <c r="S613" s="339"/>
      <c r="T613" s="341"/>
      <c r="U613" s="339"/>
      <c r="V613" s="339"/>
      <c r="W613" s="339"/>
      <c r="X613" s="340"/>
      <c r="Y613" s="339"/>
      <c r="Z613" s="339"/>
      <c r="AA613" s="339"/>
      <c r="AB613" s="342"/>
    </row>
    <row r="614" spans="1:28" ht="15.75" customHeight="1">
      <c r="A614" s="339"/>
      <c r="B614" s="339"/>
      <c r="C614" s="339"/>
      <c r="D614" s="339"/>
      <c r="E614" s="339"/>
      <c r="F614" s="339"/>
      <c r="G614" s="340"/>
      <c r="H614" s="339"/>
      <c r="I614" s="339"/>
      <c r="J614" s="340"/>
      <c r="K614" s="339"/>
      <c r="L614" s="341"/>
      <c r="M614" s="339"/>
      <c r="N614" s="341"/>
      <c r="O614" s="341"/>
      <c r="P614" s="339"/>
      <c r="Q614" s="341"/>
      <c r="R614" s="340"/>
      <c r="S614" s="339"/>
      <c r="T614" s="341"/>
      <c r="U614" s="339"/>
      <c r="V614" s="339"/>
      <c r="W614" s="339"/>
      <c r="X614" s="340"/>
      <c r="Y614" s="339"/>
      <c r="Z614" s="339"/>
      <c r="AA614" s="339"/>
      <c r="AB614" s="342"/>
    </row>
    <row r="615" spans="1:28" ht="15.75" customHeight="1">
      <c r="A615" s="339"/>
      <c r="B615" s="339"/>
      <c r="C615" s="339"/>
      <c r="D615" s="339"/>
      <c r="E615" s="339"/>
      <c r="F615" s="339"/>
      <c r="G615" s="340"/>
      <c r="H615" s="339"/>
      <c r="I615" s="339"/>
      <c r="J615" s="340"/>
      <c r="K615" s="339"/>
      <c r="L615" s="341"/>
      <c r="M615" s="339"/>
      <c r="N615" s="341"/>
      <c r="O615" s="341"/>
      <c r="P615" s="339"/>
      <c r="Q615" s="341"/>
      <c r="R615" s="340"/>
      <c r="S615" s="339"/>
      <c r="T615" s="341"/>
      <c r="U615" s="339"/>
      <c r="V615" s="339"/>
      <c r="W615" s="339"/>
      <c r="X615" s="340"/>
      <c r="Y615" s="339"/>
      <c r="Z615" s="339"/>
      <c r="AA615" s="339"/>
      <c r="AB615" s="342"/>
    </row>
    <row r="616" spans="1:28" ht="15.75" customHeight="1">
      <c r="A616" s="339"/>
      <c r="B616" s="339"/>
      <c r="C616" s="339"/>
      <c r="D616" s="339"/>
      <c r="E616" s="339"/>
      <c r="F616" s="339"/>
      <c r="G616" s="340"/>
      <c r="H616" s="339"/>
      <c r="I616" s="339"/>
      <c r="J616" s="340"/>
      <c r="K616" s="339"/>
      <c r="L616" s="341"/>
      <c r="M616" s="339"/>
      <c r="N616" s="341"/>
      <c r="O616" s="341"/>
      <c r="P616" s="339"/>
      <c r="Q616" s="341"/>
      <c r="R616" s="340"/>
      <c r="S616" s="339"/>
      <c r="T616" s="341"/>
      <c r="U616" s="339"/>
      <c r="V616" s="339"/>
      <c r="W616" s="339"/>
      <c r="X616" s="340"/>
      <c r="Y616" s="339"/>
      <c r="Z616" s="339"/>
      <c r="AA616" s="339"/>
      <c r="AB616" s="342"/>
    </row>
    <row r="617" spans="1:28" ht="15.75" customHeight="1">
      <c r="A617" s="339"/>
      <c r="B617" s="339"/>
      <c r="C617" s="339"/>
      <c r="D617" s="339"/>
      <c r="E617" s="339"/>
      <c r="F617" s="339"/>
      <c r="G617" s="340"/>
      <c r="H617" s="339"/>
      <c r="I617" s="339"/>
      <c r="J617" s="340"/>
      <c r="K617" s="339"/>
      <c r="L617" s="341"/>
      <c r="M617" s="339"/>
      <c r="N617" s="341"/>
      <c r="O617" s="341"/>
      <c r="P617" s="339"/>
      <c r="Q617" s="341"/>
      <c r="R617" s="340"/>
      <c r="S617" s="339"/>
      <c r="T617" s="341"/>
      <c r="U617" s="339"/>
      <c r="V617" s="339"/>
      <c r="W617" s="339"/>
      <c r="X617" s="340"/>
      <c r="Y617" s="339"/>
      <c r="Z617" s="339"/>
      <c r="AA617" s="339"/>
      <c r="AB617" s="342"/>
    </row>
    <row r="618" spans="1:28" ht="15.75" customHeight="1">
      <c r="A618" s="339"/>
      <c r="B618" s="339"/>
      <c r="C618" s="339"/>
      <c r="D618" s="339"/>
      <c r="E618" s="339"/>
      <c r="F618" s="339"/>
      <c r="G618" s="340"/>
      <c r="H618" s="339"/>
      <c r="I618" s="339"/>
      <c r="J618" s="340"/>
      <c r="K618" s="339"/>
      <c r="L618" s="341"/>
      <c r="M618" s="339"/>
      <c r="N618" s="341"/>
      <c r="O618" s="341"/>
      <c r="P618" s="339"/>
      <c r="Q618" s="341"/>
      <c r="R618" s="340"/>
      <c r="S618" s="339"/>
      <c r="T618" s="341"/>
      <c r="U618" s="339"/>
      <c r="V618" s="339"/>
      <c r="W618" s="339"/>
      <c r="X618" s="340"/>
      <c r="Y618" s="339"/>
      <c r="Z618" s="339"/>
      <c r="AA618" s="339"/>
      <c r="AB618" s="342"/>
    </row>
    <row r="619" spans="1:28" ht="15.75" customHeight="1">
      <c r="A619" s="339"/>
      <c r="B619" s="339"/>
      <c r="C619" s="339"/>
      <c r="D619" s="339"/>
      <c r="E619" s="339"/>
      <c r="F619" s="339"/>
      <c r="G619" s="340"/>
      <c r="H619" s="339"/>
      <c r="I619" s="339"/>
      <c r="J619" s="340"/>
      <c r="K619" s="339"/>
      <c r="L619" s="341"/>
      <c r="M619" s="339"/>
      <c r="N619" s="341"/>
      <c r="O619" s="341"/>
      <c r="P619" s="339"/>
      <c r="Q619" s="341"/>
      <c r="R619" s="340"/>
      <c r="S619" s="339"/>
      <c r="T619" s="341"/>
      <c r="U619" s="339"/>
      <c r="V619" s="339"/>
      <c r="W619" s="339"/>
      <c r="X619" s="340"/>
      <c r="Y619" s="339"/>
      <c r="Z619" s="339"/>
      <c r="AA619" s="339"/>
      <c r="AB619" s="342"/>
    </row>
    <row r="620" spans="1:28" ht="15.75" customHeight="1">
      <c r="A620" s="339"/>
      <c r="B620" s="339"/>
      <c r="C620" s="339"/>
      <c r="D620" s="339"/>
      <c r="E620" s="339"/>
      <c r="F620" s="339"/>
      <c r="G620" s="340"/>
      <c r="H620" s="339"/>
      <c r="I620" s="339"/>
      <c r="J620" s="340"/>
      <c r="K620" s="339"/>
      <c r="L620" s="341"/>
      <c r="M620" s="339"/>
      <c r="N620" s="341"/>
      <c r="O620" s="341"/>
      <c r="P620" s="339"/>
      <c r="Q620" s="341"/>
      <c r="R620" s="340"/>
      <c r="S620" s="339"/>
      <c r="T620" s="341"/>
      <c r="U620" s="339"/>
      <c r="V620" s="339"/>
      <c r="W620" s="339"/>
      <c r="X620" s="340"/>
      <c r="Y620" s="339"/>
      <c r="Z620" s="339"/>
      <c r="AA620" s="339"/>
      <c r="AB620" s="342"/>
    </row>
    <row r="621" spans="1:28" ht="15.75" customHeight="1">
      <c r="A621" s="339"/>
      <c r="B621" s="339"/>
      <c r="C621" s="339"/>
      <c r="D621" s="339"/>
      <c r="E621" s="339"/>
      <c r="F621" s="339"/>
      <c r="G621" s="340"/>
      <c r="H621" s="339"/>
      <c r="I621" s="339"/>
      <c r="J621" s="340"/>
      <c r="K621" s="339"/>
      <c r="L621" s="341"/>
      <c r="M621" s="339"/>
      <c r="N621" s="341"/>
      <c r="O621" s="341"/>
      <c r="P621" s="339"/>
      <c r="Q621" s="341"/>
      <c r="R621" s="340"/>
      <c r="S621" s="339"/>
      <c r="T621" s="341"/>
      <c r="U621" s="339"/>
      <c r="V621" s="339"/>
      <c r="W621" s="339"/>
      <c r="X621" s="340"/>
      <c r="Y621" s="339"/>
      <c r="Z621" s="339"/>
      <c r="AA621" s="339"/>
      <c r="AB621" s="342"/>
    </row>
    <row r="622" spans="1:28" ht="15.75" customHeight="1">
      <c r="A622" s="339"/>
      <c r="B622" s="339"/>
      <c r="C622" s="339"/>
      <c r="D622" s="339"/>
      <c r="E622" s="339"/>
      <c r="F622" s="339"/>
      <c r="G622" s="340"/>
      <c r="H622" s="339"/>
      <c r="I622" s="339"/>
      <c r="J622" s="340"/>
      <c r="K622" s="339"/>
      <c r="L622" s="341"/>
      <c r="M622" s="339"/>
      <c r="N622" s="341"/>
      <c r="O622" s="341"/>
      <c r="P622" s="339"/>
      <c r="Q622" s="341"/>
      <c r="R622" s="340"/>
      <c r="S622" s="339"/>
      <c r="T622" s="341"/>
      <c r="U622" s="339"/>
      <c r="V622" s="339"/>
      <c r="W622" s="339"/>
      <c r="X622" s="340"/>
      <c r="Y622" s="339"/>
      <c r="Z622" s="339"/>
      <c r="AA622" s="339"/>
      <c r="AB622" s="342"/>
    </row>
    <row r="623" spans="1:28" ht="15.75" customHeight="1">
      <c r="A623" s="339"/>
      <c r="B623" s="339"/>
      <c r="C623" s="339"/>
      <c r="D623" s="339"/>
      <c r="E623" s="339"/>
      <c r="F623" s="339"/>
      <c r="G623" s="340"/>
      <c r="H623" s="339"/>
      <c r="I623" s="339"/>
      <c r="J623" s="340"/>
      <c r="K623" s="339"/>
      <c r="L623" s="341"/>
      <c r="M623" s="339"/>
      <c r="N623" s="341"/>
      <c r="O623" s="341"/>
      <c r="P623" s="339"/>
      <c r="Q623" s="341"/>
      <c r="R623" s="340"/>
      <c r="S623" s="339"/>
      <c r="T623" s="341"/>
      <c r="U623" s="339"/>
      <c r="V623" s="339"/>
      <c r="W623" s="339"/>
      <c r="X623" s="340"/>
      <c r="Y623" s="339"/>
      <c r="Z623" s="339"/>
      <c r="AA623" s="339"/>
      <c r="AB623" s="342"/>
    </row>
    <row r="624" spans="1:28" ht="15.75" customHeight="1">
      <c r="A624" s="339"/>
      <c r="B624" s="339"/>
      <c r="C624" s="339"/>
      <c r="D624" s="339"/>
      <c r="E624" s="339"/>
      <c r="F624" s="339"/>
      <c r="G624" s="340"/>
      <c r="H624" s="339"/>
      <c r="I624" s="339"/>
      <c r="J624" s="340"/>
      <c r="K624" s="339"/>
      <c r="L624" s="341"/>
      <c r="M624" s="339"/>
      <c r="N624" s="341"/>
      <c r="O624" s="341"/>
      <c r="P624" s="339"/>
      <c r="Q624" s="341"/>
      <c r="R624" s="340"/>
      <c r="S624" s="339"/>
      <c r="T624" s="341"/>
      <c r="U624" s="339"/>
      <c r="V624" s="339"/>
      <c r="W624" s="339"/>
      <c r="X624" s="340"/>
      <c r="Y624" s="339"/>
      <c r="Z624" s="339"/>
      <c r="AA624" s="339"/>
      <c r="AB624" s="342"/>
    </row>
    <row r="625" spans="1:28" ht="15.75" customHeight="1">
      <c r="A625" s="339"/>
      <c r="B625" s="339"/>
      <c r="C625" s="339"/>
      <c r="D625" s="339"/>
      <c r="E625" s="339"/>
      <c r="F625" s="339"/>
      <c r="G625" s="340"/>
      <c r="H625" s="339"/>
      <c r="I625" s="339"/>
      <c r="J625" s="340"/>
      <c r="K625" s="339"/>
      <c r="L625" s="341"/>
      <c r="M625" s="339"/>
      <c r="N625" s="341"/>
      <c r="O625" s="341"/>
      <c r="P625" s="339"/>
      <c r="Q625" s="341"/>
      <c r="R625" s="340"/>
      <c r="S625" s="339"/>
      <c r="T625" s="341"/>
      <c r="U625" s="339"/>
      <c r="V625" s="339"/>
      <c r="W625" s="339"/>
      <c r="X625" s="340"/>
      <c r="Y625" s="339"/>
      <c r="Z625" s="339"/>
      <c r="AA625" s="339"/>
      <c r="AB625" s="342"/>
    </row>
    <row r="626" spans="1:28" ht="15.75" customHeight="1">
      <c r="A626" s="339"/>
      <c r="B626" s="339"/>
      <c r="C626" s="339"/>
      <c r="D626" s="339"/>
      <c r="E626" s="339"/>
      <c r="F626" s="339"/>
      <c r="G626" s="340"/>
      <c r="H626" s="339"/>
      <c r="I626" s="339"/>
      <c r="J626" s="340"/>
      <c r="K626" s="339"/>
      <c r="L626" s="341"/>
      <c r="M626" s="339"/>
      <c r="N626" s="341"/>
      <c r="O626" s="341"/>
      <c r="P626" s="339"/>
      <c r="Q626" s="341"/>
      <c r="R626" s="340"/>
      <c r="S626" s="339"/>
      <c r="T626" s="341"/>
      <c r="U626" s="339"/>
      <c r="V626" s="339"/>
      <c r="W626" s="339"/>
      <c r="X626" s="340"/>
      <c r="Y626" s="339"/>
      <c r="Z626" s="339"/>
      <c r="AA626" s="339"/>
      <c r="AB626" s="342"/>
    </row>
    <row r="627" spans="1:28" ht="15.75" customHeight="1">
      <c r="A627" s="339"/>
      <c r="B627" s="339"/>
      <c r="C627" s="339"/>
      <c r="D627" s="339"/>
      <c r="E627" s="339"/>
      <c r="F627" s="339"/>
      <c r="G627" s="340"/>
      <c r="H627" s="339"/>
      <c r="I627" s="339"/>
      <c r="J627" s="340"/>
      <c r="K627" s="339"/>
      <c r="L627" s="341"/>
      <c r="M627" s="339"/>
      <c r="N627" s="341"/>
      <c r="O627" s="341"/>
      <c r="P627" s="339"/>
      <c r="Q627" s="341"/>
      <c r="R627" s="340"/>
      <c r="S627" s="339"/>
      <c r="T627" s="341"/>
      <c r="U627" s="339"/>
      <c r="V627" s="339"/>
      <c r="W627" s="339"/>
      <c r="X627" s="340"/>
      <c r="Y627" s="339"/>
      <c r="Z627" s="339"/>
      <c r="AA627" s="339"/>
      <c r="AB627" s="342"/>
    </row>
    <row r="628" spans="1:28" ht="15.75" customHeight="1">
      <c r="A628" s="339"/>
      <c r="B628" s="339"/>
      <c r="C628" s="339"/>
      <c r="D628" s="339"/>
      <c r="E628" s="339"/>
      <c r="F628" s="339"/>
      <c r="G628" s="340"/>
      <c r="H628" s="339"/>
      <c r="I628" s="339"/>
      <c r="J628" s="340"/>
      <c r="K628" s="339"/>
      <c r="L628" s="341"/>
      <c r="M628" s="339"/>
      <c r="N628" s="341"/>
      <c r="O628" s="341"/>
      <c r="P628" s="339"/>
      <c r="Q628" s="341"/>
      <c r="R628" s="340"/>
      <c r="S628" s="339"/>
      <c r="T628" s="341"/>
      <c r="U628" s="339"/>
      <c r="V628" s="339"/>
      <c r="W628" s="339"/>
      <c r="X628" s="340"/>
      <c r="Y628" s="339"/>
      <c r="Z628" s="339"/>
      <c r="AA628" s="339"/>
      <c r="AB628" s="342"/>
    </row>
    <row r="629" spans="1:28" ht="15.75" customHeight="1">
      <c r="A629" s="339"/>
      <c r="B629" s="339"/>
      <c r="C629" s="339"/>
      <c r="D629" s="339"/>
      <c r="E629" s="339"/>
      <c r="F629" s="339"/>
      <c r="G629" s="340"/>
      <c r="H629" s="339"/>
      <c r="I629" s="339"/>
      <c r="J629" s="340"/>
      <c r="K629" s="339"/>
      <c r="L629" s="341"/>
      <c r="M629" s="339"/>
      <c r="N629" s="341"/>
      <c r="O629" s="341"/>
      <c r="P629" s="339"/>
      <c r="Q629" s="341"/>
      <c r="R629" s="340"/>
      <c r="S629" s="339"/>
      <c r="T629" s="341"/>
      <c r="U629" s="339"/>
      <c r="V629" s="339"/>
      <c r="W629" s="339"/>
      <c r="X629" s="340"/>
      <c r="Y629" s="339"/>
      <c r="Z629" s="339"/>
      <c r="AA629" s="339"/>
      <c r="AB629" s="342"/>
    </row>
    <row r="630" spans="1:28" ht="15.75" customHeight="1">
      <c r="A630" s="339"/>
      <c r="B630" s="339"/>
      <c r="C630" s="339"/>
      <c r="D630" s="339"/>
      <c r="E630" s="339"/>
      <c r="F630" s="339"/>
      <c r="G630" s="340"/>
      <c r="H630" s="339"/>
      <c r="I630" s="339"/>
      <c r="J630" s="340"/>
      <c r="K630" s="339"/>
      <c r="L630" s="341"/>
      <c r="M630" s="339"/>
      <c r="N630" s="341"/>
      <c r="O630" s="341"/>
      <c r="P630" s="339"/>
      <c r="Q630" s="341"/>
      <c r="R630" s="340"/>
      <c r="S630" s="339"/>
      <c r="T630" s="341"/>
      <c r="U630" s="339"/>
      <c r="V630" s="339"/>
      <c r="W630" s="339"/>
      <c r="X630" s="340"/>
      <c r="Y630" s="339"/>
      <c r="Z630" s="339"/>
      <c r="AA630" s="339"/>
      <c r="AB630" s="342"/>
    </row>
    <row r="631" spans="1:28" ht="15.75" customHeight="1">
      <c r="A631" s="339"/>
      <c r="B631" s="339"/>
      <c r="C631" s="339"/>
      <c r="D631" s="339"/>
      <c r="E631" s="339"/>
      <c r="F631" s="339"/>
      <c r="G631" s="340"/>
      <c r="H631" s="339"/>
      <c r="I631" s="339"/>
      <c r="J631" s="340"/>
      <c r="K631" s="339"/>
      <c r="L631" s="341"/>
      <c r="M631" s="339"/>
      <c r="N631" s="341"/>
      <c r="O631" s="341"/>
      <c r="P631" s="339"/>
      <c r="Q631" s="341"/>
      <c r="R631" s="340"/>
      <c r="S631" s="339"/>
      <c r="T631" s="341"/>
      <c r="U631" s="339"/>
      <c r="V631" s="339"/>
      <c r="W631" s="339"/>
      <c r="X631" s="340"/>
      <c r="Y631" s="339"/>
      <c r="Z631" s="339"/>
      <c r="AA631" s="339"/>
      <c r="AB631" s="342"/>
    </row>
    <row r="632" spans="1:28" ht="15.75" customHeight="1">
      <c r="A632" s="339"/>
      <c r="B632" s="339"/>
      <c r="C632" s="339"/>
      <c r="D632" s="339"/>
      <c r="E632" s="339"/>
      <c r="F632" s="339"/>
      <c r="G632" s="340"/>
      <c r="H632" s="339"/>
      <c r="I632" s="339"/>
      <c r="J632" s="340"/>
      <c r="K632" s="339"/>
      <c r="L632" s="341"/>
      <c r="M632" s="339"/>
      <c r="N632" s="341"/>
      <c r="O632" s="341"/>
      <c r="P632" s="339"/>
      <c r="Q632" s="341"/>
      <c r="R632" s="340"/>
      <c r="S632" s="339"/>
      <c r="T632" s="341"/>
      <c r="U632" s="339"/>
      <c r="V632" s="339"/>
      <c r="W632" s="339"/>
      <c r="X632" s="340"/>
      <c r="Y632" s="339"/>
      <c r="Z632" s="339"/>
      <c r="AA632" s="339"/>
      <c r="AB632" s="342"/>
    </row>
    <row r="633" spans="1:28" ht="15.75" customHeight="1">
      <c r="A633" s="339"/>
      <c r="B633" s="339"/>
      <c r="C633" s="339"/>
      <c r="D633" s="339"/>
      <c r="E633" s="339"/>
      <c r="F633" s="339"/>
      <c r="G633" s="340"/>
      <c r="H633" s="339"/>
      <c r="I633" s="339"/>
      <c r="J633" s="340"/>
      <c r="K633" s="339"/>
      <c r="L633" s="341"/>
      <c r="M633" s="339"/>
      <c r="N633" s="341"/>
      <c r="O633" s="341"/>
      <c r="P633" s="339"/>
      <c r="Q633" s="341"/>
      <c r="R633" s="340"/>
      <c r="S633" s="339"/>
      <c r="T633" s="341"/>
      <c r="U633" s="339"/>
      <c r="V633" s="339"/>
      <c r="W633" s="339"/>
      <c r="X633" s="340"/>
      <c r="Y633" s="339"/>
      <c r="Z633" s="339"/>
      <c r="AA633" s="339"/>
      <c r="AB633" s="342"/>
    </row>
    <row r="634" spans="1:28" ht="15.75" customHeight="1">
      <c r="A634" s="339"/>
      <c r="B634" s="339"/>
      <c r="C634" s="339"/>
      <c r="D634" s="339"/>
      <c r="E634" s="339"/>
      <c r="F634" s="339"/>
      <c r="G634" s="340"/>
      <c r="H634" s="339"/>
      <c r="I634" s="339"/>
      <c r="J634" s="340"/>
      <c r="K634" s="339"/>
      <c r="L634" s="341"/>
      <c r="M634" s="339"/>
      <c r="N634" s="341"/>
      <c r="O634" s="341"/>
      <c r="P634" s="339"/>
      <c r="Q634" s="341"/>
      <c r="R634" s="340"/>
      <c r="S634" s="339"/>
      <c r="T634" s="341"/>
      <c r="U634" s="339"/>
      <c r="V634" s="339"/>
      <c r="W634" s="339"/>
      <c r="X634" s="340"/>
      <c r="Y634" s="339"/>
      <c r="Z634" s="339"/>
      <c r="AA634" s="339"/>
      <c r="AB634" s="342"/>
    </row>
    <row r="635" spans="1:28" ht="15.75" customHeight="1">
      <c r="A635" s="339"/>
      <c r="B635" s="339"/>
      <c r="C635" s="339"/>
      <c r="D635" s="339"/>
      <c r="E635" s="339"/>
      <c r="F635" s="339"/>
      <c r="G635" s="340"/>
      <c r="H635" s="339"/>
      <c r="I635" s="339"/>
      <c r="J635" s="340"/>
      <c r="K635" s="339"/>
      <c r="L635" s="341"/>
      <c r="M635" s="339"/>
      <c r="N635" s="341"/>
      <c r="O635" s="341"/>
      <c r="P635" s="339"/>
      <c r="Q635" s="341"/>
      <c r="R635" s="340"/>
      <c r="S635" s="339"/>
      <c r="T635" s="341"/>
      <c r="U635" s="339"/>
      <c r="V635" s="339"/>
      <c r="W635" s="339"/>
      <c r="X635" s="340"/>
      <c r="Y635" s="339"/>
      <c r="Z635" s="339"/>
      <c r="AA635" s="339"/>
      <c r="AB635" s="342"/>
    </row>
    <row r="636" spans="1:28" ht="15.75" customHeight="1">
      <c r="A636" s="339"/>
      <c r="B636" s="339"/>
      <c r="C636" s="339"/>
      <c r="D636" s="339"/>
      <c r="E636" s="339"/>
      <c r="F636" s="339"/>
      <c r="G636" s="340"/>
      <c r="H636" s="339"/>
      <c r="I636" s="339"/>
      <c r="J636" s="340"/>
      <c r="K636" s="339"/>
      <c r="L636" s="341"/>
      <c r="M636" s="339"/>
      <c r="N636" s="341"/>
      <c r="O636" s="341"/>
      <c r="P636" s="339"/>
      <c r="Q636" s="341"/>
      <c r="R636" s="340"/>
      <c r="S636" s="339"/>
      <c r="T636" s="341"/>
      <c r="U636" s="339"/>
      <c r="V636" s="339"/>
      <c r="W636" s="339"/>
      <c r="X636" s="340"/>
      <c r="Y636" s="339"/>
      <c r="Z636" s="339"/>
      <c r="AA636" s="339"/>
      <c r="AB636" s="342"/>
    </row>
    <row r="637" spans="1:28" ht="15.75" customHeight="1">
      <c r="A637" s="339"/>
      <c r="B637" s="339"/>
      <c r="C637" s="339"/>
      <c r="D637" s="339"/>
      <c r="E637" s="339"/>
      <c r="F637" s="339"/>
      <c r="G637" s="340"/>
      <c r="H637" s="339"/>
      <c r="I637" s="339"/>
      <c r="J637" s="340"/>
      <c r="K637" s="339"/>
      <c r="L637" s="341"/>
      <c r="M637" s="339"/>
      <c r="N637" s="341"/>
      <c r="O637" s="341"/>
      <c r="P637" s="339"/>
      <c r="Q637" s="341"/>
      <c r="R637" s="340"/>
      <c r="S637" s="339"/>
      <c r="T637" s="341"/>
      <c r="U637" s="339"/>
      <c r="V637" s="339"/>
      <c r="W637" s="339"/>
      <c r="X637" s="340"/>
      <c r="Y637" s="339"/>
      <c r="Z637" s="339"/>
      <c r="AA637" s="339"/>
      <c r="AB637" s="342"/>
    </row>
    <row r="638" spans="1:28" ht="15.75" customHeight="1">
      <c r="A638" s="339"/>
      <c r="B638" s="339"/>
      <c r="C638" s="339"/>
      <c r="D638" s="339"/>
      <c r="E638" s="339"/>
      <c r="F638" s="339"/>
      <c r="G638" s="340"/>
      <c r="H638" s="339"/>
      <c r="I638" s="339"/>
      <c r="J638" s="340"/>
      <c r="K638" s="339"/>
      <c r="L638" s="341"/>
      <c r="M638" s="339"/>
      <c r="N638" s="341"/>
      <c r="O638" s="341"/>
      <c r="P638" s="339"/>
      <c r="Q638" s="341"/>
      <c r="R638" s="340"/>
      <c r="S638" s="339"/>
      <c r="T638" s="341"/>
      <c r="U638" s="339"/>
      <c r="V638" s="339"/>
      <c r="W638" s="339"/>
      <c r="X638" s="340"/>
      <c r="Y638" s="339"/>
      <c r="Z638" s="339"/>
      <c r="AA638" s="339"/>
      <c r="AB638" s="342"/>
    </row>
    <row r="639" spans="1:28" ht="15.75" customHeight="1">
      <c r="A639" s="339"/>
      <c r="B639" s="339"/>
      <c r="C639" s="339"/>
      <c r="D639" s="339"/>
      <c r="E639" s="339"/>
      <c r="F639" s="339"/>
      <c r="G639" s="340"/>
      <c r="H639" s="339"/>
      <c r="I639" s="339"/>
      <c r="J639" s="340"/>
      <c r="K639" s="339"/>
      <c r="L639" s="341"/>
      <c r="M639" s="339"/>
      <c r="N639" s="341"/>
      <c r="O639" s="341"/>
      <c r="P639" s="339"/>
      <c r="Q639" s="341"/>
      <c r="R639" s="340"/>
      <c r="S639" s="339"/>
      <c r="T639" s="341"/>
      <c r="U639" s="339"/>
      <c r="V639" s="339"/>
      <c r="W639" s="339"/>
      <c r="X639" s="340"/>
      <c r="Y639" s="339"/>
      <c r="Z639" s="339"/>
      <c r="AA639" s="339"/>
      <c r="AB639" s="342"/>
    </row>
    <row r="640" spans="1:28" ht="15.75" customHeight="1">
      <c r="A640" s="339"/>
      <c r="B640" s="339"/>
      <c r="C640" s="339"/>
      <c r="D640" s="339"/>
      <c r="E640" s="339"/>
      <c r="F640" s="339"/>
      <c r="G640" s="340"/>
      <c r="H640" s="339"/>
      <c r="I640" s="339"/>
      <c r="J640" s="340"/>
      <c r="K640" s="339"/>
      <c r="L640" s="341"/>
      <c r="M640" s="339"/>
      <c r="N640" s="341"/>
      <c r="O640" s="341"/>
      <c r="P640" s="339"/>
      <c r="Q640" s="341"/>
      <c r="R640" s="340"/>
      <c r="S640" s="339"/>
      <c r="T640" s="341"/>
      <c r="U640" s="339"/>
      <c r="V640" s="339"/>
      <c r="W640" s="339"/>
      <c r="X640" s="340"/>
      <c r="Y640" s="339"/>
      <c r="Z640" s="339"/>
      <c r="AA640" s="339"/>
      <c r="AB640" s="342"/>
    </row>
    <row r="641" spans="1:28" ht="15.75" customHeight="1">
      <c r="A641" s="339"/>
      <c r="B641" s="339"/>
      <c r="C641" s="339"/>
      <c r="D641" s="339"/>
      <c r="E641" s="339"/>
      <c r="F641" s="339"/>
      <c r="G641" s="340"/>
      <c r="H641" s="339"/>
      <c r="I641" s="339"/>
      <c r="J641" s="340"/>
      <c r="K641" s="339"/>
      <c r="L641" s="341"/>
      <c r="M641" s="339"/>
      <c r="N641" s="341"/>
      <c r="O641" s="341"/>
      <c r="P641" s="339"/>
      <c r="Q641" s="341"/>
      <c r="R641" s="340"/>
      <c r="S641" s="339"/>
      <c r="T641" s="341"/>
      <c r="U641" s="339"/>
      <c r="V641" s="339"/>
      <c r="W641" s="339"/>
      <c r="X641" s="340"/>
      <c r="Y641" s="339"/>
      <c r="Z641" s="339"/>
      <c r="AA641" s="339"/>
      <c r="AB641" s="342"/>
    </row>
    <row r="642" spans="1:28" ht="15.75" customHeight="1">
      <c r="A642" s="339"/>
      <c r="B642" s="339"/>
      <c r="C642" s="339"/>
      <c r="D642" s="339"/>
      <c r="E642" s="339"/>
      <c r="F642" s="339"/>
      <c r="G642" s="340"/>
      <c r="H642" s="339"/>
      <c r="I642" s="339"/>
      <c r="J642" s="340"/>
      <c r="K642" s="339"/>
      <c r="L642" s="341"/>
      <c r="M642" s="339"/>
      <c r="N642" s="341"/>
      <c r="O642" s="341"/>
      <c r="P642" s="339"/>
      <c r="Q642" s="341"/>
      <c r="R642" s="340"/>
      <c r="S642" s="339"/>
      <c r="T642" s="341"/>
      <c r="U642" s="339"/>
      <c r="V642" s="339"/>
      <c r="W642" s="339"/>
      <c r="X642" s="340"/>
      <c r="Y642" s="339"/>
      <c r="Z642" s="339"/>
      <c r="AA642" s="339"/>
      <c r="AB642" s="342"/>
    </row>
    <row r="643" spans="1:28" ht="15.75" customHeight="1">
      <c r="A643" s="339"/>
      <c r="B643" s="339"/>
      <c r="C643" s="339"/>
      <c r="D643" s="339"/>
      <c r="E643" s="339"/>
      <c r="F643" s="339"/>
      <c r="G643" s="340"/>
      <c r="H643" s="339"/>
      <c r="I643" s="339"/>
      <c r="J643" s="340"/>
      <c r="K643" s="339"/>
      <c r="L643" s="341"/>
      <c r="M643" s="339"/>
      <c r="N643" s="341"/>
      <c r="O643" s="341"/>
      <c r="P643" s="339"/>
      <c r="Q643" s="341"/>
      <c r="R643" s="340"/>
      <c r="S643" s="339"/>
      <c r="T643" s="341"/>
      <c r="U643" s="339"/>
      <c r="V643" s="339"/>
      <c r="W643" s="339"/>
      <c r="X643" s="340"/>
      <c r="Y643" s="339"/>
      <c r="Z643" s="339"/>
      <c r="AA643" s="339"/>
      <c r="AB643" s="342"/>
    </row>
    <row r="644" spans="1:28" ht="15.75" customHeight="1">
      <c r="A644" s="339"/>
      <c r="B644" s="339"/>
      <c r="C644" s="339"/>
      <c r="D644" s="339"/>
      <c r="E644" s="339"/>
      <c r="F644" s="339"/>
      <c r="G644" s="340"/>
      <c r="H644" s="339"/>
      <c r="I644" s="339"/>
      <c r="J644" s="340"/>
      <c r="K644" s="339"/>
      <c r="L644" s="341"/>
      <c r="M644" s="339"/>
      <c r="N644" s="341"/>
      <c r="O644" s="341"/>
      <c r="P644" s="339"/>
      <c r="Q644" s="341"/>
      <c r="R644" s="340"/>
      <c r="S644" s="339"/>
      <c r="T644" s="341"/>
      <c r="U644" s="339"/>
      <c r="V644" s="339"/>
      <c r="W644" s="339"/>
      <c r="X644" s="340"/>
      <c r="Y644" s="339"/>
      <c r="Z644" s="339"/>
      <c r="AA644" s="339"/>
      <c r="AB644" s="342"/>
    </row>
    <row r="645" spans="1:28" ht="15.75" customHeight="1">
      <c r="A645" s="339"/>
      <c r="B645" s="339"/>
      <c r="C645" s="339"/>
      <c r="D645" s="339"/>
      <c r="E645" s="339"/>
      <c r="F645" s="339"/>
      <c r="G645" s="340"/>
      <c r="H645" s="339"/>
      <c r="I645" s="339"/>
      <c r="J645" s="340"/>
      <c r="K645" s="339"/>
      <c r="L645" s="341"/>
      <c r="M645" s="339"/>
      <c r="N645" s="341"/>
      <c r="O645" s="341"/>
      <c r="P645" s="339"/>
      <c r="Q645" s="341"/>
      <c r="R645" s="340"/>
      <c r="S645" s="339"/>
      <c r="T645" s="341"/>
      <c r="U645" s="339"/>
      <c r="V645" s="339"/>
      <c r="W645" s="339"/>
      <c r="X645" s="340"/>
      <c r="Y645" s="339"/>
      <c r="Z645" s="339"/>
      <c r="AA645" s="339"/>
      <c r="AB645" s="342"/>
    </row>
    <row r="646" spans="1:28" ht="15.75" customHeight="1">
      <c r="A646" s="339"/>
      <c r="B646" s="339"/>
      <c r="C646" s="339"/>
      <c r="D646" s="339"/>
      <c r="E646" s="339"/>
      <c r="F646" s="339"/>
      <c r="G646" s="340"/>
      <c r="H646" s="339"/>
      <c r="I646" s="339"/>
      <c r="J646" s="340"/>
      <c r="K646" s="339"/>
      <c r="L646" s="341"/>
      <c r="M646" s="339"/>
      <c r="N646" s="341"/>
      <c r="O646" s="341"/>
      <c r="P646" s="339"/>
      <c r="Q646" s="341"/>
      <c r="R646" s="340"/>
      <c r="S646" s="339"/>
      <c r="T646" s="341"/>
      <c r="U646" s="339"/>
      <c r="V646" s="339"/>
      <c r="W646" s="339"/>
      <c r="X646" s="340"/>
      <c r="Y646" s="339"/>
      <c r="Z646" s="339"/>
      <c r="AA646" s="339"/>
      <c r="AB646" s="342"/>
    </row>
    <row r="647" spans="1:28" ht="15.75" customHeight="1">
      <c r="A647" s="339"/>
      <c r="B647" s="339"/>
      <c r="C647" s="339"/>
      <c r="D647" s="339"/>
      <c r="E647" s="339"/>
      <c r="F647" s="339"/>
      <c r="G647" s="340"/>
      <c r="H647" s="339"/>
      <c r="I647" s="339"/>
      <c r="J647" s="340"/>
      <c r="K647" s="339"/>
      <c r="L647" s="341"/>
      <c r="M647" s="339"/>
      <c r="N647" s="341"/>
      <c r="O647" s="341"/>
      <c r="P647" s="339"/>
      <c r="Q647" s="341"/>
      <c r="R647" s="340"/>
      <c r="S647" s="339"/>
      <c r="T647" s="341"/>
      <c r="U647" s="339"/>
      <c r="V647" s="339"/>
      <c r="W647" s="339"/>
      <c r="X647" s="340"/>
      <c r="Y647" s="339"/>
      <c r="Z647" s="339"/>
      <c r="AA647" s="339"/>
      <c r="AB647" s="342"/>
    </row>
    <row r="648" spans="1:28" ht="15.75" customHeight="1">
      <c r="A648" s="339"/>
      <c r="B648" s="339"/>
      <c r="C648" s="339"/>
      <c r="D648" s="339"/>
      <c r="E648" s="339"/>
      <c r="F648" s="339"/>
      <c r="G648" s="340"/>
      <c r="H648" s="339"/>
      <c r="I648" s="339"/>
      <c r="J648" s="340"/>
      <c r="K648" s="339"/>
      <c r="L648" s="341"/>
      <c r="M648" s="339"/>
      <c r="N648" s="341"/>
      <c r="O648" s="341"/>
      <c r="P648" s="339"/>
      <c r="Q648" s="341"/>
      <c r="R648" s="340"/>
      <c r="S648" s="339"/>
      <c r="T648" s="341"/>
      <c r="U648" s="339"/>
      <c r="V648" s="339"/>
      <c r="W648" s="339"/>
      <c r="X648" s="340"/>
      <c r="Y648" s="339"/>
      <c r="Z648" s="339"/>
      <c r="AA648" s="339"/>
      <c r="AB648" s="342"/>
    </row>
    <row r="649" spans="1:28" ht="15.75" customHeight="1">
      <c r="A649" s="339"/>
      <c r="B649" s="339"/>
      <c r="C649" s="339"/>
      <c r="D649" s="339"/>
      <c r="E649" s="339"/>
      <c r="F649" s="339"/>
      <c r="G649" s="340"/>
      <c r="H649" s="339"/>
      <c r="I649" s="339"/>
      <c r="J649" s="340"/>
      <c r="K649" s="339"/>
      <c r="L649" s="341"/>
      <c r="M649" s="339"/>
      <c r="N649" s="341"/>
      <c r="O649" s="341"/>
      <c r="P649" s="339"/>
      <c r="Q649" s="341"/>
      <c r="R649" s="340"/>
      <c r="S649" s="339"/>
      <c r="T649" s="341"/>
      <c r="U649" s="339"/>
      <c r="V649" s="339"/>
      <c r="W649" s="339"/>
      <c r="X649" s="340"/>
      <c r="Y649" s="339"/>
      <c r="Z649" s="339"/>
      <c r="AA649" s="339"/>
      <c r="AB649" s="342"/>
    </row>
    <row r="650" spans="1:28" ht="15.75" customHeight="1">
      <c r="A650" s="339"/>
      <c r="B650" s="339"/>
      <c r="C650" s="339"/>
      <c r="D650" s="339"/>
      <c r="E650" s="339"/>
      <c r="F650" s="339"/>
      <c r="G650" s="340"/>
      <c r="H650" s="339"/>
      <c r="I650" s="339"/>
      <c r="J650" s="340"/>
      <c r="K650" s="339"/>
      <c r="L650" s="341"/>
      <c r="M650" s="339"/>
      <c r="N650" s="341"/>
      <c r="O650" s="341"/>
      <c r="P650" s="339"/>
      <c r="Q650" s="341"/>
      <c r="R650" s="340"/>
      <c r="S650" s="339"/>
      <c r="T650" s="341"/>
      <c r="U650" s="339"/>
      <c r="V650" s="339"/>
      <c r="W650" s="339"/>
      <c r="X650" s="340"/>
      <c r="Y650" s="339"/>
      <c r="Z650" s="339"/>
      <c r="AA650" s="339"/>
      <c r="AB650" s="342"/>
    </row>
    <row r="651" spans="1:28" ht="15.75" customHeight="1">
      <c r="A651" s="339"/>
      <c r="B651" s="339"/>
      <c r="C651" s="339"/>
      <c r="D651" s="339"/>
      <c r="E651" s="339"/>
      <c r="F651" s="339"/>
      <c r="G651" s="340"/>
      <c r="H651" s="339"/>
      <c r="I651" s="339"/>
      <c r="J651" s="340"/>
      <c r="K651" s="339"/>
      <c r="L651" s="341"/>
      <c r="M651" s="339"/>
      <c r="N651" s="341"/>
      <c r="O651" s="341"/>
      <c r="P651" s="339"/>
      <c r="Q651" s="341"/>
      <c r="R651" s="340"/>
      <c r="S651" s="339"/>
      <c r="T651" s="341"/>
      <c r="U651" s="339"/>
      <c r="V651" s="339"/>
      <c r="W651" s="339"/>
      <c r="X651" s="340"/>
      <c r="Y651" s="339"/>
      <c r="Z651" s="339"/>
      <c r="AA651" s="339"/>
      <c r="AB651" s="342"/>
    </row>
    <row r="652" spans="1:28" ht="15.75" customHeight="1">
      <c r="A652" s="339"/>
      <c r="B652" s="339"/>
      <c r="C652" s="339"/>
      <c r="D652" s="339"/>
      <c r="E652" s="339"/>
      <c r="F652" s="339"/>
      <c r="G652" s="340"/>
      <c r="H652" s="339"/>
      <c r="I652" s="339"/>
      <c r="J652" s="340"/>
      <c r="K652" s="339"/>
      <c r="L652" s="341"/>
      <c r="M652" s="339"/>
      <c r="N652" s="341"/>
      <c r="O652" s="341"/>
      <c r="P652" s="339"/>
      <c r="Q652" s="341"/>
      <c r="R652" s="340"/>
      <c r="S652" s="339"/>
      <c r="T652" s="341"/>
      <c r="U652" s="339"/>
      <c r="V652" s="339"/>
      <c r="W652" s="339"/>
      <c r="X652" s="340"/>
      <c r="Y652" s="339"/>
      <c r="Z652" s="339"/>
      <c r="AA652" s="339"/>
      <c r="AB652" s="342"/>
    </row>
    <row r="653" spans="1:28" ht="15.75" customHeight="1">
      <c r="A653" s="339"/>
      <c r="B653" s="339"/>
      <c r="C653" s="339"/>
      <c r="D653" s="339"/>
      <c r="E653" s="339"/>
      <c r="F653" s="339"/>
      <c r="G653" s="340"/>
      <c r="H653" s="339"/>
      <c r="I653" s="339"/>
      <c r="J653" s="340"/>
      <c r="K653" s="339"/>
      <c r="L653" s="341"/>
      <c r="M653" s="339"/>
      <c r="N653" s="341"/>
      <c r="O653" s="341"/>
      <c r="P653" s="339"/>
      <c r="Q653" s="341"/>
      <c r="R653" s="340"/>
      <c r="S653" s="339"/>
      <c r="T653" s="341"/>
      <c r="U653" s="339"/>
      <c r="V653" s="339"/>
      <c r="W653" s="339"/>
      <c r="X653" s="340"/>
      <c r="Y653" s="339"/>
      <c r="Z653" s="339"/>
      <c r="AA653" s="339"/>
      <c r="AB653" s="342"/>
    </row>
    <row r="654" spans="1:28" ht="15.75" customHeight="1">
      <c r="A654" s="339"/>
      <c r="B654" s="339"/>
      <c r="C654" s="339"/>
      <c r="D654" s="339"/>
      <c r="E654" s="339"/>
      <c r="F654" s="339"/>
      <c r="G654" s="340"/>
      <c r="H654" s="339"/>
      <c r="I654" s="339"/>
      <c r="J654" s="340"/>
      <c r="K654" s="339"/>
      <c r="L654" s="341"/>
      <c r="M654" s="339"/>
      <c r="N654" s="341"/>
      <c r="O654" s="341"/>
      <c r="P654" s="339"/>
      <c r="Q654" s="341"/>
      <c r="R654" s="340"/>
      <c r="S654" s="339"/>
      <c r="T654" s="341"/>
      <c r="U654" s="339"/>
      <c r="V654" s="339"/>
      <c r="W654" s="339"/>
      <c r="X654" s="340"/>
      <c r="Y654" s="339"/>
      <c r="Z654" s="339"/>
      <c r="AA654" s="339"/>
      <c r="AB654" s="342"/>
    </row>
    <row r="655" spans="1:28" ht="15.75" customHeight="1">
      <c r="A655" s="339"/>
      <c r="B655" s="339"/>
      <c r="C655" s="339"/>
      <c r="D655" s="339"/>
      <c r="E655" s="339"/>
      <c r="F655" s="339"/>
      <c r="G655" s="340"/>
      <c r="H655" s="339"/>
      <c r="I655" s="339"/>
      <c r="J655" s="340"/>
      <c r="K655" s="339"/>
      <c r="L655" s="341"/>
      <c r="M655" s="339"/>
      <c r="N655" s="341"/>
      <c r="O655" s="341"/>
      <c r="P655" s="339"/>
      <c r="Q655" s="341"/>
      <c r="R655" s="340"/>
      <c r="S655" s="339"/>
      <c r="T655" s="341"/>
      <c r="U655" s="339"/>
      <c r="V655" s="339"/>
      <c r="W655" s="339"/>
      <c r="X655" s="340"/>
      <c r="Y655" s="339"/>
      <c r="Z655" s="339"/>
      <c r="AA655" s="339"/>
      <c r="AB655" s="342"/>
    </row>
    <row r="656" spans="1:28" ht="15.75" customHeight="1">
      <c r="A656" s="339"/>
      <c r="B656" s="339"/>
      <c r="C656" s="339"/>
      <c r="D656" s="339"/>
      <c r="E656" s="339"/>
      <c r="F656" s="339"/>
      <c r="G656" s="340"/>
      <c r="H656" s="339"/>
      <c r="I656" s="339"/>
      <c r="J656" s="340"/>
      <c r="K656" s="339"/>
      <c r="L656" s="341"/>
      <c r="M656" s="339"/>
      <c r="N656" s="341"/>
      <c r="O656" s="341"/>
      <c r="P656" s="339"/>
      <c r="Q656" s="341"/>
      <c r="R656" s="340"/>
      <c r="S656" s="339"/>
      <c r="T656" s="341"/>
      <c r="U656" s="339"/>
      <c r="V656" s="339"/>
      <c r="W656" s="339"/>
      <c r="X656" s="340"/>
      <c r="Y656" s="339"/>
      <c r="Z656" s="339"/>
      <c r="AA656" s="339"/>
      <c r="AB656" s="342"/>
    </row>
    <row r="657" spans="1:28" ht="15.75" customHeight="1">
      <c r="A657" s="339"/>
      <c r="B657" s="339"/>
      <c r="C657" s="339"/>
      <c r="D657" s="339"/>
      <c r="E657" s="339"/>
      <c r="F657" s="339"/>
      <c r="G657" s="340"/>
      <c r="H657" s="339"/>
      <c r="I657" s="339"/>
      <c r="J657" s="340"/>
      <c r="K657" s="339"/>
      <c r="L657" s="341"/>
      <c r="M657" s="339"/>
      <c r="N657" s="341"/>
      <c r="O657" s="341"/>
      <c r="P657" s="339"/>
      <c r="Q657" s="341"/>
      <c r="R657" s="340"/>
      <c r="S657" s="339"/>
      <c r="T657" s="341"/>
      <c r="U657" s="339"/>
      <c r="V657" s="339"/>
      <c r="W657" s="339"/>
      <c r="X657" s="340"/>
      <c r="Y657" s="339"/>
      <c r="Z657" s="339"/>
      <c r="AA657" s="339"/>
      <c r="AB657" s="342"/>
    </row>
    <row r="658" spans="1:28" ht="15.75" customHeight="1">
      <c r="A658" s="339"/>
      <c r="B658" s="339"/>
      <c r="C658" s="339"/>
      <c r="D658" s="339"/>
      <c r="E658" s="339"/>
      <c r="F658" s="339"/>
      <c r="G658" s="340"/>
      <c r="H658" s="339"/>
      <c r="I658" s="339"/>
      <c r="J658" s="340"/>
      <c r="K658" s="339"/>
      <c r="L658" s="341"/>
      <c r="M658" s="339"/>
      <c r="N658" s="341"/>
      <c r="O658" s="341"/>
      <c r="P658" s="339"/>
      <c r="Q658" s="341"/>
      <c r="R658" s="340"/>
      <c r="S658" s="339"/>
      <c r="T658" s="341"/>
      <c r="U658" s="339"/>
      <c r="V658" s="339"/>
      <c r="W658" s="339"/>
      <c r="X658" s="340"/>
      <c r="Y658" s="339"/>
      <c r="Z658" s="339"/>
      <c r="AA658" s="339"/>
      <c r="AB658" s="342"/>
    </row>
    <row r="659" spans="1:28" ht="15.75" customHeight="1">
      <c r="A659" s="339"/>
      <c r="B659" s="339"/>
      <c r="C659" s="339"/>
      <c r="D659" s="339"/>
      <c r="E659" s="339"/>
      <c r="F659" s="339"/>
      <c r="G659" s="340"/>
      <c r="H659" s="339"/>
      <c r="I659" s="339"/>
      <c r="J659" s="340"/>
      <c r="K659" s="339"/>
      <c r="L659" s="341"/>
      <c r="M659" s="339"/>
      <c r="N659" s="341"/>
      <c r="O659" s="341"/>
      <c r="P659" s="339"/>
      <c r="Q659" s="341"/>
      <c r="R659" s="340"/>
      <c r="S659" s="339"/>
      <c r="T659" s="341"/>
      <c r="U659" s="339"/>
      <c r="V659" s="339"/>
      <c r="W659" s="339"/>
      <c r="X659" s="340"/>
      <c r="Y659" s="339"/>
      <c r="Z659" s="339"/>
      <c r="AA659" s="339"/>
      <c r="AB659" s="342"/>
    </row>
    <row r="660" spans="1:28" ht="15.75" customHeight="1">
      <c r="A660" s="339"/>
      <c r="B660" s="339"/>
      <c r="C660" s="339"/>
      <c r="D660" s="339"/>
      <c r="E660" s="339"/>
      <c r="F660" s="339"/>
      <c r="G660" s="340"/>
      <c r="H660" s="339"/>
      <c r="I660" s="339"/>
      <c r="J660" s="340"/>
      <c r="K660" s="339"/>
      <c r="L660" s="341"/>
      <c r="M660" s="339"/>
      <c r="N660" s="341"/>
      <c r="O660" s="341"/>
      <c r="P660" s="339"/>
      <c r="Q660" s="341"/>
      <c r="R660" s="340"/>
      <c r="S660" s="339"/>
      <c r="T660" s="341"/>
      <c r="U660" s="339"/>
      <c r="V660" s="339"/>
      <c r="W660" s="339"/>
      <c r="X660" s="340"/>
      <c r="Y660" s="339"/>
      <c r="Z660" s="339"/>
      <c r="AA660" s="339"/>
      <c r="AB660" s="342"/>
    </row>
    <row r="661" spans="1:28" ht="15.75" customHeight="1">
      <c r="A661" s="339"/>
      <c r="B661" s="339"/>
      <c r="C661" s="339"/>
      <c r="D661" s="339"/>
      <c r="E661" s="339"/>
      <c r="F661" s="339"/>
      <c r="G661" s="340"/>
      <c r="H661" s="339"/>
      <c r="I661" s="339"/>
      <c r="J661" s="340"/>
      <c r="K661" s="339"/>
      <c r="L661" s="341"/>
      <c r="M661" s="339"/>
      <c r="N661" s="341"/>
      <c r="O661" s="341"/>
      <c r="P661" s="339"/>
      <c r="Q661" s="341"/>
      <c r="R661" s="340"/>
      <c r="S661" s="339"/>
      <c r="T661" s="341"/>
      <c r="U661" s="339"/>
      <c r="V661" s="339"/>
      <c r="W661" s="339"/>
      <c r="X661" s="340"/>
      <c r="Y661" s="339"/>
      <c r="Z661" s="339"/>
      <c r="AA661" s="339"/>
      <c r="AB661" s="342"/>
    </row>
    <row r="662" spans="1:28" ht="15.75" customHeight="1">
      <c r="A662" s="339"/>
      <c r="B662" s="339"/>
      <c r="C662" s="339"/>
      <c r="D662" s="339"/>
      <c r="E662" s="339"/>
      <c r="F662" s="339"/>
      <c r="G662" s="340"/>
      <c r="H662" s="339"/>
      <c r="I662" s="339"/>
      <c r="J662" s="340"/>
      <c r="K662" s="339"/>
      <c r="L662" s="341"/>
      <c r="M662" s="339"/>
      <c r="N662" s="341"/>
      <c r="O662" s="341"/>
      <c r="P662" s="339"/>
      <c r="Q662" s="341"/>
      <c r="R662" s="340"/>
      <c r="S662" s="339"/>
      <c r="T662" s="341"/>
      <c r="U662" s="339"/>
      <c r="V662" s="339"/>
      <c r="W662" s="339"/>
      <c r="X662" s="340"/>
      <c r="Y662" s="339"/>
      <c r="Z662" s="339"/>
      <c r="AA662" s="339"/>
      <c r="AB662" s="342"/>
    </row>
    <row r="663" spans="1:28" ht="15.75" customHeight="1">
      <c r="A663" s="339"/>
      <c r="B663" s="339"/>
      <c r="C663" s="339"/>
      <c r="D663" s="339"/>
      <c r="E663" s="339"/>
      <c r="F663" s="339"/>
      <c r="G663" s="340"/>
      <c r="H663" s="339"/>
      <c r="I663" s="339"/>
      <c r="J663" s="340"/>
      <c r="K663" s="339"/>
      <c r="L663" s="341"/>
      <c r="M663" s="339"/>
      <c r="N663" s="341"/>
      <c r="O663" s="341"/>
      <c r="P663" s="339"/>
      <c r="Q663" s="341"/>
      <c r="R663" s="340"/>
      <c r="S663" s="339"/>
      <c r="T663" s="341"/>
      <c r="U663" s="339"/>
      <c r="V663" s="339"/>
      <c r="W663" s="339"/>
      <c r="X663" s="340"/>
      <c r="Y663" s="339"/>
      <c r="Z663" s="339"/>
      <c r="AA663" s="339"/>
      <c r="AB663" s="342"/>
    </row>
    <row r="664" spans="1:28" ht="15.75" customHeight="1">
      <c r="A664" s="339"/>
      <c r="B664" s="339"/>
      <c r="C664" s="339"/>
      <c r="D664" s="339"/>
      <c r="E664" s="339"/>
      <c r="F664" s="339"/>
      <c r="G664" s="340"/>
      <c r="H664" s="339"/>
      <c r="I664" s="339"/>
      <c r="J664" s="340"/>
      <c r="K664" s="339"/>
      <c r="L664" s="341"/>
      <c r="M664" s="339"/>
      <c r="N664" s="341"/>
      <c r="O664" s="341"/>
      <c r="P664" s="339"/>
      <c r="Q664" s="341"/>
      <c r="R664" s="340"/>
      <c r="S664" s="339"/>
      <c r="T664" s="341"/>
      <c r="U664" s="339"/>
      <c r="V664" s="339"/>
      <c r="W664" s="339"/>
      <c r="X664" s="340"/>
      <c r="Y664" s="339"/>
      <c r="Z664" s="339"/>
      <c r="AA664" s="339"/>
      <c r="AB664" s="342"/>
    </row>
    <row r="665" spans="1:28" ht="15.75" customHeight="1">
      <c r="A665" s="339"/>
      <c r="B665" s="339"/>
      <c r="C665" s="339"/>
      <c r="D665" s="339"/>
      <c r="E665" s="339"/>
      <c r="F665" s="339"/>
      <c r="G665" s="340"/>
      <c r="H665" s="339"/>
      <c r="I665" s="339"/>
      <c r="J665" s="340"/>
      <c r="K665" s="339"/>
      <c r="L665" s="341"/>
      <c r="M665" s="339"/>
      <c r="N665" s="341"/>
      <c r="O665" s="341"/>
      <c r="P665" s="339"/>
      <c r="Q665" s="341"/>
      <c r="R665" s="340"/>
      <c r="S665" s="339"/>
      <c r="T665" s="341"/>
      <c r="U665" s="339"/>
      <c r="V665" s="339"/>
      <c r="W665" s="339"/>
      <c r="X665" s="340"/>
      <c r="Y665" s="339"/>
      <c r="Z665" s="339"/>
      <c r="AA665" s="339"/>
      <c r="AB665" s="342"/>
    </row>
    <row r="666" spans="1:28" ht="15.75" customHeight="1">
      <c r="A666" s="339"/>
      <c r="B666" s="339"/>
      <c r="C666" s="339"/>
      <c r="D666" s="339"/>
      <c r="E666" s="339"/>
      <c r="F666" s="339"/>
      <c r="G666" s="340"/>
      <c r="H666" s="339"/>
      <c r="I666" s="339"/>
      <c r="J666" s="340"/>
      <c r="K666" s="339"/>
      <c r="L666" s="341"/>
      <c r="M666" s="339"/>
      <c r="N666" s="341"/>
      <c r="O666" s="341"/>
      <c r="P666" s="339"/>
      <c r="Q666" s="341"/>
      <c r="R666" s="340"/>
      <c r="S666" s="339"/>
      <c r="T666" s="341"/>
      <c r="U666" s="339"/>
      <c r="V666" s="339"/>
      <c r="W666" s="339"/>
      <c r="X666" s="340"/>
      <c r="Y666" s="339"/>
      <c r="Z666" s="339"/>
      <c r="AA666" s="339"/>
      <c r="AB666" s="342"/>
    </row>
    <row r="667" spans="1:28" ht="15.75" customHeight="1">
      <c r="A667" s="339"/>
      <c r="B667" s="339"/>
      <c r="C667" s="339"/>
      <c r="D667" s="339"/>
      <c r="E667" s="339"/>
      <c r="F667" s="339"/>
      <c r="G667" s="340"/>
      <c r="H667" s="339"/>
      <c r="I667" s="339"/>
      <c r="J667" s="340"/>
      <c r="K667" s="339"/>
      <c r="L667" s="341"/>
      <c r="M667" s="339"/>
      <c r="N667" s="341"/>
      <c r="O667" s="341"/>
      <c r="P667" s="339"/>
      <c r="Q667" s="341"/>
      <c r="R667" s="340"/>
      <c r="S667" s="339"/>
      <c r="T667" s="341"/>
      <c r="U667" s="339"/>
      <c r="V667" s="339"/>
      <c r="W667" s="339"/>
      <c r="X667" s="340"/>
      <c r="Y667" s="339"/>
      <c r="Z667" s="339"/>
      <c r="AA667" s="339"/>
      <c r="AB667" s="342"/>
    </row>
    <row r="668" spans="1:28" ht="15.75" customHeight="1">
      <c r="A668" s="339"/>
      <c r="B668" s="339"/>
      <c r="C668" s="339"/>
      <c r="D668" s="339"/>
      <c r="E668" s="339"/>
      <c r="F668" s="339"/>
      <c r="G668" s="340"/>
      <c r="H668" s="339"/>
      <c r="I668" s="339"/>
      <c r="J668" s="340"/>
      <c r="K668" s="339"/>
      <c r="L668" s="341"/>
      <c r="M668" s="339"/>
      <c r="N668" s="341"/>
      <c r="O668" s="341"/>
      <c r="P668" s="339"/>
      <c r="Q668" s="341"/>
      <c r="R668" s="340"/>
      <c r="S668" s="339"/>
      <c r="T668" s="341"/>
      <c r="U668" s="339"/>
      <c r="V668" s="339"/>
      <c r="W668" s="339"/>
      <c r="X668" s="340"/>
      <c r="Y668" s="339"/>
      <c r="Z668" s="339"/>
      <c r="AA668" s="339"/>
      <c r="AB668" s="342"/>
    </row>
    <row r="669" spans="1:28" ht="15.75" customHeight="1">
      <c r="A669" s="339"/>
      <c r="B669" s="339"/>
      <c r="C669" s="339"/>
      <c r="D669" s="339"/>
      <c r="E669" s="339"/>
      <c r="F669" s="339"/>
      <c r="G669" s="340"/>
      <c r="H669" s="339"/>
      <c r="I669" s="339"/>
      <c r="J669" s="340"/>
      <c r="K669" s="339"/>
      <c r="L669" s="341"/>
      <c r="M669" s="339"/>
      <c r="N669" s="341"/>
      <c r="O669" s="341"/>
      <c r="P669" s="339"/>
      <c r="Q669" s="341"/>
      <c r="R669" s="340"/>
      <c r="S669" s="339"/>
      <c r="T669" s="341"/>
      <c r="U669" s="339"/>
      <c r="V669" s="339"/>
      <c r="W669" s="339"/>
      <c r="X669" s="340"/>
      <c r="Y669" s="339"/>
      <c r="Z669" s="339"/>
      <c r="AA669" s="339"/>
      <c r="AB669" s="342"/>
    </row>
    <row r="670" spans="1:28" ht="15.75" customHeight="1">
      <c r="A670" s="339"/>
      <c r="B670" s="339"/>
      <c r="C670" s="339"/>
      <c r="D670" s="339"/>
      <c r="E670" s="339"/>
      <c r="F670" s="339"/>
      <c r="G670" s="340"/>
      <c r="H670" s="339"/>
      <c r="I670" s="339"/>
      <c r="J670" s="340"/>
      <c r="K670" s="339"/>
      <c r="L670" s="341"/>
      <c r="M670" s="339"/>
      <c r="N670" s="341"/>
      <c r="O670" s="341"/>
      <c r="P670" s="339"/>
      <c r="Q670" s="341"/>
      <c r="R670" s="340"/>
      <c r="S670" s="339"/>
      <c r="T670" s="341"/>
      <c r="U670" s="339"/>
      <c r="V670" s="339"/>
      <c r="W670" s="339"/>
      <c r="X670" s="340"/>
      <c r="Y670" s="339"/>
      <c r="Z670" s="339"/>
      <c r="AA670" s="339"/>
      <c r="AB670" s="342"/>
    </row>
    <row r="671" spans="1:28" ht="15.75" customHeight="1">
      <c r="A671" s="339"/>
      <c r="B671" s="339"/>
      <c r="C671" s="339"/>
      <c r="D671" s="339"/>
      <c r="E671" s="339"/>
      <c r="F671" s="339"/>
      <c r="G671" s="340"/>
      <c r="H671" s="339"/>
      <c r="I671" s="339"/>
      <c r="J671" s="340"/>
      <c r="K671" s="339"/>
      <c r="L671" s="341"/>
      <c r="M671" s="339"/>
      <c r="N671" s="341"/>
      <c r="O671" s="341"/>
      <c r="P671" s="339"/>
      <c r="Q671" s="341"/>
      <c r="R671" s="340"/>
      <c r="S671" s="339"/>
      <c r="T671" s="341"/>
      <c r="U671" s="339"/>
      <c r="V671" s="339"/>
      <c r="W671" s="339"/>
      <c r="X671" s="340"/>
      <c r="Y671" s="339"/>
      <c r="Z671" s="339"/>
      <c r="AA671" s="339"/>
      <c r="AB671" s="342"/>
    </row>
    <row r="672" spans="1:28" ht="15.75" customHeight="1">
      <c r="A672" s="339"/>
      <c r="B672" s="339"/>
      <c r="C672" s="339"/>
      <c r="D672" s="339"/>
      <c r="E672" s="339"/>
      <c r="F672" s="339"/>
      <c r="G672" s="340"/>
      <c r="H672" s="339"/>
      <c r="I672" s="339"/>
      <c r="J672" s="340"/>
      <c r="K672" s="339"/>
      <c r="L672" s="341"/>
      <c r="M672" s="339"/>
      <c r="N672" s="341"/>
      <c r="O672" s="341"/>
      <c r="P672" s="339"/>
      <c r="Q672" s="341"/>
      <c r="R672" s="340"/>
      <c r="S672" s="339"/>
      <c r="T672" s="341"/>
      <c r="U672" s="339"/>
      <c r="V672" s="339"/>
      <c r="W672" s="339"/>
      <c r="X672" s="340"/>
      <c r="Y672" s="339"/>
      <c r="Z672" s="339"/>
      <c r="AA672" s="339"/>
      <c r="AB672" s="342"/>
    </row>
    <row r="673" spans="1:28" ht="15.75" customHeight="1">
      <c r="A673" s="339"/>
      <c r="B673" s="339"/>
      <c r="C673" s="339"/>
      <c r="D673" s="339"/>
      <c r="E673" s="339"/>
      <c r="F673" s="339"/>
      <c r="G673" s="340"/>
      <c r="H673" s="339"/>
      <c r="I673" s="339"/>
      <c r="J673" s="340"/>
      <c r="K673" s="339"/>
      <c r="L673" s="341"/>
      <c r="M673" s="339"/>
      <c r="N673" s="341"/>
      <c r="O673" s="341"/>
      <c r="P673" s="339"/>
      <c r="Q673" s="341"/>
      <c r="R673" s="340"/>
      <c r="S673" s="339"/>
      <c r="T673" s="341"/>
      <c r="U673" s="339"/>
      <c r="V673" s="339"/>
      <c r="W673" s="339"/>
      <c r="X673" s="340"/>
      <c r="Y673" s="339"/>
      <c r="Z673" s="339"/>
      <c r="AA673" s="339"/>
      <c r="AB673" s="342"/>
    </row>
    <row r="674" spans="1:28" ht="15.75" customHeight="1">
      <c r="A674" s="339"/>
      <c r="B674" s="339"/>
      <c r="C674" s="339"/>
      <c r="D674" s="339"/>
      <c r="E674" s="339"/>
      <c r="F674" s="339"/>
      <c r="G674" s="340"/>
      <c r="H674" s="339"/>
      <c r="I674" s="339"/>
      <c r="J674" s="340"/>
      <c r="K674" s="339"/>
      <c r="L674" s="341"/>
      <c r="M674" s="339"/>
      <c r="N674" s="341"/>
      <c r="O674" s="341"/>
      <c r="P674" s="339"/>
      <c r="Q674" s="341"/>
      <c r="R674" s="340"/>
      <c r="S674" s="339"/>
      <c r="T674" s="341"/>
      <c r="U674" s="339"/>
      <c r="V674" s="339"/>
      <c r="W674" s="339"/>
      <c r="X674" s="340"/>
      <c r="Y674" s="339"/>
      <c r="Z674" s="339"/>
      <c r="AA674" s="339"/>
      <c r="AB674" s="342"/>
    </row>
    <row r="675" spans="1:28" ht="15.75" customHeight="1">
      <c r="A675" s="339"/>
      <c r="B675" s="339"/>
      <c r="C675" s="339"/>
      <c r="D675" s="339"/>
      <c r="E675" s="339"/>
      <c r="F675" s="339"/>
      <c r="G675" s="340"/>
      <c r="H675" s="339"/>
      <c r="I675" s="339"/>
      <c r="J675" s="340"/>
      <c r="K675" s="339"/>
      <c r="L675" s="341"/>
      <c r="M675" s="339"/>
      <c r="N675" s="341"/>
      <c r="O675" s="341"/>
      <c r="P675" s="339"/>
      <c r="Q675" s="341"/>
      <c r="R675" s="340"/>
      <c r="S675" s="339"/>
      <c r="T675" s="341"/>
      <c r="U675" s="339"/>
      <c r="V675" s="339"/>
      <c r="W675" s="339"/>
      <c r="X675" s="340"/>
      <c r="Y675" s="339"/>
      <c r="Z675" s="339"/>
      <c r="AA675" s="339"/>
      <c r="AB675" s="342"/>
    </row>
    <row r="676" spans="1:28" ht="15.75" customHeight="1">
      <c r="A676" s="339"/>
      <c r="B676" s="339"/>
      <c r="C676" s="339"/>
      <c r="D676" s="339"/>
      <c r="E676" s="339"/>
      <c r="F676" s="339"/>
      <c r="G676" s="340"/>
      <c r="H676" s="339"/>
      <c r="I676" s="339"/>
      <c r="J676" s="340"/>
      <c r="K676" s="339"/>
      <c r="L676" s="341"/>
      <c r="M676" s="339"/>
      <c r="N676" s="341"/>
      <c r="O676" s="341"/>
      <c r="P676" s="339"/>
      <c r="Q676" s="341"/>
      <c r="R676" s="340"/>
      <c r="S676" s="339"/>
      <c r="T676" s="341"/>
      <c r="U676" s="339"/>
      <c r="V676" s="339"/>
      <c r="W676" s="339"/>
      <c r="X676" s="340"/>
      <c r="Y676" s="339"/>
      <c r="Z676" s="339"/>
      <c r="AA676" s="339"/>
      <c r="AB676" s="342"/>
    </row>
    <row r="677" spans="1:28" ht="15.75" customHeight="1">
      <c r="A677" s="339"/>
      <c r="B677" s="339"/>
      <c r="C677" s="339"/>
      <c r="D677" s="339"/>
      <c r="E677" s="339"/>
      <c r="F677" s="339"/>
      <c r="G677" s="340"/>
      <c r="H677" s="339"/>
      <c r="I677" s="339"/>
      <c r="J677" s="340"/>
      <c r="K677" s="339"/>
      <c r="L677" s="341"/>
      <c r="M677" s="339"/>
      <c r="N677" s="341"/>
      <c r="O677" s="341"/>
      <c r="P677" s="339"/>
      <c r="Q677" s="341"/>
      <c r="R677" s="340"/>
      <c r="S677" s="339"/>
      <c r="T677" s="341"/>
      <c r="U677" s="339"/>
      <c r="V677" s="339"/>
      <c r="W677" s="339"/>
      <c r="X677" s="340"/>
      <c r="Y677" s="339"/>
      <c r="Z677" s="339"/>
      <c r="AA677" s="339"/>
      <c r="AB677" s="342"/>
    </row>
    <row r="678" spans="1:28" ht="15.75" customHeight="1">
      <c r="A678" s="339"/>
      <c r="B678" s="339"/>
      <c r="C678" s="339"/>
      <c r="D678" s="339"/>
      <c r="E678" s="339"/>
      <c r="F678" s="339"/>
      <c r="G678" s="340"/>
      <c r="H678" s="339"/>
      <c r="I678" s="339"/>
      <c r="J678" s="340"/>
      <c r="K678" s="339"/>
      <c r="L678" s="341"/>
      <c r="M678" s="339"/>
      <c r="N678" s="341"/>
      <c r="O678" s="341"/>
      <c r="P678" s="339"/>
      <c r="Q678" s="341"/>
      <c r="R678" s="340"/>
      <c r="S678" s="339"/>
      <c r="T678" s="341"/>
      <c r="U678" s="339"/>
      <c r="V678" s="339"/>
      <c r="W678" s="339"/>
      <c r="X678" s="340"/>
      <c r="Y678" s="339"/>
      <c r="Z678" s="339"/>
      <c r="AA678" s="339"/>
      <c r="AB678" s="342"/>
    </row>
    <row r="679" spans="1:28" ht="15.75" customHeight="1">
      <c r="A679" s="339"/>
      <c r="B679" s="339"/>
      <c r="C679" s="339"/>
      <c r="D679" s="339"/>
      <c r="E679" s="339"/>
      <c r="F679" s="339"/>
      <c r="G679" s="340"/>
      <c r="H679" s="339"/>
      <c r="I679" s="339"/>
      <c r="J679" s="340"/>
      <c r="K679" s="339"/>
      <c r="L679" s="341"/>
      <c r="M679" s="339"/>
      <c r="N679" s="341"/>
      <c r="O679" s="341"/>
      <c r="P679" s="339"/>
      <c r="Q679" s="341"/>
      <c r="R679" s="340"/>
      <c r="S679" s="339"/>
      <c r="T679" s="341"/>
      <c r="U679" s="339"/>
      <c r="V679" s="339"/>
      <c r="W679" s="339"/>
      <c r="X679" s="340"/>
      <c r="Y679" s="339"/>
      <c r="Z679" s="339"/>
      <c r="AA679" s="339"/>
      <c r="AB679" s="342"/>
    </row>
    <row r="680" spans="1:28" ht="15.75" customHeight="1">
      <c r="A680" s="339"/>
      <c r="B680" s="339"/>
      <c r="C680" s="339"/>
      <c r="D680" s="339"/>
      <c r="E680" s="339"/>
      <c r="F680" s="339"/>
      <c r="G680" s="340"/>
      <c r="H680" s="339"/>
      <c r="I680" s="339"/>
      <c r="J680" s="340"/>
      <c r="K680" s="339"/>
      <c r="L680" s="341"/>
      <c r="M680" s="339"/>
      <c r="N680" s="341"/>
      <c r="O680" s="341"/>
      <c r="P680" s="339"/>
      <c r="Q680" s="341"/>
      <c r="R680" s="340"/>
      <c r="S680" s="339"/>
      <c r="T680" s="341"/>
      <c r="U680" s="339"/>
      <c r="V680" s="339"/>
      <c r="W680" s="339"/>
      <c r="X680" s="340"/>
      <c r="Y680" s="339"/>
      <c r="Z680" s="339"/>
      <c r="AA680" s="339"/>
      <c r="AB680" s="342"/>
    </row>
    <row r="681" spans="1:28" ht="15.75" customHeight="1">
      <c r="A681" s="339"/>
      <c r="B681" s="339"/>
      <c r="C681" s="339"/>
      <c r="D681" s="339"/>
      <c r="E681" s="339"/>
      <c r="F681" s="339"/>
      <c r="G681" s="340"/>
      <c r="H681" s="339"/>
      <c r="I681" s="339"/>
      <c r="J681" s="340"/>
      <c r="K681" s="339"/>
      <c r="L681" s="341"/>
      <c r="M681" s="339"/>
      <c r="N681" s="341"/>
      <c r="O681" s="341"/>
      <c r="P681" s="339"/>
      <c r="Q681" s="341"/>
      <c r="R681" s="340"/>
      <c r="S681" s="339"/>
      <c r="T681" s="341"/>
      <c r="U681" s="339"/>
      <c r="V681" s="339"/>
      <c r="W681" s="339"/>
      <c r="X681" s="340"/>
      <c r="Y681" s="339"/>
      <c r="Z681" s="339"/>
      <c r="AA681" s="339"/>
      <c r="AB681" s="342"/>
    </row>
    <row r="682" spans="1:28" ht="15.75" customHeight="1">
      <c r="A682" s="339"/>
      <c r="B682" s="339"/>
      <c r="C682" s="339"/>
      <c r="D682" s="339"/>
      <c r="E682" s="339"/>
      <c r="F682" s="339"/>
      <c r="G682" s="340"/>
      <c r="H682" s="339"/>
      <c r="I682" s="339"/>
      <c r="J682" s="340"/>
      <c r="K682" s="339"/>
      <c r="L682" s="341"/>
      <c r="M682" s="339"/>
      <c r="N682" s="341"/>
      <c r="O682" s="341"/>
      <c r="P682" s="339"/>
      <c r="Q682" s="341"/>
      <c r="R682" s="340"/>
      <c r="S682" s="339"/>
      <c r="T682" s="341"/>
      <c r="U682" s="339"/>
      <c r="V682" s="339"/>
      <c r="W682" s="339"/>
      <c r="X682" s="340"/>
      <c r="Y682" s="339"/>
      <c r="Z682" s="339"/>
      <c r="AA682" s="339"/>
      <c r="AB682" s="342"/>
    </row>
    <row r="683" spans="1:28" ht="15.75" customHeight="1">
      <c r="A683" s="339"/>
      <c r="B683" s="339"/>
      <c r="C683" s="339"/>
      <c r="D683" s="339"/>
      <c r="E683" s="339"/>
      <c r="F683" s="339"/>
      <c r="G683" s="340"/>
      <c r="H683" s="339"/>
      <c r="I683" s="339"/>
      <c r="J683" s="340"/>
      <c r="K683" s="339"/>
      <c r="L683" s="341"/>
      <c r="M683" s="339"/>
      <c r="N683" s="341"/>
      <c r="O683" s="341"/>
      <c r="P683" s="339"/>
      <c r="Q683" s="341"/>
      <c r="R683" s="340"/>
      <c r="S683" s="339"/>
      <c r="T683" s="341"/>
      <c r="U683" s="339"/>
      <c r="V683" s="339"/>
      <c r="W683" s="339"/>
      <c r="X683" s="340"/>
      <c r="Y683" s="339"/>
      <c r="Z683" s="339"/>
      <c r="AA683" s="339"/>
      <c r="AB683" s="342"/>
    </row>
    <row r="684" spans="1:28" ht="15.75" customHeight="1">
      <c r="A684" s="339"/>
      <c r="B684" s="339"/>
      <c r="C684" s="339"/>
      <c r="D684" s="339"/>
      <c r="E684" s="339"/>
      <c r="F684" s="339"/>
      <c r="G684" s="340"/>
      <c r="H684" s="339"/>
      <c r="I684" s="339"/>
      <c r="J684" s="340"/>
      <c r="K684" s="339"/>
      <c r="L684" s="341"/>
      <c r="M684" s="339"/>
      <c r="N684" s="341"/>
      <c r="O684" s="341"/>
      <c r="P684" s="339"/>
      <c r="Q684" s="341"/>
      <c r="R684" s="340"/>
      <c r="S684" s="339"/>
      <c r="T684" s="341"/>
      <c r="U684" s="339"/>
      <c r="V684" s="339"/>
      <c r="W684" s="339"/>
      <c r="X684" s="340"/>
      <c r="Y684" s="339"/>
      <c r="Z684" s="339"/>
      <c r="AA684" s="339"/>
      <c r="AB684" s="342"/>
    </row>
    <row r="685" spans="1:28" ht="15.75" customHeight="1">
      <c r="A685" s="339"/>
      <c r="B685" s="339"/>
      <c r="C685" s="339"/>
      <c r="D685" s="339"/>
      <c r="E685" s="339"/>
      <c r="F685" s="339"/>
      <c r="G685" s="340"/>
      <c r="H685" s="339"/>
      <c r="I685" s="339"/>
      <c r="J685" s="340"/>
      <c r="K685" s="339"/>
      <c r="L685" s="341"/>
      <c r="M685" s="339"/>
      <c r="N685" s="341"/>
      <c r="O685" s="341"/>
      <c r="P685" s="339"/>
      <c r="Q685" s="341"/>
      <c r="R685" s="340"/>
      <c r="S685" s="339"/>
      <c r="T685" s="341"/>
      <c r="U685" s="339"/>
      <c r="V685" s="339"/>
      <c r="W685" s="339"/>
      <c r="X685" s="340"/>
      <c r="Y685" s="339"/>
      <c r="Z685" s="339"/>
      <c r="AA685" s="339"/>
      <c r="AB685" s="342"/>
    </row>
    <row r="686" spans="1:28" ht="15.75" customHeight="1">
      <c r="A686" s="339"/>
      <c r="B686" s="339"/>
      <c r="C686" s="339"/>
      <c r="D686" s="339"/>
      <c r="E686" s="339"/>
      <c r="F686" s="339"/>
      <c r="G686" s="340"/>
      <c r="H686" s="339"/>
      <c r="I686" s="339"/>
      <c r="J686" s="340"/>
      <c r="K686" s="339"/>
      <c r="L686" s="341"/>
      <c r="M686" s="339"/>
      <c r="N686" s="341"/>
      <c r="O686" s="341"/>
      <c r="P686" s="339"/>
      <c r="Q686" s="341"/>
      <c r="R686" s="340"/>
      <c r="S686" s="339"/>
      <c r="T686" s="341"/>
      <c r="U686" s="339"/>
      <c r="V686" s="339"/>
      <c r="W686" s="339"/>
      <c r="X686" s="340"/>
      <c r="Y686" s="339"/>
      <c r="Z686" s="339"/>
      <c r="AA686" s="339"/>
      <c r="AB686" s="342"/>
    </row>
    <row r="687" spans="1:28" ht="15.75" customHeight="1">
      <c r="A687" s="339"/>
      <c r="B687" s="339"/>
      <c r="C687" s="339"/>
      <c r="D687" s="339"/>
      <c r="E687" s="339"/>
      <c r="F687" s="339"/>
      <c r="G687" s="340"/>
      <c r="H687" s="339"/>
      <c r="I687" s="339"/>
      <c r="J687" s="340"/>
      <c r="K687" s="339"/>
      <c r="L687" s="341"/>
      <c r="M687" s="339"/>
      <c r="N687" s="341"/>
      <c r="O687" s="341"/>
      <c r="P687" s="339"/>
      <c r="Q687" s="341"/>
      <c r="R687" s="340"/>
      <c r="S687" s="339"/>
      <c r="T687" s="341"/>
      <c r="U687" s="339"/>
      <c r="V687" s="339"/>
      <c r="W687" s="339"/>
      <c r="X687" s="340"/>
      <c r="Y687" s="339"/>
      <c r="Z687" s="339"/>
      <c r="AA687" s="339"/>
      <c r="AB687" s="342"/>
    </row>
    <row r="688" spans="1:28" ht="15.75" customHeight="1">
      <c r="A688" s="339"/>
      <c r="B688" s="339"/>
      <c r="C688" s="339"/>
      <c r="D688" s="339"/>
      <c r="E688" s="339"/>
      <c r="F688" s="339"/>
      <c r="G688" s="340"/>
      <c r="H688" s="339"/>
      <c r="I688" s="339"/>
      <c r="J688" s="340"/>
      <c r="K688" s="339"/>
      <c r="L688" s="341"/>
      <c r="M688" s="339"/>
      <c r="N688" s="341"/>
      <c r="O688" s="341"/>
      <c r="P688" s="339"/>
      <c r="Q688" s="341"/>
      <c r="R688" s="340"/>
      <c r="S688" s="339"/>
      <c r="T688" s="341"/>
      <c r="U688" s="339"/>
      <c r="V688" s="339"/>
      <c r="W688" s="339"/>
      <c r="X688" s="340"/>
      <c r="Y688" s="339"/>
      <c r="Z688" s="339"/>
      <c r="AA688" s="339"/>
      <c r="AB688" s="342"/>
    </row>
    <row r="689" spans="1:28" ht="15.75" customHeight="1">
      <c r="A689" s="339"/>
      <c r="B689" s="339"/>
      <c r="C689" s="339"/>
      <c r="D689" s="339"/>
      <c r="E689" s="339"/>
      <c r="F689" s="339"/>
      <c r="G689" s="340"/>
      <c r="H689" s="339"/>
      <c r="I689" s="339"/>
      <c r="J689" s="340"/>
      <c r="K689" s="339"/>
      <c r="L689" s="341"/>
      <c r="M689" s="339"/>
      <c r="N689" s="341"/>
      <c r="O689" s="341"/>
      <c r="P689" s="339"/>
      <c r="Q689" s="341"/>
      <c r="R689" s="340"/>
      <c r="S689" s="339"/>
      <c r="T689" s="341"/>
      <c r="U689" s="339"/>
      <c r="V689" s="339"/>
      <c r="W689" s="339"/>
      <c r="X689" s="340"/>
      <c r="Y689" s="339"/>
      <c r="Z689" s="339"/>
      <c r="AA689" s="339"/>
      <c r="AB689" s="342"/>
    </row>
    <row r="690" spans="1:28" ht="15.75" customHeight="1">
      <c r="A690" s="339"/>
      <c r="B690" s="339"/>
      <c r="C690" s="339"/>
      <c r="D690" s="339"/>
      <c r="E690" s="339"/>
      <c r="F690" s="339"/>
      <c r="G690" s="340"/>
      <c r="H690" s="339"/>
      <c r="I690" s="339"/>
      <c r="J690" s="340"/>
      <c r="K690" s="339"/>
      <c r="L690" s="341"/>
      <c r="M690" s="339"/>
      <c r="N690" s="341"/>
      <c r="O690" s="341"/>
      <c r="P690" s="339"/>
      <c r="Q690" s="341"/>
      <c r="R690" s="340"/>
      <c r="S690" s="339"/>
      <c r="T690" s="341"/>
      <c r="U690" s="339"/>
      <c r="V690" s="339"/>
      <c r="W690" s="339"/>
      <c r="X690" s="340"/>
      <c r="Y690" s="339"/>
      <c r="Z690" s="339"/>
      <c r="AA690" s="339"/>
      <c r="AB690" s="342"/>
    </row>
    <row r="691" spans="1:28" ht="15.75" customHeight="1">
      <c r="A691" s="339"/>
      <c r="B691" s="339"/>
      <c r="C691" s="339"/>
      <c r="D691" s="339"/>
      <c r="E691" s="339"/>
      <c r="F691" s="339"/>
      <c r="G691" s="340"/>
      <c r="H691" s="339"/>
      <c r="I691" s="339"/>
      <c r="J691" s="340"/>
      <c r="K691" s="339"/>
      <c r="L691" s="341"/>
      <c r="M691" s="339"/>
      <c r="N691" s="341"/>
      <c r="O691" s="341"/>
      <c r="P691" s="339"/>
      <c r="Q691" s="341"/>
      <c r="R691" s="340"/>
      <c r="S691" s="339"/>
      <c r="T691" s="341"/>
      <c r="U691" s="339"/>
      <c r="V691" s="339"/>
      <c r="W691" s="339"/>
      <c r="X691" s="340"/>
      <c r="Y691" s="339"/>
      <c r="Z691" s="339"/>
      <c r="AA691" s="339"/>
      <c r="AB691" s="342"/>
    </row>
    <row r="692" spans="1:28" ht="15.75" customHeight="1">
      <c r="A692" s="339"/>
      <c r="B692" s="339"/>
      <c r="C692" s="339"/>
      <c r="D692" s="339"/>
      <c r="E692" s="339"/>
      <c r="F692" s="339"/>
      <c r="G692" s="340"/>
      <c r="H692" s="339"/>
      <c r="I692" s="339"/>
      <c r="J692" s="340"/>
      <c r="K692" s="339"/>
      <c r="L692" s="341"/>
      <c r="M692" s="339"/>
      <c r="N692" s="341"/>
      <c r="O692" s="341"/>
      <c r="P692" s="339"/>
      <c r="Q692" s="341"/>
      <c r="R692" s="340"/>
      <c r="S692" s="339"/>
      <c r="T692" s="341"/>
      <c r="U692" s="339"/>
      <c r="V692" s="339"/>
      <c r="W692" s="339"/>
      <c r="X692" s="340"/>
      <c r="Y692" s="339"/>
      <c r="Z692" s="339"/>
      <c r="AA692" s="339"/>
      <c r="AB692" s="342"/>
    </row>
    <row r="693" spans="1:28" ht="15.75" customHeight="1">
      <c r="A693" s="339"/>
      <c r="B693" s="339"/>
      <c r="C693" s="339"/>
      <c r="D693" s="339"/>
      <c r="E693" s="339"/>
      <c r="F693" s="339"/>
      <c r="G693" s="340"/>
      <c r="H693" s="339"/>
      <c r="I693" s="339"/>
      <c r="J693" s="340"/>
      <c r="K693" s="339"/>
      <c r="L693" s="341"/>
      <c r="M693" s="339"/>
      <c r="N693" s="341"/>
      <c r="O693" s="341"/>
      <c r="P693" s="339"/>
      <c r="Q693" s="341"/>
      <c r="R693" s="340"/>
      <c r="S693" s="339"/>
      <c r="T693" s="341"/>
      <c r="U693" s="339"/>
      <c r="V693" s="339"/>
      <c r="W693" s="339"/>
      <c r="X693" s="340"/>
      <c r="Y693" s="339"/>
      <c r="Z693" s="339"/>
      <c r="AA693" s="339"/>
      <c r="AB693" s="342"/>
    </row>
    <row r="694" spans="1:28" ht="15.75" customHeight="1">
      <c r="A694" s="339"/>
      <c r="B694" s="339"/>
      <c r="C694" s="339"/>
      <c r="D694" s="339"/>
      <c r="E694" s="339"/>
      <c r="F694" s="339"/>
      <c r="G694" s="340"/>
      <c r="H694" s="339"/>
      <c r="I694" s="339"/>
      <c r="J694" s="340"/>
      <c r="K694" s="339"/>
      <c r="L694" s="341"/>
      <c r="M694" s="339"/>
      <c r="N694" s="341"/>
      <c r="O694" s="341"/>
      <c r="P694" s="339"/>
      <c r="Q694" s="341"/>
      <c r="R694" s="340"/>
      <c r="S694" s="339"/>
      <c r="T694" s="341"/>
      <c r="U694" s="339"/>
      <c r="V694" s="339"/>
      <c r="W694" s="339"/>
      <c r="X694" s="340"/>
      <c r="Y694" s="339"/>
      <c r="Z694" s="339"/>
      <c r="AA694" s="339"/>
      <c r="AB694" s="342"/>
    </row>
    <row r="695" spans="1:28" ht="15.75" customHeight="1">
      <c r="A695" s="339"/>
      <c r="B695" s="339"/>
      <c r="C695" s="339"/>
      <c r="D695" s="339"/>
      <c r="E695" s="339"/>
      <c r="F695" s="339"/>
      <c r="G695" s="340"/>
      <c r="H695" s="339"/>
      <c r="I695" s="339"/>
      <c r="J695" s="340"/>
      <c r="K695" s="339"/>
      <c r="L695" s="341"/>
      <c r="M695" s="339"/>
      <c r="N695" s="341"/>
      <c r="O695" s="341"/>
      <c r="P695" s="339"/>
      <c r="Q695" s="341"/>
      <c r="R695" s="340"/>
      <c r="S695" s="339"/>
      <c r="T695" s="341"/>
      <c r="U695" s="339"/>
      <c r="V695" s="339"/>
      <c r="W695" s="339"/>
      <c r="X695" s="340"/>
      <c r="Y695" s="339"/>
      <c r="Z695" s="339"/>
      <c r="AA695" s="339"/>
      <c r="AB695" s="342"/>
    </row>
    <row r="696" spans="1:28" ht="15.75" customHeight="1">
      <c r="A696" s="339"/>
      <c r="B696" s="339"/>
      <c r="C696" s="339"/>
      <c r="D696" s="339"/>
      <c r="E696" s="339"/>
      <c r="F696" s="339"/>
      <c r="G696" s="340"/>
      <c r="H696" s="339"/>
      <c r="I696" s="339"/>
      <c r="J696" s="340"/>
      <c r="K696" s="339"/>
      <c r="L696" s="341"/>
      <c r="M696" s="339"/>
      <c r="N696" s="341"/>
      <c r="O696" s="341"/>
      <c r="P696" s="339"/>
      <c r="Q696" s="341"/>
      <c r="R696" s="340"/>
      <c r="S696" s="339"/>
      <c r="T696" s="341"/>
      <c r="U696" s="339"/>
      <c r="V696" s="339"/>
      <c r="W696" s="339"/>
      <c r="X696" s="340"/>
      <c r="Y696" s="339"/>
      <c r="Z696" s="339"/>
      <c r="AA696" s="339"/>
      <c r="AB696" s="342"/>
    </row>
    <row r="697" spans="1:28" ht="15.75" customHeight="1">
      <c r="A697" s="339"/>
      <c r="B697" s="339"/>
      <c r="C697" s="339"/>
      <c r="D697" s="339"/>
      <c r="E697" s="339"/>
      <c r="F697" s="339"/>
      <c r="G697" s="340"/>
      <c r="H697" s="339"/>
      <c r="I697" s="339"/>
      <c r="J697" s="340"/>
      <c r="K697" s="339"/>
      <c r="L697" s="341"/>
      <c r="M697" s="339"/>
      <c r="N697" s="341"/>
      <c r="O697" s="341"/>
      <c r="P697" s="339"/>
      <c r="Q697" s="341"/>
      <c r="R697" s="340"/>
      <c r="S697" s="339"/>
      <c r="T697" s="341"/>
      <c r="U697" s="339"/>
      <c r="V697" s="339"/>
      <c r="W697" s="339"/>
      <c r="X697" s="340"/>
      <c r="Y697" s="339"/>
      <c r="Z697" s="339"/>
      <c r="AA697" s="339"/>
      <c r="AB697" s="342"/>
    </row>
    <row r="698" spans="1:28" ht="15.75" customHeight="1">
      <c r="A698" s="339"/>
      <c r="B698" s="339"/>
      <c r="C698" s="339"/>
      <c r="D698" s="339"/>
      <c r="E698" s="339"/>
      <c r="F698" s="339"/>
      <c r="G698" s="340"/>
      <c r="H698" s="339"/>
      <c r="I698" s="339"/>
      <c r="J698" s="340"/>
      <c r="K698" s="339"/>
      <c r="L698" s="341"/>
      <c r="M698" s="339"/>
      <c r="N698" s="341"/>
      <c r="O698" s="341"/>
      <c r="P698" s="339"/>
      <c r="Q698" s="341"/>
      <c r="R698" s="340"/>
      <c r="S698" s="339"/>
      <c r="T698" s="341"/>
      <c r="U698" s="339"/>
      <c r="V698" s="339"/>
      <c r="W698" s="339"/>
      <c r="X698" s="340"/>
      <c r="Y698" s="339"/>
      <c r="Z698" s="339"/>
      <c r="AA698" s="339"/>
      <c r="AB698" s="342"/>
    </row>
    <row r="699" spans="1:28" ht="15.75" customHeight="1">
      <c r="A699" s="339"/>
      <c r="B699" s="339"/>
      <c r="C699" s="339"/>
      <c r="D699" s="339"/>
      <c r="E699" s="339"/>
      <c r="F699" s="339"/>
      <c r="G699" s="340"/>
      <c r="H699" s="339"/>
      <c r="I699" s="339"/>
      <c r="J699" s="340"/>
      <c r="K699" s="339"/>
      <c r="L699" s="341"/>
      <c r="M699" s="339"/>
      <c r="N699" s="341"/>
      <c r="O699" s="341"/>
      <c r="P699" s="339"/>
      <c r="Q699" s="341"/>
      <c r="R699" s="340"/>
      <c r="S699" s="339"/>
      <c r="T699" s="341"/>
      <c r="U699" s="339"/>
      <c r="V699" s="339"/>
      <c r="W699" s="339"/>
      <c r="X699" s="340"/>
      <c r="Y699" s="339"/>
      <c r="Z699" s="339"/>
      <c r="AA699" s="339"/>
      <c r="AB699" s="342"/>
    </row>
    <row r="700" spans="1:28" ht="15.75" customHeight="1">
      <c r="A700" s="339"/>
      <c r="B700" s="339"/>
      <c r="C700" s="339"/>
      <c r="D700" s="339"/>
      <c r="E700" s="339"/>
      <c r="F700" s="339"/>
      <c r="G700" s="340"/>
      <c r="H700" s="339"/>
      <c r="I700" s="339"/>
      <c r="J700" s="340"/>
      <c r="K700" s="339"/>
      <c r="L700" s="341"/>
      <c r="M700" s="339"/>
      <c r="N700" s="341"/>
      <c r="O700" s="341"/>
      <c r="P700" s="339"/>
      <c r="Q700" s="341"/>
      <c r="R700" s="340"/>
      <c r="S700" s="339"/>
      <c r="T700" s="341"/>
      <c r="U700" s="339"/>
      <c r="V700" s="339"/>
      <c r="W700" s="339"/>
      <c r="X700" s="340"/>
      <c r="Y700" s="339"/>
      <c r="Z700" s="339"/>
      <c r="AA700" s="339"/>
      <c r="AB700" s="342"/>
    </row>
    <row r="701" spans="1:28" ht="15.75" customHeight="1">
      <c r="A701" s="339"/>
      <c r="B701" s="339"/>
      <c r="C701" s="339"/>
      <c r="D701" s="339"/>
      <c r="E701" s="339"/>
      <c r="F701" s="339"/>
      <c r="G701" s="340"/>
      <c r="H701" s="339"/>
      <c r="I701" s="339"/>
      <c r="J701" s="340"/>
      <c r="K701" s="339"/>
      <c r="L701" s="341"/>
      <c r="M701" s="339"/>
      <c r="N701" s="341"/>
      <c r="O701" s="341"/>
      <c r="P701" s="339"/>
      <c r="Q701" s="341"/>
      <c r="R701" s="340"/>
      <c r="S701" s="339"/>
      <c r="T701" s="341"/>
      <c r="U701" s="339"/>
      <c r="V701" s="339"/>
      <c r="W701" s="339"/>
      <c r="X701" s="340"/>
      <c r="Y701" s="339"/>
      <c r="Z701" s="339"/>
      <c r="AA701" s="339"/>
      <c r="AB701" s="342"/>
    </row>
    <row r="702" spans="1:28" ht="15.75" customHeight="1">
      <c r="A702" s="339"/>
      <c r="B702" s="339"/>
      <c r="C702" s="339"/>
      <c r="D702" s="339"/>
      <c r="E702" s="339"/>
      <c r="F702" s="339"/>
      <c r="G702" s="340"/>
      <c r="H702" s="339"/>
      <c r="I702" s="339"/>
      <c r="J702" s="340"/>
      <c r="K702" s="339"/>
      <c r="L702" s="341"/>
      <c r="M702" s="339"/>
      <c r="N702" s="341"/>
      <c r="O702" s="341"/>
      <c r="P702" s="339"/>
      <c r="Q702" s="341"/>
      <c r="R702" s="340"/>
      <c r="S702" s="339"/>
      <c r="T702" s="341"/>
      <c r="U702" s="339"/>
      <c r="V702" s="339"/>
      <c r="W702" s="339"/>
      <c r="X702" s="340"/>
      <c r="Y702" s="339"/>
      <c r="Z702" s="339"/>
      <c r="AA702" s="339"/>
      <c r="AB702" s="342"/>
    </row>
    <row r="703" spans="1:28" ht="15.75" customHeight="1">
      <c r="A703" s="339"/>
      <c r="B703" s="339"/>
      <c r="C703" s="339"/>
      <c r="D703" s="339"/>
      <c r="E703" s="339"/>
      <c r="F703" s="339"/>
      <c r="G703" s="340"/>
      <c r="H703" s="339"/>
      <c r="I703" s="339"/>
      <c r="J703" s="340"/>
      <c r="K703" s="339"/>
      <c r="L703" s="341"/>
      <c r="M703" s="339"/>
      <c r="N703" s="341"/>
      <c r="O703" s="341"/>
      <c r="P703" s="339"/>
      <c r="Q703" s="341"/>
      <c r="R703" s="340"/>
      <c r="S703" s="339"/>
      <c r="T703" s="341"/>
      <c r="U703" s="339"/>
      <c r="V703" s="339"/>
      <c r="W703" s="339"/>
      <c r="X703" s="340"/>
      <c r="Y703" s="339"/>
      <c r="Z703" s="339"/>
      <c r="AA703" s="339"/>
      <c r="AB703" s="342"/>
    </row>
    <row r="704" spans="1:28" ht="15.75" customHeight="1">
      <c r="A704" s="339"/>
      <c r="B704" s="339"/>
      <c r="C704" s="339"/>
      <c r="D704" s="339"/>
      <c r="E704" s="339"/>
      <c r="F704" s="339"/>
      <c r="G704" s="340"/>
      <c r="H704" s="339"/>
      <c r="I704" s="339"/>
      <c r="J704" s="340"/>
      <c r="K704" s="339"/>
      <c r="L704" s="341"/>
      <c r="M704" s="339"/>
      <c r="N704" s="341"/>
      <c r="O704" s="341"/>
      <c r="P704" s="339"/>
      <c r="Q704" s="341"/>
      <c r="R704" s="340"/>
      <c r="S704" s="339"/>
      <c r="T704" s="341"/>
      <c r="U704" s="339"/>
      <c r="V704" s="339"/>
      <c r="W704" s="339"/>
      <c r="X704" s="340"/>
      <c r="Y704" s="339"/>
      <c r="Z704" s="339"/>
      <c r="AA704" s="339"/>
      <c r="AB704" s="342"/>
    </row>
    <row r="705" spans="1:28" ht="15.75" customHeight="1">
      <c r="A705" s="339"/>
      <c r="B705" s="339"/>
      <c r="C705" s="339"/>
      <c r="D705" s="339"/>
      <c r="E705" s="339"/>
      <c r="F705" s="339"/>
      <c r="G705" s="340"/>
      <c r="H705" s="339"/>
      <c r="I705" s="339"/>
      <c r="J705" s="340"/>
      <c r="K705" s="339"/>
      <c r="L705" s="341"/>
      <c r="M705" s="339"/>
      <c r="N705" s="341"/>
      <c r="O705" s="341"/>
      <c r="P705" s="339"/>
      <c r="Q705" s="341"/>
      <c r="R705" s="340"/>
      <c r="S705" s="339"/>
      <c r="T705" s="341"/>
      <c r="U705" s="339"/>
      <c r="V705" s="339"/>
      <c r="W705" s="339"/>
      <c r="X705" s="340"/>
      <c r="Y705" s="339"/>
      <c r="Z705" s="339"/>
      <c r="AA705" s="339"/>
      <c r="AB705" s="342"/>
    </row>
    <row r="706" spans="1:28" ht="15.75" customHeight="1">
      <c r="A706" s="339"/>
      <c r="B706" s="339"/>
      <c r="C706" s="339"/>
      <c r="D706" s="339"/>
      <c r="E706" s="339"/>
      <c r="F706" s="339"/>
      <c r="G706" s="340"/>
      <c r="H706" s="339"/>
      <c r="I706" s="339"/>
      <c r="J706" s="340"/>
      <c r="K706" s="339"/>
      <c r="L706" s="341"/>
      <c r="M706" s="339"/>
      <c r="N706" s="341"/>
      <c r="O706" s="341"/>
      <c r="P706" s="339"/>
      <c r="Q706" s="341"/>
      <c r="R706" s="340"/>
      <c r="S706" s="339"/>
      <c r="T706" s="341"/>
      <c r="U706" s="339"/>
      <c r="V706" s="339"/>
      <c r="W706" s="339"/>
      <c r="X706" s="340"/>
      <c r="Y706" s="339"/>
      <c r="Z706" s="339"/>
      <c r="AA706" s="339"/>
      <c r="AB706" s="342"/>
    </row>
    <row r="707" spans="1:28" ht="15.75" customHeight="1">
      <c r="A707" s="339"/>
      <c r="B707" s="339"/>
      <c r="C707" s="339"/>
      <c r="D707" s="339"/>
      <c r="E707" s="339"/>
      <c r="F707" s="339"/>
      <c r="G707" s="340"/>
      <c r="H707" s="339"/>
      <c r="I707" s="339"/>
      <c r="J707" s="340"/>
      <c r="K707" s="339"/>
      <c r="L707" s="341"/>
      <c r="M707" s="339"/>
      <c r="N707" s="341"/>
      <c r="O707" s="341"/>
      <c r="P707" s="339"/>
      <c r="Q707" s="341"/>
      <c r="R707" s="340"/>
      <c r="S707" s="339"/>
      <c r="T707" s="341"/>
      <c r="U707" s="339"/>
      <c r="V707" s="339"/>
      <c r="W707" s="339"/>
      <c r="X707" s="340"/>
      <c r="Y707" s="339"/>
      <c r="Z707" s="339"/>
      <c r="AA707" s="339"/>
      <c r="AB707" s="342"/>
    </row>
    <row r="708" spans="1:28" ht="15.75" customHeight="1">
      <c r="A708" s="339"/>
      <c r="B708" s="339"/>
      <c r="C708" s="339"/>
      <c r="D708" s="339"/>
      <c r="E708" s="339"/>
      <c r="F708" s="339"/>
      <c r="G708" s="340"/>
      <c r="H708" s="339"/>
      <c r="I708" s="339"/>
      <c r="J708" s="340"/>
      <c r="K708" s="339"/>
      <c r="L708" s="341"/>
      <c r="M708" s="339"/>
      <c r="N708" s="341"/>
      <c r="O708" s="341"/>
      <c r="P708" s="339"/>
      <c r="Q708" s="341"/>
      <c r="R708" s="340"/>
      <c r="S708" s="339"/>
      <c r="T708" s="341"/>
      <c r="U708" s="339"/>
      <c r="V708" s="339"/>
      <c r="W708" s="339"/>
      <c r="X708" s="340"/>
      <c r="Y708" s="339"/>
      <c r="Z708" s="339"/>
      <c r="AA708" s="339"/>
      <c r="AB708" s="342"/>
    </row>
    <row r="709" spans="1:28" ht="15.75" customHeight="1">
      <c r="A709" s="339"/>
      <c r="B709" s="339"/>
      <c r="C709" s="339"/>
      <c r="D709" s="339"/>
      <c r="E709" s="339"/>
      <c r="F709" s="339"/>
      <c r="G709" s="340"/>
      <c r="H709" s="339"/>
      <c r="I709" s="339"/>
      <c r="J709" s="340"/>
      <c r="K709" s="339"/>
      <c r="L709" s="341"/>
      <c r="M709" s="339"/>
      <c r="N709" s="341"/>
      <c r="O709" s="341"/>
      <c r="P709" s="339"/>
      <c r="Q709" s="341"/>
      <c r="R709" s="340"/>
      <c r="S709" s="339"/>
      <c r="T709" s="341"/>
      <c r="U709" s="339"/>
      <c r="V709" s="339"/>
      <c r="W709" s="339"/>
      <c r="X709" s="340"/>
      <c r="Y709" s="339"/>
      <c r="Z709" s="339"/>
      <c r="AA709" s="339"/>
      <c r="AB709" s="342"/>
    </row>
    <row r="710" spans="1:28" ht="15.75" customHeight="1">
      <c r="A710" s="339"/>
      <c r="B710" s="339"/>
      <c r="C710" s="339"/>
      <c r="D710" s="339"/>
      <c r="E710" s="339"/>
      <c r="F710" s="339"/>
      <c r="G710" s="340"/>
      <c r="H710" s="339"/>
      <c r="I710" s="339"/>
      <c r="J710" s="340"/>
      <c r="K710" s="339"/>
      <c r="L710" s="341"/>
      <c r="M710" s="339"/>
      <c r="N710" s="341"/>
      <c r="O710" s="341"/>
      <c r="P710" s="339"/>
      <c r="Q710" s="341"/>
      <c r="R710" s="340"/>
      <c r="S710" s="339"/>
      <c r="T710" s="341"/>
      <c r="U710" s="339"/>
      <c r="V710" s="339"/>
      <c r="W710" s="339"/>
      <c r="X710" s="340"/>
      <c r="Y710" s="339"/>
      <c r="Z710" s="339"/>
      <c r="AA710" s="339"/>
      <c r="AB710" s="342"/>
    </row>
    <row r="711" spans="1:28" ht="15.75" customHeight="1">
      <c r="A711" s="339"/>
      <c r="B711" s="339"/>
      <c r="C711" s="339"/>
      <c r="D711" s="339"/>
      <c r="E711" s="339"/>
      <c r="F711" s="339"/>
      <c r="G711" s="340"/>
      <c r="H711" s="339"/>
      <c r="I711" s="339"/>
      <c r="J711" s="340"/>
      <c r="K711" s="339"/>
      <c r="L711" s="341"/>
      <c r="M711" s="339"/>
      <c r="N711" s="341"/>
      <c r="O711" s="341"/>
      <c r="P711" s="339"/>
      <c r="Q711" s="341"/>
      <c r="R711" s="340"/>
      <c r="S711" s="339"/>
      <c r="T711" s="341"/>
      <c r="U711" s="339"/>
      <c r="V711" s="339"/>
      <c r="W711" s="339"/>
      <c r="X711" s="340"/>
      <c r="Y711" s="339"/>
      <c r="Z711" s="339"/>
      <c r="AA711" s="339"/>
      <c r="AB711" s="342"/>
    </row>
    <row r="712" spans="1:28" ht="15.75" customHeight="1">
      <c r="A712" s="339"/>
      <c r="B712" s="339"/>
      <c r="C712" s="339"/>
      <c r="D712" s="339"/>
      <c r="E712" s="339"/>
      <c r="F712" s="339"/>
      <c r="G712" s="340"/>
      <c r="H712" s="339"/>
      <c r="I712" s="339"/>
      <c r="J712" s="340"/>
      <c r="K712" s="339"/>
      <c r="L712" s="341"/>
      <c r="M712" s="339"/>
      <c r="N712" s="341"/>
      <c r="O712" s="341"/>
      <c r="P712" s="339"/>
      <c r="Q712" s="341"/>
      <c r="R712" s="340"/>
      <c r="S712" s="339"/>
      <c r="T712" s="341"/>
      <c r="U712" s="339"/>
      <c r="V712" s="339"/>
      <c r="W712" s="339"/>
      <c r="X712" s="340"/>
      <c r="Y712" s="339"/>
      <c r="Z712" s="339"/>
      <c r="AA712" s="339"/>
      <c r="AB712" s="342"/>
    </row>
    <row r="713" spans="1:28" ht="15.75" customHeight="1">
      <c r="A713" s="339"/>
      <c r="B713" s="339"/>
      <c r="C713" s="339"/>
      <c r="D713" s="339"/>
      <c r="E713" s="339"/>
      <c r="F713" s="339"/>
      <c r="G713" s="340"/>
      <c r="H713" s="339"/>
      <c r="I713" s="339"/>
      <c r="J713" s="340"/>
      <c r="K713" s="339"/>
      <c r="L713" s="341"/>
      <c r="M713" s="339"/>
      <c r="N713" s="341"/>
      <c r="O713" s="341"/>
      <c r="P713" s="339"/>
      <c r="Q713" s="341"/>
      <c r="R713" s="340"/>
      <c r="S713" s="339"/>
      <c r="T713" s="341"/>
      <c r="U713" s="339"/>
      <c r="V713" s="339"/>
      <c r="W713" s="339"/>
      <c r="X713" s="340"/>
      <c r="Y713" s="339"/>
      <c r="Z713" s="339"/>
      <c r="AA713" s="339"/>
      <c r="AB713" s="342"/>
    </row>
    <row r="714" spans="1:28" ht="15.75" customHeight="1">
      <c r="A714" s="339"/>
      <c r="B714" s="339"/>
      <c r="C714" s="339"/>
      <c r="D714" s="339"/>
      <c r="E714" s="339"/>
      <c r="F714" s="339"/>
      <c r="G714" s="340"/>
      <c r="H714" s="339"/>
      <c r="I714" s="339"/>
      <c r="J714" s="340"/>
      <c r="K714" s="339"/>
      <c r="L714" s="341"/>
      <c r="M714" s="339"/>
      <c r="N714" s="341"/>
      <c r="O714" s="341"/>
      <c r="P714" s="339"/>
      <c r="Q714" s="341"/>
      <c r="R714" s="340"/>
      <c r="S714" s="339"/>
      <c r="T714" s="341"/>
      <c r="U714" s="339"/>
      <c r="V714" s="339"/>
      <c r="W714" s="339"/>
      <c r="X714" s="340"/>
      <c r="Y714" s="339"/>
      <c r="Z714" s="339"/>
      <c r="AA714" s="339"/>
      <c r="AB714" s="342"/>
    </row>
    <row r="715" spans="1:28" ht="15.75" customHeight="1">
      <c r="A715" s="339"/>
      <c r="B715" s="339"/>
      <c r="C715" s="339"/>
      <c r="D715" s="339"/>
      <c r="E715" s="339"/>
      <c r="F715" s="339"/>
      <c r="G715" s="340"/>
      <c r="H715" s="339"/>
      <c r="I715" s="339"/>
      <c r="J715" s="340"/>
      <c r="K715" s="339"/>
      <c r="L715" s="341"/>
      <c r="M715" s="339"/>
      <c r="N715" s="341"/>
      <c r="O715" s="341"/>
      <c r="P715" s="339"/>
      <c r="Q715" s="341"/>
      <c r="R715" s="340"/>
      <c r="S715" s="339"/>
      <c r="T715" s="341"/>
      <c r="U715" s="339"/>
      <c r="V715" s="339"/>
      <c r="W715" s="339"/>
      <c r="X715" s="340"/>
      <c r="Y715" s="339"/>
      <c r="Z715" s="339"/>
      <c r="AA715" s="339"/>
      <c r="AB715" s="342"/>
    </row>
    <row r="716" spans="1:28" ht="15.75" customHeight="1">
      <c r="A716" s="339"/>
      <c r="B716" s="339"/>
      <c r="C716" s="339"/>
      <c r="D716" s="339"/>
      <c r="E716" s="339"/>
      <c r="F716" s="339"/>
      <c r="G716" s="340"/>
      <c r="H716" s="339"/>
      <c r="I716" s="339"/>
      <c r="J716" s="340"/>
      <c r="K716" s="339"/>
      <c r="L716" s="341"/>
      <c r="M716" s="339"/>
      <c r="N716" s="341"/>
      <c r="O716" s="341"/>
      <c r="P716" s="339"/>
      <c r="Q716" s="341"/>
      <c r="R716" s="340"/>
      <c r="S716" s="339"/>
      <c r="T716" s="341"/>
      <c r="U716" s="339"/>
      <c r="V716" s="339"/>
      <c r="W716" s="339"/>
      <c r="X716" s="340"/>
      <c r="Y716" s="339"/>
      <c r="Z716" s="339"/>
      <c r="AA716" s="339"/>
      <c r="AB716" s="342"/>
    </row>
    <row r="717" spans="1:28" ht="15.75" customHeight="1">
      <c r="A717" s="339"/>
      <c r="B717" s="339"/>
      <c r="C717" s="339"/>
      <c r="D717" s="339"/>
      <c r="E717" s="339"/>
      <c r="F717" s="339"/>
      <c r="G717" s="340"/>
      <c r="H717" s="339"/>
      <c r="I717" s="339"/>
      <c r="J717" s="340"/>
      <c r="K717" s="339"/>
      <c r="L717" s="341"/>
      <c r="M717" s="339"/>
      <c r="N717" s="341"/>
      <c r="O717" s="341"/>
      <c r="P717" s="339"/>
      <c r="Q717" s="341"/>
      <c r="R717" s="340"/>
      <c r="S717" s="339"/>
      <c r="T717" s="341"/>
      <c r="U717" s="339"/>
      <c r="V717" s="339"/>
      <c r="W717" s="339"/>
      <c r="X717" s="340"/>
      <c r="Y717" s="339"/>
      <c r="Z717" s="339"/>
      <c r="AA717" s="339"/>
      <c r="AB717" s="342"/>
    </row>
    <row r="718" spans="1:28" ht="15.75" customHeight="1">
      <c r="A718" s="339"/>
      <c r="B718" s="339"/>
      <c r="C718" s="339"/>
      <c r="D718" s="339"/>
      <c r="E718" s="339"/>
      <c r="F718" s="339"/>
      <c r="G718" s="340"/>
      <c r="H718" s="339"/>
      <c r="I718" s="339"/>
      <c r="J718" s="340"/>
      <c r="K718" s="339"/>
      <c r="L718" s="341"/>
      <c r="M718" s="339"/>
      <c r="N718" s="341"/>
      <c r="O718" s="341"/>
      <c r="P718" s="339"/>
      <c r="Q718" s="341"/>
      <c r="R718" s="340"/>
      <c r="S718" s="339"/>
      <c r="T718" s="341"/>
      <c r="U718" s="339"/>
      <c r="V718" s="339"/>
      <c r="W718" s="339"/>
      <c r="X718" s="340"/>
      <c r="Y718" s="339"/>
      <c r="Z718" s="339"/>
      <c r="AA718" s="339"/>
      <c r="AB718" s="342"/>
    </row>
    <row r="719" spans="1:28" ht="15.75" customHeight="1">
      <c r="A719" s="339"/>
      <c r="B719" s="339"/>
      <c r="C719" s="339"/>
      <c r="D719" s="339"/>
      <c r="E719" s="339"/>
      <c r="F719" s="339"/>
      <c r="G719" s="340"/>
      <c r="H719" s="339"/>
      <c r="I719" s="339"/>
      <c r="J719" s="340"/>
      <c r="K719" s="339"/>
      <c r="L719" s="341"/>
      <c r="M719" s="339"/>
      <c r="N719" s="341"/>
      <c r="O719" s="341"/>
      <c r="P719" s="339"/>
      <c r="Q719" s="341"/>
      <c r="R719" s="340"/>
      <c r="S719" s="339"/>
      <c r="T719" s="341"/>
      <c r="U719" s="339"/>
      <c r="V719" s="339"/>
      <c r="W719" s="339"/>
      <c r="X719" s="340"/>
      <c r="Y719" s="339"/>
      <c r="Z719" s="339"/>
      <c r="AA719" s="339"/>
      <c r="AB719" s="342"/>
    </row>
    <row r="720" spans="1:28" ht="15.75" customHeight="1">
      <c r="A720" s="339"/>
      <c r="B720" s="339"/>
      <c r="C720" s="339"/>
      <c r="D720" s="339"/>
      <c r="E720" s="339"/>
      <c r="F720" s="339"/>
      <c r="G720" s="340"/>
      <c r="H720" s="339"/>
      <c r="I720" s="339"/>
      <c r="J720" s="340"/>
      <c r="K720" s="339"/>
      <c r="L720" s="341"/>
      <c r="M720" s="339"/>
      <c r="N720" s="341"/>
      <c r="O720" s="341"/>
      <c r="P720" s="339"/>
      <c r="Q720" s="341"/>
      <c r="R720" s="340"/>
      <c r="S720" s="339"/>
      <c r="T720" s="341"/>
      <c r="U720" s="339"/>
      <c r="V720" s="339"/>
      <c r="W720" s="339"/>
      <c r="X720" s="340"/>
      <c r="Y720" s="339"/>
      <c r="Z720" s="339"/>
      <c r="AA720" s="339"/>
      <c r="AB720" s="342"/>
    </row>
    <row r="721" spans="1:28" ht="15.75" customHeight="1">
      <c r="A721" s="339"/>
      <c r="B721" s="339"/>
      <c r="C721" s="339"/>
      <c r="D721" s="339"/>
      <c r="E721" s="339"/>
      <c r="F721" s="339"/>
      <c r="G721" s="340"/>
      <c r="H721" s="339"/>
      <c r="I721" s="339"/>
      <c r="J721" s="340"/>
      <c r="K721" s="339"/>
      <c r="L721" s="341"/>
      <c r="M721" s="339"/>
      <c r="N721" s="341"/>
      <c r="O721" s="341"/>
      <c r="P721" s="339"/>
      <c r="Q721" s="341"/>
      <c r="R721" s="340"/>
      <c r="S721" s="339"/>
      <c r="T721" s="341"/>
      <c r="U721" s="339"/>
      <c r="V721" s="339"/>
      <c r="W721" s="339"/>
      <c r="X721" s="340"/>
      <c r="Y721" s="339"/>
      <c r="Z721" s="339"/>
      <c r="AA721" s="339"/>
      <c r="AB721" s="342"/>
    </row>
    <row r="722" spans="1:28" ht="15.75" customHeight="1">
      <c r="A722" s="339"/>
      <c r="B722" s="339"/>
      <c r="C722" s="339"/>
      <c r="D722" s="339"/>
      <c r="E722" s="339"/>
      <c r="F722" s="339"/>
      <c r="G722" s="340"/>
      <c r="H722" s="339"/>
      <c r="I722" s="339"/>
      <c r="J722" s="340"/>
      <c r="K722" s="339"/>
      <c r="L722" s="341"/>
      <c r="M722" s="339"/>
      <c r="N722" s="341"/>
      <c r="O722" s="341"/>
      <c r="P722" s="339"/>
      <c r="Q722" s="341"/>
      <c r="R722" s="340"/>
      <c r="S722" s="339"/>
      <c r="T722" s="341"/>
      <c r="U722" s="339"/>
      <c r="V722" s="339"/>
      <c r="W722" s="339"/>
      <c r="X722" s="340"/>
      <c r="Y722" s="339"/>
      <c r="Z722" s="339"/>
      <c r="AA722" s="339"/>
      <c r="AB722" s="342"/>
    </row>
    <row r="723" spans="1:28" ht="15.75" customHeight="1">
      <c r="A723" s="339"/>
      <c r="B723" s="339"/>
      <c r="C723" s="339"/>
      <c r="D723" s="339"/>
      <c r="E723" s="339"/>
      <c r="F723" s="339"/>
      <c r="G723" s="340"/>
      <c r="H723" s="339"/>
      <c r="I723" s="339"/>
      <c r="J723" s="340"/>
      <c r="K723" s="339"/>
      <c r="L723" s="341"/>
      <c r="M723" s="339"/>
      <c r="N723" s="341"/>
      <c r="O723" s="341"/>
      <c r="P723" s="339"/>
      <c r="Q723" s="341"/>
      <c r="R723" s="340"/>
      <c r="S723" s="339"/>
      <c r="T723" s="341"/>
      <c r="U723" s="339"/>
      <c r="V723" s="339"/>
      <c r="W723" s="339"/>
      <c r="X723" s="340"/>
      <c r="Y723" s="339"/>
      <c r="Z723" s="339"/>
      <c r="AA723" s="339"/>
      <c r="AB723" s="342"/>
    </row>
    <row r="724" spans="1:28" ht="15.75" customHeight="1">
      <c r="A724" s="339"/>
      <c r="B724" s="339"/>
      <c r="C724" s="339"/>
      <c r="D724" s="339"/>
      <c r="E724" s="339"/>
      <c r="F724" s="339"/>
      <c r="G724" s="340"/>
      <c r="H724" s="339"/>
      <c r="I724" s="339"/>
      <c r="J724" s="340"/>
      <c r="K724" s="339"/>
      <c r="L724" s="341"/>
      <c r="M724" s="339"/>
      <c r="N724" s="341"/>
      <c r="O724" s="341"/>
      <c r="P724" s="339"/>
      <c r="Q724" s="341"/>
      <c r="R724" s="340"/>
      <c r="S724" s="339"/>
      <c r="T724" s="341"/>
      <c r="U724" s="339"/>
      <c r="V724" s="339"/>
      <c r="W724" s="339"/>
      <c r="X724" s="340"/>
      <c r="Y724" s="339"/>
      <c r="Z724" s="339"/>
      <c r="AA724" s="339"/>
      <c r="AB724" s="342"/>
    </row>
    <row r="725" spans="1:28" ht="15.75" customHeight="1">
      <c r="A725" s="339"/>
      <c r="B725" s="339"/>
      <c r="C725" s="339"/>
      <c r="D725" s="339"/>
      <c r="E725" s="339"/>
      <c r="F725" s="339"/>
      <c r="G725" s="340"/>
      <c r="H725" s="339"/>
      <c r="I725" s="339"/>
      <c r="J725" s="340"/>
      <c r="K725" s="339"/>
      <c r="L725" s="341"/>
      <c r="M725" s="339"/>
      <c r="N725" s="341"/>
      <c r="O725" s="341"/>
      <c r="P725" s="339"/>
      <c r="Q725" s="341"/>
      <c r="R725" s="340"/>
      <c r="S725" s="339"/>
      <c r="T725" s="341"/>
      <c r="U725" s="339"/>
      <c r="V725" s="339"/>
      <c r="W725" s="339"/>
      <c r="X725" s="340"/>
      <c r="Y725" s="339"/>
      <c r="Z725" s="339"/>
      <c r="AA725" s="339"/>
      <c r="AB725" s="342"/>
    </row>
    <row r="726" spans="1:28" ht="15.75" customHeight="1">
      <c r="A726" s="339"/>
      <c r="B726" s="339"/>
      <c r="C726" s="339"/>
      <c r="D726" s="339"/>
      <c r="E726" s="339"/>
      <c r="F726" s="339"/>
      <c r="G726" s="340"/>
      <c r="H726" s="339"/>
      <c r="I726" s="339"/>
      <c r="J726" s="340"/>
      <c r="K726" s="339"/>
      <c r="L726" s="341"/>
      <c r="M726" s="339"/>
      <c r="N726" s="341"/>
      <c r="O726" s="341"/>
      <c r="P726" s="339"/>
      <c r="Q726" s="341"/>
      <c r="R726" s="340"/>
      <c r="S726" s="339"/>
      <c r="T726" s="341"/>
      <c r="U726" s="339"/>
      <c r="V726" s="339"/>
      <c r="W726" s="339"/>
      <c r="X726" s="340"/>
      <c r="Y726" s="339"/>
      <c r="Z726" s="339"/>
      <c r="AA726" s="339"/>
      <c r="AB726" s="342"/>
    </row>
    <row r="727" spans="1:28" ht="15.75" customHeight="1">
      <c r="A727" s="339"/>
      <c r="B727" s="339"/>
      <c r="C727" s="339"/>
      <c r="D727" s="339"/>
      <c r="E727" s="339"/>
      <c r="F727" s="339"/>
      <c r="G727" s="340"/>
      <c r="H727" s="339"/>
      <c r="I727" s="339"/>
      <c r="J727" s="340"/>
      <c r="K727" s="339"/>
      <c r="L727" s="341"/>
      <c r="M727" s="339"/>
      <c r="N727" s="341"/>
      <c r="O727" s="341"/>
      <c r="P727" s="339"/>
      <c r="Q727" s="341"/>
      <c r="R727" s="340"/>
      <c r="S727" s="339"/>
      <c r="T727" s="341"/>
      <c r="U727" s="339"/>
      <c r="V727" s="339"/>
      <c r="W727" s="339"/>
      <c r="X727" s="340"/>
      <c r="Y727" s="339"/>
      <c r="Z727" s="339"/>
      <c r="AA727" s="339"/>
      <c r="AB727" s="342"/>
    </row>
    <row r="728" spans="1:28" ht="15.75" customHeight="1">
      <c r="A728" s="339"/>
      <c r="B728" s="339"/>
      <c r="C728" s="339"/>
      <c r="D728" s="339"/>
      <c r="E728" s="339"/>
      <c r="F728" s="339"/>
      <c r="G728" s="340"/>
      <c r="H728" s="339"/>
      <c r="I728" s="339"/>
      <c r="J728" s="340"/>
      <c r="K728" s="339"/>
      <c r="L728" s="341"/>
      <c r="M728" s="339"/>
      <c r="N728" s="341"/>
      <c r="O728" s="341"/>
      <c r="P728" s="339"/>
      <c r="Q728" s="341"/>
      <c r="R728" s="340"/>
      <c r="S728" s="339"/>
      <c r="T728" s="341"/>
      <c r="U728" s="339"/>
      <c r="V728" s="339"/>
      <c r="W728" s="339"/>
      <c r="X728" s="340"/>
      <c r="Y728" s="339"/>
      <c r="Z728" s="339"/>
      <c r="AA728" s="339"/>
      <c r="AB728" s="342"/>
    </row>
    <row r="729" spans="1:28" ht="15.75" customHeight="1">
      <c r="A729" s="339"/>
      <c r="B729" s="339"/>
      <c r="C729" s="339"/>
      <c r="D729" s="339"/>
      <c r="E729" s="339"/>
      <c r="F729" s="339"/>
      <c r="G729" s="340"/>
      <c r="H729" s="339"/>
      <c r="I729" s="339"/>
      <c r="J729" s="340"/>
      <c r="K729" s="339"/>
      <c r="L729" s="341"/>
      <c r="M729" s="339"/>
      <c r="N729" s="341"/>
      <c r="O729" s="341"/>
      <c r="P729" s="339"/>
      <c r="Q729" s="341"/>
      <c r="R729" s="340"/>
      <c r="S729" s="339"/>
      <c r="T729" s="341"/>
      <c r="U729" s="339"/>
      <c r="V729" s="339"/>
      <c r="W729" s="339"/>
      <c r="X729" s="340"/>
      <c r="Y729" s="339"/>
      <c r="Z729" s="339"/>
      <c r="AA729" s="339"/>
      <c r="AB729" s="342"/>
    </row>
    <row r="730" spans="1:28" ht="15.75" customHeight="1">
      <c r="A730" s="339"/>
      <c r="B730" s="339"/>
      <c r="C730" s="339"/>
      <c r="D730" s="339"/>
      <c r="E730" s="339"/>
      <c r="F730" s="339"/>
      <c r="G730" s="340"/>
      <c r="H730" s="339"/>
      <c r="I730" s="339"/>
      <c r="J730" s="340"/>
      <c r="K730" s="339"/>
      <c r="L730" s="341"/>
      <c r="M730" s="339"/>
      <c r="N730" s="341"/>
      <c r="O730" s="341"/>
      <c r="P730" s="339"/>
      <c r="Q730" s="341"/>
      <c r="R730" s="340"/>
      <c r="S730" s="339"/>
      <c r="T730" s="341"/>
      <c r="U730" s="339"/>
      <c r="V730" s="339"/>
      <c r="W730" s="339"/>
      <c r="X730" s="340"/>
      <c r="Y730" s="339"/>
      <c r="Z730" s="339"/>
      <c r="AA730" s="339"/>
      <c r="AB730" s="342"/>
    </row>
    <row r="731" spans="1:28" ht="15.75" customHeight="1">
      <c r="A731" s="339"/>
      <c r="B731" s="339"/>
      <c r="C731" s="339"/>
      <c r="D731" s="339"/>
      <c r="E731" s="339"/>
      <c r="F731" s="339"/>
      <c r="G731" s="340"/>
      <c r="H731" s="339"/>
      <c r="I731" s="339"/>
      <c r="J731" s="340"/>
      <c r="K731" s="339"/>
      <c r="L731" s="341"/>
      <c r="M731" s="339"/>
      <c r="N731" s="341"/>
      <c r="O731" s="341"/>
      <c r="P731" s="339"/>
      <c r="Q731" s="341"/>
      <c r="R731" s="340"/>
      <c r="S731" s="339"/>
      <c r="T731" s="341"/>
      <c r="U731" s="339"/>
      <c r="V731" s="339"/>
      <c r="W731" s="339"/>
      <c r="X731" s="340"/>
      <c r="Y731" s="339"/>
      <c r="Z731" s="339"/>
      <c r="AA731" s="339"/>
      <c r="AB731" s="342"/>
    </row>
    <row r="732" spans="1:28" ht="15.75" customHeight="1">
      <c r="A732" s="339"/>
      <c r="B732" s="339"/>
      <c r="C732" s="339"/>
      <c r="D732" s="339"/>
      <c r="E732" s="339"/>
      <c r="F732" s="339"/>
      <c r="G732" s="340"/>
      <c r="H732" s="339"/>
      <c r="I732" s="339"/>
      <c r="J732" s="340"/>
      <c r="K732" s="339"/>
      <c r="L732" s="341"/>
      <c r="M732" s="339"/>
      <c r="N732" s="341"/>
      <c r="O732" s="341"/>
      <c r="P732" s="339"/>
      <c r="Q732" s="341"/>
      <c r="R732" s="340"/>
      <c r="S732" s="339"/>
      <c r="T732" s="341"/>
      <c r="U732" s="339"/>
      <c r="V732" s="339"/>
      <c r="W732" s="339"/>
      <c r="X732" s="340"/>
      <c r="Y732" s="339"/>
      <c r="Z732" s="339"/>
      <c r="AA732" s="339"/>
      <c r="AB732" s="342"/>
    </row>
    <row r="733" spans="1:28" ht="15.75" customHeight="1">
      <c r="A733" s="339"/>
      <c r="B733" s="339"/>
      <c r="C733" s="339"/>
      <c r="D733" s="339"/>
      <c r="E733" s="339"/>
      <c r="F733" s="339"/>
      <c r="G733" s="340"/>
      <c r="H733" s="339"/>
      <c r="I733" s="339"/>
      <c r="J733" s="340"/>
      <c r="K733" s="339"/>
      <c r="L733" s="341"/>
      <c r="M733" s="339"/>
      <c r="N733" s="341"/>
      <c r="O733" s="341"/>
      <c r="P733" s="339"/>
      <c r="Q733" s="341"/>
      <c r="R733" s="340"/>
      <c r="S733" s="339"/>
      <c r="T733" s="341"/>
      <c r="U733" s="339"/>
      <c r="V733" s="339"/>
      <c r="W733" s="339"/>
      <c r="X733" s="340"/>
      <c r="Y733" s="339"/>
      <c r="Z733" s="339"/>
      <c r="AA733" s="339"/>
      <c r="AB733" s="342"/>
    </row>
    <row r="734" spans="1:28" ht="15.75" customHeight="1">
      <c r="A734" s="339"/>
      <c r="B734" s="339"/>
      <c r="C734" s="339"/>
      <c r="D734" s="339"/>
      <c r="E734" s="339"/>
      <c r="F734" s="339"/>
      <c r="G734" s="340"/>
      <c r="H734" s="339"/>
      <c r="I734" s="339"/>
      <c r="J734" s="340"/>
      <c r="K734" s="339"/>
      <c r="L734" s="341"/>
      <c r="M734" s="339"/>
      <c r="N734" s="341"/>
      <c r="O734" s="341"/>
      <c r="P734" s="339"/>
      <c r="Q734" s="341"/>
      <c r="R734" s="340"/>
      <c r="S734" s="339"/>
      <c r="T734" s="341"/>
      <c r="U734" s="339"/>
      <c r="V734" s="339"/>
      <c r="W734" s="339"/>
      <c r="X734" s="340"/>
      <c r="Y734" s="339"/>
      <c r="Z734" s="339"/>
      <c r="AA734" s="339"/>
      <c r="AB734" s="342"/>
    </row>
    <row r="735" spans="1:28" ht="15.75" customHeight="1">
      <c r="A735" s="339"/>
      <c r="B735" s="339"/>
      <c r="C735" s="339"/>
      <c r="D735" s="339"/>
      <c r="E735" s="339"/>
      <c r="F735" s="339"/>
      <c r="G735" s="340"/>
      <c r="H735" s="339"/>
      <c r="I735" s="339"/>
      <c r="J735" s="340"/>
      <c r="K735" s="339"/>
      <c r="L735" s="341"/>
      <c r="M735" s="339"/>
      <c r="N735" s="341"/>
      <c r="O735" s="341"/>
      <c r="P735" s="339"/>
      <c r="Q735" s="341"/>
      <c r="R735" s="340"/>
      <c r="S735" s="339"/>
      <c r="T735" s="341"/>
      <c r="U735" s="339"/>
      <c r="V735" s="339"/>
      <c r="W735" s="339"/>
      <c r="X735" s="340"/>
      <c r="Y735" s="339"/>
      <c r="Z735" s="339"/>
      <c r="AA735" s="339"/>
      <c r="AB735" s="342"/>
    </row>
    <row r="736" spans="1:28" ht="15.75" customHeight="1">
      <c r="A736" s="339"/>
      <c r="B736" s="339"/>
      <c r="C736" s="339"/>
      <c r="D736" s="339"/>
      <c r="E736" s="339"/>
      <c r="F736" s="339"/>
      <c r="G736" s="340"/>
      <c r="H736" s="339"/>
      <c r="I736" s="339"/>
      <c r="J736" s="340"/>
      <c r="K736" s="339"/>
      <c r="L736" s="341"/>
      <c r="M736" s="339"/>
      <c r="N736" s="341"/>
      <c r="O736" s="341"/>
      <c r="P736" s="339"/>
      <c r="Q736" s="341"/>
      <c r="R736" s="340"/>
      <c r="S736" s="339"/>
      <c r="T736" s="341"/>
      <c r="U736" s="339"/>
      <c r="V736" s="339"/>
      <c r="W736" s="339"/>
      <c r="X736" s="340"/>
      <c r="Y736" s="339"/>
      <c r="Z736" s="339"/>
      <c r="AA736" s="339"/>
      <c r="AB736" s="342"/>
    </row>
    <row r="737" spans="1:28" ht="15.75" customHeight="1">
      <c r="A737" s="339"/>
      <c r="B737" s="339"/>
      <c r="C737" s="339"/>
      <c r="D737" s="339"/>
      <c r="E737" s="339"/>
      <c r="F737" s="339"/>
      <c r="G737" s="340"/>
      <c r="H737" s="339"/>
      <c r="I737" s="339"/>
      <c r="J737" s="340"/>
      <c r="K737" s="339"/>
      <c r="L737" s="341"/>
      <c r="M737" s="339"/>
      <c r="N737" s="341"/>
      <c r="O737" s="341"/>
      <c r="P737" s="339"/>
      <c r="Q737" s="341"/>
      <c r="R737" s="340"/>
      <c r="S737" s="339"/>
      <c r="T737" s="341"/>
      <c r="U737" s="339"/>
      <c r="V737" s="339"/>
      <c r="W737" s="339"/>
      <c r="X737" s="340"/>
      <c r="Y737" s="339"/>
      <c r="Z737" s="339"/>
      <c r="AA737" s="339"/>
      <c r="AB737" s="342"/>
    </row>
    <row r="738" spans="1:28" ht="15.75" customHeight="1">
      <c r="A738" s="339"/>
      <c r="B738" s="339"/>
      <c r="C738" s="339"/>
      <c r="D738" s="339"/>
      <c r="E738" s="339"/>
      <c r="F738" s="339"/>
      <c r="G738" s="340"/>
      <c r="H738" s="339"/>
      <c r="I738" s="339"/>
      <c r="J738" s="340"/>
      <c r="K738" s="339"/>
      <c r="L738" s="341"/>
      <c r="M738" s="339"/>
      <c r="N738" s="341"/>
      <c r="O738" s="341"/>
      <c r="P738" s="339"/>
      <c r="Q738" s="341"/>
      <c r="R738" s="340"/>
      <c r="S738" s="339"/>
      <c r="T738" s="341"/>
      <c r="U738" s="339"/>
      <c r="V738" s="339"/>
      <c r="W738" s="339"/>
      <c r="X738" s="340"/>
      <c r="Y738" s="339"/>
      <c r="Z738" s="339"/>
      <c r="AA738" s="339"/>
      <c r="AB738" s="342"/>
    </row>
    <row r="739" spans="1:28" ht="15.75" customHeight="1">
      <c r="A739" s="339"/>
      <c r="B739" s="339"/>
      <c r="C739" s="339"/>
      <c r="D739" s="339"/>
      <c r="E739" s="339"/>
      <c r="F739" s="339"/>
      <c r="G739" s="340"/>
      <c r="H739" s="339"/>
      <c r="I739" s="339"/>
      <c r="J739" s="340"/>
      <c r="K739" s="339"/>
      <c r="L739" s="341"/>
      <c r="M739" s="339"/>
      <c r="N739" s="341"/>
      <c r="O739" s="341"/>
      <c r="P739" s="339"/>
      <c r="Q739" s="341"/>
      <c r="R739" s="340"/>
      <c r="S739" s="339"/>
      <c r="T739" s="341"/>
      <c r="U739" s="339"/>
      <c r="V739" s="339"/>
      <c r="W739" s="339"/>
      <c r="X739" s="340"/>
      <c r="Y739" s="339"/>
      <c r="Z739" s="339"/>
      <c r="AA739" s="339"/>
      <c r="AB739" s="342"/>
    </row>
    <row r="740" spans="1:28" ht="15.75" customHeight="1">
      <c r="A740" s="339"/>
      <c r="B740" s="339"/>
      <c r="C740" s="339"/>
      <c r="D740" s="339"/>
      <c r="E740" s="339"/>
      <c r="F740" s="339"/>
      <c r="G740" s="340"/>
      <c r="H740" s="339"/>
      <c r="I740" s="339"/>
      <c r="J740" s="340"/>
      <c r="K740" s="339"/>
      <c r="L740" s="341"/>
      <c r="M740" s="339"/>
      <c r="N740" s="341"/>
      <c r="O740" s="341"/>
      <c r="P740" s="339"/>
      <c r="Q740" s="341"/>
      <c r="R740" s="340"/>
      <c r="S740" s="339"/>
      <c r="T740" s="341"/>
      <c r="U740" s="339"/>
      <c r="V740" s="339"/>
      <c r="W740" s="339"/>
      <c r="X740" s="340"/>
      <c r="Y740" s="339"/>
      <c r="Z740" s="339"/>
      <c r="AA740" s="339"/>
      <c r="AB740" s="342"/>
    </row>
    <row r="741" spans="1:28" ht="15.75" customHeight="1">
      <c r="A741" s="339"/>
      <c r="B741" s="339"/>
      <c r="C741" s="339"/>
      <c r="D741" s="339"/>
      <c r="E741" s="339"/>
      <c r="F741" s="339"/>
      <c r="G741" s="340"/>
      <c r="H741" s="339"/>
      <c r="I741" s="339"/>
      <c r="J741" s="340"/>
      <c r="K741" s="339"/>
      <c r="L741" s="341"/>
      <c r="M741" s="339"/>
      <c r="N741" s="341"/>
      <c r="O741" s="341"/>
      <c r="P741" s="339"/>
      <c r="Q741" s="341"/>
      <c r="R741" s="340"/>
      <c r="S741" s="339"/>
      <c r="T741" s="341"/>
      <c r="U741" s="339"/>
      <c r="V741" s="339"/>
      <c r="W741" s="339"/>
      <c r="X741" s="340"/>
      <c r="Y741" s="339"/>
      <c r="Z741" s="339"/>
      <c r="AA741" s="339"/>
      <c r="AB741" s="342"/>
    </row>
    <row r="742" spans="1:28" ht="15.75" customHeight="1">
      <c r="A742" s="339"/>
      <c r="B742" s="339"/>
      <c r="C742" s="339"/>
      <c r="D742" s="339"/>
      <c r="E742" s="339"/>
      <c r="F742" s="339"/>
      <c r="G742" s="340"/>
      <c r="H742" s="339"/>
      <c r="I742" s="339"/>
      <c r="J742" s="340"/>
      <c r="K742" s="339"/>
      <c r="L742" s="341"/>
      <c r="M742" s="339"/>
      <c r="N742" s="341"/>
      <c r="O742" s="341"/>
      <c r="P742" s="339"/>
      <c r="Q742" s="341"/>
      <c r="R742" s="340"/>
      <c r="S742" s="339"/>
      <c r="T742" s="341"/>
      <c r="U742" s="339"/>
      <c r="V742" s="339"/>
      <c r="W742" s="339"/>
      <c r="X742" s="340"/>
      <c r="Y742" s="339"/>
      <c r="Z742" s="339"/>
      <c r="AA742" s="339"/>
      <c r="AB742" s="342"/>
    </row>
    <row r="743" spans="1:28" ht="15.75" customHeight="1">
      <c r="A743" s="339"/>
      <c r="B743" s="339"/>
      <c r="C743" s="339"/>
      <c r="D743" s="339"/>
      <c r="E743" s="339"/>
      <c r="F743" s="339"/>
      <c r="G743" s="340"/>
      <c r="H743" s="339"/>
      <c r="I743" s="339"/>
      <c r="J743" s="340"/>
      <c r="K743" s="339"/>
      <c r="L743" s="341"/>
      <c r="M743" s="339"/>
      <c r="N743" s="341"/>
      <c r="O743" s="341"/>
      <c r="P743" s="339"/>
      <c r="Q743" s="341"/>
      <c r="R743" s="340"/>
      <c r="S743" s="339"/>
      <c r="T743" s="341"/>
      <c r="U743" s="339"/>
      <c r="V743" s="339"/>
      <c r="W743" s="339"/>
      <c r="X743" s="340"/>
      <c r="Y743" s="339"/>
      <c r="Z743" s="339"/>
      <c r="AA743" s="339"/>
      <c r="AB743" s="342"/>
    </row>
    <row r="744" spans="1:28" ht="15.75" customHeight="1">
      <c r="A744" s="339"/>
      <c r="B744" s="339"/>
      <c r="C744" s="339"/>
      <c r="D744" s="339"/>
      <c r="E744" s="339"/>
      <c r="F744" s="339"/>
      <c r="G744" s="340"/>
      <c r="H744" s="339"/>
      <c r="I744" s="339"/>
      <c r="J744" s="340"/>
      <c r="K744" s="339"/>
      <c r="L744" s="341"/>
      <c r="M744" s="339"/>
      <c r="N744" s="341"/>
      <c r="O744" s="341"/>
      <c r="P744" s="339"/>
      <c r="Q744" s="341"/>
      <c r="R744" s="340"/>
      <c r="S744" s="339"/>
      <c r="T744" s="341"/>
      <c r="U744" s="339"/>
      <c r="V744" s="339"/>
      <c r="W744" s="339"/>
      <c r="X744" s="340"/>
      <c r="Y744" s="339"/>
      <c r="Z744" s="339"/>
      <c r="AA744" s="339"/>
      <c r="AB744" s="342"/>
    </row>
    <row r="745" spans="1:28" ht="15.75" customHeight="1">
      <c r="A745" s="339"/>
      <c r="B745" s="339"/>
      <c r="C745" s="339"/>
      <c r="D745" s="339"/>
      <c r="E745" s="339"/>
      <c r="F745" s="339"/>
      <c r="G745" s="340"/>
      <c r="H745" s="339"/>
      <c r="I745" s="339"/>
      <c r="J745" s="340"/>
      <c r="K745" s="339"/>
      <c r="L745" s="341"/>
      <c r="M745" s="339"/>
      <c r="N745" s="341"/>
      <c r="O745" s="341"/>
      <c r="P745" s="339"/>
      <c r="Q745" s="341"/>
      <c r="R745" s="340"/>
      <c r="S745" s="339"/>
      <c r="T745" s="341"/>
      <c r="U745" s="339"/>
      <c r="V745" s="339"/>
      <c r="W745" s="339"/>
      <c r="X745" s="340"/>
      <c r="Y745" s="339"/>
      <c r="Z745" s="339"/>
      <c r="AA745" s="339"/>
      <c r="AB745" s="342"/>
    </row>
    <row r="746" spans="1:28" ht="15.75" customHeight="1">
      <c r="A746" s="339"/>
      <c r="B746" s="339"/>
      <c r="C746" s="339"/>
      <c r="D746" s="339"/>
      <c r="E746" s="339"/>
      <c r="F746" s="339"/>
      <c r="G746" s="340"/>
      <c r="H746" s="339"/>
      <c r="I746" s="339"/>
      <c r="J746" s="340"/>
      <c r="K746" s="339"/>
      <c r="L746" s="341"/>
      <c r="M746" s="339"/>
      <c r="N746" s="341"/>
      <c r="O746" s="341"/>
      <c r="P746" s="339"/>
      <c r="Q746" s="341"/>
      <c r="R746" s="340"/>
      <c r="S746" s="339"/>
      <c r="T746" s="341"/>
      <c r="U746" s="339"/>
      <c r="V746" s="339"/>
      <c r="W746" s="339"/>
      <c r="X746" s="340"/>
      <c r="Y746" s="339"/>
      <c r="Z746" s="339"/>
      <c r="AA746" s="339"/>
      <c r="AB746" s="342"/>
    </row>
    <row r="747" spans="1:28" ht="15.75" customHeight="1">
      <c r="A747" s="339"/>
      <c r="B747" s="339"/>
      <c r="C747" s="339"/>
      <c r="D747" s="339"/>
      <c r="E747" s="339"/>
      <c r="F747" s="339"/>
      <c r="G747" s="340"/>
      <c r="H747" s="339"/>
      <c r="I747" s="339"/>
      <c r="J747" s="340"/>
      <c r="K747" s="339"/>
      <c r="L747" s="341"/>
      <c r="M747" s="339"/>
      <c r="N747" s="341"/>
      <c r="O747" s="341"/>
      <c r="P747" s="339"/>
      <c r="Q747" s="341"/>
      <c r="R747" s="340"/>
      <c r="S747" s="339"/>
      <c r="T747" s="341"/>
      <c r="U747" s="339"/>
      <c r="V747" s="339"/>
      <c r="W747" s="339"/>
      <c r="X747" s="340"/>
      <c r="Y747" s="339"/>
      <c r="Z747" s="339"/>
      <c r="AA747" s="339"/>
      <c r="AB747" s="342"/>
    </row>
    <row r="748" spans="1:28" ht="15.75" customHeight="1">
      <c r="A748" s="339"/>
      <c r="B748" s="339"/>
      <c r="C748" s="339"/>
      <c r="D748" s="339"/>
      <c r="E748" s="339"/>
      <c r="F748" s="339"/>
      <c r="G748" s="340"/>
      <c r="H748" s="339"/>
      <c r="I748" s="339"/>
      <c r="J748" s="340"/>
      <c r="K748" s="339"/>
      <c r="L748" s="341"/>
      <c r="M748" s="339"/>
      <c r="N748" s="341"/>
      <c r="O748" s="341"/>
      <c r="P748" s="339"/>
      <c r="Q748" s="341"/>
      <c r="R748" s="340"/>
      <c r="S748" s="339"/>
      <c r="T748" s="341"/>
      <c r="U748" s="339"/>
      <c r="V748" s="339"/>
      <c r="W748" s="339"/>
      <c r="X748" s="340"/>
      <c r="Y748" s="339"/>
      <c r="Z748" s="339"/>
      <c r="AA748" s="339"/>
      <c r="AB748" s="342"/>
    </row>
    <row r="749" spans="1:28" ht="15.75" customHeight="1">
      <c r="A749" s="339"/>
      <c r="B749" s="339"/>
      <c r="C749" s="339"/>
      <c r="D749" s="339"/>
      <c r="E749" s="339"/>
      <c r="F749" s="339"/>
      <c r="G749" s="340"/>
      <c r="H749" s="339"/>
      <c r="I749" s="339"/>
      <c r="J749" s="340"/>
      <c r="K749" s="339"/>
      <c r="L749" s="341"/>
      <c r="M749" s="339"/>
      <c r="N749" s="341"/>
      <c r="O749" s="341"/>
      <c r="P749" s="339"/>
      <c r="Q749" s="341"/>
      <c r="R749" s="340"/>
      <c r="S749" s="339"/>
      <c r="T749" s="341"/>
      <c r="U749" s="339"/>
      <c r="V749" s="339"/>
      <c r="W749" s="339"/>
      <c r="X749" s="340"/>
      <c r="Y749" s="339"/>
      <c r="Z749" s="339"/>
      <c r="AA749" s="339"/>
      <c r="AB749" s="342"/>
    </row>
    <row r="750" spans="1:28" ht="15.75" customHeight="1">
      <c r="A750" s="339"/>
      <c r="B750" s="339"/>
      <c r="C750" s="339"/>
      <c r="D750" s="339"/>
      <c r="E750" s="339"/>
      <c r="F750" s="339"/>
      <c r="G750" s="340"/>
      <c r="H750" s="339"/>
      <c r="I750" s="339"/>
      <c r="J750" s="340"/>
      <c r="K750" s="339"/>
      <c r="L750" s="341"/>
      <c r="M750" s="339"/>
      <c r="N750" s="341"/>
      <c r="O750" s="341"/>
      <c r="P750" s="339"/>
      <c r="Q750" s="341"/>
      <c r="R750" s="340"/>
      <c r="S750" s="339"/>
      <c r="T750" s="341"/>
      <c r="U750" s="339"/>
      <c r="V750" s="339"/>
      <c r="W750" s="339"/>
      <c r="X750" s="340"/>
      <c r="Y750" s="339"/>
      <c r="Z750" s="339"/>
      <c r="AA750" s="339"/>
      <c r="AB750" s="342"/>
    </row>
    <row r="751" spans="1:28" ht="15.75" customHeight="1">
      <c r="A751" s="339"/>
      <c r="B751" s="339"/>
      <c r="C751" s="339"/>
      <c r="D751" s="339"/>
      <c r="E751" s="339"/>
      <c r="F751" s="339"/>
      <c r="G751" s="340"/>
      <c r="H751" s="339"/>
      <c r="I751" s="339"/>
      <c r="J751" s="340"/>
      <c r="K751" s="339"/>
      <c r="L751" s="341"/>
      <c r="M751" s="339"/>
      <c r="N751" s="341"/>
      <c r="O751" s="341"/>
      <c r="P751" s="339"/>
      <c r="Q751" s="341"/>
      <c r="R751" s="340"/>
      <c r="S751" s="339"/>
      <c r="T751" s="341"/>
      <c r="U751" s="339"/>
      <c r="V751" s="339"/>
      <c r="W751" s="339"/>
      <c r="X751" s="340"/>
      <c r="Y751" s="339"/>
      <c r="Z751" s="339"/>
      <c r="AA751" s="339"/>
      <c r="AB751" s="342"/>
    </row>
    <row r="752" spans="1:28" ht="15.75" customHeight="1">
      <c r="A752" s="339"/>
      <c r="B752" s="339"/>
      <c r="C752" s="339"/>
      <c r="D752" s="339"/>
      <c r="E752" s="339"/>
      <c r="F752" s="339"/>
      <c r="G752" s="340"/>
      <c r="H752" s="339"/>
      <c r="I752" s="339"/>
      <c r="J752" s="340"/>
      <c r="K752" s="339"/>
      <c r="L752" s="341"/>
      <c r="M752" s="339"/>
      <c r="N752" s="341"/>
      <c r="O752" s="341"/>
      <c r="P752" s="339"/>
      <c r="Q752" s="341"/>
      <c r="R752" s="340"/>
      <c r="S752" s="339"/>
      <c r="T752" s="341"/>
      <c r="U752" s="339"/>
      <c r="V752" s="339"/>
      <c r="W752" s="339"/>
      <c r="X752" s="340"/>
      <c r="Y752" s="339"/>
      <c r="Z752" s="339"/>
      <c r="AA752" s="339"/>
      <c r="AB752" s="342"/>
    </row>
    <row r="753" spans="1:28" ht="15.75" customHeight="1">
      <c r="A753" s="339"/>
      <c r="B753" s="339"/>
      <c r="C753" s="339"/>
      <c r="D753" s="339"/>
      <c r="E753" s="339"/>
      <c r="F753" s="339"/>
      <c r="G753" s="340"/>
      <c r="H753" s="339"/>
      <c r="I753" s="339"/>
      <c r="J753" s="340"/>
      <c r="K753" s="339"/>
      <c r="L753" s="341"/>
      <c r="M753" s="339"/>
      <c r="N753" s="341"/>
      <c r="O753" s="341"/>
      <c r="P753" s="339"/>
      <c r="Q753" s="341"/>
      <c r="R753" s="340"/>
      <c r="S753" s="339"/>
      <c r="T753" s="341"/>
      <c r="U753" s="339"/>
      <c r="V753" s="339"/>
      <c r="W753" s="339"/>
      <c r="X753" s="340"/>
      <c r="Y753" s="339"/>
      <c r="Z753" s="339"/>
      <c r="AA753" s="339"/>
      <c r="AB753" s="342"/>
    </row>
    <row r="754" spans="1:28" ht="15.75" customHeight="1">
      <c r="A754" s="339"/>
      <c r="B754" s="339"/>
      <c r="C754" s="339"/>
      <c r="D754" s="339"/>
      <c r="E754" s="339"/>
      <c r="F754" s="339"/>
      <c r="G754" s="340"/>
      <c r="H754" s="339"/>
      <c r="I754" s="339"/>
      <c r="J754" s="340"/>
      <c r="K754" s="339"/>
      <c r="L754" s="341"/>
      <c r="M754" s="339"/>
      <c r="N754" s="341"/>
      <c r="O754" s="341"/>
      <c r="P754" s="339"/>
      <c r="Q754" s="341"/>
      <c r="R754" s="340"/>
      <c r="S754" s="339"/>
      <c r="T754" s="341"/>
      <c r="U754" s="339"/>
      <c r="V754" s="339"/>
      <c r="W754" s="339"/>
      <c r="X754" s="340"/>
      <c r="Y754" s="339"/>
      <c r="Z754" s="339"/>
      <c r="AA754" s="339"/>
      <c r="AB754" s="342"/>
    </row>
    <row r="755" spans="1:28" ht="15.75" customHeight="1">
      <c r="A755" s="339"/>
      <c r="B755" s="339"/>
      <c r="C755" s="339"/>
      <c r="D755" s="339"/>
      <c r="E755" s="339"/>
      <c r="F755" s="339"/>
      <c r="G755" s="340"/>
      <c r="H755" s="339"/>
      <c r="I755" s="339"/>
      <c r="J755" s="340"/>
      <c r="K755" s="339"/>
      <c r="L755" s="341"/>
      <c r="M755" s="339"/>
      <c r="N755" s="341"/>
      <c r="O755" s="341"/>
      <c r="P755" s="339"/>
      <c r="Q755" s="341"/>
      <c r="R755" s="340"/>
      <c r="S755" s="339"/>
      <c r="T755" s="341"/>
      <c r="U755" s="339"/>
      <c r="V755" s="339"/>
      <c r="W755" s="339"/>
      <c r="X755" s="340"/>
      <c r="Y755" s="339"/>
      <c r="Z755" s="339"/>
      <c r="AA755" s="339"/>
      <c r="AB755" s="342"/>
    </row>
    <row r="756" spans="1:28" ht="15.75" customHeight="1">
      <c r="A756" s="339"/>
      <c r="B756" s="339"/>
      <c r="C756" s="339"/>
      <c r="D756" s="339"/>
      <c r="E756" s="339"/>
      <c r="F756" s="339"/>
      <c r="G756" s="340"/>
      <c r="H756" s="339"/>
      <c r="I756" s="339"/>
      <c r="J756" s="340"/>
      <c r="K756" s="339"/>
      <c r="L756" s="341"/>
      <c r="M756" s="339"/>
      <c r="N756" s="341"/>
      <c r="O756" s="341"/>
      <c r="P756" s="339"/>
      <c r="Q756" s="341"/>
      <c r="R756" s="340"/>
      <c r="S756" s="339"/>
      <c r="T756" s="341"/>
      <c r="U756" s="339"/>
      <c r="V756" s="339"/>
      <c r="W756" s="339"/>
      <c r="X756" s="340"/>
      <c r="Y756" s="339"/>
      <c r="Z756" s="339"/>
      <c r="AA756" s="339"/>
      <c r="AB756" s="342"/>
    </row>
    <row r="757" spans="1:28" ht="15.75" customHeight="1">
      <c r="A757" s="339"/>
      <c r="B757" s="339"/>
      <c r="C757" s="339"/>
      <c r="D757" s="339"/>
      <c r="E757" s="339"/>
      <c r="F757" s="339"/>
      <c r="G757" s="340"/>
      <c r="H757" s="339"/>
      <c r="I757" s="339"/>
      <c r="J757" s="340"/>
      <c r="K757" s="339"/>
      <c r="L757" s="341"/>
      <c r="M757" s="339"/>
      <c r="N757" s="341"/>
      <c r="O757" s="341"/>
      <c r="P757" s="339"/>
      <c r="Q757" s="341"/>
      <c r="R757" s="340"/>
      <c r="S757" s="339"/>
      <c r="T757" s="341"/>
      <c r="U757" s="339"/>
      <c r="V757" s="339"/>
      <c r="W757" s="339"/>
      <c r="X757" s="340"/>
      <c r="Y757" s="339"/>
      <c r="Z757" s="339"/>
      <c r="AA757" s="339"/>
      <c r="AB757" s="342"/>
    </row>
    <row r="758" spans="1:28" ht="15.75" customHeight="1">
      <c r="A758" s="339"/>
      <c r="B758" s="339"/>
      <c r="C758" s="339"/>
      <c r="D758" s="339"/>
      <c r="E758" s="339"/>
      <c r="F758" s="339"/>
      <c r="G758" s="340"/>
      <c r="H758" s="339"/>
      <c r="I758" s="339"/>
      <c r="J758" s="340"/>
      <c r="K758" s="339"/>
      <c r="L758" s="341"/>
      <c r="M758" s="339"/>
      <c r="N758" s="341"/>
      <c r="O758" s="341"/>
      <c r="P758" s="339"/>
      <c r="Q758" s="341"/>
      <c r="R758" s="340"/>
      <c r="S758" s="339"/>
      <c r="T758" s="341"/>
      <c r="U758" s="339"/>
      <c r="V758" s="339"/>
      <c r="W758" s="339"/>
      <c r="X758" s="340"/>
      <c r="Y758" s="339"/>
      <c r="Z758" s="339"/>
      <c r="AA758" s="339"/>
      <c r="AB758" s="342"/>
    </row>
    <row r="759" spans="1:28" ht="15.75" customHeight="1">
      <c r="A759" s="339"/>
      <c r="B759" s="339"/>
      <c r="C759" s="339"/>
      <c r="D759" s="339"/>
      <c r="E759" s="339"/>
      <c r="F759" s="339"/>
      <c r="G759" s="340"/>
      <c r="H759" s="339"/>
      <c r="I759" s="339"/>
      <c r="J759" s="340"/>
      <c r="K759" s="339"/>
      <c r="L759" s="341"/>
      <c r="M759" s="339"/>
      <c r="N759" s="341"/>
      <c r="O759" s="341"/>
      <c r="P759" s="339"/>
      <c r="Q759" s="341"/>
      <c r="R759" s="340"/>
      <c r="S759" s="339"/>
      <c r="T759" s="341"/>
      <c r="U759" s="339"/>
      <c r="V759" s="339"/>
      <c r="W759" s="339"/>
      <c r="X759" s="340"/>
      <c r="Y759" s="339"/>
      <c r="Z759" s="339"/>
      <c r="AA759" s="339"/>
      <c r="AB759" s="342"/>
    </row>
    <row r="760" spans="1:28" ht="15.75" customHeight="1">
      <c r="A760" s="339"/>
      <c r="B760" s="339"/>
      <c r="C760" s="339"/>
      <c r="D760" s="339"/>
      <c r="E760" s="339"/>
      <c r="F760" s="339"/>
      <c r="G760" s="340"/>
      <c r="H760" s="339"/>
      <c r="I760" s="339"/>
      <c r="J760" s="340"/>
      <c r="K760" s="339"/>
      <c r="L760" s="341"/>
      <c r="M760" s="339"/>
      <c r="N760" s="341"/>
      <c r="O760" s="341"/>
      <c r="P760" s="339"/>
      <c r="Q760" s="341"/>
      <c r="R760" s="340"/>
      <c r="S760" s="339"/>
      <c r="T760" s="341"/>
      <c r="U760" s="339"/>
      <c r="V760" s="339"/>
      <c r="W760" s="339"/>
      <c r="X760" s="340"/>
      <c r="Y760" s="339"/>
      <c r="Z760" s="339"/>
      <c r="AA760" s="339"/>
      <c r="AB760" s="342"/>
    </row>
    <row r="761" spans="1:28" ht="15.75" customHeight="1">
      <c r="A761" s="339"/>
      <c r="B761" s="339"/>
      <c r="C761" s="339"/>
      <c r="D761" s="339"/>
      <c r="E761" s="339"/>
      <c r="F761" s="339"/>
      <c r="G761" s="340"/>
      <c r="H761" s="339"/>
      <c r="I761" s="339"/>
      <c r="J761" s="340"/>
      <c r="K761" s="339"/>
      <c r="L761" s="341"/>
      <c r="M761" s="339"/>
      <c r="N761" s="341"/>
      <c r="O761" s="341"/>
      <c r="P761" s="339"/>
      <c r="Q761" s="341"/>
      <c r="R761" s="340"/>
      <c r="S761" s="339"/>
      <c r="T761" s="341"/>
      <c r="U761" s="339"/>
      <c r="V761" s="339"/>
      <c r="W761" s="339"/>
      <c r="X761" s="340"/>
      <c r="Y761" s="339"/>
      <c r="Z761" s="339"/>
      <c r="AA761" s="339"/>
      <c r="AB761" s="342"/>
    </row>
    <row r="762" spans="1:28" ht="15.75" customHeight="1">
      <c r="A762" s="339"/>
      <c r="B762" s="339"/>
      <c r="C762" s="339"/>
      <c r="D762" s="339"/>
      <c r="E762" s="339"/>
      <c r="F762" s="339"/>
      <c r="G762" s="340"/>
      <c r="H762" s="339"/>
      <c r="I762" s="339"/>
      <c r="J762" s="340"/>
      <c r="K762" s="339"/>
      <c r="L762" s="341"/>
      <c r="M762" s="339"/>
      <c r="N762" s="341"/>
      <c r="O762" s="341"/>
      <c r="P762" s="339"/>
      <c r="Q762" s="341"/>
      <c r="R762" s="340"/>
      <c r="S762" s="339"/>
      <c r="T762" s="341"/>
      <c r="U762" s="339"/>
      <c r="V762" s="339"/>
      <c r="W762" s="339"/>
      <c r="X762" s="340"/>
      <c r="Y762" s="339"/>
      <c r="Z762" s="339"/>
      <c r="AA762" s="339"/>
      <c r="AB762" s="342"/>
    </row>
    <row r="763" spans="1:28" ht="15.75" customHeight="1">
      <c r="A763" s="339"/>
      <c r="B763" s="339"/>
      <c r="C763" s="339"/>
      <c r="D763" s="339"/>
      <c r="E763" s="339"/>
      <c r="F763" s="339"/>
      <c r="G763" s="340"/>
      <c r="H763" s="339"/>
      <c r="I763" s="339"/>
      <c r="J763" s="340"/>
      <c r="K763" s="339"/>
      <c r="L763" s="341"/>
      <c r="M763" s="339"/>
      <c r="N763" s="341"/>
      <c r="O763" s="341"/>
      <c r="P763" s="339"/>
      <c r="Q763" s="341"/>
      <c r="R763" s="340"/>
      <c r="S763" s="339"/>
      <c r="T763" s="341"/>
      <c r="U763" s="339"/>
      <c r="V763" s="339"/>
      <c r="W763" s="339"/>
      <c r="X763" s="340"/>
      <c r="Y763" s="339"/>
      <c r="Z763" s="339"/>
      <c r="AA763" s="339"/>
      <c r="AB763" s="342"/>
    </row>
    <row r="764" spans="1:28" ht="15.75" customHeight="1">
      <c r="A764" s="339"/>
      <c r="B764" s="339"/>
      <c r="C764" s="339"/>
      <c r="D764" s="339"/>
      <c r="E764" s="339"/>
      <c r="F764" s="339"/>
      <c r="G764" s="340"/>
      <c r="H764" s="339"/>
      <c r="I764" s="339"/>
      <c r="J764" s="340"/>
      <c r="K764" s="339"/>
      <c r="L764" s="341"/>
      <c r="M764" s="339"/>
      <c r="N764" s="341"/>
      <c r="O764" s="341"/>
      <c r="P764" s="339"/>
      <c r="Q764" s="341"/>
      <c r="R764" s="340"/>
      <c r="S764" s="339"/>
      <c r="T764" s="341"/>
      <c r="U764" s="339"/>
      <c r="V764" s="339"/>
      <c r="W764" s="339"/>
      <c r="X764" s="340"/>
      <c r="Y764" s="339"/>
      <c r="Z764" s="339"/>
      <c r="AA764" s="339"/>
      <c r="AB764" s="342"/>
    </row>
    <row r="765" spans="1:28" ht="15.75" customHeight="1">
      <c r="A765" s="339"/>
      <c r="B765" s="339"/>
      <c r="C765" s="339"/>
      <c r="D765" s="339"/>
      <c r="E765" s="339"/>
      <c r="F765" s="339"/>
      <c r="G765" s="340"/>
      <c r="H765" s="339"/>
      <c r="I765" s="339"/>
      <c r="J765" s="340"/>
      <c r="K765" s="339"/>
      <c r="L765" s="341"/>
      <c r="M765" s="339"/>
      <c r="N765" s="341"/>
      <c r="O765" s="341"/>
      <c r="P765" s="339"/>
      <c r="Q765" s="341"/>
      <c r="R765" s="340"/>
      <c r="S765" s="339"/>
      <c r="T765" s="341"/>
      <c r="U765" s="339"/>
      <c r="V765" s="339"/>
      <c r="W765" s="339"/>
      <c r="X765" s="340"/>
      <c r="Y765" s="339"/>
      <c r="Z765" s="339"/>
      <c r="AA765" s="339"/>
      <c r="AB765" s="342"/>
    </row>
    <row r="766" spans="1:28" ht="15.75" customHeight="1">
      <c r="A766" s="339"/>
      <c r="B766" s="339"/>
      <c r="C766" s="339"/>
      <c r="D766" s="339"/>
      <c r="E766" s="339"/>
      <c r="F766" s="339"/>
      <c r="G766" s="340"/>
      <c r="H766" s="339"/>
      <c r="I766" s="339"/>
      <c r="J766" s="340"/>
      <c r="K766" s="339"/>
      <c r="L766" s="341"/>
      <c r="M766" s="339"/>
      <c r="N766" s="341"/>
      <c r="O766" s="341"/>
      <c r="P766" s="339"/>
      <c r="Q766" s="341"/>
      <c r="R766" s="340"/>
      <c r="S766" s="339"/>
      <c r="T766" s="341"/>
      <c r="U766" s="339"/>
      <c r="V766" s="339"/>
      <c r="W766" s="339"/>
      <c r="X766" s="340"/>
      <c r="Y766" s="339"/>
      <c r="Z766" s="339"/>
      <c r="AA766" s="339"/>
      <c r="AB766" s="342"/>
    </row>
    <row r="767" spans="1:28" ht="15.75" customHeight="1">
      <c r="A767" s="339"/>
      <c r="B767" s="339"/>
      <c r="C767" s="339"/>
      <c r="D767" s="339"/>
      <c r="E767" s="339"/>
      <c r="F767" s="339"/>
      <c r="G767" s="340"/>
      <c r="H767" s="339"/>
      <c r="I767" s="339"/>
      <c r="J767" s="340"/>
      <c r="K767" s="339"/>
      <c r="L767" s="341"/>
      <c r="M767" s="339"/>
      <c r="N767" s="341"/>
      <c r="O767" s="341"/>
      <c r="P767" s="339"/>
      <c r="Q767" s="341"/>
      <c r="R767" s="340"/>
      <c r="S767" s="339"/>
      <c r="T767" s="341"/>
      <c r="U767" s="339"/>
      <c r="V767" s="339"/>
      <c r="W767" s="339"/>
      <c r="X767" s="340"/>
      <c r="Y767" s="339"/>
      <c r="Z767" s="339"/>
      <c r="AA767" s="339"/>
      <c r="AB767" s="342"/>
    </row>
    <row r="768" spans="1:28" ht="15.75" customHeight="1">
      <c r="A768" s="339"/>
      <c r="B768" s="339"/>
      <c r="C768" s="339"/>
      <c r="D768" s="339"/>
      <c r="E768" s="339"/>
      <c r="F768" s="339"/>
      <c r="G768" s="340"/>
      <c r="H768" s="339"/>
      <c r="I768" s="339"/>
      <c r="J768" s="340"/>
      <c r="K768" s="339"/>
      <c r="L768" s="341"/>
      <c r="M768" s="339"/>
      <c r="N768" s="341"/>
      <c r="O768" s="341"/>
      <c r="P768" s="339"/>
      <c r="Q768" s="341"/>
      <c r="R768" s="340"/>
      <c r="S768" s="339"/>
      <c r="T768" s="341"/>
      <c r="U768" s="339"/>
      <c r="V768" s="339"/>
      <c r="W768" s="339"/>
      <c r="X768" s="340"/>
      <c r="Y768" s="339"/>
      <c r="Z768" s="339"/>
      <c r="AA768" s="339"/>
      <c r="AB768" s="342"/>
    </row>
    <row r="769" spans="1:28" ht="15.75" customHeight="1">
      <c r="A769" s="339"/>
      <c r="B769" s="339"/>
      <c r="C769" s="339"/>
      <c r="D769" s="339"/>
      <c r="E769" s="339"/>
      <c r="F769" s="339"/>
      <c r="G769" s="340"/>
      <c r="H769" s="339"/>
      <c r="I769" s="339"/>
      <c r="J769" s="340"/>
      <c r="K769" s="339"/>
      <c r="L769" s="341"/>
      <c r="M769" s="339"/>
      <c r="N769" s="341"/>
      <c r="O769" s="341"/>
      <c r="P769" s="339"/>
      <c r="Q769" s="341"/>
      <c r="R769" s="340"/>
      <c r="S769" s="339"/>
      <c r="T769" s="341"/>
      <c r="U769" s="339"/>
      <c r="V769" s="339"/>
      <c r="W769" s="339"/>
      <c r="X769" s="340"/>
      <c r="Y769" s="339"/>
      <c r="Z769" s="339"/>
      <c r="AA769" s="339"/>
      <c r="AB769" s="342"/>
    </row>
    <row r="770" spans="1:28" ht="15.75" customHeight="1">
      <c r="A770" s="339"/>
      <c r="B770" s="339"/>
      <c r="C770" s="339"/>
      <c r="D770" s="339"/>
      <c r="E770" s="339"/>
      <c r="F770" s="339"/>
      <c r="G770" s="340"/>
      <c r="H770" s="339"/>
      <c r="I770" s="339"/>
      <c r="J770" s="340"/>
      <c r="K770" s="339"/>
      <c r="L770" s="341"/>
      <c r="M770" s="339"/>
      <c r="N770" s="341"/>
      <c r="O770" s="341"/>
      <c r="P770" s="339"/>
      <c r="Q770" s="341"/>
      <c r="R770" s="340"/>
      <c r="S770" s="339"/>
      <c r="T770" s="341"/>
      <c r="U770" s="339"/>
      <c r="V770" s="339"/>
      <c r="W770" s="339"/>
      <c r="X770" s="340"/>
      <c r="Y770" s="339"/>
      <c r="Z770" s="339"/>
      <c r="AA770" s="339"/>
      <c r="AB770" s="342"/>
    </row>
    <row r="771" spans="1:28" ht="15.75" customHeight="1">
      <c r="A771" s="339"/>
      <c r="B771" s="339"/>
      <c r="C771" s="339"/>
      <c r="D771" s="339"/>
      <c r="E771" s="339"/>
      <c r="F771" s="339"/>
      <c r="G771" s="340"/>
      <c r="H771" s="339"/>
      <c r="I771" s="339"/>
      <c r="J771" s="340"/>
      <c r="K771" s="339"/>
      <c r="L771" s="341"/>
      <c r="M771" s="339"/>
      <c r="N771" s="341"/>
      <c r="O771" s="341"/>
      <c r="P771" s="339"/>
      <c r="Q771" s="341"/>
      <c r="R771" s="340"/>
      <c r="S771" s="339"/>
      <c r="T771" s="341"/>
      <c r="U771" s="339"/>
      <c r="V771" s="339"/>
      <c r="W771" s="339"/>
      <c r="X771" s="340"/>
      <c r="Y771" s="339"/>
      <c r="Z771" s="339"/>
      <c r="AA771" s="339"/>
      <c r="AB771" s="342"/>
    </row>
    <row r="772" spans="1:28" ht="15.75" customHeight="1">
      <c r="A772" s="339"/>
      <c r="B772" s="339"/>
      <c r="C772" s="339"/>
      <c r="D772" s="339"/>
      <c r="E772" s="339"/>
      <c r="F772" s="339"/>
      <c r="G772" s="340"/>
      <c r="H772" s="339"/>
      <c r="I772" s="339"/>
      <c r="J772" s="340"/>
      <c r="K772" s="339"/>
      <c r="L772" s="341"/>
      <c r="M772" s="339"/>
      <c r="N772" s="341"/>
      <c r="O772" s="341"/>
      <c r="P772" s="339"/>
      <c r="Q772" s="341"/>
      <c r="R772" s="340"/>
      <c r="S772" s="339"/>
      <c r="T772" s="341"/>
      <c r="U772" s="339"/>
      <c r="V772" s="339"/>
      <c r="W772" s="339"/>
      <c r="X772" s="340"/>
      <c r="Y772" s="339"/>
      <c r="Z772" s="339"/>
      <c r="AA772" s="339"/>
      <c r="AB772" s="342"/>
    </row>
    <row r="773" spans="1:28" ht="15.75" customHeight="1">
      <c r="A773" s="339"/>
      <c r="B773" s="339"/>
      <c r="C773" s="339"/>
      <c r="D773" s="339"/>
      <c r="E773" s="339"/>
      <c r="F773" s="339"/>
      <c r="G773" s="340"/>
      <c r="H773" s="339"/>
      <c r="I773" s="339"/>
      <c r="J773" s="340"/>
      <c r="K773" s="339"/>
      <c r="L773" s="341"/>
      <c r="M773" s="339"/>
      <c r="N773" s="341"/>
      <c r="O773" s="341"/>
      <c r="P773" s="339"/>
      <c r="Q773" s="341"/>
      <c r="R773" s="340"/>
      <c r="S773" s="339"/>
      <c r="T773" s="341"/>
      <c r="U773" s="339"/>
      <c r="V773" s="339"/>
      <c r="W773" s="339"/>
      <c r="X773" s="340"/>
      <c r="Y773" s="339"/>
      <c r="Z773" s="339"/>
      <c r="AA773" s="339"/>
      <c r="AB773" s="342"/>
    </row>
    <row r="774" spans="1:28" ht="15.75" customHeight="1">
      <c r="A774" s="339"/>
      <c r="B774" s="339"/>
      <c r="C774" s="339"/>
      <c r="D774" s="339"/>
      <c r="E774" s="339"/>
      <c r="F774" s="339"/>
      <c r="G774" s="340"/>
      <c r="H774" s="339"/>
      <c r="I774" s="339"/>
      <c r="J774" s="340"/>
      <c r="K774" s="339"/>
      <c r="L774" s="341"/>
      <c r="M774" s="339"/>
      <c r="N774" s="341"/>
      <c r="O774" s="341"/>
      <c r="P774" s="339"/>
      <c r="Q774" s="341"/>
      <c r="R774" s="340"/>
      <c r="S774" s="339"/>
      <c r="T774" s="341"/>
      <c r="U774" s="339"/>
      <c r="V774" s="339"/>
      <c r="W774" s="339"/>
      <c r="X774" s="340"/>
      <c r="Y774" s="339"/>
      <c r="Z774" s="339"/>
      <c r="AA774" s="339"/>
      <c r="AB774" s="342"/>
    </row>
    <row r="775" spans="1:28" ht="15.75" customHeight="1">
      <c r="A775" s="339"/>
      <c r="B775" s="339"/>
      <c r="C775" s="339"/>
      <c r="D775" s="339"/>
      <c r="E775" s="339"/>
      <c r="F775" s="339"/>
      <c r="G775" s="340"/>
      <c r="H775" s="339"/>
      <c r="I775" s="339"/>
      <c r="J775" s="340"/>
      <c r="K775" s="339"/>
      <c r="L775" s="341"/>
      <c r="M775" s="339"/>
      <c r="N775" s="341"/>
      <c r="O775" s="341"/>
      <c r="P775" s="339"/>
      <c r="Q775" s="341"/>
      <c r="R775" s="340"/>
      <c r="S775" s="339"/>
      <c r="T775" s="341"/>
      <c r="U775" s="339"/>
      <c r="V775" s="339"/>
      <c r="W775" s="339"/>
      <c r="X775" s="340"/>
      <c r="Y775" s="339"/>
      <c r="Z775" s="339"/>
      <c r="AA775" s="339"/>
      <c r="AB775" s="342"/>
    </row>
    <row r="776" spans="1:28" ht="15.75" customHeight="1">
      <c r="A776" s="339"/>
      <c r="B776" s="339"/>
      <c r="C776" s="339"/>
      <c r="D776" s="339"/>
      <c r="E776" s="339"/>
      <c r="F776" s="339"/>
      <c r="G776" s="340"/>
      <c r="H776" s="339"/>
      <c r="I776" s="339"/>
      <c r="J776" s="340"/>
      <c r="K776" s="339"/>
      <c r="L776" s="341"/>
      <c r="M776" s="339"/>
      <c r="N776" s="341"/>
      <c r="O776" s="341"/>
      <c r="P776" s="339"/>
      <c r="Q776" s="341"/>
      <c r="R776" s="340"/>
      <c r="S776" s="339"/>
      <c r="T776" s="341"/>
      <c r="U776" s="339"/>
      <c r="V776" s="339"/>
      <c r="W776" s="339"/>
      <c r="X776" s="340"/>
      <c r="Y776" s="339"/>
      <c r="Z776" s="339"/>
      <c r="AA776" s="339"/>
      <c r="AB776" s="342"/>
    </row>
    <row r="777" spans="1:28" ht="15.75" customHeight="1">
      <c r="A777" s="339"/>
      <c r="B777" s="339"/>
      <c r="C777" s="339"/>
      <c r="D777" s="339"/>
      <c r="E777" s="339"/>
      <c r="F777" s="339"/>
      <c r="G777" s="340"/>
      <c r="H777" s="339"/>
      <c r="I777" s="339"/>
      <c r="J777" s="340"/>
      <c r="K777" s="339"/>
      <c r="L777" s="341"/>
      <c r="M777" s="339"/>
      <c r="N777" s="341"/>
      <c r="O777" s="341"/>
      <c r="P777" s="339"/>
      <c r="Q777" s="341"/>
      <c r="R777" s="340"/>
      <c r="S777" s="339"/>
      <c r="T777" s="341"/>
      <c r="U777" s="339"/>
      <c r="V777" s="339"/>
      <c r="W777" s="339"/>
      <c r="X777" s="340"/>
      <c r="Y777" s="339"/>
      <c r="Z777" s="339"/>
      <c r="AA777" s="339"/>
      <c r="AB777" s="342"/>
    </row>
    <row r="778" spans="1:28" ht="15.75" customHeight="1">
      <c r="A778" s="339"/>
      <c r="B778" s="339"/>
      <c r="C778" s="339"/>
      <c r="D778" s="339"/>
      <c r="E778" s="339"/>
      <c r="F778" s="339"/>
      <c r="G778" s="340"/>
      <c r="H778" s="339"/>
      <c r="I778" s="339"/>
      <c r="J778" s="340"/>
      <c r="K778" s="339"/>
      <c r="L778" s="341"/>
      <c r="M778" s="339"/>
      <c r="N778" s="341"/>
      <c r="O778" s="341"/>
      <c r="P778" s="339"/>
      <c r="Q778" s="341"/>
      <c r="R778" s="340"/>
      <c r="S778" s="339"/>
      <c r="T778" s="341"/>
      <c r="U778" s="339"/>
      <c r="V778" s="339"/>
      <c r="W778" s="339"/>
      <c r="X778" s="340"/>
      <c r="Y778" s="339"/>
      <c r="Z778" s="339"/>
      <c r="AA778" s="339"/>
      <c r="AB778" s="342"/>
    </row>
    <row r="779" spans="1:28" ht="15.75" customHeight="1">
      <c r="A779" s="339"/>
      <c r="B779" s="339"/>
      <c r="C779" s="339"/>
      <c r="D779" s="339"/>
      <c r="E779" s="339"/>
      <c r="F779" s="339"/>
      <c r="G779" s="340"/>
      <c r="H779" s="339"/>
      <c r="I779" s="339"/>
      <c r="J779" s="340"/>
      <c r="K779" s="339"/>
      <c r="L779" s="341"/>
      <c r="M779" s="339"/>
      <c r="N779" s="341"/>
      <c r="O779" s="341"/>
      <c r="P779" s="339"/>
      <c r="Q779" s="341"/>
      <c r="R779" s="340"/>
      <c r="S779" s="339"/>
      <c r="T779" s="341"/>
      <c r="U779" s="339"/>
      <c r="V779" s="339"/>
      <c r="W779" s="339"/>
      <c r="X779" s="340"/>
      <c r="Y779" s="339"/>
      <c r="Z779" s="339"/>
      <c r="AA779" s="339"/>
      <c r="AB779" s="342"/>
    </row>
    <row r="780" spans="1:28" ht="15.75" customHeight="1">
      <c r="A780" s="339"/>
      <c r="B780" s="339"/>
      <c r="C780" s="339"/>
      <c r="D780" s="339"/>
      <c r="E780" s="339"/>
      <c r="F780" s="339"/>
      <c r="G780" s="340"/>
      <c r="H780" s="339"/>
      <c r="I780" s="339"/>
      <c r="J780" s="340"/>
      <c r="K780" s="339"/>
      <c r="L780" s="341"/>
      <c r="M780" s="339"/>
      <c r="N780" s="341"/>
      <c r="O780" s="341"/>
      <c r="P780" s="339"/>
      <c r="Q780" s="341"/>
      <c r="R780" s="340"/>
      <c r="S780" s="339"/>
      <c r="T780" s="341"/>
      <c r="U780" s="339"/>
      <c r="V780" s="339"/>
      <c r="W780" s="339"/>
      <c r="X780" s="340"/>
      <c r="Y780" s="339"/>
      <c r="Z780" s="339"/>
      <c r="AA780" s="339"/>
      <c r="AB780" s="342"/>
    </row>
    <row r="781" spans="1:28" ht="15.75" customHeight="1">
      <c r="A781" s="339"/>
      <c r="B781" s="339"/>
      <c r="C781" s="339"/>
      <c r="D781" s="339"/>
      <c r="E781" s="339"/>
      <c r="F781" s="339"/>
      <c r="G781" s="340"/>
      <c r="H781" s="339"/>
      <c r="I781" s="339"/>
      <c r="J781" s="340"/>
      <c r="K781" s="339"/>
      <c r="L781" s="341"/>
      <c r="M781" s="339"/>
      <c r="N781" s="341"/>
      <c r="O781" s="341"/>
      <c r="P781" s="339"/>
      <c r="Q781" s="341"/>
      <c r="R781" s="340"/>
      <c r="S781" s="339"/>
      <c r="T781" s="341"/>
      <c r="U781" s="339"/>
      <c r="V781" s="339"/>
      <c r="W781" s="339"/>
      <c r="X781" s="340"/>
      <c r="Y781" s="339"/>
      <c r="Z781" s="339"/>
      <c r="AA781" s="339"/>
      <c r="AB781" s="342"/>
    </row>
    <row r="782" spans="1:28" ht="15.75" customHeight="1">
      <c r="A782" s="339"/>
      <c r="B782" s="339"/>
      <c r="C782" s="339"/>
      <c r="D782" s="339"/>
      <c r="E782" s="339"/>
      <c r="F782" s="339"/>
      <c r="G782" s="340"/>
      <c r="H782" s="339"/>
      <c r="I782" s="339"/>
      <c r="J782" s="340"/>
      <c r="K782" s="339"/>
      <c r="L782" s="341"/>
      <c r="M782" s="339"/>
      <c r="N782" s="341"/>
      <c r="O782" s="341"/>
      <c r="P782" s="339"/>
      <c r="Q782" s="341"/>
      <c r="R782" s="340"/>
      <c r="S782" s="339"/>
      <c r="T782" s="341"/>
      <c r="U782" s="339"/>
      <c r="V782" s="339"/>
      <c r="W782" s="339"/>
      <c r="X782" s="340"/>
      <c r="Y782" s="339"/>
      <c r="Z782" s="339"/>
      <c r="AA782" s="339"/>
      <c r="AB782" s="342"/>
    </row>
    <row r="783" spans="1:28" ht="15.75" customHeight="1">
      <c r="A783" s="339"/>
      <c r="B783" s="339"/>
      <c r="C783" s="339"/>
      <c r="D783" s="339"/>
      <c r="E783" s="339"/>
      <c r="F783" s="339"/>
      <c r="G783" s="340"/>
      <c r="H783" s="339"/>
      <c r="I783" s="339"/>
      <c r="J783" s="340"/>
      <c r="K783" s="339"/>
      <c r="L783" s="341"/>
      <c r="M783" s="339"/>
      <c r="N783" s="341"/>
      <c r="O783" s="341"/>
      <c r="P783" s="339"/>
      <c r="Q783" s="341"/>
      <c r="R783" s="340"/>
      <c r="S783" s="339"/>
      <c r="T783" s="341"/>
      <c r="U783" s="339"/>
      <c r="V783" s="339"/>
      <c r="W783" s="339"/>
      <c r="X783" s="340"/>
      <c r="Y783" s="339"/>
      <c r="Z783" s="339"/>
      <c r="AA783" s="339"/>
      <c r="AB783" s="342"/>
    </row>
    <row r="784" spans="1:28" ht="15.75" customHeight="1">
      <c r="A784" s="339"/>
      <c r="B784" s="339"/>
      <c r="C784" s="339"/>
      <c r="D784" s="339"/>
      <c r="E784" s="339"/>
      <c r="F784" s="339"/>
      <c r="G784" s="340"/>
      <c r="H784" s="339"/>
      <c r="I784" s="339"/>
      <c r="J784" s="340"/>
      <c r="K784" s="339"/>
      <c r="L784" s="341"/>
      <c r="M784" s="339"/>
      <c r="N784" s="341"/>
      <c r="O784" s="341"/>
      <c r="P784" s="339"/>
      <c r="Q784" s="341"/>
      <c r="R784" s="340"/>
      <c r="S784" s="339"/>
      <c r="T784" s="341"/>
      <c r="U784" s="339"/>
      <c r="V784" s="339"/>
      <c r="W784" s="339"/>
      <c r="X784" s="340"/>
      <c r="Y784" s="339"/>
      <c r="Z784" s="339"/>
      <c r="AA784" s="339"/>
      <c r="AB784" s="342"/>
    </row>
    <row r="785" spans="1:28" ht="15.75" customHeight="1">
      <c r="A785" s="339"/>
      <c r="B785" s="339"/>
      <c r="C785" s="339"/>
      <c r="D785" s="339"/>
      <c r="E785" s="339"/>
      <c r="F785" s="339"/>
      <c r="G785" s="340"/>
      <c r="H785" s="339"/>
      <c r="I785" s="339"/>
      <c r="J785" s="340"/>
      <c r="K785" s="339"/>
      <c r="L785" s="341"/>
      <c r="M785" s="339"/>
      <c r="N785" s="341"/>
      <c r="O785" s="341"/>
      <c r="P785" s="339"/>
      <c r="Q785" s="341"/>
      <c r="R785" s="340"/>
      <c r="S785" s="339"/>
      <c r="T785" s="341"/>
      <c r="U785" s="339"/>
      <c r="V785" s="339"/>
      <c r="W785" s="339"/>
      <c r="X785" s="340"/>
      <c r="Y785" s="339"/>
      <c r="Z785" s="339"/>
      <c r="AA785" s="339"/>
      <c r="AB785" s="342"/>
    </row>
    <row r="786" spans="1:28" ht="15.75" customHeight="1">
      <c r="A786" s="339"/>
      <c r="B786" s="339"/>
      <c r="C786" s="339"/>
      <c r="D786" s="339"/>
      <c r="E786" s="339"/>
      <c r="F786" s="339"/>
      <c r="G786" s="340"/>
      <c r="H786" s="339"/>
      <c r="I786" s="339"/>
      <c r="J786" s="340"/>
      <c r="K786" s="339"/>
      <c r="L786" s="341"/>
      <c r="M786" s="339"/>
      <c r="N786" s="341"/>
      <c r="O786" s="341"/>
      <c r="P786" s="339"/>
      <c r="Q786" s="341"/>
      <c r="R786" s="340"/>
      <c r="S786" s="339"/>
      <c r="T786" s="341"/>
      <c r="U786" s="339"/>
      <c r="V786" s="339"/>
      <c r="W786" s="339"/>
      <c r="X786" s="340"/>
      <c r="Y786" s="339"/>
      <c r="Z786" s="339"/>
      <c r="AA786" s="339"/>
      <c r="AB786" s="342"/>
    </row>
    <row r="787" spans="1:28" ht="15.75" customHeight="1">
      <c r="A787" s="339"/>
      <c r="B787" s="339"/>
      <c r="C787" s="339"/>
      <c r="D787" s="339"/>
      <c r="E787" s="339"/>
      <c r="F787" s="339"/>
      <c r="G787" s="340"/>
      <c r="H787" s="339"/>
      <c r="I787" s="339"/>
      <c r="J787" s="340"/>
      <c r="K787" s="339"/>
      <c r="L787" s="341"/>
      <c r="M787" s="339"/>
      <c r="N787" s="341"/>
      <c r="O787" s="341"/>
      <c r="P787" s="339"/>
      <c r="Q787" s="341"/>
      <c r="R787" s="340"/>
      <c r="S787" s="339"/>
      <c r="T787" s="341"/>
      <c r="U787" s="339"/>
      <c r="V787" s="339"/>
      <c r="W787" s="339"/>
      <c r="X787" s="340"/>
      <c r="Y787" s="339"/>
      <c r="Z787" s="339"/>
      <c r="AA787" s="339"/>
      <c r="AB787" s="342"/>
    </row>
    <row r="788" spans="1:28" ht="15.75" customHeight="1">
      <c r="A788" s="339"/>
      <c r="B788" s="339"/>
      <c r="C788" s="339"/>
      <c r="D788" s="339"/>
      <c r="E788" s="339"/>
      <c r="F788" s="339"/>
      <c r="G788" s="340"/>
      <c r="H788" s="339"/>
      <c r="I788" s="339"/>
      <c r="J788" s="340"/>
      <c r="K788" s="339"/>
      <c r="L788" s="341"/>
      <c r="M788" s="339"/>
      <c r="N788" s="341"/>
      <c r="O788" s="341"/>
      <c r="P788" s="339"/>
      <c r="Q788" s="341"/>
      <c r="R788" s="340"/>
      <c r="S788" s="339"/>
      <c r="T788" s="341"/>
      <c r="U788" s="339"/>
      <c r="V788" s="339"/>
      <c r="W788" s="339"/>
      <c r="X788" s="340"/>
      <c r="Y788" s="339"/>
      <c r="Z788" s="339"/>
      <c r="AA788" s="339"/>
      <c r="AB788" s="342"/>
    </row>
    <row r="789" spans="1:28" ht="15.75" customHeight="1">
      <c r="A789" s="339"/>
      <c r="B789" s="339"/>
      <c r="C789" s="339"/>
      <c r="D789" s="339"/>
      <c r="E789" s="339"/>
      <c r="F789" s="339"/>
      <c r="G789" s="340"/>
      <c r="H789" s="339"/>
      <c r="I789" s="339"/>
      <c r="J789" s="340"/>
      <c r="K789" s="339"/>
      <c r="L789" s="341"/>
      <c r="M789" s="339"/>
      <c r="N789" s="341"/>
      <c r="O789" s="341"/>
      <c r="P789" s="339"/>
      <c r="Q789" s="341"/>
      <c r="R789" s="340"/>
      <c r="S789" s="339"/>
      <c r="T789" s="341"/>
      <c r="U789" s="339"/>
      <c r="V789" s="339"/>
      <c r="W789" s="339"/>
      <c r="X789" s="340"/>
      <c r="Y789" s="339"/>
      <c r="Z789" s="339"/>
      <c r="AA789" s="339"/>
      <c r="AB789" s="342"/>
    </row>
    <row r="790" spans="1:28" ht="15.75" customHeight="1">
      <c r="A790" s="339"/>
      <c r="B790" s="339"/>
      <c r="C790" s="339"/>
      <c r="D790" s="339"/>
      <c r="E790" s="339"/>
      <c r="F790" s="339"/>
      <c r="G790" s="340"/>
      <c r="H790" s="339"/>
      <c r="I790" s="339"/>
      <c r="J790" s="340"/>
      <c r="K790" s="339"/>
      <c r="L790" s="341"/>
      <c r="M790" s="339"/>
      <c r="N790" s="341"/>
      <c r="O790" s="341"/>
      <c r="P790" s="339"/>
      <c r="Q790" s="341"/>
      <c r="R790" s="340"/>
      <c r="S790" s="339"/>
      <c r="T790" s="341"/>
      <c r="U790" s="339"/>
      <c r="V790" s="339"/>
      <c r="W790" s="339"/>
      <c r="X790" s="340"/>
      <c r="Y790" s="339"/>
      <c r="Z790" s="339"/>
      <c r="AA790" s="339"/>
      <c r="AB790" s="342"/>
    </row>
    <row r="791" spans="1:28" ht="15.75" customHeight="1">
      <c r="A791" s="339"/>
      <c r="B791" s="339"/>
      <c r="C791" s="339"/>
      <c r="D791" s="339"/>
      <c r="E791" s="339"/>
      <c r="F791" s="339"/>
      <c r="G791" s="340"/>
      <c r="H791" s="339"/>
      <c r="I791" s="339"/>
      <c r="J791" s="340"/>
      <c r="K791" s="339"/>
      <c r="L791" s="341"/>
      <c r="M791" s="339"/>
      <c r="N791" s="341"/>
      <c r="O791" s="341"/>
      <c r="P791" s="339"/>
      <c r="Q791" s="341"/>
      <c r="R791" s="340"/>
      <c r="S791" s="339"/>
      <c r="T791" s="341"/>
      <c r="U791" s="339"/>
      <c r="V791" s="339"/>
      <c r="W791" s="339"/>
      <c r="X791" s="340"/>
      <c r="Y791" s="339"/>
      <c r="Z791" s="339"/>
      <c r="AA791" s="339"/>
      <c r="AB791" s="342"/>
    </row>
    <row r="792" spans="1:28" ht="15.75" customHeight="1">
      <c r="A792" s="339"/>
      <c r="B792" s="339"/>
      <c r="C792" s="339"/>
      <c r="D792" s="339"/>
      <c r="E792" s="339"/>
      <c r="F792" s="339"/>
      <c r="G792" s="340"/>
      <c r="H792" s="339"/>
      <c r="I792" s="339"/>
      <c r="J792" s="340"/>
      <c r="K792" s="339"/>
      <c r="L792" s="341"/>
      <c r="M792" s="339"/>
      <c r="N792" s="341"/>
      <c r="O792" s="341"/>
      <c r="P792" s="339"/>
      <c r="Q792" s="341"/>
      <c r="R792" s="340"/>
      <c r="S792" s="339"/>
      <c r="T792" s="341"/>
      <c r="U792" s="339"/>
      <c r="V792" s="339"/>
      <c r="W792" s="339"/>
      <c r="X792" s="340"/>
      <c r="Y792" s="339"/>
      <c r="Z792" s="339"/>
      <c r="AA792" s="339"/>
      <c r="AB792" s="342"/>
    </row>
    <row r="793" spans="1:28" ht="15.75" customHeight="1">
      <c r="A793" s="339"/>
      <c r="B793" s="339"/>
      <c r="C793" s="339"/>
      <c r="D793" s="339"/>
      <c r="E793" s="339"/>
      <c r="F793" s="339"/>
      <c r="G793" s="340"/>
      <c r="H793" s="339"/>
      <c r="I793" s="339"/>
      <c r="J793" s="340"/>
      <c r="K793" s="339"/>
      <c r="L793" s="341"/>
      <c r="M793" s="339"/>
      <c r="N793" s="341"/>
      <c r="O793" s="341"/>
      <c r="P793" s="339"/>
      <c r="Q793" s="341"/>
      <c r="R793" s="340"/>
      <c r="S793" s="339"/>
      <c r="T793" s="341"/>
      <c r="U793" s="339"/>
      <c r="V793" s="339"/>
      <c r="W793" s="339"/>
      <c r="X793" s="340"/>
      <c r="Y793" s="339"/>
      <c r="Z793" s="339"/>
      <c r="AA793" s="339"/>
      <c r="AB793" s="342"/>
    </row>
    <row r="794" spans="1:28" ht="15.75" customHeight="1">
      <c r="A794" s="339"/>
      <c r="B794" s="339"/>
      <c r="C794" s="339"/>
      <c r="D794" s="339"/>
      <c r="E794" s="339"/>
      <c r="F794" s="339"/>
      <c r="G794" s="340"/>
      <c r="H794" s="339"/>
      <c r="I794" s="339"/>
      <c r="J794" s="340"/>
      <c r="K794" s="339"/>
      <c r="L794" s="341"/>
      <c r="M794" s="339"/>
      <c r="N794" s="341"/>
      <c r="O794" s="341"/>
      <c r="P794" s="339"/>
      <c r="Q794" s="341"/>
      <c r="R794" s="340"/>
      <c r="S794" s="339"/>
      <c r="T794" s="341"/>
      <c r="U794" s="339"/>
      <c r="V794" s="339"/>
      <c r="W794" s="339"/>
      <c r="X794" s="340"/>
      <c r="Y794" s="339"/>
      <c r="Z794" s="339"/>
      <c r="AA794" s="339"/>
      <c r="AB794" s="342"/>
    </row>
    <row r="795" spans="1:28" ht="15.75" customHeight="1">
      <c r="A795" s="339"/>
      <c r="B795" s="339"/>
      <c r="C795" s="339"/>
      <c r="D795" s="339"/>
      <c r="E795" s="339"/>
      <c r="F795" s="339"/>
      <c r="G795" s="340"/>
      <c r="H795" s="339"/>
      <c r="I795" s="339"/>
      <c r="J795" s="340"/>
      <c r="K795" s="339"/>
      <c r="L795" s="341"/>
      <c r="M795" s="339"/>
      <c r="N795" s="341"/>
      <c r="O795" s="341"/>
      <c r="P795" s="339"/>
      <c r="Q795" s="341"/>
      <c r="R795" s="340"/>
      <c r="S795" s="339"/>
      <c r="T795" s="341"/>
      <c r="U795" s="339"/>
      <c r="V795" s="339"/>
      <c r="W795" s="339"/>
      <c r="X795" s="340"/>
      <c r="Y795" s="339"/>
      <c r="Z795" s="339"/>
      <c r="AA795" s="339"/>
      <c r="AB795" s="342"/>
    </row>
    <row r="796" spans="1:28" ht="15.75" customHeight="1">
      <c r="A796" s="339"/>
      <c r="B796" s="339"/>
      <c r="C796" s="339"/>
      <c r="D796" s="339"/>
      <c r="E796" s="339"/>
      <c r="F796" s="339"/>
      <c r="G796" s="340"/>
      <c r="H796" s="339"/>
      <c r="I796" s="339"/>
      <c r="J796" s="340"/>
      <c r="K796" s="339"/>
      <c r="L796" s="341"/>
      <c r="M796" s="339"/>
      <c r="N796" s="341"/>
      <c r="O796" s="341"/>
      <c r="P796" s="339"/>
      <c r="Q796" s="341"/>
      <c r="R796" s="340"/>
      <c r="S796" s="339"/>
      <c r="T796" s="341"/>
      <c r="U796" s="339"/>
      <c r="V796" s="339"/>
      <c r="W796" s="339"/>
      <c r="X796" s="340"/>
      <c r="Y796" s="339"/>
      <c r="Z796" s="339"/>
      <c r="AA796" s="339"/>
      <c r="AB796" s="342"/>
    </row>
    <row r="797" spans="1:28" ht="15.75" customHeight="1">
      <c r="A797" s="339"/>
      <c r="B797" s="339"/>
      <c r="C797" s="339"/>
      <c r="D797" s="339"/>
      <c r="E797" s="339"/>
      <c r="F797" s="339"/>
      <c r="G797" s="340"/>
      <c r="H797" s="339"/>
      <c r="I797" s="339"/>
      <c r="J797" s="340"/>
      <c r="K797" s="339"/>
      <c r="L797" s="341"/>
      <c r="M797" s="339"/>
      <c r="N797" s="341"/>
      <c r="O797" s="341"/>
      <c r="P797" s="339"/>
      <c r="Q797" s="341"/>
      <c r="R797" s="340"/>
      <c r="S797" s="339"/>
      <c r="T797" s="341"/>
      <c r="U797" s="339"/>
      <c r="V797" s="339"/>
      <c r="W797" s="339"/>
      <c r="X797" s="340"/>
      <c r="Y797" s="339"/>
      <c r="Z797" s="339"/>
      <c r="AA797" s="339"/>
      <c r="AB797" s="342"/>
    </row>
    <row r="798" spans="1:28" ht="15.75" customHeight="1">
      <c r="A798" s="339"/>
      <c r="B798" s="339"/>
      <c r="C798" s="339"/>
      <c r="D798" s="339"/>
      <c r="E798" s="339"/>
      <c r="F798" s="339"/>
      <c r="G798" s="340"/>
      <c r="H798" s="339"/>
      <c r="I798" s="339"/>
      <c r="J798" s="340"/>
      <c r="K798" s="339"/>
      <c r="L798" s="341"/>
      <c r="M798" s="339"/>
      <c r="N798" s="341"/>
      <c r="O798" s="341"/>
      <c r="P798" s="339"/>
      <c r="Q798" s="341"/>
      <c r="R798" s="340"/>
      <c r="S798" s="339"/>
      <c r="T798" s="341"/>
      <c r="U798" s="339"/>
      <c r="V798" s="339"/>
      <c r="W798" s="339"/>
      <c r="X798" s="340"/>
      <c r="Y798" s="339"/>
      <c r="Z798" s="339"/>
      <c r="AA798" s="339"/>
      <c r="AB798" s="342"/>
    </row>
    <row r="799" spans="1:28" ht="15.75" customHeight="1">
      <c r="A799" s="339"/>
      <c r="B799" s="339"/>
      <c r="C799" s="339"/>
      <c r="D799" s="339"/>
      <c r="E799" s="339"/>
      <c r="F799" s="339"/>
      <c r="G799" s="340"/>
      <c r="H799" s="339"/>
      <c r="I799" s="339"/>
      <c r="J799" s="340"/>
      <c r="K799" s="339"/>
      <c r="L799" s="341"/>
      <c r="M799" s="339"/>
      <c r="N799" s="341"/>
      <c r="O799" s="341"/>
      <c r="P799" s="339"/>
      <c r="Q799" s="341"/>
      <c r="R799" s="340"/>
      <c r="S799" s="339"/>
      <c r="T799" s="341"/>
      <c r="U799" s="339"/>
      <c r="V799" s="339"/>
      <c r="W799" s="339"/>
      <c r="X799" s="340"/>
      <c r="Y799" s="339"/>
      <c r="Z799" s="339"/>
      <c r="AA799" s="339"/>
      <c r="AB799" s="342"/>
    </row>
    <row r="800" spans="1:28" ht="15.75" customHeight="1">
      <c r="A800" s="339"/>
      <c r="B800" s="339"/>
      <c r="C800" s="339"/>
      <c r="D800" s="339"/>
      <c r="E800" s="339"/>
      <c r="F800" s="339"/>
      <c r="G800" s="340"/>
      <c r="H800" s="339"/>
      <c r="I800" s="339"/>
      <c r="J800" s="340"/>
      <c r="K800" s="339"/>
      <c r="L800" s="341"/>
      <c r="M800" s="339"/>
      <c r="N800" s="341"/>
      <c r="O800" s="341"/>
      <c r="P800" s="339"/>
      <c r="Q800" s="341"/>
      <c r="R800" s="340"/>
      <c r="S800" s="339"/>
      <c r="T800" s="341"/>
      <c r="U800" s="339"/>
      <c r="V800" s="339"/>
      <c r="W800" s="339"/>
      <c r="X800" s="340"/>
      <c r="Y800" s="339"/>
      <c r="Z800" s="339"/>
      <c r="AA800" s="339"/>
      <c r="AB800" s="342"/>
    </row>
    <row r="801" spans="1:28" ht="15.75" customHeight="1">
      <c r="A801" s="339"/>
      <c r="B801" s="339"/>
      <c r="C801" s="339"/>
      <c r="D801" s="339"/>
      <c r="E801" s="339"/>
      <c r="F801" s="339"/>
      <c r="G801" s="340"/>
      <c r="H801" s="339"/>
      <c r="I801" s="339"/>
      <c r="J801" s="340"/>
      <c r="K801" s="339"/>
      <c r="L801" s="341"/>
      <c r="M801" s="339"/>
      <c r="N801" s="341"/>
      <c r="O801" s="341"/>
      <c r="P801" s="339"/>
      <c r="Q801" s="341"/>
      <c r="R801" s="340"/>
      <c r="S801" s="339"/>
      <c r="T801" s="341"/>
      <c r="U801" s="339"/>
      <c r="V801" s="339"/>
      <c r="W801" s="339"/>
      <c r="X801" s="340"/>
      <c r="Y801" s="339"/>
      <c r="Z801" s="339"/>
      <c r="AA801" s="339"/>
      <c r="AB801" s="342"/>
    </row>
    <row r="802" spans="1:28" ht="15.75" customHeight="1">
      <c r="A802" s="339"/>
      <c r="B802" s="339"/>
      <c r="C802" s="339"/>
      <c r="D802" s="339"/>
      <c r="E802" s="339"/>
      <c r="F802" s="339"/>
      <c r="G802" s="340"/>
      <c r="H802" s="339"/>
      <c r="I802" s="339"/>
      <c r="J802" s="340"/>
      <c r="K802" s="339"/>
      <c r="L802" s="341"/>
      <c r="M802" s="339"/>
      <c r="N802" s="341"/>
      <c r="O802" s="341"/>
      <c r="P802" s="339"/>
      <c r="Q802" s="341"/>
      <c r="R802" s="340"/>
      <c r="S802" s="339"/>
      <c r="T802" s="341"/>
      <c r="U802" s="339"/>
      <c r="V802" s="339"/>
      <c r="W802" s="339"/>
      <c r="X802" s="340"/>
      <c r="Y802" s="339"/>
      <c r="Z802" s="339"/>
      <c r="AA802" s="339"/>
      <c r="AB802" s="342"/>
    </row>
    <row r="803" spans="1:28" ht="15.75" customHeight="1">
      <c r="A803" s="339"/>
      <c r="B803" s="339"/>
      <c r="C803" s="339"/>
      <c r="D803" s="339"/>
      <c r="E803" s="339"/>
      <c r="F803" s="339"/>
      <c r="G803" s="340"/>
      <c r="H803" s="339"/>
      <c r="I803" s="339"/>
      <c r="J803" s="340"/>
      <c r="K803" s="339"/>
      <c r="L803" s="341"/>
      <c r="M803" s="339"/>
      <c r="N803" s="341"/>
      <c r="O803" s="341"/>
      <c r="P803" s="339"/>
      <c r="Q803" s="341"/>
      <c r="R803" s="340"/>
      <c r="S803" s="339"/>
      <c r="T803" s="341"/>
      <c r="U803" s="339"/>
      <c r="V803" s="339"/>
      <c r="W803" s="339"/>
      <c r="X803" s="340"/>
      <c r="Y803" s="339"/>
      <c r="Z803" s="339"/>
      <c r="AA803" s="339"/>
      <c r="AB803" s="342"/>
    </row>
    <row r="804" spans="1:28" ht="15.75" customHeight="1">
      <c r="A804" s="339"/>
      <c r="B804" s="339"/>
      <c r="C804" s="339"/>
      <c r="D804" s="339"/>
      <c r="E804" s="339"/>
      <c r="F804" s="339"/>
      <c r="G804" s="340"/>
      <c r="H804" s="339"/>
      <c r="I804" s="339"/>
      <c r="J804" s="340"/>
      <c r="K804" s="339"/>
      <c r="L804" s="341"/>
      <c r="M804" s="339"/>
      <c r="N804" s="341"/>
      <c r="O804" s="341"/>
      <c r="P804" s="339"/>
      <c r="Q804" s="341"/>
      <c r="R804" s="340"/>
      <c r="S804" s="339"/>
      <c r="T804" s="341"/>
      <c r="U804" s="339"/>
      <c r="V804" s="339"/>
      <c r="W804" s="339"/>
      <c r="X804" s="340"/>
      <c r="Y804" s="339"/>
      <c r="Z804" s="339"/>
      <c r="AA804" s="339"/>
      <c r="AB804" s="342"/>
    </row>
    <row r="805" spans="1:28" ht="15.75" customHeight="1">
      <c r="A805" s="339"/>
      <c r="B805" s="339"/>
      <c r="C805" s="339"/>
      <c r="D805" s="339"/>
      <c r="E805" s="339"/>
      <c r="F805" s="339"/>
      <c r="G805" s="340"/>
      <c r="H805" s="339"/>
      <c r="I805" s="339"/>
      <c r="J805" s="340"/>
      <c r="K805" s="339"/>
      <c r="L805" s="341"/>
      <c r="M805" s="339"/>
      <c r="N805" s="341"/>
      <c r="O805" s="341"/>
      <c r="P805" s="339"/>
      <c r="Q805" s="341"/>
      <c r="R805" s="340"/>
      <c r="S805" s="339"/>
      <c r="T805" s="341"/>
      <c r="U805" s="339"/>
      <c r="V805" s="339"/>
      <c r="W805" s="339"/>
      <c r="X805" s="340"/>
      <c r="Y805" s="339"/>
      <c r="Z805" s="339"/>
      <c r="AA805" s="339"/>
      <c r="AB805" s="342"/>
    </row>
    <row r="806" spans="1:28" ht="15.75" customHeight="1">
      <c r="A806" s="339"/>
      <c r="B806" s="339"/>
      <c r="C806" s="339"/>
      <c r="D806" s="339"/>
      <c r="E806" s="339"/>
      <c r="F806" s="339"/>
      <c r="G806" s="340"/>
      <c r="H806" s="339"/>
      <c r="I806" s="339"/>
      <c r="J806" s="340"/>
      <c r="K806" s="339"/>
      <c r="L806" s="341"/>
      <c r="M806" s="339"/>
      <c r="N806" s="341"/>
      <c r="O806" s="341"/>
      <c r="P806" s="339"/>
      <c r="Q806" s="341"/>
      <c r="R806" s="340"/>
      <c r="S806" s="339"/>
      <c r="T806" s="341"/>
      <c r="U806" s="339"/>
      <c r="V806" s="339"/>
      <c r="W806" s="339"/>
      <c r="X806" s="340"/>
      <c r="Y806" s="339"/>
      <c r="Z806" s="339"/>
      <c r="AA806" s="339"/>
      <c r="AB806" s="342"/>
    </row>
    <row r="807" spans="1:28" ht="15.75" customHeight="1">
      <c r="A807" s="339"/>
      <c r="B807" s="339"/>
      <c r="C807" s="339"/>
      <c r="D807" s="339"/>
      <c r="E807" s="339"/>
      <c r="F807" s="339"/>
      <c r="G807" s="340"/>
      <c r="H807" s="339"/>
      <c r="I807" s="339"/>
      <c r="J807" s="340"/>
      <c r="K807" s="339"/>
      <c r="L807" s="341"/>
      <c r="M807" s="339"/>
      <c r="N807" s="341"/>
      <c r="O807" s="341"/>
      <c r="P807" s="339"/>
      <c r="Q807" s="341"/>
      <c r="R807" s="340"/>
      <c r="S807" s="339"/>
      <c r="T807" s="341"/>
      <c r="U807" s="339"/>
      <c r="V807" s="339"/>
      <c r="W807" s="339"/>
      <c r="X807" s="340"/>
      <c r="Y807" s="339"/>
      <c r="Z807" s="339"/>
      <c r="AA807" s="339"/>
      <c r="AB807" s="342"/>
    </row>
    <row r="808" spans="1:28" ht="15.75" customHeight="1">
      <c r="A808" s="339"/>
      <c r="B808" s="339"/>
      <c r="C808" s="339"/>
      <c r="D808" s="339"/>
      <c r="E808" s="339"/>
      <c r="F808" s="339"/>
      <c r="G808" s="340"/>
      <c r="H808" s="339"/>
      <c r="I808" s="339"/>
      <c r="J808" s="340"/>
      <c r="K808" s="339"/>
      <c r="L808" s="341"/>
      <c r="M808" s="339"/>
      <c r="N808" s="341"/>
      <c r="O808" s="341"/>
      <c r="P808" s="339"/>
      <c r="Q808" s="341"/>
      <c r="R808" s="340"/>
      <c r="S808" s="339"/>
      <c r="T808" s="341"/>
      <c r="U808" s="339"/>
      <c r="V808" s="339"/>
      <c r="W808" s="339"/>
      <c r="X808" s="340"/>
      <c r="Y808" s="339"/>
      <c r="Z808" s="339"/>
      <c r="AA808" s="339"/>
      <c r="AB808" s="342"/>
    </row>
    <row r="809" spans="1:28" ht="15.75" customHeight="1">
      <c r="A809" s="339"/>
      <c r="B809" s="339"/>
      <c r="C809" s="339"/>
      <c r="D809" s="339"/>
      <c r="E809" s="339"/>
      <c r="F809" s="339"/>
      <c r="G809" s="340"/>
      <c r="H809" s="339"/>
      <c r="I809" s="339"/>
      <c r="J809" s="340"/>
      <c r="K809" s="339"/>
      <c r="L809" s="341"/>
      <c r="M809" s="339"/>
      <c r="N809" s="341"/>
      <c r="O809" s="341"/>
      <c r="P809" s="339"/>
      <c r="Q809" s="341"/>
      <c r="R809" s="340"/>
      <c r="S809" s="339"/>
      <c r="T809" s="341"/>
      <c r="U809" s="339"/>
      <c r="V809" s="339"/>
      <c r="W809" s="339"/>
      <c r="X809" s="340"/>
      <c r="Y809" s="339"/>
      <c r="Z809" s="339"/>
      <c r="AA809" s="339"/>
      <c r="AB809" s="342"/>
    </row>
    <row r="810" spans="1:28" ht="15.75" customHeight="1">
      <c r="A810" s="339"/>
      <c r="B810" s="339"/>
      <c r="C810" s="339"/>
      <c r="D810" s="339"/>
      <c r="E810" s="339"/>
      <c r="F810" s="339"/>
      <c r="G810" s="340"/>
      <c r="H810" s="339"/>
      <c r="I810" s="339"/>
      <c r="J810" s="340"/>
      <c r="K810" s="339"/>
      <c r="L810" s="341"/>
      <c r="M810" s="339"/>
      <c r="N810" s="341"/>
      <c r="O810" s="341"/>
      <c r="P810" s="339"/>
      <c r="Q810" s="341"/>
      <c r="R810" s="340"/>
      <c r="S810" s="339"/>
      <c r="T810" s="341"/>
      <c r="U810" s="339"/>
      <c r="V810" s="339"/>
      <c r="W810" s="339"/>
      <c r="X810" s="340"/>
      <c r="Y810" s="339"/>
      <c r="Z810" s="339"/>
      <c r="AA810" s="339"/>
      <c r="AB810" s="342"/>
    </row>
    <row r="811" spans="1:28" ht="15.75" customHeight="1">
      <c r="A811" s="339"/>
      <c r="B811" s="339"/>
      <c r="C811" s="339"/>
      <c r="D811" s="339"/>
      <c r="E811" s="339"/>
      <c r="F811" s="339"/>
      <c r="G811" s="340"/>
      <c r="H811" s="339"/>
      <c r="I811" s="339"/>
      <c r="J811" s="340"/>
      <c r="K811" s="339"/>
      <c r="L811" s="341"/>
      <c r="M811" s="339"/>
      <c r="N811" s="341"/>
      <c r="O811" s="341"/>
      <c r="P811" s="339"/>
      <c r="Q811" s="341"/>
      <c r="R811" s="340"/>
      <c r="S811" s="339"/>
      <c r="T811" s="341"/>
      <c r="U811" s="339"/>
      <c r="V811" s="339"/>
      <c r="W811" s="339"/>
      <c r="X811" s="340"/>
      <c r="Y811" s="339"/>
      <c r="Z811" s="339"/>
      <c r="AA811" s="339"/>
      <c r="AB811" s="342"/>
    </row>
    <row r="812" spans="1:28" ht="15.75" customHeight="1">
      <c r="A812" s="339"/>
      <c r="B812" s="339"/>
      <c r="C812" s="339"/>
      <c r="D812" s="339"/>
      <c r="E812" s="339"/>
      <c r="F812" s="339"/>
      <c r="G812" s="340"/>
      <c r="H812" s="339"/>
      <c r="I812" s="339"/>
      <c r="J812" s="340"/>
      <c r="K812" s="339"/>
      <c r="L812" s="341"/>
      <c r="M812" s="339"/>
      <c r="N812" s="341"/>
      <c r="O812" s="341"/>
      <c r="P812" s="339"/>
      <c r="Q812" s="341"/>
      <c r="R812" s="340"/>
      <c r="S812" s="339"/>
      <c r="T812" s="341"/>
      <c r="U812" s="339"/>
      <c r="V812" s="339"/>
      <c r="W812" s="339"/>
      <c r="X812" s="340"/>
      <c r="Y812" s="339"/>
      <c r="Z812" s="339"/>
      <c r="AA812" s="339"/>
      <c r="AB812" s="342"/>
    </row>
    <row r="813" spans="1:28" ht="15.75" customHeight="1">
      <c r="A813" s="339"/>
      <c r="B813" s="339"/>
      <c r="C813" s="339"/>
      <c r="D813" s="339"/>
      <c r="E813" s="339"/>
      <c r="F813" s="339"/>
      <c r="G813" s="340"/>
      <c r="H813" s="339"/>
      <c r="I813" s="339"/>
      <c r="J813" s="340"/>
      <c r="K813" s="339"/>
      <c r="L813" s="341"/>
      <c r="M813" s="339"/>
      <c r="N813" s="341"/>
      <c r="O813" s="341"/>
      <c r="P813" s="339"/>
      <c r="Q813" s="341"/>
      <c r="R813" s="340"/>
      <c r="S813" s="339"/>
      <c r="T813" s="341"/>
      <c r="U813" s="339"/>
      <c r="V813" s="339"/>
      <c r="W813" s="339"/>
      <c r="X813" s="340"/>
      <c r="Y813" s="339"/>
      <c r="Z813" s="339"/>
      <c r="AA813" s="339"/>
      <c r="AB813" s="342"/>
    </row>
    <row r="814" spans="1:28" ht="15.75" customHeight="1">
      <c r="A814" s="339"/>
      <c r="B814" s="339"/>
      <c r="C814" s="339"/>
      <c r="D814" s="339"/>
      <c r="E814" s="339"/>
      <c r="F814" s="339"/>
      <c r="G814" s="340"/>
      <c r="H814" s="339"/>
      <c r="I814" s="339"/>
      <c r="J814" s="340"/>
      <c r="K814" s="339"/>
      <c r="L814" s="341"/>
      <c r="M814" s="339"/>
      <c r="N814" s="341"/>
      <c r="O814" s="341"/>
      <c r="P814" s="339"/>
      <c r="Q814" s="341"/>
      <c r="R814" s="340"/>
      <c r="S814" s="339"/>
      <c r="T814" s="341"/>
      <c r="U814" s="339"/>
      <c r="V814" s="339"/>
      <c r="W814" s="339"/>
      <c r="X814" s="340"/>
      <c r="Y814" s="339"/>
      <c r="Z814" s="339"/>
      <c r="AA814" s="339"/>
      <c r="AB814" s="342"/>
    </row>
    <row r="815" spans="1:28" ht="15.75" customHeight="1">
      <c r="A815" s="339"/>
      <c r="B815" s="339"/>
      <c r="C815" s="339"/>
      <c r="D815" s="339"/>
      <c r="E815" s="339"/>
      <c r="F815" s="339"/>
      <c r="G815" s="340"/>
      <c r="H815" s="339"/>
      <c r="I815" s="339"/>
      <c r="J815" s="340"/>
      <c r="K815" s="339"/>
      <c r="L815" s="341"/>
      <c r="M815" s="339"/>
      <c r="N815" s="341"/>
      <c r="O815" s="341"/>
      <c r="P815" s="339"/>
      <c r="Q815" s="341"/>
      <c r="R815" s="340"/>
      <c r="S815" s="339"/>
      <c r="T815" s="341"/>
      <c r="U815" s="339"/>
      <c r="V815" s="339"/>
      <c r="W815" s="339"/>
      <c r="X815" s="340"/>
      <c r="Y815" s="339"/>
      <c r="Z815" s="339"/>
      <c r="AA815" s="339"/>
      <c r="AB815" s="342"/>
    </row>
    <row r="816" spans="1:28" ht="15.75" customHeight="1">
      <c r="A816" s="339"/>
      <c r="B816" s="339"/>
      <c r="C816" s="339"/>
      <c r="D816" s="339"/>
      <c r="E816" s="339"/>
      <c r="F816" s="339"/>
      <c r="G816" s="340"/>
      <c r="H816" s="339"/>
      <c r="I816" s="339"/>
      <c r="J816" s="340"/>
      <c r="K816" s="339"/>
      <c r="L816" s="341"/>
      <c r="M816" s="339"/>
      <c r="N816" s="341"/>
      <c r="O816" s="341"/>
      <c r="P816" s="339"/>
      <c r="Q816" s="341"/>
      <c r="R816" s="340"/>
      <c r="S816" s="339"/>
      <c r="T816" s="341"/>
      <c r="U816" s="339"/>
      <c r="V816" s="339"/>
      <c r="W816" s="339"/>
      <c r="X816" s="340"/>
      <c r="Y816" s="339"/>
      <c r="Z816" s="339"/>
      <c r="AA816" s="339"/>
      <c r="AB816" s="342"/>
    </row>
    <row r="817" spans="1:28" ht="15.75" customHeight="1">
      <c r="A817" s="339"/>
      <c r="B817" s="339"/>
      <c r="C817" s="339"/>
      <c r="D817" s="339"/>
      <c r="E817" s="339"/>
      <c r="F817" s="339"/>
      <c r="G817" s="340"/>
      <c r="H817" s="339"/>
      <c r="I817" s="339"/>
      <c r="J817" s="340"/>
      <c r="K817" s="339"/>
      <c r="L817" s="341"/>
      <c r="M817" s="339"/>
      <c r="N817" s="341"/>
      <c r="O817" s="341"/>
      <c r="P817" s="339"/>
      <c r="Q817" s="341"/>
      <c r="R817" s="340"/>
      <c r="S817" s="339"/>
      <c r="T817" s="341"/>
      <c r="U817" s="339"/>
      <c r="V817" s="339"/>
      <c r="W817" s="339"/>
      <c r="X817" s="340"/>
      <c r="Y817" s="339"/>
      <c r="Z817" s="339"/>
      <c r="AA817" s="339"/>
      <c r="AB817" s="342"/>
    </row>
    <row r="818" spans="1:28" ht="15.75" customHeight="1">
      <c r="A818" s="339"/>
      <c r="B818" s="339"/>
      <c r="C818" s="339"/>
      <c r="D818" s="339"/>
      <c r="E818" s="339"/>
      <c r="F818" s="339"/>
      <c r="G818" s="340"/>
      <c r="H818" s="339"/>
      <c r="I818" s="339"/>
      <c r="J818" s="340"/>
      <c r="K818" s="339"/>
      <c r="L818" s="341"/>
      <c r="M818" s="339"/>
      <c r="N818" s="341"/>
      <c r="O818" s="341"/>
      <c r="P818" s="339"/>
      <c r="Q818" s="341"/>
      <c r="R818" s="340"/>
      <c r="S818" s="339"/>
      <c r="T818" s="341"/>
      <c r="U818" s="339"/>
      <c r="V818" s="339"/>
      <c r="W818" s="339"/>
      <c r="X818" s="340"/>
      <c r="Y818" s="339"/>
      <c r="Z818" s="339"/>
      <c r="AA818" s="339"/>
      <c r="AB818" s="342"/>
    </row>
    <row r="819" spans="1:28" ht="15.75" customHeight="1">
      <c r="A819" s="339"/>
      <c r="B819" s="339"/>
      <c r="C819" s="339"/>
      <c r="D819" s="339"/>
      <c r="E819" s="339"/>
      <c r="F819" s="339"/>
      <c r="G819" s="340"/>
      <c r="H819" s="339"/>
      <c r="I819" s="339"/>
      <c r="J819" s="340"/>
      <c r="K819" s="339"/>
      <c r="L819" s="341"/>
      <c r="M819" s="339"/>
      <c r="N819" s="341"/>
      <c r="O819" s="341"/>
      <c r="P819" s="339"/>
      <c r="Q819" s="341"/>
      <c r="R819" s="340"/>
      <c r="S819" s="339"/>
      <c r="T819" s="341"/>
      <c r="U819" s="339"/>
      <c r="V819" s="339"/>
      <c r="W819" s="339"/>
      <c r="X819" s="340"/>
      <c r="Y819" s="339"/>
      <c r="Z819" s="339"/>
      <c r="AA819" s="339"/>
      <c r="AB819" s="342"/>
    </row>
    <row r="820" spans="1:28" ht="15.75" customHeight="1">
      <c r="A820" s="339"/>
      <c r="B820" s="339"/>
      <c r="C820" s="339"/>
      <c r="D820" s="339"/>
      <c r="E820" s="339"/>
      <c r="F820" s="339"/>
      <c r="G820" s="340"/>
      <c r="H820" s="339"/>
      <c r="I820" s="339"/>
      <c r="J820" s="340"/>
      <c r="K820" s="339"/>
      <c r="L820" s="341"/>
      <c r="M820" s="339"/>
      <c r="N820" s="341"/>
      <c r="O820" s="341"/>
      <c r="P820" s="339"/>
      <c r="Q820" s="341"/>
      <c r="R820" s="340"/>
      <c r="S820" s="339"/>
      <c r="T820" s="341"/>
      <c r="U820" s="339"/>
      <c r="V820" s="339"/>
      <c r="W820" s="339"/>
      <c r="X820" s="340"/>
      <c r="Y820" s="339"/>
      <c r="Z820" s="339"/>
      <c r="AA820" s="339"/>
      <c r="AB820" s="342"/>
    </row>
    <row r="821" spans="1:28" ht="15.75" customHeight="1">
      <c r="A821" s="339"/>
      <c r="B821" s="339"/>
      <c r="C821" s="339"/>
      <c r="D821" s="339"/>
      <c r="E821" s="339"/>
      <c r="F821" s="339"/>
      <c r="G821" s="340"/>
      <c r="H821" s="339"/>
      <c r="I821" s="339"/>
      <c r="J821" s="340"/>
      <c r="K821" s="339"/>
      <c r="L821" s="341"/>
      <c r="M821" s="339"/>
      <c r="N821" s="341"/>
      <c r="O821" s="341"/>
      <c r="P821" s="339"/>
      <c r="Q821" s="341"/>
      <c r="R821" s="340"/>
      <c r="S821" s="339"/>
      <c r="T821" s="341"/>
      <c r="U821" s="339"/>
      <c r="V821" s="339"/>
      <c r="W821" s="339"/>
      <c r="X821" s="340"/>
      <c r="Y821" s="339"/>
      <c r="Z821" s="339"/>
      <c r="AA821" s="339"/>
      <c r="AB821" s="342"/>
    </row>
    <row r="822" spans="1:28" ht="15.75" customHeight="1">
      <c r="A822" s="339"/>
      <c r="B822" s="339"/>
      <c r="C822" s="339"/>
      <c r="D822" s="339"/>
      <c r="E822" s="339"/>
      <c r="F822" s="339"/>
      <c r="G822" s="340"/>
      <c r="H822" s="339"/>
      <c r="I822" s="339"/>
      <c r="J822" s="340"/>
      <c r="K822" s="339"/>
      <c r="L822" s="341"/>
      <c r="M822" s="339"/>
      <c r="N822" s="341"/>
      <c r="O822" s="341"/>
      <c r="P822" s="339"/>
      <c r="Q822" s="341"/>
      <c r="R822" s="340"/>
      <c r="S822" s="339"/>
      <c r="T822" s="341"/>
      <c r="U822" s="339"/>
      <c r="V822" s="339"/>
      <c r="W822" s="339"/>
      <c r="X822" s="340"/>
      <c r="Y822" s="339"/>
      <c r="Z822" s="339"/>
      <c r="AA822" s="339"/>
      <c r="AB822" s="342"/>
    </row>
    <row r="823" spans="1:28" ht="15.75" customHeight="1">
      <c r="A823" s="339"/>
      <c r="B823" s="339"/>
      <c r="C823" s="339"/>
      <c r="D823" s="339"/>
      <c r="E823" s="339"/>
      <c r="F823" s="339"/>
      <c r="G823" s="340"/>
      <c r="H823" s="339"/>
      <c r="I823" s="339"/>
      <c r="J823" s="340"/>
      <c r="K823" s="339"/>
      <c r="L823" s="341"/>
      <c r="M823" s="339"/>
      <c r="N823" s="341"/>
      <c r="O823" s="341"/>
      <c r="P823" s="339"/>
      <c r="Q823" s="341"/>
      <c r="R823" s="340"/>
      <c r="S823" s="339"/>
      <c r="T823" s="341"/>
      <c r="U823" s="339"/>
      <c r="V823" s="339"/>
      <c r="W823" s="339"/>
      <c r="X823" s="340"/>
      <c r="Y823" s="339"/>
      <c r="Z823" s="339"/>
      <c r="AA823" s="339"/>
      <c r="AB823" s="342"/>
    </row>
    <row r="824" spans="1:28" ht="15.75" customHeight="1">
      <c r="A824" s="339"/>
      <c r="B824" s="339"/>
      <c r="C824" s="339"/>
      <c r="D824" s="339"/>
      <c r="E824" s="339"/>
      <c r="F824" s="339"/>
      <c r="G824" s="340"/>
      <c r="H824" s="339"/>
      <c r="I824" s="339"/>
      <c r="J824" s="340"/>
      <c r="K824" s="339"/>
      <c r="L824" s="341"/>
      <c r="M824" s="339"/>
      <c r="N824" s="341"/>
      <c r="O824" s="341"/>
      <c r="P824" s="339"/>
      <c r="Q824" s="341"/>
      <c r="R824" s="340"/>
      <c r="S824" s="339"/>
      <c r="T824" s="341"/>
      <c r="U824" s="339"/>
      <c r="V824" s="339"/>
      <c r="W824" s="339"/>
      <c r="X824" s="340"/>
      <c r="Y824" s="339"/>
      <c r="Z824" s="339"/>
      <c r="AA824" s="339"/>
      <c r="AB824" s="342"/>
    </row>
    <row r="825" spans="1:28" ht="15.75" customHeight="1">
      <c r="A825" s="339"/>
      <c r="B825" s="339"/>
      <c r="C825" s="339"/>
      <c r="D825" s="339"/>
      <c r="E825" s="339"/>
      <c r="F825" s="339"/>
      <c r="G825" s="340"/>
      <c r="H825" s="339"/>
      <c r="I825" s="339"/>
      <c r="J825" s="340"/>
      <c r="K825" s="339"/>
      <c r="L825" s="341"/>
      <c r="M825" s="339"/>
      <c r="N825" s="341"/>
      <c r="O825" s="341"/>
      <c r="P825" s="339"/>
      <c r="Q825" s="341"/>
      <c r="R825" s="340"/>
      <c r="S825" s="339"/>
      <c r="T825" s="341"/>
      <c r="U825" s="339"/>
      <c r="V825" s="339"/>
      <c r="W825" s="339"/>
      <c r="X825" s="340"/>
      <c r="Y825" s="339"/>
      <c r="Z825" s="339"/>
      <c r="AA825" s="339"/>
      <c r="AB825" s="342"/>
    </row>
    <row r="826" spans="1:28" ht="15.75" customHeight="1">
      <c r="A826" s="339"/>
      <c r="B826" s="339"/>
      <c r="C826" s="339"/>
      <c r="D826" s="339"/>
      <c r="E826" s="339"/>
      <c r="F826" s="339"/>
      <c r="G826" s="340"/>
      <c r="H826" s="339"/>
      <c r="I826" s="339"/>
      <c r="J826" s="340"/>
      <c r="K826" s="339"/>
      <c r="L826" s="341"/>
      <c r="M826" s="339"/>
      <c r="N826" s="341"/>
      <c r="O826" s="341"/>
      <c r="P826" s="339"/>
      <c r="Q826" s="341"/>
      <c r="R826" s="340"/>
      <c r="S826" s="339"/>
      <c r="T826" s="341"/>
      <c r="U826" s="339"/>
      <c r="V826" s="339"/>
      <c r="W826" s="339"/>
      <c r="X826" s="340"/>
      <c r="Y826" s="339"/>
      <c r="Z826" s="339"/>
      <c r="AA826" s="339"/>
      <c r="AB826" s="342"/>
    </row>
    <row r="827" spans="1:28" ht="15.75" customHeight="1">
      <c r="A827" s="339"/>
      <c r="B827" s="339"/>
      <c r="C827" s="339"/>
      <c r="D827" s="339"/>
      <c r="E827" s="339"/>
      <c r="F827" s="339"/>
      <c r="G827" s="340"/>
      <c r="H827" s="339"/>
      <c r="I827" s="339"/>
      <c r="J827" s="340"/>
      <c r="K827" s="339"/>
      <c r="L827" s="341"/>
      <c r="M827" s="339"/>
      <c r="N827" s="341"/>
      <c r="O827" s="341"/>
      <c r="P827" s="339"/>
      <c r="Q827" s="341"/>
      <c r="R827" s="340"/>
      <c r="S827" s="339"/>
      <c r="T827" s="341"/>
      <c r="U827" s="339"/>
      <c r="V827" s="339"/>
      <c r="W827" s="339"/>
      <c r="X827" s="340"/>
      <c r="Y827" s="339"/>
      <c r="Z827" s="339"/>
      <c r="AA827" s="339"/>
      <c r="AB827" s="342"/>
    </row>
    <row r="828" spans="1:28" ht="15.75" customHeight="1">
      <c r="A828" s="339"/>
      <c r="B828" s="339"/>
      <c r="C828" s="339"/>
      <c r="D828" s="339"/>
      <c r="E828" s="339"/>
      <c r="F828" s="339"/>
      <c r="G828" s="340"/>
      <c r="H828" s="339"/>
      <c r="I828" s="339"/>
      <c r="J828" s="340"/>
      <c r="K828" s="339"/>
      <c r="L828" s="341"/>
      <c r="M828" s="339"/>
      <c r="N828" s="341"/>
      <c r="O828" s="341"/>
      <c r="P828" s="339"/>
      <c r="Q828" s="341"/>
      <c r="R828" s="340"/>
      <c r="S828" s="339"/>
      <c r="T828" s="341"/>
      <c r="U828" s="339"/>
      <c r="V828" s="339"/>
      <c r="W828" s="339"/>
      <c r="X828" s="340"/>
      <c r="Y828" s="339"/>
      <c r="Z828" s="339"/>
      <c r="AA828" s="339"/>
      <c r="AB828" s="342"/>
    </row>
    <row r="829" spans="1:28" ht="15.75" customHeight="1">
      <c r="A829" s="339"/>
      <c r="B829" s="339"/>
      <c r="C829" s="339"/>
      <c r="D829" s="339"/>
      <c r="E829" s="339"/>
      <c r="F829" s="339"/>
      <c r="G829" s="340"/>
      <c r="H829" s="339"/>
      <c r="I829" s="339"/>
      <c r="J829" s="340"/>
      <c r="K829" s="339"/>
      <c r="L829" s="341"/>
      <c r="M829" s="339"/>
      <c r="N829" s="341"/>
      <c r="O829" s="341"/>
      <c r="P829" s="339"/>
      <c r="Q829" s="341"/>
      <c r="R829" s="340"/>
      <c r="S829" s="339"/>
      <c r="T829" s="341"/>
      <c r="U829" s="339"/>
      <c r="V829" s="339"/>
      <c r="W829" s="339"/>
      <c r="X829" s="340"/>
      <c r="Y829" s="339"/>
      <c r="Z829" s="339"/>
      <c r="AA829" s="339"/>
      <c r="AB829" s="342"/>
    </row>
    <row r="830" spans="1:28" ht="15.75" customHeight="1">
      <c r="A830" s="339"/>
      <c r="B830" s="339"/>
      <c r="C830" s="339"/>
      <c r="D830" s="339"/>
      <c r="E830" s="339"/>
      <c r="F830" s="339"/>
      <c r="G830" s="340"/>
      <c r="H830" s="339"/>
      <c r="I830" s="339"/>
      <c r="J830" s="340"/>
      <c r="K830" s="339"/>
      <c r="L830" s="341"/>
      <c r="M830" s="339"/>
      <c r="N830" s="341"/>
      <c r="O830" s="341"/>
      <c r="P830" s="339"/>
      <c r="Q830" s="341"/>
      <c r="R830" s="340"/>
      <c r="S830" s="339"/>
      <c r="T830" s="341"/>
      <c r="U830" s="339"/>
      <c r="V830" s="339"/>
      <c r="W830" s="339"/>
      <c r="X830" s="340"/>
      <c r="Y830" s="339"/>
      <c r="Z830" s="339"/>
      <c r="AA830" s="339"/>
      <c r="AB830" s="342"/>
    </row>
    <row r="831" spans="1:28" ht="15.75" customHeight="1">
      <c r="A831" s="339"/>
      <c r="B831" s="339"/>
      <c r="C831" s="339"/>
      <c r="D831" s="339"/>
      <c r="E831" s="339"/>
      <c r="F831" s="339"/>
      <c r="G831" s="340"/>
      <c r="H831" s="339"/>
      <c r="I831" s="339"/>
      <c r="J831" s="340"/>
      <c r="K831" s="339"/>
      <c r="L831" s="341"/>
      <c r="M831" s="339"/>
      <c r="N831" s="341"/>
      <c r="O831" s="341"/>
      <c r="P831" s="339"/>
      <c r="Q831" s="341"/>
      <c r="R831" s="340"/>
      <c r="S831" s="339"/>
      <c r="T831" s="341"/>
      <c r="U831" s="339"/>
      <c r="V831" s="339"/>
      <c r="W831" s="339"/>
      <c r="X831" s="340"/>
      <c r="Y831" s="339"/>
      <c r="Z831" s="339"/>
      <c r="AA831" s="339"/>
      <c r="AB831" s="342"/>
    </row>
    <row r="832" spans="1:28" ht="15.75" customHeight="1">
      <c r="A832" s="339"/>
      <c r="B832" s="339"/>
      <c r="C832" s="339"/>
      <c r="D832" s="339"/>
      <c r="E832" s="339"/>
      <c r="F832" s="339"/>
      <c r="G832" s="340"/>
      <c r="H832" s="339"/>
      <c r="I832" s="339"/>
      <c r="J832" s="340"/>
      <c r="K832" s="339"/>
      <c r="L832" s="341"/>
      <c r="M832" s="339"/>
      <c r="N832" s="341"/>
      <c r="O832" s="341"/>
      <c r="P832" s="339"/>
      <c r="Q832" s="341"/>
      <c r="R832" s="340"/>
      <c r="S832" s="339"/>
      <c r="T832" s="341"/>
      <c r="U832" s="339"/>
      <c r="V832" s="339"/>
      <c r="W832" s="339"/>
      <c r="X832" s="340"/>
      <c r="Y832" s="339"/>
      <c r="Z832" s="339"/>
      <c r="AA832" s="339"/>
      <c r="AB832" s="342"/>
    </row>
    <row r="833" spans="1:28" ht="15.75" customHeight="1">
      <c r="A833" s="339"/>
      <c r="B833" s="339"/>
      <c r="C833" s="339"/>
      <c r="D833" s="339"/>
      <c r="E833" s="339"/>
      <c r="F833" s="339"/>
      <c r="G833" s="340"/>
      <c r="H833" s="339"/>
      <c r="I833" s="339"/>
      <c r="J833" s="340"/>
      <c r="K833" s="339"/>
      <c r="L833" s="341"/>
      <c r="M833" s="339"/>
      <c r="N833" s="341"/>
      <c r="O833" s="341"/>
      <c r="P833" s="339"/>
      <c r="Q833" s="341"/>
      <c r="R833" s="340"/>
      <c r="S833" s="339"/>
      <c r="T833" s="341"/>
      <c r="U833" s="339"/>
      <c r="V833" s="339"/>
      <c r="W833" s="339"/>
      <c r="X833" s="340"/>
      <c r="Y833" s="339"/>
      <c r="Z833" s="339"/>
      <c r="AA833" s="339"/>
      <c r="AB833" s="342"/>
    </row>
    <row r="834" spans="1:28" ht="15.75" customHeight="1">
      <c r="A834" s="339"/>
      <c r="B834" s="339"/>
      <c r="C834" s="339"/>
      <c r="D834" s="339"/>
      <c r="E834" s="339"/>
      <c r="F834" s="339"/>
      <c r="G834" s="340"/>
      <c r="H834" s="339"/>
      <c r="I834" s="339"/>
      <c r="J834" s="340"/>
      <c r="K834" s="339"/>
      <c r="L834" s="341"/>
      <c r="M834" s="339"/>
      <c r="N834" s="341"/>
      <c r="O834" s="341"/>
      <c r="P834" s="339"/>
      <c r="Q834" s="341"/>
      <c r="R834" s="340"/>
      <c r="S834" s="339"/>
      <c r="T834" s="341"/>
      <c r="U834" s="339"/>
      <c r="V834" s="339"/>
      <c r="W834" s="339"/>
      <c r="X834" s="340"/>
      <c r="Y834" s="339"/>
      <c r="Z834" s="339"/>
      <c r="AA834" s="339"/>
      <c r="AB834" s="342"/>
    </row>
    <row r="835" spans="1:28" ht="15.75" customHeight="1">
      <c r="A835" s="339"/>
      <c r="B835" s="339"/>
      <c r="C835" s="339"/>
      <c r="D835" s="339"/>
      <c r="E835" s="339"/>
      <c r="F835" s="339"/>
      <c r="G835" s="340"/>
      <c r="H835" s="339"/>
      <c r="I835" s="339"/>
      <c r="J835" s="340"/>
      <c r="K835" s="339"/>
      <c r="L835" s="341"/>
      <c r="M835" s="339"/>
      <c r="N835" s="341"/>
      <c r="O835" s="341"/>
      <c r="P835" s="339"/>
      <c r="Q835" s="341"/>
      <c r="R835" s="340"/>
      <c r="S835" s="339"/>
      <c r="T835" s="341"/>
      <c r="U835" s="339"/>
      <c r="V835" s="339"/>
      <c r="W835" s="339"/>
      <c r="X835" s="340"/>
      <c r="Y835" s="339"/>
      <c r="Z835" s="339"/>
      <c r="AA835" s="339"/>
      <c r="AB835" s="342"/>
    </row>
    <row r="836" spans="1:28" ht="15.75" customHeight="1">
      <c r="A836" s="339"/>
      <c r="B836" s="339"/>
      <c r="C836" s="339"/>
      <c r="D836" s="339"/>
      <c r="E836" s="339"/>
      <c r="F836" s="339"/>
      <c r="G836" s="340"/>
      <c r="H836" s="339"/>
      <c r="I836" s="339"/>
      <c r="J836" s="340"/>
      <c r="K836" s="339"/>
      <c r="L836" s="341"/>
      <c r="M836" s="339"/>
      <c r="N836" s="341"/>
      <c r="O836" s="341"/>
      <c r="P836" s="339"/>
      <c r="Q836" s="341"/>
      <c r="R836" s="340"/>
      <c r="S836" s="339"/>
      <c r="T836" s="341"/>
      <c r="U836" s="339"/>
      <c r="V836" s="339"/>
      <c r="W836" s="339"/>
      <c r="X836" s="340"/>
      <c r="Y836" s="339"/>
      <c r="Z836" s="339"/>
      <c r="AA836" s="339"/>
      <c r="AB836" s="342"/>
    </row>
    <row r="837" spans="1:28" ht="15.75" customHeight="1">
      <c r="A837" s="339"/>
      <c r="B837" s="339"/>
      <c r="C837" s="339"/>
      <c r="D837" s="339"/>
      <c r="E837" s="339"/>
      <c r="F837" s="339"/>
      <c r="G837" s="340"/>
      <c r="H837" s="339"/>
      <c r="I837" s="339"/>
      <c r="J837" s="340"/>
      <c r="K837" s="339"/>
      <c r="L837" s="341"/>
      <c r="M837" s="339"/>
      <c r="N837" s="341"/>
      <c r="O837" s="341"/>
      <c r="P837" s="339"/>
      <c r="Q837" s="341"/>
      <c r="R837" s="340"/>
      <c r="S837" s="339"/>
      <c r="T837" s="341"/>
      <c r="U837" s="339"/>
      <c r="V837" s="339"/>
      <c r="W837" s="339"/>
      <c r="X837" s="340"/>
      <c r="Y837" s="339"/>
      <c r="Z837" s="339"/>
      <c r="AA837" s="339"/>
      <c r="AB837" s="342"/>
    </row>
    <row r="838" spans="1:28" ht="15.75" customHeight="1">
      <c r="A838" s="339"/>
      <c r="B838" s="339"/>
      <c r="C838" s="339"/>
      <c r="D838" s="339"/>
      <c r="E838" s="339"/>
      <c r="F838" s="339"/>
      <c r="G838" s="340"/>
      <c r="H838" s="339"/>
      <c r="I838" s="339"/>
      <c r="J838" s="340"/>
      <c r="K838" s="339"/>
      <c r="L838" s="341"/>
      <c r="M838" s="339"/>
      <c r="N838" s="341"/>
      <c r="O838" s="341"/>
      <c r="P838" s="339"/>
      <c r="Q838" s="341"/>
      <c r="R838" s="340"/>
      <c r="S838" s="339"/>
      <c r="T838" s="341"/>
      <c r="U838" s="339"/>
      <c r="V838" s="339"/>
      <c r="W838" s="339"/>
      <c r="X838" s="340"/>
      <c r="Y838" s="339"/>
      <c r="Z838" s="339"/>
      <c r="AA838" s="339"/>
      <c r="AB838" s="342"/>
    </row>
    <row r="839" spans="1:28" ht="15.75" customHeight="1">
      <c r="A839" s="339"/>
      <c r="B839" s="339"/>
      <c r="C839" s="339"/>
      <c r="D839" s="339"/>
      <c r="E839" s="339"/>
      <c r="F839" s="339"/>
      <c r="G839" s="340"/>
      <c r="H839" s="339"/>
      <c r="I839" s="339"/>
      <c r="J839" s="340"/>
      <c r="K839" s="339"/>
      <c r="L839" s="341"/>
      <c r="M839" s="339"/>
      <c r="N839" s="341"/>
      <c r="O839" s="341"/>
      <c r="P839" s="339"/>
      <c r="Q839" s="341"/>
      <c r="R839" s="340"/>
      <c r="S839" s="339"/>
      <c r="T839" s="341"/>
      <c r="U839" s="339"/>
      <c r="V839" s="339"/>
      <c r="W839" s="339"/>
      <c r="X839" s="340"/>
      <c r="Y839" s="339"/>
      <c r="Z839" s="339"/>
      <c r="AA839" s="339"/>
      <c r="AB839" s="342"/>
    </row>
    <row r="840" spans="1:28" ht="15.75" customHeight="1">
      <c r="A840" s="339"/>
      <c r="B840" s="339"/>
      <c r="C840" s="339"/>
      <c r="D840" s="339"/>
      <c r="E840" s="339"/>
      <c r="F840" s="339"/>
      <c r="G840" s="340"/>
      <c r="H840" s="339"/>
      <c r="I840" s="339"/>
      <c r="J840" s="340"/>
      <c r="K840" s="339"/>
      <c r="L840" s="341"/>
      <c r="M840" s="339"/>
      <c r="N840" s="341"/>
      <c r="O840" s="341"/>
      <c r="P840" s="339"/>
      <c r="Q840" s="341"/>
      <c r="R840" s="340"/>
      <c r="S840" s="339"/>
      <c r="T840" s="341"/>
      <c r="U840" s="339"/>
      <c r="V840" s="339"/>
      <c r="W840" s="339"/>
      <c r="X840" s="340"/>
      <c r="Y840" s="339"/>
      <c r="Z840" s="339"/>
      <c r="AA840" s="339"/>
      <c r="AB840" s="342"/>
    </row>
    <row r="841" spans="1:28" ht="15.75" customHeight="1">
      <c r="A841" s="339"/>
      <c r="B841" s="339"/>
      <c r="C841" s="339"/>
      <c r="D841" s="339"/>
      <c r="E841" s="339"/>
      <c r="F841" s="339"/>
      <c r="G841" s="340"/>
      <c r="H841" s="339"/>
      <c r="I841" s="339"/>
      <c r="J841" s="340"/>
      <c r="K841" s="339"/>
      <c r="L841" s="341"/>
      <c r="M841" s="339"/>
      <c r="N841" s="341"/>
      <c r="O841" s="341"/>
      <c r="P841" s="339"/>
      <c r="Q841" s="341"/>
      <c r="R841" s="340"/>
      <c r="S841" s="339"/>
      <c r="T841" s="341"/>
      <c r="U841" s="339"/>
      <c r="V841" s="339"/>
      <c r="W841" s="339"/>
      <c r="X841" s="340"/>
      <c r="Y841" s="339"/>
      <c r="Z841" s="339"/>
      <c r="AA841" s="339"/>
      <c r="AB841" s="342"/>
    </row>
    <row r="842" spans="1:28" ht="15.75" customHeight="1">
      <c r="A842" s="339"/>
      <c r="B842" s="339"/>
      <c r="C842" s="339"/>
      <c r="D842" s="339"/>
      <c r="E842" s="339"/>
      <c r="F842" s="339"/>
      <c r="G842" s="340"/>
      <c r="H842" s="339"/>
      <c r="I842" s="339"/>
      <c r="J842" s="340"/>
      <c r="K842" s="339"/>
      <c r="L842" s="341"/>
      <c r="M842" s="339"/>
      <c r="N842" s="341"/>
      <c r="O842" s="341"/>
      <c r="P842" s="339"/>
      <c r="Q842" s="341"/>
      <c r="R842" s="340"/>
      <c r="S842" s="339"/>
      <c r="T842" s="341"/>
      <c r="U842" s="339"/>
      <c r="V842" s="339"/>
      <c r="W842" s="339"/>
      <c r="X842" s="340"/>
      <c r="Y842" s="339"/>
      <c r="Z842" s="339"/>
      <c r="AA842" s="339"/>
      <c r="AB842" s="342"/>
    </row>
    <row r="843" spans="1:28" ht="15.75" customHeight="1">
      <c r="A843" s="339"/>
      <c r="B843" s="339"/>
      <c r="C843" s="339"/>
      <c r="D843" s="339"/>
      <c r="E843" s="339"/>
      <c r="F843" s="339"/>
      <c r="G843" s="340"/>
      <c r="H843" s="339"/>
      <c r="I843" s="339"/>
      <c r="J843" s="340"/>
      <c r="K843" s="339"/>
      <c r="L843" s="341"/>
      <c r="M843" s="339"/>
      <c r="N843" s="341"/>
      <c r="O843" s="341"/>
      <c r="P843" s="339"/>
      <c r="Q843" s="341"/>
      <c r="R843" s="340"/>
      <c r="S843" s="339"/>
      <c r="T843" s="341"/>
      <c r="U843" s="339"/>
      <c r="V843" s="339"/>
      <c r="W843" s="339"/>
      <c r="X843" s="340"/>
      <c r="Y843" s="339"/>
      <c r="Z843" s="339"/>
      <c r="AA843" s="339"/>
      <c r="AB843" s="342"/>
    </row>
    <row r="844" spans="1:28" ht="15.75" customHeight="1">
      <c r="A844" s="339"/>
      <c r="B844" s="339"/>
      <c r="C844" s="339"/>
      <c r="D844" s="339"/>
      <c r="E844" s="339"/>
      <c r="F844" s="339"/>
      <c r="G844" s="340"/>
      <c r="H844" s="339"/>
      <c r="I844" s="339"/>
      <c r="J844" s="340"/>
      <c r="K844" s="339"/>
      <c r="L844" s="341"/>
      <c r="M844" s="339"/>
      <c r="N844" s="341"/>
      <c r="O844" s="341"/>
      <c r="P844" s="339"/>
      <c r="Q844" s="341"/>
      <c r="R844" s="340"/>
      <c r="S844" s="339"/>
      <c r="T844" s="341"/>
      <c r="U844" s="339"/>
      <c r="V844" s="339"/>
      <c r="W844" s="339"/>
      <c r="X844" s="340"/>
      <c r="Y844" s="339"/>
      <c r="Z844" s="339"/>
      <c r="AA844" s="339"/>
      <c r="AB844" s="342"/>
    </row>
    <row r="845" spans="1:28" ht="15.75" customHeight="1">
      <c r="A845" s="339"/>
      <c r="B845" s="339"/>
      <c r="C845" s="339"/>
      <c r="D845" s="339"/>
      <c r="E845" s="339"/>
      <c r="F845" s="339"/>
      <c r="G845" s="340"/>
      <c r="H845" s="339"/>
      <c r="I845" s="339"/>
      <c r="J845" s="340"/>
      <c r="K845" s="339"/>
      <c r="L845" s="341"/>
      <c r="M845" s="339"/>
      <c r="N845" s="341"/>
      <c r="O845" s="341"/>
      <c r="P845" s="339"/>
      <c r="Q845" s="341"/>
      <c r="R845" s="340"/>
      <c r="S845" s="339"/>
      <c r="T845" s="341"/>
      <c r="U845" s="339"/>
      <c r="V845" s="339"/>
      <c r="W845" s="339"/>
      <c r="X845" s="340"/>
      <c r="Y845" s="339"/>
      <c r="Z845" s="339"/>
      <c r="AA845" s="339"/>
      <c r="AB845" s="342"/>
    </row>
    <row r="846" spans="1:28" ht="15.75" customHeight="1">
      <c r="A846" s="339"/>
      <c r="B846" s="339"/>
      <c r="C846" s="339"/>
      <c r="D846" s="339"/>
      <c r="E846" s="339"/>
      <c r="F846" s="339"/>
      <c r="G846" s="340"/>
      <c r="H846" s="339"/>
      <c r="I846" s="339"/>
      <c r="J846" s="340"/>
      <c r="K846" s="339"/>
      <c r="L846" s="341"/>
      <c r="M846" s="339"/>
      <c r="N846" s="341"/>
      <c r="O846" s="341"/>
      <c r="P846" s="339"/>
      <c r="Q846" s="341"/>
      <c r="R846" s="340"/>
      <c r="S846" s="339"/>
      <c r="T846" s="341"/>
      <c r="U846" s="339"/>
      <c r="V846" s="339"/>
      <c r="W846" s="339"/>
      <c r="X846" s="340"/>
      <c r="Y846" s="339"/>
      <c r="Z846" s="339"/>
      <c r="AA846" s="339"/>
      <c r="AB846" s="342"/>
    </row>
    <row r="847" spans="1:28" ht="15.75" customHeight="1">
      <c r="A847" s="339"/>
      <c r="B847" s="339"/>
      <c r="C847" s="339"/>
      <c r="D847" s="339"/>
      <c r="E847" s="339"/>
      <c r="F847" s="339"/>
      <c r="G847" s="340"/>
      <c r="H847" s="339"/>
      <c r="I847" s="339"/>
      <c r="J847" s="340"/>
      <c r="K847" s="339"/>
      <c r="L847" s="341"/>
      <c r="M847" s="339"/>
      <c r="N847" s="341"/>
      <c r="O847" s="341"/>
      <c r="P847" s="339"/>
      <c r="Q847" s="341"/>
      <c r="R847" s="340"/>
      <c r="S847" s="339"/>
      <c r="T847" s="341"/>
      <c r="U847" s="339"/>
      <c r="V847" s="339"/>
      <c r="W847" s="339"/>
      <c r="X847" s="340"/>
      <c r="Y847" s="339"/>
      <c r="Z847" s="339"/>
      <c r="AA847" s="339"/>
      <c r="AB847" s="342"/>
    </row>
    <row r="848" spans="1:28" ht="15.75" customHeight="1">
      <c r="A848" s="339"/>
      <c r="B848" s="339"/>
      <c r="C848" s="339"/>
      <c r="D848" s="339"/>
      <c r="E848" s="339"/>
      <c r="F848" s="339"/>
      <c r="G848" s="340"/>
      <c r="H848" s="339"/>
      <c r="I848" s="339"/>
      <c r="J848" s="340"/>
      <c r="K848" s="339"/>
      <c r="L848" s="341"/>
      <c r="M848" s="339"/>
      <c r="N848" s="341"/>
      <c r="O848" s="341"/>
      <c r="P848" s="339"/>
      <c r="Q848" s="341"/>
      <c r="R848" s="340"/>
      <c r="S848" s="339"/>
      <c r="T848" s="341"/>
      <c r="U848" s="339"/>
      <c r="V848" s="339"/>
      <c r="W848" s="339"/>
      <c r="X848" s="340"/>
      <c r="Y848" s="339"/>
      <c r="Z848" s="339"/>
      <c r="AA848" s="339"/>
      <c r="AB848" s="342"/>
    </row>
    <row r="849" spans="1:28" ht="15.75" customHeight="1">
      <c r="A849" s="339"/>
      <c r="B849" s="339"/>
      <c r="C849" s="339"/>
      <c r="D849" s="339"/>
      <c r="E849" s="339"/>
      <c r="F849" s="339"/>
      <c r="G849" s="340"/>
      <c r="H849" s="339"/>
      <c r="I849" s="339"/>
      <c r="J849" s="340"/>
      <c r="K849" s="339"/>
      <c r="L849" s="341"/>
      <c r="M849" s="339"/>
      <c r="N849" s="341"/>
      <c r="O849" s="341"/>
      <c r="P849" s="339"/>
      <c r="Q849" s="341"/>
      <c r="R849" s="340"/>
      <c r="S849" s="339"/>
      <c r="T849" s="341"/>
      <c r="U849" s="339"/>
      <c r="V849" s="339"/>
      <c r="W849" s="339"/>
      <c r="X849" s="340"/>
      <c r="Y849" s="339"/>
      <c r="Z849" s="339"/>
      <c r="AA849" s="339"/>
      <c r="AB849" s="342"/>
    </row>
    <row r="850" spans="1:28" ht="15.75" customHeight="1">
      <c r="A850" s="339"/>
      <c r="B850" s="339"/>
      <c r="C850" s="339"/>
      <c r="D850" s="339"/>
      <c r="E850" s="339"/>
      <c r="F850" s="339"/>
      <c r="G850" s="340"/>
      <c r="H850" s="339"/>
      <c r="I850" s="339"/>
      <c r="J850" s="340"/>
      <c r="K850" s="339"/>
      <c r="L850" s="341"/>
      <c r="M850" s="339"/>
      <c r="N850" s="341"/>
      <c r="O850" s="341"/>
      <c r="P850" s="339"/>
      <c r="Q850" s="341"/>
      <c r="R850" s="340"/>
      <c r="S850" s="339"/>
      <c r="T850" s="341"/>
      <c r="U850" s="339"/>
      <c r="V850" s="339"/>
      <c r="W850" s="339"/>
      <c r="X850" s="340"/>
      <c r="Y850" s="339"/>
      <c r="Z850" s="339"/>
      <c r="AA850" s="339"/>
      <c r="AB850" s="342"/>
    </row>
    <row r="851" spans="1:28" ht="15.75" customHeight="1">
      <c r="A851" s="339"/>
      <c r="B851" s="339"/>
      <c r="C851" s="339"/>
      <c r="D851" s="339"/>
      <c r="E851" s="339"/>
      <c r="F851" s="339"/>
      <c r="G851" s="340"/>
      <c r="H851" s="339"/>
      <c r="I851" s="339"/>
      <c r="J851" s="340"/>
      <c r="K851" s="339"/>
      <c r="L851" s="341"/>
      <c r="M851" s="339"/>
      <c r="N851" s="341"/>
      <c r="O851" s="341"/>
      <c r="P851" s="339"/>
      <c r="Q851" s="341"/>
      <c r="R851" s="340"/>
      <c r="S851" s="339"/>
      <c r="T851" s="341"/>
      <c r="U851" s="339"/>
      <c r="V851" s="339"/>
      <c r="W851" s="339"/>
      <c r="X851" s="340"/>
      <c r="Y851" s="339"/>
      <c r="Z851" s="339"/>
      <c r="AA851" s="339"/>
      <c r="AB851" s="342"/>
    </row>
    <row r="852" spans="1:28" ht="15.75" customHeight="1">
      <c r="A852" s="339"/>
      <c r="B852" s="339"/>
      <c r="C852" s="339"/>
      <c r="D852" s="339"/>
      <c r="E852" s="339"/>
      <c r="F852" s="339"/>
      <c r="G852" s="340"/>
      <c r="H852" s="339"/>
      <c r="I852" s="339"/>
      <c r="J852" s="340"/>
      <c r="K852" s="339"/>
      <c r="L852" s="341"/>
      <c r="M852" s="339"/>
      <c r="N852" s="341"/>
      <c r="O852" s="341"/>
      <c r="P852" s="339"/>
      <c r="Q852" s="341"/>
      <c r="R852" s="340"/>
      <c r="S852" s="339"/>
      <c r="T852" s="341"/>
      <c r="U852" s="339"/>
      <c r="V852" s="339"/>
      <c r="W852" s="339"/>
      <c r="X852" s="340"/>
      <c r="Y852" s="339"/>
      <c r="Z852" s="339"/>
      <c r="AA852" s="339"/>
      <c r="AB852" s="342"/>
    </row>
    <row r="853" spans="1:28" ht="15.75" customHeight="1">
      <c r="A853" s="339"/>
      <c r="B853" s="339"/>
      <c r="C853" s="339"/>
      <c r="D853" s="339"/>
      <c r="E853" s="339"/>
      <c r="F853" s="339"/>
      <c r="G853" s="340"/>
      <c r="H853" s="339"/>
      <c r="I853" s="339"/>
      <c r="J853" s="340"/>
      <c r="K853" s="339"/>
      <c r="L853" s="341"/>
      <c r="M853" s="339"/>
      <c r="N853" s="341"/>
      <c r="O853" s="341"/>
      <c r="P853" s="339"/>
      <c r="Q853" s="341"/>
      <c r="R853" s="340"/>
      <c r="S853" s="339"/>
      <c r="T853" s="341"/>
      <c r="U853" s="339"/>
      <c r="V853" s="339"/>
      <c r="W853" s="339"/>
      <c r="X853" s="340"/>
      <c r="Y853" s="339"/>
      <c r="Z853" s="339"/>
      <c r="AA853" s="339"/>
      <c r="AB853" s="342"/>
    </row>
    <row r="854" spans="1:28" ht="15.75" customHeight="1">
      <c r="A854" s="339"/>
      <c r="B854" s="339"/>
      <c r="C854" s="339"/>
      <c r="D854" s="339"/>
      <c r="E854" s="339"/>
      <c r="F854" s="339"/>
      <c r="G854" s="340"/>
      <c r="H854" s="339"/>
      <c r="I854" s="339"/>
      <c r="J854" s="340"/>
      <c r="K854" s="339"/>
      <c r="L854" s="341"/>
      <c r="M854" s="339"/>
      <c r="N854" s="341"/>
      <c r="O854" s="341"/>
      <c r="P854" s="339"/>
      <c r="Q854" s="341"/>
      <c r="R854" s="340"/>
      <c r="S854" s="339"/>
      <c r="T854" s="341"/>
      <c r="U854" s="339"/>
      <c r="V854" s="339"/>
      <c r="W854" s="339"/>
      <c r="X854" s="340"/>
      <c r="Y854" s="339"/>
      <c r="Z854" s="339"/>
      <c r="AA854" s="339"/>
      <c r="AB854" s="342"/>
    </row>
    <row r="855" spans="1:28" ht="15.75" customHeight="1">
      <c r="A855" s="339"/>
      <c r="B855" s="339"/>
      <c r="C855" s="339"/>
      <c r="D855" s="339"/>
      <c r="E855" s="339"/>
      <c r="F855" s="339"/>
      <c r="G855" s="340"/>
      <c r="H855" s="339"/>
      <c r="I855" s="339"/>
      <c r="J855" s="340"/>
      <c r="K855" s="339"/>
      <c r="L855" s="341"/>
      <c r="M855" s="339"/>
      <c r="N855" s="341"/>
      <c r="O855" s="341"/>
      <c r="P855" s="339"/>
      <c r="Q855" s="341"/>
      <c r="R855" s="340"/>
      <c r="S855" s="339"/>
      <c r="T855" s="341"/>
      <c r="U855" s="339"/>
      <c r="V855" s="339"/>
      <c r="W855" s="339"/>
      <c r="X855" s="340"/>
      <c r="Y855" s="339"/>
      <c r="Z855" s="339"/>
      <c r="AA855" s="339"/>
      <c r="AB855" s="342"/>
    </row>
    <row r="856" spans="1:28" ht="15.75" customHeight="1">
      <c r="A856" s="339"/>
      <c r="B856" s="339"/>
      <c r="C856" s="339"/>
      <c r="D856" s="339"/>
      <c r="E856" s="339"/>
      <c r="F856" s="339"/>
      <c r="G856" s="340"/>
      <c r="H856" s="339"/>
      <c r="I856" s="339"/>
      <c r="J856" s="340"/>
      <c r="K856" s="339"/>
      <c r="L856" s="341"/>
      <c r="M856" s="339"/>
      <c r="N856" s="341"/>
      <c r="O856" s="341"/>
      <c r="P856" s="339"/>
      <c r="Q856" s="341"/>
      <c r="R856" s="340"/>
      <c r="S856" s="339"/>
      <c r="T856" s="341"/>
      <c r="U856" s="339"/>
      <c r="V856" s="339"/>
      <c r="W856" s="339"/>
      <c r="X856" s="340"/>
      <c r="Y856" s="339"/>
      <c r="Z856" s="339"/>
      <c r="AA856" s="339"/>
      <c r="AB856" s="342"/>
    </row>
    <row r="857" spans="1:28" ht="15.75" customHeight="1">
      <c r="A857" s="339"/>
      <c r="B857" s="339"/>
      <c r="C857" s="339"/>
      <c r="D857" s="339"/>
      <c r="E857" s="339"/>
      <c r="F857" s="339"/>
      <c r="G857" s="340"/>
      <c r="H857" s="339"/>
      <c r="I857" s="339"/>
      <c r="J857" s="340"/>
      <c r="K857" s="339"/>
      <c r="L857" s="341"/>
      <c r="M857" s="339"/>
      <c r="N857" s="341"/>
      <c r="O857" s="341"/>
      <c r="P857" s="339"/>
      <c r="Q857" s="341"/>
      <c r="R857" s="340"/>
      <c r="S857" s="339"/>
      <c r="T857" s="341"/>
      <c r="U857" s="339"/>
      <c r="V857" s="339"/>
      <c r="W857" s="339"/>
      <c r="X857" s="340"/>
      <c r="Y857" s="339"/>
      <c r="Z857" s="339"/>
      <c r="AA857" s="339"/>
      <c r="AB857" s="342"/>
    </row>
    <row r="858" spans="1:28" ht="15.75" customHeight="1">
      <c r="A858" s="339"/>
      <c r="B858" s="339"/>
      <c r="C858" s="339"/>
      <c r="D858" s="339"/>
      <c r="E858" s="339"/>
      <c r="F858" s="339"/>
      <c r="G858" s="340"/>
      <c r="H858" s="339"/>
      <c r="I858" s="339"/>
      <c r="J858" s="340"/>
      <c r="K858" s="339"/>
      <c r="L858" s="341"/>
      <c r="M858" s="339"/>
      <c r="N858" s="341"/>
      <c r="O858" s="341"/>
      <c r="P858" s="339"/>
      <c r="Q858" s="341"/>
      <c r="R858" s="340"/>
      <c r="S858" s="339"/>
      <c r="T858" s="341"/>
      <c r="U858" s="339"/>
      <c r="V858" s="339"/>
      <c r="W858" s="339"/>
      <c r="X858" s="340"/>
      <c r="Y858" s="339"/>
      <c r="Z858" s="339"/>
      <c r="AA858" s="339"/>
      <c r="AB858" s="342"/>
    </row>
    <row r="859" spans="1:28" ht="15.75" customHeight="1">
      <c r="A859" s="339"/>
      <c r="B859" s="339"/>
      <c r="C859" s="339"/>
      <c r="D859" s="339"/>
      <c r="E859" s="339"/>
      <c r="F859" s="339"/>
      <c r="G859" s="340"/>
      <c r="H859" s="339"/>
      <c r="I859" s="339"/>
      <c r="J859" s="340"/>
      <c r="K859" s="339"/>
      <c r="L859" s="341"/>
      <c r="M859" s="339"/>
      <c r="N859" s="341"/>
      <c r="O859" s="341"/>
      <c r="P859" s="339"/>
      <c r="Q859" s="341"/>
      <c r="R859" s="340"/>
      <c r="S859" s="339"/>
      <c r="T859" s="341"/>
      <c r="U859" s="339"/>
      <c r="V859" s="339"/>
      <c r="W859" s="339"/>
      <c r="X859" s="340"/>
      <c r="Y859" s="339"/>
      <c r="Z859" s="339"/>
      <c r="AA859" s="339"/>
      <c r="AB859" s="342"/>
    </row>
    <row r="860" spans="1:28" ht="15.75" customHeight="1">
      <c r="A860" s="339"/>
      <c r="B860" s="339"/>
      <c r="C860" s="339"/>
      <c r="D860" s="339"/>
      <c r="E860" s="339"/>
      <c r="F860" s="339"/>
      <c r="G860" s="340"/>
      <c r="H860" s="339"/>
      <c r="I860" s="339"/>
      <c r="J860" s="340"/>
      <c r="K860" s="339"/>
      <c r="L860" s="341"/>
      <c r="M860" s="339"/>
      <c r="N860" s="341"/>
      <c r="O860" s="341"/>
      <c r="P860" s="339"/>
      <c r="Q860" s="341"/>
      <c r="R860" s="340"/>
      <c r="S860" s="339"/>
      <c r="T860" s="341"/>
      <c r="U860" s="339"/>
      <c r="V860" s="339"/>
      <c r="W860" s="339"/>
      <c r="X860" s="340"/>
      <c r="Y860" s="339"/>
      <c r="Z860" s="339"/>
      <c r="AA860" s="339"/>
      <c r="AB860" s="342"/>
    </row>
    <row r="861" spans="1:28" ht="15.75" customHeight="1">
      <c r="A861" s="339"/>
      <c r="B861" s="339"/>
      <c r="C861" s="339"/>
      <c r="D861" s="339"/>
      <c r="E861" s="339"/>
      <c r="F861" s="339"/>
      <c r="G861" s="340"/>
      <c r="H861" s="339"/>
      <c r="I861" s="339"/>
      <c r="J861" s="340"/>
      <c r="K861" s="339"/>
      <c r="L861" s="341"/>
      <c r="M861" s="339"/>
      <c r="N861" s="341"/>
      <c r="O861" s="341"/>
      <c r="P861" s="339"/>
      <c r="Q861" s="341"/>
      <c r="R861" s="340"/>
      <c r="S861" s="339"/>
      <c r="T861" s="341"/>
      <c r="U861" s="339"/>
      <c r="V861" s="339"/>
      <c r="W861" s="339"/>
      <c r="X861" s="340"/>
      <c r="Y861" s="339"/>
      <c r="Z861" s="339"/>
      <c r="AA861" s="339"/>
      <c r="AB861" s="342"/>
    </row>
    <row r="862" spans="1:28" ht="15.75" customHeight="1">
      <c r="A862" s="339"/>
      <c r="B862" s="339"/>
      <c r="C862" s="339"/>
      <c r="D862" s="339"/>
      <c r="E862" s="339"/>
      <c r="F862" s="339"/>
      <c r="G862" s="340"/>
      <c r="H862" s="339"/>
      <c r="I862" s="339"/>
      <c r="J862" s="340"/>
      <c r="K862" s="339"/>
      <c r="L862" s="341"/>
      <c r="M862" s="339"/>
      <c r="N862" s="341"/>
      <c r="O862" s="341"/>
      <c r="P862" s="339"/>
      <c r="Q862" s="341"/>
      <c r="R862" s="340"/>
      <c r="S862" s="339"/>
      <c r="T862" s="341"/>
      <c r="U862" s="339"/>
      <c r="V862" s="339"/>
      <c r="W862" s="339"/>
      <c r="X862" s="340"/>
      <c r="Y862" s="339"/>
      <c r="Z862" s="339"/>
      <c r="AA862" s="339"/>
      <c r="AB862" s="342"/>
    </row>
    <row r="863" spans="1:28" ht="15.75" customHeight="1">
      <c r="A863" s="339"/>
      <c r="B863" s="339"/>
      <c r="C863" s="339"/>
      <c r="D863" s="339"/>
      <c r="E863" s="339"/>
      <c r="F863" s="339"/>
      <c r="G863" s="340"/>
      <c r="H863" s="339"/>
      <c r="I863" s="339"/>
      <c r="J863" s="340"/>
      <c r="K863" s="339"/>
      <c r="L863" s="341"/>
      <c r="M863" s="339"/>
      <c r="N863" s="341"/>
      <c r="O863" s="341"/>
      <c r="P863" s="339"/>
      <c r="Q863" s="341"/>
      <c r="R863" s="340"/>
      <c r="S863" s="339"/>
      <c r="T863" s="341"/>
      <c r="U863" s="339"/>
      <c r="V863" s="339"/>
      <c r="W863" s="339"/>
      <c r="X863" s="340"/>
      <c r="Y863" s="339"/>
      <c r="Z863" s="339"/>
      <c r="AA863" s="339"/>
      <c r="AB863" s="342"/>
    </row>
    <row r="864" spans="1:28" ht="15.75" customHeight="1">
      <c r="A864" s="339"/>
      <c r="B864" s="339"/>
      <c r="C864" s="339"/>
      <c r="D864" s="339"/>
      <c r="E864" s="339"/>
      <c r="F864" s="339"/>
      <c r="G864" s="340"/>
      <c r="H864" s="339"/>
      <c r="I864" s="339"/>
      <c r="J864" s="340"/>
      <c r="K864" s="339"/>
      <c r="L864" s="341"/>
      <c r="M864" s="339"/>
      <c r="N864" s="341"/>
      <c r="O864" s="341"/>
      <c r="P864" s="339"/>
      <c r="Q864" s="341"/>
      <c r="R864" s="340"/>
      <c r="S864" s="339"/>
      <c r="T864" s="341"/>
      <c r="U864" s="339"/>
      <c r="V864" s="339"/>
      <c r="W864" s="339"/>
      <c r="X864" s="340"/>
      <c r="Y864" s="339"/>
      <c r="Z864" s="339"/>
      <c r="AA864" s="339"/>
      <c r="AB864" s="342"/>
    </row>
    <row r="865" spans="1:28" ht="15.75" customHeight="1">
      <c r="A865" s="339"/>
      <c r="B865" s="339"/>
      <c r="C865" s="339"/>
      <c r="D865" s="339"/>
      <c r="E865" s="339"/>
      <c r="F865" s="339"/>
      <c r="G865" s="340"/>
      <c r="H865" s="339"/>
      <c r="I865" s="339"/>
      <c r="J865" s="340"/>
      <c r="K865" s="339"/>
      <c r="L865" s="341"/>
      <c r="M865" s="339"/>
      <c r="N865" s="341"/>
      <c r="O865" s="341"/>
      <c r="P865" s="339"/>
      <c r="Q865" s="341"/>
      <c r="R865" s="340"/>
      <c r="S865" s="339"/>
      <c r="T865" s="341"/>
      <c r="U865" s="339"/>
      <c r="V865" s="339"/>
      <c r="W865" s="339"/>
      <c r="X865" s="340"/>
      <c r="Y865" s="339"/>
      <c r="Z865" s="339"/>
      <c r="AA865" s="339"/>
      <c r="AB865" s="342"/>
    </row>
    <row r="866" spans="1:28" ht="15.75" customHeight="1">
      <c r="A866" s="339"/>
      <c r="B866" s="339"/>
      <c r="C866" s="339"/>
      <c r="D866" s="339"/>
      <c r="E866" s="339"/>
      <c r="F866" s="339"/>
      <c r="G866" s="340"/>
      <c r="H866" s="339"/>
      <c r="I866" s="339"/>
      <c r="J866" s="340"/>
      <c r="K866" s="339"/>
      <c r="L866" s="341"/>
      <c r="M866" s="339"/>
      <c r="N866" s="341"/>
      <c r="O866" s="341"/>
      <c r="P866" s="339"/>
      <c r="Q866" s="341"/>
      <c r="R866" s="340"/>
      <c r="S866" s="339"/>
      <c r="T866" s="341"/>
      <c r="U866" s="339"/>
      <c r="V866" s="339"/>
      <c r="W866" s="339"/>
      <c r="X866" s="340"/>
      <c r="Y866" s="339"/>
      <c r="Z866" s="339"/>
      <c r="AA866" s="339"/>
      <c r="AB866" s="342"/>
    </row>
    <row r="867" spans="1:28" ht="15.75" customHeight="1">
      <c r="A867" s="339"/>
      <c r="B867" s="339"/>
      <c r="C867" s="339"/>
      <c r="D867" s="339"/>
      <c r="E867" s="339"/>
      <c r="F867" s="339"/>
      <c r="G867" s="340"/>
      <c r="H867" s="339"/>
      <c r="I867" s="339"/>
      <c r="J867" s="340"/>
      <c r="K867" s="339"/>
      <c r="L867" s="341"/>
      <c r="M867" s="339"/>
      <c r="N867" s="341"/>
      <c r="O867" s="341"/>
      <c r="P867" s="339"/>
      <c r="Q867" s="341"/>
      <c r="R867" s="340"/>
      <c r="S867" s="339"/>
      <c r="T867" s="341"/>
      <c r="U867" s="339"/>
      <c r="V867" s="339"/>
      <c r="W867" s="339"/>
      <c r="X867" s="340"/>
      <c r="Y867" s="339"/>
      <c r="Z867" s="339"/>
      <c r="AA867" s="339"/>
      <c r="AB867" s="342"/>
    </row>
    <row r="868" spans="1:28" ht="15.75" customHeight="1">
      <c r="A868" s="339"/>
      <c r="B868" s="339"/>
      <c r="C868" s="339"/>
      <c r="D868" s="339"/>
      <c r="E868" s="339"/>
      <c r="F868" s="339"/>
      <c r="G868" s="340"/>
      <c r="H868" s="339"/>
      <c r="I868" s="339"/>
      <c r="J868" s="340"/>
      <c r="K868" s="339"/>
      <c r="L868" s="341"/>
      <c r="M868" s="339"/>
      <c r="N868" s="341"/>
      <c r="O868" s="341"/>
      <c r="P868" s="339"/>
      <c r="Q868" s="341"/>
      <c r="R868" s="340"/>
      <c r="S868" s="339"/>
      <c r="T868" s="341"/>
      <c r="U868" s="339"/>
      <c r="V868" s="339"/>
      <c r="W868" s="339"/>
      <c r="X868" s="340"/>
      <c r="Y868" s="339"/>
      <c r="Z868" s="339"/>
      <c r="AA868" s="339"/>
      <c r="AB868" s="342"/>
    </row>
    <row r="869" spans="1:28" ht="15.75" customHeight="1">
      <c r="A869" s="339"/>
      <c r="B869" s="339"/>
      <c r="C869" s="339"/>
      <c r="D869" s="339"/>
      <c r="E869" s="339"/>
      <c r="F869" s="339"/>
      <c r="G869" s="340"/>
      <c r="H869" s="339"/>
      <c r="I869" s="339"/>
      <c r="J869" s="340"/>
      <c r="K869" s="339"/>
      <c r="L869" s="341"/>
      <c r="M869" s="339"/>
      <c r="N869" s="341"/>
      <c r="O869" s="341"/>
      <c r="P869" s="339"/>
      <c r="Q869" s="341"/>
      <c r="R869" s="340"/>
      <c r="S869" s="339"/>
      <c r="T869" s="341"/>
      <c r="U869" s="339"/>
      <c r="V869" s="339"/>
      <c r="W869" s="339"/>
      <c r="X869" s="340"/>
      <c r="Y869" s="339"/>
      <c r="Z869" s="339"/>
      <c r="AA869" s="339"/>
      <c r="AB869" s="342"/>
    </row>
    <row r="870" spans="1:28" ht="15.75" customHeight="1">
      <c r="A870" s="339"/>
      <c r="B870" s="339"/>
      <c r="C870" s="339"/>
      <c r="D870" s="339"/>
      <c r="E870" s="339"/>
      <c r="F870" s="339"/>
      <c r="G870" s="340"/>
      <c r="H870" s="339"/>
      <c r="I870" s="339"/>
      <c r="J870" s="340"/>
      <c r="K870" s="339"/>
      <c r="L870" s="341"/>
      <c r="M870" s="339"/>
      <c r="N870" s="341"/>
      <c r="O870" s="341"/>
      <c r="P870" s="339"/>
      <c r="Q870" s="341"/>
      <c r="R870" s="340"/>
      <c r="S870" s="339"/>
      <c r="T870" s="341"/>
      <c r="U870" s="339"/>
      <c r="V870" s="339"/>
      <c r="W870" s="339"/>
      <c r="X870" s="340"/>
      <c r="Y870" s="339"/>
      <c r="Z870" s="339"/>
      <c r="AA870" s="339"/>
      <c r="AB870" s="342"/>
    </row>
    <row r="871" spans="1:28" ht="15.75" customHeight="1">
      <c r="A871" s="339"/>
      <c r="B871" s="339"/>
      <c r="C871" s="339"/>
      <c r="D871" s="339"/>
      <c r="E871" s="339"/>
      <c r="F871" s="339"/>
      <c r="G871" s="340"/>
      <c r="H871" s="339"/>
      <c r="I871" s="339"/>
      <c r="J871" s="340"/>
      <c r="K871" s="339"/>
      <c r="L871" s="341"/>
      <c r="M871" s="339"/>
      <c r="N871" s="341"/>
      <c r="O871" s="341"/>
      <c r="P871" s="339"/>
      <c r="Q871" s="341"/>
      <c r="R871" s="340"/>
      <c r="S871" s="339"/>
      <c r="T871" s="341"/>
      <c r="U871" s="339"/>
      <c r="V871" s="339"/>
      <c r="W871" s="339"/>
      <c r="X871" s="340"/>
      <c r="Y871" s="339"/>
      <c r="Z871" s="339"/>
      <c r="AA871" s="339"/>
      <c r="AB871" s="342"/>
    </row>
    <row r="872" spans="1:28" ht="15.75" customHeight="1">
      <c r="A872" s="339"/>
      <c r="B872" s="339"/>
      <c r="C872" s="339"/>
      <c r="D872" s="339"/>
      <c r="E872" s="339"/>
      <c r="F872" s="339"/>
      <c r="G872" s="340"/>
      <c r="H872" s="339"/>
      <c r="I872" s="339"/>
      <c r="J872" s="340"/>
      <c r="K872" s="339"/>
      <c r="L872" s="341"/>
      <c r="M872" s="339"/>
      <c r="N872" s="341"/>
      <c r="O872" s="341"/>
      <c r="P872" s="339"/>
      <c r="Q872" s="341"/>
      <c r="R872" s="340"/>
      <c r="S872" s="339"/>
      <c r="T872" s="341"/>
      <c r="U872" s="339"/>
      <c r="V872" s="339"/>
      <c r="W872" s="339"/>
      <c r="X872" s="340"/>
      <c r="Y872" s="339"/>
      <c r="Z872" s="339"/>
      <c r="AA872" s="339"/>
      <c r="AB872" s="342"/>
    </row>
    <row r="873" spans="1:28" ht="15.75" customHeight="1">
      <c r="A873" s="339"/>
      <c r="B873" s="339"/>
      <c r="C873" s="339"/>
      <c r="D873" s="339"/>
      <c r="E873" s="339"/>
      <c r="F873" s="339"/>
      <c r="G873" s="340"/>
      <c r="H873" s="339"/>
      <c r="I873" s="339"/>
      <c r="J873" s="340"/>
      <c r="K873" s="339"/>
      <c r="L873" s="341"/>
      <c r="M873" s="339"/>
      <c r="N873" s="341"/>
      <c r="O873" s="341"/>
      <c r="P873" s="339"/>
      <c r="Q873" s="341"/>
      <c r="R873" s="340"/>
      <c r="S873" s="339"/>
      <c r="T873" s="341"/>
      <c r="U873" s="339"/>
      <c r="V873" s="339"/>
      <c r="W873" s="339"/>
      <c r="X873" s="340"/>
      <c r="Y873" s="339"/>
      <c r="Z873" s="339"/>
      <c r="AA873" s="339"/>
      <c r="AB873" s="342"/>
    </row>
    <row r="874" spans="1:28" ht="15.75" customHeight="1">
      <c r="A874" s="339"/>
      <c r="B874" s="339"/>
      <c r="C874" s="339"/>
      <c r="D874" s="339"/>
      <c r="E874" s="339"/>
      <c r="F874" s="339"/>
      <c r="G874" s="340"/>
      <c r="H874" s="339"/>
      <c r="I874" s="339"/>
      <c r="J874" s="340"/>
      <c r="K874" s="339"/>
      <c r="L874" s="341"/>
      <c r="M874" s="339"/>
      <c r="N874" s="341"/>
      <c r="O874" s="341"/>
      <c r="P874" s="339"/>
      <c r="Q874" s="341"/>
      <c r="R874" s="340"/>
      <c r="S874" s="339"/>
      <c r="T874" s="341"/>
      <c r="U874" s="339"/>
      <c r="V874" s="339"/>
      <c r="W874" s="339"/>
      <c r="X874" s="340"/>
      <c r="Y874" s="339"/>
      <c r="Z874" s="339"/>
      <c r="AA874" s="339"/>
      <c r="AB874" s="342"/>
    </row>
    <row r="875" spans="1:28" ht="15.75" customHeight="1">
      <c r="A875" s="339"/>
      <c r="B875" s="339"/>
      <c r="C875" s="339"/>
      <c r="D875" s="339"/>
      <c r="E875" s="339"/>
      <c r="F875" s="339"/>
      <c r="G875" s="340"/>
      <c r="H875" s="339"/>
      <c r="I875" s="339"/>
      <c r="J875" s="340"/>
      <c r="K875" s="339"/>
      <c r="L875" s="341"/>
      <c r="M875" s="339"/>
      <c r="N875" s="341"/>
      <c r="O875" s="341"/>
      <c r="P875" s="339"/>
      <c r="Q875" s="341"/>
      <c r="R875" s="340"/>
      <c r="S875" s="339"/>
      <c r="T875" s="341"/>
      <c r="U875" s="339"/>
      <c r="V875" s="339"/>
      <c r="W875" s="339"/>
      <c r="X875" s="340"/>
      <c r="Y875" s="339"/>
      <c r="Z875" s="339"/>
      <c r="AA875" s="339"/>
      <c r="AB875" s="342"/>
    </row>
    <row r="876" spans="1:28" ht="15.75" customHeight="1">
      <c r="A876" s="339"/>
      <c r="B876" s="339"/>
      <c r="C876" s="339"/>
      <c r="D876" s="339"/>
      <c r="E876" s="339"/>
      <c r="F876" s="339"/>
      <c r="G876" s="340"/>
      <c r="H876" s="339"/>
      <c r="I876" s="339"/>
      <c r="J876" s="340"/>
      <c r="K876" s="339"/>
      <c r="L876" s="341"/>
      <c r="M876" s="339"/>
      <c r="N876" s="341"/>
      <c r="O876" s="341"/>
      <c r="P876" s="339"/>
      <c r="Q876" s="341"/>
      <c r="R876" s="340"/>
      <c r="S876" s="339"/>
      <c r="T876" s="341"/>
      <c r="U876" s="339"/>
      <c r="V876" s="339"/>
      <c r="W876" s="339"/>
      <c r="X876" s="340"/>
      <c r="Y876" s="339"/>
      <c r="Z876" s="339"/>
      <c r="AA876" s="339"/>
      <c r="AB876" s="342"/>
    </row>
    <row r="877" spans="1:28" ht="15.75" customHeight="1">
      <c r="A877" s="339"/>
      <c r="B877" s="339"/>
      <c r="C877" s="339"/>
      <c r="D877" s="339"/>
      <c r="E877" s="339"/>
      <c r="F877" s="339"/>
      <c r="G877" s="340"/>
      <c r="H877" s="339"/>
      <c r="I877" s="339"/>
      <c r="J877" s="340"/>
      <c r="K877" s="339"/>
      <c r="L877" s="341"/>
      <c r="M877" s="339"/>
      <c r="N877" s="341"/>
      <c r="O877" s="341"/>
      <c r="P877" s="339"/>
      <c r="Q877" s="341"/>
      <c r="R877" s="340"/>
      <c r="S877" s="339"/>
      <c r="T877" s="341"/>
      <c r="U877" s="339"/>
      <c r="V877" s="339"/>
      <c r="W877" s="339"/>
      <c r="X877" s="340"/>
      <c r="Y877" s="339"/>
      <c r="Z877" s="339"/>
      <c r="AA877" s="339"/>
      <c r="AB877" s="342"/>
    </row>
    <row r="878" spans="1:28" ht="15.75" customHeight="1">
      <c r="A878" s="339"/>
      <c r="B878" s="339"/>
      <c r="C878" s="339"/>
      <c r="D878" s="339"/>
      <c r="E878" s="339"/>
      <c r="F878" s="339"/>
      <c r="G878" s="340"/>
      <c r="H878" s="339"/>
      <c r="I878" s="339"/>
      <c r="J878" s="340"/>
      <c r="K878" s="339"/>
      <c r="L878" s="341"/>
      <c r="M878" s="339"/>
      <c r="N878" s="341"/>
      <c r="O878" s="341"/>
      <c r="P878" s="339"/>
      <c r="Q878" s="341"/>
      <c r="R878" s="340"/>
      <c r="S878" s="339"/>
      <c r="T878" s="341"/>
      <c r="U878" s="339"/>
      <c r="V878" s="339"/>
      <c r="W878" s="339"/>
      <c r="X878" s="340"/>
      <c r="Y878" s="339"/>
      <c r="Z878" s="339"/>
      <c r="AA878" s="339"/>
      <c r="AB878" s="342"/>
    </row>
    <row r="879" spans="1:28" ht="15.75" customHeight="1">
      <c r="A879" s="339"/>
      <c r="B879" s="339"/>
      <c r="C879" s="339"/>
      <c r="D879" s="339"/>
      <c r="E879" s="339"/>
      <c r="F879" s="339"/>
      <c r="G879" s="340"/>
      <c r="H879" s="339"/>
      <c r="I879" s="339"/>
      <c r="J879" s="340"/>
      <c r="K879" s="339"/>
      <c r="L879" s="341"/>
      <c r="M879" s="339"/>
      <c r="N879" s="341"/>
      <c r="O879" s="341"/>
      <c r="P879" s="339"/>
      <c r="Q879" s="341"/>
      <c r="R879" s="340"/>
      <c r="S879" s="339"/>
      <c r="T879" s="341"/>
      <c r="U879" s="339"/>
      <c r="V879" s="339"/>
      <c r="W879" s="339"/>
      <c r="X879" s="340"/>
      <c r="Y879" s="339"/>
      <c r="Z879" s="339"/>
      <c r="AA879" s="339"/>
      <c r="AB879" s="342"/>
    </row>
    <row r="880" spans="1:28" ht="15.75" customHeight="1">
      <c r="A880" s="339"/>
      <c r="B880" s="339"/>
      <c r="C880" s="339"/>
      <c r="D880" s="339"/>
      <c r="E880" s="339"/>
      <c r="F880" s="339"/>
      <c r="G880" s="340"/>
      <c r="H880" s="339"/>
      <c r="I880" s="339"/>
      <c r="J880" s="340"/>
      <c r="K880" s="339"/>
      <c r="L880" s="341"/>
      <c r="M880" s="339"/>
      <c r="N880" s="341"/>
      <c r="O880" s="341"/>
      <c r="P880" s="339"/>
      <c r="Q880" s="341"/>
      <c r="R880" s="340"/>
      <c r="S880" s="339"/>
      <c r="T880" s="341"/>
      <c r="U880" s="339"/>
      <c r="V880" s="339"/>
      <c r="W880" s="339"/>
      <c r="X880" s="340"/>
      <c r="Y880" s="339"/>
      <c r="Z880" s="339"/>
      <c r="AA880" s="339"/>
      <c r="AB880" s="342"/>
    </row>
    <row r="881" spans="1:28" ht="15.75" customHeight="1">
      <c r="A881" s="339"/>
      <c r="B881" s="339"/>
      <c r="C881" s="339"/>
      <c r="D881" s="339"/>
      <c r="E881" s="339"/>
      <c r="F881" s="339"/>
      <c r="G881" s="340"/>
      <c r="H881" s="339"/>
      <c r="I881" s="339"/>
      <c r="J881" s="340"/>
      <c r="K881" s="339"/>
      <c r="L881" s="341"/>
      <c r="M881" s="339"/>
      <c r="N881" s="341"/>
      <c r="O881" s="341"/>
      <c r="P881" s="339"/>
      <c r="Q881" s="341"/>
      <c r="R881" s="340"/>
      <c r="S881" s="339"/>
      <c r="T881" s="341"/>
      <c r="U881" s="339"/>
      <c r="V881" s="339"/>
      <c r="W881" s="339"/>
      <c r="X881" s="340"/>
      <c r="Y881" s="339"/>
      <c r="Z881" s="339"/>
      <c r="AA881" s="339"/>
      <c r="AB881" s="342"/>
    </row>
    <row r="882" spans="1:28" ht="15.75" customHeight="1">
      <c r="A882" s="339"/>
      <c r="B882" s="339"/>
      <c r="C882" s="339"/>
      <c r="D882" s="339"/>
      <c r="E882" s="339"/>
      <c r="F882" s="339"/>
      <c r="G882" s="340"/>
      <c r="H882" s="339"/>
      <c r="I882" s="339"/>
      <c r="J882" s="340"/>
      <c r="K882" s="339"/>
      <c r="L882" s="341"/>
      <c r="M882" s="339"/>
      <c r="N882" s="341"/>
      <c r="O882" s="341"/>
      <c r="P882" s="339"/>
      <c r="Q882" s="341"/>
      <c r="R882" s="340"/>
      <c r="S882" s="339"/>
      <c r="T882" s="341"/>
      <c r="U882" s="339"/>
      <c r="V882" s="339"/>
      <c r="W882" s="339"/>
      <c r="X882" s="340"/>
      <c r="Y882" s="339"/>
      <c r="Z882" s="339"/>
      <c r="AA882" s="339"/>
      <c r="AB882" s="342"/>
    </row>
    <row r="883" spans="1:28" ht="15.75" customHeight="1">
      <c r="A883" s="339"/>
      <c r="B883" s="339"/>
      <c r="C883" s="339"/>
      <c r="D883" s="339"/>
      <c r="E883" s="339"/>
      <c r="F883" s="339"/>
      <c r="G883" s="340"/>
      <c r="H883" s="339"/>
      <c r="I883" s="339"/>
      <c r="J883" s="340"/>
      <c r="K883" s="339"/>
      <c r="L883" s="341"/>
      <c r="M883" s="339"/>
      <c r="N883" s="341"/>
      <c r="O883" s="341"/>
      <c r="P883" s="339"/>
      <c r="Q883" s="341"/>
      <c r="R883" s="340"/>
      <c r="S883" s="339"/>
      <c r="T883" s="341"/>
      <c r="U883" s="339"/>
      <c r="V883" s="339"/>
      <c r="W883" s="339"/>
      <c r="X883" s="340"/>
      <c r="Y883" s="339"/>
      <c r="Z883" s="339"/>
      <c r="AA883" s="339"/>
      <c r="AB883" s="342"/>
    </row>
    <row r="884" spans="1:28" ht="15.75" customHeight="1">
      <c r="A884" s="339"/>
      <c r="B884" s="339"/>
      <c r="C884" s="339"/>
      <c r="D884" s="339"/>
      <c r="E884" s="339"/>
      <c r="F884" s="339"/>
      <c r="G884" s="340"/>
      <c r="H884" s="339"/>
      <c r="I884" s="339"/>
      <c r="J884" s="340"/>
      <c r="K884" s="339"/>
      <c r="L884" s="341"/>
      <c r="M884" s="339"/>
      <c r="N884" s="341"/>
      <c r="O884" s="341"/>
      <c r="P884" s="339"/>
      <c r="Q884" s="341"/>
      <c r="R884" s="340"/>
      <c r="S884" s="339"/>
      <c r="T884" s="341"/>
      <c r="U884" s="339"/>
      <c r="V884" s="339"/>
      <c r="W884" s="339"/>
      <c r="X884" s="340"/>
      <c r="Y884" s="339"/>
      <c r="Z884" s="339"/>
      <c r="AA884" s="339"/>
      <c r="AB884" s="342"/>
    </row>
    <row r="885" spans="1:28" ht="15.75" customHeight="1">
      <c r="A885" s="339"/>
      <c r="B885" s="339"/>
      <c r="C885" s="339"/>
      <c r="D885" s="339"/>
      <c r="E885" s="339"/>
      <c r="F885" s="339"/>
      <c r="G885" s="340"/>
      <c r="H885" s="339"/>
      <c r="I885" s="339"/>
      <c r="J885" s="340"/>
      <c r="K885" s="339"/>
      <c r="L885" s="341"/>
      <c r="M885" s="339"/>
      <c r="N885" s="341"/>
      <c r="O885" s="341"/>
      <c r="P885" s="339"/>
      <c r="Q885" s="341"/>
      <c r="R885" s="340"/>
      <c r="S885" s="339"/>
      <c r="T885" s="341"/>
      <c r="U885" s="339"/>
      <c r="V885" s="339"/>
      <c r="W885" s="339"/>
      <c r="X885" s="340"/>
      <c r="Y885" s="339"/>
      <c r="Z885" s="339"/>
      <c r="AA885" s="339"/>
      <c r="AB885" s="342"/>
    </row>
    <row r="886" spans="1:28" ht="15.75" customHeight="1">
      <c r="A886" s="339"/>
      <c r="B886" s="339"/>
      <c r="C886" s="339"/>
      <c r="D886" s="339"/>
      <c r="E886" s="339"/>
      <c r="F886" s="339"/>
      <c r="G886" s="340"/>
      <c r="H886" s="339"/>
      <c r="I886" s="339"/>
      <c r="J886" s="340"/>
      <c r="K886" s="339"/>
      <c r="L886" s="341"/>
      <c r="M886" s="339"/>
      <c r="N886" s="341"/>
      <c r="O886" s="341"/>
      <c r="P886" s="339"/>
      <c r="Q886" s="341"/>
      <c r="R886" s="340"/>
      <c r="S886" s="339"/>
      <c r="T886" s="341"/>
      <c r="U886" s="339"/>
      <c r="V886" s="339"/>
      <c r="W886" s="339"/>
      <c r="X886" s="340"/>
      <c r="Y886" s="339"/>
      <c r="Z886" s="339"/>
      <c r="AA886" s="339"/>
      <c r="AB886" s="342"/>
    </row>
    <row r="887" spans="1:28" ht="15.75" customHeight="1">
      <c r="A887" s="339"/>
      <c r="B887" s="339"/>
      <c r="C887" s="339"/>
      <c r="D887" s="339"/>
      <c r="E887" s="339"/>
      <c r="F887" s="339"/>
      <c r="G887" s="340"/>
      <c r="H887" s="339"/>
      <c r="I887" s="339"/>
      <c r="J887" s="340"/>
      <c r="K887" s="339"/>
      <c r="L887" s="341"/>
      <c r="M887" s="339"/>
      <c r="N887" s="341"/>
      <c r="O887" s="341"/>
      <c r="P887" s="339"/>
      <c r="Q887" s="341"/>
      <c r="R887" s="340"/>
      <c r="S887" s="339"/>
      <c r="T887" s="341"/>
      <c r="U887" s="339"/>
      <c r="V887" s="339"/>
      <c r="W887" s="339"/>
      <c r="X887" s="340"/>
      <c r="Y887" s="339"/>
      <c r="Z887" s="339"/>
      <c r="AA887" s="339"/>
      <c r="AB887" s="342"/>
    </row>
    <row r="888" spans="1:28" ht="15.75" customHeight="1">
      <c r="A888" s="339"/>
      <c r="B888" s="339"/>
      <c r="C888" s="339"/>
      <c r="D888" s="339"/>
      <c r="E888" s="339"/>
      <c r="F888" s="339"/>
      <c r="G888" s="340"/>
      <c r="H888" s="339"/>
      <c r="I888" s="339"/>
      <c r="J888" s="340"/>
      <c r="K888" s="339"/>
      <c r="L888" s="341"/>
      <c r="M888" s="339"/>
      <c r="N888" s="341"/>
      <c r="O888" s="341"/>
      <c r="P888" s="339"/>
      <c r="Q888" s="341"/>
      <c r="R888" s="340"/>
      <c r="S888" s="339"/>
      <c r="T888" s="341"/>
      <c r="U888" s="339"/>
      <c r="V888" s="339"/>
      <c r="W888" s="339"/>
      <c r="X888" s="340"/>
      <c r="Y888" s="339"/>
      <c r="Z888" s="339"/>
      <c r="AA888" s="339"/>
      <c r="AB888" s="342"/>
    </row>
    <row r="889" spans="1:28" ht="15.75" customHeight="1">
      <c r="A889" s="339"/>
      <c r="B889" s="339"/>
      <c r="C889" s="339"/>
      <c r="D889" s="339"/>
      <c r="E889" s="339"/>
      <c r="F889" s="339"/>
      <c r="G889" s="340"/>
      <c r="H889" s="339"/>
      <c r="I889" s="339"/>
      <c r="J889" s="340"/>
      <c r="K889" s="339"/>
      <c r="L889" s="341"/>
      <c r="M889" s="339"/>
      <c r="N889" s="341"/>
      <c r="O889" s="341"/>
      <c r="P889" s="339"/>
      <c r="Q889" s="341"/>
      <c r="R889" s="340"/>
      <c r="S889" s="339"/>
      <c r="T889" s="341"/>
      <c r="U889" s="339"/>
      <c r="V889" s="339"/>
      <c r="W889" s="339"/>
      <c r="X889" s="340"/>
      <c r="Y889" s="339"/>
      <c r="Z889" s="339"/>
      <c r="AA889" s="339"/>
      <c r="AB889" s="342"/>
    </row>
    <row r="890" spans="1:28" ht="15.75" customHeight="1">
      <c r="A890" s="339"/>
      <c r="B890" s="339"/>
      <c r="C890" s="339"/>
      <c r="D890" s="339"/>
      <c r="E890" s="339"/>
      <c r="F890" s="339"/>
      <c r="G890" s="340"/>
      <c r="H890" s="339"/>
      <c r="I890" s="339"/>
      <c r="J890" s="340"/>
      <c r="K890" s="339"/>
      <c r="L890" s="341"/>
      <c r="M890" s="339"/>
      <c r="N890" s="341"/>
      <c r="O890" s="341"/>
      <c r="P890" s="339"/>
      <c r="Q890" s="341"/>
      <c r="R890" s="340"/>
      <c r="S890" s="339"/>
      <c r="T890" s="341"/>
      <c r="U890" s="339"/>
      <c r="V890" s="339"/>
      <c r="W890" s="339"/>
      <c r="X890" s="340"/>
      <c r="Y890" s="339"/>
      <c r="Z890" s="339"/>
      <c r="AA890" s="339"/>
      <c r="AB890" s="342"/>
    </row>
    <row r="891" spans="1:28" ht="15.75" customHeight="1">
      <c r="A891" s="339"/>
      <c r="B891" s="339"/>
      <c r="C891" s="339"/>
      <c r="D891" s="339"/>
      <c r="E891" s="339"/>
      <c r="F891" s="339"/>
      <c r="G891" s="340"/>
      <c r="H891" s="339"/>
      <c r="I891" s="339"/>
      <c r="J891" s="340"/>
      <c r="K891" s="339"/>
      <c r="L891" s="341"/>
      <c r="M891" s="339"/>
      <c r="N891" s="341"/>
      <c r="O891" s="341"/>
      <c r="P891" s="339"/>
      <c r="Q891" s="341"/>
      <c r="R891" s="340"/>
      <c r="S891" s="339"/>
      <c r="T891" s="341"/>
      <c r="U891" s="339"/>
      <c r="V891" s="339"/>
      <c r="W891" s="339"/>
      <c r="X891" s="340"/>
      <c r="Y891" s="339"/>
      <c r="Z891" s="339"/>
      <c r="AA891" s="339"/>
      <c r="AB891" s="342"/>
    </row>
    <row r="892" spans="1:28" ht="15.75" customHeight="1">
      <c r="A892" s="339"/>
      <c r="B892" s="339"/>
      <c r="C892" s="339"/>
      <c r="D892" s="339"/>
      <c r="E892" s="339"/>
      <c r="F892" s="339"/>
      <c r="G892" s="340"/>
      <c r="H892" s="339"/>
      <c r="I892" s="339"/>
      <c r="J892" s="340"/>
      <c r="K892" s="339"/>
      <c r="L892" s="341"/>
      <c r="M892" s="339"/>
      <c r="N892" s="341"/>
      <c r="O892" s="341"/>
      <c r="P892" s="339"/>
      <c r="Q892" s="341"/>
      <c r="R892" s="340"/>
      <c r="S892" s="339"/>
      <c r="T892" s="341"/>
      <c r="U892" s="339"/>
      <c r="V892" s="339"/>
      <c r="W892" s="339"/>
      <c r="X892" s="340"/>
      <c r="Y892" s="339"/>
      <c r="Z892" s="339"/>
      <c r="AA892" s="339"/>
      <c r="AB892" s="342"/>
    </row>
    <row r="893" spans="1:28" ht="15.75" customHeight="1">
      <c r="A893" s="339"/>
      <c r="B893" s="339"/>
      <c r="C893" s="339"/>
      <c r="D893" s="339"/>
      <c r="E893" s="339"/>
      <c r="F893" s="339"/>
      <c r="G893" s="340"/>
      <c r="H893" s="339"/>
      <c r="I893" s="339"/>
      <c r="J893" s="340"/>
      <c r="K893" s="339"/>
      <c r="L893" s="341"/>
      <c r="M893" s="339"/>
      <c r="N893" s="341"/>
      <c r="O893" s="341"/>
      <c r="P893" s="339"/>
      <c r="Q893" s="341"/>
      <c r="R893" s="340"/>
      <c r="S893" s="339"/>
      <c r="T893" s="341"/>
      <c r="U893" s="339"/>
      <c r="V893" s="339"/>
      <c r="W893" s="339"/>
      <c r="X893" s="340"/>
      <c r="Y893" s="339"/>
      <c r="Z893" s="339"/>
      <c r="AA893" s="339"/>
      <c r="AB893" s="342"/>
    </row>
    <row r="894" spans="1:28" ht="15.75" customHeight="1">
      <c r="A894" s="339"/>
      <c r="B894" s="339"/>
      <c r="C894" s="339"/>
      <c r="D894" s="339"/>
      <c r="E894" s="339"/>
      <c r="F894" s="339"/>
      <c r="G894" s="340"/>
      <c r="H894" s="339"/>
      <c r="I894" s="339"/>
      <c r="J894" s="340"/>
      <c r="K894" s="339"/>
      <c r="L894" s="341"/>
      <c r="M894" s="339"/>
      <c r="N894" s="341"/>
      <c r="O894" s="341"/>
      <c r="P894" s="339"/>
      <c r="Q894" s="341"/>
      <c r="R894" s="340"/>
      <c r="S894" s="339"/>
      <c r="T894" s="341"/>
      <c r="U894" s="339"/>
      <c r="V894" s="339"/>
      <c r="W894" s="339"/>
      <c r="X894" s="340"/>
      <c r="Y894" s="339"/>
      <c r="Z894" s="339"/>
      <c r="AA894" s="339"/>
      <c r="AB894" s="342"/>
    </row>
    <row r="895" spans="1:28" ht="15.75" customHeight="1">
      <c r="A895" s="339"/>
      <c r="B895" s="339"/>
      <c r="C895" s="339"/>
      <c r="D895" s="339"/>
      <c r="E895" s="339"/>
      <c r="F895" s="339"/>
      <c r="G895" s="340"/>
      <c r="H895" s="339"/>
      <c r="I895" s="339"/>
      <c r="J895" s="340"/>
      <c r="K895" s="339"/>
      <c r="L895" s="341"/>
      <c r="M895" s="339"/>
      <c r="N895" s="341"/>
      <c r="O895" s="341"/>
      <c r="P895" s="339"/>
      <c r="Q895" s="341"/>
      <c r="R895" s="340"/>
      <c r="S895" s="339"/>
      <c r="T895" s="341"/>
      <c r="U895" s="339"/>
      <c r="V895" s="339"/>
      <c r="W895" s="339"/>
      <c r="X895" s="340"/>
      <c r="Y895" s="339"/>
      <c r="Z895" s="339"/>
      <c r="AA895" s="339"/>
      <c r="AB895" s="342"/>
    </row>
    <row r="896" spans="1:28" ht="15.75" customHeight="1">
      <c r="A896" s="339"/>
      <c r="B896" s="339"/>
      <c r="C896" s="339"/>
      <c r="D896" s="339"/>
      <c r="E896" s="339"/>
      <c r="F896" s="339"/>
      <c r="G896" s="340"/>
      <c r="H896" s="339"/>
      <c r="I896" s="339"/>
      <c r="J896" s="340"/>
      <c r="K896" s="339"/>
      <c r="L896" s="341"/>
      <c r="M896" s="339"/>
      <c r="N896" s="341"/>
      <c r="O896" s="341"/>
      <c r="P896" s="339"/>
      <c r="Q896" s="341"/>
      <c r="R896" s="340"/>
      <c r="S896" s="339"/>
      <c r="T896" s="341"/>
      <c r="U896" s="339"/>
      <c r="V896" s="339"/>
      <c r="W896" s="339"/>
      <c r="X896" s="340"/>
      <c r="Y896" s="339"/>
      <c r="Z896" s="339"/>
      <c r="AA896" s="339"/>
      <c r="AB896" s="342"/>
    </row>
    <row r="897" spans="1:28" ht="15.75" customHeight="1">
      <c r="A897" s="339"/>
      <c r="B897" s="339"/>
      <c r="C897" s="339"/>
      <c r="D897" s="339"/>
      <c r="E897" s="339"/>
      <c r="F897" s="339"/>
      <c r="G897" s="340"/>
      <c r="H897" s="339"/>
      <c r="I897" s="339"/>
      <c r="J897" s="340"/>
      <c r="K897" s="339"/>
      <c r="L897" s="341"/>
      <c r="M897" s="339"/>
      <c r="N897" s="341"/>
      <c r="O897" s="341"/>
      <c r="P897" s="339"/>
      <c r="Q897" s="341"/>
      <c r="R897" s="340"/>
      <c r="S897" s="339"/>
      <c r="T897" s="341"/>
      <c r="U897" s="339"/>
      <c r="V897" s="339"/>
      <c r="W897" s="339"/>
      <c r="X897" s="340"/>
      <c r="Y897" s="339"/>
      <c r="Z897" s="339"/>
      <c r="AA897" s="339"/>
      <c r="AB897" s="342"/>
    </row>
    <row r="898" spans="1:28" ht="15.75" customHeight="1">
      <c r="A898" s="339"/>
      <c r="B898" s="339"/>
      <c r="C898" s="339"/>
      <c r="D898" s="339"/>
      <c r="E898" s="339"/>
      <c r="F898" s="339"/>
      <c r="G898" s="340"/>
      <c r="H898" s="339"/>
      <c r="I898" s="339"/>
      <c r="J898" s="340"/>
      <c r="K898" s="339"/>
      <c r="L898" s="341"/>
      <c r="M898" s="339"/>
      <c r="N898" s="341"/>
      <c r="O898" s="341"/>
      <c r="P898" s="339"/>
      <c r="Q898" s="341"/>
      <c r="R898" s="340"/>
      <c r="S898" s="339"/>
      <c r="T898" s="341"/>
      <c r="U898" s="339"/>
      <c r="V898" s="339"/>
      <c r="W898" s="339"/>
      <c r="X898" s="340"/>
      <c r="Y898" s="339"/>
      <c r="Z898" s="339"/>
      <c r="AA898" s="339"/>
      <c r="AB898" s="342"/>
    </row>
    <row r="899" spans="1:28" ht="15.75" customHeight="1">
      <c r="A899" s="339"/>
      <c r="B899" s="339"/>
      <c r="C899" s="339"/>
      <c r="D899" s="339"/>
      <c r="E899" s="339"/>
      <c r="F899" s="339"/>
      <c r="G899" s="340"/>
      <c r="H899" s="339"/>
      <c r="I899" s="339"/>
      <c r="J899" s="340"/>
      <c r="K899" s="339"/>
      <c r="L899" s="341"/>
      <c r="M899" s="339"/>
      <c r="N899" s="341"/>
      <c r="O899" s="341"/>
      <c r="P899" s="339"/>
      <c r="Q899" s="341"/>
      <c r="R899" s="340"/>
      <c r="S899" s="339"/>
      <c r="T899" s="341"/>
      <c r="U899" s="339"/>
      <c r="V899" s="339"/>
      <c r="W899" s="339"/>
      <c r="X899" s="340"/>
      <c r="Y899" s="339"/>
      <c r="Z899" s="339"/>
      <c r="AA899" s="339"/>
      <c r="AB899" s="342"/>
    </row>
    <row r="900" spans="1:28" ht="15.75" customHeight="1">
      <c r="A900" s="339"/>
      <c r="B900" s="339"/>
      <c r="C900" s="339"/>
      <c r="D900" s="339"/>
      <c r="E900" s="339"/>
      <c r="F900" s="339"/>
      <c r="G900" s="340"/>
      <c r="H900" s="339"/>
      <c r="I900" s="339"/>
      <c r="J900" s="340"/>
      <c r="K900" s="339"/>
      <c r="L900" s="341"/>
      <c r="M900" s="339"/>
      <c r="N900" s="341"/>
      <c r="O900" s="341"/>
      <c r="P900" s="339"/>
      <c r="Q900" s="341"/>
      <c r="R900" s="340"/>
      <c r="S900" s="339"/>
      <c r="T900" s="341"/>
      <c r="U900" s="339"/>
      <c r="V900" s="339"/>
      <c r="W900" s="339"/>
      <c r="X900" s="340"/>
      <c r="Y900" s="339"/>
      <c r="Z900" s="339"/>
      <c r="AA900" s="339"/>
      <c r="AB900" s="342"/>
    </row>
    <row r="901" spans="1:28" ht="15.75" customHeight="1">
      <c r="A901" s="339"/>
      <c r="B901" s="339"/>
      <c r="C901" s="339"/>
      <c r="D901" s="339"/>
      <c r="E901" s="339"/>
      <c r="F901" s="339"/>
      <c r="G901" s="340"/>
      <c r="H901" s="339"/>
      <c r="I901" s="339"/>
      <c r="J901" s="340"/>
      <c r="K901" s="339"/>
      <c r="L901" s="341"/>
      <c r="M901" s="339"/>
      <c r="N901" s="341"/>
      <c r="O901" s="341"/>
      <c r="P901" s="339"/>
      <c r="Q901" s="341"/>
      <c r="R901" s="340"/>
      <c r="S901" s="339"/>
      <c r="T901" s="341"/>
      <c r="U901" s="339"/>
      <c r="V901" s="339"/>
      <c r="W901" s="339"/>
      <c r="X901" s="340"/>
      <c r="Y901" s="339"/>
      <c r="Z901" s="339"/>
      <c r="AA901" s="339"/>
      <c r="AB901" s="342"/>
    </row>
    <row r="902" spans="1:28" ht="15.75" customHeight="1">
      <c r="A902" s="339"/>
      <c r="B902" s="339"/>
      <c r="C902" s="339"/>
      <c r="D902" s="339"/>
      <c r="E902" s="339"/>
      <c r="F902" s="339"/>
      <c r="G902" s="340"/>
      <c r="H902" s="339"/>
      <c r="I902" s="339"/>
      <c r="J902" s="340"/>
      <c r="K902" s="339"/>
      <c r="L902" s="341"/>
      <c r="M902" s="339"/>
      <c r="N902" s="341"/>
      <c r="O902" s="341"/>
      <c r="P902" s="339"/>
      <c r="Q902" s="341"/>
      <c r="R902" s="340"/>
      <c r="S902" s="339"/>
      <c r="T902" s="341"/>
      <c r="U902" s="339"/>
      <c r="V902" s="339"/>
      <c r="W902" s="339"/>
      <c r="X902" s="340"/>
      <c r="Y902" s="339"/>
      <c r="Z902" s="339"/>
      <c r="AA902" s="339"/>
      <c r="AB902" s="342"/>
    </row>
    <row r="903" spans="1:28" ht="15.75" customHeight="1">
      <c r="A903" s="339"/>
      <c r="B903" s="339"/>
      <c r="C903" s="339"/>
      <c r="D903" s="339"/>
      <c r="E903" s="339"/>
      <c r="F903" s="339"/>
      <c r="G903" s="340"/>
      <c r="H903" s="339"/>
      <c r="I903" s="339"/>
      <c r="J903" s="340"/>
      <c r="K903" s="339"/>
      <c r="L903" s="341"/>
      <c r="M903" s="339"/>
      <c r="N903" s="341"/>
      <c r="O903" s="341"/>
      <c r="P903" s="339"/>
      <c r="Q903" s="341"/>
      <c r="R903" s="340"/>
      <c r="S903" s="339"/>
      <c r="T903" s="341"/>
      <c r="U903" s="339"/>
      <c r="V903" s="339"/>
      <c r="W903" s="339"/>
      <c r="X903" s="340"/>
      <c r="Y903" s="339"/>
      <c r="Z903" s="339"/>
      <c r="AA903" s="339"/>
      <c r="AB903" s="342"/>
    </row>
    <row r="904" spans="1:28" ht="15.75" customHeight="1">
      <c r="A904" s="339"/>
      <c r="B904" s="339"/>
      <c r="C904" s="339"/>
      <c r="D904" s="339"/>
      <c r="E904" s="339"/>
      <c r="F904" s="339"/>
      <c r="G904" s="340"/>
      <c r="H904" s="339"/>
      <c r="I904" s="339"/>
      <c r="J904" s="340"/>
      <c r="K904" s="339"/>
      <c r="L904" s="341"/>
      <c r="M904" s="339"/>
      <c r="N904" s="341"/>
      <c r="O904" s="341"/>
      <c r="P904" s="339"/>
      <c r="Q904" s="341"/>
      <c r="R904" s="340"/>
      <c r="S904" s="339"/>
      <c r="T904" s="341"/>
      <c r="U904" s="339"/>
      <c r="V904" s="339"/>
      <c r="W904" s="339"/>
      <c r="X904" s="340"/>
      <c r="Y904" s="339"/>
      <c r="Z904" s="339"/>
      <c r="AA904" s="339"/>
      <c r="AB904" s="342"/>
    </row>
    <row r="905" spans="1:28" ht="15.75" customHeight="1">
      <c r="A905" s="339"/>
      <c r="B905" s="339"/>
      <c r="C905" s="339"/>
      <c r="D905" s="339"/>
      <c r="E905" s="339"/>
      <c r="F905" s="339"/>
      <c r="G905" s="340"/>
      <c r="H905" s="339"/>
      <c r="I905" s="339"/>
      <c r="J905" s="340"/>
      <c r="K905" s="339"/>
      <c r="L905" s="341"/>
      <c r="M905" s="339"/>
      <c r="N905" s="341"/>
      <c r="O905" s="341"/>
      <c r="P905" s="339"/>
      <c r="Q905" s="341"/>
      <c r="R905" s="340"/>
      <c r="S905" s="339"/>
      <c r="T905" s="341"/>
      <c r="U905" s="339"/>
      <c r="V905" s="339"/>
      <c r="W905" s="339"/>
      <c r="X905" s="340"/>
      <c r="Y905" s="339"/>
      <c r="Z905" s="339"/>
      <c r="AA905" s="339"/>
      <c r="AB905" s="342"/>
    </row>
    <row r="906" spans="1:28" ht="15.75" customHeight="1">
      <c r="A906" s="339"/>
      <c r="B906" s="339"/>
      <c r="C906" s="339"/>
      <c r="D906" s="339"/>
      <c r="E906" s="339"/>
      <c r="F906" s="339"/>
      <c r="G906" s="340"/>
      <c r="H906" s="339"/>
      <c r="I906" s="339"/>
      <c r="J906" s="340"/>
      <c r="K906" s="339"/>
      <c r="L906" s="341"/>
      <c r="M906" s="339"/>
      <c r="N906" s="341"/>
      <c r="O906" s="341"/>
      <c r="P906" s="339"/>
      <c r="Q906" s="341"/>
      <c r="R906" s="340"/>
      <c r="S906" s="339"/>
      <c r="T906" s="341"/>
      <c r="U906" s="339"/>
      <c r="V906" s="339"/>
      <c r="W906" s="339"/>
      <c r="X906" s="340"/>
      <c r="Y906" s="339"/>
      <c r="Z906" s="339"/>
      <c r="AA906" s="339"/>
      <c r="AB906" s="342"/>
    </row>
    <row r="907" spans="1:28" ht="15.75" customHeight="1">
      <c r="A907" s="339"/>
      <c r="B907" s="339"/>
      <c r="C907" s="339"/>
      <c r="D907" s="339"/>
      <c r="E907" s="339"/>
      <c r="F907" s="339"/>
      <c r="G907" s="340"/>
      <c r="H907" s="339"/>
      <c r="I907" s="339"/>
      <c r="J907" s="340"/>
      <c r="K907" s="339"/>
      <c r="L907" s="341"/>
      <c r="M907" s="339"/>
      <c r="N907" s="341"/>
      <c r="O907" s="341"/>
      <c r="P907" s="339"/>
      <c r="Q907" s="341"/>
      <c r="R907" s="340"/>
      <c r="S907" s="339"/>
      <c r="T907" s="341"/>
      <c r="U907" s="339"/>
      <c r="V907" s="339"/>
      <c r="W907" s="339"/>
      <c r="X907" s="340"/>
      <c r="Y907" s="339"/>
      <c r="Z907" s="339"/>
      <c r="AA907" s="339"/>
      <c r="AB907" s="342"/>
    </row>
    <row r="908" spans="1:28" ht="15.75" customHeight="1">
      <c r="A908" s="339"/>
      <c r="B908" s="339"/>
      <c r="C908" s="339"/>
      <c r="D908" s="339"/>
      <c r="E908" s="339"/>
      <c r="F908" s="339"/>
      <c r="G908" s="340"/>
      <c r="H908" s="339"/>
      <c r="I908" s="339"/>
      <c r="J908" s="340"/>
      <c r="K908" s="339"/>
      <c r="L908" s="341"/>
      <c r="M908" s="339"/>
      <c r="N908" s="341"/>
      <c r="O908" s="341"/>
      <c r="P908" s="339"/>
      <c r="Q908" s="341"/>
      <c r="R908" s="340"/>
      <c r="S908" s="339"/>
      <c r="T908" s="341"/>
      <c r="U908" s="339"/>
      <c r="V908" s="339"/>
      <c r="W908" s="339"/>
      <c r="X908" s="340"/>
      <c r="Y908" s="339"/>
      <c r="Z908" s="339"/>
      <c r="AA908" s="339"/>
      <c r="AB908" s="342"/>
    </row>
    <row r="909" spans="1:28" ht="15.75" customHeight="1">
      <c r="A909" s="339"/>
      <c r="B909" s="339"/>
      <c r="C909" s="339"/>
      <c r="D909" s="339"/>
      <c r="E909" s="339"/>
      <c r="F909" s="339"/>
      <c r="G909" s="340"/>
      <c r="H909" s="339"/>
      <c r="I909" s="339"/>
      <c r="J909" s="340"/>
      <c r="K909" s="339"/>
      <c r="L909" s="341"/>
      <c r="M909" s="339"/>
      <c r="N909" s="341"/>
      <c r="O909" s="341"/>
      <c r="P909" s="339"/>
      <c r="Q909" s="341"/>
      <c r="R909" s="340"/>
      <c r="S909" s="339"/>
      <c r="T909" s="341"/>
      <c r="U909" s="339"/>
      <c r="V909" s="339"/>
      <c r="W909" s="339"/>
      <c r="X909" s="340"/>
      <c r="Y909" s="339"/>
      <c r="Z909" s="339"/>
      <c r="AA909" s="339"/>
      <c r="AB909" s="342"/>
    </row>
    <row r="910" spans="1:28" ht="15.75" customHeight="1">
      <c r="A910" s="339"/>
      <c r="B910" s="339"/>
      <c r="C910" s="339"/>
      <c r="D910" s="339"/>
      <c r="E910" s="339"/>
      <c r="F910" s="339"/>
      <c r="G910" s="340"/>
      <c r="H910" s="339"/>
      <c r="I910" s="339"/>
      <c r="J910" s="340"/>
      <c r="K910" s="339"/>
      <c r="L910" s="341"/>
      <c r="M910" s="339"/>
      <c r="N910" s="341"/>
      <c r="O910" s="341"/>
      <c r="P910" s="339"/>
      <c r="Q910" s="341"/>
      <c r="R910" s="340"/>
      <c r="S910" s="339"/>
      <c r="T910" s="341"/>
      <c r="U910" s="339"/>
      <c r="V910" s="339"/>
      <c r="W910" s="339"/>
      <c r="X910" s="340"/>
      <c r="Y910" s="339"/>
      <c r="Z910" s="339"/>
      <c r="AA910" s="339"/>
      <c r="AB910" s="342"/>
    </row>
    <row r="911" spans="1:28" ht="15.75" customHeight="1">
      <c r="A911" s="339"/>
      <c r="B911" s="339"/>
      <c r="C911" s="339"/>
      <c r="D911" s="339"/>
      <c r="E911" s="339"/>
      <c r="F911" s="339"/>
      <c r="G911" s="340"/>
      <c r="H911" s="339"/>
      <c r="I911" s="339"/>
      <c r="J911" s="340"/>
      <c r="K911" s="339"/>
      <c r="L911" s="341"/>
      <c r="M911" s="339"/>
      <c r="N911" s="341"/>
      <c r="O911" s="341"/>
      <c r="P911" s="339"/>
      <c r="Q911" s="341"/>
      <c r="R911" s="340"/>
      <c r="S911" s="339"/>
      <c r="T911" s="341"/>
      <c r="U911" s="339"/>
      <c r="V911" s="339"/>
      <c r="W911" s="339"/>
      <c r="X911" s="340"/>
      <c r="Y911" s="339"/>
      <c r="Z911" s="339"/>
      <c r="AA911" s="339"/>
      <c r="AB911" s="342"/>
    </row>
    <row r="912" spans="1:28" ht="15.75" customHeight="1">
      <c r="A912" s="339"/>
      <c r="B912" s="339"/>
      <c r="C912" s="339"/>
      <c r="D912" s="339"/>
      <c r="E912" s="339"/>
      <c r="F912" s="339"/>
      <c r="G912" s="340"/>
      <c r="H912" s="339"/>
      <c r="I912" s="339"/>
      <c r="J912" s="340"/>
      <c r="K912" s="339"/>
      <c r="L912" s="341"/>
      <c r="M912" s="339"/>
      <c r="N912" s="341"/>
      <c r="O912" s="341"/>
      <c r="P912" s="339"/>
      <c r="Q912" s="341"/>
      <c r="R912" s="340"/>
      <c r="S912" s="339"/>
      <c r="T912" s="341"/>
      <c r="U912" s="339"/>
      <c r="V912" s="339"/>
      <c r="W912" s="339"/>
      <c r="X912" s="340"/>
      <c r="Y912" s="339"/>
      <c r="Z912" s="339"/>
      <c r="AA912" s="339"/>
      <c r="AB912" s="342"/>
    </row>
    <row r="913" spans="1:28" ht="15.75" customHeight="1">
      <c r="A913" s="339"/>
      <c r="B913" s="339"/>
      <c r="C913" s="339"/>
      <c r="D913" s="339"/>
      <c r="E913" s="339"/>
      <c r="F913" s="339"/>
      <c r="G913" s="340"/>
      <c r="H913" s="339"/>
      <c r="I913" s="339"/>
      <c r="J913" s="340"/>
      <c r="K913" s="339"/>
      <c r="L913" s="341"/>
      <c r="M913" s="339"/>
      <c r="N913" s="341"/>
      <c r="O913" s="341"/>
      <c r="P913" s="339"/>
      <c r="Q913" s="341"/>
      <c r="R913" s="340"/>
      <c r="S913" s="339"/>
      <c r="T913" s="341"/>
      <c r="U913" s="339"/>
      <c r="V913" s="339"/>
      <c r="W913" s="339"/>
      <c r="X913" s="340"/>
      <c r="Y913" s="339"/>
      <c r="Z913" s="339"/>
      <c r="AA913" s="339"/>
      <c r="AB913" s="342"/>
    </row>
    <row r="914" spans="1:28" ht="15.75" customHeight="1">
      <c r="A914" s="339"/>
      <c r="B914" s="339"/>
      <c r="C914" s="339"/>
      <c r="D914" s="339"/>
      <c r="E914" s="339"/>
      <c r="F914" s="339"/>
      <c r="G914" s="340"/>
      <c r="H914" s="339"/>
      <c r="I914" s="339"/>
      <c r="J914" s="340"/>
      <c r="K914" s="339"/>
      <c r="L914" s="341"/>
      <c r="M914" s="339"/>
      <c r="N914" s="341"/>
      <c r="O914" s="341"/>
      <c r="P914" s="339"/>
      <c r="Q914" s="341"/>
      <c r="R914" s="340"/>
      <c r="S914" s="339"/>
      <c r="T914" s="341"/>
      <c r="U914" s="339"/>
      <c r="V914" s="339"/>
      <c r="W914" s="339"/>
      <c r="X914" s="340"/>
      <c r="Y914" s="339"/>
      <c r="Z914" s="339"/>
      <c r="AA914" s="339"/>
      <c r="AB914" s="342"/>
    </row>
    <row r="915" spans="1:28" ht="15.75" customHeight="1">
      <c r="A915" s="339"/>
      <c r="B915" s="339"/>
      <c r="C915" s="339"/>
      <c r="D915" s="339"/>
      <c r="E915" s="339"/>
      <c r="F915" s="339"/>
      <c r="G915" s="340"/>
      <c r="H915" s="339"/>
      <c r="I915" s="339"/>
      <c r="J915" s="340"/>
      <c r="K915" s="339"/>
      <c r="L915" s="341"/>
      <c r="M915" s="339"/>
      <c r="N915" s="341"/>
      <c r="O915" s="341"/>
      <c r="P915" s="339"/>
      <c r="Q915" s="341"/>
      <c r="R915" s="340"/>
      <c r="S915" s="339"/>
      <c r="T915" s="341"/>
      <c r="U915" s="339"/>
      <c r="V915" s="339"/>
      <c r="W915" s="339"/>
      <c r="X915" s="340"/>
      <c r="Y915" s="339"/>
      <c r="Z915" s="339"/>
      <c r="AA915" s="339"/>
      <c r="AB915" s="342"/>
    </row>
    <row r="916" spans="1:28" ht="15.75" customHeight="1">
      <c r="A916" s="339"/>
      <c r="B916" s="339"/>
      <c r="C916" s="339"/>
      <c r="D916" s="339"/>
      <c r="E916" s="339"/>
      <c r="F916" s="339"/>
      <c r="G916" s="340"/>
      <c r="H916" s="339"/>
      <c r="I916" s="339"/>
      <c r="J916" s="340"/>
      <c r="K916" s="339"/>
      <c r="L916" s="341"/>
      <c r="M916" s="339"/>
      <c r="N916" s="341"/>
      <c r="O916" s="341"/>
      <c r="P916" s="339"/>
      <c r="Q916" s="341"/>
      <c r="R916" s="340"/>
      <c r="S916" s="339"/>
      <c r="T916" s="341"/>
      <c r="U916" s="339"/>
      <c r="V916" s="339"/>
      <c r="W916" s="339"/>
      <c r="X916" s="340"/>
      <c r="Y916" s="339"/>
      <c r="Z916" s="339"/>
      <c r="AA916" s="339"/>
      <c r="AB916" s="342"/>
    </row>
    <row r="917" spans="1:28" ht="15.75" customHeight="1">
      <c r="A917" s="339"/>
      <c r="B917" s="339"/>
      <c r="C917" s="339"/>
      <c r="D917" s="339"/>
      <c r="E917" s="339"/>
      <c r="F917" s="339"/>
      <c r="G917" s="340"/>
      <c r="H917" s="339"/>
      <c r="I917" s="339"/>
      <c r="J917" s="340"/>
      <c r="K917" s="339"/>
      <c r="L917" s="341"/>
      <c r="M917" s="339"/>
      <c r="N917" s="341"/>
      <c r="O917" s="341"/>
      <c r="P917" s="339"/>
      <c r="Q917" s="341"/>
      <c r="R917" s="340"/>
      <c r="S917" s="339"/>
      <c r="T917" s="341"/>
      <c r="U917" s="339"/>
      <c r="V917" s="339"/>
      <c r="W917" s="339"/>
      <c r="X917" s="340"/>
      <c r="Y917" s="339"/>
      <c r="Z917" s="339"/>
      <c r="AA917" s="339"/>
      <c r="AB917" s="342"/>
    </row>
    <row r="918" spans="1:28" ht="15.75" customHeight="1">
      <c r="A918" s="339"/>
      <c r="B918" s="339"/>
      <c r="C918" s="339"/>
      <c r="D918" s="339"/>
      <c r="E918" s="339"/>
      <c r="F918" s="339"/>
      <c r="G918" s="340"/>
      <c r="H918" s="339"/>
      <c r="I918" s="339"/>
      <c r="J918" s="340"/>
      <c r="K918" s="339"/>
      <c r="L918" s="341"/>
      <c r="M918" s="339"/>
      <c r="N918" s="341"/>
      <c r="O918" s="341"/>
      <c r="P918" s="339"/>
      <c r="Q918" s="341"/>
      <c r="R918" s="340"/>
      <c r="S918" s="339"/>
      <c r="T918" s="341"/>
      <c r="U918" s="339"/>
      <c r="V918" s="339"/>
      <c r="W918" s="339"/>
      <c r="X918" s="340"/>
      <c r="Y918" s="339"/>
      <c r="Z918" s="339"/>
      <c r="AA918" s="339"/>
      <c r="AB918" s="342"/>
    </row>
    <row r="919" spans="1:28" ht="15.75" customHeight="1">
      <c r="A919" s="339"/>
      <c r="B919" s="339"/>
      <c r="C919" s="339"/>
      <c r="D919" s="339"/>
      <c r="E919" s="339"/>
      <c r="F919" s="339"/>
      <c r="G919" s="340"/>
      <c r="H919" s="339"/>
      <c r="I919" s="339"/>
      <c r="J919" s="340"/>
      <c r="K919" s="339"/>
      <c r="L919" s="341"/>
      <c r="M919" s="339"/>
      <c r="N919" s="341"/>
      <c r="O919" s="341"/>
      <c r="P919" s="339"/>
      <c r="Q919" s="341"/>
      <c r="R919" s="340"/>
      <c r="S919" s="339"/>
      <c r="T919" s="341"/>
      <c r="U919" s="339"/>
      <c r="V919" s="339"/>
      <c r="W919" s="339"/>
      <c r="X919" s="340"/>
      <c r="Y919" s="339"/>
      <c r="Z919" s="339"/>
      <c r="AA919" s="339"/>
      <c r="AB919" s="342"/>
    </row>
    <row r="920" spans="1:28" ht="15.75" customHeight="1">
      <c r="A920" s="339"/>
      <c r="B920" s="339"/>
      <c r="C920" s="339"/>
      <c r="D920" s="339"/>
      <c r="E920" s="339"/>
      <c r="F920" s="339"/>
      <c r="G920" s="340"/>
      <c r="H920" s="339"/>
      <c r="I920" s="339"/>
      <c r="J920" s="340"/>
      <c r="K920" s="339"/>
      <c r="L920" s="341"/>
      <c r="M920" s="339"/>
      <c r="N920" s="341"/>
      <c r="O920" s="341"/>
      <c r="P920" s="339"/>
      <c r="Q920" s="341"/>
      <c r="R920" s="340"/>
      <c r="S920" s="339"/>
      <c r="T920" s="341"/>
      <c r="U920" s="339"/>
      <c r="V920" s="339"/>
      <c r="W920" s="339"/>
      <c r="X920" s="340"/>
      <c r="Y920" s="339"/>
      <c r="Z920" s="339"/>
      <c r="AA920" s="339"/>
      <c r="AB920" s="342"/>
    </row>
    <row r="921" spans="1:28" ht="15.75" customHeight="1">
      <c r="A921" s="339"/>
      <c r="B921" s="339"/>
      <c r="C921" s="339"/>
      <c r="D921" s="339"/>
      <c r="E921" s="339"/>
      <c r="F921" s="339"/>
      <c r="G921" s="340"/>
      <c r="H921" s="339"/>
      <c r="I921" s="339"/>
      <c r="J921" s="340"/>
      <c r="K921" s="339"/>
      <c r="L921" s="341"/>
      <c r="M921" s="339"/>
      <c r="N921" s="341"/>
      <c r="O921" s="341"/>
      <c r="P921" s="339"/>
      <c r="Q921" s="341"/>
      <c r="R921" s="340"/>
      <c r="S921" s="339"/>
      <c r="T921" s="341"/>
      <c r="U921" s="339"/>
      <c r="V921" s="339"/>
      <c r="W921" s="339"/>
      <c r="X921" s="340"/>
      <c r="Y921" s="339"/>
      <c r="Z921" s="339"/>
      <c r="AA921" s="339"/>
      <c r="AB921" s="342"/>
    </row>
    <row r="922" spans="1:28" ht="15.75" customHeight="1">
      <c r="A922" s="339"/>
      <c r="B922" s="339"/>
      <c r="C922" s="339"/>
      <c r="D922" s="339"/>
      <c r="E922" s="339"/>
      <c r="F922" s="339"/>
      <c r="G922" s="340"/>
      <c r="H922" s="339"/>
      <c r="I922" s="339"/>
      <c r="J922" s="340"/>
      <c r="K922" s="339"/>
      <c r="L922" s="341"/>
      <c r="M922" s="339"/>
      <c r="N922" s="341"/>
      <c r="O922" s="341"/>
      <c r="P922" s="339"/>
      <c r="Q922" s="341"/>
      <c r="R922" s="340"/>
      <c r="S922" s="339"/>
      <c r="T922" s="341"/>
      <c r="U922" s="339"/>
      <c r="V922" s="339"/>
      <c r="W922" s="339"/>
      <c r="X922" s="340"/>
      <c r="Y922" s="339"/>
      <c r="Z922" s="339"/>
      <c r="AA922" s="339"/>
      <c r="AB922" s="342"/>
    </row>
    <row r="923" spans="1:28" ht="15.75" customHeight="1">
      <c r="A923" s="339"/>
      <c r="B923" s="339"/>
      <c r="C923" s="339"/>
      <c r="D923" s="339"/>
      <c r="E923" s="339"/>
      <c r="F923" s="339"/>
      <c r="G923" s="340"/>
      <c r="H923" s="339"/>
      <c r="I923" s="339"/>
      <c r="J923" s="340"/>
      <c r="K923" s="339"/>
      <c r="L923" s="341"/>
      <c r="M923" s="339"/>
      <c r="N923" s="341"/>
      <c r="O923" s="341"/>
      <c r="P923" s="339"/>
      <c r="Q923" s="341"/>
      <c r="R923" s="340"/>
      <c r="S923" s="339"/>
      <c r="T923" s="341"/>
      <c r="U923" s="339"/>
      <c r="V923" s="339"/>
      <c r="W923" s="339"/>
      <c r="X923" s="340"/>
      <c r="Y923" s="339"/>
      <c r="Z923" s="339"/>
      <c r="AA923" s="339"/>
      <c r="AB923" s="342"/>
    </row>
    <row r="924" spans="1:28" ht="15.75" customHeight="1">
      <c r="A924" s="339"/>
      <c r="B924" s="339"/>
      <c r="C924" s="339"/>
      <c r="D924" s="339"/>
      <c r="E924" s="339"/>
      <c r="F924" s="339"/>
      <c r="G924" s="340"/>
      <c r="H924" s="339"/>
      <c r="I924" s="339"/>
      <c r="J924" s="340"/>
      <c r="K924" s="339"/>
      <c r="L924" s="341"/>
      <c r="M924" s="339"/>
      <c r="N924" s="341"/>
      <c r="O924" s="341"/>
      <c r="P924" s="339"/>
      <c r="Q924" s="341"/>
      <c r="R924" s="340"/>
      <c r="S924" s="339"/>
      <c r="T924" s="341"/>
      <c r="U924" s="339"/>
      <c r="V924" s="339"/>
      <c r="W924" s="339"/>
      <c r="X924" s="340"/>
      <c r="Y924" s="339"/>
      <c r="Z924" s="339"/>
      <c r="AA924" s="339"/>
      <c r="AB924" s="342"/>
    </row>
    <row r="925" spans="1:28" ht="15.75" customHeight="1">
      <c r="A925" s="339"/>
      <c r="B925" s="339"/>
      <c r="C925" s="339"/>
      <c r="D925" s="339"/>
      <c r="E925" s="339"/>
      <c r="F925" s="339"/>
      <c r="G925" s="340"/>
      <c r="H925" s="339"/>
      <c r="I925" s="339"/>
      <c r="J925" s="340"/>
      <c r="K925" s="339"/>
      <c r="L925" s="341"/>
      <c r="M925" s="339"/>
      <c r="N925" s="341"/>
      <c r="O925" s="341"/>
      <c r="P925" s="339"/>
      <c r="Q925" s="341"/>
      <c r="R925" s="340"/>
      <c r="S925" s="339"/>
      <c r="T925" s="341"/>
      <c r="U925" s="339"/>
      <c r="V925" s="339"/>
      <c r="W925" s="339"/>
      <c r="X925" s="340"/>
      <c r="Y925" s="339"/>
      <c r="Z925" s="339"/>
      <c r="AA925" s="339"/>
      <c r="AB925" s="342"/>
    </row>
    <row r="926" spans="1:28" ht="15.75" customHeight="1">
      <c r="A926" s="339"/>
      <c r="B926" s="339"/>
      <c r="C926" s="339"/>
      <c r="D926" s="339"/>
      <c r="E926" s="339"/>
      <c r="F926" s="339"/>
      <c r="G926" s="340"/>
      <c r="H926" s="339"/>
      <c r="I926" s="339"/>
      <c r="J926" s="340"/>
      <c r="K926" s="339"/>
      <c r="L926" s="341"/>
      <c r="M926" s="339"/>
      <c r="N926" s="341"/>
      <c r="O926" s="341"/>
      <c r="P926" s="339"/>
      <c r="Q926" s="341"/>
      <c r="R926" s="340"/>
      <c r="S926" s="339"/>
      <c r="T926" s="341"/>
      <c r="U926" s="339"/>
      <c r="V926" s="339"/>
      <c r="W926" s="339"/>
      <c r="X926" s="340"/>
      <c r="Y926" s="339"/>
      <c r="Z926" s="339"/>
      <c r="AA926" s="339"/>
      <c r="AB926" s="342"/>
    </row>
    <row r="927" spans="1:28" ht="15.75" customHeight="1">
      <c r="A927" s="339"/>
      <c r="B927" s="339"/>
      <c r="C927" s="339"/>
      <c r="D927" s="339"/>
      <c r="E927" s="339"/>
      <c r="F927" s="339"/>
      <c r="G927" s="340"/>
      <c r="H927" s="339"/>
      <c r="I927" s="339"/>
      <c r="J927" s="340"/>
      <c r="K927" s="339"/>
      <c r="L927" s="341"/>
      <c r="M927" s="339"/>
      <c r="N927" s="341"/>
      <c r="O927" s="341"/>
      <c r="P927" s="339"/>
      <c r="Q927" s="341"/>
      <c r="R927" s="340"/>
      <c r="S927" s="339"/>
      <c r="T927" s="341"/>
      <c r="U927" s="339"/>
      <c r="V927" s="339"/>
      <c r="W927" s="339"/>
      <c r="X927" s="340"/>
      <c r="Y927" s="339"/>
      <c r="Z927" s="339"/>
      <c r="AA927" s="339"/>
      <c r="AB927" s="342"/>
    </row>
    <row r="928" spans="1:28" ht="15.75" customHeight="1">
      <c r="A928" s="339"/>
      <c r="B928" s="339"/>
      <c r="C928" s="339"/>
      <c r="D928" s="339"/>
      <c r="E928" s="339"/>
      <c r="F928" s="339"/>
      <c r="G928" s="340"/>
      <c r="H928" s="339"/>
      <c r="I928" s="339"/>
      <c r="J928" s="340"/>
      <c r="K928" s="339"/>
      <c r="L928" s="341"/>
      <c r="M928" s="339"/>
      <c r="N928" s="341"/>
      <c r="O928" s="341"/>
      <c r="P928" s="339"/>
      <c r="Q928" s="341"/>
      <c r="R928" s="340"/>
      <c r="S928" s="339"/>
      <c r="T928" s="341"/>
      <c r="U928" s="339"/>
      <c r="V928" s="339"/>
      <c r="W928" s="339"/>
      <c r="X928" s="340"/>
      <c r="Y928" s="339"/>
      <c r="Z928" s="339"/>
      <c r="AA928" s="339"/>
      <c r="AB928" s="342"/>
    </row>
    <row r="929" spans="1:28" ht="15.75" customHeight="1">
      <c r="A929" s="339"/>
      <c r="B929" s="339"/>
      <c r="C929" s="339"/>
      <c r="D929" s="339"/>
      <c r="E929" s="339"/>
      <c r="F929" s="339"/>
      <c r="G929" s="340"/>
      <c r="H929" s="339"/>
      <c r="I929" s="339"/>
      <c r="J929" s="340"/>
      <c r="K929" s="339"/>
      <c r="L929" s="341"/>
      <c r="M929" s="339"/>
      <c r="N929" s="341"/>
      <c r="O929" s="341"/>
      <c r="P929" s="339"/>
      <c r="Q929" s="341"/>
      <c r="R929" s="340"/>
      <c r="S929" s="339"/>
      <c r="T929" s="341"/>
      <c r="U929" s="339"/>
      <c r="V929" s="339"/>
      <c r="W929" s="339"/>
      <c r="X929" s="340"/>
      <c r="Y929" s="339"/>
      <c r="Z929" s="339"/>
      <c r="AA929" s="339"/>
      <c r="AB929" s="342"/>
    </row>
    <row r="930" spans="1:28" ht="15.75" customHeight="1">
      <c r="A930" s="339"/>
      <c r="B930" s="339"/>
      <c r="C930" s="339"/>
      <c r="D930" s="339"/>
      <c r="E930" s="339"/>
      <c r="F930" s="339"/>
      <c r="G930" s="340"/>
      <c r="H930" s="339"/>
      <c r="I930" s="339"/>
      <c r="J930" s="340"/>
      <c r="K930" s="339"/>
      <c r="L930" s="341"/>
      <c r="M930" s="339"/>
      <c r="N930" s="341"/>
      <c r="O930" s="341"/>
      <c r="P930" s="339"/>
      <c r="Q930" s="341"/>
      <c r="R930" s="340"/>
      <c r="S930" s="339"/>
      <c r="T930" s="341"/>
      <c r="U930" s="339"/>
      <c r="V930" s="339"/>
      <c r="W930" s="339"/>
      <c r="X930" s="340"/>
      <c r="Y930" s="339"/>
      <c r="Z930" s="339"/>
      <c r="AA930" s="339"/>
      <c r="AB930" s="342"/>
    </row>
    <row r="931" spans="1:28" ht="15.75" customHeight="1">
      <c r="A931" s="339"/>
      <c r="B931" s="339"/>
      <c r="C931" s="339"/>
      <c r="D931" s="339"/>
      <c r="E931" s="339"/>
      <c r="F931" s="339"/>
      <c r="G931" s="340"/>
      <c r="H931" s="339"/>
      <c r="I931" s="339"/>
      <c r="J931" s="340"/>
      <c r="K931" s="339"/>
      <c r="L931" s="341"/>
      <c r="M931" s="339"/>
      <c r="N931" s="341"/>
      <c r="O931" s="341"/>
      <c r="P931" s="339"/>
      <c r="Q931" s="341"/>
      <c r="R931" s="340"/>
      <c r="S931" s="339"/>
      <c r="T931" s="341"/>
      <c r="U931" s="339"/>
      <c r="V931" s="339"/>
      <c r="W931" s="339"/>
      <c r="X931" s="340"/>
      <c r="Y931" s="339"/>
      <c r="Z931" s="339"/>
      <c r="AA931" s="339"/>
      <c r="AB931" s="342"/>
    </row>
    <row r="932" spans="1:28" ht="15.75" customHeight="1">
      <c r="A932" s="339"/>
      <c r="B932" s="339"/>
      <c r="C932" s="339"/>
      <c r="D932" s="339"/>
      <c r="E932" s="339"/>
      <c r="F932" s="339"/>
      <c r="G932" s="340"/>
      <c r="H932" s="339"/>
      <c r="I932" s="339"/>
      <c r="J932" s="340"/>
      <c r="K932" s="339"/>
      <c r="L932" s="341"/>
      <c r="M932" s="339"/>
      <c r="N932" s="341"/>
      <c r="O932" s="341"/>
      <c r="P932" s="339"/>
      <c r="Q932" s="341"/>
      <c r="R932" s="340"/>
      <c r="S932" s="339"/>
      <c r="T932" s="341"/>
      <c r="U932" s="339"/>
      <c r="V932" s="339"/>
      <c r="W932" s="339"/>
      <c r="X932" s="340"/>
      <c r="Y932" s="339"/>
      <c r="Z932" s="339"/>
      <c r="AA932" s="339"/>
      <c r="AB932" s="342"/>
    </row>
    <row r="933" spans="1:28" ht="15.75" customHeight="1">
      <c r="A933" s="339"/>
      <c r="B933" s="339"/>
      <c r="C933" s="339"/>
      <c r="D933" s="339"/>
      <c r="E933" s="339"/>
      <c r="F933" s="339"/>
      <c r="G933" s="340"/>
      <c r="H933" s="339"/>
      <c r="I933" s="339"/>
      <c r="J933" s="340"/>
      <c r="K933" s="339"/>
      <c r="L933" s="341"/>
      <c r="M933" s="339"/>
      <c r="N933" s="341"/>
      <c r="O933" s="341"/>
      <c r="P933" s="339"/>
      <c r="Q933" s="341"/>
      <c r="R933" s="340"/>
      <c r="S933" s="339"/>
      <c r="T933" s="341"/>
      <c r="U933" s="339"/>
      <c r="V933" s="339"/>
      <c r="W933" s="339"/>
      <c r="X933" s="340"/>
      <c r="Y933" s="339"/>
      <c r="Z933" s="339"/>
      <c r="AA933" s="339"/>
      <c r="AB933" s="342"/>
    </row>
    <row r="934" spans="1:28" ht="15.75" customHeight="1">
      <c r="A934" s="339"/>
      <c r="B934" s="339"/>
      <c r="C934" s="339"/>
      <c r="D934" s="339"/>
      <c r="E934" s="339"/>
      <c r="F934" s="339"/>
      <c r="G934" s="340"/>
      <c r="H934" s="339"/>
      <c r="I934" s="339"/>
      <c r="J934" s="340"/>
      <c r="K934" s="339"/>
      <c r="L934" s="341"/>
      <c r="M934" s="339"/>
      <c r="N934" s="341"/>
      <c r="O934" s="341"/>
      <c r="P934" s="339"/>
      <c r="Q934" s="341"/>
      <c r="R934" s="340"/>
      <c r="S934" s="339"/>
      <c r="T934" s="341"/>
      <c r="U934" s="339"/>
      <c r="V934" s="339"/>
      <c r="W934" s="339"/>
      <c r="X934" s="340"/>
      <c r="Y934" s="339"/>
      <c r="Z934" s="339"/>
      <c r="AA934" s="339"/>
      <c r="AB934" s="342"/>
    </row>
    <row r="935" spans="1:28" ht="15.75" customHeight="1">
      <c r="A935" s="339"/>
      <c r="B935" s="339"/>
      <c r="C935" s="339"/>
      <c r="D935" s="339"/>
      <c r="E935" s="339"/>
      <c r="F935" s="339"/>
      <c r="G935" s="340"/>
      <c r="H935" s="339"/>
      <c r="I935" s="339"/>
      <c r="J935" s="340"/>
      <c r="K935" s="339"/>
      <c r="L935" s="341"/>
      <c r="M935" s="339"/>
      <c r="N935" s="341"/>
      <c r="O935" s="341"/>
      <c r="P935" s="339"/>
      <c r="Q935" s="341"/>
      <c r="R935" s="340"/>
      <c r="S935" s="339"/>
      <c r="T935" s="341"/>
      <c r="U935" s="339"/>
      <c r="V935" s="339"/>
      <c r="W935" s="339"/>
      <c r="X935" s="340"/>
      <c r="Y935" s="339"/>
      <c r="Z935" s="339"/>
      <c r="AA935" s="339"/>
      <c r="AB935" s="342"/>
    </row>
    <row r="936" spans="1:28" ht="15.75" customHeight="1">
      <c r="A936" s="339"/>
      <c r="B936" s="339"/>
      <c r="C936" s="339"/>
      <c r="D936" s="339"/>
      <c r="E936" s="339"/>
      <c r="F936" s="339"/>
      <c r="G936" s="340"/>
      <c r="H936" s="339"/>
      <c r="I936" s="339"/>
      <c r="J936" s="340"/>
      <c r="K936" s="339"/>
      <c r="L936" s="341"/>
      <c r="M936" s="339"/>
      <c r="N936" s="341"/>
      <c r="O936" s="341"/>
      <c r="P936" s="339"/>
      <c r="Q936" s="341"/>
      <c r="R936" s="340"/>
      <c r="S936" s="339"/>
      <c r="T936" s="341"/>
      <c r="U936" s="339"/>
      <c r="V936" s="339"/>
      <c r="W936" s="339"/>
      <c r="X936" s="340"/>
      <c r="Y936" s="339"/>
      <c r="Z936" s="339"/>
      <c r="AA936" s="339"/>
      <c r="AB936" s="342"/>
    </row>
    <row r="937" spans="1:28" ht="15.75" customHeight="1">
      <c r="A937" s="339"/>
      <c r="B937" s="339"/>
      <c r="C937" s="339"/>
      <c r="D937" s="339"/>
      <c r="E937" s="339"/>
      <c r="F937" s="339"/>
      <c r="G937" s="340"/>
      <c r="H937" s="339"/>
      <c r="I937" s="339"/>
      <c r="J937" s="340"/>
      <c r="K937" s="339"/>
      <c r="L937" s="341"/>
      <c r="M937" s="339"/>
      <c r="N937" s="341"/>
      <c r="O937" s="341"/>
      <c r="P937" s="339"/>
      <c r="Q937" s="341"/>
      <c r="R937" s="340"/>
      <c r="S937" s="339"/>
      <c r="T937" s="341"/>
      <c r="U937" s="339"/>
      <c r="V937" s="339"/>
      <c r="W937" s="339"/>
      <c r="X937" s="340"/>
      <c r="Y937" s="339"/>
      <c r="Z937" s="339"/>
      <c r="AA937" s="339"/>
      <c r="AB937" s="342"/>
    </row>
    <row r="938" spans="1:28" ht="15.75" customHeight="1">
      <c r="A938" s="339"/>
      <c r="B938" s="339"/>
      <c r="C938" s="339"/>
      <c r="D938" s="339"/>
      <c r="E938" s="339"/>
      <c r="F938" s="339"/>
      <c r="G938" s="340"/>
      <c r="H938" s="339"/>
      <c r="I938" s="339"/>
      <c r="J938" s="340"/>
      <c r="K938" s="339"/>
      <c r="L938" s="341"/>
      <c r="M938" s="339"/>
      <c r="N938" s="341"/>
      <c r="O938" s="341"/>
      <c r="P938" s="339"/>
      <c r="Q938" s="341"/>
      <c r="R938" s="340"/>
      <c r="S938" s="339"/>
      <c r="T938" s="341"/>
      <c r="U938" s="339"/>
      <c r="V938" s="339"/>
      <c r="W938" s="339"/>
      <c r="X938" s="340"/>
      <c r="Y938" s="339"/>
      <c r="Z938" s="339"/>
      <c r="AA938" s="339"/>
      <c r="AB938" s="342"/>
    </row>
    <row r="939" spans="1:28" ht="15.75" customHeight="1">
      <c r="A939" s="339"/>
      <c r="B939" s="339"/>
      <c r="C939" s="339"/>
      <c r="D939" s="339"/>
      <c r="E939" s="339"/>
      <c r="F939" s="339"/>
      <c r="G939" s="340"/>
      <c r="H939" s="339"/>
      <c r="I939" s="339"/>
      <c r="J939" s="340"/>
      <c r="K939" s="339"/>
      <c r="L939" s="341"/>
      <c r="M939" s="339"/>
      <c r="N939" s="341"/>
      <c r="O939" s="341"/>
      <c r="P939" s="339"/>
      <c r="Q939" s="341"/>
      <c r="R939" s="340"/>
      <c r="S939" s="339"/>
      <c r="T939" s="341"/>
      <c r="U939" s="339"/>
      <c r="V939" s="339"/>
      <c r="W939" s="339"/>
      <c r="X939" s="340"/>
      <c r="Y939" s="339"/>
      <c r="Z939" s="339"/>
      <c r="AA939" s="339"/>
      <c r="AB939" s="342"/>
    </row>
    <row r="940" spans="1:28" ht="15.75" customHeight="1">
      <c r="A940" s="339"/>
      <c r="B940" s="339"/>
      <c r="C940" s="339"/>
      <c r="D940" s="339"/>
      <c r="E940" s="339"/>
      <c r="F940" s="339"/>
      <c r="G940" s="340"/>
      <c r="H940" s="339"/>
      <c r="I940" s="339"/>
      <c r="J940" s="340"/>
      <c r="K940" s="339"/>
      <c r="L940" s="341"/>
      <c r="M940" s="339"/>
      <c r="N940" s="341"/>
      <c r="O940" s="341"/>
      <c r="P940" s="339"/>
      <c r="Q940" s="341"/>
      <c r="R940" s="340"/>
      <c r="S940" s="339"/>
      <c r="T940" s="341"/>
      <c r="U940" s="339"/>
      <c r="V940" s="339"/>
      <c r="W940" s="339"/>
      <c r="X940" s="340"/>
      <c r="Y940" s="339"/>
      <c r="Z940" s="339"/>
      <c r="AA940" s="339"/>
      <c r="AB940" s="342"/>
    </row>
    <row r="941" spans="1:28" ht="15.75" customHeight="1">
      <c r="A941" s="339"/>
      <c r="B941" s="339"/>
      <c r="C941" s="339"/>
      <c r="D941" s="339"/>
      <c r="E941" s="339"/>
      <c r="F941" s="339"/>
      <c r="G941" s="340"/>
      <c r="H941" s="339"/>
      <c r="I941" s="339"/>
      <c r="J941" s="340"/>
      <c r="K941" s="339"/>
      <c r="L941" s="341"/>
      <c r="M941" s="339"/>
      <c r="N941" s="341"/>
      <c r="O941" s="341"/>
      <c r="P941" s="339"/>
      <c r="Q941" s="341"/>
      <c r="R941" s="340"/>
      <c r="S941" s="339"/>
      <c r="T941" s="341"/>
      <c r="U941" s="339"/>
      <c r="V941" s="339"/>
      <c r="W941" s="339"/>
      <c r="X941" s="340"/>
      <c r="Y941" s="339"/>
      <c r="Z941" s="339"/>
      <c r="AA941" s="339"/>
      <c r="AB941" s="342"/>
    </row>
    <row r="942" spans="1:28" ht="15.75" customHeight="1">
      <c r="A942" s="339"/>
      <c r="B942" s="339"/>
      <c r="C942" s="339"/>
      <c r="D942" s="339"/>
      <c r="E942" s="339"/>
      <c r="F942" s="339"/>
      <c r="G942" s="340"/>
      <c r="H942" s="339"/>
      <c r="I942" s="339"/>
      <c r="J942" s="340"/>
      <c r="K942" s="339"/>
      <c r="L942" s="341"/>
      <c r="M942" s="339"/>
      <c r="N942" s="341"/>
      <c r="O942" s="341"/>
      <c r="P942" s="339"/>
      <c r="Q942" s="341"/>
      <c r="R942" s="340"/>
      <c r="S942" s="339"/>
      <c r="T942" s="341"/>
      <c r="U942" s="339"/>
      <c r="V942" s="339"/>
      <c r="W942" s="339"/>
      <c r="X942" s="340"/>
      <c r="Y942" s="339"/>
      <c r="Z942" s="339"/>
      <c r="AA942" s="339"/>
      <c r="AB942" s="342"/>
    </row>
    <row r="943" spans="1:28" ht="15.75" customHeight="1">
      <c r="A943" s="339"/>
      <c r="B943" s="339"/>
      <c r="C943" s="339"/>
      <c r="D943" s="339"/>
      <c r="E943" s="339"/>
      <c r="F943" s="339"/>
      <c r="G943" s="340"/>
      <c r="H943" s="339"/>
      <c r="I943" s="339"/>
      <c r="J943" s="340"/>
      <c r="K943" s="339"/>
      <c r="L943" s="341"/>
      <c r="M943" s="339"/>
      <c r="N943" s="341"/>
      <c r="O943" s="341"/>
      <c r="P943" s="339"/>
      <c r="Q943" s="341"/>
      <c r="R943" s="340"/>
      <c r="S943" s="339"/>
      <c r="T943" s="341"/>
      <c r="U943" s="339"/>
      <c r="V943" s="339"/>
      <c r="W943" s="339"/>
      <c r="X943" s="340"/>
      <c r="Y943" s="339"/>
      <c r="Z943" s="339"/>
      <c r="AA943" s="339"/>
      <c r="AB943" s="342"/>
    </row>
    <row r="944" spans="1:28" ht="15.75" customHeight="1">
      <c r="A944" s="339"/>
      <c r="B944" s="339"/>
      <c r="C944" s="339"/>
      <c r="D944" s="339"/>
      <c r="E944" s="339"/>
      <c r="F944" s="339"/>
      <c r="G944" s="340"/>
      <c r="H944" s="339"/>
      <c r="I944" s="339"/>
      <c r="J944" s="340"/>
      <c r="K944" s="339"/>
      <c r="L944" s="341"/>
      <c r="M944" s="339"/>
      <c r="N944" s="341"/>
      <c r="O944" s="341"/>
      <c r="P944" s="339"/>
      <c r="Q944" s="341"/>
      <c r="R944" s="340"/>
      <c r="S944" s="339"/>
      <c r="T944" s="341"/>
      <c r="U944" s="339"/>
      <c r="V944" s="339"/>
      <c r="W944" s="339"/>
      <c r="X944" s="340"/>
      <c r="Y944" s="339"/>
      <c r="Z944" s="339"/>
      <c r="AA944" s="339"/>
      <c r="AB944" s="342"/>
    </row>
    <row r="945" spans="1:28" ht="15.75" customHeight="1">
      <c r="A945" s="339"/>
      <c r="B945" s="339"/>
      <c r="C945" s="339"/>
      <c r="D945" s="339"/>
      <c r="E945" s="339"/>
      <c r="F945" s="339"/>
      <c r="G945" s="340"/>
      <c r="H945" s="339"/>
      <c r="I945" s="339"/>
      <c r="J945" s="340"/>
      <c r="K945" s="339"/>
      <c r="L945" s="341"/>
      <c r="M945" s="339"/>
      <c r="N945" s="341"/>
      <c r="O945" s="341"/>
      <c r="P945" s="339"/>
      <c r="Q945" s="341"/>
      <c r="R945" s="340"/>
      <c r="S945" s="339"/>
      <c r="T945" s="341"/>
      <c r="U945" s="339"/>
      <c r="V945" s="339"/>
      <c r="W945" s="339"/>
      <c r="X945" s="340"/>
      <c r="Y945" s="339"/>
      <c r="Z945" s="339"/>
      <c r="AA945" s="339"/>
      <c r="AB945" s="342"/>
    </row>
    <row r="946" spans="1:28" ht="15.75" customHeight="1">
      <c r="A946" s="339"/>
      <c r="B946" s="339"/>
      <c r="C946" s="339"/>
      <c r="D946" s="339"/>
      <c r="E946" s="339"/>
      <c r="F946" s="339"/>
      <c r="G946" s="340"/>
      <c r="H946" s="339"/>
      <c r="I946" s="339"/>
      <c r="J946" s="340"/>
      <c r="K946" s="339"/>
      <c r="L946" s="341"/>
      <c r="M946" s="339"/>
      <c r="N946" s="341"/>
      <c r="O946" s="341"/>
      <c r="P946" s="339"/>
      <c r="Q946" s="341"/>
      <c r="R946" s="340"/>
      <c r="S946" s="339"/>
      <c r="T946" s="341"/>
      <c r="U946" s="339"/>
      <c r="V946" s="339"/>
      <c r="W946" s="339"/>
      <c r="X946" s="340"/>
      <c r="Y946" s="339"/>
      <c r="Z946" s="339"/>
      <c r="AA946" s="339"/>
      <c r="AB946" s="342"/>
    </row>
    <row r="947" spans="1:28" ht="15.75" customHeight="1">
      <c r="A947" s="339"/>
      <c r="B947" s="339"/>
      <c r="C947" s="339"/>
      <c r="D947" s="339"/>
      <c r="E947" s="339"/>
      <c r="F947" s="339"/>
      <c r="G947" s="340"/>
      <c r="H947" s="339"/>
      <c r="I947" s="339"/>
      <c r="J947" s="340"/>
      <c r="K947" s="339"/>
      <c r="L947" s="341"/>
      <c r="M947" s="339"/>
      <c r="N947" s="341"/>
      <c r="O947" s="341"/>
      <c r="P947" s="339"/>
      <c r="Q947" s="341"/>
      <c r="R947" s="340"/>
      <c r="S947" s="339"/>
      <c r="T947" s="341"/>
      <c r="U947" s="339"/>
      <c r="V947" s="339"/>
      <c r="W947" s="339"/>
      <c r="X947" s="340"/>
      <c r="Y947" s="339"/>
      <c r="Z947" s="339"/>
      <c r="AA947" s="339"/>
      <c r="AB947" s="342"/>
    </row>
    <row r="948" spans="1:28" ht="15.75" customHeight="1">
      <c r="A948" s="339"/>
      <c r="B948" s="339"/>
      <c r="C948" s="339"/>
      <c r="D948" s="339"/>
      <c r="E948" s="339"/>
      <c r="F948" s="339"/>
      <c r="G948" s="340"/>
      <c r="H948" s="339"/>
      <c r="I948" s="339"/>
      <c r="J948" s="340"/>
      <c r="K948" s="339"/>
      <c r="L948" s="341"/>
      <c r="M948" s="339"/>
      <c r="N948" s="341"/>
      <c r="O948" s="341"/>
      <c r="P948" s="339"/>
      <c r="Q948" s="341"/>
      <c r="R948" s="340"/>
      <c r="S948" s="339"/>
      <c r="T948" s="341"/>
      <c r="U948" s="339"/>
      <c r="V948" s="339"/>
      <c r="W948" s="339"/>
      <c r="X948" s="340"/>
      <c r="Y948" s="339"/>
      <c r="Z948" s="339"/>
      <c r="AA948" s="339"/>
      <c r="AB948" s="342"/>
    </row>
    <row r="949" spans="1:28" ht="15.75" customHeight="1">
      <c r="A949" s="339"/>
      <c r="B949" s="339"/>
      <c r="C949" s="339"/>
      <c r="D949" s="339"/>
      <c r="E949" s="339"/>
      <c r="F949" s="339"/>
      <c r="G949" s="340"/>
      <c r="H949" s="339"/>
      <c r="I949" s="339"/>
      <c r="J949" s="340"/>
      <c r="K949" s="339"/>
      <c r="L949" s="341"/>
      <c r="M949" s="339"/>
      <c r="N949" s="341"/>
      <c r="O949" s="341"/>
      <c r="P949" s="339"/>
      <c r="Q949" s="341"/>
      <c r="R949" s="340"/>
      <c r="S949" s="339"/>
      <c r="T949" s="341"/>
      <c r="U949" s="339"/>
      <c r="V949" s="339"/>
      <c r="W949" s="339"/>
      <c r="X949" s="340"/>
      <c r="Y949" s="339"/>
      <c r="Z949" s="339"/>
      <c r="AA949" s="339"/>
      <c r="AB949" s="342"/>
    </row>
    <row r="950" spans="1:28" ht="15.75" customHeight="1">
      <c r="A950" s="339"/>
      <c r="B950" s="339"/>
      <c r="C950" s="339"/>
      <c r="D950" s="339"/>
      <c r="E950" s="339"/>
      <c r="F950" s="339"/>
      <c r="G950" s="340"/>
      <c r="H950" s="339"/>
      <c r="I950" s="339"/>
      <c r="J950" s="340"/>
      <c r="K950" s="339"/>
      <c r="L950" s="341"/>
      <c r="M950" s="339"/>
      <c r="N950" s="341"/>
      <c r="O950" s="341"/>
      <c r="P950" s="339"/>
      <c r="Q950" s="341"/>
      <c r="R950" s="340"/>
      <c r="S950" s="339"/>
      <c r="T950" s="341"/>
      <c r="U950" s="339"/>
      <c r="V950" s="339"/>
      <c r="W950" s="339"/>
      <c r="X950" s="340"/>
      <c r="Y950" s="339"/>
      <c r="Z950" s="339"/>
      <c r="AA950" s="339"/>
      <c r="AB950" s="342"/>
    </row>
    <row r="951" spans="1:28" ht="15.75" customHeight="1">
      <c r="A951" s="339"/>
      <c r="B951" s="339"/>
      <c r="C951" s="339"/>
      <c r="D951" s="339"/>
      <c r="E951" s="339"/>
      <c r="F951" s="339"/>
      <c r="G951" s="340"/>
      <c r="H951" s="339"/>
      <c r="I951" s="339"/>
      <c r="J951" s="340"/>
      <c r="K951" s="339"/>
      <c r="L951" s="341"/>
      <c r="M951" s="339"/>
      <c r="N951" s="341"/>
      <c r="O951" s="341"/>
      <c r="P951" s="339"/>
      <c r="Q951" s="341"/>
      <c r="R951" s="340"/>
      <c r="S951" s="339"/>
      <c r="T951" s="341"/>
      <c r="U951" s="339"/>
      <c r="V951" s="339"/>
      <c r="W951" s="339"/>
      <c r="X951" s="340"/>
      <c r="Y951" s="339"/>
      <c r="Z951" s="339"/>
      <c r="AA951" s="339"/>
      <c r="AB951" s="342"/>
    </row>
    <row r="952" spans="1:28" ht="15.75" customHeight="1">
      <c r="A952" s="339"/>
      <c r="B952" s="339"/>
      <c r="C952" s="339"/>
      <c r="D952" s="339"/>
      <c r="E952" s="339"/>
      <c r="F952" s="339"/>
      <c r="G952" s="340"/>
      <c r="H952" s="339"/>
      <c r="I952" s="339"/>
      <c r="J952" s="340"/>
      <c r="K952" s="339"/>
      <c r="L952" s="341"/>
      <c r="M952" s="339"/>
      <c r="N952" s="341"/>
      <c r="O952" s="341"/>
      <c r="P952" s="339"/>
      <c r="Q952" s="341"/>
      <c r="R952" s="340"/>
      <c r="S952" s="339"/>
      <c r="T952" s="341"/>
      <c r="U952" s="339"/>
      <c r="V952" s="339"/>
      <c r="W952" s="339"/>
      <c r="X952" s="340"/>
      <c r="Y952" s="339"/>
      <c r="Z952" s="339"/>
      <c r="AA952" s="339"/>
      <c r="AB952" s="342"/>
    </row>
    <row r="953" spans="1:28" ht="15.75" customHeight="1">
      <c r="A953" s="339"/>
      <c r="B953" s="339"/>
      <c r="C953" s="339"/>
      <c r="D953" s="339"/>
      <c r="E953" s="339"/>
      <c r="F953" s="339"/>
      <c r="G953" s="340"/>
      <c r="H953" s="339"/>
      <c r="I953" s="339"/>
      <c r="J953" s="340"/>
      <c r="K953" s="339"/>
      <c r="L953" s="341"/>
      <c r="M953" s="339"/>
      <c r="N953" s="341"/>
      <c r="O953" s="341"/>
      <c r="P953" s="339"/>
      <c r="Q953" s="341"/>
      <c r="R953" s="340"/>
      <c r="S953" s="339"/>
      <c r="T953" s="341"/>
      <c r="U953" s="339"/>
      <c r="V953" s="339"/>
      <c r="W953" s="339"/>
      <c r="X953" s="340"/>
      <c r="Y953" s="339"/>
      <c r="Z953" s="339"/>
      <c r="AA953" s="339"/>
      <c r="AB953" s="342"/>
    </row>
    <row r="954" spans="1:28" ht="15.75" customHeight="1">
      <c r="A954" s="339"/>
      <c r="B954" s="339"/>
      <c r="C954" s="339"/>
      <c r="D954" s="339"/>
      <c r="E954" s="339"/>
      <c r="F954" s="339"/>
      <c r="G954" s="340"/>
      <c r="H954" s="339"/>
      <c r="I954" s="339"/>
      <c r="J954" s="340"/>
      <c r="K954" s="339"/>
      <c r="L954" s="341"/>
      <c r="M954" s="339"/>
      <c r="N954" s="341"/>
      <c r="O954" s="341"/>
      <c r="P954" s="339"/>
      <c r="Q954" s="341"/>
      <c r="R954" s="340"/>
      <c r="S954" s="339"/>
      <c r="T954" s="341"/>
      <c r="U954" s="339"/>
      <c r="V954" s="339"/>
      <c r="W954" s="339"/>
      <c r="X954" s="340"/>
      <c r="Y954" s="339"/>
      <c r="Z954" s="339"/>
      <c r="AA954" s="339"/>
      <c r="AB954" s="342"/>
    </row>
    <row r="955" spans="1:28" ht="15.75" customHeight="1">
      <c r="A955" s="339"/>
      <c r="B955" s="339"/>
      <c r="C955" s="339"/>
      <c r="D955" s="339"/>
      <c r="E955" s="339"/>
      <c r="F955" s="339"/>
      <c r="G955" s="340"/>
      <c r="H955" s="339"/>
      <c r="I955" s="339"/>
      <c r="J955" s="340"/>
      <c r="K955" s="339"/>
      <c r="L955" s="341"/>
      <c r="M955" s="339"/>
      <c r="N955" s="341"/>
      <c r="O955" s="341"/>
      <c r="P955" s="339"/>
      <c r="Q955" s="341"/>
      <c r="R955" s="340"/>
      <c r="S955" s="339"/>
      <c r="T955" s="341"/>
      <c r="U955" s="339"/>
      <c r="V955" s="339"/>
      <c r="W955" s="339"/>
      <c r="X955" s="340"/>
      <c r="Y955" s="339"/>
      <c r="Z955" s="339"/>
      <c r="AA955" s="339"/>
      <c r="AB955" s="342"/>
    </row>
    <row r="956" spans="1:28" ht="15.75" customHeight="1">
      <c r="A956" s="339"/>
      <c r="B956" s="339"/>
      <c r="C956" s="339"/>
      <c r="D956" s="339"/>
      <c r="E956" s="339"/>
      <c r="F956" s="339"/>
      <c r="G956" s="340"/>
      <c r="H956" s="339"/>
      <c r="I956" s="339"/>
      <c r="J956" s="340"/>
      <c r="K956" s="339"/>
      <c r="L956" s="341"/>
      <c r="M956" s="339"/>
      <c r="N956" s="341"/>
      <c r="O956" s="341"/>
      <c r="P956" s="339"/>
      <c r="Q956" s="341"/>
      <c r="R956" s="340"/>
      <c r="S956" s="339"/>
      <c r="T956" s="341"/>
      <c r="U956" s="339"/>
      <c r="V956" s="339"/>
      <c r="W956" s="339"/>
      <c r="X956" s="340"/>
      <c r="Y956" s="339"/>
      <c r="Z956" s="339"/>
      <c r="AA956" s="339"/>
      <c r="AB956" s="342"/>
    </row>
    <row r="957" spans="1:28" ht="15.75" customHeight="1">
      <c r="A957" s="339"/>
      <c r="B957" s="339"/>
      <c r="C957" s="339"/>
      <c r="D957" s="339"/>
      <c r="E957" s="339"/>
      <c r="F957" s="339"/>
      <c r="G957" s="340"/>
      <c r="H957" s="339"/>
      <c r="I957" s="339"/>
      <c r="J957" s="340"/>
      <c r="K957" s="339"/>
      <c r="L957" s="341"/>
      <c r="M957" s="339"/>
      <c r="N957" s="341"/>
      <c r="O957" s="341"/>
      <c r="P957" s="339"/>
      <c r="Q957" s="341"/>
      <c r="R957" s="340"/>
      <c r="S957" s="339"/>
      <c r="T957" s="341"/>
      <c r="U957" s="339"/>
      <c r="V957" s="339"/>
      <c r="W957" s="339"/>
      <c r="X957" s="340"/>
      <c r="Y957" s="339"/>
      <c r="Z957" s="339"/>
      <c r="AA957" s="339"/>
      <c r="AB957" s="342"/>
    </row>
    <row r="958" spans="1:28" ht="15.75" customHeight="1">
      <c r="A958" s="339"/>
      <c r="B958" s="339"/>
      <c r="C958" s="339"/>
      <c r="D958" s="339"/>
      <c r="E958" s="339"/>
      <c r="F958" s="339"/>
      <c r="G958" s="340"/>
      <c r="H958" s="339"/>
      <c r="I958" s="339"/>
      <c r="J958" s="340"/>
      <c r="K958" s="339"/>
      <c r="L958" s="341"/>
      <c r="M958" s="339"/>
      <c r="N958" s="341"/>
      <c r="O958" s="341"/>
      <c r="P958" s="339"/>
      <c r="Q958" s="341"/>
      <c r="R958" s="340"/>
      <c r="S958" s="339"/>
      <c r="T958" s="341"/>
      <c r="U958" s="339"/>
      <c r="V958" s="339"/>
      <c r="W958" s="339"/>
      <c r="X958" s="340"/>
      <c r="Y958" s="339"/>
      <c r="Z958" s="339"/>
      <c r="AA958" s="339"/>
      <c r="AB958" s="342"/>
    </row>
    <row r="959" spans="1:28" ht="15.75" customHeight="1">
      <c r="A959" s="339"/>
      <c r="B959" s="339"/>
      <c r="C959" s="339"/>
      <c r="D959" s="339"/>
      <c r="E959" s="339"/>
      <c r="F959" s="339"/>
      <c r="G959" s="340"/>
      <c r="H959" s="339"/>
      <c r="I959" s="339"/>
      <c r="J959" s="340"/>
      <c r="K959" s="339"/>
      <c r="L959" s="341"/>
      <c r="M959" s="339"/>
      <c r="N959" s="341"/>
      <c r="O959" s="341"/>
      <c r="P959" s="339"/>
      <c r="Q959" s="341"/>
      <c r="R959" s="340"/>
      <c r="S959" s="339"/>
      <c r="T959" s="341"/>
      <c r="U959" s="339"/>
      <c r="V959" s="339"/>
      <c r="W959" s="339"/>
      <c r="X959" s="340"/>
      <c r="Y959" s="339"/>
      <c r="Z959" s="339"/>
      <c r="AA959" s="339"/>
      <c r="AB959" s="342"/>
    </row>
    <row r="960" spans="1:28" ht="15.75" customHeight="1">
      <c r="A960" s="339"/>
      <c r="B960" s="339"/>
      <c r="C960" s="339"/>
      <c r="D960" s="339"/>
      <c r="E960" s="339"/>
      <c r="F960" s="339"/>
      <c r="G960" s="340"/>
      <c r="H960" s="339"/>
      <c r="I960" s="339"/>
      <c r="J960" s="340"/>
      <c r="K960" s="339"/>
      <c r="L960" s="341"/>
      <c r="M960" s="339"/>
      <c r="N960" s="341"/>
      <c r="O960" s="341"/>
      <c r="P960" s="339"/>
      <c r="Q960" s="341"/>
      <c r="R960" s="340"/>
      <c r="S960" s="339"/>
      <c r="T960" s="341"/>
      <c r="U960" s="339"/>
      <c r="V960" s="339"/>
      <c r="W960" s="339"/>
      <c r="X960" s="340"/>
      <c r="Y960" s="339"/>
      <c r="Z960" s="339"/>
      <c r="AA960" s="339"/>
      <c r="AB960" s="342"/>
    </row>
    <row r="961" spans="1:28" ht="15.75" customHeight="1">
      <c r="A961" s="339"/>
      <c r="B961" s="339"/>
      <c r="C961" s="339"/>
      <c r="D961" s="339"/>
      <c r="E961" s="339"/>
      <c r="F961" s="339"/>
      <c r="G961" s="340"/>
      <c r="H961" s="339"/>
      <c r="I961" s="339"/>
      <c r="J961" s="340"/>
      <c r="K961" s="339"/>
      <c r="L961" s="341"/>
      <c r="M961" s="339"/>
      <c r="N961" s="341"/>
      <c r="O961" s="341"/>
      <c r="P961" s="339"/>
      <c r="Q961" s="341"/>
      <c r="R961" s="340"/>
      <c r="S961" s="339"/>
      <c r="T961" s="341"/>
      <c r="U961" s="339"/>
      <c r="V961" s="339"/>
      <c r="W961" s="339"/>
      <c r="X961" s="340"/>
      <c r="Y961" s="339"/>
      <c r="Z961" s="339"/>
      <c r="AA961" s="339"/>
      <c r="AB961" s="342"/>
    </row>
    <row r="962" spans="1:28" ht="15.75" customHeight="1">
      <c r="A962" s="339"/>
      <c r="B962" s="339"/>
      <c r="C962" s="339"/>
      <c r="D962" s="339"/>
      <c r="E962" s="339"/>
      <c r="F962" s="339"/>
      <c r="G962" s="340"/>
      <c r="H962" s="339"/>
      <c r="I962" s="339"/>
      <c r="J962" s="340"/>
      <c r="K962" s="339"/>
      <c r="L962" s="341"/>
      <c r="M962" s="339"/>
      <c r="N962" s="341"/>
      <c r="O962" s="341"/>
      <c r="P962" s="339"/>
      <c r="Q962" s="341"/>
      <c r="R962" s="340"/>
      <c r="S962" s="339"/>
      <c r="T962" s="341"/>
      <c r="U962" s="339"/>
      <c r="V962" s="339"/>
      <c r="W962" s="339"/>
      <c r="X962" s="340"/>
      <c r="Y962" s="339"/>
      <c r="Z962" s="339"/>
      <c r="AA962" s="339"/>
      <c r="AB962" s="342"/>
    </row>
    <row r="963" spans="1:28" ht="15.75" customHeight="1">
      <c r="A963" s="339"/>
      <c r="B963" s="339"/>
      <c r="C963" s="339"/>
      <c r="D963" s="339"/>
      <c r="E963" s="339"/>
      <c r="F963" s="339"/>
      <c r="G963" s="340"/>
      <c r="H963" s="339"/>
      <c r="I963" s="339"/>
      <c r="J963" s="340"/>
      <c r="K963" s="339"/>
      <c r="L963" s="341"/>
      <c r="M963" s="339"/>
      <c r="N963" s="341"/>
      <c r="O963" s="341"/>
      <c r="P963" s="339"/>
      <c r="Q963" s="341"/>
      <c r="R963" s="340"/>
      <c r="S963" s="339"/>
      <c r="T963" s="341"/>
      <c r="U963" s="339"/>
      <c r="V963" s="339"/>
      <c r="W963" s="339"/>
      <c r="X963" s="340"/>
      <c r="Y963" s="339"/>
      <c r="Z963" s="339"/>
      <c r="AA963" s="339"/>
      <c r="AB963" s="342"/>
    </row>
    <row r="964" spans="1:28" ht="15.75" customHeight="1">
      <c r="A964" s="339"/>
      <c r="B964" s="339"/>
      <c r="C964" s="339"/>
      <c r="D964" s="339"/>
      <c r="E964" s="339"/>
      <c r="F964" s="339"/>
      <c r="G964" s="340"/>
      <c r="H964" s="339"/>
      <c r="I964" s="339"/>
      <c r="J964" s="340"/>
      <c r="K964" s="339"/>
      <c r="L964" s="341"/>
      <c r="M964" s="339"/>
      <c r="N964" s="341"/>
      <c r="O964" s="341"/>
      <c r="P964" s="339"/>
      <c r="Q964" s="341"/>
      <c r="R964" s="340"/>
      <c r="S964" s="339"/>
      <c r="T964" s="341"/>
      <c r="U964" s="339"/>
      <c r="V964" s="339"/>
      <c r="W964" s="339"/>
      <c r="X964" s="340"/>
      <c r="Y964" s="339"/>
      <c r="Z964" s="339"/>
      <c r="AA964" s="339"/>
      <c r="AB964" s="342"/>
    </row>
    <row r="965" spans="1:28" ht="15.75" customHeight="1">
      <c r="A965" s="339"/>
      <c r="B965" s="339"/>
      <c r="C965" s="339"/>
      <c r="D965" s="339"/>
      <c r="E965" s="339"/>
      <c r="F965" s="339"/>
      <c r="G965" s="340"/>
      <c r="H965" s="339"/>
      <c r="I965" s="339"/>
      <c r="J965" s="340"/>
      <c r="K965" s="339"/>
      <c r="L965" s="341"/>
      <c r="M965" s="339"/>
      <c r="N965" s="341"/>
      <c r="O965" s="341"/>
      <c r="P965" s="339"/>
      <c r="Q965" s="341"/>
      <c r="R965" s="340"/>
      <c r="S965" s="339"/>
      <c r="T965" s="341"/>
      <c r="U965" s="339"/>
      <c r="V965" s="339"/>
      <c r="W965" s="339"/>
      <c r="X965" s="340"/>
      <c r="Y965" s="339"/>
      <c r="Z965" s="339"/>
      <c r="AA965" s="339"/>
      <c r="AB965" s="342"/>
    </row>
    <row r="966" spans="1:28" ht="15.75" customHeight="1">
      <c r="A966" s="339"/>
      <c r="B966" s="339"/>
      <c r="C966" s="339"/>
      <c r="D966" s="339"/>
      <c r="E966" s="339"/>
      <c r="F966" s="339"/>
      <c r="G966" s="340"/>
      <c r="H966" s="339"/>
      <c r="I966" s="339"/>
      <c r="J966" s="340"/>
      <c r="K966" s="339"/>
      <c r="L966" s="341"/>
      <c r="M966" s="339"/>
      <c r="N966" s="341"/>
      <c r="O966" s="341"/>
      <c r="P966" s="339"/>
      <c r="Q966" s="341"/>
      <c r="R966" s="340"/>
      <c r="S966" s="339"/>
      <c r="T966" s="341"/>
      <c r="U966" s="339"/>
      <c r="V966" s="339"/>
      <c r="W966" s="339"/>
      <c r="X966" s="340"/>
      <c r="Y966" s="339"/>
      <c r="Z966" s="339"/>
      <c r="AA966" s="339"/>
      <c r="AB966" s="342"/>
    </row>
    <row r="967" spans="1:28" ht="15.75" customHeight="1">
      <c r="A967" s="339"/>
      <c r="B967" s="339"/>
      <c r="C967" s="339"/>
      <c r="D967" s="339"/>
      <c r="E967" s="339"/>
      <c r="F967" s="339"/>
      <c r="G967" s="340"/>
      <c r="H967" s="339"/>
      <c r="I967" s="339"/>
      <c r="J967" s="340"/>
      <c r="K967" s="339"/>
      <c r="L967" s="341"/>
      <c r="M967" s="339"/>
      <c r="N967" s="341"/>
      <c r="O967" s="341"/>
      <c r="P967" s="339"/>
      <c r="Q967" s="341"/>
      <c r="R967" s="340"/>
      <c r="S967" s="339"/>
      <c r="T967" s="341"/>
      <c r="U967" s="339"/>
      <c r="V967" s="339"/>
      <c r="W967" s="339"/>
      <c r="X967" s="340"/>
      <c r="Y967" s="339"/>
      <c r="Z967" s="339"/>
      <c r="AA967" s="339"/>
      <c r="AB967" s="342"/>
    </row>
    <row r="968" spans="1:28" ht="15.75" customHeight="1">
      <c r="A968" s="339"/>
      <c r="B968" s="339"/>
      <c r="C968" s="339"/>
      <c r="D968" s="339"/>
      <c r="E968" s="339"/>
      <c r="F968" s="339"/>
      <c r="G968" s="340"/>
      <c r="H968" s="339"/>
      <c r="I968" s="339"/>
      <c r="J968" s="340"/>
      <c r="K968" s="339"/>
      <c r="L968" s="341"/>
      <c r="M968" s="339"/>
      <c r="N968" s="341"/>
      <c r="O968" s="341"/>
      <c r="P968" s="339"/>
      <c r="Q968" s="341"/>
      <c r="R968" s="340"/>
      <c r="S968" s="339"/>
      <c r="T968" s="341"/>
      <c r="U968" s="339"/>
      <c r="V968" s="339"/>
      <c r="W968" s="339"/>
      <c r="X968" s="340"/>
      <c r="Y968" s="339"/>
      <c r="Z968" s="339"/>
      <c r="AA968" s="339"/>
      <c r="AB968" s="342"/>
    </row>
    <row r="969" spans="1:28" ht="15.75" customHeight="1">
      <c r="A969" s="339"/>
      <c r="B969" s="339"/>
      <c r="C969" s="339"/>
      <c r="D969" s="339"/>
      <c r="E969" s="339"/>
      <c r="F969" s="339"/>
      <c r="G969" s="340"/>
      <c r="H969" s="339"/>
      <c r="I969" s="339"/>
      <c r="J969" s="340"/>
      <c r="K969" s="339"/>
      <c r="L969" s="341"/>
      <c r="M969" s="339"/>
      <c r="N969" s="341"/>
      <c r="O969" s="341"/>
      <c r="P969" s="339"/>
      <c r="Q969" s="341"/>
      <c r="R969" s="340"/>
      <c r="S969" s="339"/>
      <c r="T969" s="341"/>
      <c r="U969" s="339"/>
      <c r="V969" s="339"/>
      <c r="W969" s="339"/>
      <c r="X969" s="340"/>
      <c r="Y969" s="339"/>
      <c r="Z969" s="339"/>
      <c r="AA969" s="339"/>
      <c r="AB969" s="342"/>
    </row>
    <row r="970" spans="1:28" ht="15.75" customHeight="1">
      <c r="A970" s="339"/>
      <c r="B970" s="339"/>
      <c r="C970" s="339"/>
      <c r="D970" s="339"/>
      <c r="E970" s="339"/>
      <c r="F970" s="339"/>
      <c r="G970" s="340"/>
      <c r="H970" s="339"/>
      <c r="I970" s="339"/>
      <c r="J970" s="340"/>
      <c r="K970" s="339"/>
      <c r="L970" s="341"/>
      <c r="M970" s="339"/>
      <c r="N970" s="341"/>
      <c r="O970" s="341"/>
      <c r="P970" s="339"/>
      <c r="Q970" s="341"/>
      <c r="R970" s="340"/>
      <c r="S970" s="339"/>
      <c r="T970" s="341"/>
      <c r="U970" s="339"/>
      <c r="V970" s="339"/>
      <c r="W970" s="339"/>
      <c r="X970" s="340"/>
      <c r="Y970" s="339"/>
      <c r="Z970" s="339"/>
      <c r="AA970" s="339"/>
      <c r="AB970" s="342"/>
    </row>
    <row r="971" spans="1:28" ht="15.75" customHeight="1">
      <c r="A971" s="339"/>
      <c r="B971" s="339"/>
      <c r="C971" s="339"/>
      <c r="D971" s="339"/>
      <c r="E971" s="339"/>
      <c r="F971" s="339"/>
      <c r="G971" s="340"/>
      <c r="H971" s="339"/>
      <c r="I971" s="339"/>
      <c r="J971" s="340"/>
      <c r="K971" s="339"/>
      <c r="L971" s="341"/>
      <c r="M971" s="339"/>
      <c r="N971" s="341"/>
      <c r="O971" s="341"/>
      <c r="P971" s="339"/>
      <c r="Q971" s="341"/>
      <c r="R971" s="340"/>
      <c r="S971" s="339"/>
      <c r="T971" s="341"/>
      <c r="U971" s="339"/>
      <c r="V971" s="339"/>
      <c r="W971" s="339"/>
      <c r="X971" s="340"/>
      <c r="Y971" s="339"/>
      <c r="Z971" s="339"/>
      <c r="AA971" s="339"/>
      <c r="AB971" s="342"/>
    </row>
    <row r="972" spans="1:28" ht="15.75" customHeight="1">
      <c r="A972" s="339"/>
      <c r="B972" s="339"/>
      <c r="C972" s="339"/>
      <c r="D972" s="339"/>
      <c r="E972" s="339"/>
      <c r="F972" s="339"/>
      <c r="G972" s="340"/>
      <c r="H972" s="339"/>
      <c r="I972" s="339"/>
      <c r="J972" s="340"/>
      <c r="K972" s="339"/>
      <c r="L972" s="341"/>
      <c r="M972" s="339"/>
      <c r="N972" s="341"/>
      <c r="O972" s="341"/>
      <c r="P972" s="339"/>
      <c r="Q972" s="341"/>
      <c r="R972" s="340"/>
      <c r="S972" s="339"/>
      <c r="T972" s="341"/>
      <c r="U972" s="339"/>
      <c r="V972" s="339"/>
      <c r="W972" s="339"/>
      <c r="X972" s="340"/>
      <c r="Y972" s="339"/>
      <c r="Z972" s="339"/>
      <c r="AA972" s="339"/>
      <c r="AB972" s="342"/>
    </row>
    <row r="973" spans="1:28" ht="15.75" customHeight="1">
      <c r="A973" s="339"/>
      <c r="B973" s="339"/>
      <c r="C973" s="339"/>
      <c r="D973" s="339"/>
      <c r="E973" s="339"/>
      <c r="F973" s="339"/>
      <c r="G973" s="340"/>
      <c r="H973" s="339"/>
      <c r="I973" s="339"/>
      <c r="J973" s="340"/>
      <c r="K973" s="339"/>
      <c r="L973" s="341"/>
      <c r="M973" s="339"/>
      <c r="N973" s="341"/>
      <c r="O973" s="341"/>
      <c r="P973" s="339"/>
      <c r="Q973" s="341"/>
      <c r="R973" s="340"/>
      <c r="S973" s="339"/>
      <c r="T973" s="341"/>
      <c r="U973" s="339"/>
      <c r="V973" s="339"/>
      <c r="W973" s="339"/>
      <c r="X973" s="340"/>
      <c r="Y973" s="339"/>
      <c r="Z973" s="339"/>
      <c r="AA973" s="339"/>
      <c r="AB973" s="342"/>
    </row>
    <row r="974" spans="1:28" ht="15.75" customHeight="1">
      <c r="A974" s="339"/>
      <c r="B974" s="339"/>
      <c r="C974" s="339"/>
      <c r="D974" s="339"/>
      <c r="E974" s="339"/>
      <c r="F974" s="339"/>
      <c r="G974" s="340"/>
      <c r="H974" s="339"/>
      <c r="I974" s="339"/>
      <c r="J974" s="340"/>
      <c r="K974" s="339"/>
      <c r="L974" s="341"/>
      <c r="M974" s="339"/>
      <c r="N974" s="341"/>
      <c r="O974" s="341"/>
      <c r="P974" s="339"/>
      <c r="Q974" s="341"/>
      <c r="R974" s="340"/>
      <c r="S974" s="339"/>
      <c r="T974" s="341"/>
      <c r="U974" s="339"/>
      <c r="V974" s="339"/>
      <c r="W974" s="339"/>
      <c r="X974" s="340"/>
      <c r="Y974" s="339"/>
      <c r="Z974" s="339"/>
      <c r="AA974" s="339"/>
      <c r="AB974" s="342"/>
    </row>
    <row r="975" spans="1:28" ht="15.75" customHeight="1">
      <c r="A975" s="339"/>
      <c r="B975" s="339"/>
      <c r="C975" s="339"/>
      <c r="D975" s="339"/>
      <c r="E975" s="339"/>
      <c r="F975" s="339"/>
      <c r="G975" s="340"/>
      <c r="H975" s="339"/>
      <c r="I975" s="339"/>
      <c r="J975" s="340"/>
      <c r="K975" s="339"/>
      <c r="L975" s="341"/>
      <c r="M975" s="339"/>
      <c r="N975" s="341"/>
      <c r="O975" s="341"/>
      <c r="P975" s="339"/>
      <c r="Q975" s="341"/>
      <c r="R975" s="340"/>
      <c r="S975" s="339"/>
      <c r="T975" s="341"/>
      <c r="U975" s="339"/>
      <c r="V975" s="339"/>
      <c r="W975" s="339"/>
      <c r="X975" s="340"/>
      <c r="Y975" s="339"/>
      <c r="Z975" s="339"/>
      <c r="AA975" s="339"/>
      <c r="AB975" s="342"/>
    </row>
    <row r="976" spans="1:28" ht="15.75" customHeight="1">
      <c r="A976" s="339"/>
      <c r="B976" s="339"/>
      <c r="C976" s="339"/>
      <c r="D976" s="339"/>
      <c r="E976" s="339"/>
      <c r="F976" s="339"/>
      <c r="G976" s="340"/>
      <c r="H976" s="339"/>
      <c r="I976" s="339"/>
      <c r="J976" s="340"/>
      <c r="K976" s="339"/>
      <c r="L976" s="341"/>
      <c r="M976" s="339"/>
      <c r="N976" s="341"/>
      <c r="O976" s="341"/>
      <c r="P976" s="339"/>
      <c r="Q976" s="341"/>
      <c r="R976" s="340"/>
      <c r="S976" s="339"/>
      <c r="T976" s="341"/>
      <c r="U976" s="339"/>
      <c r="V976" s="339"/>
      <c r="W976" s="339"/>
      <c r="X976" s="340"/>
      <c r="Y976" s="339"/>
      <c r="Z976" s="339"/>
      <c r="AA976" s="339"/>
      <c r="AB976" s="342"/>
    </row>
    <row r="977" spans="1:28" ht="15.75" customHeight="1">
      <c r="A977" s="339"/>
      <c r="B977" s="339"/>
      <c r="C977" s="339"/>
      <c r="D977" s="339"/>
      <c r="E977" s="339"/>
      <c r="F977" s="339"/>
      <c r="G977" s="340"/>
      <c r="H977" s="339"/>
      <c r="I977" s="339"/>
      <c r="J977" s="340"/>
      <c r="K977" s="339"/>
      <c r="L977" s="341"/>
      <c r="M977" s="339"/>
      <c r="N977" s="341"/>
      <c r="O977" s="341"/>
      <c r="P977" s="339"/>
      <c r="Q977" s="341"/>
      <c r="R977" s="340"/>
      <c r="S977" s="339"/>
      <c r="T977" s="341"/>
      <c r="U977" s="339"/>
      <c r="V977" s="339"/>
      <c r="W977" s="339"/>
      <c r="X977" s="340"/>
      <c r="Y977" s="339"/>
      <c r="Z977" s="339"/>
      <c r="AA977" s="339"/>
      <c r="AB977" s="342"/>
    </row>
    <row r="978" spans="1:28" ht="15.75" customHeight="1">
      <c r="A978" s="339"/>
      <c r="B978" s="339"/>
      <c r="C978" s="339"/>
      <c r="D978" s="339"/>
      <c r="E978" s="339"/>
      <c r="F978" s="339"/>
      <c r="G978" s="340"/>
      <c r="H978" s="339"/>
      <c r="I978" s="339"/>
      <c r="J978" s="340"/>
      <c r="K978" s="339"/>
      <c r="L978" s="341"/>
      <c r="M978" s="339"/>
      <c r="N978" s="341"/>
      <c r="O978" s="341"/>
      <c r="P978" s="339"/>
      <c r="Q978" s="341"/>
      <c r="R978" s="340"/>
      <c r="S978" s="339"/>
      <c r="T978" s="341"/>
      <c r="U978" s="339"/>
      <c r="V978" s="339"/>
      <c r="W978" s="339"/>
      <c r="X978" s="340"/>
      <c r="Y978" s="339"/>
      <c r="Z978" s="339"/>
      <c r="AA978" s="339"/>
      <c r="AB978" s="342"/>
    </row>
    <row r="979" spans="1:28" ht="15.75" customHeight="1">
      <c r="A979" s="339"/>
      <c r="B979" s="339"/>
      <c r="C979" s="339"/>
      <c r="D979" s="339"/>
      <c r="E979" s="339"/>
      <c r="F979" s="339"/>
      <c r="G979" s="340"/>
      <c r="H979" s="339"/>
      <c r="I979" s="339"/>
      <c r="J979" s="340"/>
      <c r="K979" s="339"/>
      <c r="L979" s="341"/>
      <c r="M979" s="339"/>
      <c r="N979" s="341"/>
      <c r="O979" s="341"/>
      <c r="P979" s="339"/>
      <c r="Q979" s="341"/>
      <c r="R979" s="340"/>
      <c r="S979" s="339"/>
      <c r="T979" s="341"/>
      <c r="U979" s="339"/>
      <c r="V979" s="339"/>
      <c r="W979" s="339"/>
      <c r="X979" s="340"/>
      <c r="Y979" s="339"/>
      <c r="Z979" s="339"/>
      <c r="AA979" s="339"/>
      <c r="AB979" s="342"/>
    </row>
    <row r="980" spans="1:28" ht="15.75" customHeight="1">
      <c r="A980" s="339"/>
      <c r="B980" s="339"/>
      <c r="C980" s="339"/>
      <c r="D980" s="339"/>
      <c r="E980" s="339"/>
      <c r="F980" s="339"/>
      <c r="G980" s="340"/>
      <c r="H980" s="339"/>
      <c r="I980" s="339"/>
      <c r="J980" s="340"/>
      <c r="K980" s="339"/>
      <c r="L980" s="341"/>
      <c r="M980" s="339"/>
      <c r="N980" s="341"/>
      <c r="O980" s="341"/>
      <c r="P980" s="339"/>
      <c r="Q980" s="341"/>
      <c r="R980" s="340"/>
      <c r="S980" s="339"/>
      <c r="T980" s="341"/>
      <c r="U980" s="339"/>
      <c r="V980" s="339"/>
      <c r="W980" s="339"/>
      <c r="X980" s="340"/>
      <c r="Y980" s="339"/>
      <c r="Z980" s="339"/>
      <c r="AA980" s="339"/>
      <c r="AB980" s="342"/>
    </row>
    <row r="981" spans="1:28" ht="15.75" customHeight="1">
      <c r="A981" s="339"/>
      <c r="B981" s="339"/>
      <c r="C981" s="339"/>
      <c r="D981" s="339"/>
      <c r="E981" s="339"/>
      <c r="F981" s="339"/>
      <c r="G981" s="340"/>
      <c r="H981" s="339"/>
      <c r="I981" s="339"/>
      <c r="J981" s="340"/>
      <c r="K981" s="339"/>
      <c r="L981" s="341"/>
      <c r="M981" s="339"/>
      <c r="N981" s="341"/>
      <c r="O981" s="341"/>
      <c r="P981" s="339"/>
      <c r="Q981" s="341"/>
      <c r="R981" s="340"/>
      <c r="S981" s="339"/>
      <c r="T981" s="341"/>
      <c r="U981" s="339"/>
      <c r="V981" s="339"/>
      <c r="W981" s="339"/>
      <c r="X981" s="340"/>
      <c r="Y981" s="339"/>
      <c r="Z981" s="339"/>
      <c r="AA981" s="339"/>
      <c r="AB981" s="342"/>
    </row>
    <row r="982" spans="1:28" ht="15.75" customHeight="1">
      <c r="A982" s="339"/>
      <c r="B982" s="339"/>
      <c r="C982" s="339"/>
      <c r="D982" s="339"/>
      <c r="E982" s="339"/>
      <c r="F982" s="339"/>
      <c r="G982" s="340"/>
      <c r="H982" s="339"/>
      <c r="I982" s="339"/>
      <c r="J982" s="340"/>
      <c r="K982" s="339"/>
      <c r="L982" s="341"/>
      <c r="M982" s="339"/>
      <c r="N982" s="341"/>
      <c r="O982" s="341"/>
      <c r="P982" s="339"/>
      <c r="Q982" s="341"/>
      <c r="R982" s="340"/>
      <c r="S982" s="339"/>
      <c r="T982" s="341"/>
      <c r="U982" s="339"/>
      <c r="V982" s="339"/>
      <c r="W982" s="339"/>
      <c r="X982" s="340"/>
      <c r="Y982" s="339"/>
      <c r="Z982" s="339"/>
      <c r="AA982" s="339"/>
      <c r="AB982" s="342"/>
    </row>
    <row r="983" spans="1:28" ht="15.75" customHeight="1">
      <c r="A983" s="339"/>
      <c r="B983" s="339"/>
      <c r="C983" s="339"/>
      <c r="D983" s="339"/>
      <c r="E983" s="339"/>
      <c r="F983" s="339"/>
      <c r="G983" s="340"/>
      <c r="H983" s="339"/>
      <c r="I983" s="339"/>
      <c r="J983" s="340"/>
      <c r="K983" s="339"/>
      <c r="L983" s="341"/>
      <c r="M983" s="339"/>
      <c r="N983" s="341"/>
      <c r="O983" s="341"/>
      <c r="P983" s="339"/>
      <c r="Q983" s="341"/>
      <c r="R983" s="340"/>
      <c r="S983" s="339"/>
      <c r="T983" s="341"/>
      <c r="U983" s="339"/>
      <c r="V983" s="339"/>
      <c r="W983" s="339"/>
      <c r="X983" s="340"/>
      <c r="Y983" s="339"/>
      <c r="Z983" s="339"/>
      <c r="AA983" s="339"/>
      <c r="AB983" s="342"/>
    </row>
    <row r="984" spans="1:28" ht="15.75" customHeight="1">
      <c r="A984" s="339"/>
      <c r="B984" s="339"/>
      <c r="C984" s="339"/>
      <c r="D984" s="339"/>
      <c r="E984" s="339"/>
      <c r="F984" s="339"/>
      <c r="G984" s="340"/>
      <c r="H984" s="339"/>
      <c r="I984" s="339"/>
      <c r="J984" s="340"/>
      <c r="K984" s="339"/>
      <c r="L984" s="341"/>
      <c r="M984" s="339"/>
      <c r="N984" s="341"/>
      <c r="O984" s="341"/>
      <c r="P984" s="339"/>
      <c r="Q984" s="341"/>
      <c r="R984" s="340"/>
      <c r="S984" s="339"/>
      <c r="T984" s="341"/>
      <c r="U984" s="339"/>
      <c r="V984" s="339"/>
      <c r="W984" s="339"/>
      <c r="X984" s="340"/>
      <c r="Y984" s="339"/>
      <c r="Z984" s="339"/>
      <c r="AA984" s="339"/>
      <c r="AB984" s="342"/>
    </row>
    <row r="985" spans="1:28" ht="15.75" customHeight="1">
      <c r="A985" s="339"/>
      <c r="B985" s="339"/>
      <c r="C985" s="339"/>
      <c r="D985" s="339"/>
      <c r="E985" s="339"/>
      <c r="F985" s="339"/>
      <c r="G985" s="340"/>
      <c r="H985" s="339"/>
      <c r="I985" s="339"/>
      <c r="J985" s="340"/>
      <c r="K985" s="339"/>
      <c r="L985" s="341"/>
      <c r="M985" s="339"/>
      <c r="N985" s="341"/>
      <c r="O985" s="341"/>
      <c r="P985" s="339"/>
      <c r="Q985" s="341"/>
      <c r="R985" s="340"/>
      <c r="S985" s="339"/>
      <c r="T985" s="341"/>
      <c r="U985" s="339"/>
      <c r="V985" s="339"/>
      <c r="W985" s="339"/>
      <c r="X985" s="340"/>
      <c r="Y985" s="339"/>
      <c r="Z985" s="339"/>
      <c r="AA985" s="339"/>
      <c r="AB985" s="342"/>
    </row>
    <row r="986" spans="1:28" ht="15.75" customHeight="1">
      <c r="A986" s="339"/>
      <c r="B986" s="339"/>
      <c r="C986" s="339"/>
      <c r="D986" s="339"/>
      <c r="E986" s="339"/>
      <c r="F986" s="339"/>
      <c r="G986" s="340"/>
      <c r="H986" s="339"/>
      <c r="I986" s="339"/>
      <c r="J986" s="340"/>
      <c r="K986" s="339"/>
      <c r="L986" s="341"/>
      <c r="M986" s="339"/>
      <c r="N986" s="341"/>
      <c r="O986" s="341"/>
      <c r="P986" s="339"/>
      <c r="Q986" s="341"/>
      <c r="R986" s="340"/>
      <c r="S986" s="339"/>
      <c r="T986" s="341"/>
      <c r="U986" s="339"/>
      <c r="V986" s="339"/>
      <c r="W986" s="339"/>
      <c r="X986" s="340"/>
      <c r="Y986" s="339"/>
      <c r="Z986" s="339"/>
      <c r="AA986" s="339"/>
      <c r="AB986" s="342"/>
    </row>
    <row r="987" spans="1:28" ht="15.75" customHeight="1">
      <c r="A987" s="339"/>
      <c r="B987" s="339"/>
      <c r="C987" s="339"/>
      <c r="D987" s="339"/>
      <c r="E987" s="339"/>
      <c r="F987" s="339"/>
      <c r="G987" s="340"/>
      <c r="H987" s="339"/>
      <c r="I987" s="339"/>
      <c r="J987" s="340"/>
      <c r="K987" s="339"/>
      <c r="L987" s="341"/>
      <c r="M987" s="339"/>
      <c r="N987" s="341"/>
      <c r="O987" s="341"/>
      <c r="P987" s="339"/>
      <c r="Q987" s="341"/>
      <c r="R987" s="340"/>
      <c r="S987" s="339"/>
      <c r="T987" s="341"/>
      <c r="U987" s="339"/>
      <c r="V987" s="339"/>
      <c r="W987" s="339"/>
      <c r="X987" s="340"/>
      <c r="Y987" s="339"/>
      <c r="Z987" s="339"/>
      <c r="AA987" s="339"/>
      <c r="AB987" s="342"/>
    </row>
    <row r="988" spans="1:28" ht="15.75" customHeight="1">
      <c r="A988" s="339"/>
      <c r="B988" s="339"/>
      <c r="C988" s="339"/>
      <c r="D988" s="339"/>
      <c r="E988" s="339"/>
      <c r="F988" s="339"/>
      <c r="G988" s="340"/>
      <c r="H988" s="339"/>
      <c r="I988" s="339"/>
      <c r="J988" s="340"/>
      <c r="K988" s="339"/>
      <c r="L988" s="341"/>
      <c r="M988" s="339"/>
      <c r="N988" s="341"/>
      <c r="O988" s="341"/>
      <c r="P988" s="339"/>
      <c r="Q988" s="341"/>
      <c r="R988" s="340"/>
      <c r="S988" s="339"/>
      <c r="T988" s="341"/>
      <c r="U988" s="339"/>
      <c r="V988" s="339"/>
      <c r="W988" s="339"/>
      <c r="X988" s="340"/>
      <c r="Y988" s="339"/>
      <c r="Z988" s="339"/>
      <c r="AA988" s="339"/>
      <c r="AB988" s="342"/>
    </row>
    <row r="989" spans="1:28" ht="15.75" customHeight="1">
      <c r="A989" s="339"/>
      <c r="B989" s="339"/>
      <c r="C989" s="339"/>
      <c r="D989" s="339"/>
      <c r="E989" s="339"/>
      <c r="F989" s="339"/>
      <c r="G989" s="340"/>
      <c r="H989" s="339"/>
      <c r="I989" s="339"/>
      <c r="J989" s="340"/>
      <c r="K989" s="339"/>
      <c r="L989" s="341"/>
      <c r="M989" s="339"/>
      <c r="N989" s="341"/>
      <c r="O989" s="341"/>
      <c r="P989" s="339"/>
      <c r="Q989" s="341"/>
      <c r="R989" s="340"/>
      <c r="S989" s="339"/>
      <c r="T989" s="341"/>
      <c r="U989" s="339"/>
      <c r="V989" s="339"/>
      <c r="W989" s="339"/>
      <c r="X989" s="340"/>
      <c r="Y989" s="339"/>
      <c r="Z989" s="339"/>
      <c r="AA989" s="339"/>
      <c r="AB989" s="342"/>
    </row>
    <row r="990" spans="1:28" ht="15.75" customHeight="1">
      <c r="A990" s="339"/>
      <c r="B990" s="339"/>
      <c r="C990" s="339"/>
      <c r="D990" s="339"/>
      <c r="E990" s="339"/>
      <c r="F990" s="339"/>
      <c r="G990" s="340"/>
      <c r="H990" s="339"/>
      <c r="I990" s="339"/>
      <c r="J990" s="340"/>
      <c r="K990" s="339"/>
      <c r="L990" s="341"/>
      <c r="M990" s="339"/>
      <c r="N990" s="341"/>
      <c r="O990" s="341"/>
      <c r="P990" s="339"/>
      <c r="Q990" s="341"/>
      <c r="R990" s="340"/>
      <c r="S990" s="339"/>
      <c r="T990" s="341"/>
      <c r="U990" s="339"/>
      <c r="V990" s="339"/>
      <c r="W990" s="339"/>
      <c r="X990" s="340"/>
      <c r="Y990" s="339"/>
      <c r="Z990" s="339"/>
      <c r="AA990" s="339"/>
      <c r="AB990" s="342"/>
    </row>
    <row r="991" spans="1:28" ht="15.75" customHeight="1">
      <c r="A991" s="339"/>
      <c r="B991" s="339"/>
      <c r="C991" s="339"/>
      <c r="D991" s="339"/>
      <c r="E991" s="339"/>
      <c r="F991" s="339"/>
      <c r="G991" s="340"/>
      <c r="H991" s="339"/>
      <c r="I991" s="339"/>
      <c r="J991" s="340"/>
      <c r="K991" s="339"/>
      <c r="L991" s="341"/>
      <c r="M991" s="339"/>
      <c r="N991" s="341"/>
      <c r="O991" s="341"/>
      <c r="P991" s="339"/>
      <c r="Q991" s="341"/>
      <c r="R991" s="340"/>
      <c r="S991" s="339"/>
      <c r="T991" s="341"/>
      <c r="U991" s="339"/>
      <c r="V991" s="339"/>
      <c r="W991" s="339"/>
      <c r="X991" s="340"/>
      <c r="Y991" s="339"/>
      <c r="Z991" s="339"/>
      <c r="AA991" s="339"/>
      <c r="AB991" s="342"/>
    </row>
    <row r="992" spans="1:28" ht="15.75" customHeight="1">
      <c r="A992" s="339"/>
      <c r="B992" s="339"/>
      <c r="C992" s="339"/>
      <c r="D992" s="339"/>
      <c r="E992" s="339"/>
      <c r="F992" s="339"/>
      <c r="G992" s="340"/>
      <c r="H992" s="339"/>
      <c r="I992" s="339"/>
      <c r="J992" s="340"/>
      <c r="K992" s="339"/>
      <c r="L992" s="341"/>
      <c r="M992" s="339"/>
      <c r="N992" s="341"/>
      <c r="O992" s="341"/>
      <c r="P992" s="339"/>
      <c r="Q992" s="341"/>
      <c r="R992" s="340"/>
      <c r="S992" s="339"/>
      <c r="T992" s="341"/>
      <c r="U992" s="339"/>
      <c r="V992" s="339"/>
      <c r="W992" s="339"/>
      <c r="X992" s="340"/>
      <c r="Y992" s="339"/>
      <c r="Z992" s="339"/>
      <c r="AA992" s="339"/>
      <c r="AB992" s="342"/>
    </row>
    <row r="993" spans="1:28" ht="15.75" customHeight="1">
      <c r="A993" s="339"/>
      <c r="B993" s="339"/>
      <c r="C993" s="339"/>
      <c r="D993" s="339"/>
      <c r="E993" s="339"/>
      <c r="F993" s="339"/>
      <c r="G993" s="340"/>
      <c r="H993" s="339"/>
      <c r="I993" s="339"/>
      <c r="J993" s="340"/>
      <c r="K993" s="339"/>
      <c r="L993" s="341"/>
      <c r="M993" s="339"/>
      <c r="N993" s="341"/>
      <c r="O993" s="341"/>
      <c r="P993" s="339"/>
      <c r="Q993" s="341"/>
      <c r="R993" s="340"/>
      <c r="S993" s="339"/>
      <c r="T993" s="341"/>
      <c r="U993" s="339"/>
      <c r="V993" s="339"/>
      <c r="W993" s="339"/>
      <c r="X993" s="340"/>
      <c r="Y993" s="339"/>
      <c r="Z993" s="339"/>
      <c r="AA993" s="339"/>
      <c r="AB993" s="342"/>
    </row>
    <row r="994" spans="1:28" ht="15.75" customHeight="1">
      <c r="A994" s="339"/>
      <c r="B994" s="339"/>
      <c r="C994" s="339"/>
      <c r="D994" s="339"/>
      <c r="E994" s="339"/>
      <c r="F994" s="339"/>
      <c r="G994" s="340"/>
      <c r="H994" s="339"/>
      <c r="I994" s="339"/>
      <c r="J994" s="340"/>
      <c r="K994" s="339"/>
      <c r="L994" s="341"/>
      <c r="M994" s="339"/>
      <c r="N994" s="341"/>
      <c r="O994" s="341"/>
      <c r="P994" s="339"/>
      <c r="Q994" s="341"/>
      <c r="R994" s="340"/>
      <c r="S994" s="339"/>
      <c r="T994" s="341"/>
      <c r="U994" s="339"/>
      <c r="V994" s="339"/>
      <c r="W994" s="339"/>
      <c r="X994" s="340"/>
      <c r="Y994" s="339"/>
      <c r="Z994" s="339"/>
      <c r="AA994" s="339"/>
      <c r="AB994" s="342"/>
    </row>
    <row r="995" spans="1:28" ht="15.75" customHeight="1">
      <c r="A995" s="339"/>
      <c r="B995" s="339"/>
      <c r="C995" s="339"/>
      <c r="D995" s="339"/>
      <c r="E995" s="339"/>
      <c r="F995" s="339"/>
      <c r="G995" s="340"/>
      <c r="H995" s="339"/>
      <c r="I995" s="339"/>
      <c r="J995" s="340"/>
      <c r="K995" s="339"/>
      <c r="L995" s="341"/>
      <c r="M995" s="339"/>
      <c r="N995" s="341"/>
      <c r="O995" s="341"/>
      <c r="P995" s="339"/>
      <c r="Q995" s="341"/>
      <c r="R995" s="340"/>
      <c r="S995" s="339"/>
      <c r="T995" s="341"/>
      <c r="U995" s="339"/>
      <c r="V995" s="339"/>
      <c r="W995" s="339"/>
      <c r="X995" s="340"/>
      <c r="Y995" s="339"/>
      <c r="Z995" s="339"/>
      <c r="AA995" s="339"/>
      <c r="AB995" s="342"/>
    </row>
    <row r="996" spans="1:28" ht="15.75" customHeight="1">
      <c r="A996" s="339"/>
      <c r="B996" s="339"/>
      <c r="C996" s="339"/>
      <c r="D996" s="339"/>
      <c r="E996" s="339"/>
      <c r="F996" s="339"/>
      <c r="G996" s="340"/>
      <c r="H996" s="339"/>
      <c r="I996" s="339"/>
      <c r="J996" s="340"/>
      <c r="K996" s="339"/>
      <c r="L996" s="341"/>
      <c r="M996" s="339"/>
      <c r="N996" s="341"/>
      <c r="O996" s="341"/>
      <c r="P996" s="339"/>
      <c r="Q996" s="341"/>
      <c r="R996" s="340"/>
      <c r="S996" s="339"/>
      <c r="T996" s="341"/>
      <c r="U996" s="339"/>
      <c r="V996" s="339"/>
      <c r="W996" s="339"/>
      <c r="X996" s="340"/>
      <c r="Y996" s="339"/>
      <c r="Z996" s="339"/>
      <c r="AA996" s="339"/>
      <c r="AB996" s="342"/>
    </row>
    <row r="997" spans="1:28" ht="15.75" customHeight="1">
      <c r="A997" s="339"/>
      <c r="B997" s="339"/>
      <c r="C997" s="339"/>
      <c r="D997" s="339"/>
      <c r="E997" s="339"/>
      <c r="F997" s="339"/>
      <c r="G997" s="340"/>
      <c r="H997" s="339"/>
      <c r="I997" s="339"/>
      <c r="J997" s="340"/>
      <c r="K997" s="339"/>
      <c r="L997" s="341"/>
      <c r="M997" s="339"/>
      <c r="N997" s="341"/>
      <c r="O997" s="341"/>
      <c r="P997" s="339"/>
      <c r="Q997" s="341"/>
      <c r="R997" s="340"/>
      <c r="S997" s="339"/>
      <c r="T997" s="341"/>
      <c r="U997" s="339"/>
      <c r="V997" s="339"/>
      <c r="W997" s="339"/>
      <c r="X997" s="340"/>
      <c r="Y997" s="339"/>
      <c r="Z997" s="339"/>
      <c r="AA997" s="339"/>
      <c r="AB997" s="342"/>
    </row>
    <row r="998" spans="1:28" ht="15.75" customHeight="1">
      <c r="A998" s="339"/>
      <c r="B998" s="339"/>
      <c r="C998" s="339"/>
      <c r="D998" s="339"/>
      <c r="E998" s="339"/>
      <c r="F998" s="339"/>
      <c r="G998" s="340"/>
      <c r="H998" s="339"/>
      <c r="I998" s="339"/>
      <c r="J998" s="340"/>
      <c r="K998" s="339"/>
      <c r="L998" s="341"/>
      <c r="M998" s="339"/>
      <c r="N998" s="341"/>
      <c r="O998" s="341"/>
      <c r="P998" s="339"/>
      <c r="Q998" s="341"/>
      <c r="R998" s="340"/>
      <c r="S998" s="339"/>
      <c r="T998" s="341"/>
      <c r="U998" s="339"/>
      <c r="V998" s="339"/>
      <c r="W998" s="339"/>
      <c r="X998" s="340"/>
      <c r="Y998" s="339"/>
      <c r="Z998" s="339"/>
      <c r="AA998" s="339"/>
      <c r="AB998" s="342"/>
    </row>
    <row r="999" spans="1:28" ht="15.75" customHeight="1">
      <c r="A999" s="339"/>
      <c r="B999" s="339"/>
      <c r="C999" s="339"/>
      <c r="D999" s="339"/>
      <c r="E999" s="339"/>
      <c r="F999" s="339"/>
      <c r="G999" s="340"/>
      <c r="H999" s="339"/>
      <c r="I999" s="339"/>
      <c r="J999" s="340"/>
      <c r="K999" s="339"/>
      <c r="L999" s="341"/>
      <c r="M999" s="339"/>
      <c r="N999" s="341"/>
      <c r="O999" s="341"/>
      <c r="P999" s="339"/>
      <c r="Q999" s="341"/>
      <c r="R999" s="340"/>
      <c r="S999" s="339"/>
      <c r="T999" s="341"/>
      <c r="U999" s="339"/>
      <c r="V999" s="339"/>
      <c r="W999" s="339"/>
      <c r="X999" s="340"/>
      <c r="Y999" s="339"/>
      <c r="Z999" s="339"/>
      <c r="AA999" s="339"/>
      <c r="AB999" s="342"/>
    </row>
    <row r="1000" spans="1:28" ht="15.75" customHeight="1">
      <c r="A1000" s="339"/>
      <c r="B1000" s="339"/>
      <c r="C1000" s="339"/>
      <c r="D1000" s="339"/>
      <c r="E1000" s="339"/>
      <c r="F1000" s="339"/>
      <c r="G1000" s="340"/>
      <c r="H1000" s="339"/>
      <c r="I1000" s="339"/>
      <c r="J1000" s="340"/>
      <c r="K1000" s="339"/>
      <c r="L1000" s="341"/>
      <c r="M1000" s="339"/>
      <c r="N1000" s="341"/>
      <c r="O1000" s="341"/>
      <c r="P1000" s="339"/>
      <c r="Q1000" s="341"/>
      <c r="R1000" s="340"/>
      <c r="S1000" s="339"/>
      <c r="T1000" s="341"/>
      <c r="U1000" s="339"/>
      <c r="V1000" s="339"/>
      <c r="W1000" s="339"/>
      <c r="X1000" s="340"/>
      <c r="Y1000" s="339"/>
      <c r="Z1000" s="339"/>
      <c r="AA1000" s="339"/>
      <c r="AB1000" s="342"/>
    </row>
  </sheetData>
  <mergeCells count="30">
    <mergeCell ref="A91:B91"/>
    <mergeCell ref="A106:B106"/>
    <mergeCell ref="C4:G5"/>
    <mergeCell ref="C6:E6"/>
    <mergeCell ref="F6:G6"/>
    <mergeCell ref="D7:D8"/>
    <mergeCell ref="F7:G7"/>
    <mergeCell ref="A9:B9"/>
    <mergeCell ref="A15:B15"/>
    <mergeCell ref="A33:B33"/>
    <mergeCell ref="A54:B54"/>
    <mergeCell ref="A76:B76"/>
    <mergeCell ref="A7:B8"/>
    <mergeCell ref="I7:J7"/>
    <mergeCell ref="L7:M7"/>
    <mergeCell ref="P5:R6"/>
    <mergeCell ref="S6:U6"/>
    <mergeCell ref="Q7:R7"/>
    <mergeCell ref="A2:B6"/>
    <mergeCell ref="C2:AA3"/>
    <mergeCell ref="H4:R4"/>
    <mergeCell ref="S4:AA5"/>
    <mergeCell ref="H5:J6"/>
    <mergeCell ref="K5:O5"/>
    <mergeCell ref="K6:M6"/>
    <mergeCell ref="T7:U7"/>
    <mergeCell ref="V6:X6"/>
    <mergeCell ref="Y6:AA6"/>
    <mergeCell ref="W7:X7"/>
    <mergeCell ref="Z7:AA7"/>
  </mergeCells>
  <printOptions horizontalCentered="1"/>
  <pageMargins left="0.31496062992125984" right="0.31496062992125984" top="0.74803149606299213" bottom="0.74803149606299213" header="0" footer="0"/>
  <pageSetup paperSize="9" scale="40" fitToHeight="0" orientation="landscape" r:id="rId1"/>
  <headerFooter>
    <oddFooter>&amp;Cหน้า &amp;P/&amp;N</oddFooter>
  </headerFooter>
  <rowBreaks count="4" manualBreakCount="4">
    <brk id="32" max="26" man="1"/>
    <brk id="53" max="26" man="1"/>
    <brk id="75" max="26" man="1"/>
    <brk id="90" max="2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25</vt:i4>
      </vt:variant>
    </vt:vector>
  </HeadingPairs>
  <TitlesOfParts>
    <vt:vector size="43" baseType="lpstr">
      <vt:lpstr>แปลงใหญ่</vt:lpstr>
      <vt:lpstr>แปรรูปสมุนไพร</vt:lpstr>
      <vt:lpstr>GAP</vt:lpstr>
      <vt:lpstr>ยกระดับรายได้+แปลงรวม</vt:lpstr>
      <vt:lpstr>พระราชดำริ</vt:lpstr>
      <vt:lpstr>ศิลปหัตถกรรม</vt:lpstr>
      <vt:lpstr>กษ.รุ่นใหม่+SF</vt:lpstr>
      <vt:lpstr>จัดที่ดิน</vt:lpstr>
      <vt:lpstr>เกษตรอินทรีย์</vt:lpstr>
      <vt:lpstr>วนเกษตร</vt:lpstr>
      <vt:lpstr>ทฤษฎีใหม่</vt:lpstr>
      <vt:lpstr>ธุรกิจชุมชน</vt:lpstr>
      <vt:lpstr>ตรวจสอบที่ดิน</vt:lpstr>
      <vt:lpstr>พัฒนาผู้แทนฯ</vt:lpstr>
      <vt:lpstr>RTK</vt:lpstr>
      <vt:lpstr>ศูนย์บริการ ปชช.</vt:lpstr>
      <vt:lpstr>ที่ดินชุมชน</vt:lpstr>
      <vt:lpstr>ที่ดินเอกชน</vt:lpstr>
      <vt:lpstr>RTK!Print_Area</vt:lpstr>
      <vt:lpstr>เกษตรอินทรีย์!Print_Area</vt:lpstr>
      <vt:lpstr>จัดที่ดิน!Print_Area</vt:lpstr>
      <vt:lpstr>ธุรกิจชุมชน!Print_Area</vt:lpstr>
      <vt:lpstr>พัฒนาผู้แทนฯ!Print_Area</vt:lpstr>
      <vt:lpstr>วนเกษตร!Print_Area</vt:lpstr>
      <vt:lpstr>'ศูนย์บริการ ปชช.'!Print_Area</vt:lpstr>
      <vt:lpstr>GAP!Print_Titles</vt:lpstr>
      <vt:lpstr>RTK!Print_Titles</vt:lpstr>
      <vt:lpstr>เกษตรอินทรีย์!Print_Titles</vt:lpstr>
      <vt:lpstr>แปรรูปสมุนไพร!Print_Titles</vt:lpstr>
      <vt:lpstr>แปลงใหญ่!Print_Titles</vt:lpstr>
      <vt:lpstr>'กษ.รุ่นใหม่+SF'!Print_Titles</vt:lpstr>
      <vt:lpstr>จัดที่ดิน!Print_Titles</vt:lpstr>
      <vt:lpstr>ตรวจสอบที่ดิน!Print_Titles</vt:lpstr>
      <vt:lpstr>ทฤษฎีใหม่!Print_Titles</vt:lpstr>
      <vt:lpstr>ที่ดินเอกชน!Print_Titles</vt:lpstr>
      <vt:lpstr>ที่ดินชุมชน!Print_Titles</vt:lpstr>
      <vt:lpstr>ธุรกิจชุมชน!Print_Titles</vt:lpstr>
      <vt:lpstr>พระราชดำริ!Print_Titles</vt:lpstr>
      <vt:lpstr>พัฒนาผู้แทนฯ!Print_Titles</vt:lpstr>
      <vt:lpstr>'ยกระดับรายได้+แปลงรวม'!Print_Titles</vt:lpstr>
      <vt:lpstr>วนเกษตร!Print_Titles</vt:lpstr>
      <vt:lpstr>ศิลปหัตถกรรม!Print_Titles</vt:lpstr>
      <vt:lpstr>'ศูนย์บริการ ปชช.'!Print_Titles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Chawin Chukusol</cp:lastModifiedBy>
  <cp:lastPrinted>2022-04-04T16:23:08Z</cp:lastPrinted>
  <dcterms:modified xsi:type="dcterms:W3CDTF">2022-04-07T13:27:44Z</dcterms:modified>
</cp:coreProperties>
</file>